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purl.oclc.org/ooxml/officeDocument/relationships/extendedProperties" Target="docProps/app.xml"/><Relationship Id="rId2" Type="http://schemas.openxmlformats.org/package/2006/relationships/metadata/core-properties" Target="docProps/core.xml"/><Relationship Id="rId1" Type="http://purl.oclc.org/ooxml/officeDocument/relationships/officeDocument" Target="xl/workbook.xml"/></Relationships>
</file>

<file path=xl/workbook.xml><?xml version="1.0" encoding="utf-8"?>
<workbook xmlns="http://purl.oclc.org/ooxml/spreadsheetml/main" xmlns:r="http://purl.oclc.org/ooxml/officeDocument/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conformance="strict">
  <fileVersion appName="xl" lastEdited="7" lowestEdited="7" rupBuild="10611"/>
  <workbookPr dateCompatibility="0" codeName="ThisWorkbook" defaultThemeVersion="166925"/>
  <mc:AlternateContent xmlns:mc="http://schemas.openxmlformats.org/markup-compatibility/2006">
    <mc:Choice Requires="x15">
      <x15ac:absPath xmlns:x15ac="http://schemas.microsoft.com/office/spreadsheetml/2010/11/ac" url="/Users/alainandely/Dropbox/B2B COMMUNICATION/COMMERCIAL/MFBPP/Site web FINANCES/Documentation/FR/"/>
    </mc:Choice>
  </mc:AlternateContent>
  <xr:revisionPtr revIDLastSave="0" documentId="8_{FD0CEEF0-1622-084B-8D67-B6A4B775D93F}" xr6:coauthVersionLast="47" xr6:coauthVersionMax="47" xr10:uidLastSave="{00000000-0000-0000-0000-000000000000}"/>
  <bookViews>
    <workbookView xWindow="0" yWindow="500" windowWidth="23260" windowHeight="12580" tabRatio="690" activeTab="1" xr2:uid="{55B10550-AE60-4457-8432-F0A32BA47784}"/>
  </bookViews>
  <sheets>
    <sheet name="Info" sheetId="29" r:id="rId1"/>
    <sheet name="Tableau de bord Backcasting" sheetId="21" r:id="rId2"/>
    <sheet name="Tableau de bord Prévisions" sheetId="25" r:id="rId3"/>
    <sheet name="Données graphiques" sheetId="17" r:id="rId4"/>
    <sheet name="Données d'entrées" sheetId="1" r:id="rId5"/>
    <sheet name="Mwafi_PSC" sheetId="5" state="hidden" r:id="rId6"/>
    <sheet name="Haute_Mer_1994" sheetId="8" state="hidden" r:id="rId7"/>
    <sheet name=" Résultats" sheetId="22" r:id="rId8"/>
    <sheet name="HM_ZA_Nkossa" sheetId="20" r:id="rId9"/>
    <sheet name="HM_ZB_Nsoko" sheetId="18" r:id="rId10"/>
    <sheet name="HM_ZD_Moho" sheetId="15" r:id="rId11"/>
    <sheet name="KLL_II_2020" sheetId="9" r:id="rId12"/>
    <sheet name="Loango_II" sheetId="10" state="hidden" r:id="rId13"/>
    <sheet name="Marine" sheetId="23" state="hidden" r:id="rId14"/>
    <sheet name="HM_ZD_AM3_2005" sheetId="11" r:id="rId15"/>
    <sheet name="Journal d'audit" sheetId="24" r:id="rId16"/>
    <sheet name="Prix Oil 2021" sheetId="26" r:id="rId17"/>
    <sheet name="Liste Traduction" sheetId="27" r:id="rId18"/>
    <sheet name="Modèle" sheetId="4" r:id="rId19"/>
  </sheets>
  <definedNames>
    <definedName name="alt_HP2_toggle">HM_ZD_Moho!$G$80</definedName>
    <definedName name="CA_capex_to_recover" localSheetId="6">Haute_Mer_1994!$L$189:$BS$189</definedName>
    <definedName name="CA_capex_to_recover" localSheetId="8">HM_ZA_Nkossa!$L$225:$BS$225</definedName>
    <definedName name="CA_capex_to_recover" localSheetId="9">HM_ZB_Nsoko!$L$234:$BS$234</definedName>
    <definedName name="CA_capex_to_recover" localSheetId="14">HM_ZD_AM3_2005!$L$222:$BS$222</definedName>
    <definedName name="CA_capex_to_recover" localSheetId="10">HM_ZD_Moho!$L$241:$BS$241</definedName>
    <definedName name="CA_capex_to_recover" localSheetId="11">KLL_II_2020!$L$221:$BS$221</definedName>
    <definedName name="CA_capex_to_recover" localSheetId="12">Loango_II!$L$192:$BS$192</definedName>
    <definedName name="CA_capex_to_recover" localSheetId="13">Marine!$L$219:$BS$219</definedName>
    <definedName name="CA_capex_to_recover">Mwafi_PSC!$L$192:$BS$192</definedName>
    <definedName name="CA_cost_recovered_gas">Marine!$L$297:$BS$297</definedName>
    <definedName name="CA_cost_recovered_oil">Marine!$L$260:$BS$260</definedName>
    <definedName name="CA_cost_recovered_total" localSheetId="6">Haute_Mer_1994!$L$220:$BS$220</definedName>
    <definedName name="CA_cost_recovered_total" localSheetId="8">HM_ZA_Nkossa!$L$269:$BS$269</definedName>
    <definedName name="CA_cost_recovered_total" localSheetId="9">HM_ZB_Nsoko!$L$276:$BS$276</definedName>
    <definedName name="CA_cost_recovered_total" localSheetId="14">HM_ZD_AM3_2005!$L$268:$BS$268</definedName>
    <definedName name="CA_cost_recovered_total" localSheetId="10">HM_ZD_Moho!$L$291:$BS$291</definedName>
    <definedName name="CA_cost_recovered_total" localSheetId="11">KLL_II_2020!$L$267:$BS$267</definedName>
    <definedName name="CA_cost_recovered_total" localSheetId="12">Loango_II!$L$229:$BS$229</definedName>
    <definedName name="CA_cost_recovered_total" localSheetId="13">Marine!$L$299:$BS$299</definedName>
    <definedName name="CA_cost_recovered_total">Mwafi_PSC!$L$229:$BS$229</definedName>
    <definedName name="CA_cost_stop" localSheetId="6">Haute_Mer_1994!$L$193:$BS$193</definedName>
    <definedName name="CA_cost_stop" localSheetId="8">HM_ZA_Nkossa!$L$235:$BS$235</definedName>
    <definedName name="CA_cost_stop" localSheetId="9">HM_ZB_Nsoko!$L$242:$BS$242</definedName>
    <definedName name="CA_cost_stop" localSheetId="14">HM_ZD_AM3_2005!$L$234:$BS$234</definedName>
    <definedName name="CA_cost_stop" localSheetId="10">HM_ZD_Moho!$L$257:$BS$257</definedName>
    <definedName name="CA_cost_stop" localSheetId="11">KLL_II_2020!$L$233:$BS$233</definedName>
    <definedName name="CA_cost_stop" localSheetId="12">Loango_II!$L$202:$BS$202</definedName>
    <definedName name="CA_cost_stop">Mwafi_PSC!$L$202:$BS$202</definedName>
    <definedName name="CA_cost_stop_gas">Marine!$L$264:$BS$264</definedName>
    <definedName name="CA_cost_stop_oil">Marine!$L$227:$BS$227</definedName>
    <definedName name="CA_CS_HP_oil_nom" localSheetId="10">HM_ZD_Moho!$L$168:$BS$168</definedName>
    <definedName name="CA_CS_HP_oil_nom">HM_ZD_AM3_2005!$L$158:$BS$158</definedName>
    <definedName name="CA_cum_gross_prod_gas" localSheetId="6">Haute_Mer_1994!$L$113:$BS$113</definedName>
    <definedName name="CA_cum_gross_prod_gas" localSheetId="8">HM_ZA_Nkossa!$L$124:$BS$124</definedName>
    <definedName name="CA_cum_gross_prod_gas" localSheetId="9">HM_ZB_Nsoko!$L$133:$BS$133</definedName>
    <definedName name="CA_cum_gross_prod_gas" localSheetId="14">HM_ZD_AM3_2005!$L$130:$BS$130</definedName>
    <definedName name="CA_cum_gross_prod_gas" localSheetId="10">HM_ZD_Moho!$L$138:$BS$138</definedName>
    <definedName name="CA_cum_gross_prod_gas" localSheetId="11">KLL_II_2020!$L$119:$BS$119</definedName>
    <definedName name="CA_cum_gross_prod_gas" localSheetId="12">Loango_II!$L$116:$BS$116</definedName>
    <definedName name="CA_cum_gross_prod_gas" localSheetId="13">Marine!$L$117:$BS$117</definedName>
    <definedName name="CA_cum_gross_prod_gas">Mwafi_PSC!$L$116:$BS$116</definedName>
    <definedName name="CA_cum_gross_prod_lpg" localSheetId="9">HM_ZB_Nsoko!$L$132:$BS$132</definedName>
    <definedName name="CA_cum_gross_prod_lpg" localSheetId="14">HM_ZD_AM3_2005!$L$129:$BS$129</definedName>
    <definedName name="CA_cum_gross_prod_lpg" localSheetId="11">KLL_II_2020!$L$118:$BS$118</definedName>
    <definedName name="CA_cum_gross_prod_lpg" localSheetId="13">Marine!$L$116:$BS$116</definedName>
    <definedName name="CA_cum_gross_prod_lpg">HM_ZA_Nkossa!$L$123:$BS$123</definedName>
    <definedName name="CA_cum_gross_prod_oil" localSheetId="6">Haute_Mer_1994!$L$112:$BS$112</definedName>
    <definedName name="CA_cum_gross_prod_oil" localSheetId="8">HM_ZA_Nkossa!$L$122:$BS$122</definedName>
    <definedName name="CA_cum_gross_prod_oil" localSheetId="9">HM_ZB_Nsoko!$L$131:$BS$131</definedName>
    <definedName name="CA_cum_gross_prod_oil" localSheetId="14">HM_ZD_AM3_2005!$L$128:$BS$128</definedName>
    <definedName name="CA_cum_gross_prod_oil" localSheetId="10">HM_ZD_Moho!$L$136:$BS$136</definedName>
    <definedName name="CA_cum_gross_prod_oil" localSheetId="11">KLL_II_2020!$L$117:$BS$117</definedName>
    <definedName name="CA_cum_gross_prod_oil" localSheetId="12">Loango_II!$L$115:$BS$115</definedName>
    <definedName name="CA_cum_gross_prod_oil" localSheetId="13">Marine!$L$115:$BS$115</definedName>
    <definedName name="CA_cum_gross_prod_oil">Mwafi_PSC!$L$115:$BS$115</definedName>
    <definedName name="CA_cum_gross_prod_Total" localSheetId="6">Haute_Mer_1994!$L$114:$BS$114</definedName>
    <definedName name="CA_cum_gross_prod_Total" localSheetId="8">HM_ZA_Nkossa!$L$125:$BS$125</definedName>
    <definedName name="CA_cum_gross_prod_Total" localSheetId="9">HM_ZB_Nsoko!$L$134:$BS$134</definedName>
    <definedName name="CA_cum_gross_prod_Total" localSheetId="14">HM_ZD_AM3_2005!$L$131:$BS$131</definedName>
    <definedName name="CA_cum_gross_prod_Total" localSheetId="10">HM_ZD_Moho!$L$139:$BS$139</definedName>
    <definedName name="CA_cum_gross_prod_Total" localSheetId="11">KLL_II_2020!$L$120:$BS$120</definedName>
    <definedName name="CA_cum_gross_prod_Total" localSheetId="12">Loango_II!$L$117:$BS$117</definedName>
    <definedName name="CA_cum_gross_prod_Total" localSheetId="13">Marine!$L$118:$BS$118</definedName>
    <definedName name="CA_cum_gross_prod_Total">Mwafi_PSC!$L$117:$BS$117</definedName>
    <definedName name="CA_cum_gross_sales_gas" localSheetId="9">HM_ZB_Nsoko!$L$145:$BS$145</definedName>
    <definedName name="CA_cum_gross_sales_gas" localSheetId="14">HM_ZD_AM3_2005!$L$142:$BS$142</definedName>
    <definedName name="CA_cum_gross_sales_gas" localSheetId="10">HM_ZD_Moho!$L$150:$BS$150</definedName>
    <definedName name="CA_cum_gross_sales_gas" localSheetId="11">KLL_II_2020!$L$131:$BS$131</definedName>
    <definedName name="CA_cum_gross_sales_gas" localSheetId="13">Marine!$L$129:$BS$129</definedName>
    <definedName name="CA_cum_gross_sales_gas">HM_ZA_Nkossa!$L$136:$BS$136</definedName>
    <definedName name="CA_cum_gross_sales_lpg" localSheetId="9">HM_ZB_Nsoko!$L$144:$BS$144</definedName>
    <definedName name="CA_cum_gross_sales_lpg" localSheetId="14">HM_ZD_AM3_2005!$L$141:$BS$141</definedName>
    <definedName name="CA_cum_gross_sales_lpg" localSheetId="10">HM_ZD_Moho!$L$149:$BS$149</definedName>
    <definedName name="CA_cum_gross_sales_lpg" localSheetId="11">KLL_II_2020!$L$130:$BS$130</definedName>
    <definedName name="CA_cum_gross_sales_lpg" localSheetId="13">Marine!$L$128:$BS$128</definedName>
    <definedName name="CA_cum_gross_sales_lpg">HM_ZA_Nkossa!$L$135:$BS$135</definedName>
    <definedName name="CA_cum_gross_sales_oil" localSheetId="9">HM_ZB_Nsoko!$L$143:$BS$143</definedName>
    <definedName name="CA_cum_gross_sales_oil" localSheetId="14">HM_ZD_AM3_2005!$L$140:$BS$140</definedName>
    <definedName name="CA_cum_gross_sales_oil" localSheetId="10">HM_ZD_Moho!$L$148:$BS$148</definedName>
    <definedName name="CA_cum_gross_sales_oil" localSheetId="11">KLL_II_2020!$L$129:$BS$129</definedName>
    <definedName name="CA_cum_gross_sales_oil" localSheetId="13">Marine!$L$127:$BS$127</definedName>
    <definedName name="CA_cum_gross_sales_oil">HM_ZA_Nkossa!$L$134:$BS$134</definedName>
    <definedName name="CA_cum_gross_sales_Total" localSheetId="9">HM_ZB_Nsoko!$L$146:$BS$146</definedName>
    <definedName name="CA_cum_gross_sales_Total" localSheetId="14">HM_ZD_AM3_2005!$L$143:$BS$143</definedName>
    <definedName name="CA_cum_gross_sales_Total" localSheetId="10">HM_ZD_Moho!$L$151:$BS$151</definedName>
    <definedName name="CA_cum_gross_sales_Total" localSheetId="11">KLL_II_2020!$L$132:$BS$132</definedName>
    <definedName name="CA_cum_gross_sales_Total" localSheetId="13">Marine!$L$130:$BS$130</definedName>
    <definedName name="CA_cum_gross_sales_Total">HM_ZA_Nkossa!$L$137:$BS$137</definedName>
    <definedName name="CA_decom_nom" localSheetId="6">Haute_Mer_1994!$L$169:$BS$169</definedName>
    <definedName name="CA_decom_nom" localSheetId="8">HM_ZA_Nkossa!$L$203:$BS$203</definedName>
    <definedName name="CA_decom_nom" localSheetId="9">HM_ZB_Nsoko!$L$212:$BS$212</definedName>
    <definedName name="CA_decom_nom" localSheetId="14">HM_ZD_AM3_2005!$L$202:$BS$202</definedName>
    <definedName name="CA_decom_nom" localSheetId="10">HM_ZD_Moho!$L$219:$BS$219</definedName>
    <definedName name="CA_decom_nom" localSheetId="11">KLL_II_2020!$L$199:$BS$199</definedName>
    <definedName name="CA_decom_nom" localSheetId="12">Loango_II!$L$172:$BS$172</definedName>
    <definedName name="CA_decom_nom" localSheetId="13">Marine!$L$196:$BS$196</definedName>
    <definedName name="CA_decom_nom">Mwafi_PSC!$L$172:$BS$172</definedName>
    <definedName name="CA_decom_to_recover" localSheetId="9">HM_ZB_Nsoko!$L$236:$BS$236</definedName>
    <definedName name="CA_decom_to_recover" localSheetId="14">HM_ZD_AM3_2005!$L$224:$BS$224</definedName>
    <definedName name="CA_decom_to_recover" localSheetId="10">HM_ZD_Moho!$L$243:$BS$243</definedName>
    <definedName name="CA_decom_to_recover" localSheetId="11">KLL_II_2020!$L$223:$BS$223</definedName>
    <definedName name="CA_decom_to_recover" localSheetId="13">Marine!$L$221:$BS$221</definedName>
    <definedName name="CA_decom_to_recover">HM_ZA_Nkossa!$L$227:$BS$227</definedName>
    <definedName name="CA_devex_nom" localSheetId="6">Haute_Mer_1994!$L$166:$BS$166</definedName>
    <definedName name="CA_devex_nom" localSheetId="8">HM_ZA_Nkossa!$L$200:$BS$200</definedName>
    <definedName name="CA_devex_nom" localSheetId="9">HM_ZB_Nsoko!$L$209:$BS$209</definedName>
    <definedName name="CA_devex_nom" localSheetId="14">HM_ZD_AM3_2005!$L$199:$BS$199</definedName>
    <definedName name="CA_devex_nom" localSheetId="10">HM_ZD_Moho!$L$216:$BS$216</definedName>
    <definedName name="CA_devex_nom" localSheetId="11">KLL_II_2020!$L$196:$BS$196</definedName>
    <definedName name="CA_devex_nom" localSheetId="12">Loango_II!$L$169:$BS$169</definedName>
    <definedName name="CA_devex_nom" localSheetId="13">Marine!$L$193:$BS$193</definedName>
    <definedName name="CA_devex_nom">Mwafi_PSC!$L$169:$BS$169</definedName>
    <definedName name="CA_disc_factor_fc" localSheetId="6">Haute_Mer_1994!$L$354:$BS$354</definedName>
    <definedName name="CA_disc_factor_fc" localSheetId="8">HM_ZA_Nkossa!$L$403:$BS$403</definedName>
    <definedName name="CA_disc_factor_fc" localSheetId="9">HM_ZB_Nsoko!$L$414:$BS$414</definedName>
    <definedName name="CA_disc_factor_fc" localSheetId="14">HM_ZD_AM3_2005!$L$406:$BS$406</definedName>
    <definedName name="CA_disc_factor_fc" localSheetId="10">HM_ZD_Moho!$L$428:$BS$428</definedName>
    <definedName name="CA_disc_factor_fc" localSheetId="11">KLL_II_2020!$L$401:$BS$401</definedName>
    <definedName name="CA_disc_factor_fc" localSheetId="12">Loango_II!$L$363:$BS$363</definedName>
    <definedName name="CA_disc_factor_fc" localSheetId="13">Marine!$L$440:$BS$440</definedName>
    <definedName name="CA_disc_factor_fc">Mwafi_PSC!$L$363:$BS$363</definedName>
    <definedName name="CA_disc_factor_pf" localSheetId="6">Haute_Mer_1994!$L$355:$BS$355</definedName>
    <definedName name="CA_disc_factor_pf" localSheetId="8">HM_ZA_Nkossa!$L$404:$BS$404</definedName>
    <definedName name="CA_disc_factor_pf" localSheetId="9">HM_ZB_Nsoko!$L$415:$BS$415</definedName>
    <definedName name="CA_disc_factor_pf" localSheetId="14">HM_ZD_AM3_2005!$L$407:$BS$407</definedName>
    <definedName name="CA_disc_factor_pf" localSheetId="10">HM_ZD_Moho!$L$429:$BS$429</definedName>
    <definedName name="CA_disc_factor_pf" localSheetId="11">KLL_II_2020!$L$402:$BS$402</definedName>
    <definedName name="CA_disc_factor_pf" localSheetId="12">Loango_II!$L$364:$BS$364</definedName>
    <definedName name="CA_disc_factor_pf" localSheetId="13">Marine!$L$441:$BS$441</definedName>
    <definedName name="CA_disc_factor_pf">Mwafi_PSC!$L$364:$BS$364</definedName>
    <definedName name="CA_domestic_sales_gas">Marine!$L$135:$BS$135</definedName>
    <definedName name="CA_EandA_nom">Mwafi_PSC!$L$166:$BS$166</definedName>
    <definedName name="CA_ent_rev_gas" localSheetId="6">Haute_Mer_1994!$L$277:$BS$277</definedName>
    <definedName name="CA_ent_rev_gas" localSheetId="8">HM_ZA_Nkossa!$L$326:$BS$326</definedName>
    <definedName name="CA_ent_rev_gas" localSheetId="9">HM_ZB_Nsoko!$L$337:$BS$337</definedName>
    <definedName name="CA_ent_rev_gas" localSheetId="14">HM_ZD_AM3_2005!$L$329:$BS$329</definedName>
    <definedName name="CA_ent_rev_gas" localSheetId="10">HM_ZD_Moho!$L$351:$BS$351</definedName>
    <definedName name="CA_ent_rev_gas" localSheetId="11">KLL_II_2020!$L$324:$BS$324</definedName>
    <definedName name="CA_ent_rev_gas" localSheetId="12">Loango_II!$L$286:$BS$286</definedName>
    <definedName name="CA_ent_rev_gas" localSheetId="13">Marine!$L$363:$BS$363</definedName>
    <definedName name="CA_ent_rev_gas">Mwafi_PSC!$L$286:$BS$286</definedName>
    <definedName name="CA_ent_rev_oil" localSheetId="6">Haute_Mer_1994!$L$271:$BS$271</definedName>
    <definedName name="CA_ent_rev_oil" localSheetId="8">HM_ZA_Nkossa!$L$320:$BS$320</definedName>
    <definedName name="CA_ent_rev_oil" localSheetId="9">HM_ZB_Nsoko!$L$331:$BS$331</definedName>
    <definedName name="CA_ent_rev_oil" localSheetId="14">HM_ZD_AM3_2005!$L$323:$BS$323</definedName>
    <definedName name="CA_ent_rev_oil" localSheetId="10">HM_ZD_Moho!$L$345:$BS$345</definedName>
    <definedName name="CA_ent_rev_oil" localSheetId="11">KLL_II_2020!$L$318:$BS$318</definedName>
    <definedName name="CA_ent_rev_oil" localSheetId="12">Loango_II!$L$280:$BS$280</definedName>
    <definedName name="CA_ent_rev_oil" localSheetId="13">Marine!$L$357:$BS$357</definedName>
    <definedName name="CA_ent_rev_oil">Mwafi_PSC!$L$280:$BS$280</definedName>
    <definedName name="CA_ent_vol_total" localSheetId="8">HM_ZA_Nkossa!$L$331:$BS$331</definedName>
    <definedName name="CA_ent_vol_total" localSheetId="9">HM_ZB_Nsoko!$L$342:$BS$342</definedName>
    <definedName name="CA_ent_vol_total" localSheetId="14">HM_ZD_AM3_2005!$L$334:$BS$334</definedName>
    <definedName name="CA_ent_vol_total" localSheetId="10">HM_ZD_Moho!$L$356:$BS$356</definedName>
    <definedName name="CA_ent_vol_total" localSheetId="11">KLL_II_2020!$L$329:$BS$329</definedName>
    <definedName name="CA_ent_vol_total" localSheetId="12">Loango_II!$L$291:$BS$291</definedName>
    <definedName name="CA_ent_vol_total" localSheetId="13">Marine!$L$368:$BS$368</definedName>
    <definedName name="CA_ent_vol_total">Haute_Mer_1994!$L$282:$BS$282</definedName>
    <definedName name="CA_excess_cost_recovery" localSheetId="6">Haute_Mer_1994!$L$223:$BS$223</definedName>
    <definedName name="CA_excess_cost_recovery" localSheetId="8">HM_ZA_Nkossa!$L$272:$BS$272</definedName>
    <definedName name="CA_excess_cost_recovery" localSheetId="9">HM_ZB_Nsoko!$L$279:$BS$279</definedName>
    <definedName name="CA_excess_cost_recovery" localSheetId="14">HM_ZD_AM3_2005!$L$271:$BS$271</definedName>
    <definedName name="CA_excess_cost_recovery" localSheetId="10">HM_ZD_Moho!$L$294:$BS$294</definedName>
    <definedName name="CA_excess_cost_recovery" localSheetId="11">KLL_II_2020!$L$270:$BS$270</definedName>
    <definedName name="CA_excess_cost_recovery" localSheetId="12">Loango_II!$L$232:$BS$232</definedName>
    <definedName name="CA_excess_cost_recovery" localSheetId="13">Marine!$L$302:$BS$302</definedName>
    <definedName name="CA_excess_cost_recovery">Mwafi_PSC!$L$232:$BS$232</definedName>
    <definedName name="CA_excess_cost_recovery_gas">Marine!$L$303:$BS$303</definedName>
    <definedName name="CA_excess_cost_recovery_oil">Marine!$L$302:$BS$302</definedName>
    <definedName name="CA_excess_CR_cont" localSheetId="6">Haute_Mer_1994!$L$225:$BS$225</definedName>
    <definedName name="CA_excess_CR_cont" localSheetId="8">HM_ZA_Nkossa!$L$274:$BS$274</definedName>
    <definedName name="CA_excess_CR_cont" localSheetId="9">HM_ZB_Nsoko!$L$285:$BS$285</definedName>
    <definedName name="CA_excess_CR_cont" localSheetId="14">HM_ZD_AM3_2005!$L$277:$BS$277</definedName>
    <definedName name="CA_excess_CR_cont" localSheetId="10">HM_ZD_Moho!$L$296:$BS$296</definedName>
    <definedName name="CA_excess_CR_cont" localSheetId="11">KLL_II_2020!$L$272:$BS$272</definedName>
    <definedName name="CA_excess_CR_cont" localSheetId="12">Loango_II!$L$234:$BS$234</definedName>
    <definedName name="CA_excess_CR_cont" localSheetId="13">Marine!$L$305:$BS$305</definedName>
    <definedName name="CA_excess_CR_cont">Mwafi_PSC!$L$234:$BS$234</definedName>
    <definedName name="CA_excess_CR_gov" localSheetId="6">Haute_Mer_1994!$L$226:$BS$226</definedName>
    <definedName name="CA_excess_CR_gov" localSheetId="8">HM_ZA_Nkossa!$L$275:$BS$275</definedName>
    <definedName name="CA_excess_CR_gov" localSheetId="9">HM_ZB_Nsoko!$L$286:$BS$286</definedName>
    <definedName name="CA_excess_CR_gov" localSheetId="14">HM_ZD_AM3_2005!$L$278:$BS$278</definedName>
    <definedName name="CA_excess_CR_gov" localSheetId="10">HM_ZD_Moho!$L$297:$BS$297</definedName>
    <definedName name="CA_excess_CR_gov" localSheetId="11">KLL_II_2020!$L$273:$BS$273</definedName>
    <definedName name="CA_excess_CR_gov" localSheetId="12">Loango_II!$L$235:$BS$235</definedName>
    <definedName name="CA_excess_CR_gov" localSheetId="13">Marine!$L$306:$BS$306</definedName>
    <definedName name="CA_excess_CR_gov">Mwafi_PSC!$L$235:$BS$235</definedName>
    <definedName name="CA_expex_nom" localSheetId="6">Haute_Mer_1994!$L$163:$BS$163</definedName>
    <definedName name="CA_expex_nom" localSheetId="8">HM_ZA_Nkossa!$L$197:$BS$197</definedName>
    <definedName name="CA_expex_nom" localSheetId="9">HM_ZB_Nsoko!$L$206:$BS$206</definedName>
    <definedName name="CA_expex_nom" localSheetId="14">HM_ZD_AM3_2005!$L$196:$BS$196</definedName>
    <definedName name="CA_expex_nom" localSheetId="10">HM_ZD_Moho!$L$213:$BS$213</definedName>
    <definedName name="CA_expex_nom" localSheetId="11">KLL_II_2020!$L$193:$BS$193</definedName>
    <definedName name="CA_expex_nom" localSheetId="12">Loango_II!$L$166:$BS$166</definedName>
    <definedName name="CA_expex_nom" localSheetId="13">Marine!$L$190:$BS$190</definedName>
    <definedName name="CA_expex_nom">Mwafi_PSC!$L$166:$BS$166</definedName>
    <definedName name="CA_expex_to_recover" localSheetId="6">Haute_Mer_1994!$L$190:$BS$190</definedName>
    <definedName name="CA_expex_to_recover" localSheetId="8">HM_ZA_Nkossa!$L$226:$BS$226</definedName>
    <definedName name="CA_expex_to_recover" localSheetId="9">HM_ZB_Nsoko!$L$235:$BS$235</definedName>
    <definedName name="CA_expex_to_recover" localSheetId="14">HM_ZD_AM3_2005!$L$223:$BS$223</definedName>
    <definedName name="CA_expex_to_recover" localSheetId="10">HM_ZD_Moho!$L$242:$BS$242</definedName>
    <definedName name="CA_expex_to_recover" localSheetId="11">KLL_II_2020!$L$222:$BS$222</definedName>
    <definedName name="CA_expex_to_recover" localSheetId="12">Loango_II!$L$193:$BS$193</definedName>
    <definedName name="CA_expex_to_recover" localSheetId="13">Marine!$L$220:$BS$220</definedName>
    <definedName name="CA_expex_to_recover">Mwafi_PSC!$L$193:$BS$193</definedName>
    <definedName name="CA_export_sales_gas">Marine!$L$134:$BS$134</definedName>
    <definedName name="CA_exportgas_perc">Marine!$L$133:$BS$133</definedName>
    <definedName name="CA_fixedopex_nom" localSheetId="6">Haute_Mer_1994!$L$154:$BS$154</definedName>
    <definedName name="CA_fixedopex_nom" localSheetId="8">HM_ZA_Nkossa!$L$188:$BS$188</definedName>
    <definedName name="CA_fixedopex_nom" localSheetId="9">HM_ZB_Nsoko!$L$197:$BS$197</definedName>
    <definedName name="CA_fixedopex_nom" localSheetId="14">HM_ZD_AM3_2005!$L$187:$BS$187</definedName>
    <definedName name="CA_fixedopex_nom" localSheetId="10">HM_ZD_Moho!$L$204:$BS$204</definedName>
    <definedName name="CA_fixedopex_nom" localSheetId="11">KLL_II_2020!$L$184:$BS$184</definedName>
    <definedName name="CA_fixedopex_nom" localSheetId="12">Loango_II!$L$157:$BS$157</definedName>
    <definedName name="CA_fixedopex_nom" localSheetId="13">Marine!$L$181:$BS$181</definedName>
    <definedName name="CA_fixedopex_nom">Mwafi_PSC!$L$157:$BS$157</definedName>
    <definedName name="CA_FP_domestic_gas_nom">Marine!$L$147:$BS$147</definedName>
    <definedName name="CA_FP_gas_nom" localSheetId="6">Haute_Mer_1994!$L$123:$BS$123</definedName>
    <definedName name="CA_FP_gas_nom" localSheetId="8">HM_ZA_Nkossa!$L$147:$BS$147</definedName>
    <definedName name="CA_FP_gas_nom" localSheetId="9">HM_ZB_Nsoko!$L$156:$BS$156</definedName>
    <definedName name="CA_FP_gas_nom" localSheetId="14">HM_ZD_AM3_2005!$L$153:$BS$153</definedName>
    <definedName name="CA_FP_gas_nom" localSheetId="10">HM_ZD_Moho!$L$161:$BS$161</definedName>
    <definedName name="CA_FP_gas_nom" localSheetId="11">KLL_II_2020!$L$143:$BS$143</definedName>
    <definedName name="CA_FP_gas_nom" localSheetId="12">Loango_II!$L$126:$BS$126</definedName>
    <definedName name="CA_FP_gas_nom" localSheetId="13">Marine!$L$145:$BS$145</definedName>
    <definedName name="CA_FP_gas_nom">Mwafi_PSC!$L$126:$BS$126</definedName>
    <definedName name="CA_FP_lpg_nom" localSheetId="9">HM_ZB_Nsoko!$L$154:$BS$154</definedName>
    <definedName name="CA_FP_lpg_nom" localSheetId="14">HM_ZD_AM3_2005!$L$151:$BS$151</definedName>
    <definedName name="CA_FP_lpg_nom" localSheetId="10">HM_ZD_Moho!$L$159:$BS$159</definedName>
    <definedName name="CA_FP_lpg_nom" localSheetId="11">KLL_II_2020!$L$141:$BS$141</definedName>
    <definedName name="CA_FP_lpg_nom" localSheetId="13">Marine!$L$143:$BS$143</definedName>
    <definedName name="CA_FP_lpg_nom">HM_ZA_Nkossa!$L$145:$BS$145</definedName>
    <definedName name="CA_FP_oil_nom" localSheetId="6">Haute_Mer_1994!$L$121:$BS$121</definedName>
    <definedName name="CA_FP_oil_nom" localSheetId="8">HM_ZA_Nkossa!$L$143:$BS$143</definedName>
    <definedName name="CA_FP_oil_nom" localSheetId="9">HM_ZB_Nsoko!$L$152:$BS$152</definedName>
    <definedName name="CA_FP_oil_nom" localSheetId="14">HM_ZD_AM3_2005!$L$149:$BS$149</definedName>
    <definedName name="CA_FP_oil_nom" localSheetId="10">HM_ZD_Moho!$L$157:$BS$157</definedName>
    <definedName name="CA_FP_oil_nom" localSheetId="11">KLL_II_2020!$L$139:$BS$139</definedName>
    <definedName name="CA_FP_oil_nom" localSheetId="12">Loango_II!$L$124:$BS$124</definedName>
    <definedName name="CA_FP_oil_nom" localSheetId="13">Marine!$L$141:$BS$141</definedName>
    <definedName name="CA_FP_oil_nom">Mwafi_PSC!$L$124:$BS$124</definedName>
    <definedName name="CA_gco" localSheetId="8">HM_ZA_Nkossa!$L$231:$BS$231</definedName>
    <definedName name="CA_gco" localSheetId="10">HM_ZD_Moho!$L$247:$BS$247</definedName>
    <definedName name="CA_gco" localSheetId="11">KLL_II_2020!$L$227:$BS$227</definedName>
    <definedName name="CA_gco" localSheetId="12">Loango_II!$L$196:$BS$196</definedName>
    <definedName name="CA_gco">Mwafi_PSC!$L$196:$BS$196</definedName>
    <definedName name="CA_gross_prod_gas" localSheetId="6">Haute_Mer_1994!$L$108:$BS$108</definedName>
    <definedName name="CA_gross_prod_gas" localSheetId="8">HM_ZA_Nkossa!$L$118:$BS$118</definedName>
    <definedName name="CA_gross_prod_gas" localSheetId="9">HM_ZB_Nsoko!$L$127:$BS$127</definedName>
    <definedName name="CA_gross_prod_gas" localSheetId="14">HM_ZD_AM3_2005!$L$124:$BS$124</definedName>
    <definedName name="CA_gross_prod_gas" localSheetId="10">HM_ZD_Moho!$L$132:$BS$132</definedName>
    <definedName name="CA_gross_prod_gas" localSheetId="11">KLL_II_2020!$L$113:$BS$113</definedName>
    <definedName name="CA_gross_prod_gas" localSheetId="12">Loango_II!$L$111:$BS$111</definedName>
    <definedName name="CA_gross_prod_gas" localSheetId="13">Marine!$L$111:$BS$111</definedName>
    <definedName name="CA_gross_prod_gas">Mwafi_PSC!$L$111:$BS$111</definedName>
    <definedName name="CA_gross_prod_lpg" localSheetId="9">HM_ZB_Nsoko!$L$126:$BS$126</definedName>
    <definedName name="CA_gross_prod_lpg" localSheetId="14">HM_ZD_AM3_2005!$L$123:$BS$123</definedName>
    <definedName name="CA_gross_prod_lpg" localSheetId="10">HM_ZD_Moho!$L$131:$BS$131</definedName>
    <definedName name="CA_gross_prod_lpg" localSheetId="11">KLL_II_2020!$L$112:$BS$112</definedName>
    <definedName name="CA_gross_prod_lpg" localSheetId="13">Marine!$L$110:$BS$110</definedName>
    <definedName name="CA_gross_prod_lpg">HM_ZA_Nkossa!$L$117:$BS$117</definedName>
    <definedName name="CA_gross_prod_oil" localSheetId="6">Haute_Mer_1994!$L$107:$BS$107</definedName>
    <definedName name="CA_gross_prod_oil" localSheetId="8">HM_ZA_Nkossa!$L$116:$BS$116</definedName>
    <definedName name="CA_gross_prod_oil" localSheetId="9">HM_ZB_Nsoko!$L$125:$BS$125</definedName>
    <definedName name="CA_gross_prod_oil" localSheetId="14">HM_ZD_AM3_2005!$L$122:$BS$122</definedName>
    <definedName name="CA_gross_prod_oil" localSheetId="10">HM_ZD_Moho!$L$130:$BS$130</definedName>
    <definedName name="CA_gross_prod_oil" localSheetId="11">KLL_II_2020!$L$111:$BS$111</definedName>
    <definedName name="CA_gross_prod_oil" localSheetId="12">Loango_II!$L$110:$BS$110</definedName>
    <definedName name="CA_gross_prod_oil" localSheetId="13">Marine!$L$109:$BS$109</definedName>
    <definedName name="CA_gross_prod_oil">Mwafi_PSC!$L$110:$BS$110</definedName>
    <definedName name="CA_gross_prod_Total" localSheetId="8">HM_ZA_Nkossa!$L$119:$BS$119</definedName>
    <definedName name="CA_gross_prod_Total" localSheetId="9">HM_ZB_Nsoko!$L$128:$BS$128</definedName>
    <definedName name="CA_gross_prod_Total" localSheetId="14">HM_ZD_AM3_2005!$L$125:$BS$125</definedName>
    <definedName name="CA_gross_prod_Total" localSheetId="10">HM_ZD_Moho!$L$133:$BS$133</definedName>
    <definedName name="CA_gross_prod_Total" localSheetId="11">KLL_II_2020!$L$114:$BS$114</definedName>
    <definedName name="CA_gross_prod_Total" localSheetId="12">Loango_II!$L$112:$BS$112</definedName>
    <definedName name="CA_gross_prod_Total" localSheetId="13">Marine!$L$112:$BS$112</definedName>
    <definedName name="CA_gross_prod_Total">Haute_Mer_1994!$L$109:$BS$109</definedName>
    <definedName name="CA_gross_rev_domestic_gas_fp">Marine!$L$161:$BS$161</definedName>
    <definedName name="CA_gross_rev_gas_fp" localSheetId="6">Haute_Mer_1994!$L$133:$BS$133</definedName>
    <definedName name="CA_gross_rev_gas_fp" localSheetId="8">HM_ZA_Nkossa!$L$164:$BS$164</definedName>
    <definedName name="CA_gross_rev_gas_fp" localSheetId="9">HM_ZB_Nsoko!$L$173:$BS$173</definedName>
    <definedName name="CA_gross_rev_gas_fp" localSheetId="14">HM_ZD_AM3_2005!$L$166:$BS$166</definedName>
    <definedName name="CA_gross_rev_gas_fp" localSheetId="10">HM_ZD_Moho!$L$179:$BS$179</definedName>
    <definedName name="CA_gross_rev_gas_fp" localSheetId="11">KLL_II_2020!$L$160:$BS$160</definedName>
    <definedName name="CA_gross_rev_gas_fp" localSheetId="12">Loango_II!$L$136:$BS$136</definedName>
    <definedName name="CA_gross_rev_gas_fp" localSheetId="13">Marine!$L$160:$BS$160</definedName>
    <definedName name="CA_gross_rev_gas_fp">Mwafi_PSC!$L$136:$BS$136</definedName>
    <definedName name="CA_gross_rev_oil_difference" localSheetId="6">Haute_Mer_1994!$L$140:$BS$140</definedName>
    <definedName name="CA_gross_rev_oil_difference" localSheetId="9">HM_ZB_Nsoko!$L$181:$BS$181</definedName>
    <definedName name="CA_gross_rev_oil_difference" localSheetId="14">HM_ZD_AM3_2005!$L$173:$BS$173</definedName>
    <definedName name="CA_gross_rev_oil_difference" localSheetId="10">HM_ZD_Moho!$L$190:$BS$190</definedName>
    <definedName name="CA_gross_rev_oil_difference" localSheetId="11">KLL_II_2020!$L$168:$BS$168</definedName>
    <definedName name="CA_gross_rev_oil_difference" localSheetId="12">Loango_II!$L$143:$BS$143</definedName>
    <definedName name="CA_gross_rev_oil_difference" localSheetId="13">Marine!$L$167:$BS$167</definedName>
    <definedName name="CA_gross_rev_oil_difference">Mwafi_PSC!$L$143:$BS$143</definedName>
    <definedName name="CA_gross_rev_oil_difference1" localSheetId="9">HM_ZB_Nsoko!$L$181:$BS$181</definedName>
    <definedName name="CA_gross_rev_oil_difference1" localSheetId="10">HM_ZD_Moho!$L$188:$BS$188</definedName>
    <definedName name="CA_gross_rev_oil_difference1" localSheetId="11">KLL_II_2020!$L$168:$BS$168</definedName>
    <definedName name="CA_gross_rev_oil_difference1">HM_ZA_Nkossa!$L$172:$BS$172</definedName>
    <definedName name="CA_gross_rev_oil_difference2" localSheetId="9">HM_ZB_Nsoko!$L$183:$BS$183</definedName>
    <definedName name="CA_gross_rev_oil_difference2" localSheetId="10">HM_ZD_Moho!$L$190:$BS$190</definedName>
    <definedName name="CA_gross_rev_oil_difference2" localSheetId="11">KLL_II_2020!$L$170:$BS$170</definedName>
    <definedName name="CA_gross_rev_oil_difference2">HM_ZA_Nkossa!$L$174:$BS$174</definedName>
    <definedName name="CA_gross_rev_oil_fp" localSheetId="6">Haute_Mer_1994!$L$132:$BS$132</definedName>
    <definedName name="CA_gross_rev_oil_fp" localSheetId="8">HM_ZA_Nkossa!$L$163:$BS$163</definedName>
    <definedName name="CA_gross_rev_oil_fp" localSheetId="9">HM_ZB_Nsoko!$L$172:$BS$172</definedName>
    <definedName name="CA_gross_rev_oil_fp" localSheetId="14">HM_ZD_AM3_2005!$L$165:$BS$165</definedName>
    <definedName name="CA_gross_rev_oil_fp" localSheetId="10">HM_ZD_Moho!$L$178:$BS$178</definedName>
    <definedName name="CA_gross_rev_oil_fp" localSheetId="11">KLL_II_2020!$L$159:$BS$159</definedName>
    <definedName name="CA_gross_rev_oil_fp" localSheetId="12">Loango_II!$L$135:$BS$135</definedName>
    <definedName name="CA_gross_rev_oil_fp" localSheetId="13">Marine!$L$159:$BS$159</definedName>
    <definedName name="CA_gross_rev_oil_fp">Mwafi_PSC!$L$135:$BS$135</definedName>
    <definedName name="CA_gross_rev_oil_hp" localSheetId="6">Haute_Mer_1994!$L$137:$BS$137</definedName>
    <definedName name="CA_gross_rev_oil_hp" localSheetId="9">HM_ZB_Nsoko!$L$177:$BS$177</definedName>
    <definedName name="CA_gross_rev_oil_hp" localSheetId="14">HM_ZD_AM3_2005!$L$170:$BS$170</definedName>
    <definedName name="CA_gross_rev_oil_hp" localSheetId="11">KLL_II_2020!$L$164:$BS$164</definedName>
    <definedName name="CA_gross_rev_oil_hp" localSheetId="12">Loango_II!$L$140:$BS$140</definedName>
    <definedName name="CA_gross_rev_oil_hp" localSheetId="13">Marine!$L$165:$BS$165</definedName>
    <definedName name="CA_gross_rev_oil_hp">Mwafi_PSC!$L$140:$BS$140</definedName>
    <definedName name="CA_gross_rev_oil_hp1" localSheetId="8">HM_ZA_Nkossa!$L$168:$BS$168</definedName>
    <definedName name="CA_gross_rev_oil_hp1" localSheetId="9">HM_ZB_Nsoko!$L$177:$BS$177</definedName>
    <definedName name="CA_gross_rev_oil_hp1" localSheetId="11">KLL_II_2020!$L$164:$BS$164</definedName>
    <definedName name="CA_gross_rev_oil_hp1">HM_ZD_Moho!$L$183:$BS$183</definedName>
    <definedName name="CA_gross_rev_oil_hp2" localSheetId="8">HM_ZA_Nkossa!$L$170:$BS$170</definedName>
    <definedName name="CA_gross_rev_oil_hp2" localSheetId="9">HM_ZB_Nsoko!$L$179:$BS$179</definedName>
    <definedName name="CA_gross_rev_oil_hp2" localSheetId="11">KLL_II_2020!$L$166:$BS$166</definedName>
    <definedName name="CA_gross_rev_oil_hp2">HM_ZD_Moho!$L$186:$BS$186</definedName>
    <definedName name="CA_gross_rev_total_fp" localSheetId="6">Haute_Mer_1994!$L$134:$BS$134</definedName>
    <definedName name="CA_gross_rev_total_fp" localSheetId="8">HM_ZA_Nkossa!$L$165:$BS$165</definedName>
    <definedName name="CA_gross_rev_total_fp" localSheetId="9">HM_ZB_Nsoko!$L$174:$BS$174</definedName>
    <definedName name="CA_gross_rev_total_fp" localSheetId="14">HM_ZD_AM3_2005!$L$167:$BS$167</definedName>
    <definedName name="CA_gross_rev_total_fp" localSheetId="10">HM_ZD_Moho!$L$180:$BS$180</definedName>
    <definedName name="CA_gross_rev_total_fp" localSheetId="11">KLL_II_2020!$L$161:$BS$161</definedName>
    <definedName name="CA_gross_rev_total_fp" localSheetId="12">Loango_II!$L$137:$BS$137</definedName>
    <definedName name="CA_gross_rev_total_fp" localSheetId="13">Marine!$L$162:$BS$162</definedName>
    <definedName name="CA_gross_rev_total_fp">Mwafi_PSC!$L$137:$BS$137</definedName>
    <definedName name="CA_gross_sales_gas" localSheetId="9">HM_ZB_Nsoko!$L$139:$BS$139</definedName>
    <definedName name="CA_gross_sales_gas" localSheetId="14">HM_ZD_AM3_2005!$L$136:$BS$136</definedName>
    <definedName name="CA_gross_sales_gas" localSheetId="10">HM_ZD_Moho!$L$144:$BS$144</definedName>
    <definedName name="CA_gross_sales_gas" localSheetId="11">KLL_II_2020!$L$125:$BS$125</definedName>
    <definedName name="CA_gross_sales_gas" localSheetId="13">Marine!$L$123:$BS$123</definedName>
    <definedName name="CA_gross_sales_gas">HM_ZA_Nkossa!$L$130:$BS$130</definedName>
    <definedName name="CA_gross_sales_lpg" localSheetId="9">HM_ZB_Nsoko!$L$138:$BS$138</definedName>
    <definedName name="CA_gross_sales_lpg" localSheetId="14">HM_ZD_AM3_2005!$L$135:$BS$135</definedName>
    <definedName name="CA_gross_sales_lpg" localSheetId="10">HM_ZD_Moho!$L$143:$BS$143</definedName>
    <definedName name="CA_gross_sales_lpg" localSheetId="11">KLL_II_2020!$L$124:$BS$124</definedName>
    <definedName name="CA_gross_sales_lpg" localSheetId="13">Marine!$L$122:$BS$122</definedName>
    <definedName name="CA_gross_sales_lpg">HM_ZA_Nkossa!$L$129:$BS$129</definedName>
    <definedName name="CA_gross_sales_oil" localSheetId="9">HM_ZB_Nsoko!$L$137:$BS$137</definedName>
    <definedName name="CA_gross_sales_oil" localSheetId="14">HM_ZD_AM3_2005!$L$134:$BS$134</definedName>
    <definedName name="CA_gross_sales_oil" localSheetId="10">HM_ZD_Moho!$L$142:$BS$142</definedName>
    <definedName name="CA_gross_sales_oil" localSheetId="11">KLL_II_2020!$L$123:$BS$123</definedName>
    <definedName name="CA_gross_sales_oil" localSheetId="13">Marine!$L$121:$BS$121</definedName>
    <definedName name="CA_gross_sales_oil">HM_ZA_Nkossa!$L$128:$BS$128</definedName>
    <definedName name="CA_gross_sales_Total" localSheetId="9">HM_ZB_Nsoko!$L$140:$BS$140</definedName>
    <definedName name="CA_gross_sales_Total" localSheetId="14">HM_ZD_AM3_2005!$L$137:$BS$137</definedName>
    <definedName name="CA_gross_sales_Total" localSheetId="10">HM_ZD_Moho!$L$145:$BS$145</definedName>
    <definedName name="CA_gross_sales_Total" localSheetId="11">KLL_II_2020!$L$126:$BS$126</definedName>
    <definedName name="CA_gross_sales_Total" localSheetId="13">Marine!$L$124:$BS$124</definedName>
    <definedName name="CA_gross_sales_Total">HM_ZA_Nkossa!$L$131:$BS$131</definedName>
    <definedName name="CA_HP_effective" localSheetId="9">HM_ZB_Nsoko!$L$167:$BS$167</definedName>
    <definedName name="CA_HP_effective" localSheetId="10">HM_ZD_Moho!$L$174:$BS$174</definedName>
    <definedName name="CA_HP_effective" localSheetId="11">KLL_II_2020!$L$154:$BS$154</definedName>
    <definedName name="CA_HP_effective" localSheetId="13">Marine!$L$154:$BS$154</definedName>
    <definedName name="CA_HP_effective">HM_ZA_Nkossa!$L$158:$BS$158</definedName>
    <definedName name="CA_HP_oil_nom" localSheetId="6">Haute_Mer_1994!$L$126:$BS$126</definedName>
    <definedName name="CA_HP_oil_nom" localSheetId="9">HM_ZB_Nsoko!$L$159:$BS$159</definedName>
    <definedName name="CA_HP_oil_nom" localSheetId="14">HM_ZD_AM3_2005!$L$156:$BS$156</definedName>
    <definedName name="CA_HP_oil_nom" localSheetId="11">KLL_II_2020!$L$146:$BS$146</definedName>
    <definedName name="CA_HP_oil_nom" localSheetId="12">Loango_II!$L$129:$BS$129</definedName>
    <definedName name="CA_HP_oil_nom" localSheetId="13">Marine!$L$150:$BS$150</definedName>
    <definedName name="CA_HP_oil_nom">Mwafi_PSC!$L$129:$BS$129</definedName>
    <definedName name="CA_HP_oil_nom_period1">HM_ZD_Moho!$L$164:$BS$164</definedName>
    <definedName name="CA_HP_oil_nom_period2">HM_ZD_Moho!$L$166:$BS$166</definedName>
    <definedName name="CA_HP1_oil_nom" localSheetId="9">HM_ZB_Nsoko!$L$159:$BS$159</definedName>
    <definedName name="CA_HP1_oil_nom" localSheetId="11">KLL_II_2020!$L$146:$BS$146</definedName>
    <definedName name="CA_HP1_oil_nom">HM_ZA_Nkossa!$L$150:$BS$150</definedName>
    <definedName name="CA_HP2_oil_nom" localSheetId="9">HM_ZB_Nsoko!$L$161:$BS$161</definedName>
    <definedName name="CA_HP2_oil_nom" localSheetId="11">KLL_II_2020!$L$148:$BS$148</definedName>
    <definedName name="CA_HP2_oil_nom">HM_ZA_Nkossa!$L$152:$BS$152</definedName>
    <definedName name="CA_infl_index_HP" localSheetId="10">HM_ZD_Moho!$L$170:$BS$170</definedName>
    <definedName name="CA_infl_index_HP" localSheetId="13">Marine!$L$152:$BS$152</definedName>
    <definedName name="CA_infl_index_HP">HM_ZD_AM3_2005!$L$160:$BS$160</definedName>
    <definedName name="CA_infl_index_HP_CS">HM_ZD_Moho!$L$172:$BS$172</definedName>
    <definedName name="CA_infl_index_HP1" localSheetId="9">HM_ZB_Nsoko!$L$163:$BS$163</definedName>
    <definedName name="CA_infl_index_HP1" localSheetId="11">KLL_II_2020!$L$150:$BS$150</definedName>
    <definedName name="CA_infl_index_HP1">HM_ZA_Nkossa!$L$154:$BS$154</definedName>
    <definedName name="CA_infl_index_HP2" localSheetId="11">KLL_II_2020!$L$152:$BS$152</definedName>
    <definedName name="CA_infl_index_HP2">HM_ZA_Nkossa!$L$156:$BS$156</definedName>
    <definedName name="CA_IOC_WI" localSheetId="6">Haute_Mer_1994!$L$285:$BS$285</definedName>
    <definedName name="CA_IOC_WI" localSheetId="8">HM_ZA_Nkossa!$L$334:$BS$334</definedName>
    <definedName name="CA_IOC_WI" localSheetId="9">HM_ZB_Nsoko!$L$345:$BS$345</definedName>
    <definedName name="CA_IOC_WI" localSheetId="14">HM_ZD_AM3_2005!$L$337:$BS$337</definedName>
    <definedName name="CA_IOC_WI" localSheetId="10">HM_ZD_Moho!$L$359:$BS$359</definedName>
    <definedName name="CA_IOC_WI" localSheetId="11">KLL_II_2020!$L$332:$BS$332</definedName>
    <definedName name="CA_IOC_WI" localSheetId="12">Loango_II!$L$294:$BS$294</definedName>
    <definedName name="CA_IOC_WI" localSheetId="13">Marine!$L$371:$BS$371</definedName>
    <definedName name="CA_IOC_WI">Mwafi_PSC!$L$294:$BS$294</definedName>
    <definedName name="CA_NOC_carried_costs" localSheetId="6">Haute_Mer_1994!$L$339:$BS$339</definedName>
    <definedName name="CA_NOC_carried_costs" localSheetId="8">HM_ZA_Nkossa!$L$388:$BS$388</definedName>
    <definedName name="CA_NOC_carried_costs" localSheetId="9">HM_ZB_Nsoko!$L$399:$BS$399</definedName>
    <definedName name="CA_NOC_carried_costs" localSheetId="14">HM_ZD_AM3_2005!$L$391:$BS$391</definedName>
    <definedName name="CA_NOC_carried_costs" localSheetId="10">HM_ZD_Moho!$L$413:$BS$413</definedName>
    <definedName name="CA_NOC_carried_costs" localSheetId="11">KLL_II_2020!$L$386:$BS$386</definedName>
    <definedName name="CA_NOC_carried_costs" localSheetId="12">Loango_II!$L$348:$BS$348</definedName>
    <definedName name="CA_NOC_carried_costs" localSheetId="13">Marine!$L$425:$BS$425</definedName>
    <definedName name="CA_NOC_carried_costs">Mwafi_PSC!$L$348:$BS$348</definedName>
    <definedName name="CA_NOC_carry_payback" localSheetId="6">Haute_Mer_1994!$L$340:$BS$340</definedName>
    <definedName name="CA_NOC_carry_payback" localSheetId="8">HM_ZA_Nkossa!$L$389:$BS$389</definedName>
    <definedName name="CA_NOC_carry_payback" localSheetId="9">HM_ZB_Nsoko!$L$400:$BS$400</definedName>
    <definedName name="CA_NOC_carry_payback" localSheetId="14">HM_ZD_AM3_2005!$L$392:$BS$392</definedName>
    <definedName name="CA_NOC_carry_payback" localSheetId="10">HM_ZD_Moho!$L$414:$BS$414</definedName>
    <definedName name="CA_NOC_carry_payback" localSheetId="11">KLL_II_2020!$L$387:$BS$387</definedName>
    <definedName name="CA_NOC_carry_payback" localSheetId="12">Loango_II!$L$349:$BS$349</definedName>
    <definedName name="CA_NOC_carry_payback" localSheetId="13">Marine!$L$426:$BS$426</definedName>
    <definedName name="CA_NOC_carry_payback">Mwafi_PSC!$L$349:$BS$349</definedName>
    <definedName name="CA_NOC_CI_devex" localSheetId="6">Haute_Mer_1994!$L$317:$BS$317</definedName>
    <definedName name="CA_NOC_CI_devex" localSheetId="8">HM_ZA_Nkossa!$L$366:$BS$366</definedName>
    <definedName name="CA_NOC_CI_devex" localSheetId="9">HM_ZB_Nsoko!$L$377:$BS$377</definedName>
    <definedName name="CA_NOC_CI_devex" localSheetId="14">HM_ZD_AM3_2005!$L$369:$BS$369</definedName>
    <definedName name="CA_NOC_CI_devex" localSheetId="10">HM_ZD_Moho!$L$391:$BS$391</definedName>
    <definedName name="CA_NOC_CI_devex" localSheetId="11">KLL_II_2020!$L$364:$BS$364</definedName>
    <definedName name="CA_NOC_CI_devex" localSheetId="12">Loango_II!$L$326:$BS$326</definedName>
    <definedName name="CA_NOC_CI_devex" localSheetId="13">Marine!$L$403:$BS$403</definedName>
    <definedName name="CA_NOC_CI_devex">Mwafi_PSC!$L$326:$BS$326</definedName>
    <definedName name="CA_NOC_CI_expex" localSheetId="6">Haute_Mer_1994!$L$316:$BS$316</definedName>
    <definedName name="CA_NOC_CI_expex" localSheetId="8">HM_ZA_Nkossa!$L$365:$BS$365</definedName>
    <definedName name="CA_NOC_CI_expex" localSheetId="9">HM_ZB_Nsoko!$L$376:$BS$376</definedName>
    <definedName name="CA_NOC_CI_expex" localSheetId="14">HM_ZD_AM3_2005!$L$368:$BS$368</definedName>
    <definedName name="CA_NOC_CI_expex" localSheetId="10">HM_ZD_Moho!$L$390:$BS$390</definedName>
    <definedName name="CA_NOC_CI_expex" localSheetId="11">KLL_II_2020!$L$363:$BS$363</definedName>
    <definedName name="CA_NOC_CI_expex" localSheetId="12">Loango_II!$L$325:$BS$325</definedName>
    <definedName name="CA_NOC_CI_expex" localSheetId="13">Marine!$L$402:$BS$402</definedName>
    <definedName name="CA_NOC_CI_expex">Mwafi_PSC!$L$325:$BS$325</definedName>
    <definedName name="CA_NOC_CI_opex" localSheetId="6">Haute_Mer_1994!$L$318:$BS$318</definedName>
    <definedName name="CA_NOC_CI_opex" localSheetId="8">HM_ZA_Nkossa!$L$367:$BS$367</definedName>
    <definedName name="CA_NOC_CI_opex" localSheetId="9">HM_ZB_Nsoko!$L$378:$BS$378</definedName>
    <definedName name="CA_NOC_CI_opex" localSheetId="14">HM_ZD_AM3_2005!$L$370:$BS$370</definedName>
    <definedName name="CA_NOC_CI_opex" localSheetId="10">HM_ZD_Moho!$L$392:$BS$392</definedName>
    <definedName name="CA_NOC_CI_opex" localSheetId="11">KLL_II_2020!$L$365:$BS$365</definedName>
    <definedName name="CA_NOC_CI_opex" localSheetId="12">Loango_II!$L$327:$BS$327</definedName>
    <definedName name="CA_NOC_CI_opex" localSheetId="13">Marine!$L$404:$BS$404</definedName>
    <definedName name="CA_NOC_CI_opex">Mwafi_PSC!$L$327:$BS$327</definedName>
    <definedName name="CA_NOC_WI" localSheetId="6">Haute_Mer_1994!$L$286:$BS$286</definedName>
    <definedName name="CA_NOC_WI" localSheetId="8">HM_ZA_Nkossa!$L$335:$BS$335</definedName>
    <definedName name="CA_NOC_WI" localSheetId="9">HM_ZB_Nsoko!$L$346:$BS$346</definedName>
    <definedName name="CA_NOC_WI" localSheetId="14">HM_ZD_AM3_2005!$L$338:$BS$338</definedName>
    <definedName name="CA_NOC_WI" localSheetId="10">HM_ZD_Moho!$L$360:$BS$360</definedName>
    <definedName name="CA_NOC_WI" localSheetId="11">KLL_II_2020!$L$333:$BS$333</definedName>
    <definedName name="CA_NOC_WI" localSheetId="12">Loango_II!$L$295:$BS$295</definedName>
    <definedName name="CA_NOC_WI" localSheetId="13">Marine!$L$372:$BS$372</definedName>
    <definedName name="CA_NOC_WI">Mwafi_PSC!$L$295:$BS$295</definedName>
    <definedName name="CA_op_trig" localSheetId="6">Haute_Mer_1994!$L$174:$BS$174</definedName>
    <definedName name="CA_op_trig" localSheetId="8">HM_ZA_Nkossa!$L$208:$BS$208</definedName>
    <definedName name="CA_op_trig" localSheetId="9">HM_ZB_Nsoko!$L$217:$BS$217</definedName>
    <definedName name="CA_op_trig" localSheetId="14">HM_ZD_AM3_2005!$L$207:$BS$207</definedName>
    <definedName name="CA_op_trig" localSheetId="10">HM_ZD_Moho!$L$224:$BS$224</definedName>
    <definedName name="CA_op_trig" localSheetId="11">KLL_II_2020!$L$204:$BS$204</definedName>
    <definedName name="CA_op_trig" localSheetId="12">Loango_II!$L$177:$BS$177</definedName>
    <definedName name="CA_op_trig" localSheetId="13">Marine!$L$201:$BS$201</definedName>
    <definedName name="CA_op_trig">Mwafi_PSC!$L$177:$BS$177</definedName>
    <definedName name="CA_opex_to_recover" localSheetId="6">Haute_Mer_1994!$L$187:$BS$187</definedName>
    <definedName name="CA_opex_to_recover" localSheetId="8">HM_ZA_Nkossa!$L$223:$BS$223</definedName>
    <definedName name="CA_opex_to_recover" localSheetId="9">HM_ZB_Nsoko!$L$232:$BS$232</definedName>
    <definedName name="CA_opex_to_recover" localSheetId="14">HM_ZD_AM3_2005!$L$220:$BS$220</definedName>
    <definedName name="CA_opex_to_recover" localSheetId="10">HM_ZD_Moho!$L$239:$BS$239</definedName>
    <definedName name="CA_opex_to_recover" localSheetId="11">KLL_II_2020!$L$219:$BS$219</definedName>
    <definedName name="CA_opex_to_recover" localSheetId="12">Loango_II!$L$190:$BS$190</definedName>
    <definedName name="CA_opex_to_recover" localSheetId="13">Marine!$L$217:$BS$217</definedName>
    <definedName name="CA_opex_to_recover">Mwafi_PSC!$L$190:$BS$190</definedName>
    <definedName name="CA_opex_total_nom" localSheetId="6">Haute_Mer_1994!$L$157:$BS$157</definedName>
    <definedName name="CA_opex_total_nom" localSheetId="8">HM_ZA_Nkossa!$L$191:$BS$191</definedName>
    <definedName name="CA_opex_total_nom" localSheetId="9">HM_ZB_Nsoko!$L$200:$BS$200</definedName>
    <definedName name="CA_opex_total_nom" localSheetId="14">HM_ZD_AM3_2005!$L$190:$BS$190</definedName>
    <definedName name="CA_opex_total_nom" localSheetId="10">HM_ZD_Moho!$L$207:$BS$207</definedName>
    <definedName name="CA_opex_total_nom" localSheetId="11">KLL_II_2020!$L$187:$BS$187</definedName>
    <definedName name="CA_opex_total_nom" localSheetId="12">Loango_II!$L$160:$BS$160</definedName>
    <definedName name="CA_opex_total_nom" localSheetId="13">Marine!$L$184:$BS$184</definedName>
    <definedName name="CA_opex_total_nom">Mwafi_PSC!$L$160:$BS$160</definedName>
    <definedName name="CA_period_trig">HM_ZD_Moho!$L$226:$BS$226</definedName>
    <definedName name="CA_pid_fees" localSheetId="6">Haute_Mer_1994!$L$177:$BS$177</definedName>
    <definedName name="CA_pid_fees" localSheetId="8">HM_ZA_Nkossa!$L$213:$BS$213</definedName>
    <definedName name="CA_pid_fees" localSheetId="9">HM_ZB_Nsoko!$L$222:$BS$222</definedName>
    <definedName name="CA_pid_fees" localSheetId="14">HM_ZD_AM3_2005!$L$210:$BS$210</definedName>
    <definedName name="CA_pid_fees" localSheetId="10">HM_ZD_Moho!$L$229:$BS$229</definedName>
    <definedName name="CA_pid_fees" localSheetId="11">KLL_II_2020!$L$209:$BS$209</definedName>
    <definedName name="CA_pid_fees" localSheetId="12">Loango_II!$L$180:$BS$180</definedName>
    <definedName name="CA_pid_fees" localSheetId="13">Marine!$L$206:$BS$206</definedName>
    <definedName name="CA_pid_fees">Mwafi_PSC!$L$180:$BS$180</definedName>
    <definedName name="CA_pid_to_recover" localSheetId="6">Haute_Mer_1994!$L$188:$BS$188</definedName>
    <definedName name="CA_pid_to_recover" localSheetId="8">HM_ZA_Nkossa!$L$224:$BS$224</definedName>
    <definedName name="CA_pid_to_recover" localSheetId="9">HM_ZB_Nsoko!$L$233:$BS$233</definedName>
    <definedName name="CA_pid_to_recover" localSheetId="14">HM_ZD_AM3_2005!$L$221:$BS$221</definedName>
    <definedName name="CA_pid_to_recover" localSheetId="10">HM_ZD_Moho!$L$240:$BS$240</definedName>
    <definedName name="CA_pid_to_recover" localSheetId="11">KLL_II_2020!$L$220:$BS$220</definedName>
    <definedName name="CA_pid_to_recover" localSheetId="12">Loango_II!$L$191:$BS$191</definedName>
    <definedName name="CA_pid_to_recover" localSheetId="13">Marine!$L$218:$BS$218</definedName>
    <definedName name="CA_pid_to_recover">Mwafi_PSC!$L$191:$BS$191</definedName>
    <definedName name="CA_PS_cont" localSheetId="6">Haute_Mer_1994!$L$259:$BS$259</definedName>
    <definedName name="CA_PS_cont" localSheetId="8">HM_ZA_Nkossa!$L$308:$BS$308</definedName>
    <definedName name="CA_PS_cont" localSheetId="9">HM_ZB_Nsoko!$L$319:$BS$319</definedName>
    <definedName name="CA_PS_cont" localSheetId="14">HM_ZD_AM3_2005!$L$311:$BS$311</definedName>
    <definedName name="CA_PS_cont" localSheetId="10">HM_ZD_Moho!$L$333:$BS$333</definedName>
    <definedName name="CA_PS_cont" localSheetId="11">KLL_II_2020!$L$306:$BS$306</definedName>
    <definedName name="CA_PS_cont" localSheetId="12">Loango_II!$L$268:$BS$268</definedName>
    <definedName name="CA_PS_cont" localSheetId="13">Marine!$L$345:$BS$345</definedName>
    <definedName name="CA_PS_cont">Mwafi_PSC!$L$268:$BS$268</definedName>
    <definedName name="CA_PS_gov" localSheetId="6">Haute_Mer_1994!$L$260:$BS$260</definedName>
    <definedName name="CA_PS_gov" localSheetId="8">HM_ZA_Nkossa!$L$309:$BS$309</definedName>
    <definedName name="CA_PS_gov" localSheetId="9">HM_ZB_Nsoko!$L$320:$BS$320</definedName>
    <definedName name="CA_PS_gov" localSheetId="14">HM_ZD_AM3_2005!$L$312:$BS$312</definedName>
    <definedName name="CA_PS_gov" localSheetId="10">HM_ZD_Moho!$L$334:$BS$334</definedName>
    <definedName name="CA_PS_gov" localSheetId="11">KLL_II_2020!$L$307:$BS$307</definedName>
    <definedName name="CA_PS_gov" localSheetId="12">Loango_II!$L$269:$BS$269</definedName>
    <definedName name="CA_PS_gov" localSheetId="13">Marine!$L$346:$BS$346</definedName>
    <definedName name="CA_PS_gov">Mwafi_PSC!$L$269:$BS$269</definedName>
    <definedName name="CA_PSC_period_trig">Marine!$L$203:$BS$203</definedName>
    <definedName name="CA_PSC_switch_trig" localSheetId="9">HM_ZB_Nsoko!$L$219:$BS$219</definedName>
    <definedName name="CA_PSC_switch_trig" localSheetId="11">KLL_II_2020!$L$206:$BS$206</definedName>
    <definedName name="CA_PSC_switch_trig">HM_ZA_Nkossa!$L$210:$BS$210</definedName>
    <definedName name="CA_rev_domestic_gas_perc">Marine!$L$172:$BS$172</definedName>
    <definedName name="CA_rev_for_SPO" localSheetId="6">Haute_Mer_1994!$L$239:$BS$239</definedName>
    <definedName name="CA_rev_for_SPO" localSheetId="8">HM_ZA_Nkossa!$L$288:$BS$288</definedName>
    <definedName name="CA_rev_for_SPO" localSheetId="9">HM_ZB_Nsoko!$L$299:$BS$299</definedName>
    <definedName name="CA_rev_for_SPO" localSheetId="14">HM_ZD_AM3_2005!$L$289:$BS$289</definedName>
    <definedName name="CA_rev_for_SPO" localSheetId="10">HM_ZD_Moho!$L$311:$BS$311</definedName>
    <definedName name="CA_rev_for_SPO" localSheetId="11">KLL_II_2020!$L$286:$BS$286</definedName>
    <definedName name="CA_rev_for_SPO" localSheetId="12">Loango_II!$L$248:$BS$248</definedName>
    <definedName name="CA_rev_for_SPO" localSheetId="13">Marine!$L$319:$BS$319</definedName>
    <definedName name="CA_rev_for_SPO">Mwafi_PSC!$L$248:$BS$248</definedName>
    <definedName name="CA_rev_gas_perc" localSheetId="6">Haute_Mer_1994!$L$144:$BS$144</definedName>
    <definedName name="CA_rev_gas_perc" localSheetId="8">HM_ZA_Nkossa!$L$178:$BS$178</definedName>
    <definedName name="CA_rev_gas_perc" localSheetId="9">HM_ZB_Nsoko!$L$187:$BS$187</definedName>
    <definedName name="CA_rev_gas_perc" localSheetId="14">HM_ZD_AM3_2005!$L$177:$BS$177</definedName>
    <definedName name="CA_rev_gas_perc" localSheetId="10">HM_ZD_Moho!$L$194:$BS$194</definedName>
    <definedName name="CA_rev_gas_perc" localSheetId="11">KLL_II_2020!$L$174:$BS$174</definedName>
    <definedName name="CA_rev_gas_perc" localSheetId="12">Loango_II!$L$147:$BS$147</definedName>
    <definedName name="CA_rev_gas_perc" localSheetId="13">Marine!$L$171:$BS$171</definedName>
    <definedName name="CA_rev_gas_perc">Mwafi_PSC!$L$147:$BS$147</definedName>
    <definedName name="CA_rev_oil_perc" localSheetId="6">Haute_Mer_1994!$L$143:$BS$143</definedName>
    <definedName name="CA_rev_oil_perc" localSheetId="8">HM_ZA_Nkossa!$L$177:$BS$177</definedName>
    <definedName name="CA_rev_oil_perc" localSheetId="9">HM_ZB_Nsoko!$L$186:$BS$186</definedName>
    <definedName name="CA_rev_oil_perc" localSheetId="14">HM_ZD_AM3_2005!$L$176:$BS$176</definedName>
    <definedName name="CA_rev_oil_perc" localSheetId="10">HM_ZD_Moho!$L$193:$BS$193</definedName>
    <definedName name="CA_rev_oil_perc" localSheetId="11">KLL_II_2020!$L$173:$BS$173</definedName>
    <definedName name="CA_rev_oil_perc" localSheetId="12">Loango_II!$L$146:$BS$146</definedName>
    <definedName name="CA_rev_oil_perc" localSheetId="13">Marine!$L$170:$BS$170</definedName>
    <definedName name="CA_rev_oil_perc">Mwafi_PSC!$L$146:$BS$146</definedName>
    <definedName name="CA_roy_domestic_gas_fp">Marine!$L$211:$BS$211</definedName>
    <definedName name="CA_roy_gas_fp" localSheetId="6">Haute_Mer_1994!$L$181:$BS$181</definedName>
    <definedName name="CA_roy_gas_fp" localSheetId="8">HM_ZA_Nkossa!$L$217:$BS$217</definedName>
    <definedName name="CA_roy_gas_fp" localSheetId="9">HM_ZB_Nsoko!$L$226:$BS$226</definedName>
    <definedName name="CA_roy_gas_fp" localSheetId="14">HM_ZD_AM3_2005!$L$214:$BS$214</definedName>
    <definedName name="CA_roy_gas_fp" localSheetId="10">HM_ZD_Moho!$L$233:$BS$233</definedName>
    <definedName name="CA_roy_gas_fp" localSheetId="11">KLL_II_2020!$L$213:$BS$213</definedName>
    <definedName name="CA_roy_gas_fp" localSheetId="12">Loango_II!$L$184:$BS$184</definedName>
    <definedName name="CA_roy_gas_fp" localSheetId="13">Marine!$L$210:$BS$210</definedName>
    <definedName name="CA_roy_gas_fp">Mwafi_PSC!$L$184:$BS$184</definedName>
    <definedName name="CA_roy_oil_fp" localSheetId="6">Haute_Mer_1994!$L$180:$BS$180</definedName>
    <definedName name="CA_roy_oil_fp" localSheetId="8">HM_ZA_Nkossa!$L$216:$BS$216</definedName>
    <definedName name="CA_roy_oil_fp" localSheetId="9">HM_ZB_Nsoko!$L$225:$BS$225</definedName>
    <definedName name="CA_roy_oil_fp" localSheetId="14">HM_ZD_AM3_2005!$L$213:$BS$213</definedName>
    <definedName name="CA_roy_oil_fp" localSheetId="10">HM_ZD_Moho!$L$232:$BS$232</definedName>
    <definedName name="CA_roy_oil_fp" localSheetId="11">KLL_II_2020!$L$212:$BS$212</definedName>
    <definedName name="CA_roy_oil_fp" localSheetId="12">Loango_II!$L$183:$BS$183</definedName>
    <definedName name="CA_roy_oil_fp" localSheetId="13">Marine!$L$209:$BS$209</definedName>
    <definedName name="CA_roy_oil_fp">Mwafi_PSC!$L$183:$BS$183</definedName>
    <definedName name="CA_roy_total_fp" localSheetId="6">Haute_Mer_1994!$L$182:$BS$182</definedName>
    <definedName name="CA_roy_total_fp" localSheetId="8">HM_ZA_Nkossa!$L$218:$BS$218</definedName>
    <definedName name="CA_roy_total_fp" localSheetId="9">HM_ZB_Nsoko!$L$227:$BS$227</definedName>
    <definedName name="CA_roy_total_fp" localSheetId="14">HM_ZD_AM3_2005!$L$215:$BS$215</definedName>
    <definedName name="CA_roy_total_fp" localSheetId="10">HM_ZD_Moho!$L$234:$BS$234</definedName>
    <definedName name="CA_roy_total_fp" localSheetId="11">KLL_II_2020!$L$214:$BS$214</definedName>
    <definedName name="CA_roy_total_fp" localSheetId="12">Loango_II!$L$185:$BS$185</definedName>
    <definedName name="CA_roy_total_fp" localSheetId="13">Marine!$L$212:$BS$212</definedName>
    <definedName name="CA_roy_total_fp">Mwafi_PSC!$L$185:$BS$185</definedName>
    <definedName name="CA_SPO_cont" localSheetId="6">Haute_Mer_1994!$L$241:$BS$241</definedName>
    <definedName name="CA_SPO_cont" localSheetId="8">HM_ZA_Nkossa!$L$290:$BS$290</definedName>
    <definedName name="CA_SPO_cont" localSheetId="9">HM_ZB_Nsoko!$L$301:$BS$301</definedName>
    <definedName name="CA_SPO_cont" localSheetId="14">HM_ZD_AM3_2005!$L$293:$BS$293</definedName>
    <definedName name="CA_SPO_cont" localSheetId="10">HM_ZD_Moho!$L$315:$BS$315</definedName>
    <definedName name="CA_SPO_cont" localSheetId="11">KLL_II_2020!$L$288:$BS$288</definedName>
    <definedName name="CA_SPO_cont" localSheetId="12">Loango_II!$L$250:$BS$250</definedName>
    <definedName name="CA_SPO_cont" localSheetId="13">Marine!$L$321:$BS$321</definedName>
    <definedName name="CA_SPO_cont">Mwafi_PSC!$L$250:$BS$250</definedName>
    <definedName name="CA_Spo_gov" localSheetId="6">Haute_Mer_1994!$L$242:$BS$242</definedName>
    <definedName name="CA_Spo_gov" localSheetId="8">HM_ZA_Nkossa!$L$291:$BS$291</definedName>
    <definedName name="CA_Spo_gov" localSheetId="9">HM_ZB_Nsoko!$L$302:$BS$302</definedName>
    <definedName name="CA_Spo_gov" localSheetId="14">HM_ZD_AM3_2005!$L$294:$BS$294</definedName>
    <definedName name="CA_Spo_gov" localSheetId="10">HM_ZD_Moho!$L$316:$BS$316</definedName>
    <definedName name="CA_Spo_gov" localSheetId="11">KLL_II_2020!$L$289:$BS$289</definedName>
    <definedName name="CA_Spo_gov" localSheetId="12">Loango_II!$L$251:$BS$251</definedName>
    <definedName name="CA_Spo_gov" localSheetId="13">Marine!$L$322:$BS$322</definedName>
    <definedName name="CA_Spo_gov">Mwafi_PSC!$L$251:$BS$251</definedName>
    <definedName name="CA_SPO_trig" localSheetId="6">Haute_Mer_1994!$L$231:$BS$231</definedName>
    <definedName name="CA_SPO_trig" localSheetId="9">HM_ZB_Nsoko!$L$291:$BS$291</definedName>
    <definedName name="CA_SPO_trig" localSheetId="11">KLL_II_2020!$L$278:$BS$278</definedName>
    <definedName name="CA_SPO_trig" localSheetId="12">Loango_II!$L$240:$BS$240</definedName>
    <definedName name="CA_SPO_trig" localSheetId="13">Marine!$L$311:$BS$311</definedName>
    <definedName name="CA_SPO_trig">Mwafi_PSC!$L$240:$BS$240</definedName>
    <definedName name="CA_unrecov_costs_to_recover" localSheetId="9">HM_ZB_Nsoko!$L$237:$BS$237</definedName>
    <definedName name="CA_unrecov_costs_to_recover" localSheetId="14">HM_ZD_AM3_2005!$L$225:$BS$225</definedName>
    <definedName name="CA_unrecov_costs_to_recover" localSheetId="10">HM_ZD_Moho!$L$244:$BS$244</definedName>
    <definedName name="CA_unrecov_costs_to_recover" localSheetId="11">KLL_II_2020!$L$224:$BS$224</definedName>
    <definedName name="CA_unrecov_costs_to_recover" localSheetId="13">Marine!$L$222:$BS$222</definedName>
    <definedName name="CA_unrecov_costs_to_recover">HM_ZA_Nkossa!$L$228:$BS$228</definedName>
    <definedName name="CA_varopex_nom" localSheetId="6">Haute_Mer_1994!$L$151:$BS$151</definedName>
    <definedName name="CA_varopex_nom" localSheetId="8">HM_ZA_Nkossa!$L$185:$BS$185</definedName>
    <definedName name="CA_varopex_nom" localSheetId="9">HM_ZB_Nsoko!$L$194:$BS$194</definedName>
    <definedName name="CA_varopex_nom" localSheetId="14">HM_ZD_AM3_2005!$L$184:$BS$184</definedName>
    <definedName name="CA_varopex_nom" localSheetId="10">HM_ZD_Moho!$L$201:$BS$201</definedName>
    <definedName name="CA_varopex_nom" localSheetId="11">KLL_II_2020!$L$181:$BS$181</definedName>
    <definedName name="CA_varopex_nom" localSheetId="12">Loango_II!$L$154:$BS$154</definedName>
    <definedName name="CA_varopex_nom" localSheetId="13">Marine!$L$178:$BS$178</definedName>
    <definedName name="CA_varopex_nom">Mwafi_PSC!$L$154:$BS$154</definedName>
    <definedName name="conv_BbltoMcf">'Données d''entrées'!$G$37</definedName>
    <definedName name="conv_CMtoBbls">'Données d''entrées'!$G$39</definedName>
    <definedName name="conv_CMtoCF">'Données d''entrées'!$G$40</definedName>
    <definedName name="conv_TonLNGtoMcf">'Données d''entrées'!$G$41</definedName>
    <definedName name="conv_TontoBbls">'Données d''entrées'!$G$38</definedName>
    <definedName name="cost_stop_p1" localSheetId="8">HM_ZA_Nkossa!$F$27</definedName>
    <definedName name="cost_stop_p1">Haute_Mer_1994!$F$26</definedName>
    <definedName name="cost_stop_p2" localSheetId="8">HM_ZA_Nkossa!$F$28</definedName>
    <definedName name="cost_stop_p2">Haute_Mer_1994!$F$27</definedName>
    <definedName name="cost_stop_perbbl1" localSheetId="8">HM_ZA_Nkossa!$G$27</definedName>
    <definedName name="cost_stop_perbbl1">Haute_Mer_1994!$G$26</definedName>
    <definedName name="cost_stop_perbbl2" localSheetId="8">HM_ZA_Nkossa!$G$28</definedName>
    <definedName name="cost_stop_perbbl2">Haute_Mer_1994!$G$27</definedName>
    <definedName name="cost_stop_perc" localSheetId="8">HM_ZA_Nkossa!$G$29</definedName>
    <definedName name="cost_stop_perc" localSheetId="9">HM_ZB_Nsoko!$G$28</definedName>
    <definedName name="cost_stop_perc" localSheetId="11">KLL_II_2020!$G$27</definedName>
    <definedName name="cost_stop_perc">Haute_Mer_1994!$G$28</definedName>
    <definedName name="cost_stop_perc_Nkossa2017">HM_ZA_Nkossa!$G$31</definedName>
    <definedName name="costescBase_year">'Données d''entrées'!$G$21</definedName>
    <definedName name="CR_date">KLL_II_2020!$F$27</definedName>
    <definedName name="CS_HP_infl_baseyear">HM_ZD_Moho!$G$33</definedName>
    <definedName name="Current_year">'Données d''entrées'!$G$18</definedName>
    <definedName name="date_offset_AM_3_2005">HM_ZD_AM3_2005!$G$11</definedName>
    <definedName name="date_offset_AM_4_AM_6">HM_ZD_Moho!$G$11</definedName>
    <definedName name="date_offset_HM1994" localSheetId="8">HM_ZA_Nkossa!$G$12</definedName>
    <definedName name="date_offset_HM1994">Haute_Mer_1994!$G$11</definedName>
    <definedName name="date_offset_KLL2020">KLL_II_2020!$G$12</definedName>
    <definedName name="date_offset_Loango">Loango_II!$G$11</definedName>
    <definedName name="date_offset_Marine">Marine!$G$11</definedName>
    <definedName name="date_offset_Mwafi">Mwafi_PSC!$G$11</definedName>
    <definedName name="date_offset_Nsoko1999">HM_ZB_Nsoko!$G$12</definedName>
    <definedName name="db_decom_switch" localSheetId="2">'Tableau de bord Prévisions'!$F$17</definedName>
    <definedName name="db_decom_switch">'Tableau de bord Backcasting'!$F$15</definedName>
    <definedName name="db_ML_selected">'Tableau de bord Backcasting'!$G$17</definedName>
    <definedName name="db_psc_number" localSheetId="2">'Tableau de bord Prévisions'!$F$16</definedName>
    <definedName name="db_psc_number">'Tableau de bord Backcasting'!$F$14</definedName>
    <definedName name="db_psc_selector" localSheetId="2">'Tableau de bord Prévisions'!$F$13</definedName>
    <definedName name="db_psc_selector">'Tableau de bord Backcasting'!$F$12</definedName>
    <definedName name="db_total_reserves" localSheetId="2">'Tableau de bord Prévisions'!$F$18</definedName>
    <definedName name="db_total_reserves">'Tableau de bord Backcasting'!$F$16</definedName>
    <definedName name="decom_toggle">'Données d''entrées'!$G$210</definedName>
    <definedName name="df_capex_sens">'Tableau de bord Prévisions'!$G$22</definedName>
    <definedName name="df_custom_price">'Tableau de bord Prévisions'!$G$13</definedName>
    <definedName name="df_decom_switch">'Tableau de bord Prévisions'!$G$8</definedName>
    <definedName name="df_esc_perc">'Tableau de bord Prévisions'!$G$26</definedName>
    <definedName name="df_forecast_years">'Tableau de bord Prévisions'!$G$10</definedName>
    <definedName name="df_infl_perc">'Tableau de bord Prévisions'!$G$25</definedName>
    <definedName name="df_LPG_dscount">'Tableau de bord Prévisions'!$G$14</definedName>
    <definedName name="df_marine_upside">'Tableau de bord Prévisions'!$G$18</definedName>
    <definedName name="df_opex_sens">'Tableau de bord Prévisions'!$G$21</definedName>
    <definedName name="df_price_selector">'Tableau de bord Prévisions'!$G$12</definedName>
    <definedName name="df_prod_decline_rate">'Tableau de bord Prévisions'!$G$17</definedName>
    <definedName name="df_psc_number">'Tableau de bord Prévisions'!$G$7</definedName>
    <definedName name="df_psc_selector">'Tableau de bord Prévisions'!$G$5</definedName>
    <definedName name="df_total_reserves">'Tableau de bord Prévisions'!$G$9</definedName>
    <definedName name="ECR_cont_rate" localSheetId="11">KLL_II_2020!$G$42</definedName>
    <definedName name="ECR_cont_rate">Haute_Mer_1994!$G$37</definedName>
    <definedName name="ECR_cont_rate_Nsoko2019">HM_ZB_Nsoko!$H$48</definedName>
    <definedName name="ECR_Dev_cost_perc" localSheetId="9">HM_ZB_Nsoko!$F$46</definedName>
    <definedName name="ECR_Dev_cost_perc">HM_ZD_AM3_2005!$F$47</definedName>
    <definedName name="ECR_govt_rate" localSheetId="11">KLL_II_2020!$F$42</definedName>
    <definedName name="ECR_govt_rate">Haute_Mer_1994!$F$37</definedName>
    <definedName name="ECR_govt_rate_Nsoko2019">HM_ZB_Nsoko!$G$48</definedName>
    <definedName name="effective_date_AM_3_2005">HM_ZD_AM3_2005!$G$10</definedName>
    <definedName name="effective_date_AM_4_AM_6">HM_ZD_Moho!$G$10</definedName>
    <definedName name="effective_date_HM1994" localSheetId="8">HM_ZA_Nkossa!$G$10</definedName>
    <definedName name="effective_date_HM1994">Haute_Mer_1994!$G$10</definedName>
    <definedName name="effective_date_KLL2020">KLL_II_2020!$G$10</definedName>
    <definedName name="effective_date_Loango">Loango_II!$G$10</definedName>
    <definedName name="effective_date_Marine">Marine!$G$10</definedName>
    <definedName name="effective_date_Mwafi">Mwafi_PSC!$G$10</definedName>
    <definedName name="effective_date_Nkossa2017">HM_ZA_Nkossa!$G$11</definedName>
    <definedName name="effective_date_Nsoko1999">HM_ZB_Nsoko!$G$10</definedName>
    <definedName name="effective_date_Nsoko2019">HM_ZB_Nsoko!$G$11</definedName>
    <definedName name="effective_date_PNGF2010">KLL_II_2020!$G$11</definedName>
    <definedName name="FA_cost_stop_perc_gas">Marine!$H$26:$H$27</definedName>
    <definedName name="FA_cost_stop_perc_oil">Marine!$G$26:$G$27</definedName>
    <definedName name="FA_coststop_perc" localSheetId="12">Loango_II!$G$26:$G$27</definedName>
    <definedName name="FA_coststop_perc">Mwafi_PSC!$G$26:$G$27</definedName>
    <definedName name="FA_CR_date" localSheetId="12">Loango_II!$F$26:$F$27</definedName>
    <definedName name="FA_CR_date">Mwafi_PSC!$F$26:$F$27</definedName>
    <definedName name="FA_CS_cumprod_gas" localSheetId="10">HM_ZD_Moho!$G$27:$G$29</definedName>
    <definedName name="FA_CS_cumprod_gas">HM_ZD_AM3_2005!$G$27:$G$29</definedName>
    <definedName name="FA_CS_cumprod_oil" localSheetId="10">HM_ZD_Moho!$F$27:$F$29</definedName>
    <definedName name="FA_CS_cumprod_oil">HM_ZD_AM3_2005!$F$27:$F$29</definedName>
    <definedName name="FA_CS_HP" localSheetId="10">HM_ZD_Moho!$I$27:$I$29</definedName>
    <definedName name="FA_CS_HP">HM_ZD_AM3_2005!$I$27:$I$29</definedName>
    <definedName name="FA_CS_rate" localSheetId="10">HM_ZD_Moho!$H$27:$H$29</definedName>
    <definedName name="FA_CS_rate">HM_ZD_AM3_2005!$H$27:$H$29</definedName>
    <definedName name="FA_ECR_cont_rate" localSheetId="8">HM_ZA_Nkossa!$H$44:$H$45</definedName>
    <definedName name="FA_ECR_cont_rate" localSheetId="9">HM_ZB_Nsoko!$H$41:$H$43</definedName>
    <definedName name="FA_ECR_cont_rate" localSheetId="14">HM_ZD_AM3_2005!$I$42:$I$44</definedName>
    <definedName name="FA_ECR_cont_rate" localSheetId="10">HM_ZD_Moho!$I$48:$I$50</definedName>
    <definedName name="FA_ECR_cont_rate" localSheetId="12">Loango_II!$I$40:$I$41</definedName>
    <definedName name="FA_ECR_cont_rate" localSheetId="13">Marine!$G$36:$G$37</definedName>
    <definedName name="FA_ECR_cont_rate">Mwafi_PSC!$I$40:$I$41</definedName>
    <definedName name="FA_ECR_cumprod_gas" localSheetId="14">HM_ZD_AM3_2005!$G$42:$G$44</definedName>
    <definedName name="FA_ECR_cumprod_gas" localSheetId="10">HM_ZD_Moho!$G$48:$G$50</definedName>
    <definedName name="FA_ECR_cumprod_gas" localSheetId="12">Loango_II!$G$40:$G$41</definedName>
    <definedName name="FA_ECR_cumprod_gas">Mwafi_PSC!$G$40:$G$41</definedName>
    <definedName name="FA_ECR_cumprod_oil" localSheetId="14">HM_ZD_AM3_2005!$F$42:$F$44</definedName>
    <definedName name="FA_ECR_cumprod_oil" localSheetId="10">HM_ZD_Moho!$F$48:$F$50</definedName>
    <definedName name="FA_ECR_cumprod_oil" localSheetId="12">Loango_II!$F$40:$F$41</definedName>
    <definedName name="FA_ECR_cumprod_oil">Mwafi_PSC!$F$40:$F$41</definedName>
    <definedName name="FA_ECR_govt_rate" localSheetId="8">HM_ZA_Nkossa!$G$44:$G$45</definedName>
    <definedName name="FA_ECR_govt_rate" localSheetId="9">HM_ZB_Nsoko!$G$41:$G$43</definedName>
    <definedName name="FA_ECR_govt_rate" localSheetId="14">HM_ZD_AM3_2005!$H$42:$H$44</definedName>
    <definedName name="FA_ECR_govt_rate" localSheetId="10">HM_ZD_Moho!$H$48:$H$50</definedName>
    <definedName name="FA_ECR_govt_rate" localSheetId="12">Loango_II!$H$40:$H$41</definedName>
    <definedName name="FA_ECR_govt_rate" localSheetId="13">Marine!$F$36:$F$37</definedName>
    <definedName name="FA_ECR_govt_rate">Mwafi_PSC!$H$40:$H$41</definedName>
    <definedName name="FA_ECR_reserves">HM_ZB_Nsoko!$F$41:$F$43</definedName>
    <definedName name="FA_HP" localSheetId="8">HM_ZA_Nkossa!$G$66:$G$67</definedName>
    <definedName name="FA_HP" localSheetId="9">HM_ZB_Nsoko!$G$75:$G$76</definedName>
    <definedName name="FA_HP" localSheetId="11">KLL_II_2020!$G$61:$G$62</definedName>
    <definedName name="FA_HP" localSheetId="12">Loango_II!$G$60:$G$61</definedName>
    <definedName name="FA_HP">Mwafi_PSC!$G$60:$G$61</definedName>
    <definedName name="FA_HP_date" localSheetId="8">HM_ZA_Nkossa!$F$66:$F$67</definedName>
    <definedName name="FA_HP_date" localSheetId="9">HM_ZB_Nsoko!$F$75:$F$76</definedName>
    <definedName name="FA_HP_date" localSheetId="11">KLL_II_2020!$F$61:$F$62</definedName>
    <definedName name="FA_HP_date" localSheetId="12">Loango_II!$F$60:$F$61</definedName>
    <definedName name="FA_HP_date">Mwafi_PSC!$F$60:$F$61</definedName>
    <definedName name="FA_PS_cont_rate" localSheetId="9">HM_ZB_Nsoko!$I$64:$I$67</definedName>
    <definedName name="FA_PS_cont_rate" localSheetId="14">HM_ZD_AM3_2005!$I$63:$I$66</definedName>
    <definedName name="FA_PS_cont_rate" localSheetId="10">HM_ZD_Moho!$I$66:$I$68</definedName>
    <definedName name="FA_PS_cont_rate" localSheetId="11">KLL_II_2020!$H$55:$H$56</definedName>
    <definedName name="FA_PS_cont_rate" localSheetId="12">Loango_II!$I$54:$I$55</definedName>
    <definedName name="FA_PS_cont_rate" localSheetId="13">Marine!$H$50:$H$52</definedName>
    <definedName name="FA_PS_cont_rate">Mwafi_PSC!$I$54:$I$55</definedName>
    <definedName name="FA_PS_cont_rate2">HM_ZD_Moho!$I$72</definedName>
    <definedName name="FA_PS_cumprod_gas" localSheetId="9">HM_ZB_Nsoko!$G$64:$G$67</definedName>
    <definedName name="FA_PS_cumprod_gas" localSheetId="14">HM_ZD_AM3_2005!$G$63:$G$66</definedName>
    <definedName name="FA_PS_cumprod_gas" localSheetId="10">HM_ZD_Moho!$G$66:$G$68</definedName>
    <definedName name="FA_PS_cumprod_gas" localSheetId="12">Loango_II!$G$54:$G$55</definedName>
    <definedName name="FA_PS_cumprod_gas">Mwafi_PSC!$G$54:$G$55</definedName>
    <definedName name="FA_PS_cumprod_oil" localSheetId="9">HM_ZB_Nsoko!$F$64:$F$67</definedName>
    <definedName name="FA_PS_cumprod_oil" localSheetId="14">HM_ZD_AM3_2005!$F$63:$F$66</definedName>
    <definedName name="FA_PS_cumprod_oil" localSheetId="10">HM_ZD_Moho!$F$66:$F$68</definedName>
    <definedName name="FA_PS_cumprod_oil" localSheetId="12">Loango_II!$F$54:$F$55</definedName>
    <definedName name="FA_PS_cumprod_oil" localSheetId="13">Marine!$F$50:$F$52</definedName>
    <definedName name="FA_PS_cumprod_oil">Mwafi_PSC!$F$54:$F$55</definedName>
    <definedName name="FA_PS_govt_rate" localSheetId="9">HM_ZB_Nsoko!$H$64:$H$67</definedName>
    <definedName name="FA_PS_govt_rate" localSheetId="14">HM_ZD_AM3_2005!$H$63:$H$66</definedName>
    <definedName name="FA_PS_govt_rate" localSheetId="10">HM_ZD_Moho!$H$66:$H$68</definedName>
    <definedName name="FA_PS_govt_rate" localSheetId="11">KLL_II_2020!$G$55:$G$56</definedName>
    <definedName name="FA_PS_govt_rate" localSheetId="12">Loango_II!$H$54:$H$55</definedName>
    <definedName name="FA_PS_govt_rate" localSheetId="13">Marine!$G$50:$G$52</definedName>
    <definedName name="FA_PS_govt_rate">Mwafi_PSC!$H$54:$H$55</definedName>
    <definedName name="FA_PS_govt_rate2">HM_ZD_Moho!$H$72</definedName>
    <definedName name="FA_PS_HP">HM_ZD_Moho!$J$66:$J$68</definedName>
    <definedName name="FA_royalty_gas">HM_ZA_Nkossa!$H$20:$H$21</definedName>
    <definedName name="FA_royalty_oil">HM_ZA_Nkossa!$G$20:$G$21</definedName>
    <definedName name="FA_SPO_cont_rate" localSheetId="8">HM_ZA_Nkossa!$H$51:$H$52</definedName>
    <definedName name="FA_SPO_cont_rate" localSheetId="14">HM_ZD_AM3_2005!$H$52:$H$54</definedName>
    <definedName name="FA_SPO_cont_rate" localSheetId="10">HM_ZD_Moho!$H$56:$H$58</definedName>
    <definedName name="FA_SPO_cont_rate" localSheetId="12">Loango_II!$H$47:$H$48</definedName>
    <definedName name="FA_SPO_cont_rate">Mwafi_PSC!$H$47:$H$48</definedName>
    <definedName name="FA_SPO_cumprod_oil" localSheetId="14">HM_ZD_AM3_2005!$F$52:$F$54</definedName>
    <definedName name="FA_SPO_cumprod_oil" localSheetId="10">HM_ZD_Moho!$F$56:$F$58</definedName>
    <definedName name="FA_SPO_cumprod_oil" localSheetId="12">Loango_II!$F$47:$F$48</definedName>
    <definedName name="FA_SPO_cumprod_oil">Mwafi_PSC!$F$47:$F$48</definedName>
    <definedName name="FA_SPO_govt_rate" localSheetId="8">HM_ZA_Nkossa!$G$51:$G$52</definedName>
    <definedName name="FA_SPO_govt_rate" localSheetId="14">HM_ZD_AM3_2005!$G$52:$G$54</definedName>
    <definedName name="FA_SPO_govt_rate" localSheetId="10">HM_ZD_Moho!$G$56:$G$58</definedName>
    <definedName name="FA_SPO_govt_rate" localSheetId="12">Loango_II!$G$47:$G$48</definedName>
    <definedName name="FA_SPO_govt_rate">Mwafi_PSC!$G$47:$G$48</definedName>
    <definedName name="fees_PID_perc" localSheetId="6">Haute_Mer_1994!$G$14</definedName>
    <definedName name="fees_PID_perc" localSheetId="8">HM_ZA_Nkossa!$G$15</definedName>
    <definedName name="fees_PID_perc" localSheetId="9">HM_ZB_Nsoko!$G$15</definedName>
    <definedName name="fees_PID_perc" localSheetId="14">HM_ZD_AM3_2005!$G$14</definedName>
    <definedName name="fees_PID_perc" localSheetId="10">HM_ZD_Moho!$G$14</definedName>
    <definedName name="fees_PID_perc" localSheetId="11">KLL_II_2020!$G$15</definedName>
    <definedName name="fees_PID_perc" localSheetId="12">Loango_II!$G$14</definedName>
    <definedName name="fees_PID_perc" localSheetId="13">Marine!$G$14</definedName>
    <definedName name="fees_PID_perc">Mwafi_PSC!$G$14</definedName>
    <definedName name="field_selected">'Données d''entrées'!$G$46</definedName>
    <definedName name="gas_price_fcst_method">'Données d''entrées'!$G$132</definedName>
    <definedName name="GCO_date" localSheetId="8">HM_ZA_Nkossa!$F$34</definedName>
    <definedName name="GCO_date" localSheetId="10">HM_ZD_Moho!$F$38</definedName>
    <definedName name="GCO_date" localSheetId="11">KLL_II_2020!$F$33</definedName>
    <definedName name="GCO_date" localSheetId="12">Loango_II!$F$31</definedName>
    <definedName name="GCO_date">Mwafi_PSC!$F$31</definedName>
    <definedName name="GCO_perc" localSheetId="8">HM_ZA_Nkossa!$G$34</definedName>
    <definedName name="GCO_perc" localSheetId="10">HM_ZD_Moho!$G$38</definedName>
    <definedName name="GCO_perc" localSheetId="11">KLL_II_2020!$G$33</definedName>
    <definedName name="GCO_perc" localSheetId="12">Loango_II!$G$31</definedName>
    <definedName name="GCO_perc">Mwafi_PSC!$G$31</definedName>
    <definedName name="gov_CF_AM_3_2005">HM_ZD_AM3_2005!$I$538</definedName>
    <definedName name="gov_CF_AM_4_AM6">HM_ZD_Moho!$I$560</definedName>
    <definedName name="gov_CF_HM1994">Haute_Mer_1994!$I$486</definedName>
    <definedName name="gov_CF_KLL2020">KLL_II_2020!$I$533</definedName>
    <definedName name="gov_CF_Loango">Loango_II!$I$495</definedName>
    <definedName name="gov_CF_Marine">Marine!$I$572</definedName>
    <definedName name="gov_CF_Nkossa2017">HM_ZA_Nkossa!$I$535</definedName>
    <definedName name="gov_CF_Nsoko1999">HM_ZB_Nsoko!$I$546</definedName>
    <definedName name="gov_EAA_AM_3_2005">HM_ZD_AM3_2005!$I$550</definedName>
    <definedName name="gov_EAA_AM_4_AM6">HM_ZD_Moho!$I$572</definedName>
    <definedName name="gov_EAA_HM1994">Haute_Mer_1994!$I$498</definedName>
    <definedName name="gov_EAA_KLL2020">KLL_II_2020!$I$545</definedName>
    <definedName name="gov_EAA_Loango">Loango_II!$I$507</definedName>
    <definedName name="gov_EAA_Marine">Marine!$I$584</definedName>
    <definedName name="gov_EAA_Nsoko1999">HM_ZB_Nsoko!$I$558</definedName>
    <definedName name="gov_ECR_AM_3_2005">HM_ZD_AM3_2005!$I$528</definedName>
    <definedName name="gov_ECR_AM_4_AM6">HM_ZD_Moho!$I$550</definedName>
    <definedName name="gov_ECR_HM1994">Haute_Mer_1994!$I$476</definedName>
    <definedName name="gov_ECR_KLL2020">KLL_II_2020!$I$523</definedName>
    <definedName name="gov_ECR_Loango">Loango_II!$I$485</definedName>
    <definedName name="gov_ECR_Marine">Marine!$I$562</definedName>
    <definedName name="gov_ECR_Nkossa2017">HM_ZA_Nkossa!$I$525</definedName>
    <definedName name="gov_ECR_Nsoko1999">HM_ZB_Nsoko!$I$536</definedName>
    <definedName name="gov_NPV_AM_3_2005">HM_ZD_AM3_2005!$I$540</definedName>
    <definedName name="gov_NPV_AM_4_AM6">HM_ZD_Moho!$I$562</definedName>
    <definedName name="gov_NPV_HM1994">Haute_Mer_1994!$I$488</definedName>
    <definedName name="gov_NPV_KLL2020">KLL_II_2020!$I$535</definedName>
    <definedName name="gov_NPV_Loango">Loango_II!$I$497</definedName>
    <definedName name="gov_NPV_Marine">Marine!$I$574</definedName>
    <definedName name="gov_NPV_Nkossa2017">HM_ZA_Nkossa!$I$537</definedName>
    <definedName name="gov_NPV_Nsoko1999">HM_ZB_Nsoko!$I$548</definedName>
    <definedName name="gov_pid_AM_3_2005">HM_ZD_AM3_2005!$I$527</definedName>
    <definedName name="gov_pid_AM_4_AM6">HM_ZD_Moho!$I$549</definedName>
    <definedName name="gov_pid_HM1994">Haute_Mer_1994!$I$475</definedName>
    <definedName name="gov_pid_KLL2020">KLL_II_2020!$I$522</definedName>
    <definedName name="gov_pid_Loango">Loango_II!$I$484</definedName>
    <definedName name="gov_pid_Marine">Marine!$I$561</definedName>
    <definedName name="gov_pid_Nkossa2017">HM_ZA_Nkossa!$I$524</definedName>
    <definedName name="gov_pid_Nsoko1999">HM_ZB_Nsoko!$I$535</definedName>
    <definedName name="gov_PO_AM_3_2005">HM_ZD_AM3_2005!$I$530</definedName>
    <definedName name="gov_PO_AM_4_AM6">HM_ZD_Moho!$I$552</definedName>
    <definedName name="gov_PO_HM1994">Haute_Mer_1994!$I$478</definedName>
    <definedName name="gov_PO_KLL2020">KLL_II_2020!$I$525</definedName>
    <definedName name="gov_PO_Loango">Loango_II!$I$487</definedName>
    <definedName name="gov_PO_Marine">Marine!$I$564</definedName>
    <definedName name="gov_PO_Nkossa2017">HM_ZA_Nkossa!$I$527</definedName>
    <definedName name="gov_PO_Nsoko1999">HM_ZB_Nsoko!$I$538</definedName>
    <definedName name="gov_roy_AM_3_2005">HM_ZD_AM3_2005!$I$526</definedName>
    <definedName name="gov_roy_AM_4_AM6">HM_ZD_Moho!$I$548</definedName>
    <definedName name="gov_roy_HM1994">Haute_Mer_1994!$I$474</definedName>
    <definedName name="gov_roy_KLL2020">KLL_II_2020!$I$521</definedName>
    <definedName name="gov_roy_Loango">Loango_II!$I$483</definedName>
    <definedName name="gov_roy_Marine">Marine!$I$560</definedName>
    <definedName name="gov_roy_Nkossa2017">HM_ZA_Nkossa!$I$523</definedName>
    <definedName name="gov_roy_Nsoko1999">HM_ZB_Nsoko!$I$534</definedName>
    <definedName name="gov_SPO_AM_3_2005">HM_ZD_AM3_2005!$I$529</definedName>
    <definedName name="gov_SPO_AM_4_AM6">HM_ZD_Moho!$I$551</definedName>
    <definedName name="gov_SPO_HM1994">Haute_Mer_1994!$I$477</definedName>
    <definedName name="gov_SPO_KLL2020">KLL_II_2020!$I$524</definedName>
    <definedName name="gov_SPO_Loango">Loango_II!$I$486</definedName>
    <definedName name="gov_SPO_Marine">Marine!$I$563</definedName>
    <definedName name="gov_SPO_Nkossa2017">HM_ZA_Nkossa!$I$526</definedName>
    <definedName name="gov_SPO_Nsoko1999">HM_ZB_Nsoko!$I$537</definedName>
    <definedName name="gov_take_AM_3_2005">HM_ZD_AM3_2005!$I$546</definedName>
    <definedName name="gov_take_AM_4_AM6">HM_ZD_Moho!$I$568</definedName>
    <definedName name="gov_take_HM1994">Haute_Mer_1994!$I$494</definedName>
    <definedName name="gov_take_KLL2020">KLL_II_2020!$I$541</definedName>
    <definedName name="gov_take_Loango">Loango_II!$I$503</definedName>
    <definedName name="gov_take_Marine">Marine!$I$580</definedName>
    <definedName name="gov_take_Nkossa2017">HM_ZA_Nkossa!$I$543</definedName>
    <definedName name="gov_take_Nsoko1999">HM_ZB_Nsoko!$I$554</definedName>
    <definedName name="HP" localSheetId="9">HM_ZB_Nsoko!$G$75</definedName>
    <definedName name="HP" localSheetId="14">HM_ZD_AM3_2005!$G$72</definedName>
    <definedName name="HP" localSheetId="11">KLL_II_2020!$G$61</definedName>
    <definedName name="HP" localSheetId="13">Marine!$G$60</definedName>
    <definedName name="HP">Haute_Mer_1994!$G$57</definedName>
    <definedName name="HP_1">HM_ZD_Moho!$G$77</definedName>
    <definedName name="HP_2">HM_ZD_Moho!$G$78</definedName>
    <definedName name="HP_date" localSheetId="9">HM_ZB_Nsoko!$F$75</definedName>
    <definedName name="HP_date" localSheetId="14">HM_ZD_AM3_2005!$F$72</definedName>
    <definedName name="HP_date" localSheetId="11">KLL_II_2020!$F$61</definedName>
    <definedName name="HP_date" localSheetId="13">Marine!$F$60</definedName>
    <definedName name="HP_date">Haute_Mer_1994!$F$57</definedName>
    <definedName name="IA_Days">'Données d''entrées'!$L$5:$BS$5</definedName>
    <definedName name="IA_decom_real">'Données d''entrées'!$L$209:$BS$209</definedName>
    <definedName name="IA_devcapex_real">'Données d''entrées'!$L$200:$BS$200</definedName>
    <definedName name="IA_EandA_real">'Données d''entrées'!$L$191:$BS$191</definedName>
    <definedName name="IA_esc_index">'Données d''entrées'!$L$33:$BS$33</definedName>
    <definedName name="IA_fixedopex_real">'Données d''entrées'!$L$161:$BS$161</definedName>
    <definedName name="IA_gasprice_nominal">'Données d''entrées'!$L$130:$BS$130</definedName>
    <definedName name="IA_gasprice_real">'Données d''entrées'!$L$134:$BS$134</definedName>
    <definedName name="IA_historic_HP">'Données d''entrées'!$L$149:$BS$149</definedName>
    <definedName name="IA_infl_index">'Données d''entrées'!$L$31:$BS$31</definedName>
    <definedName name="IA_lpgprice_nominal">'Données d''entrées'!$L$139:$BS$139</definedName>
    <definedName name="IA_oilprice_nominal">'Données d''entrées'!$L$121:$BS$121</definedName>
    <definedName name="IA_oilprice_real">'Données d''entrées'!$L$125:$BS$125</definedName>
    <definedName name="IA_othercosts_real">'Données d''entrées'!$L$179:$BS$179</definedName>
    <definedName name="IA_Periods">'Données d''entrées'!$L$3:$BS$3</definedName>
    <definedName name="IA_prod_gas">'Données d''entrées'!$L$79:$BS$79</definedName>
    <definedName name="IA_prod_lpg">'Données d''entrées'!$L$70:$BS$70</definedName>
    <definedName name="IA_prod_oil">'Données d''entrées'!$L$61:$BS$61</definedName>
    <definedName name="IA_sales_gas">'Données d''entrées'!$L$109:$BS$109</definedName>
    <definedName name="IA_sales_lpg">'Données d''entrées'!$L$100:$BS$100</definedName>
    <definedName name="IA_sales_oil">'Données d''entrées'!$L$91:$BS$91</definedName>
    <definedName name="IA_terminalfee_real">'Données d''entrées'!$L$179:$BS$179</definedName>
    <definedName name="IA_unrec_cost_bal_real">'Données d''entrées'!$L$218:$BS$218</definedName>
    <definedName name="IA_varopex_real">'Données d''entrées'!$L$170:$BS$170</definedName>
    <definedName name="IA_Years">'Données d''entrées'!$L$4:$BS$4</definedName>
    <definedName name="InflationBase_year">'Données d''entrées'!$G$20</definedName>
    <definedName name="input_cost_esc_perc">'Données d''entrées'!$G$32</definedName>
    <definedName name="input_DiscRate_nom">'Données d''entrées'!$G$26</definedName>
    <definedName name="input_gasprice_real_singlecell">'Données d''entrées'!$G$133</definedName>
    <definedName name="input_oilprice_real_singlecell">'Données d''entrées'!$G$124</definedName>
    <definedName name="input_US_inflation_perc">'Données d''entrées'!$G$30</definedName>
    <definedName name="int_rate_cf_costs" localSheetId="6">Haute_Mer_1994!$G$31</definedName>
    <definedName name="int_rate_cf_costs" localSheetId="8">HM_ZA_Nkossa!$G$38</definedName>
    <definedName name="int_rate_cf_costs" localSheetId="14">HM_ZD_AM3_2005!$G$33</definedName>
    <definedName name="int_rate_cf_costs" localSheetId="10">HM_ZD_Moho!$G$42</definedName>
    <definedName name="int_rate_cf_costs" localSheetId="11">KLL_II_2020!$G$36</definedName>
    <definedName name="int_rate_cf_costs" localSheetId="12">Loango_II!$G$34</definedName>
    <definedName name="int_rate_cf_costs" localSheetId="13">Marine!$G$30</definedName>
    <definedName name="int_rate_cf_costs">Mwafi_PSC!$G$34</definedName>
    <definedName name="IOC_CF_AM_3_2005">HM_ZD_AM3_2005!$I$473</definedName>
    <definedName name="IOC_CF_AM_4_AM6">HM_ZD_Moho!$I$495</definedName>
    <definedName name="IOC_CF_HM1994">Haute_Mer_1994!$I$421</definedName>
    <definedName name="IOC_CF_KLL2020">KLL_II_2020!$I$468</definedName>
    <definedName name="IOC_CF_Loango">Loango_II!$I$430</definedName>
    <definedName name="IOC_CF_Marine">Marine!$I$507</definedName>
    <definedName name="IOC_CF_Nkossa2017">HM_ZA_Nkossa!$I$470</definedName>
    <definedName name="IOC_CF_Nsoko1999">HM_ZB_Nsoko!$I$481</definedName>
    <definedName name="IOC_IRR_AM_3_2005">HM_ZD_AM3_2005!$I$480</definedName>
    <definedName name="IOC_IRR_AM_4_AM6">HM_ZD_Moho!$I$502</definedName>
    <definedName name="IOC_IRR_HM1994">Haute_Mer_1994!$I$428</definedName>
    <definedName name="IOC_IRR_KLL2020">KLL_II_2020!$I$475</definedName>
    <definedName name="IOC_IRR_Loango">Loango_II!$I$437</definedName>
    <definedName name="IOC_IRR_Marine">Marine!$I$514</definedName>
    <definedName name="IOC_IRR_Nsoko1999">HM_ZB_Nsoko!$I$488</definedName>
    <definedName name="IOC_NPV_AM_3_2005">HM_ZD_AM3_2005!$I$477</definedName>
    <definedName name="IOC_NPV_AM_4_AM6">HM_ZD_Moho!$I$499</definedName>
    <definedName name="IOC_NPV_HM1994">Haute_Mer_1994!$I$425</definedName>
    <definedName name="IOC_NPV_KLL2020">KLL_II_2020!$I$472</definedName>
    <definedName name="IOC_NPV_Loango">Loango_II!$I$434</definedName>
    <definedName name="IOC_NPV_Marine">Marine!$I$511</definedName>
    <definedName name="IOC_NPV_Nkossa2017">HM_ZA_Nkossa!$I$474</definedName>
    <definedName name="IOC_NPV_Nsoko1999">HM_ZB_Nsoko!$I$485</definedName>
    <definedName name="IOC_PP_AM_3_2005">HM_ZD_AM3_2005!$I$483</definedName>
    <definedName name="IOC_PP_AM_4_AM6">HM_ZD_Moho!$I$505</definedName>
    <definedName name="IOC_PP_HM1994">Haute_Mer_1994!$I$431</definedName>
    <definedName name="IOC_PP_KLL2020">KLL_II_2020!$I$478</definedName>
    <definedName name="IOC_PP_Loango">Loango_II!$I$440</definedName>
    <definedName name="IOC_PP_Marine">Marine!$I$517</definedName>
    <definedName name="IOC_PP_Nsoko1999">HM_ZB_Nsoko!$I$491</definedName>
    <definedName name="IOC_WI_perc" localSheetId="6">Haute_Mer_1994!$G$67</definedName>
    <definedName name="IOC_WI_perc" localSheetId="8">HM_ZA_Nkossa!$G$76</definedName>
    <definedName name="IOC_WI_perc" localSheetId="9">HM_ZB_Nsoko!$G$85</definedName>
    <definedName name="IOC_WI_perc" localSheetId="14">HM_ZD_AM3_2005!$G$82</definedName>
    <definedName name="IOC_WI_perc" localSheetId="10">HM_ZD_Moho!$G$90</definedName>
    <definedName name="IOC_WI_perc" localSheetId="11">KLL_II_2020!$G$71</definedName>
    <definedName name="IOC_WI_perc" localSheetId="12">Loango_II!$G$70</definedName>
    <definedName name="IOC_WI_perc" localSheetId="13">Marine!$G$69</definedName>
    <definedName name="IOC_WI_perc">Mwafi_PSC!$G$70</definedName>
    <definedName name="last_model_year">'Données d''entrées'!$G$22</definedName>
    <definedName name="list_field_decline_rate">'Données d''entrées'!#REF!</definedName>
    <definedName name="list_field_water_depth">'Données d''entrées'!#REF!</definedName>
    <definedName name="list_FieldDescr">'Données d''entrées'!$D$50:$D$54</definedName>
    <definedName name="list_FieldName">'Données d''entrées'!$G$50:$G$54</definedName>
    <definedName name="list_tabNames">'Journal d''audit'!$L$3:$L$17</definedName>
    <definedName name="marine_upside_toggle">'Données d''entrées'!$G$201</definedName>
    <definedName name="ModelStart_year">'Données d''entrées'!$G$19</definedName>
    <definedName name="NOC_CF_AM_3_2005">HM_ZD_AM3_2005!$I$507</definedName>
    <definedName name="NOC_CF_AM_4_AM6">HM_ZD_Moho!$I$529</definedName>
    <definedName name="NOC_CF_HM1994">Haute_Mer_1994!$I$455</definedName>
    <definedName name="NOC_CF_KLL_2020">KLL_II_2020!$I$502</definedName>
    <definedName name="NOC_CF_Loango">Loango_II!$I$464</definedName>
    <definedName name="NOC_CF_Marine">Marine!$I$541</definedName>
    <definedName name="NOC_CF_Nkossa2017">HM_ZA_Nkossa!$I$504</definedName>
    <definedName name="NOC_CF_Nsoko1999">HM_ZB_Nsoko!$I$515</definedName>
    <definedName name="NOC_CI_devex" localSheetId="6">Haute_Mer_1994!$F$74</definedName>
    <definedName name="NOC_CI_devex" localSheetId="8">HM_ZA_Nkossa!$F$83</definedName>
    <definedName name="NOC_CI_devex" localSheetId="9">HM_ZB_Nsoko!$F$92</definedName>
    <definedName name="NOC_CI_devex" localSheetId="14">HM_ZD_AM3_2005!$F$89</definedName>
    <definedName name="NOC_CI_devex" localSheetId="10">HM_ZD_Moho!$F$97</definedName>
    <definedName name="NOC_CI_devex" localSheetId="11">KLL_II_2020!$F$78</definedName>
    <definedName name="NOC_CI_devex" localSheetId="12">Loango_II!$F$77</definedName>
    <definedName name="NOC_CI_devex" localSheetId="13">Marine!$F$76</definedName>
    <definedName name="NOC_CI_devex">Mwafi_PSC!$F$77</definedName>
    <definedName name="NOC_CI_devex_rpmt" localSheetId="6">Haute_Mer_1994!$H$74</definedName>
    <definedName name="NOC_CI_devex_rpmt" localSheetId="8">HM_ZA_Nkossa!$H$83</definedName>
    <definedName name="NOC_CI_devex_rpmt" localSheetId="9">HM_ZB_Nsoko!$H$92</definedName>
    <definedName name="NOC_CI_devex_rpmt" localSheetId="14">HM_ZD_AM3_2005!$H$89</definedName>
    <definedName name="NOC_CI_devex_rpmt" localSheetId="10">HM_ZD_Moho!$H$97</definedName>
    <definedName name="NOC_CI_devex_rpmt" localSheetId="11">KLL_II_2020!$H$78</definedName>
    <definedName name="NOC_CI_devex_rpmt" localSheetId="12">Loango_II!$H$77</definedName>
    <definedName name="NOC_CI_devex_rpmt" localSheetId="13">Marine!$H$76</definedName>
    <definedName name="NOC_CI_devex_rpmt">Mwafi_PSC!$H$77</definedName>
    <definedName name="NOC_CI_expex" localSheetId="6">Haute_Mer_1994!$F$73</definedName>
    <definedName name="NOC_CI_expex" localSheetId="8">HM_ZA_Nkossa!$F$82</definedName>
    <definedName name="NOC_CI_expex" localSheetId="9">HM_ZB_Nsoko!$F$91</definedName>
    <definedName name="NOC_CI_expex" localSheetId="14">HM_ZD_AM3_2005!$F$88</definedName>
    <definedName name="NOC_CI_expex" localSheetId="10">HM_ZD_Moho!$F$96</definedName>
    <definedName name="NOC_CI_expex" localSheetId="11">KLL_II_2020!$F$77</definedName>
    <definedName name="NOC_CI_expex" localSheetId="12">Loango_II!$F$76</definedName>
    <definedName name="NOC_CI_expex" localSheetId="13">Marine!$F$75</definedName>
    <definedName name="NOC_CI_expex">Mwafi_PSC!$F$76</definedName>
    <definedName name="NOC_CI_expex_rpmt" localSheetId="6">Haute_Mer_1994!$H$73</definedName>
    <definedName name="NOC_CI_expex_rpmt" localSheetId="8">HM_ZA_Nkossa!$H$82</definedName>
    <definedName name="NOC_CI_expex_rpmt" localSheetId="9">HM_ZB_Nsoko!$H$91</definedName>
    <definedName name="NOC_CI_expex_rpmt" localSheetId="14">HM_ZD_AM3_2005!$H$88</definedName>
    <definedName name="NOC_CI_expex_rpmt" localSheetId="10">HM_ZD_Moho!$H$96</definedName>
    <definedName name="NOC_CI_expex_rpmt" localSheetId="11">KLL_II_2020!$H$77</definedName>
    <definedName name="NOC_CI_expex_rpmt" localSheetId="12">Loango_II!$H$76</definedName>
    <definedName name="NOC_CI_expex_rpmt" localSheetId="13">Marine!$H$75</definedName>
    <definedName name="NOC_CI_expex_rpmt">Mwafi_PSC!$H$76</definedName>
    <definedName name="NOC_CI_opex" localSheetId="6">Haute_Mer_1994!$F$75</definedName>
    <definedName name="NOC_CI_opex" localSheetId="8">HM_ZA_Nkossa!$F$84</definedName>
    <definedName name="NOC_CI_opex" localSheetId="9">HM_ZB_Nsoko!$F$93</definedName>
    <definedName name="NOC_CI_opex" localSheetId="14">HM_ZD_AM3_2005!$F$90</definedName>
    <definedName name="NOC_CI_opex" localSheetId="10">HM_ZD_Moho!$F$98</definedName>
    <definedName name="NOC_CI_opex" localSheetId="11">KLL_II_2020!$F$79</definedName>
    <definedName name="NOC_CI_opex" localSheetId="12">Loango_II!$F$78</definedName>
    <definedName name="NOC_CI_opex" localSheetId="13">Marine!$F$77</definedName>
    <definedName name="NOC_CI_opex">Mwafi_PSC!$F$78</definedName>
    <definedName name="NOC_CI_opex_rpmt" localSheetId="6">Haute_Mer_1994!$H$75</definedName>
    <definedName name="NOC_CI_opex_rpmt" localSheetId="8">HM_ZA_Nkossa!$H$84</definedName>
    <definedName name="NOC_CI_opex_rpmt" localSheetId="9">HM_ZB_Nsoko!$H$93</definedName>
    <definedName name="NOC_CI_opex_rpmt" localSheetId="14">HM_ZD_AM3_2005!$H$90</definedName>
    <definedName name="NOC_CI_opex_rpmt" localSheetId="10">HM_ZD_Moho!$H$98</definedName>
    <definedName name="NOC_CI_opex_rpmt" localSheetId="11">KLL_II_2020!$H$79</definedName>
    <definedName name="NOC_CI_opex_rpmt" localSheetId="12">Loango_II!$H$78</definedName>
    <definedName name="NOC_CI_opex_rpmt" localSheetId="13">Marine!$H$77</definedName>
    <definedName name="NOC_CI_opex_rpmt">Mwafi_PSC!$H$78</definedName>
    <definedName name="NOC_included_in_contgroup" localSheetId="6">Haute_Mer_1994!$G$69</definedName>
    <definedName name="NOC_included_in_contgroup" localSheetId="8">HM_ZA_Nkossa!$G$78</definedName>
    <definedName name="NOC_included_in_contgroup" localSheetId="9">HM_ZB_Nsoko!$G$87</definedName>
    <definedName name="NOC_included_in_contgroup" localSheetId="14">HM_ZD_AM3_2005!$G$84</definedName>
    <definedName name="NOC_included_in_contgroup" localSheetId="10">HM_ZD_Moho!$G$92</definedName>
    <definedName name="NOC_included_in_contgroup" localSheetId="11">KLL_II_2020!$G$73</definedName>
    <definedName name="NOC_included_in_contgroup" localSheetId="12">Loango_II!$G$72</definedName>
    <definedName name="NOC_included_in_contgroup" localSheetId="13">Marine!$G$71</definedName>
    <definedName name="NOC_included_in_contgroup">Mwafi_PSC!$G$72</definedName>
    <definedName name="NOC_NPV_AM_3_2005">HM_ZD_AM3_2005!$I$511</definedName>
    <definedName name="NOC_NPV_AM_4_AM6">HM_ZD_Moho!$I$533</definedName>
    <definedName name="NOC_NPV_HM1994">Haute_Mer_1994!$I$459</definedName>
    <definedName name="NOC_NPV_KLL_2020">KLL_II_2020!$I$506</definedName>
    <definedName name="NOC_NPV_Loango">Loango_II!$I$468</definedName>
    <definedName name="NOC_NPV_Marine">Marine!$I$545</definedName>
    <definedName name="NOC_NPV_Nkossa2017">HM_ZA_Nkossa!$I$508</definedName>
    <definedName name="NOC_NPV_Nsoko1999">HM_ZB_Nsoko!$I$519</definedName>
    <definedName name="NOC_rpmt_max_perc" localSheetId="6">Haute_Mer_1994!$G$78</definedName>
    <definedName name="NOC_rpmt_max_perc" localSheetId="8">HM_ZA_Nkossa!$G$87</definedName>
    <definedName name="NOC_rpmt_max_perc" localSheetId="9">HM_ZB_Nsoko!$G$96</definedName>
    <definedName name="NOC_rpmt_max_perc" localSheetId="14">HM_ZD_AM3_2005!$G$93</definedName>
    <definedName name="NOC_rpmt_max_perc" localSheetId="10">HM_ZD_Moho!$G$101</definedName>
    <definedName name="NOC_rpmt_max_perc" localSheetId="11">KLL_II_2020!$G$82</definedName>
    <definedName name="NOC_rpmt_max_perc" localSheetId="12">Loango_II!$G$81</definedName>
    <definedName name="NOC_rpmt_max_perc" localSheetId="13">Marine!$G$80</definedName>
    <definedName name="NOC_rpmt_max_perc">Mwafi_PSC!$G$81</definedName>
    <definedName name="NOC_WI_perc" localSheetId="6">Haute_Mer_1994!$G$66</definedName>
    <definedName name="NOC_WI_perc" localSheetId="8">HM_ZA_Nkossa!$G$75</definedName>
    <definedName name="NOC_WI_perc" localSheetId="9">HM_ZB_Nsoko!$G$84</definedName>
    <definedName name="NOC_WI_perc" localSheetId="14">HM_ZD_AM3_2005!$G$81</definedName>
    <definedName name="NOC_WI_perc" localSheetId="10">HM_ZD_Moho!$G$89</definedName>
    <definedName name="NOC_WI_perc" localSheetId="11">KLL_II_2020!$G$70</definedName>
    <definedName name="NOC_WI_perc" localSheetId="12">Loango_II!$G$69</definedName>
    <definedName name="NOC_WI_perc" localSheetId="13">Marine!$G$68</definedName>
    <definedName name="NOC_WI_perc">Mwafi_PSC!$G$69</definedName>
    <definedName name="OA_cont_ATCF_AM_2005">HM_ZD_AM3_2005!$L$454:$BS$454</definedName>
    <definedName name="OA_cont_ATCF_AM_4_AM_6">HM_ZD_Moho!$L$476:$BS$476</definedName>
    <definedName name="OA_cont_ATCF_HM1994">Haute_Mer_1994!$L$402:$BS$402</definedName>
    <definedName name="OA_cont_ATCF_KLL2020">KLL_II_2020!$L$449:$BS$449</definedName>
    <definedName name="OA_cont_ATCF_Loango">Loango_II!$L$411:$BS$411</definedName>
    <definedName name="OA_cont_ATCF_Marine">Marine!$L$488:$BS$488</definedName>
    <definedName name="OA_cont_ATCF_mwafi">Mwafi_PSC!$L$411:$BS$411</definedName>
    <definedName name="OA_cont_ATCF_Nkossa2017">HM_ZA_Nkossa!$L$451:$BS$451</definedName>
    <definedName name="OA_cont_ATCF_Nsoko1999">HM_ZB_Nsoko!$L$462:$BS$462</definedName>
    <definedName name="OA_gov_CF_AM_3_2005">HM_ZD_AM3_2005!$L$538:$BS$538</definedName>
    <definedName name="OA_gov_CF_AM_4_AM_6">HM_ZD_Moho!$L$560:$BS$560</definedName>
    <definedName name="OA_gov_CF_HM1994">Haute_Mer_1994!$L$486:$BS$486</definedName>
    <definedName name="OA_gov_CF_KLL2020">KLL_II_2020!$L$533:$BS$533</definedName>
    <definedName name="OA_gov_CF_Loango">Loango_II!$L$495:$BS$495</definedName>
    <definedName name="OA_gov_CF_Marine">Marine!$L$572:$BS$572</definedName>
    <definedName name="OA_gov_CF_mwafi">Mwafi_PSC!$L$495:$BS$495</definedName>
    <definedName name="OA_gov_CF_Nkossa2017">HM_ZA_Nkossa!$L$535:$BS$535</definedName>
    <definedName name="OA_gov_CF_Nsoko1999">HM_ZB_Nsoko!$L$546:$BS$546</definedName>
    <definedName name="OA_IOC_ATCF_AM_3_2005">HM_ZD_AM3_2005!$L$473:$BS$473</definedName>
    <definedName name="OA_IOC_ATCF_AM_4_AM_6">HM_ZD_Moho!$L$495:$BS$495</definedName>
    <definedName name="OA_IOC_ATCF_HM1994">Haute_Mer_1994!$L$421:$BS$421</definedName>
    <definedName name="OA_IOC_ATCF_KLL2020">KLL_II_2020!$L$468:$BS$468</definedName>
    <definedName name="OA_IOC_ATCF_Loango">Loango_II!$L$430:$BS$430</definedName>
    <definedName name="OA_IOC_ATCF_Marine">Marine!$L$507:$BS$507</definedName>
    <definedName name="OA_IOC_ATCF_mwafi">Mwafi_PSC!$L$430:$BS$430</definedName>
    <definedName name="OA_IOC_ATCF_Nkossa2017">HM_ZA_Nkossa!$L$470:$BS$470</definedName>
    <definedName name="OA_IOC_ATCF_Nsoko1999">HM_ZB_Nsoko!$L$481:$BS$481</definedName>
    <definedName name="OA_noc_ATCF_Am_3_2005">HM_ZD_AM3_2005!$L$507:$BS$507</definedName>
    <definedName name="OA_noc_ATCF_AM_4_AM_6">HM_ZD_Moho!$L$529:$BS$529</definedName>
    <definedName name="OA_noc_ATCF_HM1994">Haute_Mer_1994!$L$455:$BS$455</definedName>
    <definedName name="OA_noc_ATCF_KLL2020">KLL_II_2020!$L$502:$BS$502</definedName>
    <definedName name="OA_noc_ATCF_Loango">Loango_II!$L$464:$BS$464</definedName>
    <definedName name="OA_noc_ATCF_Marine">Marine!$L$541:$BS$541</definedName>
    <definedName name="OA_noc_ATCF_mwafi">Mwafi_PSC!$L$464:$BS$464</definedName>
    <definedName name="OA_noc_ATCF_Nkossa2017">HM_ZA_Nkossa!$L$504:$BS$504</definedName>
    <definedName name="OA_noc_ATCF_Nsoko1999">HM_ZB_Nsoko!$L$515:$BS$515</definedName>
    <definedName name="oil_price_fcst_method">'Données d''entrées'!$G$123</definedName>
    <definedName name="price_selected">'Données d''entrées'!$G$122</definedName>
    <definedName name="prior_cum_prod">'Données d''entrées'!$G$65</definedName>
    <definedName name="prior_cum_sales">'Données d''entrées'!$G$95</definedName>
    <definedName name="prod_decline_rate">'Données d''entrées'!$G$62</definedName>
    <definedName name="PS_cont_rate" localSheetId="8">HM_ZA_Nkossa!$G$60</definedName>
    <definedName name="PS_cont_rate" localSheetId="11">KLL_II_2020!$H$55</definedName>
    <definedName name="PS_cont_rate">Haute_Mer_1994!$G$51</definedName>
    <definedName name="PS_cont_rate_gas">Marine!$H$55</definedName>
    <definedName name="PS_cont_rate_gas_domestic">Marine!$H$56</definedName>
    <definedName name="PS_cont_rate_nsoko2019">HM_ZB_Nsoko!$I$70</definedName>
    <definedName name="PS_govt_rate" localSheetId="8">HM_ZA_Nkossa!$F$60</definedName>
    <definedName name="PS_govt_rate" localSheetId="11">KLL_II_2020!$G$55</definedName>
    <definedName name="PS_govt_rate">Haute_Mer_1994!$F$51</definedName>
    <definedName name="PS_govt_rate_gas">Marine!$G$55</definedName>
    <definedName name="PS_govt_rate_gas_domestic">Marine!$G$56</definedName>
    <definedName name="PS_govt_rate_nsoko2019">HM_ZB_Nsoko!$H$70</definedName>
    <definedName name="RA_costgas_cont">' Résultats'!$L$51:$S$51</definedName>
    <definedName name="RA_costoil_cont">' Résultats'!$L$42:$S$42</definedName>
    <definedName name="RA_costoil_gov">' Résultats'!$L$100:$S$100</definedName>
    <definedName name="RA_ECR_cont">' Résultats'!$L$60:$S$60</definedName>
    <definedName name="RA_ECR_gov">' Résultats'!$L$136:$S$136</definedName>
    <definedName name="RA_pid_gov">' Résultats'!$L$127:$S$127</definedName>
    <definedName name="RA_profitgas_cont">' Résultats'!$L$87:$S$87</definedName>
    <definedName name="RA_profitoil_cont">' Résultats'!$L$78:$S$78</definedName>
    <definedName name="RA_profitoil_gov">' Résultats'!$L$118:$S$118</definedName>
    <definedName name="RA_rev_gas">' Résultats'!$L$28:$S$28</definedName>
    <definedName name="RA_rev_lpg">' Résultats'!$L$19:$S$19</definedName>
    <definedName name="RA_rev_oil">' Résultats'!$L$10:$S$10</definedName>
    <definedName name="RA_roy_gov">' Résultats'!$L$100:$S$100</definedName>
    <definedName name="RA_spo_cont">' Résultats'!$L$69:$S$69</definedName>
    <definedName name="RA_spo_gov">' Résultats'!$L$109:$S$109</definedName>
    <definedName name="recov_EandA_toggle">'Données d''entrées'!$G$192</definedName>
    <definedName name="royalty_rate_gas" localSheetId="6">Haute_Mer_1994!$G$20</definedName>
    <definedName name="royalty_rate_gas" localSheetId="9">HM_ZB_Nsoko!$G$21</definedName>
    <definedName name="royalty_rate_gas" localSheetId="14">HM_ZD_AM3_2005!$G$20</definedName>
    <definedName name="royalty_rate_gas" localSheetId="10">HM_ZD_Moho!$G$20</definedName>
    <definedName name="royalty_rate_gas" localSheetId="11">KLL_II_2020!$G$21</definedName>
    <definedName name="royalty_rate_gas" localSheetId="12">Loango_II!$G$20</definedName>
    <definedName name="royalty_rate_gas" localSheetId="13">Marine!$G$20</definedName>
    <definedName name="royalty_rate_gas">Mwafi_PSC!$G$20</definedName>
    <definedName name="royalty_rate_gas_domestic">Marine!$G$21</definedName>
    <definedName name="royalty_rate_oil" localSheetId="6">Haute_Mer_1994!$G$19</definedName>
    <definedName name="royalty_rate_oil" localSheetId="9">HM_ZB_Nsoko!$G$20</definedName>
    <definedName name="royalty_rate_oil" localSheetId="14">HM_ZD_AM3_2005!$G$19</definedName>
    <definedName name="royalty_rate_oil" localSheetId="10">HM_ZD_Moho!$G$19</definedName>
    <definedName name="royalty_rate_oil" localSheetId="11">KLL_II_2020!$G$20</definedName>
    <definedName name="royalty_rate_oil" localSheetId="12">Loango_II!$G$19</definedName>
    <definedName name="royalty_rate_oil" localSheetId="13">Marine!$G$19</definedName>
    <definedName name="royalty_rate_oil">Mwafi_PSC!$G$19</definedName>
    <definedName name="SPO_cont_rate" localSheetId="9">HM_ZB_Nsoko!$G$54</definedName>
    <definedName name="SPO_cont_rate" localSheetId="11">KLL_II_2020!$G$48</definedName>
    <definedName name="SPO_cont_rate" localSheetId="13">Marine!$G$43</definedName>
    <definedName name="SPO_cont_rate">Haute_Mer_1994!$G$44</definedName>
    <definedName name="SPO_govt_rate" localSheetId="9">HM_ZB_Nsoko!$F$54</definedName>
    <definedName name="SPO_govt_rate" localSheetId="11">KLL_II_2020!$F$48</definedName>
    <definedName name="SPO_govt_rate" localSheetId="13">Marine!$F$43</definedName>
    <definedName name="SPO_govt_rate">Haute_Mer_1994!$F$44</definedName>
    <definedName name="state_take_AM_3_2005">HM_ZD_AM3_2005!$I$548</definedName>
    <definedName name="state_take_AM_4_AM6">HM_ZD_Moho!$I$570</definedName>
    <definedName name="state_take_HM1994">Haute_Mer_1994!$I$496</definedName>
    <definedName name="state_take_KLL2020">KLL_II_2020!$I$543</definedName>
    <definedName name="state_take_Loango">Loango_II!$I$505</definedName>
    <definedName name="state_take_Marine">Marine!$I$582</definedName>
    <definedName name="state_take_Nsoko1999">HM_ZB_Nsoko!$I$556</definedName>
    <definedName name="title_chart1">'Données graphiques'!$G$9</definedName>
    <definedName name="title_chart10">'Données graphiques'!$G$17</definedName>
    <definedName name="title_chart11">'Données graphiques'!$G$18</definedName>
    <definedName name="title_chart12">'Données graphiques'!$G$19</definedName>
    <definedName name="title_chart13">'Données graphiques'!$G$20</definedName>
    <definedName name="title_chart14">'Données graphiques'!$G$21</definedName>
    <definedName name="title_chart15">'Données graphiques'!$G$22</definedName>
    <definedName name="title_chart16">'Données graphiques'!$G$23</definedName>
    <definedName name="title_chart17">'Données graphiques'!$G$24</definedName>
    <definedName name="title_chart18">'Données graphiques'!$G$26</definedName>
    <definedName name="title_chart19">'Données graphiques'!$G$27</definedName>
    <definedName name="title_chart2">'Données graphiques'!$G$10</definedName>
    <definedName name="title_chart20">'Données graphiques'!$G$28</definedName>
    <definedName name="title_chart21">'Données graphiques'!$O$9</definedName>
    <definedName name="title_chart22">'Données graphiques'!$O$10</definedName>
    <definedName name="title_chart23">'Données graphiques'!$O$11</definedName>
    <definedName name="title_chart24">'Données graphiques'!$O$12</definedName>
    <definedName name="title_chart25">'Données graphiques'!$O$13</definedName>
    <definedName name="title_chart26">'Données graphiques'!$O$14</definedName>
    <definedName name="title_chart27">'Données graphiques'!$O$15</definedName>
    <definedName name="title_chart3">'Données graphiques'!$G$11</definedName>
    <definedName name="title_chart4">'Données graphiques'!$G$12</definedName>
    <definedName name="title_chart5">'Données graphiques'!$G$13</definedName>
    <definedName name="title_chart6">'Données graphiques'!$G$14</definedName>
    <definedName name="title_chart7">'Données graphiques'!$G$25</definedName>
    <definedName name="title_chart8">'Données graphiques'!$G$15</definedName>
    <definedName name="title_chart9">'Données graphiques'!$G$16</definedName>
  </definedNames>
  <calcPr calcId="191029" calcMode="autoNoTable"/>
  <extLs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purl.oclc.org/ooxml/spreadsheetml/main">
  <c r="M351" i="17" l="1"/>
  <c r="N351" i="17"/>
  <c r="O351" i="17"/>
  <c r="P351" i="17"/>
  <c r="Q351" i="17"/>
  <c r="R351" i="17"/>
  <c r="S351" i="17"/>
  <c r="L351" i="17"/>
  <c r="D350" i="17"/>
  <c r="M342" i="17"/>
  <c r="N342" i="17"/>
  <c r="O342" i="17"/>
  <c r="P342" i="17"/>
  <c r="Q342" i="17"/>
  <c r="R342" i="17"/>
  <c r="S342" i="17"/>
  <c r="L342" i="17"/>
  <c r="M333" i="17"/>
  <c r="N333" i="17"/>
  <c r="O333" i="17"/>
  <c r="P333" i="17"/>
  <c r="Q333" i="17"/>
  <c r="R333" i="17"/>
  <c r="M331" i="17"/>
  <c r="N331" i="17"/>
  <c r="O331" i="17"/>
  <c r="P331" i="17"/>
  <c r="Q331" i="17"/>
  <c r="R331" i="17"/>
  <c r="S331" i="17"/>
  <c r="S333" i="17" s="1"/>
  <c r="L331" i="17"/>
  <c r="L333" i="17" s="1"/>
  <c r="M317" i="17"/>
  <c r="N317" i="17"/>
  <c r="O317" i="17"/>
  <c r="P317" i="17"/>
  <c r="Q317" i="17"/>
  <c r="R317" i="17"/>
  <c r="S317" i="17"/>
  <c r="L317" i="17"/>
  <c r="M307" i="17"/>
  <c r="N307" i="17"/>
  <c r="O307" i="17"/>
  <c r="P307" i="17"/>
  <c r="Q307" i="17"/>
  <c r="R307" i="17"/>
  <c r="S307" i="17"/>
  <c r="L307" i="17"/>
  <c r="I113" i="17"/>
  <c r="M293" i="17"/>
  <c r="N293" i="17"/>
  <c r="O293" i="17"/>
  <c r="P293" i="17"/>
  <c r="Q293" i="17"/>
  <c r="R293" i="17"/>
  <c r="S293" i="17"/>
  <c r="M294" i="17"/>
  <c r="N294" i="17"/>
  <c r="O294" i="17"/>
  <c r="P294" i="17"/>
  <c r="Q294" i="17"/>
  <c r="R294" i="17"/>
  <c r="S294" i="17"/>
  <c r="M295" i="17"/>
  <c r="N295" i="17"/>
  <c r="O295" i="17"/>
  <c r="P295" i="17"/>
  <c r="Q295" i="17"/>
  <c r="R295" i="17"/>
  <c r="S295" i="17"/>
  <c r="M296" i="17"/>
  <c r="N296" i="17"/>
  <c r="O296" i="17"/>
  <c r="P296" i="17"/>
  <c r="Q296" i="17"/>
  <c r="R296" i="17"/>
  <c r="S296" i="17"/>
  <c r="M297" i="17"/>
  <c r="N297" i="17"/>
  <c r="O297" i="17"/>
  <c r="P297" i="17"/>
  <c r="Q297" i="17"/>
  <c r="R297" i="17"/>
  <c r="S297" i="17"/>
  <c r="L294" i="17"/>
  <c r="L295" i="17"/>
  <c r="L296" i="17"/>
  <c r="L297" i="17"/>
  <c r="L293" i="17"/>
  <c r="M253" i="17"/>
  <c r="N253" i="17"/>
  <c r="O253" i="17"/>
  <c r="P253" i="17"/>
  <c r="Q253" i="17"/>
  <c r="R253" i="17"/>
  <c r="S253" i="17"/>
  <c r="L253" i="17"/>
  <c r="L251" i="17"/>
  <c r="V207" i="17"/>
  <c r="W207" i="17" s="1"/>
  <c r="X207" i="17" s="1"/>
  <c r="Y207" i="17" s="1"/>
  <c r="Z207" i="17" s="1"/>
  <c r="AA207" i="17" s="1"/>
  <c r="AB207" i="17" s="1"/>
  <c r="D491" i="11"/>
  <c r="E398" i="11"/>
  <c r="D398" i="11"/>
  <c r="C398" i="11"/>
  <c r="E78" i="11"/>
  <c r="D78" i="11"/>
  <c r="C78" i="11"/>
  <c r="E393" i="9"/>
  <c r="D393" i="9"/>
  <c r="C393" i="9"/>
  <c r="F96" i="15"/>
  <c r="F97" i="15"/>
  <c r="D331" i="18" l="1"/>
  <c r="D337" i="18"/>
  <c r="D342" i="18"/>
  <c r="D351" i="18"/>
  <c r="D356" i="18"/>
  <c r="D361" i="18"/>
  <c r="D366" i="18"/>
  <c r="D379" i="18"/>
  <c r="D128" i="18"/>
  <c r="D133" i="15" s="1"/>
  <c r="D134" i="18"/>
  <c r="D139" i="15" s="1"/>
  <c r="H90" i="18"/>
  <c r="H95" i="15" s="1"/>
  <c r="H76" i="9" s="1"/>
  <c r="D26" i="18"/>
  <c r="D25" i="15" s="1"/>
  <c r="D125" i="20"/>
  <c r="D131" i="20" s="1"/>
  <c r="D137" i="20" l="1"/>
  <c r="D146" i="18" s="1"/>
  <c r="D151" i="15" s="1"/>
  <c r="D140" i="18"/>
  <c r="D145" i="15" s="1"/>
  <c r="D125" i="11"/>
  <c r="D114" i="9"/>
  <c r="D380" i="15"/>
  <c r="D358" i="11" s="1"/>
  <c r="D353" i="9"/>
  <c r="D375" i="15"/>
  <c r="D353" i="11" s="1"/>
  <c r="D348" i="9"/>
  <c r="D370" i="15"/>
  <c r="D348" i="11" s="1"/>
  <c r="D343" i="9"/>
  <c r="D393" i="15"/>
  <c r="D371" i="11" s="1"/>
  <c r="D366" i="9"/>
  <c r="D365" i="15"/>
  <c r="D343" i="11" s="1"/>
  <c r="D338" i="9"/>
  <c r="D120" i="9"/>
  <c r="D131" i="11"/>
  <c r="D356" i="15"/>
  <c r="D334" i="11" s="1"/>
  <c r="D329" i="9"/>
  <c r="D25" i="11"/>
  <c r="D26" i="9"/>
  <c r="D351" i="15"/>
  <c r="D329" i="11" s="1"/>
  <c r="D324" i="9"/>
  <c r="D345" i="15"/>
  <c r="D323" i="11" s="1"/>
  <c r="D318" i="9"/>
  <c r="G17" i="21"/>
  <c r="M241" i="17"/>
  <c r="M324" i="17" s="1"/>
  <c r="M325" i="17" s="1"/>
  <c r="N241" i="17"/>
  <c r="N324" i="17" s="1"/>
  <c r="N325" i="17" s="1"/>
  <c r="O241" i="17"/>
  <c r="O324" i="17" s="1"/>
  <c r="O325" i="17" s="1"/>
  <c r="P241" i="17"/>
  <c r="P324" i="17" s="1"/>
  <c r="P325" i="17" s="1"/>
  <c r="Q241" i="17"/>
  <c r="Q324" i="17" s="1"/>
  <c r="Q325" i="17" s="1"/>
  <c r="R241" i="17"/>
  <c r="R324" i="17" s="1"/>
  <c r="R325" i="17" s="1"/>
  <c r="S241" i="17"/>
  <c r="S324" i="17" s="1"/>
  <c r="S325" i="17" s="1"/>
  <c r="L241" i="17"/>
  <c r="L324" i="17" s="1"/>
  <c r="L325" i="17" s="1"/>
  <c r="D126" i="9" l="1"/>
  <c r="D137" i="11"/>
  <c r="D132" i="9"/>
  <c r="D143" i="11"/>
  <c r="D211" i="17"/>
  <c r="O15" i="17"/>
  <c r="G28" i="17"/>
  <c r="O14" i="17"/>
  <c r="D333" i="17"/>
  <c r="O9" i="17"/>
  <c r="O13" i="17"/>
  <c r="D325" i="17"/>
  <c r="O12" i="17"/>
  <c r="O11" i="17"/>
  <c r="O10" i="17"/>
  <c r="G27" i="17"/>
  <c r="G25" i="17"/>
  <c r="D256" i="17"/>
  <c r="D265" i="17" s="1"/>
  <c r="D273" i="17" s="1"/>
  <c r="D281" i="17" s="1"/>
  <c r="D289" i="17" s="1"/>
  <c r="D297" i="17" s="1"/>
  <c r="G26" i="17"/>
  <c r="D214" i="17"/>
  <c r="D88" i="21"/>
  <c r="C26" i="15"/>
  <c r="C27" i="9" s="1"/>
  <c r="G21" i="17"/>
  <c r="X71" i="25"/>
  <c r="J71" i="25"/>
  <c r="J121" i="25"/>
  <c r="J106" i="25"/>
  <c r="J73" i="25"/>
  <c r="D42" i="17"/>
  <c r="D134" i="17"/>
  <c r="D139" i="17" s="1"/>
  <c r="D144" i="17" s="1"/>
  <c r="D149" i="17" s="1"/>
  <c r="D154" i="17" s="1"/>
  <c r="D159" i="17" s="1"/>
  <c r="D135" i="17"/>
  <c r="D140" i="17" s="1"/>
  <c r="D145" i="17" s="1"/>
  <c r="D150" i="17" s="1"/>
  <c r="D155" i="17" s="1"/>
  <c r="D160" i="17" s="1"/>
  <c r="D136" i="17"/>
  <c r="D141" i="17" s="1"/>
  <c r="D146" i="17" s="1"/>
  <c r="D151" i="17" s="1"/>
  <c r="D156" i="17" s="1"/>
  <c r="D161" i="17" s="1"/>
  <c r="D170" i="11"/>
  <c r="D230" i="11"/>
  <c r="D156" i="11"/>
  <c r="D26" i="11"/>
  <c r="D173" i="11"/>
  <c r="D284" i="9"/>
  <c r="D231" i="9"/>
  <c r="D307" i="15"/>
  <c r="D287" i="11" s="1"/>
  <c r="D255" i="15"/>
  <c r="D172" i="15"/>
  <c r="D164" i="15"/>
  <c r="D80" i="15"/>
  <c r="A3" i="15"/>
  <c r="D10" i="9"/>
  <c r="D486" i="20"/>
  <c r="D497" i="18" s="1"/>
  <c r="D303" i="15"/>
  <c r="D283" i="11" s="1"/>
  <c r="D251" i="15"/>
  <c r="D186" i="15"/>
  <c r="D168" i="15"/>
  <c r="D158" i="11" s="1"/>
  <c r="D61" i="15"/>
  <c r="D309" i="15" s="1"/>
  <c r="D33" i="15"/>
  <c r="D11" i="9"/>
  <c r="D305" i="15"/>
  <c r="D285" i="11" s="1"/>
  <c r="D253" i="15"/>
  <c r="D232" i="11" s="1"/>
  <c r="C226" i="15"/>
  <c r="D170" i="15"/>
  <c r="D160" i="11" s="1"/>
  <c r="D72" i="15"/>
  <c r="D166" i="15"/>
  <c r="D10" i="15"/>
  <c r="D10" i="11" s="1"/>
  <c r="D183" i="15"/>
  <c r="D302" i="15"/>
  <c r="D249" i="15"/>
  <c r="D82" i="15"/>
  <c r="D283" i="18"/>
  <c r="D275" i="11" s="1"/>
  <c r="C176" i="20"/>
  <c r="C185" i="18" s="1"/>
  <c r="D281" i="18"/>
  <c r="D46" i="18"/>
  <c r="D47" i="11" s="1"/>
  <c r="C42" i="20"/>
  <c r="D11" i="20"/>
  <c r="C18" i="20"/>
  <c r="C18" i="18" s="1"/>
  <c r="C17" i="15" s="1"/>
  <c r="D84" i="20"/>
  <c r="D93" i="18" s="1"/>
  <c r="D98" i="15" s="1"/>
  <c r="D38" i="20"/>
  <c r="B113" i="20"/>
  <c r="B122" i="18" s="1"/>
  <c r="B127" i="15" s="1"/>
  <c r="D76" i="20"/>
  <c r="D85" i="18" s="1"/>
  <c r="D90" i="15" s="1"/>
  <c r="C65" i="20"/>
  <c r="C74" i="18" s="1"/>
  <c r="C76" i="15" s="1"/>
  <c r="D118" i="20"/>
  <c r="D145" i="20"/>
  <c r="D154" i="18" s="1"/>
  <c r="D159" i="15" s="1"/>
  <c r="D152" i="20"/>
  <c r="D161" i="18" s="1"/>
  <c r="D148" i="9" s="1"/>
  <c r="B160" i="20"/>
  <c r="D165" i="20"/>
  <c r="D174" i="18" s="1"/>
  <c r="D174" i="20"/>
  <c r="D183" i="18" s="1"/>
  <c r="D12" i="20"/>
  <c r="D12" i="18" s="1"/>
  <c r="D11" i="15" s="1"/>
  <c r="C24" i="20"/>
  <c r="C24" i="18" s="1"/>
  <c r="C23" i="15" s="1"/>
  <c r="D50" i="20"/>
  <c r="D66" i="20"/>
  <c r="D75" i="18" s="1"/>
  <c r="D77" i="15" s="1"/>
  <c r="D78" i="20"/>
  <c r="D87" i="18" s="1"/>
  <c r="D92" i="15" s="1"/>
  <c r="C87" i="20"/>
  <c r="C96" i="18" s="1"/>
  <c r="C101" i="15" s="1"/>
  <c r="C115" i="20"/>
  <c r="C124" i="18" s="1"/>
  <c r="C129" i="15" s="1"/>
  <c r="C121" i="20"/>
  <c r="C130" i="18" s="1"/>
  <c r="C135" i="15" s="1"/>
  <c r="B140" i="20"/>
  <c r="B149" i="18" s="1"/>
  <c r="B154" i="15" s="1"/>
  <c r="D147" i="20"/>
  <c r="D156" i="18" s="1"/>
  <c r="D161" i="15" s="1"/>
  <c r="D154" i="20"/>
  <c r="D163" i="18" s="1"/>
  <c r="D150" i="9" s="1"/>
  <c r="C162" i="20"/>
  <c r="C171" i="18" s="1"/>
  <c r="D168" i="20"/>
  <c r="D177" i="18" s="1"/>
  <c r="D164" i="9" s="1"/>
  <c r="D16" i="21"/>
  <c r="D11" i="18"/>
  <c r="D559" i="20"/>
  <c r="D569" i="18" s="1"/>
  <c r="D557" i="20"/>
  <c r="D567" i="18" s="1"/>
  <c r="C543" i="20"/>
  <c r="C554" i="18" s="1"/>
  <c r="B483" i="20"/>
  <c r="B494" i="18" s="1"/>
  <c r="C469" i="20"/>
  <c r="C461" i="20"/>
  <c r="C472" i="18" s="1"/>
  <c r="C455" i="20"/>
  <c r="C466" i="18" s="1"/>
  <c r="C447" i="20"/>
  <c r="C439" i="20"/>
  <c r="D433" i="20"/>
  <c r="D444" i="18" s="1"/>
  <c r="D423" i="20"/>
  <c r="D434" i="18" s="1"/>
  <c r="C419" i="20"/>
  <c r="C430" i="18" s="1"/>
  <c r="C402" i="20"/>
  <c r="C413" i="18" s="1"/>
  <c r="B397" i="20"/>
  <c r="B408" i="18" s="1"/>
  <c r="C382" i="20"/>
  <c r="C393" i="18" s="1"/>
  <c r="D372" i="20"/>
  <c r="D366" i="20"/>
  <c r="D377" i="18" s="1"/>
  <c r="C342" i="20"/>
  <c r="C353" i="18" s="1"/>
  <c r="D335" i="20"/>
  <c r="D323" i="20"/>
  <c r="D334" i="18" s="1"/>
  <c r="D317" i="20"/>
  <c r="D309" i="20"/>
  <c r="D320" i="18" s="1"/>
  <c r="D299" i="20"/>
  <c r="D310" i="18" s="1"/>
  <c r="D286" i="20"/>
  <c r="D297" i="18" s="1"/>
  <c r="D275" i="20"/>
  <c r="D286" i="18" s="1"/>
  <c r="D297" i="15" s="1"/>
  <c r="E265" i="20"/>
  <c r="E272" i="18" s="1"/>
  <c r="E287" i="15" s="1"/>
  <c r="E253" i="20"/>
  <c r="E260" i="18" s="1"/>
  <c r="E275" i="15" s="1"/>
  <c r="E242" i="20"/>
  <c r="D231" i="20"/>
  <c r="D226" i="20"/>
  <c r="C221" i="20"/>
  <c r="C230" i="18" s="1"/>
  <c r="C210" i="20"/>
  <c r="C219" i="18" s="1"/>
  <c r="C206" i="9" s="1"/>
  <c r="C202" i="20"/>
  <c r="C211" i="18" s="1"/>
  <c r="C196" i="20"/>
  <c r="C205" i="18" s="1"/>
  <c r="D185" i="20"/>
  <c r="D194" i="18" s="1"/>
  <c r="C458" i="20"/>
  <c r="C469" i="18" s="1"/>
  <c r="C443" i="20"/>
  <c r="D411" i="20"/>
  <c r="D422" i="18" s="1"/>
  <c r="C399" i="20"/>
  <c r="C410" i="18" s="1"/>
  <c r="C389" i="20"/>
  <c r="C400" i="18" s="1"/>
  <c r="D37" i="18"/>
  <c r="D38" i="11" s="1"/>
  <c r="D59" i="11" s="1"/>
  <c r="D10" i="18"/>
  <c r="C531" i="20"/>
  <c r="C542" i="18" s="1"/>
  <c r="C81" i="20"/>
  <c r="C90" i="18" s="1"/>
  <c r="C95" i="15" s="1"/>
  <c r="D560" i="20"/>
  <c r="D570" i="18" s="1"/>
  <c r="C550" i="20"/>
  <c r="C561" i="18" s="1"/>
  <c r="C535" i="20"/>
  <c r="C546" i="18" s="1"/>
  <c r="B520" i="20"/>
  <c r="B531" i="18" s="1"/>
  <c r="C468" i="20"/>
  <c r="C479" i="18" s="1"/>
  <c r="C459" i="20"/>
  <c r="C470" i="18" s="1"/>
  <c r="C453" i="20"/>
  <c r="C464" i="18" s="1"/>
  <c r="C432" i="20"/>
  <c r="D422" i="20"/>
  <c r="D412" i="20"/>
  <c r="D423" i="18" s="1"/>
  <c r="B407" i="20"/>
  <c r="D401" i="20"/>
  <c r="B395" i="20"/>
  <c r="B406" i="18" s="1"/>
  <c r="C376" i="20"/>
  <c r="C387" i="18" s="1"/>
  <c r="D371" i="20"/>
  <c r="D365" i="20"/>
  <c r="D376" i="18" s="1"/>
  <c r="C347" i="20"/>
  <c r="C358" i="18" s="1"/>
  <c r="D334" i="20"/>
  <c r="C328" i="20"/>
  <c r="C339" i="18" s="1"/>
  <c r="C322" i="20"/>
  <c r="C333" i="18" s="1"/>
  <c r="D316" i="20"/>
  <c r="D327" i="18" s="1"/>
  <c r="D308" i="20"/>
  <c r="D319" i="18" s="1"/>
  <c r="D303" i="20"/>
  <c r="D314" i="18" s="1"/>
  <c r="D298" i="20"/>
  <c r="D291" i="20"/>
  <c r="D302" i="18" s="1"/>
  <c r="D284" i="20"/>
  <c r="D295" i="18" s="1"/>
  <c r="D274" i="20"/>
  <c r="D285" i="18" s="1"/>
  <c r="D296" i="15" s="1"/>
  <c r="E264" i="20"/>
  <c r="E271" i="18" s="1"/>
  <c r="E286" i="15" s="1"/>
  <c r="E252" i="20"/>
  <c r="E259" i="18" s="1"/>
  <c r="E274" i="15" s="1"/>
  <c r="E241" i="20"/>
  <c r="E248" i="18" s="1"/>
  <c r="E263" i="15" s="1"/>
  <c r="D237" i="20"/>
  <c r="D244" i="18" s="1"/>
  <c r="D259" i="15" s="1"/>
  <c r="D229" i="20"/>
  <c r="D238" i="18" s="1"/>
  <c r="D225" i="20"/>
  <c r="D218" i="20"/>
  <c r="D227" i="18" s="1"/>
  <c r="C208" i="20"/>
  <c r="C217" i="18" s="1"/>
  <c r="D200" i="20"/>
  <c r="D209" i="18" s="1"/>
  <c r="B194" i="20"/>
  <c r="B203" i="18" s="1"/>
  <c r="C187" i="20"/>
  <c r="C196" i="18" s="1"/>
  <c r="D21" i="18"/>
  <c r="D20" i="15" s="1"/>
  <c r="D75" i="20"/>
  <c r="D84" i="18" s="1"/>
  <c r="D89" i="15" s="1"/>
  <c r="D561" i="20"/>
  <c r="D571" i="18" s="1"/>
  <c r="C547" i="20"/>
  <c r="C558" i="18" s="1"/>
  <c r="D533" i="20"/>
  <c r="D544" i="18" s="1"/>
  <c r="C467" i="20"/>
  <c r="C478" i="18" s="1"/>
  <c r="C451" i="20"/>
  <c r="D435" i="20"/>
  <c r="B430" i="20"/>
  <c r="B441" i="18" s="1"/>
  <c r="D416" i="20"/>
  <c r="D427" i="18" s="1"/>
  <c r="C49" i="20"/>
  <c r="C46" i="9" s="1"/>
  <c r="D558" i="20"/>
  <c r="D568" i="18" s="1"/>
  <c r="C456" i="20"/>
  <c r="C467" i="18" s="1"/>
  <c r="D373" i="20"/>
  <c r="B362" i="20"/>
  <c r="B373" i="18" s="1"/>
  <c r="D318" i="20"/>
  <c r="D305" i="20"/>
  <c r="D316" i="18" s="1"/>
  <c r="D296" i="20"/>
  <c r="D307" i="18" s="1"/>
  <c r="D280" i="20"/>
  <c r="D291" i="18" s="1"/>
  <c r="D278" i="9" s="1"/>
  <c r="E258" i="20"/>
  <c r="E265" i="18" s="1"/>
  <c r="E280" i="15" s="1"/>
  <c r="E239" i="20"/>
  <c r="D227" i="20"/>
  <c r="D216" i="20"/>
  <c r="D225" i="18" s="1"/>
  <c r="D197" i="20"/>
  <c r="D206" i="18" s="1"/>
  <c r="B182" i="20"/>
  <c r="D235" i="20"/>
  <c r="D242" i="18" s="1"/>
  <c r="D257" i="15" s="1"/>
  <c r="B206" i="20"/>
  <c r="B215" i="18" s="1"/>
  <c r="D191" i="20"/>
  <c r="B465" i="20"/>
  <c r="B476" i="18" s="1"/>
  <c r="D319" i="20"/>
  <c r="D282" i="20"/>
  <c r="D293" i="18" s="1"/>
  <c r="D280" i="9" s="1"/>
  <c r="D228" i="20"/>
  <c r="D237" i="18" s="1"/>
  <c r="C184" i="20"/>
  <c r="C193" i="18" s="1"/>
  <c r="D562" i="20"/>
  <c r="D572" i="18" s="1"/>
  <c r="D532" i="20"/>
  <c r="D543" i="18" s="1"/>
  <c r="C449" i="20"/>
  <c r="D420" i="20"/>
  <c r="D431" i="18" s="1"/>
  <c r="D400" i="20"/>
  <c r="C370" i="20"/>
  <c r="C381" i="18" s="1"/>
  <c r="C352" i="20"/>
  <c r="C363" i="18" s="1"/>
  <c r="D325" i="20"/>
  <c r="D336" i="18" s="1"/>
  <c r="C315" i="20"/>
  <c r="C326" i="18" s="1"/>
  <c r="D302" i="20"/>
  <c r="D313" i="18" s="1"/>
  <c r="D290" i="20"/>
  <c r="D301" i="18" s="1"/>
  <c r="D272" i="20"/>
  <c r="D279" i="18" s="1"/>
  <c r="D294" i="15" s="1"/>
  <c r="E247" i="20"/>
  <c r="E254" i="18" s="1"/>
  <c r="E269" i="15" s="1"/>
  <c r="D223" i="20"/>
  <c r="C545" i="20"/>
  <c r="C556" i="18" s="1"/>
  <c r="D410" i="20"/>
  <c r="D421" i="18" s="1"/>
  <c r="C364" i="20"/>
  <c r="C375" i="18" s="1"/>
  <c r="D297" i="20"/>
  <c r="D308" i="18" s="1"/>
  <c r="E259" i="20"/>
  <c r="E266" i="18" s="1"/>
  <c r="E281" i="15" s="1"/>
  <c r="D217" i="20"/>
  <c r="D226" i="18" s="1"/>
  <c r="D20" i="18"/>
  <c r="D19" i="15" s="1"/>
  <c r="C470" i="20"/>
  <c r="C481" i="18" s="1"/>
  <c r="C441" i="20"/>
  <c r="D415" i="20"/>
  <c r="D426" i="18" s="1"/>
  <c r="C388" i="20"/>
  <c r="C399" i="18" s="1"/>
  <c r="D367" i="20"/>
  <c r="D378" i="18" s="1"/>
  <c r="C337" i="20"/>
  <c r="C348" i="18" s="1"/>
  <c r="D324" i="20"/>
  <c r="D335" i="18" s="1"/>
  <c r="B313" i="20"/>
  <c r="B324" i="18" s="1"/>
  <c r="D300" i="20"/>
  <c r="D288" i="20"/>
  <c r="D299" i="18" s="1"/>
  <c r="D269" i="20"/>
  <c r="D276" i="18" s="1"/>
  <c r="D291" i="15" s="1"/>
  <c r="E246" i="20"/>
  <c r="E253" i="18" s="1"/>
  <c r="E268" i="15" s="1"/>
  <c r="D233" i="20"/>
  <c r="D240" i="18" s="1"/>
  <c r="D222" i="20"/>
  <c r="D231" i="18" s="1"/>
  <c r="D203" i="20"/>
  <c r="D212" i="18" s="1"/>
  <c r="D188" i="20"/>
  <c r="D197" i="18" s="1"/>
  <c r="D434" i="20"/>
  <c r="D445" i="18" s="1"/>
  <c r="D374" i="20"/>
  <c r="C333" i="20"/>
  <c r="C344" i="18" s="1"/>
  <c r="E240" i="20"/>
  <c r="E247" i="18" s="1"/>
  <c r="E262" i="15" s="1"/>
  <c r="C199" i="20"/>
  <c r="B7" i="20"/>
  <c r="B7" i="18" s="1"/>
  <c r="B7" i="15" s="1"/>
  <c r="C14" i="20"/>
  <c r="D33" i="20"/>
  <c r="D37" i="15" s="1"/>
  <c r="D32" i="9" s="1"/>
  <c r="D55" i="20"/>
  <c r="B72" i="20"/>
  <c r="B81" i="18" s="1"/>
  <c r="B86" i="15" s="1"/>
  <c r="D82" i="20"/>
  <c r="D91" i="18" s="1"/>
  <c r="D96" i="15" s="1"/>
  <c r="C88" i="20"/>
  <c r="C97" i="18" s="1"/>
  <c r="C102" i="15" s="1"/>
  <c r="D116" i="20"/>
  <c r="D125" i="18" s="1"/>
  <c r="D130" i="15" s="1"/>
  <c r="C142" i="20"/>
  <c r="C151" i="18" s="1"/>
  <c r="C156" i="15" s="1"/>
  <c r="C149" i="20"/>
  <c r="C158" i="18" s="1"/>
  <c r="C163" i="15" s="1"/>
  <c r="D156" i="20"/>
  <c r="D165" i="18" s="1"/>
  <c r="D152" i="9" s="1"/>
  <c r="D163" i="20"/>
  <c r="D172" i="18" s="1"/>
  <c r="D170" i="20"/>
  <c r="D179" i="18" s="1"/>
  <c r="D166" i="9" s="1"/>
  <c r="D177" i="20"/>
  <c r="D186" i="18" s="1"/>
  <c r="C133" i="20"/>
  <c r="C142" i="18" s="1"/>
  <c r="C147" i="15" s="1"/>
  <c r="D10" i="20"/>
  <c r="D15" i="20"/>
  <c r="D34" i="20"/>
  <c r="D38" i="15" s="1"/>
  <c r="D33" i="9" s="1"/>
  <c r="C58" i="20"/>
  <c r="C74" i="20"/>
  <c r="C83" i="18" s="1"/>
  <c r="C88" i="15" s="1"/>
  <c r="D83" i="20"/>
  <c r="D92" i="18" s="1"/>
  <c r="D97" i="15" s="1"/>
  <c r="B111" i="20"/>
  <c r="B120" i="18" s="1"/>
  <c r="B125" i="15" s="1"/>
  <c r="D117" i="20"/>
  <c r="C127" i="20"/>
  <c r="C136" i="18" s="1"/>
  <c r="C141" i="15" s="1"/>
  <c r="D143" i="20"/>
  <c r="D152" i="18" s="1"/>
  <c r="D157" i="15" s="1"/>
  <c r="D150" i="20"/>
  <c r="D159" i="18" s="1"/>
  <c r="D146" i="9" s="1"/>
  <c r="D158" i="20"/>
  <c r="D167" i="18" s="1"/>
  <c r="D164" i="20"/>
  <c r="D173" i="18" s="1"/>
  <c r="D172" i="20"/>
  <c r="D181" i="18" s="1"/>
  <c r="D178" i="20"/>
  <c r="D187" i="18" s="1"/>
  <c r="A1" i="22"/>
  <c r="B39" i="22"/>
  <c r="B7" i="22"/>
  <c r="C27" i="22"/>
  <c r="C9" i="22"/>
  <c r="B97" i="22"/>
  <c r="D10" i="22"/>
  <c r="D19" i="22" s="1"/>
  <c r="D28" i="22" s="1"/>
  <c r="D42" i="22" s="1"/>
  <c r="D51" i="22" s="1"/>
  <c r="D60" i="22" s="1"/>
  <c r="C18" i="22"/>
  <c r="G17" i="17"/>
  <c r="G14" i="17"/>
  <c r="G22" i="17"/>
  <c r="G11" i="17"/>
  <c r="G15" i="17"/>
  <c r="G19" i="17"/>
  <c r="G23" i="17"/>
  <c r="G13" i="17"/>
  <c r="G10" i="17"/>
  <c r="G18" i="17"/>
  <c r="G12" i="17"/>
  <c r="G16" i="17"/>
  <c r="G20" i="17"/>
  <c r="G24" i="17"/>
  <c r="G9" i="17"/>
  <c r="D18" i="1"/>
  <c r="C36" i="1"/>
  <c r="C69" i="1"/>
  <c r="C138" i="1"/>
  <c r="C169" i="1"/>
  <c r="A1" i="1"/>
  <c r="D11" i="1"/>
  <c r="D19" i="1"/>
  <c r="C25" i="1"/>
  <c r="D31" i="1"/>
  <c r="D37" i="1"/>
  <c r="B44" i="1"/>
  <c r="C60" i="1"/>
  <c r="C78" i="1"/>
  <c r="C108" i="1"/>
  <c r="E122" i="1"/>
  <c r="D139" i="1"/>
  <c r="B188" i="1"/>
  <c r="C199" i="1"/>
  <c r="E210" i="1"/>
  <c r="A1" i="17"/>
  <c r="D10" i="1"/>
  <c r="D30" i="1"/>
  <c r="B58" i="1"/>
  <c r="D121" i="1"/>
  <c r="E192" i="1"/>
  <c r="B7" i="1"/>
  <c r="D12" i="1"/>
  <c r="D20" i="1"/>
  <c r="D26" i="1"/>
  <c r="D32" i="1"/>
  <c r="D38" i="1"/>
  <c r="C46" i="1"/>
  <c r="D61" i="1"/>
  <c r="D70" i="1" s="1"/>
  <c r="B88" i="1"/>
  <c r="B118" i="1"/>
  <c r="C129" i="1"/>
  <c r="C148" i="1"/>
  <c r="C178" i="1"/>
  <c r="C190" i="1"/>
  <c r="B7" i="17"/>
  <c r="D22" i="1"/>
  <c r="D41" i="1"/>
  <c r="C99" i="1"/>
  <c r="B158" i="1"/>
  <c r="E201" i="1"/>
  <c r="D9" i="1"/>
  <c r="B15" i="1"/>
  <c r="D21" i="1"/>
  <c r="C29" i="1"/>
  <c r="D33" i="1"/>
  <c r="D39" i="1"/>
  <c r="D40" i="1" s="1"/>
  <c r="C48" i="1"/>
  <c r="E62" i="1"/>
  <c r="C90" i="1"/>
  <c r="C120" i="1"/>
  <c r="D130" i="1"/>
  <c r="C208" i="1"/>
  <c r="C217" i="1"/>
  <c r="D10" i="25"/>
  <c r="D22" i="25"/>
  <c r="J31" i="25"/>
  <c r="J98" i="25" s="1"/>
  <c r="J46" i="25"/>
  <c r="J113" i="25" s="1"/>
  <c r="J64" i="25"/>
  <c r="J131" i="25" s="1"/>
  <c r="X3" i="25"/>
  <c r="D7" i="25"/>
  <c r="D12" i="25"/>
  <c r="D17" i="25"/>
  <c r="D24" i="25"/>
  <c r="J6" i="25"/>
  <c r="J11" i="25"/>
  <c r="J27" i="25"/>
  <c r="J94" i="25" s="1"/>
  <c r="J32" i="25"/>
  <c r="J99" i="25" s="1"/>
  <c r="J37" i="25"/>
  <c r="J104" i="25" s="1"/>
  <c r="J43" i="25"/>
  <c r="J110" i="25" s="1"/>
  <c r="J47" i="25"/>
  <c r="J114" i="25" s="1"/>
  <c r="J56" i="25"/>
  <c r="J123" i="25" s="1"/>
  <c r="J60" i="25"/>
  <c r="J127" i="25" s="1"/>
  <c r="J65" i="25"/>
  <c r="J132" i="25" s="1"/>
  <c r="AA124" i="25"/>
  <c r="AC209" i="25" s="1"/>
  <c r="D6" i="25"/>
  <c r="J3" i="25"/>
  <c r="J42" i="25"/>
  <c r="J109" i="25" s="1"/>
  <c r="C3" i="25"/>
  <c r="D13" i="25"/>
  <c r="D20" i="25"/>
  <c r="D25" i="25"/>
  <c r="J8" i="25"/>
  <c r="J13" i="25"/>
  <c r="J80" i="25" s="1"/>
  <c r="J18" i="25"/>
  <c r="J85" i="25" s="1"/>
  <c r="J23" i="25"/>
  <c r="J90" i="25" s="1"/>
  <c r="J28" i="25"/>
  <c r="J95" i="25" s="1"/>
  <c r="J33" i="25"/>
  <c r="J100" i="25" s="1"/>
  <c r="J39" i="25"/>
  <c r="J44" i="25"/>
  <c r="D65" i="17" s="1"/>
  <c r="J49" i="25"/>
  <c r="J116" i="25" s="1"/>
  <c r="J57" i="25"/>
  <c r="J124" i="25" s="1"/>
  <c r="J62" i="25"/>
  <c r="J129" i="25" s="1"/>
  <c r="J66" i="25"/>
  <c r="J133" i="25" s="1"/>
  <c r="P4" i="25"/>
  <c r="AA152" i="25"/>
  <c r="D16" i="25"/>
  <c r="J10" i="25"/>
  <c r="J26" i="25"/>
  <c r="J93" i="25" s="1"/>
  <c r="J35" i="25"/>
  <c r="J102" i="25" s="1"/>
  <c r="J54" i="25"/>
  <c r="D8" i="25"/>
  <c r="D5" i="25"/>
  <c r="D9" i="25"/>
  <c r="D14" i="25"/>
  <c r="D21" i="25"/>
  <c r="D26" i="25"/>
  <c r="J9" i="25"/>
  <c r="J25" i="25"/>
  <c r="J92" i="25" s="1"/>
  <c r="J30" i="25"/>
  <c r="J97" i="25" s="1"/>
  <c r="J34" i="25"/>
  <c r="J101" i="25" s="1"/>
  <c r="J41" i="25"/>
  <c r="J108" i="25" s="1"/>
  <c r="J45" i="25"/>
  <c r="D66" i="17" s="1"/>
  <c r="J51" i="25"/>
  <c r="J63" i="25"/>
  <c r="J130" i="25" s="1"/>
  <c r="Q4" i="25"/>
  <c r="Q19" i="21"/>
  <c r="Z19" i="21"/>
  <c r="AI19" i="21"/>
  <c r="Q10" i="21"/>
  <c r="Q12" i="21"/>
  <c r="Q15" i="21"/>
  <c r="Q16" i="21" s="1"/>
  <c r="D197" i="21"/>
  <c r="D187" i="21"/>
  <c r="D189" i="21"/>
  <c r="D191" i="21"/>
  <c r="D185" i="21"/>
  <c r="D193" i="21"/>
  <c r="D183" i="21"/>
  <c r="D182" i="21"/>
  <c r="D168" i="21"/>
  <c r="D174" i="21"/>
  <c r="D169" i="21"/>
  <c r="D176" i="21"/>
  <c r="D170" i="21"/>
  <c r="D178" i="21"/>
  <c r="D167" i="21"/>
  <c r="D172" i="21"/>
  <c r="D180" i="21"/>
  <c r="D152" i="21"/>
  <c r="D159" i="21"/>
  <c r="D154" i="21"/>
  <c r="D161" i="21"/>
  <c r="D163" i="21"/>
  <c r="D155" i="21"/>
  <c r="D151" i="21"/>
  <c r="D157" i="21"/>
  <c r="D165" i="21"/>
  <c r="D145" i="21"/>
  <c r="D136" i="21"/>
  <c r="D141" i="21"/>
  <c r="D146" i="21"/>
  <c r="D137" i="21"/>
  <c r="D142" i="21"/>
  <c r="D147" i="21"/>
  <c r="D139" i="21"/>
  <c r="D138" i="21"/>
  <c r="D144" i="21"/>
  <c r="D149" i="21"/>
  <c r="D121" i="21"/>
  <c r="D125" i="21"/>
  <c r="D122" i="21"/>
  <c r="D126" i="21"/>
  <c r="D131" i="21"/>
  <c r="D119" i="21"/>
  <c r="D123" i="21"/>
  <c r="D127" i="21"/>
  <c r="D133" i="21"/>
  <c r="D130" i="21"/>
  <c r="D120" i="21"/>
  <c r="D124" i="21"/>
  <c r="D129" i="21"/>
  <c r="D134" i="21"/>
  <c r="D80" i="21"/>
  <c r="D253" i="17" s="1"/>
  <c r="D262" i="17" s="1"/>
  <c r="D270" i="17" s="1"/>
  <c r="D278" i="17" s="1"/>
  <c r="D286" i="17" s="1"/>
  <c r="D294" i="17" s="1"/>
  <c r="D94" i="21"/>
  <c r="D100" i="21"/>
  <c r="D109" i="21"/>
  <c r="D114" i="21"/>
  <c r="D83" i="21"/>
  <c r="D93" i="21"/>
  <c r="D76" i="21"/>
  <c r="C249" i="17" s="1"/>
  <c r="D81" i="21"/>
  <c r="D254" i="17" s="1"/>
  <c r="D263" i="17" s="1"/>
  <c r="D271" i="17" s="1"/>
  <c r="D279" i="17" s="1"/>
  <c r="D287" i="17" s="1"/>
  <c r="D295" i="17" s="1"/>
  <c r="D86" i="21"/>
  <c r="D95" i="21"/>
  <c r="D213" i="17" s="1"/>
  <c r="D102" i="21"/>
  <c r="D116" i="21"/>
  <c r="D79" i="21"/>
  <c r="D97" i="21"/>
  <c r="D106" i="21"/>
  <c r="D78" i="21"/>
  <c r="D252" i="17" s="1"/>
  <c r="D261" i="17" s="1"/>
  <c r="D269" i="17" s="1"/>
  <c r="D277" i="17" s="1"/>
  <c r="D285" i="17" s="1"/>
  <c r="D293" i="17" s="1"/>
  <c r="D82" i="21"/>
  <c r="D255" i="17" s="1"/>
  <c r="D264" i="17" s="1"/>
  <c r="D272" i="17" s="1"/>
  <c r="D280" i="17" s="1"/>
  <c r="D288" i="17" s="1"/>
  <c r="D296" i="17" s="1"/>
  <c r="D87" i="21"/>
  <c r="D332" i="17" s="1"/>
  <c r="D91" i="21"/>
  <c r="D96" i="21"/>
  <c r="D104" i="21"/>
  <c r="D111" i="21"/>
  <c r="D117" i="21"/>
  <c r="D49" i="21"/>
  <c r="D55" i="21"/>
  <c r="D60" i="21"/>
  <c r="D66" i="21"/>
  <c r="D70" i="21"/>
  <c r="D324" i="17" s="1"/>
  <c r="D48" i="21"/>
  <c r="D59" i="21"/>
  <c r="D69" i="21"/>
  <c r="D46" i="21"/>
  <c r="D50" i="21"/>
  <c r="D57" i="21"/>
  <c r="D61" i="21"/>
  <c r="D84" i="21" s="1"/>
  <c r="D67" i="21"/>
  <c r="D72" i="21"/>
  <c r="D53" i="21"/>
  <c r="D65" i="21"/>
  <c r="D47" i="21"/>
  <c r="D51" i="21"/>
  <c r="D58" i="21"/>
  <c r="D64" i="21"/>
  <c r="D68" i="21"/>
  <c r="D74" i="21"/>
  <c r="D25" i="21"/>
  <c r="D30" i="21" s="1"/>
  <c r="D35" i="21" s="1"/>
  <c r="D41" i="21"/>
  <c r="D21" i="21"/>
  <c r="D26" i="21"/>
  <c r="D31" i="21" s="1"/>
  <c r="D36" i="21" s="1"/>
  <c r="D112" i="21" s="1"/>
  <c r="D33" i="21"/>
  <c r="D42" i="21"/>
  <c r="D19" i="21"/>
  <c r="D23" i="21"/>
  <c r="D28" i="21"/>
  <c r="D37" i="21"/>
  <c r="D43" i="21"/>
  <c r="D24" i="21"/>
  <c r="D29" i="21" s="1"/>
  <c r="D34" i="21" s="1"/>
  <c r="D110" i="21" s="1"/>
  <c r="D39" i="21"/>
  <c r="D44" i="21"/>
  <c r="D323" i="17" s="1"/>
  <c r="D331" i="17" s="1"/>
  <c r="D13" i="21"/>
  <c r="D14" i="21"/>
  <c r="D3" i="21"/>
  <c r="D10" i="21"/>
  <c r="D15" i="21"/>
  <c r="D6" i="21"/>
  <c r="A1" i="21"/>
  <c r="B2" i="29" s="1"/>
  <c r="D7" i="21"/>
  <c r="D5" i="21"/>
  <c r="D12" i="21"/>
  <c r="M211" i="17"/>
  <c r="M214" i="17" s="1"/>
  <c r="N211" i="17"/>
  <c r="N214" i="17" s="1"/>
  <c r="O211" i="17"/>
  <c r="O214" i="17" s="1"/>
  <c r="P211" i="17"/>
  <c r="P214" i="17" s="1"/>
  <c r="Q211" i="17"/>
  <c r="Q214" i="17" s="1"/>
  <c r="R211" i="17"/>
  <c r="R214" i="17" s="1"/>
  <c r="S211" i="17"/>
  <c r="S214" i="17" s="1"/>
  <c r="L211" i="17"/>
  <c r="L214" i="17" s="1"/>
  <c r="L229" i="17"/>
  <c r="L240" i="17" s="1"/>
  <c r="L220" i="17"/>
  <c r="M207" i="17"/>
  <c r="M251" i="17" s="1"/>
  <c r="Q202" i="17"/>
  <c r="M201" i="17"/>
  <c r="N201" i="17"/>
  <c r="O201" i="17"/>
  <c r="P201" i="17"/>
  <c r="Q201" i="17"/>
  <c r="R201" i="17"/>
  <c r="S201" i="17"/>
  <c r="T201" i="17"/>
  <c r="U201" i="17"/>
  <c r="V201" i="17"/>
  <c r="W201" i="17"/>
  <c r="X201" i="17"/>
  <c r="Y201" i="17"/>
  <c r="Z201" i="17"/>
  <c r="AA201" i="17"/>
  <c r="L201" i="17"/>
  <c r="M200" i="17"/>
  <c r="N200" i="17"/>
  <c r="O200" i="17"/>
  <c r="P200" i="17"/>
  <c r="Q200" i="17"/>
  <c r="R200" i="17"/>
  <c r="S202" i="17" s="1"/>
  <c r="S200" i="17"/>
  <c r="T200" i="17"/>
  <c r="U200" i="17"/>
  <c r="V200" i="17"/>
  <c r="W200" i="17"/>
  <c r="X200" i="17"/>
  <c r="Y200" i="17"/>
  <c r="Z200" i="17"/>
  <c r="AA200" i="17"/>
  <c r="L200" i="17"/>
  <c r="M198" i="17"/>
  <c r="M202" i="17" s="1"/>
  <c r="N198" i="17"/>
  <c r="O198" i="17"/>
  <c r="O202" i="17" s="1"/>
  <c r="P198" i="17"/>
  <c r="Q198" i="17"/>
  <c r="R198" i="17"/>
  <c r="S198" i="17"/>
  <c r="T198" i="17"/>
  <c r="U198" i="17"/>
  <c r="U202" i="17" s="1"/>
  <c r="V198" i="17"/>
  <c r="W198" i="17"/>
  <c r="W202" i="17" s="1"/>
  <c r="X198" i="17"/>
  <c r="Y198" i="17"/>
  <c r="Y202" i="17" s="1"/>
  <c r="Z198" i="17"/>
  <c r="AA202" i="17" s="1"/>
  <c r="AA198" i="17"/>
  <c r="M199" i="17"/>
  <c r="N199" i="17"/>
  <c r="O199" i="17"/>
  <c r="P199" i="17"/>
  <c r="Q199" i="17"/>
  <c r="R199" i="17"/>
  <c r="S199" i="17"/>
  <c r="T199" i="17"/>
  <c r="U199" i="17"/>
  <c r="V199" i="17"/>
  <c r="W199" i="17"/>
  <c r="X199" i="17"/>
  <c r="Y199" i="17"/>
  <c r="Z199" i="17"/>
  <c r="AA199" i="17"/>
  <c r="L199" i="17"/>
  <c r="L198" i="17"/>
  <c r="S159" i="17"/>
  <c r="S160" i="17"/>
  <c r="S161" i="17"/>
  <c r="L160" i="17"/>
  <c r="M160" i="17"/>
  <c r="N160" i="17"/>
  <c r="O160" i="17"/>
  <c r="P160" i="17"/>
  <c r="Q160" i="17"/>
  <c r="R160" i="17"/>
  <c r="L161" i="17"/>
  <c r="M161" i="17"/>
  <c r="N161" i="17"/>
  <c r="O161" i="17"/>
  <c r="P161" i="17"/>
  <c r="Q161" i="17"/>
  <c r="R161" i="17"/>
  <c r="M159" i="17"/>
  <c r="N159" i="17"/>
  <c r="O159" i="17"/>
  <c r="P159" i="17"/>
  <c r="Q159" i="17"/>
  <c r="R159" i="17"/>
  <c r="L159" i="17"/>
  <c r="L133" i="17"/>
  <c r="E132" i="17"/>
  <c r="M125" i="17"/>
  <c r="M133" i="17" s="1"/>
  <c r="D120" i="17"/>
  <c r="I120" i="17"/>
  <c r="H120" i="17"/>
  <c r="G120" i="17"/>
  <c r="F120" i="17"/>
  <c r="I107" i="17"/>
  <c r="H107" i="17"/>
  <c r="G107" i="17"/>
  <c r="F107" i="17"/>
  <c r="I93" i="17"/>
  <c r="I94" i="17" s="1"/>
  <c r="H93" i="17"/>
  <c r="H94" i="17" s="1"/>
  <c r="G93" i="17"/>
  <c r="F93" i="17"/>
  <c r="G79" i="17"/>
  <c r="H79" i="17"/>
  <c r="I79" i="17"/>
  <c r="F79" i="17"/>
  <c r="E11" i="24"/>
  <c r="G95" i="1"/>
  <c r="L65" i="1"/>
  <c r="G78" i="15"/>
  <c r="E60" i="17"/>
  <c r="L50" i="17"/>
  <c r="L61" i="17" s="1"/>
  <c r="D51" i="17" a="1"/>
  <c r="D51" i="17" s="1"/>
  <c r="D75" i="17" s="1"/>
  <c r="D89" i="17" s="1"/>
  <c r="D103" i="17" s="1"/>
  <c r="D116" i="17" s="1"/>
  <c r="D126" i="17" s="1"/>
  <c r="D231" i="17" s="1"/>
  <c r="D351" i="17" s="1"/>
  <c r="Q5" i="25"/>
  <c r="G32" i="1"/>
  <c r="G30" i="1"/>
  <c r="G201" i="1"/>
  <c r="V176" i="1" s="1"/>
  <c r="G62" i="1"/>
  <c r="G7" i="25"/>
  <c r="G6" i="25"/>
  <c r="G122" i="1"/>
  <c r="T124" i="1"/>
  <c r="T142" i="1" s="1"/>
  <c r="T125" i="1"/>
  <c r="T126" i="1"/>
  <c r="T127" i="1"/>
  <c r="T123" i="1"/>
  <c r="T141" i="1" s="1"/>
  <c r="B12" i="26"/>
  <c r="X85" i="1"/>
  <c r="X115" i="1" s="1"/>
  <c r="W85" i="1"/>
  <c r="W115" i="1" s="1"/>
  <c r="V85" i="1"/>
  <c r="V115" i="1" s="1"/>
  <c r="U85" i="1"/>
  <c r="U115" i="1" s="1"/>
  <c r="T85" i="1"/>
  <c r="T115" i="1" s="1"/>
  <c r="R93" i="22"/>
  <c r="N127" i="1"/>
  <c r="M127" i="1"/>
  <c r="S34" i="22"/>
  <c r="P16" i="22"/>
  <c r="Q136" i="1"/>
  <c r="P136" i="1"/>
  <c r="O136" i="1" s="1"/>
  <c r="S16" i="22"/>
  <c r="I142" i="22"/>
  <c r="I141" i="22"/>
  <c r="I140" i="22"/>
  <c r="I139" i="22"/>
  <c r="C139" i="22"/>
  <c r="C140" i="22" s="1"/>
  <c r="C141" i="22" s="1"/>
  <c r="C142" i="22" s="1"/>
  <c r="I138" i="22"/>
  <c r="D138" i="22" a="1"/>
  <c r="D139" i="22" s="1"/>
  <c r="I66" i="22"/>
  <c r="I65" i="22"/>
  <c r="I64" i="22"/>
  <c r="I63" i="22"/>
  <c r="C63" i="22"/>
  <c r="C64" i="22" s="1"/>
  <c r="C65" i="22" s="1"/>
  <c r="C66" i="22" s="1"/>
  <c r="I62" i="22"/>
  <c r="D62" i="22" a="1"/>
  <c r="D63" i="22" s="1"/>
  <c r="I92" i="22"/>
  <c r="I91" i="22"/>
  <c r="I90" i="22"/>
  <c r="C90" i="22"/>
  <c r="C91" i="22" s="1"/>
  <c r="C92" i="22" s="1"/>
  <c r="C93" i="22" s="1"/>
  <c r="I89" i="22"/>
  <c r="D89" i="22" a="1"/>
  <c r="D90" i="22" s="1"/>
  <c r="I57" i="22"/>
  <c r="I56" i="22"/>
  <c r="I55" i="22"/>
  <c r="I54" i="22"/>
  <c r="C54" i="22"/>
  <c r="C55" i="22" s="1"/>
  <c r="C56" i="22" s="1"/>
  <c r="C57" i="22" s="1"/>
  <c r="I53" i="22"/>
  <c r="D53" i="22" a="1"/>
  <c r="D54" i="22" s="1"/>
  <c r="M115" i="1"/>
  <c r="N115" i="1"/>
  <c r="O115" i="1"/>
  <c r="P115" i="1"/>
  <c r="Q115" i="1"/>
  <c r="S115" i="1"/>
  <c r="L115" i="1"/>
  <c r="L97" i="1"/>
  <c r="M97" i="1"/>
  <c r="N97" i="1"/>
  <c r="O97" i="1"/>
  <c r="O16" i="22" s="1"/>
  <c r="P97" i="1"/>
  <c r="Q97" i="1"/>
  <c r="Q16" i="22" s="1"/>
  <c r="R97" i="1"/>
  <c r="R16" i="22" s="1"/>
  <c r="S97" i="1"/>
  <c r="G94" i="17" l="1"/>
  <c r="M220" i="17"/>
  <c r="M229" i="17" s="1"/>
  <c r="M240" i="17" s="1"/>
  <c r="N207" i="17"/>
  <c r="Q34" i="22"/>
  <c r="I80" i="17"/>
  <c r="F80" i="17"/>
  <c r="H80" i="17"/>
  <c r="J75" i="25"/>
  <c r="D245" i="17"/>
  <c r="A1" i="25"/>
  <c r="D221" i="17"/>
  <c r="D303" i="17" s="1"/>
  <c r="D313" i="17" s="1"/>
  <c r="C166" i="17"/>
  <c r="C124" i="17"/>
  <c r="C35" i="17"/>
  <c r="J118" i="25"/>
  <c r="D72" i="17"/>
  <c r="D86" i="17"/>
  <c r="C61" i="17"/>
  <c r="C49" i="17"/>
  <c r="D62" i="17"/>
  <c r="D177" i="17"/>
  <c r="D184" i="17" s="1"/>
  <c r="D39" i="17"/>
  <c r="D89" i="21"/>
  <c r="D178" i="17"/>
  <c r="D185" i="17" s="1"/>
  <c r="D40" i="17"/>
  <c r="D176" i="17"/>
  <c r="D183" i="17" s="1"/>
  <c r="D37" i="17"/>
  <c r="D90" i="21"/>
  <c r="D41" i="17"/>
  <c r="D179" i="17"/>
  <c r="D186" i="17" s="1"/>
  <c r="D193" i="17" s="1"/>
  <c r="D180" i="17"/>
  <c r="D187" i="17" s="1"/>
  <c r="D194" i="17" s="1"/>
  <c r="D201" i="17" s="1"/>
  <c r="D38" i="17"/>
  <c r="C215" i="20"/>
  <c r="D523" i="20" s="1"/>
  <c r="C17" i="11"/>
  <c r="C18" i="9"/>
  <c r="D179" i="15"/>
  <c r="D166" i="11" s="1"/>
  <c r="D160" i="9"/>
  <c r="C133" i="11"/>
  <c r="C122" i="9"/>
  <c r="C80" i="11"/>
  <c r="C69" i="9"/>
  <c r="D178" i="15"/>
  <c r="D165" i="11" s="1"/>
  <c r="D159" i="9"/>
  <c r="D122" i="11"/>
  <c r="D111" i="9"/>
  <c r="D459" i="15"/>
  <c r="D437" i="11" s="1"/>
  <c r="D432" i="9"/>
  <c r="D306" i="20"/>
  <c r="D317" i="18" s="1"/>
  <c r="D311" i="18"/>
  <c r="D392" i="15"/>
  <c r="D370" i="11" s="1"/>
  <c r="D365" i="9"/>
  <c r="C495" i="15"/>
  <c r="C473" i="11" s="1"/>
  <c r="C468" i="9"/>
  <c r="D322" i="15"/>
  <c r="D300" i="11" s="1"/>
  <c r="D295" i="9"/>
  <c r="D327" i="15"/>
  <c r="D305" i="11" s="1"/>
  <c r="D300" i="9"/>
  <c r="C395" i="15"/>
  <c r="C373" i="11" s="1"/>
  <c r="C368" i="9"/>
  <c r="D557" i="15"/>
  <c r="D535" i="11" s="1"/>
  <c r="D530" i="9"/>
  <c r="B222" i="15"/>
  <c r="B202" i="9"/>
  <c r="B205" i="11" s="1"/>
  <c r="D232" i="15"/>
  <c r="D213" i="11" s="1"/>
  <c r="D212" i="9"/>
  <c r="B387" i="15"/>
  <c r="B365" i="11" s="1"/>
  <c r="B360" i="9"/>
  <c r="C504" i="20"/>
  <c r="C515" i="18" s="1"/>
  <c r="C462" i="18"/>
  <c r="D585" i="15"/>
  <c r="D562" i="11" s="1"/>
  <c r="D558" i="9"/>
  <c r="B210" i="15"/>
  <c r="B190" i="9"/>
  <c r="B193" i="11" s="1"/>
  <c r="E251" i="11"/>
  <c r="E250" i="9"/>
  <c r="D316" i="15"/>
  <c r="D294" i="11" s="1"/>
  <c r="D289" i="9"/>
  <c r="D341" i="15"/>
  <c r="D319" i="11" s="1"/>
  <c r="D314" i="9"/>
  <c r="C372" i="15"/>
  <c r="C350" i="11" s="1"/>
  <c r="C345" i="9"/>
  <c r="B420" i="15"/>
  <c r="B398" i="11" s="1"/>
  <c r="B393" i="9"/>
  <c r="C445" i="20"/>
  <c r="D433" i="18"/>
  <c r="C493" i="15"/>
  <c r="C471" i="11" s="1"/>
  <c r="C466" i="9"/>
  <c r="D557" i="9"/>
  <c r="D584" i="15"/>
  <c r="D561" i="11" s="1"/>
  <c r="C496" i="20"/>
  <c r="C507" i="18" s="1"/>
  <c r="C454" i="18"/>
  <c r="C218" i="15"/>
  <c r="C198" i="9"/>
  <c r="C201" i="11" s="1"/>
  <c r="D247" i="15"/>
  <c r="D227" i="9"/>
  <c r="D278" i="11"/>
  <c r="D273" i="9"/>
  <c r="D525" i="20"/>
  <c r="D328" i="18"/>
  <c r="D391" i="15"/>
  <c r="D369" i="11" s="1"/>
  <c r="D364" i="9"/>
  <c r="C427" i="15"/>
  <c r="C405" i="11" s="1"/>
  <c r="C400" i="9"/>
  <c r="C492" i="20"/>
  <c r="C503" i="18" s="1"/>
  <c r="C450" i="18"/>
  <c r="D487" i="20"/>
  <c r="D498" i="18" s="1"/>
  <c r="C480" i="18"/>
  <c r="D556" i="9"/>
  <c r="D583" i="15"/>
  <c r="D560" i="11" s="1"/>
  <c r="D153" i="11"/>
  <c r="D143" i="9"/>
  <c r="C93" i="11"/>
  <c r="C82" i="9"/>
  <c r="C23" i="11"/>
  <c r="C24" i="9"/>
  <c r="C71" i="11"/>
  <c r="C60" i="9"/>
  <c r="D90" i="11"/>
  <c r="D79" i="9"/>
  <c r="D228" i="11"/>
  <c r="D229" i="9"/>
  <c r="D174" i="15"/>
  <c r="D154" i="9"/>
  <c r="C128" i="9"/>
  <c r="C139" i="11"/>
  <c r="C94" i="11"/>
  <c r="C83" i="9"/>
  <c r="E239" i="11"/>
  <c r="E238" i="9"/>
  <c r="D204" i="15"/>
  <c r="D184" i="9"/>
  <c r="D187" i="11" s="1"/>
  <c r="E245" i="11"/>
  <c r="E244" i="9"/>
  <c r="B338" i="15"/>
  <c r="B316" i="11" s="1"/>
  <c r="B311" i="9"/>
  <c r="C413" i="15"/>
  <c r="C391" i="11" s="1"/>
  <c r="C386" i="9"/>
  <c r="D19" i="11"/>
  <c r="D20" i="9"/>
  <c r="C389" i="15"/>
  <c r="C367" i="11" s="1"/>
  <c r="C362" i="9"/>
  <c r="E246" i="11"/>
  <c r="E245" i="9"/>
  <c r="C340" i="15"/>
  <c r="C318" i="11" s="1"/>
  <c r="C313" i="9"/>
  <c r="D403" i="20"/>
  <c r="D414" i="18" s="1"/>
  <c r="D411" i="18"/>
  <c r="D586" i="15"/>
  <c r="D559" i="9"/>
  <c r="D527" i="20"/>
  <c r="D330" i="18"/>
  <c r="D234" i="11"/>
  <c r="D233" i="9"/>
  <c r="D321" i="15"/>
  <c r="D299" i="11" s="1"/>
  <c r="D294" i="9"/>
  <c r="D379" i="20"/>
  <c r="D384" i="18"/>
  <c r="D441" i="15"/>
  <c r="D419" i="11" s="1"/>
  <c r="D414" i="9"/>
  <c r="C492" i="15"/>
  <c r="C470" i="11" s="1"/>
  <c r="C465" i="9"/>
  <c r="D81" i="11"/>
  <c r="D70" i="9"/>
  <c r="D216" i="15"/>
  <c r="D196" i="9"/>
  <c r="D199" i="11" s="1"/>
  <c r="D245" i="15"/>
  <c r="D226" i="11" s="1"/>
  <c r="D225" i="9"/>
  <c r="E263" i="11"/>
  <c r="E262" i="9"/>
  <c r="D304" i="20"/>
  <c r="D315" i="18" s="1"/>
  <c r="D309" i="18"/>
  <c r="C347" i="15"/>
  <c r="C325" i="11" s="1"/>
  <c r="C320" i="9"/>
  <c r="D390" i="15"/>
  <c r="D368" i="11" s="1"/>
  <c r="D363" i="9"/>
  <c r="D404" i="20"/>
  <c r="D415" i="18" s="1"/>
  <c r="D412" i="18"/>
  <c r="C485" i="20"/>
  <c r="C496" i="18" s="1"/>
  <c r="C443" i="18"/>
  <c r="B545" i="15"/>
  <c r="B523" i="11" s="1"/>
  <c r="B518" i="9"/>
  <c r="C87" i="11"/>
  <c r="C76" i="9"/>
  <c r="C414" i="15"/>
  <c r="C392" i="11" s="1"/>
  <c r="C387" i="9"/>
  <c r="C483" i="15"/>
  <c r="C461" i="11" s="1"/>
  <c r="C456" i="9"/>
  <c r="D348" i="15"/>
  <c r="D326" i="11" s="1"/>
  <c r="D321" i="9"/>
  <c r="D378" i="20"/>
  <c r="D383" i="18"/>
  <c r="C444" i="15"/>
  <c r="C422" i="11" s="1"/>
  <c r="C417" i="9"/>
  <c r="C500" i="20"/>
  <c r="C458" i="18"/>
  <c r="B508" i="15"/>
  <c r="B486" i="11" s="1"/>
  <c r="B481" i="9"/>
  <c r="B146" i="11"/>
  <c r="B136" i="9"/>
  <c r="D84" i="11"/>
  <c r="D73" i="9"/>
  <c r="D11" i="11"/>
  <c r="D12" i="9"/>
  <c r="D82" i="11"/>
  <c r="D71" i="9"/>
  <c r="D194" i="15"/>
  <c r="D174" i="9"/>
  <c r="D177" i="11" s="1"/>
  <c r="B117" i="11"/>
  <c r="B106" i="9"/>
  <c r="D193" i="15"/>
  <c r="D173" i="9"/>
  <c r="D176" i="11" s="1"/>
  <c r="C155" i="11"/>
  <c r="C145" i="9"/>
  <c r="D88" i="11"/>
  <c r="D77" i="9"/>
  <c r="C358" i="15"/>
  <c r="C336" i="11" s="1"/>
  <c r="C331" i="9"/>
  <c r="D219" i="15"/>
  <c r="D199" i="9"/>
  <c r="D202" i="11" s="1"/>
  <c r="D267" i="9"/>
  <c r="D268" i="11"/>
  <c r="D349" i="15"/>
  <c r="D327" i="11" s="1"/>
  <c r="D322" i="9"/>
  <c r="D440" i="15"/>
  <c r="D418" i="11" s="1"/>
  <c r="D413" i="9"/>
  <c r="D233" i="15"/>
  <c r="D214" i="11" s="1"/>
  <c r="D213" i="9"/>
  <c r="D435" i="15"/>
  <c r="D413" i="11" s="1"/>
  <c r="D408" i="9"/>
  <c r="D271" i="11"/>
  <c r="D270" i="9"/>
  <c r="D350" i="15"/>
  <c r="D328" i="11" s="1"/>
  <c r="D323" i="9"/>
  <c r="D445" i="15"/>
  <c r="D423" i="11" s="1"/>
  <c r="D418" i="9"/>
  <c r="C200" i="15"/>
  <c r="C180" i="9"/>
  <c r="C183" i="11" s="1"/>
  <c r="B490" i="15"/>
  <c r="B468" i="11" s="1"/>
  <c r="B463" i="9"/>
  <c r="D330" i="15"/>
  <c r="D308" i="11" s="1"/>
  <c r="D303" i="9"/>
  <c r="C481" i="15"/>
  <c r="C459" i="11" s="1"/>
  <c r="C454" i="9"/>
  <c r="B455" i="15"/>
  <c r="B433" i="11" s="1"/>
  <c r="B428" i="9"/>
  <c r="D558" i="15"/>
  <c r="D536" i="11" s="1"/>
  <c r="D531" i="9"/>
  <c r="D20" i="11"/>
  <c r="D21" i="9"/>
  <c r="C224" i="15"/>
  <c r="C204" i="9"/>
  <c r="C207" i="11" s="1"/>
  <c r="D236" i="11"/>
  <c r="D235" i="9"/>
  <c r="D277" i="11"/>
  <c r="D272" i="9"/>
  <c r="D328" i="15"/>
  <c r="D306" i="11" s="1"/>
  <c r="D301" i="9"/>
  <c r="C353" i="15"/>
  <c r="C331" i="11" s="1"/>
  <c r="C326" i="9"/>
  <c r="D377" i="20"/>
  <c r="D382" i="18"/>
  <c r="C425" i="20"/>
  <c r="C436" i="18" s="1"/>
  <c r="B418" i="18"/>
  <c r="C478" i="15"/>
  <c r="C456" i="11" s="1"/>
  <c r="C451" i="9"/>
  <c r="C560" i="15"/>
  <c r="C538" i="11" s="1"/>
  <c r="C533" i="9"/>
  <c r="C556" i="15"/>
  <c r="C534" i="11" s="1"/>
  <c r="C529" i="9"/>
  <c r="C424" i="15"/>
  <c r="C402" i="11" s="1"/>
  <c r="C397" i="9"/>
  <c r="D201" i="15"/>
  <c r="D181" i="9"/>
  <c r="D184" i="11" s="1"/>
  <c r="C237" i="15"/>
  <c r="C218" i="11" s="1"/>
  <c r="C217" i="9"/>
  <c r="E251" i="9"/>
  <c r="E252" i="11"/>
  <c r="D324" i="15"/>
  <c r="D302" i="11" s="1"/>
  <c r="D297" i="9"/>
  <c r="D339" i="20"/>
  <c r="D346" i="18"/>
  <c r="C407" i="15"/>
  <c r="C385" i="11" s="1"/>
  <c r="C380" i="9"/>
  <c r="D448" i="15"/>
  <c r="D426" i="11" s="1"/>
  <c r="D421" i="9"/>
  <c r="C480" i="15"/>
  <c r="C458" i="11" s="1"/>
  <c r="C453" i="9"/>
  <c r="C568" i="15"/>
  <c r="C546" i="11" s="1"/>
  <c r="C541" i="9"/>
  <c r="C177" i="15"/>
  <c r="C164" i="11" s="1"/>
  <c r="C158" i="9"/>
  <c r="C127" i="11"/>
  <c r="C116" i="9"/>
  <c r="D72" i="11"/>
  <c r="D61" i="9"/>
  <c r="D190" i="15"/>
  <c r="D170" i="9"/>
  <c r="D151" i="11"/>
  <c r="D141" i="9"/>
  <c r="B119" i="11"/>
  <c r="B108" i="9"/>
  <c r="C192" i="15"/>
  <c r="C172" i="9"/>
  <c r="C175" i="11" s="1"/>
  <c r="D511" i="15"/>
  <c r="D489" i="11" s="1"/>
  <c r="D484" i="9"/>
  <c r="D188" i="15"/>
  <c r="D168" i="9"/>
  <c r="D149" i="11"/>
  <c r="D139" i="9"/>
  <c r="D89" i="11"/>
  <c r="D78" i="9"/>
  <c r="C148" i="11"/>
  <c r="C138" i="9"/>
  <c r="B67" i="9"/>
  <c r="B78" i="11"/>
  <c r="B7" i="11"/>
  <c r="B7" i="9"/>
  <c r="D380" i="20"/>
  <c r="D385" i="18"/>
  <c r="D238" i="15"/>
  <c r="D219" i="11" s="1"/>
  <c r="D218" i="9"/>
  <c r="D311" i="15"/>
  <c r="D289" i="11" s="1"/>
  <c r="D286" i="9"/>
  <c r="C362" i="15"/>
  <c r="C340" i="11" s="1"/>
  <c r="C335" i="9"/>
  <c r="C494" i="20"/>
  <c r="C452" i="18"/>
  <c r="E258" i="11"/>
  <c r="E257" i="9"/>
  <c r="C570" i="15"/>
  <c r="C548" i="11" s="1"/>
  <c r="C543" i="9"/>
  <c r="D315" i="15"/>
  <c r="D293" i="11" s="1"/>
  <c r="D288" i="9"/>
  <c r="C377" i="15"/>
  <c r="C355" i="11" s="1"/>
  <c r="C350" i="9"/>
  <c r="C502" i="20"/>
  <c r="C460" i="18"/>
  <c r="D244" i="15"/>
  <c r="D225" i="11" s="1"/>
  <c r="D224" i="9"/>
  <c r="D213" i="15"/>
  <c r="D193" i="9"/>
  <c r="D196" i="11" s="1"/>
  <c r="E256" i="9"/>
  <c r="E257" i="11"/>
  <c r="D526" i="20"/>
  <c r="D329" i="18"/>
  <c r="D555" i="9"/>
  <c r="D582" i="15"/>
  <c r="D488" i="20"/>
  <c r="D499" i="18" s="1"/>
  <c r="D486" i="9" s="1"/>
  <c r="D446" i="18"/>
  <c r="C572" i="15"/>
  <c r="C550" i="11" s="1"/>
  <c r="C545" i="9"/>
  <c r="C203" i="15"/>
  <c r="C183" i="9"/>
  <c r="C186" i="11" s="1"/>
  <c r="D234" i="15"/>
  <c r="D215" i="11" s="1"/>
  <c r="D214" i="9"/>
  <c r="E240" i="11"/>
  <c r="E239" i="9"/>
  <c r="D313" i="15"/>
  <c r="D291" i="11" s="1"/>
  <c r="D282" i="9"/>
  <c r="D333" i="15"/>
  <c r="D311" i="11" s="1"/>
  <c r="D306" i="9"/>
  <c r="D338" i="20"/>
  <c r="D345" i="18"/>
  <c r="C401" i="15"/>
  <c r="C379" i="11" s="1"/>
  <c r="C374" i="9"/>
  <c r="D437" i="15"/>
  <c r="D415" i="11" s="1"/>
  <c r="D410" i="9"/>
  <c r="C484" i="15"/>
  <c r="C462" i="11" s="1"/>
  <c r="C457" i="9"/>
  <c r="C575" i="15"/>
  <c r="C553" i="11" s="1"/>
  <c r="C548" i="9"/>
  <c r="D436" i="15"/>
  <c r="D414" i="11" s="1"/>
  <c r="D409" i="9"/>
  <c r="C212" i="15"/>
  <c r="C192" i="9"/>
  <c r="C195" i="11" s="1"/>
  <c r="E264" i="11"/>
  <c r="E263" i="9"/>
  <c r="D334" i="15"/>
  <c r="D312" i="11" s="1"/>
  <c r="D307" i="9"/>
  <c r="C367" i="15"/>
  <c r="C345" i="11" s="1"/>
  <c r="C340" i="9"/>
  <c r="B422" i="15"/>
  <c r="B400" i="11" s="1"/>
  <c r="B395" i="9"/>
  <c r="D458" i="15"/>
  <c r="D436" i="11" s="1"/>
  <c r="D431" i="9"/>
  <c r="C486" i="15"/>
  <c r="C464" i="11" s="1"/>
  <c r="C459" i="9"/>
  <c r="D554" i="9"/>
  <c r="D581" i="15"/>
  <c r="D559" i="11" s="1"/>
  <c r="C121" i="11"/>
  <c r="C110" i="9"/>
  <c r="D53" i="18"/>
  <c r="D47" i="9"/>
  <c r="D180" i="15"/>
  <c r="D167" i="11" s="1"/>
  <c r="D161" i="9"/>
  <c r="D32" i="18"/>
  <c r="D42" i="15"/>
  <c r="D123" i="20"/>
  <c r="D126" i="18"/>
  <c r="D131" i="15" s="1"/>
  <c r="F39" i="18"/>
  <c r="D60" i="18"/>
  <c r="C409" i="20"/>
  <c r="B169" i="18"/>
  <c r="D262" i="20"/>
  <c r="D269" i="18" s="1"/>
  <c r="D284" i="15" s="1"/>
  <c r="D236" i="18"/>
  <c r="E248" i="20"/>
  <c r="E249" i="18"/>
  <c r="E264" i="15" s="1"/>
  <c r="D421" i="20"/>
  <c r="D432" i="18" s="1"/>
  <c r="C208" i="18"/>
  <c r="D417" i="20"/>
  <c r="D428" i="18" s="1"/>
  <c r="D200" i="18"/>
  <c r="D256" i="20"/>
  <c r="D263" i="18" s="1"/>
  <c r="D278" i="15" s="1"/>
  <c r="D235" i="18"/>
  <c r="D124" i="20"/>
  <c r="D127" i="18"/>
  <c r="D132" i="15" s="1"/>
  <c r="C294" i="20"/>
  <c r="C305" i="18" s="1"/>
  <c r="C59" i="18"/>
  <c r="C64" i="15" s="1"/>
  <c r="D238" i="20"/>
  <c r="D245" i="18" s="1"/>
  <c r="D260" i="15" s="1"/>
  <c r="D232" i="18"/>
  <c r="C278" i="20"/>
  <c r="C289" i="18" s="1"/>
  <c r="C300" i="15" s="1"/>
  <c r="C52" i="18"/>
  <c r="C54" i="15" s="1"/>
  <c r="C50" i="11" s="1"/>
  <c r="D250" i="20"/>
  <c r="D257" i="18" s="1"/>
  <c r="D272" i="15" s="1"/>
  <c r="D234" i="18"/>
  <c r="D79" i="1"/>
  <c r="D91" i="1" s="1"/>
  <c r="D100" i="1" s="1"/>
  <c r="D109" i="1" s="1"/>
  <c r="D149" i="1" s="1"/>
  <c r="D170" i="1" s="1"/>
  <c r="D179" i="1" s="1"/>
  <c r="D191" i="1" s="1"/>
  <c r="D200" i="1" s="1"/>
  <c r="D209" i="1" s="1"/>
  <c r="D218" i="1" s="1"/>
  <c r="C414" i="20"/>
  <c r="B191" i="18"/>
  <c r="E245" i="20"/>
  <c r="E246" i="18"/>
  <c r="E261" i="15" s="1"/>
  <c r="D330" i="20"/>
  <c r="D341" i="18" s="1"/>
  <c r="C472" i="20"/>
  <c r="C483" i="18" s="1"/>
  <c r="C506" i="20"/>
  <c r="C517" i="18" s="1"/>
  <c r="D122" i="20"/>
  <c r="D329" i="20"/>
  <c r="D340" i="18" s="1"/>
  <c r="C512" i="20"/>
  <c r="C478" i="20"/>
  <c r="C489" i="18" s="1"/>
  <c r="C480" i="20"/>
  <c r="C491" i="18" s="1"/>
  <c r="C514" i="20"/>
  <c r="C525" i="18" s="1"/>
  <c r="D213" i="20"/>
  <c r="D222" i="18" s="1"/>
  <c r="D15" i="18"/>
  <c r="D14" i="15" s="1"/>
  <c r="C509" i="20"/>
  <c r="C475" i="20"/>
  <c r="C486" i="18" s="1"/>
  <c r="C474" i="20"/>
  <c r="C485" i="18" s="1"/>
  <c r="C508" i="20"/>
  <c r="C212" i="20"/>
  <c r="C221" i="18" s="1"/>
  <c r="C14" i="18"/>
  <c r="C13" i="15" s="1"/>
  <c r="C511" i="20"/>
  <c r="C477" i="20"/>
  <c r="C488" i="18" s="1"/>
  <c r="C271" i="20"/>
  <c r="C278" i="18" s="1"/>
  <c r="C293" i="15" s="1"/>
  <c r="C36" i="18"/>
  <c r="C46" i="15" s="1"/>
  <c r="D69" i="22"/>
  <c r="D78" i="22" s="1"/>
  <c r="D87" i="22" s="1"/>
  <c r="D100" i="22"/>
  <c r="D109" i="22" s="1"/>
  <c r="D118" i="22" s="1"/>
  <c r="D127" i="22" s="1"/>
  <c r="D136" i="22" s="1"/>
  <c r="D64" i="17"/>
  <c r="D63" i="17"/>
  <c r="J77" i="25"/>
  <c r="J15" i="25"/>
  <c r="J58" i="25"/>
  <c r="J125" i="25" s="1"/>
  <c r="J111" i="25"/>
  <c r="J78" i="25"/>
  <c r="J16" i="25"/>
  <c r="J112" i="25"/>
  <c r="J59" i="25"/>
  <c r="J126" i="25" s="1"/>
  <c r="J14" i="25"/>
  <c r="J76" i="25"/>
  <c r="N125" i="17"/>
  <c r="O125" i="17" s="1"/>
  <c r="P125" i="17" s="1"/>
  <c r="Q125" i="17" s="1"/>
  <c r="R125" i="17" s="1"/>
  <c r="R133" i="17" s="1"/>
  <c r="D168" i="17"/>
  <c r="D138" i="17"/>
  <c r="P133" i="17"/>
  <c r="D77" i="17"/>
  <c r="D91" i="17" s="1"/>
  <c r="D105" i="17" s="1"/>
  <c r="D118" i="17" s="1"/>
  <c r="D128" i="17" s="1"/>
  <c r="D76" i="17"/>
  <c r="D90" i="17" s="1"/>
  <c r="D104" i="17" s="1"/>
  <c r="D117" i="17" s="1"/>
  <c r="D127" i="17" s="1"/>
  <c r="D78" i="17"/>
  <c r="D92" i="17" s="1"/>
  <c r="D106" i="17" s="1"/>
  <c r="D119" i="17" s="1"/>
  <c r="D129" i="17" s="1"/>
  <c r="T73" i="1"/>
  <c r="U73" i="1" s="1"/>
  <c r="V73" i="1" s="1"/>
  <c r="W73" i="1" s="1"/>
  <c r="X73" i="1" s="1"/>
  <c r="X103" i="1" s="1"/>
  <c r="T65" i="1"/>
  <c r="U65" i="1" s="1"/>
  <c r="V65" i="1" s="1"/>
  <c r="W65" i="1" s="1"/>
  <c r="X65" i="1" s="1"/>
  <c r="X95" i="1" s="1"/>
  <c r="R5" i="25"/>
  <c r="M50" i="17"/>
  <c r="M61" i="17" s="1"/>
  <c r="T63" i="1"/>
  <c r="T93" i="1" s="1"/>
  <c r="T64" i="1"/>
  <c r="U64" i="1" s="1"/>
  <c r="V64" i="1" s="1"/>
  <c r="W64" i="1" s="1"/>
  <c r="X64" i="1" s="1"/>
  <c r="X94" i="1" s="1"/>
  <c r="T72" i="1"/>
  <c r="T102" i="1" s="1"/>
  <c r="T75" i="1"/>
  <c r="U75" i="1" s="1"/>
  <c r="V75" i="1" s="1"/>
  <c r="W75" i="1" s="1"/>
  <c r="X75" i="1" s="1"/>
  <c r="T67" i="1"/>
  <c r="U67" i="1" s="1"/>
  <c r="U97" i="1" s="1"/>
  <c r="U121" i="23" s="1"/>
  <c r="T206" i="1"/>
  <c r="T66" i="1"/>
  <c r="T96" i="1" s="1"/>
  <c r="W176" i="1"/>
  <c r="V206" i="1"/>
  <c r="U206" i="1"/>
  <c r="X176" i="1"/>
  <c r="S206" i="1"/>
  <c r="O93" i="22"/>
  <c r="O34" i="22"/>
  <c r="N136" i="1"/>
  <c r="P93" i="22"/>
  <c r="P34" i="22"/>
  <c r="Q93" i="22"/>
  <c r="D140" i="22"/>
  <c r="D64" i="22"/>
  <c r="D138" i="22"/>
  <c r="D142" i="22"/>
  <c r="D141" i="22"/>
  <c r="D65" i="22"/>
  <c r="D62" i="22"/>
  <c r="D66" i="22"/>
  <c r="D91" i="22"/>
  <c r="D92" i="22"/>
  <c r="D89" i="22"/>
  <c r="D93" i="22"/>
  <c r="D55" i="22"/>
  <c r="D56" i="22"/>
  <c r="D53" i="22"/>
  <c r="D57" i="22"/>
  <c r="E5" i="24"/>
  <c r="S103" i="1"/>
  <c r="S22" i="22" s="1"/>
  <c r="S94" i="1"/>
  <c r="S13" i="22" s="1"/>
  <c r="S95" i="1"/>
  <c r="S14" i="22" s="1"/>
  <c r="S96" i="1"/>
  <c r="S15" i="22" s="1"/>
  <c r="S102" i="1"/>
  <c r="S21" i="22" s="1"/>
  <c r="S93" i="1"/>
  <c r="S12" i="22" s="1"/>
  <c r="A6" i="24"/>
  <c r="A7" i="24" s="1"/>
  <c r="A8" i="24" s="1"/>
  <c r="A9" i="24" s="1"/>
  <c r="A10" i="24" s="1"/>
  <c r="A11" i="24" s="1"/>
  <c r="A12" i="24" s="1"/>
  <c r="A13" i="24" s="1"/>
  <c r="A14" i="24" s="1"/>
  <c r="A15" i="24" s="1"/>
  <c r="A16" i="24" s="1"/>
  <c r="A17" i="24" s="1"/>
  <c r="A18" i="24" s="1"/>
  <c r="A19" i="24" s="1"/>
  <c r="A20" i="24" s="1"/>
  <c r="A21" i="24" s="1"/>
  <c r="A22" i="24" s="1"/>
  <c r="A23" i="24" s="1"/>
  <c r="A24" i="24" s="1"/>
  <c r="A25" i="24" s="1"/>
  <c r="A26" i="24" s="1"/>
  <c r="A27" i="24" s="1"/>
  <c r="A28" i="24" s="1"/>
  <c r="A29" i="24" s="1"/>
  <c r="A30" i="24" s="1"/>
  <c r="A31" i="24" s="1"/>
  <c r="A32" i="24" s="1"/>
  <c r="A33" i="24" s="1"/>
  <c r="A34" i="24" s="1"/>
  <c r="A35" i="24" s="1"/>
  <c r="A36" i="24" s="1"/>
  <c r="A37" i="24" s="1"/>
  <c r="A38" i="24" s="1"/>
  <c r="A39" i="24" s="1"/>
  <c r="A40" i="24" s="1"/>
  <c r="A41" i="24" s="1"/>
  <c r="A42" i="24" s="1"/>
  <c r="A43" i="24" s="1"/>
  <c r="A44" i="24" s="1"/>
  <c r="A45" i="24" s="1"/>
  <c r="A46" i="24" s="1"/>
  <c r="A47" i="24" s="1"/>
  <c r="A48" i="24" s="1"/>
  <c r="A49" i="24" s="1"/>
  <c r="A5" i="24"/>
  <c r="G437" i="23"/>
  <c r="S335" i="23"/>
  <c r="AE335" i="23"/>
  <c r="AQ335" i="23"/>
  <c r="BC335" i="23"/>
  <c r="BO335" i="23"/>
  <c r="I293" i="23"/>
  <c r="I281" i="23"/>
  <c r="I275" i="23"/>
  <c r="I269" i="23"/>
  <c r="L222" i="23"/>
  <c r="I222" i="23" s="1"/>
  <c r="N147" i="23"/>
  <c r="O147" i="23"/>
  <c r="P147" i="23"/>
  <c r="Q147" i="23"/>
  <c r="R147" i="23"/>
  <c r="S147" i="23"/>
  <c r="T147" i="23"/>
  <c r="U147" i="23"/>
  <c r="V147" i="23"/>
  <c r="W147" i="23"/>
  <c r="X147" i="23"/>
  <c r="Y147" i="23"/>
  <c r="Z147" i="23"/>
  <c r="AA147" i="23"/>
  <c r="AB147" i="23"/>
  <c r="AC147" i="23"/>
  <c r="AD147" i="23"/>
  <c r="AE147" i="23"/>
  <c r="AF147" i="23"/>
  <c r="AG147" i="23"/>
  <c r="AH147" i="23"/>
  <c r="AI147" i="23"/>
  <c r="AJ147" i="23"/>
  <c r="AK147" i="23"/>
  <c r="AL147" i="23"/>
  <c r="AM147" i="23"/>
  <c r="AN147" i="23"/>
  <c r="AO147" i="23"/>
  <c r="AP147" i="23"/>
  <c r="AQ147" i="23"/>
  <c r="AR147" i="23"/>
  <c r="AS147" i="23"/>
  <c r="AT147" i="23"/>
  <c r="AU147" i="23"/>
  <c r="AV147" i="23"/>
  <c r="AW147" i="23"/>
  <c r="AX147" i="23"/>
  <c r="AY147" i="23"/>
  <c r="AZ147" i="23"/>
  <c r="BA147" i="23"/>
  <c r="BB147" i="23"/>
  <c r="BC147" i="23"/>
  <c r="BD147" i="23"/>
  <c r="BE147" i="23"/>
  <c r="BF147" i="23"/>
  <c r="BG147" i="23"/>
  <c r="BH147" i="23"/>
  <c r="BI147" i="23"/>
  <c r="BJ147" i="23"/>
  <c r="BK147" i="23"/>
  <c r="BL147" i="23"/>
  <c r="BM147" i="23"/>
  <c r="BN147" i="23"/>
  <c r="BO147" i="23"/>
  <c r="BP147" i="23"/>
  <c r="BQ147" i="23"/>
  <c r="BR147" i="23"/>
  <c r="BS147" i="23"/>
  <c r="L147" i="23"/>
  <c r="N145" i="23"/>
  <c r="O145" i="23"/>
  <c r="P145" i="23"/>
  <c r="Q145" i="23"/>
  <c r="R145" i="23"/>
  <c r="S145" i="23"/>
  <c r="T145" i="23"/>
  <c r="U145" i="23"/>
  <c r="V145" i="23"/>
  <c r="W145" i="23"/>
  <c r="X145" i="23"/>
  <c r="Y145" i="23"/>
  <c r="Z145" i="23"/>
  <c r="AA145" i="23"/>
  <c r="AB145" i="23"/>
  <c r="AC145" i="23"/>
  <c r="AD145" i="23"/>
  <c r="AE145" i="23"/>
  <c r="AF145" i="23"/>
  <c r="AG145" i="23"/>
  <c r="AH145" i="23"/>
  <c r="AI145" i="23"/>
  <c r="AJ145" i="23"/>
  <c r="AK145" i="23"/>
  <c r="AL145" i="23"/>
  <c r="AM145" i="23"/>
  <c r="AN145" i="23"/>
  <c r="AO145" i="23"/>
  <c r="AP145" i="23"/>
  <c r="AQ145" i="23"/>
  <c r="AR145" i="23"/>
  <c r="AS145" i="23"/>
  <c r="AT145" i="23"/>
  <c r="AU145" i="23"/>
  <c r="AV145" i="23"/>
  <c r="AW145" i="23"/>
  <c r="AX145" i="23"/>
  <c r="AY145" i="23"/>
  <c r="AZ145" i="23"/>
  <c r="BA145" i="23"/>
  <c r="BB145" i="23"/>
  <c r="BC145" i="23"/>
  <c r="BD145" i="23"/>
  <c r="BE145" i="23"/>
  <c r="BF145" i="23"/>
  <c r="BG145" i="23"/>
  <c r="BH145" i="23"/>
  <c r="BI145" i="23"/>
  <c r="BJ145" i="23"/>
  <c r="BK145" i="23"/>
  <c r="BL145" i="23"/>
  <c r="BM145" i="23"/>
  <c r="BN145" i="23"/>
  <c r="BO145" i="23"/>
  <c r="BP145" i="23"/>
  <c r="BQ145" i="23"/>
  <c r="BR145" i="23"/>
  <c r="BS145" i="23"/>
  <c r="L145" i="23"/>
  <c r="M143" i="23"/>
  <c r="N143" i="23"/>
  <c r="O143" i="23"/>
  <c r="P143" i="23"/>
  <c r="Q143" i="23"/>
  <c r="R143" i="23"/>
  <c r="S143" i="23"/>
  <c r="T143" i="23"/>
  <c r="U143" i="23"/>
  <c r="V143" i="23"/>
  <c r="W143" i="23"/>
  <c r="X143" i="23"/>
  <c r="Y143" i="23"/>
  <c r="Z143" i="23"/>
  <c r="AA143" i="23"/>
  <c r="AB143" i="23"/>
  <c r="AC143" i="23"/>
  <c r="AD143" i="23"/>
  <c r="AE143" i="23"/>
  <c r="AF143" i="23"/>
  <c r="AG143" i="23"/>
  <c r="AH143" i="23"/>
  <c r="AI143" i="23"/>
  <c r="AJ143" i="23"/>
  <c r="AK143" i="23"/>
  <c r="AL143" i="23"/>
  <c r="AM143" i="23"/>
  <c r="AN143" i="23"/>
  <c r="AO143" i="23"/>
  <c r="AP143" i="23"/>
  <c r="AQ143" i="23"/>
  <c r="AR143" i="23"/>
  <c r="AS143" i="23"/>
  <c r="AT143" i="23"/>
  <c r="AU143" i="23"/>
  <c r="AV143" i="23"/>
  <c r="AW143" i="23"/>
  <c r="AX143" i="23"/>
  <c r="AY143" i="23"/>
  <c r="AZ143" i="23"/>
  <c r="BA143" i="23"/>
  <c r="BB143" i="23"/>
  <c r="BC143" i="23"/>
  <c r="BD143" i="23"/>
  <c r="BE143" i="23"/>
  <c r="BF143" i="23"/>
  <c r="BG143" i="23"/>
  <c r="BH143" i="23"/>
  <c r="BI143" i="23"/>
  <c r="BJ143" i="23"/>
  <c r="BK143" i="23"/>
  <c r="BL143" i="23"/>
  <c r="BM143" i="23"/>
  <c r="BN143" i="23"/>
  <c r="BO143" i="23"/>
  <c r="BP143" i="23"/>
  <c r="BQ143" i="23"/>
  <c r="BR143" i="23"/>
  <c r="BS143" i="23"/>
  <c r="L143" i="23"/>
  <c r="M141" i="23"/>
  <c r="N141" i="23"/>
  <c r="O141" i="23"/>
  <c r="P141" i="23"/>
  <c r="Q141" i="23"/>
  <c r="R141" i="23"/>
  <c r="S141" i="23"/>
  <c r="T141" i="23"/>
  <c r="Y141" i="23"/>
  <c r="Z141" i="23"/>
  <c r="AA141" i="23"/>
  <c r="AB141" i="23"/>
  <c r="AC141" i="23"/>
  <c r="AD141" i="23"/>
  <c r="AE141" i="23"/>
  <c r="AF141" i="23"/>
  <c r="AG141" i="23"/>
  <c r="AH141" i="23"/>
  <c r="AI141" i="23"/>
  <c r="AJ141" i="23"/>
  <c r="AK141" i="23"/>
  <c r="AL141" i="23"/>
  <c r="AM141" i="23"/>
  <c r="AN141" i="23"/>
  <c r="AO141" i="23"/>
  <c r="AP141" i="23"/>
  <c r="AQ141" i="23"/>
  <c r="AR141" i="23"/>
  <c r="AS141" i="23"/>
  <c r="AT141" i="23"/>
  <c r="AU141" i="23"/>
  <c r="AV141" i="23"/>
  <c r="AW141" i="23"/>
  <c r="AX141" i="23"/>
  <c r="AY141" i="23"/>
  <c r="AZ141" i="23"/>
  <c r="BA141" i="23"/>
  <c r="BB141" i="23"/>
  <c r="BC141" i="23"/>
  <c r="BD141" i="23"/>
  <c r="BE141" i="23"/>
  <c r="BF141" i="23"/>
  <c r="BG141" i="23"/>
  <c r="BH141" i="23"/>
  <c r="BI141" i="23"/>
  <c r="BJ141" i="23"/>
  <c r="BK141" i="23"/>
  <c r="BL141" i="23"/>
  <c r="BM141" i="23"/>
  <c r="BN141" i="23"/>
  <c r="BO141" i="23"/>
  <c r="BP141" i="23"/>
  <c r="BQ141" i="23"/>
  <c r="BR141" i="23"/>
  <c r="BS141" i="23"/>
  <c r="L141" i="23"/>
  <c r="M133" i="23"/>
  <c r="N133" i="23" s="1"/>
  <c r="O133" i="23" s="1"/>
  <c r="P133" i="23" s="1"/>
  <c r="Q133" i="23" s="1"/>
  <c r="R133" i="23" s="1"/>
  <c r="S133" i="23" s="1"/>
  <c r="T133" i="23" s="1"/>
  <c r="U133" i="23" s="1"/>
  <c r="V133" i="23" s="1"/>
  <c r="W133" i="23" s="1"/>
  <c r="X133" i="23" s="1"/>
  <c r="Y133" i="23" s="1"/>
  <c r="Z133" i="23" s="1"/>
  <c r="AA133" i="23" s="1"/>
  <c r="AB133" i="23" s="1"/>
  <c r="AC133" i="23" s="1"/>
  <c r="AD133" i="23" s="1"/>
  <c r="AE133" i="23" s="1"/>
  <c r="AF133" i="23" s="1"/>
  <c r="AG133" i="23" s="1"/>
  <c r="AH133" i="23" s="1"/>
  <c r="AI133" i="23" s="1"/>
  <c r="AJ133" i="23" s="1"/>
  <c r="AK133" i="23" s="1"/>
  <c r="AL133" i="23" s="1"/>
  <c r="AM133" i="23" s="1"/>
  <c r="AN133" i="23" s="1"/>
  <c r="AO133" i="23" s="1"/>
  <c r="AP133" i="23" s="1"/>
  <c r="AQ133" i="23" s="1"/>
  <c r="AR133" i="23" s="1"/>
  <c r="AS133" i="23" s="1"/>
  <c r="AT133" i="23" s="1"/>
  <c r="AU133" i="23" s="1"/>
  <c r="AV133" i="23" s="1"/>
  <c r="AW133" i="23" s="1"/>
  <c r="AX133" i="23" s="1"/>
  <c r="AY133" i="23" s="1"/>
  <c r="AZ133" i="23" s="1"/>
  <c r="BA133" i="23" s="1"/>
  <c r="BB133" i="23" s="1"/>
  <c r="BC133" i="23" s="1"/>
  <c r="BD133" i="23" s="1"/>
  <c r="BE133" i="23" s="1"/>
  <c r="BF133" i="23" s="1"/>
  <c r="BG133" i="23" s="1"/>
  <c r="BH133" i="23" s="1"/>
  <c r="BI133" i="23" s="1"/>
  <c r="BJ133" i="23" s="1"/>
  <c r="BK133" i="23" s="1"/>
  <c r="BL133" i="23" s="1"/>
  <c r="BM133" i="23" s="1"/>
  <c r="BN133" i="23" s="1"/>
  <c r="BO133" i="23" s="1"/>
  <c r="BP133" i="23" s="1"/>
  <c r="BQ133" i="23" s="1"/>
  <c r="BR133" i="23" s="1"/>
  <c r="BS133" i="23" s="1"/>
  <c r="M123" i="23"/>
  <c r="N123" i="23"/>
  <c r="O123" i="23"/>
  <c r="P123" i="23"/>
  <c r="Q123" i="23"/>
  <c r="S123" i="23"/>
  <c r="T123" i="23"/>
  <c r="U123" i="23"/>
  <c r="V123" i="23"/>
  <c r="W123" i="23"/>
  <c r="X123" i="23"/>
  <c r="Y123" i="23"/>
  <c r="Z123" i="23"/>
  <c r="AA123" i="23"/>
  <c r="AB123" i="23"/>
  <c r="AC123" i="23"/>
  <c r="AD123" i="23"/>
  <c r="AE123" i="23"/>
  <c r="AF123" i="23"/>
  <c r="AG123" i="23"/>
  <c r="AH123" i="23"/>
  <c r="AI123" i="23"/>
  <c r="AJ123" i="23"/>
  <c r="AK123" i="23"/>
  <c r="AL123" i="23"/>
  <c r="AM123" i="23"/>
  <c r="AN123" i="23"/>
  <c r="AO123" i="23"/>
  <c r="AP123" i="23"/>
  <c r="AQ123" i="23"/>
  <c r="AR123" i="23"/>
  <c r="AS123" i="23"/>
  <c r="AT123" i="23"/>
  <c r="AU123" i="23"/>
  <c r="AV123" i="23"/>
  <c r="AW123" i="23"/>
  <c r="AX123" i="23"/>
  <c r="AY123" i="23"/>
  <c r="AZ123" i="23"/>
  <c r="BA123" i="23"/>
  <c r="BB123" i="23"/>
  <c r="BC123" i="23"/>
  <c r="BD123" i="23"/>
  <c r="BE123" i="23"/>
  <c r="BF123" i="23"/>
  <c r="BG123" i="23"/>
  <c r="BH123" i="23"/>
  <c r="BI123" i="23"/>
  <c r="BJ123" i="23"/>
  <c r="BK123" i="23"/>
  <c r="BL123" i="23"/>
  <c r="BM123" i="23"/>
  <c r="BN123" i="23"/>
  <c r="BO123" i="23"/>
  <c r="BP123" i="23"/>
  <c r="BQ123" i="23"/>
  <c r="BR123" i="23"/>
  <c r="BS123" i="23"/>
  <c r="L123" i="23"/>
  <c r="M122" i="23"/>
  <c r="N122" i="23"/>
  <c r="O122" i="23"/>
  <c r="P122" i="23"/>
  <c r="Q122" i="23"/>
  <c r="R122" i="23"/>
  <c r="S122" i="23"/>
  <c r="T122" i="23"/>
  <c r="U122" i="23"/>
  <c r="V122" i="23"/>
  <c r="W122" i="23"/>
  <c r="X122" i="23"/>
  <c r="Y122" i="23"/>
  <c r="Z122" i="23"/>
  <c r="AA122" i="23"/>
  <c r="AB122" i="23"/>
  <c r="AC122" i="23"/>
  <c r="AD122" i="23"/>
  <c r="AE122" i="23"/>
  <c r="AF122" i="23"/>
  <c r="AG122" i="23"/>
  <c r="AH122" i="23"/>
  <c r="AI122" i="23"/>
  <c r="AJ122" i="23"/>
  <c r="AK122" i="23"/>
  <c r="AL122" i="23"/>
  <c r="AM122" i="23"/>
  <c r="AN122" i="23"/>
  <c r="AO122" i="23"/>
  <c r="AP122" i="23"/>
  <c r="AQ122" i="23"/>
  <c r="AR122" i="23"/>
  <c r="AS122" i="23"/>
  <c r="AT122" i="23"/>
  <c r="AU122" i="23"/>
  <c r="AV122" i="23"/>
  <c r="AW122" i="23"/>
  <c r="AX122" i="23"/>
  <c r="AY122" i="23"/>
  <c r="AZ122" i="23"/>
  <c r="BA122" i="23"/>
  <c r="BB122" i="23"/>
  <c r="BC122" i="23"/>
  <c r="BD122" i="23"/>
  <c r="BE122" i="23"/>
  <c r="BF122" i="23"/>
  <c r="BG122" i="23"/>
  <c r="BH122" i="23"/>
  <c r="BI122" i="23"/>
  <c r="BJ122" i="23"/>
  <c r="BK122" i="23"/>
  <c r="BL122" i="23"/>
  <c r="BM122" i="23"/>
  <c r="BN122" i="23"/>
  <c r="BO122" i="23"/>
  <c r="BP122" i="23"/>
  <c r="BQ122" i="23"/>
  <c r="BR122" i="23"/>
  <c r="BS122" i="23"/>
  <c r="L122" i="23"/>
  <c r="L128" i="23" s="1"/>
  <c r="M121" i="23"/>
  <c r="N121" i="23"/>
  <c r="O121" i="23"/>
  <c r="P121" i="23"/>
  <c r="Q121" i="23"/>
  <c r="R121" i="23"/>
  <c r="S121" i="23"/>
  <c r="Y121" i="23"/>
  <c r="Z121" i="23"/>
  <c r="AA121" i="23"/>
  <c r="AB121" i="23"/>
  <c r="AC121" i="23"/>
  <c r="AD121" i="23"/>
  <c r="AE121" i="23"/>
  <c r="AF121" i="23"/>
  <c r="AG121" i="23"/>
  <c r="AH121" i="23"/>
  <c r="AI121" i="23"/>
  <c r="AJ121" i="23"/>
  <c r="AK121" i="23"/>
  <c r="AL121" i="23"/>
  <c r="AM121" i="23"/>
  <c r="AN121" i="23"/>
  <c r="AO121" i="23"/>
  <c r="AP121" i="23"/>
  <c r="AQ121" i="23"/>
  <c r="AR121" i="23"/>
  <c r="AS121" i="23"/>
  <c r="AT121" i="23"/>
  <c r="AU121" i="23"/>
  <c r="AV121" i="23"/>
  <c r="AW121" i="23"/>
  <c r="AX121" i="23"/>
  <c r="AY121" i="23"/>
  <c r="AZ121" i="23"/>
  <c r="BA121" i="23"/>
  <c r="BB121" i="23"/>
  <c r="BC121" i="23"/>
  <c r="BD121" i="23"/>
  <c r="BE121" i="23"/>
  <c r="BF121" i="23"/>
  <c r="BG121" i="23"/>
  <c r="BH121" i="23"/>
  <c r="BI121" i="23"/>
  <c r="BJ121" i="23"/>
  <c r="BK121" i="23"/>
  <c r="BL121" i="23"/>
  <c r="BM121" i="23"/>
  <c r="BN121" i="23"/>
  <c r="BO121" i="23"/>
  <c r="BP121" i="23"/>
  <c r="BQ121" i="23"/>
  <c r="BR121" i="23"/>
  <c r="BS121" i="23"/>
  <c r="L121" i="23"/>
  <c r="L127" i="23" s="1"/>
  <c r="M111" i="23"/>
  <c r="N111" i="23"/>
  <c r="O111" i="23"/>
  <c r="P111" i="23"/>
  <c r="Q111" i="23"/>
  <c r="S111" i="23"/>
  <c r="T111" i="23"/>
  <c r="U111" i="23"/>
  <c r="V111" i="23"/>
  <c r="W111" i="23"/>
  <c r="X111" i="23"/>
  <c r="Y111" i="23"/>
  <c r="Z111" i="23"/>
  <c r="AA111" i="23"/>
  <c r="AB111" i="23"/>
  <c r="AC111" i="23"/>
  <c r="AD111" i="23"/>
  <c r="AE111" i="23"/>
  <c r="AF111" i="23"/>
  <c r="AG111" i="23"/>
  <c r="AH111" i="23"/>
  <c r="AI111" i="23"/>
  <c r="AJ111" i="23"/>
  <c r="AK111" i="23"/>
  <c r="AL111" i="23"/>
  <c r="AM111" i="23"/>
  <c r="AN111" i="23"/>
  <c r="AO111" i="23"/>
  <c r="AP111" i="23"/>
  <c r="AQ111" i="23"/>
  <c r="AR111" i="23"/>
  <c r="AS111" i="23"/>
  <c r="AT111" i="23"/>
  <c r="AU111" i="23"/>
  <c r="AV111" i="23"/>
  <c r="AW111" i="23"/>
  <c r="AX111" i="23"/>
  <c r="AY111" i="23"/>
  <c r="AZ111" i="23"/>
  <c r="BA111" i="23"/>
  <c r="BB111" i="23"/>
  <c r="BC111" i="23"/>
  <c r="BD111" i="23"/>
  <c r="BE111" i="23"/>
  <c r="BF111" i="23"/>
  <c r="BG111" i="23"/>
  <c r="BH111" i="23"/>
  <c r="BI111" i="23"/>
  <c r="BJ111" i="23"/>
  <c r="BK111" i="23"/>
  <c r="BL111" i="23"/>
  <c r="BM111" i="23"/>
  <c r="BN111" i="23"/>
  <c r="BO111" i="23"/>
  <c r="BP111" i="23"/>
  <c r="BQ111" i="23"/>
  <c r="BR111" i="23"/>
  <c r="BS111" i="23"/>
  <c r="L111" i="23"/>
  <c r="M110" i="23"/>
  <c r="N110" i="23"/>
  <c r="O110" i="23"/>
  <c r="P110" i="23"/>
  <c r="Q110" i="23"/>
  <c r="R110" i="23"/>
  <c r="S110" i="23"/>
  <c r="T110" i="23"/>
  <c r="U110" i="23"/>
  <c r="V110" i="23"/>
  <c r="W110" i="23"/>
  <c r="X110" i="23"/>
  <c r="Y110" i="23"/>
  <c r="Z110" i="23"/>
  <c r="AA110" i="23"/>
  <c r="AB110" i="23"/>
  <c r="AC110" i="23"/>
  <c r="AD110" i="23"/>
  <c r="AE110" i="23"/>
  <c r="AF110" i="23"/>
  <c r="AG110" i="23"/>
  <c r="AH110" i="23"/>
  <c r="AI110" i="23"/>
  <c r="AJ110" i="23"/>
  <c r="AK110" i="23"/>
  <c r="AL110" i="23"/>
  <c r="AM110" i="23"/>
  <c r="AN110" i="23"/>
  <c r="AO110" i="23"/>
  <c r="AP110" i="23"/>
  <c r="AQ110" i="23"/>
  <c r="AR110" i="23"/>
  <c r="AS110" i="23"/>
  <c r="AT110" i="23"/>
  <c r="AU110" i="23"/>
  <c r="AV110" i="23"/>
  <c r="AW110" i="23"/>
  <c r="AX110" i="23"/>
  <c r="AY110" i="23"/>
  <c r="AZ110" i="23"/>
  <c r="BA110" i="23"/>
  <c r="BB110" i="23"/>
  <c r="BC110" i="23"/>
  <c r="BD110" i="23"/>
  <c r="BE110" i="23"/>
  <c r="BF110" i="23"/>
  <c r="BG110" i="23"/>
  <c r="BH110" i="23"/>
  <c r="BI110" i="23"/>
  <c r="BJ110" i="23"/>
  <c r="BK110" i="23"/>
  <c r="BL110" i="23"/>
  <c r="BM110" i="23"/>
  <c r="BN110" i="23"/>
  <c r="BO110" i="23"/>
  <c r="BP110" i="23"/>
  <c r="BQ110" i="23"/>
  <c r="BR110" i="23"/>
  <c r="BS110" i="23"/>
  <c r="L110" i="23"/>
  <c r="L116" i="23" s="1"/>
  <c r="M109" i="23"/>
  <c r="N109" i="23"/>
  <c r="O109" i="23"/>
  <c r="P109" i="23"/>
  <c r="Q109" i="23"/>
  <c r="R109" i="23"/>
  <c r="S109" i="23"/>
  <c r="Y109" i="23"/>
  <c r="Z109" i="23"/>
  <c r="AA109" i="23"/>
  <c r="AB109" i="23"/>
  <c r="AC109" i="23"/>
  <c r="AD109" i="23"/>
  <c r="AE109" i="23"/>
  <c r="AF109" i="23"/>
  <c r="AG109" i="23"/>
  <c r="AH109" i="23"/>
  <c r="AI109" i="23"/>
  <c r="AJ109" i="23"/>
  <c r="AK109" i="23"/>
  <c r="AL109" i="23"/>
  <c r="AM109" i="23"/>
  <c r="AN109" i="23"/>
  <c r="AO109" i="23"/>
  <c r="AP109" i="23"/>
  <c r="AQ109" i="23"/>
  <c r="AR109" i="23"/>
  <c r="AS109" i="23"/>
  <c r="AT109" i="23"/>
  <c r="AU109" i="23"/>
  <c r="AV109" i="23"/>
  <c r="AW109" i="23"/>
  <c r="AX109" i="23"/>
  <c r="AY109" i="23"/>
  <c r="AZ109" i="23"/>
  <c r="BA109" i="23"/>
  <c r="BB109" i="23"/>
  <c r="BC109" i="23"/>
  <c r="BD109" i="23"/>
  <c r="BE109" i="23"/>
  <c r="BF109" i="23"/>
  <c r="BG109" i="23"/>
  <c r="BH109" i="23"/>
  <c r="BI109" i="23"/>
  <c r="BJ109" i="23"/>
  <c r="BK109" i="23"/>
  <c r="BL109" i="23"/>
  <c r="BM109" i="23"/>
  <c r="BN109" i="23"/>
  <c r="BO109" i="23"/>
  <c r="BP109" i="23"/>
  <c r="BQ109" i="23"/>
  <c r="BR109" i="23"/>
  <c r="BS109" i="23"/>
  <c r="L109" i="23"/>
  <c r="L115" i="23" s="1"/>
  <c r="F76" i="23"/>
  <c r="F75" i="23"/>
  <c r="H56" i="23"/>
  <c r="M341" i="23" s="1"/>
  <c r="H55" i="23"/>
  <c r="T335" i="23" s="1"/>
  <c r="H52" i="23"/>
  <c r="H51" i="23"/>
  <c r="H50" i="23"/>
  <c r="G37" i="23"/>
  <c r="I570" i="23"/>
  <c r="I569" i="23"/>
  <c r="I567" i="23"/>
  <c r="I566" i="23"/>
  <c r="I565" i="23"/>
  <c r="I486" i="23"/>
  <c r="I484" i="23"/>
  <c r="I478" i="23"/>
  <c r="E439" i="23"/>
  <c r="G438" i="23"/>
  <c r="L420" i="23"/>
  <c r="L414" i="23"/>
  <c r="L408" i="23"/>
  <c r="G43" i="23"/>
  <c r="G36" i="23"/>
  <c r="N35" i="17"/>
  <c r="P35" i="17" s="1"/>
  <c r="R35" i="17" s="1"/>
  <c r="T35" i="17" s="1"/>
  <c r="V35" i="17" s="1"/>
  <c r="X35" i="17" s="1"/>
  <c r="Z35" i="17" s="1"/>
  <c r="E33" i="17"/>
  <c r="M4" i="17"/>
  <c r="N4" i="17" s="1"/>
  <c r="O4" i="17" s="1"/>
  <c r="P4" i="17" s="1"/>
  <c r="Q4" i="17" s="1"/>
  <c r="R4" i="17" s="1"/>
  <c r="F59" i="11"/>
  <c r="F38" i="11"/>
  <c r="F37" i="18"/>
  <c r="F60" i="18"/>
  <c r="G210" i="1"/>
  <c r="L3" i="24" a="1"/>
  <c r="AD335" i="23" l="1"/>
  <c r="BM335" i="23"/>
  <c r="BA335" i="23"/>
  <c r="AO335" i="23"/>
  <c r="AC335" i="23"/>
  <c r="Q335" i="23"/>
  <c r="BL335" i="23"/>
  <c r="AZ335" i="23"/>
  <c r="AN335" i="23"/>
  <c r="AB335" i="23"/>
  <c r="P335" i="23"/>
  <c r="BB335" i="23"/>
  <c r="BK335" i="23"/>
  <c r="AY335" i="23"/>
  <c r="AM335" i="23"/>
  <c r="AA335" i="23"/>
  <c r="O335" i="23"/>
  <c r="BJ335" i="23"/>
  <c r="AX335" i="23"/>
  <c r="AL335" i="23"/>
  <c r="Z335" i="23"/>
  <c r="N335" i="23"/>
  <c r="AP335" i="23"/>
  <c r="BI335" i="23"/>
  <c r="AW335" i="23"/>
  <c r="AK335" i="23"/>
  <c r="Y335" i="23"/>
  <c r="M335" i="23"/>
  <c r="L335" i="23"/>
  <c r="BH335" i="23"/>
  <c r="AV335" i="23"/>
  <c r="AJ335" i="23"/>
  <c r="X335" i="23"/>
  <c r="BS335" i="23"/>
  <c r="BG335" i="23"/>
  <c r="AU335" i="23"/>
  <c r="AI335" i="23"/>
  <c r="W335" i="23"/>
  <c r="BN335" i="23"/>
  <c r="BR335" i="23"/>
  <c r="BF335" i="23"/>
  <c r="AT335" i="23"/>
  <c r="AH335" i="23"/>
  <c r="V335" i="23"/>
  <c r="O207" i="17"/>
  <c r="N251" i="17"/>
  <c r="N220" i="17"/>
  <c r="N229" i="17" s="1"/>
  <c r="N240" i="17" s="1"/>
  <c r="BQ335" i="23"/>
  <c r="BE335" i="23"/>
  <c r="AS335" i="23"/>
  <c r="AG335" i="23"/>
  <c r="U335" i="23"/>
  <c r="R335" i="23"/>
  <c r="BP335" i="23"/>
  <c r="BD335" i="23"/>
  <c r="AR335" i="23"/>
  <c r="AF335" i="23"/>
  <c r="D347" i="17"/>
  <c r="W103" i="1"/>
  <c r="U109" i="23"/>
  <c r="U112" i="23" s="1"/>
  <c r="D190" i="17"/>
  <c r="D198" i="17" s="1"/>
  <c r="D338" i="17"/>
  <c r="D191" i="17"/>
  <c r="D199" i="17" s="1"/>
  <c r="D339" i="17"/>
  <c r="D348" i="17" s="1"/>
  <c r="D192" i="17"/>
  <c r="D340" i="17"/>
  <c r="D349" i="17" s="1"/>
  <c r="U205" i="17"/>
  <c r="E250" i="17"/>
  <c r="C224" i="18"/>
  <c r="C231" i="15" s="1"/>
  <c r="C212" i="11" s="1"/>
  <c r="D233" i="17"/>
  <c r="D223" i="17"/>
  <c r="D305" i="17" s="1"/>
  <c r="D315" i="17" s="1"/>
  <c r="D234" i="17"/>
  <c r="D224" i="17"/>
  <c r="D306" i="17" s="1"/>
  <c r="D316" i="17" s="1"/>
  <c r="D232" i="17"/>
  <c r="D222" i="17"/>
  <c r="D304" i="17" s="1"/>
  <c r="D314" i="17" s="1"/>
  <c r="D398" i="15"/>
  <c r="D376" i="11" s="1"/>
  <c r="D371" i="9"/>
  <c r="C464" i="15"/>
  <c r="C442" i="11" s="1"/>
  <c r="C437" i="9"/>
  <c r="D447" i="15"/>
  <c r="D425" i="11" s="1"/>
  <c r="D420" i="9"/>
  <c r="D325" i="15"/>
  <c r="D303" i="11" s="1"/>
  <c r="D298" i="9"/>
  <c r="C499" i="15"/>
  <c r="C477" i="11" s="1"/>
  <c r="C472" i="9"/>
  <c r="C541" i="20"/>
  <c r="C552" i="18" s="1"/>
  <c r="C523" i="18"/>
  <c r="D237" i="11"/>
  <c r="D236" i="9"/>
  <c r="D383" i="20"/>
  <c r="D394" i="18" s="1"/>
  <c r="D388" i="18"/>
  <c r="D429" i="15"/>
  <c r="D407" i="11" s="1"/>
  <c r="D402" i="9"/>
  <c r="C517" i="15"/>
  <c r="C495" i="11" s="1"/>
  <c r="C490" i="9"/>
  <c r="C529" i="15"/>
  <c r="C507" i="11" s="1"/>
  <c r="C502" i="9"/>
  <c r="D331" i="15"/>
  <c r="D309" i="11" s="1"/>
  <c r="D304" i="9"/>
  <c r="C37" i="11"/>
  <c r="C40" i="9"/>
  <c r="C13" i="11"/>
  <c r="C14" i="9"/>
  <c r="C500" i="15"/>
  <c r="C478" i="11" s="1"/>
  <c r="C473" i="9"/>
  <c r="C539" i="15"/>
  <c r="C517" i="11" s="1"/>
  <c r="C512" i="9"/>
  <c r="D354" i="15"/>
  <c r="D332" i="11" s="1"/>
  <c r="D327" i="9"/>
  <c r="D355" i="15"/>
  <c r="D333" i="11" s="1"/>
  <c r="D328" i="9"/>
  <c r="C437" i="20"/>
  <c r="C425" i="18"/>
  <c r="C58" i="11"/>
  <c r="C53" i="9"/>
  <c r="D242" i="15"/>
  <c r="D223" i="11" s="1"/>
  <c r="D222" i="9"/>
  <c r="C215" i="15"/>
  <c r="C195" i="9"/>
  <c r="C198" i="11" s="1"/>
  <c r="D243" i="15"/>
  <c r="D224" i="11" s="1"/>
  <c r="D223" i="9"/>
  <c r="D123" i="11"/>
  <c r="D112" i="9"/>
  <c r="D359" i="15"/>
  <c r="D337" i="11" s="1"/>
  <c r="D332" i="9"/>
  <c r="C466" i="15"/>
  <c r="C444" i="11" s="1"/>
  <c r="C439" i="9"/>
  <c r="D399" i="15"/>
  <c r="D377" i="11" s="1"/>
  <c r="D372" i="9"/>
  <c r="B432" i="15"/>
  <c r="B410" i="11" s="1"/>
  <c r="B405" i="9"/>
  <c r="C472" i="15"/>
  <c r="C450" i="11" s="1"/>
  <c r="C445" i="9"/>
  <c r="D397" i="15"/>
  <c r="D375" i="11" s="1"/>
  <c r="D370" i="9"/>
  <c r="C457" i="15"/>
  <c r="C435" i="11" s="1"/>
  <c r="C430" i="9"/>
  <c r="D323" i="15"/>
  <c r="D301" i="11" s="1"/>
  <c r="D296" i="9"/>
  <c r="D344" i="15"/>
  <c r="D322" i="11" s="1"/>
  <c r="D317" i="9"/>
  <c r="D425" i="15"/>
  <c r="D403" i="11" s="1"/>
  <c r="D398" i="9"/>
  <c r="C494" i="15"/>
  <c r="C472" i="11" s="1"/>
  <c r="C467" i="9"/>
  <c r="D342" i="15"/>
  <c r="D320" i="11" s="1"/>
  <c r="D315" i="9"/>
  <c r="C468" i="15"/>
  <c r="C446" i="11" s="1"/>
  <c r="C441" i="9"/>
  <c r="C502" i="15"/>
  <c r="C480" i="11" s="1"/>
  <c r="C475" i="9"/>
  <c r="C537" i="20"/>
  <c r="C548" i="18" s="1"/>
  <c r="C519" i="18"/>
  <c r="D14" i="11"/>
  <c r="D15" i="9"/>
  <c r="C503" i="15"/>
  <c r="C481" i="11" s="1"/>
  <c r="C476" i="9"/>
  <c r="C531" i="15"/>
  <c r="C509" i="11" s="1"/>
  <c r="C504" i="9"/>
  <c r="D241" i="15"/>
  <c r="D222" i="11" s="1"/>
  <c r="D221" i="9"/>
  <c r="D239" i="15"/>
  <c r="D220" i="11" s="1"/>
  <c r="D219" i="9"/>
  <c r="D124" i="11"/>
  <c r="D113" i="9"/>
  <c r="D207" i="15"/>
  <c r="D187" i="9"/>
  <c r="D190" i="11" s="1"/>
  <c r="E241" i="11"/>
  <c r="E240" i="9"/>
  <c r="B175" i="15"/>
  <c r="B162" i="11" s="1"/>
  <c r="B156" i="9"/>
  <c r="D33" i="11"/>
  <c r="D36" i="9"/>
  <c r="D460" i="15"/>
  <c r="D438" i="11" s="1"/>
  <c r="D433" i="9"/>
  <c r="D343" i="15"/>
  <c r="D321" i="11" s="1"/>
  <c r="D316" i="9"/>
  <c r="C474" i="15"/>
  <c r="C452" i="11" s="1"/>
  <c r="C447" i="9"/>
  <c r="D360" i="15"/>
  <c r="D338" i="11" s="1"/>
  <c r="D333" i="9"/>
  <c r="D396" i="15"/>
  <c r="D374" i="11" s="1"/>
  <c r="D369" i="9"/>
  <c r="D426" i="15"/>
  <c r="D404" i="11" s="1"/>
  <c r="D399" i="9"/>
  <c r="C476" i="15"/>
  <c r="C454" i="11" s="1"/>
  <c r="C449" i="9"/>
  <c r="C540" i="20"/>
  <c r="C551" i="18" s="1"/>
  <c r="C522" i="18"/>
  <c r="D229" i="15"/>
  <c r="D210" i="11" s="1"/>
  <c r="D209" i="9"/>
  <c r="C497" i="15"/>
  <c r="C475" i="11" s="1"/>
  <c r="C470" i="9"/>
  <c r="B198" i="15"/>
  <c r="B178" i="9"/>
  <c r="B181" i="11" s="1"/>
  <c r="D249" i="11"/>
  <c r="D248" i="9"/>
  <c r="D442" i="15"/>
  <c r="D420" i="11" s="1"/>
  <c r="D415" i="9"/>
  <c r="C522" i="20"/>
  <c r="C533" i="18" s="1"/>
  <c r="C420" i="18"/>
  <c r="D553" i="20"/>
  <c r="D564" i="18" s="1"/>
  <c r="D537" i="18"/>
  <c r="D530" i="20"/>
  <c r="D541" i="18" s="1"/>
  <c r="C513" i="18"/>
  <c r="D344" i="20"/>
  <c r="D350" i="18"/>
  <c r="D385" i="20"/>
  <c r="D396" i="18" s="1"/>
  <c r="D390" i="18"/>
  <c r="C498" i="20"/>
  <c r="C509" i="18" s="1"/>
  <c r="C456" i="18"/>
  <c r="C270" i="11"/>
  <c r="C269" i="9"/>
  <c r="C228" i="15"/>
  <c r="C209" i="11" s="1"/>
  <c r="C208" i="9"/>
  <c r="C538" i="20"/>
  <c r="C549" i="18" s="1"/>
  <c r="C520" i="18"/>
  <c r="C505" i="15"/>
  <c r="C483" i="11" s="1"/>
  <c r="C478" i="9"/>
  <c r="E238" i="11"/>
  <c r="E237" i="9"/>
  <c r="C276" i="9"/>
  <c r="C281" i="11"/>
  <c r="C319" i="15"/>
  <c r="C297" i="11" s="1"/>
  <c r="C292" i="9"/>
  <c r="D255" i="11"/>
  <c r="D254" i="9"/>
  <c r="D446" i="15"/>
  <c r="D424" i="11" s="1"/>
  <c r="D419" i="9"/>
  <c r="D261" i="11"/>
  <c r="D260" i="9"/>
  <c r="D551" i="20"/>
  <c r="D562" i="18" s="1"/>
  <c r="D534" i="18"/>
  <c r="D343" i="20"/>
  <c r="D349" i="18"/>
  <c r="D528" i="20"/>
  <c r="D539" i="18" s="1"/>
  <c r="C505" i="18"/>
  <c r="D386" i="20"/>
  <c r="D397" i="18" s="1"/>
  <c r="D391" i="18"/>
  <c r="C450" i="15"/>
  <c r="C428" i="11" s="1"/>
  <c r="C423" i="9"/>
  <c r="D529" i="20"/>
  <c r="D540" i="18" s="1"/>
  <c r="C511" i="18"/>
  <c r="D384" i="20"/>
  <c r="D395" i="18" s="1"/>
  <c r="D389" i="18"/>
  <c r="C510" i="15"/>
  <c r="C488" i="11" s="1"/>
  <c r="C483" i="9"/>
  <c r="D329" i="15"/>
  <c r="D307" i="11" s="1"/>
  <c r="D302" i="9"/>
  <c r="D554" i="20"/>
  <c r="D565" i="18" s="1"/>
  <c r="D538" i="18"/>
  <c r="D428" i="15"/>
  <c r="D406" i="11" s="1"/>
  <c r="D401" i="9"/>
  <c r="D512" i="15"/>
  <c r="D490" i="11" s="1"/>
  <c r="D485" i="9"/>
  <c r="D552" i="20"/>
  <c r="D563" i="18" s="1"/>
  <c r="D536" i="18"/>
  <c r="C521" i="15"/>
  <c r="C499" i="11" s="1"/>
  <c r="C494" i="9"/>
  <c r="E251" i="20"/>
  <c r="E252" i="18"/>
  <c r="E267" i="15" s="1"/>
  <c r="D130" i="20"/>
  <c r="D133" i="18"/>
  <c r="D138" i="15" s="1"/>
  <c r="E254" i="20"/>
  <c r="E255" i="18"/>
  <c r="E270" i="15" s="1"/>
  <c r="D128" i="20"/>
  <c r="D131" i="18"/>
  <c r="D136" i="15" s="1"/>
  <c r="D129" i="20"/>
  <c r="D132" i="18"/>
  <c r="D137" i="15" s="1"/>
  <c r="D224" i="20"/>
  <c r="D524" i="20"/>
  <c r="D535" i="18" s="1"/>
  <c r="J83" i="25"/>
  <c r="J21" i="25"/>
  <c r="J88" i="25" s="1"/>
  <c r="J20" i="25"/>
  <c r="J87" i="25" s="1"/>
  <c r="J82" i="25"/>
  <c r="J19" i="25"/>
  <c r="J86" i="25" s="1"/>
  <c r="J81" i="25"/>
  <c r="P88" i="25" a="1"/>
  <c r="P88" i="25" s="1"/>
  <c r="D153" i="17"/>
  <c r="D189" i="17"/>
  <c r="Q133" i="17"/>
  <c r="N133" i="17"/>
  <c r="D148" i="17"/>
  <c r="D182" i="17"/>
  <c r="O133" i="17"/>
  <c r="S125" i="17"/>
  <c r="S133" i="17" s="1"/>
  <c r="D143" i="17"/>
  <c r="D175" i="17"/>
  <c r="T109" i="23"/>
  <c r="T112" i="23" s="1"/>
  <c r="U103" i="1"/>
  <c r="W95" i="1"/>
  <c r="W142" i="15" s="1"/>
  <c r="T103" i="1"/>
  <c r="V103" i="1"/>
  <c r="U95" i="1"/>
  <c r="U142" i="15" s="1"/>
  <c r="T95" i="1"/>
  <c r="T142" i="15" s="1"/>
  <c r="U63" i="1"/>
  <c r="V63" i="1" s="1"/>
  <c r="V95" i="1"/>
  <c r="V142" i="15" s="1"/>
  <c r="S5" i="25"/>
  <c r="N50" i="17"/>
  <c r="N61" i="17" s="1"/>
  <c r="BH124" i="23"/>
  <c r="BP124" i="23"/>
  <c r="BD124" i="23"/>
  <c r="AN124" i="23"/>
  <c r="AF124" i="23"/>
  <c r="P124" i="23"/>
  <c r="BS124" i="23"/>
  <c r="BO124" i="23"/>
  <c r="BK124" i="23"/>
  <c r="BG124" i="23"/>
  <c r="BC124" i="23"/>
  <c r="AY124" i="23"/>
  <c r="AU124" i="23"/>
  <c r="AQ124" i="23"/>
  <c r="AM124" i="23"/>
  <c r="AI124" i="23"/>
  <c r="AE124" i="23"/>
  <c r="AA124" i="23"/>
  <c r="S124" i="23"/>
  <c r="O124" i="23"/>
  <c r="AZ124" i="23"/>
  <c r="AR124" i="23"/>
  <c r="AB124" i="23"/>
  <c r="BR124" i="23"/>
  <c r="BN124" i="23"/>
  <c r="BJ124" i="23"/>
  <c r="BF124" i="23"/>
  <c r="BB124" i="23"/>
  <c r="AX124" i="23"/>
  <c r="AT124" i="23"/>
  <c r="AP124" i="23"/>
  <c r="AL124" i="23"/>
  <c r="AH124" i="23"/>
  <c r="AD124" i="23"/>
  <c r="Z124" i="23"/>
  <c r="N124" i="23"/>
  <c r="BL124" i="23"/>
  <c r="AV124" i="23"/>
  <c r="AJ124" i="23"/>
  <c r="BQ124" i="23"/>
  <c r="BM124" i="23"/>
  <c r="BI124" i="23"/>
  <c r="BE124" i="23"/>
  <c r="BA124" i="23"/>
  <c r="AW124" i="23"/>
  <c r="AS124" i="23"/>
  <c r="AO124" i="23"/>
  <c r="AK124" i="23"/>
  <c r="AG124" i="23"/>
  <c r="AC124" i="23"/>
  <c r="Y124" i="23"/>
  <c r="U124" i="23"/>
  <c r="Q124" i="23"/>
  <c r="M124" i="23"/>
  <c r="L129" i="23"/>
  <c r="L130" i="23" s="1"/>
  <c r="L124" i="23"/>
  <c r="BM112" i="23"/>
  <c r="BA112" i="23"/>
  <c r="AS112" i="23"/>
  <c r="AG112" i="23"/>
  <c r="BP112" i="23"/>
  <c r="BL112" i="23"/>
  <c r="BH112" i="23"/>
  <c r="BD112" i="23"/>
  <c r="AZ112" i="23"/>
  <c r="AV112" i="23"/>
  <c r="AR112" i="23"/>
  <c r="AN112" i="23"/>
  <c r="AJ112" i="23"/>
  <c r="AF112" i="23"/>
  <c r="AB112" i="23"/>
  <c r="P112" i="23"/>
  <c r="BQ112" i="23"/>
  <c r="BE112" i="23"/>
  <c r="AO112" i="23"/>
  <c r="AC112" i="23"/>
  <c r="Q112" i="23"/>
  <c r="BS112" i="23"/>
  <c r="BO112" i="23"/>
  <c r="BK112" i="23"/>
  <c r="BG112" i="23"/>
  <c r="BC112" i="23"/>
  <c r="AY112" i="23"/>
  <c r="AU112" i="23"/>
  <c r="AQ112" i="23"/>
  <c r="AM112" i="23"/>
  <c r="AI112" i="23"/>
  <c r="AE112" i="23"/>
  <c r="AA112" i="23"/>
  <c r="S112" i="23"/>
  <c r="O112" i="23"/>
  <c r="BI112" i="23"/>
  <c r="AW112" i="23"/>
  <c r="AK112" i="23"/>
  <c r="Y112" i="23"/>
  <c r="M112" i="23"/>
  <c r="BR112" i="23"/>
  <c r="BN112" i="23"/>
  <c r="BJ112" i="23"/>
  <c r="BF112" i="23"/>
  <c r="BB112" i="23"/>
  <c r="AX112" i="23"/>
  <c r="AT112" i="23"/>
  <c r="AP112" i="23"/>
  <c r="AL112" i="23"/>
  <c r="AH112" i="23"/>
  <c r="AD112" i="23"/>
  <c r="Z112" i="23"/>
  <c r="N112" i="23"/>
  <c r="L117" i="23"/>
  <c r="L118" i="23" s="1"/>
  <c r="L112" i="23"/>
  <c r="U94" i="1"/>
  <c r="W94" i="1"/>
  <c r="V67" i="1"/>
  <c r="V109" i="23" s="1"/>
  <c r="V112" i="23" s="1"/>
  <c r="T94" i="1"/>
  <c r="U72" i="1"/>
  <c r="U102" i="1" s="1"/>
  <c r="V94" i="1"/>
  <c r="T97" i="1"/>
  <c r="T121" i="23" s="1"/>
  <c r="T159" i="23" s="1"/>
  <c r="U66" i="1"/>
  <c r="V66" i="1" s="1"/>
  <c r="M136" i="1"/>
  <c r="N93" i="22"/>
  <c r="I93" i="22" s="1"/>
  <c r="N34" i="22"/>
  <c r="L6" i="24"/>
  <c r="L10" i="24"/>
  <c r="L14" i="24"/>
  <c r="L3" i="24"/>
  <c r="L7" i="24"/>
  <c r="L11" i="24"/>
  <c r="L15" i="24"/>
  <c r="L4" i="24"/>
  <c r="L8" i="24"/>
  <c r="L12" i="24"/>
  <c r="L16" i="24"/>
  <c r="L5" i="24"/>
  <c r="L9" i="24"/>
  <c r="L13" i="24"/>
  <c r="L17" i="24"/>
  <c r="L341" i="23"/>
  <c r="BP341" i="23"/>
  <c r="BL341" i="23"/>
  <c r="BH341" i="23"/>
  <c r="BD341" i="23"/>
  <c r="AZ341" i="23"/>
  <c r="AV341" i="23"/>
  <c r="AR341" i="23"/>
  <c r="AN341" i="23"/>
  <c r="AJ341" i="23"/>
  <c r="AF341" i="23"/>
  <c r="AB341" i="23"/>
  <c r="X341" i="23"/>
  <c r="T341" i="23"/>
  <c r="P341" i="23"/>
  <c r="BS341" i="23"/>
  <c r="BO341" i="23"/>
  <c r="BK341" i="23"/>
  <c r="BG341" i="23"/>
  <c r="BC341" i="23"/>
  <c r="AY341" i="23"/>
  <c r="AU341" i="23"/>
  <c r="AQ341" i="23"/>
  <c r="AM341" i="23"/>
  <c r="AI341" i="23"/>
  <c r="AE341" i="23"/>
  <c r="AA341" i="23"/>
  <c r="W341" i="23"/>
  <c r="S341" i="23"/>
  <c r="O341" i="23"/>
  <c r="BR341" i="23"/>
  <c r="BN341" i="23"/>
  <c r="BJ341" i="23"/>
  <c r="BF341" i="23"/>
  <c r="BB341" i="23"/>
  <c r="AX341" i="23"/>
  <c r="AT341" i="23"/>
  <c r="AP341" i="23"/>
  <c r="AL341" i="23"/>
  <c r="AH341" i="23"/>
  <c r="AD341" i="23"/>
  <c r="Z341" i="23"/>
  <c r="V341" i="23"/>
  <c r="R341" i="23"/>
  <c r="N341" i="23"/>
  <c r="BQ341" i="23"/>
  <c r="BM341" i="23"/>
  <c r="BI341" i="23"/>
  <c r="BE341" i="23"/>
  <c r="BA341" i="23"/>
  <c r="AW341" i="23"/>
  <c r="AS341" i="23"/>
  <c r="AO341" i="23"/>
  <c r="AK341" i="23"/>
  <c r="AG341" i="23"/>
  <c r="AC341" i="23"/>
  <c r="Y341" i="23"/>
  <c r="U341" i="23"/>
  <c r="Q341" i="23"/>
  <c r="BS159" i="23"/>
  <c r="BO159" i="23"/>
  <c r="BK159" i="23"/>
  <c r="BG159" i="23"/>
  <c r="BC159" i="23"/>
  <c r="AY159" i="23"/>
  <c r="AU159" i="23"/>
  <c r="AQ159" i="23"/>
  <c r="AM159" i="23"/>
  <c r="AI159" i="23"/>
  <c r="AE159" i="23"/>
  <c r="AA159" i="23"/>
  <c r="S159" i="23"/>
  <c r="O159" i="23"/>
  <c r="BR159" i="23"/>
  <c r="BN159" i="23"/>
  <c r="BJ159" i="23"/>
  <c r="BF159" i="23"/>
  <c r="BB159" i="23"/>
  <c r="AX159" i="23"/>
  <c r="AT159" i="23"/>
  <c r="AP159" i="23"/>
  <c r="AL159" i="23"/>
  <c r="AH159" i="23"/>
  <c r="AD159" i="23"/>
  <c r="Z159" i="23"/>
  <c r="R159" i="23"/>
  <c r="N159" i="23"/>
  <c r="BQ159" i="23"/>
  <c r="BM159" i="23"/>
  <c r="BI159" i="23"/>
  <c r="BE159" i="23"/>
  <c r="BA159" i="23"/>
  <c r="AW159" i="23"/>
  <c r="AS159" i="23"/>
  <c r="AO159" i="23"/>
  <c r="AK159" i="23"/>
  <c r="AG159" i="23"/>
  <c r="AC159" i="23"/>
  <c r="Y159" i="23"/>
  <c r="Q159" i="23"/>
  <c r="M159" i="23"/>
  <c r="BP159" i="23"/>
  <c r="BL159" i="23"/>
  <c r="BH159" i="23"/>
  <c r="BD159" i="23"/>
  <c r="AZ159" i="23"/>
  <c r="AV159" i="23"/>
  <c r="AR159" i="23"/>
  <c r="AN159" i="23"/>
  <c r="AJ159" i="23"/>
  <c r="AF159" i="23"/>
  <c r="AB159" i="23"/>
  <c r="P159" i="23"/>
  <c r="L159" i="23"/>
  <c r="BS134" i="23"/>
  <c r="BG134" i="23"/>
  <c r="AY134" i="23"/>
  <c r="AM134" i="23"/>
  <c r="AA134" i="23"/>
  <c r="S134" i="23"/>
  <c r="BR134" i="23"/>
  <c r="BR160" i="23" s="1"/>
  <c r="BN134" i="23"/>
  <c r="BJ134" i="23"/>
  <c r="BF134" i="23"/>
  <c r="BB134" i="23"/>
  <c r="AX134" i="23"/>
  <c r="AT134" i="23"/>
  <c r="AP134" i="23"/>
  <c r="AL134" i="23"/>
  <c r="AH134" i="23"/>
  <c r="AD134" i="23"/>
  <c r="AD160" i="23" s="1"/>
  <c r="Z134" i="23"/>
  <c r="Z160" i="23" s="1"/>
  <c r="V134" i="23"/>
  <c r="N134" i="23"/>
  <c r="BO134" i="23"/>
  <c r="BK134" i="23"/>
  <c r="BC134" i="23"/>
  <c r="AU134" i="23"/>
  <c r="AU160" i="23" s="1"/>
  <c r="AQ134" i="23"/>
  <c r="AI134" i="23"/>
  <c r="AE134" i="23"/>
  <c r="W134" i="23"/>
  <c r="W160" i="23" s="1"/>
  <c r="O134" i="23"/>
  <c r="BQ134" i="23"/>
  <c r="BM134" i="23"/>
  <c r="BI134" i="23"/>
  <c r="BE134" i="23"/>
  <c r="BA134" i="23"/>
  <c r="AW134" i="23"/>
  <c r="AS134" i="23"/>
  <c r="AO134" i="23"/>
  <c r="AK134" i="23"/>
  <c r="AG134" i="23"/>
  <c r="AC134" i="23"/>
  <c r="Y134" i="23"/>
  <c r="U134" i="23"/>
  <c r="Q134" i="23"/>
  <c r="M134" i="23"/>
  <c r="BP134" i="23"/>
  <c r="BL134" i="23"/>
  <c r="BH134" i="23"/>
  <c r="BD134" i="23"/>
  <c r="AZ134" i="23"/>
  <c r="AV134" i="23"/>
  <c r="AR134" i="23"/>
  <c r="AN134" i="23"/>
  <c r="AJ134" i="23"/>
  <c r="AF134" i="23"/>
  <c r="AB134" i="23"/>
  <c r="X134" i="23"/>
  <c r="T134" i="23"/>
  <c r="P134" i="23"/>
  <c r="L134" i="23"/>
  <c r="M128" i="23"/>
  <c r="N128" i="23" s="1"/>
  <c r="O128" i="23" s="1"/>
  <c r="P128" i="23" s="1"/>
  <c r="Q128" i="23" s="1"/>
  <c r="R128" i="23" s="1"/>
  <c r="S128" i="23" s="1"/>
  <c r="T128" i="23" s="1"/>
  <c r="U128" i="23" s="1"/>
  <c r="V128" i="23" s="1"/>
  <c r="W128" i="23" s="1"/>
  <c r="X128" i="23" s="1"/>
  <c r="Y128" i="23" s="1"/>
  <c r="Z128" i="23" s="1"/>
  <c r="AA128" i="23" s="1"/>
  <c r="AB128" i="23" s="1"/>
  <c r="AC128" i="23" s="1"/>
  <c r="AD128" i="23" s="1"/>
  <c r="AE128" i="23" s="1"/>
  <c r="AF128" i="23" s="1"/>
  <c r="AG128" i="23" s="1"/>
  <c r="AH128" i="23" s="1"/>
  <c r="AI128" i="23" s="1"/>
  <c r="AJ128" i="23" s="1"/>
  <c r="AK128" i="23" s="1"/>
  <c r="AL128" i="23" s="1"/>
  <c r="AM128" i="23" s="1"/>
  <c r="AN128" i="23" s="1"/>
  <c r="AO128" i="23" s="1"/>
  <c r="AP128" i="23" s="1"/>
  <c r="AQ128" i="23" s="1"/>
  <c r="AR128" i="23" s="1"/>
  <c r="AS128" i="23" s="1"/>
  <c r="AT128" i="23" s="1"/>
  <c r="AU128" i="23" s="1"/>
  <c r="AV128" i="23" s="1"/>
  <c r="AW128" i="23" s="1"/>
  <c r="AX128" i="23" s="1"/>
  <c r="AY128" i="23" s="1"/>
  <c r="AZ128" i="23" s="1"/>
  <c r="BA128" i="23" s="1"/>
  <c r="BB128" i="23" s="1"/>
  <c r="BC128" i="23" s="1"/>
  <c r="BD128" i="23" s="1"/>
  <c r="BE128" i="23" s="1"/>
  <c r="BF128" i="23" s="1"/>
  <c r="BG128" i="23" s="1"/>
  <c r="BH128" i="23" s="1"/>
  <c r="BI128" i="23" s="1"/>
  <c r="BJ128" i="23" s="1"/>
  <c r="BK128" i="23" s="1"/>
  <c r="BL128" i="23" s="1"/>
  <c r="BM128" i="23" s="1"/>
  <c r="BN128" i="23" s="1"/>
  <c r="BO128" i="23" s="1"/>
  <c r="BP128" i="23" s="1"/>
  <c r="BQ128" i="23" s="1"/>
  <c r="BR128" i="23" s="1"/>
  <c r="BS128" i="23" s="1"/>
  <c r="M127" i="23"/>
  <c r="M116" i="23"/>
  <c r="N116" i="23" s="1"/>
  <c r="O116" i="23" s="1"/>
  <c r="P116" i="23" s="1"/>
  <c r="Q116" i="23" s="1"/>
  <c r="R116" i="23" s="1"/>
  <c r="S116" i="23" s="1"/>
  <c r="T116" i="23" s="1"/>
  <c r="U116" i="23" s="1"/>
  <c r="V116" i="23" s="1"/>
  <c r="W116" i="23" s="1"/>
  <c r="X116" i="23" s="1"/>
  <c r="Y116" i="23" s="1"/>
  <c r="Z116" i="23" s="1"/>
  <c r="AA116" i="23" s="1"/>
  <c r="AB116" i="23" s="1"/>
  <c r="AC116" i="23" s="1"/>
  <c r="AD116" i="23" s="1"/>
  <c r="AE116" i="23" s="1"/>
  <c r="AF116" i="23" s="1"/>
  <c r="AG116" i="23" s="1"/>
  <c r="AH116" i="23" s="1"/>
  <c r="AI116" i="23" s="1"/>
  <c r="AJ116" i="23" s="1"/>
  <c r="AK116" i="23" s="1"/>
  <c r="AL116" i="23" s="1"/>
  <c r="AM116" i="23" s="1"/>
  <c r="AN116" i="23" s="1"/>
  <c r="AO116" i="23" s="1"/>
  <c r="AP116" i="23" s="1"/>
  <c r="AQ116" i="23" s="1"/>
  <c r="AR116" i="23" s="1"/>
  <c r="AS116" i="23" s="1"/>
  <c r="AT116" i="23" s="1"/>
  <c r="AU116" i="23" s="1"/>
  <c r="AV116" i="23" s="1"/>
  <c r="AW116" i="23" s="1"/>
  <c r="AX116" i="23" s="1"/>
  <c r="AY116" i="23" s="1"/>
  <c r="AZ116" i="23" s="1"/>
  <c r="BA116" i="23" s="1"/>
  <c r="BB116" i="23" s="1"/>
  <c r="BC116" i="23" s="1"/>
  <c r="BD116" i="23" s="1"/>
  <c r="BE116" i="23" s="1"/>
  <c r="BF116" i="23" s="1"/>
  <c r="BG116" i="23" s="1"/>
  <c r="BH116" i="23" s="1"/>
  <c r="BI116" i="23" s="1"/>
  <c r="BJ116" i="23" s="1"/>
  <c r="BK116" i="23" s="1"/>
  <c r="BL116" i="23" s="1"/>
  <c r="BM116" i="23" s="1"/>
  <c r="BN116" i="23" s="1"/>
  <c r="BO116" i="23" s="1"/>
  <c r="BP116" i="23" s="1"/>
  <c r="BQ116" i="23" s="1"/>
  <c r="BR116" i="23" s="1"/>
  <c r="BS116" i="23" s="1"/>
  <c r="M115" i="23"/>
  <c r="N115" i="23" s="1"/>
  <c r="O115" i="23" s="1"/>
  <c r="P115" i="23" s="1"/>
  <c r="Q115" i="23" s="1"/>
  <c r="R115" i="23" s="1"/>
  <c r="S115" i="23" s="1"/>
  <c r="I110" i="23"/>
  <c r="I122" i="23"/>
  <c r="L244" i="15"/>
  <c r="I244" i="15" s="1"/>
  <c r="N233" i="15"/>
  <c r="O233" i="15"/>
  <c r="P233" i="15"/>
  <c r="Q233" i="15"/>
  <c r="R233" i="15"/>
  <c r="S233" i="15"/>
  <c r="T233" i="15"/>
  <c r="U233" i="15"/>
  <c r="V233" i="15"/>
  <c r="W233" i="15"/>
  <c r="X233" i="15"/>
  <c r="Y233" i="15"/>
  <c r="Z233" i="15"/>
  <c r="AA233" i="15"/>
  <c r="AB233" i="15"/>
  <c r="AC233" i="15"/>
  <c r="AD233" i="15"/>
  <c r="AE233" i="15"/>
  <c r="AF233" i="15"/>
  <c r="AG233" i="15"/>
  <c r="AH233" i="15"/>
  <c r="AI233" i="15"/>
  <c r="AJ233" i="15"/>
  <c r="AK233" i="15"/>
  <c r="AL233" i="15"/>
  <c r="AM233" i="15"/>
  <c r="AN233" i="15"/>
  <c r="AO233" i="15"/>
  <c r="AP233" i="15"/>
  <c r="AQ233" i="15"/>
  <c r="AR233" i="15"/>
  <c r="AS233" i="15"/>
  <c r="AT233" i="15"/>
  <c r="AU233" i="15"/>
  <c r="AV233" i="15"/>
  <c r="AW233" i="15"/>
  <c r="AX233" i="15"/>
  <c r="AY233" i="15"/>
  <c r="AZ233" i="15"/>
  <c r="BA233" i="15"/>
  <c r="BB233" i="15"/>
  <c r="BC233" i="15"/>
  <c r="BD233" i="15"/>
  <c r="BE233" i="15"/>
  <c r="BF233" i="15"/>
  <c r="BG233" i="15"/>
  <c r="BH233" i="15"/>
  <c r="BI233" i="15"/>
  <c r="BJ233" i="15"/>
  <c r="BK233" i="15"/>
  <c r="BL233" i="15"/>
  <c r="BM233" i="15"/>
  <c r="BN233" i="15"/>
  <c r="BO233" i="15"/>
  <c r="BP233" i="15"/>
  <c r="BQ233" i="15"/>
  <c r="BR233" i="15"/>
  <c r="BS233" i="15"/>
  <c r="O161" i="15"/>
  <c r="P161" i="15"/>
  <c r="Q161" i="15"/>
  <c r="R161" i="15"/>
  <c r="S161" i="15"/>
  <c r="T161" i="15"/>
  <c r="U161" i="15"/>
  <c r="V161" i="15"/>
  <c r="W161" i="15"/>
  <c r="X161" i="15"/>
  <c r="Y161" i="15"/>
  <c r="Z161" i="15"/>
  <c r="AA161" i="15"/>
  <c r="AB161" i="15"/>
  <c r="AC161" i="15"/>
  <c r="AD161" i="15"/>
  <c r="AE161" i="15"/>
  <c r="AF161" i="15"/>
  <c r="AG161" i="15"/>
  <c r="AH161" i="15"/>
  <c r="AI161" i="15"/>
  <c r="AJ161" i="15"/>
  <c r="AK161" i="15"/>
  <c r="AL161" i="15"/>
  <c r="AM161" i="15"/>
  <c r="AN161" i="15"/>
  <c r="AO161" i="15"/>
  <c r="AP161" i="15"/>
  <c r="AQ161" i="15"/>
  <c r="AR161" i="15"/>
  <c r="AS161" i="15"/>
  <c r="AT161" i="15"/>
  <c r="AU161" i="15"/>
  <c r="AV161" i="15"/>
  <c r="AW161" i="15"/>
  <c r="AX161" i="15"/>
  <c r="AY161" i="15"/>
  <c r="AZ161" i="15"/>
  <c r="BA161" i="15"/>
  <c r="BB161" i="15"/>
  <c r="BC161" i="15"/>
  <c r="BD161" i="15"/>
  <c r="BE161" i="15"/>
  <c r="BF161" i="15"/>
  <c r="BG161" i="15"/>
  <c r="BH161" i="15"/>
  <c r="BI161" i="15"/>
  <c r="BJ161" i="15"/>
  <c r="BK161" i="15"/>
  <c r="BL161" i="15"/>
  <c r="BM161" i="15"/>
  <c r="BN161" i="15"/>
  <c r="BO161" i="15"/>
  <c r="BP161" i="15"/>
  <c r="BQ161" i="15"/>
  <c r="BR161" i="15"/>
  <c r="BS161" i="15"/>
  <c r="N161" i="15"/>
  <c r="N159" i="15"/>
  <c r="O159" i="15"/>
  <c r="P159" i="15"/>
  <c r="Q159" i="15"/>
  <c r="R159" i="15"/>
  <c r="S159" i="15"/>
  <c r="T159" i="15"/>
  <c r="U159" i="15"/>
  <c r="V159" i="15"/>
  <c r="W159" i="15"/>
  <c r="X159" i="15"/>
  <c r="Y159" i="15"/>
  <c r="Z159" i="15"/>
  <c r="AA159" i="15"/>
  <c r="AB159" i="15"/>
  <c r="AC159" i="15"/>
  <c r="AD159" i="15"/>
  <c r="AE159" i="15"/>
  <c r="AF159" i="15"/>
  <c r="AG159" i="15"/>
  <c r="AH159" i="15"/>
  <c r="AI159" i="15"/>
  <c r="AJ159" i="15"/>
  <c r="AK159" i="15"/>
  <c r="AL159" i="15"/>
  <c r="AM159" i="15"/>
  <c r="AN159" i="15"/>
  <c r="AO159" i="15"/>
  <c r="AP159" i="15"/>
  <c r="AQ159" i="15"/>
  <c r="AR159" i="15"/>
  <c r="AS159" i="15"/>
  <c r="AT159" i="15"/>
  <c r="AU159" i="15"/>
  <c r="AV159" i="15"/>
  <c r="AW159" i="15"/>
  <c r="AX159" i="15"/>
  <c r="AY159" i="15"/>
  <c r="AZ159" i="15"/>
  <c r="BA159" i="15"/>
  <c r="BB159" i="15"/>
  <c r="BC159" i="15"/>
  <c r="BD159" i="15"/>
  <c r="BE159" i="15"/>
  <c r="BF159" i="15"/>
  <c r="BG159" i="15"/>
  <c r="BH159" i="15"/>
  <c r="BI159" i="15"/>
  <c r="BJ159" i="15"/>
  <c r="BK159" i="15"/>
  <c r="BL159" i="15"/>
  <c r="BM159" i="15"/>
  <c r="BN159" i="15"/>
  <c r="BO159" i="15"/>
  <c r="BP159" i="15"/>
  <c r="BQ159" i="15"/>
  <c r="BR159" i="15"/>
  <c r="BS159" i="15"/>
  <c r="N157" i="15"/>
  <c r="O157" i="15"/>
  <c r="P157" i="15"/>
  <c r="Q157" i="15"/>
  <c r="R157" i="15"/>
  <c r="S157" i="15"/>
  <c r="T157" i="15"/>
  <c r="Y157" i="15"/>
  <c r="Z157" i="15"/>
  <c r="AA157" i="15"/>
  <c r="AB157" i="15"/>
  <c r="AC157" i="15"/>
  <c r="AD157" i="15"/>
  <c r="AE157" i="15"/>
  <c r="AF157" i="15"/>
  <c r="AG157" i="15"/>
  <c r="AH157" i="15"/>
  <c r="AI157" i="15"/>
  <c r="AJ157" i="15"/>
  <c r="AK157" i="15"/>
  <c r="AL157" i="15"/>
  <c r="AM157" i="15"/>
  <c r="AN157" i="15"/>
  <c r="AO157" i="15"/>
  <c r="AP157" i="15"/>
  <c r="AQ157" i="15"/>
  <c r="AR157" i="15"/>
  <c r="AS157" i="15"/>
  <c r="AT157" i="15"/>
  <c r="AU157" i="15"/>
  <c r="AV157" i="15"/>
  <c r="AW157" i="15"/>
  <c r="AX157" i="15"/>
  <c r="AY157" i="15"/>
  <c r="AZ157" i="15"/>
  <c r="BA157" i="15"/>
  <c r="BB157" i="15"/>
  <c r="BC157" i="15"/>
  <c r="BD157" i="15"/>
  <c r="BE157" i="15"/>
  <c r="BF157" i="15"/>
  <c r="BG157" i="15"/>
  <c r="BH157" i="15"/>
  <c r="BI157" i="15"/>
  <c r="BJ157" i="15"/>
  <c r="BK157" i="15"/>
  <c r="BL157" i="15"/>
  <c r="BM157" i="15"/>
  <c r="BN157" i="15"/>
  <c r="BO157" i="15"/>
  <c r="BP157" i="15"/>
  <c r="BQ157" i="15"/>
  <c r="BR157" i="15"/>
  <c r="BS157" i="15"/>
  <c r="N144" i="15"/>
  <c r="O144" i="15"/>
  <c r="P144" i="15"/>
  <c r="Q144" i="15"/>
  <c r="R144" i="15"/>
  <c r="S144" i="15"/>
  <c r="T144" i="15"/>
  <c r="U144" i="15"/>
  <c r="V144" i="15"/>
  <c r="W144" i="15"/>
  <c r="X144" i="15"/>
  <c r="Y144" i="15"/>
  <c r="Z144" i="15"/>
  <c r="AA144" i="15"/>
  <c r="AB144" i="15"/>
  <c r="AC144" i="15"/>
  <c r="AD144" i="15"/>
  <c r="AE144" i="15"/>
  <c r="AF144" i="15"/>
  <c r="AG144" i="15"/>
  <c r="AH144" i="15"/>
  <c r="AI144" i="15"/>
  <c r="AJ144" i="15"/>
  <c r="AK144" i="15"/>
  <c r="AL144" i="15"/>
  <c r="AM144" i="15"/>
  <c r="AN144" i="15"/>
  <c r="AO144" i="15"/>
  <c r="AP144" i="15"/>
  <c r="AQ144" i="15"/>
  <c r="AR144" i="15"/>
  <c r="AS144" i="15"/>
  <c r="AT144" i="15"/>
  <c r="AU144" i="15"/>
  <c r="AV144" i="15"/>
  <c r="AW144" i="15"/>
  <c r="AX144" i="15"/>
  <c r="AY144" i="15"/>
  <c r="AZ144" i="15"/>
  <c r="BA144" i="15"/>
  <c r="BB144" i="15"/>
  <c r="BC144" i="15"/>
  <c r="BD144" i="15"/>
  <c r="BE144" i="15"/>
  <c r="BF144" i="15"/>
  <c r="BG144" i="15"/>
  <c r="BH144" i="15"/>
  <c r="BI144" i="15"/>
  <c r="BJ144" i="15"/>
  <c r="BK144" i="15"/>
  <c r="BL144" i="15"/>
  <c r="BM144" i="15"/>
  <c r="BN144" i="15"/>
  <c r="BO144" i="15"/>
  <c r="BP144" i="15"/>
  <c r="BQ144" i="15"/>
  <c r="BR144" i="15"/>
  <c r="BS144" i="15"/>
  <c r="N143" i="15"/>
  <c r="O143" i="15"/>
  <c r="P143" i="15"/>
  <c r="Q143" i="15"/>
  <c r="R143" i="15"/>
  <c r="S143" i="15"/>
  <c r="T143" i="15"/>
  <c r="U143" i="15"/>
  <c r="V143" i="15"/>
  <c r="W143" i="15"/>
  <c r="X143" i="15"/>
  <c r="Y143" i="15"/>
  <c r="Z143" i="15"/>
  <c r="AA143" i="15"/>
  <c r="AB143" i="15"/>
  <c r="AC143" i="15"/>
  <c r="AD143" i="15"/>
  <c r="AE143" i="15"/>
  <c r="AF143" i="15"/>
  <c r="AG143" i="15"/>
  <c r="AH143" i="15"/>
  <c r="AI143" i="15"/>
  <c r="AJ143" i="15"/>
  <c r="AK143" i="15"/>
  <c r="AL143" i="15"/>
  <c r="AM143" i="15"/>
  <c r="AN143" i="15"/>
  <c r="AO143" i="15"/>
  <c r="AP143" i="15"/>
  <c r="AQ143" i="15"/>
  <c r="AR143" i="15"/>
  <c r="AS143" i="15"/>
  <c r="AT143" i="15"/>
  <c r="AU143" i="15"/>
  <c r="AV143" i="15"/>
  <c r="AW143" i="15"/>
  <c r="AX143" i="15"/>
  <c r="AY143" i="15"/>
  <c r="AZ143" i="15"/>
  <c r="BA143" i="15"/>
  <c r="BB143" i="15"/>
  <c r="BC143" i="15"/>
  <c r="BD143" i="15"/>
  <c r="BE143" i="15"/>
  <c r="BF143" i="15"/>
  <c r="BG143" i="15"/>
  <c r="BH143" i="15"/>
  <c r="BI143" i="15"/>
  <c r="BJ143" i="15"/>
  <c r="BK143" i="15"/>
  <c r="BL143" i="15"/>
  <c r="BM143" i="15"/>
  <c r="BN143" i="15"/>
  <c r="BO143" i="15"/>
  <c r="BP143" i="15"/>
  <c r="BQ143" i="15"/>
  <c r="BR143" i="15"/>
  <c r="BS143" i="15"/>
  <c r="N142" i="15"/>
  <c r="O142" i="15"/>
  <c r="P142" i="15"/>
  <c r="Q142" i="15"/>
  <c r="R142" i="15"/>
  <c r="S142" i="15"/>
  <c r="X142" i="15"/>
  <c r="Y142" i="15"/>
  <c r="Z142" i="15"/>
  <c r="AA142" i="15"/>
  <c r="AB142" i="15"/>
  <c r="AC142" i="15"/>
  <c r="AD142" i="15"/>
  <c r="AE142" i="15"/>
  <c r="AF142" i="15"/>
  <c r="AG142" i="15"/>
  <c r="AH142" i="15"/>
  <c r="AI142" i="15"/>
  <c r="AJ142" i="15"/>
  <c r="AK142" i="15"/>
  <c r="AL142" i="15"/>
  <c r="AM142" i="15"/>
  <c r="AN142" i="15"/>
  <c r="AO142" i="15"/>
  <c r="AP142" i="15"/>
  <c r="AQ142" i="15"/>
  <c r="AR142" i="15"/>
  <c r="AS142" i="15"/>
  <c r="AT142" i="15"/>
  <c r="AU142" i="15"/>
  <c r="AV142" i="15"/>
  <c r="AW142" i="15"/>
  <c r="AX142" i="15"/>
  <c r="AY142" i="15"/>
  <c r="AZ142" i="15"/>
  <c r="BA142" i="15"/>
  <c r="BB142" i="15"/>
  <c r="BC142" i="15"/>
  <c r="BD142" i="15"/>
  <c r="BE142" i="15"/>
  <c r="BF142" i="15"/>
  <c r="BG142" i="15"/>
  <c r="BH142" i="15"/>
  <c r="BI142" i="15"/>
  <c r="BJ142" i="15"/>
  <c r="BK142" i="15"/>
  <c r="BL142" i="15"/>
  <c r="BM142" i="15"/>
  <c r="BN142" i="15"/>
  <c r="BO142" i="15"/>
  <c r="BP142" i="15"/>
  <c r="BQ142" i="15"/>
  <c r="BR142" i="15"/>
  <c r="BS142" i="15"/>
  <c r="N132" i="15"/>
  <c r="O132" i="15"/>
  <c r="P132" i="15"/>
  <c r="Q132" i="15"/>
  <c r="R132" i="15"/>
  <c r="S132" i="15"/>
  <c r="T132" i="15"/>
  <c r="U132" i="15"/>
  <c r="V132" i="15"/>
  <c r="W132" i="15"/>
  <c r="X132" i="15"/>
  <c r="Y132" i="15"/>
  <c r="Z132" i="15"/>
  <c r="AA132" i="15"/>
  <c r="AB132" i="15"/>
  <c r="AC132" i="15"/>
  <c r="AD132" i="15"/>
  <c r="AE132" i="15"/>
  <c r="AF132" i="15"/>
  <c r="AG132" i="15"/>
  <c r="AH132" i="15"/>
  <c r="AI132" i="15"/>
  <c r="AJ132" i="15"/>
  <c r="AK132" i="15"/>
  <c r="AL132" i="15"/>
  <c r="AM132" i="15"/>
  <c r="AN132" i="15"/>
  <c r="AO132" i="15"/>
  <c r="AP132" i="15"/>
  <c r="AQ132" i="15"/>
  <c r="AR132" i="15"/>
  <c r="AS132" i="15"/>
  <c r="AT132" i="15"/>
  <c r="AU132" i="15"/>
  <c r="AV132" i="15"/>
  <c r="AW132" i="15"/>
  <c r="AX132" i="15"/>
  <c r="AY132" i="15"/>
  <c r="AZ132" i="15"/>
  <c r="BA132" i="15"/>
  <c r="BB132" i="15"/>
  <c r="BC132" i="15"/>
  <c r="BD132" i="15"/>
  <c r="BE132" i="15"/>
  <c r="BF132" i="15"/>
  <c r="BG132" i="15"/>
  <c r="BH132" i="15"/>
  <c r="BI132" i="15"/>
  <c r="BJ132" i="15"/>
  <c r="BK132" i="15"/>
  <c r="BL132" i="15"/>
  <c r="BM132" i="15"/>
  <c r="BN132" i="15"/>
  <c r="BO132" i="15"/>
  <c r="BP132" i="15"/>
  <c r="BQ132" i="15"/>
  <c r="BR132" i="15"/>
  <c r="BS132" i="15"/>
  <c r="N131" i="15"/>
  <c r="O131" i="15"/>
  <c r="P131" i="15"/>
  <c r="Q131" i="15"/>
  <c r="R131" i="15"/>
  <c r="S131" i="15"/>
  <c r="T131" i="15"/>
  <c r="U131" i="15"/>
  <c r="V131" i="15"/>
  <c r="W131" i="15"/>
  <c r="X131" i="15"/>
  <c r="Y131" i="15"/>
  <c r="Z131" i="15"/>
  <c r="AA131" i="15"/>
  <c r="AB131" i="15"/>
  <c r="AC131" i="15"/>
  <c r="AD131" i="15"/>
  <c r="AE131" i="15"/>
  <c r="AF131" i="15"/>
  <c r="AG131" i="15"/>
  <c r="AH131" i="15"/>
  <c r="AI131" i="15"/>
  <c r="AJ131" i="15"/>
  <c r="AK131" i="15"/>
  <c r="AL131" i="15"/>
  <c r="AM131" i="15"/>
  <c r="AN131" i="15"/>
  <c r="AO131" i="15"/>
  <c r="AP131" i="15"/>
  <c r="AQ131" i="15"/>
  <c r="AR131" i="15"/>
  <c r="AS131" i="15"/>
  <c r="AT131" i="15"/>
  <c r="AU131" i="15"/>
  <c r="AV131" i="15"/>
  <c r="AW131" i="15"/>
  <c r="AX131" i="15"/>
  <c r="AY131" i="15"/>
  <c r="AZ131" i="15"/>
  <c r="BA131" i="15"/>
  <c r="BB131" i="15"/>
  <c r="BC131" i="15"/>
  <c r="BD131" i="15"/>
  <c r="BE131" i="15"/>
  <c r="BF131" i="15"/>
  <c r="BG131" i="15"/>
  <c r="BH131" i="15"/>
  <c r="BI131" i="15"/>
  <c r="BJ131" i="15"/>
  <c r="BK131" i="15"/>
  <c r="BL131" i="15"/>
  <c r="BM131" i="15"/>
  <c r="BN131" i="15"/>
  <c r="BO131" i="15"/>
  <c r="BP131" i="15"/>
  <c r="BQ131" i="15"/>
  <c r="BR131" i="15"/>
  <c r="BS131" i="15"/>
  <c r="N130" i="15"/>
  <c r="O130" i="15"/>
  <c r="P130" i="15"/>
  <c r="Q130" i="15"/>
  <c r="R130" i="15"/>
  <c r="S130" i="15"/>
  <c r="T130" i="15"/>
  <c r="U130" i="15"/>
  <c r="V130" i="15"/>
  <c r="W130" i="15"/>
  <c r="X130" i="15"/>
  <c r="Y130" i="15"/>
  <c r="Z130" i="15"/>
  <c r="AA130" i="15"/>
  <c r="AB130" i="15"/>
  <c r="AC130" i="15"/>
  <c r="AD130" i="15"/>
  <c r="AE130" i="15"/>
  <c r="AF130" i="15"/>
  <c r="AG130" i="15"/>
  <c r="AH130" i="15"/>
  <c r="AI130" i="15"/>
  <c r="AJ130" i="15"/>
  <c r="AK130" i="15"/>
  <c r="AL130" i="15"/>
  <c r="AM130" i="15"/>
  <c r="AN130" i="15"/>
  <c r="AO130" i="15"/>
  <c r="AP130" i="15"/>
  <c r="AQ130" i="15"/>
  <c r="AR130" i="15"/>
  <c r="AS130" i="15"/>
  <c r="AT130" i="15"/>
  <c r="AU130" i="15"/>
  <c r="AV130" i="15"/>
  <c r="AW130" i="15"/>
  <c r="AX130" i="15"/>
  <c r="AY130" i="15"/>
  <c r="AZ130" i="15"/>
  <c r="BA130" i="15"/>
  <c r="BB130" i="15"/>
  <c r="BC130" i="15"/>
  <c r="BD130" i="15"/>
  <c r="BE130" i="15"/>
  <c r="BF130" i="15"/>
  <c r="BG130" i="15"/>
  <c r="BH130" i="15"/>
  <c r="BI130" i="15"/>
  <c r="BJ130" i="15"/>
  <c r="BK130" i="15"/>
  <c r="BL130" i="15"/>
  <c r="BM130" i="15"/>
  <c r="BN130" i="15"/>
  <c r="BO130" i="15"/>
  <c r="BP130" i="15"/>
  <c r="BQ130" i="15"/>
  <c r="BR130" i="15"/>
  <c r="BS130" i="15"/>
  <c r="L225" i="11"/>
  <c r="I225" i="11" s="1"/>
  <c r="N224" i="11"/>
  <c r="O224" i="11"/>
  <c r="P224" i="11"/>
  <c r="Q224" i="11"/>
  <c r="R224" i="11"/>
  <c r="S224" i="11"/>
  <c r="T224" i="11"/>
  <c r="U224" i="11"/>
  <c r="V224" i="11"/>
  <c r="W224" i="11"/>
  <c r="X224" i="11"/>
  <c r="Y224" i="11"/>
  <c r="Z224" i="11"/>
  <c r="AA224" i="11"/>
  <c r="AB224" i="11"/>
  <c r="AC224" i="11"/>
  <c r="AD224" i="11"/>
  <c r="AE224" i="11"/>
  <c r="AF224" i="11"/>
  <c r="AG224" i="11"/>
  <c r="AH224" i="11"/>
  <c r="AI224" i="11"/>
  <c r="AJ224" i="11"/>
  <c r="AK224" i="11"/>
  <c r="AL224" i="11"/>
  <c r="AM224" i="11"/>
  <c r="AN224" i="11"/>
  <c r="AO224" i="11"/>
  <c r="AP224" i="11"/>
  <c r="AQ224" i="11"/>
  <c r="AR224" i="11"/>
  <c r="AS224" i="11"/>
  <c r="AT224" i="11"/>
  <c r="AU224" i="11"/>
  <c r="AV224" i="11"/>
  <c r="AW224" i="11"/>
  <c r="AX224" i="11"/>
  <c r="AY224" i="11"/>
  <c r="AZ224" i="11"/>
  <c r="BA224" i="11"/>
  <c r="BB224" i="11"/>
  <c r="BC224" i="11"/>
  <c r="BD224" i="11"/>
  <c r="BE224" i="11"/>
  <c r="BF224" i="11"/>
  <c r="BG224" i="11"/>
  <c r="BH224" i="11"/>
  <c r="BI224" i="11"/>
  <c r="BJ224" i="11"/>
  <c r="BK224" i="11"/>
  <c r="BL224" i="11"/>
  <c r="BM224" i="11"/>
  <c r="BN224" i="11"/>
  <c r="BO224" i="11"/>
  <c r="BP224" i="11"/>
  <c r="BQ224" i="11"/>
  <c r="BR224" i="11"/>
  <c r="BS224" i="11"/>
  <c r="M153" i="11"/>
  <c r="M161" i="15" s="1"/>
  <c r="L153" i="11"/>
  <c r="L161" i="15" s="1"/>
  <c r="M151" i="11"/>
  <c r="M159" i="15" s="1"/>
  <c r="L151" i="11"/>
  <c r="L159" i="15" s="1"/>
  <c r="M149" i="11"/>
  <c r="M157" i="15" s="1"/>
  <c r="P207" i="17" l="1"/>
  <c r="O251" i="17"/>
  <c r="O220" i="17"/>
  <c r="O229" i="17" s="1"/>
  <c r="O240" i="17" s="1"/>
  <c r="C211" i="9"/>
  <c r="E246" i="9"/>
  <c r="E247" i="11"/>
  <c r="D550" i="15"/>
  <c r="D528" i="11" s="1"/>
  <c r="D523" i="9"/>
  <c r="D403" i="15"/>
  <c r="D381" i="11" s="1"/>
  <c r="D376" i="9"/>
  <c r="D548" i="15"/>
  <c r="D526" i="11" s="1"/>
  <c r="D521" i="9"/>
  <c r="C527" i="15"/>
  <c r="C505" i="11" s="1"/>
  <c r="C500" i="9"/>
  <c r="C536" i="15"/>
  <c r="C514" i="11" s="1"/>
  <c r="C509" i="9"/>
  <c r="D402" i="15"/>
  <c r="D380" i="11" s="1"/>
  <c r="D375" i="9"/>
  <c r="C537" i="15"/>
  <c r="C515" i="11" s="1"/>
  <c r="C510" i="9"/>
  <c r="D577" i="15"/>
  <c r="D555" i="11" s="1"/>
  <c r="D550" i="9"/>
  <c r="D409" i="15"/>
  <c r="D387" i="11" s="1"/>
  <c r="D382" i="9"/>
  <c r="D553" i="15"/>
  <c r="D531" i="11" s="1"/>
  <c r="D526" i="9"/>
  <c r="D576" i="15"/>
  <c r="D554" i="11" s="1"/>
  <c r="D549" i="9"/>
  <c r="C563" i="15"/>
  <c r="C541" i="11" s="1"/>
  <c r="C536" i="9"/>
  <c r="D410" i="15"/>
  <c r="D388" i="11" s="1"/>
  <c r="D383" i="9"/>
  <c r="D555" i="15"/>
  <c r="D533" i="11" s="1"/>
  <c r="D528" i="9"/>
  <c r="C547" i="15"/>
  <c r="C525" i="11" s="1"/>
  <c r="C520" i="9"/>
  <c r="C565" i="15"/>
  <c r="C543" i="11" s="1"/>
  <c r="C538" i="9"/>
  <c r="C562" i="15"/>
  <c r="C540" i="11" s="1"/>
  <c r="C535" i="9"/>
  <c r="D408" i="15"/>
  <c r="D386" i="11" s="1"/>
  <c r="D381" i="9"/>
  <c r="C566" i="15"/>
  <c r="C544" i="11" s="1"/>
  <c r="C539" i="9"/>
  <c r="D129" i="11"/>
  <c r="D118" i="9"/>
  <c r="D404" i="15"/>
  <c r="D382" i="11" s="1"/>
  <c r="D377" i="9"/>
  <c r="D549" i="15"/>
  <c r="D527" i="11" s="1"/>
  <c r="D522" i="9"/>
  <c r="D128" i="11"/>
  <c r="D117" i="9"/>
  <c r="D130" i="11"/>
  <c r="D119" i="9"/>
  <c r="D552" i="15"/>
  <c r="D530" i="11" s="1"/>
  <c r="D525" i="9"/>
  <c r="C525" i="15"/>
  <c r="C503" i="11" s="1"/>
  <c r="C498" i="9"/>
  <c r="D405" i="15"/>
  <c r="D383" i="11" s="1"/>
  <c r="D378" i="9"/>
  <c r="D363" i="15"/>
  <c r="D341" i="11" s="1"/>
  <c r="D336" i="9"/>
  <c r="C470" i="15"/>
  <c r="C448" i="11" s="1"/>
  <c r="C443" i="9"/>
  <c r="D364" i="15"/>
  <c r="D342" i="11" s="1"/>
  <c r="D337" i="9"/>
  <c r="D551" i="15"/>
  <c r="D529" i="11" s="1"/>
  <c r="D524" i="9"/>
  <c r="C439" i="15"/>
  <c r="C417" i="11" s="1"/>
  <c r="C412" i="9"/>
  <c r="E244" i="11"/>
  <c r="E243" i="9"/>
  <c r="C519" i="15"/>
  <c r="C497" i="11" s="1"/>
  <c r="C492" i="9"/>
  <c r="C534" i="15"/>
  <c r="C512" i="11" s="1"/>
  <c r="C507" i="9"/>
  <c r="C434" i="15"/>
  <c r="C412" i="11" s="1"/>
  <c r="C407" i="9"/>
  <c r="C533" i="15"/>
  <c r="C511" i="11" s="1"/>
  <c r="C506" i="9"/>
  <c r="D579" i="15"/>
  <c r="D557" i="11" s="1"/>
  <c r="D552" i="9"/>
  <c r="D554" i="15"/>
  <c r="D532" i="11" s="1"/>
  <c r="D527" i="9"/>
  <c r="D411" i="15"/>
  <c r="D389" i="11" s="1"/>
  <c r="D384" i="9"/>
  <c r="D348" i="20"/>
  <c r="D354" i="18"/>
  <c r="C523" i="15"/>
  <c r="C501" i="11" s="1"/>
  <c r="C496" i="9"/>
  <c r="D349" i="20"/>
  <c r="D355" i="18"/>
  <c r="D578" i="15"/>
  <c r="D556" i="11" s="1"/>
  <c r="D551" i="9"/>
  <c r="C490" i="20"/>
  <c r="C501" i="18" s="1"/>
  <c r="C448" i="18"/>
  <c r="D134" i="20"/>
  <c r="D143" i="18" s="1"/>
  <c r="D148" i="15" s="1"/>
  <c r="D137" i="18"/>
  <c r="D142" i="15" s="1"/>
  <c r="D244" i="20"/>
  <c r="D251" i="18" s="1"/>
  <c r="D266" i="15" s="1"/>
  <c r="D233" i="18"/>
  <c r="D136" i="20"/>
  <c r="D145" i="18" s="1"/>
  <c r="D150" i="15" s="1"/>
  <c r="D139" i="18"/>
  <c r="D144" i="15" s="1"/>
  <c r="D135" i="20"/>
  <c r="D144" i="18" s="1"/>
  <c r="D149" i="15" s="1"/>
  <c r="D138" i="18"/>
  <c r="D143" i="15" s="1"/>
  <c r="E260" i="20"/>
  <c r="E261" i="18"/>
  <c r="E276" i="15" s="1"/>
  <c r="E257" i="20"/>
  <c r="E258" i="18"/>
  <c r="E273" i="15" s="1"/>
  <c r="T115" i="23"/>
  <c r="U115" i="23" s="1"/>
  <c r="V115" i="23" s="1"/>
  <c r="U93" i="1"/>
  <c r="V72" i="1"/>
  <c r="V102" i="1" s="1"/>
  <c r="T5" i="25"/>
  <c r="O50" i="17"/>
  <c r="O61" i="17" s="1"/>
  <c r="M117" i="23"/>
  <c r="N117" i="23" s="1"/>
  <c r="M129" i="23"/>
  <c r="T124" i="23"/>
  <c r="V97" i="1"/>
  <c r="V121" i="23" s="1"/>
  <c r="V124" i="23" s="1"/>
  <c r="W67" i="1"/>
  <c r="W109" i="23" s="1"/>
  <c r="W112" i="23" s="1"/>
  <c r="U96" i="1"/>
  <c r="W63" i="1"/>
  <c r="V93" i="1"/>
  <c r="W66" i="1"/>
  <c r="V96" i="1"/>
  <c r="M34" i="22"/>
  <c r="M147" i="23"/>
  <c r="M145" i="23"/>
  <c r="M160" i="23" s="1"/>
  <c r="N127" i="23"/>
  <c r="AB209" i="23"/>
  <c r="AR209" i="23"/>
  <c r="BH209" i="23"/>
  <c r="Q209" i="23"/>
  <c r="AG209" i="23"/>
  <c r="AW209" i="23"/>
  <c r="BM209" i="23"/>
  <c r="AL209" i="23"/>
  <c r="BB209" i="23"/>
  <c r="BR209" i="23"/>
  <c r="AA209" i="23"/>
  <c r="AQ209" i="23"/>
  <c r="BG209" i="23"/>
  <c r="P209" i="23"/>
  <c r="AF209" i="23"/>
  <c r="AV209" i="23"/>
  <c r="BL209" i="23"/>
  <c r="AK209" i="23"/>
  <c r="BA209" i="23"/>
  <c r="BQ209" i="23"/>
  <c r="Z209" i="23"/>
  <c r="AP209" i="23"/>
  <c r="BF209" i="23"/>
  <c r="O209" i="23"/>
  <c r="AE209" i="23"/>
  <c r="AU209" i="23"/>
  <c r="BK209" i="23"/>
  <c r="T209" i="23"/>
  <c r="AJ209" i="23"/>
  <c r="AZ209" i="23"/>
  <c r="BP209" i="23"/>
  <c r="Y209" i="23"/>
  <c r="AO209" i="23"/>
  <c r="BE209" i="23"/>
  <c r="N209" i="23"/>
  <c r="AD209" i="23"/>
  <c r="AT209" i="23"/>
  <c r="BJ209" i="23"/>
  <c r="S209" i="23"/>
  <c r="AI209" i="23"/>
  <c r="AY209" i="23"/>
  <c r="BO209" i="23"/>
  <c r="AN209" i="23"/>
  <c r="BD209" i="23"/>
  <c r="M209" i="23"/>
  <c r="AC209" i="23"/>
  <c r="AS209" i="23"/>
  <c r="BI209" i="23"/>
  <c r="R209" i="23"/>
  <c r="AH209" i="23"/>
  <c r="AX209" i="23"/>
  <c r="BN209" i="23"/>
  <c r="AM209" i="23"/>
  <c r="BC209" i="23"/>
  <c r="BS209" i="23"/>
  <c r="L209" i="23"/>
  <c r="BR210" i="23"/>
  <c r="Z210" i="23"/>
  <c r="W210" i="23"/>
  <c r="AU210" i="23"/>
  <c r="AD210" i="23"/>
  <c r="L160" i="23"/>
  <c r="BR135" i="23"/>
  <c r="BR161" i="23" s="1"/>
  <c r="Z135" i="23"/>
  <c r="Z161" i="23" s="1"/>
  <c r="W135" i="23"/>
  <c r="W161" i="23" s="1"/>
  <c r="X135" i="23"/>
  <c r="X161" i="23" s="1"/>
  <c r="X160" i="23"/>
  <c r="AN135" i="23"/>
  <c r="AN161" i="23" s="1"/>
  <c r="AN160" i="23"/>
  <c r="BD135" i="23"/>
  <c r="BD161" i="23" s="1"/>
  <c r="BD160" i="23"/>
  <c r="M135" i="23"/>
  <c r="AC135" i="23"/>
  <c r="AC161" i="23" s="1"/>
  <c r="AC160" i="23"/>
  <c r="AS135" i="23"/>
  <c r="AS161" i="23" s="1"/>
  <c r="AS160" i="23"/>
  <c r="BI135" i="23"/>
  <c r="BI161" i="23" s="1"/>
  <c r="BI160" i="23"/>
  <c r="N135" i="23"/>
  <c r="N161" i="23" s="1"/>
  <c r="N160" i="23"/>
  <c r="AT135" i="23"/>
  <c r="AT161" i="23" s="1"/>
  <c r="AT160" i="23"/>
  <c r="BJ135" i="23"/>
  <c r="BJ161" i="23" s="1"/>
  <c r="BJ160" i="23"/>
  <c r="AA135" i="23"/>
  <c r="AA161" i="23" s="1"/>
  <c r="AA160" i="23"/>
  <c r="BS135" i="23"/>
  <c r="BS161" i="23" s="1"/>
  <c r="BS160" i="23"/>
  <c r="AU135" i="23"/>
  <c r="AU161" i="23" s="1"/>
  <c r="AB135" i="23"/>
  <c r="AB161" i="23" s="1"/>
  <c r="AB160" i="23"/>
  <c r="AR135" i="23"/>
  <c r="AR161" i="23" s="1"/>
  <c r="AR160" i="23"/>
  <c r="BH135" i="23"/>
  <c r="BH161" i="23" s="1"/>
  <c r="BH160" i="23"/>
  <c r="Q135" i="23"/>
  <c r="Q161" i="23" s="1"/>
  <c r="Q160" i="23"/>
  <c r="AG135" i="23"/>
  <c r="AG161" i="23" s="1"/>
  <c r="AG160" i="23"/>
  <c r="AW135" i="23"/>
  <c r="AW161" i="23" s="1"/>
  <c r="AW160" i="23"/>
  <c r="BM135" i="23"/>
  <c r="BM161" i="23" s="1"/>
  <c r="BM160" i="23"/>
  <c r="AE135" i="23"/>
  <c r="AE161" i="23" s="1"/>
  <c r="AE160" i="23"/>
  <c r="BC135" i="23"/>
  <c r="BC161" i="23" s="1"/>
  <c r="BC160" i="23"/>
  <c r="AH135" i="23"/>
  <c r="AH161" i="23" s="1"/>
  <c r="AH160" i="23"/>
  <c r="AX135" i="23"/>
  <c r="AX161" i="23" s="1"/>
  <c r="AX160" i="23"/>
  <c r="BN135" i="23"/>
  <c r="BN161" i="23" s="1"/>
  <c r="BN160" i="23"/>
  <c r="AM135" i="23"/>
  <c r="AM161" i="23" s="1"/>
  <c r="AM160" i="23"/>
  <c r="AD135" i="23"/>
  <c r="AD161" i="23" s="1"/>
  <c r="P135" i="23"/>
  <c r="P161" i="23" s="1"/>
  <c r="P160" i="23"/>
  <c r="AF135" i="23"/>
  <c r="AF161" i="23" s="1"/>
  <c r="AF160" i="23"/>
  <c r="AV135" i="23"/>
  <c r="AV161" i="23" s="1"/>
  <c r="AV160" i="23"/>
  <c r="BL135" i="23"/>
  <c r="BL161" i="23" s="1"/>
  <c r="BL160" i="23"/>
  <c r="U135" i="23"/>
  <c r="U161" i="23" s="1"/>
  <c r="U160" i="23"/>
  <c r="AK135" i="23"/>
  <c r="AK161" i="23" s="1"/>
  <c r="AK160" i="23"/>
  <c r="BA135" i="23"/>
  <c r="BA161" i="23" s="1"/>
  <c r="BA160" i="23"/>
  <c r="BQ135" i="23"/>
  <c r="BQ161" i="23" s="1"/>
  <c r="BQ160" i="23"/>
  <c r="AI135" i="23"/>
  <c r="AI161" i="23" s="1"/>
  <c r="AI160" i="23"/>
  <c r="BK135" i="23"/>
  <c r="BK161" i="23" s="1"/>
  <c r="BK160" i="23"/>
  <c r="V135" i="23"/>
  <c r="V161" i="23" s="1"/>
  <c r="V160" i="23"/>
  <c r="AL135" i="23"/>
  <c r="AL161" i="23" s="1"/>
  <c r="AL160" i="23"/>
  <c r="BB135" i="23"/>
  <c r="BB161" i="23" s="1"/>
  <c r="BB160" i="23"/>
  <c r="AY135" i="23"/>
  <c r="AY161" i="23" s="1"/>
  <c r="AY160" i="23"/>
  <c r="T135" i="23"/>
  <c r="T161" i="23" s="1"/>
  <c r="T160" i="23"/>
  <c r="AJ135" i="23"/>
  <c r="AJ161" i="23" s="1"/>
  <c r="AJ160" i="23"/>
  <c r="AZ135" i="23"/>
  <c r="AZ161" i="23" s="1"/>
  <c r="AZ160" i="23"/>
  <c r="BP135" i="23"/>
  <c r="BP161" i="23" s="1"/>
  <c r="BP160" i="23"/>
  <c r="Y135" i="23"/>
  <c r="Y161" i="23" s="1"/>
  <c r="Y160" i="23"/>
  <c r="AO135" i="23"/>
  <c r="AO161" i="23" s="1"/>
  <c r="AO160" i="23"/>
  <c r="BE135" i="23"/>
  <c r="BE161" i="23" s="1"/>
  <c r="BE160" i="23"/>
  <c r="O135" i="23"/>
  <c r="O161" i="23" s="1"/>
  <c r="O160" i="23"/>
  <c r="AQ135" i="23"/>
  <c r="AQ161" i="23" s="1"/>
  <c r="AQ160" i="23"/>
  <c r="BO135" i="23"/>
  <c r="BO161" i="23" s="1"/>
  <c r="BO160" i="23"/>
  <c r="AP135" i="23"/>
  <c r="AP161" i="23" s="1"/>
  <c r="AP160" i="23"/>
  <c r="BF135" i="23"/>
  <c r="BF161" i="23" s="1"/>
  <c r="BF160" i="23"/>
  <c r="S135" i="23"/>
  <c r="S161" i="23" s="1"/>
  <c r="S160" i="23"/>
  <c r="BG135" i="23"/>
  <c r="BG161" i="23" s="1"/>
  <c r="BG160" i="23"/>
  <c r="L135" i="23"/>
  <c r="L161" i="23" s="1"/>
  <c r="BS178" i="15"/>
  <c r="BS232" i="15" s="1"/>
  <c r="BO178" i="15"/>
  <c r="BO232" i="15" s="1"/>
  <c r="BK178" i="15"/>
  <c r="BK232" i="15" s="1"/>
  <c r="BG178" i="15"/>
  <c r="BG232" i="15" s="1"/>
  <c r="BC178" i="15"/>
  <c r="BC232" i="15" s="1"/>
  <c r="AY178" i="15"/>
  <c r="AY232" i="15" s="1"/>
  <c r="AU178" i="15"/>
  <c r="AU232" i="15" s="1"/>
  <c r="AQ178" i="15"/>
  <c r="AQ232" i="15" s="1"/>
  <c r="AM178" i="15"/>
  <c r="AM232" i="15" s="1"/>
  <c r="AI178" i="15"/>
  <c r="AI232" i="15" s="1"/>
  <c r="AE178" i="15"/>
  <c r="AE232" i="15" s="1"/>
  <c r="AA178" i="15"/>
  <c r="AA232" i="15" s="1"/>
  <c r="S178" i="15"/>
  <c r="O178" i="15"/>
  <c r="O232" i="15" s="1"/>
  <c r="BJ178" i="15"/>
  <c r="BJ232" i="15" s="1"/>
  <c r="BF178" i="15"/>
  <c r="BF232" i="15" s="1"/>
  <c r="BB178" i="15"/>
  <c r="BB232" i="15" s="1"/>
  <c r="AX178" i="15"/>
  <c r="AX232" i="15" s="1"/>
  <c r="AT178" i="15"/>
  <c r="AT232" i="15" s="1"/>
  <c r="AP178" i="15"/>
  <c r="AP232" i="15" s="1"/>
  <c r="AL178" i="15"/>
  <c r="AL232" i="15" s="1"/>
  <c r="AH178" i="15"/>
  <c r="AH232" i="15" s="1"/>
  <c r="AD178" i="15"/>
  <c r="AD232" i="15" s="1"/>
  <c r="Z178" i="15"/>
  <c r="Z232" i="15" s="1"/>
  <c r="R178" i="15"/>
  <c r="R232" i="15" s="1"/>
  <c r="N178" i="15"/>
  <c r="N232" i="15" s="1"/>
  <c r="BR178" i="15"/>
  <c r="BR232" i="15" s="1"/>
  <c r="BN178" i="15"/>
  <c r="BN232" i="15" s="1"/>
  <c r="BQ178" i="15"/>
  <c r="BQ232" i="15" s="1"/>
  <c r="BM178" i="15"/>
  <c r="BM232" i="15" s="1"/>
  <c r="BI178" i="15"/>
  <c r="BI232" i="15" s="1"/>
  <c r="BE178" i="15"/>
  <c r="BE232" i="15" s="1"/>
  <c r="BA178" i="15"/>
  <c r="BA232" i="15" s="1"/>
  <c r="AW178" i="15"/>
  <c r="AW232" i="15" s="1"/>
  <c r="AS178" i="15"/>
  <c r="AS232" i="15" s="1"/>
  <c r="AO178" i="15"/>
  <c r="AO232" i="15" s="1"/>
  <c r="AK178" i="15"/>
  <c r="AK232" i="15" s="1"/>
  <c r="AG178" i="15"/>
  <c r="AG232" i="15" s="1"/>
  <c r="AC178" i="15"/>
  <c r="AC232" i="15" s="1"/>
  <c r="Y178" i="15"/>
  <c r="Y232" i="15" s="1"/>
  <c r="Q178" i="15"/>
  <c r="Q232" i="15" s="1"/>
  <c r="BP178" i="15"/>
  <c r="BP232" i="15" s="1"/>
  <c r="BL178" i="15"/>
  <c r="BL232" i="15" s="1"/>
  <c r="BH178" i="15"/>
  <c r="BH232" i="15" s="1"/>
  <c r="BD178" i="15"/>
  <c r="BD232" i="15" s="1"/>
  <c r="AZ178" i="15"/>
  <c r="AZ232" i="15" s="1"/>
  <c r="AV178" i="15"/>
  <c r="AV232" i="15" s="1"/>
  <c r="AR178" i="15"/>
  <c r="AR232" i="15" s="1"/>
  <c r="AN178" i="15"/>
  <c r="AN232" i="15" s="1"/>
  <c r="AJ178" i="15"/>
  <c r="AJ232" i="15" s="1"/>
  <c r="AF178" i="15"/>
  <c r="AF232" i="15" s="1"/>
  <c r="AB178" i="15"/>
  <c r="AB232" i="15" s="1"/>
  <c r="T178" i="15"/>
  <c r="T232" i="15" s="1"/>
  <c r="P178" i="15"/>
  <c r="P232" i="15" s="1"/>
  <c r="S145" i="15"/>
  <c r="AG145" i="15"/>
  <c r="BG145" i="15"/>
  <c r="BR145" i="15"/>
  <c r="BN145" i="15"/>
  <c r="BF145" i="15"/>
  <c r="BB145" i="15"/>
  <c r="AX145" i="15"/>
  <c r="AT145" i="15"/>
  <c r="AP145" i="15"/>
  <c r="AL145" i="15"/>
  <c r="AH145" i="15"/>
  <c r="AD145" i="15"/>
  <c r="Z145" i="15"/>
  <c r="V145" i="15"/>
  <c r="R145" i="15"/>
  <c r="N145" i="15"/>
  <c r="BS145" i="15"/>
  <c r="BK145" i="15"/>
  <c r="AU145" i="15"/>
  <c r="AM145" i="15"/>
  <c r="AE145" i="15"/>
  <c r="AA145" i="15"/>
  <c r="W145" i="15"/>
  <c r="O145" i="15"/>
  <c r="BO145" i="15"/>
  <c r="BC145" i="15"/>
  <c r="AY145" i="15"/>
  <c r="AQ145" i="15"/>
  <c r="AI145" i="15"/>
  <c r="BJ145" i="15"/>
  <c r="AW145" i="15"/>
  <c r="Q145" i="15"/>
  <c r="BM145" i="15"/>
  <c r="BQ145" i="15"/>
  <c r="BI145" i="15"/>
  <c r="BE145" i="15"/>
  <c r="BA145" i="15"/>
  <c r="AS145" i="15"/>
  <c r="AO145" i="15"/>
  <c r="AK145" i="15"/>
  <c r="AC145" i="15"/>
  <c r="Y145" i="15"/>
  <c r="U145" i="15"/>
  <c r="BP145" i="15"/>
  <c r="BL145" i="15"/>
  <c r="BH145" i="15"/>
  <c r="BD145" i="15"/>
  <c r="AZ145" i="15"/>
  <c r="AV145" i="15"/>
  <c r="AR145" i="15"/>
  <c r="AN145" i="15"/>
  <c r="AJ145" i="15"/>
  <c r="AF145" i="15"/>
  <c r="AB145" i="15"/>
  <c r="X145" i="15"/>
  <c r="T145" i="15"/>
  <c r="P145" i="15"/>
  <c r="BP133" i="15"/>
  <c r="BL133" i="15"/>
  <c r="BH133" i="15"/>
  <c r="BD133" i="15"/>
  <c r="AZ133" i="15"/>
  <c r="AV133" i="15"/>
  <c r="AR133" i="15"/>
  <c r="AN133" i="15"/>
  <c r="AJ133" i="15"/>
  <c r="AF133" i="15"/>
  <c r="AB133" i="15"/>
  <c r="X133" i="15"/>
  <c r="T133" i="15"/>
  <c r="P133" i="15"/>
  <c r="BI133" i="15"/>
  <c r="BE133" i="15"/>
  <c r="BA133" i="15"/>
  <c r="AW133" i="15"/>
  <c r="AS133" i="15"/>
  <c r="AO133" i="15"/>
  <c r="AK133" i="15"/>
  <c r="AG133" i="15"/>
  <c r="AC133" i="15"/>
  <c r="Y133" i="15"/>
  <c r="U133" i="15"/>
  <c r="Q133" i="15"/>
  <c r="BM133" i="15"/>
  <c r="BS133" i="15"/>
  <c r="BO133" i="15"/>
  <c r="BK133" i="15"/>
  <c r="BG133" i="15"/>
  <c r="BC133" i="15"/>
  <c r="AY133" i="15"/>
  <c r="AU133" i="15"/>
  <c r="AQ133" i="15"/>
  <c r="AM133" i="15"/>
  <c r="AI133" i="15"/>
  <c r="AE133" i="15"/>
  <c r="AA133" i="15"/>
  <c r="W133" i="15"/>
  <c r="S133" i="15"/>
  <c r="O133" i="15"/>
  <c r="BQ133" i="15"/>
  <c r="BR133" i="15"/>
  <c r="BN133" i="15"/>
  <c r="BJ133" i="15"/>
  <c r="BF133" i="15"/>
  <c r="BB133" i="15"/>
  <c r="AX133" i="15"/>
  <c r="AT133" i="15"/>
  <c r="AP133" i="15"/>
  <c r="AL133" i="15"/>
  <c r="AH133" i="15"/>
  <c r="AD133" i="15"/>
  <c r="Z133" i="15"/>
  <c r="V133" i="15"/>
  <c r="R133" i="15"/>
  <c r="N133" i="15"/>
  <c r="Q207" i="17" l="1"/>
  <c r="P251" i="17"/>
  <c r="P220" i="17"/>
  <c r="P229" i="17" s="1"/>
  <c r="P240" i="17" s="1"/>
  <c r="E250" i="11"/>
  <c r="E249" i="9"/>
  <c r="D240" i="15"/>
  <c r="D221" i="11" s="1"/>
  <c r="D220" i="9"/>
  <c r="D369" i="15"/>
  <c r="D347" i="11" s="1"/>
  <c r="D342" i="9"/>
  <c r="D141" i="11"/>
  <c r="D130" i="9"/>
  <c r="D242" i="9"/>
  <c r="D243" i="11"/>
  <c r="C515" i="15"/>
  <c r="C493" i="11" s="1"/>
  <c r="C488" i="9"/>
  <c r="D354" i="20"/>
  <c r="D365" i="18" s="1"/>
  <c r="D360" i="18"/>
  <c r="D353" i="20"/>
  <c r="D364" i="18" s="1"/>
  <c r="D359" i="18"/>
  <c r="D135" i="11"/>
  <c r="D124" i="9"/>
  <c r="C462" i="15"/>
  <c r="C440" i="11" s="1"/>
  <c r="C435" i="9"/>
  <c r="D368" i="15"/>
  <c r="D346" i="11" s="1"/>
  <c r="D341" i="9"/>
  <c r="E253" i="11"/>
  <c r="E252" i="9"/>
  <c r="D136" i="11"/>
  <c r="D125" i="9"/>
  <c r="D134" i="11"/>
  <c r="D123" i="9"/>
  <c r="D131" i="9"/>
  <c r="D142" i="11"/>
  <c r="D140" i="11"/>
  <c r="D129" i="9"/>
  <c r="E263" i="20"/>
  <c r="E270" i="18" s="1"/>
  <c r="E285" i="15" s="1"/>
  <c r="E264" i="18"/>
  <c r="E279" i="15" s="1"/>
  <c r="E266" i="20"/>
  <c r="E273" i="18" s="1"/>
  <c r="E288" i="15" s="1"/>
  <c r="E267" i="18"/>
  <c r="E282" i="15" s="1"/>
  <c r="W72" i="1"/>
  <c r="W102" i="1" s="1"/>
  <c r="M118" i="23"/>
  <c r="U5" i="25"/>
  <c r="P50" i="17"/>
  <c r="P61" i="17" s="1"/>
  <c r="N129" i="23"/>
  <c r="M130" i="23"/>
  <c r="O117" i="23"/>
  <c r="N118" i="23"/>
  <c r="W97" i="1"/>
  <c r="W121" i="23" s="1"/>
  <c r="W124" i="23" s="1"/>
  <c r="X67" i="1"/>
  <c r="X97" i="1" s="1"/>
  <c r="X121" i="23" s="1"/>
  <c r="X124" i="23" s="1"/>
  <c r="W115" i="23"/>
  <c r="S232" i="15"/>
  <c r="X63" i="1"/>
  <c r="X93" i="1" s="1"/>
  <c r="W93" i="1"/>
  <c r="X66" i="1"/>
  <c r="X96" i="1" s="1"/>
  <c r="W96" i="1"/>
  <c r="M161" i="23"/>
  <c r="BN211" i="23"/>
  <c r="BC211" i="23"/>
  <c r="BH211" i="23"/>
  <c r="BG211" i="23"/>
  <c r="BF211" i="23"/>
  <c r="BO211" i="23"/>
  <c r="O211" i="23"/>
  <c r="AO211" i="23"/>
  <c r="BP211" i="23"/>
  <c r="AJ211" i="23"/>
  <c r="AY211" i="23"/>
  <c r="AL211" i="23"/>
  <c r="BK211" i="23"/>
  <c r="BQ211" i="23"/>
  <c r="AK211" i="23"/>
  <c r="BL211" i="23"/>
  <c r="AF211" i="23"/>
  <c r="AU211" i="23"/>
  <c r="AU212" i="23" s="1"/>
  <c r="AA211" i="23"/>
  <c r="AT211" i="23"/>
  <c r="BI211" i="23"/>
  <c r="AC211" i="23"/>
  <c r="BD211" i="23"/>
  <c r="X211" i="23"/>
  <c r="AD211" i="23"/>
  <c r="AD212" i="23" s="1"/>
  <c r="BM211" i="23"/>
  <c r="AB211" i="23"/>
  <c r="AM211" i="23"/>
  <c r="AX211" i="23"/>
  <c r="AE211" i="23"/>
  <c r="AW211" i="23"/>
  <c r="Q211" i="23"/>
  <c r="AR211" i="23"/>
  <c r="W211" i="23"/>
  <c r="AH211" i="23"/>
  <c r="AG211" i="23"/>
  <c r="BR211" i="23"/>
  <c r="BR212" i="23" s="1"/>
  <c r="S211" i="23"/>
  <c r="AP211" i="23"/>
  <c r="AQ211" i="23"/>
  <c r="BE211" i="23"/>
  <c r="Y211" i="23"/>
  <c r="AZ211" i="23"/>
  <c r="T211" i="23"/>
  <c r="BB211" i="23"/>
  <c r="V211" i="23"/>
  <c r="AI211" i="23"/>
  <c r="BA211" i="23"/>
  <c r="U211" i="23"/>
  <c r="AV211" i="23"/>
  <c r="P211" i="23"/>
  <c r="BS211" i="23"/>
  <c r="BJ211" i="23"/>
  <c r="N211" i="23"/>
  <c r="AS211" i="23"/>
  <c r="AN211" i="23"/>
  <c r="Z211" i="23"/>
  <c r="Z212" i="23" s="1"/>
  <c r="L211" i="23"/>
  <c r="O127" i="23"/>
  <c r="BN210" i="23"/>
  <c r="AG210" i="23"/>
  <c r="BG210" i="23"/>
  <c r="BF210" i="23"/>
  <c r="BO210" i="23"/>
  <c r="O210" i="23"/>
  <c r="AO210" i="23"/>
  <c r="BP210" i="23"/>
  <c r="AJ210" i="23"/>
  <c r="AY210" i="23"/>
  <c r="AL210" i="23"/>
  <c r="BK210" i="23"/>
  <c r="BQ210" i="23"/>
  <c r="AK210" i="23"/>
  <c r="BL210" i="23"/>
  <c r="AF210" i="23"/>
  <c r="AA210" i="23"/>
  <c r="AT210" i="23"/>
  <c r="BI210" i="23"/>
  <c r="AC210" i="23"/>
  <c r="BD210" i="23"/>
  <c r="X210" i="23"/>
  <c r="BC210" i="23"/>
  <c r="AM210" i="23"/>
  <c r="AX210" i="23"/>
  <c r="AE210" i="23"/>
  <c r="AW210" i="23"/>
  <c r="Q210" i="23"/>
  <c r="AR210" i="23"/>
  <c r="AH210" i="23"/>
  <c r="BM210" i="23"/>
  <c r="BH210" i="23"/>
  <c r="AB210" i="23"/>
  <c r="S210" i="23"/>
  <c r="AP210" i="23"/>
  <c r="AQ210" i="23"/>
  <c r="BE210" i="23"/>
  <c r="Y210" i="23"/>
  <c r="AZ210" i="23"/>
  <c r="T210" i="23"/>
  <c r="BB210" i="23"/>
  <c r="V210" i="23"/>
  <c r="AI210" i="23"/>
  <c r="BA210" i="23"/>
  <c r="U210" i="23"/>
  <c r="AV210" i="23"/>
  <c r="P210" i="23"/>
  <c r="BS210" i="23"/>
  <c r="BJ210" i="23"/>
  <c r="N210" i="23"/>
  <c r="AS210" i="23"/>
  <c r="M210" i="23"/>
  <c r="AN210" i="23"/>
  <c r="L210" i="23"/>
  <c r="Z162" i="23"/>
  <c r="Z170" i="23" s="1"/>
  <c r="AD162" i="23"/>
  <c r="AD170" i="23" s="1"/>
  <c r="BR162" i="23"/>
  <c r="BR170" i="23" s="1"/>
  <c r="AU162" i="23"/>
  <c r="AU170" i="23" s="1"/>
  <c r="AB162" i="23"/>
  <c r="AB170" i="23" s="1"/>
  <c r="BN162" i="23"/>
  <c r="BN170" i="23" s="1"/>
  <c r="AH162" i="23"/>
  <c r="AH170" i="23" s="1"/>
  <c r="BC162" i="23"/>
  <c r="BC170" i="23" s="1"/>
  <c r="BM162" i="23"/>
  <c r="BM170" i="23" s="1"/>
  <c r="AG162" i="23"/>
  <c r="AG170" i="23" s="1"/>
  <c r="BH162" i="23"/>
  <c r="BH170" i="23" s="1"/>
  <c r="BP162" i="23"/>
  <c r="BP170" i="23" s="1"/>
  <c r="S162" i="23"/>
  <c r="S170" i="23" s="1"/>
  <c r="P162" i="23"/>
  <c r="P170" i="23" s="1"/>
  <c r="N162" i="23"/>
  <c r="N170" i="23" s="1"/>
  <c r="BK162" i="23"/>
  <c r="BK170" i="23" s="1"/>
  <c r="BQ162" i="23"/>
  <c r="BQ170" i="23" s="1"/>
  <c r="AK162" i="23"/>
  <c r="AK170" i="23" s="1"/>
  <c r="BL162" i="23"/>
  <c r="BL170" i="23" s="1"/>
  <c r="AF162" i="23"/>
  <c r="AF170" i="23" s="1"/>
  <c r="AC162" i="23"/>
  <c r="AC170" i="23" s="1"/>
  <c r="BD162" i="23"/>
  <c r="BD170" i="23" s="1"/>
  <c r="AM162" i="23"/>
  <c r="AM170" i="23" s="1"/>
  <c r="AX162" i="23"/>
  <c r="AX170" i="23" s="1"/>
  <c r="AE162" i="23"/>
  <c r="AE170" i="23" s="1"/>
  <c r="AW162" i="23"/>
  <c r="AW170" i="23" s="1"/>
  <c r="Q162" i="23"/>
  <c r="Q170" i="23" s="1"/>
  <c r="AR162" i="23"/>
  <c r="AR170" i="23" s="1"/>
  <c r="BG162" i="23"/>
  <c r="BG170" i="23" s="1"/>
  <c r="BF162" i="23"/>
  <c r="BF170" i="23" s="1"/>
  <c r="BO162" i="23"/>
  <c r="BO170" i="23" s="1"/>
  <c r="O162" i="23"/>
  <c r="O170" i="23" s="1"/>
  <c r="AO162" i="23"/>
  <c r="AO170" i="23" s="1"/>
  <c r="AJ162" i="23"/>
  <c r="AJ170" i="23" s="1"/>
  <c r="AY162" i="23"/>
  <c r="AY170" i="23" s="1"/>
  <c r="AL162" i="23"/>
  <c r="AL170" i="23" s="1"/>
  <c r="AA162" i="23"/>
  <c r="AA170" i="23" s="1"/>
  <c r="AT162" i="23"/>
  <c r="AT170" i="23" s="1"/>
  <c r="BI162" i="23"/>
  <c r="BI170" i="23" s="1"/>
  <c r="L162" i="23"/>
  <c r="AP162" i="23"/>
  <c r="AP170" i="23" s="1"/>
  <c r="AQ162" i="23"/>
  <c r="AQ170" i="23" s="1"/>
  <c r="BE162" i="23"/>
  <c r="BE170" i="23" s="1"/>
  <c r="Y162" i="23"/>
  <c r="Y170" i="23" s="1"/>
  <c r="AZ162" i="23"/>
  <c r="AZ170" i="23" s="1"/>
  <c r="T162" i="23"/>
  <c r="T170" i="23" s="1"/>
  <c r="BB162" i="23"/>
  <c r="BB170" i="23" s="1"/>
  <c r="AI162" i="23"/>
  <c r="AI170" i="23" s="1"/>
  <c r="BA162" i="23"/>
  <c r="BA170" i="23" s="1"/>
  <c r="AV162" i="23"/>
  <c r="AV170" i="23" s="1"/>
  <c r="BS162" i="23"/>
  <c r="BS170" i="23" s="1"/>
  <c r="BJ162" i="23"/>
  <c r="BJ170" i="23" s="1"/>
  <c r="AS162" i="23"/>
  <c r="AS170" i="23" s="1"/>
  <c r="AN162" i="23"/>
  <c r="AN170" i="23" s="1"/>
  <c r="L149" i="11"/>
  <c r="L157" i="15" s="1"/>
  <c r="M136" i="11"/>
  <c r="M144" i="15" s="1"/>
  <c r="L136" i="11"/>
  <c r="M135" i="11"/>
  <c r="M143" i="15" s="1"/>
  <c r="L135" i="11"/>
  <c r="M134" i="11"/>
  <c r="M142" i="15" s="1"/>
  <c r="L134" i="11"/>
  <c r="L140" i="11" s="1"/>
  <c r="L123" i="11"/>
  <c r="M123" i="11"/>
  <c r="M131" i="15" s="1"/>
  <c r="M124" i="11"/>
  <c r="M132" i="15" s="1"/>
  <c r="L124" i="11"/>
  <c r="L132" i="15" s="1"/>
  <c r="M122" i="11"/>
  <c r="M130" i="15" s="1"/>
  <c r="L122" i="11"/>
  <c r="I133" i="22"/>
  <c r="I132" i="22"/>
  <c r="I131" i="22"/>
  <c r="I130" i="22"/>
  <c r="C130" i="22"/>
  <c r="C131" i="22" s="1"/>
  <c r="C132" i="22" s="1"/>
  <c r="C133" i="22" s="1"/>
  <c r="I129" i="22"/>
  <c r="D129" i="22" a="1"/>
  <c r="D130" i="22" s="1"/>
  <c r="I124" i="22"/>
  <c r="I123" i="22"/>
  <c r="I122" i="22"/>
  <c r="I121" i="22"/>
  <c r="C121" i="22"/>
  <c r="C122" i="22" s="1"/>
  <c r="C123" i="22" s="1"/>
  <c r="C124" i="22" s="1"/>
  <c r="I120" i="22"/>
  <c r="D120" i="22" a="1"/>
  <c r="D121" i="22" s="1"/>
  <c r="I115" i="22"/>
  <c r="I114" i="22"/>
  <c r="I113" i="22"/>
  <c r="I112" i="22"/>
  <c r="C112" i="22"/>
  <c r="C113" i="22" s="1"/>
  <c r="C114" i="22" s="1"/>
  <c r="C115" i="22" s="1"/>
  <c r="I111" i="22"/>
  <c r="D111" i="22" a="1"/>
  <c r="D113" i="22" s="1"/>
  <c r="I106" i="22"/>
  <c r="I105" i="22"/>
  <c r="I104" i="22"/>
  <c r="I103" i="22"/>
  <c r="C103" i="22"/>
  <c r="C104" i="22" s="1"/>
  <c r="C105" i="22" s="1"/>
  <c r="C106" i="22" s="1"/>
  <c r="I102" i="22"/>
  <c r="D102" i="22" a="1"/>
  <c r="D105" i="22" s="1"/>
  <c r="I84" i="22"/>
  <c r="I83" i="22"/>
  <c r="I82" i="22"/>
  <c r="I81" i="22"/>
  <c r="C81" i="22"/>
  <c r="C82" i="22" s="1"/>
  <c r="C83" i="22" s="1"/>
  <c r="C84" i="22" s="1"/>
  <c r="I80" i="22"/>
  <c r="D80" i="22" a="1"/>
  <c r="D81" i="22" s="1"/>
  <c r="I75" i="22"/>
  <c r="I74" i="22"/>
  <c r="I73" i="22"/>
  <c r="I72" i="22"/>
  <c r="C72" i="22"/>
  <c r="C73" i="22" s="1"/>
  <c r="C74" i="22" s="1"/>
  <c r="C75" i="22" s="1"/>
  <c r="I71" i="22"/>
  <c r="D71" i="22" a="1"/>
  <c r="D73" i="22" s="1"/>
  <c r="I48" i="22"/>
  <c r="I47" i="22"/>
  <c r="I46" i="22"/>
  <c r="C46" i="22"/>
  <c r="C47" i="22" s="1"/>
  <c r="C48" i="22" s="1"/>
  <c r="I45" i="22"/>
  <c r="C45" i="22"/>
  <c r="I44" i="22"/>
  <c r="D44" i="22" a="1"/>
  <c r="D47" i="22" s="1"/>
  <c r="I33" i="22"/>
  <c r="I32" i="22"/>
  <c r="I31" i="22"/>
  <c r="C31" i="22"/>
  <c r="C32" i="22" s="1"/>
  <c r="C33" i="22" s="1"/>
  <c r="C34" i="22" s="1"/>
  <c r="I30" i="22"/>
  <c r="D30" i="22" a="1"/>
  <c r="D31" i="22" s="1"/>
  <c r="I25" i="22"/>
  <c r="I24" i="22"/>
  <c r="I23" i="22"/>
  <c r="I22" i="22"/>
  <c r="C22" i="22"/>
  <c r="C23" i="22" s="1"/>
  <c r="C24" i="22" s="1"/>
  <c r="C25" i="22" s="1"/>
  <c r="I21" i="22"/>
  <c r="D21" i="22" a="1"/>
  <c r="D24" i="22" s="1"/>
  <c r="M4" i="22"/>
  <c r="N4" i="22" s="1"/>
  <c r="O4" i="22" s="1"/>
  <c r="P4" i="22" s="1"/>
  <c r="Q4" i="22" s="1"/>
  <c r="R4" i="22" s="1"/>
  <c r="S4" i="22" s="1"/>
  <c r="I16" i="22"/>
  <c r="I15" i="22"/>
  <c r="I14" i="22"/>
  <c r="I13" i="22"/>
  <c r="C13" i="22"/>
  <c r="C14" i="22" s="1"/>
  <c r="C15" i="22" s="1"/>
  <c r="C16" i="22" s="1"/>
  <c r="I12" i="22"/>
  <c r="D12" i="22" a="1"/>
  <c r="D13" i="22" s="1"/>
  <c r="F14" i="21"/>
  <c r="F13" i="21"/>
  <c r="G46" i="1"/>
  <c r="R207" i="17" l="1"/>
  <c r="Q251" i="17"/>
  <c r="Q220" i="17"/>
  <c r="Q229" i="17" s="1"/>
  <c r="Q240" i="17" s="1"/>
  <c r="E264" i="9"/>
  <c r="E265" i="11"/>
  <c r="D378" i="15"/>
  <c r="D356" i="11" s="1"/>
  <c r="D351" i="9"/>
  <c r="E255" i="9"/>
  <c r="E256" i="11"/>
  <c r="D374" i="15"/>
  <c r="D352" i="11" s="1"/>
  <c r="D347" i="9"/>
  <c r="E259" i="11"/>
  <c r="E258" i="9"/>
  <c r="D373" i="15"/>
  <c r="D351" i="11" s="1"/>
  <c r="D346" i="9"/>
  <c r="E261" i="9"/>
  <c r="E262" i="11"/>
  <c r="D379" i="15"/>
  <c r="D357" i="11" s="1"/>
  <c r="D352" i="9"/>
  <c r="X72" i="1"/>
  <c r="X102" i="1" s="1"/>
  <c r="L130" i="15"/>
  <c r="L128" i="11"/>
  <c r="V5" i="25"/>
  <c r="W5" i="25" s="1"/>
  <c r="Q50" i="17"/>
  <c r="Q61" i="17" s="1"/>
  <c r="O129" i="23"/>
  <c r="N130" i="23"/>
  <c r="P117" i="23"/>
  <c r="O118" i="23"/>
  <c r="X109" i="23"/>
  <c r="I121" i="23"/>
  <c r="M162" i="23"/>
  <c r="M170" i="23" s="1"/>
  <c r="M211" i="23"/>
  <c r="M212" i="23" s="1"/>
  <c r="R136" i="22"/>
  <c r="N136" i="22"/>
  <c r="R60" i="22"/>
  <c r="N60" i="22"/>
  <c r="R87" i="22"/>
  <c r="N87" i="22"/>
  <c r="O136" i="22"/>
  <c r="S60" i="22"/>
  <c r="S87" i="22"/>
  <c r="Q136" i="22"/>
  <c r="M136" i="22"/>
  <c r="Q60" i="22"/>
  <c r="M60" i="22"/>
  <c r="Q87" i="22"/>
  <c r="M87" i="22"/>
  <c r="S136" i="22"/>
  <c r="O60" i="22"/>
  <c r="O87" i="22"/>
  <c r="P136" i="22"/>
  <c r="L136" i="22"/>
  <c r="P60" i="22"/>
  <c r="L60" i="22"/>
  <c r="P87" i="22"/>
  <c r="L87" i="22"/>
  <c r="G136" i="22"/>
  <c r="G60" i="22"/>
  <c r="G87" i="22"/>
  <c r="R51" i="22"/>
  <c r="N51" i="22"/>
  <c r="O51" i="22"/>
  <c r="Q51" i="22"/>
  <c r="M51" i="22"/>
  <c r="S51" i="22"/>
  <c r="P51" i="22"/>
  <c r="L51" i="22"/>
  <c r="G51" i="22"/>
  <c r="O138" i="21"/>
  <c r="AF212" i="23"/>
  <c r="BK212" i="23"/>
  <c r="BP212" i="23"/>
  <c r="BF212" i="23"/>
  <c r="AG212" i="23"/>
  <c r="BC212" i="23"/>
  <c r="BS212" i="23"/>
  <c r="BA212" i="23"/>
  <c r="T212" i="23"/>
  <c r="AQ212" i="23"/>
  <c r="Q212" i="23"/>
  <c r="AX212" i="23"/>
  <c r="BN212" i="23"/>
  <c r="BI212" i="23"/>
  <c r="AN212" i="23"/>
  <c r="BJ212" i="23"/>
  <c r="BB212" i="23"/>
  <c r="BE212" i="23"/>
  <c r="AR212" i="23"/>
  <c r="L212" i="23"/>
  <c r="AH212" i="23"/>
  <c r="BL212" i="23"/>
  <c r="AL212" i="23"/>
  <c r="AO212" i="23"/>
  <c r="BG212" i="23"/>
  <c r="AB212" i="23"/>
  <c r="AK212" i="23"/>
  <c r="AY212" i="23"/>
  <c r="O212" i="23"/>
  <c r="BH212" i="23"/>
  <c r="BD212" i="23"/>
  <c r="AA212" i="23"/>
  <c r="N212" i="23"/>
  <c r="AV212" i="23"/>
  <c r="Y212" i="23"/>
  <c r="S212" i="23"/>
  <c r="AE212" i="23"/>
  <c r="AT212" i="23"/>
  <c r="BQ212" i="23"/>
  <c r="AJ212" i="23"/>
  <c r="BO212" i="23"/>
  <c r="AS212" i="23"/>
  <c r="P212" i="23"/>
  <c r="AI212" i="23"/>
  <c r="AZ212" i="23"/>
  <c r="AP212" i="23"/>
  <c r="BM212" i="23"/>
  <c r="AW212" i="23"/>
  <c r="AM212" i="23"/>
  <c r="AC212" i="23"/>
  <c r="P127" i="23"/>
  <c r="L170" i="23"/>
  <c r="AD171" i="23"/>
  <c r="AL172" i="23"/>
  <c r="BP172" i="23"/>
  <c r="BD172" i="23"/>
  <c r="BG172" i="23"/>
  <c r="Z171" i="23"/>
  <c r="AF172" i="23"/>
  <c r="AT172" i="23"/>
  <c r="BL172" i="23"/>
  <c r="AO172" i="23"/>
  <c r="AB172" i="23"/>
  <c r="BJ172" i="23"/>
  <c r="BR171" i="23"/>
  <c r="AU171" i="23"/>
  <c r="AA172" i="23"/>
  <c r="BK172" i="23"/>
  <c r="BF172" i="23"/>
  <c r="BC172" i="23"/>
  <c r="AE172" i="23"/>
  <c r="BH172" i="23"/>
  <c r="AH172" i="23"/>
  <c r="AX172" i="23"/>
  <c r="BS172" i="23"/>
  <c r="BA172" i="23"/>
  <c r="T172" i="23"/>
  <c r="AQ172" i="23"/>
  <c r="AW172" i="23"/>
  <c r="BB172" i="23"/>
  <c r="Q172" i="23"/>
  <c r="AC172" i="23"/>
  <c r="AU172" i="23"/>
  <c r="AK172" i="23"/>
  <c r="AY172" i="23"/>
  <c r="O172" i="23"/>
  <c r="BR172" i="23"/>
  <c r="AG172" i="23"/>
  <c r="BN172" i="23"/>
  <c r="Z172" i="23"/>
  <c r="AS172" i="23"/>
  <c r="P172" i="23"/>
  <c r="AI172" i="23"/>
  <c r="AZ172" i="23"/>
  <c r="AP172" i="23"/>
  <c r="AN172" i="23"/>
  <c r="BE172" i="23"/>
  <c r="BI172" i="23"/>
  <c r="BQ172" i="23"/>
  <c r="AJ172" i="23"/>
  <c r="BO172" i="23"/>
  <c r="BM172" i="23"/>
  <c r="AD172" i="23"/>
  <c r="AR172" i="23"/>
  <c r="N172" i="23"/>
  <c r="AV172" i="23"/>
  <c r="Y172" i="23"/>
  <c r="S172" i="23"/>
  <c r="AM172" i="23"/>
  <c r="L172" i="23"/>
  <c r="BS171" i="23"/>
  <c r="BA171" i="23"/>
  <c r="T171" i="23"/>
  <c r="AQ171" i="23"/>
  <c r="AR171" i="23"/>
  <c r="AT171" i="23"/>
  <c r="AK171" i="23"/>
  <c r="AY171" i="23"/>
  <c r="O171" i="23"/>
  <c r="BM171" i="23"/>
  <c r="AS171" i="23"/>
  <c r="P171" i="23"/>
  <c r="AI171" i="23"/>
  <c r="AZ171" i="23"/>
  <c r="AP171" i="23"/>
  <c r="Q171" i="23"/>
  <c r="AX171" i="23"/>
  <c r="BD171" i="23"/>
  <c r="AA171" i="23"/>
  <c r="BQ171" i="23"/>
  <c r="AJ171" i="23"/>
  <c r="BO171" i="23"/>
  <c r="AB171" i="23"/>
  <c r="BC171" i="23"/>
  <c r="N171" i="23"/>
  <c r="AV171" i="23"/>
  <c r="Y171" i="23"/>
  <c r="S171" i="23"/>
  <c r="AW171" i="23"/>
  <c r="AM171" i="23"/>
  <c r="AC171" i="23"/>
  <c r="AF171" i="23"/>
  <c r="BK171" i="23"/>
  <c r="BP171" i="23"/>
  <c r="BF171" i="23"/>
  <c r="BH171" i="23"/>
  <c r="AH171" i="23"/>
  <c r="AN171" i="23"/>
  <c r="BJ171" i="23"/>
  <c r="BB171" i="23"/>
  <c r="BE171" i="23"/>
  <c r="AE171" i="23"/>
  <c r="BI171" i="23"/>
  <c r="BL171" i="23"/>
  <c r="AL171" i="23"/>
  <c r="AO171" i="23"/>
  <c r="BG171" i="23"/>
  <c r="AG171" i="23"/>
  <c r="BN171" i="23"/>
  <c r="L171" i="23"/>
  <c r="S127" i="22"/>
  <c r="O200" i="1"/>
  <c r="S200" i="1"/>
  <c r="W200" i="1"/>
  <c r="Q200" i="1"/>
  <c r="Y200" i="1"/>
  <c r="N200" i="1"/>
  <c r="R200" i="1"/>
  <c r="V200" i="1"/>
  <c r="Z200" i="1"/>
  <c r="L200" i="1"/>
  <c r="P200" i="1"/>
  <c r="T200" i="1"/>
  <c r="X200" i="1"/>
  <c r="M200" i="1"/>
  <c r="U200" i="1"/>
  <c r="M209" i="1"/>
  <c r="X209" i="1"/>
  <c r="W209" i="1"/>
  <c r="V209" i="1"/>
  <c r="U209" i="1"/>
  <c r="T209" i="1"/>
  <c r="S209" i="1"/>
  <c r="R209" i="1"/>
  <c r="Q209" i="1"/>
  <c r="P209" i="1"/>
  <c r="O209" i="1"/>
  <c r="N209" i="1"/>
  <c r="L209" i="1"/>
  <c r="Z209" i="1"/>
  <c r="Y209" i="1"/>
  <c r="I138" i="21"/>
  <c r="M138" i="21"/>
  <c r="J138" i="21"/>
  <c r="N138" i="21"/>
  <c r="K138" i="21"/>
  <c r="H138" i="21"/>
  <c r="L138" i="21"/>
  <c r="L144" i="15"/>
  <c r="M145" i="15"/>
  <c r="L143" i="15"/>
  <c r="L142" i="15"/>
  <c r="M133" i="15"/>
  <c r="L129" i="11"/>
  <c r="L137" i="15" s="1"/>
  <c r="L131" i="15"/>
  <c r="L142" i="11"/>
  <c r="L150" i="15" s="1"/>
  <c r="L166" i="11" a="1"/>
  <c r="L148" i="15"/>
  <c r="L165" i="11" a="1"/>
  <c r="L141" i="11"/>
  <c r="L149" i="15" s="1"/>
  <c r="X137" i="11"/>
  <c r="AN137" i="11"/>
  <c r="BD137" i="11"/>
  <c r="P137" i="11"/>
  <c r="AJ137" i="11"/>
  <c r="AV137" i="11"/>
  <c r="BL137" i="11"/>
  <c r="T137" i="11"/>
  <c r="AF137" i="11"/>
  <c r="AZ137" i="11"/>
  <c r="BP137" i="11"/>
  <c r="L137" i="11"/>
  <c r="AB137" i="11"/>
  <c r="AR137" i="11"/>
  <c r="BH137" i="11"/>
  <c r="I134" i="11"/>
  <c r="M137" i="11"/>
  <c r="Q137" i="11"/>
  <c r="U137" i="11"/>
  <c r="Y137" i="11"/>
  <c r="AC137" i="11"/>
  <c r="AG137" i="11"/>
  <c r="AK137" i="11"/>
  <c r="AO137" i="11"/>
  <c r="AS137" i="11"/>
  <c r="AW137" i="11"/>
  <c r="BA137" i="11"/>
  <c r="BE137" i="11"/>
  <c r="BI137" i="11"/>
  <c r="BM137" i="11"/>
  <c r="BQ137" i="11"/>
  <c r="N137" i="11"/>
  <c r="R137" i="11"/>
  <c r="V137" i="11"/>
  <c r="Z137" i="11"/>
  <c r="AD137" i="11"/>
  <c r="AH137" i="11"/>
  <c r="AL137" i="11"/>
  <c r="AP137" i="11"/>
  <c r="AT137" i="11"/>
  <c r="AX137" i="11"/>
  <c r="BB137" i="11"/>
  <c r="BF137" i="11"/>
  <c r="BJ137" i="11"/>
  <c r="BN137" i="11"/>
  <c r="BR137" i="11"/>
  <c r="S137" i="11"/>
  <c r="AA137" i="11"/>
  <c r="AI137" i="11"/>
  <c r="AU137" i="11"/>
  <c r="BC137" i="11"/>
  <c r="BG137" i="11"/>
  <c r="BO137" i="11"/>
  <c r="BS137" i="11"/>
  <c r="I135" i="11"/>
  <c r="O137" i="11"/>
  <c r="W137" i="11"/>
  <c r="AE137" i="11"/>
  <c r="AM137" i="11"/>
  <c r="AQ137" i="11"/>
  <c r="AY137" i="11"/>
  <c r="BK137" i="11"/>
  <c r="I136" i="11"/>
  <c r="M125" i="11"/>
  <c r="L125" i="11"/>
  <c r="I123" i="11"/>
  <c r="G10" i="22"/>
  <c r="L10" i="22"/>
  <c r="S10" i="22"/>
  <c r="L28" i="22"/>
  <c r="R69" i="22"/>
  <c r="M100" i="22"/>
  <c r="P28" i="22"/>
  <c r="G28" i="22"/>
  <c r="L19" i="22"/>
  <c r="G42" i="22"/>
  <c r="Q78" i="22"/>
  <c r="R42" i="22"/>
  <c r="O10" i="22"/>
  <c r="M78" i="22"/>
  <c r="Q100" i="22"/>
  <c r="P19" i="22"/>
  <c r="N69" i="22"/>
  <c r="N42" i="22"/>
  <c r="L109" i="22"/>
  <c r="P109" i="22"/>
  <c r="L118" i="22"/>
  <c r="P118" i="22"/>
  <c r="L127" i="22"/>
  <c r="P127" i="22"/>
  <c r="R10" i="22"/>
  <c r="S19" i="22"/>
  <c r="M28" i="22"/>
  <c r="G69" i="22"/>
  <c r="S69" i="22"/>
  <c r="R78" i="22"/>
  <c r="N100" i="22"/>
  <c r="M109" i="22"/>
  <c r="M118" i="22"/>
  <c r="Q10" i="22"/>
  <c r="M10" i="22"/>
  <c r="R19" i="22"/>
  <c r="N19" i="22"/>
  <c r="N28" i="22"/>
  <c r="R28" i="22"/>
  <c r="L69" i="22"/>
  <c r="P69" i="22"/>
  <c r="G78" i="22"/>
  <c r="O78" i="22"/>
  <c r="S78" i="22"/>
  <c r="L42" i="22"/>
  <c r="P42" i="22"/>
  <c r="G100" i="22"/>
  <c r="O100" i="22"/>
  <c r="S100" i="22"/>
  <c r="N109" i="22"/>
  <c r="R109" i="22"/>
  <c r="N118" i="22"/>
  <c r="R118" i="22"/>
  <c r="N127" i="22"/>
  <c r="R127" i="22"/>
  <c r="N10" i="22"/>
  <c r="O19" i="22"/>
  <c r="Q28" i="22"/>
  <c r="O69" i="22"/>
  <c r="N78" i="22"/>
  <c r="Q42" i="22"/>
  <c r="M42" i="22"/>
  <c r="R100" i="22"/>
  <c r="Q109" i="22"/>
  <c r="Q118" i="22"/>
  <c r="M127" i="22"/>
  <c r="Q127" i="22"/>
  <c r="P10" i="22"/>
  <c r="G19" i="22"/>
  <c r="Q19" i="22"/>
  <c r="M19" i="22"/>
  <c r="O28" i="22"/>
  <c r="S28" i="22"/>
  <c r="M69" i="22"/>
  <c r="Q69" i="22"/>
  <c r="L78" i="22"/>
  <c r="P78" i="22"/>
  <c r="S42" i="22"/>
  <c r="O42" i="22"/>
  <c r="L100" i="22"/>
  <c r="P100" i="22"/>
  <c r="G109" i="22"/>
  <c r="O109" i="22"/>
  <c r="S109" i="22"/>
  <c r="G118" i="22"/>
  <c r="O118" i="22"/>
  <c r="S118" i="22"/>
  <c r="G127" i="22"/>
  <c r="O127" i="22"/>
  <c r="D131" i="22"/>
  <c r="D132" i="22"/>
  <c r="D129" i="22"/>
  <c r="D133" i="22"/>
  <c r="D82" i="22"/>
  <c r="D44" i="22"/>
  <c r="D45" i="22"/>
  <c r="D25" i="22"/>
  <c r="D21" i="22"/>
  <c r="D48" i="22"/>
  <c r="D102" i="22"/>
  <c r="D122" i="22"/>
  <c r="D22" i="22"/>
  <c r="D32" i="22"/>
  <c r="D106" i="22"/>
  <c r="D23" i="22"/>
  <c r="D114" i="22"/>
  <c r="D103" i="22"/>
  <c r="D111" i="22"/>
  <c r="D115" i="22"/>
  <c r="D123" i="22"/>
  <c r="D104" i="22"/>
  <c r="D112" i="22"/>
  <c r="D120" i="22"/>
  <c r="D124" i="22"/>
  <c r="D71" i="22"/>
  <c r="D75" i="22"/>
  <c r="D83" i="22"/>
  <c r="D74" i="22"/>
  <c r="D46" i="22"/>
  <c r="D72" i="22"/>
  <c r="D80" i="22"/>
  <c r="D84" i="22"/>
  <c r="D33" i="22"/>
  <c r="D30" i="22"/>
  <c r="D34" i="22"/>
  <c r="D14" i="22"/>
  <c r="D12" i="22"/>
  <c r="D16" i="22"/>
  <c r="D15" i="22"/>
  <c r="I262" i="9"/>
  <c r="L224" i="9"/>
  <c r="I224" i="9" s="1"/>
  <c r="M143" i="9"/>
  <c r="N143" i="9"/>
  <c r="O143" i="9"/>
  <c r="P143" i="9"/>
  <c r="Q143" i="9"/>
  <c r="R143" i="9"/>
  <c r="S143" i="9"/>
  <c r="T143" i="9"/>
  <c r="U143" i="9"/>
  <c r="V143" i="9"/>
  <c r="W143" i="9"/>
  <c r="X143" i="9"/>
  <c r="Y143" i="9"/>
  <c r="Z143" i="9"/>
  <c r="AA143" i="9"/>
  <c r="AB143" i="9"/>
  <c r="AC143" i="9"/>
  <c r="AD143" i="9"/>
  <c r="AE143" i="9"/>
  <c r="AF143" i="9"/>
  <c r="AG143" i="9"/>
  <c r="AH143" i="9"/>
  <c r="AI143" i="9"/>
  <c r="AJ143" i="9"/>
  <c r="AK143" i="9"/>
  <c r="AL143" i="9"/>
  <c r="AM143" i="9"/>
  <c r="AN143" i="9"/>
  <c r="AO143" i="9"/>
  <c r="AP143" i="9"/>
  <c r="AQ143" i="9"/>
  <c r="AR143" i="9"/>
  <c r="AS143" i="9"/>
  <c r="AT143" i="9"/>
  <c r="AU143" i="9"/>
  <c r="AV143" i="9"/>
  <c r="AW143" i="9"/>
  <c r="AX143" i="9"/>
  <c r="AY143" i="9"/>
  <c r="AZ143" i="9"/>
  <c r="BA143" i="9"/>
  <c r="BB143" i="9"/>
  <c r="BC143" i="9"/>
  <c r="BD143" i="9"/>
  <c r="BE143" i="9"/>
  <c r="BF143" i="9"/>
  <c r="BG143" i="9"/>
  <c r="BH143" i="9"/>
  <c r="BI143" i="9"/>
  <c r="BJ143" i="9"/>
  <c r="BK143" i="9"/>
  <c r="BL143" i="9"/>
  <c r="BM143" i="9"/>
  <c r="BN143" i="9"/>
  <c r="BO143" i="9"/>
  <c r="BP143" i="9"/>
  <c r="BQ143" i="9"/>
  <c r="BR143" i="9"/>
  <c r="BS143" i="9"/>
  <c r="L143" i="9"/>
  <c r="M141" i="9"/>
  <c r="N141" i="9"/>
  <c r="O141" i="9"/>
  <c r="P141" i="9"/>
  <c r="Q141" i="9"/>
  <c r="R141" i="9"/>
  <c r="S141" i="9"/>
  <c r="T141" i="9"/>
  <c r="U141" i="9"/>
  <c r="V141" i="9"/>
  <c r="W141" i="9"/>
  <c r="X141" i="9"/>
  <c r="Y141" i="9"/>
  <c r="Z141" i="9"/>
  <c r="AA141" i="9"/>
  <c r="AB141" i="9"/>
  <c r="AC141" i="9"/>
  <c r="AD141" i="9"/>
  <c r="AE141" i="9"/>
  <c r="AF141" i="9"/>
  <c r="AG141" i="9"/>
  <c r="AH141" i="9"/>
  <c r="AI141" i="9"/>
  <c r="AJ141" i="9"/>
  <c r="AK141" i="9"/>
  <c r="AL141" i="9"/>
  <c r="AM141" i="9"/>
  <c r="AN141" i="9"/>
  <c r="AO141" i="9"/>
  <c r="AP141" i="9"/>
  <c r="AQ141" i="9"/>
  <c r="AR141" i="9"/>
  <c r="AS141" i="9"/>
  <c r="AT141" i="9"/>
  <c r="AU141" i="9"/>
  <c r="AV141" i="9"/>
  <c r="AW141" i="9"/>
  <c r="AX141" i="9"/>
  <c r="AY141" i="9"/>
  <c r="AZ141" i="9"/>
  <c r="BA141" i="9"/>
  <c r="BB141" i="9"/>
  <c r="BC141" i="9"/>
  <c r="BD141" i="9"/>
  <c r="BE141" i="9"/>
  <c r="BF141" i="9"/>
  <c r="BG141" i="9"/>
  <c r="BH141" i="9"/>
  <c r="BI141" i="9"/>
  <c r="BJ141" i="9"/>
  <c r="BK141" i="9"/>
  <c r="BL141" i="9"/>
  <c r="BM141" i="9"/>
  <c r="BN141" i="9"/>
  <c r="BO141" i="9"/>
  <c r="BP141" i="9"/>
  <c r="BQ141" i="9"/>
  <c r="BR141" i="9"/>
  <c r="BS141" i="9"/>
  <c r="L141" i="9"/>
  <c r="M139" i="9"/>
  <c r="N139" i="9"/>
  <c r="O139" i="9"/>
  <c r="P139" i="9"/>
  <c r="Q139" i="9"/>
  <c r="R139" i="9"/>
  <c r="S139" i="9"/>
  <c r="T139" i="9"/>
  <c r="Y139" i="9"/>
  <c r="Z139" i="9"/>
  <c r="AA139" i="9"/>
  <c r="AB139" i="9"/>
  <c r="AC139" i="9"/>
  <c r="AD139" i="9"/>
  <c r="AE139" i="9"/>
  <c r="AF139" i="9"/>
  <c r="AG139" i="9"/>
  <c r="AH139" i="9"/>
  <c r="AI139" i="9"/>
  <c r="AJ139" i="9"/>
  <c r="AK139" i="9"/>
  <c r="AL139" i="9"/>
  <c r="AM139" i="9"/>
  <c r="AN139" i="9"/>
  <c r="AO139" i="9"/>
  <c r="AP139" i="9"/>
  <c r="AQ139" i="9"/>
  <c r="AR139" i="9"/>
  <c r="AS139" i="9"/>
  <c r="AT139" i="9"/>
  <c r="AU139" i="9"/>
  <c r="AV139" i="9"/>
  <c r="AW139" i="9"/>
  <c r="AX139" i="9"/>
  <c r="AY139" i="9"/>
  <c r="AZ139" i="9"/>
  <c r="BA139" i="9"/>
  <c r="BB139" i="9"/>
  <c r="BC139" i="9"/>
  <c r="BD139" i="9"/>
  <c r="BE139" i="9"/>
  <c r="BF139" i="9"/>
  <c r="BG139" i="9"/>
  <c r="BH139" i="9"/>
  <c r="BI139" i="9"/>
  <c r="BJ139" i="9"/>
  <c r="BK139" i="9"/>
  <c r="BL139" i="9"/>
  <c r="BM139" i="9"/>
  <c r="BN139" i="9"/>
  <c r="BO139" i="9"/>
  <c r="BP139" i="9"/>
  <c r="BQ139" i="9"/>
  <c r="BR139" i="9"/>
  <c r="BS139" i="9"/>
  <c r="L139" i="9"/>
  <c r="M123" i="9"/>
  <c r="N123" i="9"/>
  <c r="O123" i="9"/>
  <c r="P123" i="9"/>
  <c r="Q123" i="9"/>
  <c r="R123" i="9"/>
  <c r="S123" i="9"/>
  <c r="T123" i="9"/>
  <c r="U123" i="9"/>
  <c r="V123" i="9"/>
  <c r="W123" i="9"/>
  <c r="X123" i="9"/>
  <c r="Y123" i="9"/>
  <c r="Z123" i="9"/>
  <c r="AA123" i="9"/>
  <c r="AB123" i="9"/>
  <c r="AC123" i="9"/>
  <c r="AD123" i="9"/>
  <c r="AE123" i="9"/>
  <c r="AF123" i="9"/>
  <c r="AG123" i="9"/>
  <c r="AH123" i="9"/>
  <c r="AI123" i="9"/>
  <c r="AJ123" i="9"/>
  <c r="AK123" i="9"/>
  <c r="AL123" i="9"/>
  <c r="AM123" i="9"/>
  <c r="AN123" i="9"/>
  <c r="AO123" i="9"/>
  <c r="AP123" i="9"/>
  <c r="AQ123" i="9"/>
  <c r="AR123" i="9"/>
  <c r="AS123" i="9"/>
  <c r="AT123" i="9"/>
  <c r="AU123" i="9"/>
  <c r="AV123" i="9"/>
  <c r="AW123" i="9"/>
  <c r="AX123" i="9"/>
  <c r="AY123" i="9"/>
  <c r="AZ123" i="9"/>
  <c r="BA123" i="9"/>
  <c r="BB123" i="9"/>
  <c r="BC123" i="9"/>
  <c r="BD123" i="9"/>
  <c r="BE123" i="9"/>
  <c r="BF123" i="9"/>
  <c r="BG123" i="9"/>
  <c r="BH123" i="9"/>
  <c r="BI123" i="9"/>
  <c r="BJ123" i="9"/>
  <c r="BK123" i="9"/>
  <c r="BL123" i="9"/>
  <c r="BM123" i="9"/>
  <c r="BN123" i="9"/>
  <c r="BO123" i="9"/>
  <c r="BP123" i="9"/>
  <c r="BQ123" i="9"/>
  <c r="BR123" i="9"/>
  <c r="BS123" i="9"/>
  <c r="M124" i="9"/>
  <c r="N124" i="9"/>
  <c r="O124" i="9"/>
  <c r="P124" i="9"/>
  <c r="Q124" i="9"/>
  <c r="R124" i="9"/>
  <c r="S124" i="9"/>
  <c r="T124" i="9"/>
  <c r="U124" i="9"/>
  <c r="V124" i="9"/>
  <c r="W124" i="9"/>
  <c r="X124" i="9"/>
  <c r="Y124" i="9"/>
  <c r="Z124" i="9"/>
  <c r="AA124" i="9"/>
  <c r="AB124" i="9"/>
  <c r="AC124" i="9"/>
  <c r="AD124" i="9"/>
  <c r="AE124" i="9"/>
  <c r="AF124" i="9"/>
  <c r="AG124" i="9"/>
  <c r="AH124" i="9"/>
  <c r="AI124" i="9"/>
  <c r="AJ124" i="9"/>
  <c r="AK124" i="9"/>
  <c r="AL124" i="9"/>
  <c r="AM124" i="9"/>
  <c r="AN124" i="9"/>
  <c r="AO124" i="9"/>
  <c r="AP124" i="9"/>
  <c r="AQ124" i="9"/>
  <c r="AR124" i="9"/>
  <c r="AS124" i="9"/>
  <c r="AT124" i="9"/>
  <c r="AU124" i="9"/>
  <c r="AV124" i="9"/>
  <c r="AW124" i="9"/>
  <c r="AX124" i="9"/>
  <c r="AY124" i="9"/>
  <c r="AZ124" i="9"/>
  <c r="BA124" i="9"/>
  <c r="BB124" i="9"/>
  <c r="BC124" i="9"/>
  <c r="BD124" i="9"/>
  <c r="BE124" i="9"/>
  <c r="BF124" i="9"/>
  <c r="BG124" i="9"/>
  <c r="BH124" i="9"/>
  <c r="BI124" i="9"/>
  <c r="BJ124" i="9"/>
  <c r="BK124" i="9"/>
  <c r="BL124" i="9"/>
  <c r="BM124" i="9"/>
  <c r="BN124" i="9"/>
  <c r="BO124" i="9"/>
  <c r="BP124" i="9"/>
  <c r="BQ124" i="9"/>
  <c r="BR124" i="9"/>
  <c r="BS124" i="9"/>
  <c r="M125" i="9"/>
  <c r="N125" i="9"/>
  <c r="O125" i="9"/>
  <c r="P125" i="9"/>
  <c r="Q125" i="9"/>
  <c r="R125" i="9"/>
  <c r="S125" i="9"/>
  <c r="T125" i="9"/>
  <c r="U125" i="9"/>
  <c r="V125" i="9"/>
  <c r="W125" i="9"/>
  <c r="X125" i="9"/>
  <c r="Y125" i="9"/>
  <c r="Z125" i="9"/>
  <c r="AA125" i="9"/>
  <c r="AB125" i="9"/>
  <c r="AC125" i="9"/>
  <c r="AD125" i="9"/>
  <c r="AE125" i="9"/>
  <c r="AF125" i="9"/>
  <c r="AG125" i="9"/>
  <c r="AH125" i="9"/>
  <c r="AI125" i="9"/>
  <c r="AJ125" i="9"/>
  <c r="AK125" i="9"/>
  <c r="AL125" i="9"/>
  <c r="AM125" i="9"/>
  <c r="AN125" i="9"/>
  <c r="AO125" i="9"/>
  <c r="AP125" i="9"/>
  <c r="AQ125" i="9"/>
  <c r="AR125" i="9"/>
  <c r="AS125" i="9"/>
  <c r="AT125" i="9"/>
  <c r="AU125" i="9"/>
  <c r="AV125" i="9"/>
  <c r="AW125" i="9"/>
  <c r="AX125" i="9"/>
  <c r="AY125" i="9"/>
  <c r="AZ125" i="9"/>
  <c r="BA125" i="9"/>
  <c r="BB125" i="9"/>
  <c r="BC125" i="9"/>
  <c r="BD125" i="9"/>
  <c r="BE125" i="9"/>
  <c r="BF125" i="9"/>
  <c r="BG125" i="9"/>
  <c r="BH125" i="9"/>
  <c r="BI125" i="9"/>
  <c r="BJ125" i="9"/>
  <c r="BK125" i="9"/>
  <c r="BL125" i="9"/>
  <c r="BM125" i="9"/>
  <c r="BN125" i="9"/>
  <c r="BO125" i="9"/>
  <c r="BP125" i="9"/>
  <c r="BQ125" i="9"/>
  <c r="BR125" i="9"/>
  <c r="BS125" i="9"/>
  <c r="L125" i="9"/>
  <c r="L124" i="9"/>
  <c r="L123" i="9"/>
  <c r="M111" i="9"/>
  <c r="N111" i="9"/>
  <c r="O111" i="9"/>
  <c r="P111" i="9"/>
  <c r="Q111" i="9"/>
  <c r="R111" i="9"/>
  <c r="S111" i="9"/>
  <c r="T111" i="9"/>
  <c r="U111" i="9"/>
  <c r="V111" i="9"/>
  <c r="W111" i="9"/>
  <c r="X111" i="9"/>
  <c r="Y111" i="9"/>
  <c r="Z111" i="9"/>
  <c r="AA111" i="9"/>
  <c r="AB111" i="9"/>
  <c r="AC111" i="9"/>
  <c r="AD111" i="9"/>
  <c r="AE111" i="9"/>
  <c r="AF111" i="9"/>
  <c r="AG111" i="9"/>
  <c r="AH111" i="9"/>
  <c r="AI111" i="9"/>
  <c r="AJ111" i="9"/>
  <c r="AK111" i="9"/>
  <c r="AL111" i="9"/>
  <c r="AM111" i="9"/>
  <c r="AN111" i="9"/>
  <c r="AO111" i="9"/>
  <c r="AP111" i="9"/>
  <c r="AQ111" i="9"/>
  <c r="AR111" i="9"/>
  <c r="AS111" i="9"/>
  <c r="AT111" i="9"/>
  <c r="AU111" i="9"/>
  <c r="AV111" i="9"/>
  <c r="AW111" i="9"/>
  <c r="AX111" i="9"/>
  <c r="AY111" i="9"/>
  <c r="AZ111" i="9"/>
  <c r="BA111" i="9"/>
  <c r="BB111" i="9"/>
  <c r="BC111" i="9"/>
  <c r="BD111" i="9"/>
  <c r="BE111" i="9"/>
  <c r="BF111" i="9"/>
  <c r="BG111" i="9"/>
  <c r="BH111" i="9"/>
  <c r="BI111" i="9"/>
  <c r="BJ111" i="9"/>
  <c r="BK111" i="9"/>
  <c r="BL111" i="9"/>
  <c r="BM111" i="9"/>
  <c r="BN111" i="9"/>
  <c r="BO111" i="9"/>
  <c r="BP111" i="9"/>
  <c r="BQ111" i="9"/>
  <c r="BR111" i="9"/>
  <c r="BS111" i="9"/>
  <c r="M112" i="9"/>
  <c r="N112" i="9"/>
  <c r="P112" i="9"/>
  <c r="S112" i="9"/>
  <c r="T112" i="9"/>
  <c r="U112" i="9"/>
  <c r="V112" i="9"/>
  <c r="W112" i="9"/>
  <c r="X112" i="9"/>
  <c r="Y112" i="9"/>
  <c r="Z112" i="9"/>
  <c r="AA112" i="9"/>
  <c r="AB112" i="9"/>
  <c r="AC112" i="9"/>
  <c r="AD112" i="9"/>
  <c r="AE112" i="9"/>
  <c r="AF112" i="9"/>
  <c r="AG112" i="9"/>
  <c r="AH112" i="9"/>
  <c r="AI112" i="9"/>
  <c r="AJ112" i="9"/>
  <c r="AK112" i="9"/>
  <c r="AL112" i="9"/>
  <c r="AM112" i="9"/>
  <c r="AN112" i="9"/>
  <c r="AO112" i="9"/>
  <c r="AP112" i="9"/>
  <c r="AQ112" i="9"/>
  <c r="AR112" i="9"/>
  <c r="AS112" i="9"/>
  <c r="AT112" i="9"/>
  <c r="AU112" i="9"/>
  <c r="AV112" i="9"/>
  <c r="AW112" i="9"/>
  <c r="AX112" i="9"/>
  <c r="AY112" i="9"/>
  <c r="AZ112" i="9"/>
  <c r="BA112" i="9"/>
  <c r="BB112" i="9"/>
  <c r="BC112" i="9"/>
  <c r="BD112" i="9"/>
  <c r="BE112" i="9"/>
  <c r="BF112" i="9"/>
  <c r="BG112" i="9"/>
  <c r="BH112" i="9"/>
  <c r="BI112" i="9"/>
  <c r="BJ112" i="9"/>
  <c r="BK112" i="9"/>
  <c r="BL112" i="9"/>
  <c r="BM112" i="9"/>
  <c r="BN112" i="9"/>
  <c r="BO112" i="9"/>
  <c r="BP112" i="9"/>
  <c r="BQ112" i="9"/>
  <c r="BR112" i="9"/>
  <c r="BS112" i="9"/>
  <c r="M113" i="9"/>
  <c r="N113" i="9"/>
  <c r="O113" i="9"/>
  <c r="P113" i="9"/>
  <c r="Q113" i="9"/>
  <c r="R113" i="9"/>
  <c r="S113" i="9"/>
  <c r="T113" i="9"/>
  <c r="U113" i="9"/>
  <c r="V113" i="9"/>
  <c r="W113" i="9"/>
  <c r="X113" i="9"/>
  <c r="Y113" i="9"/>
  <c r="Z113" i="9"/>
  <c r="AA113" i="9"/>
  <c r="AB113" i="9"/>
  <c r="AC113" i="9"/>
  <c r="AD113" i="9"/>
  <c r="AE113" i="9"/>
  <c r="AF113" i="9"/>
  <c r="AG113" i="9"/>
  <c r="AH113" i="9"/>
  <c r="AI113" i="9"/>
  <c r="AJ113" i="9"/>
  <c r="AK113" i="9"/>
  <c r="AL113" i="9"/>
  <c r="AM113" i="9"/>
  <c r="AN113" i="9"/>
  <c r="AO113" i="9"/>
  <c r="AP113" i="9"/>
  <c r="AQ113" i="9"/>
  <c r="AR113" i="9"/>
  <c r="AS113" i="9"/>
  <c r="AT113" i="9"/>
  <c r="AU113" i="9"/>
  <c r="AV113" i="9"/>
  <c r="AW113" i="9"/>
  <c r="AX113" i="9"/>
  <c r="AY113" i="9"/>
  <c r="AZ113" i="9"/>
  <c r="BA113" i="9"/>
  <c r="BB113" i="9"/>
  <c r="BC113" i="9"/>
  <c r="BD113" i="9"/>
  <c r="BE113" i="9"/>
  <c r="BF113" i="9"/>
  <c r="BG113" i="9"/>
  <c r="BH113" i="9"/>
  <c r="BI113" i="9"/>
  <c r="BJ113" i="9"/>
  <c r="BK113" i="9"/>
  <c r="BL113" i="9"/>
  <c r="BM113" i="9"/>
  <c r="BN113" i="9"/>
  <c r="BO113" i="9"/>
  <c r="BP113" i="9"/>
  <c r="BQ113" i="9"/>
  <c r="BR113" i="9"/>
  <c r="BS113" i="9"/>
  <c r="L113" i="9"/>
  <c r="L112" i="9"/>
  <c r="L111" i="9"/>
  <c r="H56" i="9"/>
  <c r="L237" i="18"/>
  <c r="I237" i="18" s="1"/>
  <c r="M179" i="1"/>
  <c r="N179" i="1"/>
  <c r="O179" i="1"/>
  <c r="P179" i="1"/>
  <c r="Q179" i="1"/>
  <c r="R179" i="1"/>
  <c r="S179" i="1"/>
  <c r="T179" i="1"/>
  <c r="U179" i="1"/>
  <c r="V179" i="1"/>
  <c r="W179" i="1"/>
  <c r="X179" i="1"/>
  <c r="Y179" i="1"/>
  <c r="Z179" i="1"/>
  <c r="L179" i="1"/>
  <c r="M170" i="1"/>
  <c r="N170" i="1"/>
  <c r="O170" i="1"/>
  <c r="P170" i="1"/>
  <c r="Q170" i="1"/>
  <c r="R170" i="1"/>
  <c r="S170" i="1"/>
  <c r="T170" i="1"/>
  <c r="U170" i="1"/>
  <c r="V170" i="1"/>
  <c r="W170" i="1"/>
  <c r="X170" i="1"/>
  <c r="Y170" i="1"/>
  <c r="Z170" i="1"/>
  <c r="L170" i="1"/>
  <c r="M156" i="18"/>
  <c r="N156" i="18"/>
  <c r="O156" i="18"/>
  <c r="P156" i="18"/>
  <c r="Q156" i="18"/>
  <c r="R156" i="18"/>
  <c r="S156" i="18"/>
  <c r="T156" i="18"/>
  <c r="U156" i="18"/>
  <c r="V156" i="18"/>
  <c r="W156" i="18"/>
  <c r="X156" i="18"/>
  <c r="Y156" i="18"/>
  <c r="Z156" i="18"/>
  <c r="AA156" i="18"/>
  <c r="AB156" i="18"/>
  <c r="AC156" i="18"/>
  <c r="AD156" i="18"/>
  <c r="AE156" i="18"/>
  <c r="AF156" i="18"/>
  <c r="AG156" i="18"/>
  <c r="AH156" i="18"/>
  <c r="AI156" i="18"/>
  <c r="AJ156" i="18"/>
  <c r="AK156" i="18"/>
  <c r="AL156" i="18"/>
  <c r="AM156" i="18"/>
  <c r="AN156" i="18"/>
  <c r="AO156" i="18"/>
  <c r="AP156" i="18"/>
  <c r="AQ156" i="18"/>
  <c r="AR156" i="18"/>
  <c r="AS156" i="18"/>
  <c r="AT156" i="18"/>
  <c r="AU156" i="18"/>
  <c r="AV156" i="18"/>
  <c r="AW156" i="18"/>
  <c r="AX156" i="18"/>
  <c r="AY156" i="18"/>
  <c r="AZ156" i="18"/>
  <c r="BA156" i="18"/>
  <c r="BB156" i="18"/>
  <c r="BC156" i="18"/>
  <c r="BD156" i="18"/>
  <c r="BE156" i="18"/>
  <c r="BF156" i="18"/>
  <c r="BG156" i="18"/>
  <c r="BH156" i="18"/>
  <c r="BI156" i="18"/>
  <c r="BJ156" i="18"/>
  <c r="BK156" i="18"/>
  <c r="BL156" i="18"/>
  <c r="BM156" i="18"/>
  <c r="BN156" i="18"/>
  <c r="BO156" i="18"/>
  <c r="BP156" i="18"/>
  <c r="BQ156" i="18"/>
  <c r="BR156" i="18"/>
  <c r="BS156" i="18"/>
  <c r="L156" i="18"/>
  <c r="M154" i="18"/>
  <c r="N154" i="18"/>
  <c r="O154" i="18"/>
  <c r="P154" i="18"/>
  <c r="Q154" i="18"/>
  <c r="R154" i="18"/>
  <c r="S154" i="18"/>
  <c r="T154" i="18"/>
  <c r="Y154" i="18"/>
  <c r="Z154" i="18"/>
  <c r="AA154" i="18"/>
  <c r="AB154" i="18"/>
  <c r="AC154" i="18"/>
  <c r="AD154" i="18"/>
  <c r="AE154" i="18"/>
  <c r="AF154" i="18"/>
  <c r="AG154" i="18"/>
  <c r="AH154" i="18"/>
  <c r="AI154" i="18"/>
  <c r="AJ154" i="18"/>
  <c r="AK154" i="18"/>
  <c r="AL154" i="18"/>
  <c r="AM154" i="18"/>
  <c r="AN154" i="18"/>
  <c r="AO154" i="18"/>
  <c r="AP154" i="18"/>
  <c r="AQ154" i="18"/>
  <c r="AR154" i="18"/>
  <c r="AS154" i="18"/>
  <c r="AT154" i="18"/>
  <c r="AU154" i="18"/>
  <c r="AV154" i="18"/>
  <c r="AW154" i="18"/>
  <c r="AX154" i="18"/>
  <c r="AY154" i="18"/>
  <c r="AZ154" i="18"/>
  <c r="BA154" i="18"/>
  <c r="BB154" i="18"/>
  <c r="BC154" i="18"/>
  <c r="BD154" i="18"/>
  <c r="BE154" i="18"/>
  <c r="BF154" i="18"/>
  <c r="BG154" i="18"/>
  <c r="BH154" i="18"/>
  <c r="BI154" i="18"/>
  <c r="BJ154" i="18"/>
  <c r="BK154" i="18"/>
  <c r="BL154" i="18"/>
  <c r="BM154" i="18"/>
  <c r="BN154" i="18"/>
  <c r="BO154" i="18"/>
  <c r="BP154" i="18"/>
  <c r="BQ154" i="18"/>
  <c r="BR154" i="18"/>
  <c r="BS154" i="18"/>
  <c r="L154" i="18"/>
  <c r="M152" i="18"/>
  <c r="N152" i="18"/>
  <c r="O152" i="18"/>
  <c r="P152" i="18"/>
  <c r="Q152" i="18"/>
  <c r="R152" i="18"/>
  <c r="S152" i="18"/>
  <c r="T152" i="18"/>
  <c r="Y152" i="18"/>
  <c r="Z152" i="18"/>
  <c r="AA152" i="18"/>
  <c r="AB152" i="18"/>
  <c r="AC152" i="18"/>
  <c r="AD152" i="18"/>
  <c r="AE152" i="18"/>
  <c r="AF152" i="18"/>
  <c r="AG152" i="18"/>
  <c r="AH152" i="18"/>
  <c r="AI152" i="18"/>
  <c r="AJ152" i="18"/>
  <c r="AK152" i="18"/>
  <c r="AL152" i="18"/>
  <c r="AM152" i="18"/>
  <c r="AN152" i="18"/>
  <c r="AO152" i="18"/>
  <c r="AP152" i="18"/>
  <c r="AQ152" i="18"/>
  <c r="AR152" i="18"/>
  <c r="AS152" i="18"/>
  <c r="AT152" i="18"/>
  <c r="AU152" i="18"/>
  <c r="AV152" i="18"/>
  <c r="AW152" i="18"/>
  <c r="AX152" i="18"/>
  <c r="AY152" i="18"/>
  <c r="AZ152" i="18"/>
  <c r="BA152" i="18"/>
  <c r="BB152" i="18"/>
  <c r="BC152" i="18"/>
  <c r="BD152" i="18"/>
  <c r="BE152" i="18"/>
  <c r="BF152" i="18"/>
  <c r="BG152" i="18"/>
  <c r="BH152" i="18"/>
  <c r="BI152" i="18"/>
  <c r="BJ152" i="18"/>
  <c r="BK152" i="18"/>
  <c r="BL152" i="18"/>
  <c r="BM152" i="18"/>
  <c r="BN152" i="18"/>
  <c r="BO152" i="18"/>
  <c r="BP152" i="18"/>
  <c r="BQ152" i="18"/>
  <c r="BR152" i="18"/>
  <c r="BS152" i="18"/>
  <c r="L152" i="18"/>
  <c r="M147" i="20"/>
  <c r="N147" i="20"/>
  <c r="O147" i="20"/>
  <c r="P147" i="20"/>
  <c r="Q147" i="20"/>
  <c r="R147" i="20"/>
  <c r="S147" i="20"/>
  <c r="T147" i="20"/>
  <c r="U147" i="20"/>
  <c r="V147" i="20"/>
  <c r="W147" i="20"/>
  <c r="X147" i="20"/>
  <c r="Y147" i="20"/>
  <c r="Z147" i="20"/>
  <c r="AA147" i="20"/>
  <c r="AB147" i="20"/>
  <c r="AC147" i="20"/>
  <c r="AD147" i="20"/>
  <c r="AE147" i="20"/>
  <c r="AF147" i="20"/>
  <c r="AG147" i="20"/>
  <c r="AH147" i="20"/>
  <c r="AI147" i="20"/>
  <c r="AJ147" i="20"/>
  <c r="AK147" i="20"/>
  <c r="AL147" i="20"/>
  <c r="AM147" i="20"/>
  <c r="AN147" i="20"/>
  <c r="AO147" i="20"/>
  <c r="AP147" i="20"/>
  <c r="AQ147" i="20"/>
  <c r="AR147" i="20"/>
  <c r="AS147" i="20"/>
  <c r="AT147" i="20"/>
  <c r="AU147" i="20"/>
  <c r="AV147" i="20"/>
  <c r="AW147" i="20"/>
  <c r="AX147" i="20"/>
  <c r="AY147" i="20"/>
  <c r="AZ147" i="20"/>
  <c r="BA147" i="20"/>
  <c r="BB147" i="20"/>
  <c r="BC147" i="20"/>
  <c r="BD147" i="20"/>
  <c r="BE147" i="20"/>
  <c r="BF147" i="20"/>
  <c r="BG147" i="20"/>
  <c r="BH147" i="20"/>
  <c r="BI147" i="20"/>
  <c r="BJ147" i="20"/>
  <c r="BK147" i="20"/>
  <c r="BL147" i="20"/>
  <c r="BM147" i="20"/>
  <c r="BN147" i="20"/>
  <c r="BO147" i="20"/>
  <c r="BP147" i="20"/>
  <c r="BQ147" i="20"/>
  <c r="BR147" i="20"/>
  <c r="BS147" i="20"/>
  <c r="L147" i="20"/>
  <c r="M145" i="20"/>
  <c r="N145" i="20"/>
  <c r="O145" i="20"/>
  <c r="P145" i="20"/>
  <c r="Q145" i="20"/>
  <c r="R145" i="20"/>
  <c r="S145" i="20"/>
  <c r="T145" i="20"/>
  <c r="Y145" i="20"/>
  <c r="Z145" i="20"/>
  <c r="AA145" i="20"/>
  <c r="AB145" i="20"/>
  <c r="AC145" i="20"/>
  <c r="AD145" i="20"/>
  <c r="AE145" i="20"/>
  <c r="AF145" i="20"/>
  <c r="AG145" i="20"/>
  <c r="AH145" i="20"/>
  <c r="AI145" i="20"/>
  <c r="AJ145" i="20"/>
  <c r="AK145" i="20"/>
  <c r="AL145" i="20"/>
  <c r="AM145" i="20"/>
  <c r="AN145" i="20"/>
  <c r="AO145" i="20"/>
  <c r="AP145" i="20"/>
  <c r="AQ145" i="20"/>
  <c r="AR145" i="20"/>
  <c r="AS145" i="20"/>
  <c r="AT145" i="20"/>
  <c r="AU145" i="20"/>
  <c r="AV145" i="20"/>
  <c r="AW145" i="20"/>
  <c r="AX145" i="20"/>
  <c r="AY145" i="20"/>
  <c r="AZ145" i="20"/>
  <c r="BA145" i="20"/>
  <c r="BB145" i="20"/>
  <c r="BC145" i="20"/>
  <c r="BD145" i="20"/>
  <c r="BE145" i="20"/>
  <c r="BF145" i="20"/>
  <c r="BG145" i="20"/>
  <c r="BH145" i="20"/>
  <c r="BI145" i="20"/>
  <c r="BJ145" i="20"/>
  <c r="BK145" i="20"/>
  <c r="BL145" i="20"/>
  <c r="BM145" i="20"/>
  <c r="BN145" i="20"/>
  <c r="BO145" i="20"/>
  <c r="BP145" i="20"/>
  <c r="BQ145" i="20"/>
  <c r="BR145" i="20"/>
  <c r="BS145" i="20"/>
  <c r="L145" i="20"/>
  <c r="M143" i="20"/>
  <c r="N143" i="20"/>
  <c r="O143" i="20"/>
  <c r="P143" i="20"/>
  <c r="Q143" i="20"/>
  <c r="R143" i="20"/>
  <c r="S143" i="20"/>
  <c r="T143" i="20"/>
  <c r="Y143" i="20"/>
  <c r="Z143" i="20"/>
  <c r="AA143" i="20"/>
  <c r="AB143" i="20"/>
  <c r="AC143" i="20"/>
  <c r="AD143" i="20"/>
  <c r="AE143" i="20"/>
  <c r="AF143" i="20"/>
  <c r="AG143" i="20"/>
  <c r="AH143" i="20"/>
  <c r="AI143" i="20"/>
  <c r="AJ143" i="20"/>
  <c r="AK143" i="20"/>
  <c r="AL143" i="20"/>
  <c r="AM143" i="20"/>
  <c r="AN143" i="20"/>
  <c r="AO143" i="20"/>
  <c r="AP143" i="20"/>
  <c r="AQ143" i="20"/>
  <c r="AR143" i="20"/>
  <c r="AS143" i="20"/>
  <c r="AT143" i="20"/>
  <c r="AU143" i="20"/>
  <c r="AV143" i="20"/>
  <c r="AW143" i="20"/>
  <c r="AX143" i="20"/>
  <c r="AY143" i="20"/>
  <c r="AZ143" i="20"/>
  <c r="BA143" i="20"/>
  <c r="BB143" i="20"/>
  <c r="BC143" i="20"/>
  <c r="BD143" i="20"/>
  <c r="BE143" i="20"/>
  <c r="BF143" i="20"/>
  <c r="BG143" i="20"/>
  <c r="BH143" i="20"/>
  <c r="BI143" i="20"/>
  <c r="BJ143" i="20"/>
  <c r="BK143" i="20"/>
  <c r="BL143" i="20"/>
  <c r="BM143" i="20"/>
  <c r="BN143" i="20"/>
  <c r="BO143" i="20"/>
  <c r="BP143" i="20"/>
  <c r="BQ143" i="20"/>
  <c r="BR143" i="20"/>
  <c r="BS143" i="20"/>
  <c r="L143" i="20"/>
  <c r="M139" i="18"/>
  <c r="N139" i="18"/>
  <c r="O139" i="18"/>
  <c r="P139" i="18"/>
  <c r="Q139" i="18"/>
  <c r="R139" i="18"/>
  <c r="S139" i="18"/>
  <c r="T139" i="18"/>
  <c r="U139" i="18"/>
  <c r="V139" i="18"/>
  <c r="W139" i="18"/>
  <c r="X139" i="18"/>
  <c r="Y139" i="18"/>
  <c r="Z139" i="18"/>
  <c r="AA139" i="18"/>
  <c r="AB139" i="18"/>
  <c r="AC139" i="18"/>
  <c r="AD139" i="18"/>
  <c r="AE139" i="18"/>
  <c r="AF139" i="18"/>
  <c r="AG139" i="18"/>
  <c r="AH139" i="18"/>
  <c r="AI139" i="18"/>
  <c r="AJ139" i="18"/>
  <c r="AK139" i="18"/>
  <c r="AL139" i="18"/>
  <c r="AM139" i="18"/>
  <c r="AN139" i="18"/>
  <c r="AO139" i="18"/>
  <c r="AP139" i="18"/>
  <c r="AQ139" i="18"/>
  <c r="AR139" i="18"/>
  <c r="AS139" i="18"/>
  <c r="AT139" i="18"/>
  <c r="AU139" i="18"/>
  <c r="AV139" i="18"/>
  <c r="AW139" i="18"/>
  <c r="AX139" i="18"/>
  <c r="AY139" i="18"/>
  <c r="AZ139" i="18"/>
  <c r="BA139" i="18"/>
  <c r="BB139" i="18"/>
  <c r="BC139" i="18"/>
  <c r="BD139" i="18"/>
  <c r="BE139" i="18"/>
  <c r="BF139" i="18"/>
  <c r="BG139" i="18"/>
  <c r="BH139" i="18"/>
  <c r="BI139" i="18"/>
  <c r="BJ139" i="18"/>
  <c r="BK139" i="18"/>
  <c r="BL139" i="18"/>
  <c r="BM139" i="18"/>
  <c r="BN139" i="18"/>
  <c r="BO139" i="18"/>
  <c r="BP139" i="18"/>
  <c r="BQ139" i="18"/>
  <c r="BR139" i="18"/>
  <c r="BS139" i="18"/>
  <c r="L139" i="18"/>
  <c r="L145" i="18" s="1"/>
  <c r="M138" i="18"/>
  <c r="N138" i="18"/>
  <c r="O138" i="18"/>
  <c r="P138" i="18"/>
  <c r="Q138" i="18"/>
  <c r="R138" i="18"/>
  <c r="S138" i="18"/>
  <c r="T138" i="18"/>
  <c r="U138" i="18"/>
  <c r="V138" i="18"/>
  <c r="W138" i="18"/>
  <c r="X138" i="18"/>
  <c r="Y138" i="18"/>
  <c r="Z138" i="18"/>
  <c r="AA138" i="18"/>
  <c r="AB138" i="18"/>
  <c r="AC138" i="18"/>
  <c r="AD138" i="18"/>
  <c r="AE138" i="18"/>
  <c r="AF138" i="18"/>
  <c r="AG138" i="18"/>
  <c r="AH138" i="18"/>
  <c r="AI138" i="18"/>
  <c r="AJ138" i="18"/>
  <c r="AK138" i="18"/>
  <c r="AL138" i="18"/>
  <c r="AM138" i="18"/>
  <c r="AN138" i="18"/>
  <c r="AO138" i="18"/>
  <c r="AP138" i="18"/>
  <c r="AQ138" i="18"/>
  <c r="AR138" i="18"/>
  <c r="AS138" i="18"/>
  <c r="AT138" i="18"/>
  <c r="AU138" i="18"/>
  <c r="AV138" i="18"/>
  <c r="AW138" i="18"/>
  <c r="AX138" i="18"/>
  <c r="AY138" i="18"/>
  <c r="AZ138" i="18"/>
  <c r="BA138" i="18"/>
  <c r="BB138" i="18"/>
  <c r="BC138" i="18"/>
  <c r="BD138" i="18"/>
  <c r="BE138" i="18"/>
  <c r="BF138" i="18"/>
  <c r="BG138" i="18"/>
  <c r="BH138" i="18"/>
  <c r="BI138" i="18"/>
  <c r="BJ138" i="18"/>
  <c r="BK138" i="18"/>
  <c r="BL138" i="18"/>
  <c r="BM138" i="18"/>
  <c r="BN138" i="18"/>
  <c r="BO138" i="18"/>
  <c r="BP138" i="18"/>
  <c r="BQ138" i="18"/>
  <c r="BR138" i="18"/>
  <c r="BS138" i="18"/>
  <c r="L138" i="18"/>
  <c r="L144" i="18" s="1"/>
  <c r="M137" i="18"/>
  <c r="N137" i="18"/>
  <c r="O137" i="18"/>
  <c r="P137" i="18"/>
  <c r="Q137" i="18"/>
  <c r="R137" i="18"/>
  <c r="S137" i="18"/>
  <c r="T137" i="18"/>
  <c r="U137" i="18"/>
  <c r="V137" i="18"/>
  <c r="W137" i="18"/>
  <c r="X137" i="18"/>
  <c r="Y137" i="18"/>
  <c r="Z137" i="18"/>
  <c r="AA137" i="18"/>
  <c r="AB137" i="18"/>
  <c r="AC137" i="18"/>
  <c r="AD137" i="18"/>
  <c r="AE137" i="18"/>
  <c r="AF137" i="18"/>
  <c r="AG137" i="18"/>
  <c r="AH137" i="18"/>
  <c r="AI137" i="18"/>
  <c r="AJ137" i="18"/>
  <c r="AK137" i="18"/>
  <c r="AL137" i="18"/>
  <c r="AM137" i="18"/>
  <c r="AN137" i="18"/>
  <c r="AO137" i="18"/>
  <c r="AP137" i="18"/>
  <c r="AQ137" i="18"/>
  <c r="AR137" i="18"/>
  <c r="AS137" i="18"/>
  <c r="AT137" i="18"/>
  <c r="AU137" i="18"/>
  <c r="AV137" i="18"/>
  <c r="AW137" i="18"/>
  <c r="AX137" i="18"/>
  <c r="AY137" i="18"/>
  <c r="AZ137" i="18"/>
  <c r="BA137" i="18"/>
  <c r="BB137" i="18"/>
  <c r="BC137" i="18"/>
  <c r="BD137" i="18"/>
  <c r="BE137" i="18"/>
  <c r="BF137" i="18"/>
  <c r="BG137" i="18"/>
  <c r="BH137" i="18"/>
  <c r="BI137" i="18"/>
  <c r="BJ137" i="18"/>
  <c r="BK137" i="18"/>
  <c r="BL137" i="18"/>
  <c r="BM137" i="18"/>
  <c r="BN137" i="18"/>
  <c r="BO137" i="18"/>
  <c r="BP137" i="18"/>
  <c r="BQ137" i="18"/>
  <c r="BR137" i="18"/>
  <c r="BS137" i="18"/>
  <c r="L137" i="18"/>
  <c r="L143" i="18" s="1"/>
  <c r="M127" i="18"/>
  <c r="N127" i="18"/>
  <c r="O127" i="18"/>
  <c r="P127" i="18"/>
  <c r="Q127" i="18"/>
  <c r="R127" i="18"/>
  <c r="S127" i="18"/>
  <c r="T127" i="18"/>
  <c r="U127" i="18"/>
  <c r="V127" i="18"/>
  <c r="W127" i="18"/>
  <c r="X127" i="18"/>
  <c r="Y127" i="18"/>
  <c r="Z127" i="18"/>
  <c r="AA127" i="18"/>
  <c r="AB127" i="18"/>
  <c r="AC127" i="18"/>
  <c r="AD127" i="18"/>
  <c r="AE127" i="18"/>
  <c r="AF127" i="18"/>
  <c r="AG127" i="18"/>
  <c r="AH127" i="18"/>
  <c r="AI127" i="18"/>
  <c r="AJ127" i="18"/>
  <c r="AK127" i="18"/>
  <c r="AL127" i="18"/>
  <c r="AM127" i="18"/>
  <c r="AN127" i="18"/>
  <c r="AO127" i="18"/>
  <c r="AP127" i="18"/>
  <c r="AQ127" i="18"/>
  <c r="AR127" i="18"/>
  <c r="AS127" i="18"/>
  <c r="AT127" i="18"/>
  <c r="AU127" i="18"/>
  <c r="AV127" i="18"/>
  <c r="AW127" i="18"/>
  <c r="AX127" i="18"/>
  <c r="AY127" i="18"/>
  <c r="AZ127" i="18"/>
  <c r="BA127" i="18"/>
  <c r="BB127" i="18"/>
  <c r="BC127" i="18"/>
  <c r="BD127" i="18"/>
  <c r="BE127" i="18"/>
  <c r="BF127" i="18"/>
  <c r="BG127" i="18"/>
  <c r="BH127" i="18"/>
  <c r="BI127" i="18"/>
  <c r="BJ127" i="18"/>
  <c r="BK127" i="18"/>
  <c r="BL127" i="18"/>
  <c r="BM127" i="18"/>
  <c r="BN127" i="18"/>
  <c r="BO127" i="18"/>
  <c r="BP127" i="18"/>
  <c r="BQ127" i="18"/>
  <c r="BR127" i="18"/>
  <c r="BS127" i="18"/>
  <c r="L127" i="18"/>
  <c r="L133" i="18" s="1"/>
  <c r="M126" i="18"/>
  <c r="N126" i="18"/>
  <c r="O126" i="18"/>
  <c r="P126" i="18"/>
  <c r="Q126" i="18"/>
  <c r="R126" i="18"/>
  <c r="S126" i="18"/>
  <c r="T126" i="18"/>
  <c r="U126" i="18"/>
  <c r="V126" i="18"/>
  <c r="W126" i="18"/>
  <c r="X126" i="18"/>
  <c r="Y126" i="18"/>
  <c r="Z126" i="18"/>
  <c r="AA126" i="18"/>
  <c r="AB126" i="18"/>
  <c r="AC126" i="18"/>
  <c r="AD126" i="18"/>
  <c r="AE126" i="18"/>
  <c r="AF126" i="18"/>
  <c r="AG126" i="18"/>
  <c r="AH126" i="18"/>
  <c r="AI126" i="18"/>
  <c r="AJ126" i="18"/>
  <c r="AK126" i="18"/>
  <c r="AL126" i="18"/>
  <c r="AM126" i="18"/>
  <c r="AN126" i="18"/>
  <c r="AO126" i="18"/>
  <c r="AP126" i="18"/>
  <c r="AQ126" i="18"/>
  <c r="AR126" i="18"/>
  <c r="AS126" i="18"/>
  <c r="AT126" i="18"/>
  <c r="AU126" i="18"/>
  <c r="AV126" i="18"/>
  <c r="AW126" i="18"/>
  <c r="AX126" i="18"/>
  <c r="AY126" i="18"/>
  <c r="AZ126" i="18"/>
  <c r="BA126" i="18"/>
  <c r="BB126" i="18"/>
  <c r="BC126" i="18"/>
  <c r="BD126" i="18"/>
  <c r="BE126" i="18"/>
  <c r="BF126" i="18"/>
  <c r="BG126" i="18"/>
  <c r="BH126" i="18"/>
  <c r="BI126" i="18"/>
  <c r="BJ126" i="18"/>
  <c r="BK126" i="18"/>
  <c r="BL126" i="18"/>
  <c r="BM126" i="18"/>
  <c r="BN126" i="18"/>
  <c r="BO126" i="18"/>
  <c r="BP126" i="18"/>
  <c r="BQ126" i="18"/>
  <c r="BR126" i="18"/>
  <c r="BS126" i="18"/>
  <c r="L126" i="18"/>
  <c r="L132" i="18" s="1"/>
  <c r="M125" i="18"/>
  <c r="N125" i="18"/>
  <c r="O125" i="18"/>
  <c r="P125" i="18"/>
  <c r="Q125" i="18"/>
  <c r="R125" i="18"/>
  <c r="S125" i="18"/>
  <c r="T125" i="18"/>
  <c r="U125" i="18"/>
  <c r="V125" i="18"/>
  <c r="W125" i="18"/>
  <c r="X125" i="18"/>
  <c r="Y125" i="18"/>
  <c r="Z125" i="18"/>
  <c r="AA125" i="18"/>
  <c r="AB125" i="18"/>
  <c r="AC125" i="18"/>
  <c r="AD125" i="18"/>
  <c r="AE125" i="18"/>
  <c r="AF125" i="18"/>
  <c r="AG125" i="18"/>
  <c r="AH125" i="18"/>
  <c r="AI125" i="18"/>
  <c r="AJ125" i="18"/>
  <c r="AK125" i="18"/>
  <c r="AL125" i="18"/>
  <c r="AM125" i="18"/>
  <c r="AN125" i="18"/>
  <c r="AO125" i="18"/>
  <c r="AP125" i="18"/>
  <c r="AQ125" i="18"/>
  <c r="AR125" i="18"/>
  <c r="AS125" i="18"/>
  <c r="AT125" i="18"/>
  <c r="AU125" i="18"/>
  <c r="AV125" i="18"/>
  <c r="AW125" i="18"/>
  <c r="AX125" i="18"/>
  <c r="AY125" i="18"/>
  <c r="AZ125" i="18"/>
  <c r="BA125" i="18"/>
  <c r="BB125" i="18"/>
  <c r="BC125" i="18"/>
  <c r="BD125" i="18"/>
  <c r="BE125" i="18"/>
  <c r="BF125" i="18"/>
  <c r="BG125" i="18"/>
  <c r="BH125" i="18"/>
  <c r="BI125" i="18"/>
  <c r="BJ125" i="18"/>
  <c r="BK125" i="18"/>
  <c r="BL125" i="18"/>
  <c r="BM125" i="18"/>
  <c r="BN125" i="18"/>
  <c r="BO125" i="18"/>
  <c r="BP125" i="18"/>
  <c r="BQ125" i="18"/>
  <c r="BR125" i="18"/>
  <c r="BS125" i="18"/>
  <c r="L125" i="18"/>
  <c r="L131" i="18" s="1"/>
  <c r="I70" i="18"/>
  <c r="H48" i="18"/>
  <c r="L228" i="20"/>
  <c r="M128" i="20"/>
  <c r="N128" i="20"/>
  <c r="O128" i="20"/>
  <c r="P128" i="20"/>
  <c r="Q128" i="20"/>
  <c r="R128" i="20"/>
  <c r="S128" i="20"/>
  <c r="T128" i="20"/>
  <c r="U128" i="20"/>
  <c r="V128" i="20"/>
  <c r="W128" i="20"/>
  <c r="X128" i="20"/>
  <c r="Y128" i="20"/>
  <c r="Z128" i="20"/>
  <c r="AA128" i="20"/>
  <c r="AB128" i="20"/>
  <c r="AC128" i="20"/>
  <c r="AD128" i="20"/>
  <c r="AE128" i="20"/>
  <c r="AF128" i="20"/>
  <c r="AG128" i="20"/>
  <c r="AH128" i="20"/>
  <c r="AI128" i="20"/>
  <c r="AJ128" i="20"/>
  <c r="AK128" i="20"/>
  <c r="AL128" i="20"/>
  <c r="AM128" i="20"/>
  <c r="AN128" i="20"/>
  <c r="AO128" i="20"/>
  <c r="AP128" i="20"/>
  <c r="AQ128" i="20"/>
  <c r="AR128" i="20"/>
  <c r="AS128" i="20"/>
  <c r="AT128" i="20"/>
  <c r="AU128" i="20"/>
  <c r="AV128" i="20"/>
  <c r="AW128" i="20"/>
  <c r="AX128" i="20"/>
  <c r="AY128" i="20"/>
  <c r="AZ128" i="20"/>
  <c r="BA128" i="20"/>
  <c r="BB128" i="20"/>
  <c r="BC128" i="20"/>
  <c r="BD128" i="20"/>
  <c r="BE128" i="20"/>
  <c r="BF128" i="20"/>
  <c r="BG128" i="20"/>
  <c r="BH128" i="20"/>
  <c r="BI128" i="20"/>
  <c r="BJ128" i="20"/>
  <c r="BK128" i="20"/>
  <c r="BL128" i="20"/>
  <c r="BM128" i="20"/>
  <c r="BN128" i="20"/>
  <c r="BO128" i="20"/>
  <c r="BP128" i="20"/>
  <c r="BQ128" i="20"/>
  <c r="BR128" i="20"/>
  <c r="BS128" i="20"/>
  <c r="L128" i="20"/>
  <c r="M129" i="20"/>
  <c r="N129" i="20"/>
  <c r="O129" i="20"/>
  <c r="P129" i="20"/>
  <c r="Q129" i="20"/>
  <c r="R129" i="20"/>
  <c r="S129" i="20"/>
  <c r="T129" i="20"/>
  <c r="U129" i="20"/>
  <c r="V129" i="20"/>
  <c r="W129" i="20"/>
  <c r="X129" i="20"/>
  <c r="Y129" i="20"/>
  <c r="Z129" i="20"/>
  <c r="AA129" i="20"/>
  <c r="AB129" i="20"/>
  <c r="AC129" i="20"/>
  <c r="AD129" i="20"/>
  <c r="AE129" i="20"/>
  <c r="AF129" i="20"/>
  <c r="AG129" i="20"/>
  <c r="AH129" i="20"/>
  <c r="AI129" i="20"/>
  <c r="AJ129" i="20"/>
  <c r="AK129" i="20"/>
  <c r="AL129" i="20"/>
  <c r="AM129" i="20"/>
  <c r="AN129" i="20"/>
  <c r="AO129" i="20"/>
  <c r="AP129" i="20"/>
  <c r="AQ129" i="20"/>
  <c r="AR129" i="20"/>
  <c r="AS129" i="20"/>
  <c r="AT129" i="20"/>
  <c r="AU129" i="20"/>
  <c r="AV129" i="20"/>
  <c r="AW129" i="20"/>
  <c r="AX129" i="20"/>
  <c r="AY129" i="20"/>
  <c r="AZ129" i="20"/>
  <c r="BA129" i="20"/>
  <c r="BB129" i="20"/>
  <c r="BC129" i="20"/>
  <c r="BD129" i="20"/>
  <c r="BE129" i="20"/>
  <c r="BF129" i="20"/>
  <c r="BG129" i="20"/>
  <c r="BH129" i="20"/>
  <c r="BI129" i="20"/>
  <c r="BJ129" i="20"/>
  <c r="BK129" i="20"/>
  <c r="BL129" i="20"/>
  <c r="BM129" i="20"/>
  <c r="BN129" i="20"/>
  <c r="BO129" i="20"/>
  <c r="BP129" i="20"/>
  <c r="BQ129" i="20"/>
  <c r="BR129" i="20"/>
  <c r="BS129" i="20"/>
  <c r="L129" i="20"/>
  <c r="M117" i="20"/>
  <c r="N117" i="20"/>
  <c r="O117" i="20"/>
  <c r="P117" i="20"/>
  <c r="Q117" i="20"/>
  <c r="R117" i="20"/>
  <c r="S117" i="20"/>
  <c r="T117" i="20"/>
  <c r="U117" i="20"/>
  <c r="V117" i="20"/>
  <c r="W117" i="20"/>
  <c r="X117" i="20"/>
  <c r="Y117" i="20"/>
  <c r="Z117" i="20"/>
  <c r="AA117" i="20"/>
  <c r="AB117" i="20"/>
  <c r="AC117" i="20"/>
  <c r="AD117" i="20"/>
  <c r="AE117" i="20"/>
  <c r="AF117" i="20"/>
  <c r="AG117" i="20"/>
  <c r="AH117" i="20"/>
  <c r="AI117" i="20"/>
  <c r="AJ117" i="20"/>
  <c r="AK117" i="20"/>
  <c r="AL117" i="20"/>
  <c r="AM117" i="20"/>
  <c r="AN117" i="20"/>
  <c r="AO117" i="20"/>
  <c r="AP117" i="20"/>
  <c r="AQ117" i="20"/>
  <c r="AR117" i="20"/>
  <c r="AS117" i="20"/>
  <c r="AT117" i="20"/>
  <c r="AU117" i="20"/>
  <c r="AV117" i="20"/>
  <c r="AW117" i="20"/>
  <c r="AX117" i="20"/>
  <c r="AY117" i="20"/>
  <c r="AZ117" i="20"/>
  <c r="BA117" i="20"/>
  <c r="BB117" i="20"/>
  <c r="BC117" i="20"/>
  <c r="BD117" i="20"/>
  <c r="BE117" i="20"/>
  <c r="BF117" i="20"/>
  <c r="BG117" i="20"/>
  <c r="BH117" i="20"/>
  <c r="BI117" i="20"/>
  <c r="BJ117" i="20"/>
  <c r="BK117" i="20"/>
  <c r="BL117" i="20"/>
  <c r="BM117" i="20"/>
  <c r="BN117" i="20"/>
  <c r="BO117" i="20"/>
  <c r="BP117" i="20"/>
  <c r="BQ117" i="20"/>
  <c r="BR117" i="20"/>
  <c r="BS117" i="20"/>
  <c r="L117" i="20"/>
  <c r="M116" i="20"/>
  <c r="N116" i="20"/>
  <c r="O116" i="20"/>
  <c r="P116" i="20"/>
  <c r="Q116" i="20"/>
  <c r="R116" i="20"/>
  <c r="S116" i="20"/>
  <c r="T116" i="20"/>
  <c r="U116" i="20"/>
  <c r="V116" i="20"/>
  <c r="W116" i="20"/>
  <c r="X116" i="20"/>
  <c r="Y116" i="20"/>
  <c r="Z116" i="20"/>
  <c r="AA116" i="20"/>
  <c r="AB116" i="20"/>
  <c r="AC116" i="20"/>
  <c r="AD116" i="20"/>
  <c r="AE116" i="20"/>
  <c r="AF116" i="20"/>
  <c r="AG116" i="20"/>
  <c r="AH116" i="20"/>
  <c r="AI116" i="20"/>
  <c r="AJ116" i="20"/>
  <c r="AK116" i="20"/>
  <c r="AL116" i="20"/>
  <c r="AM116" i="20"/>
  <c r="AN116" i="20"/>
  <c r="AO116" i="20"/>
  <c r="AP116" i="20"/>
  <c r="AQ116" i="20"/>
  <c r="AR116" i="20"/>
  <c r="AS116" i="20"/>
  <c r="AT116" i="20"/>
  <c r="AU116" i="20"/>
  <c r="AV116" i="20"/>
  <c r="AW116" i="20"/>
  <c r="AX116" i="20"/>
  <c r="AY116" i="20"/>
  <c r="AZ116" i="20"/>
  <c r="BA116" i="20"/>
  <c r="BB116" i="20"/>
  <c r="BC116" i="20"/>
  <c r="BD116" i="20"/>
  <c r="BE116" i="20"/>
  <c r="BF116" i="20"/>
  <c r="BG116" i="20"/>
  <c r="BH116" i="20"/>
  <c r="BI116" i="20"/>
  <c r="BJ116" i="20"/>
  <c r="BK116" i="20"/>
  <c r="BL116" i="20"/>
  <c r="BM116" i="20"/>
  <c r="BN116" i="20"/>
  <c r="BO116" i="20"/>
  <c r="BP116" i="20"/>
  <c r="BQ116" i="20"/>
  <c r="BR116" i="20"/>
  <c r="BS116" i="20"/>
  <c r="L116" i="20"/>
  <c r="G139" i="1"/>
  <c r="G130" i="1"/>
  <c r="G121" i="1"/>
  <c r="M139" i="1"/>
  <c r="N139" i="1"/>
  <c r="O139" i="1"/>
  <c r="P139" i="1"/>
  <c r="Q139" i="1"/>
  <c r="R139" i="1"/>
  <c r="S139" i="1"/>
  <c r="T139" i="1"/>
  <c r="Y139" i="1"/>
  <c r="Z139" i="1"/>
  <c r="L139" i="1"/>
  <c r="C142" i="1"/>
  <c r="C143" i="1" s="1"/>
  <c r="C144" i="1" s="1"/>
  <c r="C145" i="1" s="1"/>
  <c r="D141" i="1" a="1"/>
  <c r="D141" i="1" s="1"/>
  <c r="M130" i="1"/>
  <c r="N130" i="1"/>
  <c r="O130" i="1"/>
  <c r="P130" i="1"/>
  <c r="Q130" i="1"/>
  <c r="R130" i="1"/>
  <c r="S130" i="1"/>
  <c r="T130" i="1"/>
  <c r="U130" i="1"/>
  <c r="V130" i="1"/>
  <c r="W130" i="1"/>
  <c r="X130" i="1"/>
  <c r="Y130" i="1"/>
  <c r="Z130" i="1"/>
  <c r="L130" i="1"/>
  <c r="C133" i="1"/>
  <c r="C134" i="1" s="1"/>
  <c r="C135" i="1" s="1"/>
  <c r="C136" i="1" s="1"/>
  <c r="D132" i="1" a="1"/>
  <c r="D132" i="1" s="1"/>
  <c r="M121" i="1"/>
  <c r="N121" i="1"/>
  <c r="O121" i="1"/>
  <c r="P121" i="1"/>
  <c r="Q121" i="1"/>
  <c r="R121" i="1"/>
  <c r="S121" i="1"/>
  <c r="T121" i="1"/>
  <c r="Y121" i="1"/>
  <c r="Z121" i="1"/>
  <c r="L121" i="1"/>
  <c r="C124" i="1"/>
  <c r="C125" i="1" s="1"/>
  <c r="C126" i="1" s="1"/>
  <c r="C127" i="1" s="1"/>
  <c r="D123" i="1" a="1"/>
  <c r="D123" i="1" s="1"/>
  <c r="I264" i="20"/>
  <c r="M130" i="20"/>
  <c r="N130" i="20"/>
  <c r="O130" i="20"/>
  <c r="P130" i="20"/>
  <c r="Q130" i="20"/>
  <c r="R130" i="20"/>
  <c r="S130" i="20"/>
  <c r="T130" i="20"/>
  <c r="U130" i="20"/>
  <c r="V130" i="20"/>
  <c r="W130" i="20"/>
  <c r="X130" i="20"/>
  <c r="Y130" i="20"/>
  <c r="Z130" i="20"/>
  <c r="AA130" i="20"/>
  <c r="AB130" i="20"/>
  <c r="AC130" i="20"/>
  <c r="AD130" i="20"/>
  <c r="AE130" i="20"/>
  <c r="AF130" i="20"/>
  <c r="AG130" i="20"/>
  <c r="AH130" i="20"/>
  <c r="AI130" i="20"/>
  <c r="AJ130" i="20"/>
  <c r="AK130" i="20"/>
  <c r="AL130" i="20"/>
  <c r="AM130" i="20"/>
  <c r="AN130" i="20"/>
  <c r="AO130" i="20"/>
  <c r="AP130" i="20"/>
  <c r="AQ130" i="20"/>
  <c r="AR130" i="20"/>
  <c r="AS130" i="20"/>
  <c r="AT130" i="20"/>
  <c r="AU130" i="20"/>
  <c r="AV130" i="20"/>
  <c r="AW130" i="20"/>
  <c r="AX130" i="20"/>
  <c r="AY130" i="20"/>
  <c r="AZ130" i="20"/>
  <c r="BA130" i="20"/>
  <c r="BB130" i="20"/>
  <c r="BC130" i="20"/>
  <c r="BD130" i="20"/>
  <c r="BE130" i="20"/>
  <c r="BF130" i="20"/>
  <c r="BG130" i="20"/>
  <c r="BH130" i="20"/>
  <c r="BI130" i="20"/>
  <c r="BJ130" i="20"/>
  <c r="BK130" i="20"/>
  <c r="BL130" i="20"/>
  <c r="BM130" i="20"/>
  <c r="BN130" i="20"/>
  <c r="BO130" i="20"/>
  <c r="BP130" i="20"/>
  <c r="BQ130" i="20"/>
  <c r="BR130" i="20"/>
  <c r="BS130" i="20"/>
  <c r="L130" i="20"/>
  <c r="M118" i="20"/>
  <c r="N118" i="20"/>
  <c r="O118" i="20"/>
  <c r="P118" i="20"/>
  <c r="Q118" i="20"/>
  <c r="R118" i="20"/>
  <c r="S118" i="20"/>
  <c r="T118" i="20"/>
  <c r="U118" i="20"/>
  <c r="V118" i="20"/>
  <c r="W118" i="20"/>
  <c r="X118" i="20"/>
  <c r="Y118" i="20"/>
  <c r="Z118" i="20"/>
  <c r="AA118" i="20"/>
  <c r="AB118" i="20"/>
  <c r="AC118" i="20"/>
  <c r="AD118" i="20"/>
  <c r="AE118" i="20"/>
  <c r="AF118" i="20"/>
  <c r="AG118" i="20"/>
  <c r="AH118" i="20"/>
  <c r="AI118" i="20"/>
  <c r="AJ118" i="20"/>
  <c r="AK118" i="20"/>
  <c r="AL118" i="20"/>
  <c r="AM118" i="20"/>
  <c r="AN118" i="20"/>
  <c r="AO118" i="20"/>
  <c r="AP118" i="20"/>
  <c r="AQ118" i="20"/>
  <c r="AR118" i="20"/>
  <c r="AS118" i="20"/>
  <c r="AT118" i="20"/>
  <c r="AU118" i="20"/>
  <c r="AV118" i="20"/>
  <c r="AW118" i="20"/>
  <c r="AX118" i="20"/>
  <c r="AY118" i="20"/>
  <c r="AZ118" i="20"/>
  <c r="BA118" i="20"/>
  <c r="BB118" i="20"/>
  <c r="BC118" i="20"/>
  <c r="BD118" i="20"/>
  <c r="BE118" i="20"/>
  <c r="BF118" i="20"/>
  <c r="BG118" i="20"/>
  <c r="BH118" i="20"/>
  <c r="BI118" i="20"/>
  <c r="BJ118" i="20"/>
  <c r="BK118" i="20"/>
  <c r="BL118" i="20"/>
  <c r="BM118" i="20"/>
  <c r="BN118" i="20"/>
  <c r="BO118" i="20"/>
  <c r="BP118" i="20"/>
  <c r="BQ118" i="20"/>
  <c r="BR118" i="20"/>
  <c r="BS118" i="20"/>
  <c r="L118" i="20"/>
  <c r="M70" i="1"/>
  <c r="N70" i="1"/>
  <c r="O70" i="1"/>
  <c r="P70" i="1"/>
  <c r="Q70" i="1"/>
  <c r="R70" i="1"/>
  <c r="S70" i="1"/>
  <c r="T70" i="1"/>
  <c r="U70" i="1"/>
  <c r="V70" i="1"/>
  <c r="W70" i="1"/>
  <c r="X70" i="1"/>
  <c r="Y70" i="1"/>
  <c r="Z70" i="1"/>
  <c r="M149" i="1"/>
  <c r="N149" i="1"/>
  <c r="O149" i="1"/>
  <c r="P149" i="1"/>
  <c r="Q149" i="1"/>
  <c r="R149" i="1"/>
  <c r="S149" i="1"/>
  <c r="T149" i="1"/>
  <c r="U149" i="1"/>
  <c r="V149" i="1"/>
  <c r="W149" i="1"/>
  <c r="X149" i="1"/>
  <c r="Y149" i="1"/>
  <c r="Z149" i="1"/>
  <c r="L149" i="1"/>
  <c r="C152" i="1"/>
  <c r="C153" i="1" s="1"/>
  <c r="C154" i="1" s="1"/>
  <c r="C155" i="1" s="1"/>
  <c r="D151" i="1" a="1"/>
  <c r="D151" i="1" s="1"/>
  <c r="G149" i="1"/>
  <c r="M218" i="1"/>
  <c r="N218" i="1"/>
  <c r="O218" i="1"/>
  <c r="P218" i="1"/>
  <c r="Q218" i="1"/>
  <c r="R218" i="1"/>
  <c r="S218" i="1"/>
  <c r="T218" i="1"/>
  <c r="U218" i="1"/>
  <c r="V218" i="1"/>
  <c r="W218" i="1"/>
  <c r="X218" i="1"/>
  <c r="Y218" i="1"/>
  <c r="Z218" i="1"/>
  <c r="L218" i="1"/>
  <c r="I224" i="1"/>
  <c r="I223" i="1"/>
  <c r="I222" i="1"/>
  <c r="I221" i="1"/>
  <c r="C221" i="1"/>
  <c r="C222" i="1" s="1"/>
  <c r="C223" i="1" s="1"/>
  <c r="C224" i="1" s="1"/>
  <c r="I220" i="1"/>
  <c r="D220" i="1" a="1"/>
  <c r="D220" i="1" s="1"/>
  <c r="G218" i="1"/>
  <c r="I215" i="1"/>
  <c r="I206" i="1"/>
  <c r="I197" i="1"/>
  <c r="I185" i="1"/>
  <c r="I167" i="1"/>
  <c r="M109" i="1"/>
  <c r="N109" i="1"/>
  <c r="O109" i="1"/>
  <c r="P109" i="1"/>
  <c r="Q109" i="1"/>
  <c r="R109" i="1"/>
  <c r="S109" i="1"/>
  <c r="T109" i="1"/>
  <c r="U109" i="1"/>
  <c r="V109" i="1"/>
  <c r="W109" i="1"/>
  <c r="X109" i="1"/>
  <c r="Y109" i="1"/>
  <c r="Z109" i="1"/>
  <c r="L109" i="1"/>
  <c r="M100" i="1"/>
  <c r="N100" i="1"/>
  <c r="O100" i="1"/>
  <c r="P100" i="1"/>
  <c r="Q100" i="1"/>
  <c r="R100" i="1"/>
  <c r="S100" i="1"/>
  <c r="T100" i="1"/>
  <c r="U100" i="1"/>
  <c r="V100" i="1"/>
  <c r="W100" i="1"/>
  <c r="X100" i="1"/>
  <c r="Y100" i="1"/>
  <c r="Z100" i="1"/>
  <c r="L100" i="1"/>
  <c r="M91" i="1"/>
  <c r="N91" i="1"/>
  <c r="O91" i="1"/>
  <c r="P91" i="1"/>
  <c r="Q91" i="1"/>
  <c r="R91" i="1"/>
  <c r="S91" i="1"/>
  <c r="T91" i="1"/>
  <c r="U91" i="1"/>
  <c r="V91" i="1"/>
  <c r="W91" i="1"/>
  <c r="X91" i="1"/>
  <c r="Y91" i="1"/>
  <c r="Z91" i="1"/>
  <c r="L91" i="1"/>
  <c r="I105" i="1"/>
  <c r="I113" i="1"/>
  <c r="C112" i="1"/>
  <c r="C113" i="1" s="1"/>
  <c r="C114" i="1" s="1"/>
  <c r="C115" i="1" s="1"/>
  <c r="D111" i="1" a="1"/>
  <c r="D113" i="1" s="1"/>
  <c r="G109" i="1"/>
  <c r="I103" i="1"/>
  <c r="C103" i="1"/>
  <c r="C104" i="1" s="1"/>
  <c r="C105" i="1" s="1"/>
  <c r="C106" i="1" s="1"/>
  <c r="I102" i="1"/>
  <c r="D102" i="1" a="1"/>
  <c r="D106" i="1" s="1"/>
  <c r="G100" i="1"/>
  <c r="I97" i="1"/>
  <c r="I96" i="1"/>
  <c r="I95" i="1"/>
  <c r="I94" i="1"/>
  <c r="C94" i="1"/>
  <c r="C95" i="1" s="1"/>
  <c r="C96" i="1" s="1"/>
  <c r="C97" i="1" s="1"/>
  <c r="I93" i="1"/>
  <c r="D93" i="1" a="1"/>
  <c r="D94" i="1" s="1"/>
  <c r="G91" i="1"/>
  <c r="I73" i="1"/>
  <c r="I72" i="1"/>
  <c r="I67" i="1"/>
  <c r="I66" i="1"/>
  <c r="I65" i="1"/>
  <c r="I64" i="1"/>
  <c r="I63" i="1"/>
  <c r="R85" i="1"/>
  <c r="I84" i="1"/>
  <c r="I82" i="1"/>
  <c r="Q75" i="1"/>
  <c r="R75" i="1" s="1"/>
  <c r="R112" i="9" s="1"/>
  <c r="O75" i="1"/>
  <c r="O112" i="9" s="1"/>
  <c r="D81" i="1" a="1"/>
  <c r="D81" i="1" s="1"/>
  <c r="L70" i="1"/>
  <c r="C73" i="1"/>
  <c r="C74" i="1" s="1"/>
  <c r="C75" i="1" s="1"/>
  <c r="C76" i="1" s="1"/>
  <c r="D72" i="1" a="1"/>
  <c r="D75" i="1" s="1"/>
  <c r="G70" i="1"/>
  <c r="D63" i="1" a="1"/>
  <c r="D63" i="1" s="1"/>
  <c r="G400" i="20"/>
  <c r="Q112" i="9" l="1"/>
  <c r="S207" i="17"/>
  <c r="R251" i="17"/>
  <c r="R220" i="17"/>
  <c r="R229" i="17" s="1"/>
  <c r="R240" i="17" s="1"/>
  <c r="I85" i="1"/>
  <c r="R115" i="1"/>
  <c r="R111" i="23"/>
  <c r="T245" i="17" a="1"/>
  <c r="T245" i="17" s="1"/>
  <c r="L245" i="17" a="1"/>
  <c r="L245" i="17" s="1"/>
  <c r="P83" i="25" a="1"/>
  <c r="P83" i="25" s="1"/>
  <c r="N83" i="25" s="1"/>
  <c r="P82" i="25" a="1"/>
  <c r="P82" i="25" s="1"/>
  <c r="N82" i="25" s="1"/>
  <c r="P81" i="25" a="1"/>
  <c r="P81" i="25" s="1"/>
  <c r="N81" i="25" s="1"/>
  <c r="P78" i="25" a="1"/>
  <c r="P78" i="25" s="1"/>
  <c r="N78" i="25" s="1"/>
  <c r="P77" i="25" a="1"/>
  <c r="P77" i="25" s="1"/>
  <c r="N77" i="25" s="1"/>
  <c r="P76" i="25" a="1"/>
  <c r="P76" i="25" s="1"/>
  <c r="N76" i="25" s="1"/>
  <c r="P129" i="23"/>
  <c r="O130" i="23"/>
  <c r="Q117" i="23"/>
  <c r="P118" i="23"/>
  <c r="X112" i="23"/>
  <c r="X115" i="23"/>
  <c r="Y115" i="23" s="1"/>
  <c r="Z115" i="23" s="1"/>
  <c r="AA115" i="23" s="1"/>
  <c r="AB115" i="23" s="1"/>
  <c r="AC115" i="23" s="1"/>
  <c r="AD115" i="23" s="1"/>
  <c r="AE115" i="23" s="1"/>
  <c r="AF115" i="23" s="1"/>
  <c r="AG115" i="23" s="1"/>
  <c r="AH115" i="23" s="1"/>
  <c r="AI115" i="23" s="1"/>
  <c r="AJ115" i="23" s="1"/>
  <c r="AK115" i="23" s="1"/>
  <c r="AL115" i="23" s="1"/>
  <c r="AM115" i="23" s="1"/>
  <c r="AN115" i="23" s="1"/>
  <c r="AO115" i="23" s="1"/>
  <c r="AP115" i="23" s="1"/>
  <c r="AQ115" i="23" s="1"/>
  <c r="AR115" i="23" s="1"/>
  <c r="AS115" i="23" s="1"/>
  <c r="AT115" i="23" s="1"/>
  <c r="AU115" i="23" s="1"/>
  <c r="AV115" i="23" s="1"/>
  <c r="AW115" i="23" s="1"/>
  <c r="AX115" i="23" s="1"/>
  <c r="AY115" i="23" s="1"/>
  <c r="AZ115" i="23" s="1"/>
  <c r="BA115" i="23" s="1"/>
  <c r="BB115" i="23" s="1"/>
  <c r="BC115" i="23" s="1"/>
  <c r="BD115" i="23" s="1"/>
  <c r="BE115" i="23" s="1"/>
  <c r="BF115" i="23" s="1"/>
  <c r="BG115" i="23" s="1"/>
  <c r="BH115" i="23" s="1"/>
  <c r="BI115" i="23" s="1"/>
  <c r="BJ115" i="23" s="1"/>
  <c r="BK115" i="23" s="1"/>
  <c r="BL115" i="23" s="1"/>
  <c r="BM115" i="23" s="1"/>
  <c r="BN115" i="23" s="1"/>
  <c r="BO115" i="23" s="1"/>
  <c r="BP115" i="23" s="1"/>
  <c r="BQ115" i="23" s="1"/>
  <c r="BR115" i="23" s="1"/>
  <c r="BS115" i="23" s="1"/>
  <c r="I109" i="23"/>
  <c r="P16" i="25" a="1"/>
  <c r="P16" i="25" s="1"/>
  <c r="N16" i="25" s="1"/>
  <c r="P15" i="25" a="1"/>
  <c r="P15" i="25" s="1"/>
  <c r="N15" i="25" s="1"/>
  <c r="P14" i="25" a="1"/>
  <c r="P14" i="25" s="1"/>
  <c r="N14" i="25" s="1"/>
  <c r="P11" i="25" a="1"/>
  <c r="P11" i="25" s="1"/>
  <c r="N11" i="25" s="1"/>
  <c r="P10" i="25" a="1"/>
  <c r="P10" i="25" s="1"/>
  <c r="N10" i="25" s="1"/>
  <c r="P9" i="25" a="1"/>
  <c r="P9" i="25" s="1"/>
  <c r="N9" i="25" s="1"/>
  <c r="M172" i="23"/>
  <c r="M171" i="23"/>
  <c r="I87" i="22"/>
  <c r="H83" i="21" a="1"/>
  <c r="H83" i="21" s="1"/>
  <c r="I60" i="22"/>
  <c r="H58" i="21" a="1"/>
  <c r="I136" i="22"/>
  <c r="H79" i="21" a="1"/>
  <c r="H79" i="21" s="1"/>
  <c r="I51" i="22"/>
  <c r="Q36" i="21" a="1"/>
  <c r="Q36" i="21" s="1"/>
  <c r="Q34" i="21" a="1"/>
  <c r="Q35" i="21" a="1"/>
  <c r="Q35" i="21" s="1"/>
  <c r="Q31" i="21" a="1"/>
  <c r="Q31" i="21" s="1"/>
  <c r="Q30" i="21" a="1"/>
  <c r="Q30" i="21" s="1"/>
  <c r="Q29" i="21" a="1"/>
  <c r="Q29" i="21" s="1"/>
  <c r="Q26" i="21" a="1"/>
  <c r="Q26" i="21" s="1"/>
  <c r="Q25" i="21" a="1"/>
  <c r="Q25" i="21" s="1"/>
  <c r="Q24" i="21" a="1"/>
  <c r="Q24" i="21" s="1"/>
  <c r="H142" i="21" a="1"/>
  <c r="H142" i="21" s="1"/>
  <c r="H66" i="21" a="1"/>
  <c r="H82" i="21" a="1"/>
  <c r="H81" i="21" a="1"/>
  <c r="H78" i="21" a="1"/>
  <c r="H60" i="21" a="1"/>
  <c r="H59" i="21" a="1"/>
  <c r="H57" i="21" a="1"/>
  <c r="H50" i="21" a="1"/>
  <c r="H49" i="21" a="1"/>
  <c r="H43" i="21" a="1"/>
  <c r="H42" i="21" a="1"/>
  <c r="H42" i="21" s="1"/>
  <c r="H39" i="21" a="1"/>
  <c r="H36" i="21" a="1"/>
  <c r="H35" i="21" a="1"/>
  <c r="H34" i="21" a="1"/>
  <c r="H31" i="21" a="1"/>
  <c r="H30" i="21" a="1"/>
  <c r="H29" i="21" a="1"/>
  <c r="H25" i="21" a="1"/>
  <c r="Q127" i="23"/>
  <c r="L117" i="9"/>
  <c r="M117" i="9" s="1"/>
  <c r="N117" i="9" s="1"/>
  <c r="O117" i="9" s="1"/>
  <c r="P117" i="9" s="1"/>
  <c r="Q117" i="9" s="1"/>
  <c r="R117" i="9" s="1"/>
  <c r="S117" i="9" s="1"/>
  <c r="T117" i="9" s="1"/>
  <c r="U117" i="9" s="1"/>
  <c r="V117" i="9" s="1"/>
  <c r="W117" i="9" s="1"/>
  <c r="X117" i="9" s="1"/>
  <c r="Y117" i="9" s="1"/>
  <c r="Z117" i="9" s="1"/>
  <c r="AA117" i="9" s="1"/>
  <c r="AB117" i="9" s="1"/>
  <c r="AC117" i="9" s="1"/>
  <c r="AD117" i="9" s="1"/>
  <c r="AE117" i="9" s="1"/>
  <c r="AF117" i="9" s="1"/>
  <c r="AG117" i="9" s="1"/>
  <c r="AH117" i="9" s="1"/>
  <c r="AI117" i="9" s="1"/>
  <c r="AJ117" i="9" s="1"/>
  <c r="AK117" i="9" s="1"/>
  <c r="AL117" i="9" s="1"/>
  <c r="AM117" i="9" s="1"/>
  <c r="AN117" i="9" s="1"/>
  <c r="AO117" i="9" s="1"/>
  <c r="AP117" i="9" s="1"/>
  <c r="AQ117" i="9" s="1"/>
  <c r="AR117" i="9" s="1"/>
  <c r="AS117" i="9" s="1"/>
  <c r="AT117" i="9" s="1"/>
  <c r="AU117" i="9" s="1"/>
  <c r="AV117" i="9" s="1"/>
  <c r="AW117" i="9" s="1"/>
  <c r="AX117" i="9" s="1"/>
  <c r="AY117" i="9" s="1"/>
  <c r="AZ117" i="9" s="1"/>
  <c r="BA117" i="9" s="1"/>
  <c r="BB117" i="9" s="1"/>
  <c r="BC117" i="9" s="1"/>
  <c r="BD117" i="9" s="1"/>
  <c r="BE117" i="9" s="1"/>
  <c r="BF117" i="9" s="1"/>
  <c r="BG117" i="9" s="1"/>
  <c r="BH117" i="9" s="1"/>
  <c r="BI117" i="9" s="1"/>
  <c r="BJ117" i="9" s="1"/>
  <c r="BK117" i="9" s="1"/>
  <c r="BL117" i="9" s="1"/>
  <c r="BM117" i="9" s="1"/>
  <c r="BN117" i="9" s="1"/>
  <c r="BO117" i="9" s="1"/>
  <c r="BP117" i="9" s="1"/>
  <c r="BQ117" i="9" s="1"/>
  <c r="BR117" i="9" s="1"/>
  <c r="BS117" i="9" s="1"/>
  <c r="L119" i="9"/>
  <c r="M119" i="9" s="1"/>
  <c r="N119" i="9" s="1"/>
  <c r="M131" i="18"/>
  <c r="N131" i="18" s="1"/>
  <c r="O131" i="18" s="1"/>
  <c r="P131" i="18" s="1"/>
  <c r="Q131" i="18" s="1"/>
  <c r="R131" i="18" s="1"/>
  <c r="S131" i="18" s="1"/>
  <c r="T131" i="18" s="1"/>
  <c r="U131" i="18" s="1"/>
  <c r="V131" i="18" s="1"/>
  <c r="W131" i="18" s="1"/>
  <c r="X131" i="18" s="1"/>
  <c r="Y131" i="18" s="1"/>
  <c r="Z131" i="18" s="1"/>
  <c r="AA131" i="18" s="1"/>
  <c r="AB131" i="18" s="1"/>
  <c r="AC131" i="18" s="1"/>
  <c r="AD131" i="18" s="1"/>
  <c r="AE131" i="18" s="1"/>
  <c r="AF131" i="18" s="1"/>
  <c r="AG131" i="18" s="1"/>
  <c r="AH131" i="18" s="1"/>
  <c r="AI131" i="18" s="1"/>
  <c r="AJ131" i="18" s="1"/>
  <c r="AK131" i="18" s="1"/>
  <c r="AL131" i="18" s="1"/>
  <c r="AM131" i="18" s="1"/>
  <c r="AN131" i="18" s="1"/>
  <c r="AO131" i="18" s="1"/>
  <c r="AP131" i="18" s="1"/>
  <c r="AQ131" i="18" s="1"/>
  <c r="AR131" i="18" s="1"/>
  <c r="AS131" i="18" s="1"/>
  <c r="AT131" i="18" s="1"/>
  <c r="AU131" i="18" s="1"/>
  <c r="AV131" i="18" s="1"/>
  <c r="AW131" i="18" s="1"/>
  <c r="AX131" i="18" s="1"/>
  <c r="AY131" i="18" s="1"/>
  <c r="AZ131" i="18" s="1"/>
  <c r="BA131" i="18" s="1"/>
  <c r="BB131" i="18" s="1"/>
  <c r="BC131" i="18" s="1"/>
  <c r="BD131" i="18" s="1"/>
  <c r="BE131" i="18" s="1"/>
  <c r="BF131" i="18" s="1"/>
  <c r="BG131" i="18" s="1"/>
  <c r="BH131" i="18" s="1"/>
  <c r="BI131" i="18" s="1"/>
  <c r="BJ131" i="18" s="1"/>
  <c r="BK131" i="18" s="1"/>
  <c r="BL131" i="18" s="1"/>
  <c r="BM131" i="18" s="1"/>
  <c r="BN131" i="18" s="1"/>
  <c r="BO131" i="18" s="1"/>
  <c r="BP131" i="18" s="1"/>
  <c r="BQ131" i="18" s="1"/>
  <c r="BR131" i="18" s="1"/>
  <c r="BS131" i="18" s="1"/>
  <c r="L166" i="11"/>
  <c r="L179" i="15" s="1"/>
  <c r="M179" i="15"/>
  <c r="L165" i="11"/>
  <c r="L178" i="15" s="1"/>
  <c r="M178" i="15"/>
  <c r="I144" i="15"/>
  <c r="I143" i="15"/>
  <c r="I142" i="15"/>
  <c r="L145" i="15"/>
  <c r="I145" i="15" s="1"/>
  <c r="M129" i="11"/>
  <c r="N129" i="11" s="1"/>
  <c r="O129" i="11" s="1"/>
  <c r="P129" i="11" s="1"/>
  <c r="Q129" i="11" s="1"/>
  <c r="R129" i="11" s="1"/>
  <c r="S129" i="11" s="1"/>
  <c r="T129" i="11" s="1"/>
  <c r="U129" i="11" s="1"/>
  <c r="V129" i="11" s="1"/>
  <c r="W129" i="11" s="1"/>
  <c r="X129" i="11" s="1"/>
  <c r="Y129" i="11" s="1"/>
  <c r="Z129" i="11" s="1"/>
  <c r="AA129" i="11" s="1"/>
  <c r="AB129" i="11" s="1"/>
  <c r="AC129" i="11" s="1"/>
  <c r="AD129" i="11" s="1"/>
  <c r="AE129" i="11" s="1"/>
  <c r="AF129" i="11" s="1"/>
  <c r="AG129" i="11" s="1"/>
  <c r="AH129" i="11" s="1"/>
  <c r="AI129" i="11" s="1"/>
  <c r="AJ129" i="11" s="1"/>
  <c r="AK129" i="11" s="1"/>
  <c r="AL129" i="11" s="1"/>
  <c r="AM129" i="11" s="1"/>
  <c r="AN129" i="11" s="1"/>
  <c r="AO129" i="11" s="1"/>
  <c r="AP129" i="11" s="1"/>
  <c r="AQ129" i="11" s="1"/>
  <c r="AR129" i="11" s="1"/>
  <c r="AS129" i="11" s="1"/>
  <c r="AT129" i="11" s="1"/>
  <c r="AU129" i="11" s="1"/>
  <c r="AV129" i="11" s="1"/>
  <c r="AW129" i="11" s="1"/>
  <c r="AX129" i="11" s="1"/>
  <c r="AY129" i="11" s="1"/>
  <c r="AZ129" i="11" s="1"/>
  <c r="BA129" i="11" s="1"/>
  <c r="BB129" i="11" s="1"/>
  <c r="BC129" i="11" s="1"/>
  <c r="BD129" i="11" s="1"/>
  <c r="BE129" i="11" s="1"/>
  <c r="BF129" i="11" s="1"/>
  <c r="BG129" i="11" s="1"/>
  <c r="BH129" i="11" s="1"/>
  <c r="BI129" i="11" s="1"/>
  <c r="BJ129" i="11" s="1"/>
  <c r="BK129" i="11" s="1"/>
  <c r="BL129" i="11" s="1"/>
  <c r="BM129" i="11" s="1"/>
  <c r="BN129" i="11" s="1"/>
  <c r="BO129" i="11" s="1"/>
  <c r="BP129" i="11" s="1"/>
  <c r="BQ129" i="11" s="1"/>
  <c r="BR129" i="11" s="1"/>
  <c r="BS129" i="11" s="1"/>
  <c r="I131" i="15"/>
  <c r="L133" i="15"/>
  <c r="I137" i="11"/>
  <c r="L130" i="9"/>
  <c r="M130" i="9" s="1"/>
  <c r="N130" i="9" s="1"/>
  <c r="O130" i="9" s="1"/>
  <c r="P130" i="9" s="1"/>
  <c r="Q130" i="9" s="1"/>
  <c r="R130" i="9" s="1"/>
  <c r="S130" i="9" s="1"/>
  <c r="T130" i="9" s="1"/>
  <c r="U130" i="9" s="1"/>
  <c r="V130" i="9" s="1"/>
  <c r="W130" i="9" s="1"/>
  <c r="X130" i="9" s="1"/>
  <c r="Y130" i="9" s="1"/>
  <c r="Z130" i="9" s="1"/>
  <c r="AA130" i="9" s="1"/>
  <c r="AB130" i="9" s="1"/>
  <c r="AC130" i="9" s="1"/>
  <c r="AD130" i="9" s="1"/>
  <c r="AE130" i="9" s="1"/>
  <c r="AF130" i="9" s="1"/>
  <c r="AG130" i="9" s="1"/>
  <c r="AH130" i="9" s="1"/>
  <c r="AI130" i="9" s="1"/>
  <c r="AJ130" i="9" s="1"/>
  <c r="AK130" i="9" s="1"/>
  <c r="AL130" i="9" s="1"/>
  <c r="AM130" i="9" s="1"/>
  <c r="AN130" i="9" s="1"/>
  <c r="AO130" i="9" s="1"/>
  <c r="AP130" i="9" s="1"/>
  <c r="AQ130" i="9" s="1"/>
  <c r="AR130" i="9" s="1"/>
  <c r="AS130" i="9" s="1"/>
  <c r="AT130" i="9" s="1"/>
  <c r="AU130" i="9" s="1"/>
  <c r="AV130" i="9" s="1"/>
  <c r="AW130" i="9" s="1"/>
  <c r="AX130" i="9" s="1"/>
  <c r="AY130" i="9" s="1"/>
  <c r="AZ130" i="9" s="1"/>
  <c r="BA130" i="9" s="1"/>
  <c r="BB130" i="9" s="1"/>
  <c r="BC130" i="9" s="1"/>
  <c r="BD130" i="9" s="1"/>
  <c r="BE130" i="9" s="1"/>
  <c r="BF130" i="9" s="1"/>
  <c r="BG130" i="9" s="1"/>
  <c r="BH130" i="9" s="1"/>
  <c r="BI130" i="9" s="1"/>
  <c r="BJ130" i="9" s="1"/>
  <c r="BK130" i="9" s="1"/>
  <c r="BL130" i="9" s="1"/>
  <c r="BM130" i="9" s="1"/>
  <c r="BN130" i="9" s="1"/>
  <c r="BO130" i="9" s="1"/>
  <c r="BP130" i="9" s="1"/>
  <c r="BQ130" i="9" s="1"/>
  <c r="BR130" i="9" s="1"/>
  <c r="BS130" i="9" s="1"/>
  <c r="M141" i="11"/>
  <c r="L131" i="9"/>
  <c r="M131" i="9" s="1"/>
  <c r="N131" i="9" s="1"/>
  <c r="L129" i="9"/>
  <c r="M129" i="9" s="1"/>
  <c r="N129" i="9" s="1"/>
  <c r="O129" i="9" s="1"/>
  <c r="P129" i="9" s="1"/>
  <c r="Q129" i="9" s="1"/>
  <c r="R129" i="9" s="1"/>
  <c r="S129" i="9" s="1"/>
  <c r="T129" i="9" s="1"/>
  <c r="U129" i="9" s="1"/>
  <c r="V129" i="9" s="1"/>
  <c r="W129" i="9" s="1"/>
  <c r="X129" i="9" s="1"/>
  <c r="Y129" i="9" s="1"/>
  <c r="Z129" i="9" s="1"/>
  <c r="AA129" i="9" s="1"/>
  <c r="AB129" i="9" s="1"/>
  <c r="AC129" i="9" s="1"/>
  <c r="AD129" i="9" s="1"/>
  <c r="AE129" i="9" s="1"/>
  <c r="AF129" i="9" s="1"/>
  <c r="AG129" i="9" s="1"/>
  <c r="AH129" i="9" s="1"/>
  <c r="AI129" i="9" s="1"/>
  <c r="AJ129" i="9" s="1"/>
  <c r="AK129" i="9" s="1"/>
  <c r="AL129" i="9" s="1"/>
  <c r="AM129" i="9" s="1"/>
  <c r="AN129" i="9" s="1"/>
  <c r="AO129" i="9" s="1"/>
  <c r="AP129" i="9" s="1"/>
  <c r="AQ129" i="9" s="1"/>
  <c r="AR129" i="9" s="1"/>
  <c r="AS129" i="9" s="1"/>
  <c r="AT129" i="9" s="1"/>
  <c r="AU129" i="9" s="1"/>
  <c r="AV129" i="9" s="1"/>
  <c r="AW129" i="9" s="1"/>
  <c r="AX129" i="9" s="1"/>
  <c r="AY129" i="9" s="1"/>
  <c r="AZ129" i="9" s="1"/>
  <c r="BA129" i="9" s="1"/>
  <c r="BB129" i="9" s="1"/>
  <c r="BC129" i="9" s="1"/>
  <c r="BD129" i="9" s="1"/>
  <c r="BE129" i="9" s="1"/>
  <c r="BF129" i="9" s="1"/>
  <c r="BG129" i="9" s="1"/>
  <c r="BH129" i="9" s="1"/>
  <c r="BI129" i="9" s="1"/>
  <c r="BJ129" i="9" s="1"/>
  <c r="BK129" i="9" s="1"/>
  <c r="BL129" i="9" s="1"/>
  <c r="BM129" i="9" s="1"/>
  <c r="BN129" i="9" s="1"/>
  <c r="BO129" i="9" s="1"/>
  <c r="BP129" i="9" s="1"/>
  <c r="BQ129" i="9" s="1"/>
  <c r="BR129" i="9" s="1"/>
  <c r="BS129" i="9" s="1"/>
  <c r="M140" i="11"/>
  <c r="M148" i="15" s="1"/>
  <c r="L118" i="9"/>
  <c r="M118" i="9" s="1"/>
  <c r="N118" i="9" s="1"/>
  <c r="O118" i="9" s="1"/>
  <c r="P118" i="9" s="1"/>
  <c r="Q118" i="9" s="1"/>
  <c r="R118" i="9" s="1"/>
  <c r="S118" i="9" s="1"/>
  <c r="T118" i="9" s="1"/>
  <c r="U118" i="9" s="1"/>
  <c r="V118" i="9" s="1"/>
  <c r="W118" i="9" s="1"/>
  <c r="X118" i="9" s="1"/>
  <c r="Y118" i="9" s="1"/>
  <c r="Z118" i="9" s="1"/>
  <c r="AA118" i="9" s="1"/>
  <c r="AB118" i="9" s="1"/>
  <c r="AC118" i="9" s="1"/>
  <c r="AD118" i="9" s="1"/>
  <c r="AE118" i="9" s="1"/>
  <c r="AF118" i="9" s="1"/>
  <c r="AG118" i="9" s="1"/>
  <c r="AH118" i="9" s="1"/>
  <c r="AI118" i="9" s="1"/>
  <c r="AJ118" i="9" s="1"/>
  <c r="AK118" i="9" s="1"/>
  <c r="AL118" i="9" s="1"/>
  <c r="AM118" i="9" s="1"/>
  <c r="AN118" i="9" s="1"/>
  <c r="AO118" i="9" s="1"/>
  <c r="AP118" i="9" s="1"/>
  <c r="AQ118" i="9" s="1"/>
  <c r="AR118" i="9" s="1"/>
  <c r="AS118" i="9" s="1"/>
  <c r="AT118" i="9" s="1"/>
  <c r="AU118" i="9" s="1"/>
  <c r="AV118" i="9" s="1"/>
  <c r="AW118" i="9" s="1"/>
  <c r="AX118" i="9" s="1"/>
  <c r="AY118" i="9" s="1"/>
  <c r="AZ118" i="9" s="1"/>
  <c r="BA118" i="9" s="1"/>
  <c r="BB118" i="9" s="1"/>
  <c r="BC118" i="9" s="1"/>
  <c r="BD118" i="9" s="1"/>
  <c r="BE118" i="9" s="1"/>
  <c r="BF118" i="9" s="1"/>
  <c r="BG118" i="9" s="1"/>
  <c r="BH118" i="9" s="1"/>
  <c r="BI118" i="9" s="1"/>
  <c r="BJ118" i="9" s="1"/>
  <c r="BK118" i="9" s="1"/>
  <c r="BL118" i="9" s="1"/>
  <c r="BM118" i="9" s="1"/>
  <c r="BN118" i="9" s="1"/>
  <c r="BO118" i="9" s="1"/>
  <c r="BP118" i="9" s="1"/>
  <c r="BQ118" i="9" s="1"/>
  <c r="BR118" i="9" s="1"/>
  <c r="BS118" i="9" s="1"/>
  <c r="I118" i="22"/>
  <c r="I69" i="22"/>
  <c r="I19" i="22"/>
  <c r="I127" i="22"/>
  <c r="I109" i="22"/>
  <c r="I78" i="22"/>
  <c r="I100" i="22"/>
  <c r="I42" i="22"/>
  <c r="I28" i="22"/>
  <c r="I10" i="22"/>
  <c r="L136" i="20"/>
  <c r="M136" i="20" s="1"/>
  <c r="L135" i="20"/>
  <c r="M135" i="20" s="1"/>
  <c r="N135" i="20" s="1"/>
  <c r="O135" i="20" s="1"/>
  <c r="P135" i="20" s="1"/>
  <c r="Q135" i="20" s="1"/>
  <c r="R135" i="20" s="1"/>
  <c r="S135" i="20" s="1"/>
  <c r="T135" i="20" s="1"/>
  <c r="U135" i="20" s="1"/>
  <c r="V135" i="20" s="1"/>
  <c r="W135" i="20" s="1"/>
  <c r="X135" i="20" s="1"/>
  <c r="Y135" i="20" s="1"/>
  <c r="Z135" i="20" s="1"/>
  <c r="AA135" i="20" s="1"/>
  <c r="AB135" i="20" s="1"/>
  <c r="AC135" i="20" s="1"/>
  <c r="AD135" i="20" s="1"/>
  <c r="AE135" i="20" s="1"/>
  <c r="AF135" i="20" s="1"/>
  <c r="AG135" i="20" s="1"/>
  <c r="AH135" i="20" s="1"/>
  <c r="AI135" i="20" s="1"/>
  <c r="AJ135" i="20" s="1"/>
  <c r="AK135" i="20" s="1"/>
  <c r="AL135" i="20" s="1"/>
  <c r="AM135" i="20" s="1"/>
  <c r="AN135" i="20" s="1"/>
  <c r="AO135" i="20" s="1"/>
  <c r="AP135" i="20" s="1"/>
  <c r="AQ135" i="20" s="1"/>
  <c r="AR135" i="20" s="1"/>
  <c r="AS135" i="20" s="1"/>
  <c r="AT135" i="20" s="1"/>
  <c r="AU135" i="20" s="1"/>
  <c r="AV135" i="20" s="1"/>
  <c r="AW135" i="20" s="1"/>
  <c r="AX135" i="20" s="1"/>
  <c r="AY135" i="20" s="1"/>
  <c r="AZ135" i="20" s="1"/>
  <c r="BA135" i="20" s="1"/>
  <c r="BB135" i="20" s="1"/>
  <c r="BC135" i="20" s="1"/>
  <c r="BD135" i="20" s="1"/>
  <c r="BE135" i="20" s="1"/>
  <c r="BF135" i="20" s="1"/>
  <c r="BG135" i="20" s="1"/>
  <c r="BH135" i="20" s="1"/>
  <c r="BI135" i="20" s="1"/>
  <c r="BJ135" i="20" s="1"/>
  <c r="BK135" i="20" s="1"/>
  <c r="BL135" i="20" s="1"/>
  <c r="BM135" i="20" s="1"/>
  <c r="BN135" i="20" s="1"/>
  <c r="BO135" i="20" s="1"/>
  <c r="BP135" i="20" s="1"/>
  <c r="BQ135" i="20" s="1"/>
  <c r="BR135" i="20" s="1"/>
  <c r="BS135" i="20" s="1"/>
  <c r="L123" i="20"/>
  <c r="M123" i="20" s="1"/>
  <c r="N123" i="20" s="1"/>
  <c r="O123" i="20" s="1"/>
  <c r="P123" i="20" s="1"/>
  <c r="Q123" i="20" s="1"/>
  <c r="R123" i="20" s="1"/>
  <c r="S123" i="20" s="1"/>
  <c r="T123" i="20" s="1"/>
  <c r="U123" i="20" s="1"/>
  <c r="V123" i="20" s="1"/>
  <c r="W123" i="20" s="1"/>
  <c r="X123" i="20" s="1"/>
  <c r="Y123" i="20" s="1"/>
  <c r="Z123" i="20" s="1"/>
  <c r="AA123" i="20" s="1"/>
  <c r="AB123" i="20" s="1"/>
  <c r="AC123" i="20" s="1"/>
  <c r="AD123" i="20" s="1"/>
  <c r="AE123" i="20" s="1"/>
  <c r="AF123" i="20" s="1"/>
  <c r="AG123" i="20" s="1"/>
  <c r="AH123" i="20" s="1"/>
  <c r="AI123" i="20" s="1"/>
  <c r="AJ123" i="20" s="1"/>
  <c r="AK123" i="20" s="1"/>
  <c r="AL123" i="20" s="1"/>
  <c r="AM123" i="20" s="1"/>
  <c r="AN123" i="20" s="1"/>
  <c r="AO123" i="20" s="1"/>
  <c r="AP123" i="20" s="1"/>
  <c r="AQ123" i="20" s="1"/>
  <c r="AR123" i="20" s="1"/>
  <c r="AS123" i="20" s="1"/>
  <c r="AT123" i="20" s="1"/>
  <c r="AU123" i="20" s="1"/>
  <c r="AV123" i="20" s="1"/>
  <c r="AW123" i="20" s="1"/>
  <c r="AX123" i="20" s="1"/>
  <c r="AY123" i="20" s="1"/>
  <c r="AZ123" i="20" s="1"/>
  <c r="BA123" i="20" s="1"/>
  <c r="BB123" i="20" s="1"/>
  <c r="BC123" i="20" s="1"/>
  <c r="BD123" i="20" s="1"/>
  <c r="BE123" i="20" s="1"/>
  <c r="BF123" i="20" s="1"/>
  <c r="BG123" i="20" s="1"/>
  <c r="BH123" i="20" s="1"/>
  <c r="BI123" i="20" s="1"/>
  <c r="BJ123" i="20" s="1"/>
  <c r="BK123" i="20" s="1"/>
  <c r="BL123" i="20" s="1"/>
  <c r="BM123" i="20" s="1"/>
  <c r="BN123" i="20" s="1"/>
  <c r="BO123" i="20" s="1"/>
  <c r="BP123" i="20" s="1"/>
  <c r="BQ123" i="20" s="1"/>
  <c r="BR123" i="20" s="1"/>
  <c r="BS123" i="20" s="1"/>
  <c r="BS159" i="9"/>
  <c r="BO159" i="9"/>
  <c r="BK159" i="9"/>
  <c r="BG159" i="9"/>
  <c r="BC159" i="9"/>
  <c r="AY159" i="9"/>
  <c r="AU159" i="9"/>
  <c r="AQ159" i="9"/>
  <c r="AM159" i="9"/>
  <c r="AI159" i="9"/>
  <c r="AE159" i="9"/>
  <c r="AA159" i="9"/>
  <c r="S159" i="9"/>
  <c r="O159" i="9"/>
  <c r="BR159" i="9"/>
  <c r="BN159" i="9"/>
  <c r="BJ159" i="9"/>
  <c r="BF159" i="9"/>
  <c r="BB159" i="9"/>
  <c r="AX159" i="9"/>
  <c r="AT159" i="9"/>
  <c r="AP159" i="9"/>
  <c r="AL159" i="9"/>
  <c r="AH159" i="9"/>
  <c r="AD159" i="9"/>
  <c r="Z159" i="9"/>
  <c r="R159" i="9"/>
  <c r="N159" i="9"/>
  <c r="BQ159" i="9"/>
  <c r="BM159" i="9"/>
  <c r="BI159" i="9"/>
  <c r="BE159" i="9"/>
  <c r="BA159" i="9"/>
  <c r="AW159" i="9"/>
  <c r="AS159" i="9"/>
  <c r="AO159" i="9"/>
  <c r="AK159" i="9"/>
  <c r="AG159" i="9"/>
  <c r="AC159" i="9"/>
  <c r="Y159" i="9"/>
  <c r="Q159" i="9"/>
  <c r="M159" i="9"/>
  <c r="BP159" i="9"/>
  <c r="BL159" i="9"/>
  <c r="BH159" i="9"/>
  <c r="BD159" i="9"/>
  <c r="AZ159" i="9"/>
  <c r="AV159" i="9"/>
  <c r="AR159" i="9"/>
  <c r="AN159" i="9"/>
  <c r="AJ159" i="9"/>
  <c r="AF159" i="9"/>
  <c r="AB159" i="9"/>
  <c r="T159" i="9"/>
  <c r="P159" i="9"/>
  <c r="L159" i="9"/>
  <c r="BO126" i="9"/>
  <c r="O126" i="9"/>
  <c r="BR126" i="9"/>
  <c r="BN126" i="9"/>
  <c r="BJ126" i="9"/>
  <c r="BF126" i="9"/>
  <c r="BB126" i="9"/>
  <c r="AX126" i="9"/>
  <c r="AT126" i="9"/>
  <c r="AP126" i="9"/>
  <c r="AL126" i="9"/>
  <c r="AH126" i="9"/>
  <c r="AD126" i="9"/>
  <c r="Z126" i="9"/>
  <c r="V126" i="9"/>
  <c r="R126" i="9"/>
  <c r="N126" i="9"/>
  <c r="BS126" i="9"/>
  <c r="BC126" i="9"/>
  <c r="AY126" i="9"/>
  <c r="AM126" i="9"/>
  <c r="AI126" i="9"/>
  <c r="AE126" i="9"/>
  <c r="W126" i="9"/>
  <c r="S126" i="9"/>
  <c r="BK126" i="9"/>
  <c r="BG126" i="9"/>
  <c r="AU126" i="9"/>
  <c r="AQ126" i="9"/>
  <c r="AA126" i="9"/>
  <c r="BP126" i="9"/>
  <c r="BL126" i="9"/>
  <c r="BH126" i="9"/>
  <c r="BD126" i="9"/>
  <c r="AZ126" i="9"/>
  <c r="AV126" i="9"/>
  <c r="AR126" i="9"/>
  <c r="AN126" i="9"/>
  <c r="AJ126" i="9"/>
  <c r="AF126" i="9"/>
  <c r="AB126" i="9"/>
  <c r="X126" i="9"/>
  <c r="T126" i="9"/>
  <c r="P126" i="9"/>
  <c r="BQ126" i="9"/>
  <c r="BM126" i="9"/>
  <c r="BI126" i="9"/>
  <c r="BE126" i="9"/>
  <c r="BA126" i="9"/>
  <c r="AW126" i="9"/>
  <c r="AS126" i="9"/>
  <c r="AO126" i="9"/>
  <c r="AK126" i="9"/>
  <c r="AG126" i="9"/>
  <c r="AC126" i="9"/>
  <c r="Y126" i="9"/>
  <c r="U126" i="9"/>
  <c r="Q126" i="9"/>
  <c r="M126" i="9"/>
  <c r="I123" i="9"/>
  <c r="L126" i="9"/>
  <c r="I124" i="9"/>
  <c r="I125" i="9"/>
  <c r="BP114" i="9"/>
  <c r="BL114" i="9"/>
  <c r="BH114" i="9"/>
  <c r="BD114" i="9"/>
  <c r="AZ114" i="9"/>
  <c r="AV114" i="9"/>
  <c r="AR114" i="9"/>
  <c r="AN114" i="9"/>
  <c r="AJ114" i="9"/>
  <c r="AF114" i="9"/>
  <c r="AB114" i="9"/>
  <c r="X114" i="9"/>
  <c r="T114" i="9"/>
  <c r="P114" i="9"/>
  <c r="BQ114" i="9"/>
  <c r="BM114" i="9"/>
  <c r="BI114" i="9"/>
  <c r="BE114" i="9"/>
  <c r="BA114" i="9"/>
  <c r="AW114" i="9"/>
  <c r="AS114" i="9"/>
  <c r="AO114" i="9"/>
  <c r="AK114" i="9"/>
  <c r="AG114" i="9"/>
  <c r="AC114" i="9"/>
  <c r="Y114" i="9"/>
  <c r="BS114" i="9"/>
  <c r="BO114" i="9"/>
  <c r="BK114" i="9"/>
  <c r="BG114" i="9"/>
  <c r="BC114" i="9"/>
  <c r="AY114" i="9"/>
  <c r="AU114" i="9"/>
  <c r="AQ114" i="9"/>
  <c r="AM114" i="9"/>
  <c r="AI114" i="9"/>
  <c r="AE114" i="9"/>
  <c r="AA114" i="9"/>
  <c r="W114" i="9"/>
  <c r="S114" i="9"/>
  <c r="O114" i="9"/>
  <c r="BR114" i="9"/>
  <c r="BN114" i="9"/>
  <c r="BJ114" i="9"/>
  <c r="BF114" i="9"/>
  <c r="BB114" i="9"/>
  <c r="AX114" i="9"/>
  <c r="AT114" i="9"/>
  <c r="AP114" i="9"/>
  <c r="AL114" i="9"/>
  <c r="AH114" i="9"/>
  <c r="AD114" i="9"/>
  <c r="Z114" i="9"/>
  <c r="V114" i="9"/>
  <c r="R114" i="9"/>
  <c r="N114" i="9"/>
  <c r="U114" i="9"/>
  <c r="Q114" i="9"/>
  <c r="M114" i="9"/>
  <c r="L114" i="9"/>
  <c r="I112" i="9"/>
  <c r="L119" i="20"/>
  <c r="BP119" i="20"/>
  <c r="BH119" i="20"/>
  <c r="BD119" i="20"/>
  <c r="AZ119" i="20"/>
  <c r="AV119" i="20"/>
  <c r="AR119" i="20"/>
  <c r="AN119" i="20"/>
  <c r="AJ119" i="20"/>
  <c r="AF119" i="20"/>
  <c r="AB119" i="20"/>
  <c r="X119" i="20"/>
  <c r="T119" i="20"/>
  <c r="P119" i="20"/>
  <c r="BP131" i="20"/>
  <c r="BL131" i="20"/>
  <c r="BH131" i="20"/>
  <c r="BD131" i="20"/>
  <c r="AZ131" i="20"/>
  <c r="AR131" i="20"/>
  <c r="AN131" i="20"/>
  <c r="AJ131" i="20"/>
  <c r="AF131" i="20"/>
  <c r="AB131" i="20"/>
  <c r="X131" i="20"/>
  <c r="T131" i="20"/>
  <c r="P131" i="20"/>
  <c r="BQ119" i="20"/>
  <c r="BM119" i="20"/>
  <c r="BI119" i="20"/>
  <c r="BE119" i="20"/>
  <c r="BA119" i="20"/>
  <c r="AW119" i="20"/>
  <c r="AS119" i="20"/>
  <c r="AO119" i="20"/>
  <c r="AK119" i="20"/>
  <c r="AG119" i="20"/>
  <c r="AC119" i="20"/>
  <c r="Y119" i="20"/>
  <c r="U119" i="20"/>
  <c r="Q119" i="20"/>
  <c r="M119" i="20"/>
  <c r="BQ131" i="20"/>
  <c r="BM131" i="20"/>
  <c r="BI131" i="20"/>
  <c r="BE131" i="20"/>
  <c r="BA131" i="20"/>
  <c r="AW131" i="20"/>
  <c r="AS131" i="20"/>
  <c r="AO131" i="20"/>
  <c r="AC131" i="20"/>
  <c r="Y131" i="20"/>
  <c r="U131" i="20"/>
  <c r="Q131" i="20"/>
  <c r="M131" i="20"/>
  <c r="BG119" i="20"/>
  <c r="AU119" i="20"/>
  <c r="AE119" i="20"/>
  <c r="O119" i="20"/>
  <c r="BC131" i="20"/>
  <c r="AQ131" i="20"/>
  <c r="S131" i="20"/>
  <c r="BO119" i="20"/>
  <c r="BC119" i="20"/>
  <c r="AQ119" i="20"/>
  <c r="AI119" i="20"/>
  <c r="W119" i="20"/>
  <c r="BS131" i="20"/>
  <c r="BK131" i="20"/>
  <c r="AY131" i="20"/>
  <c r="AM131" i="20"/>
  <c r="AE131" i="20"/>
  <c r="W131" i="20"/>
  <c r="BR119" i="20"/>
  <c r="BN119" i="20"/>
  <c r="BJ119" i="20"/>
  <c r="BB119" i="20"/>
  <c r="AX119" i="20"/>
  <c r="AT119" i="20"/>
  <c r="AL119" i="20"/>
  <c r="AD119" i="20"/>
  <c r="Z119" i="20"/>
  <c r="V119" i="20"/>
  <c r="R119" i="20"/>
  <c r="BR131" i="20"/>
  <c r="BN131" i="20"/>
  <c r="BJ131" i="20"/>
  <c r="BF131" i="20"/>
  <c r="BB131" i="20"/>
  <c r="AX131" i="20"/>
  <c r="AP131" i="20"/>
  <c r="AH131" i="20"/>
  <c r="AD131" i="20"/>
  <c r="Z131" i="20"/>
  <c r="V131" i="20"/>
  <c r="R131" i="20"/>
  <c r="N131" i="20"/>
  <c r="BK119" i="20"/>
  <c r="AY119" i="20"/>
  <c r="AM119" i="20"/>
  <c r="AA119" i="20"/>
  <c r="S119" i="20"/>
  <c r="BG131" i="20"/>
  <c r="AU131" i="20"/>
  <c r="AI131" i="20"/>
  <c r="AA131" i="20"/>
  <c r="O131" i="20"/>
  <c r="L173" i="18" a="1"/>
  <c r="L173" i="18" s="1"/>
  <c r="N119" i="20"/>
  <c r="BL119" i="20"/>
  <c r="M145" i="18"/>
  <c r="N145" i="18" s="1"/>
  <c r="O145" i="18" s="1"/>
  <c r="P145" i="18" s="1"/>
  <c r="Q145" i="18" s="1"/>
  <c r="R145" i="18" s="1"/>
  <c r="S145" i="18" s="1"/>
  <c r="T145" i="18" s="1"/>
  <c r="U145" i="18" s="1"/>
  <c r="V145" i="18" s="1"/>
  <c r="W145" i="18" s="1"/>
  <c r="X145" i="18" s="1"/>
  <c r="Y145" i="18" s="1"/>
  <c r="Z145" i="18" s="1"/>
  <c r="AA145" i="18" s="1"/>
  <c r="AB145" i="18" s="1"/>
  <c r="AC145" i="18" s="1"/>
  <c r="AD145" i="18" s="1"/>
  <c r="AE145" i="18" s="1"/>
  <c r="AF145" i="18" s="1"/>
  <c r="AG145" i="18" s="1"/>
  <c r="AH145" i="18" s="1"/>
  <c r="AI145" i="18" s="1"/>
  <c r="AJ145" i="18" s="1"/>
  <c r="AK145" i="18" s="1"/>
  <c r="AL145" i="18" s="1"/>
  <c r="AM145" i="18" s="1"/>
  <c r="AN145" i="18" s="1"/>
  <c r="AO145" i="18" s="1"/>
  <c r="AP145" i="18" s="1"/>
  <c r="AQ145" i="18" s="1"/>
  <c r="AR145" i="18" s="1"/>
  <c r="AS145" i="18" s="1"/>
  <c r="AT145" i="18" s="1"/>
  <c r="AU145" i="18" s="1"/>
  <c r="AV145" i="18" s="1"/>
  <c r="AW145" i="18" s="1"/>
  <c r="AX145" i="18" s="1"/>
  <c r="AY145" i="18" s="1"/>
  <c r="AZ145" i="18" s="1"/>
  <c r="BA145" i="18" s="1"/>
  <c r="BB145" i="18" s="1"/>
  <c r="BC145" i="18" s="1"/>
  <c r="BD145" i="18" s="1"/>
  <c r="BE145" i="18" s="1"/>
  <c r="BF145" i="18" s="1"/>
  <c r="BG145" i="18" s="1"/>
  <c r="BH145" i="18" s="1"/>
  <c r="BI145" i="18" s="1"/>
  <c r="BJ145" i="18" s="1"/>
  <c r="BK145" i="18" s="1"/>
  <c r="BL145" i="18" s="1"/>
  <c r="BM145" i="18" s="1"/>
  <c r="BN145" i="18" s="1"/>
  <c r="BO145" i="18" s="1"/>
  <c r="BP145" i="18" s="1"/>
  <c r="BQ145" i="18" s="1"/>
  <c r="BR145" i="18" s="1"/>
  <c r="BS145" i="18" s="1"/>
  <c r="M144" i="18"/>
  <c r="N144" i="18" s="1"/>
  <c r="O144" i="18" s="1"/>
  <c r="P144" i="18" s="1"/>
  <c r="Q144" i="18" s="1"/>
  <c r="R144" i="18" s="1"/>
  <c r="S144" i="18" s="1"/>
  <c r="T144" i="18" s="1"/>
  <c r="U144" i="18" s="1"/>
  <c r="V144" i="18" s="1"/>
  <c r="W144" i="18" s="1"/>
  <c r="X144" i="18" s="1"/>
  <c r="Y144" i="18" s="1"/>
  <c r="Z144" i="18" s="1"/>
  <c r="AA144" i="18" s="1"/>
  <c r="AB144" i="18" s="1"/>
  <c r="AC144" i="18" s="1"/>
  <c r="AD144" i="18" s="1"/>
  <c r="AE144" i="18" s="1"/>
  <c r="AF144" i="18" s="1"/>
  <c r="AG144" i="18" s="1"/>
  <c r="AH144" i="18" s="1"/>
  <c r="AI144" i="18" s="1"/>
  <c r="AJ144" i="18" s="1"/>
  <c r="AK144" i="18" s="1"/>
  <c r="AL144" i="18" s="1"/>
  <c r="AM144" i="18" s="1"/>
  <c r="AN144" i="18" s="1"/>
  <c r="AO144" i="18" s="1"/>
  <c r="AP144" i="18" s="1"/>
  <c r="AQ144" i="18" s="1"/>
  <c r="AR144" i="18" s="1"/>
  <c r="AS144" i="18" s="1"/>
  <c r="AT144" i="18" s="1"/>
  <c r="AU144" i="18" s="1"/>
  <c r="AV144" i="18" s="1"/>
  <c r="AW144" i="18" s="1"/>
  <c r="AX144" i="18" s="1"/>
  <c r="AY144" i="18" s="1"/>
  <c r="AZ144" i="18" s="1"/>
  <c r="BA144" i="18" s="1"/>
  <c r="BB144" i="18" s="1"/>
  <c r="BC144" i="18" s="1"/>
  <c r="BD144" i="18" s="1"/>
  <c r="BE144" i="18" s="1"/>
  <c r="BF144" i="18" s="1"/>
  <c r="BG144" i="18" s="1"/>
  <c r="BH144" i="18" s="1"/>
  <c r="BI144" i="18" s="1"/>
  <c r="BJ144" i="18" s="1"/>
  <c r="BK144" i="18" s="1"/>
  <c r="BL144" i="18" s="1"/>
  <c r="BM144" i="18" s="1"/>
  <c r="BN144" i="18" s="1"/>
  <c r="BO144" i="18" s="1"/>
  <c r="BP144" i="18" s="1"/>
  <c r="BQ144" i="18" s="1"/>
  <c r="BR144" i="18" s="1"/>
  <c r="BS144" i="18" s="1"/>
  <c r="AY140" i="18"/>
  <c r="S140" i="18"/>
  <c r="M143" i="18"/>
  <c r="BO140" i="18"/>
  <c r="BG140" i="18"/>
  <c r="AQ140" i="18"/>
  <c r="AI140" i="18"/>
  <c r="AA140" i="18"/>
  <c r="BP140" i="18"/>
  <c r="BL140" i="18"/>
  <c r="BH140" i="18"/>
  <c r="BD140" i="18"/>
  <c r="AZ140" i="18"/>
  <c r="AV140" i="18"/>
  <c r="AR140" i="18"/>
  <c r="AN140" i="18"/>
  <c r="AJ140" i="18"/>
  <c r="AF140" i="18"/>
  <c r="AB140" i="18"/>
  <c r="X140" i="18"/>
  <c r="T140" i="18"/>
  <c r="P140" i="18"/>
  <c r="BS140" i="18"/>
  <c r="BK140" i="18"/>
  <c r="BC140" i="18"/>
  <c r="AU140" i="18"/>
  <c r="AM140" i="18"/>
  <c r="AE140" i="18"/>
  <c r="W140" i="18"/>
  <c r="O140" i="18"/>
  <c r="BR140" i="18"/>
  <c r="BF140" i="18"/>
  <c r="AT140" i="18"/>
  <c r="AH140" i="18"/>
  <c r="V140" i="18"/>
  <c r="BQ140" i="18"/>
  <c r="BM140" i="18"/>
  <c r="BI140" i="18"/>
  <c r="BE140" i="18"/>
  <c r="BA140" i="18"/>
  <c r="AW140" i="18"/>
  <c r="AS140" i="18"/>
  <c r="AO140" i="18"/>
  <c r="AK140" i="18"/>
  <c r="AG140" i="18"/>
  <c r="AC140" i="18"/>
  <c r="Y140" i="18"/>
  <c r="U140" i="18"/>
  <c r="Q140" i="18"/>
  <c r="M140" i="18"/>
  <c r="BN140" i="18"/>
  <c r="BB140" i="18"/>
  <c r="AP140" i="18"/>
  <c r="Z140" i="18"/>
  <c r="N140" i="18"/>
  <c r="BJ140" i="18"/>
  <c r="AX140" i="18"/>
  <c r="AL140" i="18"/>
  <c r="AD140" i="18"/>
  <c r="R140" i="18"/>
  <c r="AV131" i="20"/>
  <c r="BO131" i="20"/>
  <c r="L140" i="18"/>
  <c r="I137" i="18"/>
  <c r="I138" i="18"/>
  <c r="I139" i="18"/>
  <c r="BF119" i="20"/>
  <c r="M133" i="18"/>
  <c r="M132" i="18"/>
  <c r="N132" i="18" s="1"/>
  <c r="O132" i="18" s="1"/>
  <c r="P132" i="18" s="1"/>
  <c r="Q132" i="18" s="1"/>
  <c r="R132" i="18" s="1"/>
  <c r="S132" i="18" s="1"/>
  <c r="T132" i="18" s="1"/>
  <c r="U132" i="18" s="1"/>
  <c r="V132" i="18" s="1"/>
  <c r="W132" i="18" s="1"/>
  <c r="X132" i="18" s="1"/>
  <c r="Y132" i="18" s="1"/>
  <c r="Z132" i="18" s="1"/>
  <c r="AA132" i="18" s="1"/>
  <c r="AB132" i="18" s="1"/>
  <c r="AC132" i="18" s="1"/>
  <c r="AD132" i="18" s="1"/>
  <c r="AE132" i="18" s="1"/>
  <c r="AF132" i="18" s="1"/>
  <c r="AG132" i="18" s="1"/>
  <c r="AH132" i="18" s="1"/>
  <c r="AI132" i="18" s="1"/>
  <c r="AJ132" i="18" s="1"/>
  <c r="AK132" i="18" s="1"/>
  <c r="AL132" i="18" s="1"/>
  <c r="AM132" i="18" s="1"/>
  <c r="AN132" i="18" s="1"/>
  <c r="AO132" i="18" s="1"/>
  <c r="AP132" i="18" s="1"/>
  <c r="AQ132" i="18" s="1"/>
  <c r="AR132" i="18" s="1"/>
  <c r="AS132" i="18" s="1"/>
  <c r="AT132" i="18" s="1"/>
  <c r="AU132" i="18" s="1"/>
  <c r="AV132" i="18" s="1"/>
  <c r="AW132" i="18" s="1"/>
  <c r="AX132" i="18" s="1"/>
  <c r="AY132" i="18" s="1"/>
  <c r="AZ132" i="18" s="1"/>
  <c r="BA132" i="18" s="1"/>
  <c r="BB132" i="18" s="1"/>
  <c r="BC132" i="18" s="1"/>
  <c r="BD132" i="18" s="1"/>
  <c r="BE132" i="18" s="1"/>
  <c r="BF132" i="18" s="1"/>
  <c r="BG132" i="18" s="1"/>
  <c r="BH132" i="18" s="1"/>
  <c r="BI132" i="18" s="1"/>
  <c r="BJ132" i="18" s="1"/>
  <c r="BK132" i="18" s="1"/>
  <c r="BL132" i="18" s="1"/>
  <c r="BM132" i="18" s="1"/>
  <c r="BN132" i="18" s="1"/>
  <c r="BO132" i="18" s="1"/>
  <c r="BP132" i="18" s="1"/>
  <c r="BQ132" i="18" s="1"/>
  <c r="BR132" i="18" s="1"/>
  <c r="BS132" i="18" s="1"/>
  <c r="BH128" i="18"/>
  <c r="AR128" i="18"/>
  <c r="AB128" i="18"/>
  <c r="BP128" i="18"/>
  <c r="BL128" i="18"/>
  <c r="BD128" i="18"/>
  <c r="AZ128" i="18"/>
  <c r="AV128" i="18"/>
  <c r="AN128" i="18"/>
  <c r="AJ128" i="18"/>
  <c r="AF128" i="18"/>
  <c r="X128" i="18"/>
  <c r="T128" i="18"/>
  <c r="P128" i="18"/>
  <c r="BQ128" i="18"/>
  <c r="BM128" i="18"/>
  <c r="BI128" i="18"/>
  <c r="BE128" i="18"/>
  <c r="BA128" i="18"/>
  <c r="AW128" i="18"/>
  <c r="AS128" i="18"/>
  <c r="AO128" i="18"/>
  <c r="AK128" i="18"/>
  <c r="AG128" i="18"/>
  <c r="AC128" i="18"/>
  <c r="Y128" i="18"/>
  <c r="U128" i="18"/>
  <c r="Q128" i="18"/>
  <c r="M128" i="18"/>
  <c r="BN128" i="18"/>
  <c r="BF128" i="18"/>
  <c r="AX128" i="18"/>
  <c r="AP128" i="18"/>
  <c r="AD128" i="18"/>
  <c r="V128" i="18"/>
  <c r="N128" i="18"/>
  <c r="BR128" i="18"/>
  <c r="BJ128" i="18"/>
  <c r="BB128" i="18"/>
  <c r="AT128" i="18"/>
  <c r="AL128" i="18"/>
  <c r="AH128" i="18"/>
  <c r="Z128" i="18"/>
  <c r="R128" i="18"/>
  <c r="BS128" i="18"/>
  <c r="BO128" i="18"/>
  <c r="BK128" i="18"/>
  <c r="BG128" i="18"/>
  <c r="BC128" i="18"/>
  <c r="AY128" i="18"/>
  <c r="AU128" i="18"/>
  <c r="AQ128" i="18"/>
  <c r="AM128" i="18"/>
  <c r="AI128" i="18"/>
  <c r="AE128" i="18"/>
  <c r="AA128" i="18"/>
  <c r="W128" i="18"/>
  <c r="S128" i="18"/>
  <c r="O128" i="18"/>
  <c r="L128" i="18"/>
  <c r="I126" i="18"/>
  <c r="AK131" i="20"/>
  <c r="BS119" i="20"/>
  <c r="AT131" i="20"/>
  <c r="AL131" i="20"/>
  <c r="AP119" i="20"/>
  <c r="AG131" i="20"/>
  <c r="AH119" i="20"/>
  <c r="L131" i="20"/>
  <c r="I129" i="20"/>
  <c r="I117" i="20"/>
  <c r="I228" i="20"/>
  <c r="L134" i="20"/>
  <c r="M134" i="20" s="1"/>
  <c r="N134" i="20" s="1"/>
  <c r="O134" i="20" s="1"/>
  <c r="P134" i="20" s="1"/>
  <c r="Q134" i="20" s="1"/>
  <c r="R134" i="20" s="1"/>
  <c r="S134" i="20" s="1"/>
  <c r="T134" i="20" s="1"/>
  <c r="U134" i="20" s="1"/>
  <c r="V134" i="20" s="1"/>
  <c r="W134" i="20" s="1"/>
  <c r="X134" i="20" s="1"/>
  <c r="Y134" i="20" s="1"/>
  <c r="Z134" i="20" s="1"/>
  <c r="AA134" i="20" s="1"/>
  <c r="AB134" i="20" s="1"/>
  <c r="AC134" i="20" s="1"/>
  <c r="AD134" i="20" s="1"/>
  <c r="AE134" i="20" s="1"/>
  <c r="AF134" i="20" s="1"/>
  <c r="AG134" i="20" s="1"/>
  <c r="AH134" i="20" s="1"/>
  <c r="AI134" i="20" s="1"/>
  <c r="AJ134" i="20" s="1"/>
  <c r="AK134" i="20" s="1"/>
  <c r="AL134" i="20" s="1"/>
  <c r="AM134" i="20" s="1"/>
  <c r="AN134" i="20" s="1"/>
  <c r="AO134" i="20" s="1"/>
  <c r="AP134" i="20" s="1"/>
  <c r="AQ134" i="20" s="1"/>
  <c r="AR134" i="20" s="1"/>
  <c r="AS134" i="20" s="1"/>
  <c r="AT134" i="20" s="1"/>
  <c r="AU134" i="20" s="1"/>
  <c r="AV134" i="20" s="1"/>
  <c r="AW134" i="20" s="1"/>
  <c r="AX134" i="20" s="1"/>
  <c r="AY134" i="20" s="1"/>
  <c r="AZ134" i="20" s="1"/>
  <c r="BA134" i="20" s="1"/>
  <c r="BB134" i="20" s="1"/>
  <c r="BC134" i="20" s="1"/>
  <c r="BD134" i="20" s="1"/>
  <c r="BE134" i="20" s="1"/>
  <c r="BF134" i="20" s="1"/>
  <c r="BG134" i="20" s="1"/>
  <c r="BH134" i="20" s="1"/>
  <c r="BI134" i="20" s="1"/>
  <c r="BJ134" i="20" s="1"/>
  <c r="BK134" i="20" s="1"/>
  <c r="BL134" i="20" s="1"/>
  <c r="BM134" i="20" s="1"/>
  <c r="BN134" i="20" s="1"/>
  <c r="BO134" i="20" s="1"/>
  <c r="BP134" i="20" s="1"/>
  <c r="BQ134" i="20" s="1"/>
  <c r="BR134" i="20" s="1"/>
  <c r="BS134" i="20" s="1"/>
  <c r="I128" i="20"/>
  <c r="I218" i="1"/>
  <c r="I74" i="1"/>
  <c r="I76" i="1"/>
  <c r="I75" i="1"/>
  <c r="D103" i="1"/>
  <c r="D95" i="1"/>
  <c r="I81" i="1"/>
  <c r="I91" i="1"/>
  <c r="D97" i="1"/>
  <c r="I100" i="1"/>
  <c r="I83" i="1"/>
  <c r="I112" i="1"/>
  <c r="D93" i="1"/>
  <c r="I104" i="1"/>
  <c r="I109" i="1"/>
  <c r="I114" i="1"/>
  <c r="D114" i="1"/>
  <c r="D96" i="1"/>
  <c r="D104" i="1"/>
  <c r="I106" i="1"/>
  <c r="D111" i="1"/>
  <c r="D115" i="1"/>
  <c r="I111" i="1"/>
  <c r="D105" i="1"/>
  <c r="D112" i="1"/>
  <c r="D102" i="1"/>
  <c r="D72" i="1"/>
  <c r="D76" i="1"/>
  <c r="I70" i="1"/>
  <c r="D84" i="1"/>
  <c r="D83" i="1"/>
  <c r="D82" i="1"/>
  <c r="D85" i="1"/>
  <c r="D73" i="1"/>
  <c r="D74" i="1"/>
  <c r="D65" i="1"/>
  <c r="D66" i="1"/>
  <c r="D64" i="1"/>
  <c r="D67" i="1"/>
  <c r="F34" i="20"/>
  <c r="H51" i="20"/>
  <c r="H45" i="20"/>
  <c r="I533" i="20"/>
  <c r="I532" i="20"/>
  <c r="I530" i="20"/>
  <c r="I529" i="20"/>
  <c r="I528" i="20"/>
  <c r="I449" i="20"/>
  <c r="I447" i="20"/>
  <c r="I441" i="20"/>
  <c r="E402" i="20"/>
  <c r="G401" i="20"/>
  <c r="L383" i="20"/>
  <c r="L377" i="20"/>
  <c r="L371" i="20"/>
  <c r="F83" i="20"/>
  <c r="F82" i="20"/>
  <c r="G60" i="20"/>
  <c r="H52" i="20"/>
  <c r="H44" i="20"/>
  <c r="G411" i="18"/>
  <c r="X67" i="18"/>
  <c r="V67" i="18"/>
  <c r="S67" i="18"/>
  <c r="Q67" i="18"/>
  <c r="N67" i="18"/>
  <c r="L67" i="18"/>
  <c r="X66" i="18"/>
  <c r="V66" i="18"/>
  <c r="S66" i="18"/>
  <c r="Q66" i="18"/>
  <c r="N66" i="18"/>
  <c r="L66" i="18"/>
  <c r="X65" i="18"/>
  <c r="V65" i="18"/>
  <c r="S65" i="18"/>
  <c r="Q65" i="18"/>
  <c r="N65" i="18"/>
  <c r="L65" i="18"/>
  <c r="X64" i="18"/>
  <c r="V64" i="18"/>
  <c r="S64" i="18"/>
  <c r="Q64" i="18"/>
  <c r="N64" i="18"/>
  <c r="L64" i="18"/>
  <c r="H43" i="18"/>
  <c r="H42" i="18"/>
  <c r="H41" i="18"/>
  <c r="I544" i="18"/>
  <c r="I543" i="18"/>
  <c r="I541" i="18"/>
  <c r="I540" i="18"/>
  <c r="I539" i="18"/>
  <c r="I460" i="18"/>
  <c r="I458" i="18"/>
  <c r="I452" i="18"/>
  <c r="E413" i="18"/>
  <c r="G412" i="18"/>
  <c r="L394" i="18"/>
  <c r="L388" i="18"/>
  <c r="L382" i="18"/>
  <c r="F92" i="18"/>
  <c r="F91" i="18"/>
  <c r="G54" i="18"/>
  <c r="M161" i="1"/>
  <c r="N161" i="1"/>
  <c r="O161" i="1"/>
  <c r="P161" i="1"/>
  <c r="Q161" i="1"/>
  <c r="R161" i="1"/>
  <c r="S161" i="1"/>
  <c r="T161" i="1"/>
  <c r="U161" i="1"/>
  <c r="V161" i="1"/>
  <c r="W161" i="1"/>
  <c r="X161" i="1"/>
  <c r="Y161" i="1"/>
  <c r="Z161" i="1"/>
  <c r="L161" i="1"/>
  <c r="M191" i="1"/>
  <c r="N191" i="1"/>
  <c r="O191" i="1"/>
  <c r="P191" i="1"/>
  <c r="Q191" i="1"/>
  <c r="R191" i="1"/>
  <c r="S191" i="1"/>
  <c r="T191" i="1"/>
  <c r="U191" i="1"/>
  <c r="V191" i="1"/>
  <c r="W191" i="1"/>
  <c r="X191" i="1"/>
  <c r="Y191" i="1"/>
  <c r="Z191" i="1"/>
  <c r="L191" i="1"/>
  <c r="R112" i="23" l="1"/>
  <c r="I112" i="23" s="1"/>
  <c r="I111" i="23"/>
  <c r="R34" i="22"/>
  <c r="I34" i="22" s="1"/>
  <c r="R123" i="23"/>
  <c r="I115" i="1"/>
  <c r="S251" i="17"/>
  <c r="S220" i="17"/>
  <c r="S229" i="17" s="1"/>
  <c r="S240" i="17" s="1"/>
  <c r="T240" i="17" s="1"/>
  <c r="U240" i="17" s="1"/>
  <c r="V240" i="17" s="1"/>
  <c r="W240" i="17" s="1"/>
  <c r="X240" i="17" s="1"/>
  <c r="M255" i="17"/>
  <c r="Q255" i="17"/>
  <c r="N255" i="17"/>
  <c r="R255" i="17"/>
  <c r="O255" i="17"/>
  <c r="S255" i="17"/>
  <c r="P255" i="17"/>
  <c r="M254" i="17"/>
  <c r="Q254" i="17"/>
  <c r="N254" i="17"/>
  <c r="R254" i="17"/>
  <c r="O254" i="17"/>
  <c r="S254" i="17"/>
  <c r="P254" i="17"/>
  <c r="M252" i="17"/>
  <c r="Q252" i="17"/>
  <c r="N252" i="17"/>
  <c r="R252" i="17"/>
  <c r="O252" i="17"/>
  <c r="S252" i="17"/>
  <c r="P252" i="17"/>
  <c r="Z38" i="17"/>
  <c r="R134" i="17"/>
  <c r="S134" i="17"/>
  <c r="S136" i="17"/>
  <c r="M136" i="17"/>
  <c r="Q136" i="17"/>
  <c r="N136" i="17"/>
  <c r="R136" i="17"/>
  <c r="O136" i="17"/>
  <c r="P136" i="17"/>
  <c r="P134" i="17"/>
  <c r="M134" i="17"/>
  <c r="Q134" i="17"/>
  <c r="N134" i="17"/>
  <c r="O134" i="17"/>
  <c r="I68" i="21"/>
  <c r="M68" i="21"/>
  <c r="J68" i="21"/>
  <c r="N68" i="21"/>
  <c r="K68" i="21"/>
  <c r="O68" i="21"/>
  <c r="Z40" i="17" s="1"/>
  <c r="L68" i="21"/>
  <c r="I89" i="21"/>
  <c r="M89" i="21"/>
  <c r="K89" i="21"/>
  <c r="J89" i="21"/>
  <c r="N89" i="21"/>
  <c r="O89" i="21"/>
  <c r="L89" i="21"/>
  <c r="Q129" i="23"/>
  <c r="P130" i="23"/>
  <c r="R117" i="23"/>
  <c r="Q118" i="23"/>
  <c r="R37" i="21"/>
  <c r="V37" i="21"/>
  <c r="T37" i="21"/>
  <c r="U37" i="21"/>
  <c r="S37" i="21"/>
  <c r="W37" i="21"/>
  <c r="X37" i="21"/>
  <c r="H58" i="21"/>
  <c r="H123" i="21" s="1"/>
  <c r="Q34" i="21"/>
  <c r="Q37" i="21" s="1"/>
  <c r="I174" i="21"/>
  <c r="I178" i="21" s="1"/>
  <c r="M174" i="21"/>
  <c r="M178" i="21" s="1"/>
  <c r="J174" i="21"/>
  <c r="J178" i="21" s="1"/>
  <c r="N174" i="21"/>
  <c r="N178" i="21" s="1"/>
  <c r="K174" i="21"/>
  <c r="K178" i="21" s="1"/>
  <c r="O174" i="21"/>
  <c r="O178" i="21" s="1"/>
  <c r="L174" i="21"/>
  <c r="L178" i="21" s="1"/>
  <c r="I183" i="21"/>
  <c r="I191" i="21" s="1"/>
  <c r="M183" i="21"/>
  <c r="M191" i="21" s="1"/>
  <c r="O183" i="21"/>
  <c r="O191" i="21" s="1"/>
  <c r="L183" i="21"/>
  <c r="L191" i="21" s="1"/>
  <c r="J183" i="21"/>
  <c r="J191" i="21" s="1"/>
  <c r="N183" i="21"/>
  <c r="N191" i="21" s="1"/>
  <c r="K183" i="21"/>
  <c r="K191" i="21" s="1"/>
  <c r="L123" i="21"/>
  <c r="K123" i="21"/>
  <c r="O123" i="21"/>
  <c r="I123" i="21"/>
  <c r="M123" i="21"/>
  <c r="J123" i="21"/>
  <c r="N123" i="21"/>
  <c r="H66" i="21"/>
  <c r="O93" i="21"/>
  <c r="AB209" i="17" s="1"/>
  <c r="H82" i="21"/>
  <c r="L255" i="17" s="1"/>
  <c r="H81" i="21"/>
  <c r="L254" i="17" s="1"/>
  <c r="H78" i="21"/>
  <c r="O84" i="21"/>
  <c r="S256" i="17" s="1"/>
  <c r="O122" i="21"/>
  <c r="H60" i="21"/>
  <c r="O125" i="21"/>
  <c r="H59" i="21"/>
  <c r="O124" i="21"/>
  <c r="H57" i="21"/>
  <c r="O61" i="21"/>
  <c r="S135" i="17" s="1"/>
  <c r="O121" i="21"/>
  <c r="H50" i="21"/>
  <c r="O96" i="21"/>
  <c r="H49" i="21"/>
  <c r="H48" i="21" a="1"/>
  <c r="H47" i="21" a="1"/>
  <c r="H43" i="21"/>
  <c r="H44" i="21" s="1"/>
  <c r="O44" i="21"/>
  <c r="O137" i="21" s="1"/>
  <c r="H39" i="21"/>
  <c r="H36" i="21"/>
  <c r="AP36" i="21"/>
  <c r="AG36" i="21"/>
  <c r="H35" i="21"/>
  <c r="AP35" i="21"/>
  <c r="AG35" i="21"/>
  <c r="H34" i="21"/>
  <c r="AP34" i="21"/>
  <c r="AG34" i="21"/>
  <c r="O114" i="21"/>
  <c r="H31" i="21"/>
  <c r="AP31" i="21"/>
  <c r="AG31" i="21"/>
  <c r="H30" i="21"/>
  <c r="AG30" i="21"/>
  <c r="AP30" i="21"/>
  <c r="H29" i="21"/>
  <c r="AP29" i="21"/>
  <c r="AG29" i="21"/>
  <c r="O152" i="21"/>
  <c r="O117" i="21"/>
  <c r="O120" i="21"/>
  <c r="H25" i="21"/>
  <c r="AP25" i="21"/>
  <c r="O111" i="21"/>
  <c r="AG25" i="21"/>
  <c r="K125" i="21"/>
  <c r="L125" i="21"/>
  <c r="J125" i="21"/>
  <c r="I125" i="21"/>
  <c r="M125" i="21"/>
  <c r="N125" i="21"/>
  <c r="I120" i="21"/>
  <c r="M120" i="21"/>
  <c r="J120" i="21"/>
  <c r="N120" i="21"/>
  <c r="L120" i="21"/>
  <c r="K120" i="21"/>
  <c r="I124" i="21"/>
  <c r="M124" i="21"/>
  <c r="J124" i="21"/>
  <c r="N124" i="21"/>
  <c r="K124" i="21"/>
  <c r="L124" i="21"/>
  <c r="I122" i="21"/>
  <c r="M122" i="21"/>
  <c r="J122" i="21"/>
  <c r="N122" i="21"/>
  <c r="L122" i="21"/>
  <c r="K122" i="21"/>
  <c r="K121" i="21"/>
  <c r="N121" i="21"/>
  <c r="L121" i="21"/>
  <c r="I121" i="21"/>
  <c r="M121" i="21"/>
  <c r="J121" i="21"/>
  <c r="I114" i="21"/>
  <c r="M114" i="21"/>
  <c r="J114" i="21"/>
  <c r="N114" i="21"/>
  <c r="K114" i="21"/>
  <c r="L114" i="21"/>
  <c r="L111" i="21"/>
  <c r="I111" i="21"/>
  <c r="M111" i="21"/>
  <c r="J111" i="21"/>
  <c r="N111" i="21"/>
  <c r="K111" i="21"/>
  <c r="I117" i="21"/>
  <c r="M117" i="21"/>
  <c r="L117" i="21"/>
  <c r="J117" i="21"/>
  <c r="N117" i="21"/>
  <c r="K117" i="21"/>
  <c r="I152" i="21"/>
  <c r="M152" i="21"/>
  <c r="J152" i="21"/>
  <c r="N152" i="21"/>
  <c r="L152" i="21"/>
  <c r="K152" i="21"/>
  <c r="R127" i="23"/>
  <c r="T38" i="17"/>
  <c r="X38" i="17"/>
  <c r="R38" i="17"/>
  <c r="N38" i="17"/>
  <c r="V38" i="17"/>
  <c r="P38" i="17"/>
  <c r="L134" i="18"/>
  <c r="AO36" i="21"/>
  <c r="AK36" i="21"/>
  <c r="AN36" i="21"/>
  <c r="AJ36" i="21"/>
  <c r="AM36" i="21"/>
  <c r="AL36" i="21"/>
  <c r="AM34" i="21"/>
  <c r="AL34" i="21"/>
  <c r="AO34" i="21"/>
  <c r="AK34" i="21"/>
  <c r="AN34" i="21"/>
  <c r="AJ34" i="21"/>
  <c r="AN35" i="21"/>
  <c r="AJ35" i="21"/>
  <c r="AM35" i="21"/>
  <c r="AL35" i="21"/>
  <c r="AO35" i="21"/>
  <c r="AK35" i="21"/>
  <c r="AO31" i="21"/>
  <c r="AK31" i="21"/>
  <c r="AN31" i="21"/>
  <c r="AJ31" i="21"/>
  <c r="AM31" i="21"/>
  <c r="AL31" i="21"/>
  <c r="AM29" i="21"/>
  <c r="AJ29" i="21"/>
  <c r="AL29" i="21"/>
  <c r="AN29" i="21"/>
  <c r="AO29" i="21"/>
  <c r="AK29" i="21"/>
  <c r="AN30" i="21"/>
  <c r="AJ30" i="21"/>
  <c r="AK30" i="21"/>
  <c r="AM30" i="21"/>
  <c r="AO30" i="21"/>
  <c r="AL30" i="21"/>
  <c r="AM25" i="21"/>
  <c r="AJ25" i="21"/>
  <c r="AN25" i="21"/>
  <c r="AK25" i="21"/>
  <c r="AO25" i="21"/>
  <c r="AL25" i="21"/>
  <c r="N148" i="15"/>
  <c r="N141" i="11"/>
  <c r="O141" i="11" s="1"/>
  <c r="P141" i="11" s="1"/>
  <c r="Q141" i="11" s="1"/>
  <c r="R141" i="11" s="1"/>
  <c r="S141" i="11" s="1"/>
  <c r="T141" i="11" s="1"/>
  <c r="U141" i="11" s="1"/>
  <c r="V141" i="11" s="1"/>
  <c r="W141" i="11" s="1"/>
  <c r="X141" i="11" s="1"/>
  <c r="Y141" i="11" s="1"/>
  <c r="Z141" i="11" s="1"/>
  <c r="AA141" i="11" s="1"/>
  <c r="AB141" i="11" s="1"/>
  <c r="AC141" i="11" s="1"/>
  <c r="AD141" i="11" s="1"/>
  <c r="AE141" i="11" s="1"/>
  <c r="AF141" i="11" s="1"/>
  <c r="AG141" i="11" s="1"/>
  <c r="AH141" i="11" s="1"/>
  <c r="AI141" i="11" s="1"/>
  <c r="AJ141" i="11" s="1"/>
  <c r="AK141" i="11" s="1"/>
  <c r="AL141" i="11" s="1"/>
  <c r="AM141" i="11" s="1"/>
  <c r="AN141" i="11" s="1"/>
  <c r="AO141" i="11" s="1"/>
  <c r="AP141" i="11" s="1"/>
  <c r="AQ141" i="11" s="1"/>
  <c r="AR141" i="11" s="1"/>
  <c r="AS141" i="11" s="1"/>
  <c r="AT141" i="11" s="1"/>
  <c r="AU141" i="11" s="1"/>
  <c r="AV141" i="11" s="1"/>
  <c r="AW141" i="11" s="1"/>
  <c r="AX141" i="11" s="1"/>
  <c r="AY141" i="11" s="1"/>
  <c r="AZ141" i="11" s="1"/>
  <c r="BA141" i="11" s="1"/>
  <c r="BB141" i="11" s="1"/>
  <c r="BC141" i="11" s="1"/>
  <c r="BD141" i="11" s="1"/>
  <c r="BE141" i="11" s="1"/>
  <c r="BF141" i="11" s="1"/>
  <c r="BG141" i="11" s="1"/>
  <c r="BH141" i="11" s="1"/>
  <c r="BI141" i="11" s="1"/>
  <c r="BJ141" i="11" s="1"/>
  <c r="BK141" i="11" s="1"/>
  <c r="BL141" i="11" s="1"/>
  <c r="BM141" i="11" s="1"/>
  <c r="BN141" i="11" s="1"/>
  <c r="BO141" i="11" s="1"/>
  <c r="BP141" i="11" s="1"/>
  <c r="BQ141" i="11" s="1"/>
  <c r="BR141" i="11" s="1"/>
  <c r="BS141" i="11" s="1"/>
  <c r="M149" i="15"/>
  <c r="N149" i="15" s="1"/>
  <c r="O149" i="15" s="1"/>
  <c r="P149" i="15" s="1"/>
  <c r="Q149" i="15" s="1"/>
  <c r="R149" i="15" s="1"/>
  <c r="S149" i="15" s="1"/>
  <c r="T149" i="15" s="1"/>
  <c r="U149" i="15" s="1"/>
  <c r="V149" i="15" s="1"/>
  <c r="W149" i="15" s="1"/>
  <c r="X149" i="15" s="1"/>
  <c r="Y149" i="15" s="1"/>
  <c r="Z149" i="15" s="1"/>
  <c r="AA149" i="15" s="1"/>
  <c r="AB149" i="15" s="1"/>
  <c r="AC149" i="15" s="1"/>
  <c r="AD149" i="15" s="1"/>
  <c r="AE149" i="15" s="1"/>
  <c r="AF149" i="15" s="1"/>
  <c r="AG149" i="15" s="1"/>
  <c r="AH149" i="15" s="1"/>
  <c r="AI149" i="15" s="1"/>
  <c r="AJ149" i="15" s="1"/>
  <c r="AK149" i="15" s="1"/>
  <c r="AL149" i="15" s="1"/>
  <c r="AM149" i="15" s="1"/>
  <c r="AN149" i="15" s="1"/>
  <c r="AO149" i="15" s="1"/>
  <c r="AP149" i="15" s="1"/>
  <c r="AQ149" i="15" s="1"/>
  <c r="AR149" i="15" s="1"/>
  <c r="AS149" i="15" s="1"/>
  <c r="AT149" i="15" s="1"/>
  <c r="AU149" i="15" s="1"/>
  <c r="AV149" i="15" s="1"/>
  <c r="AW149" i="15" s="1"/>
  <c r="AX149" i="15" s="1"/>
  <c r="AY149" i="15" s="1"/>
  <c r="AZ149" i="15" s="1"/>
  <c r="BA149" i="15" s="1"/>
  <c r="BB149" i="15" s="1"/>
  <c r="BC149" i="15" s="1"/>
  <c r="BD149" i="15" s="1"/>
  <c r="BE149" i="15" s="1"/>
  <c r="BF149" i="15" s="1"/>
  <c r="BG149" i="15" s="1"/>
  <c r="BH149" i="15" s="1"/>
  <c r="BI149" i="15" s="1"/>
  <c r="BJ149" i="15" s="1"/>
  <c r="BK149" i="15" s="1"/>
  <c r="BL149" i="15" s="1"/>
  <c r="BM149" i="15" s="1"/>
  <c r="BN149" i="15" s="1"/>
  <c r="BO149" i="15" s="1"/>
  <c r="BP149" i="15" s="1"/>
  <c r="BQ149" i="15" s="1"/>
  <c r="BR149" i="15" s="1"/>
  <c r="BS149" i="15" s="1"/>
  <c r="L151" i="15"/>
  <c r="M137" i="15"/>
  <c r="N137" i="15" s="1"/>
  <c r="O137" i="15" s="1"/>
  <c r="P137" i="15" s="1"/>
  <c r="Q137" i="15" s="1"/>
  <c r="R137" i="15" s="1"/>
  <c r="S137" i="15" s="1"/>
  <c r="T137" i="15" s="1"/>
  <c r="U137" i="15" s="1"/>
  <c r="V137" i="15" s="1"/>
  <c r="W137" i="15" s="1"/>
  <c r="X137" i="15" s="1"/>
  <c r="Y137" i="15" s="1"/>
  <c r="Z137" i="15" s="1"/>
  <c r="AA137" i="15" s="1"/>
  <c r="AB137" i="15" s="1"/>
  <c r="AC137" i="15" s="1"/>
  <c r="AD137" i="15" s="1"/>
  <c r="AE137" i="15" s="1"/>
  <c r="AF137" i="15" s="1"/>
  <c r="AG137" i="15" s="1"/>
  <c r="AH137" i="15" s="1"/>
  <c r="AI137" i="15" s="1"/>
  <c r="AJ137" i="15" s="1"/>
  <c r="AK137" i="15" s="1"/>
  <c r="AL137" i="15" s="1"/>
  <c r="AM137" i="15" s="1"/>
  <c r="AN137" i="15" s="1"/>
  <c r="AO137" i="15" s="1"/>
  <c r="AP137" i="15" s="1"/>
  <c r="AQ137" i="15" s="1"/>
  <c r="AR137" i="15" s="1"/>
  <c r="AS137" i="15" s="1"/>
  <c r="AT137" i="15" s="1"/>
  <c r="AU137" i="15" s="1"/>
  <c r="AV137" i="15" s="1"/>
  <c r="AW137" i="15" s="1"/>
  <c r="AX137" i="15" s="1"/>
  <c r="AY137" i="15" s="1"/>
  <c r="AZ137" i="15" s="1"/>
  <c r="BA137" i="15" s="1"/>
  <c r="BB137" i="15" s="1"/>
  <c r="BC137" i="15" s="1"/>
  <c r="BD137" i="15" s="1"/>
  <c r="BE137" i="15" s="1"/>
  <c r="BF137" i="15" s="1"/>
  <c r="BG137" i="15" s="1"/>
  <c r="BH137" i="15" s="1"/>
  <c r="BI137" i="15" s="1"/>
  <c r="BJ137" i="15" s="1"/>
  <c r="BK137" i="15" s="1"/>
  <c r="BL137" i="15" s="1"/>
  <c r="BM137" i="15" s="1"/>
  <c r="BN137" i="15" s="1"/>
  <c r="BO137" i="15" s="1"/>
  <c r="BP137" i="15" s="1"/>
  <c r="BQ137" i="15" s="1"/>
  <c r="BR137" i="15" s="1"/>
  <c r="BS137" i="15" s="1"/>
  <c r="N140" i="11"/>
  <c r="L143" i="11"/>
  <c r="M142" i="11"/>
  <c r="M150" i="15" s="1"/>
  <c r="N150" i="15" s="1"/>
  <c r="O150" i="15" s="1"/>
  <c r="P150" i="15" s="1"/>
  <c r="Q150" i="15" s="1"/>
  <c r="R150" i="15" s="1"/>
  <c r="S150" i="15" s="1"/>
  <c r="T150" i="15" s="1"/>
  <c r="U150" i="15" s="1"/>
  <c r="V150" i="15" s="1"/>
  <c r="W150" i="15" s="1"/>
  <c r="X150" i="15" s="1"/>
  <c r="Y150" i="15" s="1"/>
  <c r="Z150" i="15" s="1"/>
  <c r="AA150" i="15" s="1"/>
  <c r="AB150" i="15" s="1"/>
  <c r="AC150" i="15" s="1"/>
  <c r="AD150" i="15" s="1"/>
  <c r="AE150" i="15" s="1"/>
  <c r="AF150" i="15" s="1"/>
  <c r="AG150" i="15" s="1"/>
  <c r="AH150" i="15" s="1"/>
  <c r="AI150" i="15" s="1"/>
  <c r="AJ150" i="15" s="1"/>
  <c r="AK150" i="15" s="1"/>
  <c r="AL150" i="15" s="1"/>
  <c r="AM150" i="15" s="1"/>
  <c r="AN150" i="15" s="1"/>
  <c r="AO150" i="15" s="1"/>
  <c r="AP150" i="15" s="1"/>
  <c r="AQ150" i="15" s="1"/>
  <c r="AR150" i="15" s="1"/>
  <c r="AS150" i="15" s="1"/>
  <c r="AT150" i="15" s="1"/>
  <c r="AU150" i="15" s="1"/>
  <c r="AV150" i="15" s="1"/>
  <c r="AW150" i="15" s="1"/>
  <c r="AX150" i="15" s="1"/>
  <c r="AY150" i="15" s="1"/>
  <c r="AZ150" i="15" s="1"/>
  <c r="BA150" i="15" s="1"/>
  <c r="BB150" i="15" s="1"/>
  <c r="BC150" i="15" s="1"/>
  <c r="BD150" i="15" s="1"/>
  <c r="BE150" i="15" s="1"/>
  <c r="BF150" i="15" s="1"/>
  <c r="BG150" i="15" s="1"/>
  <c r="BH150" i="15" s="1"/>
  <c r="BI150" i="15" s="1"/>
  <c r="BJ150" i="15" s="1"/>
  <c r="BK150" i="15" s="1"/>
  <c r="BL150" i="15" s="1"/>
  <c r="BM150" i="15" s="1"/>
  <c r="BN150" i="15" s="1"/>
  <c r="BO150" i="15" s="1"/>
  <c r="BP150" i="15" s="1"/>
  <c r="BQ150" i="15" s="1"/>
  <c r="BR150" i="15" s="1"/>
  <c r="BS150" i="15" s="1"/>
  <c r="L93" i="21"/>
  <c r="Y209" i="17" s="1"/>
  <c r="I93" i="21"/>
  <c r="V209" i="17" s="1"/>
  <c r="M93" i="21"/>
  <c r="Z209" i="17" s="1"/>
  <c r="J93" i="21"/>
  <c r="W209" i="17" s="1"/>
  <c r="N93" i="21"/>
  <c r="AA209" i="17" s="1"/>
  <c r="K93" i="21"/>
  <c r="X209" i="17" s="1"/>
  <c r="I61" i="21"/>
  <c r="M135" i="17" s="1"/>
  <c r="M61" i="21"/>
  <c r="Q135" i="17" s="1"/>
  <c r="J61" i="21"/>
  <c r="N135" i="17" s="1"/>
  <c r="N61" i="21"/>
  <c r="R135" i="17" s="1"/>
  <c r="K61" i="21"/>
  <c r="O135" i="17" s="1"/>
  <c r="L61" i="21"/>
  <c r="P135" i="17" s="1"/>
  <c r="I84" i="21"/>
  <c r="M256" i="17" s="1"/>
  <c r="M84" i="21"/>
  <c r="Q256" i="17" s="1"/>
  <c r="J84" i="21"/>
  <c r="N256" i="17" s="1"/>
  <c r="N84" i="21"/>
  <c r="R256" i="17" s="1"/>
  <c r="K84" i="21"/>
  <c r="O256" i="17" s="1"/>
  <c r="L84" i="21"/>
  <c r="P256" i="17" s="1"/>
  <c r="I44" i="21"/>
  <c r="I137" i="21" s="1"/>
  <c r="N44" i="21"/>
  <c r="N137" i="21" s="1"/>
  <c r="K44" i="21"/>
  <c r="K137" i="21" s="1"/>
  <c r="J44" i="21"/>
  <c r="J137" i="21" s="1"/>
  <c r="M44" i="21"/>
  <c r="M137" i="21" s="1"/>
  <c r="L44" i="21"/>
  <c r="L137" i="21" s="1"/>
  <c r="AF35" i="21"/>
  <c r="AE35" i="21"/>
  <c r="AE31" i="21"/>
  <c r="AF31" i="21"/>
  <c r="AF36" i="21"/>
  <c r="AE36" i="21"/>
  <c r="AF30" i="21"/>
  <c r="AE30" i="21"/>
  <c r="AE25" i="21"/>
  <c r="AF25" i="21"/>
  <c r="AF29" i="21"/>
  <c r="AE29" i="21"/>
  <c r="AF34" i="21"/>
  <c r="AE34" i="21"/>
  <c r="AD36" i="21"/>
  <c r="AC36" i="21"/>
  <c r="AB36" i="21"/>
  <c r="AA36" i="21"/>
  <c r="AB34" i="21"/>
  <c r="AA34" i="21"/>
  <c r="AD34" i="21"/>
  <c r="AC34" i="21"/>
  <c r="AA35" i="21"/>
  <c r="AD35" i="21"/>
  <c r="AC35" i="21"/>
  <c r="AB35" i="21"/>
  <c r="AB29" i="21"/>
  <c r="AA29" i="21"/>
  <c r="AD29" i="21"/>
  <c r="AC29" i="21"/>
  <c r="AD31" i="21"/>
  <c r="AC31" i="21"/>
  <c r="AB31" i="21"/>
  <c r="AA31" i="21"/>
  <c r="AA30" i="21"/>
  <c r="AD30" i="21"/>
  <c r="AC30" i="21"/>
  <c r="AB30" i="21"/>
  <c r="AD25" i="21"/>
  <c r="AC25" i="21"/>
  <c r="AA25" i="21"/>
  <c r="AB25" i="21"/>
  <c r="M212" i="9"/>
  <c r="Q212" i="9"/>
  <c r="Y212" i="9"/>
  <c r="AC212" i="9"/>
  <c r="AG212" i="9"/>
  <c r="AK212" i="9"/>
  <c r="AO212" i="9"/>
  <c r="AS212" i="9"/>
  <c r="AW212" i="9"/>
  <c r="BA212" i="9"/>
  <c r="BE212" i="9"/>
  <c r="BI212" i="9"/>
  <c r="BM212" i="9"/>
  <c r="BQ212" i="9"/>
  <c r="T212" i="9"/>
  <c r="AB212" i="9"/>
  <c r="AJ212" i="9"/>
  <c r="AR212" i="9"/>
  <c r="AZ212" i="9"/>
  <c r="BH212" i="9"/>
  <c r="BP212" i="9"/>
  <c r="N212" i="9"/>
  <c r="R212" i="9"/>
  <c r="Z212" i="9"/>
  <c r="AD212" i="9"/>
  <c r="AH212" i="9"/>
  <c r="AL212" i="9"/>
  <c r="AP212" i="9"/>
  <c r="AT212" i="9"/>
  <c r="AX212" i="9"/>
  <c r="BB212" i="9"/>
  <c r="BF212" i="9"/>
  <c r="BJ212" i="9"/>
  <c r="BN212" i="9"/>
  <c r="BR212" i="9"/>
  <c r="P212" i="9"/>
  <c r="O212" i="9"/>
  <c r="S212" i="9"/>
  <c r="AA212" i="9"/>
  <c r="AE212" i="9"/>
  <c r="AI212" i="9"/>
  <c r="AM212" i="9"/>
  <c r="AQ212" i="9"/>
  <c r="AU212" i="9"/>
  <c r="AY212" i="9"/>
  <c r="BC212" i="9"/>
  <c r="BG212" i="9"/>
  <c r="BK212" i="9"/>
  <c r="BO212" i="9"/>
  <c r="BS212" i="9"/>
  <c r="AF212" i="9"/>
  <c r="AN212" i="9"/>
  <c r="AV212" i="9"/>
  <c r="BD212" i="9"/>
  <c r="BL212" i="9"/>
  <c r="M132" i="9"/>
  <c r="O131" i="9"/>
  <c r="N132" i="9"/>
  <c r="I126" i="9"/>
  <c r="L132" i="9"/>
  <c r="M120" i="9"/>
  <c r="O119" i="9"/>
  <c r="N120" i="9"/>
  <c r="L120" i="9"/>
  <c r="N143" i="18"/>
  <c r="L146" i="18"/>
  <c r="I140" i="18"/>
  <c r="N133" i="18"/>
  <c r="M134" i="18"/>
  <c r="N136" i="20"/>
  <c r="M137" i="20"/>
  <c r="L137" i="20"/>
  <c r="E427" i="15"/>
  <c r="N198" i="5" a="1"/>
  <c r="N198" i="5" s="1"/>
  <c r="L198" i="5" a="1"/>
  <c r="L198" i="5" s="1"/>
  <c r="L196" i="5"/>
  <c r="G11" i="5"/>
  <c r="N4" i="5"/>
  <c r="O4" i="5"/>
  <c r="P4" i="5" s="1"/>
  <c r="Q4" i="5" s="1"/>
  <c r="R4" i="5" s="1"/>
  <c r="S4" i="5" s="1"/>
  <c r="T4" i="5" s="1"/>
  <c r="U4" i="5" s="1"/>
  <c r="V4" i="5" s="1"/>
  <c r="W4" i="5" s="1"/>
  <c r="X4" i="5" s="1"/>
  <c r="Y4" i="5" s="1"/>
  <c r="Z4" i="5" s="1"/>
  <c r="AA4" i="5" s="1"/>
  <c r="AB4" i="5" s="1"/>
  <c r="AC4" i="5" s="1"/>
  <c r="AD4" i="5" s="1"/>
  <c r="AE4" i="5" s="1"/>
  <c r="AF4" i="5" s="1"/>
  <c r="AG4" i="5" s="1"/>
  <c r="AH4" i="5" s="1"/>
  <c r="AI4" i="5" s="1"/>
  <c r="AJ4" i="5" s="1"/>
  <c r="AK4" i="5" s="1"/>
  <c r="AL4" i="5" s="1"/>
  <c r="AM4" i="5" s="1"/>
  <c r="AN4" i="5" s="1"/>
  <c r="AO4" i="5" s="1"/>
  <c r="AP4" i="5" s="1"/>
  <c r="AQ4" i="5" s="1"/>
  <c r="AR4" i="5" s="1"/>
  <c r="AS4" i="5" s="1"/>
  <c r="AT4" i="5" s="1"/>
  <c r="AU4" i="5" s="1"/>
  <c r="AV4" i="5" s="1"/>
  <c r="AW4" i="5" s="1"/>
  <c r="AX4" i="5" s="1"/>
  <c r="AY4" i="5" s="1"/>
  <c r="AZ4" i="5" s="1"/>
  <c r="BA4" i="5" s="1"/>
  <c r="BB4" i="5" s="1"/>
  <c r="BC4" i="5" s="1"/>
  <c r="BD4" i="5" s="1"/>
  <c r="BE4" i="5" s="1"/>
  <c r="BF4" i="5" s="1"/>
  <c r="BG4" i="5" s="1"/>
  <c r="BH4" i="5" s="1"/>
  <c r="BI4" i="5" s="1"/>
  <c r="BJ4" i="5" s="1"/>
  <c r="BK4" i="5" s="1"/>
  <c r="BL4" i="5" s="1"/>
  <c r="BM4" i="5" s="1"/>
  <c r="BN4" i="5" s="1"/>
  <c r="BO4" i="5" s="1"/>
  <c r="BP4" i="5" s="1"/>
  <c r="BQ4" i="5" s="1"/>
  <c r="BR4" i="5" s="1"/>
  <c r="BS4" i="5" s="1"/>
  <c r="BS198" i="5" s="1" a="1"/>
  <c r="BS198" i="5" s="1"/>
  <c r="M4" i="5"/>
  <c r="M198" i="5" s="1" a="1"/>
  <c r="M198" i="5" s="1"/>
  <c r="G425" i="15"/>
  <c r="I72" i="15"/>
  <c r="G72" i="15"/>
  <c r="I68" i="15"/>
  <c r="G68" i="15"/>
  <c r="I67" i="15"/>
  <c r="G67" i="15"/>
  <c r="I66" i="15"/>
  <c r="G66" i="15"/>
  <c r="I50" i="15"/>
  <c r="G50" i="15"/>
  <c r="I49" i="15"/>
  <c r="G49" i="15"/>
  <c r="I48" i="15"/>
  <c r="G48" i="15"/>
  <c r="F38" i="15"/>
  <c r="I558" i="15"/>
  <c r="I557" i="15"/>
  <c r="I555" i="15"/>
  <c r="I554" i="15"/>
  <c r="I553" i="15"/>
  <c r="I474" i="15"/>
  <c r="I472" i="15"/>
  <c r="I466" i="15"/>
  <c r="G426" i="15"/>
  <c r="L408" i="15"/>
  <c r="L402" i="15"/>
  <c r="L396" i="15"/>
  <c r="H58" i="15"/>
  <c r="H57" i="15"/>
  <c r="H56" i="15"/>
  <c r="G29" i="15"/>
  <c r="G28" i="15"/>
  <c r="G27" i="15"/>
  <c r="G403" i="11"/>
  <c r="F89" i="11"/>
  <c r="F88" i="11"/>
  <c r="X66" i="11"/>
  <c r="V66" i="11"/>
  <c r="X65" i="11"/>
  <c r="V65" i="11"/>
  <c r="X64" i="11"/>
  <c r="V64" i="11"/>
  <c r="X63" i="11"/>
  <c r="V63" i="11"/>
  <c r="L66" i="11"/>
  <c r="N66" i="11"/>
  <c r="Q66" i="11"/>
  <c r="S66" i="11"/>
  <c r="G28" i="11"/>
  <c r="G29" i="11"/>
  <c r="G27" i="11"/>
  <c r="L65" i="11"/>
  <c r="N65" i="11"/>
  <c r="Q65" i="11"/>
  <c r="S65" i="11"/>
  <c r="S64" i="11"/>
  <c r="Q64" i="11"/>
  <c r="S63" i="11"/>
  <c r="Q63" i="11"/>
  <c r="N64" i="11"/>
  <c r="L64" i="11"/>
  <c r="N63" i="11"/>
  <c r="L63" i="11"/>
  <c r="H54" i="11"/>
  <c r="S44" i="11"/>
  <c r="Q44" i="11"/>
  <c r="S43" i="11"/>
  <c r="Q43" i="11"/>
  <c r="S42" i="11"/>
  <c r="Q42" i="11"/>
  <c r="N43" i="11"/>
  <c r="N42" i="11"/>
  <c r="L42" i="11"/>
  <c r="I536" i="11"/>
  <c r="I535" i="11"/>
  <c r="I533" i="11"/>
  <c r="I532" i="11"/>
  <c r="I531" i="11"/>
  <c r="I452" i="11"/>
  <c r="I450" i="11"/>
  <c r="I444" i="11"/>
  <c r="G404" i="11"/>
  <c r="L386" i="11"/>
  <c r="L380" i="11"/>
  <c r="L374" i="11"/>
  <c r="H53" i="11"/>
  <c r="H52" i="11"/>
  <c r="G360" i="10"/>
  <c r="G70" i="10"/>
  <c r="F26" i="10"/>
  <c r="F27" i="10" s="1"/>
  <c r="F31" i="10" s="1"/>
  <c r="F60" i="10"/>
  <c r="F61" i="10" s="1"/>
  <c r="L4" i="10"/>
  <c r="I493" i="10"/>
  <c r="I492" i="10"/>
  <c r="I490" i="10"/>
  <c r="I489" i="10"/>
  <c r="I488" i="10"/>
  <c r="I409" i="10"/>
  <c r="I407" i="10"/>
  <c r="I401" i="10"/>
  <c r="G361" i="10"/>
  <c r="L343" i="10"/>
  <c r="L337" i="10"/>
  <c r="L331" i="10"/>
  <c r="F77" i="10"/>
  <c r="F76" i="10"/>
  <c r="I55" i="10"/>
  <c r="G55" i="10"/>
  <c r="I54" i="10"/>
  <c r="G54" i="10"/>
  <c r="H48" i="10"/>
  <c r="H47" i="10"/>
  <c r="I41" i="10"/>
  <c r="G41" i="10"/>
  <c r="I40" i="10"/>
  <c r="G40" i="10"/>
  <c r="G398" i="9"/>
  <c r="H55" i="9"/>
  <c r="G42" i="9"/>
  <c r="I531" i="9"/>
  <c r="I530" i="9"/>
  <c r="I528" i="9"/>
  <c r="I527" i="9"/>
  <c r="I526" i="9"/>
  <c r="I447" i="9"/>
  <c r="I445" i="9"/>
  <c r="I439" i="9"/>
  <c r="G399" i="9"/>
  <c r="L381" i="9"/>
  <c r="L375" i="9"/>
  <c r="L369" i="9"/>
  <c r="F78" i="9"/>
  <c r="F77" i="9"/>
  <c r="G48" i="9"/>
  <c r="F33" i="9"/>
  <c r="G351" i="8"/>
  <c r="G11" i="8" a="1"/>
  <c r="G11" i="8" s="1"/>
  <c r="I484" i="8"/>
  <c r="I483" i="8"/>
  <c r="I481" i="8"/>
  <c r="I480" i="8"/>
  <c r="I479" i="8"/>
  <c r="I400" i="8"/>
  <c r="I398" i="8"/>
  <c r="I392" i="8"/>
  <c r="G352" i="8"/>
  <c r="L352" i="8" s="1"/>
  <c r="L334" i="8"/>
  <c r="L328" i="8"/>
  <c r="L322" i="8"/>
  <c r="F74" i="8"/>
  <c r="F73" i="8"/>
  <c r="G51" i="8"/>
  <c r="G44" i="8"/>
  <c r="G37" i="8"/>
  <c r="M4" i="8"/>
  <c r="L343" i="5"/>
  <c r="L337" i="5"/>
  <c r="L331" i="5"/>
  <c r="F77" i="5"/>
  <c r="F76" i="5"/>
  <c r="I493" i="5"/>
  <c r="I492" i="5"/>
  <c r="I490" i="5"/>
  <c r="I488" i="5"/>
  <c r="I489" i="5"/>
  <c r="G361" i="5"/>
  <c r="R361" i="5" s="1"/>
  <c r="G360" i="5"/>
  <c r="I409" i="5"/>
  <c r="I407" i="5"/>
  <c r="F61" i="5"/>
  <c r="H48" i="5"/>
  <c r="H47" i="5"/>
  <c r="I55" i="5"/>
  <c r="G55" i="5"/>
  <c r="I54" i="5"/>
  <c r="G54" i="5"/>
  <c r="I41" i="5"/>
  <c r="I40" i="5"/>
  <c r="G41" i="5"/>
  <c r="G40" i="5"/>
  <c r="F27" i="5"/>
  <c r="F31" i="5" s="1"/>
  <c r="I214" i="1"/>
  <c r="I213" i="1"/>
  <c r="I212" i="1"/>
  <c r="C212" i="1"/>
  <c r="C213" i="1" s="1"/>
  <c r="C214" i="1" s="1"/>
  <c r="C215" i="1" s="1"/>
  <c r="I211" i="1"/>
  <c r="D211" i="1" a="1"/>
  <c r="D211" i="1" s="1"/>
  <c r="I205" i="1"/>
  <c r="I204" i="1"/>
  <c r="I203" i="1"/>
  <c r="C203" i="1"/>
  <c r="C204" i="1" s="1"/>
  <c r="C205" i="1" s="1"/>
  <c r="C206" i="1" s="1"/>
  <c r="I202" i="1"/>
  <c r="D202" i="1" a="1"/>
  <c r="D202" i="1" s="1"/>
  <c r="I196" i="1"/>
  <c r="I195" i="1"/>
  <c r="I194" i="1"/>
  <c r="C194" i="1"/>
  <c r="C195" i="1" s="1"/>
  <c r="C196" i="1" s="1"/>
  <c r="C197" i="1" s="1"/>
  <c r="I193" i="1"/>
  <c r="D193" i="1" a="1"/>
  <c r="D193" i="1" s="1"/>
  <c r="C182" i="1"/>
  <c r="C183" i="1" s="1"/>
  <c r="C184" i="1" s="1"/>
  <c r="C185" i="1" s="1"/>
  <c r="D181" i="1" a="1"/>
  <c r="D181" i="1" s="1"/>
  <c r="C173" i="1"/>
  <c r="C174" i="1" s="1"/>
  <c r="C175" i="1" s="1"/>
  <c r="C176" i="1" s="1"/>
  <c r="D172" i="1" a="1"/>
  <c r="D172" i="1" s="1"/>
  <c r="I166" i="1"/>
  <c r="I165" i="1"/>
  <c r="I164" i="1"/>
  <c r="I163" i="1"/>
  <c r="C164" i="1"/>
  <c r="C165" i="1" s="1"/>
  <c r="C166" i="1" s="1"/>
  <c r="C167" i="1" s="1"/>
  <c r="D163" i="1" a="1"/>
  <c r="D163" i="1" s="1"/>
  <c r="C82" i="1"/>
  <c r="C83" i="1" s="1"/>
  <c r="C84" i="1" s="1"/>
  <c r="C85" i="1" s="1"/>
  <c r="C64" i="1"/>
  <c r="C65" i="1" s="1"/>
  <c r="C66" i="1" s="1"/>
  <c r="C67" i="1" s="1"/>
  <c r="L4" i="1"/>
  <c r="M3" i="1"/>
  <c r="BL198" i="5" l="1" a="1"/>
  <c r="BL198" i="5" s="1"/>
  <c r="AZ198" i="5" a="1"/>
  <c r="AZ198" i="5" s="1"/>
  <c r="AN198" i="5" a="1"/>
  <c r="AN198" i="5" s="1"/>
  <c r="AB198" i="5" a="1"/>
  <c r="AB198" i="5" s="1"/>
  <c r="P198" i="5" a="1"/>
  <c r="P198" i="5" s="1"/>
  <c r="Q198" i="5" a="1"/>
  <c r="Q198" i="5" s="1"/>
  <c r="BK198" i="5" a="1"/>
  <c r="BK198" i="5" s="1"/>
  <c r="AY198" i="5" a="1"/>
  <c r="AY198" i="5" s="1"/>
  <c r="AM198" i="5" a="1"/>
  <c r="AM198" i="5" s="1"/>
  <c r="AA198" i="5" a="1"/>
  <c r="AA198" i="5" s="1"/>
  <c r="O198" i="5" a="1"/>
  <c r="O198" i="5" s="1"/>
  <c r="BA198" i="5" a="1"/>
  <c r="BA198" i="5" s="1"/>
  <c r="AX198" i="5" a="1"/>
  <c r="AX198" i="5" s="1"/>
  <c r="M196" i="5"/>
  <c r="BI198" i="5" a="1"/>
  <c r="BI198" i="5" s="1"/>
  <c r="AW198" i="5" a="1"/>
  <c r="AW198" i="5" s="1"/>
  <c r="AK198" i="5" a="1"/>
  <c r="AK198" i="5" s="1"/>
  <c r="Y198" i="5" a="1"/>
  <c r="Y198" i="5" s="1"/>
  <c r="X198" i="5" a="1"/>
  <c r="X198" i="5" s="1"/>
  <c r="AU198" i="5" a="1"/>
  <c r="AU198" i="5" s="1"/>
  <c r="BR198" i="5" a="1"/>
  <c r="BR198" i="5" s="1"/>
  <c r="BF198" i="5" a="1"/>
  <c r="BF198" i="5" s="1"/>
  <c r="AT198" i="5" a="1"/>
  <c r="AT198" i="5" s="1"/>
  <c r="AH198" i="5" a="1"/>
  <c r="AH198" i="5" s="1"/>
  <c r="V198" i="5" a="1"/>
  <c r="V198" i="5" s="1"/>
  <c r="I123" i="23"/>
  <c r="R134" i="23"/>
  <c r="R160" i="23" s="1"/>
  <c r="R124" i="23"/>
  <c r="I124" i="23" s="1"/>
  <c r="R135" i="23"/>
  <c r="R161" i="23" s="1"/>
  <c r="AO198" i="5" a="1"/>
  <c r="AO198" i="5" s="1"/>
  <c r="AJ198" i="5" a="1"/>
  <c r="AJ198" i="5" s="1"/>
  <c r="BG198" i="5" a="1"/>
  <c r="BG198" i="5" s="1"/>
  <c r="BQ198" i="5" a="1"/>
  <c r="BQ198" i="5" s="1"/>
  <c r="BE198" i="5" a="1"/>
  <c r="BE198" i="5" s="1"/>
  <c r="AS198" i="5" a="1"/>
  <c r="AS198" i="5" s="1"/>
  <c r="AG198" i="5" a="1"/>
  <c r="AG198" i="5" s="1"/>
  <c r="U198" i="5" a="1"/>
  <c r="U198" i="5" s="1"/>
  <c r="AL198" i="5" a="1"/>
  <c r="AL198" i="5" s="1"/>
  <c r="BH198" i="5" a="1"/>
  <c r="BH198" i="5" s="1"/>
  <c r="BP198" i="5" a="1"/>
  <c r="BP198" i="5" s="1"/>
  <c r="BD198" i="5" a="1"/>
  <c r="BD198" i="5" s="1"/>
  <c r="AR198" i="5" a="1"/>
  <c r="AR198" i="5" s="1"/>
  <c r="AF198" i="5" a="1"/>
  <c r="AF198" i="5" s="1"/>
  <c r="T198" i="5" a="1"/>
  <c r="T198" i="5" s="1"/>
  <c r="BM198" i="5" a="1"/>
  <c r="BM198" i="5" s="1"/>
  <c r="BJ198" i="5" a="1"/>
  <c r="BJ198" i="5" s="1"/>
  <c r="Z198" i="5" a="1"/>
  <c r="Z198" i="5" s="1"/>
  <c r="AV198" i="5" a="1"/>
  <c r="AV198" i="5" s="1"/>
  <c r="AI198" i="5" a="1"/>
  <c r="AI198" i="5" s="1"/>
  <c r="BO198" i="5" a="1"/>
  <c r="BO198" i="5" s="1"/>
  <c r="BC198" i="5" a="1"/>
  <c r="BC198" i="5" s="1"/>
  <c r="AQ198" i="5" a="1"/>
  <c r="AQ198" i="5" s="1"/>
  <c r="AE198" i="5" a="1"/>
  <c r="AE198" i="5" s="1"/>
  <c r="S198" i="5" a="1"/>
  <c r="S198" i="5" s="1"/>
  <c r="AC198" i="5" a="1"/>
  <c r="AC198" i="5" s="1"/>
  <c r="W198" i="5" a="1"/>
  <c r="W198" i="5" s="1"/>
  <c r="Z360" i="5"/>
  <c r="BN198" i="5" a="1"/>
  <c r="BN198" i="5" s="1"/>
  <c r="BB198" i="5" a="1"/>
  <c r="BB198" i="5" s="1"/>
  <c r="AP198" i="5" a="1"/>
  <c r="AP198" i="5" s="1"/>
  <c r="AD198" i="5" a="1"/>
  <c r="AD198" i="5" s="1"/>
  <c r="R198" i="5" a="1"/>
  <c r="R198" i="5" s="1"/>
  <c r="L134" i="17"/>
  <c r="L252" i="17"/>
  <c r="N305" i="15"/>
  <c r="N307" i="15"/>
  <c r="L136" i="17"/>
  <c r="H68" i="21"/>
  <c r="L38" i="17"/>
  <c r="H137" i="21"/>
  <c r="H139" i="21" s="1"/>
  <c r="H89" i="21"/>
  <c r="R129" i="23"/>
  <c r="Q130" i="23"/>
  <c r="S117" i="23"/>
  <c r="R118" i="23"/>
  <c r="X40" i="17"/>
  <c r="P40" i="17"/>
  <c r="V40" i="17"/>
  <c r="N40" i="17"/>
  <c r="H121" i="21"/>
  <c r="H174" i="21"/>
  <c r="H178" i="21" s="1"/>
  <c r="H183" i="21"/>
  <c r="H191" i="21" s="1"/>
  <c r="H122" i="21"/>
  <c r="M168" i="21"/>
  <c r="O126" i="21"/>
  <c r="H48" i="21"/>
  <c r="O95" i="21"/>
  <c r="AB213" i="17" s="1"/>
  <c r="H47" i="21"/>
  <c r="H94" i="21" s="1"/>
  <c r="U210" i="17" s="1"/>
  <c r="O51" i="21"/>
  <c r="O53" i="21" s="1"/>
  <c r="O94" i="21"/>
  <c r="AB210" i="17" s="1"/>
  <c r="I168" i="21"/>
  <c r="O139" i="21"/>
  <c r="O168" i="21"/>
  <c r="T40" i="17"/>
  <c r="R40" i="17"/>
  <c r="N168" i="21"/>
  <c r="H124" i="21"/>
  <c r="H125" i="21"/>
  <c r="L126" i="21"/>
  <c r="N126" i="21"/>
  <c r="I126" i="21"/>
  <c r="J168" i="21"/>
  <c r="J126" i="21"/>
  <c r="K126" i="21"/>
  <c r="M126" i="21"/>
  <c r="H120" i="21"/>
  <c r="L168" i="21"/>
  <c r="K168" i="21"/>
  <c r="H111" i="21"/>
  <c r="H114" i="21"/>
  <c r="H117" i="21"/>
  <c r="H152" i="21"/>
  <c r="H168" i="21" s="1"/>
  <c r="H147" i="21"/>
  <c r="H149" i="21" s="1"/>
  <c r="S127" i="23"/>
  <c r="J139" i="21"/>
  <c r="I139" i="21"/>
  <c r="M139" i="21"/>
  <c r="N139" i="21"/>
  <c r="L139" i="21"/>
  <c r="K139" i="21"/>
  <c r="H93" i="21"/>
  <c r="U209" i="17" s="1"/>
  <c r="Z31" i="21"/>
  <c r="Z29" i="21"/>
  <c r="Z36" i="21"/>
  <c r="Z30" i="21"/>
  <c r="Z35" i="21"/>
  <c r="AI34" i="21"/>
  <c r="AI35" i="21"/>
  <c r="AI36" i="21"/>
  <c r="AI29" i="21"/>
  <c r="AI30" i="21"/>
  <c r="AI31" i="21"/>
  <c r="AI25" i="21"/>
  <c r="Z25" i="21"/>
  <c r="O148" i="15"/>
  <c r="M151" i="15"/>
  <c r="N151" i="15"/>
  <c r="N251" i="15" s="1"/>
  <c r="O140" i="11"/>
  <c r="N142" i="11"/>
  <c r="M143" i="11"/>
  <c r="I95" i="21"/>
  <c r="V213" i="17" s="1"/>
  <c r="M95" i="21"/>
  <c r="Z213" i="17" s="1"/>
  <c r="J95" i="21"/>
  <c r="W213" i="17" s="1"/>
  <c r="N95" i="21"/>
  <c r="AA213" i="17" s="1"/>
  <c r="K95" i="21"/>
  <c r="X213" i="17" s="1"/>
  <c r="L95" i="21"/>
  <c r="Y213" i="17" s="1"/>
  <c r="I94" i="21"/>
  <c r="V210" i="17" s="1"/>
  <c r="M94" i="21"/>
  <c r="Z210" i="17" s="1"/>
  <c r="J94" i="21"/>
  <c r="W210" i="17" s="1"/>
  <c r="N94" i="21"/>
  <c r="AA210" i="17" s="1"/>
  <c r="K94" i="21"/>
  <c r="X210" i="17" s="1"/>
  <c r="L94" i="21"/>
  <c r="Y210" i="17" s="1"/>
  <c r="H84" i="21"/>
  <c r="L256" i="17" s="1"/>
  <c r="H61" i="21"/>
  <c r="L135" i="17" s="1"/>
  <c r="Z34" i="21"/>
  <c r="H20" i="21"/>
  <c r="H159" i="21" s="1"/>
  <c r="L212" i="9"/>
  <c r="P131" i="9"/>
  <c r="O132" i="9"/>
  <c r="P119" i="9"/>
  <c r="O120" i="9"/>
  <c r="O143" i="18"/>
  <c r="M146" i="18"/>
  <c r="N146" i="18"/>
  <c r="O133" i="18"/>
  <c r="N134" i="18"/>
  <c r="O136" i="20"/>
  <c r="N137" i="20"/>
  <c r="L31" i="1"/>
  <c r="L33" i="1"/>
  <c r="N3" i="1"/>
  <c r="O3" i="1" s="1"/>
  <c r="P3" i="1" s="1"/>
  <c r="Q3" i="1" s="1"/>
  <c r="R3" i="1" s="1"/>
  <c r="S3" i="1" s="1"/>
  <c r="T3" i="1" s="1"/>
  <c r="U3" i="1" s="1"/>
  <c r="V3" i="1" s="1"/>
  <c r="W3" i="1" s="1"/>
  <c r="X3" i="1" s="1"/>
  <c r="Y3" i="1" s="1"/>
  <c r="Z3" i="1" s="1"/>
  <c r="AA3" i="1" s="1"/>
  <c r="AB3" i="1" s="1"/>
  <c r="AC3" i="1" s="1"/>
  <c r="AD3" i="1" s="1"/>
  <c r="AE3" i="1" s="1"/>
  <c r="AF3" i="1" s="1"/>
  <c r="AG3" i="1" s="1"/>
  <c r="AH3" i="1" s="1"/>
  <c r="AI3" i="1" s="1"/>
  <c r="AJ3" i="1" s="1"/>
  <c r="AK3" i="1" s="1"/>
  <c r="AL3" i="1" s="1"/>
  <c r="AM3" i="1" s="1"/>
  <c r="AN3" i="1" s="1"/>
  <c r="AO3" i="1" s="1"/>
  <c r="AP3" i="1" s="1"/>
  <c r="BN360" i="5"/>
  <c r="AP360" i="5"/>
  <c r="V360" i="5"/>
  <c r="BF360" i="5"/>
  <c r="AL360" i="5"/>
  <c r="R360" i="5"/>
  <c r="BB360" i="5"/>
  <c r="AH360" i="5"/>
  <c r="BR360" i="5"/>
  <c r="AX360" i="5"/>
  <c r="E400" i="9"/>
  <c r="E362" i="5"/>
  <c r="E362" i="10"/>
  <c r="E405" i="11"/>
  <c r="E353" i="8"/>
  <c r="O360" i="5"/>
  <c r="S360" i="5"/>
  <c r="W360" i="5"/>
  <c r="AA360" i="5"/>
  <c r="AE360" i="5"/>
  <c r="AI360" i="5"/>
  <c r="AM360" i="5"/>
  <c r="AQ360" i="5"/>
  <c r="AU360" i="5"/>
  <c r="AY360" i="5"/>
  <c r="BC360" i="5"/>
  <c r="BG360" i="5"/>
  <c r="BK360" i="5"/>
  <c r="BO360" i="5"/>
  <c r="BS360" i="5"/>
  <c r="M360" i="5"/>
  <c r="Q360" i="5"/>
  <c r="U360" i="5"/>
  <c r="Y360" i="5"/>
  <c r="AC360" i="5"/>
  <c r="AG360" i="5"/>
  <c r="AK360" i="5"/>
  <c r="AO360" i="5"/>
  <c r="AS360" i="5"/>
  <c r="AW360" i="5"/>
  <c r="BA360" i="5"/>
  <c r="BE360" i="5"/>
  <c r="BI360" i="5"/>
  <c r="BM360" i="5"/>
  <c r="BQ360" i="5"/>
  <c r="P360" i="5"/>
  <c r="T360" i="5"/>
  <c r="X360" i="5"/>
  <c r="AB360" i="5"/>
  <c r="AF360" i="5"/>
  <c r="AJ360" i="5"/>
  <c r="AN360" i="5"/>
  <c r="AR360" i="5"/>
  <c r="AV360" i="5"/>
  <c r="AZ360" i="5"/>
  <c r="BD360" i="5"/>
  <c r="BH360" i="5"/>
  <c r="BL360" i="5"/>
  <c r="BP360" i="5"/>
  <c r="L360" i="5"/>
  <c r="L363" i="5" s="1"/>
  <c r="BJ360" i="5"/>
  <c r="AT360" i="5"/>
  <c r="AD360" i="5"/>
  <c r="N360" i="5"/>
  <c r="G191" i="1"/>
  <c r="N79" i="1"/>
  <c r="L79" i="1"/>
  <c r="G200" i="1"/>
  <c r="N61" i="1"/>
  <c r="L61" i="1"/>
  <c r="O79" i="1"/>
  <c r="P79" i="1"/>
  <c r="P61" i="1"/>
  <c r="G61" i="1"/>
  <c r="G209" i="1"/>
  <c r="G170" i="1"/>
  <c r="G79" i="1"/>
  <c r="G179" i="1"/>
  <c r="M79" i="1"/>
  <c r="G161" i="1"/>
  <c r="M61" i="1"/>
  <c r="BG361" i="5"/>
  <c r="AN361" i="5"/>
  <c r="O361" i="5"/>
  <c r="S361" i="5"/>
  <c r="W361" i="5"/>
  <c r="AA361" i="5"/>
  <c r="AE361" i="5"/>
  <c r="AI361" i="5"/>
  <c r="AM361" i="5"/>
  <c r="AQ361" i="5"/>
  <c r="AU361" i="5"/>
  <c r="AY361" i="5"/>
  <c r="N361" i="5"/>
  <c r="T361" i="5"/>
  <c r="Y361" i="5"/>
  <c r="AD361" i="5"/>
  <c r="AJ361" i="5"/>
  <c r="AO361" i="5"/>
  <c r="AT361" i="5"/>
  <c r="AZ361" i="5"/>
  <c r="BD361" i="5"/>
  <c r="BH361" i="5"/>
  <c r="BL361" i="5"/>
  <c r="BP361" i="5"/>
  <c r="L361" i="5"/>
  <c r="L364" i="5" s="1"/>
  <c r="P361" i="5"/>
  <c r="U361" i="5"/>
  <c r="Z361" i="5"/>
  <c r="AF361" i="5"/>
  <c r="AK361" i="5"/>
  <c r="AP361" i="5"/>
  <c r="AV361" i="5"/>
  <c r="BA361" i="5"/>
  <c r="BE361" i="5"/>
  <c r="BI361" i="5"/>
  <c r="BM361" i="5"/>
  <c r="BQ361" i="5"/>
  <c r="Q361" i="5"/>
  <c r="V361" i="5"/>
  <c r="AB361" i="5"/>
  <c r="AG361" i="5"/>
  <c r="AL361" i="5"/>
  <c r="AR361" i="5"/>
  <c r="AW361" i="5"/>
  <c r="BB361" i="5"/>
  <c r="BF361" i="5"/>
  <c r="BJ361" i="5"/>
  <c r="BN361" i="5"/>
  <c r="BR361" i="5"/>
  <c r="BS361" i="5"/>
  <c r="BC361" i="5"/>
  <c r="AH361" i="5"/>
  <c r="M361" i="5"/>
  <c r="BO361" i="5"/>
  <c r="AX361" i="5"/>
  <c r="AC361" i="5"/>
  <c r="BK361" i="5"/>
  <c r="AS361" i="5"/>
  <c r="X361" i="5"/>
  <c r="Q61" i="1"/>
  <c r="M4" i="10"/>
  <c r="M361" i="10" s="1"/>
  <c r="M364" i="10" s="1"/>
  <c r="G11" i="10"/>
  <c r="L361" i="10"/>
  <c r="L364" i="10" s="1"/>
  <c r="M360" i="10"/>
  <c r="M363" i="10" s="1"/>
  <c r="M198" i="10" a="1"/>
  <c r="M198" i="10" s="1"/>
  <c r="N4" i="10"/>
  <c r="M196" i="10"/>
  <c r="L360" i="10"/>
  <c r="L363" i="10" s="1"/>
  <c r="L198" i="10" a="1"/>
  <c r="L198" i="10" s="1"/>
  <c r="L196" i="10"/>
  <c r="M351" i="8"/>
  <c r="M354" i="8" s="1"/>
  <c r="M352" i="8"/>
  <c r="M355" i="8" s="1"/>
  <c r="L351" i="8"/>
  <c r="L354" i="8" s="1"/>
  <c r="N4" i="8"/>
  <c r="N351" i="8" s="1"/>
  <c r="N354" i="8" s="1"/>
  <c r="L355" i="8"/>
  <c r="Q79" i="1"/>
  <c r="O61" i="1"/>
  <c r="AQ3" i="1"/>
  <c r="R79" i="1"/>
  <c r="L5" i="1"/>
  <c r="M4" i="1"/>
  <c r="R211" i="23" l="1"/>
  <c r="R172" i="23"/>
  <c r="I161" i="23"/>
  <c r="R162" i="23"/>
  <c r="R170" i="23" s="1"/>
  <c r="R210" i="23"/>
  <c r="R212" i="23" s="1"/>
  <c r="L448" i="23" a="1"/>
  <c r="L448" i="23" s="1"/>
  <c r="R171" i="23"/>
  <c r="I160" i="23"/>
  <c r="O305" i="15"/>
  <c r="O307" i="15"/>
  <c r="S129" i="23"/>
  <c r="R130" i="23"/>
  <c r="T117" i="23"/>
  <c r="S118" i="23"/>
  <c r="I20" i="21"/>
  <c r="I159" i="21" s="1"/>
  <c r="O145" i="21"/>
  <c r="L40" i="17"/>
  <c r="H126" i="21"/>
  <c r="T127" i="23"/>
  <c r="I133" i="21"/>
  <c r="Q20" i="21"/>
  <c r="Z20" i="21" s="1"/>
  <c r="AI20" i="21" s="1"/>
  <c r="H133" i="21"/>
  <c r="H169" i="21" s="1"/>
  <c r="O151" i="15"/>
  <c r="O251" i="15" s="1"/>
  <c r="P148" i="15"/>
  <c r="P140" i="11"/>
  <c r="O142" i="11"/>
  <c r="N143" i="11"/>
  <c r="H95" i="21"/>
  <c r="U213" i="17" s="1"/>
  <c r="P132" i="9"/>
  <c r="Q131" i="9"/>
  <c r="P120" i="9"/>
  <c r="Q119" i="9"/>
  <c r="P143" i="18"/>
  <c r="O146" i="18"/>
  <c r="P133" i="18"/>
  <c r="O134" i="18"/>
  <c r="P136" i="20"/>
  <c r="O137" i="20"/>
  <c r="M33" i="1"/>
  <c r="M31" i="1"/>
  <c r="L108" i="8"/>
  <c r="L107" i="8"/>
  <c r="X79" i="1"/>
  <c r="V79" i="1"/>
  <c r="S79" i="1"/>
  <c r="H26" i="21" s="1" a="1"/>
  <c r="T79" i="1"/>
  <c r="U79" i="1"/>
  <c r="I209" i="1"/>
  <c r="I161" i="1"/>
  <c r="I200" i="1"/>
  <c r="I191" i="1"/>
  <c r="Y79" i="1"/>
  <c r="Z79" i="1"/>
  <c r="L110" i="5"/>
  <c r="L111" i="5"/>
  <c r="L110" i="10"/>
  <c r="L115" i="10" s="1"/>
  <c r="L111" i="10"/>
  <c r="L116" i="10" s="1"/>
  <c r="O4" i="10"/>
  <c r="N361" i="10"/>
  <c r="N364" i="10" s="1"/>
  <c r="N360" i="10"/>
  <c r="N363" i="10" s="1"/>
  <c r="N198" i="10" a="1"/>
  <c r="N198" i="10" s="1"/>
  <c r="N196" i="10"/>
  <c r="N352" i="8"/>
  <c r="N355" i="8" s="1"/>
  <c r="O4" i="8"/>
  <c r="N4" i="1"/>
  <c r="M363" i="5"/>
  <c r="M364" i="5"/>
  <c r="W79" i="1"/>
  <c r="R61" i="1"/>
  <c r="AR3" i="1"/>
  <c r="M5" i="1"/>
  <c r="P305" i="15" l="1"/>
  <c r="P307" i="15"/>
  <c r="T129" i="23"/>
  <c r="S130" i="23"/>
  <c r="U117" i="23"/>
  <c r="T118" i="23"/>
  <c r="J20" i="21"/>
  <c r="J159" i="21" s="1"/>
  <c r="R20" i="21"/>
  <c r="AA20" i="21" s="1"/>
  <c r="AJ20" i="21" s="1"/>
  <c r="H26" i="21"/>
  <c r="AP26" i="21"/>
  <c r="AG26" i="21"/>
  <c r="O112" i="21"/>
  <c r="I112" i="21"/>
  <c r="K112" i="21"/>
  <c r="M112" i="21"/>
  <c r="L112" i="21"/>
  <c r="J112" i="21"/>
  <c r="N112" i="21"/>
  <c r="U127" i="23"/>
  <c r="I169" i="21"/>
  <c r="J133" i="21"/>
  <c r="AJ26" i="21"/>
  <c r="AO26" i="21"/>
  <c r="AN26" i="21"/>
  <c r="AL26" i="21"/>
  <c r="AM26" i="21"/>
  <c r="AK26" i="21"/>
  <c r="P151" i="15"/>
  <c r="P251" i="15" s="1"/>
  <c r="Q148" i="15"/>
  <c r="Q140" i="11"/>
  <c r="O143" i="11"/>
  <c r="P142" i="11"/>
  <c r="I96" i="21"/>
  <c r="M96" i="21"/>
  <c r="J96" i="21"/>
  <c r="N96" i="21"/>
  <c r="K96" i="21"/>
  <c r="L96" i="21"/>
  <c r="N51" i="21"/>
  <c r="I51" i="21"/>
  <c r="K51" i="21"/>
  <c r="M51" i="21"/>
  <c r="L51" i="21"/>
  <c r="J51" i="21"/>
  <c r="H96" i="21"/>
  <c r="AF26" i="21"/>
  <c r="AE26" i="21"/>
  <c r="AC26" i="21"/>
  <c r="AD26" i="21"/>
  <c r="AA26" i="21"/>
  <c r="AB26" i="21"/>
  <c r="Q132" i="9"/>
  <c r="R131" i="9"/>
  <c r="Q120" i="9"/>
  <c r="R119" i="9"/>
  <c r="Q143" i="18"/>
  <c r="P146" i="18"/>
  <c r="Q133" i="18"/>
  <c r="P134" i="18"/>
  <c r="Q136" i="20"/>
  <c r="P137" i="20"/>
  <c r="N31" i="1"/>
  <c r="N33" i="1"/>
  <c r="I131" i="20"/>
  <c r="I130" i="20"/>
  <c r="M107" i="8"/>
  <c r="I79" i="1"/>
  <c r="M108" i="8"/>
  <c r="L113" i="8"/>
  <c r="L116" i="5"/>
  <c r="M110" i="10"/>
  <c r="M115" i="10" s="1"/>
  <c r="M110" i="5"/>
  <c r="M111" i="5"/>
  <c r="L112" i="10"/>
  <c r="M111" i="10"/>
  <c r="P4" i="10"/>
  <c r="O361" i="10"/>
  <c r="O364" i="10" s="1"/>
  <c r="O360" i="10"/>
  <c r="O363" i="10" s="1"/>
  <c r="O196" i="10"/>
  <c r="O198" i="10" a="1"/>
  <c r="O198" i="10" s="1"/>
  <c r="L117" i="10"/>
  <c r="O351" i="8"/>
  <c r="O354" i="8" s="1"/>
  <c r="O352" i="8"/>
  <c r="O355" i="8" s="1"/>
  <c r="P4" i="8"/>
  <c r="O4" i="1"/>
  <c r="N5" i="1"/>
  <c r="N363" i="5"/>
  <c r="N364" i="5"/>
  <c r="AS3" i="1"/>
  <c r="S61" i="1"/>
  <c r="S20" i="21" l="1"/>
  <c r="AB20" i="21" s="1"/>
  <c r="AK20" i="21" s="1"/>
  <c r="Q305" i="15"/>
  <c r="Q307" i="15"/>
  <c r="H112" i="21"/>
  <c r="U129" i="23"/>
  <c r="T130" i="23"/>
  <c r="V117" i="23"/>
  <c r="U118" i="23"/>
  <c r="K20" i="21"/>
  <c r="K159" i="21" s="1"/>
  <c r="H24" i="21" a="1"/>
  <c r="V127" i="23"/>
  <c r="K133" i="21"/>
  <c r="J169" i="21"/>
  <c r="I53" i="21"/>
  <c r="I145" i="21"/>
  <c r="L53" i="21"/>
  <c r="L145" i="21"/>
  <c r="N53" i="21"/>
  <c r="N145" i="21"/>
  <c r="M53" i="21"/>
  <c r="M145" i="21"/>
  <c r="J53" i="21"/>
  <c r="J145" i="21"/>
  <c r="K53" i="21"/>
  <c r="K145" i="21"/>
  <c r="AI26" i="21"/>
  <c r="Q151" i="15"/>
  <c r="Q251" i="15" s="1"/>
  <c r="R148" i="15"/>
  <c r="R140" i="11"/>
  <c r="Q142" i="11"/>
  <c r="P143" i="11"/>
  <c r="Z26" i="21"/>
  <c r="H51" i="21"/>
  <c r="S131" i="9"/>
  <c r="R132" i="9"/>
  <c r="S119" i="9"/>
  <c r="R120" i="9"/>
  <c r="R143" i="18"/>
  <c r="Q146" i="18"/>
  <c r="R133" i="18"/>
  <c r="Q134" i="18"/>
  <c r="R136" i="20"/>
  <c r="Q137" i="20"/>
  <c r="O31" i="1"/>
  <c r="O33" i="1"/>
  <c r="N108" i="8"/>
  <c r="N107" i="8"/>
  <c r="M116" i="5"/>
  <c r="M113" i="8"/>
  <c r="N111" i="5"/>
  <c r="N110" i="5"/>
  <c r="L115" i="5"/>
  <c r="L112" i="5"/>
  <c r="M112" i="10"/>
  <c r="M116" i="10"/>
  <c r="M117" i="10" s="1"/>
  <c r="N111" i="10"/>
  <c r="N110" i="10"/>
  <c r="N115" i="10" s="1"/>
  <c r="Q4" i="10"/>
  <c r="P198" i="10" a="1"/>
  <c r="P198" i="10" s="1"/>
  <c r="P196" i="10"/>
  <c r="P361" i="10"/>
  <c r="P364" i="10" s="1"/>
  <c r="P360" i="10"/>
  <c r="P363" i="10" s="1"/>
  <c r="O364" i="5"/>
  <c r="O5" i="1"/>
  <c r="P352" i="8"/>
  <c r="P355" i="8" s="1"/>
  <c r="P351" i="8"/>
  <c r="P354" i="8" s="1"/>
  <c r="P4" i="1"/>
  <c r="Q4" i="8"/>
  <c r="O363" i="5"/>
  <c r="AT3" i="1"/>
  <c r="AU3" i="1" s="1"/>
  <c r="T61" i="1"/>
  <c r="R305" i="15" l="1"/>
  <c r="R307" i="15"/>
  <c r="I127" i="21"/>
  <c r="K127" i="21"/>
  <c r="M127" i="21"/>
  <c r="O127" i="21"/>
  <c r="J127" i="21"/>
  <c r="L127" i="21"/>
  <c r="N127" i="21"/>
  <c r="I157" i="21"/>
  <c r="I165" i="21" s="1"/>
  <c r="J157" i="21"/>
  <c r="J165" i="21" s="1"/>
  <c r="M157" i="21"/>
  <c r="O157" i="21"/>
  <c r="K157" i="21"/>
  <c r="K165" i="21" s="1"/>
  <c r="N157" i="21"/>
  <c r="L157" i="21"/>
  <c r="I130" i="21"/>
  <c r="I134" i="21" s="1"/>
  <c r="J130" i="21"/>
  <c r="J134" i="21" s="1"/>
  <c r="K130" i="21"/>
  <c r="K134" i="21" s="1"/>
  <c r="L130" i="21"/>
  <c r="M130" i="21"/>
  <c r="N130" i="21"/>
  <c r="O130" i="21"/>
  <c r="V129" i="23"/>
  <c r="U130" i="23"/>
  <c r="W117" i="23"/>
  <c r="V118" i="23"/>
  <c r="I37" i="21"/>
  <c r="N37" i="21"/>
  <c r="J37" i="21"/>
  <c r="M37" i="21"/>
  <c r="K37" i="21"/>
  <c r="L37" i="21"/>
  <c r="O37" i="21"/>
  <c r="I185" i="21"/>
  <c r="I187" i="21" s="1"/>
  <c r="K185" i="21"/>
  <c r="K187" i="21" s="1"/>
  <c r="M185" i="21"/>
  <c r="M187" i="21" s="1"/>
  <c r="O185" i="21"/>
  <c r="O187" i="21" s="1"/>
  <c r="J185" i="21"/>
  <c r="J187" i="21" s="1"/>
  <c r="L185" i="21"/>
  <c r="L187" i="21" s="1"/>
  <c r="N185" i="21"/>
  <c r="N187" i="21" s="1"/>
  <c r="M110" i="21"/>
  <c r="T20" i="21"/>
  <c r="AC20" i="21" s="1"/>
  <c r="AL20" i="21" s="1"/>
  <c r="AA24" i="21"/>
  <c r="AF24" i="21"/>
  <c r="AC24" i="21"/>
  <c r="AD24" i="21"/>
  <c r="AE24" i="21"/>
  <c r="AB24" i="21"/>
  <c r="AO24" i="21"/>
  <c r="AL24" i="21"/>
  <c r="N110" i="21"/>
  <c r="AM24" i="21"/>
  <c r="K110" i="21"/>
  <c r="AN24" i="21"/>
  <c r="J110" i="21"/>
  <c r="I110" i="21"/>
  <c r="L110" i="21"/>
  <c r="AK24" i="21"/>
  <c r="AJ24" i="21"/>
  <c r="H24" i="21"/>
  <c r="AG24" i="21"/>
  <c r="AP24" i="21"/>
  <c r="O110" i="21"/>
  <c r="W127" i="23"/>
  <c r="L20" i="21"/>
  <c r="K169" i="21"/>
  <c r="H53" i="21"/>
  <c r="H145" i="21"/>
  <c r="R151" i="15"/>
  <c r="R251" i="15" s="1"/>
  <c r="S148" i="15"/>
  <c r="S307" i="15" s="1"/>
  <c r="S140" i="11"/>
  <c r="R142" i="11"/>
  <c r="Q143" i="11"/>
  <c r="S132" i="9"/>
  <c r="T131" i="9"/>
  <c r="T119" i="9"/>
  <c r="S120" i="9"/>
  <c r="S143" i="18"/>
  <c r="R146" i="18"/>
  <c r="S133" i="18"/>
  <c r="R134" i="18"/>
  <c r="S136" i="20"/>
  <c r="R137" i="20"/>
  <c r="P33" i="1"/>
  <c r="P31" i="1"/>
  <c r="O108" i="8"/>
  <c r="P5" i="1"/>
  <c r="P107" i="8" s="1"/>
  <c r="O107" i="8"/>
  <c r="O111" i="5"/>
  <c r="O110" i="5"/>
  <c r="M112" i="5"/>
  <c r="M115" i="5"/>
  <c r="N112" i="10"/>
  <c r="O111" i="10"/>
  <c r="O110" i="10"/>
  <c r="O115" i="10" s="1"/>
  <c r="N116" i="10"/>
  <c r="R4" i="10"/>
  <c r="Q361" i="10"/>
  <c r="Q364" i="10" s="1"/>
  <c r="Q360" i="10"/>
  <c r="Q363" i="10" s="1"/>
  <c r="Q198" i="10" a="1"/>
  <c r="Q198" i="10" s="1"/>
  <c r="Q196" i="10"/>
  <c r="N113" i="8"/>
  <c r="Q351" i="8"/>
  <c r="Q354" i="8" s="1"/>
  <c r="Q352" i="8"/>
  <c r="Q355" i="8" s="1"/>
  <c r="Q4" i="1"/>
  <c r="P364" i="5"/>
  <c r="P363" i="5"/>
  <c r="R4" i="8"/>
  <c r="N116" i="5"/>
  <c r="AV3" i="1"/>
  <c r="U61" i="1"/>
  <c r="H157" i="21" l="1"/>
  <c r="H165" i="21" s="1"/>
  <c r="H127" i="21"/>
  <c r="H37" i="21"/>
  <c r="H130" i="21"/>
  <c r="H134" i="21" s="1"/>
  <c r="W129" i="23"/>
  <c r="V130" i="23"/>
  <c r="X117" i="23"/>
  <c r="W118" i="23"/>
  <c r="O65" i="21"/>
  <c r="O67" i="21"/>
  <c r="Z39" i="17" s="1"/>
  <c r="AP37" i="21"/>
  <c r="O87" i="21"/>
  <c r="O154" i="21" s="1"/>
  <c r="O90" i="21"/>
  <c r="O69" i="21"/>
  <c r="Z41" i="17" s="1"/>
  <c r="AG37" i="21"/>
  <c r="N65" i="21"/>
  <c r="N131" i="21" s="1"/>
  <c r="N69" i="21"/>
  <c r="X41" i="17" s="1"/>
  <c r="AF37" i="21"/>
  <c r="N87" i="21"/>
  <c r="N154" i="21" s="1"/>
  <c r="N67" i="21"/>
  <c r="X39" i="17" s="1"/>
  <c r="N90" i="21"/>
  <c r="AO37" i="21"/>
  <c r="M65" i="21"/>
  <c r="M131" i="21" s="1"/>
  <c r="M69" i="21"/>
  <c r="V41" i="17" s="1"/>
  <c r="AN37" i="21"/>
  <c r="M87" i="21"/>
  <c r="M154" i="21" s="1"/>
  <c r="M90" i="21"/>
  <c r="M67" i="21"/>
  <c r="V39" i="17" s="1"/>
  <c r="AE37" i="21"/>
  <c r="L65" i="21"/>
  <c r="L131" i="21" s="1"/>
  <c r="L69" i="21"/>
  <c r="T41" i="17" s="1"/>
  <c r="AM37" i="21"/>
  <c r="AD37" i="21"/>
  <c r="L87" i="21"/>
  <c r="L154" i="21" s="1"/>
  <c r="L90" i="21"/>
  <c r="L67" i="21"/>
  <c r="T39" i="17" s="1"/>
  <c r="K65" i="21"/>
  <c r="K131" i="21" s="1"/>
  <c r="K87" i="21"/>
  <c r="K154" i="21" s="1"/>
  <c r="K90" i="21"/>
  <c r="K69" i="21"/>
  <c r="R41" i="17" s="1"/>
  <c r="AC37" i="21"/>
  <c r="K67" i="21"/>
  <c r="R39" i="17" s="1"/>
  <c r="AL37" i="21"/>
  <c r="J65" i="21"/>
  <c r="J131" i="21" s="1"/>
  <c r="J90" i="21"/>
  <c r="J67" i="21"/>
  <c r="P39" i="17" s="1"/>
  <c r="AB37" i="21"/>
  <c r="J69" i="21"/>
  <c r="P41" i="17" s="1"/>
  <c r="AK37" i="21"/>
  <c r="J87" i="21"/>
  <c r="J154" i="21" s="1"/>
  <c r="I65" i="21"/>
  <c r="I131" i="21" s="1"/>
  <c r="I90" i="21"/>
  <c r="I67" i="21"/>
  <c r="N39" i="17" s="1"/>
  <c r="I69" i="21"/>
  <c r="N41" i="17" s="1"/>
  <c r="AJ37" i="21"/>
  <c r="I87" i="21"/>
  <c r="I154" i="21" s="1"/>
  <c r="AA37" i="21"/>
  <c r="H185" i="21"/>
  <c r="H187" i="21" s="1"/>
  <c r="H110" i="21"/>
  <c r="M20" i="21"/>
  <c r="M159" i="21" s="1"/>
  <c r="M165" i="21" s="1"/>
  <c r="AI24" i="21"/>
  <c r="Z24" i="21"/>
  <c r="U20" i="21"/>
  <c r="AD20" i="21" s="1"/>
  <c r="AM20" i="21" s="1"/>
  <c r="L133" i="21"/>
  <c r="L134" i="21" s="1"/>
  <c r="L159" i="21"/>
  <c r="L165" i="21" s="1"/>
  <c r="I144" i="21"/>
  <c r="X127" i="23"/>
  <c r="M133" i="21"/>
  <c r="M134" i="21" s="1"/>
  <c r="S151" i="15"/>
  <c r="T148" i="15"/>
  <c r="T307" i="15" s="1"/>
  <c r="T140" i="11"/>
  <c r="S142" i="11"/>
  <c r="R143" i="11"/>
  <c r="P111" i="5"/>
  <c r="T132" i="9"/>
  <c r="U131" i="9"/>
  <c r="T120" i="9"/>
  <c r="U119" i="9"/>
  <c r="T143" i="18"/>
  <c r="S146" i="18"/>
  <c r="T133" i="18"/>
  <c r="S134" i="18"/>
  <c r="T136" i="20"/>
  <c r="S137" i="20"/>
  <c r="Q33" i="1"/>
  <c r="Q31" i="1"/>
  <c r="P108" i="8"/>
  <c r="P110" i="5"/>
  <c r="P111" i="10"/>
  <c r="P110" i="10"/>
  <c r="P115" i="10" s="1"/>
  <c r="N115" i="5"/>
  <c r="N112" i="5"/>
  <c r="O112" i="10"/>
  <c r="O116" i="10"/>
  <c r="S4" i="10"/>
  <c r="R361" i="10"/>
  <c r="R364" i="10" s="1"/>
  <c r="R360" i="10"/>
  <c r="R363" i="10" s="1"/>
  <c r="R198" i="10" a="1"/>
  <c r="R198" i="10" s="1"/>
  <c r="N117" i="10"/>
  <c r="Q363" i="5"/>
  <c r="O113" i="8"/>
  <c r="O116" i="5"/>
  <c r="Q364" i="5"/>
  <c r="R4" i="1"/>
  <c r="Q5" i="1"/>
  <c r="R351" i="8"/>
  <c r="R354" i="8" s="1"/>
  <c r="R352" i="8"/>
  <c r="R355" i="8" s="1"/>
  <c r="S4" i="8"/>
  <c r="R363" i="5"/>
  <c r="AW3" i="1"/>
  <c r="V61" i="1"/>
  <c r="V20" i="21" l="1"/>
  <c r="AE20" i="21" s="1"/>
  <c r="AN20" i="21" s="1"/>
  <c r="O131" i="21"/>
  <c r="Z37" i="17"/>
  <c r="X129" i="23"/>
  <c r="W130" i="23"/>
  <c r="Y117" i="23"/>
  <c r="X118" i="23"/>
  <c r="I155" i="21"/>
  <c r="I91" i="21"/>
  <c r="V208" i="17" s="1"/>
  <c r="I146" i="21"/>
  <c r="I147" i="21" s="1"/>
  <c r="J144" i="21" s="1"/>
  <c r="P37" i="17"/>
  <c r="J70" i="21"/>
  <c r="X37" i="17"/>
  <c r="N70" i="21"/>
  <c r="O155" i="21"/>
  <c r="O146" i="21"/>
  <c r="O91" i="21"/>
  <c r="AB208" i="17" s="1"/>
  <c r="N37" i="17"/>
  <c r="I70" i="21"/>
  <c r="V37" i="17"/>
  <c r="M70" i="21"/>
  <c r="N146" i="21"/>
  <c r="N155" i="21"/>
  <c r="N91" i="21"/>
  <c r="AA208" i="17" s="1"/>
  <c r="J146" i="21"/>
  <c r="J91" i="21"/>
  <c r="W208" i="17" s="1"/>
  <c r="J155" i="21"/>
  <c r="K155" i="21"/>
  <c r="K91" i="21"/>
  <c r="X208" i="17" s="1"/>
  <c r="K146" i="21"/>
  <c r="L155" i="21"/>
  <c r="L146" i="21"/>
  <c r="L91" i="21"/>
  <c r="Y208" i="17" s="1"/>
  <c r="T37" i="17"/>
  <c r="L70" i="21"/>
  <c r="M155" i="21"/>
  <c r="M91" i="21"/>
  <c r="Z208" i="17" s="1"/>
  <c r="M146" i="21"/>
  <c r="R37" i="17"/>
  <c r="K70" i="21"/>
  <c r="O70" i="21"/>
  <c r="O72" i="21" s="1"/>
  <c r="Z37" i="21"/>
  <c r="H90" i="21"/>
  <c r="H65" i="21"/>
  <c r="H131" i="21" s="1"/>
  <c r="H87" i="21"/>
  <c r="H67" i="21"/>
  <c r="L39" i="17" s="1"/>
  <c r="H69" i="21"/>
  <c r="L41" i="17" s="1"/>
  <c r="AI37" i="21"/>
  <c r="N20" i="21"/>
  <c r="N159" i="21" s="1"/>
  <c r="N165" i="21" s="1"/>
  <c r="L169" i="21"/>
  <c r="Y127" i="23"/>
  <c r="M169" i="21"/>
  <c r="T151" i="15"/>
  <c r="U148" i="15"/>
  <c r="U307" i="15" s="1"/>
  <c r="U140" i="11"/>
  <c r="S143" i="11"/>
  <c r="T142" i="11"/>
  <c r="V131" i="9"/>
  <c r="U132" i="9"/>
  <c r="U120" i="9"/>
  <c r="V119" i="9"/>
  <c r="U143" i="18"/>
  <c r="T146" i="18"/>
  <c r="U133" i="18"/>
  <c r="T134" i="18"/>
  <c r="U136" i="20"/>
  <c r="T137" i="20"/>
  <c r="R31" i="1"/>
  <c r="R33" i="1"/>
  <c r="P113" i="8"/>
  <c r="P116" i="10"/>
  <c r="P112" i="10"/>
  <c r="Q107" i="8"/>
  <c r="Q108" i="8"/>
  <c r="Q110" i="5"/>
  <c r="Q111" i="5"/>
  <c r="O112" i="5"/>
  <c r="O115" i="5"/>
  <c r="S4" i="1"/>
  <c r="R5" i="1"/>
  <c r="Q110" i="10"/>
  <c r="Q115" i="10" s="1"/>
  <c r="Q111" i="10"/>
  <c r="T4" i="10"/>
  <c r="S198" i="10" a="1"/>
  <c r="S198" i="10" s="1"/>
  <c r="S361" i="10"/>
  <c r="S364" i="10" s="1"/>
  <c r="S360" i="10"/>
  <c r="S363" i="10" s="1"/>
  <c r="P116" i="5"/>
  <c r="O117" i="10"/>
  <c r="R364" i="5"/>
  <c r="S351" i="8"/>
  <c r="S354" i="8" s="1"/>
  <c r="S352" i="8"/>
  <c r="S355" i="8" s="1"/>
  <c r="T4" i="8"/>
  <c r="S364" i="5"/>
  <c r="S363" i="5"/>
  <c r="W61" i="1"/>
  <c r="AX3" i="1"/>
  <c r="H154" i="21" l="1"/>
  <c r="J97" i="21"/>
  <c r="M97" i="21"/>
  <c r="L97" i="21"/>
  <c r="K97" i="21"/>
  <c r="O97" i="21"/>
  <c r="I97" i="21"/>
  <c r="N97" i="21"/>
  <c r="N133" i="21"/>
  <c r="N134" i="21" s="1"/>
  <c r="Y129" i="23"/>
  <c r="X130" i="23"/>
  <c r="Z117" i="23"/>
  <c r="Y118" i="23"/>
  <c r="J147" i="21"/>
  <c r="J149" i="21" s="1"/>
  <c r="I149" i="21"/>
  <c r="M72" i="21"/>
  <c r="K72" i="21"/>
  <c r="L72" i="21"/>
  <c r="J72" i="21"/>
  <c r="N72" i="21"/>
  <c r="I72" i="21"/>
  <c r="H70" i="21"/>
  <c r="L37" i="17"/>
  <c r="H91" i="21"/>
  <c r="U208" i="17" s="1"/>
  <c r="H146" i="21"/>
  <c r="H144" i="21" s="1"/>
  <c r="H155" i="21"/>
  <c r="W20" i="21"/>
  <c r="AF20" i="21" s="1"/>
  <c r="AO20" i="21" s="1"/>
  <c r="O20" i="21"/>
  <c r="O133" i="21" s="1"/>
  <c r="Z127" i="23"/>
  <c r="U151" i="15"/>
  <c r="V148" i="15"/>
  <c r="V307" i="15" s="1"/>
  <c r="V140" i="11"/>
  <c r="T143" i="11"/>
  <c r="U142" i="11"/>
  <c r="W131" i="9"/>
  <c r="V132" i="9"/>
  <c r="W119" i="9"/>
  <c r="V120" i="9"/>
  <c r="V143" i="18"/>
  <c r="U146" i="18"/>
  <c r="V133" i="18"/>
  <c r="U134" i="18"/>
  <c r="V136" i="20"/>
  <c r="U137" i="20"/>
  <c r="S31" i="1"/>
  <c r="S33" i="1"/>
  <c r="Q113" i="8"/>
  <c r="I176" i="1"/>
  <c r="R107" i="8"/>
  <c r="T4" i="1"/>
  <c r="U4" i="1" s="1"/>
  <c r="R108" i="8"/>
  <c r="S5" i="1"/>
  <c r="S110" i="10" s="1"/>
  <c r="R111" i="5"/>
  <c r="R110" i="5"/>
  <c r="P112" i="5"/>
  <c r="P115" i="5"/>
  <c r="R110" i="10"/>
  <c r="R115" i="10" s="1"/>
  <c r="R111" i="10"/>
  <c r="Q116" i="10"/>
  <c r="Q112" i="10"/>
  <c r="U4" i="10"/>
  <c r="T198" i="10" a="1"/>
  <c r="T198" i="10" s="1"/>
  <c r="T360" i="10"/>
  <c r="T363" i="10" s="1"/>
  <c r="T361" i="10"/>
  <c r="T364" i="10" s="1"/>
  <c r="Q116" i="5"/>
  <c r="P117" i="10"/>
  <c r="T352" i="8"/>
  <c r="T355" i="8" s="1"/>
  <c r="T351" i="8"/>
  <c r="T354" i="8" s="1"/>
  <c r="U4" i="8"/>
  <c r="T363" i="5"/>
  <c r="T364" i="5"/>
  <c r="AY3" i="1"/>
  <c r="X61" i="1"/>
  <c r="K74" i="21" l="1"/>
  <c r="X215" i="17"/>
  <c r="N74" i="21"/>
  <c r="AA215" i="17"/>
  <c r="L74" i="21"/>
  <c r="Y215" i="17"/>
  <c r="I74" i="21"/>
  <c r="V215" i="17"/>
  <c r="M74" i="21"/>
  <c r="Z215" i="17"/>
  <c r="O74" i="21"/>
  <c r="AB215" i="17"/>
  <c r="J74" i="21"/>
  <c r="W215" i="17"/>
  <c r="V211" i="17"/>
  <c r="Z211" i="17"/>
  <c r="W211" i="17"/>
  <c r="AA211" i="17"/>
  <c r="X211" i="17"/>
  <c r="AB211" i="17"/>
  <c r="Y211" i="17"/>
  <c r="H97" i="21"/>
  <c r="U215" i="17" s="1"/>
  <c r="U211" i="17"/>
  <c r="K144" i="21"/>
  <c r="K147" i="21" s="1"/>
  <c r="K149" i="21" s="1"/>
  <c r="N169" i="21"/>
  <c r="Z129" i="23"/>
  <c r="Y130" i="23"/>
  <c r="AA117" i="23"/>
  <c r="Z118" i="23"/>
  <c r="H72" i="21"/>
  <c r="O169" i="21"/>
  <c r="O134" i="21"/>
  <c r="X20" i="21"/>
  <c r="AG20" i="21" s="1"/>
  <c r="AP20" i="21" s="1"/>
  <c r="O159" i="21"/>
  <c r="O165" i="21" s="1"/>
  <c r="AA127" i="23"/>
  <c r="V151" i="15"/>
  <c r="W148" i="15"/>
  <c r="W140" i="11"/>
  <c r="V142" i="11"/>
  <c r="U143" i="11"/>
  <c r="X131" i="9"/>
  <c r="W132" i="9"/>
  <c r="W120" i="9"/>
  <c r="X119" i="9"/>
  <c r="W143" i="18"/>
  <c r="V146" i="18"/>
  <c r="W133" i="18"/>
  <c r="V134" i="18"/>
  <c r="W136" i="20"/>
  <c r="V137" i="20"/>
  <c r="U33" i="1"/>
  <c r="U31" i="1"/>
  <c r="T5" i="1"/>
  <c r="T108" i="8" s="1"/>
  <c r="T31" i="1"/>
  <c r="T33" i="1"/>
  <c r="S107" i="8"/>
  <c r="S108" i="8"/>
  <c r="S111" i="10"/>
  <c r="S112" i="10" s="1"/>
  <c r="S110" i="5"/>
  <c r="S111" i="5"/>
  <c r="S115" i="10"/>
  <c r="Q112" i="5"/>
  <c r="R113" i="8"/>
  <c r="Q115" i="5"/>
  <c r="R116" i="10"/>
  <c r="R112" i="10"/>
  <c r="R116" i="5"/>
  <c r="V4" i="10"/>
  <c r="U361" i="10"/>
  <c r="U364" i="10" s="1"/>
  <c r="U360" i="10"/>
  <c r="U363" i="10" s="1"/>
  <c r="U198" i="10" a="1"/>
  <c r="U198" i="10" s="1"/>
  <c r="Q117" i="10"/>
  <c r="U351" i="8"/>
  <c r="U354" i="8" s="1"/>
  <c r="U352" i="8"/>
  <c r="U355" i="8" s="1"/>
  <c r="V4" i="8"/>
  <c r="U363" i="5"/>
  <c r="U364" i="5"/>
  <c r="AZ3" i="1"/>
  <c r="Y61" i="1"/>
  <c r="V4" i="1"/>
  <c r="U5" i="1"/>
  <c r="U108" i="8" s="1"/>
  <c r="H74" i="21" l="1"/>
  <c r="X214" i="17"/>
  <c r="X212" i="17"/>
  <c r="V214" i="17"/>
  <c r="V212" i="17"/>
  <c r="AA214" i="17"/>
  <c r="AA212" i="17"/>
  <c r="Y214" i="17"/>
  <c r="Y212" i="17"/>
  <c r="W214" i="17"/>
  <c r="W212" i="17"/>
  <c r="AB214" i="17"/>
  <c r="AB212" i="17"/>
  <c r="Z214" i="17"/>
  <c r="Z212" i="17"/>
  <c r="U214" i="17"/>
  <c r="U212" i="17"/>
  <c r="L144" i="21"/>
  <c r="L147" i="21" s="1"/>
  <c r="M144" i="21" s="1"/>
  <c r="M147" i="21" s="1"/>
  <c r="AA129" i="23"/>
  <c r="Z130" i="23"/>
  <c r="AB117" i="23"/>
  <c r="AA118" i="23"/>
  <c r="U126" i="1"/>
  <c r="U125" i="1"/>
  <c r="U157" i="15" s="1"/>
  <c r="U127" i="1"/>
  <c r="U141" i="23" s="1"/>
  <c r="U159" i="23" s="1"/>
  <c r="U124" i="1"/>
  <c r="U123" i="1"/>
  <c r="T111" i="10"/>
  <c r="AB127" i="23"/>
  <c r="W151" i="15"/>
  <c r="X148" i="15"/>
  <c r="X140" i="11"/>
  <c r="W142" i="11"/>
  <c r="V143" i="11"/>
  <c r="X132" i="9"/>
  <c r="Y131" i="9"/>
  <c r="X120" i="9"/>
  <c r="Y119" i="9"/>
  <c r="X143" i="18"/>
  <c r="T111" i="5"/>
  <c r="T107" i="8"/>
  <c r="T110" i="5"/>
  <c r="T110" i="10"/>
  <c r="T115" i="10" s="1"/>
  <c r="W146" i="18"/>
  <c r="X133" i="18"/>
  <c r="W134" i="18"/>
  <c r="X136" i="20"/>
  <c r="W137" i="20"/>
  <c r="V31" i="1"/>
  <c r="V33" i="1"/>
  <c r="U107" i="8"/>
  <c r="S116" i="5"/>
  <c r="S116" i="10"/>
  <c r="S113" i="8"/>
  <c r="T113" i="8" s="1"/>
  <c r="U111" i="10"/>
  <c r="U111" i="5"/>
  <c r="U110" i="5"/>
  <c r="R112" i="5"/>
  <c r="R115" i="5"/>
  <c r="U110" i="10"/>
  <c r="W4" i="10"/>
  <c r="V361" i="10"/>
  <c r="V364" i="10" s="1"/>
  <c r="V360" i="10"/>
  <c r="V363" i="10" s="1"/>
  <c r="V198" i="10" a="1"/>
  <c r="V198" i="10" s="1"/>
  <c r="R117" i="10"/>
  <c r="V351" i="8"/>
  <c r="V354" i="8" s="1"/>
  <c r="V352" i="8"/>
  <c r="V355" i="8" s="1"/>
  <c r="W4" i="8"/>
  <c r="V364" i="5"/>
  <c r="V363" i="5"/>
  <c r="Z61" i="1"/>
  <c r="BA3" i="1"/>
  <c r="W4" i="1"/>
  <c r="V5" i="1"/>
  <c r="L149" i="21" l="1"/>
  <c r="AB129" i="23"/>
  <c r="AA130" i="23"/>
  <c r="AC117" i="23"/>
  <c r="AB118" i="23"/>
  <c r="U178" i="15"/>
  <c r="V124" i="1"/>
  <c r="V127" i="1"/>
  <c r="V141" i="23" s="1"/>
  <c r="V159" i="23" s="1"/>
  <c r="V125" i="1"/>
  <c r="V157" i="15" s="1"/>
  <c r="V126" i="1"/>
  <c r="V123" i="1"/>
  <c r="U142" i="1"/>
  <c r="U154" i="18" s="1"/>
  <c r="U152" i="18"/>
  <c r="U209" i="23"/>
  <c r="U162" i="23"/>
  <c r="U141" i="1"/>
  <c r="U143" i="20"/>
  <c r="U139" i="9"/>
  <c r="U121" i="1"/>
  <c r="T116" i="10"/>
  <c r="U116" i="10" s="1"/>
  <c r="N144" i="21"/>
  <c r="N147" i="21" s="1"/>
  <c r="M149" i="21"/>
  <c r="AC127" i="23"/>
  <c r="X151" i="15"/>
  <c r="Y148" i="15"/>
  <c r="Y140" i="11"/>
  <c r="W143" i="11"/>
  <c r="X142" i="11"/>
  <c r="Y132" i="9"/>
  <c r="Z131" i="9"/>
  <c r="Z119" i="9"/>
  <c r="Y120" i="9"/>
  <c r="T112" i="10"/>
  <c r="Y143" i="18"/>
  <c r="T116" i="5"/>
  <c r="U116" i="5" s="1"/>
  <c r="X146" i="18"/>
  <c r="Y133" i="18"/>
  <c r="X134" i="18"/>
  <c r="Y136" i="20"/>
  <c r="X137" i="20"/>
  <c r="W31" i="1"/>
  <c r="W33" i="1"/>
  <c r="V107" i="8"/>
  <c r="V108" i="8"/>
  <c r="L109" i="8"/>
  <c r="U115" i="10"/>
  <c r="V111" i="10"/>
  <c r="V111" i="5"/>
  <c r="V110" i="5"/>
  <c r="S112" i="5"/>
  <c r="S115" i="5"/>
  <c r="U112" i="10"/>
  <c r="V110" i="10"/>
  <c r="X4" i="10"/>
  <c r="W361" i="10"/>
  <c r="W364" i="10" s="1"/>
  <c r="W360" i="10"/>
  <c r="W363" i="10" s="1"/>
  <c r="W198" i="10" a="1"/>
  <c r="W198" i="10" s="1"/>
  <c r="U113" i="8"/>
  <c r="S117" i="10"/>
  <c r="W351" i="8"/>
  <c r="W354" i="8" s="1"/>
  <c r="W352" i="8"/>
  <c r="W355" i="8" s="1"/>
  <c r="X4" i="8"/>
  <c r="W364" i="5"/>
  <c r="W363" i="5"/>
  <c r="BB3" i="1"/>
  <c r="X4" i="1"/>
  <c r="W5" i="1"/>
  <c r="W107" i="8" s="1"/>
  <c r="U159" i="9" l="1"/>
  <c r="U145" i="20"/>
  <c r="U139" i="1"/>
  <c r="AC129" i="23"/>
  <c r="AB130" i="23"/>
  <c r="AD117" i="23"/>
  <c r="AC118" i="23"/>
  <c r="V178" i="15"/>
  <c r="U232" i="15"/>
  <c r="U170" i="23"/>
  <c r="U172" i="23"/>
  <c r="U171" i="23"/>
  <c r="V121" i="1"/>
  <c r="V139" i="9"/>
  <c r="V159" i="9" s="1"/>
  <c r="V212" i="9" s="1"/>
  <c r="V209" i="23"/>
  <c r="V212" i="23" s="1"/>
  <c r="V162" i="23"/>
  <c r="W123" i="1"/>
  <c r="W125" i="1"/>
  <c r="W157" i="15" s="1"/>
  <c r="W124" i="1"/>
  <c r="W126" i="1"/>
  <c r="W127" i="1"/>
  <c r="W141" i="23" s="1"/>
  <c r="W159" i="23" s="1"/>
  <c r="U212" i="23"/>
  <c r="V141" i="1"/>
  <c r="V143" i="20"/>
  <c r="V142" i="1"/>
  <c r="V154" i="18" s="1"/>
  <c r="V152" i="18"/>
  <c r="N149" i="21"/>
  <c r="O144" i="21"/>
  <c r="O147" i="21" s="1"/>
  <c r="O149" i="21" s="1"/>
  <c r="AD127" i="23"/>
  <c r="Y151" i="15"/>
  <c r="Z148" i="15"/>
  <c r="Z140" i="11"/>
  <c r="Y142" i="11"/>
  <c r="X143" i="11"/>
  <c r="AA131" i="9"/>
  <c r="Z132" i="9"/>
  <c r="AA119" i="9"/>
  <c r="Z120" i="9"/>
  <c r="Z143" i="18"/>
  <c r="Y146" i="18"/>
  <c r="Z133" i="18"/>
  <c r="Y134" i="18"/>
  <c r="Z136" i="20"/>
  <c r="Y137" i="20"/>
  <c r="X33" i="1"/>
  <c r="X31" i="1"/>
  <c r="W108" i="8"/>
  <c r="M109" i="8"/>
  <c r="L112" i="8"/>
  <c r="M112" i="8" s="1"/>
  <c r="V115" i="10"/>
  <c r="V116" i="10"/>
  <c r="W111" i="10"/>
  <c r="W111" i="5"/>
  <c r="W110" i="5"/>
  <c r="T112" i="5"/>
  <c r="T115" i="5"/>
  <c r="V112" i="10"/>
  <c r="W110" i="10"/>
  <c r="Y4" i="10"/>
  <c r="X198" i="10" a="1"/>
  <c r="X198" i="10" s="1"/>
  <c r="X360" i="10"/>
  <c r="X363" i="10" s="1"/>
  <c r="X361" i="10"/>
  <c r="X364" i="10" s="1"/>
  <c r="V113" i="8"/>
  <c r="T117" i="10"/>
  <c r="X352" i="8"/>
  <c r="X355" i="8" s="1"/>
  <c r="X351" i="8"/>
  <c r="X354" i="8" s="1"/>
  <c r="Y4" i="8"/>
  <c r="V116" i="5"/>
  <c r="X363" i="5"/>
  <c r="X364" i="5"/>
  <c r="BC3" i="1"/>
  <c r="Y4" i="1"/>
  <c r="X5" i="1"/>
  <c r="X107" i="8" s="1"/>
  <c r="U212" i="9" l="1"/>
  <c r="V145" i="20"/>
  <c r="V139" i="1"/>
  <c r="AD129" i="23"/>
  <c r="AC130" i="23"/>
  <c r="AE117" i="23"/>
  <c r="AD118" i="23"/>
  <c r="V232" i="15"/>
  <c r="X124" i="1"/>
  <c r="X127" i="1"/>
  <c r="X141" i="23" s="1"/>
  <c r="X159" i="23" s="1"/>
  <c r="X123" i="1"/>
  <c r="X126" i="1"/>
  <c r="X125" i="1"/>
  <c r="X157" i="15" s="1"/>
  <c r="W178" i="15"/>
  <c r="W142" i="1"/>
  <c r="W154" i="18" s="1"/>
  <c r="W152" i="18"/>
  <c r="W209" i="23"/>
  <c r="W212" i="23" s="1"/>
  <c r="W162" i="23"/>
  <c r="W141" i="1"/>
  <c r="W143" i="20"/>
  <c r="W139" i="9"/>
  <c r="W121" i="1"/>
  <c r="V170" i="23"/>
  <c r="V171" i="23"/>
  <c r="V172" i="23"/>
  <c r="AE127" i="23"/>
  <c r="Z151" i="15"/>
  <c r="AA148" i="15"/>
  <c r="AA140" i="11"/>
  <c r="Z142" i="11"/>
  <c r="Y143" i="11"/>
  <c r="AB131" i="9"/>
  <c r="AA132" i="9"/>
  <c r="AA120" i="9"/>
  <c r="AB119" i="9"/>
  <c r="AA143" i="18"/>
  <c r="Z146" i="18"/>
  <c r="AA133" i="18"/>
  <c r="Z134" i="18"/>
  <c r="AA136" i="20"/>
  <c r="Z137" i="20"/>
  <c r="Y33" i="1"/>
  <c r="Y31" i="1"/>
  <c r="X108" i="8"/>
  <c r="L114" i="8"/>
  <c r="N109" i="8"/>
  <c r="M114" i="8"/>
  <c r="N112" i="8"/>
  <c r="W115" i="10"/>
  <c r="W116" i="10"/>
  <c r="X110" i="10"/>
  <c r="X111" i="5"/>
  <c r="X110" i="5"/>
  <c r="U112" i="5"/>
  <c r="U115" i="5"/>
  <c r="X111" i="10"/>
  <c r="W112" i="10"/>
  <c r="Z4" i="10"/>
  <c r="Y361" i="10"/>
  <c r="Y364" i="10" s="1"/>
  <c r="Y360" i="10"/>
  <c r="Y363" i="10" s="1"/>
  <c r="Y198" i="10" a="1"/>
  <c r="Y198" i="10" s="1"/>
  <c r="W113" i="8"/>
  <c r="U117" i="10"/>
  <c r="Y351" i="8"/>
  <c r="Y354" i="8" s="1"/>
  <c r="Y352" i="8"/>
  <c r="Y355" i="8" s="1"/>
  <c r="Z4" i="8"/>
  <c r="Y363" i="5"/>
  <c r="Y364" i="5"/>
  <c r="W116" i="5"/>
  <c r="BD3" i="1"/>
  <c r="Z4" i="1"/>
  <c r="Y5" i="1"/>
  <c r="Y108" i="8" s="1"/>
  <c r="W159" i="9" l="1"/>
  <c r="W145" i="20"/>
  <c r="W139" i="1"/>
  <c r="AE129" i="23"/>
  <c r="AD130" i="23"/>
  <c r="AF117" i="23"/>
  <c r="AE118" i="23"/>
  <c r="I159" i="23"/>
  <c r="W232" i="15"/>
  <c r="L447" i="23" a="1"/>
  <c r="L447" i="23" s="1"/>
  <c r="I447" i="23" s="1"/>
  <c r="X178" i="15"/>
  <c r="X139" i="9"/>
  <c r="X159" i="9" s="1"/>
  <c r="X212" i="9" s="1"/>
  <c r="X121" i="1"/>
  <c r="X141" i="1"/>
  <c r="X143" i="20"/>
  <c r="X142" i="1"/>
  <c r="X154" i="18" s="1"/>
  <c r="X152" i="18"/>
  <c r="W170" i="23"/>
  <c r="W171" i="23"/>
  <c r="W172" i="23"/>
  <c r="X162" i="23"/>
  <c r="I162" i="23" s="1"/>
  <c r="X209" i="23"/>
  <c r="X212" i="23" s="1"/>
  <c r="L560" i="23" s="1" a="1"/>
  <c r="AF127" i="23"/>
  <c r="AA151" i="15"/>
  <c r="AB148" i="15"/>
  <c r="AB140" i="11"/>
  <c r="AA142" i="11"/>
  <c r="Z143" i="11"/>
  <c r="AB132" i="9"/>
  <c r="AC131" i="9"/>
  <c r="AB120" i="9"/>
  <c r="AC119" i="9"/>
  <c r="AB143" i="18"/>
  <c r="AA146" i="18"/>
  <c r="AB133" i="18"/>
  <c r="AA134" i="18"/>
  <c r="AB136" i="20"/>
  <c r="AA137" i="20"/>
  <c r="Z31" i="1"/>
  <c r="Z33" i="1"/>
  <c r="Y107" i="8"/>
  <c r="O109" i="8"/>
  <c r="O112" i="8"/>
  <c r="N114" i="8"/>
  <c r="X116" i="10"/>
  <c r="X115" i="10"/>
  <c r="Y110" i="10"/>
  <c r="Y111" i="5"/>
  <c r="Y110" i="5"/>
  <c r="V112" i="5"/>
  <c r="V115" i="5"/>
  <c r="X112" i="10"/>
  <c r="Y111" i="10"/>
  <c r="AA4" i="10"/>
  <c r="Z361" i="10"/>
  <c r="Z364" i="10" s="1"/>
  <c r="Z360" i="10"/>
  <c r="Z363" i="10" s="1"/>
  <c r="Z198" i="10" a="1"/>
  <c r="Z198" i="10" s="1"/>
  <c r="X113" i="8"/>
  <c r="V117" i="10"/>
  <c r="Z351" i="8"/>
  <c r="Z354" i="8" s="1"/>
  <c r="Z352" i="8"/>
  <c r="Z355" i="8" s="1"/>
  <c r="AA4" i="8"/>
  <c r="X116" i="5"/>
  <c r="Z363" i="5"/>
  <c r="Z364" i="5"/>
  <c r="BE3" i="1"/>
  <c r="AA4" i="1"/>
  <c r="Z5" i="1"/>
  <c r="Z107" i="8" s="1"/>
  <c r="P86" i="25" l="1" a="1"/>
  <c r="P86" i="25" s="1"/>
  <c r="W212" i="9"/>
  <c r="X145" i="20"/>
  <c r="P87" i="25" s="1" a="1"/>
  <c r="P87" i="25" s="1"/>
  <c r="X139" i="1"/>
  <c r="AF129" i="23"/>
  <c r="AE130" i="23"/>
  <c r="AG117" i="23"/>
  <c r="AF118" i="23"/>
  <c r="M588" i="23"/>
  <c r="Q588" i="23"/>
  <c r="U588" i="23"/>
  <c r="Y588" i="23"/>
  <c r="AC588" i="23"/>
  <c r="AG588" i="23"/>
  <c r="AK588" i="23"/>
  <c r="AO588" i="23"/>
  <c r="AS588" i="23"/>
  <c r="AW588" i="23"/>
  <c r="BA588" i="23"/>
  <c r="BE588" i="23"/>
  <c r="BI588" i="23"/>
  <c r="BM588" i="23"/>
  <c r="BQ588" i="23"/>
  <c r="N588" i="23"/>
  <c r="R588" i="23"/>
  <c r="V588" i="23"/>
  <c r="Z588" i="23"/>
  <c r="AD588" i="23"/>
  <c r="AH588" i="23"/>
  <c r="AL588" i="23"/>
  <c r="AP588" i="23"/>
  <c r="AT588" i="23"/>
  <c r="AX588" i="23"/>
  <c r="BB588" i="23"/>
  <c r="BF588" i="23"/>
  <c r="BJ588" i="23"/>
  <c r="BN588" i="23"/>
  <c r="BR588" i="23"/>
  <c r="O588" i="23"/>
  <c r="S588" i="23"/>
  <c r="W588" i="23"/>
  <c r="AA588" i="23"/>
  <c r="AE588" i="23"/>
  <c r="AI588" i="23"/>
  <c r="AM588" i="23"/>
  <c r="AQ588" i="23"/>
  <c r="AU588" i="23"/>
  <c r="AY588" i="23"/>
  <c r="BC588" i="23"/>
  <c r="BG588" i="23"/>
  <c r="BK588" i="23"/>
  <c r="BO588" i="23"/>
  <c r="BS588" i="23"/>
  <c r="P588" i="23"/>
  <c r="T588" i="23"/>
  <c r="X588" i="23"/>
  <c r="AB588" i="23"/>
  <c r="AF588" i="23"/>
  <c r="AJ588" i="23"/>
  <c r="AN588" i="23"/>
  <c r="AR588" i="23"/>
  <c r="AV588" i="23"/>
  <c r="AZ588" i="23"/>
  <c r="BD588" i="23"/>
  <c r="BH588" i="23"/>
  <c r="BL588" i="23"/>
  <c r="BP588" i="23"/>
  <c r="X232" i="15"/>
  <c r="I209" i="23"/>
  <c r="L172" i="18" a="1"/>
  <c r="L172" i="18" s="1"/>
  <c r="L225" i="18" s="1" a="1"/>
  <c r="L225" i="18" s="1"/>
  <c r="I171" i="23"/>
  <c r="I172" i="23"/>
  <c r="L560" i="23"/>
  <c r="L588" i="23" s="1"/>
  <c r="I170" i="23"/>
  <c r="X170" i="23"/>
  <c r="X172" i="23"/>
  <c r="X171" i="23"/>
  <c r="L206" i="23" a="1"/>
  <c r="L206" i="23" s="1"/>
  <c r="AG127" i="23"/>
  <c r="AB151" i="15"/>
  <c r="AC148" i="15"/>
  <c r="AC140" i="11"/>
  <c r="AA143" i="11"/>
  <c r="AB142" i="11"/>
  <c r="AC132" i="9"/>
  <c r="AD131" i="9"/>
  <c r="AC120" i="9"/>
  <c r="AD119" i="9"/>
  <c r="AC143" i="18"/>
  <c r="AB146" i="18"/>
  <c r="AC133" i="18"/>
  <c r="AB134" i="18"/>
  <c r="AC136" i="20"/>
  <c r="AB137" i="20"/>
  <c r="Z108" i="8"/>
  <c r="P109" i="8"/>
  <c r="P112" i="8"/>
  <c r="O114" i="8"/>
  <c r="Y115" i="10"/>
  <c r="Y116" i="10"/>
  <c r="Z111" i="10"/>
  <c r="Z111" i="5"/>
  <c r="Z110" i="5"/>
  <c r="W112" i="5"/>
  <c r="W115" i="5"/>
  <c r="Y112" i="10"/>
  <c r="Z110" i="10"/>
  <c r="Y113" i="8"/>
  <c r="AB4" i="10"/>
  <c r="AA198" i="10" a="1"/>
  <c r="AA198" i="10" s="1"/>
  <c r="AA361" i="10"/>
  <c r="AA364" i="10" s="1"/>
  <c r="AA360" i="10"/>
  <c r="AA363" i="10" s="1"/>
  <c r="W117" i="10"/>
  <c r="AA351" i="8"/>
  <c r="AA354" i="8" s="1"/>
  <c r="AA352" i="8"/>
  <c r="AA355" i="8" s="1"/>
  <c r="AB4" i="8"/>
  <c r="Y116" i="5"/>
  <c r="AA363" i="5"/>
  <c r="AA364" i="5"/>
  <c r="BF3" i="1"/>
  <c r="AB4" i="1"/>
  <c r="AA5" i="1"/>
  <c r="AA108" i="8" s="1"/>
  <c r="P20" i="25" l="1" a="1"/>
  <c r="P20" i="25" s="1"/>
  <c r="AG129" i="23"/>
  <c r="AF130" i="23"/>
  <c r="AH117" i="23"/>
  <c r="AG118" i="23"/>
  <c r="L476" i="23" a="1"/>
  <c r="L476" i="23" s="1"/>
  <c r="L561" i="23" a="1"/>
  <c r="L218" i="23" a="1"/>
  <c r="L218" i="23" s="1"/>
  <c r="L238" i="23" s="1"/>
  <c r="AH127" i="23"/>
  <c r="AC151" i="15"/>
  <c r="AD148" i="15"/>
  <c r="AD140" i="11"/>
  <c r="AB143" i="11"/>
  <c r="AC142" i="11"/>
  <c r="AE131" i="9"/>
  <c r="AD132" i="9"/>
  <c r="AE119" i="9"/>
  <c r="AD120" i="9"/>
  <c r="AD143" i="18"/>
  <c r="AC146" i="18"/>
  <c r="AD133" i="18"/>
  <c r="AC134" i="18"/>
  <c r="AD136" i="20"/>
  <c r="AC137" i="20"/>
  <c r="AA107" i="8"/>
  <c r="Q109" i="8"/>
  <c r="P114" i="8"/>
  <c r="Q112" i="8"/>
  <c r="Z115" i="10"/>
  <c r="Z116" i="10"/>
  <c r="AA110" i="10"/>
  <c r="AA111" i="5"/>
  <c r="AA110" i="5"/>
  <c r="X112" i="5"/>
  <c r="X115" i="5"/>
  <c r="Z112" i="10"/>
  <c r="AA111" i="10"/>
  <c r="Z113" i="8"/>
  <c r="AC4" i="10"/>
  <c r="AB198" i="10" a="1"/>
  <c r="AB198" i="10" s="1"/>
  <c r="AB360" i="10"/>
  <c r="AB363" i="10" s="1"/>
  <c r="AB361" i="10"/>
  <c r="AB364" i="10" s="1"/>
  <c r="X117" i="10"/>
  <c r="AB352" i="8"/>
  <c r="AB355" i="8" s="1"/>
  <c r="AB351" i="8"/>
  <c r="AB354" i="8" s="1"/>
  <c r="AC4" i="8"/>
  <c r="Z116" i="5"/>
  <c r="AB364" i="5"/>
  <c r="AB363" i="5"/>
  <c r="BG3" i="1"/>
  <c r="AC4" i="1"/>
  <c r="AB5" i="1"/>
  <c r="AB107" i="8" s="1"/>
  <c r="AH129" i="23" l="1"/>
  <c r="AG130" i="23"/>
  <c r="AI117" i="23"/>
  <c r="AH118" i="23"/>
  <c r="L561" i="23"/>
  <c r="AI127" i="23"/>
  <c r="AD151" i="15"/>
  <c r="AE148" i="15"/>
  <c r="AE140" i="11"/>
  <c r="AD142" i="11"/>
  <c r="AC143" i="11"/>
  <c r="AE132" i="9"/>
  <c r="AF131" i="9"/>
  <c r="AF119" i="9"/>
  <c r="AE120" i="9"/>
  <c r="AE143" i="18"/>
  <c r="AD146" i="18"/>
  <c r="AE133" i="18"/>
  <c r="AD134" i="18"/>
  <c r="AE136" i="20"/>
  <c r="AD137" i="20"/>
  <c r="AB108" i="8"/>
  <c r="R109" i="8"/>
  <c r="R112" i="8"/>
  <c r="Q114" i="8"/>
  <c r="AA115" i="10"/>
  <c r="AA112" i="10"/>
  <c r="AB110" i="10"/>
  <c r="AB111" i="5"/>
  <c r="AB110" i="5"/>
  <c r="Y112" i="5"/>
  <c r="Y115" i="5"/>
  <c r="AB111" i="10"/>
  <c r="AA113" i="8"/>
  <c r="AA116" i="10"/>
  <c r="AD4" i="10"/>
  <c r="AC361" i="10"/>
  <c r="AC364" i="10" s="1"/>
  <c r="AC360" i="10"/>
  <c r="AC363" i="10" s="1"/>
  <c r="AC198" i="10" a="1"/>
  <c r="AC198" i="10" s="1"/>
  <c r="Y117" i="10"/>
  <c r="AC351" i="8"/>
  <c r="AC354" i="8" s="1"/>
  <c r="AC352" i="8"/>
  <c r="AC355" i="8" s="1"/>
  <c r="AD4" i="8"/>
  <c r="AA116" i="5"/>
  <c r="AC363" i="5"/>
  <c r="AC364" i="5"/>
  <c r="BH3" i="1"/>
  <c r="AD4" i="1"/>
  <c r="AC5" i="1"/>
  <c r="AC108" i="8" s="1"/>
  <c r="AI129" i="23" l="1"/>
  <c r="AH130" i="23"/>
  <c r="AJ117" i="23"/>
  <c r="AI118" i="23"/>
  <c r="AJ127" i="23"/>
  <c r="AE151" i="15"/>
  <c r="AF148" i="15"/>
  <c r="AF140" i="11"/>
  <c r="AE142" i="11"/>
  <c r="AD143" i="11"/>
  <c r="AF132" i="9"/>
  <c r="AG131" i="9"/>
  <c r="AF120" i="9"/>
  <c r="AG119" i="9"/>
  <c r="AF143" i="18"/>
  <c r="AE146" i="18"/>
  <c r="AF133" i="18"/>
  <c r="AE134" i="18"/>
  <c r="AF136" i="20"/>
  <c r="AE137" i="20"/>
  <c r="AC107" i="8"/>
  <c r="S109" i="8"/>
  <c r="S112" i="8"/>
  <c r="R114" i="8"/>
  <c r="AB115" i="10"/>
  <c r="AB112" i="10"/>
  <c r="AC110" i="10"/>
  <c r="AC111" i="5"/>
  <c r="AC110" i="5"/>
  <c r="Z112" i="5"/>
  <c r="Z115" i="5"/>
  <c r="AB116" i="10"/>
  <c r="AB113" i="8"/>
  <c r="AC111" i="10"/>
  <c r="AE4" i="10"/>
  <c r="AD361" i="10"/>
  <c r="AD364" i="10" s="1"/>
  <c r="AD360" i="10"/>
  <c r="AD363" i="10" s="1"/>
  <c r="AD198" i="10" a="1"/>
  <c r="AD198" i="10" s="1"/>
  <c r="Z117" i="10"/>
  <c r="AB116" i="5"/>
  <c r="AD351" i="8"/>
  <c r="AD354" i="8" s="1"/>
  <c r="AD352" i="8"/>
  <c r="AD355" i="8" s="1"/>
  <c r="AB109" i="8"/>
  <c r="AE4" i="8"/>
  <c r="BI3" i="1"/>
  <c r="BJ3" i="1" s="1"/>
  <c r="AD363" i="5"/>
  <c r="AD364" i="5"/>
  <c r="AE4" i="1"/>
  <c r="AD5" i="1"/>
  <c r="AD107" i="8" s="1"/>
  <c r="AJ129" i="23" l="1"/>
  <c r="AI130" i="23"/>
  <c r="AK117" i="23"/>
  <c r="AJ118" i="23"/>
  <c r="AK127" i="23"/>
  <c r="AF151" i="15"/>
  <c r="AG148" i="15"/>
  <c r="AG140" i="11"/>
  <c r="AE143" i="11"/>
  <c r="AF142" i="11"/>
  <c r="AH131" i="9"/>
  <c r="AG132" i="9"/>
  <c r="AG120" i="9"/>
  <c r="AH119" i="9"/>
  <c r="AG143" i="18"/>
  <c r="AF146" i="18"/>
  <c r="AG133" i="18"/>
  <c r="AF134" i="18"/>
  <c r="AG136" i="20"/>
  <c r="AF137" i="20"/>
  <c r="AD108" i="8"/>
  <c r="T109" i="8"/>
  <c r="T112" i="8"/>
  <c r="S114" i="8"/>
  <c r="AC115" i="10"/>
  <c r="AC112" i="10"/>
  <c r="AD110" i="10"/>
  <c r="AD111" i="5"/>
  <c r="AD110" i="5"/>
  <c r="AA112" i="5"/>
  <c r="AA115" i="5"/>
  <c r="AD111" i="10"/>
  <c r="AC113" i="8"/>
  <c r="AC116" i="10"/>
  <c r="AF4" i="10"/>
  <c r="AE361" i="10"/>
  <c r="AE364" i="10" s="1"/>
  <c r="AE360" i="10"/>
  <c r="AE363" i="10" s="1"/>
  <c r="AE198" i="10" a="1"/>
  <c r="AE198" i="10" s="1"/>
  <c r="AA117" i="10"/>
  <c r="AC109" i="8"/>
  <c r="AE351" i="8"/>
  <c r="AE354" i="8" s="1"/>
  <c r="AE352" i="8"/>
  <c r="AE355" i="8" s="1"/>
  <c r="AF4" i="8"/>
  <c r="AC116" i="5"/>
  <c r="AE364" i="5"/>
  <c r="AE363" i="5"/>
  <c r="BK3" i="1"/>
  <c r="AF4" i="1"/>
  <c r="AE5" i="1"/>
  <c r="AE107" i="8" s="1"/>
  <c r="AK129" i="23" l="1"/>
  <c r="AJ130" i="23"/>
  <c r="AL117" i="23"/>
  <c r="AK118" i="23"/>
  <c r="AL127" i="23"/>
  <c r="AG151" i="15"/>
  <c r="AH148" i="15"/>
  <c r="AH140" i="11"/>
  <c r="AG142" i="11"/>
  <c r="AF143" i="11"/>
  <c r="AI131" i="9"/>
  <c r="AH132" i="9"/>
  <c r="AI119" i="9"/>
  <c r="AH120" i="9"/>
  <c r="AH143" i="18"/>
  <c r="AG146" i="18"/>
  <c r="AH133" i="18"/>
  <c r="AG134" i="18"/>
  <c r="AH136" i="20"/>
  <c r="AG137" i="20"/>
  <c r="AE108" i="8"/>
  <c r="U109" i="8"/>
  <c r="U112" i="8"/>
  <c r="T114" i="8"/>
  <c r="AD115" i="10"/>
  <c r="AD112" i="10"/>
  <c r="AE111" i="10"/>
  <c r="AE111" i="5"/>
  <c r="AE110" i="5"/>
  <c r="AB112" i="5"/>
  <c r="AB115" i="5"/>
  <c r="AD116" i="10"/>
  <c r="AD113" i="8"/>
  <c r="AE110" i="10"/>
  <c r="AG4" i="10"/>
  <c r="AF198" i="10" a="1"/>
  <c r="AF198" i="10" s="1"/>
  <c r="AF361" i="10"/>
  <c r="AF364" i="10" s="1"/>
  <c r="AF360" i="10"/>
  <c r="AF363" i="10" s="1"/>
  <c r="AB117" i="10"/>
  <c r="AF352" i="8"/>
  <c r="AF355" i="8" s="1"/>
  <c r="AF351" i="8"/>
  <c r="AF354" i="8" s="1"/>
  <c r="AD109" i="8"/>
  <c r="AG4" i="8"/>
  <c r="AD116" i="5"/>
  <c r="AF364" i="5"/>
  <c r="AF363" i="5"/>
  <c r="BL3" i="1"/>
  <c r="AG4" i="1"/>
  <c r="AF5" i="1"/>
  <c r="AL129" i="23" l="1"/>
  <c r="AK130" i="23"/>
  <c r="AM117" i="23"/>
  <c r="AL118" i="23"/>
  <c r="AM127" i="23"/>
  <c r="AH151" i="15"/>
  <c r="AI148" i="15"/>
  <c r="AI140" i="11"/>
  <c r="AH142" i="11"/>
  <c r="AG143" i="11"/>
  <c r="AJ131" i="9"/>
  <c r="AI132" i="9"/>
  <c r="AJ119" i="9"/>
  <c r="AI120" i="9"/>
  <c r="AI143" i="18"/>
  <c r="AH146" i="18"/>
  <c r="AI133" i="18"/>
  <c r="AH134" i="18"/>
  <c r="AI136" i="20"/>
  <c r="AH137" i="20"/>
  <c r="AF107" i="8"/>
  <c r="AF108" i="8"/>
  <c r="V109" i="8"/>
  <c r="V112" i="8"/>
  <c r="U114" i="8"/>
  <c r="AE115" i="10"/>
  <c r="AE116" i="10"/>
  <c r="AF110" i="10"/>
  <c r="AF111" i="5"/>
  <c r="AF110" i="5"/>
  <c r="AC112" i="5"/>
  <c r="AC115" i="5"/>
  <c r="AF111" i="10"/>
  <c r="AE113" i="8"/>
  <c r="AE112" i="10"/>
  <c r="AH4" i="10"/>
  <c r="AG361" i="10"/>
  <c r="AG364" i="10" s="1"/>
  <c r="AG360" i="10"/>
  <c r="AG363" i="10" s="1"/>
  <c r="AG198" i="10" a="1"/>
  <c r="AG198" i="10" s="1"/>
  <c r="AC117" i="10"/>
  <c r="AG351" i="8"/>
  <c r="AG354" i="8" s="1"/>
  <c r="AG352" i="8"/>
  <c r="AG355" i="8" s="1"/>
  <c r="AE109" i="8"/>
  <c r="AH4" i="8"/>
  <c r="AE116" i="5"/>
  <c r="AG364" i="5"/>
  <c r="AG363" i="5"/>
  <c r="BM3" i="1"/>
  <c r="AH4" i="1"/>
  <c r="AG5" i="1"/>
  <c r="AG107" i="8" s="1"/>
  <c r="AM129" i="23" l="1"/>
  <c r="AL130" i="23"/>
  <c r="AN117" i="23"/>
  <c r="AM118" i="23"/>
  <c r="AN127" i="23"/>
  <c r="AI151" i="15"/>
  <c r="AJ148" i="15"/>
  <c r="AJ140" i="11"/>
  <c r="AI142" i="11"/>
  <c r="AH143" i="11"/>
  <c r="AJ132" i="9"/>
  <c r="AK131" i="9"/>
  <c r="AJ120" i="9"/>
  <c r="AK119" i="9"/>
  <c r="AJ143" i="18"/>
  <c r="AI146" i="18"/>
  <c r="AJ133" i="18"/>
  <c r="AI134" i="18"/>
  <c r="AJ136" i="20"/>
  <c r="AI137" i="20"/>
  <c r="AG108" i="8"/>
  <c r="W109" i="8"/>
  <c r="V114" i="8"/>
  <c r="W112" i="8"/>
  <c r="AF115" i="10"/>
  <c r="AF116" i="10"/>
  <c r="AG111" i="10"/>
  <c r="AG111" i="5"/>
  <c r="AG110" i="5"/>
  <c r="AD112" i="5"/>
  <c r="AD115" i="5"/>
  <c r="AF112" i="10"/>
  <c r="AF113" i="8"/>
  <c r="AG110" i="10"/>
  <c r="AI4" i="10"/>
  <c r="AH361" i="10"/>
  <c r="AH364" i="10" s="1"/>
  <c r="AH360" i="10"/>
  <c r="AH363" i="10" s="1"/>
  <c r="AH198" i="10" a="1"/>
  <c r="AH198" i="10" s="1"/>
  <c r="AD117" i="10"/>
  <c r="AF116" i="5"/>
  <c r="AH351" i="8"/>
  <c r="AH354" i="8" s="1"/>
  <c r="AH352" i="8"/>
  <c r="AH355" i="8" s="1"/>
  <c r="AF109" i="8"/>
  <c r="AI4" i="8"/>
  <c r="BN3" i="1"/>
  <c r="BO3" i="1" s="1"/>
  <c r="AH363" i="5"/>
  <c r="AH364" i="5"/>
  <c r="AI4" i="1"/>
  <c r="AH5" i="1"/>
  <c r="AH107" i="8" s="1"/>
  <c r="AN129" i="23" l="1"/>
  <c r="AM130" i="23"/>
  <c r="AO117" i="23"/>
  <c r="AN118" i="23"/>
  <c r="AO127" i="23"/>
  <c r="AJ151" i="15"/>
  <c r="AK148" i="15"/>
  <c r="AK140" i="11"/>
  <c r="AI143" i="11"/>
  <c r="AJ142" i="11"/>
  <c r="AK132" i="9"/>
  <c r="AL131" i="9"/>
  <c r="AL119" i="9"/>
  <c r="AK120" i="9"/>
  <c r="AK143" i="18"/>
  <c r="AJ146" i="18"/>
  <c r="AK133" i="18"/>
  <c r="AJ134" i="18"/>
  <c r="AK136" i="20"/>
  <c r="AJ137" i="20"/>
  <c r="AH108" i="8"/>
  <c r="X109" i="8"/>
  <c r="W114" i="8"/>
  <c r="X112" i="8"/>
  <c r="AG116" i="10"/>
  <c r="AG112" i="10"/>
  <c r="AH111" i="10"/>
  <c r="AH111" i="5"/>
  <c r="AH110" i="5"/>
  <c r="AE112" i="5"/>
  <c r="AE115" i="5"/>
  <c r="AG113" i="8"/>
  <c r="AG115" i="10"/>
  <c r="AH110" i="10"/>
  <c r="AJ4" i="10"/>
  <c r="AI198" i="10" a="1"/>
  <c r="AI198" i="10" s="1"/>
  <c r="AI361" i="10"/>
  <c r="AI364" i="10" s="1"/>
  <c r="AI360" i="10"/>
  <c r="AI363" i="10" s="1"/>
  <c r="AE117" i="10"/>
  <c r="AG116" i="5"/>
  <c r="AI351" i="8"/>
  <c r="AI354" i="8" s="1"/>
  <c r="AI352" i="8"/>
  <c r="AI355" i="8" s="1"/>
  <c r="AG109" i="8"/>
  <c r="AJ4" i="8"/>
  <c r="AI363" i="5"/>
  <c r="AI364" i="5"/>
  <c r="BP3" i="1"/>
  <c r="AJ4" i="1"/>
  <c r="AI5" i="1"/>
  <c r="AI107" i="8" s="1"/>
  <c r="AO129" i="23" l="1"/>
  <c r="AN130" i="23"/>
  <c r="AP117" i="23"/>
  <c r="AO118" i="23"/>
  <c r="AP127" i="23"/>
  <c r="AK151" i="15"/>
  <c r="AL148" i="15"/>
  <c r="AL140" i="11"/>
  <c r="AJ143" i="11"/>
  <c r="AK142" i="11"/>
  <c r="AM131" i="9"/>
  <c r="AL132" i="9"/>
  <c r="AM119" i="9"/>
  <c r="AL120" i="9"/>
  <c r="AL143" i="18"/>
  <c r="AK146" i="18"/>
  <c r="AL133" i="18"/>
  <c r="AK134" i="18"/>
  <c r="AL136" i="20"/>
  <c r="AK137" i="20"/>
  <c r="AI108" i="8"/>
  <c r="Y109" i="8"/>
  <c r="X114" i="8"/>
  <c r="Y112" i="8"/>
  <c r="AH116" i="10"/>
  <c r="AH112" i="10"/>
  <c r="AI110" i="10"/>
  <c r="AI111" i="5"/>
  <c r="AI110" i="5"/>
  <c r="AF112" i="5"/>
  <c r="AF115" i="5"/>
  <c r="AH113" i="8"/>
  <c r="AH115" i="10"/>
  <c r="AI111" i="10"/>
  <c r="AK4" i="10"/>
  <c r="AJ198" i="10" a="1"/>
  <c r="AJ198" i="10" s="1"/>
  <c r="AJ360" i="10"/>
  <c r="AJ363" i="10" s="1"/>
  <c r="AJ361" i="10"/>
  <c r="AJ364" i="10" s="1"/>
  <c r="AF117" i="10"/>
  <c r="AH116" i="5"/>
  <c r="AJ352" i="8"/>
  <c r="AJ355" i="8" s="1"/>
  <c r="AJ351" i="8"/>
  <c r="AJ354" i="8" s="1"/>
  <c r="AH109" i="8"/>
  <c r="AK4" i="8"/>
  <c r="AJ364" i="5"/>
  <c r="AJ363" i="5"/>
  <c r="BQ3" i="1"/>
  <c r="AK4" i="1"/>
  <c r="AJ5" i="1"/>
  <c r="AP129" i="23" l="1"/>
  <c r="AO130" i="23"/>
  <c r="AQ117" i="23"/>
  <c r="AP118" i="23"/>
  <c r="AQ127" i="23"/>
  <c r="AL151" i="15"/>
  <c r="AM148" i="15"/>
  <c r="AM140" i="11"/>
  <c r="AL142" i="11"/>
  <c r="AK143" i="11"/>
  <c r="AM132" i="9"/>
  <c r="AN131" i="9"/>
  <c r="AM120" i="9"/>
  <c r="AN119" i="9"/>
  <c r="AM143" i="18"/>
  <c r="AL146" i="18"/>
  <c r="AM133" i="18"/>
  <c r="AL134" i="18"/>
  <c r="AM136" i="20"/>
  <c r="AL137" i="20"/>
  <c r="AJ107" i="8"/>
  <c r="AJ108" i="8"/>
  <c r="Z109" i="8"/>
  <c r="Y114" i="8"/>
  <c r="Z112" i="8"/>
  <c r="AI116" i="10"/>
  <c r="AI115" i="10"/>
  <c r="AJ110" i="10"/>
  <c r="AJ111" i="5"/>
  <c r="AJ110" i="5"/>
  <c r="AG112" i="5"/>
  <c r="AG115" i="5"/>
  <c r="AI113" i="8"/>
  <c r="AJ111" i="10"/>
  <c r="AI112" i="10"/>
  <c r="AL4" i="10"/>
  <c r="AK361" i="10"/>
  <c r="AK364" i="10" s="1"/>
  <c r="AK360" i="10"/>
  <c r="AK363" i="10" s="1"/>
  <c r="AK198" i="10" a="1"/>
  <c r="AK198" i="10" s="1"/>
  <c r="AG117" i="10"/>
  <c r="AI116" i="5"/>
  <c r="AK351" i="8"/>
  <c r="AK354" i="8" s="1"/>
  <c r="AK352" i="8"/>
  <c r="AK355" i="8" s="1"/>
  <c r="AI109" i="8"/>
  <c r="AL4" i="8"/>
  <c r="AI112" i="5"/>
  <c r="AK363" i="5"/>
  <c r="AK364" i="5"/>
  <c r="BR3" i="1"/>
  <c r="I61" i="1"/>
  <c r="AL4" i="1"/>
  <c r="AK5" i="1"/>
  <c r="AK107" i="8" s="1"/>
  <c r="AQ129" i="23" l="1"/>
  <c r="AP130" i="23"/>
  <c r="AR117" i="23"/>
  <c r="AQ118" i="23"/>
  <c r="AR127" i="23"/>
  <c r="AM151" i="15"/>
  <c r="AN148" i="15"/>
  <c r="AN140" i="11"/>
  <c r="AM142" i="11"/>
  <c r="AL143" i="11"/>
  <c r="AN132" i="9"/>
  <c r="AO131" i="9"/>
  <c r="AN120" i="9"/>
  <c r="AO119" i="9"/>
  <c r="AN143" i="18"/>
  <c r="AM146" i="18"/>
  <c r="AN133" i="18"/>
  <c r="AM134" i="18"/>
  <c r="AN136" i="20"/>
  <c r="AM137" i="20"/>
  <c r="AK108" i="8"/>
  <c r="AA109" i="8"/>
  <c r="AA112" i="8"/>
  <c r="Z114" i="8"/>
  <c r="AJ115" i="10"/>
  <c r="AJ112" i="10"/>
  <c r="AK110" i="10"/>
  <c r="AK111" i="5"/>
  <c r="AK110" i="5"/>
  <c r="AH112" i="5"/>
  <c r="AH115" i="5"/>
  <c r="AI115" i="5" s="1"/>
  <c r="AJ115" i="5" s="1"/>
  <c r="AJ113" i="8"/>
  <c r="AJ116" i="10"/>
  <c r="AK111" i="10"/>
  <c r="AM4" i="10"/>
  <c r="AL361" i="10"/>
  <c r="AL364" i="10" s="1"/>
  <c r="AL360" i="10"/>
  <c r="AL363" i="10" s="1"/>
  <c r="AL198" i="10" a="1"/>
  <c r="AL198" i="10" s="1"/>
  <c r="AJ116" i="5"/>
  <c r="AH117" i="10"/>
  <c r="AL351" i="8"/>
  <c r="AL354" i="8" s="1"/>
  <c r="AL352" i="8"/>
  <c r="AL355" i="8" s="1"/>
  <c r="AJ109" i="8"/>
  <c r="AM4" i="8"/>
  <c r="AL363" i="5"/>
  <c r="AL364" i="5"/>
  <c r="AJ112" i="5"/>
  <c r="BS3" i="1"/>
  <c r="L3" i="23" s="1" a="1"/>
  <c r="AM4" i="1"/>
  <c r="AL5" i="1"/>
  <c r="BS3" i="23" l="1"/>
  <c r="BH3" i="23"/>
  <c r="BA3" i="23"/>
  <c r="BB3" i="23"/>
  <c r="AQ3" i="23"/>
  <c r="BP3" i="23"/>
  <c r="BI3" i="23"/>
  <c r="BF3" i="23"/>
  <c r="AU3" i="23"/>
  <c r="Y3" i="23"/>
  <c r="BQ3" i="23"/>
  <c r="N3" i="23"/>
  <c r="BJ3" i="23"/>
  <c r="AY3" i="23"/>
  <c r="U3" i="23"/>
  <c r="P3" i="23"/>
  <c r="R3" i="23"/>
  <c r="BN3" i="23"/>
  <c r="BC3" i="23"/>
  <c r="AG3" i="23"/>
  <c r="Q3" i="23"/>
  <c r="X3" i="23"/>
  <c r="V3" i="23"/>
  <c r="BR3" i="23"/>
  <c r="BG3" i="23"/>
  <c r="BE3" i="23"/>
  <c r="AO3" i="23"/>
  <c r="AF3" i="23"/>
  <c r="Z3" i="23"/>
  <c r="O3" i="23"/>
  <c r="BK3" i="23"/>
  <c r="L3" i="23"/>
  <c r="AW3" i="23"/>
  <c r="AN3" i="23"/>
  <c r="AD3" i="23"/>
  <c r="S3" i="23"/>
  <c r="BO3" i="23"/>
  <c r="T3" i="23"/>
  <c r="BM3" i="23"/>
  <c r="AV3" i="23"/>
  <c r="AH3" i="23"/>
  <c r="W3" i="23"/>
  <c r="AB3" i="23"/>
  <c r="M3" i="23"/>
  <c r="BD3" i="23"/>
  <c r="AL3" i="23"/>
  <c r="AA3" i="23"/>
  <c r="AJ3" i="23"/>
  <c r="AC3" i="23"/>
  <c r="BL3" i="23"/>
  <c r="AP3" i="23"/>
  <c r="AE3" i="23"/>
  <c r="AR3" i="23"/>
  <c r="AK3" i="23"/>
  <c r="AT3" i="23"/>
  <c r="AI3" i="23"/>
  <c r="AZ3" i="23"/>
  <c r="AS3" i="23"/>
  <c r="AX3" i="23"/>
  <c r="AM3" i="23"/>
  <c r="AR129" i="23"/>
  <c r="AQ130" i="23"/>
  <c r="AS117" i="23"/>
  <c r="AR118" i="23"/>
  <c r="AS127" i="23"/>
  <c r="AN151" i="15"/>
  <c r="AO148" i="15"/>
  <c r="AO140" i="11"/>
  <c r="AM143" i="11"/>
  <c r="AN142" i="11"/>
  <c r="AO132" i="9"/>
  <c r="AP131" i="9"/>
  <c r="AO120" i="9"/>
  <c r="AP119" i="9"/>
  <c r="AO143" i="18"/>
  <c r="AN146" i="18"/>
  <c r="AO133" i="18"/>
  <c r="AN134" i="18"/>
  <c r="AO136" i="20"/>
  <c r="AN137" i="20"/>
  <c r="L3" i="17" a="1"/>
  <c r="L3" i="18" a="1"/>
  <c r="L3" i="20" a="1"/>
  <c r="AL107" i="8"/>
  <c r="AL108" i="8"/>
  <c r="AB112" i="8"/>
  <c r="AA114" i="8"/>
  <c r="AK115" i="10"/>
  <c r="L3" i="11" a="1"/>
  <c r="L3" i="5" a="1"/>
  <c r="BS3" i="5" s="1"/>
  <c r="L3" i="8" a="1"/>
  <c r="L3" i="10" a="1"/>
  <c r="L3" i="15" a="1"/>
  <c r="L3" i="9" a="1"/>
  <c r="AK112" i="10"/>
  <c r="AL111" i="10"/>
  <c r="AL111" i="5"/>
  <c r="AL110" i="5"/>
  <c r="AK113" i="8"/>
  <c r="AK116" i="10"/>
  <c r="AL110" i="10"/>
  <c r="AN4" i="10"/>
  <c r="AM361" i="10"/>
  <c r="AM364" i="10" s="1"/>
  <c r="AM360" i="10"/>
  <c r="AM363" i="10" s="1"/>
  <c r="AM198" i="10" a="1"/>
  <c r="AM198" i="10" s="1"/>
  <c r="AK115" i="5"/>
  <c r="AI117" i="10"/>
  <c r="AK112" i="5"/>
  <c r="AK109" i="8"/>
  <c r="AM351" i="8"/>
  <c r="AM354" i="8" s="1"/>
  <c r="AM352" i="8"/>
  <c r="AM355" i="8" s="1"/>
  <c r="AN4" i="8"/>
  <c r="AK116" i="5"/>
  <c r="I173" i="1"/>
  <c r="I174" i="1"/>
  <c r="G22" i="1"/>
  <c r="I175" i="1"/>
  <c r="AM363" i="5"/>
  <c r="AM364" i="5"/>
  <c r="L3" i="4" a="1"/>
  <c r="AN4" i="1"/>
  <c r="AM5" i="1"/>
  <c r="AM108" i="8" s="1"/>
  <c r="AS129" i="23" l="1"/>
  <c r="AR130" i="23"/>
  <c r="AT117" i="23"/>
  <c r="AS118" i="23"/>
  <c r="AT127" i="23"/>
  <c r="AO151" i="15"/>
  <c r="AP148" i="15"/>
  <c r="AP140" i="11"/>
  <c r="AO142" i="11"/>
  <c r="AN143" i="11"/>
  <c r="AQ131" i="9"/>
  <c r="AP132" i="9"/>
  <c r="AQ119" i="9"/>
  <c r="AP120" i="9"/>
  <c r="AP143" i="18"/>
  <c r="AO146" i="18"/>
  <c r="AP133" i="18"/>
  <c r="AO134" i="18"/>
  <c r="AP136" i="20"/>
  <c r="AO137" i="20"/>
  <c r="BQ3" i="20"/>
  <c r="BA3" i="20"/>
  <c r="AK3" i="20"/>
  <c r="U3" i="20"/>
  <c r="BL3" i="20"/>
  <c r="AV3" i="20"/>
  <c r="AF3" i="20"/>
  <c r="P3" i="20"/>
  <c r="BK3" i="20"/>
  <c r="AU3" i="20"/>
  <c r="AA3" i="20"/>
  <c r="N3" i="20"/>
  <c r="BB3" i="20"/>
  <c r="AE3" i="20"/>
  <c r="Z3" i="20"/>
  <c r="BM3" i="20"/>
  <c r="AW3" i="20"/>
  <c r="AG3" i="20"/>
  <c r="Q3" i="20"/>
  <c r="BH3" i="20"/>
  <c r="AR3" i="20"/>
  <c r="AB3" i="20"/>
  <c r="L3" i="20"/>
  <c r="BG3" i="20"/>
  <c r="AQ3" i="20"/>
  <c r="AI3" i="20"/>
  <c r="V3" i="20"/>
  <c r="BR3" i="20"/>
  <c r="AP3" i="20"/>
  <c r="AH3" i="20"/>
  <c r="BE3" i="20"/>
  <c r="AO3" i="20"/>
  <c r="BP3" i="20"/>
  <c r="AZ3" i="20"/>
  <c r="AJ3" i="20"/>
  <c r="T3" i="20"/>
  <c r="BO3" i="20"/>
  <c r="AY3" i="20"/>
  <c r="S3" i="20"/>
  <c r="BN3" i="20"/>
  <c r="AL3" i="20"/>
  <c r="W3" i="20"/>
  <c r="R3" i="20"/>
  <c r="BJ3" i="20"/>
  <c r="BI3" i="20"/>
  <c r="AS3" i="20"/>
  <c r="AC3" i="20"/>
  <c r="M3" i="20"/>
  <c r="BD3" i="20"/>
  <c r="AN3" i="20"/>
  <c r="X3" i="20"/>
  <c r="BS3" i="20"/>
  <c r="BC3" i="20"/>
  <c r="AM3" i="20"/>
  <c r="AX3" i="20"/>
  <c r="AD3" i="20"/>
  <c r="O3" i="20"/>
  <c r="BF3" i="20"/>
  <c r="AT3" i="20"/>
  <c r="Y3" i="20"/>
  <c r="BQ3" i="18"/>
  <c r="N3" i="18"/>
  <c r="R3" i="18"/>
  <c r="V3" i="18"/>
  <c r="Z3" i="18"/>
  <c r="S3" i="18"/>
  <c r="AI3" i="18"/>
  <c r="AY3" i="18"/>
  <c r="BO3" i="18"/>
  <c r="T3" i="18"/>
  <c r="AJ3" i="18"/>
  <c r="AZ3" i="18"/>
  <c r="BP3" i="18"/>
  <c r="Y3" i="18"/>
  <c r="AO3" i="18"/>
  <c r="BE3" i="18"/>
  <c r="AD3" i="18"/>
  <c r="AH3" i="18"/>
  <c r="AL3" i="18"/>
  <c r="AP3" i="18"/>
  <c r="W3" i="18"/>
  <c r="AM3" i="18"/>
  <c r="BC3" i="18"/>
  <c r="BS3" i="18"/>
  <c r="X3" i="18"/>
  <c r="AN3" i="18"/>
  <c r="BD3" i="18"/>
  <c r="M3" i="18"/>
  <c r="AC3" i="18"/>
  <c r="AS3" i="18"/>
  <c r="BI3" i="18"/>
  <c r="BJ3" i="18"/>
  <c r="BN3" i="18"/>
  <c r="BR3" i="18"/>
  <c r="O3" i="18"/>
  <c r="AE3" i="18"/>
  <c r="AU3" i="18"/>
  <c r="BK3" i="18"/>
  <c r="P3" i="18"/>
  <c r="AF3" i="18"/>
  <c r="AV3" i="18"/>
  <c r="BL3" i="18"/>
  <c r="U3" i="18"/>
  <c r="AK3" i="18"/>
  <c r="BA3" i="18"/>
  <c r="AT3" i="18"/>
  <c r="AX3" i="18"/>
  <c r="BB3" i="18"/>
  <c r="BF3" i="18"/>
  <c r="AA3" i="18"/>
  <c r="AQ3" i="18"/>
  <c r="BG3" i="18"/>
  <c r="L3" i="18"/>
  <c r="AB3" i="18"/>
  <c r="AR3" i="18"/>
  <c r="BH3" i="18"/>
  <c r="Q3" i="18"/>
  <c r="AG3" i="18"/>
  <c r="AW3" i="18"/>
  <c r="BM3" i="18"/>
  <c r="BQ3" i="17"/>
  <c r="AP3" i="17"/>
  <c r="AT3" i="17"/>
  <c r="AX3" i="17"/>
  <c r="BB3" i="17"/>
  <c r="S3" i="17"/>
  <c r="AI3" i="17"/>
  <c r="AY3" i="17"/>
  <c r="BO3" i="17"/>
  <c r="T3" i="17"/>
  <c r="AJ3" i="17"/>
  <c r="AZ3" i="17"/>
  <c r="BP3" i="17"/>
  <c r="Y3" i="17"/>
  <c r="AO3" i="17"/>
  <c r="BE3" i="17"/>
  <c r="BK3" i="17"/>
  <c r="BF3" i="17"/>
  <c r="BJ3" i="17"/>
  <c r="BN3" i="17"/>
  <c r="BR3" i="17"/>
  <c r="W3" i="17"/>
  <c r="AM3" i="17"/>
  <c r="BC3" i="17"/>
  <c r="BS3" i="17"/>
  <c r="X3" i="17"/>
  <c r="AN3" i="17"/>
  <c r="BD3" i="17"/>
  <c r="M3" i="17"/>
  <c r="AC3" i="17"/>
  <c r="AS3" i="17"/>
  <c r="BI3" i="17"/>
  <c r="N3" i="17"/>
  <c r="R3" i="17"/>
  <c r="V3" i="17"/>
  <c r="AA3" i="17"/>
  <c r="AQ3" i="17"/>
  <c r="BG3" i="17"/>
  <c r="L3" i="17"/>
  <c r="AB3" i="17"/>
  <c r="AR3" i="17"/>
  <c r="BH3" i="17"/>
  <c r="Q3" i="17"/>
  <c r="AG3" i="17"/>
  <c r="AW3" i="17"/>
  <c r="BM3" i="17"/>
  <c r="Z3" i="17"/>
  <c r="AD3" i="17"/>
  <c r="AH3" i="17"/>
  <c r="AL3" i="17"/>
  <c r="O3" i="17"/>
  <c r="AE3" i="17"/>
  <c r="AU3" i="17"/>
  <c r="P3" i="17"/>
  <c r="AF3" i="17"/>
  <c r="AV3" i="17"/>
  <c r="BL3" i="17"/>
  <c r="U3" i="17"/>
  <c r="AK3" i="17"/>
  <c r="BA3" i="17"/>
  <c r="AM107" i="8"/>
  <c r="AC112" i="8"/>
  <c r="AB114" i="8"/>
  <c r="AL115" i="10"/>
  <c r="BP3" i="10"/>
  <c r="BQ3" i="10"/>
  <c r="BA3" i="10"/>
  <c r="R3" i="10"/>
  <c r="AX3" i="10"/>
  <c r="N3" i="10"/>
  <c r="AT3" i="10"/>
  <c r="AO3" i="10"/>
  <c r="S3" i="10"/>
  <c r="AI3" i="10"/>
  <c r="AY3" i="10"/>
  <c r="BO3" i="10"/>
  <c r="T3" i="10"/>
  <c r="AJ3" i="10"/>
  <c r="AZ3" i="10"/>
  <c r="AS3" i="10"/>
  <c r="AH3" i="10"/>
  <c r="BN3" i="10"/>
  <c r="AD3" i="10"/>
  <c r="BJ3" i="10"/>
  <c r="Y3" i="10"/>
  <c r="BE3" i="10"/>
  <c r="AA3" i="10"/>
  <c r="AQ3" i="10"/>
  <c r="BG3" i="10"/>
  <c r="L3" i="10"/>
  <c r="AB3" i="10"/>
  <c r="AR3" i="10"/>
  <c r="BH3" i="10"/>
  <c r="BB3" i="10"/>
  <c r="BR3" i="10"/>
  <c r="BM3" i="10"/>
  <c r="W3" i="10"/>
  <c r="BC3" i="10"/>
  <c r="AN3" i="10"/>
  <c r="BI3" i="10"/>
  <c r="AK3" i="10"/>
  <c r="Z3" i="10"/>
  <c r="Q3" i="10"/>
  <c r="AE3" i="10"/>
  <c r="BK3" i="10"/>
  <c r="P3" i="10"/>
  <c r="V3" i="10"/>
  <c r="AV3" i="10"/>
  <c r="U3" i="10"/>
  <c r="AC3" i="10"/>
  <c r="M3" i="10"/>
  <c r="AP3" i="10"/>
  <c r="AL3" i="10"/>
  <c r="AG3" i="10"/>
  <c r="AM3" i="10"/>
  <c r="BS3" i="10"/>
  <c r="X3" i="10"/>
  <c r="BD3" i="10"/>
  <c r="BF3" i="10"/>
  <c r="AW3" i="10"/>
  <c r="O3" i="10"/>
  <c r="AU3" i="10"/>
  <c r="AF3" i="10"/>
  <c r="BL3" i="10"/>
  <c r="R3" i="9"/>
  <c r="BQ3" i="9"/>
  <c r="BN3" i="9"/>
  <c r="Z3" i="9"/>
  <c r="AT3" i="9"/>
  <c r="W3" i="9"/>
  <c r="AM3" i="9"/>
  <c r="BC3" i="9"/>
  <c r="BS3" i="9"/>
  <c r="T3" i="9"/>
  <c r="AJ3" i="9"/>
  <c r="AZ3" i="9"/>
  <c r="BP3" i="9"/>
  <c r="Y3" i="9"/>
  <c r="AO3" i="9"/>
  <c r="BE3" i="9"/>
  <c r="AL3" i="9"/>
  <c r="V3" i="9"/>
  <c r="BF3" i="9"/>
  <c r="N3" i="9"/>
  <c r="O3" i="9"/>
  <c r="AE3" i="9"/>
  <c r="AU3" i="9"/>
  <c r="BK3" i="9"/>
  <c r="L3" i="9"/>
  <c r="AB3" i="9"/>
  <c r="AR3" i="9"/>
  <c r="BH3" i="9"/>
  <c r="Q3" i="9"/>
  <c r="AG3" i="9"/>
  <c r="AW3" i="9"/>
  <c r="BM3" i="9"/>
  <c r="BR3" i="9"/>
  <c r="BB3" i="9"/>
  <c r="AH3" i="9"/>
  <c r="BJ3" i="9"/>
  <c r="AI3" i="9"/>
  <c r="BO3" i="9"/>
  <c r="AF3" i="9"/>
  <c r="BL3" i="9"/>
  <c r="AK3" i="9"/>
  <c r="AQ3" i="9"/>
  <c r="BG3" i="9"/>
  <c r="BD3" i="9"/>
  <c r="BI3" i="9"/>
  <c r="AN3" i="9"/>
  <c r="M3" i="9"/>
  <c r="AS3" i="9"/>
  <c r="AA3" i="9"/>
  <c r="X3" i="9"/>
  <c r="AC3" i="9"/>
  <c r="AX3" i="9"/>
  <c r="AP3" i="9"/>
  <c r="S3" i="9"/>
  <c r="AY3" i="9"/>
  <c r="P3" i="9"/>
  <c r="AV3" i="9"/>
  <c r="U3" i="9"/>
  <c r="BA3" i="9"/>
  <c r="AD3" i="9"/>
  <c r="AT3" i="8"/>
  <c r="V3" i="8"/>
  <c r="R3" i="8"/>
  <c r="AX3" i="8"/>
  <c r="BF3" i="8"/>
  <c r="W3" i="8"/>
  <c r="AM3" i="8"/>
  <c r="BC3" i="8"/>
  <c r="BS3" i="8"/>
  <c r="X3" i="8"/>
  <c r="AN3" i="8"/>
  <c r="BD3" i="8"/>
  <c r="M3" i="8"/>
  <c r="AC3" i="8"/>
  <c r="AS3" i="8"/>
  <c r="BI3" i="8"/>
  <c r="BN3" i="8"/>
  <c r="BJ3" i="8"/>
  <c r="AH3" i="8"/>
  <c r="Z3" i="8"/>
  <c r="O3" i="8"/>
  <c r="AE3" i="8"/>
  <c r="AU3" i="8"/>
  <c r="BK3" i="8"/>
  <c r="P3" i="8"/>
  <c r="AF3" i="8"/>
  <c r="AV3" i="8"/>
  <c r="BL3" i="8"/>
  <c r="U3" i="8"/>
  <c r="AK3" i="8"/>
  <c r="BA3" i="8"/>
  <c r="BQ3" i="8"/>
  <c r="AA3" i="8"/>
  <c r="BG3" i="8"/>
  <c r="AB3" i="8"/>
  <c r="BH3" i="8"/>
  <c r="AG3" i="8"/>
  <c r="BM3" i="8"/>
  <c r="AI3" i="8"/>
  <c r="AJ3" i="8"/>
  <c r="AO3" i="8"/>
  <c r="N3" i="8"/>
  <c r="AL3" i="8"/>
  <c r="AP3" i="8"/>
  <c r="BO3" i="8"/>
  <c r="BP3" i="8"/>
  <c r="BR3" i="8"/>
  <c r="S3" i="8"/>
  <c r="AD3" i="8"/>
  <c r="BB3" i="8"/>
  <c r="AQ3" i="8"/>
  <c r="L3" i="8"/>
  <c r="AR3" i="8"/>
  <c r="Q3" i="8"/>
  <c r="AW3" i="8"/>
  <c r="Y3" i="8"/>
  <c r="AY3" i="8"/>
  <c r="BE3" i="8"/>
  <c r="T3" i="8"/>
  <c r="AZ3" i="8"/>
  <c r="BQ3" i="15"/>
  <c r="AT3" i="15"/>
  <c r="AH3" i="15"/>
  <c r="V3" i="15"/>
  <c r="AA3" i="15"/>
  <c r="AQ3" i="15"/>
  <c r="BG3" i="15"/>
  <c r="L3" i="15"/>
  <c r="AB3" i="15"/>
  <c r="AR3" i="15"/>
  <c r="BH3" i="15"/>
  <c r="Q3" i="15"/>
  <c r="AG3" i="15"/>
  <c r="AW3" i="15"/>
  <c r="BM3" i="15"/>
  <c r="N3" i="15"/>
  <c r="BF3" i="15"/>
  <c r="BN3" i="15"/>
  <c r="BB3" i="15"/>
  <c r="S3" i="15"/>
  <c r="AI3" i="15"/>
  <c r="AY3" i="15"/>
  <c r="BO3" i="15"/>
  <c r="T3" i="15"/>
  <c r="AJ3" i="15"/>
  <c r="AZ3" i="15"/>
  <c r="BP3" i="15"/>
  <c r="Y3" i="15"/>
  <c r="AO3" i="15"/>
  <c r="BE3" i="15"/>
  <c r="AD3" i="15"/>
  <c r="M3" i="15"/>
  <c r="BJ3" i="15"/>
  <c r="AL3" i="15"/>
  <c r="O3" i="15"/>
  <c r="AU3" i="15"/>
  <c r="P3" i="15"/>
  <c r="AV3" i="15"/>
  <c r="U3" i="15"/>
  <c r="BA3" i="15"/>
  <c r="BR3" i="15"/>
  <c r="W3" i="15"/>
  <c r="X3" i="15"/>
  <c r="AC3" i="15"/>
  <c r="R3" i="15"/>
  <c r="BC3" i="15"/>
  <c r="BD3" i="15"/>
  <c r="BI3" i="15"/>
  <c r="BS3" i="15"/>
  <c r="Z3" i="15"/>
  <c r="AX3" i="15"/>
  <c r="AE3" i="15"/>
  <c r="BK3" i="15"/>
  <c r="AF3" i="15"/>
  <c r="BL3" i="15"/>
  <c r="AK3" i="15"/>
  <c r="AP3" i="15"/>
  <c r="AM3" i="15"/>
  <c r="AN3" i="15"/>
  <c r="AS3" i="15"/>
  <c r="AP3" i="5"/>
  <c r="AH3" i="5"/>
  <c r="S3" i="5"/>
  <c r="AI3" i="5"/>
  <c r="T3" i="5"/>
  <c r="AJ3" i="5"/>
  <c r="U3" i="5"/>
  <c r="AK3" i="5"/>
  <c r="X3" i="5"/>
  <c r="Y3" i="5"/>
  <c r="N3" i="5"/>
  <c r="V3" i="5"/>
  <c r="W3" i="5"/>
  <c r="AM3" i="5"/>
  <c r="AN3" i="5"/>
  <c r="AO3" i="5"/>
  <c r="AB3" i="5"/>
  <c r="AD3" i="5"/>
  <c r="AL3" i="5"/>
  <c r="AA3" i="5"/>
  <c r="L3" i="5"/>
  <c r="M3" i="5"/>
  <c r="AC3" i="5"/>
  <c r="R3" i="5"/>
  <c r="AF3" i="5"/>
  <c r="O3" i="5"/>
  <c r="Q3" i="5"/>
  <c r="AE3" i="5"/>
  <c r="AG3" i="5"/>
  <c r="Z3" i="5"/>
  <c r="P3" i="5"/>
  <c r="AQ3" i="5"/>
  <c r="AR3" i="5"/>
  <c r="AS3" i="5"/>
  <c r="AT3" i="5"/>
  <c r="AU3" i="5"/>
  <c r="AV3" i="5"/>
  <c r="AW3" i="5"/>
  <c r="AX3" i="5"/>
  <c r="AY3" i="5"/>
  <c r="AZ3" i="5"/>
  <c r="BA3" i="5"/>
  <c r="BB3" i="5"/>
  <c r="BC3" i="5"/>
  <c r="BD3" i="5"/>
  <c r="BE3" i="5"/>
  <c r="BF3" i="5"/>
  <c r="BG3" i="5"/>
  <c r="BH3" i="5"/>
  <c r="BJ3" i="5"/>
  <c r="BI3" i="5"/>
  <c r="BK3" i="5"/>
  <c r="BL3" i="5"/>
  <c r="BM3" i="5"/>
  <c r="BO3" i="5"/>
  <c r="BN3" i="5"/>
  <c r="BP3" i="5"/>
  <c r="BQ3" i="5"/>
  <c r="BR3" i="5"/>
  <c r="BQ3" i="11"/>
  <c r="AH3" i="11"/>
  <c r="V3" i="11"/>
  <c r="AT3" i="11"/>
  <c r="S3" i="11"/>
  <c r="AI3" i="11"/>
  <c r="AY3" i="11"/>
  <c r="BO3" i="11"/>
  <c r="L3" i="11"/>
  <c r="AB3" i="11"/>
  <c r="AR3" i="11"/>
  <c r="BH3" i="11"/>
  <c r="M3" i="11"/>
  <c r="AC3" i="11"/>
  <c r="AS3" i="11"/>
  <c r="BI3" i="11"/>
  <c r="AP3" i="11"/>
  <c r="BN3" i="11"/>
  <c r="BB3" i="11"/>
  <c r="N3" i="11"/>
  <c r="AA3" i="11"/>
  <c r="AQ3" i="11"/>
  <c r="BG3" i="11"/>
  <c r="T3" i="11"/>
  <c r="AJ3" i="11"/>
  <c r="AZ3" i="11"/>
  <c r="BP3" i="11"/>
  <c r="U3" i="11"/>
  <c r="AK3" i="11"/>
  <c r="BA3" i="11"/>
  <c r="BR3" i="11"/>
  <c r="AM3" i="11"/>
  <c r="AG3" i="11"/>
  <c r="AX3" i="11"/>
  <c r="O3" i="11"/>
  <c r="AU3" i="11"/>
  <c r="AN3" i="11"/>
  <c r="AO3" i="11"/>
  <c r="BF3" i="11"/>
  <c r="BC3" i="11"/>
  <c r="P3" i="11"/>
  <c r="AW3" i="11"/>
  <c r="Z3" i="11"/>
  <c r="W3" i="11"/>
  <c r="AV3" i="11"/>
  <c r="Q3" i="11"/>
  <c r="BJ3" i="11"/>
  <c r="BS3" i="11"/>
  <c r="BL3" i="11"/>
  <c r="BM3" i="11"/>
  <c r="AL3" i="11"/>
  <c r="AD3" i="11"/>
  <c r="AE3" i="11"/>
  <c r="BK3" i="11"/>
  <c r="X3" i="11"/>
  <c r="BD3" i="11"/>
  <c r="Y3" i="11"/>
  <c r="BE3" i="11"/>
  <c r="R3" i="11"/>
  <c r="AF3" i="11"/>
  <c r="AL116" i="10"/>
  <c r="AM110" i="10"/>
  <c r="AM111" i="5"/>
  <c r="AM110" i="5"/>
  <c r="AL113" i="8"/>
  <c r="AL112" i="10"/>
  <c r="AM111" i="10"/>
  <c r="AO4" i="10"/>
  <c r="AN198" i="10" a="1"/>
  <c r="AN198" i="10" s="1"/>
  <c r="AN360" i="10"/>
  <c r="AN363" i="10" s="1"/>
  <c r="AN361" i="10"/>
  <c r="AN364" i="10" s="1"/>
  <c r="AL115" i="5"/>
  <c r="AJ117" i="10"/>
  <c r="AN352" i="8"/>
  <c r="AN355" i="8" s="1"/>
  <c r="AN351" i="8"/>
  <c r="AN354" i="8" s="1"/>
  <c r="AL109" i="8"/>
  <c r="AO4" i="8"/>
  <c r="AL116" i="5"/>
  <c r="AN364" i="5"/>
  <c r="AN363" i="5"/>
  <c r="AL112" i="5"/>
  <c r="AE117" i="5"/>
  <c r="N117" i="5"/>
  <c r="AJ117" i="5"/>
  <c r="M117" i="5"/>
  <c r="W117" i="5"/>
  <c r="AB117" i="5"/>
  <c r="AH117" i="5"/>
  <c r="AG117" i="5"/>
  <c r="Z117" i="5"/>
  <c r="AC117" i="5"/>
  <c r="S117" i="5"/>
  <c r="R117" i="5"/>
  <c r="T117" i="5"/>
  <c r="U117" i="5"/>
  <c r="AI117" i="5"/>
  <c r="O117" i="5"/>
  <c r="AD117" i="5"/>
  <c r="X117" i="5"/>
  <c r="AK117" i="5"/>
  <c r="Q117" i="5"/>
  <c r="L117" i="5"/>
  <c r="AA117" i="5"/>
  <c r="V117" i="5"/>
  <c r="AF117" i="5"/>
  <c r="P117" i="5"/>
  <c r="Y117" i="5"/>
  <c r="L3" i="4"/>
  <c r="BS3" i="4"/>
  <c r="BC3" i="4"/>
  <c r="AM3" i="4"/>
  <c r="W3" i="4"/>
  <c r="BN3" i="4"/>
  <c r="AX3" i="4"/>
  <c r="AH3" i="4"/>
  <c r="R3" i="4"/>
  <c r="BI3" i="4"/>
  <c r="AS3" i="4"/>
  <c r="AC3" i="4"/>
  <c r="M3" i="4"/>
  <c r="BD3" i="4"/>
  <c r="AN3" i="4"/>
  <c r="X3" i="4"/>
  <c r="U3" i="4"/>
  <c r="V3" i="4"/>
  <c r="Q3" i="4"/>
  <c r="BO3" i="4"/>
  <c r="AY3" i="4"/>
  <c r="AI3" i="4"/>
  <c r="S3" i="4"/>
  <c r="BJ3" i="4"/>
  <c r="AT3" i="4"/>
  <c r="AD3" i="4"/>
  <c r="N3" i="4"/>
  <c r="BE3" i="4"/>
  <c r="AO3" i="4"/>
  <c r="Y3" i="4"/>
  <c r="BP3" i="4"/>
  <c r="AZ3" i="4"/>
  <c r="AJ3" i="4"/>
  <c r="T3" i="4"/>
  <c r="BK3" i="4"/>
  <c r="AU3" i="4"/>
  <c r="AE3" i="4"/>
  <c r="O3" i="4"/>
  <c r="BF3" i="4"/>
  <c r="AP3" i="4"/>
  <c r="Z3" i="4"/>
  <c r="BQ3" i="4"/>
  <c r="AK3" i="4"/>
  <c r="BL3" i="4"/>
  <c r="AV3" i="4"/>
  <c r="AF3" i="4"/>
  <c r="P3" i="4"/>
  <c r="AQ3" i="4"/>
  <c r="BB3" i="4"/>
  <c r="AW3" i="4"/>
  <c r="BH3" i="4"/>
  <c r="AB3" i="4"/>
  <c r="BA3" i="4"/>
  <c r="BG3" i="4"/>
  <c r="AA3" i="4"/>
  <c r="BR3" i="4"/>
  <c r="AL3" i="4"/>
  <c r="BM3" i="4"/>
  <c r="AG3" i="4"/>
  <c r="AR3" i="4"/>
  <c r="AO4" i="1"/>
  <c r="AN5" i="1"/>
  <c r="AN107" i="8" s="1"/>
  <c r="AT129" i="23" l="1"/>
  <c r="AS130" i="23"/>
  <c r="AU117" i="23"/>
  <c r="AT118" i="23"/>
  <c r="AU127" i="23"/>
  <c r="AP151" i="15"/>
  <c r="AQ148" i="15"/>
  <c r="AQ140" i="11"/>
  <c r="AP142" i="11"/>
  <c r="AO143" i="11"/>
  <c r="AR131" i="9"/>
  <c r="AQ132" i="9"/>
  <c r="AR119" i="9"/>
  <c r="AQ120" i="9"/>
  <c r="AQ143" i="18"/>
  <c r="AP146" i="18"/>
  <c r="AQ133" i="18"/>
  <c r="AP134" i="18"/>
  <c r="AQ136" i="20"/>
  <c r="AP137" i="20"/>
  <c r="AN108" i="8"/>
  <c r="AD112" i="8"/>
  <c r="AC114" i="8"/>
  <c r="AM115" i="10"/>
  <c r="AM112" i="10"/>
  <c r="AN110" i="10"/>
  <c r="AN111" i="5"/>
  <c r="AN110" i="5"/>
  <c r="AM113" i="8"/>
  <c r="AN111" i="10"/>
  <c r="AM116" i="10"/>
  <c r="AP4" i="10"/>
  <c r="AO361" i="10"/>
  <c r="AO364" i="10" s="1"/>
  <c r="AO360" i="10"/>
  <c r="AO363" i="10" s="1"/>
  <c r="AO198" i="10" a="1"/>
  <c r="AO198" i="10" s="1"/>
  <c r="AK117" i="10"/>
  <c r="AM112" i="5"/>
  <c r="AM116" i="5"/>
  <c r="AO351" i="8"/>
  <c r="AO354" i="8" s="1"/>
  <c r="AO352" i="8"/>
  <c r="AO355" i="8" s="1"/>
  <c r="AM109" i="8"/>
  <c r="AP4" i="8"/>
  <c r="AL117" i="5"/>
  <c r="AM115" i="5"/>
  <c r="AO363" i="5"/>
  <c r="AO364" i="5"/>
  <c r="AP4" i="1"/>
  <c r="AO5" i="1"/>
  <c r="AU129" i="23" l="1"/>
  <c r="AT130" i="23"/>
  <c r="AV117" i="23"/>
  <c r="AU118" i="23"/>
  <c r="AV127" i="23"/>
  <c r="AQ151" i="15"/>
  <c r="AR148" i="15"/>
  <c r="AR140" i="11"/>
  <c r="AQ142" i="11"/>
  <c r="AP143" i="11"/>
  <c r="AR132" i="9"/>
  <c r="AS131" i="9"/>
  <c r="AR120" i="9"/>
  <c r="AS119" i="9"/>
  <c r="AR143" i="18"/>
  <c r="AQ146" i="18"/>
  <c r="AR133" i="18"/>
  <c r="AQ134" i="18"/>
  <c r="AR136" i="20"/>
  <c r="AQ137" i="20"/>
  <c r="AO107" i="8"/>
  <c r="AO108" i="8"/>
  <c r="AE112" i="8"/>
  <c r="AD114" i="8"/>
  <c r="AN115" i="10"/>
  <c r="AN112" i="10"/>
  <c r="AO110" i="10"/>
  <c r="AO111" i="5"/>
  <c r="AO110" i="5"/>
  <c r="AN113" i="8"/>
  <c r="AO111" i="10"/>
  <c r="AN116" i="10"/>
  <c r="AQ4" i="10"/>
  <c r="AP361" i="10"/>
  <c r="AP364" i="10" s="1"/>
  <c r="AP360" i="10"/>
  <c r="AP363" i="10" s="1"/>
  <c r="AP198" i="10" a="1"/>
  <c r="AP198" i="10" s="1"/>
  <c r="AL117" i="10"/>
  <c r="AN112" i="5"/>
  <c r="AN116" i="5"/>
  <c r="AP351" i="8"/>
  <c r="AP354" i="8" s="1"/>
  <c r="AP352" i="8"/>
  <c r="AP355" i="8" s="1"/>
  <c r="AN109" i="8"/>
  <c r="AQ4" i="8"/>
  <c r="AM117" i="5"/>
  <c r="AN115" i="5"/>
  <c r="AP363" i="5"/>
  <c r="AP364" i="5"/>
  <c r="AQ4" i="1"/>
  <c r="AP5" i="1"/>
  <c r="AP107" i="8" s="1"/>
  <c r="AV129" i="23" l="1"/>
  <c r="AU130" i="23"/>
  <c r="AW117" i="23"/>
  <c r="AV118" i="23"/>
  <c r="AW127" i="23"/>
  <c r="AR151" i="15"/>
  <c r="AS148" i="15"/>
  <c r="AS140" i="11"/>
  <c r="AQ143" i="11"/>
  <c r="AR142" i="11"/>
  <c r="AT131" i="9"/>
  <c r="AS132" i="9"/>
  <c r="AT119" i="9"/>
  <c r="AS120" i="9"/>
  <c r="AS143" i="18"/>
  <c r="AR146" i="18"/>
  <c r="AS133" i="18"/>
  <c r="AR134" i="18"/>
  <c r="AS136" i="20"/>
  <c r="AR137" i="20"/>
  <c r="AP108" i="8"/>
  <c r="AF112" i="8"/>
  <c r="AE114" i="8"/>
  <c r="AO115" i="10"/>
  <c r="AO112" i="10"/>
  <c r="AP110" i="10"/>
  <c r="AP111" i="5"/>
  <c r="AP110" i="5"/>
  <c r="AO113" i="8"/>
  <c r="AO116" i="10"/>
  <c r="AP111" i="10"/>
  <c r="AR4" i="10"/>
  <c r="AQ198" i="10" a="1"/>
  <c r="AQ198" i="10" s="1"/>
  <c r="AQ361" i="10"/>
  <c r="AQ364" i="10" s="1"/>
  <c r="AQ360" i="10"/>
  <c r="AQ363" i="10" s="1"/>
  <c r="AM117" i="10"/>
  <c r="AO116" i="5"/>
  <c r="AO112" i="5"/>
  <c r="AO109" i="8"/>
  <c r="AQ351" i="8"/>
  <c r="AQ354" i="8" s="1"/>
  <c r="AQ352" i="8"/>
  <c r="AQ355" i="8" s="1"/>
  <c r="AR4" i="8"/>
  <c r="AN117" i="5"/>
  <c r="AO115" i="5"/>
  <c r="AQ363" i="5"/>
  <c r="AQ364" i="5"/>
  <c r="AR4" i="1"/>
  <c r="AQ5" i="1"/>
  <c r="AQ108" i="8" s="1"/>
  <c r="AW129" i="23" l="1"/>
  <c r="AV130" i="23"/>
  <c r="AX117" i="23"/>
  <c r="AW118" i="23"/>
  <c r="AX127" i="23"/>
  <c r="AS151" i="15"/>
  <c r="AT148" i="15"/>
  <c r="AT140" i="11"/>
  <c r="AR143" i="11"/>
  <c r="AS142" i="11"/>
  <c r="AU131" i="9"/>
  <c r="AT132" i="9"/>
  <c r="AU119" i="9"/>
  <c r="AT120" i="9"/>
  <c r="AT143" i="18"/>
  <c r="AS146" i="18"/>
  <c r="AT133" i="18"/>
  <c r="AS134" i="18"/>
  <c r="AT136" i="20"/>
  <c r="AS137" i="20"/>
  <c r="I172" i="1"/>
  <c r="AQ107" i="8"/>
  <c r="AF114" i="8"/>
  <c r="AG112" i="8"/>
  <c r="AP115" i="10"/>
  <c r="AP112" i="10"/>
  <c r="AQ111" i="10"/>
  <c r="AQ110" i="5"/>
  <c r="AQ111" i="5"/>
  <c r="AP113" i="8"/>
  <c r="AP116" i="10"/>
  <c r="AQ110" i="10"/>
  <c r="AS4" i="10"/>
  <c r="AR198" i="10" a="1"/>
  <c r="AR198" i="10" s="1"/>
  <c r="AR361" i="10"/>
  <c r="AR364" i="10" s="1"/>
  <c r="AR360" i="10"/>
  <c r="AR363" i="10" s="1"/>
  <c r="AP116" i="5"/>
  <c r="AN117" i="10"/>
  <c r="AP112" i="5"/>
  <c r="AP109" i="8"/>
  <c r="AR352" i="8"/>
  <c r="AR355" i="8" s="1"/>
  <c r="AR351" i="8"/>
  <c r="AR354" i="8" s="1"/>
  <c r="AS4" i="8"/>
  <c r="AR363" i="5"/>
  <c r="AR364" i="5"/>
  <c r="AP115" i="5"/>
  <c r="AO117" i="5"/>
  <c r="I170" i="1"/>
  <c r="AS4" i="1"/>
  <c r="AR5" i="1"/>
  <c r="AR108" i="8" s="1"/>
  <c r="AX129" i="23" l="1"/>
  <c r="AW130" i="23"/>
  <c r="AY117" i="23"/>
  <c r="AX118" i="23"/>
  <c r="AY127" i="23"/>
  <c r="AT151" i="15"/>
  <c r="AU148" i="15"/>
  <c r="AU140" i="11"/>
  <c r="AT142" i="11"/>
  <c r="AS143" i="11"/>
  <c r="AV131" i="9"/>
  <c r="AU132" i="9"/>
  <c r="AV119" i="9"/>
  <c r="AU120" i="9"/>
  <c r="AU143" i="18"/>
  <c r="AT146" i="18"/>
  <c r="AU133" i="18"/>
  <c r="AT134" i="18"/>
  <c r="AU136" i="20"/>
  <c r="AT137" i="20"/>
  <c r="AR107" i="8"/>
  <c r="AG114" i="8"/>
  <c r="AH112" i="8"/>
  <c r="AQ112" i="10"/>
  <c r="AQ116" i="10"/>
  <c r="AR110" i="10"/>
  <c r="AR110" i="5"/>
  <c r="AR111" i="5"/>
  <c r="AQ113" i="8"/>
  <c r="AR111" i="10"/>
  <c r="AQ115" i="10"/>
  <c r="AT4" i="10"/>
  <c r="AS361" i="10"/>
  <c r="AS364" i="10" s="1"/>
  <c r="AS360" i="10"/>
  <c r="AS363" i="10" s="1"/>
  <c r="AS198" i="10" a="1"/>
  <c r="AS198" i="10" s="1"/>
  <c r="AQ112" i="5"/>
  <c r="AQ116" i="5"/>
  <c r="AO117" i="10"/>
  <c r="AS351" i="8"/>
  <c r="AS354" i="8" s="1"/>
  <c r="AS352" i="8"/>
  <c r="AS355" i="8" s="1"/>
  <c r="AQ109" i="8"/>
  <c r="AT4" i="8"/>
  <c r="AS363" i="5"/>
  <c r="AS364" i="5"/>
  <c r="AP117" i="5"/>
  <c r="AQ115" i="5"/>
  <c r="AT4" i="1"/>
  <c r="AS5" i="1"/>
  <c r="AY129" i="23" l="1"/>
  <c r="AX130" i="23"/>
  <c r="AZ117" i="23"/>
  <c r="AY118" i="23"/>
  <c r="AZ127" i="23"/>
  <c r="AU151" i="15"/>
  <c r="AV148" i="15"/>
  <c r="AV140" i="11"/>
  <c r="AU142" i="11"/>
  <c r="AT143" i="11"/>
  <c r="AV132" i="9"/>
  <c r="AW131" i="9"/>
  <c r="AV120" i="9"/>
  <c r="AW119" i="9"/>
  <c r="AV143" i="18"/>
  <c r="AU146" i="18"/>
  <c r="AV133" i="18"/>
  <c r="AU134" i="18"/>
  <c r="AV136" i="20"/>
  <c r="AU137" i="20"/>
  <c r="AS108" i="8"/>
  <c r="AS107" i="8"/>
  <c r="AI112" i="8"/>
  <c r="AH114" i="8"/>
  <c r="AR112" i="10"/>
  <c r="AR115" i="10"/>
  <c r="AS110" i="10"/>
  <c r="AS110" i="5"/>
  <c r="AS111" i="5"/>
  <c r="AR113" i="8"/>
  <c r="AR116" i="10"/>
  <c r="AS111" i="10"/>
  <c r="AU4" i="10"/>
  <c r="AT361" i="10"/>
  <c r="AT364" i="10" s="1"/>
  <c r="AT360" i="10"/>
  <c r="AT363" i="10" s="1"/>
  <c r="AT198" i="10" a="1"/>
  <c r="AT198" i="10" s="1"/>
  <c r="AP117" i="10"/>
  <c r="AR112" i="5"/>
  <c r="AT351" i="8"/>
  <c r="AT354" i="8" s="1"/>
  <c r="AT352" i="8"/>
  <c r="AT355" i="8" s="1"/>
  <c r="AR109" i="8"/>
  <c r="AU4" i="8"/>
  <c r="AR116" i="5"/>
  <c r="AR115" i="5"/>
  <c r="AQ117" i="5"/>
  <c r="AT364" i="5"/>
  <c r="AT363" i="5"/>
  <c r="AU4" i="1"/>
  <c r="AT5" i="1"/>
  <c r="AZ129" i="23" l="1"/>
  <c r="AY130" i="23"/>
  <c r="BA117" i="23"/>
  <c r="AZ118" i="23"/>
  <c r="BA127" i="23"/>
  <c r="AV151" i="15"/>
  <c r="AW148" i="15"/>
  <c r="AW140" i="11"/>
  <c r="AU143" i="11"/>
  <c r="AV142" i="11"/>
  <c r="AW132" i="9"/>
  <c r="AX131" i="9"/>
  <c r="AW120" i="9"/>
  <c r="AX119" i="9"/>
  <c r="AW143" i="18"/>
  <c r="AV146" i="18"/>
  <c r="AW133" i="18"/>
  <c r="AV134" i="18"/>
  <c r="AW136" i="20"/>
  <c r="AV137" i="20"/>
  <c r="AT107" i="8"/>
  <c r="AT108" i="8"/>
  <c r="AJ112" i="8"/>
  <c r="AI114" i="8"/>
  <c r="AS115" i="10"/>
  <c r="AS112" i="10"/>
  <c r="AT110" i="10"/>
  <c r="AT110" i="5"/>
  <c r="AT111" i="5"/>
  <c r="AT111" i="10"/>
  <c r="AS116" i="10"/>
  <c r="AV4" i="10"/>
  <c r="AU361" i="10"/>
  <c r="AU364" i="10" s="1"/>
  <c r="AU360" i="10"/>
  <c r="AU363" i="10" s="1"/>
  <c r="AU198" i="10" a="1"/>
  <c r="AU198" i="10" s="1"/>
  <c r="AS112" i="5"/>
  <c r="AQ117" i="10"/>
  <c r="AU351" i="8"/>
  <c r="AU354" i="8" s="1"/>
  <c r="AU352" i="8"/>
  <c r="AU355" i="8" s="1"/>
  <c r="AS109" i="8"/>
  <c r="AS113" i="8"/>
  <c r="AV4" i="8"/>
  <c r="AS116" i="5"/>
  <c r="AR117" i="5"/>
  <c r="AS115" i="5"/>
  <c r="AU364" i="5"/>
  <c r="AU363" i="5"/>
  <c r="AV4" i="1"/>
  <c r="AU5" i="1"/>
  <c r="BA129" i="23" l="1"/>
  <c r="AZ130" i="23"/>
  <c r="BB117" i="23"/>
  <c r="BA118" i="23"/>
  <c r="BB127" i="23"/>
  <c r="AW151" i="15"/>
  <c r="AX148" i="15"/>
  <c r="AX140" i="11"/>
  <c r="AW142" i="11"/>
  <c r="AV143" i="11"/>
  <c r="AY131" i="9"/>
  <c r="AX132" i="9"/>
  <c r="AY119" i="9"/>
  <c r="AX120" i="9"/>
  <c r="AX143" i="18"/>
  <c r="AW146" i="18"/>
  <c r="AX133" i="18"/>
  <c r="AW134" i="18"/>
  <c r="AX136" i="20"/>
  <c r="AW137" i="20"/>
  <c r="AU107" i="8"/>
  <c r="AU108" i="8"/>
  <c r="AK112" i="8"/>
  <c r="AJ114" i="8"/>
  <c r="AT115" i="10"/>
  <c r="AT112" i="10"/>
  <c r="AU110" i="10"/>
  <c r="AU111" i="5"/>
  <c r="AU110" i="5"/>
  <c r="AT116" i="10"/>
  <c r="AU111" i="10"/>
  <c r="AW4" i="10"/>
  <c r="AV198" i="10" a="1"/>
  <c r="AV198" i="10" s="1"/>
  <c r="AV361" i="10"/>
  <c r="AV364" i="10" s="1"/>
  <c r="AV360" i="10"/>
  <c r="AV363" i="10" s="1"/>
  <c r="AT112" i="5"/>
  <c r="AR117" i="10"/>
  <c r="AV352" i="8"/>
  <c r="AV355" i="8" s="1"/>
  <c r="AV351" i="8"/>
  <c r="AV354" i="8" s="1"/>
  <c r="AT109" i="8"/>
  <c r="AT113" i="8"/>
  <c r="AW4" i="8"/>
  <c r="AT116" i="5"/>
  <c r="AS117" i="5"/>
  <c r="AT115" i="5"/>
  <c r="AV363" i="5"/>
  <c r="AV364" i="5"/>
  <c r="AW4" i="1"/>
  <c r="AV5" i="1"/>
  <c r="BB129" i="23" l="1"/>
  <c r="BA130" i="23"/>
  <c r="BC117" i="23"/>
  <c r="BB118" i="23"/>
  <c r="BC127" i="23"/>
  <c r="AX151" i="15"/>
  <c r="AY148" i="15"/>
  <c r="AY140" i="11"/>
  <c r="AX142" i="11"/>
  <c r="AW143" i="11"/>
  <c r="AY132" i="9"/>
  <c r="AZ131" i="9"/>
  <c r="AY120" i="9"/>
  <c r="AZ119" i="9"/>
  <c r="AY143" i="18"/>
  <c r="AX146" i="18"/>
  <c r="AY133" i="18"/>
  <c r="AX134" i="18"/>
  <c r="AY136" i="20"/>
  <c r="AX137" i="20"/>
  <c r="AV107" i="8"/>
  <c r="AV108" i="8"/>
  <c r="AK114" i="8"/>
  <c r="AL112" i="8"/>
  <c r="AU115" i="10"/>
  <c r="AV110" i="10"/>
  <c r="AV110" i="5"/>
  <c r="AV111" i="5"/>
  <c r="AU116" i="10"/>
  <c r="AU112" i="10"/>
  <c r="AV111" i="10"/>
  <c r="AX4" i="10"/>
  <c r="AW361" i="10"/>
  <c r="AW364" i="10" s="1"/>
  <c r="AW360" i="10"/>
  <c r="AW363" i="10" s="1"/>
  <c r="AW198" i="10" a="1"/>
  <c r="AW198" i="10" s="1"/>
  <c r="AS117" i="10"/>
  <c r="AW351" i="8"/>
  <c r="AW354" i="8" s="1"/>
  <c r="AW352" i="8"/>
  <c r="AW355" i="8" s="1"/>
  <c r="AU109" i="8"/>
  <c r="AU113" i="8"/>
  <c r="AX4" i="8"/>
  <c r="AW364" i="5"/>
  <c r="AW363" i="5"/>
  <c r="AU112" i="5"/>
  <c r="AU116" i="5"/>
  <c r="AU115" i="5"/>
  <c r="AT117" i="5"/>
  <c r="AX4" i="1"/>
  <c r="AW5" i="1"/>
  <c r="BC129" i="23" l="1"/>
  <c r="BB130" i="23"/>
  <c r="BD117" i="23"/>
  <c r="BC118" i="23"/>
  <c r="BD127" i="23"/>
  <c r="AY151" i="15"/>
  <c r="AZ148" i="15"/>
  <c r="AZ140" i="11"/>
  <c r="AY142" i="11"/>
  <c r="AX143" i="11"/>
  <c r="AZ132" i="9"/>
  <c r="BA131" i="9"/>
  <c r="AZ120" i="9"/>
  <c r="BA119" i="9"/>
  <c r="AZ143" i="18"/>
  <c r="AY146" i="18"/>
  <c r="AZ133" i="18"/>
  <c r="AY134" i="18"/>
  <c r="AZ136" i="20"/>
  <c r="AY137" i="20"/>
  <c r="AW108" i="8"/>
  <c r="AW107" i="8"/>
  <c r="AL114" i="8"/>
  <c r="AM112" i="8"/>
  <c r="AV115" i="10"/>
  <c r="AW110" i="10"/>
  <c r="AW110" i="5"/>
  <c r="AW111" i="5"/>
  <c r="AV116" i="10"/>
  <c r="AV112" i="10"/>
  <c r="AW111" i="10"/>
  <c r="AY4" i="10"/>
  <c r="AX361" i="10"/>
  <c r="AX364" i="10" s="1"/>
  <c r="AX360" i="10"/>
  <c r="AX363" i="10" s="1"/>
  <c r="AX198" i="10" a="1"/>
  <c r="AX198" i="10" s="1"/>
  <c r="AV112" i="5"/>
  <c r="AT117" i="10"/>
  <c r="AX351" i="8"/>
  <c r="AX354" i="8" s="1"/>
  <c r="AX352" i="8"/>
  <c r="AX355" i="8" s="1"/>
  <c r="AV109" i="8"/>
  <c r="AV113" i="8"/>
  <c r="AY4" i="8"/>
  <c r="AV116" i="5"/>
  <c r="AX363" i="5"/>
  <c r="AX364" i="5"/>
  <c r="AU117" i="5"/>
  <c r="AV115" i="5"/>
  <c r="AY4" i="1"/>
  <c r="AX5" i="1"/>
  <c r="BD129" i="23" l="1"/>
  <c r="BC130" i="23"/>
  <c r="BE117" i="23"/>
  <c r="BD118" i="23"/>
  <c r="BE127" i="23"/>
  <c r="AZ151" i="15"/>
  <c r="BA148" i="15"/>
  <c r="BA140" i="11"/>
  <c r="AY143" i="11"/>
  <c r="AZ142" i="11"/>
  <c r="BA132" i="9"/>
  <c r="BB131" i="9"/>
  <c r="BA120" i="9"/>
  <c r="BB119" i="9"/>
  <c r="BA143" i="18"/>
  <c r="AZ146" i="18"/>
  <c r="BA133" i="18"/>
  <c r="AZ134" i="18"/>
  <c r="BA136" i="20"/>
  <c r="AZ137" i="20"/>
  <c r="AX107" i="8"/>
  <c r="AX108" i="8"/>
  <c r="AM114" i="8"/>
  <c r="AN112" i="8"/>
  <c r="AW115" i="10"/>
  <c r="AW112" i="10"/>
  <c r="AX111" i="10"/>
  <c r="AX110" i="5"/>
  <c r="AX111" i="5"/>
  <c r="AX110" i="10"/>
  <c r="AW116" i="10"/>
  <c r="AZ4" i="10"/>
  <c r="AY198" i="10" a="1"/>
  <c r="AY198" i="10" s="1"/>
  <c r="AY361" i="10"/>
  <c r="AY364" i="10" s="1"/>
  <c r="AY360" i="10"/>
  <c r="AY363" i="10" s="1"/>
  <c r="AW112" i="5"/>
  <c r="AU117" i="10"/>
  <c r="AW109" i="8"/>
  <c r="AY351" i="8"/>
  <c r="AY354" i="8" s="1"/>
  <c r="AY352" i="8"/>
  <c r="AY355" i="8" s="1"/>
  <c r="AW113" i="8"/>
  <c r="AZ4" i="8"/>
  <c r="AY364" i="5"/>
  <c r="AY363" i="5"/>
  <c r="AW116" i="5"/>
  <c r="AW115" i="5"/>
  <c r="AV117" i="5"/>
  <c r="AZ4" i="1"/>
  <c r="AY5" i="1"/>
  <c r="BE129" i="23" l="1"/>
  <c r="BD130" i="23"/>
  <c r="BF117" i="23"/>
  <c r="BE118" i="23"/>
  <c r="BF127" i="23"/>
  <c r="BA151" i="15"/>
  <c r="BB148" i="15"/>
  <c r="BB140" i="11"/>
  <c r="AZ143" i="11"/>
  <c r="BA142" i="11"/>
  <c r="BC131" i="9"/>
  <c r="BB132" i="9"/>
  <c r="BC119" i="9"/>
  <c r="BB120" i="9"/>
  <c r="BB143" i="18"/>
  <c r="BA146" i="18"/>
  <c r="BB133" i="18"/>
  <c r="BA134" i="18"/>
  <c r="BB136" i="20"/>
  <c r="BA137" i="20"/>
  <c r="AY108" i="8"/>
  <c r="AY107" i="8"/>
  <c r="AN114" i="8"/>
  <c r="AO112" i="8"/>
  <c r="AX115" i="10"/>
  <c r="AX116" i="10"/>
  <c r="AY110" i="10"/>
  <c r="AY111" i="5"/>
  <c r="AY110" i="5"/>
  <c r="AX112" i="10"/>
  <c r="AY111" i="10"/>
  <c r="BA4" i="10"/>
  <c r="AZ198" i="10" a="1"/>
  <c r="AZ198" i="10" s="1"/>
  <c r="AZ360" i="10"/>
  <c r="AZ363" i="10" s="1"/>
  <c r="AZ361" i="10"/>
  <c r="AZ364" i="10" s="1"/>
  <c r="AX112" i="5"/>
  <c r="AV117" i="10"/>
  <c r="AZ352" i="8"/>
  <c r="AZ355" i="8" s="1"/>
  <c r="AZ351" i="8"/>
  <c r="AZ354" i="8" s="1"/>
  <c r="AX113" i="8"/>
  <c r="AX109" i="8"/>
  <c r="BA4" i="8"/>
  <c r="AW117" i="5"/>
  <c r="AX115" i="5"/>
  <c r="AZ364" i="5"/>
  <c r="AZ363" i="5"/>
  <c r="AX116" i="5"/>
  <c r="BA4" i="1"/>
  <c r="AZ5" i="1"/>
  <c r="BF129" i="23" l="1"/>
  <c r="BE130" i="23"/>
  <c r="BG117" i="23"/>
  <c r="BF118" i="23"/>
  <c r="BG127" i="23"/>
  <c r="BB151" i="15"/>
  <c r="BC148" i="15"/>
  <c r="BC140" i="11"/>
  <c r="BB142" i="11"/>
  <c r="BA143" i="11"/>
  <c r="BD131" i="9"/>
  <c r="BC132" i="9"/>
  <c r="BD119" i="9"/>
  <c r="BC120" i="9"/>
  <c r="BC143" i="18"/>
  <c r="BB146" i="18"/>
  <c r="BC133" i="18"/>
  <c r="BB134" i="18"/>
  <c r="BC136" i="20"/>
  <c r="BB137" i="20"/>
  <c r="AZ108" i="8"/>
  <c r="AZ107" i="8"/>
  <c r="AO114" i="8"/>
  <c r="AP112" i="8"/>
  <c r="AY115" i="10"/>
  <c r="AY112" i="10"/>
  <c r="AZ110" i="10"/>
  <c r="AZ110" i="5"/>
  <c r="AZ111" i="5"/>
  <c r="AY116" i="10"/>
  <c r="AZ111" i="10"/>
  <c r="BB4" i="10"/>
  <c r="BA361" i="10"/>
  <c r="BA364" i="10" s="1"/>
  <c r="BA360" i="10"/>
  <c r="BA363" i="10" s="1"/>
  <c r="BA198" i="10" a="1"/>
  <c r="BA198" i="10" s="1"/>
  <c r="AY112" i="5"/>
  <c r="AW117" i="10"/>
  <c r="AY113" i="8"/>
  <c r="BA351" i="8"/>
  <c r="BA354" i="8" s="1"/>
  <c r="BA352" i="8"/>
  <c r="BA355" i="8" s="1"/>
  <c r="AY109" i="8"/>
  <c r="BB4" i="8"/>
  <c r="BA364" i="5"/>
  <c r="BA363" i="5"/>
  <c r="AX117" i="5"/>
  <c r="AY115" i="5"/>
  <c r="AY116" i="5"/>
  <c r="BB4" i="1"/>
  <c r="BA5" i="1"/>
  <c r="BA108" i="8" s="1"/>
  <c r="BG129" i="23" l="1"/>
  <c r="BF130" i="23"/>
  <c r="BH117" i="23"/>
  <c r="BG118" i="23"/>
  <c r="BH127" i="23"/>
  <c r="BC151" i="15"/>
  <c r="BD148" i="15"/>
  <c r="BD140" i="11"/>
  <c r="BC142" i="11"/>
  <c r="BB143" i="11"/>
  <c r="BD132" i="9"/>
  <c r="BE131" i="9"/>
  <c r="BD120" i="9"/>
  <c r="BE119" i="9"/>
  <c r="BD143" i="18"/>
  <c r="BC146" i="18"/>
  <c r="BD133" i="18"/>
  <c r="BC134" i="18"/>
  <c r="BD136" i="20"/>
  <c r="BC137" i="20"/>
  <c r="BA107" i="8"/>
  <c r="AP114" i="8"/>
  <c r="AQ112" i="8"/>
  <c r="AZ115" i="10"/>
  <c r="AZ112" i="10"/>
  <c r="BA111" i="10"/>
  <c r="BA110" i="5"/>
  <c r="BA111" i="5"/>
  <c r="AZ116" i="10"/>
  <c r="BA110" i="10"/>
  <c r="BC4" i="10"/>
  <c r="BB361" i="10"/>
  <c r="BB364" i="10" s="1"/>
  <c r="BB360" i="10"/>
  <c r="BB363" i="10" s="1"/>
  <c r="BB198" i="10" a="1"/>
  <c r="BB198" i="10" s="1"/>
  <c r="AZ112" i="5"/>
  <c r="AX117" i="10"/>
  <c r="BB351" i="8"/>
  <c r="BB354" i="8" s="1"/>
  <c r="BB352" i="8"/>
  <c r="BB355" i="8" s="1"/>
  <c r="AZ109" i="8"/>
  <c r="AZ113" i="8"/>
  <c r="BC4" i="8"/>
  <c r="AZ115" i="5"/>
  <c r="AY117" i="5"/>
  <c r="BB364" i="5"/>
  <c r="BB363" i="5"/>
  <c r="AZ116" i="5"/>
  <c r="BC4" i="1"/>
  <c r="BB5" i="1"/>
  <c r="BH129" i="23" l="1"/>
  <c r="BG130" i="23"/>
  <c r="BI117" i="23"/>
  <c r="BH118" i="23"/>
  <c r="BI127" i="23"/>
  <c r="BD151" i="15"/>
  <c r="BE148" i="15"/>
  <c r="BE140" i="11"/>
  <c r="BC143" i="11"/>
  <c r="BD142" i="11"/>
  <c r="BF131" i="9"/>
  <c r="BE132" i="9"/>
  <c r="BF119" i="9"/>
  <c r="BE120" i="9"/>
  <c r="BE143" i="18"/>
  <c r="BD146" i="18"/>
  <c r="BE133" i="18"/>
  <c r="BD134" i="18"/>
  <c r="BE136" i="20"/>
  <c r="BD137" i="20"/>
  <c r="BB107" i="8"/>
  <c r="BB108" i="8"/>
  <c r="AR112" i="8"/>
  <c r="AQ114" i="8"/>
  <c r="BA115" i="10"/>
  <c r="BA116" i="10"/>
  <c r="BB110" i="10"/>
  <c r="BB110" i="5"/>
  <c r="BB111" i="5"/>
  <c r="BB111" i="10"/>
  <c r="BA112" i="10"/>
  <c r="BD4" i="10"/>
  <c r="BC361" i="10"/>
  <c r="BC364" i="10" s="1"/>
  <c r="BC360" i="10"/>
  <c r="BC363" i="10" s="1"/>
  <c r="BC198" i="10" a="1"/>
  <c r="BC198" i="10" s="1"/>
  <c r="BA112" i="5"/>
  <c r="AY117" i="10"/>
  <c r="BA109" i="8"/>
  <c r="BA113" i="8"/>
  <c r="BC351" i="8"/>
  <c r="BC354" i="8" s="1"/>
  <c r="BC352" i="8"/>
  <c r="BC355" i="8" s="1"/>
  <c r="BD4" i="8"/>
  <c r="BA116" i="5"/>
  <c r="BC364" i="5"/>
  <c r="BC363" i="5"/>
  <c r="AZ117" i="5"/>
  <c r="BA115" i="5"/>
  <c r="BD4" i="1"/>
  <c r="BC5" i="1"/>
  <c r="BC107" i="8" s="1"/>
  <c r="BI129" i="23" l="1"/>
  <c r="BH130" i="23"/>
  <c r="BJ117" i="23"/>
  <c r="BI118" i="23"/>
  <c r="BJ127" i="23"/>
  <c r="BE151" i="15"/>
  <c r="BF148" i="15"/>
  <c r="BF140" i="11"/>
  <c r="BE142" i="11"/>
  <c r="BD143" i="11"/>
  <c r="BG131" i="9"/>
  <c r="BF132" i="9"/>
  <c r="BG119" i="9"/>
  <c r="BF120" i="9"/>
  <c r="BF143" i="18"/>
  <c r="BE146" i="18"/>
  <c r="BF133" i="18"/>
  <c r="BE134" i="18"/>
  <c r="BF136" i="20"/>
  <c r="BE137" i="20"/>
  <c r="BC108" i="8"/>
  <c r="AS112" i="8"/>
  <c r="AR114" i="8"/>
  <c r="BB115" i="10"/>
  <c r="BB112" i="10"/>
  <c r="BC111" i="10"/>
  <c r="BC110" i="5"/>
  <c r="BC111" i="5"/>
  <c r="BB116" i="10"/>
  <c r="BC110" i="10"/>
  <c r="BE4" i="10"/>
  <c r="BD198" i="10" a="1"/>
  <c r="BD198" i="10" s="1"/>
  <c r="BD360" i="10"/>
  <c r="BD363" i="10" s="1"/>
  <c r="BD361" i="10"/>
  <c r="BD364" i="10" s="1"/>
  <c r="BB112" i="5"/>
  <c r="AZ117" i="10"/>
  <c r="BB113" i="8"/>
  <c r="BD352" i="8"/>
  <c r="BD355" i="8" s="1"/>
  <c r="BD351" i="8"/>
  <c r="BD354" i="8" s="1"/>
  <c r="BB109" i="8"/>
  <c r="BE4" i="8"/>
  <c r="BA117" i="5"/>
  <c r="BB115" i="5"/>
  <c r="BD363" i="5"/>
  <c r="BD364" i="5"/>
  <c r="BB116" i="5"/>
  <c r="BE4" i="1"/>
  <c r="BD5" i="1"/>
  <c r="BD107" i="8" s="1"/>
  <c r="BJ129" i="23" l="1"/>
  <c r="BI130" i="23"/>
  <c r="BK117" i="23"/>
  <c r="BJ118" i="23"/>
  <c r="BK127" i="23"/>
  <c r="BF151" i="15"/>
  <c r="BG148" i="15"/>
  <c r="BG140" i="11"/>
  <c r="BF142" i="11"/>
  <c r="BE143" i="11"/>
  <c r="BH131" i="9"/>
  <c r="BG132" i="9"/>
  <c r="BH119" i="9"/>
  <c r="BG120" i="9"/>
  <c r="BG143" i="18"/>
  <c r="BF146" i="18"/>
  <c r="BG133" i="18"/>
  <c r="BF134" i="18"/>
  <c r="BG136" i="20"/>
  <c r="BF137" i="20"/>
  <c r="BD108" i="8"/>
  <c r="AT112" i="8"/>
  <c r="AS114" i="8"/>
  <c r="BC115" i="10"/>
  <c r="BD110" i="10"/>
  <c r="BD111" i="5"/>
  <c r="BD110" i="5"/>
  <c r="BC116" i="10"/>
  <c r="BC112" i="10"/>
  <c r="BC113" i="8"/>
  <c r="BD111" i="10"/>
  <c r="BF4" i="10"/>
  <c r="BE361" i="10"/>
  <c r="BE364" i="10" s="1"/>
  <c r="BE360" i="10"/>
  <c r="BE363" i="10" s="1"/>
  <c r="BE198" i="10" a="1"/>
  <c r="BE198" i="10" s="1"/>
  <c r="BA117" i="10"/>
  <c r="BC112" i="5"/>
  <c r="BE351" i="8"/>
  <c r="BE354" i="8" s="1"/>
  <c r="BE352" i="8"/>
  <c r="BE355" i="8" s="1"/>
  <c r="BC109" i="8"/>
  <c r="BF4" i="8"/>
  <c r="BE363" i="5"/>
  <c r="BE364" i="5"/>
  <c r="BC115" i="5"/>
  <c r="BB117" i="5"/>
  <c r="BC116" i="5"/>
  <c r="BF4" i="1"/>
  <c r="BE5" i="1"/>
  <c r="BK129" i="23" l="1"/>
  <c r="BJ130" i="23"/>
  <c r="BL117" i="23"/>
  <c r="BK118" i="23"/>
  <c r="BL127" i="23"/>
  <c r="BG151" i="15"/>
  <c r="BH148" i="15"/>
  <c r="BH140" i="11"/>
  <c r="BG142" i="11"/>
  <c r="BF143" i="11"/>
  <c r="BH132" i="9"/>
  <c r="BI131" i="9"/>
  <c r="BH120" i="9"/>
  <c r="BI119" i="9"/>
  <c r="BH143" i="18"/>
  <c r="BG146" i="18"/>
  <c r="BH133" i="18"/>
  <c r="BG134" i="18"/>
  <c r="BH136" i="20"/>
  <c r="BG137" i="20"/>
  <c r="BE107" i="8"/>
  <c r="BE108" i="8"/>
  <c r="AT114" i="8"/>
  <c r="AU112" i="8"/>
  <c r="BD115" i="10"/>
  <c r="BD116" i="10"/>
  <c r="BE110" i="10"/>
  <c r="BE110" i="5"/>
  <c r="BE111" i="5"/>
  <c r="BE111" i="10"/>
  <c r="BD112" i="10"/>
  <c r="BG4" i="10"/>
  <c r="BF361" i="10"/>
  <c r="BF364" i="10" s="1"/>
  <c r="BF360" i="10"/>
  <c r="BF363" i="10" s="1"/>
  <c r="BF198" i="10" a="1"/>
  <c r="BF198" i="10" s="1"/>
  <c r="BD112" i="5"/>
  <c r="BB117" i="10"/>
  <c r="BF351" i="8"/>
  <c r="BF354" i="8" s="1"/>
  <c r="BF352" i="8"/>
  <c r="BF355" i="8" s="1"/>
  <c r="BD109" i="8"/>
  <c r="BD113" i="8"/>
  <c r="BG4" i="8"/>
  <c r="BF363" i="5"/>
  <c r="BF364" i="5"/>
  <c r="BD116" i="5"/>
  <c r="BC117" i="5"/>
  <c r="BD115" i="5"/>
  <c r="BG4" i="1"/>
  <c r="BF5" i="1"/>
  <c r="BL129" i="23" l="1"/>
  <c r="BK130" i="23"/>
  <c r="BM117" i="23"/>
  <c r="BL118" i="23"/>
  <c r="BM127" i="23"/>
  <c r="BH151" i="15"/>
  <c r="BI148" i="15"/>
  <c r="BI140" i="11"/>
  <c r="BG143" i="11"/>
  <c r="BH142" i="11"/>
  <c r="BI132" i="9"/>
  <c r="BJ131" i="9"/>
  <c r="BI120" i="9"/>
  <c r="BJ119" i="9"/>
  <c r="BI143" i="18"/>
  <c r="BH146" i="18"/>
  <c r="BI133" i="18"/>
  <c r="BH134" i="18"/>
  <c r="BI136" i="20"/>
  <c r="BH137" i="20"/>
  <c r="BF107" i="8"/>
  <c r="BF108" i="8"/>
  <c r="AU114" i="8"/>
  <c r="AV112" i="8"/>
  <c r="BE115" i="10"/>
  <c r="BE112" i="10"/>
  <c r="BF110" i="10"/>
  <c r="BF111" i="5"/>
  <c r="BF110" i="5"/>
  <c r="BF111" i="10"/>
  <c r="BE116" i="10"/>
  <c r="BH4" i="10"/>
  <c r="BG361" i="10"/>
  <c r="BG364" i="10" s="1"/>
  <c r="BG360" i="10"/>
  <c r="BG363" i="10" s="1"/>
  <c r="BG198" i="10" a="1"/>
  <c r="BG198" i="10" s="1"/>
  <c r="BE112" i="5"/>
  <c r="BC117" i="10"/>
  <c r="BE109" i="8"/>
  <c r="BE113" i="8"/>
  <c r="BG351" i="8"/>
  <c r="BG354" i="8" s="1"/>
  <c r="BG352" i="8"/>
  <c r="BG355" i="8" s="1"/>
  <c r="BH4" i="8"/>
  <c r="BE115" i="5"/>
  <c r="BD117" i="5"/>
  <c r="BE116" i="5"/>
  <c r="BG364" i="5"/>
  <c r="BG363" i="5"/>
  <c r="BH4" i="1"/>
  <c r="BG5" i="1"/>
  <c r="BG108" i="8" s="1"/>
  <c r="BM129" i="23" l="1"/>
  <c r="BL130" i="23"/>
  <c r="BN117" i="23"/>
  <c r="BM118" i="23"/>
  <c r="BN127" i="23"/>
  <c r="BI151" i="15"/>
  <c r="BJ148" i="15"/>
  <c r="BJ140" i="11"/>
  <c r="BH143" i="11"/>
  <c r="BI142" i="11"/>
  <c r="BK131" i="9"/>
  <c r="BJ132" i="9"/>
  <c r="BK119" i="9"/>
  <c r="BJ120" i="9"/>
  <c r="BJ143" i="18"/>
  <c r="BI146" i="18"/>
  <c r="BJ133" i="18"/>
  <c r="BI134" i="18"/>
  <c r="BJ136" i="20"/>
  <c r="BI137" i="20"/>
  <c r="BG107" i="8"/>
  <c r="AW112" i="8"/>
  <c r="AV114" i="8"/>
  <c r="BF115" i="10"/>
  <c r="BF112" i="10"/>
  <c r="BG110" i="10"/>
  <c r="BG110" i="5"/>
  <c r="BG111" i="5"/>
  <c r="BF116" i="10"/>
  <c r="BG111" i="10"/>
  <c r="BI4" i="10"/>
  <c r="BH198" i="10" a="1"/>
  <c r="BH198" i="10" s="1"/>
  <c r="BH360" i="10"/>
  <c r="BH363" i="10" s="1"/>
  <c r="BH361" i="10"/>
  <c r="BH364" i="10" s="1"/>
  <c r="BD117" i="10"/>
  <c r="BF112" i="5"/>
  <c r="BH351" i="8"/>
  <c r="BH354" i="8" s="1"/>
  <c r="BH352" i="8"/>
  <c r="BH355" i="8" s="1"/>
  <c r="BF109" i="8"/>
  <c r="BF113" i="8"/>
  <c r="BI4" i="8"/>
  <c r="BF115" i="5"/>
  <c r="BE117" i="5"/>
  <c r="BH364" i="5"/>
  <c r="BH363" i="5"/>
  <c r="BF116" i="5"/>
  <c r="BI4" i="1"/>
  <c r="BH5" i="1"/>
  <c r="BN129" i="23" l="1"/>
  <c r="BM130" i="23"/>
  <c r="BO117" i="23"/>
  <c r="BN118" i="23"/>
  <c r="BO127" i="23"/>
  <c r="BJ151" i="15"/>
  <c r="BK148" i="15"/>
  <c r="BK140" i="11"/>
  <c r="BJ142" i="11"/>
  <c r="BI143" i="11"/>
  <c r="BL131" i="9"/>
  <c r="BK132" i="9"/>
  <c r="BK120" i="9"/>
  <c r="BL119" i="9"/>
  <c r="BK143" i="18"/>
  <c r="BJ146" i="18"/>
  <c r="BK133" i="18"/>
  <c r="BJ134" i="18"/>
  <c r="BK136" i="20"/>
  <c r="BJ137" i="20"/>
  <c r="BH107" i="8"/>
  <c r="BH108" i="8"/>
  <c r="AW114" i="8"/>
  <c r="AX112" i="8"/>
  <c r="BG115" i="10"/>
  <c r="BH110" i="10"/>
  <c r="BH111" i="5"/>
  <c r="BH110" i="5"/>
  <c r="BG116" i="10"/>
  <c r="BG112" i="10"/>
  <c r="BH111" i="10"/>
  <c r="BJ4" i="10"/>
  <c r="BI361" i="10"/>
  <c r="BI364" i="10" s="1"/>
  <c r="BI360" i="10"/>
  <c r="BI363" i="10" s="1"/>
  <c r="BI198" i="10" a="1"/>
  <c r="BI198" i="10" s="1"/>
  <c r="BE117" i="10"/>
  <c r="BG112" i="5"/>
  <c r="BI351" i="8"/>
  <c r="BI354" i="8" s="1"/>
  <c r="BI352" i="8"/>
  <c r="BI355" i="8" s="1"/>
  <c r="BG109" i="8"/>
  <c r="BG113" i="8"/>
  <c r="BJ4" i="8"/>
  <c r="BF117" i="5"/>
  <c r="BG115" i="5"/>
  <c r="BI363" i="5"/>
  <c r="BI364" i="5"/>
  <c r="BG116" i="5"/>
  <c r="BJ4" i="1"/>
  <c r="BI5" i="1"/>
  <c r="BO129" i="23" l="1"/>
  <c r="BN130" i="23"/>
  <c r="BP117" i="23"/>
  <c r="BO118" i="23"/>
  <c r="BP127" i="23"/>
  <c r="BK151" i="15"/>
  <c r="BL148" i="15"/>
  <c r="BL140" i="11"/>
  <c r="BK142" i="11"/>
  <c r="BJ143" i="11"/>
  <c r="BL132" i="9"/>
  <c r="BM131" i="9"/>
  <c r="BL120" i="9"/>
  <c r="BM119" i="9"/>
  <c r="BL143" i="18"/>
  <c r="BK146" i="18"/>
  <c r="BL133" i="18"/>
  <c r="BK134" i="18"/>
  <c r="BL136" i="20"/>
  <c r="BK137" i="20"/>
  <c r="BI108" i="8"/>
  <c r="BI107" i="8"/>
  <c r="AX114" i="8"/>
  <c r="AY112" i="8"/>
  <c r="BH115" i="10"/>
  <c r="BI110" i="10"/>
  <c r="BI110" i="5"/>
  <c r="BI111" i="5"/>
  <c r="BH116" i="10"/>
  <c r="BH112" i="10"/>
  <c r="BI111" i="10"/>
  <c r="BK4" i="10"/>
  <c r="BJ361" i="10"/>
  <c r="BJ364" i="10" s="1"/>
  <c r="BJ360" i="10"/>
  <c r="BJ363" i="10" s="1"/>
  <c r="BJ198" i="10" a="1"/>
  <c r="BJ198" i="10" s="1"/>
  <c r="BF117" i="10"/>
  <c r="BH112" i="5"/>
  <c r="BJ351" i="8"/>
  <c r="BJ354" i="8" s="1"/>
  <c r="BJ352" i="8"/>
  <c r="BJ355" i="8" s="1"/>
  <c r="BH113" i="8"/>
  <c r="BH109" i="8"/>
  <c r="BK4" i="8"/>
  <c r="BH116" i="5"/>
  <c r="BJ363" i="5"/>
  <c r="BJ364" i="5"/>
  <c r="BH115" i="5"/>
  <c r="BG117" i="5"/>
  <c r="BK4" i="1"/>
  <c r="BJ5" i="1"/>
  <c r="BJ107" i="8" s="1"/>
  <c r="BP129" i="23" l="1"/>
  <c r="BO130" i="23"/>
  <c r="BQ117" i="23"/>
  <c r="BP118" i="23"/>
  <c r="BQ127" i="23"/>
  <c r="BL151" i="15"/>
  <c r="BM148" i="15"/>
  <c r="BM140" i="11"/>
  <c r="BK143" i="11"/>
  <c r="BL142" i="11"/>
  <c r="BN131" i="9"/>
  <c r="BM132" i="9"/>
  <c r="BM120" i="9"/>
  <c r="BN119" i="9"/>
  <c r="BM143" i="18"/>
  <c r="BL146" i="18"/>
  <c r="BM133" i="18"/>
  <c r="BL134" i="18"/>
  <c r="BM136" i="20"/>
  <c r="BL137" i="20"/>
  <c r="BJ108" i="8"/>
  <c r="AZ112" i="8"/>
  <c r="AY114" i="8"/>
  <c r="BI115" i="10"/>
  <c r="BJ110" i="10"/>
  <c r="BJ111" i="5"/>
  <c r="BJ110" i="5"/>
  <c r="BI116" i="10"/>
  <c r="BJ111" i="10"/>
  <c r="BI112" i="10"/>
  <c r="BL4" i="10"/>
  <c r="BK361" i="10"/>
  <c r="BK364" i="10" s="1"/>
  <c r="BK360" i="10"/>
  <c r="BK363" i="10" s="1"/>
  <c r="BK198" i="10" a="1"/>
  <c r="BK198" i="10" s="1"/>
  <c r="BG117" i="10"/>
  <c r="BI112" i="5"/>
  <c r="BK351" i="8"/>
  <c r="BK354" i="8" s="1"/>
  <c r="BK352" i="8"/>
  <c r="BK355" i="8" s="1"/>
  <c r="BI109" i="8"/>
  <c r="BI113" i="8"/>
  <c r="BL4" i="8"/>
  <c r="BK364" i="5"/>
  <c r="BK363" i="5"/>
  <c r="BI115" i="5"/>
  <c r="BH117" i="5"/>
  <c r="BI116" i="5"/>
  <c r="BL4" i="1"/>
  <c r="BK5" i="1"/>
  <c r="BQ129" i="23" l="1"/>
  <c r="BP130" i="23"/>
  <c r="BR117" i="23"/>
  <c r="BQ118" i="23"/>
  <c r="BR127" i="23"/>
  <c r="BM151" i="15"/>
  <c r="BN148" i="15"/>
  <c r="BN140" i="11"/>
  <c r="BM142" i="11"/>
  <c r="BL143" i="11"/>
  <c r="BO131" i="9"/>
  <c r="BN132" i="9"/>
  <c r="BO119" i="9"/>
  <c r="BN120" i="9"/>
  <c r="BN143" i="18"/>
  <c r="BM146" i="18"/>
  <c r="BN133" i="18"/>
  <c r="BM134" i="18"/>
  <c r="BN136" i="20"/>
  <c r="BM137" i="20"/>
  <c r="BK108" i="8"/>
  <c r="BK107" i="8"/>
  <c r="AZ114" i="8"/>
  <c r="BA112" i="8"/>
  <c r="BJ115" i="10"/>
  <c r="BK110" i="10"/>
  <c r="BK111" i="5"/>
  <c r="BK110" i="5"/>
  <c r="BJ116" i="10"/>
  <c r="BJ112" i="10"/>
  <c r="BK111" i="10"/>
  <c r="BM4" i="10"/>
  <c r="BL198" i="10" a="1"/>
  <c r="BL198" i="10" s="1"/>
  <c r="BL361" i="10"/>
  <c r="BL364" i="10" s="1"/>
  <c r="BL360" i="10"/>
  <c r="BL363" i="10" s="1"/>
  <c r="BJ112" i="5"/>
  <c r="BH117" i="10"/>
  <c r="BJ109" i="8"/>
  <c r="BL352" i="8"/>
  <c r="BL355" i="8" s="1"/>
  <c r="BL351" i="8"/>
  <c r="BL354" i="8" s="1"/>
  <c r="BJ113" i="8"/>
  <c r="BM4" i="8"/>
  <c r="BJ116" i="5"/>
  <c r="BL364" i="5"/>
  <c r="BL363" i="5"/>
  <c r="BJ115" i="5"/>
  <c r="BI117" i="5"/>
  <c r="BM4" i="1"/>
  <c r="BL5" i="1"/>
  <c r="BR129" i="23" l="1"/>
  <c r="BQ130" i="23"/>
  <c r="BS117" i="23"/>
  <c r="BS118" i="23" s="1"/>
  <c r="BR118" i="23"/>
  <c r="BS127" i="23"/>
  <c r="BN151" i="15"/>
  <c r="BO148" i="15"/>
  <c r="BO140" i="11"/>
  <c r="BN142" i="11"/>
  <c r="BM143" i="11"/>
  <c r="BO132" i="9"/>
  <c r="BP131" i="9"/>
  <c r="BP119" i="9"/>
  <c r="BO120" i="9"/>
  <c r="BO143" i="18"/>
  <c r="BN146" i="18"/>
  <c r="BO133" i="18"/>
  <c r="BN134" i="18"/>
  <c r="BO136" i="20"/>
  <c r="BN137" i="20"/>
  <c r="BL108" i="8"/>
  <c r="BL107" i="8"/>
  <c r="BB112" i="8"/>
  <c r="BA114" i="8"/>
  <c r="BK115" i="10"/>
  <c r="BK112" i="10"/>
  <c r="BL110" i="10"/>
  <c r="BL110" i="5"/>
  <c r="BL111" i="5"/>
  <c r="BK116" i="10"/>
  <c r="BL111" i="10"/>
  <c r="BN4" i="10"/>
  <c r="BM361" i="10"/>
  <c r="BM364" i="10" s="1"/>
  <c r="BM360" i="10"/>
  <c r="BM363" i="10" s="1"/>
  <c r="BM198" i="10" a="1"/>
  <c r="BM198" i="10" s="1"/>
  <c r="BI117" i="10"/>
  <c r="BK112" i="5"/>
  <c r="BM351" i="8"/>
  <c r="BM354" i="8" s="1"/>
  <c r="BM352" i="8"/>
  <c r="BM355" i="8" s="1"/>
  <c r="BK109" i="8"/>
  <c r="BK113" i="8"/>
  <c r="BN4" i="8"/>
  <c r="BM364" i="5"/>
  <c r="BM363" i="5"/>
  <c r="BK115" i="5"/>
  <c r="BJ117" i="5"/>
  <c r="BK116" i="5"/>
  <c r="BN4" i="1"/>
  <c r="BM5" i="1"/>
  <c r="BS129" i="23" l="1"/>
  <c r="BS130" i="23" s="1"/>
  <c r="BR130" i="23"/>
  <c r="BO151" i="15"/>
  <c r="BP148" i="15"/>
  <c r="BP140" i="11"/>
  <c r="BO142" i="11"/>
  <c r="BN143" i="11"/>
  <c r="BP132" i="9"/>
  <c r="BQ131" i="9"/>
  <c r="BP120" i="9"/>
  <c r="BQ119" i="9"/>
  <c r="BP143" i="18"/>
  <c r="BO146" i="18"/>
  <c r="BP133" i="18"/>
  <c r="BO134" i="18"/>
  <c r="BP136" i="20"/>
  <c r="BO137" i="20"/>
  <c r="BM108" i="8"/>
  <c r="BM107" i="8"/>
  <c r="BB114" i="8"/>
  <c r="BC112" i="8"/>
  <c r="BL115" i="10"/>
  <c r="BL112" i="10"/>
  <c r="BM111" i="10"/>
  <c r="BM110" i="5"/>
  <c r="BM111" i="5"/>
  <c r="BL116" i="10"/>
  <c r="BM110" i="10"/>
  <c r="BO4" i="10"/>
  <c r="BN361" i="10"/>
  <c r="BN364" i="10" s="1"/>
  <c r="BN360" i="10"/>
  <c r="BN363" i="10" s="1"/>
  <c r="BN198" i="10" a="1"/>
  <c r="BN198" i="10" s="1"/>
  <c r="BJ117" i="10"/>
  <c r="BL112" i="5"/>
  <c r="BN351" i="8"/>
  <c r="BN354" i="8" s="1"/>
  <c r="BN352" i="8"/>
  <c r="BN355" i="8" s="1"/>
  <c r="BL113" i="8"/>
  <c r="BL109" i="8"/>
  <c r="BO4" i="8"/>
  <c r="BN364" i="5"/>
  <c r="BN363" i="5"/>
  <c r="BL116" i="5"/>
  <c r="BL115" i="5"/>
  <c r="BK117" i="5"/>
  <c r="BO4" i="1"/>
  <c r="BN5" i="1"/>
  <c r="BP151" i="15" l="1"/>
  <c r="BQ148" i="15"/>
  <c r="BQ140" i="11"/>
  <c r="BO143" i="11"/>
  <c r="BP142" i="11"/>
  <c r="BQ132" i="9"/>
  <c r="BR131" i="9"/>
  <c r="BR119" i="9"/>
  <c r="BQ120" i="9"/>
  <c r="BQ143" i="18"/>
  <c r="BP146" i="18"/>
  <c r="BQ133" i="18"/>
  <c r="BP134" i="18"/>
  <c r="BQ136" i="20"/>
  <c r="BP137" i="20"/>
  <c r="BN108" i="8"/>
  <c r="BN107" i="8"/>
  <c r="BC114" i="8"/>
  <c r="BD112" i="8"/>
  <c r="BM115" i="10"/>
  <c r="BM116" i="10"/>
  <c r="BN110" i="10"/>
  <c r="BN110" i="5"/>
  <c r="BN111" i="5"/>
  <c r="BM112" i="10"/>
  <c r="BN111" i="10"/>
  <c r="BP4" i="10"/>
  <c r="BO361" i="10"/>
  <c r="BO364" i="10" s="1"/>
  <c r="BO360" i="10"/>
  <c r="BO363" i="10" s="1"/>
  <c r="BO198" i="10" a="1"/>
  <c r="BO198" i="10" s="1"/>
  <c r="BM112" i="5"/>
  <c r="BK117" i="10"/>
  <c r="BM109" i="8"/>
  <c r="BO351" i="8"/>
  <c r="BO354" i="8" s="1"/>
  <c r="BO352" i="8"/>
  <c r="BO355" i="8" s="1"/>
  <c r="BM113" i="8"/>
  <c r="BP4" i="8"/>
  <c r="BO364" i="5"/>
  <c r="BO363" i="5"/>
  <c r="BM115" i="5"/>
  <c r="BL117" i="5"/>
  <c r="BM116" i="5"/>
  <c r="BP4" i="1"/>
  <c r="BO5" i="1"/>
  <c r="BO108" i="8" s="1"/>
  <c r="BQ151" i="15" l="1"/>
  <c r="BR148" i="15"/>
  <c r="BR140" i="11"/>
  <c r="BP143" i="11"/>
  <c r="BQ142" i="11"/>
  <c r="BS131" i="9"/>
  <c r="BS132" i="9" s="1"/>
  <c r="BR132" i="9"/>
  <c r="BS119" i="9"/>
  <c r="BS120" i="9" s="1"/>
  <c r="BR120" i="9"/>
  <c r="BR143" i="18"/>
  <c r="BQ146" i="18"/>
  <c r="BR133" i="18"/>
  <c r="BQ134" i="18"/>
  <c r="BR136" i="20"/>
  <c r="BQ137" i="20"/>
  <c r="BO107" i="8"/>
  <c r="BE112" i="8"/>
  <c r="BD114" i="8"/>
  <c r="BN115" i="10"/>
  <c r="BN116" i="10"/>
  <c r="BO111" i="10"/>
  <c r="BO111" i="5"/>
  <c r="BO110" i="5"/>
  <c r="BO110" i="10"/>
  <c r="BN112" i="10"/>
  <c r="BQ4" i="10"/>
  <c r="BP198" i="10" a="1"/>
  <c r="BP198" i="10" s="1"/>
  <c r="BP360" i="10"/>
  <c r="BP363" i="10" s="1"/>
  <c r="BP361" i="10"/>
  <c r="BP364" i="10" s="1"/>
  <c r="BL117" i="10"/>
  <c r="BN112" i="5"/>
  <c r="BP352" i="8"/>
  <c r="BP355" i="8" s="1"/>
  <c r="BP351" i="8"/>
  <c r="BP354" i="8" s="1"/>
  <c r="BN113" i="8"/>
  <c r="BN109" i="8"/>
  <c r="BQ4" i="8"/>
  <c r="BP364" i="5"/>
  <c r="BP363" i="5"/>
  <c r="BN116" i="5"/>
  <c r="BN115" i="5"/>
  <c r="BM117" i="5"/>
  <c r="BQ4" i="1"/>
  <c r="BP5" i="1"/>
  <c r="BR151" i="15" l="1"/>
  <c r="BS148" i="15"/>
  <c r="BS140" i="11"/>
  <c r="BR142" i="11"/>
  <c r="BQ143" i="11"/>
  <c r="BS143" i="18"/>
  <c r="BS146" i="18" s="1"/>
  <c r="BR146" i="18"/>
  <c r="BS133" i="18"/>
  <c r="BR134" i="18"/>
  <c r="BS136" i="20"/>
  <c r="BS137" i="20" s="1"/>
  <c r="BR137" i="20"/>
  <c r="BP108" i="8"/>
  <c r="BP107" i="8"/>
  <c r="BE114" i="8"/>
  <c r="BF112" i="8"/>
  <c r="BO115" i="10"/>
  <c r="BO116" i="10"/>
  <c r="BP110" i="10"/>
  <c r="BP110" i="5"/>
  <c r="BP111" i="5"/>
  <c r="BP111" i="10"/>
  <c r="BO112" i="10"/>
  <c r="BR4" i="10"/>
  <c r="BQ361" i="10"/>
  <c r="BQ364" i="10" s="1"/>
  <c r="BQ360" i="10"/>
  <c r="BQ363" i="10" s="1"/>
  <c r="BQ198" i="10" a="1"/>
  <c r="BQ198" i="10" s="1"/>
  <c r="BM117" i="10"/>
  <c r="BO112" i="5"/>
  <c r="BQ351" i="8"/>
  <c r="BQ354" i="8" s="1"/>
  <c r="BQ352" i="8"/>
  <c r="BQ355" i="8" s="1"/>
  <c r="BO109" i="8"/>
  <c r="BO113" i="8"/>
  <c r="BR4" i="8"/>
  <c r="BO115" i="5"/>
  <c r="BN117" i="5"/>
  <c r="BQ363" i="5"/>
  <c r="BQ364" i="5"/>
  <c r="BO116" i="5"/>
  <c r="BR4" i="1"/>
  <c r="BQ5" i="1"/>
  <c r="BQ108" i="8" s="1"/>
  <c r="BS151" i="15" l="1"/>
  <c r="BS142" i="11"/>
  <c r="BS143" i="11" s="1"/>
  <c r="BR143" i="11"/>
  <c r="BS134" i="18"/>
  <c r="BQ107" i="8"/>
  <c r="BG112" i="8"/>
  <c r="BF114" i="8"/>
  <c r="BP115" i="10"/>
  <c r="BP116" i="10"/>
  <c r="BQ110" i="10"/>
  <c r="BQ110" i="5"/>
  <c r="BQ111" i="5"/>
  <c r="BP112" i="10"/>
  <c r="BQ111" i="10"/>
  <c r="BS4" i="10"/>
  <c r="BR361" i="10"/>
  <c r="BR364" i="10" s="1"/>
  <c r="BR360" i="10"/>
  <c r="BR363" i="10" s="1"/>
  <c r="BR198" i="10" a="1"/>
  <c r="BR198" i="10" s="1"/>
  <c r="BN117" i="10"/>
  <c r="BP112" i="5"/>
  <c r="BR351" i="8"/>
  <c r="BR354" i="8" s="1"/>
  <c r="BR352" i="8"/>
  <c r="BR355" i="8" s="1"/>
  <c r="BP113" i="8"/>
  <c r="BP109" i="8"/>
  <c r="BS4" i="8"/>
  <c r="BR363" i="5"/>
  <c r="BR364" i="5"/>
  <c r="BP115" i="5"/>
  <c r="BO117" i="5"/>
  <c r="BP116" i="5"/>
  <c r="BS4" i="1"/>
  <c r="BR5" i="1"/>
  <c r="L4" i="23" l="1" a="1"/>
  <c r="BR4" i="23" s="1"/>
  <c r="L4" i="20" a="1"/>
  <c r="BL4" i="20" s="1"/>
  <c r="L4" i="11" a="1"/>
  <c r="BR404" i="11" s="1"/>
  <c r="BR407" i="11" s="1"/>
  <c r="L4" i="9" a="1"/>
  <c r="L4" i="15" a="1"/>
  <c r="BR107" i="8"/>
  <c r="L4" i="18" a="1"/>
  <c r="BP4" i="18" s="1"/>
  <c r="BR108" i="8"/>
  <c r="BH112" i="8"/>
  <c r="BG114" i="8"/>
  <c r="BQ115" i="10"/>
  <c r="BQ112" i="10"/>
  <c r="BR110" i="10"/>
  <c r="BR110" i="5"/>
  <c r="BR111" i="5"/>
  <c r="BR111" i="10"/>
  <c r="BQ116" i="10"/>
  <c r="BS361" i="10"/>
  <c r="BS364" i="10" s="1"/>
  <c r="BS360" i="10"/>
  <c r="BS363" i="10" s="1"/>
  <c r="BS198" i="10" a="1"/>
  <c r="BS198" i="10" s="1"/>
  <c r="BQ112" i="5"/>
  <c r="BO117" i="10"/>
  <c r="BQ109" i="8"/>
  <c r="BS351" i="8"/>
  <c r="BS354" i="8" s="1"/>
  <c r="BS352" i="8"/>
  <c r="BS355" i="8" s="1"/>
  <c r="BQ113" i="8"/>
  <c r="BS363" i="5"/>
  <c r="BS364" i="5"/>
  <c r="BQ116" i="5"/>
  <c r="BQ115" i="5"/>
  <c r="BP117" i="5"/>
  <c r="L4" i="4" a="1"/>
  <c r="M4" i="4" s="1"/>
  <c r="BS5" i="1"/>
  <c r="AE4" i="23" l="1"/>
  <c r="AI4" i="23"/>
  <c r="AI193" i="23" s="1"/>
  <c r="AI196" i="23"/>
  <c r="AI178" i="23"/>
  <c r="AI190" i="23"/>
  <c r="Y4" i="23"/>
  <c r="Y152" i="23" s="1"/>
  <c r="Y150" i="23" s="1"/>
  <c r="BD4" i="23"/>
  <c r="BD438" i="23" s="1"/>
  <c r="BD441" i="23" s="1"/>
  <c r="AC4" i="23"/>
  <c r="AC152" i="23" s="1"/>
  <c r="AC150" i="23" s="1"/>
  <c r="BL4" i="23"/>
  <c r="BL438" i="23" s="1"/>
  <c r="BL441" i="23" s="1"/>
  <c r="AE196" i="23"/>
  <c r="AE178" i="23"/>
  <c r="AE193" i="23"/>
  <c r="AE190" i="23"/>
  <c r="AE181" i="23"/>
  <c r="BR193" i="23"/>
  <c r="BR190" i="23"/>
  <c r="BR178" i="23"/>
  <c r="BR196" i="23"/>
  <c r="BR181" i="23"/>
  <c r="AB199" i="9"/>
  <c r="AF199" i="9"/>
  <c r="AJ199" i="9"/>
  <c r="AN199" i="9"/>
  <c r="AR199" i="9"/>
  <c r="AV199" i="9"/>
  <c r="AZ199" i="9"/>
  <c r="BD199" i="9"/>
  <c r="BH199" i="9"/>
  <c r="BL199" i="9"/>
  <c r="BP199" i="9"/>
  <c r="AA196" i="9"/>
  <c r="AE196" i="9"/>
  <c r="AI196" i="9"/>
  <c r="AM196" i="9"/>
  <c r="AQ196" i="9"/>
  <c r="AU196" i="9"/>
  <c r="AY196" i="9"/>
  <c r="BC196" i="9"/>
  <c r="BG196" i="9"/>
  <c r="BK196" i="9"/>
  <c r="BO196" i="9"/>
  <c r="BS196" i="9"/>
  <c r="AD193" i="9"/>
  <c r="AH193" i="9"/>
  <c r="AL193" i="9"/>
  <c r="AP193" i="9"/>
  <c r="AT193" i="9"/>
  <c r="AX193" i="9"/>
  <c r="BB193" i="9"/>
  <c r="BF193" i="9"/>
  <c r="BJ193" i="9"/>
  <c r="BN193" i="9"/>
  <c r="BR193" i="9"/>
  <c r="AC184" i="9"/>
  <c r="AG184" i="9"/>
  <c r="AK184" i="9"/>
  <c r="AO184" i="9"/>
  <c r="AS184" i="9"/>
  <c r="AW184" i="9"/>
  <c r="BA184" i="9"/>
  <c r="BE184" i="9"/>
  <c r="BI184" i="9"/>
  <c r="BM184" i="9"/>
  <c r="BQ184" i="9"/>
  <c r="AB181" i="9"/>
  <c r="AF181" i="9"/>
  <c r="AJ181" i="9"/>
  <c r="AN181" i="9"/>
  <c r="AR181" i="9"/>
  <c r="AV181" i="9"/>
  <c r="AZ181" i="9"/>
  <c r="BD181" i="9"/>
  <c r="BH181" i="9"/>
  <c r="BL181" i="9"/>
  <c r="BP181" i="9"/>
  <c r="AK199" i="9"/>
  <c r="BE199" i="9"/>
  <c r="BQ199" i="9"/>
  <c r="AF196" i="9"/>
  <c r="AJ196" i="9"/>
  <c r="AR196" i="9"/>
  <c r="AZ196" i="9"/>
  <c r="BH196" i="9"/>
  <c r="BL196" i="9"/>
  <c r="AA193" i="9"/>
  <c r="AI193" i="9"/>
  <c r="AQ193" i="9"/>
  <c r="AY193" i="9"/>
  <c r="BG193" i="9"/>
  <c r="BO193" i="9"/>
  <c r="AD184" i="9"/>
  <c r="AL184" i="9"/>
  <c r="AP184" i="9"/>
  <c r="AX184" i="9"/>
  <c r="BF184" i="9"/>
  <c r="BN184" i="9"/>
  <c r="AC181" i="9"/>
  <c r="AG181" i="9"/>
  <c r="AO181" i="9"/>
  <c r="AW181" i="9"/>
  <c r="BE181" i="9"/>
  <c r="BM181" i="9"/>
  <c r="BN196" i="9"/>
  <c r="AW193" i="9"/>
  <c r="AC199" i="9"/>
  <c r="AG199" i="9"/>
  <c r="AO199" i="9"/>
  <c r="AS199" i="9"/>
  <c r="AW199" i="9"/>
  <c r="BA199" i="9"/>
  <c r="BI199" i="9"/>
  <c r="BM199" i="9"/>
  <c r="AB196" i="9"/>
  <c r="AN196" i="9"/>
  <c r="AV196" i="9"/>
  <c r="BD196" i="9"/>
  <c r="BP196" i="9"/>
  <c r="AE193" i="9"/>
  <c r="AM193" i="9"/>
  <c r="AU193" i="9"/>
  <c r="BC193" i="9"/>
  <c r="BK193" i="9"/>
  <c r="BS193" i="9"/>
  <c r="AH184" i="9"/>
  <c r="AT184" i="9"/>
  <c r="BB184" i="9"/>
  <c r="BJ184" i="9"/>
  <c r="BR184" i="9"/>
  <c r="AK181" i="9"/>
  <c r="AS181" i="9"/>
  <c r="BA181" i="9"/>
  <c r="BI181" i="9"/>
  <c r="BQ181" i="9"/>
  <c r="AA199" i="9"/>
  <c r="AE199" i="9"/>
  <c r="AI199" i="9"/>
  <c r="AM199" i="9"/>
  <c r="AQ199" i="9"/>
  <c r="AU199" i="9"/>
  <c r="AY199" i="9"/>
  <c r="BC199" i="9"/>
  <c r="BG199" i="9"/>
  <c r="BK199" i="9"/>
  <c r="BO199" i="9"/>
  <c r="BS199" i="9"/>
  <c r="AD196" i="9"/>
  <c r="AH196" i="9"/>
  <c r="AL196" i="9"/>
  <c r="AP196" i="9"/>
  <c r="AT196" i="9"/>
  <c r="AX196" i="9"/>
  <c r="BB196" i="9"/>
  <c r="BF196" i="9"/>
  <c r="BJ196" i="9"/>
  <c r="BR196" i="9"/>
  <c r="AG193" i="9"/>
  <c r="AK193" i="9"/>
  <c r="AO193" i="9"/>
  <c r="BA193" i="9"/>
  <c r="AD199" i="9"/>
  <c r="AH199" i="9"/>
  <c r="AL199" i="9"/>
  <c r="AP199" i="9"/>
  <c r="AT199" i="9"/>
  <c r="AX199" i="9"/>
  <c r="BB199" i="9"/>
  <c r="BF199" i="9"/>
  <c r="BJ199" i="9"/>
  <c r="BN199" i="9"/>
  <c r="BR199" i="9"/>
  <c r="AC196" i="9"/>
  <c r="AG196" i="9"/>
  <c r="AK196" i="9"/>
  <c r="AO196" i="9"/>
  <c r="AS196" i="9"/>
  <c r="AW196" i="9"/>
  <c r="BA196" i="9"/>
  <c r="BE196" i="9"/>
  <c r="BI196" i="9"/>
  <c r="BM196" i="9"/>
  <c r="BQ196" i="9"/>
  <c r="AB193" i="9"/>
  <c r="AF193" i="9"/>
  <c r="AJ193" i="9"/>
  <c r="AN193" i="9"/>
  <c r="AR193" i="9"/>
  <c r="AV193" i="9"/>
  <c r="AZ193" i="9"/>
  <c r="BD193" i="9"/>
  <c r="BH193" i="9"/>
  <c r="BL193" i="9"/>
  <c r="BP193" i="9"/>
  <c r="AA184" i="9"/>
  <c r="AE184" i="9"/>
  <c r="AI184" i="9"/>
  <c r="AM184" i="9"/>
  <c r="AQ184" i="9"/>
  <c r="AU184" i="9"/>
  <c r="AY184" i="9"/>
  <c r="BC184" i="9"/>
  <c r="BG184" i="9"/>
  <c r="BK184" i="9"/>
  <c r="BO184" i="9"/>
  <c r="BS184" i="9"/>
  <c r="AD181" i="9"/>
  <c r="AH181" i="9"/>
  <c r="AL181" i="9"/>
  <c r="AP181" i="9"/>
  <c r="AT181" i="9"/>
  <c r="AX181" i="9"/>
  <c r="BB181" i="9"/>
  <c r="BF181" i="9"/>
  <c r="BJ181" i="9"/>
  <c r="BN181" i="9"/>
  <c r="BR181" i="9"/>
  <c r="AC193" i="9"/>
  <c r="AS193" i="9"/>
  <c r="BI193" i="9"/>
  <c r="AF184" i="9"/>
  <c r="AV184" i="9"/>
  <c r="BL184" i="9"/>
  <c r="AI181" i="9"/>
  <c r="AY181" i="9"/>
  <c r="BO181" i="9"/>
  <c r="BC181" i="9"/>
  <c r="BE193" i="9"/>
  <c r="BH184" i="9"/>
  <c r="BM193" i="9"/>
  <c r="AJ184" i="9"/>
  <c r="AZ184" i="9"/>
  <c r="BP184" i="9"/>
  <c r="AM181" i="9"/>
  <c r="BS181" i="9"/>
  <c r="AR184" i="9"/>
  <c r="AU181" i="9"/>
  <c r="BQ193" i="9"/>
  <c r="AN184" i="9"/>
  <c r="BD184" i="9"/>
  <c r="AA181" i="9"/>
  <c r="AQ181" i="9"/>
  <c r="BG181" i="9"/>
  <c r="AB184" i="9"/>
  <c r="AE181" i="9"/>
  <c r="BK181" i="9"/>
  <c r="T196" i="9"/>
  <c r="U193" i="9"/>
  <c r="U196" i="9"/>
  <c r="T193" i="9"/>
  <c r="U184" i="9"/>
  <c r="T199" i="9"/>
  <c r="T181" i="9"/>
  <c r="T184" i="9"/>
  <c r="U199" i="9"/>
  <c r="U181" i="9"/>
  <c r="V199" i="9"/>
  <c r="V181" i="9"/>
  <c r="V196" i="9"/>
  <c r="V193" i="9"/>
  <c r="V184" i="9"/>
  <c r="W199" i="9"/>
  <c r="W181" i="9"/>
  <c r="W184" i="9"/>
  <c r="W196" i="9"/>
  <c r="W193" i="9"/>
  <c r="X199" i="9"/>
  <c r="X181" i="9"/>
  <c r="X193" i="9"/>
  <c r="X196" i="9"/>
  <c r="X184" i="9"/>
  <c r="Y199" i="9"/>
  <c r="Y181" i="9"/>
  <c r="Y196" i="9"/>
  <c r="Y193" i="9"/>
  <c r="Y184" i="9"/>
  <c r="Z184" i="9"/>
  <c r="Z193" i="9"/>
  <c r="Z199" i="9"/>
  <c r="Z181" i="9"/>
  <c r="Z196" i="9"/>
  <c r="BP197" i="18"/>
  <c r="BP161" i="18"/>
  <c r="BP212" i="18"/>
  <c r="BP209" i="18"/>
  <c r="BP206" i="18"/>
  <c r="BP194" i="18"/>
  <c r="AB219" i="15"/>
  <c r="AB243" i="15" s="1"/>
  <c r="AF219" i="15"/>
  <c r="AF243" i="15" s="1"/>
  <c r="AJ219" i="15"/>
  <c r="AJ243" i="15" s="1"/>
  <c r="AN219" i="15"/>
  <c r="AN243" i="15" s="1"/>
  <c r="AR219" i="15"/>
  <c r="AR243" i="15" s="1"/>
  <c r="AV219" i="15"/>
  <c r="AV243" i="15" s="1"/>
  <c r="AZ219" i="15"/>
  <c r="AZ243" i="15" s="1"/>
  <c r="BD219" i="15"/>
  <c r="BD243" i="15" s="1"/>
  <c r="BH219" i="15"/>
  <c r="BH243" i="15" s="1"/>
  <c r="BL219" i="15"/>
  <c r="BL243" i="15" s="1"/>
  <c r="BP219" i="15"/>
  <c r="BP243" i="15" s="1"/>
  <c r="AA216" i="15"/>
  <c r="AE216" i="15"/>
  <c r="AI216" i="15"/>
  <c r="AM216" i="15"/>
  <c r="AQ216" i="15"/>
  <c r="AU216" i="15"/>
  <c r="AY216" i="15"/>
  <c r="BC216" i="15"/>
  <c r="BG216" i="15"/>
  <c r="BK216" i="15"/>
  <c r="BO216" i="15"/>
  <c r="BS216" i="15"/>
  <c r="AD213" i="15"/>
  <c r="AH213" i="15"/>
  <c r="AL213" i="15"/>
  <c r="AP213" i="15"/>
  <c r="AT213" i="15"/>
  <c r="AX213" i="15"/>
  <c r="BB213" i="15"/>
  <c r="BF213" i="15"/>
  <c r="BJ213" i="15"/>
  <c r="BN213" i="15"/>
  <c r="BR213" i="15"/>
  <c r="AC204" i="15"/>
  <c r="AG204" i="15"/>
  <c r="AK204" i="15"/>
  <c r="AO204" i="15"/>
  <c r="AS204" i="15"/>
  <c r="AW204" i="15"/>
  <c r="BA204" i="15"/>
  <c r="BE204" i="15"/>
  <c r="BI204" i="15"/>
  <c r="BM204" i="15"/>
  <c r="BQ204" i="15"/>
  <c r="AB201" i="15"/>
  <c r="AF201" i="15"/>
  <c r="AJ201" i="15"/>
  <c r="AN201" i="15"/>
  <c r="AR201" i="15"/>
  <c r="AV201" i="15"/>
  <c r="AZ201" i="15"/>
  <c r="BD201" i="15"/>
  <c r="BH201" i="15"/>
  <c r="BL201" i="15"/>
  <c r="BP201" i="15"/>
  <c r="Q164" i="15"/>
  <c r="Q183" i="15" s="1"/>
  <c r="Q188" i="15" s="1"/>
  <c r="AA219" i="15"/>
  <c r="AA243" i="15" s="1"/>
  <c r="AE219" i="15"/>
  <c r="AE243" i="15" s="1"/>
  <c r="AI219" i="15"/>
  <c r="AI243" i="15" s="1"/>
  <c r="AM219" i="15"/>
  <c r="AM243" i="15" s="1"/>
  <c r="AQ219" i="15"/>
  <c r="AQ243" i="15" s="1"/>
  <c r="AU219" i="15"/>
  <c r="AU243" i="15" s="1"/>
  <c r="AY219" i="15"/>
  <c r="AY243" i="15" s="1"/>
  <c r="BC219" i="15"/>
  <c r="BC243" i="15" s="1"/>
  <c r="BG219" i="15"/>
  <c r="BG243" i="15" s="1"/>
  <c r="BK219" i="15"/>
  <c r="BK243" i="15" s="1"/>
  <c r="BO219" i="15"/>
  <c r="BO243" i="15" s="1"/>
  <c r="BS219" i="15"/>
  <c r="BS243" i="15" s="1"/>
  <c r="AD216" i="15"/>
  <c r="AH216" i="15"/>
  <c r="AL216" i="15"/>
  <c r="AP216" i="15"/>
  <c r="AT216" i="15"/>
  <c r="AX216" i="15"/>
  <c r="BF216" i="15"/>
  <c r="BJ216" i="15"/>
  <c r="BN216" i="15"/>
  <c r="AC213" i="15"/>
  <c r="AG213" i="15"/>
  <c r="AO213" i="15"/>
  <c r="AW213" i="15"/>
  <c r="BM213" i="15"/>
  <c r="AF204" i="15"/>
  <c r="AR204" i="15"/>
  <c r="AC219" i="15"/>
  <c r="AC243" i="15" s="1"/>
  <c r="AG219" i="15"/>
  <c r="AG243" i="15" s="1"/>
  <c r="AK219" i="15"/>
  <c r="AK243" i="15" s="1"/>
  <c r="AO219" i="15"/>
  <c r="AO243" i="15" s="1"/>
  <c r="AS219" i="15"/>
  <c r="AS243" i="15" s="1"/>
  <c r="AW219" i="15"/>
  <c r="AW243" i="15" s="1"/>
  <c r="BA219" i="15"/>
  <c r="BA243" i="15" s="1"/>
  <c r="BE219" i="15"/>
  <c r="BE243" i="15" s="1"/>
  <c r="BI219" i="15"/>
  <c r="BI243" i="15" s="1"/>
  <c r="BM219" i="15"/>
  <c r="BM243" i="15" s="1"/>
  <c r="BQ219" i="15"/>
  <c r="BQ243" i="15" s="1"/>
  <c r="AB216" i="15"/>
  <c r="AF216" i="15"/>
  <c r="AJ216" i="15"/>
  <c r="AN216" i="15"/>
  <c r="AR216" i="15"/>
  <c r="AV216" i="15"/>
  <c r="AZ216" i="15"/>
  <c r="BD216" i="15"/>
  <c r="BH216" i="15"/>
  <c r="BL216" i="15"/>
  <c r="BP216" i="15"/>
  <c r="AA213" i="15"/>
  <c r="AE213" i="15"/>
  <c r="AI213" i="15"/>
  <c r="AM213" i="15"/>
  <c r="AQ213" i="15"/>
  <c r="AU213" i="15"/>
  <c r="AY213" i="15"/>
  <c r="BC213" i="15"/>
  <c r="BG213" i="15"/>
  <c r="BK213" i="15"/>
  <c r="BO213" i="15"/>
  <c r="BS213" i="15"/>
  <c r="AD204" i="15"/>
  <c r="AH204" i="15"/>
  <c r="AL204" i="15"/>
  <c r="AP204" i="15"/>
  <c r="AT204" i="15"/>
  <c r="AX204" i="15"/>
  <c r="BB204" i="15"/>
  <c r="BF204" i="15"/>
  <c r="BJ204" i="15"/>
  <c r="BN204" i="15"/>
  <c r="BR204" i="15"/>
  <c r="AC201" i="15"/>
  <c r="AG201" i="15"/>
  <c r="AK201" i="15"/>
  <c r="AO201" i="15"/>
  <c r="AS201" i="15"/>
  <c r="AW201" i="15"/>
  <c r="BA201" i="15"/>
  <c r="BE201" i="15"/>
  <c r="BI201" i="15"/>
  <c r="BM201" i="15"/>
  <c r="BQ201" i="15"/>
  <c r="R164" i="15"/>
  <c r="R183" i="15" s="1"/>
  <c r="R188" i="15" s="1"/>
  <c r="BB216" i="15"/>
  <c r="AK213" i="15"/>
  <c r="BA213" i="15"/>
  <c r="BI213" i="15"/>
  <c r="AB204" i="15"/>
  <c r="AN204" i="15"/>
  <c r="AD219" i="15"/>
  <c r="AD243" i="15" s="1"/>
  <c r="AH219" i="15"/>
  <c r="AH243" i="15" s="1"/>
  <c r="AL219" i="15"/>
  <c r="AL243" i="15" s="1"/>
  <c r="AP219" i="15"/>
  <c r="AP243" i="15" s="1"/>
  <c r="AT219" i="15"/>
  <c r="AT243" i="15" s="1"/>
  <c r="AX219" i="15"/>
  <c r="AX243" i="15" s="1"/>
  <c r="BB219" i="15"/>
  <c r="BB243" i="15" s="1"/>
  <c r="BF219" i="15"/>
  <c r="BF243" i="15" s="1"/>
  <c r="BJ219" i="15"/>
  <c r="BJ243" i="15" s="1"/>
  <c r="BN219" i="15"/>
  <c r="BN243" i="15" s="1"/>
  <c r="BR219" i="15"/>
  <c r="BR243" i="15" s="1"/>
  <c r="AC216" i="15"/>
  <c r="AG216" i="15"/>
  <c r="AK216" i="15"/>
  <c r="AO216" i="15"/>
  <c r="AS216" i="15"/>
  <c r="AW216" i="15"/>
  <c r="BA216" i="15"/>
  <c r="BE216" i="15"/>
  <c r="BI216" i="15"/>
  <c r="BM216" i="15"/>
  <c r="BQ216" i="15"/>
  <c r="AB213" i="15"/>
  <c r="AF213" i="15"/>
  <c r="AJ213" i="15"/>
  <c r="AN213" i="15"/>
  <c r="AR213" i="15"/>
  <c r="AV213" i="15"/>
  <c r="AZ213" i="15"/>
  <c r="BD213" i="15"/>
  <c r="BH213" i="15"/>
  <c r="BL213" i="15"/>
  <c r="BP213" i="15"/>
  <c r="AA204" i="15"/>
  <c r="AE204" i="15"/>
  <c r="AI204" i="15"/>
  <c r="AM204" i="15"/>
  <c r="AQ204" i="15"/>
  <c r="AU204" i="15"/>
  <c r="AY204" i="15"/>
  <c r="BC204" i="15"/>
  <c r="BG204" i="15"/>
  <c r="BK204" i="15"/>
  <c r="BO204" i="15"/>
  <c r="BS204" i="15"/>
  <c r="AD201" i="15"/>
  <c r="AH201" i="15"/>
  <c r="AL201" i="15"/>
  <c r="AP201" i="15"/>
  <c r="AT201" i="15"/>
  <c r="AX201" i="15"/>
  <c r="BB201" i="15"/>
  <c r="BF201" i="15"/>
  <c r="BJ201" i="15"/>
  <c r="BN201" i="15"/>
  <c r="BR201" i="15"/>
  <c r="O164" i="15"/>
  <c r="O183" i="15" s="1"/>
  <c r="O188" i="15" s="1"/>
  <c r="S164" i="15"/>
  <c r="BR216" i="15"/>
  <c r="AS213" i="15"/>
  <c r="BE213" i="15"/>
  <c r="BQ213" i="15"/>
  <c r="AJ204" i="15"/>
  <c r="AV204" i="15"/>
  <c r="BD204" i="15"/>
  <c r="AA201" i="15"/>
  <c r="AQ201" i="15"/>
  <c r="BG201" i="15"/>
  <c r="AM201" i="15"/>
  <c r="BH204" i="15"/>
  <c r="AE201" i="15"/>
  <c r="AU201" i="15"/>
  <c r="BK201" i="15"/>
  <c r="AZ204" i="15"/>
  <c r="BC201" i="15"/>
  <c r="BL204" i="15"/>
  <c r="AI201" i="15"/>
  <c r="AY201" i="15"/>
  <c r="BO201" i="15"/>
  <c r="P164" i="15"/>
  <c r="BP204" i="15"/>
  <c r="BS201" i="15"/>
  <c r="N164" i="15"/>
  <c r="T219" i="15"/>
  <c r="T243" i="15" s="1"/>
  <c r="T201" i="15"/>
  <c r="U216" i="15"/>
  <c r="T216" i="15"/>
  <c r="U213" i="15"/>
  <c r="T204" i="15"/>
  <c r="T213" i="15"/>
  <c r="U204" i="15"/>
  <c r="U219" i="15"/>
  <c r="U243" i="15" s="1"/>
  <c r="U201" i="15"/>
  <c r="V219" i="15"/>
  <c r="V243" i="15" s="1"/>
  <c r="V201" i="15"/>
  <c r="V213" i="15"/>
  <c r="V204" i="15"/>
  <c r="V216" i="15"/>
  <c r="W213" i="15"/>
  <c r="W204" i="15"/>
  <c r="W216" i="15"/>
  <c r="W219" i="15"/>
  <c r="W243" i="15" s="1"/>
  <c r="W201" i="15"/>
  <c r="X219" i="15"/>
  <c r="X243" i="15" s="1"/>
  <c r="X201" i="15"/>
  <c r="X216" i="15"/>
  <c r="X204" i="15"/>
  <c r="X213" i="15"/>
  <c r="Y219" i="15"/>
  <c r="Y243" i="15" s="1"/>
  <c r="Y201" i="15"/>
  <c r="Y216" i="15"/>
  <c r="Y213" i="15"/>
  <c r="Y204" i="15"/>
  <c r="Z204" i="15"/>
  <c r="Z219" i="15"/>
  <c r="Z243" i="15" s="1"/>
  <c r="Z201" i="15"/>
  <c r="Z216" i="15"/>
  <c r="Z213" i="15"/>
  <c r="AJ4" i="23"/>
  <c r="AJ437" i="23" s="1"/>
  <c r="AJ440" i="23" s="1"/>
  <c r="BE4" i="23"/>
  <c r="BK4" i="23"/>
  <c r="BK152" i="23" s="1"/>
  <c r="BK150" i="23" s="1"/>
  <c r="AL4" i="23"/>
  <c r="AL152" i="23" s="1"/>
  <c r="AL150" i="23" s="1"/>
  <c r="AR4" i="23"/>
  <c r="BI4" i="23"/>
  <c r="BI437" i="23" s="1"/>
  <c r="BI440" i="23" s="1"/>
  <c r="BO4" i="23"/>
  <c r="BO152" i="23" s="1"/>
  <c r="BO150" i="23" s="1"/>
  <c r="AP4" i="23"/>
  <c r="BP4" i="20"/>
  <c r="BP154" i="20" s="1"/>
  <c r="BP150" i="20" s="1"/>
  <c r="BP4" i="23"/>
  <c r="BP437" i="23" s="1"/>
  <c r="BP440" i="23" s="1"/>
  <c r="AO4" i="23"/>
  <c r="AO438" i="23" s="1"/>
  <c r="AO441" i="23" s="1"/>
  <c r="O4" i="23"/>
  <c r="O181" i="23" s="1"/>
  <c r="AU4" i="23"/>
  <c r="X4" i="23"/>
  <c r="X438" i="23" s="1"/>
  <c r="X441" i="23" s="1"/>
  <c r="V4" i="23"/>
  <c r="V438" i="23" s="1"/>
  <c r="V441" i="23" s="1"/>
  <c r="BB4" i="23"/>
  <c r="L4" i="23"/>
  <c r="L181" i="23" s="1"/>
  <c r="M4" i="23"/>
  <c r="M196" i="23" s="1"/>
  <c r="AS4" i="23"/>
  <c r="AS152" i="23" s="1"/>
  <c r="AS150" i="23" s="1"/>
  <c r="S4" i="23"/>
  <c r="S196" i="23" s="1"/>
  <c r="AY4" i="23"/>
  <c r="AY437" i="23" s="1"/>
  <c r="AY440" i="23" s="1"/>
  <c r="AF4" i="23"/>
  <c r="Z4" i="23"/>
  <c r="BF4" i="23"/>
  <c r="BF438" i="23" s="1"/>
  <c r="BF441" i="23" s="1"/>
  <c r="T4" i="23"/>
  <c r="AZ4" i="23"/>
  <c r="Q4" i="23"/>
  <c r="Q193" i="23" s="1"/>
  <c r="AG4" i="23"/>
  <c r="AW4" i="23"/>
  <c r="AW438" i="23" s="1"/>
  <c r="AW441" i="23" s="1"/>
  <c r="BM4" i="23"/>
  <c r="BM437" i="23" s="1"/>
  <c r="BM440" i="23" s="1"/>
  <c r="W4" i="23"/>
  <c r="W437" i="23" s="1"/>
  <c r="W440" i="23" s="1"/>
  <c r="AM4" i="23"/>
  <c r="BC4" i="23"/>
  <c r="BS4" i="23"/>
  <c r="BS437" i="23" s="1"/>
  <c r="BS440" i="23" s="1"/>
  <c r="AN4" i="23"/>
  <c r="AN152" i="23" s="1"/>
  <c r="AN150" i="23" s="1"/>
  <c r="N4" i="23"/>
  <c r="N181" i="23" s="1"/>
  <c r="AD4" i="23"/>
  <c r="AT4" i="23"/>
  <c r="AT438" i="23" s="1"/>
  <c r="AT441" i="23" s="1"/>
  <c r="BJ4" i="23"/>
  <c r="BJ437" i="23" s="1"/>
  <c r="BJ440" i="23" s="1"/>
  <c r="AB4" i="23"/>
  <c r="BH4" i="23"/>
  <c r="U4" i="23"/>
  <c r="U152" i="23" s="1"/>
  <c r="U150" i="23" s="1"/>
  <c r="AK4" i="23"/>
  <c r="AK438" i="23" s="1"/>
  <c r="AK441" i="23" s="1"/>
  <c r="BA4" i="23"/>
  <c r="BQ4" i="23"/>
  <c r="AA4" i="23"/>
  <c r="AQ4" i="23"/>
  <c r="AQ437" i="23" s="1"/>
  <c r="AQ440" i="23" s="1"/>
  <c r="BG4" i="23"/>
  <c r="P4" i="23"/>
  <c r="P178" i="23" s="1"/>
  <c r="AV4" i="23"/>
  <c r="R4" i="23"/>
  <c r="R181" i="23" s="1"/>
  <c r="AH4" i="23"/>
  <c r="AX4" i="23"/>
  <c r="BN4" i="23"/>
  <c r="L5" i="23" a="1"/>
  <c r="BK5" i="23" s="1"/>
  <c r="Q196" i="23"/>
  <c r="R190" i="23"/>
  <c r="M193" i="23"/>
  <c r="M190" i="23"/>
  <c r="M181" i="23"/>
  <c r="AF152" i="23"/>
  <c r="AF150" i="23" s="1"/>
  <c r="AZ152" i="23"/>
  <c r="AZ150" i="23" s="1"/>
  <c r="BM152" i="23"/>
  <c r="BM150" i="23" s="1"/>
  <c r="BS152" i="23"/>
  <c r="BS150" i="23" s="1"/>
  <c r="AT152" i="23"/>
  <c r="AT150" i="23" s="1"/>
  <c r="BJ152" i="23"/>
  <c r="BJ150" i="23" s="1"/>
  <c r="AB152" i="23"/>
  <c r="AB150" i="23" s="1"/>
  <c r="AA152" i="23"/>
  <c r="AA150" i="23" s="1"/>
  <c r="AV152" i="23"/>
  <c r="AV150" i="23" s="1"/>
  <c r="BN152" i="23"/>
  <c r="BN150" i="23" s="1"/>
  <c r="M150" i="23"/>
  <c r="BI152" i="23"/>
  <c r="BI150" i="23" s="1"/>
  <c r="AI152" i="23"/>
  <c r="AI150" i="23" s="1"/>
  <c r="BL152" i="23"/>
  <c r="BL150" i="23" s="1"/>
  <c r="BP152" i="23"/>
  <c r="BP150" i="23" s="1"/>
  <c r="BE152" i="23"/>
  <c r="BE150" i="23" s="1"/>
  <c r="AE152" i="23"/>
  <c r="AE150" i="23" s="1"/>
  <c r="X152" i="23"/>
  <c r="X150" i="23" s="1"/>
  <c r="V152" i="23"/>
  <c r="V150" i="23" s="1"/>
  <c r="BR152" i="23"/>
  <c r="BR150" i="23" s="1"/>
  <c r="AZ438" i="23"/>
  <c r="AZ441" i="23" s="1"/>
  <c r="AZ437" i="23"/>
  <c r="AZ440" i="23" s="1"/>
  <c r="BM438" i="23"/>
  <c r="BM441" i="23" s="1"/>
  <c r="AN437" i="23"/>
  <c r="AN440" i="23" s="1"/>
  <c r="AT437" i="23"/>
  <c r="AT440" i="23" s="1"/>
  <c r="BP438" i="23"/>
  <c r="BP441" i="23" s="1"/>
  <c r="Y438" i="23"/>
  <c r="Y441" i="23" s="1"/>
  <c r="AO437" i="23"/>
  <c r="AO440" i="23" s="1"/>
  <c r="BE437" i="23"/>
  <c r="BE440" i="23" s="1"/>
  <c r="BE438" i="23"/>
  <c r="BE441" i="23" s="1"/>
  <c r="O438" i="23"/>
  <c r="O441" i="23" s="1"/>
  <c r="AE437" i="23"/>
  <c r="AE440" i="23" s="1"/>
  <c r="AE438" i="23"/>
  <c r="AE441" i="23" s="1"/>
  <c r="BK437" i="23"/>
  <c r="BK440" i="23" s="1"/>
  <c r="BK438" i="23"/>
  <c r="BK441" i="23" s="1"/>
  <c r="X437" i="23"/>
  <c r="X440" i="23" s="1"/>
  <c r="BR438" i="23"/>
  <c r="BR441" i="23" s="1"/>
  <c r="BR437" i="23"/>
  <c r="BR440" i="23" s="1"/>
  <c r="M438" i="23"/>
  <c r="M441" i="23" s="1"/>
  <c r="AS437" i="23"/>
  <c r="AS440" i="23" s="1"/>
  <c r="BI438" i="23"/>
  <c r="BI441" i="23" s="1"/>
  <c r="AI437" i="23"/>
  <c r="AI440" i="23" s="1"/>
  <c r="AI438" i="23"/>
  <c r="AI441" i="23" s="1"/>
  <c r="AF438" i="23"/>
  <c r="AF441" i="23" s="1"/>
  <c r="AF437" i="23"/>
  <c r="AF440" i="23" s="1"/>
  <c r="BL437" i="23"/>
  <c r="BL440" i="23" s="1"/>
  <c r="Z438" i="23"/>
  <c r="Z441" i="23" s="1"/>
  <c r="Z437" i="23"/>
  <c r="Z440" i="23" s="1"/>
  <c r="U437" i="23"/>
  <c r="U440" i="23" s="1"/>
  <c r="U438" i="23"/>
  <c r="U441" i="23" s="1"/>
  <c r="AA437" i="23"/>
  <c r="AA440" i="23" s="1"/>
  <c r="AA438" i="23"/>
  <c r="AA441" i="23" s="1"/>
  <c r="AV438" i="23"/>
  <c r="AV441" i="23" s="1"/>
  <c r="AV437" i="23"/>
  <c r="AV440" i="23" s="1"/>
  <c r="BN438" i="23"/>
  <c r="BN441" i="23" s="1"/>
  <c r="BN437" i="23"/>
  <c r="BN440" i="23" s="1"/>
  <c r="S219" i="15"/>
  <c r="S243" i="15" s="1"/>
  <c r="R219" i="15"/>
  <c r="R243" i="15" s="1"/>
  <c r="Q219" i="15"/>
  <c r="Q243" i="15" s="1"/>
  <c r="N219" i="15"/>
  <c r="N243" i="15" s="1"/>
  <c r="O219" i="15"/>
  <c r="O243" i="15" s="1"/>
  <c r="P219" i="15"/>
  <c r="P243" i="15" s="1"/>
  <c r="N199" i="9"/>
  <c r="M199" i="9"/>
  <c r="R199" i="9"/>
  <c r="Q199" i="9"/>
  <c r="P199" i="9"/>
  <c r="O199" i="9"/>
  <c r="S199" i="9"/>
  <c r="AW5" i="23"/>
  <c r="AK5" i="23"/>
  <c r="AG5" i="23"/>
  <c r="BN5" i="23"/>
  <c r="AR5" i="23"/>
  <c r="AF5" i="23"/>
  <c r="AB5" i="23"/>
  <c r="M156" i="11"/>
  <c r="M164" i="15" s="1"/>
  <c r="M202" i="11"/>
  <c r="M219" i="15" s="1"/>
  <c r="BJ4" i="20"/>
  <c r="BJ156" i="20" s="1"/>
  <c r="BJ152" i="20" s="1"/>
  <c r="S4" i="20"/>
  <c r="S210" i="20" s="1"/>
  <c r="S233" i="20" s="1"/>
  <c r="BR172" i="15"/>
  <c r="BR168" i="15" s="1"/>
  <c r="BR251" i="15" s="1"/>
  <c r="Q216" i="15"/>
  <c r="Q213" i="15"/>
  <c r="Q204" i="15"/>
  <c r="N201" i="15"/>
  <c r="R201" i="15"/>
  <c r="N216" i="15"/>
  <c r="R216" i="15"/>
  <c r="N213" i="15"/>
  <c r="R213" i="15"/>
  <c r="N204" i="15"/>
  <c r="R204" i="15"/>
  <c r="O201" i="15"/>
  <c r="S201" i="15"/>
  <c r="S216" i="15"/>
  <c r="O213" i="15"/>
  <c r="S204" i="15"/>
  <c r="P201" i="15"/>
  <c r="O216" i="15"/>
  <c r="S213" i="15"/>
  <c r="P204" i="15"/>
  <c r="P213" i="15"/>
  <c r="Q201" i="15"/>
  <c r="O204" i="15"/>
  <c r="P216" i="15"/>
  <c r="BR403" i="11"/>
  <c r="BR406" i="11" s="1"/>
  <c r="M196" i="11"/>
  <c r="M213" i="15" s="1"/>
  <c r="M184" i="11"/>
  <c r="M201" i="15" s="1"/>
  <c r="M187" i="11"/>
  <c r="M204" i="15" s="1"/>
  <c r="M199" i="11"/>
  <c r="M216" i="15" s="1"/>
  <c r="BR160" i="11"/>
  <c r="BR158" i="11" s="1"/>
  <c r="BR230" i="11" s="1"/>
  <c r="BR426" i="15"/>
  <c r="BR429" i="15" s="1"/>
  <c r="Q4" i="20"/>
  <c r="Q154" i="20" s="1"/>
  <c r="Q150" i="20" s="1"/>
  <c r="BO4" i="20"/>
  <c r="N4" i="20"/>
  <c r="N150" i="20" s="1"/>
  <c r="T4" i="20"/>
  <c r="BQ4" i="20"/>
  <c r="BQ154" i="20" s="1"/>
  <c r="BQ150" i="20" s="1"/>
  <c r="AD4" i="20"/>
  <c r="AI4" i="20"/>
  <c r="AI400" i="20" s="1"/>
  <c r="AI403" i="20" s="1"/>
  <c r="AJ4" i="20"/>
  <c r="M4" i="20"/>
  <c r="M152" i="20" s="1"/>
  <c r="AT4" i="20"/>
  <c r="AY4" i="20"/>
  <c r="AY156" i="20" s="1"/>
  <c r="AY152" i="20" s="1"/>
  <c r="AZ4" i="20"/>
  <c r="AZ154" i="20" s="1"/>
  <c r="AZ150" i="20" s="1"/>
  <c r="U4" i="20"/>
  <c r="U154" i="20" s="1"/>
  <c r="U150" i="20" s="1"/>
  <c r="Y4" i="20"/>
  <c r="AC4" i="20"/>
  <c r="AC400" i="20" s="1"/>
  <c r="AC403" i="20" s="1"/>
  <c r="AG4" i="20"/>
  <c r="R4" i="20"/>
  <c r="R401" i="20" s="1"/>
  <c r="R404" i="20" s="1"/>
  <c r="AH4" i="20"/>
  <c r="AX4" i="20"/>
  <c r="AX400" i="20" s="1"/>
  <c r="AX403" i="20" s="1"/>
  <c r="BN4" i="20"/>
  <c r="W4" i="20"/>
  <c r="W210" i="20" s="1"/>
  <c r="W233" i="20" s="1"/>
  <c r="AM4" i="20"/>
  <c r="BC4" i="20"/>
  <c r="BC400" i="20" s="1"/>
  <c r="BC403" i="20" s="1"/>
  <c r="BS4" i="20"/>
  <c r="BS400" i="20" s="1"/>
  <c r="BS403" i="20" s="1"/>
  <c r="X4" i="20"/>
  <c r="X400" i="20" s="1"/>
  <c r="X403" i="20" s="1"/>
  <c r="AN4" i="20"/>
  <c r="BD4" i="20"/>
  <c r="BD401" i="20" s="1"/>
  <c r="BD404" i="20" s="1"/>
  <c r="AK4" i="20"/>
  <c r="AO4" i="20"/>
  <c r="AO154" i="20" s="1"/>
  <c r="AO150" i="20" s="1"/>
  <c r="AS4" i="20"/>
  <c r="AW4" i="20"/>
  <c r="AW401" i="20" s="1"/>
  <c r="AW404" i="20" s="1"/>
  <c r="V4" i="20"/>
  <c r="V400" i="20" s="1"/>
  <c r="V403" i="20" s="1"/>
  <c r="AL4" i="20"/>
  <c r="AL210" i="20" s="1"/>
  <c r="AL233" i="20" s="1"/>
  <c r="BB4" i="20"/>
  <c r="BR4" i="20"/>
  <c r="BR401" i="20" s="1"/>
  <c r="BR404" i="20" s="1"/>
  <c r="AA4" i="20"/>
  <c r="AQ4" i="20"/>
  <c r="AQ154" i="20" s="1"/>
  <c r="AQ150" i="20" s="1"/>
  <c r="BG4" i="20"/>
  <c r="L4" i="20"/>
  <c r="L154" i="20" s="1"/>
  <c r="AB4" i="20"/>
  <c r="AR4" i="20"/>
  <c r="AR156" i="20" s="1"/>
  <c r="AR152" i="20" s="1"/>
  <c r="BH4" i="20"/>
  <c r="BA4" i="20"/>
  <c r="BA400" i="20" s="1"/>
  <c r="BA403" i="20" s="1"/>
  <c r="BE4" i="20"/>
  <c r="BI4" i="20"/>
  <c r="BI154" i="20" s="1"/>
  <c r="BI150" i="20" s="1"/>
  <c r="BM4" i="20"/>
  <c r="Z4" i="20"/>
  <c r="Z400" i="20" s="1"/>
  <c r="Z403" i="20" s="1"/>
  <c r="AP4" i="20"/>
  <c r="AP400" i="20" s="1"/>
  <c r="AP403" i="20" s="1"/>
  <c r="BF4" i="20"/>
  <c r="BF210" i="20" s="1"/>
  <c r="BF233" i="20" s="1"/>
  <c r="O4" i="20"/>
  <c r="AE4" i="20"/>
  <c r="AE400" i="20" s="1"/>
  <c r="AE403" i="20" s="1"/>
  <c r="AU4" i="20"/>
  <c r="AU210" i="20" s="1"/>
  <c r="AU233" i="20" s="1"/>
  <c r="BK4" i="20"/>
  <c r="BK154" i="20" s="1"/>
  <c r="BK150" i="20" s="1"/>
  <c r="P4" i="20"/>
  <c r="AF4" i="20"/>
  <c r="AF210" i="20" s="1"/>
  <c r="AF233" i="20" s="1"/>
  <c r="AV4" i="20"/>
  <c r="L5" i="20" a="1"/>
  <c r="BO5" i="20" s="1"/>
  <c r="BR425" i="15"/>
  <c r="BR428" i="15" s="1"/>
  <c r="L4" i="9"/>
  <c r="L199" i="9" s="1"/>
  <c r="BH206" i="9"/>
  <c r="BD206" i="9"/>
  <c r="AZ206" i="9"/>
  <c r="AV206" i="9"/>
  <c r="BO206" i="9"/>
  <c r="AY206" i="9"/>
  <c r="AI206" i="9"/>
  <c r="S206" i="9"/>
  <c r="BJ206" i="9"/>
  <c r="AT206" i="9"/>
  <c r="AD206" i="9"/>
  <c r="N206" i="9"/>
  <c r="BE206" i="9"/>
  <c r="AO206" i="9"/>
  <c r="Y206" i="9"/>
  <c r="P184" i="9"/>
  <c r="S181" i="9"/>
  <c r="O184" i="9"/>
  <c r="N181" i="9"/>
  <c r="AR206" i="9"/>
  <c r="AN206" i="9"/>
  <c r="AJ206" i="9"/>
  <c r="AF206" i="9"/>
  <c r="BK206" i="9"/>
  <c r="AU206" i="9"/>
  <c r="AE206" i="9"/>
  <c r="O206" i="9"/>
  <c r="BF206" i="9"/>
  <c r="AP206" i="9"/>
  <c r="Z206" i="9"/>
  <c r="BQ206" i="9"/>
  <c r="BA206" i="9"/>
  <c r="AK206" i="9"/>
  <c r="U206" i="9"/>
  <c r="P193" i="9"/>
  <c r="O181" i="9"/>
  <c r="S196" i="9"/>
  <c r="R193" i="9"/>
  <c r="N196" i="9"/>
  <c r="Q184" i="9"/>
  <c r="M193" i="9"/>
  <c r="AB206" i="9"/>
  <c r="T206" i="9"/>
  <c r="BG206" i="9"/>
  <c r="AA206" i="9"/>
  <c r="BB206" i="9"/>
  <c r="V206" i="9"/>
  <c r="AW206" i="9"/>
  <c r="Q206" i="9"/>
  <c r="P196" i="9"/>
  <c r="S193" i="9"/>
  <c r="O196" i="9"/>
  <c r="R196" i="9"/>
  <c r="BN150" i="9"/>
  <c r="BN146" i="9" s="1"/>
  <c r="AX150" i="9"/>
  <c r="AX146" i="9" s="1"/>
  <c r="AH150" i="9"/>
  <c r="AH146" i="9" s="1"/>
  <c r="R150" i="9"/>
  <c r="BJ152" i="9"/>
  <c r="BJ148" i="9" s="1"/>
  <c r="AT152" i="9"/>
  <c r="AT148" i="9" s="1"/>
  <c r="AD152" i="9"/>
  <c r="AD148" i="9" s="1"/>
  <c r="N152" i="9"/>
  <c r="N148" i="9"/>
  <c r="BE150" i="9"/>
  <c r="BE146" i="9" s="1"/>
  <c r="AO150" i="9"/>
  <c r="AO146" i="9" s="1"/>
  <c r="Y150" i="9"/>
  <c r="Y146" i="9" s="1"/>
  <c r="BQ152" i="9"/>
  <c r="BQ148" i="9" s="1"/>
  <c r="BA152" i="9"/>
  <c r="BA148" i="9" s="1"/>
  <c r="AK152" i="9"/>
  <c r="AK148" i="9" s="1"/>
  <c r="U152" i="9"/>
  <c r="U148" i="9" s="1"/>
  <c r="M146" i="9"/>
  <c r="BP150" i="9"/>
  <c r="BP146" i="9" s="1"/>
  <c r="AZ150" i="9"/>
  <c r="AZ146" i="9" s="1"/>
  <c r="AJ150" i="9"/>
  <c r="AJ146" i="9" s="1"/>
  <c r="T150" i="9"/>
  <c r="T146" i="9" s="1"/>
  <c r="BL152" i="9"/>
  <c r="BL148" i="9" s="1"/>
  <c r="AV152" i="9"/>
  <c r="AV148" i="9" s="1"/>
  <c r="AF152" i="9"/>
  <c r="AF148" i="9" s="1"/>
  <c r="P152" i="9"/>
  <c r="BS150" i="9"/>
  <c r="BS146" i="9" s="1"/>
  <c r="BC150" i="9"/>
  <c r="BC146" i="9" s="1"/>
  <c r="AM150" i="9"/>
  <c r="AM146" i="9" s="1"/>
  <c r="W150" i="9"/>
  <c r="W146" i="9" s="1"/>
  <c r="BO152" i="9"/>
  <c r="BO148" i="9" s="1"/>
  <c r="AY152" i="9"/>
  <c r="AY148" i="9" s="1"/>
  <c r="AI152" i="9"/>
  <c r="AI148" i="9" s="1"/>
  <c r="S152" i="9"/>
  <c r="S148" i="9" s="1"/>
  <c r="O148" i="9"/>
  <c r="BL206" i="9"/>
  <c r="BC206" i="9"/>
  <c r="W206" i="9"/>
  <c r="AX206" i="9"/>
  <c r="R206" i="9"/>
  <c r="AS206" i="9"/>
  <c r="M206" i="9"/>
  <c r="S184" i="9"/>
  <c r="O193" i="9"/>
  <c r="Q193" i="9"/>
  <c r="Q196" i="9"/>
  <c r="BJ150" i="9"/>
  <c r="BJ146" i="9" s="1"/>
  <c r="AT150" i="9"/>
  <c r="AT146" i="9" s="1"/>
  <c r="AD150" i="9"/>
  <c r="AD146" i="9" s="1"/>
  <c r="N150" i="9"/>
  <c r="BF152" i="9"/>
  <c r="BF148" i="9" s="1"/>
  <c r="AP152" i="9"/>
  <c r="AP148" i="9" s="1"/>
  <c r="Z152" i="9"/>
  <c r="Z148" i="9" s="1"/>
  <c r="R146" i="9"/>
  <c r="BQ150" i="9"/>
  <c r="BQ146" i="9" s="1"/>
  <c r="BA150" i="9"/>
  <c r="BA146" i="9" s="1"/>
  <c r="AK150" i="9"/>
  <c r="AK146" i="9" s="1"/>
  <c r="U150" i="9"/>
  <c r="U146" i="9" s="1"/>
  <c r="BM152" i="9"/>
  <c r="BM148" i="9" s="1"/>
  <c r="AW152" i="9"/>
  <c r="AW148" i="9" s="1"/>
  <c r="AG152" i="9"/>
  <c r="AG148" i="9" s="1"/>
  <c r="Q152" i="9"/>
  <c r="Q148" i="9"/>
  <c r="BL150" i="9"/>
  <c r="BL146" i="9" s="1"/>
  <c r="AV150" i="9"/>
  <c r="AV146" i="9" s="1"/>
  <c r="AF150" i="9"/>
  <c r="AF146" i="9" s="1"/>
  <c r="P150" i="9"/>
  <c r="BH152" i="9"/>
  <c r="BH148" i="9" s="1"/>
  <c r="AR152" i="9"/>
  <c r="AR148" i="9" s="1"/>
  <c r="AB152" i="9"/>
  <c r="AB148" i="9" s="1"/>
  <c r="BO150" i="9"/>
  <c r="BO146" i="9" s="1"/>
  <c r="AY150" i="9"/>
  <c r="AY146" i="9" s="1"/>
  <c r="AI150" i="9"/>
  <c r="AI146" i="9" s="1"/>
  <c r="S150" i="9"/>
  <c r="S146" i="9" s="1"/>
  <c r="BK152" i="9"/>
  <c r="BK148" i="9" s="1"/>
  <c r="AU152" i="9"/>
  <c r="AU148" i="9" s="1"/>
  <c r="AE152" i="9"/>
  <c r="AE148" i="9" s="1"/>
  <c r="O152" i="9"/>
  <c r="BP206" i="9"/>
  <c r="BS206" i="9"/>
  <c r="AM206" i="9"/>
  <c r="BN206" i="9"/>
  <c r="AH206" i="9"/>
  <c r="BI206" i="9"/>
  <c r="P181" i="9"/>
  <c r="R181" i="9"/>
  <c r="N184" i="9"/>
  <c r="M181" i="9"/>
  <c r="BR150" i="9"/>
  <c r="BR146" i="9" s="1"/>
  <c r="AL150" i="9"/>
  <c r="AL146" i="9" s="1"/>
  <c r="V150" i="9"/>
  <c r="V146" i="9" s="1"/>
  <c r="AX152" i="9"/>
  <c r="AX148" i="9" s="1"/>
  <c r="R152" i="9"/>
  <c r="BI150" i="9"/>
  <c r="BI146" i="9" s="1"/>
  <c r="AC150" i="9"/>
  <c r="AC146" i="9" s="1"/>
  <c r="BE152" i="9"/>
  <c r="BE148" i="9" s="1"/>
  <c r="Y152" i="9"/>
  <c r="Y148" i="9" s="1"/>
  <c r="X150" i="9"/>
  <c r="X146" i="9" s="1"/>
  <c r="AZ152" i="9"/>
  <c r="AZ148" i="9" s="1"/>
  <c r="P148" i="9"/>
  <c r="AA150" i="9"/>
  <c r="AA146" i="9" s="1"/>
  <c r="BC152" i="9"/>
  <c r="BC148" i="9" s="1"/>
  <c r="W152" i="9"/>
  <c r="W148" i="9" s="1"/>
  <c r="O146" i="9"/>
  <c r="X206" i="9"/>
  <c r="P206" i="9"/>
  <c r="AQ206" i="9"/>
  <c r="BR206" i="9"/>
  <c r="AL206" i="9"/>
  <c r="BM206" i="9"/>
  <c r="AG206" i="9"/>
  <c r="R184" i="9"/>
  <c r="N193" i="9"/>
  <c r="Q181" i="9"/>
  <c r="M184" i="9"/>
  <c r="M196" i="9"/>
  <c r="BF150" i="9"/>
  <c r="BF146" i="9" s="1"/>
  <c r="AP150" i="9"/>
  <c r="AP146" i="9" s="1"/>
  <c r="Z150" i="9"/>
  <c r="Z146" i="9" s="1"/>
  <c r="BR152" i="9"/>
  <c r="BR148" i="9" s="1"/>
  <c r="BB152" i="9"/>
  <c r="BB148" i="9" s="1"/>
  <c r="AL152" i="9"/>
  <c r="AL148" i="9" s="1"/>
  <c r="V152" i="9"/>
  <c r="V148" i="9" s="1"/>
  <c r="N146" i="9"/>
  <c r="BM150" i="9"/>
  <c r="BM146" i="9" s="1"/>
  <c r="AW150" i="9"/>
  <c r="AW146" i="9" s="1"/>
  <c r="AG150" i="9"/>
  <c r="AG146" i="9" s="1"/>
  <c r="Q150" i="9"/>
  <c r="BI152" i="9"/>
  <c r="BI148" i="9" s="1"/>
  <c r="AS152" i="9"/>
  <c r="AS148" i="9" s="1"/>
  <c r="AC152" i="9"/>
  <c r="AC148" i="9" s="1"/>
  <c r="M152" i="9"/>
  <c r="M148" i="9"/>
  <c r="BH150" i="9"/>
  <c r="BH146" i="9" s="1"/>
  <c r="AR150" i="9"/>
  <c r="AR146" i="9" s="1"/>
  <c r="AB150" i="9"/>
  <c r="AB146" i="9" s="1"/>
  <c r="BD152" i="9"/>
  <c r="BD148" i="9" s="1"/>
  <c r="AN152" i="9"/>
  <c r="AN148" i="9" s="1"/>
  <c r="X152" i="9"/>
  <c r="X148" i="9" s="1"/>
  <c r="P146" i="9"/>
  <c r="BK150" i="9"/>
  <c r="BK146" i="9" s="1"/>
  <c r="AU150" i="9"/>
  <c r="AU146" i="9" s="1"/>
  <c r="AE150" i="9"/>
  <c r="AE146" i="9" s="1"/>
  <c r="O150" i="9"/>
  <c r="BG152" i="9"/>
  <c r="BG148" i="9" s="1"/>
  <c r="AQ152" i="9"/>
  <c r="AQ148" i="9" s="1"/>
  <c r="AA152" i="9"/>
  <c r="AA148" i="9" s="1"/>
  <c r="AC206" i="9"/>
  <c r="BB150" i="9"/>
  <c r="BB146" i="9" s="1"/>
  <c r="BN152" i="9"/>
  <c r="BN148" i="9" s="1"/>
  <c r="AH152" i="9"/>
  <c r="AH148" i="9" s="1"/>
  <c r="R148" i="9"/>
  <c r="AS150" i="9"/>
  <c r="AS146" i="9" s="1"/>
  <c r="M150" i="9"/>
  <c r="AO152" i="9"/>
  <c r="AO148" i="9" s="1"/>
  <c r="Q146" i="9"/>
  <c r="BD150" i="9"/>
  <c r="BD146" i="9" s="1"/>
  <c r="AN150" i="9"/>
  <c r="AN146" i="9" s="1"/>
  <c r="BP152" i="9"/>
  <c r="BP148" i="9" s="1"/>
  <c r="AJ152" i="9"/>
  <c r="AJ148" i="9" s="1"/>
  <c r="T152" i="9"/>
  <c r="T148" i="9" s="1"/>
  <c r="BG150" i="9"/>
  <c r="BG146" i="9" s="1"/>
  <c r="AQ150" i="9"/>
  <c r="AQ146" i="9" s="1"/>
  <c r="BS152" i="9"/>
  <c r="BS148" i="9" s="1"/>
  <c r="AM152" i="9"/>
  <c r="AM148" i="9" s="1"/>
  <c r="P399" i="9"/>
  <c r="P402" i="9" s="1"/>
  <c r="P398" i="9"/>
  <c r="P401" i="9" s="1"/>
  <c r="Q398" i="9"/>
  <c r="Q401" i="9" s="1"/>
  <c r="R398" i="9"/>
  <c r="R401" i="9" s="1"/>
  <c r="Q399" i="9"/>
  <c r="Q402" i="9" s="1"/>
  <c r="M399" i="9"/>
  <c r="M402" i="9" s="1"/>
  <c r="O398" i="9"/>
  <c r="O401" i="9" s="1"/>
  <c r="N399" i="9"/>
  <c r="N402" i="9" s="1"/>
  <c r="O399" i="9"/>
  <c r="O402" i="9" s="1"/>
  <c r="M398" i="9"/>
  <c r="M401" i="9" s="1"/>
  <c r="N398" i="9"/>
  <c r="N401" i="9" s="1"/>
  <c r="R399" i="9"/>
  <c r="R402" i="9" s="1"/>
  <c r="S399" i="9"/>
  <c r="S402" i="9" s="1"/>
  <c r="S398" i="9"/>
  <c r="S401" i="9" s="1"/>
  <c r="T399" i="9"/>
  <c r="T402" i="9" s="1"/>
  <c r="T398" i="9"/>
  <c r="T401" i="9" s="1"/>
  <c r="U398" i="9"/>
  <c r="U401" i="9" s="1"/>
  <c r="U399" i="9"/>
  <c r="U402" i="9" s="1"/>
  <c r="V398" i="9"/>
  <c r="V401" i="9" s="1"/>
  <c r="V399" i="9"/>
  <c r="V402" i="9" s="1"/>
  <c r="W399" i="9"/>
  <c r="W402" i="9" s="1"/>
  <c r="W398" i="9"/>
  <c r="W401" i="9" s="1"/>
  <c r="X398" i="9"/>
  <c r="X401" i="9" s="1"/>
  <c r="X399" i="9"/>
  <c r="X402" i="9" s="1"/>
  <c r="Y398" i="9"/>
  <c r="Y401" i="9" s="1"/>
  <c r="Y399" i="9"/>
  <c r="Y402" i="9" s="1"/>
  <c r="Z398" i="9"/>
  <c r="Z401" i="9" s="1"/>
  <c r="Z399" i="9"/>
  <c r="Z402" i="9" s="1"/>
  <c r="AA399" i="9"/>
  <c r="AA402" i="9" s="1"/>
  <c r="AA398" i="9"/>
  <c r="AA401" i="9" s="1"/>
  <c r="AB398" i="9"/>
  <c r="AB401" i="9" s="1"/>
  <c r="AB399" i="9"/>
  <c r="AB402" i="9" s="1"/>
  <c r="AC399" i="9"/>
  <c r="AC402" i="9" s="1"/>
  <c r="AC398" i="9"/>
  <c r="AC401" i="9" s="1"/>
  <c r="AD398" i="9"/>
  <c r="AD401" i="9" s="1"/>
  <c r="AD399" i="9"/>
  <c r="AD402" i="9" s="1"/>
  <c r="AE398" i="9"/>
  <c r="AE401" i="9" s="1"/>
  <c r="AE399" i="9"/>
  <c r="AE402" i="9" s="1"/>
  <c r="AF399" i="9"/>
  <c r="AF402" i="9" s="1"/>
  <c r="AF398" i="9"/>
  <c r="AF401" i="9" s="1"/>
  <c r="AG398" i="9"/>
  <c r="AG401" i="9" s="1"/>
  <c r="AG399" i="9"/>
  <c r="AG402" i="9" s="1"/>
  <c r="AH399" i="9"/>
  <c r="AH402" i="9" s="1"/>
  <c r="AH398" i="9"/>
  <c r="AH401" i="9" s="1"/>
  <c r="AI398" i="9"/>
  <c r="AI401" i="9" s="1"/>
  <c r="AI399" i="9"/>
  <c r="AI402" i="9" s="1"/>
  <c r="AJ399" i="9"/>
  <c r="AJ402" i="9" s="1"/>
  <c r="AJ398" i="9"/>
  <c r="AJ401" i="9" s="1"/>
  <c r="AK398" i="9"/>
  <c r="AK401" i="9" s="1"/>
  <c r="AK399" i="9"/>
  <c r="AK402" i="9" s="1"/>
  <c r="AL398" i="9"/>
  <c r="AL401" i="9" s="1"/>
  <c r="AL399" i="9"/>
  <c r="AL402" i="9" s="1"/>
  <c r="AM399" i="9"/>
  <c r="AM402" i="9" s="1"/>
  <c r="AM398" i="9"/>
  <c r="AM401" i="9" s="1"/>
  <c r="AN399" i="9"/>
  <c r="AN402" i="9" s="1"/>
  <c r="AN398" i="9"/>
  <c r="AN401" i="9" s="1"/>
  <c r="AO398" i="9"/>
  <c r="AO401" i="9" s="1"/>
  <c r="AO399" i="9"/>
  <c r="AO402" i="9" s="1"/>
  <c r="AP398" i="9"/>
  <c r="AP401" i="9" s="1"/>
  <c r="AP399" i="9"/>
  <c r="AP402" i="9" s="1"/>
  <c r="AQ398" i="9"/>
  <c r="AQ401" i="9" s="1"/>
  <c r="AQ399" i="9"/>
  <c r="AQ402" i="9" s="1"/>
  <c r="AR399" i="9"/>
  <c r="AR402" i="9" s="1"/>
  <c r="AR398" i="9"/>
  <c r="AR401" i="9" s="1"/>
  <c r="AS399" i="9"/>
  <c r="AS402" i="9" s="1"/>
  <c r="AS398" i="9"/>
  <c r="AS401" i="9" s="1"/>
  <c r="AT399" i="9"/>
  <c r="AT402" i="9" s="1"/>
  <c r="AT398" i="9"/>
  <c r="AT401" i="9" s="1"/>
  <c r="AU399" i="9"/>
  <c r="AU402" i="9" s="1"/>
  <c r="AU398" i="9"/>
  <c r="AU401" i="9" s="1"/>
  <c r="AV398" i="9"/>
  <c r="AV401" i="9" s="1"/>
  <c r="AV399" i="9"/>
  <c r="AV402" i="9" s="1"/>
  <c r="AW399" i="9"/>
  <c r="AW402" i="9" s="1"/>
  <c r="AW398" i="9"/>
  <c r="AW401" i="9" s="1"/>
  <c r="AX399" i="9"/>
  <c r="AX402" i="9" s="1"/>
  <c r="AX398" i="9"/>
  <c r="AX401" i="9" s="1"/>
  <c r="AY399" i="9"/>
  <c r="AY402" i="9" s="1"/>
  <c r="AY398" i="9"/>
  <c r="AY401" i="9" s="1"/>
  <c r="AZ398" i="9"/>
  <c r="AZ401" i="9" s="1"/>
  <c r="AZ399" i="9"/>
  <c r="AZ402" i="9" s="1"/>
  <c r="BA399" i="9"/>
  <c r="BA402" i="9" s="1"/>
  <c r="BA398" i="9"/>
  <c r="BA401" i="9" s="1"/>
  <c r="BB398" i="9"/>
  <c r="BB401" i="9" s="1"/>
  <c r="BB399" i="9"/>
  <c r="BB402" i="9" s="1"/>
  <c r="BC399" i="9"/>
  <c r="BC402" i="9" s="1"/>
  <c r="BC398" i="9"/>
  <c r="BC401" i="9" s="1"/>
  <c r="BD399" i="9"/>
  <c r="BD402" i="9" s="1"/>
  <c r="BD398" i="9"/>
  <c r="BD401" i="9" s="1"/>
  <c r="BE399" i="9"/>
  <c r="BE402" i="9" s="1"/>
  <c r="BE398" i="9"/>
  <c r="BE401" i="9" s="1"/>
  <c r="BF398" i="9"/>
  <c r="BF401" i="9" s="1"/>
  <c r="BF399" i="9"/>
  <c r="BF402" i="9" s="1"/>
  <c r="BG398" i="9"/>
  <c r="BG401" i="9" s="1"/>
  <c r="BG399" i="9"/>
  <c r="BG402" i="9" s="1"/>
  <c r="BH399" i="9"/>
  <c r="BH402" i="9" s="1"/>
  <c r="BH398" i="9"/>
  <c r="BH401" i="9" s="1"/>
  <c r="BI398" i="9"/>
  <c r="BI401" i="9" s="1"/>
  <c r="BI399" i="9"/>
  <c r="BI402" i="9" s="1"/>
  <c r="BJ399" i="9"/>
  <c r="BJ402" i="9" s="1"/>
  <c r="BJ398" i="9"/>
  <c r="BJ401" i="9" s="1"/>
  <c r="BK399" i="9"/>
  <c r="BK402" i="9" s="1"/>
  <c r="BK398" i="9"/>
  <c r="BK401" i="9" s="1"/>
  <c r="BL398" i="9"/>
  <c r="BL401" i="9" s="1"/>
  <c r="BL399" i="9"/>
  <c r="BL402" i="9" s="1"/>
  <c r="BM399" i="9"/>
  <c r="BM402" i="9" s="1"/>
  <c r="BM398" i="9"/>
  <c r="BM401" i="9" s="1"/>
  <c r="BN398" i="9"/>
  <c r="BN401" i="9" s="1"/>
  <c r="BN399" i="9"/>
  <c r="BN402" i="9" s="1"/>
  <c r="BO398" i="9"/>
  <c r="BO401" i="9" s="1"/>
  <c r="BO399" i="9"/>
  <c r="BO402" i="9" s="1"/>
  <c r="BP399" i="9"/>
  <c r="BP402" i="9" s="1"/>
  <c r="BP398" i="9"/>
  <c r="BP401" i="9" s="1"/>
  <c r="BQ398" i="9"/>
  <c r="BQ401" i="9" s="1"/>
  <c r="BQ399" i="9"/>
  <c r="BQ402" i="9" s="1"/>
  <c r="BR399" i="9"/>
  <c r="BR402" i="9" s="1"/>
  <c r="BR398" i="9"/>
  <c r="BR401" i="9" s="1"/>
  <c r="BS399" i="9"/>
  <c r="BS402" i="9" s="1"/>
  <c r="BS398" i="9"/>
  <c r="BS401" i="9" s="1"/>
  <c r="L4" i="15"/>
  <c r="M425" i="15"/>
  <c r="M428" i="15" s="1"/>
  <c r="M170" i="15"/>
  <c r="M172" i="15"/>
  <c r="M168" i="15" s="1"/>
  <c r="M426" i="15"/>
  <c r="M429" i="15" s="1"/>
  <c r="N170" i="15"/>
  <c r="N425" i="15"/>
  <c r="N428" i="15" s="1"/>
  <c r="N172" i="15"/>
  <c r="N168" i="15" s="1"/>
  <c r="N426" i="15"/>
  <c r="N429" i="15" s="1"/>
  <c r="O172" i="15"/>
  <c r="O168" i="15" s="1"/>
  <c r="O425" i="15"/>
  <c r="O428" i="15" s="1"/>
  <c r="O170" i="15"/>
  <c r="O426" i="15"/>
  <c r="O429" i="15" s="1"/>
  <c r="P425" i="15"/>
  <c r="P428" i="15" s="1"/>
  <c r="P172" i="15"/>
  <c r="P168" i="15" s="1"/>
  <c r="P170" i="15"/>
  <c r="P426" i="15"/>
  <c r="P429" i="15" s="1"/>
  <c r="Q170" i="15"/>
  <c r="Q426" i="15"/>
  <c r="Q429" i="15" s="1"/>
  <c r="Q425" i="15"/>
  <c r="Q428" i="15" s="1"/>
  <c r="Q172" i="15"/>
  <c r="Q168" i="15" s="1"/>
  <c r="R425" i="15"/>
  <c r="R428" i="15" s="1"/>
  <c r="R172" i="15"/>
  <c r="R168" i="15" s="1"/>
  <c r="R170" i="15"/>
  <c r="R426" i="15"/>
  <c r="R429" i="15" s="1"/>
  <c r="S425" i="15"/>
  <c r="S428" i="15" s="1"/>
  <c r="S170" i="15"/>
  <c r="S426" i="15"/>
  <c r="S429" i="15" s="1"/>
  <c r="S172" i="15"/>
  <c r="S168" i="15" s="1"/>
  <c r="S251" i="15" s="1"/>
  <c r="T170" i="15"/>
  <c r="T425" i="15"/>
  <c r="T428" i="15" s="1"/>
  <c r="T172" i="15"/>
  <c r="T168" i="15" s="1"/>
  <c r="T251" i="15" s="1"/>
  <c r="T426" i="15"/>
  <c r="T429" i="15" s="1"/>
  <c r="U426" i="15"/>
  <c r="U429" i="15" s="1"/>
  <c r="U425" i="15"/>
  <c r="U428" i="15" s="1"/>
  <c r="U172" i="15"/>
  <c r="U168" i="15" s="1"/>
  <c r="U251" i="15" s="1"/>
  <c r="U170" i="15"/>
  <c r="V425" i="15"/>
  <c r="V428" i="15" s="1"/>
  <c r="V172" i="15"/>
  <c r="V168" i="15" s="1"/>
  <c r="V251" i="15" s="1"/>
  <c r="V426" i="15"/>
  <c r="V429" i="15" s="1"/>
  <c r="V170" i="15"/>
  <c r="W170" i="15"/>
  <c r="W426" i="15"/>
  <c r="W429" i="15" s="1"/>
  <c r="W425" i="15"/>
  <c r="W428" i="15" s="1"/>
  <c r="W172" i="15"/>
  <c r="W168" i="15" s="1"/>
  <c r="W251" i="15" s="1"/>
  <c r="X172" i="15"/>
  <c r="X168" i="15" s="1"/>
  <c r="X251" i="15" s="1"/>
  <c r="X170" i="15"/>
  <c r="X425" i="15"/>
  <c r="X428" i="15" s="1"/>
  <c r="X426" i="15"/>
  <c r="X429" i="15" s="1"/>
  <c r="Y172" i="15"/>
  <c r="Y168" i="15" s="1"/>
  <c r="Y251" i="15" s="1"/>
  <c r="Y426" i="15"/>
  <c r="Y429" i="15" s="1"/>
  <c r="Y170" i="15"/>
  <c r="Y425" i="15"/>
  <c r="Y428" i="15" s="1"/>
  <c r="Z426" i="15"/>
  <c r="Z429" i="15" s="1"/>
  <c r="Z172" i="15"/>
  <c r="Z168" i="15" s="1"/>
  <c r="Z251" i="15" s="1"/>
  <c r="Z425" i="15"/>
  <c r="Z428" i="15" s="1"/>
  <c r="Z170" i="15"/>
  <c r="AA170" i="15"/>
  <c r="AA425" i="15"/>
  <c r="AA428" i="15" s="1"/>
  <c r="AA426" i="15"/>
  <c r="AA429" i="15" s="1"/>
  <c r="AA172" i="15"/>
  <c r="AA168" i="15" s="1"/>
  <c r="AA251" i="15" s="1"/>
  <c r="AB426" i="15"/>
  <c r="AB429" i="15" s="1"/>
  <c r="AB425" i="15"/>
  <c r="AB428" i="15" s="1"/>
  <c r="AB170" i="15"/>
  <c r="AB172" i="15"/>
  <c r="AB168" i="15" s="1"/>
  <c r="AB251" i="15" s="1"/>
  <c r="AC170" i="15"/>
  <c r="AC425" i="15"/>
  <c r="AC428" i="15" s="1"/>
  <c r="AC172" i="15"/>
  <c r="AC168" i="15" s="1"/>
  <c r="AC251" i="15" s="1"/>
  <c r="AC426" i="15"/>
  <c r="AC429" i="15" s="1"/>
  <c r="AD170" i="15"/>
  <c r="AD425" i="15"/>
  <c r="AD428" i="15" s="1"/>
  <c r="AD426" i="15"/>
  <c r="AD429" i="15" s="1"/>
  <c r="AD172" i="15"/>
  <c r="AD168" i="15" s="1"/>
  <c r="AD251" i="15" s="1"/>
  <c r="AE170" i="15"/>
  <c r="AE425" i="15"/>
  <c r="AE428" i="15" s="1"/>
  <c r="AE426" i="15"/>
  <c r="AE429" i="15" s="1"/>
  <c r="AE172" i="15"/>
  <c r="AE168" i="15" s="1"/>
  <c r="AE251" i="15" s="1"/>
  <c r="AF172" i="15"/>
  <c r="AF168" i="15" s="1"/>
  <c r="AF251" i="15" s="1"/>
  <c r="AF425" i="15"/>
  <c r="AF428" i="15" s="1"/>
  <c r="AF170" i="15"/>
  <c r="AF426" i="15"/>
  <c r="AF429" i="15" s="1"/>
  <c r="AG170" i="15"/>
  <c r="AG425" i="15"/>
  <c r="AG428" i="15" s="1"/>
  <c r="AG426" i="15"/>
  <c r="AG429" i="15" s="1"/>
  <c r="AG172" i="15"/>
  <c r="AG168" i="15" s="1"/>
  <c r="AG251" i="15" s="1"/>
  <c r="AH170" i="15"/>
  <c r="AH425" i="15"/>
  <c r="AH428" i="15" s="1"/>
  <c r="AH172" i="15"/>
  <c r="AH168" i="15" s="1"/>
  <c r="AH251" i="15" s="1"/>
  <c r="AH426" i="15"/>
  <c r="AH429" i="15" s="1"/>
  <c r="AI172" i="15"/>
  <c r="AI168" i="15" s="1"/>
  <c r="AI251" i="15" s="1"/>
  <c r="AI170" i="15"/>
  <c r="AI426" i="15"/>
  <c r="AI429" i="15" s="1"/>
  <c r="AI425" i="15"/>
  <c r="AI428" i="15" s="1"/>
  <c r="AJ170" i="15"/>
  <c r="AJ425" i="15"/>
  <c r="AJ428" i="15" s="1"/>
  <c r="AJ426" i="15"/>
  <c r="AJ429" i="15" s="1"/>
  <c r="AJ172" i="15"/>
  <c r="AJ168" i="15" s="1"/>
  <c r="AJ251" i="15" s="1"/>
  <c r="AK426" i="15"/>
  <c r="AK429" i="15" s="1"/>
  <c r="AK172" i="15"/>
  <c r="AK168" i="15" s="1"/>
  <c r="AK251" i="15" s="1"/>
  <c r="AK425" i="15"/>
  <c r="AK428" i="15" s="1"/>
  <c r="AK170" i="15"/>
  <c r="AL170" i="15"/>
  <c r="AL425" i="15"/>
  <c r="AL428" i="15" s="1"/>
  <c r="AL426" i="15"/>
  <c r="AL429" i="15" s="1"/>
  <c r="AL172" i="15"/>
  <c r="AL168" i="15" s="1"/>
  <c r="AL251" i="15" s="1"/>
  <c r="AM170" i="15"/>
  <c r="AM425" i="15"/>
  <c r="AM428" i="15" s="1"/>
  <c r="AM172" i="15"/>
  <c r="AM168" i="15" s="1"/>
  <c r="AM251" i="15" s="1"/>
  <c r="AM426" i="15"/>
  <c r="AM429" i="15" s="1"/>
  <c r="AN172" i="15"/>
  <c r="AN168" i="15" s="1"/>
  <c r="AN251" i="15" s="1"/>
  <c r="AN170" i="15"/>
  <c r="AN425" i="15"/>
  <c r="AN428" i="15" s="1"/>
  <c r="AN426" i="15"/>
  <c r="AN429" i="15" s="1"/>
  <c r="AO425" i="15"/>
  <c r="AO428" i="15" s="1"/>
  <c r="AO170" i="15"/>
  <c r="AO426" i="15"/>
  <c r="AO429" i="15" s="1"/>
  <c r="AO172" i="15"/>
  <c r="AO168" i="15" s="1"/>
  <c r="AO251" i="15" s="1"/>
  <c r="AP172" i="15"/>
  <c r="AP168" i="15" s="1"/>
  <c r="AP251" i="15" s="1"/>
  <c r="AP426" i="15"/>
  <c r="AP429" i="15" s="1"/>
  <c r="AP170" i="15"/>
  <c r="AP425" i="15"/>
  <c r="AP428" i="15" s="1"/>
  <c r="AQ425" i="15"/>
  <c r="AQ428" i="15" s="1"/>
  <c r="AQ426" i="15"/>
  <c r="AQ429" i="15" s="1"/>
  <c r="AQ172" i="15"/>
  <c r="AQ168" i="15" s="1"/>
  <c r="AQ251" i="15" s="1"/>
  <c r="AQ170" i="15"/>
  <c r="AR170" i="15"/>
  <c r="AR172" i="15"/>
  <c r="AR168" i="15" s="1"/>
  <c r="AR251" i="15" s="1"/>
  <c r="AR426" i="15"/>
  <c r="AR429" i="15" s="1"/>
  <c r="AR425" i="15"/>
  <c r="AR428" i="15" s="1"/>
  <c r="AS172" i="15"/>
  <c r="AS168" i="15" s="1"/>
  <c r="AS251" i="15" s="1"/>
  <c r="AS425" i="15"/>
  <c r="AS428" i="15" s="1"/>
  <c r="AS170" i="15"/>
  <c r="AS426" i="15"/>
  <c r="AS429" i="15" s="1"/>
  <c r="AT426" i="15"/>
  <c r="AT429" i="15" s="1"/>
  <c r="AT172" i="15"/>
  <c r="AT168" i="15" s="1"/>
  <c r="AT251" i="15" s="1"/>
  <c r="AT170" i="15"/>
  <c r="AT425" i="15"/>
  <c r="AT428" i="15" s="1"/>
  <c r="AU172" i="15"/>
  <c r="AU168" i="15" s="1"/>
  <c r="AU251" i="15" s="1"/>
  <c r="AU170" i="15"/>
  <c r="AU425" i="15"/>
  <c r="AU428" i="15" s="1"/>
  <c r="AU426" i="15"/>
  <c r="AU429" i="15" s="1"/>
  <c r="AV172" i="15"/>
  <c r="AV168" i="15" s="1"/>
  <c r="AV251" i="15" s="1"/>
  <c r="AV170" i="15"/>
  <c r="AV426" i="15"/>
  <c r="AV429" i="15" s="1"/>
  <c r="AV425" i="15"/>
  <c r="AV428" i="15" s="1"/>
  <c r="AW172" i="15"/>
  <c r="AW168" i="15" s="1"/>
  <c r="AW251" i="15" s="1"/>
  <c r="AW170" i="15"/>
  <c r="AW425" i="15"/>
  <c r="AW428" i="15" s="1"/>
  <c r="AW426" i="15"/>
  <c r="AW429" i="15" s="1"/>
  <c r="AX170" i="15"/>
  <c r="AX426" i="15"/>
  <c r="AX429" i="15" s="1"/>
  <c r="AX172" i="15"/>
  <c r="AX168" i="15" s="1"/>
  <c r="AX251" i="15" s="1"/>
  <c r="AX425" i="15"/>
  <c r="AX428" i="15" s="1"/>
  <c r="AY425" i="15"/>
  <c r="AY428" i="15" s="1"/>
  <c r="AY170" i="15"/>
  <c r="AY426" i="15"/>
  <c r="AY429" i="15" s="1"/>
  <c r="AY172" i="15"/>
  <c r="AY168" i="15" s="1"/>
  <c r="AY251" i="15" s="1"/>
  <c r="AZ172" i="15"/>
  <c r="AZ168" i="15" s="1"/>
  <c r="AZ251" i="15" s="1"/>
  <c r="AZ170" i="15"/>
  <c r="AZ426" i="15"/>
  <c r="AZ429" i="15" s="1"/>
  <c r="AZ425" i="15"/>
  <c r="AZ428" i="15" s="1"/>
  <c r="BA172" i="15"/>
  <c r="BA168" i="15" s="1"/>
  <c r="BA251" i="15" s="1"/>
  <c r="BA426" i="15"/>
  <c r="BA429" i="15" s="1"/>
  <c r="BA170" i="15"/>
  <c r="BA425" i="15"/>
  <c r="BA428" i="15" s="1"/>
  <c r="BB172" i="15"/>
  <c r="BB168" i="15" s="1"/>
  <c r="BB251" i="15" s="1"/>
  <c r="BB425" i="15"/>
  <c r="BB428" i="15" s="1"/>
  <c r="BB170" i="15"/>
  <c r="BB426" i="15"/>
  <c r="BB429" i="15" s="1"/>
  <c r="BC172" i="15"/>
  <c r="BC168" i="15" s="1"/>
  <c r="BC251" i="15" s="1"/>
  <c r="BC170" i="15"/>
  <c r="BC425" i="15"/>
  <c r="BC428" i="15" s="1"/>
  <c r="BC426" i="15"/>
  <c r="BC429" i="15" s="1"/>
  <c r="BD172" i="15"/>
  <c r="BD168" i="15" s="1"/>
  <c r="BD251" i="15" s="1"/>
  <c r="BD170" i="15"/>
  <c r="BD425" i="15"/>
  <c r="BD428" i="15" s="1"/>
  <c r="BD426" i="15"/>
  <c r="BD429" i="15" s="1"/>
  <c r="BE172" i="15"/>
  <c r="BE168" i="15" s="1"/>
  <c r="BE251" i="15" s="1"/>
  <c r="BE170" i="15"/>
  <c r="BE425" i="15"/>
  <c r="BE428" i="15" s="1"/>
  <c r="BE426" i="15"/>
  <c r="BE429" i="15" s="1"/>
  <c r="BF425" i="15"/>
  <c r="BF428" i="15" s="1"/>
  <c r="BF170" i="15"/>
  <c r="BF426" i="15"/>
  <c r="BF429" i="15" s="1"/>
  <c r="BF172" i="15"/>
  <c r="BF168" i="15" s="1"/>
  <c r="BF251" i="15" s="1"/>
  <c r="BG170" i="15"/>
  <c r="BG425" i="15"/>
  <c r="BG428" i="15" s="1"/>
  <c r="BG426" i="15"/>
  <c r="BG429" i="15" s="1"/>
  <c r="BG172" i="15"/>
  <c r="BG168" i="15" s="1"/>
  <c r="BG251" i="15" s="1"/>
  <c r="BH170" i="15"/>
  <c r="BH425" i="15"/>
  <c r="BH428" i="15" s="1"/>
  <c r="BH426" i="15"/>
  <c r="BH429" i="15" s="1"/>
  <c r="BH172" i="15"/>
  <c r="BH168" i="15" s="1"/>
  <c r="BH251" i="15" s="1"/>
  <c r="BI170" i="15"/>
  <c r="BI425" i="15"/>
  <c r="BI428" i="15" s="1"/>
  <c r="BI172" i="15"/>
  <c r="BI168" i="15" s="1"/>
  <c r="BI251" i="15" s="1"/>
  <c r="BI426" i="15"/>
  <c r="BI429" i="15" s="1"/>
  <c r="BJ172" i="15"/>
  <c r="BJ168" i="15" s="1"/>
  <c r="BJ251" i="15" s="1"/>
  <c r="BJ425" i="15"/>
  <c r="BJ428" i="15" s="1"/>
  <c r="BJ170" i="15"/>
  <c r="BJ426" i="15"/>
  <c r="BJ429" i="15" s="1"/>
  <c r="BK170" i="15"/>
  <c r="BK426" i="15"/>
  <c r="BK429" i="15" s="1"/>
  <c r="BK172" i="15"/>
  <c r="BK168" i="15" s="1"/>
  <c r="BK251" i="15" s="1"/>
  <c r="BK425" i="15"/>
  <c r="BK428" i="15" s="1"/>
  <c r="BL426" i="15"/>
  <c r="BL429" i="15" s="1"/>
  <c r="BL425" i="15"/>
  <c r="BL428" i="15" s="1"/>
  <c r="BL172" i="15"/>
  <c r="BL168" i="15" s="1"/>
  <c r="BL251" i="15" s="1"/>
  <c r="BL170" i="15"/>
  <c r="BM172" i="15"/>
  <c r="BM168" i="15" s="1"/>
  <c r="BM251" i="15" s="1"/>
  <c r="BM426" i="15"/>
  <c r="BM429" i="15" s="1"/>
  <c r="BM170" i="15"/>
  <c r="BM425" i="15"/>
  <c r="BM428" i="15" s="1"/>
  <c r="BN172" i="15"/>
  <c r="BN168" i="15" s="1"/>
  <c r="BN251" i="15" s="1"/>
  <c r="BN425" i="15"/>
  <c r="BN428" i="15" s="1"/>
  <c r="BN170" i="15"/>
  <c r="BN426" i="15"/>
  <c r="BN429" i="15" s="1"/>
  <c r="BO172" i="15"/>
  <c r="BO168" i="15" s="1"/>
  <c r="BO251" i="15" s="1"/>
  <c r="BO425" i="15"/>
  <c r="BO428" i="15" s="1"/>
  <c r="BO170" i="15"/>
  <c r="BO426" i="15"/>
  <c r="BO429" i="15" s="1"/>
  <c r="BP172" i="15"/>
  <c r="BP168" i="15" s="1"/>
  <c r="BP251" i="15" s="1"/>
  <c r="BP425" i="15"/>
  <c r="BP428" i="15" s="1"/>
  <c r="BP170" i="15"/>
  <c r="BP426" i="15"/>
  <c r="BP429" i="15" s="1"/>
  <c r="BQ426" i="15"/>
  <c r="BQ429" i="15" s="1"/>
  <c r="BQ172" i="15"/>
  <c r="BQ168" i="15" s="1"/>
  <c r="BQ251" i="15" s="1"/>
  <c r="BQ425" i="15"/>
  <c r="BQ428" i="15" s="1"/>
  <c r="BQ170" i="15"/>
  <c r="L4" i="11"/>
  <c r="M404" i="11"/>
  <c r="M407" i="11" s="1"/>
  <c r="M403" i="11"/>
  <c r="M406" i="11" s="1"/>
  <c r="M160" i="11"/>
  <c r="N404" i="11"/>
  <c r="N407" i="11" s="1"/>
  <c r="N160" i="11"/>
  <c r="N403" i="11"/>
  <c r="N406" i="11" s="1"/>
  <c r="O404" i="11"/>
  <c r="O407" i="11" s="1"/>
  <c r="O403" i="11"/>
  <c r="O406" i="11" s="1"/>
  <c r="O160" i="11"/>
  <c r="P160" i="11"/>
  <c r="P404" i="11"/>
  <c r="P407" i="11" s="1"/>
  <c r="P403" i="11"/>
  <c r="P406" i="11" s="1"/>
  <c r="Q404" i="11"/>
  <c r="Q407" i="11" s="1"/>
  <c r="Q160" i="11"/>
  <c r="Q158" i="11" s="1"/>
  <c r="Q230" i="11" s="1"/>
  <c r="Q403" i="11"/>
  <c r="Q406" i="11" s="1"/>
  <c r="R404" i="11"/>
  <c r="R407" i="11" s="1"/>
  <c r="R403" i="11"/>
  <c r="R406" i="11" s="1"/>
  <c r="R160" i="11"/>
  <c r="S160" i="11"/>
  <c r="S403" i="11"/>
  <c r="S406" i="11" s="1"/>
  <c r="S404" i="11"/>
  <c r="S407" i="11" s="1"/>
  <c r="T160" i="11"/>
  <c r="T158" i="11" s="1"/>
  <c r="T230" i="11" s="1"/>
  <c r="T403" i="11"/>
  <c r="T406" i="11" s="1"/>
  <c r="T404" i="11"/>
  <c r="T407" i="11" s="1"/>
  <c r="U404" i="11"/>
  <c r="U407" i="11" s="1"/>
  <c r="U403" i="11"/>
  <c r="U406" i="11" s="1"/>
  <c r="U160" i="11"/>
  <c r="V404" i="11"/>
  <c r="V407" i="11" s="1"/>
  <c r="V403" i="11"/>
  <c r="V406" i="11" s="1"/>
  <c r="V160" i="11"/>
  <c r="V158" i="11" s="1"/>
  <c r="V230" i="11" s="1"/>
  <c r="W404" i="11"/>
  <c r="W407" i="11" s="1"/>
  <c r="W403" i="11"/>
  <c r="W406" i="11" s="1"/>
  <c r="W160" i="11"/>
  <c r="X404" i="11"/>
  <c r="X407" i="11" s="1"/>
  <c r="X160" i="11"/>
  <c r="X403" i="11"/>
  <c r="X406" i="11" s="1"/>
  <c r="Y403" i="11"/>
  <c r="Y406" i="11" s="1"/>
  <c r="Y404" i="11"/>
  <c r="Y407" i="11" s="1"/>
  <c r="Y160" i="11"/>
  <c r="Z160" i="11"/>
  <c r="Z404" i="11"/>
  <c r="Z407" i="11" s="1"/>
  <c r="Z403" i="11"/>
  <c r="Z406" i="11" s="1"/>
  <c r="AA404" i="11"/>
  <c r="AA407" i="11" s="1"/>
  <c r="AA160" i="11"/>
  <c r="AA403" i="11"/>
  <c r="AA406" i="11" s="1"/>
  <c r="AB160" i="11"/>
  <c r="AB404" i="11"/>
  <c r="AB407" i="11" s="1"/>
  <c r="AB403" i="11"/>
  <c r="AB406" i="11" s="1"/>
  <c r="AC404" i="11"/>
  <c r="AC407" i="11" s="1"/>
  <c r="AC403" i="11"/>
  <c r="AC406" i="11" s="1"/>
  <c r="AC160" i="11"/>
  <c r="AD160" i="11"/>
  <c r="AD158" i="11" s="1"/>
  <c r="AD230" i="11" s="1"/>
  <c r="AD404" i="11"/>
  <c r="AD407" i="11" s="1"/>
  <c r="AD403" i="11"/>
  <c r="AD406" i="11" s="1"/>
  <c r="AE160" i="11"/>
  <c r="AE404" i="11"/>
  <c r="AE407" i="11" s="1"/>
  <c r="AE403" i="11"/>
  <c r="AE406" i="11" s="1"/>
  <c r="AF403" i="11"/>
  <c r="AF406" i="11" s="1"/>
  <c r="AF160" i="11"/>
  <c r="AF158" i="11" s="1"/>
  <c r="AF230" i="11" s="1"/>
  <c r="AF404" i="11"/>
  <c r="AF407" i="11" s="1"/>
  <c r="AG160" i="11"/>
  <c r="AG158" i="11" s="1"/>
  <c r="AG230" i="11" s="1"/>
  <c r="AG404" i="11"/>
  <c r="AG407" i="11" s="1"/>
  <c r="AG403" i="11"/>
  <c r="AG406" i="11" s="1"/>
  <c r="AH404" i="11"/>
  <c r="AH407" i="11" s="1"/>
  <c r="AH403" i="11"/>
  <c r="AH406" i="11" s="1"/>
  <c r="AH160" i="11"/>
  <c r="AI404" i="11"/>
  <c r="AI407" i="11" s="1"/>
  <c r="AI160" i="11"/>
  <c r="AI158" i="11" s="1"/>
  <c r="AI230" i="11" s="1"/>
  <c r="AI403" i="11"/>
  <c r="AI406" i="11" s="1"/>
  <c r="AJ404" i="11"/>
  <c r="AJ407" i="11" s="1"/>
  <c r="AJ160" i="11"/>
  <c r="AJ158" i="11" s="1"/>
  <c r="AJ230" i="11" s="1"/>
  <c r="AJ403" i="11"/>
  <c r="AJ406" i="11" s="1"/>
  <c r="AK160" i="11"/>
  <c r="AK404" i="11"/>
  <c r="AK407" i="11" s="1"/>
  <c r="AK403" i="11"/>
  <c r="AK406" i="11" s="1"/>
  <c r="AL160" i="11"/>
  <c r="AL404" i="11"/>
  <c r="AL407" i="11" s="1"/>
  <c r="AL403" i="11"/>
  <c r="AL406" i="11" s="1"/>
  <c r="AM160" i="11"/>
  <c r="AM158" i="11" s="1"/>
  <c r="AM230" i="11" s="1"/>
  <c r="AM404" i="11"/>
  <c r="AM407" i="11" s="1"/>
  <c r="AM403" i="11"/>
  <c r="AM406" i="11" s="1"/>
  <c r="AN403" i="11"/>
  <c r="AN406" i="11" s="1"/>
  <c r="AN160" i="11"/>
  <c r="AN158" i="11" s="1"/>
  <c r="AN230" i="11" s="1"/>
  <c r="AN404" i="11"/>
  <c r="AN407" i="11" s="1"/>
  <c r="AO404" i="11"/>
  <c r="AO407" i="11" s="1"/>
  <c r="AO160" i="11"/>
  <c r="AO403" i="11"/>
  <c r="AO406" i="11" s="1"/>
  <c r="AP403" i="11"/>
  <c r="AP406" i="11" s="1"/>
  <c r="AP404" i="11"/>
  <c r="AP407" i="11" s="1"/>
  <c r="AP160" i="11"/>
  <c r="AP158" i="11" s="1"/>
  <c r="AP230" i="11" s="1"/>
  <c r="AQ403" i="11"/>
  <c r="AQ406" i="11" s="1"/>
  <c r="AQ404" i="11"/>
  <c r="AQ407" i="11" s="1"/>
  <c r="AQ160" i="11"/>
  <c r="AQ158" i="11" s="1"/>
  <c r="AQ230" i="11" s="1"/>
  <c r="AR403" i="11"/>
  <c r="AR406" i="11" s="1"/>
  <c r="AR404" i="11"/>
  <c r="AR407" i="11" s="1"/>
  <c r="AR160" i="11"/>
  <c r="AR158" i="11" s="1"/>
  <c r="AR230" i="11" s="1"/>
  <c r="AS404" i="11"/>
  <c r="AS407" i="11" s="1"/>
  <c r="AS403" i="11"/>
  <c r="AS406" i="11" s="1"/>
  <c r="AS160" i="11"/>
  <c r="AT160" i="11"/>
  <c r="AT404" i="11"/>
  <c r="AT407" i="11" s="1"/>
  <c r="AT403" i="11"/>
  <c r="AT406" i="11" s="1"/>
  <c r="AU404" i="11"/>
  <c r="AU407" i="11" s="1"/>
  <c r="AU160" i="11"/>
  <c r="AU158" i="11" s="1"/>
  <c r="AU230" i="11" s="1"/>
  <c r="AU403" i="11"/>
  <c r="AU406" i="11" s="1"/>
  <c r="AV404" i="11"/>
  <c r="AV407" i="11" s="1"/>
  <c r="AV160" i="11"/>
  <c r="AV158" i="11" s="1"/>
  <c r="AV230" i="11" s="1"/>
  <c r="AV403" i="11"/>
  <c r="AV406" i="11" s="1"/>
  <c r="AW404" i="11"/>
  <c r="AW407" i="11" s="1"/>
  <c r="AW160" i="11"/>
  <c r="AW403" i="11"/>
  <c r="AW406" i="11" s="1"/>
  <c r="AX160" i="11"/>
  <c r="AX158" i="11" s="1"/>
  <c r="AX230" i="11" s="1"/>
  <c r="AX404" i="11"/>
  <c r="AX407" i="11" s="1"/>
  <c r="AX403" i="11"/>
  <c r="AX406" i="11" s="1"/>
  <c r="AY403" i="11"/>
  <c r="AY406" i="11" s="1"/>
  <c r="AY160" i="11"/>
  <c r="AY158" i="11" s="1"/>
  <c r="AY230" i="11" s="1"/>
  <c r="AY404" i="11"/>
  <c r="AY407" i="11" s="1"/>
  <c r="AZ160" i="11"/>
  <c r="AZ404" i="11"/>
  <c r="AZ407" i="11" s="1"/>
  <c r="AZ403" i="11"/>
  <c r="AZ406" i="11" s="1"/>
  <c r="BA160" i="11"/>
  <c r="BA404" i="11"/>
  <c r="BA407" i="11" s="1"/>
  <c r="BA403" i="11"/>
  <c r="BA406" i="11" s="1"/>
  <c r="BB404" i="11"/>
  <c r="BB407" i="11" s="1"/>
  <c r="BB160" i="11"/>
  <c r="BB403" i="11"/>
  <c r="BB406" i="11" s="1"/>
  <c r="BC160" i="11"/>
  <c r="BC404" i="11"/>
  <c r="BC407" i="11" s="1"/>
  <c r="BC403" i="11"/>
  <c r="BC406" i="11" s="1"/>
  <c r="BD404" i="11"/>
  <c r="BD407" i="11" s="1"/>
  <c r="BD160" i="11"/>
  <c r="BD158" i="11" s="1"/>
  <c r="BD230" i="11" s="1"/>
  <c r="BD403" i="11"/>
  <c r="BD406" i="11" s="1"/>
  <c r="BE160" i="11"/>
  <c r="BE404" i="11"/>
  <c r="BE407" i="11" s="1"/>
  <c r="BE403" i="11"/>
  <c r="BE406" i="11" s="1"/>
  <c r="BF403" i="11"/>
  <c r="BF406" i="11" s="1"/>
  <c r="BF160" i="11"/>
  <c r="BF404" i="11"/>
  <c r="BF407" i="11" s="1"/>
  <c r="BG404" i="11"/>
  <c r="BG407" i="11" s="1"/>
  <c r="BG160" i="11"/>
  <c r="BG403" i="11"/>
  <c r="BG406" i="11" s="1"/>
  <c r="BG125" i="11"/>
  <c r="BH404" i="11"/>
  <c r="BH407" i="11" s="1"/>
  <c r="BH403" i="11"/>
  <c r="BH406" i="11" s="1"/>
  <c r="BH160" i="11"/>
  <c r="BH158" i="11" s="1"/>
  <c r="BH230" i="11" s="1"/>
  <c r="BI160" i="11"/>
  <c r="BI158" i="11" s="1"/>
  <c r="BI230" i="11" s="1"/>
  <c r="BI404" i="11"/>
  <c r="BI407" i="11" s="1"/>
  <c r="BI403" i="11"/>
  <c r="BI406" i="11" s="1"/>
  <c r="BJ404" i="11"/>
  <c r="BJ407" i="11" s="1"/>
  <c r="BJ160" i="11"/>
  <c r="BJ403" i="11"/>
  <c r="BJ406" i="11" s="1"/>
  <c r="BK403" i="11"/>
  <c r="BK406" i="11" s="1"/>
  <c r="BK160" i="11"/>
  <c r="BK404" i="11"/>
  <c r="BK407" i="11" s="1"/>
  <c r="BL403" i="11"/>
  <c r="BL406" i="11" s="1"/>
  <c r="BL404" i="11"/>
  <c r="BL407" i="11" s="1"/>
  <c r="BL160" i="11"/>
  <c r="BM160" i="11"/>
  <c r="BM404" i="11"/>
  <c r="BM407" i="11" s="1"/>
  <c r="BM403" i="11"/>
  <c r="BM406" i="11" s="1"/>
  <c r="BN160" i="11"/>
  <c r="BN158" i="11" s="1"/>
  <c r="BN230" i="11" s="1"/>
  <c r="BN404" i="11"/>
  <c r="BN407" i="11" s="1"/>
  <c r="BN403" i="11"/>
  <c r="BN406" i="11" s="1"/>
  <c r="BO160" i="11"/>
  <c r="BO158" i="11" s="1"/>
  <c r="BO230" i="11" s="1"/>
  <c r="BO404" i="11"/>
  <c r="BO407" i="11" s="1"/>
  <c r="BO403" i="11"/>
  <c r="BO406" i="11" s="1"/>
  <c r="BP160" i="11"/>
  <c r="BP404" i="11"/>
  <c r="BP407" i="11" s="1"/>
  <c r="BP403" i="11"/>
  <c r="BP406" i="11" s="1"/>
  <c r="BQ404" i="11"/>
  <c r="BQ407" i="11" s="1"/>
  <c r="BQ403" i="11"/>
  <c r="BQ406" i="11" s="1"/>
  <c r="BQ160" i="11"/>
  <c r="BR170" i="15"/>
  <c r="BP219" i="18"/>
  <c r="BP163" i="18"/>
  <c r="BP159" i="18" s="1"/>
  <c r="BP165" i="18"/>
  <c r="R152" i="20"/>
  <c r="N4" i="18"/>
  <c r="BL4" i="18"/>
  <c r="BR4" i="18"/>
  <c r="BM4" i="18"/>
  <c r="AK4" i="18"/>
  <c r="AP4" i="18"/>
  <c r="L4" i="18"/>
  <c r="AW4" i="18"/>
  <c r="AO4" i="18"/>
  <c r="BJ4" i="18"/>
  <c r="AZ4" i="18"/>
  <c r="U4" i="18"/>
  <c r="AL4" i="18"/>
  <c r="AY4" i="18"/>
  <c r="Q4" i="18"/>
  <c r="Q161" i="18" s="1"/>
  <c r="AS4" i="18"/>
  <c r="Y4" i="18"/>
  <c r="Z4" i="18"/>
  <c r="BF4" i="18"/>
  <c r="AQ4" i="18"/>
  <c r="AF4" i="18"/>
  <c r="BI4" i="18"/>
  <c r="M4" i="18"/>
  <c r="BQ4" i="18"/>
  <c r="V4" i="18"/>
  <c r="AT4" i="18"/>
  <c r="AE4" i="18"/>
  <c r="T4" i="18"/>
  <c r="AG4" i="18"/>
  <c r="AC4" i="18"/>
  <c r="BA4" i="18"/>
  <c r="BE4" i="18"/>
  <c r="AD4" i="18"/>
  <c r="BB4" i="18"/>
  <c r="S4" i="18"/>
  <c r="BK4" i="18"/>
  <c r="AR4" i="18"/>
  <c r="O4" i="18"/>
  <c r="AI4" i="18"/>
  <c r="BG4" i="18"/>
  <c r="P4" i="18"/>
  <c r="AJ4" i="18"/>
  <c r="BH4" i="18"/>
  <c r="AA4" i="18"/>
  <c r="AU4" i="18"/>
  <c r="BO4" i="18"/>
  <c r="AB4" i="18"/>
  <c r="AV4" i="18"/>
  <c r="R4" i="18"/>
  <c r="AH4" i="18"/>
  <c r="AX4" i="18"/>
  <c r="BN4" i="18"/>
  <c r="W4" i="18"/>
  <c r="AM4" i="18"/>
  <c r="BC4" i="18"/>
  <c r="BS4" i="18"/>
  <c r="X4" i="18"/>
  <c r="AN4" i="18"/>
  <c r="BD4" i="18"/>
  <c r="R210" i="20"/>
  <c r="R233" i="20" s="1"/>
  <c r="BD210" i="20"/>
  <c r="BD233" i="20" s="1"/>
  <c r="BL210" i="20"/>
  <c r="BL233" i="20" s="1"/>
  <c r="AI210" i="20"/>
  <c r="AI233" i="20" s="1"/>
  <c r="W156" i="20"/>
  <c r="W152" i="20" s="1"/>
  <c r="BL154" i="20"/>
  <c r="BL150" i="20" s="1"/>
  <c r="BL156" i="20"/>
  <c r="BL152" i="20" s="1"/>
  <c r="N156" i="20"/>
  <c r="AI156" i="20"/>
  <c r="AI152" i="20" s="1"/>
  <c r="AQ401" i="20"/>
  <c r="AQ404" i="20" s="1"/>
  <c r="AE401" i="20"/>
  <c r="AE404" i="20" s="1"/>
  <c r="AF400" i="20"/>
  <c r="AF403" i="20" s="1"/>
  <c r="BL401" i="20"/>
  <c r="BL404" i="20" s="1"/>
  <c r="BL400" i="20"/>
  <c r="BL403" i="20" s="1"/>
  <c r="BJ401" i="20"/>
  <c r="BJ404" i="20" s="1"/>
  <c r="AY400" i="20"/>
  <c r="AY403" i="20" s="1"/>
  <c r="R400" i="20"/>
  <c r="R403" i="20" s="1"/>
  <c r="BD400" i="20"/>
  <c r="BD403" i="20" s="1"/>
  <c r="BS107" i="8"/>
  <c r="BS5" i="20"/>
  <c r="W5" i="20"/>
  <c r="BI5" i="20"/>
  <c r="M5" i="20"/>
  <c r="BS108" i="8"/>
  <c r="BR115" i="10"/>
  <c r="BH114" i="8"/>
  <c r="BI112" i="8"/>
  <c r="BP411" i="18"/>
  <c r="BP414" i="18" s="1"/>
  <c r="BP412" i="18"/>
  <c r="BP415" i="18" s="1"/>
  <c r="L5" i="17" a="1"/>
  <c r="BG5" i="17" s="1"/>
  <c r="L5" i="18" a="1"/>
  <c r="AA172" i="10"/>
  <c r="AN172" i="10"/>
  <c r="BC172" i="10"/>
  <c r="M172" i="10"/>
  <c r="N172" i="10"/>
  <c r="AQ172" i="10"/>
  <c r="AZ172" i="10"/>
  <c r="BO172" i="10"/>
  <c r="AH172" i="10"/>
  <c r="X172" i="10"/>
  <c r="AM172" i="10"/>
  <c r="BJ172" i="10"/>
  <c r="AO172" i="10"/>
  <c r="AC172" i="10"/>
  <c r="AJ172" i="10"/>
  <c r="AY172" i="10"/>
  <c r="S172" i="10"/>
  <c r="BF172" i="10"/>
  <c r="Z172" i="10"/>
  <c r="BE172" i="10"/>
  <c r="BM172" i="10"/>
  <c r="R172" i="10"/>
  <c r="BL172" i="10"/>
  <c r="AF172" i="10"/>
  <c r="Y172" i="10"/>
  <c r="AU172" i="10"/>
  <c r="O172" i="10"/>
  <c r="BR172" i="10"/>
  <c r="AL172" i="10"/>
  <c r="BQ172" i="10"/>
  <c r="AW169" i="10"/>
  <c r="AN169" i="10"/>
  <c r="BA169" i="10"/>
  <c r="AP169" i="10"/>
  <c r="O169" i="10"/>
  <c r="AV169" i="10"/>
  <c r="AR169" i="10"/>
  <c r="AU169" i="10"/>
  <c r="BM169" i="10"/>
  <c r="AA169" i="10"/>
  <c r="BQ169" i="10"/>
  <c r="AO169" i="10"/>
  <c r="N169" i="10"/>
  <c r="AT169" i="10"/>
  <c r="S169" i="10"/>
  <c r="BD169" i="10"/>
  <c r="AZ169" i="10"/>
  <c r="AG169" i="10"/>
  <c r="BR169" i="10"/>
  <c r="BO169" i="10"/>
  <c r="BP169" i="10"/>
  <c r="AM169" i="10"/>
  <c r="AC169" i="10"/>
  <c r="BI169" i="10"/>
  <c r="AH169" i="10"/>
  <c r="BN169" i="10"/>
  <c r="AF169" i="10"/>
  <c r="T169" i="10"/>
  <c r="X169" i="10"/>
  <c r="AB169" i="10"/>
  <c r="U166" i="10"/>
  <c r="BA166" i="10"/>
  <c r="Z166" i="10"/>
  <c r="BF166" i="10"/>
  <c r="AM166" i="10"/>
  <c r="AN166" i="10"/>
  <c r="Y166" i="10"/>
  <c r="BE166" i="10"/>
  <c r="AD166" i="10"/>
  <c r="BJ166" i="10"/>
  <c r="AZ166" i="10"/>
  <c r="AU166" i="10"/>
  <c r="AV166" i="10"/>
  <c r="U172" i="10"/>
  <c r="AW172" i="10"/>
  <c r="W172" i="10"/>
  <c r="AT172" i="10"/>
  <c r="AR172" i="10"/>
  <c r="AX172" i="10"/>
  <c r="T172" i="10"/>
  <c r="AB172" i="10"/>
  <c r="BD172" i="10"/>
  <c r="BS172" i="10"/>
  <c r="BA172" i="10"/>
  <c r="AD172" i="10"/>
  <c r="Q172" i="10"/>
  <c r="BP172" i="10"/>
  <c r="AK172" i="10"/>
  <c r="AI172" i="10"/>
  <c r="AS172" i="10"/>
  <c r="AP172" i="10"/>
  <c r="BH172" i="10"/>
  <c r="BG172" i="10"/>
  <c r="BN172" i="10"/>
  <c r="BI172" i="10"/>
  <c r="AV172" i="10"/>
  <c r="P172" i="10"/>
  <c r="BK172" i="10"/>
  <c r="AE172" i="10"/>
  <c r="AG172" i="10"/>
  <c r="BB172" i="10"/>
  <c r="V172" i="10"/>
  <c r="AL169" i="10"/>
  <c r="U169" i="10"/>
  <c r="Z169" i="10"/>
  <c r="BF169" i="10"/>
  <c r="AE169" i="10"/>
  <c r="AQ169" i="10"/>
  <c r="BS169" i="10"/>
  <c r="Q169" i="10"/>
  <c r="BB169" i="10"/>
  <c r="AK169" i="10"/>
  <c r="Y169" i="10"/>
  <c r="BE169" i="10"/>
  <c r="AD169" i="10"/>
  <c r="BJ169" i="10"/>
  <c r="P169" i="10"/>
  <c r="AY169" i="10"/>
  <c r="BC169" i="10"/>
  <c r="V169" i="10"/>
  <c r="AI169" i="10"/>
  <c r="AJ169" i="10"/>
  <c r="BK169" i="10"/>
  <c r="M169" i="10"/>
  <c r="AS169" i="10"/>
  <c r="R169" i="10"/>
  <c r="AX169" i="10"/>
  <c r="W169" i="10"/>
  <c r="BL169" i="10"/>
  <c r="BG169" i="10"/>
  <c r="BH169" i="10"/>
  <c r="AK166" i="10"/>
  <c r="BQ166" i="10"/>
  <c r="AP166" i="10"/>
  <c r="AR166" i="10"/>
  <c r="BS166" i="10"/>
  <c r="BG166" i="10"/>
  <c r="AO166" i="10"/>
  <c r="AT166" i="10"/>
  <c r="AI166" i="10"/>
  <c r="AC166" i="10"/>
  <c r="BI166" i="10"/>
  <c r="AH166" i="10"/>
  <c r="BN166" i="10"/>
  <c r="BH166" i="10"/>
  <c r="BC166" i="10"/>
  <c r="BD166" i="10"/>
  <c r="AQ166" i="10"/>
  <c r="Q166" i="10"/>
  <c r="AW166" i="10"/>
  <c r="V166" i="10"/>
  <c r="BB166" i="10"/>
  <c r="AJ166" i="10"/>
  <c r="AE166" i="10"/>
  <c r="AF166" i="10"/>
  <c r="AY166" i="10"/>
  <c r="AH157" i="10"/>
  <c r="P157" i="10"/>
  <c r="AG157" i="10"/>
  <c r="BM157" i="10"/>
  <c r="AL157" i="10"/>
  <c r="BR157" i="10"/>
  <c r="BH157" i="10"/>
  <c r="BC157" i="10"/>
  <c r="BD157" i="10"/>
  <c r="S157" i="10"/>
  <c r="BI157" i="10"/>
  <c r="T157" i="10"/>
  <c r="AU157" i="10"/>
  <c r="BO157" i="10"/>
  <c r="AK157" i="10"/>
  <c r="BQ157" i="10"/>
  <c r="AP157" i="10"/>
  <c r="AJ157" i="10"/>
  <c r="AE157" i="10"/>
  <c r="AF157" i="10"/>
  <c r="AY157" i="10"/>
  <c r="AS157" i="10"/>
  <c r="BN157" i="10"/>
  <c r="AO157" i="10"/>
  <c r="N157" i="10"/>
  <c r="AT157" i="10"/>
  <c r="AR157" i="10"/>
  <c r="BS157" i="10"/>
  <c r="BG157" i="10"/>
  <c r="AW154" i="10"/>
  <c r="V154" i="10"/>
  <c r="X154" i="10"/>
  <c r="T154" i="10"/>
  <c r="U154" i="10"/>
  <c r="BA154" i="10"/>
  <c r="Z154" i="10"/>
  <c r="BF154" i="10"/>
  <c r="BL154" i="10"/>
  <c r="BG154" i="10"/>
  <c r="BH154" i="10"/>
  <c r="AM154" i="10"/>
  <c r="AL154" i="10"/>
  <c r="BD154" i="10"/>
  <c r="AZ154" i="10"/>
  <c r="Y154" i="10"/>
  <c r="BE154" i="10"/>
  <c r="AD154" i="10"/>
  <c r="BJ154" i="10"/>
  <c r="AI154" i="10"/>
  <c r="AJ154" i="10"/>
  <c r="O154" i="10"/>
  <c r="M154" i="10"/>
  <c r="AS154" i="10"/>
  <c r="R154" i="10"/>
  <c r="AX154" i="10"/>
  <c r="P154" i="10"/>
  <c r="AQ154" i="10"/>
  <c r="AU154" i="10"/>
  <c r="AO169" i="8"/>
  <c r="AR169" i="8"/>
  <c r="BE169" i="8"/>
  <c r="BG169" i="8"/>
  <c r="AA169" i="8"/>
  <c r="AC169" i="8"/>
  <c r="AX169" i="8"/>
  <c r="R169" i="8"/>
  <c r="AN169" i="8"/>
  <c r="AW169" i="8"/>
  <c r="BC169" i="8"/>
  <c r="W169" i="8"/>
  <c r="M169" i="8"/>
  <c r="AT169" i="8"/>
  <c r="N169" i="8"/>
  <c r="AJ169" i="8"/>
  <c r="BO169" i="8"/>
  <c r="P166" i="10"/>
  <c r="AZ172" i="5"/>
  <c r="BH172" i="5"/>
  <c r="N166" i="10"/>
  <c r="O166" i="10"/>
  <c r="M166" i="10"/>
  <c r="AS166" i="10"/>
  <c r="R166" i="10"/>
  <c r="AX166" i="10"/>
  <c r="AB166" i="10"/>
  <c r="W166" i="10"/>
  <c r="X166" i="10"/>
  <c r="BO166" i="10"/>
  <c r="S166" i="10"/>
  <c r="AG166" i="10"/>
  <c r="BM166" i="10"/>
  <c r="AL166" i="10"/>
  <c r="BR166" i="10"/>
  <c r="BP166" i="10"/>
  <c r="BK166" i="10"/>
  <c r="BL166" i="10"/>
  <c r="AA166" i="10"/>
  <c r="AC157" i="10"/>
  <c r="O157" i="10"/>
  <c r="Q157" i="10"/>
  <c r="AW157" i="10"/>
  <c r="V157" i="10"/>
  <c r="BB157" i="10"/>
  <c r="AB157" i="10"/>
  <c r="W157" i="10"/>
  <c r="X157" i="10"/>
  <c r="AQ157" i="10"/>
  <c r="M157" i="10"/>
  <c r="AX157" i="10"/>
  <c r="AZ157" i="10"/>
  <c r="AV157" i="10"/>
  <c r="U157" i="10"/>
  <c r="BA157" i="10"/>
  <c r="Z157" i="10"/>
  <c r="BF157" i="10"/>
  <c r="BP157" i="10"/>
  <c r="BK157" i="10"/>
  <c r="BL157" i="10"/>
  <c r="AA157" i="10"/>
  <c r="R157" i="10"/>
  <c r="Y157" i="10"/>
  <c r="BE157" i="10"/>
  <c r="AD157" i="10"/>
  <c r="BJ157" i="10"/>
  <c r="AM157" i="10"/>
  <c r="AN157" i="10"/>
  <c r="AI157" i="10"/>
  <c r="Q154" i="10"/>
  <c r="BM154" i="10"/>
  <c r="BB154" i="10"/>
  <c r="AY154" i="10"/>
  <c r="AE154" i="10"/>
  <c r="AK154" i="10"/>
  <c r="BQ154" i="10"/>
  <c r="AP154" i="10"/>
  <c r="AF154" i="10"/>
  <c r="AA154" i="10"/>
  <c r="AB154" i="10"/>
  <c r="BK154" i="10"/>
  <c r="AG154" i="10"/>
  <c r="BR154" i="10"/>
  <c r="S154" i="10"/>
  <c r="BC154" i="10"/>
  <c r="AO154" i="10"/>
  <c r="N154" i="10"/>
  <c r="AT154" i="10"/>
  <c r="AN154" i="10"/>
  <c r="BO154" i="10"/>
  <c r="BP154" i="10"/>
  <c r="BS154" i="10"/>
  <c r="AC154" i="10"/>
  <c r="BI154" i="10"/>
  <c r="AH154" i="10"/>
  <c r="BN154" i="10"/>
  <c r="AV154" i="10"/>
  <c r="AR154" i="10"/>
  <c r="W154" i="10"/>
  <c r="AZ169" i="8"/>
  <c r="BH169" i="8"/>
  <c r="AB169" i="8"/>
  <c r="Q169" i="8"/>
  <c r="AQ169" i="8"/>
  <c r="BM169" i="8"/>
  <c r="BN169" i="8"/>
  <c r="AH169" i="8"/>
  <c r="BD169" i="8"/>
  <c r="X169" i="8"/>
  <c r="BS169" i="8"/>
  <c r="AM169" i="8"/>
  <c r="BA169" i="8"/>
  <c r="BJ169" i="8"/>
  <c r="AD169" i="8"/>
  <c r="BP169" i="8"/>
  <c r="AK169" i="8"/>
  <c r="T166" i="10"/>
  <c r="AR172" i="5"/>
  <c r="BG172" i="5"/>
  <c r="AC172" i="5"/>
  <c r="R172" i="5"/>
  <c r="AW172" i="5"/>
  <c r="W172" i="5"/>
  <c r="AT172" i="5"/>
  <c r="AJ172" i="5"/>
  <c r="AY169" i="8"/>
  <c r="S169" i="8"/>
  <c r="BF169" i="8"/>
  <c r="Z169" i="8"/>
  <c r="T169" i="8"/>
  <c r="BL169" i="8"/>
  <c r="AF169" i="8"/>
  <c r="Y169" i="8"/>
  <c r="AU169" i="8"/>
  <c r="O169" i="8"/>
  <c r="BR169" i="8"/>
  <c r="AL169" i="8"/>
  <c r="BQ169" i="8"/>
  <c r="Q166" i="8"/>
  <c r="AW166" i="8"/>
  <c r="V166" i="8"/>
  <c r="BB166" i="8"/>
  <c r="AA166" i="8"/>
  <c r="AI166" i="8"/>
  <c r="AJ166" i="8"/>
  <c r="BK166" i="8"/>
  <c r="U166" i="8"/>
  <c r="BA166" i="8"/>
  <c r="Z166" i="8"/>
  <c r="BF166" i="8"/>
  <c r="AE166" i="8"/>
  <c r="AQ166" i="8"/>
  <c r="BS166" i="8"/>
  <c r="Y166" i="8"/>
  <c r="BE166" i="8"/>
  <c r="AD166" i="8"/>
  <c r="BJ166" i="8"/>
  <c r="P166" i="8"/>
  <c r="AY166" i="8"/>
  <c r="BC166" i="8"/>
  <c r="AC166" i="8"/>
  <c r="BI166" i="8"/>
  <c r="AH166" i="8"/>
  <c r="BN166" i="8"/>
  <c r="AF166" i="8"/>
  <c r="T166" i="8"/>
  <c r="X166" i="8"/>
  <c r="AB166" i="8"/>
  <c r="BA163" i="8"/>
  <c r="BG163" i="8"/>
  <c r="AP163" i="8"/>
  <c r="AN163" i="8"/>
  <c r="BE163" i="8"/>
  <c r="BJ163" i="8"/>
  <c r="AV163" i="8"/>
  <c r="M163" i="8"/>
  <c r="AS163" i="8"/>
  <c r="R163" i="8"/>
  <c r="AX163" i="8"/>
  <c r="AB163" i="8"/>
  <c r="W163" i="8"/>
  <c r="X163" i="8"/>
  <c r="BO163" i="8"/>
  <c r="S163" i="8"/>
  <c r="BQ163" i="8"/>
  <c r="AR163" i="8"/>
  <c r="AO163" i="8"/>
  <c r="AT163" i="8"/>
  <c r="O163" i="8"/>
  <c r="P163" i="8"/>
  <c r="AG163" i="8"/>
  <c r="BM163" i="8"/>
  <c r="AL163" i="8"/>
  <c r="BR163" i="8"/>
  <c r="BP163" i="8"/>
  <c r="BK163" i="8"/>
  <c r="BL163" i="8"/>
  <c r="AA163" i="8"/>
  <c r="M154" i="8"/>
  <c r="R154" i="8"/>
  <c r="AV154" i="8"/>
  <c r="Q154" i="8"/>
  <c r="AW154" i="8"/>
  <c r="V154" i="8"/>
  <c r="BB154" i="8"/>
  <c r="AB154" i="8"/>
  <c r="W154" i="8"/>
  <c r="X154" i="8"/>
  <c r="AQ154" i="8"/>
  <c r="AC154" i="8"/>
  <c r="T154" i="8"/>
  <c r="U154" i="8"/>
  <c r="BA154" i="8"/>
  <c r="Z154" i="8"/>
  <c r="BF154" i="8"/>
  <c r="BP154" i="8"/>
  <c r="BK154" i="8"/>
  <c r="BL154" i="8"/>
  <c r="AA154" i="8"/>
  <c r="AX154" i="8"/>
  <c r="AU154" i="8"/>
  <c r="Y154" i="8"/>
  <c r="BE154" i="8"/>
  <c r="AD154" i="8"/>
  <c r="BJ154" i="8"/>
  <c r="AM154" i="8"/>
  <c r="AN154" i="8"/>
  <c r="AI154" i="8"/>
  <c r="Q151" i="8"/>
  <c r="AW151" i="8"/>
  <c r="V151" i="8"/>
  <c r="BB151" i="8"/>
  <c r="X151" i="8"/>
  <c r="S151" i="8"/>
  <c r="T151" i="8"/>
  <c r="BC151" i="8"/>
  <c r="U151" i="8"/>
  <c r="BA151" i="8"/>
  <c r="Z151" i="8"/>
  <c r="BF151" i="8"/>
  <c r="BL151" i="8"/>
  <c r="BG151" i="8"/>
  <c r="BH151" i="8"/>
  <c r="AM151" i="8"/>
  <c r="AO151" i="8"/>
  <c r="N151" i="8"/>
  <c r="AT151" i="8"/>
  <c r="AN151" i="8"/>
  <c r="BO151" i="8"/>
  <c r="BP151" i="8"/>
  <c r="BS151" i="8"/>
  <c r="AC151" i="8"/>
  <c r="BI151" i="8"/>
  <c r="AH151" i="8"/>
  <c r="BN151" i="8"/>
  <c r="AV151" i="8"/>
  <c r="AR151" i="8"/>
  <c r="W151" i="8"/>
  <c r="O154" i="5"/>
  <c r="R154" i="5"/>
  <c r="AX154" i="5"/>
  <c r="AQ154" i="5"/>
  <c r="AB172" i="5"/>
  <c r="AQ172" i="5"/>
  <c r="BN172" i="5"/>
  <c r="BD172" i="5"/>
  <c r="BS172" i="5"/>
  <c r="BA172" i="5"/>
  <c r="AD172" i="5"/>
  <c r="AK172" i="5"/>
  <c r="AI172" i="5"/>
  <c r="AS172" i="5"/>
  <c r="AP172" i="5"/>
  <c r="U172" i="5"/>
  <c r="BI172" i="5"/>
  <c r="AV172" i="5"/>
  <c r="P172" i="5"/>
  <c r="BK172" i="5"/>
  <c r="AE172" i="5"/>
  <c r="AG172" i="5"/>
  <c r="BB172" i="5"/>
  <c r="V172" i="5"/>
  <c r="AG169" i="5"/>
  <c r="BM169" i="5"/>
  <c r="AL169" i="5"/>
  <c r="BR169" i="5"/>
  <c r="AN169" i="5"/>
  <c r="BO169" i="5"/>
  <c r="BP169" i="5"/>
  <c r="AM169" i="5"/>
  <c r="AK169" i="5"/>
  <c r="BQ169" i="5"/>
  <c r="AP169" i="5"/>
  <c r="O169" i="5"/>
  <c r="AV169" i="5"/>
  <c r="AR169" i="5"/>
  <c r="AU169" i="5"/>
  <c r="AO169" i="5"/>
  <c r="N169" i="5"/>
  <c r="AT169" i="5"/>
  <c r="S169" i="5"/>
  <c r="BD169" i="5"/>
  <c r="AZ169" i="5"/>
  <c r="M169" i="5"/>
  <c r="AS169" i="5"/>
  <c r="R169" i="5"/>
  <c r="AX169" i="5"/>
  <c r="W169" i="5"/>
  <c r="BL169" i="5"/>
  <c r="BG169" i="5"/>
  <c r="BH169" i="5"/>
  <c r="BF166" i="5"/>
  <c r="AK166" i="5"/>
  <c r="AM166" i="5"/>
  <c r="Y166" i="5"/>
  <c r="AD166" i="5"/>
  <c r="T166" i="5"/>
  <c r="AI166" i="5"/>
  <c r="AC166" i="5"/>
  <c r="BI166" i="5"/>
  <c r="AH166" i="5"/>
  <c r="BN166" i="5"/>
  <c r="BH166" i="5"/>
  <c r="BC166" i="5"/>
  <c r="BD166" i="5"/>
  <c r="AQ166" i="5"/>
  <c r="U166" i="5"/>
  <c r="Z166" i="5"/>
  <c r="BS166" i="5"/>
  <c r="N166" i="5"/>
  <c r="AZ166" i="5"/>
  <c r="AU166" i="5"/>
  <c r="Q166" i="5"/>
  <c r="AW166" i="5"/>
  <c r="V166" i="5"/>
  <c r="BB166" i="5"/>
  <c r="AJ166" i="5"/>
  <c r="AE166" i="5"/>
  <c r="AF166" i="5"/>
  <c r="AY166" i="5"/>
  <c r="BI157" i="5"/>
  <c r="BN157" i="5"/>
  <c r="BO157" i="5"/>
  <c r="AG157" i="5"/>
  <c r="BM157" i="5"/>
  <c r="AL157" i="5"/>
  <c r="BR157" i="5"/>
  <c r="BH157" i="5"/>
  <c r="BC157" i="5"/>
  <c r="BD157" i="5"/>
  <c r="S157" i="5"/>
  <c r="AH157" i="5"/>
  <c r="O157" i="5"/>
  <c r="AK157" i="5"/>
  <c r="BQ157" i="5"/>
  <c r="AP157" i="5"/>
  <c r="AJ157" i="5"/>
  <c r="AE157" i="5"/>
  <c r="AF157" i="5"/>
  <c r="AY157" i="5"/>
  <c r="AS157" i="5"/>
  <c r="AZ157" i="5"/>
  <c r="P157" i="5"/>
  <c r="AO157" i="5"/>
  <c r="N157" i="5"/>
  <c r="AT157" i="5"/>
  <c r="AR157" i="5"/>
  <c r="BS157" i="5"/>
  <c r="BG157" i="5"/>
  <c r="AG154" i="5"/>
  <c r="BM154" i="5"/>
  <c r="AL154" i="5"/>
  <c r="BR154" i="5"/>
  <c r="BD154" i="5"/>
  <c r="AY154" i="5"/>
  <c r="AZ154" i="5"/>
  <c r="AE154" i="5"/>
  <c r="AK154" i="5"/>
  <c r="BQ154" i="5"/>
  <c r="AP154" i="5"/>
  <c r="AF154" i="5"/>
  <c r="AA154" i="5"/>
  <c r="AB154" i="5"/>
  <c r="BK154" i="5"/>
  <c r="Y154" i="5"/>
  <c r="BE154" i="5"/>
  <c r="AD154" i="5"/>
  <c r="BJ154" i="5"/>
  <c r="AI154" i="5"/>
  <c r="AJ154" i="5"/>
  <c r="M154" i="5"/>
  <c r="AS154" i="5"/>
  <c r="P154" i="5"/>
  <c r="AU154" i="5"/>
  <c r="BE172" i="5"/>
  <c r="AA172" i="5"/>
  <c r="AX172" i="5"/>
  <c r="AN172" i="5"/>
  <c r="BC172" i="5"/>
  <c r="M172" i="5"/>
  <c r="N172" i="5"/>
  <c r="BO172" i="5"/>
  <c r="AI169" i="8"/>
  <c r="AS169" i="8"/>
  <c r="AP169" i="8"/>
  <c r="U169" i="8"/>
  <c r="BI169" i="8"/>
  <c r="AV169" i="8"/>
  <c r="P169" i="8"/>
  <c r="BK169" i="8"/>
  <c r="AE169" i="8"/>
  <c r="AG169" i="8"/>
  <c r="BB169" i="8"/>
  <c r="V169" i="8"/>
  <c r="AG166" i="8"/>
  <c r="BM166" i="8"/>
  <c r="AL166" i="8"/>
  <c r="BR166" i="8"/>
  <c r="AN166" i="8"/>
  <c r="BO166" i="8"/>
  <c r="BP166" i="8"/>
  <c r="AM166" i="8"/>
  <c r="AK166" i="8"/>
  <c r="BQ166" i="8"/>
  <c r="AP166" i="8"/>
  <c r="O166" i="8"/>
  <c r="AV166" i="8"/>
  <c r="AR166" i="8"/>
  <c r="AU166" i="8"/>
  <c r="AO166" i="8"/>
  <c r="N166" i="8"/>
  <c r="AT166" i="8"/>
  <c r="S166" i="8"/>
  <c r="BD166" i="8"/>
  <c r="AZ166" i="8"/>
  <c r="M166" i="8"/>
  <c r="AS166" i="8"/>
  <c r="R166" i="8"/>
  <c r="AX166" i="8"/>
  <c r="W166" i="8"/>
  <c r="BL166" i="8"/>
  <c r="BG166" i="8"/>
  <c r="BH166" i="8"/>
  <c r="BF163" i="8"/>
  <c r="AK163" i="8"/>
  <c r="AM163" i="8"/>
  <c r="Y163" i="8"/>
  <c r="AD163" i="8"/>
  <c r="T163" i="8"/>
  <c r="AI163" i="8"/>
  <c r="AC163" i="8"/>
  <c r="BI163" i="8"/>
  <c r="AH163" i="8"/>
  <c r="BN163" i="8"/>
  <c r="BH163" i="8"/>
  <c r="BC163" i="8"/>
  <c r="BD163" i="8"/>
  <c r="AQ163" i="8"/>
  <c r="U163" i="8"/>
  <c r="Z163" i="8"/>
  <c r="BS163" i="8"/>
  <c r="N163" i="8"/>
  <c r="AZ163" i="8"/>
  <c r="AU163" i="8"/>
  <c r="Q163" i="8"/>
  <c r="AW163" i="8"/>
  <c r="V163" i="8"/>
  <c r="BB163" i="8"/>
  <c r="AJ163" i="8"/>
  <c r="AE163" i="8"/>
  <c r="AF163" i="8"/>
  <c r="AY163" i="8"/>
  <c r="BI154" i="8"/>
  <c r="BN154" i="8"/>
  <c r="BO154" i="8"/>
  <c r="AG154" i="8"/>
  <c r="BM154" i="8"/>
  <c r="AL154" i="8"/>
  <c r="BR154" i="8"/>
  <c r="BH154" i="8"/>
  <c r="BC154" i="8"/>
  <c r="BD154" i="8"/>
  <c r="S154" i="8"/>
  <c r="AH154" i="8"/>
  <c r="O154" i="8"/>
  <c r="AK154" i="8"/>
  <c r="BQ154" i="8"/>
  <c r="AP154" i="8"/>
  <c r="AJ154" i="8"/>
  <c r="AE154" i="8"/>
  <c r="AF154" i="8"/>
  <c r="AY154" i="8"/>
  <c r="AS154" i="8"/>
  <c r="AZ154" i="8"/>
  <c r="P154" i="8"/>
  <c r="AO154" i="8"/>
  <c r="N154" i="8"/>
  <c r="AT154" i="8"/>
  <c r="AR154" i="8"/>
  <c r="BS154" i="8"/>
  <c r="BG154" i="8"/>
  <c r="AG151" i="8"/>
  <c r="BM151" i="8"/>
  <c r="AL151" i="8"/>
  <c r="BR151" i="8"/>
  <c r="BD151" i="8"/>
  <c r="AY151" i="8"/>
  <c r="AZ151" i="8"/>
  <c r="AE151" i="8"/>
  <c r="AK151" i="8"/>
  <c r="BQ151" i="8"/>
  <c r="AP151" i="8"/>
  <c r="AF151" i="8"/>
  <c r="AA151" i="8"/>
  <c r="AB151" i="8"/>
  <c r="BK151" i="8"/>
  <c r="Y151" i="8"/>
  <c r="BE151" i="8"/>
  <c r="AD151" i="8"/>
  <c r="BJ151" i="8"/>
  <c r="AI151" i="8"/>
  <c r="AJ151" i="8"/>
  <c r="O151" i="8"/>
  <c r="M151" i="8"/>
  <c r="AS151" i="8"/>
  <c r="R151" i="8"/>
  <c r="AX151" i="8"/>
  <c r="P151" i="8"/>
  <c r="AQ151" i="8"/>
  <c r="AU151" i="8"/>
  <c r="BP154" i="5"/>
  <c r="BI154" i="5"/>
  <c r="AH154" i="5"/>
  <c r="AV154" i="5"/>
  <c r="W154" i="5"/>
  <c r="AO172" i="5"/>
  <c r="Q172" i="5"/>
  <c r="BM172" i="5"/>
  <c r="AH172" i="5"/>
  <c r="X172" i="5"/>
  <c r="AM172" i="5"/>
  <c r="BJ172" i="5"/>
  <c r="BP172" i="5"/>
  <c r="AY172" i="5"/>
  <c r="S172" i="5"/>
  <c r="BF172" i="5"/>
  <c r="Z172" i="5"/>
  <c r="T172" i="5"/>
  <c r="BL172" i="5"/>
  <c r="AF172" i="5"/>
  <c r="Y172" i="5"/>
  <c r="AU172" i="5"/>
  <c r="O172" i="5"/>
  <c r="BR172" i="5"/>
  <c r="AL172" i="5"/>
  <c r="BQ172" i="5"/>
  <c r="Q169" i="5"/>
  <c r="AW169" i="5"/>
  <c r="V169" i="5"/>
  <c r="BB169" i="5"/>
  <c r="AA169" i="5"/>
  <c r="AI169" i="5"/>
  <c r="AJ169" i="5"/>
  <c r="BK169" i="5"/>
  <c r="U169" i="5"/>
  <c r="BA169" i="5"/>
  <c r="Z169" i="5"/>
  <c r="BF169" i="5"/>
  <c r="AE169" i="5"/>
  <c r="AQ169" i="5"/>
  <c r="BS169" i="5"/>
  <c r="Y169" i="5"/>
  <c r="BE169" i="5"/>
  <c r="AD169" i="5"/>
  <c r="BJ169" i="5"/>
  <c r="P169" i="5"/>
  <c r="AY169" i="5"/>
  <c r="BC169" i="5"/>
  <c r="AC169" i="5"/>
  <c r="BI169" i="5"/>
  <c r="AH169" i="5"/>
  <c r="BN169" i="5"/>
  <c r="AF169" i="5"/>
  <c r="T169" i="5"/>
  <c r="X169" i="5"/>
  <c r="AB169" i="5"/>
  <c r="BA166" i="5"/>
  <c r="BG166" i="5"/>
  <c r="AP166" i="5"/>
  <c r="AN166" i="5"/>
  <c r="BE166" i="5"/>
  <c r="BJ166" i="5"/>
  <c r="AV166" i="5"/>
  <c r="M166" i="5"/>
  <c r="AS166" i="5"/>
  <c r="R166" i="5"/>
  <c r="AX166" i="5"/>
  <c r="AB166" i="5"/>
  <c r="W166" i="5"/>
  <c r="X166" i="5"/>
  <c r="BO166" i="5"/>
  <c r="S166" i="5"/>
  <c r="BQ166" i="5"/>
  <c r="AR166" i="5"/>
  <c r="AO166" i="5"/>
  <c r="AT166" i="5"/>
  <c r="O166" i="5"/>
  <c r="P166" i="5"/>
  <c r="AG166" i="5"/>
  <c r="BM166" i="5"/>
  <c r="AL166" i="5"/>
  <c r="BR166" i="5"/>
  <c r="BP166" i="5"/>
  <c r="BK166" i="5"/>
  <c r="BL166" i="5"/>
  <c r="AA166" i="5"/>
  <c r="M157" i="5"/>
  <c r="R157" i="5"/>
  <c r="AV157" i="5"/>
  <c r="Q157" i="5"/>
  <c r="AW157" i="5"/>
  <c r="V157" i="5"/>
  <c r="BB157" i="5"/>
  <c r="AB157" i="5"/>
  <c r="W157" i="5"/>
  <c r="X157" i="5"/>
  <c r="AQ157" i="5"/>
  <c r="AC157" i="5"/>
  <c r="T157" i="5"/>
  <c r="U157" i="5"/>
  <c r="BA157" i="5"/>
  <c r="Z157" i="5"/>
  <c r="BF157" i="5"/>
  <c r="BP157" i="5"/>
  <c r="BK157" i="5"/>
  <c r="BL157" i="5"/>
  <c r="AA157" i="5"/>
  <c r="AX157" i="5"/>
  <c r="AU157" i="5"/>
  <c r="Y157" i="5"/>
  <c r="BE157" i="5"/>
  <c r="AD157" i="5"/>
  <c r="BJ157" i="5"/>
  <c r="AM157" i="5"/>
  <c r="AN157" i="5"/>
  <c r="AI157" i="5"/>
  <c r="Q154" i="5"/>
  <c r="AW154" i="5"/>
  <c r="V154" i="5"/>
  <c r="BB154" i="5"/>
  <c r="X154" i="5"/>
  <c r="S154" i="5"/>
  <c r="T154" i="5"/>
  <c r="BC154" i="5"/>
  <c r="U154" i="5"/>
  <c r="BA154" i="5"/>
  <c r="Z154" i="5"/>
  <c r="BF154" i="5"/>
  <c r="BL154" i="5"/>
  <c r="BG154" i="5"/>
  <c r="BH154" i="5"/>
  <c r="AM154" i="5"/>
  <c r="AO154" i="5"/>
  <c r="N154" i="5"/>
  <c r="AT154" i="5"/>
  <c r="AN154" i="5"/>
  <c r="BO154" i="5"/>
  <c r="BS154" i="5"/>
  <c r="AC154" i="5"/>
  <c r="BN154" i="5"/>
  <c r="AR154" i="5"/>
  <c r="BR112" i="10"/>
  <c r="BS110" i="5"/>
  <c r="BS111" i="5"/>
  <c r="L129" i="5" a="1"/>
  <c r="L129" i="5" s="1"/>
  <c r="BS172" i="15"/>
  <c r="BS168" i="15" s="1"/>
  <c r="BS251" i="15" s="1"/>
  <c r="BS170" i="15"/>
  <c r="BS426" i="15"/>
  <c r="BS429" i="15" s="1"/>
  <c r="BS425" i="15"/>
  <c r="BS428" i="15" s="1"/>
  <c r="BS404" i="11"/>
  <c r="BS407" i="11" s="1"/>
  <c r="BS403" i="11"/>
  <c r="BS406" i="11" s="1"/>
  <c r="L5" i="11" a="1"/>
  <c r="BS5" i="11" s="1"/>
  <c r="L5" i="15" a="1"/>
  <c r="BS160" i="11"/>
  <c r="BR116" i="10"/>
  <c r="BS110" i="10"/>
  <c r="BR125" i="11"/>
  <c r="L129" i="10" a="1"/>
  <c r="L129" i="10" s="1"/>
  <c r="BS111" i="10"/>
  <c r="BP117" i="10"/>
  <c r="BR112" i="5"/>
  <c r="I113" i="9"/>
  <c r="I111" i="9"/>
  <c r="L5" i="10" a="1"/>
  <c r="L5" i="8" a="1"/>
  <c r="BS5" i="8" s="1"/>
  <c r="L5" i="9" a="1"/>
  <c r="BO4" i="4"/>
  <c r="BK4" i="4"/>
  <c r="BG4" i="4"/>
  <c r="BC4" i="4"/>
  <c r="AX4" i="4"/>
  <c r="AS4" i="4"/>
  <c r="AM4" i="4"/>
  <c r="AH4" i="4"/>
  <c r="AC4" i="4"/>
  <c r="W4" i="4"/>
  <c r="R4" i="4"/>
  <c r="L4" i="4"/>
  <c r="BS4" i="4"/>
  <c r="BP4" i="4"/>
  <c r="BL4" i="4"/>
  <c r="BH4" i="4"/>
  <c r="BD4" i="4"/>
  <c r="AY4" i="4"/>
  <c r="AT4" i="4"/>
  <c r="AO4" i="4"/>
  <c r="AI4" i="4"/>
  <c r="AD4" i="4"/>
  <c r="Y4" i="4"/>
  <c r="S4" i="4"/>
  <c r="N4" i="4"/>
  <c r="BR4" i="4"/>
  <c r="BN4" i="4"/>
  <c r="BJ4" i="4"/>
  <c r="BF4" i="4"/>
  <c r="BB4" i="4"/>
  <c r="AW4" i="4"/>
  <c r="AQ4" i="4"/>
  <c r="AL4" i="4"/>
  <c r="AG4" i="4"/>
  <c r="AA4" i="4"/>
  <c r="V4" i="4"/>
  <c r="Q4" i="4"/>
  <c r="BQ4" i="4"/>
  <c r="BM4" i="4"/>
  <c r="BI4" i="4"/>
  <c r="BE4" i="4"/>
  <c r="BA4" i="4"/>
  <c r="AU4" i="4"/>
  <c r="AP4" i="4"/>
  <c r="AK4" i="4"/>
  <c r="AE4" i="4"/>
  <c r="Z4" i="4"/>
  <c r="U4" i="4"/>
  <c r="O4" i="4"/>
  <c r="BR109" i="8"/>
  <c r="L126" i="8"/>
  <c r="BR113" i="8"/>
  <c r="L5" i="5" a="1"/>
  <c r="BS5" i="5" s="1"/>
  <c r="AZ4" i="4"/>
  <c r="AV4" i="4"/>
  <c r="AR4" i="4"/>
  <c r="AN4" i="4"/>
  <c r="AJ4" i="4"/>
  <c r="AF4" i="4"/>
  <c r="AB4" i="4"/>
  <c r="X4" i="4"/>
  <c r="T4" i="4"/>
  <c r="P4" i="4"/>
  <c r="BR115" i="5"/>
  <c r="BQ117" i="5"/>
  <c r="BR116" i="5"/>
  <c r="I182" i="1"/>
  <c r="I184" i="1"/>
  <c r="I183" i="1"/>
  <c r="L5" i="4" a="1"/>
  <c r="AX5" i="23" l="1"/>
  <c r="BO5" i="23"/>
  <c r="S5" i="23"/>
  <c r="L5" i="23"/>
  <c r="Q5" i="23"/>
  <c r="AQ152" i="23"/>
  <c r="AQ150" i="23" s="1"/>
  <c r="BH5" i="23"/>
  <c r="BM5" i="23"/>
  <c r="BL5" i="23"/>
  <c r="BQ5" i="23"/>
  <c r="R5" i="23"/>
  <c r="AA5" i="23"/>
  <c r="W152" i="23"/>
  <c r="W150" i="23" s="1"/>
  <c r="AH5" i="23"/>
  <c r="AY5" i="23"/>
  <c r="AL5" i="23"/>
  <c r="BC5" i="23"/>
  <c r="BS438" i="23"/>
  <c r="BS441" i="23" s="1"/>
  <c r="R5" i="20"/>
  <c r="BK156" i="20"/>
  <c r="BK152" i="20" s="1"/>
  <c r="BQ210" i="20"/>
  <c r="BQ233" i="20" s="1"/>
  <c r="AL437" i="23"/>
  <c r="AL440" i="23" s="1"/>
  <c r="AJ152" i="23"/>
  <c r="AJ150" i="23" s="1"/>
  <c r="AJ165" i="23" s="1"/>
  <c r="T5" i="20"/>
  <c r="BN5" i="20"/>
  <c r="BI400" i="20"/>
  <c r="BI403" i="20" s="1"/>
  <c r="Q156" i="20"/>
  <c r="AO156" i="20"/>
  <c r="AO152" i="20" s="1"/>
  <c r="P5" i="23"/>
  <c r="AV5" i="23"/>
  <c r="V5" i="23"/>
  <c r="BB5" i="23"/>
  <c r="U5" i="23"/>
  <c r="BA5" i="23"/>
  <c r="AE5" i="23"/>
  <c r="BS5" i="23"/>
  <c r="L438" i="23"/>
  <c r="L441" i="23" s="1"/>
  <c r="BD437" i="23"/>
  <c r="BD440" i="23" s="1"/>
  <c r="BJ438" i="23"/>
  <c r="BJ441" i="23" s="1"/>
  <c r="W438" i="23"/>
  <c r="W441" i="23" s="1"/>
  <c r="L150" i="23"/>
  <c r="L165" i="23" s="1"/>
  <c r="R178" i="23"/>
  <c r="R184" i="23" s="1"/>
  <c r="AL438" i="23"/>
  <c r="AL441" i="23" s="1"/>
  <c r="BD152" i="23"/>
  <c r="BD150" i="23" s="1"/>
  <c r="BD165" i="23" s="1"/>
  <c r="AH5" i="20"/>
  <c r="AO400" i="20"/>
  <c r="AO403" i="20" s="1"/>
  <c r="BQ156" i="20"/>
  <c r="BQ152" i="20" s="1"/>
  <c r="BI156" i="20"/>
  <c r="BI152" i="20" s="1"/>
  <c r="U156" i="20"/>
  <c r="U152" i="20" s="1"/>
  <c r="BI210" i="20"/>
  <c r="BI233" i="20" s="1"/>
  <c r="O5" i="23"/>
  <c r="T5" i="23"/>
  <c r="AJ5" i="23"/>
  <c r="AZ5" i="23"/>
  <c r="BP5" i="23"/>
  <c r="Z5" i="23"/>
  <c r="AP5" i="23"/>
  <c r="BF5" i="23"/>
  <c r="AQ5" i="23"/>
  <c r="Y5" i="23"/>
  <c r="AO5" i="23"/>
  <c r="BE5" i="23"/>
  <c r="BR5" i="23"/>
  <c r="AI5" i="23"/>
  <c r="BG5" i="23"/>
  <c r="R437" i="23"/>
  <c r="R440" i="23" s="1"/>
  <c r="AQ438" i="23"/>
  <c r="AQ441" i="23" s="1"/>
  <c r="AK437" i="23"/>
  <c r="AK440" i="23" s="1"/>
  <c r="BF437" i="23"/>
  <c r="BF440" i="23" s="1"/>
  <c r="BO438" i="23"/>
  <c r="BO441" i="23" s="1"/>
  <c r="S437" i="23"/>
  <c r="S440" i="23" s="1"/>
  <c r="AS438" i="23"/>
  <c r="AS441" i="23" s="1"/>
  <c r="V437" i="23"/>
  <c r="V440" i="23" s="1"/>
  <c r="Y437" i="23"/>
  <c r="Y440" i="23" s="1"/>
  <c r="AN438" i="23"/>
  <c r="AN441" i="23" s="1"/>
  <c r="Q437" i="23"/>
  <c r="Q440" i="23" s="1"/>
  <c r="AO152" i="23"/>
  <c r="AO150" i="23" s="1"/>
  <c r="AO165" i="23" s="1"/>
  <c r="S181" i="23"/>
  <c r="R196" i="23"/>
  <c r="R221" i="23" s="1"/>
  <c r="L5" i="20"/>
  <c r="AC5" i="20"/>
  <c r="AM5" i="20"/>
  <c r="P5" i="20"/>
  <c r="AS5" i="20"/>
  <c r="AX5" i="20"/>
  <c r="BC5" i="20"/>
  <c r="X401" i="20"/>
  <c r="X404" i="20" s="1"/>
  <c r="M400" i="20"/>
  <c r="M403" i="20" s="1"/>
  <c r="AQ156" i="20"/>
  <c r="AQ152" i="20" s="1"/>
  <c r="AO210" i="20"/>
  <c r="AO233" i="20" s="1"/>
  <c r="AM5" i="23"/>
  <c r="X5" i="23"/>
  <c r="AN5" i="23"/>
  <c r="BD5" i="23"/>
  <c r="N5" i="23"/>
  <c r="AD5" i="23"/>
  <c r="AT5" i="23"/>
  <c r="BJ5" i="23"/>
  <c r="M5" i="23"/>
  <c r="AC5" i="23"/>
  <c r="AS5" i="23"/>
  <c r="BI5" i="23"/>
  <c r="W5" i="23"/>
  <c r="AU5" i="23"/>
  <c r="R438" i="23"/>
  <c r="R441" i="23" s="1"/>
  <c r="BO437" i="23"/>
  <c r="BO440" i="23" s="1"/>
  <c r="M437" i="23"/>
  <c r="M440" i="23" s="1"/>
  <c r="Q438" i="23"/>
  <c r="Q441" i="23" s="1"/>
  <c r="M152" i="23"/>
  <c r="R152" i="23"/>
  <c r="Q152" i="23"/>
  <c r="M178" i="23"/>
  <c r="M184" i="23" s="1"/>
  <c r="M201" i="23" s="1"/>
  <c r="M372" i="23" s="1"/>
  <c r="Q190" i="23"/>
  <c r="AI181" i="23"/>
  <c r="AI184" i="23" s="1"/>
  <c r="AI201" i="23" s="1"/>
  <c r="AI372" i="23" s="1"/>
  <c r="Q178" i="23"/>
  <c r="AX193" i="23"/>
  <c r="AX181" i="23"/>
  <c r="AX178" i="23"/>
  <c r="AX196" i="23"/>
  <c r="AX221" i="23" s="1"/>
  <c r="AX190" i="23"/>
  <c r="AU196" i="23"/>
  <c r="AU221" i="23" s="1"/>
  <c r="AU178" i="23"/>
  <c r="AU193" i="23"/>
  <c r="AU190" i="23"/>
  <c r="AU181" i="23"/>
  <c r="X5" i="20"/>
  <c r="AB5" i="20"/>
  <c r="AF5" i="20"/>
  <c r="AJ5" i="20"/>
  <c r="Q5" i="20"/>
  <c r="AG5" i="20"/>
  <c r="AW5" i="20"/>
  <c r="BM5" i="20"/>
  <c r="V5" i="20"/>
  <c r="AL5" i="20"/>
  <c r="BB5" i="20"/>
  <c r="BR5" i="20"/>
  <c r="AA5" i="20"/>
  <c r="AQ5" i="20"/>
  <c r="BG5" i="20"/>
  <c r="W401" i="20"/>
  <c r="W404" i="20" s="1"/>
  <c r="U401" i="20"/>
  <c r="U404" i="20" s="1"/>
  <c r="Q401" i="20"/>
  <c r="Q404" i="20" s="1"/>
  <c r="BQ401" i="20"/>
  <c r="BQ404" i="20" s="1"/>
  <c r="BF401" i="20"/>
  <c r="BF404" i="20" s="1"/>
  <c r="AR400" i="20"/>
  <c r="AR403" i="20" s="1"/>
  <c r="AL401" i="20"/>
  <c r="AL404" i="20" s="1"/>
  <c r="M154" i="20"/>
  <c r="BF154" i="20"/>
  <c r="BF150" i="20" s="1"/>
  <c r="AR154" i="20"/>
  <c r="AR150" i="20" s="1"/>
  <c r="AL154" i="20"/>
  <c r="AL150" i="20" s="1"/>
  <c r="X154" i="20"/>
  <c r="X150" i="20" s="1"/>
  <c r="R154" i="20"/>
  <c r="R150" i="20" s="1"/>
  <c r="AR210" i="20"/>
  <c r="AR233" i="20" s="1"/>
  <c r="U210" i="20"/>
  <c r="U233" i="20" s="1"/>
  <c r="Q152" i="20"/>
  <c r="AU437" i="23"/>
  <c r="AU440" i="23" s="1"/>
  <c r="Q150" i="23"/>
  <c r="Q165" i="23" s="1"/>
  <c r="R193" i="23"/>
  <c r="Q181" i="23"/>
  <c r="L178" i="23"/>
  <c r="L184" i="23" s="1"/>
  <c r="AH193" i="23"/>
  <c r="AH181" i="23"/>
  <c r="AH196" i="23"/>
  <c r="AH221" i="23" s="1"/>
  <c r="AH190" i="23"/>
  <c r="AH178" i="23"/>
  <c r="BG196" i="23"/>
  <c r="BG221" i="23" s="1"/>
  <c r="BG178" i="23"/>
  <c r="BG193" i="23"/>
  <c r="BG190" i="23"/>
  <c r="BG181" i="23"/>
  <c r="BA190" i="23"/>
  <c r="BA178" i="23"/>
  <c r="BA193" i="23"/>
  <c r="BA196" i="23"/>
  <c r="BA221" i="23" s="1"/>
  <c r="BA181" i="23"/>
  <c r="AB181" i="23"/>
  <c r="AB196" i="23"/>
  <c r="AB221" i="23" s="1"/>
  <c r="AB193" i="23"/>
  <c r="AB178" i="23"/>
  <c r="AB190" i="23"/>
  <c r="AM196" i="23"/>
  <c r="AM221" i="23" s="1"/>
  <c r="AM178" i="23"/>
  <c r="AM193" i="23"/>
  <c r="AM181" i="23"/>
  <c r="AM190" i="23"/>
  <c r="AG190" i="23"/>
  <c r="AG196" i="23"/>
  <c r="AG221" i="23" s="1"/>
  <c r="AG178" i="23"/>
  <c r="AG193" i="23"/>
  <c r="AG181" i="23"/>
  <c r="BF193" i="23"/>
  <c r="BF190" i="23"/>
  <c r="BF178" i="23"/>
  <c r="BF181" i="23"/>
  <c r="BF196" i="23"/>
  <c r="BF221" i="23" s="1"/>
  <c r="BB193" i="23"/>
  <c r="BB190" i="23"/>
  <c r="BB178" i="23"/>
  <c r="BB196" i="23"/>
  <c r="BB221" i="23" s="1"/>
  <c r="BB181" i="23"/>
  <c r="AP193" i="23"/>
  <c r="AP190" i="23"/>
  <c r="AP178" i="23"/>
  <c r="AP196" i="23"/>
  <c r="AP221" i="23" s="1"/>
  <c r="AP181" i="23"/>
  <c r="AL193" i="23"/>
  <c r="AL190" i="23"/>
  <c r="AL178" i="23"/>
  <c r="AL196" i="23"/>
  <c r="AL221" i="23" s="1"/>
  <c r="AL181" i="23"/>
  <c r="BD181" i="23"/>
  <c r="BD196" i="23"/>
  <c r="BD221" i="23" s="1"/>
  <c r="BD193" i="23"/>
  <c r="BD178" i="23"/>
  <c r="BD190" i="23"/>
  <c r="AR181" i="23"/>
  <c r="AR196" i="23"/>
  <c r="AR221" i="23" s="1"/>
  <c r="AR193" i="23"/>
  <c r="AR178" i="23"/>
  <c r="AR190" i="23"/>
  <c r="AJ181" i="23"/>
  <c r="AJ196" i="23"/>
  <c r="AJ221" i="23" s="1"/>
  <c r="AJ193" i="23"/>
  <c r="AJ190" i="23"/>
  <c r="AJ178" i="23"/>
  <c r="AC190" i="23"/>
  <c r="AC181" i="23"/>
  <c r="AC178" i="23"/>
  <c r="AC193" i="23"/>
  <c r="AC196" i="23"/>
  <c r="AC221" i="23" s="1"/>
  <c r="AN5" i="20"/>
  <c r="AR5" i="20"/>
  <c r="AV5" i="20"/>
  <c r="AZ5" i="20"/>
  <c r="U5" i="20"/>
  <c r="AK5" i="20"/>
  <c r="BA5" i="20"/>
  <c r="BQ5" i="20"/>
  <c r="Z5" i="20"/>
  <c r="AP5" i="20"/>
  <c r="BF5" i="20"/>
  <c r="O5" i="20"/>
  <c r="AE5" i="20"/>
  <c r="AU5" i="20"/>
  <c r="BK5" i="20"/>
  <c r="W400" i="20"/>
  <c r="W403" i="20" s="1"/>
  <c r="U400" i="20"/>
  <c r="U403" i="20" s="1"/>
  <c r="Q400" i="20"/>
  <c r="Q403" i="20" s="1"/>
  <c r="BQ400" i="20"/>
  <c r="BQ403" i="20" s="1"/>
  <c r="BK401" i="20"/>
  <c r="BK404" i="20" s="1"/>
  <c r="BF400" i="20"/>
  <c r="BF403" i="20" s="1"/>
  <c r="AR401" i="20"/>
  <c r="AR404" i="20" s="1"/>
  <c r="AL400" i="20"/>
  <c r="AL403" i="20" s="1"/>
  <c r="M156" i="20"/>
  <c r="BF156" i="20"/>
  <c r="BF152" i="20" s="1"/>
  <c r="AL156" i="20"/>
  <c r="AL152" i="20" s="1"/>
  <c r="X156" i="20"/>
  <c r="X152" i="20" s="1"/>
  <c r="R156" i="20"/>
  <c r="Q210" i="20"/>
  <c r="Q233" i="20" s="1"/>
  <c r="BK210" i="20"/>
  <c r="BK233" i="20" s="1"/>
  <c r="AQ210" i="20"/>
  <c r="AQ233" i="20" s="1"/>
  <c r="X210" i="20"/>
  <c r="X233" i="20" s="1"/>
  <c r="M150" i="20"/>
  <c r="AX438" i="23"/>
  <c r="AX441" i="23" s="1"/>
  <c r="AC437" i="23"/>
  <c r="AC440" i="23" s="1"/>
  <c r="AR437" i="23"/>
  <c r="AR440" i="23" s="1"/>
  <c r="AJ438" i="23"/>
  <c r="AJ441" i="23" s="1"/>
  <c r="AR152" i="23"/>
  <c r="AR150" i="23" s="1"/>
  <c r="AR165" i="23" s="1"/>
  <c r="AQ196" i="23"/>
  <c r="AQ221" i="23" s="1"/>
  <c r="AQ178" i="23"/>
  <c r="AQ193" i="23"/>
  <c r="AQ190" i="23"/>
  <c r="AQ181" i="23"/>
  <c r="AK190" i="23"/>
  <c r="AK178" i="23"/>
  <c r="AK193" i="23"/>
  <c r="AK196" i="23"/>
  <c r="AK221" i="23" s="1"/>
  <c r="AK181" i="23"/>
  <c r="BJ193" i="23"/>
  <c r="BJ181" i="23"/>
  <c r="BJ196" i="23"/>
  <c r="BJ221" i="23" s="1"/>
  <c r="BJ178" i="23"/>
  <c r="BJ190" i="23"/>
  <c r="AN181" i="23"/>
  <c r="AN196" i="23"/>
  <c r="AN221" i="23" s="1"/>
  <c r="AN190" i="23"/>
  <c r="AN193" i="23"/>
  <c r="AN178" i="23"/>
  <c r="W181" i="23"/>
  <c r="W193" i="23"/>
  <c r="W178" i="23"/>
  <c r="W190" i="23"/>
  <c r="W196" i="23"/>
  <c r="W221" i="23" s="1"/>
  <c r="Z193" i="23"/>
  <c r="Z181" i="23"/>
  <c r="Z196" i="23"/>
  <c r="Z221" i="23" s="1"/>
  <c r="Z178" i="23"/>
  <c r="Z190" i="23"/>
  <c r="AS190" i="23"/>
  <c r="AS181" i="23"/>
  <c r="AS193" i="23"/>
  <c r="AS196" i="23"/>
  <c r="AS221" i="23" s="1"/>
  <c r="AS178" i="23"/>
  <c r="V178" i="23"/>
  <c r="V196" i="23"/>
  <c r="V221" i="23" s="1"/>
  <c r="V193" i="23"/>
  <c r="V190" i="23"/>
  <c r="V181" i="23"/>
  <c r="AO190" i="23"/>
  <c r="AO196" i="23"/>
  <c r="AO221" i="23" s="1"/>
  <c r="AO193" i="23"/>
  <c r="AO181" i="23"/>
  <c r="AO178" i="23"/>
  <c r="BO196" i="23"/>
  <c r="BO221" i="23" s="1"/>
  <c r="BO178" i="23"/>
  <c r="BO193" i="23"/>
  <c r="BO181" i="23"/>
  <c r="BO190" i="23"/>
  <c r="BK196" i="23"/>
  <c r="BK221" i="23" s="1"/>
  <c r="BK178" i="23"/>
  <c r="BK190" i="23"/>
  <c r="BK193" i="23"/>
  <c r="BK181" i="23"/>
  <c r="Y193" i="23"/>
  <c r="Y196" i="23"/>
  <c r="Y221" i="23" s="1"/>
  <c r="Y178" i="23"/>
  <c r="Y190" i="23"/>
  <c r="Y181" i="23"/>
  <c r="BQ190" i="23"/>
  <c r="BQ178" i="23"/>
  <c r="BQ193" i="23"/>
  <c r="BQ196" i="23"/>
  <c r="BQ221" i="23" s="1"/>
  <c r="BQ181" i="23"/>
  <c r="BH181" i="23"/>
  <c r="BH196" i="23"/>
  <c r="BH221" i="23" s="1"/>
  <c r="BH193" i="23"/>
  <c r="BH178" i="23"/>
  <c r="BH190" i="23"/>
  <c r="AD193" i="23"/>
  <c r="AD181" i="23"/>
  <c r="AD196" i="23"/>
  <c r="AD221" i="23" s="1"/>
  <c r="AD190" i="23"/>
  <c r="AD178" i="23"/>
  <c r="BC196" i="23"/>
  <c r="BC221" i="23" s="1"/>
  <c r="BC178" i="23"/>
  <c r="BC193" i="23"/>
  <c r="BC181" i="23"/>
  <c r="BC190" i="23"/>
  <c r="AW190" i="23"/>
  <c r="AW196" i="23"/>
  <c r="AW221" i="23" s="1"/>
  <c r="AW178" i="23"/>
  <c r="AW193" i="23"/>
  <c r="AW181" i="23"/>
  <c r="T190" i="23"/>
  <c r="T193" i="23"/>
  <c r="T181" i="23"/>
  <c r="T178" i="23"/>
  <c r="T196" i="23"/>
  <c r="T221" i="23" s="1"/>
  <c r="AY196" i="23"/>
  <c r="AY221" i="23" s="1"/>
  <c r="AY178" i="23"/>
  <c r="AY193" i="23"/>
  <c r="AY190" i="23"/>
  <c r="AY181" i="23"/>
  <c r="BD5" i="20"/>
  <c r="BH5" i="20"/>
  <c r="BL5" i="20"/>
  <c r="BP5" i="20"/>
  <c r="Y5" i="20"/>
  <c r="AO5" i="20"/>
  <c r="BE5" i="20"/>
  <c r="N5" i="20"/>
  <c r="AD5" i="20"/>
  <c r="AT5" i="20"/>
  <c r="BJ5" i="20"/>
  <c r="S5" i="20"/>
  <c r="AI5" i="20"/>
  <c r="AY5" i="20"/>
  <c r="M401" i="20"/>
  <c r="M404" i="20" s="1"/>
  <c r="BK400" i="20"/>
  <c r="BK403" i="20" s="1"/>
  <c r="BI401" i="20"/>
  <c r="BI404" i="20" s="1"/>
  <c r="AQ400" i="20"/>
  <c r="AQ403" i="20" s="1"/>
  <c r="AO401" i="20"/>
  <c r="AO404" i="20" s="1"/>
  <c r="W154" i="20"/>
  <c r="W150" i="20" s="1"/>
  <c r="M210" i="20"/>
  <c r="M233" i="20" s="1"/>
  <c r="BQ438" i="23"/>
  <c r="BQ441" i="23" s="1"/>
  <c r="AC438" i="23"/>
  <c r="AC441" i="23" s="1"/>
  <c r="AR438" i="23"/>
  <c r="AR441" i="23" s="1"/>
  <c r="AD437" i="23"/>
  <c r="AD440" i="23" s="1"/>
  <c r="R150" i="23"/>
  <c r="R165" i="23" s="1"/>
  <c r="AK152" i="23"/>
  <c r="AK150" i="23" s="1"/>
  <c r="AK165" i="23" s="1"/>
  <c r="Z152" i="23"/>
  <c r="Z150" i="23" s="1"/>
  <c r="Z165" i="23" s="1"/>
  <c r="O190" i="23"/>
  <c r="P193" i="23"/>
  <c r="BN193" i="23"/>
  <c r="BN181" i="23"/>
  <c r="BN196" i="23"/>
  <c r="BN221" i="23" s="1"/>
  <c r="BN190" i="23"/>
  <c r="BN178" i="23"/>
  <c r="AV181" i="23"/>
  <c r="AV196" i="23"/>
  <c r="AV221" i="23" s="1"/>
  <c r="AV178" i="23"/>
  <c r="AV190" i="23"/>
  <c r="AV193" i="23"/>
  <c r="AA196" i="23"/>
  <c r="AA221" i="23" s="1"/>
  <c r="AA178" i="23"/>
  <c r="AA193" i="23"/>
  <c r="AA190" i="23"/>
  <c r="AA181" i="23"/>
  <c r="U178" i="23"/>
  <c r="U196" i="23"/>
  <c r="U221" i="23" s="1"/>
  <c r="U193" i="23"/>
  <c r="U190" i="23"/>
  <c r="U181" i="23"/>
  <c r="AT193" i="23"/>
  <c r="AT181" i="23"/>
  <c r="AT196" i="23"/>
  <c r="AT221" i="23" s="1"/>
  <c r="AT190" i="23"/>
  <c r="AT178" i="23"/>
  <c r="BS196" i="23"/>
  <c r="BS221" i="23" s="1"/>
  <c r="BS178" i="23"/>
  <c r="BS193" i="23"/>
  <c r="BS181" i="23"/>
  <c r="BS190" i="23"/>
  <c r="BM190" i="23"/>
  <c r="BM196" i="23"/>
  <c r="BM221" i="23" s="1"/>
  <c r="BM193" i="23"/>
  <c r="BM178" i="23"/>
  <c r="BM181" i="23"/>
  <c r="AZ181" i="23"/>
  <c r="AZ196" i="23"/>
  <c r="AZ221" i="23" s="1"/>
  <c r="AZ193" i="23"/>
  <c r="AZ190" i="23"/>
  <c r="AZ178" i="23"/>
  <c r="AF181" i="23"/>
  <c r="AF196" i="23"/>
  <c r="AF221" i="23" s="1"/>
  <c r="AF178" i="23"/>
  <c r="AF190" i="23"/>
  <c r="AF193" i="23"/>
  <c r="X181" i="23"/>
  <c r="X193" i="23"/>
  <c r="X196" i="23"/>
  <c r="X221" i="23" s="1"/>
  <c r="X190" i="23"/>
  <c r="X178" i="23"/>
  <c r="BP181" i="23"/>
  <c r="BP196" i="23"/>
  <c r="BP221" i="23" s="1"/>
  <c r="BP190" i="23"/>
  <c r="BP193" i="23"/>
  <c r="BP178" i="23"/>
  <c r="BI190" i="23"/>
  <c r="BI181" i="23"/>
  <c r="BI178" i="23"/>
  <c r="BI193" i="23"/>
  <c r="BI196" i="23"/>
  <c r="BI221" i="23" s="1"/>
  <c r="BE190" i="23"/>
  <c r="BE196" i="23"/>
  <c r="BE221" i="23" s="1"/>
  <c r="BE181" i="23"/>
  <c r="BE193" i="23"/>
  <c r="BE178" i="23"/>
  <c r="BL181" i="23"/>
  <c r="BL196" i="23"/>
  <c r="BL221" i="23" s="1"/>
  <c r="BL178" i="23"/>
  <c r="BL190" i="23"/>
  <c r="BL193" i="23"/>
  <c r="AN197" i="18"/>
  <c r="AN161" i="18"/>
  <c r="AN212" i="18"/>
  <c r="AN209" i="18"/>
  <c r="AN194" i="18"/>
  <c r="AN206" i="18"/>
  <c r="AM212" i="18"/>
  <c r="AM194" i="18"/>
  <c r="AM209" i="18"/>
  <c r="AM161" i="18"/>
  <c r="AM206" i="18"/>
  <c r="AM197" i="18"/>
  <c r="AH209" i="18"/>
  <c r="AH206" i="18"/>
  <c r="AH161" i="18"/>
  <c r="AH194" i="18"/>
  <c r="AH197" i="18"/>
  <c r="AH212" i="18"/>
  <c r="BO212" i="18"/>
  <c r="BO194" i="18"/>
  <c r="BO209" i="18"/>
  <c r="BO206" i="18"/>
  <c r="BO161" i="18"/>
  <c r="BO197" i="18"/>
  <c r="AJ197" i="18"/>
  <c r="AJ161" i="18"/>
  <c r="AJ194" i="18"/>
  <c r="AJ212" i="18"/>
  <c r="AJ209" i="18"/>
  <c r="AJ206" i="18"/>
  <c r="O212" i="18"/>
  <c r="O161" i="18"/>
  <c r="BB209" i="18"/>
  <c r="BB206" i="18"/>
  <c r="BB197" i="18"/>
  <c r="BB212" i="18"/>
  <c r="BB194" i="18"/>
  <c r="BB161" i="18"/>
  <c r="AC206" i="18"/>
  <c r="AC197" i="18"/>
  <c r="AC212" i="18"/>
  <c r="AC161" i="18"/>
  <c r="AC194" i="18"/>
  <c r="AC209" i="18"/>
  <c r="AT209" i="18"/>
  <c r="AT206" i="18"/>
  <c r="AT197" i="18"/>
  <c r="AT212" i="18"/>
  <c r="AT194" i="18"/>
  <c r="AT161" i="18"/>
  <c r="BI206" i="18"/>
  <c r="BI197" i="18"/>
  <c r="BI212" i="18"/>
  <c r="BI194" i="18"/>
  <c r="BI161" i="18"/>
  <c r="BI209" i="18"/>
  <c r="Z161" i="18"/>
  <c r="Z206" i="18"/>
  <c r="Z197" i="18"/>
  <c r="Z212" i="18"/>
  <c r="Z194" i="18"/>
  <c r="Z209" i="18"/>
  <c r="AY212" i="18"/>
  <c r="AY194" i="18"/>
  <c r="AY209" i="18"/>
  <c r="AY206" i="18"/>
  <c r="AY161" i="18"/>
  <c r="AY197" i="18"/>
  <c r="BJ209" i="18"/>
  <c r="BJ206" i="18"/>
  <c r="BJ197" i="18"/>
  <c r="BJ212" i="18"/>
  <c r="BJ194" i="18"/>
  <c r="BJ161" i="18"/>
  <c r="AP209" i="18"/>
  <c r="AP206" i="18"/>
  <c r="AP197" i="18"/>
  <c r="AP161" i="18"/>
  <c r="AP194" i="18"/>
  <c r="AP212" i="18"/>
  <c r="BL197" i="18"/>
  <c r="BL161" i="18"/>
  <c r="BL212" i="18"/>
  <c r="BL209" i="18"/>
  <c r="BL194" i="18"/>
  <c r="BL206" i="18"/>
  <c r="X161" i="18"/>
  <c r="X197" i="18"/>
  <c r="X212" i="18"/>
  <c r="X194" i="18"/>
  <c r="X209" i="18"/>
  <c r="X206" i="18"/>
  <c r="W161" i="18"/>
  <c r="W197" i="18"/>
  <c r="W212" i="18"/>
  <c r="W194" i="18"/>
  <c r="W209" i="18"/>
  <c r="W206" i="18"/>
  <c r="R212" i="18"/>
  <c r="R161" i="18"/>
  <c r="AU212" i="18"/>
  <c r="AU194" i="18"/>
  <c r="AU209" i="18"/>
  <c r="AU197" i="18"/>
  <c r="AU206" i="18"/>
  <c r="AU161" i="18"/>
  <c r="P212" i="18"/>
  <c r="P161" i="18"/>
  <c r="AR197" i="18"/>
  <c r="AR161" i="18"/>
  <c r="AR212" i="18"/>
  <c r="AR206" i="18"/>
  <c r="AR209" i="18"/>
  <c r="AR194" i="18"/>
  <c r="AD209" i="18"/>
  <c r="AD206" i="18"/>
  <c r="AD197" i="18"/>
  <c r="AD212" i="18"/>
  <c r="AD161" i="18"/>
  <c r="AD194" i="18"/>
  <c r="AG206" i="18"/>
  <c r="AG197" i="18"/>
  <c r="AG194" i="18"/>
  <c r="AG209" i="18"/>
  <c r="AG212" i="18"/>
  <c r="AG161" i="18"/>
  <c r="V161" i="18"/>
  <c r="V197" i="18"/>
  <c r="V212" i="18"/>
  <c r="V194" i="18"/>
  <c r="V209" i="18"/>
  <c r="V206" i="18"/>
  <c r="AF197" i="18"/>
  <c r="AF161" i="18"/>
  <c r="AF212" i="18"/>
  <c r="AF194" i="18"/>
  <c r="AF209" i="18"/>
  <c r="AF206" i="18"/>
  <c r="Y161" i="18"/>
  <c r="Y197" i="18"/>
  <c r="Y212" i="18"/>
  <c r="Y194" i="18"/>
  <c r="Y209" i="18"/>
  <c r="Y206" i="18"/>
  <c r="AL209" i="18"/>
  <c r="AL206" i="18"/>
  <c r="AL197" i="18"/>
  <c r="AL212" i="18"/>
  <c r="AL194" i="18"/>
  <c r="AL161" i="18"/>
  <c r="AO206" i="18"/>
  <c r="AO197" i="18"/>
  <c r="AO212" i="18"/>
  <c r="AO209" i="18"/>
  <c r="AO194" i="18"/>
  <c r="AO161" i="18"/>
  <c r="AK206" i="18"/>
  <c r="AK197" i="18"/>
  <c r="AK212" i="18"/>
  <c r="AK194" i="18"/>
  <c r="AK161" i="18"/>
  <c r="AK209" i="18"/>
  <c r="N212" i="18"/>
  <c r="N161" i="18"/>
  <c r="BS212" i="18"/>
  <c r="BS194" i="18"/>
  <c r="BS209" i="18"/>
  <c r="BS161" i="18"/>
  <c r="BS206" i="18"/>
  <c r="BS197" i="18"/>
  <c r="BN209" i="18"/>
  <c r="BN206" i="18"/>
  <c r="BN194" i="18"/>
  <c r="BN161" i="18"/>
  <c r="BN197" i="18"/>
  <c r="BN212" i="18"/>
  <c r="AV197" i="18"/>
  <c r="AV161" i="18"/>
  <c r="AV212" i="18"/>
  <c r="AV209" i="18"/>
  <c r="AV194" i="18"/>
  <c r="AV206" i="18"/>
  <c r="AA212" i="18"/>
  <c r="AA194" i="18"/>
  <c r="AA209" i="18"/>
  <c r="AA206" i="18"/>
  <c r="AA197" i="18"/>
  <c r="AA161" i="18"/>
  <c r="BG212" i="18"/>
  <c r="BG194" i="18"/>
  <c r="BG209" i="18"/>
  <c r="BG206" i="18"/>
  <c r="BG161" i="18"/>
  <c r="BG197" i="18"/>
  <c r="BK212" i="18"/>
  <c r="BK194" i="18"/>
  <c r="BK209" i="18"/>
  <c r="BK161" i="18"/>
  <c r="BK197" i="18"/>
  <c r="BK206" i="18"/>
  <c r="BE206" i="18"/>
  <c r="BE197" i="18"/>
  <c r="BE209" i="18"/>
  <c r="BE194" i="18"/>
  <c r="BE161" i="18"/>
  <c r="BE212" i="18"/>
  <c r="T161" i="18"/>
  <c r="T212" i="18"/>
  <c r="T194" i="18"/>
  <c r="T209" i="18"/>
  <c r="T206" i="18"/>
  <c r="T197" i="18"/>
  <c r="BQ206" i="18"/>
  <c r="BQ197" i="18"/>
  <c r="BQ212" i="18"/>
  <c r="BQ194" i="18"/>
  <c r="BQ161" i="18"/>
  <c r="BQ209" i="18"/>
  <c r="AQ212" i="18"/>
  <c r="AQ194" i="18"/>
  <c r="AQ209" i="18"/>
  <c r="AQ206" i="18"/>
  <c r="AQ197" i="18"/>
  <c r="AQ161" i="18"/>
  <c r="AS206" i="18"/>
  <c r="AS197" i="18"/>
  <c r="AS212" i="18"/>
  <c r="AS194" i="18"/>
  <c r="AS161" i="18"/>
  <c r="AS209" i="18"/>
  <c r="U161" i="18"/>
  <c r="U212" i="18"/>
  <c r="U194" i="18"/>
  <c r="U209" i="18"/>
  <c r="U206" i="18"/>
  <c r="U197" i="18"/>
  <c r="AW206" i="18"/>
  <c r="AW197" i="18"/>
  <c r="AW212" i="18"/>
  <c r="AW209" i="18"/>
  <c r="AW161" i="18"/>
  <c r="AW194" i="18"/>
  <c r="BM206" i="18"/>
  <c r="BM197" i="18"/>
  <c r="BM212" i="18"/>
  <c r="BM209" i="18"/>
  <c r="BM161" i="18"/>
  <c r="BM194" i="18"/>
  <c r="BD197" i="18"/>
  <c r="BD161" i="18"/>
  <c r="BD212" i="18"/>
  <c r="BD209" i="18"/>
  <c r="BD194" i="18"/>
  <c r="BD206" i="18"/>
  <c r="BC212" i="18"/>
  <c r="BC194" i="18"/>
  <c r="BC209" i="18"/>
  <c r="BC161" i="18"/>
  <c r="BC206" i="18"/>
  <c r="BC197" i="18"/>
  <c r="AX209" i="18"/>
  <c r="AX206" i="18"/>
  <c r="AX194" i="18"/>
  <c r="AX161" i="18"/>
  <c r="AX197" i="18"/>
  <c r="AX212" i="18"/>
  <c r="AB197" i="18"/>
  <c r="AB161" i="18"/>
  <c r="AB194" i="18"/>
  <c r="AB212" i="18"/>
  <c r="AB206" i="18"/>
  <c r="AB209" i="18"/>
  <c r="BH197" i="18"/>
  <c r="BH161" i="18"/>
  <c r="BH212" i="18"/>
  <c r="BH206" i="18"/>
  <c r="BH209" i="18"/>
  <c r="BH194" i="18"/>
  <c r="AI212" i="18"/>
  <c r="AI194" i="18"/>
  <c r="AI209" i="18"/>
  <c r="AI206" i="18"/>
  <c r="AI161" i="18"/>
  <c r="AI197" i="18"/>
  <c r="S212" i="18"/>
  <c r="S161" i="18"/>
  <c r="BA206" i="18"/>
  <c r="BA197" i="18"/>
  <c r="BA212" i="18"/>
  <c r="BA161" i="18"/>
  <c r="BA194" i="18"/>
  <c r="BA209" i="18"/>
  <c r="AE212" i="18"/>
  <c r="AE194" i="18"/>
  <c r="AE209" i="18"/>
  <c r="AE161" i="18"/>
  <c r="AE197" i="18"/>
  <c r="AE206" i="18"/>
  <c r="M212" i="18"/>
  <c r="M161" i="18"/>
  <c r="BF209" i="18"/>
  <c r="BF206" i="18"/>
  <c r="BF194" i="18"/>
  <c r="BF197" i="18"/>
  <c r="BF161" i="18"/>
  <c r="BF212" i="18"/>
  <c r="AZ197" i="18"/>
  <c r="AZ161" i="18"/>
  <c r="AZ212" i="18"/>
  <c r="AZ209" i="18"/>
  <c r="AZ206" i="18"/>
  <c r="AZ194" i="18"/>
  <c r="L212" i="18"/>
  <c r="L161" i="18"/>
  <c r="BR209" i="18"/>
  <c r="BR206" i="18"/>
  <c r="BR197" i="18"/>
  <c r="BR212" i="18"/>
  <c r="BR194" i="18"/>
  <c r="BR161" i="18"/>
  <c r="S400" i="20"/>
  <c r="S403" i="20" s="1"/>
  <c r="AY401" i="20"/>
  <c r="AY404" i="20" s="1"/>
  <c r="N401" i="20"/>
  <c r="N404" i="20" s="1"/>
  <c r="AW400" i="20"/>
  <c r="AW403" i="20" s="1"/>
  <c r="BP156" i="20"/>
  <c r="BP152" i="20" s="1"/>
  <c r="AI154" i="20"/>
  <c r="AI150" i="20" s="1"/>
  <c r="N154" i="20"/>
  <c r="BP210" i="20"/>
  <c r="BP233" i="20" s="1"/>
  <c r="AX210" i="20"/>
  <c r="AX233" i="20" s="1"/>
  <c r="BC401" i="20"/>
  <c r="BC404" i="20" s="1"/>
  <c r="AX401" i="20"/>
  <c r="AX404" i="20" s="1"/>
  <c r="AC401" i="20"/>
  <c r="AC404" i="20" s="1"/>
  <c r="BP400" i="20"/>
  <c r="BP403" i="20" s="1"/>
  <c r="AI401" i="20"/>
  <c r="AI404" i="20" s="1"/>
  <c r="BJ400" i="20"/>
  <c r="BJ403" i="20" s="1"/>
  <c r="AF401" i="20"/>
  <c r="AF404" i="20" s="1"/>
  <c r="Z401" i="20"/>
  <c r="Z404" i="20" s="1"/>
  <c r="BA401" i="20"/>
  <c r="BA404" i="20" s="1"/>
  <c r="L400" i="20"/>
  <c r="L403" i="20" s="1"/>
  <c r="BR400" i="20"/>
  <c r="BR403" i="20" s="1"/>
  <c r="AY154" i="20"/>
  <c r="AY150" i="20" s="1"/>
  <c r="BJ154" i="20"/>
  <c r="BJ150" i="20" s="1"/>
  <c r="BR210" i="20"/>
  <c r="BR233" i="20" s="1"/>
  <c r="N152" i="20"/>
  <c r="L150" i="20"/>
  <c r="BP401" i="20"/>
  <c r="BP404" i="20" s="1"/>
  <c r="N400" i="20"/>
  <c r="N403" i="20" s="1"/>
  <c r="L401" i="20"/>
  <c r="L404" i="20" s="1"/>
  <c r="Z210" i="20"/>
  <c r="Z233" i="20" s="1"/>
  <c r="L210" i="20"/>
  <c r="L233" i="20" s="1"/>
  <c r="L152" i="20"/>
  <c r="AN156" i="20"/>
  <c r="AN152" i="20" s="1"/>
  <c r="AF154" i="20"/>
  <c r="AF150" i="20" s="1"/>
  <c r="AE154" i="20"/>
  <c r="AE150" i="20" s="1"/>
  <c r="Z154" i="20"/>
  <c r="Z150" i="20" s="1"/>
  <c r="BA154" i="20"/>
  <c r="BA150" i="20" s="1"/>
  <c r="L156" i="20"/>
  <c r="BR154" i="20"/>
  <c r="BR150" i="20" s="1"/>
  <c r="AW154" i="20"/>
  <c r="AW150" i="20" s="1"/>
  <c r="BD154" i="20"/>
  <c r="BD150" i="20" s="1"/>
  <c r="BC154" i="20"/>
  <c r="BC150" i="20" s="1"/>
  <c r="AX154" i="20"/>
  <c r="AX150" i="20" s="1"/>
  <c r="AC154" i="20"/>
  <c r="AC150" i="20" s="1"/>
  <c r="BJ210" i="20"/>
  <c r="BJ233" i="20" s="1"/>
  <c r="G12" i="20"/>
  <c r="AF185" i="20" s="1"/>
  <c r="AW210" i="20"/>
  <c r="AW233" i="20" s="1"/>
  <c r="BC210" i="20"/>
  <c r="BC233" i="20" s="1"/>
  <c r="AC210" i="20"/>
  <c r="AC233" i="20" s="1"/>
  <c r="AL188" i="20"/>
  <c r="U185" i="20"/>
  <c r="AF156" i="20"/>
  <c r="AF152" i="20" s="1"/>
  <c r="AE156" i="20"/>
  <c r="AE152" i="20" s="1"/>
  <c r="Z156" i="20"/>
  <c r="Z152" i="20" s="1"/>
  <c r="BA156" i="20"/>
  <c r="BA152" i="20" s="1"/>
  <c r="BR156" i="20"/>
  <c r="BR152" i="20" s="1"/>
  <c r="AW156" i="20"/>
  <c r="AW152" i="20" s="1"/>
  <c r="BD156" i="20"/>
  <c r="BD152" i="20" s="1"/>
  <c r="BC156" i="20"/>
  <c r="BC152" i="20" s="1"/>
  <c r="AX156" i="20"/>
  <c r="AX152" i="20" s="1"/>
  <c r="AC156" i="20"/>
  <c r="AC152" i="20" s="1"/>
  <c r="AY210" i="20"/>
  <c r="AY233" i="20" s="1"/>
  <c r="N210" i="20"/>
  <c r="N233" i="20" s="1"/>
  <c r="AE210" i="20"/>
  <c r="AE233" i="20" s="1"/>
  <c r="BA210" i="20"/>
  <c r="BA233" i="20" s="1"/>
  <c r="AV401" i="20"/>
  <c r="AV404" i="20" s="1"/>
  <c r="AU400" i="20"/>
  <c r="AU403" i="20" s="1"/>
  <c r="AP210" i="20"/>
  <c r="AP233" i="20" s="1"/>
  <c r="BE210" i="20"/>
  <c r="BE233" i="20" s="1"/>
  <c r="AB401" i="20"/>
  <c r="AB404" i="20" s="1"/>
  <c r="AA401" i="20"/>
  <c r="AA404" i="20" s="1"/>
  <c r="AK400" i="20"/>
  <c r="AK403" i="20" s="1"/>
  <c r="BS203" i="20"/>
  <c r="BS227" i="20" s="1"/>
  <c r="BN400" i="20"/>
  <c r="BN403" i="20" s="1"/>
  <c r="BN188" i="20"/>
  <c r="AG400" i="20"/>
  <c r="AG403" i="20" s="1"/>
  <c r="AG197" i="20"/>
  <c r="AZ200" i="20"/>
  <c r="AJ401" i="20"/>
  <c r="AJ404" i="20" s="1"/>
  <c r="AJ203" i="20"/>
  <c r="AJ227" i="20" s="1"/>
  <c r="T210" i="20"/>
  <c r="T233" i="20" s="1"/>
  <c r="T185" i="20"/>
  <c r="S156" i="20"/>
  <c r="S152" i="20" s="1"/>
  <c r="S183" i="15"/>
  <c r="S188" i="15" s="1"/>
  <c r="P183" i="15"/>
  <c r="P188" i="15" s="1"/>
  <c r="BF164" i="15"/>
  <c r="BD164" i="15"/>
  <c r="AZ164" i="15"/>
  <c r="AW164" i="15"/>
  <c r="AU164" i="15"/>
  <c r="AN164" i="15"/>
  <c r="X164" i="15"/>
  <c r="BK164" i="15"/>
  <c r="BI164" i="15"/>
  <c r="BH164" i="15"/>
  <c r="BG164" i="15"/>
  <c r="AX164" i="15"/>
  <c r="AR164" i="15"/>
  <c r="AM164" i="15"/>
  <c r="AL164" i="15"/>
  <c r="AJ164" i="15"/>
  <c r="AH164" i="15"/>
  <c r="AG164" i="15"/>
  <c r="AE164" i="15"/>
  <c r="AD164" i="15"/>
  <c r="AC164" i="15"/>
  <c r="AA164" i="15"/>
  <c r="W164" i="15"/>
  <c r="T164" i="15"/>
  <c r="BR164" i="15"/>
  <c r="BE164" i="15"/>
  <c r="BC164" i="15"/>
  <c r="AY164" i="15"/>
  <c r="AV164" i="15"/>
  <c r="AO164" i="15"/>
  <c r="AI164" i="15"/>
  <c r="BQ164" i="15"/>
  <c r="BL164" i="15"/>
  <c r="AQ164" i="15"/>
  <c r="AK164" i="15"/>
  <c r="Z164" i="15"/>
  <c r="V164" i="15"/>
  <c r="U164" i="15"/>
  <c r="BS164" i="15"/>
  <c r="BP164" i="15"/>
  <c r="BO164" i="15"/>
  <c r="BN164" i="15"/>
  <c r="BM164" i="15"/>
  <c r="BJ164" i="15"/>
  <c r="BB164" i="15"/>
  <c r="BA164" i="15"/>
  <c r="AT164" i="15"/>
  <c r="AS164" i="15"/>
  <c r="AP164" i="15"/>
  <c r="AF164" i="15"/>
  <c r="AB164" i="15"/>
  <c r="Y164" i="15"/>
  <c r="AP438" i="23"/>
  <c r="AP441" i="23" s="1"/>
  <c r="BB437" i="23"/>
  <c r="BB440" i="23" s="1"/>
  <c r="O437" i="23"/>
  <c r="O440" i="23" s="1"/>
  <c r="BF152" i="23"/>
  <c r="BF150" i="23" s="1"/>
  <c r="BF165" i="23" s="1"/>
  <c r="BA152" i="23"/>
  <c r="BA150" i="23" s="1"/>
  <c r="BA165" i="23" s="1"/>
  <c r="O193" i="23"/>
  <c r="S190" i="23"/>
  <c r="AP437" i="23"/>
  <c r="AP440" i="23" s="1"/>
  <c r="S438" i="23"/>
  <c r="S441" i="23" s="1"/>
  <c r="BB438" i="23"/>
  <c r="BB441" i="23" s="1"/>
  <c r="O152" i="23"/>
  <c r="BG152" i="23"/>
  <c r="BG150" i="23" s="1"/>
  <c r="BG165" i="23" s="1"/>
  <c r="S152" i="23"/>
  <c r="S150" i="23" s="1"/>
  <c r="S165" i="23" s="1"/>
  <c r="O178" i="23"/>
  <c r="O184" i="23" s="1"/>
  <c r="O196" i="23"/>
  <c r="O221" i="23" s="1"/>
  <c r="S193" i="23"/>
  <c r="N190" i="23"/>
  <c r="BB152" i="23"/>
  <c r="BB150" i="23" s="1"/>
  <c r="BB165" i="23" s="1"/>
  <c r="O150" i="23"/>
  <c r="O165" i="23" s="1"/>
  <c r="N152" i="23"/>
  <c r="AP152" i="23"/>
  <c r="AP150" i="23" s="1"/>
  <c r="AP165" i="23" s="1"/>
  <c r="S178" i="23"/>
  <c r="P437" i="23"/>
  <c r="P440" i="23" s="1"/>
  <c r="BH437" i="23"/>
  <c r="BH440" i="23" s="1"/>
  <c r="BC437" i="23"/>
  <c r="BC440" i="23" s="1"/>
  <c r="T437" i="23"/>
  <c r="T440" i="23" s="1"/>
  <c r="P190" i="23"/>
  <c r="L193" i="23"/>
  <c r="L196" i="23"/>
  <c r="L221" i="23" s="1"/>
  <c r="S154" i="20"/>
  <c r="S150" i="20" s="1"/>
  <c r="P438" i="23"/>
  <c r="P441" i="23" s="1"/>
  <c r="BH438" i="23"/>
  <c r="BH441" i="23" s="1"/>
  <c r="BC438" i="23"/>
  <c r="BC441" i="23" s="1"/>
  <c r="T438" i="23"/>
  <c r="T441" i="23" s="1"/>
  <c r="AU152" i="23"/>
  <c r="AU150" i="23" s="1"/>
  <c r="AU165" i="23" s="1"/>
  <c r="AX152" i="23"/>
  <c r="AX150" i="23" s="1"/>
  <c r="AX165" i="23" s="1"/>
  <c r="P152" i="23"/>
  <c r="AW152" i="23"/>
  <c r="AW150" i="23" s="1"/>
  <c r="AW165" i="23" s="1"/>
  <c r="T152" i="23"/>
  <c r="T150" i="23" s="1"/>
  <c r="T165" i="23" s="1"/>
  <c r="AY152" i="23"/>
  <c r="AY150" i="23" s="1"/>
  <c r="AY165" i="23" s="1"/>
  <c r="P181" i="23"/>
  <c r="P184" i="23" s="1"/>
  <c r="P196" i="23"/>
  <c r="P221" i="23" s="1"/>
  <c r="L190" i="23"/>
  <c r="S401" i="20"/>
  <c r="S404" i="20" s="1"/>
  <c r="AX437" i="23"/>
  <c r="AX440" i="23" s="1"/>
  <c r="BQ437" i="23"/>
  <c r="BQ440" i="23" s="1"/>
  <c r="AY438" i="23"/>
  <c r="AY441" i="23" s="1"/>
  <c r="L437" i="23"/>
  <c r="L440" i="23" s="1"/>
  <c r="AU438" i="23"/>
  <c r="AU441" i="23" s="1"/>
  <c r="AD438" i="23"/>
  <c r="AD441" i="23" s="1"/>
  <c r="AW437" i="23"/>
  <c r="AW440" i="23" s="1"/>
  <c r="L152" i="23"/>
  <c r="P150" i="23"/>
  <c r="P165" i="23" s="1"/>
  <c r="BQ152" i="23"/>
  <c r="BQ150" i="23" s="1"/>
  <c r="BQ165" i="23" s="1"/>
  <c r="BH152" i="23"/>
  <c r="BH150" i="23" s="1"/>
  <c r="BH165" i="23" s="1"/>
  <c r="AD152" i="23"/>
  <c r="AD150" i="23" s="1"/>
  <c r="AD165" i="23" s="1"/>
  <c r="BC152" i="23"/>
  <c r="BC150" i="23" s="1"/>
  <c r="BC165" i="23" s="1"/>
  <c r="N150" i="23"/>
  <c r="N165" i="23" s="1"/>
  <c r="AM152" i="23"/>
  <c r="AM150" i="23" s="1"/>
  <c r="AM165" i="23" s="1"/>
  <c r="AG152" i="23"/>
  <c r="AG150" i="23" s="1"/>
  <c r="AG165" i="23" s="1"/>
  <c r="N193" i="23"/>
  <c r="AH437" i="23"/>
  <c r="AH440" i="23" s="1"/>
  <c r="BG438" i="23"/>
  <c r="BG441" i="23" s="1"/>
  <c r="BA438" i="23"/>
  <c r="BA441" i="23" s="1"/>
  <c r="AB437" i="23"/>
  <c r="AB440" i="23" s="1"/>
  <c r="N438" i="23"/>
  <c r="N441" i="23" s="1"/>
  <c r="AM438" i="23"/>
  <c r="AM441" i="23" s="1"/>
  <c r="AG437" i="23"/>
  <c r="AG440" i="23" s="1"/>
  <c r="AH152" i="23"/>
  <c r="AH150" i="23" s="1"/>
  <c r="AH165" i="23" s="1"/>
  <c r="N178" i="23"/>
  <c r="N184" i="23" s="1"/>
  <c r="N196" i="23"/>
  <c r="AH438" i="23"/>
  <c r="AH441" i="23" s="1"/>
  <c r="BG437" i="23"/>
  <c r="BG440" i="23" s="1"/>
  <c r="BA437" i="23"/>
  <c r="BA440" i="23" s="1"/>
  <c r="AB438" i="23"/>
  <c r="AB441" i="23" s="1"/>
  <c r="N437" i="23"/>
  <c r="N440" i="23" s="1"/>
  <c r="AM437" i="23"/>
  <c r="AM440" i="23" s="1"/>
  <c r="AG438" i="23"/>
  <c r="AG441" i="23" s="1"/>
  <c r="BE400" i="20"/>
  <c r="BE403" i="20" s="1"/>
  <c r="T154" i="20"/>
  <c r="T150" i="20" s="1"/>
  <c r="AV210" i="20"/>
  <c r="AV233" i="20" s="1"/>
  <c r="AB210" i="20"/>
  <c r="AB233" i="20" s="1"/>
  <c r="T400" i="20"/>
  <c r="T403" i="20" s="1"/>
  <c r="T156" i="20"/>
  <c r="T152" i="20" s="1"/>
  <c r="T401" i="20"/>
  <c r="T404" i="20" s="1"/>
  <c r="BE165" i="23"/>
  <c r="M165" i="23"/>
  <c r="AQ165" i="23"/>
  <c r="BR165" i="23"/>
  <c r="AE165" i="23"/>
  <c r="BI165" i="23"/>
  <c r="AA165" i="23"/>
  <c r="U165" i="23"/>
  <c r="AT165" i="23"/>
  <c r="AN165" i="23"/>
  <c r="W165" i="23"/>
  <c r="AI165" i="23"/>
  <c r="AV165" i="23"/>
  <c r="BJ165" i="23"/>
  <c r="X165" i="23"/>
  <c r="Y165" i="23"/>
  <c r="BL165" i="23"/>
  <c r="AS165" i="23"/>
  <c r="BS165" i="23"/>
  <c r="BM165" i="23"/>
  <c r="AC165" i="23"/>
  <c r="V165" i="23"/>
  <c r="AL165" i="23"/>
  <c r="BK165" i="23"/>
  <c r="BP165" i="23"/>
  <c r="BO165" i="23"/>
  <c r="BN165" i="23"/>
  <c r="AB165" i="23"/>
  <c r="AZ165" i="23"/>
  <c r="AF165" i="23"/>
  <c r="BR221" i="23"/>
  <c r="AE221" i="23"/>
  <c r="AI221" i="23"/>
  <c r="M221" i="23"/>
  <c r="S221" i="23"/>
  <c r="Q221" i="23"/>
  <c r="AE184" i="23"/>
  <c r="AE201" i="23" s="1"/>
  <c r="AE372" i="23" s="1"/>
  <c r="BR184" i="23"/>
  <c r="BR201" i="23" s="1"/>
  <c r="BR372" i="23" s="1"/>
  <c r="BD166" i="9"/>
  <c r="BF164" i="9"/>
  <c r="AQ164" i="9"/>
  <c r="BP166" i="9"/>
  <c r="AO166" i="9"/>
  <c r="AH166" i="9"/>
  <c r="P164" i="9"/>
  <c r="AB164" i="9"/>
  <c r="N164" i="9"/>
  <c r="BR166" i="9"/>
  <c r="AA164" i="9"/>
  <c r="Y166" i="9"/>
  <c r="BR164" i="9"/>
  <c r="S164" i="9"/>
  <c r="AB166" i="9"/>
  <c r="AF164" i="9"/>
  <c r="U164" i="9"/>
  <c r="R164" i="9"/>
  <c r="S166" i="9"/>
  <c r="W164" i="9"/>
  <c r="T164" i="9"/>
  <c r="M164" i="9"/>
  <c r="BQ166" i="9"/>
  <c r="N166" i="9"/>
  <c r="BJ166" i="9"/>
  <c r="BN164" i="9"/>
  <c r="BS166" i="9"/>
  <c r="Q164" i="9"/>
  <c r="R166" i="9"/>
  <c r="BI166" i="9"/>
  <c r="BB166" i="9"/>
  <c r="BG164" i="9"/>
  <c r="AN164" i="9"/>
  <c r="BN166" i="9"/>
  <c r="AA166" i="9"/>
  <c r="AE164" i="9"/>
  <c r="X166" i="9"/>
  <c r="AR164" i="9"/>
  <c r="AC166" i="9"/>
  <c r="AG164" i="9"/>
  <c r="V166" i="9"/>
  <c r="Z164" i="9"/>
  <c r="O164" i="9"/>
  <c r="P166" i="9"/>
  <c r="BE166" i="9"/>
  <c r="AX166" i="9"/>
  <c r="AE166" i="9"/>
  <c r="AI164" i="9"/>
  <c r="AR166" i="9"/>
  <c r="AV164" i="9"/>
  <c r="AG166" i="9"/>
  <c r="AK164" i="9"/>
  <c r="Z166" i="9"/>
  <c r="AD164" i="9"/>
  <c r="AI166" i="9"/>
  <c r="AM164" i="9"/>
  <c r="AF166" i="9"/>
  <c r="AJ164" i="9"/>
  <c r="U166" i="9"/>
  <c r="Y164" i="9"/>
  <c r="AJ166" i="9"/>
  <c r="BG166" i="9"/>
  <c r="BK164" i="9"/>
  <c r="M166" i="9"/>
  <c r="BM164" i="9"/>
  <c r="AM166" i="9"/>
  <c r="T166" i="9"/>
  <c r="BD164" i="9"/>
  <c r="AS164" i="9"/>
  <c r="BB164" i="9"/>
  <c r="AQ166" i="9"/>
  <c r="AU164" i="9"/>
  <c r="AN166" i="9"/>
  <c r="BH164" i="9"/>
  <c r="AS166" i="9"/>
  <c r="AW164" i="9"/>
  <c r="AL166" i="9"/>
  <c r="AP164" i="9"/>
  <c r="W166" i="9"/>
  <c r="AZ166" i="9"/>
  <c r="AC164" i="9"/>
  <c r="V164" i="9"/>
  <c r="AU166" i="9"/>
  <c r="AY164" i="9"/>
  <c r="BH166" i="9"/>
  <c r="BL164" i="9"/>
  <c r="AW166" i="9"/>
  <c r="BA164" i="9"/>
  <c r="AP166" i="9"/>
  <c r="AT164" i="9"/>
  <c r="AY166" i="9"/>
  <c r="BC164" i="9"/>
  <c r="AV166" i="9"/>
  <c r="AZ164" i="9"/>
  <c r="AK166" i="9"/>
  <c r="AO164" i="9"/>
  <c r="AD166" i="9"/>
  <c r="AH164" i="9"/>
  <c r="BC166" i="9"/>
  <c r="X164" i="9"/>
  <c r="BI164" i="9"/>
  <c r="AL164" i="9"/>
  <c r="BK166" i="9"/>
  <c r="BO164" i="9"/>
  <c r="Q166" i="9"/>
  <c r="BM166" i="9"/>
  <c r="BQ164" i="9"/>
  <c r="BF166" i="9"/>
  <c r="BJ164" i="9"/>
  <c r="O166" i="9"/>
  <c r="BO166" i="9"/>
  <c r="BS164" i="9"/>
  <c r="BL166" i="9"/>
  <c r="BP164" i="9"/>
  <c r="BA166" i="9"/>
  <c r="BE164" i="9"/>
  <c r="AT166" i="9"/>
  <c r="AX164" i="9"/>
  <c r="P152" i="20"/>
  <c r="O401" i="20"/>
  <c r="O404" i="20" s="1"/>
  <c r="BM156" i="20"/>
  <c r="BM152" i="20" s="1"/>
  <c r="BH210" i="20"/>
  <c r="BH233" i="20" s="1"/>
  <c r="BG210" i="20"/>
  <c r="BG233" i="20" s="1"/>
  <c r="BB401" i="20"/>
  <c r="BB404" i="20" s="1"/>
  <c r="AS156" i="20"/>
  <c r="AS152" i="20" s="1"/>
  <c r="AN210" i="20"/>
  <c r="AN233" i="20" s="1"/>
  <c r="AM156" i="20"/>
  <c r="AM152" i="20" s="1"/>
  <c r="AH400" i="20"/>
  <c r="AH403" i="20" s="1"/>
  <c r="Y156" i="20"/>
  <c r="Y152" i="20" s="1"/>
  <c r="AT156" i="20"/>
  <c r="AT152" i="20" s="1"/>
  <c r="AD210" i="20"/>
  <c r="AD233" i="20" s="1"/>
  <c r="BO400" i="20"/>
  <c r="BO403" i="20" s="1"/>
  <c r="R203" i="20"/>
  <c r="R227" i="20" s="1"/>
  <c r="L156" i="11"/>
  <c r="L164" i="15" s="1"/>
  <c r="L202" i="11"/>
  <c r="L219" i="15" s="1"/>
  <c r="AU401" i="20"/>
  <c r="AU404" i="20" s="1"/>
  <c r="AP401" i="20"/>
  <c r="AP404" i="20" s="1"/>
  <c r="BE401" i="20"/>
  <c r="BE404" i="20" s="1"/>
  <c r="AB400" i="20"/>
  <c r="AB403" i="20" s="1"/>
  <c r="AA400" i="20"/>
  <c r="AA403" i="20" s="1"/>
  <c r="V401" i="20"/>
  <c r="V404" i="20" s="1"/>
  <c r="AK401" i="20"/>
  <c r="AK404" i="20" s="1"/>
  <c r="BS401" i="20"/>
  <c r="BS404" i="20" s="1"/>
  <c r="BN210" i="20"/>
  <c r="BN233" i="20" s="1"/>
  <c r="AG401" i="20"/>
  <c r="AG404" i="20" s="1"/>
  <c r="AZ156" i="20"/>
  <c r="AZ152" i="20" s="1"/>
  <c r="AJ210" i="20"/>
  <c r="AJ233" i="20" s="1"/>
  <c r="BA412" i="18"/>
  <c r="BA415" i="18" s="1"/>
  <c r="Q159" i="18"/>
  <c r="Q212" i="18"/>
  <c r="BP240" i="18"/>
  <c r="AD154" i="20"/>
  <c r="AD150" i="20" s="1"/>
  <c r="P400" i="20"/>
  <c r="P403" i="20" s="1"/>
  <c r="BB400" i="20"/>
  <c r="BB403" i="20" s="1"/>
  <c r="O154" i="20"/>
  <c r="AH154" i="20"/>
  <c r="AH150" i="20" s="1"/>
  <c r="O150" i="20"/>
  <c r="BH154" i="20"/>
  <c r="BH150" i="20" s="1"/>
  <c r="BO210" i="20"/>
  <c r="BO233" i="20" s="1"/>
  <c r="AN401" i="20"/>
  <c r="AN404" i="20" s="1"/>
  <c r="Y401" i="20"/>
  <c r="Y404" i="20" s="1"/>
  <c r="AT401" i="20"/>
  <c r="AT404" i="20" s="1"/>
  <c r="O400" i="20"/>
  <c r="O403" i="20" s="1"/>
  <c r="BG400" i="20"/>
  <c r="BG403" i="20" s="1"/>
  <c r="BO154" i="20"/>
  <c r="BO150" i="20" s="1"/>
  <c r="BB154" i="20"/>
  <c r="BB150" i="20" s="1"/>
  <c r="AM210" i="20"/>
  <c r="AM233" i="20" s="1"/>
  <c r="AH401" i="20"/>
  <c r="AH404" i="20" s="1"/>
  <c r="Y400" i="20"/>
  <c r="Y403" i="20" s="1"/>
  <c r="BO401" i="20"/>
  <c r="BO404" i="20" s="1"/>
  <c r="AD400" i="20"/>
  <c r="AD403" i="20" s="1"/>
  <c r="P401" i="20"/>
  <c r="P404" i="20" s="1"/>
  <c r="BH400" i="20"/>
  <c r="BH403" i="20" s="1"/>
  <c r="BG401" i="20"/>
  <c r="BG404" i="20" s="1"/>
  <c r="BO156" i="20"/>
  <c r="BO152" i="20" s="1"/>
  <c r="AD156" i="20"/>
  <c r="AD152" i="20" s="1"/>
  <c r="O156" i="20"/>
  <c r="BH156" i="20"/>
  <c r="BH152" i="20" s="1"/>
  <c r="BB156" i="20"/>
  <c r="BB152" i="20" s="1"/>
  <c r="AN154" i="20"/>
  <c r="AN150" i="20" s="1"/>
  <c r="AH156" i="20"/>
  <c r="AH152" i="20" s="1"/>
  <c r="AT210" i="20"/>
  <c r="AT233" i="20" s="1"/>
  <c r="AH210" i="20"/>
  <c r="AH233" i="20" s="1"/>
  <c r="AS210" i="20"/>
  <c r="AS233" i="20" s="1"/>
  <c r="O152" i="20"/>
  <c r="AM401" i="20"/>
  <c r="AM404" i="20" s="1"/>
  <c r="AD401" i="20"/>
  <c r="AD404" i="20" s="1"/>
  <c r="BM401" i="20"/>
  <c r="BM404" i="20" s="1"/>
  <c r="BH401" i="20"/>
  <c r="BH404" i="20" s="1"/>
  <c r="AS401" i="20"/>
  <c r="AS404" i="20" s="1"/>
  <c r="AT154" i="20"/>
  <c r="AT150" i="20" s="1"/>
  <c r="P154" i="20"/>
  <c r="P150" i="20" s="1"/>
  <c r="BM154" i="20"/>
  <c r="BM150" i="20" s="1"/>
  <c r="BG154" i="20"/>
  <c r="BG150" i="20" s="1"/>
  <c r="AS154" i="20"/>
  <c r="AS150" i="20" s="1"/>
  <c r="AM154" i="20"/>
  <c r="AM150" i="20" s="1"/>
  <c r="Y154" i="20"/>
  <c r="Y150" i="20" s="1"/>
  <c r="Y210" i="20"/>
  <c r="Y233" i="20" s="1"/>
  <c r="P210" i="20"/>
  <c r="P233" i="20" s="1"/>
  <c r="O210" i="20"/>
  <c r="O233" i="20" s="1"/>
  <c r="BM210" i="20"/>
  <c r="BM233" i="20" s="1"/>
  <c r="BB210" i="20"/>
  <c r="BB233" i="20" s="1"/>
  <c r="AN400" i="20"/>
  <c r="AN403" i="20" s="1"/>
  <c r="AM400" i="20"/>
  <c r="AM403" i="20" s="1"/>
  <c r="AT400" i="20"/>
  <c r="AT403" i="20" s="1"/>
  <c r="BM400" i="20"/>
  <c r="BM403" i="20" s="1"/>
  <c r="AS400" i="20"/>
  <c r="AS403" i="20" s="1"/>
  <c r="P156" i="20"/>
  <c r="BG156" i="20"/>
  <c r="BG152" i="20" s="1"/>
  <c r="N183" i="15"/>
  <c r="N188" i="15" s="1"/>
  <c r="M224" i="11"/>
  <c r="M243" i="15"/>
  <c r="BR166" i="15"/>
  <c r="BR186" i="15" s="1"/>
  <c r="AN223" i="9"/>
  <c r="V223" i="9"/>
  <c r="P223" i="9"/>
  <c r="AK223" i="9"/>
  <c r="AL223" i="9"/>
  <c r="AC223" i="9"/>
  <c r="T223" i="9"/>
  <c r="AH223" i="9"/>
  <c r="AP223" i="9"/>
  <c r="BK223" i="9"/>
  <c r="AF223" i="9"/>
  <c r="BO223" i="9"/>
  <c r="AV223" i="9"/>
  <c r="X223" i="9"/>
  <c r="R223" i="9"/>
  <c r="Y223" i="9"/>
  <c r="AT223" i="9"/>
  <c r="BD223" i="9"/>
  <c r="BQ223" i="9"/>
  <c r="W223" i="9"/>
  <c r="AS223" i="9"/>
  <c r="BR223" i="9"/>
  <c r="BH223" i="9"/>
  <c r="AG223" i="9"/>
  <c r="BB223" i="9"/>
  <c r="BF223" i="9"/>
  <c r="O223" i="9"/>
  <c r="AZ223" i="9"/>
  <c r="AB223" i="9"/>
  <c r="S223" i="9"/>
  <c r="BP223" i="9"/>
  <c r="AR223" i="9"/>
  <c r="BG223" i="9"/>
  <c r="AX223" i="9"/>
  <c r="U223" i="9"/>
  <c r="BJ223" i="9"/>
  <c r="AO223" i="9"/>
  <c r="BN223" i="9"/>
  <c r="BI223" i="9"/>
  <c r="AM223" i="9"/>
  <c r="AW223" i="9"/>
  <c r="AJ223" i="9"/>
  <c r="AE223" i="9"/>
  <c r="AI223" i="9"/>
  <c r="Q223" i="9"/>
  <c r="BA223" i="9"/>
  <c r="BC223" i="9"/>
  <c r="BE223" i="9"/>
  <c r="AA223" i="9"/>
  <c r="M223" i="9"/>
  <c r="AD223" i="9"/>
  <c r="BS223" i="9"/>
  <c r="BL223" i="9"/>
  <c r="BM223" i="9"/>
  <c r="N223" i="9"/>
  <c r="AQ223" i="9"/>
  <c r="Z223" i="9"/>
  <c r="AU223" i="9"/>
  <c r="AY223" i="9"/>
  <c r="L187" i="11"/>
  <c r="L204" i="15" s="1"/>
  <c r="L196" i="11"/>
  <c r="L184" i="11"/>
  <c r="L201" i="15" s="1"/>
  <c r="L199" i="11"/>
  <c r="L216" i="15" s="1"/>
  <c r="S158" i="11"/>
  <c r="S230" i="11" s="1"/>
  <c r="BA158" i="11"/>
  <c r="BA230" i="11" s="1"/>
  <c r="AZ158" i="11"/>
  <c r="AZ230" i="11" s="1"/>
  <c r="BM158" i="11"/>
  <c r="BM230" i="11" s="1"/>
  <c r="P158" i="11"/>
  <c r="P230" i="11" s="1"/>
  <c r="AT158" i="11"/>
  <c r="AT230" i="11" s="1"/>
  <c r="Y158" i="11"/>
  <c r="Y230" i="11" s="1"/>
  <c r="BG158" i="11"/>
  <c r="BG230" i="11" s="1"/>
  <c r="BP158" i="11"/>
  <c r="BP230" i="11" s="1"/>
  <c r="BC158" i="11"/>
  <c r="BC230" i="11" s="1"/>
  <c r="AL158" i="11"/>
  <c r="AL230" i="11" s="1"/>
  <c r="AK158" i="11"/>
  <c r="AK230" i="11" s="1"/>
  <c r="AC158" i="11"/>
  <c r="AC230" i="11" s="1"/>
  <c r="U158" i="11"/>
  <c r="U230" i="11" s="1"/>
  <c r="BF158" i="11"/>
  <c r="BF230" i="11" s="1"/>
  <c r="S125" i="11"/>
  <c r="BN125" i="11"/>
  <c r="AV125" i="11"/>
  <c r="AS158" i="11"/>
  <c r="AS230" i="11" s="1"/>
  <c r="BL158" i="11"/>
  <c r="BL230" i="11" s="1"/>
  <c r="AE158" i="11"/>
  <c r="AE230" i="11" s="1"/>
  <c r="Z158" i="11"/>
  <c r="Z230" i="11" s="1"/>
  <c r="BK158" i="11"/>
  <c r="BK230" i="11" s="1"/>
  <c r="N158" i="11"/>
  <c r="N230" i="11" s="1"/>
  <c r="R158" i="11"/>
  <c r="R230" i="11" s="1"/>
  <c r="O158" i="11"/>
  <c r="O230" i="11" s="1"/>
  <c r="AZ400" i="20"/>
  <c r="AZ403" i="20" s="1"/>
  <c r="AJ154" i="20"/>
  <c r="AJ150" i="20" s="1"/>
  <c r="AV154" i="20"/>
  <c r="AV150" i="20" s="1"/>
  <c r="AU154" i="20"/>
  <c r="AU150" i="20" s="1"/>
  <c r="AP154" i="20"/>
  <c r="AP150" i="20" s="1"/>
  <c r="BE154" i="20"/>
  <c r="BE150" i="20" s="1"/>
  <c r="AB154" i="20"/>
  <c r="AB150" i="20" s="1"/>
  <c r="AA154" i="20"/>
  <c r="AA150" i="20" s="1"/>
  <c r="V154" i="20"/>
  <c r="V150" i="20" s="1"/>
  <c r="AK154" i="20"/>
  <c r="AK150" i="20" s="1"/>
  <c r="BS154" i="20"/>
  <c r="BS150" i="20" s="1"/>
  <c r="BN154" i="20"/>
  <c r="BN150" i="20" s="1"/>
  <c r="AG154" i="20"/>
  <c r="AG150" i="20" s="1"/>
  <c r="BS210" i="20"/>
  <c r="BS233" i="20" s="1"/>
  <c r="AG210" i="20"/>
  <c r="AG233" i="20" s="1"/>
  <c r="AA210" i="20"/>
  <c r="AA233" i="20" s="1"/>
  <c r="V210" i="20"/>
  <c r="V233" i="20" s="1"/>
  <c r="AK210" i="20"/>
  <c r="AK233" i="20" s="1"/>
  <c r="AZ401" i="20"/>
  <c r="AZ404" i="20" s="1"/>
  <c r="AJ156" i="20"/>
  <c r="AJ152" i="20" s="1"/>
  <c r="AV156" i="20"/>
  <c r="AV152" i="20" s="1"/>
  <c r="AU156" i="20"/>
  <c r="AU152" i="20" s="1"/>
  <c r="AP156" i="20"/>
  <c r="AP152" i="20" s="1"/>
  <c r="BE156" i="20"/>
  <c r="BE152" i="20" s="1"/>
  <c r="AB156" i="20"/>
  <c r="AB152" i="20" s="1"/>
  <c r="AA156" i="20"/>
  <c r="AA152" i="20" s="1"/>
  <c r="V156" i="20"/>
  <c r="V152" i="20" s="1"/>
  <c r="AK156" i="20"/>
  <c r="AK152" i="20" s="1"/>
  <c r="BS156" i="20"/>
  <c r="BS152" i="20" s="1"/>
  <c r="BN156" i="20"/>
  <c r="BN152" i="20" s="1"/>
  <c r="AG156" i="20"/>
  <c r="AG152" i="20" s="1"/>
  <c r="AZ210" i="20"/>
  <c r="AZ233" i="20" s="1"/>
  <c r="BN401" i="20"/>
  <c r="BN404" i="20" s="1"/>
  <c r="AJ400" i="20"/>
  <c r="AJ403" i="20" s="1"/>
  <c r="AV400" i="20"/>
  <c r="AV403" i="20" s="1"/>
  <c r="AR125" i="11"/>
  <c r="BH125" i="11"/>
  <c r="AX125" i="11"/>
  <c r="AG125" i="11"/>
  <c r="W125" i="11"/>
  <c r="R125" i="11"/>
  <c r="BK125" i="11"/>
  <c r="BI125" i="11"/>
  <c r="AO125" i="11"/>
  <c r="AN125" i="11"/>
  <c r="BA125" i="11"/>
  <c r="AP125" i="11"/>
  <c r="AI125" i="11"/>
  <c r="P125" i="11"/>
  <c r="AZ125" i="11"/>
  <c r="AJ125" i="11"/>
  <c r="X125" i="11"/>
  <c r="BP125" i="11"/>
  <c r="BF125" i="11"/>
  <c r="Z125" i="11"/>
  <c r="BE125" i="11"/>
  <c r="AY125" i="11"/>
  <c r="AT125" i="11"/>
  <c r="AS125" i="11"/>
  <c r="M200" i="20"/>
  <c r="S197" i="20"/>
  <c r="S188" i="20"/>
  <c r="AZ219" i="18"/>
  <c r="L219" i="18"/>
  <c r="L159" i="18"/>
  <c r="BR219" i="18"/>
  <c r="BP166" i="15"/>
  <c r="BP186" i="15" s="1"/>
  <c r="BJ166" i="15"/>
  <c r="BJ186" i="15" s="1"/>
  <c r="AL166" i="15"/>
  <c r="AL186" i="15" s="1"/>
  <c r="BJ158" i="11"/>
  <c r="BJ230" i="11" s="1"/>
  <c r="AO158" i="11"/>
  <c r="AO230" i="11" s="1"/>
  <c r="X158" i="11"/>
  <c r="X230" i="11" s="1"/>
  <c r="AH166" i="15"/>
  <c r="AH186" i="15" s="1"/>
  <c r="BD219" i="18"/>
  <c r="BC219" i="18"/>
  <c r="AX219" i="18"/>
  <c r="AB219" i="18"/>
  <c r="BH219" i="18"/>
  <c r="AI219" i="18"/>
  <c r="S219" i="18"/>
  <c r="BA219" i="18"/>
  <c r="AE219" i="18"/>
  <c r="M219" i="18"/>
  <c r="M159" i="18"/>
  <c r="BF219" i="18"/>
  <c r="BQ158" i="11"/>
  <c r="BQ230" i="11" s="1"/>
  <c r="BB158" i="11"/>
  <c r="BB230" i="11" s="1"/>
  <c r="AO166" i="15"/>
  <c r="AO186" i="15" s="1"/>
  <c r="AJ166" i="15"/>
  <c r="AJ186" i="15" s="1"/>
  <c r="AF166" i="15"/>
  <c r="AF186" i="15" s="1"/>
  <c r="AD166" i="15"/>
  <c r="AD186" i="15" s="1"/>
  <c r="X219" i="18"/>
  <c r="W219" i="18"/>
  <c r="R219" i="18"/>
  <c r="AU219" i="18"/>
  <c r="P219" i="18"/>
  <c r="P159" i="18"/>
  <c r="AR219" i="18"/>
  <c r="AD219" i="18"/>
  <c r="AG219" i="18"/>
  <c r="V219" i="18"/>
  <c r="AF219" i="18"/>
  <c r="Y219" i="18"/>
  <c r="AL219" i="18"/>
  <c r="AO219" i="18"/>
  <c r="AK219" i="18"/>
  <c r="N219" i="18"/>
  <c r="N159" i="18"/>
  <c r="O188" i="20"/>
  <c r="BL125" i="11"/>
  <c r="BE158" i="11"/>
  <c r="BE230" i="11" s="1"/>
  <c r="M158" i="11"/>
  <c r="M230" i="11" s="1"/>
  <c r="BB166" i="15"/>
  <c r="BB186" i="15" s="1"/>
  <c r="AY166" i="15"/>
  <c r="AY186" i="15" s="1"/>
  <c r="AW158" i="11"/>
  <c r="AW230" i="11" s="1"/>
  <c r="AW125" i="11"/>
  <c r="AU125" i="11"/>
  <c r="AH158" i="11"/>
  <c r="AH230" i="11" s="1"/>
  <c r="AB158" i="11"/>
  <c r="AB230" i="11" s="1"/>
  <c r="AA158" i="11"/>
  <c r="AA230" i="11" s="1"/>
  <c r="BC166" i="15"/>
  <c r="BC186" i="15" s="1"/>
  <c r="AW166" i="15"/>
  <c r="AW186" i="15" s="1"/>
  <c r="AU166" i="15"/>
  <c r="AU186" i="15" s="1"/>
  <c r="AR166" i="15"/>
  <c r="AR186" i="15" s="1"/>
  <c r="AI166" i="15"/>
  <c r="AI186" i="15" s="1"/>
  <c r="AB166" i="15"/>
  <c r="AB186" i="15" s="1"/>
  <c r="V166" i="15"/>
  <c r="V186" i="15" s="1"/>
  <c r="R166" i="15"/>
  <c r="R186" i="15" s="1"/>
  <c r="BS219" i="18"/>
  <c r="BN219" i="18"/>
  <c r="AV219" i="18"/>
  <c r="AA219" i="18"/>
  <c r="BG219" i="18"/>
  <c r="BK219" i="18"/>
  <c r="BE219" i="18"/>
  <c r="T219" i="18"/>
  <c r="BQ219" i="18"/>
  <c r="AQ219" i="18"/>
  <c r="AS219" i="18"/>
  <c r="U219" i="18"/>
  <c r="AW219" i="18"/>
  <c r="BM219" i="18"/>
  <c r="BJ125" i="11"/>
  <c r="BB125" i="11"/>
  <c r="AH125" i="11"/>
  <c r="AE125" i="11"/>
  <c r="T125" i="11"/>
  <c r="U125" i="11"/>
  <c r="O125" i="11"/>
  <c r="BQ166" i="15"/>
  <c r="BQ186" i="15" s="1"/>
  <c r="BN166" i="15"/>
  <c r="BN186" i="15" s="1"/>
  <c r="BF166" i="15"/>
  <c r="BF186" i="15" s="1"/>
  <c r="AT166" i="15"/>
  <c r="AT186" i="15" s="1"/>
  <c r="AQ166" i="15"/>
  <c r="AQ186" i="15" s="1"/>
  <c r="AP166" i="15"/>
  <c r="AP186" i="15" s="1"/>
  <c r="U166" i="15"/>
  <c r="U186" i="15" s="1"/>
  <c r="P166" i="15"/>
  <c r="P186" i="15" s="1"/>
  <c r="O166" i="15"/>
  <c r="O186" i="15" s="1"/>
  <c r="M166" i="15"/>
  <c r="M186" i="15" s="1"/>
  <c r="AF125" i="11"/>
  <c r="V125" i="11"/>
  <c r="BM166" i="15"/>
  <c r="BM186" i="15" s="1"/>
  <c r="BK166" i="15"/>
  <c r="BK186" i="15" s="1"/>
  <c r="BI166" i="15"/>
  <c r="BI186" i="15" s="1"/>
  <c r="BG166" i="15"/>
  <c r="BG186" i="15" s="1"/>
  <c r="BA166" i="15"/>
  <c r="BA186" i="15" s="1"/>
  <c r="AZ166" i="15"/>
  <c r="AZ186" i="15" s="1"/>
  <c r="AX166" i="15"/>
  <c r="AX186" i="15" s="1"/>
  <c r="AN166" i="15"/>
  <c r="AN186" i="15" s="1"/>
  <c r="AM166" i="15"/>
  <c r="AM186" i="15" s="1"/>
  <c r="AK166" i="15"/>
  <c r="AK186" i="15" s="1"/>
  <c r="AG166" i="15"/>
  <c r="AG186" i="15" s="1"/>
  <c r="AE166" i="15"/>
  <c r="AE186" i="15" s="1"/>
  <c r="AC166" i="15"/>
  <c r="AC186" i="15" s="1"/>
  <c r="AA166" i="15"/>
  <c r="AA186" i="15" s="1"/>
  <c r="Y166" i="15"/>
  <c r="Y186" i="15" s="1"/>
  <c r="W166" i="15"/>
  <c r="W186" i="15" s="1"/>
  <c r="T166" i="15"/>
  <c r="T186" i="15" s="1"/>
  <c r="S166" i="15"/>
  <c r="S186" i="15" s="1"/>
  <c r="N166" i="15"/>
  <c r="N186" i="15" s="1"/>
  <c r="AN219" i="18"/>
  <c r="AM219" i="18"/>
  <c r="AH219" i="18"/>
  <c r="BO219" i="18"/>
  <c r="AJ219" i="18"/>
  <c r="O219" i="18"/>
  <c r="O159" i="18"/>
  <c r="BB219" i="18"/>
  <c r="AC219" i="18"/>
  <c r="AT219" i="18"/>
  <c r="BI219" i="18"/>
  <c r="Z219" i="18"/>
  <c r="AY219" i="18"/>
  <c r="BJ219" i="18"/>
  <c r="AP219" i="18"/>
  <c r="BL219" i="18"/>
  <c r="BQ125" i="11"/>
  <c r="BO125" i="11"/>
  <c r="BM125" i="11"/>
  <c r="BD125" i="11"/>
  <c r="BC125" i="11"/>
  <c r="AQ125" i="11"/>
  <c r="AM125" i="11"/>
  <c r="AL125" i="11"/>
  <c r="AK125" i="11"/>
  <c r="AD125" i="11"/>
  <c r="AC125" i="11"/>
  <c r="AB125" i="11"/>
  <c r="AA125" i="11"/>
  <c r="Y125" i="11"/>
  <c r="W158" i="11"/>
  <c r="W230" i="11" s="1"/>
  <c r="Q125" i="11"/>
  <c r="N125" i="11"/>
  <c r="L404" i="11"/>
  <c r="L407" i="11" s="1"/>
  <c r="L403" i="11"/>
  <c r="L406" i="11" s="1"/>
  <c r="L160" i="11"/>
  <c r="I124" i="11"/>
  <c r="I122" i="11"/>
  <c r="BO166" i="15"/>
  <c r="BO186" i="15" s="1"/>
  <c r="BL166" i="15"/>
  <c r="BL186" i="15" s="1"/>
  <c r="BH166" i="15"/>
  <c r="BH186" i="15" s="1"/>
  <c r="BE166" i="15"/>
  <c r="BE186" i="15" s="1"/>
  <c r="BD166" i="15"/>
  <c r="BD186" i="15" s="1"/>
  <c r="AV166" i="15"/>
  <c r="AV186" i="15" s="1"/>
  <c r="AS166" i="15"/>
  <c r="AS186" i="15" s="1"/>
  <c r="Z166" i="15"/>
  <c r="Z186" i="15" s="1"/>
  <c r="X166" i="15"/>
  <c r="X186" i="15" s="1"/>
  <c r="Q166" i="15"/>
  <c r="Q186" i="15" s="1"/>
  <c r="L172" i="15"/>
  <c r="L168" i="15" s="1"/>
  <c r="L425" i="15"/>
  <c r="L428" i="15" s="1"/>
  <c r="L170" i="15"/>
  <c r="L426" i="15"/>
  <c r="L429" i="15" s="1"/>
  <c r="L148" i="9"/>
  <c r="L196" i="9"/>
  <c r="L206" i="9"/>
  <c r="L193" i="9"/>
  <c r="L146" i="9"/>
  <c r="L184" i="9"/>
  <c r="L150" i="9"/>
  <c r="L181" i="9"/>
  <c r="L152" i="9"/>
  <c r="L399" i="9"/>
  <c r="L402" i="9" s="1"/>
  <c r="L398" i="9"/>
  <c r="L401" i="9" s="1"/>
  <c r="BP236" i="18"/>
  <c r="Q411" i="18"/>
  <c r="Q414" i="18" s="1"/>
  <c r="Q219" i="18"/>
  <c r="O209" i="18"/>
  <c r="O206" i="18"/>
  <c r="O197" i="18"/>
  <c r="O194" i="18"/>
  <c r="S209" i="18"/>
  <c r="S206" i="18"/>
  <c r="S197" i="18"/>
  <c r="S194" i="18"/>
  <c r="M209" i="18"/>
  <c r="M206" i="18"/>
  <c r="M197" i="18"/>
  <c r="M194" i="18"/>
  <c r="Q209" i="18"/>
  <c r="Q206" i="18"/>
  <c r="Q197" i="18"/>
  <c r="Q194" i="18"/>
  <c r="L209" i="18"/>
  <c r="L206" i="18"/>
  <c r="L197" i="18"/>
  <c r="L194" i="18"/>
  <c r="R209" i="18"/>
  <c r="R206" i="18"/>
  <c r="R197" i="18"/>
  <c r="R194" i="18"/>
  <c r="P209" i="18"/>
  <c r="P206" i="18"/>
  <c r="P197" i="18"/>
  <c r="P194" i="18"/>
  <c r="N209" i="18"/>
  <c r="N206" i="18"/>
  <c r="N197" i="18"/>
  <c r="N194" i="18"/>
  <c r="Q412" i="18"/>
  <c r="Q415" i="18" s="1"/>
  <c r="S411" i="18"/>
  <c r="S414" i="18" s="1"/>
  <c r="P185" i="20"/>
  <c r="AM411" i="18"/>
  <c r="AM414" i="18" s="1"/>
  <c r="AH412" i="18"/>
  <c r="AH415" i="18" s="1"/>
  <c r="AT411" i="18"/>
  <c r="AT414" i="18" s="1"/>
  <c r="BI411" i="18"/>
  <c r="BI414" i="18" s="1"/>
  <c r="Z412" i="18"/>
  <c r="Z415" i="18" s="1"/>
  <c r="AY412" i="18"/>
  <c r="AY415" i="18" s="1"/>
  <c r="BL411" i="18"/>
  <c r="BL414" i="18" s="1"/>
  <c r="M185" i="20"/>
  <c r="R185" i="20"/>
  <c r="BL412" i="18"/>
  <c r="BL415" i="18" s="1"/>
  <c r="X412" i="18"/>
  <c r="X415" i="18" s="1"/>
  <c r="X165" i="18"/>
  <c r="X163" i="18"/>
  <c r="X159" i="18" s="1"/>
  <c r="W411" i="18"/>
  <c r="W414" i="18" s="1"/>
  <c r="W165" i="18"/>
  <c r="W163" i="18"/>
  <c r="W159" i="18" s="1"/>
  <c r="AU412" i="18"/>
  <c r="AU415" i="18" s="1"/>
  <c r="AU165" i="18"/>
  <c r="AU163" i="18"/>
  <c r="AU159" i="18" s="1"/>
  <c r="P411" i="18"/>
  <c r="P414" i="18" s="1"/>
  <c r="P163" i="18"/>
  <c r="P165" i="18"/>
  <c r="AR411" i="18"/>
  <c r="AR414" i="18" s="1"/>
  <c r="AR165" i="18"/>
  <c r="AR163" i="18"/>
  <c r="AR159" i="18" s="1"/>
  <c r="AD412" i="18"/>
  <c r="AD415" i="18" s="1"/>
  <c r="AD165" i="18"/>
  <c r="AD163" i="18"/>
  <c r="AD159" i="18" s="1"/>
  <c r="AG411" i="18"/>
  <c r="AG414" i="18" s="1"/>
  <c r="AG165" i="18"/>
  <c r="AG163" i="18"/>
  <c r="AG159" i="18" s="1"/>
  <c r="V412" i="18"/>
  <c r="V415" i="18" s="1"/>
  <c r="V165" i="18"/>
  <c r="V163" i="18"/>
  <c r="V159" i="18" s="1"/>
  <c r="AF412" i="18"/>
  <c r="AF415" i="18" s="1"/>
  <c r="AF163" i="18"/>
  <c r="AF159" i="18" s="1"/>
  <c r="AF165" i="18"/>
  <c r="Y411" i="18"/>
  <c r="Y414" i="18" s="1"/>
  <c r="Y165" i="18"/>
  <c r="Y163" i="18"/>
  <c r="Y159" i="18" s="1"/>
  <c r="AL411" i="18"/>
  <c r="AL414" i="18" s="1"/>
  <c r="AL165" i="18"/>
  <c r="AL163" i="18"/>
  <c r="AL159" i="18" s="1"/>
  <c r="AO412" i="18"/>
  <c r="AO415" i="18" s="1"/>
  <c r="AO165" i="18"/>
  <c r="AO163" i="18"/>
  <c r="AO159" i="18" s="1"/>
  <c r="AK412" i="18"/>
  <c r="AK415" i="18" s="1"/>
  <c r="AK165" i="18"/>
  <c r="AK163" i="18"/>
  <c r="AK159" i="18" s="1"/>
  <c r="N412" i="18"/>
  <c r="N415" i="18" s="1"/>
  <c r="N165" i="18"/>
  <c r="N163" i="18"/>
  <c r="BS412" i="18"/>
  <c r="BS415" i="18" s="1"/>
  <c r="BS165" i="18"/>
  <c r="BS163" i="18"/>
  <c r="BS159" i="18" s="1"/>
  <c r="BN412" i="18"/>
  <c r="BN415" i="18" s="1"/>
  <c r="BN165" i="18"/>
  <c r="BN163" i="18"/>
  <c r="BN159" i="18" s="1"/>
  <c r="AV411" i="18"/>
  <c r="AV414" i="18" s="1"/>
  <c r="AV163" i="18"/>
  <c r="AV159" i="18" s="1"/>
  <c r="AV165" i="18"/>
  <c r="AA411" i="18"/>
  <c r="AA414" i="18" s="1"/>
  <c r="AA165" i="18"/>
  <c r="AA163" i="18"/>
  <c r="AA159" i="18" s="1"/>
  <c r="BG411" i="18"/>
  <c r="BG414" i="18" s="1"/>
  <c r="BG165" i="18"/>
  <c r="BG163" i="18"/>
  <c r="BG159" i="18" s="1"/>
  <c r="BK411" i="18"/>
  <c r="BK414" i="18" s="1"/>
  <c r="BK165" i="18"/>
  <c r="BK163" i="18"/>
  <c r="BK159" i="18" s="1"/>
  <c r="BE411" i="18"/>
  <c r="BE414" i="18" s="1"/>
  <c r="BE165" i="18"/>
  <c r="BE163" i="18"/>
  <c r="BE159" i="18" s="1"/>
  <c r="T412" i="18"/>
  <c r="T415" i="18" s="1"/>
  <c r="T163" i="18"/>
  <c r="T159" i="18" s="1"/>
  <c r="T240" i="18" s="1"/>
  <c r="T165" i="18"/>
  <c r="BQ411" i="18"/>
  <c r="BQ414" i="18" s="1"/>
  <c r="BQ165" i="18"/>
  <c r="BQ163" i="18"/>
  <c r="BQ159" i="18" s="1"/>
  <c r="AQ412" i="18"/>
  <c r="AQ415" i="18" s="1"/>
  <c r="AQ165" i="18"/>
  <c r="AQ163" i="18"/>
  <c r="AQ159" i="18" s="1"/>
  <c r="AS412" i="18"/>
  <c r="AS415" i="18" s="1"/>
  <c r="AS165" i="18"/>
  <c r="AS163" i="18"/>
  <c r="AS159" i="18" s="1"/>
  <c r="U412" i="18"/>
  <c r="U415" i="18" s="1"/>
  <c r="U165" i="18"/>
  <c r="U163" i="18"/>
  <c r="U159" i="18" s="1"/>
  <c r="AW412" i="18"/>
  <c r="AW415" i="18" s="1"/>
  <c r="AW165" i="18"/>
  <c r="AW163" i="18"/>
  <c r="AW159" i="18" s="1"/>
  <c r="BM411" i="18"/>
  <c r="BM414" i="18" s="1"/>
  <c r="BM165" i="18"/>
  <c r="BM163" i="18"/>
  <c r="BM159" i="18" s="1"/>
  <c r="BD411" i="18"/>
  <c r="BD414" i="18" s="1"/>
  <c r="BD163" i="18"/>
  <c r="BD159" i="18" s="1"/>
  <c r="BD165" i="18"/>
  <c r="BC412" i="18"/>
  <c r="BC415" i="18" s="1"/>
  <c r="BC165" i="18"/>
  <c r="BC163" i="18"/>
  <c r="BC159" i="18" s="1"/>
  <c r="AX412" i="18"/>
  <c r="AX415" i="18" s="1"/>
  <c r="AX165" i="18"/>
  <c r="AX163" i="18"/>
  <c r="AX159" i="18" s="1"/>
  <c r="AB411" i="18"/>
  <c r="AB414" i="18" s="1"/>
  <c r="AB165" i="18"/>
  <c r="AB163" i="18"/>
  <c r="AB159" i="18" s="1"/>
  <c r="BH411" i="18"/>
  <c r="BH414" i="18" s="1"/>
  <c r="BH165" i="18"/>
  <c r="BH163" i="18"/>
  <c r="BH159" i="18" s="1"/>
  <c r="AI411" i="18"/>
  <c r="AI414" i="18" s="1"/>
  <c r="AI165" i="18"/>
  <c r="AI163" i="18"/>
  <c r="AI159" i="18" s="1"/>
  <c r="S412" i="18"/>
  <c r="S415" i="18" s="1"/>
  <c r="S165" i="18"/>
  <c r="S163" i="18"/>
  <c r="S159" i="18" s="1"/>
  <c r="BA411" i="18"/>
  <c r="BA414" i="18" s="1"/>
  <c r="BA165" i="18"/>
  <c r="BA163" i="18"/>
  <c r="BA159" i="18" s="1"/>
  <c r="AE412" i="18"/>
  <c r="AE415" i="18" s="1"/>
  <c r="AE165" i="18"/>
  <c r="AE163" i="18"/>
  <c r="AE159" i="18" s="1"/>
  <c r="M411" i="18"/>
  <c r="M414" i="18" s="1"/>
  <c r="M165" i="18"/>
  <c r="M163" i="18"/>
  <c r="BF411" i="18"/>
  <c r="BF414" i="18" s="1"/>
  <c r="BF165" i="18"/>
  <c r="BF163" i="18"/>
  <c r="BF159" i="18" s="1"/>
  <c r="Q165" i="18"/>
  <c r="Q163" i="18"/>
  <c r="AZ411" i="18"/>
  <c r="AZ414" i="18" s="1"/>
  <c r="AZ163" i="18"/>
  <c r="AZ159" i="18" s="1"/>
  <c r="AZ165" i="18"/>
  <c r="L165" i="18"/>
  <c r="L163" i="18"/>
  <c r="BR412" i="18"/>
  <c r="BR415" i="18" s="1"/>
  <c r="BR165" i="18"/>
  <c r="BR163" i="18"/>
  <c r="BR159" i="18" s="1"/>
  <c r="R411" i="18"/>
  <c r="R414" i="18" s="1"/>
  <c r="R165" i="18"/>
  <c r="R163" i="18"/>
  <c r="R159" i="18" s="1"/>
  <c r="AN412" i="18"/>
  <c r="AN415" i="18" s="1"/>
  <c r="AN163" i="18"/>
  <c r="AN159" i="18" s="1"/>
  <c r="AN165" i="18"/>
  <c r="AM412" i="18"/>
  <c r="AM415" i="18" s="1"/>
  <c r="AM165" i="18"/>
  <c r="AM163" i="18"/>
  <c r="AM159" i="18" s="1"/>
  <c r="AH411" i="18"/>
  <c r="AH414" i="18" s="1"/>
  <c r="AH165" i="18"/>
  <c r="AH163" i="18"/>
  <c r="AH159" i="18" s="1"/>
  <c r="BO411" i="18"/>
  <c r="BO414" i="18" s="1"/>
  <c r="BO165" i="18"/>
  <c r="BO163" i="18"/>
  <c r="BO159" i="18" s="1"/>
  <c r="AJ411" i="18"/>
  <c r="AJ414" i="18" s="1"/>
  <c r="AJ163" i="18"/>
  <c r="AJ159" i="18" s="1"/>
  <c r="AJ165" i="18"/>
  <c r="O412" i="18"/>
  <c r="O415" i="18" s="1"/>
  <c r="O165" i="18"/>
  <c r="O163" i="18"/>
  <c r="BB412" i="18"/>
  <c r="BB415" i="18" s="1"/>
  <c r="BB165" i="18"/>
  <c r="BB163" i="18"/>
  <c r="BB159" i="18" s="1"/>
  <c r="BB240" i="18" s="1"/>
  <c r="AC412" i="18"/>
  <c r="AC415" i="18" s="1"/>
  <c r="AC165" i="18"/>
  <c r="AC163" i="18"/>
  <c r="AC159" i="18" s="1"/>
  <c r="AT412" i="18"/>
  <c r="AT415" i="18" s="1"/>
  <c r="AT165" i="18"/>
  <c r="AT163" i="18"/>
  <c r="AT159" i="18" s="1"/>
  <c r="BI412" i="18"/>
  <c r="BI415" i="18" s="1"/>
  <c r="BI165" i="18"/>
  <c r="BI163" i="18"/>
  <c r="BI159" i="18" s="1"/>
  <c r="Z411" i="18"/>
  <c r="Z414" i="18" s="1"/>
  <c r="Z165" i="18"/>
  <c r="Z163" i="18"/>
  <c r="Z159" i="18" s="1"/>
  <c r="Z240" i="18" s="1"/>
  <c r="AY411" i="18"/>
  <c r="AY414" i="18" s="1"/>
  <c r="AY165" i="18"/>
  <c r="AY163" i="18"/>
  <c r="AY159" i="18" s="1"/>
  <c r="BJ412" i="18"/>
  <c r="BJ415" i="18" s="1"/>
  <c r="BJ165" i="18"/>
  <c r="BJ163" i="18"/>
  <c r="BJ159" i="18" s="1"/>
  <c r="AP411" i="18"/>
  <c r="AP414" i="18" s="1"/>
  <c r="AP165" i="18"/>
  <c r="AP163" i="18"/>
  <c r="AP159" i="18" s="1"/>
  <c r="BL163" i="18"/>
  <c r="BL159" i="18" s="1"/>
  <c r="BL165" i="18"/>
  <c r="AO411" i="18"/>
  <c r="AO414" i="18" s="1"/>
  <c r="AG412" i="18"/>
  <c r="AG415" i="18" s="1"/>
  <c r="AF411" i="18"/>
  <c r="AF414" i="18" s="1"/>
  <c r="AL412" i="18"/>
  <c r="AL415" i="18" s="1"/>
  <c r="N411" i="18"/>
  <c r="N414" i="18" s="1"/>
  <c r="AR412" i="18"/>
  <c r="AR415" i="18" s="1"/>
  <c r="V411" i="18"/>
  <c r="V414" i="18" s="1"/>
  <c r="AK411" i="18"/>
  <c r="AK414" i="18" s="1"/>
  <c r="X411" i="18"/>
  <c r="X414" i="18" s="1"/>
  <c r="R412" i="18"/>
  <c r="R415" i="18" s="1"/>
  <c r="Y412" i="18"/>
  <c r="Y415" i="18" s="1"/>
  <c r="AD411" i="18"/>
  <c r="AD414" i="18" s="1"/>
  <c r="W412" i="18"/>
  <c r="W415" i="18" s="1"/>
  <c r="AS5" i="17"/>
  <c r="O5" i="17"/>
  <c r="BL5" i="17"/>
  <c r="BQ5" i="17"/>
  <c r="W5" i="17"/>
  <c r="AZ5" i="17"/>
  <c r="R5" i="17"/>
  <c r="BC5" i="17"/>
  <c r="M5" i="17"/>
  <c r="AX5" i="17"/>
  <c r="L412" i="18"/>
  <c r="L415" i="18" s="1"/>
  <c r="L411" i="18"/>
  <c r="L414" i="18" s="1"/>
  <c r="AF5" i="17"/>
  <c r="AK5" i="17"/>
  <c r="AP5" i="17"/>
  <c r="AU5" i="17"/>
  <c r="BR411" i="18"/>
  <c r="BR414" i="18" s="1"/>
  <c r="AX411" i="18"/>
  <c r="AX414" i="18" s="1"/>
  <c r="BF412" i="18"/>
  <c r="BF415" i="18" s="1"/>
  <c r="BC411" i="18"/>
  <c r="BC414" i="18" s="1"/>
  <c r="AI412" i="18"/>
  <c r="AI415" i="18" s="1"/>
  <c r="AB5" i="17"/>
  <c r="AN5" i="17"/>
  <c r="U5" i="17"/>
  <c r="BA5" i="17"/>
  <c r="Z5" i="17"/>
  <c r="BF5" i="17"/>
  <c r="AE5" i="17"/>
  <c r="BK5" i="17"/>
  <c r="BH412" i="18"/>
  <c r="BH415" i="18" s="1"/>
  <c r="AB412" i="18"/>
  <c r="AB415" i="18" s="1"/>
  <c r="M412" i="18"/>
  <c r="M415" i="18" s="1"/>
  <c r="BD412" i="18"/>
  <c r="BD415" i="18" s="1"/>
  <c r="AZ412" i="18"/>
  <c r="AZ415" i="18" s="1"/>
  <c r="AE411" i="18"/>
  <c r="AE414" i="18" s="1"/>
  <c r="BH5" i="17"/>
  <c r="T5" i="17"/>
  <c r="AC5" i="17"/>
  <c r="BI5" i="17"/>
  <c r="AH5" i="17"/>
  <c r="BN5" i="17"/>
  <c r="AM5" i="17"/>
  <c r="BS5" i="17"/>
  <c r="BM412" i="18"/>
  <c r="BM415" i="18" s="1"/>
  <c r="BK412" i="18"/>
  <c r="BK415" i="18" s="1"/>
  <c r="AR5" i="17"/>
  <c r="AV5" i="17"/>
  <c r="BD5" i="17"/>
  <c r="BP5" i="17"/>
  <c r="Y5" i="17"/>
  <c r="AO5" i="17"/>
  <c r="BE5" i="17"/>
  <c r="N5" i="17"/>
  <c r="AD5" i="17"/>
  <c r="AT5" i="17"/>
  <c r="BJ5" i="17"/>
  <c r="S5" i="17"/>
  <c r="AI5" i="17"/>
  <c r="AY5" i="17"/>
  <c r="BO5" i="17"/>
  <c r="BS411" i="18"/>
  <c r="BS414" i="18" s="1"/>
  <c r="BQ412" i="18"/>
  <c r="BQ415" i="18" s="1"/>
  <c r="AV412" i="18"/>
  <c r="AV415" i="18" s="1"/>
  <c r="T411" i="18"/>
  <c r="T414" i="18" s="1"/>
  <c r="AW411" i="18"/>
  <c r="AW414" i="18" s="1"/>
  <c r="L5" i="17"/>
  <c r="P5" i="17"/>
  <c r="X5" i="17"/>
  <c r="AJ5" i="17"/>
  <c r="Q5" i="17"/>
  <c r="AG5" i="17"/>
  <c r="AW5" i="17"/>
  <c r="BM5" i="17"/>
  <c r="V5" i="17"/>
  <c r="AL5" i="17"/>
  <c r="BB5" i="17"/>
  <c r="BR5" i="17"/>
  <c r="AA5" i="17"/>
  <c r="AQ5" i="17"/>
  <c r="AQ411" i="18"/>
  <c r="AQ414" i="18" s="1"/>
  <c r="BG412" i="18"/>
  <c r="BG415" i="18" s="1"/>
  <c r="AA412" i="18"/>
  <c r="AA415" i="18" s="1"/>
  <c r="AS411" i="18"/>
  <c r="AS414" i="18" s="1"/>
  <c r="BN411" i="18"/>
  <c r="BN414" i="18" s="1"/>
  <c r="U411" i="18"/>
  <c r="U414" i="18" s="1"/>
  <c r="BE412" i="18"/>
  <c r="BE415" i="18" s="1"/>
  <c r="BB411" i="18"/>
  <c r="BB414" i="18" s="1"/>
  <c r="AN411" i="18"/>
  <c r="AN414" i="18" s="1"/>
  <c r="AJ412" i="18"/>
  <c r="AJ415" i="18" s="1"/>
  <c r="BO412" i="18"/>
  <c r="BO415" i="18" s="1"/>
  <c r="BJ411" i="18"/>
  <c r="BJ414" i="18" s="1"/>
  <c r="O411" i="18"/>
  <c r="O414" i="18" s="1"/>
  <c r="AP412" i="18"/>
  <c r="AP415" i="18" s="1"/>
  <c r="AC411" i="18"/>
  <c r="AC414" i="18" s="1"/>
  <c r="BS115" i="10"/>
  <c r="P412" i="18"/>
  <c r="P415" i="18" s="1"/>
  <c r="AU411" i="18"/>
  <c r="AU414" i="18" s="1"/>
  <c r="BJ112" i="8"/>
  <c r="BI114" i="8"/>
  <c r="BS5" i="18"/>
  <c r="BO5" i="18"/>
  <c r="BK5" i="18"/>
  <c r="BG5" i="18"/>
  <c r="BC5" i="18"/>
  <c r="AY5" i="18"/>
  <c r="AU5" i="18"/>
  <c r="AQ5" i="18"/>
  <c r="AM5" i="18"/>
  <c r="AI5" i="18"/>
  <c r="AE5" i="18"/>
  <c r="AA5" i="18"/>
  <c r="W5" i="18"/>
  <c r="S5" i="18"/>
  <c r="O5" i="18"/>
  <c r="BR5" i="18"/>
  <c r="BN5" i="18"/>
  <c r="BJ5" i="18"/>
  <c r="BF5" i="18"/>
  <c r="BB5" i="18"/>
  <c r="AX5" i="18"/>
  <c r="AT5" i="18"/>
  <c r="AP5" i="18"/>
  <c r="AL5" i="18"/>
  <c r="AH5" i="18"/>
  <c r="AD5" i="18"/>
  <c r="Z5" i="18"/>
  <c r="V5" i="18"/>
  <c r="R5" i="18"/>
  <c r="N5" i="18"/>
  <c r="BQ5" i="18"/>
  <c r="BM5" i="18"/>
  <c r="BI5" i="18"/>
  <c r="BE5" i="18"/>
  <c r="BA5" i="18"/>
  <c r="AW5" i="18"/>
  <c r="AS5" i="18"/>
  <c r="AO5" i="18"/>
  <c r="AK5" i="18"/>
  <c r="AG5" i="18"/>
  <c r="AC5" i="18"/>
  <c r="Y5" i="18"/>
  <c r="U5" i="18"/>
  <c r="Q5" i="18"/>
  <c r="M5" i="18"/>
  <c r="BP5" i="18"/>
  <c r="BL5" i="18"/>
  <c r="BH5" i="18"/>
  <c r="BD5" i="18"/>
  <c r="AZ5" i="18"/>
  <c r="AV5" i="18"/>
  <c r="AR5" i="18"/>
  <c r="AN5" i="18"/>
  <c r="AJ5" i="18"/>
  <c r="AF5" i="18"/>
  <c r="AB5" i="18"/>
  <c r="L5" i="18"/>
  <c r="X5" i="18"/>
  <c r="P5" i="18"/>
  <c r="T5" i="18"/>
  <c r="AN5" i="11"/>
  <c r="V5" i="11"/>
  <c r="BD5" i="11"/>
  <c r="BB5" i="11"/>
  <c r="Q5" i="11"/>
  <c r="AA5" i="11"/>
  <c r="X5" i="11"/>
  <c r="AW5" i="11"/>
  <c r="BG5" i="11"/>
  <c r="L172" i="10"/>
  <c r="L169" i="10"/>
  <c r="L166" i="10"/>
  <c r="L193" i="10" s="1" a="1"/>
  <c r="L193" i="10" s="1"/>
  <c r="L157" i="10"/>
  <c r="L154" i="10"/>
  <c r="L154" i="5"/>
  <c r="L172" i="5"/>
  <c r="L169" i="5"/>
  <c r="L166" i="5"/>
  <c r="L157" i="5"/>
  <c r="L169" i="8"/>
  <c r="L166" i="8"/>
  <c r="L163" i="8"/>
  <c r="L154" i="8"/>
  <c r="L151" i="8"/>
  <c r="L5" i="11"/>
  <c r="AB5" i="11"/>
  <c r="AR5" i="11"/>
  <c r="BH5" i="11"/>
  <c r="Y5" i="11"/>
  <c r="BE5" i="11"/>
  <c r="AD5" i="11"/>
  <c r="BJ5" i="11"/>
  <c r="AI5" i="11"/>
  <c r="BO5" i="11"/>
  <c r="P5" i="11"/>
  <c r="AF5" i="11"/>
  <c r="AV5" i="11"/>
  <c r="BL5" i="11"/>
  <c r="AG5" i="11"/>
  <c r="BM5" i="11"/>
  <c r="AL5" i="11"/>
  <c r="BR5" i="11"/>
  <c r="AQ5" i="11"/>
  <c r="T5" i="11"/>
  <c r="AJ5" i="11"/>
  <c r="AZ5" i="11"/>
  <c r="BP5" i="11"/>
  <c r="AO5" i="11"/>
  <c r="N5" i="11"/>
  <c r="AT5" i="11"/>
  <c r="S5" i="11"/>
  <c r="AY5" i="11"/>
  <c r="U5" i="11"/>
  <c r="AK5" i="11"/>
  <c r="BA5" i="11"/>
  <c r="BQ5" i="11"/>
  <c r="Z5" i="11"/>
  <c r="AP5" i="11"/>
  <c r="BF5" i="11"/>
  <c r="O5" i="11"/>
  <c r="AE5" i="11"/>
  <c r="AU5" i="11"/>
  <c r="BK5" i="11"/>
  <c r="M5" i="11"/>
  <c r="AC5" i="11"/>
  <c r="AS5" i="11"/>
  <c r="BI5" i="11"/>
  <c r="R5" i="11"/>
  <c r="AH5" i="11"/>
  <c r="AX5" i="11"/>
  <c r="BN5" i="11"/>
  <c r="W5" i="11"/>
  <c r="AM5" i="11"/>
  <c r="BC5" i="11"/>
  <c r="BH5" i="8"/>
  <c r="BQ5" i="8"/>
  <c r="L5" i="8"/>
  <c r="U5" i="8"/>
  <c r="V5" i="8"/>
  <c r="AA5" i="8"/>
  <c r="AB5" i="8"/>
  <c r="AK5" i="8"/>
  <c r="AL5" i="8"/>
  <c r="AQ5" i="8"/>
  <c r="BR5" i="8"/>
  <c r="AR5" i="8"/>
  <c r="BA5" i="8"/>
  <c r="BB5" i="8"/>
  <c r="BG5" i="8"/>
  <c r="W129" i="5" a="1"/>
  <c r="W129" i="5" s="1"/>
  <c r="AM129" i="5" a="1"/>
  <c r="AM129" i="5" s="1"/>
  <c r="AW129" i="5" a="1"/>
  <c r="AW129" i="5" s="1"/>
  <c r="AY129" i="5" a="1"/>
  <c r="AY129" i="5" s="1"/>
  <c r="BM129" i="5" a="1"/>
  <c r="BM129" i="5" s="1"/>
  <c r="AI129" i="5" a="1"/>
  <c r="AI129" i="5" s="1"/>
  <c r="BN129" i="5" a="1"/>
  <c r="BN129" i="5" s="1"/>
  <c r="BQ129" i="5" a="1"/>
  <c r="BQ129" i="5" s="1"/>
  <c r="BI129" i="5" a="1"/>
  <c r="BI129" i="5" s="1"/>
  <c r="O129" i="5" a="1"/>
  <c r="O129" i="5" s="1"/>
  <c r="AE129" i="5" a="1"/>
  <c r="AE129" i="5" s="1"/>
  <c r="AP129" i="5" a="1"/>
  <c r="AP129" i="5" s="1"/>
  <c r="BH129" i="5" a="1"/>
  <c r="BH129" i="5" s="1"/>
  <c r="T129" i="5" a="1"/>
  <c r="T129" i="5" s="1"/>
  <c r="AQ129" i="5" a="1"/>
  <c r="AQ129" i="5" s="1"/>
  <c r="AB129" i="5" a="1"/>
  <c r="AB129" i="5" s="1"/>
  <c r="AV129" i="5" a="1"/>
  <c r="AV129" i="5" s="1"/>
  <c r="BA129" i="5" a="1"/>
  <c r="BA129" i="5" s="1"/>
  <c r="AF129" i="5" a="1"/>
  <c r="AF129" i="5" s="1"/>
  <c r="V129" i="5" a="1"/>
  <c r="V129" i="5" s="1"/>
  <c r="S129" i="5" a="1"/>
  <c r="S129" i="5" s="1"/>
  <c r="AU129" i="5" a="1"/>
  <c r="AU129" i="5" s="1"/>
  <c r="X129" i="5" a="1"/>
  <c r="X129" i="5" s="1"/>
  <c r="Y129" i="5" a="1"/>
  <c r="Y129" i="5" s="1"/>
  <c r="BR129" i="5" a="1"/>
  <c r="BR129" i="5" s="1"/>
  <c r="AX129" i="5" a="1"/>
  <c r="AX129" i="5" s="1"/>
  <c r="AK129" i="5" a="1"/>
  <c r="AK129" i="5" s="1"/>
  <c r="BB129" i="5" a="1"/>
  <c r="BB129" i="5" s="1"/>
  <c r="AL129" i="5" a="1"/>
  <c r="AL129" i="5" s="1"/>
  <c r="AR129" i="5" a="1"/>
  <c r="AR129" i="5" s="1"/>
  <c r="AA129" i="5" a="1"/>
  <c r="AA129" i="5" s="1"/>
  <c r="AC129" i="5" a="1"/>
  <c r="AC129" i="5" s="1"/>
  <c r="BO129" i="5" a="1"/>
  <c r="BO129" i="5" s="1"/>
  <c r="AG129" i="5" a="1"/>
  <c r="AG129" i="5" s="1"/>
  <c r="AO129" i="5" a="1"/>
  <c r="AO129" i="5" s="1"/>
  <c r="BC129" i="5" a="1"/>
  <c r="BC129" i="5" s="1"/>
  <c r="AD129" i="5" a="1"/>
  <c r="AD129" i="5" s="1"/>
  <c r="BD129" i="5" a="1"/>
  <c r="BD129" i="5" s="1"/>
  <c r="BG129" i="5" a="1"/>
  <c r="BG129" i="5" s="1"/>
  <c r="BE129" i="5" a="1"/>
  <c r="BE129" i="5" s="1"/>
  <c r="Z129" i="5" a="1"/>
  <c r="Z129" i="5" s="1"/>
  <c r="BP129" i="5" a="1"/>
  <c r="BP129" i="5" s="1"/>
  <c r="BS129" i="5" a="1"/>
  <c r="BS129" i="5" s="1"/>
  <c r="AZ129" i="5" a="1"/>
  <c r="AZ129" i="5" s="1"/>
  <c r="BF129" i="5" a="1"/>
  <c r="BF129" i="5" s="1"/>
  <c r="U129" i="5" a="1"/>
  <c r="U129" i="5" s="1"/>
  <c r="AJ129" i="5" a="1"/>
  <c r="AJ129" i="5" s="1"/>
  <c r="P129" i="5" a="1"/>
  <c r="P129" i="5" s="1"/>
  <c r="N129" i="5" a="1"/>
  <c r="N129" i="5" s="1"/>
  <c r="BJ129" i="5" a="1"/>
  <c r="BJ129" i="5" s="1"/>
  <c r="AS129" i="5" a="1"/>
  <c r="AS129" i="5" s="1"/>
  <c r="BK129" i="5" a="1"/>
  <c r="BK129" i="5" s="1"/>
  <c r="AT129" i="5" a="1"/>
  <c r="AT129" i="5" s="1"/>
  <c r="M129" i="5" a="1"/>
  <c r="M129" i="5" s="1"/>
  <c r="BL129" i="5" a="1"/>
  <c r="BL129" i="5" s="1"/>
  <c r="AN129" i="5" a="1"/>
  <c r="AN129" i="5" s="1"/>
  <c r="AH129" i="5" a="1"/>
  <c r="AH129" i="5" s="1"/>
  <c r="Q129" i="5" a="1"/>
  <c r="Q129" i="5" s="1"/>
  <c r="R129" i="5" a="1"/>
  <c r="R129" i="5" s="1"/>
  <c r="BS166" i="15"/>
  <c r="BS186" i="15" s="1"/>
  <c r="BS5" i="15"/>
  <c r="BO5" i="15"/>
  <c r="BK5" i="15"/>
  <c r="BG5" i="15"/>
  <c r="BC5" i="15"/>
  <c r="AY5" i="15"/>
  <c r="AU5" i="15"/>
  <c r="AQ5" i="15"/>
  <c r="AM5" i="15"/>
  <c r="AI5" i="15"/>
  <c r="AE5" i="15"/>
  <c r="AA5" i="15"/>
  <c r="W5" i="15"/>
  <c r="S5" i="15"/>
  <c r="O5" i="15"/>
  <c r="BR5" i="15"/>
  <c r="BN5" i="15"/>
  <c r="BJ5" i="15"/>
  <c r="BF5" i="15"/>
  <c r="BB5" i="15"/>
  <c r="AX5" i="15"/>
  <c r="AT5" i="15"/>
  <c r="AP5" i="15"/>
  <c r="AL5" i="15"/>
  <c r="AH5" i="15"/>
  <c r="AD5" i="15"/>
  <c r="Z5" i="15"/>
  <c r="V5" i="15"/>
  <c r="R5" i="15"/>
  <c r="N5" i="15"/>
  <c r="BQ5" i="15"/>
  <c r="BM5" i="15"/>
  <c r="BI5" i="15"/>
  <c r="BE5" i="15"/>
  <c r="BA5" i="15"/>
  <c r="AW5" i="15"/>
  <c r="AS5" i="15"/>
  <c r="AO5" i="15"/>
  <c r="AK5" i="15"/>
  <c r="AG5" i="15"/>
  <c r="AC5" i="15"/>
  <c r="Y5" i="15"/>
  <c r="U5" i="15"/>
  <c r="Q5" i="15"/>
  <c r="M5" i="15"/>
  <c r="BP5" i="15"/>
  <c r="BL5" i="15"/>
  <c r="BH5" i="15"/>
  <c r="BD5" i="15"/>
  <c r="AZ5" i="15"/>
  <c r="AV5" i="15"/>
  <c r="AR5" i="15"/>
  <c r="AN5" i="15"/>
  <c r="AJ5" i="15"/>
  <c r="AF5" i="15"/>
  <c r="AB5" i="15"/>
  <c r="X5" i="15"/>
  <c r="T5" i="15"/>
  <c r="P5" i="15"/>
  <c r="L5" i="15"/>
  <c r="BS112" i="10"/>
  <c r="I112" i="10" s="1"/>
  <c r="I110" i="10"/>
  <c r="BS158" i="11"/>
  <c r="BS230" i="11" s="1"/>
  <c r="BS125" i="11"/>
  <c r="I111" i="10"/>
  <c r="BM129" i="10" a="1"/>
  <c r="BM129" i="10" s="1"/>
  <c r="AI129" i="10" a="1"/>
  <c r="AI129" i="10" s="1"/>
  <c r="BN129" i="10" a="1"/>
  <c r="BN129" i="10" s="1"/>
  <c r="BQ129" i="10" a="1"/>
  <c r="BQ129" i="10" s="1"/>
  <c r="BI129" i="10" a="1"/>
  <c r="BI129" i="10" s="1"/>
  <c r="O129" i="10" a="1"/>
  <c r="O129" i="10" s="1"/>
  <c r="AE129" i="10" a="1"/>
  <c r="AE129" i="10" s="1"/>
  <c r="AP129" i="10" a="1"/>
  <c r="AP129" i="10" s="1"/>
  <c r="BH129" i="10" a="1"/>
  <c r="BH129" i="10" s="1"/>
  <c r="T129" i="10" a="1"/>
  <c r="T129" i="10" s="1"/>
  <c r="AQ129" i="10" a="1"/>
  <c r="AQ129" i="10" s="1"/>
  <c r="AB129" i="10" a="1"/>
  <c r="AB129" i="10" s="1"/>
  <c r="AV129" i="10" a="1"/>
  <c r="AV129" i="10" s="1"/>
  <c r="BA129" i="10" a="1"/>
  <c r="BA129" i="10" s="1"/>
  <c r="AF129" i="10" a="1"/>
  <c r="AF129" i="10" s="1"/>
  <c r="W129" i="10" a="1"/>
  <c r="W129" i="10" s="1"/>
  <c r="V129" i="10" a="1"/>
  <c r="V129" i="10" s="1"/>
  <c r="S129" i="10" a="1"/>
  <c r="S129" i="10" s="1"/>
  <c r="AU129" i="10" a="1"/>
  <c r="AU129" i="10" s="1"/>
  <c r="X129" i="10" a="1"/>
  <c r="X129" i="10" s="1"/>
  <c r="Y129" i="10" a="1"/>
  <c r="Y129" i="10" s="1"/>
  <c r="AW129" i="10" a="1"/>
  <c r="AW129" i="10" s="1"/>
  <c r="BR129" i="10" a="1"/>
  <c r="BR129" i="10" s="1"/>
  <c r="AX129" i="10" a="1"/>
  <c r="AX129" i="10" s="1"/>
  <c r="AK129" i="10" a="1"/>
  <c r="AK129" i="10" s="1"/>
  <c r="BB129" i="10" a="1"/>
  <c r="BB129" i="10" s="1"/>
  <c r="AY129" i="10" a="1"/>
  <c r="AY129" i="10" s="1"/>
  <c r="AL129" i="10" a="1"/>
  <c r="AL129" i="10" s="1"/>
  <c r="AR129" i="10" a="1"/>
  <c r="AR129" i="10" s="1"/>
  <c r="AA129" i="10" a="1"/>
  <c r="AA129" i="10" s="1"/>
  <c r="AC129" i="10" a="1"/>
  <c r="AC129" i="10" s="1"/>
  <c r="BO129" i="10" a="1"/>
  <c r="BO129" i="10" s="1"/>
  <c r="AG129" i="10" a="1"/>
  <c r="AG129" i="10" s="1"/>
  <c r="AO129" i="10" a="1"/>
  <c r="AO129" i="10" s="1"/>
  <c r="BC129" i="10" a="1"/>
  <c r="BC129" i="10" s="1"/>
  <c r="AD129" i="10" a="1"/>
  <c r="AD129" i="10" s="1"/>
  <c r="BD129" i="10" a="1"/>
  <c r="BD129" i="10" s="1"/>
  <c r="BG129" i="10" a="1"/>
  <c r="BG129" i="10" s="1"/>
  <c r="BE129" i="10" a="1"/>
  <c r="BE129" i="10" s="1"/>
  <c r="Z129" i="10" a="1"/>
  <c r="Z129" i="10" s="1"/>
  <c r="BP129" i="10" a="1"/>
  <c r="BP129" i="10" s="1"/>
  <c r="BS129" i="10" a="1"/>
  <c r="BS129" i="10" s="1"/>
  <c r="AZ129" i="10" a="1"/>
  <c r="AZ129" i="10" s="1"/>
  <c r="BS116" i="10"/>
  <c r="AM129" i="10" a="1"/>
  <c r="AM129" i="10" s="1"/>
  <c r="BF129" i="10" a="1"/>
  <c r="BF129" i="10" s="1"/>
  <c r="U129" i="10" a="1"/>
  <c r="U129" i="10" s="1"/>
  <c r="AJ129" i="10" a="1"/>
  <c r="AJ129" i="10" s="1"/>
  <c r="P129" i="10" a="1"/>
  <c r="P129" i="10" s="1"/>
  <c r="N129" i="10" a="1"/>
  <c r="N129" i="10" s="1"/>
  <c r="BJ129" i="10" a="1"/>
  <c r="BJ129" i="10" s="1"/>
  <c r="AS129" i="10" a="1"/>
  <c r="AS129" i="10" s="1"/>
  <c r="BK129" i="10" a="1"/>
  <c r="BK129" i="10" s="1"/>
  <c r="AT129" i="10" a="1"/>
  <c r="AT129" i="10" s="1"/>
  <c r="M129" i="10" a="1"/>
  <c r="M129" i="10" s="1"/>
  <c r="BL129" i="10" a="1"/>
  <c r="BL129" i="10" s="1"/>
  <c r="AN129" i="10" a="1"/>
  <c r="AN129" i="10" s="1"/>
  <c r="AH129" i="10" a="1"/>
  <c r="AH129" i="10" s="1"/>
  <c r="Q129" i="10" a="1"/>
  <c r="Q129" i="10" s="1"/>
  <c r="R129" i="10" a="1"/>
  <c r="R129" i="10" s="1"/>
  <c r="BQ117" i="10"/>
  <c r="T5" i="8"/>
  <c r="AJ5" i="8"/>
  <c r="AZ5" i="8"/>
  <c r="M5" i="8"/>
  <c r="AC5" i="8"/>
  <c r="AS5" i="8"/>
  <c r="BI5" i="8"/>
  <c r="N5" i="8"/>
  <c r="AD5" i="8"/>
  <c r="AT5" i="8"/>
  <c r="BJ5" i="8"/>
  <c r="S5" i="8"/>
  <c r="AI5" i="8"/>
  <c r="AY5" i="8"/>
  <c r="BO5" i="8"/>
  <c r="P5" i="8"/>
  <c r="AF5" i="8"/>
  <c r="AV5" i="8"/>
  <c r="BP5" i="8"/>
  <c r="Y5" i="8"/>
  <c r="AO5" i="8"/>
  <c r="BE5" i="8"/>
  <c r="BL5" i="8"/>
  <c r="Z5" i="8"/>
  <c r="AP5" i="8"/>
  <c r="BF5" i="8"/>
  <c r="O5" i="8"/>
  <c r="AE5" i="8"/>
  <c r="AU5" i="8"/>
  <c r="BK5" i="8"/>
  <c r="BS5" i="10"/>
  <c r="BO5" i="10"/>
  <c r="BK5" i="10"/>
  <c r="BG5" i="10"/>
  <c r="BC5" i="10"/>
  <c r="AY5" i="10"/>
  <c r="AU5" i="10"/>
  <c r="AQ5" i="10"/>
  <c r="AM5" i="10"/>
  <c r="AI5" i="10"/>
  <c r="AE5" i="10"/>
  <c r="AA5" i="10"/>
  <c r="W5" i="10"/>
  <c r="S5" i="10"/>
  <c r="O5" i="10"/>
  <c r="BR5" i="10"/>
  <c r="BN5" i="10"/>
  <c r="BJ5" i="10"/>
  <c r="BF5" i="10"/>
  <c r="BB5" i="10"/>
  <c r="AX5" i="10"/>
  <c r="AT5" i="10"/>
  <c r="AP5" i="10"/>
  <c r="AL5" i="10"/>
  <c r="AH5" i="10"/>
  <c r="AD5" i="10"/>
  <c r="Z5" i="10"/>
  <c r="V5" i="10"/>
  <c r="R5" i="10"/>
  <c r="N5" i="10"/>
  <c r="BQ5" i="10"/>
  <c r="BM5" i="10"/>
  <c r="BI5" i="10"/>
  <c r="BE5" i="10"/>
  <c r="BA5" i="10"/>
  <c r="AW5" i="10"/>
  <c r="AS5" i="10"/>
  <c r="AO5" i="10"/>
  <c r="AK5" i="10"/>
  <c r="AG5" i="10"/>
  <c r="AC5" i="10"/>
  <c r="Y5" i="10"/>
  <c r="U5" i="10"/>
  <c r="Q5" i="10"/>
  <c r="M5" i="10"/>
  <c r="BP5" i="10"/>
  <c r="AZ5" i="10"/>
  <c r="AJ5" i="10"/>
  <c r="T5" i="10"/>
  <c r="AR5" i="10"/>
  <c r="BD5" i="10"/>
  <c r="X5" i="10"/>
  <c r="BL5" i="10"/>
  <c r="AV5" i="10"/>
  <c r="AF5" i="10"/>
  <c r="P5" i="10"/>
  <c r="BH5" i="10"/>
  <c r="AB5" i="10"/>
  <c r="L5" i="10"/>
  <c r="AN5" i="10"/>
  <c r="X5" i="8"/>
  <c r="AN5" i="8"/>
  <c r="BD5" i="8"/>
  <c r="Q5" i="8"/>
  <c r="AG5" i="8"/>
  <c r="AW5" i="8"/>
  <c r="BM5" i="8"/>
  <c r="R5" i="8"/>
  <c r="AH5" i="8"/>
  <c r="AX5" i="8"/>
  <c r="BN5" i="8"/>
  <c r="W5" i="8"/>
  <c r="AM5" i="8"/>
  <c r="BC5" i="8"/>
  <c r="I114" i="9"/>
  <c r="BS5" i="9"/>
  <c r="BO5" i="9"/>
  <c r="BK5" i="9"/>
  <c r="BG5" i="9"/>
  <c r="BC5" i="9"/>
  <c r="AY5" i="9"/>
  <c r="AU5" i="9"/>
  <c r="AQ5" i="9"/>
  <c r="AM5" i="9"/>
  <c r="AI5" i="9"/>
  <c r="AE5" i="9"/>
  <c r="AA5" i="9"/>
  <c r="W5" i="9"/>
  <c r="S5" i="9"/>
  <c r="O5" i="9"/>
  <c r="BP5" i="9"/>
  <c r="BH5" i="9"/>
  <c r="BD5" i="9"/>
  <c r="AZ5" i="9"/>
  <c r="AV5" i="9"/>
  <c r="AR5" i="9"/>
  <c r="AN5" i="9"/>
  <c r="AJ5" i="9"/>
  <c r="AF5" i="9"/>
  <c r="AB5" i="9"/>
  <c r="T5" i="9"/>
  <c r="P5" i="9"/>
  <c r="L5" i="9"/>
  <c r="BR5" i="9"/>
  <c r="BN5" i="9"/>
  <c r="BJ5" i="9"/>
  <c r="BF5" i="9"/>
  <c r="BB5" i="9"/>
  <c r="AX5" i="9"/>
  <c r="AT5" i="9"/>
  <c r="AP5" i="9"/>
  <c r="AL5" i="9"/>
  <c r="AH5" i="9"/>
  <c r="AD5" i="9"/>
  <c r="Z5" i="9"/>
  <c r="V5" i="9"/>
  <c r="R5" i="9"/>
  <c r="N5" i="9"/>
  <c r="X5" i="9"/>
  <c r="BQ5" i="9"/>
  <c r="BM5" i="9"/>
  <c r="BI5" i="9"/>
  <c r="BE5" i="9"/>
  <c r="BA5" i="9"/>
  <c r="AW5" i="9"/>
  <c r="AS5" i="9"/>
  <c r="AO5" i="9"/>
  <c r="AK5" i="9"/>
  <c r="AG5" i="9"/>
  <c r="AC5" i="9"/>
  <c r="Y5" i="9"/>
  <c r="U5" i="9"/>
  <c r="Q5" i="9"/>
  <c r="M5" i="9"/>
  <c r="BL5" i="9"/>
  <c r="I107" i="8"/>
  <c r="AJ126" i="8"/>
  <c r="BM126" i="8"/>
  <c r="AI126" i="8"/>
  <c r="BN126" i="8"/>
  <c r="BQ126" i="8"/>
  <c r="BI126" i="8"/>
  <c r="O126" i="8"/>
  <c r="AE126" i="8"/>
  <c r="AP126" i="8"/>
  <c r="BH126" i="8"/>
  <c r="T126" i="8"/>
  <c r="AQ126" i="8"/>
  <c r="AB126" i="8"/>
  <c r="AV126" i="8"/>
  <c r="BA126" i="8"/>
  <c r="AF126" i="8"/>
  <c r="BF126" i="8"/>
  <c r="BJ126" i="8"/>
  <c r="BL126" i="8"/>
  <c r="R126" i="8"/>
  <c r="BS109" i="8"/>
  <c r="I109" i="8" s="1"/>
  <c r="I108" i="8"/>
  <c r="W126" i="8"/>
  <c r="V126" i="8"/>
  <c r="S126" i="8"/>
  <c r="AM126" i="8"/>
  <c r="AU126" i="8"/>
  <c r="X126" i="8"/>
  <c r="Y126" i="8"/>
  <c r="AW126" i="8"/>
  <c r="BR126" i="8"/>
  <c r="AX126" i="8"/>
  <c r="AK126" i="8"/>
  <c r="BB126" i="8"/>
  <c r="AY126" i="8"/>
  <c r="AL126" i="8"/>
  <c r="AR126" i="8"/>
  <c r="U126" i="8"/>
  <c r="P126" i="8"/>
  <c r="N126" i="8"/>
  <c r="AS126" i="8"/>
  <c r="BK126" i="8"/>
  <c r="AT126" i="8"/>
  <c r="M126" i="8"/>
  <c r="AN126" i="8"/>
  <c r="AH126" i="8"/>
  <c r="Q126" i="8"/>
  <c r="AA126" i="8"/>
  <c r="AC126" i="8"/>
  <c r="BO126" i="8"/>
  <c r="AG126" i="8"/>
  <c r="AO126" i="8"/>
  <c r="BC126" i="8"/>
  <c r="AD126" i="8"/>
  <c r="BD126" i="8"/>
  <c r="BG126" i="8"/>
  <c r="BE126" i="8"/>
  <c r="Z126" i="8"/>
  <c r="BP126" i="8"/>
  <c r="BS126" i="8"/>
  <c r="AZ126" i="8"/>
  <c r="BS113" i="8"/>
  <c r="I110" i="5"/>
  <c r="P5" i="5"/>
  <c r="Y5" i="5"/>
  <c r="AH5" i="5"/>
  <c r="AN5" i="5"/>
  <c r="BA5" i="5"/>
  <c r="BR5" i="5"/>
  <c r="AR5" i="5"/>
  <c r="BM5" i="5"/>
  <c r="AA5" i="5"/>
  <c r="L5" i="5"/>
  <c r="BP5" i="5"/>
  <c r="Z5" i="5"/>
  <c r="X5" i="5"/>
  <c r="BD5" i="5"/>
  <c r="AG5" i="5"/>
  <c r="BQ5" i="5"/>
  <c r="AX5" i="5"/>
  <c r="AQ5" i="5"/>
  <c r="AF5" i="5"/>
  <c r="BH5" i="5"/>
  <c r="AO5" i="5"/>
  <c r="V5" i="5"/>
  <c r="BB5" i="5"/>
  <c r="AU5" i="5"/>
  <c r="AB5" i="5"/>
  <c r="AV5" i="5"/>
  <c r="U5" i="5"/>
  <c r="AW5" i="5"/>
  <c r="BL5" i="5"/>
  <c r="AP5" i="5"/>
  <c r="O5" i="5"/>
  <c r="BG5" i="5"/>
  <c r="T5" i="5"/>
  <c r="AJ5" i="5"/>
  <c r="AZ5" i="5"/>
  <c r="Q5" i="5"/>
  <c r="AK5" i="5"/>
  <c r="BE5" i="5"/>
  <c r="R5" i="5"/>
  <c r="AL5" i="5"/>
  <c r="BF5" i="5"/>
  <c r="AE5" i="5"/>
  <c r="BK5" i="5"/>
  <c r="M5" i="5"/>
  <c r="AC5" i="5"/>
  <c r="AS5" i="5"/>
  <c r="BI5" i="5"/>
  <c r="N5" i="5"/>
  <c r="AD5" i="5"/>
  <c r="AT5" i="5"/>
  <c r="BJ5" i="5"/>
  <c r="S5" i="5"/>
  <c r="AI5" i="5"/>
  <c r="AY5" i="5"/>
  <c r="BO5" i="5"/>
  <c r="BN5" i="5"/>
  <c r="W5" i="5"/>
  <c r="AM5" i="5"/>
  <c r="BC5" i="5"/>
  <c r="BR117" i="5"/>
  <c r="BS115" i="5"/>
  <c r="BS116" i="5"/>
  <c r="BS112" i="5"/>
  <c r="I112" i="5" s="1"/>
  <c r="I111" i="5"/>
  <c r="I179" i="1"/>
  <c r="I181" i="1"/>
  <c r="M5" i="4"/>
  <c r="L5" i="4"/>
  <c r="N5" i="4"/>
  <c r="O5" i="4"/>
  <c r="P5" i="4"/>
  <c r="Q5" i="4"/>
  <c r="R5" i="4"/>
  <c r="S5" i="4"/>
  <c r="T5" i="4"/>
  <c r="U5" i="4"/>
  <c r="V5" i="4"/>
  <c r="W5" i="4"/>
  <c r="X5" i="4"/>
  <c r="Y5" i="4"/>
  <c r="Z5" i="4"/>
  <c r="AA5" i="4"/>
  <c r="AB5" i="4"/>
  <c r="AC5" i="4"/>
  <c r="AD5" i="4"/>
  <c r="AE5" i="4"/>
  <c r="AF5" i="4"/>
  <c r="AG5" i="4"/>
  <c r="AH5" i="4"/>
  <c r="AI5" i="4"/>
  <c r="AJ5" i="4"/>
  <c r="AK5" i="4"/>
  <c r="AL5" i="4"/>
  <c r="AM5" i="4"/>
  <c r="AN5" i="4"/>
  <c r="AO5" i="4"/>
  <c r="AP5" i="4"/>
  <c r="AQ5" i="4"/>
  <c r="AR5" i="4"/>
  <c r="AS5" i="4"/>
  <c r="AT5" i="4"/>
  <c r="AU5" i="4"/>
  <c r="AV5" i="4"/>
  <c r="AW5" i="4"/>
  <c r="AX5" i="4"/>
  <c r="AY5" i="4"/>
  <c r="AZ5" i="4"/>
  <c r="BA5" i="4"/>
  <c r="BB5" i="4"/>
  <c r="BC5" i="4"/>
  <c r="BD5" i="4"/>
  <c r="BE5" i="4"/>
  <c r="BF5" i="4"/>
  <c r="BG5" i="4"/>
  <c r="BH5" i="4"/>
  <c r="BI5" i="4"/>
  <c r="BJ5" i="4"/>
  <c r="BK5" i="4"/>
  <c r="BL5" i="4"/>
  <c r="BM5" i="4"/>
  <c r="BN5" i="4"/>
  <c r="BO5" i="4"/>
  <c r="BP5" i="4"/>
  <c r="BQ5" i="4"/>
  <c r="BR5" i="4"/>
  <c r="BS5" i="4"/>
  <c r="W197" i="20" l="1"/>
  <c r="V197" i="20"/>
  <c r="BK188" i="20"/>
  <c r="AW240" i="18"/>
  <c r="BQ240" i="18"/>
  <c r="BG240" i="18"/>
  <c r="BS240" i="18"/>
  <c r="S184" i="23"/>
  <c r="S201" i="23" s="1"/>
  <c r="S372" i="23" s="1"/>
  <c r="S539" i="23" s="1"/>
  <c r="Q184" i="23"/>
  <c r="Q201" i="23" s="1"/>
  <c r="Q372" i="23" s="1"/>
  <c r="Q537" i="23" s="1"/>
  <c r="AQ188" i="20"/>
  <c r="R240" i="18"/>
  <c r="BD240" i="18"/>
  <c r="AF240" i="18"/>
  <c r="V184" i="23"/>
  <c r="V201" i="23" s="1"/>
  <c r="V372" i="23" s="1"/>
  <c r="V537" i="23" s="1"/>
  <c r="BP184" i="23"/>
  <c r="BP201" i="23" s="1"/>
  <c r="BP372" i="23" s="1"/>
  <c r="BP537" i="23" s="1"/>
  <c r="BM184" i="23"/>
  <c r="BM201" i="23" s="1"/>
  <c r="BM372" i="23" s="1"/>
  <c r="BM531" i="23" s="1"/>
  <c r="BA184" i="23"/>
  <c r="BA201" i="23" s="1"/>
  <c r="BA372" i="23" s="1"/>
  <c r="BA537" i="23" s="1"/>
  <c r="X184" i="23"/>
  <c r="X201" i="23" s="1"/>
  <c r="X372" i="23" s="1"/>
  <c r="X537" i="23" s="1"/>
  <c r="U184" i="23"/>
  <c r="U201" i="23" s="1"/>
  <c r="U372" i="23" s="1"/>
  <c r="U537" i="23" s="1"/>
  <c r="AP184" i="23"/>
  <c r="AP201" i="23" s="1"/>
  <c r="AP372" i="23" s="1"/>
  <c r="AP539" i="23" s="1"/>
  <c r="AY184" i="23"/>
  <c r="AY201" i="23" s="1"/>
  <c r="AY372" i="23" s="1"/>
  <c r="AY537" i="23" s="1"/>
  <c r="BK184" i="23"/>
  <c r="BK201" i="23" s="1"/>
  <c r="BK372" i="23" s="1"/>
  <c r="BK539" i="23" s="1"/>
  <c r="AS184" i="23"/>
  <c r="AS201" i="23" s="1"/>
  <c r="AS372" i="23" s="1"/>
  <c r="AN184" i="23"/>
  <c r="AN201" i="23" s="1"/>
  <c r="AN372" i="23" s="1"/>
  <c r="AN539" i="23" s="1"/>
  <c r="AC184" i="23"/>
  <c r="AC201" i="23" s="1"/>
  <c r="AC372" i="23" s="1"/>
  <c r="AC539" i="23" s="1"/>
  <c r="AR184" i="23"/>
  <c r="AR201" i="23" s="1"/>
  <c r="AR372" i="23" s="1"/>
  <c r="AR539" i="23" s="1"/>
  <c r="AB184" i="23"/>
  <c r="AB201" i="23" s="1"/>
  <c r="AB372" i="23" s="1"/>
  <c r="AB537" i="23" s="1"/>
  <c r="BD184" i="23"/>
  <c r="BD201" i="23" s="1"/>
  <c r="AL184" i="23"/>
  <c r="AL201" i="23" s="1"/>
  <c r="AL372" i="23" s="1"/>
  <c r="AL539" i="23" s="1"/>
  <c r="BB184" i="23"/>
  <c r="BB201" i="23" s="1"/>
  <c r="BB372" i="23" s="1"/>
  <c r="BB529" i="23" s="1"/>
  <c r="AG184" i="23"/>
  <c r="AG201" i="23" s="1"/>
  <c r="AG372" i="23" s="1"/>
  <c r="AG537" i="23" s="1"/>
  <c r="AM184" i="23"/>
  <c r="AM201" i="23" s="1"/>
  <c r="AM372" i="23" s="1"/>
  <c r="AM531" i="23" s="1"/>
  <c r="AD184" i="23"/>
  <c r="AD201" i="23" s="1"/>
  <c r="AD372" i="23" s="1"/>
  <c r="AD537" i="23" s="1"/>
  <c r="AO184" i="23"/>
  <c r="AO201" i="23" s="1"/>
  <c r="AX184" i="23"/>
  <c r="AX201" i="23" s="1"/>
  <c r="AX372" i="23" s="1"/>
  <c r="AX539" i="23" s="1"/>
  <c r="BL184" i="23"/>
  <c r="BL201" i="23" s="1"/>
  <c r="BL372" i="23" s="1"/>
  <c r="BL539" i="23" s="1"/>
  <c r="AV184" i="23"/>
  <c r="AV201" i="23" s="1"/>
  <c r="AV372" i="23" s="1"/>
  <c r="AV539" i="23" s="1"/>
  <c r="BC184" i="23"/>
  <c r="BC201" i="23" s="1"/>
  <c r="BC372" i="23" s="1"/>
  <c r="BC539" i="23" s="1"/>
  <c r="BO184" i="23"/>
  <c r="BO201" i="23" s="1"/>
  <c r="Z184" i="23"/>
  <c r="Z201" i="23" s="1"/>
  <c r="Z372" i="23" s="1"/>
  <c r="Z529" i="23" s="1"/>
  <c r="W184" i="23"/>
  <c r="W201" i="23" s="1"/>
  <c r="W372" i="23" s="1"/>
  <c r="W529" i="23" s="1"/>
  <c r="AU184" i="23"/>
  <c r="AU201" i="23" s="1"/>
  <c r="AU372" i="23" s="1"/>
  <c r="AU537" i="23" s="1"/>
  <c r="AZ184" i="23"/>
  <c r="AZ201" i="23" s="1"/>
  <c r="AZ372" i="23" s="1"/>
  <c r="AZ537" i="23" s="1"/>
  <c r="BF184" i="23"/>
  <c r="BF201" i="23" s="1"/>
  <c r="BF372" i="23" s="1"/>
  <c r="BF537" i="23" s="1"/>
  <c r="AQ184" i="23"/>
  <c r="AQ201" i="23" s="1"/>
  <c r="AQ372" i="23" s="1"/>
  <c r="AQ537" i="23" s="1"/>
  <c r="AT184" i="23"/>
  <c r="AT201" i="23" s="1"/>
  <c r="AT372" i="23" s="1"/>
  <c r="AT539" i="23" s="1"/>
  <c r="BN184" i="23"/>
  <c r="BN201" i="23" s="1"/>
  <c r="AK184" i="23"/>
  <c r="AK201" i="23" s="1"/>
  <c r="AK372" i="23" s="1"/>
  <c r="AK539" i="23" s="1"/>
  <c r="BG184" i="23"/>
  <c r="BG201" i="23" s="1"/>
  <c r="BG372" i="23" s="1"/>
  <c r="BG537" i="23" s="1"/>
  <c r="BI184" i="23"/>
  <c r="BI201" i="23" s="1"/>
  <c r="AA184" i="23"/>
  <c r="AA201" i="23" s="1"/>
  <c r="AW184" i="23"/>
  <c r="AW201" i="23" s="1"/>
  <c r="AW372" i="23" s="1"/>
  <c r="AW531" i="23" s="1"/>
  <c r="AJ184" i="23"/>
  <c r="AJ201" i="23" s="1"/>
  <c r="AJ372" i="23" s="1"/>
  <c r="AJ539" i="23" s="1"/>
  <c r="BE184" i="23"/>
  <c r="BE201" i="23" s="1"/>
  <c r="BE372" i="23" s="1"/>
  <c r="BE531" i="23" s="1"/>
  <c r="AF184" i="23"/>
  <c r="AF201" i="23" s="1"/>
  <c r="BS184" i="23"/>
  <c r="BS201" i="23" s="1"/>
  <c r="BS372" i="23" s="1"/>
  <c r="BS539" i="23" s="1"/>
  <c r="BH184" i="23"/>
  <c r="BH201" i="23" s="1"/>
  <c r="BH372" i="23" s="1"/>
  <c r="BH529" i="23" s="1"/>
  <c r="BQ184" i="23"/>
  <c r="BQ201" i="23" s="1"/>
  <c r="BQ372" i="23" s="1"/>
  <c r="BQ537" i="23" s="1"/>
  <c r="Y184" i="23"/>
  <c r="Y201" i="23" s="1"/>
  <c r="Y372" i="23" s="1"/>
  <c r="Y537" i="23" s="1"/>
  <c r="BJ184" i="23"/>
  <c r="BJ201" i="23" s="1"/>
  <c r="BJ372" i="23" s="1"/>
  <c r="BJ537" i="23" s="1"/>
  <c r="AH184" i="23"/>
  <c r="AH201" i="23" s="1"/>
  <c r="AH372" i="23" s="1"/>
  <c r="AH531" i="23" s="1"/>
  <c r="R201" i="23"/>
  <c r="R372" i="23" s="1"/>
  <c r="R537" i="23" s="1"/>
  <c r="AY240" i="18"/>
  <c r="AC240" i="18"/>
  <c r="AI240" i="18"/>
  <c r="BC240" i="18"/>
  <c r="S185" i="20"/>
  <c r="S191" i="20" s="1"/>
  <c r="P197" i="20"/>
  <c r="O185" i="20"/>
  <c r="O191" i="20" s="1"/>
  <c r="AZ197" i="20"/>
  <c r="V185" i="20"/>
  <c r="AB185" i="20"/>
  <c r="AP188" i="20"/>
  <c r="AV185" i="20"/>
  <c r="BQ185" i="20"/>
  <c r="X203" i="20"/>
  <c r="X227" i="20" s="1"/>
  <c r="BF197" i="20"/>
  <c r="BI240" i="18"/>
  <c r="AJ240" i="18"/>
  <c r="AN240" i="18"/>
  <c r="L197" i="20"/>
  <c r="Q203" i="20"/>
  <c r="Q227" i="20" s="1"/>
  <c r="T200" i="20"/>
  <c r="AK188" i="20"/>
  <c r="AA203" i="20"/>
  <c r="AA227" i="20" s="1"/>
  <c r="BE197" i="20"/>
  <c r="AU203" i="20"/>
  <c r="AU227" i="20" s="1"/>
  <c r="U197" i="20"/>
  <c r="AL203" i="20"/>
  <c r="AL227" i="20" s="1"/>
  <c r="BK240" i="18"/>
  <c r="AE240" i="18"/>
  <c r="BH240" i="18"/>
  <c r="AK240" i="18"/>
  <c r="AR240" i="18"/>
  <c r="AO203" i="20"/>
  <c r="AO227" i="20" s="1"/>
  <c r="AR197" i="20"/>
  <c r="N185" i="20"/>
  <c r="P188" i="20"/>
  <c r="P191" i="20" s="1"/>
  <c r="Q185" i="20"/>
  <c r="R200" i="20"/>
  <c r="O197" i="20"/>
  <c r="N197" i="20"/>
  <c r="R197" i="20"/>
  <c r="L200" i="20"/>
  <c r="P200" i="20"/>
  <c r="P203" i="20"/>
  <c r="P227" i="20" s="1"/>
  <c r="T197" i="20"/>
  <c r="AJ188" i="20"/>
  <c r="AZ185" i="20"/>
  <c r="AG185" i="20"/>
  <c r="AG200" i="20"/>
  <c r="BN200" i="20"/>
  <c r="BS197" i="20"/>
  <c r="BS188" i="20"/>
  <c r="AK197" i="20"/>
  <c r="V203" i="20"/>
  <c r="V227" i="20" s="1"/>
  <c r="AA197" i="20"/>
  <c r="AA188" i="20"/>
  <c r="AB203" i="20"/>
  <c r="AB227" i="20" s="1"/>
  <c r="BE203" i="20"/>
  <c r="BE227" i="20" s="1"/>
  <c r="BE200" i="20"/>
  <c r="AP200" i="20"/>
  <c r="AU200" i="20"/>
  <c r="AU188" i="20"/>
  <c r="AV203" i="20"/>
  <c r="AV227" i="20" s="1"/>
  <c r="BQ188" i="20"/>
  <c r="U188" i="20"/>
  <c r="U191" i="20" s="1"/>
  <c r="W200" i="20"/>
  <c r="W188" i="20"/>
  <c r="X185" i="20"/>
  <c r="AO188" i="20"/>
  <c r="AL197" i="20"/>
  <c r="AQ197" i="20"/>
  <c r="AR200" i="20"/>
  <c r="BI188" i="20"/>
  <c r="BF200" i="20"/>
  <c r="N203" i="20"/>
  <c r="N227" i="20" s="1"/>
  <c r="M203" i="20"/>
  <c r="M227" i="20" s="1"/>
  <c r="S200" i="20"/>
  <c r="T188" i="20"/>
  <c r="T191" i="20" s="1"/>
  <c r="AJ200" i="20"/>
  <c r="AJ197" i="20"/>
  <c r="AZ203" i="20"/>
  <c r="AZ227" i="20" s="1"/>
  <c r="AG203" i="20"/>
  <c r="AG227" i="20" s="1"/>
  <c r="BN185" i="20"/>
  <c r="BN191" i="20" s="1"/>
  <c r="BS200" i="20"/>
  <c r="AK203" i="20"/>
  <c r="AK227" i="20" s="1"/>
  <c r="AK200" i="20"/>
  <c r="V188" i="20"/>
  <c r="AA200" i="20"/>
  <c r="AB188" i="20"/>
  <c r="BE185" i="20"/>
  <c r="AP185" i="20"/>
  <c r="AU197" i="20"/>
  <c r="AV188" i="20"/>
  <c r="BQ197" i="20"/>
  <c r="U200" i="20"/>
  <c r="W203" i="20"/>
  <c r="W227" i="20" s="1"/>
  <c r="X200" i="20"/>
  <c r="X188" i="20"/>
  <c r="AO197" i="20"/>
  <c r="AL200" i="20"/>
  <c r="AQ200" i="20"/>
  <c r="AR203" i="20"/>
  <c r="AR227" i="20" s="1"/>
  <c r="BI185" i="20"/>
  <c r="BK200" i="20"/>
  <c r="N200" i="20"/>
  <c r="L188" i="20"/>
  <c r="Q188" i="20"/>
  <c r="N188" i="20"/>
  <c r="O200" i="20"/>
  <c r="L185" i="20"/>
  <c r="M188" i="20"/>
  <c r="M191" i="20" s="1"/>
  <c r="R188" i="20"/>
  <c r="R191" i="20" s="1"/>
  <c r="M197" i="20"/>
  <c r="Q200" i="20"/>
  <c r="Q197" i="20"/>
  <c r="L203" i="20"/>
  <c r="L227" i="20" s="1"/>
  <c r="L264" i="20" s="1"/>
  <c r="S203" i="20"/>
  <c r="O203" i="20"/>
  <c r="O227" i="20" s="1"/>
  <c r="T203" i="20"/>
  <c r="T227" i="20" s="1"/>
  <c r="AJ185" i="20"/>
  <c r="AZ188" i="20"/>
  <c r="AG188" i="20"/>
  <c r="BN197" i="20"/>
  <c r="BN203" i="20"/>
  <c r="BN227" i="20" s="1"/>
  <c r="BS185" i="20"/>
  <c r="AK185" i="20"/>
  <c r="V200" i="20"/>
  <c r="AA185" i="20"/>
  <c r="AB200" i="20"/>
  <c r="AB197" i="20"/>
  <c r="BE188" i="20"/>
  <c r="AP197" i="20"/>
  <c r="AP203" i="20"/>
  <c r="AP227" i="20" s="1"/>
  <c r="AU185" i="20"/>
  <c r="AV200" i="20"/>
  <c r="AV197" i="20"/>
  <c r="BQ203" i="20"/>
  <c r="BQ227" i="20" s="1"/>
  <c r="BQ200" i="20"/>
  <c r="U203" i="20"/>
  <c r="U227" i="20" s="1"/>
  <c r="W185" i="20"/>
  <c r="X197" i="20"/>
  <c r="AO185" i="20"/>
  <c r="AO200" i="20"/>
  <c r="AL185" i="20"/>
  <c r="AL191" i="20" s="1"/>
  <c r="AQ203" i="20"/>
  <c r="AQ227" i="20" s="1"/>
  <c r="AR188" i="20"/>
  <c r="BI197" i="20"/>
  <c r="BK197" i="20"/>
  <c r="BF188" i="20"/>
  <c r="BF203" i="20"/>
  <c r="BF227" i="20" s="1"/>
  <c r="BK203" i="20"/>
  <c r="BK227" i="20" s="1"/>
  <c r="BO185" i="20"/>
  <c r="AD188" i="20"/>
  <c r="AT188" i="20"/>
  <c r="AT203" i="20"/>
  <c r="AT227" i="20" s="1"/>
  <c r="Y197" i="20"/>
  <c r="AH200" i="20"/>
  <c r="AM200" i="20"/>
  <c r="AN200" i="20"/>
  <c r="AN197" i="20"/>
  <c r="AS188" i="20"/>
  <c r="BB197" i="20"/>
  <c r="BG197" i="20"/>
  <c r="BG188" i="20"/>
  <c r="BH188" i="20"/>
  <c r="BM188" i="20"/>
  <c r="BP203" i="20"/>
  <c r="BP227" i="20" s="1"/>
  <c r="BJ197" i="20"/>
  <c r="AI197" i="20"/>
  <c r="AI188" i="20"/>
  <c r="AY203" i="20"/>
  <c r="AY227" i="20" s="1"/>
  <c r="AC185" i="20"/>
  <c r="AX188" i="20"/>
  <c r="BC197" i="20"/>
  <c r="BC188" i="20"/>
  <c r="BD188" i="20"/>
  <c r="AW185" i="20"/>
  <c r="BR197" i="20"/>
  <c r="BA185" i="20"/>
  <c r="BA200" i="20"/>
  <c r="Z200" i="20"/>
  <c r="AE185" i="20"/>
  <c r="BL197" i="20"/>
  <c r="BL185" i="20"/>
  <c r="BL188" i="20"/>
  <c r="BL200" i="20"/>
  <c r="BL203" i="20"/>
  <c r="BL227" i="20" s="1"/>
  <c r="BO203" i="20"/>
  <c r="BO227" i="20" s="1"/>
  <c r="AD200" i="20"/>
  <c r="AT197" i="20"/>
  <c r="Y185" i="20"/>
  <c r="Y200" i="20"/>
  <c r="AH185" i="20"/>
  <c r="AM185" i="20"/>
  <c r="AN185" i="20"/>
  <c r="AS197" i="20"/>
  <c r="BB200" i="20"/>
  <c r="BG200" i="20"/>
  <c r="BH200" i="20"/>
  <c r="BH197" i="20"/>
  <c r="BM197" i="20"/>
  <c r="BP188" i="20"/>
  <c r="BJ200" i="20"/>
  <c r="AI200" i="20"/>
  <c r="AY197" i="20"/>
  <c r="AY188" i="20"/>
  <c r="AC197" i="20"/>
  <c r="AX200" i="20"/>
  <c r="BC200" i="20"/>
  <c r="BD200" i="20"/>
  <c r="BD197" i="20"/>
  <c r="AW197" i="20"/>
  <c r="BR200" i="20"/>
  <c r="BA203" i="20"/>
  <c r="BA227" i="20" s="1"/>
  <c r="Z203" i="20"/>
  <c r="Z227" i="20" s="1"/>
  <c r="Z197" i="20"/>
  <c r="AE203" i="20"/>
  <c r="AE227" i="20" s="1"/>
  <c r="AF203" i="20"/>
  <c r="AF227" i="20" s="1"/>
  <c r="BO197" i="20"/>
  <c r="BO188" i="20"/>
  <c r="AD185" i="20"/>
  <c r="AT200" i="20"/>
  <c r="Y188" i="20"/>
  <c r="AH188" i="20"/>
  <c r="AH203" i="20"/>
  <c r="AH227" i="20" s="1"/>
  <c r="AM203" i="20"/>
  <c r="AM227" i="20" s="1"/>
  <c r="AN203" i="20"/>
  <c r="AN227" i="20" s="1"/>
  <c r="AS203" i="20"/>
  <c r="AS227" i="20" s="1"/>
  <c r="AS200" i="20"/>
  <c r="BB185" i="20"/>
  <c r="BG185" i="20"/>
  <c r="BH185" i="20"/>
  <c r="BM185" i="20"/>
  <c r="BM200" i="20"/>
  <c r="BP200" i="20"/>
  <c r="BP197" i="20"/>
  <c r="BJ185" i="20"/>
  <c r="AI185" i="20"/>
  <c r="AY200" i="20"/>
  <c r="AC203" i="20"/>
  <c r="AC227" i="20" s="1"/>
  <c r="AC200" i="20"/>
  <c r="AX185" i="20"/>
  <c r="BC185" i="20"/>
  <c r="BD185" i="20"/>
  <c r="AW203" i="20"/>
  <c r="AW227" i="20" s="1"/>
  <c r="AW200" i="20"/>
  <c r="BR185" i="20"/>
  <c r="BA188" i="20"/>
  <c r="Z185" i="20"/>
  <c r="AE197" i="20"/>
  <c r="AE188" i="20"/>
  <c r="AF188" i="20"/>
  <c r="AF191" i="20" s="1"/>
  <c r="AQ185" i="20"/>
  <c r="AR185" i="20"/>
  <c r="BI203" i="20"/>
  <c r="BI227" i="20" s="1"/>
  <c r="BI200" i="20"/>
  <c r="BF185" i="20"/>
  <c r="BK185" i="20"/>
  <c r="BK191" i="20" s="1"/>
  <c r="BO200" i="20"/>
  <c r="AD197" i="20"/>
  <c r="AD203" i="20"/>
  <c r="AD227" i="20" s="1"/>
  <c r="AT185" i="20"/>
  <c r="Y203" i="20"/>
  <c r="Y227" i="20" s="1"/>
  <c r="AH197" i="20"/>
  <c r="AM197" i="20"/>
  <c r="AM188" i="20"/>
  <c r="AM191" i="20" s="1"/>
  <c r="AN188" i="20"/>
  <c r="AS185" i="20"/>
  <c r="BB188" i="20"/>
  <c r="BB203" i="20"/>
  <c r="BB227" i="20" s="1"/>
  <c r="BG203" i="20"/>
  <c r="BG227" i="20" s="1"/>
  <c r="BH203" i="20"/>
  <c r="BH227" i="20" s="1"/>
  <c r="BM203" i="20"/>
  <c r="BM227" i="20" s="1"/>
  <c r="BP185" i="20"/>
  <c r="BJ188" i="20"/>
  <c r="BJ203" i="20"/>
  <c r="BJ227" i="20" s="1"/>
  <c r="AI203" i="20"/>
  <c r="AI227" i="20" s="1"/>
  <c r="AY185" i="20"/>
  <c r="AC188" i="20"/>
  <c r="AX197" i="20"/>
  <c r="AX203" i="20"/>
  <c r="AX227" i="20" s="1"/>
  <c r="BC203" i="20"/>
  <c r="BC227" i="20" s="1"/>
  <c r="BD203" i="20"/>
  <c r="BD227" i="20" s="1"/>
  <c r="AW188" i="20"/>
  <c r="BR188" i="20"/>
  <c r="BR203" i="20"/>
  <c r="BR227" i="20" s="1"/>
  <c r="BA197" i="20"/>
  <c r="Z188" i="20"/>
  <c r="AE200" i="20"/>
  <c r="AF200" i="20"/>
  <c r="AF197" i="20"/>
  <c r="Y183" i="15"/>
  <c r="Y188" i="15" s="1"/>
  <c r="AS183" i="15"/>
  <c r="AS188" i="15" s="1"/>
  <c r="BJ183" i="15"/>
  <c r="BJ188" i="15" s="1"/>
  <c r="BP183" i="15"/>
  <c r="BP188" i="15" s="1"/>
  <c r="Z183" i="15"/>
  <c r="Z188" i="15" s="1"/>
  <c r="BQ183" i="15"/>
  <c r="BQ188" i="15" s="1"/>
  <c r="AY183" i="15"/>
  <c r="AY188" i="15" s="1"/>
  <c r="T183" i="15"/>
  <c r="T188" i="15" s="1"/>
  <c r="AD183" i="15"/>
  <c r="AD188" i="15" s="1"/>
  <c r="AJ183" i="15"/>
  <c r="AJ188" i="15" s="1"/>
  <c r="AX183" i="15"/>
  <c r="AX188" i="15" s="1"/>
  <c r="BK183" i="15"/>
  <c r="BK188" i="15" s="1"/>
  <c r="AW183" i="15"/>
  <c r="AW188" i="15" s="1"/>
  <c r="AB183" i="15"/>
  <c r="AB188" i="15" s="1"/>
  <c r="AT183" i="15"/>
  <c r="AT188" i="15" s="1"/>
  <c r="BM183" i="15"/>
  <c r="BM188" i="15" s="1"/>
  <c r="BS183" i="15"/>
  <c r="BS188" i="15" s="1"/>
  <c r="AK183" i="15"/>
  <c r="AK188" i="15" s="1"/>
  <c r="AI183" i="15"/>
  <c r="AI188" i="15" s="1"/>
  <c r="BC183" i="15"/>
  <c r="BC188" i="15" s="1"/>
  <c r="W183" i="15"/>
  <c r="W188" i="15" s="1"/>
  <c r="AE183" i="15"/>
  <c r="AE188" i="15" s="1"/>
  <c r="AL183" i="15"/>
  <c r="AL188" i="15" s="1"/>
  <c r="BG183" i="15"/>
  <c r="BG188" i="15" s="1"/>
  <c r="X183" i="15"/>
  <c r="X188" i="15" s="1"/>
  <c r="AZ183" i="15"/>
  <c r="AZ188" i="15" s="1"/>
  <c r="AF183" i="15"/>
  <c r="AF188" i="15" s="1"/>
  <c r="BA183" i="15"/>
  <c r="BA188" i="15" s="1"/>
  <c r="BN183" i="15"/>
  <c r="BN188" i="15" s="1"/>
  <c r="U183" i="15"/>
  <c r="U188" i="15" s="1"/>
  <c r="AQ183" i="15"/>
  <c r="AQ188" i="15" s="1"/>
  <c r="AO183" i="15"/>
  <c r="AO188" i="15" s="1"/>
  <c r="BE183" i="15"/>
  <c r="BE188" i="15" s="1"/>
  <c r="AA183" i="15"/>
  <c r="AA188" i="15" s="1"/>
  <c r="AG183" i="15"/>
  <c r="AG188" i="15" s="1"/>
  <c r="AM183" i="15"/>
  <c r="AM188" i="15" s="1"/>
  <c r="BH183" i="15"/>
  <c r="BH188" i="15" s="1"/>
  <c r="AN183" i="15"/>
  <c r="AN188" i="15" s="1"/>
  <c r="BD183" i="15"/>
  <c r="BD188" i="15" s="1"/>
  <c r="AP183" i="15"/>
  <c r="AP188" i="15" s="1"/>
  <c r="BB183" i="15"/>
  <c r="BB188" i="15" s="1"/>
  <c r="BO183" i="15"/>
  <c r="BO188" i="15" s="1"/>
  <c r="V183" i="15"/>
  <c r="V188" i="15" s="1"/>
  <c r="BL183" i="15"/>
  <c r="BL188" i="15" s="1"/>
  <c r="AV183" i="15"/>
  <c r="AV188" i="15" s="1"/>
  <c r="BR183" i="15"/>
  <c r="BR188" i="15" s="1"/>
  <c r="AC183" i="15"/>
  <c r="AC188" i="15" s="1"/>
  <c r="AH183" i="15"/>
  <c r="AH188" i="15" s="1"/>
  <c r="AR183" i="15"/>
  <c r="AR188" i="15" s="1"/>
  <c r="BI183" i="15"/>
  <c r="BI188" i="15" s="1"/>
  <c r="AU183" i="15"/>
  <c r="AU188" i="15" s="1"/>
  <c r="BF183" i="15"/>
  <c r="BF188" i="15" s="1"/>
  <c r="P201" i="23"/>
  <c r="P372" i="23" s="1"/>
  <c r="P531" i="23" s="1"/>
  <c r="I181" i="23"/>
  <c r="T184" i="23"/>
  <c r="T201" i="23" s="1"/>
  <c r="T372" i="23" s="1"/>
  <c r="T539" i="23" s="1"/>
  <c r="AP240" i="18"/>
  <c r="AH240" i="18"/>
  <c r="AZ240" i="18"/>
  <c r="W240" i="18"/>
  <c r="L452" i="23" a="1"/>
  <c r="L452" i="23" s="1"/>
  <c r="AV240" i="18"/>
  <c r="O201" i="23"/>
  <c r="O372" i="23" s="1"/>
  <c r="O537" i="23" s="1"/>
  <c r="AO240" i="18"/>
  <c r="V240" i="18"/>
  <c r="L457" i="23" a="1"/>
  <c r="L457" i="23" s="1"/>
  <c r="M240" i="18"/>
  <c r="L220" i="23" a="1"/>
  <c r="L220" i="23" s="1"/>
  <c r="I220" i="23" s="1"/>
  <c r="I250" i="23" s="1"/>
  <c r="I190" i="23"/>
  <c r="I178" i="23"/>
  <c r="L154" i="23" a="1"/>
  <c r="L154" i="23" s="1"/>
  <c r="L453" i="23" a="1"/>
  <c r="L453" i="23" s="1"/>
  <c r="I453" i="23" s="1"/>
  <c r="L459" i="23" a="1"/>
  <c r="L459" i="23" s="1"/>
  <c r="I196" i="23"/>
  <c r="L458" i="23" a="1"/>
  <c r="L458" i="23" s="1"/>
  <c r="I458" i="23" s="1"/>
  <c r="N201" i="23"/>
  <c r="N372" i="23" s="1"/>
  <c r="N531" i="23" s="1"/>
  <c r="N221" i="23"/>
  <c r="I221" i="23" s="1"/>
  <c r="I193" i="23"/>
  <c r="L219" i="23" a="1"/>
  <c r="L219" i="23" s="1"/>
  <c r="I219" i="23" s="1"/>
  <c r="S240" i="18"/>
  <c r="AX240" i="18"/>
  <c r="BM240" i="18"/>
  <c r="AQ240" i="18"/>
  <c r="AT240" i="18"/>
  <c r="BJ240" i="18"/>
  <c r="AM240" i="18"/>
  <c r="BR240" i="18"/>
  <c r="BN240" i="18"/>
  <c r="O240" i="18"/>
  <c r="BR537" i="23"/>
  <c r="BR539" i="23"/>
  <c r="M537" i="23"/>
  <c r="M539" i="23"/>
  <c r="AI537" i="23"/>
  <c r="AI539" i="23"/>
  <c r="AE537" i="23"/>
  <c r="AE539" i="23"/>
  <c r="M529" i="23"/>
  <c r="M531" i="23"/>
  <c r="AI529" i="23"/>
  <c r="AI531" i="23"/>
  <c r="AE529" i="23"/>
  <c r="AE531" i="23"/>
  <c r="BR529" i="23"/>
  <c r="BR531" i="23"/>
  <c r="M404" i="23"/>
  <c r="AI404" i="23"/>
  <c r="AE404" i="23"/>
  <c r="BR404" i="23"/>
  <c r="AI403" i="23"/>
  <c r="AE403" i="23"/>
  <c r="BR403" i="23"/>
  <c r="M403" i="23"/>
  <c r="AE402" i="23"/>
  <c r="M402" i="23"/>
  <c r="BR402" i="23"/>
  <c r="AI402" i="23"/>
  <c r="BR329" i="23"/>
  <c r="BR348" i="23" s="1"/>
  <c r="BR371" i="23"/>
  <c r="M329" i="23"/>
  <c r="M348" i="23" s="1"/>
  <c r="M371" i="23"/>
  <c r="AI329" i="23"/>
  <c r="AI348" i="23" s="1"/>
  <c r="AI371" i="23"/>
  <c r="AE329" i="23"/>
  <c r="AE348" i="23" s="1"/>
  <c r="AE371" i="23"/>
  <c r="L167" i="23" a="1"/>
  <c r="L167" i="23" s="1"/>
  <c r="L256" i="23"/>
  <c r="L201" i="23"/>
  <c r="L170" i="11" a="1"/>
  <c r="L170" i="11" s="1"/>
  <c r="L183" i="15" s="1"/>
  <c r="I165" i="23"/>
  <c r="AT170" i="9"/>
  <c r="BF170" i="9"/>
  <c r="BK170" i="9"/>
  <c r="BC170" i="9"/>
  <c r="AK170" i="9"/>
  <c r="AU170" i="9"/>
  <c r="AZ170" i="9"/>
  <c r="AQ170" i="9"/>
  <c r="BG170" i="9"/>
  <c r="AF170" i="9"/>
  <c r="AE170" i="9"/>
  <c r="BE170" i="9"/>
  <c r="AA170" i="9"/>
  <c r="BS170" i="9"/>
  <c r="N170" i="9"/>
  <c r="BR170" i="9"/>
  <c r="AO170" i="9"/>
  <c r="BA170" i="9"/>
  <c r="O170" i="9"/>
  <c r="BM170" i="9"/>
  <c r="AV170" i="9"/>
  <c r="AP170" i="9"/>
  <c r="AL170" i="9"/>
  <c r="AM170" i="9"/>
  <c r="AI170" i="9"/>
  <c r="Z170" i="9"/>
  <c r="V170" i="9"/>
  <c r="BN170" i="9"/>
  <c r="BB170" i="9"/>
  <c r="S170" i="9"/>
  <c r="AB170" i="9"/>
  <c r="Y170" i="9"/>
  <c r="L222" i="9" a="1"/>
  <c r="L222" i="9" s="1"/>
  <c r="I222" i="9" s="1"/>
  <c r="I256" i="9" s="1"/>
  <c r="L166" i="9"/>
  <c r="BL170" i="9"/>
  <c r="AY170" i="9"/>
  <c r="AW170" i="9"/>
  <c r="W170" i="9"/>
  <c r="AS170" i="9"/>
  <c r="AG170" i="9"/>
  <c r="AX170" i="9"/>
  <c r="P170" i="9"/>
  <c r="AC170" i="9"/>
  <c r="BJ170" i="9"/>
  <c r="BQ170" i="9"/>
  <c r="AH170" i="9"/>
  <c r="BP170" i="9"/>
  <c r="BD170" i="9"/>
  <c r="BO170" i="9"/>
  <c r="Q170" i="9"/>
  <c r="AD170" i="9"/>
  <c r="BH170" i="9"/>
  <c r="AN170" i="9"/>
  <c r="T170" i="9"/>
  <c r="M170" i="9"/>
  <c r="AJ170" i="9"/>
  <c r="U170" i="9"/>
  <c r="AR170" i="9"/>
  <c r="X170" i="9"/>
  <c r="BI170" i="9"/>
  <c r="R170" i="9"/>
  <c r="Q240" i="18"/>
  <c r="AS240" i="18"/>
  <c r="BE240" i="18"/>
  <c r="Y240" i="18"/>
  <c r="AD240" i="18"/>
  <c r="AU240" i="18"/>
  <c r="N240" i="18"/>
  <c r="BO240" i="18"/>
  <c r="AA240" i="18"/>
  <c r="X240" i="18"/>
  <c r="BL240" i="18"/>
  <c r="BF240" i="18"/>
  <c r="BA240" i="18"/>
  <c r="AB240" i="18"/>
  <c r="U240" i="18"/>
  <c r="AL240" i="18"/>
  <c r="AG240" i="18"/>
  <c r="P240" i="18"/>
  <c r="L240" i="18"/>
  <c r="L224" i="11"/>
  <c r="I224" i="11" s="1"/>
  <c r="I263" i="11" s="1"/>
  <c r="L223" i="11" a="1"/>
  <c r="L223" i="11" s="1"/>
  <c r="L213" i="15"/>
  <c r="Y190" i="15"/>
  <c r="AX190" i="15"/>
  <c r="BI190" i="15"/>
  <c r="BC190" i="15"/>
  <c r="AJ190" i="15"/>
  <c r="X190" i="15"/>
  <c r="BD190" i="15"/>
  <c r="BO190" i="15"/>
  <c r="S190" i="15"/>
  <c r="AA190" i="15"/>
  <c r="AK190" i="15"/>
  <c r="AZ190" i="15"/>
  <c r="BK190" i="15"/>
  <c r="M190" i="15"/>
  <c r="AP190" i="15"/>
  <c r="BN190" i="15"/>
  <c r="R190" i="15"/>
  <c r="AR190" i="15"/>
  <c r="BB190" i="15"/>
  <c r="AO190" i="15"/>
  <c r="AH190" i="15"/>
  <c r="Q190" i="15"/>
  <c r="AV190" i="15"/>
  <c r="BL190" i="15"/>
  <c r="N190" i="15"/>
  <c r="AG190" i="15"/>
  <c r="U190" i="15"/>
  <c r="BP190" i="15"/>
  <c r="Z190" i="15"/>
  <c r="BE190" i="15"/>
  <c r="T190" i="15"/>
  <c r="AC190" i="15"/>
  <c r="AM190" i="15"/>
  <c r="BA190" i="15"/>
  <c r="BM190" i="15"/>
  <c r="O190" i="15"/>
  <c r="AQ190" i="15"/>
  <c r="BQ190" i="15"/>
  <c r="V190" i="15"/>
  <c r="AU190" i="15"/>
  <c r="AD190" i="15"/>
  <c r="AL190" i="15"/>
  <c r="BF190" i="15"/>
  <c r="AI190" i="15"/>
  <c r="AY190" i="15"/>
  <c r="BS190" i="15"/>
  <c r="AS190" i="15"/>
  <c r="BH190" i="15"/>
  <c r="W190" i="15"/>
  <c r="AE190" i="15"/>
  <c r="AN190" i="15"/>
  <c r="BG190" i="15"/>
  <c r="P190" i="15"/>
  <c r="AT190" i="15"/>
  <c r="AB190" i="15"/>
  <c r="AW190" i="15"/>
  <c r="AF190" i="15"/>
  <c r="BJ190" i="15"/>
  <c r="BR190" i="15"/>
  <c r="L223" i="9"/>
  <c r="L158" i="11"/>
  <c r="L230" i="11" s="1"/>
  <c r="L164" i="9"/>
  <c r="L154" i="9" a="1"/>
  <c r="L168" i="20" a="1"/>
  <c r="L158" i="20" a="1"/>
  <c r="L170" i="20" a="1"/>
  <c r="L170" i="20" s="1"/>
  <c r="I170" i="20" s="1"/>
  <c r="L166" i="15"/>
  <c r="L186" i="15" s="1"/>
  <c r="L130" i="11"/>
  <c r="L138" i="15" s="1"/>
  <c r="I125" i="11"/>
  <c r="AJ207" i="15"/>
  <c r="AH207" i="15"/>
  <c r="AW236" i="18"/>
  <c r="AO236" i="18"/>
  <c r="P236" i="18"/>
  <c r="BC236" i="18"/>
  <c r="AY236" i="18"/>
  <c r="U236" i="18"/>
  <c r="T236" i="18"/>
  <c r="AA236" i="18"/>
  <c r="BD236" i="18"/>
  <c r="AL236" i="18"/>
  <c r="AG236" i="18"/>
  <c r="AU236" i="18"/>
  <c r="BR236" i="18"/>
  <c r="BF236" i="18"/>
  <c r="AI236" i="18"/>
  <c r="BL236" i="18"/>
  <c r="Z236" i="18"/>
  <c r="BB236" i="18"/>
  <c r="AH236" i="18"/>
  <c r="BQ236" i="18"/>
  <c r="V236" i="18"/>
  <c r="X236" i="18"/>
  <c r="S236" i="18"/>
  <c r="AC236" i="18"/>
  <c r="BO236" i="18"/>
  <c r="AS236" i="18"/>
  <c r="BE236" i="18"/>
  <c r="AV236" i="18"/>
  <c r="N236" i="18"/>
  <c r="Y236" i="18"/>
  <c r="AD236" i="18"/>
  <c r="R236" i="18"/>
  <c r="L236" i="18"/>
  <c r="M236" i="18"/>
  <c r="AB236" i="18"/>
  <c r="AP236" i="18"/>
  <c r="BI236" i="18"/>
  <c r="O236" i="18"/>
  <c r="AM236" i="18"/>
  <c r="BG236" i="18"/>
  <c r="BS236" i="18"/>
  <c r="BH236" i="18"/>
  <c r="Q236" i="18"/>
  <c r="BM236" i="18"/>
  <c r="AQ236" i="18"/>
  <c r="BK236" i="18"/>
  <c r="BN236" i="18"/>
  <c r="AE236" i="18"/>
  <c r="AK236" i="18"/>
  <c r="AF236" i="18"/>
  <c r="AR236" i="18"/>
  <c r="W236" i="18"/>
  <c r="AZ236" i="18"/>
  <c r="BA236" i="18"/>
  <c r="AX236" i="18"/>
  <c r="BJ236" i="18"/>
  <c r="AT236" i="18"/>
  <c r="AJ236" i="18"/>
  <c r="AN236" i="18"/>
  <c r="L177" i="18" a="1"/>
  <c r="I125" i="18"/>
  <c r="I127" i="18"/>
  <c r="L124" i="20"/>
  <c r="L122" i="20"/>
  <c r="M122" i="20" s="1"/>
  <c r="I116" i="20"/>
  <c r="I118" i="20"/>
  <c r="L433" i="18" a="1"/>
  <c r="L433" i="18" s="1"/>
  <c r="L432" i="18" a="1"/>
  <c r="L432" i="18" s="1"/>
  <c r="I432" i="18" s="1"/>
  <c r="L431" i="18" a="1"/>
  <c r="L431" i="18" s="1"/>
  <c r="L427" i="18" a="1"/>
  <c r="L427" i="18" s="1"/>
  <c r="I427" i="18" s="1"/>
  <c r="L426" i="18" a="1"/>
  <c r="L426" i="18" s="1"/>
  <c r="BM200" i="18"/>
  <c r="BM217" i="18" s="1"/>
  <c r="BM376" i="18" s="1"/>
  <c r="U200" i="18"/>
  <c r="U217" i="18" s="1"/>
  <c r="U378" i="18" s="1"/>
  <c r="BE200" i="18"/>
  <c r="BE217" i="18" s="1"/>
  <c r="BE376" i="18" s="1"/>
  <c r="BI200" i="18"/>
  <c r="BI217" i="18" s="1"/>
  <c r="BI376" i="18" s="1"/>
  <c r="BH200" i="18"/>
  <c r="BH217" i="18" s="1"/>
  <c r="BH376" i="18" s="1"/>
  <c r="AE200" i="18"/>
  <c r="AE217" i="18" s="1"/>
  <c r="AE376" i="18" s="1"/>
  <c r="Y200" i="18"/>
  <c r="Y217" i="18" s="1"/>
  <c r="Y376" i="18" s="1"/>
  <c r="L200" i="18"/>
  <c r="L217" i="18" s="1"/>
  <c r="L376" i="18" s="1"/>
  <c r="L234" i="18" a="1"/>
  <c r="L234" i="18" s="1"/>
  <c r="L259" i="18" s="1"/>
  <c r="L235" i="18" a="1"/>
  <c r="L235" i="18" s="1"/>
  <c r="AO200" i="18"/>
  <c r="AO217" i="18" s="1"/>
  <c r="AO376" i="18" s="1"/>
  <c r="AB200" i="18"/>
  <c r="AB217" i="18" s="1"/>
  <c r="AB376" i="18" s="1"/>
  <c r="BJ114" i="8"/>
  <c r="BK112" i="8"/>
  <c r="BL200" i="18"/>
  <c r="BL217" i="18" s="1"/>
  <c r="BL376" i="18" s="1"/>
  <c r="AR200" i="18"/>
  <c r="AR217" i="18" s="1"/>
  <c r="AR376" i="18" s="1"/>
  <c r="BG200" i="18"/>
  <c r="BG217" i="18" s="1"/>
  <c r="BG376" i="18" s="1"/>
  <c r="AT200" i="18"/>
  <c r="AT217" i="18" s="1"/>
  <c r="AT376" i="18" s="1"/>
  <c r="AX200" i="18"/>
  <c r="AX217" i="18" s="1"/>
  <c r="AX376" i="18" s="1"/>
  <c r="AY200" i="18"/>
  <c r="AY217" i="18" s="1"/>
  <c r="AY376" i="18" s="1"/>
  <c r="AP200" i="18"/>
  <c r="AP217" i="18" s="1"/>
  <c r="AP376" i="18" s="1"/>
  <c r="R200" i="18"/>
  <c r="R217" i="18" s="1"/>
  <c r="R376" i="18" s="1"/>
  <c r="BK200" i="18"/>
  <c r="BK217" i="18" s="1"/>
  <c r="BK376" i="18" s="1"/>
  <c r="BQ200" i="18"/>
  <c r="BQ217" i="18" s="1"/>
  <c r="BQ376" i="18" s="1"/>
  <c r="AD200" i="18"/>
  <c r="AD217" i="18" s="1"/>
  <c r="AD376" i="18" s="1"/>
  <c r="AW200" i="18"/>
  <c r="AW217" i="18" s="1"/>
  <c r="AW376" i="18" s="1"/>
  <c r="AZ200" i="18"/>
  <c r="AZ217" i="18" s="1"/>
  <c r="AZ376" i="18" s="1"/>
  <c r="T200" i="18"/>
  <c r="T217" i="18" s="1"/>
  <c r="T376" i="18" s="1"/>
  <c r="O200" i="18"/>
  <c r="O217" i="18" s="1"/>
  <c r="O376" i="18" s="1"/>
  <c r="AC200" i="18"/>
  <c r="AC217" i="18" s="1"/>
  <c r="AC376" i="18" s="1"/>
  <c r="BB200" i="18"/>
  <c r="BB217" i="18" s="1"/>
  <c r="BB376" i="18" s="1"/>
  <c r="BD200" i="18"/>
  <c r="BD217" i="18" s="1"/>
  <c r="BD376" i="18" s="1"/>
  <c r="BC200" i="18"/>
  <c r="BC217" i="18" s="1"/>
  <c r="BC376" i="18" s="1"/>
  <c r="AV200" i="18"/>
  <c r="AV217" i="18" s="1"/>
  <c r="AV376" i="18" s="1"/>
  <c r="I212" i="18"/>
  <c r="X200" i="18"/>
  <c r="X217" i="18" s="1"/>
  <c r="X376" i="18" s="1"/>
  <c r="W200" i="18"/>
  <c r="W217" i="18" s="1"/>
  <c r="W376" i="18" s="1"/>
  <c r="AI200" i="18"/>
  <c r="AI217" i="18" s="1"/>
  <c r="AI376" i="18" s="1"/>
  <c r="BJ200" i="18"/>
  <c r="BJ217" i="18" s="1"/>
  <c r="BJ376" i="18" s="1"/>
  <c r="P200" i="18"/>
  <c r="P217" i="18" s="1"/>
  <c r="P376" i="18" s="1"/>
  <c r="AK200" i="18"/>
  <c r="AK217" i="18" s="1"/>
  <c r="AK376" i="18" s="1"/>
  <c r="AH200" i="18"/>
  <c r="AH217" i="18" s="1"/>
  <c r="AH376" i="18" s="1"/>
  <c r="V200" i="18"/>
  <c r="V217" i="18" s="1"/>
  <c r="V376" i="18" s="1"/>
  <c r="BR200" i="18"/>
  <c r="BR217" i="18" s="1"/>
  <c r="BR376" i="18" s="1"/>
  <c r="AQ200" i="18"/>
  <c r="AQ217" i="18" s="1"/>
  <c r="AQ376" i="18" s="1"/>
  <c r="I197" i="18"/>
  <c r="I209" i="18"/>
  <c r="I194" i="18"/>
  <c r="AM200" i="18"/>
  <c r="AM217" i="18" s="1"/>
  <c r="AM376" i="18" s="1"/>
  <c r="I206" i="18"/>
  <c r="AU200" i="18"/>
  <c r="AU217" i="18" s="1"/>
  <c r="AU376" i="18" s="1"/>
  <c r="AL200" i="18"/>
  <c r="AL217" i="18" s="1"/>
  <c r="AL376" i="18" s="1"/>
  <c r="AA200" i="18"/>
  <c r="AA217" i="18" s="1"/>
  <c r="AA376" i="18" s="1"/>
  <c r="BP200" i="18"/>
  <c r="BP217" i="18" s="1"/>
  <c r="BP376" i="18" s="1"/>
  <c r="AJ200" i="18"/>
  <c r="AJ217" i="18" s="1"/>
  <c r="AJ376" i="18" s="1"/>
  <c r="BO200" i="18"/>
  <c r="BO217" i="18" s="1"/>
  <c r="BO376" i="18" s="1"/>
  <c r="BF200" i="18"/>
  <c r="BF217" i="18" s="1"/>
  <c r="BF376" i="18" s="1"/>
  <c r="Z200" i="18"/>
  <c r="Z217" i="18" s="1"/>
  <c r="Z376" i="18" s="1"/>
  <c r="BA200" i="18"/>
  <c r="BA217" i="18" s="1"/>
  <c r="BA376" i="18" s="1"/>
  <c r="AG200" i="18"/>
  <c r="AG217" i="18" s="1"/>
  <c r="AG376" i="18" s="1"/>
  <c r="M200" i="18"/>
  <c r="M217" i="18" s="1"/>
  <c r="M376" i="18" s="1"/>
  <c r="Q200" i="18"/>
  <c r="Q217" i="18" s="1"/>
  <c r="Q376" i="18" s="1"/>
  <c r="AN200" i="18"/>
  <c r="AN217" i="18" s="1"/>
  <c r="AN376" i="18" s="1"/>
  <c r="BS200" i="18"/>
  <c r="BS217" i="18" s="1"/>
  <c r="BS376" i="18" s="1"/>
  <c r="BN200" i="18"/>
  <c r="BN217" i="18" s="1"/>
  <c r="BN376" i="18" s="1"/>
  <c r="S200" i="18"/>
  <c r="S217" i="18" s="1"/>
  <c r="S376" i="18" s="1"/>
  <c r="N200" i="18"/>
  <c r="N217" i="18" s="1"/>
  <c r="N376" i="18" s="1"/>
  <c r="AS200" i="18"/>
  <c r="AS217" i="18" s="1"/>
  <c r="AS376" i="18" s="1"/>
  <c r="AF200" i="18"/>
  <c r="AF217" i="18" s="1"/>
  <c r="AF376" i="18" s="1"/>
  <c r="L190" i="8" a="1"/>
  <c r="L190" i="8" s="1"/>
  <c r="I190" i="8" s="1"/>
  <c r="I216" i="8" s="1"/>
  <c r="L207" i="15"/>
  <c r="L190" i="11"/>
  <c r="L207" i="11" s="1"/>
  <c r="L157" i="8"/>
  <c r="L160" i="10"/>
  <c r="L177" i="10" s="1"/>
  <c r="L295" i="10" s="1"/>
  <c r="L460" i="10" s="1"/>
  <c r="L160" i="5"/>
  <c r="BN187" i="9"/>
  <c r="BQ187" i="9"/>
  <c r="M187" i="9"/>
  <c r="L126" i="10"/>
  <c r="X187" i="9"/>
  <c r="BE187" i="9"/>
  <c r="BS187" i="9"/>
  <c r="BM187" i="9"/>
  <c r="BO187" i="9"/>
  <c r="BP187" i="9"/>
  <c r="M160" i="5"/>
  <c r="BR187" i="9"/>
  <c r="BL187" i="9"/>
  <c r="AA190" i="11"/>
  <c r="L222" i="11" a="1"/>
  <c r="L222" i="11" s="1"/>
  <c r="L251" i="11" s="1"/>
  <c r="M190" i="11"/>
  <c r="L425" i="11" a="1"/>
  <c r="L425" i="11" s="1"/>
  <c r="L424" i="11" a="1"/>
  <c r="L424" i="11" s="1"/>
  <c r="I424" i="11" s="1"/>
  <c r="L419" i="11" a="1"/>
  <c r="L419" i="11" s="1"/>
  <c r="I419" i="11" s="1"/>
  <c r="L423" i="11" a="1"/>
  <c r="L423" i="11" s="1"/>
  <c r="L418" i="11" a="1"/>
  <c r="L418" i="11" s="1"/>
  <c r="AO190" i="11"/>
  <c r="BE190" i="11"/>
  <c r="AQ190" i="11"/>
  <c r="W190" i="11"/>
  <c r="AF190" i="11"/>
  <c r="AE190" i="11"/>
  <c r="BM190" i="11"/>
  <c r="AR190" i="11"/>
  <c r="U190" i="11"/>
  <c r="BL190" i="11"/>
  <c r="BH190" i="11"/>
  <c r="BG190" i="11"/>
  <c r="AD190" i="11"/>
  <c r="AC190" i="11"/>
  <c r="AU190" i="11"/>
  <c r="P190" i="11"/>
  <c r="AP190" i="11"/>
  <c r="BQ190" i="11"/>
  <c r="Z190" i="11"/>
  <c r="AX190" i="11"/>
  <c r="V190" i="11"/>
  <c r="BJ190" i="11"/>
  <c r="AN190" i="11"/>
  <c r="BS190" i="11"/>
  <c r="AG190" i="11"/>
  <c r="BB190" i="11"/>
  <c r="AK190" i="11"/>
  <c r="AW190" i="11"/>
  <c r="R190" i="11"/>
  <c r="AB190" i="11"/>
  <c r="T190" i="11"/>
  <c r="AJ190" i="11"/>
  <c r="BA190" i="11"/>
  <c r="BK190" i="11"/>
  <c r="I196" i="11"/>
  <c r="I202" i="11"/>
  <c r="AM190" i="11"/>
  <c r="BN190" i="11"/>
  <c r="O190" i="11"/>
  <c r="BI190" i="11"/>
  <c r="I199" i="11"/>
  <c r="BC190" i="11"/>
  <c r="BO190" i="11"/>
  <c r="AY190" i="11"/>
  <c r="BR190" i="11"/>
  <c r="Y190" i="11"/>
  <c r="X190" i="11"/>
  <c r="S190" i="11"/>
  <c r="AH190" i="11"/>
  <c r="AS190" i="11"/>
  <c r="AI190" i="11"/>
  <c r="I184" i="11"/>
  <c r="AZ190" i="11"/>
  <c r="BP190" i="11"/>
  <c r="BD190" i="11"/>
  <c r="AL190" i="11"/>
  <c r="AT190" i="11"/>
  <c r="BF190" i="11"/>
  <c r="AV190" i="11"/>
  <c r="Q190" i="11"/>
  <c r="N190" i="11"/>
  <c r="I187" i="11"/>
  <c r="W187" i="9"/>
  <c r="AK187" i="9"/>
  <c r="BG187" i="9"/>
  <c r="AL160" i="10"/>
  <c r="AL177" i="10" s="1"/>
  <c r="AL327" i="10" s="1"/>
  <c r="BB160" i="10"/>
  <c r="BB177" i="10" s="1"/>
  <c r="BB327" i="10" s="1"/>
  <c r="T160" i="10"/>
  <c r="T177" i="10" s="1"/>
  <c r="T327" i="10" s="1"/>
  <c r="AO160" i="10"/>
  <c r="AO177" i="10" s="1"/>
  <c r="AO327" i="10" s="1"/>
  <c r="Y160" i="10"/>
  <c r="Y177" i="10" s="1"/>
  <c r="Y327" i="10" s="1"/>
  <c r="AE160" i="10"/>
  <c r="AE177" i="10" s="1"/>
  <c r="AE327" i="10" s="1"/>
  <c r="AZ160" i="10"/>
  <c r="AZ177" i="10" s="1"/>
  <c r="BE160" i="10"/>
  <c r="BE177" i="10" s="1"/>
  <c r="BE327" i="10" s="1"/>
  <c r="BQ160" i="10"/>
  <c r="BQ177" i="10" s="1"/>
  <c r="BQ327" i="10" s="1"/>
  <c r="L381" i="10" a="1"/>
  <c r="L381" i="10" s="1"/>
  <c r="I381" i="10" s="1"/>
  <c r="L192" i="10" a="1"/>
  <c r="L192" i="10" s="1"/>
  <c r="L219" i="10" s="1"/>
  <c r="L376" i="10" a="1"/>
  <c r="L376" i="10" s="1"/>
  <c r="I376" i="10" s="1"/>
  <c r="L225" i="10"/>
  <c r="L380" i="10" a="1"/>
  <c r="L380" i="10" s="1"/>
  <c r="L140" i="10" a="1"/>
  <c r="L140" i="10" s="1"/>
  <c r="I140" i="10" s="1"/>
  <c r="L382" i="10" a="1"/>
  <c r="L382" i="10" s="1"/>
  <c r="L375" i="10" a="1"/>
  <c r="L375" i="10" s="1"/>
  <c r="O187" i="9"/>
  <c r="S187" i="9"/>
  <c r="BJ160" i="10"/>
  <c r="BJ177" i="10" s="1"/>
  <c r="BJ327" i="10" s="1"/>
  <c r="BP160" i="10"/>
  <c r="BP177" i="10" s="1"/>
  <c r="BP327" i="10" s="1"/>
  <c r="BO160" i="10"/>
  <c r="BO177" i="10" s="1"/>
  <c r="BO327" i="10" s="1"/>
  <c r="I172" i="10"/>
  <c r="I169" i="10"/>
  <c r="AN160" i="10"/>
  <c r="AN177" i="10" s="1"/>
  <c r="AN327" i="10" s="1"/>
  <c r="I166" i="10"/>
  <c r="S160" i="10"/>
  <c r="S177" i="10" s="1"/>
  <c r="S327" i="10" s="1"/>
  <c r="V160" i="10"/>
  <c r="V177" i="10" s="1"/>
  <c r="V327" i="10" s="1"/>
  <c r="R187" i="9"/>
  <c r="I154" i="10"/>
  <c r="P187" i="9"/>
  <c r="AQ160" i="10"/>
  <c r="AQ177" i="10" s="1"/>
  <c r="AQ327" i="10" s="1"/>
  <c r="Q187" i="9"/>
  <c r="BG160" i="10"/>
  <c r="BG177" i="10" s="1"/>
  <c r="BG327" i="10" s="1"/>
  <c r="W160" i="10"/>
  <c r="W177" i="10" s="1"/>
  <c r="W327" i="10" s="1"/>
  <c r="BI160" i="10"/>
  <c r="BI177" i="10" s="1"/>
  <c r="BI327" i="10" s="1"/>
  <c r="BM160" i="10"/>
  <c r="BM177" i="10" s="1"/>
  <c r="BM327" i="10" s="1"/>
  <c r="AX160" i="10"/>
  <c r="AX177" i="10" s="1"/>
  <c r="AX327" i="10" s="1"/>
  <c r="AW160" i="10"/>
  <c r="AW177" i="10" s="1"/>
  <c r="AW327" i="10" s="1"/>
  <c r="R160" i="10"/>
  <c r="R177" i="10" s="1"/>
  <c r="R327" i="10" s="1"/>
  <c r="BF160" i="10"/>
  <c r="BF177" i="10" s="1"/>
  <c r="BF327" i="10" s="1"/>
  <c r="BD160" i="10"/>
  <c r="BD177" i="10" s="1"/>
  <c r="BD327" i="10" s="1"/>
  <c r="AG160" i="10"/>
  <c r="AG177" i="10" s="1"/>
  <c r="AG327" i="10" s="1"/>
  <c r="AF160" i="10"/>
  <c r="AF177" i="10" s="1"/>
  <c r="AF327" i="10" s="1"/>
  <c r="AI160" i="10"/>
  <c r="AI177" i="10" s="1"/>
  <c r="AI327" i="10" s="1"/>
  <c r="Z160" i="10"/>
  <c r="Z177" i="10" s="1"/>
  <c r="Z327" i="10" s="1"/>
  <c r="AD160" i="10"/>
  <c r="AD177" i="10" s="1"/>
  <c r="AD327" i="10" s="1"/>
  <c r="BA160" i="10"/>
  <c r="BA177" i="10" s="1"/>
  <c r="BA327" i="10" s="1"/>
  <c r="AJ160" i="10"/>
  <c r="AJ177" i="10" s="1"/>
  <c r="AJ327" i="10" s="1"/>
  <c r="N187" i="9"/>
  <c r="Q160" i="10"/>
  <c r="Q177" i="10" s="1"/>
  <c r="Q327" i="10" s="1"/>
  <c r="AM160" i="10"/>
  <c r="AM177" i="10" s="1"/>
  <c r="AM327" i="10" s="1"/>
  <c r="P160" i="10"/>
  <c r="P177" i="10" s="1"/>
  <c r="P327" i="10" s="1"/>
  <c r="BN160" i="10"/>
  <c r="BN177" i="10" s="1"/>
  <c r="BN327" i="10" s="1"/>
  <c r="AR160" i="10"/>
  <c r="AR177" i="10" s="1"/>
  <c r="AR327" i="10" s="1"/>
  <c r="AY160" i="10"/>
  <c r="AY177" i="10" s="1"/>
  <c r="AY327" i="10" s="1"/>
  <c r="AK160" i="10"/>
  <c r="AK177" i="10" s="1"/>
  <c r="AK327" i="10" s="1"/>
  <c r="BR160" i="10"/>
  <c r="BR177" i="10" s="1"/>
  <c r="BR327" i="10" s="1"/>
  <c r="AU160" i="10"/>
  <c r="AU177" i="10" s="1"/>
  <c r="AU327" i="10" s="1"/>
  <c r="AH160" i="10"/>
  <c r="AH177" i="10" s="1"/>
  <c r="AH327" i="10" s="1"/>
  <c r="BL160" i="10"/>
  <c r="BL177" i="10" s="1"/>
  <c r="BL327" i="10" s="1"/>
  <c r="M160" i="10"/>
  <c r="I157" i="10"/>
  <c r="AT160" i="10"/>
  <c r="AT177" i="10" s="1"/>
  <c r="AT327" i="10" s="1"/>
  <c r="AS160" i="10"/>
  <c r="AS177" i="10" s="1"/>
  <c r="AS327" i="10" s="1"/>
  <c r="N160" i="10"/>
  <c r="N177" i="10" s="1"/>
  <c r="N327" i="10" s="1"/>
  <c r="U160" i="10"/>
  <c r="U177" i="10" s="1"/>
  <c r="U327" i="10" s="1"/>
  <c r="BC160" i="10"/>
  <c r="BC177" i="10" s="1"/>
  <c r="BC327" i="10" s="1"/>
  <c r="AC160" i="10"/>
  <c r="AC177" i="10" s="1"/>
  <c r="AC327" i="10" s="1"/>
  <c r="AV160" i="10"/>
  <c r="AV177" i="10" s="1"/>
  <c r="AV327" i="10" s="1"/>
  <c r="BH160" i="10"/>
  <c r="BH177" i="10" s="1"/>
  <c r="BH327" i="10" s="1"/>
  <c r="BS160" i="10"/>
  <c r="BS177" i="10" s="1"/>
  <c r="BS327" i="10" s="1"/>
  <c r="AA160" i="10"/>
  <c r="AA177" i="10" s="1"/>
  <c r="AA327" i="10" s="1"/>
  <c r="AB160" i="10"/>
  <c r="AB177" i="10" s="1"/>
  <c r="AB327" i="10" s="1"/>
  <c r="AP160" i="10"/>
  <c r="AP177" i="10" s="1"/>
  <c r="AP327" i="10" s="1"/>
  <c r="X160" i="10"/>
  <c r="X177" i="10" s="1"/>
  <c r="X327" i="10" s="1"/>
  <c r="BK160" i="10"/>
  <c r="BK177" i="10" s="1"/>
  <c r="BK327" i="10" s="1"/>
  <c r="O160" i="10"/>
  <c r="O177" i="10" s="1"/>
  <c r="O327" i="10" s="1"/>
  <c r="AB187" i="9"/>
  <c r="BR117" i="10"/>
  <c r="AM187" i="9"/>
  <c r="AA187" i="9"/>
  <c r="AZ187" i="9"/>
  <c r="BD187" i="9"/>
  <c r="BA187" i="9"/>
  <c r="BI187" i="9"/>
  <c r="AH187" i="9"/>
  <c r="V187" i="9"/>
  <c r="AE187" i="9"/>
  <c r="AO187" i="9"/>
  <c r="AY187" i="9"/>
  <c r="BH187" i="9"/>
  <c r="U187" i="9"/>
  <c r="AR187" i="9"/>
  <c r="AT187" i="9"/>
  <c r="BJ187" i="9"/>
  <c r="L414" i="9" a="1"/>
  <c r="L414" i="9" s="1"/>
  <c r="I414" i="9" s="1"/>
  <c r="AD187" i="9"/>
  <c r="AW187" i="9"/>
  <c r="L419" i="9" a="1"/>
  <c r="L419" i="9" s="1"/>
  <c r="I419" i="9" s="1"/>
  <c r="L221" i="9" a="1"/>
  <c r="L221" i="9" s="1"/>
  <c r="I196" i="9"/>
  <c r="AN187" i="9"/>
  <c r="AI187" i="9"/>
  <c r="I199" i="9"/>
  <c r="L420" i="9" a="1"/>
  <c r="L420" i="9" s="1"/>
  <c r="L443" i="9" s="1"/>
  <c r="Z187" i="9"/>
  <c r="AC187" i="9"/>
  <c r="AL187" i="9"/>
  <c r="BB187" i="9"/>
  <c r="AX187" i="9"/>
  <c r="AQ187" i="9"/>
  <c r="AS187" i="9"/>
  <c r="I181" i="9"/>
  <c r="AJ187" i="9"/>
  <c r="L413" i="9" a="1"/>
  <c r="L413" i="9" s="1"/>
  <c r="I184" i="9"/>
  <c r="L187" i="9"/>
  <c r="BC187" i="9"/>
  <c r="AG187" i="9"/>
  <c r="Y187" i="9"/>
  <c r="AU187" i="9"/>
  <c r="AF187" i="9"/>
  <c r="AV187" i="9"/>
  <c r="L418" i="9" a="1"/>
  <c r="L418" i="9" s="1"/>
  <c r="I193" i="9"/>
  <c r="T187" i="9"/>
  <c r="AP187" i="9"/>
  <c r="BK187" i="9"/>
  <c r="BF187" i="9"/>
  <c r="L123" i="8"/>
  <c r="AU157" i="8"/>
  <c r="AS157" i="8"/>
  <c r="L137" i="8" a="1"/>
  <c r="L137" i="8" s="1"/>
  <c r="AY157" i="8"/>
  <c r="BD157" i="8"/>
  <c r="AD157" i="8"/>
  <c r="AH157" i="8"/>
  <c r="AZ157" i="8"/>
  <c r="BK157" i="8"/>
  <c r="U157" i="8"/>
  <c r="BO157" i="8"/>
  <c r="BN157" i="8"/>
  <c r="BC157" i="8"/>
  <c r="AG157" i="8"/>
  <c r="BS157" i="8"/>
  <c r="Q157" i="8"/>
  <c r="S157" i="8"/>
  <c r="BG157" i="8"/>
  <c r="V157" i="8"/>
  <c r="T157" i="8"/>
  <c r="BH157" i="8"/>
  <c r="BI157" i="8"/>
  <c r="AB157" i="8"/>
  <c r="AQ157" i="8"/>
  <c r="BA157" i="8"/>
  <c r="AV157" i="8"/>
  <c r="AE157" i="8"/>
  <c r="O157" i="8"/>
  <c r="AI157" i="8"/>
  <c r="AJ157" i="8"/>
  <c r="L367" i="8" a="1"/>
  <c r="L367" i="8" s="1"/>
  <c r="I367" i="8" s="1"/>
  <c r="L371" i="8" a="1"/>
  <c r="L371" i="8" s="1"/>
  <c r="AO157" i="8"/>
  <c r="AA157" i="8"/>
  <c r="AN157" i="8"/>
  <c r="I151" i="8"/>
  <c r="M157" i="8"/>
  <c r="AT157" i="8"/>
  <c r="N157" i="8"/>
  <c r="P157" i="8"/>
  <c r="AR157" i="8"/>
  <c r="BR157" i="8"/>
  <c r="AW157" i="8"/>
  <c r="W157" i="8"/>
  <c r="BF157" i="8"/>
  <c r="AP157" i="8"/>
  <c r="I154" i="8"/>
  <c r="L372" i="8" a="1"/>
  <c r="L372" i="8" s="1"/>
  <c r="I372" i="8" s="1"/>
  <c r="I163" i="8"/>
  <c r="L373" i="8" a="1"/>
  <c r="L373" i="8" s="1"/>
  <c r="I169" i="8"/>
  <c r="AL157" i="8"/>
  <c r="BB157" i="8"/>
  <c r="AX157" i="8"/>
  <c r="Y157" i="8"/>
  <c r="X157" i="8"/>
  <c r="BJ157" i="8"/>
  <c r="AF157" i="8"/>
  <c r="L366" i="8" a="1"/>
  <c r="L366" i="8" s="1"/>
  <c r="AM157" i="8"/>
  <c r="BP157" i="8"/>
  <c r="Z157" i="8"/>
  <c r="BE157" i="8"/>
  <c r="AC157" i="8"/>
  <c r="I166" i="8"/>
  <c r="L189" i="8" a="1"/>
  <c r="L189" i="8" s="1"/>
  <c r="I189" i="8" s="1"/>
  <c r="I210" i="8" s="1"/>
  <c r="AK157" i="8"/>
  <c r="R157" i="8"/>
  <c r="BL157" i="8"/>
  <c r="BQ157" i="8"/>
  <c r="BM157" i="8"/>
  <c r="L126" i="5"/>
  <c r="T160" i="5"/>
  <c r="AM160" i="5"/>
  <c r="AI160" i="5"/>
  <c r="AL160" i="5"/>
  <c r="BN160" i="5"/>
  <c r="AF160" i="5"/>
  <c r="AD160" i="5"/>
  <c r="AE160" i="5"/>
  <c r="U160" i="5"/>
  <c r="L140" i="5" a="1"/>
  <c r="L140" i="5" s="1"/>
  <c r="AO160" i="5"/>
  <c r="BJ160" i="5"/>
  <c r="P160" i="5"/>
  <c r="AR160" i="5"/>
  <c r="AK160" i="5"/>
  <c r="BH160" i="5"/>
  <c r="BI160" i="5"/>
  <c r="S160" i="5"/>
  <c r="AB160" i="5"/>
  <c r="AP160" i="5"/>
  <c r="AA160" i="5"/>
  <c r="Y160" i="5"/>
  <c r="W160" i="5"/>
  <c r="BM160" i="5"/>
  <c r="BC160" i="5"/>
  <c r="BR160" i="5"/>
  <c r="AZ160" i="5"/>
  <c r="BP160" i="5"/>
  <c r="BE160" i="5"/>
  <c r="BD160" i="5"/>
  <c r="AG160" i="5"/>
  <c r="AC160" i="5"/>
  <c r="AN160" i="5"/>
  <c r="AT160" i="5"/>
  <c r="BK160" i="5"/>
  <c r="AY160" i="5"/>
  <c r="AX160" i="5"/>
  <c r="AW160" i="5"/>
  <c r="X160" i="5"/>
  <c r="V160" i="5"/>
  <c r="AH160" i="5"/>
  <c r="BQ160" i="5"/>
  <c r="BS117" i="5"/>
  <c r="BG160" i="5"/>
  <c r="R160" i="5"/>
  <c r="BL160" i="5"/>
  <c r="AS160" i="5"/>
  <c r="L375" i="5" a="1"/>
  <c r="N160" i="5"/>
  <c r="I157" i="5"/>
  <c r="I166" i="5"/>
  <c r="L193" i="5" a="1"/>
  <c r="L193" i="5" s="1"/>
  <c r="L380" i="5" a="1"/>
  <c r="BF160" i="5"/>
  <c r="AU160" i="5"/>
  <c r="O160" i="5"/>
  <c r="Z160" i="5"/>
  <c r="BO160" i="5"/>
  <c r="Q160" i="5"/>
  <c r="L376" i="5" a="1"/>
  <c r="I154" i="5"/>
  <c r="BA160" i="5"/>
  <c r="AV160" i="5"/>
  <c r="L382" i="5" a="1"/>
  <c r="I172" i="5"/>
  <c r="AJ160" i="5"/>
  <c r="BS160" i="5"/>
  <c r="I169" i="5"/>
  <c r="L381" i="5" a="1"/>
  <c r="L381" i="5" s="1"/>
  <c r="I381" i="5" s="1"/>
  <c r="L192" i="5" a="1"/>
  <c r="L192" i="5" s="1"/>
  <c r="BB160" i="5"/>
  <c r="AQ160" i="5"/>
  <c r="AQ191" i="20" l="1"/>
  <c r="AQ208" i="20" s="1"/>
  <c r="AQ365" i="20" s="1"/>
  <c r="Q404" i="23"/>
  <c r="Q531" i="23"/>
  <c r="Q539" i="23"/>
  <c r="Q329" i="23"/>
  <c r="Q348" i="23" s="1"/>
  <c r="Q403" i="23"/>
  <c r="Q371" i="23"/>
  <c r="Q402" i="23"/>
  <c r="Q529" i="23"/>
  <c r="AD191" i="20"/>
  <c r="AD208" i="20" s="1"/>
  <c r="AD367" i="20" s="1"/>
  <c r="AK191" i="20"/>
  <c r="P101" i="25" a="1"/>
  <c r="P101" i="25" s="1"/>
  <c r="N101" i="25" s="1"/>
  <c r="P100" i="25" a="1"/>
  <c r="P100" i="25" s="1"/>
  <c r="N100" i="25" s="1"/>
  <c r="P99" i="25" a="1"/>
  <c r="P99" i="25" s="1"/>
  <c r="N99" i="25" s="1"/>
  <c r="S227" i="20"/>
  <c r="I227" i="20" s="1"/>
  <c r="L154" i="9"/>
  <c r="AN191" i="20"/>
  <c r="AN208" i="20" s="1"/>
  <c r="AN367" i="20" s="1"/>
  <c r="BO191" i="20"/>
  <c r="BO208" i="20" s="1"/>
  <c r="BO367" i="20" s="1"/>
  <c r="BP329" i="23"/>
  <c r="BP348" i="23" s="1"/>
  <c r="P34" i="25" a="1"/>
  <c r="P34" i="25" s="1"/>
  <c r="N34" i="25" s="1"/>
  <c r="AZ329" i="23"/>
  <c r="AZ348" i="23" s="1"/>
  <c r="BP402" i="23"/>
  <c r="BP404" i="23"/>
  <c r="AZ404" i="23"/>
  <c r="BS537" i="23"/>
  <c r="AZ531" i="23"/>
  <c r="AZ539" i="23"/>
  <c r="P32" i="25" a="1"/>
  <c r="P32" i="25" s="1"/>
  <c r="N32" i="25" s="1"/>
  <c r="P33" i="25" a="1"/>
  <c r="P33" i="25" s="1"/>
  <c r="N33" i="25" s="1"/>
  <c r="U531" i="23"/>
  <c r="BE404" i="23"/>
  <c r="BE529" i="23"/>
  <c r="U371" i="23"/>
  <c r="U403" i="23"/>
  <c r="BE329" i="23"/>
  <c r="BE348" i="23" s="1"/>
  <c r="AZ402" i="23"/>
  <c r="BP403" i="23"/>
  <c r="AZ529" i="23"/>
  <c r="BS329" i="23"/>
  <c r="BS348" i="23" s="1"/>
  <c r="BJ329" i="23"/>
  <c r="BJ348" i="23" s="1"/>
  <c r="AZ403" i="23"/>
  <c r="BP531" i="23"/>
  <c r="BP539" i="23"/>
  <c r="AZ371" i="23"/>
  <c r="BP371" i="23"/>
  <c r="BS404" i="23"/>
  <c r="BJ404" i="23"/>
  <c r="BP529" i="23"/>
  <c r="R402" i="23"/>
  <c r="R529" i="23"/>
  <c r="R329" i="23"/>
  <c r="R348" i="23" s="1"/>
  <c r="AS531" i="23"/>
  <c r="AS529" i="23"/>
  <c r="AR404" i="23"/>
  <c r="AB191" i="20"/>
  <c r="AB208" i="20" s="1"/>
  <c r="AB367" i="20" s="1"/>
  <c r="AR537" i="23"/>
  <c r="BM329" i="23"/>
  <c r="BM348" i="23" s="1"/>
  <c r="BM529" i="23"/>
  <c r="BM539" i="23"/>
  <c r="BM537" i="23"/>
  <c r="BM402" i="23"/>
  <c r="BM403" i="23"/>
  <c r="BM371" i="23"/>
  <c r="BM404" i="23"/>
  <c r="BD372" i="23"/>
  <c r="BD403" i="23"/>
  <c r="BD371" i="23"/>
  <c r="BD402" i="23"/>
  <c r="BD329" i="23"/>
  <c r="BD348" i="23" s="1"/>
  <c r="BD404" i="23"/>
  <c r="AK371" i="23"/>
  <c r="U329" i="23"/>
  <c r="U348" i="23" s="1"/>
  <c r="U404" i="23"/>
  <c r="U529" i="23"/>
  <c r="BE539" i="23"/>
  <c r="U402" i="23"/>
  <c r="BE403" i="23"/>
  <c r="BE537" i="23"/>
  <c r="U539" i="23"/>
  <c r="BE371" i="23"/>
  <c r="BE402" i="23"/>
  <c r="AO372" i="23"/>
  <c r="AO403" i="23"/>
  <c r="AO404" i="23"/>
  <c r="AO402" i="23"/>
  <c r="AO329" i="23"/>
  <c r="AO348" i="23" s="1"/>
  <c r="AO371" i="23"/>
  <c r="AR371" i="23"/>
  <c r="BJ402" i="23"/>
  <c r="AR531" i="23"/>
  <c r="AR329" i="23"/>
  <c r="AR348" i="23" s="1"/>
  <c r="AR402" i="23"/>
  <c r="AR529" i="23"/>
  <c r="BJ529" i="23"/>
  <c r="R539" i="23"/>
  <c r="BJ371" i="23"/>
  <c r="AR403" i="23"/>
  <c r="R404" i="23"/>
  <c r="R531" i="23"/>
  <c r="BJ539" i="23"/>
  <c r="X531" i="23"/>
  <c r="AQ531" i="23"/>
  <c r="BO372" i="23"/>
  <c r="BO402" i="23"/>
  <c r="BO329" i="23"/>
  <c r="BO348" i="23" s="1"/>
  <c r="BO403" i="23"/>
  <c r="BO404" i="23"/>
  <c r="BO371" i="23"/>
  <c r="R371" i="23"/>
  <c r="AS402" i="23"/>
  <c r="AQ402" i="23"/>
  <c r="AV403" i="23"/>
  <c r="R403" i="23"/>
  <c r="BJ403" i="23"/>
  <c r="BJ531" i="23"/>
  <c r="V531" i="23"/>
  <c r="AV404" i="23"/>
  <c r="AF372" i="23"/>
  <c r="AF539" i="23" s="1"/>
  <c r="AF403" i="23"/>
  <c r="AF371" i="23"/>
  <c r="AQ371" i="23"/>
  <c r="AS371" i="23"/>
  <c r="AS404" i="23"/>
  <c r="AS539" i="23"/>
  <c r="AS329" i="23"/>
  <c r="AS348" i="23" s="1"/>
  <c r="AS403" i="23"/>
  <c r="AV537" i="23"/>
  <c r="AS537" i="23"/>
  <c r="W329" i="23"/>
  <c r="W348" i="23" s="1"/>
  <c r="AQ403" i="23"/>
  <c r="BN372" i="23"/>
  <c r="BN404" i="23"/>
  <c r="BN329" i="23"/>
  <c r="BN348" i="23" s="1"/>
  <c r="BN371" i="23"/>
  <c r="BN403" i="23"/>
  <c r="BN402" i="23"/>
  <c r="BK537" i="23"/>
  <c r="V191" i="20"/>
  <c r="V208" i="20" s="1"/>
  <c r="V365" i="20" s="1"/>
  <c r="AA372" i="23"/>
  <c r="AA403" i="23"/>
  <c r="AA371" i="23"/>
  <c r="AA404" i="23"/>
  <c r="AA402" i="23"/>
  <c r="AA329" i="23"/>
  <c r="AA348" i="23" s="1"/>
  <c r="Z371" i="23"/>
  <c r="AF329" i="23"/>
  <c r="AF348" i="23" s="1"/>
  <c r="AQ329" i="23"/>
  <c r="AQ348" i="23" s="1"/>
  <c r="AK329" i="23"/>
  <c r="AK348" i="23" s="1"/>
  <c r="AV371" i="23"/>
  <c r="X402" i="23"/>
  <c r="AF404" i="23"/>
  <c r="V529" i="23"/>
  <c r="AQ529" i="23"/>
  <c r="Z539" i="23"/>
  <c r="V539" i="23"/>
  <c r="AQ539" i="23"/>
  <c r="AK537" i="23"/>
  <c r="Z329" i="23"/>
  <c r="Z348" i="23" s="1"/>
  <c r="V371" i="23"/>
  <c r="AV329" i="23"/>
  <c r="AV348" i="23" s="1"/>
  <c r="AV402" i="23"/>
  <c r="Z403" i="23"/>
  <c r="Z404" i="23"/>
  <c r="AV531" i="23"/>
  <c r="V329" i="23"/>
  <c r="V348" i="23" s="1"/>
  <c r="AQ404" i="23"/>
  <c r="AV529" i="23"/>
  <c r="AT404" i="23"/>
  <c r="Y371" i="23"/>
  <c r="AJ529" i="23"/>
  <c r="Y539" i="23"/>
  <c r="AC329" i="23"/>
  <c r="AC348" i="23" s="1"/>
  <c r="AU402" i="23"/>
  <c r="AC403" i="23"/>
  <c r="Y531" i="23"/>
  <c r="AT537" i="23"/>
  <c r="BK329" i="23"/>
  <c r="BK348" i="23" s="1"/>
  <c r="Y402" i="23"/>
  <c r="BL537" i="23"/>
  <c r="AC537" i="23"/>
  <c r="Y329" i="23"/>
  <c r="Y348" i="23" s="1"/>
  <c r="AT371" i="23"/>
  <c r="AT403" i="23"/>
  <c r="AU403" i="23"/>
  <c r="BK404" i="23"/>
  <c r="Y404" i="23"/>
  <c r="Y529" i="23"/>
  <c r="AJ537" i="23"/>
  <c r="AU371" i="23"/>
  <c r="AT329" i="23"/>
  <c r="AT348" i="23" s="1"/>
  <c r="BK402" i="23"/>
  <c r="AC402" i="23"/>
  <c r="AT402" i="23"/>
  <c r="Y403" i="23"/>
  <c r="BK403" i="23"/>
  <c r="AU404" i="23"/>
  <c r="AU531" i="23"/>
  <c r="AC531" i="23"/>
  <c r="AT531" i="23"/>
  <c r="BK531" i="23"/>
  <c r="AU539" i="23"/>
  <c r="AU329" i="23"/>
  <c r="AU348" i="23" s="1"/>
  <c r="AC371" i="23"/>
  <c r="BK371" i="23"/>
  <c r="AC404" i="23"/>
  <c r="AU529" i="23"/>
  <c r="AC529" i="23"/>
  <c r="AT529" i="23"/>
  <c r="BK529" i="23"/>
  <c r="BI372" i="23"/>
  <c r="BI403" i="23"/>
  <c r="BI329" i="23"/>
  <c r="BI348" i="23" s="1"/>
  <c r="BI402" i="23"/>
  <c r="BI371" i="23"/>
  <c r="BI404" i="23"/>
  <c r="AJ371" i="23"/>
  <c r="AN329" i="23"/>
  <c r="AN348" i="23" s="1"/>
  <c r="AJ402" i="23"/>
  <c r="BS402" i="23"/>
  <c r="AJ403" i="23"/>
  <c r="BS531" i="23"/>
  <c r="AJ329" i="23"/>
  <c r="AJ348" i="23" s="1"/>
  <c r="BS529" i="23"/>
  <c r="BS371" i="23"/>
  <c r="BS403" i="23"/>
  <c r="AJ404" i="23"/>
  <c r="AJ531" i="23"/>
  <c r="AN537" i="23"/>
  <c r="AF402" i="23"/>
  <c r="AK403" i="23"/>
  <c r="AK404" i="23"/>
  <c r="V404" i="23"/>
  <c r="Z531" i="23"/>
  <c r="AK531" i="23"/>
  <c r="Z537" i="23"/>
  <c r="V402" i="23"/>
  <c r="Z402" i="23"/>
  <c r="AK402" i="23"/>
  <c r="V403" i="23"/>
  <c r="AK529" i="23"/>
  <c r="BL371" i="23"/>
  <c r="BL402" i="23"/>
  <c r="BL403" i="23"/>
  <c r="BL329" i="23"/>
  <c r="BL348" i="23" s="1"/>
  <c r="BL531" i="23"/>
  <c r="BL404" i="23"/>
  <c r="BL529" i="23"/>
  <c r="BQ191" i="20"/>
  <c r="BQ208" i="20" s="1"/>
  <c r="BQ367" i="20" s="1"/>
  <c r="AU191" i="20"/>
  <c r="AU208" i="20" s="1"/>
  <c r="AU367" i="20" s="1"/>
  <c r="W539" i="23"/>
  <c r="AV191" i="20"/>
  <c r="AV208" i="20" s="1"/>
  <c r="AV367" i="20" s="1"/>
  <c r="AN402" i="23"/>
  <c r="W403" i="23"/>
  <c r="AN404" i="23"/>
  <c r="AN531" i="23"/>
  <c r="W531" i="23"/>
  <c r="W537" i="23"/>
  <c r="L136" i="15"/>
  <c r="L139" i="15" s="1"/>
  <c r="AN371" i="23"/>
  <c r="W371" i="23"/>
  <c r="W402" i="23"/>
  <c r="AN403" i="23"/>
  <c r="W404" i="23"/>
  <c r="AN529" i="23"/>
  <c r="X371" i="23"/>
  <c r="X529" i="23"/>
  <c r="X329" i="23"/>
  <c r="X348" i="23" s="1"/>
  <c r="X403" i="23"/>
  <c r="X539" i="23"/>
  <c r="AP191" i="20"/>
  <c r="AP208" i="20" s="1"/>
  <c r="AP367" i="20" s="1"/>
  <c r="X404" i="23"/>
  <c r="Y191" i="20"/>
  <c r="Y208" i="20" s="1"/>
  <c r="Y367" i="20" s="1"/>
  <c r="BM191" i="20"/>
  <c r="BM208" i="20" s="1"/>
  <c r="AO191" i="20"/>
  <c r="AO208" i="20" s="1"/>
  <c r="AO365" i="20" s="1"/>
  <c r="BF191" i="20"/>
  <c r="BF208" i="20" s="1"/>
  <c r="BF367" i="20" s="1"/>
  <c r="BJ191" i="20"/>
  <c r="BJ208" i="20" s="1"/>
  <c r="Q191" i="20"/>
  <c r="Q208" i="20" s="1"/>
  <c r="Q367" i="20" s="1"/>
  <c r="BI191" i="20"/>
  <c r="BI208" i="20" s="1"/>
  <c r="BI367" i="20" s="1"/>
  <c r="AK208" i="20"/>
  <c r="AK365" i="20" s="1"/>
  <c r="T208" i="20"/>
  <c r="T367" i="20" s="1"/>
  <c r="AW191" i="20"/>
  <c r="AW208" i="20" s="1"/>
  <c r="AW365" i="20" s="1"/>
  <c r="AS191" i="20"/>
  <c r="AS208" i="20" s="1"/>
  <c r="AS365" i="20" s="1"/>
  <c r="AD329" i="23"/>
  <c r="AD348" i="23" s="1"/>
  <c r="AX191" i="20"/>
  <c r="AX208" i="20" s="1"/>
  <c r="AX365" i="20" s="1"/>
  <c r="Z191" i="20"/>
  <c r="Z208" i="20" s="1"/>
  <c r="Z367" i="20" s="1"/>
  <c r="BH191" i="20"/>
  <c r="BH208" i="20" s="1"/>
  <c r="BH367" i="20" s="1"/>
  <c r="AH191" i="20"/>
  <c r="AH208" i="20" s="1"/>
  <c r="AH367" i="20" s="1"/>
  <c r="BR191" i="20"/>
  <c r="BR208" i="20" s="1"/>
  <c r="BR367" i="20" s="1"/>
  <c r="M208" i="20"/>
  <c r="M367" i="20" s="1"/>
  <c r="AZ191" i="20"/>
  <c r="AZ208" i="20" s="1"/>
  <c r="AZ367" i="20" s="1"/>
  <c r="BC191" i="20"/>
  <c r="BC208" i="20" s="1"/>
  <c r="BC365" i="20" s="1"/>
  <c r="U208" i="20"/>
  <c r="U365" i="20" s="1"/>
  <c r="BN208" i="20"/>
  <c r="BN367" i="20" s="1"/>
  <c r="BL191" i="20"/>
  <c r="BL208" i="20" s="1"/>
  <c r="BL367" i="20" s="1"/>
  <c r="O208" i="20"/>
  <c r="O367" i="20" s="1"/>
  <c r="BA191" i="20"/>
  <c r="BA208" i="20" s="1"/>
  <c r="AL208" i="20"/>
  <c r="AL365" i="20" s="1"/>
  <c r="W191" i="20"/>
  <c r="W208" i="20" s="1"/>
  <c r="W365" i="20" s="1"/>
  <c r="AJ191" i="20"/>
  <c r="AJ208" i="20" s="1"/>
  <c r="AJ367" i="20" s="1"/>
  <c r="L421" i="20" a="1"/>
  <c r="L421" i="20" s="1"/>
  <c r="I421" i="20" s="1"/>
  <c r="AC191" i="20"/>
  <c r="AC208" i="20" s="1"/>
  <c r="AC365" i="20" s="1"/>
  <c r="BG191" i="20"/>
  <c r="BG208" i="20" s="1"/>
  <c r="I197" i="20"/>
  <c r="BS191" i="20"/>
  <c r="BS208" i="20" s="1"/>
  <c r="BS367" i="20" s="1"/>
  <c r="P208" i="20"/>
  <c r="P367" i="20" s="1"/>
  <c r="AA191" i="20"/>
  <c r="AA208" i="20" s="1"/>
  <c r="AA367" i="20" s="1"/>
  <c r="I200" i="20"/>
  <c r="BD191" i="20"/>
  <c r="BD208" i="20" s="1"/>
  <c r="L415" i="20" a="1"/>
  <c r="L415" i="20" s="1"/>
  <c r="I415" i="20" s="1"/>
  <c r="L226" i="20" a="1"/>
  <c r="L226" i="20" s="1"/>
  <c r="I226" i="20" s="1"/>
  <c r="I258" i="20" s="1"/>
  <c r="AM208" i="20"/>
  <c r="AM367" i="20" s="1"/>
  <c r="N191" i="20"/>
  <c r="N208" i="20" s="1"/>
  <c r="N367" i="20" s="1"/>
  <c r="Q48" i="21" a="1"/>
  <c r="AG48" i="21" s="1"/>
  <c r="BK208" i="20"/>
  <c r="BK367" i="20" s="1"/>
  <c r="BB191" i="20"/>
  <c r="BB208" i="20" s="1"/>
  <c r="BB365" i="20" s="1"/>
  <c r="AY191" i="20"/>
  <c r="AY208" i="20" s="1"/>
  <c r="AY367" i="20" s="1"/>
  <c r="BP191" i="20"/>
  <c r="BP208" i="20" s="1"/>
  <c r="BP367" i="20" s="1"/>
  <c r="AE191" i="20"/>
  <c r="AE208" i="20" s="1"/>
  <c r="AE367" i="20" s="1"/>
  <c r="AI191" i="20"/>
  <c r="AI208" i="20" s="1"/>
  <c r="AI367" i="20" s="1"/>
  <c r="AT191" i="20"/>
  <c r="AT208" i="20" s="1"/>
  <c r="AT367" i="20" s="1"/>
  <c r="AR191" i="20"/>
  <c r="AR208" i="20" s="1"/>
  <c r="AR367" i="20" s="1"/>
  <c r="L420" i="20" a="1"/>
  <c r="L420" i="20" s="1"/>
  <c r="AG191" i="20"/>
  <c r="AG208" i="20" s="1"/>
  <c r="AG367" i="20" s="1"/>
  <c r="L225" i="20" a="1"/>
  <c r="L225" i="20" s="1"/>
  <c r="L416" i="20" a="1"/>
  <c r="L416" i="20" s="1"/>
  <c r="I416" i="20" s="1"/>
  <c r="I188" i="20"/>
  <c r="X191" i="20"/>
  <c r="X208" i="20" s="1"/>
  <c r="X365" i="20" s="1"/>
  <c r="BE191" i="20"/>
  <c r="BE208" i="20" s="1"/>
  <c r="BE367" i="20" s="1"/>
  <c r="Q49" i="21" a="1"/>
  <c r="AG49" i="21" s="1"/>
  <c r="I185" i="20"/>
  <c r="L191" i="20"/>
  <c r="L208" i="20" s="1"/>
  <c r="L367" i="20" s="1"/>
  <c r="L422" i="20" a="1"/>
  <c r="L422" i="20" s="1"/>
  <c r="L445" i="20" s="1"/>
  <c r="AF208" i="20"/>
  <c r="AF367" i="20" s="1"/>
  <c r="I203" i="20"/>
  <c r="R208" i="20"/>
  <c r="R365" i="20" s="1"/>
  <c r="Q50" i="21" a="1"/>
  <c r="AP50" i="21" s="1"/>
  <c r="S208" i="20"/>
  <c r="S367" i="20" s="1"/>
  <c r="AD371" i="23"/>
  <c r="AD539" i="23"/>
  <c r="L158" i="20"/>
  <c r="AD529" i="23"/>
  <c r="AM402" i="23"/>
  <c r="AM529" i="23"/>
  <c r="AM539" i="23"/>
  <c r="AM371" i="23"/>
  <c r="AM537" i="23"/>
  <c r="AM329" i="23"/>
  <c r="AM348" i="23" s="1"/>
  <c r="AM403" i="23"/>
  <c r="AM404" i="23"/>
  <c r="AD402" i="23"/>
  <c r="AD531" i="23"/>
  <c r="AD403" i="23"/>
  <c r="AD404" i="23"/>
  <c r="AP537" i="23"/>
  <c r="AP329" i="23"/>
  <c r="AP348" i="23" s="1"/>
  <c r="BF371" i="23"/>
  <c r="BF402" i="23"/>
  <c r="BF404" i="23"/>
  <c r="BF531" i="23"/>
  <c r="BF539" i="23"/>
  <c r="BF329" i="23"/>
  <c r="BF348" i="23" s="1"/>
  <c r="BF403" i="23"/>
  <c r="BF529" i="23"/>
  <c r="S329" i="23"/>
  <c r="S348" i="23" s="1"/>
  <c r="S403" i="23"/>
  <c r="S371" i="23"/>
  <c r="S529" i="23"/>
  <c r="S404" i="23"/>
  <c r="BH539" i="23"/>
  <c r="S537" i="23"/>
  <c r="S402" i="23"/>
  <c r="S531" i="23"/>
  <c r="AP403" i="23"/>
  <c r="AP531" i="23"/>
  <c r="AP404" i="23"/>
  <c r="AP529" i="23"/>
  <c r="AP371" i="23"/>
  <c r="AP402" i="23"/>
  <c r="BC537" i="23"/>
  <c r="BB371" i="23"/>
  <c r="BB537" i="23"/>
  <c r="BB531" i="23"/>
  <c r="BC329" i="23"/>
  <c r="BC348" i="23" s="1"/>
  <c r="BC402" i="23"/>
  <c r="BC531" i="23"/>
  <c r="BC403" i="23"/>
  <c r="BC404" i="23"/>
  <c r="BC529" i="23"/>
  <c r="BC371" i="23"/>
  <c r="BB404" i="23"/>
  <c r="AL537" i="23"/>
  <c r="BB402" i="23"/>
  <c r="BB403" i="23"/>
  <c r="BB539" i="23"/>
  <c r="BB329" i="23"/>
  <c r="BB348" i="23" s="1"/>
  <c r="P537" i="23"/>
  <c r="P402" i="23"/>
  <c r="P529" i="23"/>
  <c r="P539" i="23"/>
  <c r="P371" i="23"/>
  <c r="P403" i="23"/>
  <c r="P329" i="23"/>
  <c r="P348" i="23" s="1"/>
  <c r="P404" i="23"/>
  <c r="BH371" i="23"/>
  <c r="BH404" i="23"/>
  <c r="BH329" i="23"/>
  <c r="BH348" i="23" s="1"/>
  <c r="T404" i="23"/>
  <c r="T371" i="23"/>
  <c r="AL403" i="23"/>
  <c r="T403" i="23"/>
  <c r="T529" i="23"/>
  <c r="L217" i="23" a="1"/>
  <c r="L217" i="23" s="1"/>
  <c r="L232" i="23" s="1"/>
  <c r="AL371" i="23"/>
  <c r="AL329" i="23"/>
  <c r="AL348" i="23" s="1"/>
  <c r="T329" i="23"/>
  <c r="T348" i="23" s="1"/>
  <c r="AL402" i="23"/>
  <c r="AL531" i="23"/>
  <c r="O329" i="23"/>
  <c r="O348" i="23" s="1"/>
  <c r="T402" i="23"/>
  <c r="AL404" i="23"/>
  <c r="AL529" i="23"/>
  <c r="I184" i="23"/>
  <c r="T531" i="23"/>
  <c r="AW371" i="23"/>
  <c r="AW403" i="23"/>
  <c r="AW402" i="23"/>
  <c r="AX403" i="23"/>
  <c r="AW529" i="23"/>
  <c r="AW537" i="23"/>
  <c r="AW539" i="23"/>
  <c r="O531" i="23"/>
  <c r="T537" i="23"/>
  <c r="AX329" i="23"/>
  <c r="AX348" i="23" s="1"/>
  <c r="AX531" i="23"/>
  <c r="AW329" i="23"/>
  <c r="AW348" i="23" s="1"/>
  <c r="AX402" i="23"/>
  <c r="AX371" i="23"/>
  <c r="AX404" i="23"/>
  <c r="AW404" i="23"/>
  <c r="O539" i="23"/>
  <c r="BH537" i="23"/>
  <c r="BH403" i="23"/>
  <c r="BH531" i="23"/>
  <c r="BH402" i="23"/>
  <c r="AX537" i="23"/>
  <c r="BQ371" i="23"/>
  <c r="BQ404" i="23"/>
  <c r="BQ531" i="23"/>
  <c r="BQ329" i="23"/>
  <c r="BQ348" i="23" s="1"/>
  <c r="BQ529" i="23"/>
  <c r="BQ402" i="23"/>
  <c r="BQ403" i="23"/>
  <c r="BQ539" i="23"/>
  <c r="AX529" i="23"/>
  <c r="AY403" i="23"/>
  <c r="AY371" i="23"/>
  <c r="AY531" i="23"/>
  <c r="AY539" i="23"/>
  <c r="AY329" i="23"/>
  <c r="AY348" i="23" s="1"/>
  <c r="AY402" i="23"/>
  <c r="AY404" i="23"/>
  <c r="AY529" i="23"/>
  <c r="O529" i="23"/>
  <c r="O402" i="23"/>
  <c r="O371" i="23"/>
  <c r="O403" i="23"/>
  <c r="O404" i="23"/>
  <c r="AG482" i="23"/>
  <c r="AG535" i="23" s="1"/>
  <c r="U482" i="23"/>
  <c r="U535" i="23" s="1"/>
  <c r="AM482" i="23"/>
  <c r="AM535" i="23" s="1"/>
  <c r="V482" i="23"/>
  <c r="V535" i="23" s="1"/>
  <c r="BB482" i="23"/>
  <c r="BB535" i="23" s="1"/>
  <c r="X482" i="23"/>
  <c r="X535" i="23" s="1"/>
  <c r="BL482" i="23"/>
  <c r="BL535" i="23" s="1"/>
  <c r="BS482" i="23"/>
  <c r="BS535" i="23" s="1"/>
  <c r="AO482" i="23"/>
  <c r="AZ482" i="23"/>
  <c r="AZ535" i="23" s="1"/>
  <c r="W482" i="23"/>
  <c r="W535" i="23" s="1"/>
  <c r="BG531" i="23"/>
  <c r="R482" i="23"/>
  <c r="R535" i="23" s="1"/>
  <c r="AX482" i="23"/>
  <c r="AX535" i="23" s="1"/>
  <c r="AP482" i="23"/>
  <c r="AP535" i="23" s="1"/>
  <c r="BC482" i="23"/>
  <c r="BC535" i="23" s="1"/>
  <c r="BG539" i="23"/>
  <c r="T482" i="23"/>
  <c r="T535" i="23" s="1"/>
  <c r="AH482" i="23"/>
  <c r="AH535" i="23" s="1"/>
  <c r="Y482" i="23"/>
  <c r="Y535" i="23" s="1"/>
  <c r="M482" i="23"/>
  <c r="M535" i="23" s="1"/>
  <c r="BR482" i="23"/>
  <c r="BR535" i="23" s="1"/>
  <c r="AJ482" i="23"/>
  <c r="AJ535" i="23" s="1"/>
  <c r="BM482" i="23"/>
  <c r="BM535" i="23" s="1"/>
  <c r="AL482" i="23"/>
  <c r="AL535" i="23" s="1"/>
  <c r="BN482" i="23"/>
  <c r="AF482" i="23"/>
  <c r="BA482" i="23"/>
  <c r="BA535" i="23" s="1"/>
  <c r="O482" i="23"/>
  <c r="O535" i="23" s="1"/>
  <c r="AE482" i="23"/>
  <c r="AE535" i="23" s="1"/>
  <c r="AU482" i="23"/>
  <c r="AU535" i="23" s="1"/>
  <c r="BK482" i="23"/>
  <c r="BK535" i="23" s="1"/>
  <c r="BG371" i="23"/>
  <c r="BG404" i="23"/>
  <c r="AW482" i="23"/>
  <c r="AW535" i="23" s="1"/>
  <c r="BJ482" i="23"/>
  <c r="BJ535" i="23" s="1"/>
  <c r="AN482" i="23"/>
  <c r="AN535" i="23" s="1"/>
  <c r="AB482" i="23"/>
  <c r="AB535" i="23" s="1"/>
  <c r="N482" i="23"/>
  <c r="N535" i="23" s="1"/>
  <c r="AR482" i="23"/>
  <c r="AR535" i="23" s="1"/>
  <c r="Q482" i="23"/>
  <c r="Q535" i="23" s="1"/>
  <c r="AS482" i="23"/>
  <c r="AS535" i="23" s="1"/>
  <c r="P482" i="23"/>
  <c r="P535" i="23" s="1"/>
  <c r="AK482" i="23"/>
  <c r="AK535" i="23" s="1"/>
  <c r="BF482" i="23"/>
  <c r="BF535" i="23" s="1"/>
  <c r="S482" i="23"/>
  <c r="AI482" i="23"/>
  <c r="AI535" i="23" s="1"/>
  <c r="AY482" i="23"/>
  <c r="AY535" i="23" s="1"/>
  <c r="BO482" i="23"/>
  <c r="BG329" i="23"/>
  <c r="BG348" i="23" s="1"/>
  <c r="BI482" i="23"/>
  <c r="AT482" i="23"/>
  <c r="AT535" i="23" s="1"/>
  <c r="BP482" i="23"/>
  <c r="BP535" i="23" s="1"/>
  <c r="BD482" i="23"/>
  <c r="AC482" i="23"/>
  <c r="AC535" i="23" s="1"/>
  <c r="BE482" i="23"/>
  <c r="BE535" i="23" s="1"/>
  <c r="AD482" i="23"/>
  <c r="AD535" i="23" s="1"/>
  <c r="BH482" i="23"/>
  <c r="BH535" i="23" s="1"/>
  <c r="Z482" i="23"/>
  <c r="Z535" i="23" s="1"/>
  <c r="AV482" i="23"/>
  <c r="AV535" i="23" s="1"/>
  <c r="BQ482" i="23"/>
  <c r="BQ535" i="23" s="1"/>
  <c r="AA482" i="23"/>
  <c r="AQ482" i="23"/>
  <c r="AQ535" i="23" s="1"/>
  <c r="BG482" i="23"/>
  <c r="BG535" i="23" s="1"/>
  <c r="BG529" i="23"/>
  <c r="L250" i="23"/>
  <c r="BG402" i="23"/>
  <c r="BG403" i="23"/>
  <c r="AG539" i="23"/>
  <c r="AG531" i="23"/>
  <c r="BA402" i="23"/>
  <c r="BA529" i="23"/>
  <c r="BA403" i="23"/>
  <c r="AG371" i="23"/>
  <c r="AB371" i="23"/>
  <c r="AG402" i="23"/>
  <c r="AB529" i="23"/>
  <c r="AH529" i="23"/>
  <c r="AG529" i="23"/>
  <c r="AG329" i="23"/>
  <c r="AG348" i="23" s="1"/>
  <c r="AB329" i="23"/>
  <c r="AB348" i="23" s="1"/>
  <c r="AG403" i="23"/>
  <c r="AG404" i="23"/>
  <c r="AB404" i="23"/>
  <c r="BA329" i="23"/>
  <c r="BA348" i="23" s="1"/>
  <c r="BA404" i="23"/>
  <c r="BA539" i="23"/>
  <c r="BA531" i="23"/>
  <c r="BA371" i="23"/>
  <c r="AB403" i="23"/>
  <c r="AB539" i="23"/>
  <c r="AB402" i="23"/>
  <c r="AB531" i="23"/>
  <c r="N402" i="23"/>
  <c r="N529" i="23"/>
  <c r="N539" i="23"/>
  <c r="L244" i="23"/>
  <c r="N371" i="23"/>
  <c r="N403" i="23"/>
  <c r="N537" i="23"/>
  <c r="N329" i="23"/>
  <c r="N348" i="23" s="1"/>
  <c r="N404" i="23"/>
  <c r="AH402" i="23"/>
  <c r="AH404" i="23"/>
  <c r="AH539" i="23"/>
  <c r="AH371" i="23"/>
  <c r="AH403" i="23"/>
  <c r="AH537" i="23"/>
  <c r="AH329" i="23"/>
  <c r="AH348" i="23" s="1"/>
  <c r="L403" i="23"/>
  <c r="L404" i="23"/>
  <c r="L372" i="23"/>
  <c r="L402" i="23"/>
  <c r="L329" i="23"/>
  <c r="L371" i="23"/>
  <c r="I244" i="23"/>
  <c r="L203" i="23"/>
  <c r="L311" i="23" s="1"/>
  <c r="M183" i="15"/>
  <c r="I183" i="15" s="1"/>
  <c r="BI454" i="23"/>
  <c r="BI474" i="23" s="1"/>
  <c r="AV454" i="23"/>
  <c r="AV474" i="23" s="1"/>
  <c r="AW454" i="23"/>
  <c r="AW474" i="23" s="1"/>
  <c r="Y454" i="23"/>
  <c r="Y474" i="23" s="1"/>
  <c r="BA454" i="23"/>
  <c r="BA474" i="23" s="1"/>
  <c r="BL454" i="23"/>
  <c r="BL474" i="23" s="1"/>
  <c r="BN454" i="23"/>
  <c r="BN474" i="23" s="1"/>
  <c r="AT454" i="23"/>
  <c r="AT474" i="23" s="1"/>
  <c r="P454" i="23"/>
  <c r="P474" i="23" s="1"/>
  <c r="BM454" i="23"/>
  <c r="BM474" i="23" s="1"/>
  <c r="AE454" i="23"/>
  <c r="AE474" i="23" s="1"/>
  <c r="AE527" i="23" s="1"/>
  <c r="AH454" i="23"/>
  <c r="AH474" i="23" s="1"/>
  <c r="R454" i="23"/>
  <c r="R474" i="23" s="1"/>
  <c r="BO454" i="23"/>
  <c r="BO474" i="23" s="1"/>
  <c r="AF454" i="23"/>
  <c r="AF474" i="23" s="1"/>
  <c r="AG454" i="23"/>
  <c r="AG474" i="23" s="1"/>
  <c r="BC454" i="23"/>
  <c r="BC474" i="23" s="1"/>
  <c r="Q454" i="23"/>
  <c r="Q474" i="23" s="1"/>
  <c r="BG454" i="23"/>
  <c r="BG474" i="23" s="1"/>
  <c r="AC454" i="23"/>
  <c r="AC474" i="23" s="1"/>
  <c r="BS454" i="23"/>
  <c r="BS474" i="23" s="1"/>
  <c r="AD454" i="23"/>
  <c r="AD474" i="23" s="1"/>
  <c r="AY454" i="23"/>
  <c r="AY474" i="23" s="1"/>
  <c r="O454" i="23"/>
  <c r="O474" i="23" s="1"/>
  <c r="AK454" i="23"/>
  <c r="AK474" i="23" s="1"/>
  <c r="BF454" i="23"/>
  <c r="BF474" i="23" s="1"/>
  <c r="T454" i="23"/>
  <c r="T474" i="23" s="1"/>
  <c r="AJ454" i="23"/>
  <c r="AJ474" i="23" s="1"/>
  <c r="AZ454" i="23"/>
  <c r="AZ474" i="23" s="1"/>
  <c r="BP454" i="23"/>
  <c r="BP474" i="23" s="1"/>
  <c r="W454" i="23"/>
  <c r="W474" i="23" s="1"/>
  <c r="BB454" i="23"/>
  <c r="BB474" i="23" s="1"/>
  <c r="V454" i="23"/>
  <c r="V474" i="23" s="1"/>
  <c r="AA454" i="23"/>
  <c r="AA474" i="23" s="1"/>
  <c r="BR454" i="23"/>
  <c r="BR474" i="23" s="1"/>
  <c r="BR527" i="23" s="1"/>
  <c r="AM454" i="23"/>
  <c r="AM474" i="23" s="1"/>
  <c r="N454" i="23"/>
  <c r="N474" i="23" s="1"/>
  <c r="AI454" i="23"/>
  <c r="AI474" i="23" s="1"/>
  <c r="AI527" i="23" s="1"/>
  <c r="BE454" i="23"/>
  <c r="BE474" i="23" s="1"/>
  <c r="U454" i="23"/>
  <c r="U474" i="23" s="1"/>
  <c r="AP454" i="23"/>
  <c r="AP474" i="23" s="1"/>
  <c r="BK454" i="23"/>
  <c r="BK474" i="23" s="1"/>
  <c r="X454" i="23"/>
  <c r="X474" i="23" s="1"/>
  <c r="AN454" i="23"/>
  <c r="AN474" i="23" s="1"/>
  <c r="BD454" i="23"/>
  <c r="BD474" i="23" s="1"/>
  <c r="AS454" i="23"/>
  <c r="AS474" i="23" s="1"/>
  <c r="M454" i="23"/>
  <c r="M474" i="23" s="1"/>
  <c r="M527" i="23" s="1"/>
  <c r="AQ454" i="23"/>
  <c r="AQ474" i="23" s="1"/>
  <c r="AL454" i="23"/>
  <c r="AL474" i="23" s="1"/>
  <c r="AX454" i="23"/>
  <c r="AX474" i="23" s="1"/>
  <c r="S454" i="23"/>
  <c r="S474" i="23" s="1"/>
  <c r="AO454" i="23"/>
  <c r="AO474" i="23" s="1"/>
  <c r="BJ454" i="23"/>
  <c r="BJ474" i="23" s="1"/>
  <c r="Z454" i="23"/>
  <c r="Z474" i="23" s="1"/>
  <c r="AU454" i="23"/>
  <c r="AU474" i="23" s="1"/>
  <c r="BQ454" i="23"/>
  <c r="BQ474" i="23" s="1"/>
  <c r="AB454" i="23"/>
  <c r="AB474" i="23" s="1"/>
  <c r="AR454" i="23"/>
  <c r="AR474" i="23" s="1"/>
  <c r="BH454" i="23"/>
  <c r="BH474" i="23" s="1"/>
  <c r="L454" i="23"/>
  <c r="I452" i="23"/>
  <c r="BP480" i="23"/>
  <c r="BL480" i="23"/>
  <c r="BH480" i="23"/>
  <c r="BD480" i="23"/>
  <c r="AZ480" i="23"/>
  <c r="AV480" i="23"/>
  <c r="AR480" i="23"/>
  <c r="AN480" i="23"/>
  <c r="AJ480" i="23"/>
  <c r="AF480" i="23"/>
  <c r="AB480" i="23"/>
  <c r="X480" i="23"/>
  <c r="T480" i="23"/>
  <c r="P480" i="23"/>
  <c r="BS480" i="23"/>
  <c r="BN480" i="23"/>
  <c r="BI480" i="23"/>
  <c r="BC480" i="23"/>
  <c r="AX480" i="23"/>
  <c r="AS480" i="23"/>
  <c r="AM480" i="23"/>
  <c r="AH480" i="23"/>
  <c r="AC480" i="23"/>
  <c r="W480" i="23"/>
  <c r="R480" i="23"/>
  <c r="M480" i="23"/>
  <c r="M533" i="23" s="1"/>
  <c r="BR460" i="23"/>
  <c r="BN460" i="23"/>
  <c r="BJ460" i="23"/>
  <c r="BF460" i="23"/>
  <c r="BB460" i="23"/>
  <c r="AX460" i="23"/>
  <c r="AT460" i="23"/>
  <c r="AP460" i="23"/>
  <c r="AL460" i="23"/>
  <c r="AH460" i="23"/>
  <c r="AD460" i="23"/>
  <c r="Z460" i="23"/>
  <c r="V460" i="23"/>
  <c r="R460" i="23"/>
  <c r="N460" i="23"/>
  <c r="BR480" i="23"/>
  <c r="BR533" i="23" s="1"/>
  <c r="BK480" i="23"/>
  <c r="BE480" i="23"/>
  <c r="AW480" i="23"/>
  <c r="AP480" i="23"/>
  <c r="AI480" i="23"/>
  <c r="AI533" i="23" s="1"/>
  <c r="AA480" i="23"/>
  <c r="U480" i="23"/>
  <c r="N480" i="23"/>
  <c r="BP460" i="23"/>
  <c r="BK460" i="23"/>
  <c r="BE460" i="23"/>
  <c r="AZ460" i="23"/>
  <c r="AU460" i="23"/>
  <c r="AO460" i="23"/>
  <c r="AJ460" i="23"/>
  <c r="AE460" i="23"/>
  <c r="Y460" i="23"/>
  <c r="T460" i="23"/>
  <c r="O460" i="23"/>
  <c r="BQ480" i="23"/>
  <c r="BJ480" i="23"/>
  <c r="BB480" i="23"/>
  <c r="AU480" i="23"/>
  <c r="AO480" i="23"/>
  <c r="AG480" i="23"/>
  <c r="Z480" i="23"/>
  <c r="S480" i="23"/>
  <c r="BO460" i="23"/>
  <c r="BI460" i="23"/>
  <c r="BD460" i="23"/>
  <c r="AY460" i="23"/>
  <c r="AS460" i="23"/>
  <c r="AN460" i="23"/>
  <c r="AI460" i="23"/>
  <c r="AC460" i="23"/>
  <c r="X460" i="23"/>
  <c r="S460" i="23"/>
  <c r="M460" i="23"/>
  <c r="BG480" i="23"/>
  <c r="AT480" i="23"/>
  <c r="AE480" i="23"/>
  <c r="AE533" i="23" s="1"/>
  <c r="Q480" i="23"/>
  <c r="BM460" i="23"/>
  <c r="BC460" i="23"/>
  <c r="AR460" i="23"/>
  <c r="AG460" i="23"/>
  <c r="W460" i="23"/>
  <c r="BF480" i="23"/>
  <c r="AQ480" i="23"/>
  <c r="AD480" i="23"/>
  <c r="O480" i="23"/>
  <c r="BL460" i="23"/>
  <c r="BA460" i="23"/>
  <c r="AQ460" i="23"/>
  <c r="AF460" i="23"/>
  <c r="U460" i="23"/>
  <c r="AY480" i="23"/>
  <c r="V480" i="23"/>
  <c r="BG460" i="23"/>
  <c r="AK460" i="23"/>
  <c r="P460" i="23"/>
  <c r="BO480" i="23"/>
  <c r="AL480" i="23"/>
  <c r="BS460" i="23"/>
  <c r="AW460" i="23"/>
  <c r="AB460" i="23"/>
  <c r="BM480" i="23"/>
  <c r="AK480" i="23"/>
  <c r="BQ460" i="23"/>
  <c r="AV460" i="23"/>
  <c r="AA460" i="23"/>
  <c r="BA480" i="23"/>
  <c r="Q460" i="23"/>
  <c r="Y480" i="23"/>
  <c r="BH460" i="23"/>
  <c r="AM460" i="23"/>
  <c r="I166" i="9"/>
  <c r="I167" i="23"/>
  <c r="I459" i="23"/>
  <c r="L482" i="23"/>
  <c r="BK204" i="9"/>
  <c r="AU204" i="9"/>
  <c r="BB204" i="9"/>
  <c r="N204" i="9"/>
  <c r="W204" i="9"/>
  <c r="BM204" i="9"/>
  <c r="AE204" i="9"/>
  <c r="BA204" i="9"/>
  <c r="Q204" i="9"/>
  <c r="R204" i="9"/>
  <c r="T204" i="9"/>
  <c r="AV204" i="9"/>
  <c r="AG204" i="9"/>
  <c r="AQ204" i="9"/>
  <c r="AC204" i="9"/>
  <c r="AI204" i="9"/>
  <c r="BJ204" i="9"/>
  <c r="BH204" i="9"/>
  <c r="V204" i="9"/>
  <c r="BD204" i="9"/>
  <c r="BG204" i="9"/>
  <c r="BP204" i="9"/>
  <c r="BE204" i="9"/>
  <c r="BQ204" i="9"/>
  <c r="AD204" i="9"/>
  <c r="AR204" i="9"/>
  <c r="AO204" i="9"/>
  <c r="BI204" i="9"/>
  <c r="AA204" i="9"/>
  <c r="O204" i="9"/>
  <c r="BR204" i="9"/>
  <c r="Y204" i="9"/>
  <c r="AS204" i="9"/>
  <c r="AL204" i="9"/>
  <c r="L250" i="9"/>
  <c r="U204" i="9"/>
  <c r="AM204" i="9"/>
  <c r="BF204" i="9"/>
  <c r="AF204" i="9"/>
  <c r="BC204" i="9"/>
  <c r="AJ204" i="9"/>
  <c r="AX204" i="9"/>
  <c r="Z204" i="9"/>
  <c r="AN204" i="9"/>
  <c r="AW204" i="9"/>
  <c r="AT204" i="9"/>
  <c r="AY204" i="9"/>
  <c r="AH204" i="9"/>
  <c r="AZ204" i="9"/>
  <c r="AB204" i="9"/>
  <c r="P204" i="9"/>
  <c r="S204" i="9"/>
  <c r="AK204" i="9"/>
  <c r="BL204" i="9"/>
  <c r="BO204" i="9"/>
  <c r="X204" i="9"/>
  <c r="BN204" i="9"/>
  <c r="L170" i="9"/>
  <c r="I170" i="9" s="1"/>
  <c r="L168" i="9" a="1"/>
  <c r="AP204" i="9"/>
  <c r="BS204" i="9"/>
  <c r="M204" i="9"/>
  <c r="L177" i="18"/>
  <c r="L181" i="18" s="1" a="1"/>
  <c r="L168" i="20"/>
  <c r="L263" i="11"/>
  <c r="L243" i="15"/>
  <c r="L224" i="15"/>
  <c r="L359" i="15" s="1"/>
  <c r="L190" i="15"/>
  <c r="L232" i="11" a="1"/>
  <c r="L232" i="11" s="1"/>
  <c r="M130" i="11"/>
  <c r="M138" i="15" s="1"/>
  <c r="L131" i="11"/>
  <c r="BG207" i="15"/>
  <c r="BG224" i="15" s="1"/>
  <c r="BG359" i="15" s="1"/>
  <c r="R207" i="15"/>
  <c r="R224" i="15" s="1"/>
  <c r="R359" i="15" s="1"/>
  <c r="S207" i="15"/>
  <c r="S224" i="15" s="1"/>
  <c r="S392" i="15" s="1"/>
  <c r="AK207" i="15"/>
  <c r="AK224" i="15" s="1"/>
  <c r="AK391" i="15" s="1"/>
  <c r="AU207" i="15"/>
  <c r="AU224" i="15" s="1"/>
  <c r="AU391" i="15" s="1"/>
  <c r="L370" i="11"/>
  <c r="L387" i="11" s="1"/>
  <c r="L228" i="11"/>
  <c r="L251" i="15" s="1"/>
  <c r="L262" i="9"/>
  <c r="AA207" i="15"/>
  <c r="AA224" i="15" s="1"/>
  <c r="AA391" i="15" s="1"/>
  <c r="I164" i="9"/>
  <c r="L167" i="18" a="1"/>
  <c r="L167" i="18" s="1"/>
  <c r="AO207" i="15"/>
  <c r="AO224" i="15" s="1"/>
  <c r="AO390" i="15" s="1"/>
  <c r="L179" i="18" a="1"/>
  <c r="BE183" i="18" s="1"/>
  <c r="I170" i="11"/>
  <c r="BM207" i="15"/>
  <c r="BM224" i="15" s="1"/>
  <c r="BM391" i="15" s="1"/>
  <c r="BK207" i="15"/>
  <c r="BK224" i="15" s="1"/>
  <c r="BK392" i="15" s="1"/>
  <c r="AV207" i="15"/>
  <c r="AV224" i="15" s="1"/>
  <c r="AV359" i="15" s="1"/>
  <c r="BC207" i="15"/>
  <c r="BC224" i="15" s="1"/>
  <c r="BC390" i="15" s="1"/>
  <c r="AB207" i="15"/>
  <c r="AB224" i="15" s="1"/>
  <c r="AB392" i="15" s="1"/>
  <c r="W207" i="15"/>
  <c r="W224" i="15" s="1"/>
  <c r="W392" i="15" s="1"/>
  <c r="AF207" i="15"/>
  <c r="AF224" i="15" s="1"/>
  <c r="AF360" i="15" s="1"/>
  <c r="AF519" i="15" s="1"/>
  <c r="AP207" i="15"/>
  <c r="AP224" i="15" s="1"/>
  <c r="AP390" i="15" s="1"/>
  <c r="AX207" i="15"/>
  <c r="AX224" i="15" s="1"/>
  <c r="AX390" i="15" s="1"/>
  <c r="AT207" i="15"/>
  <c r="AT224" i="15" s="1"/>
  <c r="AT392" i="15" s="1"/>
  <c r="AM207" i="15"/>
  <c r="AM224" i="15" s="1"/>
  <c r="AM359" i="15" s="1"/>
  <c r="BI207" i="15"/>
  <c r="BI224" i="15" s="1"/>
  <c r="BI391" i="15" s="1"/>
  <c r="BD207" i="15"/>
  <c r="BD224" i="15" s="1"/>
  <c r="BD392" i="15" s="1"/>
  <c r="BH207" i="15"/>
  <c r="BH224" i="15" s="1"/>
  <c r="BP207" i="15"/>
  <c r="BP224" i="15" s="1"/>
  <c r="BP359" i="15" s="1"/>
  <c r="Z207" i="15"/>
  <c r="Z224" i="15" s="1"/>
  <c r="Z392" i="15" s="1"/>
  <c r="T207" i="15"/>
  <c r="T224" i="15" s="1"/>
  <c r="BO207" i="15"/>
  <c r="BO224" i="15" s="1"/>
  <c r="AZ207" i="15"/>
  <c r="AZ224" i="15" s="1"/>
  <c r="AZ390" i="15" s="1"/>
  <c r="BQ207" i="15"/>
  <c r="BQ224" i="15" s="1"/>
  <c r="BQ392" i="15" s="1"/>
  <c r="V207" i="15"/>
  <c r="V224" i="15" s="1"/>
  <c r="V390" i="15" s="1"/>
  <c r="M207" i="15"/>
  <c r="M224" i="15" s="1"/>
  <c r="M392" i="15" s="1"/>
  <c r="BB207" i="15"/>
  <c r="BB224" i="15" s="1"/>
  <c r="BB390" i="15" s="1"/>
  <c r="Q207" i="15"/>
  <c r="Q224" i="15" s="1"/>
  <c r="Y207" i="15"/>
  <c r="Y224" i="15" s="1"/>
  <c r="Y391" i="15" s="1"/>
  <c r="U207" i="15"/>
  <c r="U224" i="15" s="1"/>
  <c r="U390" i="15" s="1"/>
  <c r="AR207" i="15"/>
  <c r="AR224" i="15" s="1"/>
  <c r="AR359" i="15" s="1"/>
  <c r="BJ207" i="15"/>
  <c r="BJ224" i="15" s="1"/>
  <c r="BJ390" i="15" s="1"/>
  <c r="AJ224" i="15"/>
  <c r="AJ390" i="15" s="1"/>
  <c r="AD207" i="15"/>
  <c r="AD224" i="15" s="1"/>
  <c r="AD391" i="15" s="1"/>
  <c r="AI207" i="15"/>
  <c r="AI224" i="15" s="1"/>
  <c r="BR207" i="15"/>
  <c r="BR224" i="15" s="1"/>
  <c r="O207" i="15"/>
  <c r="O224" i="15" s="1"/>
  <c r="AQ207" i="15"/>
  <c r="AQ224" i="15" s="1"/>
  <c r="AQ391" i="15" s="1"/>
  <c r="X207" i="15"/>
  <c r="X224" i="15" s="1"/>
  <c r="F66" i="11"/>
  <c r="G66" i="11" s="1"/>
  <c r="F43" i="11"/>
  <c r="BS207" i="15"/>
  <c r="BS224" i="15" s="1"/>
  <c r="BL207" i="15"/>
  <c r="BL224" i="15" s="1"/>
  <c r="BL360" i="15" s="1"/>
  <c r="BF207" i="15"/>
  <c r="BF224" i="15" s="1"/>
  <c r="L241" i="15" a="1"/>
  <c r="L241" i="15" s="1"/>
  <c r="L274" i="15" s="1"/>
  <c r="BN207" i="15"/>
  <c r="BN224" i="15" s="1"/>
  <c r="BN390" i="15" s="1"/>
  <c r="AC207" i="15"/>
  <c r="AC224" i="15" s="1"/>
  <c r="AC360" i="15" s="1"/>
  <c r="AY207" i="15"/>
  <c r="AY224" i="15" s="1"/>
  <c r="AY359" i="15" s="1"/>
  <c r="AG207" i="15"/>
  <c r="AG224" i="15" s="1"/>
  <c r="AG392" i="15" s="1"/>
  <c r="BA207" i="15"/>
  <c r="BA224" i="15" s="1"/>
  <c r="BA390" i="15" s="1"/>
  <c r="AN207" i="15"/>
  <c r="AN224" i="15" s="1"/>
  <c r="AN392" i="15" s="1"/>
  <c r="N207" i="15"/>
  <c r="N224" i="15" s="1"/>
  <c r="N392" i="15" s="1"/>
  <c r="AE207" i="15"/>
  <c r="AE224" i="15" s="1"/>
  <c r="AE391" i="15" s="1"/>
  <c r="AW207" i="15"/>
  <c r="AW224" i="15" s="1"/>
  <c r="AW360" i="15" s="1"/>
  <c r="AW527" i="15" s="1"/>
  <c r="BE207" i="15"/>
  <c r="BE224" i="15" s="1"/>
  <c r="BE392" i="15" s="1"/>
  <c r="AL207" i="15"/>
  <c r="AL224" i="15" s="1"/>
  <c r="AL390" i="15" s="1"/>
  <c r="I204" i="15"/>
  <c r="AS207" i="15"/>
  <c r="AS224" i="15" s="1"/>
  <c r="AS359" i="15" s="1"/>
  <c r="I186" i="15"/>
  <c r="L445" i="15" a="1"/>
  <c r="L445" i="15" s="1"/>
  <c r="L447" i="15" a="1"/>
  <c r="L447" i="15" s="1"/>
  <c r="I213" i="15"/>
  <c r="AH224" i="15"/>
  <c r="AH390" i="15" s="1"/>
  <c r="L446" i="15" a="1"/>
  <c r="L446" i="15" s="1"/>
  <c r="I446" i="15" s="1"/>
  <c r="L441" i="15" a="1"/>
  <c r="L441" i="15" s="1"/>
  <c r="I441" i="15" s="1"/>
  <c r="I219" i="15"/>
  <c r="L440" i="15" a="1"/>
  <c r="L440" i="15" s="1"/>
  <c r="I201" i="15"/>
  <c r="P207" i="15"/>
  <c r="P224" i="15" s="1"/>
  <c r="P360" i="15" s="1"/>
  <c r="P525" i="15" s="1"/>
  <c r="I216" i="15"/>
  <c r="L242" i="15" a="1"/>
  <c r="L242" i="15" s="1"/>
  <c r="L280" i="15" s="1"/>
  <c r="M128" i="11"/>
  <c r="I132" i="15"/>
  <c r="I130" i="15"/>
  <c r="L271" i="18"/>
  <c r="I236" i="18"/>
  <c r="I271" i="18" s="1"/>
  <c r="I223" i="9"/>
  <c r="L219" i="9" a="1"/>
  <c r="L265" i="18"/>
  <c r="L163" i="20" a="1"/>
  <c r="P93" i="25" s="1" a="1"/>
  <c r="P93" i="25" s="1"/>
  <c r="L125" i="20"/>
  <c r="M124" i="20"/>
  <c r="L164" i="20" a="1"/>
  <c r="I119" i="20"/>
  <c r="N122" i="20"/>
  <c r="BJ456" i="18"/>
  <c r="N456" i="18"/>
  <c r="S456" i="18"/>
  <c r="X456" i="18"/>
  <c r="Q456" i="18"/>
  <c r="U456" i="18"/>
  <c r="AD456" i="18"/>
  <c r="AI456" i="18"/>
  <c r="AN456" i="18"/>
  <c r="BO456" i="18"/>
  <c r="M456" i="18"/>
  <c r="AT456" i="18"/>
  <c r="AY456" i="18"/>
  <c r="BD456" i="18"/>
  <c r="BQ456" i="18"/>
  <c r="BA456" i="18"/>
  <c r="AC456" i="18"/>
  <c r="AG456" i="18"/>
  <c r="R456" i="18"/>
  <c r="AH456" i="18"/>
  <c r="AX456" i="18"/>
  <c r="BN456" i="18"/>
  <c r="W456" i="18"/>
  <c r="AM456" i="18"/>
  <c r="BC456" i="18"/>
  <c r="BS456" i="18"/>
  <c r="AB456" i="18"/>
  <c r="AR456" i="18"/>
  <c r="BH456" i="18"/>
  <c r="AK456" i="18"/>
  <c r="Y456" i="18"/>
  <c r="AS456" i="18"/>
  <c r="AW456" i="18"/>
  <c r="V456" i="18"/>
  <c r="AL456" i="18"/>
  <c r="BB456" i="18"/>
  <c r="BR456" i="18"/>
  <c r="AA456" i="18"/>
  <c r="AQ456" i="18"/>
  <c r="BG456" i="18"/>
  <c r="P456" i="18"/>
  <c r="AF456" i="18"/>
  <c r="AV456" i="18"/>
  <c r="BL456" i="18"/>
  <c r="AO456" i="18"/>
  <c r="BE456" i="18"/>
  <c r="BI456" i="18"/>
  <c r="BM456" i="18"/>
  <c r="Z456" i="18"/>
  <c r="AP456" i="18"/>
  <c r="BF456" i="18"/>
  <c r="O456" i="18"/>
  <c r="AE456" i="18"/>
  <c r="AU456" i="18"/>
  <c r="BK456" i="18"/>
  <c r="T456" i="18"/>
  <c r="AJ456" i="18"/>
  <c r="AZ456" i="18"/>
  <c r="BP456" i="18"/>
  <c r="I235" i="18"/>
  <c r="I265" i="18" s="1"/>
  <c r="BK377" i="18"/>
  <c r="AC378" i="18"/>
  <c r="BE378" i="18"/>
  <c r="BJ378" i="18"/>
  <c r="AM378" i="18"/>
  <c r="Z378" i="18"/>
  <c r="BH378" i="18"/>
  <c r="AL378" i="18"/>
  <c r="BC378" i="18"/>
  <c r="BK378" i="18"/>
  <c r="BO378" i="18"/>
  <c r="AD378" i="18"/>
  <c r="AP378" i="18"/>
  <c r="BA378" i="18"/>
  <c r="AJ378" i="18"/>
  <c r="AZ378" i="18"/>
  <c r="BP378" i="18"/>
  <c r="W378" i="18"/>
  <c r="AF378" i="18"/>
  <c r="BR378" i="18"/>
  <c r="BM378" i="18"/>
  <c r="AS378" i="18"/>
  <c r="BQ378" i="18"/>
  <c r="S378" i="18"/>
  <c r="AQ378" i="18"/>
  <c r="AH378" i="18"/>
  <c r="AX378" i="18"/>
  <c r="AR378" i="18"/>
  <c r="AT378" i="18"/>
  <c r="BI378" i="18"/>
  <c r="BN378" i="18"/>
  <c r="BD378" i="18"/>
  <c r="Q378" i="18"/>
  <c r="R378" i="18"/>
  <c r="AB378" i="18"/>
  <c r="T378" i="18"/>
  <c r="BS378" i="18"/>
  <c r="Y378" i="18"/>
  <c r="N378" i="18"/>
  <c r="M378" i="18"/>
  <c r="BB378" i="18"/>
  <c r="AE378" i="18"/>
  <c r="P378" i="18"/>
  <c r="AU378" i="18"/>
  <c r="X378" i="18"/>
  <c r="AN378" i="18"/>
  <c r="AG378" i="18"/>
  <c r="BG378" i="18"/>
  <c r="AI378" i="18"/>
  <c r="AV378" i="18"/>
  <c r="AW378" i="18"/>
  <c r="AK378" i="18"/>
  <c r="AO378" i="18"/>
  <c r="V378" i="18"/>
  <c r="AY378" i="18"/>
  <c r="BL378" i="18"/>
  <c r="O378" i="18"/>
  <c r="AA378" i="18"/>
  <c r="BF378" i="18"/>
  <c r="O377" i="18"/>
  <c r="BA377" i="18"/>
  <c r="BM377" i="18"/>
  <c r="AX377" i="18"/>
  <c r="AY377" i="18"/>
  <c r="AD377" i="18"/>
  <c r="BQ377" i="18"/>
  <c r="AE377" i="18"/>
  <c r="L378" i="18"/>
  <c r="U376" i="18"/>
  <c r="U377" i="18"/>
  <c r="V377" i="18"/>
  <c r="AA377" i="18"/>
  <c r="BD377" i="18"/>
  <c r="BF377" i="18"/>
  <c r="BN377" i="18"/>
  <c r="AF377" i="18"/>
  <c r="S377" i="18"/>
  <c r="AI377" i="18"/>
  <c r="Z377" i="18"/>
  <c r="AH377" i="18"/>
  <c r="AV377" i="18"/>
  <c r="AM377" i="18"/>
  <c r="AJ377" i="18"/>
  <c r="AU377" i="18"/>
  <c r="Y377" i="18"/>
  <c r="Q377" i="18"/>
  <c r="AW377" i="18"/>
  <c r="R377" i="18"/>
  <c r="BP377" i="18"/>
  <c r="BG377" i="18"/>
  <c r="BO377" i="18"/>
  <c r="P377" i="18"/>
  <c r="N377" i="18"/>
  <c r="W377" i="18"/>
  <c r="AT377" i="18"/>
  <c r="X377" i="18"/>
  <c r="BC377" i="18"/>
  <c r="BL377" i="18"/>
  <c r="BH377" i="18"/>
  <c r="AC377" i="18"/>
  <c r="AK377" i="18"/>
  <c r="AQ377" i="18"/>
  <c r="BR377" i="18"/>
  <c r="BB377" i="18"/>
  <c r="BI377" i="18"/>
  <c r="BS377" i="18"/>
  <c r="AG377" i="18"/>
  <c r="AP377" i="18"/>
  <c r="AB377" i="18"/>
  <c r="T377" i="18"/>
  <c r="AR377" i="18"/>
  <c r="AN377" i="18"/>
  <c r="AO377" i="18"/>
  <c r="AL377" i="18"/>
  <c r="M377" i="18"/>
  <c r="BE377" i="18"/>
  <c r="AZ377" i="18"/>
  <c r="BJ377" i="18"/>
  <c r="AS377" i="18"/>
  <c r="L377" i="18"/>
  <c r="AF345" i="18"/>
  <c r="AF346" i="18"/>
  <c r="AF513" i="18" s="1"/>
  <c r="BF345" i="18"/>
  <c r="BF346" i="18"/>
  <c r="BF513" i="18" s="1"/>
  <c r="V345" i="18"/>
  <c r="V346" i="18"/>
  <c r="V513" i="18" s="1"/>
  <c r="BD345" i="18"/>
  <c r="BD346" i="18"/>
  <c r="BD513" i="18" s="1"/>
  <c r="AT345" i="18"/>
  <c r="AT346" i="18"/>
  <c r="AT513" i="18" s="1"/>
  <c r="AS345" i="18"/>
  <c r="AS346" i="18"/>
  <c r="AS513" i="18" s="1"/>
  <c r="BS345" i="18"/>
  <c r="BS346" i="18"/>
  <c r="BS513" i="18" s="1"/>
  <c r="AG345" i="18"/>
  <c r="AG346" i="18"/>
  <c r="AG513" i="18" s="1"/>
  <c r="BO345" i="18"/>
  <c r="BO346" i="18"/>
  <c r="BO513" i="18" s="1"/>
  <c r="AL345" i="18"/>
  <c r="AL346" i="18"/>
  <c r="AL513" i="18" s="1"/>
  <c r="BJ345" i="18"/>
  <c r="BJ346" i="18"/>
  <c r="BJ513" i="18" s="1"/>
  <c r="BB345" i="18"/>
  <c r="BB346" i="18"/>
  <c r="BB513" i="18" s="1"/>
  <c r="AC345" i="18"/>
  <c r="AC346" i="18"/>
  <c r="AC513" i="18" s="1"/>
  <c r="AW345" i="18"/>
  <c r="AW346" i="18"/>
  <c r="AW513" i="18" s="1"/>
  <c r="BK345" i="18"/>
  <c r="BK346" i="18"/>
  <c r="BK513" i="18" s="1"/>
  <c r="AY345" i="18"/>
  <c r="AY346" i="18"/>
  <c r="AY513" i="18" s="1"/>
  <c r="AO345" i="18"/>
  <c r="AO346" i="18"/>
  <c r="AO513" i="18" s="1"/>
  <c r="BE345" i="18"/>
  <c r="BE346" i="18"/>
  <c r="BE513" i="18" s="1"/>
  <c r="BH345" i="18"/>
  <c r="BH346" i="18"/>
  <c r="BH513" i="18" s="1"/>
  <c r="BN345" i="18"/>
  <c r="BN346" i="18"/>
  <c r="BN513" i="18" s="1"/>
  <c r="AA345" i="18"/>
  <c r="AA346" i="18"/>
  <c r="AA513" i="18" s="1"/>
  <c r="X345" i="18"/>
  <c r="X346" i="18"/>
  <c r="X513" i="18" s="1"/>
  <c r="AP345" i="18"/>
  <c r="AP346" i="18"/>
  <c r="AP513" i="18" s="1"/>
  <c r="N345" i="18"/>
  <c r="N346" i="18"/>
  <c r="N513" i="18" s="1"/>
  <c r="AN345" i="18"/>
  <c r="AN346" i="18"/>
  <c r="AN513" i="18" s="1"/>
  <c r="BA345" i="18"/>
  <c r="BA346" i="18"/>
  <c r="BA513" i="18" s="1"/>
  <c r="AJ345" i="18"/>
  <c r="AJ346" i="18"/>
  <c r="AJ513" i="18" s="1"/>
  <c r="AQ345" i="18"/>
  <c r="AQ346" i="18"/>
  <c r="AQ513" i="18" s="1"/>
  <c r="AH345" i="18"/>
  <c r="AH346" i="18"/>
  <c r="AH513" i="18" s="1"/>
  <c r="AI345" i="18"/>
  <c r="AI346" i="18"/>
  <c r="AI513" i="18" s="1"/>
  <c r="AV345" i="18"/>
  <c r="AV346" i="18"/>
  <c r="AV513" i="18" s="1"/>
  <c r="O345" i="18"/>
  <c r="O346" i="18"/>
  <c r="O513" i="18" s="1"/>
  <c r="AD345" i="18"/>
  <c r="AD346" i="18"/>
  <c r="AD513" i="18" s="1"/>
  <c r="BQ345" i="18"/>
  <c r="BQ346" i="18"/>
  <c r="BQ513" i="18" s="1"/>
  <c r="R345" i="18"/>
  <c r="R346" i="18"/>
  <c r="R513" i="18" s="1"/>
  <c r="AX345" i="18"/>
  <c r="AX346" i="18"/>
  <c r="AX513" i="18" s="1"/>
  <c r="BG345" i="18"/>
  <c r="BG346" i="18"/>
  <c r="BG513" i="18" s="1"/>
  <c r="BI345" i="18"/>
  <c r="BI346" i="18"/>
  <c r="BI513" i="18" s="1"/>
  <c r="U345" i="18"/>
  <c r="U346" i="18"/>
  <c r="U513" i="18" s="1"/>
  <c r="AE345" i="18"/>
  <c r="AE346" i="18"/>
  <c r="AE513" i="18" s="1"/>
  <c r="M345" i="18"/>
  <c r="M346" i="18"/>
  <c r="M513" i="18" s="1"/>
  <c r="AU345" i="18"/>
  <c r="AU346" i="18"/>
  <c r="AU513" i="18" s="1"/>
  <c r="P345" i="18"/>
  <c r="P346" i="18"/>
  <c r="P513" i="18" s="1"/>
  <c r="AZ345" i="18"/>
  <c r="AZ346" i="18"/>
  <c r="AZ513" i="18" s="1"/>
  <c r="BL345" i="18"/>
  <c r="BL346" i="18"/>
  <c r="BL513" i="18" s="1"/>
  <c r="AB345" i="18"/>
  <c r="AB346" i="18"/>
  <c r="AB513" i="18" s="1"/>
  <c r="S345" i="18"/>
  <c r="S346" i="18"/>
  <c r="S513" i="18" s="1"/>
  <c r="Q345" i="18"/>
  <c r="Q346" i="18"/>
  <c r="Q513" i="18" s="1"/>
  <c r="Z345" i="18"/>
  <c r="Z346" i="18"/>
  <c r="Z513" i="18" s="1"/>
  <c r="BP345" i="18"/>
  <c r="BP346" i="18"/>
  <c r="BP513" i="18" s="1"/>
  <c r="AM345" i="18"/>
  <c r="AM346" i="18"/>
  <c r="AM513" i="18" s="1"/>
  <c r="BR345" i="18"/>
  <c r="BR346" i="18"/>
  <c r="BR513" i="18" s="1"/>
  <c r="AK345" i="18"/>
  <c r="AK346" i="18"/>
  <c r="AK513" i="18" s="1"/>
  <c r="W345" i="18"/>
  <c r="W346" i="18"/>
  <c r="W513" i="18" s="1"/>
  <c r="BC345" i="18"/>
  <c r="BC346" i="18"/>
  <c r="BC513" i="18" s="1"/>
  <c r="T345" i="18"/>
  <c r="T346" i="18"/>
  <c r="T513" i="18" s="1"/>
  <c r="AR345" i="18"/>
  <c r="AR346" i="18"/>
  <c r="AR513" i="18" s="1"/>
  <c r="BM345" i="18"/>
  <c r="BM346" i="18"/>
  <c r="BM513" i="18" s="1"/>
  <c r="Y345" i="18"/>
  <c r="Y346" i="18"/>
  <c r="Y513" i="18" s="1"/>
  <c r="L345" i="18"/>
  <c r="L346" i="18"/>
  <c r="L513" i="18" s="1"/>
  <c r="I234" i="18"/>
  <c r="I259" i="18" s="1"/>
  <c r="L232" i="18" a="1"/>
  <c r="BL112" i="8"/>
  <c r="BK114" i="8"/>
  <c r="I200" i="18"/>
  <c r="I128" i="18"/>
  <c r="L174" i="8"/>
  <c r="AR428" i="18"/>
  <c r="AR448" i="18" s="1"/>
  <c r="BH428" i="18"/>
  <c r="BH448" i="18" s="1"/>
  <c r="O428" i="18"/>
  <c r="O448" i="18" s="1"/>
  <c r="T428" i="18"/>
  <c r="T448" i="18" s="1"/>
  <c r="P428" i="18"/>
  <c r="P448" i="18" s="1"/>
  <c r="AV428" i="18"/>
  <c r="AV448" i="18" s="1"/>
  <c r="AA428" i="18"/>
  <c r="AA448" i="18" s="1"/>
  <c r="BG428" i="18"/>
  <c r="BG448" i="18" s="1"/>
  <c r="U428" i="18"/>
  <c r="U448" i="18" s="1"/>
  <c r="AK428" i="18"/>
  <c r="AK448" i="18" s="1"/>
  <c r="BA428" i="18"/>
  <c r="BA448" i="18" s="1"/>
  <c r="BQ428" i="18"/>
  <c r="BQ448" i="18" s="1"/>
  <c r="Z428" i="18"/>
  <c r="Z448" i="18" s="1"/>
  <c r="AP428" i="18"/>
  <c r="AP448" i="18" s="1"/>
  <c r="BF428" i="18"/>
  <c r="BF448" i="18" s="1"/>
  <c r="W428" i="18"/>
  <c r="W448" i="18" s="1"/>
  <c r="I426" i="18"/>
  <c r="L428" i="18"/>
  <c r="AE428" i="18"/>
  <c r="AE448" i="18" s="1"/>
  <c r="AJ428" i="18"/>
  <c r="AJ448" i="18" s="1"/>
  <c r="X428" i="18"/>
  <c r="X448" i="18" s="1"/>
  <c r="BD428" i="18"/>
  <c r="BD448" i="18" s="1"/>
  <c r="AI428" i="18"/>
  <c r="AI448" i="18" s="1"/>
  <c r="BO428" i="18"/>
  <c r="BO448" i="18" s="1"/>
  <c r="Y428" i="18"/>
  <c r="Y448" i="18" s="1"/>
  <c r="AO428" i="18"/>
  <c r="AO448" i="18" s="1"/>
  <c r="BE428" i="18"/>
  <c r="BE448" i="18" s="1"/>
  <c r="N428" i="18"/>
  <c r="N448" i="18" s="1"/>
  <c r="AD428" i="18"/>
  <c r="AD448" i="18" s="1"/>
  <c r="AT428" i="18"/>
  <c r="AT448" i="18" s="1"/>
  <c r="BJ428" i="18"/>
  <c r="BJ448" i="18" s="1"/>
  <c r="M177" i="5"/>
  <c r="M327" i="5" s="1"/>
  <c r="M344" i="5" s="1"/>
  <c r="L177" i="5"/>
  <c r="L264" i="5" s="1"/>
  <c r="BQ454" i="18"/>
  <c r="BM454" i="18"/>
  <c r="BI454" i="18"/>
  <c r="BE454" i="18"/>
  <c r="BA454" i="18"/>
  <c r="AW454" i="18"/>
  <c r="AS454" i="18"/>
  <c r="AO454" i="18"/>
  <c r="AK454" i="18"/>
  <c r="AG454" i="18"/>
  <c r="AC454" i="18"/>
  <c r="Y454" i="18"/>
  <c r="U454" i="18"/>
  <c r="Q454" i="18"/>
  <c r="M454" i="18"/>
  <c r="BP454" i="18"/>
  <c r="BL454" i="18"/>
  <c r="BH454" i="18"/>
  <c r="BD454" i="18"/>
  <c r="AZ454" i="18"/>
  <c r="AV454" i="18"/>
  <c r="AR454" i="18"/>
  <c r="AN454" i="18"/>
  <c r="AJ454" i="18"/>
  <c r="AF454" i="18"/>
  <c r="AB454" i="18"/>
  <c r="X454" i="18"/>
  <c r="BS454" i="18"/>
  <c r="BO454" i="18"/>
  <c r="BK454" i="18"/>
  <c r="BG454" i="18"/>
  <c r="BC454" i="18"/>
  <c r="AY454" i="18"/>
  <c r="AU454" i="18"/>
  <c r="AQ454" i="18"/>
  <c r="AM454" i="18"/>
  <c r="AI454" i="18"/>
  <c r="AE454" i="18"/>
  <c r="AA454" i="18"/>
  <c r="W454" i="18"/>
  <c r="S454" i="18"/>
  <c r="O454" i="18"/>
  <c r="BJ454" i="18"/>
  <c r="AT454" i="18"/>
  <c r="AD454" i="18"/>
  <c r="R454" i="18"/>
  <c r="BP434" i="18"/>
  <c r="BL434" i="18"/>
  <c r="BH434" i="18"/>
  <c r="BD434" i="18"/>
  <c r="AZ434" i="18"/>
  <c r="AV434" i="18"/>
  <c r="AR434" i="18"/>
  <c r="AN434" i="18"/>
  <c r="AJ434" i="18"/>
  <c r="AF434" i="18"/>
  <c r="AB434" i="18"/>
  <c r="X434" i="18"/>
  <c r="T434" i="18"/>
  <c r="P434" i="18"/>
  <c r="BF454" i="18"/>
  <c r="AP454" i="18"/>
  <c r="Z454" i="18"/>
  <c r="P454" i="18"/>
  <c r="BS434" i="18"/>
  <c r="BO434" i="18"/>
  <c r="BK434" i="18"/>
  <c r="BG434" i="18"/>
  <c r="BC434" i="18"/>
  <c r="AY434" i="18"/>
  <c r="AU434" i="18"/>
  <c r="AQ434" i="18"/>
  <c r="AM434" i="18"/>
  <c r="AI434" i="18"/>
  <c r="AE434" i="18"/>
  <c r="AA434" i="18"/>
  <c r="W434" i="18"/>
  <c r="S434" i="18"/>
  <c r="O434" i="18"/>
  <c r="BB454" i="18"/>
  <c r="V454" i="18"/>
  <c r="BQ434" i="18"/>
  <c r="BI434" i="18"/>
  <c r="BA434" i="18"/>
  <c r="AS434" i="18"/>
  <c r="AK434" i="18"/>
  <c r="AC434" i="18"/>
  <c r="U434" i="18"/>
  <c r="M434" i="18"/>
  <c r="AX454" i="18"/>
  <c r="T454" i="18"/>
  <c r="BN434" i="18"/>
  <c r="BF434" i="18"/>
  <c r="AX434" i="18"/>
  <c r="AP434" i="18"/>
  <c r="AH434" i="18"/>
  <c r="Z434" i="18"/>
  <c r="R434" i="18"/>
  <c r="AL454" i="18"/>
  <c r="BJ434" i="18"/>
  <c r="AT434" i="18"/>
  <c r="AD434" i="18"/>
  <c r="N434" i="18"/>
  <c r="AH454" i="18"/>
  <c r="BE434" i="18"/>
  <c r="AO434" i="18"/>
  <c r="Y434" i="18"/>
  <c r="BR454" i="18"/>
  <c r="BM434" i="18"/>
  <c r="AG434" i="18"/>
  <c r="BN454" i="18"/>
  <c r="BB434" i="18"/>
  <c r="V434" i="18"/>
  <c r="BR434" i="18"/>
  <c r="AW434" i="18"/>
  <c r="AL434" i="18"/>
  <c r="N454" i="18"/>
  <c r="Q434" i="18"/>
  <c r="BC428" i="18"/>
  <c r="BC448" i="18" s="1"/>
  <c r="AM428" i="18"/>
  <c r="AM448" i="18" s="1"/>
  <c r="AU428" i="18"/>
  <c r="AU448" i="18" s="1"/>
  <c r="AZ428" i="18"/>
  <c r="AZ448" i="18" s="1"/>
  <c r="AF428" i="18"/>
  <c r="AF448" i="18" s="1"/>
  <c r="BL428" i="18"/>
  <c r="BL448" i="18" s="1"/>
  <c r="AQ428" i="18"/>
  <c r="AQ448" i="18" s="1"/>
  <c r="M428" i="18"/>
  <c r="M448" i="18" s="1"/>
  <c r="AC428" i="18"/>
  <c r="AC448" i="18" s="1"/>
  <c r="AS428" i="18"/>
  <c r="AS448" i="18" s="1"/>
  <c r="BI428" i="18"/>
  <c r="BI448" i="18" s="1"/>
  <c r="R428" i="18"/>
  <c r="R448" i="18" s="1"/>
  <c r="AH428" i="18"/>
  <c r="AH448" i="18" s="1"/>
  <c r="AX428" i="18"/>
  <c r="AX448" i="18" s="1"/>
  <c r="BN428" i="18"/>
  <c r="BN448" i="18" s="1"/>
  <c r="L456" i="18"/>
  <c r="I433" i="18"/>
  <c r="AB428" i="18"/>
  <c r="AB448" i="18" s="1"/>
  <c r="BS428" i="18"/>
  <c r="BS448" i="18" s="1"/>
  <c r="BK428" i="18"/>
  <c r="BK448" i="18" s="1"/>
  <c r="BP428" i="18"/>
  <c r="BP448" i="18" s="1"/>
  <c r="AN428" i="18"/>
  <c r="AN448" i="18" s="1"/>
  <c r="S428" i="18"/>
  <c r="S448" i="18" s="1"/>
  <c r="AY428" i="18"/>
  <c r="AY448" i="18" s="1"/>
  <c r="Q428" i="18"/>
  <c r="Q448" i="18" s="1"/>
  <c r="AG428" i="18"/>
  <c r="AG448" i="18" s="1"/>
  <c r="AW428" i="18"/>
  <c r="AW448" i="18" s="1"/>
  <c r="BM428" i="18"/>
  <c r="BM448" i="18" s="1"/>
  <c r="V428" i="18"/>
  <c r="V448" i="18" s="1"/>
  <c r="AL428" i="18"/>
  <c r="AL448" i="18" s="1"/>
  <c r="BB428" i="18"/>
  <c r="BB448" i="18" s="1"/>
  <c r="BR428" i="18"/>
  <c r="BR448" i="18" s="1"/>
  <c r="L326" i="10"/>
  <c r="L338" i="10" s="1"/>
  <c r="L294" i="10"/>
  <c r="L454" i="10"/>
  <c r="L462" i="10"/>
  <c r="L258" i="10"/>
  <c r="L327" i="10"/>
  <c r="L344" i="10" s="1"/>
  <c r="L325" i="10"/>
  <c r="L332" i="10" s="1"/>
  <c r="L264" i="10"/>
  <c r="AJ124" i="10"/>
  <c r="AT124" i="10"/>
  <c r="BF124" i="10"/>
  <c r="BI124" i="10"/>
  <c r="BS124" i="10"/>
  <c r="BQ124" i="10"/>
  <c r="AW124" i="10"/>
  <c r="BG124" i="10"/>
  <c r="BR126" i="10"/>
  <c r="BG126" i="10"/>
  <c r="AO126" i="10"/>
  <c r="W126" i="10"/>
  <c r="AH126" i="10"/>
  <c r="BA126" i="10"/>
  <c r="R126" i="10"/>
  <c r="P126" i="10"/>
  <c r="X126" i="10"/>
  <c r="O124" i="10"/>
  <c r="BE124" i="10"/>
  <c r="BJ124" i="10"/>
  <c r="AU124" i="10"/>
  <c r="R124" i="10"/>
  <c r="AP124" i="10"/>
  <c r="BM124" i="10"/>
  <c r="AQ126" i="10"/>
  <c r="BN126" i="10"/>
  <c r="Z126" i="10"/>
  <c r="Q126" i="10"/>
  <c r="BL124" i="10"/>
  <c r="BK124" i="10"/>
  <c r="BP124" i="10"/>
  <c r="N124" i="10"/>
  <c r="S124" i="10"/>
  <c r="AF124" i="10"/>
  <c r="X124" i="10"/>
  <c r="AC124" i="10"/>
  <c r="AH124" i="10"/>
  <c r="AM124" i="10"/>
  <c r="AV124" i="10"/>
  <c r="AE124" i="10"/>
  <c r="Q124" i="10"/>
  <c r="V124" i="10"/>
  <c r="AA124" i="10"/>
  <c r="O126" i="10"/>
  <c r="AD126" i="10"/>
  <c r="BH126" i="10"/>
  <c r="BI126" i="10"/>
  <c r="U126" i="10"/>
  <c r="AW126" i="10"/>
  <c r="AC126" i="10"/>
  <c r="AV126" i="10"/>
  <c r="AI126" i="10"/>
  <c r="BB126" i="10"/>
  <c r="BJ126" i="10"/>
  <c r="BE126" i="10"/>
  <c r="BF126" i="10"/>
  <c r="BO126" i="10"/>
  <c r="AU126" i="10"/>
  <c r="AL124" i="10"/>
  <c r="AI124" i="10"/>
  <c r="U124" i="10"/>
  <c r="BQ126" i="10"/>
  <c r="AM126" i="10"/>
  <c r="V126" i="10"/>
  <c r="AK124" i="10"/>
  <c r="T124" i="10"/>
  <c r="Y124" i="10"/>
  <c r="AD124" i="10"/>
  <c r="BA124" i="10"/>
  <c r="AN124" i="10"/>
  <c r="AS124" i="10"/>
  <c r="AX124" i="10"/>
  <c r="BC124" i="10"/>
  <c r="AB124" i="10"/>
  <c r="AG124" i="10"/>
  <c r="AQ124" i="10"/>
  <c r="T126" i="10"/>
  <c r="AT126" i="10"/>
  <c r="BD126" i="10"/>
  <c r="AB126" i="10"/>
  <c r="Y126" i="10"/>
  <c r="AE126" i="10"/>
  <c r="BC126" i="10"/>
  <c r="S126" i="10"/>
  <c r="BS126" i="10"/>
  <c r="AY126" i="10"/>
  <c r="AK126" i="10"/>
  <c r="AS126" i="10"/>
  <c r="Z124" i="10"/>
  <c r="AO124" i="10"/>
  <c r="AY124" i="10"/>
  <c r="BD124" i="10"/>
  <c r="BN124" i="10"/>
  <c r="AR124" i="10"/>
  <c r="BB124" i="10"/>
  <c r="BL126" i="10"/>
  <c r="AA126" i="10"/>
  <c r="AJ126" i="10"/>
  <c r="AZ126" i="10"/>
  <c r="AL126" i="10"/>
  <c r="AR126" i="10"/>
  <c r="AZ124" i="10"/>
  <c r="BO124" i="10"/>
  <c r="M124" i="10"/>
  <c r="W124" i="10"/>
  <c r="P124" i="10"/>
  <c r="BH124" i="10"/>
  <c r="BR124" i="10"/>
  <c r="L124" i="10"/>
  <c r="L240" i="10" s="1"/>
  <c r="BM126" i="10"/>
  <c r="AP126" i="10"/>
  <c r="BK126" i="10"/>
  <c r="AX126" i="10"/>
  <c r="AG126" i="10"/>
  <c r="M126" i="10"/>
  <c r="AF126" i="10"/>
  <c r="AN126" i="10"/>
  <c r="N126" i="10"/>
  <c r="BP126" i="10"/>
  <c r="I223" i="11"/>
  <c r="I257" i="11" s="1"/>
  <c r="L257" i="11"/>
  <c r="L368" i="11"/>
  <c r="L375" i="11" s="1"/>
  <c r="L337" i="11"/>
  <c r="L338" i="11"/>
  <c r="I140" i="5"/>
  <c r="BA207" i="11"/>
  <c r="R207" i="11"/>
  <c r="V207" i="11"/>
  <c r="AD207" i="11"/>
  <c r="AD228" i="11" s="1"/>
  <c r="U207" i="11"/>
  <c r="AF207" i="11"/>
  <c r="AO207" i="11"/>
  <c r="AA207" i="11"/>
  <c r="AA228" i="11" s="1"/>
  <c r="Q207" i="11"/>
  <c r="AL207" i="11"/>
  <c r="S207" i="11"/>
  <c r="AY207" i="11"/>
  <c r="BI207" i="11"/>
  <c r="AJ207" i="11"/>
  <c r="AW207" i="11"/>
  <c r="BS207" i="11"/>
  <c r="AX207" i="11"/>
  <c r="P207" i="11"/>
  <c r="BG207" i="11"/>
  <c r="AR207" i="11"/>
  <c r="AR228" i="11" s="1"/>
  <c r="W207" i="11"/>
  <c r="M207" i="11"/>
  <c r="AP207" i="11"/>
  <c r="AV207" i="11"/>
  <c r="BD207" i="11"/>
  <c r="AI207" i="11"/>
  <c r="X207" i="11"/>
  <c r="BO207" i="11"/>
  <c r="O207" i="11"/>
  <c r="T207" i="11"/>
  <c r="AK207" i="11"/>
  <c r="AN207" i="11"/>
  <c r="Z207" i="11"/>
  <c r="AU207" i="11"/>
  <c r="BH207" i="11"/>
  <c r="BM207" i="11"/>
  <c r="AQ207" i="11"/>
  <c r="L369" i="11"/>
  <c r="L381" i="11" s="1"/>
  <c r="AT207" i="11"/>
  <c r="AZ207" i="11"/>
  <c r="AH207" i="11"/>
  <c r="BR207" i="11"/>
  <c r="BR228" i="11" s="1"/>
  <c r="AM207" i="11"/>
  <c r="AG207" i="11"/>
  <c r="I222" i="11"/>
  <c r="I251" i="11" s="1"/>
  <c r="BF207" i="11"/>
  <c r="BP207" i="11"/>
  <c r="AS207" i="11"/>
  <c r="Y207" i="11"/>
  <c r="BC207" i="11"/>
  <c r="BN207" i="11"/>
  <c r="BK207" i="11"/>
  <c r="AB207" i="11"/>
  <c r="BB207" i="11"/>
  <c r="BJ207" i="11"/>
  <c r="BQ207" i="11"/>
  <c r="BQ228" i="11" s="1"/>
  <c r="AC207" i="11"/>
  <c r="BL207" i="11"/>
  <c r="AE207" i="11"/>
  <c r="BE207" i="11"/>
  <c r="N207" i="11"/>
  <c r="N228" i="11" s="1"/>
  <c r="L220" i="11" a="1"/>
  <c r="I190" i="11"/>
  <c r="I192" i="10"/>
  <c r="I219" i="10" s="1"/>
  <c r="Y326" i="10"/>
  <c r="AE294" i="10"/>
  <c r="BQ264" i="10"/>
  <c r="BQ295" i="10"/>
  <c r="BQ462" i="10" s="1"/>
  <c r="Y264" i="10"/>
  <c r="BQ325" i="10"/>
  <c r="BE258" i="10"/>
  <c r="BE326" i="10"/>
  <c r="BB295" i="10"/>
  <c r="BB462" i="10" s="1"/>
  <c r="AZ327" i="10"/>
  <c r="AZ325" i="10"/>
  <c r="BB258" i="10"/>
  <c r="AZ264" i="10"/>
  <c r="AZ295" i="10"/>
  <c r="AZ462" i="10" s="1"/>
  <c r="AZ258" i="10"/>
  <c r="AZ294" i="10"/>
  <c r="BB325" i="10"/>
  <c r="AZ326" i="10"/>
  <c r="BQ258" i="10"/>
  <c r="Y258" i="10"/>
  <c r="Y295" i="10"/>
  <c r="Y462" i="10" s="1"/>
  <c r="BB294" i="10"/>
  <c r="BQ294" i="10"/>
  <c r="Y325" i="10"/>
  <c r="AE264" i="10"/>
  <c r="Y294" i="10"/>
  <c r="AE326" i="10"/>
  <c r="I193" i="10"/>
  <c r="I225" i="10" s="1"/>
  <c r="AE258" i="10"/>
  <c r="BB264" i="10"/>
  <c r="AE295" i="10"/>
  <c r="AE462" i="10" s="1"/>
  <c r="BE294" i="10"/>
  <c r="AE325" i="10"/>
  <c r="BB326" i="10"/>
  <c r="BQ326" i="10"/>
  <c r="AL325" i="10"/>
  <c r="T326" i="10"/>
  <c r="AL295" i="10"/>
  <c r="AL462" i="10" s="1"/>
  <c r="T295" i="10"/>
  <c r="T462" i="10" s="1"/>
  <c r="AL294" i="10"/>
  <c r="T325" i="10"/>
  <c r="BQ446" i="11"/>
  <c r="BM446" i="11"/>
  <c r="BI446" i="11"/>
  <c r="BE446" i="11"/>
  <c r="BA446" i="11"/>
  <c r="AW446" i="11"/>
  <c r="BS446" i="11"/>
  <c r="BO446" i="11"/>
  <c r="BK446" i="11"/>
  <c r="BG446" i="11"/>
  <c r="BC446" i="11"/>
  <c r="AY446" i="11"/>
  <c r="AU446" i="11"/>
  <c r="AQ446" i="11"/>
  <c r="AM446" i="11"/>
  <c r="AI446" i="11"/>
  <c r="AE446" i="11"/>
  <c r="AA446" i="11"/>
  <c r="W446" i="11"/>
  <c r="BR446" i="11"/>
  <c r="BN446" i="11"/>
  <c r="BJ446" i="11"/>
  <c r="BF446" i="11"/>
  <c r="BB446" i="11"/>
  <c r="AX446" i="11"/>
  <c r="AT446" i="11"/>
  <c r="AP446" i="11"/>
  <c r="AL446" i="11"/>
  <c r="BL446" i="11"/>
  <c r="AV446" i="11"/>
  <c r="AN446" i="11"/>
  <c r="AG446" i="11"/>
  <c r="AB446" i="11"/>
  <c r="V446" i="11"/>
  <c r="R446" i="11"/>
  <c r="N446" i="11"/>
  <c r="BP426" i="11"/>
  <c r="BL426" i="11"/>
  <c r="BH426" i="11"/>
  <c r="BD426" i="11"/>
  <c r="AZ426" i="11"/>
  <c r="AV426" i="11"/>
  <c r="AR426" i="11"/>
  <c r="AN426" i="11"/>
  <c r="AJ426" i="11"/>
  <c r="AF426" i="11"/>
  <c r="AB426" i="11"/>
  <c r="X426" i="11"/>
  <c r="T426" i="11"/>
  <c r="P426" i="11"/>
  <c r="BH446" i="11"/>
  <c r="AS446" i="11"/>
  <c r="AK446" i="11"/>
  <c r="AF446" i="11"/>
  <c r="Z446" i="11"/>
  <c r="U446" i="11"/>
  <c r="Q446" i="11"/>
  <c r="M446" i="11"/>
  <c r="BS426" i="11"/>
  <c r="BO426" i="11"/>
  <c r="BK426" i="11"/>
  <c r="BG426" i="11"/>
  <c r="BC426" i="11"/>
  <c r="AY426" i="11"/>
  <c r="AU426" i="11"/>
  <c r="AQ426" i="11"/>
  <c r="AM426" i="11"/>
  <c r="AI426" i="11"/>
  <c r="AE426" i="11"/>
  <c r="AA426" i="11"/>
  <c r="W426" i="11"/>
  <c r="S426" i="11"/>
  <c r="O426" i="11"/>
  <c r="BD446" i="11"/>
  <c r="AR446" i="11"/>
  <c r="AJ446" i="11"/>
  <c r="AD446" i="11"/>
  <c r="Y446" i="11"/>
  <c r="T446" i="11"/>
  <c r="P446" i="11"/>
  <c r="BR426" i="11"/>
  <c r="BN426" i="11"/>
  <c r="BJ426" i="11"/>
  <c r="BF426" i="11"/>
  <c r="BB426" i="11"/>
  <c r="AX426" i="11"/>
  <c r="AT426" i="11"/>
  <c r="AP426" i="11"/>
  <c r="AL426" i="11"/>
  <c r="AH426" i="11"/>
  <c r="AD426" i="11"/>
  <c r="Z426" i="11"/>
  <c r="V426" i="11"/>
  <c r="R426" i="11"/>
  <c r="N426" i="11"/>
  <c r="BP446" i="11"/>
  <c r="AZ446" i="11"/>
  <c r="AO446" i="11"/>
  <c r="AH446" i="11"/>
  <c r="AC446" i="11"/>
  <c r="X446" i="11"/>
  <c r="S446" i="11"/>
  <c r="O446" i="11"/>
  <c r="BQ426" i="11"/>
  <c r="BM426" i="11"/>
  <c r="BI426" i="11"/>
  <c r="BE426" i="11"/>
  <c r="BA426" i="11"/>
  <c r="AW426" i="11"/>
  <c r="AS426" i="11"/>
  <c r="AO426" i="11"/>
  <c r="AK426" i="11"/>
  <c r="AG426" i="11"/>
  <c r="AC426" i="11"/>
  <c r="Y426" i="11"/>
  <c r="U426" i="11"/>
  <c r="Q426" i="11"/>
  <c r="M426" i="11"/>
  <c r="BP448" i="11"/>
  <c r="BL448" i="11"/>
  <c r="BH448" i="11"/>
  <c r="BD448" i="11"/>
  <c r="AZ448" i="11"/>
  <c r="AV448" i="11"/>
  <c r="AR448" i="11"/>
  <c r="AN448" i="11"/>
  <c r="AJ448" i="11"/>
  <c r="AF448" i="11"/>
  <c r="AB448" i="11"/>
  <c r="X448" i="11"/>
  <c r="T448" i="11"/>
  <c r="P448" i="11"/>
  <c r="BR448" i="11"/>
  <c r="BN448" i="11"/>
  <c r="BJ448" i="11"/>
  <c r="BF448" i="11"/>
  <c r="BB448" i="11"/>
  <c r="AX448" i="11"/>
  <c r="AT448" i="11"/>
  <c r="AP448" i="11"/>
  <c r="AL448" i="11"/>
  <c r="AH448" i="11"/>
  <c r="AD448" i="11"/>
  <c r="Z448" i="11"/>
  <c r="V448" i="11"/>
  <c r="R448" i="11"/>
  <c r="N448" i="11"/>
  <c r="BQ448" i="11"/>
  <c r="BM448" i="11"/>
  <c r="BI448" i="11"/>
  <c r="BE448" i="11"/>
  <c r="BA448" i="11"/>
  <c r="AW448" i="11"/>
  <c r="AS448" i="11"/>
  <c r="AO448" i="11"/>
  <c r="AK448" i="11"/>
  <c r="AG448" i="11"/>
  <c r="AC448" i="11"/>
  <c r="Y448" i="11"/>
  <c r="U448" i="11"/>
  <c r="Q448" i="11"/>
  <c r="M448" i="11"/>
  <c r="BO448" i="11"/>
  <c r="AY448" i="11"/>
  <c r="AI448" i="11"/>
  <c r="S448" i="11"/>
  <c r="BK448" i="11"/>
  <c r="AU448" i="11"/>
  <c r="AE448" i="11"/>
  <c r="O448" i="11"/>
  <c r="BG448" i="11"/>
  <c r="AQ448" i="11"/>
  <c r="AA448" i="11"/>
  <c r="BS448" i="11"/>
  <c r="BC448" i="11"/>
  <c r="AM448" i="11"/>
  <c r="W448" i="11"/>
  <c r="AL264" i="10"/>
  <c r="T264" i="10"/>
  <c r="T294" i="10"/>
  <c r="AL258" i="10"/>
  <c r="T258" i="10"/>
  <c r="AL326" i="10"/>
  <c r="BR420" i="11"/>
  <c r="BR440" i="11" s="1"/>
  <c r="BN420" i="11"/>
  <c r="BN440" i="11" s="1"/>
  <c r="BJ420" i="11"/>
  <c r="BJ440" i="11" s="1"/>
  <c r="BF420" i="11"/>
  <c r="BF440" i="11" s="1"/>
  <c r="BB420" i="11"/>
  <c r="BB440" i="11" s="1"/>
  <c r="AX420" i="11"/>
  <c r="AX440" i="11" s="1"/>
  <c r="AT420" i="11"/>
  <c r="AT440" i="11" s="1"/>
  <c r="AP420" i="11"/>
  <c r="AP440" i="11" s="1"/>
  <c r="AL420" i="11"/>
  <c r="AL440" i="11" s="1"/>
  <c r="AH420" i="11"/>
  <c r="AH440" i="11" s="1"/>
  <c r="AD420" i="11"/>
  <c r="AD440" i="11" s="1"/>
  <c r="Z420" i="11"/>
  <c r="Z440" i="11" s="1"/>
  <c r="V420" i="11"/>
  <c r="V440" i="11" s="1"/>
  <c r="R420" i="11"/>
  <c r="R440" i="11" s="1"/>
  <c r="N420" i="11"/>
  <c r="N440" i="11" s="1"/>
  <c r="BQ420" i="11"/>
  <c r="BQ440" i="11" s="1"/>
  <c r="BM420" i="11"/>
  <c r="BM440" i="11" s="1"/>
  <c r="BI420" i="11"/>
  <c r="BI440" i="11" s="1"/>
  <c r="BE420" i="11"/>
  <c r="BE440" i="11" s="1"/>
  <c r="BA420" i="11"/>
  <c r="BA440" i="11" s="1"/>
  <c r="AW420" i="11"/>
  <c r="AW440" i="11" s="1"/>
  <c r="AS420" i="11"/>
  <c r="AS440" i="11" s="1"/>
  <c r="AO420" i="11"/>
  <c r="AO440" i="11" s="1"/>
  <c r="AK420" i="11"/>
  <c r="AK440" i="11" s="1"/>
  <c r="AG420" i="11"/>
  <c r="AG440" i="11" s="1"/>
  <c r="AC420" i="11"/>
  <c r="AC440" i="11" s="1"/>
  <c r="Y420" i="11"/>
  <c r="Y440" i="11" s="1"/>
  <c r="U420" i="11"/>
  <c r="U440" i="11" s="1"/>
  <c r="Q420" i="11"/>
  <c r="Q440" i="11" s="1"/>
  <c r="M420" i="11"/>
  <c r="M440" i="11" s="1"/>
  <c r="BP420" i="11"/>
  <c r="BP440" i="11" s="1"/>
  <c r="BL420" i="11"/>
  <c r="BL440" i="11" s="1"/>
  <c r="BH420" i="11"/>
  <c r="BH440" i="11" s="1"/>
  <c r="BD420" i="11"/>
  <c r="BD440" i="11" s="1"/>
  <c r="AZ420" i="11"/>
  <c r="AZ440" i="11" s="1"/>
  <c r="AV420" i="11"/>
  <c r="AV440" i="11" s="1"/>
  <c r="AR420" i="11"/>
  <c r="AR440" i="11" s="1"/>
  <c r="AN420" i="11"/>
  <c r="AN440" i="11" s="1"/>
  <c r="AJ420" i="11"/>
  <c r="AJ440" i="11" s="1"/>
  <c r="AF420" i="11"/>
  <c r="AF440" i="11" s="1"/>
  <c r="AB420" i="11"/>
  <c r="AB440" i="11" s="1"/>
  <c r="X420" i="11"/>
  <c r="X440" i="11" s="1"/>
  <c r="T420" i="11"/>
  <c r="T440" i="11" s="1"/>
  <c r="P420" i="11"/>
  <c r="P440" i="11" s="1"/>
  <c r="BS420" i="11"/>
  <c r="BS440" i="11" s="1"/>
  <c r="BO420" i="11"/>
  <c r="BO440" i="11" s="1"/>
  <c r="BK420" i="11"/>
  <c r="BK440" i="11" s="1"/>
  <c r="BG420" i="11"/>
  <c r="BG440" i="11" s="1"/>
  <c r="BC420" i="11"/>
  <c r="BC440" i="11" s="1"/>
  <c r="AY420" i="11"/>
  <c r="AY440" i="11" s="1"/>
  <c r="AU420" i="11"/>
  <c r="AU440" i="11" s="1"/>
  <c r="AQ420" i="11"/>
  <c r="AQ440" i="11" s="1"/>
  <c r="AM420" i="11"/>
  <c r="AM440" i="11" s="1"/>
  <c r="AI420" i="11"/>
  <c r="AI440" i="11" s="1"/>
  <c r="AE420" i="11"/>
  <c r="AE440" i="11" s="1"/>
  <c r="AA420" i="11"/>
  <c r="AA440" i="11" s="1"/>
  <c r="W420" i="11"/>
  <c r="W440" i="11" s="1"/>
  <c r="S420" i="11"/>
  <c r="S440" i="11" s="1"/>
  <c r="O420" i="11"/>
  <c r="O440" i="11" s="1"/>
  <c r="BE325" i="10"/>
  <c r="BE264" i="10"/>
  <c r="BE295" i="10"/>
  <c r="BE462" i="10" s="1"/>
  <c r="AO295" i="10"/>
  <c r="AO462" i="10" s="1"/>
  <c r="AO294" i="10"/>
  <c r="AO264" i="10"/>
  <c r="AO326" i="10"/>
  <c r="AO258" i="10"/>
  <c r="AO325" i="10"/>
  <c r="BS325" i="10"/>
  <c r="BS326" i="10"/>
  <c r="BC325" i="10"/>
  <c r="BC326" i="10"/>
  <c r="AY325" i="10"/>
  <c r="AY326" i="10"/>
  <c r="AI325" i="10"/>
  <c r="AI326" i="10"/>
  <c r="BG325" i="10"/>
  <c r="BG326" i="10"/>
  <c r="AP325" i="10"/>
  <c r="AP326" i="10"/>
  <c r="BH325" i="10"/>
  <c r="BH326" i="10"/>
  <c r="U325" i="10"/>
  <c r="U326" i="10"/>
  <c r="AU325" i="10"/>
  <c r="AU326" i="10"/>
  <c r="AR325" i="10"/>
  <c r="AR326" i="10"/>
  <c r="Q325" i="10"/>
  <c r="Q326" i="10"/>
  <c r="BA325" i="10"/>
  <c r="BA326" i="10"/>
  <c r="AF325" i="10"/>
  <c r="AF326" i="10"/>
  <c r="R325" i="10"/>
  <c r="R326" i="10"/>
  <c r="BI325" i="10"/>
  <c r="BI326" i="10"/>
  <c r="BO325" i="10"/>
  <c r="BO326" i="10"/>
  <c r="AH325" i="10"/>
  <c r="AH326" i="10"/>
  <c r="AJ325" i="10"/>
  <c r="AJ326" i="10"/>
  <c r="BM325" i="10"/>
  <c r="BM326" i="10"/>
  <c r="O325" i="10"/>
  <c r="O326" i="10"/>
  <c r="AB325" i="10"/>
  <c r="AB326" i="10"/>
  <c r="AV325" i="10"/>
  <c r="AV326" i="10"/>
  <c r="N325" i="10"/>
  <c r="N326" i="10"/>
  <c r="BR325" i="10"/>
  <c r="BR326" i="10"/>
  <c r="BN325" i="10"/>
  <c r="BN326" i="10"/>
  <c r="AD325" i="10"/>
  <c r="AD326" i="10"/>
  <c r="AG325" i="10"/>
  <c r="AG326" i="10"/>
  <c r="AW325" i="10"/>
  <c r="AW326" i="10"/>
  <c r="AQ325" i="10"/>
  <c r="AQ326" i="10"/>
  <c r="AN325" i="10"/>
  <c r="AN326" i="10"/>
  <c r="BP325" i="10"/>
  <c r="BP326" i="10"/>
  <c r="X325" i="10"/>
  <c r="X326" i="10"/>
  <c r="AT325" i="10"/>
  <c r="AT326" i="10"/>
  <c r="AM325" i="10"/>
  <c r="AM326" i="10"/>
  <c r="BF325" i="10"/>
  <c r="BF326" i="10"/>
  <c r="S325" i="10"/>
  <c r="S326" i="10"/>
  <c r="BK325" i="10"/>
  <c r="BK326" i="10"/>
  <c r="AA325" i="10"/>
  <c r="AA326" i="10"/>
  <c r="AC325" i="10"/>
  <c r="AC326" i="10"/>
  <c r="AS325" i="10"/>
  <c r="AS326" i="10"/>
  <c r="BL325" i="10"/>
  <c r="BL326" i="10"/>
  <c r="AK325" i="10"/>
  <c r="AK326" i="10"/>
  <c r="P325" i="10"/>
  <c r="P326" i="10"/>
  <c r="Z325" i="10"/>
  <c r="Z326" i="10"/>
  <c r="BD325" i="10"/>
  <c r="BD326" i="10"/>
  <c r="AX325" i="10"/>
  <c r="AX326" i="10"/>
  <c r="W325" i="10"/>
  <c r="W326" i="10"/>
  <c r="V325" i="10"/>
  <c r="V326" i="10"/>
  <c r="BJ325" i="10"/>
  <c r="BJ326" i="10"/>
  <c r="O294" i="10"/>
  <c r="O295" i="10"/>
  <c r="O462" i="10" s="1"/>
  <c r="AB294" i="10"/>
  <c r="AB295" i="10"/>
  <c r="AB462" i="10" s="1"/>
  <c r="AV294" i="10"/>
  <c r="AV295" i="10"/>
  <c r="AV462" i="10" s="1"/>
  <c r="N294" i="10"/>
  <c r="N295" i="10"/>
  <c r="N462" i="10" s="1"/>
  <c r="BR294" i="10"/>
  <c r="BR295" i="10"/>
  <c r="BR462" i="10" s="1"/>
  <c r="BN294" i="10"/>
  <c r="BN295" i="10"/>
  <c r="BN462" i="10" s="1"/>
  <c r="AD294" i="10"/>
  <c r="AD295" i="10"/>
  <c r="AD462" i="10" s="1"/>
  <c r="AG294" i="10"/>
  <c r="AG295" i="10"/>
  <c r="AG462" i="10" s="1"/>
  <c r="AW294" i="10"/>
  <c r="AW295" i="10"/>
  <c r="AW462" i="10" s="1"/>
  <c r="AQ294" i="10"/>
  <c r="AQ295" i="10"/>
  <c r="AQ462" i="10" s="1"/>
  <c r="AN294" i="10"/>
  <c r="AN295" i="10"/>
  <c r="AN462" i="10" s="1"/>
  <c r="BP294" i="10"/>
  <c r="BP295" i="10"/>
  <c r="BP462" i="10" s="1"/>
  <c r="BK294" i="10"/>
  <c r="BK295" i="10"/>
  <c r="BK462" i="10" s="1"/>
  <c r="AA294" i="10"/>
  <c r="AA295" i="10"/>
  <c r="AA462" i="10" s="1"/>
  <c r="AC294" i="10"/>
  <c r="AC295" i="10"/>
  <c r="AC462" i="10" s="1"/>
  <c r="AS294" i="10"/>
  <c r="AS295" i="10"/>
  <c r="AS462" i="10" s="1"/>
  <c r="BL294" i="10"/>
  <c r="BL295" i="10"/>
  <c r="BL462" i="10" s="1"/>
  <c r="AK294" i="10"/>
  <c r="AK295" i="10"/>
  <c r="AK462" i="10" s="1"/>
  <c r="P294" i="10"/>
  <c r="P295" i="10"/>
  <c r="P462" i="10" s="1"/>
  <c r="Z294" i="10"/>
  <c r="Z295" i="10"/>
  <c r="Z462" i="10" s="1"/>
  <c r="BD294" i="10"/>
  <c r="BD295" i="10"/>
  <c r="BD462" i="10" s="1"/>
  <c r="AX294" i="10"/>
  <c r="AX295" i="10"/>
  <c r="AX462" i="10" s="1"/>
  <c r="W294" i="10"/>
  <c r="W295" i="10"/>
  <c r="W462" i="10" s="1"/>
  <c r="V294" i="10"/>
  <c r="V295" i="10"/>
  <c r="V462" i="10" s="1"/>
  <c r="BJ294" i="10"/>
  <c r="BJ295" i="10"/>
  <c r="BJ462" i="10" s="1"/>
  <c r="X294" i="10"/>
  <c r="X295" i="10"/>
  <c r="X462" i="10" s="1"/>
  <c r="BS294" i="10"/>
  <c r="BS295" i="10"/>
  <c r="BS462" i="10" s="1"/>
  <c r="BC294" i="10"/>
  <c r="BC295" i="10"/>
  <c r="BC462" i="10" s="1"/>
  <c r="AT294" i="10"/>
  <c r="AT295" i="10"/>
  <c r="AT462" i="10" s="1"/>
  <c r="AH294" i="10"/>
  <c r="AH295" i="10"/>
  <c r="AH462" i="10" s="1"/>
  <c r="AY294" i="10"/>
  <c r="AY295" i="10"/>
  <c r="AY462" i="10" s="1"/>
  <c r="AM294" i="10"/>
  <c r="AM295" i="10"/>
  <c r="AM462" i="10" s="1"/>
  <c r="AJ294" i="10"/>
  <c r="AJ295" i="10"/>
  <c r="AJ462" i="10" s="1"/>
  <c r="AI294" i="10"/>
  <c r="AI295" i="10"/>
  <c r="AI462" i="10" s="1"/>
  <c r="BF294" i="10"/>
  <c r="BF295" i="10"/>
  <c r="BF462" i="10" s="1"/>
  <c r="BM294" i="10"/>
  <c r="BM295" i="10"/>
  <c r="BM462" i="10" s="1"/>
  <c r="BG294" i="10"/>
  <c r="BG295" i="10"/>
  <c r="BG462" i="10" s="1"/>
  <c r="S294" i="10"/>
  <c r="S295" i="10"/>
  <c r="S462" i="10" s="1"/>
  <c r="AP294" i="10"/>
  <c r="AP295" i="10"/>
  <c r="AP462" i="10" s="1"/>
  <c r="BH294" i="10"/>
  <c r="BH295" i="10"/>
  <c r="BH462" i="10" s="1"/>
  <c r="U294" i="10"/>
  <c r="U295" i="10"/>
  <c r="U462" i="10" s="1"/>
  <c r="AU294" i="10"/>
  <c r="AU295" i="10"/>
  <c r="AU462" i="10" s="1"/>
  <c r="AR294" i="10"/>
  <c r="AR295" i="10"/>
  <c r="AR462" i="10" s="1"/>
  <c r="Q294" i="10"/>
  <c r="Q295" i="10"/>
  <c r="Q462" i="10" s="1"/>
  <c r="BA294" i="10"/>
  <c r="BA295" i="10"/>
  <c r="BA462" i="10" s="1"/>
  <c r="AF294" i="10"/>
  <c r="AF295" i="10"/>
  <c r="AF462" i="10" s="1"/>
  <c r="R294" i="10"/>
  <c r="R295" i="10"/>
  <c r="R462" i="10" s="1"/>
  <c r="BI294" i="10"/>
  <c r="BI295" i="10"/>
  <c r="BI462" i="10" s="1"/>
  <c r="BO294" i="10"/>
  <c r="BO295" i="10"/>
  <c r="BO462" i="10" s="1"/>
  <c r="BS258" i="10"/>
  <c r="BS264" i="10"/>
  <c r="AH258" i="10"/>
  <c r="AH264" i="10"/>
  <c r="AM258" i="10"/>
  <c r="AM264" i="10"/>
  <c r="BF258" i="10"/>
  <c r="BF264" i="10"/>
  <c r="BG258" i="10"/>
  <c r="BG264" i="10"/>
  <c r="AP258" i="10"/>
  <c r="AP264" i="10"/>
  <c r="BH258" i="10"/>
  <c r="BH264" i="10"/>
  <c r="U258" i="10"/>
  <c r="U264" i="10"/>
  <c r="AU258" i="10"/>
  <c r="AU264" i="10"/>
  <c r="AR258" i="10"/>
  <c r="AR264" i="10"/>
  <c r="Q258" i="10"/>
  <c r="Q264" i="10"/>
  <c r="BA258" i="10"/>
  <c r="BA264" i="10"/>
  <c r="AF258" i="10"/>
  <c r="AF264" i="10"/>
  <c r="R258" i="10"/>
  <c r="R264" i="10"/>
  <c r="BI258" i="10"/>
  <c r="BI264" i="10"/>
  <c r="BO258" i="10"/>
  <c r="BO264" i="10"/>
  <c r="BC258" i="10"/>
  <c r="BC264" i="10"/>
  <c r="AY258" i="10"/>
  <c r="AY264" i="10"/>
  <c r="AJ258" i="10"/>
  <c r="AJ264" i="10"/>
  <c r="BM258" i="10"/>
  <c r="BM264" i="10"/>
  <c r="S258" i="10"/>
  <c r="S264" i="10"/>
  <c r="O258" i="10"/>
  <c r="O264" i="10"/>
  <c r="AB258" i="10"/>
  <c r="AB264" i="10"/>
  <c r="AV258" i="10"/>
  <c r="AV264" i="10"/>
  <c r="N258" i="10"/>
  <c r="N264" i="10"/>
  <c r="BR258" i="10"/>
  <c r="BR264" i="10"/>
  <c r="BN258" i="10"/>
  <c r="BN264" i="10"/>
  <c r="AD258" i="10"/>
  <c r="AD264" i="10"/>
  <c r="AG258" i="10"/>
  <c r="AG264" i="10"/>
  <c r="AW258" i="10"/>
  <c r="AW264" i="10"/>
  <c r="AQ258" i="10"/>
  <c r="AQ264" i="10"/>
  <c r="AN258" i="10"/>
  <c r="AN264" i="10"/>
  <c r="BP258" i="10"/>
  <c r="BP264" i="10"/>
  <c r="X258" i="10"/>
  <c r="X264" i="10"/>
  <c r="AT258" i="10"/>
  <c r="AT264" i="10"/>
  <c r="AI258" i="10"/>
  <c r="AI264" i="10"/>
  <c r="BK258" i="10"/>
  <c r="BK264" i="10"/>
  <c r="AA258" i="10"/>
  <c r="AA264" i="10"/>
  <c r="AC258" i="10"/>
  <c r="AC264" i="10"/>
  <c r="AS258" i="10"/>
  <c r="AS264" i="10"/>
  <c r="BL258" i="10"/>
  <c r="BL264" i="10"/>
  <c r="AK258" i="10"/>
  <c r="AK264" i="10"/>
  <c r="P258" i="10"/>
  <c r="P264" i="10"/>
  <c r="Z258" i="10"/>
  <c r="Z264" i="10"/>
  <c r="BD258" i="10"/>
  <c r="BD264" i="10"/>
  <c r="AX258" i="10"/>
  <c r="AX264" i="10"/>
  <c r="W258" i="10"/>
  <c r="W264" i="10"/>
  <c r="V258" i="10"/>
  <c r="V264" i="10"/>
  <c r="BJ258" i="10"/>
  <c r="BJ264" i="10"/>
  <c r="M177" i="10"/>
  <c r="L190" i="10" a="1"/>
  <c r="L190" i="10" s="1"/>
  <c r="L207" i="10" s="1"/>
  <c r="I160" i="10"/>
  <c r="I221" i="9"/>
  <c r="I250" i="9" s="1"/>
  <c r="BS117" i="10"/>
  <c r="L256" i="9"/>
  <c r="BR377" i="10"/>
  <c r="BR397" i="10" s="1"/>
  <c r="BN377" i="10"/>
  <c r="BN397" i="10" s="1"/>
  <c r="BJ377" i="10"/>
  <c r="BJ397" i="10" s="1"/>
  <c r="BF377" i="10"/>
  <c r="BF397" i="10" s="1"/>
  <c r="BB377" i="10"/>
  <c r="BB397" i="10" s="1"/>
  <c r="AX377" i="10"/>
  <c r="AX397" i="10" s="1"/>
  <c r="AT377" i="10"/>
  <c r="AT397" i="10" s="1"/>
  <c r="AP377" i="10"/>
  <c r="AP397" i="10" s="1"/>
  <c r="AL377" i="10"/>
  <c r="AL397" i="10" s="1"/>
  <c r="AH377" i="10"/>
  <c r="AH397" i="10" s="1"/>
  <c r="AD377" i="10"/>
  <c r="AD397" i="10" s="1"/>
  <c r="Z377" i="10"/>
  <c r="Z397" i="10" s="1"/>
  <c r="V377" i="10"/>
  <c r="V397" i="10" s="1"/>
  <c r="R377" i="10"/>
  <c r="R397" i="10" s="1"/>
  <c r="N377" i="10"/>
  <c r="N397" i="10" s="1"/>
  <c r="BQ377" i="10"/>
  <c r="BQ397" i="10" s="1"/>
  <c r="BM377" i="10"/>
  <c r="BM397" i="10" s="1"/>
  <c r="BI377" i="10"/>
  <c r="BI397" i="10" s="1"/>
  <c r="BE377" i="10"/>
  <c r="BE397" i="10" s="1"/>
  <c r="BA377" i="10"/>
  <c r="BA397" i="10" s="1"/>
  <c r="AW377" i="10"/>
  <c r="AW397" i="10" s="1"/>
  <c r="AS377" i="10"/>
  <c r="AS397" i="10" s="1"/>
  <c r="AO377" i="10"/>
  <c r="AO397" i="10" s="1"/>
  <c r="AK377" i="10"/>
  <c r="AK397" i="10" s="1"/>
  <c r="AG377" i="10"/>
  <c r="AG397" i="10" s="1"/>
  <c r="AC377" i="10"/>
  <c r="AC397" i="10" s="1"/>
  <c r="Y377" i="10"/>
  <c r="Y397" i="10" s="1"/>
  <c r="U377" i="10"/>
  <c r="U397" i="10" s="1"/>
  <c r="Q377" i="10"/>
  <c r="Q397" i="10" s="1"/>
  <c r="M377" i="10"/>
  <c r="M397" i="10" s="1"/>
  <c r="BO377" i="10"/>
  <c r="BO397" i="10" s="1"/>
  <c r="BG377" i="10"/>
  <c r="BG397" i="10" s="1"/>
  <c r="AY377" i="10"/>
  <c r="AY397" i="10" s="1"/>
  <c r="AQ377" i="10"/>
  <c r="AQ397" i="10" s="1"/>
  <c r="AI377" i="10"/>
  <c r="AI397" i="10" s="1"/>
  <c r="AA377" i="10"/>
  <c r="AA397" i="10" s="1"/>
  <c r="S377" i="10"/>
  <c r="S397" i="10" s="1"/>
  <c r="BL377" i="10"/>
  <c r="BL397" i="10" s="1"/>
  <c r="BD377" i="10"/>
  <c r="BD397" i="10" s="1"/>
  <c r="AV377" i="10"/>
  <c r="AV397" i="10" s="1"/>
  <c r="AN377" i="10"/>
  <c r="AN397" i="10" s="1"/>
  <c r="AF377" i="10"/>
  <c r="AF397" i="10" s="1"/>
  <c r="X377" i="10"/>
  <c r="X397" i="10" s="1"/>
  <c r="P377" i="10"/>
  <c r="P397" i="10" s="1"/>
  <c r="BS377" i="10"/>
  <c r="BS397" i="10" s="1"/>
  <c r="BK377" i="10"/>
  <c r="BK397" i="10" s="1"/>
  <c r="BC377" i="10"/>
  <c r="BC397" i="10" s="1"/>
  <c r="AU377" i="10"/>
  <c r="AU397" i="10" s="1"/>
  <c r="AM377" i="10"/>
  <c r="AM397" i="10" s="1"/>
  <c r="AE377" i="10"/>
  <c r="AE397" i="10" s="1"/>
  <c r="W377" i="10"/>
  <c r="W397" i="10" s="1"/>
  <c r="O377" i="10"/>
  <c r="O397" i="10" s="1"/>
  <c r="AZ377" i="10"/>
  <c r="AZ397" i="10" s="1"/>
  <c r="T377" i="10"/>
  <c r="T397" i="10" s="1"/>
  <c r="AR377" i="10"/>
  <c r="AR397" i="10" s="1"/>
  <c r="BP377" i="10"/>
  <c r="BP397" i="10" s="1"/>
  <c r="AJ377" i="10"/>
  <c r="AJ397" i="10" s="1"/>
  <c r="BH377" i="10"/>
  <c r="BH397" i="10" s="1"/>
  <c r="AB377" i="10"/>
  <c r="AB397" i="10" s="1"/>
  <c r="BR405" i="10"/>
  <c r="BN405" i="10"/>
  <c r="BJ405" i="10"/>
  <c r="BF405" i="10"/>
  <c r="BB405" i="10"/>
  <c r="AX405" i="10"/>
  <c r="AT405" i="10"/>
  <c r="AP405" i="10"/>
  <c r="AL405" i="10"/>
  <c r="AH405" i="10"/>
  <c r="AD405" i="10"/>
  <c r="Z405" i="10"/>
  <c r="V405" i="10"/>
  <c r="R405" i="10"/>
  <c r="N405" i="10"/>
  <c r="BQ405" i="10"/>
  <c r="BM405" i="10"/>
  <c r="BI405" i="10"/>
  <c r="BE405" i="10"/>
  <c r="BA405" i="10"/>
  <c r="AW405" i="10"/>
  <c r="AS405" i="10"/>
  <c r="AO405" i="10"/>
  <c r="AK405" i="10"/>
  <c r="AG405" i="10"/>
  <c r="AC405" i="10"/>
  <c r="Y405" i="10"/>
  <c r="U405" i="10"/>
  <c r="Q405" i="10"/>
  <c r="M405" i="10"/>
  <c r="BP405" i="10"/>
  <c r="BL405" i="10"/>
  <c r="BH405" i="10"/>
  <c r="BD405" i="10"/>
  <c r="AZ405" i="10"/>
  <c r="AV405" i="10"/>
  <c r="AR405" i="10"/>
  <c r="AN405" i="10"/>
  <c r="AJ405" i="10"/>
  <c r="AF405" i="10"/>
  <c r="AB405" i="10"/>
  <c r="X405" i="10"/>
  <c r="T405" i="10"/>
  <c r="P405" i="10"/>
  <c r="BO405" i="10"/>
  <c r="AY405" i="10"/>
  <c r="AI405" i="10"/>
  <c r="S405" i="10"/>
  <c r="BK405" i="10"/>
  <c r="AU405" i="10"/>
  <c r="AE405" i="10"/>
  <c r="O405" i="10"/>
  <c r="BG405" i="10"/>
  <c r="AQ405" i="10"/>
  <c r="AA405" i="10"/>
  <c r="BC405" i="10"/>
  <c r="AM405" i="10"/>
  <c r="W405" i="10"/>
  <c r="BS405" i="10"/>
  <c r="BS403" i="10"/>
  <c r="BO403" i="10"/>
  <c r="BK403" i="10"/>
  <c r="BG403" i="10"/>
  <c r="BC403" i="10"/>
  <c r="AY403" i="10"/>
  <c r="AU403" i="10"/>
  <c r="AQ403" i="10"/>
  <c r="AM403" i="10"/>
  <c r="AI403" i="10"/>
  <c r="AE403" i="10"/>
  <c r="AA403" i="10"/>
  <c r="W403" i="10"/>
  <c r="S403" i="10"/>
  <c r="O403" i="10"/>
  <c r="BR403" i="10"/>
  <c r="BN403" i="10"/>
  <c r="BJ403" i="10"/>
  <c r="BF403" i="10"/>
  <c r="BB403" i="10"/>
  <c r="AX403" i="10"/>
  <c r="AT403" i="10"/>
  <c r="AP403" i="10"/>
  <c r="AL403" i="10"/>
  <c r="AH403" i="10"/>
  <c r="AD403" i="10"/>
  <c r="Z403" i="10"/>
  <c r="V403" i="10"/>
  <c r="R403" i="10"/>
  <c r="N403" i="10"/>
  <c r="BQ403" i="10"/>
  <c r="BM403" i="10"/>
  <c r="BI403" i="10"/>
  <c r="BE403" i="10"/>
  <c r="BA403" i="10"/>
  <c r="AW403" i="10"/>
  <c r="AS403" i="10"/>
  <c r="AO403" i="10"/>
  <c r="AK403" i="10"/>
  <c r="AG403" i="10"/>
  <c r="AC403" i="10"/>
  <c r="Y403" i="10"/>
  <c r="U403" i="10"/>
  <c r="Q403" i="10"/>
  <c r="M403" i="10"/>
  <c r="BL403" i="10"/>
  <c r="AV403" i="10"/>
  <c r="AF403" i="10"/>
  <c r="P403" i="10"/>
  <c r="BP383" i="10"/>
  <c r="BL383" i="10"/>
  <c r="BH383" i="10"/>
  <c r="BD383" i="10"/>
  <c r="AZ383" i="10"/>
  <c r="AV383" i="10"/>
  <c r="AR383" i="10"/>
  <c r="AN383" i="10"/>
  <c r="AJ383" i="10"/>
  <c r="AF383" i="10"/>
  <c r="AB383" i="10"/>
  <c r="X383" i="10"/>
  <c r="T383" i="10"/>
  <c r="P383" i="10"/>
  <c r="BH403" i="10"/>
  <c r="AR403" i="10"/>
  <c r="AB403" i="10"/>
  <c r="BS383" i="10"/>
  <c r="BO383" i="10"/>
  <c r="BK383" i="10"/>
  <c r="BG383" i="10"/>
  <c r="BC383" i="10"/>
  <c r="AY383" i="10"/>
  <c r="AU383" i="10"/>
  <c r="AQ383" i="10"/>
  <c r="AM383" i="10"/>
  <c r="AI383" i="10"/>
  <c r="AE383" i="10"/>
  <c r="AA383" i="10"/>
  <c r="W383" i="10"/>
  <c r="S383" i="10"/>
  <c r="O383" i="10"/>
  <c r="BD403" i="10"/>
  <c r="AN403" i="10"/>
  <c r="X403" i="10"/>
  <c r="AZ403" i="10"/>
  <c r="BQ383" i="10"/>
  <c r="BI383" i="10"/>
  <c r="BA383" i="10"/>
  <c r="AS383" i="10"/>
  <c r="AK383" i="10"/>
  <c r="AC383" i="10"/>
  <c r="U383" i="10"/>
  <c r="M383" i="10"/>
  <c r="AJ403" i="10"/>
  <c r="BN383" i="10"/>
  <c r="BF383" i="10"/>
  <c r="AX383" i="10"/>
  <c r="AP383" i="10"/>
  <c r="AH383" i="10"/>
  <c r="Z383" i="10"/>
  <c r="R383" i="10"/>
  <c r="T403" i="10"/>
  <c r="BM383" i="10"/>
  <c r="BE383" i="10"/>
  <c r="AW383" i="10"/>
  <c r="AO383" i="10"/>
  <c r="AG383" i="10"/>
  <c r="Y383" i="10"/>
  <c r="Q383" i="10"/>
  <c r="AT383" i="10"/>
  <c r="N383" i="10"/>
  <c r="BR383" i="10"/>
  <c r="AL383" i="10"/>
  <c r="BJ383" i="10"/>
  <c r="AD383" i="10"/>
  <c r="BP403" i="10"/>
  <c r="BB383" i="10"/>
  <c r="V383" i="10"/>
  <c r="L204" i="9"/>
  <c r="I187" i="9"/>
  <c r="AC121" i="8"/>
  <c r="BH123" i="8"/>
  <c r="BF123" i="8"/>
  <c r="AK121" i="8"/>
  <c r="T121" i="8"/>
  <c r="Y121" i="8"/>
  <c r="AD121" i="8"/>
  <c r="AI121" i="8"/>
  <c r="BA121" i="8"/>
  <c r="AN121" i="8"/>
  <c r="AS121" i="8"/>
  <c r="AX121" i="8"/>
  <c r="BC121" i="8"/>
  <c r="U121" i="8"/>
  <c r="AB121" i="8"/>
  <c r="AG121" i="8"/>
  <c r="AL121" i="8"/>
  <c r="AQ121" i="8"/>
  <c r="BQ123" i="8"/>
  <c r="T123" i="8"/>
  <c r="AT123" i="8"/>
  <c r="BD123" i="8"/>
  <c r="AM123" i="8"/>
  <c r="AB123" i="8"/>
  <c r="Y123" i="8"/>
  <c r="AE123" i="8"/>
  <c r="BC123" i="8"/>
  <c r="S123" i="8"/>
  <c r="BS123" i="8"/>
  <c r="AY123" i="8"/>
  <c r="AK123" i="8"/>
  <c r="V123" i="8"/>
  <c r="AS123" i="8"/>
  <c r="BP121" i="8"/>
  <c r="S121" i="8"/>
  <c r="X121" i="8"/>
  <c r="AM121" i="8"/>
  <c r="AE121" i="8"/>
  <c r="V121" i="8"/>
  <c r="O123" i="8"/>
  <c r="BI123" i="8"/>
  <c r="AC123" i="8"/>
  <c r="BB123" i="8"/>
  <c r="BJ123" i="8"/>
  <c r="BO123" i="8"/>
  <c r="Z121" i="8"/>
  <c r="AJ121" i="8"/>
  <c r="AO121" i="8"/>
  <c r="AT121" i="8"/>
  <c r="AY121" i="8"/>
  <c r="BF121" i="8"/>
  <c r="BD121" i="8"/>
  <c r="BI121" i="8"/>
  <c r="BN121" i="8"/>
  <c r="BS121" i="8"/>
  <c r="BQ121" i="8"/>
  <c r="AR121" i="8"/>
  <c r="AW121" i="8"/>
  <c r="BB121" i="8"/>
  <c r="BG121" i="8"/>
  <c r="BL123" i="8"/>
  <c r="BR123" i="8"/>
  <c r="BG123" i="8"/>
  <c r="AA123" i="8"/>
  <c r="AO123" i="8"/>
  <c r="AJ123" i="8"/>
  <c r="W123" i="8"/>
  <c r="AZ123" i="8"/>
  <c r="AH123" i="8"/>
  <c r="BA123" i="8"/>
  <c r="AL123" i="8"/>
  <c r="R123" i="8"/>
  <c r="P123" i="8"/>
  <c r="AR123" i="8"/>
  <c r="X123" i="8"/>
  <c r="BL121" i="8"/>
  <c r="BK121" i="8"/>
  <c r="N121" i="8"/>
  <c r="AF121" i="8"/>
  <c r="AH121" i="8"/>
  <c r="AV121" i="8"/>
  <c r="Q121" i="8"/>
  <c r="AA121" i="8"/>
  <c r="AD123" i="8"/>
  <c r="U123" i="8"/>
  <c r="AW123" i="8"/>
  <c r="AV123" i="8"/>
  <c r="AI123" i="8"/>
  <c r="BE123" i="8"/>
  <c r="AU123" i="8"/>
  <c r="O121" i="8"/>
  <c r="AZ121" i="8"/>
  <c r="BE121" i="8"/>
  <c r="BJ121" i="8"/>
  <c r="BO121" i="8"/>
  <c r="AU121" i="8"/>
  <c r="M121" i="8"/>
  <c r="R121" i="8"/>
  <c r="W121" i="8"/>
  <c r="P121" i="8"/>
  <c r="AP121" i="8"/>
  <c r="BH121" i="8"/>
  <c r="BM121" i="8"/>
  <c r="BR121" i="8"/>
  <c r="L121" i="8"/>
  <c r="AQ123" i="8"/>
  <c r="BM123" i="8"/>
  <c r="BN123" i="8"/>
  <c r="AP123" i="8"/>
  <c r="BK123" i="8"/>
  <c r="AX123" i="8"/>
  <c r="Z123" i="8"/>
  <c r="AG123" i="8"/>
  <c r="M123" i="8"/>
  <c r="AF123" i="8"/>
  <c r="Q123" i="8"/>
  <c r="AN123" i="8"/>
  <c r="N123" i="8"/>
  <c r="BP123" i="8"/>
  <c r="BR441" i="9"/>
  <c r="BN441" i="9"/>
  <c r="BJ441" i="9"/>
  <c r="BF441" i="9"/>
  <c r="BB441" i="9"/>
  <c r="AX441" i="9"/>
  <c r="AT441" i="9"/>
  <c r="AP441" i="9"/>
  <c r="AL441" i="9"/>
  <c r="AH441" i="9"/>
  <c r="AD441" i="9"/>
  <c r="Z441" i="9"/>
  <c r="V441" i="9"/>
  <c r="R441" i="9"/>
  <c r="N441" i="9"/>
  <c r="BQ441" i="9"/>
  <c r="BM441" i="9"/>
  <c r="BI441" i="9"/>
  <c r="BE441" i="9"/>
  <c r="BA441" i="9"/>
  <c r="AW441" i="9"/>
  <c r="AS441" i="9"/>
  <c r="AO441" i="9"/>
  <c r="AK441" i="9"/>
  <c r="AG441" i="9"/>
  <c r="AC441" i="9"/>
  <c r="Y441" i="9"/>
  <c r="U441" i="9"/>
  <c r="Q441" i="9"/>
  <c r="M441" i="9"/>
  <c r="BP441" i="9"/>
  <c r="BH441" i="9"/>
  <c r="AZ441" i="9"/>
  <c r="AR441" i="9"/>
  <c r="AJ441" i="9"/>
  <c r="AB441" i="9"/>
  <c r="T441" i="9"/>
  <c r="BQ421" i="9"/>
  <c r="BM421" i="9"/>
  <c r="BI421" i="9"/>
  <c r="BE421" i="9"/>
  <c r="BA421" i="9"/>
  <c r="AW421" i="9"/>
  <c r="AS421" i="9"/>
  <c r="AO421" i="9"/>
  <c r="AK421" i="9"/>
  <c r="AG421" i="9"/>
  <c r="AC421" i="9"/>
  <c r="Y421" i="9"/>
  <c r="U421" i="9"/>
  <c r="Q421" i="9"/>
  <c r="M421" i="9"/>
  <c r="BO441" i="9"/>
  <c r="BG441" i="9"/>
  <c r="AY441" i="9"/>
  <c r="AQ441" i="9"/>
  <c r="AI441" i="9"/>
  <c r="AA441" i="9"/>
  <c r="S441" i="9"/>
  <c r="BP421" i="9"/>
  <c r="BL421" i="9"/>
  <c r="BH421" i="9"/>
  <c r="BD421" i="9"/>
  <c r="AZ421" i="9"/>
  <c r="AV421" i="9"/>
  <c r="AR421" i="9"/>
  <c r="AN421" i="9"/>
  <c r="AJ421" i="9"/>
  <c r="AF421" i="9"/>
  <c r="AB421" i="9"/>
  <c r="X421" i="9"/>
  <c r="T421" i="9"/>
  <c r="P421" i="9"/>
  <c r="BL441" i="9"/>
  <c r="BD441" i="9"/>
  <c r="AV441" i="9"/>
  <c r="AN441" i="9"/>
  <c r="AF441" i="9"/>
  <c r="X441" i="9"/>
  <c r="P441" i="9"/>
  <c r="BS421" i="9"/>
  <c r="BO421" i="9"/>
  <c r="BK421" i="9"/>
  <c r="BG421" i="9"/>
  <c r="BC421" i="9"/>
  <c r="AY421" i="9"/>
  <c r="AU421" i="9"/>
  <c r="AQ421" i="9"/>
  <c r="AM421" i="9"/>
  <c r="AI421" i="9"/>
  <c r="AE421" i="9"/>
  <c r="AA421" i="9"/>
  <c r="W421" i="9"/>
  <c r="S421" i="9"/>
  <c r="O421" i="9"/>
  <c r="BS441" i="9"/>
  <c r="BK441" i="9"/>
  <c r="BC441" i="9"/>
  <c r="AU441" i="9"/>
  <c r="AM441" i="9"/>
  <c r="AE441" i="9"/>
  <c r="W441" i="9"/>
  <c r="O441" i="9"/>
  <c r="BR421" i="9"/>
  <c r="BN421" i="9"/>
  <c r="BJ421" i="9"/>
  <c r="BF421" i="9"/>
  <c r="BB421" i="9"/>
  <c r="AX421" i="9"/>
  <c r="AT421" i="9"/>
  <c r="AP421" i="9"/>
  <c r="AL421" i="9"/>
  <c r="AH421" i="9"/>
  <c r="AD421" i="9"/>
  <c r="Z421" i="9"/>
  <c r="V421" i="9"/>
  <c r="R421" i="9"/>
  <c r="N421" i="9"/>
  <c r="BS415" i="9"/>
  <c r="BS435" i="9" s="1"/>
  <c r="BO415" i="9"/>
  <c r="BO435" i="9" s="1"/>
  <c r="BK415" i="9"/>
  <c r="BK435" i="9" s="1"/>
  <c r="BG415" i="9"/>
  <c r="BG435" i="9" s="1"/>
  <c r="BC415" i="9"/>
  <c r="BC435" i="9" s="1"/>
  <c r="AY415" i="9"/>
  <c r="AY435" i="9" s="1"/>
  <c r="AU415" i="9"/>
  <c r="AU435" i="9" s="1"/>
  <c r="AQ415" i="9"/>
  <c r="AQ435" i="9" s="1"/>
  <c r="AM415" i="9"/>
  <c r="AM435" i="9" s="1"/>
  <c r="AI415" i="9"/>
  <c r="AI435" i="9" s="1"/>
  <c r="AE415" i="9"/>
  <c r="AE435" i="9" s="1"/>
  <c r="AA415" i="9"/>
  <c r="AA435" i="9" s="1"/>
  <c r="W415" i="9"/>
  <c r="W435" i="9" s="1"/>
  <c r="S415" i="9"/>
  <c r="S435" i="9" s="1"/>
  <c r="O415" i="9"/>
  <c r="O435" i="9" s="1"/>
  <c r="BR415" i="9"/>
  <c r="BR435" i="9" s="1"/>
  <c r="BN415" i="9"/>
  <c r="BN435" i="9" s="1"/>
  <c r="BJ415" i="9"/>
  <c r="BJ435" i="9" s="1"/>
  <c r="BF415" i="9"/>
  <c r="BF435" i="9" s="1"/>
  <c r="BB415" i="9"/>
  <c r="BB435" i="9" s="1"/>
  <c r="AX415" i="9"/>
  <c r="AX435" i="9" s="1"/>
  <c r="AT415" i="9"/>
  <c r="AT435" i="9" s="1"/>
  <c r="AP415" i="9"/>
  <c r="AP435" i="9" s="1"/>
  <c r="AL415" i="9"/>
  <c r="AL435" i="9" s="1"/>
  <c r="AH415" i="9"/>
  <c r="AH435" i="9" s="1"/>
  <c r="AD415" i="9"/>
  <c r="AD435" i="9" s="1"/>
  <c r="Z415" i="9"/>
  <c r="Z435" i="9" s="1"/>
  <c r="V415" i="9"/>
  <c r="V435" i="9" s="1"/>
  <c r="R415" i="9"/>
  <c r="R435" i="9" s="1"/>
  <c r="N415" i="9"/>
  <c r="N435" i="9" s="1"/>
  <c r="BQ415" i="9"/>
  <c r="BQ435" i="9" s="1"/>
  <c r="BM415" i="9"/>
  <c r="BM435" i="9" s="1"/>
  <c r="BI415" i="9"/>
  <c r="BI435" i="9" s="1"/>
  <c r="BE415" i="9"/>
  <c r="BE435" i="9" s="1"/>
  <c r="BA415" i="9"/>
  <c r="BA435" i="9" s="1"/>
  <c r="AW415" i="9"/>
  <c r="AW435" i="9" s="1"/>
  <c r="AS415" i="9"/>
  <c r="AS435" i="9" s="1"/>
  <c r="AO415" i="9"/>
  <c r="AO435" i="9" s="1"/>
  <c r="AK415" i="9"/>
  <c r="AK435" i="9" s="1"/>
  <c r="AG415" i="9"/>
  <c r="AG435" i="9" s="1"/>
  <c r="AC415" i="9"/>
  <c r="AC435" i="9" s="1"/>
  <c r="Y415" i="9"/>
  <c r="Y435" i="9" s="1"/>
  <c r="U415" i="9"/>
  <c r="U435" i="9" s="1"/>
  <c r="Q415" i="9"/>
  <c r="Q435" i="9" s="1"/>
  <c r="M415" i="9"/>
  <c r="M435" i="9" s="1"/>
  <c r="BP415" i="9"/>
  <c r="BP435" i="9" s="1"/>
  <c r="BL415" i="9"/>
  <c r="BL435" i="9" s="1"/>
  <c r="BH415" i="9"/>
  <c r="BH435" i="9" s="1"/>
  <c r="BD415" i="9"/>
  <c r="BD435" i="9" s="1"/>
  <c r="AZ415" i="9"/>
  <c r="AZ435" i="9" s="1"/>
  <c r="AV415" i="9"/>
  <c r="AV435" i="9" s="1"/>
  <c r="AR415" i="9"/>
  <c r="AR435" i="9" s="1"/>
  <c r="AN415" i="9"/>
  <c r="AN435" i="9" s="1"/>
  <c r="AJ415" i="9"/>
  <c r="AJ435" i="9" s="1"/>
  <c r="AF415" i="9"/>
  <c r="AF435" i="9" s="1"/>
  <c r="AB415" i="9"/>
  <c r="AB435" i="9" s="1"/>
  <c r="X415" i="9"/>
  <c r="X435" i="9" s="1"/>
  <c r="T415" i="9"/>
  <c r="T435" i="9" s="1"/>
  <c r="P415" i="9"/>
  <c r="P435" i="9" s="1"/>
  <c r="BQ443" i="9"/>
  <c r="BM443" i="9"/>
  <c r="BI443" i="9"/>
  <c r="BE443" i="9"/>
  <c r="BA443" i="9"/>
  <c r="AW443" i="9"/>
  <c r="AS443" i="9"/>
  <c r="AO443" i="9"/>
  <c r="AK443" i="9"/>
  <c r="AG443" i="9"/>
  <c r="AC443" i="9"/>
  <c r="Y443" i="9"/>
  <c r="U443" i="9"/>
  <c r="Q443" i="9"/>
  <c r="M443" i="9"/>
  <c r="BP443" i="9"/>
  <c r="BL443" i="9"/>
  <c r="BH443" i="9"/>
  <c r="BD443" i="9"/>
  <c r="AZ443" i="9"/>
  <c r="AV443" i="9"/>
  <c r="AR443" i="9"/>
  <c r="AN443" i="9"/>
  <c r="AJ443" i="9"/>
  <c r="AF443" i="9"/>
  <c r="AB443" i="9"/>
  <c r="X443" i="9"/>
  <c r="T443" i="9"/>
  <c r="P443" i="9"/>
  <c r="BS443" i="9"/>
  <c r="BK443" i="9"/>
  <c r="BC443" i="9"/>
  <c r="AU443" i="9"/>
  <c r="AM443" i="9"/>
  <c r="AE443" i="9"/>
  <c r="W443" i="9"/>
  <c r="O443" i="9"/>
  <c r="BR443" i="9"/>
  <c r="BJ443" i="9"/>
  <c r="BB443" i="9"/>
  <c r="AT443" i="9"/>
  <c r="AL443" i="9"/>
  <c r="AD443" i="9"/>
  <c r="V443" i="9"/>
  <c r="N443" i="9"/>
  <c r="BO443" i="9"/>
  <c r="BG443" i="9"/>
  <c r="AY443" i="9"/>
  <c r="AQ443" i="9"/>
  <c r="AI443" i="9"/>
  <c r="AA443" i="9"/>
  <c r="S443" i="9"/>
  <c r="BN443" i="9"/>
  <c r="BF443" i="9"/>
  <c r="AX443" i="9"/>
  <c r="AP443" i="9"/>
  <c r="AH443" i="9"/>
  <c r="Z443" i="9"/>
  <c r="R443" i="9"/>
  <c r="I137" i="8"/>
  <c r="L394" i="8"/>
  <c r="M174" i="8"/>
  <c r="I157" i="8"/>
  <c r="L187" i="8" a="1"/>
  <c r="L187" i="8" s="1"/>
  <c r="AV177" i="5"/>
  <c r="AV174" i="8"/>
  <c r="Q177" i="5"/>
  <c r="Q174" i="8"/>
  <c r="AL177" i="5"/>
  <c r="AL174" i="8"/>
  <c r="BQ368" i="8"/>
  <c r="BQ388" i="8" s="1"/>
  <c r="BM368" i="8"/>
  <c r="BM388" i="8" s="1"/>
  <c r="BI368" i="8"/>
  <c r="BI388" i="8" s="1"/>
  <c r="BE368" i="8"/>
  <c r="BE388" i="8" s="1"/>
  <c r="BA368" i="8"/>
  <c r="BA388" i="8" s="1"/>
  <c r="AW368" i="8"/>
  <c r="AW388" i="8" s="1"/>
  <c r="AS368" i="8"/>
  <c r="AS388" i="8" s="1"/>
  <c r="AO368" i="8"/>
  <c r="AO388" i="8" s="1"/>
  <c r="AK368" i="8"/>
  <c r="AK388" i="8" s="1"/>
  <c r="AG368" i="8"/>
  <c r="AG388" i="8" s="1"/>
  <c r="AC368" i="8"/>
  <c r="AC388" i="8" s="1"/>
  <c r="Y368" i="8"/>
  <c r="Y388" i="8" s="1"/>
  <c r="U368" i="8"/>
  <c r="U388" i="8" s="1"/>
  <c r="Q368" i="8"/>
  <c r="Q388" i="8" s="1"/>
  <c r="M368" i="8"/>
  <c r="M388" i="8" s="1"/>
  <c r="BP368" i="8"/>
  <c r="BP388" i="8" s="1"/>
  <c r="BL368" i="8"/>
  <c r="BL388" i="8" s="1"/>
  <c r="BH368" i="8"/>
  <c r="BH388" i="8" s="1"/>
  <c r="BD368" i="8"/>
  <c r="BD388" i="8" s="1"/>
  <c r="AZ368" i="8"/>
  <c r="AZ388" i="8" s="1"/>
  <c r="AV368" i="8"/>
  <c r="AV388" i="8" s="1"/>
  <c r="AR368" i="8"/>
  <c r="AR388" i="8" s="1"/>
  <c r="AN368" i="8"/>
  <c r="AN388" i="8" s="1"/>
  <c r="AJ368" i="8"/>
  <c r="AJ388" i="8" s="1"/>
  <c r="AF368" i="8"/>
  <c r="AF388" i="8" s="1"/>
  <c r="AB368" i="8"/>
  <c r="AB388" i="8" s="1"/>
  <c r="X368" i="8"/>
  <c r="X388" i="8" s="1"/>
  <c r="T368" i="8"/>
  <c r="T388" i="8" s="1"/>
  <c r="P368" i="8"/>
  <c r="P388" i="8" s="1"/>
  <c r="BS368" i="8"/>
  <c r="BS388" i="8" s="1"/>
  <c r="BO368" i="8"/>
  <c r="BO388" i="8" s="1"/>
  <c r="BK368" i="8"/>
  <c r="BK388" i="8" s="1"/>
  <c r="BG368" i="8"/>
  <c r="BG388" i="8" s="1"/>
  <c r="BC368" i="8"/>
  <c r="BC388" i="8" s="1"/>
  <c r="AY368" i="8"/>
  <c r="AY388" i="8" s="1"/>
  <c r="AU368" i="8"/>
  <c r="AU388" i="8" s="1"/>
  <c r="AQ368" i="8"/>
  <c r="AQ388" i="8" s="1"/>
  <c r="AM368" i="8"/>
  <c r="AM388" i="8" s="1"/>
  <c r="AI368" i="8"/>
  <c r="AI388" i="8" s="1"/>
  <c r="AE368" i="8"/>
  <c r="AE388" i="8" s="1"/>
  <c r="AA368" i="8"/>
  <c r="AA388" i="8" s="1"/>
  <c r="W368" i="8"/>
  <c r="W388" i="8" s="1"/>
  <c r="S368" i="8"/>
  <c r="S388" i="8" s="1"/>
  <c r="O368" i="8"/>
  <c r="O388" i="8" s="1"/>
  <c r="BF368" i="8"/>
  <c r="BF388" i="8" s="1"/>
  <c r="AP368" i="8"/>
  <c r="AP388" i="8" s="1"/>
  <c r="Z368" i="8"/>
  <c r="Z388" i="8" s="1"/>
  <c r="BR368" i="8"/>
  <c r="BR388" i="8" s="1"/>
  <c r="BB368" i="8"/>
  <c r="BB388" i="8" s="1"/>
  <c r="AL368" i="8"/>
  <c r="AL388" i="8" s="1"/>
  <c r="V368" i="8"/>
  <c r="V388" i="8" s="1"/>
  <c r="BJ368" i="8"/>
  <c r="BJ388" i="8" s="1"/>
  <c r="AD368" i="8"/>
  <c r="AD388" i="8" s="1"/>
  <c r="AX368" i="8"/>
  <c r="AX388" i="8" s="1"/>
  <c r="R368" i="8"/>
  <c r="R388" i="8" s="1"/>
  <c r="AT368" i="8"/>
  <c r="AT388" i="8" s="1"/>
  <c r="N368" i="8"/>
  <c r="N388" i="8" s="1"/>
  <c r="BN368" i="8"/>
  <c r="BN388" i="8" s="1"/>
  <c r="AH368" i="8"/>
  <c r="AH388" i="8" s="1"/>
  <c r="BR396" i="8"/>
  <c r="BN396" i="8"/>
  <c r="BJ396" i="8"/>
  <c r="BF396" i="8"/>
  <c r="BB396" i="8"/>
  <c r="AX396" i="8"/>
  <c r="AT396" i="8"/>
  <c r="AP396" i="8"/>
  <c r="AL396" i="8"/>
  <c r="AH396" i="8"/>
  <c r="AD396" i="8"/>
  <c r="Z396" i="8"/>
  <c r="V396" i="8"/>
  <c r="R396" i="8"/>
  <c r="N396" i="8"/>
  <c r="BO396" i="8"/>
  <c r="BI396" i="8"/>
  <c r="BD396" i="8"/>
  <c r="AY396" i="8"/>
  <c r="AS396" i="8"/>
  <c r="AN396" i="8"/>
  <c r="AI396" i="8"/>
  <c r="AC396" i="8"/>
  <c r="X396" i="8"/>
  <c r="S396" i="8"/>
  <c r="M396" i="8"/>
  <c r="BS396" i="8"/>
  <c r="BM396" i="8"/>
  <c r="BH396" i="8"/>
  <c r="BC396" i="8"/>
  <c r="AW396" i="8"/>
  <c r="AR396" i="8"/>
  <c r="AM396" i="8"/>
  <c r="AG396" i="8"/>
  <c r="AB396" i="8"/>
  <c r="W396" i="8"/>
  <c r="Q396" i="8"/>
  <c r="BQ396" i="8"/>
  <c r="BL396" i="8"/>
  <c r="BG396" i="8"/>
  <c r="BA396" i="8"/>
  <c r="AV396" i="8"/>
  <c r="AQ396" i="8"/>
  <c r="AK396" i="8"/>
  <c r="AF396" i="8"/>
  <c r="AA396" i="8"/>
  <c r="U396" i="8"/>
  <c r="P396" i="8"/>
  <c r="AZ396" i="8"/>
  <c r="AE396" i="8"/>
  <c r="BP396" i="8"/>
  <c r="AU396" i="8"/>
  <c r="Y396" i="8"/>
  <c r="AJ396" i="8"/>
  <c r="BK396" i="8"/>
  <c r="T396" i="8"/>
  <c r="BE396" i="8"/>
  <c r="O396" i="8"/>
  <c r="AO396" i="8"/>
  <c r="V177" i="5"/>
  <c r="V174" i="8"/>
  <c r="AC177" i="5"/>
  <c r="AC174" i="8"/>
  <c r="BM177" i="5"/>
  <c r="BM174" i="8"/>
  <c r="AP177" i="5"/>
  <c r="AP174" i="8"/>
  <c r="BJ177" i="5"/>
  <c r="BJ174" i="8"/>
  <c r="AE177" i="5"/>
  <c r="AE174" i="8"/>
  <c r="BA177" i="5"/>
  <c r="BA174" i="8"/>
  <c r="BO177" i="5"/>
  <c r="BO174" i="8"/>
  <c r="AU177" i="5"/>
  <c r="AU174" i="8"/>
  <c r="BK177" i="5"/>
  <c r="BK174" i="8"/>
  <c r="AZ177" i="5"/>
  <c r="AZ174" i="8"/>
  <c r="AB177" i="5"/>
  <c r="AB174" i="8"/>
  <c r="AK177" i="5"/>
  <c r="AK174" i="8"/>
  <c r="AI177" i="5"/>
  <c r="AI174" i="8"/>
  <c r="AQ177" i="5"/>
  <c r="AQ174" i="8"/>
  <c r="Z177" i="5"/>
  <c r="Z174" i="8"/>
  <c r="BQ177" i="5"/>
  <c r="BQ174" i="8"/>
  <c r="AW177" i="5"/>
  <c r="AW174" i="8"/>
  <c r="AT177" i="5"/>
  <c r="AT174" i="8"/>
  <c r="BD177" i="5"/>
  <c r="BD174" i="8"/>
  <c r="BR177" i="5"/>
  <c r="BR174" i="8"/>
  <c r="Y177" i="5"/>
  <c r="Y174" i="8"/>
  <c r="S177" i="5"/>
  <c r="S174" i="8"/>
  <c r="AR177" i="5"/>
  <c r="AR174" i="8"/>
  <c r="AF177" i="5"/>
  <c r="AF174" i="8"/>
  <c r="AM177" i="5"/>
  <c r="AM174" i="8"/>
  <c r="BS394" i="8"/>
  <c r="BQ394" i="8"/>
  <c r="BM394" i="8"/>
  <c r="BI394" i="8"/>
  <c r="BE394" i="8"/>
  <c r="BA394" i="8"/>
  <c r="AW394" i="8"/>
  <c r="AS394" i="8"/>
  <c r="AO394" i="8"/>
  <c r="AK394" i="8"/>
  <c r="AG394" i="8"/>
  <c r="AC394" i="8"/>
  <c r="Y394" i="8"/>
  <c r="U394" i="8"/>
  <c r="Q394" i="8"/>
  <c r="M394" i="8"/>
  <c r="BS374" i="8"/>
  <c r="BO374" i="8"/>
  <c r="BK374" i="8"/>
  <c r="BG374" i="8"/>
  <c r="BC374" i="8"/>
  <c r="AY374" i="8"/>
  <c r="AU374" i="8"/>
  <c r="AQ374" i="8"/>
  <c r="AM374" i="8"/>
  <c r="AI374" i="8"/>
  <c r="AE374" i="8"/>
  <c r="AA374" i="8"/>
  <c r="W374" i="8"/>
  <c r="S374" i="8"/>
  <c r="O374" i="8"/>
  <c r="BP394" i="8"/>
  <c r="BL394" i="8"/>
  <c r="BH394" i="8"/>
  <c r="BD394" i="8"/>
  <c r="AZ394" i="8"/>
  <c r="AV394" i="8"/>
  <c r="AR394" i="8"/>
  <c r="AN394" i="8"/>
  <c r="AJ394" i="8"/>
  <c r="AF394" i="8"/>
  <c r="AB394" i="8"/>
  <c r="X394" i="8"/>
  <c r="T394" i="8"/>
  <c r="P394" i="8"/>
  <c r="BR374" i="8"/>
  <c r="BN374" i="8"/>
  <c r="BJ374" i="8"/>
  <c r="BF374" i="8"/>
  <c r="BB374" i="8"/>
  <c r="AX374" i="8"/>
  <c r="AT374" i="8"/>
  <c r="AP374" i="8"/>
  <c r="AL374" i="8"/>
  <c r="AH374" i="8"/>
  <c r="AD374" i="8"/>
  <c r="Z374" i="8"/>
  <c r="V374" i="8"/>
  <c r="R374" i="8"/>
  <c r="N374" i="8"/>
  <c r="BO394" i="8"/>
  <c r="BK394" i="8"/>
  <c r="BG394" i="8"/>
  <c r="BC394" i="8"/>
  <c r="AY394" i="8"/>
  <c r="AU394" i="8"/>
  <c r="AQ394" i="8"/>
  <c r="AM394" i="8"/>
  <c r="AI394" i="8"/>
  <c r="AE394" i="8"/>
  <c r="AA394" i="8"/>
  <c r="W394" i="8"/>
  <c r="S394" i="8"/>
  <c r="O394" i="8"/>
  <c r="BQ374" i="8"/>
  <c r="BM374" i="8"/>
  <c r="BI374" i="8"/>
  <c r="BE374" i="8"/>
  <c r="BA374" i="8"/>
  <c r="AW374" i="8"/>
  <c r="AS374" i="8"/>
  <c r="AO374" i="8"/>
  <c r="AK374" i="8"/>
  <c r="AG374" i="8"/>
  <c r="AC374" i="8"/>
  <c r="Y374" i="8"/>
  <c r="U374" i="8"/>
  <c r="Q374" i="8"/>
  <c r="M374" i="8"/>
  <c r="BR394" i="8"/>
  <c r="BB394" i="8"/>
  <c r="AL394" i="8"/>
  <c r="V394" i="8"/>
  <c r="BP374" i="8"/>
  <c r="AZ374" i="8"/>
  <c r="AJ374" i="8"/>
  <c r="T374" i="8"/>
  <c r="BN394" i="8"/>
  <c r="AX394" i="8"/>
  <c r="AH394" i="8"/>
  <c r="R394" i="8"/>
  <c r="BL374" i="8"/>
  <c r="AV374" i="8"/>
  <c r="AF374" i="8"/>
  <c r="P374" i="8"/>
  <c r="BF394" i="8"/>
  <c r="Z394" i="8"/>
  <c r="BD374" i="8"/>
  <c r="X374" i="8"/>
  <c r="AT394" i="8"/>
  <c r="N394" i="8"/>
  <c r="AR374" i="8"/>
  <c r="AP394" i="8"/>
  <c r="AN374" i="8"/>
  <c r="BJ394" i="8"/>
  <c r="AD394" i="8"/>
  <c r="BH374" i="8"/>
  <c r="AB374" i="8"/>
  <c r="L219" i="5"/>
  <c r="L210" i="8"/>
  <c r="L225" i="5"/>
  <c r="L216" i="8"/>
  <c r="BG177" i="5"/>
  <c r="BG174" i="8"/>
  <c r="AY177" i="5"/>
  <c r="AY174" i="8"/>
  <c r="BP177" i="5"/>
  <c r="BP174" i="8"/>
  <c r="BH177" i="5"/>
  <c r="BH174" i="8"/>
  <c r="AJ177" i="5"/>
  <c r="AJ174" i="8"/>
  <c r="AS177" i="5"/>
  <c r="AS174" i="8"/>
  <c r="X177" i="5"/>
  <c r="X174" i="8"/>
  <c r="AG177" i="5"/>
  <c r="AG174" i="8"/>
  <c r="W177" i="5"/>
  <c r="W174" i="8"/>
  <c r="AO177" i="5"/>
  <c r="AO174" i="8"/>
  <c r="AD177" i="5"/>
  <c r="AD174" i="8"/>
  <c r="BF177" i="5"/>
  <c r="BF174" i="8"/>
  <c r="BL177" i="5"/>
  <c r="BL174" i="8"/>
  <c r="BB177" i="5"/>
  <c r="BB174" i="8"/>
  <c r="BS177" i="5"/>
  <c r="BS174" i="8"/>
  <c r="O177" i="5"/>
  <c r="O174" i="8"/>
  <c r="N174" i="8"/>
  <c r="R177" i="5"/>
  <c r="R174" i="8"/>
  <c r="AH177" i="5"/>
  <c r="AH174" i="8"/>
  <c r="AX177" i="5"/>
  <c r="AX174" i="8"/>
  <c r="AN177" i="5"/>
  <c r="AN174" i="8"/>
  <c r="BE177" i="5"/>
  <c r="BE174" i="8"/>
  <c r="BC177" i="5"/>
  <c r="BC174" i="8"/>
  <c r="AA177" i="5"/>
  <c r="AA174" i="8"/>
  <c r="BI177" i="5"/>
  <c r="BI174" i="8"/>
  <c r="P177" i="5"/>
  <c r="P174" i="8"/>
  <c r="U177" i="5"/>
  <c r="U174" i="8"/>
  <c r="BN177" i="5"/>
  <c r="BN174" i="8"/>
  <c r="T177" i="5"/>
  <c r="T174" i="8"/>
  <c r="AW124" i="5"/>
  <c r="Z124" i="5"/>
  <c r="AJ124" i="5"/>
  <c r="AO124" i="5"/>
  <c r="AT124" i="5"/>
  <c r="AY124" i="5"/>
  <c r="BF124" i="5"/>
  <c r="BD124" i="5"/>
  <c r="BI124" i="5"/>
  <c r="BN124" i="5"/>
  <c r="BS124" i="5"/>
  <c r="BQ124" i="5"/>
  <c r="AR124" i="5"/>
  <c r="BB124" i="5"/>
  <c r="BG124" i="5"/>
  <c r="BL126" i="5"/>
  <c r="BR126" i="5"/>
  <c r="BG126" i="5"/>
  <c r="AA126" i="5"/>
  <c r="AO126" i="5"/>
  <c r="AJ126" i="5"/>
  <c r="W126" i="5"/>
  <c r="AZ126" i="5"/>
  <c r="AH126" i="5"/>
  <c r="BA126" i="5"/>
  <c r="AL126" i="5"/>
  <c r="R126" i="5"/>
  <c r="P126" i="5"/>
  <c r="AR126" i="5"/>
  <c r="X126" i="5"/>
  <c r="O124" i="5"/>
  <c r="BE124" i="5"/>
  <c r="AU124" i="5"/>
  <c r="R124" i="5"/>
  <c r="AP124" i="5"/>
  <c r="BM124" i="5"/>
  <c r="L124" i="5"/>
  <c r="BM126" i="5"/>
  <c r="AP126" i="5"/>
  <c r="AX126" i="5"/>
  <c r="AG126" i="5"/>
  <c r="AN126" i="5"/>
  <c r="BL124" i="5"/>
  <c r="BP124" i="5"/>
  <c r="S124" i="5"/>
  <c r="AF124" i="5"/>
  <c r="AC124" i="5"/>
  <c r="AH124" i="5"/>
  <c r="AV124" i="5"/>
  <c r="AE124" i="5"/>
  <c r="Q124" i="5"/>
  <c r="V124" i="5"/>
  <c r="AA124" i="5"/>
  <c r="AD126" i="5"/>
  <c r="BH126" i="5"/>
  <c r="BI126" i="5"/>
  <c r="U126" i="5"/>
  <c r="AW126" i="5"/>
  <c r="AC126" i="5"/>
  <c r="AV126" i="5"/>
  <c r="AI126" i="5"/>
  <c r="BB126" i="5"/>
  <c r="BJ126" i="5"/>
  <c r="BE126" i="5"/>
  <c r="BF126" i="5"/>
  <c r="BO126" i="5"/>
  <c r="AU126" i="5"/>
  <c r="AZ124" i="5"/>
  <c r="BJ124" i="5"/>
  <c r="BO124" i="5"/>
  <c r="M124" i="5"/>
  <c r="W124" i="5"/>
  <c r="P124" i="5"/>
  <c r="BH124" i="5"/>
  <c r="BR124" i="5"/>
  <c r="AQ126" i="5"/>
  <c r="BN126" i="5"/>
  <c r="BK126" i="5"/>
  <c r="Z126" i="5"/>
  <c r="M126" i="5"/>
  <c r="AF126" i="5"/>
  <c r="Q126" i="5"/>
  <c r="N126" i="5"/>
  <c r="BP126" i="5"/>
  <c r="BK124" i="5"/>
  <c r="N124" i="5"/>
  <c r="X124" i="5"/>
  <c r="AM124" i="5"/>
  <c r="O126" i="5"/>
  <c r="AK124" i="5"/>
  <c r="T124" i="5"/>
  <c r="Y124" i="5"/>
  <c r="AD124" i="5"/>
  <c r="AI124" i="5"/>
  <c r="BA124" i="5"/>
  <c r="AN124" i="5"/>
  <c r="AS124" i="5"/>
  <c r="AX124" i="5"/>
  <c r="BC124" i="5"/>
  <c r="U124" i="5"/>
  <c r="AB124" i="5"/>
  <c r="AG124" i="5"/>
  <c r="AL124" i="5"/>
  <c r="AQ124" i="5"/>
  <c r="BQ126" i="5"/>
  <c r="T126" i="5"/>
  <c r="AT126" i="5"/>
  <c r="BD126" i="5"/>
  <c r="AM126" i="5"/>
  <c r="AB126" i="5"/>
  <c r="Y126" i="5"/>
  <c r="AE126" i="5"/>
  <c r="BC126" i="5"/>
  <c r="S126" i="5"/>
  <c r="BS126" i="5"/>
  <c r="AY126" i="5"/>
  <c r="AK126" i="5"/>
  <c r="V126" i="5"/>
  <c r="AS126" i="5"/>
  <c r="M405" i="5"/>
  <c r="AC405" i="5"/>
  <c r="AS405" i="5"/>
  <c r="BI405" i="5"/>
  <c r="T405" i="5"/>
  <c r="AV405" i="5"/>
  <c r="N405" i="5"/>
  <c r="AD405" i="5"/>
  <c r="AT405" i="5"/>
  <c r="BJ405" i="5"/>
  <c r="S405" i="5"/>
  <c r="AI405" i="5"/>
  <c r="BC405" i="5"/>
  <c r="BS405" i="5"/>
  <c r="AR405" i="5"/>
  <c r="BA405" i="5"/>
  <c r="AB405" i="5"/>
  <c r="O405" i="5"/>
  <c r="Q405" i="5"/>
  <c r="AG405" i="5"/>
  <c r="AW405" i="5"/>
  <c r="BM405" i="5"/>
  <c r="X405" i="5"/>
  <c r="AZ405" i="5"/>
  <c r="R405" i="5"/>
  <c r="AH405" i="5"/>
  <c r="AX405" i="5"/>
  <c r="BN405" i="5"/>
  <c r="W405" i="5"/>
  <c r="AM405" i="5"/>
  <c r="BG405" i="5"/>
  <c r="P405" i="5"/>
  <c r="BD405" i="5"/>
  <c r="AK405" i="5"/>
  <c r="BQ405" i="5"/>
  <c r="AF405" i="5"/>
  <c r="V405" i="5"/>
  <c r="AL405" i="5"/>
  <c r="BB405" i="5"/>
  <c r="AA405" i="5"/>
  <c r="AU405" i="5"/>
  <c r="BL405" i="5"/>
  <c r="AJ405" i="5"/>
  <c r="U405" i="5"/>
  <c r="BH405" i="5"/>
  <c r="BR405" i="5"/>
  <c r="BK405" i="5"/>
  <c r="L382" i="5"/>
  <c r="Y405" i="5"/>
  <c r="AO405" i="5"/>
  <c r="BE405" i="5"/>
  <c r="AQ405" i="5"/>
  <c r="AN405" i="5"/>
  <c r="BP405" i="5"/>
  <c r="Z405" i="5"/>
  <c r="AP405" i="5"/>
  <c r="BF405" i="5"/>
  <c r="AE405" i="5"/>
  <c r="AY405" i="5"/>
  <c r="BO405" i="5"/>
  <c r="N177" i="5"/>
  <c r="I160" i="5"/>
  <c r="L190" i="5" a="1"/>
  <c r="L190" i="5" s="1"/>
  <c r="I193" i="5"/>
  <c r="L375" i="5"/>
  <c r="I375" i="5" s="1"/>
  <c r="S377" i="5"/>
  <c r="S397" i="5" s="1"/>
  <c r="AF377" i="5"/>
  <c r="AF397" i="5" s="1"/>
  <c r="AK377" i="5"/>
  <c r="AK397" i="5" s="1"/>
  <c r="AN377" i="5"/>
  <c r="AN397" i="5" s="1"/>
  <c r="AP377" i="5"/>
  <c r="AP397" i="5" s="1"/>
  <c r="AB377" i="5"/>
  <c r="AB397" i="5" s="1"/>
  <c r="X377" i="5"/>
  <c r="X397" i="5" s="1"/>
  <c r="BM377" i="5"/>
  <c r="BM397" i="5" s="1"/>
  <c r="BR377" i="5"/>
  <c r="BR397" i="5" s="1"/>
  <c r="BL377" i="5"/>
  <c r="BL397" i="5" s="1"/>
  <c r="BO377" i="5"/>
  <c r="BO397" i="5" s="1"/>
  <c r="AH377" i="5"/>
  <c r="AH397" i="5" s="1"/>
  <c r="BI377" i="5"/>
  <c r="BI397" i="5" s="1"/>
  <c r="AX377" i="5"/>
  <c r="AX397" i="5" s="1"/>
  <c r="N377" i="5"/>
  <c r="N397" i="5" s="1"/>
  <c r="AT377" i="5"/>
  <c r="AT397" i="5" s="1"/>
  <c r="AQ377" i="5"/>
  <c r="AQ397" i="5" s="1"/>
  <c r="AG377" i="5"/>
  <c r="AG397" i="5" s="1"/>
  <c r="BQ377" i="5"/>
  <c r="BQ397" i="5" s="1"/>
  <c r="AS377" i="5"/>
  <c r="AS397" i="5" s="1"/>
  <c r="AY377" i="5"/>
  <c r="AY397" i="5" s="1"/>
  <c r="AA377" i="5"/>
  <c r="AA397" i="5" s="1"/>
  <c r="AL377" i="5"/>
  <c r="AL397" i="5" s="1"/>
  <c r="U377" i="5"/>
  <c r="U397" i="5" s="1"/>
  <c r="AZ377" i="5"/>
  <c r="AZ397" i="5" s="1"/>
  <c r="P377" i="5"/>
  <c r="P397" i="5" s="1"/>
  <c r="AE377" i="5"/>
  <c r="AE397" i="5" s="1"/>
  <c r="Q377" i="5"/>
  <c r="Q397" i="5" s="1"/>
  <c r="AM377" i="5"/>
  <c r="AM397" i="5" s="1"/>
  <c r="AD377" i="5"/>
  <c r="AD397" i="5" s="1"/>
  <c r="BB377" i="5"/>
  <c r="BB397" i="5" s="1"/>
  <c r="R377" i="5"/>
  <c r="R397" i="5" s="1"/>
  <c r="BS377" i="5"/>
  <c r="BS397" i="5" s="1"/>
  <c r="BH377" i="5"/>
  <c r="BH397" i="5" s="1"/>
  <c r="AC377" i="5"/>
  <c r="AC397" i="5" s="1"/>
  <c r="Y377" i="5"/>
  <c r="Y397" i="5" s="1"/>
  <c r="BP377" i="5"/>
  <c r="BP397" i="5" s="1"/>
  <c r="BK377" i="5"/>
  <c r="BK397" i="5" s="1"/>
  <c r="BA377" i="5"/>
  <c r="BA397" i="5" s="1"/>
  <c r="AO377" i="5"/>
  <c r="AO397" i="5" s="1"/>
  <c r="AU377" i="5"/>
  <c r="AU397" i="5" s="1"/>
  <c r="V377" i="5"/>
  <c r="V397" i="5" s="1"/>
  <c r="Z377" i="5"/>
  <c r="Z397" i="5" s="1"/>
  <c r="AV377" i="5"/>
  <c r="AV397" i="5" s="1"/>
  <c r="BD377" i="5"/>
  <c r="BD397" i="5" s="1"/>
  <c r="W377" i="5"/>
  <c r="W397" i="5" s="1"/>
  <c r="AW377" i="5"/>
  <c r="AW397" i="5" s="1"/>
  <c r="AR377" i="5"/>
  <c r="AR397" i="5" s="1"/>
  <c r="BN377" i="5"/>
  <c r="BN397" i="5" s="1"/>
  <c r="BC377" i="5"/>
  <c r="BC397" i="5" s="1"/>
  <c r="T377" i="5"/>
  <c r="T397" i="5" s="1"/>
  <c r="BF377" i="5"/>
  <c r="BF397" i="5" s="1"/>
  <c r="O377" i="5"/>
  <c r="O397" i="5" s="1"/>
  <c r="BE377" i="5"/>
  <c r="BE397" i="5" s="1"/>
  <c r="AJ377" i="5"/>
  <c r="AJ397" i="5" s="1"/>
  <c r="AI377" i="5"/>
  <c r="AI397" i="5" s="1"/>
  <c r="BG377" i="5"/>
  <c r="BG397" i="5" s="1"/>
  <c r="BJ377" i="5"/>
  <c r="BJ397" i="5" s="1"/>
  <c r="I192" i="5"/>
  <c r="Q403" i="5"/>
  <c r="AG403" i="5"/>
  <c r="AW403" i="5"/>
  <c r="BM403" i="5"/>
  <c r="BG403" i="5"/>
  <c r="AF403" i="5"/>
  <c r="BL403" i="5"/>
  <c r="Z403" i="5"/>
  <c r="AP403" i="5"/>
  <c r="BF403" i="5"/>
  <c r="O403" i="5"/>
  <c r="AI403" i="5"/>
  <c r="BC403" i="5"/>
  <c r="AB403" i="5"/>
  <c r="BH403" i="5"/>
  <c r="Q383" i="5"/>
  <c r="AG383" i="5"/>
  <c r="AW383" i="5"/>
  <c r="BM383" i="5"/>
  <c r="V383" i="5"/>
  <c r="AL383" i="5"/>
  <c r="BB383" i="5"/>
  <c r="BR383" i="5"/>
  <c r="AA383" i="5"/>
  <c r="AQ383" i="5"/>
  <c r="BG383" i="5"/>
  <c r="P383" i="5"/>
  <c r="AF383" i="5"/>
  <c r="AV383" i="5"/>
  <c r="BL383" i="5"/>
  <c r="BE403" i="5"/>
  <c r="P403" i="5"/>
  <c r="R403" i="5"/>
  <c r="BN403" i="5"/>
  <c r="AQ403" i="5"/>
  <c r="L380" i="5"/>
  <c r="BE383" i="5"/>
  <c r="AD383" i="5"/>
  <c r="BJ383" i="5"/>
  <c r="AY383" i="5"/>
  <c r="X383" i="5"/>
  <c r="M403" i="5"/>
  <c r="AS403" i="5"/>
  <c r="X403" i="5"/>
  <c r="BB403" i="5"/>
  <c r="AU403" i="5"/>
  <c r="M383" i="5"/>
  <c r="AS383" i="5"/>
  <c r="R383" i="5"/>
  <c r="BN383" i="5"/>
  <c r="AM383" i="5"/>
  <c r="AB383" i="5"/>
  <c r="U403" i="5"/>
  <c r="AK403" i="5"/>
  <c r="BA403" i="5"/>
  <c r="BQ403" i="5"/>
  <c r="BO403" i="5"/>
  <c r="AN403" i="5"/>
  <c r="N403" i="5"/>
  <c r="AD403" i="5"/>
  <c r="AT403" i="5"/>
  <c r="BJ403" i="5"/>
  <c r="S403" i="5"/>
  <c r="AM403" i="5"/>
  <c r="BK403" i="5"/>
  <c r="AJ403" i="5"/>
  <c r="BP403" i="5"/>
  <c r="U383" i="5"/>
  <c r="AK383" i="5"/>
  <c r="BA383" i="5"/>
  <c r="BQ383" i="5"/>
  <c r="Z383" i="5"/>
  <c r="AP383" i="5"/>
  <c r="BF383" i="5"/>
  <c r="O383" i="5"/>
  <c r="AE383" i="5"/>
  <c r="AU383" i="5"/>
  <c r="BK383" i="5"/>
  <c r="T383" i="5"/>
  <c r="AJ383" i="5"/>
  <c r="AZ383" i="5"/>
  <c r="BP383" i="5"/>
  <c r="Y403" i="5"/>
  <c r="W403" i="5"/>
  <c r="AV403" i="5"/>
  <c r="AH403" i="5"/>
  <c r="AA403" i="5"/>
  <c r="AR403" i="5"/>
  <c r="Y383" i="5"/>
  <c r="N383" i="5"/>
  <c r="AT383" i="5"/>
  <c r="AI383" i="5"/>
  <c r="BO383" i="5"/>
  <c r="BD383" i="5"/>
  <c r="BI403" i="5"/>
  <c r="BD403" i="5"/>
  <c r="AL403" i="5"/>
  <c r="AE403" i="5"/>
  <c r="T403" i="5"/>
  <c r="AC383" i="5"/>
  <c r="AH383" i="5"/>
  <c r="W383" i="5"/>
  <c r="BS383" i="5"/>
  <c r="AR383" i="5"/>
  <c r="AO403" i="5"/>
  <c r="AX403" i="5"/>
  <c r="BS403" i="5"/>
  <c r="AO383" i="5"/>
  <c r="S383" i="5"/>
  <c r="AN383" i="5"/>
  <c r="AC403" i="5"/>
  <c r="AY403" i="5"/>
  <c r="V403" i="5"/>
  <c r="BR403" i="5"/>
  <c r="AZ403" i="5"/>
  <c r="BI383" i="5"/>
  <c r="AX383" i="5"/>
  <c r="BC383" i="5"/>
  <c r="BH383" i="5"/>
  <c r="M377" i="5"/>
  <c r="M397" i="5" s="1"/>
  <c r="L376" i="5"/>
  <c r="Q527" i="23" l="1"/>
  <c r="Q533" i="23"/>
  <c r="P98" i="25" a="1"/>
  <c r="P98" i="25" s="1"/>
  <c r="P26" i="25" a="1"/>
  <c r="P26" i="25" s="1"/>
  <c r="N93" i="25"/>
  <c r="Q50" i="21"/>
  <c r="AI50" i="21" s="1"/>
  <c r="AZ527" i="23"/>
  <c r="AO535" i="23"/>
  <c r="BP533" i="23"/>
  <c r="BP527" i="23"/>
  <c r="BE527" i="23"/>
  <c r="AR527" i="23"/>
  <c r="Y533" i="23"/>
  <c r="BS527" i="23"/>
  <c r="R527" i="23"/>
  <c r="BI535" i="23"/>
  <c r="AQ527" i="23"/>
  <c r="AJ527" i="23"/>
  <c r="Y527" i="23"/>
  <c r="AZ533" i="23"/>
  <c r="BJ527" i="23"/>
  <c r="X527" i="23"/>
  <c r="W527" i="23"/>
  <c r="U533" i="23"/>
  <c r="BM527" i="23"/>
  <c r="AF529" i="23"/>
  <c r="BM533" i="23"/>
  <c r="R533" i="23"/>
  <c r="AV527" i="23"/>
  <c r="BE533" i="23"/>
  <c r="BD527" i="23"/>
  <c r="U527" i="23"/>
  <c r="BD535" i="23"/>
  <c r="AO533" i="23"/>
  <c r="BD533" i="23"/>
  <c r="AR533" i="23"/>
  <c r="AO527" i="23"/>
  <c r="BD529" i="23"/>
  <c r="BD539" i="23"/>
  <c r="BD531" i="23"/>
  <c r="BD537" i="23"/>
  <c r="AO537" i="23"/>
  <c r="AO529" i="23"/>
  <c r="AO539" i="23"/>
  <c r="AO531" i="23"/>
  <c r="AA535" i="23"/>
  <c r="BN535" i="23"/>
  <c r="AF527" i="23"/>
  <c r="BO535" i="23"/>
  <c r="Z527" i="23"/>
  <c r="AS527" i="23"/>
  <c r="AA527" i="23"/>
  <c r="BO527" i="23"/>
  <c r="BO533" i="23"/>
  <c r="AA533" i="23"/>
  <c r="BN533" i="23"/>
  <c r="BN527" i="23"/>
  <c r="AS533" i="23"/>
  <c r="AF535" i="23"/>
  <c r="AF537" i="23"/>
  <c r="AQ533" i="23"/>
  <c r="BJ533" i="23"/>
  <c r="AF531" i="23"/>
  <c r="BO539" i="23"/>
  <c r="BO531" i="23"/>
  <c r="BO537" i="23"/>
  <c r="BO529" i="23"/>
  <c r="AT527" i="23"/>
  <c r="AV533" i="23"/>
  <c r="AU527" i="23"/>
  <c r="BN539" i="23"/>
  <c r="BN531" i="23"/>
  <c r="BN537" i="23"/>
  <c r="BN529" i="23"/>
  <c r="Z533" i="23"/>
  <c r="AC527" i="23"/>
  <c r="AA537" i="23"/>
  <c r="AA539" i="23"/>
  <c r="AA529" i="23"/>
  <c r="AA531" i="23"/>
  <c r="AK533" i="23"/>
  <c r="AK527" i="23"/>
  <c r="BI527" i="23"/>
  <c r="BK533" i="23"/>
  <c r="AT533" i="23"/>
  <c r="AF533" i="23"/>
  <c r="BK527" i="23"/>
  <c r="AU533" i="23"/>
  <c r="AJ533" i="23"/>
  <c r="BL527" i="23"/>
  <c r="AN304" i="20"/>
  <c r="AC533" i="23"/>
  <c r="BI533" i="23"/>
  <c r="BS533" i="23"/>
  <c r="BI529" i="23"/>
  <c r="BI537" i="23"/>
  <c r="BI531" i="23"/>
  <c r="BI539" i="23"/>
  <c r="V533" i="23"/>
  <c r="W533" i="23"/>
  <c r="V527" i="23"/>
  <c r="AN527" i="23"/>
  <c r="BL533" i="23"/>
  <c r="M136" i="15"/>
  <c r="N136" i="15" s="1"/>
  <c r="N323" i="15" s="1"/>
  <c r="AN533" i="23"/>
  <c r="X533" i="23"/>
  <c r="Z366" i="20"/>
  <c r="Z378" i="20" s="1"/>
  <c r="AN335" i="20"/>
  <c r="AN502" i="20" s="1"/>
  <c r="BC366" i="20"/>
  <c r="BC378" i="20" s="1"/>
  <c r="BC335" i="20"/>
  <c r="BC502" i="20" s="1"/>
  <c r="AN365" i="20"/>
  <c r="Z304" i="20"/>
  <c r="Z335" i="20"/>
  <c r="Z502" i="20" s="1"/>
  <c r="AM304" i="20"/>
  <c r="BM367" i="20"/>
  <c r="BM384" i="20" s="1"/>
  <c r="BM366" i="20"/>
  <c r="BM378" i="20" s="1"/>
  <c r="BM298" i="20"/>
  <c r="BM304" i="20"/>
  <c r="BM334" i="20"/>
  <c r="BM365" i="20"/>
  <c r="BM335" i="20"/>
  <c r="BM502" i="20" s="1"/>
  <c r="AS335" i="20"/>
  <c r="AS502" i="20" s="1"/>
  <c r="AS298" i="20"/>
  <c r="AK334" i="20"/>
  <c r="AB366" i="20"/>
  <c r="AB378" i="20" s="1"/>
  <c r="AB304" i="20"/>
  <c r="AB298" i="20"/>
  <c r="AB335" i="20"/>
  <c r="AB502" i="20" s="1"/>
  <c r="AK366" i="20"/>
  <c r="AK378" i="20" s="1"/>
  <c r="AB365" i="20"/>
  <c r="AK304" i="20"/>
  <c r="AB334" i="20"/>
  <c r="BJ367" i="20"/>
  <c r="BJ384" i="20" s="1"/>
  <c r="BJ365" i="20"/>
  <c r="T304" i="20"/>
  <c r="T335" i="20"/>
  <c r="T502" i="20" s="1"/>
  <c r="T298" i="20"/>
  <c r="T334" i="20"/>
  <c r="T366" i="20"/>
  <c r="T378" i="20" s="1"/>
  <c r="AI304" i="20"/>
  <c r="AJ335" i="20"/>
  <c r="AJ502" i="20" s="1"/>
  <c r="AJ365" i="20"/>
  <c r="T365" i="20"/>
  <c r="AK298" i="20"/>
  <c r="AA334" i="20"/>
  <c r="BN366" i="20"/>
  <c r="BN378" i="20" s="1"/>
  <c r="Z365" i="20"/>
  <c r="AN366" i="20"/>
  <c r="AN378" i="20" s="1"/>
  <c r="BN298" i="20"/>
  <c r="Z298" i="20"/>
  <c r="AN298" i="20"/>
  <c r="AK335" i="20"/>
  <c r="AK502" i="20" s="1"/>
  <c r="Z334" i="20"/>
  <c r="AN334" i="20"/>
  <c r="AM366" i="20"/>
  <c r="AM378" i="20" s="1"/>
  <c r="AA365" i="20"/>
  <c r="AK367" i="20"/>
  <c r="AK384" i="20" s="1"/>
  <c r="V304" i="20"/>
  <c r="BP445" i="20"/>
  <c r="AS366" i="20"/>
  <c r="AS378" i="20" s="1"/>
  <c r="V366" i="20"/>
  <c r="V378" i="20" s="1"/>
  <c r="AS334" i="20"/>
  <c r="AS367" i="20"/>
  <c r="AS384" i="20" s="1"/>
  <c r="AS304" i="20"/>
  <c r="O298" i="20"/>
  <c r="W304" i="20"/>
  <c r="U335" i="20"/>
  <c r="U502" i="20" s="1"/>
  <c r="U366" i="20"/>
  <c r="U378" i="20" s="1"/>
  <c r="O335" i="20"/>
  <c r="O502" i="20" s="1"/>
  <c r="U298" i="20"/>
  <c r="O365" i="20"/>
  <c r="AL304" i="20"/>
  <c r="U334" i="20"/>
  <c r="O334" i="20"/>
  <c r="M335" i="20"/>
  <c r="M502" i="20" s="1"/>
  <c r="AF335" i="20"/>
  <c r="AF502" i="20" s="1"/>
  <c r="M366" i="20"/>
  <c r="M378" i="20" s="1"/>
  <c r="AV445" i="20"/>
  <c r="I422" i="20"/>
  <c r="AL298" i="20"/>
  <c r="AU304" i="20"/>
  <c r="M304" i="20"/>
  <c r="AF304" i="20"/>
  <c r="AL335" i="20"/>
  <c r="AL502" i="20" s="1"/>
  <c r="M334" i="20"/>
  <c r="M365" i="20"/>
  <c r="U367" i="20"/>
  <c r="U384" i="20" s="1"/>
  <c r="AG445" i="20"/>
  <c r="AL50" i="21"/>
  <c r="AJ417" i="20"/>
  <c r="AJ437" i="20" s="1"/>
  <c r="U304" i="20"/>
  <c r="O304" i="20"/>
  <c r="M298" i="20"/>
  <c r="AL334" i="20"/>
  <c r="BK335" i="20"/>
  <c r="BK502" i="20" s="1"/>
  <c r="O366" i="20"/>
  <c r="O378" i="20" s="1"/>
  <c r="BP366" i="20"/>
  <c r="BP378" i="20" s="1"/>
  <c r="AL367" i="20"/>
  <c r="AL384" i="20" s="1"/>
  <c r="AL366" i="20"/>
  <c r="AL378" i="20" s="1"/>
  <c r="AF49" i="21"/>
  <c r="AC298" i="20"/>
  <c r="AZ335" i="20"/>
  <c r="AZ502" i="20" s="1"/>
  <c r="AZ366" i="20"/>
  <c r="AZ378" i="20" s="1"/>
  <c r="AZ304" i="20"/>
  <c r="AZ334" i="20"/>
  <c r="N335" i="20"/>
  <c r="N502" i="20" s="1"/>
  <c r="P365" i="20"/>
  <c r="AZ365" i="20"/>
  <c r="AQ304" i="20"/>
  <c r="AZ298" i="20"/>
  <c r="W335" i="20"/>
  <c r="W502" i="20" s="1"/>
  <c r="AO366" i="20"/>
  <c r="AO378" i="20" s="1"/>
  <c r="W367" i="20"/>
  <c r="W384" i="20" s="1"/>
  <c r="AJ304" i="20"/>
  <c r="BI298" i="20"/>
  <c r="BC334" i="20"/>
  <c r="AJ334" i="20"/>
  <c r="AH334" i="20"/>
  <c r="AW334" i="20"/>
  <c r="BI334" i="20"/>
  <c r="BB334" i="20"/>
  <c r="X366" i="20"/>
  <c r="X378" i="20" s="1"/>
  <c r="BQ365" i="20"/>
  <c r="AG366" i="20"/>
  <c r="AG378" i="20" s="1"/>
  <c r="BN365" i="20"/>
  <c r="BC367" i="20"/>
  <c r="BC384" i="20" s="1"/>
  <c r="BC304" i="20"/>
  <c r="AJ298" i="20"/>
  <c r="X298" i="20"/>
  <c r="BB304" i="20"/>
  <c r="AG335" i="20"/>
  <c r="AG502" i="20" s="1"/>
  <c r="BN335" i="20"/>
  <c r="BN502" i="20" s="1"/>
  <c r="BC298" i="20"/>
  <c r="BN304" i="20"/>
  <c r="AP304" i="20"/>
  <c r="BN334" i="20"/>
  <c r="AJ366" i="20"/>
  <c r="AH366" i="20"/>
  <c r="AH378" i="20" s="1"/>
  <c r="BQ335" i="20"/>
  <c r="BQ502" i="20" s="1"/>
  <c r="BI366" i="20"/>
  <c r="BI378" i="20" s="1"/>
  <c r="BB367" i="20"/>
  <c r="BB384" i="20" s="1"/>
  <c r="AW367" i="20"/>
  <c r="AW384" i="20" s="1"/>
  <c r="AP48" i="21"/>
  <c r="AK48" i="21"/>
  <c r="R335" i="20"/>
  <c r="R502" i="20" s="1"/>
  <c r="BS417" i="20"/>
  <c r="BS437" i="20" s="1"/>
  <c r="V298" i="20"/>
  <c r="AM298" i="20"/>
  <c r="AA304" i="20"/>
  <c r="BO304" i="20"/>
  <c r="BO335" i="20"/>
  <c r="BO502" i="20" s="1"/>
  <c r="AM365" i="20"/>
  <c r="BO366" i="20"/>
  <c r="BO378" i="20" s="1"/>
  <c r="BL365" i="20"/>
  <c r="AD417" i="20"/>
  <c r="AD437" i="20" s="1"/>
  <c r="AA298" i="20"/>
  <c r="BO298" i="20"/>
  <c r="AY298" i="20"/>
  <c r="V335" i="20"/>
  <c r="V502" i="20" s="1"/>
  <c r="AM335" i="20"/>
  <c r="AM502" i="20" s="1"/>
  <c r="BO334" i="20"/>
  <c r="AY334" i="20"/>
  <c r="AY365" i="20"/>
  <c r="BO365" i="20"/>
  <c r="AT366" i="20"/>
  <c r="AT378" i="20" s="1"/>
  <c r="V367" i="20"/>
  <c r="V384" i="20" s="1"/>
  <c r="AX417" i="20"/>
  <c r="AX437" i="20" s="1"/>
  <c r="AV298" i="20"/>
  <c r="V334" i="20"/>
  <c r="AM334" i="20"/>
  <c r="BH335" i="20"/>
  <c r="BH502" i="20" s="1"/>
  <c r="AA335" i="20"/>
  <c r="AA502" i="20" s="1"/>
  <c r="AV334" i="20"/>
  <c r="AA366" i="20"/>
  <c r="AA378" i="20" s="1"/>
  <c r="BA367" i="20"/>
  <c r="BA384" i="20" s="1"/>
  <c r="BA298" i="20"/>
  <c r="BA366" i="20"/>
  <c r="BA378" i="20" s="1"/>
  <c r="W423" i="20"/>
  <c r="AE417" i="20"/>
  <c r="AE437" i="20" s="1"/>
  <c r="BR417" i="20"/>
  <c r="BR437" i="20" s="1"/>
  <c r="BE417" i="20"/>
  <c r="BE437" i="20" s="1"/>
  <c r="Y417" i="20"/>
  <c r="Y437" i="20" s="1"/>
  <c r="AQ298" i="20"/>
  <c r="AO304" i="20"/>
  <c r="W298" i="20"/>
  <c r="AQ335" i="20"/>
  <c r="AQ502" i="20" s="1"/>
  <c r="AR335" i="20"/>
  <c r="AR502" i="20" s="1"/>
  <c r="AO335" i="20"/>
  <c r="AO502" i="20" s="1"/>
  <c r="W334" i="20"/>
  <c r="BS366" i="20"/>
  <c r="AQ366" i="20"/>
  <c r="AQ378" i="20" s="1"/>
  <c r="X445" i="20"/>
  <c r="BG445" i="20"/>
  <c r="AM445" i="20"/>
  <c r="AR445" i="20"/>
  <c r="AC50" i="21"/>
  <c r="AO49" i="21"/>
  <c r="AK50" i="21"/>
  <c r="BM423" i="20"/>
  <c r="AV417" i="20"/>
  <c r="AV437" i="20" s="1"/>
  <c r="AW417" i="20"/>
  <c r="AW437" i="20" s="1"/>
  <c r="V417" i="20"/>
  <c r="V437" i="20" s="1"/>
  <c r="R417" i="20"/>
  <c r="R437" i="20" s="1"/>
  <c r="BS298" i="20"/>
  <c r="AO298" i="20"/>
  <c r="AQ334" i="20"/>
  <c r="AO334" i="20"/>
  <c r="W366" i="20"/>
  <c r="W378" i="20" s="1"/>
  <c r="AQ367" i="20"/>
  <c r="AQ384" i="20" s="1"/>
  <c r="BF445" i="20"/>
  <c r="AL445" i="20"/>
  <c r="R445" i="20"/>
  <c r="AD445" i="20"/>
  <c r="AA50" i="21"/>
  <c r="AN49" i="21"/>
  <c r="BF417" i="20"/>
  <c r="BF437" i="20" s="1"/>
  <c r="AN417" i="20"/>
  <c r="AN437" i="20" s="1"/>
  <c r="O417" i="20"/>
  <c r="O437" i="20" s="1"/>
  <c r="BP334" i="20"/>
  <c r="AD334" i="20"/>
  <c r="AO367" i="20"/>
  <c r="Q445" i="20"/>
  <c r="P445" i="20"/>
  <c r="O445" i="20"/>
  <c r="AA445" i="20"/>
  <c r="BD365" i="20"/>
  <c r="BD367" i="20"/>
  <c r="BD384" i="20" s="1"/>
  <c r="BD298" i="20"/>
  <c r="BG367" i="20"/>
  <c r="BG384" i="20" s="1"/>
  <c r="BG335" i="20"/>
  <c r="BG502" i="20" s="1"/>
  <c r="AI298" i="20"/>
  <c r="AH304" i="20"/>
  <c r="BH304" i="20"/>
  <c r="AP298" i="20"/>
  <c r="BB298" i="20"/>
  <c r="AF298" i="20"/>
  <c r="BQ334" i="20"/>
  <c r="AG334" i="20"/>
  <c r="X335" i="20"/>
  <c r="X502" i="20" s="1"/>
  <c r="BH334" i="20"/>
  <c r="AP335" i="20"/>
  <c r="AP502" i="20" s="1"/>
  <c r="AF334" i="20"/>
  <c r="AI366" i="20"/>
  <c r="AI378" i="20" s="1"/>
  <c r="AG365" i="20"/>
  <c r="AH365" i="20"/>
  <c r="BA365" i="20"/>
  <c r="BI365" i="20"/>
  <c r="Q39" i="21" a="1"/>
  <c r="Q39" i="21" s="1"/>
  <c r="AI39" i="21" s="1"/>
  <c r="AE50" i="21"/>
  <c r="AF50" i="21"/>
  <c r="AO48" i="21"/>
  <c r="AM50" i="21"/>
  <c r="AO50" i="21"/>
  <c r="Q48" i="21"/>
  <c r="AI48" i="21" s="1"/>
  <c r="BQ304" i="20"/>
  <c r="AG304" i="20"/>
  <c r="AH298" i="20"/>
  <c r="BH298" i="20"/>
  <c r="AW304" i="20"/>
  <c r="AI335" i="20"/>
  <c r="AI502" i="20" s="1"/>
  <c r="X334" i="20"/>
  <c r="BA335" i="20"/>
  <c r="BA502" i="20" s="1"/>
  <c r="AP334" i="20"/>
  <c r="AI365" i="20"/>
  <c r="AF366" i="20"/>
  <c r="AF378" i="20" s="1"/>
  <c r="AW366" i="20"/>
  <c r="AW378" i="20" s="1"/>
  <c r="BH366" i="20"/>
  <c r="BH378" i="20" s="1"/>
  <c r="AP366" i="20"/>
  <c r="AP378" i="20" s="1"/>
  <c r="AD50" i="21"/>
  <c r="AJ48" i="21"/>
  <c r="AL48" i="21"/>
  <c r="AJ50" i="21"/>
  <c r="AG50" i="21"/>
  <c r="BQ298" i="20"/>
  <c r="AG298" i="20"/>
  <c r="X304" i="20"/>
  <c r="BA304" i="20"/>
  <c r="AW298" i="20"/>
  <c r="BI304" i="20"/>
  <c r="AI334" i="20"/>
  <c r="AH335" i="20"/>
  <c r="AH502" i="20" s="1"/>
  <c r="BA334" i="20"/>
  <c r="AW335" i="20"/>
  <c r="AW502" i="20" s="1"/>
  <c r="BI335" i="20"/>
  <c r="BI502" i="20" s="1"/>
  <c r="BB335" i="20"/>
  <c r="BB502" i="20" s="1"/>
  <c r="BQ366" i="20"/>
  <c r="BQ378" i="20" s="1"/>
  <c r="AF365" i="20"/>
  <c r="BH365" i="20"/>
  <c r="AP365" i="20"/>
  <c r="BB366" i="20"/>
  <c r="BB378" i="20" s="1"/>
  <c r="X367" i="20"/>
  <c r="X384" i="20" s="1"/>
  <c r="AB50" i="21"/>
  <c r="AN48" i="21"/>
  <c r="AM48" i="21"/>
  <c r="AN50" i="21"/>
  <c r="AU423" i="20"/>
  <c r="N423" i="20"/>
  <c r="P304" i="20"/>
  <c r="BF304" i="20"/>
  <c r="Y304" i="20"/>
  <c r="BL335" i="20"/>
  <c r="BL502" i="20" s="1"/>
  <c r="AE365" i="20"/>
  <c r="Y365" i="20"/>
  <c r="BD423" i="20"/>
  <c r="T443" i="20"/>
  <c r="P298" i="20"/>
  <c r="AX304" i="20"/>
  <c r="P335" i="20"/>
  <c r="P502" i="20" s="1"/>
  <c r="AE335" i="20"/>
  <c r="AE502" i="20" s="1"/>
  <c r="AC335" i="20"/>
  <c r="AC502" i="20" s="1"/>
  <c r="AC367" i="20"/>
  <c r="AC384" i="20" s="1"/>
  <c r="BJ443" i="20"/>
  <c r="Q304" i="20"/>
  <c r="AC304" i="20"/>
  <c r="P334" i="20"/>
  <c r="AC334" i="20"/>
  <c r="P366" i="20"/>
  <c r="P378" i="20" s="1"/>
  <c r="AC366" i="20"/>
  <c r="AC378" i="20" s="1"/>
  <c r="AY423" i="20"/>
  <c r="AA423" i="20"/>
  <c r="X423" i="20"/>
  <c r="AD443" i="20"/>
  <c r="AG423" i="20"/>
  <c r="AM443" i="20"/>
  <c r="AT423" i="20"/>
  <c r="AZ443" i="20"/>
  <c r="BP417" i="20"/>
  <c r="BP437" i="20" s="1"/>
  <c r="BK417" i="20"/>
  <c r="BK437" i="20" s="1"/>
  <c r="AT417" i="20"/>
  <c r="AT437" i="20" s="1"/>
  <c r="BG417" i="20"/>
  <c r="BG437" i="20" s="1"/>
  <c r="AR417" i="20"/>
  <c r="AR437" i="20" s="1"/>
  <c r="AR490" i="20" s="1"/>
  <c r="AM417" i="20"/>
  <c r="AM437" i="20" s="1"/>
  <c r="AM490" i="20" s="1"/>
  <c r="AL417" i="20"/>
  <c r="AL437" i="20" s="1"/>
  <c r="BD417" i="20"/>
  <c r="BD437" i="20" s="1"/>
  <c r="BN417" i="20"/>
  <c r="BN437" i="20" s="1"/>
  <c r="BM417" i="20"/>
  <c r="BM437" i="20" s="1"/>
  <c r="S417" i="20"/>
  <c r="S437" i="20" s="1"/>
  <c r="Q417" i="20"/>
  <c r="Q437" i="20" s="1"/>
  <c r="AG417" i="20"/>
  <c r="AG437" i="20" s="1"/>
  <c r="AG490" i="20" s="1"/>
  <c r="BI417" i="20"/>
  <c r="BI437" i="20" s="1"/>
  <c r="U417" i="20"/>
  <c r="U437" i="20" s="1"/>
  <c r="BP298" i="20"/>
  <c r="AD298" i="20"/>
  <c r="AR298" i="20"/>
  <c r="BK298" i="20"/>
  <c r="R304" i="20"/>
  <c r="BD334" i="20"/>
  <c r="BS335" i="20"/>
  <c r="BS502" i="20" s="1"/>
  <c r="AU335" i="20"/>
  <c r="AU502" i="20" s="1"/>
  <c r="AD365" i="20"/>
  <c r="AR366" i="20"/>
  <c r="AR378" i="20" s="1"/>
  <c r="BK366" i="20"/>
  <c r="BK378" i="20" s="1"/>
  <c r="AU365" i="20"/>
  <c r="BD445" i="20"/>
  <c r="AU445" i="20"/>
  <c r="Z445" i="20"/>
  <c r="AC445" i="20"/>
  <c r="AJ445" i="20"/>
  <c r="BR445" i="20"/>
  <c r="BA445" i="20"/>
  <c r="M445" i="20"/>
  <c r="BS445" i="20"/>
  <c r="AX445" i="20"/>
  <c r="AW445" i="20"/>
  <c r="BO445" i="20"/>
  <c r="AI445" i="20"/>
  <c r="AS445" i="20"/>
  <c r="AY445" i="20"/>
  <c r="AD49" i="21"/>
  <c r="AB49" i="21"/>
  <c r="AM49" i="21"/>
  <c r="AP49" i="21"/>
  <c r="S423" i="20"/>
  <c r="AO443" i="20"/>
  <c r="AN423" i="20"/>
  <c r="AT443" i="20"/>
  <c r="AW423" i="20"/>
  <c r="BC443" i="20"/>
  <c r="BJ423" i="20"/>
  <c r="BP443" i="20"/>
  <c r="AZ417" i="20"/>
  <c r="AZ437" i="20" s="1"/>
  <c r="AU417" i="20"/>
  <c r="AU437" i="20" s="1"/>
  <c r="BL417" i="20"/>
  <c r="BL437" i="20" s="1"/>
  <c r="AQ417" i="20"/>
  <c r="AQ437" i="20" s="1"/>
  <c r="AB417" i="20"/>
  <c r="AB437" i="20" s="1"/>
  <c r="W417" i="20"/>
  <c r="W437" i="20" s="1"/>
  <c r="BA417" i="20"/>
  <c r="BA437" i="20" s="1"/>
  <c r="BO417" i="20"/>
  <c r="BO437" i="20" s="1"/>
  <c r="AI417" i="20"/>
  <c r="AI437" i="20" s="1"/>
  <c r="AC417" i="20"/>
  <c r="AC437" i="20" s="1"/>
  <c r="AP417" i="20"/>
  <c r="AP437" i="20" s="1"/>
  <c r="AO417" i="20"/>
  <c r="AO437" i="20" s="1"/>
  <c r="P417" i="20"/>
  <c r="P437" i="20" s="1"/>
  <c r="AH417" i="20"/>
  <c r="AH437" i="20" s="1"/>
  <c r="M417" i="20"/>
  <c r="M437" i="20" s="1"/>
  <c r="M490" i="20" s="1"/>
  <c r="BD304" i="20"/>
  <c r="BS304" i="20"/>
  <c r="R298" i="20"/>
  <c r="BP335" i="20"/>
  <c r="BP502" i="20" s="1"/>
  <c r="AD335" i="20"/>
  <c r="AD502" i="20" s="1"/>
  <c r="BS334" i="20"/>
  <c r="AU334" i="20"/>
  <c r="AR365" i="20"/>
  <c r="BK365" i="20"/>
  <c r="R366" i="20"/>
  <c r="R378" i="20" s="1"/>
  <c r="R367" i="20"/>
  <c r="R384" i="20" s="1"/>
  <c r="AN445" i="20"/>
  <c r="AE445" i="20"/>
  <c r="BQ445" i="20"/>
  <c r="BE445" i="20"/>
  <c r="T445" i="20"/>
  <c r="BB445" i="20"/>
  <c r="BM445" i="20"/>
  <c r="BM498" i="20" s="1"/>
  <c r="BL445" i="20"/>
  <c r="BC445" i="20"/>
  <c r="AH445" i="20"/>
  <c r="BI445" i="20"/>
  <c r="AT445" i="20"/>
  <c r="Y445" i="20"/>
  <c r="AB445" i="20"/>
  <c r="AB498" i="20" s="1"/>
  <c r="N445" i="20"/>
  <c r="AE49" i="21"/>
  <c r="AK49" i="21"/>
  <c r="AJ49" i="21"/>
  <c r="Q49" i="21"/>
  <c r="AI49" i="21" s="1"/>
  <c r="U443" i="20"/>
  <c r="AS443" i="20"/>
  <c r="N443" i="20"/>
  <c r="Q423" i="20"/>
  <c r="W443" i="20"/>
  <c r="AD423" i="20"/>
  <c r="AJ443" i="20"/>
  <c r="L417" i="20"/>
  <c r="L437" i="20" s="1"/>
  <c r="T417" i="20"/>
  <c r="T437" i="20" s="1"/>
  <c r="BJ417" i="20"/>
  <c r="BJ437" i="20" s="1"/>
  <c r="AF417" i="20"/>
  <c r="AF437" i="20" s="1"/>
  <c r="AF490" i="20" s="1"/>
  <c r="BH417" i="20"/>
  <c r="BH437" i="20" s="1"/>
  <c r="BC417" i="20"/>
  <c r="BC437" i="20" s="1"/>
  <c r="BB417" i="20"/>
  <c r="BB437" i="20" s="1"/>
  <c r="AS417" i="20"/>
  <c r="AS437" i="20" s="1"/>
  <c r="AY417" i="20"/>
  <c r="AY437" i="20" s="1"/>
  <c r="N417" i="20"/>
  <c r="N437" i="20" s="1"/>
  <c r="X417" i="20"/>
  <c r="X437" i="20" s="1"/>
  <c r="X490" i="20" s="1"/>
  <c r="AK417" i="20"/>
  <c r="AK437" i="20" s="1"/>
  <c r="Z417" i="20"/>
  <c r="Z437" i="20" s="1"/>
  <c r="Z490" i="20" s="1"/>
  <c r="BQ417" i="20"/>
  <c r="BQ437" i="20" s="1"/>
  <c r="AA417" i="20"/>
  <c r="AA437" i="20" s="1"/>
  <c r="BP304" i="20"/>
  <c r="AD304" i="20"/>
  <c r="AR304" i="20"/>
  <c r="BK304" i="20"/>
  <c r="AU298" i="20"/>
  <c r="BD335" i="20"/>
  <c r="BD502" i="20" s="1"/>
  <c r="AR334" i="20"/>
  <c r="BK334" i="20"/>
  <c r="R334" i="20"/>
  <c r="BD366" i="20"/>
  <c r="BD378" i="20" s="1"/>
  <c r="BP365" i="20"/>
  <c r="AD366" i="20"/>
  <c r="AD378" i="20" s="1"/>
  <c r="BS365" i="20"/>
  <c r="AU366" i="20"/>
  <c r="AU378" i="20" s="1"/>
  <c r="BK445" i="20"/>
  <c r="AP445" i="20"/>
  <c r="W445" i="20"/>
  <c r="AZ445" i="20"/>
  <c r="AQ445" i="20"/>
  <c r="V445" i="20"/>
  <c r="U445" i="20"/>
  <c r="AF445" i="20"/>
  <c r="BN445" i="20"/>
  <c r="AK445" i="20"/>
  <c r="AO445" i="20"/>
  <c r="BH445" i="20"/>
  <c r="BJ445" i="20"/>
  <c r="S445" i="20"/>
  <c r="AA49" i="21"/>
  <c r="AC49" i="21"/>
  <c r="AL49" i="21"/>
  <c r="AG443" i="20"/>
  <c r="BM443" i="20"/>
  <c r="AM423" i="20"/>
  <c r="AK443" i="20"/>
  <c r="AQ423" i="20"/>
  <c r="BE443" i="20"/>
  <c r="BK423" i="20"/>
  <c r="BI443" i="20"/>
  <c r="AB423" i="20"/>
  <c r="AR423" i="20"/>
  <c r="BH423" i="20"/>
  <c r="R443" i="20"/>
  <c r="AH443" i="20"/>
  <c r="AX443" i="20"/>
  <c r="BN443" i="20"/>
  <c r="U423" i="20"/>
  <c r="AK423" i="20"/>
  <c r="BA423" i="20"/>
  <c r="BQ423" i="20"/>
  <c r="AA443" i="20"/>
  <c r="AQ443" i="20"/>
  <c r="BG443" i="20"/>
  <c r="R423" i="20"/>
  <c r="AH423" i="20"/>
  <c r="AX423" i="20"/>
  <c r="BN423" i="20"/>
  <c r="X443" i="20"/>
  <c r="AN443" i="20"/>
  <c r="BD443" i="20"/>
  <c r="BS443" i="20"/>
  <c r="L258" i="20"/>
  <c r="Q298" i="20"/>
  <c r="BF298" i="20"/>
  <c r="AX298" i="20"/>
  <c r="Y298" i="20"/>
  <c r="AE334" i="20"/>
  <c r="N334" i="20"/>
  <c r="BL334" i="20"/>
  <c r="BG334" i="20"/>
  <c r="AX366" i="20"/>
  <c r="AX378" i="20" s="1"/>
  <c r="BG366" i="20"/>
  <c r="BG378" i="20" s="1"/>
  <c r="Q366" i="20"/>
  <c r="Q378" i="20" s="1"/>
  <c r="N366" i="20"/>
  <c r="N378" i="20" s="1"/>
  <c r="AX367" i="20"/>
  <c r="AX384" i="20" s="1"/>
  <c r="BO423" i="20"/>
  <c r="AI423" i="20"/>
  <c r="BC423" i="20"/>
  <c r="BA443" i="20"/>
  <c r="BG423" i="20"/>
  <c r="O423" i="20"/>
  <c r="M443" i="20"/>
  <c r="P423" i="20"/>
  <c r="AF423" i="20"/>
  <c r="AV423" i="20"/>
  <c r="BL423" i="20"/>
  <c r="V443" i="20"/>
  <c r="AL443" i="20"/>
  <c r="BB443" i="20"/>
  <c r="BR443" i="20"/>
  <c r="Y423" i="20"/>
  <c r="AO423" i="20"/>
  <c r="BE423" i="20"/>
  <c r="O443" i="20"/>
  <c r="AE443" i="20"/>
  <c r="AU443" i="20"/>
  <c r="BK443" i="20"/>
  <c r="V423" i="20"/>
  <c r="AL423" i="20"/>
  <c r="BB423" i="20"/>
  <c r="BR423" i="20"/>
  <c r="AB443" i="20"/>
  <c r="AR443" i="20"/>
  <c r="BH443" i="20"/>
  <c r="AE304" i="20"/>
  <c r="N304" i="20"/>
  <c r="BL304" i="20"/>
  <c r="BG304" i="20"/>
  <c r="Q335" i="20"/>
  <c r="Q502" i="20" s="1"/>
  <c r="BF335" i="20"/>
  <c r="BF502" i="20" s="1"/>
  <c r="AX335" i="20"/>
  <c r="AX502" i="20" s="1"/>
  <c r="Y335" i="20"/>
  <c r="Y502" i="20" s="1"/>
  <c r="BF366" i="20"/>
  <c r="BF378" i="20" s="1"/>
  <c r="BG365" i="20"/>
  <c r="Q365" i="20"/>
  <c r="N365" i="20"/>
  <c r="AW443" i="20"/>
  <c r="Q443" i="20"/>
  <c r="BS423" i="20"/>
  <c r="BQ443" i="20"/>
  <c r="Y443" i="20"/>
  <c r="AE423" i="20"/>
  <c r="AC443" i="20"/>
  <c r="T423" i="20"/>
  <c r="AJ423" i="20"/>
  <c r="AZ423" i="20"/>
  <c r="BP423" i="20"/>
  <c r="Z443" i="20"/>
  <c r="AP443" i="20"/>
  <c r="BF443" i="20"/>
  <c r="M423" i="20"/>
  <c r="AC423" i="20"/>
  <c r="AS423" i="20"/>
  <c r="BI423" i="20"/>
  <c r="S443" i="20"/>
  <c r="AI443" i="20"/>
  <c r="AY443" i="20"/>
  <c r="BO443" i="20"/>
  <c r="Z423" i="20"/>
  <c r="AP423" i="20"/>
  <c r="BF423" i="20"/>
  <c r="P443" i="20"/>
  <c r="AF443" i="20"/>
  <c r="AV443" i="20"/>
  <c r="BL443" i="20"/>
  <c r="AE298" i="20"/>
  <c r="N298" i="20"/>
  <c r="BL298" i="20"/>
  <c r="BG298" i="20"/>
  <c r="Q334" i="20"/>
  <c r="BF334" i="20"/>
  <c r="AX334" i="20"/>
  <c r="Y334" i="20"/>
  <c r="BF365" i="20"/>
  <c r="AE366" i="20"/>
  <c r="AE378" i="20" s="1"/>
  <c r="Y366" i="20"/>
  <c r="Y378" i="20" s="1"/>
  <c r="BL366" i="20"/>
  <c r="BL378" i="20" s="1"/>
  <c r="BR304" i="20"/>
  <c r="BJ304" i="20"/>
  <c r="BE304" i="20"/>
  <c r="AT304" i="20"/>
  <c r="BR335" i="20"/>
  <c r="BR502" i="20" s="1"/>
  <c r="BJ335" i="20"/>
  <c r="BJ502" i="20" s="1"/>
  <c r="BE335" i="20"/>
  <c r="BE502" i="20" s="1"/>
  <c r="AT335" i="20"/>
  <c r="AT502" i="20" s="1"/>
  <c r="BR366" i="20"/>
  <c r="BR378" i="20" s="1"/>
  <c r="BE366" i="20"/>
  <c r="BE378" i="20" s="1"/>
  <c r="AT365" i="20"/>
  <c r="I191" i="20"/>
  <c r="BR298" i="20"/>
  <c r="BJ298" i="20"/>
  <c r="BE298" i="20"/>
  <c r="AT298" i="20"/>
  <c r="BR334" i="20"/>
  <c r="BJ334" i="20"/>
  <c r="BE334" i="20"/>
  <c r="AT334" i="20"/>
  <c r="BR365" i="20"/>
  <c r="BE365" i="20"/>
  <c r="AV366" i="20"/>
  <c r="AV378" i="20" s="1"/>
  <c r="L223" i="20" a="1"/>
  <c r="L223" i="20" s="1"/>
  <c r="L240" i="20" s="1"/>
  <c r="AV304" i="20"/>
  <c r="AY304" i="20"/>
  <c r="AV335" i="20"/>
  <c r="AV502" i="20" s="1"/>
  <c r="AY335" i="20"/>
  <c r="AY502" i="20" s="1"/>
  <c r="AY366" i="20"/>
  <c r="AY378" i="20" s="1"/>
  <c r="BJ366" i="20"/>
  <c r="BJ378" i="20" s="1"/>
  <c r="AV365" i="20"/>
  <c r="P31" i="25" a="1"/>
  <c r="P31" i="25" s="1"/>
  <c r="N31" i="25" s="1"/>
  <c r="S304" i="20"/>
  <c r="S298" i="20"/>
  <c r="S335" i="20"/>
  <c r="S502" i="20" s="1"/>
  <c r="S366" i="20"/>
  <c r="S334" i="20"/>
  <c r="S365" i="20"/>
  <c r="S535" i="23"/>
  <c r="AM533" i="23"/>
  <c r="P19" i="25" a="1"/>
  <c r="P19" i="25" s="1"/>
  <c r="P21" i="25" a="1"/>
  <c r="P21" i="25" s="1"/>
  <c r="AM527" i="23"/>
  <c r="AD533" i="23"/>
  <c r="AD527" i="23"/>
  <c r="AP533" i="23"/>
  <c r="BF533" i="23"/>
  <c r="L348" i="23"/>
  <c r="Q47" i="21" a="1"/>
  <c r="AG47" i="21" s="1"/>
  <c r="BF527" i="23"/>
  <c r="S527" i="23"/>
  <c r="S533" i="23"/>
  <c r="AP527" i="23"/>
  <c r="BC533" i="23"/>
  <c r="BC527" i="23"/>
  <c r="AX527" i="23"/>
  <c r="BB527" i="23"/>
  <c r="BB533" i="23"/>
  <c r="T527" i="23"/>
  <c r="AW527" i="23"/>
  <c r="P527" i="23"/>
  <c r="AL527" i="23"/>
  <c r="P533" i="23"/>
  <c r="BH527" i="23"/>
  <c r="AL533" i="23"/>
  <c r="AW533" i="23"/>
  <c r="T533" i="23"/>
  <c r="AY533" i="23"/>
  <c r="AX533" i="23"/>
  <c r="BQ527" i="23"/>
  <c r="BH533" i="23"/>
  <c r="BQ533" i="23"/>
  <c r="O533" i="23"/>
  <c r="AY527" i="23"/>
  <c r="O527" i="23"/>
  <c r="BG527" i="23"/>
  <c r="BG533" i="23"/>
  <c r="BA533" i="23"/>
  <c r="AH533" i="23"/>
  <c r="BA527" i="23"/>
  <c r="AB533" i="23"/>
  <c r="AG527" i="23"/>
  <c r="AH527" i="23"/>
  <c r="AB527" i="23"/>
  <c r="AG533" i="23"/>
  <c r="N527" i="23"/>
  <c r="N533" i="23"/>
  <c r="L537" i="23"/>
  <c r="L539" i="23"/>
  <c r="L535" i="23"/>
  <c r="L529" i="23"/>
  <c r="L531" i="23"/>
  <c r="L313" i="23"/>
  <c r="L315" i="23"/>
  <c r="L262" i="23"/>
  <c r="L264" i="23" s="1"/>
  <c r="L225" i="23"/>
  <c r="BO278" i="9"/>
  <c r="BO282" i="9" s="1"/>
  <c r="P278" i="9"/>
  <c r="AY302" i="9"/>
  <c r="Z363" i="9"/>
  <c r="AF332" i="9"/>
  <c r="BR302" i="9"/>
  <c r="AO296" i="9"/>
  <c r="BE302" i="9"/>
  <c r="V333" i="9"/>
  <c r="AC302" i="9"/>
  <c r="T296" i="9"/>
  <c r="AE278" i="9"/>
  <c r="BB229" i="9"/>
  <c r="M229" i="9"/>
  <c r="BL332" i="9"/>
  <c r="AB296" i="9"/>
  <c r="AT229" i="9"/>
  <c r="AX296" i="9"/>
  <c r="BF229" i="9"/>
  <c r="AL364" i="9"/>
  <c r="AL376" i="9" s="1"/>
  <c r="O365" i="9"/>
  <c r="O382" i="9" s="1"/>
  <c r="AR296" i="9"/>
  <c r="BP333" i="9"/>
  <c r="BH229" i="9"/>
  <c r="AQ296" i="9"/>
  <c r="R296" i="9"/>
  <c r="BM296" i="9"/>
  <c r="AU229" i="9"/>
  <c r="BS229" i="9"/>
  <c r="BN296" i="9"/>
  <c r="AK296" i="9"/>
  <c r="AZ296" i="9"/>
  <c r="AW296" i="9"/>
  <c r="AJ296" i="9"/>
  <c r="AM296" i="9"/>
  <c r="AS365" i="9"/>
  <c r="AS382" i="9" s="1"/>
  <c r="AA229" i="9"/>
  <c r="AD229" i="9"/>
  <c r="BG296" i="9"/>
  <c r="BJ296" i="9"/>
  <c r="AG296" i="9"/>
  <c r="Q229" i="9"/>
  <c r="W296" i="9"/>
  <c r="BK296" i="9"/>
  <c r="AP365" i="9"/>
  <c r="AP382" i="9" s="1"/>
  <c r="X278" i="9"/>
  <c r="S229" i="9"/>
  <c r="AH278" i="9"/>
  <c r="AN365" i="9"/>
  <c r="AN382" i="9" s="1"/>
  <c r="BC364" i="9"/>
  <c r="BC376" i="9" s="1"/>
  <c r="U296" i="9"/>
  <c r="Y302" i="9"/>
  <c r="BI296" i="9"/>
  <c r="BQ333" i="9"/>
  <c r="BD229" i="9"/>
  <c r="AI363" i="9"/>
  <c r="AV229" i="9"/>
  <c r="BA302" i="9"/>
  <c r="N296" i="9"/>
  <c r="I256" i="23"/>
  <c r="AE332" i="9"/>
  <c r="BR296" i="9"/>
  <c r="P229" i="9"/>
  <c r="V364" i="9"/>
  <c r="V376" i="9" s="1"/>
  <c r="AE229" i="9"/>
  <c r="BC332" i="9"/>
  <c r="BO302" i="9"/>
  <c r="S332" i="9"/>
  <c r="AS296" i="9"/>
  <c r="BS363" i="9"/>
  <c r="Q296" i="9"/>
  <c r="AF333" i="9"/>
  <c r="V365" i="9"/>
  <c r="T333" i="9"/>
  <c r="P363" i="9"/>
  <c r="BB364" i="9"/>
  <c r="BB376" i="9" s="1"/>
  <c r="BR363" i="9"/>
  <c r="AO278" i="9"/>
  <c r="BE296" i="9"/>
  <c r="AC363" i="9"/>
  <c r="BB365" i="9"/>
  <c r="BB382" i="9" s="1"/>
  <c r="Z332" i="9"/>
  <c r="BE363" i="9"/>
  <c r="Z278" i="9"/>
  <c r="AY296" i="9"/>
  <c r="AE302" i="9"/>
  <c r="V363" i="9"/>
  <c r="BR333" i="9"/>
  <c r="V278" i="9"/>
  <c r="BO229" i="9"/>
  <c r="AC296" i="9"/>
  <c r="BB302" i="9"/>
  <c r="AG333" i="9"/>
  <c r="AS332" i="9"/>
  <c r="AM364" i="9"/>
  <c r="AM376" i="9" s="1"/>
  <c r="BG365" i="9"/>
  <c r="BJ332" i="9"/>
  <c r="AG364" i="9"/>
  <c r="AG376" i="9" s="1"/>
  <c r="AW332" i="9"/>
  <c r="BK365" i="9"/>
  <c r="BK382" i="9" s="1"/>
  <c r="Q333" i="9"/>
  <c r="AJ229" i="9"/>
  <c r="AM229" i="9"/>
  <c r="AJ365" i="9"/>
  <c r="AJ382" i="9" s="1"/>
  <c r="AA332" i="9"/>
  <c r="AS364" i="9"/>
  <c r="AS376" i="9" s="1"/>
  <c r="BN229" i="9"/>
  <c r="AM365" i="9"/>
  <c r="AM382" i="9" s="1"/>
  <c r="BJ364" i="9"/>
  <c r="BJ376" i="9" s="1"/>
  <c r="Q364" i="9"/>
  <c r="Q376" i="9" s="1"/>
  <c r="AK332" i="9"/>
  <c r="AM363" i="9"/>
  <c r="BN333" i="9"/>
  <c r="AZ229" i="9"/>
  <c r="P333" i="9"/>
  <c r="AY364" i="9"/>
  <c r="AY376" i="9" s="1"/>
  <c r="AO364" i="9"/>
  <c r="AO376" i="9" s="1"/>
  <c r="BE333" i="9"/>
  <c r="BE332" i="9"/>
  <c r="T363" i="9"/>
  <c r="AY363" i="9"/>
  <c r="BR332" i="9"/>
  <c r="BO332" i="9"/>
  <c r="BO333" i="9"/>
  <c r="BO498" i="9" s="1"/>
  <c r="BE278" i="9"/>
  <c r="V229" i="9"/>
  <c r="AF278" i="9"/>
  <c r="AF282" i="9" s="1"/>
  <c r="AO229" i="9"/>
  <c r="Z229" i="9"/>
  <c r="T278" i="9"/>
  <c r="T282" i="9" s="1"/>
  <c r="AY278" i="9"/>
  <c r="P302" i="9"/>
  <c r="Z302" i="9"/>
  <c r="V302" i="9"/>
  <c r="AF302" i="9"/>
  <c r="AE296" i="9"/>
  <c r="BO296" i="9"/>
  <c r="BB296" i="9"/>
  <c r="AE365" i="9"/>
  <c r="AE382" i="9" s="1"/>
  <c r="T365" i="9"/>
  <c r="AF363" i="9"/>
  <c r="AC364" i="9"/>
  <c r="AF365" i="9"/>
  <c r="BB333" i="9"/>
  <c r="T364" i="9"/>
  <c r="T376" i="9" s="1"/>
  <c r="BB363" i="9"/>
  <c r="AC332" i="9"/>
  <c r="P365" i="9"/>
  <c r="P382" i="9" s="1"/>
  <c r="AY333" i="9"/>
  <c r="AY332" i="9"/>
  <c r="AO332" i="9"/>
  <c r="P364" i="9"/>
  <c r="P376" i="9" s="1"/>
  <c r="BE364" i="9"/>
  <c r="BE376" i="9" s="1"/>
  <c r="AO365" i="9"/>
  <c r="AF364" i="9"/>
  <c r="BO363" i="9"/>
  <c r="BO364" i="9"/>
  <c r="BO376" i="9" s="1"/>
  <c r="BE229" i="9"/>
  <c r="BR278" i="9"/>
  <c r="AC278" i="9"/>
  <c r="AC282" i="9" s="1"/>
  <c r="AF229" i="9"/>
  <c r="BB278" i="9"/>
  <c r="T229" i="9"/>
  <c r="AY229" i="9"/>
  <c r="P296" i="9"/>
  <c r="Z296" i="9"/>
  <c r="V296" i="9"/>
  <c r="AF296" i="9"/>
  <c r="T302" i="9"/>
  <c r="AO302" i="9"/>
  <c r="Z365" i="9"/>
  <c r="Z382" i="9" s="1"/>
  <c r="AC333" i="9"/>
  <c r="AE364" i="9"/>
  <c r="AE376" i="9" s="1"/>
  <c r="AE333" i="9"/>
  <c r="Z364" i="9"/>
  <c r="Z376" i="9" s="1"/>
  <c r="T332" i="9"/>
  <c r="BB332" i="9"/>
  <c r="Z333" i="9"/>
  <c r="AC365" i="9"/>
  <c r="AC382" i="9" s="1"/>
  <c r="V332" i="9"/>
  <c r="AO333" i="9"/>
  <c r="P332" i="9"/>
  <c r="AY365" i="9"/>
  <c r="AO363" i="9"/>
  <c r="BE365" i="9"/>
  <c r="BE382" i="9" s="1"/>
  <c r="AE363" i="9"/>
  <c r="BR365" i="9"/>
  <c r="BR382" i="9" s="1"/>
  <c r="BO365" i="9"/>
  <c r="BO382" i="9" s="1"/>
  <c r="BR364" i="9"/>
  <c r="BR229" i="9"/>
  <c r="AC229" i="9"/>
  <c r="BG229" i="9"/>
  <c r="BJ229" i="9"/>
  <c r="AS229" i="9"/>
  <c r="AD296" i="9"/>
  <c r="W229" i="9"/>
  <c r="AG229" i="9"/>
  <c r="BS296" i="9"/>
  <c r="AA296" i="9"/>
  <c r="W365" i="9"/>
  <c r="AD363" i="9"/>
  <c r="BK363" i="9"/>
  <c r="AJ333" i="9"/>
  <c r="BG332" i="9"/>
  <c r="AW333" i="9"/>
  <c r="AM332" i="9"/>
  <c r="AS333" i="9"/>
  <c r="BK333" i="9"/>
  <c r="AD365" i="9"/>
  <c r="AD382" i="9" s="1"/>
  <c r="AA333" i="9"/>
  <c r="BJ363" i="9"/>
  <c r="AZ332" i="9"/>
  <c r="AZ365" i="9"/>
  <c r="AZ382" i="9" s="1"/>
  <c r="W363" i="9"/>
  <c r="Q363" i="9"/>
  <c r="AK333" i="9"/>
  <c r="AK364" i="9"/>
  <c r="AK376" i="9" s="1"/>
  <c r="Q365" i="9"/>
  <c r="Q382" i="9" s="1"/>
  <c r="BN365" i="9"/>
  <c r="BN364" i="9"/>
  <c r="BS333" i="9"/>
  <c r="BS365" i="9"/>
  <c r="BG278" i="9"/>
  <c r="BG282" i="9" s="1"/>
  <c r="AZ278" i="9"/>
  <c r="AZ282" i="9" s="1"/>
  <c r="BJ278" i="9"/>
  <c r="AJ278" i="9"/>
  <c r="AJ280" i="9" s="1"/>
  <c r="BN278" i="9"/>
  <c r="W278" i="9"/>
  <c r="AM278" i="9"/>
  <c r="AG278" i="9"/>
  <c r="AS278" i="9"/>
  <c r="AS280" i="9" s="1"/>
  <c r="BS302" i="9"/>
  <c r="Q302" i="9"/>
  <c r="AA302" i="9"/>
  <c r="AD302" i="9"/>
  <c r="AS302" i="9"/>
  <c r="W333" i="9"/>
  <c r="BJ333" i="9"/>
  <c r="AA363" i="9"/>
  <c r="AG332" i="9"/>
  <c r="AS363" i="9"/>
  <c r="AW364" i="9"/>
  <c r="AW376" i="9" s="1"/>
  <c r="AW365" i="9"/>
  <c r="AD333" i="9"/>
  <c r="AA365" i="9"/>
  <c r="AA382" i="9" s="1"/>
  <c r="AZ364" i="9"/>
  <c r="AZ376" i="9" s="1"/>
  <c r="AZ333" i="9"/>
  <c r="AW363" i="9"/>
  <c r="AJ363" i="9"/>
  <c r="BK364" i="9"/>
  <c r="BK376" i="9" s="1"/>
  <c r="BS364" i="9"/>
  <c r="BS278" i="9"/>
  <c r="BS280" i="9" s="1"/>
  <c r="AK278" i="9"/>
  <c r="BK278" i="9"/>
  <c r="BK280" i="9" s="1"/>
  <c r="Q278" i="9"/>
  <c r="Q282" i="9" s="1"/>
  <c r="AA278" i="9"/>
  <c r="AD278" i="9"/>
  <c r="AW278" i="9"/>
  <c r="BG302" i="9"/>
  <c r="AZ302" i="9"/>
  <c r="AW302" i="9"/>
  <c r="BK302" i="9"/>
  <c r="BJ302" i="9"/>
  <c r="AJ302" i="9"/>
  <c r="W302" i="9"/>
  <c r="AM302" i="9"/>
  <c r="AG302" i="9"/>
  <c r="BN302" i="9"/>
  <c r="AK302" i="9"/>
  <c r="W332" i="9"/>
  <c r="BJ365" i="9"/>
  <c r="AJ364" i="9"/>
  <c r="AJ376" i="9" s="1"/>
  <c r="BG363" i="9"/>
  <c r="BG364" i="9"/>
  <c r="AG365" i="9"/>
  <c r="AG382" i="9" s="1"/>
  <c r="AJ332" i="9"/>
  <c r="BG333" i="9"/>
  <c r="AD364" i="9"/>
  <c r="AM333" i="9"/>
  <c r="AA364" i="9"/>
  <c r="AA376" i="9" s="1"/>
  <c r="BK332" i="9"/>
  <c r="AD332" i="9"/>
  <c r="AZ363" i="9"/>
  <c r="Q332" i="9"/>
  <c r="AK363" i="9"/>
  <c r="AK365" i="9"/>
  <c r="AK382" i="9" s="1"/>
  <c r="W364" i="9"/>
  <c r="AG363" i="9"/>
  <c r="BN363" i="9"/>
  <c r="BN332" i="9"/>
  <c r="BS332" i="9"/>
  <c r="AK229" i="9"/>
  <c r="BK229" i="9"/>
  <c r="AW229" i="9"/>
  <c r="AQ332" i="9"/>
  <c r="R333" i="9"/>
  <c r="M363" i="9"/>
  <c r="M370" i="9" s="1"/>
  <c r="AB365" i="9"/>
  <c r="AB382" i="9" s="1"/>
  <c r="AT363" i="9"/>
  <c r="AR332" i="9"/>
  <c r="AX365" i="9"/>
  <c r="AX382" i="9" s="1"/>
  <c r="R364" i="9"/>
  <c r="R376" i="9" s="1"/>
  <c r="AU363" i="9"/>
  <c r="BH302" i="9"/>
  <c r="BP365" i="9"/>
  <c r="AL363" i="9"/>
  <c r="AL332" i="9"/>
  <c r="AU332" i="9"/>
  <c r="AX363" i="9"/>
  <c r="AL302" i="9"/>
  <c r="BP302" i="9"/>
  <c r="AR364" i="9"/>
  <c r="AR376" i="9" s="1"/>
  <c r="BF333" i="9"/>
  <c r="AR333" i="9"/>
  <c r="M365" i="9"/>
  <c r="M382" i="9" s="1"/>
  <c r="O364" i="9"/>
  <c r="O376" i="9" s="1"/>
  <c r="R332" i="9"/>
  <c r="AQ278" i="9"/>
  <c r="AQ282" i="9" s="1"/>
  <c r="AL278" i="9"/>
  <c r="AT302" i="9"/>
  <c r="M302" i="9"/>
  <c r="BF302" i="9"/>
  <c r="R302" i="9"/>
  <c r="BH365" i="9"/>
  <c r="BH382" i="9" s="1"/>
  <c r="AU364" i="9"/>
  <c r="AU376" i="9" s="1"/>
  <c r="AT365" i="9"/>
  <c r="AL333" i="9"/>
  <c r="BF332" i="9"/>
  <c r="AQ363" i="9"/>
  <c r="BL333" i="9"/>
  <c r="BM364" i="9"/>
  <c r="BM376" i="9" s="1"/>
  <c r="AX278" i="9"/>
  <c r="O278" i="9"/>
  <c r="R278" i="9"/>
  <c r="AU302" i="9"/>
  <c r="BL302" i="9"/>
  <c r="AT364" i="9"/>
  <c r="AT376" i="9" s="1"/>
  <c r="AX364" i="9"/>
  <c r="AX376" i="9" s="1"/>
  <c r="BL363" i="9"/>
  <c r="BP278" i="9"/>
  <c r="BP280" i="9" s="1"/>
  <c r="BL278" i="9"/>
  <c r="BL280" i="9" s="1"/>
  <c r="O302" i="9"/>
  <c r="AB364" i="9"/>
  <c r="AB376" i="9" s="1"/>
  <c r="BH332" i="9"/>
  <c r="AQ333" i="9"/>
  <c r="AT332" i="9"/>
  <c r="AL365" i="9"/>
  <c r="AL382" i="9" s="1"/>
  <c r="BF365" i="9"/>
  <c r="BF382" i="9" s="1"/>
  <c r="AR365" i="9"/>
  <c r="M332" i="9"/>
  <c r="AX333" i="9"/>
  <c r="AU333" i="9"/>
  <c r="AB333" i="9"/>
  <c r="O333" i="9"/>
  <c r="O332" i="9"/>
  <c r="R365" i="9"/>
  <c r="R382" i="9" s="1"/>
  <c r="R363" i="9"/>
  <c r="BH364" i="9"/>
  <c r="BH376" i="9" s="1"/>
  <c r="AR363" i="9"/>
  <c r="BF364" i="9"/>
  <c r="BF376" i="9" s="1"/>
  <c r="BL364" i="9"/>
  <c r="BP364" i="9"/>
  <c r="BP376" i="9" s="1"/>
  <c r="BM363" i="9"/>
  <c r="BP229" i="9"/>
  <c r="AX229" i="9"/>
  <c r="AQ229" i="9"/>
  <c r="O229" i="9"/>
  <c r="BL229" i="9"/>
  <c r="R229" i="9"/>
  <c r="AL229" i="9"/>
  <c r="BP296" i="9"/>
  <c r="AT296" i="9"/>
  <c r="AU296" i="9"/>
  <c r="M296" i="9"/>
  <c r="BH296" i="9"/>
  <c r="BF296" i="9"/>
  <c r="BL296" i="9"/>
  <c r="AL296" i="9"/>
  <c r="O296" i="9"/>
  <c r="BH363" i="9"/>
  <c r="BH333" i="9"/>
  <c r="AQ365" i="9"/>
  <c r="AQ382" i="9" s="1"/>
  <c r="AT333" i="9"/>
  <c r="M333" i="9"/>
  <c r="M492" i="9" s="1"/>
  <c r="AX332" i="9"/>
  <c r="AU365" i="9"/>
  <c r="AU382" i="9" s="1"/>
  <c r="AB332" i="9"/>
  <c r="BF363" i="9"/>
  <c r="O363" i="9"/>
  <c r="AB363" i="9"/>
  <c r="M364" i="9"/>
  <c r="M376" i="9" s="1"/>
  <c r="BL365" i="9"/>
  <c r="BL382" i="9" s="1"/>
  <c r="BP332" i="9"/>
  <c r="BM365" i="9"/>
  <c r="AB278" i="9"/>
  <c r="AB282" i="9" s="1"/>
  <c r="AT278" i="9"/>
  <c r="AT280" i="9" s="1"/>
  <c r="M278" i="9"/>
  <c r="BH278" i="9"/>
  <c r="BH280" i="9" s="1"/>
  <c r="BF278" i="9"/>
  <c r="BF280" i="9" s="1"/>
  <c r="BM278" i="9"/>
  <c r="AR278" i="9"/>
  <c r="AU278" i="9"/>
  <c r="AB302" i="9"/>
  <c r="AX302" i="9"/>
  <c r="AQ302" i="9"/>
  <c r="BM302" i="9"/>
  <c r="AR302" i="9"/>
  <c r="AQ364" i="9"/>
  <c r="AQ376" i="9" s="1"/>
  <c r="BP363" i="9"/>
  <c r="BM333" i="9"/>
  <c r="BM332" i="9"/>
  <c r="AB229" i="9"/>
  <c r="BM229" i="9"/>
  <c r="AR229" i="9"/>
  <c r="BI302" i="9"/>
  <c r="S278" i="9"/>
  <c r="S280" i="9" s="1"/>
  <c r="Y278" i="9"/>
  <c r="BC278" i="9"/>
  <c r="BA332" i="9"/>
  <c r="AP333" i="9"/>
  <c r="U364" i="9"/>
  <c r="U376" i="9" s="1"/>
  <c r="BQ278" i="9"/>
  <c r="AI278" i="9"/>
  <c r="U302" i="9"/>
  <c r="N302" i="9"/>
  <c r="AN363" i="9"/>
  <c r="BD333" i="9"/>
  <c r="X333" i="9"/>
  <c r="U332" i="9"/>
  <c r="AV365" i="9"/>
  <c r="Y363" i="9"/>
  <c r="X364" i="9"/>
  <c r="X376" i="9" s="1"/>
  <c r="N365" i="9"/>
  <c r="AH363" i="9"/>
  <c r="BD278" i="9"/>
  <c r="X302" i="9"/>
  <c r="Y365" i="9"/>
  <c r="Y382" i="9" s="1"/>
  <c r="BI364" i="9"/>
  <c r="BI376" i="9" s="1"/>
  <c r="BD364" i="9"/>
  <c r="BD376" i="9" s="1"/>
  <c r="AV278" i="9"/>
  <c r="X421" i="23"/>
  <c r="X415" i="23"/>
  <c r="AH415" i="23"/>
  <c r="AH421" i="23"/>
  <c r="BC421" i="23"/>
  <c r="BC415" i="23"/>
  <c r="Y415" i="23"/>
  <c r="Y421" i="23"/>
  <c r="BQ421" i="23"/>
  <c r="BQ415" i="23"/>
  <c r="AI415" i="23"/>
  <c r="AI421" i="23"/>
  <c r="BA415" i="23"/>
  <c r="BA421" i="23"/>
  <c r="U363" i="9"/>
  <c r="AV363" i="9"/>
  <c r="X365" i="9"/>
  <c r="X382" i="9" s="1"/>
  <c r="BA363" i="9"/>
  <c r="BA333" i="9"/>
  <c r="BA498" i="9" s="1"/>
  <c r="U365" i="9"/>
  <c r="U382" i="9" s="1"/>
  <c r="BC333" i="9"/>
  <c r="BC496" i="9" s="1"/>
  <c r="AI332" i="9"/>
  <c r="BC363" i="9"/>
  <c r="BI332" i="9"/>
  <c r="N363" i="9"/>
  <c r="AH332" i="9"/>
  <c r="S333" i="9"/>
  <c r="S492" i="9" s="1"/>
  <c r="BD365" i="9"/>
  <c r="BD382" i="9" s="1"/>
  <c r="S365" i="9"/>
  <c r="S382" i="9" s="1"/>
  <c r="X363" i="9"/>
  <c r="Y364" i="9"/>
  <c r="Y376" i="9" s="1"/>
  <c r="BQ229" i="9"/>
  <c r="AH229" i="9"/>
  <c r="AI229" i="9"/>
  <c r="BC229" i="9"/>
  <c r="X229" i="9"/>
  <c r="Y229" i="9"/>
  <c r="BA296" i="9"/>
  <c r="X296" i="9"/>
  <c r="Y296" i="9"/>
  <c r="BO421" i="23"/>
  <c r="BO415" i="23"/>
  <c r="P421" i="23"/>
  <c r="P415" i="23"/>
  <c r="AY415" i="23"/>
  <c r="AY421" i="23"/>
  <c r="Z421" i="23"/>
  <c r="Z415" i="23"/>
  <c r="AF421" i="23"/>
  <c r="AF415" i="23"/>
  <c r="BR415" i="23"/>
  <c r="BR421" i="23"/>
  <c r="AO415" i="23"/>
  <c r="AO421" i="23"/>
  <c r="BE421" i="23"/>
  <c r="BE415" i="23"/>
  <c r="V415" i="23"/>
  <c r="V421" i="23"/>
  <c r="AC421" i="23"/>
  <c r="AC415" i="23"/>
  <c r="T415" i="23"/>
  <c r="T421" i="23"/>
  <c r="AE415" i="23"/>
  <c r="AE421" i="23"/>
  <c r="BB421" i="23"/>
  <c r="BB415" i="23"/>
  <c r="I482" i="23"/>
  <c r="L480" i="23"/>
  <c r="I457" i="23"/>
  <c r="L460" i="23"/>
  <c r="I460" i="23" s="1"/>
  <c r="AP415" i="23"/>
  <c r="AP421" i="23"/>
  <c r="S415" i="23"/>
  <c r="S421" i="23"/>
  <c r="AN415" i="23"/>
  <c r="AN421" i="23"/>
  <c r="U415" i="23"/>
  <c r="U421" i="23"/>
  <c r="BI415" i="23"/>
  <c r="BI421" i="23"/>
  <c r="BD415" i="23"/>
  <c r="BD421" i="23"/>
  <c r="AV415" i="23"/>
  <c r="AV421" i="23"/>
  <c r="N421" i="23"/>
  <c r="N415" i="23"/>
  <c r="Y333" i="9"/>
  <c r="AN332" i="9"/>
  <c r="BA365" i="9"/>
  <c r="BA382" i="9" s="1"/>
  <c r="BC365" i="9"/>
  <c r="AI333" i="9"/>
  <c r="AV364" i="9"/>
  <c r="AV376" i="9" s="1"/>
  <c r="AV333" i="9"/>
  <c r="AV500" i="9" s="1"/>
  <c r="BI365" i="9"/>
  <c r="BI333" i="9"/>
  <c r="BI496" i="9" s="1"/>
  <c r="AH333" i="9"/>
  <c r="AH498" i="9" s="1"/>
  <c r="S363" i="9"/>
  <c r="BA364" i="9"/>
  <c r="BA376" i="9" s="1"/>
  <c r="AN364" i="9"/>
  <c r="AN376" i="9" s="1"/>
  <c r="BQ332" i="9"/>
  <c r="BQ365" i="9"/>
  <c r="BI278" i="9"/>
  <c r="BA278" i="9"/>
  <c r="BA282" i="9" s="1"/>
  <c r="U278" i="9"/>
  <c r="N278" i="9"/>
  <c r="AN278" i="9"/>
  <c r="AP278" i="9"/>
  <c r="BQ302" i="9"/>
  <c r="S302" i="9"/>
  <c r="AH302" i="9"/>
  <c r="AN302" i="9"/>
  <c r="BD302" i="9"/>
  <c r="AI302" i="9"/>
  <c r="BC302" i="9"/>
  <c r="AV302" i="9"/>
  <c r="AP302" i="9"/>
  <c r="M421" i="23"/>
  <c r="M415" i="23"/>
  <c r="BL421" i="23"/>
  <c r="BL415" i="23"/>
  <c r="AB421" i="23"/>
  <c r="AB415" i="23"/>
  <c r="AT421" i="23"/>
  <c r="AT415" i="23"/>
  <c r="AX415" i="23"/>
  <c r="AX421" i="23"/>
  <c r="BF421" i="23"/>
  <c r="BF415" i="23"/>
  <c r="AL415" i="23"/>
  <c r="AL421" i="23"/>
  <c r="O415" i="23"/>
  <c r="O421" i="23"/>
  <c r="AR421" i="23"/>
  <c r="AR415" i="23"/>
  <c r="BP421" i="23"/>
  <c r="BP415" i="23"/>
  <c r="BH415" i="23"/>
  <c r="BH421" i="23"/>
  <c r="AQ415" i="23"/>
  <c r="AQ421" i="23"/>
  <c r="R415" i="23"/>
  <c r="R421" i="23"/>
  <c r="BM415" i="23"/>
  <c r="BM421" i="23"/>
  <c r="AU415" i="23"/>
  <c r="AU421" i="23"/>
  <c r="Y332" i="9"/>
  <c r="X332" i="9"/>
  <c r="AN333" i="9"/>
  <c r="AP364" i="9"/>
  <c r="AP376" i="9" s="1"/>
  <c r="U333" i="9"/>
  <c r="U496" i="9" s="1"/>
  <c r="AP363" i="9"/>
  <c r="AP332" i="9"/>
  <c r="AI365" i="9"/>
  <c r="AI382" i="9" s="1"/>
  <c r="AV332" i="9"/>
  <c r="BI363" i="9"/>
  <c r="AH365" i="9"/>
  <c r="N333" i="9"/>
  <c r="N500" i="9" s="1"/>
  <c r="N364" i="9"/>
  <c r="N332" i="9"/>
  <c r="AH364" i="9"/>
  <c r="AH376" i="9" s="1"/>
  <c r="BD363" i="9"/>
  <c r="BD332" i="9"/>
  <c r="S364" i="9"/>
  <c r="S376" i="9" s="1"/>
  <c r="AI364" i="9"/>
  <c r="AI376" i="9" s="1"/>
  <c r="BQ363" i="9"/>
  <c r="BQ364" i="9"/>
  <c r="BI229" i="9"/>
  <c r="BA229" i="9"/>
  <c r="U229" i="9"/>
  <c r="N229" i="9"/>
  <c r="AN229" i="9"/>
  <c r="AP229" i="9"/>
  <c r="BQ296" i="9"/>
  <c r="S296" i="9"/>
  <c r="AH296" i="9"/>
  <c r="AN296" i="9"/>
  <c r="BD296" i="9"/>
  <c r="AI296" i="9"/>
  <c r="BC296" i="9"/>
  <c r="AV296" i="9"/>
  <c r="AP296" i="9"/>
  <c r="BS421" i="23"/>
  <c r="BS415" i="23"/>
  <c r="BN421" i="23"/>
  <c r="BN415" i="23"/>
  <c r="AK421" i="23"/>
  <c r="AK415" i="23"/>
  <c r="AZ415" i="23"/>
  <c r="AZ421" i="23"/>
  <c r="AW421" i="23"/>
  <c r="AW415" i="23"/>
  <c r="AJ415" i="23"/>
  <c r="AJ421" i="23"/>
  <c r="AM415" i="23"/>
  <c r="AM421" i="23"/>
  <c r="AS415" i="23"/>
  <c r="AS421" i="23"/>
  <c r="AA415" i="23"/>
  <c r="AA421" i="23"/>
  <c r="AD415" i="23"/>
  <c r="AD421" i="23"/>
  <c r="BG421" i="23"/>
  <c r="BG415" i="23"/>
  <c r="BJ415" i="23"/>
  <c r="BJ421" i="23"/>
  <c r="AG415" i="23"/>
  <c r="AG421" i="23"/>
  <c r="Q421" i="23"/>
  <c r="Q415" i="23"/>
  <c r="W421" i="23"/>
  <c r="W415" i="23"/>
  <c r="BK421" i="23"/>
  <c r="BK415" i="23"/>
  <c r="L474" i="23"/>
  <c r="I454" i="23"/>
  <c r="L168" i="9"/>
  <c r="I168" i="20"/>
  <c r="I447" i="15"/>
  <c r="I243" i="15"/>
  <c r="I286" i="15" s="1"/>
  <c r="L286" i="15"/>
  <c r="L391" i="15"/>
  <c r="L403" i="15" s="1"/>
  <c r="L360" i="15"/>
  <c r="L519" i="15" s="1"/>
  <c r="L390" i="15"/>
  <c r="L397" i="15" s="1"/>
  <c r="L392" i="15"/>
  <c r="L409" i="15" s="1"/>
  <c r="N138" i="15"/>
  <c r="N329" i="15" s="1"/>
  <c r="N130" i="11"/>
  <c r="M131" i="11"/>
  <c r="AB338" i="11"/>
  <c r="AB228" i="11"/>
  <c r="AH338" i="11"/>
  <c r="AH497" i="11" s="1"/>
  <c r="AH228" i="11"/>
  <c r="BD368" i="11"/>
  <c r="BD228" i="11"/>
  <c r="BI338" i="11"/>
  <c r="BI497" i="11" s="1"/>
  <c r="BI228" i="11"/>
  <c r="U338" i="11"/>
  <c r="U228" i="11"/>
  <c r="BE369" i="11"/>
  <c r="BE381" i="11" s="1"/>
  <c r="BE228" i="11"/>
  <c r="BK338" i="11"/>
  <c r="BK228" i="11"/>
  <c r="AS368" i="11"/>
  <c r="AS228" i="11"/>
  <c r="AG368" i="11"/>
  <c r="AG228" i="11"/>
  <c r="AZ338" i="11"/>
  <c r="AZ503" i="11" s="1"/>
  <c r="AZ228" i="11"/>
  <c r="BM369" i="11"/>
  <c r="BM228" i="11"/>
  <c r="AN369" i="11"/>
  <c r="AN381" i="11" s="1"/>
  <c r="AN228" i="11"/>
  <c r="BO369" i="11"/>
  <c r="BO228" i="11"/>
  <c r="AV369" i="11"/>
  <c r="AV381" i="11" s="1"/>
  <c r="AV228" i="11"/>
  <c r="BS368" i="11"/>
  <c r="BS228" i="11"/>
  <c r="AY338" i="11"/>
  <c r="AY497" i="11" s="1"/>
  <c r="AY228" i="11"/>
  <c r="AC338" i="11"/>
  <c r="AC228" i="11"/>
  <c r="AQ368" i="11"/>
  <c r="AQ228" i="11"/>
  <c r="O368" i="11"/>
  <c r="O228" i="11"/>
  <c r="AX337" i="11"/>
  <c r="AX228" i="11"/>
  <c r="BA338" i="11"/>
  <c r="BA228" i="11"/>
  <c r="AE338" i="11"/>
  <c r="AE497" i="11" s="1"/>
  <c r="AE228" i="11"/>
  <c r="BJ368" i="11"/>
  <c r="BJ228" i="11"/>
  <c r="BN338" i="11"/>
  <c r="BN501" i="11" s="1"/>
  <c r="BN228" i="11"/>
  <c r="BP338" i="11"/>
  <c r="BP228" i="11"/>
  <c r="AM338" i="11"/>
  <c r="AM505" i="11" s="1"/>
  <c r="AM228" i="11"/>
  <c r="AT338" i="11"/>
  <c r="AT228" i="11"/>
  <c r="BH368" i="11"/>
  <c r="BH228" i="11"/>
  <c r="AK368" i="11"/>
  <c r="AK228" i="11"/>
  <c r="X368" i="11"/>
  <c r="X228" i="11"/>
  <c r="AP369" i="11"/>
  <c r="AP228" i="11"/>
  <c r="BG369" i="11"/>
  <c r="BG381" i="11" s="1"/>
  <c r="BG228" i="11"/>
  <c r="AW369" i="11"/>
  <c r="AW228" i="11"/>
  <c r="S369" i="11"/>
  <c r="S381" i="11" s="1"/>
  <c r="S228" i="11"/>
  <c r="AO369" i="11"/>
  <c r="AO228" i="11"/>
  <c r="V369" i="11"/>
  <c r="V228" i="11"/>
  <c r="Y368" i="11"/>
  <c r="Y228" i="11"/>
  <c r="Z368" i="11"/>
  <c r="Z228" i="11"/>
  <c r="W337" i="11"/>
  <c r="W228" i="11"/>
  <c r="Q338" i="11"/>
  <c r="Q505" i="11" s="1"/>
  <c r="Q228" i="11"/>
  <c r="BL369" i="11"/>
  <c r="BL228" i="11"/>
  <c r="BB369" i="11"/>
  <c r="BB381" i="11" s="1"/>
  <c r="BB228" i="11"/>
  <c r="BC369" i="11"/>
  <c r="BC228" i="11"/>
  <c r="BF369" i="11"/>
  <c r="BF228" i="11"/>
  <c r="AU338" i="11"/>
  <c r="AU228" i="11"/>
  <c r="T338" i="11"/>
  <c r="T503" i="11" s="1"/>
  <c r="T228" i="11"/>
  <c r="AI368" i="11"/>
  <c r="AI228" i="11"/>
  <c r="P368" i="11"/>
  <c r="P228" i="11"/>
  <c r="AJ338" i="11"/>
  <c r="AJ228" i="11"/>
  <c r="AL338" i="11"/>
  <c r="AL501" i="11" s="1"/>
  <c r="AL228" i="11"/>
  <c r="AF368" i="11"/>
  <c r="AF228" i="11"/>
  <c r="R368" i="11"/>
  <c r="R228" i="11"/>
  <c r="M370" i="11"/>
  <c r="M387" i="11" s="1"/>
  <c r="M228" i="11"/>
  <c r="L234" i="11"/>
  <c r="L257" i="15" s="1"/>
  <c r="L220" i="11"/>
  <c r="L239" i="11" s="1"/>
  <c r="L304" i="20"/>
  <c r="L335" i="20"/>
  <c r="L502" i="20" s="1"/>
  <c r="L366" i="20"/>
  <c r="L298" i="20"/>
  <c r="L334" i="20"/>
  <c r="L365" i="20"/>
  <c r="AC48" i="21"/>
  <c r="AD48" i="21"/>
  <c r="AF48" i="21"/>
  <c r="AE48" i="21"/>
  <c r="AB48" i="21"/>
  <c r="AA48" i="21"/>
  <c r="S183" i="18"/>
  <c r="S293" i="18" s="1"/>
  <c r="AP183" i="18"/>
  <c r="AP293" i="18" s="1"/>
  <c r="AZ183" i="18"/>
  <c r="AZ293" i="18" s="1"/>
  <c r="AY183" i="18"/>
  <c r="AY293" i="18" s="1"/>
  <c r="AT183" i="18"/>
  <c r="AT293" i="18" s="1"/>
  <c r="V183" i="18"/>
  <c r="V293" i="18" s="1"/>
  <c r="AU183" i="18"/>
  <c r="AU293" i="18" s="1"/>
  <c r="BO183" i="18"/>
  <c r="BO293" i="18" s="1"/>
  <c r="AA183" i="18"/>
  <c r="AA293" i="18" s="1"/>
  <c r="AI183" i="18"/>
  <c r="AI293" i="18" s="1"/>
  <c r="AL183" i="18"/>
  <c r="AL293" i="18" s="1"/>
  <c r="BH183" i="18"/>
  <c r="BH293" i="18" s="1"/>
  <c r="AD183" i="18"/>
  <c r="AD293" i="18" s="1"/>
  <c r="BD183" i="18"/>
  <c r="BD293" i="18" s="1"/>
  <c r="AS183" i="18"/>
  <c r="AS293" i="18" s="1"/>
  <c r="AB183" i="18"/>
  <c r="AB293" i="18" s="1"/>
  <c r="AO183" i="18"/>
  <c r="AO293" i="18" s="1"/>
  <c r="AR183" i="18"/>
  <c r="AR293" i="18" s="1"/>
  <c r="AW183" i="18"/>
  <c r="AW293" i="18" s="1"/>
  <c r="AQ183" i="18"/>
  <c r="AQ293" i="18" s="1"/>
  <c r="AC183" i="18"/>
  <c r="AC293" i="18" s="1"/>
  <c r="AM183" i="18"/>
  <c r="AM293" i="18" s="1"/>
  <c r="BN183" i="18"/>
  <c r="BN293" i="18" s="1"/>
  <c r="AE183" i="18"/>
  <c r="AE293" i="18" s="1"/>
  <c r="AG183" i="18"/>
  <c r="AG293" i="18" s="1"/>
  <c r="AJ183" i="18"/>
  <c r="AJ293" i="18" s="1"/>
  <c r="Z183" i="18"/>
  <c r="Z293" i="18" s="1"/>
  <c r="AX183" i="18"/>
  <c r="AX293" i="18" s="1"/>
  <c r="W183" i="18"/>
  <c r="W293" i="18" s="1"/>
  <c r="Y183" i="18"/>
  <c r="Y293" i="18" s="1"/>
  <c r="R183" i="18"/>
  <c r="R293" i="18" s="1"/>
  <c r="T183" i="18"/>
  <c r="T293" i="18" s="1"/>
  <c r="O183" i="18"/>
  <c r="O293" i="18" s="1"/>
  <c r="N183" i="18"/>
  <c r="N293" i="18" s="1"/>
  <c r="Q183" i="18"/>
  <c r="Q293" i="18" s="1"/>
  <c r="AH183" i="18"/>
  <c r="AH293" i="18" s="1"/>
  <c r="P183" i="18"/>
  <c r="P293" i="18" s="1"/>
  <c r="AN183" i="18"/>
  <c r="AN293" i="18" s="1"/>
  <c r="BL183" i="18"/>
  <c r="BL293" i="18" s="1"/>
  <c r="M183" i="18"/>
  <c r="M293" i="18" s="1"/>
  <c r="BQ183" i="18"/>
  <c r="BQ293" i="18" s="1"/>
  <c r="BS183" i="18"/>
  <c r="BS293" i="18" s="1"/>
  <c r="BR183" i="18"/>
  <c r="BR293" i="18" s="1"/>
  <c r="AF183" i="18"/>
  <c r="AF293" i="18" s="1"/>
  <c r="L179" i="18"/>
  <c r="AV183" i="18"/>
  <c r="AV293" i="18" s="1"/>
  <c r="U183" i="18"/>
  <c r="U293" i="18" s="1"/>
  <c r="BK183" i="18"/>
  <c r="BK293" i="18" s="1"/>
  <c r="BJ183" i="18"/>
  <c r="BJ293" i="18" s="1"/>
  <c r="BM183" i="18"/>
  <c r="BM293" i="18" s="1"/>
  <c r="BP183" i="18"/>
  <c r="BP293" i="18" s="1"/>
  <c r="BA183" i="18"/>
  <c r="BA293" i="18" s="1"/>
  <c r="BG183" i="18"/>
  <c r="BG293" i="18" s="1"/>
  <c r="BF183" i="18"/>
  <c r="BF293" i="18" s="1"/>
  <c r="BI183" i="18"/>
  <c r="BI293" i="18" s="1"/>
  <c r="X183" i="18"/>
  <c r="X293" i="18" s="1"/>
  <c r="AK183" i="18"/>
  <c r="AK293" i="18" s="1"/>
  <c r="BC183" i="18"/>
  <c r="BC293" i="18" s="1"/>
  <c r="BB183" i="18"/>
  <c r="BB293" i="18" s="1"/>
  <c r="AV390" i="15"/>
  <c r="AV360" i="15"/>
  <c r="AV525" i="15" s="1"/>
  <c r="AV392" i="15"/>
  <c r="AV409" i="15" s="1"/>
  <c r="AV391" i="15"/>
  <c r="AV403" i="15" s="1"/>
  <c r="BC359" i="15"/>
  <c r="BC360" i="15"/>
  <c r="BC527" i="15" s="1"/>
  <c r="BC392" i="15"/>
  <c r="BC409" i="15" s="1"/>
  <c r="BC391" i="15"/>
  <c r="BC403" i="15" s="1"/>
  <c r="W391" i="15"/>
  <c r="W403" i="15" s="1"/>
  <c r="Z391" i="15"/>
  <c r="Z403" i="15" s="1"/>
  <c r="BK391" i="15"/>
  <c r="BK403" i="15" s="1"/>
  <c r="AT391" i="15"/>
  <c r="AT403" i="15" s="1"/>
  <c r="AS392" i="15"/>
  <c r="AS409" i="15" s="1"/>
  <c r="AL360" i="15"/>
  <c r="AL525" i="15" s="1"/>
  <c r="AS360" i="15"/>
  <c r="AS525" i="15" s="1"/>
  <c r="AY392" i="15"/>
  <c r="AY409" i="15" s="1"/>
  <c r="N359" i="15"/>
  <c r="AR392" i="15"/>
  <c r="AR409" i="15" s="1"/>
  <c r="BH390" i="15"/>
  <c r="BH360" i="15"/>
  <c r="BH519" i="15" s="1"/>
  <c r="BH391" i="15"/>
  <c r="BH403" i="15" s="1"/>
  <c r="BH392" i="15"/>
  <c r="BH409" i="15" s="1"/>
  <c r="BH359" i="15"/>
  <c r="AW390" i="15"/>
  <c r="AA359" i="15"/>
  <c r="AX360" i="15"/>
  <c r="AX527" i="15" s="1"/>
  <c r="AJ392" i="15"/>
  <c r="AJ409" i="15" s="1"/>
  <c r="AO391" i="15"/>
  <c r="AO403" i="15" s="1"/>
  <c r="I242" i="15"/>
  <c r="I280" i="15" s="1"/>
  <c r="AP360" i="15"/>
  <c r="AP527" i="15" s="1"/>
  <c r="AS391" i="15"/>
  <c r="AS403" i="15" s="1"/>
  <c r="AS390" i="15"/>
  <c r="BB360" i="15"/>
  <c r="BB527" i="15" s="1"/>
  <c r="N360" i="15"/>
  <c r="N527" i="15" s="1"/>
  <c r="Z359" i="15"/>
  <c r="Z390" i="15"/>
  <c r="H43" i="11"/>
  <c r="I43" i="11" s="1"/>
  <c r="AL359" i="15"/>
  <c r="N391" i="15"/>
  <c r="N403" i="15" s="1"/>
  <c r="N390" i="15"/>
  <c r="AL392" i="15"/>
  <c r="AL409" i="15" s="1"/>
  <c r="BB391" i="15"/>
  <c r="BB403" i="15" s="1"/>
  <c r="BB392" i="15"/>
  <c r="BB409" i="15" s="1"/>
  <c r="AY390" i="15"/>
  <c r="F44" i="11"/>
  <c r="G44" i="11" s="1"/>
  <c r="AL391" i="15"/>
  <c r="AL403" i="15" s="1"/>
  <c r="BB359" i="15"/>
  <c r="Z360" i="15"/>
  <c r="Z525" i="15" s="1"/>
  <c r="R390" i="15"/>
  <c r="R391" i="15"/>
  <c r="R403" i="15" s="1"/>
  <c r="AR468" i="15"/>
  <c r="AD390" i="15"/>
  <c r="N470" i="15"/>
  <c r="AG391" i="15"/>
  <c r="AG403" i="15" s="1"/>
  <c r="BQ359" i="15"/>
  <c r="AQ359" i="15"/>
  <c r="AD360" i="15"/>
  <c r="AD525" i="15" s="1"/>
  <c r="AQ392" i="15"/>
  <c r="AQ409" i="15" s="1"/>
  <c r="AQ360" i="15"/>
  <c r="AQ519" i="15" s="1"/>
  <c r="AD392" i="15"/>
  <c r="AD409" i="15" s="1"/>
  <c r="AD359" i="15"/>
  <c r="AG359" i="15"/>
  <c r="AG390" i="15"/>
  <c r="AQ390" i="15"/>
  <c r="I241" i="15"/>
  <c r="I274" i="15" s="1"/>
  <c r="AG360" i="15"/>
  <c r="AG525" i="15" s="1"/>
  <c r="AO470" i="15"/>
  <c r="AJ360" i="15"/>
  <c r="AJ527" i="15" s="1"/>
  <c r="BI360" i="15"/>
  <c r="BI527" i="15" s="1"/>
  <c r="AW519" i="15"/>
  <c r="AW392" i="15"/>
  <c r="AW409" i="15" s="1"/>
  <c r="AW391" i="15"/>
  <c r="AW403" i="15" s="1"/>
  <c r="AW359" i="15"/>
  <c r="AF470" i="15"/>
  <c r="AF523" i="15" s="1"/>
  <c r="AJ359" i="15"/>
  <c r="BN359" i="15"/>
  <c r="AW525" i="15"/>
  <c r="BN391" i="15"/>
  <c r="BN403" i="15" s="1"/>
  <c r="AA360" i="15"/>
  <c r="AA525" i="15" s="1"/>
  <c r="AA390" i="15"/>
  <c r="BK359" i="15"/>
  <c r="X470" i="15"/>
  <c r="BN392" i="15"/>
  <c r="BN409" i="15" s="1"/>
  <c r="AJ391" i="15"/>
  <c r="AJ403" i="15" s="1"/>
  <c r="BN360" i="15"/>
  <c r="BN525" i="15" s="1"/>
  <c r="AR360" i="15"/>
  <c r="AR527" i="15" s="1"/>
  <c r="AA392" i="15"/>
  <c r="AA409" i="15" s="1"/>
  <c r="BK390" i="15"/>
  <c r="BK360" i="15"/>
  <c r="BK525" i="15" s="1"/>
  <c r="T392" i="15"/>
  <c r="T409" i="15" s="1"/>
  <c r="T390" i="15"/>
  <c r="T391" i="15"/>
  <c r="T403" i="15" s="1"/>
  <c r="BO360" i="15"/>
  <c r="BO390" i="15"/>
  <c r="BO392" i="15"/>
  <c r="BO409" i="15" s="1"/>
  <c r="BO391" i="15"/>
  <c r="BO403" i="15" s="1"/>
  <c r="BO359" i="15"/>
  <c r="BL468" i="15"/>
  <c r="BQ360" i="15"/>
  <c r="BQ525" i="15" s="1"/>
  <c r="N468" i="15"/>
  <c r="BQ390" i="15"/>
  <c r="V360" i="15"/>
  <c r="V527" i="15" s="1"/>
  <c r="BQ391" i="15"/>
  <c r="BQ403" i="15" s="1"/>
  <c r="Q390" i="15"/>
  <c r="Q359" i="15"/>
  <c r="V359" i="15"/>
  <c r="AR390" i="15"/>
  <c r="V391" i="15"/>
  <c r="V403" i="15" s="1"/>
  <c r="AR391" i="15"/>
  <c r="AR403" i="15" s="1"/>
  <c r="Y390" i="15"/>
  <c r="BD390" i="15"/>
  <c r="V392" i="15"/>
  <c r="V409" i="15" s="1"/>
  <c r="BI359" i="15"/>
  <c r="BI392" i="15"/>
  <c r="BI409" i="15" s="1"/>
  <c r="BI390" i="15"/>
  <c r="AI448" i="15"/>
  <c r="S470" i="15"/>
  <c r="BB470" i="15"/>
  <c r="T470" i="15"/>
  <c r="AO442" i="15"/>
  <c r="AO462" i="15" s="1"/>
  <c r="AT470" i="15"/>
  <c r="AL470" i="15"/>
  <c r="AD470" i="15"/>
  <c r="U359" i="15"/>
  <c r="S390" i="15"/>
  <c r="AM391" i="15"/>
  <c r="AM403" i="15" s="1"/>
  <c r="BH448" i="15"/>
  <c r="AK470" i="15"/>
  <c r="AC470" i="15"/>
  <c r="AC523" i="15" s="1"/>
  <c r="AB470" i="15"/>
  <c r="AQ470" i="15"/>
  <c r="BJ360" i="15"/>
  <c r="BJ527" i="15" s="1"/>
  <c r="BQ470" i="15"/>
  <c r="AO360" i="15"/>
  <c r="AO527" i="15" s="1"/>
  <c r="U448" i="15"/>
  <c r="U470" i="15"/>
  <c r="P470" i="15"/>
  <c r="P523" i="15" s="1"/>
  <c r="AH470" i="15"/>
  <c r="AH442" i="15"/>
  <c r="AH462" i="15" s="1"/>
  <c r="M470" i="15"/>
  <c r="BO470" i="15"/>
  <c r="R470" i="15"/>
  <c r="BM470" i="15"/>
  <c r="BC470" i="15"/>
  <c r="BE470" i="15"/>
  <c r="AU470" i="15"/>
  <c r="Q442" i="15"/>
  <c r="Q462" i="15" s="1"/>
  <c r="O470" i="15"/>
  <c r="AJ442" i="15"/>
  <c r="AJ462" i="15" s="1"/>
  <c r="Z470" i="15"/>
  <c r="Q392" i="15"/>
  <c r="Q409" i="15" s="1"/>
  <c r="U392" i="15"/>
  <c r="U409" i="15" s="1"/>
  <c r="BJ392" i="15"/>
  <c r="BJ409" i="15" s="1"/>
  <c r="S360" i="15"/>
  <c r="S519" i="15" s="1"/>
  <c r="Q360" i="15"/>
  <c r="BM392" i="15"/>
  <c r="BM409" i="15" s="1"/>
  <c r="U360" i="15"/>
  <c r="AC391" i="15"/>
  <c r="AC403" i="15" s="1"/>
  <c r="AO392" i="15"/>
  <c r="AO409" i="15" s="1"/>
  <c r="AM390" i="15"/>
  <c r="H66" i="11"/>
  <c r="I66" i="11" s="1"/>
  <c r="AF442" i="15"/>
  <c r="AF462" i="15" s="1"/>
  <c r="BL470" i="15"/>
  <c r="BL523" i="15" s="1"/>
  <c r="BG470" i="15"/>
  <c r="BN470" i="15"/>
  <c r="BI470" i="15"/>
  <c r="BD470" i="15"/>
  <c r="AY470" i="15"/>
  <c r="AM470" i="15"/>
  <c r="AG470" i="15"/>
  <c r="BR470" i="15"/>
  <c r="Y470" i="15"/>
  <c r="AP470" i="15"/>
  <c r="AW470" i="15"/>
  <c r="AW523" i="15" s="1"/>
  <c r="BP470" i="15"/>
  <c r="BS470" i="15"/>
  <c r="AJ470" i="15"/>
  <c r="AA470" i="15"/>
  <c r="S359" i="15"/>
  <c r="U391" i="15"/>
  <c r="U403" i="15" s="1"/>
  <c r="BE391" i="15"/>
  <c r="BE403" i="15" s="1"/>
  <c r="AM392" i="15"/>
  <c r="AM409" i="15" s="1"/>
  <c r="AM360" i="15"/>
  <c r="AM527" i="15" s="1"/>
  <c r="H63" i="11"/>
  <c r="I63" i="11" s="1"/>
  <c r="BJ448" i="15"/>
  <c r="BA470" i="15"/>
  <c r="AV470" i="15"/>
  <c r="BF470" i="15"/>
  <c r="W470" i="15"/>
  <c r="AS470" i="15"/>
  <c r="AN470" i="15"/>
  <c r="AI470" i="15"/>
  <c r="BJ470" i="15"/>
  <c r="BH470" i="15"/>
  <c r="AX470" i="15"/>
  <c r="AZ470" i="15"/>
  <c r="AE470" i="15"/>
  <c r="AR470" i="15"/>
  <c r="BK470" i="15"/>
  <c r="Q470" i="15"/>
  <c r="V470" i="15"/>
  <c r="BJ391" i="15"/>
  <c r="Q391" i="15"/>
  <c r="Q403" i="15" s="1"/>
  <c r="BJ359" i="15"/>
  <c r="S391" i="15"/>
  <c r="S403" i="15" s="1"/>
  <c r="AO359" i="15"/>
  <c r="BR392" i="15"/>
  <c r="BR360" i="15"/>
  <c r="BR527" i="15" s="1"/>
  <c r="BR359" i="15"/>
  <c r="BR391" i="15"/>
  <c r="BR403" i="15" s="1"/>
  <c r="BR390" i="15"/>
  <c r="F63" i="11"/>
  <c r="G63" i="11" s="1"/>
  <c r="F65" i="11"/>
  <c r="G65" i="11" s="1"/>
  <c r="BM390" i="15"/>
  <c r="BL390" i="15"/>
  <c r="BM359" i="15"/>
  <c r="W360" i="15"/>
  <c r="W525" i="15" s="1"/>
  <c r="AP359" i="15"/>
  <c r="AP392" i="15"/>
  <c r="AP409" i="15" s="1"/>
  <c r="H64" i="11"/>
  <c r="I64" i="11" s="1"/>
  <c r="H65" i="11"/>
  <c r="I65" i="11" s="1"/>
  <c r="BM360" i="15"/>
  <c r="BM519" i="15" s="1"/>
  <c r="BL359" i="15"/>
  <c r="AP391" i="15"/>
  <c r="AP403" i="15" s="1"/>
  <c r="W359" i="15"/>
  <c r="L442" i="15"/>
  <c r="L462" i="15" s="1"/>
  <c r="F64" i="11"/>
  <c r="AZ360" i="15"/>
  <c r="AZ525" i="15" s="1"/>
  <c r="AH391" i="15"/>
  <c r="AH403" i="15" s="1"/>
  <c r="BL392" i="15"/>
  <c r="BL409" i="15" s="1"/>
  <c r="BL391" i="15"/>
  <c r="BL403" i="15" s="1"/>
  <c r="W390" i="15"/>
  <c r="BF391" i="15"/>
  <c r="BF403" i="15" s="1"/>
  <c r="BF392" i="15"/>
  <c r="BF409" i="15" s="1"/>
  <c r="BF390" i="15"/>
  <c r="BF359" i="15"/>
  <c r="BF360" i="15"/>
  <c r="BF525" i="15" s="1"/>
  <c r="O390" i="15"/>
  <c r="O391" i="15"/>
  <c r="O392" i="15"/>
  <c r="O409" i="15" s="1"/>
  <c r="O360" i="15"/>
  <c r="O527" i="15" s="1"/>
  <c r="O359" i="15"/>
  <c r="F42" i="11"/>
  <c r="G42" i="11" s="1"/>
  <c r="H44" i="11"/>
  <c r="I44" i="11" s="1"/>
  <c r="F47" i="11"/>
  <c r="D273" i="11" s="1"/>
  <c r="H42" i="11"/>
  <c r="I42" i="11" s="1"/>
  <c r="P527" i="15"/>
  <c r="T359" i="15"/>
  <c r="AB359" i="15"/>
  <c r="AC392" i="15"/>
  <c r="AC409" i="15" s="1"/>
  <c r="AC359" i="15"/>
  <c r="AE359" i="15"/>
  <c r="AK392" i="15"/>
  <c r="AK409" i="15" s="1"/>
  <c r="BP360" i="15"/>
  <c r="BP519" i="15" s="1"/>
  <c r="P390" i="15"/>
  <c r="BG391" i="15"/>
  <c r="BG403" i="15" s="1"/>
  <c r="AC390" i="15"/>
  <c r="T360" i="15"/>
  <c r="BA391" i="15"/>
  <c r="BA403" i="15" s="1"/>
  <c r="P391" i="15"/>
  <c r="P403" i="15" s="1"/>
  <c r="BP390" i="15"/>
  <c r="BG360" i="15"/>
  <c r="BG527" i="15" s="1"/>
  <c r="X390" i="15"/>
  <c r="X359" i="15"/>
  <c r="X360" i="15"/>
  <c r="X391" i="15"/>
  <c r="X403" i="15" s="1"/>
  <c r="X392" i="15"/>
  <c r="X409" i="15" s="1"/>
  <c r="AI392" i="15"/>
  <c r="AI409" i="15" s="1"/>
  <c r="AI360" i="15"/>
  <c r="AI525" i="15" s="1"/>
  <c r="AI390" i="15"/>
  <c r="AI391" i="15"/>
  <c r="AI403" i="15" s="1"/>
  <c r="AI359" i="15"/>
  <c r="AZ392" i="15"/>
  <c r="AZ409" i="15" s="1"/>
  <c r="P519" i="15"/>
  <c r="AZ359" i="15"/>
  <c r="AH360" i="15"/>
  <c r="AH527" i="15" s="1"/>
  <c r="AB360" i="15"/>
  <c r="AB519" i="15" s="1"/>
  <c r="AN391" i="15"/>
  <c r="AN403" i="15" s="1"/>
  <c r="BA360" i="15"/>
  <c r="BA527" i="15" s="1"/>
  <c r="I207" i="15"/>
  <c r="M391" i="15"/>
  <c r="M403" i="15" s="1"/>
  <c r="BP392" i="15"/>
  <c r="BP409" i="15" s="1"/>
  <c r="BP391" i="15"/>
  <c r="BP403" i="15" s="1"/>
  <c r="AY360" i="15"/>
  <c r="AY525" i="15" s="1"/>
  <c r="AY391" i="15"/>
  <c r="AY403" i="15" s="1"/>
  <c r="P359" i="15"/>
  <c r="AN390" i="15"/>
  <c r="BG392" i="15"/>
  <c r="BG409" i="15" s="1"/>
  <c r="AK390" i="15"/>
  <c r="AZ391" i="15"/>
  <c r="AZ403" i="15" s="1"/>
  <c r="BE390" i="15"/>
  <c r="M359" i="15"/>
  <c r="BE359" i="15"/>
  <c r="AE390" i="15"/>
  <c r="AB391" i="15"/>
  <c r="AB403" i="15" s="1"/>
  <c r="L239" i="15" a="1"/>
  <c r="BA392" i="15"/>
  <c r="BA409" i="15" s="1"/>
  <c r="AN359" i="15"/>
  <c r="AE360" i="15"/>
  <c r="AE527" i="15" s="1"/>
  <c r="M390" i="15"/>
  <c r="AH392" i="15"/>
  <c r="AH409" i="15" s="1"/>
  <c r="AB390" i="15"/>
  <c r="AK359" i="15"/>
  <c r="BG390" i="15"/>
  <c r="AH359" i="15"/>
  <c r="M360" i="15"/>
  <c r="M525" i="15" s="1"/>
  <c r="BE360" i="15"/>
  <c r="BE527" i="15" s="1"/>
  <c r="AE392" i="15"/>
  <c r="AE409" i="15" s="1"/>
  <c r="AN360" i="15"/>
  <c r="AN527" i="15" s="1"/>
  <c r="BA359" i="15"/>
  <c r="AK360" i="15"/>
  <c r="AK525" i="15" s="1"/>
  <c r="P392" i="15"/>
  <c r="P409" i="15" s="1"/>
  <c r="BS391" i="15"/>
  <c r="BS403" i="15" s="1"/>
  <c r="BS359" i="15"/>
  <c r="BS392" i="15"/>
  <c r="BS409" i="15" s="1"/>
  <c r="BS360" i="15"/>
  <c r="BS527" i="15" s="1"/>
  <c r="BS390" i="15"/>
  <c r="AF448" i="15"/>
  <c r="AK448" i="15"/>
  <c r="N448" i="15"/>
  <c r="W468" i="15"/>
  <c r="AY448" i="15"/>
  <c r="Y468" i="15"/>
  <c r="AD468" i="15"/>
  <c r="AA442" i="15"/>
  <c r="AA462" i="15" s="1"/>
  <c r="AS442" i="15"/>
  <c r="AS462" i="15" s="1"/>
  <c r="BF442" i="15"/>
  <c r="BF462" i="15" s="1"/>
  <c r="AF525" i="15"/>
  <c r="AT359" i="15"/>
  <c r="AX391" i="15"/>
  <c r="AX403" i="15" s="1"/>
  <c r="R392" i="15"/>
  <c r="R409" i="15" s="1"/>
  <c r="T448" i="15"/>
  <c r="BA448" i="15"/>
  <c r="AD448" i="15"/>
  <c r="BC468" i="15"/>
  <c r="BO448" i="15"/>
  <c r="AO468" i="15"/>
  <c r="AT468" i="15"/>
  <c r="BJ442" i="15"/>
  <c r="BJ462" i="15" s="1"/>
  <c r="AN442" i="15"/>
  <c r="AN462" i="15" s="1"/>
  <c r="AZ442" i="15"/>
  <c r="AZ462" i="15" s="1"/>
  <c r="BP442" i="15"/>
  <c r="BP462" i="15" s="1"/>
  <c r="AT360" i="15"/>
  <c r="AT527" i="15" s="1"/>
  <c r="R360" i="15"/>
  <c r="R519" i="15" s="1"/>
  <c r="BD448" i="15"/>
  <c r="S468" i="15"/>
  <c r="BQ448" i="15"/>
  <c r="AT448" i="15"/>
  <c r="S448" i="15"/>
  <c r="AF468" i="15"/>
  <c r="BE468" i="15"/>
  <c r="BJ468" i="15"/>
  <c r="AK442" i="15"/>
  <c r="AK462" i="15" s="1"/>
  <c r="AI442" i="15"/>
  <c r="AI462" i="15" s="1"/>
  <c r="V442" i="15"/>
  <c r="V462" i="15" s="1"/>
  <c r="AT442" i="15"/>
  <c r="AT462" i="15" s="1"/>
  <c r="AX392" i="15"/>
  <c r="AX409" i="15" s="1"/>
  <c r="AX359" i="15"/>
  <c r="AT390" i="15"/>
  <c r="Y392" i="15"/>
  <c r="Y409" i="15" s="1"/>
  <c r="BG468" i="15"/>
  <c r="AA468" i="15"/>
  <c r="AI468" i="15"/>
  <c r="AV448" i="15"/>
  <c r="AJ448" i="15"/>
  <c r="AY468" i="15"/>
  <c r="Y448" i="15"/>
  <c r="AO448" i="15"/>
  <c r="BE448" i="15"/>
  <c r="T468" i="15"/>
  <c r="AZ468" i="15"/>
  <c r="R448" i="15"/>
  <c r="AH448" i="15"/>
  <c r="AX448" i="15"/>
  <c r="BN448" i="15"/>
  <c r="AE468" i="15"/>
  <c r="BK468" i="15"/>
  <c r="W448" i="15"/>
  <c r="AM448" i="15"/>
  <c r="BC448" i="15"/>
  <c r="BS448" i="15"/>
  <c r="AN468" i="15"/>
  <c r="M468" i="15"/>
  <c r="AC468" i="15"/>
  <c r="AS468" i="15"/>
  <c r="BI468" i="15"/>
  <c r="R468" i="15"/>
  <c r="AH468" i="15"/>
  <c r="AX468" i="15"/>
  <c r="BN468" i="15"/>
  <c r="U442" i="15"/>
  <c r="U462" i="15" s="1"/>
  <c r="P442" i="15"/>
  <c r="P462" i="15" s="1"/>
  <c r="AC442" i="15"/>
  <c r="AC462" i="15" s="1"/>
  <c r="X442" i="15"/>
  <c r="X462" i="15" s="1"/>
  <c r="S442" i="15"/>
  <c r="S462" i="15" s="1"/>
  <c r="AD442" i="15"/>
  <c r="AD462" i="15" s="1"/>
  <c r="AR442" i="15"/>
  <c r="AR462" i="15" s="1"/>
  <c r="AX442" i="15"/>
  <c r="AX462" i="15" s="1"/>
  <c r="T442" i="15"/>
  <c r="T462" i="15" s="1"/>
  <c r="N442" i="15"/>
  <c r="N462" i="15" s="1"/>
  <c r="AG442" i="15"/>
  <c r="AG462" i="15" s="1"/>
  <c r="BH442" i="15"/>
  <c r="BH462" i="15" s="1"/>
  <c r="AE442" i="15"/>
  <c r="AE462" i="15" s="1"/>
  <c r="Z442" i="15"/>
  <c r="Z462" i="15" s="1"/>
  <c r="AF527" i="15"/>
  <c r="BD359" i="15"/>
  <c r="AU359" i="15"/>
  <c r="BD391" i="15"/>
  <c r="BD403" i="15" s="1"/>
  <c r="Y360" i="15"/>
  <c r="Y527" i="15" s="1"/>
  <c r="AF390" i="15"/>
  <c r="AF359" i="15"/>
  <c r="Y359" i="15"/>
  <c r="AF391" i="15"/>
  <c r="AF403" i="15" s="1"/>
  <c r="X448" i="15"/>
  <c r="AB448" i="15"/>
  <c r="BO468" i="15"/>
  <c r="BL448" i="15"/>
  <c r="AZ448" i="15"/>
  <c r="M448" i="15"/>
  <c r="AC448" i="15"/>
  <c r="AS448" i="15"/>
  <c r="BI448" i="15"/>
  <c r="AB468" i="15"/>
  <c r="BH468" i="15"/>
  <c r="V448" i="15"/>
  <c r="AL448" i="15"/>
  <c r="BB448" i="15"/>
  <c r="BR448" i="15"/>
  <c r="AM468" i="15"/>
  <c r="BS468" i="15"/>
  <c r="AA448" i="15"/>
  <c r="AQ448" i="15"/>
  <c r="BG448" i="15"/>
  <c r="P468" i="15"/>
  <c r="AV468" i="15"/>
  <c r="Q468" i="15"/>
  <c r="AG468" i="15"/>
  <c r="AW468" i="15"/>
  <c r="BM468" i="15"/>
  <c r="V468" i="15"/>
  <c r="AL468" i="15"/>
  <c r="BB468" i="15"/>
  <c r="BR468" i="15"/>
  <c r="BM442" i="15"/>
  <c r="BM462" i="15" s="1"/>
  <c r="BL442" i="15"/>
  <c r="BL462" i="15" s="1"/>
  <c r="BG442" i="15"/>
  <c r="BG462" i="15" s="1"/>
  <c r="BR442" i="15"/>
  <c r="BR462" i="15" s="1"/>
  <c r="M442" i="15"/>
  <c r="M462" i="15" s="1"/>
  <c r="BO442" i="15"/>
  <c r="BO462" i="15" s="1"/>
  <c r="AP442" i="15"/>
  <c r="AP462" i="15" s="1"/>
  <c r="BA442" i="15"/>
  <c r="BA462" i="15" s="1"/>
  <c r="BS442" i="15"/>
  <c r="BS462" i="15" s="1"/>
  <c r="BI442" i="15"/>
  <c r="BI462" i="15" s="1"/>
  <c r="AU442" i="15"/>
  <c r="AU462" i="15" s="1"/>
  <c r="AB442" i="15"/>
  <c r="AB462" i="15" s="1"/>
  <c r="BC442" i="15"/>
  <c r="BC462" i="15" s="1"/>
  <c r="R442" i="15"/>
  <c r="R462" i="15" s="1"/>
  <c r="AU390" i="15"/>
  <c r="AU392" i="15"/>
  <c r="AU409" i="15" s="1"/>
  <c r="BD360" i="15"/>
  <c r="BD525" i="15" s="1"/>
  <c r="AU360" i="15"/>
  <c r="AU527" i="15" s="1"/>
  <c r="I133" i="15"/>
  <c r="AN448" i="15"/>
  <c r="AR448" i="15"/>
  <c r="P448" i="15"/>
  <c r="AQ468" i="15"/>
  <c r="BP448" i="15"/>
  <c r="Q448" i="15"/>
  <c r="AG448" i="15"/>
  <c r="AW448" i="15"/>
  <c r="BM448" i="15"/>
  <c r="AJ468" i="15"/>
  <c r="BP468" i="15"/>
  <c r="Z448" i="15"/>
  <c r="AP448" i="15"/>
  <c r="BF448" i="15"/>
  <c r="O468" i="15"/>
  <c r="AU468" i="15"/>
  <c r="O448" i="15"/>
  <c r="AE448" i="15"/>
  <c r="AU448" i="15"/>
  <c r="BK448" i="15"/>
  <c r="X468" i="15"/>
  <c r="BD468" i="15"/>
  <c r="U468" i="15"/>
  <c r="AK468" i="15"/>
  <c r="BA468" i="15"/>
  <c r="BQ468" i="15"/>
  <c r="Z468" i="15"/>
  <c r="AP468" i="15"/>
  <c r="BF468" i="15"/>
  <c r="BE442" i="15"/>
  <c r="BE462" i="15" s="1"/>
  <c r="AV442" i="15"/>
  <c r="AV462" i="15" s="1"/>
  <c r="AQ442" i="15"/>
  <c r="AQ462" i="15" s="1"/>
  <c r="BN442" i="15"/>
  <c r="BN462" i="15" s="1"/>
  <c r="BQ442" i="15"/>
  <c r="BQ462" i="15" s="1"/>
  <c r="BD442" i="15"/>
  <c r="BD462" i="15" s="1"/>
  <c r="AY442" i="15"/>
  <c r="AY462" i="15" s="1"/>
  <c r="AL442" i="15"/>
  <c r="AL462" i="15" s="1"/>
  <c r="AW442" i="15"/>
  <c r="AW462" i="15" s="1"/>
  <c r="AM442" i="15"/>
  <c r="AM462" i="15" s="1"/>
  <c r="Y442" i="15"/>
  <c r="Y462" i="15" s="1"/>
  <c r="O442" i="15"/>
  <c r="O462" i="15" s="1"/>
  <c r="W442" i="15"/>
  <c r="W462" i="15" s="1"/>
  <c r="BB442" i="15"/>
  <c r="BB462" i="15" s="1"/>
  <c r="BK442" i="15"/>
  <c r="BK462" i="15" s="1"/>
  <c r="AF392" i="15"/>
  <c r="AF409" i="15" s="1"/>
  <c r="N128" i="11"/>
  <c r="L296" i="9"/>
  <c r="L302" i="9"/>
  <c r="L229" i="9"/>
  <c r="L278" i="9"/>
  <c r="L219" i="9"/>
  <c r="L181" i="18"/>
  <c r="BE293" i="18"/>
  <c r="L232" i="18"/>
  <c r="L247" i="18" s="1"/>
  <c r="I225" i="20"/>
  <c r="I252" i="20" s="1"/>
  <c r="L164" i="20"/>
  <c r="M217" i="20"/>
  <c r="Q217" i="20"/>
  <c r="U217" i="20"/>
  <c r="Y217" i="20"/>
  <c r="AC217" i="20"/>
  <c r="AG217" i="20"/>
  <c r="AK217" i="20"/>
  <c r="AO217" i="20"/>
  <c r="AS217" i="20"/>
  <c r="AW217" i="20"/>
  <c r="BA217" i="20"/>
  <c r="BE217" i="20"/>
  <c r="BI217" i="20"/>
  <c r="BM217" i="20"/>
  <c r="BQ217" i="20"/>
  <c r="T217" i="20"/>
  <c r="AB217" i="20"/>
  <c r="AJ217" i="20"/>
  <c r="AZ217" i="20"/>
  <c r="BL217" i="20"/>
  <c r="N217" i="20"/>
  <c r="R217" i="20"/>
  <c r="V217" i="20"/>
  <c r="Z217" i="20"/>
  <c r="AD217" i="20"/>
  <c r="AH217" i="20"/>
  <c r="AL217" i="20"/>
  <c r="AP217" i="20"/>
  <c r="AT217" i="20"/>
  <c r="AX217" i="20"/>
  <c r="BB217" i="20"/>
  <c r="BF217" i="20"/>
  <c r="BJ217" i="20"/>
  <c r="BN217" i="20"/>
  <c r="BR217" i="20"/>
  <c r="X217" i="20"/>
  <c r="AR217" i="20"/>
  <c r="BH217" i="20"/>
  <c r="O217" i="20"/>
  <c r="S217" i="20"/>
  <c r="W217" i="20"/>
  <c r="AA217" i="20"/>
  <c r="AE217" i="20"/>
  <c r="AI217" i="20"/>
  <c r="AM217" i="20"/>
  <c r="AQ217" i="20"/>
  <c r="AU217" i="20"/>
  <c r="AY217" i="20"/>
  <c r="BC217" i="20"/>
  <c r="BG217" i="20"/>
  <c r="BK217" i="20"/>
  <c r="BO217" i="20"/>
  <c r="BS217" i="20"/>
  <c r="P217" i="20"/>
  <c r="AF217" i="20"/>
  <c r="AN217" i="20"/>
  <c r="AV217" i="20"/>
  <c r="BD217" i="20"/>
  <c r="BP217" i="20"/>
  <c r="L163" i="20"/>
  <c r="Q42" i="21" s="1" a="1"/>
  <c r="M216" i="20"/>
  <c r="Q216" i="20"/>
  <c r="U216" i="20"/>
  <c r="Y216" i="20"/>
  <c r="AC216" i="20"/>
  <c r="AG216" i="20"/>
  <c r="AK216" i="20"/>
  <c r="AO216" i="20"/>
  <c r="AS216" i="20"/>
  <c r="AW216" i="20"/>
  <c r="BA216" i="20"/>
  <c r="BE216" i="20"/>
  <c r="BI216" i="20"/>
  <c r="BM216" i="20"/>
  <c r="BQ216" i="20"/>
  <c r="X216" i="20"/>
  <c r="AR216" i="20"/>
  <c r="BD216" i="20"/>
  <c r="BP216" i="20"/>
  <c r="N216" i="20"/>
  <c r="R216" i="20"/>
  <c r="V216" i="20"/>
  <c r="Z216" i="20"/>
  <c r="AD216" i="20"/>
  <c r="AH216" i="20"/>
  <c r="AL216" i="20"/>
  <c r="AP216" i="20"/>
  <c r="AT216" i="20"/>
  <c r="AX216" i="20"/>
  <c r="BB216" i="20"/>
  <c r="BF216" i="20"/>
  <c r="BJ216" i="20"/>
  <c r="BN216" i="20"/>
  <c r="BR216" i="20"/>
  <c r="T216" i="20"/>
  <c r="AB216" i="20"/>
  <c r="AJ216" i="20"/>
  <c r="AV216" i="20"/>
  <c r="BL216" i="20"/>
  <c r="O216" i="20"/>
  <c r="S216" i="20"/>
  <c r="W216" i="20"/>
  <c r="AA216" i="20"/>
  <c r="AE216" i="20"/>
  <c r="AI216" i="20"/>
  <c r="AM216" i="20"/>
  <c r="AQ216" i="20"/>
  <c r="AU216" i="20"/>
  <c r="AY216" i="20"/>
  <c r="BC216" i="20"/>
  <c r="BG216" i="20"/>
  <c r="BK216" i="20"/>
  <c r="BO216" i="20"/>
  <c r="BS216" i="20"/>
  <c r="P216" i="20"/>
  <c r="AF216" i="20"/>
  <c r="AN216" i="20"/>
  <c r="AZ216" i="20"/>
  <c r="BH216" i="20"/>
  <c r="N124" i="20"/>
  <c r="M125" i="20"/>
  <c r="Z174" i="20"/>
  <c r="L252" i="20"/>
  <c r="AZ174" i="20"/>
  <c r="BS174" i="20"/>
  <c r="BN174" i="20"/>
  <c r="AA174" i="20"/>
  <c r="BQ174" i="20"/>
  <c r="BD174" i="20"/>
  <c r="AW174" i="20"/>
  <c r="AU174" i="20"/>
  <c r="AT174" i="20"/>
  <c r="AC174" i="20"/>
  <c r="Z165" i="20"/>
  <c r="AJ174" i="20"/>
  <c r="BK174" i="20"/>
  <c r="AQ174" i="20"/>
  <c r="W174" i="20"/>
  <c r="AR174" i="20"/>
  <c r="BJ174" i="20"/>
  <c r="AP174" i="20"/>
  <c r="R174" i="20"/>
  <c r="BM174" i="20"/>
  <c r="AS174" i="20"/>
  <c r="U174" i="20"/>
  <c r="X174" i="20"/>
  <c r="BG174" i="20"/>
  <c r="AM174" i="20"/>
  <c r="O174" i="20"/>
  <c r="AF174" i="20"/>
  <c r="BF174" i="20"/>
  <c r="AH174" i="20"/>
  <c r="N174" i="20"/>
  <c r="BI174" i="20"/>
  <c r="AK174" i="20"/>
  <c r="Q174" i="20"/>
  <c r="BH174" i="20"/>
  <c r="P174" i="20"/>
  <c r="BC174" i="20"/>
  <c r="AE174" i="20"/>
  <c r="BP174" i="20"/>
  <c r="T174" i="20"/>
  <c r="AX174" i="20"/>
  <c r="AD174" i="20"/>
  <c r="BL174" i="20"/>
  <c r="BA174" i="20"/>
  <c r="AG174" i="20"/>
  <c r="M174" i="20"/>
  <c r="AB174" i="20"/>
  <c r="BO174" i="20"/>
  <c r="AY174" i="20"/>
  <c r="AI174" i="20"/>
  <c r="S174" i="20"/>
  <c r="AV174" i="20"/>
  <c r="BR174" i="20"/>
  <c r="BB174" i="20"/>
  <c r="AL174" i="20"/>
  <c r="V174" i="20"/>
  <c r="AN174" i="20"/>
  <c r="BE174" i="20"/>
  <c r="AO174" i="20"/>
  <c r="Y174" i="20"/>
  <c r="AZ165" i="20"/>
  <c r="AB165" i="20"/>
  <c r="AX165" i="20"/>
  <c r="P165" i="20"/>
  <c r="AN165" i="20"/>
  <c r="V165" i="20"/>
  <c r="AU165" i="20"/>
  <c r="AK165" i="20"/>
  <c r="AA165" i="20"/>
  <c r="BM165" i="20"/>
  <c r="BC165" i="20"/>
  <c r="AH165" i="20"/>
  <c r="X165" i="20"/>
  <c r="AO165" i="20"/>
  <c r="Y165" i="20"/>
  <c r="BF165" i="20"/>
  <c r="U165" i="20"/>
  <c r="BR165" i="20"/>
  <c r="AG165" i="20"/>
  <c r="AM165" i="20"/>
  <c r="AS165" i="20"/>
  <c r="AI165" i="20"/>
  <c r="AJ165" i="20"/>
  <c r="T165" i="20"/>
  <c r="AF165" i="20"/>
  <c r="AL165" i="20"/>
  <c r="BH165" i="20"/>
  <c r="W165" i="20"/>
  <c r="AC165" i="20"/>
  <c r="AD165" i="20"/>
  <c r="AE165" i="20"/>
  <c r="O165" i="20"/>
  <c r="BQ165" i="20"/>
  <c r="BL165" i="20"/>
  <c r="BG165" i="20"/>
  <c r="BB165" i="20"/>
  <c r="AW165" i="20"/>
  <c r="AR165" i="20"/>
  <c r="S165" i="20"/>
  <c r="N165" i="20"/>
  <c r="AP165" i="20"/>
  <c r="BP165" i="20"/>
  <c r="BA165" i="20"/>
  <c r="AV165" i="20"/>
  <c r="AQ165" i="20"/>
  <c r="R165" i="20"/>
  <c r="M165" i="20"/>
  <c r="BO165" i="20"/>
  <c r="BJ165" i="20"/>
  <c r="BE165" i="20"/>
  <c r="BK165" i="20"/>
  <c r="Q165" i="20"/>
  <c r="BS165" i="20"/>
  <c r="BN165" i="20"/>
  <c r="BI165" i="20"/>
  <c r="BD165" i="20"/>
  <c r="AY165" i="20"/>
  <c r="AT165" i="20"/>
  <c r="V501" i="18"/>
  <c r="AH501" i="18"/>
  <c r="AC501" i="18"/>
  <c r="BJ507" i="18"/>
  <c r="BG507" i="18"/>
  <c r="AU501" i="18"/>
  <c r="AY507" i="18"/>
  <c r="BD501" i="18"/>
  <c r="O122" i="20"/>
  <c r="S384" i="20"/>
  <c r="O384" i="20"/>
  <c r="AG384" i="20"/>
  <c r="AF384" i="20"/>
  <c r="AT384" i="20"/>
  <c r="AU384" i="20"/>
  <c r="M384" i="20"/>
  <c r="BN384" i="20"/>
  <c r="P384" i="20"/>
  <c r="AA384" i="20"/>
  <c r="BE384" i="20"/>
  <c r="L443" i="20"/>
  <c r="I420" i="20"/>
  <c r="L423" i="20"/>
  <c r="BF384" i="20"/>
  <c r="BH384" i="20"/>
  <c r="BR384" i="20"/>
  <c r="AV384" i="20"/>
  <c r="BS384" i="20"/>
  <c r="AJ384" i="20"/>
  <c r="BP384" i="20"/>
  <c r="AM384" i="20"/>
  <c r="AR384" i="20"/>
  <c r="Y384" i="20"/>
  <c r="Z384" i="20"/>
  <c r="AI384" i="20"/>
  <c r="AB384" i="20"/>
  <c r="BK384" i="20"/>
  <c r="BO384" i="20"/>
  <c r="AP384" i="20"/>
  <c r="Q384" i="20"/>
  <c r="AY384" i="20"/>
  <c r="BQ384" i="20"/>
  <c r="AZ384" i="20"/>
  <c r="BL384" i="20"/>
  <c r="AD384" i="20"/>
  <c r="AE384" i="20"/>
  <c r="T384" i="20"/>
  <c r="BI384" i="20"/>
  <c r="AN384" i="20"/>
  <c r="AH384" i="20"/>
  <c r="N384" i="20"/>
  <c r="L318" i="8"/>
  <c r="L335" i="8" s="1"/>
  <c r="L226" i="18" a="1"/>
  <c r="L226" i="18" s="1"/>
  <c r="AW501" i="18"/>
  <c r="BN501" i="18"/>
  <c r="AF501" i="18"/>
  <c r="Z507" i="18"/>
  <c r="M507" i="18"/>
  <c r="BO501" i="18"/>
  <c r="AJ501" i="18"/>
  <c r="Y505" i="18"/>
  <c r="Y511" i="18"/>
  <c r="AR505" i="18"/>
  <c r="AR511" i="18"/>
  <c r="BC505" i="18"/>
  <c r="BC511" i="18"/>
  <c r="AK505" i="18"/>
  <c r="AK511" i="18"/>
  <c r="AM505" i="18"/>
  <c r="AM511" i="18"/>
  <c r="Z505" i="18"/>
  <c r="Z511" i="18"/>
  <c r="S505" i="18"/>
  <c r="S511" i="18"/>
  <c r="BL505" i="18"/>
  <c r="BL511" i="18"/>
  <c r="P505" i="18"/>
  <c r="P511" i="18"/>
  <c r="M505" i="18"/>
  <c r="M511" i="18"/>
  <c r="U505" i="18"/>
  <c r="U511" i="18"/>
  <c r="BG505" i="18"/>
  <c r="BG511" i="18"/>
  <c r="R505" i="18"/>
  <c r="R511" i="18"/>
  <c r="AD505" i="18"/>
  <c r="AD511" i="18"/>
  <c r="AV505" i="18"/>
  <c r="AV511" i="18"/>
  <c r="AH505" i="18"/>
  <c r="AH511" i="18"/>
  <c r="AJ505" i="18"/>
  <c r="AJ511" i="18"/>
  <c r="AN505" i="18"/>
  <c r="AN511" i="18"/>
  <c r="AP505" i="18"/>
  <c r="AP511" i="18"/>
  <c r="AA505" i="18"/>
  <c r="AA511" i="18"/>
  <c r="BH505" i="18"/>
  <c r="BH511" i="18"/>
  <c r="AO505" i="18"/>
  <c r="AO511" i="18"/>
  <c r="BK505" i="18"/>
  <c r="BK511" i="18"/>
  <c r="AC505" i="18"/>
  <c r="AC511" i="18"/>
  <c r="BJ505" i="18"/>
  <c r="BJ511" i="18"/>
  <c r="BO505" i="18"/>
  <c r="BO511" i="18"/>
  <c r="BS505" i="18"/>
  <c r="BS511" i="18"/>
  <c r="AT505" i="18"/>
  <c r="AT511" i="18"/>
  <c r="V505" i="18"/>
  <c r="V511" i="18"/>
  <c r="AF505" i="18"/>
  <c r="AF511" i="18"/>
  <c r="BM505" i="18"/>
  <c r="BM511" i="18"/>
  <c r="T505" i="18"/>
  <c r="T511" i="18"/>
  <c r="W505" i="18"/>
  <c r="W511" i="18"/>
  <c r="BR505" i="18"/>
  <c r="BR511" i="18"/>
  <c r="BP505" i="18"/>
  <c r="BP511" i="18"/>
  <c r="Q505" i="18"/>
  <c r="Q511" i="18"/>
  <c r="AB505" i="18"/>
  <c r="AB511" i="18"/>
  <c r="AZ505" i="18"/>
  <c r="AZ511" i="18"/>
  <c r="AU505" i="18"/>
  <c r="AU511" i="18"/>
  <c r="AE505" i="18"/>
  <c r="AE511" i="18"/>
  <c r="BI505" i="18"/>
  <c r="BI511" i="18"/>
  <c r="AX505" i="18"/>
  <c r="AX511" i="18"/>
  <c r="BQ505" i="18"/>
  <c r="BQ511" i="18"/>
  <c r="O505" i="18"/>
  <c r="O511" i="18"/>
  <c r="AI505" i="18"/>
  <c r="AI511" i="18"/>
  <c r="AQ505" i="18"/>
  <c r="AQ511" i="18"/>
  <c r="BA505" i="18"/>
  <c r="BA511" i="18"/>
  <c r="N505" i="18"/>
  <c r="N511" i="18"/>
  <c r="X505" i="18"/>
  <c r="X511" i="18"/>
  <c r="BN505" i="18"/>
  <c r="BN511" i="18"/>
  <c r="BE505" i="18"/>
  <c r="BE511" i="18"/>
  <c r="AY505" i="18"/>
  <c r="AY511" i="18"/>
  <c r="AW505" i="18"/>
  <c r="AW511" i="18"/>
  <c r="BB505" i="18"/>
  <c r="BB511" i="18"/>
  <c r="AL505" i="18"/>
  <c r="AL511" i="18"/>
  <c r="AG505" i="18"/>
  <c r="AG511" i="18"/>
  <c r="AS505" i="18"/>
  <c r="AS511" i="18"/>
  <c r="BD505" i="18"/>
  <c r="BD511" i="18"/>
  <c r="BF505" i="18"/>
  <c r="BF511" i="18"/>
  <c r="L505" i="18"/>
  <c r="L511" i="18"/>
  <c r="BL509" i="18"/>
  <c r="BG509" i="18"/>
  <c r="AR509" i="18"/>
  <c r="AM509" i="18"/>
  <c r="AH509" i="18"/>
  <c r="BC501" i="18"/>
  <c r="AT509" i="18"/>
  <c r="T509" i="18"/>
  <c r="BM509" i="18"/>
  <c r="AS509" i="18"/>
  <c r="AI509" i="18"/>
  <c r="AL501" i="18"/>
  <c r="AG501" i="18"/>
  <c r="AB501" i="18"/>
  <c r="AX501" i="18"/>
  <c r="BR507" i="18"/>
  <c r="BB507" i="18"/>
  <c r="BE507" i="18"/>
  <c r="BP509" i="18"/>
  <c r="BK509" i="18"/>
  <c r="BF509" i="18"/>
  <c r="BI509" i="18"/>
  <c r="AV509" i="18"/>
  <c r="AQ509" i="18"/>
  <c r="AL509" i="18"/>
  <c r="Y509" i="18"/>
  <c r="AB509" i="18"/>
  <c r="W509" i="18"/>
  <c r="R509" i="18"/>
  <c r="BQ509" i="18"/>
  <c r="N509" i="18"/>
  <c r="M509" i="18"/>
  <c r="AD509" i="18"/>
  <c r="O509" i="18"/>
  <c r="BB509" i="18"/>
  <c r="BA509" i="18"/>
  <c r="Q501" i="18"/>
  <c r="BP501" i="18"/>
  <c r="BN507" i="18"/>
  <c r="AL507" i="18"/>
  <c r="T507" i="18"/>
  <c r="AA507" i="18"/>
  <c r="AQ507" i="18"/>
  <c r="X507" i="18"/>
  <c r="AN507" i="18"/>
  <c r="BD507" i="18"/>
  <c r="AC507" i="18"/>
  <c r="AS507" i="18"/>
  <c r="BI507" i="18"/>
  <c r="N501" i="18"/>
  <c r="W501" i="18"/>
  <c r="BQ501" i="18"/>
  <c r="BG501" i="18"/>
  <c r="T501" i="18"/>
  <c r="AZ509" i="18"/>
  <c r="AU509" i="18"/>
  <c r="AP509" i="18"/>
  <c r="BE509" i="18"/>
  <c r="AF509" i="18"/>
  <c r="AA509" i="18"/>
  <c r="V509" i="18"/>
  <c r="AK509" i="18"/>
  <c r="BS509" i="18"/>
  <c r="BN509" i="18"/>
  <c r="AG509" i="18"/>
  <c r="BO509" i="18"/>
  <c r="BD509" i="18"/>
  <c r="X509" i="18"/>
  <c r="U509" i="18"/>
  <c r="Q509" i="18"/>
  <c r="BR501" i="18"/>
  <c r="BM501" i="18"/>
  <c r="AY501" i="18"/>
  <c r="L509" i="18"/>
  <c r="AZ501" i="18"/>
  <c r="AX507" i="18"/>
  <c r="O507" i="18"/>
  <c r="AE507" i="18"/>
  <c r="AU507" i="18"/>
  <c r="AB507" i="18"/>
  <c r="AG507" i="18"/>
  <c r="AW507" i="18"/>
  <c r="BE501" i="18"/>
  <c r="AI501" i="18"/>
  <c r="BF501" i="18"/>
  <c r="O501" i="18"/>
  <c r="AJ509" i="18"/>
  <c r="AE509" i="18"/>
  <c r="Z509" i="18"/>
  <c r="AO509" i="18"/>
  <c r="P509" i="18"/>
  <c r="BR509" i="18"/>
  <c r="AW509" i="18"/>
  <c r="BH509" i="18"/>
  <c r="BC509" i="18"/>
  <c r="AX509" i="18"/>
  <c r="AC509" i="18"/>
  <c r="BJ509" i="18"/>
  <c r="AY509" i="18"/>
  <c r="AN509" i="18"/>
  <c r="S509" i="18"/>
  <c r="AP507" i="18"/>
  <c r="R507" i="18"/>
  <c r="BK507" i="18"/>
  <c r="AR507" i="18"/>
  <c r="BH507" i="18"/>
  <c r="Q507" i="18"/>
  <c r="BM507" i="18"/>
  <c r="BB501" i="18"/>
  <c r="AQ501" i="18"/>
  <c r="N507" i="18"/>
  <c r="V507" i="18"/>
  <c r="BF507" i="18"/>
  <c r="AD507" i="18"/>
  <c r="S507" i="18"/>
  <c r="AI507" i="18"/>
  <c r="BO507" i="18"/>
  <c r="AF507" i="18"/>
  <c r="AV507" i="18"/>
  <c r="BL507" i="18"/>
  <c r="U507" i="18"/>
  <c r="AK507" i="18"/>
  <c r="BA507" i="18"/>
  <c r="BQ507" i="18"/>
  <c r="AH507" i="18"/>
  <c r="P507" i="18"/>
  <c r="AT507" i="18"/>
  <c r="W507" i="18"/>
  <c r="AM507" i="18"/>
  <c r="BC507" i="18"/>
  <c r="BS507" i="18"/>
  <c r="AJ507" i="18"/>
  <c r="AZ507" i="18"/>
  <c r="BP507" i="18"/>
  <c r="Y507" i="18"/>
  <c r="AO507" i="18"/>
  <c r="X501" i="18"/>
  <c r="BK501" i="18"/>
  <c r="R501" i="18"/>
  <c r="M501" i="18"/>
  <c r="BJ501" i="18"/>
  <c r="AE501" i="18"/>
  <c r="BA501" i="18"/>
  <c r="AA501" i="18"/>
  <c r="S501" i="18"/>
  <c r="BS501" i="18"/>
  <c r="BI501" i="18"/>
  <c r="AT501" i="18"/>
  <c r="AO501" i="18"/>
  <c r="AP501" i="18"/>
  <c r="AK501" i="18"/>
  <c r="AV501" i="18"/>
  <c r="BH501" i="18"/>
  <c r="AN501" i="18"/>
  <c r="AS501" i="18"/>
  <c r="BL501" i="18"/>
  <c r="AM501" i="18"/>
  <c r="AD501" i="18"/>
  <c r="Y501" i="18"/>
  <c r="Z501" i="18"/>
  <c r="U501" i="18"/>
  <c r="P501" i="18"/>
  <c r="AR501" i="18"/>
  <c r="I177" i="18"/>
  <c r="BL114" i="8"/>
  <c r="BM112" i="8"/>
  <c r="H64" i="18"/>
  <c r="I64" i="18" s="1"/>
  <c r="H65" i="18"/>
  <c r="I65" i="18" s="1"/>
  <c r="H66" i="18"/>
  <c r="I66" i="18" s="1"/>
  <c r="H67" i="18"/>
  <c r="I67" i="18" s="1"/>
  <c r="F64" i="18"/>
  <c r="G64" i="18" s="1"/>
  <c r="F65" i="18"/>
  <c r="F66" i="18"/>
  <c r="G66" i="18" s="1"/>
  <c r="F67" i="18"/>
  <c r="G67" i="18" s="1"/>
  <c r="L317" i="8"/>
  <c r="L329" i="8" s="1"/>
  <c r="M326" i="5"/>
  <c r="M338" i="5" s="1"/>
  <c r="M294" i="5"/>
  <c r="M295" i="5"/>
  <c r="M454" i="5" s="1"/>
  <c r="L255" i="8"/>
  <c r="M264" i="5"/>
  <c r="M258" i="5"/>
  <c r="M325" i="5"/>
  <c r="M332" i="5" s="1"/>
  <c r="L316" i="8"/>
  <c r="L323" i="8" s="1"/>
  <c r="L249" i="8"/>
  <c r="L286" i="8"/>
  <c r="L285" i="8"/>
  <c r="L295" i="5"/>
  <c r="L454" i="5" s="1"/>
  <c r="L327" i="5"/>
  <c r="L344" i="5" s="1"/>
  <c r="BN395" i="18"/>
  <c r="BN389" i="18"/>
  <c r="P389" i="18"/>
  <c r="P395" i="18"/>
  <c r="AA395" i="18"/>
  <c r="AA389" i="18"/>
  <c r="BE395" i="18"/>
  <c r="BE389" i="18"/>
  <c r="AX389" i="18"/>
  <c r="AX395" i="18"/>
  <c r="R389" i="18"/>
  <c r="R395" i="18"/>
  <c r="L325" i="5"/>
  <c r="L332" i="5" s="1"/>
  <c r="L294" i="5"/>
  <c r="BB389" i="18"/>
  <c r="BB395" i="18"/>
  <c r="BF395" i="18"/>
  <c r="BF389" i="18"/>
  <c r="AO389" i="18"/>
  <c r="AO395" i="18"/>
  <c r="AS389" i="18"/>
  <c r="AS395" i="18"/>
  <c r="AY389" i="18"/>
  <c r="AY395" i="18"/>
  <c r="S395" i="18"/>
  <c r="S389" i="18"/>
  <c r="AT395" i="18"/>
  <c r="AT389" i="18"/>
  <c r="AQ395" i="18"/>
  <c r="AQ389" i="18"/>
  <c r="AK395" i="18"/>
  <c r="AK389" i="18"/>
  <c r="AZ395" i="18"/>
  <c r="AZ389" i="18"/>
  <c r="BJ389" i="18"/>
  <c r="BJ395" i="18"/>
  <c r="V395" i="18"/>
  <c r="V389" i="18"/>
  <c r="AL389" i="18"/>
  <c r="AL395" i="18"/>
  <c r="M389" i="18"/>
  <c r="M395" i="18"/>
  <c r="L258" i="5"/>
  <c r="L326" i="5"/>
  <c r="L338" i="5" s="1"/>
  <c r="L434" i="18"/>
  <c r="I434" i="18" s="1"/>
  <c r="I431" i="18"/>
  <c r="L454" i="18"/>
  <c r="L507" i="18" s="1"/>
  <c r="O389" i="18"/>
  <c r="O395" i="18"/>
  <c r="AG395" i="18"/>
  <c r="AG389" i="18"/>
  <c r="BH389" i="18"/>
  <c r="BH395" i="18"/>
  <c r="AF395" i="18"/>
  <c r="AF389" i="18"/>
  <c r="BR389" i="18"/>
  <c r="BR395" i="18"/>
  <c r="BQ389" i="18"/>
  <c r="BQ395" i="18"/>
  <c r="AU395" i="18"/>
  <c r="AU389" i="18"/>
  <c r="BA395" i="18"/>
  <c r="BA389" i="18"/>
  <c r="BM395" i="18"/>
  <c r="BM389" i="18"/>
  <c r="AV389" i="18"/>
  <c r="AV395" i="18"/>
  <c r="L448" i="18"/>
  <c r="I428" i="18"/>
  <c r="BS389" i="18"/>
  <c r="BS395" i="18"/>
  <c r="BL389" i="18"/>
  <c r="BL395" i="18"/>
  <c r="AD395" i="18"/>
  <c r="AD389" i="18"/>
  <c r="W389" i="18"/>
  <c r="W395" i="18"/>
  <c r="X389" i="18"/>
  <c r="X395" i="18"/>
  <c r="AJ389" i="18"/>
  <c r="AJ395" i="18"/>
  <c r="BP395" i="18"/>
  <c r="BP389" i="18"/>
  <c r="BG389" i="18"/>
  <c r="BG395" i="18"/>
  <c r="AM389" i="18"/>
  <c r="AM395" i="18"/>
  <c r="AR389" i="18"/>
  <c r="AR395" i="18"/>
  <c r="Y389" i="18"/>
  <c r="Y395" i="18"/>
  <c r="BD389" i="18"/>
  <c r="BD395" i="18"/>
  <c r="AW395" i="18"/>
  <c r="AW389" i="18"/>
  <c r="Z395" i="18"/>
  <c r="Z389" i="18"/>
  <c r="AI395" i="18"/>
  <c r="AI389" i="18"/>
  <c r="AB395" i="18"/>
  <c r="AB389" i="18"/>
  <c r="BK395" i="18"/>
  <c r="BK389" i="18"/>
  <c r="BO389" i="18"/>
  <c r="BO395" i="18"/>
  <c r="AE389" i="18"/>
  <c r="AE395" i="18"/>
  <c r="AP389" i="18"/>
  <c r="AP395" i="18"/>
  <c r="AC389" i="18"/>
  <c r="AC395" i="18"/>
  <c r="Q395" i="18"/>
  <c r="Q389" i="18"/>
  <c r="T389" i="18"/>
  <c r="T395" i="18"/>
  <c r="U395" i="18"/>
  <c r="U389" i="18"/>
  <c r="BI395" i="18"/>
  <c r="BI389" i="18"/>
  <c r="BC389" i="18"/>
  <c r="BC395" i="18"/>
  <c r="AN389" i="18"/>
  <c r="AN395" i="18"/>
  <c r="AH389" i="18"/>
  <c r="AH395" i="18"/>
  <c r="N395" i="18"/>
  <c r="N389" i="18"/>
  <c r="I456" i="18"/>
  <c r="L328" i="10"/>
  <c r="L348" i="10" s="1"/>
  <c r="L436" i="15" a="1"/>
  <c r="L436" i="15" s="1"/>
  <c r="AC527" i="15"/>
  <c r="AC519" i="15"/>
  <c r="AC525" i="15"/>
  <c r="BL527" i="15"/>
  <c r="BL519" i="15"/>
  <c r="BL525" i="15"/>
  <c r="L136" i="10" a="1"/>
  <c r="L136" i="10" s="1"/>
  <c r="L184" i="10" s="1" a="1"/>
  <c r="L184" i="10" s="1"/>
  <c r="AZ337" i="11"/>
  <c r="L470" i="15"/>
  <c r="AM337" i="11"/>
  <c r="O337" i="11"/>
  <c r="BS338" i="11"/>
  <c r="BS501" i="11" s="1"/>
  <c r="L497" i="11"/>
  <c r="AB337" i="11"/>
  <c r="BP337" i="11"/>
  <c r="AU337" i="11"/>
  <c r="BM368" i="11"/>
  <c r="BI337" i="11"/>
  <c r="BG368" i="11"/>
  <c r="T337" i="11"/>
  <c r="Q337" i="11"/>
  <c r="AN368" i="11"/>
  <c r="AW368" i="11"/>
  <c r="BG338" i="11"/>
  <c r="U337" i="11"/>
  <c r="AO368" i="11"/>
  <c r="BO368" i="11"/>
  <c r="S368" i="11"/>
  <c r="AI338" i="11"/>
  <c r="BA337" i="11"/>
  <c r="V368" i="11"/>
  <c r="AV368" i="11"/>
  <c r="BM338" i="11"/>
  <c r="BM505" i="11" s="1"/>
  <c r="AN338" i="11"/>
  <c r="AI337" i="11"/>
  <c r="BG337" i="11"/>
  <c r="AW338" i="11"/>
  <c r="S338" i="11"/>
  <c r="AO338" i="11"/>
  <c r="V338" i="11"/>
  <c r="U369" i="11"/>
  <c r="U381" i="11" s="1"/>
  <c r="BA369" i="11"/>
  <c r="BA381" i="11" s="1"/>
  <c r="AU369" i="11"/>
  <c r="T369" i="11"/>
  <c r="AI369" i="11"/>
  <c r="W369" i="11"/>
  <c r="W381" i="11" s="1"/>
  <c r="AX369" i="11"/>
  <c r="AX381" i="11" s="1"/>
  <c r="BI369" i="11"/>
  <c r="BI381" i="11" s="1"/>
  <c r="Q369" i="11"/>
  <c r="U501" i="11"/>
  <c r="BA501" i="11"/>
  <c r="BM337" i="11"/>
  <c r="AN337" i="11"/>
  <c r="BO338" i="11"/>
  <c r="BO505" i="11" s="1"/>
  <c r="AV338" i="11"/>
  <c r="AV501" i="11" s="1"/>
  <c r="W338" i="11"/>
  <c r="AX338" i="11"/>
  <c r="AW337" i="11"/>
  <c r="S337" i="11"/>
  <c r="AO337" i="11"/>
  <c r="V337" i="11"/>
  <c r="U368" i="11"/>
  <c r="BA368" i="11"/>
  <c r="AU368" i="11"/>
  <c r="T368" i="11"/>
  <c r="W368" i="11"/>
  <c r="AX368" i="11"/>
  <c r="BI368" i="11"/>
  <c r="Q368" i="11"/>
  <c r="BO337" i="11"/>
  <c r="AV337" i="11"/>
  <c r="AE337" i="11"/>
  <c r="BN337" i="11"/>
  <c r="BR368" i="11"/>
  <c r="BF368" i="11"/>
  <c r="AH337" i="11"/>
  <c r="AP368" i="11"/>
  <c r="AT337" i="11"/>
  <c r="AL337" i="11"/>
  <c r="AS338" i="11"/>
  <c r="AR369" i="11"/>
  <c r="AR381" i="11" s="1"/>
  <c r="AY337" i="11"/>
  <c r="M338" i="11"/>
  <c r="M505" i="11" s="1"/>
  <c r="AQ337" i="11"/>
  <c r="AJ337" i="11"/>
  <c r="AK337" i="11"/>
  <c r="P338" i="11"/>
  <c r="AF338" i="11"/>
  <c r="AD338" i="11"/>
  <c r="R338" i="11"/>
  <c r="R501" i="11" s="1"/>
  <c r="AF369" i="11"/>
  <c r="AF381" i="11" s="1"/>
  <c r="AD369" i="11"/>
  <c r="AD381" i="11" s="1"/>
  <c r="AJ369" i="11"/>
  <c r="AJ381" i="11" s="1"/>
  <c r="AY369" i="11"/>
  <c r="AL369" i="11"/>
  <c r="AL381" i="11" s="1"/>
  <c r="L505" i="11"/>
  <c r="I440" i="15"/>
  <c r="Z337" i="11"/>
  <c r="BD337" i="11"/>
  <c r="AR338" i="11"/>
  <c r="AF337" i="11"/>
  <c r="AD337" i="11"/>
  <c r="R337" i="11"/>
  <c r="AD368" i="11"/>
  <c r="R369" i="11"/>
  <c r="R381" i="11" s="1"/>
  <c r="BS369" i="11"/>
  <c r="AJ368" i="11"/>
  <c r="AY368" i="11"/>
  <c r="AL368" i="11"/>
  <c r="AU501" i="11"/>
  <c r="BH337" i="11"/>
  <c r="X337" i="11"/>
  <c r="P369" i="11"/>
  <c r="L503" i="11"/>
  <c r="AR337" i="11"/>
  <c r="P337" i="11"/>
  <c r="BS337" i="11"/>
  <c r="AR368" i="11"/>
  <c r="AC337" i="11"/>
  <c r="AQ369" i="11"/>
  <c r="AQ381" i="11" s="1"/>
  <c r="BH369" i="11"/>
  <c r="BH381" i="11" s="1"/>
  <c r="Z369" i="11"/>
  <c r="AK369" i="11"/>
  <c r="AK381" i="11" s="1"/>
  <c r="O369" i="11"/>
  <c r="O381" i="11" s="1"/>
  <c r="X369" i="11"/>
  <c r="BD369" i="11"/>
  <c r="BD381" i="11" s="1"/>
  <c r="AQ338" i="11"/>
  <c r="BH338" i="11"/>
  <c r="Z338" i="11"/>
  <c r="AK338" i="11"/>
  <c r="AK505" i="11" s="1"/>
  <c r="O338" i="11"/>
  <c r="X338" i="11"/>
  <c r="X501" i="11" s="1"/>
  <c r="BD338" i="11"/>
  <c r="BL368" i="11"/>
  <c r="BC338" i="11"/>
  <c r="BK337" i="11"/>
  <c r="BR338" i="11"/>
  <c r="BR505" i="11" s="1"/>
  <c r="BB368" i="11"/>
  <c r="BC368" i="11"/>
  <c r="BQ338" i="11"/>
  <c r="BC337" i="11"/>
  <c r="BL338" i="11"/>
  <c r="BL505" i="11" s="1"/>
  <c r="BF338" i="11"/>
  <c r="AG338" i="11"/>
  <c r="AG505" i="11" s="1"/>
  <c r="BR337" i="11"/>
  <c r="BB338" i="11"/>
  <c r="AS337" i="11"/>
  <c r="AG369" i="11"/>
  <c r="AG381" i="11" s="1"/>
  <c r="AZ369" i="11"/>
  <c r="BQ369" i="11"/>
  <c r="BQ381" i="11" s="1"/>
  <c r="BK369" i="11"/>
  <c r="AS369" i="11"/>
  <c r="BQ337" i="11"/>
  <c r="BL337" i="11"/>
  <c r="BF337" i="11"/>
  <c r="AG337" i="11"/>
  <c r="BE338" i="11"/>
  <c r="BB337" i="11"/>
  <c r="AZ368" i="11"/>
  <c r="BQ368" i="11"/>
  <c r="BK368" i="11"/>
  <c r="BE337" i="11"/>
  <c r="BR369" i="11"/>
  <c r="BE368" i="11"/>
  <c r="L371" i="11"/>
  <c r="L391" i="11" s="1"/>
  <c r="AC501" i="11"/>
  <c r="AH501" i="11"/>
  <c r="BJ338" i="11"/>
  <c r="BJ505" i="11" s="1"/>
  <c r="Y338" i="11"/>
  <c r="AP338" i="11"/>
  <c r="AM369" i="11"/>
  <c r="AH369" i="11"/>
  <c r="AH381" i="11" s="1"/>
  <c r="AT369" i="11"/>
  <c r="AE369" i="11"/>
  <c r="AC369" i="11"/>
  <c r="BJ369" i="11"/>
  <c r="BJ381" i="11" s="1"/>
  <c r="AB369" i="11"/>
  <c r="AB381" i="11" s="1"/>
  <c r="BN369" i="11"/>
  <c r="BN381" i="11" s="1"/>
  <c r="Y369" i="11"/>
  <c r="BP369" i="11"/>
  <c r="BJ337" i="11"/>
  <c r="Y337" i="11"/>
  <c r="AP337" i="11"/>
  <c r="AM368" i="11"/>
  <c r="AH368" i="11"/>
  <c r="AT368" i="11"/>
  <c r="AE368" i="11"/>
  <c r="AC368" i="11"/>
  <c r="AB368" i="11"/>
  <c r="BN368" i="11"/>
  <c r="BP368" i="11"/>
  <c r="AB505" i="11"/>
  <c r="BP505" i="11"/>
  <c r="AJ505" i="11"/>
  <c r="BK505" i="11"/>
  <c r="AT505" i="11"/>
  <c r="AC505" i="11"/>
  <c r="BE370" i="11"/>
  <c r="BE409" i="15"/>
  <c r="BL370" i="11"/>
  <c r="BQ370" i="11"/>
  <c r="BQ409" i="15"/>
  <c r="BB370" i="11"/>
  <c r="BK370" i="11"/>
  <c r="BK493" i="11" s="1"/>
  <c r="BK409" i="15"/>
  <c r="BC370" i="11"/>
  <c r="AS370" i="11"/>
  <c r="AS387" i="11" s="1"/>
  <c r="BF370" i="11"/>
  <c r="BF387" i="11" s="1"/>
  <c r="M368" i="11"/>
  <c r="M369" i="11"/>
  <c r="M381" i="11" s="1"/>
  <c r="M409" i="15"/>
  <c r="M337" i="11"/>
  <c r="AR370" i="11"/>
  <c r="AR387" i="11" s="1"/>
  <c r="P370" i="11"/>
  <c r="BS370" i="11"/>
  <c r="BS387" i="11" s="1"/>
  <c r="AJ370" i="11"/>
  <c r="AJ493" i="11" s="1"/>
  <c r="AY370" i="11"/>
  <c r="AL370" i="11"/>
  <c r="AM370" i="11"/>
  <c r="AH370" i="11"/>
  <c r="AH493" i="11" s="1"/>
  <c r="AT370" i="11"/>
  <c r="AT409" i="15"/>
  <c r="AQ370" i="11"/>
  <c r="AQ403" i="15"/>
  <c r="BH370" i="11"/>
  <c r="BH387" i="11" s="1"/>
  <c r="Z370" i="11"/>
  <c r="Z409" i="15"/>
  <c r="AK370" i="11"/>
  <c r="AK387" i="11" s="1"/>
  <c r="AK403" i="15"/>
  <c r="O370" i="11"/>
  <c r="X370" i="11"/>
  <c r="BD370" i="11"/>
  <c r="BD409" i="15"/>
  <c r="AO370" i="11"/>
  <c r="U370" i="11"/>
  <c r="V370" i="11"/>
  <c r="BA370" i="11"/>
  <c r="AU505" i="11"/>
  <c r="BI505" i="11"/>
  <c r="U505" i="11"/>
  <c r="BA505" i="11"/>
  <c r="AZ505" i="11"/>
  <c r="AE370" i="11"/>
  <c r="AE403" i="15"/>
  <c r="AC370" i="11"/>
  <c r="BJ370" i="11"/>
  <c r="AB370" i="11"/>
  <c r="AB409" i="15"/>
  <c r="BN370" i="11"/>
  <c r="Y370" i="11"/>
  <c r="Y403" i="15"/>
  <c r="BP370" i="11"/>
  <c r="BP493" i="11" s="1"/>
  <c r="W370" i="11"/>
  <c r="W409" i="15"/>
  <c r="BG370" i="11"/>
  <c r="AX370" i="11"/>
  <c r="AW370" i="11"/>
  <c r="BI370" i="11"/>
  <c r="BI403" i="15"/>
  <c r="S370" i="11"/>
  <c r="S409" i="15"/>
  <c r="Q370" i="11"/>
  <c r="N370" i="11"/>
  <c r="N409" i="15"/>
  <c r="AG370" i="11"/>
  <c r="AG409" i="15"/>
  <c r="BR370" i="11"/>
  <c r="AZ370" i="11"/>
  <c r="BM370" i="11"/>
  <c r="BM403" i="15"/>
  <c r="AU370" i="11"/>
  <c r="AU403" i="15"/>
  <c r="AN370" i="11"/>
  <c r="AN409" i="15"/>
  <c r="T370" i="11"/>
  <c r="BO370" i="11"/>
  <c r="AI370" i="11"/>
  <c r="AI387" i="11" s="1"/>
  <c r="AV370" i="11"/>
  <c r="AP370" i="11"/>
  <c r="AP387" i="11" s="1"/>
  <c r="I445" i="15"/>
  <c r="L468" i="15"/>
  <c r="L448" i="15"/>
  <c r="AA370" i="11"/>
  <c r="AA387" i="11" s="1"/>
  <c r="AA368" i="11"/>
  <c r="AA338" i="11"/>
  <c r="AA369" i="11"/>
  <c r="AA381" i="11" s="1"/>
  <c r="AA403" i="15"/>
  <c r="AA337" i="11"/>
  <c r="AF370" i="11"/>
  <c r="AF387" i="11" s="1"/>
  <c r="AD370" i="11"/>
  <c r="AD403" i="15"/>
  <c r="R370" i="11"/>
  <c r="BK450" i="10"/>
  <c r="BL450" i="10"/>
  <c r="AC450" i="10"/>
  <c r="BG458" i="10"/>
  <c r="BK458" i="10"/>
  <c r="BO458" i="10"/>
  <c r="AR458" i="10"/>
  <c r="AW458" i="10"/>
  <c r="BR458" i="10"/>
  <c r="L135" i="10" a="1"/>
  <c r="L135" i="10" s="1"/>
  <c r="L370" i="10" s="1" a="1"/>
  <c r="L370" i="10" s="1"/>
  <c r="L160" i="9" a="1"/>
  <c r="P94" i="25" s="1" a="1"/>
  <c r="P94" i="25" s="1"/>
  <c r="Q497" i="11"/>
  <c r="BA497" i="11"/>
  <c r="BA503" i="11"/>
  <c r="AZ497" i="11"/>
  <c r="T497" i="11"/>
  <c r="U497" i="11"/>
  <c r="U503" i="11"/>
  <c r="BI501" i="11"/>
  <c r="AB497" i="11"/>
  <c r="AB503" i="11"/>
  <c r="BP497" i="11"/>
  <c r="BP503" i="11"/>
  <c r="AJ497" i="11"/>
  <c r="AJ503" i="11"/>
  <c r="AL503" i="11"/>
  <c r="BK497" i="11"/>
  <c r="BK503" i="11"/>
  <c r="AM503" i="11"/>
  <c r="AT497" i="11"/>
  <c r="AT503" i="11"/>
  <c r="AC497" i="11"/>
  <c r="AC503" i="11"/>
  <c r="BN503" i="11"/>
  <c r="AU497" i="11"/>
  <c r="AU503" i="11"/>
  <c r="AE501" i="11"/>
  <c r="AB501" i="11"/>
  <c r="AY501" i="11"/>
  <c r="BK501" i="11"/>
  <c r="AT501" i="11"/>
  <c r="AJ501" i="11"/>
  <c r="BP501" i="11"/>
  <c r="N368" i="11"/>
  <c r="N369" i="11"/>
  <c r="N337" i="11"/>
  <c r="N338" i="11"/>
  <c r="G43" i="11"/>
  <c r="BB454" i="10"/>
  <c r="BQ460" i="10"/>
  <c r="BQ458" i="10"/>
  <c r="BQ454" i="10"/>
  <c r="BQ450" i="10"/>
  <c r="Y450" i="10"/>
  <c r="Y456" i="10"/>
  <c r="BB450" i="10"/>
  <c r="Y458" i="10"/>
  <c r="BB458" i="10"/>
  <c r="Y454" i="10"/>
  <c r="Y460" i="10"/>
  <c r="BB460" i="10"/>
  <c r="AZ450" i="10"/>
  <c r="AL450" i="10"/>
  <c r="AZ458" i="10"/>
  <c r="AZ454" i="10"/>
  <c r="BB456" i="10"/>
  <c r="AL458" i="10"/>
  <c r="AZ460" i="10"/>
  <c r="AZ456" i="10"/>
  <c r="AE458" i="10"/>
  <c r="T454" i="10"/>
  <c r="AE460" i="10"/>
  <c r="BQ456" i="10"/>
  <c r="AE456" i="10"/>
  <c r="AE450" i="10"/>
  <c r="AL460" i="10"/>
  <c r="AE454" i="10"/>
  <c r="T456" i="10"/>
  <c r="BE456" i="10"/>
  <c r="AL454" i="10"/>
  <c r="AL456" i="10"/>
  <c r="T458" i="10"/>
  <c r="BE458" i="10"/>
  <c r="BE460" i="10"/>
  <c r="BE450" i="10"/>
  <c r="BE454" i="10"/>
  <c r="T450" i="10"/>
  <c r="T460" i="10"/>
  <c r="AO458" i="10"/>
  <c r="AO460" i="10"/>
  <c r="I418" i="11"/>
  <c r="L420" i="11"/>
  <c r="BL381" i="11"/>
  <c r="AW381" i="11"/>
  <c r="BO381" i="11"/>
  <c r="AP381" i="11"/>
  <c r="BC381" i="11"/>
  <c r="L448" i="11"/>
  <c r="L501" i="11" s="1"/>
  <c r="I425" i="11"/>
  <c r="L426" i="11"/>
  <c r="I426" i="11" s="1"/>
  <c r="L446" i="11"/>
  <c r="L499" i="11" s="1"/>
  <c r="I423" i="11"/>
  <c r="BF381" i="11"/>
  <c r="AO381" i="11"/>
  <c r="BM381" i="11"/>
  <c r="V381" i="11"/>
  <c r="AO450" i="10"/>
  <c r="AO454" i="10"/>
  <c r="AO456" i="10"/>
  <c r="AN456" i="10"/>
  <c r="AV456" i="10"/>
  <c r="BA456" i="10"/>
  <c r="AP456" i="10"/>
  <c r="O456" i="10"/>
  <c r="AA458" i="10"/>
  <c r="AI458" i="10"/>
  <c r="BP458" i="10"/>
  <c r="N458" i="10"/>
  <c r="BP450" i="10"/>
  <c r="AU450" i="10"/>
  <c r="AA450" i="10"/>
  <c r="AK450" i="10"/>
  <c r="Z450" i="10"/>
  <c r="R450" i="10"/>
  <c r="U456" i="10"/>
  <c r="BI456" i="10"/>
  <c r="AH456" i="10"/>
  <c r="BN456" i="10"/>
  <c r="BI454" i="10"/>
  <c r="BI460" i="10"/>
  <c r="AU454" i="10"/>
  <c r="AU460" i="10"/>
  <c r="AI454" i="10"/>
  <c r="AI460" i="10"/>
  <c r="X454" i="10"/>
  <c r="X460" i="10"/>
  <c r="Z454" i="10"/>
  <c r="Z460" i="10"/>
  <c r="AQ454" i="10"/>
  <c r="AQ460" i="10"/>
  <c r="BP456" i="10"/>
  <c r="BH456" i="10"/>
  <c r="AF456" i="10"/>
  <c r="Q456" i="10"/>
  <c r="AG456" i="10"/>
  <c r="BM456" i="10"/>
  <c r="AQ456" i="10"/>
  <c r="AQ458" i="10"/>
  <c r="AU458" i="10"/>
  <c r="X458" i="10"/>
  <c r="AS458" i="10"/>
  <c r="BI458" i="10"/>
  <c r="AH458" i="10"/>
  <c r="AX458" i="10"/>
  <c r="BN458" i="10"/>
  <c r="AB450" i="10"/>
  <c r="BC450" i="10"/>
  <c r="X450" i="10"/>
  <c r="AI450" i="10"/>
  <c r="N450" i="10"/>
  <c r="Q454" i="10"/>
  <c r="Q460" i="10"/>
  <c r="S454" i="10"/>
  <c r="S460" i="10"/>
  <c r="AM454" i="10"/>
  <c r="AM460" i="10"/>
  <c r="BC454" i="10"/>
  <c r="BC460" i="10"/>
  <c r="AX454" i="10"/>
  <c r="AX460" i="10"/>
  <c r="AS454" i="10"/>
  <c r="AS460" i="10"/>
  <c r="BP454" i="10"/>
  <c r="BP460" i="10"/>
  <c r="BN454" i="10"/>
  <c r="BN460" i="10"/>
  <c r="AB454" i="10"/>
  <c r="AB460" i="10"/>
  <c r="AK456" i="10"/>
  <c r="Z456" i="10"/>
  <c r="BF456" i="10"/>
  <c r="AU456" i="10"/>
  <c r="BK456" i="10"/>
  <c r="AM458" i="10"/>
  <c r="AB458" i="10"/>
  <c r="BH458" i="10"/>
  <c r="Q458" i="10"/>
  <c r="AG458" i="10"/>
  <c r="BM458" i="10"/>
  <c r="V458" i="10"/>
  <c r="BH450" i="10"/>
  <c r="AF450" i="10"/>
  <c r="AQ450" i="10"/>
  <c r="AS450" i="10"/>
  <c r="BI450" i="10"/>
  <c r="AH450" i="10"/>
  <c r="AX450" i="10"/>
  <c r="BN450" i="10"/>
  <c r="BO454" i="10"/>
  <c r="BO460" i="10"/>
  <c r="R454" i="10"/>
  <c r="R460" i="10"/>
  <c r="BA454" i="10"/>
  <c r="BA460" i="10"/>
  <c r="AR454" i="10"/>
  <c r="AR460" i="10"/>
  <c r="U454" i="10"/>
  <c r="U460" i="10"/>
  <c r="AP454" i="10"/>
  <c r="AP460" i="10"/>
  <c r="BG454" i="10"/>
  <c r="BG460" i="10"/>
  <c r="BF454" i="10"/>
  <c r="BF460" i="10"/>
  <c r="AJ454" i="10"/>
  <c r="AJ460" i="10"/>
  <c r="AY454" i="10"/>
  <c r="AY460" i="10"/>
  <c r="AT454" i="10"/>
  <c r="AT460" i="10"/>
  <c r="BS454" i="10"/>
  <c r="BS460" i="10"/>
  <c r="BJ454" i="10"/>
  <c r="BJ460" i="10"/>
  <c r="W454" i="10"/>
  <c r="W460" i="10"/>
  <c r="BD454" i="10"/>
  <c r="BD460" i="10"/>
  <c r="P454" i="10"/>
  <c r="P460" i="10"/>
  <c r="BL454" i="10"/>
  <c r="BL460" i="10"/>
  <c r="AC454" i="10"/>
  <c r="AC460" i="10"/>
  <c r="BK454" i="10"/>
  <c r="BK460" i="10"/>
  <c r="AN454" i="10"/>
  <c r="AN460" i="10"/>
  <c r="AW454" i="10"/>
  <c r="AW460" i="10"/>
  <c r="AD454" i="10"/>
  <c r="AD460" i="10"/>
  <c r="BR454" i="10"/>
  <c r="BR460" i="10"/>
  <c r="AV454" i="10"/>
  <c r="AV460" i="10"/>
  <c r="O454" i="10"/>
  <c r="O460" i="10"/>
  <c r="AF454" i="10"/>
  <c r="AF460" i="10"/>
  <c r="BH454" i="10"/>
  <c r="BH460" i="10"/>
  <c r="BM454" i="10"/>
  <c r="BM460" i="10"/>
  <c r="AH454" i="10"/>
  <c r="AH460" i="10"/>
  <c r="V454" i="10"/>
  <c r="V460" i="10"/>
  <c r="AK454" i="10"/>
  <c r="AK460" i="10"/>
  <c r="AA454" i="10"/>
  <c r="AA460" i="10"/>
  <c r="AG454" i="10"/>
  <c r="AG460" i="10"/>
  <c r="N454" i="10"/>
  <c r="N460" i="10"/>
  <c r="AB456" i="10"/>
  <c r="N456" i="10"/>
  <c r="BC458" i="10"/>
  <c r="S458" i="10"/>
  <c r="AF458" i="10"/>
  <c r="AK458" i="10"/>
  <c r="Z458" i="10"/>
  <c r="AM450" i="10"/>
  <c r="S450" i="10"/>
  <c r="Q450" i="10"/>
  <c r="AG450" i="10"/>
  <c r="BM450" i="10"/>
  <c r="V450" i="10"/>
  <c r="O458" i="10"/>
  <c r="P458" i="10"/>
  <c r="AV458" i="10"/>
  <c r="BL458" i="10"/>
  <c r="U458" i="10"/>
  <c r="BA458" i="10"/>
  <c r="AP458" i="10"/>
  <c r="BF458" i="10"/>
  <c r="BS458" i="10"/>
  <c r="AJ458" i="10"/>
  <c r="AD458" i="10"/>
  <c r="AT458" i="10"/>
  <c r="BJ458" i="10"/>
  <c r="W458" i="10"/>
  <c r="AY458" i="10"/>
  <c r="AN458" i="10"/>
  <c r="BD458" i="10"/>
  <c r="AC458" i="10"/>
  <c r="R458" i="10"/>
  <c r="AJ456" i="10"/>
  <c r="BD456" i="10"/>
  <c r="BL456" i="10"/>
  <c r="AD456" i="10"/>
  <c r="AT456" i="10"/>
  <c r="BJ456" i="10"/>
  <c r="S456" i="10"/>
  <c r="AI456" i="10"/>
  <c r="AY456" i="10"/>
  <c r="BO456" i="10"/>
  <c r="AR456" i="10"/>
  <c r="P456" i="10"/>
  <c r="AC456" i="10"/>
  <c r="AS456" i="10"/>
  <c r="R456" i="10"/>
  <c r="AX456" i="10"/>
  <c r="W456" i="10"/>
  <c r="AM456" i="10"/>
  <c r="BC456" i="10"/>
  <c r="BS456" i="10"/>
  <c r="X456" i="10"/>
  <c r="AW456" i="10"/>
  <c r="V456" i="10"/>
  <c r="BR456" i="10"/>
  <c r="AA456" i="10"/>
  <c r="BG456" i="10"/>
  <c r="AJ450" i="10"/>
  <c r="BS450" i="10"/>
  <c r="AN450" i="10"/>
  <c r="AY450" i="10"/>
  <c r="AW450" i="10"/>
  <c r="BR450" i="10"/>
  <c r="O450" i="10"/>
  <c r="P450" i="10"/>
  <c r="AV450" i="10"/>
  <c r="BG450" i="10"/>
  <c r="U450" i="10"/>
  <c r="BA450" i="10"/>
  <c r="AP450" i="10"/>
  <c r="BF450" i="10"/>
  <c r="AR450" i="10"/>
  <c r="W450" i="10"/>
  <c r="BD450" i="10"/>
  <c r="BO450" i="10"/>
  <c r="AD450" i="10"/>
  <c r="AT450" i="10"/>
  <c r="BJ450" i="10"/>
  <c r="M240" i="10"/>
  <c r="M326" i="10"/>
  <c r="M338" i="10" s="1"/>
  <c r="M327" i="10"/>
  <c r="M344" i="10" s="1"/>
  <c r="M295" i="10"/>
  <c r="M462" i="10" s="1"/>
  <c r="M325" i="10"/>
  <c r="M332" i="10" s="1"/>
  <c r="M264" i="10"/>
  <c r="M294" i="10"/>
  <c r="M258" i="10"/>
  <c r="P240" i="10"/>
  <c r="P344" i="10"/>
  <c r="P338" i="10"/>
  <c r="BE240" i="10"/>
  <c r="BE344" i="10"/>
  <c r="BE338" i="10"/>
  <c r="R240" i="10"/>
  <c r="R338" i="10"/>
  <c r="R344" i="10"/>
  <c r="O240" i="10"/>
  <c r="O344" i="10"/>
  <c r="O338" i="10"/>
  <c r="BB240" i="10"/>
  <c r="BB344" i="10"/>
  <c r="BB338" i="10"/>
  <c r="BF240" i="10"/>
  <c r="BF344" i="10"/>
  <c r="BF338" i="10"/>
  <c r="AO240" i="10"/>
  <c r="AO344" i="10"/>
  <c r="AO338" i="10"/>
  <c r="AG240" i="10"/>
  <c r="AG338" i="10"/>
  <c r="AG344" i="10"/>
  <c r="AS240" i="10"/>
  <c r="AS344" i="10"/>
  <c r="AS338" i="10"/>
  <c r="BH240" i="10"/>
  <c r="BH338" i="10"/>
  <c r="BH344" i="10"/>
  <c r="AY240" i="10"/>
  <c r="AY338" i="10"/>
  <c r="AY344" i="10"/>
  <c r="AF240" i="10"/>
  <c r="AF344" i="10"/>
  <c r="AF338" i="10"/>
  <c r="S240" i="10"/>
  <c r="S344" i="10"/>
  <c r="S338" i="10"/>
  <c r="BR240" i="10"/>
  <c r="BR338" i="10"/>
  <c r="BR344" i="10"/>
  <c r="AT240" i="10"/>
  <c r="AT338" i="10"/>
  <c r="AT344" i="10"/>
  <c r="BQ240" i="10"/>
  <c r="BQ338" i="10"/>
  <c r="BQ344" i="10"/>
  <c r="AQ240" i="10"/>
  <c r="AQ344" i="10"/>
  <c r="AQ338" i="10"/>
  <c r="AK240" i="10"/>
  <c r="AK338" i="10"/>
  <c r="AK344" i="10"/>
  <c r="AZ240" i="10"/>
  <c r="AZ344" i="10"/>
  <c r="AZ338" i="10"/>
  <c r="AU240" i="10"/>
  <c r="AU344" i="10"/>
  <c r="AU338" i="10"/>
  <c r="BA240" i="10"/>
  <c r="BA344" i="10"/>
  <c r="BA338" i="10"/>
  <c r="BJ240" i="10"/>
  <c r="BJ338" i="10"/>
  <c r="BJ344" i="10"/>
  <c r="BM240" i="10"/>
  <c r="BM338" i="10"/>
  <c r="BM344" i="10"/>
  <c r="V240" i="10"/>
  <c r="V338" i="10"/>
  <c r="V344" i="10"/>
  <c r="AL240" i="10"/>
  <c r="AL338" i="10"/>
  <c r="AL344" i="10"/>
  <c r="AV240" i="10"/>
  <c r="AV338" i="10"/>
  <c r="AV344" i="10"/>
  <c r="L405" i="10"/>
  <c r="L458" i="10" s="1"/>
  <c r="I382" i="10"/>
  <c r="L383" i="10"/>
  <c r="I383" i="10" s="1"/>
  <c r="L403" i="10"/>
  <c r="L456" i="10" s="1"/>
  <c r="I380" i="10"/>
  <c r="BN240" i="10"/>
  <c r="BN344" i="10"/>
  <c r="BN338" i="10"/>
  <c r="AA240" i="10"/>
  <c r="AA344" i="10"/>
  <c r="AA338" i="10"/>
  <c r="AX240" i="10"/>
  <c r="AX344" i="10"/>
  <c r="AX338" i="10"/>
  <c r="N240" i="10"/>
  <c r="BS240" i="10"/>
  <c r="BS338" i="10"/>
  <c r="BS344" i="10"/>
  <c r="BL240" i="10"/>
  <c r="BL344" i="10"/>
  <c r="BL338" i="10"/>
  <c r="AD240" i="10"/>
  <c r="AD338" i="10"/>
  <c r="AD344" i="10"/>
  <c r="W240" i="10"/>
  <c r="W344" i="10"/>
  <c r="W338" i="10"/>
  <c r="X240" i="10"/>
  <c r="X338" i="10"/>
  <c r="X344" i="10"/>
  <c r="AJ240" i="10"/>
  <c r="AJ338" i="10"/>
  <c r="AJ344" i="10"/>
  <c r="BP240" i="10"/>
  <c r="BP338" i="10"/>
  <c r="BP344" i="10"/>
  <c r="BG240" i="10"/>
  <c r="BG344" i="10"/>
  <c r="BG338" i="10"/>
  <c r="AM240" i="10"/>
  <c r="AM344" i="10"/>
  <c r="AM338" i="10"/>
  <c r="AR240" i="10"/>
  <c r="AR344" i="10"/>
  <c r="AR338" i="10"/>
  <c r="Y240" i="10"/>
  <c r="Y338" i="10"/>
  <c r="Y344" i="10"/>
  <c r="BD240" i="10"/>
  <c r="BD344" i="10"/>
  <c r="BD338" i="10"/>
  <c r="AW240" i="10"/>
  <c r="AW338" i="10"/>
  <c r="AW344" i="10"/>
  <c r="Z240" i="10"/>
  <c r="Z344" i="10"/>
  <c r="Z338" i="10"/>
  <c r="AI240" i="10"/>
  <c r="AI344" i="10"/>
  <c r="AI338" i="10"/>
  <c r="AB240" i="10"/>
  <c r="AB338" i="10"/>
  <c r="AB344" i="10"/>
  <c r="BK240" i="10"/>
  <c r="BK344" i="10"/>
  <c r="BK338" i="10"/>
  <c r="BO240" i="10"/>
  <c r="BO338" i="10"/>
  <c r="BO344" i="10"/>
  <c r="AE240" i="10"/>
  <c r="AE338" i="10"/>
  <c r="AE344" i="10"/>
  <c r="AP240" i="10"/>
  <c r="AP338" i="10"/>
  <c r="AP344" i="10"/>
  <c r="AC240" i="10"/>
  <c r="AC344" i="10"/>
  <c r="AC338" i="10"/>
  <c r="Q240" i="10"/>
  <c r="Q338" i="10"/>
  <c r="Q344" i="10"/>
  <c r="T240" i="10"/>
  <c r="T338" i="10"/>
  <c r="T344" i="10"/>
  <c r="U240" i="10"/>
  <c r="U344" i="10"/>
  <c r="U338" i="10"/>
  <c r="BI240" i="10"/>
  <c r="BI344" i="10"/>
  <c r="BI338" i="10"/>
  <c r="BC240" i="10"/>
  <c r="BC344" i="10"/>
  <c r="BC338" i="10"/>
  <c r="AN240" i="10"/>
  <c r="AN338" i="10"/>
  <c r="AN344" i="10"/>
  <c r="AH240" i="10"/>
  <c r="AH344" i="10"/>
  <c r="AH338" i="10"/>
  <c r="I375" i="10"/>
  <c r="L377" i="10"/>
  <c r="L133" i="8" a="1"/>
  <c r="L133" i="8" s="1"/>
  <c r="L365" i="9"/>
  <c r="L382" i="9" s="1"/>
  <c r="L332" i="9"/>
  <c r="L333" i="9"/>
  <c r="L364" i="9"/>
  <c r="L376" i="9" s="1"/>
  <c r="L363" i="9"/>
  <c r="L132" i="8" a="1"/>
  <c r="M240" i="5"/>
  <c r="L240" i="5"/>
  <c r="BS264" i="5"/>
  <c r="BL295" i="5"/>
  <c r="AD326" i="5"/>
  <c r="AD338" i="5" s="1"/>
  <c r="W327" i="5"/>
  <c r="W344" i="5" s="1"/>
  <c r="X327" i="5"/>
  <c r="X344" i="5" s="1"/>
  <c r="AJ294" i="5"/>
  <c r="BP258" i="5"/>
  <c r="BG326" i="5"/>
  <c r="BG338" i="5" s="1"/>
  <c r="AM295" i="5"/>
  <c r="AR294" i="5"/>
  <c r="Y264" i="5"/>
  <c r="BD294" i="5"/>
  <c r="AW326" i="5"/>
  <c r="AW338" i="5" s="1"/>
  <c r="Z327" i="5"/>
  <c r="Z344" i="5" s="1"/>
  <c r="AI326" i="5"/>
  <c r="AI338" i="5" s="1"/>
  <c r="AB258" i="5"/>
  <c r="BK295" i="5"/>
  <c r="BO258" i="5"/>
  <c r="AE326" i="5"/>
  <c r="AE338" i="5" s="1"/>
  <c r="AP294" i="5"/>
  <c r="AC258" i="5"/>
  <c r="Q264" i="5"/>
  <c r="T294" i="5"/>
  <c r="U325" i="5"/>
  <c r="U332" i="5" s="1"/>
  <c r="BI295" i="5"/>
  <c r="BC326" i="5"/>
  <c r="BC338" i="5" s="1"/>
  <c r="AN294" i="5"/>
  <c r="AH294" i="5"/>
  <c r="O325" i="5"/>
  <c r="O332" i="5" s="1"/>
  <c r="BB327" i="5"/>
  <c r="BB344" i="5" s="1"/>
  <c r="BF258" i="5"/>
  <c r="AO294" i="5"/>
  <c r="AG258" i="5"/>
  <c r="AS294" i="5"/>
  <c r="BH326" i="5"/>
  <c r="BH338" i="5" s="1"/>
  <c r="AY294" i="5"/>
  <c r="AF295" i="5"/>
  <c r="S294" i="5"/>
  <c r="BR294" i="5"/>
  <c r="AT294" i="5"/>
  <c r="BQ294" i="5"/>
  <c r="AQ294" i="5"/>
  <c r="AK264" i="5"/>
  <c r="AZ294" i="5"/>
  <c r="AU326" i="5"/>
  <c r="AU338" i="5" s="1"/>
  <c r="BA294" i="5"/>
  <c r="BM258" i="5"/>
  <c r="V264" i="5"/>
  <c r="AL294" i="5"/>
  <c r="AV325" i="5"/>
  <c r="AV332" i="5" s="1"/>
  <c r="L441" i="9"/>
  <c r="L421" i="9"/>
  <c r="I421" i="9" s="1"/>
  <c r="I418" i="9"/>
  <c r="BN326" i="5"/>
  <c r="BN338" i="5" s="1"/>
  <c r="P264" i="5"/>
  <c r="AA295" i="5"/>
  <c r="BE294" i="5"/>
  <c r="R258" i="5"/>
  <c r="I420" i="9"/>
  <c r="I413" i="9"/>
  <c r="L415" i="9"/>
  <c r="L136" i="5" a="1"/>
  <c r="AX240" i="5"/>
  <c r="BJ240" i="5"/>
  <c r="M316" i="8"/>
  <c r="M286" i="8"/>
  <c r="M285" i="8"/>
  <c r="M255" i="8"/>
  <c r="M249" i="8"/>
  <c r="M317" i="8"/>
  <c r="M329" i="8" s="1"/>
  <c r="M318" i="8"/>
  <c r="M335" i="8" s="1"/>
  <c r="AS326" i="5"/>
  <c r="AS338" i="5" s="1"/>
  <c r="T317" i="8"/>
  <c r="T329" i="8" s="1"/>
  <c r="T318" i="8"/>
  <c r="T335" i="8" s="1"/>
  <c r="BI317" i="8"/>
  <c r="BI329" i="8" s="1"/>
  <c r="BI318" i="8"/>
  <c r="BI335" i="8" s="1"/>
  <c r="BC317" i="8"/>
  <c r="BC329" i="8" s="1"/>
  <c r="BC318" i="8"/>
  <c r="BC335" i="8" s="1"/>
  <c r="AH317" i="8"/>
  <c r="AH329" i="8" s="1"/>
  <c r="AH318" i="8"/>
  <c r="AH335" i="8" s="1"/>
  <c r="N317" i="8"/>
  <c r="N318" i="8"/>
  <c r="S317" i="8"/>
  <c r="S329" i="8" s="1"/>
  <c r="S318" i="8"/>
  <c r="S335" i="8" s="1"/>
  <c r="AT317" i="8"/>
  <c r="AT329" i="8" s="1"/>
  <c r="AT318" i="8"/>
  <c r="AT335" i="8" s="1"/>
  <c r="AK317" i="8"/>
  <c r="AK329" i="8" s="1"/>
  <c r="AK318" i="8"/>
  <c r="AK335" i="8" s="1"/>
  <c r="AU317" i="8"/>
  <c r="AU329" i="8" s="1"/>
  <c r="AU318" i="8"/>
  <c r="AU335" i="8" s="1"/>
  <c r="BJ317" i="8"/>
  <c r="BJ329" i="8" s="1"/>
  <c r="BJ318" i="8"/>
  <c r="BJ335" i="8" s="1"/>
  <c r="V317" i="8"/>
  <c r="V329" i="8" s="1"/>
  <c r="V318" i="8"/>
  <c r="V335" i="8" s="1"/>
  <c r="Q317" i="8"/>
  <c r="Q329" i="8" s="1"/>
  <c r="Q318" i="8"/>
  <c r="Q335" i="8" s="1"/>
  <c r="O317" i="8"/>
  <c r="O329" i="8" s="1"/>
  <c r="O318" i="8"/>
  <c r="O335" i="8" s="1"/>
  <c r="BF317" i="8"/>
  <c r="BF329" i="8" s="1"/>
  <c r="BF318" i="8"/>
  <c r="BF335" i="8" s="1"/>
  <c r="AG317" i="8"/>
  <c r="AG329" i="8" s="1"/>
  <c r="AG318" i="8"/>
  <c r="AG335" i="8" s="1"/>
  <c r="BH317" i="8"/>
  <c r="BH329" i="8" s="1"/>
  <c r="BH318" i="8"/>
  <c r="BH335" i="8" s="1"/>
  <c r="BN317" i="8"/>
  <c r="BN329" i="8" s="1"/>
  <c r="BN318" i="8"/>
  <c r="BN335" i="8" s="1"/>
  <c r="P317" i="8"/>
  <c r="P329" i="8" s="1"/>
  <c r="P318" i="8"/>
  <c r="P335" i="8" s="1"/>
  <c r="AA317" i="8"/>
  <c r="AA329" i="8" s="1"/>
  <c r="AA318" i="8"/>
  <c r="AA335" i="8" s="1"/>
  <c r="BE317" i="8"/>
  <c r="BE329" i="8" s="1"/>
  <c r="BE318" i="8"/>
  <c r="BE335" i="8" s="1"/>
  <c r="AX317" i="8"/>
  <c r="AX329" i="8" s="1"/>
  <c r="AX318" i="8"/>
  <c r="AX335" i="8" s="1"/>
  <c r="R317" i="8"/>
  <c r="R329" i="8" s="1"/>
  <c r="R318" i="8"/>
  <c r="R335" i="8" s="1"/>
  <c r="AM317" i="8"/>
  <c r="AM329" i="8" s="1"/>
  <c r="AM318" i="8"/>
  <c r="AM335" i="8" s="1"/>
  <c r="AR317" i="8"/>
  <c r="AR329" i="8" s="1"/>
  <c r="AR318" i="8"/>
  <c r="AR335" i="8" s="1"/>
  <c r="Y317" i="8"/>
  <c r="Y329" i="8" s="1"/>
  <c r="Y318" i="8"/>
  <c r="Y335" i="8" s="1"/>
  <c r="BD317" i="8"/>
  <c r="BD329" i="8" s="1"/>
  <c r="BD318" i="8"/>
  <c r="BD335" i="8" s="1"/>
  <c r="AW317" i="8"/>
  <c r="AW329" i="8" s="1"/>
  <c r="AW318" i="8"/>
  <c r="AW335" i="8" s="1"/>
  <c r="Z317" i="8"/>
  <c r="Z329" i="8" s="1"/>
  <c r="Z318" i="8"/>
  <c r="Z335" i="8" s="1"/>
  <c r="AI317" i="8"/>
  <c r="AI329" i="8" s="1"/>
  <c r="AI318" i="8"/>
  <c r="AI335" i="8" s="1"/>
  <c r="AB317" i="8"/>
  <c r="AB329" i="8" s="1"/>
  <c r="AB318" i="8"/>
  <c r="AB335" i="8" s="1"/>
  <c r="BK317" i="8"/>
  <c r="BK329" i="8" s="1"/>
  <c r="BK318" i="8"/>
  <c r="BK335" i="8" s="1"/>
  <c r="BO317" i="8"/>
  <c r="BO329" i="8" s="1"/>
  <c r="BO318" i="8"/>
  <c r="BO335" i="8" s="1"/>
  <c r="AE317" i="8"/>
  <c r="AE329" i="8" s="1"/>
  <c r="AE318" i="8"/>
  <c r="AE335" i="8" s="1"/>
  <c r="AP317" i="8"/>
  <c r="AP329" i="8" s="1"/>
  <c r="AP318" i="8"/>
  <c r="AP335" i="8" s="1"/>
  <c r="AC317" i="8"/>
  <c r="AC329" i="8" s="1"/>
  <c r="AC318" i="8"/>
  <c r="AC335" i="8" s="1"/>
  <c r="AL317" i="8"/>
  <c r="AL329" i="8" s="1"/>
  <c r="AL318" i="8"/>
  <c r="AL335" i="8" s="1"/>
  <c r="AV317" i="8"/>
  <c r="AV329" i="8" s="1"/>
  <c r="AV318" i="8"/>
  <c r="AV335" i="8" s="1"/>
  <c r="U317" i="8"/>
  <c r="U329" i="8" s="1"/>
  <c r="U318" i="8"/>
  <c r="U335" i="8" s="1"/>
  <c r="AN317" i="8"/>
  <c r="AN329" i="8" s="1"/>
  <c r="AN318" i="8"/>
  <c r="AN335" i="8" s="1"/>
  <c r="AF317" i="8"/>
  <c r="AF329" i="8" s="1"/>
  <c r="AF318" i="8"/>
  <c r="AF335" i="8" s="1"/>
  <c r="BR317" i="8"/>
  <c r="BR329" i="8" s="1"/>
  <c r="BR318" i="8"/>
  <c r="BR335" i="8" s="1"/>
  <c r="BQ317" i="8"/>
  <c r="BQ329" i="8" s="1"/>
  <c r="BQ318" i="8"/>
  <c r="BQ335" i="8" s="1"/>
  <c r="AQ317" i="8"/>
  <c r="AQ329" i="8" s="1"/>
  <c r="AQ318" i="8"/>
  <c r="AQ335" i="8" s="1"/>
  <c r="AZ317" i="8"/>
  <c r="AZ329" i="8" s="1"/>
  <c r="AZ318" i="8"/>
  <c r="AZ335" i="8" s="1"/>
  <c r="BA317" i="8"/>
  <c r="BA329" i="8" s="1"/>
  <c r="BA318" i="8"/>
  <c r="BA335" i="8" s="1"/>
  <c r="BM317" i="8"/>
  <c r="BM329" i="8" s="1"/>
  <c r="BM318" i="8"/>
  <c r="BM335" i="8" s="1"/>
  <c r="BB317" i="8"/>
  <c r="BB329" i="8" s="1"/>
  <c r="BB318" i="8"/>
  <c r="BB335" i="8" s="1"/>
  <c r="AO317" i="8"/>
  <c r="AO329" i="8" s="1"/>
  <c r="AO318" i="8"/>
  <c r="AO335" i="8" s="1"/>
  <c r="AS317" i="8"/>
  <c r="AS329" i="8" s="1"/>
  <c r="AS318" i="8"/>
  <c r="AS335" i="8" s="1"/>
  <c r="AY317" i="8"/>
  <c r="AY329" i="8" s="1"/>
  <c r="AY318" i="8"/>
  <c r="AY335" i="8" s="1"/>
  <c r="BS317" i="8"/>
  <c r="BS329" i="8" s="1"/>
  <c r="BS318" i="8"/>
  <c r="BS335" i="8" s="1"/>
  <c r="BL317" i="8"/>
  <c r="BL329" i="8" s="1"/>
  <c r="BL318" i="8"/>
  <c r="BL335" i="8" s="1"/>
  <c r="AD317" i="8"/>
  <c r="AD329" i="8" s="1"/>
  <c r="AD318" i="8"/>
  <c r="AD335" i="8" s="1"/>
  <c r="W317" i="8"/>
  <c r="W329" i="8" s="1"/>
  <c r="W318" i="8"/>
  <c r="W335" i="8" s="1"/>
  <c r="X317" i="8"/>
  <c r="X329" i="8" s="1"/>
  <c r="X318" i="8"/>
  <c r="X335" i="8" s="1"/>
  <c r="AJ317" i="8"/>
  <c r="AJ329" i="8" s="1"/>
  <c r="AJ318" i="8"/>
  <c r="AJ335" i="8" s="1"/>
  <c r="BP317" i="8"/>
  <c r="BP329" i="8" s="1"/>
  <c r="BP318" i="8"/>
  <c r="BP335" i="8" s="1"/>
  <c r="BG317" i="8"/>
  <c r="BG329" i="8" s="1"/>
  <c r="BG318" i="8"/>
  <c r="BG335" i="8" s="1"/>
  <c r="T286" i="8"/>
  <c r="T316" i="8"/>
  <c r="BI286" i="8"/>
  <c r="BI316" i="8"/>
  <c r="AN286" i="8"/>
  <c r="AN316" i="8"/>
  <c r="AF286" i="8"/>
  <c r="AF316" i="8"/>
  <c r="BR286" i="8"/>
  <c r="BR316" i="8"/>
  <c r="BQ286" i="8"/>
  <c r="BQ316" i="8"/>
  <c r="AQ286" i="8"/>
  <c r="AQ316" i="8"/>
  <c r="AK286" i="8"/>
  <c r="AK316" i="8"/>
  <c r="AZ286" i="8"/>
  <c r="AZ316" i="8"/>
  <c r="AU286" i="8"/>
  <c r="AU316" i="8"/>
  <c r="BA286" i="8"/>
  <c r="BA316" i="8"/>
  <c r="BM286" i="8"/>
  <c r="BM316" i="8"/>
  <c r="V286" i="8"/>
  <c r="V316" i="8"/>
  <c r="Q286" i="8"/>
  <c r="Q316" i="8"/>
  <c r="O286" i="8"/>
  <c r="O316" i="8"/>
  <c r="BB286" i="8"/>
  <c r="BB316" i="8"/>
  <c r="BF286" i="8"/>
  <c r="BF316" i="8"/>
  <c r="AO286" i="8"/>
  <c r="AO316" i="8"/>
  <c r="AG286" i="8"/>
  <c r="AG316" i="8"/>
  <c r="AS286" i="8"/>
  <c r="AS316" i="8"/>
  <c r="BH286" i="8"/>
  <c r="BH316" i="8"/>
  <c r="AY286" i="8"/>
  <c r="AY316" i="8"/>
  <c r="BN286" i="8"/>
  <c r="BN316" i="8"/>
  <c r="P286" i="8"/>
  <c r="P316" i="8"/>
  <c r="AA286" i="8"/>
  <c r="AA316" i="8"/>
  <c r="BE286" i="8"/>
  <c r="BE316" i="8"/>
  <c r="AX286" i="8"/>
  <c r="AX316" i="8"/>
  <c r="R286" i="8"/>
  <c r="R316" i="8"/>
  <c r="AM286" i="8"/>
  <c r="AM316" i="8"/>
  <c r="AR286" i="8"/>
  <c r="AR316" i="8"/>
  <c r="Y286" i="8"/>
  <c r="Y316" i="8"/>
  <c r="BD286" i="8"/>
  <c r="BD316" i="8"/>
  <c r="AW286" i="8"/>
  <c r="AW316" i="8"/>
  <c r="Z286" i="8"/>
  <c r="Z316" i="8"/>
  <c r="AI286" i="8"/>
  <c r="AI316" i="8"/>
  <c r="AB286" i="8"/>
  <c r="AB316" i="8"/>
  <c r="BK286" i="8"/>
  <c r="BK316" i="8"/>
  <c r="BO286" i="8"/>
  <c r="BO316" i="8"/>
  <c r="AE286" i="8"/>
  <c r="AE316" i="8"/>
  <c r="AP286" i="8"/>
  <c r="AP316" i="8"/>
  <c r="AC286" i="8"/>
  <c r="AC316" i="8"/>
  <c r="AL286" i="8"/>
  <c r="AL316" i="8"/>
  <c r="AV286" i="8"/>
  <c r="AV316" i="8"/>
  <c r="U286" i="8"/>
  <c r="U316" i="8"/>
  <c r="BC286" i="8"/>
  <c r="BC316" i="8"/>
  <c r="AH286" i="8"/>
  <c r="AH316" i="8"/>
  <c r="N286" i="8"/>
  <c r="N316" i="8"/>
  <c r="S286" i="8"/>
  <c r="S316" i="8"/>
  <c r="AT286" i="8"/>
  <c r="AT316" i="8"/>
  <c r="BJ286" i="8"/>
  <c r="BJ316" i="8"/>
  <c r="BS286" i="8"/>
  <c r="BS316" i="8"/>
  <c r="BL286" i="8"/>
  <c r="BL316" i="8"/>
  <c r="AD286" i="8"/>
  <c r="AD316" i="8"/>
  <c r="W286" i="8"/>
  <c r="W316" i="8"/>
  <c r="X286" i="8"/>
  <c r="X316" i="8"/>
  <c r="AJ286" i="8"/>
  <c r="AJ316" i="8"/>
  <c r="BP286" i="8"/>
  <c r="BP316" i="8"/>
  <c r="BG286" i="8"/>
  <c r="BG316" i="8"/>
  <c r="T255" i="8"/>
  <c r="T285" i="8"/>
  <c r="BC255" i="8"/>
  <c r="BC285" i="8"/>
  <c r="AF255" i="8"/>
  <c r="AF285" i="8"/>
  <c r="AT255" i="8"/>
  <c r="AT285" i="8"/>
  <c r="AQ255" i="8"/>
  <c r="AQ285" i="8"/>
  <c r="AU255" i="8"/>
  <c r="AU285" i="8"/>
  <c r="BM255" i="8"/>
  <c r="BM285" i="8"/>
  <c r="O255" i="8"/>
  <c r="O285" i="8"/>
  <c r="BB255" i="8"/>
  <c r="BB285" i="8"/>
  <c r="BF255" i="8"/>
  <c r="BF285" i="8"/>
  <c r="AO255" i="8"/>
  <c r="AO285" i="8"/>
  <c r="AG255" i="8"/>
  <c r="AG285" i="8"/>
  <c r="AS255" i="8"/>
  <c r="AS285" i="8"/>
  <c r="BH255" i="8"/>
  <c r="BH285" i="8"/>
  <c r="AY255" i="8"/>
  <c r="AY285" i="8"/>
  <c r="U255" i="8"/>
  <c r="U285" i="8"/>
  <c r="AN255" i="8"/>
  <c r="AN285" i="8"/>
  <c r="N255" i="8"/>
  <c r="N285" i="8"/>
  <c r="BR255" i="8"/>
  <c r="BR285" i="8"/>
  <c r="AK255" i="8"/>
  <c r="AK285" i="8"/>
  <c r="BJ255" i="8"/>
  <c r="BJ285" i="8"/>
  <c r="BN255" i="8"/>
  <c r="BN285" i="8"/>
  <c r="P255" i="8"/>
  <c r="P285" i="8"/>
  <c r="AA255" i="8"/>
  <c r="AA285" i="8"/>
  <c r="BE255" i="8"/>
  <c r="BE285" i="8"/>
  <c r="AX255" i="8"/>
  <c r="AX285" i="8"/>
  <c r="R255" i="8"/>
  <c r="R285" i="8"/>
  <c r="AM255" i="8"/>
  <c r="AM285" i="8"/>
  <c r="AR255" i="8"/>
  <c r="AR285" i="8"/>
  <c r="Y255" i="8"/>
  <c r="Y285" i="8"/>
  <c r="BD255" i="8"/>
  <c r="BD285" i="8"/>
  <c r="AW255" i="8"/>
  <c r="AW285" i="8"/>
  <c r="Z255" i="8"/>
  <c r="Z285" i="8"/>
  <c r="AI255" i="8"/>
  <c r="AI285" i="8"/>
  <c r="AB255" i="8"/>
  <c r="AB285" i="8"/>
  <c r="BK255" i="8"/>
  <c r="BK285" i="8"/>
  <c r="BO255" i="8"/>
  <c r="BO285" i="8"/>
  <c r="AE255" i="8"/>
  <c r="AE285" i="8"/>
  <c r="AP255" i="8"/>
  <c r="AP285" i="8"/>
  <c r="AC255" i="8"/>
  <c r="AC285" i="8"/>
  <c r="AL255" i="8"/>
  <c r="AL285" i="8"/>
  <c r="AV255" i="8"/>
  <c r="AV285" i="8"/>
  <c r="BI255" i="8"/>
  <c r="BI285" i="8"/>
  <c r="AH255" i="8"/>
  <c r="AH285" i="8"/>
  <c r="S255" i="8"/>
  <c r="S285" i="8"/>
  <c r="BQ255" i="8"/>
  <c r="BQ285" i="8"/>
  <c r="AZ255" i="8"/>
  <c r="AZ285" i="8"/>
  <c r="BA255" i="8"/>
  <c r="BA285" i="8"/>
  <c r="V255" i="8"/>
  <c r="V285" i="8"/>
  <c r="Q255" i="8"/>
  <c r="Q285" i="8"/>
  <c r="BS255" i="8"/>
  <c r="BS285" i="8"/>
  <c r="BL255" i="8"/>
  <c r="BL285" i="8"/>
  <c r="AD255" i="8"/>
  <c r="AD285" i="8"/>
  <c r="W255" i="8"/>
  <c r="W285" i="8"/>
  <c r="X255" i="8"/>
  <c r="X285" i="8"/>
  <c r="AJ255" i="8"/>
  <c r="AJ285" i="8"/>
  <c r="BP255" i="8"/>
  <c r="BP285" i="8"/>
  <c r="BG255" i="8"/>
  <c r="BG285" i="8"/>
  <c r="T249" i="8"/>
  <c r="BC249" i="8"/>
  <c r="AF249" i="8"/>
  <c r="BR249" i="8"/>
  <c r="BQ249" i="8"/>
  <c r="AK249" i="8"/>
  <c r="AU249" i="8"/>
  <c r="BJ249" i="8"/>
  <c r="Q249" i="8"/>
  <c r="O249" i="8"/>
  <c r="BB249" i="8"/>
  <c r="BF249" i="8"/>
  <c r="AO249" i="8"/>
  <c r="AG249" i="8"/>
  <c r="AS249" i="8"/>
  <c r="BH249" i="8"/>
  <c r="AY249" i="8"/>
  <c r="BI249" i="8"/>
  <c r="AH249" i="8"/>
  <c r="S249" i="8"/>
  <c r="AT249" i="8"/>
  <c r="AQ249" i="8"/>
  <c r="AZ249" i="8"/>
  <c r="BA249" i="8"/>
  <c r="BM249" i="8"/>
  <c r="V249" i="8"/>
  <c r="BN249" i="8"/>
  <c r="P249" i="8"/>
  <c r="AA249" i="8"/>
  <c r="BE249" i="8"/>
  <c r="AX249" i="8"/>
  <c r="R249" i="8"/>
  <c r="AM249" i="8"/>
  <c r="AR249" i="8"/>
  <c r="Y249" i="8"/>
  <c r="BD249" i="8"/>
  <c r="AW249" i="8"/>
  <c r="Z249" i="8"/>
  <c r="AI249" i="8"/>
  <c r="AB249" i="8"/>
  <c r="BK249" i="8"/>
  <c r="BO249" i="8"/>
  <c r="AE249" i="8"/>
  <c r="AP249" i="8"/>
  <c r="AC249" i="8"/>
  <c r="AL249" i="8"/>
  <c r="AV249" i="8"/>
  <c r="U249" i="8"/>
  <c r="AN249" i="8"/>
  <c r="N249" i="8"/>
  <c r="BS249" i="8"/>
  <c r="BL249" i="8"/>
  <c r="AD249" i="8"/>
  <c r="W249" i="8"/>
  <c r="X249" i="8"/>
  <c r="AJ249" i="8"/>
  <c r="BP249" i="8"/>
  <c r="BG249" i="8"/>
  <c r="AC327" i="5"/>
  <c r="AC344" i="5" s="1"/>
  <c r="Y240" i="5"/>
  <c r="AP295" i="5"/>
  <c r="AP325" i="5"/>
  <c r="AP332" i="5" s="1"/>
  <c r="O264" i="5"/>
  <c r="BB264" i="5"/>
  <c r="AV264" i="5"/>
  <c r="AI240" i="5"/>
  <c r="Y325" i="5"/>
  <c r="Y332" i="5" s="1"/>
  <c r="BO327" i="5"/>
  <c r="BO344" i="5" s="1"/>
  <c r="AI294" i="5"/>
  <c r="BK264" i="5"/>
  <c r="BK327" i="5"/>
  <c r="BK344" i="5" s="1"/>
  <c r="BO264" i="5"/>
  <c r="AW325" i="5"/>
  <c r="AW332" i="5" s="1"/>
  <c r="AB326" i="5"/>
  <c r="AB338" i="5" s="1"/>
  <c r="AL295" i="5"/>
  <c r="AE240" i="5"/>
  <c r="BF240" i="5"/>
  <c r="AO326" i="5"/>
  <c r="AO338" i="5" s="1"/>
  <c r="Y295" i="5"/>
  <c r="O258" i="5"/>
  <c r="BB258" i="5"/>
  <c r="AY258" i="5"/>
  <c r="R325" i="5"/>
  <c r="R332" i="5" s="1"/>
  <c r="AQ240" i="5"/>
  <c r="AZ240" i="5"/>
  <c r="BM240" i="5"/>
  <c r="BQ240" i="5"/>
  <c r="BF294" i="5"/>
  <c r="AA327" i="5"/>
  <c r="AA344" i="5" s="1"/>
  <c r="AS240" i="5"/>
  <c r="BJ264" i="5"/>
  <c r="Q294" i="5"/>
  <c r="AG240" i="5"/>
  <c r="AG326" i="5"/>
  <c r="AG338" i="5" s="1"/>
  <c r="AA258" i="5"/>
  <c r="O294" i="5"/>
  <c r="BF327" i="5"/>
  <c r="BF344" i="5" s="1"/>
  <c r="BN325" i="5"/>
  <c r="BN332" i="5" s="1"/>
  <c r="AU294" i="5"/>
  <c r="BN258" i="5"/>
  <c r="AY240" i="5"/>
  <c r="AX326" i="5"/>
  <c r="AX338" i="5" s="1"/>
  <c r="AS325" i="5"/>
  <c r="AS332" i="5" s="1"/>
  <c r="P326" i="5"/>
  <c r="P338" i="5" s="1"/>
  <c r="P294" i="5"/>
  <c r="BH327" i="5"/>
  <c r="BH344" i="5" s="1"/>
  <c r="BB294" i="5"/>
  <c r="AG295" i="5"/>
  <c r="AS327" i="5"/>
  <c r="AS344" i="5" s="1"/>
  <c r="BH240" i="5"/>
  <c r="P240" i="5"/>
  <c r="AY326" i="5"/>
  <c r="AY338" i="5" s="1"/>
  <c r="AG327" i="5"/>
  <c r="AG344" i="5" s="1"/>
  <c r="R327" i="5"/>
  <c r="R344" i="5" s="1"/>
  <c r="BF295" i="5"/>
  <c r="AS264" i="5"/>
  <c r="R264" i="5"/>
  <c r="AG264" i="5"/>
  <c r="AG325" i="5"/>
  <c r="AG332" i="5" s="1"/>
  <c r="R326" i="5"/>
  <c r="R338" i="5" s="1"/>
  <c r="AX325" i="5"/>
  <c r="AX332" i="5" s="1"/>
  <c r="BF325" i="5"/>
  <c r="BF332" i="5" s="1"/>
  <c r="AX294" i="5"/>
  <c r="BB295" i="5"/>
  <c r="AO264" i="5"/>
  <c r="AY295" i="5"/>
  <c r="AA264" i="5"/>
  <c r="BE327" i="5"/>
  <c r="BE344" i="5" s="1"/>
  <c r="BE326" i="5"/>
  <c r="BE338" i="5" s="1"/>
  <c r="BN327" i="5"/>
  <c r="BN344" i="5" s="1"/>
  <c r="BE295" i="5"/>
  <c r="P327" i="5"/>
  <c r="P344" i="5" s="1"/>
  <c r="AX295" i="5"/>
  <c r="S240" i="5"/>
  <c r="BB240" i="5"/>
  <c r="BH258" i="5"/>
  <c r="BN264" i="5"/>
  <c r="AY264" i="5"/>
  <c r="P325" i="5"/>
  <c r="P332" i="5" s="1"/>
  <c r="BB326" i="5"/>
  <c r="BB338" i="5" s="1"/>
  <c r="AX327" i="5"/>
  <c r="AX344" i="5" s="1"/>
  <c r="BN295" i="5"/>
  <c r="AA294" i="5"/>
  <c r="AX258" i="5"/>
  <c r="BH295" i="5"/>
  <c r="R294" i="5"/>
  <c r="O295" i="5"/>
  <c r="BB325" i="5"/>
  <c r="BB332" i="5" s="1"/>
  <c r="AO295" i="5"/>
  <c r="AG294" i="5"/>
  <c r="BF326" i="5"/>
  <c r="BF338" i="5" s="1"/>
  <c r="AS295" i="5"/>
  <c r="BF264" i="5"/>
  <c r="AS258" i="5"/>
  <c r="BH264" i="5"/>
  <c r="BN240" i="5"/>
  <c r="R240" i="5"/>
  <c r="P258" i="5"/>
  <c r="AX264" i="5"/>
  <c r="O240" i="5"/>
  <c r="AA240" i="5"/>
  <c r="AO258" i="5"/>
  <c r="AA325" i="5"/>
  <c r="AA332" i="5" s="1"/>
  <c r="BE325" i="5"/>
  <c r="BE332" i="5" s="1"/>
  <c r="AY327" i="5"/>
  <c r="AY344" i="5" s="1"/>
  <c r="AO325" i="5"/>
  <c r="AO332" i="5" s="1"/>
  <c r="AO327" i="5"/>
  <c r="AO344" i="5" s="1"/>
  <c r="O326" i="5"/>
  <c r="O338" i="5" s="1"/>
  <c r="AY325" i="5"/>
  <c r="AY332" i="5" s="1"/>
  <c r="AA326" i="5"/>
  <c r="AA338" i="5" s="1"/>
  <c r="P295" i="5"/>
  <c r="BE258" i="5"/>
  <c r="Q295" i="5"/>
  <c r="BH294" i="5"/>
  <c r="R295" i="5"/>
  <c r="O327" i="5"/>
  <c r="O344" i="5" s="1"/>
  <c r="BE264" i="5"/>
  <c r="BM326" i="5"/>
  <c r="BM338" i="5" s="1"/>
  <c r="BH325" i="5"/>
  <c r="BN294" i="5"/>
  <c r="S325" i="5"/>
  <c r="S332" i="5" s="1"/>
  <c r="Q327" i="5"/>
  <c r="Q344" i="5" s="1"/>
  <c r="BQ327" i="5"/>
  <c r="BQ344" i="5" s="1"/>
  <c r="Z240" i="5"/>
  <c r="Y326" i="5"/>
  <c r="Y338" i="5" s="1"/>
  <c r="BO326" i="5"/>
  <c r="BO338" i="5" s="1"/>
  <c r="AE327" i="5"/>
  <c r="AE344" i="5" s="1"/>
  <c r="BD326" i="5"/>
  <c r="BD338" i="5" s="1"/>
  <c r="AM264" i="5"/>
  <c r="BO294" i="5"/>
  <c r="Y258" i="5"/>
  <c r="AB240" i="5"/>
  <c r="AE325" i="5"/>
  <c r="AE332" i="5" s="1"/>
  <c r="AW295" i="5"/>
  <c r="BK258" i="5"/>
  <c r="AE294" i="5"/>
  <c r="AQ264" i="5"/>
  <c r="V258" i="5"/>
  <c r="AZ258" i="5"/>
  <c r="BR327" i="5"/>
  <c r="BR344" i="5" s="1"/>
  <c r="BJ295" i="5"/>
  <c r="AZ295" i="5"/>
  <c r="BQ258" i="5"/>
  <c r="AU264" i="5"/>
  <c r="AQ325" i="5"/>
  <c r="AQ332" i="5" s="1"/>
  <c r="AF326" i="5"/>
  <c r="AF338" i="5" s="1"/>
  <c r="BQ325" i="5"/>
  <c r="BQ332" i="5" s="1"/>
  <c r="Q258" i="5"/>
  <c r="BA258" i="5"/>
  <c r="S327" i="5"/>
  <c r="S344" i="5" s="1"/>
  <c r="BR325" i="5"/>
  <c r="BR332" i="5" s="1"/>
  <c r="S295" i="5"/>
  <c r="AF264" i="5"/>
  <c r="BJ258" i="5"/>
  <c r="AU325" i="5"/>
  <c r="AU332" i="5" s="1"/>
  <c r="BJ327" i="5"/>
  <c r="BJ344" i="5" s="1"/>
  <c r="AT325" i="5"/>
  <c r="AT332" i="5" s="1"/>
  <c r="BA327" i="5"/>
  <c r="BA344" i="5" s="1"/>
  <c r="AQ327" i="5"/>
  <c r="AQ344" i="5" s="1"/>
  <c r="AT264" i="5"/>
  <c r="BJ325" i="5"/>
  <c r="BJ332" i="5" s="1"/>
  <c r="AU295" i="5"/>
  <c r="BM295" i="5"/>
  <c r="AZ326" i="5"/>
  <c r="AZ338" i="5" s="1"/>
  <c r="AQ326" i="5"/>
  <c r="AQ338" i="5" s="1"/>
  <c r="Q326" i="5"/>
  <c r="Q338" i="5" s="1"/>
  <c r="BA295" i="5"/>
  <c r="BR295" i="5"/>
  <c r="AK258" i="5"/>
  <c r="AU258" i="5"/>
  <c r="S258" i="5"/>
  <c r="BA264" i="5"/>
  <c r="BM264" i="5"/>
  <c r="AZ325" i="5"/>
  <c r="AZ332" i="5" s="1"/>
  <c r="V327" i="5"/>
  <c r="V344" i="5" s="1"/>
  <c r="AU327" i="5"/>
  <c r="AU344" i="5" s="1"/>
  <c r="AK326" i="5"/>
  <c r="AK338" i="5" s="1"/>
  <c r="AT326" i="5"/>
  <c r="AT338" i="5" s="1"/>
  <c r="BR326" i="5"/>
  <c r="BR338" i="5" s="1"/>
  <c r="V294" i="5"/>
  <c r="Q325" i="5"/>
  <c r="Q332" i="5" s="1"/>
  <c r="BA326" i="5"/>
  <c r="BA338" i="5" s="1"/>
  <c r="S326" i="5"/>
  <c r="S338" i="5" s="1"/>
  <c r="AK295" i="5"/>
  <c r="AZ264" i="5"/>
  <c r="BM294" i="5"/>
  <c r="AU240" i="5"/>
  <c r="BR264" i="5"/>
  <c r="S264" i="5"/>
  <c r="BA240" i="5"/>
  <c r="AK240" i="5"/>
  <c r="AK327" i="5"/>
  <c r="AK344" i="5" s="1"/>
  <c r="BA325" i="5"/>
  <c r="BA332" i="5" s="1"/>
  <c r="AK325" i="5"/>
  <c r="AK332" i="5" s="1"/>
  <c r="BM325" i="5"/>
  <c r="BM332" i="5" s="1"/>
  <c r="AF325" i="5"/>
  <c r="AF332" i="5" s="1"/>
  <c r="BJ326" i="5"/>
  <c r="BJ338" i="5" s="1"/>
  <c r="V326" i="5"/>
  <c r="V338" i="5" s="1"/>
  <c r="V295" i="5"/>
  <c r="AQ295" i="5"/>
  <c r="AF294" i="5"/>
  <c r="AT295" i="5"/>
  <c r="BJ294" i="5"/>
  <c r="AK294" i="5"/>
  <c r="BQ295" i="5"/>
  <c r="BQ264" i="5"/>
  <c r="AF258" i="5"/>
  <c r="BR258" i="5"/>
  <c r="AQ258" i="5"/>
  <c r="AT258" i="5"/>
  <c r="AF240" i="5"/>
  <c r="AT240" i="5"/>
  <c r="AR326" i="5"/>
  <c r="AR338" i="5" s="1"/>
  <c r="BM327" i="5"/>
  <c r="BM344" i="5" s="1"/>
  <c r="AT327" i="5"/>
  <c r="AT344" i="5" s="1"/>
  <c r="AF327" i="5"/>
  <c r="AF344" i="5" s="1"/>
  <c r="V325" i="5"/>
  <c r="V332" i="5" s="1"/>
  <c r="AZ327" i="5"/>
  <c r="AZ344" i="5" s="1"/>
  <c r="BQ326" i="5"/>
  <c r="BQ338" i="5" s="1"/>
  <c r="AR258" i="5"/>
  <c r="Q240" i="5"/>
  <c r="BR240" i="5"/>
  <c r="X295" i="5"/>
  <c r="BL325" i="5"/>
  <c r="BL332" i="5" s="1"/>
  <c r="AV258" i="5"/>
  <c r="BO240" i="5"/>
  <c r="AC264" i="5"/>
  <c r="AW240" i="5"/>
  <c r="BK240" i="5"/>
  <c r="AM325" i="5"/>
  <c r="AM332" i="5" s="1"/>
  <c r="AV326" i="5"/>
  <c r="AV338" i="5" s="1"/>
  <c r="AI327" i="5"/>
  <c r="AI344" i="5" s="1"/>
  <c r="BD327" i="5"/>
  <c r="BD344" i="5" s="1"/>
  <c r="AW327" i="5"/>
  <c r="AW344" i="5" s="1"/>
  <c r="BK326" i="5"/>
  <c r="BK338" i="5" s="1"/>
  <c r="AI325" i="5"/>
  <c r="AI332" i="5" s="1"/>
  <c r="BK325" i="5"/>
  <c r="BK332" i="5" s="1"/>
  <c r="AR325" i="5"/>
  <c r="AR332" i="5" s="1"/>
  <c r="Z326" i="5"/>
  <c r="Z338" i="5" s="1"/>
  <c r="AV295" i="5"/>
  <c r="AL264" i="5"/>
  <c r="AC295" i="5"/>
  <c r="Y294" i="5"/>
  <c r="AW294" i="5"/>
  <c r="AP264" i="5"/>
  <c r="AI295" i="5"/>
  <c r="AB294" i="5"/>
  <c r="Z294" i="5"/>
  <c r="AE295" i="5"/>
  <c r="BO295" i="5"/>
  <c r="AV240" i="5"/>
  <c r="AI258" i="5"/>
  <c r="AP326" i="5"/>
  <c r="AP338" i="5" s="1"/>
  <c r="AM326" i="5"/>
  <c r="AM338" i="5" s="1"/>
  <c r="Y327" i="5"/>
  <c r="Y344" i="5" s="1"/>
  <c r="AV327" i="5"/>
  <c r="AV344" i="5" s="1"/>
  <c r="AL325" i="5"/>
  <c r="AL332" i="5" s="1"/>
  <c r="Z325" i="5"/>
  <c r="Z332" i="5" s="1"/>
  <c r="AL326" i="5"/>
  <c r="AL338" i="5" s="1"/>
  <c r="AV294" i="5"/>
  <c r="AC294" i="5"/>
  <c r="AR295" i="5"/>
  <c r="BD295" i="5"/>
  <c r="AW264" i="5"/>
  <c r="AM294" i="5"/>
  <c r="AI264" i="5"/>
  <c r="AB295" i="5"/>
  <c r="BK294" i="5"/>
  <c r="Z295" i="5"/>
  <c r="AE264" i="5"/>
  <c r="BO325" i="5"/>
  <c r="BO332" i="5" s="1"/>
  <c r="AM240" i="5"/>
  <c r="BD240" i="5"/>
  <c r="Z258" i="5"/>
  <c r="BD264" i="5"/>
  <c r="AM258" i="5"/>
  <c r="AE258" i="5"/>
  <c r="AR264" i="5"/>
  <c r="Z264" i="5"/>
  <c r="BD258" i="5"/>
  <c r="AL258" i="5"/>
  <c r="AW258" i="5"/>
  <c r="AC240" i="5"/>
  <c r="AP258" i="5"/>
  <c r="AR240" i="5"/>
  <c r="AB264" i="5"/>
  <c r="AR327" i="5"/>
  <c r="AR344" i="5" s="1"/>
  <c r="BD325" i="5"/>
  <c r="BD332" i="5" s="1"/>
  <c r="AC325" i="5"/>
  <c r="AC332" i="5" s="1"/>
  <c r="AB327" i="5"/>
  <c r="AB344" i="5" s="1"/>
  <c r="AC326" i="5"/>
  <c r="AC338" i="5" s="1"/>
  <c r="AB325" i="5"/>
  <c r="AB332" i="5" s="1"/>
  <c r="AM327" i="5"/>
  <c r="AM344" i="5" s="1"/>
  <c r="AP327" i="5"/>
  <c r="AP344" i="5" s="1"/>
  <c r="AL327" i="5"/>
  <c r="AL344" i="5" s="1"/>
  <c r="AL240" i="5"/>
  <c r="AP240" i="5"/>
  <c r="X326" i="5"/>
  <c r="X338" i="5" s="1"/>
  <c r="BP325" i="5"/>
  <c r="BP332" i="5" s="1"/>
  <c r="AJ326" i="5"/>
  <c r="AJ338" i="5" s="1"/>
  <c r="AD294" i="5"/>
  <c r="BE240" i="5"/>
  <c r="AO240" i="5"/>
  <c r="BG294" i="5"/>
  <c r="AN258" i="5"/>
  <c r="U326" i="5"/>
  <c r="U338" i="5" s="1"/>
  <c r="AD258" i="5"/>
  <c r="X240" i="5"/>
  <c r="BP327" i="5"/>
  <c r="BP344" i="5" s="1"/>
  <c r="AN295" i="5"/>
  <c r="AJ264" i="5"/>
  <c r="BI264" i="5"/>
  <c r="T258" i="5"/>
  <c r="BS326" i="5"/>
  <c r="BS338" i="5" s="1"/>
  <c r="AN325" i="5"/>
  <c r="AN332" i="5" s="1"/>
  <c r="X325" i="5"/>
  <c r="X332" i="5" s="1"/>
  <c r="BI294" i="5"/>
  <c r="AH295" i="5"/>
  <c r="W294" i="5"/>
  <c r="BL240" i="5"/>
  <c r="BC240" i="5"/>
  <c r="BL327" i="5"/>
  <c r="BL344" i="5" s="1"/>
  <c r="T295" i="5"/>
  <c r="BS258" i="5"/>
  <c r="T240" i="5"/>
  <c r="BP264" i="5"/>
  <c r="AH258" i="5"/>
  <c r="AD325" i="5"/>
  <c r="AD332" i="5" s="1"/>
  <c r="BL326" i="5"/>
  <c r="BL338" i="5" s="1"/>
  <c r="W326" i="5"/>
  <c r="W338" i="5" s="1"/>
  <c r="AD327" i="5"/>
  <c r="AD344" i="5" s="1"/>
  <c r="T327" i="5"/>
  <c r="T344" i="5" s="1"/>
  <c r="AJ327" i="5"/>
  <c r="AJ344" i="5" s="1"/>
  <c r="U327" i="5"/>
  <c r="U344" i="5" s="1"/>
  <c r="BC327" i="5"/>
  <c r="BC344" i="5" s="1"/>
  <c r="BI325" i="5"/>
  <c r="BI332" i="5" s="1"/>
  <c r="BP326" i="5"/>
  <c r="BP338" i="5" s="1"/>
  <c r="BI327" i="5"/>
  <c r="BI344" i="5" s="1"/>
  <c r="BG327" i="5"/>
  <c r="BG344" i="5" s="1"/>
  <c r="T326" i="5"/>
  <c r="T338" i="5" s="1"/>
  <c r="T264" i="5"/>
  <c r="U295" i="5"/>
  <c r="BI326" i="5"/>
  <c r="BI338" i="5" s="1"/>
  <c r="BC294" i="5"/>
  <c r="AN264" i="5"/>
  <c r="BG295" i="5"/>
  <c r="BS294" i="5"/>
  <c r="AH264" i="5"/>
  <c r="BP295" i="5"/>
  <c r="AD295" i="5"/>
  <c r="W295" i="5"/>
  <c r="X294" i="5"/>
  <c r="U240" i="5"/>
  <c r="AN240" i="5"/>
  <c r="W240" i="5"/>
  <c r="AH240" i="5"/>
  <c r="BP240" i="5"/>
  <c r="W258" i="5"/>
  <c r="BG258" i="5"/>
  <c r="BL264" i="5"/>
  <c r="W264" i="5"/>
  <c r="BC264" i="5"/>
  <c r="BS240" i="5"/>
  <c r="BG264" i="5"/>
  <c r="U258" i="5"/>
  <c r="AJ240" i="5"/>
  <c r="AD240" i="5"/>
  <c r="AJ325" i="5"/>
  <c r="AJ332" i="5" s="1"/>
  <c r="BC325" i="5"/>
  <c r="BC332" i="5" s="1"/>
  <c r="BS327" i="5"/>
  <c r="BS344" i="5" s="1"/>
  <c r="AH325" i="5"/>
  <c r="AH332" i="5" s="1"/>
  <c r="AN327" i="5"/>
  <c r="AN344" i="5" s="1"/>
  <c r="W325" i="5"/>
  <c r="W332" i="5" s="1"/>
  <c r="BS325" i="5"/>
  <c r="BS332" i="5" s="1"/>
  <c r="BG325" i="5"/>
  <c r="BG332" i="5" s="1"/>
  <c r="U294" i="5"/>
  <c r="BC295" i="5"/>
  <c r="BS295" i="5"/>
  <c r="BP294" i="5"/>
  <c r="AJ295" i="5"/>
  <c r="AD264" i="5"/>
  <c r="X258" i="5"/>
  <c r="BL294" i="5"/>
  <c r="BG240" i="5"/>
  <c r="BI240" i="5"/>
  <c r="BL258" i="5"/>
  <c r="BI258" i="5"/>
  <c r="BC258" i="5"/>
  <c r="AJ258" i="5"/>
  <c r="U264" i="5"/>
  <c r="X264" i="5"/>
  <c r="AN326" i="5"/>
  <c r="AN338" i="5" s="1"/>
  <c r="AH327" i="5"/>
  <c r="AH344" i="5" s="1"/>
  <c r="T325" i="5"/>
  <c r="T332" i="5" s="1"/>
  <c r="AH326" i="5"/>
  <c r="AH338" i="5" s="1"/>
  <c r="L207" i="5"/>
  <c r="L198" i="8"/>
  <c r="L396" i="8"/>
  <c r="I373" i="8"/>
  <c r="I366" i="8"/>
  <c r="L368" i="8"/>
  <c r="I371" i="8"/>
  <c r="L374" i="8"/>
  <c r="I374" i="8" s="1"/>
  <c r="L135" i="5" a="1"/>
  <c r="V240" i="5"/>
  <c r="N295" i="5"/>
  <c r="N294" i="5"/>
  <c r="N325" i="5"/>
  <c r="N332" i="5" s="1"/>
  <c r="N327" i="5"/>
  <c r="N326" i="5"/>
  <c r="N240" i="5"/>
  <c r="L405" i="5"/>
  <c r="I382" i="5"/>
  <c r="L403" i="5"/>
  <c r="I380" i="5"/>
  <c r="L383" i="5"/>
  <c r="I225" i="5"/>
  <c r="N258" i="5"/>
  <c r="N264" i="5"/>
  <c r="I219" i="5"/>
  <c r="I190" i="5"/>
  <c r="L377" i="5"/>
  <c r="L397" i="5" s="1"/>
  <c r="AO498" i="20" l="1"/>
  <c r="BI490" i="20"/>
  <c r="L226" i="15"/>
  <c r="L174" i="15" s="1"/>
  <c r="AQ498" i="20"/>
  <c r="N490" i="20"/>
  <c r="P132" i="25" a="1"/>
  <c r="P132" i="25" s="1"/>
  <c r="N132" i="25" s="1"/>
  <c r="P131" i="25" a="1"/>
  <c r="P131" i="25" s="1"/>
  <c r="N131" i="25" s="1"/>
  <c r="P130" i="25" a="1"/>
  <c r="P130" i="25" s="1"/>
  <c r="S102" i="25"/>
  <c r="T102" i="25"/>
  <c r="R102" i="25"/>
  <c r="U102" i="25"/>
  <c r="Q102" i="25"/>
  <c r="P102" i="25"/>
  <c r="N98" i="25"/>
  <c r="P27" i="25" a="1"/>
  <c r="P27" i="25" s="1"/>
  <c r="N27" i="25" s="1"/>
  <c r="L301" i="11"/>
  <c r="L323" i="15" s="1"/>
  <c r="BC490" i="20"/>
  <c r="Z50" i="21"/>
  <c r="V498" i="20"/>
  <c r="N301" i="11"/>
  <c r="M301" i="11"/>
  <c r="M323" i="15" s="1"/>
  <c r="AR498" i="20"/>
  <c r="AN500" i="20"/>
  <c r="T523" i="15"/>
  <c r="AG515" i="15"/>
  <c r="X523" i="15"/>
  <c r="V523" i="15"/>
  <c r="AZ494" i="20"/>
  <c r="O136" i="15"/>
  <c r="O323" i="15" s="1"/>
  <c r="M139" i="15"/>
  <c r="Q501" i="11"/>
  <c r="AL497" i="11"/>
  <c r="T505" i="11"/>
  <c r="AL505" i="11"/>
  <c r="AM501" i="11"/>
  <c r="BN497" i="11"/>
  <c r="AM497" i="11"/>
  <c r="AZ501" i="11"/>
  <c r="BI503" i="11"/>
  <c r="AH503" i="11"/>
  <c r="AY503" i="11"/>
  <c r="AE503" i="11"/>
  <c r="T501" i="11"/>
  <c r="AZ493" i="11"/>
  <c r="AL493" i="11"/>
  <c r="AH505" i="11"/>
  <c r="AY505" i="11"/>
  <c r="AE505" i="11"/>
  <c r="Q503" i="11"/>
  <c r="AE493" i="11"/>
  <c r="BN505" i="11"/>
  <c r="AN490" i="20"/>
  <c r="AN494" i="20"/>
  <c r="AN498" i="20"/>
  <c r="BC496" i="20"/>
  <c r="BC500" i="20"/>
  <c r="BC498" i="20"/>
  <c r="BC494" i="20"/>
  <c r="Z500" i="20"/>
  <c r="Z494" i="20"/>
  <c r="Z498" i="20"/>
  <c r="Z496" i="20"/>
  <c r="AM500" i="20"/>
  <c r="AJ494" i="20"/>
  <c r="BM500" i="20"/>
  <c r="BM496" i="20"/>
  <c r="BM490" i="20"/>
  <c r="BM494" i="20"/>
  <c r="AS500" i="20"/>
  <c r="AS494" i="20"/>
  <c r="AS498" i="20"/>
  <c r="N500" i="20"/>
  <c r="AQ500" i="20"/>
  <c r="N494" i="20"/>
  <c r="AZ500" i="20"/>
  <c r="U500" i="20"/>
  <c r="U494" i="20"/>
  <c r="AR500" i="20"/>
  <c r="BE500" i="20"/>
  <c r="X500" i="20"/>
  <c r="AW494" i="20"/>
  <c r="BK494" i="20"/>
  <c r="AB494" i="20"/>
  <c r="AB496" i="20"/>
  <c r="AB490" i="20"/>
  <c r="T500" i="20"/>
  <c r="AJ490" i="20"/>
  <c r="AB500" i="20"/>
  <c r="AJ500" i="20"/>
  <c r="AJ498" i="20"/>
  <c r="BS500" i="20"/>
  <c r="AK500" i="20"/>
  <c r="T494" i="20"/>
  <c r="AF494" i="20"/>
  <c r="AI494" i="20"/>
  <c r="AC39" i="21"/>
  <c r="AJ39" i="21"/>
  <c r="AK498" i="20"/>
  <c r="AS496" i="20"/>
  <c r="T498" i="20"/>
  <c r="U496" i="20"/>
  <c r="AK494" i="20"/>
  <c r="AN496" i="20"/>
  <c r="AK496" i="20"/>
  <c r="T490" i="20"/>
  <c r="T496" i="20"/>
  <c r="U498" i="20"/>
  <c r="AK490" i="20"/>
  <c r="AS490" i="20"/>
  <c r="BK490" i="20"/>
  <c r="AM496" i="20"/>
  <c r="O500" i="20"/>
  <c r="O494" i="20"/>
  <c r="O498" i="20"/>
  <c r="O490" i="20"/>
  <c r="AZ498" i="20"/>
  <c r="N498" i="20"/>
  <c r="AZ490" i="20"/>
  <c r="P500" i="20"/>
  <c r="AL500" i="20"/>
  <c r="AA500" i="20"/>
  <c r="AL39" i="21"/>
  <c r="AL496" i="20"/>
  <c r="AL494" i="20"/>
  <c r="BS498" i="20"/>
  <c r="AL498" i="20"/>
  <c r="AF500" i="20"/>
  <c r="AE39" i="21"/>
  <c r="AF498" i="20"/>
  <c r="AL490" i="20"/>
  <c r="BP490" i="20"/>
  <c r="AD490" i="20"/>
  <c r="BO500" i="20"/>
  <c r="X498" i="20"/>
  <c r="W500" i="20"/>
  <c r="O496" i="20"/>
  <c r="AV498" i="20"/>
  <c r="M494" i="20"/>
  <c r="BH500" i="20"/>
  <c r="BP494" i="20"/>
  <c r="BQ500" i="20"/>
  <c r="V494" i="20"/>
  <c r="AG494" i="20"/>
  <c r="AG498" i="20"/>
  <c r="BQ498" i="20"/>
  <c r="M500" i="20"/>
  <c r="BE494" i="20"/>
  <c r="X494" i="20"/>
  <c r="BQ494" i="20"/>
  <c r="V500" i="20"/>
  <c r="BK500" i="20"/>
  <c r="AG500" i="20"/>
  <c r="V496" i="20"/>
  <c r="BK498" i="20"/>
  <c r="BQ490" i="20"/>
  <c r="AC490" i="20"/>
  <c r="W490" i="20"/>
  <c r="V490" i="20"/>
  <c r="M496" i="20"/>
  <c r="X496" i="20"/>
  <c r="BH498" i="20"/>
  <c r="BH490" i="20"/>
  <c r="BO498" i="20"/>
  <c r="M498" i="20"/>
  <c r="U490" i="20"/>
  <c r="BP498" i="20"/>
  <c r="Y500" i="20"/>
  <c r="BO494" i="20"/>
  <c r="AR494" i="20"/>
  <c r="BH494" i="20"/>
  <c r="AW500" i="20"/>
  <c r="W494" i="20"/>
  <c r="Y496" i="20"/>
  <c r="AW496" i="20"/>
  <c r="BK496" i="20"/>
  <c r="W498" i="20"/>
  <c r="BO490" i="20"/>
  <c r="BP496" i="20"/>
  <c r="AY498" i="20"/>
  <c r="AW498" i="20"/>
  <c r="BH496" i="20"/>
  <c r="AG496" i="20"/>
  <c r="BS490" i="20"/>
  <c r="AO496" i="20"/>
  <c r="BS494" i="20"/>
  <c r="P494" i="20"/>
  <c r="AT494" i="20"/>
  <c r="AM494" i="20"/>
  <c r="BN500" i="20"/>
  <c r="AA494" i="20"/>
  <c r="AF39" i="21"/>
  <c r="AM39" i="21"/>
  <c r="AK39" i="21"/>
  <c r="AG39" i="21"/>
  <c r="AI496" i="20"/>
  <c r="AA490" i="20"/>
  <c r="BN490" i="20"/>
  <c r="AO500" i="20"/>
  <c r="AD500" i="20"/>
  <c r="BI500" i="20"/>
  <c r="Q500" i="20"/>
  <c r="BN494" i="20"/>
  <c r="AD39" i="21"/>
  <c r="AN39" i="21"/>
  <c r="AP39" i="21"/>
  <c r="AA496" i="20"/>
  <c r="BI496" i="20"/>
  <c r="BN498" i="20"/>
  <c r="W496" i="20"/>
  <c r="AI498" i="20"/>
  <c r="AZ496" i="20"/>
  <c r="AM498" i="20"/>
  <c r="P498" i="20"/>
  <c r="AO494" i="20"/>
  <c r="AD494" i="20"/>
  <c r="BI494" i="20"/>
  <c r="Q494" i="20"/>
  <c r="AI500" i="20"/>
  <c r="AY500" i="20"/>
  <c r="AB39" i="21"/>
  <c r="AA39" i="21"/>
  <c r="AO39" i="21"/>
  <c r="P496" i="20"/>
  <c r="BO496" i="20"/>
  <c r="BN496" i="20"/>
  <c r="AJ496" i="20"/>
  <c r="AJ378" i="20"/>
  <c r="BL496" i="20"/>
  <c r="BL494" i="20"/>
  <c r="R494" i="20"/>
  <c r="R500" i="20"/>
  <c r="R490" i="20"/>
  <c r="R498" i="20"/>
  <c r="AY490" i="20"/>
  <c r="BI498" i="20"/>
  <c r="P490" i="20"/>
  <c r="AI490" i="20"/>
  <c r="AA498" i="20"/>
  <c r="AO490" i="20"/>
  <c r="AD498" i="20"/>
  <c r="AW490" i="20"/>
  <c r="BE490" i="20"/>
  <c r="AE494" i="20"/>
  <c r="BR494" i="20"/>
  <c r="AH494" i="20"/>
  <c r="AO384" i="20"/>
  <c r="BR498" i="20"/>
  <c r="AP490" i="20"/>
  <c r="AP494" i="20"/>
  <c r="AT496" i="20"/>
  <c r="BB494" i="20"/>
  <c r="BA496" i="20"/>
  <c r="BG490" i="20"/>
  <c r="Q496" i="20"/>
  <c r="BE498" i="20"/>
  <c r="AD496" i="20"/>
  <c r="Q498" i="20"/>
  <c r="BF498" i="20"/>
  <c r="BS496" i="20"/>
  <c r="BE496" i="20"/>
  <c r="BA498" i="20"/>
  <c r="AQ494" i="20"/>
  <c r="BG500" i="20"/>
  <c r="AC500" i="20"/>
  <c r="BA500" i="20"/>
  <c r="BG496" i="20"/>
  <c r="BS378" i="20"/>
  <c r="AQ490" i="20"/>
  <c r="BG498" i="20"/>
  <c r="BG494" i="20"/>
  <c r="AC494" i="20"/>
  <c r="BA494" i="20"/>
  <c r="BA490" i="20"/>
  <c r="BJ490" i="20"/>
  <c r="Z48" i="21"/>
  <c r="BQ496" i="20"/>
  <c r="AQ496" i="20"/>
  <c r="BF496" i="20"/>
  <c r="BR496" i="20"/>
  <c r="AT490" i="20"/>
  <c r="BF490" i="20"/>
  <c r="N496" i="20"/>
  <c r="BF500" i="20"/>
  <c r="AU500" i="20"/>
  <c r="BD500" i="20"/>
  <c r="I417" i="20"/>
  <c r="AE496" i="20"/>
  <c r="AE498" i="20"/>
  <c r="AP496" i="20"/>
  <c r="BF494" i="20"/>
  <c r="AU494" i="20"/>
  <c r="BD494" i="20"/>
  <c r="AH490" i="20"/>
  <c r="AU490" i="20"/>
  <c r="Z49" i="21"/>
  <c r="AU496" i="20"/>
  <c r="BD496" i="20"/>
  <c r="AH496" i="20"/>
  <c r="AP498" i="20"/>
  <c r="BB490" i="20"/>
  <c r="BL490" i="20"/>
  <c r="AU498" i="20"/>
  <c r="BR490" i="20"/>
  <c r="AE490" i="20"/>
  <c r="BB496" i="20"/>
  <c r="BL498" i="20"/>
  <c r="BB498" i="20"/>
  <c r="AH498" i="20"/>
  <c r="BL500" i="20"/>
  <c r="BB500" i="20"/>
  <c r="AP500" i="20"/>
  <c r="AE500" i="20"/>
  <c r="BR500" i="20"/>
  <c r="AH500" i="20"/>
  <c r="AF496" i="20"/>
  <c r="R496" i="20"/>
  <c r="AV496" i="20"/>
  <c r="I445" i="20"/>
  <c r="Y498" i="20"/>
  <c r="AT498" i="20"/>
  <c r="BD498" i="20"/>
  <c r="Q490" i="20"/>
  <c r="BD490" i="20"/>
  <c r="AC496" i="20"/>
  <c r="AR496" i="20"/>
  <c r="AV490" i="20"/>
  <c r="AC498" i="20"/>
  <c r="BJ496" i="20"/>
  <c r="Y494" i="20"/>
  <c r="S494" i="20"/>
  <c r="AV500" i="20"/>
  <c r="Y490" i="20"/>
  <c r="BP500" i="20"/>
  <c r="AV494" i="20"/>
  <c r="AX498" i="20"/>
  <c r="AX490" i="20"/>
  <c r="BJ500" i="20"/>
  <c r="AX496" i="20"/>
  <c r="BJ498" i="20"/>
  <c r="AX500" i="20"/>
  <c r="BJ494" i="20"/>
  <c r="I423" i="20"/>
  <c r="AX494" i="20"/>
  <c r="AY496" i="20"/>
  <c r="AT500" i="20"/>
  <c r="AY494" i="20"/>
  <c r="S500" i="20"/>
  <c r="S496" i="20"/>
  <c r="S498" i="20"/>
  <c r="S490" i="20"/>
  <c r="S378" i="20"/>
  <c r="P64" i="25" a="1"/>
  <c r="P64" i="25" s="1"/>
  <c r="N64" i="25" s="1"/>
  <c r="P65" i="25" a="1"/>
  <c r="P65" i="25" s="1"/>
  <c r="N65" i="25" s="1"/>
  <c r="BO523" i="15"/>
  <c r="P63" i="25" a="1"/>
  <c r="P63" i="25" s="1"/>
  <c r="N63" i="25" s="1"/>
  <c r="R35" i="25"/>
  <c r="U35" i="25"/>
  <c r="T35" i="25"/>
  <c r="Q35" i="25"/>
  <c r="S35" i="25"/>
  <c r="P35" i="25"/>
  <c r="AP47" i="21"/>
  <c r="X51" i="21"/>
  <c r="AG51" i="21" s="1"/>
  <c r="Q47" i="21"/>
  <c r="AI47" i="21" s="1"/>
  <c r="Q96" i="21" a="1"/>
  <c r="Q96" i="21" s="1"/>
  <c r="Q95" i="21" a="1"/>
  <c r="AP95" i="21" s="1"/>
  <c r="L227" i="23"/>
  <c r="L231" i="23" s="1"/>
  <c r="Q42" i="21"/>
  <c r="AI42" i="21" s="1"/>
  <c r="AG42" i="21"/>
  <c r="AP42" i="21"/>
  <c r="L533" i="23"/>
  <c r="L527" i="23"/>
  <c r="L319" i="23"/>
  <c r="L321" i="23" s="1"/>
  <c r="BO280" i="9"/>
  <c r="L268" i="23"/>
  <c r="V498" i="9"/>
  <c r="V492" i="9"/>
  <c r="V500" i="9"/>
  <c r="V496" i="9"/>
  <c r="BQ492" i="9"/>
  <c r="X282" i="9"/>
  <c r="P280" i="9"/>
  <c r="BQ496" i="9"/>
  <c r="X280" i="9"/>
  <c r="BQ500" i="9"/>
  <c r="P282" i="9"/>
  <c r="BP500" i="9"/>
  <c r="BQ498" i="9"/>
  <c r="BP496" i="9"/>
  <c r="BP492" i="9"/>
  <c r="BP498" i="9"/>
  <c r="AH282" i="9"/>
  <c r="AE282" i="9"/>
  <c r="AE280" i="9"/>
  <c r="AH280" i="9"/>
  <c r="AN488" i="9"/>
  <c r="AO282" i="9"/>
  <c r="T498" i="9"/>
  <c r="T496" i="9"/>
  <c r="T500" i="9"/>
  <c r="BM496" i="9"/>
  <c r="AO280" i="9"/>
  <c r="T492" i="9"/>
  <c r="AF496" i="9"/>
  <c r="AF498" i="9"/>
  <c r="AZ280" i="9"/>
  <c r="BG498" i="9"/>
  <c r="V382" i="9"/>
  <c r="AG500" i="9"/>
  <c r="BN500" i="9"/>
  <c r="W492" i="9"/>
  <c r="AO500" i="9"/>
  <c r="W496" i="9"/>
  <c r="BP382" i="9"/>
  <c r="AO492" i="9"/>
  <c r="AY488" i="9"/>
  <c r="AK280" i="9"/>
  <c r="AW500" i="9"/>
  <c r="AG496" i="9"/>
  <c r="AK494" i="9"/>
  <c r="W498" i="9"/>
  <c r="AY492" i="9"/>
  <c r="AD282" i="9"/>
  <c r="V282" i="9"/>
  <c r="AM280" i="9"/>
  <c r="AD280" i="9"/>
  <c r="V280" i="9"/>
  <c r="BE282" i="9"/>
  <c r="Q492" i="9"/>
  <c r="BS498" i="9"/>
  <c r="BG492" i="9"/>
  <c r="AW492" i="9"/>
  <c r="AW496" i="9"/>
  <c r="Q498" i="9"/>
  <c r="BP488" i="9"/>
  <c r="AK282" i="9"/>
  <c r="AF500" i="9"/>
  <c r="AF492" i="9"/>
  <c r="Z280" i="9"/>
  <c r="BO500" i="9"/>
  <c r="BR494" i="9"/>
  <c r="AF494" i="9"/>
  <c r="BR496" i="9"/>
  <c r="BR500" i="9"/>
  <c r="BR488" i="9"/>
  <c r="BR498" i="9"/>
  <c r="BR492" i="9"/>
  <c r="Z282" i="9"/>
  <c r="BG500" i="9"/>
  <c r="W500" i="9"/>
  <c r="AG498" i="9"/>
  <c r="V488" i="9"/>
  <c r="AY496" i="9"/>
  <c r="Q496" i="9"/>
  <c r="BN492" i="9"/>
  <c r="BS496" i="9"/>
  <c r="BJ282" i="9"/>
  <c r="BE280" i="9"/>
  <c r="AY498" i="9"/>
  <c r="AG494" i="9"/>
  <c r="BR376" i="9"/>
  <c r="AW498" i="9"/>
  <c r="AG492" i="9"/>
  <c r="AO496" i="9"/>
  <c r="BG496" i="9"/>
  <c r="AY500" i="9"/>
  <c r="Q500" i="9"/>
  <c r="BN496" i="9"/>
  <c r="BS492" i="9"/>
  <c r="AM282" i="9"/>
  <c r="O282" i="9"/>
  <c r="BJ280" i="9"/>
  <c r="BN498" i="9"/>
  <c r="AO498" i="9"/>
  <c r="BN488" i="9"/>
  <c r="BS500" i="9"/>
  <c r="AF376" i="9"/>
  <c r="AX500" i="9"/>
  <c r="AV498" i="9"/>
  <c r="AF280" i="9"/>
  <c r="AV492" i="9"/>
  <c r="AF488" i="9"/>
  <c r="AX488" i="9"/>
  <c r="V494" i="9"/>
  <c r="BR282" i="9"/>
  <c r="AY382" i="9"/>
  <c r="AV496" i="9"/>
  <c r="P498" i="9"/>
  <c r="AY282" i="9"/>
  <c r="BR280" i="9"/>
  <c r="P492" i="9"/>
  <c r="AF382" i="9"/>
  <c r="P500" i="9"/>
  <c r="P496" i="9"/>
  <c r="AY280" i="9"/>
  <c r="AO494" i="9"/>
  <c r="BG488" i="9"/>
  <c r="BG382" i="9"/>
  <c r="AC496" i="9"/>
  <c r="BN376" i="9"/>
  <c r="AC498" i="9"/>
  <c r="BB496" i="9"/>
  <c r="M496" i="9"/>
  <c r="AC280" i="9"/>
  <c r="AD498" i="9"/>
  <c r="BB500" i="9"/>
  <c r="AA282" i="9"/>
  <c r="W280" i="9"/>
  <c r="BK498" i="9"/>
  <c r="AY494" i="9"/>
  <c r="BO496" i="9"/>
  <c r="BN494" i="9"/>
  <c r="P488" i="9"/>
  <c r="BO492" i="9"/>
  <c r="AA280" i="9"/>
  <c r="BS282" i="9"/>
  <c r="AK500" i="9"/>
  <c r="BK492" i="9"/>
  <c r="AC492" i="9"/>
  <c r="AD500" i="9"/>
  <c r="AD488" i="9"/>
  <c r="P494" i="9"/>
  <c r="AK492" i="9"/>
  <c r="T382" i="9"/>
  <c r="BK500" i="9"/>
  <c r="T494" i="9"/>
  <c r="AC500" i="9"/>
  <c r="BB498" i="9"/>
  <c r="BK488" i="9"/>
  <c r="BA496" i="9"/>
  <c r="BA492" i="9"/>
  <c r="W488" i="9"/>
  <c r="BB488" i="9"/>
  <c r="BK496" i="9"/>
  <c r="AK496" i="9"/>
  <c r="BO488" i="9"/>
  <c r="BO494" i="9"/>
  <c r="AD494" i="9"/>
  <c r="AU498" i="9"/>
  <c r="AD496" i="9"/>
  <c r="W382" i="9"/>
  <c r="T488" i="9"/>
  <c r="AD492" i="9"/>
  <c r="BB492" i="9"/>
  <c r="BF488" i="9"/>
  <c r="AC488" i="9"/>
  <c r="AK498" i="9"/>
  <c r="W282" i="9"/>
  <c r="BI492" i="9"/>
  <c r="BI500" i="9"/>
  <c r="BI498" i="9"/>
  <c r="AC494" i="9"/>
  <c r="AA500" i="9"/>
  <c r="BK494" i="9"/>
  <c r="BG376" i="9"/>
  <c r="AD376" i="9"/>
  <c r="BB282" i="9"/>
  <c r="Z500" i="9"/>
  <c r="Q488" i="9"/>
  <c r="AK488" i="9"/>
  <c r="BE492" i="9"/>
  <c r="BJ492" i="9"/>
  <c r="AW494" i="9"/>
  <c r="BE494" i="9"/>
  <c r="T280" i="9"/>
  <c r="BS488" i="9"/>
  <c r="AC376" i="9"/>
  <c r="BJ500" i="9"/>
  <c r="BB494" i="9"/>
  <c r="AE494" i="9"/>
  <c r="AE492" i="9"/>
  <c r="BG494" i="9"/>
  <c r="Z488" i="9"/>
  <c r="AO488" i="9"/>
  <c r="BE498" i="9"/>
  <c r="AG282" i="9"/>
  <c r="BB280" i="9"/>
  <c r="AH488" i="9"/>
  <c r="AO382" i="9"/>
  <c r="AE498" i="9"/>
  <c r="AA498" i="9"/>
  <c r="Z498" i="9"/>
  <c r="AA488" i="9"/>
  <c r="Z496" i="9"/>
  <c r="BJ496" i="9"/>
  <c r="AE496" i="9"/>
  <c r="BE488" i="9"/>
  <c r="AW282" i="9"/>
  <c r="BK282" i="9"/>
  <c r="AG280" i="9"/>
  <c r="AJ282" i="9"/>
  <c r="Y488" i="9"/>
  <c r="BS382" i="9"/>
  <c r="BJ498" i="9"/>
  <c r="AA496" i="9"/>
  <c r="AE500" i="9"/>
  <c r="AA492" i="9"/>
  <c r="Z492" i="9"/>
  <c r="Z494" i="9"/>
  <c r="AE488" i="9"/>
  <c r="BE500" i="9"/>
  <c r="BE496" i="9"/>
  <c r="AW280" i="9"/>
  <c r="U282" i="9"/>
  <c r="AT494" i="9"/>
  <c r="W494" i="9"/>
  <c r="BJ488" i="9"/>
  <c r="AJ492" i="9"/>
  <c r="AH496" i="9"/>
  <c r="U280" i="9"/>
  <c r="AH492" i="9"/>
  <c r="AH382" i="9"/>
  <c r="W376" i="9"/>
  <c r="AH500" i="9"/>
  <c r="AM496" i="9"/>
  <c r="AZ488" i="9"/>
  <c r="BS494" i="9"/>
  <c r="BJ382" i="9"/>
  <c r="AS498" i="9"/>
  <c r="AM494" i="9"/>
  <c r="AP496" i="9"/>
  <c r="AS496" i="9"/>
  <c r="AP494" i="9"/>
  <c r="AA494" i="9"/>
  <c r="AM492" i="9"/>
  <c r="AL500" i="9"/>
  <c r="O500" i="9"/>
  <c r="AJ496" i="9"/>
  <c r="Q280" i="9"/>
  <c r="BG280" i="9"/>
  <c r="AS494" i="9"/>
  <c r="AJ488" i="9"/>
  <c r="AZ500" i="9"/>
  <c r="AZ496" i="9"/>
  <c r="Q494" i="9"/>
  <c r="BN282" i="9"/>
  <c r="AZ498" i="9"/>
  <c r="AJ498" i="9"/>
  <c r="AM488" i="9"/>
  <c r="AL496" i="9"/>
  <c r="AW382" i="9"/>
  <c r="AS500" i="9"/>
  <c r="AM500" i="9"/>
  <c r="AJ500" i="9"/>
  <c r="BJ494" i="9"/>
  <c r="AW488" i="9"/>
  <c r="AG488" i="9"/>
  <c r="AZ494" i="9"/>
  <c r="AS282" i="9"/>
  <c r="AL282" i="9"/>
  <c r="BQ280" i="9"/>
  <c r="BN280" i="9"/>
  <c r="BN382" i="9"/>
  <c r="AS492" i="9"/>
  <c r="AM498" i="9"/>
  <c r="BS376" i="9"/>
  <c r="AJ494" i="9"/>
  <c r="AS488" i="9"/>
  <c r="AZ492" i="9"/>
  <c r="BI282" i="9"/>
  <c r="AB280" i="9"/>
  <c r="R498" i="9"/>
  <c r="AT492" i="9"/>
  <c r="R496" i="9"/>
  <c r="BM498" i="9"/>
  <c r="BM492" i="9"/>
  <c r="AX280" i="9"/>
  <c r="R492" i="9"/>
  <c r="R500" i="9"/>
  <c r="AQ500" i="9"/>
  <c r="R280" i="9"/>
  <c r="AQ280" i="9"/>
  <c r="BH500" i="9"/>
  <c r="AX496" i="9"/>
  <c r="AX494" i="9"/>
  <c r="AX498" i="9"/>
  <c r="AT498" i="9"/>
  <c r="AT496" i="9"/>
  <c r="BP282" i="9"/>
  <c r="AX492" i="9"/>
  <c r="M366" i="9"/>
  <c r="M386" i="9" s="1"/>
  <c r="AT500" i="9"/>
  <c r="BF282" i="9"/>
  <c r="BM500" i="9"/>
  <c r="AT488" i="9"/>
  <c r="AX282" i="9"/>
  <c r="BL492" i="9"/>
  <c r="AT382" i="9"/>
  <c r="AR496" i="9"/>
  <c r="BL500" i="9"/>
  <c r="AR498" i="9"/>
  <c r="BL498" i="9"/>
  <c r="BC282" i="9"/>
  <c r="AR282" i="9"/>
  <c r="M282" i="9"/>
  <c r="AR492" i="9"/>
  <c r="BL496" i="9"/>
  <c r="AR494" i="9"/>
  <c r="AR500" i="9"/>
  <c r="BH488" i="9"/>
  <c r="AB496" i="9"/>
  <c r="R282" i="9"/>
  <c r="AU500" i="9"/>
  <c r="AP498" i="9"/>
  <c r="M494" i="9"/>
  <c r="O280" i="9"/>
  <c r="BF492" i="9"/>
  <c r="AU494" i="9"/>
  <c r="BF498" i="9"/>
  <c r="AP492" i="9"/>
  <c r="Y498" i="9"/>
  <c r="AP488" i="9"/>
  <c r="R488" i="9"/>
  <c r="BF496" i="9"/>
  <c r="BL488" i="9"/>
  <c r="BL282" i="9"/>
  <c r="BM282" i="9"/>
  <c r="AT282" i="9"/>
  <c r="M500" i="9"/>
  <c r="BF494" i="9"/>
  <c r="AU496" i="9"/>
  <c r="BQ382" i="9"/>
  <c r="AU492" i="9"/>
  <c r="BF500" i="9"/>
  <c r="M498" i="9"/>
  <c r="AP500" i="9"/>
  <c r="AU488" i="9"/>
  <c r="Y496" i="9"/>
  <c r="BQ282" i="9"/>
  <c r="BM280" i="9"/>
  <c r="BC500" i="9"/>
  <c r="AU280" i="9"/>
  <c r="AL280" i="9"/>
  <c r="O498" i="9"/>
  <c r="BM382" i="9"/>
  <c r="AL494" i="9"/>
  <c r="X492" i="9"/>
  <c r="AL492" i="9"/>
  <c r="O488" i="9"/>
  <c r="O492" i="9"/>
  <c r="BM494" i="9"/>
  <c r="U492" i="9"/>
  <c r="AL488" i="9"/>
  <c r="AL498" i="9"/>
  <c r="M488" i="9"/>
  <c r="AI282" i="9"/>
  <c r="Y492" i="9"/>
  <c r="BQ488" i="9"/>
  <c r="AN282" i="9"/>
  <c r="BI280" i="9"/>
  <c r="Y500" i="9"/>
  <c r="AN280" i="9"/>
  <c r="X496" i="9"/>
  <c r="AB492" i="9"/>
  <c r="X500" i="9"/>
  <c r="X494" i="9"/>
  <c r="AB488" i="9"/>
  <c r="BA500" i="9"/>
  <c r="BH494" i="9"/>
  <c r="BH496" i="9"/>
  <c r="R494" i="9"/>
  <c r="N494" i="9"/>
  <c r="AQ494" i="9"/>
  <c r="BL494" i="9"/>
  <c r="BC280" i="9"/>
  <c r="AI280" i="9"/>
  <c r="AR280" i="9"/>
  <c r="M280" i="9"/>
  <c r="AR382" i="9"/>
  <c r="BL376" i="9"/>
  <c r="AQ492" i="9"/>
  <c r="AB498" i="9"/>
  <c r="BH498" i="9"/>
  <c r="AB494" i="9"/>
  <c r="BD282" i="9"/>
  <c r="S488" i="9"/>
  <c r="AQ498" i="9"/>
  <c r="AR488" i="9"/>
  <c r="AB500" i="9"/>
  <c r="X498" i="9"/>
  <c r="BH492" i="9"/>
  <c r="AQ496" i="9"/>
  <c r="BD280" i="9"/>
  <c r="AQ488" i="9"/>
  <c r="BI488" i="9"/>
  <c r="BM488" i="9"/>
  <c r="BP494" i="9"/>
  <c r="O494" i="9"/>
  <c r="BD494" i="9"/>
  <c r="BD488" i="9"/>
  <c r="BH282" i="9"/>
  <c r="S282" i="9"/>
  <c r="N282" i="9"/>
  <c r="BC494" i="9"/>
  <c r="BC492" i="9"/>
  <c r="O496" i="9"/>
  <c r="S496" i="9"/>
  <c r="S494" i="9"/>
  <c r="AU282" i="9"/>
  <c r="AV282" i="9"/>
  <c r="N280" i="9"/>
  <c r="BC488" i="9"/>
  <c r="S500" i="9"/>
  <c r="AV488" i="9"/>
  <c r="AI494" i="9"/>
  <c r="AV382" i="9"/>
  <c r="BC498" i="9"/>
  <c r="S498" i="9"/>
  <c r="Y282" i="9"/>
  <c r="Y280" i="9"/>
  <c r="BC382" i="9"/>
  <c r="BI382" i="9"/>
  <c r="AN494" i="9"/>
  <c r="BA488" i="9"/>
  <c r="N498" i="9"/>
  <c r="AI496" i="9"/>
  <c r="AP280" i="9"/>
  <c r="AI498" i="9"/>
  <c r="AN492" i="9"/>
  <c r="U488" i="9"/>
  <c r="Y494" i="9"/>
  <c r="BA494" i="9"/>
  <c r="X488" i="9"/>
  <c r="N492" i="9"/>
  <c r="BD498" i="9"/>
  <c r="AV280" i="9"/>
  <c r="AI492" i="9"/>
  <c r="AN498" i="9"/>
  <c r="N496" i="9"/>
  <c r="AN496" i="9"/>
  <c r="BD492" i="9"/>
  <c r="BQ494" i="9"/>
  <c r="BI494" i="9"/>
  <c r="AI500" i="9"/>
  <c r="AI488" i="9"/>
  <c r="AN500" i="9"/>
  <c r="AV494" i="9"/>
  <c r="N488" i="9"/>
  <c r="BD496" i="9"/>
  <c r="BA280" i="9"/>
  <c r="BD500" i="9"/>
  <c r="AG409" i="23"/>
  <c r="AG405" i="23"/>
  <c r="AG425" i="23" s="1"/>
  <c r="AD405" i="23"/>
  <c r="AD425" i="23" s="1"/>
  <c r="AD409" i="23"/>
  <c r="AM409" i="23"/>
  <c r="AM405" i="23"/>
  <c r="AM425" i="23" s="1"/>
  <c r="AJ409" i="23"/>
  <c r="AJ405" i="23"/>
  <c r="AJ425" i="23" s="1"/>
  <c r="BL409" i="23"/>
  <c r="BL405" i="23"/>
  <c r="BL425" i="23" s="1"/>
  <c r="AV409" i="23"/>
  <c r="AV405" i="23"/>
  <c r="AV425" i="23" s="1"/>
  <c r="BI409" i="23"/>
  <c r="BI405" i="23"/>
  <c r="BI425" i="23" s="1"/>
  <c r="U409" i="23"/>
  <c r="U405" i="23"/>
  <c r="U425" i="23" s="1"/>
  <c r="AP405" i="23"/>
  <c r="AP425" i="23" s="1"/>
  <c r="AP409" i="23"/>
  <c r="BB405" i="23"/>
  <c r="BB425" i="23" s="1"/>
  <c r="BB409" i="23"/>
  <c r="AE409" i="23"/>
  <c r="AE405" i="23"/>
  <c r="AE425" i="23" s="1"/>
  <c r="Z405" i="23"/>
  <c r="Z425" i="23" s="1"/>
  <c r="Z409" i="23"/>
  <c r="BA409" i="23"/>
  <c r="BA405" i="23"/>
  <c r="BA425" i="23" s="1"/>
  <c r="BQ409" i="23"/>
  <c r="BQ405" i="23"/>
  <c r="BQ425" i="23" s="1"/>
  <c r="AA405" i="23"/>
  <c r="AA425" i="23" s="1"/>
  <c r="AA409" i="23"/>
  <c r="BN405" i="23"/>
  <c r="BN425" i="23" s="1"/>
  <c r="BN409" i="23"/>
  <c r="BQ376" i="9"/>
  <c r="U498" i="9"/>
  <c r="U494" i="9"/>
  <c r="AH494" i="9"/>
  <c r="Q409" i="23"/>
  <c r="Q405" i="23"/>
  <c r="Q425" i="23" s="1"/>
  <c r="BJ405" i="23"/>
  <c r="BJ425" i="23" s="1"/>
  <c r="BJ409" i="23"/>
  <c r="AZ409" i="23"/>
  <c r="AZ405" i="23"/>
  <c r="AZ425" i="23" s="1"/>
  <c r="AK409" i="23"/>
  <c r="AK405" i="23"/>
  <c r="AK425" i="23" s="1"/>
  <c r="AB409" i="23"/>
  <c r="AB405" i="23"/>
  <c r="AB425" i="23" s="1"/>
  <c r="M409" i="23"/>
  <c r="M405" i="23"/>
  <c r="M425" i="23" s="1"/>
  <c r="N405" i="23"/>
  <c r="N425" i="23" s="1"/>
  <c r="N409" i="23"/>
  <c r="S405" i="23"/>
  <c r="S425" i="23" s="1"/>
  <c r="S409" i="23"/>
  <c r="T409" i="23"/>
  <c r="T405" i="23"/>
  <c r="T425" i="23" s="1"/>
  <c r="AC409" i="23"/>
  <c r="AC405" i="23"/>
  <c r="AC425" i="23" s="1"/>
  <c r="L409" i="23"/>
  <c r="L405" i="23"/>
  <c r="I402" i="23"/>
  <c r="I474" i="23"/>
  <c r="BG405" i="23"/>
  <c r="BG425" i="23" s="1"/>
  <c r="BG409" i="23"/>
  <c r="BS409" i="23"/>
  <c r="BS405" i="23"/>
  <c r="BS425" i="23" s="1"/>
  <c r="R405" i="23"/>
  <c r="R425" i="23" s="1"/>
  <c r="R409" i="23"/>
  <c r="AQ405" i="23"/>
  <c r="AQ425" i="23" s="1"/>
  <c r="AQ409" i="23"/>
  <c r="BH409" i="23"/>
  <c r="BH405" i="23"/>
  <c r="BH425" i="23" s="1"/>
  <c r="BP409" i="23"/>
  <c r="BP405" i="23"/>
  <c r="BP425" i="23" s="1"/>
  <c r="AR409" i="23"/>
  <c r="AR405" i="23"/>
  <c r="AR425" i="23" s="1"/>
  <c r="O409" i="23"/>
  <c r="O405" i="23"/>
  <c r="O425" i="23" s="1"/>
  <c r="AT405" i="23"/>
  <c r="AT425" i="23" s="1"/>
  <c r="AT409" i="23"/>
  <c r="V405" i="23"/>
  <c r="V425" i="23" s="1"/>
  <c r="V409" i="23"/>
  <c r="BE409" i="23"/>
  <c r="BE405" i="23"/>
  <c r="BE425" i="23" s="1"/>
  <c r="P409" i="23"/>
  <c r="P405" i="23"/>
  <c r="P425" i="23" s="1"/>
  <c r="BO405" i="23"/>
  <c r="BO425" i="23" s="1"/>
  <c r="BO409" i="23"/>
  <c r="I403" i="23"/>
  <c r="L415" i="23"/>
  <c r="Y409" i="23"/>
  <c r="Y405" i="23"/>
  <c r="Y425" i="23" s="1"/>
  <c r="U500" i="9"/>
  <c r="AP282" i="9"/>
  <c r="BK409" i="23"/>
  <c r="BK405" i="23"/>
  <c r="BK425" i="23" s="1"/>
  <c r="W409" i="23"/>
  <c r="W405" i="23"/>
  <c r="W425" i="23" s="1"/>
  <c r="AS409" i="23"/>
  <c r="AS405" i="23"/>
  <c r="AS425" i="23" s="1"/>
  <c r="AW409" i="23"/>
  <c r="AW405" i="23"/>
  <c r="AW425" i="23" s="1"/>
  <c r="AU409" i="23"/>
  <c r="AU405" i="23"/>
  <c r="AU425" i="23" s="1"/>
  <c r="BM409" i="23"/>
  <c r="BM405" i="23"/>
  <c r="BM425" i="23" s="1"/>
  <c r="AL405" i="23"/>
  <c r="AL425" i="23" s="1"/>
  <c r="AL409" i="23"/>
  <c r="BF405" i="23"/>
  <c r="BF425" i="23" s="1"/>
  <c r="BF409" i="23"/>
  <c r="AX405" i="23"/>
  <c r="AX425" i="23" s="1"/>
  <c r="AX409" i="23"/>
  <c r="BD409" i="23"/>
  <c r="BD405" i="23"/>
  <c r="BD425" i="23" s="1"/>
  <c r="AN409" i="23"/>
  <c r="AN405" i="23"/>
  <c r="AN425" i="23" s="1"/>
  <c r="I480" i="23"/>
  <c r="I217" i="23"/>
  <c r="I232" i="23" s="1"/>
  <c r="AO409" i="23"/>
  <c r="AO405" i="23"/>
  <c r="AO425" i="23" s="1"/>
  <c r="BR405" i="23"/>
  <c r="BR425" i="23" s="1"/>
  <c r="BR409" i="23"/>
  <c r="AF409" i="23"/>
  <c r="AF405" i="23"/>
  <c r="AF425" i="23" s="1"/>
  <c r="AY405" i="23"/>
  <c r="AY425" i="23" s="1"/>
  <c r="AY409" i="23"/>
  <c r="I404" i="23"/>
  <c r="L421" i="23"/>
  <c r="AI405" i="23"/>
  <c r="AI425" i="23" s="1"/>
  <c r="AI409" i="23"/>
  <c r="BC409" i="23"/>
  <c r="BC405" i="23"/>
  <c r="BC425" i="23" s="1"/>
  <c r="AH405" i="23"/>
  <c r="AH425" i="23" s="1"/>
  <c r="AH409" i="23"/>
  <c r="X409" i="23"/>
  <c r="X405" i="23"/>
  <c r="X425" i="23" s="1"/>
  <c r="L238" i="9"/>
  <c r="L160" i="9"/>
  <c r="Z39" i="21"/>
  <c r="BS235" i="20"/>
  <c r="AQ235" i="20"/>
  <c r="AW235" i="20"/>
  <c r="AC235" i="20"/>
  <c r="AS235" i="20"/>
  <c r="X235" i="20"/>
  <c r="AY235" i="20"/>
  <c r="BJ235" i="20"/>
  <c r="AP235" i="20"/>
  <c r="BQ235" i="20"/>
  <c r="AF235" i="20"/>
  <c r="U235" i="20"/>
  <c r="AA235" i="20"/>
  <c r="AN235" i="20"/>
  <c r="Z235" i="20"/>
  <c r="BD235" i="20"/>
  <c r="Q235" i="20"/>
  <c r="BO235" i="20"/>
  <c r="AV235" i="20"/>
  <c r="N235" i="20"/>
  <c r="BB235" i="20"/>
  <c r="O235" i="20"/>
  <c r="W235" i="20"/>
  <c r="T235" i="20"/>
  <c r="AM235" i="20"/>
  <c r="BF235" i="20"/>
  <c r="AH235" i="20"/>
  <c r="AK235" i="20"/>
  <c r="P235" i="20"/>
  <c r="BI235" i="20"/>
  <c r="BK235" i="20"/>
  <c r="M235" i="20"/>
  <c r="BA235" i="20"/>
  <c r="S235" i="20"/>
  <c r="BG235" i="20"/>
  <c r="AE235" i="20"/>
  <c r="BH235" i="20"/>
  <c r="AJ235" i="20"/>
  <c r="AG235" i="20"/>
  <c r="Y235" i="20"/>
  <c r="BC235" i="20"/>
  <c r="AU235" i="20"/>
  <c r="AX235" i="20"/>
  <c r="AB235" i="20"/>
  <c r="AT235" i="20"/>
  <c r="BN235" i="20"/>
  <c r="BE235" i="20"/>
  <c r="R235" i="20"/>
  <c r="BP235" i="20"/>
  <c r="AR235" i="20"/>
  <c r="BL235" i="20"/>
  <c r="AD235" i="20"/>
  <c r="AL235" i="20"/>
  <c r="AI235" i="20"/>
  <c r="BR235" i="20"/>
  <c r="AO235" i="20"/>
  <c r="BM235" i="20"/>
  <c r="V235" i="20"/>
  <c r="AZ235" i="20"/>
  <c r="AQ523" i="15"/>
  <c r="AL47" i="21"/>
  <c r="AO47" i="21"/>
  <c r="AK47" i="21"/>
  <c r="AN47" i="21"/>
  <c r="AJ47" i="21"/>
  <c r="AM47" i="21"/>
  <c r="AO42" i="21"/>
  <c r="AK42" i="21"/>
  <c r="AL42" i="21"/>
  <c r="AN42" i="21"/>
  <c r="AJ42" i="21"/>
  <c r="AM42" i="21"/>
  <c r="R51" i="21"/>
  <c r="AJ51" i="21" s="1"/>
  <c r="L411" i="20" a="1"/>
  <c r="L411" i="20" s="1"/>
  <c r="I411" i="20" s="1"/>
  <c r="AB47" i="21"/>
  <c r="T51" i="21"/>
  <c r="AL51" i="21" s="1"/>
  <c r="AA47" i="21"/>
  <c r="AC47" i="21"/>
  <c r="S51" i="21"/>
  <c r="AK51" i="21" s="1"/>
  <c r="AD47" i="21"/>
  <c r="W51" i="21"/>
  <c r="AO51" i="21" s="1"/>
  <c r="AF47" i="21"/>
  <c r="AE47" i="21"/>
  <c r="U51" i="21"/>
  <c r="AM51" i="21" s="1"/>
  <c r="V51" i="21"/>
  <c r="AN51" i="21" s="1"/>
  <c r="BH523" i="15"/>
  <c r="N515" i="15"/>
  <c r="L253" i="15"/>
  <c r="L527" i="15"/>
  <c r="L515" i="15"/>
  <c r="L523" i="15"/>
  <c r="L525" i="15"/>
  <c r="L393" i="15"/>
  <c r="L413" i="15" s="1"/>
  <c r="L521" i="15"/>
  <c r="L238" i="11"/>
  <c r="M234" i="11"/>
  <c r="M257" i="15" s="1"/>
  <c r="M251" i="15"/>
  <c r="L239" i="15"/>
  <c r="L262" i="15" s="1"/>
  <c r="M515" i="15"/>
  <c r="O138" i="15"/>
  <c r="N139" i="15"/>
  <c r="O130" i="11"/>
  <c r="N131" i="11"/>
  <c r="L501" i="18"/>
  <c r="L490" i="20"/>
  <c r="L500" i="20"/>
  <c r="L494" i="20"/>
  <c r="L498" i="20"/>
  <c r="L496" i="20"/>
  <c r="L217" i="20"/>
  <c r="I217" i="20" s="1"/>
  <c r="L172" i="20" a="1"/>
  <c r="Q284" i="20" s="1"/>
  <c r="AA523" i="15"/>
  <c r="AV527" i="15"/>
  <c r="BC525" i="15"/>
  <c r="BC519" i="15"/>
  <c r="AV519" i="15"/>
  <c r="AV515" i="15"/>
  <c r="L183" i="18"/>
  <c r="I183" i="18" s="1"/>
  <c r="I179" i="18"/>
  <c r="AV523" i="15"/>
  <c r="BC523" i="15"/>
  <c r="AV521" i="15"/>
  <c r="BC515" i="15"/>
  <c r="BC521" i="15"/>
  <c r="AQ527" i="15"/>
  <c r="AO521" i="15"/>
  <c r="AZ523" i="15"/>
  <c r="BN527" i="15"/>
  <c r="P515" i="15"/>
  <c r="AL527" i="15"/>
  <c r="AR515" i="15"/>
  <c r="AL523" i="15"/>
  <c r="AL519" i="15"/>
  <c r="AL515" i="15"/>
  <c r="R525" i="15"/>
  <c r="AS519" i="15"/>
  <c r="AR525" i="15"/>
  <c r="AS527" i="15"/>
  <c r="AG519" i="15"/>
  <c r="X525" i="15"/>
  <c r="AO525" i="15"/>
  <c r="AG527" i="15"/>
  <c r="AS515" i="15"/>
  <c r="AS523" i="15"/>
  <c r="BQ527" i="15"/>
  <c r="BF519" i="15"/>
  <c r="AI519" i="15"/>
  <c r="AB525" i="15"/>
  <c r="Z519" i="15"/>
  <c r="BH525" i="15"/>
  <c r="BH527" i="15"/>
  <c r="AW521" i="15"/>
  <c r="BQ523" i="15"/>
  <c r="AM519" i="15"/>
  <c r="BH521" i="15"/>
  <c r="BS519" i="15"/>
  <c r="BI519" i="15"/>
  <c r="AZ527" i="15"/>
  <c r="AX525" i="15"/>
  <c r="N519" i="15"/>
  <c r="AP519" i="15"/>
  <c r="BK527" i="15"/>
  <c r="BB521" i="15"/>
  <c r="BK523" i="15"/>
  <c r="AX523" i="15"/>
  <c r="N523" i="15"/>
  <c r="BN519" i="15"/>
  <c r="BI525" i="15"/>
  <c r="AX519" i="15"/>
  <c r="N525" i="15"/>
  <c r="BK515" i="15"/>
  <c r="AL521" i="15"/>
  <c r="BH515" i="15"/>
  <c r="AP525" i="15"/>
  <c r="BK519" i="15"/>
  <c r="AP523" i="15"/>
  <c r="Z521" i="15"/>
  <c r="AC515" i="15"/>
  <c r="AS521" i="15"/>
  <c r="AA515" i="15"/>
  <c r="Z523" i="15"/>
  <c r="Z515" i="15"/>
  <c r="Y525" i="15"/>
  <c r="BQ519" i="15"/>
  <c r="AQ525" i="15"/>
  <c r="M519" i="15"/>
  <c r="AA519" i="15"/>
  <c r="Z527" i="15"/>
  <c r="AA527" i="15"/>
  <c r="N521" i="15"/>
  <c r="BJ525" i="15"/>
  <c r="BB525" i="15"/>
  <c r="G64" i="11"/>
  <c r="M307" i="11" s="1"/>
  <c r="M329" i="15" s="1"/>
  <c r="AJ519" i="15"/>
  <c r="AD527" i="15"/>
  <c r="BJ519" i="15"/>
  <c r="AJ525" i="15"/>
  <c r="BB519" i="15"/>
  <c r="AM525" i="15"/>
  <c r="AJ521" i="15"/>
  <c r="AD515" i="15"/>
  <c r="AD521" i="15"/>
  <c r="AD519" i="15"/>
  <c r="AQ521" i="15"/>
  <c r="AA521" i="15"/>
  <c r="AD523" i="15"/>
  <c r="BB515" i="15"/>
  <c r="AM515" i="15"/>
  <c r="BM515" i="15"/>
  <c r="V521" i="15"/>
  <c r="Q521" i="15"/>
  <c r="BJ523" i="15"/>
  <c r="AJ523" i="15"/>
  <c r="AM523" i="15"/>
  <c r="BB523" i="15"/>
  <c r="BN515" i="15"/>
  <c r="AQ515" i="15"/>
  <c r="BI523" i="15"/>
  <c r="BK521" i="15"/>
  <c r="BN523" i="15"/>
  <c r="R523" i="15"/>
  <c r="BL521" i="15"/>
  <c r="AG521" i="15"/>
  <c r="AG523" i="15"/>
  <c r="AR519" i="15"/>
  <c r="V525" i="15"/>
  <c r="AO519" i="15"/>
  <c r="W515" i="15"/>
  <c r="AW515" i="15"/>
  <c r="BQ515" i="15"/>
  <c r="AC521" i="15"/>
  <c r="AI523" i="15"/>
  <c r="U523" i="15"/>
  <c r="AJ515" i="15"/>
  <c r="BE523" i="15"/>
  <c r="V519" i="15"/>
  <c r="BI515" i="15"/>
  <c r="V515" i="15"/>
  <c r="W527" i="15"/>
  <c r="AO523" i="15"/>
  <c r="AM521" i="15"/>
  <c r="BN521" i="15"/>
  <c r="AR523" i="15"/>
  <c r="BO527" i="15"/>
  <c r="BO525" i="15"/>
  <c r="BO519" i="15"/>
  <c r="BO515" i="15"/>
  <c r="U515" i="15"/>
  <c r="BJ515" i="15"/>
  <c r="BO521" i="15"/>
  <c r="U525" i="15"/>
  <c r="BR525" i="15"/>
  <c r="AK519" i="15"/>
  <c r="BR523" i="15"/>
  <c r="U519" i="15"/>
  <c r="AZ519" i="15"/>
  <c r="BR519" i="15"/>
  <c r="AP521" i="15"/>
  <c r="U521" i="15"/>
  <c r="U527" i="15"/>
  <c r="BQ521" i="15"/>
  <c r="S523" i="15"/>
  <c r="AR521" i="15"/>
  <c r="BP523" i="15"/>
  <c r="AO515" i="15"/>
  <c r="BI521" i="15"/>
  <c r="BL515" i="15"/>
  <c r="BJ521" i="15"/>
  <c r="BA523" i="15"/>
  <c r="AF515" i="15"/>
  <c r="Q523" i="15"/>
  <c r="Q515" i="15"/>
  <c r="AT521" i="15"/>
  <c r="T525" i="15"/>
  <c r="AN521" i="15"/>
  <c r="Q525" i="15"/>
  <c r="BP525" i="15"/>
  <c r="BP527" i="15"/>
  <c r="AE523" i="15"/>
  <c r="W523" i="15"/>
  <c r="T527" i="15"/>
  <c r="AN525" i="15"/>
  <c r="Q519" i="15"/>
  <c r="BG519" i="15"/>
  <c r="BJ403" i="15"/>
  <c r="AU525" i="15"/>
  <c r="BM525" i="15"/>
  <c r="Q527" i="15"/>
  <c r="AX515" i="15"/>
  <c r="T521" i="15"/>
  <c r="BS523" i="15"/>
  <c r="S527" i="15"/>
  <c r="X519" i="15"/>
  <c r="R527" i="15"/>
  <c r="BF527" i="15"/>
  <c r="AI527" i="15"/>
  <c r="AB527" i="15"/>
  <c r="O519" i="15"/>
  <c r="BF523" i="15"/>
  <c r="O515" i="15"/>
  <c r="R515" i="15"/>
  <c r="S515" i="15"/>
  <c r="R521" i="15"/>
  <c r="AH523" i="15"/>
  <c r="X527" i="15"/>
  <c r="AB523" i="15"/>
  <c r="O525" i="15"/>
  <c r="O523" i="15"/>
  <c r="W519" i="15"/>
  <c r="Y515" i="15"/>
  <c r="X515" i="15"/>
  <c r="S521" i="15"/>
  <c r="O521" i="15"/>
  <c r="BF521" i="15"/>
  <c r="BR515" i="15"/>
  <c r="BS525" i="15"/>
  <c r="S525" i="15"/>
  <c r="AB515" i="15"/>
  <c r="AZ515" i="15"/>
  <c r="W521" i="15"/>
  <c r="O403" i="15"/>
  <c r="I403" i="15" s="1"/>
  <c r="AE525" i="15"/>
  <c r="M527" i="15"/>
  <c r="BA525" i="15"/>
  <c r="Y523" i="15"/>
  <c r="Y519" i="15"/>
  <c r="M523" i="15"/>
  <c r="BP521" i="15"/>
  <c r="BA515" i="15"/>
  <c r="AI521" i="15"/>
  <c r="BR521" i="15"/>
  <c r="AE519" i="15"/>
  <c r="BA519" i="15"/>
  <c r="AE515" i="15"/>
  <c r="M521" i="15"/>
  <c r="AP515" i="15"/>
  <c r="BR409" i="15"/>
  <c r="I409" i="15" s="1"/>
  <c r="BA521" i="15"/>
  <c r="P521" i="15"/>
  <c r="AF521" i="15"/>
  <c r="BE521" i="15"/>
  <c r="Y521" i="15"/>
  <c r="BS515" i="15"/>
  <c r="BM523" i="15"/>
  <c r="T519" i="15"/>
  <c r="AN519" i="15"/>
  <c r="BM527" i="15"/>
  <c r="AN515" i="15"/>
  <c r="AN523" i="15"/>
  <c r="BM521" i="15"/>
  <c r="AB521" i="15"/>
  <c r="AE521" i="15"/>
  <c r="AU523" i="15"/>
  <c r="X521" i="15"/>
  <c r="BG515" i="15"/>
  <c r="BS521" i="15"/>
  <c r="T515" i="15"/>
  <c r="AZ521" i="15"/>
  <c r="BF515" i="15"/>
  <c r="BG521" i="15"/>
  <c r="BP515" i="15"/>
  <c r="BG523" i="15"/>
  <c r="BG525" i="15"/>
  <c r="BE525" i="15"/>
  <c r="AT525" i="15"/>
  <c r="AI515" i="15"/>
  <c r="AK527" i="15"/>
  <c r="AH515" i="15"/>
  <c r="AY527" i="15"/>
  <c r="AY523" i="15"/>
  <c r="AY519" i="15"/>
  <c r="AY521" i="15"/>
  <c r="AT515" i="15"/>
  <c r="BE519" i="15"/>
  <c r="AT519" i="15"/>
  <c r="AH519" i="15"/>
  <c r="AY515" i="15"/>
  <c r="AT523" i="15"/>
  <c r="AK521" i="15"/>
  <c r="AK515" i="15"/>
  <c r="AH525" i="15"/>
  <c r="AK523" i="15"/>
  <c r="BE515" i="15"/>
  <c r="AH521" i="15"/>
  <c r="AX521" i="15"/>
  <c r="AU519" i="15"/>
  <c r="AU521" i="15"/>
  <c r="BD521" i="15"/>
  <c r="BD515" i="15"/>
  <c r="AU515" i="15"/>
  <c r="BD519" i="15"/>
  <c r="BD523" i="15"/>
  <c r="I448" i="15"/>
  <c r="BD527" i="15"/>
  <c r="I442" i="15"/>
  <c r="O128" i="11"/>
  <c r="O301" i="11" s="1"/>
  <c r="L280" i="9"/>
  <c r="L282" i="9"/>
  <c r="L309" i="18"/>
  <c r="M309" i="18"/>
  <c r="N309" i="18"/>
  <c r="O309" i="18"/>
  <c r="P309" i="18"/>
  <c r="Q309" i="18"/>
  <c r="R309" i="18"/>
  <c r="S309" i="18"/>
  <c r="T309" i="18"/>
  <c r="U309" i="18"/>
  <c r="V309" i="18"/>
  <c r="W309" i="18"/>
  <c r="X309" i="18"/>
  <c r="Y309" i="18"/>
  <c r="Z309" i="18"/>
  <c r="AA309" i="18"/>
  <c r="AB309" i="18"/>
  <c r="AC309" i="18"/>
  <c r="AD309" i="18"/>
  <c r="AE309" i="18"/>
  <c r="AF309" i="18"/>
  <c r="AG309" i="18"/>
  <c r="AH309" i="18"/>
  <c r="AI309" i="18"/>
  <c r="AJ309" i="18"/>
  <c r="AK309" i="18"/>
  <c r="AL309" i="18"/>
  <c r="AM309" i="18"/>
  <c r="AN309" i="18"/>
  <c r="AO309" i="18"/>
  <c r="AP309" i="18"/>
  <c r="AQ309" i="18"/>
  <c r="AR309" i="18"/>
  <c r="AS309" i="18"/>
  <c r="AT309" i="18"/>
  <c r="AU309" i="18"/>
  <c r="AV309" i="18"/>
  <c r="AW309" i="18"/>
  <c r="AX309" i="18"/>
  <c r="AY309" i="18"/>
  <c r="AZ309" i="18"/>
  <c r="BA309" i="18"/>
  <c r="BB309" i="18"/>
  <c r="BC309" i="18"/>
  <c r="BD309" i="18"/>
  <c r="BE309" i="18"/>
  <c r="BF309" i="18"/>
  <c r="BG309" i="18"/>
  <c r="BH309" i="18"/>
  <c r="BI309" i="18"/>
  <c r="BJ309" i="18"/>
  <c r="BK309" i="18"/>
  <c r="BL309" i="18"/>
  <c r="BM309" i="18"/>
  <c r="BN309" i="18"/>
  <c r="BO309" i="18"/>
  <c r="BP309" i="18"/>
  <c r="BQ309" i="18"/>
  <c r="BR309" i="18"/>
  <c r="BS309" i="18"/>
  <c r="L174" i="20"/>
  <c r="I174" i="20" s="1"/>
  <c r="I163" i="20"/>
  <c r="L216" i="20"/>
  <c r="L410" i="20" a="1"/>
  <c r="L410" i="20" s="1"/>
  <c r="O124" i="20"/>
  <c r="N125" i="20"/>
  <c r="BS280" i="20"/>
  <c r="BE280" i="20"/>
  <c r="BP280" i="20"/>
  <c r="BL280" i="20"/>
  <c r="AI280" i="20"/>
  <c r="AO280" i="20"/>
  <c r="V280" i="20"/>
  <c r="BD280" i="20"/>
  <c r="Q280" i="20"/>
  <c r="BJ280" i="20"/>
  <c r="AQ280" i="20"/>
  <c r="AP280" i="20"/>
  <c r="AW280" i="20"/>
  <c r="BQ280" i="20"/>
  <c r="AC280" i="20"/>
  <c r="AF280" i="20"/>
  <c r="AS280" i="20"/>
  <c r="U280" i="20"/>
  <c r="X280" i="20"/>
  <c r="AA280" i="20"/>
  <c r="AN280" i="20"/>
  <c r="Z280" i="20"/>
  <c r="BI280" i="20"/>
  <c r="BO280" i="20"/>
  <c r="AV280" i="20"/>
  <c r="N280" i="20"/>
  <c r="BB280" i="20"/>
  <c r="O280" i="20"/>
  <c r="W280" i="20"/>
  <c r="T280" i="20"/>
  <c r="AM280" i="20"/>
  <c r="BF280" i="20"/>
  <c r="AH280" i="20"/>
  <c r="AK280" i="20"/>
  <c r="P280" i="20"/>
  <c r="AY280" i="20"/>
  <c r="R280" i="20"/>
  <c r="AR280" i="20"/>
  <c r="AD280" i="20"/>
  <c r="AL280" i="20"/>
  <c r="BR280" i="20"/>
  <c r="BM280" i="20"/>
  <c r="AZ280" i="20"/>
  <c r="AT280" i="20"/>
  <c r="BN280" i="20"/>
  <c r="BK280" i="20"/>
  <c r="M280" i="20"/>
  <c r="BA280" i="20"/>
  <c r="S280" i="20"/>
  <c r="BG280" i="20"/>
  <c r="AE280" i="20"/>
  <c r="BH280" i="20"/>
  <c r="AJ280" i="20"/>
  <c r="AG280" i="20"/>
  <c r="Y280" i="20"/>
  <c r="BC280" i="20"/>
  <c r="AU280" i="20"/>
  <c r="AX280" i="20"/>
  <c r="AB280" i="20"/>
  <c r="O177" i="20"/>
  <c r="Z177" i="20"/>
  <c r="Z178" i="20"/>
  <c r="Z231" i="20"/>
  <c r="AZ231" i="20"/>
  <c r="AZ178" i="20"/>
  <c r="AZ177" i="20"/>
  <c r="BM231" i="20"/>
  <c r="AM178" i="20"/>
  <c r="T177" i="20"/>
  <c r="T231" i="20"/>
  <c r="AK231" i="20"/>
  <c r="AH231" i="20"/>
  <c r="BF178" i="20"/>
  <c r="BF231" i="20"/>
  <c r="T178" i="20"/>
  <c r="AK177" i="20"/>
  <c r="AH177" i="20"/>
  <c r="AB231" i="20"/>
  <c r="AB178" i="20"/>
  <c r="AB177" i="20"/>
  <c r="AH178" i="20"/>
  <c r="P178" i="20"/>
  <c r="AK178" i="20"/>
  <c r="BF177" i="20"/>
  <c r="P231" i="20"/>
  <c r="W231" i="20"/>
  <c r="AM231" i="20"/>
  <c r="O178" i="20"/>
  <c r="W178" i="20"/>
  <c r="O231" i="20"/>
  <c r="P177" i="20"/>
  <c r="W177" i="20"/>
  <c r="AM177" i="20"/>
  <c r="Q178" i="20"/>
  <c r="BQ178" i="20"/>
  <c r="AO231" i="20"/>
  <c r="BA177" i="20"/>
  <c r="AP177" i="20"/>
  <c r="AN177" i="20"/>
  <c r="BD231" i="20"/>
  <c r="AF231" i="20"/>
  <c r="AC177" i="20"/>
  <c r="AQ178" i="20"/>
  <c r="BQ177" i="20"/>
  <c r="AF178" i="20"/>
  <c r="AC178" i="20"/>
  <c r="AW178" i="20"/>
  <c r="BJ178" i="20"/>
  <c r="X178" i="20"/>
  <c r="AS231" i="20"/>
  <c r="Q231" i="20"/>
  <c r="AF177" i="20"/>
  <c r="BJ231" i="20"/>
  <c r="X231" i="20"/>
  <c r="AW231" i="20"/>
  <c r="AS178" i="20"/>
  <c r="BD178" i="20"/>
  <c r="U178" i="20"/>
  <c r="AS177" i="20"/>
  <c r="U231" i="20"/>
  <c r="AA231" i="20"/>
  <c r="BJ177" i="20"/>
  <c r="X177" i="20"/>
  <c r="AW177" i="20"/>
  <c r="AN178" i="20"/>
  <c r="AP178" i="20"/>
  <c r="AA178" i="20"/>
  <c r="AN231" i="20"/>
  <c r="U177" i="20"/>
  <c r="AA177" i="20"/>
  <c r="AQ231" i="20"/>
  <c r="AP231" i="20"/>
  <c r="AC231" i="20"/>
  <c r="BQ231" i="20"/>
  <c r="AY231" i="20"/>
  <c r="V231" i="20"/>
  <c r="BL177" i="20"/>
  <c r="BR178" i="20"/>
  <c r="AR177" i="20"/>
  <c r="AD231" i="20"/>
  <c r="BS231" i="20"/>
  <c r="AL231" i="20"/>
  <c r="AO178" i="20"/>
  <c r="AR178" i="20"/>
  <c r="AI178" i="20"/>
  <c r="BM178" i="20"/>
  <c r="BS178" i="20"/>
  <c r="AD177" i="20"/>
  <c r="BM177" i="20"/>
  <c r="AY178" i="20"/>
  <c r="BS177" i="20"/>
  <c r="V177" i="20"/>
  <c r="AO177" i="20"/>
  <c r="AL177" i="20"/>
  <c r="BP231" i="20"/>
  <c r="BE178" i="20"/>
  <c r="V178" i="20"/>
  <c r="BP178" i="20"/>
  <c r="BL178" i="20"/>
  <c r="AI231" i="20"/>
  <c r="BR231" i="20"/>
  <c r="BE231" i="20"/>
  <c r="R231" i="20"/>
  <c r="BP177" i="20"/>
  <c r="R178" i="20"/>
  <c r="AL178" i="20"/>
  <c r="AY177" i="20"/>
  <c r="AD178" i="20"/>
  <c r="AI177" i="20"/>
  <c r="BR177" i="20"/>
  <c r="BD177" i="20"/>
  <c r="Q177" i="20"/>
  <c r="BE177" i="20"/>
  <c r="R177" i="20"/>
  <c r="AQ177" i="20"/>
  <c r="AR231" i="20"/>
  <c r="BL231" i="20"/>
  <c r="AG178" i="20"/>
  <c r="AU178" i="20"/>
  <c r="AU231" i="20"/>
  <c r="BH177" i="20"/>
  <c r="I164" i="20"/>
  <c r="AT178" i="20"/>
  <c r="AU177" i="20"/>
  <c r="AX178" i="20"/>
  <c r="M178" i="20"/>
  <c r="AX231" i="20"/>
  <c r="AT177" i="20"/>
  <c r="AE177" i="20"/>
  <c r="AX177" i="20"/>
  <c r="AJ178" i="20"/>
  <c r="BK177" i="20"/>
  <c r="S177" i="20"/>
  <c r="BN178" i="20"/>
  <c r="BK178" i="20"/>
  <c r="BA178" i="20"/>
  <c r="BC231" i="20"/>
  <c r="BN231" i="20"/>
  <c r="Y231" i="20"/>
  <c r="M231" i="20"/>
  <c r="AG231" i="20"/>
  <c r="BG231" i="20"/>
  <c r="Y177" i="20"/>
  <c r="BG178" i="20"/>
  <c r="BC177" i="20"/>
  <c r="BN177" i="20"/>
  <c r="Y178" i="20"/>
  <c r="M177" i="20"/>
  <c r="AG177" i="20"/>
  <c r="BG177" i="20"/>
  <c r="AE178" i="20"/>
  <c r="AJ177" i="20"/>
  <c r="S178" i="20"/>
  <c r="BH178" i="20"/>
  <c r="BC178" i="20"/>
  <c r="AE231" i="20"/>
  <c r="BH231" i="20"/>
  <c r="AJ231" i="20"/>
  <c r="AT231" i="20"/>
  <c r="BK231" i="20"/>
  <c r="BA231" i="20"/>
  <c r="S231" i="20"/>
  <c r="BB177" i="20"/>
  <c r="BO178" i="20"/>
  <c r="N177" i="20"/>
  <c r="BI177" i="20"/>
  <c r="L165" i="20"/>
  <c r="AV178" i="20"/>
  <c r="BO231" i="20"/>
  <c r="AV231" i="20"/>
  <c r="BO177" i="20"/>
  <c r="AV177" i="20"/>
  <c r="BI178" i="20"/>
  <c r="BB178" i="20"/>
  <c r="N178" i="20"/>
  <c r="BI231" i="20"/>
  <c r="N231" i="20"/>
  <c r="BB231" i="20"/>
  <c r="P122" i="20"/>
  <c r="L422" i="18" a="1"/>
  <c r="L422" i="18" s="1"/>
  <c r="I422" i="18" s="1"/>
  <c r="I173" i="18"/>
  <c r="L368" i="20"/>
  <c r="I365" i="20"/>
  <c r="L372" i="20"/>
  <c r="N372" i="20"/>
  <c r="N368" i="20"/>
  <c r="N388" i="20" s="1"/>
  <c r="BC372" i="20"/>
  <c r="BC368" i="20"/>
  <c r="BC388" i="20" s="1"/>
  <c r="AD372" i="20"/>
  <c r="AD368" i="20"/>
  <c r="AD388" i="20" s="1"/>
  <c r="AO372" i="20"/>
  <c r="AO368" i="20"/>
  <c r="AO388" i="20" s="1"/>
  <c r="BO372" i="20"/>
  <c r="BO368" i="20"/>
  <c r="BO388" i="20" s="1"/>
  <c r="BK372" i="20"/>
  <c r="BK368" i="20"/>
  <c r="BK388" i="20" s="1"/>
  <c r="AB368" i="20"/>
  <c r="AB388" i="20" s="1"/>
  <c r="AB372" i="20"/>
  <c r="BG372" i="20"/>
  <c r="BG368" i="20"/>
  <c r="BG388" i="20" s="1"/>
  <c r="X368" i="20"/>
  <c r="X388" i="20" s="1"/>
  <c r="X372" i="20"/>
  <c r="AV368" i="20"/>
  <c r="AV388" i="20" s="1"/>
  <c r="AV372" i="20"/>
  <c r="V372" i="20"/>
  <c r="V368" i="20"/>
  <c r="V388" i="20" s="1"/>
  <c r="BF372" i="20"/>
  <c r="BF368" i="20"/>
  <c r="BF388" i="20" s="1"/>
  <c r="AA372" i="20"/>
  <c r="AA368" i="20"/>
  <c r="AA388" i="20" s="1"/>
  <c r="P368" i="20"/>
  <c r="P388" i="20" s="1"/>
  <c r="P372" i="20"/>
  <c r="AU372" i="20"/>
  <c r="AU368" i="20"/>
  <c r="AU388" i="20" s="1"/>
  <c r="AQ372" i="20"/>
  <c r="AQ368" i="20"/>
  <c r="AQ388" i="20" s="1"/>
  <c r="L384" i="20"/>
  <c r="I367" i="20"/>
  <c r="BI372" i="20"/>
  <c r="BI368" i="20"/>
  <c r="BI388" i="20" s="1"/>
  <c r="AE372" i="20"/>
  <c r="AE368" i="20"/>
  <c r="AE388" i="20" s="1"/>
  <c r="AL372" i="20"/>
  <c r="AL368" i="20"/>
  <c r="AL388" i="20" s="1"/>
  <c r="AZ368" i="20"/>
  <c r="AZ388" i="20" s="1"/>
  <c r="AZ372" i="20"/>
  <c r="AY372" i="20"/>
  <c r="AY368" i="20"/>
  <c r="AY388" i="20" s="1"/>
  <c r="Q372" i="20"/>
  <c r="Q368" i="20"/>
  <c r="Q388" i="20" s="1"/>
  <c r="Z372" i="20"/>
  <c r="Z368" i="20"/>
  <c r="Z388" i="20" s="1"/>
  <c r="AW372" i="20"/>
  <c r="AW368" i="20"/>
  <c r="AW388" i="20" s="1"/>
  <c r="AM372" i="20"/>
  <c r="AM368" i="20"/>
  <c r="AM388" i="20" s="1"/>
  <c r="BS372" i="20"/>
  <c r="BS368" i="20"/>
  <c r="BS388" i="20" s="1"/>
  <c r="BR372" i="20"/>
  <c r="BR368" i="20"/>
  <c r="BR388" i="20" s="1"/>
  <c r="BN372" i="20"/>
  <c r="BN368" i="20"/>
  <c r="BN388" i="20" s="1"/>
  <c r="M372" i="20"/>
  <c r="M368" i="20"/>
  <c r="M388" i="20" s="1"/>
  <c r="BM372" i="20"/>
  <c r="BM368" i="20"/>
  <c r="BM388" i="20" s="1"/>
  <c r="AF368" i="20"/>
  <c r="AF388" i="20" s="1"/>
  <c r="AF372" i="20"/>
  <c r="I223" i="20"/>
  <c r="I240" i="20" s="1"/>
  <c r="AN368" i="20"/>
  <c r="AN388" i="20" s="1"/>
  <c r="AN372" i="20"/>
  <c r="BA372" i="20"/>
  <c r="BA368" i="20"/>
  <c r="BA388" i="20" s="1"/>
  <c r="AP372" i="20"/>
  <c r="AP368" i="20"/>
  <c r="AP388" i="20" s="1"/>
  <c r="AI372" i="20"/>
  <c r="AI368" i="20"/>
  <c r="AI388" i="20" s="1"/>
  <c r="BD368" i="20"/>
  <c r="BD388" i="20" s="1"/>
  <c r="BD372" i="20"/>
  <c r="Y372" i="20"/>
  <c r="Y368" i="20"/>
  <c r="Y388" i="20" s="1"/>
  <c r="AR368" i="20"/>
  <c r="AR388" i="20" s="1"/>
  <c r="AR372" i="20"/>
  <c r="AJ368" i="20"/>
  <c r="AJ388" i="20" s="1"/>
  <c r="AJ372" i="20"/>
  <c r="BH368" i="20"/>
  <c r="BH388" i="20" s="1"/>
  <c r="BH372" i="20"/>
  <c r="R372" i="20"/>
  <c r="R368" i="20"/>
  <c r="R388" i="20" s="1"/>
  <c r="AX372" i="20"/>
  <c r="AX368" i="20"/>
  <c r="AX388" i="20" s="1"/>
  <c r="BE372" i="20"/>
  <c r="BE368" i="20"/>
  <c r="BE388" i="20" s="1"/>
  <c r="BJ372" i="20"/>
  <c r="BJ368" i="20"/>
  <c r="BJ388" i="20" s="1"/>
  <c r="BB372" i="20"/>
  <c r="BB368" i="20"/>
  <c r="BB388" i="20" s="1"/>
  <c r="I437" i="20"/>
  <c r="L378" i="20"/>
  <c r="I366" i="20"/>
  <c r="AH372" i="20"/>
  <c r="AH368" i="20"/>
  <c r="AH388" i="20" s="1"/>
  <c r="U372" i="20"/>
  <c r="U368" i="20"/>
  <c r="U388" i="20" s="1"/>
  <c r="T368" i="20"/>
  <c r="T388" i="20" s="1"/>
  <c r="T372" i="20"/>
  <c r="BL368" i="20"/>
  <c r="BL388" i="20" s="1"/>
  <c r="BL372" i="20"/>
  <c r="BQ372" i="20"/>
  <c r="BQ368" i="20"/>
  <c r="BQ388" i="20" s="1"/>
  <c r="AC372" i="20"/>
  <c r="AC368" i="20"/>
  <c r="AC388" i="20" s="1"/>
  <c r="BP368" i="20"/>
  <c r="BP388" i="20" s="1"/>
  <c r="BP372" i="20"/>
  <c r="W372" i="20"/>
  <c r="W368" i="20"/>
  <c r="W388" i="20" s="1"/>
  <c r="AK372" i="20"/>
  <c r="AK368" i="20"/>
  <c r="AK388" i="20" s="1"/>
  <c r="I443" i="20"/>
  <c r="AT372" i="20"/>
  <c r="AT368" i="20"/>
  <c r="AT388" i="20" s="1"/>
  <c r="AS372" i="20"/>
  <c r="AS368" i="20"/>
  <c r="AS388" i="20" s="1"/>
  <c r="AG372" i="20"/>
  <c r="AG368" i="20"/>
  <c r="AG388" i="20" s="1"/>
  <c r="O372" i="20"/>
  <c r="O368" i="20"/>
  <c r="O388" i="20" s="1"/>
  <c r="S372" i="20"/>
  <c r="S368" i="20"/>
  <c r="S388" i="20" s="1"/>
  <c r="AC174" i="18"/>
  <c r="AA174" i="18"/>
  <c r="X174" i="18"/>
  <c r="O174" i="18"/>
  <c r="AJ174" i="18"/>
  <c r="BG174" i="18"/>
  <c r="AU174" i="18"/>
  <c r="AZ174" i="18"/>
  <c r="AE174" i="18"/>
  <c r="BB174" i="18"/>
  <c r="AR174" i="18"/>
  <c r="AW174" i="18"/>
  <c r="AM174" i="18"/>
  <c r="BR174" i="18"/>
  <c r="AV174" i="18"/>
  <c r="BA174" i="18"/>
  <c r="BI174" i="18"/>
  <c r="BC174" i="18"/>
  <c r="AD174" i="18"/>
  <c r="BP174" i="18"/>
  <c r="W174" i="18"/>
  <c r="AN174" i="18"/>
  <c r="AP174" i="18"/>
  <c r="Y174" i="18"/>
  <c r="BK174" i="18"/>
  <c r="AI174" i="18"/>
  <c r="BH174" i="18"/>
  <c r="BM174" i="18"/>
  <c r="BS174" i="18"/>
  <c r="AQ174" i="18"/>
  <c r="BL174" i="18"/>
  <c r="BQ174" i="18"/>
  <c r="AX174" i="18"/>
  <c r="AY174" i="18"/>
  <c r="AT174" i="18"/>
  <c r="BF174" i="18"/>
  <c r="AB174" i="18"/>
  <c r="AG174" i="18"/>
  <c r="BJ174" i="18"/>
  <c r="AF174" i="18"/>
  <c r="BD174" i="18"/>
  <c r="N174" i="18"/>
  <c r="AO174" i="18"/>
  <c r="R174" i="18"/>
  <c r="M174" i="18"/>
  <c r="S174" i="18"/>
  <c r="BE174" i="18"/>
  <c r="Z174" i="18"/>
  <c r="BO174" i="18"/>
  <c r="Q174" i="18"/>
  <c r="AH174" i="18"/>
  <c r="P174" i="18"/>
  <c r="U174" i="18"/>
  <c r="V174" i="18"/>
  <c r="AL174" i="18"/>
  <c r="AS174" i="18"/>
  <c r="T174" i="18"/>
  <c r="BN174" i="18"/>
  <c r="AK174" i="18"/>
  <c r="G65" i="18"/>
  <c r="L453" i="8"/>
  <c r="L460" i="5"/>
  <c r="L449" i="8"/>
  <c r="L451" i="8"/>
  <c r="L458" i="5"/>
  <c r="L450" i="5"/>
  <c r="BN112" i="8"/>
  <c r="BM114" i="8"/>
  <c r="L462" i="5"/>
  <c r="M460" i="5"/>
  <c r="M458" i="5"/>
  <c r="M462" i="5"/>
  <c r="M456" i="5"/>
  <c r="M328" i="5"/>
  <c r="M348" i="5" s="1"/>
  <c r="M450" i="5"/>
  <c r="L319" i="8"/>
  <c r="L339" i="8" s="1"/>
  <c r="L447" i="8"/>
  <c r="L456" i="5"/>
  <c r="L445" i="8"/>
  <c r="L328" i="5"/>
  <c r="L348" i="5" s="1"/>
  <c r="AH383" i="18"/>
  <c r="AH379" i="18"/>
  <c r="AH399" i="18" s="1"/>
  <c r="AN379" i="18"/>
  <c r="AN399" i="18" s="1"/>
  <c r="AN383" i="18"/>
  <c r="BI379" i="18"/>
  <c r="BI399" i="18" s="1"/>
  <c r="BI383" i="18"/>
  <c r="U379" i="18"/>
  <c r="U399" i="18" s="1"/>
  <c r="U383" i="18"/>
  <c r="AC379" i="18"/>
  <c r="AC399" i="18" s="1"/>
  <c r="AC383" i="18"/>
  <c r="AE383" i="18"/>
  <c r="AE379" i="18"/>
  <c r="AE399" i="18" s="1"/>
  <c r="BK383" i="18"/>
  <c r="BK379" i="18"/>
  <c r="BK399" i="18" s="1"/>
  <c r="X379" i="18"/>
  <c r="X399" i="18" s="1"/>
  <c r="X383" i="18"/>
  <c r="I448" i="18"/>
  <c r="AF379" i="18"/>
  <c r="AF399" i="18" s="1"/>
  <c r="AF383" i="18"/>
  <c r="AL383" i="18"/>
  <c r="AL379" i="18"/>
  <c r="AL399" i="18" s="1"/>
  <c r="S383" i="18"/>
  <c r="S379" i="18"/>
  <c r="S399" i="18" s="1"/>
  <c r="AY383" i="18"/>
  <c r="AY379" i="18"/>
  <c r="AY399" i="18" s="1"/>
  <c r="AO383" i="18"/>
  <c r="AO379" i="18"/>
  <c r="AO399" i="18" s="1"/>
  <c r="BB383" i="18"/>
  <c r="BB379" i="18"/>
  <c r="BB399" i="18" s="1"/>
  <c r="R383" i="18"/>
  <c r="R379" i="18"/>
  <c r="R399" i="18" s="1"/>
  <c r="BE383" i="18"/>
  <c r="BE379" i="18"/>
  <c r="BE399" i="18" s="1"/>
  <c r="P379" i="18"/>
  <c r="P399" i="18" s="1"/>
  <c r="P383" i="18"/>
  <c r="BG453" i="8"/>
  <c r="AJ453" i="8"/>
  <c r="W453" i="8"/>
  <c r="BL453" i="8"/>
  <c r="BJ453" i="8"/>
  <c r="S453" i="8"/>
  <c r="AH453" i="8"/>
  <c r="U453" i="8"/>
  <c r="AL453" i="8"/>
  <c r="AP453" i="8"/>
  <c r="BO453" i="8"/>
  <c r="AB453" i="8"/>
  <c r="Z453" i="8"/>
  <c r="BD453" i="8"/>
  <c r="AR453" i="8"/>
  <c r="R453" i="8"/>
  <c r="BE453" i="8"/>
  <c r="P453" i="8"/>
  <c r="AY453" i="8"/>
  <c r="AS453" i="8"/>
  <c r="AO453" i="8"/>
  <c r="BB453" i="8"/>
  <c r="Q453" i="8"/>
  <c r="BM453" i="8"/>
  <c r="AU453" i="8"/>
  <c r="AK453" i="8"/>
  <c r="BQ453" i="8"/>
  <c r="AF453" i="8"/>
  <c r="BI453" i="8"/>
  <c r="L362" i="8" a="1"/>
  <c r="L362" i="8" s="1"/>
  <c r="I362" i="8" s="1"/>
  <c r="I226" i="18"/>
  <c r="L379" i="18"/>
  <c r="L383" i="18"/>
  <c r="I376" i="18"/>
  <c r="N383" i="18"/>
  <c r="N379" i="18"/>
  <c r="N399" i="18" s="1"/>
  <c r="Q383" i="18"/>
  <c r="Q379" i="18"/>
  <c r="Q399" i="18" s="1"/>
  <c r="BD379" i="18"/>
  <c r="BD399" i="18" s="1"/>
  <c r="BD383" i="18"/>
  <c r="AM383" i="18"/>
  <c r="AM379" i="18"/>
  <c r="AM399" i="18" s="1"/>
  <c r="BL379" i="18"/>
  <c r="BL399" i="18" s="1"/>
  <c r="BL383" i="18"/>
  <c r="AV379" i="18"/>
  <c r="AV399" i="18" s="1"/>
  <c r="AV383" i="18"/>
  <c r="BM383" i="18"/>
  <c r="BM379" i="18"/>
  <c r="BM399" i="18" s="1"/>
  <c r="BR383" i="18"/>
  <c r="BR379" i="18"/>
  <c r="BR399" i="18" s="1"/>
  <c r="I232" i="18"/>
  <c r="I247" i="18" s="1"/>
  <c r="M379" i="18"/>
  <c r="M399" i="18" s="1"/>
  <c r="M383" i="18"/>
  <c r="V383" i="18"/>
  <c r="V379" i="18"/>
  <c r="V399" i="18" s="1"/>
  <c r="AQ383" i="18"/>
  <c r="AQ379" i="18"/>
  <c r="AQ399" i="18" s="1"/>
  <c r="AT383" i="18"/>
  <c r="AT379" i="18"/>
  <c r="AT399" i="18" s="1"/>
  <c r="AX383" i="18"/>
  <c r="AX379" i="18"/>
  <c r="AX399" i="18" s="1"/>
  <c r="AA383" i="18"/>
  <c r="AA379" i="18"/>
  <c r="AA399" i="18" s="1"/>
  <c r="BN383" i="18"/>
  <c r="BN379" i="18"/>
  <c r="BN399" i="18" s="1"/>
  <c r="M453" i="8"/>
  <c r="I378" i="18"/>
  <c r="L395" i="18"/>
  <c r="AI383" i="18"/>
  <c r="AI379" i="18"/>
  <c r="AI399" i="18" s="1"/>
  <c r="Z383" i="18"/>
  <c r="Z379" i="18"/>
  <c r="Z399" i="18" s="1"/>
  <c r="AW383" i="18"/>
  <c r="AW379" i="18"/>
  <c r="AW399" i="18" s="1"/>
  <c r="Y383" i="18"/>
  <c r="Y379" i="18"/>
  <c r="Y399" i="18" s="1"/>
  <c r="AD383" i="18"/>
  <c r="AD379" i="18"/>
  <c r="AD399" i="18" s="1"/>
  <c r="BS383" i="18"/>
  <c r="BS379" i="18"/>
  <c r="BS399" i="18" s="1"/>
  <c r="AU383" i="18"/>
  <c r="AU379" i="18"/>
  <c r="AU399" i="18" s="1"/>
  <c r="BQ379" i="18"/>
  <c r="BQ399" i="18" s="1"/>
  <c r="BQ383" i="18"/>
  <c r="BH379" i="18"/>
  <c r="BH399" i="18" s="1"/>
  <c r="BH383" i="18"/>
  <c r="O383" i="18"/>
  <c r="O379" i="18"/>
  <c r="O399" i="18" s="1"/>
  <c r="BJ383" i="18"/>
  <c r="BJ379" i="18"/>
  <c r="BJ399" i="18" s="1"/>
  <c r="AK379" i="18"/>
  <c r="AK399" i="18" s="1"/>
  <c r="AK383" i="18"/>
  <c r="AS379" i="18"/>
  <c r="AS399" i="18" s="1"/>
  <c r="AS383" i="18"/>
  <c r="BP453" i="8"/>
  <c r="X453" i="8"/>
  <c r="AD453" i="8"/>
  <c r="BS453" i="8"/>
  <c r="AT453" i="8"/>
  <c r="N453" i="8"/>
  <c r="AV453" i="8"/>
  <c r="AC453" i="8"/>
  <c r="BK453" i="8"/>
  <c r="AI453" i="8"/>
  <c r="AW453" i="8"/>
  <c r="Y453" i="8"/>
  <c r="AM453" i="8"/>
  <c r="AX453" i="8"/>
  <c r="AA453" i="8"/>
  <c r="BN453" i="8"/>
  <c r="BH453" i="8"/>
  <c r="AG453" i="8"/>
  <c r="BF453" i="8"/>
  <c r="O453" i="8"/>
  <c r="V453" i="8"/>
  <c r="BA453" i="8"/>
  <c r="AZ453" i="8"/>
  <c r="AQ453" i="8"/>
  <c r="BR453" i="8"/>
  <c r="AN453" i="8"/>
  <c r="T453" i="8"/>
  <c r="L389" i="18"/>
  <c r="I377" i="18"/>
  <c r="BC383" i="18"/>
  <c r="BC379" i="18"/>
  <c r="BC399" i="18" s="1"/>
  <c r="T379" i="18"/>
  <c r="T399" i="18" s="1"/>
  <c r="T383" i="18"/>
  <c r="AP383" i="18"/>
  <c r="AP379" i="18"/>
  <c r="AP399" i="18" s="1"/>
  <c r="BO383" i="18"/>
  <c r="BO379" i="18"/>
  <c r="BO399" i="18" s="1"/>
  <c r="AB379" i="18"/>
  <c r="AB399" i="18" s="1"/>
  <c r="AB383" i="18"/>
  <c r="AR379" i="18"/>
  <c r="AR399" i="18" s="1"/>
  <c r="AR383" i="18"/>
  <c r="BG383" i="18"/>
  <c r="BG379" i="18"/>
  <c r="BG399" i="18" s="1"/>
  <c r="BP379" i="18"/>
  <c r="BP399" i="18" s="1"/>
  <c r="BP383" i="18"/>
  <c r="AJ379" i="18"/>
  <c r="AJ399" i="18" s="1"/>
  <c r="AJ383" i="18"/>
  <c r="W383" i="18"/>
  <c r="W379" i="18"/>
  <c r="W399" i="18" s="1"/>
  <c r="BA379" i="18"/>
  <c r="BA399" i="18" s="1"/>
  <c r="BA383" i="18"/>
  <c r="AG383" i="18"/>
  <c r="AG379" i="18"/>
  <c r="AG399" i="18" s="1"/>
  <c r="I454" i="18"/>
  <c r="AZ379" i="18"/>
  <c r="AZ399" i="18" s="1"/>
  <c r="AZ383" i="18"/>
  <c r="BF383" i="18"/>
  <c r="BF379" i="18"/>
  <c r="BF399" i="18" s="1"/>
  <c r="I136" i="10"/>
  <c r="L371" i="10" a="1"/>
  <c r="L371" i="10" s="1"/>
  <c r="I179" i="15"/>
  <c r="AC180" i="15"/>
  <c r="AC229" i="15" s="1"/>
  <c r="M497" i="11"/>
  <c r="AA180" i="15"/>
  <c r="AA229" i="15" s="1"/>
  <c r="AI180" i="15"/>
  <c r="AI229" i="15" s="1"/>
  <c r="BE180" i="15"/>
  <c r="BE229" i="15" s="1"/>
  <c r="AP180" i="15"/>
  <c r="AP229" i="15" s="1"/>
  <c r="BA180" i="15"/>
  <c r="BA229" i="15" s="1"/>
  <c r="AJ180" i="15"/>
  <c r="AJ229" i="15" s="1"/>
  <c r="AR180" i="15"/>
  <c r="AR229" i="15" s="1"/>
  <c r="AG180" i="15"/>
  <c r="AG229" i="15" s="1"/>
  <c r="AX180" i="15"/>
  <c r="AX229" i="15" s="1"/>
  <c r="W180" i="15"/>
  <c r="W229" i="15" s="1"/>
  <c r="BP180" i="15"/>
  <c r="BP229" i="15" s="1"/>
  <c r="BJ180" i="15"/>
  <c r="BJ229" i="15" s="1"/>
  <c r="AV180" i="15"/>
  <c r="AV229" i="15" s="1"/>
  <c r="BI180" i="15"/>
  <c r="BI229" i="15" s="1"/>
  <c r="BL180" i="15"/>
  <c r="BL229" i="15" s="1"/>
  <c r="Y180" i="15"/>
  <c r="Y229" i="15" s="1"/>
  <c r="AD180" i="15"/>
  <c r="AD229" i="15" s="1"/>
  <c r="Q180" i="15"/>
  <c r="Q229" i="15" s="1"/>
  <c r="AU180" i="15"/>
  <c r="AU229" i="15" s="1"/>
  <c r="R180" i="15"/>
  <c r="R229" i="15" s="1"/>
  <c r="X180" i="15"/>
  <c r="X229" i="15" s="1"/>
  <c r="U180" i="15"/>
  <c r="U229" i="15" s="1"/>
  <c r="M180" i="15"/>
  <c r="N180" i="15"/>
  <c r="N229" i="15" s="1"/>
  <c r="BO180" i="15"/>
  <c r="BO229" i="15" s="1"/>
  <c r="O180" i="15"/>
  <c r="O229" i="15" s="1"/>
  <c r="T180" i="15"/>
  <c r="T229" i="15" s="1"/>
  <c r="BC180" i="15"/>
  <c r="BC229" i="15" s="1"/>
  <c r="V180" i="15"/>
  <c r="V229" i="15" s="1"/>
  <c r="AW180" i="15"/>
  <c r="AW229" i="15" s="1"/>
  <c r="AN180" i="15"/>
  <c r="AN229" i="15" s="1"/>
  <c r="BQ180" i="15"/>
  <c r="BQ229" i="15" s="1"/>
  <c r="AT180" i="15"/>
  <c r="AT229" i="15" s="1"/>
  <c r="AY180" i="15"/>
  <c r="AY229" i="15" s="1"/>
  <c r="AS180" i="15"/>
  <c r="AS229" i="15" s="1"/>
  <c r="BF180" i="15"/>
  <c r="BF229" i="15" s="1"/>
  <c r="P180" i="15"/>
  <c r="P229" i="15" s="1"/>
  <c r="BM180" i="15"/>
  <c r="BM229" i="15" s="1"/>
  <c r="AH180" i="15"/>
  <c r="AH229" i="15" s="1"/>
  <c r="AM180" i="15"/>
  <c r="AM229" i="15" s="1"/>
  <c r="BD180" i="15"/>
  <c r="BD229" i="15" s="1"/>
  <c r="AB180" i="15"/>
  <c r="AB229" i="15" s="1"/>
  <c r="BK180" i="15"/>
  <c r="BK229" i="15" s="1"/>
  <c r="S180" i="15"/>
  <c r="S229" i="15" s="1"/>
  <c r="AF180" i="15"/>
  <c r="AF229" i="15" s="1"/>
  <c r="Z180" i="15"/>
  <c r="Z229" i="15" s="1"/>
  <c r="AE180" i="15"/>
  <c r="AE229" i="15" s="1"/>
  <c r="AK180" i="15"/>
  <c r="AK229" i="15" s="1"/>
  <c r="AZ180" i="15"/>
  <c r="AZ229" i="15" s="1"/>
  <c r="BN180" i="15"/>
  <c r="BN229" i="15" s="1"/>
  <c r="BS180" i="15"/>
  <c r="BS229" i="15" s="1"/>
  <c r="AO180" i="15"/>
  <c r="AO229" i="15" s="1"/>
  <c r="AL180" i="15"/>
  <c r="AL229" i="15" s="1"/>
  <c r="BR180" i="15"/>
  <c r="BR229" i="15" s="1"/>
  <c r="BH180" i="15"/>
  <c r="BH229" i="15" s="1"/>
  <c r="BG180" i="15"/>
  <c r="BG229" i="15" s="1"/>
  <c r="AQ180" i="15"/>
  <c r="AQ229" i="15" s="1"/>
  <c r="BB180" i="15"/>
  <c r="BB229" i="15" s="1"/>
  <c r="I470" i="15"/>
  <c r="R503" i="11"/>
  <c r="P497" i="11"/>
  <c r="BM501" i="11"/>
  <c r="BG497" i="11"/>
  <c r="BO501" i="11"/>
  <c r="U499" i="11"/>
  <c r="AW497" i="11"/>
  <c r="P493" i="11"/>
  <c r="AV497" i="11"/>
  <c r="AN505" i="11"/>
  <c r="S497" i="11"/>
  <c r="BG499" i="11"/>
  <c r="S501" i="11"/>
  <c r="AN503" i="11"/>
  <c r="S505" i="11"/>
  <c r="S499" i="11"/>
  <c r="AN497" i="11"/>
  <c r="BA499" i="11"/>
  <c r="AV503" i="11"/>
  <c r="AN501" i="11"/>
  <c r="S503" i="11"/>
  <c r="S493" i="11"/>
  <c r="AV505" i="11"/>
  <c r="AR493" i="11"/>
  <c r="BS497" i="11"/>
  <c r="AS497" i="11"/>
  <c r="BB503" i="11"/>
  <c r="BC493" i="11"/>
  <c r="X503" i="11"/>
  <c r="M503" i="11"/>
  <c r="M493" i="11"/>
  <c r="BL497" i="11"/>
  <c r="BH497" i="11"/>
  <c r="AS505" i="11"/>
  <c r="X505" i="11"/>
  <c r="V497" i="11"/>
  <c r="AJ387" i="11"/>
  <c r="AX501" i="11"/>
  <c r="AI503" i="11"/>
  <c r="BS503" i="11"/>
  <c r="V499" i="11"/>
  <c r="AI505" i="11"/>
  <c r="BS505" i="11"/>
  <c r="T499" i="11"/>
  <c r="T381" i="11"/>
  <c r="AF503" i="11"/>
  <c r="AF499" i="11"/>
  <c r="AX503" i="11"/>
  <c r="AI497" i="11"/>
  <c r="AV499" i="11"/>
  <c r="AF501" i="11"/>
  <c r="AF497" i="11"/>
  <c r="AS501" i="11"/>
  <c r="AX497" i="11"/>
  <c r="AX505" i="11"/>
  <c r="V505" i="11"/>
  <c r="AF505" i="11"/>
  <c r="V501" i="11"/>
  <c r="AI501" i="11"/>
  <c r="V503" i="11"/>
  <c r="AS503" i="11"/>
  <c r="AI499" i="11"/>
  <c r="AR501" i="11"/>
  <c r="AR503" i="11"/>
  <c r="BD503" i="11"/>
  <c r="BF505" i="11"/>
  <c r="Z505" i="11"/>
  <c r="AL499" i="11"/>
  <c r="P501" i="11"/>
  <c r="AR497" i="11"/>
  <c r="P505" i="11"/>
  <c r="AR505" i="11"/>
  <c r="P503" i="11"/>
  <c r="Z503" i="11"/>
  <c r="BD505" i="11"/>
  <c r="BO499" i="11"/>
  <c r="AW501" i="11"/>
  <c r="BG501" i="11"/>
  <c r="BM503" i="11"/>
  <c r="AW493" i="11"/>
  <c r="AI381" i="11"/>
  <c r="BO503" i="11"/>
  <c r="BM499" i="11"/>
  <c r="BM497" i="11"/>
  <c r="BM493" i="11"/>
  <c r="AW505" i="11"/>
  <c r="BG505" i="11"/>
  <c r="AU499" i="11"/>
  <c r="Q381" i="11"/>
  <c r="AR499" i="11"/>
  <c r="Q499" i="11"/>
  <c r="BO497" i="11"/>
  <c r="AW499" i="11"/>
  <c r="AW503" i="11"/>
  <c r="BG503" i="11"/>
  <c r="Z499" i="11"/>
  <c r="P499" i="11"/>
  <c r="AY499" i="11"/>
  <c r="BC499" i="11"/>
  <c r="BB499" i="11"/>
  <c r="X497" i="11"/>
  <c r="BC501" i="11"/>
  <c r="BB497" i="11"/>
  <c r="BB505" i="11"/>
  <c r="W505" i="11"/>
  <c r="BC505" i="11"/>
  <c r="BH505" i="11"/>
  <c r="BN499" i="11"/>
  <c r="AZ499" i="11"/>
  <c r="X499" i="11"/>
  <c r="AN499" i="11"/>
  <c r="BL501" i="11"/>
  <c r="BB501" i="11"/>
  <c r="BC503" i="11"/>
  <c r="BB493" i="11"/>
  <c r="Z381" i="11"/>
  <c r="BH501" i="11"/>
  <c r="W501" i="11"/>
  <c r="BL503" i="11"/>
  <c r="BH503" i="11"/>
  <c r="BC497" i="11"/>
  <c r="AT499" i="11"/>
  <c r="AT381" i="11"/>
  <c r="AQ501" i="11"/>
  <c r="AX499" i="11"/>
  <c r="AO503" i="11"/>
  <c r="BI499" i="11"/>
  <c r="AO501" i="11"/>
  <c r="Y497" i="11"/>
  <c r="AU381" i="11"/>
  <c r="V493" i="11"/>
  <c r="AO497" i="11"/>
  <c r="AO499" i="11"/>
  <c r="W499" i="11"/>
  <c r="W503" i="11"/>
  <c r="W493" i="11"/>
  <c r="W497" i="11"/>
  <c r="AO505" i="11"/>
  <c r="L143" i="10" a="1"/>
  <c r="L143" i="10" s="1"/>
  <c r="L244" i="10" s="1"/>
  <c r="Y505" i="11"/>
  <c r="BH493" i="11"/>
  <c r="BL499" i="11"/>
  <c r="O505" i="11"/>
  <c r="AZ381" i="11"/>
  <c r="AQ503" i="11"/>
  <c r="Y501" i="11"/>
  <c r="Y503" i="11"/>
  <c r="O493" i="11"/>
  <c r="V387" i="11"/>
  <c r="AU493" i="11"/>
  <c r="M501" i="11"/>
  <c r="AD493" i="11"/>
  <c r="AH387" i="11"/>
  <c r="AK501" i="11"/>
  <c r="AD503" i="11"/>
  <c r="AC493" i="11"/>
  <c r="AC387" i="11"/>
  <c r="Y387" i="11"/>
  <c r="AX387" i="11"/>
  <c r="T493" i="11"/>
  <c r="AD505" i="11"/>
  <c r="AD387" i="11"/>
  <c r="AY493" i="11"/>
  <c r="AD497" i="11"/>
  <c r="AK503" i="11"/>
  <c r="BB387" i="11"/>
  <c r="P387" i="11"/>
  <c r="BS499" i="11"/>
  <c r="AD499" i="11"/>
  <c r="AX493" i="11"/>
  <c r="AK497" i="11"/>
  <c r="AY387" i="11"/>
  <c r="Q387" i="11"/>
  <c r="BS381" i="11"/>
  <c r="AD501" i="11"/>
  <c r="L183" i="10" a="1"/>
  <c r="L183" i="10" s="1"/>
  <c r="AU387" i="11"/>
  <c r="AT387" i="11"/>
  <c r="AY381" i="11"/>
  <c r="AO387" i="11"/>
  <c r="P381" i="11"/>
  <c r="X381" i="11"/>
  <c r="BN387" i="11"/>
  <c r="R499" i="11"/>
  <c r="AJ499" i="11"/>
  <c r="AI493" i="11"/>
  <c r="R497" i="11"/>
  <c r="O503" i="11"/>
  <c r="AQ497" i="11"/>
  <c r="AQ499" i="11"/>
  <c r="AO493" i="11"/>
  <c r="AQ505" i="11"/>
  <c r="O501" i="11"/>
  <c r="AQ387" i="11"/>
  <c r="O387" i="11"/>
  <c r="AQ493" i="11"/>
  <c r="BH499" i="11"/>
  <c r="O499" i="11"/>
  <c r="O497" i="11"/>
  <c r="Y493" i="11"/>
  <c r="AP493" i="11"/>
  <c r="R505" i="11"/>
  <c r="R387" i="11"/>
  <c r="R493" i="11"/>
  <c r="AZ387" i="11"/>
  <c r="BG387" i="11"/>
  <c r="X387" i="11"/>
  <c r="X493" i="11"/>
  <c r="AG499" i="11"/>
  <c r="AK499" i="11"/>
  <c r="Z501" i="11"/>
  <c r="BD497" i="11"/>
  <c r="Z497" i="11"/>
  <c r="BE503" i="11"/>
  <c r="BJ503" i="11"/>
  <c r="BE505" i="11"/>
  <c r="BE493" i="11"/>
  <c r="AM499" i="11"/>
  <c r="BK499" i="11"/>
  <c r="BD501" i="11"/>
  <c r="BR501" i="11"/>
  <c r="AG501" i="11"/>
  <c r="BD499" i="11"/>
  <c r="BE501" i="11"/>
  <c r="BE497" i="11"/>
  <c r="BJ493" i="11"/>
  <c r="BJ387" i="11"/>
  <c r="BC387" i="11"/>
  <c r="T387" i="11"/>
  <c r="Y381" i="11"/>
  <c r="AM381" i="11"/>
  <c r="BP387" i="11"/>
  <c r="BL387" i="11"/>
  <c r="AK493" i="11"/>
  <c r="BS493" i="11"/>
  <c r="AS499" i="11"/>
  <c r="AC499" i="11"/>
  <c r="Y499" i="11"/>
  <c r="BR503" i="11"/>
  <c r="AG503" i="11"/>
  <c r="BQ505" i="11"/>
  <c r="AE499" i="11"/>
  <c r="BR499" i="11"/>
  <c r="BR387" i="11"/>
  <c r="AS381" i="11"/>
  <c r="AC381" i="11"/>
  <c r="AM387" i="11"/>
  <c r="BL493" i="11"/>
  <c r="AM493" i="11"/>
  <c r="BE499" i="11"/>
  <c r="BQ499" i="11"/>
  <c r="BR497" i="11"/>
  <c r="AG497" i="11"/>
  <c r="BQ503" i="11"/>
  <c r="AW387" i="11"/>
  <c r="AF493" i="11"/>
  <c r="BQ497" i="11"/>
  <c r="BQ501" i="11"/>
  <c r="AP505" i="11"/>
  <c r="AS493" i="11"/>
  <c r="BQ387" i="11"/>
  <c r="BR381" i="11"/>
  <c r="AE381" i="11"/>
  <c r="BF493" i="11"/>
  <c r="AP499" i="11"/>
  <c r="BF501" i="11"/>
  <c r="AN493" i="11"/>
  <c r="BF503" i="11"/>
  <c r="U493" i="11"/>
  <c r="AP497" i="11"/>
  <c r="AP501" i="11"/>
  <c r="AV387" i="11"/>
  <c r="AG387" i="11"/>
  <c r="BK381" i="11"/>
  <c r="BF499" i="11"/>
  <c r="BQ493" i="11"/>
  <c r="AP503" i="11"/>
  <c r="S387" i="11"/>
  <c r="AN387" i="11"/>
  <c r="U387" i="11"/>
  <c r="AE387" i="11"/>
  <c r="BF497" i="11"/>
  <c r="AG493" i="11"/>
  <c r="AH499" i="11"/>
  <c r="BI387" i="11"/>
  <c r="BE387" i="11"/>
  <c r="BO387" i="11"/>
  <c r="AB387" i="11"/>
  <c r="Z387" i="11"/>
  <c r="BD387" i="11"/>
  <c r="W387" i="11"/>
  <c r="Z493" i="11"/>
  <c r="BD493" i="11"/>
  <c r="BP499" i="11"/>
  <c r="AV493" i="11"/>
  <c r="BJ497" i="11"/>
  <c r="BA387" i="11"/>
  <c r="AB499" i="11"/>
  <c r="BI493" i="11"/>
  <c r="BJ499" i="11"/>
  <c r="BJ501" i="11"/>
  <c r="AL387" i="11"/>
  <c r="BK387" i="11"/>
  <c r="BP381" i="11"/>
  <c r="AB493" i="11"/>
  <c r="BA493" i="11"/>
  <c r="AA505" i="11"/>
  <c r="AA497" i="11"/>
  <c r="AA503" i="11"/>
  <c r="AI397" i="15"/>
  <c r="AI393" i="15"/>
  <c r="AI413" i="15" s="1"/>
  <c r="BO397" i="15"/>
  <c r="BO393" i="15"/>
  <c r="BO413" i="15" s="1"/>
  <c r="AA493" i="11"/>
  <c r="I392" i="15"/>
  <c r="BP397" i="15"/>
  <c r="BP393" i="15"/>
  <c r="BP413" i="15" s="1"/>
  <c r="AB397" i="15"/>
  <c r="AB393" i="15"/>
  <c r="AB413" i="15" s="1"/>
  <c r="BJ397" i="15"/>
  <c r="BJ393" i="15"/>
  <c r="BJ413" i="15" s="1"/>
  <c r="AE397" i="15"/>
  <c r="AE393" i="15"/>
  <c r="AE413" i="15" s="1"/>
  <c r="BR493" i="11"/>
  <c r="BA393" i="15"/>
  <c r="BA413" i="15" s="1"/>
  <c r="BA397" i="15"/>
  <c r="U393" i="15"/>
  <c r="U413" i="15" s="1"/>
  <c r="U397" i="15"/>
  <c r="O397" i="15"/>
  <c r="O393" i="15"/>
  <c r="O413" i="15" s="1"/>
  <c r="AK393" i="15"/>
  <c r="AK413" i="15" s="1"/>
  <c r="AK397" i="15"/>
  <c r="AQ397" i="15"/>
  <c r="AQ393" i="15"/>
  <c r="AQ413" i="15" s="1"/>
  <c r="AH397" i="15"/>
  <c r="AH393" i="15"/>
  <c r="AH413" i="15" s="1"/>
  <c r="P397" i="15"/>
  <c r="P393" i="15"/>
  <c r="P413" i="15" s="1"/>
  <c r="AR397" i="15"/>
  <c r="AR393" i="15"/>
  <c r="AR413" i="15" s="1"/>
  <c r="M393" i="15"/>
  <c r="M413" i="15" s="1"/>
  <c r="M397" i="15"/>
  <c r="M499" i="11"/>
  <c r="BM387" i="11"/>
  <c r="BN493" i="11"/>
  <c r="BO493" i="11"/>
  <c r="BG493" i="11"/>
  <c r="AV397" i="15"/>
  <c r="AV393" i="15"/>
  <c r="AV413" i="15" s="1"/>
  <c r="AN397" i="15"/>
  <c r="AN393" i="15"/>
  <c r="AN413" i="15" s="1"/>
  <c r="S397" i="15"/>
  <c r="S393" i="15"/>
  <c r="S413" i="15" s="1"/>
  <c r="BI393" i="15"/>
  <c r="BI413" i="15" s="1"/>
  <c r="BI397" i="15"/>
  <c r="W397" i="15"/>
  <c r="W393" i="15"/>
  <c r="W413" i="15" s="1"/>
  <c r="AC393" i="15"/>
  <c r="AC413" i="15" s="1"/>
  <c r="AC397" i="15"/>
  <c r="Q493" i="11"/>
  <c r="AO393" i="15"/>
  <c r="AO413" i="15" s="1"/>
  <c r="AO397" i="15"/>
  <c r="AL397" i="15"/>
  <c r="AL393" i="15"/>
  <c r="AL413" i="15" s="1"/>
  <c r="AJ397" i="15"/>
  <c r="AJ393" i="15"/>
  <c r="AJ413" i="15" s="1"/>
  <c r="I390" i="15"/>
  <c r="BK397" i="15"/>
  <c r="BK393" i="15"/>
  <c r="BK413" i="15" s="1"/>
  <c r="BE393" i="15"/>
  <c r="BE413" i="15" s="1"/>
  <c r="BE397" i="15"/>
  <c r="AT493" i="11"/>
  <c r="AD397" i="15"/>
  <c r="AD393" i="15"/>
  <c r="AD413" i="15" s="1"/>
  <c r="I468" i="15"/>
  <c r="I391" i="15"/>
  <c r="AZ397" i="15"/>
  <c r="AZ393" i="15"/>
  <c r="AZ413" i="15" s="1"/>
  <c r="BR397" i="15"/>
  <c r="BR393" i="15"/>
  <c r="BR413" i="15" s="1"/>
  <c r="N397" i="15"/>
  <c r="N393" i="15"/>
  <c r="N413" i="15" s="1"/>
  <c r="Q393" i="15"/>
  <c r="Q413" i="15" s="1"/>
  <c r="Q397" i="15"/>
  <c r="AX397" i="15"/>
  <c r="AX393" i="15"/>
  <c r="AX413" i="15" s="1"/>
  <c r="BG397" i="15"/>
  <c r="BG393" i="15"/>
  <c r="BG413" i="15" s="1"/>
  <c r="BN397" i="15"/>
  <c r="BN393" i="15"/>
  <c r="BN413" i="15" s="1"/>
  <c r="AM397" i="15"/>
  <c r="AM393" i="15"/>
  <c r="AM413" i="15" s="1"/>
  <c r="AA501" i="11"/>
  <c r="AY397" i="15"/>
  <c r="AY393" i="15"/>
  <c r="AY413" i="15" s="1"/>
  <c r="BF397" i="15"/>
  <c r="BF393" i="15"/>
  <c r="BF413" i="15" s="1"/>
  <c r="BC397" i="15"/>
  <c r="BC393" i="15"/>
  <c r="BC413" i="15" s="1"/>
  <c r="BB397" i="15"/>
  <c r="BB393" i="15"/>
  <c r="BB413" i="15" s="1"/>
  <c r="BQ393" i="15"/>
  <c r="BQ413" i="15" s="1"/>
  <c r="BQ397" i="15"/>
  <c r="R397" i="15"/>
  <c r="R393" i="15"/>
  <c r="R413" i="15" s="1"/>
  <c r="AF397" i="15"/>
  <c r="AF393" i="15"/>
  <c r="AF413" i="15" s="1"/>
  <c r="AA397" i="15"/>
  <c r="AA393" i="15"/>
  <c r="AA413" i="15" s="1"/>
  <c r="AP397" i="15"/>
  <c r="AP393" i="15"/>
  <c r="AP413" i="15" s="1"/>
  <c r="T397" i="15"/>
  <c r="T393" i="15"/>
  <c r="T413" i="15" s="1"/>
  <c r="AU397" i="15"/>
  <c r="AU393" i="15"/>
  <c r="AU413" i="15" s="1"/>
  <c r="BM393" i="15"/>
  <c r="BM413" i="15" s="1"/>
  <c r="BM397" i="15"/>
  <c r="AG393" i="15"/>
  <c r="AG413" i="15" s="1"/>
  <c r="AG397" i="15"/>
  <c r="I462" i="15"/>
  <c r="AW393" i="15"/>
  <c r="AW413" i="15" s="1"/>
  <c r="AW397" i="15"/>
  <c r="Y393" i="15"/>
  <c r="Y413" i="15" s="1"/>
  <c r="Y397" i="15"/>
  <c r="V397" i="15"/>
  <c r="V393" i="15"/>
  <c r="V413" i="15" s="1"/>
  <c r="BD397" i="15"/>
  <c r="BD393" i="15"/>
  <c r="BD413" i="15" s="1"/>
  <c r="X397" i="15"/>
  <c r="X393" i="15"/>
  <c r="X413" i="15" s="1"/>
  <c r="Z397" i="15"/>
  <c r="Z393" i="15"/>
  <c r="Z413" i="15" s="1"/>
  <c r="BH397" i="15"/>
  <c r="BH393" i="15"/>
  <c r="BH413" i="15" s="1"/>
  <c r="AT397" i="15"/>
  <c r="AT393" i="15"/>
  <c r="AT413" i="15" s="1"/>
  <c r="BS397" i="15"/>
  <c r="BS393" i="15"/>
  <c r="BS413" i="15" s="1"/>
  <c r="M375" i="11"/>
  <c r="M371" i="11"/>
  <c r="M391" i="11" s="1"/>
  <c r="AS393" i="15"/>
  <c r="AS413" i="15" s="1"/>
  <c r="AS397" i="15"/>
  <c r="BL397" i="15"/>
  <c r="BL393" i="15"/>
  <c r="BL413" i="15" s="1"/>
  <c r="AA499" i="11"/>
  <c r="N503" i="11"/>
  <c r="N505" i="11"/>
  <c r="N499" i="11"/>
  <c r="N501" i="11"/>
  <c r="N493" i="11"/>
  <c r="N497" i="11"/>
  <c r="AK167" i="11"/>
  <c r="AV167" i="11"/>
  <c r="Y167" i="11"/>
  <c r="AC167" i="11"/>
  <c r="AP167" i="11"/>
  <c r="AW167" i="11"/>
  <c r="AD167" i="11"/>
  <c r="AH167" i="11"/>
  <c r="BR167" i="11"/>
  <c r="AE167" i="11"/>
  <c r="AI167" i="11"/>
  <c r="AQ167" i="11"/>
  <c r="BS167" i="11"/>
  <c r="AJ167" i="11"/>
  <c r="AN167" i="11"/>
  <c r="V167" i="11"/>
  <c r="BQ167" i="11"/>
  <c r="P167" i="11"/>
  <c r="Q167" i="11"/>
  <c r="AL167" i="11"/>
  <c r="AM167" i="11"/>
  <c r="AR167" i="11"/>
  <c r="BE167" i="11"/>
  <c r="BJ167" i="11"/>
  <c r="BK167" i="11"/>
  <c r="BP167" i="11"/>
  <c r="BI167" i="11"/>
  <c r="BN167" i="11"/>
  <c r="BO167" i="11"/>
  <c r="U167" i="11"/>
  <c r="Z167" i="11"/>
  <c r="AA167" i="11"/>
  <c r="AF167" i="11"/>
  <c r="AG167" i="11"/>
  <c r="BB167" i="11"/>
  <c r="BC167" i="11"/>
  <c r="BH167" i="11"/>
  <c r="N167" i="11"/>
  <c r="O167" i="11"/>
  <c r="T167" i="11"/>
  <c r="M167" i="11"/>
  <c r="R167" i="11"/>
  <c r="S167" i="11"/>
  <c r="X167" i="11"/>
  <c r="BA167" i="11"/>
  <c r="BF167" i="11"/>
  <c r="BG167" i="11"/>
  <c r="BL167" i="11"/>
  <c r="BM167" i="11"/>
  <c r="W167" i="11"/>
  <c r="AB167" i="11"/>
  <c r="AO167" i="11"/>
  <c r="AT167" i="11"/>
  <c r="AU167" i="11"/>
  <c r="AZ167" i="11"/>
  <c r="AS167" i="11"/>
  <c r="AX167" i="11"/>
  <c r="AY167" i="11"/>
  <c r="BD167" i="11"/>
  <c r="BM375" i="11"/>
  <c r="BM371" i="11"/>
  <c r="BM391" i="11" s="1"/>
  <c r="BQ375" i="11"/>
  <c r="BQ371" i="11"/>
  <c r="BQ391" i="11" s="1"/>
  <c r="BR371" i="11"/>
  <c r="BR391" i="11" s="1"/>
  <c r="BR375" i="11"/>
  <c r="S375" i="11"/>
  <c r="S371" i="11"/>
  <c r="S391" i="11" s="1"/>
  <c r="AG375" i="11"/>
  <c r="AG371" i="11"/>
  <c r="AG391" i="11" s="1"/>
  <c r="BF371" i="11"/>
  <c r="BF391" i="11" s="1"/>
  <c r="BF375" i="11"/>
  <c r="O375" i="11"/>
  <c r="O371" i="11"/>
  <c r="O391" i="11" s="1"/>
  <c r="BK375" i="11"/>
  <c r="BK371" i="11"/>
  <c r="BK391" i="11" s="1"/>
  <c r="AW375" i="11"/>
  <c r="AW371" i="11"/>
  <c r="AW391" i="11" s="1"/>
  <c r="AM375" i="11"/>
  <c r="AM371" i="11"/>
  <c r="AM391" i="11" s="1"/>
  <c r="X375" i="11"/>
  <c r="X371" i="11"/>
  <c r="X391" i="11" s="1"/>
  <c r="BL375" i="11"/>
  <c r="BL371" i="11"/>
  <c r="BL391" i="11" s="1"/>
  <c r="N387" i="11"/>
  <c r="I370" i="11"/>
  <c r="AA375" i="11"/>
  <c r="AA371" i="11"/>
  <c r="AA391" i="11" s="1"/>
  <c r="BN371" i="11"/>
  <c r="BN391" i="11" s="1"/>
  <c r="BN375" i="11"/>
  <c r="AV375" i="11"/>
  <c r="AV371" i="11"/>
  <c r="AV391" i="11" s="1"/>
  <c r="V371" i="11"/>
  <c r="V391" i="11" s="1"/>
  <c r="V375" i="11"/>
  <c r="BA375" i="11"/>
  <c r="BA371" i="11"/>
  <c r="BA391" i="11" s="1"/>
  <c r="AY375" i="11"/>
  <c r="AY371" i="11"/>
  <c r="AY391" i="11" s="1"/>
  <c r="BH375" i="11"/>
  <c r="BH371" i="11"/>
  <c r="BH391" i="11" s="1"/>
  <c r="BB371" i="11"/>
  <c r="BB391" i="11" s="1"/>
  <c r="BB375" i="11"/>
  <c r="I446" i="11"/>
  <c r="I448" i="11"/>
  <c r="I220" i="11"/>
  <c r="I239" i="11" s="1"/>
  <c r="BI375" i="11"/>
  <c r="BI371" i="11"/>
  <c r="BI391" i="11" s="1"/>
  <c r="R371" i="11"/>
  <c r="R391" i="11" s="1"/>
  <c r="R375" i="11"/>
  <c r="BE375" i="11"/>
  <c r="BE371" i="11"/>
  <c r="BE391" i="11" s="1"/>
  <c r="AL371" i="11"/>
  <c r="AL391" i="11" s="1"/>
  <c r="AL375" i="11"/>
  <c r="BJ371" i="11"/>
  <c r="BJ391" i="11" s="1"/>
  <c r="BJ375" i="11"/>
  <c r="AU375" i="11"/>
  <c r="AU371" i="11"/>
  <c r="AU391" i="11" s="1"/>
  <c r="AZ375" i="11"/>
  <c r="AZ371" i="11"/>
  <c r="AZ391" i="11" s="1"/>
  <c r="AK375" i="11"/>
  <c r="AK371" i="11"/>
  <c r="AK391" i="11" s="1"/>
  <c r="AQ375" i="11"/>
  <c r="AQ371" i="11"/>
  <c r="AQ391" i="11" s="1"/>
  <c r="AT371" i="11"/>
  <c r="AT391" i="11" s="1"/>
  <c r="AT375" i="11"/>
  <c r="AF375" i="11"/>
  <c r="AF371" i="11"/>
  <c r="AF391" i="11" s="1"/>
  <c r="AS375" i="11"/>
  <c r="AS371" i="11"/>
  <c r="AS391" i="11" s="1"/>
  <c r="AO375" i="11"/>
  <c r="AO371" i="11"/>
  <c r="AO391" i="11" s="1"/>
  <c r="Q375" i="11"/>
  <c r="Q371" i="11"/>
  <c r="Q391" i="11" s="1"/>
  <c r="AP371" i="11"/>
  <c r="AP391" i="11" s="1"/>
  <c r="AP375" i="11"/>
  <c r="AE375" i="11"/>
  <c r="AE371" i="11"/>
  <c r="AE391" i="11" s="1"/>
  <c r="BO375" i="11"/>
  <c r="BO371" i="11"/>
  <c r="BO391" i="11" s="1"/>
  <c r="Z371" i="11"/>
  <c r="Z391" i="11" s="1"/>
  <c r="Z375" i="11"/>
  <c r="AR375" i="11"/>
  <c r="AR371" i="11"/>
  <c r="AR391" i="11" s="1"/>
  <c r="BG375" i="11"/>
  <c r="BG371" i="11"/>
  <c r="BG391" i="11" s="1"/>
  <c r="AJ375" i="11"/>
  <c r="AJ371" i="11"/>
  <c r="AJ391" i="11" s="1"/>
  <c r="W375" i="11"/>
  <c r="W371" i="11"/>
  <c r="W391" i="11" s="1"/>
  <c r="AD371" i="11"/>
  <c r="AD391" i="11" s="1"/>
  <c r="AD375" i="11"/>
  <c r="N381" i="11"/>
  <c r="I369" i="11"/>
  <c r="AX371" i="11"/>
  <c r="AX391" i="11" s="1"/>
  <c r="AX375" i="11"/>
  <c r="L440" i="11"/>
  <c r="L493" i="11" s="1"/>
  <c r="I420" i="11"/>
  <c r="AH371" i="11"/>
  <c r="AH391" i="11" s="1"/>
  <c r="AH375" i="11"/>
  <c r="AN375" i="11"/>
  <c r="AN371" i="11"/>
  <c r="AN391" i="11" s="1"/>
  <c r="BC375" i="11"/>
  <c r="BC371" i="11"/>
  <c r="BC391" i="11" s="1"/>
  <c r="U375" i="11"/>
  <c r="U371" i="11"/>
  <c r="U391" i="11" s="1"/>
  <c r="T375" i="11"/>
  <c r="T371" i="11"/>
  <c r="T391" i="11" s="1"/>
  <c r="P375" i="11"/>
  <c r="P371" i="11"/>
  <c r="P391" i="11" s="1"/>
  <c r="AC375" i="11"/>
  <c r="AC371" i="11"/>
  <c r="AC391" i="11" s="1"/>
  <c r="AB375" i="11"/>
  <c r="AB371" i="11"/>
  <c r="AB391" i="11" s="1"/>
  <c r="AI375" i="11"/>
  <c r="AI371" i="11"/>
  <c r="AI391" i="11" s="1"/>
  <c r="BD375" i="11"/>
  <c r="BD371" i="11"/>
  <c r="BD391" i="11" s="1"/>
  <c r="Y375" i="11"/>
  <c r="Y371" i="11"/>
  <c r="Y391" i="11" s="1"/>
  <c r="BP375" i="11"/>
  <c r="BP371" i="11"/>
  <c r="BP391" i="11" s="1"/>
  <c r="BS375" i="11"/>
  <c r="BS371" i="11"/>
  <c r="BS391" i="11" s="1"/>
  <c r="N371" i="11"/>
  <c r="N375" i="11"/>
  <c r="I368" i="11"/>
  <c r="L408" i="9" a="1"/>
  <c r="L408" i="9" s="1"/>
  <c r="M454" i="10"/>
  <c r="M460" i="10"/>
  <c r="M458" i="10"/>
  <c r="M456" i="10"/>
  <c r="M450" i="10"/>
  <c r="M328" i="10"/>
  <c r="M348" i="10" s="1"/>
  <c r="BI137" i="10"/>
  <c r="AS137" i="10"/>
  <c r="AC137" i="10"/>
  <c r="M137" i="10"/>
  <c r="M200" i="10" s="1"/>
  <c r="BD137" i="10"/>
  <c r="AN137" i="10"/>
  <c r="X137" i="10"/>
  <c r="BO137" i="10"/>
  <c r="AY137" i="10"/>
  <c r="AI137" i="10"/>
  <c r="S137" i="10"/>
  <c r="AX137" i="10"/>
  <c r="BJ137" i="10"/>
  <c r="BB137" i="10"/>
  <c r="BR137" i="10"/>
  <c r="BE137" i="10"/>
  <c r="AO137" i="10"/>
  <c r="Y137" i="10"/>
  <c r="BP137" i="10"/>
  <c r="AZ137" i="10"/>
  <c r="AJ137" i="10"/>
  <c r="T137" i="10"/>
  <c r="BK137" i="10"/>
  <c r="AU137" i="10"/>
  <c r="AE137" i="10"/>
  <c r="O137" i="10"/>
  <c r="O200" i="10" s="1"/>
  <c r="AH137" i="10"/>
  <c r="AT137" i="10"/>
  <c r="BF137" i="10"/>
  <c r="AL137" i="10"/>
  <c r="BQ137" i="10"/>
  <c r="BA137" i="10"/>
  <c r="AK137" i="10"/>
  <c r="U137" i="10"/>
  <c r="BL137" i="10"/>
  <c r="AV137" i="10"/>
  <c r="AF137" i="10"/>
  <c r="P137" i="10"/>
  <c r="P200" i="10" s="1"/>
  <c r="BG137" i="10"/>
  <c r="AQ137" i="10"/>
  <c r="AA137" i="10"/>
  <c r="R137" i="10"/>
  <c r="AD137" i="10"/>
  <c r="AP137" i="10"/>
  <c r="BM137" i="10"/>
  <c r="AW137" i="10"/>
  <c r="AG137" i="10"/>
  <c r="Q137" i="10"/>
  <c r="Q200" i="10" s="1"/>
  <c r="BH137" i="10"/>
  <c r="AR137" i="10"/>
  <c r="AB137" i="10"/>
  <c r="BS137" i="10"/>
  <c r="BC137" i="10"/>
  <c r="AM137" i="10"/>
  <c r="W137" i="10"/>
  <c r="BN137" i="10"/>
  <c r="V137" i="10"/>
  <c r="N137" i="10"/>
  <c r="N200" i="10" s="1"/>
  <c r="Z137" i="10"/>
  <c r="Q328" i="10"/>
  <c r="Q348" i="10" s="1"/>
  <c r="Q332" i="10"/>
  <c r="AI332" i="10"/>
  <c r="AI328" i="10"/>
  <c r="AI348" i="10" s="1"/>
  <c r="Z332" i="10"/>
  <c r="Z328" i="10"/>
  <c r="Z348" i="10" s="1"/>
  <c r="AJ332" i="10"/>
  <c r="AJ328" i="10"/>
  <c r="AJ348" i="10" s="1"/>
  <c r="W332" i="10"/>
  <c r="W328" i="10"/>
  <c r="W348" i="10" s="1"/>
  <c r="AD332" i="10"/>
  <c r="AD328" i="10"/>
  <c r="AD348" i="10" s="1"/>
  <c r="BL332" i="10"/>
  <c r="BL328" i="10"/>
  <c r="BL348" i="10" s="1"/>
  <c r="BS332" i="10"/>
  <c r="BS328" i="10"/>
  <c r="BS348" i="10" s="1"/>
  <c r="N332" i="10"/>
  <c r="N328" i="10"/>
  <c r="I325" i="10"/>
  <c r="L136" i="5"/>
  <c r="AM332" i="10"/>
  <c r="AM328" i="10"/>
  <c r="AM348" i="10" s="1"/>
  <c r="X332" i="10"/>
  <c r="X328" i="10"/>
  <c r="X348" i="10" s="1"/>
  <c r="N338" i="10"/>
  <c r="I338" i="10" s="1"/>
  <c r="I326" i="10"/>
  <c r="AX332" i="10"/>
  <c r="AX328" i="10"/>
  <c r="AX348" i="10" s="1"/>
  <c r="AA332" i="10"/>
  <c r="AA328" i="10"/>
  <c r="AA348" i="10" s="1"/>
  <c r="AV332" i="10"/>
  <c r="AV328" i="10"/>
  <c r="AV348" i="10" s="1"/>
  <c r="BA328" i="10"/>
  <c r="BA348" i="10" s="1"/>
  <c r="BA332" i="10"/>
  <c r="AU332" i="10"/>
  <c r="AU328" i="10"/>
  <c r="AU348" i="10" s="1"/>
  <c r="AT332" i="10"/>
  <c r="AT328" i="10"/>
  <c r="AT348" i="10" s="1"/>
  <c r="S332" i="10"/>
  <c r="S328" i="10"/>
  <c r="S348" i="10" s="1"/>
  <c r="BH332" i="10"/>
  <c r="BH328" i="10"/>
  <c r="BH348" i="10" s="1"/>
  <c r="AS328" i="10"/>
  <c r="AS348" i="10" s="1"/>
  <c r="AS332" i="10"/>
  <c r="AO328" i="10"/>
  <c r="AO348" i="10" s="1"/>
  <c r="AO332" i="10"/>
  <c r="R332" i="10"/>
  <c r="R328" i="10"/>
  <c r="R348" i="10" s="1"/>
  <c r="BE328" i="10"/>
  <c r="BE348" i="10" s="1"/>
  <c r="BE332" i="10"/>
  <c r="P332" i="10"/>
  <c r="P328" i="10"/>
  <c r="P348" i="10" s="1"/>
  <c r="BC332" i="10"/>
  <c r="BC328" i="10"/>
  <c r="BC348" i="10" s="1"/>
  <c r="AP332" i="10"/>
  <c r="AP328" i="10"/>
  <c r="AP348" i="10" s="1"/>
  <c r="L181" i="8" a="1"/>
  <c r="L181" i="8" s="1"/>
  <c r="I181" i="8" s="1"/>
  <c r="AF460" i="5"/>
  <c r="BI458" i="5"/>
  <c r="AM462" i="5"/>
  <c r="AY134" i="8"/>
  <c r="BI328" i="10"/>
  <c r="BI348" i="10" s="1"/>
  <c r="BI332" i="10"/>
  <c r="AC328" i="10"/>
  <c r="AC348" i="10" s="1"/>
  <c r="AC332" i="10"/>
  <c r="AE332" i="10"/>
  <c r="AE328" i="10"/>
  <c r="AE348" i="10" s="1"/>
  <c r="BO332" i="10"/>
  <c r="BO328" i="10"/>
  <c r="BO348" i="10" s="1"/>
  <c r="AW328" i="10"/>
  <c r="AW348" i="10" s="1"/>
  <c r="AW332" i="10"/>
  <c r="BD332" i="10"/>
  <c r="BD328" i="10"/>
  <c r="BD348" i="10" s="1"/>
  <c r="Y328" i="10"/>
  <c r="Y348" i="10" s="1"/>
  <c r="Y332" i="10"/>
  <c r="AR332" i="10"/>
  <c r="AR328" i="10"/>
  <c r="AR348" i="10" s="1"/>
  <c r="BG332" i="10"/>
  <c r="BG328" i="10"/>
  <c r="BG348" i="10" s="1"/>
  <c r="BP332" i="10"/>
  <c r="BP328" i="10"/>
  <c r="BP348" i="10" s="1"/>
  <c r="N344" i="10"/>
  <c r="I344" i="10" s="1"/>
  <c r="I327" i="10"/>
  <c r="BN332" i="10"/>
  <c r="BN328" i="10"/>
  <c r="BN348" i="10" s="1"/>
  <c r="I403" i="10"/>
  <c r="I405" i="10"/>
  <c r="I190" i="10"/>
  <c r="I207" i="10" s="1"/>
  <c r="BM328" i="10"/>
  <c r="BM348" i="10" s="1"/>
  <c r="BM332" i="10"/>
  <c r="BJ332" i="10"/>
  <c r="BJ328" i="10"/>
  <c r="BJ348" i="10" s="1"/>
  <c r="AZ332" i="10"/>
  <c r="AZ328" i="10"/>
  <c r="AZ348" i="10" s="1"/>
  <c r="AK328" i="10"/>
  <c r="AK348" i="10" s="1"/>
  <c r="AK332" i="10"/>
  <c r="AQ332" i="10"/>
  <c r="AQ328" i="10"/>
  <c r="AQ348" i="10" s="1"/>
  <c r="BR332" i="10"/>
  <c r="BR328" i="10"/>
  <c r="BR348" i="10" s="1"/>
  <c r="AF332" i="10"/>
  <c r="AF328" i="10"/>
  <c r="AF348" i="10" s="1"/>
  <c r="AG328" i="10"/>
  <c r="AG348" i="10" s="1"/>
  <c r="AG332" i="10"/>
  <c r="BF332" i="10"/>
  <c r="BF328" i="10"/>
  <c r="BF348" i="10" s="1"/>
  <c r="BB332" i="10"/>
  <c r="BB328" i="10"/>
  <c r="BB348" i="10" s="1"/>
  <c r="O332" i="10"/>
  <c r="O328" i="10"/>
  <c r="O348" i="10" s="1"/>
  <c r="AA460" i="5"/>
  <c r="U328" i="10"/>
  <c r="U348" i="10" s="1"/>
  <c r="U332" i="10"/>
  <c r="BK332" i="10"/>
  <c r="BK328" i="10"/>
  <c r="BK348" i="10" s="1"/>
  <c r="AB332" i="10"/>
  <c r="AB328" i="10"/>
  <c r="AB348" i="10" s="1"/>
  <c r="AF134" i="8"/>
  <c r="I133" i="8"/>
  <c r="L397" i="10"/>
  <c r="L450" i="10" s="1"/>
  <c r="I377" i="10"/>
  <c r="AH332" i="10"/>
  <c r="AH328" i="10"/>
  <c r="AH348" i="10" s="1"/>
  <c r="AN332" i="10"/>
  <c r="AN328" i="10"/>
  <c r="AN348" i="10" s="1"/>
  <c r="T332" i="10"/>
  <c r="T328" i="10"/>
  <c r="T348" i="10" s="1"/>
  <c r="AL332" i="10"/>
  <c r="AL328" i="10"/>
  <c r="AL348" i="10" s="1"/>
  <c r="V332" i="10"/>
  <c r="V328" i="10"/>
  <c r="V348" i="10" s="1"/>
  <c r="BQ328" i="10"/>
  <c r="BQ348" i="10" s="1"/>
  <c r="BQ332" i="10"/>
  <c r="AY332" i="10"/>
  <c r="AY328" i="10"/>
  <c r="AY348" i="10" s="1"/>
  <c r="AB134" i="8"/>
  <c r="BC134" i="8"/>
  <c r="BN134" i="8"/>
  <c r="AR134" i="8"/>
  <c r="BL134" i="8"/>
  <c r="BR134" i="8"/>
  <c r="BO134" i="8"/>
  <c r="BA134" i="8"/>
  <c r="N134" i="8"/>
  <c r="P134" i="8"/>
  <c r="AW134" i="8"/>
  <c r="BF134" i="8"/>
  <c r="O134" i="8"/>
  <c r="BI134" i="8"/>
  <c r="L500" i="9"/>
  <c r="L492" i="9"/>
  <c r="L498" i="9"/>
  <c r="L496" i="9"/>
  <c r="L494" i="9"/>
  <c r="L370" i="9"/>
  <c r="L366" i="9"/>
  <c r="L386" i="9" s="1"/>
  <c r="V134" i="8"/>
  <c r="BS134" i="8"/>
  <c r="AV134" i="8"/>
  <c r="BQ134" i="8"/>
  <c r="AA134" i="8"/>
  <c r="AJ134" i="8"/>
  <c r="Y134" i="8"/>
  <c r="AD134" i="8"/>
  <c r="AE134" i="8"/>
  <c r="Q134" i="8"/>
  <c r="AM134" i="8"/>
  <c r="M134" i="8"/>
  <c r="R134" i="8"/>
  <c r="S134" i="8"/>
  <c r="L132" i="8"/>
  <c r="BP134" i="8"/>
  <c r="BB134" i="8"/>
  <c r="T134" i="8"/>
  <c r="U134" i="8"/>
  <c r="Z134" i="8"/>
  <c r="AQ134" i="8"/>
  <c r="AN134" i="8"/>
  <c r="AO134" i="8"/>
  <c r="AT134" i="8"/>
  <c r="AU134" i="8"/>
  <c r="BM134" i="8"/>
  <c r="AZ134" i="8"/>
  <c r="AC134" i="8"/>
  <c r="AH134" i="8"/>
  <c r="AI134" i="8"/>
  <c r="AG134" i="8"/>
  <c r="W134" i="8"/>
  <c r="X134" i="8"/>
  <c r="AK134" i="8"/>
  <c r="AP134" i="8"/>
  <c r="BG134" i="8"/>
  <c r="BH134" i="8"/>
  <c r="BE134" i="8"/>
  <c r="BJ134" i="8"/>
  <c r="BK134" i="8"/>
  <c r="AL134" i="8"/>
  <c r="BD134" i="8"/>
  <c r="AS134" i="8"/>
  <c r="AX134" i="8"/>
  <c r="BI460" i="5"/>
  <c r="BI462" i="5"/>
  <c r="BK458" i="5"/>
  <c r="AM458" i="5"/>
  <c r="BL458" i="5"/>
  <c r="BL462" i="5"/>
  <c r="BK460" i="5"/>
  <c r="AM454" i="5"/>
  <c r="BK454" i="5"/>
  <c r="AM460" i="5"/>
  <c r="AA454" i="5"/>
  <c r="BK462" i="5"/>
  <c r="BL454" i="5"/>
  <c r="BF161" i="9"/>
  <c r="AP161" i="9"/>
  <c r="Z161" i="9"/>
  <c r="BK161" i="9"/>
  <c r="AE161" i="9"/>
  <c r="BQ161" i="9"/>
  <c r="BA161" i="9"/>
  <c r="AK161" i="9"/>
  <c r="U161" i="9"/>
  <c r="BO161" i="9"/>
  <c r="AI161" i="9"/>
  <c r="BL161" i="9"/>
  <c r="AV161" i="9"/>
  <c r="AF161" i="9"/>
  <c r="P161" i="9"/>
  <c r="BR161" i="9"/>
  <c r="BB161" i="9"/>
  <c r="AL161" i="9"/>
  <c r="V161" i="9"/>
  <c r="BC161" i="9"/>
  <c r="W161" i="9"/>
  <c r="BM161" i="9"/>
  <c r="AW161" i="9"/>
  <c r="AG161" i="9"/>
  <c r="Q161" i="9"/>
  <c r="BG161" i="9"/>
  <c r="AA161" i="9"/>
  <c r="BH161" i="9"/>
  <c r="AR161" i="9"/>
  <c r="AB161" i="9"/>
  <c r="BN161" i="9"/>
  <c r="AX161" i="9"/>
  <c r="AH161" i="9"/>
  <c r="R161" i="9"/>
  <c r="AU161" i="9"/>
  <c r="O161" i="9"/>
  <c r="BI161" i="9"/>
  <c r="AS161" i="9"/>
  <c r="AC161" i="9"/>
  <c r="M161" i="9"/>
  <c r="AY161" i="9"/>
  <c r="S161" i="9"/>
  <c r="BD161" i="9"/>
  <c r="AN161" i="9"/>
  <c r="X161" i="9"/>
  <c r="BJ161" i="9"/>
  <c r="AT161" i="9"/>
  <c r="AD161" i="9"/>
  <c r="N161" i="9"/>
  <c r="AM161" i="9"/>
  <c r="BE161" i="9"/>
  <c r="AO161" i="9"/>
  <c r="Y161" i="9"/>
  <c r="BS161" i="9"/>
  <c r="AQ161" i="9"/>
  <c r="BP161" i="9"/>
  <c r="AZ161" i="9"/>
  <c r="AJ161" i="9"/>
  <c r="T161" i="9"/>
  <c r="BL460" i="5"/>
  <c r="BI454" i="5"/>
  <c r="AA458" i="5"/>
  <c r="AF454" i="5"/>
  <c r="AF458" i="5"/>
  <c r="AF462" i="5"/>
  <c r="AA462" i="5"/>
  <c r="BS462" i="5"/>
  <c r="AD462" i="5"/>
  <c r="Z458" i="5"/>
  <c r="AP462" i="5"/>
  <c r="I415" i="9"/>
  <c r="L435" i="9"/>
  <c r="I443" i="9"/>
  <c r="AX370" i="9"/>
  <c r="AX366" i="9"/>
  <c r="AX386" i="9" s="1"/>
  <c r="AA370" i="9"/>
  <c r="AA366" i="9"/>
  <c r="AA386" i="9" s="1"/>
  <c r="BM370" i="9"/>
  <c r="BM366" i="9"/>
  <c r="BM386" i="9" s="1"/>
  <c r="AQ370" i="9"/>
  <c r="AQ366" i="9"/>
  <c r="AQ386" i="9" s="1"/>
  <c r="AY370" i="9"/>
  <c r="AY366" i="9"/>
  <c r="AY386" i="9" s="1"/>
  <c r="BH366" i="9"/>
  <c r="BH386" i="9" s="1"/>
  <c r="BH370" i="9"/>
  <c r="AO370" i="9"/>
  <c r="AO366" i="9"/>
  <c r="AO386" i="9" s="1"/>
  <c r="Q370" i="9"/>
  <c r="Q366" i="9"/>
  <c r="Q386" i="9" s="1"/>
  <c r="AB366" i="9"/>
  <c r="AB386" i="9" s="1"/>
  <c r="AB370" i="9"/>
  <c r="Z370" i="9"/>
  <c r="Z366" i="9"/>
  <c r="Z386" i="9" s="1"/>
  <c r="AW370" i="9"/>
  <c r="AW366" i="9"/>
  <c r="AW386" i="9" s="1"/>
  <c r="BD366" i="9"/>
  <c r="BD386" i="9" s="1"/>
  <c r="BD370" i="9"/>
  <c r="BG370" i="9"/>
  <c r="BG366" i="9"/>
  <c r="BG386" i="9" s="1"/>
  <c r="AJ366" i="9"/>
  <c r="AJ386" i="9" s="1"/>
  <c r="AJ370" i="9"/>
  <c r="N382" i="9"/>
  <c r="I365" i="9"/>
  <c r="AV462" i="5"/>
  <c r="BB462" i="5"/>
  <c r="I219" i="9"/>
  <c r="I238" i="9" s="1"/>
  <c r="R370" i="9"/>
  <c r="R366" i="9"/>
  <c r="R386" i="9" s="1"/>
  <c r="P366" i="9"/>
  <c r="P386" i="9" s="1"/>
  <c r="P370" i="9"/>
  <c r="AV366" i="9"/>
  <c r="AV386" i="9" s="1"/>
  <c r="AV370" i="9"/>
  <c r="BA370" i="9"/>
  <c r="BA366" i="9"/>
  <c r="BA386" i="9" s="1"/>
  <c r="AK370" i="9"/>
  <c r="AK366" i="9"/>
  <c r="AK386" i="9" s="1"/>
  <c r="BQ370" i="9"/>
  <c r="BQ366" i="9"/>
  <c r="BQ386" i="9" s="1"/>
  <c r="BR370" i="9"/>
  <c r="BR366" i="9"/>
  <c r="BR386" i="9" s="1"/>
  <c r="S370" i="9"/>
  <c r="S366" i="9"/>
  <c r="S386" i="9" s="1"/>
  <c r="AS370" i="9"/>
  <c r="AS366" i="9"/>
  <c r="AS386" i="9" s="1"/>
  <c r="BF370" i="9"/>
  <c r="BF366" i="9"/>
  <c r="BF386" i="9" s="1"/>
  <c r="BB370" i="9"/>
  <c r="BB366" i="9"/>
  <c r="BB386" i="9" s="1"/>
  <c r="BC370" i="9"/>
  <c r="BC366" i="9"/>
  <c r="BC386" i="9" s="1"/>
  <c r="AP370" i="9"/>
  <c r="AP366" i="9"/>
  <c r="AP386" i="9" s="1"/>
  <c r="AE370" i="9"/>
  <c r="AE366" i="9"/>
  <c r="AE386" i="9" s="1"/>
  <c r="BK370" i="9"/>
  <c r="BK366" i="9"/>
  <c r="BK386" i="9" s="1"/>
  <c r="Y370" i="9"/>
  <c r="Y366" i="9"/>
  <c r="Y386" i="9" s="1"/>
  <c r="AM370" i="9"/>
  <c r="AM366" i="9"/>
  <c r="AM386" i="9" s="1"/>
  <c r="X366" i="9"/>
  <c r="X386" i="9" s="1"/>
  <c r="X370" i="9"/>
  <c r="W370" i="9"/>
  <c r="W366" i="9"/>
  <c r="W386" i="9" s="1"/>
  <c r="N376" i="9"/>
  <c r="I364" i="9"/>
  <c r="AB462" i="5"/>
  <c r="V462" i="5"/>
  <c r="P458" i="5"/>
  <c r="BE462" i="5"/>
  <c r="BF460" i="5"/>
  <c r="AL462" i="5"/>
  <c r="BE370" i="9"/>
  <c r="BE366" i="9"/>
  <c r="BE386" i="9" s="1"/>
  <c r="I441" i="9"/>
  <c r="AL370" i="9"/>
  <c r="AL366" i="9"/>
  <c r="AL386" i="9" s="1"/>
  <c r="V370" i="9"/>
  <c r="V366" i="9"/>
  <c r="V386" i="9" s="1"/>
  <c r="BJ370" i="9"/>
  <c r="BJ366" i="9"/>
  <c r="BJ386" i="9" s="1"/>
  <c r="AU370" i="9"/>
  <c r="AU366" i="9"/>
  <c r="AU386" i="9" s="1"/>
  <c r="AH370" i="9"/>
  <c r="AH366" i="9"/>
  <c r="AH386" i="9" s="1"/>
  <c r="AN366" i="9"/>
  <c r="AN386" i="9" s="1"/>
  <c r="AN370" i="9"/>
  <c r="BI370" i="9"/>
  <c r="BI366" i="9"/>
  <c r="BI386" i="9" s="1"/>
  <c r="T366" i="9"/>
  <c r="T386" i="9" s="1"/>
  <c r="T370" i="9"/>
  <c r="BO370" i="9"/>
  <c r="BO366" i="9"/>
  <c r="BO386" i="9" s="1"/>
  <c r="AI370" i="9"/>
  <c r="AI366" i="9"/>
  <c r="AI386" i="9" s="1"/>
  <c r="AR366" i="9"/>
  <c r="AR386" i="9" s="1"/>
  <c r="AR370" i="9"/>
  <c r="BP366" i="9"/>
  <c r="BP386" i="9" s="1"/>
  <c r="BP370" i="9"/>
  <c r="BL366" i="9"/>
  <c r="BL386" i="9" s="1"/>
  <c r="BL370" i="9"/>
  <c r="N370" i="9"/>
  <c r="N366" i="9"/>
  <c r="I363" i="9"/>
  <c r="BO462" i="5"/>
  <c r="BN462" i="5"/>
  <c r="BN370" i="9"/>
  <c r="BN366" i="9"/>
  <c r="BN386" i="9" s="1"/>
  <c r="AZ366" i="9"/>
  <c r="AZ386" i="9" s="1"/>
  <c r="AZ370" i="9"/>
  <c r="AT370" i="9"/>
  <c r="AT366" i="9"/>
  <c r="AT386" i="9" s="1"/>
  <c r="AF366" i="9"/>
  <c r="AF386" i="9" s="1"/>
  <c r="AF370" i="9"/>
  <c r="AG370" i="9"/>
  <c r="AG366" i="9"/>
  <c r="AG386" i="9" s="1"/>
  <c r="O370" i="9"/>
  <c r="O366" i="9"/>
  <c r="O386" i="9" s="1"/>
  <c r="U370" i="9"/>
  <c r="U366" i="9"/>
  <c r="U386" i="9" s="1"/>
  <c r="AC370" i="9"/>
  <c r="AC366" i="9"/>
  <c r="AC386" i="9" s="1"/>
  <c r="AD370" i="9"/>
  <c r="AD366" i="9"/>
  <c r="AD386" i="9" s="1"/>
  <c r="BS370" i="9"/>
  <c r="BS366" i="9"/>
  <c r="BS386" i="9" s="1"/>
  <c r="N137" i="5"/>
  <c r="N196" i="5" s="1"/>
  <c r="BC451" i="8"/>
  <c r="BC453" i="8"/>
  <c r="AE451" i="8"/>
  <c r="AE453" i="8"/>
  <c r="BG449" i="8"/>
  <c r="BG451" i="8"/>
  <c r="W449" i="8"/>
  <c r="W451" i="8"/>
  <c r="BJ445" i="8"/>
  <c r="BJ451" i="8"/>
  <c r="AH449" i="8"/>
  <c r="AH451" i="8"/>
  <c r="AL449" i="8"/>
  <c r="AL451" i="8"/>
  <c r="BO445" i="8"/>
  <c r="BO451" i="8"/>
  <c r="Z445" i="8"/>
  <c r="Z451" i="8"/>
  <c r="AR449" i="8"/>
  <c r="AR451" i="8"/>
  <c r="BE445" i="8"/>
  <c r="BE451" i="8"/>
  <c r="AS445" i="8"/>
  <c r="AS451" i="8"/>
  <c r="BB445" i="8"/>
  <c r="BB451" i="8"/>
  <c r="BM449" i="8"/>
  <c r="BM451" i="8"/>
  <c r="AK445" i="8"/>
  <c r="AK451" i="8"/>
  <c r="AF449" i="8"/>
  <c r="AF451" i="8"/>
  <c r="BI449" i="8"/>
  <c r="BI451" i="8"/>
  <c r="M445" i="8"/>
  <c r="M451" i="8"/>
  <c r="AJ449" i="8"/>
  <c r="AJ451" i="8"/>
  <c r="BL449" i="8"/>
  <c r="BL451" i="8"/>
  <c r="S449" i="8"/>
  <c r="S451" i="8"/>
  <c r="U449" i="8"/>
  <c r="U451" i="8"/>
  <c r="AP445" i="8"/>
  <c r="AP451" i="8"/>
  <c r="AB449" i="8"/>
  <c r="AB451" i="8"/>
  <c r="BD449" i="8"/>
  <c r="BD451" i="8"/>
  <c r="R449" i="8"/>
  <c r="R451" i="8"/>
  <c r="P449" i="8"/>
  <c r="P451" i="8"/>
  <c r="AY449" i="8"/>
  <c r="AY451" i="8"/>
  <c r="AO449" i="8"/>
  <c r="AO451" i="8"/>
  <c r="Q445" i="8"/>
  <c r="Q451" i="8"/>
  <c r="AU449" i="8"/>
  <c r="AU451" i="8"/>
  <c r="BQ445" i="8"/>
  <c r="BQ451" i="8"/>
  <c r="BP445" i="8"/>
  <c r="BP451" i="8"/>
  <c r="X445" i="8"/>
  <c r="X451" i="8"/>
  <c r="AD445" i="8"/>
  <c r="AD451" i="8"/>
  <c r="BS445" i="8"/>
  <c r="BS451" i="8"/>
  <c r="AT449" i="8"/>
  <c r="AT451" i="8"/>
  <c r="N449" i="8"/>
  <c r="N451" i="8"/>
  <c r="AV445" i="8"/>
  <c r="AV451" i="8"/>
  <c r="AC445" i="8"/>
  <c r="AC451" i="8"/>
  <c r="BK445" i="8"/>
  <c r="BK451" i="8"/>
  <c r="AI445" i="8"/>
  <c r="AI451" i="8"/>
  <c r="AW445" i="8"/>
  <c r="AW451" i="8"/>
  <c r="Y445" i="8"/>
  <c r="Y451" i="8"/>
  <c r="AM445" i="8"/>
  <c r="AM451" i="8"/>
  <c r="AX445" i="8"/>
  <c r="AX451" i="8"/>
  <c r="AA445" i="8"/>
  <c r="AA451" i="8"/>
  <c r="BN445" i="8"/>
  <c r="BN451" i="8"/>
  <c r="BH445" i="8"/>
  <c r="BH451" i="8"/>
  <c r="AG445" i="8"/>
  <c r="AG451" i="8"/>
  <c r="BF445" i="8"/>
  <c r="BF451" i="8"/>
  <c r="O445" i="8"/>
  <c r="O451" i="8"/>
  <c r="V445" i="8"/>
  <c r="V451" i="8"/>
  <c r="BA445" i="8"/>
  <c r="BA451" i="8"/>
  <c r="AZ445" i="8"/>
  <c r="AZ451" i="8"/>
  <c r="AQ445" i="8"/>
  <c r="AQ451" i="8"/>
  <c r="BR445" i="8"/>
  <c r="BR451" i="8"/>
  <c r="AN445" i="8"/>
  <c r="AN451" i="8"/>
  <c r="T445" i="8"/>
  <c r="T451" i="8"/>
  <c r="BO449" i="8"/>
  <c r="AS449" i="8"/>
  <c r="BB449" i="8"/>
  <c r="BC447" i="8"/>
  <c r="AE447" i="8"/>
  <c r="BG447" i="8"/>
  <c r="AJ447" i="8"/>
  <c r="BJ447" i="8"/>
  <c r="S447" i="8"/>
  <c r="AR447" i="8"/>
  <c r="P447" i="8"/>
  <c r="BI447" i="8"/>
  <c r="Q449" i="8"/>
  <c r="AT447" i="8"/>
  <c r="AA449" i="8"/>
  <c r="BR449" i="8"/>
  <c r="AZ449" i="8"/>
  <c r="AV449" i="8"/>
  <c r="AD449" i="8"/>
  <c r="BF449" i="8"/>
  <c r="AI449" i="8"/>
  <c r="AN449" i="8"/>
  <c r="Y449" i="8"/>
  <c r="AE449" i="8"/>
  <c r="AQ449" i="8"/>
  <c r="AW447" i="8"/>
  <c r="AP449" i="8"/>
  <c r="X449" i="8"/>
  <c r="T449" i="8"/>
  <c r="BC449" i="8"/>
  <c r="BA449" i="8"/>
  <c r="BE449" i="8"/>
  <c r="M449" i="8"/>
  <c r="O449" i="8"/>
  <c r="AC449" i="8"/>
  <c r="BP449" i="8"/>
  <c r="BS449" i="8"/>
  <c r="AM449" i="8"/>
  <c r="BA447" i="8"/>
  <c r="Z449" i="8"/>
  <c r="AK449" i="8"/>
  <c r="BN449" i="8"/>
  <c r="BQ449" i="8"/>
  <c r="BK449" i="8"/>
  <c r="V449" i="8"/>
  <c r="BH449" i="8"/>
  <c r="AX449" i="8"/>
  <c r="AG449" i="8"/>
  <c r="BJ449" i="8"/>
  <c r="AW449" i="8"/>
  <c r="W447" i="8"/>
  <c r="BL447" i="8"/>
  <c r="AH447" i="8"/>
  <c r="U447" i="8"/>
  <c r="AL447" i="8"/>
  <c r="AB447" i="8"/>
  <c r="BD447" i="8"/>
  <c r="R447" i="8"/>
  <c r="AY447" i="8"/>
  <c r="AO447" i="8"/>
  <c r="BM447" i="8"/>
  <c r="AU447" i="8"/>
  <c r="AF447" i="8"/>
  <c r="BS447" i="8"/>
  <c r="AA447" i="8"/>
  <c r="AN447" i="8"/>
  <c r="Y447" i="8"/>
  <c r="AC447" i="8"/>
  <c r="O447" i="8"/>
  <c r="AQ447" i="8"/>
  <c r="N447" i="8"/>
  <c r="V447" i="8"/>
  <c r="BF447" i="8"/>
  <c r="AM447" i="8"/>
  <c r="BE447" i="8"/>
  <c r="AV447" i="8"/>
  <c r="BB447" i="8"/>
  <c r="AZ447" i="8"/>
  <c r="BK447" i="8"/>
  <c r="BR447" i="8"/>
  <c r="AX447" i="8"/>
  <c r="M447" i="8"/>
  <c r="BO447" i="8"/>
  <c r="Q447" i="8"/>
  <c r="AK447" i="8"/>
  <c r="AS447" i="8"/>
  <c r="AI447" i="8"/>
  <c r="AP447" i="8"/>
  <c r="X447" i="8"/>
  <c r="Z447" i="8"/>
  <c r="T447" i="8"/>
  <c r="BQ447" i="8"/>
  <c r="BH447" i="8"/>
  <c r="BN447" i="8"/>
  <c r="AG447" i="8"/>
  <c r="BP447" i="8"/>
  <c r="AD447" i="8"/>
  <c r="AJ441" i="8"/>
  <c r="AJ445" i="8"/>
  <c r="BL445" i="8"/>
  <c r="AH441" i="8"/>
  <c r="AH445" i="8"/>
  <c r="AB441" i="8"/>
  <c r="AB445" i="8"/>
  <c r="AY441" i="8"/>
  <c r="AY445" i="8"/>
  <c r="BG441" i="8"/>
  <c r="BG445" i="8"/>
  <c r="W441" i="8"/>
  <c r="W445" i="8"/>
  <c r="S441" i="8"/>
  <c r="S445" i="8"/>
  <c r="AL441" i="8"/>
  <c r="AL445" i="8"/>
  <c r="AR441" i="8"/>
  <c r="AR445" i="8"/>
  <c r="BI445" i="8"/>
  <c r="AT441" i="8"/>
  <c r="AT445" i="8"/>
  <c r="N441" i="8"/>
  <c r="N445" i="8"/>
  <c r="BC441" i="8"/>
  <c r="BC445" i="8"/>
  <c r="AE441" i="8"/>
  <c r="AE445" i="8"/>
  <c r="U441" i="8"/>
  <c r="U445" i="8"/>
  <c r="BD441" i="8"/>
  <c r="BD445" i="8"/>
  <c r="R441" i="8"/>
  <c r="R445" i="8"/>
  <c r="P441" i="8"/>
  <c r="P445" i="8"/>
  <c r="AO441" i="8"/>
  <c r="AO445" i="8"/>
  <c r="BM441" i="8"/>
  <c r="BM445" i="8"/>
  <c r="AU441" i="8"/>
  <c r="AU445" i="8"/>
  <c r="AF445" i="8"/>
  <c r="BQ441" i="8"/>
  <c r="M441" i="8"/>
  <c r="BS441" i="8"/>
  <c r="V441" i="8"/>
  <c r="AA441" i="8"/>
  <c r="BP441" i="8"/>
  <c r="X441" i="8"/>
  <c r="AD441" i="8"/>
  <c r="AV441" i="8"/>
  <c r="AC441" i="8"/>
  <c r="BK441" i="8"/>
  <c r="AI441" i="8"/>
  <c r="AW441" i="8"/>
  <c r="Y441" i="8"/>
  <c r="AM441" i="8"/>
  <c r="AX441" i="8"/>
  <c r="BN441" i="8"/>
  <c r="AG441" i="8"/>
  <c r="O441" i="8"/>
  <c r="BA441" i="8"/>
  <c r="AQ441" i="8"/>
  <c r="BR441" i="8"/>
  <c r="AN441" i="8"/>
  <c r="T441" i="8"/>
  <c r="AS441" i="8"/>
  <c r="BB441" i="8"/>
  <c r="Z441" i="8"/>
  <c r="AK441" i="8"/>
  <c r="AP441" i="8"/>
  <c r="BI441" i="8"/>
  <c r="BF441" i="8"/>
  <c r="BH441" i="8"/>
  <c r="BO441" i="8"/>
  <c r="AZ441" i="8"/>
  <c r="Q441" i="8"/>
  <c r="BL441" i="8"/>
  <c r="BE441" i="8"/>
  <c r="BJ441" i="8"/>
  <c r="AF441" i="8"/>
  <c r="M323" i="8"/>
  <c r="M319" i="8"/>
  <c r="M339" i="8" s="1"/>
  <c r="AP454" i="5"/>
  <c r="AP460" i="5"/>
  <c r="AP458" i="5"/>
  <c r="BK450" i="5"/>
  <c r="AL460" i="5"/>
  <c r="AL458" i="5"/>
  <c r="AL454" i="5"/>
  <c r="AA450" i="5"/>
  <c r="AS460" i="5"/>
  <c r="Y460" i="5"/>
  <c r="Y462" i="5"/>
  <c r="Y454" i="5"/>
  <c r="Y458" i="5"/>
  <c r="AG458" i="5"/>
  <c r="AG460" i="5"/>
  <c r="AY462" i="5"/>
  <c r="BB456" i="5"/>
  <c r="BB460" i="5"/>
  <c r="O328" i="5"/>
  <c r="O348" i="5" s="1"/>
  <c r="AS456" i="5"/>
  <c r="AS328" i="5"/>
  <c r="AS348" i="5" s="1"/>
  <c r="AW458" i="5"/>
  <c r="AX460" i="5"/>
  <c r="AX458" i="5"/>
  <c r="AG450" i="5"/>
  <c r="BB454" i="5"/>
  <c r="BB450" i="5"/>
  <c r="AG462" i="5"/>
  <c r="BB458" i="5"/>
  <c r="AS454" i="5"/>
  <c r="AG454" i="5"/>
  <c r="R328" i="5"/>
  <c r="R348" i="5" s="1"/>
  <c r="AY460" i="5"/>
  <c r="AX456" i="5"/>
  <c r="BH328" i="5"/>
  <c r="BH348" i="5" s="1"/>
  <c r="BF462" i="5"/>
  <c r="AX462" i="5"/>
  <c r="AX454" i="5"/>
  <c r="AY450" i="5"/>
  <c r="BJ462" i="5"/>
  <c r="BF458" i="5"/>
  <c r="O458" i="5"/>
  <c r="P454" i="5"/>
  <c r="BF454" i="5"/>
  <c r="BF450" i="5"/>
  <c r="R458" i="5"/>
  <c r="BF456" i="5"/>
  <c r="O454" i="5"/>
  <c r="R454" i="5"/>
  <c r="R450" i="5"/>
  <c r="BF328" i="5"/>
  <c r="BF348" i="5" s="1"/>
  <c r="BH332" i="5"/>
  <c r="I332" i="5" s="1"/>
  <c r="BE450" i="5"/>
  <c r="BE456" i="5"/>
  <c r="O462" i="5"/>
  <c r="P328" i="5"/>
  <c r="P348" i="5" s="1"/>
  <c r="AG456" i="5"/>
  <c r="AY458" i="5"/>
  <c r="BE454" i="5"/>
  <c r="AY454" i="5"/>
  <c r="O450" i="5"/>
  <c r="R462" i="5"/>
  <c r="BE460" i="5"/>
  <c r="AG328" i="5"/>
  <c r="AG348" i="5" s="1"/>
  <c r="P450" i="5"/>
  <c r="P456" i="5"/>
  <c r="P460" i="5"/>
  <c r="R460" i="5"/>
  <c r="O460" i="5"/>
  <c r="R456" i="5"/>
  <c r="BE458" i="5"/>
  <c r="P462" i="5"/>
  <c r="BN328" i="5"/>
  <c r="BN348" i="5" s="1"/>
  <c r="BH450" i="5"/>
  <c r="AX328" i="5"/>
  <c r="AX348" i="5" s="1"/>
  <c r="BJ458" i="5"/>
  <c r="AO460" i="5"/>
  <c r="AY328" i="5"/>
  <c r="AY348" i="5" s="1"/>
  <c r="AO458" i="5"/>
  <c r="Q462" i="5"/>
  <c r="BE328" i="5"/>
  <c r="BE348" i="5" s="1"/>
  <c r="BB328" i="5"/>
  <c r="BB348" i="5" s="1"/>
  <c r="BJ460" i="5"/>
  <c r="BH460" i="5"/>
  <c r="BH456" i="5"/>
  <c r="Q458" i="5"/>
  <c r="AO462" i="5"/>
  <c r="AS462" i="5"/>
  <c r="AX450" i="5"/>
  <c r="AS450" i="5"/>
  <c r="AY456" i="5"/>
  <c r="BH458" i="5"/>
  <c r="BJ454" i="5"/>
  <c r="Q460" i="5"/>
  <c r="BH454" i="5"/>
  <c r="AS458" i="5"/>
  <c r="O456" i="5"/>
  <c r="AO450" i="5"/>
  <c r="BH462" i="5"/>
  <c r="AA328" i="5"/>
  <c r="AA348" i="5" s="1"/>
  <c r="AO328" i="5"/>
  <c r="AO348" i="5" s="1"/>
  <c r="AZ462" i="5"/>
  <c r="BN460" i="5"/>
  <c r="AW462" i="5"/>
  <c r="AZ458" i="5"/>
  <c r="AZ460" i="5"/>
  <c r="AW460" i="5"/>
  <c r="AV454" i="5"/>
  <c r="AO454" i="5"/>
  <c r="Q454" i="5"/>
  <c r="BN454" i="5"/>
  <c r="AO456" i="5"/>
  <c r="AN458" i="5"/>
  <c r="BN456" i="5"/>
  <c r="Y456" i="5"/>
  <c r="Q450" i="5"/>
  <c r="AA456" i="5"/>
  <c r="AW456" i="5"/>
  <c r="AZ454" i="5"/>
  <c r="AW454" i="5"/>
  <c r="AT454" i="5"/>
  <c r="BN450" i="5"/>
  <c r="BN458" i="5"/>
  <c r="BR460" i="5"/>
  <c r="AW328" i="5"/>
  <c r="AW348" i="5" s="1"/>
  <c r="S458" i="5"/>
  <c r="BO450" i="5"/>
  <c r="BM462" i="5"/>
  <c r="BM460" i="5"/>
  <c r="AE328" i="5"/>
  <c r="AE348" i="5" s="1"/>
  <c r="V450" i="5"/>
  <c r="BA450" i="5"/>
  <c r="BA454" i="5"/>
  <c r="AI462" i="5"/>
  <c r="AK454" i="5"/>
  <c r="S450" i="5"/>
  <c r="BR450" i="5"/>
  <c r="S462" i="5"/>
  <c r="S328" i="5"/>
  <c r="S348" i="5" s="1"/>
  <c r="S460" i="5"/>
  <c r="BM454" i="5"/>
  <c r="BM458" i="5"/>
  <c r="AR454" i="5"/>
  <c r="BA460" i="5"/>
  <c r="S454" i="5"/>
  <c r="S456" i="5"/>
  <c r="BA462" i="5"/>
  <c r="AT458" i="5"/>
  <c r="AT460" i="5"/>
  <c r="AU458" i="5"/>
  <c r="AZ456" i="5"/>
  <c r="AU460" i="5"/>
  <c r="AT462" i="5"/>
  <c r="AU462" i="5"/>
  <c r="BM328" i="5"/>
  <c r="BM348" i="5" s="1"/>
  <c r="BM450" i="5"/>
  <c r="AT456" i="5"/>
  <c r="AU454" i="5"/>
  <c r="T454" i="5"/>
  <c r="BL456" i="5"/>
  <c r="AZ450" i="5"/>
  <c r="BR454" i="5"/>
  <c r="AF450" i="5"/>
  <c r="BO460" i="5"/>
  <c r="BJ450" i="5"/>
  <c r="AQ328" i="5"/>
  <c r="AQ348" i="5" s="1"/>
  <c r="AF328" i="5"/>
  <c r="AF348" i="5" s="1"/>
  <c r="W450" i="5"/>
  <c r="AK458" i="5"/>
  <c r="AC454" i="5"/>
  <c r="AU456" i="5"/>
  <c r="AM450" i="5"/>
  <c r="AC450" i="5"/>
  <c r="AK462" i="5"/>
  <c r="BA458" i="5"/>
  <c r="AQ462" i="5"/>
  <c r="BR462" i="5"/>
  <c r="AZ328" i="5"/>
  <c r="AZ348" i="5" s="1"/>
  <c r="AU328" i="5"/>
  <c r="AU348" i="5" s="1"/>
  <c r="AK450" i="5"/>
  <c r="AQ460" i="5"/>
  <c r="AK460" i="5"/>
  <c r="AQ456" i="5"/>
  <c r="AQ450" i="5"/>
  <c r="AC458" i="5"/>
  <c r="BR458" i="5"/>
  <c r="AC462" i="5"/>
  <c r="BO458" i="5"/>
  <c r="BM456" i="5"/>
  <c r="V458" i="5"/>
  <c r="V454" i="5"/>
  <c r="BR456" i="5"/>
  <c r="BR328" i="5"/>
  <c r="BR348" i="5" s="1"/>
  <c r="V460" i="5"/>
  <c r="AT328" i="5"/>
  <c r="AT348" i="5" s="1"/>
  <c r="BS458" i="5"/>
  <c r="BQ328" i="5"/>
  <c r="BQ348" i="5" s="1"/>
  <c r="AT450" i="5"/>
  <c r="BQ460" i="5"/>
  <c r="AJ460" i="5"/>
  <c r="Q328" i="5"/>
  <c r="Q348" i="5" s="1"/>
  <c r="AK456" i="5"/>
  <c r="BQ462" i="5"/>
  <c r="BQ456" i="5"/>
  <c r="BQ454" i="5"/>
  <c r="BQ458" i="5"/>
  <c r="BA328" i="5"/>
  <c r="BA348" i="5" s="1"/>
  <c r="BQ450" i="5"/>
  <c r="AB458" i="5"/>
  <c r="W454" i="5"/>
  <c r="AQ454" i="5"/>
  <c r="BO454" i="5"/>
  <c r="AI460" i="5"/>
  <c r="Q456" i="5"/>
  <c r="AM456" i="5"/>
  <c r="BA456" i="5"/>
  <c r="AU450" i="5"/>
  <c r="AI458" i="5"/>
  <c r="AR462" i="5"/>
  <c r="T462" i="5"/>
  <c r="BO328" i="5"/>
  <c r="BO348" i="5" s="1"/>
  <c r="BJ456" i="5"/>
  <c r="AM328" i="5"/>
  <c r="AM348" i="5" s="1"/>
  <c r="AK328" i="5"/>
  <c r="AK348" i="5" s="1"/>
  <c r="BJ328" i="5"/>
  <c r="BJ348" i="5" s="1"/>
  <c r="AR458" i="5"/>
  <c r="AC460" i="5"/>
  <c r="AR460" i="5"/>
  <c r="AI454" i="5"/>
  <c r="AF456" i="5"/>
  <c r="W458" i="5"/>
  <c r="AQ458" i="5"/>
  <c r="V456" i="5"/>
  <c r="V328" i="5"/>
  <c r="V348" i="5" s="1"/>
  <c r="AR456" i="5"/>
  <c r="AW450" i="5"/>
  <c r="BD454" i="5"/>
  <c r="X458" i="5"/>
  <c r="AP450" i="5"/>
  <c r="X460" i="5"/>
  <c r="AB454" i="5"/>
  <c r="Y328" i="5"/>
  <c r="Y348" i="5" s="1"/>
  <c r="Z328" i="5"/>
  <c r="Z348" i="5" s="1"/>
  <c r="BD460" i="5"/>
  <c r="BP450" i="5"/>
  <c r="T456" i="5"/>
  <c r="BG328" i="5"/>
  <c r="BG348" i="5" s="1"/>
  <c r="X450" i="5"/>
  <c r="BD458" i="5"/>
  <c r="X454" i="5"/>
  <c r="AB460" i="5"/>
  <c r="Y450" i="5"/>
  <c r="BO456" i="5"/>
  <c r="BD462" i="5"/>
  <c r="X462" i="5"/>
  <c r="AV328" i="5"/>
  <c r="AV348" i="5" s="1"/>
  <c r="AV456" i="5"/>
  <c r="U450" i="5"/>
  <c r="AP456" i="5"/>
  <c r="W328" i="5"/>
  <c r="W348" i="5" s="1"/>
  <c r="BG462" i="5"/>
  <c r="U458" i="5"/>
  <c r="AB328" i="5"/>
  <c r="AB348" i="5" s="1"/>
  <c r="BK456" i="5"/>
  <c r="AB456" i="5"/>
  <c r="BG454" i="5"/>
  <c r="U462" i="5"/>
  <c r="U460" i="5"/>
  <c r="AE454" i="5"/>
  <c r="BC460" i="5"/>
  <c r="BI450" i="5"/>
  <c r="AD450" i="5"/>
  <c r="BC462" i="5"/>
  <c r="AW137" i="5"/>
  <c r="AW196" i="5" s="1"/>
  <c r="BL450" i="5"/>
  <c r="BC456" i="5"/>
  <c r="AD460" i="5"/>
  <c r="AH328" i="5"/>
  <c r="AH348" i="5" s="1"/>
  <c r="U328" i="5"/>
  <c r="U348" i="5" s="1"/>
  <c r="BC458" i="5"/>
  <c r="AD454" i="5"/>
  <c r="U454" i="5"/>
  <c r="BC454" i="5"/>
  <c r="AE456" i="5"/>
  <c r="AJ328" i="5"/>
  <c r="AJ348" i="5" s="1"/>
  <c r="BD456" i="5"/>
  <c r="BG460" i="5"/>
  <c r="AD456" i="5"/>
  <c r="BG458" i="5"/>
  <c r="AD458" i="5"/>
  <c r="AF137" i="5"/>
  <c r="AF196" i="5" s="1"/>
  <c r="BK328" i="5"/>
  <c r="BK348" i="5" s="1"/>
  <c r="AC328" i="5"/>
  <c r="AC348" i="5" s="1"/>
  <c r="AL328" i="5"/>
  <c r="AL348" i="5" s="1"/>
  <c r="Z450" i="5"/>
  <c r="AR450" i="5"/>
  <c r="BP460" i="5"/>
  <c r="AH460" i="5"/>
  <c r="AN460" i="5"/>
  <c r="AJ454" i="5"/>
  <c r="AH450" i="5"/>
  <c r="AH458" i="5"/>
  <c r="BP458" i="5"/>
  <c r="Z462" i="5"/>
  <c r="BP462" i="5"/>
  <c r="AE462" i="5"/>
  <c r="AH462" i="5"/>
  <c r="AN462" i="5"/>
  <c r="BD328" i="5"/>
  <c r="BD348" i="5" s="1"/>
  <c r="BL328" i="5"/>
  <c r="BL348" i="5" s="1"/>
  <c r="AL450" i="5"/>
  <c r="AJ450" i="5"/>
  <c r="Z456" i="5"/>
  <c r="AL456" i="5"/>
  <c r="Z460" i="5"/>
  <c r="BP454" i="5"/>
  <c r="AH454" i="5"/>
  <c r="AN454" i="5"/>
  <c r="AC456" i="5"/>
  <c r="BP456" i="5"/>
  <c r="AE458" i="5"/>
  <c r="AJ462" i="5"/>
  <c r="L135" i="5"/>
  <c r="AN328" i="5"/>
  <c r="AN348" i="5" s="1"/>
  <c r="AR328" i="5"/>
  <c r="AR348" i="5" s="1"/>
  <c r="AE450" i="5"/>
  <c r="AN450" i="5"/>
  <c r="AJ456" i="5"/>
  <c r="AJ458" i="5"/>
  <c r="Z454" i="5"/>
  <c r="AE460" i="5"/>
  <c r="AN456" i="5"/>
  <c r="BD450" i="5"/>
  <c r="BJ137" i="5"/>
  <c r="BJ196" i="5" s="1"/>
  <c r="P137" i="5"/>
  <c r="P196" i="5" s="1"/>
  <c r="AP328" i="5"/>
  <c r="AP348" i="5" s="1"/>
  <c r="AI328" i="5"/>
  <c r="AI348" i="5" s="1"/>
  <c r="AV450" i="5"/>
  <c r="AI456" i="5"/>
  <c r="AH456" i="5"/>
  <c r="AV458" i="5"/>
  <c r="AV460" i="5"/>
  <c r="X456" i="5"/>
  <c r="AA137" i="5"/>
  <c r="AA196" i="5" s="1"/>
  <c r="BR137" i="5"/>
  <c r="BR196" i="5" s="1"/>
  <c r="Q137" i="5"/>
  <c r="Q196" i="5" s="1"/>
  <c r="AB450" i="5"/>
  <c r="AI450" i="5"/>
  <c r="U456" i="5"/>
  <c r="W456" i="5"/>
  <c r="T450" i="5"/>
  <c r="T458" i="5"/>
  <c r="X328" i="5"/>
  <c r="X348" i="5" s="1"/>
  <c r="T460" i="5"/>
  <c r="BS454" i="5"/>
  <c r="BI328" i="5"/>
  <c r="BI348" i="5" s="1"/>
  <c r="BI137" i="5"/>
  <c r="BI196" i="5" s="1"/>
  <c r="BD137" i="5"/>
  <c r="BD196" i="5" s="1"/>
  <c r="AJ137" i="5"/>
  <c r="AJ196" i="5" s="1"/>
  <c r="AC137" i="5"/>
  <c r="AC196" i="5" s="1"/>
  <c r="BK137" i="5"/>
  <c r="BK196" i="5" s="1"/>
  <c r="AB137" i="5"/>
  <c r="AB196" i="5" s="1"/>
  <c r="AX137" i="5"/>
  <c r="AX196" i="5" s="1"/>
  <c r="AV137" i="5"/>
  <c r="AV196" i="5" s="1"/>
  <c r="BG456" i="5"/>
  <c r="BI456" i="5"/>
  <c r="BN137" i="5"/>
  <c r="BN196" i="5" s="1"/>
  <c r="BG137" i="5"/>
  <c r="BG196" i="5" s="1"/>
  <c r="X137" i="5"/>
  <c r="X196" i="5" s="1"/>
  <c r="BA137" i="5"/>
  <c r="BA196" i="5" s="1"/>
  <c r="AN137" i="5"/>
  <c r="AN196" i="5" s="1"/>
  <c r="AH137" i="5"/>
  <c r="AH196" i="5" s="1"/>
  <c r="AT137" i="5"/>
  <c r="AT196" i="5" s="1"/>
  <c r="AG137" i="5"/>
  <c r="AG196" i="5" s="1"/>
  <c r="AM137" i="5"/>
  <c r="AM196" i="5" s="1"/>
  <c r="BO137" i="5"/>
  <c r="BO196" i="5" s="1"/>
  <c r="BM137" i="5"/>
  <c r="BM196" i="5" s="1"/>
  <c r="AD137" i="5"/>
  <c r="AD196" i="5" s="1"/>
  <c r="S137" i="5"/>
  <c r="S196" i="5" s="1"/>
  <c r="AL137" i="5"/>
  <c r="AL196" i="5" s="1"/>
  <c r="BP137" i="5"/>
  <c r="BP196" i="5" s="1"/>
  <c r="AD328" i="5"/>
  <c r="AD348" i="5" s="1"/>
  <c r="BP328" i="5"/>
  <c r="BP348" i="5" s="1"/>
  <c r="T328" i="5"/>
  <c r="T348" i="5" s="1"/>
  <c r="AQ137" i="5"/>
  <c r="AQ196" i="5" s="1"/>
  <c r="BQ137" i="5"/>
  <c r="BQ196" i="5" s="1"/>
  <c r="BE137" i="5"/>
  <c r="BE196" i="5" s="1"/>
  <c r="BL137" i="5"/>
  <c r="BL196" i="5" s="1"/>
  <c r="BH137" i="5"/>
  <c r="BH196" i="5" s="1"/>
  <c r="BC328" i="5"/>
  <c r="BC348" i="5" s="1"/>
  <c r="BC450" i="5"/>
  <c r="BG450" i="5"/>
  <c r="W462" i="5"/>
  <c r="BB137" i="5"/>
  <c r="BB196" i="5" s="1"/>
  <c r="M137" i="5"/>
  <c r="AU137" i="5"/>
  <c r="AU196" i="5" s="1"/>
  <c r="V137" i="5"/>
  <c r="V196" i="5" s="1"/>
  <c r="AK137" i="5"/>
  <c r="AK196" i="5" s="1"/>
  <c r="Z137" i="5"/>
  <c r="Z196" i="5" s="1"/>
  <c r="O137" i="5"/>
  <c r="O196" i="5" s="1"/>
  <c r="W137" i="5"/>
  <c r="W196" i="5" s="1"/>
  <c r="U137" i="5"/>
  <c r="U196" i="5" s="1"/>
  <c r="AZ137" i="5"/>
  <c r="AZ196" i="5" s="1"/>
  <c r="BS328" i="5"/>
  <c r="BS348" i="5" s="1"/>
  <c r="Y137" i="5"/>
  <c r="Y196" i="5" s="1"/>
  <c r="AE137" i="5"/>
  <c r="AE196" i="5" s="1"/>
  <c r="AY137" i="5"/>
  <c r="AY196" i="5" s="1"/>
  <c r="R137" i="5"/>
  <c r="R196" i="5" s="1"/>
  <c r="BS137" i="5"/>
  <c r="BS196" i="5" s="1"/>
  <c r="AO137" i="5"/>
  <c r="AO196" i="5" s="1"/>
  <c r="T137" i="5"/>
  <c r="T196" i="5" s="1"/>
  <c r="AR137" i="5"/>
  <c r="AR196" i="5" s="1"/>
  <c r="AP137" i="5"/>
  <c r="AP196" i="5" s="1"/>
  <c r="AS137" i="5"/>
  <c r="AS196" i="5" s="1"/>
  <c r="AI137" i="5"/>
  <c r="AI196" i="5" s="1"/>
  <c r="BC137" i="5"/>
  <c r="BC196" i="5" s="1"/>
  <c r="BF137" i="5"/>
  <c r="BF196" i="5" s="1"/>
  <c r="W460" i="5"/>
  <c r="BS460" i="5"/>
  <c r="BS456" i="5"/>
  <c r="BS450" i="5"/>
  <c r="AP323" i="8"/>
  <c r="AP319" i="8"/>
  <c r="AP339" i="8" s="1"/>
  <c r="AE319" i="8"/>
  <c r="AE339" i="8" s="1"/>
  <c r="AE323" i="8"/>
  <c r="BK319" i="8"/>
  <c r="BK339" i="8" s="1"/>
  <c r="BK323" i="8"/>
  <c r="AI319" i="8"/>
  <c r="AI339" i="8" s="1"/>
  <c r="AI323" i="8"/>
  <c r="BD323" i="8"/>
  <c r="BD319" i="8"/>
  <c r="BD339" i="8" s="1"/>
  <c r="AR323" i="8"/>
  <c r="AR319" i="8"/>
  <c r="AR339" i="8" s="1"/>
  <c r="I394" i="8"/>
  <c r="AG323" i="8"/>
  <c r="AG319" i="8"/>
  <c r="AG339" i="8" s="1"/>
  <c r="AO323" i="8"/>
  <c r="AO319" i="8"/>
  <c r="AO339" i="8" s="1"/>
  <c r="AX323" i="8"/>
  <c r="AX319" i="8"/>
  <c r="AX339" i="8" s="1"/>
  <c r="BE323" i="8"/>
  <c r="BE319" i="8"/>
  <c r="BE339" i="8" s="1"/>
  <c r="P323" i="8"/>
  <c r="P319" i="8"/>
  <c r="P339" i="8" s="1"/>
  <c r="N323" i="8"/>
  <c r="N319" i="8"/>
  <c r="I316" i="8"/>
  <c r="BM323" i="8"/>
  <c r="BM319" i="8"/>
  <c r="BM339" i="8" s="1"/>
  <c r="BJ323" i="8"/>
  <c r="BJ319" i="8"/>
  <c r="BJ339" i="8" s="1"/>
  <c r="BG319" i="8"/>
  <c r="BG339" i="8" s="1"/>
  <c r="BG323" i="8"/>
  <c r="X323" i="8"/>
  <c r="X319" i="8"/>
  <c r="X339" i="8" s="1"/>
  <c r="W319" i="8"/>
  <c r="W339" i="8" s="1"/>
  <c r="W323" i="8"/>
  <c r="AD323" i="8"/>
  <c r="AD319" i="8"/>
  <c r="AD339" i="8" s="1"/>
  <c r="BL323" i="8"/>
  <c r="BL319" i="8"/>
  <c r="BL339" i="8" s="1"/>
  <c r="BI323" i="8"/>
  <c r="BI319" i="8"/>
  <c r="BI339" i="8" s="1"/>
  <c r="T323" i="8"/>
  <c r="T319" i="8"/>
  <c r="T339" i="8" s="1"/>
  <c r="N462" i="5"/>
  <c r="BO319" i="8"/>
  <c r="BO339" i="8" s="1"/>
  <c r="BO323" i="8"/>
  <c r="AB323" i="8"/>
  <c r="AB319" i="8"/>
  <c r="AB339" i="8" s="1"/>
  <c r="Z323" i="8"/>
  <c r="Z319" i="8"/>
  <c r="Z339" i="8" s="1"/>
  <c r="AW323" i="8"/>
  <c r="AW319" i="8"/>
  <c r="AW339" i="8" s="1"/>
  <c r="BB323" i="8"/>
  <c r="BB319" i="8"/>
  <c r="BB339" i="8" s="1"/>
  <c r="O319" i="8"/>
  <c r="O339" i="8" s="1"/>
  <c r="O323" i="8"/>
  <c r="R323" i="8"/>
  <c r="R319" i="8"/>
  <c r="R339" i="8" s="1"/>
  <c r="AA319" i="8"/>
  <c r="AA339" i="8" s="1"/>
  <c r="AA323" i="8"/>
  <c r="N329" i="8"/>
  <c r="I329" i="8" s="1"/>
  <c r="I317" i="8"/>
  <c r="Q323" i="8"/>
  <c r="Q319" i="8"/>
  <c r="Q339" i="8" s="1"/>
  <c r="BP323" i="8"/>
  <c r="BP319" i="8"/>
  <c r="BP339" i="8" s="1"/>
  <c r="AJ323" i="8"/>
  <c r="AJ319" i="8"/>
  <c r="AJ339" i="8" s="1"/>
  <c r="BS319" i="8"/>
  <c r="BS339" i="8" s="1"/>
  <c r="BS323" i="8"/>
  <c r="AH323" i="8"/>
  <c r="AH319" i="8"/>
  <c r="AH339" i="8" s="1"/>
  <c r="AN323" i="8"/>
  <c r="AN319" i="8"/>
  <c r="AN339" i="8" s="1"/>
  <c r="BC319" i="8"/>
  <c r="BC339" i="8" s="1"/>
  <c r="BC323" i="8"/>
  <c r="AV323" i="8"/>
  <c r="AV319" i="8"/>
  <c r="AV339" i="8" s="1"/>
  <c r="AL323" i="8"/>
  <c r="AL319" i="8"/>
  <c r="AL339" i="8" s="1"/>
  <c r="I187" i="8"/>
  <c r="I198" i="8" s="1"/>
  <c r="L388" i="8"/>
  <c r="L441" i="8" s="1"/>
  <c r="I368" i="8"/>
  <c r="AU319" i="8"/>
  <c r="AU339" i="8" s="1"/>
  <c r="AU323" i="8"/>
  <c r="AQ319" i="8"/>
  <c r="AQ339" i="8" s="1"/>
  <c r="AQ323" i="8"/>
  <c r="BQ323" i="8"/>
  <c r="BQ319" i="8"/>
  <c r="BQ339" i="8" s="1"/>
  <c r="AT323" i="8"/>
  <c r="AT319" i="8"/>
  <c r="AT339" i="8" s="1"/>
  <c r="BR323" i="8"/>
  <c r="BR319" i="8"/>
  <c r="BR339" i="8" s="1"/>
  <c r="AF323" i="8"/>
  <c r="AF319" i="8"/>
  <c r="AF339" i="8" s="1"/>
  <c r="U323" i="8"/>
  <c r="U319" i="8"/>
  <c r="U339" i="8" s="1"/>
  <c r="AC323" i="8"/>
  <c r="AC319" i="8"/>
  <c r="AC339" i="8" s="1"/>
  <c r="Y323" i="8"/>
  <c r="Y319" i="8"/>
  <c r="Y339" i="8" s="1"/>
  <c r="AM319" i="8"/>
  <c r="AM339" i="8" s="1"/>
  <c r="AM323" i="8"/>
  <c r="AY319" i="8"/>
  <c r="AY339" i="8" s="1"/>
  <c r="AY323" i="8"/>
  <c r="BH323" i="8"/>
  <c r="BH319" i="8"/>
  <c r="BH339" i="8" s="1"/>
  <c r="AS323" i="8"/>
  <c r="AS319" i="8"/>
  <c r="AS339" i="8" s="1"/>
  <c r="BF323" i="8"/>
  <c r="BF319" i="8"/>
  <c r="BF339" i="8" s="1"/>
  <c r="BN323" i="8"/>
  <c r="BN319" i="8"/>
  <c r="BN339" i="8" s="1"/>
  <c r="N335" i="8"/>
  <c r="I335" i="8" s="1"/>
  <c r="I318" i="8"/>
  <c r="V323" i="8"/>
  <c r="V319" i="8"/>
  <c r="V339" i="8" s="1"/>
  <c r="BA323" i="8"/>
  <c r="BA319" i="8"/>
  <c r="BA339" i="8" s="1"/>
  <c r="AZ323" i="8"/>
  <c r="AZ319" i="8"/>
  <c r="AZ339" i="8" s="1"/>
  <c r="AK323" i="8"/>
  <c r="AK319" i="8"/>
  <c r="AK339" i="8" s="1"/>
  <c r="S319" i="8"/>
  <c r="S339" i="8" s="1"/>
  <c r="S323" i="8"/>
  <c r="I396" i="8"/>
  <c r="N454" i="5"/>
  <c r="N460" i="5"/>
  <c r="N458" i="5"/>
  <c r="N456" i="5"/>
  <c r="I403" i="5"/>
  <c r="N450" i="5"/>
  <c r="I327" i="5"/>
  <c r="N344" i="5"/>
  <c r="I344" i="5" s="1"/>
  <c r="I326" i="5"/>
  <c r="N338" i="5"/>
  <c r="I325" i="5"/>
  <c r="N328" i="5"/>
  <c r="I207" i="5"/>
  <c r="I405" i="5"/>
  <c r="I383" i="5"/>
  <c r="N102" i="25" l="1"/>
  <c r="S95" i="25"/>
  <c r="S104" i="25" s="1"/>
  <c r="T95" i="25"/>
  <c r="T104" i="25" s="1"/>
  <c r="U95" i="25"/>
  <c r="U104" i="25" s="1"/>
  <c r="R95" i="25"/>
  <c r="R104" i="25" s="1"/>
  <c r="Q95" i="25"/>
  <c r="Q104" i="25" s="1"/>
  <c r="P136" i="15"/>
  <c r="P323" i="15" s="1"/>
  <c r="T28" i="25"/>
  <c r="T37" i="25" s="1"/>
  <c r="Q28" i="25"/>
  <c r="Q37" i="25" s="1"/>
  <c r="R28" i="25"/>
  <c r="R37" i="25" s="1"/>
  <c r="S28" i="25"/>
  <c r="S37" i="25" s="1"/>
  <c r="U28" i="25"/>
  <c r="U37" i="25" s="1"/>
  <c r="P28" i="25"/>
  <c r="N26" i="25"/>
  <c r="N35" i="25"/>
  <c r="AP51" i="21"/>
  <c r="AP96" i="21"/>
  <c r="AG96" i="21"/>
  <c r="AG95" i="21"/>
  <c r="I211" i="23"/>
  <c r="L488" i="9"/>
  <c r="I488" i="9" s="1"/>
  <c r="Q95" i="21"/>
  <c r="AI95" i="21" s="1"/>
  <c r="Q94" i="21" a="1"/>
  <c r="AL94" i="21" s="1"/>
  <c r="Q43" i="21" a="1"/>
  <c r="L213" i="9" a="1"/>
  <c r="L213" i="9" s="1"/>
  <c r="I213" i="9" s="1"/>
  <c r="I160" i="9"/>
  <c r="I382" i="9"/>
  <c r="I533" i="23"/>
  <c r="I376" i="9"/>
  <c r="I535" i="23"/>
  <c r="I421" i="23"/>
  <c r="I531" i="23"/>
  <c r="I527" i="23"/>
  <c r="L425" i="23"/>
  <c r="I405" i="23"/>
  <c r="I539" i="23"/>
  <c r="I415" i="23"/>
  <c r="I409" i="23"/>
  <c r="I537" i="23"/>
  <c r="L409" i="9" a="1"/>
  <c r="L409" i="9" s="1"/>
  <c r="I409" i="9" s="1"/>
  <c r="L235" i="20"/>
  <c r="AM95" i="21"/>
  <c r="AO95" i="21"/>
  <c r="AN95" i="21"/>
  <c r="AL95" i="21"/>
  <c r="AK95" i="21"/>
  <c r="AJ95" i="21"/>
  <c r="AN96" i="21"/>
  <c r="AJ96" i="21"/>
  <c r="AM96" i="21"/>
  <c r="AL96" i="21"/>
  <c r="AO96" i="21"/>
  <c r="AK96" i="21"/>
  <c r="AE51" i="21"/>
  <c r="AF51" i="21"/>
  <c r="AI96" i="21"/>
  <c r="Q51" i="21"/>
  <c r="AI51" i="21" s="1"/>
  <c r="AD51" i="21"/>
  <c r="AC51" i="21"/>
  <c r="AA51" i="21"/>
  <c r="Z47" i="21"/>
  <c r="AB51" i="21"/>
  <c r="AF96" i="21"/>
  <c r="AA96" i="21"/>
  <c r="AD96" i="21"/>
  <c r="AB96" i="21"/>
  <c r="AE96" i="21"/>
  <c r="AC96" i="21"/>
  <c r="I239" i="15"/>
  <c r="I262" i="15" s="1"/>
  <c r="M238" i="11"/>
  <c r="P138" i="15"/>
  <c r="O139" i="15"/>
  <c r="O329" i="15"/>
  <c r="P130" i="11"/>
  <c r="P307" i="11" s="1"/>
  <c r="O131" i="11"/>
  <c r="M284" i="20"/>
  <c r="N234" i="11"/>
  <c r="N238" i="11" s="1"/>
  <c r="AE95" i="21"/>
  <c r="AC95" i="21"/>
  <c r="AA95" i="21"/>
  <c r="AB95" i="21"/>
  <c r="AD95" i="21"/>
  <c r="AF95" i="21"/>
  <c r="AJ282" i="20"/>
  <c r="AV282" i="20"/>
  <c r="Y284" i="20"/>
  <c r="AL282" i="20"/>
  <c r="BP284" i="20"/>
  <c r="AH282" i="20"/>
  <c r="AR284" i="20"/>
  <c r="AZ282" i="20"/>
  <c r="AW282" i="20"/>
  <c r="P284" i="20"/>
  <c r="AD284" i="20"/>
  <c r="AN282" i="20"/>
  <c r="AS282" i="20"/>
  <c r="BK284" i="20"/>
  <c r="R284" i="20"/>
  <c r="AM282" i="20"/>
  <c r="BR282" i="20"/>
  <c r="BD282" i="20"/>
  <c r="Q282" i="20"/>
  <c r="AQ284" i="20"/>
  <c r="BJ284" i="20"/>
  <c r="BE284" i="20"/>
  <c r="AI282" i="20"/>
  <c r="BN282" i="20"/>
  <c r="AR282" i="20"/>
  <c r="M282" i="20"/>
  <c r="AV284" i="20"/>
  <c r="AE284" i="20"/>
  <c r="AX284" i="20"/>
  <c r="AS284" i="20"/>
  <c r="BK282" i="20"/>
  <c r="W282" i="20"/>
  <c r="P282" i="20"/>
  <c r="BB282" i="20"/>
  <c r="V282" i="20"/>
  <c r="BM282" i="20"/>
  <c r="AG282" i="20"/>
  <c r="AN284" i="20"/>
  <c r="BG284" i="20"/>
  <c r="AA284" i="20"/>
  <c r="AF284" i="20"/>
  <c r="AT284" i="20"/>
  <c r="N284" i="20"/>
  <c r="AO284" i="20"/>
  <c r="BC282" i="20"/>
  <c r="S282" i="20"/>
  <c r="BO282" i="20"/>
  <c r="AX282" i="20"/>
  <c r="R282" i="20"/>
  <c r="BI282" i="20"/>
  <c r="AC282" i="20"/>
  <c r="X284" i="20"/>
  <c r="AU284" i="20"/>
  <c r="O284" i="20"/>
  <c r="BN284" i="20"/>
  <c r="AH284" i="20"/>
  <c r="BI284" i="20"/>
  <c r="AC284" i="20"/>
  <c r="T282" i="20"/>
  <c r="AU282" i="20"/>
  <c r="AE282" i="20"/>
  <c r="O282" i="20"/>
  <c r="AF282" i="20"/>
  <c r="BG282" i="20"/>
  <c r="BJ282" i="20"/>
  <c r="AT282" i="20"/>
  <c r="AD282" i="20"/>
  <c r="N282" i="20"/>
  <c r="AB282" i="20"/>
  <c r="BE282" i="20"/>
  <c r="AO282" i="20"/>
  <c r="Y282" i="20"/>
  <c r="L172" i="20"/>
  <c r="I172" i="20" s="1"/>
  <c r="BL284" i="20"/>
  <c r="AJ284" i="20"/>
  <c r="BS284" i="20"/>
  <c r="BC284" i="20"/>
  <c r="AM284" i="20"/>
  <c r="W284" i="20"/>
  <c r="BH284" i="20"/>
  <c r="T284" i="20"/>
  <c r="BF284" i="20"/>
  <c r="AP284" i="20"/>
  <c r="Z284" i="20"/>
  <c r="BQ284" i="20"/>
  <c r="BA284" i="20"/>
  <c r="AK284" i="20"/>
  <c r="U284" i="20"/>
  <c r="BH282" i="20"/>
  <c r="BS282" i="20"/>
  <c r="AQ282" i="20"/>
  <c r="AA282" i="20"/>
  <c r="BL282" i="20"/>
  <c r="X282" i="20"/>
  <c r="AY282" i="20"/>
  <c r="BF282" i="20"/>
  <c r="AP282" i="20"/>
  <c r="Z282" i="20"/>
  <c r="BP282" i="20"/>
  <c r="BQ282" i="20"/>
  <c r="BA282" i="20"/>
  <c r="AK282" i="20"/>
  <c r="U282" i="20"/>
  <c r="BD284" i="20"/>
  <c r="AB284" i="20"/>
  <c r="BO284" i="20"/>
  <c r="AY284" i="20"/>
  <c r="AI284" i="20"/>
  <c r="S284" i="20"/>
  <c r="AZ284" i="20"/>
  <c r="BR284" i="20"/>
  <c r="BB284" i="20"/>
  <c r="AL284" i="20"/>
  <c r="V284" i="20"/>
  <c r="BM284" i="20"/>
  <c r="AW284" i="20"/>
  <c r="AG284" i="20"/>
  <c r="L293" i="18"/>
  <c r="AA42" i="21"/>
  <c r="AF42" i="21"/>
  <c r="AD42" i="21"/>
  <c r="AB42" i="21"/>
  <c r="AC42" i="21"/>
  <c r="AE42" i="21"/>
  <c r="L307" i="11"/>
  <c r="L329" i="15" s="1"/>
  <c r="O307" i="11"/>
  <c r="N307" i="11"/>
  <c r="P128" i="11"/>
  <c r="P301" i="11" s="1"/>
  <c r="T227" i="9"/>
  <c r="T231" i="9"/>
  <c r="T233" i="9" s="1"/>
  <c r="AQ227" i="9"/>
  <c r="AQ231" i="9"/>
  <c r="AQ233" i="9" s="1"/>
  <c r="BE227" i="9"/>
  <c r="BE231" i="9"/>
  <c r="BE233" i="9" s="1"/>
  <c r="AT227" i="9"/>
  <c r="AT231" i="9"/>
  <c r="AT233" i="9" s="1"/>
  <c r="BD227" i="9"/>
  <c r="BD231" i="9"/>
  <c r="BD233" i="9" s="1"/>
  <c r="AC227" i="9"/>
  <c r="AC231" i="9"/>
  <c r="AC233" i="9" s="1"/>
  <c r="AU227" i="9"/>
  <c r="AU231" i="9"/>
  <c r="AU233" i="9" s="1"/>
  <c r="BN227" i="9"/>
  <c r="BN231" i="9"/>
  <c r="BN233" i="9" s="1"/>
  <c r="AA227" i="9"/>
  <c r="AA231" i="9"/>
  <c r="AA233" i="9" s="1"/>
  <c r="AW227" i="9"/>
  <c r="AW231" i="9"/>
  <c r="AW233" i="9" s="1"/>
  <c r="V227" i="9"/>
  <c r="V231" i="9"/>
  <c r="V233" i="9" s="1"/>
  <c r="P227" i="9"/>
  <c r="P231" i="9"/>
  <c r="P233" i="9" s="1"/>
  <c r="AI227" i="9"/>
  <c r="AI231" i="9"/>
  <c r="AI233" i="9" s="1"/>
  <c r="BA227" i="9"/>
  <c r="BA231" i="9"/>
  <c r="BA233" i="9" s="1"/>
  <c r="Z227" i="9"/>
  <c r="Z231" i="9"/>
  <c r="Z233" i="9" s="1"/>
  <c r="AJ227" i="9"/>
  <c r="AJ231" i="9"/>
  <c r="AJ233" i="9" s="1"/>
  <c r="BS227" i="9"/>
  <c r="BS231" i="9"/>
  <c r="BS233" i="9" s="1"/>
  <c r="AM227" i="9"/>
  <c r="AM231" i="9"/>
  <c r="AM233" i="9" s="1"/>
  <c r="BJ227" i="9"/>
  <c r="BJ231" i="9"/>
  <c r="BJ233" i="9" s="1"/>
  <c r="S227" i="9"/>
  <c r="S231" i="9"/>
  <c r="S233" i="9" s="1"/>
  <c r="AS227" i="9"/>
  <c r="AS231" i="9"/>
  <c r="AS233" i="9" s="1"/>
  <c r="R227" i="9"/>
  <c r="R231" i="9"/>
  <c r="R233" i="9" s="1"/>
  <c r="AB227" i="9"/>
  <c r="AB231" i="9"/>
  <c r="AB233" i="9" s="1"/>
  <c r="BG227" i="9"/>
  <c r="BG231" i="9"/>
  <c r="BG233" i="9" s="1"/>
  <c r="BM227" i="9"/>
  <c r="BM231" i="9"/>
  <c r="BM233" i="9" s="1"/>
  <c r="AL227" i="9"/>
  <c r="AL231" i="9"/>
  <c r="AL233" i="9" s="1"/>
  <c r="AF227" i="9"/>
  <c r="AF231" i="9"/>
  <c r="AF233" i="9" s="1"/>
  <c r="BO227" i="9"/>
  <c r="BO231" i="9"/>
  <c r="BO233" i="9" s="1"/>
  <c r="BQ227" i="9"/>
  <c r="BQ231" i="9"/>
  <c r="BQ233" i="9" s="1"/>
  <c r="AP227" i="9"/>
  <c r="AP231" i="9"/>
  <c r="AP233" i="9" s="1"/>
  <c r="AZ227" i="9"/>
  <c r="AZ231" i="9"/>
  <c r="AZ233" i="9" s="1"/>
  <c r="Y227" i="9"/>
  <c r="Y231" i="9"/>
  <c r="Y233" i="9" s="1"/>
  <c r="N227" i="9"/>
  <c r="N231" i="9"/>
  <c r="N233" i="9" s="1"/>
  <c r="X227" i="9"/>
  <c r="X231" i="9"/>
  <c r="X233" i="9" s="1"/>
  <c r="AY227" i="9"/>
  <c r="AY231" i="9"/>
  <c r="AY233" i="9" s="1"/>
  <c r="BI227" i="9"/>
  <c r="BI231" i="9"/>
  <c r="BI233" i="9" s="1"/>
  <c r="AH227" i="9"/>
  <c r="AH231" i="9"/>
  <c r="AH233" i="9" s="1"/>
  <c r="AR227" i="9"/>
  <c r="AR231" i="9"/>
  <c r="AR233" i="9" s="1"/>
  <c r="Q227" i="9"/>
  <c r="Q231" i="9"/>
  <c r="Q233" i="9" s="1"/>
  <c r="W227" i="9"/>
  <c r="W231" i="9"/>
  <c r="W233" i="9" s="1"/>
  <c r="BB227" i="9"/>
  <c r="BB231" i="9"/>
  <c r="BB233" i="9" s="1"/>
  <c r="AV227" i="9"/>
  <c r="AV231" i="9"/>
  <c r="AV233" i="9" s="1"/>
  <c r="U227" i="9"/>
  <c r="U231" i="9"/>
  <c r="U233" i="9" s="1"/>
  <c r="AE227" i="9"/>
  <c r="AE231" i="9"/>
  <c r="AE233" i="9" s="1"/>
  <c r="BF227" i="9"/>
  <c r="BF231" i="9"/>
  <c r="BF233" i="9" s="1"/>
  <c r="BP227" i="9"/>
  <c r="BP231" i="9"/>
  <c r="BP233" i="9" s="1"/>
  <c r="AO227" i="9"/>
  <c r="AO231" i="9"/>
  <c r="AO233" i="9" s="1"/>
  <c r="AD227" i="9"/>
  <c r="AD231" i="9"/>
  <c r="AD233" i="9" s="1"/>
  <c r="AN227" i="9"/>
  <c r="AN231" i="9"/>
  <c r="AN233" i="9" s="1"/>
  <c r="M227" i="9"/>
  <c r="M231" i="9"/>
  <c r="M233" i="9" s="1"/>
  <c r="O227" i="9"/>
  <c r="O231" i="9"/>
  <c r="O233" i="9" s="1"/>
  <c r="AX227" i="9"/>
  <c r="AX231" i="9"/>
  <c r="AX233" i="9" s="1"/>
  <c r="BH227" i="9"/>
  <c r="BH231" i="9"/>
  <c r="BH233" i="9" s="1"/>
  <c r="AG227" i="9"/>
  <c r="AG231" i="9"/>
  <c r="AG233" i="9" s="1"/>
  <c r="BC227" i="9"/>
  <c r="BC231" i="9"/>
  <c r="BC233" i="9" s="1"/>
  <c r="BR227" i="9"/>
  <c r="BR231" i="9"/>
  <c r="BR233" i="9" s="1"/>
  <c r="BL227" i="9"/>
  <c r="BL231" i="9"/>
  <c r="BL233" i="9" s="1"/>
  <c r="AK227" i="9"/>
  <c r="AK231" i="9"/>
  <c r="AK233" i="9" s="1"/>
  <c r="BK227" i="9"/>
  <c r="BK231" i="9"/>
  <c r="BK233" i="9" s="1"/>
  <c r="AK242" i="18"/>
  <c r="AK291" i="18"/>
  <c r="AK295" i="18" s="1"/>
  <c r="AK302" i="18" s="1"/>
  <c r="BE242" i="18"/>
  <c r="BE291" i="18"/>
  <c r="BE295" i="18" s="1"/>
  <c r="BE302" i="18" s="1"/>
  <c r="AT242" i="18"/>
  <c r="AT291" i="18"/>
  <c r="AT295" i="18" s="1"/>
  <c r="AT302" i="18" s="1"/>
  <c r="AP242" i="18"/>
  <c r="AP291" i="18"/>
  <c r="AP295" i="18" s="1"/>
  <c r="AP302" i="18" s="1"/>
  <c r="AV242" i="18"/>
  <c r="AV291" i="18"/>
  <c r="AV295" i="18" s="1"/>
  <c r="AV302" i="18" s="1"/>
  <c r="AU242" i="18"/>
  <c r="AU291" i="18"/>
  <c r="AU295" i="18" s="1"/>
  <c r="AU302" i="18" s="1"/>
  <c r="BN242" i="18"/>
  <c r="BN291" i="18"/>
  <c r="BN295" i="18" s="1"/>
  <c r="BN302" i="18" s="1"/>
  <c r="V242" i="18"/>
  <c r="V291" i="18"/>
  <c r="V295" i="18" s="1"/>
  <c r="V302" i="18" s="1"/>
  <c r="Q242" i="18"/>
  <c r="Q291" i="18"/>
  <c r="Q295" i="18" s="1"/>
  <c r="S242" i="18"/>
  <c r="S291" i="18"/>
  <c r="S295" i="18" s="1"/>
  <c r="S302" i="18" s="1"/>
  <c r="N242" i="18"/>
  <c r="N291" i="18"/>
  <c r="N295" i="18" s="1"/>
  <c r="AG242" i="18"/>
  <c r="AG291" i="18"/>
  <c r="AG295" i="18" s="1"/>
  <c r="AG302" i="18" s="1"/>
  <c r="AY242" i="18"/>
  <c r="AY291" i="18"/>
  <c r="AY295" i="18" s="1"/>
  <c r="AY302" i="18" s="1"/>
  <c r="AQ242" i="18"/>
  <c r="AQ291" i="18"/>
  <c r="AQ295" i="18" s="1"/>
  <c r="AQ302" i="18" s="1"/>
  <c r="AI242" i="18"/>
  <c r="AI291" i="18"/>
  <c r="AI295" i="18" s="1"/>
  <c r="AI302" i="18" s="1"/>
  <c r="AN242" i="18"/>
  <c r="AN291" i="18"/>
  <c r="AN295" i="18" s="1"/>
  <c r="AN302" i="18" s="1"/>
  <c r="BC242" i="18"/>
  <c r="BC291" i="18"/>
  <c r="BC295" i="18" s="1"/>
  <c r="BC302" i="18" s="1"/>
  <c r="BR242" i="18"/>
  <c r="BR291" i="18"/>
  <c r="BR295" i="18" s="1"/>
  <c r="BR302" i="18" s="1"/>
  <c r="BB242" i="18"/>
  <c r="BB291" i="18"/>
  <c r="BB295" i="18" s="1"/>
  <c r="BB302" i="18" s="1"/>
  <c r="BG242" i="18"/>
  <c r="BG291" i="18"/>
  <c r="BG295" i="18" s="1"/>
  <c r="BG302" i="18" s="1"/>
  <c r="AA242" i="18"/>
  <c r="AA291" i="18"/>
  <c r="AA295" i="18" s="1"/>
  <c r="AA302" i="18" s="1"/>
  <c r="AH242" i="18"/>
  <c r="AH291" i="18"/>
  <c r="AH295" i="18" s="1"/>
  <c r="AH302" i="18" s="1"/>
  <c r="BJ242" i="18"/>
  <c r="BJ291" i="18"/>
  <c r="BJ295" i="18" s="1"/>
  <c r="BJ302" i="18" s="1"/>
  <c r="BL242" i="18"/>
  <c r="BL291" i="18"/>
  <c r="BL295" i="18" s="1"/>
  <c r="BL302" i="18" s="1"/>
  <c r="AD242" i="18"/>
  <c r="AD291" i="18"/>
  <c r="AD295" i="18" s="1"/>
  <c r="AD302" i="18" s="1"/>
  <c r="AR242" i="18"/>
  <c r="AR291" i="18"/>
  <c r="AR295" i="18" s="1"/>
  <c r="AR302" i="18" s="1"/>
  <c r="T242" i="18"/>
  <c r="T291" i="18"/>
  <c r="T295" i="18" s="1"/>
  <c r="T302" i="18" s="1"/>
  <c r="U242" i="18"/>
  <c r="U291" i="18"/>
  <c r="U295" i="18" s="1"/>
  <c r="U302" i="18" s="1"/>
  <c r="BO242" i="18"/>
  <c r="BO291" i="18"/>
  <c r="BO295" i="18" s="1"/>
  <c r="BO302" i="18" s="1"/>
  <c r="M242" i="18"/>
  <c r="M291" i="18"/>
  <c r="M295" i="18" s="1"/>
  <c r="BD242" i="18"/>
  <c r="BD291" i="18"/>
  <c r="BD295" i="18" s="1"/>
  <c r="BD302" i="18" s="1"/>
  <c r="AB242" i="18"/>
  <c r="AB291" i="18"/>
  <c r="AB295" i="18" s="1"/>
  <c r="AB302" i="18" s="1"/>
  <c r="AX242" i="18"/>
  <c r="AX291" i="18"/>
  <c r="AX295" i="18" s="1"/>
  <c r="AX302" i="18" s="1"/>
  <c r="BS242" i="18"/>
  <c r="BS291" i="18"/>
  <c r="BS295" i="18" s="1"/>
  <c r="BS302" i="18" s="1"/>
  <c r="BK242" i="18"/>
  <c r="BK291" i="18"/>
  <c r="BK295" i="18" s="1"/>
  <c r="BK302" i="18" s="1"/>
  <c r="W242" i="18"/>
  <c r="W291" i="18"/>
  <c r="W295" i="18" s="1"/>
  <c r="W302" i="18" s="1"/>
  <c r="BI242" i="18"/>
  <c r="BI291" i="18"/>
  <c r="BI295" i="18" s="1"/>
  <c r="BI302" i="18" s="1"/>
  <c r="AM242" i="18"/>
  <c r="AM291" i="18"/>
  <c r="AM295" i="18" s="1"/>
  <c r="AM302" i="18" s="1"/>
  <c r="AE242" i="18"/>
  <c r="AE291" i="18"/>
  <c r="AE295" i="18" s="1"/>
  <c r="AE302" i="18" s="1"/>
  <c r="AJ242" i="18"/>
  <c r="AJ291" i="18"/>
  <c r="AJ295" i="18" s="1"/>
  <c r="AJ302" i="18" s="1"/>
  <c r="AC242" i="18"/>
  <c r="AC291" i="18"/>
  <c r="AC295" i="18" s="1"/>
  <c r="AC302" i="18" s="1"/>
  <c r="AL242" i="18"/>
  <c r="AL291" i="18"/>
  <c r="AL295" i="18" s="1"/>
  <c r="AL302" i="18" s="1"/>
  <c r="AO242" i="18"/>
  <c r="AO291" i="18"/>
  <c r="AO295" i="18" s="1"/>
  <c r="AO302" i="18" s="1"/>
  <c r="BH242" i="18"/>
  <c r="BH291" i="18"/>
  <c r="BH295" i="18" s="1"/>
  <c r="BH302" i="18" s="1"/>
  <c r="X242" i="18"/>
  <c r="X291" i="18"/>
  <c r="X295" i="18" s="1"/>
  <c r="X302" i="18" s="1"/>
  <c r="AS242" i="18"/>
  <c r="AS291" i="18"/>
  <c r="AS295" i="18" s="1"/>
  <c r="AS302" i="18" s="1"/>
  <c r="P242" i="18"/>
  <c r="P291" i="18"/>
  <c r="P295" i="18" s="1"/>
  <c r="Z242" i="18"/>
  <c r="Z291" i="18"/>
  <c r="Z295" i="18" s="1"/>
  <c r="Z302" i="18" s="1"/>
  <c r="R242" i="18"/>
  <c r="R291" i="18"/>
  <c r="R295" i="18" s="1"/>
  <c r="AF242" i="18"/>
  <c r="AF291" i="18"/>
  <c r="AF295" i="18" s="1"/>
  <c r="AF302" i="18" s="1"/>
  <c r="BF242" i="18"/>
  <c r="BF291" i="18"/>
  <c r="BF295" i="18" s="1"/>
  <c r="BF302" i="18" s="1"/>
  <c r="BQ242" i="18"/>
  <c r="BQ291" i="18"/>
  <c r="BQ295" i="18" s="1"/>
  <c r="BQ302" i="18" s="1"/>
  <c r="BM242" i="18"/>
  <c r="BM291" i="18"/>
  <c r="BM295" i="18" s="1"/>
  <c r="BM302" i="18" s="1"/>
  <c r="Y242" i="18"/>
  <c r="Y291" i="18"/>
  <c r="Y295" i="18" s="1"/>
  <c r="Y302" i="18" s="1"/>
  <c r="BP242" i="18"/>
  <c r="BP291" i="18"/>
  <c r="BP295" i="18" s="1"/>
  <c r="BP302" i="18" s="1"/>
  <c r="BA242" i="18"/>
  <c r="BA291" i="18"/>
  <c r="BA295" i="18" s="1"/>
  <c r="BA302" i="18" s="1"/>
  <c r="AW242" i="18"/>
  <c r="AW291" i="18"/>
  <c r="AW295" i="18" s="1"/>
  <c r="AW302" i="18" s="1"/>
  <c r="AZ242" i="18"/>
  <c r="AZ291" i="18"/>
  <c r="AZ295" i="18" s="1"/>
  <c r="AZ302" i="18" s="1"/>
  <c r="O242" i="18"/>
  <c r="O291" i="18"/>
  <c r="O295" i="18" s="1"/>
  <c r="M315" i="18"/>
  <c r="N315" i="18"/>
  <c r="O315" i="18"/>
  <c r="P315" i="18"/>
  <c r="Q315" i="18"/>
  <c r="R315" i="18"/>
  <c r="S315" i="18"/>
  <c r="T315" i="18"/>
  <c r="U315" i="18"/>
  <c r="V315" i="18"/>
  <c r="W315" i="18"/>
  <c r="X315" i="18"/>
  <c r="Y315" i="18"/>
  <c r="Z315" i="18"/>
  <c r="AA315" i="18"/>
  <c r="AB315" i="18"/>
  <c r="AC315" i="18"/>
  <c r="AD315" i="18"/>
  <c r="AE315" i="18"/>
  <c r="AF315" i="18"/>
  <c r="AG315" i="18"/>
  <c r="AH315" i="18"/>
  <c r="AI315" i="18"/>
  <c r="AJ315" i="18"/>
  <c r="AK315" i="18"/>
  <c r="AL315" i="18"/>
  <c r="AM315" i="18"/>
  <c r="AN315" i="18"/>
  <c r="AO315" i="18"/>
  <c r="AP315" i="18"/>
  <c r="AQ315" i="18"/>
  <c r="AR315" i="18"/>
  <c r="AS315" i="18"/>
  <c r="AT315" i="18"/>
  <c r="AU315" i="18"/>
  <c r="AV315" i="18"/>
  <c r="AW315" i="18"/>
  <c r="AX315" i="18"/>
  <c r="AY315" i="18"/>
  <c r="AZ315" i="18"/>
  <c r="BA315" i="18"/>
  <c r="BB315" i="18"/>
  <c r="BC315" i="18"/>
  <c r="BD315" i="18"/>
  <c r="BE315" i="18"/>
  <c r="BF315" i="18"/>
  <c r="BG315" i="18"/>
  <c r="BH315" i="18"/>
  <c r="BI315" i="18"/>
  <c r="BJ315" i="18"/>
  <c r="BK315" i="18"/>
  <c r="BL315" i="18"/>
  <c r="BM315" i="18"/>
  <c r="BN315" i="18"/>
  <c r="BO315" i="18"/>
  <c r="BP315" i="18"/>
  <c r="BQ315" i="18"/>
  <c r="BR315" i="18"/>
  <c r="BS315" i="18"/>
  <c r="L315" i="18"/>
  <c r="P124" i="20"/>
  <c r="O125" i="20"/>
  <c r="L280" i="20"/>
  <c r="L177" i="20"/>
  <c r="L213" i="20" a="1"/>
  <c r="L213" i="20" s="1"/>
  <c r="L178" i="20"/>
  <c r="I165" i="20"/>
  <c r="I178" i="20" s="1"/>
  <c r="L231" i="20"/>
  <c r="I231" i="20" s="1"/>
  <c r="M239" i="20"/>
  <c r="Q122" i="20"/>
  <c r="I498" i="20"/>
  <c r="I490" i="20"/>
  <c r="I500" i="20"/>
  <c r="I372" i="20"/>
  <c r="I502" i="20"/>
  <c r="I496" i="20"/>
  <c r="I378" i="20"/>
  <c r="L388" i="20"/>
  <c r="I368" i="20"/>
  <c r="I384" i="20"/>
  <c r="I494" i="20"/>
  <c r="AK186" i="18"/>
  <c r="AK187" i="18"/>
  <c r="AL187" i="18"/>
  <c r="AL186" i="18"/>
  <c r="AH187" i="18"/>
  <c r="AH186" i="18"/>
  <c r="BE186" i="18"/>
  <c r="BE187" i="18"/>
  <c r="AO186" i="18"/>
  <c r="AO187" i="18"/>
  <c r="BJ187" i="18"/>
  <c r="BJ186" i="18"/>
  <c r="AT186" i="18"/>
  <c r="AT187" i="18"/>
  <c r="BQ187" i="18"/>
  <c r="BQ186" i="18"/>
  <c r="BM186" i="18"/>
  <c r="BM187" i="18"/>
  <c r="Y186" i="18"/>
  <c r="Y187" i="18"/>
  <c r="BP186" i="18"/>
  <c r="BP187" i="18"/>
  <c r="BA187" i="18"/>
  <c r="BA186" i="18"/>
  <c r="AW187" i="18"/>
  <c r="AW186" i="18"/>
  <c r="AZ186" i="18"/>
  <c r="AZ187" i="18"/>
  <c r="O186" i="18"/>
  <c r="O187" i="18"/>
  <c r="BN187" i="18"/>
  <c r="BN186" i="18"/>
  <c r="V187" i="18"/>
  <c r="V186" i="18"/>
  <c r="Q187" i="18"/>
  <c r="Q186" i="18"/>
  <c r="S186" i="18"/>
  <c r="S187" i="18"/>
  <c r="N187" i="18"/>
  <c r="N186" i="18"/>
  <c r="AG186" i="18"/>
  <c r="AG187" i="18"/>
  <c r="AY186" i="18"/>
  <c r="AY187" i="18"/>
  <c r="BL186" i="18"/>
  <c r="BL187" i="18"/>
  <c r="BH186" i="18"/>
  <c r="BH187" i="18"/>
  <c r="AP186" i="18"/>
  <c r="AP187" i="18"/>
  <c r="AD187" i="18"/>
  <c r="AD186" i="18"/>
  <c r="AV186" i="18"/>
  <c r="AV187" i="18"/>
  <c r="AR186" i="18"/>
  <c r="AR187" i="18"/>
  <c r="AU186" i="18"/>
  <c r="AU187" i="18"/>
  <c r="X186" i="18"/>
  <c r="X187" i="18"/>
  <c r="T186" i="18"/>
  <c r="T187" i="18"/>
  <c r="U187" i="18"/>
  <c r="U186" i="18"/>
  <c r="BO187" i="18"/>
  <c r="BO186" i="18"/>
  <c r="M186" i="18"/>
  <c r="M187" i="18"/>
  <c r="BD186" i="18"/>
  <c r="BD187" i="18"/>
  <c r="AB186" i="18"/>
  <c r="AB187" i="18"/>
  <c r="AX186" i="18"/>
  <c r="AX187" i="18"/>
  <c r="AQ186" i="18"/>
  <c r="AQ187" i="18"/>
  <c r="AI187" i="18"/>
  <c r="AI186" i="18"/>
  <c r="AN187" i="18"/>
  <c r="AN186" i="18"/>
  <c r="BC186" i="18"/>
  <c r="BC187" i="18"/>
  <c r="BR186" i="18"/>
  <c r="BR187" i="18"/>
  <c r="BB186" i="18"/>
  <c r="BB187" i="18"/>
  <c r="BG187" i="18"/>
  <c r="BG186" i="18"/>
  <c r="AA187" i="18"/>
  <c r="AA186" i="18"/>
  <c r="AS186" i="18"/>
  <c r="AS187" i="18"/>
  <c r="P186" i="18"/>
  <c r="P187" i="18"/>
  <c r="Z186" i="18"/>
  <c r="Z187" i="18"/>
  <c r="R187" i="18"/>
  <c r="R186" i="18"/>
  <c r="AF186" i="18"/>
  <c r="AF187" i="18"/>
  <c r="BF186" i="18"/>
  <c r="BF187" i="18"/>
  <c r="I172" i="18"/>
  <c r="L421" i="18" a="1"/>
  <c r="L421" i="18" s="1"/>
  <c r="L174" i="18"/>
  <c r="BS186" i="18"/>
  <c r="BS187" i="18"/>
  <c r="BK187" i="18"/>
  <c r="BK186" i="18"/>
  <c r="W186" i="18"/>
  <c r="W187" i="18"/>
  <c r="BI187" i="18"/>
  <c r="BI186" i="18"/>
  <c r="AM186" i="18"/>
  <c r="AM187" i="18"/>
  <c r="AE186" i="18"/>
  <c r="AE187" i="18"/>
  <c r="AJ186" i="18"/>
  <c r="AJ187" i="18"/>
  <c r="AC186" i="18"/>
  <c r="AC187" i="18"/>
  <c r="BO112" i="8"/>
  <c r="BN114" i="8"/>
  <c r="N146" i="5"/>
  <c r="I509" i="18"/>
  <c r="I513" i="18"/>
  <c r="I511" i="18"/>
  <c r="I505" i="18"/>
  <c r="BD231" i="8"/>
  <c r="AK231" i="8"/>
  <c r="AI231" i="8"/>
  <c r="BM193" i="8"/>
  <c r="AN231" i="8"/>
  <c r="T231" i="8"/>
  <c r="S231" i="8"/>
  <c r="Q193" i="8"/>
  <c r="AJ231" i="8"/>
  <c r="BS193" i="8"/>
  <c r="AW231" i="8"/>
  <c r="BO231" i="8"/>
  <c r="BN193" i="8"/>
  <c r="AF193" i="8"/>
  <c r="I507" i="18"/>
  <c r="I501" i="18"/>
  <c r="AL231" i="8"/>
  <c r="BH231" i="8"/>
  <c r="X231" i="8"/>
  <c r="AH231" i="8"/>
  <c r="AU231" i="8"/>
  <c r="AQ193" i="8"/>
  <c r="BB231" i="8"/>
  <c r="R231" i="8"/>
  <c r="AE231" i="8"/>
  <c r="AA231" i="8"/>
  <c r="V231" i="8"/>
  <c r="BI231" i="8"/>
  <c r="P231" i="8"/>
  <c r="BR231" i="8"/>
  <c r="BC231" i="8"/>
  <c r="AY193" i="8"/>
  <c r="I389" i="18"/>
  <c r="I395" i="18"/>
  <c r="AX231" i="8"/>
  <c r="BG193" i="8"/>
  <c r="W231" i="8"/>
  <c r="AC193" i="8"/>
  <c r="AT193" i="8"/>
  <c r="Z193" i="8"/>
  <c r="BP193" i="8"/>
  <c r="M193" i="8"/>
  <c r="AD231" i="8"/>
  <c r="BQ231" i="8"/>
  <c r="O231" i="8"/>
  <c r="N193" i="8"/>
  <c r="BL231" i="8"/>
  <c r="AB193" i="8"/>
  <c r="I383" i="18"/>
  <c r="AS231" i="8"/>
  <c r="BJ193" i="8"/>
  <c r="AP193" i="8"/>
  <c r="AG231" i="8"/>
  <c r="AZ193" i="8"/>
  <c r="AO231" i="8"/>
  <c r="U193" i="8"/>
  <c r="L140" i="8" a="1"/>
  <c r="AM231" i="8"/>
  <c r="Y231" i="8"/>
  <c r="AV231" i="8"/>
  <c r="BF231" i="8"/>
  <c r="BA193" i="8"/>
  <c r="AR231" i="8"/>
  <c r="L399" i="18"/>
  <c r="I379" i="18"/>
  <c r="AC247" i="15"/>
  <c r="AA247" i="15"/>
  <c r="AC194" i="15"/>
  <c r="AC193" i="15"/>
  <c r="AQ247" i="15"/>
  <c r="AL247" i="15"/>
  <c r="AZ194" i="15"/>
  <c r="AF193" i="15"/>
  <c r="BD247" i="15"/>
  <c r="P247" i="15"/>
  <c r="AT247" i="15"/>
  <c r="V194" i="15"/>
  <c r="BO247" i="15"/>
  <c r="Q247" i="15"/>
  <c r="BI194" i="15"/>
  <c r="W194" i="15"/>
  <c r="AJ247" i="15"/>
  <c r="AI194" i="15"/>
  <c r="BG193" i="15"/>
  <c r="AO247" i="15"/>
  <c r="AK193" i="15"/>
  <c r="S194" i="15"/>
  <c r="AM247" i="15"/>
  <c r="BF193" i="15"/>
  <c r="BQ194" i="15"/>
  <c r="BC193" i="15"/>
  <c r="N247" i="15"/>
  <c r="X194" i="15"/>
  <c r="AD194" i="15"/>
  <c r="AV247" i="15"/>
  <c r="AX193" i="15"/>
  <c r="BA194" i="15"/>
  <c r="AA193" i="15"/>
  <c r="BH247" i="15"/>
  <c r="BS247" i="15"/>
  <c r="AE247" i="15"/>
  <c r="BK247" i="15"/>
  <c r="AH247" i="15"/>
  <c r="AS247" i="15"/>
  <c r="AN194" i="15"/>
  <c r="T247" i="15"/>
  <c r="M247" i="15"/>
  <c r="R247" i="15"/>
  <c r="Y247" i="15"/>
  <c r="BJ194" i="15"/>
  <c r="AG194" i="15"/>
  <c r="AP194" i="15"/>
  <c r="BB193" i="15"/>
  <c r="BR247" i="15"/>
  <c r="BN194" i="15"/>
  <c r="Z247" i="15"/>
  <c r="AB247" i="15"/>
  <c r="BM247" i="15"/>
  <c r="AY193" i="15"/>
  <c r="AW247" i="15"/>
  <c r="O247" i="15"/>
  <c r="U247" i="15"/>
  <c r="AU193" i="15"/>
  <c r="BL247" i="15"/>
  <c r="BP247" i="15"/>
  <c r="AR194" i="15"/>
  <c r="BE193" i="15"/>
  <c r="AA194" i="15"/>
  <c r="L493" i="15" a="1"/>
  <c r="L493" i="15" s="1"/>
  <c r="AI247" i="15"/>
  <c r="AI193" i="15"/>
  <c r="L435" i="15" a="1"/>
  <c r="L435" i="15" s="1"/>
  <c r="AY247" i="15"/>
  <c r="W247" i="15"/>
  <c r="U193" i="15"/>
  <c r="BM193" i="15"/>
  <c r="AW193" i="15"/>
  <c r="BN193" i="15"/>
  <c r="BE194" i="15"/>
  <c r="O194" i="15"/>
  <c r="BP194" i="15"/>
  <c r="AR247" i="15"/>
  <c r="AU194" i="15"/>
  <c r="BL194" i="15"/>
  <c r="U194" i="15"/>
  <c r="BP193" i="15"/>
  <c r="AW194" i="15"/>
  <c r="BN247" i="15"/>
  <c r="O193" i="15"/>
  <c r="BM194" i="15"/>
  <c r="AU247" i="15"/>
  <c r="BL193" i="15"/>
  <c r="Z194" i="15"/>
  <c r="BR193" i="15"/>
  <c r="AR193" i="15"/>
  <c r="AB194" i="15"/>
  <c r="AY194" i="15"/>
  <c r="BE247" i="15"/>
  <c r="Z193" i="15"/>
  <c r="BR194" i="15"/>
  <c r="AB193" i="15"/>
  <c r="AP193" i="15"/>
  <c r="AP247" i="15"/>
  <c r="BA247" i="15"/>
  <c r="AX194" i="15"/>
  <c r="BA193" i="15"/>
  <c r="BQ193" i="15"/>
  <c r="AX247" i="15"/>
  <c r="AK247" i="15"/>
  <c r="N194" i="15"/>
  <c r="BI247" i="15"/>
  <c r="AJ194" i="15"/>
  <c r="AO194" i="15"/>
  <c r="AV193" i="15"/>
  <c r="W193" i="15"/>
  <c r="AJ193" i="15"/>
  <c r="M193" i="15"/>
  <c r="AG193" i="15"/>
  <c r="AE194" i="15"/>
  <c r="BK193" i="15"/>
  <c r="BJ193" i="15"/>
  <c r="AN247" i="15"/>
  <c r="AG247" i="15"/>
  <c r="BS194" i="15"/>
  <c r="AN193" i="15"/>
  <c r="BJ247" i="15"/>
  <c r="R193" i="15"/>
  <c r="BS193" i="15"/>
  <c r="AE193" i="15"/>
  <c r="Y194" i="15"/>
  <c r="BH193" i="15"/>
  <c r="T193" i="15"/>
  <c r="M194" i="15"/>
  <c r="R194" i="15"/>
  <c r="Y193" i="15"/>
  <c r="BH194" i="15"/>
  <c r="T194" i="15"/>
  <c r="AH194" i="15"/>
  <c r="AS193" i="15"/>
  <c r="BK194" i="15"/>
  <c r="AH193" i="15"/>
  <c r="AS194" i="15"/>
  <c r="AK194" i="15"/>
  <c r="AV194" i="15"/>
  <c r="AM194" i="15"/>
  <c r="BQ247" i="15"/>
  <c r="X247" i="15"/>
  <c r="X193" i="15"/>
  <c r="BG194" i="15"/>
  <c r="AM193" i="15"/>
  <c r="AD193" i="15"/>
  <c r="S193" i="15"/>
  <c r="BC194" i="15"/>
  <c r="BC247" i="15"/>
  <c r="AD247" i="15"/>
  <c r="S247" i="15"/>
  <c r="V193" i="15"/>
  <c r="BI193" i="15"/>
  <c r="BO194" i="15"/>
  <c r="BG247" i="15"/>
  <c r="AZ247" i="15"/>
  <c r="AF247" i="15"/>
  <c r="Q193" i="15"/>
  <c r="L180" i="15"/>
  <c r="V247" i="15"/>
  <c r="Q194" i="15"/>
  <c r="AO193" i="15"/>
  <c r="AF194" i="15"/>
  <c r="N193" i="15"/>
  <c r="I178" i="15"/>
  <c r="BF194" i="15"/>
  <c r="BF247" i="15"/>
  <c r="L255" i="15" a="1"/>
  <c r="AZ193" i="15"/>
  <c r="BO193" i="15"/>
  <c r="AL193" i="15"/>
  <c r="AL194" i="15"/>
  <c r="BD194" i="15"/>
  <c r="P194" i="15"/>
  <c r="AT194" i="15"/>
  <c r="BD193" i="15"/>
  <c r="P193" i="15"/>
  <c r="AT193" i="15"/>
  <c r="AQ193" i="15"/>
  <c r="AQ194" i="15"/>
  <c r="BB194" i="15"/>
  <c r="BB247" i="15"/>
  <c r="AW244" i="10"/>
  <c r="BQ244" i="10"/>
  <c r="BN244" i="10"/>
  <c r="AN244" i="10"/>
  <c r="W244" i="10"/>
  <c r="AI244" i="10"/>
  <c r="S244" i="10"/>
  <c r="BJ244" i="10"/>
  <c r="AP244" i="10"/>
  <c r="BH244" i="10"/>
  <c r="AX244" i="10"/>
  <c r="U244" i="10"/>
  <c r="AY244" i="10"/>
  <c r="AJ244" i="10"/>
  <c r="P244" i="10"/>
  <c r="AQ244" i="10"/>
  <c r="BS244" i="10"/>
  <c r="BK244" i="10"/>
  <c r="M244" i="10"/>
  <c r="BL244" i="10"/>
  <c r="O244" i="10"/>
  <c r="AU244" i="10"/>
  <c r="BG244" i="10"/>
  <c r="BC244" i="10"/>
  <c r="AT244" i="10"/>
  <c r="AD244" i="10"/>
  <c r="AE244" i="10"/>
  <c r="AK244" i="10"/>
  <c r="Z244" i="10"/>
  <c r="BB244" i="10"/>
  <c r="BA244" i="10"/>
  <c r="X244" i="10"/>
  <c r="AC244" i="10"/>
  <c r="BF244" i="10"/>
  <c r="AR244" i="10"/>
  <c r="AG244" i="10"/>
  <c r="V244" i="10"/>
  <c r="BD244" i="10"/>
  <c r="R244" i="10"/>
  <c r="AZ244" i="10"/>
  <c r="BP244" i="10"/>
  <c r="BI244" i="10"/>
  <c r="AV244" i="10"/>
  <c r="Q244" i="10"/>
  <c r="L242" i="10" a="1"/>
  <c r="L242" i="10" s="1"/>
  <c r="AS244" i="10"/>
  <c r="AL244" i="10"/>
  <c r="AM244" i="10"/>
  <c r="T244" i="10"/>
  <c r="BR244" i="10"/>
  <c r="BO244" i="10"/>
  <c r="AF244" i="10"/>
  <c r="AA244" i="10"/>
  <c r="AB244" i="10"/>
  <c r="AO244" i="10"/>
  <c r="BM244" i="10"/>
  <c r="Y244" i="10"/>
  <c r="BE244" i="10"/>
  <c r="N244" i="10"/>
  <c r="AH244" i="10"/>
  <c r="I381" i="11"/>
  <c r="I523" i="15"/>
  <c r="I525" i="15"/>
  <c r="I519" i="15"/>
  <c r="I387" i="11"/>
  <c r="I527" i="15"/>
  <c r="I397" i="15"/>
  <c r="I515" i="15"/>
  <c r="I393" i="15"/>
  <c r="I166" i="11"/>
  <c r="I436" i="15"/>
  <c r="I413" i="15"/>
  <c r="I521" i="15"/>
  <c r="L214" i="11" a="1"/>
  <c r="M233" i="15" s="1"/>
  <c r="L414" i="11" a="1"/>
  <c r="L414" i="11" s="1"/>
  <c r="I414" i="11" s="1"/>
  <c r="L173" i="11" a="1"/>
  <c r="L413" i="11" a="1"/>
  <c r="L413" i="11" s="1"/>
  <c r="L213" i="11" a="1"/>
  <c r="M232" i="15" s="1"/>
  <c r="L167" i="11"/>
  <c r="I165" i="11"/>
  <c r="BJ231" i="8"/>
  <c r="BP231" i="8"/>
  <c r="AX177" i="11"/>
  <c r="AX176" i="11"/>
  <c r="AT177" i="11"/>
  <c r="AT176" i="11"/>
  <c r="BM177" i="11"/>
  <c r="BM176" i="11"/>
  <c r="BA177" i="11"/>
  <c r="BA176" i="11"/>
  <c r="M177" i="11"/>
  <c r="M176" i="11"/>
  <c r="BH177" i="11"/>
  <c r="BH176" i="11"/>
  <c r="AF177" i="11"/>
  <c r="AF176" i="11"/>
  <c r="BO177" i="11"/>
  <c r="BO176" i="11"/>
  <c r="BK177" i="11"/>
  <c r="BK176" i="11"/>
  <c r="AM177" i="11"/>
  <c r="AM176" i="11"/>
  <c r="AN177" i="11"/>
  <c r="AN176" i="11"/>
  <c r="AI177" i="11"/>
  <c r="AI176" i="11"/>
  <c r="AD177" i="11"/>
  <c r="AD176" i="11"/>
  <c r="Y177" i="11"/>
  <c r="Y176" i="11"/>
  <c r="AS177" i="11"/>
  <c r="AS176" i="11"/>
  <c r="AO177" i="11"/>
  <c r="AO176" i="11"/>
  <c r="BL177" i="11"/>
  <c r="BL176" i="11"/>
  <c r="X177" i="11"/>
  <c r="X176" i="11"/>
  <c r="T177" i="11"/>
  <c r="T176" i="11"/>
  <c r="BC177" i="11"/>
  <c r="BC176" i="11"/>
  <c r="AA177" i="11"/>
  <c r="AA176" i="11"/>
  <c r="BN177" i="11"/>
  <c r="BN176" i="11"/>
  <c r="BJ177" i="11"/>
  <c r="BJ176" i="11"/>
  <c r="AL177" i="11"/>
  <c r="AL176" i="11"/>
  <c r="AJ177" i="11"/>
  <c r="AJ176" i="11"/>
  <c r="AE177" i="11"/>
  <c r="AE176" i="11"/>
  <c r="AW177" i="11"/>
  <c r="AW176" i="11"/>
  <c r="AV177" i="11"/>
  <c r="AV176" i="11"/>
  <c r="BD177" i="11"/>
  <c r="BD176" i="11"/>
  <c r="AZ177" i="11"/>
  <c r="AZ176" i="11"/>
  <c r="AB177" i="11"/>
  <c r="AB176" i="11"/>
  <c r="BG177" i="11"/>
  <c r="BG176" i="11"/>
  <c r="S177" i="11"/>
  <c r="S176" i="11"/>
  <c r="O177" i="11"/>
  <c r="O176" i="11"/>
  <c r="BB177" i="11"/>
  <c r="BB176" i="11"/>
  <c r="Z177" i="11"/>
  <c r="Z176" i="11"/>
  <c r="BI177" i="11"/>
  <c r="BI176" i="11"/>
  <c r="BE177" i="11"/>
  <c r="BE176" i="11"/>
  <c r="Q177" i="11"/>
  <c r="Q176" i="11"/>
  <c r="BQ177" i="11"/>
  <c r="BQ176" i="11"/>
  <c r="BS177" i="11"/>
  <c r="BS176" i="11"/>
  <c r="BR177" i="11"/>
  <c r="BR176" i="11"/>
  <c r="AP177" i="11"/>
  <c r="AP176" i="11"/>
  <c r="AK177" i="11"/>
  <c r="AK176" i="11"/>
  <c r="AY177" i="11"/>
  <c r="AY176" i="11"/>
  <c r="AU177" i="11"/>
  <c r="AU176" i="11"/>
  <c r="W177" i="11"/>
  <c r="W176" i="11"/>
  <c r="BF177" i="11"/>
  <c r="BF176" i="11"/>
  <c r="R177" i="11"/>
  <c r="R176" i="11"/>
  <c r="N177" i="11"/>
  <c r="N176" i="11"/>
  <c r="AG177" i="11"/>
  <c r="AG176" i="11"/>
  <c r="U177" i="11"/>
  <c r="U176" i="11"/>
  <c r="BP177" i="11"/>
  <c r="BP176" i="11"/>
  <c r="AR177" i="11"/>
  <c r="AR176" i="11"/>
  <c r="P177" i="11"/>
  <c r="P176" i="11"/>
  <c r="V177" i="11"/>
  <c r="V176" i="11"/>
  <c r="AQ177" i="11"/>
  <c r="AQ176" i="11"/>
  <c r="AH177" i="11"/>
  <c r="AH176" i="11"/>
  <c r="AC177" i="11"/>
  <c r="AC176" i="11"/>
  <c r="I497" i="11"/>
  <c r="I493" i="11"/>
  <c r="I440" i="11"/>
  <c r="I136" i="5"/>
  <c r="I375" i="11"/>
  <c r="I503" i="11"/>
  <c r="I501" i="11"/>
  <c r="N391" i="11"/>
  <c r="I371" i="11"/>
  <c r="I505" i="11"/>
  <c r="I499" i="11"/>
  <c r="N202" i="10"/>
  <c r="M202" i="10"/>
  <c r="M206" i="10" s="1"/>
  <c r="L184" i="5" a="1"/>
  <c r="O202" i="10"/>
  <c r="Z196" i="10"/>
  <c r="Z200" i="10"/>
  <c r="Z202" i="10" s="1"/>
  <c r="W196" i="10"/>
  <c r="W200" i="10"/>
  <c r="W202" i="10" s="1"/>
  <c r="AB196" i="10"/>
  <c r="AB200" i="10"/>
  <c r="AB202" i="10" s="1"/>
  <c r="AG196" i="10"/>
  <c r="AG200" i="10"/>
  <c r="AG202" i="10" s="1"/>
  <c r="AD196" i="10"/>
  <c r="AD200" i="10"/>
  <c r="AD202" i="10" s="1"/>
  <c r="BG196" i="10"/>
  <c r="BG200" i="10"/>
  <c r="BG202" i="10" s="1"/>
  <c r="BL196" i="10"/>
  <c r="BL200" i="10"/>
  <c r="BL202" i="10" s="1"/>
  <c r="BQ196" i="10"/>
  <c r="BQ200" i="10"/>
  <c r="BQ202" i="10" s="1"/>
  <c r="AH196" i="10"/>
  <c r="AH200" i="10"/>
  <c r="AH202" i="10" s="1"/>
  <c r="BK196" i="10"/>
  <c r="BK200" i="10"/>
  <c r="BK202" i="10" s="1"/>
  <c r="BP196" i="10"/>
  <c r="BP200" i="10"/>
  <c r="BP202" i="10" s="1"/>
  <c r="BR196" i="10"/>
  <c r="BR200" i="10"/>
  <c r="BR202" i="10" s="1"/>
  <c r="S196" i="10"/>
  <c r="S200" i="10"/>
  <c r="S202" i="10" s="1"/>
  <c r="X196" i="10"/>
  <c r="X200" i="10"/>
  <c r="X202" i="10" s="1"/>
  <c r="AC196" i="10"/>
  <c r="AC200" i="10"/>
  <c r="AC202" i="10" s="1"/>
  <c r="AM196" i="10"/>
  <c r="AM200" i="10"/>
  <c r="AM202" i="10" s="1"/>
  <c r="AR196" i="10"/>
  <c r="AR200" i="10"/>
  <c r="AR202" i="10" s="1"/>
  <c r="AW196" i="10"/>
  <c r="AW200" i="10"/>
  <c r="AW202" i="10" s="1"/>
  <c r="R196" i="10"/>
  <c r="R200" i="10"/>
  <c r="R202" i="10" s="1"/>
  <c r="U196" i="10"/>
  <c r="U200" i="10"/>
  <c r="U202" i="10" s="1"/>
  <c r="AL196" i="10"/>
  <c r="AL200" i="10"/>
  <c r="AL202" i="10" s="1"/>
  <c r="T196" i="10"/>
  <c r="T200" i="10"/>
  <c r="T202" i="10" s="1"/>
  <c r="Y196" i="10"/>
  <c r="Y200" i="10"/>
  <c r="Y202" i="10" s="1"/>
  <c r="BB196" i="10"/>
  <c r="BB200" i="10"/>
  <c r="BB202" i="10" s="1"/>
  <c r="AI196" i="10"/>
  <c r="AI200" i="10"/>
  <c r="AI202" i="10" s="1"/>
  <c r="AN196" i="10"/>
  <c r="AN200" i="10"/>
  <c r="AN202" i="10" s="1"/>
  <c r="AS196" i="10"/>
  <c r="AS200" i="10"/>
  <c r="AS202" i="10" s="1"/>
  <c r="V196" i="10"/>
  <c r="V200" i="10"/>
  <c r="V202" i="10" s="1"/>
  <c r="BC196" i="10"/>
  <c r="BC200" i="10"/>
  <c r="BC202" i="10" s="1"/>
  <c r="BH196" i="10"/>
  <c r="BH200" i="10"/>
  <c r="BH202" i="10" s="1"/>
  <c r="BM196" i="10"/>
  <c r="BM200" i="10"/>
  <c r="BM202" i="10" s="1"/>
  <c r="AA196" i="10"/>
  <c r="AA200" i="10"/>
  <c r="AA202" i="10" s="1"/>
  <c r="AF196" i="10"/>
  <c r="AF200" i="10"/>
  <c r="AF202" i="10" s="1"/>
  <c r="AK196" i="10"/>
  <c r="AK200" i="10"/>
  <c r="AK202" i="10" s="1"/>
  <c r="BF196" i="10"/>
  <c r="BF200" i="10"/>
  <c r="BF202" i="10" s="1"/>
  <c r="AE196" i="10"/>
  <c r="AE200" i="10"/>
  <c r="AE202" i="10" s="1"/>
  <c r="AJ196" i="10"/>
  <c r="AJ200" i="10"/>
  <c r="AJ202" i="10" s="1"/>
  <c r="AO196" i="10"/>
  <c r="AO200" i="10"/>
  <c r="AO202" i="10" s="1"/>
  <c r="BJ196" i="10"/>
  <c r="BJ200" i="10"/>
  <c r="BJ202" i="10" s="1"/>
  <c r="AY196" i="10"/>
  <c r="AY200" i="10"/>
  <c r="AY202" i="10" s="1"/>
  <c r="BD196" i="10"/>
  <c r="BD200" i="10"/>
  <c r="BD202" i="10" s="1"/>
  <c r="BI196" i="10"/>
  <c r="BI200" i="10"/>
  <c r="BI202" i="10" s="1"/>
  <c r="BN196" i="10"/>
  <c r="BN200" i="10"/>
  <c r="BN202" i="10" s="1"/>
  <c r="BS196" i="10"/>
  <c r="BS200" i="10"/>
  <c r="BS202" i="10" s="1"/>
  <c r="AP196" i="10"/>
  <c r="AP200" i="10"/>
  <c r="AP202" i="10" s="1"/>
  <c r="AQ196" i="10"/>
  <c r="AQ200" i="10"/>
  <c r="AQ202" i="10" s="1"/>
  <c r="AV196" i="10"/>
  <c r="AV200" i="10"/>
  <c r="AV202" i="10" s="1"/>
  <c r="BA196" i="10"/>
  <c r="BA200" i="10"/>
  <c r="BA202" i="10" s="1"/>
  <c r="AT196" i="10"/>
  <c r="AT200" i="10"/>
  <c r="AT202" i="10" s="1"/>
  <c r="AU196" i="10"/>
  <c r="AU200" i="10"/>
  <c r="AU202" i="10" s="1"/>
  <c r="AZ196" i="10"/>
  <c r="AZ200" i="10"/>
  <c r="AZ202" i="10" s="1"/>
  <c r="BE196" i="10"/>
  <c r="BE200" i="10"/>
  <c r="BE202" i="10" s="1"/>
  <c r="AX196" i="10"/>
  <c r="AX200" i="10"/>
  <c r="AX202" i="10" s="1"/>
  <c r="BO196" i="10"/>
  <c r="BO200" i="10"/>
  <c r="BO202" i="10" s="1"/>
  <c r="BN147" i="10"/>
  <c r="BN146" i="10"/>
  <c r="BS147" i="10"/>
  <c r="BS146" i="10"/>
  <c r="Q147" i="10"/>
  <c r="Q146" i="10"/>
  <c r="AP147" i="10"/>
  <c r="AP146" i="10"/>
  <c r="AQ147" i="10"/>
  <c r="AQ146" i="10"/>
  <c r="AV147" i="10"/>
  <c r="AV146" i="10"/>
  <c r="BA147" i="10"/>
  <c r="BA146" i="10"/>
  <c r="AT147" i="10"/>
  <c r="AT146" i="10"/>
  <c r="AU147" i="10"/>
  <c r="AU146" i="10"/>
  <c r="AZ147" i="10"/>
  <c r="AZ146" i="10"/>
  <c r="BE147" i="10"/>
  <c r="BE146" i="10"/>
  <c r="AX147" i="10"/>
  <c r="AX146" i="10"/>
  <c r="BO147" i="10"/>
  <c r="BO146" i="10"/>
  <c r="M147" i="10"/>
  <c r="M146" i="10"/>
  <c r="Z147" i="10"/>
  <c r="Z146" i="10"/>
  <c r="W147" i="10"/>
  <c r="W146" i="10"/>
  <c r="AB147" i="10"/>
  <c r="AB146" i="10"/>
  <c r="AG147" i="10"/>
  <c r="AG146" i="10"/>
  <c r="AD147" i="10"/>
  <c r="AD146" i="10"/>
  <c r="BG147" i="10"/>
  <c r="BG146" i="10"/>
  <c r="BL147" i="10"/>
  <c r="BL146" i="10"/>
  <c r="BQ147" i="10"/>
  <c r="BQ146" i="10"/>
  <c r="AH147" i="10"/>
  <c r="AH146" i="10"/>
  <c r="BK147" i="10"/>
  <c r="BK146" i="10"/>
  <c r="BP147" i="10"/>
  <c r="BP146" i="10"/>
  <c r="BR147" i="10"/>
  <c r="BR146" i="10"/>
  <c r="S147" i="10"/>
  <c r="S146" i="10"/>
  <c r="X147" i="10"/>
  <c r="X146" i="10"/>
  <c r="AC147" i="10"/>
  <c r="AC146" i="10"/>
  <c r="N147" i="10"/>
  <c r="N146" i="10"/>
  <c r="AM147" i="10"/>
  <c r="AM146" i="10"/>
  <c r="AR147" i="10"/>
  <c r="AR146" i="10"/>
  <c r="AW147" i="10"/>
  <c r="AW146" i="10"/>
  <c r="R147" i="10"/>
  <c r="R146" i="10"/>
  <c r="P147" i="10"/>
  <c r="P146" i="10"/>
  <c r="U147" i="10"/>
  <c r="U146" i="10"/>
  <c r="AL147" i="10"/>
  <c r="AL146" i="10"/>
  <c r="O147" i="10"/>
  <c r="O146" i="10"/>
  <c r="T147" i="10"/>
  <c r="T146" i="10"/>
  <c r="Y147" i="10"/>
  <c r="Y146" i="10"/>
  <c r="BB147" i="10"/>
  <c r="BB146" i="10"/>
  <c r="AI147" i="10"/>
  <c r="AI146" i="10"/>
  <c r="AN147" i="10"/>
  <c r="AN146" i="10"/>
  <c r="AS147" i="10"/>
  <c r="AS146" i="10"/>
  <c r="V147" i="10"/>
  <c r="V146" i="10"/>
  <c r="BC147" i="10"/>
  <c r="BC146" i="10"/>
  <c r="BH147" i="10"/>
  <c r="BH146" i="10"/>
  <c r="BM147" i="10"/>
  <c r="BM146" i="10"/>
  <c r="AA147" i="10"/>
  <c r="AA146" i="10"/>
  <c r="AF147" i="10"/>
  <c r="AF146" i="10"/>
  <c r="AK147" i="10"/>
  <c r="AK146" i="10"/>
  <c r="BF147" i="10"/>
  <c r="BF146" i="10"/>
  <c r="AE147" i="10"/>
  <c r="AE146" i="10"/>
  <c r="AJ147" i="10"/>
  <c r="AJ146" i="10"/>
  <c r="AO147" i="10"/>
  <c r="AO146" i="10"/>
  <c r="BJ147" i="10"/>
  <c r="BJ146" i="10"/>
  <c r="AY147" i="10"/>
  <c r="AY146" i="10"/>
  <c r="BD147" i="10"/>
  <c r="BD146" i="10"/>
  <c r="BI147" i="10"/>
  <c r="BI146" i="10"/>
  <c r="N147" i="5"/>
  <c r="L371" i="5" a="1"/>
  <c r="L371" i="5" s="1"/>
  <c r="I135" i="10"/>
  <c r="L137" i="10"/>
  <c r="L200" i="10" s="1"/>
  <c r="U231" i="8"/>
  <c r="N143" i="8"/>
  <c r="AC231" i="8"/>
  <c r="AO193" i="8"/>
  <c r="BN231" i="8"/>
  <c r="Q231" i="8"/>
  <c r="AW193" i="8"/>
  <c r="AN143" i="8"/>
  <c r="AY231" i="8"/>
  <c r="BS231" i="8"/>
  <c r="BD193" i="8"/>
  <c r="AZ231" i="8"/>
  <c r="T193" i="8"/>
  <c r="L134" i="8"/>
  <c r="Y193" i="8"/>
  <c r="BA231" i="8"/>
  <c r="BM231" i="8"/>
  <c r="BC193" i="8"/>
  <c r="P193" i="8"/>
  <c r="N144" i="8"/>
  <c r="M231" i="8"/>
  <c r="O193" i="8"/>
  <c r="BL193" i="8"/>
  <c r="AT231" i="8"/>
  <c r="AA193" i="8"/>
  <c r="AS193" i="8"/>
  <c r="AP231" i="8"/>
  <c r="BI193" i="8"/>
  <c r="BR193" i="8"/>
  <c r="AU193" i="8"/>
  <c r="V193" i="8"/>
  <c r="BB193" i="8"/>
  <c r="AB231" i="8"/>
  <c r="N231" i="8"/>
  <c r="AF231" i="8"/>
  <c r="BG231" i="8"/>
  <c r="I462" i="10"/>
  <c r="I456" i="10"/>
  <c r="I332" i="10"/>
  <c r="I450" i="10"/>
  <c r="I397" i="10"/>
  <c r="P202" i="10"/>
  <c r="I143" i="10"/>
  <c r="I454" i="10"/>
  <c r="I458" i="10"/>
  <c r="I371" i="10"/>
  <c r="I184" i="10"/>
  <c r="Q202" i="10"/>
  <c r="AL193" i="8"/>
  <c r="AQ231" i="8"/>
  <c r="Z231" i="8"/>
  <c r="I460" i="10"/>
  <c r="N348" i="10"/>
  <c r="I348" i="10" s="1"/>
  <c r="I328" i="10"/>
  <c r="L180" i="8" a="1"/>
  <c r="BF193" i="8"/>
  <c r="AR193" i="8"/>
  <c r="AG193" i="8"/>
  <c r="I132" i="8"/>
  <c r="AV193" i="8"/>
  <c r="AM193" i="8"/>
  <c r="L361" i="8" a="1"/>
  <c r="L361" i="8" s="1"/>
  <c r="BO193" i="8"/>
  <c r="AN193" i="8"/>
  <c r="AJ193" i="8"/>
  <c r="S193" i="8"/>
  <c r="AI193" i="8"/>
  <c r="AK193" i="8"/>
  <c r="AH193" i="8"/>
  <c r="X193" i="8"/>
  <c r="R193" i="8"/>
  <c r="BH193" i="8"/>
  <c r="AE193" i="8"/>
  <c r="BQ193" i="8"/>
  <c r="AD193" i="8"/>
  <c r="AX193" i="8"/>
  <c r="W193" i="8"/>
  <c r="BK193" i="8"/>
  <c r="BK231" i="8"/>
  <c r="BE193" i="8"/>
  <c r="BE231" i="8"/>
  <c r="AZ173" i="9"/>
  <c r="AZ174" i="9"/>
  <c r="Y173" i="9"/>
  <c r="Y174" i="9"/>
  <c r="N173" i="9"/>
  <c r="N174" i="9"/>
  <c r="X173" i="9"/>
  <c r="X174" i="9"/>
  <c r="AY173" i="9"/>
  <c r="AY174" i="9"/>
  <c r="BI173" i="9"/>
  <c r="BI174" i="9"/>
  <c r="AH173" i="9"/>
  <c r="AH174" i="9"/>
  <c r="AR173" i="9"/>
  <c r="AR174" i="9"/>
  <c r="Q173" i="9"/>
  <c r="Q174" i="9"/>
  <c r="W173" i="9"/>
  <c r="W174" i="9"/>
  <c r="BB173" i="9"/>
  <c r="BB174" i="9"/>
  <c r="AV173" i="9"/>
  <c r="AV174" i="9"/>
  <c r="U173" i="9"/>
  <c r="U174" i="9"/>
  <c r="AE173" i="9"/>
  <c r="AE174" i="9"/>
  <c r="BP173" i="9"/>
  <c r="BP174" i="9"/>
  <c r="AO173" i="9"/>
  <c r="AO174" i="9"/>
  <c r="AD173" i="9"/>
  <c r="AD174" i="9"/>
  <c r="AN173" i="9"/>
  <c r="AN174" i="9"/>
  <c r="M173" i="9"/>
  <c r="M174" i="9"/>
  <c r="O173" i="9"/>
  <c r="O174" i="9"/>
  <c r="AX173" i="9"/>
  <c r="AX174" i="9"/>
  <c r="BH173" i="9"/>
  <c r="BH174" i="9"/>
  <c r="AG173" i="9"/>
  <c r="AG174" i="9"/>
  <c r="BC173" i="9"/>
  <c r="BC174" i="9"/>
  <c r="BR173" i="9"/>
  <c r="BR174" i="9"/>
  <c r="BL173" i="9"/>
  <c r="BL174" i="9"/>
  <c r="AK173" i="9"/>
  <c r="AK174" i="9"/>
  <c r="BK173" i="9"/>
  <c r="BK174" i="9"/>
  <c r="BF173" i="9"/>
  <c r="BF174" i="9"/>
  <c r="T173" i="9"/>
  <c r="T174" i="9"/>
  <c r="AQ173" i="9"/>
  <c r="AQ174" i="9"/>
  <c r="BE173" i="9"/>
  <c r="BE174" i="9"/>
  <c r="AT173" i="9"/>
  <c r="AT174" i="9"/>
  <c r="BD173" i="9"/>
  <c r="BD174" i="9"/>
  <c r="AC173" i="9"/>
  <c r="AC174" i="9"/>
  <c r="AU173" i="9"/>
  <c r="AU174" i="9"/>
  <c r="BN173" i="9"/>
  <c r="BN174" i="9"/>
  <c r="AA173" i="9"/>
  <c r="AA174" i="9"/>
  <c r="AW173" i="9"/>
  <c r="AW174" i="9"/>
  <c r="V173" i="9"/>
  <c r="V174" i="9"/>
  <c r="P173" i="9"/>
  <c r="P174" i="9"/>
  <c r="AI173" i="9"/>
  <c r="AI174" i="9"/>
  <c r="BA173" i="9"/>
  <c r="BA174" i="9"/>
  <c r="Z173" i="9"/>
  <c r="Z174" i="9"/>
  <c r="AJ173" i="9"/>
  <c r="AJ174" i="9"/>
  <c r="BS173" i="9"/>
  <c r="BS174" i="9"/>
  <c r="AM173" i="9"/>
  <c r="AM174" i="9"/>
  <c r="BJ173" i="9"/>
  <c r="BJ174" i="9"/>
  <c r="S173" i="9"/>
  <c r="S174" i="9"/>
  <c r="AS173" i="9"/>
  <c r="AS174" i="9"/>
  <c r="R173" i="9"/>
  <c r="R174" i="9"/>
  <c r="AB173" i="9"/>
  <c r="AB174" i="9"/>
  <c r="BG173" i="9"/>
  <c r="BG174" i="9"/>
  <c r="BM173" i="9"/>
  <c r="BM174" i="9"/>
  <c r="AL173" i="9"/>
  <c r="AL174" i="9"/>
  <c r="AF173" i="9"/>
  <c r="AF174" i="9"/>
  <c r="BO173" i="9"/>
  <c r="BO174" i="9"/>
  <c r="BQ173" i="9"/>
  <c r="BQ174" i="9"/>
  <c r="AP173" i="9"/>
  <c r="AP174" i="9"/>
  <c r="I159" i="9"/>
  <c r="L161" i="9"/>
  <c r="S146" i="5"/>
  <c r="AX146" i="5"/>
  <c r="BF146" i="5"/>
  <c r="BS147" i="5"/>
  <c r="W147" i="5"/>
  <c r="BP146" i="5"/>
  <c r="BR143" i="8"/>
  <c r="BC200" i="5"/>
  <c r="BC202" i="5" s="1"/>
  <c r="R144" i="8"/>
  <c r="O144" i="8"/>
  <c r="AU146" i="5"/>
  <c r="BO146" i="5"/>
  <c r="AH144" i="8"/>
  <c r="BG146" i="5"/>
  <c r="AA144" i="8"/>
  <c r="N200" i="5"/>
  <c r="N202" i="5" s="1"/>
  <c r="I370" i="9"/>
  <c r="I500" i="9"/>
  <c r="I435" i="9"/>
  <c r="AY200" i="5"/>
  <c r="AY202" i="5" s="1"/>
  <c r="Z143" i="8"/>
  <c r="BE144" i="8"/>
  <c r="AJ146" i="5"/>
  <c r="I496" i="9"/>
  <c r="T144" i="8"/>
  <c r="AZ144" i="8"/>
  <c r="AM146" i="5"/>
  <c r="P144" i="8"/>
  <c r="I168" i="9"/>
  <c r="AF146" i="5"/>
  <c r="AS146" i="5"/>
  <c r="AO146" i="5"/>
  <c r="AE144" i="8"/>
  <c r="U146" i="5"/>
  <c r="AK146" i="5"/>
  <c r="BB146" i="5"/>
  <c r="BQ143" i="8"/>
  <c r="AB146" i="5"/>
  <c r="BD146" i="5"/>
  <c r="BJ144" i="8"/>
  <c r="I494" i="9"/>
  <c r="I492" i="9"/>
  <c r="AI144" i="8"/>
  <c r="M144" i="8"/>
  <c r="AP144" i="8"/>
  <c r="V146" i="5"/>
  <c r="AT144" i="8"/>
  <c r="X146" i="5"/>
  <c r="N386" i="9"/>
  <c r="I366" i="9"/>
  <c r="I498" i="9"/>
  <c r="BJ200" i="5"/>
  <c r="BJ202" i="5" s="1"/>
  <c r="W144" i="8"/>
  <c r="AQ200" i="5"/>
  <c r="AQ202" i="5" s="1"/>
  <c r="Q146" i="5"/>
  <c r="AY147" i="5"/>
  <c r="T200" i="5"/>
  <c r="T202" i="5" s="1"/>
  <c r="AI147" i="5"/>
  <c r="BP143" i="8"/>
  <c r="AT146" i="5"/>
  <c r="Z144" i="8"/>
  <c r="AT143" i="8"/>
  <c r="BM200" i="5"/>
  <c r="BM202" i="5" s="1"/>
  <c r="AA146" i="5"/>
  <c r="AY143" i="8"/>
  <c r="BM146" i="5"/>
  <c r="AI146" i="5"/>
  <c r="M143" i="8"/>
  <c r="AD146" i="5"/>
  <c r="BH147" i="5"/>
  <c r="L183" i="5" a="1"/>
  <c r="AF144" i="8"/>
  <c r="Y144" i="8"/>
  <c r="Y146" i="5"/>
  <c r="AQ147" i="5"/>
  <c r="BJ143" i="8"/>
  <c r="P200" i="5"/>
  <c r="P202" i="5" s="1"/>
  <c r="AS147" i="5"/>
  <c r="Q147" i="5"/>
  <c r="U147" i="5"/>
  <c r="I135" i="5"/>
  <c r="BQ144" i="8"/>
  <c r="Q144" i="8"/>
  <c r="Q143" i="8"/>
  <c r="BI143" i="8"/>
  <c r="AK200" i="5"/>
  <c r="AK202" i="5" s="1"/>
  <c r="AF200" i="5"/>
  <c r="AF202" i="5" s="1"/>
  <c r="AO200" i="5"/>
  <c r="AO202" i="5" s="1"/>
  <c r="P147" i="5"/>
  <c r="L137" i="5"/>
  <c r="L370" i="5" a="1"/>
  <c r="L370" i="5" s="1"/>
  <c r="AO144" i="8"/>
  <c r="U143" i="8"/>
  <c r="P143" i="8"/>
  <c r="BQ200" i="5"/>
  <c r="BQ202" i="5" s="1"/>
  <c r="Q200" i="5"/>
  <c r="Q202" i="5" s="1"/>
  <c r="AO147" i="5"/>
  <c r="AL147" i="5"/>
  <c r="AF147" i="5"/>
  <c r="AK147" i="5"/>
  <c r="L143" i="5" a="1"/>
  <c r="P146" i="5"/>
  <c r="AO143" i="8"/>
  <c r="AF143" i="8"/>
  <c r="BK146" i="5"/>
  <c r="AW143" i="8"/>
  <c r="AW200" i="5"/>
  <c r="AW202" i="5" s="1"/>
  <c r="AW144" i="8"/>
  <c r="BR144" i="8"/>
  <c r="AW146" i="5"/>
  <c r="AU200" i="5"/>
  <c r="AU202" i="5" s="1"/>
  <c r="AX147" i="5"/>
  <c r="BN147" i="5"/>
  <c r="AX200" i="5"/>
  <c r="AX202" i="5" s="1"/>
  <c r="AW147" i="5"/>
  <c r="AJ144" i="8"/>
  <c r="AG146" i="5"/>
  <c r="I453" i="8"/>
  <c r="AZ200" i="5"/>
  <c r="AZ202" i="5" s="1"/>
  <c r="BE200" i="5"/>
  <c r="BE202" i="5" s="1"/>
  <c r="BA200" i="5"/>
  <c r="BA202" i="5" s="1"/>
  <c r="AT200" i="5"/>
  <c r="AT202" i="5" s="1"/>
  <c r="BP200" i="5"/>
  <c r="BP202" i="5" s="1"/>
  <c r="BD200" i="5"/>
  <c r="BD202" i="5" s="1"/>
  <c r="BE147" i="5"/>
  <c r="AZ147" i="5"/>
  <c r="BM147" i="5"/>
  <c r="BA146" i="5"/>
  <c r="AB144" i="8"/>
  <c r="BA143" i="8"/>
  <c r="M146" i="5"/>
  <c r="Z200" i="5"/>
  <c r="Z202" i="5" s="1"/>
  <c r="M200" i="5"/>
  <c r="M202" i="5" s="1"/>
  <c r="AA200" i="5"/>
  <c r="AA202" i="5" s="1"/>
  <c r="AA147" i="5"/>
  <c r="T147" i="5"/>
  <c r="BD147" i="5"/>
  <c r="BP147" i="5"/>
  <c r="AB147" i="5"/>
  <c r="BE146" i="5"/>
  <c r="AY144" i="8"/>
  <c r="AZ146" i="5"/>
  <c r="BP144" i="8"/>
  <c r="AA143" i="8"/>
  <c r="T143" i="8"/>
  <c r="AZ143" i="8"/>
  <c r="AY146" i="5"/>
  <c r="Z146" i="5"/>
  <c r="AI200" i="5"/>
  <c r="AI202" i="5" s="1"/>
  <c r="AB200" i="5"/>
  <c r="AB202" i="5" s="1"/>
  <c r="M147" i="5"/>
  <c r="Z147" i="5"/>
  <c r="BA147" i="5"/>
  <c r="AT147" i="5"/>
  <c r="BA144" i="8"/>
  <c r="T146" i="5"/>
  <c r="BM144" i="8"/>
  <c r="I462" i="5"/>
  <c r="BD144" i="8"/>
  <c r="BM143" i="8"/>
  <c r="BE143" i="8"/>
  <c r="AI143" i="8"/>
  <c r="AB143" i="8"/>
  <c r="BD143" i="8"/>
  <c r="Y200" i="5"/>
  <c r="Y202" i="5" s="1"/>
  <c r="BF147" i="5"/>
  <c r="AM147" i="5"/>
  <c r="I458" i="5"/>
  <c r="AQ144" i="8"/>
  <c r="V143" i="8"/>
  <c r="BH200" i="5"/>
  <c r="BH202" i="5" s="1"/>
  <c r="AV200" i="5"/>
  <c r="AV202" i="5" s="1"/>
  <c r="AC200" i="5"/>
  <c r="AC202" i="5" s="1"/>
  <c r="BG147" i="5"/>
  <c r="I460" i="5"/>
  <c r="V144" i="8"/>
  <c r="BH146" i="5"/>
  <c r="AC146" i="5"/>
  <c r="AC147" i="5"/>
  <c r="BJ147" i="5"/>
  <c r="I454" i="5"/>
  <c r="S144" i="8"/>
  <c r="AV144" i="8"/>
  <c r="BJ146" i="5"/>
  <c r="AV146" i="5"/>
  <c r="AJ200" i="5"/>
  <c r="AJ202" i="5" s="1"/>
  <c r="AG200" i="5"/>
  <c r="AG202" i="5" s="1"/>
  <c r="BN200" i="5"/>
  <c r="BN202" i="5" s="1"/>
  <c r="BR147" i="5"/>
  <c r="AJ147" i="5"/>
  <c r="O146" i="5"/>
  <c r="AR144" i="8"/>
  <c r="AU144" i="8"/>
  <c r="BN146" i="5"/>
  <c r="AG143" i="8"/>
  <c r="BN143" i="8"/>
  <c r="AR143" i="8"/>
  <c r="BR200" i="5"/>
  <c r="BR202" i="5" s="1"/>
  <c r="AD200" i="5"/>
  <c r="AD202" i="5" s="1"/>
  <c r="AG147" i="5"/>
  <c r="BC147" i="5"/>
  <c r="AD147" i="5"/>
  <c r="BC144" i="8"/>
  <c r="BR146" i="5"/>
  <c r="BN144" i="8"/>
  <c r="AG144" i="8"/>
  <c r="AD144" i="8"/>
  <c r="BC143" i="8"/>
  <c r="AR146" i="5"/>
  <c r="AX144" i="8"/>
  <c r="R143" i="8"/>
  <c r="AX143" i="8"/>
  <c r="AJ143" i="8"/>
  <c r="AS200" i="5"/>
  <c r="AS202" i="5" s="1"/>
  <c r="U200" i="5"/>
  <c r="U202" i="5" s="1"/>
  <c r="BB200" i="5"/>
  <c r="BB202" i="5" s="1"/>
  <c r="X200" i="5"/>
  <c r="X202" i="5" s="1"/>
  <c r="AH200" i="5"/>
  <c r="AH202" i="5" s="1"/>
  <c r="AL200" i="5"/>
  <c r="AL202" i="5" s="1"/>
  <c r="BI200" i="5"/>
  <c r="BI202" i="5" s="1"/>
  <c r="AE147" i="5"/>
  <c r="BK147" i="5"/>
  <c r="BB144" i="8"/>
  <c r="BI144" i="8"/>
  <c r="I451" i="8"/>
  <c r="AK143" i="8"/>
  <c r="AH143" i="8"/>
  <c r="BB143" i="8"/>
  <c r="BI146" i="5"/>
  <c r="AK144" i="8"/>
  <c r="BO144" i="8"/>
  <c r="X144" i="8"/>
  <c r="AH146" i="5"/>
  <c r="BK144" i="8"/>
  <c r="AS144" i="8"/>
  <c r="I445" i="8"/>
  <c r="AL143" i="8"/>
  <c r="AE143" i="8"/>
  <c r="BK143" i="8"/>
  <c r="X143" i="8"/>
  <c r="AL146" i="5"/>
  <c r="AL144" i="8"/>
  <c r="AE200" i="5"/>
  <c r="AE202" i="5" s="1"/>
  <c r="BK200" i="5"/>
  <c r="BK202" i="5" s="1"/>
  <c r="BO200" i="5"/>
  <c r="BO202" i="5" s="1"/>
  <c r="AH147" i="5"/>
  <c r="BI147" i="5"/>
  <c r="BB147" i="5"/>
  <c r="X147" i="5"/>
  <c r="BO147" i="5"/>
  <c r="BQ147" i="5"/>
  <c r="U144" i="8"/>
  <c r="AE146" i="5"/>
  <c r="BQ146" i="5"/>
  <c r="AS143" i="8"/>
  <c r="BO143" i="8"/>
  <c r="AP200" i="5"/>
  <c r="AP202" i="5" s="1"/>
  <c r="V147" i="5"/>
  <c r="S147" i="5"/>
  <c r="BS144" i="8"/>
  <c r="AN146" i="5"/>
  <c r="BF144" i="8"/>
  <c r="AP143" i="8"/>
  <c r="BF143" i="8"/>
  <c r="S143" i="8"/>
  <c r="BS143" i="8"/>
  <c r="BH143" i="8"/>
  <c r="AQ146" i="5"/>
  <c r="AN200" i="5"/>
  <c r="AN202" i="5" s="1"/>
  <c r="S200" i="5"/>
  <c r="S202" i="5" s="1"/>
  <c r="BH144" i="8"/>
  <c r="BF200" i="5"/>
  <c r="BF202" i="5" s="1"/>
  <c r="W200" i="5"/>
  <c r="W202" i="5" s="1"/>
  <c r="V200" i="5"/>
  <c r="V202" i="5" s="1"/>
  <c r="AM200" i="5"/>
  <c r="AM202" i="5" s="1"/>
  <c r="AV147" i="5"/>
  <c r="AN147" i="5"/>
  <c r="AN144" i="8"/>
  <c r="AP146" i="5"/>
  <c r="AD143" i="8"/>
  <c r="W143" i="8"/>
  <c r="AM143" i="8"/>
  <c r="BG143" i="8"/>
  <c r="AV143" i="8"/>
  <c r="BS146" i="5"/>
  <c r="W146" i="5"/>
  <c r="BS200" i="5"/>
  <c r="BS202" i="5" s="1"/>
  <c r="BG200" i="5"/>
  <c r="BG202" i="5" s="1"/>
  <c r="Y147" i="5"/>
  <c r="AP147" i="5"/>
  <c r="AM144" i="8"/>
  <c r="AC144" i="8"/>
  <c r="BG144" i="8"/>
  <c r="Y143" i="8"/>
  <c r="AC143" i="8"/>
  <c r="AQ143" i="8"/>
  <c r="AR147" i="5"/>
  <c r="I450" i="5"/>
  <c r="BL146" i="5"/>
  <c r="BL143" i="8"/>
  <c r="R200" i="5"/>
  <c r="R202" i="5" s="1"/>
  <c r="O200" i="5"/>
  <c r="O202" i="5" s="1"/>
  <c r="R147" i="5"/>
  <c r="AU147" i="5"/>
  <c r="BL147" i="5"/>
  <c r="O147" i="5"/>
  <c r="O143" i="8"/>
  <c r="AU143" i="8"/>
  <c r="BC146" i="5"/>
  <c r="AR200" i="5"/>
  <c r="AR202" i="5" s="1"/>
  <c r="BL200" i="5"/>
  <c r="BL202" i="5" s="1"/>
  <c r="BL144" i="8"/>
  <c r="R146" i="5"/>
  <c r="I441" i="8"/>
  <c r="I388" i="8"/>
  <c r="N339" i="8"/>
  <c r="I339" i="8" s="1"/>
  <c r="I319" i="8"/>
  <c r="I323" i="8"/>
  <c r="I447" i="8"/>
  <c r="I449" i="8"/>
  <c r="I328" i="5"/>
  <c r="N348" i="5"/>
  <c r="I376" i="5"/>
  <c r="I377" i="5"/>
  <c r="N94" i="25" l="1"/>
  <c r="P95" i="25"/>
  <c r="Q136" i="15"/>
  <c r="Q323" i="15" s="1"/>
  <c r="M188" i="15"/>
  <c r="M287" i="11"/>
  <c r="M307" i="15" s="1"/>
  <c r="N287" i="11"/>
  <c r="O287" i="11"/>
  <c r="P287" i="11"/>
  <c r="Q287" i="11"/>
  <c r="R287" i="11"/>
  <c r="S287" i="11"/>
  <c r="T287" i="11"/>
  <c r="U287" i="11"/>
  <c r="V287" i="11"/>
  <c r="W287" i="11"/>
  <c r="X287" i="11"/>
  <c r="Y287" i="11"/>
  <c r="Z287" i="11"/>
  <c r="AA287" i="11"/>
  <c r="AB287" i="11"/>
  <c r="AC287" i="11"/>
  <c r="AD287" i="11"/>
  <c r="AE287" i="11"/>
  <c r="AF287" i="11"/>
  <c r="AG287" i="11"/>
  <c r="AH287" i="11"/>
  <c r="AI287" i="11"/>
  <c r="AJ287" i="11"/>
  <c r="AK287" i="11"/>
  <c r="AL287" i="11"/>
  <c r="AM287" i="11"/>
  <c r="AN287" i="11"/>
  <c r="AO287" i="11"/>
  <c r="AP287" i="11"/>
  <c r="AQ287" i="11"/>
  <c r="AR287" i="11"/>
  <c r="AS287" i="11"/>
  <c r="AT287" i="11"/>
  <c r="AU287" i="11"/>
  <c r="AV287" i="11"/>
  <c r="AW287" i="11"/>
  <c r="AX287" i="11"/>
  <c r="AY287" i="11"/>
  <c r="AZ287" i="11"/>
  <c r="BA287" i="11"/>
  <c r="BB287" i="11"/>
  <c r="BC287" i="11"/>
  <c r="BD287" i="11"/>
  <c r="BE287" i="11"/>
  <c r="BF287" i="11"/>
  <c r="BG287" i="11"/>
  <c r="BH287" i="11"/>
  <c r="BI287" i="11"/>
  <c r="BJ287" i="11"/>
  <c r="BK287" i="11"/>
  <c r="BL287" i="11"/>
  <c r="BM287" i="11"/>
  <c r="BN287" i="11"/>
  <c r="BO287" i="11"/>
  <c r="BP287" i="11"/>
  <c r="BQ287" i="11"/>
  <c r="BR287" i="11"/>
  <c r="BS287" i="11"/>
  <c r="N28" i="25"/>
  <c r="P37" i="25"/>
  <c r="Q43" i="21"/>
  <c r="AI43" i="21" s="1"/>
  <c r="X44" i="21"/>
  <c r="AP43" i="21"/>
  <c r="AG43" i="21"/>
  <c r="AP94" i="21"/>
  <c r="Q94" i="21"/>
  <c r="AI94" i="21" s="1"/>
  <c r="AG94" i="21"/>
  <c r="AM43" i="21"/>
  <c r="U44" i="21"/>
  <c r="AM44" i="21" s="1"/>
  <c r="W44" i="21"/>
  <c r="AO44" i="21" s="1"/>
  <c r="AA43" i="21"/>
  <c r="AK43" i="21"/>
  <c r="AC43" i="21"/>
  <c r="AF43" i="21"/>
  <c r="R44" i="21"/>
  <c r="AJ44" i="21" s="1"/>
  <c r="AN43" i="21"/>
  <c r="AD43" i="21"/>
  <c r="AE43" i="21"/>
  <c r="V44" i="21"/>
  <c r="AN44" i="21" s="1"/>
  <c r="AJ43" i="21"/>
  <c r="AB43" i="21"/>
  <c r="T44" i="21"/>
  <c r="AL44" i="21" s="1"/>
  <c r="S44" i="21"/>
  <c r="AK44" i="21" s="1"/>
  <c r="AL43" i="21"/>
  <c r="AO43" i="21"/>
  <c r="I425" i="23"/>
  <c r="L505" i="23" a="1"/>
  <c r="L505" i="23" s="1"/>
  <c r="I505" i="23" s="1"/>
  <c r="BO449" i="23"/>
  <c r="BO462" i="23" s="1"/>
  <c r="AY449" i="23"/>
  <c r="AY462" i="23" s="1"/>
  <c r="AI449" i="23"/>
  <c r="AI462" i="23" s="1"/>
  <c r="S449" i="23"/>
  <c r="S462" i="23" s="1"/>
  <c r="BI449" i="23"/>
  <c r="BI462" i="23" s="1"/>
  <c r="AN449" i="23"/>
  <c r="AN462" i="23" s="1"/>
  <c r="R449" i="23"/>
  <c r="R462" i="23" s="1"/>
  <c r="BH449" i="23"/>
  <c r="BH462" i="23" s="1"/>
  <c r="AL449" i="23"/>
  <c r="AL462" i="23" s="1"/>
  <c r="Q449" i="23"/>
  <c r="Q462" i="23" s="1"/>
  <c r="AF449" i="23"/>
  <c r="AF462" i="23" s="1"/>
  <c r="AO449" i="23"/>
  <c r="AO462" i="23" s="1"/>
  <c r="AT449" i="23"/>
  <c r="AT462" i="23" s="1"/>
  <c r="P449" i="23"/>
  <c r="P462" i="23" s="1"/>
  <c r="BQ449" i="23"/>
  <c r="BQ462" i="23" s="1"/>
  <c r="BK449" i="23"/>
  <c r="BK462" i="23" s="1"/>
  <c r="AU449" i="23"/>
  <c r="AU462" i="23" s="1"/>
  <c r="AE449" i="23"/>
  <c r="AE462" i="23" s="1"/>
  <c r="O449" i="23"/>
  <c r="O462" i="23" s="1"/>
  <c r="BD449" i="23"/>
  <c r="BD462" i="23" s="1"/>
  <c r="AH449" i="23"/>
  <c r="AH462" i="23" s="1"/>
  <c r="M449" i="23"/>
  <c r="M462" i="23" s="1"/>
  <c r="BB449" i="23"/>
  <c r="BB462" i="23" s="1"/>
  <c r="AG449" i="23"/>
  <c r="AG462" i="23" s="1"/>
  <c r="BL449" i="23"/>
  <c r="BL462" i="23" s="1"/>
  <c r="U449" i="23"/>
  <c r="U462" i="23" s="1"/>
  <c r="AD449" i="23"/>
  <c r="AD462" i="23" s="1"/>
  <c r="Y449" i="23"/>
  <c r="Y462" i="23" s="1"/>
  <c r="BE449" i="23"/>
  <c r="BE462" i="23" s="1"/>
  <c r="AV449" i="23"/>
  <c r="AV462" i="23" s="1"/>
  <c r="BG449" i="23"/>
  <c r="BG462" i="23" s="1"/>
  <c r="AQ449" i="23"/>
  <c r="AQ462" i="23" s="1"/>
  <c r="AA449" i="23"/>
  <c r="AA462" i="23" s="1"/>
  <c r="AX449" i="23"/>
  <c r="AX462" i="23" s="1"/>
  <c r="AC449" i="23"/>
  <c r="AC462" i="23" s="1"/>
  <c r="BR449" i="23"/>
  <c r="BR462" i="23" s="1"/>
  <c r="AW449" i="23"/>
  <c r="AW462" i="23" s="1"/>
  <c r="AB449" i="23"/>
  <c r="AB462" i="23" s="1"/>
  <c r="BA449" i="23"/>
  <c r="BA462" i="23" s="1"/>
  <c r="BJ449" i="23"/>
  <c r="BJ462" i="23" s="1"/>
  <c r="T449" i="23"/>
  <c r="T462" i="23" s="1"/>
  <c r="BF449" i="23"/>
  <c r="BF462" i="23" s="1"/>
  <c r="AJ449" i="23"/>
  <c r="AJ462" i="23" s="1"/>
  <c r="Z449" i="23"/>
  <c r="Z462" i="23" s="1"/>
  <c r="BS449" i="23"/>
  <c r="BS462" i="23" s="1"/>
  <c r="BC449" i="23"/>
  <c r="BC462" i="23" s="1"/>
  <c r="AM449" i="23"/>
  <c r="AM462" i="23" s="1"/>
  <c r="W449" i="23"/>
  <c r="W462" i="23" s="1"/>
  <c r="BN449" i="23"/>
  <c r="BN462" i="23" s="1"/>
  <c r="AS449" i="23"/>
  <c r="AS462" i="23" s="1"/>
  <c r="X449" i="23"/>
  <c r="X462" i="23" s="1"/>
  <c r="BM449" i="23"/>
  <c r="BM462" i="23" s="1"/>
  <c r="AR449" i="23"/>
  <c r="AR462" i="23" s="1"/>
  <c r="V449" i="23"/>
  <c r="V462" i="23" s="1"/>
  <c r="AP449" i="23"/>
  <c r="AP462" i="23" s="1"/>
  <c r="AZ449" i="23"/>
  <c r="AZ462" i="23" s="1"/>
  <c r="BP449" i="23"/>
  <c r="BP462" i="23" s="1"/>
  <c r="AK449" i="23"/>
  <c r="AK462" i="23" s="1"/>
  <c r="N449" i="23"/>
  <c r="N462" i="23" s="1"/>
  <c r="I206" i="23"/>
  <c r="L231" i="9"/>
  <c r="L410" i="9"/>
  <c r="L255" i="15"/>
  <c r="I255" i="15" s="1"/>
  <c r="N257" i="15"/>
  <c r="AO94" i="21"/>
  <c r="AM94" i="21"/>
  <c r="AJ94" i="21"/>
  <c r="AN94" i="21"/>
  <c r="AK94" i="21"/>
  <c r="Z96" i="21"/>
  <c r="Z51" i="21"/>
  <c r="Z95" i="21"/>
  <c r="Q138" i="15"/>
  <c r="P139" i="15"/>
  <c r="P329" i="15"/>
  <c r="Q130" i="11"/>
  <c r="P131" i="11"/>
  <c r="L282" i="20"/>
  <c r="L284" i="20"/>
  <c r="M285" i="11"/>
  <c r="M305" i="15" s="1"/>
  <c r="M283" i="11"/>
  <c r="M303" i="15" s="1"/>
  <c r="O234" i="11"/>
  <c r="O238" i="11" s="1"/>
  <c r="AC94" i="21"/>
  <c r="AB94" i="21"/>
  <c r="AF94" i="21"/>
  <c r="AA94" i="21"/>
  <c r="AD94" i="21"/>
  <c r="AE94" i="21"/>
  <c r="Z42" i="21"/>
  <c r="Q128" i="11"/>
  <c r="Q301" i="11" s="1"/>
  <c r="R136" i="15"/>
  <c r="L209" i="9" a="1"/>
  <c r="L209" i="9" s="1"/>
  <c r="L227" i="9"/>
  <c r="I227" i="9" s="1"/>
  <c r="M299" i="18"/>
  <c r="M302" i="18"/>
  <c r="P299" i="18"/>
  <c r="P302" i="18"/>
  <c r="R299" i="18"/>
  <c r="R302" i="18"/>
  <c r="O299" i="18"/>
  <c r="O302" i="18"/>
  <c r="N299" i="18"/>
  <c r="N302" i="18"/>
  <c r="Q299" i="18"/>
  <c r="Q302" i="18"/>
  <c r="L242" i="18"/>
  <c r="L246" i="18" s="1"/>
  <c r="L291" i="18"/>
  <c r="L295" i="18" s="1"/>
  <c r="L302" i="18" s="1"/>
  <c r="AJ299" i="18"/>
  <c r="W299" i="18"/>
  <c r="BF299" i="18"/>
  <c r="Z299" i="18"/>
  <c r="BG299" i="18"/>
  <c r="BB299" i="18"/>
  <c r="AB299" i="18"/>
  <c r="BH299" i="18"/>
  <c r="BL299" i="18"/>
  <c r="BA299" i="18"/>
  <c r="BQ299" i="18"/>
  <c r="BI299" i="18"/>
  <c r="AA299" i="18"/>
  <c r="BC299" i="18"/>
  <c r="AN299" i="18"/>
  <c r="AX299" i="18"/>
  <c r="U299" i="18"/>
  <c r="AU299" i="18"/>
  <c r="AR299" i="18"/>
  <c r="V299" i="18"/>
  <c r="BN299" i="18"/>
  <c r="AO299" i="18"/>
  <c r="BE299" i="18"/>
  <c r="AK299" i="18"/>
  <c r="AC299" i="18"/>
  <c r="AM299" i="18"/>
  <c r="BK299" i="18"/>
  <c r="BS299" i="18"/>
  <c r="AF299" i="18"/>
  <c r="AS299" i="18"/>
  <c r="BR299" i="18"/>
  <c r="AQ299" i="18"/>
  <c r="BO299" i="18"/>
  <c r="X299" i="18"/>
  <c r="AP299" i="18"/>
  <c r="AG299" i="18"/>
  <c r="AW299" i="18"/>
  <c r="Y299" i="18"/>
  <c r="BM299" i="18"/>
  <c r="AE299" i="18"/>
  <c r="AI299" i="18"/>
  <c r="BD299" i="18"/>
  <c r="T299" i="18"/>
  <c r="AV299" i="18"/>
  <c r="AD299" i="18"/>
  <c r="AY299" i="18"/>
  <c r="S299" i="18"/>
  <c r="AZ299" i="18"/>
  <c r="BP299" i="18"/>
  <c r="AT299" i="18"/>
  <c r="BJ299" i="18"/>
  <c r="AH299" i="18"/>
  <c r="AL299" i="18"/>
  <c r="L222" i="18" a="1"/>
  <c r="L222" i="18" s="1"/>
  <c r="S246" i="18"/>
  <c r="L524" i="20" a="1"/>
  <c r="L224" i="20" a="1"/>
  <c r="L224" i="20" s="1"/>
  <c r="Q124" i="20"/>
  <c r="P125" i="20"/>
  <c r="V246" i="18"/>
  <c r="M246" i="18"/>
  <c r="Q246" i="18"/>
  <c r="W246" i="18"/>
  <c r="T246" i="18"/>
  <c r="N246" i="18"/>
  <c r="R246" i="18"/>
  <c r="P246" i="18"/>
  <c r="O246" i="18"/>
  <c r="X246" i="18"/>
  <c r="AL246" i="18"/>
  <c r="BR246" i="18"/>
  <c r="AM246" i="18"/>
  <c r="AD246" i="18"/>
  <c r="BQ246" i="18"/>
  <c r="BL246" i="18"/>
  <c r="AI246" i="18"/>
  <c r="AR246" i="18"/>
  <c r="BK246" i="18"/>
  <c r="BB246" i="18"/>
  <c r="AE246" i="18"/>
  <c r="BM246" i="18"/>
  <c r="Z246" i="18"/>
  <c r="BO246" i="18"/>
  <c r="BJ246" i="18"/>
  <c r="AP246" i="18"/>
  <c r="BD246" i="18"/>
  <c r="BE246" i="18"/>
  <c r="AK246" i="18"/>
  <c r="BI246" i="18"/>
  <c r="AQ246" i="18"/>
  <c r="BS246" i="18"/>
  <c r="AC246" i="18"/>
  <c r="AW246" i="18"/>
  <c r="AA246" i="18"/>
  <c r="AB246" i="18"/>
  <c r="AZ246" i="18"/>
  <c r="AO246" i="18"/>
  <c r="AG246" i="18"/>
  <c r="BH246" i="18"/>
  <c r="AT246" i="18"/>
  <c r="AN246" i="18"/>
  <c r="BF246" i="18"/>
  <c r="BC246" i="18"/>
  <c r="BN246" i="18"/>
  <c r="AV246" i="18"/>
  <c r="AS246" i="18"/>
  <c r="BG246" i="18"/>
  <c r="AH246" i="18"/>
  <c r="AX246" i="18"/>
  <c r="AU246" i="18"/>
  <c r="AF246" i="18"/>
  <c r="AJ246" i="18"/>
  <c r="BA246" i="18"/>
  <c r="AY246" i="18"/>
  <c r="BP246" i="18"/>
  <c r="I213" i="20"/>
  <c r="L439" i="20" a="1"/>
  <c r="I177" i="20"/>
  <c r="L239" i="20"/>
  <c r="I388" i="20"/>
  <c r="L468" i="20" a="1"/>
  <c r="L468" i="20" s="1"/>
  <c r="I468" i="20" s="1"/>
  <c r="R122" i="20"/>
  <c r="BQ218" i="20"/>
  <c r="BM218" i="20"/>
  <c r="BI218" i="20"/>
  <c r="BE218" i="20"/>
  <c r="BA218" i="20"/>
  <c r="AW218" i="20"/>
  <c r="AS218" i="20"/>
  <c r="AO218" i="20"/>
  <c r="AK218" i="20"/>
  <c r="AG218" i="20"/>
  <c r="AC218" i="20"/>
  <c r="Y218" i="20"/>
  <c r="U218" i="20"/>
  <c r="Q218" i="20"/>
  <c r="M218" i="20"/>
  <c r="BP218" i="20"/>
  <c r="BL218" i="20"/>
  <c r="BH218" i="20"/>
  <c r="BD218" i="20"/>
  <c r="AZ218" i="20"/>
  <c r="AV218" i="20"/>
  <c r="AR218" i="20"/>
  <c r="AN218" i="20"/>
  <c r="AJ218" i="20"/>
  <c r="AF218" i="20"/>
  <c r="AB218" i="20"/>
  <c r="X218" i="20"/>
  <c r="T218" i="20"/>
  <c r="P218" i="20"/>
  <c r="BS218" i="20"/>
  <c r="BO218" i="20"/>
  <c r="BK218" i="20"/>
  <c r="BG218" i="20"/>
  <c r="BC218" i="20"/>
  <c r="AY218" i="20"/>
  <c r="AU218" i="20"/>
  <c r="AQ218" i="20"/>
  <c r="AM218" i="20"/>
  <c r="AI218" i="20"/>
  <c r="AE218" i="20"/>
  <c r="AA218" i="20"/>
  <c r="W218" i="20"/>
  <c r="S218" i="20"/>
  <c r="O218" i="20"/>
  <c r="BR218" i="20"/>
  <c r="BN218" i="20"/>
  <c r="BJ218" i="20"/>
  <c r="BF218" i="20"/>
  <c r="BB218" i="20"/>
  <c r="AX218" i="20"/>
  <c r="AT218" i="20"/>
  <c r="AP218" i="20"/>
  <c r="AL218" i="20"/>
  <c r="AH218" i="20"/>
  <c r="AD218" i="20"/>
  <c r="Z218" i="20"/>
  <c r="V218" i="20"/>
  <c r="R218" i="20"/>
  <c r="N218" i="20"/>
  <c r="I235" i="20"/>
  <c r="BS412" i="20"/>
  <c r="BS425" i="20" s="1"/>
  <c r="BO412" i="20"/>
  <c r="BO425" i="20" s="1"/>
  <c r="BK412" i="20"/>
  <c r="BK425" i="20" s="1"/>
  <c r="BG412" i="20"/>
  <c r="BG425" i="20" s="1"/>
  <c r="BC412" i="20"/>
  <c r="BC425" i="20" s="1"/>
  <c r="AY412" i="20"/>
  <c r="AY425" i="20" s="1"/>
  <c r="AU412" i="20"/>
  <c r="AU425" i="20" s="1"/>
  <c r="AQ412" i="20"/>
  <c r="AQ425" i="20" s="1"/>
  <c r="AM412" i="20"/>
  <c r="AM425" i="20" s="1"/>
  <c r="AI412" i="20"/>
  <c r="AI425" i="20" s="1"/>
  <c r="AE412" i="20"/>
  <c r="AE425" i="20" s="1"/>
  <c r="AA412" i="20"/>
  <c r="AA425" i="20" s="1"/>
  <c r="W412" i="20"/>
  <c r="W425" i="20" s="1"/>
  <c r="S412" i="20"/>
  <c r="S425" i="20" s="1"/>
  <c r="O412" i="20"/>
  <c r="O425" i="20" s="1"/>
  <c r="BR412" i="20"/>
  <c r="BR425" i="20" s="1"/>
  <c r="BN412" i="20"/>
  <c r="BN425" i="20" s="1"/>
  <c r="BJ412" i="20"/>
  <c r="BJ425" i="20" s="1"/>
  <c r="BF412" i="20"/>
  <c r="BF425" i="20" s="1"/>
  <c r="BB412" i="20"/>
  <c r="BB425" i="20" s="1"/>
  <c r="AX412" i="20"/>
  <c r="AX425" i="20" s="1"/>
  <c r="AT412" i="20"/>
  <c r="AT425" i="20" s="1"/>
  <c r="AP412" i="20"/>
  <c r="AP425" i="20" s="1"/>
  <c r="AL412" i="20"/>
  <c r="AL425" i="20" s="1"/>
  <c r="AH412" i="20"/>
  <c r="AH425" i="20" s="1"/>
  <c r="AD412" i="20"/>
  <c r="AD425" i="20" s="1"/>
  <c r="Z412" i="20"/>
  <c r="Z425" i="20" s="1"/>
  <c r="V412" i="20"/>
  <c r="V425" i="20" s="1"/>
  <c r="R412" i="20"/>
  <c r="R425" i="20" s="1"/>
  <c r="N412" i="20"/>
  <c r="N425" i="20" s="1"/>
  <c r="BQ412" i="20"/>
  <c r="BQ425" i="20" s="1"/>
  <c r="BM412" i="20"/>
  <c r="BM425" i="20" s="1"/>
  <c r="BI412" i="20"/>
  <c r="BI425" i="20" s="1"/>
  <c r="BE412" i="20"/>
  <c r="BE425" i="20" s="1"/>
  <c r="BA412" i="20"/>
  <c r="BA425" i="20" s="1"/>
  <c r="AW412" i="20"/>
  <c r="AW425" i="20" s="1"/>
  <c r="AS412" i="20"/>
  <c r="AS425" i="20" s="1"/>
  <c r="AO412" i="20"/>
  <c r="AO425" i="20" s="1"/>
  <c r="AK412" i="20"/>
  <c r="AK425" i="20" s="1"/>
  <c r="AG412" i="20"/>
  <c r="AG425" i="20" s="1"/>
  <c r="AC412" i="20"/>
  <c r="AC425" i="20" s="1"/>
  <c r="Y412" i="20"/>
  <c r="Y425" i="20" s="1"/>
  <c r="U412" i="20"/>
  <c r="U425" i="20" s="1"/>
  <c r="Q412" i="20"/>
  <c r="Q425" i="20" s="1"/>
  <c r="M412" i="20"/>
  <c r="M425" i="20" s="1"/>
  <c r="BD412" i="20"/>
  <c r="BD425" i="20" s="1"/>
  <c r="AN412" i="20"/>
  <c r="AN425" i="20" s="1"/>
  <c r="X412" i="20"/>
  <c r="X425" i="20" s="1"/>
  <c r="BP412" i="20"/>
  <c r="BP425" i="20" s="1"/>
  <c r="AZ412" i="20"/>
  <c r="AZ425" i="20" s="1"/>
  <c r="AJ412" i="20"/>
  <c r="AJ425" i="20" s="1"/>
  <c r="T412" i="20"/>
  <c r="T425" i="20" s="1"/>
  <c r="BL412" i="20"/>
  <c r="BL425" i="20" s="1"/>
  <c r="AV412" i="20"/>
  <c r="AV425" i="20" s="1"/>
  <c r="AF412" i="20"/>
  <c r="AF425" i="20" s="1"/>
  <c r="P412" i="20"/>
  <c r="P425" i="20" s="1"/>
  <c r="AR412" i="20"/>
  <c r="AR425" i="20" s="1"/>
  <c r="AB412" i="20"/>
  <c r="AB425" i="20" s="1"/>
  <c r="BH412" i="20"/>
  <c r="BH425" i="20" s="1"/>
  <c r="L187" i="18"/>
  <c r="L186" i="18"/>
  <c r="I174" i="18"/>
  <c r="I399" i="18"/>
  <c r="L479" i="18" a="1"/>
  <c r="L479" i="18" s="1"/>
  <c r="I479" i="18" s="1"/>
  <c r="BO114" i="8"/>
  <c r="BP112" i="8"/>
  <c r="BQ423" i="18"/>
  <c r="BQ436" i="18" s="1"/>
  <c r="BM423" i="18"/>
  <c r="BM436" i="18" s="1"/>
  <c r="BI423" i="18"/>
  <c r="BI436" i="18" s="1"/>
  <c r="BE423" i="18"/>
  <c r="BE436" i="18" s="1"/>
  <c r="BA423" i="18"/>
  <c r="BA436" i="18" s="1"/>
  <c r="AW423" i="18"/>
  <c r="AW436" i="18" s="1"/>
  <c r="AS423" i="18"/>
  <c r="AS436" i="18" s="1"/>
  <c r="AO423" i="18"/>
  <c r="AO436" i="18" s="1"/>
  <c r="AK423" i="18"/>
  <c r="AK436" i="18" s="1"/>
  <c r="AG423" i="18"/>
  <c r="AG436" i="18" s="1"/>
  <c r="AC423" i="18"/>
  <c r="AC436" i="18" s="1"/>
  <c r="Y423" i="18"/>
  <c r="Y436" i="18" s="1"/>
  <c r="U423" i="18"/>
  <c r="U436" i="18" s="1"/>
  <c r="Q423" i="18"/>
  <c r="Q436" i="18" s="1"/>
  <c r="M423" i="18"/>
  <c r="M436" i="18" s="1"/>
  <c r="BP423" i="18"/>
  <c r="BP436" i="18" s="1"/>
  <c r="BL423" i="18"/>
  <c r="BL436" i="18" s="1"/>
  <c r="BH423" i="18"/>
  <c r="BH436" i="18" s="1"/>
  <c r="BD423" i="18"/>
  <c r="BD436" i="18" s="1"/>
  <c r="AZ423" i="18"/>
  <c r="AZ436" i="18" s="1"/>
  <c r="AV423" i="18"/>
  <c r="AV436" i="18" s="1"/>
  <c r="AR423" i="18"/>
  <c r="AR436" i="18" s="1"/>
  <c r="AN423" i="18"/>
  <c r="AN436" i="18" s="1"/>
  <c r="AJ423" i="18"/>
  <c r="AJ436" i="18" s="1"/>
  <c r="AF423" i="18"/>
  <c r="AF436" i="18" s="1"/>
  <c r="AB423" i="18"/>
  <c r="AB436" i="18" s="1"/>
  <c r="X423" i="18"/>
  <c r="X436" i="18" s="1"/>
  <c r="T423" i="18"/>
  <c r="T436" i="18" s="1"/>
  <c r="P423" i="18"/>
  <c r="P436" i="18" s="1"/>
  <c r="BR423" i="18"/>
  <c r="BR436" i="18" s="1"/>
  <c r="BJ423" i="18"/>
  <c r="BJ436" i="18" s="1"/>
  <c r="BB423" i="18"/>
  <c r="BB436" i="18" s="1"/>
  <c r="AT423" i="18"/>
  <c r="AT436" i="18" s="1"/>
  <c r="AL423" i="18"/>
  <c r="AL436" i="18" s="1"/>
  <c r="AD423" i="18"/>
  <c r="AD436" i="18" s="1"/>
  <c r="V423" i="18"/>
  <c r="V436" i="18" s="1"/>
  <c r="N423" i="18"/>
  <c r="N436" i="18" s="1"/>
  <c r="BO423" i="18"/>
  <c r="BO436" i="18" s="1"/>
  <c r="BG423" i="18"/>
  <c r="BG436" i="18" s="1"/>
  <c r="AY423" i="18"/>
  <c r="AY436" i="18" s="1"/>
  <c r="AQ423" i="18"/>
  <c r="AQ436" i="18" s="1"/>
  <c r="AI423" i="18"/>
  <c r="AI436" i="18" s="1"/>
  <c r="AA423" i="18"/>
  <c r="AA436" i="18" s="1"/>
  <c r="S423" i="18"/>
  <c r="S436" i="18" s="1"/>
  <c r="BS423" i="18"/>
  <c r="BS436" i="18" s="1"/>
  <c r="BC423" i="18"/>
  <c r="BC436" i="18" s="1"/>
  <c r="AM423" i="18"/>
  <c r="AM436" i="18" s="1"/>
  <c r="W423" i="18"/>
  <c r="W436" i="18" s="1"/>
  <c r="BN423" i="18"/>
  <c r="BN436" i="18" s="1"/>
  <c r="AX423" i="18"/>
  <c r="AX436" i="18" s="1"/>
  <c r="AH423" i="18"/>
  <c r="AH436" i="18" s="1"/>
  <c r="R423" i="18"/>
  <c r="R436" i="18" s="1"/>
  <c r="AP423" i="18"/>
  <c r="AP436" i="18" s="1"/>
  <c r="BK423" i="18"/>
  <c r="BK436" i="18" s="1"/>
  <c r="AE423" i="18"/>
  <c r="AE436" i="18" s="1"/>
  <c r="O423" i="18"/>
  <c r="O436" i="18" s="1"/>
  <c r="BF423" i="18"/>
  <c r="BF436" i="18" s="1"/>
  <c r="AU423" i="18"/>
  <c r="AU436" i="18" s="1"/>
  <c r="Z423" i="18"/>
  <c r="Z436" i="18" s="1"/>
  <c r="BE182" i="8"/>
  <c r="BP227" i="18"/>
  <c r="BL227" i="18"/>
  <c r="BH227" i="18"/>
  <c r="BD227" i="18"/>
  <c r="AZ227" i="18"/>
  <c r="AV227" i="18"/>
  <c r="AR227" i="18"/>
  <c r="AN227" i="18"/>
  <c r="AJ227" i="18"/>
  <c r="AF227" i="18"/>
  <c r="AB227" i="18"/>
  <c r="X227" i="18"/>
  <c r="T227" i="18"/>
  <c r="P227" i="18"/>
  <c r="BS227" i="18"/>
  <c r="BO227" i="18"/>
  <c r="BK227" i="18"/>
  <c r="BG227" i="18"/>
  <c r="BC227" i="18"/>
  <c r="AY227" i="18"/>
  <c r="AU227" i="18"/>
  <c r="AQ227" i="18"/>
  <c r="AM227" i="18"/>
  <c r="AI227" i="18"/>
  <c r="AE227" i="18"/>
  <c r="AA227" i="18"/>
  <c r="W227" i="18"/>
  <c r="S227" i="18"/>
  <c r="O227" i="18"/>
  <c r="BN227" i="18"/>
  <c r="BF227" i="18"/>
  <c r="AX227" i="18"/>
  <c r="AP227" i="18"/>
  <c r="AH227" i="18"/>
  <c r="Z227" i="18"/>
  <c r="R227" i="18"/>
  <c r="BM227" i="18"/>
  <c r="BE227" i="18"/>
  <c r="AW227" i="18"/>
  <c r="AO227" i="18"/>
  <c r="AG227" i="18"/>
  <c r="Y227" i="18"/>
  <c r="Q227" i="18"/>
  <c r="BJ227" i="18"/>
  <c r="AT227" i="18"/>
  <c r="AD227" i="18"/>
  <c r="N227" i="18"/>
  <c r="BQ227" i="18"/>
  <c r="BA227" i="18"/>
  <c r="AK227" i="18"/>
  <c r="U227" i="18"/>
  <c r="BI227" i="18"/>
  <c r="AS227" i="18"/>
  <c r="AC227" i="18"/>
  <c r="M227" i="18"/>
  <c r="BR227" i="18"/>
  <c r="BB227" i="18"/>
  <c r="AL227" i="18"/>
  <c r="V227" i="18"/>
  <c r="L140" i="8"/>
  <c r="L184" i="5"/>
  <c r="I184" i="5" s="1"/>
  <c r="L193" i="8"/>
  <c r="M291" i="11"/>
  <c r="M313" i="15" s="1"/>
  <c r="Q291" i="11"/>
  <c r="U291" i="11"/>
  <c r="Y291" i="11"/>
  <c r="AC291" i="11"/>
  <c r="AG291" i="11"/>
  <c r="AK291" i="11"/>
  <c r="AO291" i="11"/>
  <c r="AS291" i="11"/>
  <c r="AW291" i="11"/>
  <c r="BA291" i="11"/>
  <c r="BE291" i="11"/>
  <c r="BI291" i="11"/>
  <c r="BM291" i="11"/>
  <c r="BQ291" i="11"/>
  <c r="X291" i="11"/>
  <c r="AR291" i="11"/>
  <c r="BD291" i="11"/>
  <c r="BP291" i="11"/>
  <c r="N291" i="11"/>
  <c r="R291" i="11"/>
  <c r="V291" i="11"/>
  <c r="Z291" i="11"/>
  <c r="AD291" i="11"/>
  <c r="AH291" i="11"/>
  <c r="AL291" i="11"/>
  <c r="AP291" i="11"/>
  <c r="AT291" i="11"/>
  <c r="AX291" i="11"/>
  <c r="BB291" i="11"/>
  <c r="BF291" i="11"/>
  <c r="BJ291" i="11"/>
  <c r="BN291" i="11"/>
  <c r="BR291" i="11"/>
  <c r="T291" i="11"/>
  <c r="AB291" i="11"/>
  <c r="AN291" i="11"/>
  <c r="AZ291" i="11"/>
  <c r="BL291" i="11"/>
  <c r="O291" i="11"/>
  <c r="S291" i="11"/>
  <c r="W291" i="11"/>
  <c r="AA291" i="11"/>
  <c r="AE291" i="11"/>
  <c r="AI291" i="11"/>
  <c r="AM291" i="11"/>
  <c r="AQ291" i="11"/>
  <c r="AU291" i="11"/>
  <c r="AY291" i="11"/>
  <c r="BC291" i="11"/>
  <c r="BG291" i="11"/>
  <c r="BK291" i="11"/>
  <c r="BO291" i="11"/>
  <c r="BS291" i="11"/>
  <c r="P291" i="11"/>
  <c r="AF291" i="11"/>
  <c r="AJ291" i="11"/>
  <c r="AV291" i="11"/>
  <c r="BH291" i="11"/>
  <c r="L180" i="8"/>
  <c r="M237" i="9"/>
  <c r="L247" i="15"/>
  <c r="I247" i="15" s="1"/>
  <c r="I493" i="15"/>
  <c r="L194" i="15"/>
  <c r="I180" i="15"/>
  <c r="I194" i="15" s="1"/>
  <c r="L193" i="15"/>
  <c r="I230" i="11"/>
  <c r="L214" i="11"/>
  <c r="L233" i="15" s="1"/>
  <c r="I233" i="15" s="1"/>
  <c r="BP437" i="15"/>
  <c r="BL437" i="15"/>
  <c r="BH437" i="15"/>
  <c r="BD437" i="15"/>
  <c r="AZ437" i="15"/>
  <c r="AV437" i="15"/>
  <c r="AR437" i="15"/>
  <c r="AN437" i="15"/>
  <c r="AJ437" i="15"/>
  <c r="AF437" i="15"/>
  <c r="AB437" i="15"/>
  <c r="X437" i="15"/>
  <c r="T437" i="15"/>
  <c r="P437" i="15"/>
  <c r="BS437" i="15"/>
  <c r="BO437" i="15"/>
  <c r="BK437" i="15"/>
  <c r="BG437" i="15"/>
  <c r="BC437" i="15"/>
  <c r="AY437" i="15"/>
  <c r="AU437" i="15"/>
  <c r="AQ437" i="15"/>
  <c r="AM437" i="15"/>
  <c r="AI437" i="15"/>
  <c r="AE437" i="15"/>
  <c r="AA437" i="15"/>
  <c r="W437" i="15"/>
  <c r="S437" i="15"/>
  <c r="O437" i="15"/>
  <c r="BR437" i="15"/>
  <c r="BN437" i="15"/>
  <c r="BJ437" i="15"/>
  <c r="BF437" i="15"/>
  <c r="BB437" i="15"/>
  <c r="AX437" i="15"/>
  <c r="AT437" i="15"/>
  <c r="AP437" i="15"/>
  <c r="AL437" i="15"/>
  <c r="AH437" i="15"/>
  <c r="AD437" i="15"/>
  <c r="Z437" i="15"/>
  <c r="V437" i="15"/>
  <c r="R437" i="15"/>
  <c r="N437" i="15"/>
  <c r="BI437" i="15"/>
  <c r="AS437" i="15"/>
  <c r="AC437" i="15"/>
  <c r="M437" i="15"/>
  <c r="BE437" i="15"/>
  <c r="AO437" i="15"/>
  <c r="Y437" i="15"/>
  <c r="BQ437" i="15"/>
  <c r="BA437" i="15"/>
  <c r="AK437" i="15"/>
  <c r="U437" i="15"/>
  <c r="BM437" i="15"/>
  <c r="AW437" i="15"/>
  <c r="AG437" i="15"/>
  <c r="Q437" i="15"/>
  <c r="BS234" i="15"/>
  <c r="BO234" i="15"/>
  <c r="BK234" i="15"/>
  <c r="BG234" i="15"/>
  <c r="BC234" i="15"/>
  <c r="AY234" i="15"/>
  <c r="AU234" i="15"/>
  <c r="AQ234" i="15"/>
  <c r="AM234" i="15"/>
  <c r="AI234" i="15"/>
  <c r="AE234" i="15"/>
  <c r="AA234" i="15"/>
  <c r="W234" i="15"/>
  <c r="S234" i="15"/>
  <c r="O234" i="15"/>
  <c r="BR234" i="15"/>
  <c r="BN234" i="15"/>
  <c r="BJ234" i="15"/>
  <c r="BF234" i="15"/>
  <c r="BB234" i="15"/>
  <c r="AX234" i="15"/>
  <c r="AT234" i="15"/>
  <c r="AP234" i="15"/>
  <c r="AL234" i="15"/>
  <c r="AH234" i="15"/>
  <c r="AD234" i="15"/>
  <c r="Z234" i="15"/>
  <c r="V234" i="15"/>
  <c r="R234" i="15"/>
  <c r="N234" i="15"/>
  <c r="BQ234" i="15"/>
  <c r="BM234" i="15"/>
  <c r="BI234" i="15"/>
  <c r="BE234" i="15"/>
  <c r="BA234" i="15"/>
  <c r="AW234" i="15"/>
  <c r="AS234" i="15"/>
  <c r="AO234" i="15"/>
  <c r="AK234" i="15"/>
  <c r="AG234" i="15"/>
  <c r="AC234" i="15"/>
  <c r="Y234" i="15"/>
  <c r="U234" i="15"/>
  <c r="Q234" i="15"/>
  <c r="M234" i="15"/>
  <c r="BH234" i="15"/>
  <c r="AR234" i="15"/>
  <c r="AB234" i="15"/>
  <c r="BL234" i="15"/>
  <c r="P234" i="15"/>
  <c r="BD234" i="15"/>
  <c r="AN234" i="15"/>
  <c r="X234" i="15"/>
  <c r="AV234" i="15"/>
  <c r="BP234" i="15"/>
  <c r="AZ234" i="15"/>
  <c r="AJ234" i="15"/>
  <c r="T234" i="15"/>
  <c r="AF234" i="15"/>
  <c r="L213" i="11"/>
  <c r="L232" i="15" s="1"/>
  <c r="I391" i="11"/>
  <c r="L471" i="11" a="1"/>
  <c r="L471" i="11" s="1"/>
  <c r="I471" i="11" s="1"/>
  <c r="L173" i="11"/>
  <c r="L287" i="11" s="1"/>
  <c r="L307" i="15" s="1"/>
  <c r="L415" i="11"/>
  <c r="I167" i="11"/>
  <c r="I177" i="11" s="1"/>
  <c r="L177" i="11"/>
  <c r="L210" i="11" a="1"/>
  <c r="L176" i="11"/>
  <c r="BP215" i="11"/>
  <c r="BL215" i="11"/>
  <c r="BH215" i="11"/>
  <c r="BD215" i="11"/>
  <c r="AZ215" i="11"/>
  <c r="AV215" i="11"/>
  <c r="AR215" i="11"/>
  <c r="AN215" i="11"/>
  <c r="AJ215" i="11"/>
  <c r="AF215" i="11"/>
  <c r="AB215" i="11"/>
  <c r="X215" i="11"/>
  <c r="T215" i="11"/>
  <c r="P215" i="11"/>
  <c r="BS215" i="11"/>
  <c r="BO215" i="11"/>
  <c r="BK215" i="11"/>
  <c r="BG215" i="11"/>
  <c r="BC215" i="11"/>
  <c r="AY215" i="11"/>
  <c r="AU215" i="11"/>
  <c r="AQ215" i="11"/>
  <c r="AM215" i="11"/>
  <c r="AI215" i="11"/>
  <c r="AE215" i="11"/>
  <c r="AA215" i="11"/>
  <c r="W215" i="11"/>
  <c r="S215" i="11"/>
  <c r="O215" i="11"/>
  <c r="BR215" i="11"/>
  <c r="BN215" i="11"/>
  <c r="BJ215" i="11"/>
  <c r="BF215" i="11"/>
  <c r="BB215" i="11"/>
  <c r="AX215" i="11"/>
  <c r="AT215" i="11"/>
  <c r="AP215" i="11"/>
  <c r="AL215" i="11"/>
  <c r="AH215" i="11"/>
  <c r="AD215" i="11"/>
  <c r="Z215" i="11"/>
  <c r="V215" i="11"/>
  <c r="R215" i="11"/>
  <c r="N215" i="11"/>
  <c r="BQ215" i="11"/>
  <c r="BM215" i="11"/>
  <c r="BI215" i="11"/>
  <c r="BE215" i="11"/>
  <c r="BA215" i="11"/>
  <c r="AW215" i="11"/>
  <c r="AS215" i="11"/>
  <c r="AO215" i="11"/>
  <c r="AK215" i="11"/>
  <c r="AG215" i="11"/>
  <c r="AC215" i="11"/>
  <c r="Y215" i="11"/>
  <c r="U215" i="11"/>
  <c r="Q215" i="11"/>
  <c r="M215" i="11"/>
  <c r="BQ415" i="11"/>
  <c r="BQ428" i="11" s="1"/>
  <c r="BM415" i="11"/>
  <c r="BM428" i="11" s="1"/>
  <c r="BI415" i="11"/>
  <c r="BI428" i="11" s="1"/>
  <c r="BE415" i="11"/>
  <c r="BE428" i="11" s="1"/>
  <c r="BA415" i="11"/>
  <c r="BA428" i="11" s="1"/>
  <c r="AW415" i="11"/>
  <c r="AW428" i="11" s="1"/>
  <c r="AS415" i="11"/>
  <c r="AS428" i="11" s="1"/>
  <c r="AO415" i="11"/>
  <c r="AO428" i="11" s="1"/>
  <c r="AK415" i="11"/>
  <c r="AK428" i="11" s="1"/>
  <c r="AG415" i="11"/>
  <c r="AG428" i="11" s="1"/>
  <c r="AC415" i="11"/>
  <c r="AC428" i="11" s="1"/>
  <c r="Y415" i="11"/>
  <c r="Y428" i="11" s="1"/>
  <c r="U415" i="11"/>
  <c r="U428" i="11" s="1"/>
  <c r="Q415" i="11"/>
  <c r="Q428" i="11" s="1"/>
  <c r="M415" i="11"/>
  <c r="M428" i="11" s="1"/>
  <c r="BP415" i="11"/>
  <c r="BP428" i="11" s="1"/>
  <c r="BL415" i="11"/>
  <c r="BL428" i="11" s="1"/>
  <c r="BH415" i="11"/>
  <c r="BH428" i="11" s="1"/>
  <c r="BD415" i="11"/>
  <c r="BD428" i="11" s="1"/>
  <c r="AZ415" i="11"/>
  <c r="AZ428" i="11" s="1"/>
  <c r="AV415" i="11"/>
  <c r="AV428" i="11" s="1"/>
  <c r="AR415" i="11"/>
  <c r="AR428" i="11" s="1"/>
  <c r="AN415" i="11"/>
  <c r="AN428" i="11" s="1"/>
  <c r="AJ415" i="11"/>
  <c r="AJ428" i="11" s="1"/>
  <c r="AF415" i="11"/>
  <c r="AF428" i="11" s="1"/>
  <c r="AB415" i="11"/>
  <c r="AB428" i="11" s="1"/>
  <c r="X415" i="11"/>
  <c r="X428" i="11" s="1"/>
  <c r="T415" i="11"/>
  <c r="T428" i="11" s="1"/>
  <c r="P415" i="11"/>
  <c r="P428" i="11" s="1"/>
  <c r="BS415" i="11"/>
  <c r="BS428" i="11" s="1"/>
  <c r="BO415" i="11"/>
  <c r="BO428" i="11" s="1"/>
  <c r="BK415" i="11"/>
  <c r="BK428" i="11" s="1"/>
  <c r="BG415" i="11"/>
  <c r="BG428" i="11" s="1"/>
  <c r="BC415" i="11"/>
  <c r="BC428" i="11" s="1"/>
  <c r="AY415" i="11"/>
  <c r="AY428" i="11" s="1"/>
  <c r="AU415" i="11"/>
  <c r="AU428" i="11" s="1"/>
  <c r="AQ415" i="11"/>
  <c r="AQ428" i="11" s="1"/>
  <c r="AM415" i="11"/>
  <c r="AM428" i="11" s="1"/>
  <c r="AI415" i="11"/>
  <c r="AI428" i="11" s="1"/>
  <c r="AE415" i="11"/>
  <c r="AE428" i="11" s="1"/>
  <c r="AA415" i="11"/>
  <c r="AA428" i="11" s="1"/>
  <c r="W415" i="11"/>
  <c r="W428" i="11" s="1"/>
  <c r="S415" i="11"/>
  <c r="S428" i="11" s="1"/>
  <c r="O415" i="11"/>
  <c r="O428" i="11" s="1"/>
  <c r="BR415" i="11"/>
  <c r="BR428" i="11" s="1"/>
  <c r="BN415" i="11"/>
  <c r="BN428" i="11" s="1"/>
  <c r="BJ415" i="11"/>
  <c r="BJ428" i="11" s="1"/>
  <c r="BF415" i="11"/>
  <c r="BF428" i="11" s="1"/>
  <c r="BB415" i="11"/>
  <c r="BB428" i="11" s="1"/>
  <c r="AX415" i="11"/>
  <c r="AX428" i="11" s="1"/>
  <c r="AT415" i="11"/>
  <c r="AT428" i="11" s="1"/>
  <c r="AP415" i="11"/>
  <c r="AP428" i="11" s="1"/>
  <c r="AL415" i="11"/>
  <c r="AL428" i="11" s="1"/>
  <c r="AH415" i="11"/>
  <c r="AH428" i="11" s="1"/>
  <c r="AD415" i="11"/>
  <c r="AD428" i="11" s="1"/>
  <c r="Z415" i="11"/>
  <c r="Z428" i="11" s="1"/>
  <c r="V415" i="11"/>
  <c r="V428" i="11" s="1"/>
  <c r="R415" i="11"/>
  <c r="R428" i="11" s="1"/>
  <c r="N415" i="11"/>
  <c r="N428" i="11" s="1"/>
  <c r="L428" i="10" a="1"/>
  <c r="L428" i="10" s="1"/>
  <c r="I428" i="10" s="1"/>
  <c r="L147" i="10"/>
  <c r="L180" i="10" a="1"/>
  <c r="L180" i="10" s="1"/>
  <c r="I137" i="10"/>
  <c r="I147" i="10" s="1"/>
  <c r="L146" i="10"/>
  <c r="I134" i="8"/>
  <c r="I144" i="8" s="1"/>
  <c r="L231" i="8"/>
  <c r="AD182" i="8"/>
  <c r="AD197" i="8" s="1"/>
  <c r="X182" i="8"/>
  <c r="AC182" i="8"/>
  <c r="AC197" i="8" s="1"/>
  <c r="AH182" i="8"/>
  <c r="AS182" i="8"/>
  <c r="BJ182" i="8"/>
  <c r="BJ197" i="8" s="1"/>
  <c r="AA182" i="8"/>
  <c r="AA197" i="8" s="1"/>
  <c r="AE182" i="8"/>
  <c r="BD182" i="8"/>
  <c r="BD197" i="8" s="1"/>
  <c r="BI182" i="8"/>
  <c r="BI197" i="8" s="1"/>
  <c r="AX182" i="8"/>
  <c r="AN182" i="8"/>
  <c r="BG182" i="8"/>
  <c r="BG197" i="8" s="1"/>
  <c r="BK182" i="8"/>
  <c r="M182" i="8"/>
  <c r="M197" i="8" s="1"/>
  <c r="BN182" i="8"/>
  <c r="BN197" i="8" s="1"/>
  <c r="Z182" i="8"/>
  <c r="Z197" i="8" s="1"/>
  <c r="AI182" i="8"/>
  <c r="BO182" i="8"/>
  <c r="AL182" i="8"/>
  <c r="BR182" i="8"/>
  <c r="BR197" i="8" s="1"/>
  <c r="AM182" i="8"/>
  <c r="BS182" i="8"/>
  <c r="BS197" i="8" s="1"/>
  <c r="AB182" i="8"/>
  <c r="AB197" i="8" s="1"/>
  <c r="AR182" i="8"/>
  <c r="BH182" i="8"/>
  <c r="Q182" i="8"/>
  <c r="Q197" i="8" s="1"/>
  <c r="AG182" i="8"/>
  <c r="AG197" i="8" s="1"/>
  <c r="AW182" i="8"/>
  <c r="AW197" i="8" s="1"/>
  <c r="BM182" i="8"/>
  <c r="BM197" i="8" s="1"/>
  <c r="AP182" i="8"/>
  <c r="AP197" i="8" s="1"/>
  <c r="AF182" i="8"/>
  <c r="AF197" i="8" s="1"/>
  <c r="BF182" i="8"/>
  <c r="AQ182" i="8"/>
  <c r="AQ197" i="8" s="1"/>
  <c r="N182" i="8"/>
  <c r="N197" i="8" s="1"/>
  <c r="AT182" i="8"/>
  <c r="AT197" i="8" s="1"/>
  <c r="O182" i="8"/>
  <c r="O197" i="8" s="1"/>
  <c r="AU182" i="8"/>
  <c r="AU197" i="8" s="1"/>
  <c r="P182" i="8"/>
  <c r="P197" i="8" s="1"/>
  <c r="AV182" i="8"/>
  <c r="BL182" i="8"/>
  <c r="BL197" i="8" s="1"/>
  <c r="U182" i="8"/>
  <c r="U197" i="8" s="1"/>
  <c r="AK182" i="8"/>
  <c r="BA182" i="8"/>
  <c r="BA197" i="8" s="1"/>
  <c r="BQ182" i="8"/>
  <c r="BQ197" i="8" s="1"/>
  <c r="R182" i="8"/>
  <c r="R197" i="8" s="1"/>
  <c r="S182" i="8"/>
  <c r="AY182" i="8"/>
  <c r="AY197" i="8" s="1"/>
  <c r="V182" i="8"/>
  <c r="V197" i="8" s="1"/>
  <c r="BB182" i="8"/>
  <c r="W182" i="8"/>
  <c r="BC182" i="8"/>
  <c r="BC197" i="8" s="1"/>
  <c r="T182" i="8"/>
  <c r="T197" i="8" s="1"/>
  <c r="AJ182" i="8"/>
  <c r="AZ182" i="8"/>
  <c r="AZ197" i="8" s="1"/>
  <c r="BP182" i="8"/>
  <c r="BP197" i="8" s="1"/>
  <c r="Y182" i="8"/>
  <c r="Y197" i="8" s="1"/>
  <c r="AO182" i="8"/>
  <c r="AO197" i="8" s="1"/>
  <c r="BB197" i="8"/>
  <c r="AJ197" i="8"/>
  <c r="AH197" i="8"/>
  <c r="AE197" i="8"/>
  <c r="AS197" i="8"/>
  <c r="W197" i="8"/>
  <c r="AL197" i="8"/>
  <c r="AM197" i="8"/>
  <c r="AR197" i="8"/>
  <c r="AX197" i="8"/>
  <c r="AI197" i="8"/>
  <c r="BO197" i="8"/>
  <c r="BQ185" i="10"/>
  <c r="BM185" i="10"/>
  <c r="BI185" i="10"/>
  <c r="BE185" i="10"/>
  <c r="BA185" i="10"/>
  <c r="AW185" i="10"/>
  <c r="AS185" i="10"/>
  <c r="AO185" i="10"/>
  <c r="AK185" i="10"/>
  <c r="AG185" i="10"/>
  <c r="AC185" i="10"/>
  <c r="Y185" i="10"/>
  <c r="U185" i="10"/>
  <c r="Q185" i="10"/>
  <c r="M185" i="10"/>
  <c r="BP185" i="10"/>
  <c r="BL185" i="10"/>
  <c r="BH185" i="10"/>
  <c r="BD185" i="10"/>
  <c r="AZ185" i="10"/>
  <c r="AV185" i="10"/>
  <c r="AR185" i="10"/>
  <c r="AN185" i="10"/>
  <c r="AJ185" i="10"/>
  <c r="AF185" i="10"/>
  <c r="AB185" i="10"/>
  <c r="X185" i="10"/>
  <c r="T185" i="10"/>
  <c r="P185" i="10"/>
  <c r="BS185" i="10"/>
  <c r="BO185" i="10"/>
  <c r="BK185" i="10"/>
  <c r="BG185" i="10"/>
  <c r="BC185" i="10"/>
  <c r="AY185" i="10"/>
  <c r="AU185" i="10"/>
  <c r="AQ185" i="10"/>
  <c r="AM185" i="10"/>
  <c r="AI185" i="10"/>
  <c r="AE185" i="10"/>
  <c r="AA185" i="10"/>
  <c r="W185" i="10"/>
  <c r="S185" i="10"/>
  <c r="O185" i="10"/>
  <c r="BF185" i="10"/>
  <c r="AP185" i="10"/>
  <c r="Z185" i="10"/>
  <c r="AD185" i="10"/>
  <c r="BR185" i="10"/>
  <c r="BB185" i="10"/>
  <c r="AL185" i="10"/>
  <c r="V185" i="10"/>
  <c r="BJ185" i="10"/>
  <c r="N185" i="10"/>
  <c r="BN185" i="10"/>
  <c r="AX185" i="10"/>
  <c r="AH185" i="10"/>
  <c r="R185" i="10"/>
  <c r="AT185" i="10"/>
  <c r="BQ372" i="10"/>
  <c r="BQ385" i="10" s="1"/>
  <c r="BM372" i="10"/>
  <c r="BM385" i="10" s="1"/>
  <c r="BI372" i="10"/>
  <c r="BI385" i="10" s="1"/>
  <c r="BE372" i="10"/>
  <c r="BE385" i="10" s="1"/>
  <c r="BA372" i="10"/>
  <c r="BA385" i="10" s="1"/>
  <c r="AW372" i="10"/>
  <c r="AW385" i="10" s="1"/>
  <c r="AS372" i="10"/>
  <c r="AS385" i="10" s="1"/>
  <c r="AO372" i="10"/>
  <c r="AO385" i="10" s="1"/>
  <c r="AK372" i="10"/>
  <c r="AK385" i="10" s="1"/>
  <c r="AG372" i="10"/>
  <c r="AG385" i="10" s="1"/>
  <c r="AC372" i="10"/>
  <c r="AC385" i="10" s="1"/>
  <c r="Y372" i="10"/>
  <c r="Y385" i="10" s="1"/>
  <c r="U372" i="10"/>
  <c r="U385" i="10" s="1"/>
  <c r="Q372" i="10"/>
  <c r="Q385" i="10" s="1"/>
  <c r="M372" i="10"/>
  <c r="M385" i="10" s="1"/>
  <c r="BP372" i="10"/>
  <c r="BP385" i="10" s="1"/>
  <c r="BL372" i="10"/>
  <c r="BL385" i="10" s="1"/>
  <c r="BH372" i="10"/>
  <c r="BH385" i="10" s="1"/>
  <c r="BD372" i="10"/>
  <c r="BD385" i="10" s="1"/>
  <c r="AZ372" i="10"/>
  <c r="AZ385" i="10" s="1"/>
  <c r="AV372" i="10"/>
  <c r="AV385" i="10" s="1"/>
  <c r="AR372" i="10"/>
  <c r="AR385" i="10" s="1"/>
  <c r="AN372" i="10"/>
  <c r="AN385" i="10" s="1"/>
  <c r="AJ372" i="10"/>
  <c r="AJ385" i="10" s="1"/>
  <c r="AF372" i="10"/>
  <c r="AF385" i="10" s="1"/>
  <c r="AB372" i="10"/>
  <c r="AB385" i="10" s="1"/>
  <c r="X372" i="10"/>
  <c r="X385" i="10" s="1"/>
  <c r="T372" i="10"/>
  <c r="T385" i="10" s="1"/>
  <c r="P372" i="10"/>
  <c r="P385" i="10" s="1"/>
  <c r="BR372" i="10"/>
  <c r="BR385" i="10" s="1"/>
  <c r="BJ372" i="10"/>
  <c r="BJ385" i="10" s="1"/>
  <c r="BB372" i="10"/>
  <c r="BB385" i="10" s="1"/>
  <c r="AT372" i="10"/>
  <c r="AT385" i="10" s="1"/>
  <c r="AL372" i="10"/>
  <c r="AL385" i="10" s="1"/>
  <c r="AD372" i="10"/>
  <c r="AD385" i="10" s="1"/>
  <c r="V372" i="10"/>
  <c r="V385" i="10" s="1"/>
  <c r="N372" i="10"/>
  <c r="N385" i="10" s="1"/>
  <c r="BO372" i="10"/>
  <c r="BO385" i="10" s="1"/>
  <c r="BG372" i="10"/>
  <c r="BG385" i="10" s="1"/>
  <c r="AY372" i="10"/>
  <c r="AY385" i="10" s="1"/>
  <c r="AQ372" i="10"/>
  <c r="AQ385" i="10" s="1"/>
  <c r="AI372" i="10"/>
  <c r="AI385" i="10" s="1"/>
  <c r="AA372" i="10"/>
  <c r="AA385" i="10" s="1"/>
  <c r="S372" i="10"/>
  <c r="S385" i="10" s="1"/>
  <c r="BN372" i="10"/>
  <c r="BN385" i="10" s="1"/>
  <c r="BF372" i="10"/>
  <c r="BF385" i="10" s="1"/>
  <c r="AX372" i="10"/>
  <c r="AX385" i="10" s="1"/>
  <c r="AP372" i="10"/>
  <c r="AP385" i="10" s="1"/>
  <c r="AH372" i="10"/>
  <c r="AH385" i="10" s="1"/>
  <c r="Z372" i="10"/>
  <c r="Z385" i="10" s="1"/>
  <c r="R372" i="10"/>
  <c r="R385" i="10" s="1"/>
  <c r="BC372" i="10"/>
  <c r="BC385" i="10" s="1"/>
  <c r="W372" i="10"/>
  <c r="W385" i="10" s="1"/>
  <c r="AU372" i="10"/>
  <c r="AU385" i="10" s="1"/>
  <c r="O372" i="10"/>
  <c r="O385" i="10" s="1"/>
  <c r="BS372" i="10"/>
  <c r="BS385" i="10" s="1"/>
  <c r="AM372" i="10"/>
  <c r="AM385" i="10" s="1"/>
  <c r="BK372" i="10"/>
  <c r="BK385" i="10" s="1"/>
  <c r="AE372" i="10"/>
  <c r="AE385" i="10" s="1"/>
  <c r="AN197" i="8"/>
  <c r="BF197" i="8"/>
  <c r="AV197" i="8"/>
  <c r="AK197" i="8"/>
  <c r="I196" i="10"/>
  <c r="BP363" i="8"/>
  <c r="BP376" i="8" s="1"/>
  <c r="BK197" i="8"/>
  <c r="X197" i="8"/>
  <c r="S197" i="8"/>
  <c r="BH197" i="8"/>
  <c r="BE197" i="8"/>
  <c r="I386" i="9"/>
  <c r="L466" i="9" a="1"/>
  <c r="L466" i="9" s="1"/>
  <c r="I466" i="9" s="1"/>
  <c r="L174" i="9"/>
  <c r="I161" i="9"/>
  <c r="I174" i="9" s="1"/>
  <c r="L173" i="9"/>
  <c r="M206" i="5"/>
  <c r="L183" i="5"/>
  <c r="BR214" i="9"/>
  <c r="BN214" i="9"/>
  <c r="BJ214" i="9"/>
  <c r="BF214" i="9"/>
  <c r="BB214" i="9"/>
  <c r="AX214" i="9"/>
  <c r="AT214" i="9"/>
  <c r="AP214" i="9"/>
  <c r="AL214" i="9"/>
  <c r="AH214" i="9"/>
  <c r="AD214" i="9"/>
  <c r="Z214" i="9"/>
  <c r="V214" i="9"/>
  <c r="R214" i="9"/>
  <c r="N214" i="9"/>
  <c r="BQ214" i="9"/>
  <c r="BM214" i="9"/>
  <c r="BI214" i="9"/>
  <c r="BE214" i="9"/>
  <c r="BA214" i="9"/>
  <c r="AW214" i="9"/>
  <c r="AS214" i="9"/>
  <c r="AO214" i="9"/>
  <c r="AK214" i="9"/>
  <c r="AG214" i="9"/>
  <c r="AC214" i="9"/>
  <c r="Y214" i="9"/>
  <c r="U214" i="9"/>
  <c r="Q214" i="9"/>
  <c r="M214" i="9"/>
  <c r="BP214" i="9"/>
  <c r="BL214" i="9"/>
  <c r="BH214" i="9"/>
  <c r="BD214" i="9"/>
  <c r="AZ214" i="9"/>
  <c r="AV214" i="9"/>
  <c r="AR214" i="9"/>
  <c r="AN214" i="9"/>
  <c r="AJ214" i="9"/>
  <c r="AF214" i="9"/>
  <c r="AB214" i="9"/>
  <c r="X214" i="9"/>
  <c r="T214" i="9"/>
  <c r="P214" i="9"/>
  <c r="BS214" i="9"/>
  <c r="BO214" i="9"/>
  <c r="BK214" i="9"/>
  <c r="BG214" i="9"/>
  <c r="BC214" i="9"/>
  <c r="AY214" i="9"/>
  <c r="AU214" i="9"/>
  <c r="AQ214" i="9"/>
  <c r="AM214" i="9"/>
  <c r="AI214" i="9"/>
  <c r="AE214" i="9"/>
  <c r="AA214" i="9"/>
  <c r="W214" i="9"/>
  <c r="S214" i="9"/>
  <c r="O214" i="9"/>
  <c r="L147" i="5"/>
  <c r="BR410" i="9"/>
  <c r="BR423" i="9" s="1"/>
  <c r="BN410" i="9"/>
  <c r="BN423" i="9" s="1"/>
  <c r="BJ410" i="9"/>
  <c r="BJ423" i="9" s="1"/>
  <c r="BF410" i="9"/>
  <c r="BF423" i="9" s="1"/>
  <c r="BB410" i="9"/>
  <c r="BB423" i="9" s="1"/>
  <c r="AX410" i="9"/>
  <c r="AX423" i="9" s="1"/>
  <c r="AT410" i="9"/>
  <c r="AT423" i="9" s="1"/>
  <c r="AP410" i="9"/>
  <c r="AP423" i="9" s="1"/>
  <c r="AL410" i="9"/>
  <c r="AL423" i="9" s="1"/>
  <c r="AH410" i="9"/>
  <c r="AH423" i="9" s="1"/>
  <c r="AD410" i="9"/>
  <c r="AD423" i="9" s="1"/>
  <c r="Z410" i="9"/>
  <c r="Z423" i="9" s="1"/>
  <c r="V410" i="9"/>
  <c r="V423" i="9" s="1"/>
  <c r="R410" i="9"/>
  <c r="R423" i="9" s="1"/>
  <c r="N410" i="9"/>
  <c r="N423" i="9" s="1"/>
  <c r="BQ410" i="9"/>
  <c r="BQ423" i="9" s="1"/>
  <c r="BM410" i="9"/>
  <c r="BM423" i="9" s="1"/>
  <c r="BI410" i="9"/>
  <c r="BI423" i="9" s="1"/>
  <c r="BE410" i="9"/>
  <c r="BE423" i="9" s="1"/>
  <c r="BA410" i="9"/>
  <c r="BA423" i="9" s="1"/>
  <c r="AW410" i="9"/>
  <c r="AW423" i="9" s="1"/>
  <c r="AS410" i="9"/>
  <c r="AS423" i="9" s="1"/>
  <c r="AO410" i="9"/>
  <c r="AO423" i="9" s="1"/>
  <c r="AK410" i="9"/>
  <c r="AK423" i="9" s="1"/>
  <c r="AG410" i="9"/>
  <c r="AG423" i="9" s="1"/>
  <c r="AC410" i="9"/>
  <c r="AC423" i="9" s="1"/>
  <c r="Y410" i="9"/>
  <c r="Y423" i="9" s="1"/>
  <c r="U410" i="9"/>
  <c r="U423" i="9" s="1"/>
  <c r="Q410" i="9"/>
  <c r="Q423" i="9" s="1"/>
  <c r="M410" i="9"/>
  <c r="M423" i="9" s="1"/>
  <c r="BP410" i="9"/>
  <c r="BP423" i="9" s="1"/>
  <c r="BL410" i="9"/>
  <c r="BL423" i="9" s="1"/>
  <c r="BH410" i="9"/>
  <c r="BH423" i="9" s="1"/>
  <c r="BD410" i="9"/>
  <c r="BD423" i="9" s="1"/>
  <c r="AZ410" i="9"/>
  <c r="AZ423" i="9" s="1"/>
  <c r="AV410" i="9"/>
  <c r="AV423" i="9" s="1"/>
  <c r="AR410" i="9"/>
  <c r="AR423" i="9" s="1"/>
  <c r="AN410" i="9"/>
  <c r="AN423" i="9" s="1"/>
  <c r="AJ410" i="9"/>
  <c r="AJ423" i="9" s="1"/>
  <c r="AF410" i="9"/>
  <c r="AF423" i="9" s="1"/>
  <c r="AB410" i="9"/>
  <c r="AB423" i="9" s="1"/>
  <c r="X410" i="9"/>
  <c r="X423" i="9" s="1"/>
  <c r="T410" i="9"/>
  <c r="T423" i="9" s="1"/>
  <c r="P410" i="9"/>
  <c r="P423" i="9" s="1"/>
  <c r="BS410" i="9"/>
  <c r="BS423" i="9" s="1"/>
  <c r="BO410" i="9"/>
  <c r="BO423" i="9" s="1"/>
  <c r="BK410" i="9"/>
  <c r="BK423" i="9" s="1"/>
  <c r="BG410" i="9"/>
  <c r="BG423" i="9" s="1"/>
  <c r="BC410" i="9"/>
  <c r="BC423" i="9" s="1"/>
  <c r="AY410" i="9"/>
  <c r="AY423" i="9" s="1"/>
  <c r="AU410" i="9"/>
  <c r="AU423" i="9" s="1"/>
  <c r="AQ410" i="9"/>
  <c r="AQ423" i="9" s="1"/>
  <c r="AM410" i="9"/>
  <c r="AM423" i="9" s="1"/>
  <c r="AI410" i="9"/>
  <c r="AI423" i="9" s="1"/>
  <c r="AE410" i="9"/>
  <c r="AE423" i="9" s="1"/>
  <c r="AA410" i="9"/>
  <c r="AA423" i="9" s="1"/>
  <c r="W410" i="9"/>
  <c r="W423" i="9" s="1"/>
  <c r="S410" i="9"/>
  <c r="S423" i="9" s="1"/>
  <c r="O410" i="9"/>
  <c r="O423" i="9" s="1"/>
  <c r="M235" i="8"/>
  <c r="Q235" i="8"/>
  <c r="U235" i="8"/>
  <c r="Y235" i="8"/>
  <c r="AC235" i="8"/>
  <c r="AG235" i="8"/>
  <c r="AK235" i="8"/>
  <c r="AO235" i="8"/>
  <c r="AS235" i="8"/>
  <c r="AW235" i="8"/>
  <c r="BA235" i="8"/>
  <c r="BE235" i="8"/>
  <c r="BI235" i="8"/>
  <c r="BM235" i="8"/>
  <c r="BQ235" i="8"/>
  <c r="T235" i="8"/>
  <c r="AZ235" i="8"/>
  <c r="BL235" i="8"/>
  <c r="N235" i="8"/>
  <c r="R235" i="8"/>
  <c r="V235" i="8"/>
  <c r="Z235" i="8"/>
  <c r="AD235" i="8"/>
  <c r="AH235" i="8"/>
  <c r="AL235" i="8"/>
  <c r="AP235" i="8"/>
  <c r="AT235" i="8"/>
  <c r="AX235" i="8"/>
  <c r="BB235" i="8"/>
  <c r="BF235" i="8"/>
  <c r="BJ235" i="8"/>
  <c r="BN235" i="8"/>
  <c r="BR235" i="8"/>
  <c r="X235" i="8"/>
  <c r="AB235" i="8"/>
  <c r="AJ235" i="8"/>
  <c r="AR235" i="8"/>
  <c r="BD235" i="8"/>
  <c r="BP235" i="8"/>
  <c r="O235" i="8"/>
  <c r="S235" i="8"/>
  <c r="W235" i="8"/>
  <c r="AA235" i="8"/>
  <c r="AE235" i="8"/>
  <c r="AI235" i="8"/>
  <c r="AM235" i="8"/>
  <c r="AQ235" i="8"/>
  <c r="AU235" i="8"/>
  <c r="AY235" i="8"/>
  <c r="BC235" i="8"/>
  <c r="BG235" i="8"/>
  <c r="BK235" i="8"/>
  <c r="BO235" i="8"/>
  <c r="BS235" i="8"/>
  <c r="P235" i="8"/>
  <c r="AF235" i="8"/>
  <c r="AN235" i="8"/>
  <c r="AV235" i="8"/>
  <c r="BH235" i="8"/>
  <c r="M233" i="8"/>
  <c r="Q233" i="8"/>
  <c r="U233" i="8"/>
  <c r="Y233" i="8"/>
  <c r="AC233" i="8"/>
  <c r="AG233" i="8"/>
  <c r="AK233" i="8"/>
  <c r="AO233" i="8"/>
  <c r="AS233" i="8"/>
  <c r="AW233" i="8"/>
  <c r="BA233" i="8"/>
  <c r="BE233" i="8"/>
  <c r="BI233" i="8"/>
  <c r="BM233" i="8"/>
  <c r="BQ233" i="8"/>
  <c r="N233" i="8"/>
  <c r="R233" i="8"/>
  <c r="V233" i="8"/>
  <c r="Z233" i="8"/>
  <c r="AD233" i="8"/>
  <c r="AH233" i="8"/>
  <c r="AL233" i="8"/>
  <c r="AP233" i="8"/>
  <c r="AT233" i="8"/>
  <c r="AX233" i="8"/>
  <c r="BB233" i="8"/>
  <c r="BF233" i="8"/>
  <c r="BJ233" i="8"/>
  <c r="BN233" i="8"/>
  <c r="BR233" i="8"/>
  <c r="O233" i="8"/>
  <c r="S233" i="8"/>
  <c r="W233" i="8"/>
  <c r="AA233" i="8"/>
  <c r="AE233" i="8"/>
  <c r="AI233" i="8"/>
  <c r="AM233" i="8"/>
  <c r="AQ233" i="8"/>
  <c r="AU233" i="8"/>
  <c r="AY233" i="8"/>
  <c r="BC233" i="8"/>
  <c r="BG233" i="8"/>
  <c r="BK233" i="8"/>
  <c r="BO233" i="8"/>
  <c r="BS233" i="8"/>
  <c r="P233" i="8"/>
  <c r="T233" i="8"/>
  <c r="X233" i="8"/>
  <c r="AB233" i="8"/>
  <c r="AF233" i="8"/>
  <c r="AJ233" i="8"/>
  <c r="AN233" i="8"/>
  <c r="AR233" i="8"/>
  <c r="AV233" i="8"/>
  <c r="AZ233" i="8"/>
  <c r="BD233" i="8"/>
  <c r="BH233" i="8"/>
  <c r="BL233" i="8"/>
  <c r="BP233" i="8"/>
  <c r="BH372" i="5"/>
  <c r="BH385" i="5" s="1"/>
  <c r="L419" i="8" a="1"/>
  <c r="L419" i="8" s="1"/>
  <c r="I419" i="8" s="1"/>
  <c r="AX185" i="5"/>
  <c r="BQ363" i="8"/>
  <c r="BQ376" i="8" s="1"/>
  <c r="AG363" i="8"/>
  <c r="AG376" i="8" s="1"/>
  <c r="BI185" i="5"/>
  <c r="BN363" i="8"/>
  <c r="BN376" i="8" s="1"/>
  <c r="AR185" i="5"/>
  <c r="AI363" i="8"/>
  <c r="AI376" i="8" s="1"/>
  <c r="AO185" i="5"/>
  <c r="BG185" i="5"/>
  <c r="AC363" i="8"/>
  <c r="AC376" i="8" s="1"/>
  <c r="BO363" i="8"/>
  <c r="BO376" i="8" s="1"/>
  <c r="N185" i="5"/>
  <c r="AV185" i="5"/>
  <c r="AH363" i="8"/>
  <c r="AH376" i="8" s="1"/>
  <c r="BD363" i="8"/>
  <c r="BD376" i="8" s="1"/>
  <c r="AA244" i="5"/>
  <c r="BP244" i="5"/>
  <c r="L180" i="5" a="1"/>
  <c r="L180" i="5" s="1"/>
  <c r="BN244" i="5"/>
  <c r="Z244" i="5"/>
  <c r="BR244" i="5"/>
  <c r="BJ244" i="5"/>
  <c r="X185" i="5"/>
  <c r="AG185" i="5"/>
  <c r="BO185" i="5"/>
  <c r="Y185" i="5"/>
  <c r="AJ185" i="5"/>
  <c r="AQ185" i="5"/>
  <c r="AI185" i="5"/>
  <c r="AM185" i="5"/>
  <c r="M185" i="5"/>
  <c r="BA185" i="5"/>
  <c r="AW185" i="5"/>
  <c r="V185" i="5"/>
  <c r="W185" i="5"/>
  <c r="BQ185" i="5"/>
  <c r="Y363" i="8"/>
  <c r="Y376" i="8" s="1"/>
  <c r="BE363" i="8"/>
  <c r="BE376" i="8" s="1"/>
  <c r="V363" i="8"/>
  <c r="V376" i="8" s="1"/>
  <c r="BB363" i="8"/>
  <c r="BB376" i="8" s="1"/>
  <c r="W363" i="8"/>
  <c r="W376" i="8" s="1"/>
  <c r="BC363" i="8"/>
  <c r="BC376" i="8" s="1"/>
  <c r="AR363" i="8"/>
  <c r="AR376" i="8" s="1"/>
  <c r="AK363" i="8"/>
  <c r="AK376" i="8" s="1"/>
  <c r="BM363" i="8"/>
  <c r="BM376" i="8" s="1"/>
  <c r="AS363" i="8"/>
  <c r="AS376" i="8" s="1"/>
  <c r="AL363" i="8"/>
  <c r="AL376" i="8" s="1"/>
  <c r="BR363" i="8"/>
  <c r="BR376" i="8" s="1"/>
  <c r="AM363" i="8"/>
  <c r="AM376" i="8" s="1"/>
  <c r="BS363" i="8"/>
  <c r="BS376" i="8" s="1"/>
  <c r="BH363" i="8"/>
  <c r="BH376" i="8" s="1"/>
  <c r="T185" i="5"/>
  <c r="AH185" i="5"/>
  <c r="O185" i="5"/>
  <c r="AC185" i="5"/>
  <c r="AU185" i="5"/>
  <c r="U185" i="5"/>
  <c r="BJ185" i="5"/>
  <c r="Q185" i="5"/>
  <c r="BF185" i="5"/>
  <c r="AW363" i="8"/>
  <c r="AW376" i="8" s="1"/>
  <c r="AO363" i="8"/>
  <c r="AO376" i="8" s="1"/>
  <c r="R363" i="8"/>
  <c r="R376" i="8" s="1"/>
  <c r="AX363" i="8"/>
  <c r="AX376" i="8" s="1"/>
  <c r="S363" i="8"/>
  <c r="S376" i="8" s="1"/>
  <c r="AY363" i="8"/>
  <c r="AY376" i="8" s="1"/>
  <c r="AN363" i="8"/>
  <c r="AN376" i="8" s="1"/>
  <c r="L200" i="5"/>
  <c r="L202" i="5" s="1"/>
  <c r="BB244" i="5"/>
  <c r="AX244" i="5"/>
  <c r="AW244" i="5"/>
  <c r="AT244" i="5"/>
  <c r="AZ244" i="5"/>
  <c r="BA244" i="5"/>
  <c r="AR244" i="5"/>
  <c r="AS244" i="5"/>
  <c r="X244" i="5"/>
  <c r="AO244" i="5"/>
  <c r="AU244" i="5"/>
  <c r="BS244" i="5"/>
  <c r="AC244" i="5"/>
  <c r="BO244" i="5"/>
  <c r="L143" i="5"/>
  <c r="AE244" i="5"/>
  <c r="L143" i="8"/>
  <c r="V372" i="5"/>
  <c r="V385" i="5" s="1"/>
  <c r="AN372" i="5"/>
  <c r="AN385" i="5" s="1"/>
  <c r="AF372" i="5"/>
  <c r="AF385" i="5" s="1"/>
  <c r="AX372" i="5"/>
  <c r="AX385" i="5" s="1"/>
  <c r="AE372" i="5"/>
  <c r="AE385" i="5" s="1"/>
  <c r="AD372" i="5"/>
  <c r="AD385" i="5" s="1"/>
  <c r="AU372" i="5"/>
  <c r="AU385" i="5" s="1"/>
  <c r="Q372" i="5"/>
  <c r="Q385" i="5" s="1"/>
  <c r="BC372" i="5"/>
  <c r="BC385" i="5" s="1"/>
  <c r="AI372" i="5"/>
  <c r="AI385" i="5" s="1"/>
  <c r="AA372" i="5"/>
  <c r="AA385" i="5" s="1"/>
  <c r="BQ372" i="5"/>
  <c r="BQ385" i="5" s="1"/>
  <c r="AS372" i="5"/>
  <c r="AS385" i="5" s="1"/>
  <c r="Y372" i="5"/>
  <c r="Y385" i="5" s="1"/>
  <c r="Z372" i="5"/>
  <c r="Z385" i="5" s="1"/>
  <c r="BM372" i="5"/>
  <c r="BM385" i="5" s="1"/>
  <c r="O372" i="5"/>
  <c r="O385" i="5" s="1"/>
  <c r="AR372" i="5"/>
  <c r="AR385" i="5" s="1"/>
  <c r="AH372" i="5"/>
  <c r="AH385" i="5" s="1"/>
  <c r="X372" i="5"/>
  <c r="X385" i="5" s="1"/>
  <c r="S372" i="5"/>
  <c r="S385" i="5" s="1"/>
  <c r="L372" i="5"/>
  <c r="L385" i="5" s="1"/>
  <c r="BP372" i="5"/>
  <c r="BP385" i="5" s="1"/>
  <c r="BG372" i="5"/>
  <c r="BG385" i="5" s="1"/>
  <c r="AW372" i="5"/>
  <c r="AW385" i="5" s="1"/>
  <c r="AK372" i="5"/>
  <c r="AK385" i="5" s="1"/>
  <c r="W372" i="5"/>
  <c r="W385" i="5" s="1"/>
  <c r="M372" i="5"/>
  <c r="M385" i="5" s="1"/>
  <c r="BE372" i="5"/>
  <c r="BE385" i="5" s="1"/>
  <c r="AG244" i="5"/>
  <c r="AV244" i="5"/>
  <c r="N244" i="5"/>
  <c r="AJ244" i="5"/>
  <c r="AK244" i="5"/>
  <c r="P372" i="5"/>
  <c r="P385" i="5" s="1"/>
  <c r="BR372" i="5"/>
  <c r="BR385" i="5" s="1"/>
  <c r="AZ372" i="5"/>
  <c r="AZ385" i="5" s="1"/>
  <c r="BA372" i="5"/>
  <c r="BA385" i="5" s="1"/>
  <c r="AM372" i="5"/>
  <c r="AM385" i="5" s="1"/>
  <c r="AC372" i="5"/>
  <c r="AC385" i="5" s="1"/>
  <c r="N372" i="5"/>
  <c r="N385" i="5" s="1"/>
  <c r="BL372" i="5"/>
  <c r="BL385" i="5" s="1"/>
  <c r="BB372" i="5"/>
  <c r="BB385" i="5" s="1"/>
  <c r="T372" i="5"/>
  <c r="T385" i="5" s="1"/>
  <c r="BF372" i="5"/>
  <c r="BF385" i="5" s="1"/>
  <c r="AB372" i="5"/>
  <c r="AB385" i="5" s="1"/>
  <c r="R372" i="5"/>
  <c r="R385" i="5" s="1"/>
  <c r="BO372" i="5"/>
  <c r="BO385" i="5" s="1"/>
  <c r="BJ372" i="5"/>
  <c r="BJ385" i="5" s="1"/>
  <c r="I137" i="5"/>
  <c r="I147" i="5" s="1"/>
  <c r="BC244" i="5"/>
  <c r="AH244" i="5"/>
  <c r="Q244" i="5"/>
  <c r="AY244" i="5"/>
  <c r="AF244" i="5"/>
  <c r="BF244" i="5"/>
  <c r="AJ372" i="5"/>
  <c r="AJ385" i="5" s="1"/>
  <c r="AV372" i="5"/>
  <c r="AV385" i="5" s="1"/>
  <c r="AQ372" i="5"/>
  <c r="AQ385" i="5" s="1"/>
  <c r="AL372" i="5"/>
  <c r="AL385" i="5" s="1"/>
  <c r="AG372" i="5"/>
  <c r="AG385" i="5" s="1"/>
  <c r="BK372" i="5"/>
  <c r="BK385" i="5" s="1"/>
  <c r="AP372" i="5"/>
  <c r="AP385" i="5" s="1"/>
  <c r="U372" i="5"/>
  <c r="U385" i="5" s="1"/>
  <c r="BS372" i="5"/>
  <c r="BS385" i="5" s="1"/>
  <c r="BN372" i="5"/>
  <c r="BN385" i="5" s="1"/>
  <c r="BI372" i="5"/>
  <c r="BI385" i="5" s="1"/>
  <c r="BD372" i="5"/>
  <c r="BD385" i="5" s="1"/>
  <c r="AY372" i="5"/>
  <c r="AY385" i="5" s="1"/>
  <c r="AT372" i="5"/>
  <c r="AT385" i="5" s="1"/>
  <c r="AO372" i="5"/>
  <c r="AO385" i="5" s="1"/>
  <c r="P244" i="5"/>
  <c r="BH244" i="5"/>
  <c r="AM244" i="5"/>
  <c r="BI244" i="5"/>
  <c r="BG244" i="5"/>
  <c r="BD244" i="5"/>
  <c r="S244" i="5"/>
  <c r="BE244" i="5"/>
  <c r="AQ244" i="5"/>
  <c r="BK244" i="5"/>
  <c r="AP244" i="5"/>
  <c r="U244" i="5"/>
  <c r="L144" i="8"/>
  <c r="AY185" i="5"/>
  <c r="AF185" i="5"/>
  <c r="BP185" i="5"/>
  <c r="Z185" i="5"/>
  <c r="AD185" i="5"/>
  <c r="BD185" i="5"/>
  <c r="BS185" i="5"/>
  <c r="AP185" i="5"/>
  <c r="AS185" i="5"/>
  <c r="BM185" i="5"/>
  <c r="AL185" i="5"/>
  <c r="R185" i="5"/>
  <c r="AN185" i="5"/>
  <c r="AK185" i="5"/>
  <c r="BE185" i="5"/>
  <c r="Q363" i="8"/>
  <c r="Q376" i="8" s="1"/>
  <c r="BA363" i="8"/>
  <c r="BA376" i="8" s="1"/>
  <c r="T363" i="8"/>
  <c r="T376" i="8" s="1"/>
  <c r="M363" i="8"/>
  <c r="M376" i="8" s="1"/>
  <c r="BI363" i="8"/>
  <c r="BI376" i="8" s="1"/>
  <c r="Z363" i="8"/>
  <c r="Z376" i="8" s="1"/>
  <c r="AP363" i="8"/>
  <c r="AP376" i="8" s="1"/>
  <c r="BF363" i="8"/>
  <c r="BF376" i="8" s="1"/>
  <c r="L363" i="8"/>
  <c r="AA363" i="8"/>
  <c r="AA376" i="8" s="1"/>
  <c r="AQ363" i="8"/>
  <c r="AQ376" i="8" s="1"/>
  <c r="BG363" i="8"/>
  <c r="BG376" i="8" s="1"/>
  <c r="AF363" i="8"/>
  <c r="AF376" i="8" s="1"/>
  <c r="AV363" i="8"/>
  <c r="AV376" i="8" s="1"/>
  <c r="BL363" i="8"/>
  <c r="BL376" i="8" s="1"/>
  <c r="BR185" i="5"/>
  <c r="BC185" i="5"/>
  <c r="P185" i="5"/>
  <c r="AZ185" i="5"/>
  <c r="BH185" i="5"/>
  <c r="AE185" i="5"/>
  <c r="AA185" i="5"/>
  <c r="S185" i="5"/>
  <c r="AT185" i="5"/>
  <c r="BN185" i="5"/>
  <c r="BK185" i="5"/>
  <c r="BB185" i="5"/>
  <c r="BL185" i="5"/>
  <c r="AB185" i="5"/>
  <c r="X363" i="8"/>
  <c r="X376" i="8" s="1"/>
  <c r="P363" i="8"/>
  <c r="P376" i="8" s="1"/>
  <c r="AB363" i="8"/>
  <c r="AB376" i="8" s="1"/>
  <c r="U363" i="8"/>
  <c r="U376" i="8" s="1"/>
  <c r="N363" i="8"/>
  <c r="N376" i="8" s="1"/>
  <c r="AD363" i="8"/>
  <c r="AD376" i="8" s="1"/>
  <c r="AT363" i="8"/>
  <c r="AT376" i="8" s="1"/>
  <c r="BJ363" i="8"/>
  <c r="BJ376" i="8" s="1"/>
  <c r="O363" i="8"/>
  <c r="O376" i="8" s="1"/>
  <c r="AE363" i="8"/>
  <c r="AE376" i="8" s="1"/>
  <c r="AU363" i="8"/>
  <c r="AU376" i="8" s="1"/>
  <c r="BK363" i="8"/>
  <c r="BK376" i="8" s="1"/>
  <c r="AJ363" i="8"/>
  <c r="AJ376" i="8" s="1"/>
  <c r="AZ363" i="8"/>
  <c r="AZ376" i="8" s="1"/>
  <c r="L146" i="5"/>
  <c r="BL244" i="5"/>
  <c r="V244" i="5"/>
  <c r="AB244" i="5"/>
  <c r="W244" i="5"/>
  <c r="R244" i="5"/>
  <c r="M244" i="5"/>
  <c r="AL244" i="5"/>
  <c r="AN244" i="5"/>
  <c r="AI244" i="5"/>
  <c r="AD244" i="5"/>
  <c r="Y244" i="5"/>
  <c r="BM244" i="5"/>
  <c r="T244" i="5"/>
  <c r="O244" i="5"/>
  <c r="BQ244" i="5"/>
  <c r="L177" i="8" a="1"/>
  <c r="L177" i="8" s="1"/>
  <c r="I196" i="5"/>
  <c r="L428" i="5" a="1"/>
  <c r="L428" i="5" s="1"/>
  <c r="I348" i="5"/>
  <c r="I401" i="5"/>
  <c r="L439" i="20" l="1"/>
  <c r="L492" i="20" s="1"/>
  <c r="N95" i="25"/>
  <c r="P104" i="25"/>
  <c r="Z43" i="21"/>
  <c r="N37" i="25"/>
  <c r="Q44" i="21"/>
  <c r="AI44" i="21" s="1"/>
  <c r="AG44" i="21"/>
  <c r="AP44" i="21"/>
  <c r="AC44" i="21"/>
  <c r="AF44" i="21"/>
  <c r="AA44" i="21"/>
  <c r="AD44" i="21"/>
  <c r="AB44" i="21"/>
  <c r="AE44" i="21"/>
  <c r="I561" i="23"/>
  <c r="I448" i="23"/>
  <c r="L449" i="23"/>
  <c r="I210" i="23"/>
  <c r="I212" i="23"/>
  <c r="Z94" i="21"/>
  <c r="L210" i="11"/>
  <c r="L229" i="15" s="1"/>
  <c r="M229" i="15"/>
  <c r="L285" i="11"/>
  <c r="L305" i="15" s="1"/>
  <c r="L188" i="15"/>
  <c r="I188" i="15" s="1"/>
  <c r="Q139" i="15"/>
  <c r="Q329" i="15"/>
  <c r="R138" i="15"/>
  <c r="R130" i="11"/>
  <c r="Q131" i="11"/>
  <c r="Q307" i="11"/>
  <c r="L283" i="11"/>
  <c r="L303" i="15" s="1"/>
  <c r="P234" i="11"/>
  <c r="P238" i="11" s="1"/>
  <c r="S136" i="15"/>
  <c r="R323" i="15"/>
  <c r="R128" i="11"/>
  <c r="R301" i="11" s="1"/>
  <c r="L299" i="18"/>
  <c r="L301" i="18" s="1"/>
  <c r="U246" i="18"/>
  <c r="L524" i="20"/>
  <c r="R124" i="20"/>
  <c r="Q125" i="20"/>
  <c r="L229" i="20"/>
  <c r="Y229" i="20"/>
  <c r="AO229" i="20"/>
  <c r="BE229" i="20"/>
  <c r="T229" i="20"/>
  <c r="BL229" i="20"/>
  <c r="Z229" i="20"/>
  <c r="AP229" i="20"/>
  <c r="BF229" i="20"/>
  <c r="P229" i="20"/>
  <c r="BP229" i="20"/>
  <c r="AA229" i="20"/>
  <c r="AQ229" i="20"/>
  <c r="BG229" i="20"/>
  <c r="X229" i="20"/>
  <c r="M229" i="20"/>
  <c r="AC229" i="20"/>
  <c r="AS229" i="20"/>
  <c r="BI229" i="20"/>
  <c r="AB229" i="20"/>
  <c r="N229" i="20"/>
  <c r="AD229" i="20"/>
  <c r="AT229" i="20"/>
  <c r="BJ229" i="20"/>
  <c r="AF229" i="20"/>
  <c r="O229" i="20"/>
  <c r="AE229" i="20"/>
  <c r="AU229" i="20"/>
  <c r="BK229" i="20"/>
  <c r="AJ229" i="20"/>
  <c r="Q229" i="20"/>
  <c r="AG229" i="20"/>
  <c r="AW229" i="20"/>
  <c r="BM229" i="20"/>
  <c r="AR229" i="20"/>
  <c r="R229" i="20"/>
  <c r="AH229" i="20"/>
  <c r="AX229" i="20"/>
  <c r="BN229" i="20"/>
  <c r="AN229" i="20"/>
  <c r="S229" i="20"/>
  <c r="AI229" i="20"/>
  <c r="AY229" i="20"/>
  <c r="BO229" i="20"/>
  <c r="AV229" i="20"/>
  <c r="U229" i="20"/>
  <c r="AK229" i="20"/>
  <c r="BA229" i="20"/>
  <c r="BQ229" i="20"/>
  <c r="BD229" i="20"/>
  <c r="V229" i="20"/>
  <c r="AL229" i="20"/>
  <c r="BB229" i="20"/>
  <c r="BR229" i="20"/>
  <c r="AZ229" i="20"/>
  <c r="W229" i="20"/>
  <c r="AM229" i="20"/>
  <c r="BC229" i="20"/>
  <c r="BS229" i="20"/>
  <c r="BH229" i="20"/>
  <c r="Y246" i="18"/>
  <c r="I242" i="18"/>
  <c r="BK492" i="20"/>
  <c r="AB492" i="20"/>
  <c r="N492" i="20"/>
  <c r="AU492" i="20"/>
  <c r="BJ492" i="20"/>
  <c r="X492" i="20"/>
  <c r="AE492" i="20"/>
  <c r="AT492" i="20"/>
  <c r="AF492" i="20"/>
  <c r="O492" i="20"/>
  <c r="AD492" i="20"/>
  <c r="AO492" i="20"/>
  <c r="Y492" i="20"/>
  <c r="BL492" i="20"/>
  <c r="P492" i="20"/>
  <c r="BG492" i="20"/>
  <c r="AQ492" i="20"/>
  <c r="AA492" i="20"/>
  <c r="BP492" i="20"/>
  <c r="T492" i="20"/>
  <c r="BF492" i="20"/>
  <c r="AP492" i="20"/>
  <c r="Z492" i="20"/>
  <c r="BH492" i="20"/>
  <c r="BQ492" i="20"/>
  <c r="BA492" i="20"/>
  <c r="AK492" i="20"/>
  <c r="U492" i="20"/>
  <c r="BE492" i="20"/>
  <c r="BD492" i="20"/>
  <c r="BS492" i="20"/>
  <c r="BC492" i="20"/>
  <c r="AM492" i="20"/>
  <c r="W492" i="20"/>
  <c r="AZ492" i="20"/>
  <c r="BR492" i="20"/>
  <c r="BB492" i="20"/>
  <c r="AL492" i="20"/>
  <c r="V492" i="20"/>
  <c r="AV492" i="20"/>
  <c r="BM492" i="20"/>
  <c r="AW492" i="20"/>
  <c r="AG492" i="20"/>
  <c r="Q492" i="20"/>
  <c r="AR492" i="20"/>
  <c r="BO492" i="20"/>
  <c r="AY492" i="20"/>
  <c r="AI492" i="20"/>
  <c r="S492" i="20"/>
  <c r="AN492" i="20"/>
  <c r="BN492" i="20"/>
  <c r="AX492" i="20"/>
  <c r="AH492" i="20"/>
  <c r="R492" i="20"/>
  <c r="AJ492" i="20"/>
  <c r="BI492" i="20"/>
  <c r="AS492" i="20"/>
  <c r="AC492" i="20"/>
  <c r="M492" i="20"/>
  <c r="S122" i="20"/>
  <c r="I282" i="20"/>
  <c r="I410" i="20"/>
  <c r="L412" i="20"/>
  <c r="I284" i="20"/>
  <c r="L241" i="20"/>
  <c r="I216" i="20"/>
  <c r="L218" i="20"/>
  <c r="L535" i="18" a="1"/>
  <c r="L535" i="18" s="1"/>
  <c r="I535" i="18" s="1"/>
  <c r="L233" i="18" a="1"/>
  <c r="L450" i="18" a="1"/>
  <c r="I222" i="18"/>
  <c r="I187" i="18"/>
  <c r="I186" i="18"/>
  <c r="I293" i="18"/>
  <c r="I181" i="18"/>
  <c r="I140" i="8"/>
  <c r="BQ112" i="8"/>
  <c r="BP114" i="8"/>
  <c r="L235" i="8"/>
  <c r="I235" i="8" s="1"/>
  <c r="L248" i="18"/>
  <c r="I295" i="18"/>
  <c r="I180" i="8"/>
  <c r="I421" i="18"/>
  <c r="L423" i="18"/>
  <c r="L227" i="18"/>
  <c r="I225" i="18"/>
  <c r="L206" i="5"/>
  <c r="M289" i="11"/>
  <c r="P289" i="11"/>
  <c r="P294" i="11" s="1"/>
  <c r="O289" i="11"/>
  <c r="O294" i="11" s="1"/>
  <c r="N289" i="11"/>
  <c r="N294" i="11" s="1"/>
  <c r="I190" i="15"/>
  <c r="L291" i="11"/>
  <c r="L313" i="15" s="1"/>
  <c r="I173" i="11"/>
  <c r="AW450" i="15"/>
  <c r="BA450" i="15"/>
  <c r="BE450" i="15"/>
  <c r="BI450" i="15"/>
  <c r="Z450" i="15"/>
  <c r="AP450" i="15"/>
  <c r="BF450" i="15"/>
  <c r="O450" i="15"/>
  <c r="AE450" i="15"/>
  <c r="AU450" i="15"/>
  <c r="BK450" i="15"/>
  <c r="T450" i="15"/>
  <c r="AJ450" i="15"/>
  <c r="AZ450" i="15"/>
  <c r="BP450" i="15"/>
  <c r="BM450" i="15"/>
  <c r="BQ450" i="15"/>
  <c r="M450" i="15"/>
  <c r="N450" i="15"/>
  <c r="AD450" i="15"/>
  <c r="AT450" i="15"/>
  <c r="BJ450" i="15"/>
  <c r="S450" i="15"/>
  <c r="AI450" i="15"/>
  <c r="AY450" i="15"/>
  <c r="BO450" i="15"/>
  <c r="X450" i="15"/>
  <c r="AN450" i="15"/>
  <c r="BD450" i="15"/>
  <c r="Q450" i="15"/>
  <c r="U450" i="15"/>
  <c r="Y450" i="15"/>
  <c r="AC450" i="15"/>
  <c r="R450" i="15"/>
  <c r="AH450" i="15"/>
  <c r="AX450" i="15"/>
  <c r="BN450" i="15"/>
  <c r="W450" i="15"/>
  <c r="AM450" i="15"/>
  <c r="BC450" i="15"/>
  <c r="BS450" i="15"/>
  <c r="AB450" i="15"/>
  <c r="AR450" i="15"/>
  <c r="BH450" i="15"/>
  <c r="AG450" i="15"/>
  <c r="AK450" i="15"/>
  <c r="AO450" i="15"/>
  <c r="AS450" i="15"/>
  <c r="V450" i="15"/>
  <c r="AL450" i="15"/>
  <c r="BB450" i="15"/>
  <c r="BR450" i="15"/>
  <c r="AA450" i="15"/>
  <c r="AQ450" i="15"/>
  <c r="BG450" i="15"/>
  <c r="P450" i="15"/>
  <c r="AF450" i="15"/>
  <c r="AV450" i="15"/>
  <c r="BL450" i="15"/>
  <c r="L182" i="8"/>
  <c r="I193" i="15"/>
  <c r="I232" i="15"/>
  <c r="L234" i="15"/>
  <c r="L437" i="15"/>
  <c r="I435" i="15"/>
  <c r="I214" i="11"/>
  <c r="I176" i="11"/>
  <c r="I232" i="11"/>
  <c r="L215" i="11"/>
  <c r="I213" i="11"/>
  <c r="I413" i="11"/>
  <c r="L399" i="10" a="1"/>
  <c r="L399" i="10" s="1"/>
  <c r="L452" i="10" s="1"/>
  <c r="L484" i="10" a="1"/>
  <c r="L484" i="10" s="1"/>
  <c r="I484" i="10" s="1"/>
  <c r="I146" i="10"/>
  <c r="I180" i="10"/>
  <c r="L191" i="10" a="1"/>
  <c r="L191" i="10" s="1"/>
  <c r="L213" i="10" s="1"/>
  <c r="I143" i="8"/>
  <c r="L185" i="5"/>
  <c r="I244" i="10"/>
  <c r="I370" i="10"/>
  <c r="L372" i="10"/>
  <c r="I200" i="10"/>
  <c r="L202" i="10"/>
  <c r="I183" i="10"/>
  <c r="L185" i="10"/>
  <c r="L437" i="9" a="1"/>
  <c r="L437" i="9" s="1"/>
  <c r="L522" i="9" a="1"/>
  <c r="L522" i="9" s="1"/>
  <c r="I209" i="9"/>
  <c r="L220" i="9" a="1"/>
  <c r="I173" i="9"/>
  <c r="I212" i="9"/>
  <c r="L214" i="9"/>
  <c r="I183" i="5"/>
  <c r="I231" i="9"/>
  <c r="L233" i="9"/>
  <c r="I282" i="9"/>
  <c r="I408" i="9"/>
  <c r="L233" i="8"/>
  <c r="L390" i="8" a="1"/>
  <c r="L390" i="8" s="1"/>
  <c r="L443" i="8" s="1"/>
  <c r="L475" i="8" a="1"/>
  <c r="L475" i="8" s="1"/>
  <c r="I475" i="8" s="1"/>
  <c r="I146" i="5"/>
  <c r="I177" i="8"/>
  <c r="L188" i="8" a="1"/>
  <c r="L188" i="8" s="1"/>
  <c r="I200" i="5"/>
  <c r="L191" i="5" a="1"/>
  <c r="BE194" i="5" s="1"/>
  <c r="I180" i="5"/>
  <c r="L399" i="5" a="1"/>
  <c r="U452" i="5" s="1"/>
  <c r="L484" i="5" a="1"/>
  <c r="L484" i="5" s="1"/>
  <c r="I484" i="5" s="1"/>
  <c r="L244" i="5"/>
  <c r="L242" i="5" a="1"/>
  <c r="L242" i="5" s="1"/>
  <c r="I242" i="5" s="1"/>
  <c r="I143" i="5"/>
  <c r="I385" i="5"/>
  <c r="I372" i="5"/>
  <c r="I361" i="8"/>
  <c r="I363" i="8"/>
  <c r="L376" i="8"/>
  <c r="I376" i="8" s="1"/>
  <c r="I202" i="5"/>
  <c r="N104" i="25" l="1"/>
  <c r="L245" i="20"/>
  <c r="I522" i="9"/>
  <c r="L490" i="9"/>
  <c r="Z44" i="21"/>
  <c r="I524" i="20"/>
  <c r="I449" i="23"/>
  <c r="L462" i="23"/>
  <c r="BK223" i="23"/>
  <c r="BJ223" i="23"/>
  <c r="AT223" i="23"/>
  <c r="AD223" i="23"/>
  <c r="BM223" i="23"/>
  <c r="AO223" i="23"/>
  <c r="T223" i="23"/>
  <c r="AY223" i="23"/>
  <c r="AC223" i="23"/>
  <c r="AW223" i="23"/>
  <c r="AB223" i="23"/>
  <c r="BP223" i="23"/>
  <c r="AQ223" i="23"/>
  <c r="U223" i="23"/>
  <c r="BG223" i="23"/>
  <c r="BF223" i="23"/>
  <c r="AP223" i="23"/>
  <c r="Z223" i="23"/>
  <c r="BE223" i="23"/>
  <c r="AJ223" i="23"/>
  <c r="O223" i="23"/>
  <c r="AS223" i="23"/>
  <c r="X223" i="23"/>
  <c r="BQ223" i="23"/>
  <c r="AR223" i="23"/>
  <c r="W223" i="23"/>
  <c r="BH223" i="23"/>
  <c r="AK223" i="23"/>
  <c r="P223" i="23"/>
  <c r="BS223" i="23"/>
  <c r="BR223" i="23"/>
  <c r="BB223" i="23"/>
  <c r="AL223" i="23"/>
  <c r="V223" i="23"/>
  <c r="AZ223" i="23"/>
  <c r="AE223" i="23"/>
  <c r="BL223" i="23"/>
  <c r="AN223" i="23"/>
  <c r="S223" i="23"/>
  <c r="BI223" i="23"/>
  <c r="AM223" i="23"/>
  <c r="Q223" i="23"/>
  <c r="BA223" i="23"/>
  <c r="AF223" i="23"/>
  <c r="BO223" i="23"/>
  <c r="BN223" i="23"/>
  <c r="AX223" i="23"/>
  <c r="AH223" i="23"/>
  <c r="R223" i="23"/>
  <c r="AU223" i="23"/>
  <c r="Y223" i="23"/>
  <c r="BD223" i="23"/>
  <c r="AI223" i="23"/>
  <c r="N223" i="23"/>
  <c r="BC223" i="23"/>
  <c r="AG223" i="23"/>
  <c r="M223" i="23"/>
  <c r="AV223" i="23"/>
  <c r="AA223" i="23"/>
  <c r="I210" i="11"/>
  <c r="L442" i="11" a="1"/>
  <c r="Q495" i="11" s="1"/>
  <c r="L221" i="11" a="1"/>
  <c r="L221" i="11" s="1"/>
  <c r="L226" i="11" s="1"/>
  <c r="L527" i="11" a="1"/>
  <c r="L527" i="11" s="1"/>
  <c r="L240" i="15" a="1"/>
  <c r="AO245" i="15" s="1"/>
  <c r="M294" i="11"/>
  <c r="M316" i="15" s="1"/>
  <c r="M311" i="15"/>
  <c r="L464" i="15" a="1"/>
  <c r="M517" i="15" s="1"/>
  <c r="I229" i="15"/>
  <c r="L549" i="15" a="1"/>
  <c r="R139" i="15"/>
  <c r="R329" i="15"/>
  <c r="S138" i="15"/>
  <c r="S130" i="11"/>
  <c r="R131" i="11"/>
  <c r="R307" i="11"/>
  <c r="Q234" i="11"/>
  <c r="Q238" i="11" s="1"/>
  <c r="Q289" i="11"/>
  <c r="Q294" i="11" s="1"/>
  <c r="R234" i="11"/>
  <c r="S128" i="11"/>
  <c r="S301" i="11" s="1"/>
  <c r="T136" i="15"/>
  <c r="S323" i="15"/>
  <c r="H189" i="21" s="1" a="1"/>
  <c r="H189" i="21" s="1"/>
  <c r="L220" i="9"/>
  <c r="Y225" i="9"/>
  <c r="AO225" i="9"/>
  <c r="BE225" i="9"/>
  <c r="N225" i="9"/>
  <c r="AD225" i="9"/>
  <c r="AT225" i="9"/>
  <c r="BJ225" i="9"/>
  <c r="S225" i="9"/>
  <c r="AI225" i="9"/>
  <c r="AY225" i="9"/>
  <c r="BO225" i="9"/>
  <c r="X225" i="9"/>
  <c r="AN225" i="9"/>
  <c r="BD225" i="9"/>
  <c r="M225" i="9"/>
  <c r="AC225" i="9"/>
  <c r="AS225" i="9"/>
  <c r="BI225" i="9"/>
  <c r="R225" i="9"/>
  <c r="AH225" i="9"/>
  <c r="AX225" i="9"/>
  <c r="BN225" i="9"/>
  <c r="W225" i="9"/>
  <c r="AM225" i="9"/>
  <c r="BC225" i="9"/>
  <c r="BS225" i="9"/>
  <c r="AB225" i="9"/>
  <c r="AR225" i="9"/>
  <c r="BH225" i="9"/>
  <c r="Q225" i="9"/>
  <c r="AG225" i="9"/>
  <c r="AW225" i="9"/>
  <c r="BM225" i="9"/>
  <c r="V225" i="9"/>
  <c r="AL225" i="9"/>
  <c r="BB225" i="9"/>
  <c r="BR225" i="9"/>
  <c r="AA225" i="9"/>
  <c r="AQ225" i="9"/>
  <c r="BG225" i="9"/>
  <c r="P225" i="9"/>
  <c r="AF225" i="9"/>
  <c r="AV225" i="9"/>
  <c r="BL225" i="9"/>
  <c r="U225" i="9"/>
  <c r="AK225" i="9"/>
  <c r="BA225" i="9"/>
  <c r="BQ225" i="9"/>
  <c r="Z225" i="9"/>
  <c r="AP225" i="9"/>
  <c r="BF225" i="9"/>
  <c r="O225" i="9"/>
  <c r="AE225" i="9"/>
  <c r="AU225" i="9"/>
  <c r="BK225" i="9"/>
  <c r="T225" i="9"/>
  <c r="AJ225" i="9"/>
  <c r="AZ225" i="9"/>
  <c r="BP225" i="9"/>
  <c r="I246" i="18"/>
  <c r="L233" i="18"/>
  <c r="L238" i="18" s="1"/>
  <c r="Y238" i="18"/>
  <c r="AO238" i="18"/>
  <c r="BE238" i="18"/>
  <c r="N238" i="18"/>
  <c r="AD238" i="18"/>
  <c r="AT238" i="18"/>
  <c r="BJ238" i="18"/>
  <c r="S238" i="18"/>
  <c r="AI238" i="18"/>
  <c r="AY238" i="18"/>
  <c r="BO238" i="18"/>
  <c r="X238" i="18"/>
  <c r="AN238" i="18"/>
  <c r="BD238" i="18"/>
  <c r="M238" i="18"/>
  <c r="AC238" i="18"/>
  <c r="AS238" i="18"/>
  <c r="BI238" i="18"/>
  <c r="R238" i="18"/>
  <c r="AH238" i="18"/>
  <c r="AX238" i="18"/>
  <c r="BN238" i="18"/>
  <c r="W238" i="18"/>
  <c r="AM238" i="18"/>
  <c r="BC238" i="18"/>
  <c r="BS238" i="18"/>
  <c r="AB238" i="18"/>
  <c r="AR238" i="18"/>
  <c r="BH238" i="18"/>
  <c r="Q238" i="18"/>
  <c r="AG238" i="18"/>
  <c r="AW238" i="18"/>
  <c r="BM238" i="18"/>
  <c r="V238" i="18"/>
  <c r="AL238" i="18"/>
  <c r="BB238" i="18"/>
  <c r="BR238" i="18"/>
  <c r="AA238" i="18"/>
  <c r="AQ238" i="18"/>
  <c r="BG238" i="18"/>
  <c r="P238" i="18"/>
  <c r="AF238" i="18"/>
  <c r="AV238" i="18"/>
  <c r="BL238" i="18"/>
  <c r="U238" i="18"/>
  <c r="AK238" i="18"/>
  <c r="BA238" i="18"/>
  <c r="BQ238" i="18"/>
  <c r="Z238" i="18"/>
  <c r="AP238" i="18"/>
  <c r="BF238" i="18"/>
  <c r="O238" i="18"/>
  <c r="AE238" i="18"/>
  <c r="AU238" i="18"/>
  <c r="BK238" i="18"/>
  <c r="T238" i="18"/>
  <c r="AJ238" i="18"/>
  <c r="AZ238" i="18"/>
  <c r="BP238" i="18"/>
  <c r="S124" i="20"/>
  <c r="R125" i="20"/>
  <c r="I218" i="20"/>
  <c r="L523" i="20" a="1"/>
  <c r="T122" i="20"/>
  <c r="L242" i="20"/>
  <c r="M240" i="20" s="1"/>
  <c r="N239" i="20" s="1"/>
  <c r="I412" i="20"/>
  <c r="L425" i="20"/>
  <c r="Q503" i="18"/>
  <c r="AG503" i="18"/>
  <c r="AW503" i="18"/>
  <c r="BM503" i="18"/>
  <c r="AN503" i="18"/>
  <c r="N503" i="18"/>
  <c r="AD503" i="18"/>
  <c r="AT503" i="18"/>
  <c r="BJ503" i="18"/>
  <c r="AB503" i="18"/>
  <c r="BD503" i="18"/>
  <c r="W503" i="18"/>
  <c r="AM503" i="18"/>
  <c r="BC503" i="18"/>
  <c r="BS503" i="18"/>
  <c r="U503" i="18"/>
  <c r="AK503" i="18"/>
  <c r="BA503" i="18"/>
  <c r="BQ503" i="18"/>
  <c r="AZ503" i="18"/>
  <c r="R503" i="18"/>
  <c r="AH503" i="18"/>
  <c r="AX503" i="18"/>
  <c r="BN503" i="18"/>
  <c r="AJ503" i="18"/>
  <c r="BL503" i="18"/>
  <c r="AA503" i="18"/>
  <c r="AQ503" i="18"/>
  <c r="BG503" i="18"/>
  <c r="X503" i="18"/>
  <c r="L450" i="18"/>
  <c r="Y503" i="18"/>
  <c r="AO503" i="18"/>
  <c r="BE503" i="18"/>
  <c r="T503" i="18"/>
  <c r="BH503" i="18"/>
  <c r="V503" i="18"/>
  <c r="AL503" i="18"/>
  <c r="BB503" i="18"/>
  <c r="BR503" i="18"/>
  <c r="AR503" i="18"/>
  <c r="O503" i="18"/>
  <c r="AE503" i="18"/>
  <c r="AU503" i="18"/>
  <c r="BK503" i="18"/>
  <c r="M503" i="18"/>
  <c r="AC503" i="18"/>
  <c r="AS503" i="18"/>
  <c r="BI503" i="18"/>
  <c r="AF503" i="18"/>
  <c r="BP503" i="18"/>
  <c r="Z503" i="18"/>
  <c r="AP503" i="18"/>
  <c r="BF503" i="18"/>
  <c r="P503" i="18"/>
  <c r="AV503" i="18"/>
  <c r="S503" i="18"/>
  <c r="AI503" i="18"/>
  <c r="AY503" i="18"/>
  <c r="BO503" i="18"/>
  <c r="I227" i="18"/>
  <c r="L534" i="18" a="1"/>
  <c r="L252" i="18"/>
  <c r="BQ114" i="8"/>
  <c r="BR112" i="8"/>
  <c r="I423" i="18"/>
  <c r="L436" i="18"/>
  <c r="I436" i="18" s="1"/>
  <c r="L249" i="18"/>
  <c r="M247" i="18" s="1"/>
  <c r="L474" i="8" a="1"/>
  <c r="L474" i="8" s="1"/>
  <c r="I474" i="8" s="1"/>
  <c r="L289" i="11"/>
  <c r="L294" i="11" s="1"/>
  <c r="I291" i="11"/>
  <c r="I182" i="8"/>
  <c r="L237" i="9"/>
  <c r="L239" i="9" s="1"/>
  <c r="I234" i="15"/>
  <c r="L548" i="15" a="1"/>
  <c r="I437" i="15"/>
  <c r="L450" i="15"/>
  <c r="I215" i="11"/>
  <c r="L526" i="11" a="1"/>
  <c r="L483" i="5" a="1"/>
  <c r="L483" i="5" s="1"/>
  <c r="I483" i="5" s="1"/>
  <c r="I415" i="11"/>
  <c r="L428" i="11"/>
  <c r="I428" i="11" s="1"/>
  <c r="L240" i="11"/>
  <c r="AJ452" i="10"/>
  <c r="T452" i="10"/>
  <c r="AQ452" i="10"/>
  <c r="BR452" i="10"/>
  <c r="BP452" i="10"/>
  <c r="BK452" i="10"/>
  <c r="BB452" i="10"/>
  <c r="AV452" i="10"/>
  <c r="AU452" i="10"/>
  <c r="BQ452" i="10"/>
  <c r="AZ452" i="10"/>
  <c r="P452" i="10"/>
  <c r="O452" i="10"/>
  <c r="AW452" i="10"/>
  <c r="AE452" i="10"/>
  <c r="AH452" i="10"/>
  <c r="AS452" i="10"/>
  <c r="Z452" i="10"/>
  <c r="AC452" i="10"/>
  <c r="BL452" i="10"/>
  <c r="AF452" i="10"/>
  <c r="BG452" i="10"/>
  <c r="AA452" i="10"/>
  <c r="AX452" i="10"/>
  <c r="BM452" i="10"/>
  <c r="U452" i="10"/>
  <c r="BH452" i="10"/>
  <c r="AR452" i="10"/>
  <c r="AB452" i="10"/>
  <c r="BS452" i="10"/>
  <c r="BC452" i="10"/>
  <c r="AM452" i="10"/>
  <c r="W452" i="10"/>
  <c r="BN452" i="10"/>
  <c r="AP452" i="10"/>
  <c r="V452" i="10"/>
  <c r="BI452" i="10"/>
  <c r="AK452" i="10"/>
  <c r="Q452" i="10"/>
  <c r="BD452" i="10"/>
  <c r="AN452" i="10"/>
  <c r="X452" i="10"/>
  <c r="BO452" i="10"/>
  <c r="AY452" i="10"/>
  <c r="AI452" i="10"/>
  <c r="S452" i="10"/>
  <c r="BF452" i="10"/>
  <c r="AL452" i="10"/>
  <c r="R452" i="10"/>
  <c r="BA452" i="10"/>
  <c r="AG452" i="10"/>
  <c r="M452" i="10"/>
  <c r="BJ452" i="10"/>
  <c r="AT452" i="10"/>
  <c r="AD452" i="10"/>
  <c r="N452" i="10"/>
  <c r="BE452" i="10"/>
  <c r="AO452" i="10"/>
  <c r="Y452" i="10"/>
  <c r="I185" i="10"/>
  <c r="L483" i="10" a="1"/>
  <c r="L483" i="10" s="1"/>
  <c r="I202" i="10"/>
  <c r="L206" i="10"/>
  <c r="L208" i="10" s="1"/>
  <c r="I185" i="5"/>
  <c r="I372" i="10"/>
  <c r="L385" i="10"/>
  <c r="I385" i="10" s="1"/>
  <c r="BD194" i="10"/>
  <c r="AN194" i="10"/>
  <c r="X194" i="10"/>
  <c r="BO194" i="10"/>
  <c r="AY194" i="10"/>
  <c r="AI194" i="10"/>
  <c r="S194" i="10"/>
  <c r="BJ194" i="10"/>
  <c r="AT194" i="10"/>
  <c r="AD194" i="10"/>
  <c r="N194" i="10"/>
  <c r="Q194" i="10"/>
  <c r="AS194" i="10"/>
  <c r="U194" i="10"/>
  <c r="AK194" i="10"/>
  <c r="BP194" i="10"/>
  <c r="AZ194" i="10"/>
  <c r="AJ194" i="10"/>
  <c r="T194" i="10"/>
  <c r="BK194" i="10"/>
  <c r="AU194" i="10"/>
  <c r="AE194" i="10"/>
  <c r="O194" i="10"/>
  <c r="BF194" i="10"/>
  <c r="AP194" i="10"/>
  <c r="Z194" i="10"/>
  <c r="BM194" i="10"/>
  <c r="AC194" i="10"/>
  <c r="BE194" i="10"/>
  <c r="BL194" i="10"/>
  <c r="AV194" i="10"/>
  <c r="AF194" i="10"/>
  <c r="P194" i="10"/>
  <c r="BG194" i="10"/>
  <c r="AQ194" i="10"/>
  <c r="AA194" i="10"/>
  <c r="BR194" i="10"/>
  <c r="BB194" i="10"/>
  <c r="AL194" i="10"/>
  <c r="V194" i="10"/>
  <c r="AW194" i="10"/>
  <c r="BQ194" i="10"/>
  <c r="M194" i="10"/>
  <c r="AO194" i="10"/>
  <c r="BH194" i="10"/>
  <c r="AR194" i="10"/>
  <c r="AB194" i="10"/>
  <c r="BS194" i="10"/>
  <c r="BC194" i="10"/>
  <c r="AM194" i="10"/>
  <c r="W194" i="10"/>
  <c r="BN194" i="10"/>
  <c r="AX194" i="10"/>
  <c r="AH194" i="10"/>
  <c r="R194" i="10"/>
  <c r="AG194" i="10"/>
  <c r="BI194" i="10"/>
  <c r="BA194" i="10"/>
  <c r="Y194" i="10"/>
  <c r="P490" i="9"/>
  <c r="AM490" i="9"/>
  <c r="BB490" i="9"/>
  <c r="BP490" i="9"/>
  <c r="AW490" i="9"/>
  <c r="AZ490" i="9"/>
  <c r="BS490" i="9"/>
  <c r="AA490" i="9"/>
  <c r="AH490" i="9"/>
  <c r="AS490" i="9"/>
  <c r="AV490" i="9"/>
  <c r="BG490" i="9"/>
  <c r="AN490" i="9"/>
  <c r="Z490" i="9"/>
  <c r="AC490" i="9"/>
  <c r="AF490" i="9"/>
  <c r="AQ490" i="9"/>
  <c r="BR490" i="9"/>
  <c r="BQ490" i="9"/>
  <c r="BL490" i="9"/>
  <c r="AB490" i="9"/>
  <c r="BC490" i="9"/>
  <c r="W490" i="9"/>
  <c r="AX490" i="9"/>
  <c r="BM490" i="9"/>
  <c r="U490" i="9"/>
  <c r="BH490" i="9"/>
  <c r="AR490" i="9"/>
  <c r="X490" i="9"/>
  <c r="BO490" i="9"/>
  <c r="AY490" i="9"/>
  <c r="AI490" i="9"/>
  <c r="S490" i="9"/>
  <c r="BN490" i="9"/>
  <c r="AP490" i="9"/>
  <c r="V490" i="9"/>
  <c r="BI490" i="9"/>
  <c r="AK490" i="9"/>
  <c r="Q490" i="9"/>
  <c r="BD490" i="9"/>
  <c r="AJ490" i="9"/>
  <c r="T490" i="9"/>
  <c r="BK490" i="9"/>
  <c r="AU490" i="9"/>
  <c r="AE490" i="9"/>
  <c r="O490" i="9"/>
  <c r="BF490" i="9"/>
  <c r="AL490" i="9"/>
  <c r="R490" i="9"/>
  <c r="BA490" i="9"/>
  <c r="AG490" i="9"/>
  <c r="M490" i="9"/>
  <c r="BJ490" i="9"/>
  <c r="AT490" i="9"/>
  <c r="AD490" i="9"/>
  <c r="N490" i="9"/>
  <c r="BE490" i="9"/>
  <c r="AO490" i="9"/>
  <c r="Y490" i="9"/>
  <c r="I214" i="9"/>
  <c r="L521" i="9" a="1"/>
  <c r="I233" i="9"/>
  <c r="L423" i="9"/>
  <c r="I410" i="9"/>
  <c r="AN443" i="8"/>
  <c r="AQ443" i="8"/>
  <c r="W443" i="8"/>
  <c r="X443" i="8"/>
  <c r="S443" i="8"/>
  <c r="BC443" i="8"/>
  <c r="BO443" i="8"/>
  <c r="AM443" i="8"/>
  <c r="BP443" i="8"/>
  <c r="AV443" i="8"/>
  <c r="BG443" i="8"/>
  <c r="AI443" i="8"/>
  <c r="BJ443" i="8"/>
  <c r="BB443" i="8"/>
  <c r="AD443" i="8"/>
  <c r="BD443" i="8"/>
  <c r="BS443" i="8"/>
  <c r="AY443" i="8"/>
  <c r="AA443" i="8"/>
  <c r="BH443" i="8"/>
  <c r="N443" i="8"/>
  <c r="AJ443" i="8"/>
  <c r="AL443" i="8"/>
  <c r="BQ443" i="8"/>
  <c r="BR443" i="8"/>
  <c r="AH443" i="8"/>
  <c r="AW443" i="8"/>
  <c r="BL443" i="8"/>
  <c r="AF443" i="8"/>
  <c r="BK443" i="8"/>
  <c r="AU443" i="8"/>
  <c r="AE443" i="8"/>
  <c r="O443" i="8"/>
  <c r="AB443" i="8"/>
  <c r="AX443" i="8"/>
  <c r="R443" i="8"/>
  <c r="AC443" i="8"/>
  <c r="AS443" i="8"/>
  <c r="AR443" i="8"/>
  <c r="BN443" i="8"/>
  <c r="AT443" i="8"/>
  <c r="V443" i="8"/>
  <c r="BM443" i="8"/>
  <c r="U443" i="8"/>
  <c r="BI443" i="8"/>
  <c r="AK443" i="8"/>
  <c r="Q443" i="8"/>
  <c r="BA443" i="8"/>
  <c r="AG443" i="8"/>
  <c r="M443" i="8"/>
  <c r="AZ443" i="8"/>
  <c r="T443" i="8"/>
  <c r="BF443" i="8"/>
  <c r="AP443" i="8"/>
  <c r="Z443" i="8"/>
  <c r="P443" i="8"/>
  <c r="BE443" i="8"/>
  <c r="AO443" i="8"/>
  <c r="Y443" i="8"/>
  <c r="L197" i="8"/>
  <c r="L199" i="8" s="1"/>
  <c r="I193" i="8"/>
  <c r="AJ191" i="8"/>
  <c r="AT194" i="5"/>
  <c r="AW194" i="5"/>
  <c r="AR194" i="5"/>
  <c r="AB194" i="5"/>
  <c r="U194" i="5"/>
  <c r="BA194" i="5"/>
  <c r="BC191" i="8"/>
  <c r="Z191" i="8"/>
  <c r="AV194" i="5"/>
  <c r="Y194" i="5"/>
  <c r="L191" i="5"/>
  <c r="L246" i="20" s="1"/>
  <c r="T194" i="5"/>
  <c r="R194" i="5"/>
  <c r="S194" i="5"/>
  <c r="AF191" i="8"/>
  <c r="BM191" i="8"/>
  <c r="AW191" i="8"/>
  <c r="W194" i="5"/>
  <c r="BJ194" i="5"/>
  <c r="AK194" i="5"/>
  <c r="AL194" i="5"/>
  <c r="AY194" i="5"/>
  <c r="AE194" i="5"/>
  <c r="BQ194" i="5"/>
  <c r="BC194" i="5"/>
  <c r="BP194" i="5"/>
  <c r="AS194" i="5"/>
  <c r="BO194" i="5"/>
  <c r="Q194" i="5"/>
  <c r="AF194" i="5"/>
  <c r="BM194" i="5"/>
  <c r="BS194" i="5"/>
  <c r="BI194" i="5"/>
  <c r="BD194" i="5"/>
  <c r="V194" i="5"/>
  <c r="AO194" i="5"/>
  <c r="AX194" i="5"/>
  <c r="AU194" i="5"/>
  <c r="BK194" i="5"/>
  <c r="AZ194" i="5"/>
  <c r="AP194" i="5"/>
  <c r="AD194" i="5"/>
  <c r="BR194" i="5"/>
  <c r="AC194" i="5"/>
  <c r="AQ194" i="5"/>
  <c r="AH194" i="5"/>
  <c r="Z194" i="5"/>
  <c r="M194" i="5"/>
  <c r="AA194" i="5"/>
  <c r="N194" i="5"/>
  <c r="AI191" i="8"/>
  <c r="BH191" i="8"/>
  <c r="N191" i="8"/>
  <c r="AN191" i="8"/>
  <c r="AK191" i="8"/>
  <c r="AZ191" i="8"/>
  <c r="Y452" i="5"/>
  <c r="AY452" i="5"/>
  <c r="AJ452" i="5"/>
  <c r="V452" i="5"/>
  <c r="O194" i="5"/>
  <c r="BN194" i="5"/>
  <c r="BG194" i="5"/>
  <c r="BB194" i="5"/>
  <c r="AN194" i="5"/>
  <c r="AI194" i="5"/>
  <c r="BF194" i="5"/>
  <c r="AG194" i="5"/>
  <c r="P194" i="5"/>
  <c r="X194" i="5"/>
  <c r="AM194" i="5"/>
  <c r="BH194" i="5"/>
  <c r="AJ194" i="5"/>
  <c r="BL194" i="5"/>
  <c r="X452" i="5"/>
  <c r="AA452" i="5"/>
  <c r="AX452" i="5"/>
  <c r="AW452" i="5"/>
  <c r="BA191" i="8"/>
  <c r="AD191" i="8"/>
  <c r="AA191" i="8"/>
  <c r="AU191" i="8"/>
  <c r="AN452" i="5"/>
  <c r="AE452" i="5"/>
  <c r="BB452" i="5"/>
  <c r="BI452" i="5"/>
  <c r="BG452" i="5"/>
  <c r="AZ452" i="5"/>
  <c r="AD452" i="5"/>
  <c r="AC452" i="5"/>
  <c r="AX191" i="8"/>
  <c r="BB191" i="8"/>
  <c r="BO191" i="8"/>
  <c r="BE191" i="8"/>
  <c r="AC191" i="8"/>
  <c r="W191" i="8"/>
  <c r="AB191" i="8"/>
  <c r="AH191" i="8"/>
  <c r="AL191" i="8"/>
  <c r="BG191" i="8"/>
  <c r="BL191" i="8"/>
  <c r="M191" i="8"/>
  <c r="O191" i="8"/>
  <c r="T191" i="8"/>
  <c r="L191" i="8"/>
  <c r="R191" i="8"/>
  <c r="V191" i="8"/>
  <c r="AY191" i="8"/>
  <c r="BD191" i="8"/>
  <c r="BF191" i="8"/>
  <c r="BJ191" i="8"/>
  <c r="BS191" i="8"/>
  <c r="Q191" i="8"/>
  <c r="BQ191" i="8"/>
  <c r="AQ191" i="8"/>
  <c r="AV191" i="8"/>
  <c r="AP191" i="8"/>
  <c r="AT191" i="8"/>
  <c r="BK191" i="8"/>
  <c r="BP191" i="8"/>
  <c r="Y191" i="8"/>
  <c r="U191" i="8"/>
  <c r="S191" i="8"/>
  <c r="X191" i="8"/>
  <c r="AO191" i="8"/>
  <c r="BI191" i="8"/>
  <c r="AM191" i="8"/>
  <c r="AR191" i="8"/>
  <c r="BN191" i="8"/>
  <c r="BR191" i="8"/>
  <c r="P191" i="8"/>
  <c r="AG191" i="8"/>
  <c r="AS191" i="8"/>
  <c r="AE191" i="8"/>
  <c r="BD452" i="5"/>
  <c r="O452" i="5"/>
  <c r="AS452" i="5"/>
  <c r="T452" i="5"/>
  <c r="AU452" i="5"/>
  <c r="BR452" i="5"/>
  <c r="AT452" i="5"/>
  <c r="N452" i="5"/>
  <c r="Q452" i="5"/>
  <c r="AV452" i="5"/>
  <c r="BO452" i="5"/>
  <c r="AI452" i="5"/>
  <c r="BP452" i="5"/>
  <c r="BN452" i="5"/>
  <c r="AH452" i="5"/>
  <c r="BM452" i="5"/>
  <c r="AO452" i="5"/>
  <c r="L399" i="5"/>
  <c r="L452" i="5" s="1"/>
  <c r="AB452" i="5"/>
  <c r="BK452" i="5"/>
  <c r="AQ452" i="5"/>
  <c r="S452" i="5"/>
  <c r="AR452" i="5"/>
  <c r="BJ452" i="5"/>
  <c r="AL452" i="5"/>
  <c r="R452" i="5"/>
  <c r="BE452" i="5"/>
  <c r="AG452" i="5"/>
  <c r="M452" i="5"/>
  <c r="BL452" i="5"/>
  <c r="AF452" i="5"/>
  <c r="BS452" i="5"/>
  <c r="BC452" i="5"/>
  <c r="AM452" i="5"/>
  <c r="W452" i="5"/>
  <c r="BH452" i="5"/>
  <c r="P452" i="5"/>
  <c r="BF452" i="5"/>
  <c r="AP452" i="5"/>
  <c r="Z452" i="5"/>
  <c r="BQ452" i="5"/>
  <c r="BA452" i="5"/>
  <c r="AK452" i="5"/>
  <c r="I233" i="8"/>
  <c r="L208" i="5"/>
  <c r="L212" i="5" s="1"/>
  <c r="P129" i="25" l="1" a="1"/>
  <c r="P129" i="25" s="1"/>
  <c r="P109" i="25" a="1"/>
  <c r="P109" i="25" s="1"/>
  <c r="N109" i="25" s="1"/>
  <c r="P108" i="25" a="1"/>
  <c r="P108" i="25" s="1"/>
  <c r="M549" i="9"/>
  <c r="Q549" i="9"/>
  <c r="U549" i="9"/>
  <c r="Y549" i="9"/>
  <c r="AC549" i="9"/>
  <c r="AG549" i="9"/>
  <c r="AK549" i="9"/>
  <c r="AO549" i="9"/>
  <c r="AS549" i="9"/>
  <c r="AW549" i="9"/>
  <c r="BA549" i="9"/>
  <c r="BE549" i="9"/>
  <c r="BI549" i="9"/>
  <c r="BM549" i="9"/>
  <c r="BQ549" i="9"/>
  <c r="N549" i="9"/>
  <c r="R549" i="9"/>
  <c r="V549" i="9"/>
  <c r="Z549" i="9"/>
  <c r="AD549" i="9"/>
  <c r="AH549" i="9"/>
  <c r="AL549" i="9"/>
  <c r="AP549" i="9"/>
  <c r="AT549" i="9"/>
  <c r="AX549" i="9"/>
  <c r="BB549" i="9"/>
  <c r="BF549" i="9"/>
  <c r="BJ549" i="9"/>
  <c r="BN549" i="9"/>
  <c r="BR549" i="9"/>
  <c r="O549" i="9"/>
  <c r="S549" i="9"/>
  <c r="W549" i="9"/>
  <c r="AA549" i="9"/>
  <c r="AE549" i="9"/>
  <c r="AI549" i="9"/>
  <c r="AM549" i="9"/>
  <c r="AQ549" i="9"/>
  <c r="AU549" i="9"/>
  <c r="AY549" i="9"/>
  <c r="BC549" i="9"/>
  <c r="BG549" i="9"/>
  <c r="BK549" i="9"/>
  <c r="BO549" i="9"/>
  <c r="BS549" i="9"/>
  <c r="P549" i="9"/>
  <c r="T549" i="9"/>
  <c r="X549" i="9"/>
  <c r="AB549" i="9"/>
  <c r="AF549" i="9"/>
  <c r="AJ549" i="9"/>
  <c r="AN549" i="9"/>
  <c r="AR549" i="9"/>
  <c r="AV549" i="9"/>
  <c r="AZ549" i="9"/>
  <c r="BD549" i="9"/>
  <c r="BH549" i="9"/>
  <c r="BL549" i="9"/>
  <c r="BP549" i="9"/>
  <c r="M576" i="15"/>
  <c r="Q576" i="15"/>
  <c r="U576" i="15"/>
  <c r="Y576" i="15"/>
  <c r="AC576" i="15"/>
  <c r="AG576" i="15"/>
  <c r="AK576" i="15"/>
  <c r="AO576" i="15"/>
  <c r="AS576" i="15"/>
  <c r="AW576" i="15"/>
  <c r="BA576" i="15"/>
  <c r="BE576" i="15"/>
  <c r="BI576" i="15"/>
  <c r="BM576" i="15"/>
  <c r="BQ576" i="15"/>
  <c r="N576" i="15"/>
  <c r="R576" i="15"/>
  <c r="V576" i="15"/>
  <c r="Z576" i="15"/>
  <c r="AD576" i="15"/>
  <c r="AH576" i="15"/>
  <c r="AL576" i="15"/>
  <c r="AP576" i="15"/>
  <c r="AT576" i="15"/>
  <c r="AX576" i="15"/>
  <c r="BB576" i="15"/>
  <c r="BF576" i="15"/>
  <c r="BJ576" i="15"/>
  <c r="BN576" i="15"/>
  <c r="BR576" i="15"/>
  <c r="O576" i="15"/>
  <c r="S576" i="15"/>
  <c r="W576" i="15"/>
  <c r="AA576" i="15"/>
  <c r="AE576" i="15"/>
  <c r="AI576" i="15"/>
  <c r="AM576" i="15"/>
  <c r="AQ576" i="15"/>
  <c r="AU576" i="15"/>
  <c r="AY576" i="15"/>
  <c r="BC576" i="15"/>
  <c r="BG576" i="15"/>
  <c r="BK576" i="15"/>
  <c r="BO576" i="15"/>
  <c r="BS576" i="15"/>
  <c r="P576" i="15"/>
  <c r="T576" i="15"/>
  <c r="X576" i="15"/>
  <c r="AB576" i="15"/>
  <c r="AF576" i="15"/>
  <c r="AJ576" i="15"/>
  <c r="AN576" i="15"/>
  <c r="AR576" i="15"/>
  <c r="AV576" i="15"/>
  <c r="AZ576" i="15"/>
  <c r="BD576" i="15"/>
  <c r="BH576" i="15"/>
  <c r="BL576" i="15"/>
  <c r="BP576" i="15"/>
  <c r="M562" i="18"/>
  <c r="Q562" i="18"/>
  <c r="U562" i="18"/>
  <c r="Y562" i="18"/>
  <c r="AC562" i="18"/>
  <c r="AG562" i="18"/>
  <c r="AK562" i="18"/>
  <c r="AO562" i="18"/>
  <c r="AS562" i="18"/>
  <c r="AW562" i="18"/>
  <c r="BA562" i="18"/>
  <c r="BE562" i="18"/>
  <c r="BI562" i="18"/>
  <c r="BM562" i="18"/>
  <c r="BQ562" i="18"/>
  <c r="N562" i="18"/>
  <c r="R562" i="18"/>
  <c r="V562" i="18"/>
  <c r="Z562" i="18"/>
  <c r="AD562" i="18"/>
  <c r="AH562" i="18"/>
  <c r="AL562" i="18"/>
  <c r="AP562" i="18"/>
  <c r="AT562" i="18"/>
  <c r="AX562" i="18"/>
  <c r="BB562" i="18"/>
  <c r="BF562" i="18"/>
  <c r="BJ562" i="18"/>
  <c r="BN562" i="18"/>
  <c r="BR562" i="18"/>
  <c r="O562" i="18"/>
  <c r="S562" i="18"/>
  <c r="W562" i="18"/>
  <c r="AA562" i="18"/>
  <c r="AE562" i="18"/>
  <c r="AI562" i="18"/>
  <c r="AM562" i="18"/>
  <c r="AQ562" i="18"/>
  <c r="AU562" i="18"/>
  <c r="AY562" i="18"/>
  <c r="BC562" i="18"/>
  <c r="BG562" i="18"/>
  <c r="BK562" i="18"/>
  <c r="BO562" i="18"/>
  <c r="BS562" i="18"/>
  <c r="P562" i="18"/>
  <c r="T562" i="18"/>
  <c r="X562" i="18"/>
  <c r="AB562" i="18"/>
  <c r="AF562" i="18"/>
  <c r="AJ562" i="18"/>
  <c r="AN562" i="18"/>
  <c r="AR562" i="18"/>
  <c r="AV562" i="18"/>
  <c r="AZ562" i="18"/>
  <c r="BD562" i="18"/>
  <c r="BH562" i="18"/>
  <c r="BL562" i="18"/>
  <c r="BP562" i="18"/>
  <c r="M551" i="20"/>
  <c r="Q551" i="20"/>
  <c r="U551" i="20"/>
  <c r="Y551" i="20"/>
  <c r="AC551" i="20"/>
  <c r="AG551" i="20"/>
  <c r="AK551" i="20"/>
  <c r="AO551" i="20"/>
  <c r="AS551" i="20"/>
  <c r="AW551" i="20"/>
  <c r="BA551" i="20"/>
  <c r="BE551" i="20"/>
  <c r="BI551" i="20"/>
  <c r="BM551" i="20"/>
  <c r="BQ551" i="20"/>
  <c r="T551" i="20"/>
  <c r="N551" i="20"/>
  <c r="R551" i="20"/>
  <c r="V551" i="20"/>
  <c r="Z551" i="20"/>
  <c r="AD551" i="20"/>
  <c r="AH551" i="20"/>
  <c r="AL551" i="20"/>
  <c r="AP551" i="20"/>
  <c r="AT551" i="20"/>
  <c r="AX551" i="20"/>
  <c r="BB551" i="20"/>
  <c r="BF551" i="20"/>
  <c r="BJ551" i="20"/>
  <c r="BN551" i="20"/>
  <c r="BR551" i="20"/>
  <c r="X551" i="20"/>
  <c r="AR551" i="20"/>
  <c r="AZ551" i="20"/>
  <c r="BH551" i="20"/>
  <c r="BP551" i="20"/>
  <c r="O551" i="20"/>
  <c r="S551" i="20"/>
  <c r="W551" i="20"/>
  <c r="AA551" i="20"/>
  <c r="AE551" i="20"/>
  <c r="AI551" i="20"/>
  <c r="AM551" i="20"/>
  <c r="AQ551" i="20"/>
  <c r="AU551" i="20"/>
  <c r="AY551" i="20"/>
  <c r="BC551" i="20"/>
  <c r="BG551" i="20"/>
  <c r="BK551" i="20"/>
  <c r="BO551" i="20"/>
  <c r="BS551" i="20"/>
  <c r="P551" i="20"/>
  <c r="AB551" i="20"/>
  <c r="AF551" i="20"/>
  <c r="AJ551" i="20"/>
  <c r="AN551" i="20"/>
  <c r="AV551" i="20"/>
  <c r="BD551" i="20"/>
  <c r="BL551" i="20"/>
  <c r="P62" i="25" a="1"/>
  <c r="P41" i="25" a="1"/>
  <c r="L549" i="15"/>
  <c r="Q66" i="21" s="1" a="1"/>
  <c r="P42" i="25" a="1"/>
  <c r="I193" i="21"/>
  <c r="O193" i="21"/>
  <c r="L193" i="21"/>
  <c r="N193" i="21"/>
  <c r="M193" i="21"/>
  <c r="J193" i="21"/>
  <c r="K193" i="21"/>
  <c r="H193" i="21"/>
  <c r="I423" i="9"/>
  <c r="F385" i="10" s="1"/>
  <c r="Q53" i="21" a="1"/>
  <c r="I176" i="21"/>
  <c r="I180" i="21" s="1"/>
  <c r="I462" i="23"/>
  <c r="I218" i="23"/>
  <c r="I238" i="23" s="1"/>
  <c r="L223" i="23"/>
  <c r="I223" i="23" s="1"/>
  <c r="I529" i="23"/>
  <c r="I476" i="23"/>
  <c r="I588" i="23"/>
  <c r="I560" i="23"/>
  <c r="L233" i="23"/>
  <c r="L269" i="23" s="1"/>
  <c r="L270" i="23" s="1"/>
  <c r="L225" i="9"/>
  <c r="I225" i="9" s="1"/>
  <c r="AP495" i="11"/>
  <c r="AY495" i="11"/>
  <c r="AC495" i="11"/>
  <c r="P495" i="11"/>
  <c r="BL495" i="11"/>
  <c r="S495" i="11"/>
  <c r="BI495" i="11"/>
  <c r="BO495" i="11"/>
  <c r="AI495" i="11"/>
  <c r="AZ495" i="11"/>
  <c r="BF495" i="11"/>
  <c r="Z495" i="11"/>
  <c r="AF495" i="11"/>
  <c r="AS495" i="11"/>
  <c r="M495" i="11"/>
  <c r="BG495" i="11"/>
  <c r="AA495" i="11"/>
  <c r="AJ495" i="11"/>
  <c r="AX495" i="11"/>
  <c r="R495" i="11"/>
  <c r="BQ495" i="11"/>
  <c r="AK495" i="11"/>
  <c r="X495" i="11"/>
  <c r="AQ495" i="11"/>
  <c r="BP495" i="11"/>
  <c r="BN495" i="11"/>
  <c r="AH495" i="11"/>
  <c r="AV495" i="11"/>
  <c r="BA495" i="11"/>
  <c r="U495" i="11"/>
  <c r="L253" i="18"/>
  <c r="L254" i="18" s="1"/>
  <c r="I450" i="15"/>
  <c r="AB226" i="11"/>
  <c r="BK495" i="11"/>
  <c r="AU495" i="11"/>
  <c r="AE495" i="11"/>
  <c r="O495" i="11"/>
  <c r="AR495" i="11"/>
  <c r="BR495" i="11"/>
  <c r="BB495" i="11"/>
  <c r="AL495" i="11"/>
  <c r="V495" i="11"/>
  <c r="BD495" i="11"/>
  <c r="T495" i="11"/>
  <c r="BE495" i="11"/>
  <c r="AO495" i="11"/>
  <c r="Y495" i="11"/>
  <c r="L442" i="11"/>
  <c r="L495" i="11" s="1"/>
  <c r="BS495" i="11"/>
  <c r="BC495" i="11"/>
  <c r="AM495" i="11"/>
  <c r="W495" i="11"/>
  <c r="BH495" i="11"/>
  <c r="AB495" i="11"/>
  <c r="BJ495" i="11"/>
  <c r="AT495" i="11"/>
  <c r="AD495" i="11"/>
  <c r="N495" i="11"/>
  <c r="AN495" i="11"/>
  <c r="BM495" i="11"/>
  <c r="AW495" i="11"/>
  <c r="AG495" i="11"/>
  <c r="X226" i="11"/>
  <c r="BN226" i="11"/>
  <c r="AD226" i="11"/>
  <c r="BL226" i="11"/>
  <c r="AU226" i="11"/>
  <c r="BP226" i="11"/>
  <c r="AQ226" i="11"/>
  <c r="AN226" i="11"/>
  <c r="BK226" i="11"/>
  <c r="W226" i="11"/>
  <c r="BE226" i="11"/>
  <c r="U226" i="11"/>
  <c r="AZ226" i="11"/>
  <c r="BO226" i="11"/>
  <c r="BG226" i="11"/>
  <c r="AM226" i="11"/>
  <c r="O226" i="11"/>
  <c r="BM226" i="11"/>
  <c r="BB226" i="11"/>
  <c r="AS226" i="11"/>
  <c r="AH226" i="11"/>
  <c r="Y226" i="11"/>
  <c r="BJ226" i="11"/>
  <c r="BA226" i="11"/>
  <c r="AP226" i="11"/>
  <c r="AG226" i="11"/>
  <c r="V226" i="11"/>
  <c r="M226" i="11"/>
  <c r="AV226" i="11"/>
  <c r="AJ226" i="11"/>
  <c r="AT226" i="11"/>
  <c r="BS226" i="11"/>
  <c r="AK226" i="11"/>
  <c r="AY226" i="11"/>
  <c r="Z226" i="11"/>
  <c r="AE226" i="11"/>
  <c r="Q226" i="11"/>
  <c r="BR226" i="11"/>
  <c r="BD226" i="11"/>
  <c r="BI226" i="11"/>
  <c r="AR226" i="11"/>
  <c r="AX226" i="11"/>
  <c r="T226" i="11"/>
  <c r="AO226" i="11"/>
  <c r="AA226" i="11"/>
  <c r="N226" i="11"/>
  <c r="BQ226" i="11"/>
  <c r="BH226" i="11"/>
  <c r="BF226" i="11"/>
  <c r="AF226" i="11"/>
  <c r="AW226" i="11"/>
  <c r="P226" i="11"/>
  <c r="AL226" i="11"/>
  <c r="BC226" i="11"/>
  <c r="AC226" i="11"/>
  <c r="AI226" i="11"/>
  <c r="R226" i="11"/>
  <c r="S226" i="11"/>
  <c r="BB555" i="11"/>
  <c r="S555" i="11"/>
  <c r="AM555" i="11"/>
  <c r="BO555" i="11"/>
  <c r="AL555" i="11"/>
  <c r="BE555" i="11"/>
  <c r="BD555" i="11"/>
  <c r="AE555" i="11"/>
  <c r="V555" i="11"/>
  <c r="AO555" i="11"/>
  <c r="AN555" i="11"/>
  <c r="BR555" i="11"/>
  <c r="BK555" i="11"/>
  <c r="Y555" i="11"/>
  <c r="X555" i="11"/>
  <c r="BG555" i="11"/>
  <c r="AA555" i="11"/>
  <c r="BN555" i="11"/>
  <c r="AX555" i="11"/>
  <c r="AH555" i="11"/>
  <c r="R555" i="11"/>
  <c r="BC555" i="11"/>
  <c r="BQ555" i="11"/>
  <c r="BA555" i="11"/>
  <c r="AK555" i="11"/>
  <c r="U555" i="11"/>
  <c r="BP555" i="11"/>
  <c r="AZ555" i="11"/>
  <c r="AJ555" i="11"/>
  <c r="T555" i="11"/>
  <c r="AY555" i="11"/>
  <c r="W555" i="11"/>
  <c r="BJ555" i="11"/>
  <c r="AT555" i="11"/>
  <c r="AD555" i="11"/>
  <c r="N555" i="11"/>
  <c r="AU555" i="11"/>
  <c r="BM555" i="11"/>
  <c r="AW555" i="11"/>
  <c r="AG555" i="11"/>
  <c r="Q555" i="11"/>
  <c r="BL555" i="11"/>
  <c r="AV555" i="11"/>
  <c r="AF555" i="11"/>
  <c r="P555" i="11"/>
  <c r="AQ555" i="11"/>
  <c r="O555" i="11"/>
  <c r="BF555" i="11"/>
  <c r="AP555" i="11"/>
  <c r="Z555" i="11"/>
  <c r="BS555" i="11"/>
  <c r="AI555" i="11"/>
  <c r="BI555" i="11"/>
  <c r="AS555" i="11"/>
  <c r="AC555" i="11"/>
  <c r="M555" i="11"/>
  <c r="BH555" i="11"/>
  <c r="AR555" i="11"/>
  <c r="AB555" i="11"/>
  <c r="L240" i="15"/>
  <c r="L245" i="15" s="1"/>
  <c r="Z245" i="15"/>
  <c r="AP245" i="15"/>
  <c r="AU245" i="15"/>
  <c r="AR245" i="15"/>
  <c r="R245" i="15"/>
  <c r="BR245" i="15"/>
  <c r="AZ245" i="15"/>
  <c r="AM245" i="15"/>
  <c r="M245" i="15"/>
  <c r="BQ245" i="15"/>
  <c r="AV245" i="15"/>
  <c r="AG245" i="15"/>
  <c r="AE245" i="15"/>
  <c r="BH245" i="15"/>
  <c r="S245" i="15"/>
  <c r="AW245" i="15"/>
  <c r="AK245" i="15"/>
  <c r="BB245" i="15"/>
  <c r="AT245" i="15"/>
  <c r="L548" i="15"/>
  <c r="L576" i="15" s="1"/>
  <c r="BO245" i="15"/>
  <c r="BD245" i="15"/>
  <c r="BI245" i="15"/>
  <c r="X245" i="15"/>
  <c r="AQ245" i="15"/>
  <c r="BJ245" i="15"/>
  <c r="AX245" i="15"/>
  <c r="AY245" i="15"/>
  <c r="P245" i="15"/>
  <c r="BL245" i="15"/>
  <c r="Q245" i="15"/>
  <c r="AB245" i="15"/>
  <c r="AN245" i="15"/>
  <c r="O245" i="15"/>
  <c r="AL245" i="15"/>
  <c r="AS245" i="15"/>
  <c r="BC245" i="15"/>
  <c r="N245" i="15"/>
  <c r="AA245" i="15"/>
  <c r="T245" i="15"/>
  <c r="BA245" i="15"/>
  <c r="AI245" i="15"/>
  <c r="BF245" i="15"/>
  <c r="BM245" i="15"/>
  <c r="BS245" i="15"/>
  <c r="AD245" i="15"/>
  <c r="BK245" i="15"/>
  <c r="AJ245" i="15"/>
  <c r="V245" i="15"/>
  <c r="AC245" i="15"/>
  <c r="W245" i="15"/>
  <c r="U245" i="15"/>
  <c r="AF245" i="15"/>
  <c r="Y245" i="15"/>
  <c r="W517" i="15"/>
  <c r="BG245" i="15"/>
  <c r="BN245" i="15"/>
  <c r="BE245" i="15"/>
  <c r="BP245" i="15"/>
  <c r="AH245" i="15"/>
  <c r="AO517" i="15"/>
  <c r="BD517" i="15"/>
  <c r="Y517" i="15"/>
  <c r="AR517" i="15"/>
  <c r="AP517" i="15"/>
  <c r="BS517" i="15"/>
  <c r="Z517" i="15"/>
  <c r="BC517" i="15"/>
  <c r="X517" i="15"/>
  <c r="P517" i="15"/>
  <c r="L464" i="15"/>
  <c r="Q93" i="21" s="1" a="1"/>
  <c r="AM517" i="15"/>
  <c r="BF517" i="15"/>
  <c r="BE517" i="15"/>
  <c r="L316" i="15"/>
  <c r="L311" i="15"/>
  <c r="BP517" i="15"/>
  <c r="AJ517" i="15"/>
  <c r="BO517" i="15"/>
  <c r="AY517" i="15"/>
  <c r="AI517" i="15"/>
  <c r="S517" i="15"/>
  <c r="AV517" i="15"/>
  <c r="BR517" i="15"/>
  <c r="BB517" i="15"/>
  <c r="AL517" i="15"/>
  <c r="V517" i="15"/>
  <c r="BQ517" i="15"/>
  <c r="BA517" i="15"/>
  <c r="AK517" i="15"/>
  <c r="U517" i="15"/>
  <c r="BH517" i="15"/>
  <c r="AB517" i="15"/>
  <c r="BK517" i="15"/>
  <c r="AU517" i="15"/>
  <c r="AE517" i="15"/>
  <c r="O517" i="15"/>
  <c r="AN517" i="15"/>
  <c r="BN517" i="15"/>
  <c r="AX517" i="15"/>
  <c r="AH517" i="15"/>
  <c r="R517" i="15"/>
  <c r="BM517" i="15"/>
  <c r="AW517" i="15"/>
  <c r="AG517" i="15"/>
  <c r="Q517" i="15"/>
  <c r="AZ517" i="15"/>
  <c r="T517" i="15"/>
  <c r="BG517" i="15"/>
  <c r="AQ517" i="15"/>
  <c r="AA517" i="15"/>
  <c r="BL517" i="15"/>
  <c r="AF517" i="15"/>
  <c r="BJ517" i="15"/>
  <c r="AT517" i="15"/>
  <c r="AD517" i="15"/>
  <c r="N517" i="15"/>
  <c r="BI517" i="15"/>
  <c r="AS517" i="15"/>
  <c r="AC517" i="15"/>
  <c r="L245" i="11"/>
  <c r="S139" i="15"/>
  <c r="T138" i="15"/>
  <c r="S329" i="15"/>
  <c r="T130" i="11"/>
  <c r="S131" i="11"/>
  <c r="S307" i="11"/>
  <c r="L244" i="9"/>
  <c r="I527" i="11"/>
  <c r="L555" i="11"/>
  <c r="M554" i="11"/>
  <c r="Q554" i="11"/>
  <c r="U554" i="11"/>
  <c r="Y554" i="11"/>
  <c r="AC554" i="11"/>
  <c r="AG554" i="11"/>
  <c r="AK554" i="11"/>
  <c r="AO554" i="11"/>
  <c r="AS554" i="11"/>
  <c r="AW554" i="11"/>
  <c r="BA554" i="11"/>
  <c r="BE554" i="11"/>
  <c r="BI554" i="11"/>
  <c r="BM554" i="11"/>
  <c r="BQ554" i="11"/>
  <c r="X554" i="11"/>
  <c r="BH554" i="11"/>
  <c r="N554" i="11"/>
  <c r="R554" i="11"/>
  <c r="V554" i="11"/>
  <c r="Z554" i="11"/>
  <c r="AD554" i="11"/>
  <c r="AH554" i="11"/>
  <c r="AL554" i="11"/>
  <c r="AP554" i="11"/>
  <c r="AT554" i="11"/>
  <c r="AX554" i="11"/>
  <c r="BB554" i="11"/>
  <c r="BF554" i="11"/>
  <c r="BJ554" i="11"/>
  <c r="BN554" i="11"/>
  <c r="BR554" i="11"/>
  <c r="T554" i="11"/>
  <c r="AB554" i="11"/>
  <c r="AJ554" i="11"/>
  <c r="AR554" i="11"/>
  <c r="AZ554" i="11"/>
  <c r="BL554" i="11"/>
  <c r="O554" i="11"/>
  <c r="S554" i="11"/>
  <c r="W554" i="11"/>
  <c r="AA554" i="11"/>
  <c r="AE554" i="11"/>
  <c r="AI554" i="11"/>
  <c r="AM554" i="11"/>
  <c r="AQ554" i="11"/>
  <c r="AU554" i="11"/>
  <c r="AY554" i="11"/>
  <c r="BC554" i="11"/>
  <c r="BG554" i="11"/>
  <c r="BK554" i="11"/>
  <c r="BO554" i="11"/>
  <c r="BS554" i="11"/>
  <c r="P554" i="11"/>
  <c r="AF554" i="11"/>
  <c r="AN554" i="11"/>
  <c r="AV554" i="11"/>
  <c r="BD554" i="11"/>
  <c r="BP554" i="11"/>
  <c r="L526" i="11"/>
  <c r="L554" i="11" s="1"/>
  <c r="L503" i="18"/>
  <c r="I503" i="18" s="1"/>
  <c r="I425" i="20"/>
  <c r="R289" i="11"/>
  <c r="R294" i="11" s="1"/>
  <c r="U136" i="15"/>
  <c r="T323" i="15"/>
  <c r="T128" i="11"/>
  <c r="T301" i="11" s="1"/>
  <c r="R238" i="11"/>
  <c r="L521" i="9"/>
  <c r="L549" i="9" s="1"/>
  <c r="L534" i="18"/>
  <c r="L562" i="18" s="1"/>
  <c r="L523" i="20"/>
  <c r="L551" i="20" s="1"/>
  <c r="T124" i="20"/>
  <c r="S125" i="20"/>
  <c r="U122" i="20"/>
  <c r="I224" i="20"/>
  <c r="I246" i="20" s="1"/>
  <c r="I229" i="20"/>
  <c r="L247" i="20"/>
  <c r="I492" i="20"/>
  <c r="I439" i="20"/>
  <c r="M241" i="20"/>
  <c r="BS112" i="8"/>
  <c r="BS114" i="8" s="1"/>
  <c r="BR114" i="8"/>
  <c r="M248" i="18"/>
  <c r="I450" i="18"/>
  <c r="I233" i="18"/>
  <c r="I253" i="18" s="1"/>
  <c r="I238" i="18"/>
  <c r="L243" i="9"/>
  <c r="I399" i="5"/>
  <c r="L244" i="11"/>
  <c r="L241" i="11"/>
  <c r="M239" i="11" s="1"/>
  <c r="I221" i="11"/>
  <c r="I245" i="11" s="1"/>
  <c r="L212" i="10"/>
  <c r="L214" i="10" s="1"/>
  <c r="L218" i="10" s="1"/>
  <c r="I483" i="10"/>
  <c r="L209" i="10"/>
  <c r="I399" i="10"/>
  <c r="I452" i="10"/>
  <c r="I191" i="10"/>
  <c r="I213" i="10" s="1"/>
  <c r="L194" i="10"/>
  <c r="I194" i="10" s="1"/>
  <c r="I242" i="10"/>
  <c r="I490" i="9"/>
  <c r="I437" i="9"/>
  <c r="I280" i="9"/>
  <c r="I191" i="5"/>
  <c r="I213" i="5" s="1"/>
  <c r="L240" i="9"/>
  <c r="I220" i="9"/>
  <c r="I244" i="9" s="1"/>
  <c r="L203" i="8"/>
  <c r="L204" i="8"/>
  <c r="L213" i="5"/>
  <c r="L214" i="5" s="1"/>
  <c r="L215" i="5" s="1"/>
  <c r="M213" i="5" s="1"/>
  <c r="L194" i="5"/>
  <c r="I194" i="5" s="1"/>
  <c r="I390" i="8"/>
  <c r="I191" i="8"/>
  <c r="I188" i="8"/>
  <c r="I204" i="8" s="1"/>
  <c r="I452" i="5"/>
  <c r="I443" i="8"/>
  <c r="L200" i="8"/>
  <c r="M198" i="8" s="1"/>
  <c r="L209" i="5"/>
  <c r="M207" i="5" s="1"/>
  <c r="N108" i="25" l="1"/>
  <c r="Q66" i="21"/>
  <c r="AA38" i="17"/>
  <c r="M245" i="20"/>
  <c r="L251" i="20"/>
  <c r="P42" i="25"/>
  <c r="N63" i="17"/>
  <c r="O63" i="17"/>
  <c r="P63" i="17"/>
  <c r="M63" i="17"/>
  <c r="Q63" i="17"/>
  <c r="P41" i="25"/>
  <c r="P62" i="17"/>
  <c r="M62" i="17"/>
  <c r="Q62" i="17"/>
  <c r="N62" i="17"/>
  <c r="O62" i="17"/>
  <c r="P62" i="25"/>
  <c r="AG66" i="21"/>
  <c r="I549" i="15"/>
  <c r="AP66" i="21"/>
  <c r="AP93" i="21"/>
  <c r="AG93" i="21"/>
  <c r="Q93" i="21"/>
  <c r="I549" i="9"/>
  <c r="Q53" i="21"/>
  <c r="AP53" i="21"/>
  <c r="Q65" i="21" a="1"/>
  <c r="AG53" i="21"/>
  <c r="H176" i="21"/>
  <c r="H180" i="21" s="1"/>
  <c r="L274" i="23"/>
  <c r="L271" i="23"/>
  <c r="L237" i="23"/>
  <c r="L234" i="23"/>
  <c r="M232" i="23" s="1"/>
  <c r="S38" i="17"/>
  <c r="Q38" i="17"/>
  <c r="U38" i="17"/>
  <c r="Y38" i="17"/>
  <c r="O38" i="17"/>
  <c r="W38" i="17"/>
  <c r="AO66" i="21"/>
  <c r="AK66" i="21"/>
  <c r="AN66" i="21"/>
  <c r="AJ66" i="21"/>
  <c r="AM66" i="21"/>
  <c r="AL66" i="21"/>
  <c r="AO53" i="21"/>
  <c r="AK53" i="21"/>
  <c r="AN53" i="21"/>
  <c r="AJ53" i="21"/>
  <c r="AM53" i="21"/>
  <c r="AL53" i="21"/>
  <c r="AB66" i="21"/>
  <c r="AA66" i="21"/>
  <c r="AF66" i="21"/>
  <c r="AC66" i="21"/>
  <c r="AE66" i="21"/>
  <c r="AD66" i="21"/>
  <c r="L517" i="15"/>
  <c r="I517" i="15" s="1"/>
  <c r="I442" i="11"/>
  <c r="I495" i="11"/>
  <c r="I226" i="11"/>
  <c r="I240" i="15"/>
  <c r="I268" i="15" s="1"/>
  <c r="L268" i="15"/>
  <c r="I548" i="15"/>
  <c r="I464" i="15"/>
  <c r="T139" i="15"/>
  <c r="U138" i="15"/>
  <c r="T329" i="15"/>
  <c r="U130" i="11"/>
  <c r="T131" i="11"/>
  <c r="T307" i="11"/>
  <c r="I554" i="11"/>
  <c r="S234" i="11"/>
  <c r="S238" i="11" s="1"/>
  <c r="AA53" i="21"/>
  <c r="AB53" i="21"/>
  <c r="AC53" i="21"/>
  <c r="AE53" i="21"/>
  <c r="AD53" i="21"/>
  <c r="AF53" i="21"/>
  <c r="S289" i="11"/>
  <c r="S294" i="11" s="1"/>
  <c r="V136" i="15"/>
  <c r="U323" i="15"/>
  <c r="T234" i="11"/>
  <c r="U128" i="11"/>
  <c r="U301" i="11" s="1"/>
  <c r="I285" i="11"/>
  <c r="I521" i="9"/>
  <c r="I562" i="18"/>
  <c r="I523" i="20"/>
  <c r="U124" i="20"/>
  <c r="T125" i="20"/>
  <c r="L248" i="20"/>
  <c r="M246" i="20" s="1"/>
  <c r="M242" i="20"/>
  <c r="N240" i="20" s="1"/>
  <c r="O239" i="20" s="1"/>
  <c r="V122" i="20"/>
  <c r="L258" i="18"/>
  <c r="M249" i="18"/>
  <c r="N247" i="18" s="1"/>
  <c r="N248" i="18" s="1"/>
  <c r="M252" i="18"/>
  <c r="I534" i="18"/>
  <c r="L255" i="18"/>
  <c r="M253" i="18" s="1"/>
  <c r="I245" i="15"/>
  <c r="L249" i="15"/>
  <c r="M240" i="11"/>
  <c r="L246" i="11"/>
  <c r="I526" i="11"/>
  <c r="M207" i="10"/>
  <c r="N206" i="10" s="1"/>
  <c r="L220" i="10"/>
  <c r="L224" i="10" s="1"/>
  <c r="L215" i="10"/>
  <c r="M213" i="10" s="1"/>
  <c r="M238" i="9"/>
  <c r="N237" i="9" s="1"/>
  <c r="L245" i="9"/>
  <c r="L205" i="8"/>
  <c r="M199" i="8"/>
  <c r="M208" i="5"/>
  <c r="M212" i="5" s="1"/>
  <c r="N206" i="5"/>
  <c r="L218" i="5"/>
  <c r="L220" i="5" s="1"/>
  <c r="L224" i="5" s="1"/>
  <c r="AG65" i="21" l="1"/>
  <c r="AA37" i="17"/>
  <c r="N41" i="25"/>
  <c r="L62" i="17"/>
  <c r="N42" i="25"/>
  <c r="L63" i="17"/>
  <c r="N62" i="25"/>
  <c r="AI53" i="21"/>
  <c r="Q57" i="21" a="1"/>
  <c r="AG57" i="21" s="1"/>
  <c r="AP65" i="21"/>
  <c r="Q65" i="21"/>
  <c r="L239" i="23"/>
  <c r="L275" i="23" s="1"/>
  <c r="L276" i="23" s="1"/>
  <c r="O37" i="17"/>
  <c r="W37" i="17"/>
  <c r="Q37" i="17"/>
  <c r="Y37" i="17"/>
  <c r="S37" i="17"/>
  <c r="U37" i="17"/>
  <c r="AI66" i="21"/>
  <c r="M38" i="17"/>
  <c r="AO93" i="21"/>
  <c r="AK93" i="21"/>
  <c r="AM93" i="21"/>
  <c r="AL93" i="21"/>
  <c r="AN93" i="21"/>
  <c r="AJ93" i="21"/>
  <c r="AO65" i="21"/>
  <c r="AK65" i="21"/>
  <c r="AL65" i="21"/>
  <c r="AN65" i="21"/>
  <c r="AJ65" i="21"/>
  <c r="AM65" i="21"/>
  <c r="AI93" i="21"/>
  <c r="Z66" i="21"/>
  <c r="AE93" i="21"/>
  <c r="AC93" i="21"/>
  <c r="AD93" i="21"/>
  <c r="AB93" i="21"/>
  <c r="AA93" i="21"/>
  <c r="AF93" i="21"/>
  <c r="I576" i="15"/>
  <c r="U139" i="15"/>
  <c r="V138" i="15"/>
  <c r="U329" i="15"/>
  <c r="V130" i="11"/>
  <c r="U131" i="11"/>
  <c r="U307" i="11"/>
  <c r="T289" i="11"/>
  <c r="T294" i="11" s="1"/>
  <c r="I551" i="20"/>
  <c r="Z53" i="21"/>
  <c r="AD65" i="21"/>
  <c r="AA65" i="21"/>
  <c r="AE65" i="21"/>
  <c r="AB65" i="21"/>
  <c r="AC65" i="21"/>
  <c r="AF65" i="21"/>
  <c r="I283" i="11"/>
  <c r="V128" i="11"/>
  <c r="V301" i="11" s="1"/>
  <c r="U289" i="11"/>
  <c r="U294" i="11" s="1"/>
  <c r="T238" i="11"/>
  <c r="W136" i="15"/>
  <c r="V323" i="15"/>
  <c r="V124" i="20"/>
  <c r="U125" i="20"/>
  <c r="N241" i="20"/>
  <c r="W122" i="20"/>
  <c r="L253" i="20"/>
  <c r="M247" i="20"/>
  <c r="N252" i="18"/>
  <c r="L260" i="18"/>
  <c r="M254" i="18"/>
  <c r="N249" i="18"/>
  <c r="O247" i="18" s="1"/>
  <c r="L249" i="9"/>
  <c r="L250" i="11"/>
  <c r="M244" i="11"/>
  <c r="M241" i="11"/>
  <c r="N239" i="11" s="1"/>
  <c r="L247" i="11"/>
  <c r="M245" i="11" s="1"/>
  <c r="M208" i="10"/>
  <c r="L226" i="10"/>
  <c r="L221" i="10"/>
  <c r="M219" i="10" s="1"/>
  <c r="L246" i="9"/>
  <c r="M244" i="9" s="1"/>
  <c r="M239" i="9"/>
  <c r="L209" i="8"/>
  <c r="M203" i="8"/>
  <c r="M200" i="8"/>
  <c r="N198" i="8" s="1"/>
  <c r="L206" i="8"/>
  <c r="M204" i="8" s="1"/>
  <c r="M214" i="5"/>
  <c r="M218" i="5" s="1"/>
  <c r="M209" i="5"/>
  <c r="N207" i="5" s="1"/>
  <c r="L226" i="5"/>
  <c r="L221" i="5"/>
  <c r="M219" i="5" s="1"/>
  <c r="L257" i="20" l="1"/>
  <c r="N245" i="20"/>
  <c r="M251" i="20"/>
  <c r="Q57" i="21"/>
  <c r="AI57" i="21" s="1"/>
  <c r="AP57" i="21"/>
  <c r="L277" i="23"/>
  <c r="L280" i="23"/>
  <c r="L243" i="23"/>
  <c r="L240" i="23"/>
  <c r="M238" i="23" s="1"/>
  <c r="AI65" i="21"/>
  <c r="M37" i="17"/>
  <c r="AL57" i="21"/>
  <c r="AO57" i="21"/>
  <c r="AK57" i="21"/>
  <c r="AN57" i="21"/>
  <c r="AJ57" i="21"/>
  <c r="AM57" i="21"/>
  <c r="Z93" i="21"/>
  <c r="V139" i="15"/>
  <c r="V329" i="15"/>
  <c r="W138" i="15"/>
  <c r="W130" i="11"/>
  <c r="V131" i="11"/>
  <c r="V307" i="11"/>
  <c r="U234" i="11"/>
  <c r="U238" i="11" s="1"/>
  <c r="Z65" i="21"/>
  <c r="X136" i="15"/>
  <c r="W323" i="15"/>
  <c r="V234" i="11"/>
  <c r="W128" i="11"/>
  <c r="W301" i="11" s="1"/>
  <c r="V289" i="11"/>
  <c r="V294" i="11" s="1"/>
  <c r="W124" i="20"/>
  <c r="V125" i="20"/>
  <c r="N242" i="20"/>
  <c r="O240" i="20" s="1"/>
  <c r="P239" i="20" s="1"/>
  <c r="X122" i="20"/>
  <c r="M248" i="20"/>
  <c r="N246" i="20" s="1"/>
  <c r="L254" i="20"/>
  <c r="M252" i="20" s="1"/>
  <c r="L281" i="18"/>
  <c r="L283" i="18" s="1"/>
  <c r="L264" i="18"/>
  <c r="M255" i="18"/>
  <c r="N253" i="18" s="1"/>
  <c r="N254" i="18" s="1"/>
  <c r="M258" i="18"/>
  <c r="L261" i="18"/>
  <c r="M259" i="18" s="1"/>
  <c r="O248" i="18"/>
  <c r="M243" i="9"/>
  <c r="M245" i="9" s="1"/>
  <c r="M246" i="11"/>
  <c r="L252" i="11"/>
  <c r="N240" i="11"/>
  <c r="M209" i="10"/>
  <c r="N207" i="10" s="1"/>
  <c r="N208" i="10" s="1"/>
  <c r="M212" i="10"/>
  <c r="M214" i="10" s="1"/>
  <c r="M218" i="10" s="1"/>
  <c r="L229" i="10"/>
  <c r="L227" i="10"/>
  <c r="M225" i="10" s="1"/>
  <c r="M240" i="9"/>
  <c r="N238" i="9" s="1"/>
  <c r="O237" i="9" s="1"/>
  <c r="L251" i="9"/>
  <c r="L211" i="8"/>
  <c r="L215" i="8" s="1"/>
  <c r="M205" i="8"/>
  <c r="N199" i="8"/>
  <c r="M215" i="5"/>
  <c r="N213" i="5" s="1"/>
  <c r="N208" i="5"/>
  <c r="O206" i="5"/>
  <c r="L229" i="5"/>
  <c r="L227" i="5"/>
  <c r="M225" i="5" s="1"/>
  <c r="M220" i="5"/>
  <c r="M224" i="5" s="1"/>
  <c r="L245" i="23" l="1"/>
  <c r="W139" i="15"/>
  <c r="X138" i="15"/>
  <c r="W329" i="15"/>
  <c r="X130" i="11"/>
  <c r="W131" i="11"/>
  <c r="W307" i="11"/>
  <c r="V238" i="11"/>
  <c r="X128" i="11"/>
  <c r="X301" i="11" s="1"/>
  <c r="W289" i="11"/>
  <c r="W294" i="11" s="1"/>
  <c r="Y136" i="15"/>
  <c r="X323" i="15"/>
  <c r="M249" i="9"/>
  <c r="L255" i="9"/>
  <c r="X124" i="20"/>
  <c r="W125" i="20"/>
  <c r="O241" i="20"/>
  <c r="Y122" i="20"/>
  <c r="M253" i="20"/>
  <c r="L259" i="20"/>
  <c r="L263" i="20" s="1"/>
  <c r="N247" i="20"/>
  <c r="N258" i="18"/>
  <c r="O252" i="18"/>
  <c r="M260" i="18"/>
  <c r="O249" i="18"/>
  <c r="P247" i="18" s="1"/>
  <c r="L266" i="18"/>
  <c r="N255" i="18"/>
  <c r="O253" i="18" s="1"/>
  <c r="L273" i="11"/>
  <c r="L275" i="11" s="1"/>
  <c r="L256" i="11"/>
  <c r="M250" i="11"/>
  <c r="N244" i="11"/>
  <c r="N241" i="11"/>
  <c r="O239" i="11" s="1"/>
  <c r="L253" i="11"/>
  <c r="M251" i="11" s="1"/>
  <c r="M247" i="11"/>
  <c r="N245" i="11" s="1"/>
  <c r="L232" i="10"/>
  <c r="L263" i="10" s="1"/>
  <c r="L246" i="10"/>
  <c r="N212" i="10"/>
  <c r="N209" i="10"/>
  <c r="O206" i="10"/>
  <c r="M215" i="10"/>
  <c r="N213" i="10" s="1"/>
  <c r="N239" i="9"/>
  <c r="M246" i="9"/>
  <c r="N244" i="9" s="1"/>
  <c r="L252" i="9"/>
  <c r="M250" i="9" s="1"/>
  <c r="N203" i="8"/>
  <c r="M206" i="8"/>
  <c r="N204" i="8" s="1"/>
  <c r="M209" i="8"/>
  <c r="N200" i="8"/>
  <c r="O198" i="8" s="1"/>
  <c r="L212" i="8"/>
  <c r="M210" i="8" s="1"/>
  <c r="L246" i="5"/>
  <c r="L232" i="5"/>
  <c r="N212" i="5"/>
  <c r="N214" i="5" s="1"/>
  <c r="N215" i="5" s="1"/>
  <c r="O213" i="5" s="1"/>
  <c r="N209" i="5"/>
  <c r="O207" i="5" s="1"/>
  <c r="M226" i="5"/>
  <c r="M229" i="5" s="1"/>
  <c r="M221" i="5"/>
  <c r="N219" i="5" s="1"/>
  <c r="M257" i="20" l="1"/>
  <c r="N251" i="20"/>
  <c r="O245" i="20"/>
  <c r="L281" i="23"/>
  <c r="L282" i="23" s="1"/>
  <c r="L286" i="23" s="1"/>
  <c r="L249" i="23"/>
  <c r="L255" i="23"/>
  <c r="L246" i="23"/>
  <c r="M244" i="23" s="1"/>
  <c r="X139" i="15"/>
  <c r="Y138" i="15"/>
  <c r="X329" i="15"/>
  <c r="Y130" i="11"/>
  <c r="X131" i="11"/>
  <c r="X307" i="11"/>
  <c r="W234" i="11"/>
  <c r="W238" i="11" s="1"/>
  <c r="Z136" i="15"/>
  <c r="Y323" i="15"/>
  <c r="Y128" i="11"/>
  <c r="Y301" i="11" s="1"/>
  <c r="X289" i="11"/>
  <c r="X294" i="11" s="1"/>
  <c r="L270" i="18"/>
  <c r="L272" i="18" s="1"/>
  <c r="L276" i="18" s="1"/>
  <c r="Y124" i="20"/>
  <c r="X125" i="20"/>
  <c r="O242" i="20"/>
  <c r="P240" i="20" s="1"/>
  <c r="Q239" i="20" s="1"/>
  <c r="L265" i="20"/>
  <c r="Z122" i="20"/>
  <c r="N248" i="20"/>
  <c r="O246" i="20" s="1"/>
  <c r="L269" i="20"/>
  <c r="L260" i="20"/>
  <c r="M258" i="20" s="1"/>
  <c r="M254" i="20"/>
  <c r="N252" i="20" s="1"/>
  <c r="M281" i="18"/>
  <c r="M283" i="18" s="1"/>
  <c r="M264" i="18"/>
  <c r="O254" i="18"/>
  <c r="P248" i="18"/>
  <c r="L267" i="18"/>
  <c r="M265" i="18" s="1"/>
  <c r="M261" i="18"/>
  <c r="N259" i="18" s="1"/>
  <c r="N240" i="9"/>
  <c r="O238" i="9" s="1"/>
  <c r="P237" i="9" s="1"/>
  <c r="N243" i="9"/>
  <c r="N245" i="9" s="1"/>
  <c r="N246" i="11"/>
  <c r="L258" i="11"/>
  <c r="L262" i="11" s="1"/>
  <c r="M252" i="11"/>
  <c r="O240" i="11"/>
  <c r="L234" i="10"/>
  <c r="L235" i="10" s="1"/>
  <c r="O207" i="10"/>
  <c r="O208" i="10" s="1"/>
  <c r="M220" i="10"/>
  <c r="M224" i="10" s="1"/>
  <c r="L265" i="10"/>
  <c r="L248" i="10"/>
  <c r="L250" i="10" s="1"/>
  <c r="N214" i="10"/>
  <c r="L257" i="9"/>
  <c r="L261" i="9" s="1"/>
  <c r="M251" i="9"/>
  <c r="N205" i="8"/>
  <c r="N206" i="8" s="1"/>
  <c r="O204" i="8" s="1"/>
  <c r="O199" i="8"/>
  <c r="L217" i="8"/>
  <c r="L263" i="5"/>
  <c r="M211" i="8"/>
  <c r="M215" i="8" s="1"/>
  <c r="L234" i="5"/>
  <c r="M232" i="5"/>
  <c r="M246" i="5"/>
  <c r="L248" i="5"/>
  <c r="N218" i="5"/>
  <c r="N220" i="5" s="1"/>
  <c r="N224" i="5" s="1"/>
  <c r="O208" i="5"/>
  <c r="O212" i="5" s="1"/>
  <c r="O214" i="5" s="1"/>
  <c r="O215" i="5" s="1"/>
  <c r="P213" i="5" s="1"/>
  <c r="P206" i="5"/>
  <c r="I244" i="5"/>
  <c r="M227" i="5"/>
  <c r="N225" i="5" s="1"/>
  <c r="L283" i="23" l="1"/>
  <c r="L292" i="23"/>
  <c r="L251" i="23"/>
  <c r="L287" i="23" s="1"/>
  <c r="L288" i="23" s="1"/>
  <c r="Y139" i="15"/>
  <c r="Z138" i="15"/>
  <c r="Y329" i="15"/>
  <c r="Z130" i="11"/>
  <c r="Y131" i="11"/>
  <c r="Y307" i="11"/>
  <c r="X234" i="11"/>
  <c r="X238" i="11" s="1"/>
  <c r="L264" i="11"/>
  <c r="L268" i="11" s="1"/>
  <c r="Z128" i="11"/>
  <c r="Z301" i="11" s="1"/>
  <c r="Y289" i="11"/>
  <c r="Y294" i="11" s="1"/>
  <c r="AA136" i="15"/>
  <c r="Z323" i="15"/>
  <c r="N246" i="9"/>
  <c r="O244" i="9" s="1"/>
  <c r="L263" i="9"/>
  <c r="L267" i="9" s="1"/>
  <c r="L273" i="18"/>
  <c r="M271" i="18" s="1"/>
  <c r="L288" i="20"/>
  <c r="P241" i="20"/>
  <c r="Z124" i="20"/>
  <c r="Y125" i="20"/>
  <c r="L266" i="20"/>
  <c r="M264" i="20" s="1"/>
  <c r="L272" i="20"/>
  <c r="L274" i="20" s="1"/>
  <c r="AA122" i="20"/>
  <c r="M259" i="20"/>
  <c r="M263" i="20" s="1"/>
  <c r="O247" i="20"/>
  <c r="N253" i="20"/>
  <c r="L279" i="18"/>
  <c r="L285" i="18" s="1"/>
  <c r="O255" i="18"/>
  <c r="P253" i="18" s="1"/>
  <c r="O258" i="18"/>
  <c r="P252" i="18"/>
  <c r="N260" i="18"/>
  <c r="P249" i="18"/>
  <c r="Q247" i="18" s="1"/>
  <c r="M266" i="18"/>
  <c r="M252" i="9"/>
  <c r="N250" i="9" s="1"/>
  <c r="M255" i="9"/>
  <c r="N249" i="9"/>
  <c r="M273" i="11"/>
  <c r="M275" i="11" s="1"/>
  <c r="M256" i="11"/>
  <c r="N247" i="11"/>
  <c r="O245" i="11" s="1"/>
  <c r="N250" i="11"/>
  <c r="O241" i="11"/>
  <c r="P239" i="11" s="1"/>
  <c r="P240" i="11" s="1"/>
  <c r="O244" i="11"/>
  <c r="M253" i="11"/>
  <c r="N251" i="11" s="1"/>
  <c r="L259" i="11"/>
  <c r="M257" i="11" s="1"/>
  <c r="L257" i="10"/>
  <c r="N218" i="10"/>
  <c r="O212" i="10"/>
  <c r="O209" i="10"/>
  <c r="P207" i="10" s="1"/>
  <c r="Q206" i="10" s="1"/>
  <c r="P206" i="10"/>
  <c r="L251" i="10"/>
  <c r="M221" i="10"/>
  <c r="N219" i="10" s="1"/>
  <c r="N215" i="10"/>
  <c r="O213" i="10" s="1"/>
  <c r="L266" i="10"/>
  <c r="O239" i="9"/>
  <c r="L258" i="9"/>
  <c r="M256" i="9" s="1"/>
  <c r="L257" i="5"/>
  <c r="L259" i="5" s="1"/>
  <c r="L260" i="5" s="1"/>
  <c r="N209" i="8"/>
  <c r="O200" i="8"/>
  <c r="P198" i="8" s="1"/>
  <c r="P199" i="8" s="1"/>
  <c r="O203" i="8"/>
  <c r="O205" i="8" s="1"/>
  <c r="O206" i="8" s="1"/>
  <c r="P204" i="8" s="1"/>
  <c r="L235" i="5"/>
  <c r="L250" i="5"/>
  <c r="M212" i="8"/>
  <c r="N210" i="8" s="1"/>
  <c r="M263" i="5"/>
  <c r="M265" i="5" s="1"/>
  <c r="M266" i="5" s="1"/>
  <c r="L220" i="8"/>
  <c r="L218" i="8"/>
  <c r="M216" i="8" s="1"/>
  <c r="M248" i="5"/>
  <c r="O209" i="5"/>
  <c r="O218" i="5"/>
  <c r="L265" i="5"/>
  <c r="M234" i="5"/>
  <c r="N221" i="5"/>
  <c r="O219" i="5" s="1"/>
  <c r="N226" i="5"/>
  <c r="N257" i="20" l="1"/>
  <c r="O251" i="20"/>
  <c r="P245" i="20"/>
  <c r="L289" i="23"/>
  <c r="L252" i="23"/>
  <c r="M250" i="23" s="1"/>
  <c r="L270" i="9"/>
  <c r="Z139" i="15"/>
  <c r="Z329" i="15"/>
  <c r="AA138" i="15"/>
  <c r="AA130" i="11"/>
  <c r="Z131" i="11"/>
  <c r="Z307" i="11"/>
  <c r="Y234" i="11"/>
  <c r="Y238" i="11" s="1"/>
  <c r="L265" i="11"/>
  <c r="M263" i="11" s="1"/>
  <c r="AB136" i="15"/>
  <c r="AA323" i="15"/>
  <c r="AA128" i="11"/>
  <c r="AA301" i="11" s="1"/>
  <c r="Z289" i="11"/>
  <c r="Z294" i="11" s="1"/>
  <c r="L264" i="9"/>
  <c r="M262" i="9" s="1"/>
  <c r="M270" i="18"/>
  <c r="M272" i="18" s="1"/>
  <c r="M276" i="18" s="1"/>
  <c r="M267" i="18"/>
  <c r="N265" i="18" s="1"/>
  <c r="L297" i="20"/>
  <c r="P242" i="20"/>
  <c r="Q240" i="20" s="1"/>
  <c r="R239" i="20" s="1"/>
  <c r="AA124" i="20"/>
  <c r="Z125" i="20"/>
  <c r="M260" i="20"/>
  <c r="N258" i="20" s="1"/>
  <c r="M265" i="20"/>
  <c r="L275" i="20"/>
  <c r="L303" i="20"/>
  <c r="L305" i="20" s="1"/>
  <c r="L306" i="20" s="1"/>
  <c r="AB122" i="20"/>
  <c r="N254" i="20"/>
  <c r="O252" i="20" s="1"/>
  <c r="M269" i="20"/>
  <c r="M288" i="20" s="1"/>
  <c r="M291" i="20" s="1"/>
  <c r="O248" i="20"/>
  <c r="P246" i="20" s="1"/>
  <c r="L286" i="18"/>
  <c r="L314" i="18"/>
  <c r="L316" i="18" s="1"/>
  <c r="L317" i="18" s="1"/>
  <c r="N281" i="18"/>
  <c r="N283" i="18" s="1"/>
  <c r="N261" i="18"/>
  <c r="N264" i="18"/>
  <c r="P254" i="18"/>
  <c r="Q248" i="18"/>
  <c r="L293" i="11"/>
  <c r="L315" i="15" s="1"/>
  <c r="N251" i="9"/>
  <c r="O240" i="9"/>
  <c r="P238" i="9" s="1"/>
  <c r="Q237" i="9" s="1"/>
  <c r="O243" i="9"/>
  <c r="O245" i="9" s="1"/>
  <c r="L271" i="11"/>
  <c r="L294" i="15" s="1"/>
  <c r="O246" i="11"/>
  <c r="P241" i="11"/>
  <c r="Q239" i="11" s="1"/>
  <c r="Q240" i="11" s="1"/>
  <c r="P244" i="11"/>
  <c r="N252" i="11"/>
  <c r="M258" i="11"/>
  <c r="M262" i="11" s="1"/>
  <c r="P208" i="10"/>
  <c r="P209" i="10" s="1"/>
  <c r="Q207" i="10" s="1"/>
  <c r="R206" i="10" s="1"/>
  <c r="N220" i="10"/>
  <c r="L259" i="10"/>
  <c r="L260" i="10" s="1"/>
  <c r="O214" i="10"/>
  <c r="M226" i="10"/>
  <c r="L284" i="9"/>
  <c r="M257" i="9"/>
  <c r="M261" i="9" s="1"/>
  <c r="L223" i="8"/>
  <c r="L225" i="8" s="1"/>
  <c r="P203" i="8"/>
  <c r="P205" i="8" s="1"/>
  <c r="P209" i="8" s="1"/>
  <c r="O209" i="8"/>
  <c r="N211" i="8"/>
  <c r="M257" i="5"/>
  <c r="M259" i="5" s="1"/>
  <c r="M217" i="8"/>
  <c r="M218" i="8" s="1"/>
  <c r="N216" i="8" s="1"/>
  <c r="P200" i="8"/>
  <c r="Q198" i="8" s="1"/>
  <c r="P207" i="5"/>
  <c r="P208" i="5" s="1"/>
  <c r="M250" i="5"/>
  <c r="O220" i="5"/>
  <c r="O224" i="5" s="1"/>
  <c r="M235" i="5"/>
  <c r="L268" i="5"/>
  <c r="L266" i="5"/>
  <c r="L269" i="5" s="1"/>
  <c r="N227" i="5"/>
  <c r="O225" i="5" s="1"/>
  <c r="N229" i="5"/>
  <c r="L257" i="23" l="1"/>
  <c r="AA139" i="15"/>
  <c r="AA329" i="15"/>
  <c r="AB138" i="15"/>
  <c r="AB130" i="11"/>
  <c r="AA131" i="11"/>
  <c r="AA307" i="11"/>
  <c r="Z234" i="11"/>
  <c r="Z238" i="11" s="1"/>
  <c r="O250" i="11"/>
  <c r="M264" i="11"/>
  <c r="M268" i="11" s="1"/>
  <c r="AB128" i="11"/>
  <c r="AB301" i="11" s="1"/>
  <c r="AA289" i="11"/>
  <c r="AA294" i="11" s="1"/>
  <c r="AC136" i="15"/>
  <c r="AB323" i="15"/>
  <c r="N266" i="18"/>
  <c r="N270" i="18" s="1"/>
  <c r="L286" i="9"/>
  <c r="M263" i="9"/>
  <c r="M264" i="9" s="1"/>
  <c r="N262" i="9" s="1"/>
  <c r="O249" i="9"/>
  <c r="M258" i="9"/>
  <c r="N256" i="9" s="1"/>
  <c r="N255" i="9"/>
  <c r="M273" i="18"/>
  <c r="N271" i="18" s="1"/>
  <c r="O259" i="18"/>
  <c r="O260" i="18" s="1"/>
  <c r="Q241" i="20"/>
  <c r="AB124" i="20"/>
  <c r="AA125" i="20"/>
  <c r="M266" i="20"/>
  <c r="N264" i="20" s="1"/>
  <c r="M272" i="20"/>
  <c r="M274" i="20" s="1"/>
  <c r="AC122" i="20"/>
  <c r="P247" i="20"/>
  <c r="O253" i="20"/>
  <c r="N259" i="20"/>
  <c r="N263" i="20" s="1"/>
  <c r="M279" i="18"/>
  <c r="M285" i="18" s="1"/>
  <c r="P258" i="18"/>
  <c r="P255" i="18"/>
  <c r="Q253" i="18" s="1"/>
  <c r="Q249" i="18"/>
  <c r="R247" i="18" s="1"/>
  <c r="R248" i="18" s="1"/>
  <c r="Q252" i="18"/>
  <c r="N252" i="9"/>
  <c r="P239" i="9"/>
  <c r="L277" i="11"/>
  <c r="L296" i="15" s="1"/>
  <c r="L306" i="11"/>
  <c r="O247" i="11"/>
  <c r="P245" i="11" s="1"/>
  <c r="P246" i="11" s="1"/>
  <c r="N273" i="11"/>
  <c r="N275" i="11" s="1"/>
  <c r="N253" i="11"/>
  <c r="N256" i="11"/>
  <c r="Q241" i="11"/>
  <c r="R239" i="11" s="1"/>
  <c r="R240" i="11" s="1"/>
  <c r="Q244" i="11"/>
  <c r="M293" i="11"/>
  <c r="M315" i="15" s="1"/>
  <c r="M259" i="11"/>
  <c r="N257" i="11" s="1"/>
  <c r="P212" i="10"/>
  <c r="N221" i="10"/>
  <c r="O219" i="10" s="1"/>
  <c r="N224" i="10"/>
  <c r="O215" i="10"/>
  <c r="P213" i="10" s="1"/>
  <c r="O218" i="10"/>
  <c r="Q208" i="10"/>
  <c r="L268" i="10"/>
  <c r="L269" i="10"/>
  <c r="M229" i="10"/>
  <c r="M227" i="10"/>
  <c r="N225" i="10" s="1"/>
  <c r="L272" i="9"/>
  <c r="L301" i="9"/>
  <c r="L303" i="9" s="1"/>
  <c r="L304" i="9" s="1"/>
  <c r="O246" i="9"/>
  <c r="P244" i="9" s="1"/>
  <c r="L254" i="8"/>
  <c r="L256" i="8" s="1"/>
  <c r="L257" i="8" s="1"/>
  <c r="L226" i="8"/>
  <c r="N212" i="8"/>
  <c r="O210" i="8" s="1"/>
  <c r="O211" i="8" s="1"/>
  <c r="O215" i="8" s="1"/>
  <c r="N215" i="8"/>
  <c r="P206" i="8"/>
  <c r="Q204" i="8" s="1"/>
  <c r="Q199" i="8"/>
  <c r="M220" i="8"/>
  <c r="Q206" i="5"/>
  <c r="P212" i="5"/>
  <c r="P214" i="5" s="1"/>
  <c r="P215" i="5" s="1"/>
  <c r="Q213" i="5" s="1"/>
  <c r="P209" i="5"/>
  <c r="Q207" i="5" s="1"/>
  <c r="R206" i="5" s="1"/>
  <c r="N246" i="5"/>
  <c r="O221" i="5"/>
  <c r="P219" i="5" s="1"/>
  <c r="N232" i="5"/>
  <c r="M260" i="5"/>
  <c r="M269" i="5" s="1"/>
  <c r="M268" i="5"/>
  <c r="O226" i="5"/>
  <c r="O229" i="5" s="1"/>
  <c r="O257" i="20" l="1"/>
  <c r="Q245" i="20"/>
  <c r="P251" i="20"/>
  <c r="L260" i="23"/>
  <c r="L293" i="23"/>
  <c r="L294" i="23" s="1"/>
  <c r="M203" i="23" s="1"/>
  <c r="M311" i="23" s="1"/>
  <c r="L258" i="23"/>
  <c r="M256" i="23" s="1"/>
  <c r="L288" i="9"/>
  <c r="L308" i="11"/>
  <c r="L330" i="15" s="1"/>
  <c r="L328" i="15"/>
  <c r="AB139" i="15"/>
  <c r="AC138" i="15"/>
  <c r="AB329" i="15"/>
  <c r="AC130" i="11"/>
  <c r="AB131" i="11"/>
  <c r="AB307" i="11"/>
  <c r="AA234" i="11"/>
  <c r="AA238" i="11" s="1"/>
  <c r="M265" i="11"/>
  <c r="N263" i="11" s="1"/>
  <c r="O251" i="11"/>
  <c r="O252" i="11" s="1"/>
  <c r="L295" i="9"/>
  <c r="L297" i="9" s="1"/>
  <c r="L306" i="9" s="1"/>
  <c r="N267" i="18"/>
  <c r="O265" i="18" s="1"/>
  <c r="AC128" i="11"/>
  <c r="AC301" i="11" s="1"/>
  <c r="AB289" i="11"/>
  <c r="AB294" i="11" s="1"/>
  <c r="AD136" i="15"/>
  <c r="AC323" i="15"/>
  <c r="N257" i="9"/>
  <c r="N261" i="9" s="1"/>
  <c r="N263" i="9" s="1"/>
  <c r="M267" i="9"/>
  <c r="P240" i="9"/>
  <c r="Q238" i="9" s="1"/>
  <c r="R237" i="9" s="1"/>
  <c r="O250" i="9"/>
  <c r="O251" i="9" s="1"/>
  <c r="N272" i="18"/>
  <c r="N276" i="18" s="1"/>
  <c r="N279" i="18" s="1"/>
  <c r="N285" i="18" s="1"/>
  <c r="N286" i="18" s="1"/>
  <c r="O264" i="18"/>
  <c r="O281" i="18"/>
  <c r="O283" i="18" s="1"/>
  <c r="O261" i="18"/>
  <c r="P259" i="18" s="1"/>
  <c r="P260" i="18" s="1"/>
  <c r="Q242" i="20"/>
  <c r="R240" i="20" s="1"/>
  <c r="S239" i="20" s="1"/>
  <c r="AC124" i="20"/>
  <c r="AB125" i="20"/>
  <c r="N265" i="20"/>
  <c r="M275" i="20"/>
  <c r="M303" i="20"/>
  <c r="M305" i="20" s="1"/>
  <c r="M306" i="20" s="1"/>
  <c r="O254" i="20"/>
  <c r="P252" i="20" s="1"/>
  <c r="P248" i="20"/>
  <c r="Q246" i="20" s="1"/>
  <c r="AD122" i="20"/>
  <c r="N269" i="20"/>
  <c r="N288" i="20" s="1"/>
  <c r="N291" i="20" s="1"/>
  <c r="N260" i="20"/>
  <c r="O258" i="20" s="1"/>
  <c r="M286" i="18"/>
  <c r="M314" i="18"/>
  <c r="M316" i="18" s="1"/>
  <c r="M317" i="18" s="1"/>
  <c r="Q254" i="18"/>
  <c r="R252" i="18"/>
  <c r="R249" i="18"/>
  <c r="S247" i="18" s="1"/>
  <c r="P243" i="9"/>
  <c r="P245" i="9" s="1"/>
  <c r="L278" i="11"/>
  <c r="L297" i="15" s="1"/>
  <c r="M271" i="11"/>
  <c r="M294" i="15" s="1"/>
  <c r="R244" i="11"/>
  <c r="P247" i="11"/>
  <c r="Q245" i="11" s="1"/>
  <c r="Q246" i="11" s="1"/>
  <c r="P250" i="11"/>
  <c r="R241" i="11"/>
  <c r="S239" i="11" s="1"/>
  <c r="N258" i="11"/>
  <c r="N262" i="11" s="1"/>
  <c r="M232" i="10"/>
  <c r="M234" i="10" s="1"/>
  <c r="M246" i="10"/>
  <c r="M248" i="10" s="1"/>
  <c r="P214" i="10"/>
  <c r="P218" i="10" s="1"/>
  <c r="Q209" i="10"/>
  <c r="R207" i="10" s="1"/>
  <c r="S206" i="10" s="1"/>
  <c r="Q212" i="10"/>
  <c r="N226" i="10"/>
  <c r="O220" i="10"/>
  <c r="O224" i="10" s="1"/>
  <c r="L273" i="9"/>
  <c r="M223" i="8"/>
  <c r="M225" i="8" s="1"/>
  <c r="Q200" i="8"/>
  <c r="R198" i="8" s="1"/>
  <c r="R199" i="8" s="1"/>
  <c r="Q203" i="8"/>
  <c r="Q205" i="8" s="1"/>
  <c r="Q209" i="8" s="1"/>
  <c r="O212" i="8"/>
  <c r="P210" i="8" s="1"/>
  <c r="P211" i="8" s="1"/>
  <c r="N234" i="5"/>
  <c r="N217" i="8"/>
  <c r="Q208" i="5"/>
  <c r="Q212" i="5" s="1"/>
  <c r="Q214" i="5" s="1"/>
  <c r="Q218" i="5" s="1"/>
  <c r="P218" i="5"/>
  <c r="P220" i="5" s="1"/>
  <c r="O232" i="5"/>
  <c r="O246" i="5"/>
  <c r="N248" i="5"/>
  <c r="N263" i="5"/>
  <c r="O227" i="5"/>
  <c r="P225" i="5" s="1"/>
  <c r="L302" i="23" l="1"/>
  <c r="L328" i="23" s="1"/>
  <c r="L330" i="23" s="1"/>
  <c r="L317" i="23"/>
  <c r="M313" i="23"/>
  <c r="M315" i="23"/>
  <c r="M225" i="23"/>
  <c r="M262" i="23"/>
  <c r="M264" i="23" s="1"/>
  <c r="L295" i="23"/>
  <c r="L297" i="23"/>
  <c r="M284" i="9"/>
  <c r="M286" i="9" s="1"/>
  <c r="L289" i="9"/>
  <c r="L309" i="11"/>
  <c r="L331" i="15" s="1"/>
  <c r="AC139" i="15"/>
  <c r="AD138" i="15"/>
  <c r="AC329" i="15"/>
  <c r="AD130" i="11"/>
  <c r="AC131" i="11"/>
  <c r="AC307" i="11"/>
  <c r="AB234" i="11"/>
  <c r="AB238" i="11" s="1"/>
  <c r="N259" i="11"/>
  <c r="O257" i="11" s="1"/>
  <c r="N264" i="11"/>
  <c r="N268" i="11" s="1"/>
  <c r="O256" i="11"/>
  <c r="O273" i="11"/>
  <c r="O275" i="11" s="1"/>
  <c r="O253" i="11"/>
  <c r="P251" i="11" s="1"/>
  <c r="P252" i="11" s="1"/>
  <c r="L298" i="9"/>
  <c r="L307" i="9" s="1"/>
  <c r="O266" i="18"/>
  <c r="O267" i="18" s="1"/>
  <c r="P265" i="18" s="1"/>
  <c r="AE136" i="15"/>
  <c r="AD323" i="15"/>
  <c r="AD128" i="11"/>
  <c r="AD301" i="11" s="1"/>
  <c r="AC289" i="11"/>
  <c r="AC294" i="11" s="1"/>
  <c r="M270" i="9"/>
  <c r="N258" i="9"/>
  <c r="O256" i="9" s="1"/>
  <c r="Q239" i="9"/>
  <c r="Q243" i="9" s="1"/>
  <c r="N267" i="9"/>
  <c r="N264" i="9"/>
  <c r="O262" i="9" s="1"/>
  <c r="O252" i="9"/>
  <c r="P250" i="9" s="1"/>
  <c r="O255" i="9"/>
  <c r="Q255" i="18"/>
  <c r="R253" i="18" s="1"/>
  <c r="R254" i="18" s="1"/>
  <c r="P281" i="18"/>
  <c r="P283" i="18" s="1"/>
  <c r="N273" i="18"/>
  <c r="O271" i="18" s="1"/>
  <c r="Q247" i="20"/>
  <c r="R241" i="20"/>
  <c r="AD124" i="20"/>
  <c r="AC125" i="20"/>
  <c r="N266" i="20"/>
  <c r="O264" i="20" s="1"/>
  <c r="N272" i="20"/>
  <c r="N274" i="20" s="1"/>
  <c r="P253" i="20"/>
  <c r="AE122" i="20"/>
  <c r="O259" i="20"/>
  <c r="O263" i="20" s="1"/>
  <c r="N314" i="18"/>
  <c r="N316" i="18" s="1"/>
  <c r="N317" i="18" s="1"/>
  <c r="P264" i="18"/>
  <c r="Q258" i="18"/>
  <c r="S248" i="18"/>
  <c r="P261" i="18"/>
  <c r="Q259" i="18" s="1"/>
  <c r="P246" i="9"/>
  <c r="Q244" i="9" s="1"/>
  <c r="P249" i="9"/>
  <c r="M277" i="11"/>
  <c r="M296" i="15" s="1"/>
  <c r="M300" i="11"/>
  <c r="M306" i="11"/>
  <c r="Q247" i="11"/>
  <c r="R245" i="11" s="1"/>
  <c r="R246" i="11" s="1"/>
  <c r="Q250" i="11"/>
  <c r="S240" i="11"/>
  <c r="M235" i="10"/>
  <c r="M257" i="10"/>
  <c r="M259" i="10" s="1"/>
  <c r="M263" i="10"/>
  <c r="M265" i="10" s="1"/>
  <c r="M266" i="10" s="1"/>
  <c r="M250" i="10"/>
  <c r="P215" i="10"/>
  <c r="Q213" i="10" s="1"/>
  <c r="Q214" i="10" s="1"/>
  <c r="R208" i="10"/>
  <c r="N229" i="10"/>
  <c r="N227" i="10"/>
  <c r="O225" i="10" s="1"/>
  <c r="O221" i="10"/>
  <c r="P219" i="10" s="1"/>
  <c r="M254" i="8"/>
  <c r="M256" i="8" s="1"/>
  <c r="M226" i="8"/>
  <c r="P212" i="8"/>
  <c r="Q210" i="8" s="1"/>
  <c r="Q211" i="8" s="1"/>
  <c r="Q215" i="8" s="1"/>
  <c r="P215" i="8"/>
  <c r="R200" i="8"/>
  <c r="S198" i="8" s="1"/>
  <c r="S199" i="8" s="1"/>
  <c r="R203" i="8"/>
  <c r="N250" i="5"/>
  <c r="Q206" i="8"/>
  <c r="R204" i="8" s="1"/>
  <c r="N220" i="8"/>
  <c r="N218" i="8"/>
  <c r="O216" i="8" s="1"/>
  <c r="N235" i="5"/>
  <c r="Q209" i="5"/>
  <c r="R207" i="5" s="1"/>
  <c r="R208" i="5" s="1"/>
  <c r="R212" i="5" s="1"/>
  <c r="Q215" i="5"/>
  <c r="R213" i="5" s="1"/>
  <c r="P224" i="5"/>
  <c r="P226" i="5" s="1"/>
  <c r="P229" i="5" s="1"/>
  <c r="P221" i="5"/>
  <c r="Q219" i="5" s="1"/>
  <c r="Q220" i="5" s="1"/>
  <c r="Q221" i="5" s="1"/>
  <c r="R219" i="5" s="1"/>
  <c r="O248" i="5"/>
  <c r="N257" i="5"/>
  <c r="N259" i="5" s="1"/>
  <c r="O263" i="5"/>
  <c r="N265" i="5"/>
  <c r="O234" i="5"/>
  <c r="P257" i="20" l="1"/>
  <c r="R245" i="20"/>
  <c r="Q251" i="20"/>
  <c r="M227" i="23"/>
  <c r="M231" i="23" s="1"/>
  <c r="M233" i="23" s="1"/>
  <c r="M237" i="23" s="1"/>
  <c r="M239" i="23" s="1"/>
  <c r="M319" i="23"/>
  <c r="M321" i="23" s="1"/>
  <c r="L299" i="23"/>
  <c r="L322" i="23" s="1"/>
  <c r="L303" i="23"/>
  <c r="L334" i="23" s="1"/>
  <c r="L336" i="23" s="1"/>
  <c r="M268" i="23"/>
  <c r="L331" i="23"/>
  <c r="M288" i="9"/>
  <c r="M289" i="9" s="1"/>
  <c r="M272" i="9"/>
  <c r="Q248" i="20"/>
  <c r="R246" i="20" s="1"/>
  <c r="M308" i="11"/>
  <c r="M330" i="15" s="1"/>
  <c r="M328" i="15"/>
  <c r="M302" i="11"/>
  <c r="M322" i="15"/>
  <c r="AD139" i="15"/>
  <c r="AD329" i="15"/>
  <c r="AE138" i="15"/>
  <c r="AE130" i="11"/>
  <c r="AD131" i="11"/>
  <c r="AD307" i="11"/>
  <c r="AC234" i="11"/>
  <c r="AC238" i="11" s="1"/>
  <c r="O258" i="11"/>
  <c r="O293" i="11" s="1"/>
  <c r="N265" i="11"/>
  <c r="O263" i="11" s="1"/>
  <c r="Q240" i="9"/>
  <c r="R238" i="9" s="1"/>
  <c r="S237" i="9" s="1"/>
  <c r="O270" i="18"/>
  <c r="O272" i="18" s="1"/>
  <c r="O276" i="18" s="1"/>
  <c r="O279" i="18" s="1"/>
  <c r="O285" i="18" s="1"/>
  <c r="O257" i="9"/>
  <c r="O261" i="9" s="1"/>
  <c r="O263" i="9" s="1"/>
  <c r="O264" i="9" s="1"/>
  <c r="P262" i="9" s="1"/>
  <c r="M301" i="9"/>
  <c r="M303" i="9" s="1"/>
  <c r="M304" i="9" s="1"/>
  <c r="M295" i="9"/>
  <c r="M297" i="9" s="1"/>
  <c r="M298" i="9" s="1"/>
  <c r="AE128" i="11"/>
  <c r="AE301" i="11" s="1"/>
  <c r="AD289" i="11"/>
  <c r="AD294" i="11" s="1"/>
  <c r="AF136" i="15"/>
  <c r="AE323" i="15"/>
  <c r="P251" i="9"/>
  <c r="P252" i="9" s="1"/>
  <c r="Q250" i="9" s="1"/>
  <c r="N284" i="9"/>
  <c r="N270" i="9"/>
  <c r="P266" i="18"/>
  <c r="P270" i="18" s="1"/>
  <c r="R242" i="20"/>
  <c r="S240" i="20" s="1"/>
  <c r="T239" i="20" s="1"/>
  <c r="AE124" i="20"/>
  <c r="AD125" i="20"/>
  <c r="O265" i="20"/>
  <c r="O266" i="20" s="1"/>
  <c r="P264" i="20" s="1"/>
  <c r="N275" i="20"/>
  <c r="P254" i="20"/>
  <c r="Q252" i="20" s="1"/>
  <c r="N303" i="20"/>
  <c r="N305" i="20" s="1"/>
  <c r="N306" i="20" s="1"/>
  <c r="AF122" i="20"/>
  <c r="O269" i="20"/>
  <c r="O288" i="20" s="1"/>
  <c r="O291" i="20" s="1"/>
  <c r="O260" i="20"/>
  <c r="P258" i="20" s="1"/>
  <c r="R255" i="18"/>
  <c r="S253" i="18" s="1"/>
  <c r="R258" i="18"/>
  <c r="S249" i="18"/>
  <c r="T247" i="18" s="1"/>
  <c r="T248" i="18" s="1"/>
  <c r="S252" i="18"/>
  <c r="Q260" i="18"/>
  <c r="N293" i="11"/>
  <c r="Q245" i="9"/>
  <c r="M278" i="11"/>
  <c r="M297" i="15" s="1"/>
  <c r="P273" i="11"/>
  <c r="P275" i="11" s="1"/>
  <c r="N271" i="11"/>
  <c r="P253" i="11"/>
  <c r="P256" i="11"/>
  <c r="R250" i="11"/>
  <c r="S241" i="11"/>
  <c r="T239" i="11" s="1"/>
  <c r="T240" i="11" s="1"/>
  <c r="S244" i="11"/>
  <c r="R247" i="11"/>
  <c r="S245" i="11" s="1"/>
  <c r="M251" i="10"/>
  <c r="M268" i="10"/>
  <c r="M260" i="10"/>
  <c r="M269" i="10" s="1"/>
  <c r="N232" i="10"/>
  <c r="N234" i="10" s="1"/>
  <c r="N246" i="10"/>
  <c r="N248" i="10" s="1"/>
  <c r="N250" i="10" s="1"/>
  <c r="Q215" i="10"/>
  <c r="R213" i="10" s="1"/>
  <c r="Q218" i="10"/>
  <c r="R209" i="10"/>
  <c r="S207" i="10" s="1"/>
  <c r="S208" i="10" s="1"/>
  <c r="R212" i="10"/>
  <c r="O226" i="10"/>
  <c r="O227" i="10" s="1"/>
  <c r="P225" i="10" s="1"/>
  <c r="P220" i="10"/>
  <c r="P224" i="10" s="1"/>
  <c r="M257" i="8"/>
  <c r="N223" i="8"/>
  <c r="S200" i="8"/>
  <c r="T198" i="8" s="1"/>
  <c r="T199" i="8" s="1"/>
  <c r="S203" i="8"/>
  <c r="Q212" i="8"/>
  <c r="R210" i="8" s="1"/>
  <c r="O217" i="8"/>
  <c r="O218" i="8" s="1"/>
  <c r="P216" i="8" s="1"/>
  <c r="O250" i="5"/>
  <c r="P232" i="5"/>
  <c r="R205" i="8"/>
  <c r="R214" i="5"/>
  <c r="R215" i="5" s="1"/>
  <c r="S213" i="5" s="1"/>
  <c r="P227" i="5"/>
  <c r="Q225" i="5" s="1"/>
  <c r="O257" i="5"/>
  <c r="O259" i="5" s="1"/>
  <c r="O260" i="5" s="1"/>
  <c r="P246" i="5"/>
  <c r="P248" i="5" s="1"/>
  <c r="S206" i="5"/>
  <c r="Q224" i="5"/>
  <c r="R209" i="5"/>
  <c r="O235" i="5"/>
  <c r="N260" i="5"/>
  <c r="N268" i="5"/>
  <c r="N266" i="5"/>
  <c r="O265" i="5"/>
  <c r="O266" i="5" s="1"/>
  <c r="L340" i="23" l="1"/>
  <c r="L337" i="23"/>
  <c r="L305" i="23"/>
  <c r="M275" i="23"/>
  <c r="M240" i="23"/>
  <c r="N238" i="23" s="1"/>
  <c r="M243" i="23"/>
  <c r="M245" i="23" s="1"/>
  <c r="M269" i="23"/>
  <c r="M234" i="23"/>
  <c r="N232" i="23" s="1"/>
  <c r="N272" i="9"/>
  <c r="N273" i="9" s="1"/>
  <c r="M273" i="9"/>
  <c r="M309" i="11"/>
  <c r="M331" i="15" s="1"/>
  <c r="R247" i="20"/>
  <c r="M311" i="11"/>
  <c r="M333" i="15" s="1"/>
  <c r="M303" i="11"/>
  <c r="M324" i="15"/>
  <c r="AE139" i="15"/>
  <c r="AF138" i="15"/>
  <c r="AE329" i="15"/>
  <c r="AF130" i="11"/>
  <c r="AE131" i="11"/>
  <c r="AE307" i="11"/>
  <c r="O259" i="11"/>
  <c r="P257" i="11" s="1"/>
  <c r="P258" i="11" s="1"/>
  <c r="P262" i="11" s="1"/>
  <c r="O262" i="11"/>
  <c r="O264" i="11" s="1"/>
  <c r="O268" i="11" s="1"/>
  <c r="AD234" i="11"/>
  <c r="AD238" i="11" s="1"/>
  <c r="Q251" i="11"/>
  <c r="Q252" i="11" s="1"/>
  <c r="R239" i="9"/>
  <c r="R243" i="9" s="1"/>
  <c r="M307" i="9"/>
  <c r="O258" i="9"/>
  <c r="P256" i="9" s="1"/>
  <c r="P255" i="9"/>
  <c r="M306" i="9"/>
  <c r="AF128" i="11"/>
  <c r="AF301" i="11" s="1"/>
  <c r="AE289" i="11"/>
  <c r="AE294" i="11" s="1"/>
  <c r="AG136" i="15"/>
  <c r="AF323" i="15"/>
  <c r="N286" i="9"/>
  <c r="N301" i="9"/>
  <c r="N303" i="9" s="1"/>
  <c r="N304" i="9" s="1"/>
  <c r="O267" i="9"/>
  <c r="Q249" i="9"/>
  <c r="Q251" i="9" s="1"/>
  <c r="P267" i="18"/>
  <c r="Q265" i="18" s="1"/>
  <c r="Q281" i="18"/>
  <c r="Q283" i="18" s="1"/>
  <c r="O273" i="18"/>
  <c r="P271" i="18" s="1"/>
  <c r="S241" i="20"/>
  <c r="AF124" i="20"/>
  <c r="AE125" i="20"/>
  <c r="Q253" i="20"/>
  <c r="O272" i="20"/>
  <c r="O274" i="20" s="1"/>
  <c r="AG122" i="20"/>
  <c r="P259" i="20"/>
  <c r="P263" i="20" s="1"/>
  <c r="O286" i="18"/>
  <c r="O314" i="18"/>
  <c r="O316" i="18" s="1"/>
  <c r="O317" i="18" s="1"/>
  <c r="Q264" i="18"/>
  <c r="S254" i="18"/>
  <c r="T249" i="18"/>
  <c r="U247" i="18" s="1"/>
  <c r="U248" i="18" s="1"/>
  <c r="T252" i="18"/>
  <c r="Q261" i="18"/>
  <c r="R259" i="18" s="1"/>
  <c r="Q246" i="9"/>
  <c r="R244" i="9" s="1"/>
  <c r="N300" i="11"/>
  <c r="N302" i="11" s="1"/>
  <c r="N303" i="11" s="1"/>
  <c r="N306" i="11"/>
  <c r="N277" i="11"/>
  <c r="T241" i="11"/>
  <c r="U239" i="11" s="1"/>
  <c r="U240" i="11" s="1"/>
  <c r="T244" i="11"/>
  <c r="S246" i="11"/>
  <c r="N235" i="10"/>
  <c r="N263" i="10"/>
  <c r="N265" i="10" s="1"/>
  <c r="N266" i="10" s="1"/>
  <c r="N257" i="10"/>
  <c r="N259" i="10" s="1"/>
  <c r="N260" i="10" s="1"/>
  <c r="N251" i="10"/>
  <c r="R214" i="10"/>
  <c r="R215" i="10" s="1"/>
  <c r="S213" i="10" s="1"/>
  <c r="S209" i="10"/>
  <c r="T207" i="10" s="1"/>
  <c r="U206" i="10" s="1"/>
  <c r="S212" i="10"/>
  <c r="T206" i="10"/>
  <c r="O229" i="10"/>
  <c r="P226" i="10"/>
  <c r="P229" i="10" s="1"/>
  <c r="P221" i="10"/>
  <c r="P234" i="5"/>
  <c r="N225" i="8"/>
  <c r="N226" i="8" s="1"/>
  <c r="N254" i="8"/>
  <c r="R209" i="8"/>
  <c r="R211" i="8" s="1"/>
  <c r="R215" i="8" s="1"/>
  <c r="T203" i="8"/>
  <c r="R218" i="5"/>
  <c r="R220" i="5" s="1"/>
  <c r="R221" i="5" s="1"/>
  <c r="S219" i="5" s="1"/>
  <c r="P217" i="8"/>
  <c r="P220" i="8" s="1"/>
  <c r="P263" i="5"/>
  <c r="O220" i="8"/>
  <c r="R206" i="8"/>
  <c r="S204" i="8" s="1"/>
  <c r="T200" i="8"/>
  <c r="U198" i="8" s="1"/>
  <c r="S207" i="5"/>
  <c r="S208" i="5" s="1"/>
  <c r="P250" i="5"/>
  <c r="O268" i="5"/>
  <c r="O269" i="5"/>
  <c r="N269" i="5"/>
  <c r="P257" i="5"/>
  <c r="Q226" i="5"/>
  <c r="Q257" i="20" l="1"/>
  <c r="R251" i="20"/>
  <c r="S245" i="20"/>
  <c r="L306" i="23"/>
  <c r="L342" i="23"/>
  <c r="M281" i="23"/>
  <c r="M246" i="23"/>
  <c r="N244" i="23" s="1"/>
  <c r="M249" i="23"/>
  <c r="M251" i="23" s="1"/>
  <c r="M255" i="23"/>
  <c r="M257" i="23" s="1"/>
  <c r="M270" i="23"/>
  <c r="M271" i="23" s="1"/>
  <c r="N288" i="9"/>
  <c r="O270" i="9"/>
  <c r="R248" i="20"/>
  <c r="S246" i="20" s="1"/>
  <c r="M312" i="11"/>
  <c r="M334" i="15" s="1"/>
  <c r="M325" i="15"/>
  <c r="AF139" i="15"/>
  <c r="AG138" i="15"/>
  <c r="AF329" i="15"/>
  <c r="AG130" i="11"/>
  <c r="AF131" i="11"/>
  <c r="AF307" i="11"/>
  <c r="O271" i="11"/>
  <c r="O277" i="11" s="1"/>
  <c r="O278" i="11" s="1"/>
  <c r="AE234" i="11"/>
  <c r="AE238" i="11" s="1"/>
  <c r="O265" i="11"/>
  <c r="P263" i="11" s="1"/>
  <c r="Q273" i="11"/>
  <c r="Q275" i="11" s="1"/>
  <c r="Q256" i="11"/>
  <c r="Q253" i="11"/>
  <c r="R251" i="11" s="1"/>
  <c r="R252" i="11" s="1"/>
  <c r="R240" i="9"/>
  <c r="S238" i="9" s="1"/>
  <c r="S239" i="9" s="1"/>
  <c r="S243" i="9" s="1"/>
  <c r="Q255" i="9"/>
  <c r="P257" i="9"/>
  <c r="P261" i="9" s="1"/>
  <c r="P263" i="9" s="1"/>
  <c r="P264" i="9" s="1"/>
  <c r="Q262" i="9" s="1"/>
  <c r="AH136" i="15"/>
  <c r="AG323" i="15"/>
  <c r="AG128" i="11"/>
  <c r="AG301" i="11" s="1"/>
  <c r="AF289" i="11"/>
  <c r="AF294" i="11" s="1"/>
  <c r="N295" i="9"/>
  <c r="N297" i="9" s="1"/>
  <c r="O284" i="9"/>
  <c r="Q252" i="9"/>
  <c r="R250" i="9" s="1"/>
  <c r="Q266" i="18"/>
  <c r="Q270" i="18" s="1"/>
  <c r="P272" i="18"/>
  <c r="S255" i="18"/>
  <c r="T253" i="18" s="1"/>
  <c r="T254" i="18" s="1"/>
  <c r="S242" i="20"/>
  <c r="T240" i="20" s="1"/>
  <c r="U239" i="20" s="1"/>
  <c r="AG124" i="20"/>
  <c r="AF125" i="20"/>
  <c r="Q254" i="20"/>
  <c r="R252" i="20" s="1"/>
  <c r="P260" i="20"/>
  <c r="Q258" i="20" s="1"/>
  <c r="P265" i="20"/>
  <c r="P266" i="20" s="1"/>
  <c r="Q264" i="20" s="1"/>
  <c r="O275" i="20"/>
  <c r="O303" i="20"/>
  <c r="O305" i="20" s="1"/>
  <c r="O306" i="20" s="1"/>
  <c r="AH122" i="20"/>
  <c r="P269" i="20"/>
  <c r="P288" i="20" s="1"/>
  <c r="P291" i="20" s="1"/>
  <c r="S258" i="18"/>
  <c r="R260" i="18"/>
  <c r="U252" i="18"/>
  <c r="U249" i="18"/>
  <c r="V247" i="18" s="1"/>
  <c r="P293" i="11"/>
  <c r="R245" i="9"/>
  <c r="N278" i="11"/>
  <c r="N308" i="11"/>
  <c r="N311" i="11" s="1"/>
  <c r="S250" i="11"/>
  <c r="U244" i="11"/>
  <c r="P259" i="11"/>
  <c r="Q257" i="11" s="1"/>
  <c r="U241" i="11"/>
  <c r="V239" i="11" s="1"/>
  <c r="S247" i="11"/>
  <c r="T245" i="11" s="1"/>
  <c r="O232" i="10"/>
  <c r="O234" i="10" s="1"/>
  <c r="O246" i="10"/>
  <c r="O248" i="10" s="1"/>
  <c r="O250" i="10" s="1"/>
  <c r="N268" i="10"/>
  <c r="N269" i="10"/>
  <c r="P232" i="10"/>
  <c r="P234" i="10" s="1"/>
  <c r="P235" i="10" s="1"/>
  <c r="P246" i="10"/>
  <c r="P248" i="10" s="1"/>
  <c r="P250" i="10" s="1"/>
  <c r="S214" i="10"/>
  <c r="S215" i="10" s="1"/>
  <c r="T213" i="10" s="1"/>
  <c r="T208" i="10"/>
  <c r="T209" i="10" s="1"/>
  <c r="U207" i="10" s="1"/>
  <c r="V206" i="10" s="1"/>
  <c r="Q219" i="10"/>
  <c r="R218" i="10" s="1"/>
  <c r="P227" i="10"/>
  <c r="Q225" i="10" s="1"/>
  <c r="P235" i="5"/>
  <c r="R224" i="5"/>
  <c r="N256" i="8"/>
  <c r="P223" i="8"/>
  <c r="P254" i="8" s="1"/>
  <c r="P256" i="8" s="1"/>
  <c r="P257" i="8" s="1"/>
  <c r="O223" i="8"/>
  <c r="O225" i="8" s="1"/>
  <c r="R212" i="8"/>
  <c r="S210" i="8" s="1"/>
  <c r="S205" i="8"/>
  <c r="P218" i="8"/>
  <c r="Q216" i="8" s="1"/>
  <c r="U199" i="8"/>
  <c r="T206" i="5"/>
  <c r="S212" i="5"/>
  <c r="S214" i="5" s="1"/>
  <c r="S215" i="5" s="1"/>
  <c r="T213" i="5" s="1"/>
  <c r="S209" i="5"/>
  <c r="T207" i="5" s="1"/>
  <c r="P265" i="5"/>
  <c r="P266" i="5" s="1"/>
  <c r="P259" i="5"/>
  <c r="Q227" i="5"/>
  <c r="R225" i="5" s="1"/>
  <c r="Q229" i="5"/>
  <c r="R253" i="20" l="1"/>
  <c r="R257" i="20" s="1"/>
  <c r="S247" i="20"/>
  <c r="S248" i="20" s="1"/>
  <c r="T246" i="20" s="1"/>
  <c r="L343" i="23"/>
  <c r="L346" i="23" s="1"/>
  <c r="L345" i="23"/>
  <c r="M274" i="23"/>
  <c r="M276" i="23" s="1"/>
  <c r="M277" i="23" s="1"/>
  <c r="M293" i="23"/>
  <c r="M258" i="23"/>
  <c r="N256" i="23" s="1"/>
  <c r="M287" i="23"/>
  <c r="M252" i="23"/>
  <c r="N250" i="23" s="1"/>
  <c r="M260" i="23"/>
  <c r="O272" i="9"/>
  <c r="O301" i="9"/>
  <c r="O303" i="9" s="1"/>
  <c r="O304" i="9" s="1"/>
  <c r="N289" i="9"/>
  <c r="AG139" i="15"/>
  <c r="AH138" i="15"/>
  <c r="AG329" i="15"/>
  <c r="AH130" i="11"/>
  <c r="AG131" i="11"/>
  <c r="AG307" i="11"/>
  <c r="O306" i="11"/>
  <c r="O308" i="11" s="1"/>
  <c r="O309" i="11" s="1"/>
  <c r="O300" i="11"/>
  <c r="O302" i="11" s="1"/>
  <c r="AF234" i="11"/>
  <c r="AF238" i="11" s="1"/>
  <c r="R273" i="11"/>
  <c r="R275" i="11" s="1"/>
  <c r="P264" i="11"/>
  <c r="T237" i="9"/>
  <c r="S240" i="9"/>
  <c r="T238" i="9" s="1"/>
  <c r="U237" i="9" s="1"/>
  <c r="P258" i="9"/>
  <c r="Q256" i="9" s="1"/>
  <c r="Q257" i="9" s="1"/>
  <c r="Q261" i="9" s="1"/>
  <c r="Q263" i="9" s="1"/>
  <c r="P267" i="9"/>
  <c r="AH128" i="11"/>
  <c r="AH301" i="11" s="1"/>
  <c r="AG289" i="11"/>
  <c r="AG294" i="11" s="1"/>
  <c r="AI136" i="15"/>
  <c r="AH323" i="15"/>
  <c r="N298" i="9"/>
  <c r="N307" i="9" s="1"/>
  <c r="N306" i="9"/>
  <c r="O286" i="9"/>
  <c r="R246" i="9"/>
  <c r="S244" i="9" s="1"/>
  <c r="S245" i="9" s="1"/>
  <c r="Q267" i="18"/>
  <c r="R265" i="18" s="1"/>
  <c r="P273" i="18"/>
  <c r="Q271" i="18" s="1"/>
  <c r="Q272" i="18" s="1"/>
  <c r="P276" i="18"/>
  <c r="R281" i="18"/>
  <c r="R283" i="18" s="1"/>
  <c r="T241" i="20"/>
  <c r="AH124" i="20"/>
  <c r="AG125" i="20"/>
  <c r="Q259" i="20"/>
  <c r="Q263" i="20" s="1"/>
  <c r="P272" i="20"/>
  <c r="P274" i="20" s="1"/>
  <c r="AI122" i="20"/>
  <c r="R264" i="18"/>
  <c r="T258" i="18"/>
  <c r="R261" i="18"/>
  <c r="T255" i="18"/>
  <c r="U253" i="18" s="1"/>
  <c r="V248" i="18"/>
  <c r="R249" i="9"/>
  <c r="R251" i="9" s="1"/>
  <c r="R256" i="11"/>
  <c r="N309" i="11"/>
  <c r="N312" i="11" s="1"/>
  <c r="R253" i="11"/>
  <c r="Q258" i="11"/>
  <c r="Q262" i="11" s="1"/>
  <c r="T246" i="11"/>
  <c r="V240" i="11"/>
  <c r="O235" i="10"/>
  <c r="O263" i="10"/>
  <c r="O265" i="10" s="1"/>
  <c r="O266" i="10" s="1"/>
  <c r="P263" i="10"/>
  <c r="P265" i="10" s="1"/>
  <c r="P266" i="10" s="1"/>
  <c r="O257" i="10"/>
  <c r="O259" i="10" s="1"/>
  <c r="P257" i="10"/>
  <c r="P259" i="10" s="1"/>
  <c r="P260" i="10" s="1"/>
  <c r="O251" i="10"/>
  <c r="P251" i="10"/>
  <c r="T212" i="10"/>
  <c r="T214" i="10" s="1"/>
  <c r="T215" i="10" s="1"/>
  <c r="U213" i="10" s="1"/>
  <c r="Q220" i="10"/>
  <c r="Q224" i="10" s="1"/>
  <c r="Q226" i="10" s="1"/>
  <c r="Q229" i="10" s="1"/>
  <c r="U208" i="10"/>
  <c r="P225" i="8"/>
  <c r="P226" i="8" s="1"/>
  <c r="N257" i="8"/>
  <c r="O226" i="8"/>
  <c r="O254" i="8"/>
  <c r="O256" i="8" s="1"/>
  <c r="O257" i="8" s="1"/>
  <c r="S206" i="8"/>
  <c r="T204" i="8" s="1"/>
  <c r="T205" i="8" s="1"/>
  <c r="S209" i="8"/>
  <c r="S211" i="8" s="1"/>
  <c r="S215" i="8" s="1"/>
  <c r="U200" i="8"/>
  <c r="V198" i="8" s="1"/>
  <c r="V199" i="8" s="1"/>
  <c r="U203" i="8"/>
  <c r="Q217" i="8"/>
  <c r="Q220" i="8" s="1"/>
  <c r="T208" i="5"/>
  <c r="T212" i="5" s="1"/>
  <c r="T214" i="5" s="1"/>
  <c r="T218" i="5" s="1"/>
  <c r="U206" i="5"/>
  <c r="S218" i="5"/>
  <c r="S220" i="5" s="1"/>
  <c r="S221" i="5" s="1"/>
  <c r="Q232" i="5"/>
  <c r="Q246" i="5"/>
  <c r="Q248" i="5" s="1"/>
  <c r="P268" i="5"/>
  <c r="P260" i="5"/>
  <c r="P269" i="5" s="1"/>
  <c r="R226" i="5"/>
  <c r="R254" i="20" l="1"/>
  <c r="S252" i="20" s="1"/>
  <c r="S251" i="20"/>
  <c r="T245" i="20"/>
  <c r="T247" i="20" s="1"/>
  <c r="M302" i="23"/>
  <c r="M328" i="23" s="1"/>
  <c r="M330" i="23" s="1"/>
  <c r="M317" i="23"/>
  <c r="M280" i="23"/>
  <c r="M282" i="23" s="1"/>
  <c r="M283" i="23" s="1"/>
  <c r="P270" i="9"/>
  <c r="O273" i="9"/>
  <c r="AH139" i="15"/>
  <c r="AI138" i="15"/>
  <c r="AH329" i="15"/>
  <c r="AI130" i="11"/>
  <c r="AH131" i="11"/>
  <c r="AH307" i="11"/>
  <c r="O311" i="11"/>
  <c r="O303" i="11"/>
  <c r="O312" i="11" s="1"/>
  <c r="AG234" i="11"/>
  <c r="AG238" i="11" s="1"/>
  <c r="P265" i="11"/>
  <c r="Q263" i="11" s="1"/>
  <c r="Q264" i="11" s="1"/>
  <c r="P268" i="11"/>
  <c r="Q293" i="11"/>
  <c r="S251" i="11"/>
  <c r="S252" i="11" s="1"/>
  <c r="T239" i="9"/>
  <c r="T240" i="9" s="1"/>
  <c r="U238" i="9" s="1"/>
  <c r="V237" i="9" s="1"/>
  <c r="P284" i="9"/>
  <c r="P286" i="9" s="1"/>
  <c r="Q258" i="9"/>
  <c r="R256" i="9" s="1"/>
  <c r="R255" i="9"/>
  <c r="AI128" i="11"/>
  <c r="AI301" i="11" s="1"/>
  <c r="AH289" i="11"/>
  <c r="AH294" i="11" s="1"/>
  <c r="AJ136" i="15"/>
  <c r="AI323" i="15"/>
  <c r="O295" i="9"/>
  <c r="O288" i="9"/>
  <c r="Q264" i="9"/>
  <c r="R262" i="9" s="1"/>
  <c r="Q267" i="9"/>
  <c r="S246" i="9"/>
  <c r="T244" i="9" s="1"/>
  <c r="R266" i="18"/>
  <c r="R267" i="18" s="1"/>
  <c r="Q273" i="18"/>
  <c r="R271" i="18" s="1"/>
  <c r="Q276" i="18"/>
  <c r="P279" i="18"/>
  <c r="P285" i="18" s="1"/>
  <c r="P286" i="18" s="1"/>
  <c r="S259" i="18"/>
  <c r="S260" i="18" s="1"/>
  <c r="T242" i="20"/>
  <c r="U240" i="20" s="1"/>
  <c r="V239" i="20" s="1"/>
  <c r="Q265" i="20"/>
  <c r="Q266" i="20" s="1"/>
  <c r="R264" i="20" s="1"/>
  <c r="AI124" i="20"/>
  <c r="AH125" i="20"/>
  <c r="Q260" i="20"/>
  <c r="R258" i="20" s="1"/>
  <c r="R259" i="20" s="1"/>
  <c r="R263" i="20" s="1"/>
  <c r="Q269" i="20"/>
  <c r="Q288" i="20" s="1"/>
  <c r="Q291" i="20" s="1"/>
  <c r="P275" i="20"/>
  <c r="P303" i="20"/>
  <c r="P305" i="20" s="1"/>
  <c r="P306" i="20" s="1"/>
  <c r="AJ122" i="20"/>
  <c r="V249" i="18"/>
  <c r="W247" i="18" s="1"/>
  <c r="W248" i="18" s="1"/>
  <c r="V252" i="18"/>
  <c r="U254" i="18"/>
  <c r="R252" i="9"/>
  <c r="S250" i="9" s="1"/>
  <c r="S249" i="9"/>
  <c r="T250" i="11"/>
  <c r="V244" i="11"/>
  <c r="Q259" i="11"/>
  <c r="R257" i="11" s="1"/>
  <c r="V241" i="11"/>
  <c r="W239" i="11" s="1"/>
  <c r="T247" i="11"/>
  <c r="U245" i="11" s="1"/>
  <c r="O268" i="10"/>
  <c r="P269" i="10"/>
  <c r="P268" i="10"/>
  <c r="Q232" i="10"/>
  <c r="Q234" i="10" s="1"/>
  <c r="Q246" i="10"/>
  <c r="Q248" i="10" s="1"/>
  <c r="Q250" i="10" s="1"/>
  <c r="Q221" i="10"/>
  <c r="R219" i="10" s="1"/>
  <c r="R220" i="10" s="1"/>
  <c r="R224" i="10" s="1"/>
  <c r="O260" i="10"/>
  <c r="O269" i="10" s="1"/>
  <c r="U209" i="10"/>
  <c r="V207" i="10" s="1"/>
  <c r="W206" i="10" s="1"/>
  <c r="U212" i="10"/>
  <c r="U214" i="10" s="1"/>
  <c r="U215" i="10" s="1"/>
  <c r="V213" i="10" s="1"/>
  <c r="Q227" i="10"/>
  <c r="Q223" i="8"/>
  <c r="T209" i="8"/>
  <c r="V200" i="8"/>
  <c r="W198" i="8" s="1"/>
  <c r="W199" i="8" s="1"/>
  <c r="V203" i="8"/>
  <c r="T209" i="5"/>
  <c r="U207" i="5" s="1"/>
  <c r="V206" i="5" s="1"/>
  <c r="S212" i="8"/>
  <c r="T210" i="8" s="1"/>
  <c r="Q218" i="8"/>
  <c r="R216" i="8" s="1"/>
  <c r="Q234" i="5"/>
  <c r="Q235" i="5" s="1"/>
  <c r="T206" i="8"/>
  <c r="U204" i="8" s="1"/>
  <c r="T215" i="5"/>
  <c r="U213" i="5" s="1"/>
  <c r="T219" i="5"/>
  <c r="T220" i="5" s="1"/>
  <c r="T221" i="5" s="1"/>
  <c r="U219" i="5" s="1"/>
  <c r="S224" i="5"/>
  <c r="Q263" i="5"/>
  <c r="Q265" i="5" s="1"/>
  <c r="Q266" i="5" s="1"/>
  <c r="Q257" i="5"/>
  <c r="Q259" i="5" s="1"/>
  <c r="Q250" i="5"/>
  <c r="R229" i="5"/>
  <c r="R227" i="5"/>
  <c r="S225" i="5" s="1"/>
  <c r="S253" i="20" l="1"/>
  <c r="S257" i="20" s="1"/>
  <c r="T251" i="20"/>
  <c r="M331" i="23"/>
  <c r="M292" i="23"/>
  <c r="M294" i="23" s="1"/>
  <c r="N203" i="23" s="1"/>
  <c r="N311" i="23" s="1"/>
  <c r="M286" i="23"/>
  <c r="M288" i="23" s="1"/>
  <c r="P272" i="9"/>
  <c r="P301" i="9"/>
  <c r="P303" i="9" s="1"/>
  <c r="P304" i="9" s="1"/>
  <c r="O289" i="9"/>
  <c r="P295" i="9"/>
  <c r="P297" i="9" s="1"/>
  <c r="Q270" i="9"/>
  <c r="AI139" i="15"/>
  <c r="AJ138" i="15"/>
  <c r="AI329" i="15"/>
  <c r="AJ130" i="11"/>
  <c r="AI131" i="11"/>
  <c r="AI307" i="11"/>
  <c r="AH234" i="11"/>
  <c r="AH238" i="11" s="1"/>
  <c r="Q265" i="11"/>
  <c r="R263" i="11" s="1"/>
  <c r="Q268" i="11"/>
  <c r="Q271" i="11" s="1"/>
  <c r="Q277" i="11" s="1"/>
  <c r="P271" i="11"/>
  <c r="P300" i="11" s="1"/>
  <c r="P302" i="11" s="1"/>
  <c r="S273" i="11"/>
  <c r="S275" i="11" s="1"/>
  <c r="S256" i="11"/>
  <c r="S253" i="11"/>
  <c r="T251" i="11" s="1"/>
  <c r="T252" i="11" s="1"/>
  <c r="T243" i="9"/>
  <c r="T245" i="9" s="1"/>
  <c r="T249" i="9" s="1"/>
  <c r="P288" i="9"/>
  <c r="P289" i="9" s="1"/>
  <c r="R270" i="18"/>
  <c r="R272" i="18" s="1"/>
  <c r="R273" i="18" s="1"/>
  <c r="S271" i="18" s="1"/>
  <c r="R257" i="9"/>
  <c r="R261" i="9" s="1"/>
  <c r="R263" i="9" s="1"/>
  <c r="R264" i="9" s="1"/>
  <c r="S262" i="9" s="1"/>
  <c r="AK136" i="15"/>
  <c r="AJ323" i="15"/>
  <c r="AJ128" i="11"/>
  <c r="AJ301" i="11" s="1"/>
  <c r="AI289" i="11"/>
  <c r="AI294" i="11" s="1"/>
  <c r="Q284" i="9"/>
  <c r="Q286" i="9" s="1"/>
  <c r="U239" i="9"/>
  <c r="U240" i="9" s="1"/>
  <c r="V238" i="9" s="1"/>
  <c r="W237" i="9" s="1"/>
  <c r="O297" i="9"/>
  <c r="O306" i="9" s="1"/>
  <c r="P314" i="18"/>
  <c r="P316" i="18" s="1"/>
  <c r="P317" i="18" s="1"/>
  <c r="Q279" i="18"/>
  <c r="Q285" i="18" s="1"/>
  <c r="Q286" i="18" s="1"/>
  <c r="S281" i="18"/>
  <c r="S283" i="18" s="1"/>
  <c r="S261" i="18"/>
  <c r="T259" i="18" s="1"/>
  <c r="T260" i="18" s="1"/>
  <c r="S264" i="18"/>
  <c r="U241" i="20"/>
  <c r="T248" i="20"/>
  <c r="U246" i="20" s="1"/>
  <c r="Q272" i="20"/>
  <c r="Q274" i="20" s="1"/>
  <c r="Q275" i="20" s="1"/>
  <c r="AJ124" i="20"/>
  <c r="AI125" i="20"/>
  <c r="R269" i="20"/>
  <c r="R288" i="20" s="1"/>
  <c r="R291" i="20" s="1"/>
  <c r="R265" i="20"/>
  <c r="R266" i="20" s="1"/>
  <c r="S264" i="20" s="1"/>
  <c r="AK122" i="20"/>
  <c r="R260" i="20"/>
  <c r="S258" i="20" s="1"/>
  <c r="S265" i="18"/>
  <c r="W252" i="18"/>
  <c r="U255" i="18"/>
  <c r="V253" i="18" s="1"/>
  <c r="V254" i="18" s="1"/>
  <c r="U258" i="18"/>
  <c r="W249" i="18"/>
  <c r="X247" i="18" s="1"/>
  <c r="S251" i="9"/>
  <c r="R258" i="11"/>
  <c r="R262" i="11" s="1"/>
  <c r="W240" i="11"/>
  <c r="U246" i="11"/>
  <c r="Q263" i="10"/>
  <c r="Q265" i="10" s="1"/>
  <c r="Q266" i="10" s="1"/>
  <c r="Q257" i="10"/>
  <c r="Q259" i="10" s="1"/>
  <c r="Q260" i="10" s="1"/>
  <c r="R221" i="10"/>
  <c r="S219" i="10" s="1"/>
  <c r="T218" i="10" s="1"/>
  <c r="S218" i="10"/>
  <c r="R225" i="10"/>
  <c r="R226" i="10" s="1"/>
  <c r="V208" i="10"/>
  <c r="Q235" i="10"/>
  <c r="Q251" i="10"/>
  <c r="Q254" i="8"/>
  <c r="Q256" i="8" s="1"/>
  <c r="Q257" i="8" s="1"/>
  <c r="Q225" i="8"/>
  <c r="Q226" i="8" s="1"/>
  <c r="W200" i="8"/>
  <c r="X198" i="8" s="1"/>
  <c r="X199" i="8" s="1"/>
  <c r="W203" i="8"/>
  <c r="U208" i="5"/>
  <c r="U209" i="5" s="1"/>
  <c r="V207" i="5" s="1"/>
  <c r="W206" i="5" s="1"/>
  <c r="U205" i="8"/>
  <c r="T211" i="8"/>
  <c r="R217" i="8"/>
  <c r="R220" i="8" s="1"/>
  <c r="R232" i="5"/>
  <c r="R246" i="5"/>
  <c r="R248" i="5" s="1"/>
  <c r="S226" i="5"/>
  <c r="S227" i="5" s="1"/>
  <c r="T225" i="5" s="1"/>
  <c r="T224" i="5"/>
  <c r="Q260" i="5"/>
  <c r="Q269" i="5" s="1"/>
  <c r="Q268" i="5"/>
  <c r="S254" i="20" l="1"/>
  <c r="T252" i="20" s="1"/>
  <c r="T253" i="20" s="1"/>
  <c r="U245" i="20"/>
  <c r="U247" i="20" s="1"/>
  <c r="N313" i="23"/>
  <c r="N315" i="23"/>
  <c r="M295" i="23"/>
  <c r="M297" i="23"/>
  <c r="M289" i="23"/>
  <c r="N262" i="23"/>
  <c r="N264" i="23" s="1"/>
  <c r="N225" i="23"/>
  <c r="P298" i="9"/>
  <c r="P307" i="9" s="1"/>
  <c r="Q301" i="9"/>
  <c r="Q303" i="9" s="1"/>
  <c r="Q304" i="9" s="1"/>
  <c r="Q272" i="9"/>
  <c r="P306" i="9"/>
  <c r="P273" i="9"/>
  <c r="AJ139" i="15"/>
  <c r="AK138" i="15"/>
  <c r="AJ329" i="15"/>
  <c r="AK130" i="11"/>
  <c r="AJ131" i="11"/>
  <c r="AJ307" i="11"/>
  <c r="Q306" i="11"/>
  <c r="Q308" i="11" s="1"/>
  <c r="Q309" i="11" s="1"/>
  <c r="AI234" i="11"/>
  <c r="AI238" i="11" s="1"/>
  <c r="Q300" i="11"/>
  <c r="Q302" i="11" s="1"/>
  <c r="Q303" i="11" s="1"/>
  <c r="P303" i="11"/>
  <c r="P277" i="11"/>
  <c r="P278" i="11" s="1"/>
  <c r="P306" i="11"/>
  <c r="P308" i="11" s="1"/>
  <c r="P309" i="11" s="1"/>
  <c r="T273" i="11"/>
  <c r="T275" i="11" s="1"/>
  <c r="R293" i="11"/>
  <c r="R264" i="11"/>
  <c r="R258" i="9"/>
  <c r="S256" i="9" s="1"/>
  <c r="AK128" i="11"/>
  <c r="AK301" i="11" s="1"/>
  <c r="AJ289" i="11"/>
  <c r="AJ294" i="11" s="1"/>
  <c r="AL136" i="15"/>
  <c r="AK323" i="15"/>
  <c r="U243" i="9"/>
  <c r="T246" i="9"/>
  <c r="U244" i="9" s="1"/>
  <c r="Q288" i="9"/>
  <c r="Q295" i="9"/>
  <c r="Q297" i="9" s="1"/>
  <c r="Q298" i="9" s="1"/>
  <c r="O298" i="9"/>
  <c r="O307" i="9" s="1"/>
  <c r="R267" i="9"/>
  <c r="S255" i="9"/>
  <c r="S266" i="18"/>
  <c r="S267" i="18" s="1"/>
  <c r="T265" i="18" s="1"/>
  <c r="R276" i="18"/>
  <c r="R279" i="18" s="1"/>
  <c r="R285" i="18" s="1"/>
  <c r="R286" i="18" s="1"/>
  <c r="Q314" i="18"/>
  <c r="Q316" i="18" s="1"/>
  <c r="Q317" i="18" s="1"/>
  <c r="U242" i="20"/>
  <c r="V240" i="20" s="1"/>
  <c r="W239" i="20" s="1"/>
  <c r="T281" i="18"/>
  <c r="T283" i="18" s="1"/>
  <c r="Q303" i="20"/>
  <c r="Q305" i="20" s="1"/>
  <c r="Q306" i="20" s="1"/>
  <c r="R272" i="20"/>
  <c r="R303" i="20" s="1"/>
  <c r="R305" i="20" s="1"/>
  <c r="R306" i="20" s="1"/>
  <c r="AK124" i="20"/>
  <c r="AJ125" i="20"/>
  <c r="AL122" i="20"/>
  <c r="S259" i="20"/>
  <c r="S263" i="20" s="1"/>
  <c r="T264" i="18"/>
  <c r="V258" i="18"/>
  <c r="T261" i="18"/>
  <c r="V255" i="18"/>
  <c r="W253" i="18" s="1"/>
  <c r="X248" i="18"/>
  <c r="S252" i="9"/>
  <c r="Q278" i="11"/>
  <c r="T253" i="11"/>
  <c r="U251" i="11" s="1"/>
  <c r="T256" i="11"/>
  <c r="W244" i="11"/>
  <c r="U247" i="11"/>
  <c r="V245" i="11" s="1"/>
  <c r="V246" i="11" s="1"/>
  <c r="U250" i="11"/>
  <c r="R259" i="11"/>
  <c r="W241" i="11"/>
  <c r="X239" i="11" s="1"/>
  <c r="R229" i="10"/>
  <c r="R227" i="10"/>
  <c r="S225" i="10" s="1"/>
  <c r="S220" i="10"/>
  <c r="S224" i="10" s="1"/>
  <c r="V209" i="10"/>
  <c r="W207" i="10" s="1"/>
  <c r="V212" i="10"/>
  <c r="V214" i="10" s="1"/>
  <c r="V215" i="10" s="1"/>
  <c r="W213" i="10" s="1"/>
  <c r="Q269" i="10"/>
  <c r="Q268" i="10"/>
  <c r="V239" i="9"/>
  <c r="R223" i="8"/>
  <c r="R225" i="8" s="1"/>
  <c r="T212" i="8"/>
  <c r="U210" i="8" s="1"/>
  <c r="T215" i="8"/>
  <c r="U206" i="8"/>
  <c r="V204" i="8" s="1"/>
  <c r="V205" i="8" s="1"/>
  <c r="U209" i="8"/>
  <c r="X200" i="8"/>
  <c r="Y198" i="8" s="1"/>
  <c r="Y199" i="8" s="1"/>
  <c r="X203" i="8"/>
  <c r="U212" i="5"/>
  <c r="U214" i="5" s="1"/>
  <c r="U215" i="5" s="1"/>
  <c r="V213" i="5" s="1"/>
  <c r="V208" i="5"/>
  <c r="V212" i="5" s="1"/>
  <c r="R218" i="8"/>
  <c r="S216" i="8" s="1"/>
  <c r="R263" i="5"/>
  <c r="R265" i="5" s="1"/>
  <c r="R266" i="5" s="1"/>
  <c r="R234" i="5"/>
  <c r="R235" i="5" s="1"/>
  <c r="S229" i="5"/>
  <c r="R250" i="5"/>
  <c r="R257" i="5"/>
  <c r="R259" i="5" s="1"/>
  <c r="T226" i="5"/>
  <c r="T227" i="5" s="1"/>
  <c r="U225" i="5" s="1"/>
  <c r="T257" i="20" l="1"/>
  <c r="U251" i="20"/>
  <c r="N227" i="23"/>
  <c r="N231" i="23" s="1"/>
  <c r="N233" i="23" s="1"/>
  <c r="N237" i="23" s="1"/>
  <c r="N239" i="23" s="1"/>
  <c r="N319" i="23"/>
  <c r="N321" i="23" s="1"/>
  <c r="M299" i="23"/>
  <c r="M322" i="23" s="1"/>
  <c r="M303" i="23"/>
  <c r="M334" i="23" s="1"/>
  <c r="M336" i="23" s="1"/>
  <c r="N268" i="23"/>
  <c r="Q273" i="9"/>
  <c r="Q307" i="9"/>
  <c r="Q289" i="9"/>
  <c r="R270" i="9"/>
  <c r="Q312" i="11"/>
  <c r="AK139" i="15"/>
  <c r="AK329" i="15"/>
  <c r="AL138" i="15"/>
  <c r="AL130" i="11"/>
  <c r="AK131" i="11"/>
  <c r="AK307" i="11"/>
  <c r="Q311" i="11"/>
  <c r="P312" i="11"/>
  <c r="P311" i="11"/>
  <c r="AJ234" i="11"/>
  <c r="AJ238" i="11" s="1"/>
  <c r="R265" i="11"/>
  <c r="S263" i="11" s="1"/>
  <c r="R268" i="11"/>
  <c r="R271" i="11" s="1"/>
  <c r="R277" i="11" s="1"/>
  <c r="R278" i="11" s="1"/>
  <c r="S257" i="9"/>
  <c r="S261" i="9" s="1"/>
  <c r="S263" i="9" s="1"/>
  <c r="S264" i="9" s="1"/>
  <c r="T262" i="9" s="1"/>
  <c r="AL128" i="11"/>
  <c r="AL301" i="11" s="1"/>
  <c r="AK289" i="11"/>
  <c r="AK294" i="11" s="1"/>
  <c r="AM136" i="15"/>
  <c r="AL323" i="15"/>
  <c r="U245" i="9"/>
  <c r="U246" i="9" s="1"/>
  <c r="V244" i="9" s="1"/>
  <c r="Q306" i="9"/>
  <c r="R284" i="9"/>
  <c r="R286" i="9" s="1"/>
  <c r="T250" i="9"/>
  <c r="S270" i="18"/>
  <c r="S272" i="18" s="1"/>
  <c r="S273" i="18" s="1"/>
  <c r="T271" i="18" s="1"/>
  <c r="V241" i="20"/>
  <c r="R314" i="18"/>
  <c r="R316" i="18" s="1"/>
  <c r="R317" i="18" s="1"/>
  <c r="U259" i="18"/>
  <c r="U260" i="18" s="1"/>
  <c r="U248" i="20"/>
  <c r="V246" i="20" s="1"/>
  <c r="R274" i="20"/>
  <c r="R275" i="20" s="1"/>
  <c r="AL124" i="20"/>
  <c r="AK125" i="20"/>
  <c r="T254" i="20"/>
  <c r="U252" i="20" s="1"/>
  <c r="S269" i="20"/>
  <c r="S288" i="20" s="1"/>
  <c r="S291" i="20" s="1"/>
  <c r="S265" i="20"/>
  <c r="S266" i="20" s="1"/>
  <c r="T264" i="20" s="1"/>
  <c r="T266" i="18"/>
  <c r="AM122" i="20"/>
  <c r="S260" i="20"/>
  <c r="T258" i="20" s="1"/>
  <c r="X249" i="18"/>
  <c r="Y247" i="18" s="1"/>
  <c r="Y248" i="18" s="1"/>
  <c r="X252" i="18"/>
  <c r="W254" i="18"/>
  <c r="V243" i="9"/>
  <c r="S257" i="11"/>
  <c r="S258" i="11" s="1"/>
  <c r="U252" i="11"/>
  <c r="V247" i="11"/>
  <c r="W245" i="11" s="1"/>
  <c r="W246" i="11" s="1"/>
  <c r="V250" i="11"/>
  <c r="X240" i="11"/>
  <c r="R232" i="10"/>
  <c r="R263" i="10" s="1"/>
  <c r="R246" i="10"/>
  <c r="R248" i="10" s="1"/>
  <c r="S226" i="10"/>
  <c r="S229" i="10" s="1"/>
  <c r="S221" i="10"/>
  <c r="T219" i="10" s="1"/>
  <c r="T220" i="10" s="1"/>
  <c r="T224" i="10" s="1"/>
  <c r="X206" i="10"/>
  <c r="W208" i="10"/>
  <c r="V240" i="9"/>
  <c r="W238" i="9" s="1"/>
  <c r="X237" i="9" s="1"/>
  <c r="R254" i="8"/>
  <c r="R256" i="8" s="1"/>
  <c r="R257" i="8" s="1"/>
  <c r="U211" i="8"/>
  <c r="U215" i="8" s="1"/>
  <c r="U218" i="5"/>
  <c r="U220" i="5" s="1"/>
  <c r="U221" i="5" s="1"/>
  <c r="V219" i="5" s="1"/>
  <c r="V209" i="8"/>
  <c r="Y200" i="8"/>
  <c r="Z198" i="8" s="1"/>
  <c r="Z199" i="8" s="1"/>
  <c r="Y203" i="8"/>
  <c r="V214" i="5"/>
  <c r="V218" i="5" s="1"/>
  <c r="V209" i="5"/>
  <c r="W207" i="5" s="1"/>
  <c r="W208" i="5" s="1"/>
  <c r="W212" i="5" s="1"/>
  <c r="S217" i="8"/>
  <c r="S220" i="8" s="1"/>
  <c r="V206" i="8"/>
  <c r="W204" i="8" s="1"/>
  <c r="S232" i="5"/>
  <c r="R226" i="8"/>
  <c r="S246" i="5"/>
  <c r="S248" i="5" s="1"/>
  <c r="R260" i="5"/>
  <c r="R269" i="5" s="1"/>
  <c r="R268" i="5"/>
  <c r="T229" i="5"/>
  <c r="U253" i="20" l="1"/>
  <c r="U257" i="20" s="1"/>
  <c r="V245" i="20"/>
  <c r="V247" i="20" s="1"/>
  <c r="V248" i="20" s="1"/>
  <c r="W246" i="20" s="1"/>
  <c r="M340" i="23"/>
  <c r="M337" i="23"/>
  <c r="M305" i="23"/>
  <c r="N243" i="23"/>
  <c r="N245" i="23" s="1"/>
  <c r="N281" i="23" s="1"/>
  <c r="N275" i="23"/>
  <c r="N240" i="23"/>
  <c r="O238" i="23" s="1"/>
  <c r="N269" i="23"/>
  <c r="N234" i="23"/>
  <c r="O232" i="23" s="1"/>
  <c r="AL139" i="15"/>
  <c r="AL329" i="15"/>
  <c r="AM138" i="15"/>
  <c r="AM130" i="11"/>
  <c r="AL131" i="11"/>
  <c r="AL307" i="11"/>
  <c r="AK234" i="11"/>
  <c r="AK238" i="11" s="1"/>
  <c r="R306" i="11"/>
  <c r="R308" i="11" s="1"/>
  <c r="R309" i="11" s="1"/>
  <c r="R300" i="11"/>
  <c r="R302" i="11" s="1"/>
  <c r="S262" i="11"/>
  <c r="S264" i="11" s="1"/>
  <c r="U273" i="11"/>
  <c r="U275" i="11" s="1"/>
  <c r="U249" i="9"/>
  <c r="S258" i="9"/>
  <c r="T256" i="9" s="1"/>
  <c r="V245" i="9"/>
  <c r="V246" i="9" s="1"/>
  <c r="W244" i="9" s="1"/>
  <c r="AN136" i="15"/>
  <c r="AM323" i="15"/>
  <c r="AM128" i="11"/>
  <c r="AM301" i="11" s="1"/>
  <c r="AL289" i="11"/>
  <c r="AL294" i="11" s="1"/>
  <c r="T251" i="9"/>
  <c r="T252" i="9" s="1"/>
  <c r="U250" i="9" s="1"/>
  <c r="S267" i="9"/>
  <c r="R288" i="9"/>
  <c r="R289" i="9" s="1"/>
  <c r="R272" i="9"/>
  <c r="R301" i="9"/>
  <c r="R303" i="9" s="1"/>
  <c r="R304" i="9" s="1"/>
  <c r="R295" i="9"/>
  <c r="R297" i="9" s="1"/>
  <c r="R298" i="9" s="1"/>
  <c r="V242" i="20"/>
  <c r="W240" i="20" s="1"/>
  <c r="X239" i="20" s="1"/>
  <c r="S276" i="18"/>
  <c r="S279" i="18" s="1"/>
  <c r="S285" i="18" s="1"/>
  <c r="S286" i="18" s="1"/>
  <c r="T270" i="18"/>
  <c r="T272" i="18" s="1"/>
  <c r="T273" i="18" s="1"/>
  <c r="U271" i="18" s="1"/>
  <c r="T267" i="18"/>
  <c r="U265" i="18" s="1"/>
  <c r="U281" i="18"/>
  <c r="U283" i="18" s="1"/>
  <c r="U264" i="18"/>
  <c r="U261" i="18"/>
  <c r="V259" i="18" s="1"/>
  <c r="V260" i="18" s="1"/>
  <c r="S272" i="20"/>
  <c r="S274" i="20" s="1"/>
  <c r="S275" i="20" s="1"/>
  <c r="AM124" i="20"/>
  <c r="AL125" i="20"/>
  <c r="AN122" i="20"/>
  <c r="T259" i="20"/>
  <c r="T263" i="20" s="1"/>
  <c r="Y252" i="18"/>
  <c r="W255" i="18"/>
  <c r="X253" i="18" s="1"/>
  <c r="X254" i="18" s="1"/>
  <c r="W258" i="18"/>
  <c r="Y249" i="18"/>
  <c r="Z247" i="18" s="1"/>
  <c r="S293" i="11"/>
  <c r="S259" i="11"/>
  <c r="T257" i="11" s="1"/>
  <c r="T258" i="11" s="1"/>
  <c r="T262" i="11" s="1"/>
  <c r="U253" i="11"/>
  <c r="U256" i="11"/>
  <c r="W250" i="11"/>
  <c r="X244" i="11"/>
  <c r="X241" i="11"/>
  <c r="Y239" i="11" s="1"/>
  <c r="W247" i="11"/>
  <c r="X245" i="11" s="1"/>
  <c r="R257" i="10"/>
  <c r="R259" i="10" s="1"/>
  <c r="R260" i="10" s="1"/>
  <c r="R250" i="10"/>
  <c r="R251" i="10" s="1"/>
  <c r="S232" i="10"/>
  <c r="S234" i="10" s="1"/>
  <c r="S246" i="10"/>
  <c r="S248" i="10" s="1"/>
  <c r="R234" i="10"/>
  <c r="R235" i="10" s="1"/>
  <c r="R265" i="10"/>
  <c r="R266" i="10" s="1"/>
  <c r="S227" i="10"/>
  <c r="T225" i="10" s="1"/>
  <c r="T226" i="10" s="1"/>
  <c r="T229" i="10" s="1"/>
  <c r="T221" i="10"/>
  <c r="U219" i="10" s="1"/>
  <c r="V218" i="10" s="1"/>
  <c r="U218" i="10"/>
  <c r="W209" i="10"/>
  <c r="X207" i="10" s="1"/>
  <c r="W212" i="10"/>
  <c r="W214" i="10" s="1"/>
  <c r="W239" i="9"/>
  <c r="S234" i="5"/>
  <c r="S235" i="5" s="1"/>
  <c r="S223" i="8"/>
  <c r="S225" i="8" s="1"/>
  <c r="U212" i="8"/>
  <c r="V210" i="8" s="1"/>
  <c r="V211" i="8" s="1"/>
  <c r="V220" i="5"/>
  <c r="V224" i="5" s="1"/>
  <c r="U224" i="5"/>
  <c r="U226" i="5" s="1"/>
  <c r="U227" i="5" s="1"/>
  <c r="V225" i="5" s="1"/>
  <c r="V215" i="5"/>
  <c r="W213" i="5" s="1"/>
  <c r="W214" i="5" s="1"/>
  <c r="W218" i="5" s="1"/>
  <c r="X206" i="5"/>
  <c r="Z200" i="8"/>
  <c r="AA198" i="8" s="1"/>
  <c r="AA199" i="8" s="1"/>
  <c r="Z203" i="8"/>
  <c r="S218" i="8"/>
  <c r="T216" i="8" s="1"/>
  <c r="T217" i="8" s="1"/>
  <c r="T220" i="8" s="1"/>
  <c r="W205" i="8"/>
  <c r="S250" i="5"/>
  <c r="S263" i="5"/>
  <c r="S265" i="5" s="1"/>
  <c r="S266" i="5" s="1"/>
  <c r="S257" i="5"/>
  <c r="S259" i="5" s="1"/>
  <c r="T232" i="5"/>
  <c r="T246" i="5"/>
  <c r="T248" i="5" s="1"/>
  <c r="W209" i="5"/>
  <c r="X207" i="5" s="1"/>
  <c r="U254" i="20" l="1"/>
  <c r="V252" i="20" s="1"/>
  <c r="V251" i="20"/>
  <c r="M306" i="23"/>
  <c r="M342" i="23"/>
  <c r="N249" i="23"/>
  <c r="N251" i="23" s="1"/>
  <c r="N252" i="23" s="1"/>
  <c r="O250" i="23" s="1"/>
  <c r="N255" i="23"/>
  <c r="N257" i="23" s="1"/>
  <c r="N258" i="23" s="1"/>
  <c r="O256" i="23" s="1"/>
  <c r="N246" i="23"/>
  <c r="O244" i="23" s="1"/>
  <c r="N270" i="23"/>
  <c r="N271" i="23" s="1"/>
  <c r="S270" i="9"/>
  <c r="R273" i="9"/>
  <c r="AM139" i="15"/>
  <c r="AN138" i="15"/>
  <c r="AM329" i="15"/>
  <c r="AN130" i="11"/>
  <c r="AM131" i="11"/>
  <c r="AM307" i="11"/>
  <c r="R311" i="11"/>
  <c r="AL234" i="11"/>
  <c r="AL238" i="11" s="1"/>
  <c r="R303" i="11"/>
  <c r="R312" i="11" s="1"/>
  <c r="S265" i="11"/>
  <c r="T263" i="11" s="1"/>
  <c r="T264" i="11" s="1"/>
  <c r="S268" i="11"/>
  <c r="S271" i="11" s="1"/>
  <c r="T293" i="11"/>
  <c r="V251" i="11"/>
  <c r="V252" i="11" s="1"/>
  <c r="U251" i="9"/>
  <c r="U255" i="9" s="1"/>
  <c r="T255" i="9"/>
  <c r="T257" i="9" s="1"/>
  <c r="T261" i="9" s="1"/>
  <c r="T263" i="9" s="1"/>
  <c r="T264" i="9" s="1"/>
  <c r="U262" i="9" s="1"/>
  <c r="AN128" i="11"/>
  <c r="AN301" i="11" s="1"/>
  <c r="AM289" i="11"/>
  <c r="AM294" i="11" s="1"/>
  <c r="AO136" i="15"/>
  <c r="AN323" i="15"/>
  <c r="R307" i="9"/>
  <c r="R306" i="9"/>
  <c r="S284" i="9"/>
  <c r="S286" i="9" s="1"/>
  <c r="V249" i="9"/>
  <c r="S314" i="18"/>
  <c r="S316" i="18" s="1"/>
  <c r="S317" i="18" s="1"/>
  <c r="W241" i="20"/>
  <c r="U266" i="18"/>
  <c r="U270" i="18" s="1"/>
  <c r="U272" i="18" s="1"/>
  <c r="U273" i="18" s="1"/>
  <c r="V271" i="18" s="1"/>
  <c r="T276" i="18"/>
  <c r="T279" i="18" s="1"/>
  <c r="T285" i="18" s="1"/>
  <c r="T286" i="18" s="1"/>
  <c r="V281" i="18"/>
  <c r="V283" i="18" s="1"/>
  <c r="S303" i="20"/>
  <c r="S305" i="20" s="1"/>
  <c r="S306" i="20" s="1"/>
  <c r="AN124" i="20"/>
  <c r="AM125" i="20"/>
  <c r="T269" i="20"/>
  <c r="T288" i="20" s="1"/>
  <c r="T291" i="20" s="1"/>
  <c r="T265" i="20"/>
  <c r="T266" i="20" s="1"/>
  <c r="U264" i="20" s="1"/>
  <c r="AO122" i="20"/>
  <c r="T260" i="20"/>
  <c r="U258" i="20" s="1"/>
  <c r="V264" i="18"/>
  <c r="V261" i="18"/>
  <c r="X255" i="18"/>
  <c r="Y253" i="18" s="1"/>
  <c r="Y254" i="18" s="1"/>
  <c r="X258" i="18"/>
  <c r="Z248" i="18"/>
  <c r="W240" i="9"/>
  <c r="X238" i="9" s="1"/>
  <c r="Y237" i="9" s="1"/>
  <c r="W243" i="9"/>
  <c r="W245" i="9" s="1"/>
  <c r="T259" i="11"/>
  <c r="X246" i="11"/>
  <c r="Y240" i="11"/>
  <c r="S263" i="10"/>
  <c r="S265" i="10" s="1"/>
  <c r="S266" i="10" s="1"/>
  <c r="S257" i="10"/>
  <c r="S259" i="10" s="1"/>
  <c r="S260" i="10" s="1"/>
  <c r="S250" i="10"/>
  <c r="S251" i="10" s="1"/>
  <c r="R269" i="10"/>
  <c r="R268" i="10"/>
  <c r="T232" i="10"/>
  <c r="T234" i="10" s="1"/>
  <c r="T246" i="10"/>
  <c r="T248" i="10" s="1"/>
  <c r="T250" i="10" s="1"/>
  <c r="T227" i="10"/>
  <c r="U225" i="10" s="1"/>
  <c r="W215" i="10"/>
  <c r="X213" i="10" s="1"/>
  <c r="U220" i="10"/>
  <c r="X208" i="10"/>
  <c r="Y206" i="10"/>
  <c r="S235" i="10"/>
  <c r="S254" i="8"/>
  <c r="S256" i="8" s="1"/>
  <c r="S257" i="8" s="1"/>
  <c r="S226" i="8"/>
  <c r="T223" i="8"/>
  <c r="T225" i="8" s="1"/>
  <c r="V226" i="5"/>
  <c r="V229" i="5" s="1"/>
  <c r="V221" i="5"/>
  <c r="W219" i="5" s="1"/>
  <c r="W220" i="5" s="1"/>
  <c r="W221" i="5" s="1"/>
  <c r="X219" i="5" s="1"/>
  <c r="U229" i="5"/>
  <c r="V212" i="8"/>
  <c r="W210" i="8" s="1"/>
  <c r="V215" i="8"/>
  <c r="W206" i="8"/>
  <c r="X204" i="8" s="1"/>
  <c r="X205" i="8" s="1"/>
  <c r="W209" i="8"/>
  <c r="AA200" i="8"/>
  <c r="AB198" i="8" s="1"/>
  <c r="AB199" i="8" s="1"/>
  <c r="AA203" i="8"/>
  <c r="S268" i="5"/>
  <c r="T218" i="8"/>
  <c r="U216" i="8" s="1"/>
  <c r="T234" i="5"/>
  <c r="T235" i="5" s="1"/>
  <c r="T263" i="5"/>
  <c r="T265" i="5" s="1"/>
  <c r="T266" i="5" s="1"/>
  <c r="S260" i="5"/>
  <c r="S269" i="5" s="1"/>
  <c r="T250" i="5"/>
  <c r="T257" i="5"/>
  <c r="T259" i="5" s="1"/>
  <c r="Y206" i="5"/>
  <c r="X208" i="5"/>
  <c r="X209" i="5" s="1"/>
  <c r="Y207" i="5" s="1"/>
  <c r="W215" i="5"/>
  <c r="X213" i="5" s="1"/>
  <c r="V253" i="20" l="1"/>
  <c r="V257" i="20" s="1"/>
  <c r="W245" i="20"/>
  <c r="W247" i="20" s="1"/>
  <c r="W251" i="20" s="1"/>
  <c r="W242" i="20"/>
  <c r="X240" i="20" s="1"/>
  <c r="X241" i="20" s="1"/>
  <c r="M343" i="23"/>
  <c r="M346" i="23" s="1"/>
  <c r="M345" i="23"/>
  <c r="N287" i="23"/>
  <c r="N260" i="23"/>
  <c r="N293" i="23"/>
  <c r="N274" i="23"/>
  <c r="N276" i="23" s="1"/>
  <c r="N277" i="23" s="1"/>
  <c r="AN139" i="15"/>
  <c r="AO138" i="15"/>
  <c r="AN329" i="15"/>
  <c r="AO130" i="11"/>
  <c r="AN131" i="11"/>
  <c r="AN307" i="11"/>
  <c r="AM234" i="11"/>
  <c r="AM238" i="11" s="1"/>
  <c r="T265" i="11"/>
  <c r="U263" i="11" s="1"/>
  <c r="T268" i="11"/>
  <c r="T271" i="11" s="1"/>
  <c r="T277" i="11" s="1"/>
  <c r="T278" i="11" s="1"/>
  <c r="V273" i="11"/>
  <c r="V275" i="11" s="1"/>
  <c r="V256" i="11"/>
  <c r="V253" i="11"/>
  <c r="U252" i="9"/>
  <c r="V250" i="9" s="1"/>
  <c r="V251" i="9" s="1"/>
  <c r="T258" i="9"/>
  <c r="U256" i="9" s="1"/>
  <c r="U257" i="9" s="1"/>
  <c r="U261" i="9" s="1"/>
  <c r="AO128" i="11"/>
  <c r="AO301" i="11" s="1"/>
  <c r="AN289" i="11"/>
  <c r="AN294" i="11" s="1"/>
  <c r="AP136" i="15"/>
  <c r="AO323" i="15"/>
  <c r="S288" i="9"/>
  <c r="S289" i="9" s="1"/>
  <c r="S272" i="9"/>
  <c r="S273" i="9" s="1"/>
  <c r="S301" i="9"/>
  <c r="S303" i="9" s="1"/>
  <c r="S304" i="9" s="1"/>
  <c r="S295" i="9"/>
  <c r="S297" i="9" s="1"/>
  <c r="S298" i="9" s="1"/>
  <c r="T267" i="9"/>
  <c r="U267" i="18"/>
  <c r="V265" i="18" s="1"/>
  <c r="V266" i="18" s="1"/>
  <c r="T314" i="18"/>
  <c r="T316" i="18" s="1"/>
  <c r="T317" i="18" s="1"/>
  <c r="U276" i="18"/>
  <c r="W259" i="18"/>
  <c r="W260" i="18" s="1"/>
  <c r="T272" i="20"/>
  <c r="T274" i="20" s="1"/>
  <c r="T275" i="20" s="1"/>
  <c r="AO124" i="20"/>
  <c r="AN125" i="20"/>
  <c r="AP122" i="20"/>
  <c r="U259" i="20"/>
  <c r="U263" i="20" s="1"/>
  <c r="Y258" i="18"/>
  <c r="Z249" i="18"/>
  <c r="AA247" i="18" s="1"/>
  <c r="AA248" i="18" s="1"/>
  <c r="Z252" i="18"/>
  <c r="Y255" i="18"/>
  <c r="Z253" i="18" s="1"/>
  <c r="U257" i="11"/>
  <c r="U258" i="11" s="1"/>
  <c r="S277" i="11"/>
  <c r="S278" i="11" s="1"/>
  <c r="S306" i="11"/>
  <c r="S308" i="11" s="1"/>
  <c r="S309" i="11" s="1"/>
  <c r="S300" i="11"/>
  <c r="S302" i="11" s="1"/>
  <c r="X250" i="11"/>
  <c r="Y241" i="11"/>
  <c r="Z239" i="11" s="1"/>
  <c r="Z240" i="11" s="1"/>
  <c r="Y244" i="11"/>
  <c r="X247" i="11"/>
  <c r="Y245" i="11" s="1"/>
  <c r="T263" i="10"/>
  <c r="T265" i="10" s="1"/>
  <c r="T266" i="10" s="1"/>
  <c r="S269" i="10"/>
  <c r="T257" i="10"/>
  <c r="T259" i="10" s="1"/>
  <c r="T260" i="10" s="1"/>
  <c r="T251" i="10"/>
  <c r="U221" i="10"/>
  <c r="V219" i="10" s="1"/>
  <c r="U224" i="10"/>
  <c r="U226" i="10" s="1"/>
  <c r="U229" i="10" s="1"/>
  <c r="X209" i="10"/>
  <c r="Y207" i="10" s="1"/>
  <c r="X212" i="10"/>
  <c r="X214" i="10" s="1"/>
  <c r="X215" i="10" s="1"/>
  <c r="Y213" i="10" s="1"/>
  <c r="S268" i="10"/>
  <c r="T235" i="10"/>
  <c r="W246" i="9"/>
  <c r="X244" i="9" s="1"/>
  <c r="X239" i="9"/>
  <c r="U232" i="5"/>
  <c r="V232" i="5"/>
  <c r="T254" i="8"/>
  <c r="T256" i="8" s="1"/>
  <c r="T257" i="8" s="1"/>
  <c r="V246" i="5"/>
  <c r="V248" i="5" s="1"/>
  <c r="V227" i="5"/>
  <c r="W225" i="5" s="1"/>
  <c r="U246" i="5"/>
  <c r="U248" i="5" s="1"/>
  <c r="W211" i="8"/>
  <c r="W215" i="8" s="1"/>
  <c r="X206" i="8"/>
  <c r="Y204" i="8" s="1"/>
  <c r="Y205" i="8" s="1"/>
  <c r="X209" i="8"/>
  <c r="AB200" i="8"/>
  <c r="AC198" i="8" s="1"/>
  <c r="AC199" i="8" s="1"/>
  <c r="AB203" i="8"/>
  <c r="U217" i="8"/>
  <c r="U220" i="8" s="1"/>
  <c r="T226" i="8"/>
  <c r="W224" i="5"/>
  <c r="Z206" i="5"/>
  <c r="Y208" i="5"/>
  <c r="Y209" i="5" s="1"/>
  <c r="Z207" i="5" s="1"/>
  <c r="X212" i="5"/>
  <c r="X214" i="5" s="1"/>
  <c r="T260" i="5"/>
  <c r="T269" i="5" s="1"/>
  <c r="T268" i="5"/>
  <c r="V254" i="20" l="1"/>
  <c r="W252" i="20" s="1"/>
  <c r="W253" i="20" s="1"/>
  <c r="W254" i="20" s="1"/>
  <c r="X252" i="20" s="1"/>
  <c r="Y239" i="20"/>
  <c r="X245" i="20"/>
  <c r="N302" i="23"/>
  <c r="N328" i="23" s="1"/>
  <c r="N330" i="23" s="1"/>
  <c r="N317" i="23"/>
  <c r="N280" i="23"/>
  <c r="N282" i="23" s="1"/>
  <c r="N292" i="23" s="1"/>
  <c r="N294" i="23" s="1"/>
  <c r="T270" i="9"/>
  <c r="AO139" i="15"/>
  <c r="AP138" i="15"/>
  <c r="AO329" i="15"/>
  <c r="AP130" i="11"/>
  <c r="AO131" i="11"/>
  <c r="AO307" i="11"/>
  <c r="T300" i="11"/>
  <c r="T302" i="11" s="1"/>
  <c r="T303" i="11" s="1"/>
  <c r="AN234" i="11"/>
  <c r="AN238" i="11" s="1"/>
  <c r="T306" i="11"/>
  <c r="T308" i="11" s="1"/>
  <c r="T309" i="11" s="1"/>
  <c r="U262" i="11"/>
  <c r="U264" i="11" s="1"/>
  <c r="W251" i="11"/>
  <c r="W249" i="9"/>
  <c r="V255" i="9"/>
  <c r="AQ136" i="15"/>
  <c r="AP323" i="15"/>
  <c r="AP128" i="11"/>
  <c r="AP301" i="11" s="1"/>
  <c r="AO289" i="11"/>
  <c r="AO294" i="11" s="1"/>
  <c r="S306" i="9"/>
  <c r="S307" i="9"/>
  <c r="T284" i="9"/>
  <c r="U263" i="9"/>
  <c r="U264" i="9" s="1"/>
  <c r="V262" i="9" s="1"/>
  <c r="V252" i="9"/>
  <c r="W250" i="9" s="1"/>
  <c r="W248" i="20"/>
  <c r="X246" i="20" s="1"/>
  <c r="V270" i="18"/>
  <c r="V272" i="18" s="1"/>
  <c r="U279" i="18"/>
  <c r="U285" i="18" s="1"/>
  <c r="U286" i="18" s="1"/>
  <c r="W281" i="18"/>
  <c r="W283" i="18" s="1"/>
  <c r="W261" i="18"/>
  <c r="X259" i="18" s="1"/>
  <c r="X260" i="18" s="1"/>
  <c r="W264" i="18"/>
  <c r="X242" i="20"/>
  <c r="Y240" i="20" s="1"/>
  <c r="T303" i="20"/>
  <c r="T305" i="20" s="1"/>
  <c r="T306" i="20" s="1"/>
  <c r="AP124" i="20"/>
  <c r="AO125" i="20"/>
  <c r="V267" i="18"/>
  <c r="W265" i="18" s="1"/>
  <c r="U269" i="20"/>
  <c r="U288" i="20" s="1"/>
  <c r="U291" i="20" s="1"/>
  <c r="U265" i="20"/>
  <c r="U266" i="20" s="1"/>
  <c r="V264" i="20" s="1"/>
  <c r="AQ122" i="20"/>
  <c r="U260" i="20"/>
  <c r="V258" i="20" s="1"/>
  <c r="AA252" i="18"/>
  <c r="Z254" i="18"/>
  <c r="AA249" i="18"/>
  <c r="AB247" i="18" s="1"/>
  <c r="X243" i="9"/>
  <c r="X245" i="9" s="1"/>
  <c r="S303" i="11"/>
  <c r="S312" i="11" s="1"/>
  <c r="U293" i="11"/>
  <c r="U259" i="11"/>
  <c r="V257" i="11" s="1"/>
  <c r="V258" i="11" s="1"/>
  <c r="V262" i="11" s="1"/>
  <c r="S311" i="11"/>
  <c r="Z244" i="11"/>
  <c r="Z241" i="11"/>
  <c r="AA239" i="11" s="1"/>
  <c r="Y246" i="11"/>
  <c r="T269" i="10"/>
  <c r="T268" i="10"/>
  <c r="U232" i="10"/>
  <c r="U234" i="10" s="1"/>
  <c r="U246" i="10"/>
  <c r="U248" i="10" s="1"/>
  <c r="U250" i="10" s="1"/>
  <c r="U227" i="10"/>
  <c r="V225" i="10" s="1"/>
  <c r="W218" i="10"/>
  <c r="V220" i="10"/>
  <c r="Z206" i="10"/>
  <c r="Y208" i="10"/>
  <c r="U258" i="9"/>
  <c r="V256" i="9" s="1"/>
  <c r="X240" i="9"/>
  <c r="Y238" i="9" s="1"/>
  <c r="Z237" i="9" s="1"/>
  <c r="V263" i="5"/>
  <c r="V265" i="5" s="1"/>
  <c r="V266" i="5" s="1"/>
  <c r="V234" i="5"/>
  <c r="V235" i="5" s="1"/>
  <c r="U263" i="5"/>
  <c r="U265" i="5" s="1"/>
  <c r="U266" i="5" s="1"/>
  <c r="V250" i="5"/>
  <c r="U234" i="5"/>
  <c r="U235" i="5" s="1"/>
  <c r="U257" i="5"/>
  <c r="U259" i="5" s="1"/>
  <c r="V257" i="5"/>
  <c r="V259" i="5" s="1"/>
  <c r="W226" i="5"/>
  <c r="W227" i="5" s="1"/>
  <c r="X225" i="5" s="1"/>
  <c r="U250" i="5"/>
  <c r="W212" i="8"/>
  <c r="X210" i="8" s="1"/>
  <c r="X211" i="8" s="1"/>
  <c r="X215" i="8" s="1"/>
  <c r="U223" i="8"/>
  <c r="U225" i="8" s="1"/>
  <c r="Y206" i="8"/>
  <c r="Z204" i="8" s="1"/>
  <c r="Z205" i="8" s="1"/>
  <c r="Y209" i="8"/>
  <c r="AC200" i="8"/>
  <c r="AD198" i="8" s="1"/>
  <c r="AD199" i="8" s="1"/>
  <c r="AC203" i="8"/>
  <c r="U218" i="8"/>
  <c r="V216" i="8" s="1"/>
  <c r="Z208" i="5"/>
  <c r="AA206" i="5"/>
  <c r="X218" i="5"/>
  <c r="X220" i="5" s="1"/>
  <c r="X221" i="5" s="1"/>
  <c r="Y219" i="5" s="1"/>
  <c r="Y212" i="5"/>
  <c r="X215" i="5"/>
  <c r="Y213" i="5" s="1"/>
  <c r="W257" i="20" l="1"/>
  <c r="N331" i="23"/>
  <c r="N283" i="23"/>
  <c r="N286" i="23"/>
  <c r="N288" i="23" s="1"/>
  <c r="N297" i="23" s="1"/>
  <c r="N295" i="23"/>
  <c r="O203" i="23"/>
  <c r="O311" i="23" s="1"/>
  <c r="T312" i="11"/>
  <c r="AP139" i="15"/>
  <c r="AQ138" i="15"/>
  <c r="AP329" i="15"/>
  <c r="AQ130" i="11"/>
  <c r="AP131" i="11"/>
  <c r="AP307" i="11"/>
  <c r="T311" i="11"/>
  <c r="AO234" i="11"/>
  <c r="AO238" i="11" s="1"/>
  <c r="U265" i="11"/>
  <c r="V263" i="11" s="1"/>
  <c r="V264" i="11" s="1"/>
  <c r="U268" i="11"/>
  <c r="U271" i="11" s="1"/>
  <c r="W252" i="11"/>
  <c r="W251" i="9"/>
  <c r="W252" i="9" s="1"/>
  <c r="X250" i="9" s="1"/>
  <c r="AQ128" i="11"/>
  <c r="AQ301" i="11" s="1"/>
  <c r="AP289" i="11"/>
  <c r="AP294" i="11" s="1"/>
  <c r="AR136" i="15"/>
  <c r="AQ323" i="15"/>
  <c r="T286" i="9"/>
  <c r="T272" i="9"/>
  <c r="T273" i="9" s="1"/>
  <c r="T301" i="9"/>
  <c r="U267" i="9"/>
  <c r="X247" i="20"/>
  <c r="U314" i="18"/>
  <c r="U316" i="18" s="1"/>
  <c r="U317" i="18" s="1"/>
  <c r="V273" i="18"/>
  <c r="W271" i="18" s="1"/>
  <c r="V276" i="18"/>
  <c r="V279" i="18" s="1"/>
  <c r="V285" i="18" s="1"/>
  <c r="V286" i="18" s="1"/>
  <c r="X281" i="18"/>
  <c r="X283" i="18" s="1"/>
  <c r="W266" i="18"/>
  <c r="Z239" i="20"/>
  <c r="Y241" i="20"/>
  <c r="U272" i="20"/>
  <c r="U274" i="20" s="1"/>
  <c r="U275" i="20" s="1"/>
  <c r="AQ124" i="20"/>
  <c r="AP125" i="20"/>
  <c r="AR122" i="20"/>
  <c r="V259" i="20"/>
  <c r="V263" i="20" s="1"/>
  <c r="X264" i="18"/>
  <c r="Z258" i="18"/>
  <c r="X261" i="18"/>
  <c r="AB248" i="18"/>
  <c r="Z255" i="18"/>
  <c r="AA253" i="18" s="1"/>
  <c r="V293" i="11"/>
  <c r="X246" i="9"/>
  <c r="Y244" i="9" s="1"/>
  <c r="X249" i="9"/>
  <c r="Y247" i="11"/>
  <c r="Z245" i="11" s="1"/>
  <c r="Z246" i="11" s="1"/>
  <c r="Y250" i="11"/>
  <c r="V259" i="11"/>
  <c r="W257" i="11" s="1"/>
  <c r="AA240" i="11"/>
  <c r="U263" i="10"/>
  <c r="U265" i="10" s="1"/>
  <c r="U266" i="10" s="1"/>
  <c r="U257" i="10"/>
  <c r="U259" i="10" s="1"/>
  <c r="U251" i="10"/>
  <c r="V224" i="10"/>
  <c r="V226" i="10" s="1"/>
  <c r="V229" i="10" s="1"/>
  <c r="V221" i="10"/>
  <c r="W219" i="10" s="1"/>
  <c r="Y209" i="10"/>
  <c r="Z207" i="10" s="1"/>
  <c r="Y212" i="10"/>
  <c r="Y214" i="10" s="1"/>
  <c r="Y215" i="10" s="1"/>
  <c r="Z213" i="10" s="1"/>
  <c r="V257" i="9"/>
  <c r="V261" i="9" s="1"/>
  <c r="U235" i="10"/>
  <c r="Y239" i="9"/>
  <c r="U268" i="5"/>
  <c r="V268" i="5"/>
  <c r="U260" i="5"/>
  <c r="U269" i="5" s="1"/>
  <c r="W229" i="5"/>
  <c r="V260" i="5"/>
  <c r="V269" i="5" s="1"/>
  <c r="U226" i="8"/>
  <c r="U254" i="8"/>
  <c r="U256" i="8" s="1"/>
  <c r="U257" i="8" s="1"/>
  <c r="AD203" i="8"/>
  <c r="Z206" i="8"/>
  <c r="AA204" i="8" s="1"/>
  <c r="AA205" i="8" s="1"/>
  <c r="Z209" i="8"/>
  <c r="V217" i="8"/>
  <c r="X212" i="8"/>
  <c r="Y210" i="8" s="1"/>
  <c r="AD200" i="8"/>
  <c r="AE198" i="8" s="1"/>
  <c r="Z212" i="5"/>
  <c r="Y214" i="5"/>
  <c r="Y215" i="5" s="1"/>
  <c r="Z213" i="5" s="1"/>
  <c r="X224" i="5"/>
  <c r="X226" i="5" s="1"/>
  <c r="Z209" i="5"/>
  <c r="AA207" i="5" s="1"/>
  <c r="Y245" i="20" l="1"/>
  <c r="X251" i="20"/>
  <c r="X253" i="20" s="1"/>
  <c r="X254" i="20" s="1"/>
  <c r="Y252" i="20" s="1"/>
  <c r="O313" i="23"/>
  <c r="O315" i="23"/>
  <c r="N299" i="23"/>
  <c r="N322" i="23" s="1"/>
  <c r="N303" i="23"/>
  <c r="N334" i="23" s="1"/>
  <c r="N336" i="23" s="1"/>
  <c r="N289" i="23"/>
  <c r="O262" i="23"/>
  <c r="O264" i="23" s="1"/>
  <c r="O225" i="23"/>
  <c r="T288" i="9"/>
  <c r="T289" i="9" s="1"/>
  <c r="W255" i="9"/>
  <c r="AQ139" i="15"/>
  <c r="AQ329" i="15"/>
  <c r="AR138" i="15"/>
  <c r="AR130" i="11"/>
  <c r="AQ131" i="11"/>
  <c r="AQ307" i="11"/>
  <c r="AP234" i="11"/>
  <c r="AP238" i="11" s="1"/>
  <c r="V265" i="11"/>
  <c r="W263" i="11" s="1"/>
  <c r="V268" i="11"/>
  <c r="V271" i="11" s="1"/>
  <c r="V277" i="11" s="1"/>
  <c r="V278" i="11" s="1"/>
  <c r="W273" i="11"/>
  <c r="W275" i="11" s="1"/>
  <c r="W256" i="11"/>
  <c r="W258" i="11" s="1"/>
  <c r="W293" i="11" s="1"/>
  <c r="W253" i="11"/>
  <c r="X251" i="11" s="1"/>
  <c r="AR128" i="11"/>
  <c r="AR301" i="11" s="1"/>
  <c r="AQ289" i="11"/>
  <c r="AQ294" i="11" s="1"/>
  <c r="AS136" i="15"/>
  <c r="AR323" i="15"/>
  <c r="T295" i="9"/>
  <c r="T297" i="9" s="1"/>
  <c r="T298" i="9" s="1"/>
  <c r="X248" i="20"/>
  <c r="Y246" i="20" s="1"/>
  <c r="U284" i="9"/>
  <c r="U270" i="9"/>
  <c r="T303" i="9"/>
  <c r="T304" i="9" s="1"/>
  <c r="X251" i="9"/>
  <c r="V263" i="9"/>
  <c r="V264" i="9" s="1"/>
  <c r="W262" i="9" s="1"/>
  <c r="V314" i="18"/>
  <c r="V316" i="18" s="1"/>
  <c r="V317" i="18" s="1"/>
  <c r="W270" i="18"/>
  <c r="W272" i="18" s="1"/>
  <c r="W273" i="18" s="1"/>
  <c r="X271" i="18" s="1"/>
  <c r="W267" i="18"/>
  <c r="X265" i="18" s="1"/>
  <c r="X266" i="18" s="1"/>
  <c r="Y259" i="18"/>
  <c r="Y260" i="18" s="1"/>
  <c r="Y242" i="20"/>
  <c r="Z240" i="20" s="1"/>
  <c r="U303" i="20"/>
  <c r="U305" i="20" s="1"/>
  <c r="U306" i="20" s="1"/>
  <c r="AR124" i="20"/>
  <c r="AQ125" i="20"/>
  <c r="V269" i="20"/>
  <c r="V288" i="20" s="1"/>
  <c r="V291" i="20" s="1"/>
  <c r="V265" i="20"/>
  <c r="V266" i="20" s="1"/>
  <c r="W264" i="20" s="1"/>
  <c r="AS122" i="20"/>
  <c r="V260" i="20"/>
  <c r="W258" i="20" s="1"/>
  <c r="AB249" i="18"/>
  <c r="AC247" i="18" s="1"/>
  <c r="AC248" i="18" s="1"/>
  <c r="AB252" i="18"/>
  <c r="AA254" i="18"/>
  <c r="Y243" i="9"/>
  <c r="Y245" i="9" s="1"/>
  <c r="U277" i="11"/>
  <c r="U278" i="11" s="1"/>
  <c r="U300" i="11"/>
  <c r="U302" i="11" s="1"/>
  <c r="U306" i="11"/>
  <c r="U308" i="11" s="1"/>
  <c r="U309" i="11" s="1"/>
  <c r="Z247" i="11"/>
  <c r="AA245" i="11" s="1"/>
  <c r="Z250" i="11"/>
  <c r="AA241" i="11"/>
  <c r="AB239" i="11" s="1"/>
  <c r="AB240" i="11" s="1"/>
  <c r="AA244" i="11"/>
  <c r="U260" i="10"/>
  <c r="U269" i="10" s="1"/>
  <c r="V227" i="10"/>
  <c r="W225" i="10" s="1"/>
  <c r="V232" i="10"/>
  <c r="V234" i="10" s="1"/>
  <c r="V235" i="10" s="1"/>
  <c r="V246" i="10"/>
  <c r="V248" i="10" s="1"/>
  <c r="W220" i="10"/>
  <c r="X218" i="10"/>
  <c r="AA206" i="10"/>
  <c r="Z208" i="10"/>
  <c r="V258" i="9"/>
  <c r="W256" i="9" s="1"/>
  <c r="U268" i="10"/>
  <c r="Y240" i="9"/>
  <c r="Z238" i="9" s="1"/>
  <c r="W232" i="5"/>
  <c r="W246" i="5"/>
  <c r="W248" i="5" s="1"/>
  <c r="AA206" i="8"/>
  <c r="AB204" i="8" s="1"/>
  <c r="AB205" i="8" s="1"/>
  <c r="AA209" i="8"/>
  <c r="V220" i="8"/>
  <c r="V218" i="8"/>
  <c r="W216" i="8" s="1"/>
  <c r="AE199" i="8"/>
  <c r="Y211" i="8"/>
  <c r="Y215" i="8" s="1"/>
  <c r="Z214" i="5"/>
  <c r="Z215" i="5" s="1"/>
  <c r="AA213" i="5" s="1"/>
  <c r="X229" i="5"/>
  <c r="X227" i="5"/>
  <c r="Y225" i="5" s="1"/>
  <c r="Y218" i="5"/>
  <c r="Y220" i="5" s="1"/>
  <c r="Y221" i="5" s="1"/>
  <c r="Z219" i="5" s="1"/>
  <c r="AA208" i="5"/>
  <c r="AA209" i="5" s="1"/>
  <c r="AB207" i="5" s="1"/>
  <c r="AB206" i="5"/>
  <c r="X257" i="20" l="1"/>
  <c r="O227" i="23"/>
  <c r="O231" i="23" s="1"/>
  <c r="O233" i="23" s="1"/>
  <c r="O237" i="23" s="1"/>
  <c r="O239" i="23" s="1"/>
  <c r="N340" i="23"/>
  <c r="N337" i="23"/>
  <c r="O319" i="23"/>
  <c r="O321" i="23" s="1"/>
  <c r="N305" i="23"/>
  <c r="O268" i="23"/>
  <c r="W257" i="9"/>
  <c r="W261" i="9" s="1"/>
  <c r="W263" i="9" s="1"/>
  <c r="AR139" i="15"/>
  <c r="AR329" i="15"/>
  <c r="AS138" i="15"/>
  <c r="AS130" i="11"/>
  <c r="AR131" i="11"/>
  <c r="AR307" i="11"/>
  <c r="V300" i="11"/>
  <c r="V302" i="11" s="1"/>
  <c r="V303" i="11" s="1"/>
  <c r="V306" i="11"/>
  <c r="V308" i="11" s="1"/>
  <c r="V309" i="11" s="1"/>
  <c r="AQ234" i="11"/>
  <c r="AQ238" i="11" s="1"/>
  <c r="W262" i="11"/>
  <c r="W264" i="11" s="1"/>
  <c r="X252" i="11"/>
  <c r="Y247" i="20"/>
  <c r="AT136" i="15"/>
  <c r="AS323" i="15"/>
  <c r="AS128" i="11"/>
  <c r="AS301" i="11" s="1"/>
  <c r="AR289" i="11"/>
  <c r="AR294" i="11" s="1"/>
  <c r="U286" i="9"/>
  <c r="X252" i="9"/>
  <c r="Y250" i="9" s="1"/>
  <c r="T306" i="9"/>
  <c r="U272" i="9"/>
  <c r="U273" i="9" s="1"/>
  <c r="T307" i="9"/>
  <c r="U301" i="9"/>
  <c r="U303" i="9" s="1"/>
  <c r="U304" i="9" s="1"/>
  <c r="V267" i="9"/>
  <c r="Y249" i="9"/>
  <c r="X270" i="18"/>
  <c r="X272" i="18" s="1"/>
  <c r="X273" i="18" s="1"/>
  <c r="Y271" i="18" s="1"/>
  <c r="W276" i="18"/>
  <c r="Y281" i="18"/>
  <c r="Y283" i="18" s="1"/>
  <c r="Y261" i="18"/>
  <c r="Z259" i="18" s="1"/>
  <c r="Z260" i="18" s="1"/>
  <c r="Y264" i="18"/>
  <c r="AA239" i="20"/>
  <c r="Z241" i="20"/>
  <c r="V272" i="20"/>
  <c r="V274" i="20" s="1"/>
  <c r="V275" i="20" s="1"/>
  <c r="AS124" i="20"/>
  <c r="AR125" i="20"/>
  <c r="X267" i="18"/>
  <c r="Y265" i="18" s="1"/>
  <c r="AT122" i="20"/>
  <c r="W259" i="20"/>
  <c r="W263" i="20" s="1"/>
  <c r="AA258" i="18"/>
  <c r="AC252" i="18"/>
  <c r="AC249" i="18"/>
  <c r="AD247" i="18" s="1"/>
  <c r="AA255" i="18"/>
  <c r="AB253" i="18" s="1"/>
  <c r="X255" i="9"/>
  <c r="Z239" i="9"/>
  <c r="AA237" i="9"/>
  <c r="U303" i="11"/>
  <c r="U312" i="11" s="1"/>
  <c r="U311" i="11"/>
  <c r="AA246" i="11"/>
  <c r="AB244" i="11"/>
  <c r="W259" i="11"/>
  <c r="AB241" i="11"/>
  <c r="AC239" i="11" s="1"/>
  <c r="V257" i="10"/>
  <c r="V259" i="10" s="1"/>
  <c r="V260" i="10" s="1"/>
  <c r="V263" i="10"/>
  <c r="V265" i="10" s="1"/>
  <c r="V250" i="10"/>
  <c r="V251" i="10" s="1"/>
  <c r="W221" i="10"/>
  <c r="X219" i="10" s="1"/>
  <c r="W224" i="10"/>
  <c r="W226" i="10" s="1"/>
  <c r="W229" i="10" s="1"/>
  <c r="Z209" i="10"/>
  <c r="AA207" i="10" s="1"/>
  <c r="Z212" i="10"/>
  <c r="Z214" i="10" s="1"/>
  <c r="Z215" i="10" s="1"/>
  <c r="AA213" i="10" s="1"/>
  <c r="Y246" i="9"/>
  <c r="Z244" i="9" s="1"/>
  <c r="W263" i="5"/>
  <c r="W265" i="5" s="1"/>
  <c r="W266" i="5" s="1"/>
  <c r="W257" i="5"/>
  <c r="W259" i="5" s="1"/>
  <c r="W260" i="5" s="1"/>
  <c r="W234" i="5"/>
  <c r="W235" i="5" s="1"/>
  <c r="W250" i="5"/>
  <c r="V223" i="8"/>
  <c r="V225" i="8" s="1"/>
  <c r="AB209" i="8"/>
  <c r="AE203" i="8"/>
  <c r="W217" i="8"/>
  <c r="W220" i="8" s="1"/>
  <c r="Y212" i="8"/>
  <c r="Z210" i="8" s="1"/>
  <c r="AE200" i="8"/>
  <c r="AF198" i="8" s="1"/>
  <c r="AB206" i="8"/>
  <c r="AC204" i="8" s="1"/>
  <c r="X246" i="5"/>
  <c r="X248" i="5" s="1"/>
  <c r="AA212" i="5"/>
  <c r="AA214" i="5" s="1"/>
  <c r="X232" i="5"/>
  <c r="AB208" i="5"/>
  <c r="AC206" i="5"/>
  <c r="Y224" i="5"/>
  <c r="Y226" i="5" s="1"/>
  <c r="Z218" i="5"/>
  <c r="Z220" i="5" s="1"/>
  <c r="Z245" i="20" l="1"/>
  <c r="Y251" i="20"/>
  <c r="Y253" i="20" s="1"/>
  <c r="Y254" i="20" s="1"/>
  <c r="Z252" i="20" s="1"/>
  <c r="N306" i="23"/>
  <c r="N342" i="23"/>
  <c r="N345" i="23" s="1"/>
  <c r="O243" i="23"/>
  <c r="O245" i="23" s="1"/>
  <c r="O281" i="23" s="1"/>
  <c r="O275" i="23"/>
  <c r="O240" i="23"/>
  <c r="P238" i="23" s="1"/>
  <c r="O269" i="23"/>
  <c r="O234" i="23"/>
  <c r="P232" i="23" s="1"/>
  <c r="V270" i="9"/>
  <c r="U288" i="9"/>
  <c r="U289" i="9" s="1"/>
  <c r="W258" i="9"/>
  <c r="X256" i="9" s="1"/>
  <c r="X257" i="9" s="1"/>
  <c r="X261" i="9" s="1"/>
  <c r="AS139" i="15"/>
  <c r="AT138" i="15"/>
  <c r="AS329" i="15"/>
  <c r="AT130" i="11"/>
  <c r="AS131" i="11"/>
  <c r="AS307" i="11"/>
  <c r="V312" i="11"/>
  <c r="V311" i="11"/>
  <c r="AR234" i="11"/>
  <c r="AR238" i="11" s="1"/>
  <c r="W265" i="11"/>
  <c r="X263" i="11" s="1"/>
  <c r="W268" i="11"/>
  <c r="W271" i="11" s="1"/>
  <c r="W277" i="11" s="1"/>
  <c r="W278" i="11" s="1"/>
  <c r="X253" i="11"/>
  <c r="Y251" i="11" s="1"/>
  <c r="Y252" i="11" s="1"/>
  <c r="AA247" i="11"/>
  <c r="AB245" i="11" s="1"/>
  <c r="AB246" i="11" s="1"/>
  <c r="X273" i="11"/>
  <c r="X275" i="11" s="1"/>
  <c r="X256" i="11"/>
  <c r="Y248" i="20"/>
  <c r="Z246" i="20" s="1"/>
  <c r="AT128" i="11"/>
  <c r="AT301" i="11" s="1"/>
  <c r="AS289" i="11"/>
  <c r="AS294" i="11" s="1"/>
  <c r="AU136" i="15"/>
  <c r="AT323" i="15"/>
  <c r="Y251" i="9"/>
  <c r="Y252" i="9" s="1"/>
  <c r="Z250" i="9" s="1"/>
  <c r="U295" i="9"/>
  <c r="U297" i="9" s="1"/>
  <c r="U306" i="9" s="1"/>
  <c r="W264" i="9"/>
  <c r="X262" i="9" s="1"/>
  <c r="W267" i="9"/>
  <c r="V284" i="9"/>
  <c r="V286" i="9" s="1"/>
  <c r="Z240" i="9"/>
  <c r="AA238" i="9" s="1"/>
  <c r="Y266" i="18"/>
  <c r="Y270" i="18" s="1"/>
  <c r="Y272" i="18" s="1"/>
  <c r="Y273" i="18" s="1"/>
  <c r="Z271" i="18" s="1"/>
  <c r="W279" i="18"/>
  <c r="W285" i="18" s="1"/>
  <c r="W286" i="18" s="1"/>
  <c r="X276" i="18"/>
  <c r="X279" i="18" s="1"/>
  <c r="X285" i="18" s="1"/>
  <c r="X286" i="18" s="1"/>
  <c r="Z281" i="18"/>
  <c r="Z283" i="18" s="1"/>
  <c r="Z242" i="20"/>
  <c r="AA240" i="20" s="1"/>
  <c r="AA241" i="20" s="1"/>
  <c r="V303" i="20"/>
  <c r="V305" i="20" s="1"/>
  <c r="V306" i="20" s="1"/>
  <c r="AT124" i="20"/>
  <c r="AS125" i="20"/>
  <c r="W269" i="20"/>
  <c r="W288" i="20" s="1"/>
  <c r="W291" i="20" s="1"/>
  <c r="W265" i="20"/>
  <c r="W266" i="20" s="1"/>
  <c r="X264" i="20" s="1"/>
  <c r="AU122" i="20"/>
  <c r="W260" i="20"/>
  <c r="X258" i="20" s="1"/>
  <c r="Z264" i="18"/>
  <c r="Z261" i="18"/>
  <c r="AA259" i="18" s="1"/>
  <c r="AB254" i="18"/>
  <c r="AD248" i="18"/>
  <c r="Z243" i="9"/>
  <c r="Z245" i="9" s="1"/>
  <c r="X257" i="11"/>
  <c r="AA250" i="11"/>
  <c r="AC240" i="11"/>
  <c r="V268" i="10"/>
  <c r="V266" i="10"/>
  <c r="V269" i="10" s="1"/>
  <c r="W232" i="10"/>
  <c r="W234" i="10" s="1"/>
  <c r="W235" i="10" s="1"/>
  <c r="W246" i="10"/>
  <c r="W248" i="10" s="1"/>
  <c r="W250" i="10" s="1"/>
  <c r="W227" i="10"/>
  <c r="X225" i="10" s="1"/>
  <c r="X220" i="10"/>
  <c r="Y218" i="10"/>
  <c r="AB206" i="10"/>
  <c r="AA208" i="10"/>
  <c r="W269" i="5"/>
  <c r="W268" i="5"/>
  <c r="V254" i="8"/>
  <c r="V256" i="8" s="1"/>
  <c r="V257" i="8" s="1"/>
  <c r="V226" i="8"/>
  <c r="W223" i="8"/>
  <c r="W225" i="8" s="1"/>
  <c r="Z211" i="8"/>
  <c r="Z215" i="8" s="1"/>
  <c r="W218" i="8"/>
  <c r="X216" i="8" s="1"/>
  <c r="AC205" i="8"/>
  <c r="AF199" i="8"/>
  <c r="X234" i="5"/>
  <c r="X235" i="5" s="1"/>
  <c r="X250" i="5"/>
  <c r="X257" i="5"/>
  <c r="X259" i="5" s="1"/>
  <c r="X263" i="5"/>
  <c r="X265" i="5" s="1"/>
  <c r="X266" i="5" s="1"/>
  <c r="Z221" i="5"/>
  <c r="AA219" i="5" s="1"/>
  <c r="Z224" i="5"/>
  <c r="Y229" i="5"/>
  <c r="Y227" i="5"/>
  <c r="Z225" i="5" s="1"/>
  <c r="AA215" i="5"/>
  <c r="AB213" i="5" s="1"/>
  <c r="AA218" i="5"/>
  <c r="AB212" i="5"/>
  <c r="AB209" i="5"/>
  <c r="AC207" i="5" s="1"/>
  <c r="Y257" i="20" l="1"/>
  <c r="AA245" i="20"/>
  <c r="N343" i="23"/>
  <c r="N346" i="23" s="1"/>
  <c r="O249" i="23"/>
  <c r="O251" i="23" s="1"/>
  <c r="O252" i="23" s="1"/>
  <c r="P250" i="23" s="1"/>
  <c r="O255" i="23"/>
  <c r="O257" i="23" s="1"/>
  <c r="O258" i="23" s="1"/>
  <c r="P256" i="23" s="1"/>
  <c r="O246" i="23"/>
  <c r="P244" i="23" s="1"/>
  <c r="O270" i="23"/>
  <c r="O271" i="23" s="1"/>
  <c r="W270" i="9"/>
  <c r="Y255" i="9"/>
  <c r="AT139" i="15"/>
  <c r="AU138" i="15"/>
  <c r="AT329" i="15"/>
  <c r="AU130" i="11"/>
  <c r="AT131" i="11"/>
  <c r="AT307" i="11"/>
  <c r="Z247" i="20"/>
  <c r="W300" i="11"/>
  <c r="W302" i="11" s="1"/>
  <c r="W306" i="11"/>
  <c r="W308" i="11" s="1"/>
  <c r="W309" i="11" s="1"/>
  <c r="AS234" i="11"/>
  <c r="AS238" i="11" s="1"/>
  <c r="Y256" i="11"/>
  <c r="Y273" i="11"/>
  <c r="Y275" i="11" s="1"/>
  <c r="Y253" i="11"/>
  <c r="Z251" i="11" s="1"/>
  <c r="Z252" i="11" s="1"/>
  <c r="AB250" i="11"/>
  <c r="X258" i="11"/>
  <c r="X262" i="11" s="1"/>
  <c r="AU128" i="11"/>
  <c r="AU301" i="11" s="1"/>
  <c r="AT289" i="11"/>
  <c r="AT294" i="11" s="1"/>
  <c r="AV136" i="15"/>
  <c r="AU323" i="15"/>
  <c r="U298" i="9"/>
  <c r="U307" i="9" s="1"/>
  <c r="V288" i="9"/>
  <c r="V289" i="9" s="1"/>
  <c r="V301" i="9"/>
  <c r="V303" i="9" s="1"/>
  <c r="V304" i="9" s="1"/>
  <c r="V295" i="9"/>
  <c r="V272" i="9"/>
  <c r="V273" i="9" s="1"/>
  <c r="W284" i="9"/>
  <c r="X263" i="9"/>
  <c r="X264" i="9" s="1"/>
  <c r="Y262" i="9" s="1"/>
  <c r="Z246" i="9"/>
  <c r="AA244" i="9" s="1"/>
  <c r="X314" i="18"/>
  <c r="X316" i="18" s="1"/>
  <c r="X317" i="18" s="1"/>
  <c r="Y267" i="18"/>
  <c r="Z265" i="18" s="1"/>
  <c r="Z266" i="18" s="1"/>
  <c r="W314" i="18"/>
  <c r="W316" i="18" s="1"/>
  <c r="W317" i="18" s="1"/>
  <c r="Y276" i="18"/>
  <c r="AB239" i="20"/>
  <c r="AA242" i="20"/>
  <c r="AB240" i="20" s="1"/>
  <c r="AC239" i="20" s="1"/>
  <c r="W272" i="20"/>
  <c r="W274" i="20" s="1"/>
  <c r="W275" i="20" s="1"/>
  <c r="AU124" i="20"/>
  <c r="AT125" i="20"/>
  <c r="AV122" i="20"/>
  <c r="X259" i="20"/>
  <c r="X263" i="20" s="1"/>
  <c r="AB258" i="18"/>
  <c r="AD252" i="18"/>
  <c r="AD249" i="18"/>
  <c r="AE247" i="18" s="1"/>
  <c r="AA260" i="18"/>
  <c r="AB255" i="18"/>
  <c r="AC253" i="18" s="1"/>
  <c r="Z249" i="9"/>
  <c r="Z251" i="9" s="1"/>
  <c r="Z252" i="9" s="1"/>
  <c r="AA250" i="9" s="1"/>
  <c r="AA239" i="9"/>
  <c r="AB237" i="9"/>
  <c r="AB247" i="11"/>
  <c r="AC245" i="11" s="1"/>
  <c r="AC241" i="11"/>
  <c r="AD239" i="11" s="1"/>
  <c r="AD240" i="11" s="1"/>
  <c r="AC244" i="11"/>
  <c r="W263" i="10"/>
  <c r="W265" i="10" s="1"/>
  <c r="W266" i="10" s="1"/>
  <c r="W257" i="10"/>
  <c r="W259" i="10" s="1"/>
  <c r="W251" i="10"/>
  <c r="X221" i="10"/>
  <c r="Y219" i="10" s="1"/>
  <c r="Z218" i="10" s="1"/>
  <c r="X224" i="10"/>
  <c r="X226" i="10" s="1"/>
  <c r="X229" i="10" s="1"/>
  <c r="AA209" i="10"/>
  <c r="AB207" i="10" s="1"/>
  <c r="AA212" i="10"/>
  <c r="AA214" i="10" s="1"/>
  <c r="AA215" i="10" s="1"/>
  <c r="AB213" i="10" s="1"/>
  <c r="X258" i="9"/>
  <c r="Y256" i="9" s="1"/>
  <c r="W254" i="8"/>
  <c r="W256" i="8" s="1"/>
  <c r="W257" i="8" s="1"/>
  <c r="Z212" i="8"/>
  <c r="AA210" i="8" s="1"/>
  <c r="AA211" i="8" s="1"/>
  <c r="AA215" i="8" s="1"/>
  <c r="W226" i="8"/>
  <c r="AC206" i="8"/>
  <c r="AD204" i="8" s="1"/>
  <c r="AD205" i="8" s="1"/>
  <c r="AC209" i="8"/>
  <c r="AF200" i="8"/>
  <c r="AG198" i="8" s="1"/>
  <c r="AG199" i="8" s="1"/>
  <c r="AF203" i="8"/>
  <c r="X217" i="8"/>
  <c r="X220" i="8" s="1"/>
  <c r="Y246" i="5"/>
  <c r="Y248" i="5" s="1"/>
  <c r="AA220" i="5"/>
  <c r="AA221" i="5" s="1"/>
  <c r="AB219" i="5" s="1"/>
  <c r="Z226" i="5"/>
  <c r="Z227" i="5" s="1"/>
  <c r="AA225" i="5" s="1"/>
  <c r="X268" i="5"/>
  <c r="AC208" i="5"/>
  <c r="AC209" i="5" s="1"/>
  <c r="AD207" i="5" s="1"/>
  <c r="AD206" i="5"/>
  <c r="Y232" i="5"/>
  <c r="AB214" i="5"/>
  <c r="AB215" i="5" s="1"/>
  <c r="AC213" i="5" s="1"/>
  <c r="X260" i="5"/>
  <c r="X269" i="5" s="1"/>
  <c r="Z251" i="20" l="1"/>
  <c r="Z253" i="20" s="1"/>
  <c r="Z254" i="20" s="1"/>
  <c r="AA252" i="20" s="1"/>
  <c r="O293" i="23"/>
  <c r="O260" i="23"/>
  <c r="O287" i="23"/>
  <c r="O274" i="23"/>
  <c r="O276" i="23" s="1"/>
  <c r="O277" i="23" s="1"/>
  <c r="W301" i="9"/>
  <c r="W303" i="9" s="1"/>
  <c r="W304" i="9" s="1"/>
  <c r="AU139" i="15"/>
  <c r="AV138" i="15"/>
  <c r="AU329" i="15"/>
  <c r="AV130" i="11"/>
  <c r="AU131" i="11"/>
  <c r="AU307" i="11"/>
  <c r="Z248" i="20"/>
  <c r="AA246" i="20" s="1"/>
  <c r="AA247" i="20" s="1"/>
  <c r="W303" i="11"/>
  <c r="W312" i="11" s="1"/>
  <c r="W311" i="11"/>
  <c r="AT234" i="11"/>
  <c r="AT238" i="11" s="1"/>
  <c r="Z253" i="11"/>
  <c r="AA251" i="11" s="1"/>
  <c r="AA252" i="11" s="1"/>
  <c r="AA273" i="11" s="1"/>
  <c r="AA275" i="11" s="1"/>
  <c r="Z273" i="11"/>
  <c r="Z275" i="11" s="1"/>
  <c r="Z256" i="11"/>
  <c r="X293" i="11"/>
  <c r="X264" i="11"/>
  <c r="X259" i="11"/>
  <c r="Y257" i="11" s="1"/>
  <c r="Y258" i="11" s="1"/>
  <c r="Y262" i="11" s="1"/>
  <c r="AW136" i="15"/>
  <c r="AV323" i="15"/>
  <c r="AV128" i="11"/>
  <c r="AV301" i="11" s="1"/>
  <c r="AU289" i="11"/>
  <c r="AU294" i="11" s="1"/>
  <c r="W286" i="9"/>
  <c r="V297" i="9"/>
  <c r="V306" i="9" s="1"/>
  <c r="X267" i="9"/>
  <c r="W272" i="9"/>
  <c r="W273" i="9" s="1"/>
  <c r="AA240" i="9"/>
  <c r="AB238" i="9" s="1"/>
  <c r="AC237" i="9" s="1"/>
  <c r="Z270" i="18"/>
  <c r="Z272" i="18" s="1"/>
  <c r="Z273" i="18" s="1"/>
  <c r="AA271" i="18" s="1"/>
  <c r="Y279" i="18"/>
  <c r="Y285" i="18" s="1"/>
  <c r="Y286" i="18" s="1"/>
  <c r="AA281" i="18"/>
  <c r="AA283" i="18" s="1"/>
  <c r="AB241" i="20"/>
  <c r="W303" i="20"/>
  <c r="W305" i="20" s="1"/>
  <c r="W306" i="20" s="1"/>
  <c r="AV124" i="20"/>
  <c r="AU125" i="20"/>
  <c r="X269" i="20"/>
  <c r="X288" i="20" s="1"/>
  <c r="X291" i="20" s="1"/>
  <c r="X265" i="20"/>
  <c r="X266" i="20" s="1"/>
  <c r="Y264" i="20" s="1"/>
  <c r="Z267" i="18"/>
  <c r="AA265" i="18" s="1"/>
  <c r="AW122" i="20"/>
  <c r="X260" i="20"/>
  <c r="Y258" i="20" s="1"/>
  <c r="AA264" i="18"/>
  <c r="AA261" i="18"/>
  <c r="AB259" i="18" s="1"/>
  <c r="AC254" i="18"/>
  <c r="AE248" i="18"/>
  <c r="Y293" i="11"/>
  <c r="Z255" i="9"/>
  <c r="AA243" i="9"/>
  <c r="AA245" i="9" s="1"/>
  <c r="AC246" i="11"/>
  <c r="AD241" i="11"/>
  <c r="AE239" i="11" s="1"/>
  <c r="AE240" i="11" s="1"/>
  <c r="AD244" i="11"/>
  <c r="W260" i="10"/>
  <c r="W269" i="10" s="1"/>
  <c r="W268" i="10"/>
  <c r="X232" i="10"/>
  <c r="X263" i="10" s="1"/>
  <c r="X246" i="10"/>
  <c r="X248" i="10" s="1"/>
  <c r="X250" i="10" s="1"/>
  <c r="X227" i="10"/>
  <c r="Y225" i="10" s="1"/>
  <c r="Y220" i="10"/>
  <c r="AC206" i="10"/>
  <c r="AB208" i="10"/>
  <c r="Y257" i="9"/>
  <c r="Y261" i="9" s="1"/>
  <c r="X223" i="8"/>
  <c r="X225" i="8" s="1"/>
  <c r="AD206" i="8"/>
  <c r="AE204" i="8" s="1"/>
  <c r="AE205" i="8" s="1"/>
  <c r="AD209" i="8"/>
  <c r="AG200" i="8"/>
  <c r="AH198" i="8" s="1"/>
  <c r="AH199" i="8" s="1"/>
  <c r="AG203" i="8"/>
  <c r="X218" i="8"/>
  <c r="Y216" i="8" s="1"/>
  <c r="Y217" i="8" s="1"/>
  <c r="Y220" i="8" s="1"/>
  <c r="AA212" i="8"/>
  <c r="AB210" i="8" s="1"/>
  <c r="Y234" i="5"/>
  <c r="Y235" i="5" s="1"/>
  <c r="Y250" i="5"/>
  <c r="AA224" i="5"/>
  <c r="AA226" i="5" s="1"/>
  <c r="AA229" i="5" s="1"/>
  <c r="Z229" i="5"/>
  <c r="AD208" i="5"/>
  <c r="AD209" i="5" s="1"/>
  <c r="AE207" i="5" s="1"/>
  <c r="AE206" i="5"/>
  <c r="AB218" i="5"/>
  <c r="AB220" i="5" s="1"/>
  <c r="AB221" i="5" s="1"/>
  <c r="AC219" i="5" s="1"/>
  <c r="Y263" i="5"/>
  <c r="Y265" i="5" s="1"/>
  <c r="Y266" i="5" s="1"/>
  <c r="Y257" i="5"/>
  <c r="AC212" i="5"/>
  <c r="AC214" i="5" s="1"/>
  <c r="AB245" i="20" l="1"/>
  <c r="Z257" i="20"/>
  <c r="AB242" i="20"/>
  <c r="AC240" i="20" s="1"/>
  <c r="AD239" i="20" s="1"/>
  <c r="AA248" i="20"/>
  <c r="AB246" i="20" s="1"/>
  <c r="AA251" i="20"/>
  <c r="AA253" i="20" s="1"/>
  <c r="AA254" i="20" s="1"/>
  <c r="AB252" i="20" s="1"/>
  <c r="O302" i="23"/>
  <c r="O328" i="23" s="1"/>
  <c r="O317" i="23"/>
  <c r="O280" i="23"/>
  <c r="O282" i="23" s="1"/>
  <c r="O286" i="23" s="1"/>
  <c r="O288" i="23" s="1"/>
  <c r="O289" i="23" s="1"/>
  <c r="W288" i="9"/>
  <c r="W289" i="9" s="1"/>
  <c r="X270" i="9"/>
  <c r="X301" i="9" s="1"/>
  <c r="X303" i="9" s="1"/>
  <c r="X304" i="9" s="1"/>
  <c r="AV139" i="15"/>
  <c r="AV329" i="15"/>
  <c r="AW138" i="15"/>
  <c r="AW130" i="11"/>
  <c r="AV131" i="11"/>
  <c r="AV307" i="11"/>
  <c r="AA253" i="11"/>
  <c r="AB251" i="11" s="1"/>
  <c r="AB252" i="11" s="1"/>
  <c r="AA256" i="11"/>
  <c r="Y259" i="11"/>
  <c r="Z257" i="11" s="1"/>
  <c r="Z258" i="11" s="1"/>
  <c r="Z262" i="11" s="1"/>
  <c r="AU234" i="11"/>
  <c r="AU238" i="11" s="1"/>
  <c r="X265" i="11"/>
  <c r="Y263" i="11" s="1"/>
  <c r="Y264" i="11" s="1"/>
  <c r="X268" i="11"/>
  <c r="X271" i="11" s="1"/>
  <c r="X277" i="11" s="1"/>
  <c r="X278" i="11" s="1"/>
  <c r="AC250" i="11"/>
  <c r="AW128" i="11"/>
  <c r="AW301" i="11" s="1"/>
  <c r="AV289" i="11"/>
  <c r="AV294" i="11" s="1"/>
  <c r="AX136" i="15"/>
  <c r="AW323" i="15"/>
  <c r="W295" i="9"/>
  <c r="W297" i="9" s="1"/>
  <c r="W306" i="9" s="1"/>
  <c r="Y263" i="9"/>
  <c r="Y264" i="9" s="1"/>
  <c r="Z262" i="9" s="1"/>
  <c r="X284" i="9"/>
  <c r="X286" i="9" s="1"/>
  <c r="V298" i="9"/>
  <c r="V307" i="9" s="1"/>
  <c r="AA249" i="9"/>
  <c r="AA251" i="9" s="1"/>
  <c r="AA252" i="9" s="1"/>
  <c r="AB250" i="9" s="1"/>
  <c r="Y314" i="18"/>
  <c r="Y316" i="18" s="1"/>
  <c r="Y317" i="18" s="1"/>
  <c r="Z276" i="18"/>
  <c r="X272" i="20"/>
  <c r="X274" i="20" s="1"/>
  <c r="X275" i="20" s="1"/>
  <c r="AW124" i="20"/>
  <c r="AV125" i="20"/>
  <c r="AA266" i="18"/>
  <c r="Y259" i="20"/>
  <c r="Y263" i="20" s="1"/>
  <c r="AX122" i="20"/>
  <c r="AC258" i="18"/>
  <c r="AB260" i="18"/>
  <c r="AE249" i="18"/>
  <c r="AF247" i="18" s="1"/>
  <c r="AF248" i="18" s="1"/>
  <c r="AE252" i="18"/>
  <c r="AC255" i="18"/>
  <c r="AD253" i="18" s="1"/>
  <c r="AA246" i="9"/>
  <c r="AB244" i="9" s="1"/>
  <c r="AC247" i="11"/>
  <c r="AD245" i="11" s="1"/>
  <c r="AD246" i="11" s="1"/>
  <c r="AE244" i="11"/>
  <c r="AE241" i="11"/>
  <c r="AF239" i="11" s="1"/>
  <c r="X265" i="10"/>
  <c r="X266" i="10" s="1"/>
  <c r="X257" i="10"/>
  <c r="X259" i="10" s="1"/>
  <c r="X251" i="10"/>
  <c r="X234" i="10"/>
  <c r="X235" i="10" s="1"/>
  <c r="Y221" i="10"/>
  <c r="Z219" i="10" s="1"/>
  <c r="Y224" i="10"/>
  <c r="Y226" i="10" s="1"/>
  <c r="AB209" i="10"/>
  <c r="AC207" i="10" s="1"/>
  <c r="AB212" i="10"/>
  <c r="AB214" i="10" s="1"/>
  <c r="AB215" i="10" s="1"/>
  <c r="AC213" i="10" s="1"/>
  <c r="AB239" i="9"/>
  <c r="Y258" i="9"/>
  <c r="X254" i="8"/>
  <c r="X256" i="8" s="1"/>
  <c r="X226" i="8"/>
  <c r="Y223" i="8"/>
  <c r="Y225" i="8" s="1"/>
  <c r="AH203" i="8"/>
  <c r="AE206" i="8"/>
  <c r="AF204" i="8" s="1"/>
  <c r="AF205" i="8" s="1"/>
  <c r="AE209" i="8"/>
  <c r="Y218" i="8"/>
  <c r="Z216" i="8" s="1"/>
  <c r="AB211" i="8"/>
  <c r="Z232" i="5"/>
  <c r="AH200" i="8"/>
  <c r="AI198" i="8" s="1"/>
  <c r="AA246" i="5"/>
  <c r="AA248" i="5" s="1"/>
  <c r="Z246" i="5"/>
  <c r="Z248" i="5" s="1"/>
  <c r="AD212" i="5"/>
  <c r="AA227" i="5"/>
  <c r="AB225" i="5" s="1"/>
  <c r="AB224" i="5"/>
  <c r="AC218" i="5"/>
  <c r="AC220" i="5" s="1"/>
  <c r="AC215" i="5"/>
  <c r="AD213" i="5" s="1"/>
  <c r="AF206" i="5"/>
  <c r="AE208" i="5"/>
  <c r="AE209" i="5" s="1"/>
  <c r="AF207" i="5" s="1"/>
  <c r="Y259" i="5"/>
  <c r="Y268" i="5" s="1"/>
  <c r="AA232" i="5"/>
  <c r="AC241" i="20" l="1"/>
  <c r="AC245" i="20" s="1"/>
  <c r="AB247" i="20"/>
  <c r="AB251" i="20" s="1"/>
  <c r="AB253" i="20" s="1"/>
  <c r="AB257" i="20" s="1"/>
  <c r="AA257" i="20"/>
  <c r="O330" i="23"/>
  <c r="O283" i="23"/>
  <c r="O292" i="23"/>
  <c r="O294" i="23" s="1"/>
  <c r="O295" i="23" s="1"/>
  <c r="AW139" i="15"/>
  <c r="AX138" i="15"/>
  <c r="AW329" i="15"/>
  <c r="AX130" i="11"/>
  <c r="AW131" i="11"/>
  <c r="AW307" i="11"/>
  <c r="X306" i="11"/>
  <c r="X308" i="11" s="1"/>
  <c r="X309" i="11" s="1"/>
  <c r="X300" i="11"/>
  <c r="X302" i="11" s="1"/>
  <c r="AV234" i="11"/>
  <c r="AV238" i="11" s="1"/>
  <c r="Y265" i="11"/>
  <c r="Z263" i="11" s="1"/>
  <c r="Z264" i="11" s="1"/>
  <c r="Y268" i="11"/>
  <c r="Y271" i="11" s="1"/>
  <c r="Y277" i="11" s="1"/>
  <c r="Y278" i="11" s="1"/>
  <c r="AB273" i="11"/>
  <c r="AB275" i="11" s="1"/>
  <c r="AX128" i="11"/>
  <c r="AX301" i="11" s="1"/>
  <c r="AW289" i="11"/>
  <c r="AW294" i="11" s="1"/>
  <c r="AY136" i="15"/>
  <c r="AX323" i="15"/>
  <c r="W298" i="9"/>
  <c r="W307" i="9" s="1"/>
  <c r="X288" i="9"/>
  <c r="X289" i="9" s="1"/>
  <c r="Y267" i="9"/>
  <c r="X272" i="9"/>
  <c r="X273" i="9" s="1"/>
  <c r="X295" i="9"/>
  <c r="AA270" i="18"/>
  <c r="AA272" i="18" s="1"/>
  <c r="AA273" i="18" s="1"/>
  <c r="AB271" i="18" s="1"/>
  <c r="Z279" i="18"/>
  <c r="Z285" i="18" s="1"/>
  <c r="Z286" i="18" s="1"/>
  <c r="AB281" i="18"/>
  <c r="AB283" i="18" s="1"/>
  <c r="X303" i="20"/>
  <c r="X305" i="20" s="1"/>
  <c r="X306" i="20" s="1"/>
  <c r="AX124" i="20"/>
  <c r="AW125" i="20"/>
  <c r="AA267" i="18"/>
  <c r="AB265" i="18" s="1"/>
  <c r="Y269" i="20"/>
  <c r="Y288" i="20" s="1"/>
  <c r="Y291" i="20" s="1"/>
  <c r="Y265" i="20"/>
  <c r="Y266" i="20" s="1"/>
  <c r="Z264" i="20" s="1"/>
  <c r="Y260" i="20"/>
  <c r="Z258" i="20" s="1"/>
  <c r="AY122" i="20"/>
  <c r="AB264" i="18"/>
  <c r="AB261" i="18"/>
  <c r="AF249" i="18"/>
  <c r="AG247" i="18" s="1"/>
  <c r="AG248" i="18" s="1"/>
  <c r="AF252" i="18"/>
  <c r="AD254" i="18"/>
  <c r="AB243" i="9"/>
  <c r="AB245" i="9" s="1"/>
  <c r="Z259" i="11"/>
  <c r="AA257" i="11" s="1"/>
  <c r="AA258" i="11" s="1"/>
  <c r="AA262" i="11" s="1"/>
  <c r="AB253" i="11"/>
  <c r="AB256" i="11"/>
  <c r="AD250" i="11"/>
  <c r="AF240" i="11"/>
  <c r="AD247" i="11"/>
  <c r="AE245" i="11" s="1"/>
  <c r="X268" i="10"/>
  <c r="X260" i="10"/>
  <c r="X269" i="10" s="1"/>
  <c r="Y229" i="10"/>
  <c r="Y227" i="10"/>
  <c r="Z225" i="10" s="1"/>
  <c r="AA218" i="10"/>
  <c r="Z220" i="10"/>
  <c r="AD206" i="10"/>
  <c r="AC208" i="10"/>
  <c r="Z256" i="9"/>
  <c r="AB240" i="9"/>
  <c r="AC238" i="9" s="1"/>
  <c r="AD237" i="9" s="1"/>
  <c r="X257" i="8"/>
  <c r="Y254" i="8"/>
  <c r="Y256" i="8" s="1"/>
  <c r="Y257" i="8" s="1"/>
  <c r="Y226" i="8"/>
  <c r="AB212" i="8"/>
  <c r="AC210" i="8" s="1"/>
  <c r="AC211" i="8" s="1"/>
  <c r="AC215" i="8" s="1"/>
  <c r="AB215" i="8"/>
  <c r="AF206" i="8"/>
  <c r="AG204" i="8" s="1"/>
  <c r="AG205" i="8" s="1"/>
  <c r="AF209" i="8"/>
  <c r="Z217" i="8"/>
  <c r="Z220" i="8" s="1"/>
  <c r="Z263" i="5"/>
  <c r="Z265" i="5" s="1"/>
  <c r="Z266" i="5" s="1"/>
  <c r="AA234" i="5"/>
  <c r="AA235" i="5" s="1"/>
  <c r="AI199" i="8"/>
  <c r="AA250" i="5"/>
  <c r="Z234" i="5"/>
  <c r="Z235" i="5" s="1"/>
  <c r="Z250" i="5"/>
  <c r="Z257" i="5"/>
  <c r="Z259" i="5" s="1"/>
  <c r="Z260" i="5" s="1"/>
  <c r="AB226" i="5"/>
  <c r="AB229" i="5" s="1"/>
  <c r="AE212" i="5"/>
  <c r="Y260" i="5"/>
  <c r="Y269" i="5" s="1"/>
  <c r="AC221" i="5"/>
  <c r="AD219" i="5" s="1"/>
  <c r="AC224" i="5"/>
  <c r="AD214" i="5"/>
  <c r="AA257" i="5"/>
  <c r="AG206" i="5"/>
  <c r="AF208" i="5"/>
  <c r="AF209" i="5" s="1"/>
  <c r="AG207" i="5" s="1"/>
  <c r="AA263" i="5"/>
  <c r="AA265" i="5" s="1"/>
  <c r="AA266" i="5" s="1"/>
  <c r="AC242" i="20" l="1"/>
  <c r="AD240" i="20" s="1"/>
  <c r="AD241" i="20" s="1"/>
  <c r="AD245" i="20" s="1"/>
  <c r="AB248" i="20"/>
  <c r="AC246" i="20" s="1"/>
  <c r="AC247" i="20" s="1"/>
  <c r="O331" i="23"/>
  <c r="O297" i="23"/>
  <c r="P203" i="23"/>
  <c r="Y270" i="9"/>
  <c r="Y301" i="9" s="1"/>
  <c r="Y303" i="9" s="1"/>
  <c r="Y304" i="9" s="1"/>
  <c r="X311" i="11"/>
  <c r="AX139" i="15"/>
  <c r="AY138" i="15"/>
  <c r="AX329" i="15"/>
  <c r="AY130" i="11"/>
  <c r="AX131" i="11"/>
  <c r="AX307" i="11"/>
  <c r="AW234" i="11"/>
  <c r="AW238" i="11" s="1"/>
  <c r="Y306" i="11"/>
  <c r="Y308" i="11" s="1"/>
  <c r="Y309" i="11" s="1"/>
  <c r="Y300" i="11"/>
  <c r="Z265" i="11"/>
  <c r="AA263" i="11" s="1"/>
  <c r="AA264" i="11" s="1"/>
  <c r="Z268" i="11"/>
  <c r="Z271" i="11" s="1"/>
  <c r="AA293" i="11"/>
  <c r="AC251" i="11"/>
  <c r="AC252" i="11" s="1"/>
  <c r="AZ136" i="15"/>
  <c r="AY323" i="15"/>
  <c r="AY128" i="11"/>
  <c r="AY301" i="11" s="1"/>
  <c r="AX289" i="11"/>
  <c r="AX294" i="11" s="1"/>
  <c r="Y284" i="9"/>
  <c r="Y286" i="9" s="1"/>
  <c r="X297" i="9"/>
  <c r="X306" i="9" s="1"/>
  <c r="AB246" i="9"/>
  <c r="AC244" i="9" s="1"/>
  <c r="Z314" i="18"/>
  <c r="Z316" i="18" s="1"/>
  <c r="Z317" i="18" s="1"/>
  <c r="AA276" i="18"/>
  <c r="AA279" i="18" s="1"/>
  <c r="AA285" i="18" s="1"/>
  <c r="AA286" i="18" s="1"/>
  <c r="AC259" i="18"/>
  <c r="AC260" i="18" s="1"/>
  <c r="Y272" i="20"/>
  <c r="Y274" i="20" s="1"/>
  <c r="Y275" i="20" s="1"/>
  <c r="AY124" i="20"/>
  <c r="AX125" i="20"/>
  <c r="AB266" i="18"/>
  <c r="Z259" i="20"/>
  <c r="Z263" i="20" s="1"/>
  <c r="AB254" i="20"/>
  <c r="AC252" i="20" s="1"/>
  <c r="AZ122" i="20"/>
  <c r="AD258" i="18"/>
  <c r="AG249" i="18"/>
  <c r="AH247" i="18" s="1"/>
  <c r="AH248" i="18" s="1"/>
  <c r="AG252" i="18"/>
  <c r="AD255" i="18"/>
  <c r="AE253" i="18" s="1"/>
  <c r="Z293" i="11"/>
  <c r="Z257" i="9"/>
  <c r="Z261" i="9" s="1"/>
  <c r="AA255" i="9"/>
  <c r="X303" i="11"/>
  <c r="X312" i="11" s="1"/>
  <c r="AB249" i="9"/>
  <c r="AB251" i="9" s="1"/>
  <c r="AF244" i="11"/>
  <c r="AA259" i="11"/>
  <c r="AE246" i="11"/>
  <c r="AF241" i="11"/>
  <c r="AG239" i="11" s="1"/>
  <c r="Y232" i="10"/>
  <c r="Y234" i="10" s="1"/>
  <c r="Y246" i="10"/>
  <c r="Y248" i="10" s="1"/>
  <c r="Y250" i="10" s="1"/>
  <c r="Z221" i="10"/>
  <c r="AA219" i="10" s="1"/>
  <c r="AB218" i="10" s="1"/>
  <c r="Z224" i="10"/>
  <c r="Z226" i="10" s="1"/>
  <c r="AC212" i="10"/>
  <c r="AC214" i="10" s="1"/>
  <c r="AC215" i="10" s="1"/>
  <c r="AD213" i="10" s="1"/>
  <c r="AC209" i="10"/>
  <c r="AD207" i="10" s="1"/>
  <c r="AC239" i="9"/>
  <c r="Z223" i="8"/>
  <c r="Z225" i="8" s="1"/>
  <c r="AG206" i="8"/>
  <c r="AH204" i="8" s="1"/>
  <c r="AH205" i="8" s="1"/>
  <c r="AG209" i="8"/>
  <c r="AI200" i="8"/>
  <c r="AJ198" i="8" s="1"/>
  <c r="AJ199" i="8" s="1"/>
  <c r="AI203" i="8"/>
  <c r="Z269" i="5"/>
  <c r="Z218" i="8"/>
  <c r="AA216" i="8" s="1"/>
  <c r="AC212" i="8"/>
  <c r="AD210" i="8" s="1"/>
  <c r="AB232" i="5"/>
  <c r="Z268" i="5"/>
  <c r="AB227" i="5"/>
  <c r="AB246" i="5"/>
  <c r="AB248" i="5" s="1"/>
  <c r="AH206" i="5"/>
  <c r="AG208" i="5"/>
  <c r="AD218" i="5"/>
  <c r="AD220" i="5" s="1"/>
  <c r="AD221" i="5" s="1"/>
  <c r="AE219" i="5" s="1"/>
  <c r="AA259" i="5"/>
  <c r="AA268" i="5" s="1"/>
  <c r="AD215" i="5"/>
  <c r="AE239" i="20" l="1"/>
  <c r="AD242" i="20"/>
  <c r="AE240" i="20" s="1"/>
  <c r="AF239" i="20" s="1"/>
  <c r="AC248" i="20"/>
  <c r="AD246" i="20" s="1"/>
  <c r="AD247" i="20" s="1"/>
  <c r="AC251" i="20"/>
  <c r="AC253" i="20" s="1"/>
  <c r="AC257" i="20" s="1"/>
  <c r="O299" i="23"/>
  <c r="O322" i="23" s="1"/>
  <c r="P225" i="23"/>
  <c r="P311" i="23"/>
  <c r="O303" i="23"/>
  <c r="O334" i="23" s="1"/>
  <c r="O336" i="23" s="1"/>
  <c r="P262" i="23"/>
  <c r="P264" i="23" s="1"/>
  <c r="P268" i="23" s="1"/>
  <c r="AY139" i="15"/>
  <c r="AY329" i="15"/>
  <c r="AZ138" i="15"/>
  <c r="AZ130" i="11"/>
  <c r="AY131" i="11"/>
  <c r="AY307" i="11"/>
  <c r="AX234" i="11"/>
  <c r="AX238" i="11" s="1"/>
  <c r="AA265" i="11"/>
  <c r="AB263" i="11" s="1"/>
  <c r="AA268" i="11"/>
  <c r="AA271" i="11" s="1"/>
  <c r="AA277" i="11" s="1"/>
  <c r="AA278" i="11" s="1"/>
  <c r="Y302" i="11"/>
  <c r="Y311" i="11" s="1"/>
  <c r="AC273" i="11"/>
  <c r="AC275" i="11" s="1"/>
  <c r="AC256" i="11"/>
  <c r="AC253" i="11"/>
  <c r="AZ128" i="11"/>
  <c r="AZ301" i="11" s="1"/>
  <c r="AY289" i="11"/>
  <c r="AY294" i="11" s="1"/>
  <c r="BA136" i="15"/>
  <c r="AZ323" i="15"/>
  <c r="Y295" i="9"/>
  <c r="Y272" i="9"/>
  <c r="Y273" i="9" s="1"/>
  <c r="X298" i="9"/>
  <c r="X307" i="9" s="1"/>
  <c r="Y288" i="9"/>
  <c r="Y289" i="9" s="1"/>
  <c r="Z263" i="9"/>
  <c r="Z264" i="9" s="1"/>
  <c r="AA262" i="9" s="1"/>
  <c r="AB270" i="18"/>
  <c r="AB272" i="18" s="1"/>
  <c r="AB273" i="18" s="1"/>
  <c r="AC271" i="18" s="1"/>
  <c r="AA314" i="18"/>
  <c r="AA316" i="18" s="1"/>
  <c r="AA317" i="18" s="1"/>
  <c r="AC281" i="18"/>
  <c r="AC283" i="18" s="1"/>
  <c r="AC264" i="18"/>
  <c r="AC261" i="18"/>
  <c r="AD259" i="18" s="1"/>
  <c r="AD260" i="18" s="1"/>
  <c r="Y303" i="20"/>
  <c r="Y305" i="20" s="1"/>
  <c r="Y306" i="20" s="1"/>
  <c r="AZ124" i="20"/>
  <c r="AY125" i="20"/>
  <c r="AB267" i="18"/>
  <c r="AC265" i="18" s="1"/>
  <c r="Z269" i="20"/>
  <c r="Z288" i="20" s="1"/>
  <c r="Z291" i="20" s="1"/>
  <c r="Z265" i="20"/>
  <c r="Z266" i="20" s="1"/>
  <c r="AA264" i="20" s="1"/>
  <c r="Z260" i="20"/>
  <c r="AA258" i="20" s="1"/>
  <c r="BA122" i="20"/>
  <c r="AH249" i="18"/>
  <c r="AI247" i="18" s="1"/>
  <c r="AI248" i="18" s="1"/>
  <c r="AH252" i="18"/>
  <c r="AE254" i="18"/>
  <c r="Z258" i="9"/>
  <c r="AA256" i="9" s="1"/>
  <c r="AB255" i="9" s="1"/>
  <c r="AC243" i="9"/>
  <c r="AC245" i="9" s="1"/>
  <c r="AB257" i="11"/>
  <c r="AB258" i="11" s="1"/>
  <c r="Z277" i="11"/>
  <c r="Z278" i="11" s="1"/>
  <c r="Z306" i="11"/>
  <c r="Z308" i="11" s="1"/>
  <c r="Z309" i="11" s="1"/>
  <c r="Z300" i="11"/>
  <c r="AE247" i="11"/>
  <c r="AF245" i="11" s="1"/>
  <c r="AF246" i="11" s="1"/>
  <c r="AE250" i="11"/>
  <c r="AG240" i="11"/>
  <c r="Y263" i="10"/>
  <c r="Y265" i="10" s="1"/>
  <c r="Y266" i="10" s="1"/>
  <c r="Y257" i="10"/>
  <c r="Y259" i="10" s="1"/>
  <c r="Y251" i="10"/>
  <c r="Y235" i="10"/>
  <c r="AA220" i="10"/>
  <c r="AA221" i="10" s="1"/>
  <c r="AB219" i="10" s="1"/>
  <c r="AB220" i="10" s="1"/>
  <c r="Z229" i="10"/>
  <c r="Z227" i="10"/>
  <c r="AA225" i="10" s="1"/>
  <c r="AE206" i="10"/>
  <c r="AD208" i="10"/>
  <c r="AB252" i="9"/>
  <c r="AC250" i="9" s="1"/>
  <c r="AC240" i="9"/>
  <c r="AD238" i="9" s="1"/>
  <c r="Z226" i="8"/>
  <c r="Z254" i="8"/>
  <c r="Z256" i="8" s="1"/>
  <c r="Z257" i="8" s="1"/>
  <c r="AJ203" i="8"/>
  <c r="AH206" i="8"/>
  <c r="AI204" i="8" s="1"/>
  <c r="AI205" i="8" s="1"/>
  <c r="AH209" i="8"/>
  <c r="AA217" i="8"/>
  <c r="AA220" i="8" s="1"/>
  <c r="AJ200" i="8"/>
  <c r="AK198" i="8" s="1"/>
  <c r="AB234" i="5"/>
  <c r="AB235" i="5" s="1"/>
  <c r="AB263" i="5"/>
  <c r="AB265" i="5" s="1"/>
  <c r="AB266" i="5" s="1"/>
  <c r="AD211" i="8"/>
  <c r="AD215" i="8" s="1"/>
  <c r="AC225" i="5"/>
  <c r="AC226" i="5" s="1"/>
  <c r="AE213" i="5"/>
  <c r="AF212" i="5" s="1"/>
  <c r="AB250" i="5"/>
  <c r="AB257" i="5"/>
  <c r="AB259" i="5" s="1"/>
  <c r="AA260" i="5"/>
  <c r="AA269" i="5" s="1"/>
  <c r="AG209" i="5"/>
  <c r="AH207" i="5" s="1"/>
  <c r="AE241" i="20" l="1"/>
  <c r="AE242" i="20" s="1"/>
  <c r="AF240" i="20" s="1"/>
  <c r="AG239" i="20" s="1"/>
  <c r="AD251" i="20"/>
  <c r="P227" i="23"/>
  <c r="P231" i="23" s="1"/>
  <c r="P233" i="23" s="1"/>
  <c r="P237" i="23" s="1"/>
  <c r="P239" i="23" s="1"/>
  <c r="P275" i="23" s="1"/>
  <c r="O340" i="23"/>
  <c r="O337" i="23"/>
  <c r="P313" i="23"/>
  <c r="P315" i="23"/>
  <c r="O305" i="23"/>
  <c r="AA300" i="11"/>
  <c r="AA302" i="11" s="1"/>
  <c r="AZ139" i="15"/>
  <c r="BA138" i="15"/>
  <c r="AZ329" i="15"/>
  <c r="BA130" i="11"/>
  <c r="AZ131" i="11"/>
  <c r="AZ307" i="11"/>
  <c r="AA306" i="11"/>
  <c r="AA308" i="11" s="1"/>
  <c r="AA309" i="11" s="1"/>
  <c r="Y303" i="11"/>
  <c r="Y312" i="11" s="1"/>
  <c r="AY234" i="11"/>
  <c r="AY238" i="11" s="1"/>
  <c r="AB262" i="11"/>
  <c r="AB264" i="11" s="1"/>
  <c r="AD251" i="11"/>
  <c r="BA128" i="11"/>
  <c r="BA301" i="11" s="1"/>
  <c r="AZ289" i="11"/>
  <c r="AZ294" i="11" s="1"/>
  <c r="BB136" i="15"/>
  <c r="BA323" i="15"/>
  <c r="Y297" i="9"/>
  <c r="Y306" i="9" s="1"/>
  <c r="Z267" i="9"/>
  <c r="AC249" i="9"/>
  <c r="AC251" i="9" s="1"/>
  <c r="AC252" i="9" s="1"/>
  <c r="AD250" i="9" s="1"/>
  <c r="AB276" i="18"/>
  <c r="AB279" i="18" s="1"/>
  <c r="AB285" i="18" s="1"/>
  <c r="AB286" i="18" s="1"/>
  <c r="AC266" i="18"/>
  <c r="AC267" i="18" s="1"/>
  <c r="AD265" i="18" s="1"/>
  <c r="Z272" i="20"/>
  <c r="Z274" i="20" s="1"/>
  <c r="Z275" i="20" s="1"/>
  <c r="BA124" i="20"/>
  <c r="AZ125" i="20"/>
  <c r="AC254" i="20"/>
  <c r="AD252" i="20" s="1"/>
  <c r="AA259" i="20"/>
  <c r="AA263" i="20" s="1"/>
  <c r="AD248" i="20"/>
  <c r="AE246" i="20" s="1"/>
  <c r="BB122" i="20"/>
  <c r="AD281" i="18"/>
  <c r="AD283" i="18" s="1"/>
  <c r="AD264" i="18"/>
  <c r="AE258" i="18"/>
  <c r="AI252" i="18"/>
  <c r="AD261" i="18"/>
  <c r="AE259" i="18" s="1"/>
  <c r="AI249" i="18"/>
  <c r="AJ247" i="18" s="1"/>
  <c r="AE255" i="18"/>
  <c r="AF253" i="18" s="1"/>
  <c r="AA257" i="9"/>
  <c r="AA261" i="9" s="1"/>
  <c r="AD239" i="9"/>
  <c r="AE237" i="9"/>
  <c r="AB293" i="11"/>
  <c r="AB259" i="11"/>
  <c r="AC257" i="11" s="1"/>
  <c r="AC258" i="11" s="1"/>
  <c r="AC262" i="11" s="1"/>
  <c r="Z302" i="11"/>
  <c r="Z311" i="11" s="1"/>
  <c r="AF250" i="11"/>
  <c r="AG241" i="11"/>
  <c r="AH239" i="11" s="1"/>
  <c r="AH240" i="11" s="1"/>
  <c r="AG244" i="11"/>
  <c r="AF247" i="11"/>
  <c r="AG245" i="11" s="1"/>
  <c r="Y268" i="10"/>
  <c r="Z232" i="10"/>
  <c r="Z234" i="10" s="1"/>
  <c r="Z246" i="10"/>
  <c r="Z248" i="10" s="1"/>
  <c r="Z250" i="10" s="1"/>
  <c r="AA224" i="10"/>
  <c r="AA226" i="10" s="1"/>
  <c r="AA229" i="10" s="1"/>
  <c r="Y260" i="10"/>
  <c r="Y269" i="10" s="1"/>
  <c r="AB221" i="10"/>
  <c r="AC219" i="10" s="1"/>
  <c r="AB224" i="10"/>
  <c r="AC218" i="10"/>
  <c r="AD209" i="10"/>
  <c r="AE207" i="10" s="1"/>
  <c r="AD212" i="10"/>
  <c r="AD214" i="10" s="1"/>
  <c r="AD215" i="10" s="1"/>
  <c r="AE213" i="10" s="1"/>
  <c r="AC246" i="9"/>
  <c r="AD244" i="9" s="1"/>
  <c r="AA223" i="8"/>
  <c r="AA225" i="8" s="1"/>
  <c r="AI209" i="8"/>
  <c r="AA218" i="8"/>
  <c r="AB216" i="8" s="1"/>
  <c r="AD212" i="8"/>
  <c r="AE210" i="8" s="1"/>
  <c r="AB268" i="5"/>
  <c r="AK199" i="8"/>
  <c r="AI206" i="8"/>
  <c r="AJ204" i="8" s="1"/>
  <c r="AD224" i="5"/>
  <c r="AE214" i="5"/>
  <c r="AE215" i="5" s="1"/>
  <c r="AF213" i="5" s="1"/>
  <c r="AG212" i="5" s="1"/>
  <c r="AC229" i="5"/>
  <c r="AC227" i="5"/>
  <c r="AD225" i="5" s="1"/>
  <c r="AB260" i="5"/>
  <c r="AB269" i="5" s="1"/>
  <c r="AH208" i="5"/>
  <c r="AI206" i="5"/>
  <c r="AE245" i="20" l="1"/>
  <c r="AE247" i="20" s="1"/>
  <c r="AF241" i="20"/>
  <c r="AF242" i="20" s="1"/>
  <c r="AG240" i="20" s="1"/>
  <c r="AG241" i="20" s="1"/>
  <c r="AG245" i="20" s="1"/>
  <c r="P234" i="23"/>
  <c r="Q232" i="23" s="1"/>
  <c r="P269" i="23"/>
  <c r="P270" i="23" s="1"/>
  <c r="P271" i="23" s="1"/>
  <c r="P243" i="23"/>
  <c r="P245" i="23" s="1"/>
  <c r="P249" i="23" s="1"/>
  <c r="P251" i="23" s="1"/>
  <c r="P252" i="23" s="1"/>
  <c r="Q250" i="23" s="1"/>
  <c r="P240" i="23"/>
  <c r="Q238" i="23" s="1"/>
  <c r="O306" i="23"/>
  <c r="O342" i="23"/>
  <c r="P319" i="23"/>
  <c r="P321" i="23" s="1"/>
  <c r="Z270" i="9"/>
  <c r="AA303" i="11"/>
  <c r="AA312" i="11" s="1"/>
  <c r="BA139" i="15"/>
  <c r="BB138" i="15"/>
  <c r="BA329" i="15"/>
  <c r="BB130" i="11"/>
  <c r="BA131" i="11"/>
  <c r="BA307" i="11"/>
  <c r="AA311" i="11"/>
  <c r="AZ234" i="11"/>
  <c r="AZ238" i="11" s="1"/>
  <c r="AB265" i="11"/>
  <c r="AC263" i="11" s="1"/>
  <c r="AC264" i="11" s="1"/>
  <c r="AB268" i="11"/>
  <c r="AB271" i="11" s="1"/>
  <c r="AC293" i="11"/>
  <c r="AD252" i="11"/>
  <c r="BC136" i="15"/>
  <c r="BB323" i="15"/>
  <c r="BB128" i="11"/>
  <c r="BB301" i="11" s="1"/>
  <c r="BA289" i="11"/>
  <c r="BA294" i="11" s="1"/>
  <c r="Z284" i="9"/>
  <c r="Y298" i="9"/>
  <c r="Y307" i="9" s="1"/>
  <c r="AA263" i="9"/>
  <c r="AA264" i="9" s="1"/>
  <c r="AB262" i="9" s="1"/>
  <c r="AD240" i="9"/>
  <c r="AE238" i="9" s="1"/>
  <c r="AF237" i="9" s="1"/>
  <c r="AB314" i="18"/>
  <c r="AB316" i="18" s="1"/>
  <c r="AB317" i="18" s="1"/>
  <c r="AC270" i="18"/>
  <c r="AC272" i="18" s="1"/>
  <c r="AC273" i="18" s="1"/>
  <c r="AD271" i="18" s="1"/>
  <c r="Z303" i="20"/>
  <c r="Z305" i="20" s="1"/>
  <c r="Z306" i="20" s="1"/>
  <c r="AD253" i="20"/>
  <c r="BB124" i="20"/>
  <c r="BA125" i="20"/>
  <c r="AA269" i="20"/>
  <c r="AA288" i="20" s="1"/>
  <c r="AA291" i="20" s="1"/>
  <c r="AA265" i="20"/>
  <c r="AA266" i="20" s="1"/>
  <c r="AB264" i="20" s="1"/>
  <c r="AA260" i="20"/>
  <c r="AB258" i="20" s="1"/>
  <c r="BC122" i="20"/>
  <c r="AD266" i="18"/>
  <c r="AE260" i="18"/>
  <c r="AF254" i="18"/>
  <c r="AJ248" i="18"/>
  <c r="AA258" i="9"/>
  <c r="AB256" i="9" s="1"/>
  <c r="AB257" i="9" s="1"/>
  <c r="AB261" i="9" s="1"/>
  <c r="AD243" i="9"/>
  <c r="AD245" i="9" s="1"/>
  <c r="Z303" i="11"/>
  <c r="Z312" i="11" s="1"/>
  <c r="AH244" i="11"/>
  <c r="AC259" i="11"/>
  <c r="AG246" i="11"/>
  <c r="AH241" i="11"/>
  <c r="AI239" i="11" s="1"/>
  <c r="Z235" i="10"/>
  <c r="Z263" i="10"/>
  <c r="Z265" i="10" s="1"/>
  <c r="Z266" i="10" s="1"/>
  <c r="Z257" i="10"/>
  <c r="Z259" i="10" s="1"/>
  <c r="Z251" i="10"/>
  <c r="AA232" i="10"/>
  <c r="AA234" i="10" s="1"/>
  <c r="AA246" i="10"/>
  <c r="AA248" i="10" s="1"/>
  <c r="AA250" i="10" s="1"/>
  <c r="AA227" i="10"/>
  <c r="AB225" i="10" s="1"/>
  <c r="AB226" i="10" s="1"/>
  <c r="AB229" i="10" s="1"/>
  <c r="AC220" i="10"/>
  <c r="AD218" i="10"/>
  <c r="AF206" i="10"/>
  <c r="AE208" i="10"/>
  <c r="AA254" i="8"/>
  <c r="AA256" i="8" s="1"/>
  <c r="AA257" i="8" s="1"/>
  <c r="AA226" i="8"/>
  <c r="AK203" i="8"/>
  <c r="AB217" i="8"/>
  <c r="AB220" i="8" s="1"/>
  <c r="AE211" i="8"/>
  <c r="AE215" i="8" s="1"/>
  <c r="AD226" i="5"/>
  <c r="AD229" i="5" s="1"/>
  <c r="AK200" i="8"/>
  <c r="AL198" i="8" s="1"/>
  <c r="AJ205" i="8"/>
  <c r="AF214" i="5"/>
  <c r="AF215" i="5" s="1"/>
  <c r="AG213" i="5" s="1"/>
  <c r="AG214" i="5" s="1"/>
  <c r="AG215" i="5" s="1"/>
  <c r="AH213" i="5" s="1"/>
  <c r="AE218" i="5"/>
  <c r="AE220" i="5" s="1"/>
  <c r="AE221" i="5" s="1"/>
  <c r="AF219" i="5" s="1"/>
  <c r="AC232" i="5"/>
  <c r="AC246" i="5"/>
  <c r="AC248" i="5" s="1"/>
  <c r="AH209" i="5"/>
  <c r="AI207" i="5" s="1"/>
  <c r="AH239" i="20" l="1"/>
  <c r="AF245" i="20"/>
  <c r="AG242" i="20"/>
  <c r="AH240" i="20" s="1"/>
  <c r="AD257" i="20"/>
  <c r="AE251" i="20"/>
  <c r="P255" i="23"/>
  <c r="P257" i="23" s="1"/>
  <c r="P260" i="23" s="1"/>
  <c r="P302" i="23" s="1"/>
  <c r="P328" i="23" s="1"/>
  <c r="P330" i="23" s="1"/>
  <c r="P246" i="23"/>
  <c r="Q244" i="23" s="1"/>
  <c r="P281" i="23"/>
  <c r="P287" i="23"/>
  <c r="O343" i="23"/>
  <c r="O346" i="23" s="1"/>
  <c r="O345" i="23"/>
  <c r="P274" i="23"/>
  <c r="P276" i="23" s="1"/>
  <c r="P277" i="23" s="1"/>
  <c r="Z272" i="9"/>
  <c r="Z273" i="9" s="1"/>
  <c r="BB139" i="15"/>
  <c r="BC138" i="15"/>
  <c r="BB329" i="15"/>
  <c r="BC130" i="11"/>
  <c r="BB131" i="11"/>
  <c r="BB307" i="11"/>
  <c r="BA234" i="11"/>
  <c r="BA238" i="11" s="1"/>
  <c r="AC265" i="11"/>
  <c r="AD263" i="11" s="1"/>
  <c r="AC268" i="11"/>
  <c r="AC271" i="11" s="1"/>
  <c r="AC277" i="11" s="1"/>
  <c r="AC278" i="11" s="1"/>
  <c r="AD273" i="11"/>
  <c r="AD275" i="11" s="1"/>
  <c r="AD256" i="11"/>
  <c r="AD253" i="11"/>
  <c r="AE251" i="11" s="1"/>
  <c r="BC128" i="11"/>
  <c r="BC301" i="11" s="1"/>
  <c r="BB289" i="11"/>
  <c r="BB294" i="11" s="1"/>
  <c r="BD136" i="15"/>
  <c r="BC323" i="15"/>
  <c r="Z286" i="9"/>
  <c r="AB263" i="9"/>
  <c r="Z301" i="9"/>
  <c r="Z303" i="9" s="1"/>
  <c r="Z304" i="9" s="1"/>
  <c r="AA267" i="9"/>
  <c r="AD270" i="18"/>
  <c r="AD272" i="18" s="1"/>
  <c r="AD273" i="18" s="1"/>
  <c r="AE271" i="18" s="1"/>
  <c r="AC276" i="18"/>
  <c r="AC279" i="18" s="1"/>
  <c r="AC285" i="18" s="1"/>
  <c r="AC286" i="18" s="1"/>
  <c r="AD267" i="18"/>
  <c r="AE265" i="18" s="1"/>
  <c r="AD254" i="20"/>
  <c r="AE252" i="20" s="1"/>
  <c r="AA272" i="20"/>
  <c r="AA274" i="20" s="1"/>
  <c r="AA275" i="20" s="1"/>
  <c r="BC124" i="20"/>
  <c r="BB125" i="20"/>
  <c r="AB259" i="20"/>
  <c r="AB263" i="20" s="1"/>
  <c r="AE248" i="20"/>
  <c r="AF246" i="20" s="1"/>
  <c r="BD122" i="20"/>
  <c r="AE281" i="18"/>
  <c r="AE283" i="18" s="1"/>
  <c r="AE264" i="18"/>
  <c r="AF255" i="18"/>
  <c r="AG253" i="18" s="1"/>
  <c r="AG254" i="18" s="1"/>
  <c r="AF258" i="18"/>
  <c r="AJ249" i="18"/>
  <c r="AK247" i="18" s="1"/>
  <c r="AK248" i="18" s="1"/>
  <c r="AJ252" i="18"/>
  <c r="AE261" i="18"/>
  <c r="AF259" i="18" s="1"/>
  <c r="AB258" i="9"/>
  <c r="AC256" i="9" s="1"/>
  <c r="AC255" i="9"/>
  <c r="AD249" i="9"/>
  <c r="AD251" i="9" s="1"/>
  <c r="AD257" i="11"/>
  <c r="AB277" i="11"/>
  <c r="AB278" i="11" s="1"/>
  <c r="AB300" i="11"/>
  <c r="AB302" i="11" s="1"/>
  <c r="AB306" i="11"/>
  <c r="AB308" i="11" s="1"/>
  <c r="AB309" i="11" s="1"/>
  <c r="AG250" i="11"/>
  <c r="AI240" i="11"/>
  <c r="AG247" i="11"/>
  <c r="AH245" i="11" s="1"/>
  <c r="Z268" i="10"/>
  <c r="AA263" i="10"/>
  <c r="AA265" i="10" s="1"/>
  <c r="AA266" i="10" s="1"/>
  <c r="AA257" i="10"/>
  <c r="AA259" i="10" s="1"/>
  <c r="AA251" i="10"/>
  <c r="AA235" i="10"/>
  <c r="AB232" i="10"/>
  <c r="AB234" i="10" s="1"/>
  <c r="AB246" i="10"/>
  <c r="AB248" i="10" s="1"/>
  <c r="AB250" i="10" s="1"/>
  <c r="Z260" i="10"/>
  <c r="Z269" i="10" s="1"/>
  <c r="AC224" i="10"/>
  <c r="AC221" i="10"/>
  <c r="AD219" i="10" s="1"/>
  <c r="AD220" i="10" s="1"/>
  <c r="AB227" i="10"/>
  <c r="AC225" i="10" s="1"/>
  <c r="AE209" i="10"/>
  <c r="AF207" i="10" s="1"/>
  <c r="AG206" i="10" s="1"/>
  <c r="AE212" i="10"/>
  <c r="AE214" i="10" s="1"/>
  <c r="AE215" i="10" s="1"/>
  <c r="AF213" i="10" s="1"/>
  <c r="AD246" i="9"/>
  <c r="AE244" i="9" s="1"/>
  <c r="AE239" i="9"/>
  <c r="AD232" i="5"/>
  <c r="AB223" i="8"/>
  <c r="AJ206" i="8"/>
  <c r="AK204" i="8" s="1"/>
  <c r="AK205" i="8" s="1"/>
  <c r="AJ209" i="8"/>
  <c r="AB218" i="8"/>
  <c r="AC216" i="8" s="1"/>
  <c r="AC217" i="8" s="1"/>
  <c r="AC220" i="8" s="1"/>
  <c r="AD246" i="5"/>
  <c r="AD248" i="5" s="1"/>
  <c r="AE212" i="8"/>
  <c r="AF210" i="8" s="1"/>
  <c r="AF211" i="8" s="1"/>
  <c r="AF215" i="8" s="1"/>
  <c r="AD227" i="5"/>
  <c r="AE225" i="5" s="1"/>
  <c r="AC250" i="5"/>
  <c r="AL199" i="8"/>
  <c r="AF218" i="5"/>
  <c r="AF220" i="5" s="1"/>
  <c r="AF221" i="5" s="1"/>
  <c r="AG219" i="5" s="1"/>
  <c r="AH212" i="5"/>
  <c r="AH214" i="5" s="1"/>
  <c r="AH215" i="5" s="1"/>
  <c r="AI213" i="5" s="1"/>
  <c r="AE224" i="5"/>
  <c r="AC234" i="5"/>
  <c r="AC235" i="5" s="1"/>
  <c r="AC263" i="5"/>
  <c r="AC265" i="5" s="1"/>
  <c r="AC266" i="5" s="1"/>
  <c r="AC257" i="5"/>
  <c r="AJ206" i="5"/>
  <c r="AI208" i="5"/>
  <c r="AI212" i="5" s="1"/>
  <c r="AG218" i="5"/>
  <c r="AI239" i="20" l="1"/>
  <c r="AH241" i="20"/>
  <c r="P293" i="23"/>
  <c r="P258" i="23"/>
  <c r="Q256" i="23" s="1"/>
  <c r="P317" i="23"/>
  <c r="P331" i="23"/>
  <c r="P280" i="23"/>
  <c r="P282" i="23" s="1"/>
  <c r="Z288" i="9"/>
  <c r="Z289" i="9" s="1"/>
  <c r="AA270" i="9"/>
  <c r="AA301" i="9" s="1"/>
  <c r="AA303" i="9" s="1"/>
  <c r="AA304" i="9" s="1"/>
  <c r="BC139" i="15"/>
  <c r="BD138" i="15"/>
  <c r="BC329" i="15"/>
  <c r="BD130" i="11"/>
  <c r="BC131" i="11"/>
  <c r="BC307" i="11"/>
  <c r="AC300" i="11"/>
  <c r="AC302" i="11" s="1"/>
  <c r="AD258" i="11"/>
  <c r="AD262" i="11" s="1"/>
  <c r="AD264" i="11" s="1"/>
  <c r="AC306" i="11"/>
  <c r="AC308" i="11" s="1"/>
  <c r="BB234" i="11"/>
  <c r="BB238" i="11" s="1"/>
  <c r="AE252" i="11"/>
  <c r="Z295" i="9"/>
  <c r="Z297" i="9" s="1"/>
  <c r="Z306" i="9" s="1"/>
  <c r="BD128" i="11"/>
  <c r="BD301" i="11" s="1"/>
  <c r="BC289" i="11"/>
  <c r="BC294" i="11" s="1"/>
  <c r="BE136" i="15"/>
  <c r="BD323" i="15"/>
  <c r="AB264" i="9"/>
  <c r="AC262" i="9" s="1"/>
  <c r="AB267" i="9"/>
  <c r="AA284" i="9"/>
  <c r="AA286" i="9" s="1"/>
  <c r="AC314" i="18"/>
  <c r="AC316" i="18" s="1"/>
  <c r="AC317" i="18" s="1"/>
  <c r="AD276" i="18"/>
  <c r="AD279" i="18" s="1"/>
  <c r="AD285" i="18" s="1"/>
  <c r="AD286" i="18" s="1"/>
  <c r="AE266" i="18"/>
  <c r="AE267" i="18" s="1"/>
  <c r="AF265" i="18" s="1"/>
  <c r="AE253" i="20"/>
  <c r="AA303" i="20"/>
  <c r="AA305" i="20" s="1"/>
  <c r="AA306" i="20" s="1"/>
  <c r="BD124" i="20"/>
  <c r="BC125" i="20"/>
  <c r="AB260" i="20"/>
  <c r="AC258" i="20" s="1"/>
  <c r="AB269" i="20"/>
  <c r="AB288" i="20" s="1"/>
  <c r="AB291" i="20" s="1"/>
  <c r="AB265" i="20"/>
  <c r="AB266" i="20" s="1"/>
  <c r="AC264" i="20" s="1"/>
  <c r="AF247" i="20"/>
  <c r="BE122" i="20"/>
  <c r="AG258" i="18"/>
  <c r="AK252" i="18"/>
  <c r="AF260" i="18"/>
  <c r="AK249" i="18"/>
  <c r="AL247" i="18" s="1"/>
  <c r="AG255" i="18"/>
  <c r="AH253" i="18" s="1"/>
  <c r="AD255" i="9"/>
  <c r="AC257" i="9"/>
  <c r="AC261" i="9" s="1"/>
  <c r="AD252" i="9"/>
  <c r="AE250" i="9" s="1"/>
  <c r="AE243" i="9"/>
  <c r="AE245" i="9" s="1"/>
  <c r="AB303" i="11"/>
  <c r="AB312" i="11" s="1"/>
  <c r="AB311" i="11"/>
  <c r="AI241" i="11"/>
  <c r="AJ239" i="11" s="1"/>
  <c r="AJ240" i="11" s="1"/>
  <c r="AI244" i="11"/>
  <c r="AH246" i="11"/>
  <c r="AA268" i="10"/>
  <c r="AB263" i="10"/>
  <c r="AB265" i="10" s="1"/>
  <c r="AB266" i="10" s="1"/>
  <c r="AB257" i="10"/>
  <c r="AB259" i="10" s="1"/>
  <c r="AB260" i="10" s="1"/>
  <c r="AB235" i="10"/>
  <c r="AB251" i="10"/>
  <c r="AA260" i="10"/>
  <c r="AA269" i="10" s="1"/>
  <c r="AC226" i="10"/>
  <c r="AC229" i="10" s="1"/>
  <c r="AD221" i="10"/>
  <c r="AE219" i="10" s="1"/>
  <c r="AD224" i="10"/>
  <c r="AF208" i="10"/>
  <c r="AF212" i="10" s="1"/>
  <c r="AF214" i="10" s="1"/>
  <c r="AE218" i="10"/>
  <c r="AE240" i="9"/>
  <c r="AF238" i="9" s="1"/>
  <c r="AD263" i="5"/>
  <c r="AD265" i="5" s="1"/>
  <c r="AD266" i="5" s="1"/>
  <c r="AD234" i="5"/>
  <c r="AD235" i="5" s="1"/>
  <c r="AB254" i="8"/>
  <c r="AB256" i="8" s="1"/>
  <c r="AB257" i="8" s="1"/>
  <c r="AB225" i="8"/>
  <c r="AB226" i="8" s="1"/>
  <c r="AC223" i="8"/>
  <c r="AC225" i="8" s="1"/>
  <c r="AK209" i="8"/>
  <c r="AD250" i="5"/>
  <c r="AL203" i="8"/>
  <c r="AD257" i="5"/>
  <c r="AD259" i="5" s="1"/>
  <c r="AE226" i="5"/>
  <c r="AE227" i="5" s="1"/>
  <c r="AF225" i="5" s="1"/>
  <c r="AF212" i="8"/>
  <c r="AG210" i="8" s="1"/>
  <c r="AC218" i="8"/>
  <c r="AD216" i="8" s="1"/>
  <c r="AK206" i="8"/>
  <c r="AL204" i="8" s="1"/>
  <c r="AL200" i="8"/>
  <c r="AM198" i="8" s="1"/>
  <c r="AG220" i="5"/>
  <c r="AG221" i="5" s="1"/>
  <c r="AH219" i="5" s="1"/>
  <c r="AF224" i="5"/>
  <c r="AC259" i="5"/>
  <c r="AC268" i="5" s="1"/>
  <c r="AI214" i="5"/>
  <c r="AI209" i="5"/>
  <c r="AJ207" i="5" s="1"/>
  <c r="AH218" i="5"/>
  <c r="AH242" i="20" l="1"/>
  <c r="AI240" i="20" s="1"/>
  <c r="AH245" i="20"/>
  <c r="AE254" i="20"/>
  <c r="AF252" i="20" s="1"/>
  <c r="AE257" i="20"/>
  <c r="AF251" i="20"/>
  <c r="P286" i="23"/>
  <c r="P288" i="23" s="1"/>
  <c r="P292" i="23"/>
  <c r="P294" i="23" s="1"/>
  <c r="P283" i="23"/>
  <c r="AB270" i="9"/>
  <c r="AD259" i="11"/>
  <c r="AE257" i="11" s="1"/>
  <c r="BD139" i="15"/>
  <c r="BE138" i="15"/>
  <c r="BD329" i="15"/>
  <c r="BE130" i="11"/>
  <c r="BD131" i="11"/>
  <c r="BD307" i="11"/>
  <c r="AC303" i="11"/>
  <c r="AC311" i="11"/>
  <c r="BC234" i="11"/>
  <c r="BC238" i="11" s="1"/>
  <c r="AD265" i="11"/>
  <c r="AE263" i="11" s="1"/>
  <c r="AD268" i="11"/>
  <c r="AD271" i="11" s="1"/>
  <c r="Z298" i="9"/>
  <c r="Z307" i="9" s="1"/>
  <c r="AE253" i="11"/>
  <c r="AF251" i="11" s="1"/>
  <c r="AE273" i="11"/>
  <c r="AE275" i="11" s="1"/>
  <c r="AE256" i="11"/>
  <c r="BF136" i="15"/>
  <c r="BE323" i="15"/>
  <c r="BE128" i="11"/>
  <c r="BE301" i="11" s="1"/>
  <c r="BD289" i="11"/>
  <c r="BD294" i="11" s="1"/>
  <c r="AA272" i="9"/>
  <c r="AA273" i="9" s="1"/>
  <c r="AA295" i="9"/>
  <c r="AB284" i="9"/>
  <c r="AB286" i="9" s="1"/>
  <c r="AA288" i="9"/>
  <c r="AA289" i="9" s="1"/>
  <c r="AC263" i="9"/>
  <c r="AC264" i="9" s="1"/>
  <c r="AD262" i="9" s="1"/>
  <c r="AE246" i="9"/>
  <c r="AF244" i="9" s="1"/>
  <c r="AE270" i="18"/>
  <c r="AE272" i="18" s="1"/>
  <c r="AE273" i="18" s="1"/>
  <c r="AF271" i="18" s="1"/>
  <c r="AB272" i="20"/>
  <c r="AB274" i="20" s="1"/>
  <c r="AB275" i="20" s="1"/>
  <c r="BE124" i="20"/>
  <c r="BD125" i="20"/>
  <c r="AC259" i="20"/>
  <c r="AC263" i="20" s="1"/>
  <c r="AF248" i="20"/>
  <c r="AG246" i="20" s="1"/>
  <c r="BF122" i="20"/>
  <c r="AD314" i="18"/>
  <c r="AD316" i="18" s="1"/>
  <c r="AD317" i="18" s="1"/>
  <c r="AF281" i="18"/>
  <c r="AF283" i="18" s="1"/>
  <c r="AF264" i="18"/>
  <c r="AF266" i="18" s="1"/>
  <c r="AL248" i="18"/>
  <c r="AH254" i="18"/>
  <c r="AF261" i="18"/>
  <c r="AG259" i="18" s="1"/>
  <c r="AD293" i="11"/>
  <c r="AC258" i="9"/>
  <c r="AD256" i="9" s="1"/>
  <c r="AD257" i="9" s="1"/>
  <c r="AD261" i="9" s="1"/>
  <c r="AE249" i="9"/>
  <c r="AE251" i="9" s="1"/>
  <c r="AE252" i="9" s="1"/>
  <c r="AF250" i="9" s="1"/>
  <c r="AF239" i="9"/>
  <c r="AG237" i="9"/>
  <c r="AH247" i="11"/>
  <c r="AI245" i="11" s="1"/>
  <c r="AI246" i="11" s="1"/>
  <c r="AH250" i="11"/>
  <c r="AJ241" i="11"/>
  <c r="AK239" i="11" s="1"/>
  <c r="AK240" i="11" s="1"/>
  <c r="AJ244" i="11"/>
  <c r="AC309" i="11"/>
  <c r="AC232" i="10"/>
  <c r="AC234" i="10" s="1"/>
  <c r="AC246" i="10"/>
  <c r="AC248" i="10" s="1"/>
  <c r="AC250" i="10" s="1"/>
  <c r="AF218" i="10"/>
  <c r="AB268" i="10"/>
  <c r="AB269" i="10"/>
  <c r="AE220" i="10"/>
  <c r="AE221" i="10" s="1"/>
  <c r="AF219" i="10" s="1"/>
  <c r="AC227" i="10"/>
  <c r="AD225" i="10" s="1"/>
  <c r="AF209" i="10"/>
  <c r="AG207" i="10" s="1"/>
  <c r="AG208" i="10" s="1"/>
  <c r="AF215" i="10"/>
  <c r="AG213" i="10" s="1"/>
  <c r="AD268" i="5"/>
  <c r="AC226" i="8"/>
  <c r="AC254" i="8"/>
  <c r="AC256" i="8" s="1"/>
  <c r="AC257" i="8" s="1"/>
  <c r="AD260" i="5"/>
  <c r="AD269" i="5" s="1"/>
  <c r="AF226" i="5"/>
  <c r="AF229" i="5" s="1"/>
  <c r="AG211" i="8"/>
  <c r="AE229" i="5"/>
  <c r="AD217" i="8"/>
  <c r="AD220" i="8" s="1"/>
  <c r="AM199" i="8"/>
  <c r="AL205" i="8"/>
  <c r="AG224" i="5"/>
  <c r="AC260" i="5"/>
  <c r="AC269" i="5" s="1"/>
  <c r="AI218" i="5"/>
  <c r="AI215" i="5"/>
  <c r="AJ213" i="5" s="1"/>
  <c r="AK206" i="5"/>
  <c r="AJ208" i="5"/>
  <c r="AJ209" i="5" s="1"/>
  <c r="AK207" i="5" s="1"/>
  <c r="AH220" i="5"/>
  <c r="AI241" i="20" l="1"/>
  <c r="AI245" i="20" s="1"/>
  <c r="AJ239" i="20"/>
  <c r="AF253" i="20"/>
  <c r="AF254" i="20" s="1"/>
  <c r="AG252" i="20" s="1"/>
  <c r="P295" i="23"/>
  <c r="Q203" i="23"/>
  <c r="Q311" i="23" s="1"/>
  <c r="P297" i="23"/>
  <c r="P289" i="23"/>
  <c r="AE258" i="11"/>
  <c r="AE262" i="11" s="1"/>
  <c r="AE264" i="11" s="1"/>
  <c r="AC312" i="11"/>
  <c r="BE139" i="15"/>
  <c r="BF138" i="15"/>
  <c r="BE329" i="15"/>
  <c r="BF130" i="11"/>
  <c r="BE131" i="11"/>
  <c r="BE307" i="11"/>
  <c r="BD234" i="11"/>
  <c r="BD238" i="11" s="1"/>
  <c r="AF252" i="11"/>
  <c r="BF128" i="11"/>
  <c r="BF301" i="11" s="1"/>
  <c r="BE289" i="11"/>
  <c r="BE294" i="11" s="1"/>
  <c r="BG136" i="15"/>
  <c r="BF323" i="15"/>
  <c r="AC267" i="9"/>
  <c r="AD263" i="9"/>
  <c r="AD264" i="9" s="1"/>
  <c r="AE262" i="9" s="1"/>
  <c r="AB272" i="9"/>
  <c r="AB273" i="9" s="1"/>
  <c r="AB295" i="9"/>
  <c r="AB301" i="9"/>
  <c r="AB303" i="9" s="1"/>
  <c r="AB304" i="9" s="1"/>
  <c r="AA297" i="9"/>
  <c r="AA306" i="9" s="1"/>
  <c r="AB288" i="9"/>
  <c r="AB289" i="9" s="1"/>
  <c r="AF240" i="9"/>
  <c r="AG238" i="9" s="1"/>
  <c r="AH237" i="9" s="1"/>
  <c r="AE276" i="18"/>
  <c r="AE279" i="18" s="1"/>
  <c r="AE285" i="18" s="1"/>
  <c r="AE286" i="18" s="1"/>
  <c r="AF270" i="18"/>
  <c r="AF272" i="18" s="1"/>
  <c r="AF273" i="18" s="1"/>
  <c r="AG271" i="18" s="1"/>
  <c r="AC265" i="20"/>
  <c r="AC266" i="20" s="1"/>
  <c r="AD264" i="20" s="1"/>
  <c r="AB303" i="20"/>
  <c r="AB305" i="20" s="1"/>
  <c r="AB306" i="20" s="1"/>
  <c r="AC260" i="20"/>
  <c r="AD258" i="20" s="1"/>
  <c r="BF124" i="20"/>
  <c r="BE125" i="20"/>
  <c r="AC269" i="20"/>
  <c r="AC288" i="20" s="1"/>
  <c r="AC291" i="20" s="1"/>
  <c r="AG247" i="20"/>
  <c r="BG122" i="20"/>
  <c r="AF267" i="18"/>
  <c r="AG265" i="18" s="1"/>
  <c r="AH258" i="18"/>
  <c r="AL249" i="18"/>
  <c r="AM247" i="18" s="1"/>
  <c r="AM248" i="18" s="1"/>
  <c r="AL252" i="18"/>
  <c r="AG260" i="18"/>
  <c r="AH255" i="18"/>
  <c r="AI253" i="18" s="1"/>
  <c r="AE255" i="9"/>
  <c r="AF243" i="9"/>
  <c r="AF245" i="9" s="1"/>
  <c r="AD306" i="11"/>
  <c r="AD308" i="11" s="1"/>
  <c r="AD309" i="11" s="1"/>
  <c r="AD300" i="11"/>
  <c r="AD277" i="11"/>
  <c r="AD278" i="11" s="1"/>
  <c r="AI250" i="11"/>
  <c r="AK241" i="11"/>
  <c r="AL239" i="11" s="1"/>
  <c r="AL240" i="11" s="1"/>
  <c r="AK244" i="11"/>
  <c r="AI247" i="11"/>
  <c r="AJ245" i="11" s="1"/>
  <c r="AC263" i="10"/>
  <c r="AC265" i="10" s="1"/>
  <c r="AC266" i="10" s="1"/>
  <c r="AC257" i="10"/>
  <c r="AC259" i="10" s="1"/>
  <c r="AC235" i="10"/>
  <c r="AE224" i="10"/>
  <c r="AC251" i="10"/>
  <c r="AH206" i="10"/>
  <c r="AD226" i="10"/>
  <c r="AD229" i="10" s="1"/>
  <c r="AG209" i="10"/>
  <c r="AH207" i="10" s="1"/>
  <c r="AI206" i="10" s="1"/>
  <c r="AF220" i="10"/>
  <c r="AG212" i="10"/>
  <c r="AG214" i="10" s="1"/>
  <c r="AG218" i="10" s="1"/>
  <c r="AD258" i="9"/>
  <c r="AE256" i="9" s="1"/>
  <c r="AE232" i="5"/>
  <c r="AF232" i="5"/>
  <c r="AD223" i="8"/>
  <c r="AD225" i="8" s="1"/>
  <c r="AL209" i="8"/>
  <c r="AG212" i="8"/>
  <c r="AH210" i="8" s="1"/>
  <c r="AH211" i="8" s="1"/>
  <c r="AH215" i="8" s="1"/>
  <c r="AG215" i="8"/>
  <c r="AM200" i="8"/>
  <c r="AN198" i="8" s="1"/>
  <c r="AN199" i="8" s="1"/>
  <c r="AM203" i="8"/>
  <c r="AF246" i="5"/>
  <c r="AF248" i="5" s="1"/>
  <c r="AF227" i="5"/>
  <c r="AG225" i="5" s="1"/>
  <c r="AG226" i="5" s="1"/>
  <c r="AE246" i="5"/>
  <c r="AE248" i="5" s="1"/>
  <c r="AD218" i="8"/>
  <c r="AE216" i="8" s="1"/>
  <c r="AL206" i="8"/>
  <c r="AM204" i="8" s="1"/>
  <c r="AH221" i="5"/>
  <c r="AL206" i="5"/>
  <c r="AK208" i="5"/>
  <c r="AJ212" i="5"/>
  <c r="AJ214" i="5" s="1"/>
  <c r="AF257" i="20" l="1"/>
  <c r="AI242" i="20"/>
  <c r="AJ240" i="20" s="1"/>
  <c r="AG251" i="20"/>
  <c r="AG253" i="20" s="1"/>
  <c r="AG257" i="20" s="1"/>
  <c r="Q313" i="23"/>
  <c r="Q315" i="23"/>
  <c r="P299" i="23"/>
  <c r="P322" i="23" s="1"/>
  <c r="P303" i="23"/>
  <c r="P334" i="23" s="1"/>
  <c r="P336" i="23" s="1"/>
  <c r="Q262" i="23"/>
  <c r="Q264" i="23" s="1"/>
  <c r="Q225" i="23"/>
  <c r="Q227" i="23" s="1"/>
  <c r="AE259" i="11"/>
  <c r="AF257" i="11" s="1"/>
  <c r="BF139" i="15"/>
  <c r="BG138" i="15"/>
  <c r="BF329" i="15"/>
  <c r="BG130" i="11"/>
  <c r="BF131" i="11"/>
  <c r="BF307" i="11"/>
  <c r="BE234" i="11"/>
  <c r="BE238" i="11" s="1"/>
  <c r="AE265" i="11"/>
  <c r="AF263" i="11" s="1"/>
  <c r="AE268" i="11"/>
  <c r="AE271" i="11" s="1"/>
  <c r="AF253" i="11"/>
  <c r="AG251" i="11" s="1"/>
  <c r="AG252" i="11" s="1"/>
  <c r="AF273" i="11"/>
  <c r="AF275" i="11" s="1"/>
  <c r="AF256" i="11"/>
  <c r="AE293" i="11"/>
  <c r="BG128" i="11"/>
  <c r="BG301" i="11" s="1"/>
  <c r="BF289" i="11"/>
  <c r="BF294" i="11" s="1"/>
  <c r="BH136" i="15"/>
  <c r="BG323" i="15"/>
  <c r="AC270" i="9"/>
  <c r="AC284" i="9"/>
  <c r="AA298" i="9"/>
  <c r="AA307" i="9" s="1"/>
  <c r="AD267" i="9"/>
  <c r="AB297" i="9"/>
  <c r="AB306" i="9" s="1"/>
  <c r="AF249" i="9"/>
  <c r="AF251" i="9" s="1"/>
  <c r="AF252" i="9" s="1"/>
  <c r="AG250" i="9" s="1"/>
  <c r="AE314" i="18"/>
  <c r="AE316" i="18" s="1"/>
  <c r="AE317" i="18" s="1"/>
  <c r="AF276" i="18"/>
  <c r="AF279" i="18" s="1"/>
  <c r="AF285" i="18" s="1"/>
  <c r="AF286" i="18" s="1"/>
  <c r="AD259" i="20"/>
  <c r="AC272" i="20"/>
  <c r="AC274" i="20" s="1"/>
  <c r="AC275" i="20" s="1"/>
  <c r="BG124" i="20"/>
  <c r="BF125" i="20"/>
  <c r="AG248" i="20"/>
  <c r="AH246" i="20" s="1"/>
  <c r="BH122" i="20"/>
  <c r="AG281" i="18"/>
  <c r="AG283" i="18" s="1"/>
  <c r="AG264" i="18"/>
  <c r="AG266" i="18" s="1"/>
  <c r="AM249" i="18"/>
  <c r="AN247" i="18" s="1"/>
  <c r="AN248" i="18" s="1"/>
  <c r="AM252" i="18"/>
  <c r="AG261" i="18"/>
  <c r="AH259" i="18" s="1"/>
  <c r="AI254" i="18"/>
  <c r="AF246" i="9"/>
  <c r="AG244" i="9" s="1"/>
  <c r="AD302" i="11"/>
  <c r="AD311" i="11" s="1"/>
  <c r="AL244" i="11"/>
  <c r="AJ246" i="11"/>
  <c r="AL241" i="11"/>
  <c r="AM239" i="11" s="1"/>
  <c r="AC268" i="10"/>
  <c r="AC260" i="10"/>
  <c r="AC269" i="10" s="1"/>
  <c r="AD232" i="10"/>
  <c r="AD234" i="10" s="1"/>
  <c r="AD246" i="10"/>
  <c r="AD248" i="10" s="1"/>
  <c r="AD250" i="10" s="1"/>
  <c r="AD227" i="10"/>
  <c r="AE225" i="10" s="1"/>
  <c r="AF224" i="10" s="1"/>
  <c r="AH208" i="10"/>
  <c r="AH209" i="10" s="1"/>
  <c r="AI207" i="10" s="1"/>
  <c r="AF221" i="10"/>
  <c r="AG215" i="10"/>
  <c r="AH213" i="10" s="1"/>
  <c r="AE234" i="5"/>
  <c r="AE235" i="5" s="1"/>
  <c r="AE257" i="9"/>
  <c r="AE261" i="9" s="1"/>
  <c r="AG239" i="9"/>
  <c r="AF263" i="5"/>
  <c r="AF265" i="5" s="1"/>
  <c r="AF266" i="5" s="1"/>
  <c r="AF234" i="5"/>
  <c r="AF235" i="5" s="1"/>
  <c r="AE263" i="5"/>
  <c r="AE265" i="5" s="1"/>
  <c r="AE266" i="5" s="1"/>
  <c r="AH212" i="8"/>
  <c r="AI210" i="8" s="1"/>
  <c r="AI211" i="8" s="1"/>
  <c r="AI215" i="8" s="1"/>
  <c r="AD226" i="8"/>
  <c r="AD254" i="8"/>
  <c r="AD256" i="8" s="1"/>
  <c r="AD257" i="8" s="1"/>
  <c r="AF257" i="5"/>
  <c r="AF259" i="5" s="1"/>
  <c r="AF250" i="5"/>
  <c r="AN200" i="8"/>
  <c r="AO198" i="8" s="1"/>
  <c r="AO199" i="8" s="1"/>
  <c r="AN203" i="8"/>
  <c r="AE250" i="5"/>
  <c r="AE257" i="5"/>
  <c r="AE259" i="5" s="1"/>
  <c r="AE217" i="8"/>
  <c r="AE220" i="8" s="1"/>
  <c r="AM205" i="8"/>
  <c r="AH224" i="5"/>
  <c r="AG229" i="5"/>
  <c r="AG227" i="5"/>
  <c r="AH225" i="5" s="1"/>
  <c r="AI219" i="5"/>
  <c r="AI220" i="5" s="1"/>
  <c r="AJ215" i="5"/>
  <c r="AK213" i="5" s="1"/>
  <c r="AK212" i="5"/>
  <c r="AK209" i="5"/>
  <c r="AL207" i="5" s="1"/>
  <c r="AK239" i="20" l="1"/>
  <c r="AJ241" i="20"/>
  <c r="AJ245" i="20" s="1"/>
  <c r="AD263" i="20"/>
  <c r="AD265" i="20" s="1"/>
  <c r="AD266" i="20" s="1"/>
  <c r="AE264" i="20" s="1"/>
  <c r="P340" i="23"/>
  <c r="P337" i="23"/>
  <c r="Q319" i="23"/>
  <c r="Q321" i="23" s="1"/>
  <c r="P305" i="23"/>
  <c r="Q231" i="23"/>
  <c r="Q233" i="23" s="1"/>
  <c r="Q237" i="23" s="1"/>
  <c r="Q239" i="23" s="1"/>
  <c r="Q268" i="23"/>
  <c r="AC272" i="9"/>
  <c r="AC273" i="9" s="1"/>
  <c r="AD284" i="9"/>
  <c r="AD286" i="9" s="1"/>
  <c r="AF258" i="11"/>
  <c r="AF293" i="11" s="1"/>
  <c r="BG139" i="15"/>
  <c r="BH138" i="15"/>
  <c r="BG329" i="15"/>
  <c r="BH130" i="11"/>
  <c r="BG131" i="11"/>
  <c r="BG307" i="11"/>
  <c r="BF234" i="11"/>
  <c r="BF238" i="11" s="1"/>
  <c r="AG253" i="11"/>
  <c r="AH251" i="11" s="1"/>
  <c r="AH252" i="11" s="1"/>
  <c r="AE300" i="11"/>
  <c r="AE302" i="11" s="1"/>
  <c r="AE306" i="11"/>
  <c r="AE308" i="11" s="1"/>
  <c r="AE277" i="11"/>
  <c r="AE278" i="11" s="1"/>
  <c r="AG273" i="11"/>
  <c r="AG275" i="11" s="1"/>
  <c r="AG256" i="11"/>
  <c r="BI136" i="15"/>
  <c r="BH323" i="15"/>
  <c r="BH128" i="11"/>
  <c r="BH301" i="11" s="1"/>
  <c r="BG289" i="11"/>
  <c r="BG294" i="11" s="1"/>
  <c r="AC301" i="9"/>
  <c r="AC303" i="9" s="1"/>
  <c r="AC304" i="9" s="1"/>
  <c r="AC286" i="9"/>
  <c r="AF255" i="9"/>
  <c r="AD270" i="9"/>
  <c r="AB298" i="9"/>
  <c r="AB307" i="9" s="1"/>
  <c r="AE263" i="9"/>
  <c r="AG270" i="18"/>
  <c r="AG272" i="18" s="1"/>
  <c r="AG273" i="18" s="1"/>
  <c r="AH271" i="18" s="1"/>
  <c r="AD269" i="20"/>
  <c r="AD288" i="20" s="1"/>
  <c r="AD291" i="20" s="1"/>
  <c r="AD260" i="20"/>
  <c r="AE258" i="20" s="1"/>
  <c r="AE259" i="20" s="1"/>
  <c r="AE263" i="20" s="1"/>
  <c r="AH247" i="20"/>
  <c r="AC303" i="20"/>
  <c r="AC305" i="20" s="1"/>
  <c r="AC306" i="20" s="1"/>
  <c r="BH124" i="20"/>
  <c r="BG125" i="20"/>
  <c r="AG254" i="20"/>
  <c r="AH252" i="20" s="1"/>
  <c r="BI122" i="20"/>
  <c r="AF314" i="18"/>
  <c r="AF316" i="18" s="1"/>
  <c r="AF317" i="18" s="1"/>
  <c r="AG267" i="18"/>
  <c r="AH265" i="18" s="1"/>
  <c r="AI258" i="18"/>
  <c r="AN249" i="18"/>
  <c r="AO247" i="18" s="1"/>
  <c r="AO248" i="18" s="1"/>
  <c r="AN252" i="18"/>
  <c r="AH260" i="18"/>
  <c r="AI255" i="18"/>
  <c r="AJ253" i="18" s="1"/>
  <c r="AG243" i="9"/>
  <c r="AG245" i="9" s="1"/>
  <c r="AD303" i="11"/>
  <c r="AD312" i="11" s="1"/>
  <c r="AJ250" i="11"/>
  <c r="AM240" i="11"/>
  <c r="AJ247" i="11"/>
  <c r="AK245" i="11" s="1"/>
  <c r="AD263" i="10"/>
  <c r="AD265" i="10" s="1"/>
  <c r="AD257" i="10"/>
  <c r="AD259" i="10" s="1"/>
  <c r="AD260" i="10" s="1"/>
  <c r="AD251" i="10"/>
  <c r="AD235" i="10"/>
  <c r="AH212" i="10"/>
  <c r="AH214" i="10" s="1"/>
  <c r="AE226" i="10"/>
  <c r="AG219" i="10"/>
  <c r="AG220" i="10" s="1"/>
  <c r="AJ206" i="10"/>
  <c r="AI208" i="10"/>
  <c r="AE258" i="9"/>
  <c r="AF256" i="9" s="1"/>
  <c r="AG240" i="9"/>
  <c r="AE268" i="5"/>
  <c r="AF268" i="5"/>
  <c r="AF260" i="5"/>
  <c r="AF269" i="5" s="1"/>
  <c r="AE223" i="8"/>
  <c r="AO203" i="8"/>
  <c r="AM206" i="8"/>
  <c r="AN204" i="8" s="1"/>
  <c r="AN205" i="8" s="1"/>
  <c r="AM209" i="8"/>
  <c r="AE260" i="5"/>
  <c r="AE269" i="5" s="1"/>
  <c r="AJ218" i="5"/>
  <c r="AE218" i="8"/>
  <c r="AF216" i="8" s="1"/>
  <c r="AI212" i="8"/>
  <c r="AJ210" i="8" s="1"/>
  <c r="AJ211" i="8" s="1"/>
  <c r="AJ215" i="8" s="1"/>
  <c r="AO200" i="8"/>
  <c r="AP198" i="8" s="1"/>
  <c r="AH226" i="5"/>
  <c r="AH229" i="5" s="1"/>
  <c r="AG246" i="5"/>
  <c r="AG248" i="5" s="1"/>
  <c r="AG232" i="5"/>
  <c r="AI221" i="5"/>
  <c r="AJ219" i="5" s="1"/>
  <c r="AI224" i="5"/>
  <c r="AK214" i="5"/>
  <c r="AK215" i="5" s="1"/>
  <c r="AL213" i="5" s="1"/>
  <c r="AL208" i="5"/>
  <c r="AL212" i="5" s="1"/>
  <c r="AM206" i="5"/>
  <c r="AJ242" i="20" l="1"/>
  <c r="AK240" i="20" s="1"/>
  <c r="AH251" i="20"/>
  <c r="AH253" i="20" s="1"/>
  <c r="AH257" i="20" s="1"/>
  <c r="AF262" i="11"/>
  <c r="AF264" i="11" s="1"/>
  <c r="AF265" i="11" s="1"/>
  <c r="AG263" i="11" s="1"/>
  <c r="P306" i="23"/>
  <c r="P342" i="23"/>
  <c r="Q243" i="23"/>
  <c r="Q245" i="23" s="1"/>
  <c r="Q249" i="23" s="1"/>
  <c r="Q251" i="23" s="1"/>
  <c r="Q275" i="23"/>
  <c r="Q240" i="23"/>
  <c r="R238" i="23" s="1"/>
  <c r="Q269" i="23"/>
  <c r="Q234" i="23"/>
  <c r="R232" i="23" s="1"/>
  <c r="AC295" i="9"/>
  <c r="AC297" i="9" s="1"/>
  <c r="AC306" i="9" s="1"/>
  <c r="AD288" i="9"/>
  <c r="AD289" i="9" s="1"/>
  <c r="AD272" i="9"/>
  <c r="AD273" i="9" s="1"/>
  <c r="AF259" i="11"/>
  <c r="AG257" i="11" s="1"/>
  <c r="AG258" i="11" s="1"/>
  <c r="AG262" i="11" s="1"/>
  <c r="BH139" i="15"/>
  <c r="BI138" i="15"/>
  <c r="BH329" i="15"/>
  <c r="BI130" i="11"/>
  <c r="BH131" i="11"/>
  <c r="BH307" i="11"/>
  <c r="BG234" i="11"/>
  <c r="BG238" i="11" s="1"/>
  <c r="AH253" i="11"/>
  <c r="AI251" i="11" s="1"/>
  <c r="AI252" i="11" s="1"/>
  <c r="AE311" i="11"/>
  <c r="AH273" i="11"/>
  <c r="AH275" i="11" s="1"/>
  <c r="AH256" i="11"/>
  <c r="AE303" i="11"/>
  <c r="BI128" i="11"/>
  <c r="BI301" i="11" s="1"/>
  <c r="BH289" i="11"/>
  <c r="BH294" i="11" s="1"/>
  <c r="BJ136" i="15"/>
  <c r="BI323" i="15"/>
  <c r="AC288" i="9"/>
  <c r="AC289" i="9" s="1"/>
  <c r="AD301" i="9"/>
  <c r="AD303" i="9" s="1"/>
  <c r="AD304" i="9" s="1"/>
  <c r="AF257" i="9"/>
  <c r="AF261" i="9" s="1"/>
  <c r="AD295" i="9"/>
  <c r="AD297" i="9" s="1"/>
  <c r="AE264" i="9"/>
  <c r="AF262" i="9" s="1"/>
  <c r="AE267" i="9"/>
  <c r="AG249" i="9"/>
  <c r="AG251" i="9" s="1"/>
  <c r="AG252" i="9" s="1"/>
  <c r="AH250" i="9" s="1"/>
  <c r="AG276" i="18"/>
  <c r="AG279" i="18" s="1"/>
  <c r="AG285" i="18" s="1"/>
  <c r="AG286" i="18" s="1"/>
  <c r="AD272" i="20"/>
  <c r="AD274" i="20" s="1"/>
  <c r="AD275" i="20" s="1"/>
  <c r="AE265" i="20"/>
  <c r="AE266" i="20" s="1"/>
  <c r="AF264" i="20" s="1"/>
  <c r="AE260" i="20"/>
  <c r="AF258" i="20" s="1"/>
  <c r="AE269" i="20"/>
  <c r="AE288" i="20" s="1"/>
  <c r="AE291" i="20" s="1"/>
  <c r="AH248" i="20"/>
  <c r="AI246" i="20" s="1"/>
  <c r="BI124" i="20"/>
  <c r="BH125" i="20"/>
  <c r="BJ122" i="20"/>
  <c r="AH281" i="18"/>
  <c r="AH283" i="18" s="1"/>
  <c r="AH264" i="18"/>
  <c r="AH266" i="18" s="1"/>
  <c r="AO252" i="18"/>
  <c r="AJ254" i="18"/>
  <c r="AH261" i="18"/>
  <c r="AI259" i="18" s="1"/>
  <c r="AO249" i="18"/>
  <c r="AP247" i="18" s="1"/>
  <c r="AG293" i="11"/>
  <c r="AM244" i="11"/>
  <c r="AE309" i="11"/>
  <c r="AM241" i="11"/>
  <c r="AN239" i="11" s="1"/>
  <c r="AK246" i="11"/>
  <c r="AD268" i="10"/>
  <c r="AD266" i="10"/>
  <c r="AD269" i="10" s="1"/>
  <c r="AE229" i="10"/>
  <c r="AE227" i="10"/>
  <c r="AG221" i="10"/>
  <c r="AH219" i="10" s="1"/>
  <c r="AH218" i="10"/>
  <c r="AI212" i="10"/>
  <c r="AH215" i="10"/>
  <c r="AI213" i="10" s="1"/>
  <c r="AI209" i="10"/>
  <c r="AJ207" i="10" s="1"/>
  <c r="AG246" i="9"/>
  <c r="AH244" i="9" s="1"/>
  <c r="AH238" i="9"/>
  <c r="AE254" i="8"/>
  <c r="AE256" i="8" s="1"/>
  <c r="AE257" i="8" s="1"/>
  <c r="AE225" i="8"/>
  <c r="AE226" i="8" s="1"/>
  <c r="AN209" i="8"/>
  <c r="AJ220" i="5"/>
  <c r="AJ221" i="5" s="1"/>
  <c r="AK219" i="5" s="1"/>
  <c r="AF217" i="8"/>
  <c r="AF220" i="8" s="1"/>
  <c r="AG234" i="5"/>
  <c r="AG235" i="5" s="1"/>
  <c r="AP199" i="8"/>
  <c r="AG250" i="5"/>
  <c r="AH246" i="5"/>
  <c r="AH248" i="5" s="1"/>
  <c r="AN206" i="8"/>
  <c r="AO204" i="8" s="1"/>
  <c r="AJ212" i="8"/>
  <c r="AK210" i="8" s="1"/>
  <c r="AH232" i="5"/>
  <c r="AH227" i="5"/>
  <c r="AI225" i="5" s="1"/>
  <c r="AI226" i="5" s="1"/>
  <c r="AG257" i="5"/>
  <c r="AG263" i="5"/>
  <c r="AG265" i="5" s="1"/>
  <c r="AG266" i="5" s="1"/>
  <c r="AL209" i="5"/>
  <c r="AM207" i="5" s="1"/>
  <c r="AL214" i="5"/>
  <c r="AK218" i="5"/>
  <c r="AL239" i="20" l="1"/>
  <c r="AK241" i="20"/>
  <c r="AK245" i="20" s="1"/>
  <c r="AF268" i="11"/>
  <c r="AF271" i="11" s="1"/>
  <c r="AF277" i="11" s="1"/>
  <c r="AF278" i="11" s="1"/>
  <c r="P343" i="23"/>
  <c r="P346" i="23" s="1"/>
  <c r="P345" i="23"/>
  <c r="Q255" i="23"/>
  <c r="Q257" i="23" s="1"/>
  <c r="Q260" i="23" s="1"/>
  <c r="Q252" i="23"/>
  <c r="R250" i="23" s="1"/>
  <c r="Q287" i="23"/>
  <c r="Q270" i="23"/>
  <c r="Q246" i="23"/>
  <c r="R244" i="23" s="1"/>
  <c r="Q281" i="23"/>
  <c r="AC298" i="9"/>
  <c r="AC307" i="9" s="1"/>
  <c r="AE270" i="9"/>
  <c r="BI139" i="15"/>
  <c r="BJ138" i="15"/>
  <c r="BI329" i="15"/>
  <c r="BJ130" i="11"/>
  <c r="BI131" i="11"/>
  <c r="BI307" i="11"/>
  <c r="AG259" i="11"/>
  <c r="AH257" i="11" s="1"/>
  <c r="AH258" i="11" s="1"/>
  <c r="AH262" i="11" s="1"/>
  <c r="BH234" i="11"/>
  <c r="BH238" i="11" s="1"/>
  <c r="AI256" i="11"/>
  <c r="AI253" i="11"/>
  <c r="AJ251" i="11" s="1"/>
  <c r="AJ252" i="11" s="1"/>
  <c r="AJ256" i="11" s="1"/>
  <c r="AI273" i="11"/>
  <c r="AI275" i="11" s="1"/>
  <c r="AG264" i="11"/>
  <c r="AE312" i="11"/>
  <c r="BJ128" i="11"/>
  <c r="BJ301" i="11" s="1"/>
  <c r="BI289" i="11"/>
  <c r="BI294" i="11" s="1"/>
  <c r="BK136" i="15"/>
  <c r="BJ323" i="15"/>
  <c r="AD298" i="9"/>
  <c r="AD307" i="9" s="1"/>
  <c r="AD306" i="9"/>
  <c r="AF258" i="9"/>
  <c r="AG256" i="9" s="1"/>
  <c r="AF263" i="9"/>
  <c r="AF264" i="9" s="1"/>
  <c r="AG262" i="9" s="1"/>
  <c r="AE284" i="9"/>
  <c r="AE286" i="9" s="1"/>
  <c r="AH270" i="18"/>
  <c r="AH272" i="18" s="1"/>
  <c r="AH273" i="18" s="1"/>
  <c r="AI271" i="18" s="1"/>
  <c r="AE272" i="20"/>
  <c r="AE274" i="20" s="1"/>
  <c r="AE275" i="20" s="1"/>
  <c r="AD303" i="20"/>
  <c r="AD305" i="20" s="1"/>
  <c r="AD306" i="20" s="1"/>
  <c r="AF259" i="20"/>
  <c r="AI247" i="20"/>
  <c r="BJ124" i="20"/>
  <c r="BI125" i="20"/>
  <c r="AH254" i="20"/>
  <c r="AI252" i="20" s="1"/>
  <c r="BK122" i="20"/>
  <c r="AG314" i="18"/>
  <c r="AG316" i="18" s="1"/>
  <c r="AG317" i="18" s="1"/>
  <c r="AH267" i="18"/>
  <c r="AI265" i="18" s="1"/>
  <c r="AJ258" i="18"/>
  <c r="AP248" i="18"/>
  <c r="AJ255" i="18"/>
  <c r="AK253" i="18" s="1"/>
  <c r="AI260" i="18"/>
  <c r="AG255" i="9"/>
  <c r="AH239" i="9"/>
  <c r="AI237" i="9"/>
  <c r="AK247" i="11"/>
  <c r="AL245" i="11" s="1"/>
  <c r="AL246" i="11" s="1"/>
  <c r="AK250" i="11"/>
  <c r="AN240" i="11"/>
  <c r="AE232" i="10"/>
  <c r="AE234" i="10" s="1"/>
  <c r="AE246" i="10"/>
  <c r="AE248" i="10" s="1"/>
  <c r="AE250" i="10" s="1"/>
  <c r="AF225" i="10"/>
  <c r="AH220" i="10"/>
  <c r="AH221" i="10" s="1"/>
  <c r="AI219" i="10" s="1"/>
  <c r="AK206" i="10"/>
  <c r="AJ208" i="10"/>
  <c r="AI214" i="10"/>
  <c r="AL218" i="5"/>
  <c r="AF223" i="8"/>
  <c r="AF225" i="8" s="1"/>
  <c r="AP200" i="8"/>
  <c r="AQ198" i="8" s="1"/>
  <c r="AQ199" i="8" s="1"/>
  <c r="AP203" i="8"/>
  <c r="AK220" i="5"/>
  <c r="AK221" i="5" s="1"/>
  <c r="AL219" i="5" s="1"/>
  <c r="AF218" i="8"/>
  <c r="AG216" i="8" s="1"/>
  <c r="AG217" i="8" s="1"/>
  <c r="AG220" i="8" s="1"/>
  <c r="AH257" i="5"/>
  <c r="AH259" i="5" s="1"/>
  <c r="AO205" i="8"/>
  <c r="AH250" i="5"/>
  <c r="AH234" i="5"/>
  <c r="AH235" i="5" s="1"/>
  <c r="AK211" i="8"/>
  <c r="AK215" i="8" s="1"/>
  <c r="AH263" i="5"/>
  <c r="AH265" i="5" s="1"/>
  <c r="AH266" i="5" s="1"/>
  <c r="AJ224" i="5"/>
  <c r="AI229" i="5"/>
  <c r="AI227" i="5"/>
  <c r="AJ225" i="5" s="1"/>
  <c r="AG259" i="5"/>
  <c r="AG268" i="5" s="1"/>
  <c r="AL215" i="5"/>
  <c r="AM213" i="5" s="1"/>
  <c r="AN206" i="5"/>
  <c r="AM208" i="5"/>
  <c r="AM212" i="5" s="1"/>
  <c r="AF300" i="11" l="1"/>
  <c r="AF302" i="11" s="1"/>
  <c r="AF306" i="11"/>
  <c r="AF308" i="11" s="1"/>
  <c r="AF309" i="11" s="1"/>
  <c r="AK242" i="20"/>
  <c r="AL240" i="20" s="1"/>
  <c r="AF263" i="20"/>
  <c r="AF265" i="20" s="1"/>
  <c r="AF266" i="20" s="1"/>
  <c r="AG264" i="20" s="1"/>
  <c r="AI251" i="20"/>
  <c r="AI253" i="20" s="1"/>
  <c r="AI257" i="20" s="1"/>
  <c r="Q258" i="23"/>
  <c r="R256" i="23" s="1"/>
  <c r="Q302" i="23"/>
  <c r="Q328" i="23" s="1"/>
  <c r="Q317" i="23"/>
  <c r="Q293" i="23"/>
  <c r="Q274" i="23"/>
  <c r="Q276" i="23" s="1"/>
  <c r="Q277" i="23" s="1"/>
  <c r="Q271" i="23"/>
  <c r="BJ139" i="15"/>
  <c r="BK138" i="15"/>
  <c r="BJ329" i="15"/>
  <c r="BK130" i="11"/>
  <c r="BJ131" i="11"/>
  <c r="BJ307" i="11"/>
  <c r="AJ253" i="11"/>
  <c r="AK251" i="11" s="1"/>
  <c r="AK252" i="11" s="1"/>
  <c r="BI234" i="11"/>
  <c r="BI238" i="11" s="1"/>
  <c r="AG265" i="11"/>
  <c r="AH263" i="11" s="1"/>
  <c r="AH264" i="11" s="1"/>
  <c r="AG268" i="11"/>
  <c r="AG271" i="11" s="1"/>
  <c r="AG277" i="11" s="1"/>
  <c r="AG278" i="11" s="1"/>
  <c r="AJ273" i="11"/>
  <c r="AJ275" i="11" s="1"/>
  <c r="BL136" i="15"/>
  <c r="BK323" i="15"/>
  <c r="BK128" i="11"/>
  <c r="BK301" i="11" s="1"/>
  <c r="BJ289" i="11"/>
  <c r="BJ294" i="11" s="1"/>
  <c r="AG257" i="9"/>
  <c r="AG261" i="9" s="1"/>
  <c r="AG263" i="9" s="1"/>
  <c r="AG264" i="9" s="1"/>
  <c r="AH262" i="9" s="1"/>
  <c r="AF267" i="9"/>
  <c r="AE301" i="9"/>
  <c r="AE303" i="9" s="1"/>
  <c r="AE304" i="9" s="1"/>
  <c r="AE272" i="9"/>
  <c r="AE273" i="9" s="1"/>
  <c r="AE295" i="9"/>
  <c r="AE297" i="9" s="1"/>
  <c r="AE288" i="9"/>
  <c r="AE289" i="9" s="1"/>
  <c r="AH240" i="9"/>
  <c r="AI238" i="9" s="1"/>
  <c r="AH276" i="18"/>
  <c r="AH279" i="18" s="1"/>
  <c r="AH285" i="18" s="1"/>
  <c r="AH286" i="18" s="1"/>
  <c r="AE303" i="20"/>
  <c r="AE305" i="20" s="1"/>
  <c r="AE306" i="20" s="1"/>
  <c r="AF260" i="20"/>
  <c r="AG258" i="20" s="1"/>
  <c r="AG259" i="20" s="1"/>
  <c r="AF269" i="20"/>
  <c r="AF288" i="20" s="1"/>
  <c r="AF291" i="20" s="1"/>
  <c r="AI248" i="20"/>
  <c r="AJ246" i="20" s="1"/>
  <c r="AJ247" i="20" s="1"/>
  <c r="BK124" i="20"/>
  <c r="BJ125" i="20"/>
  <c r="BL122" i="20"/>
  <c r="AI281" i="18"/>
  <c r="AI283" i="18" s="1"/>
  <c r="AI264" i="18"/>
  <c r="AI266" i="18" s="1"/>
  <c r="AP252" i="18"/>
  <c r="AI261" i="18"/>
  <c r="AJ259" i="18" s="1"/>
  <c r="AK254" i="18"/>
  <c r="AP249" i="18"/>
  <c r="AQ247" i="18" s="1"/>
  <c r="AH243" i="9"/>
  <c r="AH245" i="9" s="1"/>
  <c r="AL247" i="11"/>
  <c r="AM245" i="11" s="1"/>
  <c r="AM246" i="11" s="1"/>
  <c r="AL250" i="11"/>
  <c r="AN241" i="11"/>
  <c r="AO239" i="11" s="1"/>
  <c r="AO240" i="11" s="1"/>
  <c r="AN244" i="11"/>
  <c r="AH293" i="11"/>
  <c r="AH259" i="11"/>
  <c r="AI257" i="11" s="1"/>
  <c r="AE263" i="10"/>
  <c r="AE265" i="10" s="1"/>
  <c r="AE266" i="10" s="1"/>
  <c r="AE257" i="10"/>
  <c r="AE259" i="10" s="1"/>
  <c r="AE251" i="10"/>
  <c r="AE235" i="10"/>
  <c r="AG224" i="10"/>
  <c r="AF226" i="10"/>
  <c r="AF229" i="10" s="1"/>
  <c r="AI218" i="10"/>
  <c r="AI220" i="10" s="1"/>
  <c r="AJ209" i="10"/>
  <c r="AK207" i="10" s="1"/>
  <c r="AL206" i="10" s="1"/>
  <c r="AJ212" i="10"/>
  <c r="AI215" i="10"/>
  <c r="AJ213" i="10" s="1"/>
  <c r="AF254" i="8"/>
  <c r="AF256" i="8" s="1"/>
  <c r="AF257" i="8" s="1"/>
  <c r="AL220" i="5"/>
  <c r="AL221" i="5" s="1"/>
  <c r="AM219" i="5" s="1"/>
  <c r="AF226" i="8"/>
  <c r="AG223" i="8"/>
  <c r="AG225" i="8" s="1"/>
  <c r="AO209" i="8"/>
  <c r="AQ203" i="8"/>
  <c r="AG218" i="8"/>
  <c r="AH216" i="8" s="1"/>
  <c r="AK212" i="8"/>
  <c r="AL210" i="8" s="1"/>
  <c r="AO206" i="8"/>
  <c r="AP204" i="8" s="1"/>
  <c r="AQ200" i="8"/>
  <c r="AR198" i="8" s="1"/>
  <c r="AH268" i="5"/>
  <c r="AJ226" i="5"/>
  <c r="AJ229" i="5" s="1"/>
  <c r="AG260" i="5"/>
  <c r="AG269" i="5" s="1"/>
  <c r="AK224" i="5"/>
  <c r="AI246" i="5"/>
  <c r="AI248" i="5" s="1"/>
  <c r="AI232" i="5"/>
  <c r="AM214" i="5"/>
  <c r="AM215" i="5" s="1"/>
  <c r="AN213" i="5" s="1"/>
  <c r="AH260" i="5"/>
  <c r="AH269" i="5" s="1"/>
  <c r="AM209" i="5"/>
  <c r="AN207" i="5" s="1"/>
  <c r="AF303" i="11" l="1"/>
  <c r="AF312" i="11" s="1"/>
  <c r="AF311" i="11"/>
  <c r="AL241" i="20"/>
  <c r="AL245" i="20" s="1"/>
  <c r="AM239" i="20"/>
  <c r="AG263" i="20"/>
  <c r="AG265" i="20" s="1"/>
  <c r="AG266" i="20" s="1"/>
  <c r="AH264" i="20" s="1"/>
  <c r="AJ248" i="20"/>
  <c r="AK246" i="20" s="1"/>
  <c r="AK247" i="20" s="1"/>
  <c r="AJ251" i="20"/>
  <c r="Q330" i="23"/>
  <c r="Q280" i="23"/>
  <c r="Q282" i="23" s="1"/>
  <c r="Q292" i="23" s="1"/>
  <c r="Q294" i="23" s="1"/>
  <c r="AF270" i="9"/>
  <c r="AF301" i="9" s="1"/>
  <c r="AF303" i="9" s="1"/>
  <c r="AF304" i="9" s="1"/>
  <c r="BK139" i="15"/>
  <c r="BL138" i="15"/>
  <c r="BK329" i="15"/>
  <c r="BL130" i="11"/>
  <c r="BK131" i="11"/>
  <c r="BK307" i="11"/>
  <c r="AG300" i="11"/>
  <c r="AG302" i="11" s="1"/>
  <c r="BJ234" i="11"/>
  <c r="BJ238" i="11" s="1"/>
  <c r="AG306" i="11"/>
  <c r="AG308" i="11" s="1"/>
  <c r="AG309" i="11" s="1"/>
  <c r="AH265" i="11"/>
  <c r="AI263" i="11" s="1"/>
  <c r="AH268" i="11"/>
  <c r="AH271" i="11" s="1"/>
  <c r="AK273" i="11"/>
  <c r="AK275" i="11" s="1"/>
  <c r="BL128" i="11"/>
  <c r="BL301" i="11" s="1"/>
  <c r="BK289" i="11"/>
  <c r="BK294" i="11" s="1"/>
  <c r="BM136" i="15"/>
  <c r="BL323" i="15"/>
  <c r="AG258" i="9"/>
  <c r="AH256" i="9" s="1"/>
  <c r="AF284" i="9"/>
  <c r="AF286" i="9" s="1"/>
  <c r="AG267" i="9"/>
  <c r="AE298" i="9"/>
  <c r="AE307" i="9" s="1"/>
  <c r="AE306" i="9"/>
  <c r="AH246" i="9"/>
  <c r="AI244" i="9" s="1"/>
  <c r="AI270" i="18"/>
  <c r="AI272" i="18" s="1"/>
  <c r="AI273" i="18" s="1"/>
  <c r="AJ271" i="18" s="1"/>
  <c r="AG269" i="20"/>
  <c r="AG288" i="20" s="1"/>
  <c r="AG291" i="20" s="1"/>
  <c r="AG260" i="20"/>
  <c r="AH258" i="20" s="1"/>
  <c r="AF272" i="20"/>
  <c r="AF274" i="20" s="1"/>
  <c r="AF275" i="20" s="1"/>
  <c r="AI254" i="20"/>
  <c r="AJ252" i="20" s="1"/>
  <c r="BL124" i="20"/>
  <c r="BK125" i="20"/>
  <c r="BM122" i="20"/>
  <c r="AH314" i="18"/>
  <c r="AH316" i="18" s="1"/>
  <c r="AH317" i="18" s="1"/>
  <c r="AI267" i="18"/>
  <c r="AJ265" i="18" s="1"/>
  <c r="AK258" i="18"/>
  <c r="AJ260" i="18"/>
  <c r="AQ248" i="18"/>
  <c r="AK255" i="18"/>
  <c r="AL253" i="18" s="1"/>
  <c r="AH249" i="9"/>
  <c r="AH251" i="9" s="1"/>
  <c r="AI239" i="9"/>
  <c r="AJ237" i="9"/>
  <c r="AK256" i="11"/>
  <c r="AM250" i="11"/>
  <c r="AO241" i="11"/>
  <c r="AP239" i="11" s="1"/>
  <c r="AP240" i="11" s="1"/>
  <c r="AO244" i="11"/>
  <c r="AI258" i="11"/>
  <c r="AK253" i="11"/>
  <c r="AL251" i="11" s="1"/>
  <c r="AM247" i="11"/>
  <c r="AN245" i="11" s="1"/>
  <c r="AE268" i="10"/>
  <c r="AF232" i="10"/>
  <c r="AF234" i="10" s="1"/>
  <c r="AF246" i="10"/>
  <c r="AF248" i="10" s="1"/>
  <c r="AF250" i="10" s="1"/>
  <c r="AE260" i="10"/>
  <c r="AE269" i="10" s="1"/>
  <c r="AF227" i="10"/>
  <c r="AG225" i="10" s="1"/>
  <c r="AK208" i="10"/>
  <c r="AK209" i="10" s="1"/>
  <c r="AL207" i="10" s="1"/>
  <c r="AI221" i="10"/>
  <c r="AJ219" i="10" s="1"/>
  <c r="AJ214" i="10"/>
  <c r="AG226" i="8"/>
  <c r="AG254" i="8"/>
  <c r="AG256" i="8" s="1"/>
  <c r="AG257" i="8" s="1"/>
  <c r="AH217" i="8"/>
  <c r="AH220" i="8" s="1"/>
  <c r="AR199" i="8"/>
  <c r="AJ246" i="5"/>
  <c r="AJ248" i="5" s="1"/>
  <c r="AP205" i="8"/>
  <c r="AI250" i="5"/>
  <c r="AL211" i="8"/>
  <c r="AL215" i="8" s="1"/>
  <c r="AJ227" i="5"/>
  <c r="AK225" i="5" s="1"/>
  <c r="AK226" i="5" s="1"/>
  <c r="AK229" i="5" s="1"/>
  <c r="AJ232" i="5"/>
  <c r="AI234" i="5"/>
  <c r="AI235" i="5" s="1"/>
  <c r="AI263" i="5"/>
  <c r="AI265" i="5" s="1"/>
  <c r="AI266" i="5" s="1"/>
  <c r="AI257" i="5"/>
  <c r="AM218" i="5"/>
  <c r="AM220" i="5" s="1"/>
  <c r="AM221" i="5" s="1"/>
  <c r="AN219" i="5" s="1"/>
  <c r="AO206" i="5"/>
  <c r="AN208" i="5"/>
  <c r="AN212" i="5" s="1"/>
  <c r="AN214" i="5" s="1"/>
  <c r="AL242" i="20" l="1"/>
  <c r="AM240" i="20" s="1"/>
  <c r="AK251" i="20"/>
  <c r="Q331" i="23"/>
  <c r="Q286" i="23"/>
  <c r="Q288" i="23" s="1"/>
  <c r="Q297" i="23" s="1"/>
  <c r="Q283" i="23"/>
  <c r="Q295" i="23"/>
  <c r="R203" i="23"/>
  <c r="R311" i="23" s="1"/>
  <c r="AF272" i="9"/>
  <c r="AF273" i="9" s="1"/>
  <c r="AG270" i="9"/>
  <c r="AG301" i="9" s="1"/>
  <c r="AG303" i="9" s="1"/>
  <c r="AG304" i="9" s="1"/>
  <c r="AF288" i="9"/>
  <c r="AF289" i="9" s="1"/>
  <c r="BL139" i="15"/>
  <c r="BL329" i="15"/>
  <c r="BM138" i="15"/>
  <c r="BM130" i="11"/>
  <c r="BL131" i="11"/>
  <c r="BL307" i="11"/>
  <c r="AG311" i="11"/>
  <c r="AG303" i="11"/>
  <c r="AG312" i="11" s="1"/>
  <c r="BK234" i="11"/>
  <c r="BK238" i="11" s="1"/>
  <c r="AI262" i="11"/>
  <c r="AI264" i="11" s="1"/>
  <c r="BM128" i="11"/>
  <c r="BM301" i="11" s="1"/>
  <c r="BL289" i="11"/>
  <c r="BL294" i="11" s="1"/>
  <c r="BN136" i="15"/>
  <c r="BM323" i="15"/>
  <c r="AF295" i="9"/>
  <c r="AF297" i="9" s="1"/>
  <c r="AF306" i="9" s="1"/>
  <c r="AG284" i="9"/>
  <c r="AG286" i="9" s="1"/>
  <c r="AI240" i="9"/>
  <c r="AJ238" i="9" s="1"/>
  <c r="AK237" i="9" s="1"/>
  <c r="AH255" i="9"/>
  <c r="AH257" i="9" s="1"/>
  <c r="AH261" i="9" s="1"/>
  <c r="AI276" i="18"/>
  <c r="AI279" i="18" s="1"/>
  <c r="AI285" i="18" s="1"/>
  <c r="AI286" i="18" s="1"/>
  <c r="AJ281" i="18"/>
  <c r="AJ283" i="18" s="1"/>
  <c r="AG272" i="20"/>
  <c r="AG274" i="20" s="1"/>
  <c r="AG275" i="20" s="1"/>
  <c r="AH259" i="20"/>
  <c r="AF303" i="20"/>
  <c r="AF305" i="20" s="1"/>
  <c r="AF306" i="20" s="1"/>
  <c r="AJ253" i="20"/>
  <c r="BM124" i="20"/>
  <c r="BL125" i="20"/>
  <c r="AK248" i="20"/>
  <c r="AL246" i="20" s="1"/>
  <c r="BN122" i="20"/>
  <c r="AJ264" i="18"/>
  <c r="AJ266" i="18" s="1"/>
  <c r="AJ261" i="18"/>
  <c r="AQ249" i="18"/>
  <c r="AR247" i="18" s="1"/>
  <c r="AR248" i="18" s="1"/>
  <c r="AQ252" i="18"/>
  <c r="AL254" i="18"/>
  <c r="AH252" i="9"/>
  <c r="AI250" i="9" s="1"/>
  <c r="AI243" i="9"/>
  <c r="AI245" i="9" s="1"/>
  <c r="AH277" i="11"/>
  <c r="AH278" i="11" s="1"/>
  <c r="AH306" i="11"/>
  <c r="AH308" i="11" s="1"/>
  <c r="AH309" i="11" s="1"/>
  <c r="AH300" i="11"/>
  <c r="AH302" i="11" s="1"/>
  <c r="AP244" i="11"/>
  <c r="AI293" i="11"/>
  <c r="AI259" i="11"/>
  <c r="AJ257" i="11" s="1"/>
  <c r="AL252" i="11"/>
  <c r="AN246" i="11"/>
  <c r="AP241" i="11"/>
  <c r="AQ239" i="11" s="1"/>
  <c r="AF263" i="10"/>
  <c r="AF265" i="10" s="1"/>
  <c r="AF266" i="10" s="1"/>
  <c r="AF257" i="10"/>
  <c r="AF259" i="10" s="1"/>
  <c r="AF251" i="10"/>
  <c r="AF235" i="10"/>
  <c r="AK212" i="10"/>
  <c r="AG226" i="10"/>
  <c r="AG229" i="10" s="1"/>
  <c r="AH224" i="10"/>
  <c r="AJ215" i="10"/>
  <c r="AK213" i="10" s="1"/>
  <c r="AJ218" i="10"/>
  <c r="AJ220" i="10" s="1"/>
  <c r="AJ221" i="10" s="1"/>
  <c r="AK219" i="10" s="1"/>
  <c r="AM206" i="10"/>
  <c r="AL208" i="10"/>
  <c r="AH223" i="8"/>
  <c r="AH225" i="8" s="1"/>
  <c r="AP209" i="8"/>
  <c r="AR200" i="8"/>
  <c r="AS198" i="8" s="1"/>
  <c r="AS199" i="8" s="1"/>
  <c r="AR203" i="8"/>
  <c r="AH218" i="8"/>
  <c r="AI216" i="8" s="1"/>
  <c r="AJ250" i="5"/>
  <c r="AJ234" i="5"/>
  <c r="AJ235" i="5" s="1"/>
  <c r="AL212" i="8"/>
  <c r="AM210" i="8" s="1"/>
  <c r="AJ257" i="5"/>
  <c r="AJ259" i="5" s="1"/>
  <c r="AJ260" i="5" s="1"/>
  <c r="AP206" i="8"/>
  <c r="AQ204" i="8" s="1"/>
  <c r="AL224" i="5"/>
  <c r="AJ263" i="5"/>
  <c r="AJ265" i="5" s="1"/>
  <c r="AJ266" i="5" s="1"/>
  <c r="AI259" i="5"/>
  <c r="AI268" i="5" s="1"/>
  <c r="AK246" i="5"/>
  <c r="AK248" i="5" s="1"/>
  <c r="AN218" i="5"/>
  <c r="AN220" i="5" s="1"/>
  <c r="AN221" i="5" s="1"/>
  <c r="AO219" i="5" s="1"/>
  <c r="AN215" i="5"/>
  <c r="AO213" i="5" s="1"/>
  <c r="AK232" i="5"/>
  <c r="AN209" i="5"/>
  <c r="AO207" i="5" s="1"/>
  <c r="AK227" i="5"/>
  <c r="AL225" i="5" s="1"/>
  <c r="AN239" i="20" l="1"/>
  <c r="AM241" i="20"/>
  <c r="AM245" i="20" s="1"/>
  <c r="AH263" i="20"/>
  <c r="AH265" i="20" s="1"/>
  <c r="AH266" i="20" s="1"/>
  <c r="AI264" i="20" s="1"/>
  <c r="AJ254" i="20"/>
  <c r="AK252" i="20" s="1"/>
  <c r="AK253" i="20" s="1"/>
  <c r="AJ257" i="20"/>
  <c r="R313" i="23"/>
  <c r="R315" i="23"/>
  <c r="Q299" i="23"/>
  <c r="Q322" i="23" s="1"/>
  <c r="Q303" i="23"/>
  <c r="Q334" i="23" s="1"/>
  <c r="Q289" i="23"/>
  <c r="R262" i="23"/>
  <c r="R264" i="23" s="1"/>
  <c r="R225" i="23"/>
  <c r="R227" i="23" s="1"/>
  <c r="AG272" i="9"/>
  <c r="AG273" i="9" s="1"/>
  <c r="BM139" i="15"/>
  <c r="BN138" i="15"/>
  <c r="BM329" i="15"/>
  <c r="BN130" i="11"/>
  <c r="BM131" i="11"/>
  <c r="BM307" i="11"/>
  <c r="BL234" i="11"/>
  <c r="BL238" i="11" s="1"/>
  <c r="AI265" i="11"/>
  <c r="AJ263" i="11" s="1"/>
  <c r="AI268" i="11"/>
  <c r="AI271" i="11" s="1"/>
  <c r="AL273" i="11"/>
  <c r="AL275" i="11" s="1"/>
  <c r="BO136" i="15"/>
  <c r="BN323" i="15"/>
  <c r="BN128" i="11"/>
  <c r="BN301" i="11" s="1"/>
  <c r="BM289" i="11"/>
  <c r="BM294" i="11" s="1"/>
  <c r="AF298" i="9"/>
  <c r="AF307" i="9" s="1"/>
  <c r="AG288" i="9"/>
  <c r="AG289" i="9" s="1"/>
  <c r="AG295" i="9"/>
  <c r="AG297" i="9" s="1"/>
  <c r="AG306" i="9" s="1"/>
  <c r="AH263" i="9"/>
  <c r="AH264" i="9" s="1"/>
  <c r="AI262" i="9" s="1"/>
  <c r="AI249" i="9"/>
  <c r="AI251" i="9" s="1"/>
  <c r="AI252" i="9" s="1"/>
  <c r="AJ250" i="9" s="1"/>
  <c r="AH258" i="9"/>
  <c r="AI256" i="9" s="1"/>
  <c r="AJ270" i="18"/>
  <c r="AJ272" i="18" s="1"/>
  <c r="AJ273" i="18" s="1"/>
  <c r="AK271" i="18" s="1"/>
  <c r="AK259" i="18"/>
  <c r="AK260" i="18" s="1"/>
  <c r="AH269" i="20"/>
  <c r="AH288" i="20" s="1"/>
  <c r="AH291" i="20" s="1"/>
  <c r="AG303" i="20"/>
  <c r="AG305" i="20" s="1"/>
  <c r="AG306" i="20" s="1"/>
  <c r="AH260" i="20"/>
  <c r="AI258" i="20" s="1"/>
  <c r="AL247" i="20"/>
  <c r="BN124" i="20"/>
  <c r="BM125" i="20"/>
  <c r="BO122" i="20"/>
  <c r="AI314" i="18"/>
  <c r="AI316" i="18" s="1"/>
  <c r="AI317" i="18" s="1"/>
  <c r="AJ267" i="18"/>
  <c r="AK265" i="18" s="1"/>
  <c r="AL258" i="18"/>
  <c r="AR249" i="18"/>
  <c r="AS247" i="18" s="1"/>
  <c r="AS248" i="18" s="1"/>
  <c r="AR252" i="18"/>
  <c r="AL255" i="18"/>
  <c r="AM253" i="18" s="1"/>
  <c r="AI246" i="9"/>
  <c r="AJ244" i="9" s="1"/>
  <c r="AH311" i="11"/>
  <c r="AH303" i="11"/>
  <c r="AH312" i="11" s="1"/>
  <c r="AL253" i="11"/>
  <c r="AL256" i="11"/>
  <c r="AN247" i="11"/>
  <c r="AO245" i="11" s="1"/>
  <c r="AO246" i="11" s="1"/>
  <c r="AN250" i="11"/>
  <c r="AJ258" i="11"/>
  <c r="AQ240" i="11"/>
  <c r="AF268" i="10"/>
  <c r="AF260" i="10"/>
  <c r="AF269" i="10" s="1"/>
  <c r="AG232" i="10"/>
  <c r="AG234" i="10" s="1"/>
  <c r="AG246" i="10"/>
  <c r="AG248" i="10" s="1"/>
  <c r="AK214" i="10"/>
  <c r="AK215" i="10" s="1"/>
  <c r="AL213" i="10" s="1"/>
  <c r="AG227" i="10"/>
  <c r="AH225" i="10" s="1"/>
  <c r="AL209" i="10"/>
  <c r="AM207" i="10" s="1"/>
  <c r="AL212" i="10"/>
  <c r="AJ239" i="9"/>
  <c r="AH254" i="8"/>
  <c r="AH256" i="8" s="1"/>
  <c r="AH257" i="8" s="1"/>
  <c r="AH226" i="8"/>
  <c r="AS203" i="8"/>
  <c r="AI217" i="8"/>
  <c r="AI220" i="8" s="1"/>
  <c r="AJ269" i="5"/>
  <c r="AM211" i="8"/>
  <c r="AM215" i="8" s="1"/>
  <c r="AK250" i="5"/>
  <c r="AK234" i="5"/>
  <c r="AK235" i="5" s="1"/>
  <c r="AQ205" i="8"/>
  <c r="AS200" i="8"/>
  <c r="AT198" i="8" s="1"/>
  <c r="AJ268" i="5"/>
  <c r="AI260" i="5"/>
  <c r="AI269" i="5" s="1"/>
  <c r="AL226" i="5"/>
  <c r="AL229" i="5" s="1"/>
  <c r="AM224" i="5"/>
  <c r="AO208" i="5"/>
  <c r="AP206" i="5"/>
  <c r="AK263" i="5"/>
  <c r="AK265" i="5" s="1"/>
  <c r="AK266" i="5" s="1"/>
  <c r="AK257" i="5"/>
  <c r="AM242" i="20" l="1"/>
  <c r="AN240" i="20" s="1"/>
  <c r="AK257" i="20"/>
  <c r="AL251" i="20"/>
  <c r="Q340" i="23"/>
  <c r="Q336" i="23"/>
  <c r="R319" i="23"/>
  <c r="R321" i="23" s="1"/>
  <c r="Q305" i="23"/>
  <c r="Q306" i="23" s="1"/>
  <c r="R231" i="23"/>
  <c r="R233" i="23" s="1"/>
  <c r="R237" i="23" s="1"/>
  <c r="R239" i="23" s="1"/>
  <c r="R243" i="23" s="1"/>
  <c r="R245" i="23" s="1"/>
  <c r="R268" i="23"/>
  <c r="BN139" i="15"/>
  <c r="BO138" i="15"/>
  <c r="BN329" i="15"/>
  <c r="BO130" i="11"/>
  <c r="BN131" i="11"/>
  <c r="BN307" i="11"/>
  <c r="BM234" i="11"/>
  <c r="BM238" i="11" s="1"/>
  <c r="AJ262" i="11"/>
  <c r="AJ264" i="11" s="1"/>
  <c r="AM251" i="11"/>
  <c r="AM252" i="11" s="1"/>
  <c r="AG298" i="9"/>
  <c r="AG307" i="9" s="1"/>
  <c r="BO128" i="11"/>
  <c r="BO301" i="11" s="1"/>
  <c r="BN289" i="11"/>
  <c r="BN294" i="11" s="1"/>
  <c r="BP136" i="15"/>
  <c r="BO323" i="15"/>
  <c r="AH267" i="9"/>
  <c r="AH272" i="20"/>
  <c r="AH274" i="20" s="1"/>
  <c r="AH275" i="20" s="1"/>
  <c r="AJ276" i="18"/>
  <c r="AJ279" i="18" s="1"/>
  <c r="AJ285" i="18" s="1"/>
  <c r="AJ286" i="18" s="1"/>
  <c r="AK281" i="18"/>
  <c r="AK283" i="18" s="1"/>
  <c r="AK264" i="18"/>
  <c r="AK266" i="18" s="1"/>
  <c r="AK261" i="18"/>
  <c r="AL259" i="18" s="1"/>
  <c r="AL260" i="18" s="1"/>
  <c r="AI259" i="20"/>
  <c r="AL248" i="20"/>
  <c r="AM246" i="20" s="1"/>
  <c r="AK254" i="20"/>
  <c r="AL252" i="20" s="1"/>
  <c r="BO124" i="20"/>
  <c r="BN125" i="20"/>
  <c r="BP122" i="20"/>
  <c r="AS249" i="18"/>
  <c r="AT247" i="18" s="1"/>
  <c r="AT248" i="18" s="1"/>
  <c r="AS252" i="18"/>
  <c r="AM254" i="18"/>
  <c r="AI255" i="9"/>
  <c r="AI257" i="9" s="1"/>
  <c r="AI261" i="9" s="1"/>
  <c r="AJ240" i="9"/>
  <c r="AK238" i="9" s="1"/>
  <c r="AL237" i="9" s="1"/>
  <c r="AJ243" i="9"/>
  <c r="AJ245" i="9" s="1"/>
  <c r="AI277" i="11"/>
  <c r="AI278" i="11" s="1"/>
  <c r="AI306" i="11"/>
  <c r="AI308" i="11" s="1"/>
  <c r="AI309" i="11" s="1"/>
  <c r="AI300" i="11"/>
  <c r="AI302" i="11" s="1"/>
  <c r="AI303" i="11" s="1"/>
  <c r="AO250" i="11"/>
  <c r="AQ241" i="11"/>
  <c r="AR239" i="11" s="1"/>
  <c r="AR240" i="11" s="1"/>
  <c r="AQ244" i="11"/>
  <c r="AJ259" i="11"/>
  <c r="AK257" i="11" s="1"/>
  <c r="AO247" i="11"/>
  <c r="AP245" i="11" s="1"/>
  <c r="AG257" i="10"/>
  <c r="AG259" i="10" s="1"/>
  <c r="AG263" i="10"/>
  <c r="AG265" i="10" s="1"/>
  <c r="AG266" i="10" s="1"/>
  <c r="AG250" i="10"/>
  <c r="AG251" i="10" s="1"/>
  <c r="AG235" i="10"/>
  <c r="AK218" i="10"/>
  <c r="AK220" i="10" s="1"/>
  <c r="AK221" i="10" s="1"/>
  <c r="AL219" i="10" s="1"/>
  <c r="AL214" i="10"/>
  <c r="AL215" i="10" s="1"/>
  <c r="AM213" i="10" s="1"/>
  <c r="AH226" i="10"/>
  <c r="AH229" i="10" s="1"/>
  <c r="AI224" i="10"/>
  <c r="AN206" i="10"/>
  <c r="AM208" i="10"/>
  <c r="AI223" i="8"/>
  <c r="AI254" i="8" s="1"/>
  <c r="AI256" i="8" s="1"/>
  <c r="AI257" i="8" s="1"/>
  <c r="AQ209" i="8"/>
  <c r="AI218" i="8"/>
  <c r="AJ216" i="8" s="1"/>
  <c r="AQ206" i="8"/>
  <c r="AR204" i="8" s="1"/>
  <c r="AT199" i="8"/>
  <c r="AM212" i="8"/>
  <c r="AN210" i="8" s="1"/>
  <c r="AL246" i="5"/>
  <c r="AL248" i="5" s="1"/>
  <c r="AO212" i="5"/>
  <c r="AO214" i="5" s="1"/>
  <c r="AK259" i="5"/>
  <c r="AK268" i="5" s="1"/>
  <c r="AO209" i="5"/>
  <c r="AP207" i="5" s="1"/>
  <c r="AL227" i="5"/>
  <c r="AM225" i="5" s="1"/>
  <c r="AL232" i="5"/>
  <c r="AO239" i="20" l="1"/>
  <c r="AN241" i="20"/>
  <c r="AN245" i="20" s="1"/>
  <c r="AI263" i="20"/>
  <c r="AI265" i="20" s="1"/>
  <c r="AI266" i="20" s="1"/>
  <c r="AJ264" i="20" s="1"/>
  <c r="Q342" i="23"/>
  <c r="Q343" i="23" s="1"/>
  <c r="Q337" i="23"/>
  <c r="R246" i="23"/>
  <c r="S244" i="23" s="1"/>
  <c r="R281" i="23"/>
  <c r="R255" i="23"/>
  <c r="R257" i="23" s="1"/>
  <c r="R240" i="23"/>
  <c r="S238" i="23" s="1"/>
  <c r="R275" i="23"/>
  <c r="R249" i="23"/>
  <c r="R251" i="23" s="1"/>
  <c r="R234" i="23"/>
  <c r="S232" i="23" s="1"/>
  <c r="R269" i="23"/>
  <c r="AH270" i="9"/>
  <c r="AH301" i="9" s="1"/>
  <c r="AH303" i="9" s="1"/>
  <c r="AH304" i="9" s="1"/>
  <c r="BO139" i="15"/>
  <c r="BP138" i="15"/>
  <c r="BO329" i="15"/>
  <c r="BP130" i="11"/>
  <c r="BO131" i="11"/>
  <c r="BO307" i="11"/>
  <c r="BN234" i="11"/>
  <c r="BN238" i="11" s="1"/>
  <c r="AJ265" i="11"/>
  <c r="AK263" i="11" s="1"/>
  <c r="AJ268" i="11"/>
  <c r="AJ271" i="11" s="1"/>
  <c r="AM273" i="11"/>
  <c r="AM275" i="11" s="1"/>
  <c r="AM253" i="11"/>
  <c r="AM256" i="11"/>
  <c r="BP128" i="11"/>
  <c r="BP301" i="11" s="1"/>
  <c r="BO289" i="11"/>
  <c r="BO294" i="11" s="1"/>
  <c r="BQ136" i="15"/>
  <c r="BP323" i="15"/>
  <c r="AI258" i="9"/>
  <c r="AJ256" i="9" s="1"/>
  <c r="AH284" i="9"/>
  <c r="AH286" i="9" s="1"/>
  <c r="AI263" i="9"/>
  <c r="AI264" i="9" s="1"/>
  <c r="AJ262" i="9" s="1"/>
  <c r="AJ249" i="9"/>
  <c r="AJ251" i="9" s="1"/>
  <c r="AJ252" i="9" s="1"/>
  <c r="AK250" i="9" s="1"/>
  <c r="AJ314" i="18"/>
  <c r="AJ316" i="18" s="1"/>
  <c r="AJ317" i="18" s="1"/>
  <c r="AH303" i="20"/>
  <c r="AH305" i="20" s="1"/>
  <c r="AH306" i="20" s="1"/>
  <c r="AK270" i="18"/>
  <c r="AK272" i="18" s="1"/>
  <c r="AK273" i="18" s="1"/>
  <c r="AL271" i="18" s="1"/>
  <c r="AL281" i="18"/>
  <c r="AL283" i="18" s="1"/>
  <c r="AI260" i="20"/>
  <c r="AJ258" i="20" s="1"/>
  <c r="AI269" i="20"/>
  <c r="AI288" i="20" s="1"/>
  <c r="AI291" i="20" s="1"/>
  <c r="AM247" i="20"/>
  <c r="AL253" i="20"/>
  <c r="BP124" i="20"/>
  <c r="BO125" i="20"/>
  <c r="BQ122" i="20"/>
  <c r="AK267" i="18"/>
  <c r="AL265" i="18" s="1"/>
  <c r="AL264" i="18"/>
  <c r="AT252" i="18"/>
  <c r="AM255" i="18"/>
  <c r="AN253" i="18" s="1"/>
  <c r="AN254" i="18" s="1"/>
  <c r="AM258" i="18"/>
  <c r="AL261" i="18"/>
  <c r="AM259" i="18" s="1"/>
  <c r="AT249" i="18"/>
  <c r="AU247" i="18" s="1"/>
  <c r="AJ293" i="11"/>
  <c r="AI312" i="11"/>
  <c r="AI311" i="11"/>
  <c r="AR244" i="11"/>
  <c r="AK258" i="11"/>
  <c r="AP246" i="11"/>
  <c r="AR241" i="11"/>
  <c r="AS239" i="11" s="1"/>
  <c r="AL218" i="10"/>
  <c r="AL220" i="10" s="1"/>
  <c r="AG268" i="10"/>
  <c r="AH232" i="10"/>
  <c r="AH234" i="10" s="1"/>
  <c r="AH246" i="10"/>
  <c r="AH248" i="10" s="1"/>
  <c r="AG260" i="10"/>
  <c r="AG269" i="10" s="1"/>
  <c r="AH227" i="10"/>
  <c r="AI225" i="10" s="1"/>
  <c r="AM212" i="10"/>
  <c r="AM214" i="10" s="1"/>
  <c r="AM215" i="10" s="1"/>
  <c r="AN213" i="10" s="1"/>
  <c r="AM209" i="10"/>
  <c r="AN207" i="10" s="1"/>
  <c r="AJ246" i="9"/>
  <c r="AK244" i="9" s="1"/>
  <c r="AK239" i="9"/>
  <c r="AI225" i="8"/>
  <c r="AI226" i="8" s="1"/>
  <c r="AT200" i="8"/>
  <c r="AU198" i="8" s="1"/>
  <c r="AU199" i="8" s="1"/>
  <c r="AT203" i="8"/>
  <c r="AJ217" i="8"/>
  <c r="AJ220" i="8" s="1"/>
  <c r="AL234" i="5"/>
  <c r="AL235" i="5" s="1"/>
  <c r="AR205" i="8"/>
  <c r="AL250" i="5"/>
  <c r="AN211" i="8"/>
  <c r="AN215" i="8" s="1"/>
  <c r="AL257" i="5"/>
  <c r="AL259" i="5" s="1"/>
  <c r="AL260" i="5" s="1"/>
  <c r="AK260" i="5"/>
  <c r="AK269" i="5" s="1"/>
  <c r="AM226" i="5"/>
  <c r="AM229" i="5" s="1"/>
  <c r="AN224" i="5"/>
  <c r="AL263" i="5"/>
  <c r="AL265" i="5" s="1"/>
  <c r="AL266" i="5" s="1"/>
  <c r="AP208" i="5"/>
  <c r="AP209" i="5" s="1"/>
  <c r="AQ207" i="5" s="1"/>
  <c r="AQ206" i="5"/>
  <c r="AO218" i="5"/>
  <c r="AO220" i="5" s="1"/>
  <c r="AO221" i="5" s="1"/>
  <c r="AP219" i="5" s="1"/>
  <c r="AO215" i="5"/>
  <c r="AP213" i="5" s="1"/>
  <c r="AN242" i="20" l="1"/>
  <c r="AO240" i="20" s="1"/>
  <c r="AL254" i="20"/>
  <c r="AM252" i="20" s="1"/>
  <c r="AL257" i="20"/>
  <c r="AM251" i="20"/>
  <c r="Q346" i="23"/>
  <c r="Q345" i="23"/>
  <c r="R293" i="23"/>
  <c r="R258" i="23"/>
  <c r="S256" i="23" s="1"/>
  <c r="R287" i="23"/>
  <c r="R260" i="23"/>
  <c r="R252" i="23"/>
  <c r="S250" i="23" s="1"/>
  <c r="R270" i="23"/>
  <c r="R271" i="23" s="1"/>
  <c r="BP139" i="15"/>
  <c r="BP329" i="15"/>
  <c r="BQ138" i="15"/>
  <c r="BQ130" i="11"/>
  <c r="BP131" i="11"/>
  <c r="BP307" i="11"/>
  <c r="BO234" i="11"/>
  <c r="BO238" i="11" s="1"/>
  <c r="AK262" i="11"/>
  <c r="AK264" i="11" s="1"/>
  <c r="AN251" i="11"/>
  <c r="AN252" i="11" s="1"/>
  <c r="BR136" i="15"/>
  <c r="BQ323" i="15"/>
  <c r="BQ128" i="11"/>
  <c r="BQ301" i="11" s="1"/>
  <c r="BP289" i="11"/>
  <c r="BP294" i="11" s="1"/>
  <c r="AH288" i="9"/>
  <c r="AH289" i="9" s="1"/>
  <c r="AH272" i="9"/>
  <c r="AH273" i="9" s="1"/>
  <c r="AH295" i="9"/>
  <c r="AI267" i="9"/>
  <c r="AK276" i="18"/>
  <c r="AK279" i="18" s="1"/>
  <c r="AK285" i="18" s="1"/>
  <c r="AK286" i="18" s="1"/>
  <c r="AI272" i="20"/>
  <c r="AI274" i="20" s="1"/>
  <c r="AI275" i="20" s="1"/>
  <c r="AJ259" i="20"/>
  <c r="AM248" i="20"/>
  <c r="AN246" i="20" s="1"/>
  <c r="BQ124" i="20"/>
  <c r="BP125" i="20"/>
  <c r="BR122" i="20"/>
  <c r="AL266" i="18"/>
  <c r="AN255" i="18"/>
  <c r="AO253" i="18" s="1"/>
  <c r="AO254" i="18" s="1"/>
  <c r="AN258" i="18"/>
  <c r="AM260" i="18"/>
  <c r="AU248" i="18"/>
  <c r="AJ255" i="9"/>
  <c r="AJ257" i="9" s="1"/>
  <c r="AJ261" i="9" s="1"/>
  <c r="AK243" i="9"/>
  <c r="AK245" i="9" s="1"/>
  <c r="AJ277" i="11"/>
  <c r="AJ278" i="11" s="1"/>
  <c r="AJ306" i="11"/>
  <c r="AJ308" i="11" s="1"/>
  <c r="AJ309" i="11" s="1"/>
  <c r="AJ300" i="11"/>
  <c r="AJ302" i="11" s="1"/>
  <c r="AP247" i="11"/>
  <c r="AQ245" i="11" s="1"/>
  <c r="AQ246" i="11" s="1"/>
  <c r="AP250" i="11"/>
  <c r="AK293" i="11"/>
  <c r="AK259" i="11"/>
  <c r="AL257" i="11" s="1"/>
  <c r="AS240" i="11"/>
  <c r="AH257" i="10"/>
  <c r="AH259" i="10" s="1"/>
  <c r="AH263" i="10"/>
  <c r="AH265" i="10" s="1"/>
  <c r="AH266" i="10" s="1"/>
  <c r="AH250" i="10"/>
  <c r="AH251" i="10" s="1"/>
  <c r="AH235" i="10"/>
  <c r="AI226" i="10"/>
  <c r="AI229" i="10" s="1"/>
  <c r="AJ224" i="10"/>
  <c r="AM218" i="10"/>
  <c r="AO206" i="10"/>
  <c r="AN208" i="10"/>
  <c r="AL221" i="10"/>
  <c r="AM219" i="10" s="1"/>
  <c r="AK240" i="9"/>
  <c r="AL238" i="9" s="1"/>
  <c r="AM237" i="9" s="1"/>
  <c r="AJ223" i="8"/>
  <c r="AJ225" i="8" s="1"/>
  <c r="AR209" i="8"/>
  <c r="AU203" i="8"/>
  <c r="AJ218" i="8"/>
  <c r="AK216" i="8" s="1"/>
  <c r="AK217" i="8" s="1"/>
  <c r="AK220" i="8" s="1"/>
  <c r="AN212" i="8"/>
  <c r="AO210" i="8" s="1"/>
  <c r="AR206" i="8"/>
  <c r="AS204" i="8" s="1"/>
  <c r="AU200" i="8"/>
  <c r="AV198" i="8" s="1"/>
  <c r="AM246" i="5"/>
  <c r="AM248" i="5" s="1"/>
  <c r="AM227" i="5"/>
  <c r="AL269" i="5"/>
  <c r="AQ208" i="5"/>
  <c r="AQ209" i="5" s="1"/>
  <c r="AR207" i="5" s="1"/>
  <c r="AR206" i="5"/>
  <c r="AM232" i="5"/>
  <c r="AP212" i="5"/>
  <c r="AP214" i="5" s="1"/>
  <c r="AL268" i="5"/>
  <c r="AM253" i="20" l="1"/>
  <c r="AM257" i="20" s="1"/>
  <c r="AO241" i="20"/>
  <c r="AO245" i="20" s="1"/>
  <c r="AP239" i="20"/>
  <c r="AJ263" i="20"/>
  <c r="AJ265" i="20" s="1"/>
  <c r="AJ266" i="20" s="1"/>
  <c r="AK264" i="20" s="1"/>
  <c r="R302" i="23"/>
  <c r="R328" i="23" s="1"/>
  <c r="R330" i="23" s="1"/>
  <c r="R317" i="23"/>
  <c r="R274" i="23"/>
  <c r="R276" i="23" s="1"/>
  <c r="R277" i="23" s="1"/>
  <c r="BQ139" i="15"/>
  <c r="BR138" i="15"/>
  <c r="BQ329" i="15"/>
  <c r="BR130" i="11"/>
  <c r="BQ131" i="11"/>
  <c r="BQ307" i="11"/>
  <c r="BP234" i="11"/>
  <c r="BP238" i="11" s="1"/>
  <c r="AK265" i="11"/>
  <c r="AL263" i="11" s="1"/>
  <c r="AK268" i="11"/>
  <c r="AK271" i="11" s="1"/>
  <c r="AN273" i="11"/>
  <c r="AN275" i="11" s="1"/>
  <c r="AN256" i="11"/>
  <c r="AN253" i="11"/>
  <c r="AO251" i="11" s="1"/>
  <c r="AO252" i="11" s="1"/>
  <c r="BR128" i="11"/>
  <c r="BR301" i="11" s="1"/>
  <c r="BQ289" i="11"/>
  <c r="BQ294" i="11" s="1"/>
  <c r="BS136" i="15"/>
  <c r="BR323" i="15"/>
  <c r="AI270" i="9"/>
  <c r="AI284" i="9"/>
  <c r="AH297" i="9"/>
  <c r="AH306" i="9" s="1"/>
  <c r="AJ263" i="9"/>
  <c r="AK249" i="9"/>
  <c r="AK251" i="9" s="1"/>
  <c r="AK314" i="18"/>
  <c r="AK316" i="18" s="1"/>
  <c r="AK317" i="18" s="1"/>
  <c r="AL270" i="18"/>
  <c r="AL272" i="18" s="1"/>
  <c r="AL273" i="18" s="1"/>
  <c r="AM271" i="18" s="1"/>
  <c r="AM281" i="18"/>
  <c r="AM283" i="18" s="1"/>
  <c r="AI303" i="20"/>
  <c r="AI305" i="20" s="1"/>
  <c r="AI306" i="20" s="1"/>
  <c r="AJ269" i="20"/>
  <c r="AJ288" i="20" s="1"/>
  <c r="AJ291" i="20" s="1"/>
  <c r="AJ260" i="20"/>
  <c r="AK258" i="20" s="1"/>
  <c r="AN247" i="20"/>
  <c r="BR124" i="20"/>
  <c r="BQ125" i="20"/>
  <c r="BS122" i="20"/>
  <c r="AL267" i="18"/>
  <c r="AM265" i="18" s="1"/>
  <c r="AM264" i="18"/>
  <c r="AO258" i="18"/>
  <c r="AU252" i="18"/>
  <c r="AM261" i="18"/>
  <c r="AN259" i="18" s="1"/>
  <c r="AU249" i="18"/>
  <c r="AV247" i="18" s="1"/>
  <c r="AO255" i="18"/>
  <c r="AP253" i="18" s="1"/>
  <c r="AJ311" i="11"/>
  <c r="AJ303" i="11"/>
  <c r="AJ312" i="11" s="1"/>
  <c r="AQ247" i="11"/>
  <c r="AR245" i="11" s="1"/>
  <c r="AR246" i="11" s="1"/>
  <c r="AQ250" i="11"/>
  <c r="AS241" i="11"/>
  <c r="AT239" i="11" s="1"/>
  <c r="AT240" i="11" s="1"/>
  <c r="AS244" i="11"/>
  <c r="AL258" i="11"/>
  <c r="AL262" i="11" s="1"/>
  <c r="AI232" i="10"/>
  <c r="AI234" i="10" s="1"/>
  <c r="AI246" i="10"/>
  <c r="AI248" i="10" s="1"/>
  <c r="AI250" i="10" s="1"/>
  <c r="AH268" i="10"/>
  <c r="AH260" i="10"/>
  <c r="AH269" i="10" s="1"/>
  <c r="AI227" i="10"/>
  <c r="AJ225" i="10" s="1"/>
  <c r="AN212" i="10"/>
  <c r="AN214" i="10" s="1"/>
  <c r="AN215" i="10" s="1"/>
  <c r="AO213" i="10" s="1"/>
  <c r="AM220" i="10"/>
  <c r="AN209" i="10"/>
  <c r="AO207" i="10" s="1"/>
  <c r="AK246" i="9"/>
  <c r="AL244" i="9" s="1"/>
  <c r="AJ258" i="9"/>
  <c r="AK256" i="9" s="1"/>
  <c r="AL239" i="9"/>
  <c r="AJ254" i="8"/>
  <c r="AJ256" i="8" s="1"/>
  <c r="AJ257" i="8" s="1"/>
  <c r="AJ226" i="8"/>
  <c r="AK223" i="8"/>
  <c r="AK225" i="8" s="1"/>
  <c r="AK218" i="8"/>
  <c r="AL216" i="8" s="1"/>
  <c r="AM250" i="5"/>
  <c r="AS205" i="8"/>
  <c r="AM234" i="5"/>
  <c r="AM235" i="5" s="1"/>
  <c r="AV199" i="8"/>
  <c r="AO211" i="8"/>
  <c r="AO215" i="8" s="1"/>
  <c r="AN225" i="5"/>
  <c r="AN226" i="5" s="1"/>
  <c r="AM257" i="5"/>
  <c r="AM259" i="5" s="1"/>
  <c r="AM263" i="5"/>
  <c r="AM265" i="5" s="1"/>
  <c r="AM266" i="5" s="1"/>
  <c r="AP218" i="5"/>
  <c r="AP220" i="5" s="1"/>
  <c r="AP221" i="5" s="1"/>
  <c r="AQ219" i="5" s="1"/>
  <c r="AP215" i="5"/>
  <c r="AQ213" i="5" s="1"/>
  <c r="AS206" i="5"/>
  <c r="AR208" i="5"/>
  <c r="AR209" i="5" s="1"/>
  <c r="AS207" i="5" s="1"/>
  <c r="AQ212" i="5"/>
  <c r="AM254" i="20" l="1"/>
  <c r="AN252" i="20" s="1"/>
  <c r="AO242" i="20"/>
  <c r="AP240" i="20" s="1"/>
  <c r="AN248" i="20"/>
  <c r="AO246" i="20" s="1"/>
  <c r="AO247" i="20" s="1"/>
  <c r="AN251" i="20"/>
  <c r="R331" i="23"/>
  <c r="R280" i="23"/>
  <c r="R282" i="23" s="1"/>
  <c r="R283" i="23" s="1"/>
  <c r="AI272" i="9"/>
  <c r="AI273" i="9" s="1"/>
  <c r="BR139" i="15"/>
  <c r="BS138" i="15"/>
  <c r="BR329" i="15"/>
  <c r="BS130" i="11"/>
  <c r="BR131" i="11"/>
  <c r="BR307" i="11"/>
  <c r="BQ234" i="11"/>
  <c r="BQ238" i="11" s="1"/>
  <c r="AL293" i="11"/>
  <c r="AL264" i="11"/>
  <c r="AO273" i="11"/>
  <c r="AO275" i="11" s="1"/>
  <c r="AO256" i="11"/>
  <c r="AO253" i="11"/>
  <c r="BS323" i="15"/>
  <c r="BS128" i="11"/>
  <c r="BS301" i="11" s="1"/>
  <c r="BR289" i="11"/>
  <c r="BR294" i="11" s="1"/>
  <c r="AI286" i="9"/>
  <c r="AI301" i="9"/>
  <c r="AH298" i="9"/>
  <c r="AH307" i="9" s="1"/>
  <c r="AJ264" i="9"/>
  <c r="AK262" i="9" s="1"/>
  <c r="AJ267" i="9"/>
  <c r="AK252" i="9"/>
  <c r="AL250" i="9" s="1"/>
  <c r="AJ272" i="20"/>
  <c r="AJ274" i="20" s="1"/>
  <c r="AJ275" i="20" s="1"/>
  <c r="AL276" i="18"/>
  <c r="AL279" i="18" s="1"/>
  <c r="AL285" i="18" s="1"/>
  <c r="AL286" i="18" s="1"/>
  <c r="AK259" i="20"/>
  <c r="BS124" i="20"/>
  <c r="BS125" i="20" s="1"/>
  <c r="BR125" i="20"/>
  <c r="AM266" i="18"/>
  <c r="AN260" i="18"/>
  <c r="AV248" i="18"/>
  <c r="AP254" i="18"/>
  <c r="AK255" i="9"/>
  <c r="AK257" i="9" s="1"/>
  <c r="AK261" i="9" s="1"/>
  <c r="AL243" i="9"/>
  <c r="AL245" i="9" s="1"/>
  <c r="AK277" i="11"/>
  <c r="AK278" i="11" s="1"/>
  <c r="AK306" i="11"/>
  <c r="AK308" i="11" s="1"/>
  <c r="AK309" i="11" s="1"/>
  <c r="AK300" i="11"/>
  <c r="AK302" i="11" s="1"/>
  <c r="AK303" i="11" s="1"/>
  <c r="AR250" i="11"/>
  <c r="AT241" i="11"/>
  <c r="AU239" i="11" s="1"/>
  <c r="AU240" i="11" s="1"/>
  <c r="AT244" i="11"/>
  <c r="AL259" i="11"/>
  <c r="AR247" i="11"/>
  <c r="AS245" i="11" s="1"/>
  <c r="AI235" i="10"/>
  <c r="AI263" i="10"/>
  <c r="AI265" i="10" s="1"/>
  <c r="AI257" i="10"/>
  <c r="AI259" i="10" s="1"/>
  <c r="AI260" i="10" s="1"/>
  <c r="AI251" i="10"/>
  <c r="AJ226" i="10"/>
  <c r="AJ229" i="10" s="1"/>
  <c r="AK224" i="10"/>
  <c r="AN218" i="10"/>
  <c r="AM221" i="10"/>
  <c r="AN219" i="10" s="1"/>
  <c r="AP206" i="10"/>
  <c r="AO208" i="10"/>
  <c r="AL240" i="9"/>
  <c r="AM238" i="9" s="1"/>
  <c r="AN237" i="9" s="1"/>
  <c r="AK226" i="8"/>
  <c r="AK254" i="8"/>
  <c r="AK256" i="8" s="1"/>
  <c r="AK257" i="8" s="1"/>
  <c r="AS209" i="8"/>
  <c r="AV203" i="8"/>
  <c r="AL217" i="8"/>
  <c r="AL220" i="8" s="1"/>
  <c r="AO212" i="8"/>
  <c r="AP210" i="8" s="1"/>
  <c r="AS206" i="8"/>
  <c r="AT204" i="8" s="1"/>
  <c r="AV200" i="8"/>
  <c r="AW198" i="8" s="1"/>
  <c r="AN229" i="5"/>
  <c r="AN227" i="5"/>
  <c r="AO225" i="5" s="1"/>
  <c r="AP224" i="5" s="1"/>
  <c r="AO224" i="5"/>
  <c r="AM268" i="5"/>
  <c r="AR212" i="5"/>
  <c r="AT206" i="5"/>
  <c r="AS208" i="5"/>
  <c r="AQ214" i="5"/>
  <c r="AQ215" i="5" s="1"/>
  <c r="AR213" i="5" s="1"/>
  <c r="AM260" i="5"/>
  <c r="AM269" i="5" s="1"/>
  <c r="AN253" i="20" l="1"/>
  <c r="AN257" i="20" s="1"/>
  <c r="AP241" i="20"/>
  <c r="AP245" i="20" s="1"/>
  <c r="AQ239" i="20"/>
  <c r="AK263" i="20"/>
  <c r="AK265" i="20" s="1"/>
  <c r="AK266" i="20" s="1"/>
  <c r="AL264" i="20" s="1"/>
  <c r="AO251" i="20"/>
  <c r="R292" i="23"/>
  <c r="R294" i="23" s="1"/>
  <c r="R286" i="23"/>
  <c r="R288" i="23" s="1"/>
  <c r="AJ270" i="9"/>
  <c r="AJ301" i="9" s="1"/>
  <c r="AJ303" i="9" s="1"/>
  <c r="AJ304" i="9" s="1"/>
  <c r="BS329" i="15"/>
  <c r="BS139" i="15"/>
  <c r="BS131" i="11"/>
  <c r="BS307" i="11"/>
  <c r="BR234" i="11"/>
  <c r="BR238" i="11" s="1"/>
  <c r="AL265" i="11"/>
  <c r="AM263" i="11" s="1"/>
  <c r="AL268" i="11"/>
  <c r="AL271" i="11" s="1"/>
  <c r="AL277" i="11" s="1"/>
  <c r="AL278" i="11" s="1"/>
  <c r="AP251" i="11"/>
  <c r="BS234" i="11"/>
  <c r="BS289" i="11"/>
  <c r="BS294" i="11" s="1"/>
  <c r="AI295" i="9"/>
  <c r="AI297" i="9" s="1"/>
  <c r="AI298" i="9" s="1"/>
  <c r="AI288" i="9"/>
  <c r="AI289" i="9" s="1"/>
  <c r="AJ284" i="9"/>
  <c r="AI303" i="9"/>
  <c r="AK263" i="9"/>
  <c r="AK264" i="9" s="1"/>
  <c r="AL262" i="9" s="1"/>
  <c r="AL246" i="9"/>
  <c r="AM244" i="9" s="1"/>
  <c r="AJ303" i="20"/>
  <c r="AJ305" i="20" s="1"/>
  <c r="AJ306" i="20" s="1"/>
  <c r="AK269" i="20"/>
  <c r="AK288" i="20" s="1"/>
  <c r="AK291" i="20" s="1"/>
  <c r="AL314" i="18"/>
  <c r="AL316" i="18" s="1"/>
  <c r="AL317" i="18" s="1"/>
  <c r="AM270" i="18"/>
  <c r="AM272" i="18" s="1"/>
  <c r="AM273" i="18" s="1"/>
  <c r="AN271" i="18" s="1"/>
  <c r="AN281" i="18"/>
  <c r="AN283" i="18" s="1"/>
  <c r="AK260" i="20"/>
  <c r="AL258" i="20" s="1"/>
  <c r="AO248" i="20"/>
  <c r="AP246" i="20" s="1"/>
  <c r="AM267" i="18"/>
  <c r="AN265" i="18" s="1"/>
  <c r="AN264" i="18"/>
  <c r="AN261" i="18"/>
  <c r="AO259" i="18" s="1"/>
  <c r="AV252" i="18"/>
  <c r="AP255" i="18"/>
  <c r="AQ253" i="18" s="1"/>
  <c r="AQ254" i="18" s="1"/>
  <c r="AP258" i="18"/>
  <c r="AV249" i="18"/>
  <c r="AW247" i="18" s="1"/>
  <c r="AL249" i="9"/>
  <c r="AL251" i="9" s="1"/>
  <c r="AL252" i="9" s="1"/>
  <c r="AM250" i="9" s="1"/>
  <c r="AM257" i="11"/>
  <c r="AM258" i="11" s="1"/>
  <c r="AK312" i="11"/>
  <c r="AK311" i="11"/>
  <c r="AU244" i="11"/>
  <c r="AS246" i="11"/>
  <c r="AU241" i="11"/>
  <c r="AV239" i="11" s="1"/>
  <c r="AI268" i="10"/>
  <c r="AJ232" i="10"/>
  <c r="AJ234" i="10" s="1"/>
  <c r="AJ246" i="10"/>
  <c r="AJ248" i="10" s="1"/>
  <c r="AI266" i="10"/>
  <c r="AI269" i="10" s="1"/>
  <c r="AJ227" i="10"/>
  <c r="AK225" i="10" s="1"/>
  <c r="AN220" i="10"/>
  <c r="AN221" i="10" s="1"/>
  <c r="AO219" i="10" s="1"/>
  <c r="AO212" i="10"/>
  <c r="AO214" i="10" s="1"/>
  <c r="AO215" i="10" s="1"/>
  <c r="AP213" i="10" s="1"/>
  <c r="AO209" i="10"/>
  <c r="AP207" i="10" s="1"/>
  <c r="AQ206" i="10" s="1"/>
  <c r="AK258" i="9"/>
  <c r="AL256" i="9" s="1"/>
  <c r="AM239" i="9"/>
  <c r="AL223" i="8"/>
  <c r="AL225" i="8" s="1"/>
  <c r="AL218" i="8"/>
  <c r="AM216" i="8" s="1"/>
  <c r="AT205" i="8"/>
  <c r="AW199" i="8"/>
  <c r="AP211" i="8"/>
  <c r="AP215" i="8" s="1"/>
  <c r="AO226" i="5"/>
  <c r="AO229" i="5" s="1"/>
  <c r="AN232" i="5"/>
  <c r="AN246" i="5"/>
  <c r="AN248" i="5" s="1"/>
  <c r="AS212" i="5"/>
  <c r="AR214" i="5"/>
  <c r="AR215" i="5" s="1"/>
  <c r="AS213" i="5" s="1"/>
  <c r="AQ218" i="5"/>
  <c r="AQ220" i="5" s="1"/>
  <c r="AQ221" i="5" s="1"/>
  <c r="AR219" i="5" s="1"/>
  <c r="AS209" i="5"/>
  <c r="AT207" i="5" s="1"/>
  <c r="AN254" i="20" l="1"/>
  <c r="AO252" i="20" s="1"/>
  <c r="AO253" i="20" s="1"/>
  <c r="AO257" i="20" s="1"/>
  <c r="AP247" i="20"/>
  <c r="AP248" i="20" s="1"/>
  <c r="AQ246" i="20" s="1"/>
  <c r="AP242" i="20"/>
  <c r="AQ240" i="20" s="1"/>
  <c r="R297" i="23"/>
  <c r="R289" i="23"/>
  <c r="R295" i="23"/>
  <c r="S203" i="23"/>
  <c r="S311" i="23" s="1"/>
  <c r="AJ272" i="9"/>
  <c r="AJ273" i="9" s="1"/>
  <c r="AL300" i="11"/>
  <c r="AL302" i="11" s="1"/>
  <c r="AL306" i="11"/>
  <c r="AL308" i="11" s="1"/>
  <c r="AL309" i="11" s="1"/>
  <c r="AM262" i="11"/>
  <c r="AM264" i="11" s="1"/>
  <c r="AP252" i="11"/>
  <c r="BS238" i="11"/>
  <c r="I234" i="11"/>
  <c r="AI306" i="9"/>
  <c r="AJ286" i="9"/>
  <c r="AI304" i="9"/>
  <c r="AI307" i="9" s="1"/>
  <c r="AK267" i="9"/>
  <c r="AK272" i="20"/>
  <c r="AK274" i="20" s="1"/>
  <c r="AK275" i="20" s="1"/>
  <c r="AM276" i="18"/>
  <c r="AM279" i="18" s="1"/>
  <c r="AL259" i="20"/>
  <c r="AN266" i="18"/>
  <c r="AQ255" i="18"/>
  <c r="AR253" i="18" s="1"/>
  <c r="AR254" i="18" s="1"/>
  <c r="AQ258" i="18"/>
  <c r="AW248" i="18"/>
  <c r="AL255" i="9"/>
  <c r="AL257" i="9" s="1"/>
  <c r="AL261" i="9" s="1"/>
  <c r="AM243" i="9"/>
  <c r="AM245" i="9" s="1"/>
  <c r="AM293" i="11"/>
  <c r="AM259" i="11"/>
  <c r="AN257" i="11" s="1"/>
  <c r="AN258" i="11" s="1"/>
  <c r="AN262" i="11" s="1"/>
  <c r="AS250" i="11"/>
  <c r="AV240" i="11"/>
  <c r="AS247" i="11"/>
  <c r="AT245" i="11" s="1"/>
  <c r="AJ257" i="10"/>
  <c r="AJ259" i="10" s="1"/>
  <c r="AJ263" i="10"/>
  <c r="AJ265" i="10" s="1"/>
  <c r="AJ266" i="10" s="1"/>
  <c r="AJ250" i="10"/>
  <c r="AJ251" i="10" s="1"/>
  <c r="AJ235" i="10"/>
  <c r="AP208" i="10"/>
  <c r="AP209" i="10" s="1"/>
  <c r="AQ207" i="10" s="1"/>
  <c r="AR206" i="10" s="1"/>
  <c r="AK226" i="10"/>
  <c r="AK229" i="10" s="1"/>
  <c r="AL224" i="10"/>
  <c r="AO218" i="10"/>
  <c r="AO220" i="10" s="1"/>
  <c r="AM240" i="9"/>
  <c r="AN238" i="9" s="1"/>
  <c r="AO237" i="9" s="1"/>
  <c r="AL254" i="8"/>
  <c r="AL256" i="8" s="1"/>
  <c r="AL257" i="8" s="1"/>
  <c r="AL226" i="8"/>
  <c r="AT206" i="8"/>
  <c r="AU204" i="8" s="1"/>
  <c r="AU205" i="8" s="1"/>
  <c r="AT209" i="8"/>
  <c r="AW200" i="8"/>
  <c r="AX198" i="8" s="1"/>
  <c r="AX199" i="8" s="1"/>
  <c r="AW203" i="8"/>
  <c r="AM217" i="8"/>
  <c r="AM220" i="8" s="1"/>
  <c r="AN250" i="5"/>
  <c r="AP212" i="8"/>
  <c r="AQ210" i="8" s="1"/>
  <c r="AO246" i="5"/>
  <c r="AO248" i="5" s="1"/>
  <c r="AO232" i="5"/>
  <c r="AO227" i="5"/>
  <c r="AP225" i="5" s="1"/>
  <c r="AP226" i="5" s="1"/>
  <c r="AN234" i="5"/>
  <c r="AN235" i="5" s="1"/>
  <c r="AN257" i="5"/>
  <c r="AN263" i="5"/>
  <c r="AN265" i="5" s="1"/>
  <c r="AN266" i="5" s="1"/>
  <c r="AS214" i="5"/>
  <c r="AS215" i="5" s="1"/>
  <c r="AT213" i="5" s="1"/>
  <c r="AT208" i="5"/>
  <c r="AT212" i="5" s="1"/>
  <c r="AU206" i="5"/>
  <c r="AR218" i="5"/>
  <c r="AR220" i="5" s="1"/>
  <c r="AO254" i="20" l="1"/>
  <c r="AP252" i="20" s="1"/>
  <c r="AP251" i="20"/>
  <c r="AR239" i="20"/>
  <c r="AQ241" i="20"/>
  <c r="AQ245" i="20" s="1"/>
  <c r="AQ247" i="20" s="1"/>
  <c r="AQ248" i="20" s="1"/>
  <c r="AR246" i="20" s="1"/>
  <c r="AL263" i="20"/>
  <c r="AL265" i="20" s="1"/>
  <c r="AL266" i="20" s="1"/>
  <c r="AM264" i="20" s="1"/>
  <c r="S313" i="23"/>
  <c r="S315" i="23"/>
  <c r="R299" i="23"/>
  <c r="R322" i="23" s="1"/>
  <c r="R303" i="23"/>
  <c r="R334" i="23" s="1"/>
  <c r="R336" i="23" s="1"/>
  <c r="S262" i="23"/>
  <c r="S264" i="23" s="1"/>
  <c r="S225" i="23"/>
  <c r="AK270" i="9"/>
  <c r="AL303" i="11"/>
  <c r="AL312" i="11" s="1"/>
  <c r="AL311" i="11"/>
  <c r="AM265" i="11"/>
  <c r="AN263" i="11" s="1"/>
  <c r="AN264" i="11" s="1"/>
  <c r="AM268" i="11"/>
  <c r="AM271" i="11" s="1"/>
  <c r="AN293" i="11"/>
  <c r="AP273" i="11"/>
  <c r="AP275" i="11" s="1"/>
  <c r="AP256" i="11"/>
  <c r="AP253" i="11"/>
  <c r="AQ251" i="11" s="1"/>
  <c r="AJ295" i="9"/>
  <c r="AJ288" i="9"/>
  <c r="AJ289" i="9" s="1"/>
  <c r="AK284" i="9"/>
  <c r="AK286" i="9" s="1"/>
  <c r="AL263" i="9"/>
  <c r="AL264" i="9" s="1"/>
  <c r="AM262" i="9" s="1"/>
  <c r="AM246" i="9"/>
  <c r="AN244" i="9" s="1"/>
  <c r="AK303" i="20"/>
  <c r="AK305" i="20" s="1"/>
  <c r="AK306" i="20" s="1"/>
  <c r="AL269" i="20"/>
  <c r="AL288" i="20" s="1"/>
  <c r="AL291" i="20" s="1"/>
  <c r="AL260" i="20"/>
  <c r="AM258" i="20" s="1"/>
  <c r="AN270" i="18"/>
  <c r="AN272" i="18" s="1"/>
  <c r="AN273" i="18" s="1"/>
  <c r="AO271" i="18" s="1"/>
  <c r="AM314" i="18"/>
  <c r="AM316" i="18" s="1"/>
  <c r="AM317" i="18" s="1"/>
  <c r="AM285" i="18"/>
  <c r="AM286" i="18" s="1"/>
  <c r="AN267" i="18"/>
  <c r="AO265" i="18" s="1"/>
  <c r="AR258" i="18"/>
  <c r="AO260" i="18"/>
  <c r="AW252" i="18"/>
  <c r="AW249" i="18"/>
  <c r="AX247" i="18" s="1"/>
  <c r="AR255" i="18"/>
  <c r="AS253" i="18" s="1"/>
  <c r="AM249" i="9"/>
  <c r="AM251" i="9" s="1"/>
  <c r="AV241" i="11"/>
  <c r="AW239" i="11" s="1"/>
  <c r="AW240" i="11" s="1"/>
  <c r="AV244" i="11"/>
  <c r="AN259" i="11"/>
  <c r="AO257" i="11" s="1"/>
  <c r="AP212" i="10"/>
  <c r="AP214" i="10" s="1"/>
  <c r="AP215" i="10" s="1"/>
  <c r="AQ213" i="10" s="1"/>
  <c r="AT246" i="11"/>
  <c r="AK232" i="10"/>
  <c r="AK234" i="10" s="1"/>
  <c r="AK246" i="10"/>
  <c r="AK248" i="10" s="1"/>
  <c r="AK250" i="10" s="1"/>
  <c r="AJ268" i="10"/>
  <c r="AJ260" i="10"/>
  <c r="AJ269" i="10" s="1"/>
  <c r="AK227" i="10"/>
  <c r="AL225" i="10" s="1"/>
  <c r="AQ208" i="10"/>
  <c r="AO221" i="10"/>
  <c r="AP219" i="10" s="1"/>
  <c r="AO263" i="5"/>
  <c r="AO265" i="5" s="1"/>
  <c r="AO266" i="5" s="1"/>
  <c r="AL258" i="9"/>
  <c r="AM256" i="9" s="1"/>
  <c r="AN239" i="9"/>
  <c r="AM223" i="8"/>
  <c r="AX203" i="8"/>
  <c r="AU206" i="8"/>
  <c r="AV204" i="8" s="1"/>
  <c r="AV205" i="8" s="1"/>
  <c r="AU209" i="8"/>
  <c r="AM218" i="8"/>
  <c r="AN216" i="8" s="1"/>
  <c r="AO257" i="5"/>
  <c r="AO259" i="5" s="1"/>
  <c r="AO234" i="5"/>
  <c r="AO235" i="5" s="1"/>
  <c r="AX200" i="8"/>
  <c r="AY198" i="8" s="1"/>
  <c r="AO250" i="5"/>
  <c r="AQ211" i="8"/>
  <c r="AQ215" i="8" s="1"/>
  <c r="AQ224" i="5"/>
  <c r="AP229" i="5"/>
  <c r="AP227" i="5"/>
  <c r="AQ225" i="5" s="1"/>
  <c r="AN259" i="5"/>
  <c r="AN268" i="5" s="1"/>
  <c r="AT214" i="5"/>
  <c r="AT215" i="5" s="1"/>
  <c r="AU213" i="5" s="1"/>
  <c r="AR221" i="5"/>
  <c r="AS219" i="5" s="1"/>
  <c r="AT209" i="5"/>
  <c r="AU207" i="5" s="1"/>
  <c r="AS218" i="5"/>
  <c r="AP253" i="20" l="1"/>
  <c r="AP254" i="20" s="1"/>
  <c r="AQ252" i="20" s="1"/>
  <c r="AQ251" i="20"/>
  <c r="AQ242" i="20"/>
  <c r="AR240" i="20" s="1"/>
  <c r="S227" i="23"/>
  <c r="S231" i="23" s="1"/>
  <c r="S233" i="23" s="1"/>
  <c r="S237" i="23" s="1"/>
  <c r="S239" i="23" s="1"/>
  <c r="H161" i="21" a="1"/>
  <c r="R340" i="23"/>
  <c r="R337" i="23"/>
  <c r="S319" i="23"/>
  <c r="S321" i="23" s="1"/>
  <c r="R305" i="23"/>
  <c r="R306" i="23" s="1"/>
  <c r="S268" i="23"/>
  <c r="AN265" i="11"/>
  <c r="AO263" i="11" s="1"/>
  <c r="AN268" i="11"/>
  <c r="AN271" i="11" s="1"/>
  <c r="AN277" i="11" s="1"/>
  <c r="AN278" i="11" s="1"/>
  <c r="AQ252" i="11"/>
  <c r="AJ297" i="9"/>
  <c r="AJ306" i="9" s="1"/>
  <c r="AK288" i="9"/>
  <c r="AK289" i="9" s="1"/>
  <c r="AK272" i="9"/>
  <c r="AK273" i="9" s="1"/>
  <c r="AK301" i="9"/>
  <c r="AK295" i="9"/>
  <c r="AK297" i="9" s="1"/>
  <c r="AL267" i="9"/>
  <c r="AM252" i="9"/>
  <c r="AN250" i="9" s="1"/>
  <c r="AM259" i="20"/>
  <c r="AL272" i="20"/>
  <c r="AL303" i="20" s="1"/>
  <c r="AL305" i="20" s="1"/>
  <c r="AL306" i="20" s="1"/>
  <c r="AN276" i="18"/>
  <c r="AN279" i="18" s="1"/>
  <c r="AN285" i="18" s="1"/>
  <c r="AN286" i="18" s="1"/>
  <c r="AO281" i="18"/>
  <c r="AO283" i="18" s="1"/>
  <c r="AO264" i="18"/>
  <c r="AO266" i="18" s="1"/>
  <c r="AO261" i="18"/>
  <c r="AP259" i="18" s="1"/>
  <c r="AX248" i="18"/>
  <c r="AS254" i="18"/>
  <c r="AM255" i="9"/>
  <c r="AM257" i="9" s="1"/>
  <c r="AM261" i="9" s="1"/>
  <c r="AN243" i="9"/>
  <c r="AN245" i="9" s="1"/>
  <c r="AM306" i="11"/>
  <c r="AM300" i="11"/>
  <c r="AM277" i="11"/>
  <c r="AM278" i="11" s="1"/>
  <c r="AT247" i="11"/>
  <c r="AU245" i="11" s="1"/>
  <c r="AU246" i="11" s="1"/>
  <c r="AT250" i="11"/>
  <c r="AW241" i="11"/>
  <c r="AX239" i="11" s="1"/>
  <c r="AX240" i="11" s="1"/>
  <c r="AW244" i="11"/>
  <c r="AO258" i="11"/>
  <c r="AO262" i="11" s="1"/>
  <c r="AP218" i="10"/>
  <c r="AP220" i="10" s="1"/>
  <c r="AK263" i="10"/>
  <c r="AK265" i="10" s="1"/>
  <c r="AK266" i="10" s="1"/>
  <c r="AK257" i="10"/>
  <c r="AK259" i="10" s="1"/>
  <c r="AK251" i="10"/>
  <c r="AK235" i="10"/>
  <c r="AL226" i="10"/>
  <c r="AL229" i="10" s="1"/>
  <c r="AM224" i="10"/>
  <c r="AQ209" i="10"/>
  <c r="AR207" i="10" s="1"/>
  <c r="AS206" i="10" s="1"/>
  <c r="AQ212" i="10"/>
  <c r="AQ214" i="10" s="1"/>
  <c r="AQ218" i="10" s="1"/>
  <c r="AO268" i="5"/>
  <c r="AN240" i="9"/>
  <c r="AO238" i="9" s="1"/>
  <c r="AM225" i="8"/>
  <c r="AM226" i="8" s="1"/>
  <c r="AM254" i="8"/>
  <c r="AM256" i="8" s="1"/>
  <c r="AM257" i="8" s="1"/>
  <c r="AV209" i="8"/>
  <c r="AN217" i="8"/>
  <c r="AN220" i="8" s="1"/>
  <c r="AQ212" i="8"/>
  <c r="AR210" i="8" s="1"/>
  <c r="AP246" i="5"/>
  <c r="AP248" i="5" s="1"/>
  <c r="AV206" i="8"/>
  <c r="AW204" i="8" s="1"/>
  <c r="AY199" i="8"/>
  <c r="AQ226" i="5"/>
  <c r="AQ229" i="5" s="1"/>
  <c r="AP232" i="5"/>
  <c r="AR224" i="5"/>
  <c r="AN260" i="5"/>
  <c r="AN269" i="5" s="1"/>
  <c r="AT218" i="5"/>
  <c r="AO260" i="5"/>
  <c r="AO269" i="5" s="1"/>
  <c r="AS220" i="5"/>
  <c r="AV206" i="5"/>
  <c r="AU208" i="5"/>
  <c r="AU212" i="5" s="1"/>
  <c r="AU214" i="5" s="1"/>
  <c r="AP257" i="20" l="1"/>
  <c r="AQ253" i="20"/>
  <c r="AQ257" i="20" s="1"/>
  <c r="AS239" i="20"/>
  <c r="AR241" i="20"/>
  <c r="AR245" i="20" s="1"/>
  <c r="AR247" i="20" s="1"/>
  <c r="AR251" i="20" s="1"/>
  <c r="AM263" i="20"/>
  <c r="AM265" i="20" s="1"/>
  <c r="AM266" i="20" s="1"/>
  <c r="AN264" i="20" s="1"/>
  <c r="O163" i="21"/>
  <c r="I163" i="21"/>
  <c r="N163" i="21"/>
  <c r="K163" i="21"/>
  <c r="J163" i="21"/>
  <c r="L163" i="21"/>
  <c r="M163" i="21"/>
  <c r="O170" i="21"/>
  <c r="O172" i="21" s="1"/>
  <c r="J170" i="21"/>
  <c r="J172" i="21" s="1"/>
  <c r="K170" i="21"/>
  <c r="K172" i="21" s="1"/>
  <c r="L170" i="21"/>
  <c r="L172" i="21" s="1"/>
  <c r="M170" i="21"/>
  <c r="M172" i="21" s="1"/>
  <c r="N170" i="21"/>
  <c r="N172" i="21" s="1"/>
  <c r="I170" i="21"/>
  <c r="I172" i="21" s="1"/>
  <c r="H161" i="21"/>
  <c r="H163" i="21" s="1"/>
  <c r="R342" i="23"/>
  <c r="S243" i="23"/>
  <c r="S245" i="23" s="1"/>
  <c r="S246" i="23" s="1"/>
  <c r="T244" i="23" s="1"/>
  <c r="S240" i="23"/>
  <c r="T238" i="23" s="1"/>
  <c r="S275" i="23"/>
  <c r="S234" i="23"/>
  <c r="T232" i="23" s="1"/>
  <c r="S269" i="23"/>
  <c r="AL270" i="9"/>
  <c r="AN306" i="11"/>
  <c r="AN308" i="11" s="1"/>
  <c r="AN309" i="11" s="1"/>
  <c r="AN300" i="11"/>
  <c r="AN302" i="11" s="1"/>
  <c r="AN303" i="11" s="1"/>
  <c r="AQ253" i="11"/>
  <c r="AR251" i="11" s="1"/>
  <c r="AR252" i="11" s="1"/>
  <c r="AO293" i="11"/>
  <c r="AO264" i="11"/>
  <c r="AQ273" i="11"/>
  <c r="AQ275" i="11" s="1"/>
  <c r="AQ256" i="11"/>
  <c r="AJ298" i="9"/>
  <c r="AJ307" i="9" s="1"/>
  <c r="AK303" i="9"/>
  <c r="AK304" i="9" s="1"/>
  <c r="AL284" i="9"/>
  <c r="AL286" i="9" s="1"/>
  <c r="AM263" i="9"/>
  <c r="AK298" i="9"/>
  <c r="AN249" i="9"/>
  <c r="AN251" i="9" s="1"/>
  <c r="AN252" i="9" s="1"/>
  <c r="AO250" i="9" s="1"/>
  <c r="AM269" i="20"/>
  <c r="AM288" i="20" s="1"/>
  <c r="AM291" i="20" s="1"/>
  <c r="AM260" i="20"/>
  <c r="AN258" i="20" s="1"/>
  <c r="AL274" i="20"/>
  <c r="AL275" i="20" s="1"/>
  <c r="AN314" i="18"/>
  <c r="AN316" i="18" s="1"/>
  <c r="AN317" i="18" s="1"/>
  <c r="AO270" i="18"/>
  <c r="AO272" i="18" s="1"/>
  <c r="AO273" i="18" s="1"/>
  <c r="AP271" i="18" s="1"/>
  <c r="AO267" i="18"/>
  <c r="AP265" i="18" s="1"/>
  <c r="AS258" i="18"/>
  <c r="AP260" i="18"/>
  <c r="AX252" i="18"/>
  <c r="AS255" i="18"/>
  <c r="AT253" i="18" s="1"/>
  <c r="AX249" i="18"/>
  <c r="AY247" i="18" s="1"/>
  <c r="AO239" i="9"/>
  <c r="AP237" i="9"/>
  <c r="AM302" i="11"/>
  <c r="AM303" i="11" s="1"/>
  <c r="AM308" i="11"/>
  <c r="AM309" i="11" s="1"/>
  <c r="AU250" i="11"/>
  <c r="AX241" i="11"/>
  <c r="AY239" i="11" s="1"/>
  <c r="AY240" i="11" s="1"/>
  <c r="AX244" i="11"/>
  <c r="AO259" i="11"/>
  <c r="AP257" i="11" s="1"/>
  <c r="AU247" i="11"/>
  <c r="AV245" i="11" s="1"/>
  <c r="AL232" i="10"/>
  <c r="AL234" i="10" s="1"/>
  <c r="AL246" i="10"/>
  <c r="AL248" i="10" s="1"/>
  <c r="AL250" i="10" s="1"/>
  <c r="AK268" i="10"/>
  <c r="AK260" i="10"/>
  <c r="AK269" i="10" s="1"/>
  <c r="AL227" i="10"/>
  <c r="AM225" i="10" s="1"/>
  <c r="AQ215" i="10"/>
  <c r="AR213" i="10" s="1"/>
  <c r="AR208" i="10"/>
  <c r="AR209" i="10" s="1"/>
  <c r="AS207" i="10" s="1"/>
  <c r="AP221" i="10"/>
  <c r="AN246" i="9"/>
  <c r="AO244" i="9" s="1"/>
  <c r="AM258" i="9"/>
  <c r="AN256" i="9" s="1"/>
  <c r="AQ232" i="5"/>
  <c r="AN223" i="8"/>
  <c r="AY200" i="8"/>
  <c r="AZ198" i="8" s="1"/>
  <c r="AZ199" i="8" s="1"/>
  <c r="AY203" i="8"/>
  <c r="AR211" i="8"/>
  <c r="AN218" i="8"/>
  <c r="AO216" i="8" s="1"/>
  <c r="AQ227" i="5"/>
  <c r="AR225" i="5" s="1"/>
  <c r="AR226" i="5" s="1"/>
  <c r="AQ246" i="5"/>
  <c r="AQ248" i="5" s="1"/>
  <c r="AP234" i="5"/>
  <c r="AP235" i="5" s="1"/>
  <c r="AW205" i="8"/>
  <c r="AP250" i="5"/>
  <c r="AP257" i="5"/>
  <c r="AP259" i="5" s="1"/>
  <c r="AP260" i="5" s="1"/>
  <c r="AP263" i="5"/>
  <c r="AP265" i="5" s="1"/>
  <c r="AP266" i="5" s="1"/>
  <c r="AU209" i="5"/>
  <c r="AU215" i="5"/>
  <c r="AV213" i="5" s="1"/>
  <c r="AS221" i="5"/>
  <c r="AQ254" i="20" l="1"/>
  <c r="AR252" i="20" s="1"/>
  <c r="AR253" i="20" s="1"/>
  <c r="AR248" i="20"/>
  <c r="AS246" i="20" s="1"/>
  <c r="AR242" i="20"/>
  <c r="AS240" i="20" s="1"/>
  <c r="H170" i="21"/>
  <c r="H172" i="21" s="1"/>
  <c r="R343" i="23"/>
  <c r="R346" i="23" s="1"/>
  <c r="R345" i="23"/>
  <c r="S249" i="23"/>
  <c r="S251" i="23" s="1"/>
  <c r="S287" i="23" s="1"/>
  <c r="S281" i="23"/>
  <c r="S255" i="23"/>
  <c r="S257" i="23" s="1"/>
  <c r="S270" i="23"/>
  <c r="S271" i="23" s="1"/>
  <c r="AK306" i="9"/>
  <c r="AN311" i="11"/>
  <c r="AN312" i="11"/>
  <c r="AO265" i="11"/>
  <c r="AP263" i="11" s="1"/>
  <c r="AO268" i="11"/>
  <c r="AO271" i="11" s="1"/>
  <c r="AO277" i="11" s="1"/>
  <c r="AO278" i="11" s="1"/>
  <c r="AR253" i="11"/>
  <c r="AS251" i="11" s="1"/>
  <c r="AS252" i="11" s="1"/>
  <c r="AR273" i="11"/>
  <c r="AR275" i="11" s="1"/>
  <c r="AR256" i="11"/>
  <c r="AM264" i="9"/>
  <c r="AN262" i="9" s="1"/>
  <c r="AM267" i="9"/>
  <c r="AL288" i="9"/>
  <c r="AL289" i="9" s="1"/>
  <c r="AL272" i="9"/>
  <c r="AL273" i="9" s="1"/>
  <c r="AL301" i="9"/>
  <c r="AL303" i="9" s="1"/>
  <c r="AL304" i="9" s="1"/>
  <c r="AL295" i="9"/>
  <c r="AK307" i="9"/>
  <c r="AO240" i="9"/>
  <c r="AP238" i="9" s="1"/>
  <c r="AN259" i="20"/>
  <c r="AM272" i="20"/>
  <c r="AM274" i="20" s="1"/>
  <c r="AM275" i="20" s="1"/>
  <c r="AO276" i="18"/>
  <c r="AO279" i="18" s="1"/>
  <c r="AO285" i="18" s="1"/>
  <c r="AO286" i="18" s="1"/>
  <c r="AP281" i="18"/>
  <c r="AP283" i="18" s="1"/>
  <c r="AP264" i="18"/>
  <c r="AP266" i="18" s="1"/>
  <c r="AP261" i="18"/>
  <c r="AQ259" i="18" s="1"/>
  <c r="AY248" i="18"/>
  <c r="AT254" i="18"/>
  <c r="AN255" i="9"/>
  <c r="AN257" i="9" s="1"/>
  <c r="AN261" i="9" s="1"/>
  <c r="AO243" i="9"/>
  <c r="AO245" i="9" s="1"/>
  <c r="AM312" i="11"/>
  <c r="AM311" i="11"/>
  <c r="AY241" i="11"/>
  <c r="AZ239" i="11" s="1"/>
  <c r="AZ240" i="11" s="1"/>
  <c r="AY244" i="11"/>
  <c r="AP258" i="11"/>
  <c r="AV246" i="11"/>
  <c r="AL263" i="10"/>
  <c r="AL265" i="10" s="1"/>
  <c r="AL266" i="10" s="1"/>
  <c r="AL235" i="10"/>
  <c r="AL257" i="10"/>
  <c r="AL259" i="10" s="1"/>
  <c r="AL251" i="10"/>
  <c r="AN224" i="10"/>
  <c r="AR212" i="10"/>
  <c r="AR214" i="10" s="1"/>
  <c r="AR215" i="10" s="1"/>
  <c r="AS213" i="10" s="1"/>
  <c r="AM226" i="10"/>
  <c r="AM229" i="10" s="1"/>
  <c r="AS208" i="10"/>
  <c r="AS209" i="10" s="1"/>
  <c r="AT207" i="10" s="1"/>
  <c r="AT206" i="10"/>
  <c r="AQ219" i="10"/>
  <c r="AQ220" i="10" s="1"/>
  <c r="AQ234" i="5"/>
  <c r="AQ235" i="5" s="1"/>
  <c r="AQ263" i="5"/>
  <c r="AQ265" i="5" s="1"/>
  <c r="AQ266" i="5" s="1"/>
  <c r="AQ250" i="5"/>
  <c r="AN254" i="8"/>
  <c r="AN256" i="8" s="1"/>
  <c r="AN257" i="8" s="1"/>
  <c r="AN225" i="8"/>
  <c r="AN226" i="8" s="1"/>
  <c r="AR212" i="8"/>
  <c r="AS210" i="8" s="1"/>
  <c r="AS211" i="8" s="1"/>
  <c r="AS215" i="8" s="1"/>
  <c r="AR215" i="8"/>
  <c r="AZ203" i="8"/>
  <c r="AW206" i="8"/>
  <c r="AX204" i="8" s="1"/>
  <c r="AX205" i="8" s="1"/>
  <c r="AW209" i="8"/>
  <c r="AO217" i="8"/>
  <c r="AO220" i="8" s="1"/>
  <c r="AQ257" i="5"/>
  <c r="AQ259" i="5" s="1"/>
  <c r="AQ260" i="5" s="1"/>
  <c r="AZ200" i="8"/>
  <c r="BA198" i="8" s="1"/>
  <c r="AP268" i="5"/>
  <c r="AP269" i="5"/>
  <c r="AS224" i="5"/>
  <c r="AR227" i="5"/>
  <c r="AS225" i="5" s="1"/>
  <c r="AR229" i="5"/>
  <c r="AT219" i="5"/>
  <c r="AT220" i="5" s="1"/>
  <c r="AV207" i="5"/>
  <c r="AW206" i="5" s="1"/>
  <c r="AS241" i="20" l="1"/>
  <c r="AS245" i="20" s="1"/>
  <c r="AS247" i="20" s="1"/>
  <c r="AS248" i="20" s="1"/>
  <c r="AT246" i="20" s="1"/>
  <c r="AT239" i="20"/>
  <c r="AN263" i="20"/>
  <c r="AN265" i="20" s="1"/>
  <c r="AN266" i="20" s="1"/>
  <c r="AO264" i="20" s="1"/>
  <c r="AR254" i="20"/>
  <c r="AS252" i="20" s="1"/>
  <c r="AR257" i="20"/>
  <c r="S252" i="23"/>
  <c r="T250" i="23" s="1"/>
  <c r="S260" i="23"/>
  <c r="S258" i="23"/>
  <c r="T256" i="23" s="1"/>
  <c r="S293" i="23"/>
  <c r="S274" i="23"/>
  <c r="S276" i="23" s="1"/>
  <c r="S277" i="23" s="1"/>
  <c r="AM270" i="9"/>
  <c r="AM301" i="9" s="1"/>
  <c r="AM303" i="9" s="1"/>
  <c r="AM304" i="9" s="1"/>
  <c r="AO306" i="11"/>
  <c r="AO308" i="11" s="1"/>
  <c r="AO309" i="11" s="1"/>
  <c r="AO300" i="11"/>
  <c r="AO302" i="11" s="1"/>
  <c r="AP262" i="11"/>
  <c r="AP264" i="11" s="1"/>
  <c r="AS273" i="11"/>
  <c r="AS275" i="11" s="1"/>
  <c r="AS253" i="11"/>
  <c r="AT251" i="11" s="1"/>
  <c r="AT252" i="11" s="1"/>
  <c r="AS256" i="11"/>
  <c r="AM284" i="9"/>
  <c r="AM286" i="9" s="1"/>
  <c r="AL297" i="9"/>
  <c r="AL306" i="9" s="1"/>
  <c r="AN263" i="9"/>
  <c r="AO246" i="9"/>
  <c r="AP244" i="9" s="1"/>
  <c r="AN269" i="20"/>
  <c r="AN288" i="20" s="1"/>
  <c r="AN291" i="20" s="1"/>
  <c r="AN260" i="20"/>
  <c r="AO258" i="20" s="1"/>
  <c r="AO259" i="20" s="1"/>
  <c r="AM303" i="20"/>
  <c r="AM305" i="20" s="1"/>
  <c r="AM306" i="20" s="1"/>
  <c r="AP270" i="18"/>
  <c r="AP272" i="18" s="1"/>
  <c r="AP273" i="18" s="1"/>
  <c r="AQ271" i="18" s="1"/>
  <c r="AO314" i="18"/>
  <c r="AO316" i="18" s="1"/>
  <c r="AO317" i="18" s="1"/>
  <c r="AP267" i="18"/>
  <c r="AQ265" i="18" s="1"/>
  <c r="AT255" i="18"/>
  <c r="AU253" i="18" s="1"/>
  <c r="AU254" i="18" s="1"/>
  <c r="AT258" i="18"/>
  <c r="AY249" i="18"/>
  <c r="AZ247" i="18" s="1"/>
  <c r="AZ248" i="18" s="1"/>
  <c r="AY252" i="18"/>
  <c r="AO249" i="9"/>
  <c r="AO251" i="9" s="1"/>
  <c r="AO252" i="9" s="1"/>
  <c r="AP250" i="9" s="1"/>
  <c r="AP239" i="9"/>
  <c r="AQ237" i="9"/>
  <c r="AV250" i="11"/>
  <c r="AZ241" i="11"/>
  <c r="BA239" i="11" s="1"/>
  <c r="BA240" i="11" s="1"/>
  <c r="AZ244" i="11"/>
  <c r="AP293" i="11"/>
  <c r="AP259" i="11"/>
  <c r="AQ257" i="11" s="1"/>
  <c r="AV247" i="11"/>
  <c r="AW245" i="11" s="1"/>
  <c r="AL268" i="10"/>
  <c r="AM232" i="10"/>
  <c r="AM234" i="10" s="1"/>
  <c r="AM246" i="10"/>
  <c r="AM248" i="10" s="1"/>
  <c r="AS212" i="10"/>
  <c r="AS214" i="10" s="1"/>
  <c r="AL260" i="10"/>
  <c r="AL269" i="10" s="1"/>
  <c r="AM227" i="10"/>
  <c r="AN225" i="10" s="1"/>
  <c r="AR218" i="10"/>
  <c r="AQ221" i="10"/>
  <c r="AT208" i="10"/>
  <c r="AU206" i="10"/>
  <c r="AN258" i="9"/>
  <c r="AO256" i="9" s="1"/>
  <c r="AQ269" i="5"/>
  <c r="AO223" i="8"/>
  <c r="AX209" i="8"/>
  <c r="AQ268" i="5"/>
  <c r="AO218" i="8"/>
  <c r="AP216" i="8" s="1"/>
  <c r="AX206" i="8"/>
  <c r="AY204" i="8" s="1"/>
  <c r="AR246" i="5"/>
  <c r="AR248" i="5" s="1"/>
  <c r="BA199" i="8"/>
  <c r="AS226" i="5"/>
  <c r="AS229" i="5" s="1"/>
  <c r="AS212" i="8"/>
  <c r="AT210" i="8" s="1"/>
  <c r="AT224" i="5"/>
  <c r="AR232" i="5"/>
  <c r="AU218" i="5"/>
  <c r="AT221" i="5"/>
  <c r="AU219" i="5" s="1"/>
  <c r="AV208" i="5"/>
  <c r="AV212" i="5" s="1"/>
  <c r="AV214" i="5" s="1"/>
  <c r="AV215" i="5" s="1"/>
  <c r="AW213" i="5" s="1"/>
  <c r="AS251" i="20" l="1"/>
  <c r="AS253" i="20" s="1"/>
  <c r="AS254" i="20" s="1"/>
  <c r="AT252" i="20" s="1"/>
  <c r="AS242" i="20"/>
  <c r="AT240" i="20" s="1"/>
  <c r="AO260" i="20"/>
  <c r="AP258" i="20" s="1"/>
  <c r="AP259" i="20" s="1"/>
  <c r="AP263" i="20" s="1"/>
  <c r="AO263" i="20"/>
  <c r="AO265" i="20" s="1"/>
  <c r="AO266" i="20" s="1"/>
  <c r="AP264" i="20" s="1"/>
  <c r="S302" i="23"/>
  <c r="S328" i="23" s="1"/>
  <c r="S317" i="23"/>
  <c r="S280" i="23"/>
  <c r="S282" i="23" s="1"/>
  <c r="S286" i="23" s="1"/>
  <c r="S288" i="23" s="1"/>
  <c r="AM288" i="9"/>
  <c r="AM289" i="9" s="1"/>
  <c r="AM272" i="9"/>
  <c r="AM273" i="9" s="1"/>
  <c r="AO303" i="11"/>
  <c r="AO312" i="11" s="1"/>
  <c r="AO311" i="11"/>
  <c r="AT253" i="11"/>
  <c r="AU251" i="11" s="1"/>
  <c r="AU252" i="11" s="1"/>
  <c r="AP265" i="11"/>
  <c r="AQ263" i="11" s="1"/>
  <c r="AP268" i="11"/>
  <c r="AP271" i="11" s="1"/>
  <c r="AT273" i="11"/>
  <c r="AT275" i="11" s="1"/>
  <c r="AT256" i="11"/>
  <c r="AM295" i="9"/>
  <c r="AM297" i="9" s="1"/>
  <c r="AM306" i="9" s="1"/>
  <c r="AL298" i="9"/>
  <c r="AL307" i="9" s="1"/>
  <c r="AN264" i="9"/>
  <c r="AO262" i="9" s="1"/>
  <c r="AN267" i="9"/>
  <c r="AP240" i="9"/>
  <c r="AQ238" i="9" s="1"/>
  <c r="AN272" i="20"/>
  <c r="AN274" i="20" s="1"/>
  <c r="AN275" i="20" s="1"/>
  <c r="AO269" i="20"/>
  <c r="AO288" i="20" s="1"/>
  <c r="AO291" i="20" s="1"/>
  <c r="AP276" i="18"/>
  <c r="AP279" i="18" s="1"/>
  <c r="AP285" i="18" s="1"/>
  <c r="AP286" i="18" s="1"/>
  <c r="AQ260" i="18"/>
  <c r="AU255" i="18"/>
  <c r="AV253" i="18" s="1"/>
  <c r="AV254" i="18" s="1"/>
  <c r="AU258" i="18"/>
  <c r="AZ249" i="18"/>
  <c r="BA247" i="18" s="1"/>
  <c r="BA248" i="18" s="1"/>
  <c r="AZ252" i="18"/>
  <c r="AO255" i="9"/>
  <c r="AO257" i="9" s="1"/>
  <c r="AO261" i="9" s="1"/>
  <c r="AP243" i="9"/>
  <c r="AP245" i="9" s="1"/>
  <c r="BA244" i="11"/>
  <c r="AQ258" i="11"/>
  <c r="AQ262" i="11" s="1"/>
  <c r="AW246" i="11"/>
  <c r="BA241" i="11"/>
  <c r="BB239" i="11" s="1"/>
  <c r="AM263" i="10"/>
  <c r="AM265" i="10" s="1"/>
  <c r="AM266" i="10" s="1"/>
  <c r="AM250" i="10"/>
  <c r="AM251" i="10" s="1"/>
  <c r="AM257" i="10"/>
  <c r="AM259" i="10" s="1"/>
  <c r="AM235" i="10"/>
  <c r="AN226" i="10"/>
  <c r="AN229" i="10" s="1"/>
  <c r="AO224" i="10"/>
  <c r="AR219" i="10"/>
  <c r="AR220" i="10" s="1"/>
  <c r="AS215" i="10"/>
  <c r="AT213" i="10" s="1"/>
  <c r="AT209" i="10"/>
  <c r="AU207" i="10" s="1"/>
  <c r="AT212" i="10"/>
  <c r="AS232" i="5"/>
  <c r="AO254" i="8"/>
  <c r="AO256" i="8" s="1"/>
  <c r="AO257" i="8" s="1"/>
  <c r="AO225" i="8"/>
  <c r="AO226" i="8" s="1"/>
  <c r="AS246" i="5"/>
  <c r="AS248" i="5" s="1"/>
  <c r="BA200" i="8"/>
  <c r="BB198" i="8" s="1"/>
  <c r="BB199" i="8" s="1"/>
  <c r="BA203" i="8"/>
  <c r="AP217" i="8"/>
  <c r="AP220" i="8" s="1"/>
  <c r="AS227" i="5"/>
  <c r="AT225" i="5" s="1"/>
  <c r="AT226" i="5" s="1"/>
  <c r="AT229" i="5" s="1"/>
  <c r="AT211" i="8"/>
  <c r="AT215" i="8" s="1"/>
  <c r="AR234" i="5"/>
  <c r="AR235" i="5" s="1"/>
  <c r="AR250" i="5"/>
  <c r="AY205" i="8"/>
  <c r="AR263" i="5"/>
  <c r="AR265" i="5" s="1"/>
  <c r="AR266" i="5" s="1"/>
  <c r="AR257" i="5"/>
  <c r="AR259" i="5" s="1"/>
  <c r="AU220" i="5"/>
  <c r="AU221" i="5" s="1"/>
  <c r="AV209" i="5"/>
  <c r="AW207" i="5" s="1"/>
  <c r="AW208" i="5" s="1"/>
  <c r="AW212" i="5" s="1"/>
  <c r="AW214" i="5" s="1"/>
  <c r="AW215" i="5" s="1"/>
  <c r="AX213" i="5" s="1"/>
  <c r="AV218" i="5"/>
  <c r="AU239" i="20" l="1"/>
  <c r="AT241" i="20"/>
  <c r="AT242" i="20" s="1"/>
  <c r="AU240" i="20" s="1"/>
  <c r="AS257" i="20"/>
  <c r="S330" i="23"/>
  <c r="S283" i="23"/>
  <c r="S292" i="23"/>
  <c r="S294" i="23" s="1"/>
  <c r="S297" i="23" s="1"/>
  <c r="S289" i="23"/>
  <c r="AN270" i="9"/>
  <c r="AQ293" i="11"/>
  <c r="AQ264" i="11"/>
  <c r="AU273" i="11"/>
  <c r="AU275" i="11" s="1"/>
  <c r="AU256" i="11"/>
  <c r="AU253" i="11"/>
  <c r="AV251" i="11" s="1"/>
  <c r="AV252" i="11" s="1"/>
  <c r="AN303" i="20"/>
  <c r="AN305" i="20" s="1"/>
  <c r="AN306" i="20" s="1"/>
  <c r="AM298" i="9"/>
  <c r="AM307" i="9" s="1"/>
  <c r="AO272" i="20"/>
  <c r="AO303" i="20" s="1"/>
  <c r="AO305" i="20" s="1"/>
  <c r="AO306" i="20" s="1"/>
  <c r="AN284" i="9"/>
  <c r="AN286" i="9" s="1"/>
  <c r="AO263" i="9"/>
  <c r="AO264" i="9" s="1"/>
  <c r="AP262" i="9" s="1"/>
  <c r="AP249" i="9"/>
  <c r="AP251" i="9" s="1"/>
  <c r="AP252" i="9" s="1"/>
  <c r="AQ250" i="9" s="1"/>
  <c r="AP260" i="20"/>
  <c r="AQ258" i="20" s="1"/>
  <c r="AP265" i="20"/>
  <c r="AP266" i="20" s="1"/>
  <c r="AQ264" i="20" s="1"/>
  <c r="AP269" i="20"/>
  <c r="AP288" i="20" s="1"/>
  <c r="AP291" i="20" s="1"/>
  <c r="AP314" i="18"/>
  <c r="AP316" i="18" s="1"/>
  <c r="AP317" i="18" s="1"/>
  <c r="AQ281" i="18"/>
  <c r="AQ283" i="18" s="1"/>
  <c r="AV258" i="18"/>
  <c r="AQ264" i="18"/>
  <c r="AQ266" i="18" s="1"/>
  <c r="AQ261" i="18"/>
  <c r="AR259" i="18" s="1"/>
  <c r="BA252" i="18"/>
  <c r="BA249" i="18"/>
  <c r="BB247" i="18" s="1"/>
  <c r="AV255" i="18"/>
  <c r="AW253" i="18" s="1"/>
  <c r="AP246" i="9"/>
  <c r="AQ244" i="9" s="1"/>
  <c r="AQ239" i="9"/>
  <c r="AR237" i="9"/>
  <c r="AP277" i="11"/>
  <c r="AP278" i="11" s="1"/>
  <c r="AP306" i="11"/>
  <c r="AP308" i="11" s="1"/>
  <c r="AP309" i="11" s="1"/>
  <c r="AP300" i="11"/>
  <c r="AP302" i="11" s="1"/>
  <c r="AW247" i="11"/>
  <c r="AX245" i="11" s="1"/>
  <c r="AX246" i="11" s="1"/>
  <c r="AW250" i="11"/>
  <c r="AQ259" i="11"/>
  <c r="AR257" i="11" s="1"/>
  <c r="BB240" i="11"/>
  <c r="AM268" i="10"/>
  <c r="AN232" i="10"/>
  <c r="AN234" i="10" s="1"/>
  <c r="AN246" i="10"/>
  <c r="AN248" i="10" s="1"/>
  <c r="AN250" i="10" s="1"/>
  <c r="AM260" i="10"/>
  <c r="AM269" i="10" s="1"/>
  <c r="AN227" i="10"/>
  <c r="AO225" i="10" s="1"/>
  <c r="AR221" i="10"/>
  <c r="AS219" i="10" s="1"/>
  <c r="AT214" i="10"/>
  <c r="AS218" i="10"/>
  <c r="AU208" i="10"/>
  <c r="AV206" i="10"/>
  <c r="AO258" i="9"/>
  <c r="AP256" i="9" s="1"/>
  <c r="AS234" i="5"/>
  <c r="AS235" i="5" s="1"/>
  <c r="AS263" i="5"/>
  <c r="AS265" i="5" s="1"/>
  <c r="AS266" i="5" s="1"/>
  <c r="AS257" i="5"/>
  <c r="AS259" i="5" s="1"/>
  <c r="AS250" i="5"/>
  <c r="AP223" i="8"/>
  <c r="AP225" i="8" s="1"/>
  <c r="BB203" i="8"/>
  <c r="AY206" i="8"/>
  <c r="AZ204" i="8" s="1"/>
  <c r="AZ205" i="8" s="1"/>
  <c r="AY209" i="8"/>
  <c r="AP218" i="8"/>
  <c r="AQ216" i="8" s="1"/>
  <c r="AT246" i="5"/>
  <c r="AT248" i="5" s="1"/>
  <c r="AT212" i="8"/>
  <c r="AU210" i="8" s="1"/>
  <c r="BB200" i="8"/>
  <c r="BC198" i="8" s="1"/>
  <c r="AR268" i="5"/>
  <c r="AR260" i="5"/>
  <c r="AR269" i="5" s="1"/>
  <c r="AU224" i="5"/>
  <c r="AT227" i="5"/>
  <c r="AU225" i="5" s="1"/>
  <c r="AT232" i="5"/>
  <c r="AV219" i="5"/>
  <c r="AV220" i="5" s="1"/>
  <c r="AX206" i="5"/>
  <c r="AW209" i="5"/>
  <c r="AX207" i="5" s="1"/>
  <c r="AU241" i="20" l="1"/>
  <c r="AU245" i="20" s="1"/>
  <c r="AV239" i="20"/>
  <c r="AT245" i="20"/>
  <c r="AT247" i="20" s="1"/>
  <c r="AT248" i="20" s="1"/>
  <c r="AU246" i="20" s="1"/>
  <c r="S331" i="23"/>
  <c r="S299" i="23"/>
  <c r="S322" i="23" s="1"/>
  <c r="S303" i="23"/>
  <c r="S334" i="23" s="1"/>
  <c r="S336" i="23" s="1"/>
  <c r="S295" i="23"/>
  <c r="T203" i="23"/>
  <c r="T311" i="23" s="1"/>
  <c r="AQ265" i="11"/>
  <c r="AR263" i="11" s="1"/>
  <c r="AQ268" i="11"/>
  <c r="AQ271" i="11" s="1"/>
  <c r="AV273" i="11"/>
  <c r="AV275" i="11" s="1"/>
  <c r="AO274" i="20"/>
  <c r="AO275" i="20" s="1"/>
  <c r="AP255" i="9"/>
  <c r="AP257" i="9" s="1"/>
  <c r="AP261" i="9" s="1"/>
  <c r="AO267" i="9"/>
  <c r="AN272" i="9"/>
  <c r="AN273" i="9" s="1"/>
  <c r="AN301" i="9"/>
  <c r="AN303" i="9" s="1"/>
  <c r="AN304" i="9" s="1"/>
  <c r="AN295" i="9"/>
  <c r="AN288" i="9"/>
  <c r="AN289" i="9" s="1"/>
  <c r="AQ240" i="9"/>
  <c r="AR238" i="9" s="1"/>
  <c r="AQ270" i="18"/>
  <c r="AQ272" i="18" s="1"/>
  <c r="AQ273" i="18" s="1"/>
  <c r="AR271" i="18" s="1"/>
  <c r="AP272" i="20"/>
  <c r="AP274" i="20" s="1"/>
  <c r="AP275" i="20" s="1"/>
  <c r="AQ259" i="20"/>
  <c r="AQ263" i="20" s="1"/>
  <c r="AQ267" i="18"/>
  <c r="AR265" i="18" s="1"/>
  <c r="AR260" i="18"/>
  <c r="AW254" i="18"/>
  <c r="BB248" i="18"/>
  <c r="AQ243" i="9"/>
  <c r="AQ245" i="9" s="1"/>
  <c r="AP311" i="11"/>
  <c r="AV256" i="11"/>
  <c r="AP303" i="11"/>
  <c r="AP312" i="11" s="1"/>
  <c r="AX250" i="11"/>
  <c r="BB244" i="11"/>
  <c r="AR258" i="11"/>
  <c r="AR262" i="11" s="1"/>
  <c r="AV253" i="11"/>
  <c r="AW251" i="11" s="1"/>
  <c r="AX247" i="11"/>
  <c r="AY245" i="11" s="1"/>
  <c r="BB241" i="11"/>
  <c r="BC239" i="11" s="1"/>
  <c r="AN263" i="10"/>
  <c r="AN265" i="10" s="1"/>
  <c r="AN266" i="10" s="1"/>
  <c r="AN257" i="10"/>
  <c r="AN259" i="10" s="1"/>
  <c r="AN260" i="10" s="1"/>
  <c r="AN251" i="10"/>
  <c r="AN235" i="10"/>
  <c r="AT218" i="10"/>
  <c r="AO226" i="10"/>
  <c r="AO229" i="10" s="1"/>
  <c r="AP224" i="10"/>
  <c r="AT215" i="10"/>
  <c r="AU213" i="10" s="1"/>
  <c r="AS220" i="10"/>
  <c r="AU209" i="10"/>
  <c r="AV207" i="10" s="1"/>
  <c r="AU212" i="10"/>
  <c r="AS268" i="5"/>
  <c r="AS260" i="5"/>
  <c r="AS269" i="5" s="1"/>
  <c r="AP226" i="8"/>
  <c r="AP254" i="8"/>
  <c r="AP256" i="8" s="1"/>
  <c r="AP257" i="8" s="1"/>
  <c r="AZ206" i="8"/>
  <c r="BA204" i="8" s="1"/>
  <c r="BA205" i="8" s="1"/>
  <c r="AZ209" i="8"/>
  <c r="AQ217" i="8"/>
  <c r="AQ220" i="8" s="1"/>
  <c r="AT263" i="5"/>
  <c r="AT265" i="5" s="1"/>
  <c r="AT266" i="5" s="1"/>
  <c r="BC199" i="8"/>
  <c r="AU211" i="8"/>
  <c r="AU215" i="8" s="1"/>
  <c r="AT234" i="5"/>
  <c r="AT235" i="5" s="1"/>
  <c r="AT250" i="5"/>
  <c r="AT257" i="5"/>
  <c r="AT259" i="5" s="1"/>
  <c r="AU226" i="5"/>
  <c r="AU227" i="5" s="1"/>
  <c r="AV225" i="5" s="1"/>
  <c r="AW218" i="5"/>
  <c r="AX208" i="5"/>
  <c r="AX209" i="5" s="1"/>
  <c r="AY207" i="5" s="1"/>
  <c r="AZ206" i="5" s="1"/>
  <c r="AV221" i="5"/>
  <c r="AW219" i="5" s="1"/>
  <c r="AV224" i="5"/>
  <c r="AY206" i="5"/>
  <c r="AU247" i="20" l="1"/>
  <c r="AU251" i="20" s="1"/>
  <c r="AU242" i="20"/>
  <c r="AV240" i="20" s="1"/>
  <c r="AT251" i="20"/>
  <c r="AT253" i="20" s="1"/>
  <c r="S340" i="23"/>
  <c r="S342" i="23" s="1"/>
  <c r="S343" i="23" s="1"/>
  <c r="S337" i="23"/>
  <c r="T313" i="23"/>
  <c r="T315" i="23"/>
  <c r="S305" i="23"/>
  <c r="S306" i="23" s="1"/>
  <c r="T262" i="23"/>
  <c r="T264" i="23" s="1"/>
  <c r="T268" i="23" s="1"/>
  <c r="T225" i="23"/>
  <c r="T227" i="23" s="1"/>
  <c r="AO270" i="9"/>
  <c r="AQ306" i="11"/>
  <c r="AQ308" i="11" s="1"/>
  <c r="AQ309" i="11" s="1"/>
  <c r="AQ277" i="11"/>
  <c r="AQ278" i="11" s="1"/>
  <c r="AQ300" i="11"/>
  <c r="AQ302" i="11" s="1"/>
  <c r="AR264" i="11"/>
  <c r="AN297" i="9"/>
  <c r="AN306" i="9" s="1"/>
  <c r="AP263" i="9"/>
  <c r="AO284" i="9"/>
  <c r="AQ249" i="9"/>
  <c r="AQ251" i="9" s="1"/>
  <c r="AQ252" i="9" s="1"/>
  <c r="AR250" i="9" s="1"/>
  <c r="AQ276" i="18"/>
  <c r="AQ279" i="18" s="1"/>
  <c r="AQ285" i="18" s="1"/>
  <c r="AQ286" i="18" s="1"/>
  <c r="AR281" i="18"/>
  <c r="AR283" i="18" s="1"/>
  <c r="AQ265" i="20"/>
  <c r="AQ266" i="20" s="1"/>
  <c r="AR264" i="20" s="1"/>
  <c r="AP303" i="20"/>
  <c r="AP305" i="20" s="1"/>
  <c r="AP306" i="20" s="1"/>
  <c r="AQ260" i="20"/>
  <c r="AR258" i="20" s="1"/>
  <c r="AQ269" i="20"/>
  <c r="AQ288" i="20" s="1"/>
  <c r="AQ291" i="20" s="1"/>
  <c r="AR261" i="18"/>
  <c r="AR264" i="18"/>
  <c r="AR266" i="18" s="1"/>
  <c r="AW255" i="18"/>
  <c r="AX253" i="18" s="1"/>
  <c r="AX254" i="18" s="1"/>
  <c r="AW258" i="18"/>
  <c r="BB252" i="18"/>
  <c r="BB249" i="18"/>
  <c r="BC247" i="18" s="1"/>
  <c r="AR293" i="11"/>
  <c r="AQ246" i="9"/>
  <c r="AR244" i="9" s="1"/>
  <c r="AR239" i="9"/>
  <c r="AS237" i="9"/>
  <c r="AR259" i="11"/>
  <c r="AS257" i="11" s="1"/>
  <c r="BC240" i="11"/>
  <c r="AY246" i="11"/>
  <c r="AW252" i="11"/>
  <c r="AO232" i="10"/>
  <c r="AO234" i="10" s="1"/>
  <c r="AO246" i="10"/>
  <c r="AO248" i="10" s="1"/>
  <c r="AO250" i="10" s="1"/>
  <c r="AN268" i="10"/>
  <c r="AN269" i="10"/>
  <c r="AO227" i="10"/>
  <c r="AP225" i="10" s="1"/>
  <c r="AU214" i="10"/>
  <c r="AU215" i="10" s="1"/>
  <c r="AV213" i="10" s="1"/>
  <c r="AS221" i="10"/>
  <c r="AT219" i="10" s="1"/>
  <c r="AT220" i="10" s="1"/>
  <c r="AW206" i="10"/>
  <c r="AV208" i="10"/>
  <c r="AP258" i="9"/>
  <c r="AQ256" i="9" s="1"/>
  <c r="AQ223" i="8"/>
  <c r="BA209" i="8"/>
  <c r="BC203" i="8"/>
  <c r="AV226" i="5"/>
  <c r="AV227" i="5" s="1"/>
  <c r="AW225" i="5" s="1"/>
  <c r="AT268" i="5"/>
  <c r="AQ218" i="8"/>
  <c r="AR216" i="8" s="1"/>
  <c r="AT260" i="5"/>
  <c r="AT269" i="5" s="1"/>
  <c r="BA206" i="8"/>
  <c r="BB204" i="8" s="1"/>
  <c r="AU212" i="8"/>
  <c r="AV210" i="8" s="1"/>
  <c r="BC200" i="8"/>
  <c r="BD198" i="8" s="1"/>
  <c r="AU229" i="5"/>
  <c r="AW220" i="5"/>
  <c r="AW224" i="5" s="1"/>
  <c r="AX212" i="5"/>
  <c r="AX214" i="5" s="1"/>
  <c r="AX215" i="5" s="1"/>
  <c r="AY213" i="5" s="1"/>
  <c r="AY208" i="5"/>
  <c r="AY212" i="5" s="1"/>
  <c r="AT254" i="20" l="1"/>
  <c r="AU252" i="20" s="1"/>
  <c r="AU253" i="20" s="1"/>
  <c r="AT257" i="20"/>
  <c r="AW239" i="20"/>
  <c r="AV241" i="20"/>
  <c r="AV242" i="20" s="1"/>
  <c r="AW240" i="20" s="1"/>
  <c r="AU248" i="20"/>
  <c r="AV246" i="20" s="1"/>
  <c r="S346" i="23"/>
  <c r="S345" i="23"/>
  <c r="T319" i="23"/>
  <c r="T321" i="23" s="1"/>
  <c r="T231" i="23"/>
  <c r="T233" i="23" s="1"/>
  <c r="T237" i="23" s="1"/>
  <c r="T239" i="23" s="1"/>
  <c r="T240" i="23" s="1"/>
  <c r="U238" i="23" s="1"/>
  <c r="AQ303" i="11"/>
  <c r="AQ312" i="11" s="1"/>
  <c r="AQ311" i="11"/>
  <c r="AR265" i="11"/>
  <c r="AS263" i="11" s="1"/>
  <c r="AR268" i="11"/>
  <c r="AR271" i="11" s="1"/>
  <c r="AR277" i="11" s="1"/>
  <c r="AR278" i="11" s="1"/>
  <c r="AW273" i="11"/>
  <c r="AW275" i="11" s="1"/>
  <c r="AO286" i="9"/>
  <c r="AQ255" i="9"/>
  <c r="AQ257" i="9" s="1"/>
  <c r="AQ261" i="9" s="1"/>
  <c r="AN298" i="9"/>
  <c r="AN307" i="9" s="1"/>
  <c r="AP264" i="9"/>
  <c r="AQ262" i="9" s="1"/>
  <c r="AP267" i="9"/>
  <c r="AO272" i="9"/>
  <c r="AO273" i="9" s="1"/>
  <c r="AO301" i="9"/>
  <c r="AO303" i="9" s="1"/>
  <c r="AO304" i="9" s="1"/>
  <c r="AR240" i="9"/>
  <c r="AS238" i="9" s="1"/>
  <c r="AT237" i="9" s="1"/>
  <c r="AR270" i="18"/>
  <c r="AR272" i="18" s="1"/>
  <c r="AS259" i="18"/>
  <c r="AS260" i="18" s="1"/>
  <c r="AQ272" i="20"/>
  <c r="AQ274" i="20" s="1"/>
  <c r="AQ275" i="20" s="1"/>
  <c r="AR259" i="20"/>
  <c r="AR263" i="20" s="1"/>
  <c r="AQ314" i="18"/>
  <c r="AQ316" i="18" s="1"/>
  <c r="AQ317" i="18" s="1"/>
  <c r="AR267" i="18"/>
  <c r="AX258" i="18"/>
  <c r="BC248" i="18"/>
  <c r="AX255" i="18"/>
  <c r="AY253" i="18" s="1"/>
  <c r="AR243" i="9"/>
  <c r="AR245" i="9" s="1"/>
  <c r="AW256" i="11"/>
  <c r="AY247" i="11"/>
  <c r="AZ245" i="11" s="1"/>
  <c r="AZ246" i="11" s="1"/>
  <c r="AY250" i="11"/>
  <c r="BC244" i="11"/>
  <c r="AS258" i="11"/>
  <c r="AS262" i="11" s="1"/>
  <c r="AW253" i="11"/>
  <c r="AX251" i="11" s="1"/>
  <c r="BC241" i="11"/>
  <c r="BD239" i="11" s="1"/>
  <c r="AO263" i="10"/>
  <c r="AO265" i="10" s="1"/>
  <c r="AO266" i="10" s="1"/>
  <c r="AO257" i="10"/>
  <c r="AO259" i="10" s="1"/>
  <c r="AO251" i="10"/>
  <c r="AO235" i="10"/>
  <c r="AP226" i="10"/>
  <c r="AP229" i="10" s="1"/>
  <c r="AQ224" i="10"/>
  <c r="AT221" i="10"/>
  <c r="AU219" i="10" s="1"/>
  <c r="AU218" i="10"/>
  <c r="AV209" i="10"/>
  <c r="AW207" i="10" s="1"/>
  <c r="AV212" i="10"/>
  <c r="AV214" i="10" s="1"/>
  <c r="AV215" i="10" s="1"/>
  <c r="AW213" i="10" s="1"/>
  <c r="AU232" i="5"/>
  <c r="AQ254" i="8"/>
  <c r="AQ256" i="8" s="1"/>
  <c r="AQ257" i="8" s="1"/>
  <c r="AQ225" i="8"/>
  <c r="AQ226" i="8" s="1"/>
  <c r="AW226" i="5"/>
  <c r="AW229" i="5" s="1"/>
  <c r="AV229" i="5"/>
  <c r="AR217" i="8"/>
  <c r="AR220" i="8" s="1"/>
  <c r="AV211" i="8"/>
  <c r="AV215" i="8" s="1"/>
  <c r="AU246" i="5"/>
  <c r="AU248" i="5" s="1"/>
  <c r="BB205" i="8"/>
  <c r="BD199" i="8"/>
  <c r="AX218" i="5"/>
  <c r="AY209" i="5"/>
  <c r="AZ207" i="5" s="1"/>
  <c r="AZ208" i="5" s="1"/>
  <c r="AW221" i="5"/>
  <c r="AX219" i="5" s="1"/>
  <c r="AY214" i="5"/>
  <c r="AY215" i="5" s="1"/>
  <c r="AZ213" i="5" s="1"/>
  <c r="AV245" i="20" l="1"/>
  <c r="AV247" i="20" s="1"/>
  <c r="AX239" i="20"/>
  <c r="AW241" i="20"/>
  <c r="AW242" i="20" s="1"/>
  <c r="AX240" i="20" s="1"/>
  <c r="AU254" i="20"/>
  <c r="AV252" i="20" s="1"/>
  <c r="AU257" i="20"/>
  <c r="T269" i="23"/>
  <c r="T270" i="23" s="1"/>
  <c r="T271" i="23" s="1"/>
  <c r="T234" i="23"/>
  <c r="U232" i="23" s="1"/>
  <c r="T275" i="23"/>
  <c r="T243" i="23"/>
  <c r="T245" i="23" s="1"/>
  <c r="T246" i="23" s="1"/>
  <c r="U244" i="23" s="1"/>
  <c r="AP270" i="9"/>
  <c r="AO288" i="9"/>
  <c r="AO289" i="9" s="1"/>
  <c r="AR306" i="11"/>
  <c r="AR308" i="11" s="1"/>
  <c r="AR309" i="11" s="1"/>
  <c r="AR300" i="11"/>
  <c r="AR302" i="11" s="1"/>
  <c r="AS293" i="11"/>
  <c r="AS264" i="11"/>
  <c r="AO295" i="9"/>
  <c r="AO297" i="9" s="1"/>
  <c r="AO306" i="9" s="1"/>
  <c r="AP284" i="9"/>
  <c r="AQ263" i="9"/>
  <c r="AR249" i="9"/>
  <c r="AR251" i="9" s="1"/>
  <c r="AR252" i="9" s="1"/>
  <c r="AS250" i="9" s="1"/>
  <c r="AQ258" i="9"/>
  <c r="AR256" i="9" s="1"/>
  <c r="AR273" i="18"/>
  <c r="AS271" i="18" s="1"/>
  <c r="AR276" i="18"/>
  <c r="AR279" i="18" s="1"/>
  <c r="AR285" i="18" s="1"/>
  <c r="AR286" i="18" s="1"/>
  <c r="AS281" i="18"/>
  <c r="AS283" i="18" s="1"/>
  <c r="AS264" i="18"/>
  <c r="AS261" i="18"/>
  <c r="AR265" i="20"/>
  <c r="AR266" i="20" s="1"/>
  <c r="AS264" i="20" s="1"/>
  <c r="AQ303" i="20"/>
  <c r="AQ305" i="20" s="1"/>
  <c r="AQ306" i="20" s="1"/>
  <c r="AR260" i="20"/>
  <c r="AS258" i="20" s="1"/>
  <c r="AR269" i="20"/>
  <c r="AR288" i="20" s="1"/>
  <c r="AR291" i="20" s="1"/>
  <c r="AS265" i="18"/>
  <c r="BC249" i="18"/>
  <c r="BD247" i="18" s="1"/>
  <c r="BD248" i="18" s="1"/>
  <c r="BC252" i="18"/>
  <c r="AY254" i="18"/>
  <c r="AR246" i="9"/>
  <c r="AS244" i="9" s="1"/>
  <c r="AZ247" i="11"/>
  <c r="BA245" i="11" s="1"/>
  <c r="BA246" i="11" s="1"/>
  <c r="AZ250" i="11"/>
  <c r="AS259" i="11"/>
  <c r="AT257" i="11" s="1"/>
  <c r="BD240" i="11"/>
  <c r="AX252" i="11"/>
  <c r="AO268" i="10"/>
  <c r="AO260" i="10"/>
  <c r="AO269" i="10" s="1"/>
  <c r="AP232" i="10"/>
  <c r="AP234" i="10" s="1"/>
  <c r="AP246" i="10"/>
  <c r="AP248" i="10" s="1"/>
  <c r="AP250" i="10" s="1"/>
  <c r="AP227" i="10"/>
  <c r="AQ225" i="10" s="1"/>
  <c r="AU220" i="10"/>
  <c r="AV218" i="10"/>
  <c r="AW208" i="10"/>
  <c r="AX206" i="10"/>
  <c r="AS239" i="9"/>
  <c r="AU257" i="5"/>
  <c r="AU259" i="5" s="1"/>
  <c r="AV246" i="5"/>
  <c r="AV248" i="5" s="1"/>
  <c r="AU263" i="5"/>
  <c r="AU265" i="5" s="1"/>
  <c r="AU266" i="5" s="1"/>
  <c r="AU234" i="5"/>
  <c r="AU235" i="5" s="1"/>
  <c r="AW246" i="5"/>
  <c r="AW248" i="5" s="1"/>
  <c r="AW232" i="5"/>
  <c r="AW227" i="5"/>
  <c r="AX225" i="5" s="1"/>
  <c r="AV232" i="5"/>
  <c r="AR223" i="8"/>
  <c r="BB209" i="8"/>
  <c r="BD203" i="8"/>
  <c r="AR218" i="8"/>
  <c r="AS216" i="8" s="1"/>
  <c r="AX220" i="5"/>
  <c r="AX224" i="5" s="1"/>
  <c r="BD200" i="8"/>
  <c r="BE198" i="8" s="1"/>
  <c r="BB206" i="8"/>
  <c r="BC204" i="8" s="1"/>
  <c r="AV212" i="8"/>
  <c r="AW210" i="8" s="1"/>
  <c r="AU250" i="5"/>
  <c r="AY218" i="5"/>
  <c r="BA206" i="5"/>
  <c r="AZ212" i="5"/>
  <c r="AZ214" i="5" s="1"/>
  <c r="AZ215" i="5" s="1"/>
  <c r="BA213" i="5" s="1"/>
  <c r="AZ209" i="5"/>
  <c r="AY239" i="20" l="1"/>
  <c r="AX241" i="20"/>
  <c r="AX242" i="20" s="1"/>
  <c r="AY240" i="20" s="1"/>
  <c r="AV251" i="20"/>
  <c r="AV253" i="20" s="1"/>
  <c r="AV257" i="20" s="1"/>
  <c r="AV248" i="20"/>
  <c r="AW246" i="20" s="1"/>
  <c r="AW245" i="20"/>
  <c r="T274" i="23"/>
  <c r="T276" i="23" s="1"/>
  <c r="T277" i="23" s="1"/>
  <c r="T255" i="23"/>
  <c r="T257" i="23" s="1"/>
  <c r="T281" i="23"/>
  <c r="T249" i="23"/>
  <c r="T251" i="23" s="1"/>
  <c r="AP301" i="9"/>
  <c r="AP303" i="9" s="1"/>
  <c r="AP304" i="9" s="1"/>
  <c r="AP272" i="9"/>
  <c r="AP273" i="9" s="1"/>
  <c r="AR311" i="11"/>
  <c r="AR303" i="11"/>
  <c r="AR312" i="11" s="1"/>
  <c r="AS265" i="11"/>
  <c r="AT263" i="11" s="1"/>
  <c r="AS268" i="11"/>
  <c r="AS271" i="11" s="1"/>
  <c r="AS306" i="11" s="1"/>
  <c r="AS308" i="11" s="1"/>
  <c r="AS309" i="11" s="1"/>
  <c r="AX273" i="11"/>
  <c r="AX275" i="11" s="1"/>
  <c r="AP286" i="9"/>
  <c r="AR255" i="9"/>
  <c r="AR257" i="9" s="1"/>
  <c r="AR261" i="9" s="1"/>
  <c r="AO298" i="9"/>
  <c r="AO307" i="9" s="1"/>
  <c r="AQ264" i="9"/>
  <c r="AR262" i="9" s="1"/>
  <c r="AQ267" i="9"/>
  <c r="AS266" i="18"/>
  <c r="AS270" i="18" s="1"/>
  <c r="AS272" i="18" s="1"/>
  <c r="AS273" i="18" s="1"/>
  <c r="AT271" i="18" s="1"/>
  <c r="AT259" i="18"/>
  <c r="AS259" i="20"/>
  <c r="AS263" i="20" s="1"/>
  <c r="AR272" i="20"/>
  <c r="AR274" i="20" s="1"/>
  <c r="AR275" i="20" s="1"/>
  <c r="AR314" i="18"/>
  <c r="AR316" i="18" s="1"/>
  <c r="AR317" i="18" s="1"/>
  <c r="AY255" i="18"/>
  <c r="AZ253" i="18" s="1"/>
  <c r="AZ254" i="18" s="1"/>
  <c r="AY258" i="18"/>
  <c r="BD249" i="18"/>
  <c r="BE247" i="18" s="1"/>
  <c r="BE248" i="18" s="1"/>
  <c r="BD252" i="18"/>
  <c r="AS243" i="9"/>
  <c r="AS245" i="9" s="1"/>
  <c r="AX256" i="11"/>
  <c r="BA250" i="11"/>
  <c r="BD241" i="11"/>
  <c r="BE239" i="11" s="1"/>
  <c r="BE240" i="11" s="1"/>
  <c r="BD244" i="11"/>
  <c r="AT258" i="11"/>
  <c r="AT262" i="11" s="1"/>
  <c r="AX253" i="11"/>
  <c r="AY251" i="11" s="1"/>
  <c r="BA247" i="11"/>
  <c r="BB245" i="11" s="1"/>
  <c r="AP263" i="10"/>
  <c r="AP265" i="10" s="1"/>
  <c r="AP266" i="10" s="1"/>
  <c r="AP257" i="10"/>
  <c r="AP259" i="10" s="1"/>
  <c r="AP251" i="10"/>
  <c r="AP235" i="10"/>
  <c r="AR224" i="10"/>
  <c r="AQ226" i="10"/>
  <c r="AQ229" i="10" s="1"/>
  <c r="AU221" i="10"/>
  <c r="AV219" i="10" s="1"/>
  <c r="AV220" i="10" s="1"/>
  <c r="AW209" i="10"/>
  <c r="AX207" i="10" s="1"/>
  <c r="AW212" i="10"/>
  <c r="AW214" i="10" s="1"/>
  <c r="AW215" i="10" s="1"/>
  <c r="AX213" i="10" s="1"/>
  <c r="AW263" i="5"/>
  <c r="AW265" i="5" s="1"/>
  <c r="AW266" i="5" s="1"/>
  <c r="AS240" i="9"/>
  <c r="AT238" i="9" s="1"/>
  <c r="AU237" i="9" s="1"/>
  <c r="AU268" i="5"/>
  <c r="AV250" i="5"/>
  <c r="AW250" i="5"/>
  <c r="AW257" i="5"/>
  <c r="AW259" i="5" s="1"/>
  <c r="AV263" i="5"/>
  <c r="AV265" i="5" s="1"/>
  <c r="AV266" i="5" s="1"/>
  <c r="AU260" i="5"/>
  <c r="AU269" i="5" s="1"/>
  <c r="AX226" i="5"/>
  <c r="AX227" i="5" s="1"/>
  <c r="AY225" i="5" s="1"/>
  <c r="AV257" i="5"/>
  <c r="AV259" i="5" s="1"/>
  <c r="AW234" i="5"/>
  <c r="AW235" i="5" s="1"/>
  <c r="AV234" i="5"/>
  <c r="AV235" i="5" s="1"/>
  <c r="AR254" i="8"/>
  <c r="AR256" i="8" s="1"/>
  <c r="AR257" i="8" s="1"/>
  <c r="AR225" i="8"/>
  <c r="AR226" i="8" s="1"/>
  <c r="AX221" i="5"/>
  <c r="AY219" i="5" s="1"/>
  <c r="AY220" i="5" s="1"/>
  <c r="AS217" i="8"/>
  <c r="AS220" i="8" s="1"/>
  <c r="BC205" i="8"/>
  <c r="BE199" i="8"/>
  <c r="AW211" i="8"/>
  <c r="AW215" i="8" s="1"/>
  <c r="BA207" i="5"/>
  <c r="BA208" i="5" s="1"/>
  <c r="BA212" i="5" s="1"/>
  <c r="BA214" i="5" s="1"/>
  <c r="BA215" i="5" s="1"/>
  <c r="BB213" i="5" s="1"/>
  <c r="AZ239" i="20" l="1"/>
  <c r="AY241" i="20"/>
  <c r="AY242" i="20" s="1"/>
  <c r="AZ240" i="20" s="1"/>
  <c r="AV254" i="20"/>
  <c r="AW252" i="20" s="1"/>
  <c r="AX245" i="20"/>
  <c r="AW247" i="20"/>
  <c r="AW248" i="20" s="1"/>
  <c r="AX246" i="20" s="1"/>
  <c r="T280" i="23"/>
  <c r="T282" i="23" s="1"/>
  <c r="T283" i="23" s="1"/>
  <c r="T260" i="23"/>
  <c r="T252" i="23"/>
  <c r="U250" i="23" s="1"/>
  <c r="T287" i="23"/>
  <c r="T293" i="23"/>
  <c r="T258" i="23"/>
  <c r="U256" i="23" s="1"/>
  <c r="AQ270" i="9"/>
  <c r="AP288" i="9"/>
  <c r="AP289" i="9" s="1"/>
  <c r="AS277" i="11"/>
  <c r="AS278" i="11" s="1"/>
  <c r="AS300" i="11"/>
  <c r="AS302" i="11" s="1"/>
  <c r="AS303" i="11" s="1"/>
  <c r="AS312" i="11" s="1"/>
  <c r="AT264" i="11"/>
  <c r="AP295" i="9"/>
  <c r="AP297" i="9" s="1"/>
  <c r="AP306" i="9" s="1"/>
  <c r="AQ284" i="9"/>
  <c r="AR258" i="9"/>
  <c r="AS256" i="9" s="1"/>
  <c r="AR263" i="9"/>
  <c r="AR264" i="9" s="1"/>
  <c r="AS262" i="9" s="1"/>
  <c r="AS246" i="9"/>
  <c r="AT244" i="9" s="1"/>
  <c r="AS267" i="18"/>
  <c r="AT265" i="18" s="1"/>
  <c r="AS276" i="18"/>
  <c r="AS279" i="18" s="1"/>
  <c r="AS285" i="18" s="1"/>
  <c r="AS286" i="18" s="1"/>
  <c r="AT260" i="18"/>
  <c r="AS265" i="20"/>
  <c r="AS266" i="20" s="1"/>
  <c r="AT264" i="20" s="1"/>
  <c r="AS260" i="20"/>
  <c r="AT258" i="20" s="1"/>
  <c r="AS269" i="20"/>
  <c r="AS288" i="20" s="1"/>
  <c r="AS291" i="20" s="1"/>
  <c r="AR303" i="20"/>
  <c r="AR305" i="20" s="1"/>
  <c r="AR306" i="20" s="1"/>
  <c r="AZ258" i="18"/>
  <c r="BE252" i="18"/>
  <c r="AZ255" i="18"/>
  <c r="BA253" i="18" s="1"/>
  <c r="BE249" i="18"/>
  <c r="BF247" i="18" s="1"/>
  <c r="AT293" i="11"/>
  <c r="AS249" i="9"/>
  <c r="AS251" i="9" s="1"/>
  <c r="AS252" i="9" s="1"/>
  <c r="AT250" i="9" s="1"/>
  <c r="BE241" i="11"/>
  <c r="BF239" i="11" s="1"/>
  <c r="BF240" i="11" s="1"/>
  <c r="BE244" i="11"/>
  <c r="AT259" i="11"/>
  <c r="AU257" i="11" s="1"/>
  <c r="BB246" i="11"/>
  <c r="AY252" i="11"/>
  <c r="AP268" i="10"/>
  <c r="AQ232" i="10"/>
  <c r="AQ234" i="10" s="1"/>
  <c r="AQ235" i="10" s="1"/>
  <c r="AQ246" i="10"/>
  <c r="AQ248" i="10" s="1"/>
  <c r="AQ250" i="10" s="1"/>
  <c r="AP260" i="10"/>
  <c r="AP269" i="10" s="1"/>
  <c r="AQ227" i="10"/>
  <c r="AR225" i="10" s="1"/>
  <c r="AV221" i="10"/>
  <c r="AW219" i="10" s="1"/>
  <c r="AW218" i="10"/>
  <c r="AY206" i="10"/>
  <c r="AX208" i="10"/>
  <c r="AW268" i="5"/>
  <c r="AT239" i="9"/>
  <c r="AV268" i="5"/>
  <c r="AX229" i="5"/>
  <c r="AW260" i="5"/>
  <c r="AW269" i="5" s="1"/>
  <c r="AV260" i="5"/>
  <c r="AV269" i="5" s="1"/>
  <c r="AS223" i="8"/>
  <c r="AS225" i="8" s="1"/>
  <c r="AZ218" i="5"/>
  <c r="BC206" i="8"/>
  <c r="BD204" i="8" s="1"/>
  <c r="BD205" i="8" s="1"/>
  <c r="BC209" i="8"/>
  <c r="BE200" i="8"/>
  <c r="BF198" i="8" s="1"/>
  <c r="BF199" i="8" s="1"/>
  <c r="BE203" i="8"/>
  <c r="AS218" i="8"/>
  <c r="AT216" i="8" s="1"/>
  <c r="AW212" i="8"/>
  <c r="AX210" i="8" s="1"/>
  <c r="BA209" i="5"/>
  <c r="BB206" i="5"/>
  <c r="AY221" i="5"/>
  <c r="AY224" i="5"/>
  <c r="AY226" i="5" s="1"/>
  <c r="BA239" i="20" l="1"/>
  <c r="AZ241" i="20"/>
  <c r="AZ245" i="20" s="1"/>
  <c r="AX247" i="20"/>
  <c r="AX251" i="20" s="1"/>
  <c r="AW251" i="20"/>
  <c r="AW253" i="20" s="1"/>
  <c r="AY245" i="20"/>
  <c r="T302" i="23"/>
  <c r="T328" i="23" s="1"/>
  <c r="T317" i="23"/>
  <c r="T286" i="23"/>
  <c r="T288" i="23" s="1"/>
  <c r="T292" i="23"/>
  <c r="T294" i="23" s="1"/>
  <c r="U203" i="23" s="1"/>
  <c r="U311" i="23" s="1"/>
  <c r="AQ301" i="9"/>
  <c r="AQ303" i="9" s="1"/>
  <c r="AQ304" i="9" s="1"/>
  <c r="AQ272" i="9"/>
  <c r="AQ273" i="9" s="1"/>
  <c r="AS311" i="11"/>
  <c r="AT265" i="11"/>
  <c r="AU263" i="11" s="1"/>
  <c r="AT268" i="11"/>
  <c r="AT271" i="11" s="1"/>
  <c r="AT277" i="11" s="1"/>
  <c r="AT278" i="11" s="1"/>
  <c r="AY273" i="11"/>
  <c r="AY275" i="11" s="1"/>
  <c r="AP298" i="9"/>
  <c r="AP307" i="9" s="1"/>
  <c r="AQ286" i="9"/>
  <c r="AR267" i="9"/>
  <c r="AS314" i="18"/>
  <c r="AS316" i="18" s="1"/>
  <c r="AS317" i="18" s="1"/>
  <c r="AT281" i="18"/>
  <c r="AT283" i="18" s="1"/>
  <c r="AT264" i="18"/>
  <c r="AT266" i="18" s="1"/>
  <c r="AT261" i="18"/>
  <c r="AU259" i="18" s="1"/>
  <c r="AS272" i="20"/>
  <c r="AS303" i="20" s="1"/>
  <c r="AS305" i="20" s="1"/>
  <c r="AS306" i="20" s="1"/>
  <c r="AT259" i="20"/>
  <c r="BA254" i="18"/>
  <c r="BF248" i="18"/>
  <c r="AS255" i="9"/>
  <c r="AS257" i="9" s="1"/>
  <c r="AS261" i="9" s="1"/>
  <c r="AT243" i="9"/>
  <c r="AT245" i="9" s="1"/>
  <c r="AY253" i="11"/>
  <c r="AY256" i="11"/>
  <c r="BB247" i="11"/>
  <c r="BC245" i="11" s="1"/>
  <c r="BC246" i="11" s="1"/>
  <c r="BB250" i="11"/>
  <c r="BF241" i="11"/>
  <c r="BG239" i="11" s="1"/>
  <c r="BG240" i="11" s="1"/>
  <c r="BF244" i="11"/>
  <c r="AU258" i="11"/>
  <c r="AU262" i="11" s="1"/>
  <c r="AQ263" i="10"/>
  <c r="AQ265" i="10" s="1"/>
  <c r="AQ266" i="10" s="1"/>
  <c r="AQ257" i="10"/>
  <c r="AQ259" i="10" s="1"/>
  <c r="AQ251" i="10"/>
  <c r="AW220" i="10"/>
  <c r="AW221" i="10" s="1"/>
  <c r="AX219" i="10" s="1"/>
  <c r="AR226" i="10"/>
  <c r="AR229" i="10" s="1"/>
  <c r="AS224" i="10"/>
  <c r="AX209" i="10"/>
  <c r="AY207" i="10" s="1"/>
  <c r="AZ206" i="10" s="1"/>
  <c r="AX212" i="10"/>
  <c r="AX214" i="10" s="1"/>
  <c r="AX215" i="10" s="1"/>
  <c r="AY213" i="10" s="1"/>
  <c r="AT240" i="9"/>
  <c r="AU238" i="9" s="1"/>
  <c r="AX246" i="5"/>
  <c r="AX248" i="5" s="1"/>
  <c r="AX232" i="5"/>
  <c r="AS254" i="8"/>
  <c r="AS256" i="8" s="1"/>
  <c r="AS257" i="8" s="1"/>
  <c r="AS226" i="8"/>
  <c r="BF203" i="8"/>
  <c r="BD206" i="8"/>
  <c r="BE204" i="8" s="1"/>
  <c r="BE205" i="8" s="1"/>
  <c r="BD209" i="8"/>
  <c r="AT217" i="8"/>
  <c r="AT220" i="8" s="1"/>
  <c r="AX211" i="8"/>
  <c r="AX215" i="8" s="1"/>
  <c r="BF200" i="8"/>
  <c r="BG198" i="8" s="1"/>
  <c r="AZ219" i="5"/>
  <c r="BA218" i="5" s="1"/>
  <c r="BB207" i="5"/>
  <c r="AY227" i="5"/>
  <c r="AZ225" i="5" s="1"/>
  <c r="AY229" i="5"/>
  <c r="AX248" i="20" l="1"/>
  <c r="AY246" i="20" s="1"/>
  <c r="AY247" i="20" s="1"/>
  <c r="AY251" i="20" s="1"/>
  <c r="AW254" i="20"/>
  <c r="AX252" i="20" s="1"/>
  <c r="AW257" i="20"/>
  <c r="AZ242" i="20"/>
  <c r="BA240" i="20" s="1"/>
  <c r="AT269" i="20"/>
  <c r="AT288" i="20" s="1"/>
  <c r="AT291" i="20" s="1"/>
  <c r="AT263" i="20"/>
  <c r="AT265" i="20" s="1"/>
  <c r="AT266" i="20" s="1"/>
  <c r="AU264" i="20" s="1"/>
  <c r="T330" i="23"/>
  <c r="U313" i="23"/>
  <c r="U315" i="23"/>
  <c r="T295" i="23"/>
  <c r="T297" i="23"/>
  <c r="T289" i="23"/>
  <c r="U262" i="23"/>
  <c r="U264" i="23" s="1"/>
  <c r="U225" i="23"/>
  <c r="U227" i="23" s="1"/>
  <c r="AT306" i="11"/>
  <c r="AT308" i="11" s="1"/>
  <c r="AT309" i="11" s="1"/>
  <c r="AT300" i="11"/>
  <c r="AT302" i="11" s="1"/>
  <c r="AU264" i="11"/>
  <c r="AZ251" i="11"/>
  <c r="AZ252" i="11" s="1"/>
  <c r="AQ295" i="9"/>
  <c r="AQ288" i="9"/>
  <c r="AQ289" i="9" s="1"/>
  <c r="AR270" i="9"/>
  <c r="AR284" i="9"/>
  <c r="AR286" i="9" s="1"/>
  <c r="AS263" i="9"/>
  <c r="AS264" i="9" s="1"/>
  <c r="AT262" i="9" s="1"/>
  <c r="AT246" i="9"/>
  <c r="AU244" i="9" s="1"/>
  <c r="AT270" i="18"/>
  <c r="AT272" i="18" s="1"/>
  <c r="AT273" i="18" s="1"/>
  <c r="AU271" i="18" s="1"/>
  <c r="AU260" i="18"/>
  <c r="AS274" i="20"/>
  <c r="AS275" i="20" s="1"/>
  <c r="AT260" i="20"/>
  <c r="AU258" i="20" s="1"/>
  <c r="AU259" i="20" s="1"/>
  <c r="AU263" i="20" s="1"/>
  <c r="AT267" i="18"/>
  <c r="AU265" i="18" s="1"/>
  <c r="BA258" i="18"/>
  <c r="BF252" i="18"/>
  <c r="BF249" i="18"/>
  <c r="BG247" i="18" s="1"/>
  <c r="BA255" i="18"/>
  <c r="BB253" i="18" s="1"/>
  <c r="AU293" i="11"/>
  <c r="AT249" i="9"/>
  <c r="AT251" i="9" s="1"/>
  <c r="AT255" i="9" s="1"/>
  <c r="AU239" i="9"/>
  <c r="AV237" i="9"/>
  <c r="BC250" i="11"/>
  <c r="BG244" i="11"/>
  <c r="AU259" i="11"/>
  <c r="AV257" i="11" s="1"/>
  <c r="BC247" i="11"/>
  <c r="BD245" i="11" s="1"/>
  <c r="BG241" i="11"/>
  <c r="BH239" i="11" s="1"/>
  <c r="AQ268" i="10"/>
  <c r="AR232" i="10"/>
  <c r="AR234" i="10" s="1"/>
  <c r="AR246" i="10"/>
  <c r="AR248" i="10" s="1"/>
  <c r="AR250" i="10" s="1"/>
  <c r="AQ260" i="10"/>
  <c r="AQ269" i="10" s="1"/>
  <c r="AR227" i="10"/>
  <c r="AS225" i="10" s="1"/>
  <c r="AY208" i="10"/>
  <c r="AX218" i="10"/>
  <c r="AX220" i="10" s="1"/>
  <c r="AX250" i="5"/>
  <c r="AX234" i="5"/>
  <c r="AX235" i="5" s="1"/>
  <c r="AX263" i="5"/>
  <c r="AX265" i="5" s="1"/>
  <c r="AX266" i="5" s="1"/>
  <c r="AS258" i="9"/>
  <c r="AT256" i="9" s="1"/>
  <c r="AX257" i="5"/>
  <c r="AX259" i="5" s="1"/>
  <c r="AT223" i="8"/>
  <c r="AT225" i="8" s="1"/>
  <c r="BE206" i="8"/>
  <c r="BF204" i="8" s="1"/>
  <c r="BF205" i="8" s="1"/>
  <c r="BE209" i="8"/>
  <c r="AT218" i="8"/>
  <c r="AU216" i="8" s="1"/>
  <c r="AX212" i="8"/>
  <c r="AY210" i="8" s="1"/>
  <c r="AY211" i="8" s="1"/>
  <c r="AY215" i="8" s="1"/>
  <c r="BG199" i="8"/>
  <c r="AZ220" i="5"/>
  <c r="AZ221" i="5" s="1"/>
  <c r="BA219" i="5" s="1"/>
  <c r="BC206" i="5"/>
  <c r="BB208" i="5"/>
  <c r="BB212" i="5" s="1"/>
  <c r="BB214" i="5" s="1"/>
  <c r="BB215" i="5" s="1"/>
  <c r="BC213" i="5" s="1"/>
  <c r="AY246" i="5"/>
  <c r="AY248" i="5" s="1"/>
  <c r="AY232" i="5"/>
  <c r="AT272" i="20" l="1"/>
  <c r="AT274" i="20" s="1"/>
  <c r="AT275" i="20" s="1"/>
  <c r="BB239" i="20"/>
  <c r="BA241" i="20"/>
  <c r="BA245" i="20" s="1"/>
  <c r="AY248" i="20"/>
  <c r="AZ246" i="20" s="1"/>
  <c r="AX253" i="20"/>
  <c r="AX257" i="20" s="1"/>
  <c r="T331" i="23"/>
  <c r="U319" i="23"/>
  <c r="U321" i="23" s="1"/>
  <c r="T299" i="23"/>
  <c r="T322" i="23" s="1"/>
  <c r="T303" i="23"/>
  <c r="T334" i="23" s="1"/>
  <c r="T336" i="23" s="1"/>
  <c r="T337" i="23" s="1"/>
  <c r="U231" i="23"/>
  <c r="U233" i="23" s="1"/>
  <c r="U237" i="23" s="1"/>
  <c r="U239" i="23" s="1"/>
  <c r="U243" i="23" s="1"/>
  <c r="U245" i="23" s="1"/>
  <c r="U268" i="23"/>
  <c r="AT303" i="11"/>
  <c r="AT312" i="11" s="1"/>
  <c r="AT311" i="11"/>
  <c r="AU265" i="11"/>
  <c r="AV263" i="11" s="1"/>
  <c r="AU268" i="11"/>
  <c r="AU271" i="11" s="1"/>
  <c r="AU306" i="11" s="1"/>
  <c r="AU308" i="11" s="1"/>
  <c r="AU309" i="11" s="1"/>
  <c r="AZ273" i="11"/>
  <c r="AZ275" i="11" s="1"/>
  <c r="AZ256" i="11"/>
  <c r="AZ253" i="11"/>
  <c r="AQ297" i="9"/>
  <c r="AQ306" i="9" s="1"/>
  <c r="AR288" i="9"/>
  <c r="AR289" i="9" s="1"/>
  <c r="AR272" i="9"/>
  <c r="AR273" i="9" s="1"/>
  <c r="AR295" i="9"/>
  <c r="AR301" i="9"/>
  <c r="AR303" i="9" s="1"/>
  <c r="AR304" i="9" s="1"/>
  <c r="AS267" i="9"/>
  <c r="AU240" i="9"/>
  <c r="AV238" i="9" s="1"/>
  <c r="AT276" i="18"/>
  <c r="AT279" i="18" s="1"/>
  <c r="AT285" i="18" s="1"/>
  <c r="AT286" i="18" s="1"/>
  <c r="AU261" i="18"/>
  <c r="AV259" i="18" s="1"/>
  <c r="AV260" i="18" s="1"/>
  <c r="AV264" i="18" s="1"/>
  <c r="AU281" i="18"/>
  <c r="AU283" i="18" s="1"/>
  <c r="AU264" i="18"/>
  <c r="AU266" i="18" s="1"/>
  <c r="AT303" i="20"/>
  <c r="AT305" i="20" s="1"/>
  <c r="AT306" i="20" s="1"/>
  <c r="AU265" i="20"/>
  <c r="AU266" i="20" s="1"/>
  <c r="AV264" i="20" s="1"/>
  <c r="AU269" i="20"/>
  <c r="AU288" i="20" s="1"/>
  <c r="AU291" i="20" s="1"/>
  <c r="AU260" i="20"/>
  <c r="AV258" i="20" s="1"/>
  <c r="BB254" i="18"/>
  <c r="BG248" i="18"/>
  <c r="AU243" i="9"/>
  <c r="AU245" i="9" s="1"/>
  <c r="AV258" i="11"/>
  <c r="AV262" i="11" s="1"/>
  <c r="BH240" i="11"/>
  <c r="BD246" i="11"/>
  <c r="AR263" i="10"/>
  <c r="AR265" i="10" s="1"/>
  <c r="AR266" i="10" s="1"/>
  <c r="AR257" i="10"/>
  <c r="AR259" i="10" s="1"/>
  <c r="AR251" i="10"/>
  <c r="AR235" i="10"/>
  <c r="AS226" i="10"/>
  <c r="AS229" i="10" s="1"/>
  <c r="AT224" i="10"/>
  <c r="AY212" i="10"/>
  <c r="AY214" i="10" s="1"/>
  <c r="AY218" i="10" s="1"/>
  <c r="AY209" i="10"/>
  <c r="AZ207" i="10" s="1"/>
  <c r="BA206" i="10" s="1"/>
  <c r="AX221" i="10"/>
  <c r="AY219" i="10" s="1"/>
  <c r="AX268" i="5"/>
  <c r="AT252" i="9"/>
  <c r="AU250" i="9" s="1"/>
  <c r="AT257" i="9"/>
  <c r="AT261" i="9" s="1"/>
  <c r="AT254" i="8"/>
  <c r="AT256" i="8" s="1"/>
  <c r="AT257" i="8" s="1"/>
  <c r="AT226" i="8"/>
  <c r="BF209" i="8"/>
  <c r="BG200" i="8"/>
  <c r="BH198" i="8" s="1"/>
  <c r="BH199" i="8" s="1"/>
  <c r="BG203" i="8"/>
  <c r="AU217" i="8"/>
  <c r="AU220" i="8" s="1"/>
  <c r="AY212" i="8"/>
  <c r="AZ210" i="8" s="1"/>
  <c r="AY234" i="5"/>
  <c r="AY235" i="5" s="1"/>
  <c r="AY250" i="5"/>
  <c r="BF206" i="8"/>
  <c r="BG204" i="8" s="1"/>
  <c r="AZ224" i="5"/>
  <c r="AZ226" i="5" s="1"/>
  <c r="AZ229" i="5" s="1"/>
  <c r="BB209" i="5"/>
  <c r="AX260" i="5"/>
  <c r="AX269" i="5" s="1"/>
  <c r="AY263" i="5"/>
  <c r="AY265" i="5" s="1"/>
  <c r="AY266" i="5" s="1"/>
  <c r="BB218" i="5"/>
  <c r="BA220" i="5"/>
  <c r="AY257" i="5"/>
  <c r="AX254" i="20" l="1"/>
  <c r="AY252" i="20" s="1"/>
  <c r="BA242" i="20"/>
  <c r="BB240" i="20" s="1"/>
  <c r="AZ247" i="20"/>
  <c r="AZ251" i="20" s="1"/>
  <c r="T340" i="23"/>
  <c r="T342" i="23" s="1"/>
  <c r="T343" i="23" s="1"/>
  <c r="T346" i="23" s="1"/>
  <c r="T305" i="23"/>
  <c r="T306" i="23" s="1"/>
  <c r="U281" i="23"/>
  <c r="U246" i="23"/>
  <c r="V244" i="23" s="1"/>
  <c r="U255" i="23"/>
  <c r="U257" i="23" s="1"/>
  <c r="U240" i="23"/>
  <c r="V238" i="23" s="1"/>
  <c r="U275" i="23"/>
  <c r="U249" i="23"/>
  <c r="U251" i="23" s="1"/>
  <c r="U234" i="23"/>
  <c r="V232" i="23" s="1"/>
  <c r="U269" i="23"/>
  <c r="AS270" i="9"/>
  <c r="AU300" i="11"/>
  <c r="AU302" i="11" s="1"/>
  <c r="AU311" i="11" s="1"/>
  <c r="AU277" i="11"/>
  <c r="AU278" i="11" s="1"/>
  <c r="AV293" i="11"/>
  <c r="AV264" i="11"/>
  <c r="BA251" i="11"/>
  <c r="AQ298" i="9"/>
  <c r="AQ307" i="9" s="1"/>
  <c r="AR297" i="9"/>
  <c r="AR306" i="9" s="1"/>
  <c r="AT263" i="9"/>
  <c r="AS284" i="9"/>
  <c r="AU249" i="9"/>
  <c r="AU251" i="9" s="1"/>
  <c r="AV261" i="18"/>
  <c r="AW259" i="18" s="1"/>
  <c r="AW260" i="18" s="1"/>
  <c r="AT314" i="18"/>
  <c r="AT316" i="18" s="1"/>
  <c r="AT317" i="18" s="1"/>
  <c r="AV281" i="18"/>
  <c r="AV283" i="18" s="1"/>
  <c r="AU272" i="20"/>
  <c r="AU303" i="20" s="1"/>
  <c r="AU305" i="20" s="1"/>
  <c r="AU306" i="20" s="1"/>
  <c r="AU270" i="18"/>
  <c r="AU272" i="18" s="1"/>
  <c r="AU273" i="18" s="1"/>
  <c r="AV271" i="18" s="1"/>
  <c r="AV259" i="20"/>
  <c r="AV263" i="20" s="1"/>
  <c r="AU267" i="18"/>
  <c r="AV265" i="18" s="1"/>
  <c r="AV266" i="18" s="1"/>
  <c r="BB258" i="18"/>
  <c r="BG249" i="18"/>
  <c r="BH247" i="18" s="1"/>
  <c r="BH248" i="18" s="1"/>
  <c r="BG252" i="18"/>
  <c r="BB255" i="18"/>
  <c r="BC253" i="18" s="1"/>
  <c r="AU246" i="9"/>
  <c r="AV244" i="9" s="1"/>
  <c r="AV239" i="9"/>
  <c r="AW237" i="9"/>
  <c r="BH244" i="11"/>
  <c r="BD247" i="11"/>
  <c r="BE245" i="11" s="1"/>
  <c r="BE246" i="11" s="1"/>
  <c r="BD250" i="11"/>
  <c r="AV259" i="11"/>
  <c r="AW257" i="11" s="1"/>
  <c r="BH241" i="11"/>
  <c r="BI239" i="11" s="1"/>
  <c r="AR268" i="10"/>
  <c r="AS232" i="10"/>
  <c r="AS234" i="10" s="1"/>
  <c r="AS246" i="10"/>
  <c r="AS248" i="10" s="1"/>
  <c r="AS250" i="10" s="1"/>
  <c r="AR260" i="10"/>
  <c r="AR269" i="10" s="1"/>
  <c r="AZ208" i="10"/>
  <c r="AZ209" i="10" s="1"/>
  <c r="BA207" i="10" s="1"/>
  <c r="AY220" i="10"/>
  <c r="AY221" i="10" s="1"/>
  <c r="AZ219" i="10" s="1"/>
  <c r="AS227" i="10"/>
  <c r="AT225" i="10" s="1"/>
  <c r="AY215" i="10"/>
  <c r="AZ213" i="10" s="1"/>
  <c r="AT258" i="9"/>
  <c r="AU256" i="9" s="1"/>
  <c r="AU223" i="8"/>
  <c r="AU225" i="8" s="1"/>
  <c r="BH203" i="8"/>
  <c r="AU218" i="8"/>
  <c r="AV216" i="8" s="1"/>
  <c r="AZ211" i="8"/>
  <c r="AZ227" i="5"/>
  <c r="BA225" i="5" s="1"/>
  <c r="BG205" i="8"/>
  <c r="BH200" i="8"/>
  <c r="BI198" i="8" s="1"/>
  <c r="BC207" i="5"/>
  <c r="AZ246" i="5"/>
  <c r="AZ248" i="5" s="1"/>
  <c r="BA221" i="5"/>
  <c r="BB219" i="5" s="1"/>
  <c r="BA224" i="5"/>
  <c r="AY259" i="5"/>
  <c r="AY268" i="5" s="1"/>
  <c r="AZ232" i="5"/>
  <c r="AY253" i="20" l="1"/>
  <c r="AY257" i="20" s="1"/>
  <c r="AZ248" i="20"/>
  <c r="BA246" i="20" s="1"/>
  <c r="BB241" i="20"/>
  <c r="BB242" i="20" s="1"/>
  <c r="BC240" i="20" s="1"/>
  <c r="BC239" i="20"/>
  <c r="T345" i="23"/>
  <c r="U293" i="23"/>
  <c r="U258" i="23"/>
  <c r="V256" i="23" s="1"/>
  <c r="U287" i="23"/>
  <c r="U260" i="23"/>
  <c r="U252" i="23"/>
  <c r="V250" i="23" s="1"/>
  <c r="U270" i="23"/>
  <c r="U271" i="23" s="1"/>
  <c r="AU303" i="11"/>
  <c r="AU312" i="11" s="1"/>
  <c r="AV265" i="11"/>
  <c r="AW263" i="11" s="1"/>
  <c r="AV268" i="11"/>
  <c r="AV271" i="11" s="1"/>
  <c r="AV277" i="11" s="1"/>
  <c r="AV278" i="11" s="1"/>
  <c r="BA252" i="11"/>
  <c r="AS286" i="9"/>
  <c r="AR298" i="9"/>
  <c r="AR307" i="9" s="1"/>
  <c r="AT264" i="9"/>
  <c r="AU262" i="9" s="1"/>
  <c r="AT267" i="9"/>
  <c r="AS272" i="9"/>
  <c r="AS273" i="9" s="1"/>
  <c r="AS301" i="9"/>
  <c r="AS303" i="9" s="1"/>
  <c r="AS304" i="9" s="1"/>
  <c r="AU255" i="9"/>
  <c r="AU257" i="9" s="1"/>
  <c r="AU261" i="9" s="1"/>
  <c r="AV240" i="9"/>
  <c r="AW238" i="9" s="1"/>
  <c r="AU274" i="20"/>
  <c r="AU275" i="20" s="1"/>
  <c r="AU276" i="18"/>
  <c r="AU279" i="18" s="1"/>
  <c r="AU285" i="18" s="1"/>
  <c r="AU286" i="18" s="1"/>
  <c r="AV270" i="18"/>
  <c r="AV272" i="18" s="1"/>
  <c r="AV273" i="18" s="1"/>
  <c r="AW271" i="18" s="1"/>
  <c r="AW281" i="18"/>
  <c r="AW283" i="18" s="1"/>
  <c r="AW264" i="18"/>
  <c r="AW261" i="18"/>
  <c r="AV260" i="20"/>
  <c r="AW258" i="20" s="1"/>
  <c r="AV265" i="20"/>
  <c r="AV266" i="20" s="1"/>
  <c r="AW264" i="20" s="1"/>
  <c r="AV269" i="20"/>
  <c r="AV288" i="20" s="1"/>
  <c r="AV291" i="20" s="1"/>
  <c r="AV267" i="18"/>
  <c r="AW265" i="18" s="1"/>
  <c r="BH249" i="18"/>
  <c r="BI247" i="18" s="1"/>
  <c r="BI248" i="18" s="1"/>
  <c r="BH252" i="18"/>
  <c r="BC254" i="18"/>
  <c r="AV243" i="9"/>
  <c r="AV245" i="9" s="1"/>
  <c r="BE250" i="11"/>
  <c r="AW258" i="11"/>
  <c r="AW262" i="11" s="1"/>
  <c r="BI240" i="11"/>
  <c r="BE247" i="11"/>
  <c r="BF245" i="11" s="1"/>
  <c r="AS263" i="10"/>
  <c r="AS265" i="10" s="1"/>
  <c r="AS266" i="10" s="1"/>
  <c r="AS257" i="10"/>
  <c r="AS259" i="10" s="1"/>
  <c r="AS251" i="10"/>
  <c r="AS235" i="10"/>
  <c r="AZ212" i="10"/>
  <c r="AZ214" i="10" s="1"/>
  <c r="AT226" i="10"/>
  <c r="AT229" i="10" s="1"/>
  <c r="AU224" i="10"/>
  <c r="BA208" i="10"/>
  <c r="BB206" i="10"/>
  <c r="AU252" i="9"/>
  <c r="AV250" i="9" s="1"/>
  <c r="AU226" i="8"/>
  <c r="AU254" i="8"/>
  <c r="AU256" i="8" s="1"/>
  <c r="AU257" i="8" s="1"/>
  <c r="AZ212" i="8"/>
  <c r="BA210" i="8" s="1"/>
  <c r="BA211" i="8" s="1"/>
  <c r="BA215" i="8" s="1"/>
  <c r="AZ215" i="8"/>
  <c r="BG209" i="8"/>
  <c r="AV217" i="8"/>
  <c r="AV220" i="8" s="1"/>
  <c r="BA226" i="5"/>
  <c r="BA227" i="5" s="1"/>
  <c r="BB225" i="5" s="1"/>
  <c r="AZ250" i="5"/>
  <c r="BG206" i="8"/>
  <c r="BH204" i="8" s="1"/>
  <c r="AZ234" i="5"/>
  <c r="AZ235" i="5" s="1"/>
  <c r="BI199" i="8"/>
  <c r="BC208" i="5"/>
  <c r="BC212" i="5" s="1"/>
  <c r="BC214" i="5" s="1"/>
  <c r="BC215" i="5" s="1"/>
  <c r="BD213" i="5" s="1"/>
  <c r="BD206" i="5"/>
  <c r="BB220" i="5"/>
  <c r="BB224" i="5" s="1"/>
  <c r="AY260" i="5"/>
  <c r="AY269" i="5" s="1"/>
  <c r="AZ257" i="5"/>
  <c r="AZ263" i="5"/>
  <c r="AY254" i="20" l="1"/>
  <c r="AZ252" i="20" s="1"/>
  <c r="BD239" i="20"/>
  <c r="BC241" i="20"/>
  <c r="BB245" i="20"/>
  <c r="BA247" i="20"/>
  <c r="BA251" i="20" s="1"/>
  <c r="U302" i="23"/>
  <c r="U328" i="23" s="1"/>
  <c r="U317" i="23"/>
  <c r="U274" i="23"/>
  <c r="U276" i="23" s="1"/>
  <c r="U277" i="23" s="1"/>
  <c r="AS288" i="9"/>
  <c r="AS289" i="9" s="1"/>
  <c r="AT270" i="9"/>
  <c r="AV300" i="11"/>
  <c r="AV302" i="11" s="1"/>
  <c r="AV306" i="11"/>
  <c r="AV308" i="11" s="1"/>
  <c r="AV309" i="11" s="1"/>
  <c r="AW293" i="11"/>
  <c r="AW264" i="11"/>
  <c r="BA273" i="11"/>
  <c r="BA275" i="11" s="1"/>
  <c r="BA256" i="11"/>
  <c r="BA253" i="11"/>
  <c r="BB251" i="11" s="1"/>
  <c r="AU314" i="18"/>
  <c r="AU316" i="18" s="1"/>
  <c r="AU317" i="18" s="1"/>
  <c r="AS295" i="9"/>
  <c r="AS297" i="9" s="1"/>
  <c r="AS306" i="9" s="1"/>
  <c r="AT284" i="9"/>
  <c r="AT286" i="9" s="1"/>
  <c r="AU263" i="9"/>
  <c r="AV249" i="9"/>
  <c r="AV251" i="9" s="1"/>
  <c r="AV276" i="18"/>
  <c r="AV279" i="18" s="1"/>
  <c r="AV285" i="18" s="1"/>
  <c r="AV286" i="18" s="1"/>
  <c r="AW266" i="18"/>
  <c r="AW267" i="18" s="1"/>
  <c r="AX265" i="18" s="1"/>
  <c r="AX259" i="18"/>
  <c r="AW259" i="20"/>
  <c r="AW263" i="20" s="1"/>
  <c r="AV272" i="20"/>
  <c r="AV274" i="20" s="1"/>
  <c r="AV275" i="20" s="1"/>
  <c r="BC255" i="18"/>
  <c r="BD253" i="18" s="1"/>
  <c r="BD254" i="18" s="1"/>
  <c r="BC258" i="18"/>
  <c r="BI249" i="18"/>
  <c r="BJ247" i="18" s="1"/>
  <c r="BJ248" i="18" s="1"/>
  <c r="BI252" i="18"/>
  <c r="AV246" i="9"/>
  <c r="AW244" i="9" s="1"/>
  <c r="AW239" i="9"/>
  <c r="AX237" i="9"/>
  <c r="BI244" i="11"/>
  <c r="AW259" i="11"/>
  <c r="BF246" i="11"/>
  <c r="BI241" i="11"/>
  <c r="BJ239" i="11" s="1"/>
  <c r="AS268" i="10"/>
  <c r="AT232" i="10"/>
  <c r="AT234" i="10" s="1"/>
  <c r="AT246" i="10"/>
  <c r="AT248" i="10" s="1"/>
  <c r="AZ218" i="10"/>
  <c r="AZ220" i="10" s="1"/>
  <c r="AZ221" i="10" s="1"/>
  <c r="BA219" i="10" s="1"/>
  <c r="AZ215" i="10"/>
  <c r="BA213" i="10" s="1"/>
  <c r="AS260" i="10"/>
  <c r="AS269" i="10" s="1"/>
  <c r="AT227" i="10"/>
  <c r="AU225" i="10" s="1"/>
  <c r="BA209" i="10"/>
  <c r="BB207" i="10" s="1"/>
  <c r="BA212" i="10"/>
  <c r="AU258" i="9"/>
  <c r="AV256" i="9" s="1"/>
  <c r="AV223" i="8"/>
  <c r="AV225" i="8" s="1"/>
  <c r="BI203" i="8"/>
  <c r="AV218" i="8"/>
  <c r="AW216" i="8" s="1"/>
  <c r="BA229" i="5"/>
  <c r="BI200" i="8"/>
  <c r="BJ198" i="8" s="1"/>
  <c r="BA212" i="8"/>
  <c r="BB210" i="8" s="1"/>
  <c r="BH205" i="8"/>
  <c r="BC209" i="5"/>
  <c r="BD207" i="5" s="1"/>
  <c r="BC218" i="5"/>
  <c r="BB221" i="5"/>
  <c r="BC219" i="5" s="1"/>
  <c r="AZ265" i="5"/>
  <c r="AZ266" i="5" s="1"/>
  <c r="AZ259" i="5"/>
  <c r="BB226" i="5"/>
  <c r="AZ253" i="20" l="1"/>
  <c r="AZ257" i="20" s="1"/>
  <c r="BA248" i="20"/>
  <c r="BB246" i="20" s="1"/>
  <c r="BC245" i="20"/>
  <c r="BC242" i="20"/>
  <c r="BD240" i="20" s="1"/>
  <c r="U330" i="23"/>
  <c r="U280" i="23"/>
  <c r="U282" i="23" s="1"/>
  <c r="U283" i="23" s="1"/>
  <c r="AT301" i="9"/>
  <c r="AT303" i="9" s="1"/>
  <c r="AT304" i="9" s="1"/>
  <c r="AT272" i="9"/>
  <c r="AT273" i="9" s="1"/>
  <c r="AV303" i="11"/>
  <c r="AV312" i="11" s="1"/>
  <c r="AV311" i="11"/>
  <c r="AW265" i="11"/>
  <c r="AX263" i="11" s="1"/>
  <c r="AW268" i="11"/>
  <c r="AW271" i="11" s="1"/>
  <c r="AW306" i="11" s="1"/>
  <c r="AW308" i="11" s="1"/>
  <c r="AW309" i="11" s="1"/>
  <c r="BB252" i="11"/>
  <c r="AT288" i="9"/>
  <c r="AT289" i="9" s="1"/>
  <c r="AT295" i="9"/>
  <c r="AT297" i="9" s="1"/>
  <c r="AS298" i="9"/>
  <c r="AS307" i="9" s="1"/>
  <c r="AU264" i="9"/>
  <c r="AV262" i="9" s="1"/>
  <c r="AU267" i="9"/>
  <c r="AV255" i="9"/>
  <c r="AV257" i="9" s="1"/>
  <c r="AV261" i="9" s="1"/>
  <c r="AW240" i="9"/>
  <c r="AX238" i="9" s="1"/>
  <c r="AV314" i="18"/>
  <c r="AV316" i="18" s="1"/>
  <c r="AV317" i="18" s="1"/>
  <c r="AW270" i="18"/>
  <c r="AW272" i="18" s="1"/>
  <c r="AX260" i="18"/>
  <c r="AV303" i="20"/>
  <c r="AV305" i="20" s="1"/>
  <c r="AV306" i="20" s="1"/>
  <c r="AW265" i="20"/>
  <c r="AW266" i="20" s="1"/>
  <c r="AX264" i="20" s="1"/>
  <c r="AW260" i="20"/>
  <c r="AX258" i="20" s="1"/>
  <c r="AW269" i="20"/>
  <c r="BD255" i="18"/>
  <c r="BE253" i="18" s="1"/>
  <c r="BE254" i="18" s="1"/>
  <c r="BD258" i="18"/>
  <c r="BJ252" i="18"/>
  <c r="BJ249" i="18"/>
  <c r="BK247" i="18" s="1"/>
  <c r="AW243" i="9"/>
  <c r="AW245" i="9" s="1"/>
  <c r="AX257" i="11"/>
  <c r="AX258" i="11" s="1"/>
  <c r="BF250" i="11"/>
  <c r="BJ240" i="11"/>
  <c r="BF247" i="11"/>
  <c r="BG245" i="11" s="1"/>
  <c r="AT263" i="10"/>
  <c r="AT265" i="10" s="1"/>
  <c r="AT266" i="10" s="1"/>
  <c r="AT235" i="10"/>
  <c r="AT257" i="10"/>
  <c r="AT259" i="10" s="1"/>
  <c r="AT250" i="10"/>
  <c r="AT251" i="10" s="1"/>
  <c r="BA214" i="10"/>
  <c r="BA218" i="10" s="1"/>
  <c r="BA220" i="10" s="1"/>
  <c r="BA221" i="10" s="1"/>
  <c r="BB219" i="10" s="1"/>
  <c r="AV224" i="10"/>
  <c r="AU226" i="10"/>
  <c r="AU229" i="10" s="1"/>
  <c r="BB208" i="10"/>
  <c r="BC206" i="10"/>
  <c r="AV252" i="9"/>
  <c r="AW250" i="9" s="1"/>
  <c r="AV226" i="8"/>
  <c r="AV254" i="8"/>
  <c r="AV256" i="8" s="1"/>
  <c r="AV257" i="8" s="1"/>
  <c r="BH209" i="8"/>
  <c r="BA246" i="5"/>
  <c r="BA248" i="5" s="1"/>
  <c r="AW217" i="8"/>
  <c r="AW220" i="8" s="1"/>
  <c r="BA232" i="5"/>
  <c r="BB211" i="8"/>
  <c r="BB215" i="8" s="1"/>
  <c r="BH206" i="8"/>
  <c r="BI204" i="8" s="1"/>
  <c r="BJ199" i="8"/>
  <c r="BD208" i="5"/>
  <c r="BD212" i="5" s="1"/>
  <c r="BD214" i="5" s="1"/>
  <c r="BD215" i="5" s="1"/>
  <c r="BE213" i="5" s="1"/>
  <c r="BE206" i="5"/>
  <c r="BC220" i="5"/>
  <c r="BC221" i="5" s="1"/>
  <c r="BD219" i="5" s="1"/>
  <c r="AZ268" i="5"/>
  <c r="BB227" i="5"/>
  <c r="BC225" i="5" s="1"/>
  <c r="BB229" i="5"/>
  <c r="AZ260" i="5"/>
  <c r="AZ269" i="5" s="1"/>
  <c r="AZ254" i="20" l="1"/>
  <c r="BA252" i="20" s="1"/>
  <c r="BB247" i="20"/>
  <c r="BE239" i="20"/>
  <c r="BD241" i="20"/>
  <c r="U331" i="23"/>
  <c r="U292" i="23"/>
  <c r="U294" i="23" s="1"/>
  <c r="U295" i="23" s="1"/>
  <c r="U286" i="23"/>
  <c r="U288" i="23" s="1"/>
  <c r="U289" i="23" s="1"/>
  <c r="AT306" i="9"/>
  <c r="AW277" i="11"/>
  <c r="AW278" i="11" s="1"/>
  <c r="AW300" i="11"/>
  <c r="AW302" i="11" s="1"/>
  <c r="AW311" i="11" s="1"/>
  <c r="AX262" i="11"/>
  <c r="AX264" i="11" s="1"/>
  <c r="BB253" i="11"/>
  <c r="BC251" i="11" s="1"/>
  <c r="BB273" i="11"/>
  <c r="BB275" i="11" s="1"/>
  <c r="BB256" i="11"/>
  <c r="AT298" i="9"/>
  <c r="AT307" i="9" s="1"/>
  <c r="AU270" i="9"/>
  <c r="AU284" i="9"/>
  <c r="AV263" i="9"/>
  <c r="AV264" i="9" s="1"/>
  <c r="AW262" i="9" s="1"/>
  <c r="AW249" i="9"/>
  <c r="AW251" i="9" s="1"/>
  <c r="AW273" i="18"/>
  <c r="AX271" i="18" s="1"/>
  <c r="AW276" i="18"/>
  <c r="AX281" i="18"/>
  <c r="AX283" i="18" s="1"/>
  <c r="AX264" i="18"/>
  <c r="AX266" i="18" s="1"/>
  <c r="AX261" i="18"/>
  <c r="AY259" i="18" s="1"/>
  <c r="AW288" i="20"/>
  <c r="AW291" i="20" s="1"/>
  <c r="AW272" i="20"/>
  <c r="AX259" i="20"/>
  <c r="AX263" i="20" s="1"/>
  <c r="BE258" i="18"/>
  <c r="BK248" i="18"/>
  <c r="BE255" i="18"/>
  <c r="BF253" i="18" s="1"/>
  <c r="AW246" i="9"/>
  <c r="AX244" i="9" s="1"/>
  <c r="AX239" i="9"/>
  <c r="AY237" i="9"/>
  <c r="AX259" i="11"/>
  <c r="AY257" i="11" s="1"/>
  <c r="AY258" i="11" s="1"/>
  <c r="AY262" i="11" s="1"/>
  <c r="BJ244" i="11"/>
  <c r="BG246" i="11"/>
  <c r="BJ241" i="11"/>
  <c r="BK239" i="11" s="1"/>
  <c r="AT268" i="10"/>
  <c r="BA215" i="10"/>
  <c r="BB213" i="10" s="1"/>
  <c r="AU232" i="10"/>
  <c r="AU234" i="10" s="1"/>
  <c r="AU246" i="10"/>
  <c r="AU248" i="10" s="1"/>
  <c r="AU250" i="10" s="1"/>
  <c r="AT260" i="10"/>
  <c r="AT269" i="10" s="1"/>
  <c r="AU227" i="10"/>
  <c r="BB209" i="10"/>
  <c r="BC207" i="10" s="1"/>
  <c r="BB212" i="10"/>
  <c r="AV258" i="9"/>
  <c r="AW256" i="9" s="1"/>
  <c r="BA250" i="5"/>
  <c r="AW223" i="8"/>
  <c r="BJ200" i="8"/>
  <c r="BK198" i="8" s="1"/>
  <c r="BK199" i="8" s="1"/>
  <c r="BJ203" i="8"/>
  <c r="BA234" i="5"/>
  <c r="BA235" i="5" s="1"/>
  <c r="BA257" i="5"/>
  <c r="BA259" i="5" s="1"/>
  <c r="BA263" i="5"/>
  <c r="BA265" i="5" s="1"/>
  <c r="BA266" i="5" s="1"/>
  <c r="AW218" i="8"/>
  <c r="AX216" i="8" s="1"/>
  <c r="BB212" i="8"/>
  <c r="BC210" i="8" s="1"/>
  <c r="BI205" i="8"/>
  <c r="BD218" i="5"/>
  <c r="BD220" i="5" s="1"/>
  <c r="BD224" i="5" s="1"/>
  <c r="BD209" i="5"/>
  <c r="BE207" i="5" s="1"/>
  <c r="BE208" i="5" s="1"/>
  <c r="BC224" i="5"/>
  <c r="BC226" i="5" s="1"/>
  <c r="BC229" i="5" s="1"/>
  <c r="BB246" i="5"/>
  <c r="BB248" i="5" s="1"/>
  <c r="BB232" i="5"/>
  <c r="BA253" i="20" l="1"/>
  <c r="BA257" i="20" s="1"/>
  <c r="BD245" i="20"/>
  <c r="BD242" i="20"/>
  <c r="BE240" i="20" s="1"/>
  <c r="BB251" i="20"/>
  <c r="BB248" i="20"/>
  <c r="BC246" i="20" s="1"/>
  <c r="V203" i="23"/>
  <c r="U297" i="23"/>
  <c r="AU272" i="9"/>
  <c r="AU273" i="9" s="1"/>
  <c r="AW303" i="11"/>
  <c r="AW312" i="11" s="1"/>
  <c r="AX265" i="11"/>
  <c r="AY263" i="11" s="1"/>
  <c r="AY264" i="11" s="1"/>
  <c r="AX268" i="11"/>
  <c r="AX271" i="11" s="1"/>
  <c r="BC252" i="11"/>
  <c r="AU286" i="9"/>
  <c r="AU301" i="9"/>
  <c r="AU303" i="9" s="1"/>
  <c r="AU304" i="9" s="1"/>
  <c r="AW255" i="9"/>
  <c r="AW257" i="9" s="1"/>
  <c r="AW261" i="9" s="1"/>
  <c r="AV267" i="9"/>
  <c r="AX240" i="9"/>
  <c r="AY238" i="9" s="1"/>
  <c r="AZ237" i="9" s="1"/>
  <c r="AW279" i="18"/>
  <c r="AW285" i="18" s="1"/>
  <c r="AW286" i="18" s="1"/>
  <c r="AX270" i="18"/>
  <c r="AX272" i="18" s="1"/>
  <c r="AX273" i="18" s="1"/>
  <c r="AY271" i="18" s="1"/>
  <c r="AY260" i="18"/>
  <c r="AX267" i="18"/>
  <c r="AY265" i="18" s="1"/>
  <c r="AX265" i="20"/>
  <c r="AX266" i="20" s="1"/>
  <c r="AY264" i="20" s="1"/>
  <c r="AX269" i="20"/>
  <c r="AX260" i="20"/>
  <c r="AY258" i="20" s="1"/>
  <c r="AW274" i="20"/>
  <c r="AW275" i="20" s="1"/>
  <c r="AW303" i="20"/>
  <c r="AW305" i="20" s="1"/>
  <c r="AW306" i="20" s="1"/>
  <c r="BK249" i="18"/>
  <c r="BL247" i="18" s="1"/>
  <c r="BL248" i="18" s="1"/>
  <c r="BK252" i="18"/>
  <c r="BF254" i="18"/>
  <c r="AX293" i="11"/>
  <c r="AY293" i="11"/>
  <c r="AX243" i="9"/>
  <c r="AX245" i="9" s="1"/>
  <c r="BG250" i="11"/>
  <c r="AY259" i="11"/>
  <c r="AZ257" i="11" s="1"/>
  <c r="BK240" i="11"/>
  <c r="BG247" i="11"/>
  <c r="BH245" i="11" s="1"/>
  <c r="BB214" i="10"/>
  <c r="BB218" i="10" s="1"/>
  <c r="BB220" i="10" s="1"/>
  <c r="BB221" i="10" s="1"/>
  <c r="BC219" i="10" s="1"/>
  <c r="AU263" i="10"/>
  <c r="AU265" i="10" s="1"/>
  <c r="AU266" i="10" s="1"/>
  <c r="AU257" i="10"/>
  <c r="AU259" i="10" s="1"/>
  <c r="AU251" i="10"/>
  <c r="AU235" i="10"/>
  <c r="AV225" i="10"/>
  <c r="BC208" i="10"/>
  <c r="BD206" i="10"/>
  <c r="AW252" i="9"/>
  <c r="AX250" i="9" s="1"/>
  <c r="AW254" i="8"/>
  <c r="AW256" i="8" s="1"/>
  <c r="AW257" i="8" s="1"/>
  <c r="AW225" i="8"/>
  <c r="AW226" i="8" s="1"/>
  <c r="BI209" i="8"/>
  <c r="BK200" i="8"/>
  <c r="BL198" i="8" s="1"/>
  <c r="BL199" i="8" s="1"/>
  <c r="BK203" i="8"/>
  <c r="BA268" i="5"/>
  <c r="BA260" i="5"/>
  <c r="BA269" i="5" s="1"/>
  <c r="AX217" i="8"/>
  <c r="AX220" i="8" s="1"/>
  <c r="BC211" i="8"/>
  <c r="BB234" i="5"/>
  <c r="BB235" i="5" s="1"/>
  <c r="BB250" i="5"/>
  <c r="BI206" i="8"/>
  <c r="BJ204" i="8" s="1"/>
  <c r="BD221" i="5"/>
  <c r="BE219" i="5" s="1"/>
  <c r="BE209" i="5"/>
  <c r="BF207" i="5" s="1"/>
  <c r="BE212" i="5"/>
  <c r="BE214" i="5" s="1"/>
  <c r="BE215" i="5" s="1"/>
  <c r="BF213" i="5" s="1"/>
  <c r="BF206" i="5"/>
  <c r="BC246" i="5"/>
  <c r="BC248" i="5" s="1"/>
  <c r="BC227" i="5"/>
  <c r="BB263" i="5"/>
  <c r="BB265" i="5" s="1"/>
  <c r="BB266" i="5" s="1"/>
  <c r="BB257" i="5"/>
  <c r="BB259" i="5" s="1"/>
  <c r="BC232" i="5"/>
  <c r="BA254" i="20" l="1"/>
  <c r="BB252" i="20" s="1"/>
  <c r="BB253" i="20" s="1"/>
  <c r="BF239" i="20"/>
  <c r="BE241" i="20"/>
  <c r="BE245" i="20" s="1"/>
  <c r="BC247" i="20"/>
  <c r="BC248" i="20" s="1"/>
  <c r="BD246" i="20" s="1"/>
  <c r="V225" i="23"/>
  <c r="V227" i="23" s="1"/>
  <c r="V231" i="23" s="1"/>
  <c r="V233" i="23" s="1"/>
  <c r="V237" i="23" s="1"/>
  <c r="V239" i="23" s="1"/>
  <c r="V243" i="23" s="1"/>
  <c r="V245" i="23" s="1"/>
  <c r="V311" i="23"/>
  <c r="V262" i="23"/>
  <c r="V264" i="23" s="1"/>
  <c r="V268" i="23" s="1"/>
  <c r="U299" i="23"/>
  <c r="U322" i="23" s="1"/>
  <c r="U303" i="23"/>
  <c r="U334" i="23" s="1"/>
  <c r="U336" i="23" s="1"/>
  <c r="AV270" i="9"/>
  <c r="AU295" i="9"/>
  <c r="AU297" i="9" s="1"/>
  <c r="AU306" i="9" s="1"/>
  <c r="AY265" i="11"/>
  <c r="AZ263" i="11" s="1"/>
  <c r="AY268" i="11"/>
  <c r="AY271" i="11" s="1"/>
  <c r="AY277" i="11" s="1"/>
  <c r="AY278" i="11" s="1"/>
  <c r="BC273" i="11"/>
  <c r="BC275" i="11" s="1"/>
  <c r="BC256" i="11"/>
  <c r="BC253" i="11"/>
  <c r="BD251" i="11" s="1"/>
  <c r="AU288" i="9"/>
  <c r="AU289" i="9" s="1"/>
  <c r="AV284" i="9"/>
  <c r="AV286" i="9" s="1"/>
  <c r="AW263" i="9"/>
  <c r="AW264" i="9" s="1"/>
  <c r="AX262" i="9" s="1"/>
  <c r="AX249" i="9"/>
  <c r="AX251" i="9" s="1"/>
  <c r="AW314" i="18"/>
  <c r="AW316" i="18" s="1"/>
  <c r="AW317" i="18" s="1"/>
  <c r="AX276" i="18"/>
  <c r="AX279" i="18" s="1"/>
  <c r="AX285" i="18" s="1"/>
  <c r="AX286" i="18" s="1"/>
  <c r="AY261" i="18"/>
  <c r="AZ259" i="18" s="1"/>
  <c r="AZ260" i="18" s="1"/>
  <c r="AY281" i="18"/>
  <c r="AY283" i="18" s="1"/>
  <c r="AY264" i="18"/>
  <c r="AY266" i="18" s="1"/>
  <c r="AX288" i="20"/>
  <c r="AX291" i="20" s="1"/>
  <c r="AX272" i="20"/>
  <c r="AX274" i="20" s="1"/>
  <c r="AX275" i="20" s="1"/>
  <c r="AY259" i="20"/>
  <c r="BF255" i="18"/>
  <c r="BG253" i="18" s="1"/>
  <c r="BG254" i="18" s="1"/>
  <c r="BF258" i="18"/>
  <c r="BL249" i="18"/>
  <c r="BM247" i="18" s="1"/>
  <c r="BM248" i="18" s="1"/>
  <c r="BL252" i="18"/>
  <c r="AX246" i="9"/>
  <c r="AY244" i="9" s="1"/>
  <c r="AX306" i="11"/>
  <c r="AX308" i="11" s="1"/>
  <c r="AX309" i="11" s="1"/>
  <c r="AX277" i="11"/>
  <c r="AX278" i="11" s="1"/>
  <c r="AX300" i="11"/>
  <c r="BK241" i="11"/>
  <c r="BL239" i="11" s="1"/>
  <c r="BL240" i="11" s="1"/>
  <c r="BK244" i="11"/>
  <c r="AZ258" i="11"/>
  <c r="AZ262" i="11" s="1"/>
  <c r="BH246" i="11"/>
  <c r="BB215" i="10"/>
  <c r="BC213" i="10" s="1"/>
  <c r="AU268" i="10"/>
  <c r="AU260" i="10"/>
  <c r="AU269" i="10" s="1"/>
  <c r="AV226" i="10"/>
  <c r="AV229" i="10" s="1"/>
  <c r="AW224" i="10"/>
  <c r="BC209" i="10"/>
  <c r="BD207" i="10" s="1"/>
  <c r="BC212" i="10"/>
  <c r="AW258" i="9"/>
  <c r="AX256" i="9" s="1"/>
  <c r="AY239" i="9"/>
  <c r="AX223" i="8"/>
  <c r="AX254" i="8" s="1"/>
  <c r="AX256" i="8" s="1"/>
  <c r="AX257" i="8" s="1"/>
  <c r="BC212" i="8"/>
  <c r="BD210" i="8" s="1"/>
  <c r="BD211" i="8" s="1"/>
  <c r="BD215" i="8" s="1"/>
  <c r="BC215" i="8"/>
  <c r="BL203" i="8"/>
  <c r="AX218" i="8"/>
  <c r="AY216" i="8" s="1"/>
  <c r="BC234" i="5"/>
  <c r="BC235" i="5" s="1"/>
  <c r="BJ205" i="8"/>
  <c r="BL200" i="8"/>
  <c r="BM198" i="8" s="1"/>
  <c r="BC250" i="5"/>
  <c r="BE218" i="5"/>
  <c r="BE220" i="5" s="1"/>
  <c r="BE221" i="5" s="1"/>
  <c r="BF219" i="5" s="1"/>
  <c r="BD225" i="5"/>
  <c r="BD226" i="5" s="1"/>
  <c r="BF208" i="5"/>
  <c r="BG206" i="5"/>
  <c r="BC263" i="5"/>
  <c r="BC265" i="5" s="1"/>
  <c r="BC266" i="5" s="1"/>
  <c r="BC257" i="5"/>
  <c r="BC259" i="5" s="1"/>
  <c r="BB268" i="5"/>
  <c r="BB260" i="5"/>
  <c r="BB269" i="5" s="1"/>
  <c r="BB254" i="20" l="1"/>
  <c r="BC252" i="20" s="1"/>
  <c r="BB257" i="20"/>
  <c r="BE242" i="20"/>
  <c r="BF240" i="20" s="1"/>
  <c r="BG239" i="20" s="1"/>
  <c r="BD247" i="20"/>
  <c r="BD248" i="20" s="1"/>
  <c r="BE246" i="20" s="1"/>
  <c r="BC251" i="20"/>
  <c r="AY260" i="20"/>
  <c r="AZ258" i="20" s="1"/>
  <c r="AZ259" i="20" s="1"/>
  <c r="AY263" i="20"/>
  <c r="AY265" i="20" s="1"/>
  <c r="AY266" i="20" s="1"/>
  <c r="AZ264" i="20" s="1"/>
  <c r="U340" i="23"/>
  <c r="U337" i="23"/>
  <c r="V313" i="23"/>
  <c r="V315" i="23"/>
  <c r="U305" i="23"/>
  <c r="U306" i="23" s="1"/>
  <c r="V246" i="23"/>
  <c r="W244" i="23" s="1"/>
  <c r="V281" i="23"/>
  <c r="V249" i="23"/>
  <c r="V251" i="23" s="1"/>
  <c r="V240" i="23"/>
  <c r="W238" i="23" s="1"/>
  <c r="V275" i="23"/>
  <c r="V255" i="23"/>
  <c r="V257" i="23" s="1"/>
  <c r="V234" i="23"/>
  <c r="W232" i="23" s="1"/>
  <c r="V269" i="23"/>
  <c r="AU298" i="9"/>
  <c r="AU307" i="9" s="1"/>
  <c r="AY306" i="11"/>
  <c r="AY308" i="11" s="1"/>
  <c r="AY309" i="11" s="1"/>
  <c r="AY300" i="11"/>
  <c r="AY302" i="11" s="1"/>
  <c r="AZ293" i="11"/>
  <c r="AZ264" i="11"/>
  <c r="BD252" i="11"/>
  <c r="AV288" i="9"/>
  <c r="AV289" i="9" s="1"/>
  <c r="AV272" i="9"/>
  <c r="AV273" i="9" s="1"/>
  <c r="AV301" i="9"/>
  <c r="AV303" i="9" s="1"/>
  <c r="AV304" i="9" s="1"/>
  <c r="AV295" i="9"/>
  <c r="AW267" i="9"/>
  <c r="AX252" i="9"/>
  <c r="AY250" i="9" s="1"/>
  <c r="AY270" i="18"/>
  <c r="AY272" i="18" s="1"/>
  <c r="AY273" i="18" s="1"/>
  <c r="AZ271" i="18" s="1"/>
  <c r="AX314" i="18"/>
  <c r="AX316" i="18" s="1"/>
  <c r="AX317" i="18" s="1"/>
  <c r="AY267" i="18"/>
  <c r="AZ265" i="18" s="1"/>
  <c r="AZ281" i="18"/>
  <c r="AZ283" i="18" s="1"/>
  <c r="AZ264" i="18"/>
  <c r="AZ261" i="18"/>
  <c r="AX303" i="20"/>
  <c r="AX305" i="20" s="1"/>
  <c r="AX306" i="20" s="1"/>
  <c r="AY269" i="20"/>
  <c r="BG258" i="18"/>
  <c r="BM249" i="18"/>
  <c r="BN247" i="18" s="1"/>
  <c r="BN248" i="18" s="1"/>
  <c r="BM252" i="18"/>
  <c r="BG255" i="18"/>
  <c r="BH253" i="18" s="1"/>
  <c r="AX255" i="9"/>
  <c r="AX257" i="9" s="1"/>
  <c r="AX261" i="9" s="1"/>
  <c r="AY243" i="9"/>
  <c r="AY245" i="9" s="1"/>
  <c r="AX302" i="11"/>
  <c r="AX311" i="11" s="1"/>
  <c r="BH250" i="11"/>
  <c r="BL244" i="11"/>
  <c r="AZ259" i="11"/>
  <c r="BA257" i="11" s="1"/>
  <c r="BH247" i="11"/>
  <c r="BI245" i="11" s="1"/>
  <c r="BL241" i="11"/>
  <c r="BM239" i="11" s="1"/>
  <c r="BC214" i="10"/>
  <c r="BC218" i="10" s="1"/>
  <c r="BC220" i="10" s="1"/>
  <c r="BC221" i="10" s="1"/>
  <c r="BD219" i="10" s="1"/>
  <c r="AV232" i="10"/>
  <c r="AV234" i="10" s="1"/>
  <c r="AV246" i="10"/>
  <c r="AV248" i="10" s="1"/>
  <c r="AV250" i="10" s="1"/>
  <c r="AV227" i="10"/>
  <c r="BD208" i="10"/>
  <c r="BE206" i="10"/>
  <c r="AY240" i="9"/>
  <c r="AX225" i="8"/>
  <c r="AX226" i="8" s="1"/>
  <c r="BJ209" i="8"/>
  <c r="AY217" i="8"/>
  <c r="AY220" i="8" s="1"/>
  <c r="BJ206" i="8"/>
  <c r="BK204" i="8" s="1"/>
  <c r="BM199" i="8"/>
  <c r="BD212" i="8"/>
  <c r="BE210" i="8" s="1"/>
  <c r="BE224" i="5"/>
  <c r="BD229" i="5"/>
  <c r="BD227" i="5"/>
  <c r="BE225" i="5" s="1"/>
  <c r="BF212" i="5"/>
  <c r="BF214" i="5" s="1"/>
  <c r="BF215" i="5" s="1"/>
  <c r="BG213" i="5" s="1"/>
  <c r="BF209" i="5"/>
  <c r="BC268" i="5"/>
  <c r="BC260" i="5"/>
  <c r="BC269" i="5" s="1"/>
  <c r="BC253" i="20" l="1"/>
  <c r="BC254" i="20" s="1"/>
  <c r="BD252" i="20" s="1"/>
  <c r="BF241" i="20"/>
  <c r="BF245" i="20" s="1"/>
  <c r="BE247" i="20"/>
  <c r="BE251" i="20" s="1"/>
  <c r="BD251" i="20"/>
  <c r="AZ260" i="20"/>
  <c r="BA258" i="20" s="1"/>
  <c r="BA259" i="20" s="1"/>
  <c r="BA263" i="20" s="1"/>
  <c r="AZ263" i="20"/>
  <c r="AZ265" i="20" s="1"/>
  <c r="AZ266" i="20" s="1"/>
  <c r="BA264" i="20" s="1"/>
  <c r="U342" i="23"/>
  <c r="V319" i="23"/>
  <c r="V321" i="23" s="1"/>
  <c r="V287" i="23"/>
  <c r="V260" i="23"/>
  <c r="V252" i="23"/>
  <c r="W250" i="23" s="1"/>
  <c r="V293" i="23"/>
  <c r="V258" i="23"/>
  <c r="W256" i="23" s="1"/>
  <c r="V270" i="23"/>
  <c r="V271" i="23" s="1"/>
  <c r="AW270" i="9"/>
  <c r="AY303" i="11"/>
  <c r="AY312" i="11" s="1"/>
  <c r="AY311" i="11"/>
  <c r="AZ265" i="11"/>
  <c r="BA263" i="11" s="1"/>
  <c r="AZ268" i="11"/>
  <c r="AZ271" i="11" s="1"/>
  <c r="AZ277" i="11" s="1"/>
  <c r="AZ278" i="11" s="1"/>
  <c r="BD253" i="11"/>
  <c r="BE251" i="11" s="1"/>
  <c r="BD273" i="11"/>
  <c r="BD275" i="11" s="1"/>
  <c r="BD256" i="11"/>
  <c r="AX263" i="9"/>
  <c r="AW284" i="9"/>
  <c r="AW286" i="9" s="1"/>
  <c r="AV297" i="9"/>
  <c r="AV306" i="9" s="1"/>
  <c r="AY246" i="9"/>
  <c r="AZ244" i="9" s="1"/>
  <c r="AY276" i="18"/>
  <c r="BA259" i="18"/>
  <c r="AZ266" i="18"/>
  <c r="AZ269" i="20"/>
  <c r="AY288" i="20"/>
  <c r="AY291" i="20" s="1"/>
  <c r="AY272" i="20"/>
  <c r="AY274" i="20" s="1"/>
  <c r="AY275" i="20" s="1"/>
  <c r="BN252" i="18"/>
  <c r="BH254" i="18"/>
  <c r="BN249" i="18"/>
  <c r="BO247" i="18" s="1"/>
  <c r="AY249" i="9"/>
  <c r="AY251" i="9" s="1"/>
  <c r="AY252" i="9" s="1"/>
  <c r="AZ250" i="9" s="1"/>
  <c r="AX303" i="11"/>
  <c r="AX312" i="11" s="1"/>
  <c r="BC215" i="10"/>
  <c r="BD213" i="10" s="1"/>
  <c r="BA258" i="11"/>
  <c r="BA262" i="11" s="1"/>
  <c r="BM240" i="11"/>
  <c r="BI246" i="11"/>
  <c r="AV263" i="10"/>
  <c r="AV265" i="10" s="1"/>
  <c r="AV266" i="10" s="1"/>
  <c r="AV257" i="10"/>
  <c r="AV259" i="10" s="1"/>
  <c r="AV251" i="10"/>
  <c r="AV235" i="10"/>
  <c r="AW225" i="10"/>
  <c r="BD209" i="10"/>
  <c r="BE207" i="10" s="1"/>
  <c r="BD212" i="10"/>
  <c r="AX258" i="9"/>
  <c r="AY256" i="9" s="1"/>
  <c r="AZ238" i="9"/>
  <c r="AY223" i="8"/>
  <c r="BM200" i="8"/>
  <c r="BN198" i="8" s="1"/>
  <c r="BN199" i="8" s="1"/>
  <c r="BM203" i="8"/>
  <c r="AY218" i="8"/>
  <c r="AZ216" i="8" s="1"/>
  <c r="BE211" i="8"/>
  <c r="BE215" i="8" s="1"/>
  <c r="BK205" i="8"/>
  <c r="BE226" i="5"/>
  <c r="BE227" i="5" s="1"/>
  <c r="BF225" i="5" s="1"/>
  <c r="BD246" i="5"/>
  <c r="BD248" i="5" s="1"/>
  <c r="BD232" i="5"/>
  <c r="BG207" i="5"/>
  <c r="BF218" i="5"/>
  <c r="BF220" i="5" s="1"/>
  <c r="BD253" i="20" l="1"/>
  <c r="BD257" i="20" s="1"/>
  <c r="BC257" i="20"/>
  <c r="BF242" i="20"/>
  <c r="BG240" i="20" s="1"/>
  <c r="BH239" i="20" s="1"/>
  <c r="BE248" i="20"/>
  <c r="BF246" i="20" s="1"/>
  <c r="U343" i="23"/>
  <c r="U346" i="23" s="1"/>
  <c r="U345" i="23"/>
  <c r="V302" i="23"/>
  <c r="V328" i="23" s="1"/>
  <c r="V330" i="23" s="1"/>
  <c r="V317" i="23"/>
  <c r="V274" i="23"/>
  <c r="V276" i="23" s="1"/>
  <c r="V277" i="23" s="1"/>
  <c r="AZ300" i="11"/>
  <c r="AZ302" i="11" s="1"/>
  <c r="AZ306" i="11"/>
  <c r="AZ308" i="11" s="1"/>
  <c r="AZ309" i="11" s="1"/>
  <c r="BA264" i="11"/>
  <c r="BE252" i="11"/>
  <c r="AX264" i="9"/>
  <c r="AY262" i="9" s="1"/>
  <c r="AX267" i="9"/>
  <c r="AW288" i="9"/>
  <c r="AW289" i="9" s="1"/>
  <c r="AW272" i="9"/>
  <c r="AW273" i="9" s="1"/>
  <c r="AW301" i="9"/>
  <c r="AW295" i="9"/>
  <c r="AW297" i="9" s="1"/>
  <c r="AV298" i="9"/>
  <c r="AV307" i="9" s="1"/>
  <c r="AZ270" i="18"/>
  <c r="AZ272" i="18" s="1"/>
  <c r="AY279" i="18"/>
  <c r="AY285" i="18" s="1"/>
  <c r="AY286" i="18" s="1"/>
  <c r="BA269" i="20"/>
  <c r="BA288" i="20" s="1"/>
  <c r="BA291" i="20" s="1"/>
  <c r="AZ267" i="18"/>
  <c r="BA265" i="18" s="1"/>
  <c r="BA260" i="18"/>
  <c r="BA260" i="20"/>
  <c r="BB258" i="20" s="1"/>
  <c r="BB259" i="20" s="1"/>
  <c r="BB263" i="20" s="1"/>
  <c r="BA265" i="20"/>
  <c r="BA266" i="20" s="1"/>
  <c r="BB264" i="20" s="1"/>
  <c r="AY303" i="20"/>
  <c r="AY305" i="20" s="1"/>
  <c r="AY306" i="20" s="1"/>
  <c r="AZ288" i="20"/>
  <c r="AZ291" i="20" s="1"/>
  <c r="AZ272" i="20"/>
  <c r="BH255" i="18"/>
  <c r="BI253" i="18" s="1"/>
  <c r="BI254" i="18" s="1"/>
  <c r="BH258" i="18"/>
  <c r="BO248" i="18"/>
  <c r="BA293" i="11"/>
  <c r="AY255" i="9"/>
  <c r="AY257" i="9" s="1"/>
  <c r="AY261" i="9" s="1"/>
  <c r="AZ239" i="9"/>
  <c r="BA237" i="9"/>
  <c r="BI247" i="11"/>
  <c r="BJ245" i="11" s="1"/>
  <c r="BJ246" i="11" s="1"/>
  <c r="BI250" i="11"/>
  <c r="BM241" i="11"/>
  <c r="BN239" i="11" s="1"/>
  <c r="BN240" i="11" s="1"/>
  <c r="BM244" i="11"/>
  <c r="BD214" i="10"/>
  <c r="BD218" i="10" s="1"/>
  <c r="BD220" i="10" s="1"/>
  <c r="BA259" i="11"/>
  <c r="BB257" i="11" s="1"/>
  <c r="AV268" i="10"/>
  <c r="AV260" i="10"/>
  <c r="AV269" i="10" s="1"/>
  <c r="AW226" i="10"/>
  <c r="AW229" i="10" s="1"/>
  <c r="AX224" i="10"/>
  <c r="BE208" i="10"/>
  <c r="BF206" i="10"/>
  <c r="AY254" i="8"/>
  <c r="AY256" i="8" s="1"/>
  <c r="AY257" i="8" s="1"/>
  <c r="AY225" i="8"/>
  <c r="AY226" i="8" s="1"/>
  <c r="BK206" i="8"/>
  <c r="BL204" i="8" s="1"/>
  <c r="BL205" i="8" s="1"/>
  <c r="BK209" i="8"/>
  <c r="BN200" i="8"/>
  <c r="BO198" i="8" s="1"/>
  <c r="BO199" i="8" s="1"/>
  <c r="BN203" i="8"/>
  <c r="AZ217" i="8"/>
  <c r="AZ220" i="8" s="1"/>
  <c r="BD250" i="5"/>
  <c r="BE212" i="8"/>
  <c r="BF210" i="8" s="1"/>
  <c r="BE229" i="5"/>
  <c r="BD234" i="5"/>
  <c r="BD235" i="5" s="1"/>
  <c r="BD257" i="5"/>
  <c r="BD259" i="5" s="1"/>
  <c r="BD263" i="5"/>
  <c r="BD265" i="5" s="1"/>
  <c r="BD266" i="5" s="1"/>
  <c r="BH206" i="5"/>
  <c r="BF221" i="5"/>
  <c r="BG219" i="5" s="1"/>
  <c r="BF224" i="5"/>
  <c r="BF226" i="5" s="1"/>
  <c r="BF229" i="5" s="1"/>
  <c r="BG208" i="5"/>
  <c r="BG209" i="5" s="1"/>
  <c r="BD254" i="20" l="1"/>
  <c r="BE252" i="20" s="1"/>
  <c r="BE253" i="20" s="1"/>
  <c r="BE257" i="20" s="1"/>
  <c r="BG241" i="20"/>
  <c r="BG245" i="20" s="1"/>
  <c r="BF247" i="20"/>
  <c r="BF251" i="20" s="1"/>
  <c r="V331" i="23"/>
  <c r="V280" i="23"/>
  <c r="V282" i="23" s="1"/>
  <c r="V283" i="23" s="1"/>
  <c r="AX270" i="9"/>
  <c r="AX301" i="9" s="1"/>
  <c r="AX303" i="9" s="1"/>
  <c r="AX304" i="9" s="1"/>
  <c r="AZ303" i="11"/>
  <c r="AZ312" i="11" s="1"/>
  <c r="AZ311" i="11"/>
  <c r="BA265" i="11"/>
  <c r="BB263" i="11" s="1"/>
  <c r="BA268" i="11"/>
  <c r="BA271" i="11" s="1"/>
  <c r="BA277" i="11" s="1"/>
  <c r="BA278" i="11" s="1"/>
  <c r="BE273" i="11"/>
  <c r="BE275" i="11" s="1"/>
  <c r="BE256" i="11"/>
  <c r="BE253" i="11"/>
  <c r="AX284" i="9"/>
  <c r="AX286" i="9" s="1"/>
  <c r="AW298" i="9"/>
  <c r="AW303" i="9"/>
  <c r="AW304" i="9" s="1"/>
  <c r="AY263" i="9"/>
  <c r="AY264" i="9" s="1"/>
  <c r="AZ262" i="9" s="1"/>
  <c r="AZ240" i="9"/>
  <c r="BA238" i="9" s="1"/>
  <c r="AY314" i="18"/>
  <c r="AY316" i="18" s="1"/>
  <c r="AY317" i="18" s="1"/>
  <c r="AZ273" i="18"/>
  <c r="BA271" i="18" s="1"/>
  <c r="AZ276" i="18"/>
  <c r="AZ279" i="18" s="1"/>
  <c r="AZ285" i="18" s="1"/>
  <c r="AZ286" i="18" s="1"/>
  <c r="BA272" i="20"/>
  <c r="BA274" i="20" s="1"/>
  <c r="BA275" i="20" s="1"/>
  <c r="BA261" i="18"/>
  <c r="BB259" i="18" s="1"/>
  <c r="BB260" i="18" s="1"/>
  <c r="BA281" i="18"/>
  <c r="BA283" i="18" s="1"/>
  <c r="BA264" i="18"/>
  <c r="BA266" i="18" s="1"/>
  <c r="BB265" i="20"/>
  <c r="BB266" i="20" s="1"/>
  <c r="BC264" i="20" s="1"/>
  <c r="BB260" i="20"/>
  <c r="BC258" i="20" s="1"/>
  <c r="AZ274" i="20"/>
  <c r="AZ275" i="20" s="1"/>
  <c r="AZ303" i="20"/>
  <c r="AZ305" i="20" s="1"/>
  <c r="AZ306" i="20" s="1"/>
  <c r="BB269" i="20"/>
  <c r="BB288" i="20" s="1"/>
  <c r="BB291" i="20" s="1"/>
  <c r="BI258" i="18"/>
  <c r="BO249" i="18"/>
  <c r="BP247" i="18" s="1"/>
  <c r="BP248" i="18" s="1"/>
  <c r="BO252" i="18"/>
  <c r="BI255" i="18"/>
  <c r="BJ253" i="18" s="1"/>
  <c r="AZ243" i="9"/>
  <c r="AZ245" i="9" s="1"/>
  <c r="BJ250" i="11"/>
  <c r="BN244" i="11"/>
  <c r="BD215" i="10"/>
  <c r="BE213" i="10" s="1"/>
  <c r="BB258" i="11"/>
  <c r="BB262" i="11" s="1"/>
  <c r="BN241" i="11"/>
  <c r="BO239" i="11" s="1"/>
  <c r="BJ247" i="11"/>
  <c r="BK245" i="11" s="1"/>
  <c r="AW232" i="10"/>
  <c r="AW234" i="10" s="1"/>
  <c r="AW246" i="10"/>
  <c r="AW248" i="10" s="1"/>
  <c r="AW250" i="10" s="1"/>
  <c r="AW227" i="10"/>
  <c r="BD221" i="10"/>
  <c r="BE219" i="10" s="1"/>
  <c r="BE209" i="10"/>
  <c r="BF207" i="10" s="1"/>
  <c r="BE212" i="10"/>
  <c r="BE232" i="5"/>
  <c r="AY258" i="9"/>
  <c r="AZ256" i="9" s="1"/>
  <c r="AZ223" i="8"/>
  <c r="AZ225" i="8" s="1"/>
  <c r="BL209" i="8"/>
  <c r="BO200" i="8"/>
  <c r="BP198" i="8" s="1"/>
  <c r="BP199" i="8" s="1"/>
  <c r="BO203" i="8"/>
  <c r="AZ218" i="8"/>
  <c r="BA216" i="8" s="1"/>
  <c r="BF232" i="5"/>
  <c r="BF211" i="8"/>
  <c r="BF215" i="8" s="1"/>
  <c r="BE246" i="5"/>
  <c r="BE248" i="5" s="1"/>
  <c r="BL206" i="8"/>
  <c r="BM204" i="8" s="1"/>
  <c r="BD260" i="5"/>
  <c r="BD269" i="5" s="1"/>
  <c r="BD268" i="5"/>
  <c r="BH207" i="5"/>
  <c r="BH208" i="5" s="1"/>
  <c r="BF246" i="5"/>
  <c r="BF248" i="5" s="1"/>
  <c r="BF227" i="5"/>
  <c r="BG225" i="5" s="1"/>
  <c r="BG212" i="5"/>
  <c r="BG214" i="5" s="1"/>
  <c r="BG215" i="5" s="1"/>
  <c r="BH213" i="5" s="1"/>
  <c r="BG242" i="20" l="1"/>
  <c r="BH240" i="20" s="1"/>
  <c r="BH241" i="20" s="1"/>
  <c r="BH245" i="20" s="1"/>
  <c r="BE254" i="20"/>
  <c r="BF252" i="20" s="1"/>
  <c r="BF248" i="20"/>
  <c r="BG246" i="20" s="1"/>
  <c r="V292" i="23"/>
  <c r="V294" i="23" s="1"/>
  <c r="V286" i="23"/>
  <c r="V288" i="23" s="1"/>
  <c r="AX272" i="9"/>
  <c r="AX273" i="9" s="1"/>
  <c r="BA306" i="11"/>
  <c r="BA308" i="11" s="1"/>
  <c r="BA309" i="11" s="1"/>
  <c r="BA300" i="11"/>
  <c r="BA302" i="11" s="1"/>
  <c r="BB293" i="11"/>
  <c r="BB264" i="11"/>
  <c r="BF251" i="11"/>
  <c r="AX288" i="9"/>
  <c r="AX289" i="9" s="1"/>
  <c r="AX295" i="9"/>
  <c r="AX297" i="9" s="1"/>
  <c r="AX306" i="9" s="1"/>
  <c r="AW307" i="9"/>
  <c r="AW306" i="9"/>
  <c r="AY267" i="9"/>
  <c r="AZ249" i="9"/>
  <c r="AZ251" i="9" s="1"/>
  <c r="AZ252" i="9" s="1"/>
  <c r="BA250" i="9" s="1"/>
  <c r="AZ314" i="18"/>
  <c r="AZ316" i="18" s="1"/>
  <c r="AZ317" i="18" s="1"/>
  <c r="BA303" i="20"/>
  <c r="BA305" i="20" s="1"/>
  <c r="BA306" i="20" s="1"/>
  <c r="BA270" i="18"/>
  <c r="BA272" i="18" s="1"/>
  <c r="BA273" i="18" s="1"/>
  <c r="BB271" i="18" s="1"/>
  <c r="BB261" i="18"/>
  <c r="BC259" i="18" s="1"/>
  <c r="BA267" i="18"/>
  <c r="BB265" i="18" s="1"/>
  <c r="BB281" i="18"/>
  <c r="BB283" i="18" s="1"/>
  <c r="BB264" i="18"/>
  <c r="BC259" i="20"/>
  <c r="BB272" i="20"/>
  <c r="BB303" i="20" s="1"/>
  <c r="BB305" i="20" s="1"/>
  <c r="BB306" i="20" s="1"/>
  <c r="BP252" i="18"/>
  <c r="BJ254" i="18"/>
  <c r="BP249" i="18"/>
  <c r="BQ247" i="18" s="1"/>
  <c r="AZ246" i="9"/>
  <c r="BA244" i="9" s="1"/>
  <c r="BA239" i="9"/>
  <c r="BB237" i="9"/>
  <c r="BE214" i="10"/>
  <c r="BE218" i="10" s="1"/>
  <c r="BE220" i="10" s="1"/>
  <c r="BE221" i="10" s="1"/>
  <c r="BF219" i="10" s="1"/>
  <c r="BB259" i="11"/>
  <c r="BK246" i="11"/>
  <c r="BE234" i="5"/>
  <c r="BE235" i="5" s="1"/>
  <c r="BO240" i="11"/>
  <c r="AW263" i="10"/>
  <c r="AW265" i="10" s="1"/>
  <c r="AW266" i="10" s="1"/>
  <c r="AW257" i="10"/>
  <c r="AW259" i="10" s="1"/>
  <c r="AW251" i="10"/>
  <c r="AW235" i="10"/>
  <c r="AX225" i="10"/>
  <c r="BF208" i="10"/>
  <c r="BG206" i="10"/>
  <c r="BE263" i="5"/>
  <c r="BE265" i="5" s="1"/>
  <c r="BE266" i="5" s="1"/>
  <c r="BE257" i="5"/>
  <c r="BE259" i="5" s="1"/>
  <c r="BE260" i="5" s="1"/>
  <c r="BF263" i="5"/>
  <c r="BF265" i="5" s="1"/>
  <c r="BF266" i="5" s="1"/>
  <c r="AZ254" i="8"/>
  <c r="AZ256" i="8" s="1"/>
  <c r="AZ257" i="8" s="1"/>
  <c r="AZ226" i="8"/>
  <c r="BP203" i="8"/>
  <c r="BA217" i="8"/>
  <c r="BA220" i="8" s="1"/>
  <c r="BF212" i="8"/>
  <c r="BG210" i="8" s="1"/>
  <c r="BM205" i="8"/>
  <c r="BF234" i="5"/>
  <c r="BF235" i="5" s="1"/>
  <c r="BE250" i="5"/>
  <c r="BP200" i="8"/>
  <c r="BQ198" i="8" s="1"/>
  <c r="BF250" i="5"/>
  <c r="BF257" i="5"/>
  <c r="BF259" i="5" s="1"/>
  <c r="BG218" i="5"/>
  <c r="BG220" i="5" s="1"/>
  <c r="BG221" i="5" s="1"/>
  <c r="BH219" i="5" s="1"/>
  <c r="BH209" i="5"/>
  <c r="BI207" i="5" s="1"/>
  <c r="BH212" i="5"/>
  <c r="BH214" i="5" s="1"/>
  <c r="BI206" i="5"/>
  <c r="BI239" i="20" l="1"/>
  <c r="BH242" i="20"/>
  <c r="BI240" i="20" s="1"/>
  <c r="BJ239" i="20" s="1"/>
  <c r="BF253" i="20"/>
  <c r="BF257" i="20" s="1"/>
  <c r="BG247" i="20"/>
  <c r="BG251" i="20" s="1"/>
  <c r="BC263" i="20"/>
  <c r="BC265" i="20" s="1"/>
  <c r="BC266" i="20" s="1"/>
  <c r="BD264" i="20" s="1"/>
  <c r="V297" i="23"/>
  <c r="V289" i="23"/>
  <c r="V295" i="23"/>
  <c r="W203" i="23"/>
  <c r="W311" i="23" s="1"/>
  <c r="AY270" i="9"/>
  <c r="AY272" i="9" s="1"/>
  <c r="AY273" i="9" s="1"/>
  <c r="BA311" i="11"/>
  <c r="BA303" i="11"/>
  <c r="BA312" i="11" s="1"/>
  <c r="BB265" i="11"/>
  <c r="BC263" i="11" s="1"/>
  <c r="BB268" i="11"/>
  <c r="BB271" i="11" s="1"/>
  <c r="BB300" i="11" s="1"/>
  <c r="BB302" i="11" s="1"/>
  <c r="BF252" i="11"/>
  <c r="AX298" i="9"/>
  <c r="AX307" i="9" s="1"/>
  <c r="AZ255" i="9"/>
  <c r="AZ257" i="9" s="1"/>
  <c r="AZ261" i="9" s="1"/>
  <c r="AZ263" i="9" s="1"/>
  <c r="AZ264" i="9" s="1"/>
  <c r="BA262" i="9" s="1"/>
  <c r="AY284" i="9"/>
  <c r="BA240" i="9"/>
  <c r="BB238" i="9" s="1"/>
  <c r="BC237" i="9" s="1"/>
  <c r="BA276" i="18"/>
  <c r="BA279" i="18" s="1"/>
  <c r="BA285" i="18" s="1"/>
  <c r="BA286" i="18" s="1"/>
  <c r="BB266" i="18"/>
  <c r="BC260" i="18"/>
  <c r="BC260" i="20"/>
  <c r="BD258" i="20" s="1"/>
  <c r="BC269" i="20"/>
  <c r="BC288" i="20" s="1"/>
  <c r="BC291" i="20" s="1"/>
  <c r="BB274" i="20"/>
  <c r="BB275" i="20" s="1"/>
  <c r="BJ255" i="18"/>
  <c r="BK253" i="18" s="1"/>
  <c r="BK254" i="18" s="1"/>
  <c r="BJ258" i="18"/>
  <c r="BQ248" i="18"/>
  <c r="BA243" i="9"/>
  <c r="BA245" i="9" s="1"/>
  <c r="BC257" i="11"/>
  <c r="BC258" i="11" s="1"/>
  <c r="BE215" i="10"/>
  <c r="BF213" i="10" s="1"/>
  <c r="BK250" i="11"/>
  <c r="BO241" i="11"/>
  <c r="BP239" i="11" s="1"/>
  <c r="BP240" i="11" s="1"/>
  <c r="BO244" i="11"/>
  <c r="BK247" i="11"/>
  <c r="BL245" i="11" s="1"/>
  <c r="AW268" i="10"/>
  <c r="AW260" i="10"/>
  <c r="AW269" i="10" s="1"/>
  <c r="AX226" i="10"/>
  <c r="AX229" i="10" s="1"/>
  <c r="AY224" i="10"/>
  <c r="BF209" i="10"/>
  <c r="BG207" i="10" s="1"/>
  <c r="BF212" i="10"/>
  <c r="BE269" i="5"/>
  <c r="BE268" i="5"/>
  <c r="BF268" i="5"/>
  <c r="BA223" i="8"/>
  <c r="BM209" i="8"/>
  <c r="BA218" i="8"/>
  <c r="BB216" i="8" s="1"/>
  <c r="BB217" i="8" s="1"/>
  <c r="BB220" i="8" s="1"/>
  <c r="BG211" i="8"/>
  <c r="BM206" i="8"/>
  <c r="BN204" i="8" s="1"/>
  <c r="BQ199" i="8"/>
  <c r="BF260" i="5"/>
  <c r="BF269" i="5" s="1"/>
  <c r="BG224" i="5"/>
  <c r="BG226" i="5" s="1"/>
  <c r="BG229" i="5" s="1"/>
  <c r="BH215" i="5"/>
  <c r="BI213" i="5" s="1"/>
  <c r="BH218" i="5"/>
  <c r="BH220" i="5" s="1"/>
  <c r="BH221" i="5" s="1"/>
  <c r="BI219" i="5" s="1"/>
  <c r="BI208" i="5"/>
  <c r="BJ206" i="5"/>
  <c r="BI241" i="20" l="1"/>
  <c r="BI245" i="20" s="1"/>
  <c r="BF254" i="20"/>
  <c r="BG252" i="20" s="1"/>
  <c r="BG248" i="20"/>
  <c r="BH246" i="20" s="1"/>
  <c r="W313" i="23"/>
  <c r="W315" i="23"/>
  <c r="V299" i="23"/>
  <c r="V322" i="23" s="1"/>
  <c r="V303" i="23"/>
  <c r="V334" i="23" s="1"/>
  <c r="V336" i="23" s="1"/>
  <c r="W262" i="23"/>
  <c r="W264" i="23" s="1"/>
  <c r="W225" i="23"/>
  <c r="W227" i="23" s="1"/>
  <c r="BB277" i="11"/>
  <c r="BB278" i="11" s="1"/>
  <c r="BB306" i="11"/>
  <c r="BB308" i="11" s="1"/>
  <c r="BB309" i="11" s="1"/>
  <c r="BC262" i="11"/>
  <c r="BC264" i="11" s="1"/>
  <c r="BF273" i="11"/>
  <c r="BF275" i="11" s="1"/>
  <c r="BF256" i="11"/>
  <c r="BF253" i="11"/>
  <c r="AZ258" i="9"/>
  <c r="BA256" i="9" s="1"/>
  <c r="AY286" i="9"/>
  <c r="AY301" i="9"/>
  <c r="AY303" i="9" s="1"/>
  <c r="AY304" i="9" s="1"/>
  <c r="AZ267" i="9"/>
  <c r="BA246" i="9"/>
  <c r="BB244" i="9" s="1"/>
  <c r="BB267" i="18"/>
  <c r="BC265" i="18" s="1"/>
  <c r="BB270" i="18"/>
  <c r="BB272" i="18" s="1"/>
  <c r="BB273" i="18" s="1"/>
  <c r="BC271" i="18" s="1"/>
  <c r="BC281" i="18"/>
  <c r="BC283" i="18" s="1"/>
  <c r="BC264" i="18"/>
  <c r="BA314" i="18"/>
  <c r="BA316" i="18" s="1"/>
  <c r="BA317" i="18" s="1"/>
  <c r="BC261" i="18"/>
  <c r="BD259" i="20"/>
  <c r="BC272" i="20"/>
  <c r="BC274" i="20" s="1"/>
  <c r="BC275" i="20" s="1"/>
  <c r="BK255" i="18"/>
  <c r="BL253" i="18" s="1"/>
  <c r="BL254" i="18" s="1"/>
  <c r="BK258" i="18"/>
  <c r="BQ252" i="18"/>
  <c r="BQ249" i="18"/>
  <c r="BR247" i="18" s="1"/>
  <c r="BA249" i="9"/>
  <c r="BA251" i="9" s="1"/>
  <c r="BC259" i="11"/>
  <c r="BD257" i="11" s="1"/>
  <c r="BD258" i="11" s="1"/>
  <c r="BF214" i="10"/>
  <c r="BF218" i="10" s="1"/>
  <c r="BF220" i="10" s="1"/>
  <c r="BF221" i="10" s="1"/>
  <c r="BG219" i="10" s="1"/>
  <c r="BB303" i="11"/>
  <c r="BP244" i="11"/>
  <c r="BP241" i="11"/>
  <c r="BQ239" i="11" s="1"/>
  <c r="BL246" i="11"/>
  <c r="AX232" i="10"/>
  <c r="AX234" i="10" s="1"/>
  <c r="AX246" i="10"/>
  <c r="AX248" i="10" s="1"/>
  <c r="AX250" i="10" s="1"/>
  <c r="AX227" i="10"/>
  <c r="BG208" i="10"/>
  <c r="BH206" i="10"/>
  <c r="BB239" i="9"/>
  <c r="BA254" i="8"/>
  <c r="BA256" i="8" s="1"/>
  <c r="BA257" i="8" s="1"/>
  <c r="BA225" i="8"/>
  <c r="BA226" i="8" s="1"/>
  <c r="BB223" i="8"/>
  <c r="BG212" i="8"/>
  <c r="BH210" i="8" s="1"/>
  <c r="BH211" i="8" s="1"/>
  <c r="BH215" i="8" s="1"/>
  <c r="BG215" i="8"/>
  <c r="BQ203" i="8"/>
  <c r="BB218" i="8"/>
  <c r="BC216" i="8" s="1"/>
  <c r="BQ200" i="8"/>
  <c r="BR198" i="8" s="1"/>
  <c r="BN205" i="8"/>
  <c r="BG227" i="5"/>
  <c r="BH225" i="5" s="1"/>
  <c r="BG246" i="5"/>
  <c r="BG248" i="5" s="1"/>
  <c r="BG232" i="5"/>
  <c r="BH224" i="5"/>
  <c r="BI209" i="5"/>
  <c r="BJ207" i="5" s="1"/>
  <c r="BI212" i="5"/>
  <c r="BI214" i="5" s="1"/>
  <c r="BI242" i="20" l="1"/>
  <c r="BJ240" i="20" s="1"/>
  <c r="BK239" i="20" s="1"/>
  <c r="BH247" i="20"/>
  <c r="BH251" i="20" s="1"/>
  <c r="BG253" i="20"/>
  <c r="BG257" i="20" s="1"/>
  <c r="BD260" i="20"/>
  <c r="BE258" i="20" s="1"/>
  <c r="BE259" i="20" s="1"/>
  <c r="BD263" i="20"/>
  <c r="BD265" i="20" s="1"/>
  <c r="BD266" i="20" s="1"/>
  <c r="BE264" i="20" s="1"/>
  <c r="V340" i="23"/>
  <c r="V337" i="23"/>
  <c r="W319" i="23"/>
  <c r="W321" i="23" s="1"/>
  <c r="V305" i="23"/>
  <c r="V306" i="23" s="1"/>
  <c r="W268" i="23"/>
  <c r="W231" i="23"/>
  <c r="W233" i="23" s="1"/>
  <c r="W237" i="23" s="1"/>
  <c r="W239" i="23" s="1"/>
  <c r="AY288" i="9"/>
  <c r="AY289" i="9" s="1"/>
  <c r="AZ270" i="9"/>
  <c r="BB312" i="11"/>
  <c r="BB311" i="11"/>
  <c r="BC265" i="11"/>
  <c r="BD263" i="11" s="1"/>
  <c r="BC268" i="11"/>
  <c r="BC271" i="11" s="1"/>
  <c r="BC277" i="11" s="1"/>
  <c r="BC278" i="11" s="1"/>
  <c r="BD262" i="11"/>
  <c r="BG251" i="11"/>
  <c r="AY295" i="9"/>
  <c r="AY297" i="9" s="1"/>
  <c r="AY306" i="9" s="1"/>
  <c r="AZ284" i="9"/>
  <c r="AZ286" i="9" s="1"/>
  <c r="BA252" i="9"/>
  <c r="BB250" i="9" s="1"/>
  <c r="BC303" i="20"/>
  <c r="BC305" i="20" s="1"/>
  <c r="BC306" i="20" s="1"/>
  <c r="BC266" i="18"/>
  <c r="BC270" i="18" s="1"/>
  <c r="BC272" i="18" s="1"/>
  <c r="BC273" i="18" s="1"/>
  <c r="BD271" i="18" s="1"/>
  <c r="BB276" i="18"/>
  <c r="BB279" i="18" s="1"/>
  <c r="BB314" i="18" s="1"/>
  <c r="BB316" i="18" s="1"/>
  <c r="BB317" i="18" s="1"/>
  <c r="BD259" i="18"/>
  <c r="BD269" i="20"/>
  <c r="BD288" i="20" s="1"/>
  <c r="BD291" i="20" s="1"/>
  <c r="BL255" i="18"/>
  <c r="BM253" i="18" s="1"/>
  <c r="BM254" i="18" s="1"/>
  <c r="BL258" i="18"/>
  <c r="BR248" i="18"/>
  <c r="BC293" i="11"/>
  <c r="BA255" i="9"/>
  <c r="BA257" i="9" s="1"/>
  <c r="BA261" i="9" s="1"/>
  <c r="BB243" i="9"/>
  <c r="BB245" i="9" s="1"/>
  <c r="BF215" i="10"/>
  <c r="BG213" i="10" s="1"/>
  <c r="BL247" i="11"/>
  <c r="BM245" i="11" s="1"/>
  <c r="BM246" i="11" s="1"/>
  <c r="BL250" i="11"/>
  <c r="BD259" i="11"/>
  <c r="BE257" i="11" s="1"/>
  <c r="BQ240" i="11"/>
  <c r="AX263" i="10"/>
  <c r="AX265" i="10" s="1"/>
  <c r="AX257" i="10"/>
  <c r="AX259" i="10" s="1"/>
  <c r="AX260" i="10" s="1"/>
  <c r="AX251" i="10"/>
  <c r="AX235" i="10"/>
  <c r="AY225" i="10"/>
  <c r="AY226" i="10" s="1"/>
  <c r="BG209" i="10"/>
  <c r="BH207" i="10" s="1"/>
  <c r="BG212" i="10"/>
  <c r="BB240" i="9"/>
  <c r="BC238" i="9" s="1"/>
  <c r="BD237" i="9" s="1"/>
  <c r="BB254" i="8"/>
  <c r="BB256" i="8" s="1"/>
  <c r="BB257" i="8" s="1"/>
  <c r="BB225" i="8"/>
  <c r="BB226" i="8" s="1"/>
  <c r="BH212" i="8"/>
  <c r="BI210" i="8" s="1"/>
  <c r="BI211" i="8" s="1"/>
  <c r="BI215" i="8" s="1"/>
  <c r="BN209" i="8"/>
  <c r="BC217" i="8"/>
  <c r="BC220" i="8" s="1"/>
  <c r="BG250" i="5"/>
  <c r="BR199" i="8"/>
  <c r="I197" i="8"/>
  <c r="BG234" i="5"/>
  <c r="BG235" i="5" s="1"/>
  <c r="BN206" i="8"/>
  <c r="BO204" i="8" s="1"/>
  <c r="BH226" i="5"/>
  <c r="BH229" i="5" s="1"/>
  <c r="BG263" i="5"/>
  <c r="BG265" i="5" s="1"/>
  <c r="BG266" i="5" s="1"/>
  <c r="BI218" i="5"/>
  <c r="BI220" i="5" s="1"/>
  <c r="BI221" i="5" s="1"/>
  <c r="BJ219" i="5" s="1"/>
  <c r="BI215" i="5"/>
  <c r="BJ213" i="5" s="1"/>
  <c r="BJ208" i="5"/>
  <c r="BK206" i="5"/>
  <c r="BG257" i="5"/>
  <c r="BJ241" i="20" l="1"/>
  <c r="BJ242" i="20" s="1"/>
  <c r="BK240" i="20" s="1"/>
  <c r="BL239" i="20" s="1"/>
  <c r="BH248" i="20"/>
  <c r="BI246" i="20" s="1"/>
  <c r="BG254" i="20"/>
  <c r="BH252" i="20" s="1"/>
  <c r="BE260" i="20"/>
  <c r="BF258" i="20" s="1"/>
  <c r="BF259" i="20" s="1"/>
  <c r="BF263" i="20" s="1"/>
  <c r="BE263" i="20"/>
  <c r="BE265" i="20" s="1"/>
  <c r="BE266" i="20" s="1"/>
  <c r="BF264" i="20" s="1"/>
  <c r="V342" i="23"/>
  <c r="W240" i="23"/>
  <c r="X238" i="23" s="1"/>
  <c r="W275" i="23"/>
  <c r="W243" i="23"/>
  <c r="W245" i="23" s="1"/>
  <c r="W234" i="23"/>
  <c r="X232" i="23" s="1"/>
  <c r="W269" i="23"/>
  <c r="BD264" i="11"/>
  <c r="BG252" i="11"/>
  <c r="AY298" i="9"/>
  <c r="AY307" i="9" s="1"/>
  <c r="AZ272" i="9"/>
  <c r="AZ273" i="9" s="1"/>
  <c r="AZ301" i="9"/>
  <c r="AZ295" i="9"/>
  <c r="AZ297" i="9" s="1"/>
  <c r="BA258" i="9"/>
  <c r="BB256" i="9" s="1"/>
  <c r="AZ288" i="9"/>
  <c r="AZ289" i="9" s="1"/>
  <c r="BA263" i="9"/>
  <c r="BA264" i="9" s="1"/>
  <c r="BB262" i="9" s="1"/>
  <c r="BB249" i="9"/>
  <c r="BB251" i="9" s="1"/>
  <c r="BB252" i="9" s="1"/>
  <c r="BC250" i="9" s="1"/>
  <c r="BC267" i="18"/>
  <c r="BD265" i="18" s="1"/>
  <c r="BB285" i="18"/>
  <c r="BB286" i="18" s="1"/>
  <c r="BC276" i="18"/>
  <c r="BC279" i="18" s="1"/>
  <c r="BC285" i="18" s="1"/>
  <c r="BC286" i="18" s="1"/>
  <c r="BD260" i="18"/>
  <c r="BD272" i="20"/>
  <c r="BD274" i="20" s="1"/>
  <c r="BD275" i="20" s="1"/>
  <c r="BE269" i="20"/>
  <c r="BE288" i="20" s="1"/>
  <c r="BE291" i="20" s="1"/>
  <c r="BM258" i="18"/>
  <c r="BR252" i="18"/>
  <c r="BR249" i="18"/>
  <c r="BS247" i="18" s="1"/>
  <c r="BM255" i="18"/>
  <c r="BN253" i="18" s="1"/>
  <c r="BD293" i="11"/>
  <c r="BC300" i="11"/>
  <c r="BC302" i="11" s="1"/>
  <c r="BC306" i="11"/>
  <c r="BC308" i="11" s="1"/>
  <c r="BC309" i="11" s="1"/>
  <c r="BG214" i="10"/>
  <c r="BG218" i="10" s="1"/>
  <c r="BG220" i="10" s="1"/>
  <c r="BG221" i="10" s="1"/>
  <c r="BH219" i="10" s="1"/>
  <c r="BM250" i="11"/>
  <c r="BQ244" i="11"/>
  <c r="BE258" i="11"/>
  <c r="BQ241" i="11"/>
  <c r="BR239" i="11" s="1"/>
  <c r="BM247" i="11"/>
  <c r="BN245" i="11" s="1"/>
  <c r="AX268" i="10"/>
  <c r="AX266" i="10"/>
  <c r="AX269" i="10" s="1"/>
  <c r="AY227" i="10"/>
  <c r="AY229" i="10"/>
  <c r="AZ224" i="10"/>
  <c r="BI206" i="10"/>
  <c r="BH208" i="10"/>
  <c r="BB246" i="9"/>
  <c r="BC244" i="9" s="1"/>
  <c r="BC239" i="9"/>
  <c r="BC223" i="8"/>
  <c r="BC225" i="8" s="1"/>
  <c r="BR200" i="8"/>
  <c r="BS198" i="8" s="1"/>
  <c r="BS199" i="8" s="1"/>
  <c r="BR203" i="8"/>
  <c r="BC218" i="8"/>
  <c r="BD216" i="8" s="1"/>
  <c r="BO205" i="8"/>
  <c r="BH227" i="5"/>
  <c r="BI225" i="5" s="1"/>
  <c r="BI212" i="8"/>
  <c r="BJ210" i="8" s="1"/>
  <c r="BI224" i="5"/>
  <c r="BG259" i="5"/>
  <c r="BG268" i="5" s="1"/>
  <c r="BJ209" i="5"/>
  <c r="BK207" i="5" s="1"/>
  <c r="BJ212" i="5"/>
  <c r="BJ214" i="5" s="1"/>
  <c r="BH246" i="5"/>
  <c r="BH248" i="5" s="1"/>
  <c r="BH232" i="5"/>
  <c r="BK241" i="20" l="1"/>
  <c r="BK245" i="20" s="1"/>
  <c r="BJ245" i="20"/>
  <c r="BH253" i="20"/>
  <c r="BH257" i="20" s="1"/>
  <c r="BI247" i="20"/>
  <c r="BI248" i="20" s="1"/>
  <c r="BJ246" i="20" s="1"/>
  <c r="V343" i="23"/>
  <c r="V346" i="23" s="1"/>
  <c r="V345" i="23"/>
  <c r="W281" i="23"/>
  <c r="W246" i="23"/>
  <c r="X244" i="23" s="1"/>
  <c r="W249" i="23"/>
  <c r="W251" i="23" s="1"/>
  <c r="W255" i="23"/>
  <c r="W257" i="23" s="1"/>
  <c r="W270" i="23"/>
  <c r="W271" i="23" s="1"/>
  <c r="BD265" i="11"/>
  <c r="BE263" i="11" s="1"/>
  <c r="BD268" i="11"/>
  <c r="BD271" i="11" s="1"/>
  <c r="BD277" i="11" s="1"/>
  <c r="BD278" i="11" s="1"/>
  <c r="BE262" i="11"/>
  <c r="BG273" i="11"/>
  <c r="BG275" i="11" s="1"/>
  <c r="BG256" i="11"/>
  <c r="BG253" i="11"/>
  <c r="BH251" i="11" s="1"/>
  <c r="BA267" i="9"/>
  <c r="AZ298" i="9"/>
  <c r="AZ303" i="9"/>
  <c r="AZ304" i="9" s="1"/>
  <c r="BC314" i="18"/>
  <c r="BC316" i="18" s="1"/>
  <c r="BC317" i="18" s="1"/>
  <c r="BD281" i="18"/>
  <c r="BD283" i="18" s="1"/>
  <c r="BD264" i="18"/>
  <c r="BD266" i="18" s="1"/>
  <c r="BD261" i="18"/>
  <c r="BD303" i="20"/>
  <c r="BD305" i="20" s="1"/>
  <c r="BD306" i="20" s="1"/>
  <c r="BE272" i="20"/>
  <c r="BE274" i="20" s="1"/>
  <c r="BE275" i="20" s="1"/>
  <c r="BF265" i="20"/>
  <c r="BF266" i="20" s="1"/>
  <c r="BG264" i="20" s="1"/>
  <c r="BF260" i="20"/>
  <c r="BG258" i="20" s="1"/>
  <c r="BF269" i="20"/>
  <c r="BF288" i="20" s="1"/>
  <c r="BF291" i="20" s="1"/>
  <c r="BN254" i="18"/>
  <c r="BS248" i="18"/>
  <c r="BC303" i="11"/>
  <c r="BC312" i="11" s="1"/>
  <c r="BC311" i="11"/>
  <c r="BB255" i="9"/>
  <c r="BB257" i="9" s="1"/>
  <c r="BB261" i="9" s="1"/>
  <c r="BC243" i="9"/>
  <c r="BC245" i="9" s="1"/>
  <c r="BG215" i="10"/>
  <c r="BH213" i="10" s="1"/>
  <c r="BE293" i="11"/>
  <c r="BE259" i="11"/>
  <c r="BF257" i="11" s="1"/>
  <c r="I238" i="11"/>
  <c r="BR240" i="11"/>
  <c r="BN246" i="11"/>
  <c r="AY232" i="10"/>
  <c r="AY234" i="10" s="1"/>
  <c r="AY246" i="10"/>
  <c r="AY248" i="10" s="1"/>
  <c r="AY250" i="10" s="1"/>
  <c r="AZ225" i="10"/>
  <c r="BH209" i="10"/>
  <c r="BI207" i="10" s="1"/>
  <c r="BH212" i="10"/>
  <c r="BC240" i="9"/>
  <c r="BC226" i="8"/>
  <c r="BC254" i="8"/>
  <c r="BC256" i="8" s="1"/>
  <c r="BC257" i="8" s="1"/>
  <c r="BO206" i="8"/>
  <c r="BP204" i="8" s="1"/>
  <c r="BP205" i="8" s="1"/>
  <c r="BO209" i="8"/>
  <c r="BS200" i="8"/>
  <c r="BS203" i="8"/>
  <c r="BD217" i="8"/>
  <c r="BD220" i="8" s="1"/>
  <c r="BI226" i="5"/>
  <c r="BI229" i="5" s="1"/>
  <c r="BH250" i="5"/>
  <c r="BJ211" i="8"/>
  <c r="BJ215" i="8" s="1"/>
  <c r="BH234" i="5"/>
  <c r="BH235" i="5" s="1"/>
  <c r="I199" i="8"/>
  <c r="H199" i="8" s="1"/>
  <c r="BG260" i="5"/>
  <c r="BG269" i="5" s="1"/>
  <c r="BJ218" i="5"/>
  <c r="BJ220" i="5" s="1"/>
  <c r="BJ221" i="5" s="1"/>
  <c r="BK219" i="5" s="1"/>
  <c r="BJ215" i="5"/>
  <c r="BK213" i="5" s="1"/>
  <c r="BL206" i="5"/>
  <c r="BK208" i="5"/>
  <c r="BK209" i="5" s="1"/>
  <c r="BL207" i="5" s="1"/>
  <c r="BH263" i="5"/>
  <c r="BH265" i="5" s="1"/>
  <c r="BH266" i="5" s="1"/>
  <c r="BH257" i="5"/>
  <c r="BK242" i="20" l="1"/>
  <c r="BL240" i="20" s="1"/>
  <c r="BL241" i="20" s="1"/>
  <c r="BJ247" i="20"/>
  <c r="BJ248" i="20" s="1"/>
  <c r="BK246" i="20" s="1"/>
  <c r="BH254" i="20"/>
  <c r="BI252" i="20" s="1"/>
  <c r="BI251" i="20"/>
  <c r="W287" i="23"/>
  <c r="W260" i="23"/>
  <c r="W252" i="23"/>
  <c r="X250" i="23" s="1"/>
  <c r="W274" i="23"/>
  <c r="W276" i="23" s="1"/>
  <c r="W277" i="23" s="1"/>
  <c r="W293" i="23"/>
  <c r="W258" i="23"/>
  <c r="X256" i="23" s="1"/>
  <c r="BA284" i="9"/>
  <c r="BA286" i="9" s="1"/>
  <c r="BD306" i="11"/>
  <c r="BD308" i="11" s="1"/>
  <c r="BD309" i="11" s="1"/>
  <c r="BD300" i="11"/>
  <c r="BD302" i="11" s="1"/>
  <c r="BE264" i="11"/>
  <c r="BH252" i="11"/>
  <c r="AZ307" i="9"/>
  <c r="BA270" i="9"/>
  <c r="AZ306" i="9"/>
  <c r="BB263" i="9"/>
  <c r="BC249" i="9"/>
  <c r="BC251" i="9" s="1"/>
  <c r="BC252" i="9" s="1"/>
  <c r="BD250" i="9" s="1"/>
  <c r="BD270" i="18"/>
  <c r="BD272" i="18" s="1"/>
  <c r="BD273" i="18" s="1"/>
  <c r="BE271" i="18" s="1"/>
  <c r="BE259" i="18"/>
  <c r="BD267" i="18"/>
  <c r="BE265" i="18" s="1"/>
  <c r="BE303" i="20"/>
  <c r="BE305" i="20" s="1"/>
  <c r="BE306" i="20" s="1"/>
  <c r="BF272" i="20"/>
  <c r="BF303" i="20" s="1"/>
  <c r="BF305" i="20" s="1"/>
  <c r="BF306" i="20" s="1"/>
  <c r="BG259" i="20"/>
  <c r="BG263" i="20" s="1"/>
  <c r="BN258" i="18"/>
  <c r="BS252" i="18"/>
  <c r="I252" i="18" s="1"/>
  <c r="I248" i="18"/>
  <c r="H248" i="18" s="1"/>
  <c r="BS249" i="18"/>
  <c r="BN255" i="18"/>
  <c r="BO253" i="18" s="1"/>
  <c r="BH214" i="10"/>
  <c r="BH218" i="10" s="1"/>
  <c r="BH220" i="10" s="1"/>
  <c r="BN250" i="11"/>
  <c r="BR244" i="11"/>
  <c r="BF258" i="11"/>
  <c r="BF262" i="11" s="1"/>
  <c r="BN247" i="11"/>
  <c r="BO245" i="11" s="1"/>
  <c r="BR241" i="11"/>
  <c r="BS239" i="11" s="1"/>
  <c r="AY263" i="10"/>
  <c r="AY265" i="10" s="1"/>
  <c r="AY266" i="10" s="1"/>
  <c r="AY257" i="10"/>
  <c r="AY259" i="10" s="1"/>
  <c r="AY251" i="10"/>
  <c r="AY235" i="10"/>
  <c r="AZ226" i="10"/>
  <c r="AZ229" i="10" s="1"/>
  <c r="BA224" i="10"/>
  <c r="BJ206" i="10"/>
  <c r="BI208" i="10"/>
  <c r="BC246" i="9"/>
  <c r="BD244" i="9" s="1"/>
  <c r="BD238" i="9"/>
  <c r="BE237" i="9" s="1"/>
  <c r="BB258" i="9"/>
  <c r="BC256" i="9" s="1"/>
  <c r="BI232" i="5"/>
  <c r="BD223" i="8"/>
  <c r="BD225" i="8" s="1"/>
  <c r="BP209" i="8"/>
  <c r="BI227" i="5"/>
  <c r="BJ225" i="5" s="1"/>
  <c r="BD218" i="8"/>
  <c r="BE216" i="8" s="1"/>
  <c r="BI246" i="5"/>
  <c r="BI248" i="5" s="1"/>
  <c r="BJ212" i="8"/>
  <c r="BK210" i="8" s="1"/>
  <c r="BP206" i="8"/>
  <c r="BQ204" i="8" s="1"/>
  <c r="BH259" i="5"/>
  <c r="BH268" i="5" s="1"/>
  <c r="BM206" i="5"/>
  <c r="BL208" i="5"/>
  <c r="BK212" i="5"/>
  <c r="BK214" i="5" s="1"/>
  <c r="BJ224" i="5"/>
  <c r="BM239" i="20" l="1"/>
  <c r="BK247" i="20"/>
  <c r="BK248" i="20" s="1"/>
  <c r="BL246" i="20" s="1"/>
  <c r="BL242" i="20"/>
  <c r="BM240" i="20" s="1"/>
  <c r="BL245" i="20"/>
  <c r="BI253" i="20"/>
  <c r="BI257" i="20" s="1"/>
  <c r="BJ251" i="20"/>
  <c r="W302" i="23"/>
  <c r="W328" i="23" s="1"/>
  <c r="W317" i="23"/>
  <c r="W280" i="23"/>
  <c r="W282" i="23" s="1"/>
  <c r="W286" i="23" s="1"/>
  <c r="W288" i="23" s="1"/>
  <c r="BA301" i="9"/>
  <c r="BA303" i="9" s="1"/>
  <c r="BA304" i="9" s="1"/>
  <c r="BA288" i="9"/>
  <c r="BA289" i="9" s="1"/>
  <c r="BD311" i="11"/>
  <c r="BD303" i="11"/>
  <c r="BD312" i="11" s="1"/>
  <c r="BE265" i="11"/>
  <c r="BF263" i="11" s="1"/>
  <c r="BF264" i="11" s="1"/>
  <c r="BE268" i="11"/>
  <c r="BE271" i="11" s="1"/>
  <c r="BE277" i="11" s="1"/>
  <c r="BE278" i="11" s="1"/>
  <c r="BH253" i="11"/>
  <c r="BI251" i="11" s="1"/>
  <c r="BI252" i="11" s="1"/>
  <c r="BF293" i="11"/>
  <c r="BH273" i="11"/>
  <c r="BH275" i="11" s="1"/>
  <c r="BH256" i="11"/>
  <c r="BA295" i="9"/>
  <c r="BA297" i="9" s="1"/>
  <c r="BA272" i="9"/>
  <c r="BA273" i="9" s="1"/>
  <c r="BB264" i="9"/>
  <c r="BC262" i="9" s="1"/>
  <c r="BB267" i="9"/>
  <c r="BD276" i="18"/>
  <c r="BD279" i="18" s="1"/>
  <c r="BD285" i="18" s="1"/>
  <c r="BD286" i="18" s="1"/>
  <c r="BE260" i="18"/>
  <c r="BG265" i="20"/>
  <c r="BG266" i="20" s="1"/>
  <c r="BH264" i="20" s="1"/>
  <c r="BF274" i="20"/>
  <c r="BF275" i="20" s="1"/>
  <c r="BG269" i="20"/>
  <c r="BG288" i="20" s="1"/>
  <c r="BG291" i="20" s="1"/>
  <c r="BG260" i="20"/>
  <c r="BH258" i="20" s="1"/>
  <c r="BO254" i="18"/>
  <c r="BC255" i="9"/>
  <c r="BC257" i="9" s="1"/>
  <c r="BC261" i="9" s="1"/>
  <c r="BH215" i="10"/>
  <c r="BI213" i="10" s="1"/>
  <c r="BF259" i="11"/>
  <c r="BG257" i="11" s="1"/>
  <c r="BS240" i="11"/>
  <c r="BO246" i="11"/>
  <c r="AY268" i="10"/>
  <c r="AZ232" i="10"/>
  <c r="AZ234" i="10" s="1"/>
  <c r="AZ246" i="10"/>
  <c r="AZ248" i="10" s="1"/>
  <c r="AZ250" i="10" s="1"/>
  <c r="AZ227" i="10"/>
  <c r="BA225" i="10" s="1"/>
  <c r="AY260" i="10"/>
  <c r="AY269" i="10" s="1"/>
  <c r="BH221" i="10"/>
  <c r="BI219" i="10" s="1"/>
  <c r="BI209" i="10"/>
  <c r="BJ207" i="10" s="1"/>
  <c r="BI212" i="10"/>
  <c r="BD239" i="9"/>
  <c r="BI234" i="5"/>
  <c r="BI235" i="5" s="1"/>
  <c r="BI263" i="5"/>
  <c r="BI265" i="5" s="1"/>
  <c r="BI266" i="5" s="1"/>
  <c r="BI257" i="5"/>
  <c r="BI259" i="5" s="1"/>
  <c r="BD254" i="8"/>
  <c r="BD256" i="8" s="1"/>
  <c r="BD257" i="8" s="1"/>
  <c r="BD226" i="8"/>
  <c r="BJ226" i="5"/>
  <c r="BJ227" i="5" s="1"/>
  <c r="BK225" i="5" s="1"/>
  <c r="BE217" i="8"/>
  <c r="BQ205" i="8"/>
  <c r="BK211" i="8"/>
  <c r="BK215" i="8" s="1"/>
  <c r="BI250" i="5"/>
  <c r="BH260" i="5"/>
  <c r="BH269" i="5" s="1"/>
  <c r="BL212" i="5"/>
  <c r="BK218" i="5"/>
  <c r="BK220" i="5" s="1"/>
  <c r="BK221" i="5" s="1"/>
  <c r="BL219" i="5" s="1"/>
  <c r="BK215" i="5"/>
  <c r="BL213" i="5" s="1"/>
  <c r="BL209" i="5"/>
  <c r="BM207" i="5" s="1"/>
  <c r="BI254" i="20" l="1"/>
  <c r="BJ252" i="20" s="1"/>
  <c r="BJ253" i="20" s="1"/>
  <c r="BJ257" i="20" s="1"/>
  <c r="BN239" i="20"/>
  <c r="BM241" i="20"/>
  <c r="BL247" i="20"/>
  <c r="BL248" i="20" s="1"/>
  <c r="BM246" i="20" s="1"/>
  <c r="BK251" i="20"/>
  <c r="W330" i="23"/>
  <c r="W289" i="23"/>
  <c r="W283" i="23"/>
  <c r="W292" i="23"/>
  <c r="W294" i="23" s="1"/>
  <c r="BA306" i="9"/>
  <c r="BB270" i="9"/>
  <c r="BE300" i="11"/>
  <c r="BE302" i="11" s="1"/>
  <c r="BE306" i="11"/>
  <c r="BE308" i="11" s="1"/>
  <c r="BE309" i="11" s="1"/>
  <c r="BF265" i="11"/>
  <c r="BG263" i="11" s="1"/>
  <c r="BF268" i="11"/>
  <c r="BF271" i="11" s="1"/>
  <c r="BF306" i="11" s="1"/>
  <c r="BF308" i="11" s="1"/>
  <c r="BF309" i="11" s="1"/>
  <c r="BI253" i="11"/>
  <c r="BJ251" i="11" s="1"/>
  <c r="BI273" i="11"/>
  <c r="BI275" i="11" s="1"/>
  <c r="BI256" i="11"/>
  <c r="BA298" i="9"/>
  <c r="BA307" i="9" s="1"/>
  <c r="BB284" i="9"/>
  <c r="BC263" i="9"/>
  <c r="BD314" i="18"/>
  <c r="BD316" i="18" s="1"/>
  <c r="BD317" i="18" s="1"/>
  <c r="BE281" i="18"/>
  <c r="BE283" i="18" s="1"/>
  <c r="BE264" i="18"/>
  <c r="BE266" i="18" s="1"/>
  <c r="BE261" i="18"/>
  <c r="BF259" i="18" s="1"/>
  <c r="BG272" i="20"/>
  <c r="BG274" i="20" s="1"/>
  <c r="BG275" i="20" s="1"/>
  <c r="BH259" i="20"/>
  <c r="BH263" i="20" s="1"/>
  <c r="BO258" i="18"/>
  <c r="BO255" i="18"/>
  <c r="BP253" i="18" s="1"/>
  <c r="BD243" i="9"/>
  <c r="BD245" i="9" s="1"/>
  <c r="BI214" i="10"/>
  <c r="BI215" i="10" s="1"/>
  <c r="BJ213" i="10" s="1"/>
  <c r="BO250" i="11"/>
  <c r="BS241" i="11"/>
  <c r="BS244" i="11"/>
  <c r="BG258" i="11"/>
  <c r="BG262" i="11" s="1"/>
  <c r="BO247" i="11"/>
  <c r="BP245" i="11" s="1"/>
  <c r="I240" i="11"/>
  <c r="H240" i="11" s="1"/>
  <c r="AZ263" i="10"/>
  <c r="AZ265" i="10" s="1"/>
  <c r="AZ266" i="10" s="1"/>
  <c r="AZ257" i="10"/>
  <c r="AZ259" i="10" s="1"/>
  <c r="AZ251" i="10"/>
  <c r="AZ235" i="10"/>
  <c r="BA226" i="10"/>
  <c r="BA229" i="10" s="1"/>
  <c r="BB224" i="10"/>
  <c r="BK206" i="10"/>
  <c r="BJ208" i="10"/>
  <c r="BD240" i="9"/>
  <c r="BE238" i="9" s="1"/>
  <c r="BC258" i="9"/>
  <c r="BD256" i="9" s="1"/>
  <c r="BI260" i="5"/>
  <c r="BI269" i="5" s="1"/>
  <c r="BJ229" i="5"/>
  <c r="BQ209" i="8"/>
  <c r="BE220" i="8"/>
  <c r="BE218" i="8"/>
  <c r="BF216" i="8" s="1"/>
  <c r="BK212" i="8"/>
  <c r="BL210" i="8" s="1"/>
  <c r="BL211" i="8" s="1"/>
  <c r="BL215" i="8" s="1"/>
  <c r="BQ206" i="8"/>
  <c r="BR204" i="8" s="1"/>
  <c r="BL214" i="5"/>
  <c r="BK224" i="5"/>
  <c r="BK226" i="5" s="1"/>
  <c r="BK229" i="5" s="1"/>
  <c r="BI268" i="5"/>
  <c r="BM208" i="5"/>
  <c r="BN206" i="5"/>
  <c r="BJ254" i="20" l="1"/>
  <c r="BK252" i="20" s="1"/>
  <c r="BM245" i="20"/>
  <c r="BM247" i="20" s="1"/>
  <c r="BM242" i="20"/>
  <c r="BN240" i="20" s="1"/>
  <c r="BL251" i="20"/>
  <c r="W331" i="23"/>
  <c r="W295" i="23"/>
  <c r="X203" i="23"/>
  <c r="X311" i="23" s="1"/>
  <c r="W297" i="23"/>
  <c r="BB301" i="9"/>
  <c r="BB303" i="9" s="1"/>
  <c r="BB272" i="9"/>
  <c r="BB273" i="9" s="1"/>
  <c r="BE303" i="11"/>
  <c r="BE312" i="11" s="1"/>
  <c r="BE311" i="11"/>
  <c r="BF277" i="11"/>
  <c r="BF278" i="11" s="1"/>
  <c r="BF300" i="11"/>
  <c r="BF302" i="11" s="1"/>
  <c r="BF303" i="11" s="1"/>
  <c r="BF312" i="11" s="1"/>
  <c r="BG293" i="11"/>
  <c r="BG264" i="11"/>
  <c r="BJ252" i="11"/>
  <c r="BB286" i="9"/>
  <c r="BC264" i="9"/>
  <c r="BD262" i="9" s="1"/>
  <c r="BC267" i="9"/>
  <c r="BD246" i="9"/>
  <c r="BE244" i="9" s="1"/>
  <c r="BE270" i="18"/>
  <c r="BE272" i="18" s="1"/>
  <c r="BE273" i="18" s="1"/>
  <c r="BF271" i="18" s="1"/>
  <c r="BF260" i="18"/>
  <c r="BE267" i="18"/>
  <c r="BF265" i="18" s="1"/>
  <c r="BH265" i="20"/>
  <c r="BH266" i="20" s="1"/>
  <c r="BI264" i="20" s="1"/>
  <c r="BG303" i="20"/>
  <c r="BG305" i="20" s="1"/>
  <c r="BG306" i="20" s="1"/>
  <c r="BH260" i="20"/>
  <c r="BI258" i="20" s="1"/>
  <c r="BH269" i="20"/>
  <c r="BH288" i="20" s="1"/>
  <c r="BH291" i="20" s="1"/>
  <c r="BP254" i="18"/>
  <c r="BD249" i="9"/>
  <c r="BD251" i="9" s="1"/>
  <c r="BD252" i="9" s="1"/>
  <c r="BE250" i="9" s="1"/>
  <c r="BE239" i="9"/>
  <c r="BF237" i="9"/>
  <c r="BI218" i="10"/>
  <c r="BI220" i="10" s="1"/>
  <c r="BI221" i="10" s="1"/>
  <c r="BJ219" i="10" s="1"/>
  <c r="BG259" i="11"/>
  <c r="BP246" i="11"/>
  <c r="AZ260" i="10"/>
  <c r="AZ269" i="10" s="1"/>
  <c r="BA232" i="10"/>
  <c r="BA234" i="10" s="1"/>
  <c r="BA235" i="10" s="1"/>
  <c r="BA246" i="10"/>
  <c r="BA248" i="10" s="1"/>
  <c r="BA250" i="10" s="1"/>
  <c r="AZ268" i="10"/>
  <c r="BA227" i="10"/>
  <c r="BB225" i="10" s="1"/>
  <c r="BJ209" i="10"/>
  <c r="BK207" i="10" s="1"/>
  <c r="BL206" i="10" s="1"/>
  <c r="BJ212" i="10"/>
  <c r="BJ214" i="10" s="1"/>
  <c r="BJ215" i="10" s="1"/>
  <c r="BK213" i="10" s="1"/>
  <c r="BJ246" i="5"/>
  <c r="BJ248" i="5" s="1"/>
  <c r="BJ232" i="5"/>
  <c r="BE223" i="8"/>
  <c r="BF217" i="8"/>
  <c r="BF220" i="8" s="1"/>
  <c r="BL212" i="8"/>
  <c r="BM210" i="8" s="1"/>
  <c r="BR205" i="8"/>
  <c r="I203" i="8"/>
  <c r="BK246" i="5"/>
  <c r="BK248" i="5" s="1"/>
  <c r="BK232" i="5"/>
  <c r="BM212" i="5"/>
  <c r="BM209" i="5"/>
  <c r="BN207" i="5" s="1"/>
  <c r="BK227" i="5"/>
  <c r="BL225" i="5" s="1"/>
  <c r="BL215" i="5"/>
  <c r="BM213" i="5" s="1"/>
  <c r="BL218" i="5"/>
  <c r="BL220" i="5" s="1"/>
  <c r="BM251" i="20" l="1"/>
  <c r="BM248" i="20"/>
  <c r="BN246" i="20" s="1"/>
  <c r="BK253" i="20"/>
  <c r="BK257" i="20" s="1"/>
  <c r="BO239" i="20"/>
  <c r="BN241" i="20"/>
  <c r="BN245" i="20" s="1"/>
  <c r="X313" i="23"/>
  <c r="X315" i="23"/>
  <c r="W299" i="23"/>
  <c r="W322" i="23" s="1"/>
  <c r="W303" i="23"/>
  <c r="W334" i="23" s="1"/>
  <c r="W336" i="23" s="1"/>
  <c r="X262" i="23"/>
  <c r="X264" i="23" s="1"/>
  <c r="X225" i="23"/>
  <c r="X227" i="23" s="1"/>
  <c r="BB304" i="9"/>
  <c r="BC270" i="9"/>
  <c r="BC301" i="9" s="1"/>
  <c r="BC303" i="9" s="1"/>
  <c r="BC304" i="9" s="1"/>
  <c r="BF311" i="11"/>
  <c r="BG265" i="11"/>
  <c r="BH263" i="11" s="1"/>
  <c r="BG268" i="11"/>
  <c r="BG271" i="11" s="1"/>
  <c r="BG277" i="11" s="1"/>
  <c r="BG278" i="11" s="1"/>
  <c r="BJ273" i="11"/>
  <c r="BJ275" i="11" s="1"/>
  <c r="BJ256" i="11"/>
  <c r="BJ253" i="11"/>
  <c r="BK251" i="11" s="1"/>
  <c r="BC284" i="9"/>
  <c r="BB295" i="9"/>
  <c r="BB297" i="9" s="1"/>
  <c r="BB288" i="9"/>
  <c r="BB289" i="9" s="1"/>
  <c r="BE240" i="9"/>
  <c r="BF238" i="9" s="1"/>
  <c r="BE276" i="18"/>
  <c r="BE279" i="18" s="1"/>
  <c r="BE285" i="18" s="1"/>
  <c r="BE286" i="18" s="1"/>
  <c r="BF261" i="18"/>
  <c r="BG259" i="18" s="1"/>
  <c r="BF281" i="18"/>
  <c r="BF283" i="18" s="1"/>
  <c r="BF264" i="18"/>
  <c r="BF266" i="18" s="1"/>
  <c r="BH272" i="20"/>
  <c r="BH274" i="20" s="1"/>
  <c r="BH275" i="20" s="1"/>
  <c r="BI259" i="20"/>
  <c r="BI263" i="20" s="1"/>
  <c r="BP258" i="18"/>
  <c r="BP255" i="18"/>
  <c r="BQ253" i="18" s="1"/>
  <c r="BD255" i="9"/>
  <c r="BD257" i="9" s="1"/>
  <c r="BD261" i="9" s="1"/>
  <c r="BE243" i="9"/>
  <c r="BE245" i="9" s="1"/>
  <c r="BH257" i="11"/>
  <c r="BH258" i="11" s="1"/>
  <c r="BP250" i="11"/>
  <c r="BP247" i="11"/>
  <c r="BQ245" i="11" s="1"/>
  <c r="BA263" i="10"/>
  <c r="BA265" i="10" s="1"/>
  <c r="BA266" i="10" s="1"/>
  <c r="BA257" i="10"/>
  <c r="BA259" i="10" s="1"/>
  <c r="BA251" i="10"/>
  <c r="BB226" i="10"/>
  <c r="BB229" i="10" s="1"/>
  <c r="BC224" i="10"/>
  <c r="BK208" i="10"/>
  <c r="BK212" i="10" s="1"/>
  <c r="BK214" i="10" s="1"/>
  <c r="BK218" i="10" s="1"/>
  <c r="BJ218" i="10"/>
  <c r="BJ220" i="10" s="1"/>
  <c r="BJ221" i="10" s="1"/>
  <c r="BK219" i="10" s="1"/>
  <c r="BJ250" i="5"/>
  <c r="BJ263" i="5"/>
  <c r="BJ265" i="5" s="1"/>
  <c r="BJ266" i="5" s="1"/>
  <c r="BJ234" i="5"/>
  <c r="BJ235" i="5" s="1"/>
  <c r="BJ257" i="5"/>
  <c r="BJ259" i="5" s="1"/>
  <c r="BE254" i="8"/>
  <c r="BE256" i="8" s="1"/>
  <c r="BE257" i="8" s="1"/>
  <c r="BE225" i="8"/>
  <c r="BE226" i="8" s="1"/>
  <c r="BF223" i="8"/>
  <c r="BF254" i="8" s="1"/>
  <c r="BF256" i="8" s="1"/>
  <c r="BF257" i="8" s="1"/>
  <c r="BR209" i="8"/>
  <c r="BF218" i="8"/>
  <c r="BG216" i="8" s="1"/>
  <c r="BK234" i="5"/>
  <c r="BK235" i="5" s="1"/>
  <c r="BR206" i="8"/>
  <c r="BS204" i="8" s="1"/>
  <c r="BK250" i="5"/>
  <c r="BM211" i="8"/>
  <c r="BM215" i="8" s="1"/>
  <c r="BK263" i="5"/>
  <c r="BK265" i="5" s="1"/>
  <c r="BK266" i="5" s="1"/>
  <c r="BM214" i="5"/>
  <c r="BK257" i="5"/>
  <c r="BL221" i="5"/>
  <c r="BM219" i="5" s="1"/>
  <c r="BL224" i="5"/>
  <c r="BL226" i="5" s="1"/>
  <c r="BN208" i="5"/>
  <c r="BN209" i="5" s="1"/>
  <c r="BO207" i="5" s="1"/>
  <c r="BO206" i="5"/>
  <c r="BN242" i="20" l="1"/>
  <c r="BO240" i="20" s="1"/>
  <c r="BP239" i="20" s="1"/>
  <c r="BK254" i="20"/>
  <c r="BL252" i="20" s="1"/>
  <c r="BL253" i="20" s="1"/>
  <c r="BN247" i="20"/>
  <c r="W340" i="23"/>
  <c r="W337" i="23"/>
  <c r="X319" i="23"/>
  <c r="X321" i="23" s="1"/>
  <c r="W305" i="23"/>
  <c r="W306" i="23" s="1"/>
  <c r="X231" i="23"/>
  <c r="X268" i="23"/>
  <c r="BC272" i="9"/>
  <c r="BC273" i="9" s="1"/>
  <c r="BG300" i="11"/>
  <c r="BG302" i="11" s="1"/>
  <c r="BG306" i="11"/>
  <c r="BG308" i="11" s="1"/>
  <c r="BG309" i="11" s="1"/>
  <c r="BH262" i="11"/>
  <c r="BH264" i="11" s="1"/>
  <c r="BK252" i="11"/>
  <c r="BC286" i="9"/>
  <c r="BB298" i="9"/>
  <c r="BB307" i="9" s="1"/>
  <c r="BB306" i="9"/>
  <c r="BD263" i="9"/>
  <c r="BE249" i="9"/>
  <c r="BE251" i="9" s="1"/>
  <c r="BE255" i="9" s="1"/>
  <c r="BF270" i="18"/>
  <c r="BF272" i="18" s="1"/>
  <c r="BF273" i="18" s="1"/>
  <c r="BG271" i="18" s="1"/>
  <c r="BE314" i="18"/>
  <c r="BE316" i="18" s="1"/>
  <c r="BE317" i="18" s="1"/>
  <c r="BF267" i="18"/>
  <c r="BG265" i="18" s="1"/>
  <c r="BG260" i="18"/>
  <c r="BH303" i="20"/>
  <c r="BH305" i="20" s="1"/>
  <c r="BH306" i="20" s="1"/>
  <c r="BI265" i="20"/>
  <c r="BI266" i="20" s="1"/>
  <c r="BJ264" i="20" s="1"/>
  <c r="BI260" i="20"/>
  <c r="BJ258" i="20" s="1"/>
  <c r="BI269" i="20"/>
  <c r="BI288" i="20" s="1"/>
  <c r="BI291" i="20" s="1"/>
  <c r="BQ254" i="18"/>
  <c r="BE246" i="9"/>
  <c r="BF244" i="9" s="1"/>
  <c r="BF239" i="9"/>
  <c r="BG237" i="9"/>
  <c r="BH293" i="11"/>
  <c r="BH259" i="11"/>
  <c r="BI257" i="11" s="1"/>
  <c r="BI258" i="11" s="1"/>
  <c r="BI262" i="11" s="1"/>
  <c r="BQ246" i="11"/>
  <c r="BA268" i="10"/>
  <c r="BB232" i="10"/>
  <c r="BB234" i="10" s="1"/>
  <c r="BB246" i="10"/>
  <c r="BB248" i="10" s="1"/>
  <c r="BB250" i="10" s="1"/>
  <c r="BA260" i="10"/>
  <c r="BA269" i="10" s="1"/>
  <c r="BB227" i="10"/>
  <c r="BC225" i="10" s="1"/>
  <c r="BK209" i="10"/>
  <c r="BL207" i="10" s="1"/>
  <c r="BM206" i="10" s="1"/>
  <c r="BK215" i="10"/>
  <c r="BL213" i="10" s="1"/>
  <c r="BK220" i="10"/>
  <c r="BJ268" i="5"/>
  <c r="BD258" i="9"/>
  <c r="BE256" i="9" s="1"/>
  <c r="BF225" i="8"/>
  <c r="BF226" i="8" s="1"/>
  <c r="BG217" i="8"/>
  <c r="BG220" i="8" s="1"/>
  <c r="BM212" i="8"/>
  <c r="BN210" i="8" s="1"/>
  <c r="BS205" i="8"/>
  <c r="BJ260" i="5"/>
  <c r="BJ269" i="5" s="1"/>
  <c r="BM215" i="5"/>
  <c r="BN213" i="5" s="1"/>
  <c r="BM218" i="5"/>
  <c r="BM220" i="5" s="1"/>
  <c r="BL229" i="5"/>
  <c r="BL227" i="5"/>
  <c r="BM225" i="5" s="1"/>
  <c r="BN212" i="5"/>
  <c r="BP206" i="5"/>
  <c r="BO208" i="5"/>
  <c r="BO209" i="5" s="1"/>
  <c r="BP207" i="5" s="1"/>
  <c r="BK259" i="5"/>
  <c r="BK268" i="5" s="1"/>
  <c r="BO241" i="20" l="1"/>
  <c r="BO245" i="20" s="1"/>
  <c r="BN251" i="20"/>
  <c r="BN248" i="20"/>
  <c r="BO246" i="20" s="1"/>
  <c r="BL254" i="20"/>
  <c r="BM252" i="20" s="1"/>
  <c r="BL257" i="20"/>
  <c r="W342" i="23"/>
  <c r="X233" i="23"/>
  <c r="BG311" i="11"/>
  <c r="BG303" i="11"/>
  <c r="BG312" i="11" s="1"/>
  <c r="BH265" i="11"/>
  <c r="BI263" i="11" s="1"/>
  <c r="BI264" i="11" s="1"/>
  <c r="BH268" i="11"/>
  <c r="BH271" i="11" s="1"/>
  <c r="BK253" i="11"/>
  <c r="BL251" i="11" s="1"/>
  <c r="BL252" i="11" s="1"/>
  <c r="BI293" i="11"/>
  <c r="BK273" i="11"/>
  <c r="BK275" i="11" s="1"/>
  <c r="BK256" i="11"/>
  <c r="BC295" i="9"/>
  <c r="BC288" i="9"/>
  <c r="BC289" i="9" s="1"/>
  <c r="BE252" i="9"/>
  <c r="BF250" i="9" s="1"/>
  <c r="BD264" i="9"/>
  <c r="BE262" i="9" s="1"/>
  <c r="BD267" i="9"/>
  <c r="BF240" i="9"/>
  <c r="BG238" i="9" s="1"/>
  <c r="BH237" i="9" s="1"/>
  <c r="BF276" i="18"/>
  <c r="BF279" i="18" s="1"/>
  <c r="BF285" i="18" s="1"/>
  <c r="BF286" i="18" s="1"/>
  <c r="BG281" i="18"/>
  <c r="BG283" i="18" s="1"/>
  <c r="BG264" i="18"/>
  <c r="BG266" i="18" s="1"/>
  <c r="BG261" i="18"/>
  <c r="BH259" i="18" s="1"/>
  <c r="BI272" i="20"/>
  <c r="BJ259" i="20"/>
  <c r="BJ263" i="20" s="1"/>
  <c r="BQ258" i="18"/>
  <c r="BQ255" i="18"/>
  <c r="BR253" i="18" s="1"/>
  <c r="BF243" i="9"/>
  <c r="BF245" i="9" s="1"/>
  <c r="BQ250" i="11"/>
  <c r="BI259" i="11"/>
  <c r="BQ247" i="11"/>
  <c r="BR245" i="11" s="1"/>
  <c r="BB263" i="10"/>
  <c r="BB265" i="10" s="1"/>
  <c r="BB266" i="10" s="1"/>
  <c r="BB257" i="10"/>
  <c r="BB259" i="10" s="1"/>
  <c r="BB260" i="10" s="1"/>
  <c r="BB235" i="10"/>
  <c r="BB251" i="10"/>
  <c r="BL208" i="10"/>
  <c r="BL209" i="10" s="1"/>
  <c r="BM207" i="10" s="1"/>
  <c r="BM208" i="10" s="1"/>
  <c r="BC226" i="10"/>
  <c r="BC229" i="10" s="1"/>
  <c r="BD224" i="10"/>
  <c r="BK221" i="10"/>
  <c r="BL219" i="10" s="1"/>
  <c r="BE257" i="9"/>
  <c r="BE261" i="9" s="1"/>
  <c r="BG223" i="8"/>
  <c r="BG225" i="8" s="1"/>
  <c r="BS206" i="8"/>
  <c r="BS209" i="8"/>
  <c r="BG218" i="8"/>
  <c r="BH216" i="8" s="1"/>
  <c r="I205" i="8"/>
  <c r="H205" i="8" s="1"/>
  <c r="BN211" i="8"/>
  <c r="BN215" i="8" s="1"/>
  <c r="BN214" i="5"/>
  <c r="BN218" i="5" s="1"/>
  <c r="BK260" i="5"/>
  <c r="BK269" i="5" s="1"/>
  <c r="BM221" i="5"/>
  <c r="BN219" i="5" s="1"/>
  <c r="BM224" i="5"/>
  <c r="BM226" i="5" s="1"/>
  <c r="BM229" i="5" s="1"/>
  <c r="BO212" i="5"/>
  <c r="BQ206" i="5"/>
  <c r="BP208" i="5"/>
  <c r="BL246" i="5"/>
  <c r="BL248" i="5" s="1"/>
  <c r="BL232" i="5"/>
  <c r="BO247" i="20" l="1"/>
  <c r="BO242" i="20"/>
  <c r="BP240" i="20" s="1"/>
  <c r="BP241" i="20" s="1"/>
  <c r="BP245" i="20" s="1"/>
  <c r="BM253" i="20"/>
  <c r="BM257" i="20" s="1"/>
  <c r="W343" i="23"/>
  <c r="W346" i="23" s="1"/>
  <c r="W345" i="23"/>
  <c r="X234" i="23"/>
  <c r="Y232" i="23" s="1"/>
  <c r="X269" i="23"/>
  <c r="X237" i="23"/>
  <c r="X239" i="23" s="1"/>
  <c r="BD270" i="9"/>
  <c r="BD301" i="9" s="1"/>
  <c r="BD303" i="9" s="1"/>
  <c r="BD304" i="9" s="1"/>
  <c r="BI265" i="11"/>
  <c r="BJ263" i="11" s="1"/>
  <c r="BI268" i="11"/>
  <c r="BI271" i="11" s="1"/>
  <c r="BI277" i="11" s="1"/>
  <c r="BI278" i="11" s="1"/>
  <c r="BL253" i="11"/>
  <c r="BM251" i="11" s="1"/>
  <c r="BL273" i="11"/>
  <c r="BL275" i="11" s="1"/>
  <c r="BL256" i="11"/>
  <c r="BC297" i="9"/>
  <c r="BC306" i="9" s="1"/>
  <c r="BD284" i="9"/>
  <c r="BE263" i="9"/>
  <c r="BF246" i="9"/>
  <c r="BG244" i="9" s="1"/>
  <c r="BG270" i="18"/>
  <c r="BG272" i="18" s="1"/>
  <c r="BG273" i="18" s="1"/>
  <c r="BH271" i="18" s="1"/>
  <c r="BF314" i="18"/>
  <c r="BF316" i="18" s="1"/>
  <c r="BF317" i="18" s="1"/>
  <c r="BH260" i="18"/>
  <c r="BG267" i="18"/>
  <c r="BH265" i="18" s="1"/>
  <c r="BI303" i="20"/>
  <c r="BI305" i="20" s="1"/>
  <c r="BI306" i="20" s="1"/>
  <c r="BI274" i="20"/>
  <c r="BI275" i="20" s="1"/>
  <c r="BJ269" i="20"/>
  <c r="BJ288" i="20" s="1"/>
  <c r="BJ291" i="20" s="1"/>
  <c r="BJ265" i="20"/>
  <c r="BJ266" i="20" s="1"/>
  <c r="BK264" i="20" s="1"/>
  <c r="BJ260" i="20"/>
  <c r="BK258" i="20" s="1"/>
  <c r="BR254" i="18"/>
  <c r="BF249" i="9"/>
  <c r="BF251" i="9" s="1"/>
  <c r="BF255" i="9" s="1"/>
  <c r="BJ257" i="11"/>
  <c r="BJ258" i="11" s="1"/>
  <c r="BH306" i="11"/>
  <c r="BH308" i="11" s="1"/>
  <c r="BH309" i="11" s="1"/>
  <c r="BH277" i="11"/>
  <c r="BH278" i="11" s="1"/>
  <c r="BH300" i="11"/>
  <c r="BR246" i="11"/>
  <c r="I244" i="11"/>
  <c r="BL212" i="10"/>
  <c r="BL214" i="10" s="1"/>
  <c r="BL215" i="10" s="1"/>
  <c r="BM213" i="10" s="1"/>
  <c r="BC232" i="10"/>
  <c r="BC234" i="10" s="1"/>
  <c r="BC246" i="10"/>
  <c r="BC248" i="10" s="1"/>
  <c r="BC250" i="10" s="1"/>
  <c r="BC227" i="10"/>
  <c r="BD225" i="10" s="1"/>
  <c r="BN206" i="10"/>
  <c r="BB269" i="10"/>
  <c r="BB268" i="10"/>
  <c r="BM209" i="10"/>
  <c r="BN207" i="10" s="1"/>
  <c r="BM212" i="10"/>
  <c r="BE258" i="9"/>
  <c r="BF256" i="9" s="1"/>
  <c r="BG239" i="9"/>
  <c r="BG254" i="8"/>
  <c r="BG256" i="8" s="1"/>
  <c r="BG257" i="8" s="1"/>
  <c r="BG226" i="8"/>
  <c r="BH217" i="8"/>
  <c r="BH220" i="8" s="1"/>
  <c r="BL250" i="5"/>
  <c r="BN212" i="8"/>
  <c r="BO210" i="8" s="1"/>
  <c r="BL234" i="5"/>
  <c r="BL235" i="5" s="1"/>
  <c r="BN215" i="5"/>
  <c r="BO213" i="5" s="1"/>
  <c r="BO214" i="5" s="1"/>
  <c r="BO215" i="5" s="1"/>
  <c r="BP213" i="5" s="1"/>
  <c r="BL257" i="5"/>
  <c r="BL259" i="5" s="1"/>
  <c r="BN220" i="5"/>
  <c r="BN221" i="5" s="1"/>
  <c r="BO219" i="5" s="1"/>
  <c r="BL263" i="5"/>
  <c r="BL265" i="5" s="1"/>
  <c r="BL266" i="5" s="1"/>
  <c r="BM227" i="5"/>
  <c r="BN225" i="5" s="1"/>
  <c r="BM246" i="5"/>
  <c r="BM248" i="5" s="1"/>
  <c r="BM232" i="5"/>
  <c r="BP209" i="5"/>
  <c r="BQ207" i="5" s="1"/>
  <c r="BQ239" i="20" l="1"/>
  <c r="BO251" i="20"/>
  <c r="BO248" i="20"/>
  <c r="BP246" i="20" s="1"/>
  <c r="BP247" i="20" s="1"/>
  <c r="BP242" i="20"/>
  <c r="BQ240" i="20" s="1"/>
  <c r="BM254" i="20"/>
  <c r="BN252" i="20" s="1"/>
  <c r="BN253" i="20" s="1"/>
  <c r="X243" i="23"/>
  <c r="X245" i="23" s="1"/>
  <c r="X255" i="23" s="1"/>
  <c r="X257" i="23" s="1"/>
  <c r="X240" i="23"/>
  <c r="Y238" i="23" s="1"/>
  <c r="X275" i="23"/>
  <c r="X270" i="23"/>
  <c r="X271" i="23" s="1"/>
  <c r="BD272" i="9"/>
  <c r="BD273" i="9" s="1"/>
  <c r="BI300" i="11"/>
  <c r="BI302" i="11" s="1"/>
  <c r="BI303" i="11" s="1"/>
  <c r="BI306" i="11"/>
  <c r="BI308" i="11" s="1"/>
  <c r="BI309" i="11" s="1"/>
  <c r="BJ262" i="11"/>
  <c r="BJ264" i="11" s="1"/>
  <c r="BM252" i="11"/>
  <c r="BD286" i="9"/>
  <c r="BC298" i="9"/>
  <c r="BC307" i="9" s="1"/>
  <c r="BE264" i="9"/>
  <c r="BF262" i="9" s="1"/>
  <c r="BE267" i="9"/>
  <c r="BG276" i="18"/>
  <c r="BG279" i="18" s="1"/>
  <c r="BG285" i="18" s="1"/>
  <c r="BG286" i="18" s="1"/>
  <c r="BH261" i="18"/>
  <c r="BI259" i="18" s="1"/>
  <c r="BH281" i="18"/>
  <c r="BH283" i="18" s="1"/>
  <c r="BH264" i="18"/>
  <c r="BH266" i="18" s="1"/>
  <c r="BJ272" i="20"/>
  <c r="BK259" i="20"/>
  <c r="BK263" i="20" s="1"/>
  <c r="BR258" i="18"/>
  <c r="BR255" i="18"/>
  <c r="BS253" i="18" s="1"/>
  <c r="BF252" i="9"/>
  <c r="BG250" i="9" s="1"/>
  <c r="BF257" i="9"/>
  <c r="BF261" i="9" s="1"/>
  <c r="BG243" i="9"/>
  <c r="BG245" i="9" s="1"/>
  <c r="BJ293" i="11"/>
  <c r="BJ259" i="11"/>
  <c r="BK257" i="11" s="1"/>
  <c r="BK258" i="11" s="1"/>
  <c r="BK262" i="11" s="1"/>
  <c r="BH302" i="11"/>
  <c r="BH311" i="11" s="1"/>
  <c r="BR250" i="11"/>
  <c r="BL218" i="10"/>
  <c r="BL220" i="10" s="1"/>
  <c r="BL221" i="10" s="1"/>
  <c r="BM219" i="10" s="1"/>
  <c r="BR247" i="11"/>
  <c r="BS245" i="11" s="1"/>
  <c r="BC263" i="10"/>
  <c r="BC265" i="10" s="1"/>
  <c r="BC266" i="10" s="1"/>
  <c r="BC257" i="10"/>
  <c r="BC259" i="10" s="1"/>
  <c r="BC251" i="10"/>
  <c r="BC235" i="10"/>
  <c r="BN208" i="10"/>
  <c r="BN209" i="10" s="1"/>
  <c r="BO207" i="10" s="1"/>
  <c r="BE224" i="10"/>
  <c r="BD226" i="10"/>
  <c r="BD229" i="10" s="1"/>
  <c r="BO206" i="10"/>
  <c r="BM214" i="10"/>
  <c r="BG240" i="9"/>
  <c r="BH238" i="9" s="1"/>
  <c r="BH223" i="8"/>
  <c r="BH225" i="8" s="1"/>
  <c r="BH218" i="8"/>
  <c r="BI216" i="8" s="1"/>
  <c r="BM234" i="5"/>
  <c r="BM235" i="5" s="1"/>
  <c r="BM250" i="5"/>
  <c r="BO211" i="8"/>
  <c r="BO215" i="8" s="1"/>
  <c r="BP212" i="5"/>
  <c r="BP214" i="5" s="1"/>
  <c r="BP215" i="5" s="1"/>
  <c r="BQ213" i="5" s="1"/>
  <c r="BN224" i="5"/>
  <c r="BN226" i="5" s="1"/>
  <c r="BO218" i="5"/>
  <c r="BO220" i="5" s="1"/>
  <c r="BO221" i="5" s="1"/>
  <c r="BP219" i="5" s="1"/>
  <c r="BL268" i="5"/>
  <c r="BL260" i="5"/>
  <c r="BL269" i="5" s="1"/>
  <c r="BM257" i="5"/>
  <c r="BR206" i="5"/>
  <c r="BQ208" i="5"/>
  <c r="BQ209" i="5" s="1"/>
  <c r="BR207" i="5" s="1"/>
  <c r="BM263" i="5"/>
  <c r="BM265" i="5" s="1"/>
  <c r="BM266" i="5" s="1"/>
  <c r="BQ241" i="20" l="1"/>
  <c r="BQ245" i="20" s="1"/>
  <c r="BR239" i="20"/>
  <c r="BP251" i="20"/>
  <c r="BP248" i="20"/>
  <c r="BQ246" i="20" s="1"/>
  <c r="BN254" i="20"/>
  <c r="BO252" i="20" s="1"/>
  <c r="BO253" i="20" s="1"/>
  <c r="BN257" i="20"/>
  <c r="X293" i="23"/>
  <c r="X258" i="23"/>
  <c r="Y256" i="23" s="1"/>
  <c r="X281" i="23"/>
  <c r="X246" i="23"/>
  <c r="Y244" i="23" s="1"/>
  <c r="X274" i="23"/>
  <c r="X276" i="23" s="1"/>
  <c r="X249" i="23"/>
  <c r="X251" i="23" s="1"/>
  <c r="BI312" i="11"/>
  <c r="BI311" i="11"/>
  <c r="BJ265" i="11"/>
  <c r="BK263" i="11" s="1"/>
  <c r="BK264" i="11" s="1"/>
  <c r="BJ268" i="11"/>
  <c r="BJ271" i="11" s="1"/>
  <c r="BK293" i="11"/>
  <c r="BM273" i="11"/>
  <c r="BM275" i="11" s="1"/>
  <c r="BM256" i="11"/>
  <c r="BM253" i="11"/>
  <c r="BN251" i="11" s="1"/>
  <c r="BD295" i="9"/>
  <c r="BD288" i="9"/>
  <c r="BD289" i="9" s="1"/>
  <c r="BE270" i="9"/>
  <c r="BE284" i="9"/>
  <c r="BE286" i="9" s="1"/>
  <c r="BF263" i="9"/>
  <c r="BF264" i="9" s="1"/>
  <c r="BG262" i="9" s="1"/>
  <c r="BG246" i="9"/>
  <c r="BH244" i="9" s="1"/>
  <c r="BG314" i="18"/>
  <c r="BG316" i="18" s="1"/>
  <c r="BG317" i="18" s="1"/>
  <c r="BH270" i="18"/>
  <c r="BH272" i="18" s="1"/>
  <c r="BH273" i="18" s="1"/>
  <c r="BI271" i="18" s="1"/>
  <c r="BH267" i="18"/>
  <c r="BI265" i="18" s="1"/>
  <c r="BI260" i="18"/>
  <c r="BJ303" i="20"/>
  <c r="BJ305" i="20" s="1"/>
  <c r="BJ306" i="20" s="1"/>
  <c r="BJ274" i="20"/>
  <c r="BJ275" i="20" s="1"/>
  <c r="BK265" i="20"/>
  <c r="BK266" i="20" s="1"/>
  <c r="BL264" i="20" s="1"/>
  <c r="BK269" i="20"/>
  <c r="BK288" i="20" s="1"/>
  <c r="BK291" i="20" s="1"/>
  <c r="BK260" i="20"/>
  <c r="BL258" i="20" s="1"/>
  <c r="BS254" i="18"/>
  <c r="BF258" i="9"/>
  <c r="BG256" i="9" s="1"/>
  <c r="BG249" i="9"/>
  <c r="BG251" i="9" s="1"/>
  <c r="BH239" i="9"/>
  <c r="BI237" i="9"/>
  <c r="BH303" i="11"/>
  <c r="BH312" i="11" s="1"/>
  <c r="BK259" i="11"/>
  <c r="BL257" i="11" s="1"/>
  <c r="BS246" i="11"/>
  <c r="BC268" i="10"/>
  <c r="BN212" i="10"/>
  <c r="BD232" i="10"/>
  <c r="BD234" i="10" s="1"/>
  <c r="BD246" i="10"/>
  <c r="BD248" i="10" s="1"/>
  <c r="BD250" i="10" s="1"/>
  <c r="BC260" i="10"/>
  <c r="BC269" i="10" s="1"/>
  <c r="BD227" i="10"/>
  <c r="BE225" i="10" s="1"/>
  <c r="BM218" i="10"/>
  <c r="BM220" i="10" s="1"/>
  <c r="BP206" i="10"/>
  <c r="BO208" i="10"/>
  <c r="BM215" i="10"/>
  <c r="BH254" i="8"/>
  <c r="BH256" i="8" s="1"/>
  <c r="BH257" i="8" s="1"/>
  <c r="BH226" i="8"/>
  <c r="BI217" i="8"/>
  <c r="BI220" i="8" s="1"/>
  <c r="BO212" i="8"/>
  <c r="BP210" i="8" s="1"/>
  <c r="BO224" i="5"/>
  <c r="BN229" i="5"/>
  <c r="BN227" i="5"/>
  <c r="BO225" i="5" s="1"/>
  <c r="BP218" i="5"/>
  <c r="BP220" i="5" s="1"/>
  <c r="BP221" i="5" s="1"/>
  <c r="BQ219" i="5" s="1"/>
  <c r="BR208" i="5"/>
  <c r="BS206" i="5"/>
  <c r="I206" i="5" s="1"/>
  <c r="BM259" i="5"/>
  <c r="BM268" i="5" s="1"/>
  <c r="BQ212" i="5"/>
  <c r="BQ214" i="5" s="1"/>
  <c r="AY251" i="5"/>
  <c r="BK251" i="5"/>
  <c r="BF251" i="5"/>
  <c r="BA251" i="5"/>
  <c r="X251" i="5"/>
  <c r="BL251" i="5"/>
  <c r="BG251" i="5"/>
  <c r="BB251" i="5"/>
  <c r="AW251" i="5"/>
  <c r="BH251" i="5"/>
  <c r="BC251" i="5"/>
  <c r="AX251" i="5"/>
  <c r="AS251" i="5"/>
  <c r="T251" i="5"/>
  <c r="O251" i="5"/>
  <c r="BD251" i="5"/>
  <c r="Y251" i="5"/>
  <c r="P251" i="5"/>
  <c r="BM251" i="5"/>
  <c r="AN251" i="5"/>
  <c r="AO251" i="5"/>
  <c r="BI251" i="5"/>
  <c r="BJ251" i="5"/>
  <c r="AZ251" i="5"/>
  <c r="AU251" i="5"/>
  <c r="AP251" i="5"/>
  <c r="AK251" i="5"/>
  <c r="AI251" i="5"/>
  <c r="AV251" i="5"/>
  <c r="AQ251" i="5"/>
  <c r="AL251" i="5"/>
  <c r="AG251" i="5"/>
  <c r="S251" i="5"/>
  <c r="AR251" i="5"/>
  <c r="AM251" i="5"/>
  <c r="AH251" i="5"/>
  <c r="AC251" i="5"/>
  <c r="BE251" i="5"/>
  <c r="N251" i="5"/>
  <c r="AJ251" i="5"/>
  <c r="AE251" i="5"/>
  <c r="Z251" i="5"/>
  <c r="U251" i="5"/>
  <c r="AD251" i="5"/>
  <c r="AF251" i="5"/>
  <c r="AA251" i="5"/>
  <c r="V251" i="5"/>
  <c r="Q251" i="5"/>
  <c r="AT251" i="5"/>
  <c r="AB251" i="5"/>
  <c r="W251" i="5"/>
  <c r="R251" i="5"/>
  <c r="M251" i="5"/>
  <c r="BQ242" i="20" l="1"/>
  <c r="BR240" i="20" s="1"/>
  <c r="BS239" i="20" s="1"/>
  <c r="I239" i="20" s="1"/>
  <c r="BQ247" i="20"/>
  <c r="BQ251" i="20" s="1"/>
  <c r="BO254" i="20"/>
  <c r="BP252" i="20" s="1"/>
  <c r="BO257" i="20"/>
  <c r="X277" i="23"/>
  <c r="X280" i="23"/>
  <c r="X282" i="23" s="1"/>
  <c r="X292" i="23" s="1"/>
  <c r="X294" i="23" s="1"/>
  <c r="X252" i="23"/>
  <c r="Y250" i="23" s="1"/>
  <c r="X260" i="23"/>
  <c r="X287" i="23"/>
  <c r="BE301" i="9"/>
  <c r="BE303" i="9" s="1"/>
  <c r="BE304" i="9" s="1"/>
  <c r="BK265" i="11"/>
  <c r="BL263" i="11" s="1"/>
  <c r="BK268" i="11"/>
  <c r="BK271" i="11" s="1"/>
  <c r="BK277" i="11" s="1"/>
  <c r="BK278" i="11" s="1"/>
  <c r="BN252" i="11"/>
  <c r="BD297" i="9"/>
  <c r="BD306" i="9" s="1"/>
  <c r="BE272" i="9"/>
  <c r="BE273" i="9" s="1"/>
  <c r="BF267" i="9"/>
  <c r="BE288" i="9"/>
  <c r="BE289" i="9" s="1"/>
  <c r="BE295" i="9"/>
  <c r="BG255" i="9"/>
  <c r="BG257" i="9" s="1"/>
  <c r="BG261" i="9" s="1"/>
  <c r="BH276" i="18"/>
  <c r="BH279" i="18" s="1"/>
  <c r="BH285" i="18" s="1"/>
  <c r="BH286" i="18" s="1"/>
  <c r="BI261" i="18"/>
  <c r="BJ259" i="18" s="1"/>
  <c r="BJ260" i="18" s="1"/>
  <c r="BI281" i="18"/>
  <c r="BI283" i="18" s="1"/>
  <c r="BI264" i="18"/>
  <c r="BI266" i="18" s="1"/>
  <c r="BK272" i="20"/>
  <c r="BK274" i="20" s="1"/>
  <c r="BK275" i="20" s="1"/>
  <c r="BL259" i="20"/>
  <c r="BL263" i="20" s="1"/>
  <c r="BS255" i="18"/>
  <c r="BS258" i="18"/>
  <c r="I258" i="18" s="1"/>
  <c r="I254" i="18"/>
  <c r="H254" i="18" s="1"/>
  <c r="BH243" i="9"/>
  <c r="BH245" i="9" s="1"/>
  <c r="BH240" i="9"/>
  <c r="BI238" i="9" s="1"/>
  <c r="BJ237" i="9" s="1"/>
  <c r="BJ306" i="11"/>
  <c r="BJ308" i="11" s="1"/>
  <c r="BJ309" i="11" s="1"/>
  <c r="BJ277" i="11"/>
  <c r="BJ278" i="11" s="1"/>
  <c r="BJ300" i="11"/>
  <c r="BS247" i="11"/>
  <c r="BS250" i="11"/>
  <c r="BL258" i="11"/>
  <c r="BL262" i="11" s="1"/>
  <c r="I246" i="11"/>
  <c r="H246" i="11" s="1"/>
  <c r="BD263" i="10"/>
  <c r="BD265" i="10" s="1"/>
  <c r="BD266" i="10" s="1"/>
  <c r="BD257" i="10"/>
  <c r="BD259" i="10" s="1"/>
  <c r="BD251" i="10"/>
  <c r="BD235" i="10"/>
  <c r="BF224" i="10"/>
  <c r="BE226" i="10"/>
  <c r="BO209" i="10"/>
  <c r="BP207" i="10" s="1"/>
  <c r="BQ206" i="10" s="1"/>
  <c r="BN213" i="10"/>
  <c r="BN214" i="10" s="1"/>
  <c r="BM221" i="10"/>
  <c r="BN219" i="10" s="1"/>
  <c r="BG252" i="9"/>
  <c r="BH250" i="9" s="1"/>
  <c r="BN232" i="5"/>
  <c r="BI223" i="8"/>
  <c r="BI225" i="8" s="1"/>
  <c r="BI218" i="8"/>
  <c r="BJ216" i="8" s="1"/>
  <c r="BP211" i="8"/>
  <c r="BO226" i="5"/>
  <c r="BO229" i="5" s="1"/>
  <c r="BN246" i="5"/>
  <c r="BN248" i="5" s="1"/>
  <c r="BP224" i="5"/>
  <c r="BM260" i="5"/>
  <c r="BM269" i="5" s="1"/>
  <c r="BQ218" i="5"/>
  <c r="BQ215" i="5"/>
  <c r="BR213" i="5" s="1"/>
  <c r="BR209" i="5"/>
  <c r="BS207" i="5" s="1"/>
  <c r="BS208" i="5" s="1"/>
  <c r="BR212" i="5"/>
  <c r="BR241" i="20" l="1"/>
  <c r="BR242" i="20" s="1"/>
  <c r="BS240" i="20" s="1"/>
  <c r="BS241" i="20" s="1"/>
  <c r="BS245" i="20" s="1"/>
  <c r="BQ248" i="20"/>
  <c r="BR246" i="20" s="1"/>
  <c r="BP253" i="20"/>
  <c r="BP257" i="20" s="1"/>
  <c r="X302" i="23"/>
  <c r="X328" i="23" s="1"/>
  <c r="X330" i="23" s="1"/>
  <c r="X317" i="23"/>
  <c r="X286" i="23"/>
  <c r="X288" i="23" s="1"/>
  <c r="X297" i="23" s="1"/>
  <c r="X283" i="23"/>
  <c r="X295" i="23"/>
  <c r="Y203" i="23"/>
  <c r="Y311" i="23" s="1"/>
  <c r="BF270" i="9"/>
  <c r="BK300" i="11"/>
  <c r="BK302" i="11" s="1"/>
  <c r="BK306" i="11"/>
  <c r="BK308" i="11" s="1"/>
  <c r="BK309" i="11" s="1"/>
  <c r="BL293" i="11"/>
  <c r="BL264" i="11"/>
  <c r="BN253" i="11"/>
  <c r="BO251" i="11" s="1"/>
  <c r="BO252" i="11" s="1"/>
  <c r="BN273" i="11"/>
  <c r="BN275" i="11" s="1"/>
  <c r="BN256" i="11"/>
  <c r="BD298" i="9"/>
  <c r="BD307" i="9" s="1"/>
  <c r="BE297" i="9"/>
  <c r="BE306" i="9" s="1"/>
  <c r="BF284" i="9"/>
  <c r="BG263" i="9"/>
  <c r="BG264" i="9" s="1"/>
  <c r="BH262" i="9" s="1"/>
  <c r="BH249" i="9"/>
  <c r="BH251" i="9" s="1"/>
  <c r="BH252" i="9" s="1"/>
  <c r="BI250" i="9" s="1"/>
  <c r="BI270" i="18"/>
  <c r="BI272" i="18" s="1"/>
  <c r="BJ261" i="18"/>
  <c r="BK259" i="18" s="1"/>
  <c r="BK260" i="18" s="1"/>
  <c r="BH314" i="18"/>
  <c r="BH316" i="18" s="1"/>
  <c r="BH317" i="18" s="1"/>
  <c r="BI267" i="18"/>
  <c r="BJ265" i="18" s="1"/>
  <c r="BJ281" i="18"/>
  <c r="BJ283" i="18" s="1"/>
  <c r="BJ264" i="18"/>
  <c r="BL260" i="20"/>
  <c r="BM258" i="20" s="1"/>
  <c r="BL265" i="20"/>
  <c r="BL266" i="20" s="1"/>
  <c r="BM264" i="20" s="1"/>
  <c r="BK303" i="20"/>
  <c r="BK305" i="20" s="1"/>
  <c r="BK306" i="20" s="1"/>
  <c r="BL269" i="20"/>
  <c r="BL288" i="20" s="1"/>
  <c r="BL291" i="20" s="1"/>
  <c r="BH246" i="9"/>
  <c r="BI244" i="9" s="1"/>
  <c r="BJ302" i="11"/>
  <c r="BJ311" i="11" s="1"/>
  <c r="BL259" i="11"/>
  <c r="I250" i="11"/>
  <c r="BD268" i="10"/>
  <c r="BO212" i="10"/>
  <c r="BD260" i="10"/>
  <c r="BD269" i="10" s="1"/>
  <c r="BE227" i="10"/>
  <c r="BF225" i="10" s="1"/>
  <c r="BE229" i="10"/>
  <c r="BN218" i="10"/>
  <c r="BN220" i="10" s="1"/>
  <c r="BP208" i="10"/>
  <c r="BP209" i="10" s="1"/>
  <c r="BQ207" i="10" s="1"/>
  <c r="BN215" i="10"/>
  <c r="BO213" i="10" s="1"/>
  <c r="BG258" i="9"/>
  <c r="BH256" i="9" s="1"/>
  <c r="BI239" i="9"/>
  <c r="BN263" i="5"/>
  <c r="BN265" i="5" s="1"/>
  <c r="BN266" i="5" s="1"/>
  <c r="BN234" i="5"/>
  <c r="BN235" i="5" s="1"/>
  <c r="BO232" i="5"/>
  <c r="BI226" i="8"/>
  <c r="BI254" i="8"/>
  <c r="BI256" i="8" s="1"/>
  <c r="BI257" i="8" s="1"/>
  <c r="BP212" i="8"/>
  <c r="BQ210" i="8" s="1"/>
  <c r="BQ211" i="8" s="1"/>
  <c r="BQ215" i="8" s="1"/>
  <c r="BP215" i="8"/>
  <c r="BO246" i="5"/>
  <c r="BO248" i="5" s="1"/>
  <c r="BJ217" i="8"/>
  <c r="BJ220" i="8" s="1"/>
  <c r="BO227" i="5"/>
  <c r="BP225" i="5" s="1"/>
  <c r="BP226" i="5" s="1"/>
  <c r="BP229" i="5" s="1"/>
  <c r="BR214" i="5"/>
  <c r="BR218" i="5" s="1"/>
  <c r="BN257" i="5"/>
  <c r="BN259" i="5" s="1"/>
  <c r="BN250" i="5"/>
  <c r="BN251" i="5" s="1"/>
  <c r="BS209" i="5"/>
  <c r="BS212" i="5"/>
  <c r="I212" i="5" s="1"/>
  <c r="I208" i="5"/>
  <c r="H208" i="5" s="1"/>
  <c r="BQ220" i="5"/>
  <c r="L251" i="5"/>
  <c r="BR245" i="20" l="1"/>
  <c r="BR247" i="20" s="1"/>
  <c r="BR251" i="20" s="1"/>
  <c r="BS242" i="20"/>
  <c r="I241" i="20"/>
  <c r="H241" i="20" s="1"/>
  <c r="BP254" i="20"/>
  <c r="BQ252" i="20" s="1"/>
  <c r="X331" i="23"/>
  <c r="Y313" i="23"/>
  <c r="Y315" i="23"/>
  <c r="X299" i="23"/>
  <c r="X322" i="23" s="1"/>
  <c r="X303" i="23"/>
  <c r="X334" i="23" s="1"/>
  <c r="X336" i="23" s="1"/>
  <c r="X337" i="23" s="1"/>
  <c r="X289" i="23"/>
  <c r="Y262" i="23"/>
  <c r="Y264" i="23" s="1"/>
  <c r="Y225" i="23"/>
  <c r="Y227" i="23" s="1"/>
  <c r="BK311" i="11"/>
  <c r="BK303" i="11"/>
  <c r="BK312" i="11" s="1"/>
  <c r="BL265" i="11"/>
  <c r="BM263" i="11" s="1"/>
  <c r="BL268" i="11"/>
  <c r="BL271" i="11" s="1"/>
  <c r="BL277" i="11" s="1"/>
  <c r="BL278" i="11" s="1"/>
  <c r="BO253" i="11"/>
  <c r="BP251" i="11" s="1"/>
  <c r="BP252" i="11" s="1"/>
  <c r="BO273" i="11"/>
  <c r="BO275" i="11" s="1"/>
  <c r="BO256" i="11"/>
  <c r="BF286" i="9"/>
  <c r="BE298" i="9"/>
  <c r="BE307" i="9" s="1"/>
  <c r="BF272" i="9"/>
  <c r="BF273" i="9" s="1"/>
  <c r="BF301" i="9"/>
  <c r="BF303" i="9" s="1"/>
  <c r="BF304" i="9" s="1"/>
  <c r="BG267" i="9"/>
  <c r="BI273" i="18"/>
  <c r="BJ271" i="18" s="1"/>
  <c r="BI276" i="18"/>
  <c r="BI279" i="18" s="1"/>
  <c r="BI285" i="18" s="1"/>
  <c r="BI286" i="18" s="1"/>
  <c r="BK261" i="18"/>
  <c r="BL259" i="18" s="1"/>
  <c r="BL260" i="18" s="1"/>
  <c r="BK281" i="18"/>
  <c r="BK283" i="18" s="1"/>
  <c r="BK264" i="18"/>
  <c r="BJ266" i="18"/>
  <c r="BM259" i="20"/>
  <c r="BL272" i="20"/>
  <c r="BL274" i="20" s="1"/>
  <c r="BL275" i="20" s="1"/>
  <c r="BH255" i="9"/>
  <c r="BH257" i="9" s="1"/>
  <c r="BH261" i="9" s="1"/>
  <c r="BI243" i="9"/>
  <c r="BI245" i="9" s="1"/>
  <c r="BJ303" i="11"/>
  <c r="BJ312" i="11" s="1"/>
  <c r="BM257" i="11"/>
  <c r="BM258" i="11" s="1"/>
  <c r="BE232" i="10"/>
  <c r="BE234" i="10" s="1"/>
  <c r="BE246" i="10"/>
  <c r="BE248" i="10" s="1"/>
  <c r="BE250" i="10" s="1"/>
  <c r="BP212" i="10"/>
  <c r="BF226" i="10"/>
  <c r="BF229" i="10" s="1"/>
  <c r="BG224" i="10"/>
  <c r="BO214" i="10"/>
  <c r="BN221" i="10"/>
  <c r="BO219" i="10" s="1"/>
  <c r="BR206" i="10"/>
  <c r="BQ208" i="10"/>
  <c r="BI240" i="9"/>
  <c r="BJ238" i="9" s="1"/>
  <c r="BN268" i="5"/>
  <c r="BO263" i="5"/>
  <c r="BO265" i="5" s="1"/>
  <c r="BO266" i="5" s="1"/>
  <c r="BO234" i="5"/>
  <c r="BO235" i="5" s="1"/>
  <c r="BO257" i="5"/>
  <c r="BO259" i="5" s="1"/>
  <c r="BO250" i="5"/>
  <c r="BO251" i="5" s="1"/>
  <c r="BR215" i="5"/>
  <c r="BS213" i="5" s="1"/>
  <c r="BS214" i="5" s="1"/>
  <c r="BJ223" i="8"/>
  <c r="BJ218" i="8"/>
  <c r="BK216" i="8" s="1"/>
  <c r="BQ212" i="8"/>
  <c r="BR210" i="8" s="1"/>
  <c r="BN260" i="5"/>
  <c r="BN269" i="5" s="1"/>
  <c r="BP227" i="5"/>
  <c r="BQ225" i="5" s="1"/>
  <c r="BP246" i="5"/>
  <c r="BP248" i="5" s="1"/>
  <c r="BP232" i="5"/>
  <c r="BQ221" i="5"/>
  <c r="BR219" i="5" s="1"/>
  <c r="BQ224" i="5"/>
  <c r="I245" i="20" l="1"/>
  <c r="BR248" i="20"/>
  <c r="BS246" i="20" s="1"/>
  <c r="BS247" i="20" s="1"/>
  <c r="BS248" i="20" s="1"/>
  <c r="BQ253" i="20"/>
  <c r="BQ257" i="20" s="1"/>
  <c r="BM263" i="20"/>
  <c r="BM265" i="20" s="1"/>
  <c r="BM266" i="20" s="1"/>
  <c r="BN264" i="20" s="1"/>
  <c r="X340" i="23"/>
  <c r="X342" i="23" s="1"/>
  <c r="X343" i="23" s="1"/>
  <c r="X346" i="23" s="1"/>
  <c r="Y319" i="23"/>
  <c r="Y321" i="23" s="1"/>
  <c r="X305" i="23"/>
  <c r="X306" i="23" s="1"/>
  <c r="Y231" i="23"/>
  <c r="Y268" i="23"/>
  <c r="BG270" i="9"/>
  <c r="BF288" i="9"/>
  <c r="BF289" i="9" s="1"/>
  <c r="BL300" i="11"/>
  <c r="BL302" i="11" s="1"/>
  <c r="BL306" i="11"/>
  <c r="BL308" i="11" s="1"/>
  <c r="BL309" i="11" s="1"/>
  <c r="BM262" i="11"/>
  <c r="BM264" i="11" s="1"/>
  <c r="BP253" i="11"/>
  <c r="BQ251" i="11" s="1"/>
  <c r="BQ252" i="11" s="1"/>
  <c r="BP273" i="11"/>
  <c r="BP275" i="11" s="1"/>
  <c r="BP256" i="11"/>
  <c r="BF295" i="9"/>
  <c r="BF297" i="9" s="1"/>
  <c r="BF306" i="9" s="1"/>
  <c r="BH258" i="9"/>
  <c r="BI256" i="9" s="1"/>
  <c r="BG284" i="9"/>
  <c r="BG286" i="9" s="1"/>
  <c r="BH263" i="9"/>
  <c r="BH264" i="9" s="1"/>
  <c r="BI262" i="9" s="1"/>
  <c r="BI249" i="9"/>
  <c r="BI251" i="9" s="1"/>
  <c r="BI255" i="9" s="1"/>
  <c r="BI314" i="18"/>
  <c r="BI316" i="18" s="1"/>
  <c r="BI317" i="18" s="1"/>
  <c r="BJ270" i="18"/>
  <c r="BJ272" i="18" s="1"/>
  <c r="BL261" i="18"/>
  <c r="BM259" i="18" s="1"/>
  <c r="BM260" i="18" s="1"/>
  <c r="BJ267" i="18"/>
  <c r="BK265" i="18" s="1"/>
  <c r="BL281" i="18"/>
  <c r="BL283" i="18" s="1"/>
  <c r="BL264" i="18"/>
  <c r="BM260" i="20"/>
  <c r="BN258" i="20" s="1"/>
  <c r="BM269" i="20"/>
  <c r="BM288" i="20" s="1"/>
  <c r="BM291" i="20" s="1"/>
  <c r="BL303" i="20"/>
  <c r="BL305" i="20" s="1"/>
  <c r="BL306" i="20" s="1"/>
  <c r="BJ239" i="9"/>
  <c r="BK237" i="9"/>
  <c r="BM259" i="11"/>
  <c r="BN257" i="11" s="1"/>
  <c r="BN258" i="11" s="1"/>
  <c r="BN262" i="11" s="1"/>
  <c r="BE263" i="10"/>
  <c r="BE265" i="10" s="1"/>
  <c r="BE266" i="10" s="1"/>
  <c r="BE257" i="10"/>
  <c r="BE259" i="10" s="1"/>
  <c r="BE251" i="10"/>
  <c r="BE235" i="10"/>
  <c r="BF232" i="10"/>
  <c r="BF234" i="10" s="1"/>
  <c r="BF235" i="10" s="1"/>
  <c r="BF246" i="10"/>
  <c r="BF248" i="10" s="1"/>
  <c r="BF250" i="10" s="1"/>
  <c r="BF227" i="10"/>
  <c r="BG225" i="10" s="1"/>
  <c r="BG226" i="10" s="1"/>
  <c r="BG229" i="10" s="1"/>
  <c r="BO218" i="10"/>
  <c r="BO220" i="10" s="1"/>
  <c r="BO221" i="10" s="1"/>
  <c r="BP219" i="10" s="1"/>
  <c r="BQ209" i="10"/>
  <c r="BR207" i="10" s="1"/>
  <c r="BR208" i="10" s="1"/>
  <c r="BO215" i="10"/>
  <c r="BP213" i="10" s="1"/>
  <c r="BQ212" i="10" s="1"/>
  <c r="BI246" i="9"/>
  <c r="BJ244" i="9" s="1"/>
  <c r="BO268" i="5"/>
  <c r="BO260" i="5"/>
  <c r="BO269" i="5" s="1"/>
  <c r="BJ254" i="8"/>
  <c r="BJ256" i="8" s="1"/>
  <c r="BJ257" i="8" s="1"/>
  <c r="BJ225" i="8"/>
  <c r="BJ226" i="8" s="1"/>
  <c r="BK217" i="8"/>
  <c r="BK220" i="8" s="1"/>
  <c r="BP234" i="5"/>
  <c r="BP235" i="5" s="1"/>
  <c r="BR211" i="8"/>
  <c r="BR215" i="8" s="1"/>
  <c r="I209" i="8"/>
  <c r="BS215" i="5"/>
  <c r="I214" i="5"/>
  <c r="H214" i="5" s="1"/>
  <c r="BS218" i="5"/>
  <c r="I218" i="5" s="1"/>
  <c r="BP257" i="5"/>
  <c r="BP259" i="5" s="1"/>
  <c r="BP263" i="5"/>
  <c r="BP265" i="5" s="1"/>
  <c r="BP266" i="5" s="1"/>
  <c r="BR220" i="5"/>
  <c r="BQ226" i="5"/>
  <c r="BQ229" i="5" s="1"/>
  <c r="BP250" i="5"/>
  <c r="BP251" i="5" s="1"/>
  <c r="I397" i="5"/>
  <c r="I371" i="5"/>
  <c r="I370" i="5"/>
  <c r="BS251" i="20" l="1"/>
  <c r="I251" i="20" s="1"/>
  <c r="I247" i="20"/>
  <c r="H247" i="20" s="1"/>
  <c r="BQ254" i="20"/>
  <c r="BR252" i="20" s="1"/>
  <c r="BR253" i="20" s="1"/>
  <c r="X345" i="23"/>
  <c r="Y233" i="23"/>
  <c r="BL303" i="11"/>
  <c r="BL312" i="11" s="1"/>
  <c r="BL311" i="11"/>
  <c r="BM265" i="11"/>
  <c r="BN263" i="11" s="1"/>
  <c r="BN264" i="11" s="1"/>
  <c r="BM268" i="11"/>
  <c r="BM271" i="11" s="1"/>
  <c r="BM277" i="11" s="1"/>
  <c r="BM278" i="11" s="1"/>
  <c r="BQ253" i="11"/>
  <c r="BR251" i="11" s="1"/>
  <c r="BR252" i="11" s="1"/>
  <c r="BN293" i="11"/>
  <c r="BQ273" i="11"/>
  <c r="BQ275" i="11" s="1"/>
  <c r="BQ256" i="11"/>
  <c r="BH267" i="9"/>
  <c r="BG288" i="9"/>
  <c r="BG289" i="9" s="1"/>
  <c r="BG272" i="9"/>
  <c r="BG273" i="9" s="1"/>
  <c r="BG295" i="9"/>
  <c r="BG301" i="9"/>
  <c r="BG303" i="9" s="1"/>
  <c r="BG304" i="9" s="1"/>
  <c r="BF298" i="9"/>
  <c r="BF307" i="9" s="1"/>
  <c r="BJ240" i="9"/>
  <c r="BK238" i="9" s="1"/>
  <c r="BJ273" i="18"/>
  <c r="BK271" i="18" s="1"/>
  <c r="BJ276" i="18"/>
  <c r="BJ279" i="18" s="1"/>
  <c r="BJ285" i="18" s="1"/>
  <c r="BJ286" i="18" s="1"/>
  <c r="BM261" i="18"/>
  <c r="BN259" i="18" s="1"/>
  <c r="BK266" i="18"/>
  <c r="BM281" i="18"/>
  <c r="BM283" i="18" s="1"/>
  <c r="BM264" i="18"/>
  <c r="BN259" i="20"/>
  <c r="BM272" i="20"/>
  <c r="BM274" i="20" s="1"/>
  <c r="BM275" i="20" s="1"/>
  <c r="BM293" i="11"/>
  <c r="BJ243" i="9"/>
  <c r="BJ245" i="9" s="1"/>
  <c r="BN259" i="11"/>
  <c r="BO257" i="11" s="1"/>
  <c r="BE268" i="10"/>
  <c r="BF263" i="10"/>
  <c r="BF265" i="10" s="1"/>
  <c r="BF266" i="10" s="1"/>
  <c r="BF257" i="10"/>
  <c r="BF259" i="10" s="1"/>
  <c r="BF251" i="10"/>
  <c r="BG232" i="10"/>
  <c r="BG234" i="10" s="1"/>
  <c r="BG246" i="10"/>
  <c r="BG248" i="10" s="1"/>
  <c r="BG250" i="10" s="1"/>
  <c r="BE260" i="10"/>
  <c r="BE269" i="10" s="1"/>
  <c r="BS206" i="10"/>
  <c r="I206" i="10" s="1"/>
  <c r="BG227" i="10"/>
  <c r="BH225" i="10" s="1"/>
  <c r="BH224" i="10"/>
  <c r="BP214" i="10"/>
  <c r="BR209" i="10"/>
  <c r="BS207" i="10" s="1"/>
  <c r="BI252" i="9"/>
  <c r="BJ250" i="9" s="1"/>
  <c r="BI257" i="9"/>
  <c r="BI261" i="9" s="1"/>
  <c r="BK223" i="8"/>
  <c r="BK225" i="8" s="1"/>
  <c r="BK218" i="8"/>
  <c r="BL216" i="8" s="1"/>
  <c r="BR212" i="8"/>
  <c r="BS210" i="8" s="1"/>
  <c r="BP268" i="5"/>
  <c r="BP260" i="5"/>
  <c r="BP269" i="5" s="1"/>
  <c r="BQ227" i="5"/>
  <c r="BR225" i="5" s="1"/>
  <c r="BQ246" i="5"/>
  <c r="BQ248" i="5" s="1"/>
  <c r="BQ232" i="5"/>
  <c r="BR224" i="5"/>
  <c r="BR221" i="5"/>
  <c r="BS219" i="5" s="1"/>
  <c r="BR254" i="20" l="1"/>
  <c r="BS252" i="20" s="1"/>
  <c r="BR257" i="20"/>
  <c r="BN263" i="20"/>
  <c r="BN265" i="20" s="1"/>
  <c r="BN266" i="20" s="1"/>
  <c r="BO264" i="20" s="1"/>
  <c r="Y269" i="23"/>
  <c r="Y234" i="23"/>
  <c r="Z232" i="23" s="1"/>
  <c r="Y237" i="23"/>
  <c r="Y239" i="23" s="1"/>
  <c r="Y243" i="23" s="1"/>
  <c r="Y245" i="23" s="1"/>
  <c r="BH270" i="9"/>
  <c r="BH301" i="9" s="1"/>
  <c r="BH303" i="9" s="1"/>
  <c r="BH304" i="9" s="1"/>
  <c r="BH284" i="9"/>
  <c r="BH286" i="9" s="1"/>
  <c r="BN265" i="11"/>
  <c r="BO263" i="11" s="1"/>
  <c r="BN268" i="11"/>
  <c r="BN271" i="11" s="1"/>
  <c r="BN277" i="11" s="1"/>
  <c r="BN278" i="11" s="1"/>
  <c r="BR253" i="11"/>
  <c r="BS251" i="11" s="1"/>
  <c r="BS252" i="11" s="1"/>
  <c r="BR273" i="11"/>
  <c r="BR275" i="11" s="1"/>
  <c r="BR256" i="11"/>
  <c r="BG297" i="9"/>
  <c r="BG306" i="9" s="1"/>
  <c r="BI263" i="9"/>
  <c r="BI264" i="9" s="1"/>
  <c r="BJ262" i="9" s="1"/>
  <c r="BJ249" i="9"/>
  <c r="BJ251" i="9" s="1"/>
  <c r="BJ255" i="9" s="1"/>
  <c r="BJ314" i="18"/>
  <c r="BJ316" i="18" s="1"/>
  <c r="BJ317" i="18" s="1"/>
  <c r="BK270" i="18"/>
  <c r="BK272" i="18" s="1"/>
  <c r="BK273" i="18" s="1"/>
  <c r="BL271" i="18" s="1"/>
  <c r="BK267" i="18"/>
  <c r="BL265" i="18" s="1"/>
  <c r="BL266" i="18" s="1"/>
  <c r="BN260" i="18"/>
  <c r="BN269" i="20"/>
  <c r="BN288" i="20" s="1"/>
  <c r="BN291" i="20" s="1"/>
  <c r="BN260" i="20"/>
  <c r="BO258" i="20" s="1"/>
  <c r="BM303" i="20"/>
  <c r="BM305" i="20" s="1"/>
  <c r="BM306" i="20" s="1"/>
  <c r="BM306" i="11"/>
  <c r="BM308" i="11" s="1"/>
  <c r="BM309" i="11" s="1"/>
  <c r="BM300" i="11"/>
  <c r="BM302" i="11" s="1"/>
  <c r="BK239" i="9"/>
  <c r="BL237" i="9"/>
  <c r="BO258" i="11"/>
  <c r="BO262" i="11" s="1"/>
  <c r="BF268" i="10"/>
  <c r="BG263" i="10"/>
  <c r="BG265" i="10" s="1"/>
  <c r="BG266" i="10" s="1"/>
  <c r="BG257" i="10"/>
  <c r="BG259" i="10" s="1"/>
  <c r="BG251" i="10"/>
  <c r="BG235" i="10"/>
  <c r="BF260" i="10"/>
  <c r="BF269" i="10" s="1"/>
  <c r="BS208" i="10"/>
  <c r="BS209" i="10" s="1"/>
  <c r="BH226" i="10"/>
  <c r="BH229" i="10" s="1"/>
  <c r="BI224" i="10"/>
  <c r="BP218" i="10"/>
  <c r="BP220" i="10" s="1"/>
  <c r="BP221" i="10" s="1"/>
  <c r="BQ219" i="10" s="1"/>
  <c r="BP215" i="10"/>
  <c r="BQ213" i="10" s="1"/>
  <c r="BQ214" i="10" s="1"/>
  <c r="BJ246" i="9"/>
  <c r="BK244" i="9" s="1"/>
  <c r="BI258" i="9"/>
  <c r="BJ256" i="9" s="1"/>
  <c r="BK254" i="8"/>
  <c r="BK256" i="8" s="1"/>
  <c r="BK257" i="8" s="1"/>
  <c r="BK226" i="8"/>
  <c r="BL217" i="8"/>
  <c r="BL220" i="8" s="1"/>
  <c r="BS211" i="8"/>
  <c r="BQ263" i="5"/>
  <c r="BQ265" i="5" s="1"/>
  <c r="BQ266" i="5" s="1"/>
  <c r="BS220" i="5"/>
  <c r="BS221" i="5" s="1"/>
  <c r="BQ257" i="5"/>
  <c r="BQ234" i="5"/>
  <c r="BQ235" i="5" s="1"/>
  <c r="BR226" i="5"/>
  <c r="BQ250" i="5"/>
  <c r="BQ251" i="5" s="1"/>
  <c r="BS253" i="20" l="1"/>
  <c r="BS254" i="20" s="1"/>
  <c r="Y246" i="23"/>
  <c r="Z244" i="23" s="1"/>
  <c r="Y281" i="23"/>
  <c r="Y255" i="23"/>
  <c r="Y257" i="23" s="1"/>
  <c r="Y249" i="23"/>
  <c r="Y251" i="23" s="1"/>
  <c r="Y275" i="23"/>
  <c r="Y240" i="23"/>
  <c r="Z238" i="23" s="1"/>
  <c r="Y270" i="23"/>
  <c r="BH288" i="9"/>
  <c r="BH289" i="9" s="1"/>
  <c r="BH272" i="9"/>
  <c r="BH273" i="9" s="1"/>
  <c r="BN306" i="11"/>
  <c r="BN308" i="11" s="1"/>
  <c r="BN309" i="11" s="1"/>
  <c r="BN300" i="11"/>
  <c r="BN302" i="11" s="1"/>
  <c r="BS253" i="11"/>
  <c r="BO293" i="11"/>
  <c r="BO264" i="11"/>
  <c r="BS273" i="11"/>
  <c r="BS275" i="11" s="1"/>
  <c r="BS256" i="11"/>
  <c r="I252" i="11"/>
  <c r="H252" i="11" s="1"/>
  <c r="BH295" i="9"/>
  <c r="BH297" i="9" s="1"/>
  <c r="BH298" i="9" s="1"/>
  <c r="BH307" i="9" s="1"/>
  <c r="BG298" i="9"/>
  <c r="BG307" i="9" s="1"/>
  <c r="BI267" i="9"/>
  <c r="BK240" i="9"/>
  <c r="BL238" i="9" s="1"/>
  <c r="BL270" i="18"/>
  <c r="BL272" i="18" s="1"/>
  <c r="BL273" i="18" s="1"/>
  <c r="BM271" i="18" s="1"/>
  <c r="BK276" i="18"/>
  <c r="BK279" i="18" s="1"/>
  <c r="BK285" i="18" s="1"/>
  <c r="BK286" i="18" s="1"/>
  <c r="BL267" i="18"/>
  <c r="BM265" i="18" s="1"/>
  <c r="BM266" i="18" s="1"/>
  <c r="BN281" i="18"/>
  <c r="BN283" i="18" s="1"/>
  <c r="BN264" i="18"/>
  <c r="BN261" i="18"/>
  <c r="BO259" i="18" s="1"/>
  <c r="BO259" i="20"/>
  <c r="BN272" i="20"/>
  <c r="BN274" i="20" s="1"/>
  <c r="BN275" i="20" s="1"/>
  <c r="BM311" i="11"/>
  <c r="BM303" i="11"/>
  <c r="BM312" i="11" s="1"/>
  <c r="BK243" i="9"/>
  <c r="BK245" i="9" s="1"/>
  <c r="BO259" i="11"/>
  <c r="I208" i="10"/>
  <c r="H208" i="10" s="1"/>
  <c r="BG268" i="10"/>
  <c r="BH232" i="10"/>
  <c r="BH234" i="10" s="1"/>
  <c r="BH246" i="10"/>
  <c r="BH248" i="10" s="1"/>
  <c r="BH250" i="10" s="1"/>
  <c r="BG260" i="10"/>
  <c r="BG269" i="10" s="1"/>
  <c r="BH227" i="10"/>
  <c r="BI225" i="10" s="1"/>
  <c r="BJ224" i="10" s="1"/>
  <c r="BQ218" i="10"/>
  <c r="BQ220" i="10" s="1"/>
  <c r="BR212" i="10"/>
  <c r="BQ215" i="10"/>
  <c r="BR213" i="10" s="1"/>
  <c r="BJ252" i="9"/>
  <c r="BK250" i="9" s="1"/>
  <c r="BJ257" i="9"/>
  <c r="BJ261" i="9" s="1"/>
  <c r="BL223" i="8"/>
  <c r="BL225" i="8" s="1"/>
  <c r="BS212" i="8"/>
  <c r="BS215" i="8"/>
  <c r="BL218" i="8"/>
  <c r="BM216" i="8" s="1"/>
  <c r="BM217" i="8" s="1"/>
  <c r="BM220" i="8" s="1"/>
  <c r="I211" i="8"/>
  <c r="H211" i="8" s="1"/>
  <c r="BQ259" i="5"/>
  <c r="BQ268" i="5" s="1"/>
  <c r="BR229" i="5"/>
  <c r="BR227" i="5"/>
  <c r="BS225" i="5" s="1"/>
  <c r="I220" i="5"/>
  <c r="H220" i="5" s="1"/>
  <c r="BS224" i="5"/>
  <c r="I224" i="5" s="1"/>
  <c r="I456" i="5"/>
  <c r="BS257" i="20" l="1"/>
  <c r="I253" i="20"/>
  <c r="H253" i="20" s="1"/>
  <c r="BO263" i="20"/>
  <c r="BO265" i="20" s="1"/>
  <c r="BO266" i="20" s="1"/>
  <c r="BP264" i="20" s="1"/>
  <c r="Y274" i="23"/>
  <c r="Y287" i="23"/>
  <c r="Y260" i="23"/>
  <c r="Y252" i="23"/>
  <c r="Z250" i="23" s="1"/>
  <c r="Y271" i="23"/>
  <c r="Y293" i="23"/>
  <c r="Y258" i="23"/>
  <c r="Z256" i="23" s="1"/>
  <c r="BI270" i="9"/>
  <c r="BN311" i="11"/>
  <c r="BN303" i="11"/>
  <c r="BN312" i="11" s="1"/>
  <c r="BO265" i="11"/>
  <c r="BP263" i="11" s="1"/>
  <c r="BO268" i="11"/>
  <c r="BO271" i="11" s="1"/>
  <c r="BO277" i="11" s="1"/>
  <c r="BO278" i="11" s="1"/>
  <c r="BH306" i="9"/>
  <c r="BJ263" i="9"/>
  <c r="BI284" i="9"/>
  <c r="BI286" i="9" s="1"/>
  <c r="BK249" i="9"/>
  <c r="BK251" i="9" s="1"/>
  <c r="BK255" i="9" s="1"/>
  <c r="BK314" i="18"/>
  <c r="BK316" i="18" s="1"/>
  <c r="BK317" i="18" s="1"/>
  <c r="BM270" i="18"/>
  <c r="BM272" i="18" s="1"/>
  <c r="BM273" i="18" s="1"/>
  <c r="BN271" i="18" s="1"/>
  <c r="BL276" i="18"/>
  <c r="BL279" i="18" s="1"/>
  <c r="BL285" i="18" s="1"/>
  <c r="BL286" i="18" s="1"/>
  <c r="BO260" i="18"/>
  <c r="BO269" i="20"/>
  <c r="BO288" i="20" s="1"/>
  <c r="BO291" i="20" s="1"/>
  <c r="BO260" i="20"/>
  <c r="BP258" i="20" s="1"/>
  <c r="BN303" i="20"/>
  <c r="BN305" i="20" s="1"/>
  <c r="BN306" i="20" s="1"/>
  <c r="BM267" i="18"/>
  <c r="BL239" i="9"/>
  <c r="BM237" i="9"/>
  <c r="BP257" i="11"/>
  <c r="BP258" i="11" s="1"/>
  <c r="BH263" i="10"/>
  <c r="BH265" i="10" s="1"/>
  <c r="BH266" i="10" s="1"/>
  <c r="BH257" i="10"/>
  <c r="BH259" i="10" s="1"/>
  <c r="BH251" i="10"/>
  <c r="BH235" i="10"/>
  <c r="BI226" i="10"/>
  <c r="BR214" i="10"/>
  <c r="BR215" i="10" s="1"/>
  <c r="BS212" i="10"/>
  <c r="I212" i="10" s="1"/>
  <c r="BQ221" i="10"/>
  <c r="BR219" i="10" s="1"/>
  <c r="BK246" i="9"/>
  <c r="BL244" i="9" s="1"/>
  <c r="BJ258" i="9"/>
  <c r="BK256" i="9" s="1"/>
  <c r="BL226" i="8"/>
  <c r="BL254" i="8"/>
  <c r="BL256" i="8" s="1"/>
  <c r="BL257" i="8" s="1"/>
  <c r="BM223" i="8"/>
  <c r="BM218" i="8"/>
  <c r="BN216" i="8" s="1"/>
  <c r="BQ260" i="5"/>
  <c r="BQ269" i="5" s="1"/>
  <c r="BR246" i="5"/>
  <c r="BR232" i="5"/>
  <c r="BS226" i="5"/>
  <c r="Y302" i="23" l="1"/>
  <c r="Y328" i="23" s="1"/>
  <c r="Y317" i="23"/>
  <c r="Y276" i="23"/>
  <c r="BO300" i="11"/>
  <c r="BO302" i="11" s="1"/>
  <c r="BO306" i="11"/>
  <c r="BO308" i="11" s="1"/>
  <c r="BO309" i="11" s="1"/>
  <c r="BP262" i="11"/>
  <c r="BP264" i="11" s="1"/>
  <c r="BJ264" i="9"/>
  <c r="BK262" i="9" s="1"/>
  <c r="BJ267" i="9"/>
  <c r="BI288" i="9"/>
  <c r="BI289" i="9" s="1"/>
  <c r="BI272" i="9"/>
  <c r="BI273" i="9" s="1"/>
  <c r="BI295" i="9"/>
  <c r="BI301" i="9"/>
  <c r="BI303" i="9" s="1"/>
  <c r="BI304" i="9" s="1"/>
  <c r="BL240" i="9"/>
  <c r="BM238" i="9" s="1"/>
  <c r="BL314" i="18"/>
  <c r="BL316" i="18" s="1"/>
  <c r="BL317" i="18" s="1"/>
  <c r="BM276" i="18"/>
  <c r="BM279" i="18" s="1"/>
  <c r="BM285" i="18" s="1"/>
  <c r="BM286" i="18" s="1"/>
  <c r="BO261" i="18"/>
  <c r="BP259" i="18" s="1"/>
  <c r="BO281" i="18"/>
  <c r="BO283" i="18" s="1"/>
  <c r="BO264" i="18"/>
  <c r="BP259" i="20"/>
  <c r="BO272" i="20"/>
  <c r="BO274" i="20" s="1"/>
  <c r="BO275" i="20" s="1"/>
  <c r="BN265" i="18"/>
  <c r="BL243" i="9"/>
  <c r="BL245" i="9" s="1"/>
  <c r="BP293" i="11"/>
  <c r="BP259" i="11"/>
  <c r="BQ257" i="11" s="1"/>
  <c r="BQ258" i="11" s="1"/>
  <c r="BQ262" i="11" s="1"/>
  <c r="BH268" i="10"/>
  <c r="BI229" i="10"/>
  <c r="BI227" i="10"/>
  <c r="BJ225" i="10" s="1"/>
  <c r="BH260" i="10"/>
  <c r="BH269" i="10" s="1"/>
  <c r="BR218" i="10"/>
  <c r="BR220" i="10" s="1"/>
  <c r="BS213" i="10"/>
  <c r="BS214" i="10" s="1"/>
  <c r="BK252" i="9"/>
  <c r="BL250" i="9" s="1"/>
  <c r="BK257" i="9"/>
  <c r="BK261" i="9" s="1"/>
  <c r="BM254" i="8"/>
  <c r="BM256" i="8" s="1"/>
  <c r="BM257" i="8" s="1"/>
  <c r="BM225" i="8"/>
  <c r="BM226" i="8" s="1"/>
  <c r="BN217" i="8"/>
  <c r="BN220" i="8" s="1"/>
  <c r="BR263" i="5"/>
  <c r="BR265" i="5" s="1"/>
  <c r="BR266" i="5" s="1"/>
  <c r="BR234" i="5"/>
  <c r="BS229" i="5"/>
  <c r="I226" i="5"/>
  <c r="H226" i="5" s="1"/>
  <c r="BS227" i="5"/>
  <c r="BR248" i="5"/>
  <c r="BP263" i="20" l="1"/>
  <c r="BP265" i="20" s="1"/>
  <c r="BP266" i="20" s="1"/>
  <c r="BQ264" i="20" s="1"/>
  <c r="Y330" i="23"/>
  <c r="Y277" i="23"/>
  <c r="Y280" i="23"/>
  <c r="Y282" i="23" s="1"/>
  <c r="Y286" i="23" s="1"/>
  <c r="BJ270" i="9"/>
  <c r="BO303" i="11"/>
  <c r="BO312" i="11" s="1"/>
  <c r="BO311" i="11"/>
  <c r="BP265" i="11"/>
  <c r="BQ263" i="11" s="1"/>
  <c r="BQ264" i="11" s="1"/>
  <c r="BP268" i="11"/>
  <c r="BP271" i="11" s="1"/>
  <c r="BQ293" i="11"/>
  <c r="BJ284" i="9"/>
  <c r="BJ286" i="9" s="1"/>
  <c r="BI297" i="9"/>
  <c r="BI306" i="9" s="1"/>
  <c r="BL249" i="9"/>
  <c r="BL251" i="9" s="1"/>
  <c r="BL252" i="9" s="1"/>
  <c r="BM250" i="9" s="1"/>
  <c r="BK263" i="9"/>
  <c r="BK264" i="9" s="1"/>
  <c r="BL262" i="9" s="1"/>
  <c r="BM314" i="18"/>
  <c r="BM316" i="18" s="1"/>
  <c r="BM317" i="18" s="1"/>
  <c r="BP260" i="18"/>
  <c r="BP260" i="20"/>
  <c r="BQ258" i="20" s="1"/>
  <c r="BP269" i="20"/>
  <c r="BP288" i="20" s="1"/>
  <c r="BP291" i="20" s="1"/>
  <c r="BO303" i="20"/>
  <c r="BO305" i="20" s="1"/>
  <c r="BO306" i="20" s="1"/>
  <c r="BN266" i="18"/>
  <c r="BM239" i="9"/>
  <c r="BN237" i="9"/>
  <c r="BQ259" i="11"/>
  <c r="BR257" i="11" s="1"/>
  <c r="BI232" i="10"/>
  <c r="BI234" i="10" s="1"/>
  <c r="BI246" i="10"/>
  <c r="BI248" i="10" s="1"/>
  <c r="BJ226" i="10"/>
  <c r="BJ229" i="10" s="1"/>
  <c r="BK224" i="10"/>
  <c r="BS218" i="10"/>
  <c r="I218" i="10" s="1"/>
  <c r="BS215" i="10"/>
  <c r="I214" i="10"/>
  <c r="H214" i="10" s="1"/>
  <c r="BR221" i="10"/>
  <c r="BS219" i="10" s="1"/>
  <c r="BL246" i="9"/>
  <c r="BM244" i="9" s="1"/>
  <c r="BK258" i="9"/>
  <c r="BL256" i="9" s="1"/>
  <c r="BN223" i="8"/>
  <c r="BN225" i="8" s="1"/>
  <c r="BN218" i="8"/>
  <c r="BO216" i="8" s="1"/>
  <c r="BO217" i="8" s="1"/>
  <c r="BO220" i="8" s="1"/>
  <c r="BR235" i="5"/>
  <c r="BR250" i="5"/>
  <c r="BR257" i="5"/>
  <c r="BS232" i="5"/>
  <c r="BS246" i="5"/>
  <c r="L283" i="5" a="1"/>
  <c r="I229" i="5"/>
  <c r="H229" i="5" s="1"/>
  <c r="L276" i="5" a="1"/>
  <c r="Y331" i="23" l="1"/>
  <c r="Y288" i="23"/>
  <c r="Y292" i="23"/>
  <c r="Y283" i="23"/>
  <c r="BJ301" i="9"/>
  <c r="BJ303" i="9" s="1"/>
  <c r="BJ304" i="9" s="1"/>
  <c r="BJ272" i="9"/>
  <c r="BJ273" i="9" s="1"/>
  <c r="BQ265" i="11"/>
  <c r="BR263" i="11" s="1"/>
  <c r="BQ268" i="11"/>
  <c r="BQ271" i="11" s="1"/>
  <c r="BQ300" i="11" s="1"/>
  <c r="BQ302" i="11" s="1"/>
  <c r="BJ288" i="9"/>
  <c r="BJ289" i="9" s="1"/>
  <c r="BJ295" i="9"/>
  <c r="BJ297" i="9" s="1"/>
  <c r="BK267" i="9"/>
  <c r="BI298" i="9"/>
  <c r="BI307" i="9" s="1"/>
  <c r="BM240" i="9"/>
  <c r="BN238" i="9" s="1"/>
  <c r="BN270" i="18"/>
  <c r="BN272" i="18" s="1"/>
  <c r="BN273" i="18" s="1"/>
  <c r="BO271" i="18" s="1"/>
  <c r="BP281" i="18"/>
  <c r="BP283" i="18" s="1"/>
  <c r="BP264" i="18"/>
  <c r="BP261" i="18"/>
  <c r="BQ259" i="20"/>
  <c r="BP272" i="20"/>
  <c r="BP303" i="20" s="1"/>
  <c r="BP305" i="20" s="1"/>
  <c r="BP306" i="20" s="1"/>
  <c r="BN267" i="18"/>
  <c r="BO265" i="18" s="1"/>
  <c r="BL255" i="9"/>
  <c r="BL257" i="9" s="1"/>
  <c r="BL261" i="9" s="1"/>
  <c r="BM243" i="9"/>
  <c r="BM245" i="9" s="1"/>
  <c r="BP300" i="11"/>
  <c r="BP277" i="11"/>
  <c r="BP278" i="11" s="1"/>
  <c r="BP306" i="11"/>
  <c r="BP308" i="11" s="1"/>
  <c r="BP309" i="11" s="1"/>
  <c r="BR258" i="11"/>
  <c r="I256" i="11"/>
  <c r="BI263" i="10"/>
  <c r="BI265" i="10" s="1"/>
  <c r="BI266" i="10" s="1"/>
  <c r="BI257" i="10"/>
  <c r="BI259" i="10" s="1"/>
  <c r="BI250" i="10"/>
  <c r="BI251" i="10" s="1"/>
  <c r="BJ232" i="10"/>
  <c r="BJ234" i="10" s="1"/>
  <c r="BJ246" i="10"/>
  <c r="BJ248" i="10" s="1"/>
  <c r="BJ250" i="10" s="1"/>
  <c r="BI235" i="10"/>
  <c r="BJ227" i="10"/>
  <c r="BK225" i="10" s="1"/>
  <c r="BL224" i="10" s="1"/>
  <c r="BS220" i="10"/>
  <c r="BN254" i="8"/>
  <c r="BN256" i="8" s="1"/>
  <c r="BN257" i="8" s="1"/>
  <c r="BN226" i="8"/>
  <c r="BO223" i="8"/>
  <c r="BO225" i="8" s="1"/>
  <c r="BO218" i="8"/>
  <c r="BP216" i="8" s="1"/>
  <c r="L276" i="5"/>
  <c r="BS263" i="5"/>
  <c r="BS234" i="5"/>
  <c r="I232" i="5"/>
  <c r="BR259" i="5"/>
  <c r="BR260" i="5" s="1"/>
  <c r="BR269" i="5" s="1"/>
  <c r="L283" i="5"/>
  <c r="BS248" i="5"/>
  <c r="I246" i="5"/>
  <c r="BR251" i="5"/>
  <c r="BQ263" i="20" l="1"/>
  <c r="BQ265" i="20" s="1"/>
  <c r="BQ266" i="20" s="1"/>
  <c r="BR264" i="20" s="1"/>
  <c r="Y294" i="23"/>
  <c r="Y297" i="23" s="1"/>
  <c r="Y289" i="23"/>
  <c r="BJ306" i="9"/>
  <c r="BK270" i="9"/>
  <c r="BQ306" i="11"/>
  <c r="BQ308" i="11" s="1"/>
  <c r="BQ309" i="11" s="1"/>
  <c r="BQ277" i="11"/>
  <c r="BQ278" i="11" s="1"/>
  <c r="BR262" i="11"/>
  <c r="BR264" i="11" s="1"/>
  <c r="BJ298" i="9"/>
  <c r="BJ307" i="9" s="1"/>
  <c r="BK284" i="9"/>
  <c r="BL263" i="9"/>
  <c r="BN276" i="18"/>
  <c r="BN279" i="18" s="1"/>
  <c r="BN285" i="18" s="1"/>
  <c r="BN286" i="18" s="1"/>
  <c r="BQ259" i="18"/>
  <c r="BQ260" i="20"/>
  <c r="BR258" i="20" s="1"/>
  <c r="I257" i="20" s="1"/>
  <c r="BQ269" i="20"/>
  <c r="BQ288" i="20" s="1"/>
  <c r="BQ291" i="20" s="1"/>
  <c r="BP274" i="20"/>
  <c r="BP275" i="20" s="1"/>
  <c r="BO266" i="18"/>
  <c r="BM249" i="9"/>
  <c r="BM251" i="9" s="1"/>
  <c r="BM255" i="9" s="1"/>
  <c r="BN239" i="9"/>
  <c r="BO237" i="9"/>
  <c r="BP302" i="11"/>
  <c r="BP311" i="11" s="1"/>
  <c r="BQ303" i="11"/>
  <c r="BR259" i="11"/>
  <c r="BJ263" i="10"/>
  <c r="BJ265" i="10" s="1"/>
  <c r="BJ266" i="10" s="1"/>
  <c r="BJ257" i="10"/>
  <c r="BJ259" i="10" s="1"/>
  <c r="BI268" i="10"/>
  <c r="BJ251" i="10"/>
  <c r="BK226" i="10"/>
  <c r="BK229" i="10" s="1"/>
  <c r="BJ235" i="10"/>
  <c r="BI260" i="10"/>
  <c r="BI269" i="10" s="1"/>
  <c r="BS221" i="10"/>
  <c r="I220" i="10"/>
  <c r="H220" i="10" s="1"/>
  <c r="BM246" i="9"/>
  <c r="BN244" i="9" s="1"/>
  <c r="BL258" i="9"/>
  <c r="BM256" i="9" s="1"/>
  <c r="BO226" i="8"/>
  <c r="BO254" i="8"/>
  <c r="BO256" i="8" s="1"/>
  <c r="BO257" i="8" s="1"/>
  <c r="BP217" i="8"/>
  <c r="BS235" i="5"/>
  <c r="BS257" i="5"/>
  <c r="BS250" i="5"/>
  <c r="I248" i="5"/>
  <c r="L277" i="5" a="1"/>
  <c r="L284" i="5" a="1"/>
  <c r="I234" i="5"/>
  <c r="I283" i="5"/>
  <c r="BR268" i="5"/>
  <c r="BS265" i="5"/>
  <c r="I265" i="5" s="1"/>
  <c r="I263" i="5"/>
  <c r="I276" i="5"/>
  <c r="Y299" i="23" l="1"/>
  <c r="Y322" i="23" s="1"/>
  <c r="Y303" i="23"/>
  <c r="Y334" i="23" s="1"/>
  <c r="Y336" i="23" s="1"/>
  <c r="Y295" i="23"/>
  <c r="Z203" i="23"/>
  <c r="Z311" i="23" s="1"/>
  <c r="BK272" i="9"/>
  <c r="BK273" i="9" s="1"/>
  <c r="BK301" i="9"/>
  <c r="BK303" i="9" s="1"/>
  <c r="BK304" i="9" s="1"/>
  <c r="BQ311" i="11"/>
  <c r="BQ312" i="11"/>
  <c r="BR265" i="11"/>
  <c r="BS263" i="11" s="1"/>
  <c r="BR268" i="11"/>
  <c r="BR271" i="11" s="1"/>
  <c r="BK286" i="9"/>
  <c r="BL264" i="9"/>
  <c r="BM262" i="9" s="1"/>
  <c r="BL267" i="9"/>
  <c r="BN240" i="9"/>
  <c r="BO238" i="9" s="1"/>
  <c r="BP237" i="9" s="1"/>
  <c r="BO270" i="18"/>
  <c r="BO272" i="18" s="1"/>
  <c r="BO273" i="18" s="1"/>
  <c r="BP271" i="18" s="1"/>
  <c r="BO267" i="18"/>
  <c r="BP265" i="18" s="1"/>
  <c r="BQ260" i="18"/>
  <c r="BQ272" i="20"/>
  <c r="BQ303" i="20" s="1"/>
  <c r="BQ305" i="20" s="1"/>
  <c r="BQ306" i="20" s="1"/>
  <c r="BR259" i="20"/>
  <c r="BN314" i="18"/>
  <c r="BN316" i="18" s="1"/>
  <c r="BN317" i="18" s="1"/>
  <c r="BR293" i="11"/>
  <c r="BP303" i="11"/>
  <c r="BP312" i="11" s="1"/>
  <c r="BM252" i="9"/>
  <c r="BN250" i="9" s="1"/>
  <c r="BN243" i="9"/>
  <c r="BN245" i="9" s="1"/>
  <c r="BS257" i="11"/>
  <c r="BS258" i="11" s="1"/>
  <c r="BS262" i="11" s="1"/>
  <c r="BJ268" i="10"/>
  <c r="BK232" i="10"/>
  <c r="BK234" i="10" s="1"/>
  <c r="BK235" i="10" s="1"/>
  <c r="BK246" i="10"/>
  <c r="BK248" i="10" s="1"/>
  <c r="BK250" i="10" s="1"/>
  <c r="BK227" i="10"/>
  <c r="BL225" i="10" s="1"/>
  <c r="BL226" i="10" s="1"/>
  <c r="BL229" i="10" s="1"/>
  <c r="BJ260" i="10"/>
  <c r="BJ269" i="10" s="1"/>
  <c r="BM257" i="9"/>
  <c r="BM261" i="9" s="1"/>
  <c r="BP220" i="8"/>
  <c r="BP218" i="8"/>
  <c r="BQ216" i="8" s="1"/>
  <c r="L485" i="5" a="1"/>
  <c r="L485" i="5" s="1"/>
  <c r="I235" i="5"/>
  <c r="BS251" i="5"/>
  <c r="I250" i="5"/>
  <c r="L278" i="5" a="1"/>
  <c r="L278" i="5" s="1"/>
  <c r="I278" i="5" s="1"/>
  <c r="BS259" i="5"/>
  <c r="I257" i="5"/>
  <c r="L284" i="5"/>
  <c r="BS266" i="5"/>
  <c r="I266" i="5" s="1"/>
  <c r="L277" i="5"/>
  <c r="I428" i="5"/>
  <c r="BR263" i="20" l="1"/>
  <c r="BR265" i="20" s="1"/>
  <c r="BR266" i="20" s="1"/>
  <c r="BS264" i="20" s="1"/>
  <c r="Y340" i="23"/>
  <c r="Y342" i="23" s="1"/>
  <c r="Y343" i="23" s="1"/>
  <c r="Y337" i="23"/>
  <c r="Z313" i="23"/>
  <c r="Z315" i="23"/>
  <c r="Y305" i="23"/>
  <c r="Y306" i="23" s="1"/>
  <c r="Z262" i="23"/>
  <c r="Z264" i="23" s="1"/>
  <c r="Z225" i="23"/>
  <c r="Z227" i="23" s="1"/>
  <c r="BL270" i="9"/>
  <c r="BK288" i="9"/>
  <c r="BK289" i="9" s="1"/>
  <c r="I262" i="11"/>
  <c r="BS264" i="11"/>
  <c r="BS268" i="11" s="1"/>
  <c r="BK295" i="9"/>
  <c r="BK297" i="9" s="1"/>
  <c r="BK306" i="9" s="1"/>
  <c r="BL284" i="9"/>
  <c r="BL286" i="9" s="1"/>
  <c r="BM263" i="9"/>
  <c r="BM264" i="9" s="1"/>
  <c r="BN262" i="9" s="1"/>
  <c r="BN246" i="9"/>
  <c r="BO244" i="9" s="1"/>
  <c r="BO276" i="18"/>
  <c r="BO279" i="18" s="1"/>
  <c r="BO285" i="18" s="1"/>
  <c r="BO286" i="18" s="1"/>
  <c r="BQ281" i="18"/>
  <c r="BQ283" i="18" s="1"/>
  <c r="BQ264" i="18"/>
  <c r="BQ261" i="18"/>
  <c r="BR259" i="18" s="1"/>
  <c r="BR269" i="20"/>
  <c r="BR288" i="20" s="1"/>
  <c r="BR291" i="20" s="1"/>
  <c r="BQ274" i="20"/>
  <c r="BQ275" i="20" s="1"/>
  <c r="BR260" i="20"/>
  <c r="BS258" i="20" s="1"/>
  <c r="BS259" i="20" s="1"/>
  <c r="BP266" i="18"/>
  <c r="BN249" i="9"/>
  <c r="BN251" i="9" s="1"/>
  <c r="BN252" i="9" s="1"/>
  <c r="BO250" i="9" s="1"/>
  <c r="I258" i="11"/>
  <c r="H258" i="11" s="1"/>
  <c r="BS293" i="11"/>
  <c r="BS259" i="11"/>
  <c r="BR277" i="11"/>
  <c r="BR278" i="11" s="1"/>
  <c r="L300" i="11"/>
  <c r="BR306" i="11"/>
  <c r="BR308" i="11" s="1"/>
  <c r="BR309" i="11" s="1"/>
  <c r="BR300" i="11"/>
  <c r="BR302" i="11" s="1"/>
  <c r="BK263" i="10"/>
  <c r="BK265" i="10" s="1"/>
  <c r="BK266" i="10" s="1"/>
  <c r="BL232" i="10"/>
  <c r="BL234" i="10" s="1"/>
  <c r="BL235" i="10" s="1"/>
  <c r="BK257" i="10"/>
  <c r="BK259" i="10" s="1"/>
  <c r="BM224" i="10"/>
  <c r="BL246" i="10"/>
  <c r="BL248" i="10" s="1"/>
  <c r="BL250" i="10" s="1"/>
  <c r="BL227" i="10"/>
  <c r="BM225" i="10" s="1"/>
  <c r="BK251" i="10"/>
  <c r="BM258" i="9"/>
  <c r="BN256" i="9" s="1"/>
  <c r="BO239" i="9"/>
  <c r="BP223" i="8"/>
  <c r="BP225" i="8" s="1"/>
  <c r="BQ217" i="8"/>
  <c r="BQ218" i="8" s="1"/>
  <c r="BR216" i="8" s="1"/>
  <c r="I485" i="5"/>
  <c r="I284" i="5"/>
  <c r="BS268" i="5"/>
  <c r="I259" i="5"/>
  <c r="I277" i="5"/>
  <c r="BS260" i="5"/>
  <c r="I251" i="5"/>
  <c r="L486" i="5" a="1"/>
  <c r="BS263" i="20" l="1"/>
  <c r="I263" i="20" s="1"/>
  <c r="Y346" i="23"/>
  <c r="Y345" i="23"/>
  <c r="Z319" i="23"/>
  <c r="Z321" i="23" s="1"/>
  <c r="Z231" i="23"/>
  <c r="Z268" i="23"/>
  <c r="BL301" i="9"/>
  <c r="BL303" i="9" s="1"/>
  <c r="BL304" i="9" s="1"/>
  <c r="BL288" i="9"/>
  <c r="BL289" i="9" s="1"/>
  <c r="BL272" i="9"/>
  <c r="BL273" i="9" s="1"/>
  <c r="L302" i="11"/>
  <c r="L324" i="15" s="1"/>
  <c r="L322" i="15"/>
  <c r="I264" i="11"/>
  <c r="H264" i="11" s="1"/>
  <c r="BS265" i="11"/>
  <c r="BK298" i="9"/>
  <c r="BK307" i="9" s="1"/>
  <c r="BM267" i="9"/>
  <c r="BP270" i="18"/>
  <c r="BP272" i="18" s="1"/>
  <c r="BP273" i="18" s="1"/>
  <c r="BQ271" i="18" s="1"/>
  <c r="BR260" i="18"/>
  <c r="BR272" i="20"/>
  <c r="BR303" i="20" s="1"/>
  <c r="BR305" i="20" s="1"/>
  <c r="BR306" i="20" s="1"/>
  <c r="BS260" i="20"/>
  <c r="I259" i="20"/>
  <c r="H259" i="20" s="1"/>
  <c r="BS269" i="20"/>
  <c r="BS288" i="20" s="1"/>
  <c r="BS291" i="20" s="1"/>
  <c r="BO314" i="18"/>
  <c r="BO316" i="18" s="1"/>
  <c r="BO317" i="18" s="1"/>
  <c r="BP267" i="18"/>
  <c r="BQ265" i="18" s="1"/>
  <c r="I268" i="11"/>
  <c r="H268" i="11" s="1"/>
  <c r="L326" i="11" a="1"/>
  <c r="L326" i="11" s="1"/>
  <c r="I326" i="11" s="1"/>
  <c r="BS271" i="11"/>
  <c r="BS300" i="11" s="1"/>
  <c r="BS302" i="11" s="1"/>
  <c r="L319" i="11" a="1"/>
  <c r="BN255" i="9"/>
  <c r="BN257" i="9" s="1"/>
  <c r="BN261" i="9" s="1"/>
  <c r="BO243" i="9"/>
  <c r="BO245" i="9" s="1"/>
  <c r="I287" i="11"/>
  <c r="BR311" i="11"/>
  <c r="BR303" i="11"/>
  <c r="BR312" i="11" s="1"/>
  <c r="I289" i="11"/>
  <c r="BK268" i="10"/>
  <c r="BL263" i="10"/>
  <c r="BL265" i="10" s="1"/>
  <c r="BL266" i="10" s="1"/>
  <c r="BL257" i="10"/>
  <c r="BL259" i="10" s="1"/>
  <c r="BM226" i="10"/>
  <c r="BM227" i="10" s="1"/>
  <c r="BN225" i="10" s="1"/>
  <c r="BO224" i="10" s="1"/>
  <c r="BN224" i="10"/>
  <c r="BL251" i="10"/>
  <c r="BK260" i="10"/>
  <c r="BK269" i="10" s="1"/>
  <c r="BL295" i="9"/>
  <c r="BO240" i="9"/>
  <c r="BP238" i="9" s="1"/>
  <c r="BP254" i="8"/>
  <c r="BP256" i="8" s="1"/>
  <c r="BP257" i="8" s="1"/>
  <c r="BP226" i="8"/>
  <c r="I215" i="8"/>
  <c r="BR217" i="8"/>
  <c r="BR220" i="8" s="1"/>
  <c r="BQ220" i="8"/>
  <c r="L486" i="5"/>
  <c r="I260" i="5"/>
  <c r="BS269" i="5"/>
  <c r="L285" i="5" a="1"/>
  <c r="L279" i="5" a="1"/>
  <c r="I268" i="5"/>
  <c r="BS265" i="20" l="1"/>
  <c r="I265" i="20" s="1"/>
  <c r="H265" i="20" s="1"/>
  <c r="Z233" i="23"/>
  <c r="BM270" i="9"/>
  <c r="L311" i="11"/>
  <c r="L333" i="15" s="1"/>
  <c r="L303" i="11"/>
  <c r="M559" i="11"/>
  <c r="Q559" i="11"/>
  <c r="U559" i="11"/>
  <c r="Y559" i="11"/>
  <c r="AC559" i="11"/>
  <c r="AG559" i="11"/>
  <c r="AK559" i="11"/>
  <c r="AO559" i="11"/>
  <c r="AS559" i="11"/>
  <c r="AW559" i="11"/>
  <c r="BA559" i="11"/>
  <c r="BE559" i="11"/>
  <c r="BI559" i="11"/>
  <c r="BM559" i="11"/>
  <c r="BQ559" i="11"/>
  <c r="S559" i="11"/>
  <c r="W559" i="11"/>
  <c r="AA559" i="11"/>
  <c r="AI559" i="11"/>
  <c r="AM559" i="11"/>
  <c r="AQ559" i="11"/>
  <c r="AY559" i="11"/>
  <c r="BG559" i="11"/>
  <c r="BO559" i="11"/>
  <c r="P559" i="11"/>
  <c r="X559" i="11"/>
  <c r="AF559" i="11"/>
  <c r="AN559" i="11"/>
  <c r="AR559" i="11"/>
  <c r="AZ559" i="11"/>
  <c r="BH559" i="11"/>
  <c r="BL559" i="11"/>
  <c r="N559" i="11"/>
  <c r="R559" i="11"/>
  <c r="V559" i="11"/>
  <c r="Z559" i="11"/>
  <c r="AD559" i="11"/>
  <c r="AH559" i="11"/>
  <c r="AL559" i="11"/>
  <c r="AP559" i="11"/>
  <c r="AT559" i="11"/>
  <c r="AX559" i="11"/>
  <c r="BB559" i="11"/>
  <c r="BF559" i="11"/>
  <c r="BJ559" i="11"/>
  <c r="BN559" i="11"/>
  <c r="BR559" i="11"/>
  <c r="O559" i="11"/>
  <c r="AE559" i="11"/>
  <c r="AU559" i="11"/>
  <c r="BC559" i="11"/>
  <c r="BK559" i="11"/>
  <c r="BS559" i="11"/>
  <c r="T559" i="11"/>
  <c r="AB559" i="11"/>
  <c r="AJ559" i="11"/>
  <c r="AV559" i="11"/>
  <c r="BD559" i="11"/>
  <c r="BP559" i="11"/>
  <c r="L319" i="11"/>
  <c r="L559" i="11" s="1"/>
  <c r="BM284" i="9"/>
  <c r="BN263" i="9"/>
  <c r="BN264" i="9" s="1"/>
  <c r="BO262" i="9" s="1"/>
  <c r="BO246" i="9"/>
  <c r="BP244" i="9" s="1"/>
  <c r="BP276" i="18"/>
  <c r="BP279" i="18" s="1"/>
  <c r="BP285" i="18" s="1"/>
  <c r="BP286" i="18" s="1"/>
  <c r="BR261" i="18"/>
  <c r="BS259" i="18" s="1"/>
  <c r="BR281" i="18"/>
  <c r="BR283" i="18" s="1"/>
  <c r="BR264" i="18"/>
  <c r="BS266" i="20"/>
  <c r="L286" i="20" a="1"/>
  <c r="L286" i="20" s="1"/>
  <c r="L291" i="20" s="1"/>
  <c r="BR274" i="20"/>
  <c r="BR275" i="20" s="1"/>
  <c r="L316" i="20" a="1"/>
  <c r="I269" i="20"/>
  <c r="H269" i="20" s="1"/>
  <c r="BS272" i="20"/>
  <c r="BS303" i="20" s="1"/>
  <c r="BS305" i="20" s="1"/>
  <c r="I305" i="20" s="1"/>
  <c r="L323" i="20" a="1"/>
  <c r="L323" i="20" s="1"/>
  <c r="AW297" i="20"/>
  <c r="N297" i="20"/>
  <c r="AL297" i="20"/>
  <c r="AJ297" i="20"/>
  <c r="Q297" i="20"/>
  <c r="BH297" i="20"/>
  <c r="BG297" i="20"/>
  <c r="BJ297" i="20"/>
  <c r="AH297" i="20"/>
  <c r="BQ266" i="18"/>
  <c r="BS277" i="11"/>
  <c r="L320" i="11" s="1" a="1"/>
  <c r="I271" i="11"/>
  <c r="BS306" i="11"/>
  <c r="I306" i="11" s="1"/>
  <c r="BO249" i="9"/>
  <c r="BO251" i="9" s="1"/>
  <c r="BO252" i="9" s="1"/>
  <c r="BP250" i="9" s="1"/>
  <c r="BP239" i="9"/>
  <c r="BQ237" i="9"/>
  <c r="L321" i="11" a="1"/>
  <c r="L529" i="11" a="1"/>
  <c r="I293" i="11"/>
  <c r="I294" i="11"/>
  <c r="I300" i="11"/>
  <c r="I302" i="11"/>
  <c r="BS303" i="11"/>
  <c r="BM229" i="10"/>
  <c r="BM246" i="10" s="1"/>
  <c r="BL260" i="10"/>
  <c r="BL269" i="10" s="1"/>
  <c r="BL268" i="10"/>
  <c r="BN226" i="10"/>
  <c r="BN229" i="10" s="1"/>
  <c r="BL297" i="9"/>
  <c r="BL306" i="9" s="1"/>
  <c r="BN258" i="9"/>
  <c r="BO256" i="9" s="1"/>
  <c r="BQ223" i="8"/>
  <c r="BQ225" i="8" s="1"/>
  <c r="BR223" i="8"/>
  <c r="BR218" i="8"/>
  <c r="BS216" i="8" s="1"/>
  <c r="L285" i="5"/>
  <c r="BC286" i="5"/>
  <c r="AL286" i="5"/>
  <c r="AA286" i="5"/>
  <c r="BR286" i="5"/>
  <c r="AW286" i="5"/>
  <c r="O286" i="5"/>
  <c r="R286" i="5"/>
  <c r="BK286" i="5"/>
  <c r="AQ286" i="5"/>
  <c r="BL286" i="5"/>
  <c r="AM286" i="5"/>
  <c r="AP286" i="5"/>
  <c r="AO286" i="5"/>
  <c r="P286" i="5"/>
  <c r="AR286" i="5"/>
  <c r="BQ286" i="5"/>
  <c r="S286" i="5"/>
  <c r="M286" i="5"/>
  <c r="W286" i="5"/>
  <c r="Q286" i="5"/>
  <c r="AE286" i="5"/>
  <c r="BI286" i="5"/>
  <c r="AU286" i="5"/>
  <c r="AD286" i="5"/>
  <c r="BB286" i="5"/>
  <c r="AS286" i="5"/>
  <c r="BA286" i="5"/>
  <c r="BF286" i="5"/>
  <c r="BP286" i="5"/>
  <c r="AJ286" i="5"/>
  <c r="AT286" i="5"/>
  <c r="N286" i="5"/>
  <c r="AY286" i="5"/>
  <c r="AX286" i="5"/>
  <c r="BS286" i="5"/>
  <c r="BO286" i="5"/>
  <c r="Z286" i="5"/>
  <c r="BG286" i="5"/>
  <c r="BE286" i="5"/>
  <c r="Y286" i="5"/>
  <c r="AF286" i="5"/>
  <c r="U286" i="5"/>
  <c r="AZ286" i="5"/>
  <c r="X286" i="5"/>
  <c r="BD286" i="5"/>
  <c r="BN286" i="5"/>
  <c r="T286" i="5"/>
  <c r="BJ286" i="5"/>
  <c r="AN286" i="5"/>
  <c r="V286" i="5"/>
  <c r="AH286" i="5"/>
  <c r="BH286" i="5"/>
  <c r="AK286" i="5"/>
  <c r="BM286" i="5"/>
  <c r="AI286" i="5"/>
  <c r="AB286" i="5"/>
  <c r="AC286" i="5"/>
  <c r="AV286" i="5"/>
  <c r="AG286" i="5"/>
  <c r="L279" i="5"/>
  <c r="AU280" i="5"/>
  <c r="U280" i="5"/>
  <c r="AC280" i="5"/>
  <c r="BH280" i="5"/>
  <c r="BS280" i="5"/>
  <c r="AF280" i="5"/>
  <c r="Q280" i="5"/>
  <c r="AV280" i="5"/>
  <c r="AK280" i="5"/>
  <c r="BI280" i="5"/>
  <c r="AQ280" i="5"/>
  <c r="X280" i="5"/>
  <c r="AG280" i="5"/>
  <c r="BN280" i="5"/>
  <c r="S280" i="5"/>
  <c r="Y280" i="5"/>
  <c r="BP280" i="5"/>
  <c r="BO280" i="5"/>
  <c r="P280" i="5"/>
  <c r="M280" i="5"/>
  <c r="BC280" i="5"/>
  <c r="AY280" i="5"/>
  <c r="BL280" i="5"/>
  <c r="W280" i="5"/>
  <c r="BB280" i="5"/>
  <c r="AB280" i="5"/>
  <c r="AI280" i="5"/>
  <c r="O280" i="5"/>
  <c r="T280" i="5"/>
  <c r="AX280" i="5"/>
  <c r="AJ280" i="5"/>
  <c r="R280" i="5"/>
  <c r="AP280" i="5"/>
  <c r="Z280" i="5"/>
  <c r="AH280" i="5"/>
  <c r="V280" i="5"/>
  <c r="AN280" i="5"/>
  <c r="AE280" i="5"/>
  <c r="AM280" i="5"/>
  <c r="AO280" i="5"/>
  <c r="AT280" i="5"/>
  <c r="BQ280" i="5"/>
  <c r="BE280" i="5"/>
  <c r="AS280" i="5"/>
  <c r="N280" i="5"/>
  <c r="AL280" i="5"/>
  <c r="AD280" i="5"/>
  <c r="BR280" i="5"/>
  <c r="AW280" i="5"/>
  <c r="BG280" i="5"/>
  <c r="AR280" i="5"/>
  <c r="BF280" i="5"/>
  <c r="AZ280" i="5"/>
  <c r="BD280" i="5"/>
  <c r="BA280" i="5"/>
  <c r="BK280" i="5"/>
  <c r="AA280" i="5"/>
  <c r="BM280" i="5"/>
  <c r="BJ280" i="5"/>
  <c r="L487" i="5" a="1"/>
  <c r="I269" i="5"/>
  <c r="I486" i="5"/>
  <c r="M557" i="20" l="1"/>
  <c r="Q557" i="20"/>
  <c r="U557" i="20"/>
  <c r="Y557" i="20"/>
  <c r="AC557" i="20"/>
  <c r="AG557" i="20"/>
  <c r="AK557" i="20"/>
  <c r="AO557" i="20"/>
  <c r="AS557" i="20"/>
  <c r="AW557" i="20"/>
  <c r="BA557" i="20"/>
  <c r="BE557" i="20"/>
  <c r="BI557" i="20"/>
  <c r="BM557" i="20"/>
  <c r="BQ557" i="20"/>
  <c r="N557" i="20"/>
  <c r="R557" i="20"/>
  <c r="V557" i="20"/>
  <c r="Z557" i="20"/>
  <c r="AD557" i="20"/>
  <c r="AH557" i="20"/>
  <c r="AL557" i="20"/>
  <c r="AP557" i="20"/>
  <c r="AT557" i="20"/>
  <c r="AX557" i="20"/>
  <c r="BB557" i="20"/>
  <c r="BF557" i="20"/>
  <c r="BJ557" i="20"/>
  <c r="BN557" i="20"/>
  <c r="BR557" i="20"/>
  <c r="O557" i="20"/>
  <c r="S557" i="20"/>
  <c r="W557" i="20"/>
  <c r="AA557" i="20"/>
  <c r="AE557" i="20"/>
  <c r="AI557" i="20"/>
  <c r="AM557" i="20"/>
  <c r="AQ557" i="20"/>
  <c r="AU557" i="20"/>
  <c r="AY557" i="20"/>
  <c r="BC557" i="20"/>
  <c r="BG557" i="20"/>
  <c r="BK557" i="20"/>
  <c r="BO557" i="20"/>
  <c r="BS557" i="20"/>
  <c r="P557" i="20"/>
  <c r="T557" i="20"/>
  <c r="X557" i="20"/>
  <c r="AB557" i="20"/>
  <c r="AF557" i="20"/>
  <c r="AJ557" i="20"/>
  <c r="AN557" i="20"/>
  <c r="AR557" i="20"/>
  <c r="AV557" i="20"/>
  <c r="AZ557" i="20"/>
  <c r="BD557" i="20"/>
  <c r="BH557" i="20"/>
  <c r="BL557" i="20"/>
  <c r="BP557" i="20"/>
  <c r="Z234" i="23"/>
  <c r="AA232" i="23" s="1"/>
  <c r="Z269" i="23"/>
  <c r="Z237" i="23"/>
  <c r="Z239" i="23" s="1"/>
  <c r="Z243" i="23" s="1"/>
  <c r="Z245" i="23" s="1"/>
  <c r="Z255" i="23" s="1"/>
  <c r="L312" i="11"/>
  <c r="L334" i="15" s="1"/>
  <c r="L325" i="15"/>
  <c r="P561" i="11"/>
  <c r="T561" i="11"/>
  <c r="X561" i="11"/>
  <c r="AB561" i="11"/>
  <c r="AF561" i="11"/>
  <c r="AJ561" i="11"/>
  <c r="AN561" i="11"/>
  <c r="AR561" i="11"/>
  <c r="AV561" i="11"/>
  <c r="AZ561" i="11"/>
  <c r="BD561" i="11"/>
  <c r="BH561" i="11"/>
  <c r="BL561" i="11"/>
  <c r="BP561" i="11"/>
  <c r="M561" i="11"/>
  <c r="Q561" i="11"/>
  <c r="U561" i="11"/>
  <c r="Y561" i="11"/>
  <c r="AC561" i="11"/>
  <c r="AG561" i="11"/>
  <c r="AK561" i="11"/>
  <c r="AO561" i="11"/>
  <c r="AS561" i="11"/>
  <c r="AW561" i="11"/>
  <c r="BA561" i="11"/>
  <c r="BE561" i="11"/>
  <c r="BI561" i="11"/>
  <c r="BM561" i="11"/>
  <c r="BQ561" i="11"/>
  <c r="N561" i="11"/>
  <c r="R561" i="11"/>
  <c r="V561" i="11"/>
  <c r="Z561" i="11"/>
  <c r="AD561" i="11"/>
  <c r="AH561" i="11"/>
  <c r="AL561" i="11"/>
  <c r="AP561" i="11"/>
  <c r="AT561" i="11"/>
  <c r="AX561" i="11"/>
  <c r="BB561" i="11"/>
  <c r="BF561" i="11"/>
  <c r="BJ561" i="11"/>
  <c r="BN561" i="11"/>
  <c r="BR561" i="11"/>
  <c r="O561" i="11"/>
  <c r="S561" i="11"/>
  <c r="W561" i="11"/>
  <c r="AA561" i="11"/>
  <c r="AE561" i="11"/>
  <c r="AI561" i="11"/>
  <c r="AM561" i="11"/>
  <c r="AQ561" i="11"/>
  <c r="AU561" i="11"/>
  <c r="AY561" i="11"/>
  <c r="BC561" i="11"/>
  <c r="BG561" i="11"/>
  <c r="BK561" i="11"/>
  <c r="BO561" i="11"/>
  <c r="BS561" i="11"/>
  <c r="P560" i="11"/>
  <c r="T560" i="11"/>
  <c r="X560" i="11"/>
  <c r="AB560" i="11"/>
  <c r="AF560" i="11"/>
  <c r="AJ560" i="11"/>
  <c r="AN560" i="11"/>
  <c r="AR560" i="11"/>
  <c r="AV560" i="11"/>
  <c r="AZ560" i="11"/>
  <c r="BD560" i="11"/>
  <c r="BH560" i="11"/>
  <c r="BL560" i="11"/>
  <c r="BP560" i="11"/>
  <c r="M560" i="11"/>
  <c r="Q560" i="11"/>
  <c r="U560" i="11"/>
  <c r="Y560" i="11"/>
  <c r="AC560" i="11"/>
  <c r="AG560" i="11"/>
  <c r="AK560" i="11"/>
  <c r="AO560" i="11"/>
  <c r="AS560" i="11"/>
  <c r="AW560" i="11"/>
  <c r="BA560" i="11"/>
  <c r="BE560" i="11"/>
  <c r="BI560" i="11"/>
  <c r="BM560" i="11"/>
  <c r="BQ560" i="11"/>
  <c r="N560" i="11"/>
  <c r="R560" i="11"/>
  <c r="V560" i="11"/>
  <c r="Z560" i="11"/>
  <c r="AD560" i="11"/>
  <c r="AH560" i="11"/>
  <c r="AL560" i="11"/>
  <c r="AP560" i="11"/>
  <c r="AT560" i="11"/>
  <c r="AX560" i="11"/>
  <c r="BB560" i="11"/>
  <c r="BF560" i="11"/>
  <c r="BJ560" i="11"/>
  <c r="BN560" i="11"/>
  <c r="BR560" i="11"/>
  <c r="O560" i="11"/>
  <c r="S560" i="11"/>
  <c r="W560" i="11"/>
  <c r="AA560" i="11"/>
  <c r="AE560" i="11"/>
  <c r="AI560" i="11"/>
  <c r="AM560" i="11"/>
  <c r="AQ560" i="11"/>
  <c r="AU560" i="11"/>
  <c r="AY560" i="11"/>
  <c r="BC560" i="11"/>
  <c r="BG560" i="11"/>
  <c r="BK560" i="11"/>
  <c r="BO560" i="11"/>
  <c r="BS560" i="11"/>
  <c r="P557" i="11"/>
  <c r="T557" i="11"/>
  <c r="X557" i="11"/>
  <c r="AB557" i="11"/>
  <c r="AF557" i="11"/>
  <c r="AJ557" i="11"/>
  <c r="AN557" i="11"/>
  <c r="AR557" i="11"/>
  <c r="AV557" i="11"/>
  <c r="AZ557" i="11"/>
  <c r="BD557" i="11"/>
  <c r="BH557" i="11"/>
  <c r="BL557" i="11"/>
  <c r="BP557" i="11"/>
  <c r="O557" i="11"/>
  <c r="AA557" i="11"/>
  <c r="AM557" i="11"/>
  <c r="AU557" i="11"/>
  <c r="BK557" i="11"/>
  <c r="M557" i="11"/>
  <c r="Q557" i="11"/>
  <c r="U557" i="11"/>
  <c r="Y557" i="11"/>
  <c r="AC557" i="11"/>
  <c r="AG557" i="11"/>
  <c r="AK557" i="11"/>
  <c r="AO557" i="11"/>
  <c r="AS557" i="11"/>
  <c r="AW557" i="11"/>
  <c r="BA557" i="11"/>
  <c r="BE557" i="11"/>
  <c r="BI557" i="11"/>
  <c r="BM557" i="11"/>
  <c r="BQ557" i="11"/>
  <c r="S557" i="11"/>
  <c r="AE557" i="11"/>
  <c r="AQ557" i="11"/>
  <c r="BC557" i="11"/>
  <c r="BO557" i="11"/>
  <c r="N557" i="11"/>
  <c r="R557" i="11"/>
  <c r="V557" i="11"/>
  <c r="Z557" i="11"/>
  <c r="AD557" i="11"/>
  <c r="AH557" i="11"/>
  <c r="AL557" i="11"/>
  <c r="AP557" i="11"/>
  <c r="AT557" i="11"/>
  <c r="AX557" i="11"/>
  <c r="BB557" i="11"/>
  <c r="BF557" i="11"/>
  <c r="BJ557" i="11"/>
  <c r="BN557" i="11"/>
  <c r="BR557" i="11"/>
  <c r="W557" i="11"/>
  <c r="AI557" i="11"/>
  <c r="AY557" i="11"/>
  <c r="BG557" i="11"/>
  <c r="BS557" i="11"/>
  <c r="L321" i="11"/>
  <c r="L561" i="11" s="1"/>
  <c r="L529" i="11"/>
  <c r="L557" i="11" s="1"/>
  <c r="L320" i="11"/>
  <c r="L560" i="11" s="1"/>
  <c r="I319" i="11"/>
  <c r="I559" i="11"/>
  <c r="I323" i="20"/>
  <c r="L316" i="20"/>
  <c r="BM286" i="9"/>
  <c r="BM272" i="9"/>
  <c r="BM273" i="9" s="1"/>
  <c r="BM301" i="9"/>
  <c r="BM303" i="9" s="1"/>
  <c r="BM304" i="9" s="1"/>
  <c r="BN267" i="9"/>
  <c r="BP240" i="9"/>
  <c r="BQ238" i="9" s="1"/>
  <c r="BQ270" i="18"/>
  <c r="BQ272" i="18" s="1"/>
  <c r="BQ273" i="18" s="1"/>
  <c r="BR271" i="18" s="1"/>
  <c r="BQ267" i="18"/>
  <c r="BR265" i="18" s="1"/>
  <c r="BR266" i="18" s="1"/>
  <c r="BS260" i="18"/>
  <c r="I272" i="20"/>
  <c r="I303" i="20"/>
  <c r="BS306" i="20"/>
  <c r="I306" i="20" s="1"/>
  <c r="BS274" i="20"/>
  <c r="L317" i="20" s="1" a="1"/>
  <c r="BB297" i="20"/>
  <c r="X297" i="20"/>
  <c r="BA297" i="20"/>
  <c r="AB297" i="20"/>
  <c r="S297" i="20"/>
  <c r="AG297" i="20"/>
  <c r="AN297" i="20"/>
  <c r="AM297" i="20"/>
  <c r="AC297" i="20"/>
  <c r="AI297" i="20"/>
  <c r="BK297" i="20"/>
  <c r="BR297" i="20"/>
  <c r="O297" i="20"/>
  <c r="AK297" i="20"/>
  <c r="AQ297" i="20"/>
  <c r="AU297" i="20"/>
  <c r="AP297" i="20"/>
  <c r="BP297" i="20"/>
  <c r="AR297" i="20"/>
  <c r="AA297" i="20"/>
  <c r="V297" i="20"/>
  <c r="T297" i="20"/>
  <c r="BN297" i="20"/>
  <c r="AF297" i="20"/>
  <c r="BI297" i="20"/>
  <c r="AV297" i="20"/>
  <c r="BC297" i="20"/>
  <c r="BM297" i="20"/>
  <c r="BL297" i="20"/>
  <c r="AS297" i="20"/>
  <c r="AX297" i="20"/>
  <c r="W297" i="20"/>
  <c r="U297" i="20"/>
  <c r="AO297" i="20"/>
  <c r="AT297" i="20"/>
  <c r="Z297" i="20"/>
  <c r="Y297" i="20"/>
  <c r="BE297" i="20"/>
  <c r="BO297" i="20"/>
  <c r="BF297" i="20"/>
  <c r="BS297" i="20"/>
  <c r="AD297" i="20"/>
  <c r="AZ297" i="20"/>
  <c r="AY297" i="20"/>
  <c r="BD297" i="20"/>
  <c r="R297" i="20"/>
  <c r="M297" i="20"/>
  <c r="P297" i="20"/>
  <c r="BQ297" i="20"/>
  <c r="AE297" i="20"/>
  <c r="BP314" i="18"/>
  <c r="BP316" i="18" s="1"/>
  <c r="BP317" i="18" s="1"/>
  <c r="BS278" i="11"/>
  <c r="L528" i="11" s="1" a="1"/>
  <c r="I277" i="11"/>
  <c r="L327" i="11" a="1"/>
  <c r="L327" i="11" s="1"/>
  <c r="I327" i="11" s="1"/>
  <c r="BS308" i="11"/>
  <c r="I308" i="11" s="1"/>
  <c r="BO255" i="9"/>
  <c r="BO257" i="9" s="1"/>
  <c r="BO261" i="9" s="1"/>
  <c r="BP243" i="9"/>
  <c r="BP245" i="9" s="1"/>
  <c r="I303" i="11"/>
  <c r="BM232" i="10"/>
  <c r="BM234" i="10" s="1"/>
  <c r="BN246" i="10"/>
  <c r="BN248" i="10" s="1"/>
  <c r="BN250" i="10" s="1"/>
  <c r="BN227" i="10"/>
  <c r="BO225" i="10" s="1"/>
  <c r="BO226" i="10" s="1"/>
  <c r="BO229" i="10" s="1"/>
  <c r="BO246" i="10" s="1"/>
  <c r="BO248" i="10" s="1"/>
  <c r="BO250" i="10" s="1"/>
  <c r="BN232" i="10"/>
  <c r="BN234" i="10" s="1"/>
  <c r="BM248" i="10"/>
  <c r="BM250" i="10" s="1"/>
  <c r="BL298" i="9"/>
  <c r="BL307" i="9" s="1"/>
  <c r="BQ254" i="8"/>
  <c r="BQ256" i="8" s="1"/>
  <c r="BQ257" i="8" s="1"/>
  <c r="BR225" i="8"/>
  <c r="BR226" i="8" s="1"/>
  <c r="BR254" i="8"/>
  <c r="BR256" i="8" s="1"/>
  <c r="BR257" i="8" s="1"/>
  <c r="BQ226" i="8"/>
  <c r="BS217" i="8"/>
  <c r="BS218" i="8" s="1"/>
  <c r="AR299" i="5"/>
  <c r="AR298" i="5"/>
  <c r="AR289" i="5"/>
  <c r="AM298" i="5"/>
  <c r="AM299" i="5"/>
  <c r="AM289" i="5"/>
  <c r="AI289" i="5"/>
  <c r="AI299" i="5"/>
  <c r="AI298" i="5"/>
  <c r="BL299" i="5"/>
  <c r="BL298" i="5"/>
  <c r="BL289" i="5"/>
  <c r="S298" i="5"/>
  <c r="S299" i="5"/>
  <c r="S289" i="5"/>
  <c r="Q299" i="5"/>
  <c r="Q289" i="5"/>
  <c r="Q298" i="5"/>
  <c r="AG304" i="5"/>
  <c r="AG290" i="5"/>
  <c r="AG303" i="5"/>
  <c r="AH290" i="5"/>
  <c r="AH304" i="5"/>
  <c r="AH303" i="5"/>
  <c r="T303" i="5"/>
  <c r="T304" i="5"/>
  <c r="T290" i="5"/>
  <c r="BE303" i="5"/>
  <c r="BE304" i="5"/>
  <c r="BE290" i="5"/>
  <c r="BS303" i="5"/>
  <c r="BS304" i="5"/>
  <c r="BS290" i="5"/>
  <c r="AT303" i="5"/>
  <c r="AT290" i="5"/>
  <c r="AT304" i="5"/>
  <c r="AU303" i="5"/>
  <c r="AU290" i="5"/>
  <c r="AU304" i="5"/>
  <c r="W290" i="5"/>
  <c r="W303" i="5"/>
  <c r="W304" i="5"/>
  <c r="AR304" i="5"/>
  <c r="AR303" i="5"/>
  <c r="AR290" i="5"/>
  <c r="AM303" i="5"/>
  <c r="AM304" i="5"/>
  <c r="AM290" i="5"/>
  <c r="R290" i="5"/>
  <c r="R304" i="5"/>
  <c r="R303" i="5"/>
  <c r="AA290" i="5"/>
  <c r="AA304" i="5"/>
  <c r="AA303" i="5"/>
  <c r="BM299" i="5"/>
  <c r="BM298" i="5"/>
  <c r="BM289" i="5"/>
  <c r="BD299" i="5"/>
  <c r="BD289" i="5"/>
  <c r="BD298" i="5"/>
  <c r="BG289" i="5"/>
  <c r="BG299" i="5"/>
  <c r="BG298" i="5"/>
  <c r="AL289" i="5"/>
  <c r="AL298" i="5"/>
  <c r="AL299" i="5"/>
  <c r="BQ289" i="5"/>
  <c r="BQ298" i="5"/>
  <c r="BQ299" i="5"/>
  <c r="AE299" i="5"/>
  <c r="AE298" i="5"/>
  <c r="AE289" i="5"/>
  <c r="Z299" i="5"/>
  <c r="Z298" i="5"/>
  <c r="Z289" i="5"/>
  <c r="AX298" i="5"/>
  <c r="AX299" i="5"/>
  <c r="AX289" i="5"/>
  <c r="AB299" i="5"/>
  <c r="AB298" i="5"/>
  <c r="AB289" i="5"/>
  <c r="AY298" i="5"/>
  <c r="AY299" i="5"/>
  <c r="AY289" i="5"/>
  <c r="BO289" i="5"/>
  <c r="BO298" i="5"/>
  <c r="BO299" i="5"/>
  <c r="BN299" i="5"/>
  <c r="BN289" i="5"/>
  <c r="BN298" i="5"/>
  <c r="BI289" i="5"/>
  <c r="BI299" i="5"/>
  <c r="BI298" i="5"/>
  <c r="AF298" i="5"/>
  <c r="AF289" i="5"/>
  <c r="AF299" i="5"/>
  <c r="U299" i="5"/>
  <c r="U298" i="5"/>
  <c r="U289" i="5"/>
  <c r="AV290" i="5"/>
  <c r="AV304" i="5"/>
  <c r="AV303" i="5"/>
  <c r="BM304" i="5"/>
  <c r="BM303" i="5"/>
  <c r="BM290" i="5"/>
  <c r="V290" i="5"/>
  <c r="V304" i="5"/>
  <c r="V303" i="5"/>
  <c r="BN290" i="5"/>
  <c r="BN304" i="5"/>
  <c r="BN303" i="5"/>
  <c r="U303" i="5"/>
  <c r="U304" i="5"/>
  <c r="U290" i="5"/>
  <c r="BG304" i="5"/>
  <c r="BG303" i="5"/>
  <c r="BG290" i="5"/>
  <c r="AX290" i="5"/>
  <c r="AX304" i="5"/>
  <c r="AX303" i="5"/>
  <c r="AJ304" i="5"/>
  <c r="AJ290" i="5"/>
  <c r="AJ303" i="5"/>
  <c r="AS290" i="5"/>
  <c r="AS304" i="5"/>
  <c r="AS303" i="5"/>
  <c r="BI290" i="5"/>
  <c r="BI303" i="5"/>
  <c r="BI304" i="5"/>
  <c r="M290" i="5"/>
  <c r="M303" i="5"/>
  <c r="M304" i="5"/>
  <c r="P290" i="5"/>
  <c r="P303" i="5"/>
  <c r="P304" i="5"/>
  <c r="BL290" i="5"/>
  <c r="BL303" i="5"/>
  <c r="BL304" i="5"/>
  <c r="O304" i="5"/>
  <c r="O303" i="5"/>
  <c r="O290" i="5"/>
  <c r="AL290" i="5"/>
  <c r="AL304" i="5"/>
  <c r="AL303" i="5"/>
  <c r="BA298" i="5"/>
  <c r="BA299" i="5"/>
  <c r="BA289" i="5"/>
  <c r="BE299" i="5"/>
  <c r="BE298" i="5"/>
  <c r="BE289" i="5"/>
  <c r="AJ298" i="5"/>
  <c r="AJ299" i="5"/>
  <c r="AJ289" i="5"/>
  <c r="P289" i="5"/>
  <c r="P299" i="5"/>
  <c r="P298" i="5"/>
  <c r="AQ289" i="5"/>
  <c r="AQ298" i="5"/>
  <c r="AQ299" i="5"/>
  <c r="AC289" i="5"/>
  <c r="AC298" i="5"/>
  <c r="AC299" i="5"/>
  <c r="AI303" i="5"/>
  <c r="AI304" i="5"/>
  <c r="AI290" i="5"/>
  <c r="AZ304" i="5"/>
  <c r="AZ290" i="5"/>
  <c r="AZ303" i="5"/>
  <c r="BA290" i="5"/>
  <c r="BA304" i="5"/>
  <c r="BA303" i="5"/>
  <c r="AA298" i="5"/>
  <c r="AA299" i="5"/>
  <c r="AA289" i="5"/>
  <c r="AZ289" i="5"/>
  <c r="AZ299" i="5"/>
  <c r="AZ298" i="5"/>
  <c r="AW289" i="5"/>
  <c r="AW298" i="5"/>
  <c r="AW299" i="5"/>
  <c r="N289" i="5"/>
  <c r="N299" i="5"/>
  <c r="N298" i="5"/>
  <c r="AT289" i="5"/>
  <c r="AT298" i="5"/>
  <c r="AT299" i="5"/>
  <c r="AN289" i="5"/>
  <c r="AN299" i="5"/>
  <c r="AN298" i="5"/>
  <c r="AP289" i="5"/>
  <c r="AP299" i="5"/>
  <c r="AP298" i="5"/>
  <c r="T289" i="5"/>
  <c r="T299" i="5"/>
  <c r="T298" i="5"/>
  <c r="BB289" i="5"/>
  <c r="BB298" i="5"/>
  <c r="BB299" i="5"/>
  <c r="BC299" i="5"/>
  <c r="BC298" i="5"/>
  <c r="BC289" i="5"/>
  <c r="BP299" i="5"/>
  <c r="BP298" i="5"/>
  <c r="BP289" i="5"/>
  <c r="AG289" i="5"/>
  <c r="AG298" i="5"/>
  <c r="AG299" i="5"/>
  <c r="AK289" i="5"/>
  <c r="AK298" i="5"/>
  <c r="AK299" i="5"/>
  <c r="BS299" i="5"/>
  <c r="BS298" i="5"/>
  <c r="BS289" i="5"/>
  <c r="AU289" i="5"/>
  <c r="AU298" i="5"/>
  <c r="AU299" i="5"/>
  <c r="AC290" i="5"/>
  <c r="AC303" i="5"/>
  <c r="AC304" i="5"/>
  <c r="AK303" i="5"/>
  <c r="AK304" i="5"/>
  <c r="AK290" i="5"/>
  <c r="AN304" i="5"/>
  <c r="AN303" i="5"/>
  <c r="AN290" i="5"/>
  <c r="BD290" i="5"/>
  <c r="BD304" i="5"/>
  <c r="BD303" i="5"/>
  <c r="AF290" i="5"/>
  <c r="AF304" i="5"/>
  <c r="AF303" i="5"/>
  <c r="Z290" i="5"/>
  <c r="Z304" i="5"/>
  <c r="Z303" i="5"/>
  <c r="AY290" i="5"/>
  <c r="AY303" i="5"/>
  <c r="AY304" i="5"/>
  <c r="BP290" i="5"/>
  <c r="BP304" i="5"/>
  <c r="BP303" i="5"/>
  <c r="BB304" i="5"/>
  <c r="BB303" i="5"/>
  <c r="BB290" i="5"/>
  <c r="AE290" i="5"/>
  <c r="AE303" i="5"/>
  <c r="AE304" i="5"/>
  <c r="S304" i="5"/>
  <c r="S303" i="5"/>
  <c r="S290" i="5"/>
  <c r="AO304" i="5"/>
  <c r="AO290" i="5"/>
  <c r="AO303" i="5"/>
  <c r="AQ304" i="5"/>
  <c r="AQ303" i="5"/>
  <c r="AQ290" i="5"/>
  <c r="AW303" i="5"/>
  <c r="AW304" i="5"/>
  <c r="AW290" i="5"/>
  <c r="BC303" i="5"/>
  <c r="BC304" i="5"/>
  <c r="BC290" i="5"/>
  <c r="BJ299" i="5"/>
  <c r="BJ298" i="5"/>
  <c r="BJ289" i="5"/>
  <c r="AD299" i="5"/>
  <c r="AD298" i="5"/>
  <c r="AD289" i="5"/>
  <c r="AH299" i="5"/>
  <c r="AH289" i="5"/>
  <c r="AH298" i="5"/>
  <c r="L487" i="5"/>
  <c r="AV495" i="5"/>
  <c r="BO495" i="5"/>
  <c r="AW495" i="5"/>
  <c r="BH495" i="5"/>
  <c r="BS495" i="5"/>
  <c r="M495" i="5"/>
  <c r="BL495" i="5"/>
  <c r="O495" i="5"/>
  <c r="AH495" i="5"/>
  <c r="BC495" i="5"/>
  <c r="AI495" i="5"/>
  <c r="AJ495" i="5"/>
  <c r="AP495" i="5"/>
  <c r="BP495" i="5"/>
  <c r="AB495" i="5"/>
  <c r="BM495" i="5"/>
  <c r="BR495" i="5"/>
  <c r="AF495" i="5"/>
  <c r="BG495" i="5"/>
  <c r="AC495" i="5"/>
  <c r="AO495" i="5"/>
  <c r="AE495" i="5"/>
  <c r="BN495" i="5"/>
  <c r="AK495" i="5"/>
  <c r="V495" i="5"/>
  <c r="AR495" i="5"/>
  <c r="AN495" i="5"/>
  <c r="P495" i="5"/>
  <c r="AU495" i="5"/>
  <c r="BK495" i="5"/>
  <c r="N495" i="5"/>
  <c r="BI495" i="5"/>
  <c r="U495" i="5"/>
  <c r="X495" i="5"/>
  <c r="AD495" i="5"/>
  <c r="Z495" i="5"/>
  <c r="Y495" i="5"/>
  <c r="S495" i="5"/>
  <c r="AY495" i="5"/>
  <c r="AZ495" i="5"/>
  <c r="AM495" i="5"/>
  <c r="AT495" i="5"/>
  <c r="BD495" i="5"/>
  <c r="BQ495" i="5"/>
  <c r="W495" i="5"/>
  <c r="AQ495" i="5"/>
  <c r="BA495" i="5"/>
  <c r="T495" i="5"/>
  <c r="Q495" i="5"/>
  <c r="R495" i="5"/>
  <c r="BF495" i="5"/>
  <c r="AL495" i="5"/>
  <c r="BE495" i="5"/>
  <c r="BB495" i="5"/>
  <c r="AS495" i="5"/>
  <c r="AG495" i="5"/>
  <c r="BJ495" i="5"/>
  <c r="AX495" i="5"/>
  <c r="AA495" i="5"/>
  <c r="BK298" i="5"/>
  <c r="BK299" i="5"/>
  <c r="BK289" i="5"/>
  <c r="BF299" i="5"/>
  <c r="BF298" i="5"/>
  <c r="BF289" i="5"/>
  <c r="BR289" i="5"/>
  <c r="BR298" i="5"/>
  <c r="BR299" i="5"/>
  <c r="AS289" i="5"/>
  <c r="AS298" i="5"/>
  <c r="AS299" i="5"/>
  <c r="AO289" i="5"/>
  <c r="AO298" i="5"/>
  <c r="AO299" i="5"/>
  <c r="V299" i="5"/>
  <c r="V298" i="5"/>
  <c r="V289" i="5"/>
  <c r="R289" i="5"/>
  <c r="R299" i="5"/>
  <c r="R298" i="5"/>
  <c r="O299" i="5"/>
  <c r="O298" i="5"/>
  <c r="O289" i="5"/>
  <c r="W298" i="5"/>
  <c r="W299" i="5"/>
  <c r="W289" i="5"/>
  <c r="M289" i="5"/>
  <c r="M298" i="5"/>
  <c r="M299" i="5"/>
  <c r="Y299" i="5"/>
  <c r="Y289" i="5"/>
  <c r="Y298" i="5"/>
  <c r="X289" i="5"/>
  <c r="X298" i="5"/>
  <c r="X299" i="5"/>
  <c r="AV289" i="5"/>
  <c r="AV299" i="5"/>
  <c r="AV298" i="5"/>
  <c r="BH289" i="5"/>
  <c r="BH299" i="5"/>
  <c r="BH298" i="5"/>
  <c r="I279" i="5"/>
  <c r="L280" i="5"/>
  <c r="AB290" i="5"/>
  <c r="AB304" i="5"/>
  <c r="AB303" i="5"/>
  <c r="BH290" i="5"/>
  <c r="BH303" i="5"/>
  <c r="BH304" i="5"/>
  <c r="BJ304" i="5"/>
  <c r="BJ303" i="5"/>
  <c r="BJ290" i="5"/>
  <c r="X290" i="5"/>
  <c r="X303" i="5"/>
  <c r="X304" i="5"/>
  <c r="Y303" i="5"/>
  <c r="Y304" i="5"/>
  <c r="Y290" i="5"/>
  <c r="BO304" i="5"/>
  <c r="BO303" i="5"/>
  <c r="BO290" i="5"/>
  <c r="N303" i="5"/>
  <c r="N304" i="5"/>
  <c r="N290" i="5"/>
  <c r="BF290" i="5"/>
  <c r="BF303" i="5"/>
  <c r="BF304" i="5"/>
  <c r="AD304" i="5"/>
  <c r="AD303" i="5"/>
  <c r="AD290" i="5"/>
  <c r="Q304" i="5"/>
  <c r="Q303" i="5"/>
  <c r="Q290" i="5"/>
  <c r="BQ290" i="5"/>
  <c r="BQ303" i="5"/>
  <c r="BQ304" i="5"/>
  <c r="AP303" i="5"/>
  <c r="AP304" i="5"/>
  <c r="AP290" i="5"/>
  <c r="BK290" i="5"/>
  <c r="BK304" i="5"/>
  <c r="BK303" i="5"/>
  <c r="BR290" i="5"/>
  <c r="BR304" i="5"/>
  <c r="BR303" i="5"/>
  <c r="I285" i="5"/>
  <c r="L286" i="5"/>
  <c r="L557" i="20" l="1"/>
  <c r="I316" i="20"/>
  <c r="M559" i="20"/>
  <c r="Q559" i="20"/>
  <c r="U559" i="20"/>
  <c r="Y559" i="20"/>
  <c r="AC559" i="20"/>
  <c r="AG559" i="20"/>
  <c r="AK559" i="20"/>
  <c r="AO559" i="20"/>
  <c r="AS559" i="20"/>
  <c r="AW559" i="20"/>
  <c r="BA559" i="20"/>
  <c r="BE559" i="20"/>
  <c r="BI559" i="20"/>
  <c r="BM559" i="20"/>
  <c r="BQ559" i="20"/>
  <c r="N559" i="20"/>
  <c r="R559" i="20"/>
  <c r="V559" i="20"/>
  <c r="Z559" i="20"/>
  <c r="AD559" i="20"/>
  <c r="AH559" i="20"/>
  <c r="AL559" i="20"/>
  <c r="AP559" i="20"/>
  <c r="AT559" i="20"/>
  <c r="AX559" i="20"/>
  <c r="BB559" i="20"/>
  <c r="BF559" i="20"/>
  <c r="BJ559" i="20"/>
  <c r="BN559" i="20"/>
  <c r="BR559" i="20"/>
  <c r="O559" i="20"/>
  <c r="S559" i="20"/>
  <c r="W559" i="20"/>
  <c r="AA559" i="20"/>
  <c r="AE559" i="20"/>
  <c r="AI559" i="20"/>
  <c r="AM559" i="20"/>
  <c r="AQ559" i="20"/>
  <c r="AU559" i="20"/>
  <c r="AY559" i="20"/>
  <c r="BC559" i="20"/>
  <c r="BG559" i="20"/>
  <c r="BK559" i="20"/>
  <c r="BO559" i="20"/>
  <c r="BS559" i="20"/>
  <c r="P559" i="20"/>
  <c r="T559" i="20"/>
  <c r="X559" i="20"/>
  <c r="AB559" i="20"/>
  <c r="AF559" i="20"/>
  <c r="AJ559" i="20"/>
  <c r="AN559" i="20"/>
  <c r="AR559" i="20"/>
  <c r="AV559" i="20"/>
  <c r="AZ559" i="20"/>
  <c r="BD559" i="20"/>
  <c r="BH559" i="20"/>
  <c r="BL559" i="20"/>
  <c r="BP559" i="20"/>
  <c r="Z257" i="23"/>
  <c r="Z240" i="23"/>
  <c r="AA238" i="23" s="1"/>
  <c r="Z275" i="23"/>
  <c r="Z270" i="23"/>
  <c r="Z271" i="23" s="1"/>
  <c r="Z249" i="23"/>
  <c r="Z251" i="23" s="1"/>
  <c r="Z246" i="23"/>
  <c r="AA244" i="23" s="1"/>
  <c r="Z281" i="23"/>
  <c r="BN270" i="9"/>
  <c r="BM288" i="9"/>
  <c r="BM289" i="9" s="1"/>
  <c r="I529" i="11"/>
  <c r="P556" i="11"/>
  <c r="T556" i="11"/>
  <c r="X556" i="11"/>
  <c r="AB556" i="11"/>
  <c r="AF556" i="11"/>
  <c r="AJ556" i="11"/>
  <c r="AN556" i="11"/>
  <c r="AR556" i="11"/>
  <c r="AV556" i="11"/>
  <c r="AZ556" i="11"/>
  <c r="BD556" i="11"/>
  <c r="BH556" i="11"/>
  <c r="BL556" i="11"/>
  <c r="BP556" i="11"/>
  <c r="W556" i="11"/>
  <c r="AM556" i="11"/>
  <c r="AY556" i="11"/>
  <c r="BK556" i="11"/>
  <c r="M556" i="11"/>
  <c r="Q556" i="11"/>
  <c r="U556" i="11"/>
  <c r="Y556" i="11"/>
  <c r="AC556" i="11"/>
  <c r="AG556" i="11"/>
  <c r="AK556" i="11"/>
  <c r="AO556" i="11"/>
  <c r="AS556" i="11"/>
  <c r="AW556" i="11"/>
  <c r="BA556" i="11"/>
  <c r="BE556" i="11"/>
  <c r="BI556" i="11"/>
  <c r="BM556" i="11"/>
  <c r="BQ556" i="11"/>
  <c r="S556" i="11"/>
  <c r="AE556" i="11"/>
  <c r="AQ556" i="11"/>
  <c r="BC556" i="11"/>
  <c r="BO556" i="11"/>
  <c r="N556" i="11"/>
  <c r="R556" i="11"/>
  <c r="V556" i="11"/>
  <c r="Z556" i="11"/>
  <c r="AD556" i="11"/>
  <c r="AH556" i="11"/>
  <c r="AL556" i="11"/>
  <c r="AP556" i="11"/>
  <c r="AT556" i="11"/>
  <c r="AX556" i="11"/>
  <c r="BB556" i="11"/>
  <c r="BF556" i="11"/>
  <c r="BJ556" i="11"/>
  <c r="BN556" i="11"/>
  <c r="BR556" i="11"/>
  <c r="O556" i="11"/>
  <c r="AA556" i="11"/>
  <c r="AI556" i="11"/>
  <c r="AU556" i="11"/>
  <c r="BG556" i="11"/>
  <c r="BS556" i="11"/>
  <c r="L528" i="11"/>
  <c r="L556" i="11" s="1"/>
  <c r="I320" i="11"/>
  <c r="I560" i="11"/>
  <c r="I321" i="11"/>
  <c r="I561" i="11"/>
  <c r="L317" i="20"/>
  <c r="L559" i="20" s="1"/>
  <c r="BM295" i="9"/>
  <c r="BM297" i="9" s="1"/>
  <c r="BM306" i="9" s="1"/>
  <c r="BN284" i="9"/>
  <c r="BO263" i="9"/>
  <c r="BP249" i="9"/>
  <c r="BP251" i="9" s="1"/>
  <c r="BP252" i="9" s="1"/>
  <c r="BQ250" i="9" s="1"/>
  <c r="BQ276" i="18"/>
  <c r="BQ279" i="18" s="1"/>
  <c r="BQ285" i="18" s="1"/>
  <c r="BQ286" i="18" s="1"/>
  <c r="BR270" i="18"/>
  <c r="BR272" i="18" s="1"/>
  <c r="BS281" i="18"/>
  <c r="BS283" i="18" s="1"/>
  <c r="BS264" i="18"/>
  <c r="I264" i="18" s="1"/>
  <c r="I260" i="18"/>
  <c r="H260" i="18" s="1"/>
  <c r="BS261" i="18"/>
  <c r="L324" i="20" a="1"/>
  <c r="L324" i="20" s="1"/>
  <c r="I324" i="20" s="1"/>
  <c r="BS275" i="20"/>
  <c r="I274" i="20"/>
  <c r="L526" i="20" a="1"/>
  <c r="BR267" i="18"/>
  <c r="BS265" i="18" s="1"/>
  <c r="I501" i="5"/>
  <c r="I278" i="11"/>
  <c r="BS309" i="11"/>
  <c r="I309" i="11" s="1"/>
  <c r="BS311" i="11"/>
  <c r="I311" i="11" s="1"/>
  <c r="BP246" i="9"/>
  <c r="BQ244" i="9" s="1"/>
  <c r="BQ239" i="9"/>
  <c r="BR237" i="9"/>
  <c r="BM235" i="10"/>
  <c r="BM263" i="10"/>
  <c r="BM265" i="10" s="1"/>
  <c r="BM266" i="10" s="1"/>
  <c r="BO232" i="10"/>
  <c r="BO234" i="10" s="1"/>
  <c r="BO235" i="10" s="1"/>
  <c r="BO227" i="10"/>
  <c r="BP225" i="10" s="1"/>
  <c r="BQ224" i="10" s="1"/>
  <c r="BP224" i="10"/>
  <c r="BN263" i="10"/>
  <c r="BN265" i="10" s="1"/>
  <c r="BN266" i="10" s="1"/>
  <c r="BN235" i="10"/>
  <c r="BM257" i="10"/>
  <c r="BM259" i="10" s="1"/>
  <c r="BM260" i="10" s="1"/>
  <c r="BN251" i="10"/>
  <c r="BN257" i="10"/>
  <c r="BN259" i="10" s="1"/>
  <c r="BO251" i="10"/>
  <c r="BM251" i="10"/>
  <c r="BO258" i="9"/>
  <c r="BP256" i="9" s="1"/>
  <c r="BS220" i="8"/>
  <c r="I217" i="8"/>
  <c r="H217" i="8" s="1"/>
  <c r="AR300" i="5"/>
  <c r="AS305" i="5"/>
  <c r="AD300" i="5"/>
  <c r="AQ305" i="5"/>
  <c r="BB305" i="5"/>
  <c r="BR305" i="5"/>
  <c r="AD305" i="5"/>
  <c r="BH300" i="5"/>
  <c r="S305" i="5"/>
  <c r="BP305" i="5"/>
  <c r="BD305" i="5"/>
  <c r="AN305" i="5"/>
  <c r="BS300" i="5"/>
  <c r="BC300" i="5"/>
  <c r="AP300" i="5"/>
  <c r="P300" i="5"/>
  <c r="AL305" i="5"/>
  <c r="O305" i="5"/>
  <c r="Z305" i="5"/>
  <c r="AV305" i="5"/>
  <c r="U300" i="5"/>
  <c r="Z300" i="5"/>
  <c r="AA305" i="5"/>
  <c r="AX305" i="5"/>
  <c r="BG305" i="5"/>
  <c r="V305" i="5"/>
  <c r="BM305" i="5"/>
  <c r="AB300" i="5"/>
  <c r="BM300" i="5"/>
  <c r="AR305" i="5"/>
  <c r="AH305" i="5"/>
  <c r="AP305" i="5"/>
  <c r="AO300" i="5"/>
  <c r="AW305" i="5"/>
  <c r="AO305" i="5"/>
  <c r="AY305" i="5"/>
  <c r="AK305" i="5"/>
  <c r="AA300" i="5"/>
  <c r="AZ305" i="5"/>
  <c r="BI305" i="5"/>
  <c r="U305" i="5"/>
  <c r="AX300" i="5"/>
  <c r="BQ300" i="5"/>
  <c r="BD300" i="5"/>
  <c r="BE305" i="5"/>
  <c r="AM300" i="5"/>
  <c r="Y300" i="5"/>
  <c r="AJ305" i="5"/>
  <c r="BJ305" i="5"/>
  <c r="BQ305" i="5"/>
  <c r="BR300" i="5"/>
  <c r="AC305" i="5"/>
  <c r="AG300" i="5"/>
  <c r="AQ300" i="5"/>
  <c r="P305" i="5"/>
  <c r="BO300" i="5"/>
  <c r="AY300" i="5"/>
  <c r="AM305" i="5"/>
  <c r="AG305" i="5"/>
  <c r="X314" i="5"/>
  <c r="X313" i="5"/>
  <c r="Q498" i="5"/>
  <c r="Q497" i="5"/>
  <c r="AM497" i="5"/>
  <c r="AM498" i="5"/>
  <c r="AU498" i="5"/>
  <c r="AU497" i="5"/>
  <c r="BR497" i="5"/>
  <c r="BR498" i="5"/>
  <c r="BS497" i="5"/>
  <c r="BS498" i="5"/>
  <c r="BJ308" i="5"/>
  <c r="BJ309" i="5"/>
  <c r="BJ291" i="5"/>
  <c r="Z314" i="5"/>
  <c r="Z313" i="5"/>
  <c r="AK309" i="5"/>
  <c r="AK291" i="5"/>
  <c r="AK308" i="5"/>
  <c r="BB308" i="5"/>
  <c r="BB291" i="5"/>
  <c r="BB309" i="5"/>
  <c r="AT309" i="5"/>
  <c r="AT308" i="5"/>
  <c r="AT291" i="5"/>
  <c r="AE291" i="5"/>
  <c r="AE309" i="5"/>
  <c r="AE308" i="5"/>
  <c r="BK313" i="5"/>
  <c r="BK314" i="5"/>
  <c r="Q305" i="5"/>
  <c r="N314" i="5"/>
  <c r="N313" i="5"/>
  <c r="BO305" i="5"/>
  <c r="Y305" i="5"/>
  <c r="BJ314" i="5"/>
  <c r="BJ313" i="5"/>
  <c r="BH305" i="5"/>
  <c r="AB314" i="5"/>
  <c r="AB313" i="5"/>
  <c r="AV308" i="5"/>
  <c r="AV309" i="5"/>
  <c r="AV291" i="5"/>
  <c r="M300" i="5"/>
  <c r="W300" i="5"/>
  <c r="R300" i="5"/>
  <c r="V300" i="5"/>
  <c r="AO309" i="5"/>
  <c r="AO308" i="5"/>
  <c r="AO291" i="5"/>
  <c r="BF300" i="5"/>
  <c r="BK300" i="5"/>
  <c r="AG497" i="5"/>
  <c r="AG498" i="5"/>
  <c r="AL497" i="5"/>
  <c r="AL498" i="5"/>
  <c r="T497" i="5"/>
  <c r="T498" i="5"/>
  <c r="BQ497" i="5"/>
  <c r="BQ498" i="5"/>
  <c r="AZ497" i="5"/>
  <c r="AZ498" i="5"/>
  <c r="Z498" i="5"/>
  <c r="Z497" i="5"/>
  <c r="BI498" i="5"/>
  <c r="BI497" i="5"/>
  <c r="P498" i="5"/>
  <c r="P497" i="5"/>
  <c r="AK498" i="5"/>
  <c r="AK497" i="5"/>
  <c r="AC498" i="5"/>
  <c r="AC497" i="5"/>
  <c r="BM497" i="5"/>
  <c r="BM498" i="5"/>
  <c r="AJ498" i="5"/>
  <c r="AJ497" i="5"/>
  <c r="O497" i="5"/>
  <c r="O498" i="5"/>
  <c r="BH498" i="5"/>
  <c r="BH497" i="5"/>
  <c r="I487" i="5"/>
  <c r="L495" i="5"/>
  <c r="I500" i="5" s="1"/>
  <c r="AD309" i="5"/>
  <c r="AD291" i="5"/>
  <c r="AD308" i="5"/>
  <c r="BJ300" i="5"/>
  <c r="BC305" i="5"/>
  <c r="AQ313" i="5"/>
  <c r="AQ314" i="5"/>
  <c r="AO314" i="5"/>
  <c r="AO313" i="5"/>
  <c r="BB313" i="5"/>
  <c r="BB314" i="5"/>
  <c r="AY314" i="5"/>
  <c r="AY313" i="5"/>
  <c r="AF305" i="5"/>
  <c r="AU300" i="5"/>
  <c r="BP300" i="5"/>
  <c r="T300" i="5"/>
  <c r="AN308" i="5"/>
  <c r="AN291" i="5"/>
  <c r="AN309" i="5"/>
  <c r="N300" i="5"/>
  <c r="AW300" i="5"/>
  <c r="AZ291" i="5"/>
  <c r="AZ309" i="5"/>
  <c r="AZ308" i="5"/>
  <c r="BA305" i="5"/>
  <c r="AZ314" i="5"/>
  <c r="AZ313" i="5"/>
  <c r="AI305" i="5"/>
  <c r="AJ300" i="5"/>
  <c r="BA308" i="5"/>
  <c r="BA291" i="5"/>
  <c r="BA309" i="5"/>
  <c r="M305" i="5"/>
  <c r="BI314" i="5"/>
  <c r="BI313" i="5"/>
  <c r="BN305" i="5"/>
  <c r="U291" i="5"/>
  <c r="U309" i="5"/>
  <c r="U308" i="5"/>
  <c r="AF308" i="5"/>
  <c r="AF291" i="5"/>
  <c r="AF309" i="5"/>
  <c r="BI309" i="5"/>
  <c r="BI291" i="5"/>
  <c r="BI308" i="5"/>
  <c r="Z308" i="5"/>
  <c r="Z309" i="5"/>
  <c r="Z291" i="5"/>
  <c r="AE300" i="5"/>
  <c r="BQ309" i="5"/>
  <c r="BQ291" i="5"/>
  <c r="BQ308" i="5"/>
  <c r="BG300" i="5"/>
  <c r="BD308" i="5"/>
  <c r="BD291" i="5"/>
  <c r="BD309" i="5"/>
  <c r="R305" i="5"/>
  <c r="AT313" i="5"/>
  <c r="AT314" i="5"/>
  <c r="BS305" i="5"/>
  <c r="T314" i="5"/>
  <c r="T313" i="5"/>
  <c r="S308" i="5"/>
  <c r="S291" i="5"/>
  <c r="S309" i="5"/>
  <c r="BL300" i="5"/>
  <c r="AI308" i="5"/>
  <c r="AI291" i="5"/>
  <c r="AI309" i="5"/>
  <c r="AR309" i="5"/>
  <c r="AR308" i="5"/>
  <c r="AR291" i="5"/>
  <c r="BF314" i="5"/>
  <c r="BF313" i="5"/>
  <c r="X309" i="5"/>
  <c r="X308" i="5"/>
  <c r="X291" i="5"/>
  <c r="BF309" i="5"/>
  <c r="BF291" i="5"/>
  <c r="BF308" i="5"/>
  <c r="BE497" i="5"/>
  <c r="BE498" i="5"/>
  <c r="Y497" i="5"/>
  <c r="Y498" i="5"/>
  <c r="AO498" i="5"/>
  <c r="AO497" i="5"/>
  <c r="AH498" i="5"/>
  <c r="AH497" i="5"/>
  <c r="AE313" i="5"/>
  <c r="AE314" i="5"/>
  <c r="AC291" i="5"/>
  <c r="AC309" i="5"/>
  <c r="AC308" i="5"/>
  <c r="BL313" i="5"/>
  <c r="BL314" i="5"/>
  <c r="AS314" i="5"/>
  <c r="AS313" i="5"/>
  <c r="AV314" i="5"/>
  <c r="AV313" i="5"/>
  <c r="AL309" i="5"/>
  <c r="AL308" i="5"/>
  <c r="AL291" i="5"/>
  <c r="AA313" i="5"/>
  <c r="AA314" i="5"/>
  <c r="AG314" i="5"/>
  <c r="AG313" i="5"/>
  <c r="L303" i="5"/>
  <c r="L446" i="5" a="1"/>
  <c r="L446" i="5" s="1"/>
  <c r="I446" i="5" s="1"/>
  <c r="L304" i="5"/>
  <c r="I304" i="5" s="1"/>
  <c r="L290" i="5"/>
  <c r="L394" i="5" a="1"/>
  <c r="L394" i="5" s="1"/>
  <c r="I394" i="5" s="1"/>
  <c r="I286" i="5"/>
  <c r="BH314" i="5"/>
  <c r="BH313" i="5"/>
  <c r="L393" i="5" a="1"/>
  <c r="L298" i="5"/>
  <c r="I280" i="5"/>
  <c r="L299" i="5"/>
  <c r="L289" i="5"/>
  <c r="BH308" i="5"/>
  <c r="BH309" i="5"/>
  <c r="BH291" i="5"/>
  <c r="Y308" i="5"/>
  <c r="Y309" i="5"/>
  <c r="Y291" i="5"/>
  <c r="M309" i="5"/>
  <c r="M308" i="5"/>
  <c r="M291" i="5"/>
  <c r="O308" i="5"/>
  <c r="O291" i="5"/>
  <c r="O309" i="5"/>
  <c r="AA497" i="5"/>
  <c r="AA498" i="5"/>
  <c r="AS497" i="5"/>
  <c r="AS498" i="5"/>
  <c r="BF497" i="5"/>
  <c r="BF498" i="5"/>
  <c r="BA497" i="5"/>
  <c r="BA498" i="5"/>
  <c r="BD497" i="5"/>
  <c r="BD498" i="5"/>
  <c r="AY498" i="5"/>
  <c r="AY497" i="5"/>
  <c r="AD498" i="5"/>
  <c r="AD497" i="5"/>
  <c r="N497" i="5"/>
  <c r="N498" i="5"/>
  <c r="AN498" i="5"/>
  <c r="AN497" i="5"/>
  <c r="BN498" i="5"/>
  <c r="BN497" i="5"/>
  <c r="BG497" i="5"/>
  <c r="BG498" i="5"/>
  <c r="AB497" i="5"/>
  <c r="AB498" i="5"/>
  <c r="AI498" i="5"/>
  <c r="AI497" i="5"/>
  <c r="BL498" i="5"/>
  <c r="BL497" i="5"/>
  <c r="AW498" i="5"/>
  <c r="AW497" i="5"/>
  <c r="AH300" i="5"/>
  <c r="AW314" i="5"/>
  <c r="AW313" i="5"/>
  <c r="BP313" i="5"/>
  <c r="BP314" i="5"/>
  <c r="BD313" i="5"/>
  <c r="BD314" i="5"/>
  <c r="AK314" i="5"/>
  <c r="AK313" i="5"/>
  <c r="AU309" i="5"/>
  <c r="AU308" i="5"/>
  <c r="AU291" i="5"/>
  <c r="AP309" i="5"/>
  <c r="AP291" i="5"/>
  <c r="AP308" i="5"/>
  <c r="AW309" i="5"/>
  <c r="AW291" i="5"/>
  <c r="AW308" i="5"/>
  <c r="AA309" i="5"/>
  <c r="AA291" i="5"/>
  <c r="AA308" i="5"/>
  <c r="P309" i="5"/>
  <c r="P291" i="5"/>
  <c r="P308" i="5"/>
  <c r="BE309" i="5"/>
  <c r="BE308" i="5"/>
  <c r="BE291" i="5"/>
  <c r="AL314" i="5"/>
  <c r="AL313" i="5"/>
  <c r="M314" i="5"/>
  <c r="M313" i="5"/>
  <c r="AJ313" i="5"/>
  <c r="AJ314" i="5"/>
  <c r="AX314" i="5"/>
  <c r="AX313" i="5"/>
  <c r="U314" i="5"/>
  <c r="U313" i="5"/>
  <c r="V314" i="5"/>
  <c r="V313" i="5"/>
  <c r="AF300" i="5"/>
  <c r="BN300" i="5"/>
  <c r="AX309" i="5"/>
  <c r="AX291" i="5"/>
  <c r="AX308" i="5"/>
  <c r="AU313" i="5"/>
  <c r="AU314" i="5"/>
  <c r="AT305" i="5"/>
  <c r="BE314" i="5"/>
  <c r="BE313" i="5"/>
  <c r="AH313" i="5"/>
  <c r="AH314" i="5"/>
  <c r="Q300" i="5"/>
  <c r="AM308" i="5"/>
  <c r="AM309" i="5"/>
  <c r="AM291" i="5"/>
  <c r="Q314" i="5"/>
  <c r="Q313" i="5"/>
  <c r="BO314" i="5"/>
  <c r="BO313" i="5"/>
  <c r="V309" i="5"/>
  <c r="V308" i="5"/>
  <c r="V291" i="5"/>
  <c r="AS308" i="5"/>
  <c r="AS309" i="5"/>
  <c r="AS291" i="5"/>
  <c r="BJ498" i="5"/>
  <c r="BJ497" i="5"/>
  <c r="W498" i="5"/>
  <c r="W497" i="5"/>
  <c r="U497" i="5"/>
  <c r="U498" i="5"/>
  <c r="V497" i="5"/>
  <c r="V498" i="5"/>
  <c r="AP497" i="5"/>
  <c r="AP498" i="5"/>
  <c r="AV498" i="5"/>
  <c r="AV497" i="5"/>
  <c r="BP308" i="5"/>
  <c r="BP291" i="5"/>
  <c r="BP309" i="5"/>
  <c r="AY309" i="5"/>
  <c r="AY308" i="5"/>
  <c r="AY291" i="5"/>
  <c r="AM314" i="5"/>
  <c r="AM313" i="5"/>
  <c r="W314" i="5"/>
  <c r="W313" i="5"/>
  <c r="BL309" i="5"/>
  <c r="BL291" i="5"/>
  <c r="BL308" i="5"/>
  <c r="BR313" i="5"/>
  <c r="BR314" i="5"/>
  <c r="AP314" i="5"/>
  <c r="AP313" i="5"/>
  <c r="BK305" i="5"/>
  <c r="BQ314" i="5"/>
  <c r="BQ313" i="5"/>
  <c r="AD313" i="5"/>
  <c r="AD314" i="5"/>
  <c r="BF305" i="5"/>
  <c r="N305" i="5"/>
  <c r="Y313" i="5"/>
  <c r="Y314" i="5"/>
  <c r="X305" i="5"/>
  <c r="AB305" i="5"/>
  <c r="AV300" i="5"/>
  <c r="X300" i="5"/>
  <c r="W309" i="5"/>
  <c r="W291" i="5"/>
  <c r="W308" i="5"/>
  <c r="O300" i="5"/>
  <c r="R309" i="5"/>
  <c r="R291" i="5"/>
  <c r="R308" i="5"/>
  <c r="AS300" i="5"/>
  <c r="BR308" i="5"/>
  <c r="BR291" i="5"/>
  <c r="BR309" i="5"/>
  <c r="BK291" i="5"/>
  <c r="BK308" i="5"/>
  <c r="BK309" i="5"/>
  <c r="AX498" i="5"/>
  <c r="AX497" i="5"/>
  <c r="BB498" i="5"/>
  <c r="BB497" i="5"/>
  <c r="R498" i="5"/>
  <c r="R497" i="5"/>
  <c r="AQ498" i="5"/>
  <c r="AQ497" i="5"/>
  <c r="AT498" i="5"/>
  <c r="AT497" i="5"/>
  <c r="S498" i="5"/>
  <c r="S497" i="5"/>
  <c r="X498" i="5"/>
  <c r="X497" i="5"/>
  <c r="BK497" i="5"/>
  <c r="BK498" i="5"/>
  <c r="AR498" i="5"/>
  <c r="AR497" i="5"/>
  <c r="AE498" i="5"/>
  <c r="AE497" i="5"/>
  <c r="AF498" i="5"/>
  <c r="AF497" i="5"/>
  <c r="BP498" i="5"/>
  <c r="BP497" i="5"/>
  <c r="BC498" i="5"/>
  <c r="BC497" i="5"/>
  <c r="M498" i="5"/>
  <c r="M497" i="5"/>
  <c r="BO497" i="5"/>
  <c r="BO498" i="5"/>
  <c r="AH308" i="5"/>
  <c r="AH291" i="5"/>
  <c r="AH309" i="5"/>
  <c r="BC313" i="5"/>
  <c r="BC314" i="5"/>
  <c r="S314" i="5"/>
  <c r="S313" i="5"/>
  <c r="AE305" i="5"/>
  <c r="AF313" i="5"/>
  <c r="AF314" i="5"/>
  <c r="AN313" i="5"/>
  <c r="AN314" i="5"/>
  <c r="AC313" i="5"/>
  <c r="AC314" i="5"/>
  <c r="BS309" i="5"/>
  <c r="BS308" i="5"/>
  <c r="BS291" i="5"/>
  <c r="AK300" i="5"/>
  <c r="AG291" i="5"/>
  <c r="AG309" i="5"/>
  <c r="AG308" i="5"/>
  <c r="BC291" i="5"/>
  <c r="BC308" i="5"/>
  <c r="BC309" i="5"/>
  <c r="BB300" i="5"/>
  <c r="T309" i="5"/>
  <c r="T308" i="5"/>
  <c r="T291" i="5"/>
  <c r="AN300" i="5"/>
  <c r="AT300" i="5"/>
  <c r="N309" i="5"/>
  <c r="N291" i="5"/>
  <c r="N308" i="5"/>
  <c r="AZ300" i="5"/>
  <c r="BA314" i="5"/>
  <c r="BA313" i="5"/>
  <c r="AI313" i="5"/>
  <c r="AI314" i="5"/>
  <c r="AC300" i="5"/>
  <c r="AQ291" i="5"/>
  <c r="AQ308" i="5"/>
  <c r="AQ309" i="5"/>
  <c r="AJ309" i="5"/>
  <c r="AJ308" i="5"/>
  <c r="AJ291" i="5"/>
  <c r="BE300" i="5"/>
  <c r="BA300" i="5"/>
  <c r="O313" i="5"/>
  <c r="O314" i="5"/>
  <c r="BL305" i="5"/>
  <c r="P313" i="5"/>
  <c r="P314" i="5"/>
  <c r="BG314" i="5"/>
  <c r="BG313" i="5"/>
  <c r="BN314" i="5"/>
  <c r="BN313" i="5"/>
  <c r="BM313" i="5"/>
  <c r="BM314" i="5"/>
  <c r="BI300" i="5"/>
  <c r="BN308" i="5"/>
  <c r="BN291" i="5"/>
  <c r="BN309" i="5"/>
  <c r="BO291" i="5"/>
  <c r="BO308" i="5"/>
  <c r="BO309" i="5"/>
  <c r="AB309" i="5"/>
  <c r="AB291" i="5"/>
  <c r="AB308" i="5"/>
  <c r="AL300" i="5"/>
  <c r="BG308" i="5"/>
  <c r="BG309" i="5"/>
  <c r="BG291" i="5"/>
  <c r="BM309" i="5"/>
  <c r="BM291" i="5"/>
  <c r="BM308" i="5"/>
  <c r="R314" i="5"/>
  <c r="R313" i="5"/>
  <c r="AR313" i="5"/>
  <c r="AR314" i="5"/>
  <c r="W305" i="5"/>
  <c r="AU305" i="5"/>
  <c r="BS313" i="5"/>
  <c r="BS314" i="5"/>
  <c r="T305" i="5"/>
  <c r="Q309" i="5"/>
  <c r="Q291" i="5"/>
  <c r="Q308" i="5"/>
  <c r="S300" i="5"/>
  <c r="AI300" i="5"/>
  <c r="M553" i="20" l="1"/>
  <c r="Q553" i="20"/>
  <c r="U553" i="20"/>
  <c r="Y553" i="20"/>
  <c r="AC553" i="20"/>
  <c r="AG553" i="20"/>
  <c r="AK553" i="20"/>
  <c r="AO553" i="20"/>
  <c r="AS553" i="20"/>
  <c r="AW553" i="20"/>
  <c r="BA553" i="20"/>
  <c r="BE553" i="20"/>
  <c r="BI553" i="20"/>
  <c r="BM553" i="20"/>
  <c r="BQ553" i="20"/>
  <c r="T553" i="20"/>
  <c r="AJ553" i="20"/>
  <c r="AR553" i="20"/>
  <c r="AZ553" i="20"/>
  <c r="BH553" i="20"/>
  <c r="BP553" i="20"/>
  <c r="N553" i="20"/>
  <c r="R553" i="20"/>
  <c r="V553" i="20"/>
  <c r="Z553" i="20"/>
  <c r="AD553" i="20"/>
  <c r="AH553" i="20"/>
  <c r="AL553" i="20"/>
  <c r="AP553" i="20"/>
  <c r="AT553" i="20"/>
  <c r="AX553" i="20"/>
  <c r="BB553" i="20"/>
  <c r="BF553" i="20"/>
  <c r="BJ553" i="20"/>
  <c r="BN553" i="20"/>
  <c r="BR553" i="20"/>
  <c r="O553" i="20"/>
  <c r="S553" i="20"/>
  <c r="W553" i="20"/>
  <c r="AA553" i="20"/>
  <c r="AE553" i="20"/>
  <c r="AI553" i="20"/>
  <c r="AM553" i="20"/>
  <c r="AQ553" i="20"/>
  <c r="AU553" i="20"/>
  <c r="AY553" i="20"/>
  <c r="BC553" i="20"/>
  <c r="BG553" i="20"/>
  <c r="BK553" i="20"/>
  <c r="BO553" i="20"/>
  <c r="BS553" i="20"/>
  <c r="P553" i="20"/>
  <c r="X553" i="20"/>
  <c r="AB553" i="20"/>
  <c r="AF553" i="20"/>
  <c r="AN553" i="20"/>
  <c r="AV553" i="20"/>
  <c r="BD553" i="20"/>
  <c r="BL553" i="20"/>
  <c r="I557" i="20"/>
  <c r="Z287" i="23"/>
  <c r="Z260" i="23"/>
  <c r="Z252" i="23"/>
  <c r="AA250" i="23" s="1"/>
  <c r="Z274" i="23"/>
  <c r="Z276" i="23" s="1"/>
  <c r="Z293" i="23"/>
  <c r="Z258" i="23"/>
  <c r="AA256" i="23" s="1"/>
  <c r="I556" i="11"/>
  <c r="I528" i="11"/>
  <c r="I555" i="11"/>
  <c r="I317" i="20"/>
  <c r="BM298" i="9"/>
  <c r="BM307" i="9" s="1"/>
  <c r="BN286" i="9"/>
  <c r="BP255" i="9"/>
  <c r="BP257" i="9" s="1"/>
  <c r="BP261" i="9" s="1"/>
  <c r="BO264" i="9"/>
  <c r="BP262" i="9" s="1"/>
  <c r="BO267" i="9"/>
  <c r="BN272" i="9"/>
  <c r="BN273" i="9" s="1"/>
  <c r="BN301" i="9"/>
  <c r="BN303" i="9" s="1"/>
  <c r="BN304" i="9" s="1"/>
  <c r="BQ240" i="9"/>
  <c r="BR238" i="9" s="1"/>
  <c r="BR273" i="18"/>
  <c r="BS271" i="18" s="1"/>
  <c r="BR276" i="18"/>
  <c r="BR279" i="18" s="1"/>
  <c r="BR285" i="18" s="1"/>
  <c r="BR286" i="18" s="1"/>
  <c r="BS266" i="18"/>
  <c r="I275" i="20"/>
  <c r="L525" i="20" a="1"/>
  <c r="L526" i="20"/>
  <c r="L553" i="20" s="1"/>
  <c r="BQ314" i="18"/>
  <c r="BQ316" i="18" s="1"/>
  <c r="BQ317" i="18" s="1"/>
  <c r="BS312" i="11"/>
  <c r="L530" i="11" s="1" a="1"/>
  <c r="L328" i="11" a="1"/>
  <c r="L328" i="11" s="1"/>
  <c r="L322" i="11" a="1"/>
  <c r="BQ243" i="9"/>
  <c r="BQ245" i="9" s="1"/>
  <c r="BM269" i="10"/>
  <c r="BO257" i="10"/>
  <c r="BO259" i="10" s="1"/>
  <c r="BO263" i="10"/>
  <c r="BO265" i="10" s="1"/>
  <c r="BO266" i="10" s="1"/>
  <c r="BP226" i="10"/>
  <c r="BP229" i="10" s="1"/>
  <c r="BP246" i="10" s="1"/>
  <c r="BN268" i="10"/>
  <c r="BN260" i="10"/>
  <c r="BN269" i="10" s="1"/>
  <c r="BM268" i="10"/>
  <c r="L237" i="8" a="1"/>
  <c r="I220" i="8"/>
  <c r="H220" i="8" s="1"/>
  <c r="BS223" i="8"/>
  <c r="BS225" i="8" s="1"/>
  <c r="L274" i="8" a="1"/>
  <c r="L267" i="8" a="1"/>
  <c r="BN315" i="5"/>
  <c r="AJ310" i="5"/>
  <c r="BA315" i="5"/>
  <c r="BS310" i="5"/>
  <c r="W315" i="5"/>
  <c r="BG315" i="5"/>
  <c r="BQ315" i="5"/>
  <c r="AM315" i="5"/>
  <c r="BE310" i="5"/>
  <c r="X310" i="5"/>
  <c r="AZ310" i="5"/>
  <c r="AY315" i="5"/>
  <c r="AO315" i="5"/>
  <c r="BH315" i="5"/>
  <c r="AG315" i="5"/>
  <c r="BF315" i="5"/>
  <c r="T315" i="5"/>
  <c r="AO310" i="5"/>
  <c r="BJ315" i="5"/>
  <c r="N315" i="5"/>
  <c r="X315" i="5"/>
  <c r="BH310" i="5"/>
  <c r="BF310" i="5"/>
  <c r="BQ310" i="5"/>
  <c r="AF310" i="5"/>
  <c r="AK310" i="5"/>
  <c r="BS315" i="5"/>
  <c r="AR315" i="5"/>
  <c r="BG310" i="5"/>
  <c r="AH315" i="5"/>
  <c r="AW310" i="5"/>
  <c r="BD315" i="5"/>
  <c r="N310" i="5"/>
  <c r="AH310" i="5"/>
  <c r="BR310" i="5"/>
  <c r="AA310" i="5"/>
  <c r="AI310" i="5"/>
  <c r="S310" i="5"/>
  <c r="BL315" i="5"/>
  <c r="AT315" i="5"/>
  <c r="Z310" i="5"/>
  <c r="AV310" i="5"/>
  <c r="BK315" i="5"/>
  <c r="BO310" i="5"/>
  <c r="O315" i="5"/>
  <c r="BC315" i="5"/>
  <c r="BR315" i="5"/>
  <c r="AN310" i="5"/>
  <c r="V310" i="5"/>
  <c r="Q315" i="5"/>
  <c r="BE315" i="5"/>
  <c r="U315" i="5"/>
  <c r="AL315" i="5"/>
  <c r="AK315" i="5"/>
  <c r="M310" i="5"/>
  <c r="L300" i="5"/>
  <c r="I298" i="5"/>
  <c r="R315" i="5"/>
  <c r="BM315" i="5"/>
  <c r="AQ310" i="5"/>
  <c r="AI315" i="5"/>
  <c r="AG310" i="5"/>
  <c r="AC315" i="5"/>
  <c r="AF315" i="5"/>
  <c r="BK310" i="5"/>
  <c r="AM310" i="5"/>
  <c r="AU315" i="5"/>
  <c r="Y310" i="5"/>
  <c r="L309" i="5"/>
  <c r="I309" i="5" s="1"/>
  <c r="I289" i="5"/>
  <c r="L291" i="5"/>
  <c r="I291" i="5" s="1"/>
  <c r="L308" i="5"/>
  <c r="AK395" i="5"/>
  <c r="AK411" i="5" s="1"/>
  <c r="AP395" i="5"/>
  <c r="AP411" i="5" s="1"/>
  <c r="AU395" i="5"/>
  <c r="AU411" i="5" s="1"/>
  <c r="AZ395" i="5"/>
  <c r="AZ411" i="5" s="1"/>
  <c r="BE395" i="5"/>
  <c r="BE411" i="5" s="1"/>
  <c r="M395" i="5"/>
  <c r="M411" i="5" s="1"/>
  <c r="R395" i="5"/>
  <c r="R411" i="5" s="1"/>
  <c r="W395" i="5"/>
  <c r="W411" i="5" s="1"/>
  <c r="AB395" i="5"/>
  <c r="AB411" i="5" s="1"/>
  <c r="AI395" i="5"/>
  <c r="AI411" i="5" s="1"/>
  <c r="AG395" i="5"/>
  <c r="AG411" i="5" s="1"/>
  <c r="BL395" i="5"/>
  <c r="BL411" i="5" s="1"/>
  <c r="BD395" i="5"/>
  <c r="BD411" i="5" s="1"/>
  <c r="AA395" i="5"/>
  <c r="AA411" i="5" s="1"/>
  <c r="AY395" i="5"/>
  <c r="AY411" i="5" s="1"/>
  <c r="BQ395" i="5"/>
  <c r="BQ411" i="5" s="1"/>
  <c r="AE395" i="5"/>
  <c r="AE411" i="5" s="1"/>
  <c r="BP395" i="5"/>
  <c r="BP411" i="5" s="1"/>
  <c r="AD395" i="5"/>
  <c r="AD411" i="5" s="1"/>
  <c r="BI395" i="5"/>
  <c r="BI411" i="5" s="1"/>
  <c r="AM395" i="5"/>
  <c r="AM411" i="5" s="1"/>
  <c r="V395" i="5"/>
  <c r="V411" i="5" s="1"/>
  <c r="BH395" i="5"/>
  <c r="BH411" i="5" s="1"/>
  <c r="X395" i="5"/>
  <c r="X411" i="5" s="1"/>
  <c r="P395" i="5"/>
  <c r="P411" i="5" s="1"/>
  <c r="S395" i="5"/>
  <c r="S411" i="5" s="1"/>
  <c r="O395" i="5"/>
  <c r="O411" i="5" s="1"/>
  <c r="N395" i="5"/>
  <c r="N411" i="5" s="1"/>
  <c r="BN395" i="5"/>
  <c r="BN411" i="5" s="1"/>
  <c r="AN395" i="5"/>
  <c r="AN411" i="5" s="1"/>
  <c r="AL395" i="5"/>
  <c r="AL411" i="5" s="1"/>
  <c r="Z395" i="5"/>
  <c r="Z411" i="5" s="1"/>
  <c r="BK395" i="5"/>
  <c r="BK411" i="5" s="1"/>
  <c r="L393" i="5"/>
  <c r="Y395" i="5"/>
  <c r="Y411" i="5" s="1"/>
  <c r="AH395" i="5"/>
  <c r="AH411" i="5" s="1"/>
  <c r="BC395" i="5"/>
  <c r="BC411" i="5" s="1"/>
  <c r="BJ395" i="5"/>
  <c r="BJ411" i="5" s="1"/>
  <c r="BR395" i="5"/>
  <c r="BR411" i="5" s="1"/>
  <c r="BB395" i="5"/>
  <c r="BB411" i="5" s="1"/>
  <c r="AV395" i="5"/>
  <c r="AV411" i="5" s="1"/>
  <c r="BM395" i="5"/>
  <c r="BM411" i="5" s="1"/>
  <c r="U395" i="5"/>
  <c r="U411" i="5" s="1"/>
  <c r="BF395" i="5"/>
  <c r="BF411" i="5" s="1"/>
  <c r="T395" i="5"/>
  <c r="T411" i="5" s="1"/>
  <c r="AO395" i="5"/>
  <c r="AO411" i="5" s="1"/>
  <c r="AC395" i="5"/>
  <c r="AC411" i="5" s="1"/>
  <c r="AX395" i="5"/>
  <c r="AX411" i="5" s="1"/>
  <c r="BS395" i="5"/>
  <c r="BS411" i="5" s="1"/>
  <c r="BO395" i="5"/>
  <c r="BO411" i="5" s="1"/>
  <c r="AQ395" i="5"/>
  <c r="AQ411" i="5" s="1"/>
  <c r="BG395" i="5"/>
  <c r="BG411" i="5" s="1"/>
  <c r="AW395" i="5"/>
  <c r="AW411" i="5" s="1"/>
  <c r="AF395" i="5"/>
  <c r="AF411" i="5" s="1"/>
  <c r="BA395" i="5"/>
  <c r="BA411" i="5" s="1"/>
  <c r="AJ395" i="5"/>
  <c r="AJ411" i="5" s="1"/>
  <c r="AS395" i="5"/>
  <c r="AS411" i="5" s="1"/>
  <c r="Q395" i="5"/>
  <c r="Q411" i="5" s="1"/>
  <c r="AR395" i="5"/>
  <c r="AR411" i="5" s="1"/>
  <c r="AT395" i="5"/>
  <c r="AT411" i="5" s="1"/>
  <c r="I303" i="5"/>
  <c r="L305" i="5"/>
  <c r="I305" i="5" s="1"/>
  <c r="AA315" i="5"/>
  <c r="AV315" i="5"/>
  <c r="AR310" i="5"/>
  <c r="U310" i="5"/>
  <c r="BI315" i="5"/>
  <c r="AZ315" i="5"/>
  <c r="L497" i="5"/>
  <c r="I497" i="5" s="1"/>
  <c r="L498" i="5"/>
  <c r="I498" i="5" s="1"/>
  <c r="I505" i="5" s="1"/>
  <c r="I495" i="5"/>
  <c r="I503" i="5" s="1"/>
  <c r="AX310" i="5"/>
  <c r="AJ315" i="5"/>
  <c r="P310" i="5"/>
  <c r="BP315" i="5"/>
  <c r="L345" i="5"/>
  <c r="L346" i="5" s="1"/>
  <c r="M343" i="5" s="1"/>
  <c r="L333" i="5"/>
  <c r="I299" i="5"/>
  <c r="L339" i="5"/>
  <c r="L340" i="5" s="1"/>
  <c r="M337" i="5" s="1"/>
  <c r="I290" i="5"/>
  <c r="L314" i="5"/>
  <c r="I314" i="5" s="1"/>
  <c r="L313" i="5"/>
  <c r="BD310" i="5"/>
  <c r="BA310" i="5"/>
  <c r="AD310" i="5"/>
  <c r="AB310" i="5"/>
  <c r="BN310" i="5"/>
  <c r="Q310" i="5"/>
  <c r="BM310" i="5"/>
  <c r="P315" i="5"/>
  <c r="T310" i="5"/>
  <c r="BC310" i="5"/>
  <c r="AN315" i="5"/>
  <c r="S315" i="5"/>
  <c r="R310" i="5"/>
  <c r="W310" i="5"/>
  <c r="Y315" i="5"/>
  <c r="AD315" i="5"/>
  <c r="AP315" i="5"/>
  <c r="BL310" i="5"/>
  <c r="AY310" i="5"/>
  <c r="BP310" i="5"/>
  <c r="AS310" i="5"/>
  <c r="BO315" i="5"/>
  <c r="V315" i="5"/>
  <c r="AX315" i="5"/>
  <c r="M315" i="5"/>
  <c r="AP310" i="5"/>
  <c r="AU310" i="5"/>
  <c r="AW315" i="5"/>
  <c r="O310" i="5"/>
  <c r="AL310" i="5"/>
  <c r="AS315" i="5"/>
  <c r="AC310" i="5"/>
  <c r="AE315" i="5"/>
  <c r="BI310" i="5"/>
  <c r="BB315" i="5"/>
  <c r="AQ315" i="5"/>
  <c r="AB315" i="5"/>
  <c r="AE310" i="5"/>
  <c r="AT310" i="5"/>
  <c r="BB310" i="5"/>
  <c r="Z315" i="5"/>
  <c r="BJ310" i="5"/>
  <c r="M552" i="20" l="1"/>
  <c r="Q552" i="20"/>
  <c r="U552" i="20"/>
  <c r="Y552" i="20"/>
  <c r="AC552" i="20"/>
  <c r="AG552" i="20"/>
  <c r="AK552" i="20"/>
  <c r="AO552" i="20"/>
  <c r="AS552" i="20"/>
  <c r="AW552" i="20"/>
  <c r="BA552" i="20"/>
  <c r="BE552" i="20"/>
  <c r="BI552" i="20"/>
  <c r="BM552" i="20"/>
  <c r="BQ552" i="20"/>
  <c r="O552" i="20"/>
  <c r="W552" i="20"/>
  <c r="AE552" i="20"/>
  <c r="AQ552" i="20"/>
  <c r="AY552" i="20"/>
  <c r="BG552" i="20"/>
  <c r="BO552" i="20"/>
  <c r="P552" i="20"/>
  <c r="X552" i="20"/>
  <c r="AB552" i="20"/>
  <c r="AF552" i="20"/>
  <c r="AN552" i="20"/>
  <c r="AV552" i="20"/>
  <c r="BD552" i="20"/>
  <c r="BL552" i="20"/>
  <c r="N552" i="20"/>
  <c r="R552" i="20"/>
  <c r="V552" i="20"/>
  <c r="Z552" i="20"/>
  <c r="AD552" i="20"/>
  <c r="AH552" i="20"/>
  <c r="AL552" i="20"/>
  <c r="AP552" i="20"/>
  <c r="AT552" i="20"/>
  <c r="AX552" i="20"/>
  <c r="BB552" i="20"/>
  <c r="BF552" i="20"/>
  <c r="BJ552" i="20"/>
  <c r="BN552" i="20"/>
  <c r="BR552" i="20"/>
  <c r="S552" i="20"/>
  <c r="AA552" i="20"/>
  <c r="AI552" i="20"/>
  <c r="AM552" i="20"/>
  <c r="AU552" i="20"/>
  <c r="BC552" i="20"/>
  <c r="BK552" i="20"/>
  <c r="BS552" i="20"/>
  <c r="T552" i="20"/>
  <c r="AJ552" i="20"/>
  <c r="AR552" i="20"/>
  <c r="AZ552" i="20"/>
  <c r="BH552" i="20"/>
  <c r="BP552" i="20"/>
  <c r="Z302" i="23"/>
  <c r="Z328" i="23" s="1"/>
  <c r="Z317" i="23"/>
  <c r="Z277" i="23"/>
  <c r="Z280" i="23"/>
  <c r="Z282" i="23" s="1"/>
  <c r="BN295" i="9"/>
  <c r="BN297" i="9" s="1"/>
  <c r="BN298" i="9" s="1"/>
  <c r="BN307" i="9" s="1"/>
  <c r="BO270" i="9"/>
  <c r="BO301" i="9" s="1"/>
  <c r="BO303" i="9" s="1"/>
  <c r="BO304" i="9" s="1"/>
  <c r="P562" i="11"/>
  <c r="T562" i="11"/>
  <c r="X562" i="11"/>
  <c r="AB562" i="11"/>
  <c r="AF562" i="11"/>
  <c r="AJ562" i="11"/>
  <c r="AN562" i="11"/>
  <c r="AR562" i="11"/>
  <c r="AV562" i="11"/>
  <c r="AZ562" i="11"/>
  <c r="BD562" i="11"/>
  <c r="BH562" i="11"/>
  <c r="BL562" i="11"/>
  <c r="BP562" i="11"/>
  <c r="M562" i="11"/>
  <c r="Q562" i="11"/>
  <c r="U562" i="11"/>
  <c r="Y562" i="11"/>
  <c r="AC562" i="11"/>
  <c r="AG562" i="11"/>
  <c r="AK562" i="11"/>
  <c r="AO562" i="11"/>
  <c r="AS562" i="11"/>
  <c r="AW562" i="11"/>
  <c r="BA562" i="11"/>
  <c r="BE562" i="11"/>
  <c r="BI562" i="11"/>
  <c r="BM562" i="11"/>
  <c r="BQ562" i="11"/>
  <c r="N562" i="11"/>
  <c r="R562" i="11"/>
  <c r="V562" i="11"/>
  <c r="Z562" i="11"/>
  <c r="AD562" i="11"/>
  <c r="AH562" i="11"/>
  <c r="AL562" i="11"/>
  <c r="AP562" i="11"/>
  <c r="AT562" i="11"/>
  <c r="AX562" i="11"/>
  <c r="BB562" i="11"/>
  <c r="BF562" i="11"/>
  <c r="BJ562" i="11"/>
  <c r="BN562" i="11"/>
  <c r="BR562" i="11"/>
  <c r="O562" i="11"/>
  <c r="S562" i="11"/>
  <c r="W562" i="11"/>
  <c r="AA562" i="11"/>
  <c r="AE562" i="11"/>
  <c r="AI562" i="11"/>
  <c r="AM562" i="11"/>
  <c r="AQ562" i="11"/>
  <c r="AU562" i="11"/>
  <c r="AY562" i="11"/>
  <c r="BC562" i="11"/>
  <c r="BG562" i="11"/>
  <c r="BK562" i="11"/>
  <c r="BO562" i="11"/>
  <c r="BS562" i="11"/>
  <c r="L322" i="11"/>
  <c r="L562" i="11" s="1"/>
  <c r="L530" i="11"/>
  <c r="I559" i="20"/>
  <c r="BN288" i="9"/>
  <c r="BN289" i="9" s="1"/>
  <c r="BO284" i="9"/>
  <c r="BO286" i="9" s="1"/>
  <c r="BP263" i="9"/>
  <c r="BQ249" i="9"/>
  <c r="BQ251" i="9" s="1"/>
  <c r="BQ252" i="9" s="1"/>
  <c r="BR250" i="9" s="1"/>
  <c r="BP258" i="9"/>
  <c r="BQ256" i="9" s="1"/>
  <c r="BR314" i="18"/>
  <c r="BR316" i="18" s="1"/>
  <c r="BR317" i="18" s="1"/>
  <c r="BS270" i="18"/>
  <c r="I270" i="18" s="1"/>
  <c r="I266" i="18"/>
  <c r="H266" i="18" s="1"/>
  <c r="BS267" i="18"/>
  <c r="L525" i="20"/>
  <c r="L552" i="20" s="1"/>
  <c r="X239" i="8"/>
  <c r="AO239" i="8"/>
  <c r="T239" i="8"/>
  <c r="O239" i="8"/>
  <c r="BQ239" i="8"/>
  <c r="BD239" i="8"/>
  <c r="Y239" i="8"/>
  <c r="P239" i="8"/>
  <c r="BR239" i="8"/>
  <c r="BM239" i="8"/>
  <c r="AN239" i="8"/>
  <c r="BH239" i="8"/>
  <c r="BC239" i="8"/>
  <c r="AX239" i="8"/>
  <c r="AS239" i="8"/>
  <c r="AY239" i="8"/>
  <c r="BP239" i="8"/>
  <c r="BK239" i="8"/>
  <c r="BF239" i="8"/>
  <c r="BA239" i="8"/>
  <c r="BO239" i="8"/>
  <c r="BL239" i="8"/>
  <c r="BG239" i="8"/>
  <c r="BB239" i="8"/>
  <c r="AW239" i="8"/>
  <c r="AI239" i="8"/>
  <c r="AR239" i="8"/>
  <c r="AM239" i="8"/>
  <c r="AH239" i="8"/>
  <c r="AC239" i="8"/>
  <c r="S239" i="8"/>
  <c r="AZ239" i="8"/>
  <c r="AU239" i="8"/>
  <c r="AP239" i="8"/>
  <c r="AK239" i="8"/>
  <c r="BJ239" i="8"/>
  <c r="AV239" i="8"/>
  <c r="AQ239" i="8"/>
  <c r="AL239" i="8"/>
  <c r="AG239" i="8"/>
  <c r="AT239" i="8"/>
  <c r="AB239" i="8"/>
  <c r="W239" i="8"/>
  <c r="R239" i="8"/>
  <c r="M239" i="8"/>
  <c r="N239" i="8"/>
  <c r="AJ239" i="8"/>
  <c r="AE239" i="8"/>
  <c r="Z239" i="8"/>
  <c r="U239" i="8"/>
  <c r="AD239" i="8"/>
  <c r="AF239" i="8"/>
  <c r="AA239" i="8"/>
  <c r="V239" i="8"/>
  <c r="Q239" i="8"/>
  <c r="BE239" i="8"/>
  <c r="BS239" i="8"/>
  <c r="BN239" i="8"/>
  <c r="BI239" i="8"/>
  <c r="I312" i="11"/>
  <c r="I419" i="5"/>
  <c r="BL329" i="11"/>
  <c r="BL347" i="11" s="1"/>
  <c r="AL329" i="11"/>
  <c r="AL347" i="11" s="1"/>
  <c r="AR329" i="11"/>
  <c r="AR346" i="11" s="1"/>
  <c r="AY329" i="11"/>
  <c r="AY333" i="11" s="1"/>
  <c r="BN329" i="11"/>
  <c r="BN346" i="11" s="1"/>
  <c r="AF329" i="11"/>
  <c r="AF347" i="11" s="1"/>
  <c r="M329" i="11"/>
  <c r="M347" i="11" s="1"/>
  <c r="AK329" i="11"/>
  <c r="AK347" i="11" s="1"/>
  <c r="AM329" i="11"/>
  <c r="AM347" i="11" s="1"/>
  <c r="P329" i="11"/>
  <c r="P333" i="11" s="1"/>
  <c r="AJ329" i="11"/>
  <c r="AJ346" i="11" s="1"/>
  <c r="BP329" i="11"/>
  <c r="BP346" i="11" s="1"/>
  <c r="AP329" i="11"/>
  <c r="AP347" i="11" s="1"/>
  <c r="AQ329" i="11"/>
  <c r="AQ347" i="11" s="1"/>
  <c r="BK329" i="11"/>
  <c r="BK333" i="11" s="1"/>
  <c r="Y329" i="11"/>
  <c r="Y346" i="11" s="1"/>
  <c r="Q329" i="11"/>
  <c r="Q333" i="11" s="1"/>
  <c r="BI323" i="11"/>
  <c r="AH329" i="11"/>
  <c r="AH346" i="11" s="1"/>
  <c r="N329" i="11"/>
  <c r="N347" i="11" s="1"/>
  <c r="BM329" i="11"/>
  <c r="BM347" i="11" s="1"/>
  <c r="U329" i="11"/>
  <c r="U333" i="11" s="1"/>
  <c r="AN329" i="11"/>
  <c r="AN346" i="11" s="1"/>
  <c r="T329" i="11"/>
  <c r="T346" i="11" s="1"/>
  <c r="AN323" i="11"/>
  <c r="AN332" i="11" s="1"/>
  <c r="AI323" i="11"/>
  <c r="BQ329" i="11"/>
  <c r="BQ347" i="11" s="1"/>
  <c r="BH329" i="11"/>
  <c r="BH333" i="11" s="1"/>
  <c r="AS329" i="11"/>
  <c r="AS347" i="11" s="1"/>
  <c r="R329" i="11"/>
  <c r="R347" i="11" s="1"/>
  <c r="X329" i="11"/>
  <c r="X333" i="11" s="1"/>
  <c r="Z329" i="11"/>
  <c r="Z347" i="11" s="1"/>
  <c r="BF323" i="11"/>
  <c r="BF332" i="11" s="1"/>
  <c r="AC329" i="11"/>
  <c r="AC333" i="11" s="1"/>
  <c r="AE329" i="11"/>
  <c r="AE347" i="11" s="1"/>
  <c r="BF329" i="11"/>
  <c r="BF333" i="11" s="1"/>
  <c r="BC329" i="11"/>
  <c r="BC333" i="11" s="1"/>
  <c r="AT329" i="11"/>
  <c r="AT333" i="11" s="1"/>
  <c r="BR329" i="11"/>
  <c r="BR347" i="11" s="1"/>
  <c r="BO329" i="11"/>
  <c r="BO347" i="11" s="1"/>
  <c r="AX329" i="11"/>
  <c r="AX347" i="11" s="1"/>
  <c r="AA329" i="11"/>
  <c r="AA333" i="11" s="1"/>
  <c r="V323" i="11"/>
  <c r="AO323" i="11"/>
  <c r="AO332" i="11" s="1"/>
  <c r="AK323" i="11"/>
  <c r="R323" i="11"/>
  <c r="P323" i="11"/>
  <c r="AA323" i="11"/>
  <c r="AA332" i="11" s="1"/>
  <c r="AQ323" i="11"/>
  <c r="M323" i="11"/>
  <c r="AD323" i="11"/>
  <c r="AD332" i="11" s="1"/>
  <c r="BE329" i="11"/>
  <c r="BE347" i="11" s="1"/>
  <c r="BS329" i="11"/>
  <c r="BS333" i="11" s="1"/>
  <c r="BL323" i="11"/>
  <c r="AE323" i="11"/>
  <c r="AE332" i="11" s="1"/>
  <c r="BG323" i="11"/>
  <c r="AU323" i="11"/>
  <c r="AU332" i="11" s="1"/>
  <c r="BN323" i="11"/>
  <c r="BN332" i="11" s="1"/>
  <c r="O323" i="11"/>
  <c r="O332" i="11" s="1"/>
  <c r="BI329" i="11"/>
  <c r="BI347" i="11" s="1"/>
  <c r="BB329" i="11"/>
  <c r="BB333" i="11" s="1"/>
  <c r="AO329" i="11"/>
  <c r="AO333" i="11" s="1"/>
  <c r="BG329" i="11"/>
  <c r="BG346" i="11" s="1"/>
  <c r="Z323" i="11"/>
  <c r="Z332" i="11" s="1"/>
  <c r="AW323" i="11"/>
  <c r="W323" i="11"/>
  <c r="W332" i="11" s="1"/>
  <c r="AF323" i="11"/>
  <c r="BR323" i="11"/>
  <c r="AC323" i="11"/>
  <c r="AC332" i="11" s="1"/>
  <c r="Q323" i="11"/>
  <c r="Q332" i="11" s="1"/>
  <c r="AV323" i="11"/>
  <c r="BH323" i="11"/>
  <c r="N323" i="11"/>
  <c r="N332" i="11" s="1"/>
  <c r="BB323" i="11"/>
  <c r="BB332" i="11" s="1"/>
  <c r="AB323" i="11"/>
  <c r="AB332" i="11" s="1"/>
  <c r="BE323" i="11"/>
  <c r="AG323" i="11"/>
  <c r="Y323" i="11"/>
  <c r="Y332" i="11" s="1"/>
  <c r="BP323" i="11"/>
  <c r="BP332" i="11" s="1"/>
  <c r="BA323" i="11"/>
  <c r="BM323" i="11"/>
  <c r="AR323" i="11"/>
  <c r="AR332" i="11" s="1"/>
  <c r="BQ323" i="11"/>
  <c r="BD323" i="11"/>
  <c r="BD332" i="11" s="1"/>
  <c r="X323" i="11"/>
  <c r="X332" i="11" s="1"/>
  <c r="AS323" i="11"/>
  <c r="AT323" i="11"/>
  <c r="T323" i="11"/>
  <c r="AH323" i="11"/>
  <c r="AH332" i="11" s="1"/>
  <c r="AL323" i="11"/>
  <c r="S323" i="11"/>
  <c r="BO323" i="11"/>
  <c r="AX323" i="11"/>
  <c r="BJ323" i="11"/>
  <c r="BS323" i="11"/>
  <c r="U323" i="11"/>
  <c r="AM323" i="11"/>
  <c r="AM332" i="11" s="1"/>
  <c r="BK323" i="11"/>
  <c r="AD329" i="11"/>
  <c r="AD347" i="11" s="1"/>
  <c r="S329" i="11"/>
  <c r="S346" i="11" s="1"/>
  <c r="AZ329" i="11"/>
  <c r="AZ346" i="11" s="1"/>
  <c r="V329" i="11"/>
  <c r="V347" i="11" s="1"/>
  <c r="AV329" i="11"/>
  <c r="AV347" i="11" s="1"/>
  <c r="AB329" i="11"/>
  <c r="AB333" i="11" s="1"/>
  <c r="BD329" i="11"/>
  <c r="BD347" i="11" s="1"/>
  <c r="BA329" i="11"/>
  <c r="BA347" i="11" s="1"/>
  <c r="W329" i="11"/>
  <c r="W347" i="11" s="1"/>
  <c r="AI329" i="11"/>
  <c r="AI347" i="11" s="1"/>
  <c r="AU329" i="11"/>
  <c r="AU347" i="11" s="1"/>
  <c r="AG329" i="11"/>
  <c r="AG347" i="11" s="1"/>
  <c r="BJ329" i="11"/>
  <c r="BJ346" i="11" s="1"/>
  <c r="O329" i="11"/>
  <c r="O333" i="11" s="1"/>
  <c r="AW329" i="11"/>
  <c r="AW333" i="11" s="1"/>
  <c r="AJ323" i="11"/>
  <c r="BC323" i="11"/>
  <c r="BC332" i="11" s="1"/>
  <c r="AY323" i="11"/>
  <c r="AP323" i="11"/>
  <c r="AZ323" i="11"/>
  <c r="AZ332" i="11" s="1"/>
  <c r="BQ246" i="9"/>
  <c r="BR244" i="9" s="1"/>
  <c r="BR239" i="9"/>
  <c r="BS237" i="9"/>
  <c r="I237" i="9" s="1"/>
  <c r="I328" i="11"/>
  <c r="L329" i="11"/>
  <c r="M538" i="11"/>
  <c r="BI538" i="11"/>
  <c r="T538" i="11"/>
  <c r="BH538" i="11"/>
  <c r="BJ538" i="11"/>
  <c r="AX538" i="11"/>
  <c r="AZ538" i="11"/>
  <c r="AI538" i="11"/>
  <c r="BD538" i="11"/>
  <c r="AU538" i="11"/>
  <c r="AS538" i="11"/>
  <c r="W538" i="11"/>
  <c r="BN538" i="11"/>
  <c r="AK538" i="11"/>
  <c r="AF538" i="11"/>
  <c r="AP538" i="11"/>
  <c r="AA538" i="11"/>
  <c r="BS538" i="11"/>
  <c r="AN538" i="11"/>
  <c r="AW538" i="11"/>
  <c r="R538" i="11"/>
  <c r="U538" i="11"/>
  <c r="BE538" i="11"/>
  <c r="AQ538" i="11"/>
  <c r="V538" i="11"/>
  <c r="X538" i="11"/>
  <c r="AD538" i="11"/>
  <c r="P538" i="11"/>
  <c r="O538" i="11"/>
  <c r="AR538" i="11"/>
  <c r="AM538" i="11"/>
  <c r="AJ538" i="11"/>
  <c r="AH538" i="11"/>
  <c r="S538" i="11"/>
  <c r="Q538" i="11"/>
  <c r="BA538" i="11"/>
  <c r="AT538" i="11"/>
  <c r="BM538" i="11"/>
  <c r="BP538" i="11"/>
  <c r="BF538" i="11"/>
  <c r="BC538" i="11"/>
  <c r="Y538" i="11"/>
  <c r="AE538" i="11"/>
  <c r="AG538" i="11"/>
  <c r="BR538" i="11"/>
  <c r="AB538" i="11"/>
  <c r="BQ538" i="11"/>
  <c r="AY538" i="11"/>
  <c r="BG538" i="11"/>
  <c r="BL538" i="11"/>
  <c r="BK538" i="11"/>
  <c r="BB538" i="11"/>
  <c r="AO538" i="11"/>
  <c r="Z538" i="11"/>
  <c r="AC538" i="11"/>
  <c r="BO538" i="11"/>
  <c r="N538" i="11"/>
  <c r="AL538" i="11"/>
  <c r="AV538" i="11"/>
  <c r="BO260" i="10"/>
  <c r="BO269" i="10" s="1"/>
  <c r="BO268" i="10"/>
  <c r="BP232" i="10"/>
  <c r="BP234" i="10" s="1"/>
  <c r="BP227" i="10"/>
  <c r="BQ225" i="10" s="1"/>
  <c r="BQ226" i="10" s="1"/>
  <c r="BQ227" i="10" s="1"/>
  <c r="BR225" i="10" s="1"/>
  <c r="BS224" i="10" s="1"/>
  <c r="BP248" i="10"/>
  <c r="L237" i="8"/>
  <c r="BS254" i="8"/>
  <c r="BS256" i="8" s="1"/>
  <c r="I256" i="8" s="1"/>
  <c r="L268" i="8" a="1"/>
  <c r="L268" i="8" s="1"/>
  <c r="I268" i="8" s="1"/>
  <c r="L275" i="8" a="1"/>
  <c r="L275" i="8" s="1"/>
  <c r="I275" i="8" s="1"/>
  <c r="I223" i="8"/>
  <c r="I225" i="8"/>
  <c r="BS226" i="8"/>
  <c r="L267" i="8"/>
  <c r="L274" i="8"/>
  <c r="M339" i="5"/>
  <c r="M340" i="5" s="1"/>
  <c r="N337" i="5" s="1"/>
  <c r="L395" i="5"/>
  <c r="I393" i="5"/>
  <c r="L334" i="5"/>
  <c r="M331" i="5" s="1"/>
  <c r="L349" i="5"/>
  <c r="I313" i="5"/>
  <c r="L315" i="5"/>
  <c r="I315" i="5" s="1"/>
  <c r="M345" i="5"/>
  <c r="M346" i="5" s="1"/>
  <c r="N343" i="5" s="1"/>
  <c r="L310" i="5"/>
  <c r="I310" i="5" s="1"/>
  <c r="I308" i="5"/>
  <c r="I553" i="20" l="1"/>
  <c r="Z330" i="23"/>
  <c r="Z283" i="23"/>
  <c r="Z292" i="23"/>
  <c r="Z286" i="23"/>
  <c r="BN306" i="9"/>
  <c r="BO272" i="9"/>
  <c r="BO273" i="9" s="1"/>
  <c r="I322" i="11"/>
  <c r="L323" i="11"/>
  <c r="L332" i="11" s="1"/>
  <c r="I557" i="11"/>
  <c r="I562" i="11"/>
  <c r="BL342" i="11"/>
  <c r="BL332" i="11"/>
  <c r="BL352" i="11" s="1"/>
  <c r="R341" i="11"/>
  <c r="R332" i="11"/>
  <c r="R352" i="11" s="1"/>
  <c r="AP342" i="11"/>
  <c r="AP332" i="11"/>
  <c r="AP352" i="11" s="1"/>
  <c r="AX342" i="11"/>
  <c r="AX332" i="11"/>
  <c r="AX351" i="11" s="1"/>
  <c r="BM341" i="11"/>
  <c r="BM332" i="11"/>
  <c r="BM351" i="11" s="1"/>
  <c r="AG342" i="11"/>
  <c r="AG332" i="11"/>
  <c r="AG352" i="11" s="1"/>
  <c r="AW342" i="11"/>
  <c r="AW332" i="11"/>
  <c r="AW352" i="11" s="1"/>
  <c r="AQ342" i="11"/>
  <c r="AQ332" i="11"/>
  <c r="AK342" i="11"/>
  <c r="AK332" i="11"/>
  <c r="AK351" i="11" s="1"/>
  <c r="AJ342" i="11"/>
  <c r="AJ332" i="11"/>
  <c r="AJ351" i="11" s="1"/>
  <c r="BK342" i="11"/>
  <c r="BK332" i="11"/>
  <c r="BK351" i="11" s="1"/>
  <c r="BJ341" i="11"/>
  <c r="BJ332" i="11"/>
  <c r="BJ352" i="11" s="1"/>
  <c r="AL342" i="11"/>
  <c r="AL332" i="11"/>
  <c r="AL352" i="11" s="1"/>
  <c r="AS341" i="11"/>
  <c r="AS332" i="11"/>
  <c r="AS352" i="11" s="1"/>
  <c r="M342" i="11"/>
  <c r="M332" i="11"/>
  <c r="AI342" i="11"/>
  <c r="AI332" i="11"/>
  <c r="AI351" i="11" s="1"/>
  <c r="AY342" i="11"/>
  <c r="AY332" i="11"/>
  <c r="AY351" i="11" s="1"/>
  <c r="U342" i="11"/>
  <c r="U332" i="11"/>
  <c r="U351" i="11" s="1"/>
  <c r="BO342" i="11"/>
  <c r="BO332" i="11"/>
  <c r="BO351" i="11" s="1"/>
  <c r="T342" i="11"/>
  <c r="T332" i="11"/>
  <c r="T351" i="11" s="1"/>
  <c r="BA342" i="11"/>
  <c r="BA332" i="11"/>
  <c r="BA351" i="11" s="1"/>
  <c r="BE342" i="11"/>
  <c r="BE332" i="11"/>
  <c r="BE352" i="11" s="1"/>
  <c r="BH342" i="11"/>
  <c r="BH332" i="11"/>
  <c r="BH352" i="11" s="1"/>
  <c r="BR342" i="11"/>
  <c r="BR332" i="11"/>
  <c r="BR351" i="11" s="1"/>
  <c r="BG342" i="11"/>
  <c r="BG332" i="11"/>
  <c r="BG351" i="11" s="1"/>
  <c r="BI341" i="11"/>
  <c r="BI332" i="11"/>
  <c r="BI352" i="11" s="1"/>
  <c r="BS342" i="11"/>
  <c r="BS332" i="11"/>
  <c r="BS334" i="11" s="1"/>
  <c r="S341" i="11"/>
  <c r="S332" i="11"/>
  <c r="S352" i="11" s="1"/>
  <c r="AT342" i="11"/>
  <c r="AT332" i="11"/>
  <c r="AT334" i="11" s="1"/>
  <c r="BQ342" i="11"/>
  <c r="BQ332" i="11"/>
  <c r="BQ351" i="11" s="1"/>
  <c r="AV342" i="11"/>
  <c r="AV332" i="11"/>
  <c r="AV351" i="11" s="1"/>
  <c r="AF342" i="11"/>
  <c r="AF332" i="11"/>
  <c r="AF351" i="11" s="1"/>
  <c r="P342" i="11"/>
  <c r="P332" i="11"/>
  <c r="P352" i="11" s="1"/>
  <c r="V341" i="11"/>
  <c r="V332" i="11"/>
  <c r="V351" i="11" s="1"/>
  <c r="BP264" i="9"/>
  <c r="BQ262" i="9" s="1"/>
  <c r="BP267" i="9"/>
  <c r="BQ255" i="9"/>
  <c r="BQ257" i="9" s="1"/>
  <c r="BQ261" i="9" s="1"/>
  <c r="BR240" i="9"/>
  <c r="BS238" i="9" s="1"/>
  <c r="BS239" i="9" s="1"/>
  <c r="BS272" i="18"/>
  <c r="I272" i="18" s="1"/>
  <c r="H272" i="18" s="1"/>
  <c r="BI290" i="20"/>
  <c r="Q290" i="20"/>
  <c r="AD290" i="20"/>
  <c r="AJ290" i="20"/>
  <c r="W290" i="20"/>
  <c r="AL290" i="20"/>
  <c r="AK290" i="20"/>
  <c r="S290" i="20"/>
  <c r="AR290" i="20"/>
  <c r="BG290" i="20"/>
  <c r="BF290" i="20"/>
  <c r="AS290" i="20"/>
  <c r="AN290" i="20"/>
  <c r="Y290" i="20"/>
  <c r="T290" i="20"/>
  <c r="BN290" i="20"/>
  <c r="V290" i="20"/>
  <c r="U290" i="20"/>
  <c r="N290" i="20"/>
  <c r="AB290" i="20"/>
  <c r="AQ290" i="20"/>
  <c r="AP290" i="20"/>
  <c r="AC290" i="20"/>
  <c r="AI290" i="20"/>
  <c r="BL290" i="20"/>
  <c r="BK290" i="20"/>
  <c r="AX290" i="20"/>
  <c r="BM290" i="20"/>
  <c r="BD290" i="20"/>
  <c r="AO290" i="20"/>
  <c r="I286" i="20"/>
  <c r="AA290" i="20"/>
  <c r="Z290" i="20"/>
  <c r="M290" i="20"/>
  <c r="AT290" i="20"/>
  <c r="AV290" i="20"/>
  <c r="AU290" i="20"/>
  <c r="AH290" i="20"/>
  <c r="AW290" i="20"/>
  <c r="BO290" i="20"/>
  <c r="BP290" i="20"/>
  <c r="BC290" i="20"/>
  <c r="BR290" i="20"/>
  <c r="BQ290" i="20"/>
  <c r="X290" i="20"/>
  <c r="BS290" i="20"/>
  <c r="BE290" i="20"/>
  <c r="AF290" i="20"/>
  <c r="AE290" i="20"/>
  <c r="R290" i="20"/>
  <c r="AG290" i="20"/>
  <c r="BJ290" i="20"/>
  <c r="AZ290" i="20"/>
  <c r="AM290" i="20"/>
  <c r="BB290" i="20"/>
  <c r="BA290" i="20"/>
  <c r="AY290" i="20"/>
  <c r="BH290" i="20"/>
  <c r="P290" i="20"/>
  <c r="O290" i="20"/>
  <c r="L476" i="8" a="1"/>
  <c r="L476" i="8" s="1"/>
  <c r="BE242" i="8"/>
  <c r="BE241" i="8" s="1"/>
  <c r="AF242" i="8"/>
  <c r="AF241" i="8" s="1"/>
  <c r="AE242" i="8"/>
  <c r="AE241" i="8" s="1"/>
  <c r="R242" i="8"/>
  <c r="R241" i="8" s="1"/>
  <c r="AG242" i="8"/>
  <c r="AG241" i="8" s="1"/>
  <c r="BJ242" i="8"/>
  <c r="BJ241" i="8" s="1"/>
  <c r="AZ242" i="8"/>
  <c r="AZ241" i="8" s="1"/>
  <c r="AM242" i="8"/>
  <c r="AM241" i="8" s="1"/>
  <c r="BB242" i="8"/>
  <c r="BB241" i="8" s="1"/>
  <c r="BA242" i="8"/>
  <c r="BA241" i="8" s="1"/>
  <c r="AY242" i="8"/>
  <c r="AY241" i="8" s="1"/>
  <c r="BH242" i="8"/>
  <c r="BH241" i="8" s="1"/>
  <c r="P242" i="8"/>
  <c r="P241" i="8" s="1"/>
  <c r="O242" i="8"/>
  <c r="O241" i="8" s="1"/>
  <c r="BI242" i="8"/>
  <c r="BI241" i="8" s="1"/>
  <c r="Q242" i="8"/>
  <c r="Q241" i="8" s="1"/>
  <c r="AD242" i="8"/>
  <c r="AD241" i="8" s="1"/>
  <c r="AJ242" i="8"/>
  <c r="AJ241" i="8" s="1"/>
  <c r="W242" i="8"/>
  <c r="W241" i="8" s="1"/>
  <c r="AL242" i="8"/>
  <c r="AL241" i="8" s="1"/>
  <c r="AK242" i="8"/>
  <c r="AK241" i="8" s="1"/>
  <c r="S242" i="8"/>
  <c r="S241" i="8" s="1"/>
  <c r="AR242" i="8"/>
  <c r="AR241" i="8" s="1"/>
  <c r="BG242" i="8"/>
  <c r="BG241" i="8" s="1"/>
  <c r="BF242" i="8"/>
  <c r="BF241" i="8" s="1"/>
  <c r="AS242" i="8"/>
  <c r="AS241" i="8" s="1"/>
  <c r="AN242" i="8"/>
  <c r="AN241" i="8" s="1"/>
  <c r="Y242" i="8"/>
  <c r="Y241" i="8" s="1"/>
  <c r="T242" i="8"/>
  <c r="T241" i="8" s="1"/>
  <c r="BN242" i="8"/>
  <c r="BN241" i="8" s="1"/>
  <c r="V242" i="8"/>
  <c r="V241" i="8" s="1"/>
  <c r="U242" i="8"/>
  <c r="U241" i="8" s="1"/>
  <c r="N242" i="8"/>
  <c r="N241" i="8" s="1"/>
  <c r="AB242" i="8"/>
  <c r="AB241" i="8" s="1"/>
  <c r="AQ242" i="8"/>
  <c r="AQ241" i="8" s="1"/>
  <c r="AP242" i="8"/>
  <c r="AP241" i="8" s="1"/>
  <c r="AC242" i="8"/>
  <c r="AC241" i="8" s="1"/>
  <c r="AI242" i="8"/>
  <c r="AI241" i="8" s="1"/>
  <c r="BL242" i="8"/>
  <c r="BL241" i="8" s="1"/>
  <c r="BK242" i="8"/>
  <c r="BK241" i="8" s="1"/>
  <c r="AX242" i="8"/>
  <c r="AX241" i="8" s="1"/>
  <c r="BM242" i="8"/>
  <c r="BM241" i="8" s="1"/>
  <c r="BD242" i="8"/>
  <c r="BD241" i="8" s="1"/>
  <c r="AO242" i="8"/>
  <c r="AO241" i="8" s="1"/>
  <c r="BS242" i="8"/>
  <c r="BS241" i="8" s="1"/>
  <c r="AA242" i="8"/>
  <c r="AA241" i="8" s="1"/>
  <c r="Z242" i="8"/>
  <c r="Z241" i="8" s="1"/>
  <c r="M242" i="8"/>
  <c r="M241" i="8" s="1"/>
  <c r="AT242" i="8"/>
  <c r="AT241" i="8" s="1"/>
  <c r="AV242" i="8"/>
  <c r="AV241" i="8" s="1"/>
  <c r="AU242" i="8"/>
  <c r="AU241" i="8" s="1"/>
  <c r="AH242" i="8"/>
  <c r="AH241" i="8" s="1"/>
  <c r="AW242" i="8"/>
  <c r="AW241" i="8" s="1"/>
  <c r="BO242" i="8"/>
  <c r="BO241" i="8" s="1"/>
  <c r="BP242" i="8"/>
  <c r="BP241" i="8" s="1"/>
  <c r="BC242" i="8"/>
  <c r="BC241" i="8" s="1"/>
  <c r="BR242" i="8"/>
  <c r="BR241" i="8" s="1"/>
  <c r="BQ242" i="8"/>
  <c r="BQ241" i="8" s="1"/>
  <c r="X242" i="8"/>
  <c r="X241" i="8" s="1"/>
  <c r="M248" i="8"/>
  <c r="AT248" i="8"/>
  <c r="Q248" i="8"/>
  <c r="Q250" i="8" s="1"/>
  <c r="AM248" i="8"/>
  <c r="BG248" i="8"/>
  <c r="Z248" i="8"/>
  <c r="X248" i="8"/>
  <c r="X250" i="8" s="1"/>
  <c r="BH248" i="8"/>
  <c r="AO248" i="8"/>
  <c r="AU248" i="8"/>
  <c r="BI248" i="8"/>
  <c r="BO248" i="8"/>
  <c r="R248" i="8"/>
  <c r="R250" i="8" s="1"/>
  <c r="AL248" i="8"/>
  <c r="AN248" i="8"/>
  <c r="Y248" i="8"/>
  <c r="Y250" i="8" s="1"/>
  <c r="AA248" i="8"/>
  <c r="S248" i="8"/>
  <c r="AR248" i="8"/>
  <c r="BL248" i="8"/>
  <c r="AE248" i="8"/>
  <c r="AS248" i="8"/>
  <c r="BM248" i="8"/>
  <c r="AI248" i="8"/>
  <c r="AZ248" i="8"/>
  <c r="AF248" i="8"/>
  <c r="AG248" i="8"/>
  <c r="AG250" i="8" s="1"/>
  <c r="T248" i="8"/>
  <c r="BK248" i="8"/>
  <c r="BF248" i="8"/>
  <c r="W248" i="8"/>
  <c r="W250" i="8" s="1"/>
  <c r="AQ248" i="8"/>
  <c r="BQ248" i="8"/>
  <c r="AY248" i="8"/>
  <c r="N248" i="8"/>
  <c r="AC248" i="8"/>
  <c r="AW248" i="8"/>
  <c r="BJ248" i="8"/>
  <c r="AJ248" i="8"/>
  <c r="AX248" i="8"/>
  <c r="BR248" i="8"/>
  <c r="AK248" i="8"/>
  <c r="AD248" i="8"/>
  <c r="V248" i="8"/>
  <c r="BP248" i="8"/>
  <c r="BP250" i="8" s="1"/>
  <c r="AB248" i="8"/>
  <c r="AV248" i="8"/>
  <c r="O248" i="8"/>
  <c r="O250" i="8" s="1"/>
  <c r="BN248" i="8"/>
  <c r="BA248" i="8"/>
  <c r="AH248" i="8"/>
  <c r="BB248" i="8"/>
  <c r="U248" i="8"/>
  <c r="BE248" i="8"/>
  <c r="BC248" i="8"/>
  <c r="P248" i="8"/>
  <c r="AP248" i="8"/>
  <c r="BD248" i="8"/>
  <c r="L239" i="8"/>
  <c r="BL333" i="11"/>
  <c r="BL356" i="11" s="1"/>
  <c r="P347" i="11"/>
  <c r="AF346" i="11"/>
  <c r="AF348" i="11" s="1"/>
  <c r="BL346" i="11"/>
  <c r="BL348" i="11" s="1"/>
  <c r="BN333" i="11"/>
  <c r="BN356" i="11" s="1"/>
  <c r="AM346" i="11"/>
  <c r="AM348" i="11" s="1"/>
  <c r="AC346" i="11"/>
  <c r="AA347" i="11"/>
  <c r="AL333" i="11"/>
  <c r="AL357" i="11" s="1"/>
  <c r="R346" i="11"/>
  <c r="R348" i="11" s="1"/>
  <c r="AC347" i="11"/>
  <c r="P346" i="11"/>
  <c r="AQ333" i="11"/>
  <c r="AQ357" i="11" s="1"/>
  <c r="AR342" i="11"/>
  <c r="U346" i="11"/>
  <c r="AT346" i="11"/>
  <c r="AT347" i="11"/>
  <c r="BI342" i="11"/>
  <c r="AA346" i="11"/>
  <c r="AH347" i="11"/>
  <c r="AH348" i="11" s="1"/>
  <c r="AR347" i="11"/>
  <c r="AR348" i="11" s="1"/>
  <c r="AI341" i="11"/>
  <c r="R333" i="11"/>
  <c r="R356" i="11" s="1"/>
  <c r="BN342" i="11"/>
  <c r="U347" i="11"/>
  <c r="AL346" i="11"/>
  <c r="AL348" i="11" s="1"/>
  <c r="AF333" i="11"/>
  <c r="AF356" i="11" s="1"/>
  <c r="AQ346" i="11"/>
  <c r="AQ348" i="11" s="1"/>
  <c r="AR333" i="11"/>
  <c r="AR357" i="11" s="1"/>
  <c r="AS342" i="11"/>
  <c r="P341" i="11"/>
  <c r="BQ333" i="11"/>
  <c r="BQ356" i="11" s="1"/>
  <c r="M346" i="11"/>
  <c r="M348" i="11" s="1"/>
  <c r="AC341" i="11"/>
  <c r="AN333" i="11"/>
  <c r="AN334" i="11" s="1"/>
  <c r="X346" i="11"/>
  <c r="AY341" i="11"/>
  <c r="AJ333" i="11"/>
  <c r="AJ356" i="11" s="1"/>
  <c r="AH333" i="11"/>
  <c r="AH356" i="11" s="1"/>
  <c r="BS347" i="11"/>
  <c r="BG333" i="11"/>
  <c r="BG357" i="11" s="1"/>
  <c r="AE346" i="11"/>
  <c r="AE348" i="11" s="1"/>
  <c r="Q347" i="11"/>
  <c r="AV341" i="11"/>
  <c r="X347" i="11"/>
  <c r="O342" i="11"/>
  <c r="N342" i="11"/>
  <c r="X342" i="11"/>
  <c r="V342" i="11"/>
  <c r="BQ341" i="11"/>
  <c r="AE342" i="11"/>
  <c r="BS341" i="11"/>
  <c r="AW341" i="11"/>
  <c r="AB341" i="11"/>
  <c r="AG346" i="11"/>
  <c r="AG348" i="11" s="1"/>
  <c r="AB342" i="11"/>
  <c r="AN347" i="11"/>
  <c r="AN348" i="11" s="1"/>
  <c r="BK347" i="11"/>
  <c r="BH346" i="11"/>
  <c r="T333" i="11"/>
  <c r="T357" i="11" s="1"/>
  <c r="T347" i="11"/>
  <c r="T348" i="11" s="1"/>
  <c r="Y333" i="11"/>
  <c r="Y356" i="11" s="1"/>
  <c r="BP333" i="11"/>
  <c r="BP357" i="11" s="1"/>
  <c r="Z342" i="11"/>
  <c r="BG341" i="11"/>
  <c r="BO341" i="11"/>
  <c r="Z333" i="11"/>
  <c r="Z357" i="11" s="1"/>
  <c r="BH347" i="11"/>
  <c r="AY346" i="11"/>
  <c r="AK346" i="11"/>
  <c r="AK348" i="11" s="1"/>
  <c r="BO346" i="11"/>
  <c r="BO348" i="11" s="1"/>
  <c r="BD333" i="11"/>
  <c r="BD334" i="11" s="1"/>
  <c r="BP347" i="11"/>
  <c r="BP348" i="11" s="1"/>
  <c r="AZ347" i="11"/>
  <c r="AZ348" i="11" s="1"/>
  <c r="AY347" i="11"/>
  <c r="Y347" i="11"/>
  <c r="Y348" i="11" s="1"/>
  <c r="T341" i="11"/>
  <c r="U341" i="11"/>
  <c r="AK333" i="11"/>
  <c r="AK356" i="11" s="1"/>
  <c r="BO333" i="11"/>
  <c r="BO356" i="11" s="1"/>
  <c r="AA342" i="11"/>
  <c r="BR341" i="11"/>
  <c r="BA341" i="11"/>
  <c r="BH341" i="11"/>
  <c r="Z346" i="11"/>
  <c r="Z348" i="11" s="1"/>
  <c r="BE346" i="11"/>
  <c r="BE348" i="11" s="1"/>
  <c r="BF347" i="11"/>
  <c r="BD342" i="11"/>
  <c r="BF341" i="11"/>
  <c r="AK341" i="11"/>
  <c r="AM333" i="11"/>
  <c r="AM357" i="11" s="1"/>
  <c r="AP346" i="11"/>
  <c r="AP348" i="11" s="1"/>
  <c r="BN347" i="11"/>
  <c r="BN348" i="11" s="1"/>
  <c r="AG341" i="11"/>
  <c r="AX341" i="11"/>
  <c r="Q346" i="11"/>
  <c r="BS346" i="11"/>
  <c r="AP333" i="11"/>
  <c r="AP356" i="11" s="1"/>
  <c r="BC347" i="11"/>
  <c r="AS346" i="11"/>
  <c r="AS348" i="11" s="1"/>
  <c r="BM342" i="11"/>
  <c r="AU346" i="11"/>
  <c r="AU348" i="11" s="1"/>
  <c r="Q342" i="11"/>
  <c r="AF341" i="11"/>
  <c r="AE341" i="11"/>
  <c r="O341" i="11"/>
  <c r="BP341" i="11"/>
  <c r="BR346" i="11"/>
  <c r="BR348" i="11" s="1"/>
  <c r="BK346" i="11"/>
  <c r="M333" i="11"/>
  <c r="M357" i="11" s="1"/>
  <c r="AE333" i="11"/>
  <c r="AE334" i="11" s="1"/>
  <c r="AI346" i="11"/>
  <c r="AI348" i="11" s="1"/>
  <c r="AJ347" i="11"/>
  <c r="AJ348" i="11" s="1"/>
  <c r="BP342" i="11"/>
  <c r="BG347" i="11"/>
  <c r="BG348" i="11" s="1"/>
  <c r="AD341" i="11"/>
  <c r="AT341" i="11"/>
  <c r="BR333" i="11"/>
  <c r="BR356" i="11" s="1"/>
  <c r="S342" i="11"/>
  <c r="S347" i="11"/>
  <c r="S348" i="11" s="1"/>
  <c r="AD342" i="11"/>
  <c r="BQ346" i="11"/>
  <c r="BQ348" i="11" s="1"/>
  <c r="S333" i="11"/>
  <c r="S356" i="11" s="1"/>
  <c r="AS333" i="11"/>
  <c r="AS356" i="11" s="1"/>
  <c r="V346" i="11"/>
  <c r="V348" i="11" s="1"/>
  <c r="BC346" i="11"/>
  <c r="AH342" i="11"/>
  <c r="BF342" i="11"/>
  <c r="AC342" i="11"/>
  <c r="AN342" i="11"/>
  <c r="X341" i="11"/>
  <c r="AM341" i="11"/>
  <c r="AO341" i="11"/>
  <c r="AQ341" i="11"/>
  <c r="AN341" i="11"/>
  <c r="AZ341" i="11"/>
  <c r="AH341" i="11"/>
  <c r="BE341" i="11"/>
  <c r="AU341" i="11"/>
  <c r="AA341" i="11"/>
  <c r="AJ341" i="11"/>
  <c r="N341" i="11"/>
  <c r="Z341" i="11"/>
  <c r="BD341" i="11"/>
  <c r="AX346" i="11"/>
  <c r="AX348" i="11" s="1"/>
  <c r="BF346" i="11"/>
  <c r="BB346" i="11"/>
  <c r="BI346" i="11"/>
  <c r="BI348" i="11" s="1"/>
  <c r="BM346" i="11"/>
  <c r="BM348" i="11" s="1"/>
  <c r="N346" i="11"/>
  <c r="N348" i="11" s="1"/>
  <c r="BE333" i="11"/>
  <c r="BE357" i="11" s="1"/>
  <c r="AU342" i="11"/>
  <c r="BB347" i="11"/>
  <c r="AM342" i="11"/>
  <c r="AO342" i="11"/>
  <c r="BK341" i="11"/>
  <c r="AX333" i="11"/>
  <c r="AX357" i="11" s="1"/>
  <c r="BI333" i="11"/>
  <c r="BI357" i="11" s="1"/>
  <c r="BM333" i="11"/>
  <c r="BM356" i="11" s="1"/>
  <c r="N333" i="11"/>
  <c r="N357" i="11" s="1"/>
  <c r="BA346" i="11"/>
  <c r="BA348" i="11" s="1"/>
  <c r="AZ342" i="11"/>
  <c r="M341" i="11"/>
  <c r="W341" i="11"/>
  <c r="BJ333" i="11"/>
  <c r="BJ356" i="11" s="1"/>
  <c r="W346" i="11"/>
  <c r="W348" i="11" s="1"/>
  <c r="Y342" i="11"/>
  <c r="R342" i="11"/>
  <c r="BC341" i="11"/>
  <c r="Y341" i="11"/>
  <c r="AR341" i="11"/>
  <c r="W342" i="11"/>
  <c r="BJ347" i="11"/>
  <c r="BJ348" i="11" s="1"/>
  <c r="AL341" i="11"/>
  <c r="BN341" i="11"/>
  <c r="BB342" i="11"/>
  <c r="Q341" i="11"/>
  <c r="BB341" i="11"/>
  <c r="AO346" i="11"/>
  <c r="AD346" i="11"/>
  <c r="AD348" i="11" s="1"/>
  <c r="AO347" i="11"/>
  <c r="BL341" i="11"/>
  <c r="AV346" i="11"/>
  <c r="AV348" i="11" s="1"/>
  <c r="W333" i="11"/>
  <c r="W334" i="11" s="1"/>
  <c r="AV333" i="11"/>
  <c r="AV356" i="11" s="1"/>
  <c r="AD333" i="11"/>
  <c r="AD334" i="11" s="1"/>
  <c r="BC342" i="11"/>
  <c r="BJ342" i="11"/>
  <c r="AI333" i="11"/>
  <c r="AI356" i="11" s="1"/>
  <c r="O347" i="11"/>
  <c r="AB347" i="11"/>
  <c r="O346" i="11"/>
  <c r="AB346" i="11"/>
  <c r="AP341" i="11"/>
  <c r="BD346" i="11"/>
  <c r="BD348" i="11" s="1"/>
  <c r="AZ333" i="11"/>
  <c r="AZ357" i="11" s="1"/>
  <c r="AW347" i="11"/>
  <c r="AW346" i="11"/>
  <c r="AU333" i="11"/>
  <c r="AU356" i="11" s="1"/>
  <c r="AG333" i="11"/>
  <c r="AG357" i="11" s="1"/>
  <c r="BA333" i="11"/>
  <c r="BA357" i="11" s="1"/>
  <c r="V333" i="11"/>
  <c r="BR243" i="9"/>
  <c r="BR245" i="9" s="1"/>
  <c r="I544" i="11"/>
  <c r="BO540" i="11"/>
  <c r="BO541" i="11"/>
  <c r="BB540" i="11"/>
  <c r="BB541" i="11"/>
  <c r="AY540" i="11"/>
  <c r="AY541" i="11"/>
  <c r="AG540" i="11"/>
  <c r="AG541" i="11"/>
  <c r="BF540" i="11"/>
  <c r="BF541" i="11"/>
  <c r="BA540" i="11"/>
  <c r="BA541" i="11"/>
  <c r="AJ540" i="11"/>
  <c r="AJ541" i="11"/>
  <c r="P540" i="11"/>
  <c r="P541" i="11"/>
  <c r="AQ540" i="11"/>
  <c r="AQ541" i="11"/>
  <c r="AW540" i="11"/>
  <c r="AW541" i="11"/>
  <c r="AP540" i="11"/>
  <c r="AP541" i="11"/>
  <c r="W540" i="11"/>
  <c r="W541" i="11"/>
  <c r="AI540" i="11"/>
  <c r="AI541" i="11"/>
  <c r="BH540" i="11"/>
  <c r="BH541" i="11"/>
  <c r="AV540" i="11"/>
  <c r="AV541" i="11"/>
  <c r="AC540" i="11"/>
  <c r="AC541" i="11"/>
  <c r="BK540" i="11"/>
  <c r="BK541" i="11"/>
  <c r="BQ540" i="11"/>
  <c r="BQ541" i="11"/>
  <c r="AE540" i="11"/>
  <c r="AE541" i="11"/>
  <c r="BP540" i="11"/>
  <c r="BP541" i="11"/>
  <c r="Q540" i="11"/>
  <c r="Q541" i="11"/>
  <c r="AM540" i="11"/>
  <c r="AM541" i="11"/>
  <c r="AD540" i="11"/>
  <c r="AD541" i="11"/>
  <c r="BE540" i="11"/>
  <c r="BE541" i="11"/>
  <c r="AN540" i="11"/>
  <c r="AN541" i="11"/>
  <c r="AF540" i="11"/>
  <c r="AF541" i="11"/>
  <c r="AS540" i="11"/>
  <c r="AS541" i="11"/>
  <c r="AZ540" i="11"/>
  <c r="AZ541" i="11"/>
  <c r="T540" i="11"/>
  <c r="T541" i="11"/>
  <c r="AL540" i="11"/>
  <c r="AL541" i="11"/>
  <c r="Z540" i="11"/>
  <c r="Z541" i="11"/>
  <c r="BL540" i="11"/>
  <c r="BL541" i="11"/>
  <c r="AB540" i="11"/>
  <c r="AB541" i="11"/>
  <c r="Y540" i="11"/>
  <c r="Y541" i="11"/>
  <c r="BM540" i="11"/>
  <c r="BM541" i="11"/>
  <c r="S540" i="11"/>
  <c r="S541" i="11"/>
  <c r="AR540" i="11"/>
  <c r="AR541" i="11"/>
  <c r="X540" i="11"/>
  <c r="X541" i="11"/>
  <c r="U540" i="11"/>
  <c r="U541" i="11"/>
  <c r="BS540" i="11"/>
  <c r="BS541" i="11"/>
  <c r="AK540" i="11"/>
  <c r="AK541" i="11"/>
  <c r="AU540" i="11"/>
  <c r="AU541" i="11"/>
  <c r="AX540" i="11"/>
  <c r="AX541" i="11"/>
  <c r="BI540" i="11"/>
  <c r="BI541" i="11"/>
  <c r="N540" i="11"/>
  <c r="N541" i="11"/>
  <c r="AO540" i="11"/>
  <c r="AO541" i="11"/>
  <c r="BG540" i="11"/>
  <c r="BG541" i="11"/>
  <c r="BR540" i="11"/>
  <c r="BR541" i="11"/>
  <c r="BC540" i="11"/>
  <c r="BC541" i="11"/>
  <c r="AT540" i="11"/>
  <c r="AT541" i="11"/>
  <c r="AH540" i="11"/>
  <c r="AH541" i="11"/>
  <c r="O540" i="11"/>
  <c r="O541" i="11"/>
  <c r="V540" i="11"/>
  <c r="V541" i="11"/>
  <c r="R540" i="11"/>
  <c r="R541" i="11"/>
  <c r="AA540" i="11"/>
  <c r="AA541" i="11"/>
  <c r="BN540" i="11"/>
  <c r="BN541" i="11"/>
  <c r="BD540" i="11"/>
  <c r="BD541" i="11"/>
  <c r="BJ540" i="11"/>
  <c r="BJ541" i="11"/>
  <c r="M540" i="11"/>
  <c r="M541" i="11"/>
  <c r="L347" i="11"/>
  <c r="L437" i="11" a="1"/>
  <c r="L437" i="11" s="1"/>
  <c r="I437" i="11" s="1"/>
  <c r="AY356" i="11"/>
  <c r="AY357" i="11"/>
  <c r="P356" i="11"/>
  <c r="P357" i="11"/>
  <c r="AO356" i="11"/>
  <c r="AO357" i="11"/>
  <c r="AT356" i="11"/>
  <c r="AT357" i="11"/>
  <c r="O356" i="11"/>
  <c r="O357" i="11"/>
  <c r="AB356" i="11"/>
  <c r="AB357" i="11"/>
  <c r="X356" i="11"/>
  <c r="X357" i="11"/>
  <c r="BK356" i="11"/>
  <c r="BK357" i="11"/>
  <c r="BF356" i="11"/>
  <c r="BF357" i="11"/>
  <c r="Q356" i="11"/>
  <c r="Q357" i="11"/>
  <c r="BB356" i="11"/>
  <c r="BB357" i="11"/>
  <c r="U356" i="11"/>
  <c r="U357" i="11"/>
  <c r="AC356" i="11"/>
  <c r="AC357" i="11"/>
  <c r="AA356" i="11"/>
  <c r="AA357" i="11"/>
  <c r="BS356" i="11"/>
  <c r="BS357" i="11"/>
  <c r="BH356" i="11"/>
  <c r="BH357" i="11"/>
  <c r="AW356" i="11"/>
  <c r="AW357" i="11"/>
  <c r="BC356" i="11"/>
  <c r="BC357" i="11"/>
  <c r="AM351" i="11"/>
  <c r="AM352" i="11"/>
  <c r="AD351" i="11"/>
  <c r="AD352" i="11"/>
  <c r="AO351" i="11"/>
  <c r="AO352" i="11"/>
  <c r="AN351" i="11"/>
  <c r="AN352" i="11"/>
  <c r="AE351" i="11"/>
  <c r="AE352" i="11"/>
  <c r="AZ351" i="11"/>
  <c r="AZ352" i="11"/>
  <c r="BN351" i="11"/>
  <c r="BN352" i="11"/>
  <c r="AU351" i="11"/>
  <c r="AU352" i="11"/>
  <c r="X351" i="11"/>
  <c r="X352" i="11"/>
  <c r="BC351" i="11"/>
  <c r="BC352" i="11"/>
  <c r="BB351" i="11"/>
  <c r="BB352" i="11"/>
  <c r="Z351" i="11"/>
  <c r="Z352" i="11"/>
  <c r="O351" i="11"/>
  <c r="O352" i="11"/>
  <c r="BD351" i="11"/>
  <c r="BD352" i="11"/>
  <c r="BP351" i="11"/>
  <c r="BP352" i="11"/>
  <c r="Q351" i="11"/>
  <c r="Q352" i="11"/>
  <c r="AH351" i="11"/>
  <c r="AH352" i="11"/>
  <c r="BF351" i="11"/>
  <c r="BF352" i="11"/>
  <c r="AA351" i="11"/>
  <c r="AA352" i="11"/>
  <c r="Y351" i="11"/>
  <c r="Y352" i="11"/>
  <c r="AC351" i="11"/>
  <c r="AC352" i="11"/>
  <c r="AB351" i="11"/>
  <c r="AB352" i="11"/>
  <c r="N351" i="11"/>
  <c r="N352" i="11"/>
  <c r="W351" i="11"/>
  <c r="W352" i="11"/>
  <c r="AR351" i="11"/>
  <c r="AR352" i="11"/>
  <c r="L333" i="11"/>
  <c r="L346" i="11"/>
  <c r="I329" i="11"/>
  <c r="BB334" i="11"/>
  <c r="BF334" i="11"/>
  <c r="AB334" i="11"/>
  <c r="Q334" i="11"/>
  <c r="AO334" i="11"/>
  <c r="AC334" i="11"/>
  <c r="AA334" i="11"/>
  <c r="BC334" i="11"/>
  <c r="O334" i="11"/>
  <c r="X334" i="11"/>
  <c r="L538" i="11"/>
  <c r="I530" i="11"/>
  <c r="BP263" i="10"/>
  <c r="BP265" i="10" s="1"/>
  <c r="BP266" i="10" s="1"/>
  <c r="BP235" i="10"/>
  <c r="BQ229" i="10"/>
  <c r="BQ246" i="10" s="1"/>
  <c r="BR224" i="10"/>
  <c r="BR226" i="10" s="1"/>
  <c r="BP250" i="10"/>
  <c r="BP251" i="10" s="1"/>
  <c r="BP257" i="10"/>
  <c r="BP259" i="10" s="1"/>
  <c r="BP260" i="10" s="1"/>
  <c r="BO288" i="9"/>
  <c r="BO289" i="9" s="1"/>
  <c r="BO295" i="9"/>
  <c r="BO297" i="9" s="1"/>
  <c r="BO298" i="9" s="1"/>
  <c r="BO307" i="9" s="1"/>
  <c r="I237" i="8"/>
  <c r="BS248" i="8"/>
  <c r="BS250" i="8" s="1"/>
  <c r="BS251" i="8" s="1"/>
  <c r="I254" i="8"/>
  <c r="I226" i="8"/>
  <c r="BS257" i="8"/>
  <c r="I257" i="8" s="1"/>
  <c r="I274" i="8"/>
  <c r="I267" i="8"/>
  <c r="N339" i="5"/>
  <c r="N340" i="5" s="1"/>
  <c r="O337" i="5" s="1"/>
  <c r="L411" i="5"/>
  <c r="I418" i="5" s="1"/>
  <c r="I395" i="5"/>
  <c r="N345" i="5"/>
  <c r="N346" i="5" s="1"/>
  <c r="O343" i="5" s="1"/>
  <c r="M333" i="5"/>
  <c r="M349" i="5" s="1"/>
  <c r="BE343" i="11" l="1"/>
  <c r="AQ343" i="11"/>
  <c r="AG343" i="11"/>
  <c r="BR343" i="11"/>
  <c r="U343" i="11"/>
  <c r="BQ343" i="11"/>
  <c r="AS343" i="11"/>
  <c r="AI343" i="11"/>
  <c r="BI343" i="11"/>
  <c r="BK343" i="11"/>
  <c r="BH343" i="11"/>
  <c r="AV343" i="11"/>
  <c r="I552" i="20"/>
  <c r="BS343" i="11"/>
  <c r="Z331" i="23"/>
  <c r="Z294" i="23"/>
  <c r="Z288" i="23"/>
  <c r="BP270" i="9"/>
  <c r="BP301" i="9" s="1"/>
  <c r="BP303" i="9" s="1"/>
  <c r="BP304" i="9" s="1"/>
  <c r="L489" i="11" a="1"/>
  <c r="L489" i="11" s="1"/>
  <c r="I489" i="11" s="1"/>
  <c r="L436" i="11" a="1"/>
  <c r="L436" i="11" s="1"/>
  <c r="I323" i="11"/>
  <c r="L342" i="11"/>
  <c r="L382" i="11" s="1"/>
  <c r="L383" i="11" s="1"/>
  <c r="M380" i="11" s="1"/>
  <c r="M382" i="11" s="1"/>
  <c r="L341" i="11"/>
  <c r="I341" i="11" s="1"/>
  <c r="AX343" i="11"/>
  <c r="AJ343" i="11"/>
  <c r="M343" i="11"/>
  <c r="AP343" i="11"/>
  <c r="BL343" i="11"/>
  <c r="AL343" i="11"/>
  <c r="AK343" i="11"/>
  <c r="BO343" i="11"/>
  <c r="AT343" i="11"/>
  <c r="BM343" i="11"/>
  <c r="AW343" i="11"/>
  <c r="AY343" i="11"/>
  <c r="BK348" i="11"/>
  <c r="BA343" i="11"/>
  <c r="P343" i="11"/>
  <c r="BG343" i="11"/>
  <c r="BJ343" i="11"/>
  <c r="R343" i="11"/>
  <c r="AF343" i="11"/>
  <c r="T343" i="11"/>
  <c r="V343" i="11"/>
  <c r="S343" i="11"/>
  <c r="M334" i="11"/>
  <c r="BP284" i="9"/>
  <c r="BP286" i="9" s="1"/>
  <c r="BQ263" i="9"/>
  <c r="BQ264" i="9" s="1"/>
  <c r="BR262" i="9" s="1"/>
  <c r="BQ258" i="9"/>
  <c r="BR256" i="9" s="1"/>
  <c r="BR246" i="9"/>
  <c r="BS244" i="9" s="1"/>
  <c r="BS273" i="18"/>
  <c r="BS276" i="18"/>
  <c r="Y299" i="20"/>
  <c r="Y308" i="20" s="1"/>
  <c r="AS299" i="20"/>
  <c r="AS308" i="20" s="1"/>
  <c r="BG299" i="20"/>
  <c r="BG308" i="20" s="1"/>
  <c r="S299" i="20"/>
  <c r="S308" i="20" s="1"/>
  <c r="AL299" i="20"/>
  <c r="AL308" i="20" s="1"/>
  <c r="AJ299" i="20"/>
  <c r="AJ308" i="20" s="1"/>
  <c r="Q299" i="20"/>
  <c r="Q308" i="20" s="1"/>
  <c r="I291" i="20"/>
  <c r="P299" i="20"/>
  <c r="P308" i="20" s="1"/>
  <c r="AY299" i="20"/>
  <c r="AY308" i="20" s="1"/>
  <c r="BB299" i="20"/>
  <c r="BB308" i="20" s="1"/>
  <c r="AZ299" i="20"/>
  <c r="AZ308" i="20" s="1"/>
  <c r="AG299" i="20"/>
  <c r="AG308" i="20" s="1"/>
  <c r="AE299" i="20"/>
  <c r="AE308" i="20" s="1"/>
  <c r="BE299" i="20"/>
  <c r="BE308" i="20" s="1"/>
  <c r="BQ299" i="20"/>
  <c r="BQ308" i="20" s="1"/>
  <c r="BC299" i="20"/>
  <c r="BC308" i="20" s="1"/>
  <c r="BO299" i="20"/>
  <c r="BO308" i="20" s="1"/>
  <c r="AH299" i="20"/>
  <c r="AH308" i="20" s="1"/>
  <c r="AV299" i="20"/>
  <c r="AV308" i="20" s="1"/>
  <c r="M299" i="20"/>
  <c r="M308" i="20" s="1"/>
  <c r="AA299" i="20"/>
  <c r="AA308" i="20" s="1"/>
  <c r="BD299" i="20"/>
  <c r="BD308" i="20" s="1"/>
  <c r="AX299" i="20"/>
  <c r="AX308" i="20" s="1"/>
  <c r="BL299" i="20"/>
  <c r="BL308" i="20" s="1"/>
  <c r="AC299" i="20"/>
  <c r="AC308" i="20" s="1"/>
  <c r="AQ299" i="20"/>
  <c r="AQ308" i="20" s="1"/>
  <c r="N299" i="20"/>
  <c r="N308" i="20" s="1"/>
  <c r="V299" i="20"/>
  <c r="V308" i="20" s="1"/>
  <c r="T299" i="20"/>
  <c r="T308" i="20" s="1"/>
  <c r="AN299" i="20"/>
  <c r="AN308" i="20" s="1"/>
  <c r="BF299" i="20"/>
  <c r="BF308" i="20" s="1"/>
  <c r="AR299" i="20"/>
  <c r="AR308" i="20" s="1"/>
  <c r="AK299" i="20"/>
  <c r="AK308" i="20" s="1"/>
  <c r="W299" i="20"/>
  <c r="W308" i="20" s="1"/>
  <c r="AD299" i="20"/>
  <c r="AD308" i="20" s="1"/>
  <c r="BI299" i="20"/>
  <c r="BI308" i="20" s="1"/>
  <c r="BS299" i="20"/>
  <c r="BS308" i="20" s="1"/>
  <c r="O299" i="20"/>
  <c r="O308" i="20" s="1"/>
  <c r="BH299" i="20"/>
  <c r="BH308" i="20" s="1"/>
  <c r="BA299" i="20"/>
  <c r="BA308" i="20" s="1"/>
  <c r="AM299" i="20"/>
  <c r="AM308" i="20" s="1"/>
  <c r="BJ299" i="20"/>
  <c r="BJ308" i="20" s="1"/>
  <c r="R299" i="20"/>
  <c r="R308" i="20" s="1"/>
  <c r="AF299" i="20"/>
  <c r="AF308" i="20" s="1"/>
  <c r="X299" i="20"/>
  <c r="X308" i="20" s="1"/>
  <c r="BR299" i="20"/>
  <c r="BR308" i="20" s="1"/>
  <c r="BP299" i="20"/>
  <c r="BP308" i="20" s="1"/>
  <c r="AW299" i="20"/>
  <c r="AW308" i="20" s="1"/>
  <c r="AU299" i="20"/>
  <c r="AU308" i="20" s="1"/>
  <c r="AT299" i="20"/>
  <c r="AT308" i="20" s="1"/>
  <c r="Z299" i="20"/>
  <c r="Z308" i="20" s="1"/>
  <c r="I288" i="20"/>
  <c r="AO299" i="20"/>
  <c r="AO308" i="20" s="1"/>
  <c r="BM299" i="20"/>
  <c r="BM308" i="20" s="1"/>
  <c r="BK299" i="20"/>
  <c r="BK308" i="20" s="1"/>
  <c r="AI299" i="20"/>
  <c r="AI308" i="20" s="1"/>
  <c r="AP299" i="20"/>
  <c r="AP308" i="20" s="1"/>
  <c r="AB299" i="20"/>
  <c r="AB308" i="20" s="1"/>
  <c r="U299" i="20"/>
  <c r="U308" i="20" s="1"/>
  <c r="BN299" i="20"/>
  <c r="BN308" i="20" s="1"/>
  <c r="I525" i="20"/>
  <c r="T356" i="11"/>
  <c r="T358" i="11" s="1"/>
  <c r="L242" i="8"/>
  <c r="L248" i="8"/>
  <c r="L250" i="8" s="1"/>
  <c r="L259" i="8" s="1"/>
  <c r="I239" i="8"/>
  <c r="BL357" i="11"/>
  <c r="BL358" i="11" s="1"/>
  <c r="BD343" i="11"/>
  <c r="AI352" i="11"/>
  <c r="AI353" i="11" s="1"/>
  <c r="N334" i="11"/>
  <c r="AL356" i="11"/>
  <c r="AL358" i="11" s="1"/>
  <c r="BG356" i="11"/>
  <c r="BG358" i="11" s="1"/>
  <c r="BN343" i="11"/>
  <c r="AC348" i="11"/>
  <c r="V352" i="11"/>
  <c r="V353" i="11" s="1"/>
  <c r="P348" i="11"/>
  <c r="AA348" i="11"/>
  <c r="AT348" i="11"/>
  <c r="BN334" i="11"/>
  <c r="BN357" i="11"/>
  <c r="BN358" i="11" s="1"/>
  <c r="BE351" i="11"/>
  <c r="BE353" i="11" s="1"/>
  <c r="AQ356" i="11"/>
  <c r="AQ358" i="11" s="1"/>
  <c r="BI351" i="11"/>
  <c r="BI353" i="11" s="1"/>
  <c r="AR343" i="11"/>
  <c r="BD357" i="11"/>
  <c r="AQ334" i="11"/>
  <c r="BD356" i="11"/>
  <c r="U348" i="11"/>
  <c r="N343" i="11"/>
  <c r="R351" i="11"/>
  <c r="R353" i="11" s="1"/>
  <c r="BL351" i="11"/>
  <c r="BL353" i="11" s="1"/>
  <c r="AH357" i="11"/>
  <c r="AH358" i="11" s="1"/>
  <c r="AN357" i="11"/>
  <c r="Z356" i="11"/>
  <c r="Z358" i="11" s="1"/>
  <c r="Y334" i="11"/>
  <c r="S351" i="11"/>
  <c r="S353" i="11" s="1"/>
  <c r="P334" i="11"/>
  <c r="AI334" i="11"/>
  <c r="P351" i="11"/>
  <c r="P353" i="11" s="1"/>
  <c r="AS351" i="11"/>
  <c r="AS353" i="11" s="1"/>
  <c r="AI357" i="11"/>
  <c r="AI358" i="11" s="1"/>
  <c r="BF348" i="11"/>
  <c r="AH334" i="11"/>
  <c r="BP356" i="11"/>
  <c r="BP358" i="11" s="1"/>
  <c r="AN356" i="11"/>
  <c r="V334" i="11"/>
  <c r="BE356" i="11"/>
  <c r="BE358" i="11" s="1"/>
  <c r="N356" i="11"/>
  <c r="N358" i="11" s="1"/>
  <c r="AM334" i="11"/>
  <c r="AG356" i="11"/>
  <c r="AG358" i="11" s="1"/>
  <c r="AM356" i="11"/>
  <c r="AM358" i="11" s="1"/>
  <c r="BH348" i="11"/>
  <c r="BQ357" i="11"/>
  <c r="BQ358" i="11" s="1"/>
  <c r="AF357" i="11"/>
  <c r="AF358" i="11" s="1"/>
  <c r="R357" i="11"/>
  <c r="R358" i="11" s="1"/>
  <c r="R334" i="11"/>
  <c r="BS348" i="11"/>
  <c r="BO352" i="11"/>
  <c r="BO353" i="11" s="1"/>
  <c r="AX352" i="11"/>
  <c r="AX353" i="11" s="1"/>
  <c r="T352" i="11"/>
  <c r="T353" i="11" s="1"/>
  <c r="BH334" i="11"/>
  <c r="BH351" i="11"/>
  <c r="BH353" i="11" s="1"/>
  <c r="AR356" i="11"/>
  <c r="AR358" i="11" s="1"/>
  <c r="BO334" i="11"/>
  <c r="AK352" i="11"/>
  <c r="AK353" i="11" s="1"/>
  <c r="AV357" i="11"/>
  <c r="AV358" i="11" s="1"/>
  <c r="BO357" i="11"/>
  <c r="BO358" i="11" s="1"/>
  <c r="Y357" i="11"/>
  <c r="Y358" i="11" s="1"/>
  <c r="AJ357" i="11"/>
  <c r="AJ358" i="11" s="1"/>
  <c r="AR334" i="11"/>
  <c r="BK352" i="11"/>
  <c r="BK353" i="11" s="1"/>
  <c r="AC343" i="11"/>
  <c r="X348" i="11"/>
  <c r="BS352" i="11"/>
  <c r="BL334" i="11"/>
  <c r="BK334" i="11"/>
  <c r="BM357" i="11"/>
  <c r="BM358" i="11" s="1"/>
  <c r="Q348" i="11"/>
  <c r="O343" i="11"/>
  <c r="Z343" i="11"/>
  <c r="X343" i="11"/>
  <c r="AH343" i="11"/>
  <c r="BC348" i="11"/>
  <c r="AK334" i="11"/>
  <c r="AP334" i="11"/>
  <c r="AT352" i="11"/>
  <c r="BI356" i="11"/>
  <c r="BI358" i="11" s="1"/>
  <c r="AY334" i="11"/>
  <c r="AP351" i="11"/>
  <c r="AP353" i="11" s="1"/>
  <c r="AW351" i="11"/>
  <c r="AW353" i="11" s="1"/>
  <c r="W357" i="11"/>
  <c r="AN343" i="11"/>
  <c r="AB343" i="11"/>
  <c r="BI334" i="11"/>
  <c r="BA352" i="11"/>
  <c r="BA353" i="11" s="1"/>
  <c r="AL351" i="11"/>
  <c r="AL353" i="11" s="1"/>
  <c r="BS351" i="11"/>
  <c r="AT351" i="11"/>
  <c r="BG352" i="11"/>
  <c r="BG353" i="11" s="1"/>
  <c r="AY352" i="11"/>
  <c r="AY353" i="11" s="1"/>
  <c r="BR357" i="11"/>
  <c r="BR358" i="11" s="1"/>
  <c r="AE357" i="11"/>
  <c r="AK357" i="11"/>
  <c r="AK358" i="11" s="1"/>
  <c r="AO343" i="11"/>
  <c r="BB348" i="11"/>
  <c r="BF343" i="11"/>
  <c r="AY348" i="11"/>
  <c r="BG334" i="11"/>
  <c r="BR334" i="11"/>
  <c r="BR352" i="11"/>
  <c r="BR353" i="11" s="1"/>
  <c r="AE356" i="11"/>
  <c r="AL334" i="11"/>
  <c r="AW334" i="11"/>
  <c r="BB343" i="11"/>
  <c r="AE343" i="11"/>
  <c r="AF334" i="11"/>
  <c r="BP334" i="11"/>
  <c r="AD357" i="11"/>
  <c r="AP357" i="11"/>
  <c r="AP358" i="11" s="1"/>
  <c r="Z334" i="11"/>
  <c r="AF352" i="11"/>
  <c r="AF353" i="11" s="1"/>
  <c r="AV352" i="11"/>
  <c r="AV353" i="11" s="1"/>
  <c r="AD356" i="11"/>
  <c r="AS357" i="11"/>
  <c r="AS358" i="11" s="1"/>
  <c r="S357" i="11"/>
  <c r="S358" i="11" s="1"/>
  <c r="S334" i="11"/>
  <c r="BE334" i="11"/>
  <c r="AV334" i="11"/>
  <c r="AS334" i="11"/>
  <c r="T334" i="11"/>
  <c r="W343" i="11"/>
  <c r="AA343" i="11"/>
  <c r="U352" i="11"/>
  <c r="U353" i="11" s="1"/>
  <c r="U334" i="11"/>
  <c r="I347" i="11"/>
  <c r="AU343" i="11"/>
  <c r="AZ343" i="11"/>
  <c r="BP343" i="11"/>
  <c r="Q343" i="11"/>
  <c r="BJ351" i="11"/>
  <c r="BJ353" i="11" s="1"/>
  <c r="AQ352" i="11"/>
  <c r="AX356" i="11"/>
  <c r="AX358" i="11" s="1"/>
  <c r="BM334" i="11"/>
  <c r="BM352" i="11"/>
  <c r="BM353" i="11" s="1"/>
  <c r="M356" i="11"/>
  <c r="M358" i="11" s="1"/>
  <c r="AO348" i="11"/>
  <c r="AD343" i="11"/>
  <c r="Y343" i="11"/>
  <c r="AM343" i="11"/>
  <c r="AG334" i="11"/>
  <c r="BJ334" i="11"/>
  <c r="M352" i="11"/>
  <c r="AQ351" i="11"/>
  <c r="AG351" i="11"/>
  <c r="AG353" i="11" s="1"/>
  <c r="BA356" i="11"/>
  <c r="BA358" i="11" s="1"/>
  <c r="M351" i="11"/>
  <c r="BQ352" i="11"/>
  <c r="BQ353" i="11" s="1"/>
  <c r="BQ334" i="11"/>
  <c r="AX334" i="11"/>
  <c r="AW348" i="11"/>
  <c r="BC343" i="11"/>
  <c r="AZ334" i="11"/>
  <c r="W356" i="11"/>
  <c r="BJ357" i="11"/>
  <c r="BJ358" i="11" s="1"/>
  <c r="AJ334" i="11"/>
  <c r="AB348" i="11"/>
  <c r="O348" i="11"/>
  <c r="AU334" i="11"/>
  <c r="AU357" i="11"/>
  <c r="AU358" i="11" s="1"/>
  <c r="AJ352" i="11"/>
  <c r="AJ353" i="11" s="1"/>
  <c r="AZ356" i="11"/>
  <c r="AZ358" i="11" s="1"/>
  <c r="V356" i="11"/>
  <c r="V357" i="11"/>
  <c r="BA334" i="11"/>
  <c r="BR249" i="9"/>
  <c r="BR251" i="9" s="1"/>
  <c r="BR252" i="9" s="1"/>
  <c r="BS250" i="9" s="1"/>
  <c r="BS240" i="9"/>
  <c r="BS243" i="9"/>
  <c r="L541" i="11"/>
  <c r="I541" i="11" s="1"/>
  <c r="I543" i="11"/>
  <c r="I538" i="11"/>
  <c r="L540" i="11"/>
  <c r="I540" i="11" s="1"/>
  <c r="I550" i="11" s="1"/>
  <c r="L356" i="11"/>
  <c r="L357" i="11"/>
  <c r="L351" i="11"/>
  <c r="L352" i="11"/>
  <c r="X353" i="11"/>
  <c r="BP353" i="11"/>
  <c r="Q358" i="11"/>
  <c r="AT358" i="11"/>
  <c r="AO358" i="11"/>
  <c r="BK358" i="11"/>
  <c r="BB358" i="11"/>
  <c r="BF358" i="11"/>
  <c r="AW358" i="11"/>
  <c r="AU353" i="11"/>
  <c r="BS358" i="11"/>
  <c r="BF353" i="11"/>
  <c r="BC358" i="11"/>
  <c r="AB358" i="11"/>
  <c r="AY358" i="11"/>
  <c r="X358" i="11"/>
  <c r="O358" i="11"/>
  <c r="P358" i="11"/>
  <c r="BH358" i="11"/>
  <c r="I346" i="11"/>
  <c r="L348" i="11"/>
  <c r="AC358" i="11"/>
  <c r="U358" i="11"/>
  <c r="AA358" i="11"/>
  <c r="I333" i="11"/>
  <c r="O353" i="11"/>
  <c r="AC353" i="11"/>
  <c r="AZ353" i="11"/>
  <c r="AB353" i="11"/>
  <c r="AH353" i="11"/>
  <c r="BD353" i="11"/>
  <c r="BC353" i="11"/>
  <c r="AE353" i="11"/>
  <c r="AM353" i="11"/>
  <c r="Z353" i="11"/>
  <c r="AN353" i="11"/>
  <c r="Q353" i="11"/>
  <c r="W353" i="11"/>
  <c r="Y353" i="11"/>
  <c r="BB353" i="11"/>
  <c r="L334" i="11"/>
  <c r="I332" i="11"/>
  <c r="AA353" i="11"/>
  <c r="AD353" i="11"/>
  <c r="N353" i="11"/>
  <c r="BN353" i="11"/>
  <c r="AO353" i="11"/>
  <c r="AR353" i="11"/>
  <c r="BQ232" i="10"/>
  <c r="BQ234" i="10" s="1"/>
  <c r="BP269" i="10"/>
  <c r="I224" i="10"/>
  <c r="BR227" i="10"/>
  <c r="BS225" i="10" s="1"/>
  <c r="BS226" i="10" s="1"/>
  <c r="BS229" i="10" s="1"/>
  <c r="BR229" i="10"/>
  <c r="BR246" i="10" s="1"/>
  <c r="BR248" i="10" s="1"/>
  <c r="BP268" i="10"/>
  <c r="BQ248" i="10"/>
  <c r="BO306" i="9"/>
  <c r="I239" i="9"/>
  <c r="H239" i="9" s="1"/>
  <c r="BS259" i="8"/>
  <c r="AI250" i="8"/>
  <c r="AI259" i="8" s="1"/>
  <c r="O251" i="8"/>
  <c r="O260" i="8" s="1"/>
  <c r="O259" i="8"/>
  <c r="U250" i="8"/>
  <c r="U259" i="8" s="1"/>
  <c r="X251" i="8"/>
  <c r="X260" i="8" s="1"/>
  <c r="X259" i="8"/>
  <c r="AZ250" i="8"/>
  <c r="AZ259" i="8" s="1"/>
  <c r="AY250" i="8"/>
  <c r="AY259" i="8" s="1"/>
  <c r="AV250" i="8"/>
  <c r="AV259" i="8" s="1"/>
  <c r="AE250" i="8"/>
  <c r="AE259" i="8" s="1"/>
  <c r="BE250" i="8"/>
  <c r="BE259" i="8" s="1"/>
  <c r="AS250" i="8"/>
  <c r="AS259" i="8" s="1"/>
  <c r="AO250" i="8"/>
  <c r="AO259" i="8" s="1"/>
  <c r="AA250" i="8"/>
  <c r="AA259" i="8" s="1"/>
  <c r="BH250" i="8"/>
  <c r="BH259" i="8" s="1"/>
  <c r="AM250" i="8"/>
  <c r="AM259" i="8" s="1"/>
  <c r="AT250" i="8"/>
  <c r="AT259" i="8" s="1"/>
  <c r="Y251" i="8"/>
  <c r="Y260" i="8" s="1"/>
  <c r="Y259" i="8"/>
  <c r="BC250" i="8"/>
  <c r="BC259" i="8" s="1"/>
  <c r="AH250" i="8"/>
  <c r="AH259" i="8" s="1"/>
  <c r="BQ250" i="8"/>
  <c r="BQ259" i="8" s="1"/>
  <c r="N250" i="8"/>
  <c r="N259" i="8" s="1"/>
  <c r="Q251" i="8"/>
  <c r="Q260" i="8" s="1"/>
  <c r="Q259" i="8"/>
  <c r="AU250" i="8"/>
  <c r="AU259" i="8" s="1"/>
  <c r="AN250" i="8"/>
  <c r="AN259" i="8" s="1"/>
  <c r="M250" i="8"/>
  <c r="M259" i="8" s="1"/>
  <c r="BO250" i="8"/>
  <c r="BO259" i="8" s="1"/>
  <c r="AR250" i="8"/>
  <c r="AR259" i="8" s="1"/>
  <c r="Z250" i="8"/>
  <c r="Z259" i="8" s="1"/>
  <c r="BN250" i="8"/>
  <c r="BN259" i="8" s="1"/>
  <c r="BG250" i="8"/>
  <c r="BG259" i="8" s="1"/>
  <c r="BR250" i="8"/>
  <c r="BR259" i="8" s="1"/>
  <c r="W251" i="8"/>
  <c r="W260" i="8" s="1"/>
  <c r="W259" i="8"/>
  <c r="BB250" i="8"/>
  <c r="BB259" i="8" s="1"/>
  <c r="AG251" i="8"/>
  <c r="AG260" i="8" s="1"/>
  <c r="AG259" i="8"/>
  <c r="AJ250" i="8"/>
  <c r="AJ259" i="8" s="1"/>
  <c r="BM250" i="8"/>
  <c r="BM259" i="8" s="1"/>
  <c r="BP251" i="8"/>
  <c r="BP260" i="8" s="1"/>
  <c r="BP259" i="8"/>
  <c r="AX250" i="8"/>
  <c r="AX259" i="8" s="1"/>
  <c r="AC250" i="8"/>
  <c r="AC259" i="8" s="1"/>
  <c r="AD250" i="8"/>
  <c r="AD259" i="8" s="1"/>
  <c r="BL250" i="8"/>
  <c r="BL259" i="8" s="1"/>
  <c r="AQ250" i="8"/>
  <c r="AQ259" i="8" s="1"/>
  <c r="BI250" i="8"/>
  <c r="BI259" i="8" s="1"/>
  <c r="T250" i="8"/>
  <c r="T259" i="8" s="1"/>
  <c r="AL250" i="8"/>
  <c r="AL259" i="8" s="1"/>
  <c r="BF250" i="8"/>
  <c r="BF259" i="8" s="1"/>
  <c r="AK250" i="8"/>
  <c r="AK259" i="8" s="1"/>
  <c r="V250" i="8"/>
  <c r="V259" i="8" s="1"/>
  <c r="BA250" i="8"/>
  <c r="BA259" i="8" s="1"/>
  <c r="BJ250" i="8"/>
  <c r="BJ259" i="8" s="1"/>
  <c r="BD250" i="8"/>
  <c r="BD259" i="8" s="1"/>
  <c r="R251" i="8"/>
  <c r="R260" i="8" s="1"/>
  <c r="R259" i="8"/>
  <c r="AW250" i="8"/>
  <c r="AW259" i="8" s="1"/>
  <c r="S250" i="8"/>
  <c r="S259" i="8" s="1"/>
  <c r="AF250" i="8"/>
  <c r="AF259" i="8" s="1"/>
  <c r="BK250" i="8"/>
  <c r="BK259" i="8" s="1"/>
  <c r="AP250" i="8"/>
  <c r="AP259" i="8" s="1"/>
  <c r="P250" i="8"/>
  <c r="P259" i="8" s="1"/>
  <c r="AB250" i="8"/>
  <c r="AB259" i="8" s="1"/>
  <c r="BS260" i="8"/>
  <c r="O345" i="5"/>
  <c r="O346" i="5" s="1"/>
  <c r="P343" i="5" s="1"/>
  <c r="O339" i="5"/>
  <c r="O340" i="5" s="1"/>
  <c r="P337" i="5" s="1"/>
  <c r="M334" i="5"/>
  <c r="N331" i="5" s="1"/>
  <c r="I411" i="5"/>
  <c r="H495" i="5" s="1"/>
  <c r="L427" i="5" a="1"/>
  <c r="L427" i="5" s="1"/>
  <c r="I427" i="5" s="1"/>
  <c r="L413" i="5"/>
  <c r="M413" i="5" s="1"/>
  <c r="N413" i="5" s="1"/>
  <c r="O413" i="5" s="1"/>
  <c r="P413" i="5" s="1"/>
  <c r="Q413" i="5" s="1"/>
  <c r="R413" i="5" s="1"/>
  <c r="S413" i="5" s="1"/>
  <c r="T413" i="5" s="1"/>
  <c r="U413" i="5" s="1"/>
  <c r="V413" i="5" s="1"/>
  <c r="W413" i="5" s="1"/>
  <c r="X413" i="5" s="1"/>
  <c r="Y413" i="5" s="1"/>
  <c r="Z413" i="5" s="1"/>
  <c r="AA413" i="5" s="1"/>
  <c r="AB413" i="5" s="1"/>
  <c r="AC413" i="5" s="1"/>
  <c r="I416" i="5"/>
  <c r="I415" i="5"/>
  <c r="Z295" i="23" l="1"/>
  <c r="AA203" i="23"/>
  <c r="AA311" i="23" s="1"/>
  <c r="Z297" i="23"/>
  <c r="Z289" i="23"/>
  <c r="W358" i="11"/>
  <c r="BP288" i="9"/>
  <c r="BP289" i="9" s="1"/>
  <c r="BP272" i="9"/>
  <c r="BP273" i="9" s="1"/>
  <c r="L388" i="11"/>
  <c r="L389" i="11" s="1"/>
  <c r="M386" i="11" s="1"/>
  <c r="M388" i="11" s="1"/>
  <c r="M389" i="11" s="1"/>
  <c r="N386" i="11" s="1"/>
  <c r="BD438" i="11"/>
  <c r="BD454" i="11" s="1"/>
  <c r="AZ438" i="11"/>
  <c r="AZ454" i="11" s="1"/>
  <c r="AF438" i="11"/>
  <c r="AF454" i="11" s="1"/>
  <c r="BQ438" i="11"/>
  <c r="BQ454" i="11" s="1"/>
  <c r="AT438" i="11"/>
  <c r="AT454" i="11" s="1"/>
  <c r="AX438" i="11"/>
  <c r="AX454" i="11" s="1"/>
  <c r="BR438" i="11"/>
  <c r="BR454" i="11" s="1"/>
  <c r="AO438" i="11"/>
  <c r="AO454" i="11" s="1"/>
  <c r="BM438" i="11"/>
  <c r="BM454" i="11" s="1"/>
  <c r="AA438" i="11"/>
  <c r="AA454" i="11" s="1"/>
  <c r="AU438" i="11"/>
  <c r="AU454" i="11" s="1"/>
  <c r="AY438" i="11"/>
  <c r="AY454" i="11" s="1"/>
  <c r="BS438" i="11"/>
  <c r="BS454" i="11" s="1"/>
  <c r="AS438" i="11"/>
  <c r="AS454" i="11" s="1"/>
  <c r="AK438" i="11"/>
  <c r="AK454" i="11" s="1"/>
  <c r="BG438" i="11"/>
  <c r="BG454" i="11" s="1"/>
  <c r="N438" i="11"/>
  <c r="N454" i="11" s="1"/>
  <c r="T438" i="11"/>
  <c r="T454" i="11" s="1"/>
  <c r="S438" i="11"/>
  <c r="S454" i="11" s="1"/>
  <c r="AM438" i="11"/>
  <c r="AM454" i="11" s="1"/>
  <c r="AR438" i="11"/>
  <c r="AR454" i="11" s="1"/>
  <c r="AP438" i="11"/>
  <c r="AP454" i="11" s="1"/>
  <c r="BL438" i="11"/>
  <c r="BL454" i="11" s="1"/>
  <c r="O438" i="11"/>
  <c r="O454" i="11" s="1"/>
  <c r="M438" i="11"/>
  <c r="M454" i="11" s="1"/>
  <c r="R438" i="11"/>
  <c r="R454" i="11" s="1"/>
  <c r="X438" i="11"/>
  <c r="X454" i="11" s="1"/>
  <c r="AG438" i="11"/>
  <c r="AG454" i="11" s="1"/>
  <c r="AL438" i="11"/>
  <c r="AL454" i="11" s="1"/>
  <c r="BA438" i="11"/>
  <c r="BA454" i="11" s="1"/>
  <c r="BF438" i="11"/>
  <c r="BF454" i="11" s="1"/>
  <c r="P438" i="11"/>
  <c r="P454" i="11" s="1"/>
  <c r="Y438" i="11"/>
  <c r="Y454" i="11" s="1"/>
  <c r="AD438" i="11"/>
  <c r="AD454" i="11" s="1"/>
  <c r="AE438" i="11"/>
  <c r="AE454" i="11" s="1"/>
  <c r="AJ438" i="11"/>
  <c r="AJ454" i="11" s="1"/>
  <c r="AC438" i="11"/>
  <c r="AC454" i="11" s="1"/>
  <c r="AH438" i="11"/>
  <c r="AH454" i="11" s="1"/>
  <c r="AI438" i="11"/>
  <c r="AI454" i="11" s="1"/>
  <c r="AN438" i="11"/>
  <c r="AN454" i="11" s="1"/>
  <c r="AW438" i="11"/>
  <c r="AW454" i="11" s="1"/>
  <c r="BB438" i="11"/>
  <c r="BB454" i="11" s="1"/>
  <c r="BC438" i="11"/>
  <c r="BC454" i="11" s="1"/>
  <c r="BH438" i="11"/>
  <c r="BH454" i="11" s="1"/>
  <c r="U438" i="11"/>
  <c r="U454" i="11" s="1"/>
  <c r="Z438" i="11"/>
  <c r="Z454" i="11" s="1"/>
  <c r="AQ438" i="11"/>
  <c r="AQ454" i="11" s="1"/>
  <c r="AV438" i="11"/>
  <c r="AV454" i="11" s="1"/>
  <c r="BE438" i="11"/>
  <c r="BE454" i="11" s="1"/>
  <c r="BJ438" i="11"/>
  <c r="BJ454" i="11" s="1"/>
  <c r="BK438" i="11"/>
  <c r="BK454" i="11" s="1"/>
  <c r="BP438" i="11"/>
  <c r="BP454" i="11" s="1"/>
  <c r="BI438" i="11"/>
  <c r="BI454" i="11" s="1"/>
  <c r="BN438" i="11"/>
  <c r="BN454" i="11" s="1"/>
  <c r="BO438" i="11"/>
  <c r="BO454" i="11" s="1"/>
  <c r="Q438" i="11"/>
  <c r="Q454" i="11" s="1"/>
  <c r="V438" i="11"/>
  <c r="V454" i="11" s="1"/>
  <c r="W438" i="11"/>
  <c r="W454" i="11" s="1"/>
  <c r="AB438" i="11"/>
  <c r="AB454" i="11" s="1"/>
  <c r="I342" i="11"/>
  <c r="L376" i="11"/>
  <c r="L343" i="11"/>
  <c r="I343" i="11" s="1"/>
  <c r="BQ267" i="9"/>
  <c r="L297" i="18" a="1"/>
  <c r="BS279" i="18"/>
  <c r="L327" i="18" a="1"/>
  <c r="I276" i="18"/>
  <c r="H276" i="18" s="1"/>
  <c r="L334" i="18" a="1"/>
  <c r="L334" i="18" s="1"/>
  <c r="I334" i="18" s="1"/>
  <c r="L290" i="20"/>
  <c r="L318" i="20" s="1" a="1"/>
  <c r="BC300" i="20"/>
  <c r="BC309" i="20" s="1"/>
  <c r="AE300" i="20"/>
  <c r="AE309" i="20" s="1"/>
  <c r="AA300" i="20"/>
  <c r="AA309" i="20" s="1"/>
  <c r="BK300" i="20"/>
  <c r="BK309" i="20" s="1"/>
  <c r="AM300" i="20"/>
  <c r="AM309" i="20" s="1"/>
  <c r="O300" i="20"/>
  <c r="O309" i="20" s="1"/>
  <c r="BS300" i="20"/>
  <c r="BS309" i="20" s="1"/>
  <c r="W300" i="20"/>
  <c r="W309" i="20" s="1"/>
  <c r="AY300" i="20"/>
  <c r="AY309" i="20" s="1"/>
  <c r="AU300" i="20"/>
  <c r="AU309" i="20" s="1"/>
  <c r="BG300" i="20"/>
  <c r="BG309" i="20" s="1"/>
  <c r="S300" i="20"/>
  <c r="S309" i="20" s="1"/>
  <c r="AI300" i="20"/>
  <c r="AI309" i="20" s="1"/>
  <c r="BO300" i="20"/>
  <c r="BO309" i="20" s="1"/>
  <c r="AQ300" i="20"/>
  <c r="AQ309" i="20" s="1"/>
  <c r="I297" i="20"/>
  <c r="L299" i="20"/>
  <c r="BN300" i="20"/>
  <c r="BN309" i="20" s="1"/>
  <c r="AB300" i="20"/>
  <c r="AB309" i="20" s="1"/>
  <c r="BM300" i="20"/>
  <c r="BM309" i="20" s="1"/>
  <c r="AT300" i="20"/>
  <c r="AT309" i="20" s="1"/>
  <c r="AW300" i="20"/>
  <c r="AW309" i="20" s="1"/>
  <c r="BR300" i="20"/>
  <c r="BR309" i="20" s="1"/>
  <c r="AF300" i="20"/>
  <c r="AF309" i="20" s="1"/>
  <c r="BJ300" i="20"/>
  <c r="BJ309" i="20" s="1"/>
  <c r="BA300" i="20"/>
  <c r="BA309" i="20" s="1"/>
  <c r="BI300" i="20"/>
  <c r="BI309" i="20" s="1"/>
  <c r="AR300" i="20"/>
  <c r="AR309" i="20" s="1"/>
  <c r="AN300" i="20"/>
  <c r="AN309" i="20" s="1"/>
  <c r="N300" i="20"/>
  <c r="N309" i="20" s="1"/>
  <c r="AC300" i="20"/>
  <c r="AC309" i="20" s="1"/>
  <c r="AX300" i="20"/>
  <c r="AX309" i="20" s="1"/>
  <c r="AV300" i="20"/>
  <c r="AV309" i="20" s="1"/>
  <c r="BQ300" i="20"/>
  <c r="BQ309" i="20" s="1"/>
  <c r="AZ300" i="20"/>
  <c r="AZ309" i="20" s="1"/>
  <c r="AJ300" i="20"/>
  <c r="AJ309" i="20" s="1"/>
  <c r="AS300" i="20"/>
  <c r="AS309" i="20" s="1"/>
  <c r="U300" i="20"/>
  <c r="U309" i="20" s="1"/>
  <c r="AP300" i="20"/>
  <c r="AP309" i="20" s="1"/>
  <c r="AO300" i="20"/>
  <c r="AO309" i="20" s="1"/>
  <c r="Z300" i="20"/>
  <c r="Z309" i="20" s="1"/>
  <c r="BP300" i="20"/>
  <c r="BP309" i="20" s="1"/>
  <c r="X300" i="20"/>
  <c r="X309" i="20" s="1"/>
  <c r="R300" i="20"/>
  <c r="R309" i="20" s="1"/>
  <c r="BH300" i="20"/>
  <c r="BH309" i="20" s="1"/>
  <c r="AD300" i="20"/>
  <c r="AD309" i="20" s="1"/>
  <c r="AK300" i="20"/>
  <c r="AK309" i="20" s="1"/>
  <c r="BF300" i="20"/>
  <c r="BF309" i="20" s="1"/>
  <c r="T300" i="20"/>
  <c r="T309" i="20" s="1"/>
  <c r="V300" i="20"/>
  <c r="V309" i="20" s="1"/>
  <c r="BL300" i="20"/>
  <c r="BL309" i="20" s="1"/>
  <c r="BD300" i="20"/>
  <c r="BD309" i="20" s="1"/>
  <c r="M300" i="20"/>
  <c r="M309" i="20" s="1"/>
  <c r="AH300" i="20"/>
  <c r="AH309" i="20" s="1"/>
  <c r="BE300" i="20"/>
  <c r="BE309" i="20" s="1"/>
  <c r="AG300" i="20"/>
  <c r="AG309" i="20" s="1"/>
  <c r="BB300" i="20"/>
  <c r="BB309" i="20" s="1"/>
  <c r="P300" i="20"/>
  <c r="P309" i="20" s="1"/>
  <c r="Q300" i="20"/>
  <c r="Q309" i="20" s="1"/>
  <c r="AL300" i="20"/>
  <c r="AL309" i="20" s="1"/>
  <c r="Y300" i="20"/>
  <c r="Y309" i="20" s="1"/>
  <c r="L241" i="8"/>
  <c r="I241" i="8" s="1"/>
  <c r="I242" i="8"/>
  <c r="I248" i="8"/>
  <c r="L251" i="8"/>
  <c r="L260" i="8" s="1"/>
  <c r="AN358" i="11"/>
  <c r="AQ353" i="11"/>
  <c r="I546" i="11"/>
  <c r="M353" i="11"/>
  <c r="BD358" i="11"/>
  <c r="BS353" i="11"/>
  <c r="AT353" i="11"/>
  <c r="AD358" i="11"/>
  <c r="AE358" i="11"/>
  <c r="I334" i="11"/>
  <c r="I348" i="11"/>
  <c r="I357" i="11"/>
  <c r="I352" i="11"/>
  <c r="V358" i="11"/>
  <c r="BR255" i="9"/>
  <c r="BR257" i="9" s="1"/>
  <c r="BR261" i="9" s="1"/>
  <c r="I356" i="11"/>
  <c r="L358" i="11"/>
  <c r="M383" i="11"/>
  <c r="N380" i="11" s="1"/>
  <c r="I351" i="11"/>
  <c r="L353" i="11"/>
  <c r="L438" i="11"/>
  <c r="I436" i="11"/>
  <c r="BR232" i="10"/>
  <c r="BR234" i="10" s="1"/>
  <c r="BQ235" i="10"/>
  <c r="BQ263" i="10"/>
  <c r="BQ265" i="10" s="1"/>
  <c r="BQ266" i="10" s="1"/>
  <c r="I226" i="10"/>
  <c r="H226" i="10" s="1"/>
  <c r="BS227" i="10"/>
  <c r="L276" i="10" a="1"/>
  <c r="L276" i="10" s="1"/>
  <c r="L283" i="10" a="1"/>
  <c r="L283" i="10" s="1"/>
  <c r="BQ250" i="10"/>
  <c r="BQ251" i="10" s="1"/>
  <c r="BQ257" i="10"/>
  <c r="BQ259" i="10" s="1"/>
  <c r="BQ260" i="10" s="1"/>
  <c r="BR250" i="10"/>
  <c r="BR251" i="10" s="1"/>
  <c r="BS232" i="10"/>
  <c r="BS234" i="10" s="1"/>
  <c r="BS246" i="10"/>
  <c r="BS248" i="10" s="1"/>
  <c r="I229" i="10"/>
  <c r="H229" i="10" s="1"/>
  <c r="BP295" i="9"/>
  <c r="BP297" i="9" s="1"/>
  <c r="BP298" i="9" s="1"/>
  <c r="BP307" i="9" s="1"/>
  <c r="I243" i="9"/>
  <c r="BS245" i="9"/>
  <c r="L276" i="8" a="1"/>
  <c r="M277" i="8" s="1"/>
  <c r="L477" i="8" a="1"/>
  <c r="L477" i="8" s="1"/>
  <c r="L270" i="8" a="1"/>
  <c r="L270" i="8" s="1"/>
  <c r="P251" i="8"/>
  <c r="P260" i="8" s="1"/>
  <c r="BK251" i="8"/>
  <c r="BK260" i="8" s="1"/>
  <c r="S251" i="8"/>
  <c r="S260" i="8" s="1"/>
  <c r="BJ251" i="8"/>
  <c r="BJ260" i="8" s="1"/>
  <c r="V251" i="8"/>
  <c r="V260" i="8" s="1"/>
  <c r="BF251" i="8"/>
  <c r="BF260" i="8" s="1"/>
  <c r="T251" i="8"/>
  <c r="T260" i="8" s="1"/>
  <c r="AQ251" i="8"/>
  <c r="AQ260" i="8" s="1"/>
  <c r="AD251" i="8"/>
  <c r="AD260" i="8" s="1"/>
  <c r="AX251" i="8"/>
  <c r="AX260" i="8" s="1"/>
  <c r="BM251" i="8"/>
  <c r="BM260" i="8" s="1"/>
  <c r="BG251" i="8"/>
  <c r="BG260" i="8" s="1"/>
  <c r="Z251" i="8"/>
  <c r="Z260" i="8" s="1"/>
  <c r="BO251" i="8"/>
  <c r="BO260" i="8" s="1"/>
  <c r="AN251" i="8"/>
  <c r="AN260" i="8" s="1"/>
  <c r="BQ251" i="8"/>
  <c r="BQ260" i="8" s="1"/>
  <c r="BC251" i="8"/>
  <c r="BC260" i="8" s="1"/>
  <c r="AT251" i="8"/>
  <c r="AT260" i="8" s="1"/>
  <c r="BH251" i="8"/>
  <c r="BH260" i="8" s="1"/>
  <c r="AO251" i="8"/>
  <c r="AO260" i="8" s="1"/>
  <c r="BE251" i="8"/>
  <c r="BE260" i="8" s="1"/>
  <c r="AV251" i="8"/>
  <c r="AV260" i="8" s="1"/>
  <c r="AZ251" i="8"/>
  <c r="AZ260" i="8" s="1"/>
  <c r="U251" i="8"/>
  <c r="U260" i="8" s="1"/>
  <c r="AI251" i="8"/>
  <c r="AI260" i="8" s="1"/>
  <c r="I259" i="8"/>
  <c r="AB251" i="8"/>
  <c r="AB260" i="8" s="1"/>
  <c r="AP251" i="8"/>
  <c r="AP260" i="8" s="1"/>
  <c r="AF251" i="8"/>
  <c r="AF260" i="8" s="1"/>
  <c r="AW251" i="8"/>
  <c r="AW260" i="8" s="1"/>
  <c r="BD251" i="8"/>
  <c r="BD260" i="8" s="1"/>
  <c r="BA251" i="8"/>
  <c r="BA260" i="8" s="1"/>
  <c r="AK251" i="8"/>
  <c r="AK260" i="8" s="1"/>
  <c r="AL251" i="8"/>
  <c r="AL260" i="8" s="1"/>
  <c r="BI251" i="8"/>
  <c r="BI260" i="8" s="1"/>
  <c r="BL251" i="8"/>
  <c r="BL260" i="8" s="1"/>
  <c r="AC251" i="8"/>
  <c r="AC260" i="8" s="1"/>
  <c r="AJ251" i="8"/>
  <c r="AJ260" i="8" s="1"/>
  <c r="BB251" i="8"/>
  <c r="BB260" i="8" s="1"/>
  <c r="BR251" i="8"/>
  <c r="BR260" i="8" s="1"/>
  <c r="BN251" i="8"/>
  <c r="BN260" i="8" s="1"/>
  <c r="AR251" i="8"/>
  <c r="AR260" i="8" s="1"/>
  <c r="M251" i="8"/>
  <c r="M260" i="8" s="1"/>
  <c r="AU251" i="8"/>
  <c r="AU260" i="8" s="1"/>
  <c r="N251" i="8"/>
  <c r="N260" i="8" s="1"/>
  <c r="AH251" i="8"/>
  <c r="AH260" i="8" s="1"/>
  <c r="AM251" i="8"/>
  <c r="AM260" i="8" s="1"/>
  <c r="AA251" i="8"/>
  <c r="AA260" i="8" s="1"/>
  <c r="AS251" i="8"/>
  <c r="AS260" i="8" s="1"/>
  <c r="AE251" i="8"/>
  <c r="AE260" i="8" s="1"/>
  <c r="AY251" i="8"/>
  <c r="AY260" i="8" s="1"/>
  <c r="I250" i="8"/>
  <c r="I476" i="8"/>
  <c r="P339" i="5"/>
  <c r="P340" i="5" s="1"/>
  <c r="Q337" i="5" s="1"/>
  <c r="P345" i="5"/>
  <c r="P346" i="5" s="1"/>
  <c r="Q343" i="5" s="1"/>
  <c r="N333" i="5"/>
  <c r="N349" i="5" s="1"/>
  <c r="AD413" i="5"/>
  <c r="M567" i="18" l="1"/>
  <c r="Q567" i="18"/>
  <c r="U567" i="18"/>
  <c r="Y567" i="18"/>
  <c r="AC567" i="18"/>
  <c r="AG567" i="18"/>
  <c r="AK567" i="18"/>
  <c r="AO567" i="18"/>
  <c r="AS567" i="18"/>
  <c r="AW567" i="18"/>
  <c r="BA567" i="18"/>
  <c r="BE567" i="18"/>
  <c r="BI567" i="18"/>
  <c r="BM567" i="18"/>
  <c r="BQ567" i="18"/>
  <c r="N567" i="18"/>
  <c r="R567" i="18"/>
  <c r="V567" i="18"/>
  <c r="Z567" i="18"/>
  <c r="AD567" i="18"/>
  <c r="AH567" i="18"/>
  <c r="AL567" i="18"/>
  <c r="AP567" i="18"/>
  <c r="AT567" i="18"/>
  <c r="AX567" i="18"/>
  <c r="BB567" i="18"/>
  <c r="BF567" i="18"/>
  <c r="BJ567" i="18"/>
  <c r="BN567" i="18"/>
  <c r="BR567" i="18"/>
  <c r="O567" i="18"/>
  <c r="S567" i="18"/>
  <c r="W567" i="18"/>
  <c r="AA567" i="18"/>
  <c r="AE567" i="18"/>
  <c r="AI567" i="18"/>
  <c r="AM567" i="18"/>
  <c r="AQ567" i="18"/>
  <c r="AU567" i="18"/>
  <c r="AY567" i="18"/>
  <c r="BC567" i="18"/>
  <c r="BG567" i="18"/>
  <c r="BK567" i="18"/>
  <c r="BO567" i="18"/>
  <c r="BS567" i="18"/>
  <c r="P567" i="18"/>
  <c r="T567" i="18"/>
  <c r="X567" i="18"/>
  <c r="AB567" i="18"/>
  <c r="AF567" i="18"/>
  <c r="AJ567" i="18"/>
  <c r="AN567" i="18"/>
  <c r="AR567" i="18"/>
  <c r="AV567" i="18"/>
  <c r="AZ567" i="18"/>
  <c r="BD567" i="18"/>
  <c r="BH567" i="18"/>
  <c r="BL567" i="18"/>
  <c r="BP567" i="18"/>
  <c r="M560" i="20"/>
  <c r="Q560" i="20"/>
  <c r="U560" i="20"/>
  <c r="Y560" i="20"/>
  <c r="AC560" i="20"/>
  <c r="AG560" i="20"/>
  <c r="AK560" i="20"/>
  <c r="AO560" i="20"/>
  <c r="AS560" i="20"/>
  <c r="AW560" i="20"/>
  <c r="BA560" i="20"/>
  <c r="BE560" i="20"/>
  <c r="BI560" i="20"/>
  <c r="BM560" i="20"/>
  <c r="BQ560" i="20"/>
  <c r="N560" i="20"/>
  <c r="R560" i="20"/>
  <c r="V560" i="20"/>
  <c r="Z560" i="20"/>
  <c r="AD560" i="20"/>
  <c r="AH560" i="20"/>
  <c r="AL560" i="20"/>
  <c r="AP560" i="20"/>
  <c r="AT560" i="20"/>
  <c r="AX560" i="20"/>
  <c r="BB560" i="20"/>
  <c r="BF560" i="20"/>
  <c r="BJ560" i="20"/>
  <c r="BN560" i="20"/>
  <c r="BR560" i="20"/>
  <c r="O560" i="20"/>
  <c r="S560" i="20"/>
  <c r="W560" i="20"/>
  <c r="AA560" i="20"/>
  <c r="AE560" i="20"/>
  <c r="AI560" i="20"/>
  <c r="AM560" i="20"/>
  <c r="AQ560" i="20"/>
  <c r="AU560" i="20"/>
  <c r="AY560" i="20"/>
  <c r="BC560" i="20"/>
  <c r="BG560" i="20"/>
  <c r="BK560" i="20"/>
  <c r="BO560" i="20"/>
  <c r="BS560" i="20"/>
  <c r="P560" i="20"/>
  <c r="T560" i="20"/>
  <c r="X560" i="20"/>
  <c r="AB560" i="20"/>
  <c r="AF560" i="20"/>
  <c r="AJ560" i="20"/>
  <c r="AN560" i="20"/>
  <c r="AR560" i="20"/>
  <c r="AV560" i="20"/>
  <c r="AZ560" i="20"/>
  <c r="BD560" i="20"/>
  <c r="BH560" i="20"/>
  <c r="BL560" i="20"/>
  <c r="BP560" i="20"/>
  <c r="AA313" i="23"/>
  <c r="AA315" i="23"/>
  <c r="Z299" i="23"/>
  <c r="Z322" i="23" s="1"/>
  <c r="Z303" i="23"/>
  <c r="Z334" i="23" s="1"/>
  <c r="Z336" i="23" s="1"/>
  <c r="AA262" i="23"/>
  <c r="AA264" i="23" s="1"/>
  <c r="AA225" i="23"/>
  <c r="AA227" i="23" s="1"/>
  <c r="BQ270" i="9"/>
  <c r="L392" i="11"/>
  <c r="I462" i="11"/>
  <c r="L377" i="11"/>
  <c r="M374" i="11" s="1"/>
  <c r="M376" i="11" s="1"/>
  <c r="M392" i="11" s="1"/>
  <c r="L327" i="18"/>
  <c r="L318" i="20"/>
  <c r="L560" i="20" s="1"/>
  <c r="BR263" i="9"/>
  <c r="BR264" i="9" s="1"/>
  <c r="BS262" i="9" s="1"/>
  <c r="BQ284" i="9"/>
  <c r="BH301" i="18"/>
  <c r="AY301" i="18"/>
  <c r="AT301" i="18"/>
  <c r="BA301" i="18"/>
  <c r="BP301" i="18"/>
  <c r="AE301" i="18"/>
  <c r="Z301" i="18"/>
  <c r="AG301" i="18"/>
  <c r="T301" i="18"/>
  <c r="BR301" i="18"/>
  <c r="AZ301" i="18"/>
  <c r="M301" i="18"/>
  <c r="BC301" i="18"/>
  <c r="AX301" i="18"/>
  <c r="BE301" i="18"/>
  <c r="X301" i="18"/>
  <c r="AI301" i="18"/>
  <c r="AD301" i="18"/>
  <c r="AK301" i="18"/>
  <c r="AF301" i="18"/>
  <c r="O301" i="18"/>
  <c r="BL301" i="18"/>
  <c r="Q301" i="18"/>
  <c r="BG301" i="18"/>
  <c r="BB301" i="18"/>
  <c r="BI301" i="18"/>
  <c r="AB301" i="18"/>
  <c r="AM301" i="18"/>
  <c r="AH301" i="18"/>
  <c r="AO301" i="18"/>
  <c r="AN301" i="18"/>
  <c r="S301" i="18"/>
  <c r="N301" i="18"/>
  <c r="U301" i="18"/>
  <c r="BK301" i="18"/>
  <c r="BF301" i="18"/>
  <c r="BM301" i="18"/>
  <c r="AJ301" i="18"/>
  <c r="AQ301" i="18"/>
  <c r="AL301" i="18"/>
  <c r="AS301" i="18"/>
  <c r="AR301" i="18"/>
  <c r="W301" i="18"/>
  <c r="R301" i="18"/>
  <c r="Y301" i="18"/>
  <c r="BO301" i="18"/>
  <c r="BJ301" i="18"/>
  <c r="BQ301" i="18"/>
  <c r="AV301" i="18"/>
  <c r="AU301" i="18"/>
  <c r="AP301" i="18"/>
  <c r="AW301" i="18"/>
  <c r="BD301" i="18"/>
  <c r="AA301" i="18"/>
  <c r="V301" i="18"/>
  <c r="AC301" i="18"/>
  <c r="BS301" i="18"/>
  <c r="BN301" i="18"/>
  <c r="P301" i="18"/>
  <c r="BS314" i="18"/>
  <c r="I279" i="18"/>
  <c r="BS285" i="18"/>
  <c r="BS286" i="18" s="1"/>
  <c r="L297" i="18"/>
  <c r="I290" i="20"/>
  <c r="I299" i="20"/>
  <c r="L308" i="20"/>
  <c r="L300" i="20"/>
  <c r="I526" i="20"/>
  <c r="L269" i="8" a="1"/>
  <c r="L269" i="8" s="1"/>
  <c r="I269" i="8" s="1"/>
  <c r="I477" i="8"/>
  <c r="I353" i="11"/>
  <c r="I358" i="11"/>
  <c r="BR258" i="9"/>
  <c r="BS256" i="9" s="1"/>
  <c r="BS249" i="9"/>
  <c r="N388" i="11"/>
  <c r="N389" i="11" s="1"/>
  <c r="O386" i="11" s="1"/>
  <c r="N382" i="11"/>
  <c r="N383" i="11" s="1"/>
  <c r="O380" i="11" s="1"/>
  <c r="L454" i="11"/>
  <c r="I438" i="11"/>
  <c r="BR257" i="10"/>
  <c r="BR259" i="10" s="1"/>
  <c r="BR235" i="10"/>
  <c r="BR263" i="10"/>
  <c r="BR265" i="10" s="1"/>
  <c r="BR266" i="10" s="1"/>
  <c r="L284" i="10" a="1"/>
  <c r="L284" i="10" s="1"/>
  <c r="I284" i="10" s="1"/>
  <c r="BQ269" i="10"/>
  <c r="L277" i="10" a="1"/>
  <c r="L277" i="10" s="1"/>
  <c r="I277" i="10" s="1"/>
  <c r="BS263" i="10"/>
  <c r="BS265" i="10" s="1"/>
  <c r="BS257" i="10"/>
  <c r="BS259" i="10" s="1"/>
  <c r="BS260" i="10" s="1"/>
  <c r="BQ268" i="10"/>
  <c r="BS250" i="10"/>
  <c r="I234" i="10"/>
  <c r="I232" i="10"/>
  <c r="BS235" i="10"/>
  <c r="I248" i="10"/>
  <c r="I246" i="10"/>
  <c r="BP306" i="9"/>
  <c r="BS246" i="9"/>
  <c r="I245" i="9"/>
  <c r="H245" i="9" s="1"/>
  <c r="L276" i="8"/>
  <c r="I276" i="8" s="1"/>
  <c r="Y277" i="8"/>
  <c r="Y281" i="8" s="1"/>
  <c r="AE277" i="8"/>
  <c r="AE295" i="8" s="1"/>
  <c r="AV277" i="8"/>
  <c r="AV281" i="8" s="1"/>
  <c r="AF277" i="8"/>
  <c r="AF281" i="8" s="1"/>
  <c r="BA277" i="8"/>
  <c r="BA281" i="8" s="1"/>
  <c r="AO277" i="8"/>
  <c r="AO294" i="8" s="1"/>
  <c r="AN277" i="8"/>
  <c r="AN281" i="8" s="1"/>
  <c r="BD277" i="8"/>
  <c r="BD294" i="8" s="1"/>
  <c r="R277" i="8"/>
  <c r="R281" i="8" s="1"/>
  <c r="BF277" i="8"/>
  <c r="BF295" i="8" s="1"/>
  <c r="P277" i="8"/>
  <c r="P294" i="8" s="1"/>
  <c r="AW277" i="8"/>
  <c r="AW281" i="8" s="1"/>
  <c r="AP277" i="8"/>
  <c r="AP294" i="8" s="1"/>
  <c r="BK277" i="8"/>
  <c r="BK281" i="8" s="1"/>
  <c r="BP277" i="8"/>
  <c r="BP295" i="8" s="1"/>
  <c r="T277" i="8"/>
  <c r="T294" i="8" s="1"/>
  <c r="AQ277" i="8"/>
  <c r="AQ295" i="8" s="1"/>
  <c r="S277" i="8"/>
  <c r="S295" i="8" s="1"/>
  <c r="AR277" i="8"/>
  <c r="AR295" i="8" s="1"/>
  <c r="BL277" i="8"/>
  <c r="BL294" i="8" s="1"/>
  <c r="V277" i="8"/>
  <c r="V295" i="8" s="1"/>
  <c r="BS277" i="8"/>
  <c r="BS295" i="8" s="1"/>
  <c r="U277" i="8"/>
  <c r="U295" i="8" s="1"/>
  <c r="BQ277" i="8"/>
  <c r="BQ294" i="8" s="1"/>
  <c r="W277" i="8"/>
  <c r="W294" i="8" s="1"/>
  <c r="AU277" i="8"/>
  <c r="AU281" i="8" s="1"/>
  <c r="AT277" i="8"/>
  <c r="AT295" i="8" s="1"/>
  <c r="X277" i="8"/>
  <c r="X295" i="8" s="1"/>
  <c r="AA277" i="8"/>
  <c r="AA295" i="8" s="1"/>
  <c r="BB277" i="8"/>
  <c r="BB295" i="8" s="1"/>
  <c r="AD277" i="8"/>
  <c r="AD295" i="8" s="1"/>
  <c r="BN277" i="8"/>
  <c r="BN295" i="8" s="1"/>
  <c r="AZ277" i="8"/>
  <c r="AZ294" i="8" s="1"/>
  <c r="Z277" i="8"/>
  <c r="Z294" i="8" s="1"/>
  <c r="AS277" i="8"/>
  <c r="AS295" i="8" s="1"/>
  <c r="AG277" i="8"/>
  <c r="AG295" i="8" s="1"/>
  <c r="Q277" i="8"/>
  <c r="Q294" i="8" s="1"/>
  <c r="AH277" i="8"/>
  <c r="AH295" i="8" s="1"/>
  <c r="BC277" i="8"/>
  <c r="BC281" i="8" s="1"/>
  <c r="BI277" i="8"/>
  <c r="BI294" i="8" s="1"/>
  <c r="AJ277" i="8"/>
  <c r="AJ295" i="8" s="1"/>
  <c r="AB277" i="8"/>
  <c r="AB295" i="8" s="1"/>
  <c r="AX277" i="8"/>
  <c r="AX295" i="8" s="1"/>
  <c r="BH277" i="8"/>
  <c r="BH294" i="8" s="1"/>
  <c r="O277" i="8"/>
  <c r="O295" i="8" s="1"/>
  <c r="BM277" i="8"/>
  <c r="BM294" i="8" s="1"/>
  <c r="BO277" i="8"/>
  <c r="BO295" i="8" s="1"/>
  <c r="BJ277" i="8"/>
  <c r="BJ281" i="8" s="1"/>
  <c r="AI277" i="8"/>
  <c r="AI294" i="8" s="1"/>
  <c r="AM277" i="8"/>
  <c r="AM295" i="8" s="1"/>
  <c r="N277" i="8"/>
  <c r="N294" i="8" s="1"/>
  <c r="AK277" i="8"/>
  <c r="AK294" i="8" s="1"/>
  <c r="BE277" i="8"/>
  <c r="BE295" i="8" s="1"/>
  <c r="AL277" i="8"/>
  <c r="AL294" i="8" s="1"/>
  <c r="BG277" i="8"/>
  <c r="BG294" i="8" s="1"/>
  <c r="BR277" i="8"/>
  <c r="BR281" i="8" s="1"/>
  <c r="AC277" i="8"/>
  <c r="AC295" i="8" s="1"/>
  <c r="AY277" i="8"/>
  <c r="AY294" i="8" s="1"/>
  <c r="I260" i="8"/>
  <c r="I251" i="8"/>
  <c r="L478" i="8" a="1"/>
  <c r="AY486" i="8" s="1"/>
  <c r="M294" i="8"/>
  <c r="M295" i="8"/>
  <c r="M281" i="8"/>
  <c r="I270" i="8"/>
  <c r="N334" i="5"/>
  <c r="O331" i="5" s="1"/>
  <c r="O333" i="5" s="1"/>
  <c r="O349" i="5" s="1"/>
  <c r="Q345" i="5"/>
  <c r="Q346" i="5" s="1"/>
  <c r="R343" i="5" s="1"/>
  <c r="Q339" i="5"/>
  <c r="Q340" i="5" s="1"/>
  <c r="R337" i="5" s="1"/>
  <c r="AE413" i="5"/>
  <c r="L567" i="18" l="1"/>
  <c r="I567" i="18" s="1"/>
  <c r="Z340" i="23"/>
  <c r="Z337" i="23"/>
  <c r="AA319" i="23"/>
  <c r="AA321" i="23" s="1"/>
  <c r="Z305" i="23"/>
  <c r="Z306" i="23" s="1"/>
  <c r="AA231" i="23"/>
  <c r="AA268" i="23"/>
  <c r="I327" i="18"/>
  <c r="BQ286" i="9"/>
  <c r="BQ272" i="9"/>
  <c r="BQ273" i="9" s="1"/>
  <c r="BQ301" i="9"/>
  <c r="BQ303" i="9" s="1"/>
  <c r="BQ304" i="9" s="1"/>
  <c r="BR267" i="9"/>
  <c r="AS308" i="18"/>
  <c r="O308" i="18"/>
  <c r="BG308" i="18"/>
  <c r="BK308" i="18"/>
  <c r="U308" i="18"/>
  <c r="AC308" i="18"/>
  <c r="AN308" i="18"/>
  <c r="AW308" i="18"/>
  <c r="BE308" i="18"/>
  <c r="AM308" i="18"/>
  <c r="BA308" i="18"/>
  <c r="AK308" i="18"/>
  <c r="AR308" i="18"/>
  <c r="AZ308" i="18"/>
  <c r="AU308" i="18"/>
  <c r="BS308" i="18"/>
  <c r="T308" i="18"/>
  <c r="AG308" i="18"/>
  <c r="BH308" i="18"/>
  <c r="AP308" i="18"/>
  <c r="AD308" i="18"/>
  <c r="AV308" i="18"/>
  <c r="X308" i="18"/>
  <c r="Z308" i="18"/>
  <c r="AY308" i="18"/>
  <c r="AE308" i="18"/>
  <c r="BC308" i="18"/>
  <c r="BQ308" i="18"/>
  <c r="AJ308" i="18"/>
  <c r="P308" i="18"/>
  <c r="AF308" i="18"/>
  <c r="L335" i="18" a="1"/>
  <c r="L335" i="18" s="1"/>
  <c r="I335" i="18" s="1"/>
  <c r="L328" i="18" a="1"/>
  <c r="I285" i="18"/>
  <c r="R308" i="18"/>
  <c r="BL308" i="18"/>
  <c r="AO308" i="18"/>
  <c r="BI308" i="18"/>
  <c r="N308" i="18"/>
  <c r="BD308" i="18"/>
  <c r="BF308" i="18"/>
  <c r="AA308" i="18"/>
  <c r="BP308" i="18"/>
  <c r="Q308" i="18"/>
  <c r="AL308" i="18"/>
  <c r="W308" i="18"/>
  <c r="AT308" i="18"/>
  <c r="I297" i="18"/>
  <c r="M308" i="18"/>
  <c r="AB308" i="18"/>
  <c r="BO308" i="18"/>
  <c r="AQ308" i="18"/>
  <c r="AX308" i="18"/>
  <c r="BJ308" i="18"/>
  <c r="AH308" i="18"/>
  <c r="Y308" i="18"/>
  <c r="BR308" i="18"/>
  <c r="V308" i="18"/>
  <c r="BB308" i="18"/>
  <c r="BN308" i="18"/>
  <c r="AI308" i="18"/>
  <c r="BM308" i="18"/>
  <c r="S308" i="18"/>
  <c r="I286" i="18"/>
  <c r="L536" i="18" a="1"/>
  <c r="BS316" i="18"/>
  <c r="I316" i="18" s="1"/>
  <c r="I314" i="18"/>
  <c r="L319" i="20" a="1"/>
  <c r="L325" i="20" a="1"/>
  <c r="I308" i="20"/>
  <c r="L309" i="20"/>
  <c r="I300" i="20"/>
  <c r="BS271" i="8"/>
  <c r="BS289" i="8" s="1"/>
  <c r="Z271" i="8"/>
  <c r="Z290" i="8" s="1"/>
  <c r="BF271" i="8"/>
  <c r="BF290" i="8" s="1"/>
  <c r="AQ271" i="8"/>
  <c r="AQ290" i="8" s="1"/>
  <c r="BH271" i="8"/>
  <c r="BH280" i="8" s="1"/>
  <c r="BH300" i="8" s="1"/>
  <c r="V271" i="8"/>
  <c r="V289" i="8" s="1"/>
  <c r="AJ271" i="8"/>
  <c r="AJ280" i="8" s="1"/>
  <c r="AJ299" i="8" s="1"/>
  <c r="T271" i="8"/>
  <c r="T289" i="8" s="1"/>
  <c r="BQ271" i="8"/>
  <c r="BQ280" i="8" s="1"/>
  <c r="BQ299" i="8" s="1"/>
  <c r="N271" i="8"/>
  <c r="N289" i="8" s="1"/>
  <c r="BG271" i="8"/>
  <c r="BG280" i="8" s="1"/>
  <c r="BG299" i="8" s="1"/>
  <c r="AK271" i="8"/>
  <c r="AK290" i="8" s="1"/>
  <c r="O271" i="8"/>
  <c r="O280" i="8" s="1"/>
  <c r="O300" i="8" s="1"/>
  <c r="R271" i="8"/>
  <c r="R280" i="8" s="1"/>
  <c r="R299" i="8" s="1"/>
  <c r="AD271" i="8"/>
  <c r="AD290" i="8" s="1"/>
  <c r="U271" i="8"/>
  <c r="U290" i="8" s="1"/>
  <c r="BK271" i="8"/>
  <c r="BK290" i="8" s="1"/>
  <c r="AP271" i="8"/>
  <c r="AP289" i="8" s="1"/>
  <c r="X271" i="8"/>
  <c r="X280" i="8" s="1"/>
  <c r="X300" i="8" s="1"/>
  <c r="AT271" i="8"/>
  <c r="AT290" i="8" s="1"/>
  <c r="BL271" i="8"/>
  <c r="BL280" i="8" s="1"/>
  <c r="BL300" i="8" s="1"/>
  <c r="BR271" i="8"/>
  <c r="BR290" i="8" s="1"/>
  <c r="AS271" i="8"/>
  <c r="AS289" i="8" s="1"/>
  <c r="W271" i="8"/>
  <c r="W289" i="8" s="1"/>
  <c r="BA271" i="8"/>
  <c r="BA280" i="8" s="1"/>
  <c r="BA282" i="8" s="1"/>
  <c r="AY271" i="8"/>
  <c r="AY289" i="8" s="1"/>
  <c r="AH271" i="8"/>
  <c r="AH289" i="8" s="1"/>
  <c r="S271" i="8"/>
  <c r="S280" i="8" s="1"/>
  <c r="S299" i="8" s="1"/>
  <c r="M271" i="8"/>
  <c r="M290" i="8" s="1"/>
  <c r="BM271" i="8"/>
  <c r="BM280" i="8" s="1"/>
  <c r="BM300" i="8" s="1"/>
  <c r="AR271" i="8"/>
  <c r="AR289" i="8" s="1"/>
  <c r="BE271" i="8"/>
  <c r="BE290" i="8" s="1"/>
  <c r="AF271" i="8"/>
  <c r="AF280" i="8" s="1"/>
  <c r="AF282" i="8" s="1"/>
  <c r="AU271" i="8"/>
  <c r="AU290" i="8" s="1"/>
  <c r="AX271" i="8"/>
  <c r="AX290" i="8" s="1"/>
  <c r="BJ271" i="8"/>
  <c r="BJ290" i="8" s="1"/>
  <c r="P271" i="8"/>
  <c r="P280" i="8" s="1"/>
  <c r="P300" i="8" s="1"/>
  <c r="BN271" i="8"/>
  <c r="BN289" i="8" s="1"/>
  <c r="BI271" i="8"/>
  <c r="BI289" i="8" s="1"/>
  <c r="L271" i="8"/>
  <c r="AE271" i="8"/>
  <c r="AE289" i="8" s="1"/>
  <c r="Q271" i="8"/>
  <c r="Q289" i="8" s="1"/>
  <c r="BB271" i="8"/>
  <c r="BB290" i="8" s="1"/>
  <c r="AW271" i="8"/>
  <c r="AW290" i="8" s="1"/>
  <c r="AV271" i="8"/>
  <c r="AV290" i="8" s="1"/>
  <c r="AG271" i="8"/>
  <c r="AG290" i="8" s="1"/>
  <c r="BD271" i="8"/>
  <c r="BD289" i="8" s="1"/>
  <c r="AO271" i="8"/>
  <c r="AO280" i="8" s="1"/>
  <c r="AO299" i="8" s="1"/>
  <c r="BC271" i="8"/>
  <c r="BC290" i="8" s="1"/>
  <c r="BO271" i="8"/>
  <c r="BO289" i="8" s="1"/>
  <c r="AB271" i="8"/>
  <c r="AB290" i="8" s="1"/>
  <c r="AI271" i="8"/>
  <c r="AI280" i="8" s="1"/>
  <c r="AI299" i="8" s="1"/>
  <c r="Y271" i="8"/>
  <c r="Y290" i="8" s="1"/>
  <c r="AL271" i="8"/>
  <c r="AL290" i="8" s="1"/>
  <c r="AM271" i="8"/>
  <c r="AM280" i="8" s="1"/>
  <c r="AM300" i="8" s="1"/>
  <c r="AZ271" i="8"/>
  <c r="AZ280" i="8" s="1"/>
  <c r="AZ299" i="8" s="1"/>
  <c r="AN271" i="8"/>
  <c r="AN289" i="8" s="1"/>
  <c r="AA271" i="8"/>
  <c r="AA289" i="8" s="1"/>
  <c r="BP271" i="8"/>
  <c r="BP290" i="8" s="1"/>
  <c r="AC271" i="8"/>
  <c r="AC280" i="8" s="1"/>
  <c r="AC300" i="8" s="1"/>
  <c r="L470" i="11" a="1"/>
  <c r="L470" i="11" s="1"/>
  <c r="I470" i="11" s="1"/>
  <c r="I459" i="11"/>
  <c r="I461" i="11"/>
  <c r="L456" i="11"/>
  <c r="M456" i="11" s="1"/>
  <c r="N456" i="11" s="1"/>
  <c r="O456" i="11" s="1"/>
  <c r="P456" i="11" s="1"/>
  <c r="Q456" i="11" s="1"/>
  <c r="R456" i="11" s="1"/>
  <c r="S456" i="11" s="1"/>
  <c r="T456" i="11" s="1"/>
  <c r="U456" i="11" s="1"/>
  <c r="V456" i="11" s="1"/>
  <c r="W456" i="11" s="1"/>
  <c r="X456" i="11" s="1"/>
  <c r="Y456" i="11" s="1"/>
  <c r="Z456" i="11" s="1"/>
  <c r="AA456" i="11" s="1"/>
  <c r="AB456" i="11" s="1"/>
  <c r="AC456" i="11" s="1"/>
  <c r="AD456" i="11" s="1"/>
  <c r="AE456" i="11" s="1"/>
  <c r="AF456" i="11" s="1"/>
  <c r="AG456" i="11" s="1"/>
  <c r="AH456" i="11" s="1"/>
  <c r="AI456" i="11" s="1"/>
  <c r="AJ456" i="11" s="1"/>
  <c r="AK456" i="11" s="1"/>
  <c r="AL456" i="11" s="1"/>
  <c r="AM456" i="11" s="1"/>
  <c r="AN456" i="11" s="1"/>
  <c r="AO456" i="11" s="1"/>
  <c r="AP456" i="11" s="1"/>
  <c r="AQ456" i="11" s="1"/>
  <c r="AR456" i="11" s="1"/>
  <c r="AS456" i="11" s="1"/>
  <c r="AT456" i="11" s="1"/>
  <c r="AU456" i="11" s="1"/>
  <c r="AV456" i="11" s="1"/>
  <c r="AW456" i="11" s="1"/>
  <c r="AX456" i="11" s="1"/>
  <c r="AY456" i="11" s="1"/>
  <c r="AZ456" i="11" s="1"/>
  <c r="BA456" i="11" s="1"/>
  <c r="BB456" i="11" s="1"/>
  <c r="BC456" i="11" s="1"/>
  <c r="BD456" i="11" s="1"/>
  <c r="BE456" i="11" s="1"/>
  <c r="BF456" i="11" s="1"/>
  <c r="BG456" i="11" s="1"/>
  <c r="BH456" i="11" s="1"/>
  <c r="BI456" i="11" s="1"/>
  <c r="BJ456" i="11" s="1"/>
  <c r="BK456" i="11" s="1"/>
  <c r="BL456" i="11" s="1"/>
  <c r="BM456" i="11" s="1"/>
  <c r="BN456" i="11" s="1"/>
  <c r="BO456" i="11" s="1"/>
  <c r="BP456" i="11" s="1"/>
  <c r="BQ456" i="11" s="1"/>
  <c r="BR456" i="11" s="1"/>
  <c r="BS456" i="11" s="1"/>
  <c r="I458" i="11"/>
  <c r="O388" i="11"/>
  <c r="O389" i="11" s="1"/>
  <c r="P386" i="11" s="1"/>
  <c r="O382" i="11"/>
  <c r="O383" i="11" s="1"/>
  <c r="P380" i="11" s="1"/>
  <c r="I454" i="11"/>
  <c r="F538" i="11" s="1"/>
  <c r="M377" i="11"/>
  <c r="N374" i="11" s="1"/>
  <c r="N376" i="11" s="1"/>
  <c r="L485" i="10" a="1"/>
  <c r="L485" i="10" s="1"/>
  <c r="BR260" i="10"/>
  <c r="BR269" i="10" s="1"/>
  <c r="I235" i="10"/>
  <c r="BR268" i="10"/>
  <c r="I265" i="10"/>
  <c r="L278" i="10" a="1"/>
  <c r="L278" i="10" s="1"/>
  <c r="I278" i="10" s="1"/>
  <c r="I257" i="10"/>
  <c r="I263" i="10"/>
  <c r="I250" i="10"/>
  <c r="BS251" i="10"/>
  <c r="L486" i="10" s="1" a="1"/>
  <c r="L486" i="10" s="1"/>
  <c r="BS266" i="10"/>
  <c r="I266" i="10" s="1"/>
  <c r="I276" i="10"/>
  <c r="BS268" i="10"/>
  <c r="I259" i="10"/>
  <c r="I283" i="10"/>
  <c r="BS281" i="8"/>
  <c r="BS304" i="8" s="1"/>
  <c r="BD281" i="8"/>
  <c r="BD305" i="8" s="1"/>
  <c r="I249" i="9"/>
  <c r="BS251" i="9"/>
  <c r="Y294" i="8"/>
  <c r="X294" i="8"/>
  <c r="X296" i="8" s="1"/>
  <c r="BQ281" i="8"/>
  <c r="BQ304" i="8" s="1"/>
  <c r="L277" i="8"/>
  <c r="R295" i="8"/>
  <c r="AW294" i="8"/>
  <c r="BF281" i="8"/>
  <c r="BF304" i="8" s="1"/>
  <c r="AE281" i="8"/>
  <c r="AE304" i="8" s="1"/>
  <c r="AO295" i="8"/>
  <c r="AO296" i="8" s="1"/>
  <c r="BG295" i="8"/>
  <c r="BG296" i="8" s="1"/>
  <c r="Y295" i="8"/>
  <c r="V294" i="8"/>
  <c r="V296" i="8" s="1"/>
  <c r="BA294" i="8"/>
  <c r="W295" i="8"/>
  <c r="W296" i="8" s="1"/>
  <c r="AV295" i="8"/>
  <c r="AR281" i="8"/>
  <c r="AR304" i="8" s="1"/>
  <c r="AN295" i="8"/>
  <c r="BN294" i="8"/>
  <c r="BN296" i="8" s="1"/>
  <c r="AV294" i="8"/>
  <c r="P281" i="8"/>
  <c r="P304" i="8" s="1"/>
  <c r="AE294" i="8"/>
  <c r="AE296" i="8" s="1"/>
  <c r="AO281" i="8"/>
  <c r="BK294" i="8"/>
  <c r="BP281" i="8"/>
  <c r="BP304" i="8" s="1"/>
  <c r="AF295" i="8"/>
  <c r="AW295" i="8"/>
  <c r="BD295" i="8"/>
  <c r="BD296" i="8" s="1"/>
  <c r="BL281" i="8"/>
  <c r="BL304" i="8" s="1"/>
  <c r="T295" i="8"/>
  <c r="T296" i="8" s="1"/>
  <c r="AF294" i="8"/>
  <c r="X281" i="8"/>
  <c r="BL295" i="8"/>
  <c r="BL296" i="8" s="1"/>
  <c r="BQ295" i="8"/>
  <c r="BQ296" i="8" s="1"/>
  <c r="T281" i="8"/>
  <c r="T305" i="8" s="1"/>
  <c r="AM294" i="8"/>
  <c r="AM296" i="8" s="1"/>
  <c r="AQ294" i="8"/>
  <c r="AQ296" i="8" s="1"/>
  <c r="AA294" i="8"/>
  <c r="AA296" i="8" s="1"/>
  <c r="AH294" i="8"/>
  <c r="AH296" i="8" s="1"/>
  <c r="AP281" i="8"/>
  <c r="AP305" i="8" s="1"/>
  <c r="AY295" i="8"/>
  <c r="AY296" i="8" s="1"/>
  <c r="AA281" i="8"/>
  <c r="AA305" i="8" s="1"/>
  <c r="BA295" i="8"/>
  <c r="R294" i="8"/>
  <c r="BM295" i="8"/>
  <c r="BM296" i="8" s="1"/>
  <c r="V281" i="8"/>
  <c r="V305" i="8" s="1"/>
  <c r="AQ281" i="8"/>
  <c r="AQ304" i="8" s="1"/>
  <c r="Z295" i="8"/>
  <c r="Z296" i="8" s="1"/>
  <c r="AL295" i="8"/>
  <c r="AL296" i="8" s="1"/>
  <c r="AB281" i="8"/>
  <c r="AB304" i="8" s="1"/>
  <c r="AP295" i="8"/>
  <c r="AP296" i="8" s="1"/>
  <c r="AM281" i="8"/>
  <c r="AM305" i="8" s="1"/>
  <c r="W281" i="8"/>
  <c r="W305" i="8" s="1"/>
  <c r="BI281" i="8"/>
  <c r="BB281" i="8"/>
  <c r="BB305" i="8" s="1"/>
  <c r="AN294" i="8"/>
  <c r="BH295" i="8"/>
  <c r="BH296" i="8" s="1"/>
  <c r="AG281" i="8"/>
  <c r="AG305" i="8" s="1"/>
  <c r="BJ294" i="8"/>
  <c r="AK281" i="8"/>
  <c r="AK304" i="8" s="1"/>
  <c r="AT281" i="8"/>
  <c r="AT305" i="8" s="1"/>
  <c r="U294" i="8"/>
  <c r="U296" i="8" s="1"/>
  <c r="BR294" i="8"/>
  <c r="AT294" i="8"/>
  <c r="AT296" i="8" s="1"/>
  <c r="U281" i="8"/>
  <c r="U305" i="8" s="1"/>
  <c r="BR295" i="8"/>
  <c r="AU294" i="8"/>
  <c r="BP294" i="8"/>
  <c r="BP296" i="8" s="1"/>
  <c r="BH281" i="8"/>
  <c r="BI295" i="8"/>
  <c r="BI296" i="8" s="1"/>
  <c r="AG294" i="8"/>
  <c r="AG296" i="8" s="1"/>
  <c r="BN281" i="8"/>
  <c r="BN305" i="8" s="1"/>
  <c r="BJ295" i="8"/>
  <c r="AR294" i="8"/>
  <c r="AR296" i="8" s="1"/>
  <c r="BK295" i="8"/>
  <c r="BF294" i="8"/>
  <c r="BF296" i="8" s="1"/>
  <c r="P295" i="8"/>
  <c r="P296" i="8" s="1"/>
  <c r="AK295" i="8"/>
  <c r="AK296" i="8" s="1"/>
  <c r="BM281" i="8"/>
  <c r="BM304" i="8" s="1"/>
  <c r="S281" i="8"/>
  <c r="S304" i="8" s="1"/>
  <c r="AU295" i="8"/>
  <c r="S294" i="8"/>
  <c r="S296" i="8" s="1"/>
  <c r="BS294" i="8"/>
  <c r="BS296" i="8" s="1"/>
  <c r="O281" i="8"/>
  <c r="O304" i="8" s="1"/>
  <c r="BE281" i="8"/>
  <c r="BE305" i="8" s="1"/>
  <c r="AC294" i="8"/>
  <c r="AC296" i="8" s="1"/>
  <c r="AI295" i="8"/>
  <c r="AI296" i="8" s="1"/>
  <c r="AJ294" i="8"/>
  <c r="AJ296" i="8" s="1"/>
  <c r="AC281" i="8"/>
  <c r="AC305" i="8" s="1"/>
  <c r="BE294" i="8"/>
  <c r="BE296" i="8" s="1"/>
  <c r="AI281" i="8"/>
  <c r="AI304" i="8" s="1"/>
  <c r="O294" i="8"/>
  <c r="O296" i="8" s="1"/>
  <c r="Q281" i="8"/>
  <c r="Q304" i="8" s="1"/>
  <c r="AZ281" i="8"/>
  <c r="AZ305" i="8" s="1"/>
  <c r="AY281" i="8"/>
  <c r="AY305" i="8" s="1"/>
  <c r="AL281" i="8"/>
  <c r="AL304" i="8" s="1"/>
  <c r="N281" i="8"/>
  <c r="N304" i="8" s="1"/>
  <c r="BO281" i="8"/>
  <c r="BO305" i="8" s="1"/>
  <c r="AB294" i="8"/>
  <c r="AB296" i="8" s="1"/>
  <c r="AH281" i="8"/>
  <c r="AH304" i="8" s="1"/>
  <c r="Z281" i="8"/>
  <c r="Z305" i="8" s="1"/>
  <c r="BB294" i="8"/>
  <c r="BB296" i="8" s="1"/>
  <c r="BO294" i="8"/>
  <c r="BO296" i="8" s="1"/>
  <c r="AX294" i="8"/>
  <c r="AX296" i="8" s="1"/>
  <c r="BC294" i="8"/>
  <c r="AS294" i="8"/>
  <c r="AS296" i="8" s="1"/>
  <c r="AD281" i="8"/>
  <c r="AD305" i="8" s="1"/>
  <c r="BG281" i="8"/>
  <c r="N295" i="8"/>
  <c r="N296" i="8" s="1"/>
  <c r="AX281" i="8"/>
  <c r="AX305" i="8" s="1"/>
  <c r="AJ281" i="8"/>
  <c r="AJ305" i="8" s="1"/>
  <c r="BC295" i="8"/>
  <c r="Q295" i="8"/>
  <c r="Q296" i="8" s="1"/>
  <c r="AS281" i="8"/>
  <c r="AS305" i="8" s="1"/>
  <c r="AZ295" i="8"/>
  <c r="AZ296" i="8" s="1"/>
  <c r="AD294" i="8"/>
  <c r="AD296" i="8" s="1"/>
  <c r="Y486" i="8"/>
  <c r="Q486" i="8"/>
  <c r="T486" i="8"/>
  <c r="AR486" i="8"/>
  <c r="AS486" i="8"/>
  <c r="L478" i="8"/>
  <c r="AQ486" i="8"/>
  <c r="Z486" i="8"/>
  <c r="N486" i="8"/>
  <c r="BG486" i="8"/>
  <c r="AH486" i="8"/>
  <c r="AK486" i="8"/>
  <c r="AZ486" i="8"/>
  <c r="AC486" i="8"/>
  <c r="AB486" i="8"/>
  <c r="AN486" i="8"/>
  <c r="X486" i="8"/>
  <c r="AJ486" i="8"/>
  <c r="P486" i="8"/>
  <c r="AD486" i="8"/>
  <c r="BJ486" i="8"/>
  <c r="O486" i="8"/>
  <c r="AM486" i="8"/>
  <c r="AF486" i="8"/>
  <c r="V486" i="8"/>
  <c r="W486" i="8"/>
  <c r="AY488" i="8"/>
  <c r="AY489" i="8"/>
  <c r="AW486" i="8"/>
  <c r="BI486" i="8"/>
  <c r="BA486" i="8"/>
  <c r="BQ486" i="8"/>
  <c r="AI486" i="8"/>
  <c r="S486" i="8"/>
  <c r="BE486" i="8"/>
  <c r="AG486" i="8"/>
  <c r="AP486" i="8"/>
  <c r="BD486" i="8"/>
  <c r="BR486" i="8"/>
  <c r="BM486" i="8"/>
  <c r="AT486" i="8"/>
  <c r="BH486" i="8"/>
  <c r="AE486" i="8"/>
  <c r="M486" i="8"/>
  <c r="BC486" i="8"/>
  <c r="BK486" i="8"/>
  <c r="BB486" i="8"/>
  <c r="BF486" i="8"/>
  <c r="R486" i="8"/>
  <c r="BL486" i="8"/>
  <c r="AX486" i="8"/>
  <c r="BN486" i="8"/>
  <c r="AV486" i="8"/>
  <c r="AU486" i="8"/>
  <c r="BS486" i="8"/>
  <c r="AL486" i="8"/>
  <c r="BP486" i="8"/>
  <c r="AO486" i="8"/>
  <c r="AA486" i="8"/>
  <c r="BO486" i="8"/>
  <c r="U486" i="8"/>
  <c r="BA304" i="8"/>
  <c r="BA305" i="8"/>
  <c r="AF305" i="8"/>
  <c r="AF304" i="8"/>
  <c r="M305" i="8"/>
  <c r="M304" i="8"/>
  <c r="AU305" i="8"/>
  <c r="AU304" i="8"/>
  <c r="BJ305" i="8"/>
  <c r="BJ304" i="8"/>
  <c r="BC304" i="8"/>
  <c r="BC305" i="8"/>
  <c r="BK304" i="8"/>
  <c r="BK305" i="8"/>
  <c r="AN305" i="8"/>
  <c r="AN304" i="8"/>
  <c r="R304" i="8"/>
  <c r="R305" i="8"/>
  <c r="M296" i="8"/>
  <c r="Y305" i="8"/>
  <c r="Y304" i="8"/>
  <c r="AW305" i="8"/>
  <c r="AW304" i="8"/>
  <c r="AV304" i="8"/>
  <c r="AV305" i="8"/>
  <c r="BR305" i="8"/>
  <c r="BR304" i="8"/>
  <c r="O334" i="5"/>
  <c r="P331" i="5" s="1"/>
  <c r="P333" i="5" s="1"/>
  <c r="P349" i="5" s="1"/>
  <c r="R345" i="5"/>
  <c r="R346" i="5" s="1"/>
  <c r="S343" i="5" s="1"/>
  <c r="R339" i="5"/>
  <c r="R340" i="5" s="1"/>
  <c r="S337" i="5" s="1"/>
  <c r="AF413" i="5"/>
  <c r="L325" i="20" l="1"/>
  <c r="M569" i="18"/>
  <c r="Q569" i="18"/>
  <c r="U569" i="18"/>
  <c r="Y569" i="18"/>
  <c r="AC569" i="18"/>
  <c r="AG569" i="18"/>
  <c r="AK569" i="18"/>
  <c r="AO569" i="18"/>
  <c r="AS569" i="18"/>
  <c r="AW569" i="18"/>
  <c r="BA569" i="18"/>
  <c r="BE569" i="18"/>
  <c r="BI569" i="18"/>
  <c r="BM569" i="18"/>
  <c r="BQ569" i="18"/>
  <c r="N569" i="18"/>
  <c r="R569" i="18"/>
  <c r="V569" i="18"/>
  <c r="Z569" i="18"/>
  <c r="AD569" i="18"/>
  <c r="AH569" i="18"/>
  <c r="AL569" i="18"/>
  <c r="AP569" i="18"/>
  <c r="AT569" i="18"/>
  <c r="AX569" i="18"/>
  <c r="BB569" i="18"/>
  <c r="BF569" i="18"/>
  <c r="BJ569" i="18"/>
  <c r="BN569" i="18"/>
  <c r="BR569" i="18"/>
  <c r="O569" i="18"/>
  <c r="S569" i="18"/>
  <c r="W569" i="18"/>
  <c r="AA569" i="18"/>
  <c r="AE569" i="18"/>
  <c r="AI569" i="18"/>
  <c r="AM569" i="18"/>
  <c r="AQ569" i="18"/>
  <c r="AU569" i="18"/>
  <c r="AY569" i="18"/>
  <c r="BC569" i="18"/>
  <c r="BG569" i="18"/>
  <c r="BK569" i="18"/>
  <c r="BO569" i="18"/>
  <c r="BS569" i="18"/>
  <c r="P569" i="18"/>
  <c r="T569" i="18"/>
  <c r="X569" i="18"/>
  <c r="AB569" i="18"/>
  <c r="AF569" i="18"/>
  <c r="AJ569" i="18"/>
  <c r="AN569" i="18"/>
  <c r="AR569" i="18"/>
  <c r="AV569" i="18"/>
  <c r="AZ569" i="18"/>
  <c r="BD569" i="18"/>
  <c r="BH569" i="18"/>
  <c r="BL569" i="18"/>
  <c r="BP569" i="18"/>
  <c r="M563" i="18"/>
  <c r="Q563" i="18"/>
  <c r="U563" i="18"/>
  <c r="Y563" i="18"/>
  <c r="AC563" i="18"/>
  <c r="AG563" i="18"/>
  <c r="AK563" i="18"/>
  <c r="AO563" i="18"/>
  <c r="AS563" i="18"/>
  <c r="AW563" i="18"/>
  <c r="BA563" i="18"/>
  <c r="BE563" i="18"/>
  <c r="BI563" i="18"/>
  <c r="BM563" i="18"/>
  <c r="BQ563" i="18"/>
  <c r="N563" i="18"/>
  <c r="R563" i="18"/>
  <c r="V563" i="18"/>
  <c r="Z563" i="18"/>
  <c r="AD563" i="18"/>
  <c r="AH563" i="18"/>
  <c r="AL563" i="18"/>
  <c r="AP563" i="18"/>
  <c r="AT563" i="18"/>
  <c r="AX563" i="18"/>
  <c r="BB563" i="18"/>
  <c r="BF563" i="18"/>
  <c r="BJ563" i="18"/>
  <c r="BN563" i="18"/>
  <c r="BR563" i="18"/>
  <c r="O563" i="18"/>
  <c r="S563" i="18"/>
  <c r="W563" i="18"/>
  <c r="AA563" i="18"/>
  <c r="AE563" i="18"/>
  <c r="AI563" i="18"/>
  <c r="AM563" i="18"/>
  <c r="AQ563" i="18"/>
  <c r="AU563" i="18"/>
  <c r="AY563" i="18"/>
  <c r="BC563" i="18"/>
  <c r="BG563" i="18"/>
  <c r="BK563" i="18"/>
  <c r="BO563" i="18"/>
  <c r="BS563" i="18"/>
  <c r="P563" i="18"/>
  <c r="T563" i="18"/>
  <c r="X563" i="18"/>
  <c r="AB563" i="18"/>
  <c r="AF563" i="18"/>
  <c r="AJ563" i="18"/>
  <c r="AN563" i="18"/>
  <c r="AR563" i="18"/>
  <c r="AV563" i="18"/>
  <c r="AZ563" i="18"/>
  <c r="BD563" i="18"/>
  <c r="BH563" i="18"/>
  <c r="BL563" i="18"/>
  <c r="BP563" i="18"/>
  <c r="M561" i="20"/>
  <c r="Q561" i="20"/>
  <c r="U561" i="20"/>
  <c r="Y561" i="20"/>
  <c r="AC561" i="20"/>
  <c r="AG561" i="20"/>
  <c r="AK561" i="20"/>
  <c r="AO561" i="20"/>
  <c r="AS561" i="20"/>
  <c r="AW561" i="20"/>
  <c r="BA561" i="20"/>
  <c r="BE561" i="20"/>
  <c r="BI561" i="20"/>
  <c r="BM561" i="20"/>
  <c r="BQ561" i="20"/>
  <c r="N561" i="20"/>
  <c r="R561" i="20"/>
  <c r="V561" i="20"/>
  <c r="Z561" i="20"/>
  <c r="AD561" i="20"/>
  <c r="AH561" i="20"/>
  <c r="AL561" i="20"/>
  <c r="AP561" i="20"/>
  <c r="AT561" i="20"/>
  <c r="AX561" i="20"/>
  <c r="BB561" i="20"/>
  <c r="BF561" i="20"/>
  <c r="BJ561" i="20"/>
  <c r="BN561" i="20"/>
  <c r="BR561" i="20"/>
  <c r="O561" i="20"/>
  <c r="S561" i="20"/>
  <c r="W561" i="20"/>
  <c r="AA561" i="20"/>
  <c r="AE561" i="20"/>
  <c r="AI561" i="20"/>
  <c r="AM561" i="20"/>
  <c r="AQ561" i="20"/>
  <c r="AU561" i="20"/>
  <c r="AY561" i="20"/>
  <c r="BC561" i="20"/>
  <c r="BG561" i="20"/>
  <c r="BK561" i="20"/>
  <c r="BO561" i="20"/>
  <c r="BS561" i="20"/>
  <c r="P561" i="20"/>
  <c r="T561" i="20"/>
  <c r="X561" i="20"/>
  <c r="AB561" i="20"/>
  <c r="AF561" i="20"/>
  <c r="AJ561" i="20"/>
  <c r="AN561" i="20"/>
  <c r="AR561" i="20"/>
  <c r="AV561" i="20"/>
  <c r="AZ561" i="20"/>
  <c r="BD561" i="20"/>
  <c r="BH561" i="20"/>
  <c r="BL561" i="20"/>
  <c r="BP561" i="20"/>
  <c r="I560" i="20"/>
  <c r="Z342" i="23"/>
  <c r="AA233" i="23"/>
  <c r="BQ288" i="9"/>
  <c r="BQ289" i="9" s="1"/>
  <c r="L328" i="18"/>
  <c r="L569" i="18" s="1"/>
  <c r="L319" i="20"/>
  <c r="L561" i="20" s="1"/>
  <c r="BQ295" i="9"/>
  <c r="BQ297" i="9" s="1"/>
  <c r="BQ306" i="9" s="1"/>
  <c r="BR284" i="9"/>
  <c r="BR286" i="9" s="1"/>
  <c r="BR270" i="9"/>
  <c r="BS255" i="9"/>
  <c r="L536" i="18"/>
  <c r="L563" i="18" s="1"/>
  <c r="S310" i="18"/>
  <c r="S319" i="18" s="1"/>
  <c r="AI310" i="18"/>
  <c r="AI319" i="18" s="1"/>
  <c r="AX310" i="18"/>
  <c r="AX319" i="18" s="1"/>
  <c r="BO310" i="18"/>
  <c r="BO319" i="18" s="1"/>
  <c r="I299" i="18"/>
  <c r="L308" i="18"/>
  <c r="Q310" i="18"/>
  <c r="Q319" i="18" s="1"/>
  <c r="AA310" i="18"/>
  <c r="AA319" i="18" s="1"/>
  <c r="AO310" i="18"/>
  <c r="AO319" i="18" s="1"/>
  <c r="P310" i="18"/>
  <c r="P319" i="18" s="1"/>
  <c r="AZ310" i="18"/>
  <c r="AZ319" i="18" s="1"/>
  <c r="AK310" i="18"/>
  <c r="AK319" i="18" s="1"/>
  <c r="AM310" i="18"/>
  <c r="AM319" i="18" s="1"/>
  <c r="AC310" i="18"/>
  <c r="AC319" i="18" s="1"/>
  <c r="BB310" i="18"/>
  <c r="BB319" i="18" s="1"/>
  <c r="BR310" i="18"/>
  <c r="BR319" i="18" s="1"/>
  <c r="AH310" i="18"/>
  <c r="AH319" i="18" s="1"/>
  <c r="W310" i="18"/>
  <c r="W319" i="18" s="1"/>
  <c r="BD310" i="18"/>
  <c r="BD319" i="18" s="1"/>
  <c r="N310" i="18"/>
  <c r="N319" i="18" s="1"/>
  <c r="BQ310" i="18"/>
  <c r="BQ319" i="18" s="1"/>
  <c r="AE310" i="18"/>
  <c r="AE319" i="18" s="1"/>
  <c r="Z310" i="18"/>
  <c r="Z319" i="18" s="1"/>
  <c r="AV310" i="18"/>
  <c r="AV319" i="18" s="1"/>
  <c r="AP310" i="18"/>
  <c r="AP319" i="18" s="1"/>
  <c r="AG310" i="18"/>
  <c r="AG319" i="18" s="1"/>
  <c r="BS310" i="18"/>
  <c r="BS319" i="18" s="1"/>
  <c r="AW310" i="18"/>
  <c r="AW319" i="18" s="1"/>
  <c r="BK310" i="18"/>
  <c r="BK319" i="18" s="1"/>
  <c r="O310" i="18"/>
  <c r="O319" i="18" s="1"/>
  <c r="BM310" i="18"/>
  <c r="BM319" i="18" s="1"/>
  <c r="V310" i="18"/>
  <c r="V319" i="18" s="1"/>
  <c r="BJ310" i="18"/>
  <c r="BJ319" i="18" s="1"/>
  <c r="M310" i="18"/>
  <c r="M319" i="18" s="1"/>
  <c r="AT310" i="18"/>
  <c r="AT319" i="18" s="1"/>
  <c r="AL310" i="18"/>
  <c r="AL319" i="18" s="1"/>
  <c r="BI310" i="18"/>
  <c r="BI319" i="18" s="1"/>
  <c r="BL310" i="18"/>
  <c r="BL319" i="18" s="1"/>
  <c r="R310" i="18"/>
  <c r="R319" i="18" s="1"/>
  <c r="AJ310" i="18"/>
  <c r="AJ319" i="18" s="1"/>
  <c r="AY310" i="18"/>
  <c r="AY319" i="18" s="1"/>
  <c r="X310" i="18"/>
  <c r="X319" i="18" s="1"/>
  <c r="AR310" i="18"/>
  <c r="AR319" i="18" s="1"/>
  <c r="BA310" i="18"/>
  <c r="BA319" i="18" s="1"/>
  <c r="BE310" i="18"/>
  <c r="BE319" i="18" s="1"/>
  <c r="BS317" i="18"/>
  <c r="I317" i="18" s="1"/>
  <c r="BN310" i="18"/>
  <c r="BN319" i="18" s="1"/>
  <c r="Y310" i="18"/>
  <c r="Y319" i="18" s="1"/>
  <c r="AQ310" i="18"/>
  <c r="AQ319" i="18" s="1"/>
  <c r="AB310" i="18"/>
  <c r="AB319" i="18" s="1"/>
  <c r="BP310" i="18"/>
  <c r="BP319" i="18" s="1"/>
  <c r="BF310" i="18"/>
  <c r="BF319" i="18" s="1"/>
  <c r="AF310" i="18"/>
  <c r="AF319" i="18" s="1"/>
  <c r="BC310" i="18"/>
  <c r="BC319" i="18" s="1"/>
  <c r="AD310" i="18"/>
  <c r="AD319" i="18" s="1"/>
  <c r="BH310" i="18"/>
  <c r="BH319" i="18" s="1"/>
  <c r="T310" i="18"/>
  <c r="T319" i="18" s="1"/>
  <c r="AU310" i="18"/>
  <c r="AU319" i="18" s="1"/>
  <c r="AN310" i="18"/>
  <c r="AN319" i="18" s="1"/>
  <c r="U310" i="18"/>
  <c r="U319" i="18" s="1"/>
  <c r="BG310" i="18"/>
  <c r="BG319" i="18" s="1"/>
  <c r="AS310" i="18"/>
  <c r="AS319" i="18" s="1"/>
  <c r="I309" i="20"/>
  <c r="L527" i="20" a="1"/>
  <c r="AS320" i="20"/>
  <c r="BJ320" i="20"/>
  <c r="Z320" i="20"/>
  <c r="O320" i="20"/>
  <c r="AV320" i="20"/>
  <c r="BO320" i="20"/>
  <c r="BK320" i="20"/>
  <c r="BE320" i="20"/>
  <c r="BD320" i="20"/>
  <c r="BC320" i="20"/>
  <c r="AR320" i="20"/>
  <c r="BR320" i="20"/>
  <c r="M320" i="20"/>
  <c r="AO320" i="20"/>
  <c r="AE320" i="20"/>
  <c r="BS320" i="20"/>
  <c r="AG320" i="20"/>
  <c r="AC320" i="20"/>
  <c r="BF320" i="20"/>
  <c r="W320" i="20"/>
  <c r="AF320" i="20"/>
  <c r="AM320" i="20"/>
  <c r="Q320" i="20"/>
  <c r="AW320" i="20"/>
  <c r="S320" i="20"/>
  <c r="BG320" i="20"/>
  <c r="BP320" i="20"/>
  <c r="AJ320" i="20"/>
  <c r="BB320" i="20"/>
  <c r="AU320" i="20"/>
  <c r="BH320" i="20"/>
  <c r="AP320" i="20"/>
  <c r="R320" i="20"/>
  <c r="AB320" i="20"/>
  <c r="BQ320" i="20"/>
  <c r="BM320" i="20"/>
  <c r="AN320" i="20"/>
  <c r="AY320" i="20"/>
  <c r="Y320" i="20"/>
  <c r="AZ320" i="20"/>
  <c r="AQ320" i="20"/>
  <c r="AK320" i="20"/>
  <c r="BA320" i="20"/>
  <c r="AT320" i="20"/>
  <c r="Z326" i="20"/>
  <c r="Z344" i="20" s="1"/>
  <c r="BG326" i="20"/>
  <c r="BG344" i="20" s="1"/>
  <c r="BM326" i="20"/>
  <c r="BM344" i="20" s="1"/>
  <c r="AS326" i="20"/>
  <c r="AS344" i="20" s="1"/>
  <c r="BK326" i="20"/>
  <c r="BK344" i="20" s="1"/>
  <c r="AC326" i="20"/>
  <c r="AC344" i="20" s="1"/>
  <c r="AX326" i="20"/>
  <c r="AX344" i="20" s="1"/>
  <c r="V326" i="20"/>
  <c r="V344" i="20" s="1"/>
  <c r="AG326" i="20"/>
  <c r="AG344" i="20" s="1"/>
  <c r="BB326" i="20"/>
  <c r="BB344" i="20" s="1"/>
  <c r="P326" i="20"/>
  <c r="P344" i="20" s="1"/>
  <c r="BE326" i="20"/>
  <c r="BE344" i="20" s="1"/>
  <c r="AB326" i="20"/>
  <c r="AB344" i="20" s="1"/>
  <c r="BL326" i="20"/>
  <c r="BL344" i="20" s="1"/>
  <c r="BI326" i="20"/>
  <c r="BI344" i="20" s="1"/>
  <c r="O326" i="20"/>
  <c r="O344" i="20" s="1"/>
  <c r="AJ326" i="20"/>
  <c r="AJ344" i="20" s="1"/>
  <c r="AT326" i="20"/>
  <c r="AT344" i="20" s="1"/>
  <c r="Q326" i="20"/>
  <c r="Q344" i="20" s="1"/>
  <c r="AN326" i="20"/>
  <c r="AN344" i="20" s="1"/>
  <c r="AW326" i="20"/>
  <c r="AW344" i="20" s="1"/>
  <c r="BR326" i="20"/>
  <c r="BR344" i="20" s="1"/>
  <c r="AV326" i="20"/>
  <c r="AV344" i="20" s="1"/>
  <c r="BA326" i="20"/>
  <c r="BA344" i="20" s="1"/>
  <c r="T326" i="20"/>
  <c r="T344" i="20" s="1"/>
  <c r="BD326" i="20"/>
  <c r="BD344" i="20" s="1"/>
  <c r="R326" i="20"/>
  <c r="R344" i="20" s="1"/>
  <c r="BP326" i="20"/>
  <c r="BP344" i="20" s="1"/>
  <c r="AY326" i="20"/>
  <c r="AY344" i="20" s="1"/>
  <c r="BS326" i="20"/>
  <c r="BS344" i="20" s="1"/>
  <c r="S326" i="20"/>
  <c r="S344" i="20" s="1"/>
  <c r="Y326" i="20"/>
  <c r="Y344" i="20" s="1"/>
  <c r="BJ326" i="20"/>
  <c r="BJ344" i="20" s="1"/>
  <c r="AR326" i="20"/>
  <c r="AR344" i="20" s="1"/>
  <c r="AA326" i="20"/>
  <c r="AA344" i="20" s="1"/>
  <c r="BQ326" i="20"/>
  <c r="BQ344" i="20" s="1"/>
  <c r="AZ326" i="20"/>
  <c r="AZ344" i="20" s="1"/>
  <c r="AI326" i="20"/>
  <c r="AI344" i="20" s="1"/>
  <c r="N326" i="20"/>
  <c r="N344" i="20" s="1"/>
  <c r="BH326" i="20"/>
  <c r="BH344" i="20" s="1"/>
  <c r="AQ326" i="20"/>
  <c r="AQ344" i="20" s="1"/>
  <c r="AL326" i="20"/>
  <c r="AL344" i="20" s="1"/>
  <c r="AU326" i="20"/>
  <c r="AU344" i="20" s="1"/>
  <c r="U326" i="20"/>
  <c r="U344" i="20" s="1"/>
  <c r="BN326" i="20"/>
  <c r="BN344" i="20" s="1"/>
  <c r="AP326" i="20"/>
  <c r="AP344" i="20" s="1"/>
  <c r="BC326" i="20"/>
  <c r="BC344" i="20" s="1"/>
  <c r="AF326" i="20"/>
  <c r="AF344" i="20" s="1"/>
  <c r="W326" i="20"/>
  <c r="W344" i="20" s="1"/>
  <c r="BO326" i="20"/>
  <c r="BO344" i="20" s="1"/>
  <c r="AD326" i="20"/>
  <c r="AD344" i="20" s="1"/>
  <c r="AE326" i="20"/>
  <c r="AE344" i="20" s="1"/>
  <c r="M326" i="20"/>
  <c r="M344" i="20" s="1"/>
  <c r="AH326" i="20"/>
  <c r="AH344" i="20" s="1"/>
  <c r="AM326" i="20"/>
  <c r="AM344" i="20" s="1"/>
  <c r="AK326" i="20"/>
  <c r="AK344" i="20" s="1"/>
  <c r="BF326" i="20"/>
  <c r="BF344" i="20" s="1"/>
  <c r="X326" i="20"/>
  <c r="X344" i="20" s="1"/>
  <c r="AO326" i="20"/>
  <c r="AO344" i="20" s="1"/>
  <c r="AA320" i="20"/>
  <c r="P320" i="20"/>
  <c r="AL320" i="20"/>
  <c r="AH320" i="20"/>
  <c r="BN320" i="20"/>
  <c r="N320" i="20"/>
  <c r="V320" i="20"/>
  <c r="AI320" i="20"/>
  <c r="BI320" i="20"/>
  <c r="AX320" i="20"/>
  <c r="AD320" i="20"/>
  <c r="U320" i="20"/>
  <c r="BL320" i="20"/>
  <c r="X320" i="20"/>
  <c r="T320" i="20"/>
  <c r="I318" i="20"/>
  <c r="BS280" i="8"/>
  <c r="BS300" i="8" s="1"/>
  <c r="BS290" i="8"/>
  <c r="BS291" i="8" s="1"/>
  <c r="L290" i="8"/>
  <c r="BG300" i="8"/>
  <c r="BG301" i="8" s="1"/>
  <c r="AJ289" i="8"/>
  <c r="AA280" i="8"/>
  <c r="AA299" i="8" s="1"/>
  <c r="AS280" i="8"/>
  <c r="AS299" i="8" s="1"/>
  <c r="AX280" i="8"/>
  <c r="AX299" i="8" s="1"/>
  <c r="X299" i="8"/>
  <c r="X301" i="8" s="1"/>
  <c r="BG282" i="8"/>
  <c r="Q290" i="8"/>
  <c r="Q291" i="8" s="1"/>
  <c r="U289" i="8"/>
  <c r="U291" i="8" s="1"/>
  <c r="BI290" i="8"/>
  <c r="BI291" i="8" s="1"/>
  <c r="BM299" i="8"/>
  <c r="BM301" i="8" s="1"/>
  <c r="R300" i="8"/>
  <c r="R301" i="8" s="1"/>
  <c r="R289" i="8"/>
  <c r="Z280" i="8"/>
  <c r="Z299" i="8" s="1"/>
  <c r="R290" i="8"/>
  <c r="AG280" i="8"/>
  <c r="AG300" i="8" s="1"/>
  <c r="AY280" i="8"/>
  <c r="AY300" i="8" s="1"/>
  <c r="R282" i="8"/>
  <c r="BR280" i="8"/>
  <c r="BR300" i="8" s="1"/>
  <c r="BO290" i="8"/>
  <c r="BO291" i="8" s="1"/>
  <c r="AU280" i="8"/>
  <c r="AU299" i="8" s="1"/>
  <c r="AS290" i="8"/>
  <c r="AS291" i="8" s="1"/>
  <c r="AD289" i="8"/>
  <c r="AD291" i="8" s="1"/>
  <c r="BB289" i="8"/>
  <c r="BB291" i="8" s="1"/>
  <c r="BF289" i="8"/>
  <c r="BF291" i="8" s="1"/>
  <c r="BG290" i="8"/>
  <c r="BG289" i="8"/>
  <c r="BB280" i="8"/>
  <c r="BB299" i="8" s="1"/>
  <c r="AA290" i="8"/>
  <c r="AA291" i="8" s="1"/>
  <c r="AD280" i="8"/>
  <c r="AD299" i="8" s="1"/>
  <c r="AH290" i="8"/>
  <c r="AH291" i="8" s="1"/>
  <c r="BF280" i="8"/>
  <c r="BF282" i="8" s="1"/>
  <c r="AJ290" i="8"/>
  <c r="AB289" i="8"/>
  <c r="AB291" i="8" s="1"/>
  <c r="BD280" i="8"/>
  <c r="BD282" i="8" s="1"/>
  <c r="AP290" i="8"/>
  <c r="AP291" i="8" s="1"/>
  <c r="AY290" i="8"/>
  <c r="AY291" i="8" s="1"/>
  <c r="AJ300" i="8"/>
  <c r="AJ301" i="8" s="1"/>
  <c r="AR290" i="8"/>
  <c r="AR291" i="8" s="1"/>
  <c r="AR280" i="8"/>
  <c r="AR300" i="8" s="1"/>
  <c r="AX289" i="8"/>
  <c r="AX291" i="8" s="1"/>
  <c r="X289" i="8"/>
  <c r="X290" i="8"/>
  <c r="AH280" i="8"/>
  <c r="AH299" i="8" s="1"/>
  <c r="BD290" i="8"/>
  <c r="BD291" i="8" s="1"/>
  <c r="X282" i="8"/>
  <c r="BI280" i="8"/>
  <c r="BI299" i="8" s="1"/>
  <c r="Z289" i="8"/>
  <c r="Z291" i="8" s="1"/>
  <c r="AP280" i="8"/>
  <c r="AP299" i="8" s="1"/>
  <c r="AG289" i="8"/>
  <c r="AG291" i="8" s="1"/>
  <c r="T280" i="8"/>
  <c r="T299" i="8" s="1"/>
  <c r="BP289" i="8"/>
  <c r="BP291" i="8" s="1"/>
  <c r="BJ280" i="8"/>
  <c r="BJ300" i="8" s="1"/>
  <c r="BJ289" i="8"/>
  <c r="BJ291" i="8" s="1"/>
  <c r="S300" i="8"/>
  <c r="S301" i="8" s="1"/>
  <c r="AO300" i="8"/>
  <c r="AO301" i="8" s="1"/>
  <c r="AK289" i="8"/>
  <c r="AK291" i="8" s="1"/>
  <c r="AI300" i="8"/>
  <c r="AI301" i="8" s="1"/>
  <c r="AQ280" i="8"/>
  <c r="AQ300" i="8" s="1"/>
  <c r="S289" i="8"/>
  <c r="AM299" i="8"/>
  <c r="AM301" i="8" s="1"/>
  <c r="AQ289" i="8"/>
  <c r="AQ291" i="8" s="1"/>
  <c r="AI290" i="8"/>
  <c r="T290" i="8"/>
  <c r="T291" i="8" s="1"/>
  <c r="L280" i="8"/>
  <c r="L300" i="8" s="1"/>
  <c r="AK280" i="8"/>
  <c r="AK299" i="8" s="1"/>
  <c r="U280" i="8"/>
  <c r="U299" i="8" s="1"/>
  <c r="BH299" i="8"/>
  <c r="BH301" i="8" s="1"/>
  <c r="BL299" i="8"/>
  <c r="BL301" i="8" s="1"/>
  <c r="BQ289" i="8"/>
  <c r="BA299" i="8"/>
  <c r="AZ300" i="8"/>
  <c r="AZ301" i="8" s="1"/>
  <c r="O289" i="8"/>
  <c r="BK289" i="8"/>
  <c r="BK291" i="8" s="1"/>
  <c r="O290" i="8"/>
  <c r="O299" i="8"/>
  <c r="O301" i="8" s="1"/>
  <c r="AF300" i="8"/>
  <c r="BQ300" i="8"/>
  <c r="BQ301" i="8" s="1"/>
  <c r="P290" i="8"/>
  <c r="BH282" i="8"/>
  <c r="M289" i="8"/>
  <c r="M291" i="8" s="1"/>
  <c r="BA289" i="8"/>
  <c r="BA300" i="8"/>
  <c r="AF299" i="8"/>
  <c r="BH289" i="8"/>
  <c r="BH290" i="8"/>
  <c r="BL289" i="8"/>
  <c r="BK280" i="8"/>
  <c r="BK282" i="8" s="1"/>
  <c r="BC289" i="8"/>
  <c r="BC291" i="8" s="1"/>
  <c r="BA290" i="8"/>
  <c r="AF290" i="8"/>
  <c r="AZ290" i="8"/>
  <c r="Y289" i="8"/>
  <c r="Y291" i="8" s="1"/>
  <c r="AC299" i="8"/>
  <c r="AC301" i="8" s="1"/>
  <c r="BQ290" i="8"/>
  <c r="AV289" i="8"/>
  <c r="AV291" i="8" s="1"/>
  <c r="AV280" i="8"/>
  <c r="AV282" i="8" s="1"/>
  <c r="AE290" i="8"/>
  <c r="AE291" i="8" s="1"/>
  <c r="P289" i="8"/>
  <c r="M280" i="8"/>
  <c r="M282" i="8" s="1"/>
  <c r="P299" i="8"/>
  <c r="P301" i="8" s="1"/>
  <c r="BL290" i="8"/>
  <c r="AE280" i="8"/>
  <c r="AE300" i="8" s="1"/>
  <c r="Y280" i="8"/>
  <c r="Y299" i="8" s="1"/>
  <c r="BC280" i="8"/>
  <c r="BC300" i="8" s="1"/>
  <c r="AZ289" i="8"/>
  <c r="AF289" i="8"/>
  <c r="BR289" i="8"/>
  <c r="BR291" i="8" s="1"/>
  <c r="V290" i="8"/>
  <c r="V291" i="8" s="1"/>
  <c r="N290" i="8"/>
  <c r="N291" i="8" s="1"/>
  <c r="AL280" i="8"/>
  <c r="AL300" i="8" s="1"/>
  <c r="BO280" i="8"/>
  <c r="BO300" i="8" s="1"/>
  <c r="V280" i="8"/>
  <c r="V282" i="8" s="1"/>
  <c r="AU289" i="8"/>
  <c r="AU291" i="8" s="1"/>
  <c r="Q280" i="8"/>
  <c r="Q300" i="8" s="1"/>
  <c r="N280" i="8"/>
  <c r="N300" i="8" s="1"/>
  <c r="BN280" i="8"/>
  <c r="BN300" i="8" s="1"/>
  <c r="AT280" i="8"/>
  <c r="AT299" i="8" s="1"/>
  <c r="S290" i="8"/>
  <c r="AW280" i="8"/>
  <c r="AW299" i="8" s="1"/>
  <c r="AW289" i="8"/>
  <c r="AW291" i="8" s="1"/>
  <c r="AM289" i="8"/>
  <c r="AM290" i="8"/>
  <c r="BE280" i="8"/>
  <c r="BE300" i="8" s="1"/>
  <c r="I271" i="8"/>
  <c r="W280" i="8"/>
  <c r="W299" i="8" s="1"/>
  <c r="AO282" i="8"/>
  <c r="L384" i="8" a="1"/>
  <c r="L384" i="8" s="1"/>
  <c r="AT289" i="8"/>
  <c r="AT291" i="8" s="1"/>
  <c r="BE289" i="8"/>
  <c r="BE291" i="8" s="1"/>
  <c r="L289" i="8"/>
  <c r="AO289" i="8"/>
  <c r="AI289" i="8"/>
  <c r="W290" i="8"/>
  <c r="W291" i="8" s="1"/>
  <c r="AO290" i="8"/>
  <c r="AN280" i="8"/>
  <c r="AN282" i="8" s="1"/>
  <c r="AB280" i="8"/>
  <c r="AB299" i="8" s="1"/>
  <c r="BP280" i="8"/>
  <c r="BP299" i="8" s="1"/>
  <c r="BN290" i="8"/>
  <c r="BN291" i="8" s="1"/>
  <c r="BM289" i="8"/>
  <c r="BM290" i="8"/>
  <c r="AL289" i="8"/>
  <c r="AL291" i="8" s="1"/>
  <c r="R296" i="8"/>
  <c r="AN290" i="8"/>
  <c r="AN291" i="8" s="1"/>
  <c r="AC290" i="8"/>
  <c r="AC289" i="8"/>
  <c r="BJ488" i="8"/>
  <c r="AZ488" i="8"/>
  <c r="AF488" i="8"/>
  <c r="AD488" i="8"/>
  <c r="AK488" i="8"/>
  <c r="L437" i="8" a="1"/>
  <c r="L437" i="8" s="1"/>
  <c r="I437" i="8" s="1"/>
  <c r="V488" i="8"/>
  <c r="N488" i="8"/>
  <c r="AS488" i="8"/>
  <c r="AM488" i="8"/>
  <c r="P488" i="8"/>
  <c r="AQ488" i="8"/>
  <c r="T489" i="8"/>
  <c r="W488" i="8"/>
  <c r="O488" i="8"/>
  <c r="AJ488" i="8"/>
  <c r="BG488" i="8"/>
  <c r="Q488" i="8"/>
  <c r="L486" i="8"/>
  <c r="P388" i="11"/>
  <c r="P389" i="11" s="1"/>
  <c r="Q386" i="11" s="1"/>
  <c r="P382" i="11"/>
  <c r="P383" i="11" s="1"/>
  <c r="Q380" i="11" s="1"/>
  <c r="N377" i="11"/>
  <c r="O374" i="11" s="1"/>
  <c r="O376" i="11" s="1"/>
  <c r="N392" i="11"/>
  <c r="Y296" i="8"/>
  <c r="I260" i="10"/>
  <c r="L285" i="10" a="1"/>
  <c r="L285" i="10" s="1"/>
  <c r="I268" i="10"/>
  <c r="L279" i="10" a="1"/>
  <c r="L279" i="10" s="1"/>
  <c r="BS269" i="10"/>
  <c r="I251" i="10"/>
  <c r="I485" i="10"/>
  <c r="AN296" i="8"/>
  <c r="BS305" i="8"/>
  <c r="BS306" i="8" s="1"/>
  <c r="L295" i="8"/>
  <c r="BD304" i="8"/>
  <c r="BD306" i="8" s="1"/>
  <c r="BS252" i="9"/>
  <c r="I251" i="9"/>
  <c r="H251" i="9" s="1"/>
  <c r="BQ305" i="8"/>
  <c r="BQ306" i="8" s="1"/>
  <c r="I277" i="8"/>
  <c r="L385" i="8" a="1"/>
  <c r="L385" i="8" s="1"/>
  <c r="I385" i="8" s="1"/>
  <c r="AW296" i="8"/>
  <c r="BQ282" i="8"/>
  <c r="L281" i="8"/>
  <c r="L304" i="8" s="1"/>
  <c r="L294" i="8"/>
  <c r="I294" i="8" s="1"/>
  <c r="BF305" i="8"/>
  <c r="BF306" i="8" s="1"/>
  <c r="V304" i="8"/>
  <c r="V306" i="8" s="1"/>
  <c r="AE305" i="8"/>
  <c r="AE306" i="8" s="1"/>
  <c r="BP305" i="8"/>
  <c r="BP306" i="8" s="1"/>
  <c r="BB304" i="8"/>
  <c r="BB306" i="8" s="1"/>
  <c r="AR305" i="8"/>
  <c r="AR306" i="8" s="1"/>
  <c r="O305" i="8"/>
  <c r="O306" i="8" s="1"/>
  <c r="AV296" i="8"/>
  <c r="T304" i="8"/>
  <c r="T306" i="8" s="1"/>
  <c r="BA296" i="8"/>
  <c r="BH304" i="8"/>
  <c r="W304" i="8"/>
  <c r="W306" i="8" s="1"/>
  <c r="BL305" i="8"/>
  <c r="BL306" i="8" s="1"/>
  <c r="AO304" i="8"/>
  <c r="BH305" i="8"/>
  <c r="AO305" i="8"/>
  <c r="AA304" i="8"/>
  <c r="AA306" i="8" s="1"/>
  <c r="BL282" i="8"/>
  <c r="O282" i="8"/>
  <c r="AS304" i="8"/>
  <c r="AS306" i="8" s="1"/>
  <c r="X305" i="8"/>
  <c r="BO304" i="8"/>
  <c r="BO306" i="8" s="1"/>
  <c r="AX304" i="8"/>
  <c r="AX306" i="8" s="1"/>
  <c r="Q305" i="8"/>
  <c r="Q306" i="8" s="1"/>
  <c r="AF296" i="8"/>
  <c r="P305" i="8"/>
  <c r="P306" i="8" s="1"/>
  <c r="P282" i="8"/>
  <c r="BK296" i="8"/>
  <c r="BR296" i="8"/>
  <c r="AT304" i="8"/>
  <c r="AT306" i="8" s="1"/>
  <c r="AC282" i="8"/>
  <c r="X304" i="8"/>
  <c r="AK305" i="8"/>
  <c r="AK306" i="8" s="1"/>
  <c r="AC304" i="8"/>
  <c r="AC306" i="8" s="1"/>
  <c r="BI304" i="8"/>
  <c r="BJ296" i="8"/>
  <c r="AU296" i="8"/>
  <c r="AP304" i="8"/>
  <c r="AP306" i="8" s="1"/>
  <c r="BN304" i="8"/>
  <c r="BN306" i="8" s="1"/>
  <c r="AQ305" i="8"/>
  <c r="AQ306" i="8" s="1"/>
  <c r="AM304" i="8"/>
  <c r="AM306" i="8" s="1"/>
  <c r="AB305" i="8"/>
  <c r="AB306" i="8" s="1"/>
  <c r="AM282" i="8"/>
  <c r="AG304" i="8"/>
  <c r="AG306" i="8" s="1"/>
  <c r="BM305" i="8"/>
  <c r="BM306" i="8" s="1"/>
  <c r="BE304" i="8"/>
  <c r="BE306" i="8" s="1"/>
  <c r="BI305" i="8"/>
  <c r="U304" i="8"/>
  <c r="U306" i="8" s="1"/>
  <c r="BM282" i="8"/>
  <c r="S282" i="8"/>
  <c r="AZ282" i="8"/>
  <c r="S305" i="8"/>
  <c r="S306" i="8" s="1"/>
  <c r="AH305" i="8"/>
  <c r="AH306" i="8" s="1"/>
  <c r="BG305" i="8"/>
  <c r="AI305" i="8"/>
  <c r="AI306" i="8" s="1"/>
  <c r="BG304" i="8"/>
  <c r="AI282" i="8"/>
  <c r="AJ304" i="8"/>
  <c r="AJ306" i="8" s="1"/>
  <c r="AY304" i="8"/>
  <c r="AY306" i="8" s="1"/>
  <c r="AJ282" i="8"/>
  <c r="BC296" i="8"/>
  <c r="AZ304" i="8"/>
  <c r="AZ306" i="8" s="1"/>
  <c r="N305" i="8"/>
  <c r="N306" i="8" s="1"/>
  <c r="Z304" i="8"/>
  <c r="Z306" i="8" s="1"/>
  <c r="AD304" i="8"/>
  <c r="AD306" i="8" s="1"/>
  <c r="AL305" i="8"/>
  <c r="AL306" i="8" s="1"/>
  <c r="AK489" i="8"/>
  <c r="T488" i="8"/>
  <c r="AS489" i="8"/>
  <c r="BG489" i="8"/>
  <c r="AJ489" i="8"/>
  <c r="AM489" i="8"/>
  <c r="AF489" i="8"/>
  <c r="I478" i="8"/>
  <c r="Q489" i="8"/>
  <c r="AZ489" i="8"/>
  <c r="V489" i="8"/>
  <c r="AQ489" i="8"/>
  <c r="BJ489" i="8"/>
  <c r="P489" i="8"/>
  <c r="Y488" i="8"/>
  <c r="Y489" i="8"/>
  <c r="N489" i="8"/>
  <c r="Z488" i="8"/>
  <c r="Z489" i="8"/>
  <c r="AH489" i="8"/>
  <c r="AH488" i="8"/>
  <c r="AR488" i="8"/>
  <c r="AR489" i="8"/>
  <c r="AD489" i="8"/>
  <c r="AB488" i="8"/>
  <c r="AB489" i="8"/>
  <c r="AN488" i="8"/>
  <c r="AN489" i="8"/>
  <c r="AC489" i="8"/>
  <c r="AC488" i="8"/>
  <c r="O489" i="8"/>
  <c r="W489" i="8"/>
  <c r="X488" i="8"/>
  <c r="X489" i="8"/>
  <c r="U488" i="8"/>
  <c r="U489" i="8"/>
  <c r="BP488" i="8"/>
  <c r="BP489" i="8"/>
  <c r="AV488" i="8"/>
  <c r="AV489" i="8"/>
  <c r="BF488" i="8"/>
  <c r="BF489" i="8"/>
  <c r="M488" i="8"/>
  <c r="M489" i="8"/>
  <c r="BM488" i="8"/>
  <c r="BM489" i="8"/>
  <c r="AP488" i="8"/>
  <c r="AP489" i="8"/>
  <c r="AI488" i="8"/>
  <c r="AI489" i="8"/>
  <c r="AW488" i="8"/>
  <c r="AW489" i="8"/>
  <c r="BO488" i="8"/>
  <c r="BO489" i="8"/>
  <c r="AL488" i="8"/>
  <c r="AL489" i="8"/>
  <c r="BN488" i="8"/>
  <c r="BN489" i="8"/>
  <c r="BB488" i="8"/>
  <c r="BB489" i="8"/>
  <c r="AE488" i="8"/>
  <c r="AE489" i="8"/>
  <c r="BR488" i="8"/>
  <c r="BR489" i="8"/>
  <c r="AG488" i="8"/>
  <c r="AG489" i="8"/>
  <c r="BQ489" i="8"/>
  <c r="BQ488" i="8"/>
  <c r="AA488" i="8"/>
  <c r="AA489" i="8"/>
  <c r="BS488" i="8"/>
  <c r="BS489" i="8"/>
  <c r="AX488" i="8"/>
  <c r="AX489" i="8"/>
  <c r="I492" i="8"/>
  <c r="BK488" i="8"/>
  <c r="BK489" i="8"/>
  <c r="BH488" i="8"/>
  <c r="BH489" i="8"/>
  <c r="BE488" i="8"/>
  <c r="BE489" i="8"/>
  <c r="BA488" i="8"/>
  <c r="BA489" i="8"/>
  <c r="AO488" i="8"/>
  <c r="AO489" i="8"/>
  <c r="AU489" i="8"/>
  <c r="AU488" i="8"/>
  <c r="BL488" i="8"/>
  <c r="BL489" i="8"/>
  <c r="R488" i="8"/>
  <c r="R489" i="8"/>
  <c r="BC488" i="8"/>
  <c r="BC489" i="8"/>
  <c r="AT489" i="8"/>
  <c r="AT488" i="8"/>
  <c r="BD488" i="8"/>
  <c r="BD489" i="8"/>
  <c r="S488" i="8"/>
  <c r="S489" i="8"/>
  <c r="BI488" i="8"/>
  <c r="BI489" i="8"/>
  <c r="AF306" i="8"/>
  <c r="R306" i="8"/>
  <c r="BK306" i="8"/>
  <c r="BC306" i="8"/>
  <c r="BJ306" i="8"/>
  <c r="M306" i="8"/>
  <c r="AU306" i="8"/>
  <c r="BA306" i="8"/>
  <c r="AW306" i="8"/>
  <c r="AN306" i="8"/>
  <c r="BR306" i="8"/>
  <c r="AV306" i="8"/>
  <c r="Y306" i="8"/>
  <c r="S339" i="5"/>
  <c r="S340" i="5" s="1"/>
  <c r="T337" i="5" s="1"/>
  <c r="S345" i="5"/>
  <c r="S346" i="5" s="1"/>
  <c r="T343" i="5" s="1"/>
  <c r="P334" i="5"/>
  <c r="Q331" i="5" s="1"/>
  <c r="AG413" i="5"/>
  <c r="M554" i="20" l="1"/>
  <c r="Q554" i="20"/>
  <c r="U554" i="20"/>
  <c r="Y554" i="20"/>
  <c r="AC554" i="20"/>
  <c r="AG554" i="20"/>
  <c r="AK554" i="20"/>
  <c r="AO554" i="20"/>
  <c r="AS554" i="20"/>
  <c r="AW554" i="20"/>
  <c r="BA554" i="20"/>
  <c r="BE554" i="20"/>
  <c r="BI554" i="20"/>
  <c r="BM554" i="20"/>
  <c r="BQ554" i="20"/>
  <c r="O554" i="20"/>
  <c r="W554" i="20"/>
  <c r="AE554" i="20"/>
  <c r="AM554" i="20"/>
  <c r="AU554" i="20"/>
  <c r="BC554" i="20"/>
  <c r="BK554" i="20"/>
  <c r="BS554" i="20"/>
  <c r="X554" i="20"/>
  <c r="BL554" i="20"/>
  <c r="N554" i="20"/>
  <c r="R554" i="20"/>
  <c r="V554" i="20"/>
  <c r="Z554" i="20"/>
  <c r="AD554" i="20"/>
  <c r="AH554" i="20"/>
  <c r="AL554" i="20"/>
  <c r="AP554" i="20"/>
  <c r="AT554" i="20"/>
  <c r="AX554" i="20"/>
  <c r="BB554" i="20"/>
  <c r="BF554" i="20"/>
  <c r="BJ554" i="20"/>
  <c r="BN554" i="20"/>
  <c r="BR554" i="20"/>
  <c r="S554" i="20"/>
  <c r="AA554" i="20"/>
  <c r="AI554" i="20"/>
  <c r="AQ554" i="20"/>
  <c r="AY554" i="20"/>
  <c r="BG554" i="20"/>
  <c r="BO554" i="20"/>
  <c r="P554" i="20"/>
  <c r="T554" i="20"/>
  <c r="AB554" i="20"/>
  <c r="AF554" i="20"/>
  <c r="AJ554" i="20"/>
  <c r="AN554" i="20"/>
  <c r="AR554" i="20"/>
  <c r="AZ554" i="20"/>
  <c r="BD554" i="20"/>
  <c r="BH554" i="20"/>
  <c r="BP554" i="20"/>
  <c r="AV554" i="20"/>
  <c r="Z343" i="23"/>
  <c r="Z346" i="23" s="1"/>
  <c r="Z345" i="23"/>
  <c r="AA234" i="23"/>
  <c r="AB232" i="23" s="1"/>
  <c r="AA269" i="23"/>
  <c r="AA237" i="23"/>
  <c r="AA239" i="23" s="1"/>
  <c r="AA243" i="23" s="1"/>
  <c r="AA245" i="23" s="1"/>
  <c r="BR272" i="9"/>
  <c r="BR273" i="9" s="1"/>
  <c r="AF291" i="8"/>
  <c r="I563" i="18"/>
  <c r="I569" i="18"/>
  <c r="L320" i="20"/>
  <c r="I328" i="18"/>
  <c r="I319" i="20"/>
  <c r="BR301" i="9"/>
  <c r="BR303" i="9" s="1"/>
  <c r="BR304" i="9" s="1"/>
  <c r="BR295" i="9"/>
  <c r="BR297" i="9" s="1"/>
  <c r="BR298" i="9" s="1"/>
  <c r="BR288" i="9"/>
  <c r="BR289" i="9" s="1"/>
  <c r="BQ298" i="9"/>
  <c r="BQ307" i="9" s="1"/>
  <c r="I536" i="18"/>
  <c r="AU311" i="18"/>
  <c r="AU320" i="18" s="1"/>
  <c r="AB311" i="18"/>
  <c r="AB320" i="18" s="1"/>
  <c r="AS311" i="18"/>
  <c r="AS320" i="18" s="1"/>
  <c r="BC311" i="18"/>
  <c r="BC320" i="18" s="1"/>
  <c r="U311" i="18"/>
  <c r="U320" i="18" s="1"/>
  <c r="BF311" i="18"/>
  <c r="BF320" i="18" s="1"/>
  <c r="BH311" i="18"/>
  <c r="BH320" i="18" s="1"/>
  <c r="Y311" i="18"/>
  <c r="Y320" i="18" s="1"/>
  <c r="BG311" i="18"/>
  <c r="BG320" i="18" s="1"/>
  <c r="AN311" i="18"/>
  <c r="AN320" i="18" s="1"/>
  <c r="T311" i="18"/>
  <c r="T320" i="18" s="1"/>
  <c r="AD311" i="18"/>
  <c r="AD320" i="18" s="1"/>
  <c r="AF311" i="18"/>
  <c r="AF320" i="18" s="1"/>
  <c r="BP311" i="18"/>
  <c r="BP320" i="18" s="1"/>
  <c r="AQ311" i="18"/>
  <c r="AQ320" i="18" s="1"/>
  <c r="BN311" i="18"/>
  <c r="BN320" i="18" s="1"/>
  <c r="BO311" i="18"/>
  <c r="BO320" i="18" s="1"/>
  <c r="AI311" i="18"/>
  <c r="AI320" i="18" s="1"/>
  <c r="AX311" i="18"/>
  <c r="AX320" i="18" s="1"/>
  <c r="S311" i="18"/>
  <c r="S320" i="18" s="1"/>
  <c r="L329" i="18" a="1"/>
  <c r="I301" i="18"/>
  <c r="BA311" i="18"/>
  <c r="BA320" i="18" s="1"/>
  <c r="X311" i="18"/>
  <c r="X320" i="18" s="1"/>
  <c r="AJ311" i="18"/>
  <c r="AJ320" i="18" s="1"/>
  <c r="BL311" i="18"/>
  <c r="BL320" i="18" s="1"/>
  <c r="AL311" i="18"/>
  <c r="AL320" i="18" s="1"/>
  <c r="M311" i="18"/>
  <c r="M320" i="18" s="1"/>
  <c r="V311" i="18"/>
  <c r="V320" i="18" s="1"/>
  <c r="O311" i="18"/>
  <c r="O320" i="18" s="1"/>
  <c r="AW311" i="18"/>
  <c r="AW320" i="18" s="1"/>
  <c r="AG311" i="18"/>
  <c r="AG320" i="18" s="1"/>
  <c r="AV311" i="18"/>
  <c r="AV320" i="18" s="1"/>
  <c r="AE311" i="18"/>
  <c r="AE320" i="18" s="1"/>
  <c r="N311" i="18"/>
  <c r="N320" i="18" s="1"/>
  <c r="W311" i="18"/>
  <c r="W320" i="18" s="1"/>
  <c r="BR311" i="18"/>
  <c r="BR320" i="18" s="1"/>
  <c r="AC311" i="18"/>
  <c r="AC320" i="18" s="1"/>
  <c r="AK311" i="18"/>
  <c r="AK320" i="18" s="1"/>
  <c r="P311" i="18"/>
  <c r="P320" i="18" s="1"/>
  <c r="AA311" i="18"/>
  <c r="AA320" i="18" s="1"/>
  <c r="L310" i="18"/>
  <c r="I308" i="18"/>
  <c r="BE311" i="18"/>
  <c r="BE320" i="18" s="1"/>
  <c r="AR311" i="18"/>
  <c r="AR320" i="18" s="1"/>
  <c r="AY311" i="18"/>
  <c r="AY320" i="18" s="1"/>
  <c r="R311" i="18"/>
  <c r="R320" i="18" s="1"/>
  <c r="BI311" i="18"/>
  <c r="BI320" i="18" s="1"/>
  <c r="AT311" i="18"/>
  <c r="AT320" i="18" s="1"/>
  <c r="BJ311" i="18"/>
  <c r="BJ320" i="18" s="1"/>
  <c r="BM311" i="18"/>
  <c r="BM320" i="18" s="1"/>
  <c r="BK311" i="18"/>
  <c r="BK320" i="18" s="1"/>
  <c r="BS311" i="18"/>
  <c r="BS320" i="18" s="1"/>
  <c r="AP311" i="18"/>
  <c r="AP320" i="18" s="1"/>
  <c r="Z311" i="18"/>
  <c r="Z320" i="18" s="1"/>
  <c r="BQ311" i="18"/>
  <c r="BQ320" i="18" s="1"/>
  <c r="BD311" i="18"/>
  <c r="BD320" i="18" s="1"/>
  <c r="AH311" i="18"/>
  <c r="AH320" i="18" s="1"/>
  <c r="BB311" i="18"/>
  <c r="BB320" i="18" s="1"/>
  <c r="AM311" i="18"/>
  <c r="AM320" i="18" s="1"/>
  <c r="AZ311" i="18"/>
  <c r="AZ320" i="18" s="1"/>
  <c r="AO311" i="18"/>
  <c r="AO320" i="18" s="1"/>
  <c r="Q311" i="18"/>
  <c r="Q320" i="18" s="1"/>
  <c r="I302" i="18"/>
  <c r="L537" i="18" a="1"/>
  <c r="T339" i="20"/>
  <c r="T329" i="20"/>
  <c r="AD339" i="20"/>
  <c r="AD329" i="20"/>
  <c r="V339" i="20"/>
  <c r="V329" i="20"/>
  <c r="AL339" i="20"/>
  <c r="AL329" i="20"/>
  <c r="AK339" i="20"/>
  <c r="AK329" i="20"/>
  <c r="AY339" i="20"/>
  <c r="AY329" i="20"/>
  <c r="AB339" i="20"/>
  <c r="AB329" i="20"/>
  <c r="AU339" i="20"/>
  <c r="AU329" i="20"/>
  <c r="BG339" i="20"/>
  <c r="BG329" i="20"/>
  <c r="AM339" i="20"/>
  <c r="AM329" i="20"/>
  <c r="AC339" i="20"/>
  <c r="AC329" i="20"/>
  <c r="AO339" i="20"/>
  <c r="AO329" i="20"/>
  <c r="BC339" i="20"/>
  <c r="BC329" i="20"/>
  <c r="BO339" i="20"/>
  <c r="BO329" i="20"/>
  <c r="BJ339" i="20"/>
  <c r="BJ329" i="20"/>
  <c r="X339" i="20"/>
  <c r="X329" i="20"/>
  <c r="AX339" i="20"/>
  <c r="AX329" i="20"/>
  <c r="N339" i="20"/>
  <c r="N329" i="20"/>
  <c r="P339" i="20"/>
  <c r="P329" i="20"/>
  <c r="AQ339" i="20"/>
  <c r="AQ329" i="20"/>
  <c r="AN339" i="20"/>
  <c r="AN329" i="20"/>
  <c r="R339" i="20"/>
  <c r="R329" i="20"/>
  <c r="BB339" i="20"/>
  <c r="BB329" i="20"/>
  <c r="S339" i="20"/>
  <c r="S329" i="20"/>
  <c r="AF339" i="20"/>
  <c r="AF329" i="20"/>
  <c r="AG339" i="20"/>
  <c r="AG329" i="20"/>
  <c r="M339" i="20"/>
  <c r="M329" i="20"/>
  <c r="BD339" i="20"/>
  <c r="BD329" i="20"/>
  <c r="AV339" i="20"/>
  <c r="AV329" i="20"/>
  <c r="AS339" i="20"/>
  <c r="AS329" i="20"/>
  <c r="BL339" i="20"/>
  <c r="BL329" i="20"/>
  <c r="BI339" i="20"/>
  <c r="BI329" i="20"/>
  <c r="BN339" i="20"/>
  <c r="BN329" i="20"/>
  <c r="AA339" i="20"/>
  <c r="AA329" i="20"/>
  <c r="AT339" i="20"/>
  <c r="AT329" i="20"/>
  <c r="AZ339" i="20"/>
  <c r="AZ329" i="20"/>
  <c r="BM339" i="20"/>
  <c r="BM329" i="20"/>
  <c r="AP339" i="20"/>
  <c r="AP329" i="20"/>
  <c r="AJ339" i="20"/>
  <c r="AJ329" i="20"/>
  <c r="AW339" i="20"/>
  <c r="AW329" i="20"/>
  <c r="W339" i="20"/>
  <c r="W329" i="20"/>
  <c r="BS339" i="20"/>
  <c r="BS329" i="20"/>
  <c r="BR339" i="20"/>
  <c r="BR329" i="20"/>
  <c r="BE339" i="20"/>
  <c r="BE329" i="20"/>
  <c r="O339" i="20"/>
  <c r="O329" i="20"/>
  <c r="U339" i="20"/>
  <c r="U329" i="20"/>
  <c r="AI339" i="20"/>
  <c r="AI329" i="20"/>
  <c r="AH339" i="20"/>
  <c r="AH329" i="20"/>
  <c r="BA339" i="20"/>
  <c r="BA329" i="20"/>
  <c r="Y339" i="20"/>
  <c r="Y329" i="20"/>
  <c r="BQ339" i="20"/>
  <c r="BQ329" i="20"/>
  <c r="BH339" i="20"/>
  <c r="BH329" i="20"/>
  <c r="BP339" i="20"/>
  <c r="BP329" i="20"/>
  <c r="Q339" i="20"/>
  <c r="Q329" i="20"/>
  <c r="BF339" i="20"/>
  <c r="BF329" i="20"/>
  <c r="AE339" i="20"/>
  <c r="AE329" i="20"/>
  <c r="AR339" i="20"/>
  <c r="AR329" i="20"/>
  <c r="BK339" i="20"/>
  <c r="BK329" i="20"/>
  <c r="Z339" i="20"/>
  <c r="Z329" i="20"/>
  <c r="L527" i="20"/>
  <c r="L554" i="20" s="1"/>
  <c r="Z535" i="20"/>
  <c r="BE535" i="20"/>
  <c r="U535" i="20"/>
  <c r="AL535" i="20"/>
  <c r="P535" i="20"/>
  <c r="AS535" i="20"/>
  <c r="AH535" i="20"/>
  <c r="AO535" i="20"/>
  <c r="AQ535" i="20"/>
  <c r="N535" i="20"/>
  <c r="AG535" i="20"/>
  <c r="BO535" i="20"/>
  <c r="BP535" i="20"/>
  <c r="Y535" i="20"/>
  <c r="AI535" i="20"/>
  <c r="V535" i="20"/>
  <c r="AW535" i="20"/>
  <c r="M535" i="20"/>
  <c r="R535" i="20"/>
  <c r="BS535" i="20"/>
  <c r="AA535" i="20"/>
  <c r="BD535" i="20"/>
  <c r="BK535" i="20"/>
  <c r="AY535" i="20"/>
  <c r="AZ535" i="20"/>
  <c r="BC535" i="20"/>
  <c r="S535" i="20"/>
  <c r="BL535" i="20"/>
  <c r="Q535" i="20"/>
  <c r="BG535" i="20"/>
  <c r="BH535" i="20"/>
  <c r="AM535" i="20"/>
  <c r="BJ535" i="20"/>
  <c r="AN535" i="20"/>
  <c r="AE535" i="20"/>
  <c r="BF535" i="20"/>
  <c r="AJ535" i="20"/>
  <c r="W535" i="20"/>
  <c r="BR535" i="20"/>
  <c r="AV535" i="20"/>
  <c r="AU535" i="20"/>
  <c r="BN535" i="20"/>
  <c r="AR535" i="20"/>
  <c r="BQ535" i="20"/>
  <c r="AT535" i="20"/>
  <c r="X535" i="20"/>
  <c r="BI535" i="20"/>
  <c r="AP535" i="20"/>
  <c r="T535" i="20"/>
  <c r="BA535" i="20"/>
  <c r="BB535" i="20"/>
  <c r="AF535" i="20"/>
  <c r="O535" i="20"/>
  <c r="AX535" i="20"/>
  <c r="AB535" i="20"/>
  <c r="AK535" i="20"/>
  <c r="AD535" i="20"/>
  <c r="BM535" i="20"/>
  <c r="AC535" i="20"/>
  <c r="L535" i="20"/>
  <c r="AO330" i="20"/>
  <c r="AO343" i="20"/>
  <c r="AM330" i="20"/>
  <c r="AM343" i="20"/>
  <c r="AD330" i="20"/>
  <c r="AD343" i="20"/>
  <c r="BC330" i="20"/>
  <c r="BC343" i="20"/>
  <c r="AU330" i="20"/>
  <c r="AU343" i="20"/>
  <c r="N330" i="20"/>
  <c r="N343" i="20"/>
  <c r="AA330" i="20"/>
  <c r="AA343" i="20"/>
  <c r="S330" i="20"/>
  <c r="S343" i="20"/>
  <c r="R330" i="20"/>
  <c r="R343" i="20"/>
  <c r="AV330" i="20"/>
  <c r="AV343" i="20"/>
  <c r="Q330" i="20"/>
  <c r="Q343" i="20"/>
  <c r="BI330" i="20"/>
  <c r="BI343" i="20"/>
  <c r="P330" i="20"/>
  <c r="P343" i="20"/>
  <c r="AX330" i="20"/>
  <c r="AX343" i="20"/>
  <c r="BM330" i="20"/>
  <c r="BM343" i="20"/>
  <c r="AK330" i="20"/>
  <c r="AK343" i="20"/>
  <c r="AE330" i="20"/>
  <c r="AE343" i="20"/>
  <c r="AF330" i="20"/>
  <c r="AF343" i="20"/>
  <c r="U330" i="20"/>
  <c r="U343" i="20"/>
  <c r="BH330" i="20"/>
  <c r="BH343" i="20"/>
  <c r="BQ330" i="20"/>
  <c r="BQ343" i="20"/>
  <c r="Y330" i="20"/>
  <c r="Y343" i="20"/>
  <c r="BP330" i="20"/>
  <c r="BP343" i="20"/>
  <c r="BA330" i="20"/>
  <c r="BA343" i="20"/>
  <c r="AN330" i="20"/>
  <c r="AN343" i="20"/>
  <c r="O330" i="20"/>
  <c r="O343" i="20"/>
  <c r="BE330" i="20"/>
  <c r="BE343" i="20"/>
  <c r="V330" i="20"/>
  <c r="V343" i="20"/>
  <c r="AS330" i="20"/>
  <c r="AS343" i="20"/>
  <c r="X330" i="20"/>
  <c r="X343" i="20"/>
  <c r="AH330" i="20"/>
  <c r="AH343" i="20"/>
  <c r="BO330" i="20"/>
  <c r="BO343" i="20"/>
  <c r="AP330" i="20"/>
  <c r="AP343" i="20"/>
  <c r="AL330" i="20"/>
  <c r="AL343" i="20"/>
  <c r="AI330" i="20"/>
  <c r="AI343" i="20"/>
  <c r="AR330" i="20"/>
  <c r="AR343" i="20"/>
  <c r="BS330" i="20"/>
  <c r="BS343" i="20"/>
  <c r="BD330" i="20"/>
  <c r="BD343" i="20"/>
  <c r="BR330" i="20"/>
  <c r="BR343" i="20"/>
  <c r="AT330" i="20"/>
  <c r="AT343" i="20"/>
  <c r="BL330" i="20"/>
  <c r="BL343" i="20"/>
  <c r="BB330" i="20"/>
  <c r="BB343" i="20"/>
  <c r="AC330" i="20"/>
  <c r="AC343" i="20"/>
  <c r="BG330" i="20"/>
  <c r="BG343" i="20"/>
  <c r="BF330" i="20"/>
  <c r="BF343" i="20"/>
  <c r="M330" i="20"/>
  <c r="M343" i="20"/>
  <c r="W330" i="20"/>
  <c r="W343" i="20"/>
  <c r="BN330" i="20"/>
  <c r="BN343" i="20"/>
  <c r="AQ330" i="20"/>
  <c r="AQ343" i="20"/>
  <c r="AZ330" i="20"/>
  <c r="AZ343" i="20"/>
  <c r="BJ330" i="20"/>
  <c r="BJ343" i="20"/>
  <c r="AY330" i="20"/>
  <c r="AY343" i="20"/>
  <c r="T330" i="20"/>
  <c r="T343" i="20"/>
  <c r="AW330" i="20"/>
  <c r="AW343" i="20"/>
  <c r="AJ330" i="20"/>
  <c r="AJ343" i="20"/>
  <c r="AB330" i="20"/>
  <c r="AB343" i="20"/>
  <c r="AG330" i="20"/>
  <c r="AG343" i="20"/>
  <c r="BK330" i="20"/>
  <c r="BK343" i="20"/>
  <c r="Z330" i="20"/>
  <c r="Z343" i="20"/>
  <c r="U338" i="20"/>
  <c r="AI338" i="20"/>
  <c r="AH338" i="20"/>
  <c r="BA338" i="20"/>
  <c r="Y338" i="20"/>
  <c r="BQ338" i="20"/>
  <c r="BH338" i="20"/>
  <c r="BP338" i="20"/>
  <c r="Q338" i="20"/>
  <c r="BF338" i="20"/>
  <c r="AE338" i="20"/>
  <c r="AR338" i="20"/>
  <c r="BK338" i="20"/>
  <c r="Z338" i="20"/>
  <c r="BL338" i="20"/>
  <c r="BI338" i="20"/>
  <c r="BN338" i="20"/>
  <c r="AA338" i="20"/>
  <c r="AT338" i="20"/>
  <c r="AZ338" i="20"/>
  <c r="BM338" i="20"/>
  <c r="AP338" i="20"/>
  <c r="AJ338" i="20"/>
  <c r="AW338" i="20"/>
  <c r="W338" i="20"/>
  <c r="BS338" i="20"/>
  <c r="BR338" i="20"/>
  <c r="BE338" i="20"/>
  <c r="O338" i="20"/>
  <c r="T338" i="20"/>
  <c r="AD338" i="20"/>
  <c r="V338" i="20"/>
  <c r="AL338" i="20"/>
  <c r="AK338" i="20"/>
  <c r="AY338" i="20"/>
  <c r="AB338" i="20"/>
  <c r="AU338" i="20"/>
  <c r="BG338" i="20"/>
  <c r="AM338" i="20"/>
  <c r="AC338" i="20"/>
  <c r="AO338" i="20"/>
  <c r="BC338" i="20"/>
  <c r="BO338" i="20"/>
  <c r="BJ338" i="20"/>
  <c r="X338" i="20"/>
  <c r="AX338" i="20"/>
  <c r="N338" i="20"/>
  <c r="P338" i="20"/>
  <c r="AQ338" i="20"/>
  <c r="AN338" i="20"/>
  <c r="R338" i="20"/>
  <c r="BB338" i="20"/>
  <c r="S338" i="20"/>
  <c r="AF338" i="20"/>
  <c r="AG338" i="20"/>
  <c r="M338" i="20"/>
  <c r="BD338" i="20"/>
  <c r="AV338" i="20"/>
  <c r="AS338" i="20"/>
  <c r="I325" i="20"/>
  <c r="L326" i="20"/>
  <c r="BS299" i="8"/>
  <c r="BS301" i="8" s="1"/>
  <c r="BS282" i="8"/>
  <c r="L336" i="8"/>
  <c r="L337" i="8" s="1"/>
  <c r="M334" i="8" s="1"/>
  <c r="M336" i="8" s="1"/>
  <c r="M337" i="8" s="1"/>
  <c r="N334" i="8" s="1"/>
  <c r="L291" i="8"/>
  <c r="AA300" i="8"/>
  <c r="AA301" i="8" s="1"/>
  <c r="AS300" i="8"/>
  <c r="AS301" i="8" s="1"/>
  <c r="AA282" i="8"/>
  <c r="AD282" i="8"/>
  <c r="AS282" i="8"/>
  <c r="BE282" i="8"/>
  <c r="AJ291" i="8"/>
  <c r="AX300" i="8"/>
  <c r="AX301" i="8" s="1"/>
  <c r="AX282" i="8"/>
  <c r="BF300" i="8"/>
  <c r="BB300" i="8"/>
  <c r="BB301" i="8" s="1"/>
  <c r="AU282" i="8"/>
  <c r="AY299" i="8"/>
  <c r="AY301" i="8" s="1"/>
  <c r="R291" i="8"/>
  <c r="BR299" i="8"/>
  <c r="BR301" i="8" s="1"/>
  <c r="BR282" i="8"/>
  <c r="BG291" i="8"/>
  <c r="BD299" i="8"/>
  <c r="BD300" i="8"/>
  <c r="AH300" i="8"/>
  <c r="AH301" i="8" s="1"/>
  <c r="Z300" i="8"/>
  <c r="Z301" i="8" s="1"/>
  <c r="Z282" i="8"/>
  <c r="AH282" i="8"/>
  <c r="AD300" i="8"/>
  <c r="AD301" i="8" s="1"/>
  <c r="X291" i="8"/>
  <c r="BF299" i="8"/>
  <c r="AG282" i="8"/>
  <c r="AG299" i="8"/>
  <c r="AG301" i="8" s="1"/>
  <c r="AR299" i="8"/>
  <c r="AR301" i="8" s="1"/>
  <c r="BI282" i="8"/>
  <c r="AY282" i="8"/>
  <c r="AU300" i="8"/>
  <c r="AU301" i="8" s="1"/>
  <c r="P291" i="8"/>
  <c r="BB282" i="8"/>
  <c r="BI300" i="8"/>
  <c r="BI301" i="8" s="1"/>
  <c r="AR282" i="8"/>
  <c r="AP300" i="8"/>
  <c r="AP301" i="8" s="1"/>
  <c r="AP282" i="8"/>
  <c r="AQ282" i="8"/>
  <c r="AQ299" i="8"/>
  <c r="AQ301" i="8" s="1"/>
  <c r="U282" i="8"/>
  <c r="T300" i="8"/>
  <c r="T301" i="8" s="1"/>
  <c r="T282" i="8"/>
  <c r="U300" i="8"/>
  <c r="U301" i="8" s="1"/>
  <c r="N282" i="8"/>
  <c r="M299" i="8"/>
  <c r="AF301" i="8"/>
  <c r="AV300" i="8"/>
  <c r="Y300" i="8"/>
  <c r="Y301" i="8" s="1"/>
  <c r="N299" i="8"/>
  <c r="N301" i="8" s="1"/>
  <c r="BC299" i="8"/>
  <c r="BC301" i="8" s="1"/>
  <c r="BJ299" i="8"/>
  <c r="BJ301" i="8" s="1"/>
  <c r="V299" i="8"/>
  <c r="BH291" i="8"/>
  <c r="L299" i="8"/>
  <c r="L301" i="8" s="1"/>
  <c r="BN282" i="8"/>
  <c r="AB300" i="8"/>
  <c r="AB301" i="8" s="1"/>
  <c r="AV299" i="8"/>
  <c r="BC282" i="8"/>
  <c r="V300" i="8"/>
  <c r="BN299" i="8"/>
  <c r="BN301" i="8" s="1"/>
  <c r="BJ282" i="8"/>
  <c r="AT282" i="8"/>
  <c r="AK300" i="8"/>
  <c r="AK301" i="8" s="1"/>
  <c r="BP282" i="8"/>
  <c r="AK282" i="8"/>
  <c r="AZ291" i="8"/>
  <c r="BA291" i="8"/>
  <c r="W300" i="8"/>
  <c r="W301" i="8" s="1"/>
  <c r="AT300" i="8"/>
  <c r="AT301" i="8" s="1"/>
  <c r="BP300" i="8"/>
  <c r="BP301" i="8" s="1"/>
  <c r="W282" i="8"/>
  <c r="S291" i="8"/>
  <c r="O291" i="8"/>
  <c r="BA301" i="8"/>
  <c r="AC291" i="8"/>
  <c r="BQ291" i="8"/>
  <c r="AE282" i="8"/>
  <c r="AE299" i="8"/>
  <c r="AE301" i="8" s="1"/>
  <c r="AN299" i="8"/>
  <c r="AN300" i="8"/>
  <c r="AW282" i="8"/>
  <c r="BO299" i="8"/>
  <c r="BO301" i="8" s="1"/>
  <c r="Y282" i="8"/>
  <c r="BK300" i="8"/>
  <c r="M300" i="8"/>
  <c r="BE299" i="8"/>
  <c r="BE301" i="8" s="1"/>
  <c r="BK299" i="8"/>
  <c r="BO282" i="8"/>
  <c r="AW300" i="8"/>
  <c r="AW301" i="8" s="1"/>
  <c r="AO291" i="8"/>
  <c r="BL291" i="8"/>
  <c r="Q282" i="8"/>
  <c r="AL299" i="8"/>
  <c r="AL301" i="8" s="1"/>
  <c r="I280" i="8"/>
  <c r="Q299" i="8"/>
  <c r="Q301" i="8" s="1"/>
  <c r="AL282" i="8"/>
  <c r="BM291" i="8"/>
  <c r="I289" i="8"/>
  <c r="AI291" i="8"/>
  <c r="I290" i="8"/>
  <c r="AB282" i="8"/>
  <c r="AM291" i="8"/>
  <c r="L489" i="8"/>
  <c r="I489" i="8" s="1"/>
  <c r="L488" i="8"/>
  <c r="I488" i="8" s="1"/>
  <c r="I498" i="8" s="1"/>
  <c r="I491" i="8"/>
  <c r="I486" i="8"/>
  <c r="Q388" i="11"/>
  <c r="Q389" i="11" s="1"/>
  <c r="R386" i="11" s="1"/>
  <c r="Q382" i="11"/>
  <c r="Q383" i="11" s="1"/>
  <c r="R380" i="11" s="1"/>
  <c r="I464" i="11"/>
  <c r="O377" i="11"/>
  <c r="P374" i="11" s="1"/>
  <c r="P376" i="11" s="1"/>
  <c r="O392" i="11"/>
  <c r="L487" i="10" a="1"/>
  <c r="L487" i="10" s="1"/>
  <c r="I269" i="10"/>
  <c r="BI280" i="10"/>
  <c r="BI299" i="10" s="1"/>
  <c r="BL280" i="10"/>
  <c r="BL299" i="10" s="1"/>
  <c r="BR280" i="10"/>
  <c r="BR299" i="10" s="1"/>
  <c r="BB280" i="10"/>
  <c r="BB299" i="10" s="1"/>
  <c r="AO280" i="10"/>
  <c r="AO299" i="10" s="1"/>
  <c r="P280" i="10"/>
  <c r="P299" i="10" s="1"/>
  <c r="AN280" i="10"/>
  <c r="AN299" i="10" s="1"/>
  <c r="BQ280" i="10"/>
  <c r="BQ299" i="10" s="1"/>
  <c r="X280" i="10"/>
  <c r="X299" i="10" s="1"/>
  <c r="BG280" i="10"/>
  <c r="BG299" i="10" s="1"/>
  <c r="AV280" i="10"/>
  <c r="AV299" i="10" s="1"/>
  <c r="AU280" i="10"/>
  <c r="AU299" i="10" s="1"/>
  <c r="N280" i="10"/>
  <c r="N299" i="10" s="1"/>
  <c r="BD280" i="10"/>
  <c r="BD299" i="10" s="1"/>
  <c r="AH280" i="10"/>
  <c r="AH299" i="10" s="1"/>
  <c r="AY280" i="10"/>
  <c r="AY299" i="10" s="1"/>
  <c r="V280" i="10"/>
  <c r="V299" i="10" s="1"/>
  <c r="AM280" i="10"/>
  <c r="AM299" i="10" s="1"/>
  <c r="BE280" i="10"/>
  <c r="BE299" i="10" s="1"/>
  <c r="W280" i="10"/>
  <c r="W299" i="10" s="1"/>
  <c r="BA280" i="10"/>
  <c r="BA299" i="10" s="1"/>
  <c r="S280" i="10"/>
  <c r="S299" i="10" s="1"/>
  <c r="AB280" i="10"/>
  <c r="AB299" i="10" s="1"/>
  <c r="U280" i="10"/>
  <c r="U299" i="10" s="1"/>
  <c r="AF280" i="10"/>
  <c r="AF299" i="10" s="1"/>
  <c r="AZ280" i="10"/>
  <c r="AZ299" i="10" s="1"/>
  <c r="BK280" i="10"/>
  <c r="BK299" i="10" s="1"/>
  <c r="AQ280" i="10"/>
  <c r="AQ299" i="10" s="1"/>
  <c r="AA280" i="10"/>
  <c r="AA299" i="10" s="1"/>
  <c r="AC280" i="10"/>
  <c r="AC299" i="10" s="1"/>
  <c r="AD280" i="10"/>
  <c r="AD299" i="10" s="1"/>
  <c r="T280" i="10"/>
  <c r="T299" i="10" s="1"/>
  <c r="AL280" i="10"/>
  <c r="AL299" i="10" s="1"/>
  <c r="AG280" i="10"/>
  <c r="AG299" i="10" s="1"/>
  <c r="AS280" i="10"/>
  <c r="AS299" i="10" s="1"/>
  <c r="BO280" i="10"/>
  <c r="BO299" i="10" s="1"/>
  <c r="AE280" i="10"/>
  <c r="AE299" i="10" s="1"/>
  <c r="AX280" i="10"/>
  <c r="AX299" i="10" s="1"/>
  <c r="AW280" i="10"/>
  <c r="AW299" i="10" s="1"/>
  <c r="Q280" i="10"/>
  <c r="Q299" i="10" s="1"/>
  <c r="AP280" i="10"/>
  <c r="AP299" i="10" s="1"/>
  <c r="BJ280" i="10"/>
  <c r="BJ299" i="10" s="1"/>
  <c r="BH280" i="10"/>
  <c r="BH299" i="10" s="1"/>
  <c r="BS280" i="10"/>
  <c r="BS299" i="10" s="1"/>
  <c r="BC280" i="10"/>
  <c r="BC299" i="10" s="1"/>
  <c r="R280" i="10"/>
  <c r="R299" i="10" s="1"/>
  <c r="AK280" i="10"/>
  <c r="AK299" i="10" s="1"/>
  <c r="AT280" i="10"/>
  <c r="AT299" i="10" s="1"/>
  <c r="BM280" i="10"/>
  <c r="BM299" i="10" s="1"/>
  <c r="AJ280" i="10"/>
  <c r="AJ299" i="10" s="1"/>
  <c r="M280" i="10"/>
  <c r="M299" i="10" s="1"/>
  <c r="AR280" i="10"/>
  <c r="AR299" i="10" s="1"/>
  <c r="AI280" i="10"/>
  <c r="AI299" i="10" s="1"/>
  <c r="Z280" i="10"/>
  <c r="Z299" i="10" s="1"/>
  <c r="BP280" i="10"/>
  <c r="BP299" i="10" s="1"/>
  <c r="BF280" i="10"/>
  <c r="BF299" i="10" s="1"/>
  <c r="Y280" i="10"/>
  <c r="Y299" i="10" s="1"/>
  <c r="O280" i="10"/>
  <c r="O299" i="10" s="1"/>
  <c r="BN280" i="10"/>
  <c r="BN299" i="10" s="1"/>
  <c r="AK286" i="10"/>
  <c r="AK304" i="10" s="1"/>
  <c r="BK286" i="10"/>
  <c r="BK304" i="10" s="1"/>
  <c r="AY286" i="10"/>
  <c r="AY304" i="10" s="1"/>
  <c r="AD286" i="10"/>
  <c r="AD304" i="10" s="1"/>
  <c r="X286" i="10"/>
  <c r="X304" i="10" s="1"/>
  <c r="AJ286" i="10"/>
  <c r="AJ304" i="10" s="1"/>
  <c r="T286" i="10"/>
  <c r="T304" i="10" s="1"/>
  <c r="AM286" i="10"/>
  <c r="AM304" i="10" s="1"/>
  <c r="AB286" i="10"/>
  <c r="AB304" i="10" s="1"/>
  <c r="AT286" i="10"/>
  <c r="AT304" i="10" s="1"/>
  <c r="AH286" i="10"/>
  <c r="AH304" i="10" s="1"/>
  <c r="R286" i="10"/>
  <c r="R304" i="10" s="1"/>
  <c r="AV286" i="10"/>
  <c r="AV304" i="10" s="1"/>
  <c r="BC286" i="10"/>
  <c r="BC304" i="10" s="1"/>
  <c r="BN286" i="10"/>
  <c r="BN304" i="10" s="1"/>
  <c r="BA286" i="10"/>
  <c r="BA304" i="10" s="1"/>
  <c r="BL286" i="10"/>
  <c r="BL304" i="10" s="1"/>
  <c r="AG286" i="10"/>
  <c r="AG304" i="10" s="1"/>
  <c r="O286" i="10"/>
  <c r="O304" i="10" s="1"/>
  <c r="Y286" i="10"/>
  <c r="Y304" i="10" s="1"/>
  <c r="P286" i="10"/>
  <c r="P304" i="10" s="1"/>
  <c r="BJ286" i="10"/>
  <c r="BJ304" i="10" s="1"/>
  <c r="AR286" i="10"/>
  <c r="AR304" i="10" s="1"/>
  <c r="AF286" i="10"/>
  <c r="AF304" i="10" s="1"/>
  <c r="BB286" i="10"/>
  <c r="BB304" i="10" s="1"/>
  <c r="N286" i="10"/>
  <c r="N304" i="10" s="1"/>
  <c r="AQ286" i="10"/>
  <c r="AQ304" i="10" s="1"/>
  <c r="Z286" i="10"/>
  <c r="Z304" i="10" s="1"/>
  <c r="AA286" i="10"/>
  <c r="AA304" i="10" s="1"/>
  <c r="AU286" i="10"/>
  <c r="AU304" i="10" s="1"/>
  <c r="BF286" i="10"/>
  <c r="BF304" i="10" s="1"/>
  <c r="AP286" i="10"/>
  <c r="AP304" i="10" s="1"/>
  <c r="AS286" i="10"/>
  <c r="AS304" i="10" s="1"/>
  <c r="AO286" i="10"/>
  <c r="AO304" i="10" s="1"/>
  <c r="BQ286" i="10"/>
  <c r="BQ304" i="10" s="1"/>
  <c r="AI286" i="10"/>
  <c r="AI304" i="10" s="1"/>
  <c r="BE286" i="10"/>
  <c r="BE304" i="10" s="1"/>
  <c r="BR286" i="10"/>
  <c r="BR304" i="10" s="1"/>
  <c r="U286" i="10"/>
  <c r="U304" i="10" s="1"/>
  <c r="S286" i="10"/>
  <c r="S304" i="10" s="1"/>
  <c r="W286" i="10"/>
  <c r="W304" i="10" s="1"/>
  <c r="BI286" i="10"/>
  <c r="BI304" i="10" s="1"/>
  <c r="BG286" i="10"/>
  <c r="BG304" i="10" s="1"/>
  <c r="AN286" i="10"/>
  <c r="AN304" i="10" s="1"/>
  <c r="AE286" i="10"/>
  <c r="AE304" i="10" s="1"/>
  <c r="AL286" i="10"/>
  <c r="AL304" i="10" s="1"/>
  <c r="V286" i="10"/>
  <c r="V304" i="10" s="1"/>
  <c r="BM286" i="10"/>
  <c r="BM304" i="10" s="1"/>
  <c r="M286" i="10"/>
  <c r="M304" i="10" s="1"/>
  <c r="BO286" i="10"/>
  <c r="BO304" i="10" s="1"/>
  <c r="AW286" i="10"/>
  <c r="AW304" i="10" s="1"/>
  <c r="Q286" i="10"/>
  <c r="Q304" i="10" s="1"/>
  <c r="AZ286" i="10"/>
  <c r="AZ304" i="10" s="1"/>
  <c r="BS286" i="10"/>
  <c r="BS304" i="10" s="1"/>
  <c r="BD286" i="10"/>
  <c r="BD304" i="10" s="1"/>
  <c r="AC286" i="10"/>
  <c r="AC304" i="10" s="1"/>
  <c r="BP286" i="10"/>
  <c r="BP304" i="10" s="1"/>
  <c r="AX286" i="10"/>
  <c r="AX304" i="10" s="1"/>
  <c r="BH286" i="10"/>
  <c r="BH304" i="10" s="1"/>
  <c r="I486" i="10"/>
  <c r="L324" i="8"/>
  <c r="L325" i="8" s="1"/>
  <c r="M322" i="8" s="1"/>
  <c r="M324" i="8" s="1"/>
  <c r="L330" i="8"/>
  <c r="L331" i="8" s="1"/>
  <c r="M328" i="8" s="1"/>
  <c r="M330" i="8" s="1"/>
  <c r="I295" i="8"/>
  <c r="L305" i="8"/>
  <c r="I305" i="8" s="1"/>
  <c r="BG306" i="8"/>
  <c r="I255" i="9"/>
  <c r="BS257" i="9"/>
  <c r="BS261" i="9" s="1"/>
  <c r="AD386" i="8"/>
  <c r="AD402" i="8" s="1"/>
  <c r="AT386" i="8"/>
  <c r="AT402" i="8" s="1"/>
  <c r="BA386" i="8"/>
  <c r="BA402" i="8" s="1"/>
  <c r="AN386" i="8"/>
  <c r="AN402" i="8" s="1"/>
  <c r="BQ386" i="8"/>
  <c r="BQ402" i="8" s="1"/>
  <c r="P386" i="8"/>
  <c r="P402" i="8" s="1"/>
  <c r="BR386" i="8"/>
  <c r="BR402" i="8" s="1"/>
  <c r="AB386" i="8"/>
  <c r="AB402" i="8" s="1"/>
  <c r="AJ386" i="8"/>
  <c r="AJ402" i="8" s="1"/>
  <c r="AH386" i="8"/>
  <c r="AH402" i="8" s="1"/>
  <c r="BC386" i="8"/>
  <c r="BC402" i="8" s="1"/>
  <c r="BD386" i="8"/>
  <c r="BD402" i="8" s="1"/>
  <c r="AG386" i="8"/>
  <c r="AG402" i="8" s="1"/>
  <c r="AX386" i="8"/>
  <c r="AX402" i="8" s="1"/>
  <c r="AR386" i="8"/>
  <c r="AR402" i="8" s="1"/>
  <c r="AV386" i="8"/>
  <c r="AV402" i="8" s="1"/>
  <c r="BF386" i="8"/>
  <c r="BF402" i="8" s="1"/>
  <c r="Y386" i="8"/>
  <c r="Y402" i="8" s="1"/>
  <c r="AE386" i="8"/>
  <c r="AE402" i="8" s="1"/>
  <c r="BB386" i="8"/>
  <c r="BB402" i="8" s="1"/>
  <c r="AC386" i="8"/>
  <c r="AC402" i="8" s="1"/>
  <c r="AI386" i="8"/>
  <c r="AI402" i="8" s="1"/>
  <c r="Q386" i="8"/>
  <c r="Q402" i="8" s="1"/>
  <c r="AZ386" i="8"/>
  <c r="AZ402" i="8" s="1"/>
  <c r="AA386" i="8"/>
  <c r="AA402" i="8" s="1"/>
  <c r="AO386" i="8"/>
  <c r="AO402" i="8" s="1"/>
  <c r="AU386" i="8"/>
  <c r="AU402" i="8" s="1"/>
  <c r="W386" i="8"/>
  <c r="W402" i="8" s="1"/>
  <c r="AS386" i="8"/>
  <c r="AS402" i="8" s="1"/>
  <c r="AY386" i="8"/>
  <c r="AY402" i="8" s="1"/>
  <c r="AW386" i="8"/>
  <c r="AW402" i="8" s="1"/>
  <c r="BH386" i="8"/>
  <c r="BH402" i="8" s="1"/>
  <c r="U386" i="8"/>
  <c r="U402" i="8" s="1"/>
  <c r="Z386" i="8"/>
  <c r="Z402" i="8" s="1"/>
  <c r="AQ386" i="8"/>
  <c r="AQ402" i="8" s="1"/>
  <c r="BL386" i="8"/>
  <c r="BL402" i="8" s="1"/>
  <c r="BE386" i="8"/>
  <c r="BE402" i="8" s="1"/>
  <c r="BJ386" i="8"/>
  <c r="BJ402" i="8" s="1"/>
  <c r="BK386" i="8"/>
  <c r="BK402" i="8" s="1"/>
  <c r="BM386" i="8"/>
  <c r="BM402" i="8" s="1"/>
  <c r="AM386" i="8"/>
  <c r="AM402" i="8" s="1"/>
  <c r="T386" i="8"/>
  <c r="T402" i="8" s="1"/>
  <c r="BI386" i="8"/>
  <c r="BI402" i="8" s="1"/>
  <c r="BN386" i="8"/>
  <c r="BN402" i="8" s="1"/>
  <c r="BO386" i="8"/>
  <c r="BO402" i="8" s="1"/>
  <c r="AL386" i="8"/>
  <c r="AL402" i="8" s="1"/>
  <c r="X386" i="8"/>
  <c r="X402" i="8" s="1"/>
  <c r="AK386" i="8"/>
  <c r="AK402" i="8" s="1"/>
  <c r="AP386" i="8"/>
  <c r="AP402" i="8" s="1"/>
  <c r="BG386" i="8"/>
  <c r="BG402" i="8" s="1"/>
  <c r="BP386" i="8"/>
  <c r="BP402" i="8" s="1"/>
  <c r="N386" i="8"/>
  <c r="N402" i="8" s="1"/>
  <c r="O386" i="8"/>
  <c r="O402" i="8" s="1"/>
  <c r="AF386" i="8"/>
  <c r="AF402" i="8" s="1"/>
  <c r="V386" i="8"/>
  <c r="V402" i="8" s="1"/>
  <c r="BS386" i="8"/>
  <c r="BS402" i="8" s="1"/>
  <c r="M386" i="8"/>
  <c r="M402" i="8" s="1"/>
  <c r="R386" i="8"/>
  <c r="R402" i="8" s="1"/>
  <c r="S386" i="8"/>
  <c r="S402" i="8" s="1"/>
  <c r="L296" i="8"/>
  <c r="I296" i="8" s="1"/>
  <c r="L282" i="8"/>
  <c r="I281" i="8"/>
  <c r="AO306" i="8"/>
  <c r="BH306" i="8"/>
  <c r="X306" i="8"/>
  <c r="BI306" i="8"/>
  <c r="I304" i="8"/>
  <c r="I384" i="8"/>
  <c r="L386" i="8"/>
  <c r="T339" i="5"/>
  <c r="T340" i="5" s="1"/>
  <c r="U337" i="5" s="1"/>
  <c r="Q333" i="5"/>
  <c r="Q349" i="5" s="1"/>
  <c r="T345" i="5"/>
  <c r="T346" i="5" s="1"/>
  <c r="U343" i="5" s="1"/>
  <c r="AH413" i="5"/>
  <c r="M301" i="8" l="1"/>
  <c r="M570" i="18"/>
  <c r="Q570" i="18"/>
  <c r="U570" i="18"/>
  <c r="Y570" i="18"/>
  <c r="AC570" i="18"/>
  <c r="AG570" i="18"/>
  <c r="AK570" i="18"/>
  <c r="AO570" i="18"/>
  <c r="AS570" i="18"/>
  <c r="AW570" i="18"/>
  <c r="BA570" i="18"/>
  <c r="BE570" i="18"/>
  <c r="BI570" i="18"/>
  <c r="BM570" i="18"/>
  <c r="BQ570" i="18"/>
  <c r="P570" i="18"/>
  <c r="X570" i="18"/>
  <c r="AB570" i="18"/>
  <c r="AF570" i="18"/>
  <c r="AJ570" i="18"/>
  <c r="AN570" i="18"/>
  <c r="AR570" i="18"/>
  <c r="AZ570" i="18"/>
  <c r="BH570" i="18"/>
  <c r="BP570" i="18"/>
  <c r="N570" i="18"/>
  <c r="R570" i="18"/>
  <c r="V570" i="18"/>
  <c r="Z570" i="18"/>
  <c r="AD570" i="18"/>
  <c r="AH570" i="18"/>
  <c r="AL570" i="18"/>
  <c r="AP570" i="18"/>
  <c r="AT570" i="18"/>
  <c r="AX570" i="18"/>
  <c r="BB570" i="18"/>
  <c r="BF570" i="18"/>
  <c r="BJ570" i="18"/>
  <c r="BN570" i="18"/>
  <c r="BR570" i="18"/>
  <c r="O570" i="18"/>
  <c r="S570" i="18"/>
  <c r="W570" i="18"/>
  <c r="AA570" i="18"/>
  <c r="AE570" i="18"/>
  <c r="AI570" i="18"/>
  <c r="AM570" i="18"/>
  <c r="AQ570" i="18"/>
  <c r="AU570" i="18"/>
  <c r="AY570" i="18"/>
  <c r="BC570" i="18"/>
  <c r="BG570" i="18"/>
  <c r="BK570" i="18"/>
  <c r="BO570" i="18"/>
  <c r="BS570" i="18"/>
  <c r="T570" i="18"/>
  <c r="AV570" i="18"/>
  <c r="BD570" i="18"/>
  <c r="BL570" i="18"/>
  <c r="M564" i="18"/>
  <c r="Q564" i="18"/>
  <c r="U564" i="18"/>
  <c r="Y564" i="18"/>
  <c r="AC564" i="18"/>
  <c r="AG564" i="18"/>
  <c r="AK564" i="18"/>
  <c r="AO564" i="18"/>
  <c r="AS564" i="18"/>
  <c r="AW564" i="18"/>
  <c r="BA564" i="18"/>
  <c r="BE564" i="18"/>
  <c r="BI564" i="18"/>
  <c r="BM564" i="18"/>
  <c r="BQ564" i="18"/>
  <c r="N564" i="18"/>
  <c r="R564" i="18"/>
  <c r="V564" i="18"/>
  <c r="Z564" i="18"/>
  <c r="AD564" i="18"/>
  <c r="AH564" i="18"/>
  <c r="AL564" i="18"/>
  <c r="AP564" i="18"/>
  <c r="AT564" i="18"/>
  <c r="AX564" i="18"/>
  <c r="BB564" i="18"/>
  <c r="BF564" i="18"/>
  <c r="BJ564" i="18"/>
  <c r="BN564" i="18"/>
  <c r="BR564" i="18"/>
  <c r="O564" i="18"/>
  <c r="S564" i="18"/>
  <c r="W564" i="18"/>
  <c r="AA564" i="18"/>
  <c r="AE564" i="18"/>
  <c r="AI564" i="18"/>
  <c r="AM564" i="18"/>
  <c r="AQ564" i="18"/>
  <c r="AU564" i="18"/>
  <c r="AY564" i="18"/>
  <c r="BC564" i="18"/>
  <c r="BG564" i="18"/>
  <c r="BK564" i="18"/>
  <c r="BO564" i="18"/>
  <c r="BS564" i="18"/>
  <c r="P564" i="18"/>
  <c r="T564" i="18"/>
  <c r="X564" i="18"/>
  <c r="AB564" i="18"/>
  <c r="AF564" i="18"/>
  <c r="AJ564" i="18"/>
  <c r="AN564" i="18"/>
  <c r="AR564" i="18"/>
  <c r="AV564" i="18"/>
  <c r="AZ564" i="18"/>
  <c r="BD564" i="18"/>
  <c r="BH564" i="18"/>
  <c r="BL564" i="18"/>
  <c r="BP564" i="18"/>
  <c r="L329" i="20"/>
  <c r="L349" i="20" s="1"/>
  <c r="I562" i="20"/>
  <c r="L51" i="17" a="1"/>
  <c r="AA246" i="23"/>
  <c r="AB244" i="23" s="1"/>
  <c r="AA281" i="23"/>
  <c r="AA255" i="23"/>
  <c r="AA249" i="23"/>
  <c r="AA251" i="23" s="1"/>
  <c r="AA270" i="23"/>
  <c r="AA271" i="23" s="1"/>
  <c r="AA240" i="23"/>
  <c r="AB238" i="23" s="1"/>
  <c r="AA275" i="23"/>
  <c r="L338" i="20"/>
  <c r="L486" i="20" a="1"/>
  <c r="L486" i="20" s="1"/>
  <c r="I486" i="20" s="1"/>
  <c r="L433" i="20" a="1"/>
  <c r="L433" i="20" s="1"/>
  <c r="I433" i="20" s="1"/>
  <c r="I320" i="20"/>
  <c r="L339" i="20"/>
  <c r="I339" i="20" s="1"/>
  <c r="I561" i="20"/>
  <c r="BR307" i="9"/>
  <c r="BR306" i="9"/>
  <c r="I261" i="9"/>
  <c r="L311" i="18"/>
  <c r="I310" i="18"/>
  <c r="L319" i="18"/>
  <c r="L537" i="18"/>
  <c r="L564" i="18" s="1"/>
  <c r="L329" i="18"/>
  <c r="L570" i="18" s="1"/>
  <c r="I527" i="20"/>
  <c r="I540" i="20"/>
  <c r="I541" i="20"/>
  <c r="AC537" i="20"/>
  <c r="AC538" i="20"/>
  <c r="AB537" i="20"/>
  <c r="AB538" i="20"/>
  <c r="BB537" i="20"/>
  <c r="BB538" i="20"/>
  <c r="BI537" i="20"/>
  <c r="BI538" i="20"/>
  <c r="AR537" i="20"/>
  <c r="AR538" i="20"/>
  <c r="BR537" i="20"/>
  <c r="BR538" i="20"/>
  <c r="AE537" i="20"/>
  <c r="AE538" i="20"/>
  <c r="BH537" i="20"/>
  <c r="BH538" i="20"/>
  <c r="S537" i="20"/>
  <c r="S538" i="20"/>
  <c r="BK537" i="20"/>
  <c r="BK538" i="20"/>
  <c r="R537" i="20"/>
  <c r="R538" i="20"/>
  <c r="AI537" i="20"/>
  <c r="AI538" i="20"/>
  <c r="AG537" i="20"/>
  <c r="AG538" i="20"/>
  <c r="AH537" i="20"/>
  <c r="AH538" i="20"/>
  <c r="U537" i="20"/>
  <c r="U538" i="20"/>
  <c r="BM537" i="20"/>
  <c r="BM538" i="20"/>
  <c r="AX537" i="20"/>
  <c r="AX538" i="20"/>
  <c r="BA537" i="20"/>
  <c r="BA538" i="20"/>
  <c r="X537" i="20"/>
  <c r="X538" i="20"/>
  <c r="BN537" i="20"/>
  <c r="BN538" i="20"/>
  <c r="W537" i="20"/>
  <c r="W538" i="20"/>
  <c r="AN537" i="20"/>
  <c r="AN538" i="20"/>
  <c r="BG537" i="20"/>
  <c r="BG538" i="20"/>
  <c r="BC537" i="20"/>
  <c r="BC538" i="20"/>
  <c r="BD537" i="20"/>
  <c r="BD538" i="20"/>
  <c r="M537" i="20"/>
  <c r="M538" i="20"/>
  <c r="Y537" i="20"/>
  <c r="Y538" i="20"/>
  <c r="N537" i="20"/>
  <c r="N538" i="20"/>
  <c r="AS537" i="20"/>
  <c r="AS538" i="20"/>
  <c r="BE537" i="20"/>
  <c r="BE538" i="20"/>
  <c r="AD537" i="20"/>
  <c r="AD538" i="20"/>
  <c r="O537" i="20"/>
  <c r="O538" i="20"/>
  <c r="T537" i="20"/>
  <c r="T538" i="20"/>
  <c r="AT537" i="20"/>
  <c r="AT538" i="20"/>
  <c r="AU537" i="20"/>
  <c r="AU538" i="20"/>
  <c r="AJ537" i="20"/>
  <c r="AJ538" i="20"/>
  <c r="BJ537" i="20"/>
  <c r="BJ538" i="20"/>
  <c r="Q537" i="20"/>
  <c r="Q538" i="20"/>
  <c r="AZ537" i="20"/>
  <c r="AZ538" i="20"/>
  <c r="AA537" i="20"/>
  <c r="AA538" i="20"/>
  <c r="AW537" i="20"/>
  <c r="AW538" i="20"/>
  <c r="BP537" i="20"/>
  <c r="BP538" i="20"/>
  <c r="AQ537" i="20"/>
  <c r="AQ538" i="20"/>
  <c r="P537" i="20"/>
  <c r="P538" i="20"/>
  <c r="Z537" i="20"/>
  <c r="Z538" i="20"/>
  <c r="AK537" i="20"/>
  <c r="AK538" i="20"/>
  <c r="AF537" i="20"/>
  <c r="AF538" i="20"/>
  <c r="AP537" i="20"/>
  <c r="AP538" i="20"/>
  <c r="BQ537" i="20"/>
  <c r="BQ538" i="20"/>
  <c r="AV537" i="20"/>
  <c r="AV538" i="20"/>
  <c r="BF537" i="20"/>
  <c r="BF538" i="20"/>
  <c r="AM537" i="20"/>
  <c r="AM538" i="20"/>
  <c r="BL537" i="20"/>
  <c r="BL538" i="20"/>
  <c r="AY537" i="20"/>
  <c r="AY538" i="20"/>
  <c r="BS537" i="20"/>
  <c r="BS538" i="20"/>
  <c r="V537" i="20"/>
  <c r="V538" i="20"/>
  <c r="BO537" i="20"/>
  <c r="BO538" i="20"/>
  <c r="AO537" i="20"/>
  <c r="AO538" i="20"/>
  <c r="AL537" i="20"/>
  <c r="AL538" i="20"/>
  <c r="L537" i="20"/>
  <c r="L538" i="20"/>
  <c r="I535" i="20"/>
  <c r="L344" i="20"/>
  <c r="L434" i="20" a="1"/>
  <c r="BK353" i="20"/>
  <c r="BK354" i="20"/>
  <c r="AB353" i="20"/>
  <c r="AB354" i="20"/>
  <c r="AW353" i="20"/>
  <c r="AW354" i="20"/>
  <c r="AY353" i="20"/>
  <c r="AY354" i="20"/>
  <c r="AZ353" i="20"/>
  <c r="AZ354" i="20"/>
  <c r="BN353" i="20"/>
  <c r="BN354" i="20"/>
  <c r="M353" i="20"/>
  <c r="M354" i="20"/>
  <c r="BG353" i="20"/>
  <c r="BG354" i="20"/>
  <c r="BB353" i="20"/>
  <c r="BB354" i="20"/>
  <c r="AT353" i="20"/>
  <c r="AT354" i="20"/>
  <c r="BD353" i="20"/>
  <c r="BD354" i="20"/>
  <c r="AR353" i="20"/>
  <c r="AR354" i="20"/>
  <c r="AL353" i="20"/>
  <c r="AL354" i="20"/>
  <c r="BO353" i="20"/>
  <c r="BO354" i="20"/>
  <c r="X353" i="20"/>
  <c r="X354" i="20"/>
  <c r="V353" i="20"/>
  <c r="V354" i="20"/>
  <c r="O353" i="20"/>
  <c r="O354" i="20"/>
  <c r="BA353" i="20"/>
  <c r="BA354" i="20"/>
  <c r="Y353" i="20"/>
  <c r="Y354" i="20"/>
  <c r="BH353" i="20"/>
  <c r="BH354" i="20"/>
  <c r="AF353" i="20"/>
  <c r="AF354" i="20"/>
  <c r="AK353" i="20"/>
  <c r="AK354" i="20"/>
  <c r="AX353" i="20"/>
  <c r="AX354" i="20"/>
  <c r="BI353" i="20"/>
  <c r="BI354" i="20"/>
  <c r="AV353" i="20"/>
  <c r="AV354" i="20"/>
  <c r="S353" i="20"/>
  <c r="S354" i="20"/>
  <c r="N353" i="20"/>
  <c r="N354" i="20"/>
  <c r="BC353" i="20"/>
  <c r="BC354" i="20"/>
  <c r="AM353" i="20"/>
  <c r="AM354" i="20"/>
  <c r="Z353" i="20"/>
  <c r="Z354" i="20"/>
  <c r="AG353" i="20"/>
  <c r="AG354" i="20"/>
  <c r="AJ353" i="20"/>
  <c r="AJ354" i="20"/>
  <c r="T353" i="20"/>
  <c r="T354" i="20"/>
  <c r="BJ353" i="20"/>
  <c r="BJ354" i="20"/>
  <c r="AQ353" i="20"/>
  <c r="AQ354" i="20"/>
  <c r="W353" i="20"/>
  <c r="W354" i="20"/>
  <c r="BF353" i="20"/>
  <c r="BF354" i="20"/>
  <c r="AC353" i="20"/>
  <c r="AC354" i="20"/>
  <c r="BL353" i="20"/>
  <c r="BL354" i="20"/>
  <c r="BR353" i="20"/>
  <c r="BR354" i="20"/>
  <c r="BS353" i="20"/>
  <c r="BS354" i="20"/>
  <c r="AI353" i="20"/>
  <c r="AI354" i="20"/>
  <c r="AP353" i="20"/>
  <c r="AP354" i="20"/>
  <c r="AH353" i="20"/>
  <c r="AH354" i="20"/>
  <c r="AS353" i="20"/>
  <c r="AS354" i="20"/>
  <c r="BE353" i="20"/>
  <c r="BE354" i="20"/>
  <c r="AN353" i="20"/>
  <c r="AN354" i="20"/>
  <c r="BP353" i="20"/>
  <c r="BP354" i="20"/>
  <c r="BQ353" i="20"/>
  <c r="BQ354" i="20"/>
  <c r="U353" i="20"/>
  <c r="U354" i="20"/>
  <c r="AE353" i="20"/>
  <c r="AE354" i="20"/>
  <c r="BM353" i="20"/>
  <c r="BM354" i="20"/>
  <c r="P353" i="20"/>
  <c r="P354" i="20"/>
  <c r="Q353" i="20"/>
  <c r="Q354" i="20"/>
  <c r="R353" i="20"/>
  <c r="R354" i="20"/>
  <c r="AA353" i="20"/>
  <c r="AA354" i="20"/>
  <c r="AU353" i="20"/>
  <c r="AU354" i="20"/>
  <c r="AD353" i="20"/>
  <c r="AD354" i="20"/>
  <c r="AO353" i="20"/>
  <c r="AO354" i="20"/>
  <c r="AS348" i="20"/>
  <c r="AS349" i="20"/>
  <c r="BD348" i="20"/>
  <c r="BD349" i="20"/>
  <c r="AG348" i="20"/>
  <c r="AG349" i="20"/>
  <c r="S348" i="20"/>
  <c r="S349" i="20"/>
  <c r="R348" i="20"/>
  <c r="R349" i="20"/>
  <c r="AQ348" i="20"/>
  <c r="AQ349" i="20"/>
  <c r="N348" i="20"/>
  <c r="N349" i="20"/>
  <c r="X348" i="20"/>
  <c r="X349" i="20"/>
  <c r="BO348" i="20"/>
  <c r="BO349" i="20"/>
  <c r="AO348" i="20"/>
  <c r="AO349" i="20"/>
  <c r="AM348" i="20"/>
  <c r="AM349" i="20"/>
  <c r="AU348" i="20"/>
  <c r="AU349" i="20"/>
  <c r="AY348" i="20"/>
  <c r="AY349" i="20"/>
  <c r="AL348" i="20"/>
  <c r="AL349" i="20"/>
  <c r="AD348" i="20"/>
  <c r="AD349" i="20"/>
  <c r="O348" i="20"/>
  <c r="O349" i="20"/>
  <c r="BR348" i="20"/>
  <c r="BR349" i="20"/>
  <c r="W348" i="20"/>
  <c r="W349" i="20"/>
  <c r="AJ348" i="20"/>
  <c r="AJ349" i="20"/>
  <c r="BM348" i="20"/>
  <c r="BM349" i="20"/>
  <c r="AT348" i="20"/>
  <c r="AT349" i="20"/>
  <c r="BN348" i="20"/>
  <c r="BN349" i="20"/>
  <c r="BL348" i="20"/>
  <c r="BL349" i="20"/>
  <c r="BK348" i="20"/>
  <c r="BK349" i="20"/>
  <c r="AE348" i="20"/>
  <c r="AE349" i="20"/>
  <c r="Q348" i="20"/>
  <c r="Q349" i="20"/>
  <c r="BH348" i="20"/>
  <c r="BH349" i="20"/>
  <c r="Y348" i="20"/>
  <c r="Y349" i="20"/>
  <c r="AH348" i="20"/>
  <c r="AH349" i="20"/>
  <c r="U348" i="20"/>
  <c r="U349" i="20"/>
  <c r="AV348" i="20"/>
  <c r="AV349" i="20"/>
  <c r="M348" i="20"/>
  <c r="M349" i="20"/>
  <c r="AF348" i="20"/>
  <c r="AF349" i="20"/>
  <c r="BB348" i="20"/>
  <c r="BB349" i="20"/>
  <c r="AN348" i="20"/>
  <c r="AN349" i="20"/>
  <c r="P348" i="20"/>
  <c r="P349" i="20"/>
  <c r="AX348" i="20"/>
  <c r="AX349" i="20"/>
  <c r="BJ348" i="20"/>
  <c r="BJ349" i="20"/>
  <c r="BC348" i="20"/>
  <c r="BC349" i="20"/>
  <c r="AC348" i="20"/>
  <c r="AC349" i="20"/>
  <c r="BG348" i="20"/>
  <c r="BG349" i="20"/>
  <c r="AB348" i="20"/>
  <c r="AB349" i="20"/>
  <c r="AK348" i="20"/>
  <c r="AK349" i="20"/>
  <c r="V348" i="20"/>
  <c r="V349" i="20"/>
  <c r="T348" i="20"/>
  <c r="T349" i="20"/>
  <c r="BE348" i="20"/>
  <c r="BE349" i="20"/>
  <c r="BS348" i="20"/>
  <c r="BS349" i="20"/>
  <c r="AW348" i="20"/>
  <c r="AW349" i="20"/>
  <c r="AP348" i="20"/>
  <c r="AP349" i="20"/>
  <c r="AZ348" i="20"/>
  <c r="AZ349" i="20"/>
  <c r="AA348" i="20"/>
  <c r="AA349" i="20"/>
  <c r="BI348" i="20"/>
  <c r="BI349" i="20"/>
  <c r="Z348" i="20"/>
  <c r="Z349" i="20"/>
  <c r="AR348" i="20"/>
  <c r="AR349" i="20"/>
  <c r="BF348" i="20"/>
  <c r="BF349" i="20"/>
  <c r="BP348" i="20"/>
  <c r="BP349" i="20"/>
  <c r="BQ348" i="20"/>
  <c r="BQ349" i="20"/>
  <c r="BA348" i="20"/>
  <c r="BA349" i="20"/>
  <c r="AI348" i="20"/>
  <c r="AI349" i="20"/>
  <c r="L330" i="20"/>
  <c r="L354" i="20" s="1"/>
  <c r="L343" i="20"/>
  <c r="AC345" i="20"/>
  <c r="BR345" i="20"/>
  <c r="BS345" i="20"/>
  <c r="AI345" i="20"/>
  <c r="BM345" i="20"/>
  <c r="R345" i="20"/>
  <c r="AU345" i="20"/>
  <c r="AO345" i="20"/>
  <c r="O345" i="20"/>
  <c r="AS345" i="20"/>
  <c r="AY345" i="20"/>
  <c r="BG345" i="20"/>
  <c r="BD345" i="20"/>
  <c r="BO345" i="20"/>
  <c r="X345" i="20"/>
  <c r="N345" i="20"/>
  <c r="AK345" i="20"/>
  <c r="AM345" i="20"/>
  <c r="BP345" i="20"/>
  <c r="BN345" i="20"/>
  <c r="AR345" i="20"/>
  <c r="AL345" i="20"/>
  <c r="AX345" i="20"/>
  <c r="AF345" i="20"/>
  <c r="AG345" i="20"/>
  <c r="BL345" i="20"/>
  <c r="BH345" i="20"/>
  <c r="AP345" i="20"/>
  <c r="AE345" i="20"/>
  <c r="T345" i="20"/>
  <c r="AQ345" i="20"/>
  <c r="BF345" i="20"/>
  <c r="AW345" i="20"/>
  <c r="BI345" i="20"/>
  <c r="AA345" i="20"/>
  <c r="BC345" i="20"/>
  <c r="AD345" i="20"/>
  <c r="BQ345" i="20"/>
  <c r="I326" i="20"/>
  <c r="V340" i="20"/>
  <c r="BE340" i="20"/>
  <c r="BK345" i="20"/>
  <c r="AZ345" i="20"/>
  <c r="BB345" i="20"/>
  <c r="AN345" i="20"/>
  <c r="W340" i="20"/>
  <c r="BM340" i="20"/>
  <c r="Z345" i="20"/>
  <c r="AB345" i="20"/>
  <c r="BJ345" i="20"/>
  <c r="W345" i="20"/>
  <c r="AH345" i="20"/>
  <c r="AV345" i="20"/>
  <c r="BE345" i="20"/>
  <c r="BA345" i="20"/>
  <c r="Y345" i="20"/>
  <c r="AT345" i="20"/>
  <c r="Q345" i="20"/>
  <c r="V345" i="20"/>
  <c r="U345" i="20"/>
  <c r="AT340" i="20"/>
  <c r="AJ345" i="20"/>
  <c r="M345" i="20"/>
  <c r="P345" i="20"/>
  <c r="S345" i="20"/>
  <c r="AH340" i="20"/>
  <c r="BB340" i="20"/>
  <c r="AQ340" i="20"/>
  <c r="AA340" i="20"/>
  <c r="BN340" i="20"/>
  <c r="BL340" i="20"/>
  <c r="BG340" i="20"/>
  <c r="AK340" i="20"/>
  <c r="N340" i="20"/>
  <c r="BF340" i="20"/>
  <c r="BQ340" i="20"/>
  <c r="AX340" i="20"/>
  <c r="BK340" i="20"/>
  <c r="BR340" i="20"/>
  <c r="AJ340" i="20"/>
  <c r="AV340" i="20"/>
  <c r="BO340" i="20"/>
  <c r="AY340" i="20"/>
  <c r="Z340" i="20"/>
  <c r="AE340" i="20"/>
  <c r="BP340" i="20"/>
  <c r="BA340" i="20"/>
  <c r="AL340" i="20"/>
  <c r="T340" i="20"/>
  <c r="BS340" i="20"/>
  <c r="AZ340" i="20"/>
  <c r="AI340" i="20"/>
  <c r="AS340" i="20"/>
  <c r="AV331" i="20"/>
  <c r="BD340" i="20"/>
  <c r="AG340" i="20"/>
  <c r="AF331" i="20"/>
  <c r="S331" i="20"/>
  <c r="R340" i="20"/>
  <c r="AN331" i="20"/>
  <c r="BN331" i="20"/>
  <c r="BI340" i="20"/>
  <c r="BJ331" i="20"/>
  <c r="BC331" i="20"/>
  <c r="AC340" i="20"/>
  <c r="AM340" i="20"/>
  <c r="AB340" i="20"/>
  <c r="AK331" i="20"/>
  <c r="X340" i="20"/>
  <c r="AR340" i="20"/>
  <c r="Q340" i="20"/>
  <c r="BP331" i="20"/>
  <c r="BH331" i="20"/>
  <c r="Y340" i="20"/>
  <c r="BA331" i="20"/>
  <c r="AL331" i="20"/>
  <c r="AD340" i="20"/>
  <c r="T331" i="20"/>
  <c r="O331" i="20"/>
  <c r="W331" i="20"/>
  <c r="AP331" i="20"/>
  <c r="BM331" i="20"/>
  <c r="AS331" i="20"/>
  <c r="AG331" i="20"/>
  <c r="AF340" i="20"/>
  <c r="R331" i="20"/>
  <c r="AN340" i="20"/>
  <c r="BI331" i="20"/>
  <c r="BJ340" i="20"/>
  <c r="BO331" i="20"/>
  <c r="AO340" i="20"/>
  <c r="AU340" i="20"/>
  <c r="AY331" i="20"/>
  <c r="P340" i="20"/>
  <c r="N331" i="20"/>
  <c r="Z331" i="20"/>
  <c r="AR331" i="20"/>
  <c r="BF331" i="20"/>
  <c r="Q331" i="20"/>
  <c r="Y331" i="20"/>
  <c r="AD331" i="20"/>
  <c r="BS331" i="20"/>
  <c r="AW331" i="20"/>
  <c r="AJ331" i="20"/>
  <c r="AP340" i="20"/>
  <c r="U331" i="20"/>
  <c r="BD331" i="20"/>
  <c r="M331" i="20"/>
  <c r="BB331" i="20"/>
  <c r="AO331" i="20"/>
  <c r="AC331" i="20"/>
  <c r="AB331" i="20"/>
  <c r="X331" i="20"/>
  <c r="BK331" i="20"/>
  <c r="AE331" i="20"/>
  <c r="V331" i="20"/>
  <c r="BE331" i="20"/>
  <c r="BR331" i="20"/>
  <c r="AZ331" i="20"/>
  <c r="AT331" i="20"/>
  <c r="AI331" i="20"/>
  <c r="M340" i="20"/>
  <c r="S340" i="20"/>
  <c r="AQ331" i="20"/>
  <c r="AA331" i="20"/>
  <c r="BL331" i="20"/>
  <c r="BC340" i="20"/>
  <c r="AM331" i="20"/>
  <c r="BG331" i="20"/>
  <c r="AU331" i="20"/>
  <c r="P331" i="20"/>
  <c r="AX331" i="20"/>
  <c r="BH340" i="20"/>
  <c r="BQ331" i="20"/>
  <c r="O340" i="20"/>
  <c r="AW340" i="20"/>
  <c r="AH331" i="20"/>
  <c r="U340" i="20"/>
  <c r="BF301" i="8"/>
  <c r="BD301" i="8"/>
  <c r="AV301" i="8"/>
  <c r="V301" i="8"/>
  <c r="I299" i="8"/>
  <c r="I291" i="8"/>
  <c r="BK301" i="8"/>
  <c r="AN301" i="8"/>
  <c r="I300" i="8"/>
  <c r="I282" i="8"/>
  <c r="I494" i="8"/>
  <c r="I487" i="10"/>
  <c r="R388" i="11"/>
  <c r="R389" i="11" s="1"/>
  <c r="S386" i="11" s="1"/>
  <c r="R382" i="11"/>
  <c r="R383" i="11" s="1"/>
  <c r="S380" i="11" s="1"/>
  <c r="P377" i="11"/>
  <c r="Q374" i="11" s="1"/>
  <c r="Q376" i="11" s="1"/>
  <c r="P392" i="11"/>
  <c r="BO495" i="10"/>
  <c r="BO498" i="10" s="1"/>
  <c r="Q495" i="10"/>
  <c r="Q498" i="10" s="1"/>
  <c r="AZ495" i="10"/>
  <c r="AZ497" i="10" s="1"/>
  <c r="AL495" i="10"/>
  <c r="AL497" i="10" s="1"/>
  <c r="AR495" i="10"/>
  <c r="AR498" i="10" s="1"/>
  <c r="S495" i="10"/>
  <c r="S497" i="10" s="1"/>
  <c r="M495" i="10"/>
  <c r="M498" i="10" s="1"/>
  <c r="W495" i="10"/>
  <c r="W497" i="10" s="1"/>
  <c r="Z495" i="10"/>
  <c r="Z497" i="10" s="1"/>
  <c r="BH495" i="10"/>
  <c r="BH497" i="10" s="1"/>
  <c r="BI495" i="10"/>
  <c r="BI498" i="10" s="1"/>
  <c r="BM495" i="10"/>
  <c r="BM497" i="10" s="1"/>
  <c r="AE495" i="10"/>
  <c r="AE498" i="10" s="1"/>
  <c r="BN495" i="10"/>
  <c r="BN498" i="10" s="1"/>
  <c r="AI495" i="10"/>
  <c r="AI498" i="10" s="1"/>
  <c r="BD495" i="10"/>
  <c r="BD497" i="10" s="1"/>
  <c r="AA495" i="10"/>
  <c r="AA498" i="10" s="1"/>
  <c r="BP495" i="10"/>
  <c r="BP497" i="10" s="1"/>
  <c r="AO495" i="10"/>
  <c r="AO498" i="10" s="1"/>
  <c r="AU495" i="10"/>
  <c r="AU497" i="10" s="1"/>
  <c r="AQ495" i="10"/>
  <c r="AQ498" i="10" s="1"/>
  <c r="AK495" i="10"/>
  <c r="AK498" i="10" s="1"/>
  <c r="AY495" i="10"/>
  <c r="AY498" i="10" s="1"/>
  <c r="BE495" i="10"/>
  <c r="BE497" i="10" s="1"/>
  <c r="AC495" i="10"/>
  <c r="AC498" i="10" s="1"/>
  <c r="BQ495" i="10"/>
  <c r="BQ498" i="10" s="1"/>
  <c r="V495" i="10"/>
  <c r="V497" i="10" s="1"/>
  <c r="BG495" i="10"/>
  <c r="BG497" i="10" s="1"/>
  <c r="AB495" i="10"/>
  <c r="AB498" i="10" s="1"/>
  <c r="AW495" i="10"/>
  <c r="AW497" i="10" s="1"/>
  <c r="BR495" i="10"/>
  <c r="BR498" i="10" s="1"/>
  <c r="BC495" i="10"/>
  <c r="BC497" i="10" s="1"/>
  <c r="U495" i="10"/>
  <c r="U498" i="10" s="1"/>
  <c r="BS495" i="10"/>
  <c r="BS497" i="10" s="1"/>
  <c r="T495" i="10"/>
  <c r="T498" i="10" s="1"/>
  <c r="R495" i="10"/>
  <c r="R497" i="10" s="1"/>
  <c r="BJ495" i="10"/>
  <c r="BJ498" i="10" s="1"/>
  <c r="AG495" i="10"/>
  <c r="AG497" i="10" s="1"/>
  <c r="N495" i="10"/>
  <c r="N498" i="10" s="1"/>
  <c r="BB495" i="10"/>
  <c r="BB497" i="10" s="1"/>
  <c r="AP495" i="10"/>
  <c r="AP497" i="10" s="1"/>
  <c r="AM495" i="10"/>
  <c r="AM497" i="10" s="1"/>
  <c r="BF495" i="10"/>
  <c r="BF497" i="10" s="1"/>
  <c r="AT495" i="10"/>
  <c r="AT497" i="10" s="1"/>
  <c r="AF495" i="10"/>
  <c r="AF498" i="10" s="1"/>
  <c r="O495" i="10"/>
  <c r="O497" i="10" s="1"/>
  <c r="AN495" i="10"/>
  <c r="AN498" i="10" s="1"/>
  <c r="AH495" i="10"/>
  <c r="AH497" i="10" s="1"/>
  <c r="AS495" i="10"/>
  <c r="AS497" i="10" s="1"/>
  <c r="BL495" i="10"/>
  <c r="BL497" i="10" s="1"/>
  <c r="BA495" i="10"/>
  <c r="BA497" i="10" s="1"/>
  <c r="AJ495" i="10"/>
  <c r="AJ497" i="10" s="1"/>
  <c r="Y495" i="10"/>
  <c r="Y498" i="10" s="1"/>
  <c r="P495" i="10"/>
  <c r="P498" i="10" s="1"/>
  <c r="X495" i="10"/>
  <c r="X498" i="10" s="1"/>
  <c r="AV495" i="10"/>
  <c r="AV497" i="10" s="1"/>
  <c r="AD495" i="10"/>
  <c r="AD498" i="10" s="1"/>
  <c r="BK495" i="10"/>
  <c r="BK497" i="10" s="1"/>
  <c r="AX495" i="10"/>
  <c r="L495" i="10"/>
  <c r="BH290" i="10"/>
  <c r="BH303" i="10"/>
  <c r="V290" i="10"/>
  <c r="V303" i="10"/>
  <c r="U290" i="10"/>
  <c r="U303" i="10"/>
  <c r="AQ290" i="10"/>
  <c r="AQ303" i="10"/>
  <c r="AX290" i="10"/>
  <c r="AX303" i="10"/>
  <c r="BS290" i="10"/>
  <c r="BS303" i="10"/>
  <c r="BO290" i="10"/>
  <c r="BO303" i="10"/>
  <c r="AL290" i="10"/>
  <c r="AL303" i="10"/>
  <c r="BI290" i="10"/>
  <c r="BI303" i="10"/>
  <c r="BR290" i="10"/>
  <c r="BR303" i="10"/>
  <c r="AO290" i="10"/>
  <c r="AO303" i="10"/>
  <c r="AU290" i="10"/>
  <c r="AU303" i="10"/>
  <c r="N290" i="10"/>
  <c r="N303" i="10"/>
  <c r="BJ290" i="10"/>
  <c r="BJ303" i="10"/>
  <c r="AG290" i="10"/>
  <c r="AG303" i="10"/>
  <c r="BC290" i="10"/>
  <c r="BC303" i="10"/>
  <c r="AT290" i="10"/>
  <c r="AT303" i="10"/>
  <c r="AJ290" i="10"/>
  <c r="AJ303" i="10"/>
  <c r="BK290" i="10"/>
  <c r="BK303" i="10"/>
  <c r="BD290" i="10"/>
  <c r="BD303" i="10"/>
  <c r="BG290" i="10"/>
  <c r="BG303" i="10"/>
  <c r="BF290" i="10"/>
  <c r="BF303" i="10"/>
  <c r="AR290" i="10"/>
  <c r="AR303" i="10"/>
  <c r="BN290" i="10"/>
  <c r="BN303" i="10"/>
  <c r="AH290" i="10"/>
  <c r="AH303" i="10"/>
  <c r="T290" i="10"/>
  <c r="T303" i="10"/>
  <c r="AY290" i="10"/>
  <c r="AY303" i="10"/>
  <c r="BP290" i="10"/>
  <c r="BP303" i="10"/>
  <c r="AZ290" i="10"/>
  <c r="AZ303" i="10"/>
  <c r="M290" i="10"/>
  <c r="M303" i="10"/>
  <c r="AE290" i="10"/>
  <c r="AE303" i="10"/>
  <c r="W290" i="10"/>
  <c r="W303" i="10"/>
  <c r="BE290" i="10"/>
  <c r="BE303" i="10"/>
  <c r="AS290" i="10"/>
  <c r="AS303" i="10"/>
  <c r="AA290" i="10"/>
  <c r="AA303" i="10"/>
  <c r="BB290" i="10"/>
  <c r="BB303" i="10"/>
  <c r="P290" i="10"/>
  <c r="P303" i="10"/>
  <c r="BL290" i="10"/>
  <c r="BL303" i="10"/>
  <c r="AV290" i="10"/>
  <c r="AV303" i="10"/>
  <c r="AB290" i="10"/>
  <c r="AB303" i="10"/>
  <c r="X290" i="10"/>
  <c r="X303" i="10"/>
  <c r="AK290" i="10"/>
  <c r="AK303" i="10"/>
  <c r="AW290" i="10"/>
  <c r="AW303" i="10"/>
  <c r="BQ290" i="10"/>
  <c r="BQ303" i="10"/>
  <c r="O290" i="10"/>
  <c r="O303" i="10"/>
  <c r="O305" i="10" s="1"/>
  <c r="AC290" i="10"/>
  <c r="AC303" i="10"/>
  <c r="Q290" i="10"/>
  <c r="Q303" i="10"/>
  <c r="BM290" i="10"/>
  <c r="BM303" i="10"/>
  <c r="AN290" i="10"/>
  <c r="AN303" i="10"/>
  <c r="S290" i="10"/>
  <c r="S303" i="10"/>
  <c r="AI290" i="10"/>
  <c r="AI303" i="10"/>
  <c r="AP290" i="10"/>
  <c r="AP303" i="10"/>
  <c r="Z290" i="10"/>
  <c r="Z303" i="10"/>
  <c r="AF290" i="10"/>
  <c r="AF303" i="10"/>
  <c r="Y290" i="10"/>
  <c r="Y303" i="10"/>
  <c r="BA290" i="10"/>
  <c r="BA303" i="10"/>
  <c r="R290" i="10"/>
  <c r="R303" i="10"/>
  <c r="AM290" i="10"/>
  <c r="AM303" i="10"/>
  <c r="AD290" i="10"/>
  <c r="AD303" i="10"/>
  <c r="O289" i="10"/>
  <c r="O298" i="10"/>
  <c r="Z289" i="10"/>
  <c r="Z298" i="10"/>
  <c r="AJ289" i="10"/>
  <c r="AJ298" i="10"/>
  <c r="R289" i="10"/>
  <c r="R298" i="10"/>
  <c r="BJ289" i="10"/>
  <c r="BJ298" i="10"/>
  <c r="AX289" i="10"/>
  <c r="AX298" i="10"/>
  <c r="AG289" i="10"/>
  <c r="AG298" i="10"/>
  <c r="AC289" i="10"/>
  <c r="AC298" i="10"/>
  <c r="AZ289" i="10"/>
  <c r="AZ298" i="10"/>
  <c r="S289" i="10"/>
  <c r="S298" i="10"/>
  <c r="AM289" i="10"/>
  <c r="AM298" i="10"/>
  <c r="BD289" i="10"/>
  <c r="BD298" i="10"/>
  <c r="BG289" i="10"/>
  <c r="BG298" i="10"/>
  <c r="P289" i="10"/>
  <c r="P298" i="10"/>
  <c r="BL289" i="10"/>
  <c r="BL298" i="10"/>
  <c r="Y289" i="10"/>
  <c r="Y298" i="10"/>
  <c r="AI289" i="10"/>
  <c r="AI298" i="10"/>
  <c r="BM289" i="10"/>
  <c r="BM298" i="10"/>
  <c r="BC289" i="10"/>
  <c r="BC298" i="10"/>
  <c r="AP289" i="10"/>
  <c r="AP298" i="10"/>
  <c r="AE289" i="10"/>
  <c r="AE298" i="10"/>
  <c r="AL289" i="10"/>
  <c r="AL298" i="10"/>
  <c r="AA289" i="10"/>
  <c r="AA298" i="10"/>
  <c r="AF289" i="10"/>
  <c r="AF298" i="10"/>
  <c r="BA289" i="10"/>
  <c r="BA298" i="10"/>
  <c r="V289" i="10"/>
  <c r="V298" i="10"/>
  <c r="N289" i="10"/>
  <c r="N298" i="10"/>
  <c r="X289" i="10"/>
  <c r="X298" i="10"/>
  <c r="AO289" i="10"/>
  <c r="AO298" i="10"/>
  <c r="BI289" i="10"/>
  <c r="BI298" i="10"/>
  <c r="BF289" i="10"/>
  <c r="BF298" i="10"/>
  <c r="AR289" i="10"/>
  <c r="AR298" i="10"/>
  <c r="AT289" i="10"/>
  <c r="AT298" i="10"/>
  <c r="BS289" i="10"/>
  <c r="BS298" i="10"/>
  <c r="Q289" i="10"/>
  <c r="Q298" i="10"/>
  <c r="BO289" i="10"/>
  <c r="BO298" i="10"/>
  <c r="T289" i="10"/>
  <c r="T298" i="10"/>
  <c r="AQ289" i="10"/>
  <c r="AQ298" i="10"/>
  <c r="U289" i="10"/>
  <c r="U298" i="10"/>
  <c r="W289" i="10"/>
  <c r="W298" i="10"/>
  <c r="AY289" i="10"/>
  <c r="AY298" i="10"/>
  <c r="AU289" i="10"/>
  <c r="AU298" i="10"/>
  <c r="BQ289" i="10"/>
  <c r="BQ298" i="10"/>
  <c r="BB289" i="10"/>
  <c r="BB298" i="10"/>
  <c r="BN289" i="10"/>
  <c r="BN298" i="10"/>
  <c r="BP289" i="10"/>
  <c r="BP298" i="10"/>
  <c r="M289" i="10"/>
  <c r="M298" i="10"/>
  <c r="AK289" i="10"/>
  <c r="AK298" i="10"/>
  <c r="BH289" i="10"/>
  <c r="BH298" i="10"/>
  <c r="AW289" i="10"/>
  <c r="AW298" i="10"/>
  <c r="AS289" i="10"/>
  <c r="AS298" i="10"/>
  <c r="AD289" i="10"/>
  <c r="AD298" i="10"/>
  <c r="BK289" i="10"/>
  <c r="BK298" i="10"/>
  <c r="AB289" i="10"/>
  <c r="AB298" i="10"/>
  <c r="BE289" i="10"/>
  <c r="BE298" i="10"/>
  <c r="AH289" i="10"/>
  <c r="AH298" i="10"/>
  <c r="AV289" i="10"/>
  <c r="AV298" i="10"/>
  <c r="AN289" i="10"/>
  <c r="AN298" i="10"/>
  <c r="BR289" i="10"/>
  <c r="BR298" i="10"/>
  <c r="I285" i="10"/>
  <c r="L286" i="10"/>
  <c r="I279" i="10"/>
  <c r="L280" i="10"/>
  <c r="L340" i="8"/>
  <c r="M331" i="8"/>
  <c r="N328" i="8" s="1"/>
  <c r="N330" i="8" s="1"/>
  <c r="N331" i="8" s="1"/>
  <c r="O328" i="8" s="1"/>
  <c r="L306" i="8"/>
  <c r="I306" i="8" s="1"/>
  <c r="I257" i="9"/>
  <c r="H257" i="9" s="1"/>
  <c r="BS258" i="9"/>
  <c r="I410" i="8"/>
  <c r="N336" i="8"/>
  <c r="N337" i="8" s="1"/>
  <c r="O334" i="8" s="1"/>
  <c r="I386" i="8"/>
  <c r="L402" i="8"/>
  <c r="M325" i="8"/>
  <c r="N322" i="8" s="1"/>
  <c r="N324" i="8" s="1"/>
  <c r="M340" i="8"/>
  <c r="Q334" i="5"/>
  <c r="R331" i="5" s="1"/>
  <c r="R333" i="5" s="1"/>
  <c r="R349" i="5" s="1"/>
  <c r="U345" i="5"/>
  <c r="U346" i="5" s="1"/>
  <c r="V343" i="5" s="1"/>
  <c r="U339" i="5"/>
  <c r="U340" i="5" s="1"/>
  <c r="V337" i="5" s="1"/>
  <c r="AI413" i="5"/>
  <c r="L51" i="17" l="1"/>
  <c r="L348" i="20"/>
  <c r="I348" i="20" s="1"/>
  <c r="I329" i="20"/>
  <c r="I554" i="20"/>
  <c r="AA274" i="23"/>
  <c r="AA276" i="23" s="1"/>
  <c r="AA280" i="23" s="1"/>
  <c r="AA282" i="23" s="1"/>
  <c r="AA252" i="23"/>
  <c r="AB250" i="23" s="1"/>
  <c r="AA287" i="23"/>
  <c r="AA257" i="23"/>
  <c r="BI497" i="10"/>
  <c r="L340" i="20"/>
  <c r="I338" i="20"/>
  <c r="L373" i="20"/>
  <c r="L374" i="20" s="1"/>
  <c r="M371" i="20" s="1"/>
  <c r="M373" i="20" s="1"/>
  <c r="I570" i="18"/>
  <c r="I564" i="18"/>
  <c r="BS263" i="9"/>
  <c r="BS267" i="9" s="1"/>
  <c r="I329" i="18"/>
  <c r="I537" i="18"/>
  <c r="L330" i="18" a="1"/>
  <c r="L336" i="18" a="1"/>
  <c r="I319" i="18"/>
  <c r="L320" i="18"/>
  <c r="I311" i="18"/>
  <c r="I537" i="20"/>
  <c r="I547" i="20" s="1"/>
  <c r="I543" i="20"/>
  <c r="I538" i="20"/>
  <c r="I344" i="20"/>
  <c r="L379" i="20"/>
  <c r="L380" i="20" s="1"/>
  <c r="M377" i="20" s="1"/>
  <c r="L385" i="20"/>
  <c r="L386" i="20" s="1"/>
  <c r="M383" i="20" s="1"/>
  <c r="L434" i="20"/>
  <c r="L435" i="20" s="1"/>
  <c r="BJ435" i="20"/>
  <c r="BJ451" i="20" s="1"/>
  <c r="AT435" i="20"/>
  <c r="AT451" i="20" s="1"/>
  <c r="AD435" i="20"/>
  <c r="AD451" i="20" s="1"/>
  <c r="N435" i="20"/>
  <c r="N451" i="20" s="1"/>
  <c r="BE435" i="20"/>
  <c r="BE451" i="20" s="1"/>
  <c r="AO435" i="20"/>
  <c r="AO451" i="20" s="1"/>
  <c r="Y435" i="20"/>
  <c r="Y451" i="20" s="1"/>
  <c r="BP435" i="20"/>
  <c r="BP451" i="20" s="1"/>
  <c r="AZ435" i="20"/>
  <c r="AZ451" i="20" s="1"/>
  <c r="AJ435" i="20"/>
  <c r="AJ451" i="20" s="1"/>
  <c r="T435" i="20"/>
  <c r="T451" i="20" s="1"/>
  <c r="AE435" i="20"/>
  <c r="AE451" i="20" s="1"/>
  <c r="AA435" i="20"/>
  <c r="AA451" i="20" s="1"/>
  <c r="W435" i="20"/>
  <c r="W451" i="20" s="1"/>
  <c r="AY435" i="20"/>
  <c r="AY451" i="20" s="1"/>
  <c r="BF435" i="20"/>
  <c r="BF451" i="20" s="1"/>
  <c r="AP435" i="20"/>
  <c r="AP451" i="20" s="1"/>
  <c r="Z435" i="20"/>
  <c r="Z451" i="20" s="1"/>
  <c r="BQ435" i="20"/>
  <c r="BQ451" i="20" s="1"/>
  <c r="BA435" i="20"/>
  <c r="BA451" i="20" s="1"/>
  <c r="AK435" i="20"/>
  <c r="AK451" i="20" s="1"/>
  <c r="U435" i="20"/>
  <c r="U451" i="20" s="1"/>
  <c r="BL435" i="20"/>
  <c r="BL451" i="20" s="1"/>
  <c r="AV435" i="20"/>
  <c r="AV451" i="20" s="1"/>
  <c r="AF435" i="20"/>
  <c r="AF451" i="20" s="1"/>
  <c r="P435" i="20"/>
  <c r="O435" i="20"/>
  <c r="O451" i="20" s="1"/>
  <c r="BS435" i="20"/>
  <c r="BS451" i="20" s="1"/>
  <c r="AI435" i="20"/>
  <c r="AI451" i="20" s="1"/>
  <c r="BR435" i="20"/>
  <c r="BR451" i="20" s="1"/>
  <c r="BB435" i="20"/>
  <c r="BB451" i="20" s="1"/>
  <c r="AL435" i="20"/>
  <c r="AL451" i="20" s="1"/>
  <c r="V435" i="20"/>
  <c r="V451" i="20" s="1"/>
  <c r="BM435" i="20"/>
  <c r="BM451" i="20" s="1"/>
  <c r="AW435" i="20"/>
  <c r="AW451" i="20" s="1"/>
  <c r="AG435" i="20"/>
  <c r="AG451" i="20" s="1"/>
  <c r="Q435" i="20"/>
  <c r="Q451" i="20" s="1"/>
  <c r="BH435" i="20"/>
  <c r="BH451" i="20" s="1"/>
  <c r="AR435" i="20"/>
  <c r="AR451" i="20" s="1"/>
  <c r="AB435" i="20"/>
  <c r="AB451" i="20" s="1"/>
  <c r="BK435" i="20"/>
  <c r="BK451" i="20" s="1"/>
  <c r="BG435" i="20"/>
  <c r="BG451" i="20" s="1"/>
  <c r="BC435" i="20"/>
  <c r="BC451" i="20" s="1"/>
  <c r="S435" i="20"/>
  <c r="S451" i="20" s="1"/>
  <c r="BN435" i="20"/>
  <c r="BN451" i="20" s="1"/>
  <c r="AX435" i="20"/>
  <c r="AX451" i="20" s="1"/>
  <c r="AH435" i="20"/>
  <c r="AH451" i="20" s="1"/>
  <c r="R435" i="20"/>
  <c r="R451" i="20" s="1"/>
  <c r="BI435" i="20"/>
  <c r="BI451" i="20" s="1"/>
  <c r="AS435" i="20"/>
  <c r="AS451" i="20" s="1"/>
  <c r="AC435" i="20"/>
  <c r="AC451" i="20" s="1"/>
  <c r="M435" i="20"/>
  <c r="M451" i="20" s="1"/>
  <c r="BD435" i="20"/>
  <c r="BD451" i="20" s="1"/>
  <c r="AN435" i="20"/>
  <c r="AN451" i="20" s="1"/>
  <c r="X435" i="20"/>
  <c r="X451" i="20" s="1"/>
  <c r="AU435" i="20"/>
  <c r="AU451" i="20" s="1"/>
  <c r="AQ435" i="20"/>
  <c r="AQ451" i="20" s="1"/>
  <c r="AM435" i="20"/>
  <c r="AM451" i="20" s="1"/>
  <c r="BO435" i="20"/>
  <c r="BO451" i="20" s="1"/>
  <c r="I434" i="20"/>
  <c r="L331" i="20"/>
  <c r="I331" i="20" s="1"/>
  <c r="L353" i="20"/>
  <c r="V355" i="20"/>
  <c r="AT355" i="20"/>
  <c r="W355" i="20"/>
  <c r="AF355" i="20"/>
  <c r="Z355" i="20"/>
  <c r="BI350" i="20"/>
  <c r="BP350" i="20"/>
  <c r="AE355" i="20"/>
  <c r="BA355" i="20"/>
  <c r="AO355" i="20"/>
  <c r="AH355" i="20"/>
  <c r="BL355" i="20"/>
  <c r="AP355" i="20"/>
  <c r="AA355" i="20"/>
  <c r="AZ350" i="20"/>
  <c r="AE350" i="20"/>
  <c r="AI350" i="20"/>
  <c r="BD350" i="20"/>
  <c r="Q350" i="20"/>
  <c r="AJ350" i="20"/>
  <c r="N350" i="20"/>
  <c r="AY350" i="20"/>
  <c r="AY355" i="20"/>
  <c r="W350" i="20"/>
  <c r="AV355" i="20"/>
  <c r="BM355" i="20"/>
  <c r="BH355" i="20"/>
  <c r="AN355" i="20"/>
  <c r="AS355" i="20"/>
  <c r="AU355" i="20"/>
  <c r="BR355" i="20"/>
  <c r="BK355" i="20"/>
  <c r="BO355" i="20"/>
  <c r="AJ355" i="20"/>
  <c r="Y355" i="20"/>
  <c r="AU350" i="20"/>
  <c r="BG350" i="20"/>
  <c r="AX355" i="20"/>
  <c r="AF350" i="20"/>
  <c r="AW355" i="20"/>
  <c r="AM355" i="20"/>
  <c r="S355" i="20"/>
  <c r="M355" i="20"/>
  <c r="AB355" i="20"/>
  <c r="P355" i="20"/>
  <c r="AQ355" i="20"/>
  <c r="BE355" i="20"/>
  <c r="X355" i="20"/>
  <c r="BD355" i="20"/>
  <c r="BJ355" i="20"/>
  <c r="O355" i="20"/>
  <c r="AI355" i="20"/>
  <c r="AC355" i="20"/>
  <c r="AG355" i="20"/>
  <c r="BQ355" i="20"/>
  <c r="N355" i="20"/>
  <c r="BG355" i="20"/>
  <c r="Q355" i="20"/>
  <c r="T355" i="20"/>
  <c r="I343" i="20"/>
  <c r="L345" i="20"/>
  <c r="I345" i="20" s="1"/>
  <c r="R355" i="20"/>
  <c r="AK355" i="20"/>
  <c r="BI355" i="20"/>
  <c r="I354" i="20"/>
  <c r="I330" i="20"/>
  <c r="AL355" i="20"/>
  <c r="BB355" i="20"/>
  <c r="AZ355" i="20"/>
  <c r="BP355" i="20"/>
  <c r="U355" i="20"/>
  <c r="AD355" i="20"/>
  <c r="BS355" i="20"/>
  <c r="BF355" i="20"/>
  <c r="BC355" i="20"/>
  <c r="AR355" i="20"/>
  <c r="BN355" i="20"/>
  <c r="AP350" i="20"/>
  <c r="AT350" i="20"/>
  <c r="BR350" i="20"/>
  <c r="AB350" i="20"/>
  <c r="BO350" i="20"/>
  <c r="BS350" i="20"/>
  <c r="BF350" i="20"/>
  <c r="T350" i="20"/>
  <c r="BN350" i="20"/>
  <c r="AN350" i="20"/>
  <c r="S350" i="20"/>
  <c r="AV350" i="20"/>
  <c r="AH350" i="20"/>
  <c r="BQ350" i="20"/>
  <c r="BL350" i="20"/>
  <c r="AA350" i="20"/>
  <c r="BE350" i="20"/>
  <c r="X350" i="20"/>
  <c r="AL350" i="20"/>
  <c r="BH350" i="20"/>
  <c r="AK350" i="20"/>
  <c r="I340" i="20"/>
  <c r="BM350" i="20"/>
  <c r="BC350" i="20"/>
  <c r="AX350" i="20"/>
  <c r="P350" i="20"/>
  <c r="AM350" i="20"/>
  <c r="BA350" i="20"/>
  <c r="I349" i="20"/>
  <c r="V350" i="20"/>
  <c r="BK350" i="20"/>
  <c r="AC350" i="20"/>
  <c r="AO350" i="20"/>
  <c r="M350" i="20"/>
  <c r="U350" i="20"/>
  <c r="AW350" i="20"/>
  <c r="Y350" i="20"/>
  <c r="Z350" i="20"/>
  <c r="AG350" i="20"/>
  <c r="BJ350" i="20"/>
  <c r="AQ350" i="20"/>
  <c r="BB350" i="20"/>
  <c r="AD350" i="20"/>
  <c r="AR350" i="20"/>
  <c r="R350" i="20"/>
  <c r="AS350" i="20"/>
  <c r="O350" i="20"/>
  <c r="I301" i="8"/>
  <c r="I407" i="8"/>
  <c r="S388" i="11"/>
  <c r="S389" i="11" s="1"/>
  <c r="T386" i="11" s="1"/>
  <c r="S382" i="11"/>
  <c r="S383" i="11" s="1"/>
  <c r="T380" i="11" s="1"/>
  <c r="Q392" i="11"/>
  <c r="S498" i="10"/>
  <c r="O498" i="10"/>
  <c r="BN497" i="10"/>
  <c r="BH498" i="10"/>
  <c r="AW498" i="10"/>
  <c r="Q497" i="10"/>
  <c r="P497" i="10"/>
  <c r="BP498" i="10"/>
  <c r="AG498" i="10"/>
  <c r="BK498" i="10"/>
  <c r="AK497" i="10"/>
  <c r="BQ497" i="10"/>
  <c r="BL498" i="10"/>
  <c r="M497" i="10"/>
  <c r="AZ498" i="10"/>
  <c r="AN497" i="10"/>
  <c r="V498" i="10"/>
  <c r="BR497" i="10"/>
  <c r="Z498" i="10"/>
  <c r="AC497" i="10"/>
  <c r="AM498" i="10"/>
  <c r="BS498" i="10"/>
  <c r="AE497" i="10"/>
  <c r="AA497" i="10"/>
  <c r="AQ497" i="10"/>
  <c r="AD497" i="10"/>
  <c r="BJ497" i="10"/>
  <c r="BO497" i="10"/>
  <c r="U497" i="10"/>
  <c r="AB497" i="10"/>
  <c r="AO497" i="10"/>
  <c r="AI497" i="10"/>
  <c r="AR497" i="10"/>
  <c r="Y497" i="10"/>
  <c r="AP498" i="10"/>
  <c r="AS498" i="10"/>
  <c r="AF497" i="10"/>
  <c r="N497" i="10"/>
  <c r="X497" i="10"/>
  <c r="BA498" i="10"/>
  <c r="T497" i="10"/>
  <c r="BF498" i="10"/>
  <c r="AY497" i="10"/>
  <c r="AJ498" i="10"/>
  <c r="R498" i="10"/>
  <c r="BG498" i="10"/>
  <c r="AV498" i="10"/>
  <c r="BB498" i="10"/>
  <c r="BE498" i="10"/>
  <c r="AT498" i="10"/>
  <c r="I500" i="10"/>
  <c r="AH498" i="10"/>
  <c r="BC498" i="10"/>
  <c r="I501" i="10"/>
  <c r="W498" i="10"/>
  <c r="AL498" i="10"/>
  <c r="AU498" i="10"/>
  <c r="BD498" i="10"/>
  <c r="BM498" i="10"/>
  <c r="I495" i="10"/>
  <c r="AX497" i="10"/>
  <c r="AX498" i="10"/>
  <c r="L497" i="10"/>
  <c r="L498" i="10"/>
  <c r="L446" i="10" a="1"/>
  <c r="L446" i="10" s="1"/>
  <c r="I446" i="10" s="1"/>
  <c r="L418" i="8" a="1"/>
  <c r="L418" i="8" s="1"/>
  <c r="I406" i="8"/>
  <c r="L304" i="10"/>
  <c r="I304" i="10" s="1"/>
  <c r="L394" i="10" a="1"/>
  <c r="L394" i="10" s="1"/>
  <c r="I394" i="10" s="1"/>
  <c r="L299" i="10"/>
  <c r="L393" i="10" a="1"/>
  <c r="L393" i="10" s="1"/>
  <c r="AM314" i="10"/>
  <c r="AM313" i="10"/>
  <c r="BA313" i="10"/>
  <c r="BA314" i="10"/>
  <c r="AF313" i="10"/>
  <c r="AF314" i="10"/>
  <c r="AP314" i="10"/>
  <c r="AP313" i="10"/>
  <c r="S314" i="10"/>
  <c r="S313" i="10"/>
  <c r="BM313" i="10"/>
  <c r="BM314" i="10"/>
  <c r="AC313" i="10"/>
  <c r="AC314" i="10"/>
  <c r="BQ313" i="10"/>
  <c r="BQ314" i="10"/>
  <c r="AK313" i="10"/>
  <c r="AK314" i="10"/>
  <c r="AB314" i="10"/>
  <c r="AB313" i="10"/>
  <c r="BL313" i="10"/>
  <c r="BL314" i="10"/>
  <c r="BB314" i="10"/>
  <c r="BB313" i="10"/>
  <c r="AS313" i="10"/>
  <c r="AS314" i="10"/>
  <c r="W314" i="10"/>
  <c r="W313" i="10"/>
  <c r="M313" i="10"/>
  <c r="M314" i="10"/>
  <c r="BP314" i="10"/>
  <c r="BP313" i="10"/>
  <c r="T313" i="10"/>
  <c r="T314" i="10"/>
  <c r="BN314" i="10"/>
  <c r="BN313" i="10"/>
  <c r="BF314" i="10"/>
  <c r="BF313" i="10"/>
  <c r="BD313" i="10"/>
  <c r="BD314" i="10"/>
  <c r="AJ314" i="10"/>
  <c r="AJ313" i="10"/>
  <c r="BC314" i="10"/>
  <c r="BC313" i="10"/>
  <c r="BJ314" i="10"/>
  <c r="BJ313" i="10"/>
  <c r="AU314" i="10"/>
  <c r="AU313" i="10"/>
  <c r="BR314" i="10"/>
  <c r="BR313" i="10"/>
  <c r="AL314" i="10"/>
  <c r="AL313" i="10"/>
  <c r="BS314" i="10"/>
  <c r="BS313" i="10"/>
  <c r="AQ314" i="10"/>
  <c r="AQ313" i="10"/>
  <c r="V314" i="10"/>
  <c r="V313" i="10"/>
  <c r="AD314" i="10"/>
  <c r="AD313" i="10"/>
  <c r="R314" i="10"/>
  <c r="R313" i="10"/>
  <c r="Y313" i="10"/>
  <c r="Y314" i="10"/>
  <c r="Z314" i="10"/>
  <c r="Z313" i="10"/>
  <c r="AI314" i="10"/>
  <c r="AI313" i="10"/>
  <c r="AN313" i="10"/>
  <c r="AN314" i="10"/>
  <c r="Q313" i="10"/>
  <c r="Q314" i="10"/>
  <c r="O314" i="10"/>
  <c r="O313" i="10"/>
  <c r="AW313" i="10"/>
  <c r="AW314" i="10"/>
  <c r="X314" i="10"/>
  <c r="X313" i="10"/>
  <c r="AV313" i="10"/>
  <c r="AV314" i="10"/>
  <c r="P313" i="10"/>
  <c r="P314" i="10"/>
  <c r="AA314" i="10"/>
  <c r="AA313" i="10"/>
  <c r="BE313" i="10"/>
  <c r="BE314" i="10"/>
  <c r="AE314" i="10"/>
  <c r="AE313" i="10"/>
  <c r="AZ314" i="10"/>
  <c r="AZ313" i="10"/>
  <c r="AY314" i="10"/>
  <c r="AY313" i="10"/>
  <c r="AH314" i="10"/>
  <c r="AH313" i="10"/>
  <c r="AR314" i="10"/>
  <c r="AR313" i="10"/>
  <c r="BG314" i="10"/>
  <c r="BG313" i="10"/>
  <c r="BK314" i="10"/>
  <c r="BK313" i="10"/>
  <c r="AT314" i="10"/>
  <c r="AT313" i="10"/>
  <c r="AG313" i="10"/>
  <c r="AG314" i="10"/>
  <c r="N314" i="10"/>
  <c r="N313" i="10"/>
  <c r="AO313" i="10"/>
  <c r="AO314" i="10"/>
  <c r="BI313" i="10"/>
  <c r="BI314" i="10"/>
  <c r="BO314" i="10"/>
  <c r="BO313" i="10"/>
  <c r="AX314" i="10"/>
  <c r="AX313" i="10"/>
  <c r="U313" i="10"/>
  <c r="U314" i="10"/>
  <c r="BH314" i="10"/>
  <c r="BH313" i="10"/>
  <c r="BR309" i="10"/>
  <c r="BR308" i="10"/>
  <c r="AS308" i="10"/>
  <c r="AS309" i="10"/>
  <c r="BN309" i="10"/>
  <c r="BN308" i="10"/>
  <c r="U308" i="10"/>
  <c r="U309" i="10"/>
  <c r="AT309" i="10"/>
  <c r="AT308" i="10"/>
  <c r="N309" i="10"/>
  <c r="N308" i="10"/>
  <c r="AE309" i="10"/>
  <c r="AE308" i="10"/>
  <c r="AI309" i="10"/>
  <c r="AI308" i="10"/>
  <c r="AM309" i="10"/>
  <c r="AM308" i="10"/>
  <c r="BJ309" i="10"/>
  <c r="BJ308" i="10"/>
  <c r="AV308" i="10"/>
  <c r="AV309" i="10"/>
  <c r="BK309" i="10"/>
  <c r="BK308" i="10"/>
  <c r="M308" i="10"/>
  <c r="M309" i="10"/>
  <c r="AY309" i="10"/>
  <c r="AY308" i="10"/>
  <c r="Q308" i="10"/>
  <c r="Q309" i="10"/>
  <c r="AO308" i="10"/>
  <c r="AO309" i="10"/>
  <c r="AA309" i="10"/>
  <c r="AA308" i="10"/>
  <c r="BL308" i="10"/>
  <c r="BL309" i="10"/>
  <c r="AZ308" i="10"/>
  <c r="AZ309" i="10"/>
  <c r="AJ308" i="10"/>
  <c r="AJ309" i="10"/>
  <c r="BE308" i="10"/>
  <c r="BE309" i="10"/>
  <c r="BH308" i="10"/>
  <c r="BH309" i="10"/>
  <c r="BQ308" i="10"/>
  <c r="BQ309" i="10"/>
  <c r="T309" i="10"/>
  <c r="T308" i="10"/>
  <c r="BF309" i="10"/>
  <c r="BF308" i="10"/>
  <c r="BA308" i="10"/>
  <c r="BA309" i="10"/>
  <c r="BC309" i="10"/>
  <c r="BC308" i="10"/>
  <c r="BG309" i="10"/>
  <c r="BG308" i="10"/>
  <c r="AG308" i="10"/>
  <c r="AG309" i="10"/>
  <c r="O309" i="10"/>
  <c r="O308" i="10"/>
  <c r="AN308" i="10"/>
  <c r="AN309" i="10"/>
  <c r="AH309" i="10"/>
  <c r="AH308" i="10"/>
  <c r="AB308" i="10"/>
  <c r="AB309" i="10"/>
  <c r="AD309" i="10"/>
  <c r="AD308" i="10"/>
  <c r="AW308" i="10"/>
  <c r="AW309" i="10"/>
  <c r="AK308" i="10"/>
  <c r="AK309" i="10"/>
  <c r="BP308" i="10"/>
  <c r="BP309" i="10"/>
  <c r="BB309" i="10"/>
  <c r="BB308" i="10"/>
  <c r="AU309" i="10"/>
  <c r="AU308" i="10"/>
  <c r="W309" i="10"/>
  <c r="W308" i="10"/>
  <c r="AQ309" i="10"/>
  <c r="AQ308" i="10"/>
  <c r="BO309" i="10"/>
  <c r="BO308" i="10"/>
  <c r="BS309" i="10"/>
  <c r="BS308" i="10"/>
  <c r="AR309" i="10"/>
  <c r="AR308" i="10"/>
  <c r="BI308" i="10"/>
  <c r="BI309" i="10"/>
  <c r="X308" i="10"/>
  <c r="X309" i="10"/>
  <c r="V309" i="10"/>
  <c r="V308" i="10"/>
  <c r="AF308" i="10"/>
  <c r="AF309" i="10"/>
  <c r="AL309" i="10"/>
  <c r="AL308" i="10"/>
  <c r="AP309" i="10"/>
  <c r="AP308" i="10"/>
  <c r="BM308" i="10"/>
  <c r="BM309" i="10"/>
  <c r="Y308" i="10"/>
  <c r="Y309" i="10"/>
  <c r="P308" i="10"/>
  <c r="P309" i="10"/>
  <c r="BD309" i="10"/>
  <c r="BD308" i="10"/>
  <c r="S309" i="10"/>
  <c r="S308" i="10"/>
  <c r="AC308" i="10"/>
  <c r="AC309" i="10"/>
  <c r="AX309" i="10"/>
  <c r="AX308" i="10"/>
  <c r="R309" i="10"/>
  <c r="R308" i="10"/>
  <c r="Z309" i="10"/>
  <c r="Z308" i="10"/>
  <c r="L290" i="10"/>
  <c r="L303" i="10"/>
  <c r="L289" i="10"/>
  <c r="L298" i="10"/>
  <c r="AF305" i="10"/>
  <c r="S305" i="10"/>
  <c r="AC305" i="10"/>
  <c r="BO305" i="10"/>
  <c r="Z305" i="10"/>
  <c r="AJ305" i="10"/>
  <c r="AU305" i="10"/>
  <c r="BF305" i="10"/>
  <c r="BL305" i="10"/>
  <c r="W305" i="10"/>
  <c r="M305" i="10"/>
  <c r="AQ305" i="10"/>
  <c r="BG305" i="10"/>
  <c r="BM305" i="10"/>
  <c r="BJ305" i="10"/>
  <c r="AO305" i="10"/>
  <c r="N305" i="10"/>
  <c r="AL305" i="10"/>
  <c r="Q305" i="10"/>
  <c r="BI305" i="10"/>
  <c r="AM305" i="10"/>
  <c r="O300" i="10"/>
  <c r="BC305" i="10"/>
  <c r="AP305" i="10"/>
  <c r="AN305" i="10"/>
  <c r="BE305" i="10"/>
  <c r="AD305" i="10"/>
  <c r="BA305" i="10"/>
  <c r="AI305" i="10"/>
  <c r="T305" i="10"/>
  <c r="AB305" i="10"/>
  <c r="BP305" i="10"/>
  <c r="AT305" i="10"/>
  <c r="AR305" i="10"/>
  <c r="U305" i="10"/>
  <c r="BD305" i="10"/>
  <c r="AV305" i="10"/>
  <c r="P305" i="10"/>
  <c r="AZ305" i="10"/>
  <c r="BK305" i="10"/>
  <c r="BQ305" i="10"/>
  <c r="AW305" i="10"/>
  <c r="BH305" i="10"/>
  <c r="I286" i="10"/>
  <c r="V305" i="10"/>
  <c r="X305" i="10"/>
  <c r="AY305" i="10"/>
  <c r="AD300" i="10"/>
  <c r="BP300" i="10"/>
  <c r="AU300" i="10"/>
  <c r="R305" i="10"/>
  <c r="Y305" i="10"/>
  <c r="AX305" i="10"/>
  <c r="BN305" i="10"/>
  <c r="AK305" i="10"/>
  <c r="BB305" i="10"/>
  <c r="AA305" i="10"/>
  <c r="AS305" i="10"/>
  <c r="AE305" i="10"/>
  <c r="AG305" i="10"/>
  <c r="BR305" i="10"/>
  <c r="BS305" i="10"/>
  <c r="AH305" i="10"/>
  <c r="AL300" i="10"/>
  <c r="AS300" i="10"/>
  <c r="T300" i="10"/>
  <c r="AE300" i="10"/>
  <c r="BL300" i="10"/>
  <c r="AZ300" i="10"/>
  <c r="AK300" i="10"/>
  <c r="AF300" i="10"/>
  <c r="BD300" i="10"/>
  <c r="AM300" i="10"/>
  <c r="AC300" i="10"/>
  <c r="AX300" i="10"/>
  <c r="BK300" i="10"/>
  <c r="BO300" i="10"/>
  <c r="X300" i="10"/>
  <c r="BA300" i="10"/>
  <c r="AP300" i="10"/>
  <c r="Y300" i="10"/>
  <c r="AY300" i="10"/>
  <c r="Q300" i="10"/>
  <c r="AN300" i="10"/>
  <c r="AB300" i="10"/>
  <c r="AW300" i="10"/>
  <c r="BH300" i="10"/>
  <c r="BM300" i="10"/>
  <c r="AI300" i="10"/>
  <c r="P300" i="10"/>
  <c r="AN291" i="10"/>
  <c r="AW291" i="10"/>
  <c r="M291" i="10"/>
  <c r="Q291" i="10"/>
  <c r="X291" i="10"/>
  <c r="AP291" i="10"/>
  <c r="BM291" i="10"/>
  <c r="Y291" i="10"/>
  <c r="BL291" i="10"/>
  <c r="P291" i="10"/>
  <c r="AJ291" i="10"/>
  <c r="Z291" i="10"/>
  <c r="BR300" i="10"/>
  <c r="AV300" i="10"/>
  <c r="AH300" i="10"/>
  <c r="BE291" i="10"/>
  <c r="AD291" i="10"/>
  <c r="BH291" i="10"/>
  <c r="M300" i="10"/>
  <c r="BN291" i="10"/>
  <c r="BB291" i="10"/>
  <c r="BQ291" i="10"/>
  <c r="W300" i="10"/>
  <c r="U300" i="10"/>
  <c r="AT300" i="10"/>
  <c r="AR291" i="10"/>
  <c r="BF291" i="10"/>
  <c r="AO300" i="10"/>
  <c r="N300" i="10"/>
  <c r="AA291" i="10"/>
  <c r="BC291" i="10"/>
  <c r="AI291" i="10"/>
  <c r="BG300" i="10"/>
  <c r="AG300" i="10"/>
  <c r="R300" i="10"/>
  <c r="AJ300" i="10"/>
  <c r="AV291" i="10"/>
  <c r="AH291" i="10"/>
  <c r="AK291" i="10"/>
  <c r="BB300" i="10"/>
  <c r="AY291" i="10"/>
  <c r="W291" i="10"/>
  <c r="AQ291" i="10"/>
  <c r="T291" i="10"/>
  <c r="BS291" i="10"/>
  <c r="AT291" i="10"/>
  <c r="AR300" i="10"/>
  <c r="V300" i="10"/>
  <c r="AF291" i="10"/>
  <c r="AE291" i="10"/>
  <c r="BG291" i="10"/>
  <c r="BD291" i="10"/>
  <c r="S300" i="10"/>
  <c r="AZ291" i="10"/>
  <c r="AC291" i="10"/>
  <c r="AX291" i="10"/>
  <c r="BJ291" i="10"/>
  <c r="R291" i="10"/>
  <c r="O291" i="10"/>
  <c r="AB291" i="10"/>
  <c r="AS291" i="10"/>
  <c r="BO291" i="10"/>
  <c r="BI291" i="10"/>
  <c r="I280" i="10"/>
  <c r="BR291" i="10"/>
  <c r="BE300" i="10"/>
  <c r="BK291" i="10"/>
  <c r="BP291" i="10"/>
  <c r="BN300" i="10"/>
  <c r="BQ300" i="10"/>
  <c r="AU291" i="10"/>
  <c r="U291" i="10"/>
  <c r="AQ300" i="10"/>
  <c r="BS300" i="10"/>
  <c r="BF300" i="10"/>
  <c r="BI300" i="10"/>
  <c r="AO291" i="10"/>
  <c r="N291" i="10"/>
  <c r="V291" i="10"/>
  <c r="BA291" i="10"/>
  <c r="AA300" i="10"/>
  <c r="AL291" i="10"/>
  <c r="BC300" i="10"/>
  <c r="AM291" i="10"/>
  <c r="S291" i="10"/>
  <c r="AG291" i="10"/>
  <c r="BJ300" i="10"/>
  <c r="Z300" i="10"/>
  <c r="I409" i="8"/>
  <c r="L404" i="8"/>
  <c r="M404" i="8" s="1"/>
  <c r="N404" i="8" s="1"/>
  <c r="O404" i="8" s="1"/>
  <c r="P404" i="8" s="1"/>
  <c r="Q404" i="8" s="1"/>
  <c r="R404" i="8" s="1"/>
  <c r="S404" i="8" s="1"/>
  <c r="T404" i="8" s="1"/>
  <c r="U404" i="8" s="1"/>
  <c r="V404" i="8" s="1"/>
  <c r="W404" i="8" s="1"/>
  <c r="X404" i="8" s="1"/>
  <c r="Y404" i="8" s="1"/>
  <c r="Z404" i="8" s="1"/>
  <c r="AA404" i="8" s="1"/>
  <c r="AB404" i="8" s="1"/>
  <c r="AC404" i="8" s="1"/>
  <c r="AD404" i="8" s="1"/>
  <c r="AE404" i="8" s="1"/>
  <c r="AF404" i="8" s="1"/>
  <c r="AG404" i="8" s="1"/>
  <c r="AH404" i="8" s="1"/>
  <c r="AI404" i="8" s="1"/>
  <c r="AJ404" i="8" s="1"/>
  <c r="AK404" i="8" s="1"/>
  <c r="AL404" i="8" s="1"/>
  <c r="AM404" i="8" s="1"/>
  <c r="AN404" i="8" s="1"/>
  <c r="AO404" i="8" s="1"/>
  <c r="AP404" i="8" s="1"/>
  <c r="AQ404" i="8" s="1"/>
  <c r="AR404" i="8" s="1"/>
  <c r="AS404" i="8" s="1"/>
  <c r="AT404" i="8" s="1"/>
  <c r="AU404" i="8" s="1"/>
  <c r="AV404" i="8" s="1"/>
  <c r="AW404" i="8" s="1"/>
  <c r="AX404" i="8" s="1"/>
  <c r="AY404" i="8" s="1"/>
  <c r="AZ404" i="8" s="1"/>
  <c r="BA404" i="8" s="1"/>
  <c r="BB404" i="8" s="1"/>
  <c r="BC404" i="8" s="1"/>
  <c r="BD404" i="8" s="1"/>
  <c r="BE404" i="8" s="1"/>
  <c r="BF404" i="8" s="1"/>
  <c r="BG404" i="8" s="1"/>
  <c r="BH404" i="8" s="1"/>
  <c r="BI404" i="8" s="1"/>
  <c r="BJ404" i="8" s="1"/>
  <c r="BK404" i="8" s="1"/>
  <c r="BL404" i="8" s="1"/>
  <c r="BM404" i="8" s="1"/>
  <c r="BN404" i="8" s="1"/>
  <c r="BO404" i="8" s="1"/>
  <c r="BP404" i="8" s="1"/>
  <c r="BQ404" i="8" s="1"/>
  <c r="BR404" i="8" s="1"/>
  <c r="BS404" i="8" s="1"/>
  <c r="O336" i="8"/>
  <c r="O337" i="8" s="1"/>
  <c r="P334" i="8" s="1"/>
  <c r="O330" i="8"/>
  <c r="O331" i="8" s="1"/>
  <c r="P328" i="8" s="1"/>
  <c r="N325" i="8"/>
  <c r="O322" i="8" s="1"/>
  <c r="O324" i="8" s="1"/>
  <c r="N340" i="8"/>
  <c r="I402" i="8"/>
  <c r="V345" i="5"/>
  <c r="V346" i="5" s="1"/>
  <c r="W343" i="5" s="1"/>
  <c r="V339" i="5"/>
  <c r="V340" i="5" s="1"/>
  <c r="W337" i="5" s="1"/>
  <c r="R334" i="5"/>
  <c r="S331" i="5" s="1"/>
  <c r="AJ413" i="5"/>
  <c r="P451" i="20" l="1"/>
  <c r="L451" i="20"/>
  <c r="L453" i="20" s="1"/>
  <c r="L350" i="20"/>
  <c r="I350" i="20" s="1"/>
  <c r="M571" i="18"/>
  <c r="Q571" i="18"/>
  <c r="U571" i="18"/>
  <c r="Y571" i="18"/>
  <c r="AC571" i="18"/>
  <c r="AG571" i="18"/>
  <c r="AK571" i="18"/>
  <c r="AO571" i="18"/>
  <c r="AS571" i="18"/>
  <c r="AW571" i="18"/>
  <c r="BA571" i="18"/>
  <c r="BE571" i="18"/>
  <c r="BI571" i="18"/>
  <c r="BM571" i="18"/>
  <c r="BQ571" i="18"/>
  <c r="P571" i="18"/>
  <c r="BH571" i="18"/>
  <c r="N571" i="18"/>
  <c r="R571" i="18"/>
  <c r="V571" i="18"/>
  <c r="Z571" i="18"/>
  <c r="AD571" i="18"/>
  <c r="AH571" i="18"/>
  <c r="AL571" i="18"/>
  <c r="AP571" i="18"/>
  <c r="AT571" i="18"/>
  <c r="AX571" i="18"/>
  <c r="BB571" i="18"/>
  <c r="BF571" i="18"/>
  <c r="BJ571" i="18"/>
  <c r="BN571" i="18"/>
  <c r="BR571" i="18"/>
  <c r="O571" i="18"/>
  <c r="S571" i="18"/>
  <c r="W571" i="18"/>
  <c r="AA571" i="18"/>
  <c r="AE571" i="18"/>
  <c r="AI571" i="18"/>
  <c r="AM571" i="18"/>
  <c r="AQ571" i="18"/>
  <c r="AU571" i="18"/>
  <c r="AY571" i="18"/>
  <c r="BC571" i="18"/>
  <c r="BG571" i="18"/>
  <c r="BK571" i="18"/>
  <c r="BO571" i="18"/>
  <c r="BS571" i="18"/>
  <c r="T571" i="18"/>
  <c r="X571" i="18"/>
  <c r="AB571" i="18"/>
  <c r="AF571" i="18"/>
  <c r="AJ571" i="18"/>
  <c r="AN571" i="18"/>
  <c r="AR571" i="18"/>
  <c r="AV571" i="18"/>
  <c r="AZ571" i="18"/>
  <c r="BD571" i="18"/>
  <c r="BL571" i="18"/>
  <c r="BP571" i="18"/>
  <c r="AA283" i="23"/>
  <c r="AA293" i="23"/>
  <c r="AA258" i="23"/>
  <c r="AB256" i="23" s="1"/>
  <c r="AA292" i="23"/>
  <c r="AA286" i="23"/>
  <c r="AA277" i="23"/>
  <c r="AA260" i="23"/>
  <c r="BS270" i="9"/>
  <c r="I270" i="9" s="1"/>
  <c r="L314" i="9" a="1"/>
  <c r="I267" i="9"/>
  <c r="H267" i="9" s="1"/>
  <c r="BS284" i="9"/>
  <c r="BS286" i="9" s="1"/>
  <c r="L321" i="9" a="1"/>
  <c r="L321" i="9" s="1"/>
  <c r="I263" i="9"/>
  <c r="H263" i="9" s="1"/>
  <c r="BS264" i="9"/>
  <c r="I320" i="18"/>
  <c r="L538" i="18" a="1"/>
  <c r="L336" i="18"/>
  <c r="BC337" i="18"/>
  <c r="V337" i="18"/>
  <c r="S337" i="18"/>
  <c r="AV337" i="18"/>
  <c r="P337" i="18"/>
  <c r="M337" i="18"/>
  <c r="AT337" i="18"/>
  <c r="AB337" i="18"/>
  <c r="BH337" i="18"/>
  <c r="AA337" i="18"/>
  <c r="BP337" i="18"/>
  <c r="BN337" i="18"/>
  <c r="BF337" i="18"/>
  <c r="O337" i="18"/>
  <c r="AE337" i="18"/>
  <c r="T337" i="18"/>
  <c r="AC337" i="18"/>
  <c r="BR337" i="18"/>
  <c r="AI337" i="18"/>
  <c r="BJ337" i="18"/>
  <c r="AD337" i="18"/>
  <c r="AS337" i="18"/>
  <c r="BE337" i="18"/>
  <c r="U337" i="18"/>
  <c r="R337" i="18"/>
  <c r="AN337" i="18"/>
  <c r="BB337" i="18"/>
  <c r="AZ337" i="18"/>
  <c r="AG337" i="18"/>
  <c r="AM337" i="18"/>
  <c r="BL337" i="18"/>
  <c r="AH337" i="18"/>
  <c r="BD337" i="18"/>
  <c r="AY337" i="18"/>
  <c r="AF337" i="18"/>
  <c r="BA337" i="18"/>
  <c r="AO337" i="18"/>
  <c r="AP337" i="18"/>
  <c r="AJ337" i="18"/>
  <c r="AL337" i="18"/>
  <c r="BS337" i="18"/>
  <c r="BK337" i="18"/>
  <c r="X337" i="18"/>
  <c r="Q337" i="18"/>
  <c r="AW337" i="18"/>
  <c r="AR337" i="18"/>
  <c r="Y337" i="18"/>
  <c r="BG337" i="18"/>
  <c r="BQ337" i="18"/>
  <c r="N337" i="18"/>
  <c r="AK337" i="18"/>
  <c r="BI337" i="18"/>
  <c r="AQ337" i="18"/>
  <c r="AU337" i="18"/>
  <c r="BO337" i="18"/>
  <c r="BM337" i="18"/>
  <c r="AX337" i="18"/>
  <c r="Z337" i="18"/>
  <c r="W337" i="18"/>
  <c r="L330" i="18"/>
  <c r="L571" i="18" s="1"/>
  <c r="R331" i="18"/>
  <c r="BH331" i="18"/>
  <c r="BN331" i="18"/>
  <c r="BQ331" i="18"/>
  <c r="AO331" i="18"/>
  <c r="BL331" i="18"/>
  <c r="BE331" i="18"/>
  <c r="Z331" i="18"/>
  <c r="AN331" i="18"/>
  <c r="AC331" i="18"/>
  <c r="AQ331" i="18"/>
  <c r="AE331" i="18"/>
  <c r="AB331" i="18"/>
  <c r="AA331" i="18"/>
  <c r="M331" i="18"/>
  <c r="BB331" i="18"/>
  <c r="AD331" i="18"/>
  <c r="BP331" i="18"/>
  <c r="AU331" i="18"/>
  <c r="BM331" i="18"/>
  <c r="AP331" i="18"/>
  <c r="AX331" i="18"/>
  <c r="BD331" i="18"/>
  <c r="AM331" i="18"/>
  <c r="X331" i="18"/>
  <c r="BA331" i="18"/>
  <c r="BI331" i="18"/>
  <c r="BS331" i="18"/>
  <c r="AI331" i="18"/>
  <c r="U331" i="18"/>
  <c r="AK331" i="18"/>
  <c r="Y331" i="18"/>
  <c r="AH331" i="18"/>
  <c r="BO331" i="18"/>
  <c r="AW331" i="18"/>
  <c r="V331" i="18"/>
  <c r="BC331" i="18"/>
  <c r="AL331" i="18"/>
  <c r="T331" i="18"/>
  <c r="AF331" i="18"/>
  <c r="W331" i="18"/>
  <c r="Q331" i="18"/>
  <c r="AG331" i="18"/>
  <c r="BG331" i="18"/>
  <c r="S331" i="18"/>
  <c r="N331" i="18"/>
  <c r="P331" i="18"/>
  <c r="AR331" i="18"/>
  <c r="AT331" i="18"/>
  <c r="BR331" i="18"/>
  <c r="BF331" i="18"/>
  <c r="AZ331" i="18"/>
  <c r="AJ331" i="18"/>
  <c r="BJ331" i="18"/>
  <c r="AS331" i="18"/>
  <c r="BK331" i="18"/>
  <c r="O331" i="18"/>
  <c r="AV331" i="18"/>
  <c r="AY331" i="18"/>
  <c r="I459" i="20"/>
  <c r="I435" i="20"/>
  <c r="M385" i="20"/>
  <c r="M386" i="20" s="1"/>
  <c r="N383" i="20" s="1"/>
  <c r="M379" i="20"/>
  <c r="M380" i="20" s="1"/>
  <c r="N377" i="20" s="1"/>
  <c r="L389" i="20"/>
  <c r="L355" i="20"/>
  <c r="I355" i="20" s="1"/>
  <c r="I353" i="20"/>
  <c r="M374" i="20"/>
  <c r="N371" i="20" s="1"/>
  <c r="N373" i="20" s="1"/>
  <c r="I503" i="10"/>
  <c r="T388" i="11"/>
  <c r="T389" i="11" s="1"/>
  <c r="U386" i="11" s="1"/>
  <c r="T382" i="11"/>
  <c r="T383" i="11" s="1"/>
  <c r="U380" i="11" s="1"/>
  <c r="Q377" i="11"/>
  <c r="R374" i="11" s="1"/>
  <c r="R376" i="11" s="1"/>
  <c r="I498" i="10"/>
  <c r="I497" i="10"/>
  <c r="I507" i="10" s="1"/>
  <c r="L345" i="10"/>
  <c r="L346" i="10" s="1"/>
  <c r="M343" i="10" s="1"/>
  <c r="L339" i="10"/>
  <c r="L340" i="10" s="1"/>
  <c r="M337" i="10" s="1"/>
  <c r="L333" i="10"/>
  <c r="L313" i="10"/>
  <c r="L314" i="10"/>
  <c r="I314" i="10" s="1"/>
  <c r="L308" i="10"/>
  <c r="L309" i="10"/>
  <c r="I309" i="10" s="1"/>
  <c r="BS310" i="10"/>
  <c r="BR315" i="10"/>
  <c r="AM315" i="10"/>
  <c r="AY315" i="10"/>
  <c r="AG315" i="10"/>
  <c r="AE315" i="10"/>
  <c r="AA315" i="10"/>
  <c r="AT315" i="10"/>
  <c r="Y315" i="10"/>
  <c r="BH315" i="10"/>
  <c r="BP315" i="10"/>
  <c r="T315" i="10"/>
  <c r="AW315" i="10"/>
  <c r="BK315" i="10"/>
  <c r="V315" i="10"/>
  <c r="AN315" i="10"/>
  <c r="AZ315" i="10"/>
  <c r="BB315" i="10"/>
  <c r="BN315" i="10"/>
  <c r="AP315" i="10"/>
  <c r="AQ315" i="10"/>
  <c r="BS315" i="10"/>
  <c r="AS315" i="10"/>
  <c r="BO315" i="10"/>
  <c r="BA315" i="10"/>
  <c r="U315" i="10"/>
  <c r="BE315" i="10"/>
  <c r="AJ315" i="10"/>
  <c r="AF315" i="10"/>
  <c r="BF315" i="10"/>
  <c r="BG315" i="10"/>
  <c r="AV315" i="10"/>
  <c r="BD315" i="10"/>
  <c r="AR315" i="10"/>
  <c r="AC315" i="10"/>
  <c r="AI315" i="10"/>
  <c r="AD315" i="10"/>
  <c r="M315" i="10"/>
  <c r="AX315" i="10"/>
  <c r="R315" i="10"/>
  <c r="BC315" i="10"/>
  <c r="I290" i="10"/>
  <c r="AL315" i="10"/>
  <c r="AO315" i="10"/>
  <c r="AH315" i="10"/>
  <c r="W315" i="10"/>
  <c r="BI315" i="10"/>
  <c r="BJ315" i="10"/>
  <c r="I303" i="10"/>
  <c r="L305" i="10"/>
  <c r="I305" i="10" s="1"/>
  <c r="N315" i="10"/>
  <c r="AK315" i="10"/>
  <c r="BM315" i="10"/>
  <c r="Z315" i="10"/>
  <c r="O315" i="10"/>
  <c r="P315" i="10"/>
  <c r="Q315" i="10"/>
  <c r="AB315" i="10"/>
  <c r="BQ315" i="10"/>
  <c r="BL315" i="10"/>
  <c r="X315" i="10"/>
  <c r="AU315" i="10"/>
  <c r="S315" i="10"/>
  <c r="AL310" i="10"/>
  <c r="BA310" i="10"/>
  <c r="BP310" i="10"/>
  <c r="BE310" i="10"/>
  <c r="Y310" i="10"/>
  <c r="BO310" i="10"/>
  <c r="O310" i="10"/>
  <c r="AY310" i="10"/>
  <c r="AK310" i="10"/>
  <c r="AH310" i="10"/>
  <c r="AN310" i="10"/>
  <c r="S310" i="10"/>
  <c r="AO310" i="10"/>
  <c r="AU310" i="10"/>
  <c r="R310" i="10"/>
  <c r="BJ310" i="10"/>
  <c r="AZ310" i="10"/>
  <c r="AT310" i="10"/>
  <c r="AQ310" i="10"/>
  <c r="AA310" i="10"/>
  <c r="AR310" i="10"/>
  <c r="AD310" i="10"/>
  <c r="BM310" i="10"/>
  <c r="AP310" i="10"/>
  <c r="AW310" i="10"/>
  <c r="U310" i="10"/>
  <c r="AC310" i="10"/>
  <c r="AF310" i="10"/>
  <c r="BC310" i="10"/>
  <c r="BE395" i="10"/>
  <c r="BE411" i="10" s="1"/>
  <c r="AO395" i="10"/>
  <c r="AO411" i="10" s="1"/>
  <c r="BO395" i="10"/>
  <c r="BO411" i="10" s="1"/>
  <c r="AY395" i="10"/>
  <c r="AY411" i="10" s="1"/>
  <c r="BH395" i="10"/>
  <c r="BH411" i="10" s="1"/>
  <c r="AF395" i="10"/>
  <c r="AF411" i="10" s="1"/>
  <c r="P395" i="10"/>
  <c r="P411" i="10" s="1"/>
  <c r="AP395" i="10"/>
  <c r="AP411" i="10" s="1"/>
  <c r="W395" i="10"/>
  <c r="W411" i="10" s="1"/>
  <c r="BL395" i="10"/>
  <c r="BL411" i="10" s="1"/>
  <c r="AI395" i="10"/>
  <c r="AI411" i="10" s="1"/>
  <c r="R395" i="10"/>
  <c r="R411" i="10" s="1"/>
  <c r="U395" i="10"/>
  <c r="U411" i="10" s="1"/>
  <c r="BB395" i="10"/>
  <c r="BB411" i="10" s="1"/>
  <c r="AT395" i="10"/>
  <c r="AT411" i="10" s="1"/>
  <c r="BQ395" i="10"/>
  <c r="BQ411" i="10" s="1"/>
  <c r="BA395" i="10"/>
  <c r="BA411" i="10" s="1"/>
  <c r="AK395" i="10"/>
  <c r="AK411" i="10" s="1"/>
  <c r="BK395" i="10"/>
  <c r="BK411" i="10" s="1"/>
  <c r="AU395" i="10"/>
  <c r="AU411" i="10" s="1"/>
  <c r="AZ395" i="10"/>
  <c r="AZ411" i="10" s="1"/>
  <c r="AB395" i="10"/>
  <c r="AB411" i="10" s="1"/>
  <c r="BN395" i="10"/>
  <c r="BN411" i="10" s="1"/>
  <c r="AJ395" i="10"/>
  <c r="AJ411" i="10" s="1"/>
  <c r="S395" i="10"/>
  <c r="S411" i="10" s="1"/>
  <c r="BD395" i="10"/>
  <c r="BD411" i="10" s="1"/>
  <c r="AD395" i="10"/>
  <c r="AD411" i="10" s="1"/>
  <c r="N395" i="10"/>
  <c r="N411" i="10" s="1"/>
  <c r="BJ395" i="10"/>
  <c r="BJ411" i="10" s="1"/>
  <c r="AC395" i="10"/>
  <c r="AC411" i="10" s="1"/>
  <c r="BM395" i="10"/>
  <c r="BM411" i="10" s="1"/>
  <c r="AW395" i="10"/>
  <c r="AW411" i="10" s="1"/>
  <c r="AG395" i="10"/>
  <c r="AG411" i="10" s="1"/>
  <c r="BG395" i="10"/>
  <c r="BG411" i="10" s="1"/>
  <c r="AQ395" i="10"/>
  <c r="AQ411" i="10" s="1"/>
  <c r="AR395" i="10"/>
  <c r="AR411" i="10" s="1"/>
  <c r="X395" i="10"/>
  <c r="X411" i="10" s="1"/>
  <c r="BF395" i="10"/>
  <c r="BF411" i="10" s="1"/>
  <c r="AE395" i="10"/>
  <c r="AE411" i="10" s="1"/>
  <c r="O395" i="10"/>
  <c r="O411" i="10" s="1"/>
  <c r="AV395" i="10"/>
  <c r="AV411" i="10" s="1"/>
  <c r="Z395" i="10"/>
  <c r="Z411" i="10" s="1"/>
  <c r="BR395" i="10"/>
  <c r="BR411" i="10" s="1"/>
  <c r="AH395" i="10"/>
  <c r="AH411" i="10" s="1"/>
  <c r="M395" i="10"/>
  <c r="M411" i="10" s="1"/>
  <c r="BI395" i="10"/>
  <c r="BI411" i="10" s="1"/>
  <c r="AS395" i="10"/>
  <c r="AS411" i="10" s="1"/>
  <c r="BS395" i="10"/>
  <c r="BS411" i="10" s="1"/>
  <c r="BC395" i="10"/>
  <c r="BC411" i="10" s="1"/>
  <c r="BP395" i="10"/>
  <c r="BP411" i="10" s="1"/>
  <c r="AL395" i="10"/>
  <c r="AL411" i="10" s="1"/>
  <c r="T395" i="10"/>
  <c r="T411" i="10" s="1"/>
  <c r="AX395" i="10"/>
  <c r="AX411" i="10" s="1"/>
  <c r="AA395" i="10"/>
  <c r="AA411" i="10" s="1"/>
  <c r="AN395" i="10"/>
  <c r="AN411" i="10" s="1"/>
  <c r="V395" i="10"/>
  <c r="V411" i="10" s="1"/>
  <c r="AM395" i="10"/>
  <c r="AM411" i="10" s="1"/>
  <c r="Q395" i="10"/>
  <c r="Q411" i="10" s="1"/>
  <c r="Y395" i="10"/>
  <c r="Y411" i="10" s="1"/>
  <c r="V310" i="10"/>
  <c r="L291" i="10"/>
  <c r="I291" i="10" s="1"/>
  <c r="I289" i="10"/>
  <c r="AJ310" i="10"/>
  <c r="AM310" i="10"/>
  <c r="BK310" i="10"/>
  <c r="BR310" i="10"/>
  <c r="I299" i="10"/>
  <c r="AB310" i="10"/>
  <c r="AX310" i="10"/>
  <c r="BD310" i="10"/>
  <c r="T310" i="10"/>
  <c r="BQ310" i="10"/>
  <c r="BB310" i="10"/>
  <c r="BN310" i="10"/>
  <c r="BH310" i="10"/>
  <c r="BL310" i="10"/>
  <c r="X310" i="10"/>
  <c r="N310" i="10"/>
  <c r="AS310" i="10"/>
  <c r="Z310" i="10"/>
  <c r="Q310" i="10"/>
  <c r="AG310" i="10"/>
  <c r="L300" i="10"/>
  <c r="I300" i="10" s="1"/>
  <c r="I298" i="10"/>
  <c r="BI310" i="10"/>
  <c r="BG310" i="10"/>
  <c r="AE310" i="10"/>
  <c r="W310" i="10"/>
  <c r="AV310" i="10"/>
  <c r="AI310" i="10"/>
  <c r="BF310" i="10"/>
  <c r="P310" i="10"/>
  <c r="M310" i="10"/>
  <c r="F486" i="8"/>
  <c r="I418" i="8"/>
  <c r="P336" i="8"/>
  <c r="P337" i="8" s="1"/>
  <c r="Q334" i="8" s="1"/>
  <c r="P330" i="8"/>
  <c r="P331" i="8" s="1"/>
  <c r="Q328" i="8" s="1"/>
  <c r="O340" i="8"/>
  <c r="W339" i="5"/>
  <c r="W340" i="5" s="1"/>
  <c r="X337" i="5" s="1"/>
  <c r="W345" i="5"/>
  <c r="W346" i="5" s="1"/>
  <c r="X343" i="5" s="1"/>
  <c r="S333" i="5"/>
  <c r="S349" i="5" s="1"/>
  <c r="AK413" i="5"/>
  <c r="I451" i="20" l="1"/>
  <c r="F535" i="20" s="1"/>
  <c r="I455" i="20"/>
  <c r="I458" i="20"/>
  <c r="I456" i="20"/>
  <c r="L467" i="20" a="1"/>
  <c r="L467" i="20" s="1"/>
  <c r="I467" i="20" s="1"/>
  <c r="M554" i="9"/>
  <c r="Q554" i="9"/>
  <c r="U554" i="9"/>
  <c r="Y554" i="9"/>
  <c r="AC554" i="9"/>
  <c r="AG554" i="9"/>
  <c r="AK554" i="9"/>
  <c r="AO554" i="9"/>
  <c r="AS554" i="9"/>
  <c r="AW554" i="9"/>
  <c r="BA554" i="9"/>
  <c r="BE554" i="9"/>
  <c r="BI554" i="9"/>
  <c r="BM554" i="9"/>
  <c r="BQ554" i="9"/>
  <c r="N554" i="9"/>
  <c r="R554" i="9"/>
  <c r="V554" i="9"/>
  <c r="Z554" i="9"/>
  <c r="AD554" i="9"/>
  <c r="AH554" i="9"/>
  <c r="AL554" i="9"/>
  <c r="AP554" i="9"/>
  <c r="AT554" i="9"/>
  <c r="AX554" i="9"/>
  <c r="BB554" i="9"/>
  <c r="BF554" i="9"/>
  <c r="BJ554" i="9"/>
  <c r="BN554" i="9"/>
  <c r="BR554" i="9"/>
  <c r="O554" i="9"/>
  <c r="S554" i="9"/>
  <c r="W554" i="9"/>
  <c r="AA554" i="9"/>
  <c r="AE554" i="9"/>
  <c r="AI554" i="9"/>
  <c r="AM554" i="9"/>
  <c r="AQ554" i="9"/>
  <c r="AU554" i="9"/>
  <c r="AY554" i="9"/>
  <c r="BC554" i="9"/>
  <c r="BG554" i="9"/>
  <c r="BK554" i="9"/>
  <c r="BO554" i="9"/>
  <c r="BS554" i="9"/>
  <c r="P554" i="9"/>
  <c r="T554" i="9"/>
  <c r="X554" i="9"/>
  <c r="AB554" i="9"/>
  <c r="AF554" i="9"/>
  <c r="AJ554" i="9"/>
  <c r="AN554" i="9"/>
  <c r="AR554" i="9"/>
  <c r="AV554" i="9"/>
  <c r="AZ554" i="9"/>
  <c r="BD554" i="9"/>
  <c r="BH554" i="9"/>
  <c r="BL554" i="9"/>
  <c r="BP554" i="9"/>
  <c r="M565" i="18"/>
  <c r="Q565" i="18"/>
  <c r="U565" i="18"/>
  <c r="Y565" i="18"/>
  <c r="AC565" i="18"/>
  <c r="AG565" i="18"/>
  <c r="AK565" i="18"/>
  <c r="AO565" i="18"/>
  <c r="AS565" i="18"/>
  <c r="AW565" i="18"/>
  <c r="BA565" i="18"/>
  <c r="BE565" i="18"/>
  <c r="BI565" i="18"/>
  <c r="BM565" i="18"/>
  <c r="BQ565" i="18"/>
  <c r="S565" i="18"/>
  <c r="AA565" i="18"/>
  <c r="AI565" i="18"/>
  <c r="AU565" i="18"/>
  <c r="BC565" i="18"/>
  <c r="BK565" i="18"/>
  <c r="BS565" i="18"/>
  <c r="T565" i="18"/>
  <c r="AN565" i="18"/>
  <c r="AV565" i="18"/>
  <c r="BD565" i="18"/>
  <c r="BL565" i="18"/>
  <c r="N565" i="18"/>
  <c r="R565" i="18"/>
  <c r="V565" i="18"/>
  <c r="Z565" i="18"/>
  <c r="AD565" i="18"/>
  <c r="AH565" i="18"/>
  <c r="AL565" i="18"/>
  <c r="AP565" i="18"/>
  <c r="AT565" i="18"/>
  <c r="AX565" i="18"/>
  <c r="BB565" i="18"/>
  <c r="BF565" i="18"/>
  <c r="BJ565" i="18"/>
  <c r="BN565" i="18"/>
  <c r="BR565" i="18"/>
  <c r="O565" i="18"/>
  <c r="W565" i="18"/>
  <c r="AE565" i="18"/>
  <c r="AM565" i="18"/>
  <c r="AQ565" i="18"/>
  <c r="AY565" i="18"/>
  <c r="BG565" i="18"/>
  <c r="BO565" i="18"/>
  <c r="P565" i="18"/>
  <c r="X565" i="18"/>
  <c r="AB565" i="18"/>
  <c r="AF565" i="18"/>
  <c r="AJ565" i="18"/>
  <c r="AR565" i="18"/>
  <c r="AZ565" i="18"/>
  <c r="BH565" i="18"/>
  <c r="BP565" i="18"/>
  <c r="BK340" i="18"/>
  <c r="AZ340" i="18"/>
  <c r="AR340" i="18"/>
  <c r="BG340" i="18"/>
  <c r="AF340" i="18"/>
  <c r="V340" i="18"/>
  <c r="Y340" i="18"/>
  <c r="BS340" i="18"/>
  <c r="AM340" i="18"/>
  <c r="BM340" i="18"/>
  <c r="BB340" i="18"/>
  <c r="AE340" i="18"/>
  <c r="Z340" i="18"/>
  <c r="BQ340" i="18"/>
  <c r="AY340" i="18"/>
  <c r="AS340" i="18"/>
  <c r="BF340" i="18"/>
  <c r="P340" i="18"/>
  <c r="AG340" i="18"/>
  <c r="T340" i="18"/>
  <c r="AW340" i="18"/>
  <c r="AK340" i="18"/>
  <c r="BI340" i="18"/>
  <c r="BD340" i="18"/>
  <c r="AU340" i="18"/>
  <c r="M340" i="18"/>
  <c r="AQ340" i="18"/>
  <c r="BE340" i="18"/>
  <c r="BN340" i="18"/>
  <c r="AV340" i="18"/>
  <c r="BJ340" i="18"/>
  <c r="BR340" i="18"/>
  <c r="N340" i="18"/>
  <c r="Q340" i="18"/>
  <c r="AL340" i="18"/>
  <c r="BO340" i="18"/>
  <c r="U340" i="18"/>
  <c r="BA340" i="18"/>
  <c r="AX340" i="18"/>
  <c r="BP340" i="18"/>
  <c r="AA340" i="18"/>
  <c r="AC340" i="18"/>
  <c r="BL340" i="18"/>
  <c r="BH340" i="18"/>
  <c r="O340" i="18"/>
  <c r="AJ340" i="18"/>
  <c r="AT340" i="18"/>
  <c r="S340" i="18"/>
  <c r="W340" i="18"/>
  <c r="BC340" i="18"/>
  <c r="AH340" i="18"/>
  <c r="AI340" i="18"/>
  <c r="X340" i="18"/>
  <c r="AP340" i="18"/>
  <c r="AD340" i="18"/>
  <c r="AB340" i="18"/>
  <c r="AN340" i="18"/>
  <c r="AO340" i="18"/>
  <c r="R340" i="18"/>
  <c r="BS301" i="9"/>
  <c r="I301" i="9" s="1"/>
  <c r="AA302" i="23"/>
  <c r="AA328" i="23" s="1"/>
  <c r="AA317" i="23"/>
  <c r="AA294" i="23"/>
  <c r="AA295" i="23" s="1"/>
  <c r="AA288" i="23"/>
  <c r="BS272" i="9"/>
  <c r="I571" i="18"/>
  <c r="L314" i="9"/>
  <c r="I284" i="9"/>
  <c r="O350" i="18"/>
  <c r="O349" i="18"/>
  <c r="AJ350" i="18"/>
  <c r="AJ349" i="18"/>
  <c r="AT350" i="18"/>
  <c r="AT349" i="18"/>
  <c r="S350" i="18"/>
  <c r="S349" i="18"/>
  <c r="W350" i="18"/>
  <c r="W349" i="18"/>
  <c r="BC350" i="18"/>
  <c r="BC349" i="18"/>
  <c r="AH350" i="18"/>
  <c r="AH349" i="18"/>
  <c r="AI350" i="18"/>
  <c r="AI349" i="18"/>
  <c r="X350" i="18"/>
  <c r="X349" i="18"/>
  <c r="AP350" i="18"/>
  <c r="AP349" i="18"/>
  <c r="AD350" i="18"/>
  <c r="AD349" i="18"/>
  <c r="AB350" i="18"/>
  <c r="AB349" i="18"/>
  <c r="AN350" i="18"/>
  <c r="AN349" i="18"/>
  <c r="AO350" i="18"/>
  <c r="AO349" i="18"/>
  <c r="R350" i="18"/>
  <c r="R349" i="18"/>
  <c r="AX355" i="18"/>
  <c r="AX354" i="18"/>
  <c r="AX341" i="18"/>
  <c r="AQ355" i="18"/>
  <c r="AQ354" i="18"/>
  <c r="AQ341" i="18"/>
  <c r="BQ355" i="18"/>
  <c r="BQ354" i="18"/>
  <c r="BQ341" i="18"/>
  <c r="AW341" i="18"/>
  <c r="AW355" i="18"/>
  <c r="AW354" i="18"/>
  <c r="BS341" i="18"/>
  <c r="BS355" i="18"/>
  <c r="BS354" i="18"/>
  <c r="AO341" i="18"/>
  <c r="AO355" i="18"/>
  <c r="AO354" i="18"/>
  <c r="BD341" i="18"/>
  <c r="BD355" i="18"/>
  <c r="BD354" i="18"/>
  <c r="AG355" i="18"/>
  <c r="AG341" i="18"/>
  <c r="AG354" i="18"/>
  <c r="R355" i="18"/>
  <c r="R341" i="18"/>
  <c r="R354" i="18"/>
  <c r="AD355" i="18"/>
  <c r="AD341" i="18"/>
  <c r="AD354" i="18"/>
  <c r="AC355" i="18"/>
  <c r="AC341" i="18"/>
  <c r="AC354" i="18"/>
  <c r="BF355" i="18"/>
  <c r="BF341" i="18"/>
  <c r="BF354" i="18"/>
  <c r="BH355" i="18"/>
  <c r="BH341" i="18"/>
  <c r="BH354" i="18"/>
  <c r="P355" i="18"/>
  <c r="P341" i="18"/>
  <c r="P354" i="18"/>
  <c r="BC355" i="18"/>
  <c r="BC341" i="18"/>
  <c r="BC354" i="18"/>
  <c r="BK350" i="18"/>
  <c r="BK349" i="18"/>
  <c r="AZ350" i="18"/>
  <c r="AZ349" i="18"/>
  <c r="AR350" i="18"/>
  <c r="AR349" i="18"/>
  <c r="BG350" i="18"/>
  <c r="BG349" i="18"/>
  <c r="AF350" i="18"/>
  <c r="AF349" i="18"/>
  <c r="V350" i="18"/>
  <c r="V349" i="18"/>
  <c r="Y350" i="18"/>
  <c r="Y349" i="18"/>
  <c r="BS350" i="18"/>
  <c r="BS349" i="18"/>
  <c r="AM350" i="18"/>
  <c r="AM349" i="18"/>
  <c r="BM350" i="18"/>
  <c r="BM349" i="18"/>
  <c r="BB350" i="18"/>
  <c r="BB349" i="18"/>
  <c r="AE350" i="18"/>
  <c r="AE349" i="18"/>
  <c r="Z350" i="18"/>
  <c r="Z349" i="18"/>
  <c r="BQ350" i="18"/>
  <c r="BQ349" i="18"/>
  <c r="I330" i="18"/>
  <c r="L331" i="18"/>
  <c r="BM355" i="18"/>
  <c r="BM354" i="18"/>
  <c r="BM341" i="18"/>
  <c r="BI355" i="18"/>
  <c r="BI341" i="18"/>
  <c r="BI354" i="18"/>
  <c r="BG355" i="18"/>
  <c r="BG354" i="18"/>
  <c r="BG341" i="18"/>
  <c r="Q355" i="18"/>
  <c r="Q354" i="18"/>
  <c r="Q341" i="18"/>
  <c r="AL355" i="18"/>
  <c r="AL354" i="18"/>
  <c r="AL341" i="18"/>
  <c r="BA355" i="18"/>
  <c r="BA354" i="18"/>
  <c r="BA341" i="18"/>
  <c r="AH355" i="18"/>
  <c r="AH354" i="18"/>
  <c r="AH341" i="18"/>
  <c r="AZ355" i="18"/>
  <c r="AZ354" i="18"/>
  <c r="AZ341" i="18"/>
  <c r="U355" i="18"/>
  <c r="U354" i="18"/>
  <c r="U341" i="18"/>
  <c r="BJ355" i="18"/>
  <c r="BJ354" i="18"/>
  <c r="BJ341" i="18"/>
  <c r="T355" i="18"/>
  <c r="T354" i="18"/>
  <c r="T341" i="18"/>
  <c r="BN355" i="18"/>
  <c r="BN354" i="18"/>
  <c r="BN341" i="18"/>
  <c r="AB355" i="18"/>
  <c r="AB354" i="18"/>
  <c r="AB341" i="18"/>
  <c r="AV355" i="18"/>
  <c r="AV354" i="18"/>
  <c r="AV341" i="18"/>
  <c r="I336" i="18"/>
  <c r="L337" i="18"/>
  <c r="AY350" i="18"/>
  <c r="AY349" i="18"/>
  <c r="AS350" i="18"/>
  <c r="AS349" i="18"/>
  <c r="BF350" i="18"/>
  <c r="BF349" i="18"/>
  <c r="P350" i="18"/>
  <c r="P349" i="18"/>
  <c r="AG350" i="18"/>
  <c r="AG349" i="18"/>
  <c r="T350" i="18"/>
  <c r="T349" i="18"/>
  <c r="AW350" i="18"/>
  <c r="AW349" i="18"/>
  <c r="AK350" i="18"/>
  <c r="AK349" i="18"/>
  <c r="BI350" i="18"/>
  <c r="BI349" i="18"/>
  <c r="BD350" i="18"/>
  <c r="BD349" i="18"/>
  <c r="AU350" i="18"/>
  <c r="AU349" i="18"/>
  <c r="M350" i="18"/>
  <c r="M349" i="18"/>
  <c r="AQ350" i="18"/>
  <c r="AQ349" i="18"/>
  <c r="BE350" i="18"/>
  <c r="BE349" i="18"/>
  <c r="BN350" i="18"/>
  <c r="BN349" i="18"/>
  <c r="W341" i="18"/>
  <c r="W355" i="18"/>
  <c r="W354" i="18"/>
  <c r="BO355" i="18"/>
  <c r="BO341" i="18"/>
  <c r="BO354" i="18"/>
  <c r="AK341" i="18"/>
  <c r="AK355" i="18"/>
  <c r="AK354" i="18"/>
  <c r="Y355" i="18"/>
  <c r="Y354" i="18"/>
  <c r="Y341" i="18"/>
  <c r="X355" i="18"/>
  <c r="X354" i="18"/>
  <c r="X341" i="18"/>
  <c r="AJ355" i="18"/>
  <c r="AJ354" i="18"/>
  <c r="AJ341" i="18"/>
  <c r="AF355" i="18"/>
  <c r="AF354" i="18"/>
  <c r="AF341" i="18"/>
  <c r="BL355" i="18"/>
  <c r="BL354" i="18"/>
  <c r="BL341" i="18"/>
  <c r="BB341" i="18"/>
  <c r="BB355" i="18"/>
  <c r="BB354" i="18"/>
  <c r="BE341" i="18"/>
  <c r="BE355" i="18"/>
  <c r="BE354" i="18"/>
  <c r="AI341" i="18"/>
  <c r="AI355" i="18"/>
  <c r="AI354" i="18"/>
  <c r="AE341" i="18"/>
  <c r="AE355" i="18"/>
  <c r="AE354" i="18"/>
  <c r="BP341" i="18"/>
  <c r="BP355" i="18"/>
  <c r="BP354" i="18"/>
  <c r="AT341" i="18"/>
  <c r="AT355" i="18"/>
  <c r="AT354" i="18"/>
  <c r="S341" i="18"/>
  <c r="S355" i="18"/>
  <c r="S354" i="18"/>
  <c r="L538" i="18"/>
  <c r="L565" i="18" s="1"/>
  <c r="BO546" i="18"/>
  <c r="AA546" i="18"/>
  <c r="Z546" i="18"/>
  <c r="BF546" i="18"/>
  <c r="BK546" i="18"/>
  <c r="BN546" i="18"/>
  <c r="BA546" i="18"/>
  <c r="AI546" i="18"/>
  <c r="AC546" i="18"/>
  <c r="AD546" i="18"/>
  <c r="AM546" i="18"/>
  <c r="X546" i="18"/>
  <c r="BI546" i="18"/>
  <c r="S546" i="18"/>
  <c r="U546" i="18"/>
  <c r="AG546" i="18"/>
  <c r="BM546" i="18"/>
  <c r="AO546" i="18"/>
  <c r="AR546" i="18"/>
  <c r="BG546" i="18"/>
  <c r="AL546" i="18"/>
  <c r="AH546" i="18"/>
  <c r="BJ546" i="18"/>
  <c r="BB546" i="18"/>
  <c r="AW546" i="18"/>
  <c r="R546" i="18"/>
  <c r="Q546" i="18"/>
  <c r="AU546" i="18"/>
  <c r="AE546" i="18"/>
  <c r="W546" i="18"/>
  <c r="M546" i="18"/>
  <c r="AJ546" i="18"/>
  <c r="BH546" i="18"/>
  <c r="BQ546" i="18"/>
  <c r="AZ546" i="18"/>
  <c r="AP546" i="18"/>
  <c r="Y546" i="18"/>
  <c r="AB546" i="18"/>
  <c r="BS546" i="18"/>
  <c r="N546" i="18"/>
  <c r="AQ546" i="18"/>
  <c r="AV546" i="18"/>
  <c r="T546" i="18"/>
  <c r="AY546" i="18"/>
  <c r="BE546" i="18"/>
  <c r="AT546" i="18"/>
  <c r="V546" i="18"/>
  <c r="BL546" i="18"/>
  <c r="BR546" i="18"/>
  <c r="BC546" i="18"/>
  <c r="AN546" i="18"/>
  <c r="AK546" i="18"/>
  <c r="AS546" i="18"/>
  <c r="AX546" i="18"/>
  <c r="AF546" i="18"/>
  <c r="O546" i="18"/>
  <c r="BD546" i="18"/>
  <c r="P546" i="18"/>
  <c r="BP546" i="18"/>
  <c r="AV350" i="18"/>
  <c r="AV349" i="18"/>
  <c r="BJ350" i="18"/>
  <c r="BJ349" i="18"/>
  <c r="BR350" i="18"/>
  <c r="BR349" i="18"/>
  <c r="N350" i="18"/>
  <c r="N349" i="18"/>
  <c r="Q350" i="18"/>
  <c r="Q349" i="18"/>
  <c r="AL350" i="18"/>
  <c r="AL349" i="18"/>
  <c r="BO350" i="18"/>
  <c r="BO349" i="18"/>
  <c r="U350" i="18"/>
  <c r="U349" i="18"/>
  <c r="BA350" i="18"/>
  <c r="BA349" i="18"/>
  <c r="AX350" i="18"/>
  <c r="AX349" i="18"/>
  <c r="BP350" i="18"/>
  <c r="BP349" i="18"/>
  <c r="AA350" i="18"/>
  <c r="AA349" i="18"/>
  <c r="AC350" i="18"/>
  <c r="AC349" i="18"/>
  <c r="BL350" i="18"/>
  <c r="BL349" i="18"/>
  <c r="BH350" i="18"/>
  <c r="BH349" i="18"/>
  <c r="Z341" i="18"/>
  <c r="Z355" i="18"/>
  <c r="Z354" i="18"/>
  <c r="AU355" i="18"/>
  <c r="AU354" i="18"/>
  <c r="AU341" i="18"/>
  <c r="N341" i="18"/>
  <c r="N355" i="18"/>
  <c r="N354" i="18"/>
  <c r="AR355" i="18"/>
  <c r="AR341" i="18"/>
  <c r="AR354" i="18"/>
  <c r="BK355" i="18"/>
  <c r="BK341" i="18"/>
  <c r="BK354" i="18"/>
  <c r="AP355" i="18"/>
  <c r="AP341" i="18"/>
  <c r="AP354" i="18"/>
  <c r="AY355" i="18"/>
  <c r="AY341" i="18"/>
  <c r="AY354" i="18"/>
  <c r="AM355" i="18"/>
  <c r="AM341" i="18"/>
  <c r="AM354" i="18"/>
  <c r="AN355" i="18"/>
  <c r="AN354" i="18"/>
  <c r="AN341" i="18"/>
  <c r="AS355" i="18"/>
  <c r="AS354" i="18"/>
  <c r="AS341" i="18"/>
  <c r="BR355" i="18"/>
  <c r="BR354" i="18"/>
  <c r="BR341" i="18"/>
  <c r="O355" i="18"/>
  <c r="O354" i="18"/>
  <c r="O341" i="18"/>
  <c r="AA355" i="18"/>
  <c r="AA354" i="18"/>
  <c r="AA341" i="18"/>
  <c r="M355" i="18"/>
  <c r="M354" i="18"/>
  <c r="M341" i="18"/>
  <c r="V355" i="18"/>
  <c r="V354" i="18"/>
  <c r="V341" i="18"/>
  <c r="M453" i="20"/>
  <c r="N453" i="20" s="1"/>
  <c r="O453" i="20" s="1"/>
  <c r="P453" i="20" s="1"/>
  <c r="Q453" i="20" s="1"/>
  <c r="R453" i="20" s="1"/>
  <c r="S453" i="20" s="1"/>
  <c r="T453" i="20" s="1"/>
  <c r="U453" i="20" s="1"/>
  <c r="V453" i="20" s="1"/>
  <c r="W453" i="20" s="1"/>
  <c r="X453" i="20" s="1"/>
  <c r="Y453" i="20" s="1"/>
  <c r="Z453" i="20" s="1"/>
  <c r="AA453" i="20" s="1"/>
  <c r="AB453" i="20" s="1"/>
  <c r="AC453" i="20" s="1"/>
  <c r="AD453" i="20" s="1"/>
  <c r="AE453" i="20" s="1"/>
  <c r="AF453" i="20" s="1"/>
  <c r="AG453" i="20" s="1"/>
  <c r="AH453" i="20" s="1"/>
  <c r="AI453" i="20" s="1"/>
  <c r="AJ453" i="20" s="1"/>
  <c r="AK453" i="20" s="1"/>
  <c r="AL453" i="20" s="1"/>
  <c r="AM453" i="20" s="1"/>
  <c r="AN453" i="20" s="1"/>
  <c r="AO453" i="20" s="1"/>
  <c r="AP453" i="20" s="1"/>
  <c r="AQ453" i="20" s="1"/>
  <c r="AR453" i="20" s="1"/>
  <c r="AS453" i="20" s="1"/>
  <c r="AT453" i="20" s="1"/>
  <c r="AU453" i="20" s="1"/>
  <c r="AV453" i="20" s="1"/>
  <c r="AW453" i="20" s="1"/>
  <c r="AX453" i="20" s="1"/>
  <c r="AY453" i="20" s="1"/>
  <c r="AZ453" i="20" s="1"/>
  <c r="BA453" i="20" s="1"/>
  <c r="BB453" i="20" s="1"/>
  <c r="BC453" i="20" s="1"/>
  <c r="BD453" i="20" s="1"/>
  <c r="BE453" i="20" s="1"/>
  <c r="BF453" i="20" s="1"/>
  <c r="BG453" i="20" s="1"/>
  <c r="BH453" i="20" s="1"/>
  <c r="BI453" i="20" s="1"/>
  <c r="BJ453" i="20" s="1"/>
  <c r="BK453" i="20" s="1"/>
  <c r="BL453" i="20" s="1"/>
  <c r="BM453" i="20" s="1"/>
  <c r="BN453" i="20" s="1"/>
  <c r="BO453" i="20" s="1"/>
  <c r="BP453" i="20" s="1"/>
  <c r="BQ453" i="20" s="1"/>
  <c r="BR453" i="20" s="1"/>
  <c r="BS453" i="20" s="1"/>
  <c r="N385" i="20"/>
  <c r="N386" i="20" s="1"/>
  <c r="O383" i="20" s="1"/>
  <c r="N379" i="20"/>
  <c r="N380" i="20" s="1"/>
  <c r="O377" i="20" s="1"/>
  <c r="M389" i="20"/>
  <c r="U388" i="11"/>
  <c r="U389" i="11" s="1"/>
  <c r="V386" i="11" s="1"/>
  <c r="U382" i="11"/>
  <c r="U383" i="11" s="1"/>
  <c r="V380" i="11" s="1"/>
  <c r="R392" i="11"/>
  <c r="I419" i="10"/>
  <c r="M345" i="10"/>
  <c r="M346" i="10" s="1"/>
  <c r="N343" i="10" s="1"/>
  <c r="M339" i="10"/>
  <c r="M340" i="10" s="1"/>
  <c r="N337" i="10" s="1"/>
  <c r="L315" i="10"/>
  <c r="I315" i="10" s="1"/>
  <c r="I313" i="10"/>
  <c r="L349" i="10"/>
  <c r="L334" i="10"/>
  <c r="M331" i="10" s="1"/>
  <c r="M333" i="10" s="1"/>
  <c r="I308" i="10"/>
  <c r="L310" i="10"/>
  <c r="I310" i="10" s="1"/>
  <c r="L395" i="10"/>
  <c r="I393" i="10"/>
  <c r="BS288" i="9"/>
  <c r="BS295" i="9"/>
  <c r="I286" i="9"/>
  <c r="I321" i="9"/>
  <c r="Q336" i="8"/>
  <c r="Q337" i="8" s="1"/>
  <c r="R334" i="8" s="1"/>
  <c r="Q330" i="8"/>
  <c r="Q331" i="8" s="1"/>
  <c r="R328" i="8" s="1"/>
  <c r="O325" i="8"/>
  <c r="P322" i="8" s="1"/>
  <c r="I412" i="8"/>
  <c r="X345" i="5"/>
  <c r="X346" i="5" s="1"/>
  <c r="Y343" i="5" s="1"/>
  <c r="X339" i="5"/>
  <c r="X340" i="5" s="1"/>
  <c r="Y337" i="5" s="1"/>
  <c r="S334" i="5"/>
  <c r="T331" i="5" s="1"/>
  <c r="AL413" i="5"/>
  <c r="L554" i="9" l="1"/>
  <c r="I554" i="9" s="1"/>
  <c r="L340" i="18"/>
  <c r="I572" i="18"/>
  <c r="L52" i="17" a="1"/>
  <c r="BS303" i="9"/>
  <c r="I303" i="9" s="1"/>
  <c r="AA330" i="23"/>
  <c r="AB203" i="23"/>
  <c r="AA297" i="23"/>
  <c r="AA289" i="23"/>
  <c r="L322" i="9" a="1"/>
  <c r="L322" i="9" s="1"/>
  <c r="I322" i="9" s="1"/>
  <c r="BS273" i="9"/>
  <c r="I272" i="9"/>
  <c r="L315" i="9" a="1"/>
  <c r="I314" i="9"/>
  <c r="AE356" i="18"/>
  <c r="AF356" i="18"/>
  <c r="AV356" i="18"/>
  <c r="BJ356" i="18"/>
  <c r="BA356" i="18"/>
  <c r="AO356" i="18"/>
  <c r="AX356" i="18"/>
  <c r="AA356" i="18"/>
  <c r="AN356" i="18"/>
  <c r="V356" i="18"/>
  <c r="BR356" i="18"/>
  <c r="O356" i="18"/>
  <c r="BK356" i="18"/>
  <c r="Z356" i="18"/>
  <c r="AA351" i="18"/>
  <c r="U351" i="18"/>
  <c r="N351" i="18"/>
  <c r="S356" i="18"/>
  <c r="AI356" i="18"/>
  <c r="AJ356" i="18"/>
  <c r="AK356" i="18"/>
  <c r="BE351" i="18"/>
  <c r="BD351" i="18"/>
  <c r="T351" i="18"/>
  <c r="AS351" i="18"/>
  <c r="AB356" i="18"/>
  <c r="U356" i="18"/>
  <c r="AL356" i="18"/>
  <c r="BI356" i="18"/>
  <c r="BM356" i="18"/>
  <c r="BQ351" i="18"/>
  <c r="BM351" i="18"/>
  <c r="V351" i="18"/>
  <c r="AZ351" i="18"/>
  <c r="BH356" i="18"/>
  <c r="R356" i="18"/>
  <c r="BS356" i="18"/>
  <c r="AB351" i="18"/>
  <c r="AI351" i="18"/>
  <c r="S351" i="18"/>
  <c r="AM356" i="18"/>
  <c r="AR356" i="18"/>
  <c r="BH351" i="18"/>
  <c r="BP351" i="18"/>
  <c r="BO351" i="18"/>
  <c r="BR351" i="18"/>
  <c r="BO356" i="18"/>
  <c r="AQ351" i="18"/>
  <c r="BI351" i="18"/>
  <c r="AG351" i="18"/>
  <c r="AY351" i="18"/>
  <c r="Z351" i="18"/>
  <c r="AM351" i="18"/>
  <c r="AF351" i="18"/>
  <c r="BK351" i="18"/>
  <c r="BF356" i="18"/>
  <c r="AG356" i="18"/>
  <c r="R351" i="18"/>
  <c r="AD351" i="18"/>
  <c r="AH351" i="18"/>
  <c r="AT351" i="18"/>
  <c r="N364" i="18"/>
  <c r="N365" i="18"/>
  <c r="AN548" i="18"/>
  <c r="AN549" i="18"/>
  <c r="BS549" i="18"/>
  <c r="BS548" i="18"/>
  <c r="Q549" i="18"/>
  <c r="Q548" i="18"/>
  <c r="U549" i="18"/>
  <c r="U548" i="18"/>
  <c r="AM549" i="18"/>
  <c r="AM548" i="18"/>
  <c r="Z548" i="18"/>
  <c r="Z549" i="18"/>
  <c r="BO364" i="18"/>
  <c r="BO365" i="18"/>
  <c r="AQ359" i="18"/>
  <c r="AQ342" i="18"/>
  <c r="AQ360" i="18"/>
  <c r="BI359" i="18"/>
  <c r="BI360" i="18"/>
  <c r="BI342" i="18"/>
  <c r="AG359" i="18"/>
  <c r="AG360" i="18"/>
  <c r="AG342" i="18"/>
  <c r="AY359" i="18"/>
  <c r="AY360" i="18"/>
  <c r="AY342" i="18"/>
  <c r="AM360" i="18"/>
  <c r="AM342" i="18"/>
  <c r="AM359" i="18"/>
  <c r="BK359" i="18"/>
  <c r="BK360" i="18"/>
  <c r="BK342" i="18"/>
  <c r="AG365" i="18"/>
  <c r="AG364" i="18"/>
  <c r="BD364" i="18"/>
  <c r="BD365" i="18"/>
  <c r="AX364" i="18"/>
  <c r="AX365" i="18"/>
  <c r="AD360" i="18"/>
  <c r="AD342" i="18"/>
  <c r="AD359" i="18"/>
  <c r="AH359" i="18"/>
  <c r="AH360" i="18"/>
  <c r="AH342" i="18"/>
  <c r="AT359" i="18"/>
  <c r="AT360" i="18"/>
  <c r="AT342" i="18"/>
  <c r="AA364" i="18"/>
  <c r="AA365" i="18"/>
  <c r="AN364" i="18"/>
  <c r="AN365" i="18"/>
  <c r="BP548" i="18"/>
  <c r="BP549" i="18"/>
  <c r="V548" i="18"/>
  <c r="V549" i="18"/>
  <c r="M548" i="18"/>
  <c r="M549" i="18"/>
  <c r="AR549" i="18"/>
  <c r="AR548" i="18"/>
  <c r="BP364" i="18"/>
  <c r="BP365" i="18"/>
  <c r="BB364" i="18"/>
  <c r="BB365" i="18"/>
  <c r="AV364" i="18"/>
  <c r="AV365" i="18"/>
  <c r="BJ364" i="18"/>
  <c r="BJ365" i="18"/>
  <c r="BA365" i="18"/>
  <c r="BA364" i="18"/>
  <c r="Z360" i="18"/>
  <c r="Z359" i="18"/>
  <c r="Z342" i="18"/>
  <c r="AF359" i="18"/>
  <c r="AF342" i="18"/>
  <c r="AF360" i="18"/>
  <c r="BF365" i="18"/>
  <c r="BF364" i="18"/>
  <c r="R360" i="18"/>
  <c r="R342" i="18"/>
  <c r="R359" i="18"/>
  <c r="M364" i="18"/>
  <c r="M365" i="18"/>
  <c r="AP356" i="18"/>
  <c r="AU364" i="18"/>
  <c r="AU365" i="18"/>
  <c r="AC351" i="18"/>
  <c r="AA359" i="18"/>
  <c r="AA360" i="18"/>
  <c r="AA342" i="18"/>
  <c r="BA351" i="18"/>
  <c r="U359" i="18"/>
  <c r="U360" i="18"/>
  <c r="U342" i="18"/>
  <c r="Q351" i="18"/>
  <c r="N359" i="18"/>
  <c r="N360" i="18"/>
  <c r="N342" i="18"/>
  <c r="AV351" i="18"/>
  <c r="P548" i="18"/>
  <c r="P549" i="18"/>
  <c r="AX548" i="18"/>
  <c r="AX549" i="18"/>
  <c r="BC548" i="18"/>
  <c r="BC549" i="18"/>
  <c r="AT549" i="18"/>
  <c r="AT548" i="18"/>
  <c r="AV548" i="18"/>
  <c r="AV549" i="18"/>
  <c r="AB549" i="18"/>
  <c r="AB548" i="18"/>
  <c r="BQ548" i="18"/>
  <c r="BQ549" i="18"/>
  <c r="W548" i="18"/>
  <c r="W549" i="18"/>
  <c r="R548" i="18"/>
  <c r="R549" i="18"/>
  <c r="AH548" i="18"/>
  <c r="AH549" i="18"/>
  <c r="AO549" i="18"/>
  <c r="AO548" i="18"/>
  <c r="S548" i="18"/>
  <c r="S549" i="18"/>
  <c r="AD548" i="18"/>
  <c r="AD549" i="18"/>
  <c r="BN548" i="18"/>
  <c r="BN549" i="18"/>
  <c r="AA548" i="18"/>
  <c r="AA549" i="18"/>
  <c r="AT364" i="18"/>
  <c r="AT365" i="18"/>
  <c r="BE364" i="18"/>
  <c r="BE365" i="18"/>
  <c r="BL365" i="18"/>
  <c r="BL364" i="18"/>
  <c r="Y364" i="18"/>
  <c r="Y365" i="18"/>
  <c r="BN351" i="18"/>
  <c r="BE359" i="18"/>
  <c r="BE360" i="18"/>
  <c r="BE342" i="18"/>
  <c r="AU351" i="18"/>
  <c r="BD342" i="18"/>
  <c r="BD359" i="18"/>
  <c r="BD360" i="18"/>
  <c r="AW351" i="18"/>
  <c r="T359" i="18"/>
  <c r="T360" i="18"/>
  <c r="T342" i="18"/>
  <c r="BF351" i="18"/>
  <c r="AS359" i="18"/>
  <c r="AS360" i="18"/>
  <c r="AS342" i="18"/>
  <c r="T364" i="18"/>
  <c r="T365" i="18"/>
  <c r="AH364" i="18"/>
  <c r="AH365" i="18"/>
  <c r="BG364" i="18"/>
  <c r="BG365" i="18"/>
  <c r="BI364" i="18"/>
  <c r="BI365" i="18"/>
  <c r="BQ359" i="18"/>
  <c r="BQ360" i="18"/>
  <c r="BQ342" i="18"/>
  <c r="BB351" i="18"/>
  <c r="BM360" i="18"/>
  <c r="BM359" i="18"/>
  <c r="BM342" i="18"/>
  <c r="Y351" i="18"/>
  <c r="V360" i="18"/>
  <c r="V342" i="18"/>
  <c r="V359" i="18"/>
  <c r="AR351" i="18"/>
  <c r="AZ359" i="18"/>
  <c r="AZ360" i="18"/>
  <c r="AZ342" i="18"/>
  <c r="P356" i="18"/>
  <c r="BH364" i="18"/>
  <c r="BH365" i="18"/>
  <c r="AD356" i="18"/>
  <c r="R364" i="18"/>
  <c r="R365" i="18"/>
  <c r="AW365" i="18"/>
  <c r="AW364" i="18"/>
  <c r="AQ365" i="18"/>
  <c r="AQ364" i="18"/>
  <c r="AN351" i="18"/>
  <c r="AB360" i="18"/>
  <c r="AB342" i="18"/>
  <c r="AB359" i="18"/>
  <c r="X351" i="18"/>
  <c r="AI360" i="18"/>
  <c r="AI342" i="18"/>
  <c r="AI359" i="18"/>
  <c r="W351" i="18"/>
  <c r="S360" i="18"/>
  <c r="S342" i="18"/>
  <c r="S359" i="18"/>
  <c r="O351" i="18"/>
  <c r="AM364" i="18"/>
  <c r="AM365" i="18"/>
  <c r="AR364" i="18"/>
  <c r="AR365" i="18"/>
  <c r="BH342" i="18"/>
  <c r="BH359" i="18"/>
  <c r="BH360" i="18"/>
  <c r="BP359" i="18"/>
  <c r="BP360" i="18"/>
  <c r="BP342" i="18"/>
  <c r="BO359" i="18"/>
  <c r="BO360" i="18"/>
  <c r="BO342" i="18"/>
  <c r="BR359" i="18"/>
  <c r="BR360" i="18"/>
  <c r="BR342" i="18"/>
  <c r="AF548" i="18"/>
  <c r="AF549" i="18"/>
  <c r="T549" i="18"/>
  <c r="I552" i="18"/>
  <c r="T548" i="18"/>
  <c r="AZ549" i="18"/>
  <c r="AZ548" i="18"/>
  <c r="BJ549" i="18"/>
  <c r="BJ548" i="18"/>
  <c r="BA549" i="18"/>
  <c r="BA548" i="18"/>
  <c r="AF364" i="18"/>
  <c r="AF365" i="18"/>
  <c r="W364" i="18"/>
  <c r="W365" i="18"/>
  <c r="AS364" i="18"/>
  <c r="AS365" i="18"/>
  <c r="BK365" i="18"/>
  <c r="BK364" i="18"/>
  <c r="V364" i="18"/>
  <c r="V365" i="18"/>
  <c r="M356" i="18"/>
  <c r="BR364" i="18"/>
  <c r="BR365" i="18"/>
  <c r="AS356" i="18"/>
  <c r="AY356" i="18"/>
  <c r="AP364" i="18"/>
  <c r="AP365" i="18"/>
  <c r="N356" i="18"/>
  <c r="AU356" i="18"/>
  <c r="Z364" i="18"/>
  <c r="Z365" i="18"/>
  <c r="BL351" i="18"/>
  <c r="AC359" i="18"/>
  <c r="AC360" i="18"/>
  <c r="AC342" i="18"/>
  <c r="AX351" i="18"/>
  <c r="BA360" i="18"/>
  <c r="BA342" i="18"/>
  <c r="BA359" i="18"/>
  <c r="AL351" i="18"/>
  <c r="Q342" i="18"/>
  <c r="Q359" i="18"/>
  <c r="Q360" i="18"/>
  <c r="BJ351" i="18"/>
  <c r="AV359" i="18"/>
  <c r="AV342" i="18"/>
  <c r="AV360" i="18"/>
  <c r="BD548" i="18"/>
  <c r="BD549" i="18"/>
  <c r="AS549" i="18"/>
  <c r="AS548" i="18"/>
  <c r="BR548" i="18"/>
  <c r="BR549" i="18"/>
  <c r="BE549" i="18"/>
  <c r="BE548" i="18"/>
  <c r="AQ549" i="18"/>
  <c r="AQ548" i="18"/>
  <c r="Y549" i="18"/>
  <c r="Y548" i="18"/>
  <c r="BH548" i="18"/>
  <c r="BH549" i="18"/>
  <c r="AE548" i="18"/>
  <c r="AE549" i="18"/>
  <c r="AW548" i="18"/>
  <c r="AW549" i="18"/>
  <c r="AL549" i="18"/>
  <c r="AL548" i="18"/>
  <c r="BM548" i="18"/>
  <c r="BM549" i="18"/>
  <c r="BI548" i="18"/>
  <c r="BI549" i="18"/>
  <c r="AC549" i="18"/>
  <c r="AC548" i="18"/>
  <c r="BK548" i="18"/>
  <c r="BK549" i="18"/>
  <c r="BO548" i="18"/>
  <c r="BO549" i="18"/>
  <c r="S365" i="18"/>
  <c r="S364" i="18"/>
  <c r="BP356" i="18"/>
  <c r="AI365" i="18"/>
  <c r="AI364" i="18"/>
  <c r="BB356" i="18"/>
  <c r="BL356" i="18"/>
  <c r="X364" i="18"/>
  <c r="X365" i="18"/>
  <c r="Y356" i="18"/>
  <c r="AK365" i="18"/>
  <c r="AK364" i="18"/>
  <c r="W356" i="18"/>
  <c r="BN360" i="18"/>
  <c r="BN342" i="18"/>
  <c r="BN359" i="18"/>
  <c r="M351" i="18"/>
  <c r="AU360" i="18"/>
  <c r="AU342" i="18"/>
  <c r="AU359" i="18"/>
  <c r="AK351" i="18"/>
  <c r="AW359" i="18"/>
  <c r="AW360" i="18"/>
  <c r="AW342" i="18"/>
  <c r="P351" i="18"/>
  <c r="BF359" i="18"/>
  <c r="BF360" i="18"/>
  <c r="BF342" i="18"/>
  <c r="L497" i="18" a="1"/>
  <c r="L497" i="18" s="1"/>
  <c r="I497" i="18" s="1"/>
  <c r="L445" i="18" a="1"/>
  <c r="L445" i="18" s="1"/>
  <c r="I445" i="18" s="1"/>
  <c r="L355" i="18"/>
  <c r="I355" i="18" s="1"/>
  <c r="I337" i="18"/>
  <c r="L341" i="18"/>
  <c r="L354" i="18"/>
  <c r="BN364" i="18"/>
  <c r="BN365" i="18"/>
  <c r="T356" i="18"/>
  <c r="AZ364" i="18"/>
  <c r="AZ365" i="18"/>
  <c r="AH356" i="18"/>
  <c r="Q364" i="18"/>
  <c r="Q365" i="18"/>
  <c r="BG356" i="18"/>
  <c r="L444" i="18" a="1"/>
  <c r="L350" i="18"/>
  <c r="L349" i="18"/>
  <c r="I331" i="18"/>
  <c r="AE351" i="18"/>
  <c r="BB359" i="18"/>
  <c r="BB360" i="18"/>
  <c r="BB342" i="18"/>
  <c r="BS351" i="18"/>
  <c r="Y359" i="18"/>
  <c r="Y360" i="18"/>
  <c r="Y342" i="18"/>
  <c r="BG351" i="18"/>
  <c r="AR359" i="18"/>
  <c r="AR360" i="18"/>
  <c r="AR342" i="18"/>
  <c r="BC356" i="18"/>
  <c r="P364" i="18"/>
  <c r="P365" i="18"/>
  <c r="AC356" i="18"/>
  <c r="AD364" i="18"/>
  <c r="AD365" i="18"/>
  <c r="BD356" i="18"/>
  <c r="BS364" i="18"/>
  <c r="BS365" i="18"/>
  <c r="BQ364" i="18"/>
  <c r="BQ365" i="18"/>
  <c r="AQ356" i="18"/>
  <c r="AO351" i="18"/>
  <c r="AN342" i="18"/>
  <c r="AN359" i="18"/>
  <c r="AN360" i="18"/>
  <c r="AP351" i="18"/>
  <c r="X342" i="18"/>
  <c r="X359" i="18"/>
  <c r="X360" i="18"/>
  <c r="BC351" i="18"/>
  <c r="W359" i="18"/>
  <c r="W360" i="18"/>
  <c r="W342" i="18"/>
  <c r="AJ351" i="18"/>
  <c r="O359" i="18"/>
  <c r="O360" i="18"/>
  <c r="O342" i="18"/>
  <c r="O365" i="18"/>
  <c r="O364" i="18"/>
  <c r="AY364" i="18"/>
  <c r="AY365" i="18"/>
  <c r="BL359" i="18"/>
  <c r="BL360" i="18"/>
  <c r="BL342" i="18"/>
  <c r="AX360" i="18"/>
  <c r="AX342" i="18"/>
  <c r="AX359" i="18"/>
  <c r="AL359" i="18"/>
  <c r="AL342" i="18"/>
  <c r="AL360" i="18"/>
  <c r="BJ359" i="18"/>
  <c r="BJ360" i="18"/>
  <c r="BJ342" i="18"/>
  <c r="O548" i="18"/>
  <c r="O549" i="18"/>
  <c r="AK548" i="18"/>
  <c r="AK549" i="18"/>
  <c r="BL549" i="18"/>
  <c r="BL548" i="18"/>
  <c r="AY549" i="18"/>
  <c r="AY548" i="18"/>
  <c r="N548" i="18"/>
  <c r="N549" i="18"/>
  <c r="AP548" i="18"/>
  <c r="AP549" i="18"/>
  <c r="AJ548" i="18"/>
  <c r="AJ549" i="18"/>
  <c r="AU548" i="18"/>
  <c r="AU549" i="18"/>
  <c r="BB549" i="18"/>
  <c r="BB548" i="18"/>
  <c r="BG548" i="18"/>
  <c r="BG549" i="18"/>
  <c r="AG548" i="18"/>
  <c r="AG549" i="18"/>
  <c r="X548" i="18"/>
  <c r="X549" i="18"/>
  <c r="AI548" i="18"/>
  <c r="AI549" i="18"/>
  <c r="BF548" i="18"/>
  <c r="BF549" i="18"/>
  <c r="I538" i="18"/>
  <c r="L546" i="18"/>
  <c r="AT356" i="18"/>
  <c r="AE364" i="18"/>
  <c r="AE365" i="18"/>
  <c r="BE356" i="18"/>
  <c r="AJ364" i="18"/>
  <c r="AJ365" i="18"/>
  <c r="X356" i="18"/>
  <c r="M359" i="18"/>
  <c r="M342" i="18"/>
  <c r="M360" i="18"/>
  <c r="AK359" i="18"/>
  <c r="AK360" i="18"/>
  <c r="AK342" i="18"/>
  <c r="P359" i="18"/>
  <c r="P360" i="18"/>
  <c r="P342" i="18"/>
  <c r="AB365" i="18"/>
  <c r="AB364" i="18"/>
  <c r="BN356" i="18"/>
  <c r="U365" i="18"/>
  <c r="U364" i="18"/>
  <c r="AZ356" i="18"/>
  <c r="AL364" i="18"/>
  <c r="AL365" i="18"/>
  <c r="Q356" i="18"/>
  <c r="BM364" i="18"/>
  <c r="BM365" i="18"/>
  <c r="AE359" i="18"/>
  <c r="AE342" i="18"/>
  <c r="AE360" i="18"/>
  <c r="BS359" i="18"/>
  <c r="BS360" i="18"/>
  <c r="BS342" i="18"/>
  <c r="BG359" i="18"/>
  <c r="BG360" i="18"/>
  <c r="BG342" i="18"/>
  <c r="BC364" i="18"/>
  <c r="BC365" i="18"/>
  <c r="AC364" i="18"/>
  <c r="AC365" i="18"/>
  <c r="AO365" i="18"/>
  <c r="AO364" i="18"/>
  <c r="AW356" i="18"/>
  <c r="BQ356" i="18"/>
  <c r="AO359" i="18"/>
  <c r="AO360" i="18"/>
  <c r="AO342" i="18"/>
  <c r="AP342" i="18"/>
  <c r="AP359" i="18"/>
  <c r="AP360" i="18"/>
  <c r="BC359" i="18"/>
  <c r="BC360" i="18"/>
  <c r="BC342" i="18"/>
  <c r="AJ359" i="18"/>
  <c r="AJ360" i="18"/>
  <c r="AJ342" i="18"/>
  <c r="I461" i="20"/>
  <c r="O385" i="20"/>
  <c r="O386" i="20" s="1"/>
  <c r="P383" i="20" s="1"/>
  <c r="O379" i="20"/>
  <c r="O380" i="20" s="1"/>
  <c r="P377" i="20" s="1"/>
  <c r="N389" i="20"/>
  <c r="N374" i="20"/>
  <c r="O371" i="20" s="1"/>
  <c r="O373" i="20" s="1"/>
  <c r="V388" i="11"/>
  <c r="V389" i="11" s="1"/>
  <c r="W386" i="11" s="1"/>
  <c r="V382" i="11"/>
  <c r="V383" i="11" s="1"/>
  <c r="W380" i="11" s="1"/>
  <c r="R377" i="11"/>
  <c r="S374" i="11" s="1"/>
  <c r="S376" i="11" s="1"/>
  <c r="N345" i="10"/>
  <c r="N346" i="10" s="1"/>
  <c r="O343" i="10" s="1"/>
  <c r="N339" i="10"/>
  <c r="N340" i="10" s="1"/>
  <c r="O337" i="10" s="1"/>
  <c r="M334" i="10"/>
  <c r="N331" i="10" s="1"/>
  <c r="N333" i="10" s="1"/>
  <c r="M349" i="10"/>
  <c r="I395" i="10"/>
  <c r="L411" i="10"/>
  <c r="L427" i="10" s="1" a="1"/>
  <c r="L427" i="10" s="1"/>
  <c r="I427" i="10" s="1"/>
  <c r="L316" i="9" a="1"/>
  <c r="BS289" i="9"/>
  <c r="I288" i="9"/>
  <c r="BS297" i="9"/>
  <c r="I295" i="9"/>
  <c r="R336" i="8"/>
  <c r="R337" i="8" s="1"/>
  <c r="S334" i="8" s="1"/>
  <c r="R330" i="8"/>
  <c r="R331" i="8" s="1"/>
  <c r="S328" i="8" s="1"/>
  <c r="P324" i="8"/>
  <c r="P340" i="8" s="1"/>
  <c r="Y339" i="5"/>
  <c r="Y340" i="5" s="1"/>
  <c r="Z337" i="5" s="1"/>
  <c r="Y345" i="5"/>
  <c r="Y346" i="5" s="1"/>
  <c r="Z343" i="5" s="1"/>
  <c r="T333" i="5"/>
  <c r="T349" i="5" s="1"/>
  <c r="AM413" i="5"/>
  <c r="L52" i="17" l="1"/>
  <c r="M556" i="9"/>
  <c r="Q556" i="9"/>
  <c r="U556" i="9"/>
  <c r="Y556" i="9"/>
  <c r="AC556" i="9"/>
  <c r="AG556" i="9"/>
  <c r="AK556" i="9"/>
  <c r="AO556" i="9"/>
  <c r="AS556" i="9"/>
  <c r="AW556" i="9"/>
  <c r="BA556" i="9"/>
  <c r="BE556" i="9"/>
  <c r="BI556" i="9"/>
  <c r="BM556" i="9"/>
  <c r="BQ556" i="9"/>
  <c r="N556" i="9"/>
  <c r="R556" i="9"/>
  <c r="V556" i="9"/>
  <c r="Z556" i="9"/>
  <c r="AD556" i="9"/>
  <c r="AH556" i="9"/>
  <c r="AL556" i="9"/>
  <c r="AP556" i="9"/>
  <c r="AT556" i="9"/>
  <c r="AX556" i="9"/>
  <c r="BB556" i="9"/>
  <c r="BF556" i="9"/>
  <c r="BJ556" i="9"/>
  <c r="BN556" i="9"/>
  <c r="BR556" i="9"/>
  <c r="T556" i="9"/>
  <c r="AB556" i="9"/>
  <c r="AJ556" i="9"/>
  <c r="AR556" i="9"/>
  <c r="AZ556" i="9"/>
  <c r="BH556" i="9"/>
  <c r="BP556" i="9"/>
  <c r="O556" i="9"/>
  <c r="S556" i="9"/>
  <c r="W556" i="9"/>
  <c r="AA556" i="9"/>
  <c r="AE556" i="9"/>
  <c r="AI556" i="9"/>
  <c r="AM556" i="9"/>
  <c r="AQ556" i="9"/>
  <c r="AU556" i="9"/>
  <c r="AY556" i="9"/>
  <c r="BC556" i="9"/>
  <c r="BG556" i="9"/>
  <c r="BK556" i="9"/>
  <c r="BO556" i="9"/>
  <c r="BS556" i="9"/>
  <c r="P556" i="9"/>
  <c r="X556" i="9"/>
  <c r="AF556" i="9"/>
  <c r="AN556" i="9"/>
  <c r="AV556" i="9"/>
  <c r="BD556" i="9"/>
  <c r="BL556" i="9"/>
  <c r="M557" i="9"/>
  <c r="Q557" i="9"/>
  <c r="U557" i="9"/>
  <c r="Y557" i="9"/>
  <c r="AC557" i="9"/>
  <c r="AG557" i="9"/>
  <c r="AK557" i="9"/>
  <c r="AO557" i="9"/>
  <c r="AS557" i="9"/>
  <c r="AW557" i="9"/>
  <c r="BA557" i="9"/>
  <c r="BE557" i="9"/>
  <c r="BI557" i="9"/>
  <c r="BM557" i="9"/>
  <c r="BQ557" i="9"/>
  <c r="N557" i="9"/>
  <c r="R557" i="9"/>
  <c r="V557" i="9"/>
  <c r="Z557" i="9"/>
  <c r="AD557" i="9"/>
  <c r="AH557" i="9"/>
  <c r="AL557" i="9"/>
  <c r="AP557" i="9"/>
  <c r="AT557" i="9"/>
  <c r="AX557" i="9"/>
  <c r="BB557" i="9"/>
  <c r="BF557" i="9"/>
  <c r="BJ557" i="9"/>
  <c r="BN557" i="9"/>
  <c r="BR557" i="9"/>
  <c r="O557" i="9"/>
  <c r="S557" i="9"/>
  <c r="W557" i="9"/>
  <c r="AA557" i="9"/>
  <c r="AE557" i="9"/>
  <c r="AI557" i="9"/>
  <c r="AM557" i="9"/>
  <c r="AQ557" i="9"/>
  <c r="AU557" i="9"/>
  <c r="AY557" i="9"/>
  <c r="BC557" i="9"/>
  <c r="BG557" i="9"/>
  <c r="BK557" i="9"/>
  <c r="BO557" i="9"/>
  <c r="BS557" i="9"/>
  <c r="P557" i="9"/>
  <c r="T557" i="9"/>
  <c r="X557" i="9"/>
  <c r="AB557" i="9"/>
  <c r="AF557" i="9"/>
  <c r="AJ557" i="9"/>
  <c r="AN557" i="9"/>
  <c r="AR557" i="9"/>
  <c r="AV557" i="9"/>
  <c r="AZ557" i="9"/>
  <c r="BD557" i="9"/>
  <c r="BH557" i="9"/>
  <c r="BL557" i="9"/>
  <c r="BP557" i="9"/>
  <c r="BS304" i="9"/>
  <c r="I304" i="9" s="1"/>
  <c r="AA331" i="23"/>
  <c r="AB262" i="23"/>
  <c r="AB264" i="23" s="1"/>
  <c r="AB268" i="23" s="1"/>
  <c r="AB311" i="23"/>
  <c r="AB225" i="23"/>
  <c r="AB227" i="23" s="1"/>
  <c r="AB231" i="23" s="1"/>
  <c r="AA299" i="23"/>
  <c r="AA303" i="23"/>
  <c r="AA334" i="23" s="1"/>
  <c r="L523" i="9" a="1"/>
  <c r="I273" i="9"/>
  <c r="L315" i="9"/>
  <c r="L556" i="9" s="1"/>
  <c r="L316" i="9"/>
  <c r="L557" i="9" s="1"/>
  <c r="I565" i="18"/>
  <c r="AT361" i="18"/>
  <c r="AG361" i="18"/>
  <c r="Z361" i="18"/>
  <c r="BO361" i="18"/>
  <c r="AE361" i="18"/>
  <c r="AX361" i="18"/>
  <c r="S361" i="18"/>
  <c r="AI361" i="18"/>
  <c r="AB361" i="18"/>
  <c r="AZ361" i="18"/>
  <c r="BQ361" i="18"/>
  <c r="AD361" i="18"/>
  <c r="AM361" i="18"/>
  <c r="BJ361" i="18"/>
  <c r="W361" i="18"/>
  <c r="AR361" i="18"/>
  <c r="Y361" i="18"/>
  <c r="BB361" i="18"/>
  <c r="AF361" i="18"/>
  <c r="AJ361" i="18"/>
  <c r="BG361" i="18"/>
  <c r="BD361" i="18"/>
  <c r="U361" i="18"/>
  <c r="AA361" i="18"/>
  <c r="AL361" i="18"/>
  <c r="BA361" i="18"/>
  <c r="AP361" i="18"/>
  <c r="AO361" i="18"/>
  <c r="X361" i="18"/>
  <c r="AN361" i="18"/>
  <c r="BF361" i="18"/>
  <c r="AW361" i="18"/>
  <c r="BC361" i="18"/>
  <c r="BS361" i="18"/>
  <c r="AK361" i="18"/>
  <c r="BL361" i="18"/>
  <c r="AU361" i="18"/>
  <c r="BN361" i="18"/>
  <c r="AV361" i="18"/>
  <c r="AC361" i="18"/>
  <c r="BR361" i="18"/>
  <c r="BH361" i="18"/>
  <c r="AY361" i="18"/>
  <c r="V361" i="18"/>
  <c r="AQ361" i="18"/>
  <c r="BP361" i="18"/>
  <c r="BM361" i="18"/>
  <c r="AS361" i="18"/>
  <c r="T361" i="18"/>
  <c r="BE361" i="18"/>
  <c r="AH361" i="18"/>
  <c r="BK361" i="18"/>
  <c r="BI361" i="18"/>
  <c r="AR366" i="18"/>
  <c r="AT366" i="18"/>
  <c r="M366" i="18"/>
  <c r="AW366" i="18"/>
  <c r="AJ366" i="18"/>
  <c r="BN366" i="18"/>
  <c r="AM366" i="18"/>
  <c r="BI366" i="18"/>
  <c r="AH366" i="18"/>
  <c r="Y366" i="18"/>
  <c r="BE366" i="18"/>
  <c r="N361" i="18"/>
  <c r="BD366" i="18"/>
  <c r="N366" i="18"/>
  <c r="M361" i="18"/>
  <c r="AI366" i="18"/>
  <c r="BK366" i="18"/>
  <c r="AQ366" i="18"/>
  <c r="BF366" i="18"/>
  <c r="BA366" i="18"/>
  <c r="AO366" i="18"/>
  <c r="AB366" i="18"/>
  <c r="O366" i="18"/>
  <c r="O361" i="18"/>
  <c r="BQ366" i="18"/>
  <c r="P366" i="18"/>
  <c r="AZ366" i="18"/>
  <c r="S366" i="18"/>
  <c r="V366" i="18"/>
  <c r="AS366" i="18"/>
  <c r="AF366" i="18"/>
  <c r="BJ366" i="18"/>
  <c r="BB366" i="18"/>
  <c r="AN366" i="18"/>
  <c r="AG366" i="18"/>
  <c r="I546" i="18"/>
  <c r="I554" i="18" s="1"/>
  <c r="L548" i="18"/>
  <c r="I548" i="18" s="1"/>
  <c r="I558" i="18" s="1"/>
  <c r="I551" i="18"/>
  <c r="L549" i="18"/>
  <c r="I549" i="18" s="1"/>
  <c r="L360" i="18"/>
  <c r="I360" i="18" s="1"/>
  <c r="I340" i="18"/>
  <c r="L342" i="18"/>
  <c r="I342" i="18" s="1"/>
  <c r="L359" i="18"/>
  <c r="L356" i="18"/>
  <c r="I356" i="18" s="1"/>
  <c r="I354" i="18"/>
  <c r="BL366" i="18"/>
  <c r="AC366" i="18"/>
  <c r="AL366" i="18"/>
  <c r="AD366" i="18"/>
  <c r="L396" i="18"/>
  <c r="L397" i="18" s="1"/>
  <c r="M394" i="18" s="1"/>
  <c r="M396" i="18" s="1"/>
  <c r="M397" i="18" s="1"/>
  <c r="N394" i="18" s="1"/>
  <c r="N396" i="18" s="1"/>
  <c r="N397" i="18" s="1"/>
  <c r="O394" i="18" s="1"/>
  <c r="O396" i="18" s="1"/>
  <c r="O397" i="18" s="1"/>
  <c r="P394" i="18" s="1"/>
  <c r="P396" i="18" s="1"/>
  <c r="P397" i="18" s="1"/>
  <c r="Q394" i="18" s="1"/>
  <c r="L384" i="18"/>
  <c r="L390" i="18"/>
  <c r="L391" i="18" s="1"/>
  <c r="M388" i="18" s="1"/>
  <c r="M390" i="18" s="1"/>
  <c r="M391" i="18" s="1"/>
  <c r="N388" i="18" s="1"/>
  <c r="N390" i="18" s="1"/>
  <c r="N391" i="18" s="1"/>
  <c r="O388" i="18" s="1"/>
  <c r="O390" i="18" s="1"/>
  <c r="O391" i="18" s="1"/>
  <c r="P388" i="18" s="1"/>
  <c r="P390" i="18" s="1"/>
  <c r="P391" i="18" s="1"/>
  <c r="Q388" i="18" s="1"/>
  <c r="I350" i="18"/>
  <c r="Q366" i="18"/>
  <c r="L364" i="18"/>
  <c r="L365" i="18"/>
  <c r="I365" i="18" s="1"/>
  <c r="I341" i="18"/>
  <c r="Q361" i="18"/>
  <c r="Z366" i="18"/>
  <c r="AP366" i="18"/>
  <c r="BR366" i="18"/>
  <c r="BH366" i="18"/>
  <c r="BG366" i="18"/>
  <c r="T366" i="18"/>
  <c r="AX366" i="18"/>
  <c r="BO366" i="18"/>
  <c r="BM366" i="18"/>
  <c r="P361" i="18"/>
  <c r="AE366" i="18"/>
  <c r="BS366" i="18"/>
  <c r="AE446" i="18"/>
  <c r="AE462" i="18" s="1"/>
  <c r="P446" i="18"/>
  <c r="BD446" i="18"/>
  <c r="BD462" i="18" s="1"/>
  <c r="BL446" i="18"/>
  <c r="BL462" i="18" s="1"/>
  <c r="O446" i="18"/>
  <c r="O462" i="18" s="1"/>
  <c r="AV446" i="18"/>
  <c r="AV462" i="18" s="1"/>
  <c r="U446" i="18"/>
  <c r="U462" i="18" s="1"/>
  <c r="Y446" i="18"/>
  <c r="Y462" i="18" s="1"/>
  <c r="BI446" i="18"/>
  <c r="BI462" i="18" s="1"/>
  <c r="S446" i="18"/>
  <c r="S462" i="18" s="1"/>
  <c r="AM446" i="18"/>
  <c r="AM462" i="18" s="1"/>
  <c r="BG446" i="18"/>
  <c r="BG462" i="18" s="1"/>
  <c r="BH446" i="18"/>
  <c r="BH462" i="18" s="1"/>
  <c r="T446" i="18"/>
  <c r="T462" i="18" s="1"/>
  <c r="AJ446" i="18"/>
  <c r="AJ462" i="18" s="1"/>
  <c r="AZ446" i="18"/>
  <c r="AZ462" i="18" s="1"/>
  <c r="AW446" i="18"/>
  <c r="AW462" i="18" s="1"/>
  <c r="BQ446" i="18"/>
  <c r="BQ462" i="18" s="1"/>
  <c r="AA446" i="18"/>
  <c r="AA462" i="18" s="1"/>
  <c r="AN446" i="18"/>
  <c r="AN462" i="18" s="1"/>
  <c r="BM446" i="18"/>
  <c r="BM462" i="18" s="1"/>
  <c r="W446" i="18"/>
  <c r="W462" i="18" s="1"/>
  <c r="AQ446" i="18"/>
  <c r="AQ462" i="18" s="1"/>
  <c r="AC446" i="18"/>
  <c r="AC462" i="18" s="1"/>
  <c r="R446" i="18"/>
  <c r="R462" i="18" s="1"/>
  <c r="AH446" i="18"/>
  <c r="AH462" i="18" s="1"/>
  <c r="BR446" i="18"/>
  <c r="BR462" i="18" s="1"/>
  <c r="AT446" i="18"/>
  <c r="AT462" i="18" s="1"/>
  <c r="X446" i="18"/>
  <c r="X462" i="18" s="1"/>
  <c r="AF446" i="18"/>
  <c r="AF462" i="18" s="1"/>
  <c r="AB446" i="18"/>
  <c r="AB462" i="18" s="1"/>
  <c r="AY446" i="18"/>
  <c r="AY462" i="18" s="1"/>
  <c r="BS446" i="18"/>
  <c r="BS462" i="18" s="1"/>
  <c r="BK446" i="18"/>
  <c r="BK462" i="18" s="1"/>
  <c r="AL446" i="18"/>
  <c r="AL462" i="18" s="1"/>
  <c r="BO446" i="18"/>
  <c r="BO462" i="18" s="1"/>
  <c r="AX446" i="18"/>
  <c r="AX462" i="18" s="1"/>
  <c r="BF446" i="18"/>
  <c r="BF462" i="18" s="1"/>
  <c r="N446" i="18"/>
  <c r="N462" i="18" s="1"/>
  <c r="BB446" i="18"/>
  <c r="BB462" i="18" s="1"/>
  <c r="BJ446" i="18"/>
  <c r="BJ462" i="18" s="1"/>
  <c r="AS446" i="18"/>
  <c r="AS462" i="18" s="1"/>
  <c r="AG446" i="18"/>
  <c r="AG462" i="18" s="1"/>
  <c r="BA446" i="18"/>
  <c r="BA462" i="18" s="1"/>
  <c r="BE446" i="18"/>
  <c r="BE462" i="18" s="1"/>
  <c r="L444" i="18"/>
  <c r="AR446" i="18"/>
  <c r="AR462" i="18" s="1"/>
  <c r="Z446" i="18"/>
  <c r="Z462" i="18" s="1"/>
  <c r="AP446" i="18"/>
  <c r="AP462" i="18" s="1"/>
  <c r="M446" i="18"/>
  <c r="M462" i="18" s="1"/>
  <c r="BP446" i="18"/>
  <c r="BP462" i="18" s="1"/>
  <c r="V446" i="18"/>
  <c r="V462" i="18" s="1"/>
  <c r="AD446" i="18"/>
  <c r="AD462" i="18" s="1"/>
  <c r="BN446" i="18"/>
  <c r="BN462" i="18" s="1"/>
  <c r="Q446" i="18"/>
  <c r="Q462" i="18" s="1"/>
  <c r="AK446" i="18"/>
  <c r="AK462" i="18" s="1"/>
  <c r="AO446" i="18"/>
  <c r="AO462" i="18" s="1"/>
  <c r="AU446" i="18"/>
  <c r="AU462" i="18" s="1"/>
  <c r="AI446" i="18"/>
  <c r="AI462" i="18" s="1"/>
  <c r="BC446" i="18"/>
  <c r="BC462" i="18" s="1"/>
  <c r="AK366" i="18"/>
  <c r="X366" i="18"/>
  <c r="W366" i="18"/>
  <c r="R366" i="18"/>
  <c r="AU366" i="18"/>
  <c r="R361" i="18"/>
  <c r="AV366" i="18"/>
  <c r="BP366" i="18"/>
  <c r="AA366" i="18"/>
  <c r="BC366" i="18"/>
  <c r="U366" i="18"/>
  <c r="AY366" i="18"/>
  <c r="I349" i="18"/>
  <c r="L351" i="18"/>
  <c r="I351" i="18" s="1"/>
  <c r="P385" i="20"/>
  <c r="P386" i="20" s="1"/>
  <c r="Q383" i="20" s="1"/>
  <c r="P379" i="20"/>
  <c r="P380" i="20" s="1"/>
  <c r="Q377" i="20" s="1"/>
  <c r="O374" i="20"/>
  <c r="P371" i="20" s="1"/>
  <c r="P373" i="20" s="1"/>
  <c r="O389" i="20"/>
  <c r="W388" i="11"/>
  <c r="W389" i="11" s="1"/>
  <c r="X386" i="11" s="1"/>
  <c r="W382" i="11"/>
  <c r="W383" i="11" s="1"/>
  <c r="X380" i="11" s="1"/>
  <c r="S392" i="11"/>
  <c r="I416" i="10"/>
  <c r="I418" i="10"/>
  <c r="L413" i="10"/>
  <c r="M413" i="10" s="1"/>
  <c r="N413" i="10" s="1"/>
  <c r="O413" i="10" s="1"/>
  <c r="P413" i="10" s="1"/>
  <c r="Q413" i="10" s="1"/>
  <c r="R413" i="10" s="1"/>
  <c r="S413" i="10" s="1"/>
  <c r="T413" i="10" s="1"/>
  <c r="U413" i="10" s="1"/>
  <c r="V413" i="10" s="1"/>
  <c r="W413" i="10" s="1"/>
  <c r="X413" i="10" s="1"/>
  <c r="Y413" i="10" s="1"/>
  <c r="Z413" i="10" s="1"/>
  <c r="AA413" i="10" s="1"/>
  <c r="AB413" i="10" s="1"/>
  <c r="AC413" i="10" s="1"/>
  <c r="AD413" i="10" s="1"/>
  <c r="AE413" i="10" s="1"/>
  <c r="AF413" i="10" s="1"/>
  <c r="AG413" i="10" s="1"/>
  <c r="AH413" i="10" s="1"/>
  <c r="AI413" i="10" s="1"/>
  <c r="AJ413" i="10" s="1"/>
  <c r="AK413" i="10" s="1"/>
  <c r="AL413" i="10" s="1"/>
  <c r="AM413" i="10" s="1"/>
  <c r="AN413" i="10" s="1"/>
  <c r="AO413" i="10" s="1"/>
  <c r="AP413" i="10" s="1"/>
  <c r="AQ413" i="10" s="1"/>
  <c r="AR413" i="10" s="1"/>
  <c r="AS413" i="10" s="1"/>
  <c r="AT413" i="10" s="1"/>
  <c r="AU413" i="10" s="1"/>
  <c r="AV413" i="10" s="1"/>
  <c r="AW413" i="10" s="1"/>
  <c r="AX413" i="10" s="1"/>
  <c r="AY413" i="10" s="1"/>
  <c r="AZ413" i="10" s="1"/>
  <c r="BA413" i="10" s="1"/>
  <c r="BB413" i="10" s="1"/>
  <c r="BC413" i="10" s="1"/>
  <c r="BD413" i="10" s="1"/>
  <c r="BE413" i="10" s="1"/>
  <c r="BF413" i="10" s="1"/>
  <c r="BG413" i="10" s="1"/>
  <c r="BH413" i="10" s="1"/>
  <c r="BI413" i="10" s="1"/>
  <c r="BJ413" i="10" s="1"/>
  <c r="BK413" i="10" s="1"/>
  <c r="BL413" i="10" s="1"/>
  <c r="BM413" i="10" s="1"/>
  <c r="BN413" i="10" s="1"/>
  <c r="BO413" i="10" s="1"/>
  <c r="BP413" i="10" s="1"/>
  <c r="BQ413" i="10" s="1"/>
  <c r="BR413" i="10" s="1"/>
  <c r="BS413" i="10" s="1"/>
  <c r="I415" i="10"/>
  <c r="O345" i="10"/>
  <c r="O346" i="10" s="1"/>
  <c r="P343" i="10" s="1"/>
  <c r="O339" i="10"/>
  <c r="O340" i="10" s="1"/>
  <c r="P337" i="10" s="1"/>
  <c r="I411" i="10"/>
  <c r="F495" i="10" s="1"/>
  <c r="N349" i="10"/>
  <c r="I289" i="9"/>
  <c r="L524" i="9" a="1"/>
  <c r="BS306" i="9"/>
  <c r="BS298" i="9"/>
  <c r="I297" i="9"/>
  <c r="S336" i="8"/>
  <c r="S337" i="8" s="1"/>
  <c r="T334" i="8" s="1"/>
  <c r="S330" i="8"/>
  <c r="S331" i="8" s="1"/>
  <c r="T328" i="8" s="1"/>
  <c r="P325" i="8"/>
  <c r="Q322" i="8" s="1"/>
  <c r="Q324" i="8" s="1"/>
  <c r="Q340" i="8" s="1"/>
  <c r="Z345" i="5"/>
  <c r="Z346" i="5" s="1"/>
  <c r="AA343" i="5" s="1"/>
  <c r="Z339" i="5"/>
  <c r="Z340" i="5" s="1"/>
  <c r="AA337" i="5" s="1"/>
  <c r="T334" i="5"/>
  <c r="U331" i="5" s="1"/>
  <c r="AN413" i="5"/>
  <c r="P462" i="18" l="1"/>
  <c r="M550" i="9"/>
  <c r="Q550" i="9"/>
  <c r="U550" i="9"/>
  <c r="Y550" i="9"/>
  <c r="AC550" i="9"/>
  <c r="AG550" i="9"/>
  <c r="AK550" i="9"/>
  <c r="AO550" i="9"/>
  <c r="AS550" i="9"/>
  <c r="AW550" i="9"/>
  <c r="BA550" i="9"/>
  <c r="BE550" i="9"/>
  <c r="BI550" i="9"/>
  <c r="BM550" i="9"/>
  <c r="BQ550" i="9"/>
  <c r="N550" i="9"/>
  <c r="R550" i="9"/>
  <c r="V550" i="9"/>
  <c r="Z550" i="9"/>
  <c r="AD550" i="9"/>
  <c r="AH550" i="9"/>
  <c r="AL550" i="9"/>
  <c r="AP550" i="9"/>
  <c r="AT550" i="9"/>
  <c r="AX550" i="9"/>
  <c r="BB550" i="9"/>
  <c r="BF550" i="9"/>
  <c r="BJ550" i="9"/>
  <c r="BN550" i="9"/>
  <c r="BR550" i="9"/>
  <c r="O550" i="9"/>
  <c r="S550" i="9"/>
  <c r="W550" i="9"/>
  <c r="AA550" i="9"/>
  <c r="AE550" i="9"/>
  <c r="AI550" i="9"/>
  <c r="AM550" i="9"/>
  <c r="AQ550" i="9"/>
  <c r="AU550" i="9"/>
  <c r="AY550" i="9"/>
  <c r="BC550" i="9"/>
  <c r="BG550" i="9"/>
  <c r="BK550" i="9"/>
  <c r="BO550" i="9"/>
  <c r="BS550" i="9"/>
  <c r="P550" i="9"/>
  <c r="T550" i="9"/>
  <c r="X550" i="9"/>
  <c r="AB550" i="9"/>
  <c r="AF550" i="9"/>
  <c r="AJ550" i="9"/>
  <c r="AN550" i="9"/>
  <c r="AR550" i="9"/>
  <c r="AV550" i="9"/>
  <c r="AZ550" i="9"/>
  <c r="BD550" i="9"/>
  <c r="BH550" i="9"/>
  <c r="BL550" i="9"/>
  <c r="BP550" i="9"/>
  <c r="M551" i="9"/>
  <c r="Q551" i="9"/>
  <c r="U551" i="9"/>
  <c r="Y551" i="9"/>
  <c r="AC551" i="9"/>
  <c r="AG551" i="9"/>
  <c r="AK551" i="9"/>
  <c r="AO551" i="9"/>
  <c r="AS551" i="9"/>
  <c r="AW551" i="9"/>
  <c r="BA551" i="9"/>
  <c r="BE551" i="9"/>
  <c r="BI551" i="9"/>
  <c r="BM551" i="9"/>
  <c r="BQ551" i="9"/>
  <c r="N551" i="9"/>
  <c r="R551" i="9"/>
  <c r="V551" i="9"/>
  <c r="Z551" i="9"/>
  <c r="AD551" i="9"/>
  <c r="AH551" i="9"/>
  <c r="AL551" i="9"/>
  <c r="AP551" i="9"/>
  <c r="AT551" i="9"/>
  <c r="AX551" i="9"/>
  <c r="BB551" i="9"/>
  <c r="BF551" i="9"/>
  <c r="BJ551" i="9"/>
  <c r="BN551" i="9"/>
  <c r="BR551" i="9"/>
  <c r="P551" i="9"/>
  <c r="X551" i="9"/>
  <c r="AB551" i="9"/>
  <c r="AF551" i="9"/>
  <c r="AJ551" i="9"/>
  <c r="AN551" i="9"/>
  <c r="AR551" i="9"/>
  <c r="AV551" i="9"/>
  <c r="AZ551" i="9"/>
  <c r="BD551" i="9"/>
  <c r="BH551" i="9"/>
  <c r="BL551" i="9"/>
  <c r="BP551" i="9"/>
  <c r="O551" i="9"/>
  <c r="S551" i="9"/>
  <c r="W551" i="9"/>
  <c r="AA551" i="9"/>
  <c r="AE551" i="9"/>
  <c r="AI551" i="9"/>
  <c r="AM551" i="9"/>
  <c r="AQ551" i="9"/>
  <c r="AU551" i="9"/>
  <c r="AY551" i="9"/>
  <c r="BC551" i="9"/>
  <c r="BG551" i="9"/>
  <c r="BK551" i="9"/>
  <c r="BO551" i="9"/>
  <c r="BS551" i="9"/>
  <c r="T551" i="9"/>
  <c r="AA340" i="23"/>
  <c r="AA336" i="23"/>
  <c r="AA322" i="23"/>
  <c r="AB313" i="23"/>
  <c r="AB315" i="23"/>
  <c r="AA305" i="23"/>
  <c r="AA306" i="23" s="1"/>
  <c r="AB233" i="23"/>
  <c r="I315" i="9"/>
  <c r="L523" i="9"/>
  <c r="L550" i="9" s="1"/>
  <c r="I316" i="9"/>
  <c r="L524" i="9"/>
  <c r="L551" i="9" s="1"/>
  <c r="L366" i="18"/>
  <c r="I366" i="18" s="1"/>
  <c r="I364" i="18"/>
  <c r="L400" i="18"/>
  <c r="L385" i="18"/>
  <c r="M382" i="18" s="1"/>
  <c r="I359" i="18"/>
  <c r="L361" i="18"/>
  <c r="I361" i="18" s="1"/>
  <c r="I444" i="18"/>
  <c r="L446" i="18"/>
  <c r="I470" i="18"/>
  <c r="Q385" i="20"/>
  <c r="Q386" i="20" s="1"/>
  <c r="R383" i="20" s="1"/>
  <c r="Q379" i="20"/>
  <c r="Q380" i="20" s="1"/>
  <c r="R377" i="20" s="1"/>
  <c r="P389" i="20"/>
  <c r="Q396" i="18"/>
  <c r="Q397" i="18" s="1"/>
  <c r="R394" i="18" s="1"/>
  <c r="Q390" i="18"/>
  <c r="Q391" i="18" s="1"/>
  <c r="R388" i="18" s="1"/>
  <c r="X388" i="11"/>
  <c r="X389" i="11" s="1"/>
  <c r="Y386" i="11" s="1"/>
  <c r="X382" i="11"/>
  <c r="X383" i="11" s="1"/>
  <c r="Y380" i="11" s="1"/>
  <c r="S377" i="11"/>
  <c r="T374" i="11" s="1"/>
  <c r="T376" i="11" s="1"/>
  <c r="P345" i="10"/>
  <c r="P346" i="10" s="1"/>
  <c r="Q343" i="10" s="1"/>
  <c r="P339" i="10"/>
  <c r="P340" i="10" s="1"/>
  <c r="Q337" i="10" s="1"/>
  <c r="N334" i="10"/>
  <c r="O331" i="10" s="1"/>
  <c r="I421" i="10"/>
  <c r="L317" i="9" a="1"/>
  <c r="L323" i="9" a="1"/>
  <c r="L323" i="9" s="1"/>
  <c r="I306" i="9"/>
  <c r="I298" i="9"/>
  <c r="BS307" i="9"/>
  <c r="T336" i="8"/>
  <c r="T337" i="8" s="1"/>
  <c r="U334" i="8" s="1"/>
  <c r="T330" i="8"/>
  <c r="T331" i="8" s="1"/>
  <c r="U328" i="8" s="1"/>
  <c r="Q325" i="8"/>
  <c r="R322" i="8" s="1"/>
  <c r="R324" i="8" s="1"/>
  <c r="AA339" i="5"/>
  <c r="AA340" i="5" s="1"/>
  <c r="AB337" i="5" s="1"/>
  <c r="AA345" i="5"/>
  <c r="AA346" i="5" s="1"/>
  <c r="AB343" i="5" s="1"/>
  <c r="U333" i="5"/>
  <c r="U349" i="5" s="1"/>
  <c r="AO413" i="5"/>
  <c r="M558" i="9" l="1"/>
  <c r="Q558" i="9"/>
  <c r="U558" i="9"/>
  <c r="Y558" i="9"/>
  <c r="AC558" i="9"/>
  <c r="AG558" i="9"/>
  <c r="AK558" i="9"/>
  <c r="AO558" i="9"/>
  <c r="AS558" i="9"/>
  <c r="AW558" i="9"/>
  <c r="BA558" i="9"/>
  <c r="BE558" i="9"/>
  <c r="BI558" i="9"/>
  <c r="BM558" i="9"/>
  <c r="BQ558" i="9"/>
  <c r="N558" i="9"/>
  <c r="R558" i="9"/>
  <c r="V558" i="9"/>
  <c r="Z558" i="9"/>
  <c r="AD558" i="9"/>
  <c r="AH558" i="9"/>
  <c r="AL558" i="9"/>
  <c r="AP558" i="9"/>
  <c r="AT558" i="9"/>
  <c r="AX558" i="9"/>
  <c r="BB558" i="9"/>
  <c r="BF558" i="9"/>
  <c r="BJ558" i="9"/>
  <c r="BN558" i="9"/>
  <c r="BR558" i="9"/>
  <c r="O558" i="9"/>
  <c r="S558" i="9"/>
  <c r="W558" i="9"/>
  <c r="AA558" i="9"/>
  <c r="AE558" i="9"/>
  <c r="AI558" i="9"/>
  <c r="AM558" i="9"/>
  <c r="AQ558" i="9"/>
  <c r="AU558" i="9"/>
  <c r="AY558" i="9"/>
  <c r="BC558" i="9"/>
  <c r="BG558" i="9"/>
  <c r="BK558" i="9"/>
  <c r="BO558" i="9"/>
  <c r="BS558" i="9"/>
  <c r="P558" i="9"/>
  <c r="T558" i="9"/>
  <c r="X558" i="9"/>
  <c r="AB558" i="9"/>
  <c r="AF558" i="9"/>
  <c r="AJ558" i="9"/>
  <c r="AN558" i="9"/>
  <c r="AR558" i="9"/>
  <c r="AV558" i="9"/>
  <c r="AZ558" i="9"/>
  <c r="BD558" i="9"/>
  <c r="BH558" i="9"/>
  <c r="BL558" i="9"/>
  <c r="BP558" i="9"/>
  <c r="I556" i="9"/>
  <c r="AA342" i="23"/>
  <c r="AA343" i="23" s="1"/>
  <c r="AA337" i="23"/>
  <c r="AB319" i="23"/>
  <c r="AB321" i="23" s="1"/>
  <c r="AB234" i="23"/>
  <c r="AC232" i="23" s="1"/>
  <c r="AB269" i="23"/>
  <c r="AB237" i="23"/>
  <c r="AB239" i="23" s="1"/>
  <c r="AB243" i="23" s="1"/>
  <c r="AB245" i="23" s="1"/>
  <c r="L525" i="9" a="1"/>
  <c r="I523" i="9"/>
  <c r="I557" i="9"/>
  <c r="L317" i="9"/>
  <c r="L558" i="9" s="1"/>
  <c r="I524" i="9"/>
  <c r="I446" i="18"/>
  <c r="L462" i="18"/>
  <c r="M384" i="18"/>
  <c r="M400" i="18" s="1"/>
  <c r="R385" i="20"/>
  <c r="R386" i="20" s="1"/>
  <c r="S383" i="20" s="1"/>
  <c r="R379" i="20"/>
  <c r="R380" i="20" s="1"/>
  <c r="S377" i="20" s="1"/>
  <c r="P374" i="20"/>
  <c r="Q371" i="20" s="1"/>
  <c r="Q373" i="20" s="1"/>
  <c r="R396" i="18"/>
  <c r="R397" i="18" s="1"/>
  <c r="S394" i="18" s="1"/>
  <c r="R390" i="18"/>
  <c r="R391" i="18" s="1"/>
  <c r="S388" i="18" s="1"/>
  <c r="Y388" i="11"/>
  <c r="Y389" i="11" s="1"/>
  <c r="Z386" i="11" s="1"/>
  <c r="Y382" i="11"/>
  <c r="Y383" i="11" s="1"/>
  <c r="Z380" i="11" s="1"/>
  <c r="T392" i="11"/>
  <c r="Q345" i="10"/>
  <c r="Q346" i="10" s="1"/>
  <c r="R343" i="10" s="1"/>
  <c r="Q339" i="10"/>
  <c r="Q340" i="10" s="1"/>
  <c r="R337" i="10" s="1"/>
  <c r="O333" i="10"/>
  <c r="O349" i="10" s="1"/>
  <c r="Z318" i="9"/>
  <c r="BB318" i="9"/>
  <c r="AS318" i="9"/>
  <c r="AW318" i="9"/>
  <c r="AP318" i="9"/>
  <c r="U318" i="9"/>
  <c r="AL318" i="9"/>
  <c r="AU318" i="9"/>
  <c r="P318" i="9"/>
  <c r="V318" i="9"/>
  <c r="AM318" i="9"/>
  <c r="AT318" i="9"/>
  <c r="R318" i="9"/>
  <c r="BD318" i="9"/>
  <c r="Y318" i="9"/>
  <c r="AE318" i="9"/>
  <c r="BC318" i="9"/>
  <c r="BQ318" i="9"/>
  <c r="M318" i="9"/>
  <c r="AR318" i="9"/>
  <c r="AK318" i="9"/>
  <c r="AZ318" i="9"/>
  <c r="BP318" i="9"/>
  <c r="S318" i="9"/>
  <c r="AN318" i="9"/>
  <c r="N318" i="9"/>
  <c r="AF318" i="9"/>
  <c r="AQ318" i="9"/>
  <c r="BL318" i="9"/>
  <c r="BM318" i="9"/>
  <c r="AJ318" i="9"/>
  <c r="AB318" i="9"/>
  <c r="BA318" i="9"/>
  <c r="Q318" i="9"/>
  <c r="W318" i="9"/>
  <c r="AC318" i="9"/>
  <c r="O318" i="9"/>
  <c r="AG318" i="9"/>
  <c r="AO318" i="9"/>
  <c r="T318" i="9"/>
  <c r="BN318" i="9"/>
  <c r="BE318" i="9"/>
  <c r="AD318" i="9"/>
  <c r="X318" i="9"/>
  <c r="AA318" i="9"/>
  <c r="BO318" i="9"/>
  <c r="AH318" i="9"/>
  <c r="BI318" i="9"/>
  <c r="BJ318" i="9"/>
  <c r="AI318" i="9"/>
  <c r="BS318" i="9"/>
  <c r="AV318" i="9"/>
  <c r="AX318" i="9"/>
  <c r="BR318" i="9"/>
  <c r="BG318" i="9"/>
  <c r="BK318" i="9"/>
  <c r="AY318" i="9"/>
  <c r="BF318" i="9"/>
  <c r="BH318" i="9"/>
  <c r="I307" i="9"/>
  <c r="V324" i="9"/>
  <c r="BH324" i="9"/>
  <c r="AA324" i="9"/>
  <c r="BI324" i="9"/>
  <c r="BM324" i="9"/>
  <c r="Q324" i="9"/>
  <c r="AQ324" i="9"/>
  <c r="R324" i="9"/>
  <c r="BD324" i="9"/>
  <c r="AD324" i="9"/>
  <c r="AM324" i="9"/>
  <c r="P324" i="9"/>
  <c r="N324" i="9"/>
  <c r="AZ324" i="9"/>
  <c r="AR324" i="9"/>
  <c r="BG324" i="9"/>
  <c r="AC324" i="9"/>
  <c r="AS324" i="9"/>
  <c r="X324" i="9"/>
  <c r="Z324" i="9"/>
  <c r="BJ324" i="9"/>
  <c r="O324" i="9"/>
  <c r="AN324" i="9"/>
  <c r="W324" i="9"/>
  <c r="AE324" i="9"/>
  <c r="BE324" i="9"/>
  <c r="BS324" i="9"/>
  <c r="AJ324" i="9"/>
  <c r="S324" i="9"/>
  <c r="BF324" i="9"/>
  <c r="AU324" i="9"/>
  <c r="AF324" i="9"/>
  <c r="AT324" i="9"/>
  <c r="Y324" i="9"/>
  <c r="BO324" i="9"/>
  <c r="AV324" i="9"/>
  <c r="BP324" i="9"/>
  <c r="AO324" i="9"/>
  <c r="T324" i="9"/>
  <c r="BA324" i="9"/>
  <c r="AP324" i="9"/>
  <c r="BN324" i="9"/>
  <c r="BR324" i="9"/>
  <c r="AW324" i="9"/>
  <c r="AB324" i="9"/>
  <c r="AI324" i="9"/>
  <c r="AY324" i="9"/>
  <c r="BK324" i="9"/>
  <c r="U324" i="9"/>
  <c r="AL324" i="9"/>
  <c r="AX324" i="9"/>
  <c r="AK324" i="9"/>
  <c r="BQ324" i="9"/>
  <c r="BB324" i="9"/>
  <c r="AG324" i="9"/>
  <c r="BL324" i="9"/>
  <c r="AH324" i="9"/>
  <c r="M324" i="9"/>
  <c r="BC324" i="9"/>
  <c r="U336" i="8"/>
  <c r="U337" i="8" s="1"/>
  <c r="V334" i="8" s="1"/>
  <c r="U330" i="8"/>
  <c r="U331" i="8" s="1"/>
  <c r="V328" i="8" s="1"/>
  <c r="R340" i="8"/>
  <c r="U334" i="5"/>
  <c r="V331" i="5" s="1"/>
  <c r="V333" i="5" s="1"/>
  <c r="V349" i="5" s="1"/>
  <c r="AB345" i="5"/>
  <c r="AB346" i="5" s="1"/>
  <c r="AC343" i="5" s="1"/>
  <c r="AB339" i="5"/>
  <c r="AB340" i="5" s="1"/>
  <c r="AC337" i="5" s="1"/>
  <c r="AP413" i="5"/>
  <c r="M552" i="9" l="1"/>
  <c r="Q552" i="9"/>
  <c r="U552" i="9"/>
  <c r="Y552" i="9"/>
  <c r="AC552" i="9"/>
  <c r="AG552" i="9"/>
  <c r="AK552" i="9"/>
  <c r="AO552" i="9"/>
  <c r="AS552" i="9"/>
  <c r="AW552" i="9"/>
  <c r="BA552" i="9"/>
  <c r="BE552" i="9"/>
  <c r="BI552" i="9"/>
  <c r="BM552" i="9"/>
  <c r="BQ552" i="9"/>
  <c r="N552" i="9"/>
  <c r="R552" i="9"/>
  <c r="V552" i="9"/>
  <c r="Z552" i="9"/>
  <c r="AD552" i="9"/>
  <c r="AH552" i="9"/>
  <c r="AL552" i="9"/>
  <c r="AP552" i="9"/>
  <c r="AT552" i="9"/>
  <c r="AX552" i="9"/>
  <c r="BB552" i="9"/>
  <c r="BF552" i="9"/>
  <c r="BJ552" i="9"/>
  <c r="BN552" i="9"/>
  <c r="BR552" i="9"/>
  <c r="O552" i="9"/>
  <c r="S552" i="9"/>
  <c r="W552" i="9"/>
  <c r="AA552" i="9"/>
  <c r="AE552" i="9"/>
  <c r="AI552" i="9"/>
  <c r="AM552" i="9"/>
  <c r="AQ552" i="9"/>
  <c r="AU552" i="9"/>
  <c r="AY552" i="9"/>
  <c r="BC552" i="9"/>
  <c r="BG552" i="9"/>
  <c r="BK552" i="9"/>
  <c r="BO552" i="9"/>
  <c r="BS552" i="9"/>
  <c r="P552" i="9"/>
  <c r="T552" i="9"/>
  <c r="X552" i="9"/>
  <c r="AB552" i="9"/>
  <c r="AF552" i="9"/>
  <c r="AJ552" i="9"/>
  <c r="AN552" i="9"/>
  <c r="AR552" i="9"/>
  <c r="AV552" i="9"/>
  <c r="AZ552" i="9"/>
  <c r="BD552" i="9"/>
  <c r="BH552" i="9"/>
  <c r="BL552" i="9"/>
  <c r="BP552" i="9"/>
  <c r="I550" i="9"/>
  <c r="AA346" i="23"/>
  <c r="AA345" i="23"/>
  <c r="AB246" i="23"/>
  <c r="AC244" i="23" s="1"/>
  <c r="AB281" i="23"/>
  <c r="AB240" i="23"/>
  <c r="AC238" i="23" s="1"/>
  <c r="AB275" i="23"/>
  <c r="AB270" i="23"/>
  <c r="AB249" i="23"/>
  <c r="AB251" i="23" s="1"/>
  <c r="AB255" i="23"/>
  <c r="L525" i="9"/>
  <c r="L552" i="9" s="1"/>
  <c r="AY337" i="9"/>
  <c r="AX337" i="9"/>
  <c r="BJ337" i="9"/>
  <c r="AA337" i="9"/>
  <c r="BN337" i="9"/>
  <c r="O337" i="9"/>
  <c r="BA337" i="9"/>
  <c r="BL337" i="9"/>
  <c r="AN337" i="9"/>
  <c r="AK337" i="9"/>
  <c r="BC337" i="9"/>
  <c r="R337" i="9"/>
  <c r="P337" i="9"/>
  <c r="AP337" i="9"/>
  <c r="Z337" i="9"/>
  <c r="BK337" i="9"/>
  <c r="AV337" i="9"/>
  <c r="BI337" i="9"/>
  <c r="X337" i="9"/>
  <c r="T337" i="9"/>
  <c r="AC337" i="9"/>
  <c r="AB337" i="9"/>
  <c r="AQ337" i="9"/>
  <c r="S337" i="9"/>
  <c r="AR337" i="9"/>
  <c r="AE337" i="9"/>
  <c r="AT337" i="9"/>
  <c r="AU337" i="9"/>
  <c r="AW337" i="9"/>
  <c r="BH337" i="9"/>
  <c r="BG337" i="9"/>
  <c r="BS337" i="9"/>
  <c r="AH337" i="9"/>
  <c r="AD337" i="9"/>
  <c r="AO337" i="9"/>
  <c r="W337" i="9"/>
  <c r="AJ337" i="9"/>
  <c r="AF337" i="9"/>
  <c r="BP337" i="9"/>
  <c r="M337" i="9"/>
  <c r="Y337" i="9"/>
  <c r="AM337" i="9"/>
  <c r="AL337" i="9"/>
  <c r="AS337" i="9"/>
  <c r="BF337" i="9"/>
  <c r="BR337" i="9"/>
  <c r="AI337" i="9"/>
  <c r="BO337" i="9"/>
  <c r="BE337" i="9"/>
  <c r="AG337" i="9"/>
  <c r="Q337" i="9"/>
  <c r="BM337" i="9"/>
  <c r="N337" i="9"/>
  <c r="AZ337" i="9"/>
  <c r="BQ337" i="9"/>
  <c r="BD337" i="9"/>
  <c r="V337" i="9"/>
  <c r="U337" i="9"/>
  <c r="BB337" i="9"/>
  <c r="I551" i="9"/>
  <c r="M385" i="18"/>
  <c r="N382" i="18" s="1"/>
  <c r="L478" i="18" a="1"/>
  <c r="L478" i="18" s="1"/>
  <c r="I478" i="18" s="1"/>
  <c r="L464" i="18"/>
  <c r="I466" i="18"/>
  <c r="I467" i="18"/>
  <c r="I469" i="18"/>
  <c r="I462" i="18"/>
  <c r="F546" i="18" s="1"/>
  <c r="S385" i="20"/>
  <c r="S386" i="20" s="1"/>
  <c r="T383" i="20" s="1"/>
  <c r="S379" i="20"/>
  <c r="S380" i="20" s="1"/>
  <c r="T377" i="20" s="1"/>
  <c r="Q389" i="20"/>
  <c r="S396" i="18"/>
  <c r="S397" i="18" s="1"/>
  <c r="T394" i="18" s="1"/>
  <c r="S390" i="18"/>
  <c r="S391" i="18" s="1"/>
  <c r="T388" i="18" s="1"/>
  <c r="Z388" i="11"/>
  <c r="Z389" i="11" s="1"/>
  <c r="AA386" i="11" s="1"/>
  <c r="Z382" i="11"/>
  <c r="Z383" i="11" s="1"/>
  <c r="AA380" i="11" s="1"/>
  <c r="T377" i="11"/>
  <c r="U374" i="11" s="1"/>
  <c r="U376" i="11" s="1"/>
  <c r="R345" i="10"/>
  <c r="R346" i="10" s="1"/>
  <c r="S343" i="10" s="1"/>
  <c r="R339" i="10"/>
  <c r="R340" i="10" s="1"/>
  <c r="S337" i="10" s="1"/>
  <c r="O334" i="10"/>
  <c r="P331" i="10" s="1"/>
  <c r="P333" i="10" s="1"/>
  <c r="P349" i="10" s="1"/>
  <c r="AG341" i="9"/>
  <c r="AG342" i="9"/>
  <c r="T341" i="9"/>
  <c r="T342" i="9"/>
  <c r="X341" i="9"/>
  <c r="X342" i="9"/>
  <c r="AM341" i="9"/>
  <c r="AM342" i="9"/>
  <c r="AA341" i="9"/>
  <c r="AA342" i="9"/>
  <c r="BB341" i="9"/>
  <c r="BB342" i="9"/>
  <c r="AI341" i="9"/>
  <c r="AI342" i="9"/>
  <c r="AO341" i="9"/>
  <c r="AO342" i="9"/>
  <c r="BF341" i="9"/>
  <c r="BF342" i="9"/>
  <c r="O341" i="9"/>
  <c r="O342" i="9"/>
  <c r="AZ341" i="9"/>
  <c r="AZ342" i="9"/>
  <c r="AD341" i="9"/>
  <c r="AD342" i="9"/>
  <c r="Q341" i="9"/>
  <c r="Q342" i="9"/>
  <c r="BH341" i="9"/>
  <c r="BH342" i="9"/>
  <c r="BC341" i="9"/>
  <c r="BC342" i="9"/>
  <c r="AY341" i="9"/>
  <c r="AY342" i="9"/>
  <c r="BO341" i="9"/>
  <c r="BO342" i="9"/>
  <c r="AN341" i="9"/>
  <c r="AN342" i="9"/>
  <c r="M341" i="9"/>
  <c r="M342" i="9"/>
  <c r="AL341" i="9"/>
  <c r="AL342" i="9"/>
  <c r="BN341" i="9"/>
  <c r="BN342" i="9"/>
  <c r="Y341" i="9"/>
  <c r="Y342" i="9"/>
  <c r="BE341" i="9"/>
  <c r="BE342" i="9"/>
  <c r="AS341" i="9"/>
  <c r="AS342" i="9"/>
  <c r="AH341" i="9"/>
  <c r="AH342" i="9"/>
  <c r="BQ341" i="9"/>
  <c r="BQ342" i="9"/>
  <c r="U341" i="9"/>
  <c r="U342" i="9"/>
  <c r="AB341" i="9"/>
  <c r="AB342" i="9"/>
  <c r="AP341" i="9"/>
  <c r="AP342" i="9"/>
  <c r="BP341" i="9"/>
  <c r="BP342" i="9"/>
  <c r="AT341" i="9"/>
  <c r="AT342" i="9"/>
  <c r="S341" i="9"/>
  <c r="S342" i="9"/>
  <c r="AE341" i="9"/>
  <c r="AE342" i="9"/>
  <c r="BJ341" i="9"/>
  <c r="BJ342" i="9"/>
  <c r="AC341" i="9"/>
  <c r="AC342" i="9"/>
  <c r="N341" i="9"/>
  <c r="N342" i="9"/>
  <c r="BD341" i="9"/>
  <c r="BD342" i="9"/>
  <c r="BM341" i="9"/>
  <c r="BM342" i="9"/>
  <c r="V341" i="9"/>
  <c r="V342" i="9"/>
  <c r="AX341" i="9"/>
  <c r="AX342" i="9"/>
  <c r="BR341" i="9"/>
  <c r="BR342" i="9"/>
  <c r="AU341" i="9"/>
  <c r="AU342" i="9"/>
  <c r="BS341" i="9"/>
  <c r="BS342" i="9"/>
  <c r="AR341" i="9"/>
  <c r="AR342" i="9"/>
  <c r="AQ341" i="9"/>
  <c r="AQ342" i="9"/>
  <c r="BL341" i="9"/>
  <c r="BL342" i="9"/>
  <c r="AK341" i="9"/>
  <c r="AK342" i="9"/>
  <c r="BK341" i="9"/>
  <c r="BK342" i="9"/>
  <c r="AW341" i="9"/>
  <c r="AW342" i="9"/>
  <c r="BA341" i="9"/>
  <c r="BA342" i="9"/>
  <c r="AV341" i="9"/>
  <c r="AV342" i="9"/>
  <c r="AF341" i="9"/>
  <c r="AF342" i="9"/>
  <c r="AJ341" i="9"/>
  <c r="AJ342" i="9"/>
  <c r="W341" i="9"/>
  <c r="W342" i="9"/>
  <c r="Z341" i="9"/>
  <c r="Z342" i="9"/>
  <c r="BG341" i="9"/>
  <c r="BG342" i="9"/>
  <c r="P341" i="9"/>
  <c r="P342" i="9"/>
  <c r="R341" i="9"/>
  <c r="R342" i="9"/>
  <c r="BI341" i="9"/>
  <c r="BI342" i="9"/>
  <c r="BK327" i="9"/>
  <c r="BK336" i="9"/>
  <c r="AV327" i="9"/>
  <c r="AV336" i="9"/>
  <c r="BI327" i="9"/>
  <c r="BI336" i="9"/>
  <c r="X327" i="9"/>
  <c r="X336" i="9"/>
  <c r="T327" i="9"/>
  <c r="T336" i="9"/>
  <c r="AC327" i="9"/>
  <c r="AC336" i="9"/>
  <c r="AB327" i="9"/>
  <c r="AB336" i="9"/>
  <c r="AQ327" i="9"/>
  <c r="AQ336" i="9"/>
  <c r="S327" i="9"/>
  <c r="S336" i="9"/>
  <c r="AR327" i="9"/>
  <c r="AR336" i="9"/>
  <c r="AE327" i="9"/>
  <c r="AE336" i="9"/>
  <c r="AT327" i="9"/>
  <c r="AT336" i="9"/>
  <c r="AU327" i="9"/>
  <c r="AU336" i="9"/>
  <c r="AW327" i="9"/>
  <c r="AW336" i="9"/>
  <c r="BH327" i="9"/>
  <c r="BH336" i="9"/>
  <c r="BG327" i="9"/>
  <c r="BG336" i="9"/>
  <c r="BS327" i="9"/>
  <c r="BS336" i="9"/>
  <c r="AH327" i="9"/>
  <c r="AH336" i="9"/>
  <c r="AD327" i="9"/>
  <c r="AD336" i="9"/>
  <c r="AO327" i="9"/>
  <c r="AO336" i="9"/>
  <c r="W327" i="9"/>
  <c r="W336" i="9"/>
  <c r="AJ327" i="9"/>
  <c r="AJ336" i="9"/>
  <c r="AF327" i="9"/>
  <c r="AF336" i="9"/>
  <c r="BP327" i="9"/>
  <c r="BP336" i="9"/>
  <c r="M327" i="9"/>
  <c r="M336" i="9"/>
  <c r="Y327" i="9"/>
  <c r="Y336" i="9"/>
  <c r="AM327" i="9"/>
  <c r="AM336" i="9"/>
  <c r="AL327" i="9"/>
  <c r="AL336" i="9"/>
  <c r="AS327" i="9"/>
  <c r="AS336" i="9"/>
  <c r="BF327" i="9"/>
  <c r="BF336" i="9"/>
  <c r="BR327" i="9"/>
  <c r="BR336" i="9"/>
  <c r="AI327" i="9"/>
  <c r="AI336" i="9"/>
  <c r="BO327" i="9"/>
  <c r="BO336" i="9"/>
  <c r="BE327" i="9"/>
  <c r="BE336" i="9"/>
  <c r="AG327" i="9"/>
  <c r="AG336" i="9"/>
  <c r="Q327" i="9"/>
  <c r="Q336" i="9"/>
  <c r="BM327" i="9"/>
  <c r="BM336" i="9"/>
  <c r="N327" i="9"/>
  <c r="N336" i="9"/>
  <c r="AZ327" i="9"/>
  <c r="AZ336" i="9"/>
  <c r="BQ327" i="9"/>
  <c r="BQ336" i="9"/>
  <c r="BD327" i="9"/>
  <c r="BD336" i="9"/>
  <c r="V327" i="9"/>
  <c r="V336" i="9"/>
  <c r="U327" i="9"/>
  <c r="U336" i="9"/>
  <c r="BB327" i="9"/>
  <c r="BB336" i="9"/>
  <c r="AY327" i="9"/>
  <c r="AY336" i="9"/>
  <c r="AX327" i="9"/>
  <c r="AX336" i="9"/>
  <c r="BJ327" i="9"/>
  <c r="BJ336" i="9"/>
  <c r="AA327" i="9"/>
  <c r="AA336" i="9"/>
  <c r="BN327" i="9"/>
  <c r="BN336" i="9"/>
  <c r="O327" i="9"/>
  <c r="O336" i="9"/>
  <c r="BA327" i="9"/>
  <c r="BA336" i="9"/>
  <c r="BL327" i="9"/>
  <c r="BL336" i="9"/>
  <c r="AN327" i="9"/>
  <c r="AN336" i="9"/>
  <c r="AK327" i="9"/>
  <c r="AK336" i="9"/>
  <c r="BC327" i="9"/>
  <c r="BC336" i="9"/>
  <c r="R327" i="9"/>
  <c r="R336" i="9"/>
  <c r="P327" i="9"/>
  <c r="P336" i="9"/>
  <c r="AP327" i="9"/>
  <c r="AP336" i="9"/>
  <c r="Z327" i="9"/>
  <c r="Z336" i="9"/>
  <c r="BC328" i="9"/>
  <c r="AX328" i="9"/>
  <c r="BR328" i="9"/>
  <c r="BO328" i="9"/>
  <c r="BS328" i="9"/>
  <c r="X328" i="9"/>
  <c r="AM328" i="9"/>
  <c r="M328" i="9"/>
  <c r="BB328" i="9"/>
  <c r="AL328" i="9"/>
  <c r="AI328" i="9"/>
  <c r="BN328" i="9"/>
  <c r="AO328" i="9"/>
  <c r="Y328" i="9"/>
  <c r="BF328" i="9"/>
  <c r="BE328" i="9"/>
  <c r="O328" i="9"/>
  <c r="AS328" i="9"/>
  <c r="AZ328" i="9"/>
  <c r="AD328" i="9"/>
  <c r="Q328" i="9"/>
  <c r="BH328" i="9"/>
  <c r="AG328" i="9"/>
  <c r="AY328" i="9"/>
  <c r="T328" i="9"/>
  <c r="AU328" i="9"/>
  <c r="AN328" i="9"/>
  <c r="AR328" i="9"/>
  <c r="AQ328" i="9"/>
  <c r="AA328" i="9"/>
  <c r="AH328" i="9"/>
  <c r="BQ328" i="9"/>
  <c r="U328" i="9"/>
  <c r="AB328" i="9"/>
  <c r="AP328" i="9"/>
  <c r="BP328" i="9"/>
  <c r="AT328" i="9"/>
  <c r="S328" i="9"/>
  <c r="AE328" i="9"/>
  <c r="BJ328" i="9"/>
  <c r="AC328" i="9"/>
  <c r="N328" i="9"/>
  <c r="BD328" i="9"/>
  <c r="BM328" i="9"/>
  <c r="V328" i="9"/>
  <c r="BL328" i="9"/>
  <c r="AK328" i="9"/>
  <c r="BK328" i="9"/>
  <c r="AW328" i="9"/>
  <c r="BA328" i="9"/>
  <c r="AV328" i="9"/>
  <c r="AF328" i="9"/>
  <c r="AJ328" i="9"/>
  <c r="W328" i="9"/>
  <c r="Z328" i="9"/>
  <c r="BG328" i="9"/>
  <c r="P328" i="9"/>
  <c r="R328" i="9"/>
  <c r="BI328" i="9"/>
  <c r="I323" i="9"/>
  <c r="L324" i="9"/>
  <c r="BP533" i="9"/>
  <c r="AN533" i="9"/>
  <c r="Q533" i="9"/>
  <c r="U533" i="9"/>
  <c r="Y533" i="9"/>
  <c r="M533" i="9"/>
  <c r="AX533" i="9"/>
  <c r="AQ533" i="9"/>
  <c r="AK533" i="9"/>
  <c r="AU533" i="9"/>
  <c r="BQ533" i="9"/>
  <c r="AM533" i="9"/>
  <c r="AS533" i="9"/>
  <c r="T533" i="9"/>
  <c r="BD533" i="9"/>
  <c r="AL533" i="9"/>
  <c r="P533" i="9"/>
  <c r="AA533" i="9"/>
  <c r="AB533" i="9"/>
  <c r="AD533" i="9"/>
  <c r="AY533" i="9"/>
  <c r="AR533" i="9"/>
  <c r="R533" i="9"/>
  <c r="AP533" i="9"/>
  <c r="BM533" i="9"/>
  <c r="BG533" i="9"/>
  <c r="AO533" i="9"/>
  <c r="AT533" i="9"/>
  <c r="AF533" i="9"/>
  <c r="AI533" i="9"/>
  <c r="BL533" i="9"/>
  <c r="AH533" i="9"/>
  <c r="N533" i="9"/>
  <c r="AW533" i="9"/>
  <c r="BC533" i="9"/>
  <c r="BK533" i="9"/>
  <c r="AV533" i="9"/>
  <c r="BB533" i="9"/>
  <c r="BS533" i="9"/>
  <c r="O533" i="9"/>
  <c r="AJ533" i="9"/>
  <c r="S533" i="9"/>
  <c r="BI533" i="9"/>
  <c r="BO533" i="9"/>
  <c r="BA533" i="9"/>
  <c r="V533" i="9"/>
  <c r="W533" i="9"/>
  <c r="AE533" i="9"/>
  <c r="X533" i="9"/>
  <c r="BN533" i="9"/>
  <c r="BJ533" i="9"/>
  <c r="BE533" i="9"/>
  <c r="BH533" i="9"/>
  <c r="AG533" i="9"/>
  <c r="AC533" i="9"/>
  <c r="BF533" i="9"/>
  <c r="AZ533" i="9"/>
  <c r="BR533" i="9"/>
  <c r="Z533" i="9"/>
  <c r="I317" i="9"/>
  <c r="L318" i="9"/>
  <c r="I559" i="9" s="1"/>
  <c r="V336" i="8"/>
  <c r="V337" i="8" s="1"/>
  <c r="W334" i="8" s="1"/>
  <c r="V330" i="8"/>
  <c r="V331" i="8" s="1"/>
  <c r="W328" i="8" s="1"/>
  <c r="R325" i="8"/>
  <c r="S322" i="8" s="1"/>
  <c r="S324" i="8" s="1"/>
  <c r="AC345" i="5"/>
  <c r="AC346" i="5" s="1"/>
  <c r="AD343" i="5" s="1"/>
  <c r="AC339" i="5"/>
  <c r="AC340" i="5" s="1"/>
  <c r="AD337" i="5" s="1"/>
  <c r="V334" i="5"/>
  <c r="W331" i="5" s="1"/>
  <c r="AQ413" i="5"/>
  <c r="L54" i="17" l="1" a="1"/>
  <c r="L54" i="17" s="1"/>
  <c r="AB274" i="23"/>
  <c r="AB276" i="23" s="1"/>
  <c r="AB252" i="23"/>
  <c r="AC250" i="23" s="1"/>
  <c r="AB287" i="23"/>
  <c r="AB257" i="23"/>
  <c r="AB260" i="23" s="1"/>
  <c r="AB271" i="23"/>
  <c r="Y338" i="9"/>
  <c r="L431" i="9" a="1"/>
  <c r="L431" i="9" s="1"/>
  <c r="I552" i="9"/>
  <c r="I558" i="9"/>
  <c r="M464" i="18"/>
  <c r="N464" i="18" s="1"/>
  <c r="O464" i="18" s="1"/>
  <c r="P464" i="18" s="1"/>
  <c r="Q464" i="18" s="1"/>
  <c r="R464" i="18" s="1"/>
  <c r="S464" i="18" s="1"/>
  <c r="T464" i="18" s="1"/>
  <c r="U464" i="18" s="1"/>
  <c r="V464" i="18" s="1"/>
  <c r="W464" i="18" s="1"/>
  <c r="X464" i="18" s="1"/>
  <c r="Y464" i="18" s="1"/>
  <c r="Z464" i="18" s="1"/>
  <c r="AA464" i="18" s="1"/>
  <c r="AB464" i="18" s="1"/>
  <c r="AC464" i="18" s="1"/>
  <c r="AD464" i="18" s="1"/>
  <c r="AE464" i="18" s="1"/>
  <c r="AF464" i="18" s="1"/>
  <c r="AG464" i="18" s="1"/>
  <c r="AH464" i="18" s="1"/>
  <c r="AI464" i="18" s="1"/>
  <c r="AJ464" i="18" s="1"/>
  <c r="AK464" i="18" s="1"/>
  <c r="AL464" i="18" s="1"/>
  <c r="AM464" i="18" s="1"/>
  <c r="AN464" i="18" s="1"/>
  <c r="AO464" i="18" s="1"/>
  <c r="AP464" i="18" s="1"/>
  <c r="AQ464" i="18" s="1"/>
  <c r="AR464" i="18" s="1"/>
  <c r="AS464" i="18" s="1"/>
  <c r="AT464" i="18" s="1"/>
  <c r="AU464" i="18" s="1"/>
  <c r="AV464" i="18" s="1"/>
  <c r="AW464" i="18" s="1"/>
  <c r="AX464" i="18" s="1"/>
  <c r="AY464" i="18" s="1"/>
  <c r="AZ464" i="18" s="1"/>
  <c r="BA464" i="18" s="1"/>
  <c r="BB464" i="18" s="1"/>
  <c r="BC464" i="18" s="1"/>
  <c r="BD464" i="18" s="1"/>
  <c r="BE464" i="18" s="1"/>
  <c r="BF464" i="18" s="1"/>
  <c r="BG464" i="18" s="1"/>
  <c r="BH464" i="18" s="1"/>
  <c r="BI464" i="18" s="1"/>
  <c r="BJ464" i="18" s="1"/>
  <c r="BK464" i="18" s="1"/>
  <c r="BL464" i="18" s="1"/>
  <c r="BM464" i="18" s="1"/>
  <c r="BN464" i="18" s="1"/>
  <c r="BO464" i="18" s="1"/>
  <c r="BP464" i="18" s="1"/>
  <c r="BQ464" i="18" s="1"/>
  <c r="BR464" i="18" s="1"/>
  <c r="BS464" i="18" s="1"/>
  <c r="N384" i="18"/>
  <c r="N400" i="18" s="1"/>
  <c r="T385" i="20"/>
  <c r="T386" i="20" s="1"/>
  <c r="U383" i="20" s="1"/>
  <c r="T379" i="20"/>
  <c r="T380" i="20" s="1"/>
  <c r="U377" i="20" s="1"/>
  <c r="Q374" i="20"/>
  <c r="R371" i="20" s="1"/>
  <c r="R373" i="20" s="1"/>
  <c r="T396" i="18"/>
  <c r="T397" i="18" s="1"/>
  <c r="U394" i="18" s="1"/>
  <c r="T390" i="18"/>
  <c r="T391" i="18" s="1"/>
  <c r="U388" i="18" s="1"/>
  <c r="AA388" i="11"/>
  <c r="AA389" i="11" s="1"/>
  <c r="AB386" i="11" s="1"/>
  <c r="AA382" i="11"/>
  <c r="AA383" i="11" s="1"/>
  <c r="AB380" i="11" s="1"/>
  <c r="U392" i="11"/>
  <c r="S345" i="10"/>
  <c r="S346" i="10" s="1"/>
  <c r="T343" i="10" s="1"/>
  <c r="S339" i="10"/>
  <c r="S340" i="10" s="1"/>
  <c r="T337" i="10" s="1"/>
  <c r="P334" i="10"/>
  <c r="Q331" i="10" s="1"/>
  <c r="Q333" i="10" s="1"/>
  <c r="I539" i="9"/>
  <c r="BR535" i="9"/>
  <c r="BR536" i="9"/>
  <c r="AG535" i="9"/>
  <c r="AG536" i="9"/>
  <c r="BN535" i="9"/>
  <c r="BN536" i="9"/>
  <c r="V535" i="9"/>
  <c r="V536" i="9"/>
  <c r="S535" i="9"/>
  <c r="S536" i="9"/>
  <c r="BB535" i="9"/>
  <c r="BB536" i="9"/>
  <c r="AW535" i="9"/>
  <c r="AW536" i="9"/>
  <c r="AI535" i="9"/>
  <c r="AI536" i="9"/>
  <c r="BG535" i="9"/>
  <c r="BG536" i="9"/>
  <c r="AR535" i="9"/>
  <c r="AR536" i="9"/>
  <c r="AA535" i="9"/>
  <c r="AA536" i="9"/>
  <c r="T535" i="9"/>
  <c r="T536" i="9"/>
  <c r="AU535" i="9"/>
  <c r="AU536" i="9"/>
  <c r="M535" i="9"/>
  <c r="M536" i="9"/>
  <c r="AN535" i="9"/>
  <c r="AN536" i="9"/>
  <c r="AC535" i="9"/>
  <c r="AC536" i="9"/>
  <c r="W535" i="9"/>
  <c r="W536" i="9"/>
  <c r="BI535" i="9"/>
  <c r="BI536" i="9"/>
  <c r="BC535" i="9"/>
  <c r="BC536" i="9"/>
  <c r="AO535" i="9"/>
  <c r="AO536" i="9"/>
  <c r="AB535" i="9"/>
  <c r="AB536" i="9"/>
  <c r="BQ535" i="9"/>
  <c r="BQ536" i="9"/>
  <c r="Q535" i="9"/>
  <c r="Q536" i="9"/>
  <c r="AZ535" i="9"/>
  <c r="AZ536" i="9"/>
  <c r="BH535" i="9"/>
  <c r="BH536" i="9"/>
  <c r="X535" i="9"/>
  <c r="X536" i="9"/>
  <c r="BA535" i="9"/>
  <c r="BA536" i="9"/>
  <c r="AJ535" i="9"/>
  <c r="AJ536" i="9"/>
  <c r="AV535" i="9"/>
  <c r="AV536" i="9"/>
  <c r="N535" i="9"/>
  <c r="N536" i="9"/>
  <c r="AF535" i="9"/>
  <c r="AF536" i="9"/>
  <c r="BM535" i="9"/>
  <c r="BM536" i="9"/>
  <c r="AY535" i="9"/>
  <c r="AY536" i="9"/>
  <c r="P535" i="9"/>
  <c r="P536" i="9"/>
  <c r="AS535" i="9"/>
  <c r="AS536" i="9"/>
  <c r="AK535" i="9"/>
  <c r="AK536" i="9"/>
  <c r="Y535" i="9"/>
  <c r="Y536" i="9"/>
  <c r="BP535" i="9"/>
  <c r="BP536" i="9"/>
  <c r="Z535" i="9"/>
  <c r="Z536" i="9"/>
  <c r="BJ535" i="9"/>
  <c r="BJ536" i="9"/>
  <c r="BS535" i="9"/>
  <c r="BS536" i="9"/>
  <c r="BL535" i="9"/>
  <c r="BL536" i="9"/>
  <c r="R535" i="9"/>
  <c r="R536" i="9"/>
  <c r="BD535" i="9"/>
  <c r="BD536" i="9"/>
  <c r="AX535" i="9"/>
  <c r="AX536" i="9"/>
  <c r="BF535" i="9"/>
  <c r="BF536" i="9"/>
  <c r="BE535" i="9"/>
  <c r="BE536" i="9"/>
  <c r="AE535" i="9"/>
  <c r="AE536" i="9"/>
  <c r="BO535" i="9"/>
  <c r="BO536" i="9"/>
  <c r="O535" i="9"/>
  <c r="O536" i="9"/>
  <c r="BK535" i="9"/>
  <c r="BK536" i="9"/>
  <c r="AH535" i="9"/>
  <c r="AH536" i="9"/>
  <c r="AT535" i="9"/>
  <c r="AT536" i="9"/>
  <c r="AP535" i="9"/>
  <c r="AP536" i="9"/>
  <c r="AD535" i="9"/>
  <c r="AD536" i="9"/>
  <c r="AL535" i="9"/>
  <c r="AL536" i="9"/>
  <c r="AM535" i="9"/>
  <c r="AM536" i="9"/>
  <c r="AQ535" i="9"/>
  <c r="AQ536" i="9"/>
  <c r="U535" i="9"/>
  <c r="U536" i="9"/>
  <c r="L432" i="9" a="1"/>
  <c r="L432" i="9" s="1"/>
  <c r="I432" i="9" s="1"/>
  <c r="L484" i="9" a="1"/>
  <c r="L484" i="9" s="1"/>
  <c r="I484" i="9" s="1"/>
  <c r="BG351" i="9"/>
  <c r="BG352" i="9"/>
  <c r="AF351" i="9"/>
  <c r="AF352" i="9"/>
  <c r="BK351" i="9"/>
  <c r="BK352" i="9"/>
  <c r="BM351" i="9"/>
  <c r="BM352" i="9"/>
  <c r="BJ351" i="9"/>
  <c r="BJ352" i="9"/>
  <c r="BP351" i="9"/>
  <c r="BP352" i="9"/>
  <c r="BQ351" i="9"/>
  <c r="BQ352" i="9"/>
  <c r="AR351" i="9"/>
  <c r="AR352" i="9"/>
  <c r="AY351" i="9"/>
  <c r="AY352" i="9"/>
  <c r="AD351" i="9"/>
  <c r="AD352" i="9"/>
  <c r="BE351" i="9"/>
  <c r="BE352" i="9"/>
  <c r="BN351" i="9"/>
  <c r="BN352" i="9"/>
  <c r="M351" i="9"/>
  <c r="M352" i="9"/>
  <c r="BO351" i="9"/>
  <c r="BO352" i="9"/>
  <c r="BI351" i="9"/>
  <c r="BI352" i="9"/>
  <c r="Z351" i="9"/>
  <c r="Z352" i="9"/>
  <c r="AV351" i="9"/>
  <c r="AV352" i="9"/>
  <c r="AK351" i="9"/>
  <c r="AK352" i="9"/>
  <c r="BD351" i="9"/>
  <c r="BD352" i="9"/>
  <c r="AE351" i="9"/>
  <c r="AE352" i="9"/>
  <c r="AP351" i="9"/>
  <c r="AP352" i="9"/>
  <c r="AH351" i="9"/>
  <c r="AH352" i="9"/>
  <c r="AN351" i="9"/>
  <c r="AN352" i="9"/>
  <c r="AG351" i="9"/>
  <c r="AG352" i="9"/>
  <c r="AZ351" i="9"/>
  <c r="AZ352" i="9"/>
  <c r="BF351" i="9"/>
  <c r="BF352" i="9"/>
  <c r="AI351" i="9"/>
  <c r="AI352" i="9"/>
  <c r="AM351" i="9"/>
  <c r="AM352" i="9"/>
  <c r="BR351" i="9"/>
  <c r="BR352" i="9"/>
  <c r="R351" i="9"/>
  <c r="R352" i="9"/>
  <c r="W351" i="9"/>
  <c r="W352" i="9"/>
  <c r="BA351" i="9"/>
  <c r="BA352" i="9"/>
  <c r="BL351" i="9"/>
  <c r="BL352" i="9"/>
  <c r="N351" i="9"/>
  <c r="N352" i="9"/>
  <c r="S351" i="9"/>
  <c r="S352" i="9"/>
  <c r="AB351" i="9"/>
  <c r="AB352" i="9"/>
  <c r="AA351" i="9"/>
  <c r="AA352" i="9"/>
  <c r="AU351" i="9"/>
  <c r="AU352" i="9"/>
  <c r="BH351" i="9"/>
  <c r="BH352" i="9"/>
  <c r="AS351" i="9"/>
  <c r="AS352" i="9"/>
  <c r="Y351" i="9"/>
  <c r="Y352" i="9"/>
  <c r="AL351" i="9"/>
  <c r="AL352" i="9"/>
  <c r="X351" i="9"/>
  <c r="X352" i="9"/>
  <c r="AX351" i="9"/>
  <c r="AX352" i="9"/>
  <c r="P351" i="9"/>
  <c r="P352" i="9"/>
  <c r="AJ351" i="9"/>
  <c r="AJ352" i="9"/>
  <c r="AW351" i="9"/>
  <c r="AW352" i="9"/>
  <c r="V351" i="9"/>
  <c r="V352" i="9"/>
  <c r="AC351" i="9"/>
  <c r="AC352" i="9"/>
  <c r="AT351" i="9"/>
  <c r="AT352" i="9"/>
  <c r="U351" i="9"/>
  <c r="U352" i="9"/>
  <c r="AQ351" i="9"/>
  <c r="AQ352" i="9"/>
  <c r="T351" i="9"/>
  <c r="T352" i="9"/>
  <c r="Q351" i="9"/>
  <c r="Q352" i="9"/>
  <c r="O351" i="9"/>
  <c r="O352" i="9"/>
  <c r="AO351" i="9"/>
  <c r="AO352" i="9"/>
  <c r="BB351" i="9"/>
  <c r="BB352" i="9"/>
  <c r="BS351" i="9"/>
  <c r="BS352" i="9"/>
  <c r="BC351" i="9"/>
  <c r="BC352" i="9"/>
  <c r="Z346" i="9"/>
  <c r="Z347" i="9"/>
  <c r="P346" i="9"/>
  <c r="P347" i="9"/>
  <c r="BC346" i="9"/>
  <c r="BC347" i="9"/>
  <c r="AN346" i="9"/>
  <c r="AN347" i="9"/>
  <c r="BA346" i="9"/>
  <c r="BA347" i="9"/>
  <c r="BN346" i="9"/>
  <c r="BN347" i="9"/>
  <c r="BJ346" i="9"/>
  <c r="BJ347" i="9"/>
  <c r="AY346" i="9"/>
  <c r="AY347" i="9"/>
  <c r="U346" i="9"/>
  <c r="U347" i="9"/>
  <c r="BD346" i="9"/>
  <c r="BD347" i="9"/>
  <c r="AZ346" i="9"/>
  <c r="AZ347" i="9"/>
  <c r="BM346" i="9"/>
  <c r="BM347" i="9"/>
  <c r="AG346" i="9"/>
  <c r="AG347" i="9"/>
  <c r="BO346" i="9"/>
  <c r="BO347" i="9"/>
  <c r="BR346" i="9"/>
  <c r="BR347" i="9"/>
  <c r="AS346" i="9"/>
  <c r="AS347" i="9"/>
  <c r="AM346" i="9"/>
  <c r="AM347" i="9"/>
  <c r="M346" i="9"/>
  <c r="M347" i="9"/>
  <c r="AF346" i="9"/>
  <c r="AF347" i="9"/>
  <c r="W346" i="9"/>
  <c r="W347" i="9"/>
  <c r="AD346" i="9"/>
  <c r="AD347" i="9"/>
  <c r="BS346" i="9"/>
  <c r="BS347" i="9"/>
  <c r="BH346" i="9"/>
  <c r="BH347" i="9"/>
  <c r="AU346" i="9"/>
  <c r="AU347" i="9"/>
  <c r="AE346" i="9"/>
  <c r="AE347" i="9"/>
  <c r="S346" i="9"/>
  <c r="S347" i="9"/>
  <c r="AB346" i="9"/>
  <c r="AB347" i="9"/>
  <c r="T346" i="9"/>
  <c r="T347" i="9"/>
  <c r="BI346" i="9"/>
  <c r="BI347" i="9"/>
  <c r="BK346" i="9"/>
  <c r="BK347" i="9"/>
  <c r="AP346" i="9"/>
  <c r="AP347" i="9"/>
  <c r="R346" i="9"/>
  <c r="R347" i="9"/>
  <c r="AK346" i="9"/>
  <c r="AK347" i="9"/>
  <c r="BL346" i="9"/>
  <c r="BL347" i="9"/>
  <c r="O346" i="9"/>
  <c r="O347" i="9"/>
  <c r="AA346" i="9"/>
  <c r="AA347" i="9"/>
  <c r="AX346" i="9"/>
  <c r="AX347" i="9"/>
  <c r="BB346" i="9"/>
  <c r="BB347" i="9"/>
  <c r="V346" i="9"/>
  <c r="V347" i="9"/>
  <c r="BQ346" i="9"/>
  <c r="BQ347" i="9"/>
  <c r="N346" i="9"/>
  <c r="N347" i="9"/>
  <c r="Q346" i="9"/>
  <c r="Q347" i="9"/>
  <c r="BE346" i="9"/>
  <c r="BE347" i="9"/>
  <c r="AI346" i="9"/>
  <c r="AI347" i="9"/>
  <c r="BF346" i="9"/>
  <c r="BF347" i="9"/>
  <c r="AL346" i="9"/>
  <c r="AL347" i="9"/>
  <c r="Y346" i="9"/>
  <c r="Y347" i="9"/>
  <c r="BP346" i="9"/>
  <c r="BP347" i="9"/>
  <c r="AJ346" i="9"/>
  <c r="AJ347" i="9"/>
  <c r="AO346" i="9"/>
  <c r="AO347" i="9"/>
  <c r="AH346" i="9"/>
  <c r="AH347" i="9"/>
  <c r="BG346" i="9"/>
  <c r="BG347" i="9"/>
  <c r="AW346" i="9"/>
  <c r="AW347" i="9"/>
  <c r="AT346" i="9"/>
  <c r="AT347" i="9"/>
  <c r="AR346" i="9"/>
  <c r="AR347" i="9"/>
  <c r="AQ346" i="9"/>
  <c r="AQ347" i="9"/>
  <c r="AC346" i="9"/>
  <c r="AC347" i="9"/>
  <c r="X346" i="9"/>
  <c r="X347" i="9"/>
  <c r="AV346" i="9"/>
  <c r="AV347" i="9"/>
  <c r="L341" i="9"/>
  <c r="L342" i="9"/>
  <c r="I342" i="9" s="1"/>
  <c r="Z343" i="9"/>
  <c r="AV343" i="9"/>
  <c r="AU343" i="9"/>
  <c r="BH343" i="9"/>
  <c r="Y343" i="9"/>
  <c r="AL343" i="9"/>
  <c r="L336" i="9"/>
  <c r="L337" i="9"/>
  <c r="L327" i="9"/>
  <c r="R343" i="9"/>
  <c r="BG343" i="9"/>
  <c r="BD343" i="9"/>
  <c r="BJ343" i="9"/>
  <c r="AE343" i="9"/>
  <c r="AY343" i="9"/>
  <c r="AD343" i="9"/>
  <c r="BN343" i="9"/>
  <c r="AI343" i="9"/>
  <c r="AX343" i="9"/>
  <c r="AS343" i="9"/>
  <c r="AO343" i="9"/>
  <c r="BM343" i="9"/>
  <c r="BQ343" i="9"/>
  <c r="AQ343" i="9"/>
  <c r="AR343" i="9"/>
  <c r="Q343" i="9"/>
  <c r="BS343" i="9"/>
  <c r="P343" i="9"/>
  <c r="V343" i="9"/>
  <c r="AH343" i="9"/>
  <c r="T343" i="9"/>
  <c r="AZ338" i="9"/>
  <c r="BA343" i="9"/>
  <c r="BL343" i="9"/>
  <c r="S343" i="9"/>
  <c r="AT343" i="9"/>
  <c r="AB343" i="9"/>
  <c r="BO343" i="9"/>
  <c r="P338" i="9"/>
  <c r="AY338" i="9"/>
  <c r="BD338" i="9"/>
  <c r="S338" i="9"/>
  <c r="AO338" i="9"/>
  <c r="AC343" i="9"/>
  <c r="BC343" i="9"/>
  <c r="O343" i="9"/>
  <c r="BI343" i="9"/>
  <c r="AJ343" i="9"/>
  <c r="AW343" i="9"/>
  <c r="BK343" i="9"/>
  <c r="BP343" i="9"/>
  <c r="AP343" i="9"/>
  <c r="U343" i="9"/>
  <c r="AN343" i="9"/>
  <c r="BE343" i="9"/>
  <c r="BF343" i="9"/>
  <c r="BB343" i="9"/>
  <c r="M343" i="9"/>
  <c r="I324" i="9"/>
  <c r="L328" i="9"/>
  <c r="AB338" i="9"/>
  <c r="AF343" i="9"/>
  <c r="AK338" i="9"/>
  <c r="AA338" i="9"/>
  <c r="BJ338" i="9"/>
  <c r="N338" i="9"/>
  <c r="BR338" i="9"/>
  <c r="AL338" i="9"/>
  <c r="AR338" i="9"/>
  <c r="X338" i="9"/>
  <c r="BI338" i="9"/>
  <c r="W343" i="9"/>
  <c r="AK343" i="9"/>
  <c r="N343" i="9"/>
  <c r="AA343" i="9"/>
  <c r="AG343" i="9"/>
  <c r="AZ343" i="9"/>
  <c r="AM343" i="9"/>
  <c r="X343" i="9"/>
  <c r="BR343" i="9"/>
  <c r="AM338" i="9"/>
  <c r="BG338" i="9"/>
  <c r="BB338" i="9"/>
  <c r="BH338" i="9"/>
  <c r="T338" i="9"/>
  <c r="V338" i="9"/>
  <c r="BM338" i="9"/>
  <c r="AW338" i="9"/>
  <c r="AC338" i="9"/>
  <c r="BO338" i="9"/>
  <c r="W338" i="9"/>
  <c r="AT338" i="9"/>
  <c r="BS338" i="9"/>
  <c r="AU338" i="9"/>
  <c r="AE338" i="9"/>
  <c r="BA329" i="9"/>
  <c r="BB329" i="9"/>
  <c r="BF329" i="9"/>
  <c r="AM329" i="9"/>
  <c r="AW329" i="9"/>
  <c r="AB329" i="9"/>
  <c r="AC329" i="9"/>
  <c r="AV329" i="9"/>
  <c r="Z338" i="9"/>
  <c r="R338" i="9"/>
  <c r="BC338" i="9"/>
  <c r="BL329" i="9"/>
  <c r="U329" i="9"/>
  <c r="BQ338" i="9"/>
  <c r="Q329" i="9"/>
  <c r="AG329" i="9"/>
  <c r="AI338" i="9"/>
  <c r="BR329" i="9"/>
  <c r="AO329" i="9"/>
  <c r="AD338" i="9"/>
  <c r="BS329" i="9"/>
  <c r="AU329" i="9"/>
  <c r="AQ338" i="9"/>
  <c r="BI329" i="9"/>
  <c r="BP329" i="9"/>
  <c r="AF329" i="9"/>
  <c r="BH329" i="9"/>
  <c r="AE329" i="9"/>
  <c r="AP329" i="9"/>
  <c r="P329" i="9"/>
  <c r="R329" i="9"/>
  <c r="AK329" i="9"/>
  <c r="AN329" i="9"/>
  <c r="BL338" i="9"/>
  <c r="O338" i="9"/>
  <c r="BN338" i="9"/>
  <c r="AA329" i="9"/>
  <c r="AY329" i="9"/>
  <c r="BD329" i="9"/>
  <c r="BQ329" i="9"/>
  <c r="N329" i="9"/>
  <c r="Q338" i="9"/>
  <c r="BE329" i="9"/>
  <c r="AI329" i="9"/>
  <c r="AS338" i="9"/>
  <c r="AL329" i="9"/>
  <c r="M329" i="9"/>
  <c r="BP338" i="9"/>
  <c r="AJ338" i="9"/>
  <c r="AH329" i="9"/>
  <c r="BG329" i="9"/>
  <c r="AR329" i="9"/>
  <c r="S329" i="9"/>
  <c r="AQ329" i="9"/>
  <c r="T329" i="9"/>
  <c r="X329" i="9"/>
  <c r="BK338" i="9"/>
  <c r="AX329" i="9"/>
  <c r="V329" i="9"/>
  <c r="AZ329" i="9"/>
  <c r="AT329" i="9"/>
  <c r="I318" i="9"/>
  <c r="Z329" i="9"/>
  <c r="AP338" i="9"/>
  <c r="BC329" i="9"/>
  <c r="AN338" i="9"/>
  <c r="BA338" i="9"/>
  <c r="O329" i="9"/>
  <c r="BN329" i="9"/>
  <c r="BJ329" i="9"/>
  <c r="AX338" i="9"/>
  <c r="U338" i="9"/>
  <c r="BM329" i="9"/>
  <c r="AG338" i="9"/>
  <c r="BE338" i="9"/>
  <c r="BO329" i="9"/>
  <c r="BF338" i="9"/>
  <c r="AS329" i="9"/>
  <c r="Y329" i="9"/>
  <c r="M338" i="9"/>
  <c r="AF338" i="9"/>
  <c r="AJ329" i="9"/>
  <c r="W329" i="9"/>
  <c r="AD329" i="9"/>
  <c r="AH338" i="9"/>
  <c r="AV338" i="9"/>
  <c r="BK329" i="9"/>
  <c r="I525" i="9"/>
  <c r="L533" i="9"/>
  <c r="W336" i="8"/>
  <c r="W337" i="8" s="1"/>
  <c r="X334" i="8" s="1"/>
  <c r="W330" i="8"/>
  <c r="W331" i="8" s="1"/>
  <c r="X328" i="8" s="1"/>
  <c r="S340" i="8"/>
  <c r="AD339" i="5"/>
  <c r="AD340" i="5" s="1"/>
  <c r="AE337" i="5" s="1"/>
  <c r="AD345" i="5"/>
  <c r="AD346" i="5" s="1"/>
  <c r="AE343" i="5" s="1"/>
  <c r="W333" i="5"/>
  <c r="W349" i="5" s="1"/>
  <c r="AR413" i="5"/>
  <c r="AB302" i="23" l="1"/>
  <c r="AB328" i="23" s="1"/>
  <c r="AB317" i="23"/>
  <c r="AB277" i="23"/>
  <c r="AB280" i="23"/>
  <c r="AB282" i="23" s="1"/>
  <c r="AB286" i="23" s="1"/>
  <c r="AB288" i="23" s="1"/>
  <c r="AB289" i="23" s="1"/>
  <c r="AB293" i="23"/>
  <c r="AB258" i="23"/>
  <c r="AC256" i="23" s="1"/>
  <c r="N385" i="18"/>
  <c r="O382" i="18" s="1"/>
  <c r="I472" i="18"/>
  <c r="U385" i="20"/>
  <c r="U386" i="20" s="1"/>
  <c r="V383" i="20" s="1"/>
  <c r="U379" i="20"/>
  <c r="U380" i="20" s="1"/>
  <c r="V377" i="20" s="1"/>
  <c r="R389" i="20"/>
  <c r="U396" i="18"/>
  <c r="U397" i="18" s="1"/>
  <c r="V394" i="18" s="1"/>
  <c r="U390" i="18"/>
  <c r="U391" i="18" s="1"/>
  <c r="V388" i="18" s="1"/>
  <c r="L383" i="9"/>
  <c r="L384" i="9" s="1"/>
  <c r="M381" i="9" s="1"/>
  <c r="M383" i="9" s="1"/>
  <c r="AB388" i="11"/>
  <c r="AB389" i="11" s="1"/>
  <c r="AC386" i="11" s="1"/>
  <c r="AB382" i="11"/>
  <c r="AB383" i="11" s="1"/>
  <c r="AC380" i="11" s="1"/>
  <c r="U377" i="11"/>
  <c r="V374" i="11" s="1"/>
  <c r="V376" i="11" s="1"/>
  <c r="T345" i="10"/>
  <c r="T346" i="10" s="1"/>
  <c r="U343" i="10" s="1"/>
  <c r="T339" i="10"/>
  <c r="T340" i="10" s="1"/>
  <c r="U337" i="10" s="1"/>
  <c r="Q349" i="10"/>
  <c r="L536" i="9"/>
  <c r="I536" i="9" s="1"/>
  <c r="I538" i="9"/>
  <c r="I533" i="9"/>
  <c r="L535" i="9"/>
  <c r="I535" i="9" s="1"/>
  <c r="I545" i="9" s="1"/>
  <c r="L371" i="9"/>
  <c r="L377" i="9"/>
  <c r="L378" i="9" s="1"/>
  <c r="M375" i="9" s="1"/>
  <c r="M377" i="9" s="1"/>
  <c r="L351" i="9"/>
  <c r="L352" i="9"/>
  <c r="I352" i="9" s="1"/>
  <c r="L346" i="9"/>
  <c r="L347" i="9"/>
  <c r="I347" i="9" s="1"/>
  <c r="BO348" i="9"/>
  <c r="BP348" i="9"/>
  <c r="BS348" i="9"/>
  <c r="BQ348" i="9"/>
  <c r="BR348" i="9"/>
  <c r="BM348" i="9"/>
  <c r="BL348" i="9"/>
  <c r="BN348" i="9"/>
  <c r="BM353" i="9"/>
  <c r="AX353" i="9"/>
  <c r="AI353" i="9"/>
  <c r="Q353" i="9"/>
  <c r="U353" i="9"/>
  <c r="AR353" i="9"/>
  <c r="X353" i="9"/>
  <c r="Y353" i="9"/>
  <c r="T353" i="9"/>
  <c r="N353" i="9"/>
  <c r="AS353" i="9"/>
  <c r="W353" i="9"/>
  <c r="AZ353" i="9"/>
  <c r="BB353" i="9"/>
  <c r="AP353" i="9"/>
  <c r="BQ353" i="9"/>
  <c r="BC353" i="9"/>
  <c r="O353" i="9"/>
  <c r="AC353" i="9"/>
  <c r="BF353" i="9"/>
  <c r="AA353" i="9"/>
  <c r="S353" i="9"/>
  <c r="AM353" i="9"/>
  <c r="AG353" i="9"/>
  <c r="AT353" i="9"/>
  <c r="AF353" i="9"/>
  <c r="Z353" i="9"/>
  <c r="BO353" i="9"/>
  <c r="BS353" i="9"/>
  <c r="AN353" i="9"/>
  <c r="AE353" i="9"/>
  <c r="BD353" i="9"/>
  <c r="AJ353" i="9"/>
  <c r="R353" i="9"/>
  <c r="BP353" i="9"/>
  <c r="AD353" i="9"/>
  <c r="BJ353" i="9"/>
  <c r="BK353" i="9"/>
  <c r="P353" i="9"/>
  <c r="AB353" i="9"/>
  <c r="BL353" i="9"/>
  <c r="BN353" i="9"/>
  <c r="BG353" i="9"/>
  <c r="AH353" i="9"/>
  <c r="M353" i="9"/>
  <c r="L343" i="9"/>
  <c r="I343" i="9" s="1"/>
  <c r="I341" i="9"/>
  <c r="AQ353" i="9"/>
  <c r="AW353" i="9"/>
  <c r="BE353" i="9"/>
  <c r="AL353" i="9"/>
  <c r="BH353" i="9"/>
  <c r="AU353" i="9"/>
  <c r="V353" i="9"/>
  <c r="BA353" i="9"/>
  <c r="BI353" i="9"/>
  <c r="I328" i="9"/>
  <c r="BR353" i="9"/>
  <c r="AO353" i="9"/>
  <c r="AY353" i="9"/>
  <c r="AK353" i="9"/>
  <c r="AV353" i="9"/>
  <c r="U348" i="9"/>
  <c r="O348" i="9"/>
  <c r="Z348" i="9"/>
  <c r="N348" i="9"/>
  <c r="AA348" i="9"/>
  <c r="R348" i="9"/>
  <c r="Y348" i="9"/>
  <c r="M348" i="9"/>
  <c r="AK348" i="9"/>
  <c r="AC348" i="9"/>
  <c r="AT348" i="9"/>
  <c r="BD348" i="9"/>
  <c r="AN348" i="9"/>
  <c r="AM348" i="9"/>
  <c r="BF348" i="9"/>
  <c r="AD348" i="9"/>
  <c r="AG348" i="9"/>
  <c r="W348" i="9"/>
  <c r="BC348" i="9"/>
  <c r="AH348" i="9"/>
  <c r="AL348" i="9"/>
  <c r="AI348" i="9"/>
  <c r="AY348" i="9"/>
  <c r="AU348" i="9"/>
  <c r="BB348" i="9"/>
  <c r="BK348" i="9"/>
  <c r="I337" i="9"/>
  <c r="AJ348" i="9"/>
  <c r="I336" i="9"/>
  <c r="L338" i="9"/>
  <c r="I338" i="9" s="1"/>
  <c r="BQ433" i="9"/>
  <c r="BQ449" i="9" s="1"/>
  <c r="BA433" i="9"/>
  <c r="BA449" i="9" s="1"/>
  <c r="AK433" i="9"/>
  <c r="AK449" i="9" s="1"/>
  <c r="U433" i="9"/>
  <c r="U449" i="9" s="1"/>
  <c r="BL433" i="9"/>
  <c r="BL449" i="9" s="1"/>
  <c r="AV433" i="9"/>
  <c r="AV449" i="9" s="1"/>
  <c r="AF433" i="9"/>
  <c r="AF449" i="9" s="1"/>
  <c r="P433" i="9"/>
  <c r="P449" i="9" s="1"/>
  <c r="BC433" i="9"/>
  <c r="BC449" i="9" s="1"/>
  <c r="AM433" i="9"/>
  <c r="AM449" i="9" s="1"/>
  <c r="W433" i="9"/>
  <c r="W449" i="9" s="1"/>
  <c r="BR433" i="9"/>
  <c r="BR449" i="9" s="1"/>
  <c r="BB433" i="9"/>
  <c r="BB449" i="9" s="1"/>
  <c r="AL433" i="9"/>
  <c r="AL449" i="9" s="1"/>
  <c r="V433" i="9"/>
  <c r="V449" i="9" s="1"/>
  <c r="BS433" i="9"/>
  <c r="BS449" i="9" s="1"/>
  <c r="AO433" i="9"/>
  <c r="AO449" i="9" s="1"/>
  <c r="BP433" i="9"/>
  <c r="BP449" i="9" s="1"/>
  <c r="BG433" i="9"/>
  <c r="BG449" i="9" s="1"/>
  <c r="AA433" i="9"/>
  <c r="AA449" i="9" s="1"/>
  <c r="AP433" i="9"/>
  <c r="AP449" i="9" s="1"/>
  <c r="BM433" i="9"/>
  <c r="BM449" i="9" s="1"/>
  <c r="AW433" i="9"/>
  <c r="AW449" i="9" s="1"/>
  <c r="AG433" i="9"/>
  <c r="AG449" i="9" s="1"/>
  <c r="Q433" i="9"/>
  <c r="Q449" i="9" s="1"/>
  <c r="BH433" i="9"/>
  <c r="BH449" i="9" s="1"/>
  <c r="AR433" i="9"/>
  <c r="AR449" i="9" s="1"/>
  <c r="AB433" i="9"/>
  <c r="AB449" i="9" s="1"/>
  <c r="BO433" i="9"/>
  <c r="BO449" i="9" s="1"/>
  <c r="AY433" i="9"/>
  <c r="AY449" i="9" s="1"/>
  <c r="AI433" i="9"/>
  <c r="AI449" i="9" s="1"/>
  <c r="S433" i="9"/>
  <c r="S449" i="9" s="1"/>
  <c r="BN433" i="9"/>
  <c r="BN449" i="9" s="1"/>
  <c r="AX433" i="9"/>
  <c r="AX449" i="9" s="1"/>
  <c r="AH433" i="9"/>
  <c r="AH449" i="9" s="1"/>
  <c r="R433" i="9"/>
  <c r="R449" i="9" s="1"/>
  <c r="AJ433" i="9"/>
  <c r="AJ449" i="9" s="1"/>
  <c r="BF433" i="9"/>
  <c r="BF449" i="9" s="1"/>
  <c r="BI433" i="9"/>
  <c r="BI449" i="9" s="1"/>
  <c r="AS433" i="9"/>
  <c r="AS449" i="9" s="1"/>
  <c r="AC433" i="9"/>
  <c r="AC449" i="9" s="1"/>
  <c r="M433" i="9"/>
  <c r="M449" i="9" s="1"/>
  <c r="BD433" i="9"/>
  <c r="BD449" i="9" s="1"/>
  <c r="AN433" i="9"/>
  <c r="AN449" i="9" s="1"/>
  <c r="X433" i="9"/>
  <c r="X449" i="9" s="1"/>
  <c r="BK433" i="9"/>
  <c r="BK449" i="9" s="1"/>
  <c r="AU433" i="9"/>
  <c r="AU449" i="9" s="1"/>
  <c r="AE433" i="9"/>
  <c r="AE449" i="9" s="1"/>
  <c r="O433" i="9"/>
  <c r="O449" i="9" s="1"/>
  <c r="BJ433" i="9"/>
  <c r="BJ449" i="9" s="1"/>
  <c r="AT433" i="9"/>
  <c r="AT449" i="9" s="1"/>
  <c r="AD433" i="9"/>
  <c r="AD449" i="9" s="1"/>
  <c r="N433" i="9"/>
  <c r="N449" i="9" s="1"/>
  <c r="BE433" i="9"/>
  <c r="BE449" i="9" s="1"/>
  <c r="Y433" i="9"/>
  <c r="Y449" i="9" s="1"/>
  <c r="AZ433" i="9"/>
  <c r="AZ449" i="9" s="1"/>
  <c r="T433" i="9"/>
  <c r="T449" i="9" s="1"/>
  <c r="AQ433" i="9"/>
  <c r="AQ449" i="9" s="1"/>
  <c r="Z433" i="9"/>
  <c r="Z449" i="9" s="1"/>
  <c r="V348" i="9"/>
  <c r="X348" i="9"/>
  <c r="S348" i="9"/>
  <c r="AF348" i="9"/>
  <c r="Q348" i="9"/>
  <c r="AV348" i="9"/>
  <c r="AX348" i="9"/>
  <c r="AR348" i="9"/>
  <c r="P348" i="9"/>
  <c r="BI348" i="9"/>
  <c r="BA348" i="9"/>
  <c r="AS348" i="9"/>
  <c r="BJ348" i="9"/>
  <c r="I327" i="9"/>
  <c r="L329" i="9"/>
  <c r="I329" i="9" s="1"/>
  <c r="AZ348" i="9"/>
  <c r="T348" i="9"/>
  <c r="AQ348" i="9"/>
  <c r="BG348" i="9"/>
  <c r="BE348" i="9"/>
  <c r="AP348" i="9"/>
  <c r="AE348" i="9"/>
  <c r="BH348" i="9"/>
  <c r="AO348" i="9"/>
  <c r="AB348" i="9"/>
  <c r="AW348" i="9"/>
  <c r="X336" i="8"/>
  <c r="X337" i="8" s="1"/>
  <c r="Y334" i="8" s="1"/>
  <c r="X330" i="8"/>
  <c r="X331" i="8" s="1"/>
  <c r="Y328" i="8" s="1"/>
  <c r="S325" i="8"/>
  <c r="T322" i="8" s="1"/>
  <c r="T324" i="8" s="1"/>
  <c r="W334" i="5"/>
  <c r="X331" i="5" s="1"/>
  <c r="X333" i="5" s="1"/>
  <c r="X349" i="5" s="1"/>
  <c r="AE345" i="5"/>
  <c r="AE346" i="5" s="1"/>
  <c r="AF343" i="5" s="1"/>
  <c r="AE339" i="5"/>
  <c r="AE340" i="5" s="1"/>
  <c r="AF337" i="5" s="1"/>
  <c r="AS413" i="5"/>
  <c r="AB330" i="23" l="1"/>
  <c r="AB292" i="23"/>
  <c r="AB294" i="23" s="1"/>
  <c r="AB283" i="23"/>
  <c r="O384" i="18"/>
  <c r="O400" i="18" s="1"/>
  <c r="V385" i="20"/>
  <c r="V386" i="20" s="1"/>
  <c r="W383" i="20" s="1"/>
  <c r="V379" i="20"/>
  <c r="V380" i="20" s="1"/>
  <c r="W377" i="20" s="1"/>
  <c r="R374" i="20"/>
  <c r="S371" i="20" s="1"/>
  <c r="S373" i="20" s="1"/>
  <c r="V396" i="18"/>
  <c r="V397" i="18" s="1"/>
  <c r="W394" i="18" s="1"/>
  <c r="V390" i="18"/>
  <c r="V391" i="18" s="1"/>
  <c r="W388" i="18" s="1"/>
  <c r="I541" i="9"/>
  <c r="AC388" i="11"/>
  <c r="AC389" i="11" s="1"/>
  <c r="AD386" i="11" s="1"/>
  <c r="AC382" i="11"/>
  <c r="AC383" i="11" s="1"/>
  <c r="AD380" i="11" s="1"/>
  <c r="V392" i="11"/>
  <c r="U345" i="10"/>
  <c r="U346" i="10" s="1"/>
  <c r="V343" i="10" s="1"/>
  <c r="U339" i="10"/>
  <c r="U340" i="10" s="1"/>
  <c r="V337" i="10" s="1"/>
  <c r="Q334" i="10"/>
  <c r="R331" i="10" s="1"/>
  <c r="R333" i="10" s="1"/>
  <c r="I457" i="9"/>
  <c r="L353" i="9"/>
  <c r="I353" i="9" s="1"/>
  <c r="I351" i="9"/>
  <c r="M384" i="9"/>
  <c r="N381" i="9" s="1"/>
  <c r="N383" i="9" s="1"/>
  <c r="I431" i="9"/>
  <c r="L433" i="9"/>
  <c r="L387" i="9"/>
  <c r="L372" i="9"/>
  <c r="M369" i="9" s="1"/>
  <c r="M371" i="9" s="1"/>
  <c r="L348" i="9"/>
  <c r="I348" i="9" s="1"/>
  <c r="I346" i="9"/>
  <c r="M378" i="9"/>
  <c r="N375" i="9" s="1"/>
  <c r="N377" i="9" s="1"/>
  <c r="Y336" i="8"/>
  <c r="Y337" i="8" s="1"/>
  <c r="Z334" i="8" s="1"/>
  <c r="Y330" i="8"/>
  <c r="Y331" i="8" s="1"/>
  <c r="Z328" i="8" s="1"/>
  <c r="T340" i="8"/>
  <c r="AF339" i="5"/>
  <c r="AF340" i="5" s="1"/>
  <c r="AG337" i="5" s="1"/>
  <c r="X334" i="5"/>
  <c r="Y331" i="5" s="1"/>
  <c r="AF345" i="5"/>
  <c r="AF346" i="5" s="1"/>
  <c r="AG343" i="5" s="1"/>
  <c r="AT413" i="5"/>
  <c r="AB331" i="23" l="1"/>
  <c r="AC203" i="23"/>
  <c r="AB297" i="23"/>
  <c r="AB295" i="23"/>
  <c r="O385" i="18"/>
  <c r="P382" i="18" s="1"/>
  <c r="W385" i="20"/>
  <c r="W386" i="20" s="1"/>
  <c r="X383" i="20" s="1"/>
  <c r="W379" i="20"/>
  <c r="W380" i="20" s="1"/>
  <c r="X377" i="20" s="1"/>
  <c r="S389" i="20"/>
  <c r="W396" i="18"/>
  <c r="W397" i="18" s="1"/>
  <c r="X394" i="18" s="1"/>
  <c r="W390" i="18"/>
  <c r="W391" i="18" s="1"/>
  <c r="X388" i="18" s="1"/>
  <c r="AD388" i="11"/>
  <c r="AD389" i="11" s="1"/>
  <c r="AE386" i="11" s="1"/>
  <c r="AD382" i="11"/>
  <c r="AD383" i="11" s="1"/>
  <c r="AE380" i="11" s="1"/>
  <c r="V377" i="11"/>
  <c r="W374" i="11" s="1"/>
  <c r="W376" i="11" s="1"/>
  <c r="V345" i="10"/>
  <c r="V346" i="10" s="1"/>
  <c r="W343" i="10" s="1"/>
  <c r="V339" i="10"/>
  <c r="V340" i="10" s="1"/>
  <c r="W337" i="10" s="1"/>
  <c r="R349" i="10"/>
  <c r="N378" i="9"/>
  <c r="O375" i="9" s="1"/>
  <c r="O377" i="9" s="1"/>
  <c r="N384" i="9"/>
  <c r="O381" i="9" s="1"/>
  <c r="O383" i="9" s="1"/>
  <c r="I433" i="9"/>
  <c r="L449" i="9"/>
  <c r="M387" i="9"/>
  <c r="Z336" i="8"/>
  <c r="Z337" i="8" s="1"/>
  <c r="AA334" i="8" s="1"/>
  <c r="Z330" i="8"/>
  <c r="Z331" i="8" s="1"/>
  <c r="AA328" i="8" s="1"/>
  <c r="T325" i="8"/>
  <c r="U322" i="8" s="1"/>
  <c r="U324" i="8" s="1"/>
  <c r="AG345" i="5"/>
  <c r="AG346" i="5" s="1"/>
  <c r="AH343" i="5" s="1"/>
  <c r="AG339" i="5"/>
  <c r="AG340" i="5" s="1"/>
  <c r="AH337" i="5" s="1"/>
  <c r="Y333" i="5"/>
  <c r="Y349" i="5" s="1"/>
  <c r="AU413" i="5"/>
  <c r="AC262" i="23" l="1"/>
  <c r="AC264" i="23" s="1"/>
  <c r="AC268" i="23" s="1"/>
  <c r="AC311" i="23"/>
  <c r="AB299" i="23"/>
  <c r="AB303" i="23"/>
  <c r="AB334" i="23" s="1"/>
  <c r="AC225" i="23"/>
  <c r="AC227" i="23" s="1"/>
  <c r="AC231" i="23" s="1"/>
  <c r="AC233" i="23" s="1"/>
  <c r="AC237" i="23" s="1"/>
  <c r="AC239" i="23" s="1"/>
  <c r="L465" i="9" a="1"/>
  <c r="L465" i="9" s="1"/>
  <c r="I465" i="9" s="1"/>
  <c r="P384" i="18"/>
  <c r="P400" i="18" s="1"/>
  <c r="X385" i="20"/>
  <c r="X386" i="20" s="1"/>
  <c r="Y383" i="20" s="1"/>
  <c r="X379" i="20"/>
  <c r="X380" i="20" s="1"/>
  <c r="Y377" i="20" s="1"/>
  <c r="S374" i="20"/>
  <c r="T371" i="20" s="1"/>
  <c r="T373" i="20" s="1"/>
  <c r="X396" i="18"/>
  <c r="X397" i="18" s="1"/>
  <c r="Y394" i="18" s="1"/>
  <c r="X390" i="18"/>
  <c r="X391" i="18" s="1"/>
  <c r="Y388" i="18" s="1"/>
  <c r="AE388" i="11"/>
  <c r="AE389" i="11" s="1"/>
  <c r="AF386" i="11" s="1"/>
  <c r="AE382" i="11"/>
  <c r="AE383" i="11" s="1"/>
  <c r="AF380" i="11" s="1"/>
  <c r="W392" i="11"/>
  <c r="W345" i="10"/>
  <c r="W346" i="10" s="1"/>
  <c r="X343" i="10" s="1"/>
  <c r="W339" i="10"/>
  <c r="W340" i="10" s="1"/>
  <c r="X337" i="10" s="1"/>
  <c r="R334" i="10"/>
  <c r="S331" i="10" s="1"/>
  <c r="S333" i="10" s="1"/>
  <c r="I454" i="9"/>
  <c r="I456" i="9"/>
  <c r="L451" i="9"/>
  <c r="M451" i="9" s="1"/>
  <c r="N451" i="9" s="1"/>
  <c r="O451" i="9" s="1"/>
  <c r="P451" i="9" s="1"/>
  <c r="Q451" i="9" s="1"/>
  <c r="R451" i="9" s="1"/>
  <c r="S451" i="9" s="1"/>
  <c r="T451" i="9" s="1"/>
  <c r="U451" i="9" s="1"/>
  <c r="V451" i="9" s="1"/>
  <c r="W451" i="9" s="1"/>
  <c r="X451" i="9" s="1"/>
  <c r="Y451" i="9" s="1"/>
  <c r="Z451" i="9" s="1"/>
  <c r="AA451" i="9" s="1"/>
  <c r="AB451" i="9" s="1"/>
  <c r="AC451" i="9" s="1"/>
  <c r="AD451" i="9" s="1"/>
  <c r="AE451" i="9" s="1"/>
  <c r="AF451" i="9" s="1"/>
  <c r="AG451" i="9" s="1"/>
  <c r="AH451" i="9" s="1"/>
  <c r="AI451" i="9" s="1"/>
  <c r="AJ451" i="9" s="1"/>
  <c r="AK451" i="9" s="1"/>
  <c r="AL451" i="9" s="1"/>
  <c r="AM451" i="9" s="1"/>
  <c r="AN451" i="9" s="1"/>
  <c r="AO451" i="9" s="1"/>
  <c r="AP451" i="9" s="1"/>
  <c r="AQ451" i="9" s="1"/>
  <c r="AR451" i="9" s="1"/>
  <c r="AS451" i="9" s="1"/>
  <c r="AT451" i="9" s="1"/>
  <c r="AU451" i="9" s="1"/>
  <c r="AV451" i="9" s="1"/>
  <c r="AW451" i="9" s="1"/>
  <c r="AX451" i="9" s="1"/>
  <c r="AY451" i="9" s="1"/>
  <c r="AZ451" i="9" s="1"/>
  <c r="BA451" i="9" s="1"/>
  <c r="BB451" i="9" s="1"/>
  <c r="BC451" i="9" s="1"/>
  <c r="BD451" i="9" s="1"/>
  <c r="BE451" i="9" s="1"/>
  <c r="BF451" i="9" s="1"/>
  <c r="BG451" i="9" s="1"/>
  <c r="BH451" i="9" s="1"/>
  <c r="BI451" i="9" s="1"/>
  <c r="BJ451" i="9" s="1"/>
  <c r="BK451" i="9" s="1"/>
  <c r="BL451" i="9" s="1"/>
  <c r="BM451" i="9" s="1"/>
  <c r="BN451" i="9" s="1"/>
  <c r="BO451" i="9" s="1"/>
  <c r="BP451" i="9" s="1"/>
  <c r="BQ451" i="9" s="1"/>
  <c r="BR451" i="9" s="1"/>
  <c r="BS451" i="9" s="1"/>
  <c r="I453" i="9"/>
  <c r="O378" i="9"/>
  <c r="P375" i="9" s="1"/>
  <c r="P377" i="9" s="1"/>
  <c r="O384" i="9"/>
  <c r="P381" i="9" s="1"/>
  <c r="P383" i="9" s="1"/>
  <c r="I449" i="9"/>
  <c r="F533" i="9" s="1"/>
  <c r="M372" i="9"/>
  <c r="N369" i="9" s="1"/>
  <c r="N371" i="9" s="1"/>
  <c r="AA336" i="8"/>
  <c r="AA337" i="8" s="1"/>
  <c r="AB334" i="8" s="1"/>
  <c r="AA330" i="8"/>
  <c r="AA331" i="8" s="1"/>
  <c r="AB328" i="8" s="1"/>
  <c r="U340" i="8"/>
  <c r="AH345" i="5"/>
  <c r="AH346" i="5" s="1"/>
  <c r="AI343" i="5" s="1"/>
  <c r="AH339" i="5"/>
  <c r="AH340" i="5" s="1"/>
  <c r="AI337" i="5" s="1"/>
  <c r="Y334" i="5"/>
  <c r="Z331" i="5" s="1"/>
  <c r="AV413" i="5"/>
  <c r="AB340" i="23" l="1"/>
  <c r="AB336" i="23"/>
  <c r="AB322" i="23"/>
  <c r="AC313" i="23"/>
  <c r="AC315" i="23"/>
  <c r="AB305" i="23"/>
  <c r="AB306" i="23" s="1"/>
  <c r="AC243" i="23"/>
  <c r="AC245" i="23" s="1"/>
  <c r="AC281" i="23" s="1"/>
  <c r="AC240" i="23"/>
  <c r="AD238" i="23" s="1"/>
  <c r="AC275" i="23"/>
  <c r="AC234" i="23"/>
  <c r="AD232" i="23" s="1"/>
  <c r="AC269" i="23"/>
  <c r="P385" i="18"/>
  <c r="Q382" i="18" s="1"/>
  <c r="Y385" i="20"/>
  <c r="Y386" i="20" s="1"/>
  <c r="Z383" i="20" s="1"/>
  <c r="Y379" i="20"/>
  <c r="Y380" i="20" s="1"/>
  <c r="Z377" i="20" s="1"/>
  <c r="T389" i="20"/>
  <c r="Y396" i="18"/>
  <c r="Y397" i="18" s="1"/>
  <c r="Z394" i="18" s="1"/>
  <c r="Y390" i="18"/>
  <c r="Y391" i="18" s="1"/>
  <c r="Z388" i="18" s="1"/>
  <c r="AF388" i="11"/>
  <c r="AF389" i="11" s="1"/>
  <c r="AG386" i="11" s="1"/>
  <c r="AF382" i="11"/>
  <c r="AF383" i="11" s="1"/>
  <c r="AG380" i="11" s="1"/>
  <c r="W377" i="11"/>
  <c r="X374" i="11" s="1"/>
  <c r="X376" i="11" s="1"/>
  <c r="X345" i="10"/>
  <c r="X346" i="10" s="1"/>
  <c r="Y343" i="10" s="1"/>
  <c r="X339" i="10"/>
  <c r="X340" i="10" s="1"/>
  <c r="Y337" i="10" s="1"/>
  <c r="S349" i="10"/>
  <c r="P378" i="9"/>
  <c r="Q375" i="9" s="1"/>
  <c r="Q377" i="9" s="1"/>
  <c r="P384" i="9"/>
  <c r="Q381" i="9" s="1"/>
  <c r="N372" i="9"/>
  <c r="O369" i="9" s="1"/>
  <c r="O371" i="9" s="1"/>
  <c r="N387" i="9"/>
  <c r="AB336" i="8"/>
  <c r="AB337" i="8" s="1"/>
  <c r="AC334" i="8" s="1"/>
  <c r="AB330" i="8"/>
  <c r="AB331" i="8" s="1"/>
  <c r="AC328" i="8" s="1"/>
  <c r="U325" i="8"/>
  <c r="V322" i="8" s="1"/>
  <c r="V324" i="8" s="1"/>
  <c r="AI339" i="5"/>
  <c r="AI340" i="5" s="1"/>
  <c r="AJ337" i="5" s="1"/>
  <c r="AI345" i="5"/>
  <c r="AI346" i="5" s="1"/>
  <c r="AJ343" i="5" s="1"/>
  <c r="Z333" i="5"/>
  <c r="Z349" i="5" s="1"/>
  <c r="AW413" i="5"/>
  <c r="AB342" i="23" l="1"/>
  <c r="AB343" i="23" s="1"/>
  <c r="AB337" i="23"/>
  <c r="AC319" i="23"/>
  <c r="AC321" i="23" s="1"/>
  <c r="AC255" i="23"/>
  <c r="AC257" i="23" s="1"/>
  <c r="AC246" i="23"/>
  <c r="AD244" i="23" s="1"/>
  <c r="AC249" i="23"/>
  <c r="AC251" i="23" s="1"/>
  <c r="AC287" i="23" s="1"/>
  <c r="AC270" i="23"/>
  <c r="AC271" i="23" s="1"/>
  <c r="Q384" i="18"/>
  <c r="Q400" i="18" s="1"/>
  <c r="Z385" i="20"/>
  <c r="Z386" i="20" s="1"/>
  <c r="AA383" i="20" s="1"/>
  <c r="Z379" i="20"/>
  <c r="Z380" i="20" s="1"/>
  <c r="AA377" i="20" s="1"/>
  <c r="T374" i="20"/>
  <c r="U371" i="20" s="1"/>
  <c r="U373" i="20" s="1"/>
  <c r="Z396" i="18"/>
  <c r="Z397" i="18" s="1"/>
  <c r="AA394" i="18" s="1"/>
  <c r="Z390" i="18"/>
  <c r="Z391" i="18" s="1"/>
  <c r="AA388" i="18" s="1"/>
  <c r="AG388" i="11"/>
  <c r="AG389" i="11" s="1"/>
  <c r="AH386" i="11" s="1"/>
  <c r="AG382" i="11"/>
  <c r="AG383" i="11" s="1"/>
  <c r="AH380" i="11" s="1"/>
  <c r="X392" i="11"/>
  <c r="Y345" i="10"/>
  <c r="Y346" i="10" s="1"/>
  <c r="Z343" i="10" s="1"/>
  <c r="Y339" i="10"/>
  <c r="Y340" i="10" s="1"/>
  <c r="Z337" i="10" s="1"/>
  <c r="S334" i="10"/>
  <c r="T331" i="10" s="1"/>
  <c r="T333" i="10" s="1"/>
  <c r="Q383" i="9"/>
  <c r="Q384" i="9" s="1"/>
  <c r="R381" i="9" s="1"/>
  <c r="Q378" i="9"/>
  <c r="R375" i="9" s="1"/>
  <c r="R377" i="9" s="1"/>
  <c r="I459" i="9"/>
  <c r="O387" i="9"/>
  <c r="AC336" i="8"/>
  <c r="AC337" i="8" s="1"/>
  <c r="AD334" i="8" s="1"/>
  <c r="AC330" i="8"/>
  <c r="AC331" i="8" s="1"/>
  <c r="AD328" i="8" s="1"/>
  <c r="V340" i="8"/>
  <c r="AJ345" i="5"/>
  <c r="AJ346" i="5" s="1"/>
  <c r="AK343" i="5" s="1"/>
  <c r="AJ339" i="5"/>
  <c r="AJ340" i="5" s="1"/>
  <c r="AK337" i="5" s="1"/>
  <c r="Z334" i="5"/>
  <c r="AA331" i="5" s="1"/>
  <c r="AX413" i="5"/>
  <c r="AB346" i="23" l="1"/>
  <c r="AB345" i="23"/>
  <c r="AC252" i="23"/>
  <c r="AD250" i="23" s="1"/>
  <c r="AC293" i="23"/>
  <c r="AC258" i="23"/>
  <c r="AD256" i="23" s="1"/>
  <c r="AC274" i="23"/>
  <c r="AC276" i="23" s="1"/>
  <c r="AC277" i="23" s="1"/>
  <c r="AC260" i="23"/>
  <c r="Q385" i="18"/>
  <c r="R382" i="18" s="1"/>
  <c r="AA385" i="20"/>
  <c r="AA386" i="20" s="1"/>
  <c r="AB383" i="20" s="1"/>
  <c r="AA379" i="20"/>
  <c r="AA380" i="20" s="1"/>
  <c r="AB377" i="20" s="1"/>
  <c r="U389" i="20"/>
  <c r="AA396" i="18"/>
  <c r="AA397" i="18" s="1"/>
  <c r="AB394" i="18" s="1"/>
  <c r="AA390" i="18"/>
  <c r="AA391" i="18" s="1"/>
  <c r="AB388" i="18" s="1"/>
  <c r="AH388" i="11"/>
  <c r="AH389" i="11" s="1"/>
  <c r="AI386" i="11" s="1"/>
  <c r="AH382" i="11"/>
  <c r="AH383" i="11" s="1"/>
  <c r="AI380" i="11" s="1"/>
  <c r="X377" i="11"/>
  <c r="Y374" i="11" s="1"/>
  <c r="Y376" i="11" s="1"/>
  <c r="Z345" i="10"/>
  <c r="Z346" i="10" s="1"/>
  <c r="AA343" i="10" s="1"/>
  <c r="Z339" i="10"/>
  <c r="Z340" i="10" s="1"/>
  <c r="AA337" i="10" s="1"/>
  <c r="T349" i="10"/>
  <c r="R383" i="9"/>
  <c r="R384" i="9" s="1"/>
  <c r="S381" i="9" s="1"/>
  <c r="R378" i="9"/>
  <c r="S375" i="9" s="1"/>
  <c r="S377" i="9" s="1"/>
  <c r="O372" i="9"/>
  <c r="P369" i="9" s="1"/>
  <c r="P371" i="9" s="1"/>
  <c r="AD336" i="8"/>
  <c r="AD337" i="8" s="1"/>
  <c r="AE334" i="8" s="1"/>
  <c r="AD330" i="8"/>
  <c r="AD331" i="8" s="1"/>
  <c r="AE328" i="8" s="1"/>
  <c r="V325" i="8"/>
  <c r="W322" i="8" s="1"/>
  <c r="W324" i="8" s="1"/>
  <c r="AK339" i="5"/>
  <c r="AK340" i="5" s="1"/>
  <c r="AL337" i="5" s="1"/>
  <c r="AK345" i="5"/>
  <c r="AK346" i="5" s="1"/>
  <c r="AL343" i="5" s="1"/>
  <c r="AA333" i="5"/>
  <c r="AA349" i="5" s="1"/>
  <c r="AY413" i="5"/>
  <c r="AC302" i="23" l="1"/>
  <c r="AC328" i="23" s="1"/>
  <c r="AC317" i="23"/>
  <c r="AC280" i="23"/>
  <c r="AC282" i="23" s="1"/>
  <c r="AC286" i="23" s="1"/>
  <c r="AC288" i="23" s="1"/>
  <c r="R384" i="18"/>
  <c r="R400" i="18" s="1"/>
  <c r="AB385" i="20"/>
  <c r="AB386" i="20" s="1"/>
  <c r="AC383" i="20" s="1"/>
  <c r="AB379" i="20"/>
  <c r="AB380" i="20" s="1"/>
  <c r="AC377" i="20" s="1"/>
  <c r="U374" i="20"/>
  <c r="V371" i="20" s="1"/>
  <c r="V373" i="20" s="1"/>
  <c r="AB396" i="18"/>
  <c r="AB397" i="18" s="1"/>
  <c r="AC394" i="18" s="1"/>
  <c r="AB390" i="18"/>
  <c r="AB391" i="18" s="1"/>
  <c r="AC388" i="18" s="1"/>
  <c r="AI388" i="11"/>
  <c r="AI389" i="11" s="1"/>
  <c r="AJ386" i="11" s="1"/>
  <c r="AI382" i="11"/>
  <c r="AI383" i="11" s="1"/>
  <c r="AJ380" i="11" s="1"/>
  <c r="Y392" i="11"/>
  <c r="AA345" i="10"/>
  <c r="AA346" i="10" s="1"/>
  <c r="AB343" i="10" s="1"/>
  <c r="AA339" i="10"/>
  <c r="AA340" i="10" s="1"/>
  <c r="AB337" i="10" s="1"/>
  <c r="T334" i="10"/>
  <c r="U331" i="10" s="1"/>
  <c r="U333" i="10" s="1"/>
  <c r="S383" i="9"/>
  <c r="S378" i="9"/>
  <c r="T375" i="9" s="1"/>
  <c r="T377" i="9" s="1"/>
  <c r="P387" i="9"/>
  <c r="AE336" i="8"/>
  <c r="AE337" i="8" s="1"/>
  <c r="AF334" i="8" s="1"/>
  <c r="AE330" i="8"/>
  <c r="AE331" i="8" s="1"/>
  <c r="AF328" i="8" s="1"/>
  <c r="W340" i="8"/>
  <c r="AL345" i="5"/>
  <c r="AL346" i="5" s="1"/>
  <c r="AM343" i="5" s="1"/>
  <c r="AL339" i="5"/>
  <c r="AL340" i="5" s="1"/>
  <c r="AM337" i="5" s="1"/>
  <c r="AA334" i="5"/>
  <c r="AB331" i="5" s="1"/>
  <c r="AZ413" i="5"/>
  <c r="S384" i="9" l="1"/>
  <c r="AC330" i="23"/>
  <c r="AC292" i="23"/>
  <c r="AC294" i="23" s="1"/>
  <c r="AC295" i="23" s="1"/>
  <c r="AC283" i="23"/>
  <c r="AC289" i="23"/>
  <c r="R385" i="18"/>
  <c r="S382" i="18" s="1"/>
  <c r="AC385" i="20"/>
  <c r="AC386" i="20" s="1"/>
  <c r="AD383" i="20" s="1"/>
  <c r="AC379" i="20"/>
  <c r="AC380" i="20" s="1"/>
  <c r="AD377" i="20" s="1"/>
  <c r="V389" i="20"/>
  <c r="AC396" i="18"/>
  <c r="AC397" i="18" s="1"/>
  <c r="AD394" i="18" s="1"/>
  <c r="AC390" i="18"/>
  <c r="AC391" i="18" s="1"/>
  <c r="AD388" i="18" s="1"/>
  <c r="AJ388" i="11"/>
  <c r="AJ389" i="11" s="1"/>
  <c r="AK386" i="11" s="1"/>
  <c r="AJ382" i="11"/>
  <c r="AJ383" i="11" s="1"/>
  <c r="AK380" i="11" s="1"/>
  <c r="Y377" i="11"/>
  <c r="Z374" i="11" s="1"/>
  <c r="Z376" i="11" s="1"/>
  <c r="AB345" i="10"/>
  <c r="AB346" i="10" s="1"/>
  <c r="AC343" i="10" s="1"/>
  <c r="AB339" i="10"/>
  <c r="AB340" i="10" s="1"/>
  <c r="AC337" i="10" s="1"/>
  <c r="U349" i="10"/>
  <c r="U334" i="10"/>
  <c r="V331" i="10" s="1"/>
  <c r="T378" i="9"/>
  <c r="U375" i="9" s="1"/>
  <c r="U377" i="9" s="1"/>
  <c r="P372" i="9"/>
  <c r="Q369" i="9" s="1"/>
  <c r="Q371" i="9" s="1"/>
  <c r="AF336" i="8"/>
  <c r="AF337" i="8" s="1"/>
  <c r="AG334" i="8" s="1"/>
  <c r="AF330" i="8"/>
  <c r="AF331" i="8" s="1"/>
  <c r="AG328" i="8" s="1"/>
  <c r="W325" i="8"/>
  <c r="X322" i="8" s="1"/>
  <c r="X324" i="8" s="1"/>
  <c r="AM339" i="5"/>
  <c r="AM340" i="5" s="1"/>
  <c r="AN337" i="5" s="1"/>
  <c r="AM345" i="5"/>
  <c r="AM346" i="5" s="1"/>
  <c r="AN343" i="5" s="1"/>
  <c r="AB333" i="5"/>
  <c r="AB349" i="5" s="1"/>
  <c r="BA413" i="5"/>
  <c r="T381" i="9" l="1"/>
  <c r="AC331" i="23"/>
  <c r="AC297" i="23"/>
  <c r="AD203" i="23"/>
  <c r="S384" i="18"/>
  <c r="S400" i="18" s="1"/>
  <c r="AD385" i="20"/>
  <c r="AD386" i="20" s="1"/>
  <c r="AE383" i="20" s="1"/>
  <c r="AD379" i="20"/>
  <c r="AD380" i="20" s="1"/>
  <c r="AE377" i="20" s="1"/>
  <c r="V374" i="20"/>
  <c r="W371" i="20" s="1"/>
  <c r="W373" i="20" s="1"/>
  <c r="AD396" i="18"/>
  <c r="AD397" i="18" s="1"/>
  <c r="AE394" i="18" s="1"/>
  <c r="AD390" i="18"/>
  <c r="AD391" i="18" s="1"/>
  <c r="AE388" i="18" s="1"/>
  <c r="AK388" i="11"/>
  <c r="AK389" i="11" s="1"/>
  <c r="AL386" i="11" s="1"/>
  <c r="AK382" i="11"/>
  <c r="AK383" i="11" s="1"/>
  <c r="AL380" i="11" s="1"/>
  <c r="Z392" i="11"/>
  <c r="AC345" i="10"/>
  <c r="AC346" i="10" s="1"/>
  <c r="AD343" i="10" s="1"/>
  <c r="AC339" i="10"/>
  <c r="AC340" i="10" s="1"/>
  <c r="AD337" i="10" s="1"/>
  <c r="V333" i="10"/>
  <c r="V349" i="10" s="1"/>
  <c r="U378" i="9"/>
  <c r="V375" i="9" s="1"/>
  <c r="V377" i="9" s="1"/>
  <c r="Q372" i="9"/>
  <c r="R369" i="9" s="1"/>
  <c r="R371" i="9" s="1"/>
  <c r="Q387" i="9"/>
  <c r="AG336" i="8"/>
  <c r="AG337" i="8" s="1"/>
  <c r="AH334" i="8" s="1"/>
  <c r="AG330" i="8"/>
  <c r="AG331" i="8" s="1"/>
  <c r="AH328" i="8" s="1"/>
  <c r="X340" i="8"/>
  <c r="AN345" i="5"/>
  <c r="AN346" i="5" s="1"/>
  <c r="AO343" i="5" s="1"/>
  <c r="AN339" i="5"/>
  <c r="AN340" i="5" s="1"/>
  <c r="AO337" i="5" s="1"/>
  <c r="AB334" i="5"/>
  <c r="AC331" i="5" s="1"/>
  <c r="BB413" i="5"/>
  <c r="T383" i="9" l="1"/>
  <c r="AD262" i="23"/>
  <c r="AD264" i="23" s="1"/>
  <c r="AD268" i="23" s="1"/>
  <c r="AD311" i="23"/>
  <c r="AC299" i="23"/>
  <c r="AC303" i="23"/>
  <c r="AC334" i="23" s="1"/>
  <c r="AD225" i="23"/>
  <c r="AD227" i="23" s="1"/>
  <c r="S385" i="18"/>
  <c r="T382" i="18" s="1"/>
  <c r="AE385" i="20"/>
  <c r="AE386" i="20" s="1"/>
  <c r="AF383" i="20" s="1"/>
  <c r="AE379" i="20"/>
  <c r="AE380" i="20" s="1"/>
  <c r="AF377" i="20" s="1"/>
  <c r="W389" i="20"/>
  <c r="AE396" i="18"/>
  <c r="AE397" i="18" s="1"/>
  <c r="AF394" i="18" s="1"/>
  <c r="AE390" i="18"/>
  <c r="AE391" i="18" s="1"/>
  <c r="AF388" i="18" s="1"/>
  <c r="AL388" i="11"/>
  <c r="AL389" i="11" s="1"/>
  <c r="AM386" i="11" s="1"/>
  <c r="AL382" i="11"/>
  <c r="AL383" i="11" s="1"/>
  <c r="AM380" i="11" s="1"/>
  <c r="AM382" i="11" s="1"/>
  <c r="Z377" i="11"/>
  <c r="AA374" i="11" s="1"/>
  <c r="AA376" i="11" s="1"/>
  <c r="AD345" i="10"/>
  <c r="AD346" i="10" s="1"/>
  <c r="AE343" i="10" s="1"/>
  <c r="AD339" i="10"/>
  <c r="AD340" i="10" s="1"/>
  <c r="AE337" i="10" s="1"/>
  <c r="V334" i="10"/>
  <c r="W331" i="10" s="1"/>
  <c r="V378" i="9"/>
  <c r="W375" i="9" s="1"/>
  <c r="W377" i="9" s="1"/>
  <c r="R387" i="9"/>
  <c r="AH336" i="8"/>
  <c r="AH337" i="8" s="1"/>
  <c r="AI334" i="8" s="1"/>
  <c r="AH330" i="8"/>
  <c r="AH331" i="8" s="1"/>
  <c r="AI328" i="8" s="1"/>
  <c r="X325" i="8"/>
  <c r="Y322" i="8" s="1"/>
  <c r="Y324" i="8" s="1"/>
  <c r="AO339" i="5"/>
  <c r="AO340" i="5" s="1"/>
  <c r="AP337" i="5" s="1"/>
  <c r="AO345" i="5"/>
  <c r="AO346" i="5" s="1"/>
  <c r="AP343" i="5" s="1"/>
  <c r="AC333" i="5"/>
  <c r="AC349" i="5" s="1"/>
  <c r="BC413" i="5"/>
  <c r="T384" i="9" l="1"/>
  <c r="AC340" i="23"/>
  <c r="AC336" i="23"/>
  <c r="AC322" i="23"/>
  <c r="AD313" i="23"/>
  <c r="AD315" i="23"/>
  <c r="AC305" i="23"/>
  <c r="AC306" i="23" s="1"/>
  <c r="AD231" i="23"/>
  <c r="AD233" i="23" s="1"/>
  <c r="AD237" i="23" s="1"/>
  <c r="AD239" i="23" s="1"/>
  <c r="AD243" i="23" s="1"/>
  <c r="AD245" i="23" s="1"/>
  <c r="AD246" i="23" s="1"/>
  <c r="AE244" i="23" s="1"/>
  <c r="T384" i="18"/>
  <c r="T400" i="18" s="1"/>
  <c r="AF385" i="20"/>
  <c r="AF386" i="20" s="1"/>
  <c r="AG383" i="20" s="1"/>
  <c r="AF379" i="20"/>
  <c r="AF380" i="20" s="1"/>
  <c r="AG377" i="20" s="1"/>
  <c r="W374" i="20"/>
  <c r="X371" i="20" s="1"/>
  <c r="X373" i="20" s="1"/>
  <c r="AF396" i="18"/>
  <c r="AF397" i="18" s="1"/>
  <c r="AG394" i="18" s="1"/>
  <c r="AF390" i="18"/>
  <c r="AF391" i="18" s="1"/>
  <c r="AG388" i="18" s="1"/>
  <c r="AM388" i="11"/>
  <c r="AM389" i="11" s="1"/>
  <c r="AN386" i="11" s="1"/>
  <c r="AM383" i="11"/>
  <c r="AN380" i="11" s="1"/>
  <c r="AN382" i="11" s="1"/>
  <c r="AA392" i="11"/>
  <c r="AE345" i="10"/>
  <c r="AE346" i="10" s="1"/>
  <c r="AF343" i="10" s="1"/>
  <c r="AE339" i="10"/>
  <c r="AE340" i="10" s="1"/>
  <c r="AF337" i="10" s="1"/>
  <c r="W333" i="10"/>
  <c r="W334" i="10" s="1"/>
  <c r="X331" i="10" s="1"/>
  <c r="X333" i="10" s="1"/>
  <c r="X349" i="10" s="1"/>
  <c r="W378" i="9"/>
  <c r="X375" i="9" s="1"/>
  <c r="X377" i="9" s="1"/>
  <c r="R372" i="9"/>
  <c r="S369" i="9" s="1"/>
  <c r="S371" i="9" s="1"/>
  <c r="AI336" i="8"/>
  <c r="AI337" i="8" s="1"/>
  <c r="AJ334" i="8" s="1"/>
  <c r="AI330" i="8"/>
  <c r="AI331" i="8" s="1"/>
  <c r="AJ328" i="8" s="1"/>
  <c r="Y340" i="8"/>
  <c r="AP345" i="5"/>
  <c r="AP346" i="5" s="1"/>
  <c r="AQ343" i="5" s="1"/>
  <c r="AP339" i="5"/>
  <c r="AP340" i="5" s="1"/>
  <c r="AQ337" i="5" s="1"/>
  <c r="AC334" i="5"/>
  <c r="AD331" i="5" s="1"/>
  <c r="BD413" i="5"/>
  <c r="U381" i="9" l="1"/>
  <c r="AC342" i="23"/>
  <c r="AC343" i="23" s="1"/>
  <c r="AC337" i="23"/>
  <c r="AD319" i="23"/>
  <c r="AD321" i="23" s="1"/>
  <c r="AD234" i="23"/>
  <c r="AE232" i="23" s="1"/>
  <c r="AD269" i="23"/>
  <c r="AD270" i="23" s="1"/>
  <c r="AD271" i="23" s="1"/>
  <c r="AD275" i="23"/>
  <c r="AD240" i="23"/>
  <c r="AE238" i="23" s="1"/>
  <c r="AD255" i="23"/>
  <c r="AD257" i="23" s="1"/>
  <c r="AD281" i="23"/>
  <c r="AD249" i="23"/>
  <c r="AD251" i="23" s="1"/>
  <c r="AD287" i="23" s="1"/>
  <c r="T385" i="18"/>
  <c r="U382" i="18" s="1"/>
  <c r="AG385" i="20"/>
  <c r="AG386" i="20" s="1"/>
  <c r="AH383" i="20" s="1"/>
  <c r="AG379" i="20"/>
  <c r="AG380" i="20" s="1"/>
  <c r="AH377" i="20" s="1"/>
  <c r="X389" i="20"/>
  <c r="AG396" i="18"/>
  <c r="AG397" i="18" s="1"/>
  <c r="AH394" i="18" s="1"/>
  <c r="AG390" i="18"/>
  <c r="AG391" i="18" s="1"/>
  <c r="AH388" i="18" s="1"/>
  <c r="AN388" i="11"/>
  <c r="AN389" i="11" s="1"/>
  <c r="AO386" i="11" s="1"/>
  <c r="AN383" i="11"/>
  <c r="AO380" i="11" s="1"/>
  <c r="AO382" i="11" s="1"/>
  <c r="AO383" i="11" s="1"/>
  <c r="AP380" i="11" s="1"/>
  <c r="AP382" i="11" s="1"/>
  <c r="AA377" i="11"/>
  <c r="AB374" i="11" s="1"/>
  <c r="AB376" i="11" s="1"/>
  <c r="AF345" i="10"/>
  <c r="AF346" i="10" s="1"/>
  <c r="AG343" i="10" s="1"/>
  <c r="AF339" i="10"/>
  <c r="AF340" i="10" s="1"/>
  <c r="AG337" i="10" s="1"/>
  <c r="W349" i="10"/>
  <c r="X334" i="10"/>
  <c r="Y331" i="10" s="1"/>
  <c r="Y333" i="10" s="1"/>
  <c r="X378" i="9"/>
  <c r="Y375" i="9" s="1"/>
  <c r="Y377" i="9" s="1"/>
  <c r="S387" i="9"/>
  <c r="AJ336" i="8"/>
  <c r="AJ337" i="8" s="1"/>
  <c r="AK334" i="8" s="1"/>
  <c r="AJ330" i="8"/>
  <c r="AJ331" i="8" s="1"/>
  <c r="AK328" i="8" s="1"/>
  <c r="Y325" i="8"/>
  <c r="Z322" i="8" s="1"/>
  <c r="Z324" i="8" s="1"/>
  <c r="AQ339" i="5"/>
  <c r="AQ340" i="5" s="1"/>
  <c r="AR337" i="5" s="1"/>
  <c r="AQ345" i="5"/>
  <c r="AQ346" i="5" s="1"/>
  <c r="AR343" i="5" s="1"/>
  <c r="AD333" i="5"/>
  <c r="AD349" i="5" s="1"/>
  <c r="BE413" i="5"/>
  <c r="U383" i="9" l="1"/>
  <c r="AC346" i="23"/>
  <c r="AC345" i="23"/>
  <c r="AD260" i="23"/>
  <c r="AD252" i="23"/>
  <c r="AE250" i="23" s="1"/>
  <c r="AD293" i="23"/>
  <c r="AD258" i="23"/>
  <c r="AE256" i="23" s="1"/>
  <c r="AD274" i="23"/>
  <c r="AD276" i="23" s="1"/>
  <c r="AD277" i="23" s="1"/>
  <c r="U384" i="18"/>
  <c r="U400" i="18" s="1"/>
  <c r="AH385" i="20"/>
  <c r="AH386" i="20" s="1"/>
  <c r="AI383" i="20" s="1"/>
  <c r="AH379" i="20"/>
  <c r="AH380" i="20" s="1"/>
  <c r="AI377" i="20" s="1"/>
  <c r="X374" i="20"/>
  <c r="Y371" i="20" s="1"/>
  <c r="Y373" i="20" s="1"/>
  <c r="AH396" i="18"/>
  <c r="AH397" i="18" s="1"/>
  <c r="AI394" i="18" s="1"/>
  <c r="AH390" i="18"/>
  <c r="AH391" i="18" s="1"/>
  <c r="AI388" i="18" s="1"/>
  <c r="AO388" i="11"/>
  <c r="AO389" i="11" s="1"/>
  <c r="AP386" i="11" s="1"/>
  <c r="AB392" i="11"/>
  <c r="AP383" i="11"/>
  <c r="AQ380" i="11" s="1"/>
  <c r="AQ382" i="11" s="1"/>
  <c r="AG345" i="10"/>
  <c r="AG346" i="10" s="1"/>
  <c r="AH343" i="10" s="1"/>
  <c r="AG339" i="10"/>
  <c r="AG340" i="10" s="1"/>
  <c r="AH337" i="10" s="1"/>
  <c r="Y349" i="10"/>
  <c r="Y378" i="9"/>
  <c r="Z375" i="9" s="1"/>
  <c r="Z377" i="9" s="1"/>
  <c r="S372" i="9"/>
  <c r="T369" i="9" s="1"/>
  <c r="T371" i="9" s="1"/>
  <c r="AK336" i="8"/>
  <c r="AK337" i="8" s="1"/>
  <c r="AL334" i="8" s="1"/>
  <c r="AK330" i="8"/>
  <c r="AK331" i="8" s="1"/>
  <c r="AL328" i="8" s="1"/>
  <c r="Z340" i="8"/>
  <c r="AD334" i="5"/>
  <c r="AE331" i="5" s="1"/>
  <c r="AE333" i="5" s="1"/>
  <c r="AE349" i="5" s="1"/>
  <c r="AR345" i="5"/>
  <c r="AR346" i="5" s="1"/>
  <c r="AS343" i="5" s="1"/>
  <c r="AR339" i="5"/>
  <c r="AR340" i="5" s="1"/>
  <c r="AS337" i="5" s="1"/>
  <c r="BF413" i="5"/>
  <c r="U384" i="9" l="1"/>
  <c r="AD302" i="23"/>
  <c r="AD328" i="23" s="1"/>
  <c r="AD317" i="23"/>
  <c r="AD280" i="23"/>
  <c r="AD282" i="23" s="1"/>
  <c r="AD283" i="23" s="1"/>
  <c r="U385" i="18"/>
  <c r="V382" i="18" s="1"/>
  <c r="AI385" i="20"/>
  <c r="AI386" i="20" s="1"/>
  <c r="AJ383" i="20" s="1"/>
  <c r="AI379" i="20"/>
  <c r="AI380" i="20" s="1"/>
  <c r="AJ377" i="20" s="1"/>
  <c r="Y389" i="20"/>
  <c r="AI396" i="18"/>
  <c r="AI397" i="18" s="1"/>
  <c r="AJ394" i="18" s="1"/>
  <c r="AI390" i="18"/>
  <c r="AI391" i="18" s="1"/>
  <c r="AJ388" i="18" s="1"/>
  <c r="AP388" i="11"/>
  <c r="AP389" i="11" s="1"/>
  <c r="AQ386" i="11" s="1"/>
  <c r="AB377" i="11"/>
  <c r="AC374" i="11" s="1"/>
  <c r="AC376" i="11" s="1"/>
  <c r="AQ383" i="11"/>
  <c r="AR380" i="11" s="1"/>
  <c r="AR382" i="11" s="1"/>
  <c r="AH345" i="10"/>
  <c r="AH346" i="10" s="1"/>
  <c r="AI343" i="10" s="1"/>
  <c r="AH339" i="10"/>
  <c r="AH340" i="10" s="1"/>
  <c r="AI337" i="10" s="1"/>
  <c r="Y334" i="10"/>
  <c r="Z331" i="10" s="1"/>
  <c r="Z333" i="10" s="1"/>
  <c r="Z378" i="9"/>
  <c r="AA375" i="9" s="1"/>
  <c r="AA377" i="9" s="1"/>
  <c r="T387" i="9"/>
  <c r="AL336" i="8"/>
  <c r="AL337" i="8" s="1"/>
  <c r="AM334" i="8" s="1"/>
  <c r="AL330" i="8"/>
  <c r="AL331" i="8" s="1"/>
  <c r="AM328" i="8" s="1"/>
  <c r="Z325" i="8"/>
  <c r="AA322" i="8" s="1"/>
  <c r="AA324" i="8" s="1"/>
  <c r="AS339" i="5"/>
  <c r="AS340" i="5" s="1"/>
  <c r="AT337" i="5" s="1"/>
  <c r="AS345" i="5"/>
  <c r="AS346" i="5" s="1"/>
  <c r="AT343" i="5" s="1"/>
  <c r="AE334" i="5"/>
  <c r="AF331" i="5" s="1"/>
  <c r="BG413" i="5"/>
  <c r="V381" i="9" l="1"/>
  <c r="AD330" i="23"/>
  <c r="AD292" i="23"/>
  <c r="AD294" i="23" s="1"/>
  <c r="AD286" i="23"/>
  <c r="AD288" i="23" s="1"/>
  <c r="AD289" i="23" s="1"/>
  <c r="V384" i="18"/>
  <c r="V400" i="18" s="1"/>
  <c r="AJ385" i="20"/>
  <c r="AJ386" i="20" s="1"/>
  <c r="AK383" i="20" s="1"/>
  <c r="AJ379" i="20"/>
  <c r="AJ380" i="20" s="1"/>
  <c r="AK377" i="20" s="1"/>
  <c r="Y374" i="20"/>
  <c r="Z371" i="20" s="1"/>
  <c r="Z373" i="20" s="1"/>
  <c r="AJ396" i="18"/>
  <c r="AJ397" i="18" s="1"/>
  <c r="AK394" i="18" s="1"/>
  <c r="AJ390" i="18"/>
  <c r="AJ391" i="18" s="1"/>
  <c r="AK388" i="18" s="1"/>
  <c r="AQ388" i="11"/>
  <c r="AQ389" i="11" s="1"/>
  <c r="AR386" i="11" s="1"/>
  <c r="AC392" i="11"/>
  <c r="AR383" i="11"/>
  <c r="AS380" i="11" s="1"/>
  <c r="AS382" i="11" s="1"/>
  <c r="AI345" i="10"/>
  <c r="AI346" i="10" s="1"/>
  <c r="AJ343" i="10" s="1"/>
  <c r="AI339" i="10"/>
  <c r="AI340" i="10" s="1"/>
  <c r="AJ337" i="10" s="1"/>
  <c r="Z349" i="10"/>
  <c r="AA378" i="9"/>
  <c r="AB375" i="9" s="1"/>
  <c r="AB377" i="9" s="1"/>
  <c r="T372" i="9"/>
  <c r="U369" i="9" s="1"/>
  <c r="U371" i="9" s="1"/>
  <c r="AM336" i="8"/>
  <c r="AM337" i="8" s="1"/>
  <c r="AN334" i="8" s="1"/>
  <c r="AM330" i="8"/>
  <c r="AM331" i="8" s="1"/>
  <c r="AN328" i="8" s="1"/>
  <c r="AA340" i="8"/>
  <c r="AT345" i="5"/>
  <c r="AT346" i="5" s="1"/>
  <c r="AU343" i="5" s="1"/>
  <c r="AT339" i="5"/>
  <c r="AT340" i="5" s="1"/>
  <c r="AU337" i="5" s="1"/>
  <c r="AF333" i="5"/>
  <c r="AF349" i="5" s="1"/>
  <c r="BH413" i="5"/>
  <c r="V383" i="9" l="1"/>
  <c r="AD331" i="23"/>
  <c r="AD297" i="23"/>
  <c r="AD295" i="23"/>
  <c r="AE203" i="23"/>
  <c r="V385" i="18"/>
  <c r="W382" i="18" s="1"/>
  <c r="AK385" i="20"/>
  <c r="AK386" i="20" s="1"/>
  <c r="AL383" i="20" s="1"/>
  <c r="AK379" i="20"/>
  <c r="AK380" i="20" s="1"/>
  <c r="AL377" i="20" s="1"/>
  <c r="Z389" i="20"/>
  <c r="AK396" i="18"/>
  <c r="AK397" i="18" s="1"/>
  <c r="AL394" i="18" s="1"/>
  <c r="AK390" i="18"/>
  <c r="AK391" i="18" s="1"/>
  <c r="AL388" i="18" s="1"/>
  <c r="AR388" i="11"/>
  <c r="AR389" i="11" s="1"/>
  <c r="AS386" i="11" s="1"/>
  <c r="AC377" i="11"/>
  <c r="AD374" i="11" s="1"/>
  <c r="AD376" i="11" s="1"/>
  <c r="AS383" i="11"/>
  <c r="AT380" i="11" s="1"/>
  <c r="AT382" i="11" s="1"/>
  <c r="AJ345" i="10"/>
  <c r="AJ346" i="10" s="1"/>
  <c r="AK343" i="10" s="1"/>
  <c r="AJ339" i="10"/>
  <c r="AJ340" i="10" s="1"/>
  <c r="AK337" i="10" s="1"/>
  <c r="Z334" i="10"/>
  <c r="AA331" i="10" s="1"/>
  <c r="AA333" i="10" s="1"/>
  <c r="AB378" i="9"/>
  <c r="AC375" i="9" s="1"/>
  <c r="AC377" i="9" s="1"/>
  <c r="U387" i="9"/>
  <c r="AN336" i="8"/>
  <c r="AN337" i="8" s="1"/>
  <c r="AO334" i="8" s="1"/>
  <c r="AN330" i="8"/>
  <c r="AN331" i="8" s="1"/>
  <c r="AO328" i="8" s="1"/>
  <c r="AA325" i="8"/>
  <c r="AB322" i="8" s="1"/>
  <c r="AB324" i="8" s="1"/>
  <c r="AU339" i="5"/>
  <c r="AU340" i="5" s="1"/>
  <c r="AV337" i="5" s="1"/>
  <c r="AU345" i="5"/>
  <c r="AU346" i="5" s="1"/>
  <c r="AV343" i="5" s="1"/>
  <c r="AF334" i="5"/>
  <c r="AG331" i="5" s="1"/>
  <c r="BI413" i="5"/>
  <c r="V384" i="9" l="1"/>
  <c r="AE225" i="23"/>
  <c r="AE227" i="23" s="1"/>
  <c r="AE231" i="23" s="1"/>
  <c r="AE233" i="23" s="1"/>
  <c r="AE311" i="23"/>
  <c r="AD299" i="23"/>
  <c r="AD303" i="23"/>
  <c r="AD334" i="23" s="1"/>
  <c r="AE262" i="23"/>
  <c r="AE264" i="23" s="1"/>
  <c r="AE268" i="23" s="1"/>
  <c r="W384" i="18"/>
  <c r="W400" i="18" s="1"/>
  <c r="AL385" i="20"/>
  <c r="AL386" i="20" s="1"/>
  <c r="AM383" i="20" s="1"/>
  <c r="AL379" i="20"/>
  <c r="AL380" i="20" s="1"/>
  <c r="AM377" i="20" s="1"/>
  <c r="Z374" i="20"/>
  <c r="AA371" i="20" s="1"/>
  <c r="AA373" i="20" s="1"/>
  <c r="AL396" i="18"/>
  <c r="AL397" i="18" s="1"/>
  <c r="AM394" i="18" s="1"/>
  <c r="AL390" i="18"/>
  <c r="AL391" i="18" s="1"/>
  <c r="AM388" i="18" s="1"/>
  <c r="AS388" i="11"/>
  <c r="AS389" i="11" s="1"/>
  <c r="AT386" i="11" s="1"/>
  <c r="AD392" i="11"/>
  <c r="AT383" i="11"/>
  <c r="AU380" i="11" s="1"/>
  <c r="AU382" i="11" s="1"/>
  <c r="AK345" i="10"/>
  <c r="AK346" i="10" s="1"/>
  <c r="AL343" i="10" s="1"/>
  <c r="AK339" i="10"/>
  <c r="AK340" i="10" s="1"/>
  <c r="AL337" i="10" s="1"/>
  <c r="AA349" i="10"/>
  <c r="AC378" i="9"/>
  <c r="AD375" i="9" s="1"/>
  <c r="AD377" i="9" s="1"/>
  <c r="U372" i="9"/>
  <c r="V369" i="9" s="1"/>
  <c r="V371" i="9" s="1"/>
  <c r="AO336" i="8"/>
  <c r="AO337" i="8" s="1"/>
  <c r="AP334" i="8" s="1"/>
  <c r="AO330" i="8"/>
  <c r="AO331" i="8" s="1"/>
  <c r="AP328" i="8" s="1"/>
  <c r="AB340" i="8"/>
  <c r="AV345" i="5"/>
  <c r="AV346" i="5" s="1"/>
  <c r="AW343" i="5" s="1"/>
  <c r="AV339" i="5"/>
  <c r="AV340" i="5" s="1"/>
  <c r="AW337" i="5" s="1"/>
  <c r="AG333" i="5"/>
  <c r="AG349" i="5" s="1"/>
  <c r="BJ413" i="5"/>
  <c r="W381" i="9" l="1"/>
  <c r="AD340" i="23"/>
  <c r="AD336" i="23"/>
  <c r="AD322" i="23"/>
  <c r="AE313" i="23"/>
  <c r="AE315" i="23"/>
  <c r="AD305" i="23"/>
  <c r="AD306" i="23" s="1"/>
  <c r="AE234" i="23"/>
  <c r="AF232" i="23" s="1"/>
  <c r="AE269" i="23"/>
  <c r="AE237" i="23"/>
  <c r="AE239" i="23" s="1"/>
  <c r="W385" i="18"/>
  <c r="X382" i="18" s="1"/>
  <c r="AM385" i="20"/>
  <c r="AM386" i="20" s="1"/>
  <c r="AN383" i="20" s="1"/>
  <c r="AM379" i="20"/>
  <c r="AM380" i="20" s="1"/>
  <c r="AN377" i="20" s="1"/>
  <c r="AA389" i="20"/>
  <c r="AM396" i="18"/>
  <c r="AM397" i="18" s="1"/>
  <c r="AN394" i="18" s="1"/>
  <c r="AM390" i="18"/>
  <c r="AM391" i="18" s="1"/>
  <c r="AN388" i="18" s="1"/>
  <c r="AT388" i="11"/>
  <c r="AT389" i="11" s="1"/>
  <c r="AU386" i="11" s="1"/>
  <c r="AD377" i="11"/>
  <c r="AE374" i="11" s="1"/>
  <c r="AE376" i="11" s="1"/>
  <c r="AU383" i="11"/>
  <c r="AV380" i="11" s="1"/>
  <c r="AV382" i="11" s="1"/>
  <c r="AL345" i="10"/>
  <c r="AL346" i="10" s="1"/>
  <c r="AM343" i="10" s="1"/>
  <c r="AL339" i="10"/>
  <c r="AL340" i="10" s="1"/>
  <c r="AM337" i="10" s="1"/>
  <c r="AA334" i="10"/>
  <c r="AB331" i="10" s="1"/>
  <c r="AD378" i="9"/>
  <c r="AE375" i="9" s="1"/>
  <c r="AE377" i="9" s="1"/>
  <c r="V387" i="9"/>
  <c r="AP336" i="8"/>
  <c r="AP337" i="8" s="1"/>
  <c r="AQ334" i="8" s="1"/>
  <c r="AP330" i="8"/>
  <c r="AP331" i="8" s="1"/>
  <c r="AQ328" i="8" s="1"/>
  <c r="AB325" i="8"/>
  <c r="AC322" i="8" s="1"/>
  <c r="AC324" i="8" s="1"/>
  <c r="AG334" i="5"/>
  <c r="AH331" i="5" s="1"/>
  <c r="AH333" i="5" s="1"/>
  <c r="AH349" i="5" s="1"/>
  <c r="AW339" i="5"/>
  <c r="AW340" i="5" s="1"/>
  <c r="AX337" i="5" s="1"/>
  <c r="AW345" i="5"/>
  <c r="AW346" i="5" s="1"/>
  <c r="AX343" i="5" s="1"/>
  <c r="BK413" i="5"/>
  <c r="W383" i="9" l="1"/>
  <c r="AD342" i="23"/>
  <c r="AD343" i="23" s="1"/>
  <c r="AD337" i="23"/>
  <c r="AE319" i="23"/>
  <c r="AE321" i="23" s="1"/>
  <c r="AE240" i="23"/>
  <c r="AF238" i="23" s="1"/>
  <c r="AE275" i="23"/>
  <c r="AE243" i="23"/>
  <c r="AE245" i="23" s="1"/>
  <c r="AE255" i="23" s="1"/>
  <c r="AE257" i="23" s="1"/>
  <c r="AE270" i="23"/>
  <c r="AE271" i="23" s="1"/>
  <c r="X384" i="18"/>
  <c r="X400" i="18" s="1"/>
  <c r="AN385" i="20"/>
  <c r="AN386" i="20" s="1"/>
  <c r="AO383" i="20" s="1"/>
  <c r="AN379" i="20"/>
  <c r="AN380" i="20" s="1"/>
  <c r="AO377" i="20" s="1"/>
  <c r="AA374" i="20"/>
  <c r="AB371" i="20" s="1"/>
  <c r="AB373" i="20" s="1"/>
  <c r="AN396" i="18"/>
  <c r="AN397" i="18" s="1"/>
  <c r="AO394" i="18" s="1"/>
  <c r="AN390" i="18"/>
  <c r="AN391" i="18" s="1"/>
  <c r="AO388" i="18" s="1"/>
  <c r="AU388" i="11"/>
  <c r="AU389" i="11" s="1"/>
  <c r="AV386" i="11" s="1"/>
  <c r="AE392" i="11"/>
  <c r="AV383" i="11"/>
  <c r="AW380" i="11" s="1"/>
  <c r="AW382" i="11" s="1"/>
  <c r="AM345" i="10"/>
  <c r="AM346" i="10" s="1"/>
  <c r="AN343" i="10" s="1"/>
  <c r="AM339" i="10"/>
  <c r="AM340" i="10" s="1"/>
  <c r="AN337" i="10" s="1"/>
  <c r="AB333" i="10"/>
  <c r="AB349" i="10" s="1"/>
  <c r="AE378" i="9"/>
  <c r="AF375" i="9" s="1"/>
  <c r="AF377" i="9" s="1"/>
  <c r="V372" i="9"/>
  <c r="W369" i="9" s="1"/>
  <c r="W371" i="9" s="1"/>
  <c r="AQ336" i="8"/>
  <c r="AQ337" i="8" s="1"/>
  <c r="AR334" i="8" s="1"/>
  <c r="AQ330" i="8"/>
  <c r="AQ331" i="8" s="1"/>
  <c r="AR328" i="8" s="1"/>
  <c r="AC340" i="8"/>
  <c r="AX339" i="5"/>
  <c r="AX340" i="5" s="1"/>
  <c r="AY337" i="5" s="1"/>
  <c r="AX345" i="5"/>
  <c r="AX346" i="5" s="1"/>
  <c r="AY343" i="5" s="1"/>
  <c r="AH334" i="5"/>
  <c r="AI331" i="5" s="1"/>
  <c r="BL413" i="5"/>
  <c r="W384" i="9" l="1"/>
  <c r="AD346" i="23"/>
  <c r="AD345" i="23"/>
  <c r="AE293" i="23"/>
  <c r="AE258" i="23"/>
  <c r="AF256" i="23" s="1"/>
  <c r="AE281" i="23"/>
  <c r="AE246" i="23"/>
  <c r="AF244" i="23" s="1"/>
  <c r="AE249" i="23"/>
  <c r="AE251" i="23" s="1"/>
  <c r="AE274" i="23"/>
  <c r="AE276" i="23" s="1"/>
  <c r="X385" i="18"/>
  <c r="Y382" i="18" s="1"/>
  <c r="AO385" i="20"/>
  <c r="AO386" i="20" s="1"/>
  <c r="AP383" i="20" s="1"/>
  <c r="AO379" i="20"/>
  <c r="AO380" i="20" s="1"/>
  <c r="AP377" i="20" s="1"/>
  <c r="AB389" i="20"/>
  <c r="AO396" i="18"/>
  <c r="AO397" i="18" s="1"/>
  <c r="AP394" i="18" s="1"/>
  <c r="AO390" i="18"/>
  <c r="AO391" i="18" s="1"/>
  <c r="AP388" i="18" s="1"/>
  <c r="AV388" i="11"/>
  <c r="AV389" i="11" s="1"/>
  <c r="AW386" i="11" s="1"/>
  <c r="AE377" i="11"/>
  <c r="AF374" i="11" s="1"/>
  <c r="AF376" i="11" s="1"/>
  <c r="AW383" i="11"/>
  <c r="AX380" i="11" s="1"/>
  <c r="AX382" i="11" s="1"/>
  <c r="AN345" i="10"/>
  <c r="AN346" i="10" s="1"/>
  <c r="AO343" i="10" s="1"/>
  <c r="AN339" i="10"/>
  <c r="AN340" i="10" s="1"/>
  <c r="AO337" i="10" s="1"/>
  <c r="AB334" i="10"/>
  <c r="AC331" i="10" s="1"/>
  <c r="AC333" i="10" s="1"/>
  <c r="AC349" i="10" s="1"/>
  <c r="AF378" i="9"/>
  <c r="AG375" i="9" s="1"/>
  <c r="AG377" i="9" s="1"/>
  <c r="W387" i="9"/>
  <c r="AR336" i="8"/>
  <c r="AR337" i="8" s="1"/>
  <c r="AS334" i="8" s="1"/>
  <c r="AR330" i="8"/>
  <c r="AR331" i="8" s="1"/>
  <c r="AS328" i="8" s="1"/>
  <c r="AC325" i="8"/>
  <c r="AD322" i="8" s="1"/>
  <c r="AD324" i="8" s="1"/>
  <c r="AY345" i="5"/>
  <c r="AY346" i="5" s="1"/>
  <c r="AZ343" i="5" s="1"/>
  <c r="AY339" i="5"/>
  <c r="AY340" i="5" s="1"/>
  <c r="AZ337" i="5" s="1"/>
  <c r="AI333" i="5"/>
  <c r="AI349" i="5" s="1"/>
  <c r="BM413" i="5"/>
  <c r="X381" i="9" l="1"/>
  <c r="AE277" i="23"/>
  <c r="AE280" i="23"/>
  <c r="AE282" i="23" s="1"/>
  <c r="AE292" i="23" s="1"/>
  <c r="AE294" i="23" s="1"/>
  <c r="AE287" i="23"/>
  <c r="AE260" i="23"/>
  <c r="AE252" i="23"/>
  <c r="AF250" i="23" s="1"/>
  <c r="Y384" i="18"/>
  <c r="Y400" i="18" s="1"/>
  <c r="AP385" i="20"/>
  <c r="AP386" i="20" s="1"/>
  <c r="AQ383" i="20" s="1"/>
  <c r="AP379" i="20"/>
  <c r="AP380" i="20" s="1"/>
  <c r="AQ377" i="20" s="1"/>
  <c r="AB374" i="20"/>
  <c r="AC371" i="20" s="1"/>
  <c r="AC373" i="20" s="1"/>
  <c r="AP396" i="18"/>
  <c r="AP397" i="18" s="1"/>
  <c r="AQ394" i="18" s="1"/>
  <c r="AP390" i="18"/>
  <c r="AP391" i="18" s="1"/>
  <c r="AQ388" i="18" s="1"/>
  <c r="AW388" i="11"/>
  <c r="AW389" i="11" s="1"/>
  <c r="AX386" i="11" s="1"/>
  <c r="AF392" i="11"/>
  <c r="AX383" i="11"/>
  <c r="AY380" i="11" s="1"/>
  <c r="AY382" i="11" s="1"/>
  <c r="AO345" i="10"/>
  <c r="AO346" i="10" s="1"/>
  <c r="AP343" i="10" s="1"/>
  <c r="AO339" i="10"/>
  <c r="AO340" i="10" s="1"/>
  <c r="AP337" i="10" s="1"/>
  <c r="AC334" i="10"/>
  <c r="AD331" i="10" s="1"/>
  <c r="AD333" i="10" s="1"/>
  <c r="AG378" i="9"/>
  <c r="AH375" i="9" s="1"/>
  <c r="AH377" i="9" s="1"/>
  <c r="W372" i="9"/>
  <c r="X369" i="9" s="1"/>
  <c r="X371" i="9" s="1"/>
  <c r="AS336" i="8"/>
  <c r="AS337" i="8" s="1"/>
  <c r="AT334" i="8" s="1"/>
  <c r="AS330" i="8"/>
  <c r="AS331" i="8" s="1"/>
  <c r="AT328" i="8" s="1"/>
  <c r="AD340" i="8"/>
  <c r="AZ339" i="5"/>
  <c r="AZ340" i="5" s="1"/>
  <c r="BA337" i="5" s="1"/>
  <c r="AZ345" i="5"/>
  <c r="AZ346" i="5" s="1"/>
  <c r="BA343" i="5" s="1"/>
  <c r="AI334" i="5"/>
  <c r="AJ331" i="5" s="1"/>
  <c r="BN413" i="5"/>
  <c r="X383" i="9" l="1"/>
  <c r="X387" i="9" s="1"/>
  <c r="AE302" i="23"/>
  <c r="AE328" i="23" s="1"/>
  <c r="AE317" i="23"/>
  <c r="AF203" i="23"/>
  <c r="AF311" i="23" s="1"/>
  <c r="AE295" i="23"/>
  <c r="AE286" i="23"/>
  <c r="AE288" i="23" s="1"/>
  <c r="AE297" i="23" s="1"/>
  <c r="AE283" i="23"/>
  <c r="Y385" i="18"/>
  <c r="Z382" i="18" s="1"/>
  <c r="AQ385" i="20"/>
  <c r="AQ386" i="20" s="1"/>
  <c r="AR383" i="20" s="1"/>
  <c r="AQ379" i="20"/>
  <c r="AQ380" i="20" s="1"/>
  <c r="AR377" i="20" s="1"/>
  <c r="AC389" i="20"/>
  <c r="AQ396" i="18"/>
  <c r="AQ397" i="18" s="1"/>
  <c r="AR394" i="18" s="1"/>
  <c r="AQ390" i="18"/>
  <c r="AQ391" i="18" s="1"/>
  <c r="AR388" i="18" s="1"/>
  <c r="AX388" i="11"/>
  <c r="AX389" i="11" s="1"/>
  <c r="AY386" i="11" s="1"/>
  <c r="AF377" i="11"/>
  <c r="AG374" i="11" s="1"/>
  <c r="AG376" i="11" s="1"/>
  <c r="AY383" i="11"/>
  <c r="AZ380" i="11" s="1"/>
  <c r="AZ382" i="11" s="1"/>
  <c r="AP345" i="10"/>
  <c r="AP346" i="10" s="1"/>
  <c r="AQ343" i="10" s="1"/>
  <c r="AP339" i="10"/>
  <c r="AP340" i="10" s="1"/>
  <c r="AQ337" i="10" s="1"/>
  <c r="AD349" i="10"/>
  <c r="AH378" i="9"/>
  <c r="AI375" i="9" s="1"/>
  <c r="AI377" i="9" s="1"/>
  <c r="AT336" i="8"/>
  <c r="AT337" i="8" s="1"/>
  <c r="AU334" i="8" s="1"/>
  <c r="AT330" i="8"/>
  <c r="AT331" i="8" s="1"/>
  <c r="AU328" i="8" s="1"/>
  <c r="AD325" i="8"/>
  <c r="AE322" i="8" s="1"/>
  <c r="AE324" i="8" s="1"/>
  <c r="BA345" i="5"/>
  <c r="BA346" i="5" s="1"/>
  <c r="BB343" i="5" s="1"/>
  <c r="BA339" i="5"/>
  <c r="BA340" i="5" s="1"/>
  <c r="BB337" i="5" s="1"/>
  <c r="AJ333" i="5"/>
  <c r="AJ349" i="5" s="1"/>
  <c r="BO413" i="5"/>
  <c r="X384" i="9" l="1"/>
  <c r="AE330" i="23"/>
  <c r="AF313" i="23"/>
  <c r="AF315" i="23"/>
  <c r="AE299" i="23"/>
  <c r="AE303" i="23"/>
  <c r="AE334" i="23" s="1"/>
  <c r="AF262" i="23"/>
  <c r="AF264" i="23" s="1"/>
  <c r="AF225" i="23"/>
  <c r="AF227" i="23" s="1"/>
  <c r="AE289" i="23"/>
  <c r="Z384" i="18"/>
  <c r="Z400" i="18" s="1"/>
  <c r="AR385" i="20"/>
  <c r="AR386" i="20" s="1"/>
  <c r="AS383" i="20" s="1"/>
  <c r="AR379" i="20"/>
  <c r="AR380" i="20" s="1"/>
  <c r="AS377" i="20" s="1"/>
  <c r="AC374" i="20"/>
  <c r="AD371" i="20" s="1"/>
  <c r="AD373" i="20" s="1"/>
  <c r="AR396" i="18"/>
  <c r="AR397" i="18" s="1"/>
  <c r="AS394" i="18" s="1"/>
  <c r="AR390" i="18"/>
  <c r="AR391" i="18" s="1"/>
  <c r="AS388" i="18" s="1"/>
  <c r="AY388" i="11"/>
  <c r="AY389" i="11" s="1"/>
  <c r="AZ386" i="11" s="1"/>
  <c r="AG392" i="11"/>
  <c r="AZ383" i="11"/>
  <c r="BA380" i="11" s="1"/>
  <c r="BA382" i="11" s="1"/>
  <c r="AQ345" i="10"/>
  <c r="AQ346" i="10" s="1"/>
  <c r="AR343" i="10" s="1"/>
  <c r="AQ339" i="10"/>
  <c r="AQ340" i="10" s="1"/>
  <c r="AR337" i="10" s="1"/>
  <c r="AD334" i="10"/>
  <c r="AE331" i="10" s="1"/>
  <c r="AE333" i="10" s="1"/>
  <c r="AI378" i="9"/>
  <c r="AJ375" i="9" s="1"/>
  <c r="AJ377" i="9" s="1"/>
  <c r="X372" i="9"/>
  <c r="Y369" i="9" s="1"/>
  <c r="AU336" i="8"/>
  <c r="AU337" i="8" s="1"/>
  <c r="AV334" i="8" s="1"/>
  <c r="AU330" i="8"/>
  <c r="AU331" i="8" s="1"/>
  <c r="AV328" i="8" s="1"/>
  <c r="AE340" i="8"/>
  <c r="BB339" i="5"/>
  <c r="BB340" i="5" s="1"/>
  <c r="BC337" i="5" s="1"/>
  <c r="BB345" i="5"/>
  <c r="BB346" i="5" s="1"/>
  <c r="BC343" i="5" s="1"/>
  <c r="AJ334" i="5"/>
  <c r="AK331" i="5" s="1"/>
  <c r="BP413" i="5"/>
  <c r="Y381" i="9" l="1"/>
  <c r="Y383" i="9" s="1"/>
  <c r="Y384" i="9" s="1"/>
  <c r="Z381" i="9" s="1"/>
  <c r="Z383" i="9" s="1"/>
  <c r="Z384" i="9" s="1"/>
  <c r="AA381" i="9" s="1"/>
  <c r="AA383" i="9" s="1"/>
  <c r="AA384" i="9" s="1"/>
  <c r="AB381" i="9" s="1"/>
  <c r="AB383" i="9" s="1"/>
  <c r="AB384" i="9" s="1"/>
  <c r="AC381" i="9" s="1"/>
  <c r="AC383" i="9" s="1"/>
  <c r="AC384" i="9" s="1"/>
  <c r="AD381" i="9" s="1"/>
  <c r="AD383" i="9" s="1"/>
  <c r="AD384" i="9" s="1"/>
  <c r="AE381" i="9" s="1"/>
  <c r="AE383" i="9" s="1"/>
  <c r="AE384" i="9" s="1"/>
  <c r="AF381" i="9" s="1"/>
  <c r="AF383" i="9" s="1"/>
  <c r="AF384" i="9" s="1"/>
  <c r="AG381" i="9" s="1"/>
  <c r="AG383" i="9" s="1"/>
  <c r="AG384" i="9" s="1"/>
  <c r="AH381" i="9" s="1"/>
  <c r="AH383" i="9" s="1"/>
  <c r="AH384" i="9" s="1"/>
  <c r="AI381" i="9" s="1"/>
  <c r="AI383" i="9" s="1"/>
  <c r="AI384" i="9" s="1"/>
  <c r="AJ381" i="9" s="1"/>
  <c r="AJ383" i="9" s="1"/>
  <c r="AJ384" i="9" s="1"/>
  <c r="AK381" i="9" s="1"/>
  <c r="AE340" i="23"/>
  <c r="AE342" i="23" s="1"/>
  <c r="AE343" i="23" s="1"/>
  <c r="AE336" i="23"/>
  <c r="AE337" i="23" s="1"/>
  <c r="AE331" i="23"/>
  <c r="AF319" i="23"/>
  <c r="AF321" i="23" s="1"/>
  <c r="AE322" i="23"/>
  <c r="AE305" i="23"/>
  <c r="AE306" i="23" s="1"/>
  <c r="AF231" i="23"/>
  <c r="AF233" i="23" s="1"/>
  <c r="AF268" i="23"/>
  <c r="Z385" i="18"/>
  <c r="AA382" i="18" s="1"/>
  <c r="AS385" i="20"/>
  <c r="AS386" i="20" s="1"/>
  <c r="AT383" i="20" s="1"/>
  <c r="AS379" i="20"/>
  <c r="AS380" i="20" s="1"/>
  <c r="AT377" i="20" s="1"/>
  <c r="AD389" i="20"/>
  <c r="AS396" i="18"/>
  <c r="AS397" i="18" s="1"/>
  <c r="AT394" i="18" s="1"/>
  <c r="AS390" i="18"/>
  <c r="AS391" i="18" s="1"/>
  <c r="AT388" i="18" s="1"/>
  <c r="AZ388" i="11"/>
  <c r="AZ389" i="11" s="1"/>
  <c r="BA386" i="11" s="1"/>
  <c r="AG377" i="11"/>
  <c r="AH374" i="11" s="1"/>
  <c r="AH376" i="11" s="1"/>
  <c r="BA383" i="11"/>
  <c r="BB380" i="11" s="1"/>
  <c r="BB382" i="11" s="1"/>
  <c r="AR345" i="10"/>
  <c r="AR346" i="10" s="1"/>
  <c r="AS343" i="10" s="1"/>
  <c r="AR339" i="10"/>
  <c r="AR340" i="10" s="1"/>
  <c r="AS337" i="10" s="1"/>
  <c r="AE349" i="10"/>
  <c r="AJ378" i="9"/>
  <c r="AK375" i="9" s="1"/>
  <c r="AK377" i="9" s="1"/>
  <c r="Y371" i="9"/>
  <c r="AV336" i="8"/>
  <c r="AV337" i="8" s="1"/>
  <c r="AW334" i="8" s="1"/>
  <c r="AV330" i="8"/>
  <c r="AV331" i="8" s="1"/>
  <c r="AW328" i="8" s="1"/>
  <c r="AE325" i="8"/>
  <c r="AF322" i="8" s="1"/>
  <c r="AF324" i="8" s="1"/>
  <c r="BC345" i="5"/>
  <c r="BC346" i="5" s="1"/>
  <c r="BD343" i="5" s="1"/>
  <c r="AK333" i="5"/>
  <c r="AK349" i="5" s="1"/>
  <c r="BC339" i="5"/>
  <c r="BQ413" i="5"/>
  <c r="Y387" i="9" l="1"/>
  <c r="AE346" i="23"/>
  <c r="AE345" i="23"/>
  <c r="AF234" i="23"/>
  <c r="AG232" i="23" s="1"/>
  <c r="AF269" i="23"/>
  <c r="AF237" i="23"/>
  <c r="AF239" i="23" s="1"/>
  <c r="AA384" i="18"/>
  <c r="AA400" i="18" s="1"/>
  <c r="AT385" i="20"/>
  <c r="AT386" i="20" s="1"/>
  <c r="AU383" i="20" s="1"/>
  <c r="AT379" i="20"/>
  <c r="AT380" i="20" s="1"/>
  <c r="AU377" i="20" s="1"/>
  <c r="AD374" i="20"/>
  <c r="AE371" i="20" s="1"/>
  <c r="AE373" i="20" s="1"/>
  <c r="AT396" i="18"/>
  <c r="AT397" i="18" s="1"/>
  <c r="AU394" i="18" s="1"/>
  <c r="AT390" i="18"/>
  <c r="AT391" i="18" s="1"/>
  <c r="AU388" i="18" s="1"/>
  <c r="BA388" i="11"/>
  <c r="BA389" i="11" s="1"/>
  <c r="BB386" i="11" s="1"/>
  <c r="AH392" i="11"/>
  <c r="BB383" i="11"/>
  <c r="BC380" i="11" s="1"/>
  <c r="BC382" i="11" s="1"/>
  <c r="AS345" i="10"/>
  <c r="AS346" i="10" s="1"/>
  <c r="AT343" i="10" s="1"/>
  <c r="AS339" i="10"/>
  <c r="AS340" i="10" s="1"/>
  <c r="AT337" i="10" s="1"/>
  <c r="AE334" i="10"/>
  <c r="AF331" i="10" s="1"/>
  <c r="AF333" i="10" s="1"/>
  <c r="AK383" i="9"/>
  <c r="AK384" i="9" s="1"/>
  <c r="AL381" i="9" s="1"/>
  <c r="AK378" i="9"/>
  <c r="AL375" i="9" s="1"/>
  <c r="AL377" i="9" s="1"/>
  <c r="Y372" i="9"/>
  <c r="Z369" i="9" s="1"/>
  <c r="Z371" i="9" s="1"/>
  <c r="Z387" i="9" s="1"/>
  <c r="AW336" i="8"/>
  <c r="AW337" i="8" s="1"/>
  <c r="AX334" i="8" s="1"/>
  <c r="AW330" i="8"/>
  <c r="AW331" i="8" s="1"/>
  <c r="AX328" i="8" s="1"/>
  <c r="AF340" i="8"/>
  <c r="BD345" i="5"/>
  <c r="BD346" i="5" s="1"/>
  <c r="BE343" i="5" s="1"/>
  <c r="AK334" i="5"/>
  <c r="AL331" i="5" s="1"/>
  <c r="BC340" i="5"/>
  <c r="BD337" i="5" s="1"/>
  <c r="BR413" i="5"/>
  <c r="AF240" i="23" l="1"/>
  <c r="AG238" i="23" s="1"/>
  <c r="AF275" i="23"/>
  <c r="AF243" i="23"/>
  <c r="AF245" i="23" s="1"/>
  <c r="AF255" i="23" s="1"/>
  <c r="AF257" i="23" s="1"/>
  <c r="AF270" i="23"/>
  <c r="AF271" i="23" s="1"/>
  <c r="AA385" i="18"/>
  <c r="AB382" i="18" s="1"/>
  <c r="AU385" i="20"/>
  <c r="AU386" i="20" s="1"/>
  <c r="AV383" i="20" s="1"/>
  <c r="AU379" i="20"/>
  <c r="AU380" i="20" s="1"/>
  <c r="AV377" i="20" s="1"/>
  <c r="AE389" i="20"/>
  <c r="AU396" i="18"/>
  <c r="AU397" i="18" s="1"/>
  <c r="AV394" i="18" s="1"/>
  <c r="AU390" i="18"/>
  <c r="AU391" i="18" s="1"/>
  <c r="AV388" i="18" s="1"/>
  <c r="BB388" i="11"/>
  <c r="BB389" i="11" s="1"/>
  <c r="BC386" i="11" s="1"/>
  <c r="AH377" i="11"/>
  <c r="AI374" i="11" s="1"/>
  <c r="AI376" i="11" s="1"/>
  <c r="BC383" i="11"/>
  <c r="BD380" i="11" s="1"/>
  <c r="BD382" i="11" s="1"/>
  <c r="AT345" i="10"/>
  <c r="AT346" i="10" s="1"/>
  <c r="AU343" i="10" s="1"/>
  <c r="AT339" i="10"/>
  <c r="AT340" i="10" s="1"/>
  <c r="AU337" i="10" s="1"/>
  <c r="AF349" i="10"/>
  <c r="AL383" i="9"/>
  <c r="AL384" i="9" s="1"/>
  <c r="AM381" i="9" s="1"/>
  <c r="AL378" i="9"/>
  <c r="AM375" i="9" s="1"/>
  <c r="AM377" i="9" s="1"/>
  <c r="Z372" i="9"/>
  <c r="AA369" i="9" s="1"/>
  <c r="AA371" i="9" s="1"/>
  <c r="AX336" i="8"/>
  <c r="AX337" i="8" s="1"/>
  <c r="AY334" i="8" s="1"/>
  <c r="AX330" i="8"/>
  <c r="AX331" i="8" s="1"/>
  <c r="AY328" i="8" s="1"/>
  <c r="AF325" i="8"/>
  <c r="AG322" i="8" s="1"/>
  <c r="AG324" i="8" s="1"/>
  <c r="BE345" i="5"/>
  <c r="BE346" i="5" s="1"/>
  <c r="BF343" i="5" s="1"/>
  <c r="BD339" i="5"/>
  <c r="BD340" i="5" s="1"/>
  <c r="BE337" i="5" s="1"/>
  <c r="AL333" i="5"/>
  <c r="AL349" i="5" s="1"/>
  <c r="BS413" i="5"/>
  <c r="AF293" i="23" l="1"/>
  <c r="AF258" i="23"/>
  <c r="AG256" i="23" s="1"/>
  <c r="AF246" i="23"/>
  <c r="AG244" i="23" s="1"/>
  <c r="AF281" i="23"/>
  <c r="AF249" i="23"/>
  <c r="AF251" i="23" s="1"/>
  <c r="AF274" i="23"/>
  <c r="AF276" i="23" s="1"/>
  <c r="AB384" i="18"/>
  <c r="AB400" i="18" s="1"/>
  <c r="AV385" i="20"/>
  <c r="AV386" i="20" s="1"/>
  <c r="AW383" i="20" s="1"/>
  <c r="AV379" i="20"/>
  <c r="AV380" i="20" s="1"/>
  <c r="AW377" i="20" s="1"/>
  <c r="AE374" i="20"/>
  <c r="AF371" i="20" s="1"/>
  <c r="AF373" i="20" s="1"/>
  <c r="AV396" i="18"/>
  <c r="AV397" i="18" s="1"/>
  <c r="AW394" i="18" s="1"/>
  <c r="AV390" i="18"/>
  <c r="AV391" i="18" s="1"/>
  <c r="AW388" i="18" s="1"/>
  <c r="BC388" i="11"/>
  <c r="BC389" i="11" s="1"/>
  <c r="BD386" i="11" s="1"/>
  <c r="AI392" i="11"/>
  <c r="BD383" i="11"/>
  <c r="BE380" i="11" s="1"/>
  <c r="BE382" i="11" s="1"/>
  <c r="AU345" i="10"/>
  <c r="AU346" i="10" s="1"/>
  <c r="AV343" i="10" s="1"/>
  <c r="AU339" i="10"/>
  <c r="AU340" i="10" s="1"/>
  <c r="AV337" i="10" s="1"/>
  <c r="AF334" i="10"/>
  <c r="AG331" i="10" s="1"/>
  <c r="AG333" i="10" s="1"/>
  <c r="AM383" i="9"/>
  <c r="AM384" i="9" s="1"/>
  <c r="AN381" i="9" s="1"/>
  <c r="AM378" i="9"/>
  <c r="AN375" i="9" s="1"/>
  <c r="AN377" i="9" s="1"/>
  <c r="AA387" i="9"/>
  <c r="AY336" i="8"/>
  <c r="AY337" i="8" s="1"/>
  <c r="AZ334" i="8" s="1"/>
  <c r="AY330" i="8"/>
  <c r="AY331" i="8" s="1"/>
  <c r="AZ328" i="8" s="1"/>
  <c r="AG340" i="8"/>
  <c r="BE339" i="5"/>
  <c r="BE340" i="5" s="1"/>
  <c r="BF337" i="5" s="1"/>
  <c r="AL334" i="5"/>
  <c r="AM331" i="5" s="1"/>
  <c r="BF345" i="5"/>
  <c r="BF346" i="5" s="1"/>
  <c r="BG343" i="5" s="1"/>
  <c r="I421" i="5"/>
  <c r="AF280" i="23" l="1"/>
  <c r="AF282" i="23" s="1"/>
  <c r="AF292" i="23" s="1"/>
  <c r="AF294" i="23" s="1"/>
  <c r="AG203" i="23" s="1"/>
  <c r="AG311" i="23" s="1"/>
  <c r="AF277" i="23"/>
  <c r="AF287" i="23"/>
  <c r="AF260" i="23"/>
  <c r="AF252" i="23"/>
  <c r="AG250" i="23" s="1"/>
  <c r="AB385" i="18"/>
  <c r="AC382" i="18" s="1"/>
  <c r="AW385" i="20"/>
  <c r="AW386" i="20" s="1"/>
  <c r="AX383" i="20" s="1"/>
  <c r="AW379" i="20"/>
  <c r="AW380" i="20" s="1"/>
  <c r="AX377" i="20" s="1"/>
  <c r="AF389" i="20"/>
  <c r="AW396" i="18"/>
  <c r="AW397" i="18" s="1"/>
  <c r="AX394" i="18" s="1"/>
  <c r="AW390" i="18"/>
  <c r="AW391" i="18" s="1"/>
  <c r="AX388" i="18" s="1"/>
  <c r="BD388" i="11"/>
  <c r="BD389" i="11" s="1"/>
  <c r="BE386" i="11" s="1"/>
  <c r="AI377" i="11"/>
  <c r="AJ374" i="11" s="1"/>
  <c r="AJ376" i="11" s="1"/>
  <c r="BE383" i="11"/>
  <c r="BF380" i="11" s="1"/>
  <c r="BF382" i="11" s="1"/>
  <c r="AV345" i="10"/>
  <c r="AV346" i="10" s="1"/>
  <c r="AW343" i="10" s="1"/>
  <c r="AV339" i="10"/>
  <c r="AV340" i="10" s="1"/>
  <c r="AW337" i="10" s="1"/>
  <c r="AG349" i="10"/>
  <c r="AN383" i="9"/>
  <c r="AN384" i="9" s="1"/>
  <c r="AO381" i="9" s="1"/>
  <c r="AN378" i="9"/>
  <c r="AO375" i="9" s="1"/>
  <c r="AO377" i="9" s="1"/>
  <c r="AA372" i="9"/>
  <c r="AB369" i="9" s="1"/>
  <c r="AB371" i="9" s="1"/>
  <c r="AZ336" i="8"/>
  <c r="AZ337" i="8" s="1"/>
  <c r="BA334" i="8" s="1"/>
  <c r="AZ330" i="8"/>
  <c r="AZ331" i="8" s="1"/>
  <c r="BA328" i="8" s="1"/>
  <c r="AG325" i="8"/>
  <c r="AH322" i="8" s="1"/>
  <c r="AH324" i="8" s="1"/>
  <c r="BG345" i="5"/>
  <c r="BG346" i="5" s="1"/>
  <c r="BH343" i="5" s="1"/>
  <c r="BF339" i="5"/>
  <c r="BF340" i="5" s="1"/>
  <c r="BG337" i="5" s="1"/>
  <c r="AM333" i="5"/>
  <c r="AM349" i="5" s="1"/>
  <c r="AF302" i="23" l="1"/>
  <c r="AF328" i="23" s="1"/>
  <c r="AF317" i="23"/>
  <c r="AG313" i="23"/>
  <c r="AG315" i="23"/>
  <c r="AG225" i="23"/>
  <c r="AG227" i="23" s="1"/>
  <c r="AG262" i="23"/>
  <c r="AG264" i="23" s="1"/>
  <c r="AF283" i="23"/>
  <c r="AF295" i="23"/>
  <c r="AF286" i="23"/>
  <c r="AF288" i="23" s="1"/>
  <c r="AC384" i="18"/>
  <c r="AC400" i="18" s="1"/>
  <c r="AX385" i="20"/>
  <c r="AX386" i="20" s="1"/>
  <c r="AY383" i="20" s="1"/>
  <c r="AX379" i="20"/>
  <c r="AX380" i="20" s="1"/>
  <c r="AY377" i="20" s="1"/>
  <c r="AF374" i="20"/>
  <c r="AG371" i="20" s="1"/>
  <c r="AG373" i="20" s="1"/>
  <c r="AX396" i="18"/>
  <c r="AX397" i="18" s="1"/>
  <c r="AY394" i="18" s="1"/>
  <c r="AX390" i="18"/>
  <c r="AX391" i="18" s="1"/>
  <c r="AY388" i="18" s="1"/>
  <c r="BE388" i="11"/>
  <c r="BE389" i="11" s="1"/>
  <c r="BF386" i="11" s="1"/>
  <c r="AJ392" i="11"/>
  <c r="BF383" i="11"/>
  <c r="BG380" i="11" s="1"/>
  <c r="BG382" i="11" s="1"/>
  <c r="AW345" i="10"/>
  <c r="AW346" i="10" s="1"/>
  <c r="AX343" i="10" s="1"/>
  <c r="AW339" i="10"/>
  <c r="AW340" i="10" s="1"/>
  <c r="AX337" i="10" s="1"/>
  <c r="AG334" i="10"/>
  <c r="AH331" i="10" s="1"/>
  <c r="AH333" i="10" s="1"/>
  <c r="AO383" i="9"/>
  <c r="AO384" i="9" s="1"/>
  <c r="AP381" i="9" s="1"/>
  <c r="AO378" i="9"/>
  <c r="AP375" i="9" s="1"/>
  <c r="AP377" i="9" s="1"/>
  <c r="AB387" i="9"/>
  <c r="BA336" i="8"/>
  <c r="BA337" i="8" s="1"/>
  <c r="BB334" i="8" s="1"/>
  <c r="BA330" i="8"/>
  <c r="BA331" i="8" s="1"/>
  <c r="BB328" i="8" s="1"/>
  <c r="AH340" i="8"/>
  <c r="AM334" i="5"/>
  <c r="AN331" i="5" s="1"/>
  <c r="AN333" i="5" s="1"/>
  <c r="AN349" i="5" s="1"/>
  <c r="BG339" i="5"/>
  <c r="BG340" i="5" s="1"/>
  <c r="BH337" i="5" s="1"/>
  <c r="BH345" i="5"/>
  <c r="BH346" i="5" s="1"/>
  <c r="BI343" i="5" s="1"/>
  <c r="AF330" i="23" l="1"/>
  <c r="AG319" i="23"/>
  <c r="AG321" i="23" s="1"/>
  <c r="AF297" i="23"/>
  <c r="AF289" i="23"/>
  <c r="AG268" i="23"/>
  <c r="AG231" i="23"/>
  <c r="AG233" i="23" s="1"/>
  <c r="AG237" i="23" s="1"/>
  <c r="AG239" i="23" s="1"/>
  <c r="AC385" i="18"/>
  <c r="AD382" i="18" s="1"/>
  <c r="AY385" i="20"/>
  <c r="AY386" i="20" s="1"/>
  <c r="AZ383" i="20" s="1"/>
  <c r="AY379" i="20"/>
  <c r="AY380" i="20" s="1"/>
  <c r="AZ377" i="20" s="1"/>
  <c r="AG389" i="20"/>
  <c r="AY396" i="18"/>
  <c r="AY397" i="18" s="1"/>
  <c r="AZ394" i="18" s="1"/>
  <c r="AY390" i="18"/>
  <c r="AY391" i="18" s="1"/>
  <c r="AZ388" i="18" s="1"/>
  <c r="BF388" i="11"/>
  <c r="BF389" i="11" s="1"/>
  <c r="BG386" i="11" s="1"/>
  <c r="AJ377" i="11"/>
  <c r="AK374" i="11" s="1"/>
  <c r="BG383" i="11"/>
  <c r="BH380" i="11" s="1"/>
  <c r="BH382" i="11" s="1"/>
  <c r="AX345" i="10"/>
  <c r="AX346" i="10" s="1"/>
  <c r="AY343" i="10" s="1"/>
  <c r="AX339" i="10"/>
  <c r="AX340" i="10" s="1"/>
  <c r="AY337" i="10" s="1"/>
  <c r="AH349" i="10"/>
  <c r="AP383" i="9"/>
  <c r="AP384" i="9" s="1"/>
  <c r="AQ381" i="9" s="1"/>
  <c r="AP378" i="9"/>
  <c r="AQ375" i="9" s="1"/>
  <c r="AQ377" i="9" s="1"/>
  <c r="AB372" i="9"/>
  <c r="AC369" i="9" s="1"/>
  <c r="AC371" i="9" s="1"/>
  <c r="BB336" i="8"/>
  <c r="BB337" i="8" s="1"/>
  <c r="BC334" i="8" s="1"/>
  <c r="BB330" i="8"/>
  <c r="BB331" i="8" s="1"/>
  <c r="BC328" i="8" s="1"/>
  <c r="AH325" i="8"/>
  <c r="AI322" i="8" s="1"/>
  <c r="AI324" i="8" s="1"/>
  <c r="BI345" i="5"/>
  <c r="BI346" i="5" s="1"/>
  <c r="BJ343" i="5" s="1"/>
  <c r="BH339" i="5"/>
  <c r="BH340" i="5" s="1"/>
  <c r="BI337" i="5" s="1"/>
  <c r="AN334" i="5"/>
  <c r="AO331" i="5" s="1"/>
  <c r="AF331" i="23" l="1"/>
  <c r="AF299" i="23"/>
  <c r="AF322" i="23" s="1"/>
  <c r="AF303" i="23"/>
  <c r="AF334" i="23" s="1"/>
  <c r="AF336" i="23" s="1"/>
  <c r="AG269" i="23"/>
  <c r="AG234" i="23"/>
  <c r="AH232" i="23" s="1"/>
  <c r="AG243" i="23"/>
  <c r="AG245" i="23" s="1"/>
  <c r="AG275" i="23"/>
  <c r="AG240" i="23"/>
  <c r="AH238" i="23" s="1"/>
  <c r="AD384" i="18"/>
  <c r="AD400" i="18" s="1"/>
  <c r="AZ385" i="20"/>
  <c r="AZ386" i="20" s="1"/>
  <c r="BA383" i="20" s="1"/>
  <c r="AZ379" i="20"/>
  <c r="AZ380" i="20" s="1"/>
  <c r="BA377" i="20" s="1"/>
  <c r="AG374" i="20"/>
  <c r="AH371" i="20" s="1"/>
  <c r="AH373" i="20" s="1"/>
  <c r="AZ396" i="18"/>
  <c r="AZ397" i="18" s="1"/>
  <c r="BA394" i="18" s="1"/>
  <c r="AZ390" i="18"/>
  <c r="AZ391" i="18" s="1"/>
  <c r="BA388" i="18" s="1"/>
  <c r="BG388" i="11"/>
  <c r="BG389" i="11" s="1"/>
  <c r="BH386" i="11" s="1"/>
  <c r="AK376" i="11"/>
  <c r="AK392" i="11" s="1"/>
  <c r="BH383" i="11"/>
  <c r="BI380" i="11" s="1"/>
  <c r="BI382" i="11" s="1"/>
  <c r="AY345" i="10"/>
  <c r="AY346" i="10" s="1"/>
  <c r="AZ343" i="10" s="1"/>
  <c r="AY339" i="10"/>
  <c r="AY340" i="10" s="1"/>
  <c r="AZ337" i="10" s="1"/>
  <c r="AH334" i="10"/>
  <c r="AI331" i="10" s="1"/>
  <c r="AI333" i="10" s="1"/>
  <c r="AQ383" i="9"/>
  <c r="AQ384" i="9" s="1"/>
  <c r="AR381" i="9" s="1"/>
  <c r="AQ378" i="9"/>
  <c r="AR375" i="9" s="1"/>
  <c r="AR377" i="9" s="1"/>
  <c r="AC387" i="9"/>
  <c r="BC336" i="8"/>
  <c r="BC337" i="8" s="1"/>
  <c r="BD334" i="8" s="1"/>
  <c r="BC330" i="8"/>
  <c r="BC331" i="8" s="1"/>
  <c r="BD328" i="8" s="1"/>
  <c r="AI340" i="8"/>
  <c r="BI339" i="5"/>
  <c r="BI340" i="5" s="1"/>
  <c r="BJ337" i="5" s="1"/>
  <c r="BJ345" i="5"/>
  <c r="BJ346" i="5" s="1"/>
  <c r="BK343" i="5" s="1"/>
  <c r="AO333" i="5"/>
  <c r="AO349" i="5" s="1"/>
  <c r="AF340" i="23" l="1"/>
  <c r="AF337" i="23"/>
  <c r="AF305" i="23"/>
  <c r="AF306" i="23" s="1"/>
  <c r="AG281" i="23"/>
  <c r="AG246" i="23"/>
  <c r="AH244" i="23" s="1"/>
  <c r="AG249" i="23"/>
  <c r="AG251" i="23" s="1"/>
  <c r="AG255" i="23"/>
  <c r="AG257" i="23" s="1"/>
  <c r="AG270" i="23"/>
  <c r="AG271" i="23" s="1"/>
  <c r="AD385" i="18"/>
  <c r="AE382" i="18" s="1"/>
  <c r="BA385" i="20"/>
  <c r="BA386" i="20" s="1"/>
  <c r="BB383" i="20" s="1"/>
  <c r="BA379" i="20"/>
  <c r="BA380" i="20" s="1"/>
  <c r="BB377" i="20" s="1"/>
  <c r="AH389" i="20"/>
  <c r="BA396" i="18"/>
  <c r="BA397" i="18" s="1"/>
  <c r="BB394" i="18" s="1"/>
  <c r="BA390" i="18"/>
  <c r="BA391" i="18" s="1"/>
  <c r="BB388" i="18" s="1"/>
  <c r="BH388" i="11"/>
  <c r="BH389" i="11" s="1"/>
  <c r="BI386" i="11" s="1"/>
  <c r="AK377" i="11"/>
  <c r="AL374" i="11" s="1"/>
  <c r="AL376" i="11" s="1"/>
  <c r="AL392" i="11" s="1"/>
  <c r="BI383" i="11"/>
  <c r="BJ380" i="11" s="1"/>
  <c r="BJ382" i="11" s="1"/>
  <c r="AZ345" i="10"/>
  <c r="AZ346" i="10" s="1"/>
  <c r="BA343" i="10" s="1"/>
  <c r="AZ339" i="10"/>
  <c r="AZ340" i="10" s="1"/>
  <c r="BA337" i="10" s="1"/>
  <c r="AI349" i="10"/>
  <c r="AR383" i="9"/>
  <c r="AR384" i="9" s="1"/>
  <c r="AS381" i="9" s="1"/>
  <c r="AR378" i="9"/>
  <c r="AS375" i="9" s="1"/>
  <c r="AS377" i="9" s="1"/>
  <c r="AC372" i="9"/>
  <c r="AD369" i="9" s="1"/>
  <c r="BD336" i="8"/>
  <c r="BD337" i="8" s="1"/>
  <c r="BE334" i="8" s="1"/>
  <c r="BD330" i="8"/>
  <c r="BD331" i="8" s="1"/>
  <c r="BE328" i="8" s="1"/>
  <c r="AI325" i="8"/>
  <c r="AJ322" i="8" s="1"/>
  <c r="AJ324" i="8" s="1"/>
  <c r="BK345" i="5"/>
  <c r="BK346" i="5" s="1"/>
  <c r="BL343" i="5" s="1"/>
  <c r="BJ339" i="5"/>
  <c r="BJ340" i="5" s="1"/>
  <c r="BK337" i="5" s="1"/>
  <c r="AO334" i="5"/>
  <c r="AP331" i="5" s="1"/>
  <c r="AF342" i="23" l="1"/>
  <c r="AG293" i="23"/>
  <c r="AG258" i="23"/>
  <c r="AH256" i="23" s="1"/>
  <c r="AG287" i="23"/>
  <c r="AG260" i="23"/>
  <c r="AG252" i="23"/>
  <c r="AH250" i="23" s="1"/>
  <c r="AG274" i="23"/>
  <c r="AG276" i="23" s="1"/>
  <c r="AG277" i="23" s="1"/>
  <c r="AE384" i="18"/>
  <c r="AE400" i="18" s="1"/>
  <c r="BB385" i="20"/>
  <c r="BB386" i="20" s="1"/>
  <c r="BC383" i="20" s="1"/>
  <c r="BB379" i="20"/>
  <c r="BB380" i="20" s="1"/>
  <c r="BC377" i="20" s="1"/>
  <c r="AH374" i="20"/>
  <c r="AI371" i="20" s="1"/>
  <c r="AI373" i="20" s="1"/>
  <c r="BB396" i="18"/>
  <c r="BB397" i="18" s="1"/>
  <c r="BC394" i="18" s="1"/>
  <c r="BB390" i="18"/>
  <c r="BB391" i="18" s="1"/>
  <c r="BC388" i="18" s="1"/>
  <c r="BI388" i="11"/>
  <c r="BI389" i="11" s="1"/>
  <c r="BJ386" i="11" s="1"/>
  <c r="AL377" i="11"/>
  <c r="AM374" i="11" s="1"/>
  <c r="AM376" i="11" s="1"/>
  <c r="BJ383" i="11"/>
  <c r="BK380" i="11" s="1"/>
  <c r="BK382" i="11" s="1"/>
  <c r="BA345" i="10"/>
  <c r="BA346" i="10" s="1"/>
  <c r="BB343" i="10" s="1"/>
  <c r="BA339" i="10"/>
  <c r="BA340" i="10" s="1"/>
  <c r="BB337" i="10" s="1"/>
  <c r="AI334" i="10"/>
  <c r="AJ331" i="10" s="1"/>
  <c r="AJ333" i="10" s="1"/>
  <c r="AS383" i="9"/>
  <c r="AS384" i="9" s="1"/>
  <c r="AT381" i="9" s="1"/>
  <c r="AS378" i="9"/>
  <c r="AT375" i="9" s="1"/>
  <c r="AT377" i="9" s="1"/>
  <c r="AD371" i="9"/>
  <c r="AD387" i="9" s="1"/>
  <c r="BE336" i="8"/>
  <c r="BE337" i="8" s="1"/>
  <c r="BF334" i="8" s="1"/>
  <c r="BE330" i="8"/>
  <c r="BE331" i="8" s="1"/>
  <c r="BF328" i="8" s="1"/>
  <c r="AJ340" i="8"/>
  <c r="BK339" i="5"/>
  <c r="BK340" i="5" s="1"/>
  <c r="BL337" i="5" s="1"/>
  <c r="BL345" i="5"/>
  <c r="BL346" i="5" s="1"/>
  <c r="BM343" i="5" s="1"/>
  <c r="AP333" i="5"/>
  <c r="AP349" i="5" s="1"/>
  <c r="I338" i="5"/>
  <c r="AF343" i="23" l="1"/>
  <c r="AF346" i="23" s="1"/>
  <c r="AF345" i="23"/>
  <c r="AG302" i="23"/>
  <c r="AG328" i="23" s="1"/>
  <c r="AG330" i="23" s="1"/>
  <c r="AG317" i="23"/>
  <c r="AG280" i="23"/>
  <c r="AG282" i="23" s="1"/>
  <c r="AG283" i="23" s="1"/>
  <c r="AE385" i="18"/>
  <c r="AF382" i="18" s="1"/>
  <c r="BC385" i="20"/>
  <c r="BC386" i="20" s="1"/>
  <c r="BD383" i="20" s="1"/>
  <c r="BC379" i="20"/>
  <c r="BC380" i="20" s="1"/>
  <c r="BD377" i="20" s="1"/>
  <c r="AI389" i="20"/>
  <c r="BC396" i="18"/>
  <c r="BC397" i="18" s="1"/>
  <c r="BD394" i="18" s="1"/>
  <c r="BC390" i="18"/>
  <c r="BC391" i="18" s="1"/>
  <c r="BD388" i="18" s="1"/>
  <c r="BJ388" i="11"/>
  <c r="BJ389" i="11" s="1"/>
  <c r="BK386" i="11" s="1"/>
  <c r="AM392" i="11"/>
  <c r="BK383" i="11"/>
  <c r="BL380" i="11" s="1"/>
  <c r="BL382" i="11" s="1"/>
  <c r="BB345" i="10"/>
  <c r="BB346" i="10" s="1"/>
  <c r="BC343" i="10" s="1"/>
  <c r="BB339" i="10"/>
  <c r="BB340" i="10" s="1"/>
  <c r="BC337" i="10" s="1"/>
  <c r="AJ349" i="10"/>
  <c r="AT383" i="9"/>
  <c r="AT384" i="9" s="1"/>
  <c r="AU381" i="9" s="1"/>
  <c r="AT378" i="9"/>
  <c r="AU375" i="9" s="1"/>
  <c r="AU377" i="9" s="1"/>
  <c r="AD372" i="9"/>
  <c r="AE369" i="9" s="1"/>
  <c r="AE371" i="9" s="1"/>
  <c r="AE387" i="9" s="1"/>
  <c r="BF336" i="8"/>
  <c r="BF337" i="8" s="1"/>
  <c r="BG334" i="8" s="1"/>
  <c r="BF330" i="8"/>
  <c r="BF331" i="8" s="1"/>
  <c r="BG328" i="8" s="1"/>
  <c r="AJ325" i="8"/>
  <c r="AK322" i="8" s="1"/>
  <c r="AK324" i="8" s="1"/>
  <c r="BM345" i="5"/>
  <c r="BM346" i="5" s="1"/>
  <c r="BN343" i="5" s="1"/>
  <c r="BL339" i="5"/>
  <c r="BL340" i="5" s="1"/>
  <c r="BM337" i="5" s="1"/>
  <c r="AP334" i="5"/>
  <c r="AQ331" i="5" s="1"/>
  <c r="AG331" i="23" l="1"/>
  <c r="AG286" i="23"/>
  <c r="AG288" i="23" s="1"/>
  <c r="AG292" i="23"/>
  <c r="AG294" i="23" s="1"/>
  <c r="AF384" i="18"/>
  <c r="AF400" i="18" s="1"/>
  <c r="BD385" i="20"/>
  <c r="BD386" i="20" s="1"/>
  <c r="BE383" i="20" s="1"/>
  <c r="BD379" i="20"/>
  <c r="BD380" i="20" s="1"/>
  <c r="BE377" i="20" s="1"/>
  <c r="AI374" i="20"/>
  <c r="AJ371" i="20" s="1"/>
  <c r="AJ373" i="20" s="1"/>
  <c r="BD396" i="18"/>
  <c r="BD397" i="18" s="1"/>
  <c r="BE394" i="18" s="1"/>
  <c r="BD390" i="18"/>
  <c r="BD391" i="18" s="1"/>
  <c r="BE388" i="18" s="1"/>
  <c r="BK388" i="11"/>
  <c r="BK389" i="11" s="1"/>
  <c r="BL386" i="11" s="1"/>
  <c r="AM377" i="11"/>
  <c r="AN374" i="11" s="1"/>
  <c r="BL383" i="11"/>
  <c r="BM380" i="11" s="1"/>
  <c r="BM382" i="11" s="1"/>
  <c r="BC345" i="10"/>
  <c r="BC346" i="10" s="1"/>
  <c r="BD343" i="10" s="1"/>
  <c r="BC339" i="10"/>
  <c r="BC340" i="10" s="1"/>
  <c r="BD337" i="10" s="1"/>
  <c r="AJ334" i="10"/>
  <c r="AK331" i="10" s="1"/>
  <c r="AU383" i="9"/>
  <c r="AU384" i="9" s="1"/>
  <c r="AV381" i="9" s="1"/>
  <c r="AU378" i="9"/>
  <c r="AV375" i="9" s="1"/>
  <c r="AV377" i="9" s="1"/>
  <c r="AE372" i="9"/>
  <c r="AF369" i="9" s="1"/>
  <c r="AF371" i="9" s="1"/>
  <c r="BG336" i="8"/>
  <c r="BG337" i="8" s="1"/>
  <c r="BH334" i="8" s="1"/>
  <c r="BG330" i="8"/>
  <c r="BG331" i="8" s="1"/>
  <c r="BH328" i="8" s="1"/>
  <c r="AK340" i="8"/>
  <c r="BM339" i="5"/>
  <c r="BM340" i="5" s="1"/>
  <c r="BN337" i="5" s="1"/>
  <c r="BN345" i="5"/>
  <c r="BN346" i="5" s="1"/>
  <c r="BO343" i="5" s="1"/>
  <c r="AQ333" i="5"/>
  <c r="AQ334" i="5" s="1"/>
  <c r="AR331" i="5" s="1"/>
  <c r="AH203" i="23" l="1"/>
  <c r="AH311" i="23" s="1"/>
  <c r="AG295" i="23"/>
  <c r="AG297" i="23"/>
  <c r="AG289" i="23"/>
  <c r="AF385" i="18"/>
  <c r="AG382" i="18" s="1"/>
  <c r="BE385" i="20"/>
  <c r="BE386" i="20" s="1"/>
  <c r="BF383" i="20" s="1"/>
  <c r="BE379" i="20"/>
  <c r="BE380" i="20" s="1"/>
  <c r="BF377" i="20" s="1"/>
  <c r="AJ389" i="20"/>
  <c r="BE396" i="18"/>
  <c r="BE397" i="18" s="1"/>
  <c r="BF394" i="18" s="1"/>
  <c r="BE390" i="18"/>
  <c r="BE391" i="18" s="1"/>
  <c r="BF388" i="18" s="1"/>
  <c r="BL388" i="11"/>
  <c r="BL389" i="11" s="1"/>
  <c r="BM386" i="11" s="1"/>
  <c r="AN376" i="11"/>
  <c r="AN392" i="11" s="1"/>
  <c r="BM383" i="11"/>
  <c r="BN380" i="11" s="1"/>
  <c r="BN382" i="11" s="1"/>
  <c r="BD345" i="10"/>
  <c r="BD346" i="10" s="1"/>
  <c r="BE343" i="10" s="1"/>
  <c r="BD339" i="10"/>
  <c r="BD340" i="10" s="1"/>
  <c r="BE337" i="10" s="1"/>
  <c r="AK333" i="10"/>
  <c r="AK349" i="10" s="1"/>
  <c r="AV383" i="9"/>
  <c r="AV384" i="9" s="1"/>
  <c r="AW381" i="9" s="1"/>
  <c r="AV378" i="9"/>
  <c r="AW375" i="9" s="1"/>
  <c r="AW377" i="9" s="1"/>
  <c r="AF387" i="9"/>
  <c r="BH336" i="8"/>
  <c r="BH337" i="8" s="1"/>
  <c r="BI334" i="8" s="1"/>
  <c r="BH330" i="8"/>
  <c r="BH331" i="8" s="1"/>
  <c r="BI328" i="8" s="1"/>
  <c r="AK325" i="8"/>
  <c r="AL322" i="8" s="1"/>
  <c r="AL324" i="8" s="1"/>
  <c r="AR333" i="5"/>
  <c r="AR349" i="5" s="1"/>
  <c r="BO345" i="5"/>
  <c r="BO346" i="5" s="1"/>
  <c r="BP343" i="5" s="1"/>
  <c r="BN339" i="5"/>
  <c r="BN340" i="5" s="1"/>
  <c r="BO337" i="5" s="1"/>
  <c r="BO339" i="5" s="1"/>
  <c r="BO340" i="5" s="1"/>
  <c r="BP337" i="5" s="1"/>
  <c r="AQ349" i="5"/>
  <c r="I300" i="5"/>
  <c r="AH313" i="23" l="1"/>
  <c r="AH315" i="23"/>
  <c r="AG299" i="23"/>
  <c r="AG322" i="23" s="1"/>
  <c r="AG303" i="23"/>
  <c r="AG334" i="23" s="1"/>
  <c r="AH225" i="23"/>
  <c r="AH227" i="23" s="1"/>
  <c r="AH262" i="23"/>
  <c r="AH264" i="23" s="1"/>
  <c r="AG384" i="18"/>
  <c r="AG400" i="18" s="1"/>
  <c r="BF385" i="20"/>
  <c r="BF386" i="20" s="1"/>
  <c r="BG383" i="20" s="1"/>
  <c r="BF379" i="20"/>
  <c r="BF380" i="20" s="1"/>
  <c r="BG377" i="20" s="1"/>
  <c r="AJ374" i="20"/>
  <c r="AK371" i="20" s="1"/>
  <c r="AK373" i="20" s="1"/>
  <c r="BF396" i="18"/>
  <c r="BF397" i="18" s="1"/>
  <c r="BG394" i="18" s="1"/>
  <c r="BF390" i="18"/>
  <c r="BF391" i="18" s="1"/>
  <c r="BG388" i="18" s="1"/>
  <c r="BM388" i="11"/>
  <c r="BM389" i="11" s="1"/>
  <c r="BN386" i="11" s="1"/>
  <c r="AN377" i="11"/>
  <c r="AO374" i="11" s="1"/>
  <c r="BN383" i="11"/>
  <c r="BO380" i="11" s="1"/>
  <c r="BO382" i="11" s="1"/>
  <c r="BE345" i="10"/>
  <c r="BE346" i="10" s="1"/>
  <c r="BF343" i="10" s="1"/>
  <c r="BE339" i="10"/>
  <c r="BE340" i="10" s="1"/>
  <c r="BF337" i="10" s="1"/>
  <c r="AK334" i="10"/>
  <c r="AL331" i="10" s="1"/>
  <c r="AL333" i="10" s="1"/>
  <c r="AL349" i="10" s="1"/>
  <c r="AW383" i="9"/>
  <c r="AW384" i="9" s="1"/>
  <c r="AX381" i="9" s="1"/>
  <c r="AW378" i="9"/>
  <c r="AX375" i="9" s="1"/>
  <c r="AX377" i="9" s="1"/>
  <c r="AF372" i="9"/>
  <c r="AG369" i="9" s="1"/>
  <c r="AG371" i="9" s="1"/>
  <c r="BI336" i="8"/>
  <c r="BI337" i="8" s="1"/>
  <c r="BJ334" i="8" s="1"/>
  <c r="BI330" i="8"/>
  <c r="BI331" i="8" s="1"/>
  <c r="BJ328" i="8" s="1"/>
  <c r="AL340" i="8"/>
  <c r="AR334" i="5"/>
  <c r="AS331" i="5" s="1"/>
  <c r="AS333" i="5" s="1"/>
  <c r="AS334" i="5" s="1"/>
  <c r="AT331" i="5" s="1"/>
  <c r="BP345" i="5"/>
  <c r="BP346" i="5" s="1"/>
  <c r="BQ343" i="5" s="1"/>
  <c r="BP339" i="5"/>
  <c r="BP340" i="5" s="1"/>
  <c r="BQ337" i="5" s="1"/>
  <c r="AG340" i="23" l="1"/>
  <c r="AG336" i="23"/>
  <c r="AH319" i="23"/>
  <c r="AH321" i="23" s="1"/>
  <c r="AG305" i="23"/>
  <c r="AG306" i="23" s="1"/>
  <c r="AH268" i="23"/>
  <c r="AH231" i="23"/>
  <c r="AH233" i="23" s="1"/>
  <c r="AH237" i="23" s="1"/>
  <c r="AH239" i="23" s="1"/>
  <c r="AG385" i="18"/>
  <c r="AH382" i="18" s="1"/>
  <c r="BG385" i="20"/>
  <c r="BG386" i="20" s="1"/>
  <c r="BH383" i="20" s="1"/>
  <c r="BG379" i="20"/>
  <c r="BG380" i="20" s="1"/>
  <c r="BH377" i="20" s="1"/>
  <c r="AK389" i="20"/>
  <c r="BG396" i="18"/>
  <c r="BG397" i="18" s="1"/>
  <c r="BH394" i="18" s="1"/>
  <c r="BG390" i="18"/>
  <c r="BG391" i="18" s="1"/>
  <c r="BH388" i="18" s="1"/>
  <c r="BN388" i="11"/>
  <c r="BN389" i="11" s="1"/>
  <c r="BO386" i="11" s="1"/>
  <c r="AO376" i="11"/>
  <c r="AO377" i="11" s="1"/>
  <c r="AP374" i="11" s="1"/>
  <c r="BO383" i="11"/>
  <c r="BP380" i="11" s="1"/>
  <c r="BP382" i="11" s="1"/>
  <c r="BF345" i="10"/>
  <c r="BF346" i="10" s="1"/>
  <c r="BG343" i="10" s="1"/>
  <c r="BF339" i="10"/>
  <c r="BF340" i="10" s="1"/>
  <c r="BG337" i="10" s="1"/>
  <c r="AL334" i="10"/>
  <c r="AM331" i="10" s="1"/>
  <c r="AM333" i="10" s="1"/>
  <c r="AX383" i="9"/>
  <c r="AX384" i="9" s="1"/>
  <c r="AY381" i="9" s="1"/>
  <c r="AX378" i="9"/>
  <c r="AY375" i="9" s="1"/>
  <c r="AY377" i="9" s="1"/>
  <c r="AG387" i="9"/>
  <c r="BJ336" i="8"/>
  <c r="BJ337" i="8" s="1"/>
  <c r="BK334" i="8" s="1"/>
  <c r="BJ330" i="8"/>
  <c r="BJ331" i="8" s="1"/>
  <c r="BK328" i="8" s="1"/>
  <c r="AL325" i="8"/>
  <c r="AM322" i="8" s="1"/>
  <c r="AM324" i="8" s="1"/>
  <c r="BQ345" i="5"/>
  <c r="BQ346" i="5" s="1"/>
  <c r="BR343" i="5" s="1"/>
  <c r="AS349" i="5"/>
  <c r="BQ339" i="5"/>
  <c r="BQ340" i="5" s="1"/>
  <c r="BR337" i="5" s="1"/>
  <c r="AT333" i="5"/>
  <c r="AT349" i="5" s="1"/>
  <c r="AG342" i="23" l="1"/>
  <c r="AG343" i="23" s="1"/>
  <c r="AG337" i="23"/>
  <c r="AH269" i="23"/>
  <c r="AH234" i="23"/>
  <c r="AI232" i="23" s="1"/>
  <c r="AH243" i="23"/>
  <c r="AH245" i="23" s="1"/>
  <c r="AH240" i="23"/>
  <c r="AI238" i="23" s="1"/>
  <c r="AH275" i="23"/>
  <c r="AH384" i="18"/>
  <c r="AH400" i="18" s="1"/>
  <c r="BH385" i="20"/>
  <c r="BH386" i="20" s="1"/>
  <c r="BI383" i="20" s="1"/>
  <c r="BH379" i="20"/>
  <c r="BH380" i="20" s="1"/>
  <c r="BI377" i="20" s="1"/>
  <c r="AK374" i="20"/>
  <c r="AL371" i="20" s="1"/>
  <c r="AL373" i="20" s="1"/>
  <c r="BH396" i="18"/>
  <c r="BH397" i="18" s="1"/>
  <c r="BI394" i="18" s="1"/>
  <c r="BH390" i="18"/>
  <c r="BH391" i="18" s="1"/>
  <c r="BI388" i="18" s="1"/>
  <c r="BO388" i="11"/>
  <c r="BO389" i="11" s="1"/>
  <c r="BP386" i="11" s="1"/>
  <c r="AP376" i="11"/>
  <c r="AP377" i="11" s="1"/>
  <c r="AQ374" i="11" s="1"/>
  <c r="AO392" i="11"/>
  <c r="BP383" i="11"/>
  <c r="BQ380" i="11" s="1"/>
  <c r="BQ382" i="11" s="1"/>
  <c r="BG345" i="10"/>
  <c r="BG346" i="10" s="1"/>
  <c r="BH343" i="10" s="1"/>
  <c r="BG339" i="10"/>
  <c r="BG340" i="10" s="1"/>
  <c r="BH337" i="10" s="1"/>
  <c r="AM349" i="10"/>
  <c r="AY383" i="9"/>
  <c r="AY384" i="9" s="1"/>
  <c r="AZ381" i="9" s="1"/>
  <c r="AY378" i="9"/>
  <c r="AZ375" i="9" s="1"/>
  <c r="AZ377" i="9" s="1"/>
  <c r="AG372" i="9"/>
  <c r="AH369" i="9" s="1"/>
  <c r="AH371" i="9" s="1"/>
  <c r="BK336" i="8"/>
  <c r="BK337" i="8" s="1"/>
  <c r="BL334" i="8" s="1"/>
  <c r="BK330" i="8"/>
  <c r="BK331" i="8" s="1"/>
  <c r="BL328" i="8" s="1"/>
  <c r="AM340" i="8"/>
  <c r="BR339" i="5"/>
  <c r="BR340" i="5" s="1"/>
  <c r="BS337" i="5" s="1"/>
  <c r="BR345" i="5"/>
  <c r="BR346" i="5" s="1"/>
  <c r="BS343" i="5" s="1"/>
  <c r="AT334" i="5"/>
  <c r="AU331" i="5" s="1"/>
  <c r="AG346" i="23" l="1"/>
  <c r="AG345" i="23"/>
  <c r="AH281" i="23"/>
  <c r="AH246" i="23"/>
  <c r="AI244" i="23" s="1"/>
  <c r="AH249" i="23"/>
  <c r="AH251" i="23" s="1"/>
  <c r="AH270" i="23"/>
  <c r="AH255" i="23"/>
  <c r="AH257" i="23" s="1"/>
  <c r="AH385" i="18"/>
  <c r="AI382" i="18" s="1"/>
  <c r="BI385" i="20"/>
  <c r="BI386" i="20" s="1"/>
  <c r="BJ383" i="20" s="1"/>
  <c r="BI379" i="20"/>
  <c r="BI380" i="20" s="1"/>
  <c r="BJ377" i="20" s="1"/>
  <c r="AL389" i="20"/>
  <c r="BI396" i="18"/>
  <c r="BI397" i="18" s="1"/>
  <c r="BJ394" i="18" s="1"/>
  <c r="BI390" i="18"/>
  <c r="BI391" i="18" s="1"/>
  <c r="BJ388" i="18" s="1"/>
  <c r="BP388" i="11"/>
  <c r="BP389" i="11" s="1"/>
  <c r="BQ386" i="11" s="1"/>
  <c r="AQ376" i="11"/>
  <c r="AQ392" i="11" s="1"/>
  <c r="AP392" i="11"/>
  <c r="BQ383" i="11"/>
  <c r="BR380" i="11" s="1"/>
  <c r="BR382" i="11" s="1"/>
  <c r="BH345" i="10"/>
  <c r="BH346" i="10" s="1"/>
  <c r="BI343" i="10" s="1"/>
  <c r="BH339" i="10"/>
  <c r="BH340" i="10" s="1"/>
  <c r="BI337" i="10" s="1"/>
  <c r="AM334" i="10"/>
  <c r="AN331" i="10" s="1"/>
  <c r="AN333" i="10" s="1"/>
  <c r="AZ383" i="9"/>
  <c r="AZ384" i="9" s="1"/>
  <c r="BA381" i="9" s="1"/>
  <c r="AZ378" i="9"/>
  <c r="BA375" i="9" s="1"/>
  <c r="BA377" i="9" s="1"/>
  <c r="AH387" i="9"/>
  <c r="BL336" i="8"/>
  <c r="BL337" i="8" s="1"/>
  <c r="BM334" i="8" s="1"/>
  <c r="BL330" i="8"/>
  <c r="BL331" i="8" s="1"/>
  <c r="BM328" i="8" s="1"/>
  <c r="AM325" i="8"/>
  <c r="AN322" i="8" s="1"/>
  <c r="AN324" i="8" s="1"/>
  <c r="BS345" i="5"/>
  <c r="I345" i="5" s="1"/>
  <c r="BS339" i="5"/>
  <c r="BS340" i="5" s="1"/>
  <c r="AU333" i="5"/>
  <c r="AU334" i="5" s="1"/>
  <c r="AV331" i="5" s="1"/>
  <c r="AH274" i="23" l="1"/>
  <c r="AH276" i="23" s="1"/>
  <c r="AH277" i="23" s="1"/>
  <c r="AH258" i="23"/>
  <c r="AI256" i="23" s="1"/>
  <c r="AH293" i="23"/>
  <c r="AH287" i="23"/>
  <c r="AH260" i="23"/>
  <c r="AH252" i="23"/>
  <c r="AI250" i="23" s="1"/>
  <c r="AH271" i="23"/>
  <c r="AI384" i="18"/>
  <c r="AI400" i="18" s="1"/>
  <c r="BJ385" i="20"/>
  <c r="BJ386" i="20" s="1"/>
  <c r="BK383" i="20" s="1"/>
  <c r="BJ379" i="20"/>
  <c r="BJ380" i="20" s="1"/>
  <c r="BK377" i="20" s="1"/>
  <c r="AL374" i="20"/>
  <c r="AM371" i="20" s="1"/>
  <c r="AM373" i="20" s="1"/>
  <c r="BJ396" i="18"/>
  <c r="BJ397" i="18" s="1"/>
  <c r="BK394" i="18" s="1"/>
  <c r="BJ390" i="18"/>
  <c r="BJ391" i="18" s="1"/>
  <c r="BK388" i="18" s="1"/>
  <c r="BQ388" i="11"/>
  <c r="BQ389" i="11" s="1"/>
  <c r="BR386" i="11" s="1"/>
  <c r="AQ377" i="11"/>
  <c r="AR374" i="11" s="1"/>
  <c r="BR383" i="11"/>
  <c r="BS380" i="11" s="1"/>
  <c r="BS382" i="11" s="1"/>
  <c r="BI345" i="10"/>
  <c r="BI346" i="10" s="1"/>
  <c r="BJ343" i="10" s="1"/>
  <c r="BI339" i="10"/>
  <c r="BI340" i="10" s="1"/>
  <c r="BJ337" i="10" s="1"/>
  <c r="AN349" i="10"/>
  <c r="BA383" i="9"/>
  <c r="BA384" i="9" s="1"/>
  <c r="BB381" i="9" s="1"/>
  <c r="BA378" i="9"/>
  <c r="BB375" i="9" s="1"/>
  <c r="BB377" i="9" s="1"/>
  <c r="AH372" i="9"/>
  <c r="AI369" i="9" s="1"/>
  <c r="AI371" i="9" s="1"/>
  <c r="BM336" i="8"/>
  <c r="BM337" i="8" s="1"/>
  <c r="BN334" i="8" s="1"/>
  <c r="BM330" i="8"/>
  <c r="BM331" i="8" s="1"/>
  <c r="BN328" i="8" s="1"/>
  <c r="AN340" i="8"/>
  <c r="AV333" i="5"/>
  <c r="AV349" i="5" s="1"/>
  <c r="I339" i="5"/>
  <c r="BS346" i="5"/>
  <c r="AU349" i="5"/>
  <c r="AH302" i="23" l="1"/>
  <c r="AH328" i="23" s="1"/>
  <c r="AH317" i="23"/>
  <c r="AH280" i="23"/>
  <c r="AH282" i="23" s="1"/>
  <c r="AH286" i="23" s="1"/>
  <c r="AH288" i="23" s="1"/>
  <c r="AI385" i="18"/>
  <c r="AJ382" i="18" s="1"/>
  <c r="BK385" i="20"/>
  <c r="BK386" i="20" s="1"/>
  <c r="BL383" i="20" s="1"/>
  <c r="BK379" i="20"/>
  <c r="BK380" i="20" s="1"/>
  <c r="BL377" i="20" s="1"/>
  <c r="AM389" i="20"/>
  <c r="BK396" i="18"/>
  <c r="BK397" i="18" s="1"/>
  <c r="BL394" i="18" s="1"/>
  <c r="BK390" i="18"/>
  <c r="BK391" i="18" s="1"/>
  <c r="BL388" i="18" s="1"/>
  <c r="BR388" i="11"/>
  <c r="BR389" i="11" s="1"/>
  <c r="BS386" i="11" s="1"/>
  <c r="AR376" i="11"/>
  <c r="AR392" i="11" s="1"/>
  <c r="I382" i="11"/>
  <c r="BJ345" i="10"/>
  <c r="BJ346" i="10" s="1"/>
  <c r="BK343" i="10" s="1"/>
  <c r="BJ339" i="10"/>
  <c r="BJ340" i="10" s="1"/>
  <c r="BK337" i="10" s="1"/>
  <c r="AN334" i="10"/>
  <c r="AO331" i="10" s="1"/>
  <c r="AO333" i="10" s="1"/>
  <c r="BB383" i="9"/>
  <c r="BB384" i="9" s="1"/>
  <c r="BC381" i="9" s="1"/>
  <c r="BB378" i="9"/>
  <c r="BC375" i="9" s="1"/>
  <c r="BC377" i="9" s="1"/>
  <c r="AI387" i="9"/>
  <c r="BN336" i="8"/>
  <c r="BN337" i="8" s="1"/>
  <c r="BO334" i="8" s="1"/>
  <c r="BN330" i="8"/>
  <c r="BN331" i="8" s="1"/>
  <c r="BO328" i="8" s="1"/>
  <c r="AN325" i="8"/>
  <c r="AO322" i="8" s="1"/>
  <c r="AO324" i="8" s="1"/>
  <c r="AV334" i="5"/>
  <c r="AW331" i="5" s="1"/>
  <c r="AH330" i="23" l="1"/>
  <c r="AH289" i="23"/>
  <c r="AH292" i="23"/>
  <c r="AH294" i="23" s="1"/>
  <c r="AH297" i="23" s="1"/>
  <c r="AH283" i="23"/>
  <c r="AJ384" i="18"/>
  <c r="AJ400" i="18" s="1"/>
  <c r="BL385" i="20"/>
  <c r="BL386" i="20" s="1"/>
  <c r="BM383" i="20" s="1"/>
  <c r="BL379" i="20"/>
  <c r="BL380" i="20" s="1"/>
  <c r="BM377" i="20" s="1"/>
  <c r="AM374" i="20"/>
  <c r="AN371" i="20" s="1"/>
  <c r="AN373" i="20" s="1"/>
  <c r="BL396" i="18"/>
  <c r="BL397" i="18" s="1"/>
  <c r="BM394" i="18" s="1"/>
  <c r="BL390" i="18"/>
  <c r="BL391" i="18" s="1"/>
  <c r="BM388" i="18" s="1"/>
  <c r="BS388" i="11"/>
  <c r="BS389" i="11" s="1"/>
  <c r="AR377" i="11"/>
  <c r="AS374" i="11" s="1"/>
  <c r="BS383" i="11"/>
  <c r="BK345" i="10"/>
  <c r="BK346" i="10" s="1"/>
  <c r="BL343" i="10" s="1"/>
  <c r="BK339" i="10"/>
  <c r="BK340" i="10" s="1"/>
  <c r="BL337" i="10" s="1"/>
  <c r="AO349" i="10"/>
  <c r="BC383" i="9"/>
  <c r="BC384" i="9" s="1"/>
  <c r="BD381" i="9" s="1"/>
  <c r="BC378" i="9"/>
  <c r="BD375" i="9" s="1"/>
  <c r="BD377" i="9" s="1"/>
  <c r="AI372" i="9"/>
  <c r="AJ369" i="9" s="1"/>
  <c r="AJ371" i="9" s="1"/>
  <c r="BO336" i="8"/>
  <c r="BO337" i="8" s="1"/>
  <c r="BP334" i="8" s="1"/>
  <c r="BO330" i="8"/>
  <c r="BO331" i="8" s="1"/>
  <c r="BP328" i="8" s="1"/>
  <c r="AO340" i="8"/>
  <c r="AW333" i="5"/>
  <c r="AW334" i="5" s="1"/>
  <c r="AX331" i="5" s="1"/>
  <c r="AH331" i="23" l="1"/>
  <c r="AH299" i="23"/>
  <c r="AH322" i="23" s="1"/>
  <c r="AH303" i="23"/>
  <c r="AH334" i="23" s="1"/>
  <c r="AH336" i="23" s="1"/>
  <c r="AI203" i="23"/>
  <c r="AI311" i="23" s="1"/>
  <c r="AH295" i="23"/>
  <c r="AJ385" i="18"/>
  <c r="AK382" i="18" s="1"/>
  <c r="BM385" i="20"/>
  <c r="BM386" i="20" s="1"/>
  <c r="BN383" i="20" s="1"/>
  <c r="BM379" i="20"/>
  <c r="BM380" i="20" s="1"/>
  <c r="BN377" i="20" s="1"/>
  <c r="AN389" i="20"/>
  <c r="BM396" i="18"/>
  <c r="BM397" i="18" s="1"/>
  <c r="BN394" i="18" s="1"/>
  <c r="BM390" i="18"/>
  <c r="BM391" i="18" s="1"/>
  <c r="BN388" i="18" s="1"/>
  <c r="I388" i="11"/>
  <c r="AS376" i="11"/>
  <c r="AS392" i="11" s="1"/>
  <c r="BL345" i="10"/>
  <c r="BL346" i="10" s="1"/>
  <c r="BM343" i="10" s="1"/>
  <c r="BL339" i="10"/>
  <c r="BL340" i="10" s="1"/>
  <c r="BM337" i="10" s="1"/>
  <c r="AO334" i="10"/>
  <c r="AP331" i="10" s="1"/>
  <c r="AP333" i="10" s="1"/>
  <c r="BD383" i="9"/>
  <c r="BD384" i="9" s="1"/>
  <c r="BE381" i="9" s="1"/>
  <c r="BD378" i="9"/>
  <c r="BE375" i="9" s="1"/>
  <c r="BE377" i="9" s="1"/>
  <c r="AJ387" i="9"/>
  <c r="BP336" i="8"/>
  <c r="BP337" i="8" s="1"/>
  <c r="BQ334" i="8" s="1"/>
  <c r="BP330" i="8"/>
  <c r="BP331" i="8" s="1"/>
  <c r="BQ328" i="8" s="1"/>
  <c r="AO325" i="8"/>
  <c r="AP322" i="8" s="1"/>
  <c r="AP324" i="8" s="1"/>
  <c r="AX333" i="5"/>
  <c r="AX349" i="5" s="1"/>
  <c r="AW349" i="5"/>
  <c r="AH340" i="23" l="1"/>
  <c r="AH337" i="23"/>
  <c r="AI313" i="23"/>
  <c r="AI315" i="23"/>
  <c r="AH305" i="23"/>
  <c r="AH306" i="23" s="1"/>
  <c r="AI262" i="23"/>
  <c r="AI264" i="23" s="1"/>
  <c r="AI225" i="23"/>
  <c r="AI227" i="23" s="1"/>
  <c r="AK384" i="18"/>
  <c r="AK400" i="18" s="1"/>
  <c r="BN385" i="20"/>
  <c r="BN386" i="20" s="1"/>
  <c r="BO383" i="20" s="1"/>
  <c r="BN379" i="20"/>
  <c r="BN380" i="20" s="1"/>
  <c r="BO377" i="20" s="1"/>
  <c r="AN374" i="20"/>
  <c r="AO371" i="20" s="1"/>
  <c r="AO373" i="20" s="1"/>
  <c r="BN396" i="18"/>
  <c r="BN397" i="18" s="1"/>
  <c r="BO394" i="18" s="1"/>
  <c r="BN390" i="18"/>
  <c r="BN391" i="18" s="1"/>
  <c r="BO388" i="18" s="1"/>
  <c r="AS377" i="11"/>
  <c r="AT374" i="11" s="1"/>
  <c r="AT376" i="11" s="1"/>
  <c r="AT392" i="11" s="1"/>
  <c r="BM345" i="10"/>
  <c r="BM346" i="10" s="1"/>
  <c r="BN343" i="10" s="1"/>
  <c r="BM339" i="10"/>
  <c r="BM340" i="10" s="1"/>
  <c r="BN337" i="10" s="1"/>
  <c r="AP349" i="10"/>
  <c r="BE383" i="9"/>
  <c r="BE384" i="9" s="1"/>
  <c r="BF381" i="9" s="1"/>
  <c r="BE378" i="9"/>
  <c r="BF375" i="9" s="1"/>
  <c r="BF377" i="9" s="1"/>
  <c r="AJ372" i="9"/>
  <c r="AK369" i="9" s="1"/>
  <c r="AK371" i="9" s="1"/>
  <c r="BQ336" i="8"/>
  <c r="BQ330" i="8"/>
  <c r="BQ331" i="8" s="1"/>
  <c r="BR328" i="8" s="1"/>
  <c r="AP340" i="8"/>
  <c r="AX334" i="5"/>
  <c r="AY331" i="5" s="1"/>
  <c r="AY333" i="5" s="1"/>
  <c r="AY349" i="5" s="1"/>
  <c r="AH342" i="23" l="1"/>
  <c r="AI319" i="23"/>
  <c r="AI321" i="23" s="1"/>
  <c r="AI231" i="23"/>
  <c r="AI233" i="23" s="1"/>
  <c r="AI237" i="23" s="1"/>
  <c r="AI239" i="23" s="1"/>
  <c r="AI243" i="23" s="1"/>
  <c r="AI245" i="23" s="1"/>
  <c r="AI268" i="23"/>
  <c r="AK385" i="18"/>
  <c r="AL382" i="18" s="1"/>
  <c r="AL384" i="18" s="1"/>
  <c r="AL400" i="18" s="1"/>
  <c r="BO385" i="20"/>
  <c r="BO386" i="20" s="1"/>
  <c r="BP383" i="20" s="1"/>
  <c r="BO379" i="20"/>
  <c r="BO380" i="20" s="1"/>
  <c r="BP377" i="20" s="1"/>
  <c r="AO389" i="20"/>
  <c r="BO396" i="18"/>
  <c r="BO397" i="18" s="1"/>
  <c r="BP394" i="18" s="1"/>
  <c r="BO390" i="18"/>
  <c r="BO391" i="18" s="1"/>
  <c r="BP388" i="18" s="1"/>
  <c r="AT377" i="11"/>
  <c r="AU374" i="11" s="1"/>
  <c r="BN345" i="10"/>
  <c r="BN346" i="10" s="1"/>
  <c r="BO343" i="10" s="1"/>
  <c r="BN339" i="10"/>
  <c r="BN340" i="10" s="1"/>
  <c r="BO337" i="10" s="1"/>
  <c r="AP334" i="10"/>
  <c r="AQ331" i="10" s="1"/>
  <c r="AQ333" i="10" s="1"/>
  <c r="BF383" i="9"/>
  <c r="BF384" i="9" s="1"/>
  <c r="BG381" i="9" s="1"/>
  <c r="BF378" i="9"/>
  <c r="BG375" i="9" s="1"/>
  <c r="BG377" i="9" s="1"/>
  <c r="AK387" i="9"/>
  <c r="BQ337" i="8"/>
  <c r="BR334" i="8" s="1"/>
  <c r="BR330" i="8"/>
  <c r="BR331" i="8" s="1"/>
  <c r="BS328" i="8" s="1"/>
  <c r="AP325" i="8"/>
  <c r="AQ322" i="8" s="1"/>
  <c r="AQ324" i="8" s="1"/>
  <c r="AY334" i="5"/>
  <c r="AZ331" i="5" s="1"/>
  <c r="AH343" i="23" l="1"/>
  <c r="AH346" i="23" s="1"/>
  <c r="AH345" i="23"/>
  <c r="AI281" i="23"/>
  <c r="AI246" i="23"/>
  <c r="AJ244" i="23" s="1"/>
  <c r="AI249" i="23"/>
  <c r="AI251" i="23" s="1"/>
  <c r="AI275" i="23"/>
  <c r="AI240" i="23"/>
  <c r="AJ238" i="23" s="1"/>
  <c r="AI255" i="23"/>
  <c r="AI257" i="23" s="1"/>
  <c r="AI269" i="23"/>
  <c r="AI234" i="23"/>
  <c r="AJ232" i="23" s="1"/>
  <c r="AL385" i="18"/>
  <c r="AM382" i="18" s="1"/>
  <c r="AM384" i="18" s="1"/>
  <c r="AM400" i="18" s="1"/>
  <c r="BP385" i="20"/>
  <c r="BP386" i="20" s="1"/>
  <c r="BQ383" i="20" s="1"/>
  <c r="BP379" i="20"/>
  <c r="BP380" i="20" s="1"/>
  <c r="BQ377" i="20" s="1"/>
  <c r="AO374" i="20"/>
  <c r="AP371" i="20" s="1"/>
  <c r="AP373" i="20" s="1"/>
  <c r="BP396" i="18"/>
  <c r="BP397" i="18" s="1"/>
  <c r="BQ394" i="18" s="1"/>
  <c r="BP390" i="18"/>
  <c r="BP391" i="18" s="1"/>
  <c r="BQ388" i="18" s="1"/>
  <c r="AU376" i="11"/>
  <c r="AU392" i="11" s="1"/>
  <c r="BO345" i="10"/>
  <c r="BO346" i="10" s="1"/>
  <c r="BP343" i="10" s="1"/>
  <c r="BO339" i="10"/>
  <c r="BO340" i="10" s="1"/>
  <c r="BP337" i="10" s="1"/>
  <c r="AQ349" i="10"/>
  <c r="BG383" i="9"/>
  <c r="BG384" i="9" s="1"/>
  <c r="BH381" i="9" s="1"/>
  <c r="BG378" i="9"/>
  <c r="BH375" i="9" s="1"/>
  <c r="BH377" i="9" s="1"/>
  <c r="AK372" i="9"/>
  <c r="AL369" i="9" s="1"/>
  <c r="AL371" i="9" s="1"/>
  <c r="BR336" i="8"/>
  <c r="BR337" i="8" s="1"/>
  <c r="BS334" i="8" s="1"/>
  <c r="BS330" i="8"/>
  <c r="BS331" i="8" s="1"/>
  <c r="AQ340" i="8"/>
  <c r="AZ333" i="5"/>
  <c r="AZ349" i="5" s="1"/>
  <c r="AI270" i="23" l="1"/>
  <c r="AI271" i="23" s="1"/>
  <c r="AI287" i="23"/>
  <c r="AI260" i="23"/>
  <c r="AI252" i="23"/>
  <c r="AJ250" i="23" s="1"/>
  <c r="AI293" i="23"/>
  <c r="AI258" i="23"/>
  <c r="AJ256" i="23" s="1"/>
  <c r="AM385" i="18"/>
  <c r="AN382" i="18" s="1"/>
  <c r="BQ385" i="20"/>
  <c r="BQ386" i="20" s="1"/>
  <c r="BR383" i="20" s="1"/>
  <c r="BQ379" i="20"/>
  <c r="BQ380" i="20" s="1"/>
  <c r="BR377" i="20" s="1"/>
  <c r="AP389" i="20"/>
  <c r="BQ396" i="18"/>
  <c r="BQ397" i="18" s="1"/>
  <c r="BR394" i="18" s="1"/>
  <c r="BQ390" i="18"/>
  <c r="BQ391" i="18" s="1"/>
  <c r="BR388" i="18" s="1"/>
  <c r="AU377" i="11"/>
  <c r="AV374" i="11" s="1"/>
  <c r="BP345" i="10"/>
  <c r="BP346" i="10" s="1"/>
  <c r="BQ343" i="10" s="1"/>
  <c r="BP339" i="10"/>
  <c r="BP340" i="10" s="1"/>
  <c r="BQ337" i="10" s="1"/>
  <c r="AQ334" i="10"/>
  <c r="AR331" i="10" s="1"/>
  <c r="BH383" i="9"/>
  <c r="BH384" i="9" s="1"/>
  <c r="BI381" i="9" s="1"/>
  <c r="BH378" i="9"/>
  <c r="BI375" i="9" s="1"/>
  <c r="BI377" i="9" s="1"/>
  <c r="AL387" i="9"/>
  <c r="BS336" i="8"/>
  <c r="I336" i="8" s="1"/>
  <c r="I330" i="8"/>
  <c r="AQ325" i="8"/>
  <c r="AR322" i="8" s="1"/>
  <c r="AR324" i="8" s="1"/>
  <c r="AZ334" i="5"/>
  <c r="BA331" i="5" s="1"/>
  <c r="AI302" i="23" l="1"/>
  <c r="AI328" i="23" s="1"/>
  <c r="AI317" i="23"/>
  <c r="AI274" i="23"/>
  <c r="AI276" i="23" s="1"/>
  <c r="AI277" i="23" s="1"/>
  <c r="AN384" i="18"/>
  <c r="AN400" i="18" s="1"/>
  <c r="BR385" i="20"/>
  <c r="BR386" i="20" s="1"/>
  <c r="BS383" i="20" s="1"/>
  <c r="BR379" i="20"/>
  <c r="BR380" i="20" s="1"/>
  <c r="BS377" i="20" s="1"/>
  <c r="AP374" i="20"/>
  <c r="AQ371" i="20" s="1"/>
  <c r="AQ373" i="20" s="1"/>
  <c r="BR396" i="18"/>
  <c r="BR397" i="18" s="1"/>
  <c r="BS394" i="18" s="1"/>
  <c r="BR390" i="18"/>
  <c r="BR391" i="18" s="1"/>
  <c r="BS388" i="18" s="1"/>
  <c r="AV376" i="11"/>
  <c r="AV392" i="11" s="1"/>
  <c r="BQ345" i="10"/>
  <c r="BQ346" i="10" s="1"/>
  <c r="BR343" i="10" s="1"/>
  <c r="BQ339" i="10"/>
  <c r="BQ340" i="10" s="1"/>
  <c r="BR337" i="10" s="1"/>
  <c r="AR333" i="10"/>
  <c r="AR349" i="10" s="1"/>
  <c r="BI383" i="9"/>
  <c r="BI384" i="9" s="1"/>
  <c r="BJ381" i="9" s="1"/>
  <c r="BI378" i="9"/>
  <c r="BJ375" i="9" s="1"/>
  <c r="BJ377" i="9" s="1"/>
  <c r="AL372" i="9"/>
  <c r="AM369" i="9" s="1"/>
  <c r="AM371" i="9" s="1"/>
  <c r="BS337" i="8"/>
  <c r="AR340" i="8"/>
  <c r="BA333" i="5"/>
  <c r="BA349" i="5" s="1"/>
  <c r="AI330" i="23" l="1"/>
  <c r="AI280" i="23"/>
  <c r="AI282" i="23" s="1"/>
  <c r="AN385" i="18"/>
  <c r="AO382" i="18" s="1"/>
  <c r="BS385" i="20"/>
  <c r="I385" i="20" s="1"/>
  <c r="BS379" i="20"/>
  <c r="I379" i="20" s="1"/>
  <c r="AQ389" i="20"/>
  <c r="BS396" i="18"/>
  <c r="I396" i="18" s="1"/>
  <c r="BS390" i="18"/>
  <c r="I390" i="18" s="1"/>
  <c r="AV377" i="11"/>
  <c r="AW374" i="11" s="1"/>
  <c r="BR345" i="10"/>
  <c r="BR346" i="10" s="1"/>
  <c r="BS343" i="10" s="1"/>
  <c r="BR339" i="10"/>
  <c r="BR340" i="10" s="1"/>
  <c r="BS337" i="10" s="1"/>
  <c r="AR334" i="10"/>
  <c r="AS331" i="10" s="1"/>
  <c r="AS333" i="10" s="1"/>
  <c r="AS349" i="10" s="1"/>
  <c r="BJ383" i="9"/>
  <c r="BJ384" i="9" s="1"/>
  <c r="BK381" i="9" s="1"/>
  <c r="BJ378" i="9"/>
  <c r="BK375" i="9" s="1"/>
  <c r="BK377" i="9" s="1"/>
  <c r="AM387" i="9"/>
  <c r="AR325" i="8"/>
  <c r="AS322" i="8" s="1"/>
  <c r="AS324" i="8" s="1"/>
  <c r="BA334" i="5"/>
  <c r="BB331" i="5" s="1"/>
  <c r="AI331" i="23" l="1"/>
  <c r="AI283" i="23"/>
  <c r="AI286" i="23"/>
  <c r="AI288" i="23" s="1"/>
  <c r="AI292" i="23"/>
  <c r="AI294" i="23" s="1"/>
  <c r="AO384" i="18"/>
  <c r="AO400" i="18" s="1"/>
  <c r="BS386" i="20"/>
  <c r="BS380" i="20"/>
  <c r="AQ374" i="20"/>
  <c r="AR371" i="20" s="1"/>
  <c r="AR373" i="20" s="1"/>
  <c r="BS397" i="18"/>
  <c r="BS391" i="18"/>
  <c r="AW376" i="11"/>
  <c r="AW392" i="11" s="1"/>
  <c r="BS345" i="10"/>
  <c r="I345" i="10" s="1"/>
  <c r="BS339" i="10"/>
  <c r="I339" i="10" s="1"/>
  <c r="AS334" i="10"/>
  <c r="AT331" i="10" s="1"/>
  <c r="AT333" i="10" s="1"/>
  <c r="BK383" i="9"/>
  <c r="BK384" i="9" s="1"/>
  <c r="BL381" i="9" s="1"/>
  <c r="BK378" i="9"/>
  <c r="BL375" i="9" s="1"/>
  <c r="BL377" i="9" s="1"/>
  <c r="AM372" i="9"/>
  <c r="AN369" i="9" s="1"/>
  <c r="AS340" i="8"/>
  <c r="BB333" i="5"/>
  <c r="BB349" i="5" s="1"/>
  <c r="AJ203" i="23" l="1"/>
  <c r="AJ311" i="23" s="1"/>
  <c r="AI295" i="23"/>
  <c r="AI297" i="23"/>
  <c r="AI289" i="23"/>
  <c r="AO385" i="18"/>
  <c r="AP382" i="18" s="1"/>
  <c r="AR389" i="20"/>
  <c r="AW377" i="11"/>
  <c r="AX374" i="11" s="1"/>
  <c r="BS346" i="10"/>
  <c r="BS340" i="10"/>
  <c r="AT349" i="10"/>
  <c r="BL383" i="9"/>
  <c r="BL384" i="9" s="1"/>
  <c r="BM381" i="9" s="1"/>
  <c r="BL378" i="9"/>
  <c r="BM375" i="9" s="1"/>
  <c r="BM377" i="9" s="1"/>
  <c r="AN371" i="9"/>
  <c r="AN387" i="9" s="1"/>
  <c r="AS325" i="8"/>
  <c r="AT322" i="8" s="1"/>
  <c r="AT324" i="8" s="1"/>
  <c r="BB334" i="5"/>
  <c r="BC331" i="5" s="1"/>
  <c r="BC333" i="5" s="1"/>
  <c r="BC349" i="5" s="1"/>
  <c r="AJ313" i="23" l="1"/>
  <c r="AJ315" i="23"/>
  <c r="AI299" i="23"/>
  <c r="AI322" i="23" s="1"/>
  <c r="AI303" i="23"/>
  <c r="AI334" i="23" s="1"/>
  <c r="AI336" i="23" s="1"/>
  <c r="AJ262" i="23"/>
  <c r="AJ264" i="23" s="1"/>
  <c r="AJ225" i="23"/>
  <c r="AJ227" i="23" s="1"/>
  <c r="AP384" i="18"/>
  <c r="AP400" i="18" s="1"/>
  <c r="AR374" i="20"/>
  <c r="AS371" i="20" s="1"/>
  <c r="AS373" i="20" s="1"/>
  <c r="AX376" i="11"/>
  <c r="AX392" i="11" s="1"/>
  <c r="AT334" i="10"/>
  <c r="AU331" i="10" s="1"/>
  <c r="AU333" i="10" s="1"/>
  <c r="BM383" i="9"/>
  <c r="BM384" i="9" s="1"/>
  <c r="BN381" i="9" s="1"/>
  <c r="BM378" i="9"/>
  <c r="BN375" i="9" s="1"/>
  <c r="BN377" i="9" s="1"/>
  <c r="AN372" i="9"/>
  <c r="AO369" i="9" s="1"/>
  <c r="AT340" i="8"/>
  <c r="BC334" i="5"/>
  <c r="BD331" i="5" s="1"/>
  <c r="BD333" i="5" s="1"/>
  <c r="BD349" i="5" s="1"/>
  <c r="AI340" i="23" l="1"/>
  <c r="AI337" i="23"/>
  <c r="AJ319" i="23"/>
  <c r="AJ321" i="23" s="1"/>
  <c r="AI305" i="23"/>
  <c r="AI306" i="23" s="1"/>
  <c r="AJ231" i="23"/>
  <c r="AJ233" i="23" s="1"/>
  <c r="AJ237" i="23" s="1"/>
  <c r="AJ239" i="23" s="1"/>
  <c r="AJ268" i="23"/>
  <c r="AP385" i="18"/>
  <c r="AQ382" i="18" s="1"/>
  <c r="AS389" i="20"/>
  <c r="AX377" i="11"/>
  <c r="AY374" i="11" s="1"/>
  <c r="AU349" i="10"/>
  <c r="BN383" i="9"/>
  <c r="BN384" i="9" s="1"/>
  <c r="BO381" i="9" s="1"/>
  <c r="BN378" i="9"/>
  <c r="BO375" i="9" s="1"/>
  <c r="BO377" i="9" s="1"/>
  <c r="AO371" i="9"/>
  <c r="AO372" i="9" s="1"/>
  <c r="AP369" i="9" s="1"/>
  <c r="AP371" i="9" s="1"/>
  <c r="AP387" i="9" s="1"/>
  <c r="AT325" i="8"/>
  <c r="AU322" i="8" s="1"/>
  <c r="AU324" i="8" s="1"/>
  <c r="BD334" i="5"/>
  <c r="BE331" i="5" s="1"/>
  <c r="BE333" i="5" s="1"/>
  <c r="BE349" i="5" s="1"/>
  <c r="AI342" i="23" l="1"/>
  <c r="AJ240" i="23"/>
  <c r="AK238" i="23" s="1"/>
  <c r="AJ275" i="23"/>
  <c r="AJ243" i="23"/>
  <c r="AJ245" i="23" s="1"/>
  <c r="AJ249" i="23" s="1"/>
  <c r="AJ251" i="23" s="1"/>
  <c r="AJ234" i="23"/>
  <c r="AK232" i="23" s="1"/>
  <c r="AJ269" i="23"/>
  <c r="AQ384" i="18"/>
  <c r="AQ400" i="18" s="1"/>
  <c r="AS374" i="20"/>
  <c r="AT371" i="20" s="1"/>
  <c r="AT373" i="20" s="1"/>
  <c r="AY376" i="11"/>
  <c r="AY392" i="11" s="1"/>
  <c r="AU334" i="10"/>
  <c r="AV331" i="10" s="1"/>
  <c r="AV333" i="10" s="1"/>
  <c r="BO383" i="9"/>
  <c r="BO384" i="9" s="1"/>
  <c r="BP381" i="9" s="1"/>
  <c r="BO378" i="9"/>
  <c r="BP375" i="9" s="1"/>
  <c r="BP377" i="9" s="1"/>
  <c r="AO387" i="9"/>
  <c r="AP372" i="9"/>
  <c r="AQ369" i="9" s="1"/>
  <c r="AQ371" i="9" s="1"/>
  <c r="AU340" i="8"/>
  <c r="BE334" i="5"/>
  <c r="BF331" i="5" s="1"/>
  <c r="AI343" i="23" l="1"/>
  <c r="AI346" i="23" s="1"/>
  <c r="AI345" i="23"/>
  <c r="AJ246" i="23"/>
  <c r="AK244" i="23" s="1"/>
  <c r="AJ281" i="23"/>
  <c r="AJ270" i="23"/>
  <c r="AJ255" i="23"/>
  <c r="AJ257" i="23" s="1"/>
  <c r="AJ260" i="23" s="1"/>
  <c r="AJ287" i="23"/>
  <c r="AJ252" i="23"/>
  <c r="AK250" i="23" s="1"/>
  <c r="AQ385" i="18"/>
  <c r="AR382" i="18" s="1"/>
  <c r="AT389" i="20"/>
  <c r="AY377" i="11"/>
  <c r="AZ374" i="11" s="1"/>
  <c r="AV349" i="10"/>
  <c r="BP383" i="9"/>
  <c r="BP384" i="9" s="1"/>
  <c r="BQ381" i="9" s="1"/>
  <c r="BP378" i="9"/>
  <c r="BQ375" i="9" s="1"/>
  <c r="BQ377" i="9" s="1"/>
  <c r="AQ387" i="9"/>
  <c r="AU325" i="8"/>
  <c r="AV322" i="8" s="1"/>
  <c r="AV324" i="8" s="1"/>
  <c r="BF333" i="5"/>
  <c r="BF349" i="5" s="1"/>
  <c r="AJ302" i="23" l="1"/>
  <c r="AJ328" i="23" s="1"/>
  <c r="AJ317" i="23"/>
  <c r="AJ274" i="23"/>
  <c r="AJ276" i="23" s="1"/>
  <c r="AJ277" i="23" s="1"/>
  <c r="AJ293" i="23"/>
  <c r="AJ258" i="23"/>
  <c r="AK256" i="23" s="1"/>
  <c r="AJ271" i="23"/>
  <c r="AR384" i="18"/>
  <c r="AR400" i="18" s="1"/>
  <c r="AT374" i="20"/>
  <c r="AU371" i="20" s="1"/>
  <c r="AU373" i="20" s="1"/>
  <c r="AZ376" i="11"/>
  <c r="AZ392" i="11" s="1"/>
  <c r="AV334" i="10"/>
  <c r="AW331" i="10" s="1"/>
  <c r="AW333" i="10" s="1"/>
  <c r="BQ383" i="9"/>
  <c r="BQ384" i="9" s="1"/>
  <c r="BR381" i="9" s="1"/>
  <c r="BQ378" i="9"/>
  <c r="BR375" i="9" s="1"/>
  <c r="BR377" i="9" s="1"/>
  <c r="AQ372" i="9"/>
  <c r="AR369" i="9" s="1"/>
  <c r="AR371" i="9" s="1"/>
  <c r="AV340" i="8"/>
  <c r="BF334" i="5"/>
  <c r="BG331" i="5" s="1"/>
  <c r="AJ330" i="23" l="1"/>
  <c r="AJ280" i="23"/>
  <c r="AJ282" i="23" s="1"/>
  <c r="AJ286" i="23" s="1"/>
  <c r="AJ288" i="23" s="1"/>
  <c r="AR385" i="18"/>
  <c r="AS382" i="18" s="1"/>
  <c r="AU389" i="20"/>
  <c r="AZ377" i="11"/>
  <c r="BA374" i="11" s="1"/>
  <c r="AW349" i="10"/>
  <c r="BR383" i="9"/>
  <c r="BR384" i="9" s="1"/>
  <c r="BS381" i="9" s="1"/>
  <c r="BR378" i="9"/>
  <c r="BS375" i="9" s="1"/>
  <c r="BS377" i="9" s="1"/>
  <c r="AR387" i="9"/>
  <c r="AV325" i="8"/>
  <c r="AW322" i="8" s="1"/>
  <c r="AW324" i="8" s="1"/>
  <c r="BG333" i="5"/>
  <c r="BG349" i="5" s="1"/>
  <c r="AJ331" i="23" l="1"/>
  <c r="AJ292" i="23"/>
  <c r="AJ294" i="23" s="1"/>
  <c r="AJ297" i="23" s="1"/>
  <c r="AJ283" i="23"/>
  <c r="AJ289" i="23"/>
  <c r="AS384" i="18"/>
  <c r="AS400" i="18" s="1"/>
  <c r="AU374" i="20"/>
  <c r="AV371" i="20" s="1"/>
  <c r="AV373" i="20" s="1"/>
  <c r="BA376" i="11"/>
  <c r="BA392" i="11" s="1"/>
  <c r="AW334" i="10"/>
  <c r="AX331" i="10" s="1"/>
  <c r="AX333" i="10" s="1"/>
  <c r="BS383" i="9"/>
  <c r="I383" i="9" s="1"/>
  <c r="I377" i="9"/>
  <c r="AR372" i="9"/>
  <c r="AS369" i="9" s="1"/>
  <c r="AS371" i="9" s="1"/>
  <c r="AW340" i="8"/>
  <c r="BG334" i="5"/>
  <c r="BH331" i="5" s="1"/>
  <c r="BH333" i="5" s="1"/>
  <c r="BH349" i="5" s="1"/>
  <c r="AJ299" i="23" l="1"/>
  <c r="AJ322" i="23" s="1"/>
  <c r="AJ303" i="23"/>
  <c r="AJ334" i="23" s="1"/>
  <c r="AJ336" i="23" s="1"/>
  <c r="AK203" i="23"/>
  <c r="AK311" i="23" s="1"/>
  <c r="AJ295" i="23"/>
  <c r="AS385" i="18"/>
  <c r="AT382" i="18" s="1"/>
  <c r="AV389" i="20"/>
  <c r="BA377" i="11"/>
  <c r="BB374" i="11" s="1"/>
  <c r="AX349" i="10"/>
  <c r="BS384" i="9"/>
  <c r="BS378" i="9"/>
  <c r="AS387" i="9"/>
  <c r="AW325" i="8"/>
  <c r="AX322" i="8" s="1"/>
  <c r="BH334" i="5"/>
  <c r="BI331" i="5" s="1"/>
  <c r="AJ340" i="23" l="1"/>
  <c r="AJ342" i="23" s="1"/>
  <c r="AJ343" i="23" s="1"/>
  <c r="AJ337" i="23"/>
  <c r="AK313" i="23"/>
  <c r="AK315" i="23"/>
  <c r="AJ305" i="23"/>
  <c r="AJ306" i="23" s="1"/>
  <c r="AK225" i="23"/>
  <c r="AK227" i="23" s="1"/>
  <c r="AK262" i="23"/>
  <c r="AK264" i="23" s="1"/>
  <c r="AK268" i="23" s="1"/>
  <c r="AT384" i="18"/>
  <c r="AT400" i="18" s="1"/>
  <c r="AV374" i="20"/>
  <c r="AW371" i="20" s="1"/>
  <c r="AW373" i="20" s="1"/>
  <c r="BB376" i="11"/>
  <c r="BB392" i="11" s="1"/>
  <c r="AX334" i="10"/>
  <c r="AY331" i="10" s="1"/>
  <c r="AY333" i="10" s="1"/>
  <c r="AS372" i="9"/>
  <c r="AT369" i="9" s="1"/>
  <c r="AT371" i="9" s="1"/>
  <c r="AX324" i="8"/>
  <c r="AX340" i="8" s="1"/>
  <c r="BI333" i="5"/>
  <c r="BI349" i="5" s="1"/>
  <c r="AJ346" i="23" l="1"/>
  <c r="AJ345" i="23"/>
  <c r="AK319" i="23"/>
  <c r="AK321" i="23" s="1"/>
  <c r="AK231" i="23"/>
  <c r="AK233" i="23" s="1"/>
  <c r="AK237" i="23" s="1"/>
  <c r="AK239" i="23" s="1"/>
  <c r="AT385" i="18"/>
  <c r="AU382" i="18" s="1"/>
  <c r="AU384" i="18" s="1"/>
  <c r="AU400" i="18" s="1"/>
  <c r="AW389" i="20"/>
  <c r="BB377" i="11"/>
  <c r="BC374" i="11" s="1"/>
  <c r="AY349" i="10"/>
  <c r="AT387" i="9"/>
  <c r="AX325" i="8"/>
  <c r="AY322" i="8" s="1"/>
  <c r="AY324" i="8" s="1"/>
  <c r="AY340" i="8" s="1"/>
  <c r="BI334" i="5"/>
  <c r="BJ331" i="5" s="1"/>
  <c r="AK275" i="23" l="1"/>
  <c r="AK240" i="23"/>
  <c r="AL238" i="23" s="1"/>
  <c r="AK269" i="23"/>
  <c r="AK270" i="23" s="1"/>
  <c r="AK274" i="23" s="1"/>
  <c r="AK234" i="23"/>
  <c r="AL232" i="23" s="1"/>
  <c r="AK243" i="23"/>
  <c r="AK245" i="23" s="1"/>
  <c r="AK249" i="23" s="1"/>
  <c r="AK251" i="23" s="1"/>
  <c r="AU385" i="18"/>
  <c r="AV382" i="18" s="1"/>
  <c r="AV384" i="18" s="1"/>
  <c r="AV400" i="18" s="1"/>
  <c r="AW374" i="20"/>
  <c r="AX371" i="20" s="1"/>
  <c r="AX373" i="20" s="1"/>
  <c r="BC376" i="11"/>
  <c r="BC392" i="11" s="1"/>
  <c r="AY334" i="10"/>
  <c r="AZ331" i="10" s="1"/>
  <c r="AZ333" i="10" s="1"/>
  <c r="AT372" i="9"/>
  <c r="AU369" i="9" s="1"/>
  <c r="AU371" i="9" s="1"/>
  <c r="AY325" i="8"/>
  <c r="AZ322" i="8" s="1"/>
  <c r="AZ324" i="8" s="1"/>
  <c r="BJ333" i="5"/>
  <c r="BJ349" i="5" s="1"/>
  <c r="AK276" i="23" l="1"/>
  <c r="AK277" i="23" s="1"/>
  <c r="AK271" i="23"/>
  <c r="AK252" i="23"/>
  <c r="AL250" i="23" s="1"/>
  <c r="AK287" i="23"/>
  <c r="AK246" i="23"/>
  <c r="AL244" i="23" s="1"/>
  <c r="AK281" i="23"/>
  <c r="AK255" i="23"/>
  <c r="AK257" i="23" s="1"/>
  <c r="AV385" i="18"/>
  <c r="AW382" i="18" s="1"/>
  <c r="AX389" i="20"/>
  <c r="BC377" i="11"/>
  <c r="BD374" i="11" s="1"/>
  <c r="AZ349" i="10"/>
  <c r="AU387" i="9"/>
  <c r="AZ340" i="8"/>
  <c r="BJ334" i="5"/>
  <c r="BK331" i="5" s="1"/>
  <c r="AK280" i="23" l="1"/>
  <c r="AK282" i="23" s="1"/>
  <c r="AK293" i="23"/>
  <c r="AK258" i="23"/>
  <c r="AL256" i="23" s="1"/>
  <c r="AK260" i="23"/>
  <c r="AW384" i="18"/>
  <c r="AW400" i="18" s="1"/>
  <c r="AX374" i="20"/>
  <c r="AY371" i="20" s="1"/>
  <c r="AY373" i="20" s="1"/>
  <c r="BD376" i="11"/>
  <c r="BD392" i="11" s="1"/>
  <c r="AZ334" i="10"/>
  <c r="BA331" i="10" s="1"/>
  <c r="BA333" i="10" s="1"/>
  <c r="AU372" i="9"/>
  <c r="AV369" i="9" s="1"/>
  <c r="AV371" i="9" s="1"/>
  <c r="AZ325" i="8"/>
  <c r="BA322" i="8" s="1"/>
  <c r="BA324" i="8" s="1"/>
  <c r="BK333" i="5"/>
  <c r="BK349" i="5" s="1"/>
  <c r="AK302" i="23" l="1"/>
  <c r="AK328" i="23" s="1"/>
  <c r="AK317" i="23"/>
  <c r="AK292" i="23"/>
  <c r="AK294" i="23" s="1"/>
  <c r="AL203" i="23" s="1"/>
  <c r="AK286" i="23"/>
  <c r="AK288" i="23" s="1"/>
  <c r="AK283" i="23"/>
  <c r="AW385" i="18"/>
  <c r="AX382" i="18" s="1"/>
  <c r="AY389" i="20"/>
  <c r="BD377" i="11"/>
  <c r="BE374" i="11" s="1"/>
  <c r="BA349" i="10"/>
  <c r="AV387" i="9"/>
  <c r="BA340" i="8"/>
  <c r="BK334" i="5"/>
  <c r="BL331" i="5" s="1"/>
  <c r="AK330" i="23" l="1"/>
  <c r="AL262" i="23"/>
  <c r="AL264" i="23" s="1"/>
  <c r="AL268" i="23" s="1"/>
  <c r="AL311" i="23"/>
  <c r="AK297" i="23"/>
  <c r="AK289" i="23"/>
  <c r="AL225" i="23"/>
  <c r="AL227" i="23" s="1"/>
  <c r="AK295" i="23"/>
  <c r="AX384" i="18"/>
  <c r="AX400" i="18" s="1"/>
  <c r="AY374" i="20"/>
  <c r="AZ371" i="20" s="1"/>
  <c r="AZ373" i="20" s="1"/>
  <c r="BE376" i="11"/>
  <c r="BE392" i="11" s="1"/>
  <c r="BA334" i="10"/>
  <c r="BB331" i="10" s="1"/>
  <c r="BB333" i="10" s="1"/>
  <c r="AV372" i="9"/>
  <c r="AW369" i="9" s="1"/>
  <c r="AW371" i="9" s="1"/>
  <c r="BA325" i="8"/>
  <c r="BB322" i="8" s="1"/>
  <c r="BB324" i="8" s="1"/>
  <c r="BL333" i="5"/>
  <c r="BL349" i="5" s="1"/>
  <c r="AK331" i="23" l="1"/>
  <c r="AL313" i="23"/>
  <c r="AL315" i="23"/>
  <c r="AK299" i="23"/>
  <c r="AK322" i="23" s="1"/>
  <c r="AK303" i="23"/>
  <c r="AK334" i="23" s="1"/>
  <c r="AK336" i="23" s="1"/>
  <c r="AK337" i="23" s="1"/>
  <c r="AL231" i="23"/>
  <c r="AL233" i="23" s="1"/>
  <c r="AL269" i="23" s="1"/>
  <c r="AX385" i="18"/>
  <c r="AY382" i="18" s="1"/>
  <c r="AZ389" i="20"/>
  <c r="BE377" i="11"/>
  <c r="BF374" i="11" s="1"/>
  <c r="BB349" i="10"/>
  <c r="AW387" i="9"/>
  <c r="BB340" i="8"/>
  <c r="BL334" i="5"/>
  <c r="BM331" i="5" s="1"/>
  <c r="BM333" i="5" s="1"/>
  <c r="BM349" i="5" s="1"/>
  <c r="AK340" i="23" l="1"/>
  <c r="AL319" i="23"/>
  <c r="AL321" i="23" s="1"/>
  <c r="AK305" i="23"/>
  <c r="AK306" i="23" s="1"/>
  <c r="AL234" i="23"/>
  <c r="AM232" i="23" s="1"/>
  <c r="AL237" i="23"/>
  <c r="AL239" i="23" s="1"/>
  <c r="AL270" i="23"/>
  <c r="AL271" i="23" s="1"/>
  <c r="AY384" i="18"/>
  <c r="AY400" i="18" s="1"/>
  <c r="AZ374" i="20"/>
  <c r="BA371" i="20" s="1"/>
  <c r="BA373" i="20" s="1"/>
  <c r="BF376" i="11"/>
  <c r="BF392" i="11" s="1"/>
  <c r="BB334" i="10"/>
  <c r="BC331" i="10" s="1"/>
  <c r="BC333" i="10" s="1"/>
  <c r="AW372" i="9"/>
  <c r="AX369" i="9" s="1"/>
  <c r="AX371" i="9" s="1"/>
  <c r="BB325" i="8"/>
  <c r="BC322" i="8" s="1"/>
  <c r="BC324" i="8" s="1"/>
  <c r="BM334" i="5"/>
  <c r="BN331" i="5" s="1"/>
  <c r="AK342" i="23" l="1"/>
  <c r="AL240" i="23"/>
  <c r="AM238" i="23" s="1"/>
  <c r="AL243" i="23"/>
  <c r="AL245" i="23" s="1"/>
  <c r="AL275" i="23"/>
  <c r="AL274" i="23"/>
  <c r="AY385" i="18"/>
  <c r="AZ382" i="18" s="1"/>
  <c r="BA389" i="20"/>
  <c r="BF377" i="11"/>
  <c r="BG374" i="11" s="1"/>
  <c r="BG376" i="11" s="1"/>
  <c r="BG392" i="11" s="1"/>
  <c r="BC349" i="10"/>
  <c r="AX387" i="9"/>
  <c r="BC340" i="8"/>
  <c r="BN333" i="5"/>
  <c r="BN349" i="5" s="1"/>
  <c r="AK343" i="23" l="1"/>
  <c r="AK346" i="23" s="1"/>
  <c r="AK345" i="23"/>
  <c r="AL276" i="23"/>
  <c r="AL277" i="23" s="1"/>
  <c r="AL246" i="23"/>
  <c r="AM244" i="23" s="1"/>
  <c r="AL255" i="23"/>
  <c r="AL257" i="23" s="1"/>
  <c r="AL281" i="23"/>
  <c r="AL249" i="23"/>
  <c r="AL251" i="23" s="1"/>
  <c r="AZ384" i="18"/>
  <c r="AZ400" i="18" s="1"/>
  <c r="BA374" i="20"/>
  <c r="BB371" i="20" s="1"/>
  <c r="BB373" i="20" s="1"/>
  <c r="BG377" i="11"/>
  <c r="BH374" i="11" s="1"/>
  <c r="BC334" i="10"/>
  <c r="BD331" i="10" s="1"/>
  <c r="BD333" i="10" s="1"/>
  <c r="AX372" i="9"/>
  <c r="AY369" i="9" s="1"/>
  <c r="AY371" i="9" s="1"/>
  <c r="BC325" i="8"/>
  <c r="BD322" i="8" s="1"/>
  <c r="BD324" i="8" s="1"/>
  <c r="BN334" i="5"/>
  <c r="BO331" i="5" s="1"/>
  <c r="BO333" i="5" s="1"/>
  <c r="BO349" i="5" s="1"/>
  <c r="AL280" i="23" l="1"/>
  <c r="AL282" i="23" s="1"/>
  <c r="AL252" i="23"/>
  <c r="AM250" i="23" s="1"/>
  <c r="AL287" i="23"/>
  <c r="AL260" i="23"/>
  <c r="AL293" i="23"/>
  <c r="AL258" i="23"/>
  <c r="AM256" i="23" s="1"/>
  <c r="AZ385" i="18"/>
  <c r="BA382" i="18" s="1"/>
  <c r="BB389" i="20"/>
  <c r="BH376" i="11"/>
  <c r="BH392" i="11" s="1"/>
  <c r="BD349" i="10"/>
  <c r="AY387" i="9"/>
  <c r="BD340" i="8"/>
  <c r="BO334" i="5"/>
  <c r="BP331" i="5" s="1"/>
  <c r="AL302" i="23" l="1"/>
  <c r="AL328" i="23" s="1"/>
  <c r="AL330" i="23" s="1"/>
  <c r="AL317" i="23"/>
  <c r="AL286" i="23"/>
  <c r="AL288" i="23" s="1"/>
  <c r="AL289" i="23" s="1"/>
  <c r="AL283" i="23"/>
  <c r="AL292" i="23"/>
  <c r="AL294" i="23" s="1"/>
  <c r="BA384" i="18"/>
  <c r="BA400" i="18" s="1"/>
  <c r="BB374" i="20"/>
  <c r="BC371" i="20" s="1"/>
  <c r="BC373" i="20" s="1"/>
  <c r="BH377" i="11"/>
  <c r="BI374" i="11" s="1"/>
  <c r="BD334" i="10"/>
  <c r="BE331" i="10" s="1"/>
  <c r="BE333" i="10" s="1"/>
  <c r="AY372" i="9"/>
  <c r="AZ369" i="9" s="1"/>
  <c r="BD325" i="8"/>
  <c r="BE322" i="8" s="1"/>
  <c r="BE324" i="8" s="1"/>
  <c r="BP333" i="5"/>
  <c r="BP349" i="5" s="1"/>
  <c r="AL331" i="23" l="1"/>
  <c r="AL295" i="23"/>
  <c r="AM203" i="23"/>
  <c r="AL297" i="23"/>
  <c r="BA385" i="18"/>
  <c r="BB382" i="18" s="1"/>
  <c r="BC389" i="20"/>
  <c r="BI376" i="11"/>
  <c r="BI392" i="11" s="1"/>
  <c r="BE349" i="10"/>
  <c r="AZ371" i="9"/>
  <c r="AZ387" i="9" s="1"/>
  <c r="BE340" i="8"/>
  <c r="BP334" i="5"/>
  <c r="BQ331" i="5" s="1"/>
  <c r="BQ333" i="5" s="1"/>
  <c r="BQ349" i="5" s="1"/>
  <c r="AL303" i="23" l="1"/>
  <c r="AL340" i="23" s="1"/>
  <c r="AM262" i="23"/>
  <c r="AM264" i="23" s="1"/>
  <c r="AM268" i="23" s="1"/>
  <c r="AM311" i="23"/>
  <c r="AM225" i="23"/>
  <c r="AM227" i="23" s="1"/>
  <c r="AM231" i="23" s="1"/>
  <c r="AM233" i="23" s="1"/>
  <c r="AM237" i="23" s="1"/>
  <c r="AM239" i="23" s="1"/>
  <c r="AL299" i="23"/>
  <c r="AL322" i="23" s="1"/>
  <c r="BB384" i="18"/>
  <c r="BB400" i="18" s="1"/>
  <c r="BC374" i="20"/>
  <c r="BD371" i="20" s="1"/>
  <c r="BD373" i="20" s="1"/>
  <c r="BI377" i="11"/>
  <c r="BJ374" i="11" s="1"/>
  <c r="BE334" i="10"/>
  <c r="BF331" i="10" s="1"/>
  <c r="BF333" i="10" s="1"/>
  <c r="AZ372" i="9"/>
  <c r="BA369" i="9" s="1"/>
  <c r="BA371" i="9" s="1"/>
  <c r="BA387" i="9" s="1"/>
  <c r="BE325" i="8"/>
  <c r="BF322" i="8" s="1"/>
  <c r="BF324" i="8" s="1"/>
  <c r="BQ334" i="5"/>
  <c r="BR331" i="5" s="1"/>
  <c r="BR333" i="5" s="1"/>
  <c r="BR349" i="5" s="1"/>
  <c r="AL305" i="23" l="1"/>
  <c r="AL306" i="23" s="1"/>
  <c r="AL334" i="23"/>
  <c r="AL336" i="23" s="1"/>
  <c r="AL342" i="23"/>
  <c r="AL343" i="23" s="1"/>
  <c r="AM313" i="23"/>
  <c r="AM315" i="23"/>
  <c r="AM243" i="23"/>
  <c r="AM245" i="23" s="1"/>
  <c r="AM240" i="23"/>
  <c r="AN238" i="23" s="1"/>
  <c r="AM275" i="23"/>
  <c r="AM234" i="23"/>
  <c r="AN232" i="23" s="1"/>
  <c r="AM269" i="23"/>
  <c r="BB385" i="18"/>
  <c r="BC382" i="18" s="1"/>
  <c r="BC384" i="18" s="1"/>
  <c r="BC400" i="18" s="1"/>
  <c r="BD389" i="20"/>
  <c r="BJ376" i="11"/>
  <c r="BJ392" i="11" s="1"/>
  <c r="BF349" i="10"/>
  <c r="BA372" i="9"/>
  <c r="BB369" i="9" s="1"/>
  <c r="BB371" i="9" s="1"/>
  <c r="BF340" i="8"/>
  <c r="BR334" i="5"/>
  <c r="BS331" i="5" s="1"/>
  <c r="BS333" i="5" s="1"/>
  <c r="BS334" i="5" s="1"/>
  <c r="AL345" i="23" l="1"/>
  <c r="AL337" i="23"/>
  <c r="AL346" i="23" s="1"/>
  <c r="AM319" i="23"/>
  <c r="AM321" i="23" s="1"/>
  <c r="AM270" i="23"/>
  <c r="AM271" i="23" s="1"/>
  <c r="AM246" i="23"/>
  <c r="AN244" i="23" s="1"/>
  <c r="AM281" i="23"/>
  <c r="AM249" i="23"/>
  <c r="AM251" i="23" s="1"/>
  <c r="AM255" i="23"/>
  <c r="AM257" i="23" s="1"/>
  <c r="BC385" i="18"/>
  <c r="BD382" i="18" s="1"/>
  <c r="BD384" i="18" s="1"/>
  <c r="BD400" i="18" s="1"/>
  <c r="BD374" i="20"/>
  <c r="BE371" i="20" s="1"/>
  <c r="BE373" i="20" s="1"/>
  <c r="BJ377" i="11"/>
  <c r="BK374" i="11" s="1"/>
  <c r="BF334" i="10"/>
  <c r="BG331" i="10" s="1"/>
  <c r="BG333" i="10" s="1"/>
  <c r="BB387" i="9"/>
  <c r="BF325" i="8"/>
  <c r="BG322" i="8" s="1"/>
  <c r="BG324" i="8" s="1"/>
  <c r="BS349" i="5"/>
  <c r="I333" i="5"/>
  <c r="AM293" i="23" l="1"/>
  <c r="AM258" i="23"/>
  <c r="AN256" i="23" s="1"/>
  <c r="AM274" i="23"/>
  <c r="AM276" i="23" s="1"/>
  <c r="AM277" i="23" s="1"/>
  <c r="AM287" i="23"/>
  <c r="AM260" i="23"/>
  <c r="AM252" i="23"/>
  <c r="AN250" i="23" s="1"/>
  <c r="BD385" i="18"/>
  <c r="BE382" i="18" s="1"/>
  <c r="BE384" i="18" s="1"/>
  <c r="BE400" i="18" s="1"/>
  <c r="BE389" i="20"/>
  <c r="BK376" i="11"/>
  <c r="BK392" i="11" s="1"/>
  <c r="BG349" i="10"/>
  <c r="BB372" i="9"/>
  <c r="BC369" i="9" s="1"/>
  <c r="BC371" i="9" s="1"/>
  <c r="BG340" i="8"/>
  <c r="L447" i="5" a="1"/>
  <c r="L429" i="5" a="1"/>
  <c r="I349" i="5"/>
  <c r="AM302" i="23" l="1"/>
  <c r="AM328" i="23" s="1"/>
  <c r="AM317" i="23"/>
  <c r="AM280" i="23"/>
  <c r="AM282" i="23" s="1"/>
  <c r="AM283" i="23" s="1"/>
  <c r="BE385" i="18"/>
  <c r="BF382" i="18" s="1"/>
  <c r="BF384" i="18" s="1"/>
  <c r="BF400" i="18" s="1"/>
  <c r="BE374" i="20"/>
  <c r="BF371" i="20" s="1"/>
  <c r="BF373" i="20" s="1"/>
  <c r="BK377" i="11"/>
  <c r="BL374" i="11" s="1"/>
  <c r="BG334" i="10"/>
  <c r="BH331" i="10" s="1"/>
  <c r="BC387" i="9"/>
  <c r="BG325" i="8"/>
  <c r="BH322" i="8" s="1"/>
  <c r="BE430" i="5"/>
  <c r="AL430" i="5"/>
  <c r="AU430" i="5"/>
  <c r="M430" i="5"/>
  <c r="AB430" i="5"/>
  <c r="BF430" i="5"/>
  <c r="BO430" i="5"/>
  <c r="AG430" i="5"/>
  <c r="N430" i="5"/>
  <c r="W430" i="5"/>
  <c r="BP430" i="5"/>
  <c r="BA430" i="5"/>
  <c r="AH430" i="5"/>
  <c r="AQ430" i="5"/>
  <c r="BH430" i="5"/>
  <c r="L429" i="5"/>
  <c r="P430" i="5"/>
  <c r="BB430" i="5"/>
  <c r="BK430" i="5"/>
  <c r="AC430" i="5"/>
  <c r="BL430" i="5"/>
  <c r="S430" i="5"/>
  <c r="BD430" i="5"/>
  <c r="AW430" i="5"/>
  <c r="AD430" i="5"/>
  <c r="AM430" i="5"/>
  <c r="AV430" i="5"/>
  <c r="BQ430" i="5"/>
  <c r="AX430" i="5"/>
  <c r="BG430" i="5"/>
  <c r="Y430" i="5"/>
  <c r="AZ430" i="5"/>
  <c r="BR430" i="5"/>
  <c r="AN430" i="5"/>
  <c r="AS430" i="5"/>
  <c r="Z430" i="5"/>
  <c r="AI430" i="5"/>
  <c r="AJ430" i="5"/>
  <c r="BM430" i="5"/>
  <c r="AT430" i="5"/>
  <c r="BC430" i="5"/>
  <c r="U430" i="5"/>
  <c r="AR430" i="5"/>
  <c r="BN430" i="5"/>
  <c r="T430" i="5"/>
  <c r="AO430" i="5"/>
  <c r="V430" i="5"/>
  <c r="AE430" i="5"/>
  <c r="X430" i="5"/>
  <c r="BI430" i="5"/>
  <c r="AP430" i="5"/>
  <c r="AY430" i="5"/>
  <c r="Q430" i="5"/>
  <c r="AF430" i="5"/>
  <c r="BJ430" i="5"/>
  <c r="BS430" i="5"/>
  <c r="AK430" i="5"/>
  <c r="R430" i="5"/>
  <c r="AA430" i="5"/>
  <c r="O430" i="5"/>
  <c r="L447" i="5"/>
  <c r="AT448" i="5"/>
  <c r="AT464" i="5" s="1"/>
  <c r="BP448" i="5"/>
  <c r="BP464" i="5" s="1"/>
  <c r="BQ448" i="5"/>
  <c r="BQ464" i="5" s="1"/>
  <c r="BF448" i="5"/>
  <c r="BF464" i="5" s="1"/>
  <c r="AB448" i="5"/>
  <c r="AB464" i="5" s="1"/>
  <c r="AQ448" i="5"/>
  <c r="AQ464" i="5" s="1"/>
  <c r="BD448" i="5"/>
  <c r="BD464" i="5" s="1"/>
  <c r="BJ448" i="5"/>
  <c r="BJ464" i="5" s="1"/>
  <c r="BL448" i="5"/>
  <c r="BL464" i="5" s="1"/>
  <c r="AL448" i="5"/>
  <c r="AL464" i="5" s="1"/>
  <c r="AV448" i="5"/>
  <c r="AV464" i="5" s="1"/>
  <c r="AK448" i="5"/>
  <c r="AK464" i="5" s="1"/>
  <c r="AO448" i="5"/>
  <c r="AO464" i="5" s="1"/>
  <c r="BE448" i="5"/>
  <c r="BE464" i="5" s="1"/>
  <c r="AZ448" i="5"/>
  <c r="AZ464" i="5" s="1"/>
  <c r="BH448" i="5"/>
  <c r="BH464" i="5" s="1"/>
  <c r="AF448" i="5"/>
  <c r="AF464" i="5" s="1"/>
  <c r="AI448" i="5"/>
  <c r="AI464" i="5" s="1"/>
  <c r="AH448" i="5"/>
  <c r="AH464" i="5" s="1"/>
  <c r="BB448" i="5"/>
  <c r="BB464" i="5" s="1"/>
  <c r="AJ448" i="5"/>
  <c r="AJ464" i="5" s="1"/>
  <c r="BK448" i="5"/>
  <c r="BK464" i="5" s="1"/>
  <c r="T448" i="5"/>
  <c r="T464" i="5" s="1"/>
  <c r="BS448" i="5"/>
  <c r="BS464" i="5" s="1"/>
  <c r="AY448" i="5"/>
  <c r="AY464" i="5" s="1"/>
  <c r="AM448" i="5"/>
  <c r="AM464" i="5" s="1"/>
  <c r="AG448" i="5"/>
  <c r="AG464" i="5" s="1"/>
  <c r="O448" i="5"/>
  <c r="O464" i="5" s="1"/>
  <c r="BI448" i="5"/>
  <c r="BI464" i="5" s="1"/>
  <c r="BA448" i="5"/>
  <c r="BA464" i="5" s="1"/>
  <c r="M448" i="5"/>
  <c r="M464" i="5" s="1"/>
  <c r="W448" i="5"/>
  <c r="W464" i="5" s="1"/>
  <c r="AC448" i="5"/>
  <c r="AC464" i="5" s="1"/>
  <c r="BR448" i="5"/>
  <c r="BR464" i="5" s="1"/>
  <c r="AX448" i="5"/>
  <c r="AX464" i="5" s="1"/>
  <c r="AN448" i="5"/>
  <c r="AN464" i="5" s="1"/>
  <c r="Z448" i="5"/>
  <c r="Z464" i="5" s="1"/>
  <c r="X448" i="5"/>
  <c r="X464" i="5" s="1"/>
  <c r="BN448" i="5"/>
  <c r="BN464" i="5" s="1"/>
  <c r="BG448" i="5"/>
  <c r="BG464" i="5" s="1"/>
  <c r="AU448" i="5"/>
  <c r="AU464" i="5" s="1"/>
  <c r="Y448" i="5"/>
  <c r="Y464" i="5" s="1"/>
  <c r="BM448" i="5"/>
  <c r="BM464" i="5" s="1"/>
  <c r="V448" i="5"/>
  <c r="V464" i="5" s="1"/>
  <c r="AP448" i="5"/>
  <c r="AP464" i="5" s="1"/>
  <c r="U448" i="5"/>
  <c r="U464" i="5" s="1"/>
  <c r="P448" i="5"/>
  <c r="P464" i="5" s="1"/>
  <c r="AD448" i="5"/>
  <c r="AD464" i="5" s="1"/>
  <c r="AA448" i="5"/>
  <c r="AA464" i="5" s="1"/>
  <c r="N448" i="5"/>
  <c r="N464" i="5" s="1"/>
  <c r="AS448" i="5"/>
  <c r="AS464" i="5" s="1"/>
  <c r="AR448" i="5"/>
  <c r="AR464" i="5" s="1"/>
  <c r="AE448" i="5"/>
  <c r="AE464" i="5" s="1"/>
  <c r="BO448" i="5"/>
  <c r="BO464" i="5" s="1"/>
  <c r="Q448" i="5"/>
  <c r="Q464" i="5" s="1"/>
  <c r="S448" i="5"/>
  <c r="S464" i="5" s="1"/>
  <c r="BC448" i="5"/>
  <c r="BC464" i="5" s="1"/>
  <c r="AW448" i="5"/>
  <c r="AW464" i="5" s="1"/>
  <c r="R448" i="5"/>
  <c r="R464" i="5" s="1"/>
  <c r="AM330" i="23" l="1"/>
  <c r="AM286" i="23"/>
  <c r="AM288" i="23" s="1"/>
  <c r="AM292" i="23"/>
  <c r="AM294" i="23" s="1"/>
  <c r="BF385" i="18"/>
  <c r="BG382" i="18" s="1"/>
  <c r="BG384" i="18" s="1"/>
  <c r="BG400" i="18" s="1"/>
  <c r="BF389" i="20"/>
  <c r="I472" i="5"/>
  <c r="I438" i="5"/>
  <c r="BL376" i="11"/>
  <c r="BL392" i="11" s="1"/>
  <c r="BH333" i="10"/>
  <c r="BH349" i="10" s="1"/>
  <c r="BC372" i="9"/>
  <c r="BD369" i="9" s="1"/>
  <c r="BD371" i="9" s="1"/>
  <c r="BH324" i="8"/>
  <c r="BH340" i="8" s="1"/>
  <c r="L430" i="5"/>
  <c r="I437" i="5" s="1"/>
  <c r="I429" i="5"/>
  <c r="L448" i="5"/>
  <c r="I447" i="5"/>
  <c r="AM331" i="23" l="1"/>
  <c r="AM295" i="23"/>
  <c r="AN203" i="23"/>
  <c r="AN311" i="23" s="1"/>
  <c r="AM297" i="23"/>
  <c r="AM289" i="23"/>
  <c r="BG385" i="18"/>
  <c r="BH382" i="18" s="1"/>
  <c r="BH384" i="18" s="1"/>
  <c r="BH400" i="18" s="1"/>
  <c r="BF374" i="20"/>
  <c r="BG371" i="20" s="1"/>
  <c r="BG373" i="20" s="1"/>
  <c r="BL377" i="11"/>
  <c r="BM374" i="11" s="1"/>
  <c r="BH334" i="10"/>
  <c r="BI331" i="10" s="1"/>
  <c r="BD387" i="9"/>
  <c r="BH325" i="8"/>
  <c r="BI322" i="8" s="1"/>
  <c r="BI324" i="8" s="1"/>
  <c r="BI340" i="8" s="1"/>
  <c r="I448" i="5"/>
  <c r="L464" i="5"/>
  <c r="I471" i="5" s="1"/>
  <c r="I434" i="5"/>
  <c r="I430" i="5"/>
  <c r="I435" i="5"/>
  <c r="L432" i="5"/>
  <c r="AN313" i="23" l="1"/>
  <c r="AN315" i="23"/>
  <c r="AM299" i="23"/>
  <c r="AM322" i="23" s="1"/>
  <c r="AM303" i="23"/>
  <c r="AM334" i="23" s="1"/>
  <c r="AM336" i="23" s="1"/>
  <c r="AN225" i="23"/>
  <c r="AN227" i="23" s="1"/>
  <c r="AN262" i="23"/>
  <c r="AN264" i="23" s="1"/>
  <c r="BH385" i="18"/>
  <c r="BI382" i="18" s="1"/>
  <c r="BG389" i="20"/>
  <c r="BM376" i="11"/>
  <c r="BM392" i="11" s="1"/>
  <c r="BI333" i="10"/>
  <c r="BI334" i="10" s="1"/>
  <c r="BJ331" i="10" s="1"/>
  <c r="BJ333" i="10" s="1"/>
  <c r="BJ349" i="10" s="1"/>
  <c r="BD372" i="9"/>
  <c r="BE369" i="9" s="1"/>
  <c r="BE371" i="9" s="1"/>
  <c r="BI325" i="8"/>
  <c r="BJ322" i="8" s="1"/>
  <c r="BJ324" i="8" s="1"/>
  <c r="M432" i="5"/>
  <c r="N432" i="5" s="1"/>
  <c r="O432" i="5" s="1"/>
  <c r="P432" i="5" s="1"/>
  <c r="Q432" i="5" s="1"/>
  <c r="R432" i="5" s="1"/>
  <c r="S432" i="5" s="1"/>
  <c r="T432" i="5" s="1"/>
  <c r="U432" i="5" s="1"/>
  <c r="V432" i="5" s="1"/>
  <c r="W432" i="5" s="1"/>
  <c r="X432" i="5" s="1"/>
  <c r="Y432" i="5" s="1"/>
  <c r="Z432" i="5" s="1"/>
  <c r="AA432" i="5" s="1"/>
  <c r="AB432" i="5" s="1"/>
  <c r="AC432" i="5" s="1"/>
  <c r="AD432" i="5" s="1"/>
  <c r="AE432" i="5" s="1"/>
  <c r="AF432" i="5" s="1"/>
  <c r="AG432" i="5" s="1"/>
  <c r="AH432" i="5" s="1"/>
  <c r="AI432" i="5" s="1"/>
  <c r="AJ432" i="5" s="1"/>
  <c r="AK432" i="5" s="1"/>
  <c r="AL432" i="5" s="1"/>
  <c r="AM432" i="5" s="1"/>
  <c r="AN432" i="5" s="1"/>
  <c r="AO432" i="5" s="1"/>
  <c r="AP432" i="5" s="1"/>
  <c r="AQ432" i="5" s="1"/>
  <c r="AR432" i="5" s="1"/>
  <c r="AS432" i="5" s="1"/>
  <c r="AT432" i="5" s="1"/>
  <c r="AU432" i="5" s="1"/>
  <c r="AV432" i="5" s="1"/>
  <c r="AW432" i="5" s="1"/>
  <c r="AX432" i="5" s="1"/>
  <c r="AY432" i="5" s="1"/>
  <c r="AZ432" i="5" s="1"/>
  <c r="BA432" i="5" s="1"/>
  <c r="BB432" i="5" s="1"/>
  <c r="BC432" i="5" s="1"/>
  <c r="BD432" i="5" s="1"/>
  <c r="BE432" i="5" s="1"/>
  <c r="BF432" i="5" s="1"/>
  <c r="BG432" i="5" s="1"/>
  <c r="BH432" i="5" s="1"/>
  <c r="BI432" i="5" s="1"/>
  <c r="BJ432" i="5" s="1"/>
  <c r="BK432" i="5" s="1"/>
  <c r="BL432" i="5" s="1"/>
  <c r="BM432" i="5" s="1"/>
  <c r="BN432" i="5" s="1"/>
  <c r="BO432" i="5" s="1"/>
  <c r="BP432" i="5" s="1"/>
  <c r="BQ432" i="5" s="1"/>
  <c r="BR432" i="5" s="1"/>
  <c r="BS432" i="5" s="1"/>
  <c r="L466" i="5"/>
  <c r="I468" i="5"/>
  <c r="I469" i="5"/>
  <c r="I464" i="5"/>
  <c r="H464" i="5" s="1"/>
  <c r="AM340" i="23" l="1"/>
  <c r="AM337" i="23"/>
  <c r="AN319" i="23"/>
  <c r="AN321" i="23" s="1"/>
  <c r="AM305" i="23"/>
  <c r="AM306" i="23" s="1"/>
  <c r="AN268" i="23"/>
  <c r="AN231" i="23"/>
  <c r="AN233" i="23" s="1"/>
  <c r="AN237" i="23" s="1"/>
  <c r="AN239" i="23" s="1"/>
  <c r="AN243" i="23" s="1"/>
  <c r="AN245" i="23" s="1"/>
  <c r="BI384" i="18"/>
  <c r="BI400" i="18" s="1"/>
  <c r="BG374" i="20"/>
  <c r="BH371" i="20" s="1"/>
  <c r="BH373" i="20" s="1"/>
  <c r="BM377" i="11"/>
  <c r="BN374" i="11" s="1"/>
  <c r="BI349" i="10"/>
  <c r="BJ334" i="10"/>
  <c r="BK331" i="10" s="1"/>
  <c r="BK333" i="10" s="1"/>
  <c r="BE387" i="9"/>
  <c r="BJ340" i="8"/>
  <c r="M466" i="5"/>
  <c r="N466" i="5" s="1"/>
  <c r="O466" i="5" s="1"/>
  <c r="P466" i="5" s="1"/>
  <c r="Q466" i="5" s="1"/>
  <c r="R466" i="5" s="1"/>
  <c r="S466" i="5" s="1"/>
  <c r="T466" i="5" s="1"/>
  <c r="U466" i="5" s="1"/>
  <c r="V466" i="5" s="1"/>
  <c r="W466" i="5" s="1"/>
  <c r="X466" i="5" s="1"/>
  <c r="Y466" i="5" s="1"/>
  <c r="Z466" i="5" s="1"/>
  <c r="AA466" i="5" s="1"/>
  <c r="AB466" i="5" s="1"/>
  <c r="AC466" i="5" s="1"/>
  <c r="AD466" i="5" s="1"/>
  <c r="AE466" i="5" s="1"/>
  <c r="AF466" i="5" s="1"/>
  <c r="AG466" i="5" s="1"/>
  <c r="AH466" i="5" s="1"/>
  <c r="AI466" i="5" s="1"/>
  <c r="AJ466" i="5" s="1"/>
  <c r="AK466" i="5" s="1"/>
  <c r="AL466" i="5" s="1"/>
  <c r="AM466" i="5" s="1"/>
  <c r="AN466" i="5" s="1"/>
  <c r="AO466" i="5" s="1"/>
  <c r="AP466" i="5" s="1"/>
  <c r="AQ466" i="5" s="1"/>
  <c r="AR466" i="5" s="1"/>
  <c r="AS466" i="5" s="1"/>
  <c r="AT466" i="5" s="1"/>
  <c r="AU466" i="5" s="1"/>
  <c r="AV466" i="5" s="1"/>
  <c r="AW466" i="5" s="1"/>
  <c r="AX466" i="5" s="1"/>
  <c r="AY466" i="5" s="1"/>
  <c r="AZ466" i="5" s="1"/>
  <c r="BA466" i="5" s="1"/>
  <c r="BB466" i="5" s="1"/>
  <c r="BC466" i="5" s="1"/>
  <c r="BD466" i="5" s="1"/>
  <c r="BE466" i="5" s="1"/>
  <c r="BF466" i="5" s="1"/>
  <c r="BG466" i="5" s="1"/>
  <c r="BH466" i="5" s="1"/>
  <c r="BI466" i="5" s="1"/>
  <c r="BJ466" i="5" s="1"/>
  <c r="BK466" i="5" s="1"/>
  <c r="BL466" i="5" s="1"/>
  <c r="BM466" i="5" s="1"/>
  <c r="BN466" i="5" s="1"/>
  <c r="BO466" i="5" s="1"/>
  <c r="BP466" i="5" s="1"/>
  <c r="BQ466" i="5" s="1"/>
  <c r="BR466" i="5" s="1"/>
  <c r="BS466" i="5" s="1"/>
  <c r="I440" i="5"/>
  <c r="AM342" i="23" l="1"/>
  <c r="AN246" i="23"/>
  <c r="AO244" i="23" s="1"/>
  <c r="AN281" i="23"/>
  <c r="AN249" i="23"/>
  <c r="AN251" i="23" s="1"/>
  <c r="AN240" i="23"/>
  <c r="AO238" i="23" s="1"/>
  <c r="AN275" i="23"/>
  <c r="AN255" i="23"/>
  <c r="AN257" i="23" s="1"/>
  <c r="AN234" i="23"/>
  <c r="AO232" i="23" s="1"/>
  <c r="AN269" i="23"/>
  <c r="BI385" i="18"/>
  <c r="BJ382" i="18" s="1"/>
  <c r="BH389" i="20"/>
  <c r="BN376" i="11"/>
  <c r="BN392" i="11" s="1"/>
  <c r="BK349" i="10"/>
  <c r="BE372" i="9"/>
  <c r="BF369" i="9" s="1"/>
  <c r="BF371" i="9" s="1"/>
  <c r="BJ325" i="8"/>
  <c r="BK322" i="8" s="1"/>
  <c r="I474" i="5"/>
  <c r="AM343" i="23" l="1"/>
  <c r="AM346" i="23" s="1"/>
  <c r="AM345" i="23"/>
  <c r="AN260" i="23"/>
  <c r="AN252" i="23"/>
  <c r="AO250" i="23" s="1"/>
  <c r="AN287" i="23"/>
  <c r="AN293" i="23"/>
  <c r="AN258" i="23"/>
  <c r="AO256" i="23" s="1"/>
  <c r="AN270" i="23"/>
  <c r="AN271" i="23" s="1"/>
  <c r="BJ384" i="18"/>
  <c r="BJ400" i="18" s="1"/>
  <c r="BH374" i="20"/>
  <c r="BI371" i="20" s="1"/>
  <c r="BN377" i="11"/>
  <c r="BO374" i="11" s="1"/>
  <c r="BK334" i="10"/>
  <c r="BL331" i="10" s="1"/>
  <c r="BL333" i="10" s="1"/>
  <c r="BF387" i="9"/>
  <c r="BK324" i="8"/>
  <c r="BK340" i="8" s="1"/>
  <c r="AN302" i="23" l="1"/>
  <c r="AN328" i="23" s="1"/>
  <c r="AN317" i="23"/>
  <c r="AN274" i="23"/>
  <c r="AN276" i="23" s="1"/>
  <c r="AN277" i="23" s="1"/>
  <c r="BJ385" i="18"/>
  <c r="BK382" i="18" s="1"/>
  <c r="BI373" i="20"/>
  <c r="BI389" i="20" s="1"/>
  <c r="BO376" i="11"/>
  <c r="BO392" i="11" s="1"/>
  <c r="BL349" i="10"/>
  <c r="BF372" i="9"/>
  <c r="BG369" i="9" s="1"/>
  <c r="BG371" i="9" s="1"/>
  <c r="BK325" i="8"/>
  <c r="BL322" i="8" s="1"/>
  <c r="BL324" i="8" s="1"/>
  <c r="BL340" i="8" s="1"/>
  <c r="AN330" i="23" l="1"/>
  <c r="AN280" i="23"/>
  <c r="AN282" i="23" s="1"/>
  <c r="AN286" i="23" s="1"/>
  <c r="AN288" i="23" s="1"/>
  <c r="BK384" i="18"/>
  <c r="BK400" i="18" s="1"/>
  <c r="BI374" i="20"/>
  <c r="BJ371" i="20" s="1"/>
  <c r="BJ373" i="20" s="1"/>
  <c r="BJ389" i="20" s="1"/>
  <c r="BO377" i="11"/>
  <c r="BP374" i="11" s="1"/>
  <c r="BL334" i="10"/>
  <c r="BM331" i="10" s="1"/>
  <c r="BM333" i="10" s="1"/>
  <c r="BG387" i="9"/>
  <c r="BL325" i="8"/>
  <c r="BM322" i="8" s="1"/>
  <c r="BM324" i="8" s="1"/>
  <c r="AN331" i="23" l="1"/>
  <c r="AN283" i="23"/>
  <c r="AN292" i="23"/>
  <c r="AN294" i="23" s="1"/>
  <c r="AN295" i="23" s="1"/>
  <c r="AN289" i="23"/>
  <c r="BK385" i="18"/>
  <c r="BL382" i="18" s="1"/>
  <c r="BJ374" i="20"/>
  <c r="BK371" i="20" s="1"/>
  <c r="BK373" i="20" s="1"/>
  <c r="BP376" i="11"/>
  <c r="BP392" i="11" s="1"/>
  <c r="BM349" i="10"/>
  <c r="BG372" i="9"/>
  <c r="BH369" i="9" s="1"/>
  <c r="BH371" i="9" s="1"/>
  <c r="BM340" i="8"/>
  <c r="AN297" i="23" l="1"/>
  <c r="AO203" i="23"/>
  <c r="BL384" i="18"/>
  <c r="BL400" i="18" s="1"/>
  <c r="BK374" i="20"/>
  <c r="BL371" i="20" s="1"/>
  <c r="BL373" i="20" s="1"/>
  <c r="BP377" i="11"/>
  <c r="BQ374" i="11" s="1"/>
  <c r="BM334" i="10"/>
  <c r="BN331" i="10" s="1"/>
  <c r="BN333" i="10" s="1"/>
  <c r="BH387" i="9"/>
  <c r="BM325" i="8"/>
  <c r="BN322" i="8" s="1"/>
  <c r="BN324" i="8" s="1"/>
  <c r="AO262" i="23" l="1"/>
  <c r="AO264" i="23" s="1"/>
  <c r="AO268" i="23" s="1"/>
  <c r="AO311" i="23"/>
  <c r="AN299" i="23"/>
  <c r="AN322" i="23" s="1"/>
  <c r="AN303" i="23"/>
  <c r="AN334" i="23" s="1"/>
  <c r="AN336" i="23" s="1"/>
  <c r="AO225" i="23"/>
  <c r="AO227" i="23" s="1"/>
  <c r="BL385" i="18"/>
  <c r="BM382" i="18" s="1"/>
  <c r="BL389" i="20"/>
  <c r="BK389" i="20"/>
  <c r="BQ376" i="11"/>
  <c r="BQ377" i="11" s="1"/>
  <c r="BR374" i="11" s="1"/>
  <c r="BN349" i="10"/>
  <c r="BH372" i="9"/>
  <c r="BI369" i="9" s="1"/>
  <c r="BI371" i="9" s="1"/>
  <c r="BN340" i="8"/>
  <c r="AN340" i="23" l="1"/>
  <c r="AN337" i="23"/>
  <c r="AO313" i="23"/>
  <c r="AO315" i="23"/>
  <c r="AN305" i="23"/>
  <c r="AN306" i="23" s="1"/>
  <c r="AO231" i="23"/>
  <c r="AO233" i="23" s="1"/>
  <c r="AO237" i="23" s="1"/>
  <c r="AO239" i="23" s="1"/>
  <c r="AO240" i="23" s="1"/>
  <c r="AP238" i="23" s="1"/>
  <c r="BM384" i="18"/>
  <c r="BM400" i="18" s="1"/>
  <c r="BL374" i="20"/>
  <c r="BM371" i="20" s="1"/>
  <c r="BM373" i="20" s="1"/>
  <c r="BR376" i="11"/>
  <c r="BR392" i="11" s="1"/>
  <c r="BQ392" i="11"/>
  <c r="BN334" i="10"/>
  <c r="BO331" i="10" s="1"/>
  <c r="BO333" i="10" s="1"/>
  <c r="BI387" i="9"/>
  <c r="BN325" i="8"/>
  <c r="BO322" i="8" s="1"/>
  <c r="AN342" i="23" l="1"/>
  <c r="AO319" i="23"/>
  <c r="AO321" i="23" s="1"/>
  <c r="AO269" i="23"/>
  <c r="AO270" i="23" s="1"/>
  <c r="AO243" i="23"/>
  <c r="AO245" i="23" s="1"/>
  <c r="AO255" i="23" s="1"/>
  <c r="AO257" i="23" s="1"/>
  <c r="AO258" i="23" s="1"/>
  <c r="AP256" i="23" s="1"/>
  <c r="AO234" i="23"/>
  <c r="AP232" i="23" s="1"/>
  <c r="AO275" i="23"/>
  <c r="BM385" i="18"/>
  <c r="BN382" i="18" s="1"/>
  <c r="BM374" i="20"/>
  <c r="BN371" i="20" s="1"/>
  <c r="BN373" i="20" s="1"/>
  <c r="BR377" i="11"/>
  <c r="BS374" i="11" s="1"/>
  <c r="BO349" i="10"/>
  <c r="BI372" i="9"/>
  <c r="BJ369" i="9" s="1"/>
  <c r="BJ371" i="9" s="1"/>
  <c r="BO324" i="8"/>
  <c r="BO340" i="8" s="1"/>
  <c r="AN343" i="23" l="1"/>
  <c r="AN346" i="23" s="1"/>
  <c r="AN345" i="23"/>
  <c r="AO293" i="23"/>
  <c r="AO281" i="23"/>
  <c r="AO249" i="23"/>
  <c r="AO251" i="23" s="1"/>
  <c r="AO260" i="23" s="1"/>
  <c r="AO246" i="23"/>
  <c r="AP244" i="23" s="1"/>
  <c r="AO274" i="23"/>
  <c r="AO276" i="23" s="1"/>
  <c r="AO271" i="23"/>
  <c r="BN384" i="18"/>
  <c r="BN400" i="18" s="1"/>
  <c r="BN389" i="20"/>
  <c r="BM389" i="20"/>
  <c r="BS376" i="11"/>
  <c r="BS377" i="11" s="1"/>
  <c r="BO334" i="10"/>
  <c r="BP331" i="10" s="1"/>
  <c r="BP333" i="10" s="1"/>
  <c r="BJ387" i="9"/>
  <c r="BO325" i="8"/>
  <c r="BP322" i="8" s="1"/>
  <c r="AO302" i="23" l="1"/>
  <c r="AO328" i="23" s="1"/>
  <c r="AO317" i="23"/>
  <c r="AO287" i="23"/>
  <c r="AO252" i="23"/>
  <c r="AP250" i="23" s="1"/>
  <c r="AO280" i="23"/>
  <c r="AO282" i="23" s="1"/>
  <c r="AO277" i="23"/>
  <c r="BN385" i="18"/>
  <c r="BO382" i="18" s="1"/>
  <c r="BN374" i="20"/>
  <c r="BO371" i="20" s="1"/>
  <c r="BO373" i="20" s="1"/>
  <c r="BS392" i="11"/>
  <c r="I376" i="11"/>
  <c r="BP334" i="10"/>
  <c r="BQ331" i="10" s="1"/>
  <c r="BQ333" i="10" s="1"/>
  <c r="BJ372" i="9"/>
  <c r="BK369" i="9" s="1"/>
  <c r="BK371" i="9" s="1"/>
  <c r="BP324" i="8"/>
  <c r="BP325" i="8" s="1"/>
  <c r="BQ322" i="8" s="1"/>
  <c r="AO330" i="23" l="1"/>
  <c r="AO292" i="23"/>
  <c r="AO294" i="23" s="1"/>
  <c r="AO286" i="23"/>
  <c r="AO288" i="23" s="1"/>
  <c r="AO283" i="23"/>
  <c r="BO384" i="18"/>
  <c r="BO400" i="18" s="1"/>
  <c r="BO374" i="20"/>
  <c r="BP371" i="20" s="1"/>
  <c r="BP373" i="20" s="1"/>
  <c r="L472" i="11" a="1"/>
  <c r="L472" i="11" s="1"/>
  <c r="L490" i="11" a="1"/>
  <c r="L490" i="11" s="1"/>
  <c r="I392" i="11"/>
  <c r="BQ349" i="10"/>
  <c r="BP349" i="10"/>
  <c r="BK387" i="9"/>
  <c r="BQ324" i="8"/>
  <c r="BQ340" i="8" s="1"/>
  <c r="BP340" i="8"/>
  <c r="AO331" i="23" l="1"/>
  <c r="AO297" i="23"/>
  <c r="AO289" i="23"/>
  <c r="AO295" i="23"/>
  <c r="AP203" i="23"/>
  <c r="AP311" i="23" s="1"/>
  <c r="BO385" i="18"/>
  <c r="BP382" i="18" s="1"/>
  <c r="BP384" i="18" s="1"/>
  <c r="BP400" i="18" s="1"/>
  <c r="BP389" i="20"/>
  <c r="BO389" i="20"/>
  <c r="BO491" i="11"/>
  <c r="BO507" i="11" s="1"/>
  <c r="BB491" i="11"/>
  <c r="BB507" i="11" s="1"/>
  <c r="N491" i="11"/>
  <c r="N507" i="11" s="1"/>
  <c r="T491" i="11"/>
  <c r="T507" i="11" s="1"/>
  <c r="AU491" i="11"/>
  <c r="AU507" i="11" s="1"/>
  <c r="AH491" i="11"/>
  <c r="AH507" i="11" s="1"/>
  <c r="AJ491" i="11"/>
  <c r="AJ507" i="11" s="1"/>
  <c r="AN491" i="11"/>
  <c r="AN507" i="11" s="1"/>
  <c r="AA491" i="11"/>
  <c r="AA507" i="11" s="1"/>
  <c r="BA491" i="11"/>
  <c r="BA507" i="11" s="1"/>
  <c r="BM491" i="11"/>
  <c r="BM507" i="11" s="1"/>
  <c r="BS491" i="11"/>
  <c r="BS507" i="11" s="1"/>
  <c r="BF491" i="11"/>
  <c r="BF507" i="11" s="1"/>
  <c r="R491" i="11"/>
  <c r="R507" i="11" s="1"/>
  <c r="Y491" i="11"/>
  <c r="Y507" i="11" s="1"/>
  <c r="BR491" i="11"/>
  <c r="BR507" i="11" s="1"/>
  <c r="AW491" i="11"/>
  <c r="AW507" i="11" s="1"/>
  <c r="AX491" i="11"/>
  <c r="AX507" i="11" s="1"/>
  <c r="P491" i="11"/>
  <c r="P507" i="11" s="1"/>
  <c r="AD491" i="11"/>
  <c r="AD507" i="11" s="1"/>
  <c r="AF491" i="11"/>
  <c r="AF507" i="11" s="1"/>
  <c r="BE491" i="11"/>
  <c r="BE507" i="11" s="1"/>
  <c r="AY491" i="11"/>
  <c r="AY507" i="11" s="1"/>
  <c r="AL491" i="11"/>
  <c r="AL507" i="11" s="1"/>
  <c r="AR491" i="11"/>
  <c r="AR507" i="11" s="1"/>
  <c r="AV491" i="11"/>
  <c r="AV507" i="11" s="1"/>
  <c r="AE491" i="11"/>
  <c r="AE507" i="11" s="1"/>
  <c r="BI491" i="11"/>
  <c r="BI507" i="11" s="1"/>
  <c r="M491" i="11"/>
  <c r="M507" i="11" s="1"/>
  <c r="O491" i="11"/>
  <c r="O507" i="11" s="1"/>
  <c r="BJ491" i="11"/>
  <c r="BJ507" i="11" s="1"/>
  <c r="V491" i="11"/>
  <c r="V507" i="11" s="1"/>
  <c r="AG491" i="11"/>
  <c r="AG507" i="11" s="1"/>
  <c r="BC491" i="11"/>
  <c r="BC507" i="11" s="1"/>
  <c r="AP491" i="11"/>
  <c r="AP507" i="11" s="1"/>
  <c r="AZ491" i="11"/>
  <c r="AZ507" i="11" s="1"/>
  <c r="BD491" i="11"/>
  <c r="BD507" i="11" s="1"/>
  <c r="AK491" i="11"/>
  <c r="AK507" i="11" s="1"/>
  <c r="W491" i="11"/>
  <c r="W507" i="11" s="1"/>
  <c r="AI491" i="11"/>
  <c r="AI507" i="11" s="1"/>
  <c r="BQ491" i="11"/>
  <c r="BQ507" i="11" s="1"/>
  <c r="Q491" i="11"/>
  <c r="Q507" i="11" s="1"/>
  <c r="S491" i="11"/>
  <c r="S507" i="11" s="1"/>
  <c r="BN491" i="11"/>
  <c r="BN507" i="11" s="1"/>
  <c r="AC491" i="11"/>
  <c r="AC507" i="11" s="1"/>
  <c r="AO491" i="11"/>
  <c r="AO507" i="11" s="1"/>
  <c r="BG491" i="11"/>
  <c r="BG507" i="11" s="1"/>
  <c r="AT491" i="11"/>
  <c r="AT507" i="11" s="1"/>
  <c r="BH491" i="11"/>
  <c r="BH507" i="11" s="1"/>
  <c r="BL491" i="11"/>
  <c r="BL507" i="11" s="1"/>
  <c r="AM491" i="11"/>
  <c r="AM507" i="11" s="1"/>
  <c r="Z491" i="11"/>
  <c r="Z507" i="11" s="1"/>
  <c r="U491" i="11"/>
  <c r="U507" i="11" s="1"/>
  <c r="X491" i="11"/>
  <c r="X507" i="11" s="1"/>
  <c r="BK491" i="11"/>
  <c r="BK507" i="11" s="1"/>
  <c r="BP491" i="11"/>
  <c r="BP507" i="11" s="1"/>
  <c r="AQ491" i="11"/>
  <c r="AQ507" i="11" s="1"/>
  <c r="AB491" i="11"/>
  <c r="AB507" i="11" s="1"/>
  <c r="AS491" i="11"/>
  <c r="AS507" i="11" s="1"/>
  <c r="BR473" i="11"/>
  <c r="BM473" i="11"/>
  <c r="BH473" i="11"/>
  <c r="AQ473" i="11"/>
  <c r="AH473" i="11"/>
  <c r="AC473" i="11"/>
  <c r="X473" i="11"/>
  <c r="W473" i="11"/>
  <c r="N473" i="11"/>
  <c r="BP473" i="11"/>
  <c r="BO473" i="11"/>
  <c r="BF473" i="11"/>
  <c r="BA473" i="11"/>
  <c r="AV473" i="11"/>
  <c r="AU473" i="11"/>
  <c r="V473" i="11"/>
  <c r="AX473" i="11"/>
  <c r="AM473" i="11"/>
  <c r="Y473" i="11"/>
  <c r="BQ473" i="11"/>
  <c r="BK473" i="11"/>
  <c r="BB473" i="11"/>
  <c r="AW473" i="11"/>
  <c r="AR473" i="11"/>
  <c r="AA473" i="11"/>
  <c r="R473" i="11"/>
  <c r="M473" i="11"/>
  <c r="BS473" i="11"/>
  <c r="BJ473" i="11"/>
  <c r="BE473" i="11"/>
  <c r="AZ473" i="11"/>
  <c r="AY473" i="11"/>
  <c r="AP473" i="11"/>
  <c r="AK473" i="11"/>
  <c r="AF473" i="11"/>
  <c r="AE473" i="11"/>
  <c r="Q473" i="11"/>
  <c r="AN473" i="11"/>
  <c r="T473" i="11"/>
  <c r="BL473" i="11"/>
  <c r="AL473" i="11"/>
  <c r="AG473" i="11"/>
  <c r="AB473" i="11"/>
  <c r="BN473" i="11"/>
  <c r="BI473" i="11"/>
  <c r="BD473" i="11"/>
  <c r="BC473" i="11"/>
  <c r="AT473" i="11"/>
  <c r="AO473" i="11"/>
  <c r="AJ473" i="11"/>
  <c r="AI473" i="11"/>
  <c r="Z473" i="11"/>
  <c r="U473" i="11"/>
  <c r="P473" i="11"/>
  <c r="O473" i="11"/>
  <c r="BG473" i="11"/>
  <c r="AS473" i="11"/>
  <c r="AD473" i="11"/>
  <c r="S473" i="11"/>
  <c r="BQ334" i="10"/>
  <c r="BR331" i="10" s="1"/>
  <c r="BR333" i="10" s="1"/>
  <c r="BK372" i="9"/>
  <c r="BL369" i="9" s="1"/>
  <c r="BL371" i="9" s="1"/>
  <c r="BQ325" i="8"/>
  <c r="BR322" i="8" s="1"/>
  <c r="AP313" i="23" l="1"/>
  <c r="AP315" i="23"/>
  <c r="AO299" i="23"/>
  <c r="AO322" i="23" s="1"/>
  <c r="AO303" i="23"/>
  <c r="AO334" i="23" s="1"/>
  <c r="AO336" i="23" s="1"/>
  <c r="AP225" i="23"/>
  <c r="AP227" i="23" s="1"/>
  <c r="AP262" i="23"/>
  <c r="AP264" i="23" s="1"/>
  <c r="BP385" i="18"/>
  <c r="BQ382" i="18" s="1"/>
  <c r="BQ384" i="18" s="1"/>
  <c r="BQ400" i="18" s="1"/>
  <c r="BP374" i="20"/>
  <c r="BQ371" i="20" s="1"/>
  <c r="BQ373" i="20" s="1"/>
  <c r="I515" i="11"/>
  <c r="I481" i="11"/>
  <c r="L491" i="11"/>
  <c r="I490" i="11"/>
  <c r="I472" i="11"/>
  <c r="L473" i="11"/>
  <c r="BR334" i="10"/>
  <c r="BS331" i="10" s="1"/>
  <c r="BS333" i="10" s="1"/>
  <c r="BL387" i="9"/>
  <c r="BR324" i="8"/>
  <c r="BR340" i="8" s="1"/>
  <c r="AO340" i="23" l="1"/>
  <c r="AO337" i="23"/>
  <c r="AP319" i="23"/>
  <c r="AP321" i="23" s="1"/>
  <c r="AO305" i="23"/>
  <c r="AO306" i="23" s="1"/>
  <c r="AP268" i="23"/>
  <c r="AP231" i="23"/>
  <c r="AP233" i="23" s="1"/>
  <c r="AP237" i="23" s="1"/>
  <c r="AP239" i="23" s="1"/>
  <c r="BQ385" i="18"/>
  <c r="BR382" i="18" s="1"/>
  <c r="BR384" i="18" s="1"/>
  <c r="BR385" i="18" s="1"/>
  <c r="BS382" i="18" s="1"/>
  <c r="BS384" i="18" s="1"/>
  <c r="I384" i="18" s="1"/>
  <c r="BQ389" i="20"/>
  <c r="I478" i="11"/>
  <c r="I480" i="11"/>
  <c r="L475" i="11"/>
  <c r="M475" i="11" s="1"/>
  <c r="N475" i="11" s="1"/>
  <c r="O475" i="11" s="1"/>
  <c r="P475" i="11" s="1"/>
  <c r="Q475" i="11" s="1"/>
  <c r="R475" i="11" s="1"/>
  <c r="S475" i="11" s="1"/>
  <c r="T475" i="11" s="1"/>
  <c r="U475" i="11" s="1"/>
  <c r="V475" i="11" s="1"/>
  <c r="W475" i="11" s="1"/>
  <c r="X475" i="11" s="1"/>
  <c r="Y475" i="11" s="1"/>
  <c r="Z475" i="11" s="1"/>
  <c r="AA475" i="11" s="1"/>
  <c r="AB475" i="11" s="1"/>
  <c r="AC475" i="11" s="1"/>
  <c r="AD475" i="11" s="1"/>
  <c r="AE475" i="11" s="1"/>
  <c r="AF475" i="11" s="1"/>
  <c r="AG475" i="11" s="1"/>
  <c r="AH475" i="11" s="1"/>
  <c r="AI475" i="11" s="1"/>
  <c r="AJ475" i="11" s="1"/>
  <c r="AK475" i="11" s="1"/>
  <c r="AL475" i="11" s="1"/>
  <c r="AM475" i="11" s="1"/>
  <c r="AN475" i="11" s="1"/>
  <c r="AO475" i="11" s="1"/>
  <c r="AP475" i="11" s="1"/>
  <c r="AQ475" i="11" s="1"/>
  <c r="AR475" i="11" s="1"/>
  <c r="AS475" i="11" s="1"/>
  <c r="AT475" i="11" s="1"/>
  <c r="AU475" i="11" s="1"/>
  <c r="AV475" i="11" s="1"/>
  <c r="AW475" i="11" s="1"/>
  <c r="AX475" i="11" s="1"/>
  <c r="AY475" i="11" s="1"/>
  <c r="AZ475" i="11" s="1"/>
  <c r="BA475" i="11" s="1"/>
  <c r="BB475" i="11" s="1"/>
  <c r="BC475" i="11" s="1"/>
  <c r="BD475" i="11" s="1"/>
  <c r="BE475" i="11" s="1"/>
  <c r="BF475" i="11" s="1"/>
  <c r="BG475" i="11" s="1"/>
  <c r="BH475" i="11" s="1"/>
  <c r="BI475" i="11" s="1"/>
  <c r="BJ475" i="11" s="1"/>
  <c r="BK475" i="11" s="1"/>
  <c r="BL475" i="11" s="1"/>
  <c r="BM475" i="11" s="1"/>
  <c r="BN475" i="11" s="1"/>
  <c r="BO475" i="11" s="1"/>
  <c r="BP475" i="11" s="1"/>
  <c r="BQ475" i="11" s="1"/>
  <c r="BR475" i="11" s="1"/>
  <c r="BS475" i="11" s="1"/>
  <c r="I477" i="11"/>
  <c r="I473" i="11"/>
  <c r="I491" i="11"/>
  <c r="L507" i="11"/>
  <c r="BS349" i="10"/>
  <c r="BR349" i="10"/>
  <c r="BL372" i="9"/>
  <c r="BM369" i="9" s="1"/>
  <c r="BM371" i="9" s="1"/>
  <c r="BR325" i="8"/>
  <c r="BS322" i="8" s="1"/>
  <c r="AO342" i="23" l="1"/>
  <c r="AP240" i="23"/>
  <c r="AQ238" i="23" s="1"/>
  <c r="AP275" i="23"/>
  <c r="AP243" i="23"/>
  <c r="AP245" i="23" s="1"/>
  <c r="AP249" i="23" s="1"/>
  <c r="AP251" i="23" s="1"/>
  <c r="AP234" i="23"/>
  <c r="AQ232" i="23" s="1"/>
  <c r="AP269" i="23"/>
  <c r="BS385" i="18"/>
  <c r="BS400" i="18"/>
  <c r="BR400" i="18"/>
  <c r="BQ374" i="20"/>
  <c r="BR371" i="20" s="1"/>
  <c r="I512" i="11"/>
  <c r="I514" i="11"/>
  <c r="L509" i="11"/>
  <c r="M509" i="11" s="1"/>
  <c r="N509" i="11" s="1"/>
  <c r="O509" i="11" s="1"/>
  <c r="P509" i="11" s="1"/>
  <c r="Q509" i="11" s="1"/>
  <c r="R509" i="11" s="1"/>
  <c r="S509" i="11" s="1"/>
  <c r="T509" i="11" s="1"/>
  <c r="U509" i="11" s="1"/>
  <c r="V509" i="11" s="1"/>
  <c r="W509" i="11" s="1"/>
  <c r="X509" i="11" s="1"/>
  <c r="Y509" i="11" s="1"/>
  <c r="Z509" i="11" s="1"/>
  <c r="AA509" i="11" s="1"/>
  <c r="AB509" i="11" s="1"/>
  <c r="AC509" i="11" s="1"/>
  <c r="AD509" i="11" s="1"/>
  <c r="AE509" i="11" s="1"/>
  <c r="AF509" i="11" s="1"/>
  <c r="AG509" i="11" s="1"/>
  <c r="AH509" i="11" s="1"/>
  <c r="AI509" i="11" s="1"/>
  <c r="AJ509" i="11" s="1"/>
  <c r="AK509" i="11" s="1"/>
  <c r="AL509" i="11" s="1"/>
  <c r="AM509" i="11" s="1"/>
  <c r="AN509" i="11" s="1"/>
  <c r="AO509" i="11" s="1"/>
  <c r="AP509" i="11" s="1"/>
  <c r="AQ509" i="11" s="1"/>
  <c r="AR509" i="11" s="1"/>
  <c r="AS509" i="11" s="1"/>
  <c r="AT509" i="11" s="1"/>
  <c r="AU509" i="11" s="1"/>
  <c r="AV509" i="11" s="1"/>
  <c r="AW509" i="11" s="1"/>
  <c r="AX509" i="11" s="1"/>
  <c r="AY509" i="11" s="1"/>
  <c r="AZ509" i="11" s="1"/>
  <c r="BA509" i="11" s="1"/>
  <c r="BB509" i="11" s="1"/>
  <c r="BC509" i="11" s="1"/>
  <c r="BD509" i="11" s="1"/>
  <c r="BE509" i="11" s="1"/>
  <c r="BF509" i="11" s="1"/>
  <c r="BG509" i="11" s="1"/>
  <c r="BH509" i="11" s="1"/>
  <c r="BI509" i="11" s="1"/>
  <c r="BJ509" i="11" s="1"/>
  <c r="BK509" i="11" s="1"/>
  <c r="BL509" i="11" s="1"/>
  <c r="BM509" i="11" s="1"/>
  <c r="BN509" i="11" s="1"/>
  <c r="BO509" i="11" s="1"/>
  <c r="BP509" i="11" s="1"/>
  <c r="BQ509" i="11" s="1"/>
  <c r="BR509" i="11" s="1"/>
  <c r="BS509" i="11" s="1"/>
  <c r="I511" i="11"/>
  <c r="I507" i="11"/>
  <c r="L429" i="10" a="1"/>
  <c r="L429" i="10" s="1"/>
  <c r="L447" i="10" a="1"/>
  <c r="L447" i="10" s="1"/>
  <c r="I349" i="10"/>
  <c r="I333" i="10"/>
  <c r="BS334" i="10"/>
  <c r="BM372" i="9"/>
  <c r="BN369" i="9" s="1"/>
  <c r="BN371" i="9" s="1"/>
  <c r="BS324" i="8"/>
  <c r="BS325" i="8" s="1"/>
  <c r="AO343" i="23" l="1"/>
  <c r="AO346" i="23" s="1"/>
  <c r="AO345" i="23"/>
  <c r="AP246" i="23"/>
  <c r="AQ244" i="23" s="1"/>
  <c r="AP281" i="23"/>
  <c r="AP252" i="23"/>
  <c r="AQ250" i="23" s="1"/>
  <c r="AP287" i="23"/>
  <c r="AP255" i="23"/>
  <c r="AP257" i="23" s="1"/>
  <c r="AP260" i="23" s="1"/>
  <c r="AP270" i="23"/>
  <c r="AP271" i="23" s="1"/>
  <c r="L480" i="18" a="1"/>
  <c r="L480" i="18" s="1"/>
  <c r="I400" i="18"/>
  <c r="L498" i="18" a="1"/>
  <c r="L498" i="18" s="1"/>
  <c r="BR373" i="20"/>
  <c r="BR389" i="20" s="1"/>
  <c r="F507" i="11"/>
  <c r="I548" i="11"/>
  <c r="I483" i="11"/>
  <c r="X430" i="10"/>
  <c r="W430" i="10"/>
  <c r="R430" i="10"/>
  <c r="Y430" i="10"/>
  <c r="AJ430" i="10"/>
  <c r="AI430" i="10"/>
  <c r="AD430" i="10"/>
  <c r="M430" i="10"/>
  <c r="AV430" i="10"/>
  <c r="AU430" i="10"/>
  <c r="AP430" i="10"/>
  <c r="BI430" i="10"/>
  <c r="AB430" i="10"/>
  <c r="BR430" i="10"/>
  <c r="AO430" i="10"/>
  <c r="AY430" i="10"/>
  <c r="BL430" i="10"/>
  <c r="AR430" i="10"/>
  <c r="BA430" i="10"/>
  <c r="BS430" i="10"/>
  <c r="BN430" i="10"/>
  <c r="AK430" i="10"/>
  <c r="AS430" i="10"/>
  <c r="T430" i="10"/>
  <c r="S430" i="10"/>
  <c r="N430" i="10"/>
  <c r="BB430" i="10"/>
  <c r="AF430" i="10"/>
  <c r="AE430" i="10"/>
  <c r="Z430" i="10"/>
  <c r="BE430" i="10"/>
  <c r="BG430" i="10"/>
  <c r="AL430" i="10"/>
  <c r="BF430" i="10"/>
  <c r="BD430" i="10"/>
  <c r="BC430" i="10"/>
  <c r="AX430" i="10"/>
  <c r="AG430" i="10"/>
  <c r="BP430" i="10"/>
  <c r="BO430" i="10"/>
  <c r="BJ430" i="10"/>
  <c r="U430" i="10"/>
  <c r="AW430" i="10"/>
  <c r="P430" i="10"/>
  <c r="O430" i="10"/>
  <c r="BQ430" i="10"/>
  <c r="BH430" i="10"/>
  <c r="AQ430" i="10"/>
  <c r="V430" i="10"/>
  <c r="AN430" i="10"/>
  <c r="AM430" i="10"/>
  <c r="AH430" i="10"/>
  <c r="AC430" i="10"/>
  <c r="AZ430" i="10"/>
  <c r="AT430" i="10"/>
  <c r="Q430" i="10"/>
  <c r="BK430" i="10"/>
  <c r="BM430" i="10"/>
  <c r="AA430" i="10"/>
  <c r="AJ448" i="10"/>
  <c r="AJ464" i="10" s="1"/>
  <c r="AE448" i="10"/>
  <c r="AE464" i="10" s="1"/>
  <c r="AD448" i="10"/>
  <c r="AD464" i="10" s="1"/>
  <c r="BQ448" i="10"/>
  <c r="BQ464" i="10" s="1"/>
  <c r="P448" i="10"/>
  <c r="P464" i="10" s="1"/>
  <c r="BF448" i="10"/>
  <c r="BF464" i="10" s="1"/>
  <c r="BI448" i="10"/>
  <c r="BI464" i="10" s="1"/>
  <c r="AR448" i="10"/>
  <c r="AR464" i="10" s="1"/>
  <c r="AM448" i="10"/>
  <c r="AM464" i="10" s="1"/>
  <c r="AL448" i="10"/>
  <c r="AL464" i="10" s="1"/>
  <c r="AO448" i="10"/>
  <c r="AO464" i="10" s="1"/>
  <c r="X448" i="10"/>
  <c r="X464" i="10" s="1"/>
  <c r="S448" i="10"/>
  <c r="S464" i="10" s="1"/>
  <c r="R448" i="10"/>
  <c r="R464" i="10" s="1"/>
  <c r="U448" i="10"/>
  <c r="U464" i="10" s="1"/>
  <c r="AU448" i="10"/>
  <c r="AU464" i="10" s="1"/>
  <c r="M448" i="10"/>
  <c r="M464" i="10" s="1"/>
  <c r="AA448" i="10"/>
  <c r="AA464" i="10" s="1"/>
  <c r="BC448" i="10"/>
  <c r="BC464" i="10" s="1"/>
  <c r="AN448" i="10"/>
  <c r="AN464" i="10" s="1"/>
  <c r="Y448" i="10"/>
  <c r="Y464" i="10" s="1"/>
  <c r="T448" i="10"/>
  <c r="T464" i="10" s="1"/>
  <c r="O448" i="10"/>
  <c r="O464" i="10" s="1"/>
  <c r="N448" i="10"/>
  <c r="N464" i="10" s="1"/>
  <c r="BL448" i="10"/>
  <c r="BL464" i="10" s="1"/>
  <c r="BG448" i="10"/>
  <c r="BG464" i="10" s="1"/>
  <c r="AP448" i="10"/>
  <c r="AP464" i="10" s="1"/>
  <c r="BE448" i="10"/>
  <c r="BE464" i="10" s="1"/>
  <c r="AB448" i="10"/>
  <c r="AB464" i="10" s="1"/>
  <c r="W448" i="10"/>
  <c r="W464" i="10" s="1"/>
  <c r="V448" i="10"/>
  <c r="V464" i="10" s="1"/>
  <c r="AK448" i="10"/>
  <c r="AK464" i="10" s="1"/>
  <c r="BO448" i="10"/>
  <c r="BO464" i="10" s="1"/>
  <c r="BN448" i="10"/>
  <c r="BN464" i="10" s="1"/>
  <c r="AG448" i="10"/>
  <c r="AG464" i="10" s="1"/>
  <c r="BH448" i="10"/>
  <c r="BH464" i="10" s="1"/>
  <c r="AI448" i="10"/>
  <c r="AI464" i="10" s="1"/>
  <c r="BP448" i="10"/>
  <c r="BP464" i="10" s="1"/>
  <c r="BK448" i="10"/>
  <c r="BK464" i="10" s="1"/>
  <c r="BJ448" i="10"/>
  <c r="BJ464" i="10" s="1"/>
  <c r="Q448" i="10"/>
  <c r="Q464" i="10" s="1"/>
  <c r="AV448" i="10"/>
  <c r="AV464" i="10" s="1"/>
  <c r="AQ448" i="10"/>
  <c r="AQ464" i="10" s="1"/>
  <c r="Z448" i="10"/>
  <c r="Z464" i="10" s="1"/>
  <c r="BA448" i="10"/>
  <c r="BA464" i="10" s="1"/>
  <c r="BS448" i="10"/>
  <c r="BS464" i="10" s="1"/>
  <c r="BR448" i="10"/>
  <c r="BR464" i="10" s="1"/>
  <c r="AW448" i="10"/>
  <c r="AW464" i="10" s="1"/>
  <c r="BD448" i="10"/>
  <c r="BD464" i="10" s="1"/>
  <c r="AY448" i="10"/>
  <c r="AY464" i="10" s="1"/>
  <c r="AX448" i="10"/>
  <c r="AX464" i="10" s="1"/>
  <c r="AC448" i="10"/>
  <c r="AC464" i="10" s="1"/>
  <c r="AZ448" i="10"/>
  <c r="AZ464" i="10" s="1"/>
  <c r="AT448" i="10"/>
  <c r="AT464" i="10" s="1"/>
  <c r="AF448" i="10"/>
  <c r="AF464" i="10" s="1"/>
  <c r="BM448" i="10"/>
  <c r="BM464" i="10" s="1"/>
  <c r="BB448" i="10"/>
  <c r="BB464" i="10" s="1"/>
  <c r="AS448" i="10"/>
  <c r="AS464" i="10" s="1"/>
  <c r="AH448" i="10"/>
  <c r="AH464" i="10" s="1"/>
  <c r="BN387" i="9"/>
  <c r="BM387" i="9"/>
  <c r="BS340" i="8"/>
  <c r="I324" i="8"/>
  <c r="AP302" i="23" l="1"/>
  <c r="AP328" i="23" s="1"/>
  <c r="AP317" i="23"/>
  <c r="AP274" i="23"/>
  <c r="AP276" i="23" s="1"/>
  <c r="AP277" i="23" s="1"/>
  <c r="AP293" i="23"/>
  <c r="AP258" i="23"/>
  <c r="AQ256" i="23" s="1"/>
  <c r="BR374" i="20"/>
  <c r="BS371" i="20" s="1"/>
  <c r="BS373" i="20" s="1"/>
  <c r="I517" i="11"/>
  <c r="I472" i="10"/>
  <c r="I438" i="10"/>
  <c r="L448" i="10"/>
  <c r="I447" i="10"/>
  <c r="I429" i="10"/>
  <c r="L430" i="10"/>
  <c r="I437" i="10" s="1"/>
  <c r="BN372" i="9"/>
  <c r="BO369" i="9" s="1"/>
  <c r="BO371" i="9" s="1"/>
  <c r="L420" i="8" a="1"/>
  <c r="L420" i="8" s="1"/>
  <c r="L421" i="8" s="1"/>
  <c r="L438" i="8" a="1"/>
  <c r="L438" i="8" s="1"/>
  <c r="I340" i="8"/>
  <c r="AP330" i="23" l="1"/>
  <c r="AP280" i="23"/>
  <c r="AP282" i="23" s="1"/>
  <c r="AP283" i="23" s="1"/>
  <c r="BS374" i="20"/>
  <c r="BS389" i="20"/>
  <c r="L487" i="20" s="1" a="1"/>
  <c r="L487" i="20" s="1"/>
  <c r="I373" i="20"/>
  <c r="BR481" i="18"/>
  <c r="BB481" i="18"/>
  <c r="AL481" i="18"/>
  <c r="V481" i="18"/>
  <c r="BM481" i="18"/>
  <c r="AW481" i="18"/>
  <c r="AG481" i="18"/>
  <c r="Q481" i="18"/>
  <c r="BH481" i="18"/>
  <c r="AR481" i="18"/>
  <c r="AB481" i="18"/>
  <c r="W481" i="18"/>
  <c r="S481" i="18"/>
  <c r="O481" i="18"/>
  <c r="AX481" i="18"/>
  <c r="AC481" i="18"/>
  <c r="BD481" i="18"/>
  <c r="X481" i="18"/>
  <c r="BO481" i="18"/>
  <c r="BG481" i="18"/>
  <c r="BN481" i="18"/>
  <c r="AH481" i="18"/>
  <c r="BI481" i="18"/>
  <c r="AS481" i="18"/>
  <c r="M481" i="18"/>
  <c r="AN481" i="18"/>
  <c r="BS481" i="18"/>
  <c r="AQ481" i="18"/>
  <c r="BJ481" i="18"/>
  <c r="AT481" i="18"/>
  <c r="AD481" i="18"/>
  <c r="N481" i="18"/>
  <c r="BE481" i="18"/>
  <c r="AO481" i="18"/>
  <c r="Y481" i="18"/>
  <c r="BP481" i="18"/>
  <c r="AZ481" i="18"/>
  <c r="AJ481" i="18"/>
  <c r="T481" i="18"/>
  <c r="BC481" i="18"/>
  <c r="AY481" i="18"/>
  <c r="BK481" i="18"/>
  <c r="AA481" i="18"/>
  <c r="BF481" i="18"/>
  <c r="AP481" i="18"/>
  <c r="Z481" i="18"/>
  <c r="BQ481" i="18"/>
  <c r="BA481" i="18"/>
  <c r="AK481" i="18"/>
  <c r="U481" i="18"/>
  <c r="BL481" i="18"/>
  <c r="AV481" i="18"/>
  <c r="AF481" i="18"/>
  <c r="P481" i="18"/>
  <c r="AM481" i="18"/>
  <c r="AI481" i="18"/>
  <c r="AE481" i="18"/>
  <c r="AU481" i="18"/>
  <c r="R481" i="18"/>
  <c r="BJ499" i="18"/>
  <c r="BJ515" i="18" s="1"/>
  <c r="AT499" i="18"/>
  <c r="AT515" i="18" s="1"/>
  <c r="BQ499" i="18"/>
  <c r="BQ515" i="18" s="1"/>
  <c r="BL499" i="18"/>
  <c r="BL515" i="18" s="1"/>
  <c r="AV499" i="18"/>
  <c r="AV515" i="18" s="1"/>
  <c r="AN499" i="18"/>
  <c r="AN515" i="18" s="1"/>
  <c r="V499" i="18"/>
  <c r="V515" i="18" s="1"/>
  <c r="AY499" i="18"/>
  <c r="AY515" i="18" s="1"/>
  <c r="AC499" i="18"/>
  <c r="AC515" i="18" s="1"/>
  <c r="M499" i="18"/>
  <c r="M515" i="18" s="1"/>
  <c r="AQ499" i="18"/>
  <c r="AQ515" i="18" s="1"/>
  <c r="X499" i="18"/>
  <c r="X515" i="18" s="1"/>
  <c r="AJ499" i="18"/>
  <c r="AJ515" i="18" s="1"/>
  <c r="O499" i="18"/>
  <c r="O515" i="18" s="1"/>
  <c r="W499" i="18"/>
  <c r="W515" i="18" s="1"/>
  <c r="BF499" i="18"/>
  <c r="BF515" i="18" s="1"/>
  <c r="AP499" i="18"/>
  <c r="AP515" i="18" s="1"/>
  <c r="BM499" i="18"/>
  <c r="BM515" i="18" s="1"/>
  <c r="BH499" i="18"/>
  <c r="BH515" i="18" s="1"/>
  <c r="BK499" i="18"/>
  <c r="BK515" i="18" s="1"/>
  <c r="AI499" i="18"/>
  <c r="AI515" i="18" s="1"/>
  <c r="R499" i="18"/>
  <c r="R515" i="18" s="1"/>
  <c r="AR499" i="18"/>
  <c r="AR515" i="18" s="1"/>
  <c r="Y499" i="18"/>
  <c r="Y515" i="18" s="1"/>
  <c r="BS499" i="18"/>
  <c r="BS515" i="18" s="1"/>
  <c r="AK499" i="18"/>
  <c r="AK515" i="18" s="1"/>
  <c r="T499" i="18"/>
  <c r="T515" i="18" s="1"/>
  <c r="S499" i="18"/>
  <c r="S515" i="18" s="1"/>
  <c r="AO499" i="18"/>
  <c r="AO515" i="18" s="1"/>
  <c r="AU499" i="18"/>
  <c r="AU515" i="18" s="1"/>
  <c r="BR499" i="18"/>
  <c r="BR515" i="18" s="1"/>
  <c r="BB499" i="18"/>
  <c r="BB515" i="18" s="1"/>
  <c r="AL499" i="18"/>
  <c r="AL515" i="18" s="1"/>
  <c r="BI499" i="18"/>
  <c r="BI515" i="18" s="1"/>
  <c r="BD499" i="18"/>
  <c r="BD515" i="18" s="1"/>
  <c r="BA499" i="18"/>
  <c r="BA515" i="18" s="1"/>
  <c r="AD499" i="18"/>
  <c r="AD515" i="18" s="1"/>
  <c r="N499" i="18"/>
  <c r="N515" i="18" s="1"/>
  <c r="AM499" i="18"/>
  <c r="AM515" i="18" s="1"/>
  <c r="U499" i="18"/>
  <c r="U515" i="18" s="1"/>
  <c r="BE499" i="18"/>
  <c r="BE515" i="18" s="1"/>
  <c r="AF499" i="18"/>
  <c r="AF515" i="18" s="1"/>
  <c r="P499" i="18"/>
  <c r="P515" i="18" s="1"/>
  <c r="BC499" i="18"/>
  <c r="BC515" i="18" s="1"/>
  <c r="BN499" i="18"/>
  <c r="BN515" i="18" s="1"/>
  <c r="AX499" i="18"/>
  <c r="AX515" i="18" s="1"/>
  <c r="AH499" i="18"/>
  <c r="AH515" i="18" s="1"/>
  <c r="BP499" i="18"/>
  <c r="BP515" i="18" s="1"/>
  <c r="AZ499" i="18"/>
  <c r="AZ515" i="18" s="1"/>
  <c r="AS499" i="18"/>
  <c r="AS515" i="18" s="1"/>
  <c r="Z499" i="18"/>
  <c r="Z515" i="18" s="1"/>
  <c r="BG499" i="18"/>
  <c r="BG515" i="18" s="1"/>
  <c r="AG499" i="18"/>
  <c r="AG515" i="18" s="1"/>
  <c r="Q499" i="18"/>
  <c r="Q515" i="18" s="1"/>
  <c r="AW499" i="18"/>
  <c r="AW515" i="18" s="1"/>
  <c r="AB499" i="18"/>
  <c r="AB515" i="18" s="1"/>
  <c r="BO499" i="18"/>
  <c r="BO515" i="18" s="1"/>
  <c r="AE499" i="18"/>
  <c r="AE515" i="18" s="1"/>
  <c r="AA499" i="18"/>
  <c r="AA515" i="18" s="1"/>
  <c r="I434" i="10"/>
  <c r="I435" i="10"/>
  <c r="I430" i="10"/>
  <c r="L432" i="10"/>
  <c r="I448" i="10"/>
  <c r="L464" i="10"/>
  <c r="BO372" i="9"/>
  <c r="BP369" i="9" s="1"/>
  <c r="BP371" i="9" s="1"/>
  <c r="BF421" i="8"/>
  <c r="Q421" i="8"/>
  <c r="AL421" i="8"/>
  <c r="M421" i="8"/>
  <c r="AK421" i="8"/>
  <c r="BG421" i="8"/>
  <c r="R421" i="8"/>
  <c r="AR421" i="8"/>
  <c r="O421" i="8"/>
  <c r="AA421" i="8"/>
  <c r="AQ421" i="8"/>
  <c r="BH421" i="8"/>
  <c r="AG421" i="8"/>
  <c r="AY421" i="8"/>
  <c r="AS421" i="8"/>
  <c r="BA421" i="8"/>
  <c r="AI421" i="8"/>
  <c r="X421" i="8"/>
  <c r="AP421" i="8"/>
  <c r="U421" i="8"/>
  <c r="AB421" i="8"/>
  <c r="V421" i="8"/>
  <c r="AU421" i="8"/>
  <c r="AC421" i="8"/>
  <c r="Y421" i="8"/>
  <c r="AX421" i="8"/>
  <c r="BP421" i="8"/>
  <c r="Z421" i="8"/>
  <c r="W421" i="8"/>
  <c r="BO421" i="8"/>
  <c r="AW421" i="8"/>
  <c r="S421" i="8"/>
  <c r="AM421" i="8"/>
  <c r="BK421" i="8"/>
  <c r="BB421" i="8"/>
  <c r="BD421" i="8"/>
  <c r="BN421" i="8"/>
  <c r="AZ421" i="8"/>
  <c r="AD421" i="8"/>
  <c r="AV421" i="8"/>
  <c r="BS421" i="8"/>
  <c r="BQ421" i="8"/>
  <c r="BC421" i="8"/>
  <c r="AN421" i="8"/>
  <c r="AH421" i="8"/>
  <c r="T421" i="8"/>
  <c r="N421" i="8"/>
  <c r="AF421" i="8"/>
  <c r="BR421" i="8"/>
  <c r="BM421" i="8"/>
  <c r="BI421" i="8"/>
  <c r="AJ421" i="8"/>
  <c r="BJ421" i="8"/>
  <c r="BE421" i="8"/>
  <c r="AE421" i="8"/>
  <c r="P421" i="8"/>
  <c r="AT421" i="8"/>
  <c r="AO421" i="8"/>
  <c r="BL421" i="8"/>
  <c r="Y439" i="8"/>
  <c r="Y455" i="8" s="1"/>
  <c r="T439" i="8"/>
  <c r="T455" i="8" s="1"/>
  <c r="O439" i="8"/>
  <c r="O455" i="8" s="1"/>
  <c r="BB439" i="8"/>
  <c r="BB455" i="8" s="1"/>
  <c r="M439" i="8"/>
  <c r="M455" i="8" s="1"/>
  <c r="AT439" i="8"/>
  <c r="AT455" i="8" s="1"/>
  <c r="AK439" i="8"/>
  <c r="AK455" i="8" s="1"/>
  <c r="AF439" i="8"/>
  <c r="AF455" i="8" s="1"/>
  <c r="AM439" i="8"/>
  <c r="AM455" i="8" s="1"/>
  <c r="X439" i="8"/>
  <c r="X455" i="8" s="1"/>
  <c r="BM439" i="8"/>
  <c r="BM455" i="8" s="1"/>
  <c r="BH439" i="8"/>
  <c r="BH455" i="8" s="1"/>
  <c r="AH439" i="8"/>
  <c r="AH455" i="8" s="1"/>
  <c r="BJ439" i="8"/>
  <c r="BJ455" i="8" s="1"/>
  <c r="BC439" i="8"/>
  <c r="BC455" i="8" s="1"/>
  <c r="BP439" i="8"/>
  <c r="BP455" i="8" s="1"/>
  <c r="AX439" i="8"/>
  <c r="AX455" i="8" s="1"/>
  <c r="AI439" i="8"/>
  <c r="AI455" i="8" s="1"/>
  <c r="BI439" i="8"/>
  <c r="BI455" i="8" s="1"/>
  <c r="AN439" i="8"/>
  <c r="AN455" i="8" s="1"/>
  <c r="BR439" i="8"/>
  <c r="BR455" i="8" s="1"/>
  <c r="U439" i="8"/>
  <c r="U455" i="8" s="1"/>
  <c r="P439" i="8"/>
  <c r="P455" i="8" s="1"/>
  <c r="S439" i="8"/>
  <c r="S455" i="8" s="1"/>
  <c r="Z439" i="8"/>
  <c r="Z455" i="8" s="1"/>
  <c r="AW439" i="8"/>
  <c r="AW455" i="8" s="1"/>
  <c r="AR439" i="8"/>
  <c r="AR455" i="8" s="1"/>
  <c r="BK439" i="8"/>
  <c r="BK455" i="8" s="1"/>
  <c r="BG439" i="8"/>
  <c r="BG455" i="8" s="1"/>
  <c r="BE439" i="8"/>
  <c r="BE455" i="8" s="1"/>
  <c r="AZ439" i="8"/>
  <c r="AZ455" i="8" s="1"/>
  <c r="R439" i="8"/>
  <c r="R455" i="8" s="1"/>
  <c r="AD439" i="8"/>
  <c r="AD455" i="8" s="1"/>
  <c r="AS439" i="8"/>
  <c r="AS455" i="8" s="1"/>
  <c r="BF439" i="8"/>
  <c r="BF455" i="8" s="1"/>
  <c r="BQ439" i="8"/>
  <c r="BQ455" i="8" s="1"/>
  <c r="BL439" i="8"/>
  <c r="BL455" i="8" s="1"/>
  <c r="AP439" i="8"/>
  <c r="AP455" i="8" s="1"/>
  <c r="N439" i="8"/>
  <c r="N455" i="8" s="1"/>
  <c r="AY439" i="8"/>
  <c r="AY455" i="8" s="1"/>
  <c r="AG439" i="8"/>
  <c r="AG455" i="8" s="1"/>
  <c r="AB439" i="8"/>
  <c r="AB455" i="8" s="1"/>
  <c r="AE439" i="8"/>
  <c r="AE455" i="8" s="1"/>
  <c r="V439" i="8"/>
  <c r="V455" i="8" s="1"/>
  <c r="AO439" i="8"/>
  <c r="AO455" i="8" s="1"/>
  <c r="AJ439" i="8"/>
  <c r="AJ455" i="8" s="1"/>
  <c r="AU439" i="8"/>
  <c r="AU455" i="8" s="1"/>
  <c r="AA439" i="8"/>
  <c r="AA455" i="8" s="1"/>
  <c r="AC439" i="8"/>
  <c r="AC455" i="8" s="1"/>
  <c r="W439" i="8"/>
  <c r="W455" i="8" s="1"/>
  <c r="BA439" i="8"/>
  <c r="BA455" i="8" s="1"/>
  <c r="AV439" i="8"/>
  <c r="AV455" i="8" s="1"/>
  <c r="BS439" i="8"/>
  <c r="BS455" i="8" s="1"/>
  <c r="AL439" i="8"/>
  <c r="AL455" i="8" s="1"/>
  <c r="AQ439" i="8"/>
  <c r="AQ455" i="8" s="1"/>
  <c r="Q439" i="8"/>
  <c r="Q455" i="8" s="1"/>
  <c r="BN439" i="8"/>
  <c r="BN455" i="8" s="1"/>
  <c r="BO439" i="8"/>
  <c r="BO455" i="8" s="1"/>
  <c r="BD439" i="8"/>
  <c r="BD455" i="8" s="1"/>
  <c r="AP331" i="23" l="1"/>
  <c r="AP286" i="23"/>
  <c r="AP288" i="23" s="1"/>
  <c r="AP289" i="23" s="1"/>
  <c r="AP292" i="23"/>
  <c r="AP294" i="23" s="1"/>
  <c r="AQ203" i="23" s="1"/>
  <c r="N488" i="20"/>
  <c r="N504" i="20" s="1"/>
  <c r="AW488" i="20"/>
  <c r="AW504" i="20" s="1"/>
  <c r="BA488" i="20"/>
  <c r="BA504" i="20" s="1"/>
  <c r="AH488" i="20"/>
  <c r="AH504" i="20" s="1"/>
  <c r="AB488" i="20"/>
  <c r="AB504" i="20" s="1"/>
  <c r="AM488" i="20"/>
  <c r="AM504" i="20" s="1"/>
  <c r="AI488" i="20"/>
  <c r="AI504" i="20" s="1"/>
  <c r="X488" i="20"/>
  <c r="X504" i="20" s="1"/>
  <c r="O488" i="20"/>
  <c r="O504" i="20" s="1"/>
  <c r="BB488" i="20"/>
  <c r="BB504" i="20" s="1"/>
  <c r="BF488" i="20"/>
  <c r="BF504" i="20" s="1"/>
  <c r="AQ488" i="20"/>
  <c r="AQ504" i="20" s="1"/>
  <c r="AR488" i="20"/>
  <c r="AR504" i="20" s="1"/>
  <c r="AV488" i="20"/>
  <c r="AV504" i="20" s="1"/>
  <c r="BP488" i="20"/>
  <c r="BP504" i="20" s="1"/>
  <c r="AC488" i="20"/>
  <c r="AC504" i="20" s="1"/>
  <c r="BS488" i="20"/>
  <c r="BS504" i="20" s="1"/>
  <c r="Q488" i="20"/>
  <c r="Q504" i="20" s="1"/>
  <c r="V488" i="20"/>
  <c r="V504" i="20" s="1"/>
  <c r="BG488" i="20"/>
  <c r="BG504" i="20" s="1"/>
  <c r="P488" i="20"/>
  <c r="P504" i="20" s="1"/>
  <c r="U488" i="20"/>
  <c r="U504" i="20" s="1"/>
  <c r="Z488" i="20"/>
  <c r="Z504" i="20" s="1"/>
  <c r="AU488" i="20"/>
  <c r="AU504" i="20" s="1"/>
  <c r="AJ488" i="20"/>
  <c r="AJ504" i="20" s="1"/>
  <c r="AO488" i="20"/>
  <c r="AO504" i="20" s="1"/>
  <c r="AT488" i="20"/>
  <c r="AT504" i="20" s="1"/>
  <c r="BO488" i="20"/>
  <c r="BO504" i="20" s="1"/>
  <c r="BD488" i="20"/>
  <c r="BD504" i="20" s="1"/>
  <c r="BI488" i="20"/>
  <c r="BI504" i="20" s="1"/>
  <c r="BN488" i="20"/>
  <c r="BN504" i="20" s="1"/>
  <c r="AG488" i="20"/>
  <c r="AG504" i="20" s="1"/>
  <c r="AL488" i="20"/>
  <c r="AL504" i="20" s="1"/>
  <c r="AE488" i="20"/>
  <c r="AE504" i="20" s="1"/>
  <c r="AF488" i="20"/>
  <c r="AF504" i="20" s="1"/>
  <c r="AK488" i="20"/>
  <c r="AK504" i="20" s="1"/>
  <c r="AP488" i="20"/>
  <c r="AP504" i="20" s="1"/>
  <c r="AY488" i="20"/>
  <c r="AY504" i="20" s="1"/>
  <c r="AZ488" i="20"/>
  <c r="AZ504" i="20" s="1"/>
  <c r="BE488" i="20"/>
  <c r="BE504" i="20" s="1"/>
  <c r="BJ488" i="20"/>
  <c r="BJ504" i="20" s="1"/>
  <c r="BC488" i="20"/>
  <c r="BC504" i="20" s="1"/>
  <c r="M488" i="20"/>
  <c r="M504" i="20" s="1"/>
  <c r="R488" i="20"/>
  <c r="R504" i="20" s="1"/>
  <c r="S488" i="20"/>
  <c r="S504" i="20" s="1"/>
  <c r="BH488" i="20"/>
  <c r="BH504" i="20" s="1"/>
  <c r="BM488" i="20"/>
  <c r="BM504" i="20" s="1"/>
  <c r="BR488" i="20"/>
  <c r="BR504" i="20" s="1"/>
  <c r="W488" i="20"/>
  <c r="W504" i="20" s="1"/>
  <c r="BL488" i="20"/>
  <c r="BL504" i="20" s="1"/>
  <c r="BQ488" i="20"/>
  <c r="BQ504" i="20" s="1"/>
  <c r="AA488" i="20"/>
  <c r="AA504" i="20" s="1"/>
  <c r="T488" i="20"/>
  <c r="T504" i="20" s="1"/>
  <c r="Y488" i="20"/>
  <c r="Y504" i="20" s="1"/>
  <c r="AD488" i="20"/>
  <c r="AD504" i="20" s="1"/>
  <c r="BK488" i="20"/>
  <c r="BK504" i="20" s="1"/>
  <c r="AN488" i="20"/>
  <c r="AN504" i="20" s="1"/>
  <c r="AS488" i="20"/>
  <c r="AS504" i="20" s="1"/>
  <c r="AX488" i="20"/>
  <c r="AX504" i="20" s="1"/>
  <c r="I389" i="20"/>
  <c r="L469" i="20" a="1"/>
  <c r="I487" i="20"/>
  <c r="L488" i="20"/>
  <c r="I489" i="18"/>
  <c r="I498" i="18"/>
  <c r="L499" i="18"/>
  <c r="I480" i="18"/>
  <c r="L481" i="18"/>
  <c r="I523" i="18"/>
  <c r="I471" i="10"/>
  <c r="I468" i="10"/>
  <c r="I469" i="10"/>
  <c r="M432" i="10"/>
  <c r="N432" i="10" s="1"/>
  <c r="O432" i="10" s="1"/>
  <c r="P432" i="10" s="1"/>
  <c r="Q432" i="10" s="1"/>
  <c r="R432" i="10" s="1"/>
  <c r="S432" i="10" s="1"/>
  <c r="T432" i="10" s="1"/>
  <c r="U432" i="10" s="1"/>
  <c r="V432" i="10" s="1"/>
  <c r="W432" i="10" s="1"/>
  <c r="X432" i="10" s="1"/>
  <c r="Y432" i="10" s="1"/>
  <c r="Z432" i="10" s="1"/>
  <c r="AA432" i="10" s="1"/>
  <c r="AB432" i="10" s="1"/>
  <c r="AC432" i="10" s="1"/>
  <c r="AD432" i="10" s="1"/>
  <c r="AE432" i="10" s="1"/>
  <c r="AF432" i="10" s="1"/>
  <c r="AG432" i="10" s="1"/>
  <c r="AH432" i="10" s="1"/>
  <c r="AI432" i="10" s="1"/>
  <c r="AJ432" i="10" s="1"/>
  <c r="AK432" i="10" s="1"/>
  <c r="AL432" i="10" s="1"/>
  <c r="AM432" i="10" s="1"/>
  <c r="AN432" i="10" s="1"/>
  <c r="AO432" i="10" s="1"/>
  <c r="AP432" i="10" s="1"/>
  <c r="AQ432" i="10" s="1"/>
  <c r="AR432" i="10" s="1"/>
  <c r="AS432" i="10" s="1"/>
  <c r="AT432" i="10" s="1"/>
  <c r="AU432" i="10" s="1"/>
  <c r="AV432" i="10" s="1"/>
  <c r="AW432" i="10" s="1"/>
  <c r="AX432" i="10" s="1"/>
  <c r="AY432" i="10" s="1"/>
  <c r="AZ432" i="10" s="1"/>
  <c r="BA432" i="10" s="1"/>
  <c r="BB432" i="10" s="1"/>
  <c r="BC432" i="10" s="1"/>
  <c r="BD432" i="10" s="1"/>
  <c r="BE432" i="10" s="1"/>
  <c r="BF432" i="10" s="1"/>
  <c r="BG432" i="10" s="1"/>
  <c r="BH432" i="10" s="1"/>
  <c r="BI432" i="10" s="1"/>
  <c r="BJ432" i="10" s="1"/>
  <c r="BK432" i="10" s="1"/>
  <c r="BL432" i="10" s="1"/>
  <c r="BM432" i="10" s="1"/>
  <c r="BN432" i="10" s="1"/>
  <c r="BO432" i="10" s="1"/>
  <c r="BP432" i="10" s="1"/>
  <c r="BQ432" i="10" s="1"/>
  <c r="BR432" i="10" s="1"/>
  <c r="BS432" i="10" s="1"/>
  <c r="I464" i="10"/>
  <c r="L466" i="10"/>
  <c r="BP387" i="9"/>
  <c r="BO387" i="9"/>
  <c r="I463" i="8"/>
  <c r="I426" i="8"/>
  <c r="I428" i="8"/>
  <c r="I425" i="8"/>
  <c r="I429" i="8"/>
  <c r="I420" i="8"/>
  <c r="I438" i="8"/>
  <c r="L439" i="8"/>
  <c r="L455" i="8" s="1"/>
  <c r="AQ225" i="23" l="1"/>
  <c r="AQ227" i="23" s="1"/>
  <c r="AQ231" i="23" s="1"/>
  <c r="AQ233" i="23" s="1"/>
  <c r="AQ237" i="23" s="1"/>
  <c r="AQ239" i="23" s="1"/>
  <c r="AQ311" i="23"/>
  <c r="AP297" i="23"/>
  <c r="AQ262" i="23"/>
  <c r="AQ264" i="23" s="1"/>
  <c r="AQ268" i="23" s="1"/>
  <c r="AP295" i="23"/>
  <c r="I512" i="20"/>
  <c r="L469" i="20"/>
  <c r="L470" i="20" s="1"/>
  <c r="AX470" i="20"/>
  <c r="AS470" i="20"/>
  <c r="AN470" i="20"/>
  <c r="AY470" i="20"/>
  <c r="AR470" i="20"/>
  <c r="AD470" i="20"/>
  <c r="Y470" i="20"/>
  <c r="T470" i="20"/>
  <c r="O470" i="20"/>
  <c r="BS470" i="20"/>
  <c r="BQ470" i="20"/>
  <c r="BL470" i="20"/>
  <c r="AA470" i="20"/>
  <c r="BR470" i="20"/>
  <c r="AB470" i="20"/>
  <c r="AH470" i="20"/>
  <c r="AC470" i="20"/>
  <c r="X470" i="20"/>
  <c r="AE470" i="20"/>
  <c r="BO470" i="20"/>
  <c r="N470" i="20"/>
  <c r="BP470" i="20"/>
  <c r="AQ470" i="20"/>
  <c r="BB470" i="20"/>
  <c r="BF470" i="20"/>
  <c r="BA470" i="20"/>
  <c r="AV470" i="20"/>
  <c r="W470" i="20"/>
  <c r="V470" i="20"/>
  <c r="AU470" i="20"/>
  <c r="R470" i="20"/>
  <c r="M470" i="20"/>
  <c r="BG470" i="20"/>
  <c r="AL470" i="20"/>
  <c r="BJ470" i="20"/>
  <c r="BE470" i="20"/>
  <c r="AZ470" i="20"/>
  <c r="AM470" i="20"/>
  <c r="AW470" i="20"/>
  <c r="AP470" i="20"/>
  <c r="AK470" i="20"/>
  <c r="AF470" i="20"/>
  <c r="S470" i="20"/>
  <c r="BM470" i="20"/>
  <c r="BN470" i="20"/>
  <c r="BI470" i="20"/>
  <c r="BD470" i="20"/>
  <c r="BC470" i="20"/>
  <c r="AG470" i="20"/>
  <c r="AT470" i="20"/>
  <c r="AO470" i="20"/>
  <c r="AJ470" i="20"/>
  <c r="AI470" i="20"/>
  <c r="BH470" i="20"/>
  <c r="Z470" i="20"/>
  <c r="U470" i="20"/>
  <c r="P470" i="20"/>
  <c r="BK470" i="20"/>
  <c r="Q470" i="20"/>
  <c r="L504" i="20"/>
  <c r="I488" i="20"/>
  <c r="I486" i="18"/>
  <c r="I488" i="18"/>
  <c r="L483" i="18"/>
  <c r="M483" i="18" s="1"/>
  <c r="N483" i="18" s="1"/>
  <c r="O483" i="18" s="1"/>
  <c r="P483" i="18" s="1"/>
  <c r="Q483" i="18" s="1"/>
  <c r="R483" i="18" s="1"/>
  <c r="S483" i="18" s="1"/>
  <c r="T483" i="18" s="1"/>
  <c r="U483" i="18" s="1"/>
  <c r="V483" i="18" s="1"/>
  <c r="W483" i="18" s="1"/>
  <c r="X483" i="18" s="1"/>
  <c r="Y483" i="18" s="1"/>
  <c r="Z483" i="18" s="1"/>
  <c r="AA483" i="18" s="1"/>
  <c r="AB483" i="18" s="1"/>
  <c r="AC483" i="18" s="1"/>
  <c r="AD483" i="18" s="1"/>
  <c r="AE483" i="18" s="1"/>
  <c r="AF483" i="18" s="1"/>
  <c r="AG483" i="18" s="1"/>
  <c r="AH483" i="18" s="1"/>
  <c r="AI483" i="18" s="1"/>
  <c r="AJ483" i="18" s="1"/>
  <c r="AK483" i="18" s="1"/>
  <c r="AL483" i="18" s="1"/>
  <c r="AM483" i="18" s="1"/>
  <c r="AN483" i="18" s="1"/>
  <c r="AO483" i="18" s="1"/>
  <c r="AP483" i="18" s="1"/>
  <c r="AQ483" i="18" s="1"/>
  <c r="AR483" i="18" s="1"/>
  <c r="AS483" i="18" s="1"/>
  <c r="AT483" i="18" s="1"/>
  <c r="AU483" i="18" s="1"/>
  <c r="AV483" i="18" s="1"/>
  <c r="AW483" i="18" s="1"/>
  <c r="AX483" i="18" s="1"/>
  <c r="AY483" i="18" s="1"/>
  <c r="AZ483" i="18" s="1"/>
  <c r="BA483" i="18" s="1"/>
  <c r="BB483" i="18" s="1"/>
  <c r="BC483" i="18" s="1"/>
  <c r="BD483" i="18" s="1"/>
  <c r="BE483" i="18" s="1"/>
  <c r="BF483" i="18" s="1"/>
  <c r="BG483" i="18" s="1"/>
  <c r="BH483" i="18" s="1"/>
  <c r="BI483" i="18" s="1"/>
  <c r="BJ483" i="18" s="1"/>
  <c r="BK483" i="18" s="1"/>
  <c r="BL483" i="18" s="1"/>
  <c r="BM483" i="18" s="1"/>
  <c r="BN483" i="18" s="1"/>
  <c r="BO483" i="18" s="1"/>
  <c r="BP483" i="18" s="1"/>
  <c r="BQ483" i="18" s="1"/>
  <c r="BR483" i="18" s="1"/>
  <c r="BS483" i="18" s="1"/>
  <c r="I485" i="18"/>
  <c r="I481" i="18"/>
  <c r="I520" i="18"/>
  <c r="I522" i="18"/>
  <c r="L515" i="18"/>
  <c r="I519" i="18" s="1"/>
  <c r="I499" i="18"/>
  <c r="I505" i="10"/>
  <c r="F464" i="10"/>
  <c r="I440" i="10"/>
  <c r="M466" i="10"/>
  <c r="N466" i="10" s="1"/>
  <c r="O466" i="10" s="1"/>
  <c r="P466" i="10" s="1"/>
  <c r="Q466" i="10" s="1"/>
  <c r="R466" i="10" s="1"/>
  <c r="S466" i="10" s="1"/>
  <c r="T466" i="10" s="1"/>
  <c r="U466" i="10" s="1"/>
  <c r="V466" i="10" s="1"/>
  <c r="W466" i="10" s="1"/>
  <c r="X466" i="10" s="1"/>
  <c r="Y466" i="10" s="1"/>
  <c r="Z466" i="10" s="1"/>
  <c r="AA466" i="10" s="1"/>
  <c r="AB466" i="10" s="1"/>
  <c r="AC466" i="10" s="1"/>
  <c r="AD466" i="10" s="1"/>
  <c r="AE466" i="10" s="1"/>
  <c r="AF466" i="10" s="1"/>
  <c r="AG466" i="10" s="1"/>
  <c r="AH466" i="10" s="1"/>
  <c r="AI466" i="10" s="1"/>
  <c r="AJ466" i="10" s="1"/>
  <c r="AK466" i="10" s="1"/>
  <c r="AL466" i="10" s="1"/>
  <c r="AM466" i="10" s="1"/>
  <c r="AN466" i="10" s="1"/>
  <c r="AO466" i="10" s="1"/>
  <c r="AP466" i="10" s="1"/>
  <c r="AQ466" i="10" s="1"/>
  <c r="AR466" i="10" s="1"/>
  <c r="AS466" i="10" s="1"/>
  <c r="AT466" i="10" s="1"/>
  <c r="AU466" i="10" s="1"/>
  <c r="AV466" i="10" s="1"/>
  <c r="AW466" i="10" s="1"/>
  <c r="AX466" i="10" s="1"/>
  <c r="AY466" i="10" s="1"/>
  <c r="AZ466" i="10" s="1"/>
  <c r="BA466" i="10" s="1"/>
  <c r="BB466" i="10" s="1"/>
  <c r="BC466" i="10" s="1"/>
  <c r="BD466" i="10" s="1"/>
  <c r="BE466" i="10" s="1"/>
  <c r="BF466" i="10" s="1"/>
  <c r="BG466" i="10" s="1"/>
  <c r="BH466" i="10" s="1"/>
  <c r="BI466" i="10" s="1"/>
  <c r="BJ466" i="10" s="1"/>
  <c r="BK466" i="10" s="1"/>
  <c r="BL466" i="10" s="1"/>
  <c r="BM466" i="10" s="1"/>
  <c r="BN466" i="10" s="1"/>
  <c r="BO466" i="10" s="1"/>
  <c r="BP466" i="10" s="1"/>
  <c r="BQ466" i="10" s="1"/>
  <c r="BR466" i="10" s="1"/>
  <c r="BS466" i="10" s="1"/>
  <c r="BP372" i="9"/>
  <c r="BQ369" i="9" s="1"/>
  <c r="BQ371" i="9" s="1"/>
  <c r="I462" i="8"/>
  <c r="I455" i="8"/>
  <c r="I459" i="8"/>
  <c r="I460" i="8"/>
  <c r="I439" i="8"/>
  <c r="L423" i="8"/>
  <c r="I421" i="8"/>
  <c r="AQ313" i="23" l="1"/>
  <c r="AQ315" i="23"/>
  <c r="AP299" i="23"/>
  <c r="AP322" i="23" s="1"/>
  <c r="AP303" i="23"/>
  <c r="AP334" i="23" s="1"/>
  <c r="AP336" i="23" s="1"/>
  <c r="AQ275" i="23"/>
  <c r="AQ240" i="23"/>
  <c r="AR238" i="23" s="1"/>
  <c r="AQ243" i="23"/>
  <c r="AQ245" i="23" s="1"/>
  <c r="AQ249" i="23" s="1"/>
  <c r="AQ251" i="23" s="1"/>
  <c r="AQ234" i="23"/>
  <c r="AR232" i="23" s="1"/>
  <c r="AQ269" i="23"/>
  <c r="I469" i="20"/>
  <c r="I509" i="20"/>
  <c r="I511" i="20"/>
  <c r="L506" i="20"/>
  <c r="M506" i="20" s="1"/>
  <c r="N506" i="20" s="1"/>
  <c r="O506" i="20" s="1"/>
  <c r="P506" i="20" s="1"/>
  <c r="Q506" i="20" s="1"/>
  <c r="R506" i="20" s="1"/>
  <c r="S506" i="20" s="1"/>
  <c r="T506" i="20" s="1"/>
  <c r="U506" i="20" s="1"/>
  <c r="V506" i="20" s="1"/>
  <c r="W506" i="20" s="1"/>
  <c r="X506" i="20" s="1"/>
  <c r="Y506" i="20" s="1"/>
  <c r="Z506" i="20" s="1"/>
  <c r="AA506" i="20" s="1"/>
  <c r="AB506" i="20" s="1"/>
  <c r="AC506" i="20" s="1"/>
  <c r="AD506" i="20" s="1"/>
  <c r="AE506" i="20" s="1"/>
  <c r="AF506" i="20" s="1"/>
  <c r="AG506" i="20" s="1"/>
  <c r="AH506" i="20" s="1"/>
  <c r="AI506" i="20" s="1"/>
  <c r="AJ506" i="20" s="1"/>
  <c r="AK506" i="20" s="1"/>
  <c r="AL506" i="20" s="1"/>
  <c r="AM506" i="20" s="1"/>
  <c r="AN506" i="20" s="1"/>
  <c r="AO506" i="20" s="1"/>
  <c r="AP506" i="20" s="1"/>
  <c r="AQ506" i="20" s="1"/>
  <c r="AR506" i="20" s="1"/>
  <c r="AS506" i="20" s="1"/>
  <c r="AT506" i="20" s="1"/>
  <c r="AU506" i="20" s="1"/>
  <c r="AV506" i="20" s="1"/>
  <c r="AW506" i="20" s="1"/>
  <c r="AX506" i="20" s="1"/>
  <c r="AY506" i="20" s="1"/>
  <c r="AZ506" i="20" s="1"/>
  <c r="BA506" i="20" s="1"/>
  <c r="BB506" i="20" s="1"/>
  <c r="BC506" i="20" s="1"/>
  <c r="BD506" i="20" s="1"/>
  <c r="BE506" i="20" s="1"/>
  <c r="BF506" i="20" s="1"/>
  <c r="BG506" i="20" s="1"/>
  <c r="BH506" i="20" s="1"/>
  <c r="BI506" i="20" s="1"/>
  <c r="BJ506" i="20" s="1"/>
  <c r="BK506" i="20" s="1"/>
  <c r="BL506" i="20" s="1"/>
  <c r="BM506" i="20" s="1"/>
  <c r="BN506" i="20" s="1"/>
  <c r="BO506" i="20" s="1"/>
  <c r="BP506" i="20" s="1"/>
  <c r="BQ506" i="20" s="1"/>
  <c r="BR506" i="20" s="1"/>
  <c r="BS506" i="20" s="1"/>
  <c r="I508" i="20"/>
  <c r="I478" i="20"/>
  <c r="I477" i="20"/>
  <c r="I475" i="20"/>
  <c r="L472" i="20"/>
  <c r="M472" i="20" s="1"/>
  <c r="N472" i="20" s="1"/>
  <c r="O472" i="20" s="1"/>
  <c r="P472" i="20" s="1"/>
  <c r="Q472" i="20" s="1"/>
  <c r="R472" i="20" s="1"/>
  <c r="S472" i="20" s="1"/>
  <c r="T472" i="20" s="1"/>
  <c r="U472" i="20" s="1"/>
  <c r="V472" i="20" s="1"/>
  <c r="W472" i="20" s="1"/>
  <c r="X472" i="20" s="1"/>
  <c r="Y472" i="20" s="1"/>
  <c r="Z472" i="20" s="1"/>
  <c r="AA472" i="20" s="1"/>
  <c r="AB472" i="20" s="1"/>
  <c r="AC472" i="20" s="1"/>
  <c r="AD472" i="20" s="1"/>
  <c r="AE472" i="20" s="1"/>
  <c r="AF472" i="20" s="1"/>
  <c r="AG472" i="20" s="1"/>
  <c r="AH472" i="20" s="1"/>
  <c r="AI472" i="20" s="1"/>
  <c r="AJ472" i="20" s="1"/>
  <c r="AK472" i="20" s="1"/>
  <c r="AL472" i="20" s="1"/>
  <c r="AM472" i="20" s="1"/>
  <c r="AN472" i="20" s="1"/>
  <c r="AO472" i="20" s="1"/>
  <c r="AP472" i="20" s="1"/>
  <c r="AQ472" i="20" s="1"/>
  <c r="AR472" i="20" s="1"/>
  <c r="AS472" i="20" s="1"/>
  <c r="AT472" i="20" s="1"/>
  <c r="AU472" i="20" s="1"/>
  <c r="AV472" i="20" s="1"/>
  <c r="AW472" i="20" s="1"/>
  <c r="AX472" i="20" s="1"/>
  <c r="AY472" i="20" s="1"/>
  <c r="AZ472" i="20" s="1"/>
  <c r="BA472" i="20" s="1"/>
  <c r="BB472" i="20" s="1"/>
  <c r="BC472" i="20" s="1"/>
  <c r="BD472" i="20" s="1"/>
  <c r="BE472" i="20" s="1"/>
  <c r="BF472" i="20" s="1"/>
  <c r="BG472" i="20" s="1"/>
  <c r="BH472" i="20" s="1"/>
  <c r="BI472" i="20" s="1"/>
  <c r="BJ472" i="20" s="1"/>
  <c r="BK472" i="20" s="1"/>
  <c r="BL472" i="20" s="1"/>
  <c r="BM472" i="20" s="1"/>
  <c r="BN472" i="20" s="1"/>
  <c r="BO472" i="20" s="1"/>
  <c r="BP472" i="20" s="1"/>
  <c r="BQ472" i="20" s="1"/>
  <c r="BR472" i="20" s="1"/>
  <c r="BS472" i="20" s="1"/>
  <c r="I474" i="20"/>
  <c r="I470" i="20"/>
  <c r="I504" i="20"/>
  <c r="I545" i="20" s="1"/>
  <c r="L517" i="18"/>
  <c r="I515" i="18"/>
  <c r="I556" i="18" s="1"/>
  <c r="I496" i="8"/>
  <c r="I474" i="10"/>
  <c r="BQ372" i="9"/>
  <c r="BR369" i="9" s="1"/>
  <c r="BR371" i="9" s="1"/>
  <c r="M423" i="8"/>
  <c r="N423" i="8" s="1"/>
  <c r="O423" i="8" s="1"/>
  <c r="P423" i="8" s="1"/>
  <c r="Q423" i="8" s="1"/>
  <c r="R423" i="8" s="1"/>
  <c r="S423" i="8" s="1"/>
  <c r="T423" i="8" s="1"/>
  <c r="U423" i="8" s="1"/>
  <c r="V423" i="8" s="1"/>
  <c r="W423" i="8" s="1"/>
  <c r="X423" i="8" s="1"/>
  <c r="Y423" i="8" s="1"/>
  <c r="Z423" i="8" s="1"/>
  <c r="AA423" i="8" s="1"/>
  <c r="AB423" i="8" s="1"/>
  <c r="AC423" i="8" s="1"/>
  <c r="AD423" i="8" s="1"/>
  <c r="AE423" i="8" s="1"/>
  <c r="AF423" i="8" s="1"/>
  <c r="AG423" i="8" s="1"/>
  <c r="AH423" i="8" s="1"/>
  <c r="AI423" i="8" s="1"/>
  <c r="AJ423" i="8" s="1"/>
  <c r="AK423" i="8" s="1"/>
  <c r="AL423" i="8" s="1"/>
  <c r="AM423" i="8" s="1"/>
  <c r="AN423" i="8" s="1"/>
  <c r="AO423" i="8" s="1"/>
  <c r="AP423" i="8" s="1"/>
  <c r="AQ423" i="8" s="1"/>
  <c r="AR423" i="8" s="1"/>
  <c r="AS423" i="8" s="1"/>
  <c r="AT423" i="8" s="1"/>
  <c r="AU423" i="8" s="1"/>
  <c r="AV423" i="8" s="1"/>
  <c r="AW423" i="8" s="1"/>
  <c r="AX423" i="8" s="1"/>
  <c r="AY423" i="8" s="1"/>
  <c r="AZ423" i="8" s="1"/>
  <c r="BA423" i="8" s="1"/>
  <c r="BB423" i="8" s="1"/>
  <c r="BC423" i="8" s="1"/>
  <c r="BD423" i="8" s="1"/>
  <c r="BE423" i="8" s="1"/>
  <c r="BF423" i="8" s="1"/>
  <c r="BG423" i="8" s="1"/>
  <c r="BH423" i="8" s="1"/>
  <c r="BI423" i="8" s="1"/>
  <c r="BJ423" i="8" s="1"/>
  <c r="BK423" i="8" s="1"/>
  <c r="BL423" i="8" s="1"/>
  <c r="BM423" i="8" s="1"/>
  <c r="BN423" i="8" s="1"/>
  <c r="BO423" i="8" s="1"/>
  <c r="BP423" i="8" s="1"/>
  <c r="BQ423" i="8" s="1"/>
  <c r="BR423" i="8" s="1"/>
  <c r="BS423" i="8" s="1"/>
  <c r="F455" i="8"/>
  <c r="L457" i="8"/>
  <c r="AP340" i="23" l="1"/>
  <c r="AP337" i="23"/>
  <c r="AQ319" i="23"/>
  <c r="AQ321" i="23" s="1"/>
  <c r="AP305" i="23"/>
  <c r="AP306" i="23" s="1"/>
  <c r="AQ246" i="23"/>
  <c r="AR244" i="23" s="1"/>
  <c r="AQ281" i="23"/>
  <c r="AQ252" i="23"/>
  <c r="AR250" i="23" s="1"/>
  <c r="AQ287" i="23"/>
  <c r="AQ255" i="23"/>
  <c r="AQ257" i="23" s="1"/>
  <c r="AQ260" i="23" s="1"/>
  <c r="AQ270" i="23"/>
  <c r="AQ271" i="23" s="1"/>
  <c r="F504" i="20"/>
  <c r="I480" i="20"/>
  <c r="I491" i="18"/>
  <c r="F515" i="18"/>
  <c r="M517" i="18"/>
  <c r="N517" i="18" s="1"/>
  <c r="O517" i="18" s="1"/>
  <c r="P517" i="18" s="1"/>
  <c r="Q517" i="18" s="1"/>
  <c r="R517" i="18" s="1"/>
  <c r="S517" i="18" s="1"/>
  <c r="T517" i="18" s="1"/>
  <c r="U517" i="18" s="1"/>
  <c r="V517" i="18" s="1"/>
  <c r="W517" i="18" s="1"/>
  <c r="X517" i="18" s="1"/>
  <c r="Y517" i="18" s="1"/>
  <c r="Z517" i="18" s="1"/>
  <c r="AA517" i="18" s="1"/>
  <c r="AB517" i="18" s="1"/>
  <c r="AC517" i="18" s="1"/>
  <c r="AD517" i="18" s="1"/>
  <c r="AE517" i="18" s="1"/>
  <c r="AF517" i="18" s="1"/>
  <c r="AG517" i="18" s="1"/>
  <c r="AH517" i="18" s="1"/>
  <c r="AI517" i="18" s="1"/>
  <c r="AJ517" i="18" s="1"/>
  <c r="AK517" i="18" s="1"/>
  <c r="AL517" i="18" s="1"/>
  <c r="AM517" i="18" s="1"/>
  <c r="AN517" i="18" s="1"/>
  <c r="AO517" i="18" s="1"/>
  <c r="AP517" i="18" s="1"/>
  <c r="AQ517" i="18" s="1"/>
  <c r="AR517" i="18" s="1"/>
  <c r="AS517" i="18" s="1"/>
  <c r="AT517" i="18" s="1"/>
  <c r="AU517" i="18" s="1"/>
  <c r="AV517" i="18" s="1"/>
  <c r="AW517" i="18" s="1"/>
  <c r="AX517" i="18" s="1"/>
  <c r="AY517" i="18" s="1"/>
  <c r="AZ517" i="18" s="1"/>
  <c r="BA517" i="18" s="1"/>
  <c r="BB517" i="18" s="1"/>
  <c r="BC517" i="18" s="1"/>
  <c r="BD517" i="18" s="1"/>
  <c r="BE517" i="18" s="1"/>
  <c r="BF517" i="18" s="1"/>
  <c r="BG517" i="18" s="1"/>
  <c r="BH517" i="18" s="1"/>
  <c r="BI517" i="18" s="1"/>
  <c r="BJ517" i="18" s="1"/>
  <c r="BK517" i="18" s="1"/>
  <c r="BL517" i="18" s="1"/>
  <c r="BM517" i="18" s="1"/>
  <c r="BN517" i="18" s="1"/>
  <c r="BO517" i="18" s="1"/>
  <c r="BP517" i="18" s="1"/>
  <c r="BQ517" i="18" s="1"/>
  <c r="BR517" i="18" s="1"/>
  <c r="BS517" i="18" s="1"/>
  <c r="BR387" i="9"/>
  <c r="BQ387" i="9"/>
  <c r="M457" i="8"/>
  <c r="N457" i="8" s="1"/>
  <c r="O457" i="8" s="1"/>
  <c r="P457" i="8" s="1"/>
  <c r="Q457" i="8" s="1"/>
  <c r="R457" i="8" s="1"/>
  <c r="S457" i="8" s="1"/>
  <c r="T457" i="8" s="1"/>
  <c r="U457" i="8" s="1"/>
  <c r="V457" i="8" s="1"/>
  <c r="W457" i="8" s="1"/>
  <c r="X457" i="8" s="1"/>
  <c r="Y457" i="8" s="1"/>
  <c r="Z457" i="8" s="1"/>
  <c r="AA457" i="8" s="1"/>
  <c r="AB457" i="8" s="1"/>
  <c r="AC457" i="8" s="1"/>
  <c r="AD457" i="8" s="1"/>
  <c r="AE457" i="8" s="1"/>
  <c r="AF457" i="8" s="1"/>
  <c r="AG457" i="8" s="1"/>
  <c r="AH457" i="8" s="1"/>
  <c r="AI457" i="8" s="1"/>
  <c r="AJ457" i="8" s="1"/>
  <c r="AK457" i="8" s="1"/>
  <c r="AL457" i="8" s="1"/>
  <c r="AM457" i="8" s="1"/>
  <c r="AN457" i="8" s="1"/>
  <c r="AO457" i="8" s="1"/>
  <c r="AP457" i="8" s="1"/>
  <c r="AQ457" i="8" s="1"/>
  <c r="AR457" i="8" s="1"/>
  <c r="AS457" i="8" s="1"/>
  <c r="AT457" i="8" s="1"/>
  <c r="AU457" i="8" s="1"/>
  <c r="AV457" i="8" s="1"/>
  <c r="AW457" i="8" s="1"/>
  <c r="AX457" i="8" s="1"/>
  <c r="AY457" i="8" s="1"/>
  <c r="AZ457" i="8" s="1"/>
  <c r="BA457" i="8" s="1"/>
  <c r="BB457" i="8" s="1"/>
  <c r="BC457" i="8" s="1"/>
  <c r="BD457" i="8" s="1"/>
  <c r="BE457" i="8" s="1"/>
  <c r="BF457" i="8" s="1"/>
  <c r="BG457" i="8" s="1"/>
  <c r="BH457" i="8" s="1"/>
  <c r="BI457" i="8" s="1"/>
  <c r="BJ457" i="8" s="1"/>
  <c r="BK457" i="8" s="1"/>
  <c r="BL457" i="8" s="1"/>
  <c r="BM457" i="8" s="1"/>
  <c r="BN457" i="8" s="1"/>
  <c r="BO457" i="8" s="1"/>
  <c r="BP457" i="8" s="1"/>
  <c r="BQ457" i="8" s="1"/>
  <c r="BR457" i="8" s="1"/>
  <c r="BS457" i="8" s="1"/>
  <c r="I431" i="8"/>
  <c r="AP342" i="23" l="1"/>
  <c r="AQ302" i="23"/>
  <c r="AQ328" i="23" s="1"/>
  <c r="AQ317" i="23"/>
  <c r="AQ274" i="23"/>
  <c r="AQ276" i="23" s="1"/>
  <c r="AQ277" i="23" s="1"/>
  <c r="AQ293" i="23"/>
  <c r="AQ258" i="23"/>
  <c r="AR256" i="23" s="1"/>
  <c r="I514" i="20"/>
  <c r="I525" i="18"/>
  <c r="BR372" i="9"/>
  <c r="BS369" i="9" s="1"/>
  <c r="BS371" i="9" s="1"/>
  <c r="I465" i="8"/>
  <c r="AP343" i="23" l="1"/>
  <c r="AP346" i="23" s="1"/>
  <c r="AP345" i="23"/>
  <c r="AQ330" i="23"/>
  <c r="AQ280" i="23"/>
  <c r="AQ282" i="23" s="1"/>
  <c r="AQ283" i="23" s="1"/>
  <c r="BS372" i="9"/>
  <c r="AQ331" i="23" l="1"/>
  <c r="AQ292" i="23"/>
  <c r="AQ294" i="23" s="1"/>
  <c r="AQ295" i="23" s="1"/>
  <c r="AQ286" i="23"/>
  <c r="AQ288" i="23" s="1"/>
  <c r="AQ289" i="23" s="1"/>
  <c r="BS387" i="9"/>
  <c r="I371" i="9"/>
  <c r="AR203" i="23" l="1"/>
  <c r="AQ297" i="23"/>
  <c r="L467" i="9" a="1"/>
  <c r="L467" i="9" s="1"/>
  <c r="L485" i="9" a="1"/>
  <c r="L485" i="9" s="1"/>
  <c r="I387" i="9"/>
  <c r="AR262" i="23" l="1"/>
  <c r="AR264" i="23" s="1"/>
  <c r="AR268" i="23" s="1"/>
  <c r="AR311" i="23"/>
  <c r="AR225" i="23"/>
  <c r="AR227" i="23" s="1"/>
  <c r="AR231" i="23" s="1"/>
  <c r="AR233" i="23" s="1"/>
  <c r="AR237" i="23" s="1"/>
  <c r="AR239" i="23" s="1"/>
  <c r="AR243" i="23" s="1"/>
  <c r="AR245" i="23" s="1"/>
  <c r="AQ299" i="23"/>
  <c r="AQ322" i="23" s="1"/>
  <c r="AQ303" i="23"/>
  <c r="AQ334" i="23" s="1"/>
  <c r="AQ336" i="23" s="1"/>
  <c r="AF486" i="9"/>
  <c r="AF502" i="9" s="1"/>
  <c r="AA486" i="9"/>
  <c r="AA502" i="9" s="1"/>
  <c r="BQ486" i="9"/>
  <c r="BQ502" i="9" s="1"/>
  <c r="BH486" i="9"/>
  <c r="BH502" i="9" s="1"/>
  <c r="BC486" i="9"/>
  <c r="BC502" i="9" s="1"/>
  <c r="BB486" i="9"/>
  <c r="BB502" i="9" s="1"/>
  <c r="AW486" i="9"/>
  <c r="AW502" i="9" s="1"/>
  <c r="AN486" i="9"/>
  <c r="AN502" i="9" s="1"/>
  <c r="AI486" i="9"/>
  <c r="AI502" i="9" s="1"/>
  <c r="AH486" i="9"/>
  <c r="AH502" i="9" s="1"/>
  <c r="AC486" i="9"/>
  <c r="AC502" i="9" s="1"/>
  <c r="AJ486" i="9"/>
  <c r="AJ502" i="9" s="1"/>
  <c r="AE486" i="9"/>
  <c r="AE502" i="9" s="1"/>
  <c r="AD486" i="9"/>
  <c r="AD502" i="9" s="1"/>
  <c r="Y486" i="9"/>
  <c r="Y502" i="9" s="1"/>
  <c r="P486" i="9"/>
  <c r="P502" i="9" s="1"/>
  <c r="BF486" i="9"/>
  <c r="BF502" i="9" s="1"/>
  <c r="BA486" i="9"/>
  <c r="BA502" i="9" s="1"/>
  <c r="AR486" i="9"/>
  <c r="AR502" i="9" s="1"/>
  <c r="AM486" i="9"/>
  <c r="AM502" i="9" s="1"/>
  <c r="AL486" i="9"/>
  <c r="AL502" i="9" s="1"/>
  <c r="AG486" i="9"/>
  <c r="AG502" i="9" s="1"/>
  <c r="X486" i="9"/>
  <c r="X502" i="9" s="1"/>
  <c r="S486" i="9"/>
  <c r="S502" i="9" s="1"/>
  <c r="R486" i="9"/>
  <c r="R502" i="9" s="1"/>
  <c r="M486" i="9"/>
  <c r="M502" i="9" s="1"/>
  <c r="T486" i="9"/>
  <c r="T502" i="9" s="1"/>
  <c r="O486" i="9"/>
  <c r="O502" i="9" s="1"/>
  <c r="N486" i="9"/>
  <c r="N502" i="9" s="1"/>
  <c r="AV486" i="9"/>
  <c r="AV502" i="9" s="1"/>
  <c r="AQ486" i="9"/>
  <c r="AQ502" i="9" s="1"/>
  <c r="Z486" i="9"/>
  <c r="Z502" i="9" s="1"/>
  <c r="U486" i="9"/>
  <c r="U502" i="9" s="1"/>
  <c r="BS486" i="9"/>
  <c r="BS502" i="9" s="1"/>
  <c r="BR486" i="9"/>
  <c r="BR502" i="9" s="1"/>
  <c r="BM486" i="9"/>
  <c r="BM502" i="9" s="1"/>
  <c r="BD486" i="9"/>
  <c r="BD502" i="9" s="1"/>
  <c r="AY486" i="9"/>
  <c r="AY502" i="9" s="1"/>
  <c r="AX486" i="9"/>
  <c r="AX502" i="9" s="1"/>
  <c r="AS486" i="9"/>
  <c r="AS502" i="9" s="1"/>
  <c r="AZ486" i="9"/>
  <c r="AZ502" i="9" s="1"/>
  <c r="AU486" i="9"/>
  <c r="AU502" i="9" s="1"/>
  <c r="AT486" i="9"/>
  <c r="AT502" i="9" s="1"/>
  <c r="AO486" i="9"/>
  <c r="AO502" i="9" s="1"/>
  <c r="BL486" i="9"/>
  <c r="BL502" i="9" s="1"/>
  <c r="BG486" i="9"/>
  <c r="BG502" i="9" s="1"/>
  <c r="AP486" i="9"/>
  <c r="AP502" i="9" s="1"/>
  <c r="AK486" i="9"/>
  <c r="AK502" i="9" s="1"/>
  <c r="AB486" i="9"/>
  <c r="AB502" i="9" s="1"/>
  <c r="W486" i="9"/>
  <c r="W502" i="9" s="1"/>
  <c r="V486" i="9"/>
  <c r="V502" i="9" s="1"/>
  <c r="Q486" i="9"/>
  <c r="Q502" i="9" s="1"/>
  <c r="BO486" i="9"/>
  <c r="BO502" i="9" s="1"/>
  <c r="BN486" i="9"/>
  <c r="BN502" i="9" s="1"/>
  <c r="BI486" i="9"/>
  <c r="BI502" i="9" s="1"/>
  <c r="BP486" i="9"/>
  <c r="BP502" i="9" s="1"/>
  <c r="BK486" i="9"/>
  <c r="BK502" i="9" s="1"/>
  <c r="BJ486" i="9"/>
  <c r="BJ502" i="9" s="1"/>
  <c r="BE486" i="9"/>
  <c r="BE502" i="9" s="1"/>
  <c r="BO468" i="9"/>
  <c r="BJ468" i="9"/>
  <c r="AD468" i="9"/>
  <c r="BP468" i="9"/>
  <c r="BH468" i="9"/>
  <c r="AE468" i="9"/>
  <c r="BI468" i="9"/>
  <c r="M468" i="9"/>
  <c r="AM468" i="9"/>
  <c r="AG468" i="9"/>
  <c r="AQ468" i="9"/>
  <c r="AL468" i="9"/>
  <c r="AC468" i="9"/>
  <c r="BS468" i="9"/>
  <c r="Q468" i="9"/>
  <c r="AJ468" i="9"/>
  <c r="AY468" i="9"/>
  <c r="AT468" i="9"/>
  <c r="R468" i="9"/>
  <c r="W468" i="9"/>
  <c r="AR468" i="9"/>
  <c r="O468" i="9"/>
  <c r="AS468" i="9"/>
  <c r="Z468" i="9"/>
  <c r="BN468" i="9"/>
  <c r="BD468" i="9"/>
  <c r="AA468" i="9"/>
  <c r="BE468" i="9"/>
  <c r="AB468" i="9"/>
  <c r="BC468" i="9"/>
  <c r="AV468" i="9"/>
  <c r="S468" i="9"/>
  <c r="AW468" i="9"/>
  <c r="V468" i="9"/>
  <c r="X468" i="9"/>
  <c r="AU468" i="9"/>
  <c r="AP468" i="9"/>
  <c r="AH468" i="9"/>
  <c r="AZ468" i="9"/>
  <c r="N468" i="9"/>
  <c r="BG468" i="9"/>
  <c r="BB468" i="9"/>
  <c r="T468" i="9"/>
  <c r="U468" i="9"/>
  <c r="BL468" i="9"/>
  <c r="AI468" i="9"/>
  <c r="BM468" i="9"/>
  <c r="AK468" i="9"/>
  <c r="BA468" i="9"/>
  <c r="BK468" i="9"/>
  <c r="BF468" i="9"/>
  <c r="Y468" i="9"/>
  <c r="AF468" i="9"/>
  <c r="BQ468" i="9"/>
  <c r="AN468" i="9"/>
  <c r="BR468" i="9"/>
  <c r="AO468" i="9"/>
  <c r="P468" i="9"/>
  <c r="AX468" i="9"/>
  <c r="N130" i="25" l="1"/>
  <c r="AQ340" i="23"/>
  <c r="AQ337" i="23"/>
  <c r="AR313" i="23"/>
  <c r="AR315" i="23"/>
  <c r="AQ305" i="23"/>
  <c r="AQ306" i="23" s="1"/>
  <c r="AR246" i="23"/>
  <c r="AS244" i="23" s="1"/>
  <c r="AR281" i="23"/>
  <c r="AR249" i="23"/>
  <c r="AR251" i="23" s="1"/>
  <c r="AR275" i="23"/>
  <c r="AR240" i="23"/>
  <c r="AS238" i="23" s="1"/>
  <c r="AR255" i="23"/>
  <c r="AR257" i="23" s="1"/>
  <c r="AR234" i="23"/>
  <c r="AS232" i="23" s="1"/>
  <c r="AR269" i="23"/>
  <c r="I510" i="9"/>
  <c r="I476" i="9"/>
  <c r="L486" i="9"/>
  <c r="I485" i="9"/>
  <c r="I467" i="9"/>
  <c r="L468" i="9"/>
  <c r="AQ342" i="23" l="1"/>
  <c r="AR319" i="23"/>
  <c r="AR321" i="23" s="1"/>
  <c r="AR260" i="23"/>
  <c r="AR252" i="23"/>
  <c r="AS250" i="23" s="1"/>
  <c r="AR287" i="23"/>
  <c r="AR293" i="23"/>
  <c r="AR258" i="23"/>
  <c r="AS256" i="23" s="1"/>
  <c r="AR270" i="23"/>
  <c r="AR271" i="23" s="1"/>
  <c r="I473" i="9"/>
  <c r="I475" i="9"/>
  <c r="L470" i="9"/>
  <c r="M470" i="9" s="1"/>
  <c r="N470" i="9" s="1"/>
  <c r="O470" i="9" s="1"/>
  <c r="P470" i="9" s="1"/>
  <c r="Q470" i="9" s="1"/>
  <c r="R470" i="9" s="1"/>
  <c r="S470" i="9" s="1"/>
  <c r="T470" i="9" s="1"/>
  <c r="U470" i="9" s="1"/>
  <c r="V470" i="9" s="1"/>
  <c r="W470" i="9" s="1"/>
  <c r="X470" i="9" s="1"/>
  <c r="Y470" i="9" s="1"/>
  <c r="Z470" i="9" s="1"/>
  <c r="AA470" i="9" s="1"/>
  <c r="AB470" i="9" s="1"/>
  <c r="AC470" i="9" s="1"/>
  <c r="AD470" i="9" s="1"/>
  <c r="AE470" i="9" s="1"/>
  <c r="AF470" i="9" s="1"/>
  <c r="AG470" i="9" s="1"/>
  <c r="AH470" i="9" s="1"/>
  <c r="AI470" i="9" s="1"/>
  <c r="AJ470" i="9" s="1"/>
  <c r="AK470" i="9" s="1"/>
  <c r="AL470" i="9" s="1"/>
  <c r="AM470" i="9" s="1"/>
  <c r="AN470" i="9" s="1"/>
  <c r="AO470" i="9" s="1"/>
  <c r="AP470" i="9" s="1"/>
  <c r="AQ470" i="9" s="1"/>
  <c r="AR470" i="9" s="1"/>
  <c r="AS470" i="9" s="1"/>
  <c r="AT470" i="9" s="1"/>
  <c r="AU470" i="9" s="1"/>
  <c r="AV470" i="9" s="1"/>
  <c r="AW470" i="9" s="1"/>
  <c r="AX470" i="9" s="1"/>
  <c r="AY470" i="9" s="1"/>
  <c r="AZ470" i="9" s="1"/>
  <c r="BA470" i="9" s="1"/>
  <c r="BB470" i="9" s="1"/>
  <c r="BC470" i="9" s="1"/>
  <c r="BD470" i="9" s="1"/>
  <c r="BE470" i="9" s="1"/>
  <c r="BF470" i="9" s="1"/>
  <c r="BG470" i="9" s="1"/>
  <c r="BH470" i="9" s="1"/>
  <c r="BI470" i="9" s="1"/>
  <c r="BJ470" i="9" s="1"/>
  <c r="BK470" i="9" s="1"/>
  <c r="BL470" i="9" s="1"/>
  <c r="BM470" i="9" s="1"/>
  <c r="BN470" i="9" s="1"/>
  <c r="BO470" i="9" s="1"/>
  <c r="BP470" i="9" s="1"/>
  <c r="BQ470" i="9" s="1"/>
  <c r="BR470" i="9" s="1"/>
  <c r="BS470" i="9" s="1"/>
  <c r="I472" i="9"/>
  <c r="I468" i="9"/>
  <c r="L502" i="9"/>
  <c r="I486" i="9"/>
  <c r="AQ343" i="23" l="1"/>
  <c r="AQ346" i="23" s="1"/>
  <c r="AQ345" i="23"/>
  <c r="AR302" i="23"/>
  <c r="AR328" i="23" s="1"/>
  <c r="AR317" i="23"/>
  <c r="AR274" i="23"/>
  <c r="AR276" i="23" s="1"/>
  <c r="AR277" i="23" s="1"/>
  <c r="I509" i="9"/>
  <c r="I506" i="9"/>
  <c r="I507" i="9"/>
  <c r="L504" i="9"/>
  <c r="M504" i="9" s="1"/>
  <c r="N504" i="9" s="1"/>
  <c r="O504" i="9" s="1"/>
  <c r="P504" i="9" s="1"/>
  <c r="Q504" i="9" s="1"/>
  <c r="R504" i="9" s="1"/>
  <c r="S504" i="9" s="1"/>
  <c r="I502" i="9"/>
  <c r="T504" i="9" l="1"/>
  <c r="U504" i="9" s="1"/>
  <c r="V504" i="9" s="1"/>
  <c r="W504" i="9" s="1"/>
  <c r="X504" i="9" s="1"/>
  <c r="Y504" i="9" s="1"/>
  <c r="Z504" i="9" s="1"/>
  <c r="AA504" i="9" s="1"/>
  <c r="AB504" i="9" s="1"/>
  <c r="AC504" i="9" s="1"/>
  <c r="AD504" i="9" s="1"/>
  <c r="AE504" i="9" s="1"/>
  <c r="AF504" i="9" s="1"/>
  <c r="AG504" i="9" s="1"/>
  <c r="AH504" i="9" s="1"/>
  <c r="AI504" i="9" s="1"/>
  <c r="AJ504" i="9" s="1"/>
  <c r="AK504" i="9" s="1"/>
  <c r="AL504" i="9" s="1"/>
  <c r="AM504" i="9" s="1"/>
  <c r="AN504" i="9" s="1"/>
  <c r="AO504" i="9" s="1"/>
  <c r="AP504" i="9" s="1"/>
  <c r="AQ504" i="9" s="1"/>
  <c r="AR504" i="9" s="1"/>
  <c r="AS504" i="9" s="1"/>
  <c r="AT504" i="9" s="1"/>
  <c r="AU504" i="9" s="1"/>
  <c r="AV504" i="9" s="1"/>
  <c r="AW504" i="9" s="1"/>
  <c r="AX504" i="9" s="1"/>
  <c r="AY504" i="9" s="1"/>
  <c r="AZ504" i="9" s="1"/>
  <c r="BA504" i="9" s="1"/>
  <c r="BB504" i="9" s="1"/>
  <c r="BC504" i="9" s="1"/>
  <c r="BD504" i="9" s="1"/>
  <c r="BE504" i="9" s="1"/>
  <c r="BF504" i="9" s="1"/>
  <c r="BG504" i="9" s="1"/>
  <c r="BH504" i="9" s="1"/>
  <c r="BI504" i="9" s="1"/>
  <c r="BJ504" i="9" s="1"/>
  <c r="BK504" i="9" s="1"/>
  <c r="BL504" i="9" s="1"/>
  <c r="BM504" i="9" s="1"/>
  <c r="BN504" i="9" s="1"/>
  <c r="BO504" i="9" s="1"/>
  <c r="BP504" i="9" s="1"/>
  <c r="BQ504" i="9" s="1"/>
  <c r="BR504" i="9" s="1"/>
  <c r="BS504" i="9" s="1"/>
  <c r="AR330" i="23"/>
  <c r="AR280" i="23"/>
  <c r="AR282" i="23" s="1"/>
  <c r="F502" i="9"/>
  <c r="I543" i="9"/>
  <c r="I478" i="9"/>
  <c r="AR331" i="23" l="1"/>
  <c r="AR286" i="23"/>
  <c r="AR288" i="23" s="1"/>
  <c r="AR283" i="23"/>
  <c r="AR292" i="23"/>
  <c r="AR294" i="23" s="1"/>
  <c r="I512" i="9"/>
  <c r="N129" i="25" l="1"/>
  <c r="AR295" i="23"/>
  <c r="AS203" i="23"/>
  <c r="AS311" i="23" s="1"/>
  <c r="AR297" i="23"/>
  <c r="AR289" i="23"/>
  <c r="L261" i="15"/>
  <c r="AS313" i="23" l="1"/>
  <c r="AS315" i="23"/>
  <c r="AR299" i="23"/>
  <c r="AR322" i="23" s="1"/>
  <c r="AR303" i="23"/>
  <c r="AR334" i="23" s="1"/>
  <c r="AR336" i="23" s="1"/>
  <c r="AS262" i="23"/>
  <c r="AS264" i="23" s="1"/>
  <c r="AS225" i="23"/>
  <c r="AS227" i="23" s="1"/>
  <c r="L263" i="15"/>
  <c r="AR340" i="23" l="1"/>
  <c r="AR337" i="23"/>
  <c r="AS319" i="23"/>
  <c r="AS321" i="23" s="1"/>
  <c r="AR305" i="23"/>
  <c r="AR306" i="23" s="1"/>
  <c r="AS231" i="23"/>
  <c r="AS233" i="23" s="1"/>
  <c r="AS237" i="23" s="1"/>
  <c r="AS239" i="23" s="1"/>
  <c r="AS243" i="23" s="1"/>
  <c r="AS245" i="23" s="1"/>
  <c r="AS268" i="23"/>
  <c r="L264" i="15"/>
  <c r="M262" i="15" s="1"/>
  <c r="L267" i="15"/>
  <c r="AR342" i="23" l="1"/>
  <c r="AS249" i="23"/>
  <c r="AS251" i="23" s="1"/>
  <c r="AS281" i="23"/>
  <c r="AS246" i="23"/>
  <c r="AT244" i="23" s="1"/>
  <c r="AS255" i="23"/>
  <c r="AS257" i="23" s="1"/>
  <c r="AS240" i="23"/>
  <c r="AT238" i="23" s="1"/>
  <c r="AS275" i="23"/>
  <c r="AS234" i="23"/>
  <c r="AT232" i="23" s="1"/>
  <c r="AS269" i="23"/>
  <c r="L269" i="15"/>
  <c r="AR343" i="23" l="1"/>
  <c r="AR346" i="23" s="1"/>
  <c r="AR345" i="23"/>
  <c r="AS270" i="23"/>
  <c r="AS271" i="23" s="1"/>
  <c r="AS293" i="23"/>
  <c r="AS258" i="23"/>
  <c r="AT256" i="23" s="1"/>
  <c r="AS260" i="23"/>
  <c r="AS252" i="23"/>
  <c r="AT250" i="23" s="1"/>
  <c r="AS287" i="23"/>
  <c r="L270" i="15"/>
  <c r="M268" i="15" s="1"/>
  <c r="L273" i="15"/>
  <c r="AS302" i="23" l="1"/>
  <c r="AS328" i="23" s="1"/>
  <c r="AS317" i="23"/>
  <c r="AS274" i="23"/>
  <c r="AS276" i="23" s="1"/>
  <c r="AS277" i="23" s="1"/>
  <c r="L275" i="15"/>
  <c r="AS330" i="23" l="1"/>
  <c r="AS280" i="23"/>
  <c r="AS282" i="23" s="1"/>
  <c r="M226" i="15"/>
  <c r="M174" i="15" s="1"/>
  <c r="L276" i="15"/>
  <c r="M274" i="15" s="1"/>
  <c r="L279" i="15"/>
  <c r="AS331" i="23" l="1"/>
  <c r="AS283" i="23"/>
  <c r="AS292" i="23"/>
  <c r="AS294" i="23" s="1"/>
  <c r="AS286" i="23"/>
  <c r="AS288" i="23" s="1"/>
  <c r="M253" i="15"/>
  <c r="L281" i="15"/>
  <c r="L285" i="15" s="1"/>
  <c r="AS297" i="23" l="1"/>
  <c r="AS289" i="23"/>
  <c r="AS295" i="23"/>
  <c r="AT203" i="23"/>
  <c r="AT311" i="23" s="1"/>
  <c r="L287" i="15"/>
  <c r="L291" i="15" s="1"/>
  <c r="L309" i="15" s="1"/>
  <c r="L282" i="15"/>
  <c r="M280" i="15" s="1"/>
  <c r="AT313" i="23" l="1"/>
  <c r="AT315" i="23"/>
  <c r="AS299" i="23"/>
  <c r="AS322" i="23" s="1"/>
  <c r="AS303" i="23"/>
  <c r="AS334" i="23" s="1"/>
  <c r="AS336" i="23" s="1"/>
  <c r="AT262" i="23"/>
  <c r="AT264" i="23" s="1"/>
  <c r="AT225" i="23"/>
  <c r="AT227" i="23" s="1"/>
  <c r="L288" i="15"/>
  <c r="M286" i="15" s="1"/>
  <c r="M249" i="15"/>
  <c r="AS340" i="23" l="1"/>
  <c r="AS337" i="23"/>
  <c r="AT319" i="23"/>
  <c r="AT321" i="23" s="1"/>
  <c r="AS305" i="23"/>
  <c r="AS306" i="23" s="1"/>
  <c r="AT231" i="23"/>
  <c r="AT233" i="23" s="1"/>
  <c r="AT237" i="23" s="1"/>
  <c r="AT239" i="23" s="1"/>
  <c r="AT243" i="23" s="1"/>
  <c r="AT245" i="23" s="1"/>
  <c r="AT268" i="23"/>
  <c r="M261" i="15"/>
  <c r="AS342" i="23" l="1"/>
  <c r="AT281" i="23"/>
  <c r="AT246" i="23"/>
  <c r="AU244" i="23" s="1"/>
  <c r="AT249" i="23"/>
  <c r="AT251" i="23" s="1"/>
  <c r="AT240" i="23"/>
  <c r="AU238" i="23" s="1"/>
  <c r="AT275" i="23"/>
  <c r="AT255" i="23"/>
  <c r="AT257" i="23" s="1"/>
  <c r="AT234" i="23"/>
  <c r="AU232" i="23" s="1"/>
  <c r="AT269" i="23"/>
  <c r="M263" i="15"/>
  <c r="AS343" i="23" l="1"/>
  <c r="AS346" i="23" s="1"/>
  <c r="AS345" i="23"/>
  <c r="AT260" i="23"/>
  <c r="AT252" i="23"/>
  <c r="AU250" i="23" s="1"/>
  <c r="AT287" i="23"/>
  <c r="AT293" i="23"/>
  <c r="AT258" i="23"/>
  <c r="AU256" i="23" s="1"/>
  <c r="AT270" i="23"/>
  <c r="AT271" i="23" s="1"/>
  <c r="M264" i="15"/>
  <c r="N262" i="15" s="1"/>
  <c r="M267" i="15"/>
  <c r="AT302" i="23" l="1"/>
  <c r="AT328" i="23" s="1"/>
  <c r="AT317" i="23"/>
  <c r="AT274" i="23"/>
  <c r="AT276" i="23" s="1"/>
  <c r="AT277" i="23" s="1"/>
  <c r="M269" i="15"/>
  <c r="AT330" i="23" l="1"/>
  <c r="AT280" i="23"/>
  <c r="AT282" i="23" s="1"/>
  <c r="M270" i="15"/>
  <c r="N268" i="15" s="1"/>
  <c r="M273" i="15"/>
  <c r="AT331" i="23" l="1"/>
  <c r="AT292" i="23"/>
  <c r="AT294" i="23" s="1"/>
  <c r="AT283" i="23"/>
  <c r="AT286" i="23"/>
  <c r="AT288" i="23" s="1"/>
  <c r="M275" i="15"/>
  <c r="AT297" i="23" l="1"/>
  <c r="AT289" i="23"/>
  <c r="AT295" i="23"/>
  <c r="AU203" i="23"/>
  <c r="AU311" i="23" s="1"/>
  <c r="N226" i="15"/>
  <c r="N174" i="15" s="1"/>
  <c r="M276" i="15"/>
  <c r="N274" i="15" s="1"/>
  <c r="M279" i="15"/>
  <c r="AU313" i="23" l="1"/>
  <c r="AU315" i="23"/>
  <c r="AT299" i="23"/>
  <c r="AT322" i="23" s="1"/>
  <c r="AT303" i="23"/>
  <c r="AT334" i="23" s="1"/>
  <c r="AT336" i="23" s="1"/>
  <c r="AU262" i="23"/>
  <c r="AU264" i="23" s="1"/>
  <c r="AU225" i="23"/>
  <c r="AU227" i="23" s="1"/>
  <c r="N303" i="15"/>
  <c r="N313" i="15"/>
  <c r="N253" i="15"/>
  <c r="M281" i="15"/>
  <c r="M285" i="15" s="1"/>
  <c r="AT340" i="23" l="1"/>
  <c r="AT337" i="23"/>
  <c r="AU319" i="23"/>
  <c r="AU321" i="23" s="1"/>
  <c r="AT305" i="23"/>
  <c r="AT306" i="23" s="1"/>
  <c r="AU231" i="23"/>
  <c r="AU233" i="23" s="1"/>
  <c r="AU237" i="23" s="1"/>
  <c r="AU239" i="23" s="1"/>
  <c r="AU243" i="23" s="1"/>
  <c r="AU245" i="23" s="1"/>
  <c r="AU268" i="23"/>
  <c r="M287" i="15"/>
  <c r="M291" i="15" s="1"/>
  <c r="M309" i="15" s="1"/>
  <c r="M282" i="15"/>
  <c r="N280" i="15" s="1"/>
  <c r="AT342" i="23" l="1"/>
  <c r="AU246" i="23"/>
  <c r="AV244" i="23" s="1"/>
  <c r="AU281" i="23"/>
  <c r="AU255" i="23"/>
  <c r="AU257" i="23" s="1"/>
  <c r="AU240" i="23"/>
  <c r="AV238" i="23" s="1"/>
  <c r="AU275" i="23"/>
  <c r="AU249" i="23"/>
  <c r="AU251" i="23" s="1"/>
  <c r="AU234" i="23"/>
  <c r="AV232" i="23" s="1"/>
  <c r="AU269" i="23"/>
  <c r="M288" i="15"/>
  <c r="N286" i="15" s="1"/>
  <c r="N249" i="15"/>
  <c r="AT343" i="23" l="1"/>
  <c r="AT346" i="23" s="1"/>
  <c r="AT345" i="23"/>
  <c r="AU293" i="23"/>
  <c r="AU258" i="23"/>
  <c r="AV256" i="23" s="1"/>
  <c r="AU260" i="23"/>
  <c r="AU252" i="23"/>
  <c r="AV250" i="23" s="1"/>
  <c r="AU287" i="23"/>
  <c r="AU270" i="23"/>
  <c r="AU271" i="23" s="1"/>
  <c r="N261" i="15"/>
  <c r="AU302" i="23" l="1"/>
  <c r="AU328" i="23" s="1"/>
  <c r="AU317" i="23"/>
  <c r="AU274" i="23"/>
  <c r="AU276" i="23" s="1"/>
  <c r="AU277" i="23" s="1"/>
  <c r="N263" i="15"/>
  <c r="AU330" i="23" l="1"/>
  <c r="AU280" i="23"/>
  <c r="AU282" i="23" s="1"/>
  <c r="AU283" i="23" s="1"/>
  <c r="N264" i="15"/>
  <c r="O262" i="15" s="1"/>
  <c r="N267" i="15"/>
  <c r="AU331" i="23" l="1"/>
  <c r="AU286" i="23"/>
  <c r="AU288" i="23" s="1"/>
  <c r="AU292" i="23"/>
  <c r="AU294" i="23" s="1"/>
  <c r="N269" i="15"/>
  <c r="AU295" i="23" l="1"/>
  <c r="AV203" i="23"/>
  <c r="AV311" i="23" s="1"/>
  <c r="AU297" i="23"/>
  <c r="AU289" i="23"/>
  <c r="N270" i="15"/>
  <c r="O268" i="15" s="1"/>
  <c r="N273" i="15"/>
  <c r="AV313" i="23" l="1"/>
  <c r="AV315" i="23"/>
  <c r="AU299" i="23"/>
  <c r="AU322" i="23" s="1"/>
  <c r="AU303" i="23"/>
  <c r="AU334" i="23" s="1"/>
  <c r="AU336" i="23" s="1"/>
  <c r="AV262" i="23"/>
  <c r="AV264" i="23" s="1"/>
  <c r="AV225" i="23"/>
  <c r="AV227" i="23" s="1"/>
  <c r="N275" i="15"/>
  <c r="O226" i="15" s="1"/>
  <c r="AU340" i="23" l="1"/>
  <c r="AU337" i="23"/>
  <c r="AV319" i="23"/>
  <c r="AV321" i="23" s="1"/>
  <c r="AU305" i="23"/>
  <c r="AU306" i="23" s="1"/>
  <c r="AV231" i="23"/>
  <c r="AV233" i="23" s="1"/>
  <c r="AV237" i="23" s="1"/>
  <c r="AV239" i="23" s="1"/>
  <c r="AV268" i="23"/>
  <c r="O174" i="15"/>
  <c r="N276" i="15"/>
  <c r="O274" i="15" s="1"/>
  <c r="N279" i="15"/>
  <c r="AU342" i="23" l="1"/>
  <c r="AV240" i="23"/>
  <c r="AW238" i="23" s="1"/>
  <c r="AV275" i="23"/>
  <c r="AV243" i="23"/>
  <c r="AV245" i="23" s="1"/>
  <c r="AV255" i="23" s="1"/>
  <c r="AV257" i="23" s="1"/>
  <c r="AV234" i="23"/>
  <c r="AW232" i="23" s="1"/>
  <c r="AV269" i="23"/>
  <c r="O303" i="15"/>
  <c r="O313" i="15"/>
  <c r="O253" i="15"/>
  <c r="N281" i="15"/>
  <c r="N285" i="15" s="1"/>
  <c r="AU343" i="23" l="1"/>
  <c r="AU346" i="23" s="1"/>
  <c r="AU345" i="23"/>
  <c r="AV246" i="23"/>
  <c r="AW244" i="23" s="1"/>
  <c r="AV281" i="23"/>
  <c r="AV270" i="23"/>
  <c r="AV249" i="23"/>
  <c r="AV251" i="23" s="1"/>
  <c r="AV293" i="23"/>
  <c r="AV258" i="23"/>
  <c r="AW256" i="23" s="1"/>
  <c r="N287" i="15"/>
  <c r="N291" i="15" s="1"/>
  <c r="N309" i="15" s="1"/>
  <c r="N282" i="15"/>
  <c r="O280" i="15" s="1"/>
  <c r="AV274" i="23" l="1"/>
  <c r="AV276" i="23" s="1"/>
  <c r="AV277" i="23" s="1"/>
  <c r="AV260" i="23"/>
  <c r="AV252" i="23"/>
  <c r="AW250" i="23" s="1"/>
  <c r="AV287" i="23"/>
  <c r="AV271" i="23"/>
  <c r="N288" i="15"/>
  <c r="O286" i="15" s="1"/>
  <c r="N294" i="15"/>
  <c r="N328" i="15" s="1"/>
  <c r="O249" i="15"/>
  <c r="AV302" i="23" l="1"/>
  <c r="AV328" i="23" s="1"/>
  <c r="AV317" i="23"/>
  <c r="AV280" i="23"/>
  <c r="AV282" i="23" s="1"/>
  <c r="AV286" i="23" s="1"/>
  <c r="AV288" i="23" s="1"/>
  <c r="N330" i="15"/>
  <c r="O257" i="15"/>
  <c r="N311" i="15"/>
  <c r="J176" i="21" s="1"/>
  <c r="J180" i="21" s="1"/>
  <c r="N296" i="15"/>
  <c r="N297" i="15" s="1"/>
  <c r="AV330" i="23" l="1"/>
  <c r="AV292" i="23"/>
  <c r="AV294" i="23" s="1"/>
  <c r="AV297" i="23" s="1"/>
  <c r="AV283" i="23"/>
  <c r="AV289" i="23"/>
  <c r="N322" i="15"/>
  <c r="N324" i="15" s="1"/>
  <c r="N316" i="15"/>
  <c r="O261" i="15"/>
  <c r="N331" i="15"/>
  <c r="AV331" i="23" l="1"/>
  <c r="AV299" i="23"/>
  <c r="AV322" i="23" s="1"/>
  <c r="AV303" i="23"/>
  <c r="AV334" i="23" s="1"/>
  <c r="AV336" i="23" s="1"/>
  <c r="AW203" i="23"/>
  <c r="AV295" i="23"/>
  <c r="N333" i="15"/>
  <c r="O263" i="15"/>
  <c r="N315" i="15"/>
  <c r="N325" i="15"/>
  <c r="AV340" i="23" l="1"/>
  <c r="AV342" i="23" s="1"/>
  <c r="AV343" i="23" s="1"/>
  <c r="AV337" i="23"/>
  <c r="AW262" i="23"/>
  <c r="AW264" i="23" s="1"/>
  <c r="AW268" i="23" s="1"/>
  <c r="AW311" i="23"/>
  <c r="AV305" i="23"/>
  <c r="AV306" i="23" s="1"/>
  <c r="AW225" i="23"/>
  <c r="AW227" i="23" s="1"/>
  <c r="AW231" i="23" s="1"/>
  <c r="AW233" i="23" s="1"/>
  <c r="AW237" i="23" s="1"/>
  <c r="AW239" i="23" s="1"/>
  <c r="AW243" i="23" s="1"/>
  <c r="AW245" i="23" s="1"/>
  <c r="O264" i="15"/>
  <c r="P262" i="15" s="1"/>
  <c r="O267" i="15"/>
  <c r="N334" i="15"/>
  <c r="AV346" i="23" l="1"/>
  <c r="AV345" i="23"/>
  <c r="AW313" i="23"/>
  <c r="AW315" i="23"/>
  <c r="AW246" i="23"/>
  <c r="AX244" i="23" s="1"/>
  <c r="AW281" i="23"/>
  <c r="AW249" i="23"/>
  <c r="AW251" i="23" s="1"/>
  <c r="AW240" i="23"/>
  <c r="AX238" i="23" s="1"/>
  <c r="AW275" i="23"/>
  <c r="AW255" i="23"/>
  <c r="AW257" i="23" s="1"/>
  <c r="AW269" i="23"/>
  <c r="AW234" i="23"/>
  <c r="AX232" i="23" s="1"/>
  <c r="O269" i="15"/>
  <c r="AW319" i="23" l="1"/>
  <c r="AW321" i="23" s="1"/>
  <c r="AW270" i="23"/>
  <c r="AW271" i="23" s="1"/>
  <c r="AW260" i="23"/>
  <c r="AW252" i="23"/>
  <c r="AX250" i="23" s="1"/>
  <c r="AW287" i="23"/>
  <c r="AW293" i="23"/>
  <c r="AW258" i="23"/>
  <c r="AX256" i="23" s="1"/>
  <c r="O270" i="15"/>
  <c r="P268" i="15" s="1"/>
  <c r="O273" i="15"/>
  <c r="AW302" i="23" l="1"/>
  <c r="AW328" i="23" s="1"/>
  <c r="AW330" i="23" s="1"/>
  <c r="AW317" i="23"/>
  <c r="AW274" i="23"/>
  <c r="AW276" i="23" s="1"/>
  <c r="AW277" i="23" s="1"/>
  <c r="O275" i="15"/>
  <c r="AW331" i="23" l="1"/>
  <c r="AW280" i="23"/>
  <c r="AW282" i="23" s="1"/>
  <c r="AW283" i="23" s="1"/>
  <c r="P226" i="15"/>
  <c r="P174" i="15" s="1"/>
  <c r="O276" i="15"/>
  <c r="P274" i="15" s="1"/>
  <c r="O279" i="15"/>
  <c r="AW292" i="23" l="1"/>
  <c r="AW294" i="23" s="1"/>
  <c r="AW286" i="23"/>
  <c r="AW288" i="23" s="1"/>
  <c r="P303" i="15"/>
  <c r="P313" i="15"/>
  <c r="P253" i="15"/>
  <c r="O281" i="15"/>
  <c r="O285" i="15" s="1"/>
  <c r="AW297" i="23" l="1"/>
  <c r="AW289" i="23"/>
  <c r="AW295" i="23"/>
  <c r="AX203" i="23"/>
  <c r="AX311" i="23" s="1"/>
  <c r="O287" i="15"/>
  <c r="O291" i="15" s="1"/>
  <c r="O309" i="15" s="1"/>
  <c r="O282" i="15"/>
  <c r="P280" i="15" s="1"/>
  <c r="AX313" i="23" l="1"/>
  <c r="AX315" i="23"/>
  <c r="AW299" i="23"/>
  <c r="AW322" i="23" s="1"/>
  <c r="AW303" i="23"/>
  <c r="AW334" i="23" s="1"/>
  <c r="AW336" i="23" s="1"/>
  <c r="AX262" i="23"/>
  <c r="AX264" i="23" s="1"/>
  <c r="AX225" i="23"/>
  <c r="AX227" i="23" s="1"/>
  <c r="O288" i="15"/>
  <c r="P286" i="15" s="1"/>
  <c r="O294" i="15"/>
  <c r="O328" i="15" s="1"/>
  <c r="P249" i="15"/>
  <c r="AW340" i="23" l="1"/>
  <c r="AW337" i="23"/>
  <c r="AX319" i="23"/>
  <c r="AX321" i="23" s="1"/>
  <c r="AW305" i="23"/>
  <c r="AW306" i="23" s="1"/>
  <c r="AX231" i="23"/>
  <c r="AX233" i="23" s="1"/>
  <c r="AX237" i="23" s="1"/>
  <c r="AX239" i="23" s="1"/>
  <c r="AX268" i="23"/>
  <c r="O330" i="15"/>
  <c r="O331" i="15" s="1"/>
  <c r="O311" i="15"/>
  <c r="K176" i="21" s="1"/>
  <c r="K180" i="21" s="1"/>
  <c r="P257" i="15"/>
  <c r="O296" i="15"/>
  <c r="AW342" i="23" l="1"/>
  <c r="AX240" i="23"/>
  <c r="AY238" i="23" s="1"/>
  <c r="AX275" i="23"/>
  <c r="AX243" i="23"/>
  <c r="AX245" i="23" s="1"/>
  <c r="AX249" i="23" s="1"/>
  <c r="AX251" i="23" s="1"/>
  <c r="AX269" i="23"/>
  <c r="AX234" i="23"/>
  <c r="AY232" i="23" s="1"/>
  <c r="O322" i="15"/>
  <c r="O324" i="15" s="1"/>
  <c r="O316" i="15"/>
  <c r="O315" i="15" s="1"/>
  <c r="P261" i="15"/>
  <c r="O297" i="15"/>
  <c r="AW343" i="23" l="1"/>
  <c r="AW346" i="23" s="1"/>
  <c r="AW345" i="23"/>
  <c r="AX255" i="23"/>
  <c r="AX257" i="23" s="1"/>
  <c r="AX260" i="23" s="1"/>
  <c r="AX281" i="23"/>
  <c r="AX246" i="23"/>
  <c r="AY244" i="23" s="1"/>
  <c r="AX252" i="23"/>
  <c r="AY250" i="23" s="1"/>
  <c r="AX287" i="23"/>
  <c r="AX270" i="23"/>
  <c r="AX271" i="23" s="1"/>
  <c r="O333" i="15"/>
  <c r="O325" i="15"/>
  <c r="P263" i="15"/>
  <c r="AX302" i="23" l="1"/>
  <c r="AX328" i="23" s="1"/>
  <c r="AX317" i="23"/>
  <c r="AX258" i="23"/>
  <c r="AY256" i="23" s="1"/>
  <c r="AX293" i="23"/>
  <c r="AX274" i="23"/>
  <c r="AX276" i="23" s="1"/>
  <c r="AX277" i="23" s="1"/>
  <c r="P264" i="15"/>
  <c r="Q262" i="15" s="1"/>
  <c r="P267" i="15"/>
  <c r="O334" i="15"/>
  <c r="AX330" i="23" l="1"/>
  <c r="AX280" i="23"/>
  <c r="AX282" i="23" s="1"/>
  <c r="AX283" i="23" s="1"/>
  <c r="P269" i="15"/>
  <c r="AX331" i="23" l="1"/>
  <c r="AX286" i="23"/>
  <c r="AX288" i="23" s="1"/>
  <c r="AX292" i="23"/>
  <c r="AX294" i="23" s="1"/>
  <c r="P270" i="15"/>
  <c r="Q268" i="15" s="1"/>
  <c r="P273" i="15"/>
  <c r="AX295" i="23" l="1"/>
  <c r="AY203" i="23"/>
  <c r="AY311" i="23" s="1"/>
  <c r="AX297" i="23"/>
  <c r="AX289" i="23"/>
  <c r="P275" i="15"/>
  <c r="AY313" i="23" l="1"/>
  <c r="AY315" i="23"/>
  <c r="AX299" i="23"/>
  <c r="AX322" i="23" s="1"/>
  <c r="AX303" i="23"/>
  <c r="AX334" i="23" s="1"/>
  <c r="AX336" i="23" s="1"/>
  <c r="AY225" i="23"/>
  <c r="AY227" i="23" s="1"/>
  <c r="AY262" i="23"/>
  <c r="AY264" i="23" s="1"/>
  <c r="Q226" i="15"/>
  <c r="P276" i="15"/>
  <c r="Q274" i="15" s="1"/>
  <c r="P279" i="15"/>
  <c r="Q313" i="15" l="1"/>
  <c r="Q174" i="15"/>
  <c r="AX340" i="23"/>
  <c r="AX337" i="23"/>
  <c r="AY319" i="23"/>
  <c r="AY321" i="23" s="1"/>
  <c r="AX305" i="23"/>
  <c r="AX306" i="23" s="1"/>
  <c r="AY268" i="23"/>
  <c r="AY231" i="23"/>
  <c r="AY233" i="23" s="1"/>
  <c r="AY237" i="23" s="1"/>
  <c r="AY239" i="23" s="1"/>
  <c r="Q253" i="15"/>
  <c r="Q303" i="15"/>
  <c r="P281" i="15"/>
  <c r="P285" i="15" s="1"/>
  <c r="AX342" i="23" l="1"/>
  <c r="AY240" i="23"/>
  <c r="AZ238" i="23" s="1"/>
  <c r="AY275" i="23"/>
  <c r="AY243" i="23"/>
  <c r="AY245" i="23" s="1"/>
  <c r="AY234" i="23"/>
  <c r="AZ232" i="23" s="1"/>
  <c r="AY269" i="23"/>
  <c r="P287" i="15"/>
  <c r="P291" i="15" s="1"/>
  <c r="P309" i="15" s="1"/>
  <c r="P282" i="15"/>
  <c r="Q280" i="15" s="1"/>
  <c r="AX343" i="23" l="1"/>
  <c r="AX346" i="23" s="1"/>
  <c r="AX345" i="23"/>
  <c r="AY281" i="23"/>
  <c r="AY246" i="23"/>
  <c r="AZ244" i="23" s="1"/>
  <c r="AY255" i="23"/>
  <c r="AY257" i="23" s="1"/>
  <c r="AY249" i="23"/>
  <c r="AY251" i="23" s="1"/>
  <c r="AY270" i="23"/>
  <c r="AY271" i="23" s="1"/>
  <c r="P288" i="15"/>
  <c r="Q286" i="15" s="1"/>
  <c r="P294" i="15"/>
  <c r="Q249" i="15"/>
  <c r="AY293" i="23" l="1"/>
  <c r="AY258" i="23"/>
  <c r="AZ256" i="23" s="1"/>
  <c r="AY274" i="23"/>
  <c r="AY276" i="23" s="1"/>
  <c r="AY277" i="23" s="1"/>
  <c r="AY260" i="23"/>
  <c r="AY252" i="23"/>
  <c r="AZ250" i="23" s="1"/>
  <c r="AY287" i="23"/>
  <c r="P296" i="15"/>
  <c r="Q257" i="15"/>
  <c r="P328" i="15"/>
  <c r="P311" i="15"/>
  <c r="L176" i="21" s="1"/>
  <c r="L180" i="21" s="1"/>
  <c r="AY302" i="23" l="1"/>
  <c r="AY328" i="23" s="1"/>
  <c r="AY317" i="23"/>
  <c r="AY280" i="23"/>
  <c r="AY282" i="23" s="1"/>
  <c r="AY283" i="23" s="1"/>
  <c r="P322" i="15"/>
  <c r="P324" i="15" s="1"/>
  <c r="P325" i="15" s="1"/>
  <c r="P316" i="15"/>
  <c r="Q261" i="15"/>
  <c r="Q263" i="15" s="1"/>
  <c r="P330" i="15"/>
  <c r="P331" i="15" s="1"/>
  <c r="P297" i="15"/>
  <c r="AY330" i="23" l="1"/>
  <c r="AY286" i="23"/>
  <c r="AY288" i="23" s="1"/>
  <c r="AY292" i="23"/>
  <c r="AY294" i="23" s="1"/>
  <c r="AY295" i="23" s="1"/>
  <c r="Q264" i="15"/>
  <c r="R262" i="15" s="1"/>
  <c r="P334" i="15"/>
  <c r="P333" i="15"/>
  <c r="Q267" i="15"/>
  <c r="Q269" i="15" s="1"/>
  <c r="Q270" i="15" s="1"/>
  <c r="R268" i="15" s="1"/>
  <c r="P315" i="15"/>
  <c r="AY331" i="23" l="1"/>
  <c r="AZ203" i="23"/>
  <c r="AY297" i="23"/>
  <c r="AY289" i="23"/>
  <c r="Q273" i="15"/>
  <c r="Q275" i="15" s="1"/>
  <c r="R226" i="15" s="1"/>
  <c r="R174" i="15" s="1"/>
  <c r="AZ225" i="23" l="1"/>
  <c r="AZ227" i="23" s="1"/>
  <c r="AZ231" i="23" s="1"/>
  <c r="AZ233" i="23" s="1"/>
  <c r="AZ237" i="23" s="1"/>
  <c r="AZ239" i="23" s="1"/>
  <c r="AZ243" i="23" s="1"/>
  <c r="AZ245" i="23" s="1"/>
  <c r="AZ311" i="23"/>
  <c r="AY299" i="23"/>
  <c r="AY322" i="23" s="1"/>
  <c r="AY303" i="23"/>
  <c r="AY334" i="23" s="1"/>
  <c r="AY336" i="23" s="1"/>
  <c r="AZ262" i="23"/>
  <c r="AZ264" i="23" s="1"/>
  <c r="AZ268" i="23" s="1"/>
  <c r="R303" i="15"/>
  <c r="R313" i="15"/>
  <c r="R253" i="15"/>
  <c r="Q279" i="15"/>
  <c r="Q281" i="15" s="1"/>
  <c r="Q276" i="15"/>
  <c r="R274" i="15" s="1"/>
  <c r="AY340" i="23" l="1"/>
  <c r="AY337" i="23"/>
  <c r="AZ313" i="23"/>
  <c r="AZ315" i="23"/>
  <c r="AY305" i="23"/>
  <c r="AY306" i="23" s="1"/>
  <c r="AZ255" i="23"/>
  <c r="AZ257" i="23" s="1"/>
  <c r="AZ246" i="23"/>
  <c r="BA244" i="23" s="1"/>
  <c r="AZ281" i="23"/>
  <c r="AZ249" i="23"/>
  <c r="AZ251" i="23" s="1"/>
  <c r="AZ240" i="23"/>
  <c r="BA238" i="23" s="1"/>
  <c r="AZ275" i="23"/>
  <c r="AZ234" i="23"/>
  <c r="BA232" i="23" s="1"/>
  <c r="AZ269" i="23"/>
  <c r="Q285" i="15"/>
  <c r="Q287" i="15" s="1"/>
  <c r="Q282" i="15"/>
  <c r="R280" i="15" s="1"/>
  <c r="AY342" i="23" l="1"/>
  <c r="AZ319" i="23"/>
  <c r="AZ321" i="23" s="1"/>
  <c r="AZ270" i="23"/>
  <c r="AZ271" i="23" s="1"/>
  <c r="AZ260" i="23"/>
  <c r="AZ252" i="23"/>
  <c r="BA250" i="23" s="1"/>
  <c r="AZ287" i="23"/>
  <c r="AZ293" i="23"/>
  <c r="AZ258" i="23"/>
  <c r="BA256" i="23" s="1"/>
  <c r="Q288" i="15"/>
  <c r="R286" i="15" s="1"/>
  <c r="Q291" i="15"/>
  <c r="Q309" i="15" s="1"/>
  <c r="R257" i="15"/>
  <c r="AY343" i="23" l="1"/>
  <c r="AY346" i="23" s="1"/>
  <c r="AY345" i="23"/>
  <c r="AZ302" i="23"/>
  <c r="AZ328" i="23" s="1"/>
  <c r="AZ317" i="23"/>
  <c r="AZ274" i="23"/>
  <c r="AZ276" i="23" s="1"/>
  <c r="AZ277" i="23" s="1"/>
  <c r="Q311" i="15"/>
  <c r="M176" i="21" s="1"/>
  <c r="M180" i="21" s="1"/>
  <c r="R249" i="15"/>
  <c r="Q294" i="15"/>
  <c r="R261" i="15"/>
  <c r="R263" i="15" s="1"/>
  <c r="AZ330" i="23" l="1"/>
  <c r="AZ280" i="23"/>
  <c r="AZ282" i="23" s="1"/>
  <c r="AZ286" i="23" s="1"/>
  <c r="AZ288" i="23" s="1"/>
  <c r="Q316" i="15"/>
  <c r="Q315" i="15" s="1"/>
  <c r="Q328" i="15"/>
  <c r="Q330" i="15" s="1"/>
  <c r="Q331" i="15" s="1"/>
  <c r="Q296" i="15"/>
  <c r="Q297" i="15" s="1"/>
  <c r="Q322" i="15"/>
  <c r="Q324" i="15" s="1"/>
  <c r="R264" i="15"/>
  <c r="S262" i="15" s="1"/>
  <c r="R267" i="15"/>
  <c r="R269" i="15" s="1"/>
  <c r="R270" i="15" s="1"/>
  <c r="S268" i="15" s="1"/>
  <c r="AZ331" i="23" l="1"/>
  <c r="AZ289" i="23"/>
  <c r="AZ292" i="23"/>
  <c r="AZ294" i="23" s="1"/>
  <c r="AZ283" i="23"/>
  <c r="Q333" i="15"/>
  <c r="Q325" i="15"/>
  <c r="Q334" i="15" s="1"/>
  <c r="R273" i="15"/>
  <c r="R275" i="15" s="1"/>
  <c r="S226" i="15" s="1"/>
  <c r="S305" i="15" s="1"/>
  <c r="S174" i="15" l="1"/>
  <c r="AZ295" i="23"/>
  <c r="BA203" i="23"/>
  <c r="BA311" i="23" s="1"/>
  <c r="AZ297" i="23"/>
  <c r="S303" i="15"/>
  <c r="S313" i="15"/>
  <c r="S253" i="15"/>
  <c r="R279" i="15"/>
  <c r="R281" i="15" s="1"/>
  <c r="R276" i="15"/>
  <c r="S274" i="15" s="1"/>
  <c r="BA313" i="23" l="1"/>
  <c r="BA315" i="23"/>
  <c r="AZ299" i="23"/>
  <c r="AZ322" i="23" s="1"/>
  <c r="AZ303" i="23"/>
  <c r="AZ334" i="23" s="1"/>
  <c r="BA262" i="23"/>
  <c r="BA264" i="23" s="1"/>
  <c r="BA225" i="23"/>
  <c r="BA227" i="23" s="1"/>
  <c r="R285" i="15"/>
  <c r="R287" i="15" s="1"/>
  <c r="R282" i="15"/>
  <c r="S280" i="15" s="1"/>
  <c r="AZ340" i="23" l="1"/>
  <c r="AZ336" i="23"/>
  <c r="BA319" i="23"/>
  <c r="BA321" i="23" s="1"/>
  <c r="AZ305" i="23"/>
  <c r="AZ306" i="23" s="1"/>
  <c r="BA231" i="23"/>
  <c r="BA233" i="23" s="1"/>
  <c r="BA237" i="23" s="1"/>
  <c r="BA239" i="23" s="1"/>
  <c r="BA243" i="23" s="1"/>
  <c r="BA245" i="23" s="1"/>
  <c r="BA268" i="23"/>
  <c r="R288" i="15"/>
  <c r="S286" i="15" s="1"/>
  <c r="R291" i="15"/>
  <c r="R309" i="15" s="1"/>
  <c r="AZ342" i="23" l="1"/>
  <c r="AZ343" i="23" s="1"/>
  <c r="AZ337" i="23"/>
  <c r="BA246" i="23"/>
  <c r="BB244" i="23" s="1"/>
  <c r="BA281" i="23"/>
  <c r="BA255" i="23"/>
  <c r="BA257" i="23" s="1"/>
  <c r="BA240" i="23"/>
  <c r="BB238" i="23" s="1"/>
  <c r="BA275" i="23"/>
  <c r="BA249" i="23"/>
  <c r="BA251" i="23" s="1"/>
  <c r="BA269" i="23"/>
  <c r="BA234" i="23"/>
  <c r="BB232" i="23" s="1"/>
  <c r="R311" i="15"/>
  <c r="N176" i="21" s="1"/>
  <c r="N180" i="21" s="1"/>
  <c r="S249" i="15"/>
  <c r="S257" i="15" s="1"/>
  <c r="R294" i="15"/>
  <c r="AZ346" i="23" l="1"/>
  <c r="AZ345" i="23"/>
  <c r="BA270" i="23"/>
  <c r="BA271" i="23" s="1"/>
  <c r="BA293" i="23"/>
  <c r="BA258" i="23"/>
  <c r="BB256" i="23" s="1"/>
  <c r="BA260" i="23"/>
  <c r="BA252" i="23"/>
  <c r="BB250" i="23" s="1"/>
  <c r="BA287" i="23"/>
  <c r="R316" i="15"/>
  <c r="R315" i="15" s="1"/>
  <c r="R322" i="15"/>
  <c r="R324" i="15" s="1"/>
  <c r="R328" i="15"/>
  <c r="R296" i="15"/>
  <c r="R297" i="15" s="1"/>
  <c r="S261" i="15"/>
  <c r="S263" i="15" s="1"/>
  <c r="BA302" i="23" l="1"/>
  <c r="BA328" i="23" s="1"/>
  <c r="BA330" i="23" s="1"/>
  <c r="BA317" i="23"/>
  <c r="BA274" i="23"/>
  <c r="BA276" i="23" s="1"/>
  <c r="BA277" i="23" s="1"/>
  <c r="R330" i="15"/>
  <c r="R331" i="15" s="1"/>
  <c r="S264" i="15"/>
  <c r="T262" i="15" s="1"/>
  <c r="S267" i="15"/>
  <c r="S269" i="15" s="1"/>
  <c r="S270" i="15" s="1"/>
  <c r="T268" i="15" s="1"/>
  <c r="R325" i="15"/>
  <c r="BA331" i="23" l="1"/>
  <c r="BA280" i="23"/>
  <c r="BA282" i="23" s="1"/>
  <c r="R333" i="15"/>
  <c r="R334" i="15"/>
  <c r="S273" i="15"/>
  <c r="S275" i="15" s="1"/>
  <c r="BA292" i="23" l="1"/>
  <c r="BA294" i="23" s="1"/>
  <c r="BA283" i="23"/>
  <c r="BA286" i="23"/>
  <c r="BA288" i="23" s="1"/>
  <c r="T226" i="15"/>
  <c r="T305" i="15" s="1"/>
  <c r="S276" i="15"/>
  <c r="T274" i="15" s="1"/>
  <c r="S279" i="15"/>
  <c r="S281" i="15" s="1"/>
  <c r="S285" i="15" s="1"/>
  <c r="S287" i="15" s="1"/>
  <c r="T174" i="15" l="1"/>
  <c r="BA297" i="23"/>
  <c r="BA289" i="23"/>
  <c r="BA295" i="23"/>
  <c r="BB203" i="23"/>
  <c r="BB311" i="23" s="1"/>
  <c r="T303" i="15"/>
  <c r="T313" i="15"/>
  <c r="S288" i="15"/>
  <c r="T286" i="15" s="1"/>
  <c r="S291" i="15"/>
  <c r="S309" i="15" s="1"/>
  <c r="S311" i="15" s="1"/>
  <c r="O176" i="21" s="1"/>
  <c r="O180" i="21" s="1"/>
  <c r="S282" i="15"/>
  <c r="T280" i="15" s="1"/>
  <c r="T253" i="15"/>
  <c r="BB313" i="23" l="1"/>
  <c r="BB315" i="23"/>
  <c r="BA299" i="23"/>
  <c r="BA322" i="23" s="1"/>
  <c r="BA303" i="23"/>
  <c r="BA334" i="23" s="1"/>
  <c r="BA336" i="23" s="1"/>
  <c r="BB262" i="23"/>
  <c r="BB264" i="23" s="1"/>
  <c r="BB225" i="23"/>
  <c r="BB227" i="23" s="1"/>
  <c r="S316" i="15"/>
  <c r="S315" i="15" s="1"/>
  <c r="T249" i="15"/>
  <c r="T257" i="15" s="1"/>
  <c r="S294" i="15"/>
  <c r="S322" i="15" s="1"/>
  <c r="BA340" i="23" l="1"/>
  <c r="BA337" i="23"/>
  <c r="BB319" i="23"/>
  <c r="BB321" i="23" s="1"/>
  <c r="BA305" i="23"/>
  <c r="BA306" i="23" s="1"/>
  <c r="BB231" i="23"/>
  <c r="BB233" i="23" s="1"/>
  <c r="BB237" i="23" s="1"/>
  <c r="BB239" i="23" s="1"/>
  <c r="BB243" i="23" s="1"/>
  <c r="BB245" i="23" s="1"/>
  <c r="BB268" i="23"/>
  <c r="S324" i="15"/>
  <c r="S328" i="15"/>
  <c r="S330" i="15" s="1"/>
  <c r="S331" i="15" s="1"/>
  <c r="S296" i="15"/>
  <c r="S297" i="15" s="1"/>
  <c r="T261" i="15"/>
  <c r="T263" i="15" s="1"/>
  <c r="T267" i="15" s="1"/>
  <c r="T269" i="15" s="1"/>
  <c r="BA342" i="23" l="1"/>
  <c r="BB246" i="23"/>
  <c r="BC244" i="23" s="1"/>
  <c r="BB281" i="23"/>
  <c r="BB249" i="23"/>
  <c r="BB251" i="23" s="1"/>
  <c r="BB240" i="23"/>
  <c r="BC238" i="23" s="1"/>
  <c r="BB275" i="23"/>
  <c r="BB255" i="23"/>
  <c r="BB257" i="23" s="1"/>
  <c r="BB269" i="23"/>
  <c r="BB234" i="23"/>
  <c r="BC232" i="23" s="1"/>
  <c r="S333" i="15"/>
  <c r="S325" i="15"/>
  <c r="S334" i="15" s="1"/>
  <c r="T270" i="15"/>
  <c r="U268" i="15" s="1"/>
  <c r="T273" i="15"/>
  <c r="T275" i="15" s="1"/>
  <c r="T279" i="15" s="1"/>
  <c r="T281" i="15" s="1"/>
  <c r="T264" i="15"/>
  <c r="U262" i="15" s="1"/>
  <c r="BA343" i="23" l="1"/>
  <c r="BA346" i="23" s="1"/>
  <c r="BA345" i="23"/>
  <c r="BB270" i="23"/>
  <c r="BB271" i="23" s="1"/>
  <c r="BB260" i="23"/>
  <c r="BB252" i="23"/>
  <c r="BC250" i="23" s="1"/>
  <c r="BB287" i="23"/>
  <c r="BB293" i="23"/>
  <c r="BB258" i="23"/>
  <c r="BC256" i="23" s="1"/>
  <c r="T285" i="15"/>
  <c r="T287" i="15" s="1"/>
  <c r="T288" i="15" s="1"/>
  <c r="U286" i="15" s="1"/>
  <c r="U226" i="15"/>
  <c r="U305" i="15" s="1"/>
  <c r="T276" i="15"/>
  <c r="U274" i="15" s="1"/>
  <c r="T282" i="15"/>
  <c r="U280" i="15" s="1"/>
  <c r="U174" i="15" l="1"/>
  <c r="BB302" i="23"/>
  <c r="BB328" i="23" s="1"/>
  <c r="BB317" i="23"/>
  <c r="BB274" i="23"/>
  <c r="BB276" i="23" s="1"/>
  <c r="BB277" i="23" s="1"/>
  <c r="U303" i="15"/>
  <c r="U313" i="15"/>
  <c r="T291" i="15"/>
  <c r="U253" i="15"/>
  <c r="BB330" i="23" l="1"/>
  <c r="BB280" i="23"/>
  <c r="BB282" i="23" s="1"/>
  <c r="BB283" i="23" s="1"/>
  <c r="T294" i="15"/>
  <c r="T296" i="15" s="1"/>
  <c r="T297" i="15" s="1"/>
  <c r="T309" i="15"/>
  <c r="T311" i="15" s="1"/>
  <c r="U249" i="15"/>
  <c r="U257" i="15" s="1"/>
  <c r="U261" i="15" s="1"/>
  <c r="U263" i="15" s="1"/>
  <c r="U267" i="15" s="1"/>
  <c r="U269" i="15" s="1"/>
  <c r="BB331" i="23" l="1"/>
  <c r="BB286" i="23"/>
  <c r="BB288" i="23" s="1"/>
  <c r="BB289" i="23" s="1"/>
  <c r="BB292" i="23"/>
  <c r="BB294" i="23" s="1"/>
  <c r="BB295" i="23" s="1"/>
  <c r="T316" i="15"/>
  <c r="T315" i="15" s="1"/>
  <c r="T322" i="15"/>
  <c r="T324" i="15" s="1"/>
  <c r="T328" i="15"/>
  <c r="T330" i="15" s="1"/>
  <c r="T331" i="15" s="1"/>
  <c r="U270" i="15"/>
  <c r="V268" i="15" s="1"/>
  <c r="U273" i="15"/>
  <c r="U275" i="15" s="1"/>
  <c r="U264" i="15"/>
  <c r="V262" i="15" s="1"/>
  <c r="BC203" i="23" l="1"/>
  <c r="BB297" i="23"/>
  <c r="T333" i="15"/>
  <c r="T325" i="15"/>
  <c r="T334" i="15" s="1"/>
  <c r="V226" i="15"/>
  <c r="V305" i="15" s="1"/>
  <c r="U276" i="15"/>
  <c r="V274" i="15" s="1"/>
  <c r="U279" i="15"/>
  <c r="U281" i="15" s="1"/>
  <c r="U282" i="15" s="1"/>
  <c r="V280" i="15" s="1"/>
  <c r="V174" i="15" l="1"/>
  <c r="BC225" i="23"/>
  <c r="BC227" i="23" s="1"/>
  <c r="BC231" i="23" s="1"/>
  <c r="BC233" i="23" s="1"/>
  <c r="BC311" i="23"/>
  <c r="BC262" i="23"/>
  <c r="BC264" i="23" s="1"/>
  <c r="BC268" i="23" s="1"/>
  <c r="BB299" i="23"/>
  <c r="BB322" i="23" s="1"/>
  <c r="BB303" i="23"/>
  <c r="BB334" i="23" s="1"/>
  <c r="BB336" i="23" s="1"/>
  <c r="V303" i="15"/>
  <c r="V313" i="15"/>
  <c r="V253" i="15"/>
  <c r="U285" i="15"/>
  <c r="U287" i="15" s="1"/>
  <c r="BB340" i="23" l="1"/>
  <c r="BB337" i="23"/>
  <c r="BC313" i="23"/>
  <c r="BC315" i="23"/>
  <c r="BB305" i="23"/>
  <c r="BB306" i="23" s="1"/>
  <c r="BC234" i="23"/>
  <c r="BD232" i="23" s="1"/>
  <c r="BC269" i="23"/>
  <c r="BC237" i="23"/>
  <c r="BC239" i="23" s="1"/>
  <c r="U288" i="15"/>
  <c r="V286" i="15" s="1"/>
  <c r="U291" i="15"/>
  <c r="U309" i="15" s="1"/>
  <c r="BB342" i="23" l="1"/>
  <c r="BC319" i="23"/>
  <c r="BC321" i="23" s="1"/>
  <c r="BC243" i="23"/>
  <c r="BC245" i="23" s="1"/>
  <c r="BC255" i="23" s="1"/>
  <c r="BC257" i="23" s="1"/>
  <c r="BC275" i="23"/>
  <c r="BC240" i="23"/>
  <c r="BD238" i="23" s="1"/>
  <c r="BC270" i="23"/>
  <c r="BC271" i="23" s="1"/>
  <c r="U294" i="15"/>
  <c r="V249" i="15"/>
  <c r="V257" i="15" s="1"/>
  <c r="U311" i="15"/>
  <c r="V261" i="15" l="1"/>
  <c r="V263" i="15" s="1"/>
  <c r="V264" i="15" s="1"/>
  <c r="W262" i="15" s="1"/>
  <c r="BB343" i="23"/>
  <c r="BB346" i="23" s="1"/>
  <c r="BB345" i="23"/>
  <c r="BC249" i="23"/>
  <c r="BC251" i="23" s="1"/>
  <c r="BC252" i="23" s="1"/>
  <c r="BD250" i="23" s="1"/>
  <c r="BC274" i="23"/>
  <c r="BC276" i="23" s="1"/>
  <c r="BC280" i="23" s="1"/>
  <c r="BC293" i="23"/>
  <c r="BC258" i="23"/>
  <c r="BD256" i="23" s="1"/>
  <c r="BC246" i="23"/>
  <c r="BD244" i="23" s="1"/>
  <c r="BC281" i="23"/>
  <c r="U316" i="15"/>
  <c r="U315" i="15" s="1"/>
  <c r="U322" i="15"/>
  <c r="U324" i="15" s="1"/>
  <c r="U328" i="15"/>
  <c r="U330" i="15" s="1"/>
  <c r="U331" i="15" s="1"/>
  <c r="U296" i="15"/>
  <c r="U297" i="15" s="1"/>
  <c r="V267" i="15" l="1"/>
  <c r="V269" i="15" s="1"/>
  <c r="BC260" i="23"/>
  <c r="BC317" i="23" s="1"/>
  <c r="BC287" i="23"/>
  <c r="BC282" i="23"/>
  <c r="BC292" i="23" s="1"/>
  <c r="BC294" i="23" s="1"/>
  <c r="BC277" i="23"/>
  <c r="U333" i="15"/>
  <c r="U325" i="15"/>
  <c r="U334" i="15" s="1"/>
  <c r="V270" i="15" l="1"/>
  <c r="W268" i="15" s="1"/>
  <c r="V273" i="15"/>
  <c r="V275" i="15" s="1"/>
  <c r="BC302" i="23"/>
  <c r="BC328" i="23" s="1"/>
  <c r="BC330" i="23" s="1"/>
  <c r="BC286" i="23"/>
  <c r="BC288" i="23" s="1"/>
  <c r="BC289" i="23" s="1"/>
  <c r="BC283" i="23"/>
  <c r="BC295" i="23"/>
  <c r="BD203" i="23"/>
  <c r="BD311" i="23" s="1"/>
  <c r="V276" i="15" l="1"/>
  <c r="W274" i="15" s="1"/>
  <c r="W226" i="15"/>
  <c r="W307" i="15" s="1"/>
  <c r="V279" i="15"/>
  <c r="V281" i="15" s="1"/>
  <c r="V282" i="15" s="1"/>
  <c r="W280" i="15" s="1"/>
  <c r="BC331" i="23"/>
  <c r="BC297" i="23"/>
  <c r="BD313" i="23"/>
  <c r="BD315" i="23"/>
  <c r="BD262" i="23"/>
  <c r="BD264" i="23" s="1"/>
  <c r="BD225" i="23"/>
  <c r="BD227" i="23" s="1"/>
  <c r="W305" i="15" l="1"/>
  <c r="W303" i="15"/>
  <c r="W174" i="15"/>
  <c r="V285" i="15"/>
  <c r="V287" i="15" s="1"/>
  <c r="V288" i="15" s="1"/>
  <c r="W286" i="15" s="1"/>
  <c r="W313" i="15"/>
  <c r="W253" i="15"/>
  <c r="BC299" i="23"/>
  <c r="BC322" i="23" s="1"/>
  <c r="BC303" i="23"/>
  <c r="BC334" i="23" s="1"/>
  <c r="BC336" i="23" s="1"/>
  <c r="BD319" i="23"/>
  <c r="BD321" i="23" s="1"/>
  <c r="BD231" i="23"/>
  <c r="BD233" i="23" s="1"/>
  <c r="BD237" i="23" s="1"/>
  <c r="BD239" i="23" s="1"/>
  <c r="BD243" i="23" s="1"/>
  <c r="BD245" i="23" s="1"/>
  <c r="BD268" i="23"/>
  <c r="V291" i="15" l="1"/>
  <c r="W249" i="15" s="1"/>
  <c r="W257" i="15" s="1"/>
  <c r="BC340" i="23"/>
  <c r="BC305" i="23"/>
  <c r="BC306" i="23" s="1"/>
  <c r="BC337" i="23"/>
  <c r="BD246" i="23"/>
  <c r="BE244" i="23" s="1"/>
  <c r="BD281" i="23"/>
  <c r="BD249" i="23"/>
  <c r="BD251" i="23" s="1"/>
  <c r="BD240" i="23"/>
  <c r="BE238" i="23" s="1"/>
  <c r="BD275" i="23"/>
  <c r="BD255" i="23"/>
  <c r="BD257" i="23" s="1"/>
  <c r="BD234" i="23"/>
  <c r="BE232" i="23" s="1"/>
  <c r="BD269" i="23"/>
  <c r="X303" i="15"/>
  <c r="V294" i="15" l="1"/>
  <c r="V296" i="15" s="1"/>
  <c r="V297" i="15" s="1"/>
  <c r="V309" i="15"/>
  <c r="V311" i="15" s="1"/>
  <c r="V316" i="15" s="1"/>
  <c r="V315" i="15" s="1"/>
  <c r="W261" i="15"/>
  <c r="W263" i="15" s="1"/>
  <c r="BC342" i="23"/>
  <c r="BD260" i="23"/>
  <c r="BD252" i="23"/>
  <c r="BE250" i="23" s="1"/>
  <c r="BD287" i="23"/>
  <c r="BD293" i="23"/>
  <c r="BD258" i="23"/>
  <c r="BE256" i="23" s="1"/>
  <c r="BD270" i="23"/>
  <c r="V328" i="15" l="1"/>
  <c r="V330" i="15" s="1"/>
  <c r="V331" i="15" s="1"/>
  <c r="V322" i="15"/>
  <c r="V324" i="15" s="1"/>
  <c r="W267" i="15"/>
  <c r="W269" i="15" s="1"/>
  <c r="W270" i="15" s="1"/>
  <c r="X268" i="15" s="1"/>
  <c r="W264" i="15"/>
  <c r="X262" i="15" s="1"/>
  <c r="BC343" i="23"/>
  <c r="BC346" i="23" s="1"/>
  <c r="BC345" i="23"/>
  <c r="BD302" i="23"/>
  <c r="BD328" i="23" s="1"/>
  <c r="BD317" i="23"/>
  <c r="BD274" i="23"/>
  <c r="BD276" i="23" s="1"/>
  <c r="BD277" i="23" s="1"/>
  <c r="BD271" i="23"/>
  <c r="V333" i="15" l="1"/>
  <c r="V325" i="15"/>
  <c r="V334" i="15" s="1"/>
  <c r="W273" i="15"/>
  <c r="W275" i="15" s="1"/>
  <c r="W276" i="15" s="1"/>
  <c r="X274" i="15" s="1"/>
  <c r="BD330" i="23"/>
  <c r="BD280" i="23"/>
  <c r="BD282" i="23" s="1"/>
  <c r="BD283" i="23" s="1"/>
  <c r="W279" i="15" l="1"/>
  <c r="W281" i="15" s="1"/>
  <c r="W282" i="15" s="1"/>
  <c r="X280" i="15" s="1"/>
  <c r="X226" i="15"/>
  <c r="X307" i="15" s="1"/>
  <c r="BD331" i="23"/>
  <c r="BD286" i="23"/>
  <c r="BD288" i="23" s="1"/>
  <c r="BD292" i="23"/>
  <c r="BD294" i="23" s="1"/>
  <c r="X174" i="15" l="1"/>
  <c r="P90" i="25" s="1" a="1"/>
  <c r="P90" i="25" s="1"/>
  <c r="X305" i="15"/>
  <c r="X253" i="15"/>
  <c r="X313" i="15"/>
  <c r="W285" i="15"/>
  <c r="W287" i="15" s="1"/>
  <c r="BE203" i="23"/>
  <c r="BE311" i="23" s="1"/>
  <c r="BD295" i="23"/>
  <c r="BD297" i="23"/>
  <c r="BD289" i="23"/>
  <c r="P23" i="25" l="1" a="1"/>
  <c r="P23" i="25" s="1"/>
  <c r="W288" i="15"/>
  <c r="X286" i="15" s="1"/>
  <c r="W291" i="15"/>
  <c r="BE313" i="23"/>
  <c r="BE315" i="23"/>
  <c r="BD299" i="23"/>
  <c r="BD322" i="23" s="1"/>
  <c r="BD303" i="23"/>
  <c r="BD334" i="23" s="1"/>
  <c r="BD336" i="23" s="1"/>
  <c r="BE225" i="23"/>
  <c r="BE227" i="23" s="1"/>
  <c r="BE262" i="23"/>
  <c r="BE264" i="23" s="1"/>
  <c r="Y303" i="15"/>
  <c r="W294" i="15" l="1"/>
  <c r="W309" i="15"/>
  <c r="W311" i="15" s="1"/>
  <c r="W316" i="15" s="1"/>
  <c r="W315" i="15" s="1"/>
  <c r="X249" i="15"/>
  <c r="X257" i="15" s="1"/>
  <c r="X261" i="15" s="1"/>
  <c r="X263" i="15" s="1"/>
  <c r="X267" i="15" s="1"/>
  <c r="X269" i="15" s="1"/>
  <c r="X270" i="15" s="1"/>
  <c r="Y268" i="15" s="1"/>
  <c r="BD340" i="23"/>
  <c r="BD337" i="23"/>
  <c r="BE319" i="23"/>
  <c r="BE321" i="23" s="1"/>
  <c r="BD305" i="23"/>
  <c r="BD306" i="23" s="1"/>
  <c r="BE268" i="23"/>
  <c r="BE231" i="23"/>
  <c r="BE233" i="23" s="1"/>
  <c r="X264" i="15" l="1"/>
  <c r="Y262" i="15" s="1"/>
  <c r="X273" i="15"/>
  <c r="X275" i="15" s="1"/>
  <c r="Y226" i="15" s="1"/>
  <c r="Y307" i="15" s="1"/>
  <c r="W328" i="15"/>
  <c r="W330" i="15" s="1"/>
  <c r="W331" i="15" s="1"/>
  <c r="W322" i="15"/>
  <c r="W324" i="15" s="1"/>
  <c r="W296" i="15"/>
  <c r="W297" i="15" s="1"/>
  <c r="BD342" i="23"/>
  <c r="BE237" i="23"/>
  <c r="BE239" i="23" s="1"/>
  <c r="BE234" i="23"/>
  <c r="BF232" i="23" s="1"/>
  <c r="BE269" i="23"/>
  <c r="Y174" i="15" l="1"/>
  <c r="Y305" i="15"/>
  <c r="X279" i="15"/>
  <c r="X281" i="15" s="1"/>
  <c r="X282" i="15" s="1"/>
  <c r="Y280" i="15" s="1"/>
  <c r="X276" i="15"/>
  <c r="Y274" i="15" s="1"/>
  <c r="W333" i="15"/>
  <c r="W325" i="15"/>
  <c r="W334" i="15" s="1"/>
  <c r="Y313" i="15"/>
  <c r="Y253" i="15"/>
  <c r="BD343" i="23"/>
  <c r="BD346" i="23" s="1"/>
  <c r="BD345" i="23"/>
  <c r="BE270" i="23"/>
  <c r="BE271" i="23" s="1"/>
  <c r="BE240" i="23"/>
  <c r="BF238" i="23" s="1"/>
  <c r="BE275" i="23"/>
  <c r="BE243" i="23"/>
  <c r="BE245" i="23" s="1"/>
  <c r="BE249" i="23" s="1"/>
  <c r="BE251" i="23" s="1"/>
  <c r="X285" i="15" l="1"/>
  <c r="X287" i="15" s="1"/>
  <c r="X288" i="15" s="1"/>
  <c r="Y286" i="15" s="1"/>
  <c r="BE255" i="23"/>
  <c r="BE257" i="23" s="1"/>
  <c r="BE260" i="23" s="1"/>
  <c r="BE246" i="23"/>
  <c r="BF244" i="23" s="1"/>
  <c r="BE281" i="23"/>
  <c r="BE252" i="23"/>
  <c r="BF250" i="23" s="1"/>
  <c r="BE287" i="23"/>
  <c r="BE274" i="23"/>
  <c r="BE276" i="23" s="1"/>
  <c r="BE277" i="23" s="1"/>
  <c r="X291" i="15" l="1"/>
  <c r="X294" i="15" s="1"/>
  <c r="BE258" i="23"/>
  <c r="BF256" i="23" s="1"/>
  <c r="BE302" i="23"/>
  <c r="BE328" i="23" s="1"/>
  <c r="BE317" i="23"/>
  <c r="BE293" i="23"/>
  <c r="BE280" i="23"/>
  <c r="BE282" i="23" s="1"/>
  <c r="X309" i="15" l="1"/>
  <c r="X311" i="15" s="1"/>
  <c r="X322" i="15" s="1"/>
  <c r="X324" i="15" s="1"/>
  <c r="Y249" i="15"/>
  <c r="Y257" i="15" s="1"/>
  <c r="Y261" i="15" s="1"/>
  <c r="Y263" i="15" s="1"/>
  <c r="Y267" i="15" s="1"/>
  <c r="Y269" i="15" s="1"/>
  <c r="Y270" i="15" s="1"/>
  <c r="Z268" i="15" s="1"/>
  <c r="X328" i="15"/>
  <c r="X330" i="15" s="1"/>
  <c r="X331" i="15" s="1"/>
  <c r="X296" i="15"/>
  <c r="X297" i="15" s="1"/>
  <c r="BE330" i="23"/>
  <c r="BE292" i="23"/>
  <c r="BE294" i="23" s="1"/>
  <c r="BE295" i="23" s="1"/>
  <c r="BE286" i="23"/>
  <c r="BE288" i="23" s="1"/>
  <c r="BE283" i="23"/>
  <c r="Z303" i="15"/>
  <c r="Z257" i="15"/>
  <c r="Z261" i="15" s="1"/>
  <c r="X316" i="15" l="1"/>
  <c r="X315" i="15" s="1"/>
  <c r="X325" i="15"/>
  <c r="X334" i="15" s="1"/>
  <c r="X333" i="15"/>
  <c r="Y264" i="15"/>
  <c r="Z262" i="15" s="1"/>
  <c r="Z263" i="15" s="1"/>
  <c r="Y273" i="15"/>
  <c r="Y275" i="15" s="1"/>
  <c r="BE331" i="23"/>
  <c r="BF203" i="23"/>
  <c r="BF311" i="23" s="1"/>
  <c r="BE297" i="23"/>
  <c r="BE289" i="23"/>
  <c r="Z264" i="15" l="1"/>
  <c r="AA262" i="15" s="1"/>
  <c r="Z267" i="15"/>
  <c r="Z269" i="15" s="1"/>
  <c r="Z273" i="15" s="1"/>
  <c r="Z226" i="15"/>
  <c r="Z307" i="15" s="1"/>
  <c r="Y276" i="15"/>
  <c r="Z274" i="15" s="1"/>
  <c r="Y279" i="15"/>
  <c r="Y281" i="15" s="1"/>
  <c r="BF225" i="23"/>
  <c r="BF227" i="23" s="1"/>
  <c r="BF231" i="23" s="1"/>
  <c r="BF233" i="23" s="1"/>
  <c r="BF237" i="23" s="1"/>
  <c r="BF239" i="23" s="1"/>
  <c r="BF262" i="23"/>
  <c r="BF264" i="23" s="1"/>
  <c r="BF268" i="23" s="1"/>
  <c r="BF313" i="23"/>
  <c r="BF315" i="23"/>
  <c r="BE299" i="23"/>
  <c r="BE322" i="23" s="1"/>
  <c r="BE303" i="23"/>
  <c r="BE334" i="23" s="1"/>
  <c r="BE336" i="23" s="1"/>
  <c r="Z174" i="15" l="1"/>
  <c r="Z305" i="15"/>
  <c r="Z270" i="15"/>
  <c r="AA268" i="15" s="1"/>
  <c r="Z275" i="15"/>
  <c r="Z279" i="15" s="1"/>
  <c r="Z313" i="15"/>
  <c r="Z253" i="15"/>
  <c r="Y282" i="15"/>
  <c r="Z280" i="15" s="1"/>
  <c r="Y285" i="15"/>
  <c r="Y287" i="15" s="1"/>
  <c r="BE340" i="23"/>
  <c r="BE337" i="23"/>
  <c r="BF319" i="23"/>
  <c r="BF321" i="23" s="1"/>
  <c r="BE305" i="23"/>
  <c r="BE306" i="23" s="1"/>
  <c r="BF240" i="23"/>
  <c r="BG238" i="23" s="1"/>
  <c r="BF275" i="23"/>
  <c r="BF243" i="23"/>
  <c r="BF245" i="23" s="1"/>
  <c r="BF255" i="23" s="1"/>
  <c r="BF257" i="23" s="1"/>
  <c r="BF234" i="23"/>
  <c r="BG232" i="23" s="1"/>
  <c r="BF269" i="23"/>
  <c r="Z276" i="15" l="1"/>
  <c r="AA274" i="15" s="1"/>
  <c r="AA226" i="15"/>
  <c r="Z281" i="15"/>
  <c r="Z285" i="15" s="1"/>
  <c r="Y288" i="15"/>
  <c r="Z286" i="15" s="1"/>
  <c r="Y291" i="15"/>
  <c r="BE342" i="23"/>
  <c r="BF246" i="23"/>
  <c r="BG244" i="23" s="1"/>
  <c r="BF281" i="23"/>
  <c r="BF270" i="23"/>
  <c r="BF249" i="23"/>
  <c r="BF251" i="23" s="1"/>
  <c r="BF293" i="23"/>
  <c r="BF258" i="23"/>
  <c r="BG256" i="23" s="1"/>
  <c r="AA303" i="15"/>
  <c r="AA305" i="15" l="1"/>
  <c r="AA307" i="15"/>
  <c r="AA253" i="15"/>
  <c r="AA174" i="15"/>
  <c r="AA313" i="15"/>
  <c r="Z287" i="15"/>
  <c r="Z288" i="15" s="1"/>
  <c r="AA286" i="15" s="1"/>
  <c r="Z282" i="15"/>
  <c r="AA280" i="15" s="1"/>
  <c r="Y294" i="15"/>
  <c r="Z249" i="15"/>
  <c r="Y309" i="15"/>
  <c r="Y311" i="15" s="1"/>
  <c r="BE343" i="23"/>
  <c r="BE346" i="23" s="1"/>
  <c r="BE345" i="23"/>
  <c r="BF274" i="23"/>
  <c r="BF276" i="23" s="1"/>
  <c r="BF252" i="23"/>
  <c r="BG250" i="23" s="1"/>
  <c r="BF260" i="23"/>
  <c r="BF287" i="23"/>
  <c r="BF271" i="23"/>
  <c r="AA257" i="15"/>
  <c r="Z291" i="15" l="1"/>
  <c r="Z309" i="15" s="1"/>
  <c r="Z311" i="15" s="1"/>
  <c r="Y316" i="15"/>
  <c r="Y315" i="15" s="1"/>
  <c r="Y328" i="15"/>
  <c r="Y330" i="15" s="1"/>
  <c r="Y331" i="15" s="1"/>
  <c r="Y296" i="15"/>
  <c r="Y297" i="15" s="1"/>
  <c r="Y322" i="15"/>
  <c r="BF302" i="23"/>
  <c r="BF328" i="23" s="1"/>
  <c r="BF317" i="23"/>
  <c r="BF280" i="23"/>
  <c r="BF282" i="23" s="1"/>
  <c r="BF277" i="23"/>
  <c r="AA261" i="15"/>
  <c r="AA263" i="15" s="1"/>
  <c r="AA249" i="15" l="1"/>
  <c r="Z294" i="15"/>
  <c r="Z296" i="15" s="1"/>
  <c r="Z297" i="15" s="1"/>
  <c r="Y324" i="15"/>
  <c r="Y333" i="15" s="1"/>
  <c r="BF330" i="23"/>
  <c r="BF292" i="23"/>
  <c r="BF294" i="23" s="1"/>
  <c r="BF286" i="23"/>
  <c r="BF288" i="23" s="1"/>
  <c r="BF283" i="23"/>
  <c r="Z316" i="15"/>
  <c r="Z315" i="15" s="1"/>
  <c r="AA264" i="15"/>
  <c r="AB262" i="15" s="1"/>
  <c r="AA267" i="15"/>
  <c r="AA269" i="15" s="1"/>
  <c r="Z328" i="15" l="1"/>
  <c r="Z330" i="15" s="1"/>
  <c r="Z331" i="15" s="1"/>
  <c r="Z322" i="15"/>
  <c r="Z324" i="15" s="1"/>
  <c r="Y325" i="15"/>
  <c r="Y334" i="15" s="1"/>
  <c r="BF331" i="23"/>
  <c r="BF289" i="23"/>
  <c r="BF297" i="23"/>
  <c r="BG203" i="23"/>
  <c r="BG311" i="23" s="1"/>
  <c r="BF295" i="23"/>
  <c r="AA270" i="15"/>
  <c r="AB268" i="15" s="1"/>
  <c r="AA273" i="15"/>
  <c r="AA275" i="15" s="1"/>
  <c r="AB226" i="15" s="1"/>
  <c r="AB307" i="15" s="1"/>
  <c r="Z333" i="15" l="1"/>
  <c r="AB174" i="15"/>
  <c r="AB305" i="15"/>
  <c r="Z325" i="15"/>
  <c r="Z334" i="15" s="1"/>
  <c r="BG313" i="23"/>
  <c r="BG315" i="23"/>
  <c r="BF299" i="23"/>
  <c r="BF322" i="23" s="1"/>
  <c r="BF303" i="23"/>
  <c r="BF334" i="23" s="1"/>
  <c r="BF336" i="23" s="1"/>
  <c r="BG225" i="23"/>
  <c r="BG227" i="23" s="1"/>
  <c r="BG262" i="23"/>
  <c r="BG264" i="23" s="1"/>
  <c r="AB303" i="15"/>
  <c r="AB313" i="15"/>
  <c r="AB253" i="15"/>
  <c r="AA279" i="15"/>
  <c r="AA281" i="15" s="1"/>
  <c r="AA276" i="15"/>
  <c r="AB274" i="15" s="1"/>
  <c r="BF340" i="23" l="1"/>
  <c r="BF337" i="23"/>
  <c r="BG319" i="23"/>
  <c r="BG321" i="23" s="1"/>
  <c r="BF305" i="23"/>
  <c r="BF306" i="23" s="1"/>
  <c r="BG268" i="23"/>
  <c r="BG231" i="23"/>
  <c r="BG233" i="23" s="1"/>
  <c r="BG237" i="23" s="1"/>
  <c r="BG239" i="23" s="1"/>
  <c r="BG243" i="23" s="1"/>
  <c r="BG245" i="23" s="1"/>
  <c r="AA285" i="15"/>
  <c r="AA287" i="15" s="1"/>
  <c r="AA282" i="15"/>
  <c r="AB280" i="15" s="1"/>
  <c r="BF342" i="23" l="1"/>
  <c r="BG246" i="23"/>
  <c r="BH244" i="23" s="1"/>
  <c r="BG281" i="23"/>
  <c r="BG249" i="23"/>
  <c r="BG251" i="23" s="1"/>
  <c r="BG240" i="23"/>
  <c r="BH238" i="23" s="1"/>
  <c r="BG275" i="23"/>
  <c r="BG255" i="23"/>
  <c r="BG257" i="23" s="1"/>
  <c r="BG234" i="23"/>
  <c r="BH232" i="23" s="1"/>
  <c r="BG269" i="23"/>
  <c r="AA288" i="15"/>
  <c r="AB286" i="15" s="1"/>
  <c r="AA291" i="15"/>
  <c r="AA309" i="15" s="1"/>
  <c r="AB257" i="15"/>
  <c r="AB261" i="15" s="1"/>
  <c r="AB263" i="15" s="1"/>
  <c r="BF343" i="23" l="1"/>
  <c r="BF346" i="23" s="1"/>
  <c r="BF345" i="23"/>
  <c r="BG260" i="23"/>
  <c r="BG252" i="23"/>
  <c r="BH250" i="23" s="1"/>
  <c r="BG287" i="23"/>
  <c r="BG293" i="23"/>
  <c r="BG258" i="23"/>
  <c r="BH256" i="23" s="1"/>
  <c r="BG270" i="23"/>
  <c r="BG271" i="23" s="1"/>
  <c r="AA311" i="15"/>
  <c r="AB249" i="15"/>
  <c r="AA294" i="15"/>
  <c r="AB264" i="15"/>
  <c r="AC262" i="15" s="1"/>
  <c r="AB267" i="15"/>
  <c r="AB269" i="15" s="1"/>
  <c r="AB270" i="15" s="1"/>
  <c r="AC268" i="15" s="1"/>
  <c r="BG302" i="23" l="1"/>
  <c r="BG328" i="23" s="1"/>
  <c r="BG317" i="23"/>
  <c r="BG274" i="23"/>
  <c r="BG276" i="23" s="1"/>
  <c r="AA316" i="15"/>
  <c r="AA315" i="15" s="1"/>
  <c r="AA328" i="15"/>
  <c r="AA330" i="15" s="1"/>
  <c r="AA331" i="15" s="1"/>
  <c r="AA322" i="15"/>
  <c r="AA324" i="15" s="1"/>
  <c r="AA296" i="15"/>
  <c r="AA297" i="15" s="1"/>
  <c r="AB273" i="15"/>
  <c r="AB275" i="15" s="1"/>
  <c r="BG330" i="23" l="1"/>
  <c r="BG280" i="23"/>
  <c r="BG282" i="23" s="1"/>
  <c r="BG277" i="23"/>
  <c r="AA333" i="15"/>
  <c r="AA325" i="15"/>
  <c r="AA334" i="15" s="1"/>
  <c r="AC226" i="15"/>
  <c r="AB276" i="15"/>
  <c r="AC274" i="15" s="1"/>
  <c r="AB279" i="15"/>
  <c r="AB281" i="15" s="1"/>
  <c r="AC305" i="15" l="1"/>
  <c r="AC307" i="15"/>
  <c r="AC174" i="15"/>
  <c r="AC313" i="15"/>
  <c r="BG331" i="23"/>
  <c r="BG283" i="23"/>
  <c r="BG286" i="23"/>
  <c r="BG288" i="23" s="1"/>
  <c r="BG292" i="23"/>
  <c r="BG294" i="23" s="1"/>
  <c r="AC253" i="15"/>
  <c r="AC303" i="15"/>
  <c r="AB285" i="15"/>
  <c r="AB287" i="15" s="1"/>
  <c r="AB282" i="15"/>
  <c r="AC280" i="15" s="1"/>
  <c r="BH203" i="23" l="1"/>
  <c r="BH311" i="23" s="1"/>
  <c r="BG295" i="23"/>
  <c r="BG289" i="23"/>
  <c r="BG297" i="23"/>
  <c r="AB288" i="15"/>
  <c r="AC286" i="15" s="1"/>
  <c r="AB291" i="15"/>
  <c r="AB294" i="15" s="1"/>
  <c r="BH313" i="23" l="1"/>
  <c r="BH315" i="23"/>
  <c r="BG299" i="23"/>
  <c r="BG322" i="23" s="1"/>
  <c r="BG303" i="23"/>
  <c r="BG334" i="23" s="1"/>
  <c r="BG336" i="23" s="1"/>
  <c r="BH262" i="23"/>
  <c r="BH264" i="23" s="1"/>
  <c r="BH225" i="23"/>
  <c r="BH227" i="23" s="1"/>
  <c r="AC249" i="15"/>
  <c r="AC257" i="15" s="1"/>
  <c r="AC261" i="15" s="1"/>
  <c r="AC263" i="15" s="1"/>
  <c r="AB309" i="15"/>
  <c r="AB311" i="15" s="1"/>
  <c r="AB296" i="15"/>
  <c r="AB297" i="15" s="1"/>
  <c r="AB328" i="15"/>
  <c r="BG340" i="23" l="1"/>
  <c r="BG337" i="23"/>
  <c r="BH319" i="23"/>
  <c r="BH321" i="23" s="1"/>
  <c r="BG305" i="23"/>
  <c r="BG306" i="23" s="1"/>
  <c r="BH231" i="23"/>
  <c r="BH233" i="23" s="1"/>
  <c r="BH237" i="23" s="1"/>
  <c r="BH239" i="23" s="1"/>
  <c r="BH243" i="23" s="1"/>
  <c r="BH245" i="23" s="1"/>
  <c r="BH268" i="23"/>
  <c r="AB316" i="15"/>
  <c r="AB315" i="15" s="1"/>
  <c r="AB322" i="15"/>
  <c r="AB324" i="15" s="1"/>
  <c r="AC264" i="15"/>
  <c r="AD262" i="15" s="1"/>
  <c r="AB330" i="15"/>
  <c r="AB331" i="15" s="1"/>
  <c r="AC267" i="15"/>
  <c r="AC269" i="15" s="1"/>
  <c r="AC270" i="15" s="1"/>
  <c r="AD268" i="15" s="1"/>
  <c r="BG342" i="23" l="1"/>
  <c r="BH246" i="23"/>
  <c r="BI244" i="23" s="1"/>
  <c r="BH281" i="23"/>
  <c r="BH249" i="23"/>
  <c r="BH251" i="23" s="1"/>
  <c r="BH275" i="23"/>
  <c r="BH240" i="23"/>
  <c r="BI238" i="23" s="1"/>
  <c r="BH255" i="23"/>
  <c r="BH257" i="23" s="1"/>
  <c r="BH234" i="23"/>
  <c r="BI232" i="23" s="1"/>
  <c r="BH269" i="23"/>
  <c r="AB333" i="15"/>
  <c r="AB325" i="15"/>
  <c r="AB334" i="15" s="1"/>
  <c r="AC273" i="15"/>
  <c r="AC275" i="15" s="1"/>
  <c r="AD226" i="15" s="1"/>
  <c r="AD307" i="15" s="1"/>
  <c r="AD174" i="15" l="1"/>
  <c r="AD305" i="15"/>
  <c r="BG343" i="23"/>
  <c r="BG346" i="23" s="1"/>
  <c r="BG345" i="23"/>
  <c r="BH260" i="23"/>
  <c r="BH252" i="23"/>
  <c r="BI250" i="23" s="1"/>
  <c r="BH287" i="23"/>
  <c r="BH293" i="23"/>
  <c r="BH258" i="23"/>
  <c r="BI256" i="23" s="1"/>
  <c r="BH270" i="23"/>
  <c r="BH271" i="23" s="1"/>
  <c r="AD303" i="15"/>
  <c r="AD313" i="15"/>
  <c r="AD253" i="15"/>
  <c r="AC276" i="15"/>
  <c r="AD274" i="15" s="1"/>
  <c r="AC279" i="15"/>
  <c r="AC281" i="15" s="1"/>
  <c r="BH302" i="23" l="1"/>
  <c r="BH328" i="23" s="1"/>
  <c r="BH330" i="23" s="1"/>
  <c r="BH317" i="23"/>
  <c r="BH274" i="23"/>
  <c r="BH276" i="23" s="1"/>
  <c r="BH277" i="23" s="1"/>
  <c r="AC285" i="15"/>
  <c r="AC287" i="15" s="1"/>
  <c r="AC282" i="15"/>
  <c r="AD280" i="15" s="1"/>
  <c r="BH331" i="23" l="1"/>
  <c r="BH280" i="23"/>
  <c r="BH282" i="23" s="1"/>
  <c r="BH283" i="23" s="1"/>
  <c r="AC288" i="15"/>
  <c r="AD286" i="15" s="1"/>
  <c r="AC291" i="15"/>
  <c r="BH292" i="23" l="1"/>
  <c r="BH294" i="23" s="1"/>
  <c r="BI203" i="23" s="1"/>
  <c r="BI311" i="23" s="1"/>
  <c r="BH286" i="23"/>
  <c r="BH288" i="23" s="1"/>
  <c r="AC309" i="15"/>
  <c r="AC311" i="15" s="1"/>
  <c r="AC294" i="15"/>
  <c r="AC296" i="15" s="1"/>
  <c r="AC297" i="15" s="1"/>
  <c r="AD249" i="15"/>
  <c r="AD257" i="15" s="1"/>
  <c r="AD261" i="15" s="1"/>
  <c r="AD263" i="15" s="1"/>
  <c r="BI313" i="23" l="1"/>
  <c r="BI315" i="23"/>
  <c r="BH295" i="23"/>
  <c r="BH297" i="23"/>
  <c r="BH289" i="23"/>
  <c r="BI262" i="23"/>
  <c r="BI264" i="23" s="1"/>
  <c r="BI225" i="23"/>
  <c r="BI227" i="23" s="1"/>
  <c r="AC316" i="15"/>
  <c r="AC315" i="15" s="1"/>
  <c r="AC328" i="15"/>
  <c r="AC330" i="15" s="1"/>
  <c r="AC331" i="15" s="1"/>
  <c r="AC322" i="15"/>
  <c r="AC324" i="15" s="1"/>
  <c r="AD264" i="15"/>
  <c r="AE262" i="15" s="1"/>
  <c r="AD267" i="15"/>
  <c r="AD269" i="15" s="1"/>
  <c r="AD273" i="15" s="1"/>
  <c r="AD275" i="15" s="1"/>
  <c r="AE226" i="15" s="1"/>
  <c r="AE307" i="15" s="1"/>
  <c r="AE174" i="15" l="1"/>
  <c r="AE305" i="15"/>
  <c r="BI319" i="23"/>
  <c r="BI321" i="23" s="1"/>
  <c r="BH299" i="23"/>
  <c r="BH322" i="23" s="1"/>
  <c r="BH303" i="23"/>
  <c r="BH334" i="23" s="1"/>
  <c r="BH336" i="23" s="1"/>
  <c r="BI231" i="23"/>
  <c r="BI233" i="23" s="1"/>
  <c r="BI237" i="23" s="1"/>
  <c r="BI239" i="23" s="1"/>
  <c r="BI243" i="23" s="1"/>
  <c r="BI245" i="23" s="1"/>
  <c r="BI268" i="23"/>
  <c r="AE303" i="15"/>
  <c r="AE313" i="15"/>
  <c r="AE253" i="15"/>
  <c r="AD276" i="15"/>
  <c r="AE274" i="15" s="1"/>
  <c r="AC333" i="15"/>
  <c r="AC325" i="15"/>
  <c r="AC334" i="15" s="1"/>
  <c r="AD270" i="15"/>
  <c r="AE268" i="15" s="1"/>
  <c r="AD279" i="15"/>
  <c r="AD281" i="15" s="1"/>
  <c r="BH340" i="23" l="1"/>
  <c r="BH337" i="23"/>
  <c r="BH305" i="23"/>
  <c r="BH306" i="23" s="1"/>
  <c r="BI246" i="23"/>
  <c r="BJ244" i="23" s="1"/>
  <c r="BI281" i="23"/>
  <c r="BI255" i="23"/>
  <c r="BI257" i="23" s="1"/>
  <c r="BI240" i="23"/>
  <c r="BJ238" i="23" s="1"/>
  <c r="BI275" i="23"/>
  <c r="BI249" i="23"/>
  <c r="BI251" i="23" s="1"/>
  <c r="BI234" i="23"/>
  <c r="BJ232" i="23" s="1"/>
  <c r="BI269" i="23"/>
  <c r="AD285" i="15"/>
  <c r="AD287" i="15" s="1"/>
  <c r="AD282" i="15"/>
  <c r="AE280" i="15" s="1"/>
  <c r="BH342" i="23" l="1"/>
  <c r="BH345" i="23" s="1"/>
  <c r="BI293" i="23"/>
  <c r="BI258" i="23"/>
  <c r="BJ256" i="23" s="1"/>
  <c r="BI260" i="23"/>
  <c r="BI252" i="23"/>
  <c r="BJ250" i="23" s="1"/>
  <c r="BI287" i="23"/>
  <c r="BI270" i="23"/>
  <c r="AD288" i="15"/>
  <c r="AE286" i="15" s="1"/>
  <c r="AD291" i="15"/>
  <c r="AD309" i="15" s="1"/>
  <c r="AD311" i="15" s="1"/>
  <c r="AD316" i="15" s="1"/>
  <c r="BH343" i="23" l="1"/>
  <c r="BH346" i="23" s="1"/>
  <c r="BI302" i="23"/>
  <c r="BI328" i="23" s="1"/>
  <c r="BI317" i="23"/>
  <c r="BI274" i="23"/>
  <c r="BI276" i="23" s="1"/>
  <c r="BI277" i="23" s="1"/>
  <c r="BI271" i="23"/>
  <c r="AD294" i="15"/>
  <c r="AD328" i="15" s="1"/>
  <c r="AD330" i="15" s="1"/>
  <c r="AD331" i="15" s="1"/>
  <c r="AE249" i="15"/>
  <c r="AE257" i="15" s="1"/>
  <c r="AE261" i="15" s="1"/>
  <c r="AE263" i="15" s="1"/>
  <c r="AD315" i="15"/>
  <c r="BI330" i="23" l="1"/>
  <c r="BI280" i="23"/>
  <c r="BI282" i="23" s="1"/>
  <c r="BI286" i="23" s="1"/>
  <c r="BI288" i="23" s="1"/>
  <c r="AD322" i="15"/>
  <c r="AD324" i="15" s="1"/>
  <c r="AD333" i="15" s="1"/>
  <c r="AD296" i="15"/>
  <c r="AD297" i="15" s="1"/>
  <c r="AE264" i="15"/>
  <c r="AF262" i="15" s="1"/>
  <c r="AE267" i="15"/>
  <c r="AE269" i="15" s="1"/>
  <c r="AE270" i="15" s="1"/>
  <c r="AF268" i="15" s="1"/>
  <c r="BI331" i="23" l="1"/>
  <c r="BI289" i="23"/>
  <c r="BI292" i="23"/>
  <c r="BI294" i="23" s="1"/>
  <c r="BI283" i="23"/>
  <c r="AE273" i="15"/>
  <c r="AE275" i="15" s="1"/>
  <c r="AE276" i="15" s="1"/>
  <c r="AF274" i="15" s="1"/>
  <c r="AD325" i="15"/>
  <c r="AD334" i="15" s="1"/>
  <c r="BJ203" i="23" l="1"/>
  <c r="BJ311" i="23" s="1"/>
  <c r="BI295" i="23"/>
  <c r="BI297" i="23"/>
  <c r="AE279" i="15"/>
  <c r="AE281" i="15" s="1"/>
  <c r="AF226" i="15"/>
  <c r="AF305" i="15" l="1"/>
  <c r="AF307" i="15"/>
  <c r="AF174" i="15"/>
  <c r="AF313" i="15"/>
  <c r="BJ313" i="23"/>
  <c r="BJ315" i="23"/>
  <c r="BI299" i="23"/>
  <c r="BI322" i="23" s="1"/>
  <c r="BI303" i="23"/>
  <c r="BI334" i="23" s="1"/>
  <c r="BI336" i="23" s="1"/>
  <c r="BJ262" i="23"/>
  <c r="BJ264" i="23" s="1"/>
  <c r="BJ225" i="23"/>
  <c r="BJ227" i="23" s="1"/>
  <c r="AF253" i="15"/>
  <c r="AF303" i="15"/>
  <c r="AE285" i="15"/>
  <c r="AE287" i="15" s="1"/>
  <c r="AE282" i="15"/>
  <c r="AF280" i="15" s="1"/>
  <c r="BI340" i="23" l="1"/>
  <c r="BI337" i="23"/>
  <c r="BJ319" i="23"/>
  <c r="BJ321" i="23" s="1"/>
  <c r="BI305" i="23"/>
  <c r="BI306" i="23" s="1"/>
  <c r="BJ231" i="23"/>
  <c r="BJ233" i="23" s="1"/>
  <c r="BJ237" i="23" s="1"/>
  <c r="BJ239" i="23" s="1"/>
  <c r="BJ268" i="23"/>
  <c r="AE288" i="15"/>
  <c r="AF286" i="15" s="1"/>
  <c r="AE291" i="15"/>
  <c r="AE309" i="15" s="1"/>
  <c r="AF257" i="15"/>
  <c r="AF261" i="15" s="1"/>
  <c r="AF263" i="15" s="1"/>
  <c r="BI342" i="23" l="1"/>
  <c r="BJ243" i="23"/>
  <c r="BJ245" i="23" s="1"/>
  <c r="BJ275" i="23"/>
  <c r="BJ240" i="23"/>
  <c r="BK238" i="23" s="1"/>
  <c r="BJ234" i="23"/>
  <c r="BK232" i="23" s="1"/>
  <c r="BJ269" i="23"/>
  <c r="AE294" i="15"/>
  <c r="AE311" i="15"/>
  <c r="AE316" i="15" s="1"/>
  <c r="AF249" i="15"/>
  <c r="AF264" i="15"/>
  <c r="AG262" i="15" s="1"/>
  <c r="AF267" i="15"/>
  <c r="AF269" i="15" s="1"/>
  <c r="AF270" i="15" s="1"/>
  <c r="AG268" i="15" s="1"/>
  <c r="BI343" i="23" l="1"/>
  <c r="BI346" i="23" s="1"/>
  <c r="BI345" i="23"/>
  <c r="BJ270" i="23"/>
  <c r="BJ271" i="23" s="1"/>
  <c r="BJ249" i="23"/>
  <c r="BJ251" i="23" s="1"/>
  <c r="BJ246" i="23"/>
  <c r="BK244" i="23" s="1"/>
  <c r="BJ281" i="23"/>
  <c r="BJ255" i="23"/>
  <c r="BJ257" i="23" s="1"/>
  <c r="AE322" i="15"/>
  <c r="AE315" i="15"/>
  <c r="AE328" i="15"/>
  <c r="AE330" i="15" s="1"/>
  <c r="AE331" i="15" s="1"/>
  <c r="AE296" i="15"/>
  <c r="AE297" i="15" s="1"/>
  <c r="AF273" i="15"/>
  <c r="AF275" i="15" s="1"/>
  <c r="AG226" i="15" s="1"/>
  <c r="AG307" i="15" s="1"/>
  <c r="AG174" i="15" l="1"/>
  <c r="AG305" i="15"/>
  <c r="BJ260" i="23"/>
  <c r="BJ252" i="23"/>
  <c r="BK250" i="23" s="1"/>
  <c r="BJ287" i="23"/>
  <c r="BJ293" i="23"/>
  <c r="BJ258" i="23"/>
  <c r="BK256" i="23" s="1"/>
  <c r="BJ274" i="23"/>
  <c r="BJ276" i="23" s="1"/>
  <c r="BJ277" i="23" s="1"/>
  <c r="AG303" i="15"/>
  <c r="AG313" i="15"/>
  <c r="AE324" i="15"/>
  <c r="AE333" i="15" s="1"/>
  <c r="AG253" i="15"/>
  <c r="AF279" i="15"/>
  <c r="AF281" i="15" s="1"/>
  <c r="AF276" i="15"/>
  <c r="AG274" i="15" s="1"/>
  <c r="BJ302" i="23" l="1"/>
  <c r="BJ328" i="23" s="1"/>
  <c r="BJ317" i="23"/>
  <c r="BJ280" i="23"/>
  <c r="BJ282" i="23" s="1"/>
  <c r="BJ286" i="23" s="1"/>
  <c r="BJ288" i="23" s="1"/>
  <c r="BJ289" i="23" s="1"/>
  <c r="AE325" i="15"/>
  <c r="AE334" i="15" s="1"/>
  <c r="AF285" i="15"/>
  <c r="AF287" i="15" s="1"/>
  <c r="AF282" i="15"/>
  <c r="AG280" i="15" s="1"/>
  <c r="BJ330" i="23" l="1"/>
  <c r="BJ292" i="23"/>
  <c r="BJ294" i="23" s="1"/>
  <c r="BJ283" i="23"/>
  <c r="AF288" i="15"/>
  <c r="AG286" i="15" s="1"/>
  <c r="AF291" i="15"/>
  <c r="AF309" i="15" s="1"/>
  <c r="BJ331" i="23" l="1"/>
  <c r="BK203" i="23"/>
  <c r="BK311" i="23" s="1"/>
  <c r="BJ295" i="23"/>
  <c r="BJ297" i="23"/>
  <c r="AF311" i="15"/>
  <c r="AG249" i="15"/>
  <c r="AG257" i="15" s="1"/>
  <c r="AG261" i="15" s="1"/>
  <c r="AG263" i="15" s="1"/>
  <c r="AG267" i="15" s="1"/>
  <c r="AG269" i="15" s="1"/>
  <c r="AG270" i="15" s="1"/>
  <c r="AH268" i="15" s="1"/>
  <c r="AF294" i="15"/>
  <c r="BK313" i="23" l="1"/>
  <c r="BK315" i="23"/>
  <c r="BJ299" i="23"/>
  <c r="BJ322" i="23" s="1"/>
  <c r="BJ303" i="23"/>
  <c r="BJ334" i="23" s="1"/>
  <c r="BJ336" i="23" s="1"/>
  <c r="BK262" i="23"/>
  <c r="BK264" i="23" s="1"/>
  <c r="BK225" i="23"/>
  <c r="BK227" i="23" s="1"/>
  <c r="AF316" i="15"/>
  <c r="AF315" i="15" s="1"/>
  <c r="AG264" i="15"/>
  <c r="AH262" i="15" s="1"/>
  <c r="AF322" i="15"/>
  <c r="AF324" i="15" s="1"/>
  <c r="AF328" i="15"/>
  <c r="AF330" i="15" s="1"/>
  <c r="AF331" i="15" s="1"/>
  <c r="AF296" i="15"/>
  <c r="AF297" i="15" s="1"/>
  <c r="AG273" i="15"/>
  <c r="AG275" i="15" s="1"/>
  <c r="AH226" i="15" s="1"/>
  <c r="AH307" i="15" s="1"/>
  <c r="AH174" i="15" l="1"/>
  <c r="AH305" i="15"/>
  <c r="BJ340" i="23"/>
  <c r="BJ337" i="23"/>
  <c r="BK319" i="23"/>
  <c r="BK321" i="23" s="1"/>
  <c r="BJ305" i="23"/>
  <c r="BJ306" i="23" s="1"/>
  <c r="BK231" i="23"/>
  <c r="BK233" i="23" s="1"/>
  <c r="BK237" i="23" s="1"/>
  <c r="BK239" i="23" s="1"/>
  <c r="BK243" i="23" s="1"/>
  <c r="BK245" i="23" s="1"/>
  <c r="BK268" i="23"/>
  <c r="AH303" i="15"/>
  <c r="AH313" i="15"/>
  <c r="AF333" i="15"/>
  <c r="AF325" i="15"/>
  <c r="AF334" i="15" s="1"/>
  <c r="AH253" i="15"/>
  <c r="AG276" i="15"/>
  <c r="AH274" i="15" s="1"/>
  <c r="AG279" i="15"/>
  <c r="AG281" i="15" s="1"/>
  <c r="BJ342" i="23" l="1"/>
  <c r="BK249" i="23"/>
  <c r="BK251" i="23" s="1"/>
  <c r="BK246" i="23"/>
  <c r="BL244" i="23" s="1"/>
  <c r="BK281" i="23"/>
  <c r="BK255" i="23"/>
  <c r="BK257" i="23" s="1"/>
  <c r="BK240" i="23"/>
  <c r="BL238" i="23" s="1"/>
  <c r="BK275" i="23"/>
  <c r="BK234" i="23"/>
  <c r="BL232" i="23" s="1"/>
  <c r="BK269" i="23"/>
  <c r="AG285" i="15"/>
  <c r="AG287" i="15" s="1"/>
  <c r="AG282" i="15"/>
  <c r="AH280" i="15" s="1"/>
  <c r="BJ343" i="23" l="1"/>
  <c r="BJ346" i="23" s="1"/>
  <c r="BJ345" i="23"/>
  <c r="BK270" i="23"/>
  <c r="BK271" i="23" s="1"/>
  <c r="BK258" i="23"/>
  <c r="BL256" i="23" s="1"/>
  <c r="BK293" i="23"/>
  <c r="BK260" i="23"/>
  <c r="BK252" i="23"/>
  <c r="BL250" i="23" s="1"/>
  <c r="BK287" i="23"/>
  <c r="AG288" i="15"/>
  <c r="AH286" i="15" s="1"/>
  <c r="AG291" i="15"/>
  <c r="BK302" i="23" l="1"/>
  <c r="BK328" i="23" s="1"/>
  <c r="BK317" i="23"/>
  <c r="BK274" i="23"/>
  <c r="BK276" i="23" s="1"/>
  <c r="BK277" i="23" s="1"/>
  <c r="AG294" i="15"/>
  <c r="AG328" i="15" s="1"/>
  <c r="AG309" i="15"/>
  <c r="AG311" i="15" s="1"/>
  <c r="AG316" i="15" s="1"/>
  <c r="AH249" i="15"/>
  <c r="AH257" i="15" s="1"/>
  <c r="AH261" i="15" s="1"/>
  <c r="AH263" i="15" s="1"/>
  <c r="BK330" i="23" l="1"/>
  <c r="BK280" i="23"/>
  <c r="BK282" i="23" s="1"/>
  <c r="BK286" i="23" s="1"/>
  <c r="BK288" i="23" s="1"/>
  <c r="AG296" i="15"/>
  <c r="AG297" i="15" s="1"/>
  <c r="AG322" i="15"/>
  <c r="AG324" i="15" s="1"/>
  <c r="AG325" i="15" s="1"/>
  <c r="AG315" i="15"/>
  <c r="AH264" i="15"/>
  <c r="AI262" i="15" s="1"/>
  <c r="AG330" i="15"/>
  <c r="AG331" i="15" s="1"/>
  <c r="AH267" i="15"/>
  <c r="AH269" i="15" s="1"/>
  <c r="AH270" i="15" s="1"/>
  <c r="AI268" i="15" s="1"/>
  <c r="BK331" i="23" l="1"/>
  <c r="BK289" i="23"/>
  <c r="BK283" i="23"/>
  <c r="BK292" i="23"/>
  <c r="BK294" i="23" s="1"/>
  <c r="AG333" i="15"/>
  <c r="AG334" i="15"/>
  <c r="AH273" i="15"/>
  <c r="AH275" i="15" s="1"/>
  <c r="BL203" i="23" l="1"/>
  <c r="BL311" i="23" s="1"/>
  <c r="BK295" i="23"/>
  <c r="BK297" i="23"/>
  <c r="AI226" i="15"/>
  <c r="AH276" i="15"/>
  <c r="AI274" i="15" s="1"/>
  <c r="AH279" i="15"/>
  <c r="AH281" i="15" s="1"/>
  <c r="AI305" i="15" l="1"/>
  <c r="AI307" i="15"/>
  <c r="AI174" i="15"/>
  <c r="AI313" i="15"/>
  <c r="BL313" i="23"/>
  <c r="BL315" i="23"/>
  <c r="BK299" i="23"/>
  <c r="BK322" i="23" s="1"/>
  <c r="BK303" i="23"/>
  <c r="BK334" i="23" s="1"/>
  <c r="BK336" i="23" s="1"/>
  <c r="BL262" i="23"/>
  <c r="BL264" i="23" s="1"/>
  <c r="BL225" i="23"/>
  <c r="BL227" i="23" s="1"/>
  <c r="AI253" i="15"/>
  <c r="AI303" i="15"/>
  <c r="AH285" i="15"/>
  <c r="AH287" i="15" s="1"/>
  <c r="AH282" i="15"/>
  <c r="AI280" i="15" s="1"/>
  <c r="BK340" i="23" l="1"/>
  <c r="BK337" i="23"/>
  <c r="BL319" i="23"/>
  <c r="BL321" i="23" s="1"/>
  <c r="BK305" i="23"/>
  <c r="BK306" i="23" s="1"/>
  <c r="BL231" i="23"/>
  <c r="BL233" i="23" s="1"/>
  <c r="BL237" i="23" s="1"/>
  <c r="BL239" i="23" s="1"/>
  <c r="BL268" i="23"/>
  <c r="AH288" i="15"/>
  <c r="AI286" i="15" s="1"/>
  <c r="AH291" i="15"/>
  <c r="AI249" i="15" s="1"/>
  <c r="AI257" i="15" s="1"/>
  <c r="BK342" i="23" l="1"/>
  <c r="BL240" i="23"/>
  <c r="BM238" i="23" s="1"/>
  <c r="BL275" i="23"/>
  <c r="BL243" i="23"/>
  <c r="BL245" i="23" s="1"/>
  <c r="BL249" i="23" s="1"/>
  <c r="BL251" i="23" s="1"/>
  <c r="BL234" i="23"/>
  <c r="BM232" i="23" s="1"/>
  <c r="BL269" i="23"/>
  <c r="AH294" i="15"/>
  <c r="AH328" i="15" s="1"/>
  <c r="AH330" i="15" s="1"/>
  <c r="AH331" i="15" s="1"/>
  <c r="AH309" i="15"/>
  <c r="AH311" i="15" s="1"/>
  <c r="AH316" i="15" s="1"/>
  <c r="AI261" i="15"/>
  <c r="AI263" i="15" s="1"/>
  <c r="BK343" i="23" l="1"/>
  <c r="BK346" i="23" s="1"/>
  <c r="BK345" i="23"/>
  <c r="BL252" i="23"/>
  <c r="BM250" i="23" s="1"/>
  <c r="BL287" i="23"/>
  <c r="BL255" i="23"/>
  <c r="BL257" i="23" s="1"/>
  <c r="BL246" i="23"/>
  <c r="BM244" i="23" s="1"/>
  <c r="BL281" i="23"/>
  <c r="BL270" i="23"/>
  <c r="AH296" i="15"/>
  <c r="AH297" i="15" s="1"/>
  <c r="AH315" i="15"/>
  <c r="AH322" i="15"/>
  <c r="AH324" i="15" s="1"/>
  <c r="AH333" i="15" s="1"/>
  <c r="AI264" i="15"/>
  <c r="AJ262" i="15" s="1"/>
  <c r="AI267" i="15"/>
  <c r="AI269" i="15" s="1"/>
  <c r="AI270" i="15" s="1"/>
  <c r="AJ268" i="15" s="1"/>
  <c r="BL274" i="23" l="1"/>
  <c r="BL276" i="23" s="1"/>
  <c r="BL293" i="23"/>
  <c r="BL258" i="23"/>
  <c r="BM256" i="23" s="1"/>
  <c r="BL271" i="23"/>
  <c r="BL260" i="23"/>
  <c r="AH325" i="15"/>
  <c r="AH334" i="15" s="1"/>
  <c r="AI273" i="15"/>
  <c r="AI275" i="15" s="1"/>
  <c r="AJ226" i="15" s="1"/>
  <c r="AJ307" i="15" s="1"/>
  <c r="AJ174" i="15" l="1"/>
  <c r="AJ305" i="15"/>
  <c r="BL302" i="23"/>
  <c r="BL328" i="23" s="1"/>
  <c r="BL317" i="23"/>
  <c r="BL280" i="23"/>
  <c r="BL282" i="23" s="1"/>
  <c r="BL277" i="23"/>
  <c r="AJ303" i="15"/>
  <c r="AJ313" i="15"/>
  <c r="AJ253" i="15"/>
  <c r="AI279" i="15"/>
  <c r="AI281" i="15" s="1"/>
  <c r="AI276" i="15"/>
  <c r="AJ274" i="15" s="1"/>
  <c r="BL330" i="23" l="1"/>
  <c r="BL292" i="23"/>
  <c r="BL294" i="23" s="1"/>
  <c r="BL283" i="23"/>
  <c r="BL286" i="23"/>
  <c r="BL288" i="23" s="1"/>
  <c r="AI285" i="15"/>
  <c r="AI287" i="15" s="1"/>
  <c r="AI282" i="15"/>
  <c r="AJ280" i="15" s="1"/>
  <c r="BL331" i="23" l="1"/>
  <c r="BL297" i="23"/>
  <c r="BL289" i="23"/>
  <c r="BM203" i="23"/>
  <c r="BM311" i="23" s="1"/>
  <c r="BL295" i="23"/>
  <c r="AI288" i="15"/>
  <c r="AJ286" i="15" s="1"/>
  <c r="AI291" i="15"/>
  <c r="AI309" i="15" s="1"/>
  <c r="BM313" i="23" l="1"/>
  <c r="BM315" i="23"/>
  <c r="BL299" i="23"/>
  <c r="BL322" i="23" s="1"/>
  <c r="BL303" i="23"/>
  <c r="BL334" i="23" s="1"/>
  <c r="BL336" i="23" s="1"/>
  <c r="BM262" i="23"/>
  <c r="BM264" i="23" s="1"/>
  <c r="BM225" i="23"/>
  <c r="BM227" i="23" s="1"/>
  <c r="AI311" i="15"/>
  <c r="AI294" i="15"/>
  <c r="AJ249" i="15"/>
  <c r="AJ257" i="15" s="1"/>
  <c r="AJ261" i="15" s="1"/>
  <c r="AJ263" i="15" s="1"/>
  <c r="AJ264" i="15" s="1"/>
  <c r="AK262" i="15" s="1"/>
  <c r="BL340" i="23" l="1"/>
  <c r="BL337" i="23"/>
  <c r="BM319" i="23"/>
  <c r="BM321" i="23" s="1"/>
  <c r="BL305" i="23"/>
  <c r="BL306" i="23" s="1"/>
  <c r="BM231" i="23"/>
  <c r="BM233" i="23" s="1"/>
  <c r="BM237" i="23" s="1"/>
  <c r="BM239" i="23" s="1"/>
  <c r="BM268" i="23"/>
  <c r="AI316" i="15"/>
  <c r="AI315" i="15" s="1"/>
  <c r="AJ267" i="15"/>
  <c r="AJ269" i="15" s="1"/>
  <c r="AJ270" i="15" s="1"/>
  <c r="AK268" i="15" s="1"/>
  <c r="AI322" i="15"/>
  <c r="AI324" i="15" s="1"/>
  <c r="AI296" i="15"/>
  <c r="AI297" i="15" s="1"/>
  <c r="AI328" i="15"/>
  <c r="AI330" i="15" s="1"/>
  <c r="AI331" i="15" s="1"/>
  <c r="BL342" i="23" l="1"/>
  <c r="BM275" i="23"/>
  <c r="BM240" i="23"/>
  <c r="BN238" i="23" s="1"/>
  <c r="BM243" i="23"/>
  <c r="BM245" i="23" s="1"/>
  <c r="BM234" i="23"/>
  <c r="BN232" i="23" s="1"/>
  <c r="BM269" i="23"/>
  <c r="AJ273" i="15"/>
  <c r="AJ275" i="15" s="1"/>
  <c r="AK226" i="15" s="1"/>
  <c r="AI325" i="15"/>
  <c r="AI334" i="15" s="1"/>
  <c r="AI333" i="15"/>
  <c r="AK305" i="15" l="1"/>
  <c r="AK307" i="15"/>
  <c r="AK174" i="15"/>
  <c r="AK303" i="15"/>
  <c r="BL343" i="23"/>
  <c r="BL346" i="23" s="1"/>
  <c r="BL345" i="23"/>
  <c r="BM255" i="23"/>
  <c r="BM257" i="23" s="1"/>
  <c r="BM246" i="23"/>
  <c r="BN244" i="23" s="1"/>
  <c r="BM281" i="23"/>
  <c r="BM249" i="23"/>
  <c r="BM251" i="23" s="1"/>
  <c r="BM270" i="23"/>
  <c r="BM271" i="23" s="1"/>
  <c r="AK253" i="15"/>
  <c r="AJ279" i="15"/>
  <c r="AJ281" i="15" s="1"/>
  <c r="AJ285" i="15" s="1"/>
  <c r="AJ287" i="15" s="1"/>
  <c r="AJ276" i="15"/>
  <c r="AK274" i="15" s="1"/>
  <c r="AK313" i="15"/>
  <c r="BM274" i="23" l="1"/>
  <c r="BM276" i="23" s="1"/>
  <c r="BM277" i="23" s="1"/>
  <c r="BM260" i="23"/>
  <c r="BM252" i="23"/>
  <c r="BN250" i="23" s="1"/>
  <c r="BM287" i="23"/>
  <c r="BM293" i="23"/>
  <c r="BM258" i="23"/>
  <c r="BN256" i="23" s="1"/>
  <c r="AJ282" i="15"/>
  <c r="AK280" i="15" s="1"/>
  <c r="AJ288" i="15"/>
  <c r="AK286" i="15" s="1"/>
  <c r="AJ291" i="15"/>
  <c r="AJ294" i="15" s="1"/>
  <c r="AJ328" i="15" s="1"/>
  <c r="BM302" i="23" l="1"/>
  <c r="BM328" i="23" s="1"/>
  <c r="BM317" i="23"/>
  <c r="BM280" i="23"/>
  <c r="BM282" i="23" s="1"/>
  <c r="AJ309" i="15"/>
  <c r="AJ311" i="15" s="1"/>
  <c r="AJ316" i="15" s="1"/>
  <c r="AK249" i="15"/>
  <c r="AK257" i="15" s="1"/>
  <c r="AK261" i="15" s="1"/>
  <c r="AK263" i="15" s="1"/>
  <c r="AJ330" i="15"/>
  <c r="AJ331" i="15" s="1"/>
  <c r="AJ296" i="15"/>
  <c r="AJ297" i="15" s="1"/>
  <c r="BM330" i="23" l="1"/>
  <c r="BM283" i="23"/>
  <c r="BM286" i="23"/>
  <c r="BM288" i="23" s="1"/>
  <c r="BM292" i="23"/>
  <c r="BM294" i="23" s="1"/>
  <c r="AJ315" i="15"/>
  <c r="AJ322" i="15"/>
  <c r="AJ324" i="15" s="1"/>
  <c r="AJ333" i="15" s="1"/>
  <c r="AK264" i="15"/>
  <c r="AL262" i="15" s="1"/>
  <c r="AK267" i="15"/>
  <c r="AK269" i="15" s="1"/>
  <c r="AK270" i="15" s="1"/>
  <c r="AL268" i="15" s="1"/>
  <c r="BM331" i="23" l="1"/>
  <c r="BN203" i="23"/>
  <c r="BN311" i="23" s="1"/>
  <c r="BM295" i="23"/>
  <c r="BM297" i="23"/>
  <c r="BM289" i="23"/>
  <c r="AK273" i="15"/>
  <c r="AK275" i="15" s="1"/>
  <c r="AL226" i="15" s="1"/>
  <c r="AL307" i="15" s="1"/>
  <c r="AJ325" i="15"/>
  <c r="AJ334" i="15" s="1"/>
  <c r="AL174" i="15" l="1"/>
  <c r="AL305" i="15"/>
  <c r="BN313" i="23"/>
  <c r="BN315" i="23"/>
  <c r="BM299" i="23"/>
  <c r="BM322" i="23" s="1"/>
  <c r="BM303" i="23"/>
  <c r="BM334" i="23" s="1"/>
  <c r="BM336" i="23" s="1"/>
  <c r="BN262" i="23"/>
  <c r="BN264" i="23" s="1"/>
  <c r="BN225" i="23"/>
  <c r="BN227" i="23" s="1"/>
  <c r="AL303" i="15"/>
  <c r="AL313" i="15"/>
  <c r="AL253" i="15"/>
  <c r="AK279" i="15"/>
  <c r="AK281" i="15" s="1"/>
  <c r="AK276" i="15"/>
  <c r="AL274" i="15" s="1"/>
  <c r="BM340" i="23" l="1"/>
  <c r="BM337" i="23"/>
  <c r="BN319" i="23"/>
  <c r="BN321" i="23" s="1"/>
  <c r="BM305" i="23"/>
  <c r="BM306" i="23" s="1"/>
  <c r="BN231" i="23"/>
  <c r="BN233" i="23" s="1"/>
  <c r="BN237" i="23" s="1"/>
  <c r="BN239" i="23" s="1"/>
  <c r="BN243" i="23" s="1"/>
  <c r="BN245" i="23" s="1"/>
  <c r="BN268" i="23"/>
  <c r="AK285" i="15"/>
  <c r="AK287" i="15" s="1"/>
  <c r="AK282" i="15"/>
  <c r="AL280" i="15" s="1"/>
  <c r="BM342" i="23" l="1"/>
  <c r="BN246" i="23"/>
  <c r="BO244" i="23" s="1"/>
  <c r="BN281" i="23"/>
  <c r="BN255" i="23"/>
  <c r="BN257" i="23" s="1"/>
  <c r="BN275" i="23"/>
  <c r="BN240" i="23"/>
  <c r="BO238" i="23" s="1"/>
  <c r="BN249" i="23"/>
  <c r="BN251" i="23" s="1"/>
  <c r="BN234" i="23"/>
  <c r="BO232" i="23" s="1"/>
  <c r="BN269" i="23"/>
  <c r="AK288" i="15"/>
  <c r="AL286" i="15" s="1"/>
  <c r="AK291" i="15"/>
  <c r="AK309" i="15" s="1"/>
  <c r="AL257" i="15"/>
  <c r="BM343" i="23" l="1"/>
  <c r="BM346" i="23" s="1"/>
  <c r="BM345" i="23"/>
  <c r="BN293" i="23"/>
  <c r="BN258" i="23"/>
  <c r="BO256" i="23" s="1"/>
  <c r="BN260" i="23"/>
  <c r="BN252" i="23"/>
  <c r="BO250" i="23" s="1"/>
  <c r="BN287" i="23"/>
  <c r="BN270" i="23"/>
  <c r="BN271" i="23" s="1"/>
  <c r="AK294" i="15"/>
  <c r="AK311" i="15"/>
  <c r="AL249" i="15"/>
  <c r="AL261" i="15"/>
  <c r="AL263" i="15" s="1"/>
  <c r="BN302" i="23" l="1"/>
  <c r="BN328" i="23" s="1"/>
  <c r="BN317" i="23"/>
  <c r="BN274" i="23"/>
  <c r="BN276" i="23" s="1"/>
  <c r="BN277" i="23" s="1"/>
  <c r="AK316" i="15"/>
  <c r="AK315" i="15" s="1"/>
  <c r="AK328" i="15"/>
  <c r="AK330" i="15" s="1"/>
  <c r="AK331" i="15" s="1"/>
  <c r="AK296" i="15"/>
  <c r="AK297" i="15" s="1"/>
  <c r="AK322" i="15"/>
  <c r="AL264" i="15"/>
  <c r="AM262" i="15" s="1"/>
  <c r="AL267" i="15"/>
  <c r="AL269" i="15" s="1"/>
  <c r="AL270" i="15" s="1"/>
  <c r="AM268" i="15" s="1"/>
  <c r="BN330" i="23" l="1"/>
  <c r="BN280" i="23"/>
  <c r="BN282" i="23" s="1"/>
  <c r="AK324" i="15"/>
  <c r="AK333" i="15" s="1"/>
  <c r="AL273" i="15"/>
  <c r="AL275" i="15" s="1"/>
  <c r="AM226" i="15" s="1"/>
  <c r="AM307" i="15" s="1"/>
  <c r="AM174" i="15" l="1"/>
  <c r="AM305" i="15"/>
  <c r="BN331" i="23"/>
  <c r="BN283" i="23"/>
  <c r="BN292" i="23"/>
  <c r="BN294" i="23" s="1"/>
  <c r="BN286" i="23"/>
  <c r="BN288" i="23" s="1"/>
  <c r="AM303" i="15"/>
  <c r="AM313" i="15"/>
  <c r="AK325" i="15"/>
  <c r="AK334" i="15" s="1"/>
  <c r="AM253" i="15"/>
  <c r="AL279" i="15"/>
  <c r="AL281" i="15" s="1"/>
  <c r="AL276" i="15"/>
  <c r="AM274" i="15" s="1"/>
  <c r="BN297" i="23" l="1"/>
  <c r="BN289" i="23"/>
  <c r="BO203" i="23"/>
  <c r="BO311" i="23" s="1"/>
  <c r="BN295" i="23"/>
  <c r="AL285" i="15"/>
  <c r="AL287" i="15" s="1"/>
  <c r="AL282" i="15"/>
  <c r="AM280" i="15" s="1"/>
  <c r="BO313" i="23" l="1"/>
  <c r="BO315" i="23"/>
  <c r="BN299" i="23"/>
  <c r="BN322" i="23" s="1"/>
  <c r="BN303" i="23"/>
  <c r="BN334" i="23" s="1"/>
  <c r="BN336" i="23" s="1"/>
  <c r="BO262" i="23"/>
  <c r="BO264" i="23" s="1"/>
  <c r="BO225" i="23"/>
  <c r="BO227" i="23" s="1"/>
  <c r="AL288" i="15"/>
  <c r="AM286" i="15" s="1"/>
  <c r="AL291" i="15"/>
  <c r="AL309" i="15" s="1"/>
  <c r="BN340" i="23" l="1"/>
  <c r="BN337" i="23"/>
  <c r="BO319" i="23"/>
  <c r="BO321" i="23" s="1"/>
  <c r="BN305" i="23"/>
  <c r="BN306" i="23" s="1"/>
  <c r="BO231" i="23"/>
  <c r="BO233" i="23" s="1"/>
  <c r="BO237" i="23" s="1"/>
  <c r="BO239" i="23" s="1"/>
  <c r="BO268" i="23"/>
  <c r="AL294" i="15"/>
  <c r="AL311" i="15"/>
  <c r="AM249" i="15"/>
  <c r="AM257" i="15" s="1"/>
  <c r="AM261" i="15" s="1"/>
  <c r="AM263" i="15" s="1"/>
  <c r="AM264" i="15" s="1"/>
  <c r="AN262" i="15" s="1"/>
  <c r="BN342" i="23" l="1"/>
  <c r="BO240" i="23"/>
  <c r="BP238" i="23" s="1"/>
  <c r="BO275" i="23"/>
  <c r="BO243" i="23"/>
  <c r="BO245" i="23" s="1"/>
  <c r="BO255" i="23" s="1"/>
  <c r="BO257" i="23" s="1"/>
  <c r="BO234" i="23"/>
  <c r="BP232" i="23" s="1"/>
  <c r="BO269" i="23"/>
  <c r="AL316" i="15"/>
  <c r="AL315" i="15" s="1"/>
  <c r="AM267" i="15"/>
  <c r="AM269" i="15" s="1"/>
  <c r="AM270" i="15" s="1"/>
  <c r="AN268" i="15" s="1"/>
  <c r="AL296" i="15"/>
  <c r="AL297" i="15" s="1"/>
  <c r="AL322" i="15"/>
  <c r="AL324" i="15" s="1"/>
  <c r="AL328" i="15"/>
  <c r="AL330" i="15" s="1"/>
  <c r="AL331" i="15" s="1"/>
  <c r="BN343" i="23" l="1"/>
  <c r="BN346" i="23" s="1"/>
  <c r="BN345" i="23"/>
  <c r="BO246" i="23"/>
  <c r="BP244" i="23" s="1"/>
  <c r="BO281" i="23"/>
  <c r="BO270" i="23"/>
  <c r="BO249" i="23"/>
  <c r="BO251" i="23" s="1"/>
  <c r="BO293" i="23"/>
  <c r="BO258" i="23"/>
  <c r="BP256" i="23" s="1"/>
  <c r="AM273" i="15"/>
  <c r="AM275" i="15" s="1"/>
  <c r="AN226" i="15" s="1"/>
  <c r="AL333" i="15"/>
  <c r="AL325" i="15"/>
  <c r="AL334" i="15" s="1"/>
  <c r="AN305" i="15" l="1"/>
  <c r="AN307" i="15"/>
  <c r="AN174" i="15"/>
  <c r="AN303" i="15"/>
  <c r="BO274" i="23"/>
  <c r="BO276" i="23" s="1"/>
  <c r="BO277" i="23" s="1"/>
  <c r="BO260" i="23"/>
  <c r="BO252" i="23"/>
  <c r="BP250" i="23" s="1"/>
  <c r="BO287" i="23"/>
  <c r="BO271" i="23"/>
  <c r="AN253" i="15"/>
  <c r="AM276" i="15"/>
  <c r="AN274" i="15" s="1"/>
  <c r="AM279" i="15"/>
  <c r="AM281" i="15" s="1"/>
  <c r="AM282" i="15" s="1"/>
  <c r="AN280" i="15" s="1"/>
  <c r="AN313" i="15"/>
  <c r="BO302" i="23" l="1"/>
  <c r="BO328" i="23" s="1"/>
  <c r="BO317" i="23"/>
  <c r="BO280" i="23"/>
  <c r="BO282" i="23" s="1"/>
  <c r="BO292" i="23" s="1"/>
  <c r="BO294" i="23" s="1"/>
  <c r="AM285" i="15"/>
  <c r="AM287" i="15" s="1"/>
  <c r="AM288" i="15" s="1"/>
  <c r="AN286" i="15" s="1"/>
  <c r="BO330" i="23" l="1"/>
  <c r="BP203" i="23"/>
  <c r="BP311" i="23" s="1"/>
  <c r="BO295" i="23"/>
  <c r="BO286" i="23"/>
  <c r="BO288" i="23" s="1"/>
  <c r="BO283" i="23"/>
  <c r="AM291" i="15"/>
  <c r="AM294" i="15" s="1"/>
  <c r="AM296" i="15" s="1"/>
  <c r="AM297" i="15" s="1"/>
  <c r="BO331" i="23" l="1"/>
  <c r="BP313" i="23"/>
  <c r="BP315" i="23"/>
  <c r="BO297" i="23"/>
  <c r="BO289" i="23"/>
  <c r="BP225" i="23"/>
  <c r="BP227" i="23" s="1"/>
  <c r="BP262" i="23"/>
  <c r="BP264" i="23" s="1"/>
  <c r="AM309" i="15"/>
  <c r="AM311" i="15" s="1"/>
  <c r="AM316" i="15" s="1"/>
  <c r="AN249" i="15"/>
  <c r="AN257" i="15" s="1"/>
  <c r="AN261" i="15" s="1"/>
  <c r="AN263" i="15" s="1"/>
  <c r="AN264" i="15" s="1"/>
  <c r="AO262" i="15" s="1"/>
  <c r="AM328" i="15"/>
  <c r="AM330" i="15" s="1"/>
  <c r="AM331" i="15" s="1"/>
  <c r="BP319" i="23" l="1"/>
  <c r="BP321" i="23" s="1"/>
  <c r="BO299" i="23"/>
  <c r="BO322" i="23" s="1"/>
  <c r="BO303" i="23"/>
  <c r="BO334" i="23" s="1"/>
  <c r="BO336" i="23" s="1"/>
  <c r="BP231" i="23"/>
  <c r="BP233" i="23" s="1"/>
  <c r="BP237" i="23" s="1"/>
  <c r="BP239" i="23" s="1"/>
  <c r="BP243" i="23" s="1"/>
  <c r="BP245" i="23" s="1"/>
  <c r="BP268" i="23"/>
  <c r="AM322" i="15"/>
  <c r="AM324" i="15" s="1"/>
  <c r="AM325" i="15" s="1"/>
  <c r="AM334" i="15" s="1"/>
  <c r="AM315" i="15"/>
  <c r="AN267" i="15"/>
  <c r="AN269" i="15" s="1"/>
  <c r="AN270" i="15" s="1"/>
  <c r="AO268" i="15" s="1"/>
  <c r="BO340" i="23" l="1"/>
  <c r="BO342" i="23" s="1"/>
  <c r="BO343" i="23" s="1"/>
  <c r="BO337" i="23"/>
  <c r="BO305" i="23"/>
  <c r="BO306" i="23" s="1"/>
  <c r="BP246" i="23"/>
  <c r="BQ244" i="23" s="1"/>
  <c r="BP281" i="23"/>
  <c r="BP249" i="23"/>
  <c r="BP251" i="23" s="1"/>
  <c r="BP240" i="23"/>
  <c r="BQ238" i="23" s="1"/>
  <c r="BP275" i="23"/>
  <c r="BP255" i="23"/>
  <c r="BP257" i="23" s="1"/>
  <c r="BP234" i="23"/>
  <c r="BQ232" i="23" s="1"/>
  <c r="BP269" i="23"/>
  <c r="AM333" i="15"/>
  <c r="AN273" i="15"/>
  <c r="AN275" i="15" s="1"/>
  <c r="AO226" i="15" s="1"/>
  <c r="AO305" i="15" l="1"/>
  <c r="AO307" i="15"/>
  <c r="AO174" i="15"/>
  <c r="AO313" i="15"/>
  <c r="BO346" i="23"/>
  <c r="BO345" i="23"/>
  <c r="BP260" i="23"/>
  <c r="BP252" i="23"/>
  <c r="BQ250" i="23" s="1"/>
  <c r="BP287" i="23"/>
  <c r="BP293" i="23"/>
  <c r="BP258" i="23"/>
  <c r="BQ256" i="23" s="1"/>
  <c r="BP270" i="23"/>
  <c r="BP271" i="23" s="1"/>
  <c r="AO303" i="15"/>
  <c r="AN279" i="15"/>
  <c r="AN281" i="15" s="1"/>
  <c r="AN285" i="15" s="1"/>
  <c r="AN287" i="15" s="1"/>
  <c r="AO253" i="15"/>
  <c r="AN276" i="15"/>
  <c r="AO274" i="15" s="1"/>
  <c r="BP302" i="23" l="1"/>
  <c r="BP328" i="23" s="1"/>
  <c r="BP317" i="23"/>
  <c r="BP274" i="23"/>
  <c r="BP276" i="23" s="1"/>
  <c r="BP277" i="23" s="1"/>
  <c r="AN282" i="15"/>
  <c r="AO280" i="15" s="1"/>
  <c r="AN288" i="15"/>
  <c r="AO286" i="15" s="1"/>
  <c r="AN291" i="15"/>
  <c r="AN294" i="15" s="1"/>
  <c r="BP330" i="23" l="1"/>
  <c r="BP280" i="23"/>
  <c r="BP282" i="23" s="1"/>
  <c r="AN309" i="15"/>
  <c r="AN311" i="15" s="1"/>
  <c r="AN316" i="15" s="1"/>
  <c r="AO249" i="15"/>
  <c r="AO257" i="15" s="1"/>
  <c r="AO261" i="15" s="1"/>
  <c r="AO263" i="15" s="1"/>
  <c r="AN296" i="15"/>
  <c r="AN297" i="15" s="1"/>
  <c r="AN328" i="15"/>
  <c r="BP331" i="23" l="1"/>
  <c r="BP286" i="23"/>
  <c r="BP288" i="23" s="1"/>
  <c r="BP283" i="23"/>
  <c r="BP292" i="23"/>
  <c r="BP294" i="23" s="1"/>
  <c r="AN322" i="15"/>
  <c r="AN324" i="15" s="1"/>
  <c r="AN315" i="15"/>
  <c r="AO264" i="15"/>
  <c r="AP262" i="15" s="1"/>
  <c r="AN330" i="15"/>
  <c r="AN331" i="15" s="1"/>
  <c r="AO267" i="15"/>
  <c r="AO269" i="15" s="1"/>
  <c r="AO270" i="15" s="1"/>
  <c r="AP268" i="15" s="1"/>
  <c r="BQ203" i="23" l="1"/>
  <c r="BQ311" i="23" s="1"/>
  <c r="BP295" i="23"/>
  <c r="BP297" i="23"/>
  <c r="BP289" i="23"/>
  <c r="AN333" i="15"/>
  <c r="AN325" i="15"/>
  <c r="AN334" i="15" s="1"/>
  <c r="AO273" i="15"/>
  <c r="AO275" i="15" s="1"/>
  <c r="AP226" i="15" s="1"/>
  <c r="AP305" i="15" l="1"/>
  <c r="AP307" i="15"/>
  <c r="AP174" i="15"/>
  <c r="AP313" i="15"/>
  <c r="BQ313" i="23"/>
  <c r="BQ315" i="23"/>
  <c r="BP299" i="23"/>
  <c r="BP322" i="23" s="1"/>
  <c r="BP303" i="23"/>
  <c r="BP334" i="23" s="1"/>
  <c r="BP336" i="23" s="1"/>
  <c r="BQ262" i="23"/>
  <c r="BQ264" i="23" s="1"/>
  <c r="BQ225" i="23"/>
  <c r="BQ227" i="23" s="1"/>
  <c r="AP253" i="15"/>
  <c r="AP303" i="15"/>
  <c r="AO279" i="15"/>
  <c r="AO281" i="15" s="1"/>
  <c r="AO276" i="15"/>
  <c r="AP274" i="15" s="1"/>
  <c r="BP340" i="23" l="1"/>
  <c r="BP337" i="23"/>
  <c r="BQ319" i="23"/>
  <c r="BQ321" i="23" s="1"/>
  <c r="BP305" i="23"/>
  <c r="BP306" i="23" s="1"/>
  <c r="BQ231" i="23"/>
  <c r="BQ233" i="23" s="1"/>
  <c r="BQ237" i="23" s="1"/>
  <c r="BQ239" i="23" s="1"/>
  <c r="BQ243" i="23" s="1"/>
  <c r="BQ245" i="23" s="1"/>
  <c r="BQ268" i="23"/>
  <c r="AO285" i="15"/>
  <c r="AO287" i="15" s="1"/>
  <c r="AO282" i="15"/>
  <c r="AP280" i="15" s="1"/>
  <c r="BP342" i="23" l="1"/>
  <c r="BQ255" i="23"/>
  <c r="BQ257" i="23" s="1"/>
  <c r="BQ246" i="23"/>
  <c r="BR244" i="23" s="1"/>
  <c r="BQ281" i="23"/>
  <c r="BQ249" i="23"/>
  <c r="BQ251" i="23" s="1"/>
  <c r="BQ240" i="23"/>
  <c r="BR238" i="23" s="1"/>
  <c r="BQ275" i="23"/>
  <c r="BQ234" i="23"/>
  <c r="BR232" i="23" s="1"/>
  <c r="BQ269" i="23"/>
  <c r="AO288" i="15"/>
  <c r="AP286" i="15" s="1"/>
  <c r="AO291" i="15"/>
  <c r="AO309" i="15" s="1"/>
  <c r="BP343" i="23" l="1"/>
  <c r="BP346" i="23" s="1"/>
  <c r="BP345" i="23"/>
  <c r="BQ270" i="23"/>
  <c r="BQ271" i="23" s="1"/>
  <c r="BQ260" i="23"/>
  <c r="BQ252" i="23"/>
  <c r="BR250" i="23" s="1"/>
  <c r="BQ287" i="23"/>
  <c r="BQ293" i="23"/>
  <c r="BQ258" i="23"/>
  <c r="BR256" i="23" s="1"/>
  <c r="AO294" i="15"/>
  <c r="AO311" i="15"/>
  <c r="AP249" i="15"/>
  <c r="AP257" i="15" s="1"/>
  <c r="AP261" i="15" s="1"/>
  <c r="AP263" i="15" s="1"/>
  <c r="AP264" i="15" s="1"/>
  <c r="AQ262" i="15" s="1"/>
  <c r="BQ302" i="23" l="1"/>
  <c r="BQ328" i="23" s="1"/>
  <c r="BQ317" i="23"/>
  <c r="BQ274" i="23"/>
  <c r="BQ276" i="23" s="1"/>
  <c r="BQ277" i="23" s="1"/>
  <c r="AO316" i="15"/>
  <c r="AO315" i="15" s="1"/>
  <c r="AP267" i="15"/>
  <c r="AP269" i="15" s="1"/>
  <c r="AP270" i="15" s="1"/>
  <c r="AQ268" i="15" s="1"/>
  <c r="AO328" i="15"/>
  <c r="AO330" i="15" s="1"/>
  <c r="AO331" i="15" s="1"/>
  <c r="AO322" i="15"/>
  <c r="AO324" i="15" s="1"/>
  <c r="AO296" i="15"/>
  <c r="AO297" i="15" s="1"/>
  <c r="BQ330" i="23" l="1"/>
  <c r="BQ280" i="23"/>
  <c r="BQ282" i="23" s="1"/>
  <c r="BQ283" i="23" s="1"/>
  <c r="AP273" i="15"/>
  <c r="AP275" i="15" s="1"/>
  <c r="AQ226" i="15" s="1"/>
  <c r="AO333" i="15"/>
  <c r="AO325" i="15"/>
  <c r="AO334" i="15" s="1"/>
  <c r="AQ305" i="15" l="1"/>
  <c r="AQ307" i="15"/>
  <c r="AQ174" i="15"/>
  <c r="AQ313" i="15"/>
  <c r="BQ331" i="23"/>
  <c r="BQ292" i="23"/>
  <c r="BQ294" i="23" s="1"/>
  <c r="BQ286" i="23"/>
  <c r="BQ288" i="23" s="1"/>
  <c r="AP279" i="15"/>
  <c r="AP281" i="15" s="1"/>
  <c r="AP282" i="15" s="1"/>
  <c r="AQ280" i="15" s="1"/>
  <c r="AQ303" i="15"/>
  <c r="AP276" i="15"/>
  <c r="AQ274" i="15" s="1"/>
  <c r="AQ253" i="15"/>
  <c r="BQ297" i="23" l="1"/>
  <c r="BQ289" i="23"/>
  <c r="BR203" i="23"/>
  <c r="BR311" i="23" s="1"/>
  <c r="BQ295" i="23"/>
  <c r="AP285" i="15"/>
  <c r="AP287" i="15" s="1"/>
  <c r="AP288" i="15" s="1"/>
  <c r="AQ286" i="15" s="1"/>
  <c r="BR313" i="23" l="1"/>
  <c r="BR315" i="23"/>
  <c r="BQ299" i="23"/>
  <c r="BQ322" i="23" s="1"/>
  <c r="BQ303" i="23"/>
  <c r="BQ334" i="23" s="1"/>
  <c r="BQ336" i="23" s="1"/>
  <c r="BR225" i="23"/>
  <c r="BR227" i="23" s="1"/>
  <c r="BR262" i="23"/>
  <c r="BR264" i="23" s="1"/>
  <c r="AP291" i="15"/>
  <c r="AP294" i="15" s="1"/>
  <c r="AP328" i="15" s="1"/>
  <c r="BQ340" i="23" l="1"/>
  <c r="BQ337" i="23"/>
  <c r="BR319" i="23"/>
  <c r="BR321" i="23" s="1"/>
  <c r="BQ305" i="23"/>
  <c r="BQ306" i="23" s="1"/>
  <c r="BR268" i="23"/>
  <c r="BR231" i="23"/>
  <c r="BR233" i="23" s="1"/>
  <c r="BR237" i="23" s="1"/>
  <c r="BR239" i="23" s="1"/>
  <c r="AP309" i="15"/>
  <c r="AP311" i="15" s="1"/>
  <c r="AP316" i="15" s="1"/>
  <c r="AP315" i="15" s="1"/>
  <c r="AQ249" i="15"/>
  <c r="AQ257" i="15" s="1"/>
  <c r="AQ261" i="15" s="1"/>
  <c r="AQ263" i="15" s="1"/>
  <c r="AQ264" i="15" s="1"/>
  <c r="AR262" i="15" s="1"/>
  <c r="AP296" i="15"/>
  <c r="AP297" i="15" s="1"/>
  <c r="AP330" i="15"/>
  <c r="AP331" i="15" s="1"/>
  <c r="BQ342" i="23" l="1"/>
  <c r="BQ345" i="23" s="1"/>
  <c r="BR240" i="23"/>
  <c r="BS238" i="23" s="1"/>
  <c r="BR275" i="23"/>
  <c r="BR243" i="23"/>
  <c r="BR245" i="23" s="1"/>
  <c r="BR249" i="23" s="1"/>
  <c r="BR251" i="23" s="1"/>
  <c r="BR234" i="23"/>
  <c r="BS232" i="23" s="1"/>
  <c r="BR269" i="23"/>
  <c r="AP322" i="15"/>
  <c r="AP324" i="15" s="1"/>
  <c r="AP333" i="15" s="1"/>
  <c r="AQ267" i="15"/>
  <c r="AQ269" i="15" s="1"/>
  <c r="AQ270" i="15" s="1"/>
  <c r="AR268" i="15" s="1"/>
  <c r="BQ343" i="23" l="1"/>
  <c r="BQ346" i="23" s="1"/>
  <c r="BR246" i="23"/>
  <c r="BS244" i="23" s="1"/>
  <c r="BR281" i="23"/>
  <c r="BR252" i="23"/>
  <c r="BS250" i="23" s="1"/>
  <c r="BR287" i="23"/>
  <c r="BR255" i="23"/>
  <c r="BR257" i="23" s="1"/>
  <c r="BR260" i="23" s="1"/>
  <c r="BR270" i="23"/>
  <c r="BR271" i="23" s="1"/>
  <c r="AP325" i="15"/>
  <c r="AP334" i="15" s="1"/>
  <c r="AQ273" i="15"/>
  <c r="AQ275" i="15" s="1"/>
  <c r="AR226" i="15" s="1"/>
  <c r="AR305" i="15" l="1"/>
  <c r="AR307" i="15"/>
  <c r="AR174" i="15"/>
  <c r="AR253" i="15"/>
  <c r="BR302" i="23"/>
  <c r="BR328" i="23" s="1"/>
  <c r="BR317" i="23"/>
  <c r="BR274" i="23"/>
  <c r="BR276" i="23" s="1"/>
  <c r="BR277" i="23" s="1"/>
  <c r="BR293" i="23"/>
  <c r="BR258" i="23"/>
  <c r="BS256" i="23" s="1"/>
  <c r="AR303" i="15"/>
  <c r="AQ276" i="15"/>
  <c r="AR274" i="15" s="1"/>
  <c r="AQ279" i="15"/>
  <c r="AQ281" i="15" s="1"/>
  <c r="AQ285" i="15" s="1"/>
  <c r="AQ287" i="15" s="1"/>
  <c r="AQ288" i="15" s="1"/>
  <c r="AR286" i="15" s="1"/>
  <c r="AR313" i="15"/>
  <c r="BR330" i="23" l="1"/>
  <c r="BR280" i="23"/>
  <c r="BR282" i="23" s="1"/>
  <c r="BR283" i="23" s="1"/>
  <c r="AQ291" i="15"/>
  <c r="AQ309" i="15" s="1"/>
  <c r="AQ311" i="15" s="1"/>
  <c r="AQ282" i="15"/>
  <c r="AR280" i="15" s="1"/>
  <c r="BR331" i="23" l="1"/>
  <c r="BR286" i="23"/>
  <c r="BR288" i="23" s="1"/>
  <c r="BR289" i="23" s="1"/>
  <c r="BR292" i="23"/>
  <c r="BR294" i="23" s="1"/>
  <c r="BS203" i="23" s="1"/>
  <c r="AQ294" i="15"/>
  <c r="AQ296" i="15" s="1"/>
  <c r="AQ297" i="15" s="1"/>
  <c r="AR249" i="15"/>
  <c r="AR257" i="15" s="1"/>
  <c r="AR261" i="15" s="1"/>
  <c r="AR263" i="15" s="1"/>
  <c r="AR264" i="15" s="1"/>
  <c r="AS262" i="15" s="1"/>
  <c r="AQ316" i="15"/>
  <c r="AQ315" i="15" s="1"/>
  <c r="BS262" i="23" l="1"/>
  <c r="BS264" i="23" s="1"/>
  <c r="I264" i="23" s="1"/>
  <c r="BS311" i="23"/>
  <c r="BR295" i="23"/>
  <c r="BS225" i="23"/>
  <c r="BS227" i="23" s="1"/>
  <c r="BR297" i="23"/>
  <c r="AQ322" i="15"/>
  <c r="AQ324" i="15" s="1"/>
  <c r="AQ328" i="15"/>
  <c r="AQ330" i="15" s="1"/>
  <c r="AQ331" i="15" s="1"/>
  <c r="AR267" i="15"/>
  <c r="AR269" i="15" s="1"/>
  <c r="AR270" i="15" s="1"/>
  <c r="AS268" i="15" s="1"/>
  <c r="BS268" i="23" l="1"/>
  <c r="I268" i="23" s="1"/>
  <c r="BS313" i="23"/>
  <c r="BS315" i="23"/>
  <c r="I315" i="23" s="1"/>
  <c r="BR299" i="23"/>
  <c r="BR322" i="23" s="1"/>
  <c r="BR303" i="23"/>
  <c r="BR334" i="23" s="1"/>
  <c r="BR336" i="23" s="1"/>
  <c r="I227" i="23"/>
  <c r="BS231" i="23"/>
  <c r="I231" i="23" s="1"/>
  <c r="AQ333" i="15"/>
  <c r="AR273" i="15"/>
  <c r="AR275" i="15" s="1"/>
  <c r="AS226" i="15" s="1"/>
  <c r="AQ325" i="15"/>
  <c r="AQ334" i="15" s="1"/>
  <c r="AS305" i="15" l="1"/>
  <c r="AS307" i="15"/>
  <c r="AS174" i="15"/>
  <c r="AS303" i="15"/>
  <c r="BR340" i="23"/>
  <c r="BR342" i="23" s="1"/>
  <c r="BR343" i="23" s="1"/>
  <c r="BR337" i="23"/>
  <c r="I313" i="23"/>
  <c r="BS319" i="23"/>
  <c r="BS321" i="23" s="1"/>
  <c r="BR305" i="23"/>
  <c r="BR306" i="23" s="1"/>
  <c r="BS233" i="23"/>
  <c r="I233" i="23" s="1"/>
  <c r="H233" i="23" s="1"/>
  <c r="AR279" i="15"/>
  <c r="AR281" i="15" s="1"/>
  <c r="AR285" i="15" s="1"/>
  <c r="AR287" i="15" s="1"/>
  <c r="AR288" i="15" s="1"/>
  <c r="AS286" i="15" s="1"/>
  <c r="AS253" i="15"/>
  <c r="AR276" i="15"/>
  <c r="AS274" i="15" s="1"/>
  <c r="AS313" i="15"/>
  <c r="I321" i="23" l="1"/>
  <c r="L355" i="23" a="1"/>
  <c r="BR346" i="23"/>
  <c r="BR345" i="23"/>
  <c r="BS237" i="23"/>
  <c r="I237" i="23" s="1"/>
  <c r="BS234" i="23"/>
  <c r="BS269" i="23"/>
  <c r="BS270" i="23" s="1"/>
  <c r="BS271" i="23" s="1"/>
  <c r="AR282" i="15"/>
  <c r="AS280" i="15" s="1"/>
  <c r="AR291" i="15"/>
  <c r="AR309" i="15" s="1"/>
  <c r="AR311" i="15" s="1"/>
  <c r="M597" i="23" l="1"/>
  <c r="Q597" i="23"/>
  <c r="U597" i="23"/>
  <c r="Y597" i="23"/>
  <c r="AC597" i="23"/>
  <c r="AG597" i="23"/>
  <c r="AK597" i="23"/>
  <c r="AO597" i="23"/>
  <c r="AS597" i="23"/>
  <c r="AW597" i="23"/>
  <c r="BA597" i="23"/>
  <c r="BE597" i="23"/>
  <c r="BI597" i="23"/>
  <c r="BM597" i="23"/>
  <c r="BQ597" i="23"/>
  <c r="X597" i="23"/>
  <c r="AF597" i="23"/>
  <c r="AN597" i="23"/>
  <c r="AV597" i="23"/>
  <c r="BD597" i="23"/>
  <c r="BP597" i="23"/>
  <c r="N597" i="23"/>
  <c r="R597" i="23"/>
  <c r="V597" i="23"/>
  <c r="Z597" i="23"/>
  <c r="AD597" i="23"/>
  <c r="AH597" i="23"/>
  <c r="AL597" i="23"/>
  <c r="AP597" i="23"/>
  <c r="AT597" i="23"/>
  <c r="AX597" i="23"/>
  <c r="BB597" i="23"/>
  <c r="BF597" i="23"/>
  <c r="BJ597" i="23"/>
  <c r="BN597" i="23"/>
  <c r="BR597" i="23"/>
  <c r="P597" i="23"/>
  <c r="AB597" i="23"/>
  <c r="AJ597" i="23"/>
  <c r="AR597" i="23"/>
  <c r="AZ597" i="23"/>
  <c r="BH597" i="23"/>
  <c r="O597" i="23"/>
  <c r="S597" i="23"/>
  <c r="W597" i="23"/>
  <c r="AA597" i="23"/>
  <c r="AE597" i="23"/>
  <c r="AI597" i="23"/>
  <c r="AM597" i="23"/>
  <c r="AQ597" i="23"/>
  <c r="AU597" i="23"/>
  <c r="AY597" i="23"/>
  <c r="BC597" i="23"/>
  <c r="BG597" i="23"/>
  <c r="BK597" i="23"/>
  <c r="BO597" i="23"/>
  <c r="BS597" i="23"/>
  <c r="T597" i="23"/>
  <c r="BL597" i="23"/>
  <c r="L355" i="23"/>
  <c r="L597" i="23" s="1"/>
  <c r="BS239" i="23"/>
  <c r="BS240" i="23" s="1"/>
  <c r="I270" i="23"/>
  <c r="H270" i="23" s="1"/>
  <c r="BS274" i="23"/>
  <c r="I274" i="23" s="1"/>
  <c r="AR294" i="15"/>
  <c r="AR328" i="15" s="1"/>
  <c r="AR330" i="15" s="1"/>
  <c r="AR331" i="15" s="1"/>
  <c r="AS249" i="15"/>
  <c r="AS257" i="15" s="1"/>
  <c r="AS261" i="15" s="1"/>
  <c r="AS263" i="15" s="1"/>
  <c r="AS264" i="15" s="1"/>
  <c r="AT262" i="15" s="1"/>
  <c r="AR316" i="15"/>
  <c r="AR315" i="15" s="1"/>
  <c r="I355" i="23" l="1"/>
  <c r="BS243" i="23"/>
  <c r="I243" i="23" s="1"/>
  <c r="BS275" i="23"/>
  <c r="BS276" i="23" s="1"/>
  <c r="BS277" i="23" s="1"/>
  <c r="I239" i="23"/>
  <c r="H239" i="23" s="1"/>
  <c r="AR322" i="15"/>
  <c r="AR324" i="15" s="1"/>
  <c r="AR333" i="15" s="1"/>
  <c r="AR296" i="15"/>
  <c r="AR297" i="15" s="1"/>
  <c r="AS267" i="15"/>
  <c r="AS269" i="15" s="1"/>
  <c r="AS270" i="15" s="1"/>
  <c r="AT268" i="15" s="1"/>
  <c r="I597" i="23" l="1"/>
  <c r="BS245" i="23"/>
  <c r="BS255" i="23" s="1"/>
  <c r="I276" i="23"/>
  <c r="H276" i="23" s="1"/>
  <c r="BS280" i="23"/>
  <c r="I280" i="23" s="1"/>
  <c r="AS273" i="15"/>
  <c r="AS275" i="15" s="1"/>
  <c r="AT226" i="15" s="1"/>
  <c r="AR325" i="15"/>
  <c r="AR334" i="15" s="1"/>
  <c r="AT305" i="15" l="1"/>
  <c r="AT307" i="15"/>
  <c r="AT174" i="15"/>
  <c r="AT313" i="15"/>
  <c r="BS281" i="23"/>
  <c r="BS282" i="23" s="1"/>
  <c r="BS283" i="23" s="1"/>
  <c r="BS246" i="23"/>
  <c r="I245" i="23"/>
  <c r="H245" i="23" s="1"/>
  <c r="BS249" i="23"/>
  <c r="I249" i="23" s="1"/>
  <c r="I255" i="23"/>
  <c r="I287" i="23" s="1"/>
  <c r="BS257" i="23"/>
  <c r="AT253" i="15"/>
  <c r="AT303" i="15"/>
  <c r="AS276" i="15"/>
  <c r="AT274" i="15" s="1"/>
  <c r="AS279" i="15"/>
  <c r="AS281" i="15" s="1"/>
  <c r="BS251" i="23" l="1"/>
  <c r="BS260" i="23" s="1"/>
  <c r="L353" i="23" s="1" a="1"/>
  <c r="BS293" i="23"/>
  <c r="I257" i="23"/>
  <c r="H257" i="23" s="1"/>
  <c r="BS258" i="23"/>
  <c r="I282" i="23"/>
  <c r="H282" i="23" s="1"/>
  <c r="BS292" i="23"/>
  <c r="I292" i="23" s="1"/>
  <c r="BS286" i="23"/>
  <c r="I286" i="23" s="1"/>
  <c r="AS285" i="15"/>
  <c r="AS287" i="15" s="1"/>
  <c r="AS282" i="15"/>
  <c r="AT280" i="15" s="1"/>
  <c r="M593" i="23" l="1"/>
  <c r="Q593" i="23"/>
  <c r="U593" i="23"/>
  <c r="Y593" i="23"/>
  <c r="AC593" i="23"/>
  <c r="AG593" i="23"/>
  <c r="AK593" i="23"/>
  <c r="AO593" i="23"/>
  <c r="AS593" i="23"/>
  <c r="AW593" i="23"/>
  <c r="BA593" i="23"/>
  <c r="BE593" i="23"/>
  <c r="BI593" i="23"/>
  <c r="BM593" i="23"/>
  <c r="BQ593" i="23"/>
  <c r="N593" i="23"/>
  <c r="R593" i="23"/>
  <c r="V593" i="23"/>
  <c r="Z593" i="23"/>
  <c r="AD593" i="23"/>
  <c r="AH593" i="23"/>
  <c r="AL593" i="23"/>
  <c r="AP593" i="23"/>
  <c r="AT593" i="23"/>
  <c r="AX593" i="23"/>
  <c r="BB593" i="23"/>
  <c r="BF593" i="23"/>
  <c r="BJ593" i="23"/>
  <c r="BN593" i="23"/>
  <c r="BR593" i="23"/>
  <c r="O593" i="23"/>
  <c r="S593" i="23"/>
  <c r="W593" i="23"/>
  <c r="AA593" i="23"/>
  <c r="AE593" i="23"/>
  <c r="AI593" i="23"/>
  <c r="AM593" i="23"/>
  <c r="AQ593" i="23"/>
  <c r="AU593" i="23"/>
  <c r="AY593" i="23"/>
  <c r="BC593" i="23"/>
  <c r="BG593" i="23"/>
  <c r="BK593" i="23"/>
  <c r="BO593" i="23"/>
  <c r="BS593" i="23"/>
  <c r="P593" i="23"/>
  <c r="T593" i="23"/>
  <c r="X593" i="23"/>
  <c r="AB593" i="23"/>
  <c r="AF593" i="23"/>
  <c r="AJ593" i="23"/>
  <c r="AN593" i="23"/>
  <c r="AR593" i="23"/>
  <c r="AV593" i="23"/>
  <c r="AZ593" i="23"/>
  <c r="BD593" i="23"/>
  <c r="BH593" i="23"/>
  <c r="BL593" i="23"/>
  <c r="BP593" i="23"/>
  <c r="BS287" i="23"/>
  <c r="BS288" i="23" s="1"/>
  <c r="BS289" i="23" s="1"/>
  <c r="I251" i="23"/>
  <c r="H251" i="23" s="1"/>
  <c r="BS252" i="23"/>
  <c r="L353" i="23"/>
  <c r="L593" i="23" s="1"/>
  <c r="BS302" i="23"/>
  <c r="BS328" i="23" s="1"/>
  <c r="BS317" i="23"/>
  <c r="BS294" i="23"/>
  <c r="I294" i="23" s="1"/>
  <c r="H294" i="23" s="1"/>
  <c r="AS288" i="15"/>
  <c r="AT286" i="15" s="1"/>
  <c r="AS291" i="15"/>
  <c r="I353" i="23" l="1"/>
  <c r="BS330" i="23"/>
  <c r="I328" i="23"/>
  <c r="BS295" i="23"/>
  <c r="BS297" i="23"/>
  <c r="L360" i="23" s="1" a="1"/>
  <c r="I288" i="23"/>
  <c r="H288" i="23" s="1"/>
  <c r="AS294" i="15"/>
  <c r="AS328" i="15" s="1"/>
  <c r="AS330" i="15" s="1"/>
  <c r="AS331" i="15" s="1"/>
  <c r="AT249" i="15"/>
  <c r="AT257" i="15" s="1"/>
  <c r="AS309" i="15"/>
  <c r="AS311" i="15" s="1"/>
  <c r="AS316" i="15" s="1"/>
  <c r="AS315" i="15" s="1"/>
  <c r="M594" i="23" l="1"/>
  <c r="Q594" i="23"/>
  <c r="U594" i="23"/>
  <c r="Y594" i="23"/>
  <c r="AC594" i="23"/>
  <c r="AG594" i="23"/>
  <c r="AK594" i="23"/>
  <c r="AO594" i="23"/>
  <c r="AS594" i="23"/>
  <c r="AW594" i="23"/>
  <c r="BA594" i="23"/>
  <c r="BE594" i="23"/>
  <c r="BI594" i="23"/>
  <c r="BM594" i="23"/>
  <c r="BQ594" i="23"/>
  <c r="N594" i="23"/>
  <c r="R594" i="23"/>
  <c r="V594" i="23"/>
  <c r="Z594" i="23"/>
  <c r="AD594" i="23"/>
  <c r="AH594" i="23"/>
  <c r="AL594" i="23"/>
  <c r="AP594" i="23"/>
  <c r="AT594" i="23"/>
  <c r="AX594" i="23"/>
  <c r="BB594" i="23"/>
  <c r="BF594" i="23"/>
  <c r="BJ594" i="23"/>
  <c r="BN594" i="23"/>
  <c r="BR594" i="23"/>
  <c r="O594" i="23"/>
  <c r="S594" i="23"/>
  <c r="W594" i="23"/>
  <c r="AA594" i="23"/>
  <c r="AE594" i="23"/>
  <c r="AI594" i="23"/>
  <c r="AM594" i="23"/>
  <c r="AQ594" i="23"/>
  <c r="AU594" i="23"/>
  <c r="AY594" i="23"/>
  <c r="BC594" i="23"/>
  <c r="BG594" i="23"/>
  <c r="BK594" i="23"/>
  <c r="BO594" i="23"/>
  <c r="BS594" i="23"/>
  <c r="P594" i="23"/>
  <c r="T594" i="23"/>
  <c r="X594" i="23"/>
  <c r="AB594" i="23"/>
  <c r="AF594" i="23"/>
  <c r="AJ594" i="23"/>
  <c r="AN594" i="23"/>
  <c r="AR594" i="23"/>
  <c r="AV594" i="23"/>
  <c r="AZ594" i="23"/>
  <c r="BD594" i="23"/>
  <c r="BH594" i="23"/>
  <c r="BL594" i="23"/>
  <c r="BP594" i="23"/>
  <c r="L360" i="23"/>
  <c r="BS331" i="23"/>
  <c r="I331" i="23" s="1"/>
  <c r="I330" i="23"/>
  <c r="BS299" i="23"/>
  <c r="I299" i="23" s="1"/>
  <c r="H299" i="23" s="1"/>
  <c r="BS303" i="23"/>
  <c r="BS334" i="23" s="1"/>
  <c r="I302" i="23"/>
  <c r="AT261" i="15"/>
  <c r="AT263" i="15" s="1"/>
  <c r="AT267" i="15" s="1"/>
  <c r="AT269" i="15" s="1"/>
  <c r="AT270" i="15" s="1"/>
  <c r="AU268" i="15" s="1"/>
  <c r="AS296" i="15"/>
  <c r="AS297" i="15" s="1"/>
  <c r="AS322" i="15"/>
  <c r="L594" i="23" l="1"/>
  <c r="Q79" i="21" s="1" a="1"/>
  <c r="Q79" i="21" s="1"/>
  <c r="I360" i="23"/>
  <c r="BS340" i="23"/>
  <c r="BS336" i="23"/>
  <c r="I334" i="23"/>
  <c r="I317" i="23"/>
  <c r="BS305" i="23"/>
  <c r="L361" i="23" s="1" a="1"/>
  <c r="I303" i="23"/>
  <c r="AS324" i="15"/>
  <c r="AS333" i="15" s="1"/>
  <c r="AT264" i="15"/>
  <c r="AU262" i="15" s="1"/>
  <c r="AT273" i="15"/>
  <c r="AT275" i="15" s="1"/>
  <c r="M596" i="23" l="1"/>
  <c r="Q596" i="23"/>
  <c r="U596" i="23"/>
  <c r="Y596" i="23"/>
  <c r="AC596" i="23"/>
  <c r="AG596" i="23"/>
  <c r="AK596" i="23"/>
  <c r="AO596" i="23"/>
  <c r="AS596" i="23"/>
  <c r="AW596" i="23"/>
  <c r="BA596" i="23"/>
  <c r="BE596" i="23"/>
  <c r="BI596" i="23"/>
  <c r="BM596" i="23"/>
  <c r="BQ596" i="23"/>
  <c r="N596" i="23"/>
  <c r="R596" i="23"/>
  <c r="V596" i="23"/>
  <c r="Z596" i="23"/>
  <c r="AD596" i="23"/>
  <c r="AH596" i="23"/>
  <c r="AL596" i="23"/>
  <c r="AP596" i="23"/>
  <c r="AT596" i="23"/>
  <c r="AX596" i="23"/>
  <c r="BB596" i="23"/>
  <c r="BF596" i="23"/>
  <c r="BJ596" i="23"/>
  <c r="BN596" i="23"/>
  <c r="BR596" i="23"/>
  <c r="O596" i="23"/>
  <c r="S596" i="23"/>
  <c r="W596" i="23"/>
  <c r="AA596" i="23"/>
  <c r="AE596" i="23"/>
  <c r="AI596" i="23"/>
  <c r="AM596" i="23"/>
  <c r="AQ596" i="23"/>
  <c r="AU596" i="23"/>
  <c r="AY596" i="23"/>
  <c r="BC596" i="23"/>
  <c r="BG596" i="23"/>
  <c r="BK596" i="23"/>
  <c r="BO596" i="23"/>
  <c r="BS596" i="23"/>
  <c r="P596" i="23"/>
  <c r="T596" i="23"/>
  <c r="X596" i="23"/>
  <c r="AB596" i="23"/>
  <c r="AF596" i="23"/>
  <c r="AJ596" i="23"/>
  <c r="AN596" i="23"/>
  <c r="AR596" i="23"/>
  <c r="AV596" i="23"/>
  <c r="AZ596" i="23"/>
  <c r="BD596" i="23"/>
  <c r="BH596" i="23"/>
  <c r="BL596" i="23"/>
  <c r="BP596" i="23"/>
  <c r="I593" i="23"/>
  <c r="L361" i="23"/>
  <c r="I305" i="23"/>
  <c r="L354" i="23" a="1"/>
  <c r="BS337" i="23"/>
  <c r="I337" i="23" s="1"/>
  <c r="BS342" i="23"/>
  <c r="I342" i="23" s="1"/>
  <c r="I340" i="23"/>
  <c r="I336" i="23"/>
  <c r="BS322" i="23"/>
  <c r="I319" i="23"/>
  <c r="BS306" i="23"/>
  <c r="L562" i="23" s="1" a="1"/>
  <c r="AS325" i="15"/>
  <c r="AS334" i="15" s="1"/>
  <c r="AU226" i="15"/>
  <c r="AU307" i="15" s="1"/>
  <c r="AT279" i="15"/>
  <c r="AT281" i="15" s="1"/>
  <c r="AT276" i="15"/>
  <c r="AU274" i="15" s="1"/>
  <c r="M595" i="23" l="1"/>
  <c r="Q595" i="23"/>
  <c r="U595" i="23"/>
  <c r="Y595" i="23"/>
  <c r="AC595" i="23"/>
  <c r="AG595" i="23"/>
  <c r="AK595" i="23"/>
  <c r="AO595" i="23"/>
  <c r="AS595" i="23"/>
  <c r="AW595" i="23"/>
  <c r="BA595" i="23"/>
  <c r="BE595" i="23"/>
  <c r="BI595" i="23"/>
  <c r="BM595" i="23"/>
  <c r="BQ595" i="23"/>
  <c r="N595" i="23"/>
  <c r="R595" i="23"/>
  <c r="V595" i="23"/>
  <c r="Z595" i="23"/>
  <c r="AD595" i="23"/>
  <c r="AH595" i="23"/>
  <c r="AL595" i="23"/>
  <c r="AP595" i="23"/>
  <c r="AT595" i="23"/>
  <c r="AX595" i="23"/>
  <c r="BB595" i="23"/>
  <c r="BF595" i="23"/>
  <c r="BJ595" i="23"/>
  <c r="BN595" i="23"/>
  <c r="BR595" i="23"/>
  <c r="O595" i="23"/>
  <c r="S595" i="23"/>
  <c r="W595" i="23"/>
  <c r="AA595" i="23"/>
  <c r="AE595" i="23"/>
  <c r="AI595" i="23"/>
  <c r="AM595" i="23"/>
  <c r="AQ595" i="23"/>
  <c r="AU595" i="23"/>
  <c r="AY595" i="23"/>
  <c r="BC595" i="23"/>
  <c r="BG595" i="23"/>
  <c r="BK595" i="23"/>
  <c r="BO595" i="23"/>
  <c r="BS595" i="23"/>
  <c r="P595" i="23"/>
  <c r="T595" i="23"/>
  <c r="X595" i="23"/>
  <c r="AB595" i="23"/>
  <c r="AF595" i="23"/>
  <c r="AJ595" i="23"/>
  <c r="AN595" i="23"/>
  <c r="AR595" i="23"/>
  <c r="AV595" i="23"/>
  <c r="AZ595" i="23"/>
  <c r="BD595" i="23"/>
  <c r="BH595" i="23"/>
  <c r="BL595" i="23"/>
  <c r="BP595" i="23"/>
  <c r="M589" i="23"/>
  <c r="Q589" i="23"/>
  <c r="U589" i="23"/>
  <c r="Y589" i="23"/>
  <c r="AC589" i="23"/>
  <c r="AG589" i="23"/>
  <c r="AK589" i="23"/>
  <c r="AO589" i="23"/>
  <c r="AS589" i="23"/>
  <c r="AW589" i="23"/>
  <c r="BA589" i="23"/>
  <c r="BE589" i="23"/>
  <c r="BI589" i="23"/>
  <c r="BM589" i="23"/>
  <c r="BQ589" i="23"/>
  <c r="AN589" i="23"/>
  <c r="BP589" i="23"/>
  <c r="N589" i="23"/>
  <c r="R589" i="23"/>
  <c r="V589" i="23"/>
  <c r="Z589" i="23"/>
  <c r="AD589" i="23"/>
  <c r="AH589" i="23"/>
  <c r="AL589" i="23"/>
  <c r="AP589" i="23"/>
  <c r="AT589" i="23"/>
  <c r="AX589" i="23"/>
  <c r="BB589" i="23"/>
  <c r="BF589" i="23"/>
  <c r="BJ589" i="23"/>
  <c r="BN589" i="23"/>
  <c r="BR589" i="23"/>
  <c r="T589" i="23"/>
  <c r="BH589" i="23"/>
  <c r="O589" i="23"/>
  <c r="S589" i="23"/>
  <c r="W589" i="23"/>
  <c r="AA589" i="23"/>
  <c r="AE589" i="23"/>
  <c r="AI589" i="23"/>
  <c r="AM589" i="23"/>
  <c r="AQ589" i="23"/>
  <c r="AU589" i="23"/>
  <c r="AY589" i="23"/>
  <c r="BC589" i="23"/>
  <c r="BG589" i="23"/>
  <c r="BK589" i="23"/>
  <c r="BO589" i="23"/>
  <c r="BS589" i="23"/>
  <c r="P589" i="23"/>
  <c r="X589" i="23"/>
  <c r="AB589" i="23"/>
  <c r="AF589" i="23"/>
  <c r="AJ589" i="23"/>
  <c r="AR589" i="23"/>
  <c r="AV589" i="23"/>
  <c r="AZ589" i="23"/>
  <c r="BD589" i="23"/>
  <c r="BL589" i="23"/>
  <c r="AU174" i="15"/>
  <c r="AU305" i="15"/>
  <c r="I361" i="23"/>
  <c r="L596" i="23"/>
  <c r="L562" i="23"/>
  <c r="L589" i="23" s="1"/>
  <c r="I322" i="23"/>
  <c r="L563" i="23" a="1"/>
  <c r="I306" i="23"/>
  <c r="L354" i="23"/>
  <c r="L595" i="23" s="1"/>
  <c r="BS345" i="23"/>
  <c r="L362" i="23" s="1" a="1"/>
  <c r="BS343" i="23"/>
  <c r="I343" i="23" s="1"/>
  <c r="AT285" i="15"/>
  <c r="AT287" i="15" s="1"/>
  <c r="AT282" i="15"/>
  <c r="AU280" i="15" s="1"/>
  <c r="AU253" i="15"/>
  <c r="AU303" i="15"/>
  <c r="AU313" i="15"/>
  <c r="M590" i="23" l="1"/>
  <c r="Q590" i="23"/>
  <c r="U590" i="23"/>
  <c r="Y590" i="23"/>
  <c r="AC590" i="23"/>
  <c r="AG590" i="23"/>
  <c r="AK590" i="23"/>
  <c r="AO590" i="23"/>
  <c r="AS590" i="23"/>
  <c r="AW590" i="23"/>
  <c r="BA590" i="23"/>
  <c r="BE590" i="23"/>
  <c r="BI590" i="23"/>
  <c r="BM590" i="23"/>
  <c r="BQ590" i="23"/>
  <c r="AE590" i="23"/>
  <c r="BG590" i="23"/>
  <c r="BS590" i="23"/>
  <c r="T590" i="23"/>
  <c r="AB590" i="23"/>
  <c r="AJ590" i="23"/>
  <c r="AR590" i="23"/>
  <c r="AZ590" i="23"/>
  <c r="BH590" i="23"/>
  <c r="BP590" i="23"/>
  <c r="N590" i="23"/>
  <c r="R590" i="23"/>
  <c r="V590" i="23"/>
  <c r="Z590" i="23"/>
  <c r="AD590" i="23"/>
  <c r="AH590" i="23"/>
  <c r="AL590" i="23"/>
  <c r="AP590" i="23"/>
  <c r="AT590" i="23"/>
  <c r="AX590" i="23"/>
  <c r="BB590" i="23"/>
  <c r="BF590" i="23"/>
  <c r="BJ590" i="23"/>
  <c r="BN590" i="23"/>
  <c r="BR590" i="23"/>
  <c r="O590" i="23"/>
  <c r="S590" i="23"/>
  <c r="W590" i="23"/>
  <c r="AA590" i="23"/>
  <c r="AI590" i="23"/>
  <c r="AM590" i="23"/>
  <c r="AQ590" i="23"/>
  <c r="AU590" i="23"/>
  <c r="AY590" i="23"/>
  <c r="BC590" i="23"/>
  <c r="BK590" i="23"/>
  <c r="BO590" i="23"/>
  <c r="P590" i="23"/>
  <c r="X590" i="23"/>
  <c r="AF590" i="23"/>
  <c r="AN590" i="23"/>
  <c r="AV590" i="23"/>
  <c r="BD590" i="23"/>
  <c r="BL590" i="23"/>
  <c r="M599" i="23"/>
  <c r="Q599" i="23"/>
  <c r="U599" i="23"/>
  <c r="Y599" i="23"/>
  <c r="AC599" i="23"/>
  <c r="AG599" i="23"/>
  <c r="AK599" i="23"/>
  <c r="AO599" i="23"/>
  <c r="AS599" i="23"/>
  <c r="AW599" i="23"/>
  <c r="BA599" i="23"/>
  <c r="BE599" i="23"/>
  <c r="BI599" i="23"/>
  <c r="BM599" i="23"/>
  <c r="BQ599" i="23"/>
  <c r="N599" i="23"/>
  <c r="R599" i="23"/>
  <c r="V599" i="23"/>
  <c r="Z599" i="23"/>
  <c r="AD599" i="23"/>
  <c r="AH599" i="23"/>
  <c r="AL599" i="23"/>
  <c r="AP599" i="23"/>
  <c r="AT599" i="23"/>
  <c r="AX599" i="23"/>
  <c r="BB599" i="23"/>
  <c r="BF599" i="23"/>
  <c r="BJ599" i="23"/>
  <c r="BN599" i="23"/>
  <c r="BR599" i="23"/>
  <c r="O599" i="23"/>
  <c r="S599" i="23"/>
  <c r="W599" i="23"/>
  <c r="AA599" i="23"/>
  <c r="AE599" i="23"/>
  <c r="AI599" i="23"/>
  <c r="AM599" i="23"/>
  <c r="AQ599" i="23"/>
  <c r="AU599" i="23"/>
  <c r="AY599" i="23"/>
  <c r="BC599" i="23"/>
  <c r="BG599" i="23"/>
  <c r="BK599" i="23"/>
  <c r="BO599" i="23"/>
  <c r="BS599" i="23"/>
  <c r="P599" i="23"/>
  <c r="T599" i="23"/>
  <c r="X599" i="23"/>
  <c r="AB599" i="23"/>
  <c r="AF599" i="23"/>
  <c r="AJ599" i="23"/>
  <c r="AN599" i="23"/>
  <c r="AR599" i="23"/>
  <c r="AV599" i="23"/>
  <c r="AZ599" i="23"/>
  <c r="BD599" i="23"/>
  <c r="BH599" i="23"/>
  <c r="BL599" i="23"/>
  <c r="BP599" i="23"/>
  <c r="I596" i="23"/>
  <c r="I594" i="23"/>
  <c r="I354" i="23"/>
  <c r="L563" i="23"/>
  <c r="L590" i="23" s="1"/>
  <c r="L362" i="23"/>
  <c r="AB363" i="23"/>
  <c r="AB381" i="23" s="1"/>
  <c r="BS363" i="23"/>
  <c r="BS381" i="23" s="1"/>
  <c r="S363" i="23"/>
  <c r="S381" i="23" s="1"/>
  <c r="AK363" i="23"/>
  <c r="AK381" i="23" s="1"/>
  <c r="BQ363" i="23"/>
  <c r="BQ381" i="23" s="1"/>
  <c r="AN363" i="23"/>
  <c r="AN381" i="23" s="1"/>
  <c r="AT363" i="23"/>
  <c r="AT381" i="23" s="1"/>
  <c r="W363" i="23"/>
  <c r="W381" i="23" s="1"/>
  <c r="BO363" i="23"/>
  <c r="BO381" i="23" s="1"/>
  <c r="AX363" i="23"/>
  <c r="AX381" i="23" s="1"/>
  <c r="BK363" i="23"/>
  <c r="BK381" i="23" s="1"/>
  <c r="AQ363" i="23"/>
  <c r="AQ381" i="23" s="1"/>
  <c r="BL363" i="23"/>
  <c r="BL381" i="23" s="1"/>
  <c r="AV363" i="23"/>
  <c r="AV381" i="23" s="1"/>
  <c r="AI363" i="23"/>
  <c r="AI381" i="23" s="1"/>
  <c r="AC363" i="23"/>
  <c r="AC381" i="23" s="1"/>
  <c r="BJ363" i="23"/>
  <c r="BJ381" i="23" s="1"/>
  <c r="BR363" i="23"/>
  <c r="BR381" i="23" s="1"/>
  <c r="AD363" i="23"/>
  <c r="AD381" i="23" s="1"/>
  <c r="AE363" i="23"/>
  <c r="AE381" i="23" s="1"/>
  <c r="AG363" i="23"/>
  <c r="AG381" i="23" s="1"/>
  <c r="AW363" i="23"/>
  <c r="AW381" i="23" s="1"/>
  <c r="AR363" i="23"/>
  <c r="AR381" i="23" s="1"/>
  <c r="BM363" i="23"/>
  <c r="BM381" i="23" s="1"/>
  <c r="AS363" i="23"/>
  <c r="AS381" i="23" s="1"/>
  <c r="AY363" i="23"/>
  <c r="AY381" i="23" s="1"/>
  <c r="BN363" i="23"/>
  <c r="BN381" i="23" s="1"/>
  <c r="BI363" i="23"/>
  <c r="BI381" i="23" s="1"/>
  <c r="BH363" i="23"/>
  <c r="BH381" i="23" s="1"/>
  <c r="V363" i="23"/>
  <c r="V381" i="23" s="1"/>
  <c r="Q363" i="23"/>
  <c r="Q381" i="23" s="1"/>
  <c r="R363" i="23"/>
  <c r="R381" i="23" s="1"/>
  <c r="U363" i="23"/>
  <c r="U381" i="23" s="1"/>
  <c r="BE363" i="23"/>
  <c r="BE381" i="23" s="1"/>
  <c r="BA363" i="23"/>
  <c r="BA381" i="23" s="1"/>
  <c r="AP363" i="23"/>
  <c r="AP381" i="23" s="1"/>
  <c r="BD363" i="23"/>
  <c r="BD381" i="23" s="1"/>
  <c r="AA363" i="23"/>
  <c r="AA381" i="23" s="1"/>
  <c r="N363" i="23"/>
  <c r="N381" i="23" s="1"/>
  <c r="AO363" i="23"/>
  <c r="AO381" i="23" s="1"/>
  <c r="BP363" i="23"/>
  <c r="BP381" i="23" s="1"/>
  <c r="Y363" i="23"/>
  <c r="Y381" i="23" s="1"/>
  <c r="P363" i="23"/>
  <c r="P381" i="23" s="1"/>
  <c r="M363" i="23"/>
  <c r="M381" i="23" s="1"/>
  <c r="X363" i="23"/>
  <c r="X381" i="23" s="1"/>
  <c r="AF363" i="23"/>
  <c r="AF381" i="23" s="1"/>
  <c r="T363" i="23"/>
  <c r="T381" i="23" s="1"/>
  <c r="AM363" i="23"/>
  <c r="AM381" i="23" s="1"/>
  <c r="BG363" i="23"/>
  <c r="BG381" i="23" s="1"/>
  <c r="AZ363" i="23"/>
  <c r="AZ381" i="23" s="1"/>
  <c r="BC363" i="23"/>
  <c r="BC381" i="23" s="1"/>
  <c r="BB363" i="23"/>
  <c r="BB381" i="23" s="1"/>
  <c r="AH363" i="23"/>
  <c r="AH381" i="23" s="1"/>
  <c r="AJ363" i="23"/>
  <c r="AJ381" i="23" s="1"/>
  <c r="Z363" i="23"/>
  <c r="Z381" i="23" s="1"/>
  <c r="O363" i="23"/>
  <c r="O381" i="23" s="1"/>
  <c r="BF363" i="23"/>
  <c r="BF381" i="23" s="1"/>
  <c r="AU363" i="23"/>
  <c r="AU381" i="23" s="1"/>
  <c r="AL363" i="23"/>
  <c r="AL381" i="23" s="1"/>
  <c r="I362" i="23"/>
  <c r="I345" i="23"/>
  <c r="L356" i="23" a="1"/>
  <c r="BS346" i="23"/>
  <c r="AT288" i="15"/>
  <c r="AU286" i="15" s="1"/>
  <c r="AT291" i="15"/>
  <c r="M598" i="23" l="1"/>
  <c r="Q598" i="23"/>
  <c r="U598" i="23"/>
  <c r="Y598" i="23"/>
  <c r="AC598" i="23"/>
  <c r="AG598" i="23"/>
  <c r="AK598" i="23"/>
  <c r="AO598" i="23"/>
  <c r="AS598" i="23"/>
  <c r="AW598" i="23"/>
  <c r="BA598" i="23"/>
  <c r="BE598" i="23"/>
  <c r="BI598" i="23"/>
  <c r="BM598" i="23"/>
  <c r="BQ598" i="23"/>
  <c r="X598" i="23"/>
  <c r="N598" i="23"/>
  <c r="R598" i="23"/>
  <c r="V598" i="23"/>
  <c r="Z598" i="23"/>
  <c r="AD598" i="23"/>
  <c r="AH598" i="23"/>
  <c r="AL598" i="23"/>
  <c r="AP598" i="23"/>
  <c r="AT598" i="23"/>
  <c r="AX598" i="23"/>
  <c r="BB598" i="23"/>
  <c r="BF598" i="23"/>
  <c r="BJ598" i="23"/>
  <c r="BN598" i="23"/>
  <c r="BR598" i="23"/>
  <c r="T598" i="23"/>
  <c r="AB598" i="23"/>
  <c r="AJ598" i="23"/>
  <c r="AR598" i="23"/>
  <c r="AZ598" i="23"/>
  <c r="BH598" i="23"/>
  <c r="BP598" i="23"/>
  <c r="O598" i="23"/>
  <c r="S598" i="23"/>
  <c r="W598" i="23"/>
  <c r="AA598" i="23"/>
  <c r="AE598" i="23"/>
  <c r="AI598" i="23"/>
  <c r="AM598" i="23"/>
  <c r="AQ598" i="23"/>
  <c r="AU598" i="23"/>
  <c r="AY598" i="23"/>
  <c r="BC598" i="23"/>
  <c r="BG598" i="23"/>
  <c r="BK598" i="23"/>
  <c r="BO598" i="23"/>
  <c r="BS598" i="23"/>
  <c r="P598" i="23"/>
  <c r="AF598" i="23"/>
  <c r="AN598" i="23"/>
  <c r="AV598" i="23"/>
  <c r="BD598" i="23"/>
  <c r="BL598" i="23"/>
  <c r="L363" i="23"/>
  <c r="L471" i="23" s="1" a="1"/>
  <c r="L471" i="23" s="1"/>
  <c r="I471" i="23" s="1"/>
  <c r="L599" i="23"/>
  <c r="Q83" i="21" s="1" a="1"/>
  <c r="Q83" i="21" s="1"/>
  <c r="I595" i="23"/>
  <c r="I563" i="23"/>
  <c r="I346" i="23"/>
  <c r="L564" i="23" a="1"/>
  <c r="I589" i="23"/>
  <c r="I562" i="23"/>
  <c r="AL367" i="23"/>
  <c r="AL380" i="23"/>
  <c r="AL382" i="23" s="1"/>
  <c r="Z367" i="23"/>
  <c r="Z380" i="23"/>
  <c r="Z382" i="23" s="1"/>
  <c r="BC367" i="23"/>
  <c r="BC380" i="23"/>
  <c r="BC382" i="23" s="1"/>
  <c r="T367" i="23"/>
  <c r="T391" i="23" s="1"/>
  <c r="T380" i="23"/>
  <c r="T382" i="23" s="1"/>
  <c r="P367" i="23"/>
  <c r="P380" i="23"/>
  <c r="P382" i="23" s="1"/>
  <c r="N367" i="23"/>
  <c r="N380" i="23"/>
  <c r="N382" i="23" s="1"/>
  <c r="BA367" i="23"/>
  <c r="BA380" i="23"/>
  <c r="BA382" i="23" s="1"/>
  <c r="Q367" i="23"/>
  <c r="Q391" i="23" s="1"/>
  <c r="Q380" i="23"/>
  <c r="Q382" i="23" s="1"/>
  <c r="BN367" i="23"/>
  <c r="BN380" i="23"/>
  <c r="BN382" i="23" s="1"/>
  <c r="AR367" i="23"/>
  <c r="AR391" i="23" s="1"/>
  <c r="AR380" i="23"/>
  <c r="AR382" i="23" s="1"/>
  <c r="AD367" i="23"/>
  <c r="AD380" i="23"/>
  <c r="AD382" i="23" s="1"/>
  <c r="AI367" i="23"/>
  <c r="AI380" i="23"/>
  <c r="AI382" i="23" s="1"/>
  <c r="BK367" i="23"/>
  <c r="BK380" i="23"/>
  <c r="BK382" i="23" s="1"/>
  <c r="AT367" i="23"/>
  <c r="AT380" i="23"/>
  <c r="AT382" i="23" s="1"/>
  <c r="S367" i="23"/>
  <c r="S380" i="23"/>
  <c r="S382" i="23" s="1"/>
  <c r="AU367" i="23"/>
  <c r="AU380" i="23"/>
  <c r="AU382" i="23" s="1"/>
  <c r="AJ367" i="23"/>
  <c r="AJ380" i="23"/>
  <c r="AJ382" i="23" s="1"/>
  <c r="AZ367" i="23"/>
  <c r="AZ391" i="23" s="1"/>
  <c r="AZ380" i="23"/>
  <c r="AZ382" i="23" s="1"/>
  <c r="AF367" i="23"/>
  <c r="AF380" i="23"/>
  <c r="AF382" i="23" s="1"/>
  <c r="Y367" i="23"/>
  <c r="Y391" i="23" s="1"/>
  <c r="Y380" i="23"/>
  <c r="Y382" i="23" s="1"/>
  <c r="AA367" i="23"/>
  <c r="AA380" i="23"/>
  <c r="AA382" i="23" s="1"/>
  <c r="BE367" i="23"/>
  <c r="BE391" i="23" s="1"/>
  <c r="BE380" i="23"/>
  <c r="BE382" i="23" s="1"/>
  <c r="V367" i="23"/>
  <c r="V380" i="23"/>
  <c r="V382" i="23" s="1"/>
  <c r="AY367" i="23"/>
  <c r="AY380" i="23"/>
  <c r="AY382" i="23" s="1"/>
  <c r="AW367" i="23"/>
  <c r="AW380" i="23"/>
  <c r="AW382" i="23" s="1"/>
  <c r="BR367" i="23"/>
  <c r="BR380" i="23"/>
  <c r="BR382" i="23" s="1"/>
  <c r="AV367" i="23"/>
  <c r="AV380" i="23"/>
  <c r="AV382" i="23" s="1"/>
  <c r="AX367" i="23"/>
  <c r="AX380" i="23"/>
  <c r="AX382" i="23" s="1"/>
  <c r="AN367" i="23"/>
  <c r="AN380" i="23"/>
  <c r="AN382" i="23" s="1"/>
  <c r="BS367" i="23"/>
  <c r="BS380" i="23"/>
  <c r="BS382" i="23" s="1"/>
  <c r="BF367" i="23"/>
  <c r="BF380" i="23"/>
  <c r="BF382" i="23" s="1"/>
  <c r="AH367" i="23"/>
  <c r="AH391" i="23" s="1"/>
  <c r="AH380" i="23"/>
  <c r="AH382" i="23" s="1"/>
  <c r="BG367" i="23"/>
  <c r="BG380" i="23"/>
  <c r="BG382" i="23" s="1"/>
  <c r="X367" i="23"/>
  <c r="X380" i="23"/>
  <c r="X382" i="23" s="1"/>
  <c r="BP367" i="23"/>
  <c r="BP380" i="23"/>
  <c r="BP382" i="23" s="1"/>
  <c r="BD367" i="23"/>
  <c r="BD380" i="23"/>
  <c r="BD382" i="23" s="1"/>
  <c r="U367" i="23"/>
  <c r="U380" i="23"/>
  <c r="U382" i="23" s="1"/>
  <c r="BH367" i="23"/>
  <c r="BH380" i="23"/>
  <c r="BH382" i="23" s="1"/>
  <c r="AS367" i="23"/>
  <c r="AS380" i="23"/>
  <c r="AS382" i="23" s="1"/>
  <c r="AG367" i="23"/>
  <c r="AG380" i="23"/>
  <c r="AG382" i="23" s="1"/>
  <c r="BJ367" i="23"/>
  <c r="BJ380" i="23"/>
  <c r="BJ382" i="23" s="1"/>
  <c r="BL367" i="23"/>
  <c r="BL380" i="23"/>
  <c r="BL382" i="23" s="1"/>
  <c r="BO367" i="23"/>
  <c r="BO380" i="23"/>
  <c r="BO382" i="23" s="1"/>
  <c r="BQ367" i="23"/>
  <c r="BQ380" i="23"/>
  <c r="BQ382" i="23" s="1"/>
  <c r="AB367" i="23"/>
  <c r="AB380" i="23"/>
  <c r="AB382" i="23" s="1"/>
  <c r="O367" i="23"/>
  <c r="O391" i="23" s="1"/>
  <c r="O380" i="23"/>
  <c r="O382" i="23" s="1"/>
  <c r="BB367" i="23"/>
  <c r="BB380" i="23"/>
  <c r="BB382" i="23" s="1"/>
  <c r="AM367" i="23"/>
  <c r="AM391" i="23" s="1"/>
  <c r="AM380" i="23"/>
  <c r="AM382" i="23" s="1"/>
  <c r="M367" i="23"/>
  <c r="M380" i="23"/>
  <c r="M382" i="23" s="1"/>
  <c r="AO367" i="23"/>
  <c r="AO380" i="23"/>
  <c r="AO382" i="23" s="1"/>
  <c r="AP367" i="23"/>
  <c r="AP380" i="23"/>
  <c r="AP382" i="23" s="1"/>
  <c r="R367" i="23"/>
  <c r="R391" i="23" s="1"/>
  <c r="R380" i="23"/>
  <c r="R382" i="23" s="1"/>
  <c r="BI367" i="23"/>
  <c r="BI380" i="23"/>
  <c r="BI382" i="23" s="1"/>
  <c r="BM367" i="23"/>
  <c r="BM380" i="23"/>
  <c r="BM382" i="23" s="1"/>
  <c r="AE367" i="23"/>
  <c r="AE380" i="23"/>
  <c r="AE382" i="23" s="1"/>
  <c r="AC367" i="23"/>
  <c r="AC391" i="23" s="1"/>
  <c r="AC380" i="23"/>
  <c r="AC382" i="23" s="1"/>
  <c r="AQ367" i="23"/>
  <c r="AQ380" i="23"/>
  <c r="AQ382" i="23" s="1"/>
  <c r="W367" i="23"/>
  <c r="W391" i="23" s="1"/>
  <c r="W380" i="23"/>
  <c r="W382" i="23" s="1"/>
  <c r="AK367" i="23"/>
  <c r="AK380" i="23"/>
  <c r="AK382" i="23" s="1"/>
  <c r="L356" i="23"/>
  <c r="L598" i="23" s="1"/>
  <c r="BK357" i="23"/>
  <c r="X357" i="23"/>
  <c r="P357" i="23"/>
  <c r="AU357" i="23"/>
  <c r="AW357" i="23"/>
  <c r="AK357" i="23"/>
  <c r="AN357" i="23"/>
  <c r="AQ357" i="23"/>
  <c r="AB357" i="23"/>
  <c r="BQ357" i="23"/>
  <c r="AA357" i="23"/>
  <c r="AS357" i="23"/>
  <c r="BM357" i="23"/>
  <c r="AP357" i="23"/>
  <c r="R357" i="23"/>
  <c r="T357" i="23"/>
  <c r="AD357" i="23"/>
  <c r="AZ357" i="23"/>
  <c r="AO357" i="23"/>
  <c r="BJ357" i="23"/>
  <c r="BA357" i="23"/>
  <c r="Z357" i="23"/>
  <c r="AY357" i="23"/>
  <c r="BL357" i="23"/>
  <c r="AM357" i="23"/>
  <c r="AI357" i="23"/>
  <c r="O357" i="23"/>
  <c r="AV357" i="23"/>
  <c r="N357" i="23"/>
  <c r="AL357" i="23"/>
  <c r="BO357" i="23"/>
  <c r="AE357" i="23"/>
  <c r="BP357" i="23"/>
  <c r="BE357" i="23"/>
  <c r="BR357" i="23"/>
  <c r="BD357" i="23"/>
  <c r="AH357" i="23"/>
  <c r="BS357" i="23"/>
  <c r="BF357" i="23"/>
  <c r="U357" i="23"/>
  <c r="AC357" i="23"/>
  <c r="BH357" i="23"/>
  <c r="BN357" i="23"/>
  <c r="V357" i="23"/>
  <c r="AF357" i="23"/>
  <c r="BG357" i="23"/>
  <c r="Y357" i="23"/>
  <c r="Q357" i="23"/>
  <c r="BB357" i="23"/>
  <c r="AX357" i="23"/>
  <c r="BC357" i="23"/>
  <c r="W357" i="23"/>
  <c r="S357" i="23"/>
  <c r="BI357" i="23"/>
  <c r="M357" i="23"/>
  <c r="AT357" i="23"/>
  <c r="AR357" i="23"/>
  <c r="AG357" i="23"/>
  <c r="AJ357" i="23"/>
  <c r="AU249" i="15"/>
  <c r="AU257" i="15" s="1"/>
  <c r="AT294" i="15"/>
  <c r="AT309" i="15"/>
  <c r="AT311" i="15" s="1"/>
  <c r="AT316" i="15" s="1"/>
  <c r="AT315" i="15" s="1"/>
  <c r="M591" i="23" l="1"/>
  <c r="Q591" i="23"/>
  <c r="U591" i="23"/>
  <c r="Y591" i="23"/>
  <c r="AC591" i="23"/>
  <c r="AG591" i="23"/>
  <c r="AK591" i="23"/>
  <c r="AO591" i="23"/>
  <c r="AS591" i="23"/>
  <c r="AW591" i="23"/>
  <c r="BA591" i="23"/>
  <c r="BE591" i="23"/>
  <c r="BI591" i="23"/>
  <c r="BM591" i="23"/>
  <c r="BQ591" i="23"/>
  <c r="N591" i="23"/>
  <c r="R591" i="23"/>
  <c r="V591" i="23"/>
  <c r="Z591" i="23"/>
  <c r="AD591" i="23"/>
  <c r="AH591" i="23"/>
  <c r="AL591" i="23"/>
  <c r="AP591" i="23"/>
  <c r="AT591" i="23"/>
  <c r="AX591" i="23"/>
  <c r="BB591" i="23"/>
  <c r="BF591" i="23"/>
  <c r="BJ591" i="23"/>
  <c r="BN591" i="23"/>
  <c r="BR591" i="23"/>
  <c r="O591" i="23"/>
  <c r="S591" i="23"/>
  <c r="W591" i="23"/>
  <c r="AA591" i="23"/>
  <c r="AE591" i="23"/>
  <c r="AI591" i="23"/>
  <c r="AM591" i="23"/>
  <c r="AQ591" i="23"/>
  <c r="AU591" i="23"/>
  <c r="AY591" i="23"/>
  <c r="BC591" i="23"/>
  <c r="BG591" i="23"/>
  <c r="BK591" i="23"/>
  <c r="BO591" i="23"/>
  <c r="BS591" i="23"/>
  <c r="P591" i="23"/>
  <c r="T591" i="23"/>
  <c r="X591" i="23"/>
  <c r="AB591" i="23"/>
  <c r="AF591" i="23"/>
  <c r="AJ591" i="23"/>
  <c r="AN591" i="23"/>
  <c r="AR591" i="23"/>
  <c r="AV591" i="23"/>
  <c r="AZ591" i="23"/>
  <c r="BD591" i="23"/>
  <c r="BH591" i="23"/>
  <c r="BL591" i="23"/>
  <c r="BP591" i="23"/>
  <c r="I363" i="23"/>
  <c r="L380" i="23"/>
  <c r="I380" i="23" s="1"/>
  <c r="L367" i="23"/>
  <c r="L391" i="23" s="1"/>
  <c r="L381" i="23"/>
  <c r="I381" i="23" s="1"/>
  <c r="I590" i="23"/>
  <c r="AX376" i="23"/>
  <c r="BS376" i="23"/>
  <c r="AI376" i="23"/>
  <c r="AP376" i="23"/>
  <c r="AR376" i="23"/>
  <c r="BB376" i="23"/>
  <c r="AC376" i="23"/>
  <c r="BP376" i="23"/>
  <c r="BA376" i="23"/>
  <c r="BM376" i="23"/>
  <c r="AW376" i="23"/>
  <c r="AT376" i="23"/>
  <c r="Q376" i="23"/>
  <c r="U376" i="23"/>
  <c r="BD376" i="23"/>
  <c r="AV376" i="23"/>
  <c r="BJ376" i="23"/>
  <c r="AS376" i="23"/>
  <c r="AU376" i="23"/>
  <c r="BI376" i="23"/>
  <c r="BG376" i="23"/>
  <c r="BE376" i="23"/>
  <c r="Z376" i="23"/>
  <c r="S376" i="23"/>
  <c r="AF376" i="23"/>
  <c r="AH376" i="23"/>
  <c r="AM376" i="23"/>
  <c r="AD376" i="23"/>
  <c r="AB376" i="23"/>
  <c r="BK376" i="23"/>
  <c r="W376" i="23"/>
  <c r="V376" i="23"/>
  <c r="AE376" i="23"/>
  <c r="BL376" i="23"/>
  <c r="T376" i="23"/>
  <c r="AQ376" i="23"/>
  <c r="AJ376" i="23"/>
  <c r="M376" i="23"/>
  <c r="BC376" i="23"/>
  <c r="Y376" i="23"/>
  <c r="BN376" i="23"/>
  <c r="BF376" i="23"/>
  <c r="BR376" i="23"/>
  <c r="BO376" i="23"/>
  <c r="O376" i="23"/>
  <c r="AY376" i="23"/>
  <c r="AO376" i="23"/>
  <c r="R376" i="23"/>
  <c r="AA376" i="23"/>
  <c r="AN376" i="23"/>
  <c r="P376" i="23"/>
  <c r="AG376" i="23"/>
  <c r="BH376" i="23"/>
  <c r="AL376" i="23"/>
  <c r="AZ376" i="23"/>
  <c r="BQ376" i="23"/>
  <c r="AK376" i="23"/>
  <c r="X376" i="23"/>
  <c r="N376" i="23"/>
  <c r="L357" i="23"/>
  <c r="L564" i="23"/>
  <c r="L591" i="23" s="1"/>
  <c r="AT572" i="23"/>
  <c r="AB572" i="23"/>
  <c r="T572" i="23"/>
  <c r="BS572" i="23"/>
  <c r="AP572" i="23"/>
  <c r="S572" i="23"/>
  <c r="X572" i="23"/>
  <c r="BF572" i="23"/>
  <c r="BR572" i="23"/>
  <c r="BG572" i="23"/>
  <c r="BB572" i="23"/>
  <c r="AR572" i="23"/>
  <c r="AQ572" i="23"/>
  <c r="U572" i="23"/>
  <c r="AG572" i="23"/>
  <c r="BC572" i="23"/>
  <c r="R572" i="23"/>
  <c r="AO572" i="23"/>
  <c r="BO572" i="23"/>
  <c r="AK572" i="23"/>
  <c r="AF572" i="23"/>
  <c r="Z572" i="23"/>
  <c r="AE572" i="23"/>
  <c r="N572" i="23"/>
  <c r="AM572" i="23"/>
  <c r="BM572" i="23"/>
  <c r="BP572" i="23"/>
  <c r="BE572" i="23"/>
  <c r="P572" i="23"/>
  <c r="BH572" i="23"/>
  <c r="AY572" i="23"/>
  <c r="AU572" i="23"/>
  <c r="BJ572" i="23"/>
  <c r="Y572" i="23"/>
  <c r="O572" i="23"/>
  <c r="BN572" i="23"/>
  <c r="AA572" i="23"/>
  <c r="AJ572" i="23"/>
  <c r="W572" i="23"/>
  <c r="AI572" i="23"/>
  <c r="AC572" i="23"/>
  <c r="AN572" i="23"/>
  <c r="M572" i="23"/>
  <c r="BA572" i="23"/>
  <c r="BI572" i="23"/>
  <c r="AZ572" i="23"/>
  <c r="BD572" i="23"/>
  <c r="AH572" i="23"/>
  <c r="BQ572" i="23"/>
  <c r="AD572" i="23"/>
  <c r="AL572" i="23"/>
  <c r="BL572" i="23"/>
  <c r="AW572" i="23"/>
  <c r="AX572" i="23"/>
  <c r="BK572" i="23"/>
  <c r="V572" i="23"/>
  <c r="AS572" i="23"/>
  <c r="AV572" i="23"/>
  <c r="Q572" i="23"/>
  <c r="BM390" i="23"/>
  <c r="BM391" i="23"/>
  <c r="AO390" i="23"/>
  <c r="AO391" i="23"/>
  <c r="BQ390" i="23"/>
  <c r="BQ391" i="23"/>
  <c r="BL390" i="23"/>
  <c r="BL391" i="23"/>
  <c r="AG390" i="23"/>
  <c r="AG391" i="23"/>
  <c r="BH390" i="23"/>
  <c r="BH391" i="23"/>
  <c r="BD390" i="23"/>
  <c r="BD391" i="23"/>
  <c r="X390" i="23"/>
  <c r="X391" i="23"/>
  <c r="BS390" i="23"/>
  <c r="BS391" i="23"/>
  <c r="AX390" i="23"/>
  <c r="AX391" i="23"/>
  <c r="BR390" i="23"/>
  <c r="BR391" i="23"/>
  <c r="AY390" i="23"/>
  <c r="AY391" i="23"/>
  <c r="AU390" i="23"/>
  <c r="AU391" i="23"/>
  <c r="AT390" i="23"/>
  <c r="AT391" i="23"/>
  <c r="AI390" i="23"/>
  <c r="AI391" i="23"/>
  <c r="N390" i="23"/>
  <c r="N391" i="23"/>
  <c r="Z390" i="23"/>
  <c r="Z391" i="23"/>
  <c r="AK390" i="23"/>
  <c r="AK391" i="23"/>
  <c r="AQ390" i="23"/>
  <c r="AQ391" i="23"/>
  <c r="AE390" i="23"/>
  <c r="AE391" i="23"/>
  <c r="BI390" i="23"/>
  <c r="BI391" i="23"/>
  <c r="AP390" i="23"/>
  <c r="AP391" i="23"/>
  <c r="M390" i="23"/>
  <c r="M391" i="23"/>
  <c r="BB390" i="23"/>
  <c r="BB391" i="23"/>
  <c r="AB390" i="23"/>
  <c r="AB391" i="23"/>
  <c r="BO390" i="23"/>
  <c r="BO391" i="23"/>
  <c r="BJ390" i="23"/>
  <c r="BJ391" i="23"/>
  <c r="AS390" i="23"/>
  <c r="AS391" i="23"/>
  <c r="U390" i="23"/>
  <c r="U391" i="23"/>
  <c r="BP390" i="23"/>
  <c r="BP391" i="23"/>
  <c r="BG390" i="23"/>
  <c r="BG391" i="23"/>
  <c r="BF390" i="23"/>
  <c r="BF391" i="23"/>
  <c r="AN390" i="23"/>
  <c r="AN391" i="23"/>
  <c r="AV390" i="23"/>
  <c r="AV391" i="23"/>
  <c r="AW390" i="23"/>
  <c r="AW391" i="23"/>
  <c r="V390" i="23"/>
  <c r="V391" i="23"/>
  <c r="AA390" i="23"/>
  <c r="AA391" i="23"/>
  <c r="AF390" i="23"/>
  <c r="AF391" i="23"/>
  <c r="AJ390" i="23"/>
  <c r="AJ391" i="23"/>
  <c r="S390" i="23"/>
  <c r="S391" i="23"/>
  <c r="BK390" i="23"/>
  <c r="BK391" i="23"/>
  <c r="AD390" i="23"/>
  <c r="AD391" i="23"/>
  <c r="BN390" i="23"/>
  <c r="BN391" i="23"/>
  <c r="BA390" i="23"/>
  <c r="BA391" i="23"/>
  <c r="P390" i="23"/>
  <c r="P391" i="23"/>
  <c r="BC390" i="23"/>
  <c r="BC391" i="23"/>
  <c r="AL390" i="23"/>
  <c r="AL391" i="23"/>
  <c r="W390" i="23"/>
  <c r="W392" i="23" s="1"/>
  <c r="AC390" i="23"/>
  <c r="AC392" i="23" s="1"/>
  <c r="R390" i="23"/>
  <c r="R392" i="23" s="1"/>
  <c r="AM390" i="23"/>
  <c r="AM392" i="23" s="1"/>
  <c r="O390" i="23"/>
  <c r="O392" i="23" s="1"/>
  <c r="AH390" i="23"/>
  <c r="AH392" i="23" s="1"/>
  <c r="BE390" i="23"/>
  <c r="BE392" i="23" s="1"/>
  <c r="Y390" i="23"/>
  <c r="Y392" i="23" s="1"/>
  <c r="AZ390" i="23"/>
  <c r="AZ392" i="23" s="1"/>
  <c r="AR390" i="23"/>
  <c r="AR392" i="23" s="1"/>
  <c r="Q390" i="23"/>
  <c r="Q392" i="23" s="1"/>
  <c r="T390" i="23"/>
  <c r="T392" i="23" s="1"/>
  <c r="AR366" i="23"/>
  <c r="AR386" i="23" s="1"/>
  <c r="AR375" i="23"/>
  <c r="S366" i="23"/>
  <c r="S386" i="23" s="1"/>
  <c r="S375" i="23"/>
  <c r="BB366" i="23"/>
  <c r="BB386" i="23" s="1"/>
  <c r="BB375" i="23"/>
  <c r="AF366" i="23"/>
  <c r="AF386" i="23" s="1"/>
  <c r="AF375" i="23"/>
  <c r="AC366" i="23"/>
  <c r="AC386" i="23" s="1"/>
  <c r="AC375" i="23"/>
  <c r="AH366" i="23"/>
  <c r="AH386" i="23" s="1"/>
  <c r="AH375" i="23"/>
  <c r="AH377" i="23" s="1"/>
  <c r="BP366" i="23"/>
  <c r="BP386" i="23" s="1"/>
  <c r="BP375" i="23"/>
  <c r="N366" i="23"/>
  <c r="N386" i="23" s="1"/>
  <c r="N375" i="23"/>
  <c r="AM366" i="23"/>
  <c r="AM386" i="23" s="1"/>
  <c r="AM375" i="23"/>
  <c r="BA366" i="23"/>
  <c r="BA386" i="23" s="1"/>
  <c r="BA375" i="23"/>
  <c r="AD366" i="23"/>
  <c r="AD386" i="23" s="1"/>
  <c r="AD375" i="23"/>
  <c r="BM366" i="23"/>
  <c r="BM386" i="23" s="1"/>
  <c r="BM375" i="23"/>
  <c r="AB366" i="23"/>
  <c r="AB386" i="23" s="1"/>
  <c r="AB375" i="23"/>
  <c r="AW366" i="23"/>
  <c r="AW386" i="23" s="1"/>
  <c r="AW375" i="23"/>
  <c r="BK366" i="23"/>
  <c r="BK386" i="23" s="1"/>
  <c r="BK375" i="23"/>
  <c r="AT366" i="23"/>
  <c r="AT386" i="23" s="1"/>
  <c r="AT375" i="23"/>
  <c r="W366" i="23"/>
  <c r="W386" i="23" s="1"/>
  <c r="W375" i="23"/>
  <c r="Q366" i="23"/>
  <c r="Q386" i="23" s="1"/>
  <c r="Q375" i="23"/>
  <c r="V366" i="23"/>
  <c r="V386" i="23" s="1"/>
  <c r="V375" i="23"/>
  <c r="U366" i="23"/>
  <c r="U386" i="23" s="1"/>
  <c r="U375" i="23"/>
  <c r="U377" i="23" s="1"/>
  <c r="BD366" i="23"/>
  <c r="BD386" i="23" s="1"/>
  <c r="BD375" i="23"/>
  <c r="AE366" i="23"/>
  <c r="AE386" i="23" s="1"/>
  <c r="AE375" i="23"/>
  <c r="AV366" i="23"/>
  <c r="AV386" i="23" s="1"/>
  <c r="AV375" i="23"/>
  <c r="BL366" i="23"/>
  <c r="BL386" i="23" s="1"/>
  <c r="BL375" i="23"/>
  <c r="BL377" i="23" s="1"/>
  <c r="BJ366" i="23"/>
  <c r="BJ386" i="23" s="1"/>
  <c r="BJ375" i="23"/>
  <c r="T366" i="23"/>
  <c r="T386" i="23" s="1"/>
  <c r="T375" i="23"/>
  <c r="AS366" i="23"/>
  <c r="AS386" i="23" s="1"/>
  <c r="AS375" i="23"/>
  <c r="AQ366" i="23"/>
  <c r="AQ386" i="23" s="1"/>
  <c r="AQ375" i="23"/>
  <c r="AU366" i="23"/>
  <c r="AU386" i="23" s="1"/>
  <c r="AU375" i="23"/>
  <c r="AJ366" i="23"/>
  <c r="AJ386" i="23" s="1"/>
  <c r="AJ375" i="23"/>
  <c r="M366" i="23"/>
  <c r="M386" i="23" s="1"/>
  <c r="M375" i="23"/>
  <c r="BC366" i="23"/>
  <c r="BC386" i="23" s="1"/>
  <c r="BC375" i="23"/>
  <c r="Y366" i="23"/>
  <c r="Y386" i="23" s="1"/>
  <c r="Y375" i="23"/>
  <c r="BN366" i="23"/>
  <c r="BN386" i="23" s="1"/>
  <c r="BN375" i="23"/>
  <c r="BF366" i="23"/>
  <c r="BF386" i="23" s="1"/>
  <c r="BF375" i="23"/>
  <c r="BR366" i="23"/>
  <c r="BR386" i="23" s="1"/>
  <c r="BR375" i="23"/>
  <c r="BO366" i="23"/>
  <c r="BO386" i="23" s="1"/>
  <c r="BO375" i="23"/>
  <c r="O366" i="23"/>
  <c r="O386" i="23" s="1"/>
  <c r="O375" i="23"/>
  <c r="AY366" i="23"/>
  <c r="AY386" i="23" s="1"/>
  <c r="AY375" i="23"/>
  <c r="AO366" i="23"/>
  <c r="AO386" i="23" s="1"/>
  <c r="AO375" i="23"/>
  <c r="R366" i="23"/>
  <c r="R386" i="23" s="1"/>
  <c r="R375" i="23"/>
  <c r="AA366" i="23"/>
  <c r="AA386" i="23" s="1"/>
  <c r="AA375" i="23"/>
  <c r="AN366" i="23"/>
  <c r="AN386" i="23" s="1"/>
  <c r="AN375" i="23"/>
  <c r="P366" i="23"/>
  <c r="P386" i="23" s="1"/>
  <c r="P375" i="23"/>
  <c r="AG366" i="23"/>
  <c r="AG386" i="23" s="1"/>
  <c r="AG375" i="23"/>
  <c r="BI366" i="23"/>
  <c r="BI386" i="23" s="1"/>
  <c r="BI375" i="23"/>
  <c r="AX366" i="23"/>
  <c r="AX386" i="23" s="1"/>
  <c r="AX375" i="23"/>
  <c r="BG366" i="23"/>
  <c r="BG386" i="23" s="1"/>
  <c r="BG375" i="23"/>
  <c r="BH366" i="23"/>
  <c r="BH386" i="23" s="1"/>
  <c r="BH375" i="23"/>
  <c r="BS366" i="23"/>
  <c r="BS386" i="23" s="1"/>
  <c r="BS375" i="23"/>
  <c r="BE366" i="23"/>
  <c r="BE386" i="23" s="1"/>
  <c r="BE375" i="23"/>
  <c r="AL366" i="23"/>
  <c r="AL386" i="23" s="1"/>
  <c r="AL375" i="23"/>
  <c r="AL377" i="23" s="1"/>
  <c r="AI366" i="23"/>
  <c r="AI386" i="23" s="1"/>
  <c r="AI375" i="23"/>
  <c r="Z366" i="23"/>
  <c r="Z386" i="23" s="1"/>
  <c r="Z375" i="23"/>
  <c r="AZ366" i="23"/>
  <c r="AZ386" i="23" s="1"/>
  <c r="AZ375" i="23"/>
  <c r="AP366" i="23"/>
  <c r="AP386" i="23" s="1"/>
  <c r="AP375" i="23"/>
  <c r="BQ366" i="23"/>
  <c r="BQ386" i="23" s="1"/>
  <c r="BQ375" i="23"/>
  <c r="AK366" i="23"/>
  <c r="AK386" i="23" s="1"/>
  <c r="AK375" i="23"/>
  <c r="X366" i="23"/>
  <c r="X386" i="23" s="1"/>
  <c r="X375" i="23"/>
  <c r="I356" i="23"/>
  <c r="AT322" i="15"/>
  <c r="AT324" i="15" s="1"/>
  <c r="AT325" i="15" s="1"/>
  <c r="AT328" i="15"/>
  <c r="AT330" i="15" s="1"/>
  <c r="AT331" i="15" s="1"/>
  <c r="AT296" i="15"/>
  <c r="AT297" i="15" s="1"/>
  <c r="AU261" i="15"/>
  <c r="AU263" i="15" s="1"/>
  <c r="AU267" i="15" s="1"/>
  <c r="AU269" i="15" s="1"/>
  <c r="AU270" i="15" s="1"/>
  <c r="AV268" i="15" s="1"/>
  <c r="BM377" i="23" l="1"/>
  <c r="AA83" i="21"/>
  <c r="AL83" i="21"/>
  <c r="AN83" i="21"/>
  <c r="AF83" i="21"/>
  <c r="AC83" i="21"/>
  <c r="AM83" i="21"/>
  <c r="AB83" i="21"/>
  <c r="AD83" i="21"/>
  <c r="AO83" i="21"/>
  <c r="AP83" i="21"/>
  <c r="AE83" i="21"/>
  <c r="AK83" i="21"/>
  <c r="AJ83" i="21"/>
  <c r="AG83" i="21"/>
  <c r="L55" i="17" a="1"/>
  <c r="L55" i="17" s="1"/>
  <c r="BS377" i="23"/>
  <c r="L390" i="23"/>
  <c r="L392" i="23" s="1"/>
  <c r="I367" i="23"/>
  <c r="BQ377" i="23"/>
  <c r="AG377" i="23"/>
  <c r="R377" i="23"/>
  <c r="BO377" i="23"/>
  <c r="Y377" i="23"/>
  <c r="AV377" i="23"/>
  <c r="V377" i="23"/>
  <c r="AD377" i="23"/>
  <c r="BP377" i="23"/>
  <c r="AP377" i="23"/>
  <c r="BI377" i="23"/>
  <c r="AQ377" i="23"/>
  <c r="AT377" i="23"/>
  <c r="S377" i="23"/>
  <c r="L382" i="23"/>
  <c r="I382" i="23" s="1"/>
  <c r="BG377" i="23"/>
  <c r="AK377" i="23"/>
  <c r="AA377" i="23"/>
  <c r="O377" i="23"/>
  <c r="BN377" i="23"/>
  <c r="AJ377" i="23"/>
  <c r="AE377" i="23"/>
  <c r="Q377" i="23"/>
  <c r="BA377" i="23"/>
  <c r="AF377" i="23"/>
  <c r="BH377" i="23"/>
  <c r="AX377" i="23"/>
  <c r="BJ377" i="23"/>
  <c r="AB377" i="23"/>
  <c r="AR377" i="23"/>
  <c r="X377" i="23"/>
  <c r="BE377" i="23"/>
  <c r="AN377" i="23"/>
  <c r="AY377" i="23"/>
  <c r="BF377" i="23"/>
  <c r="M377" i="23"/>
  <c r="AS377" i="23"/>
  <c r="BK377" i="23"/>
  <c r="BB377" i="23"/>
  <c r="BR377" i="23"/>
  <c r="BC377" i="23"/>
  <c r="T377" i="23"/>
  <c r="AW377" i="23"/>
  <c r="N377" i="23"/>
  <c r="P377" i="23"/>
  <c r="AO377" i="23"/>
  <c r="Z377" i="23"/>
  <c r="AZ377" i="23"/>
  <c r="AI377" i="23"/>
  <c r="AU377" i="23"/>
  <c r="BD377" i="23"/>
  <c r="W377" i="23"/>
  <c r="AM377" i="23"/>
  <c r="AC377" i="23"/>
  <c r="AI83" i="21"/>
  <c r="Z83" i="21"/>
  <c r="L523" i="23" a="1"/>
  <c r="L523" i="23" s="1"/>
  <c r="I599" i="23"/>
  <c r="I598" i="23"/>
  <c r="BM392" i="23"/>
  <c r="L376" i="23"/>
  <c r="L422" i="23" s="1"/>
  <c r="L423" i="23" s="1"/>
  <c r="M420" i="23" s="1"/>
  <c r="L470" i="23" a="1"/>
  <c r="BF472" i="23" s="1"/>
  <c r="BF488" i="23" s="1"/>
  <c r="I357" i="23"/>
  <c r="L366" i="23"/>
  <c r="L386" i="23" s="1"/>
  <c r="L375" i="23"/>
  <c r="I375" i="23" s="1"/>
  <c r="L572" i="23"/>
  <c r="I577" i="23" s="1"/>
  <c r="I564" i="23"/>
  <c r="I578" i="23"/>
  <c r="V574" i="23"/>
  <c r="V575" i="23"/>
  <c r="BL574" i="23"/>
  <c r="BL575" i="23"/>
  <c r="AH574" i="23"/>
  <c r="AH575" i="23"/>
  <c r="BA574" i="23"/>
  <c r="BA575" i="23"/>
  <c r="AI574" i="23"/>
  <c r="AI575" i="23"/>
  <c r="BN574" i="23"/>
  <c r="BN575" i="23"/>
  <c r="AU574" i="23"/>
  <c r="AU575" i="23"/>
  <c r="BE574" i="23"/>
  <c r="BE575" i="23"/>
  <c r="N574" i="23"/>
  <c r="N575" i="23"/>
  <c r="AK574" i="23"/>
  <c r="AK575" i="23"/>
  <c r="BC574" i="23"/>
  <c r="BC575" i="23"/>
  <c r="AR574" i="23"/>
  <c r="AR575" i="23"/>
  <c r="BF574" i="23"/>
  <c r="BF575" i="23"/>
  <c r="BS574" i="23"/>
  <c r="BS575" i="23"/>
  <c r="Q574" i="23"/>
  <c r="Q575" i="23"/>
  <c r="BK574" i="23"/>
  <c r="BK575" i="23"/>
  <c r="AL574" i="23"/>
  <c r="AL575" i="23"/>
  <c r="BD574" i="23"/>
  <c r="BD575" i="23"/>
  <c r="M574" i="23"/>
  <c r="M575" i="23"/>
  <c r="W574" i="23"/>
  <c r="W575" i="23"/>
  <c r="O574" i="23"/>
  <c r="O575" i="23"/>
  <c r="AY574" i="23"/>
  <c r="AY575" i="23"/>
  <c r="BP574" i="23"/>
  <c r="BP575" i="23"/>
  <c r="AE574" i="23"/>
  <c r="AE575" i="23"/>
  <c r="BO574" i="23"/>
  <c r="BO575" i="23"/>
  <c r="AG574" i="23"/>
  <c r="AG575" i="23"/>
  <c r="BB574" i="23"/>
  <c r="BB575" i="23"/>
  <c r="X574" i="23"/>
  <c r="X575" i="23"/>
  <c r="T574" i="23"/>
  <c r="T575" i="23"/>
  <c r="AV574" i="23"/>
  <c r="AV575" i="23"/>
  <c r="AX574" i="23"/>
  <c r="AX575" i="23"/>
  <c r="AD574" i="23"/>
  <c r="AD575" i="23"/>
  <c r="AZ574" i="23"/>
  <c r="AZ575" i="23"/>
  <c r="AN574" i="23"/>
  <c r="AN575" i="23"/>
  <c r="AJ574" i="23"/>
  <c r="AJ575" i="23"/>
  <c r="Y574" i="23"/>
  <c r="Y575" i="23"/>
  <c r="BH574" i="23"/>
  <c r="BH575" i="23"/>
  <c r="BM574" i="23"/>
  <c r="BM575" i="23"/>
  <c r="Z574" i="23"/>
  <c r="Z575" i="23"/>
  <c r="AO574" i="23"/>
  <c r="AO575" i="23"/>
  <c r="U574" i="23"/>
  <c r="U575" i="23"/>
  <c r="BG574" i="23"/>
  <c r="BG575" i="23"/>
  <c r="S574" i="23"/>
  <c r="S575" i="23"/>
  <c r="AB574" i="23"/>
  <c r="AB575" i="23"/>
  <c r="AS574" i="23"/>
  <c r="AS575" i="23"/>
  <c r="AW574" i="23"/>
  <c r="AW575" i="23"/>
  <c r="BQ574" i="23"/>
  <c r="BQ575" i="23"/>
  <c r="BI574" i="23"/>
  <c r="BI575" i="23"/>
  <c r="AC574" i="23"/>
  <c r="AC575" i="23"/>
  <c r="AA574" i="23"/>
  <c r="AA575" i="23"/>
  <c r="BJ574" i="23"/>
  <c r="BJ575" i="23"/>
  <c r="P574" i="23"/>
  <c r="P575" i="23"/>
  <c r="AM574" i="23"/>
  <c r="AM575" i="23"/>
  <c r="AF574" i="23"/>
  <c r="AF575" i="23"/>
  <c r="R574" i="23"/>
  <c r="R575" i="23"/>
  <c r="AQ574" i="23"/>
  <c r="AQ575" i="23"/>
  <c r="BR574" i="23"/>
  <c r="BR575" i="23"/>
  <c r="AP574" i="23"/>
  <c r="AP575" i="23"/>
  <c r="AT574" i="23"/>
  <c r="AT575" i="23"/>
  <c r="Z392" i="23"/>
  <c r="BK392" i="23"/>
  <c r="AJ392" i="23"/>
  <c r="AN392" i="23"/>
  <c r="U392" i="23"/>
  <c r="M392" i="23"/>
  <c r="AQ392" i="23"/>
  <c r="AG392" i="23"/>
  <c r="BQ392" i="23"/>
  <c r="P392" i="23"/>
  <c r="AA392" i="23"/>
  <c r="AW392" i="23"/>
  <c r="BG392" i="23"/>
  <c r="BJ392" i="23"/>
  <c r="AB392" i="23"/>
  <c r="BI392" i="23"/>
  <c r="AI392" i="23"/>
  <c r="AU392" i="23"/>
  <c r="BR392" i="23"/>
  <c r="BS392" i="23"/>
  <c r="BD392" i="23"/>
  <c r="AT392" i="23"/>
  <c r="AS392" i="23"/>
  <c r="BC392" i="23"/>
  <c r="BA392" i="23"/>
  <c r="AD392" i="23"/>
  <c r="S392" i="23"/>
  <c r="AF392" i="23"/>
  <c r="V392" i="23"/>
  <c r="AV392" i="23"/>
  <c r="BF392" i="23"/>
  <c r="BP392" i="23"/>
  <c r="BO392" i="23"/>
  <c r="AP392" i="23"/>
  <c r="AE392" i="23"/>
  <c r="AK392" i="23"/>
  <c r="N392" i="23"/>
  <c r="AY392" i="23"/>
  <c r="AX392" i="23"/>
  <c r="X392" i="23"/>
  <c r="BH392" i="23"/>
  <c r="AO392" i="23"/>
  <c r="BB392" i="23"/>
  <c r="BL392" i="23"/>
  <c r="AL392" i="23"/>
  <c r="BN392" i="23"/>
  <c r="X368" i="23"/>
  <c r="X385" i="23"/>
  <c r="X387" i="23" s="1"/>
  <c r="BQ368" i="23"/>
  <c r="BQ385" i="23"/>
  <c r="BQ387" i="23" s="1"/>
  <c r="AZ368" i="23"/>
  <c r="AZ385" i="23"/>
  <c r="AZ387" i="23" s="1"/>
  <c r="AI368" i="23"/>
  <c r="AI385" i="23"/>
  <c r="AI387" i="23" s="1"/>
  <c r="BE368" i="23"/>
  <c r="BE385" i="23"/>
  <c r="BE387" i="23" s="1"/>
  <c r="BH368" i="23"/>
  <c r="BH385" i="23"/>
  <c r="BH387" i="23" s="1"/>
  <c r="AX368" i="23"/>
  <c r="AX385" i="23"/>
  <c r="AX387" i="23" s="1"/>
  <c r="AG368" i="23"/>
  <c r="AG385" i="23"/>
  <c r="AG387" i="23" s="1"/>
  <c r="AN368" i="23"/>
  <c r="AN385" i="23"/>
  <c r="AN387" i="23" s="1"/>
  <c r="R368" i="23"/>
  <c r="R385" i="23"/>
  <c r="R387" i="23" s="1"/>
  <c r="AY368" i="23"/>
  <c r="AY385" i="23"/>
  <c r="AY387" i="23" s="1"/>
  <c r="BO368" i="23"/>
  <c r="BO385" i="23"/>
  <c r="BO387" i="23" s="1"/>
  <c r="BF368" i="23"/>
  <c r="BF385" i="23"/>
  <c r="BF387" i="23" s="1"/>
  <c r="Y368" i="23"/>
  <c r="Y385" i="23"/>
  <c r="Y387" i="23" s="1"/>
  <c r="M368" i="23"/>
  <c r="M385" i="23"/>
  <c r="M387" i="23" s="1"/>
  <c r="AU368" i="23"/>
  <c r="AU385" i="23"/>
  <c r="AU387" i="23" s="1"/>
  <c r="AS368" i="23"/>
  <c r="AS385" i="23"/>
  <c r="AS387" i="23" s="1"/>
  <c r="BJ368" i="23"/>
  <c r="BJ385" i="23"/>
  <c r="BJ387" i="23" s="1"/>
  <c r="AV368" i="23"/>
  <c r="AV385" i="23"/>
  <c r="AV387" i="23" s="1"/>
  <c r="BD368" i="23"/>
  <c r="BD385" i="23"/>
  <c r="BD387" i="23" s="1"/>
  <c r="V368" i="23"/>
  <c r="V385" i="23"/>
  <c r="V387" i="23" s="1"/>
  <c r="W368" i="23"/>
  <c r="W385" i="23"/>
  <c r="W387" i="23" s="1"/>
  <c r="BK368" i="23"/>
  <c r="BK385" i="23"/>
  <c r="BK387" i="23" s="1"/>
  <c r="AB368" i="23"/>
  <c r="AB385" i="23"/>
  <c r="AB387" i="23" s="1"/>
  <c r="AD368" i="23"/>
  <c r="AD385" i="23"/>
  <c r="AD387" i="23" s="1"/>
  <c r="AM368" i="23"/>
  <c r="AM385" i="23"/>
  <c r="AM387" i="23" s="1"/>
  <c r="BP368" i="23"/>
  <c r="BP385" i="23"/>
  <c r="BP387" i="23" s="1"/>
  <c r="AC368" i="23"/>
  <c r="AC385" i="23"/>
  <c r="AC387" i="23" s="1"/>
  <c r="BB368" i="23"/>
  <c r="BB385" i="23"/>
  <c r="BB387" i="23" s="1"/>
  <c r="AR368" i="23"/>
  <c r="AR385" i="23"/>
  <c r="AR387" i="23" s="1"/>
  <c r="AK368" i="23"/>
  <c r="AK385" i="23"/>
  <c r="AK387" i="23" s="1"/>
  <c r="AP368" i="23"/>
  <c r="AP385" i="23"/>
  <c r="AP387" i="23" s="1"/>
  <c r="Z368" i="23"/>
  <c r="Z385" i="23"/>
  <c r="Z387" i="23" s="1"/>
  <c r="AL368" i="23"/>
  <c r="AL385" i="23"/>
  <c r="AL387" i="23" s="1"/>
  <c r="BS368" i="23"/>
  <c r="BS385" i="23"/>
  <c r="BS387" i="23" s="1"/>
  <c r="BG368" i="23"/>
  <c r="BG385" i="23"/>
  <c r="BG387" i="23" s="1"/>
  <c r="BI368" i="23"/>
  <c r="BI385" i="23"/>
  <c r="BI387" i="23" s="1"/>
  <c r="P368" i="23"/>
  <c r="P385" i="23"/>
  <c r="P387" i="23" s="1"/>
  <c r="AA368" i="23"/>
  <c r="AA385" i="23"/>
  <c r="AA387" i="23" s="1"/>
  <c r="AO368" i="23"/>
  <c r="AO385" i="23"/>
  <c r="AO387" i="23" s="1"/>
  <c r="O368" i="23"/>
  <c r="O385" i="23"/>
  <c r="O387" i="23" s="1"/>
  <c r="BR368" i="23"/>
  <c r="BR385" i="23"/>
  <c r="BR387" i="23" s="1"/>
  <c r="BN368" i="23"/>
  <c r="BN385" i="23"/>
  <c r="BN387" i="23" s="1"/>
  <c r="BC368" i="23"/>
  <c r="BC385" i="23"/>
  <c r="BC387" i="23" s="1"/>
  <c r="AJ368" i="23"/>
  <c r="AJ385" i="23"/>
  <c r="AJ387" i="23" s="1"/>
  <c r="AQ368" i="23"/>
  <c r="AQ385" i="23"/>
  <c r="AQ387" i="23" s="1"/>
  <c r="T368" i="23"/>
  <c r="T385" i="23"/>
  <c r="BL368" i="23"/>
  <c r="BL385" i="23"/>
  <c r="AE368" i="23"/>
  <c r="AE385" i="23"/>
  <c r="AE387" i="23" s="1"/>
  <c r="U368" i="23"/>
  <c r="U385" i="23"/>
  <c r="U387" i="23" s="1"/>
  <c r="Q368" i="23"/>
  <c r="Q385" i="23"/>
  <c r="Q387" i="23" s="1"/>
  <c r="AT368" i="23"/>
  <c r="AT385" i="23"/>
  <c r="AT387" i="23" s="1"/>
  <c r="AW368" i="23"/>
  <c r="AW385" i="23"/>
  <c r="AW387" i="23" s="1"/>
  <c r="BM368" i="23"/>
  <c r="BM385" i="23"/>
  <c r="BM387" i="23" s="1"/>
  <c r="BA368" i="23"/>
  <c r="BA385" i="23"/>
  <c r="BA387" i="23" s="1"/>
  <c r="N368" i="23"/>
  <c r="N385" i="23"/>
  <c r="N387" i="23" s="1"/>
  <c r="AH368" i="23"/>
  <c r="AH385" i="23"/>
  <c r="AH387" i="23" s="1"/>
  <c r="AF368" i="23"/>
  <c r="AF385" i="23"/>
  <c r="AF387" i="23" s="1"/>
  <c r="S368" i="23"/>
  <c r="S385" i="23"/>
  <c r="S387" i="23" s="1"/>
  <c r="I391" i="23"/>
  <c r="AT334" i="15"/>
  <c r="AU273" i="15"/>
  <c r="AU275" i="15" s="1"/>
  <c r="AV226" i="15" s="1"/>
  <c r="AV307" i="15" s="1"/>
  <c r="AT333" i="15"/>
  <c r="AU264" i="15"/>
  <c r="AV262" i="15" s="1"/>
  <c r="AV257" i="15"/>
  <c r="AV174" i="15" l="1"/>
  <c r="AV305" i="15"/>
  <c r="I390" i="23"/>
  <c r="L377" i="23"/>
  <c r="I377" i="23" s="1"/>
  <c r="I376" i="23"/>
  <c r="L416" i="23"/>
  <c r="L417" i="23" s="1"/>
  <c r="M414" i="23" s="1"/>
  <c r="M416" i="23" s="1"/>
  <c r="M417" i="23" s="1"/>
  <c r="N414" i="23" s="1"/>
  <c r="L410" i="23"/>
  <c r="L411" i="23" s="1"/>
  <c r="M408" i="23" s="1"/>
  <c r="M410" i="23" s="1"/>
  <c r="BD472" i="23"/>
  <c r="BD488" i="23" s="1"/>
  <c r="R472" i="23"/>
  <c r="R488" i="23" s="1"/>
  <c r="BE472" i="23"/>
  <c r="BE488" i="23" s="1"/>
  <c r="AI472" i="23"/>
  <c r="AI488" i="23" s="1"/>
  <c r="BI472" i="23"/>
  <c r="BI488" i="23" s="1"/>
  <c r="BA472" i="23"/>
  <c r="BA488" i="23" s="1"/>
  <c r="Y472" i="23"/>
  <c r="Y488" i="23" s="1"/>
  <c r="L575" i="23"/>
  <c r="I575" i="23" s="1"/>
  <c r="AS472" i="23"/>
  <c r="AS488" i="23" s="1"/>
  <c r="AL472" i="23"/>
  <c r="AL488" i="23" s="1"/>
  <c r="BM472" i="23"/>
  <c r="BM488" i="23" s="1"/>
  <c r="L470" i="23"/>
  <c r="I470" i="23" s="1"/>
  <c r="AJ472" i="23"/>
  <c r="AJ488" i="23" s="1"/>
  <c r="BO472" i="23"/>
  <c r="BO488" i="23" s="1"/>
  <c r="N472" i="23"/>
  <c r="N488" i="23" s="1"/>
  <c r="AY472" i="23"/>
  <c r="AY488" i="23" s="1"/>
  <c r="AU472" i="23"/>
  <c r="AU488" i="23" s="1"/>
  <c r="AH472" i="23"/>
  <c r="AH488" i="23" s="1"/>
  <c r="AO472" i="23"/>
  <c r="AO488" i="23" s="1"/>
  <c r="U472" i="23"/>
  <c r="U488" i="23" s="1"/>
  <c r="BB472" i="23"/>
  <c r="BB488" i="23" s="1"/>
  <c r="AR472" i="23"/>
  <c r="AR488" i="23" s="1"/>
  <c r="AV472" i="23"/>
  <c r="AV488" i="23" s="1"/>
  <c r="L574" i="23"/>
  <c r="I574" i="23" s="1"/>
  <c r="I584" i="23" s="1"/>
  <c r="M472" i="23"/>
  <c r="M488" i="23" s="1"/>
  <c r="AN472" i="23"/>
  <c r="AN488" i="23" s="1"/>
  <c r="AD472" i="23"/>
  <c r="AD488" i="23" s="1"/>
  <c r="O472" i="23"/>
  <c r="O488" i="23" s="1"/>
  <c r="P472" i="23"/>
  <c r="P488" i="23" s="1"/>
  <c r="AX472" i="23"/>
  <c r="AX488" i="23" s="1"/>
  <c r="X472" i="23"/>
  <c r="X488" i="23" s="1"/>
  <c r="AQ472" i="23"/>
  <c r="AQ488" i="23" s="1"/>
  <c r="BR472" i="23"/>
  <c r="BR488" i="23" s="1"/>
  <c r="BH472" i="23"/>
  <c r="BH488" i="23" s="1"/>
  <c r="BQ472" i="23"/>
  <c r="BQ488" i="23" s="1"/>
  <c r="BS472" i="23"/>
  <c r="BS488" i="23" s="1"/>
  <c r="BP472" i="23"/>
  <c r="BP488" i="23" s="1"/>
  <c r="BJ472" i="23"/>
  <c r="BJ488" i="23" s="1"/>
  <c r="Q472" i="23"/>
  <c r="Q488" i="23" s="1"/>
  <c r="AK472" i="23"/>
  <c r="AK488" i="23" s="1"/>
  <c r="T472" i="23"/>
  <c r="T488" i="23" s="1"/>
  <c r="AZ472" i="23"/>
  <c r="AZ488" i="23" s="1"/>
  <c r="BL472" i="23"/>
  <c r="BL488" i="23" s="1"/>
  <c r="BK472" i="23"/>
  <c r="BK488" i="23" s="1"/>
  <c r="AG472" i="23"/>
  <c r="AG488" i="23" s="1"/>
  <c r="Z472" i="23"/>
  <c r="Z488" i="23" s="1"/>
  <c r="I572" i="23"/>
  <c r="I580" i="23" s="1"/>
  <c r="W472" i="23"/>
  <c r="W488" i="23" s="1"/>
  <c r="AM472" i="23"/>
  <c r="AM488" i="23" s="1"/>
  <c r="AF472" i="23"/>
  <c r="AF488" i="23" s="1"/>
  <c r="AT472" i="23"/>
  <c r="AT488" i="23" s="1"/>
  <c r="AB472" i="23"/>
  <c r="AB488" i="23" s="1"/>
  <c r="S472" i="23"/>
  <c r="S488" i="23" s="1"/>
  <c r="BG472" i="23"/>
  <c r="BG488" i="23" s="1"/>
  <c r="BN472" i="23"/>
  <c r="BN488" i="23" s="1"/>
  <c r="AC472" i="23"/>
  <c r="AC488" i="23" s="1"/>
  <c r="BC472" i="23"/>
  <c r="BC488" i="23" s="1"/>
  <c r="V472" i="23"/>
  <c r="V488" i="23" s="1"/>
  <c r="AW472" i="23"/>
  <c r="AW488" i="23" s="1"/>
  <c r="AE472" i="23"/>
  <c r="AE488" i="23" s="1"/>
  <c r="AA472" i="23"/>
  <c r="AA488" i="23" s="1"/>
  <c r="AP472" i="23"/>
  <c r="AP488" i="23" s="1"/>
  <c r="I591" i="23"/>
  <c r="L385" i="23"/>
  <c r="L387" i="23" s="1"/>
  <c r="I366" i="23"/>
  <c r="L368" i="23"/>
  <c r="I368" i="23" s="1"/>
  <c r="I523" i="23"/>
  <c r="M422" i="23"/>
  <c r="M423" i="23" s="1"/>
  <c r="N420" i="23" s="1"/>
  <c r="I392" i="23"/>
  <c r="T387" i="23"/>
  <c r="BL387" i="23"/>
  <c r="I386" i="23"/>
  <c r="AU279" i="15"/>
  <c r="AU281" i="15" s="1"/>
  <c r="AU282" i="15" s="1"/>
  <c r="AV280" i="15" s="1"/>
  <c r="AU276" i="15"/>
  <c r="AV274" i="15" s="1"/>
  <c r="AV313" i="15"/>
  <c r="AV303" i="15"/>
  <c r="AV253" i="15"/>
  <c r="AV261" i="15"/>
  <c r="AV263" i="15" s="1"/>
  <c r="L426" i="23" l="1"/>
  <c r="L472" i="23"/>
  <c r="L488" i="23" s="1"/>
  <c r="L504" i="23" s="1" a="1"/>
  <c r="L504" i="23" s="1"/>
  <c r="I504" i="23" s="1"/>
  <c r="I496" i="23"/>
  <c r="I385" i="23"/>
  <c r="N422" i="23"/>
  <c r="N423" i="23" s="1"/>
  <c r="O420" i="23" s="1"/>
  <c r="N416" i="23"/>
  <c r="I387" i="23"/>
  <c r="M411" i="23"/>
  <c r="N408" i="23" s="1"/>
  <c r="N410" i="23" s="1"/>
  <c r="M426" i="23"/>
  <c r="AU285" i="15"/>
  <c r="AU287" i="15" s="1"/>
  <c r="AU288" i="15" s="1"/>
  <c r="AV286" i="15" s="1"/>
  <c r="AV264" i="15"/>
  <c r="AW262" i="15" s="1"/>
  <c r="AV267" i="15"/>
  <c r="AV269" i="15" s="1"/>
  <c r="I472" i="23" l="1"/>
  <c r="I492" i="23"/>
  <c r="I495" i="23"/>
  <c r="I493" i="23"/>
  <c r="I488" i="23"/>
  <c r="F572" i="23" s="1"/>
  <c r="L490" i="23"/>
  <c r="M490" i="23" s="1"/>
  <c r="N490" i="23" s="1"/>
  <c r="O490" i="23" s="1"/>
  <c r="P490" i="23" s="1"/>
  <c r="Q490" i="23" s="1"/>
  <c r="R490" i="23" s="1"/>
  <c r="S490" i="23" s="1"/>
  <c r="T490" i="23" s="1"/>
  <c r="U490" i="23" s="1"/>
  <c r="V490" i="23" s="1"/>
  <c r="W490" i="23" s="1"/>
  <c r="X490" i="23" s="1"/>
  <c r="Y490" i="23" s="1"/>
  <c r="Z490" i="23" s="1"/>
  <c r="AA490" i="23" s="1"/>
  <c r="AB490" i="23" s="1"/>
  <c r="AC490" i="23" s="1"/>
  <c r="AD490" i="23" s="1"/>
  <c r="AE490" i="23" s="1"/>
  <c r="AF490" i="23" s="1"/>
  <c r="AG490" i="23" s="1"/>
  <c r="AH490" i="23" s="1"/>
  <c r="AI490" i="23" s="1"/>
  <c r="AJ490" i="23" s="1"/>
  <c r="AK490" i="23" s="1"/>
  <c r="AL490" i="23" s="1"/>
  <c r="AM490" i="23" s="1"/>
  <c r="AN490" i="23" s="1"/>
  <c r="AO490" i="23" s="1"/>
  <c r="AP490" i="23" s="1"/>
  <c r="AQ490" i="23" s="1"/>
  <c r="AR490" i="23" s="1"/>
  <c r="AS490" i="23" s="1"/>
  <c r="AT490" i="23" s="1"/>
  <c r="AU490" i="23" s="1"/>
  <c r="AV490" i="23" s="1"/>
  <c r="AW490" i="23" s="1"/>
  <c r="AX490" i="23" s="1"/>
  <c r="AY490" i="23" s="1"/>
  <c r="AZ490" i="23" s="1"/>
  <c r="BA490" i="23" s="1"/>
  <c r="BB490" i="23" s="1"/>
  <c r="BC490" i="23" s="1"/>
  <c r="BD490" i="23" s="1"/>
  <c r="BE490" i="23" s="1"/>
  <c r="BF490" i="23" s="1"/>
  <c r="BG490" i="23" s="1"/>
  <c r="BH490" i="23" s="1"/>
  <c r="BI490" i="23" s="1"/>
  <c r="BJ490" i="23" s="1"/>
  <c r="BK490" i="23" s="1"/>
  <c r="BL490" i="23" s="1"/>
  <c r="BM490" i="23" s="1"/>
  <c r="BN490" i="23" s="1"/>
  <c r="BO490" i="23" s="1"/>
  <c r="BP490" i="23" s="1"/>
  <c r="BQ490" i="23" s="1"/>
  <c r="BR490" i="23" s="1"/>
  <c r="BS490" i="23" s="1"/>
  <c r="O422" i="23"/>
  <c r="O423" i="23" s="1"/>
  <c r="P420" i="23" s="1"/>
  <c r="N417" i="23"/>
  <c r="O414" i="23" s="1"/>
  <c r="N411" i="23"/>
  <c r="O408" i="23" s="1"/>
  <c r="O410" i="23" s="1"/>
  <c r="AU291" i="15"/>
  <c r="AU309" i="15" s="1"/>
  <c r="AU311" i="15" s="1"/>
  <c r="AU316" i="15" s="1"/>
  <c r="AU315" i="15" s="1"/>
  <c r="AV270" i="15"/>
  <c r="AW268" i="15" s="1"/>
  <c r="AV273" i="15"/>
  <c r="AV275" i="15" s="1"/>
  <c r="I498" i="23" l="1"/>
  <c r="P422" i="23"/>
  <c r="P423" i="23" s="1"/>
  <c r="Q420" i="23" s="1"/>
  <c r="O416" i="23"/>
  <c r="O426" i="23" s="1"/>
  <c r="O411" i="23"/>
  <c r="P408" i="23" s="1"/>
  <c r="P410" i="23" s="1"/>
  <c r="N426" i="23"/>
  <c r="AU294" i="15"/>
  <c r="AU296" i="15" s="1"/>
  <c r="AU297" i="15" s="1"/>
  <c r="AV249" i="15"/>
  <c r="AV279" i="15"/>
  <c r="AV281" i="15" s="1"/>
  <c r="AW226" i="15"/>
  <c r="AV276" i="15"/>
  <c r="AW274" i="15" s="1"/>
  <c r="AW305" i="15" l="1"/>
  <c r="AW307" i="15"/>
  <c r="AW174" i="15"/>
  <c r="AW313" i="15"/>
  <c r="Q422" i="23"/>
  <c r="Q423" i="23" s="1"/>
  <c r="R420" i="23" s="1"/>
  <c r="O417" i="23"/>
  <c r="P414" i="23" s="1"/>
  <c r="P411" i="23"/>
  <c r="Q408" i="23" s="1"/>
  <c r="Q410" i="23" s="1"/>
  <c r="AU328" i="15"/>
  <c r="AU330" i="15" s="1"/>
  <c r="AU331" i="15" s="1"/>
  <c r="AU322" i="15"/>
  <c r="AU324" i="15" s="1"/>
  <c r="AW253" i="15"/>
  <c r="AW303" i="15"/>
  <c r="AV285" i="15"/>
  <c r="AV287" i="15" s="1"/>
  <c r="AV282" i="15"/>
  <c r="AW280" i="15" s="1"/>
  <c r="R422" i="23" l="1"/>
  <c r="R423" i="23" s="1"/>
  <c r="S420" i="23" s="1"/>
  <c r="P416" i="23"/>
  <c r="P426" i="23" s="1"/>
  <c r="AU333" i="15"/>
  <c r="AU325" i="15"/>
  <c r="AU334" i="15" s="1"/>
  <c r="AV288" i="15"/>
  <c r="AW286" i="15" s="1"/>
  <c r="AV291" i="15"/>
  <c r="AV309" i="15" s="1"/>
  <c r="AW257" i="15"/>
  <c r="S422" i="23" l="1"/>
  <c r="S423" i="23" s="1"/>
  <c r="T420" i="23" s="1"/>
  <c r="P417" i="23"/>
  <c r="Q414" i="23" s="1"/>
  <c r="Q411" i="23"/>
  <c r="R408" i="23" s="1"/>
  <c r="R410" i="23" s="1"/>
  <c r="AV294" i="15"/>
  <c r="AW249" i="15"/>
  <c r="AV311" i="15"/>
  <c r="AW261" i="15"/>
  <c r="AW263" i="15" s="1"/>
  <c r="T422" i="23" l="1"/>
  <c r="T423" i="23" s="1"/>
  <c r="U420" i="23" s="1"/>
  <c r="Q416" i="23"/>
  <c r="Q426" i="23" s="1"/>
  <c r="R411" i="23"/>
  <c r="S408" i="23" s="1"/>
  <c r="S410" i="23" s="1"/>
  <c r="AV316" i="15"/>
  <c r="AV315" i="15" s="1"/>
  <c r="AV328" i="15"/>
  <c r="AV330" i="15" s="1"/>
  <c r="AV331" i="15" s="1"/>
  <c r="AV296" i="15"/>
  <c r="AV297" i="15" s="1"/>
  <c r="AV322" i="15"/>
  <c r="AV324" i="15" s="1"/>
  <c r="AV325" i="15" s="1"/>
  <c r="AW264" i="15"/>
  <c r="AX262" i="15" s="1"/>
  <c r="AW267" i="15"/>
  <c r="AW269" i="15" s="1"/>
  <c r="AW270" i="15" s="1"/>
  <c r="AX268" i="15" s="1"/>
  <c r="U422" i="23" l="1"/>
  <c r="U423" i="23" s="1"/>
  <c r="V420" i="23" s="1"/>
  <c r="Q417" i="23"/>
  <c r="R414" i="23" s="1"/>
  <c r="AV333" i="15"/>
  <c r="AV334" i="15"/>
  <c r="AW273" i="15"/>
  <c r="AW275" i="15" s="1"/>
  <c r="AX226" i="15" s="1"/>
  <c r="AX305" i="15" l="1"/>
  <c r="AX307" i="15"/>
  <c r="AX174" i="15"/>
  <c r="AX313" i="15"/>
  <c r="V422" i="23"/>
  <c r="V423" i="23" s="1"/>
  <c r="W420" i="23" s="1"/>
  <c r="R416" i="23"/>
  <c r="R426" i="23" s="1"/>
  <c r="S411" i="23"/>
  <c r="T408" i="23" s="1"/>
  <c r="T410" i="23" s="1"/>
  <c r="AX253" i="15"/>
  <c r="AX303" i="15"/>
  <c r="AW279" i="15"/>
  <c r="AW281" i="15" s="1"/>
  <c r="AW276" i="15"/>
  <c r="AX274" i="15" s="1"/>
  <c r="W422" i="23" l="1"/>
  <c r="W423" i="23" s="1"/>
  <c r="X420" i="23" s="1"/>
  <c r="R417" i="23"/>
  <c r="S414" i="23" s="1"/>
  <c r="AW285" i="15"/>
  <c r="AW287" i="15" s="1"/>
  <c r="AW282" i="15"/>
  <c r="AX280" i="15" s="1"/>
  <c r="X422" i="23" l="1"/>
  <c r="X423" i="23" s="1"/>
  <c r="Y420" i="23" s="1"/>
  <c r="S416" i="23"/>
  <c r="S426" i="23" s="1"/>
  <c r="T411" i="23"/>
  <c r="U408" i="23" s="1"/>
  <c r="U410" i="23" s="1"/>
  <c r="AW288" i="15"/>
  <c r="AX286" i="15" s="1"/>
  <c r="AW291" i="15"/>
  <c r="AW309" i="15" s="1"/>
  <c r="Y422" i="23" l="1"/>
  <c r="Y423" i="23" s="1"/>
  <c r="Z420" i="23" s="1"/>
  <c r="S417" i="23"/>
  <c r="T414" i="23" s="1"/>
  <c r="AX249" i="15"/>
  <c r="AX257" i="15" s="1"/>
  <c r="AX261" i="15" s="1"/>
  <c r="AX263" i="15" s="1"/>
  <c r="AX264" i="15" s="1"/>
  <c r="AY262" i="15" s="1"/>
  <c r="AW311" i="15"/>
  <c r="AW294" i="15"/>
  <c r="Z422" i="23" l="1"/>
  <c r="Z423" i="23" s="1"/>
  <c r="AA420" i="23" s="1"/>
  <c r="T416" i="23"/>
  <c r="T426" i="23" s="1"/>
  <c r="U411" i="23"/>
  <c r="V408" i="23" s="1"/>
  <c r="V410" i="23" s="1"/>
  <c r="AW316" i="15"/>
  <c r="AW315" i="15" s="1"/>
  <c r="AX267" i="15"/>
  <c r="AX269" i="15" s="1"/>
  <c r="AX270" i="15" s="1"/>
  <c r="AY268" i="15" s="1"/>
  <c r="AW328" i="15"/>
  <c r="AW330" i="15" s="1"/>
  <c r="AW331" i="15" s="1"/>
  <c r="AW296" i="15"/>
  <c r="AW297" i="15" s="1"/>
  <c r="AW322" i="15"/>
  <c r="AA422" i="23" l="1"/>
  <c r="AA423" i="23" s="1"/>
  <c r="AB420" i="23" s="1"/>
  <c r="T417" i="23"/>
  <c r="U414" i="23" s="1"/>
  <c r="AX273" i="15"/>
  <c r="AX275" i="15" s="1"/>
  <c r="AY226" i="15" s="1"/>
  <c r="AW324" i="15"/>
  <c r="AW333" i="15" s="1"/>
  <c r="AY305" i="15" l="1"/>
  <c r="AY307" i="15"/>
  <c r="AY174" i="15"/>
  <c r="AY313" i="15"/>
  <c r="AB422" i="23"/>
  <c r="AB423" i="23" s="1"/>
  <c r="AC420" i="23" s="1"/>
  <c r="U416" i="23"/>
  <c r="U426" i="23" s="1"/>
  <c r="V411" i="23"/>
  <c r="W408" i="23" s="1"/>
  <c r="W410" i="23" s="1"/>
  <c r="AY303" i="15"/>
  <c r="AX279" i="15"/>
  <c r="AX281" i="15" s="1"/>
  <c r="AX282" i="15" s="1"/>
  <c r="AY280" i="15" s="1"/>
  <c r="AY253" i="15"/>
  <c r="AX276" i="15"/>
  <c r="AY274" i="15" s="1"/>
  <c r="AW325" i="15"/>
  <c r="AW334" i="15" s="1"/>
  <c r="AC422" i="23" l="1"/>
  <c r="AC423" i="23" s="1"/>
  <c r="AD420" i="23" s="1"/>
  <c r="U417" i="23"/>
  <c r="V414" i="23" s="1"/>
  <c r="AX285" i="15"/>
  <c r="AX287" i="15" s="1"/>
  <c r="AX288" i="15" s="1"/>
  <c r="AY286" i="15" s="1"/>
  <c r="AD422" i="23" l="1"/>
  <c r="AD423" i="23" s="1"/>
  <c r="AE420" i="23" s="1"/>
  <c r="V416" i="23"/>
  <c r="V426" i="23" s="1"/>
  <c r="W411" i="23"/>
  <c r="X408" i="23" s="1"/>
  <c r="X410" i="23" s="1"/>
  <c r="AX291" i="15"/>
  <c r="AY249" i="15" s="1"/>
  <c r="AY257" i="15" s="1"/>
  <c r="AY261" i="15" s="1"/>
  <c r="AY263" i="15" s="1"/>
  <c r="AE422" i="23" l="1"/>
  <c r="AE423" i="23" s="1"/>
  <c r="AF420" i="23" s="1"/>
  <c r="V417" i="23"/>
  <c r="W414" i="23" s="1"/>
  <c r="AX309" i="15"/>
  <c r="AX311" i="15" s="1"/>
  <c r="AX294" i="15"/>
  <c r="AY264" i="15"/>
  <c r="AZ262" i="15" s="1"/>
  <c r="AY267" i="15"/>
  <c r="AY269" i="15" s="1"/>
  <c r="AY270" i="15" s="1"/>
  <c r="AZ268" i="15" s="1"/>
  <c r="AF422" i="23" l="1"/>
  <c r="AF423" i="23" s="1"/>
  <c r="AG420" i="23" s="1"/>
  <c r="W416" i="23"/>
  <c r="W426" i="23" s="1"/>
  <c r="X411" i="23"/>
  <c r="Y408" i="23" s="1"/>
  <c r="Y410" i="23" s="1"/>
  <c r="AX296" i="15"/>
  <c r="AX297" i="15" s="1"/>
  <c r="AX322" i="15"/>
  <c r="AX324" i="15" s="1"/>
  <c r="AX325" i="15" s="1"/>
  <c r="AX328" i="15"/>
  <c r="AX330" i="15" s="1"/>
  <c r="AX331" i="15" s="1"/>
  <c r="AX316" i="15"/>
  <c r="AX315" i="15" s="1"/>
  <c r="AY273" i="15"/>
  <c r="AY275" i="15" s="1"/>
  <c r="AZ226" i="15" s="1"/>
  <c r="AZ305" i="15" l="1"/>
  <c r="AZ307" i="15"/>
  <c r="AZ174" i="15"/>
  <c r="AZ313" i="15"/>
  <c r="AG422" i="23"/>
  <c r="AG423" i="23" s="1"/>
  <c r="AH420" i="23" s="1"/>
  <c r="W417" i="23"/>
  <c r="X414" i="23" s="1"/>
  <c r="AX334" i="15"/>
  <c r="AX333" i="15"/>
  <c r="AZ253" i="15"/>
  <c r="AZ303" i="15"/>
  <c r="AY276" i="15"/>
  <c r="AZ274" i="15" s="1"/>
  <c r="AY279" i="15"/>
  <c r="AY281" i="15" s="1"/>
  <c r="AH422" i="23" l="1"/>
  <c r="AH423" i="23" s="1"/>
  <c r="AI420" i="23" s="1"/>
  <c r="X416" i="23"/>
  <c r="X426" i="23" s="1"/>
  <c r="Y411" i="23"/>
  <c r="Z408" i="23" s="1"/>
  <c r="Z410" i="23" s="1"/>
  <c r="AY285" i="15"/>
  <c r="AY287" i="15" s="1"/>
  <c r="AY282" i="15"/>
  <c r="AZ280" i="15" s="1"/>
  <c r="AI422" i="23" l="1"/>
  <c r="AI423" i="23" s="1"/>
  <c r="AJ420" i="23" s="1"/>
  <c r="X417" i="23"/>
  <c r="Y414" i="23" s="1"/>
  <c r="AY288" i="15"/>
  <c r="AZ286" i="15" s="1"/>
  <c r="AY291" i="15"/>
  <c r="AY294" i="15" s="1"/>
  <c r="AJ422" i="23" l="1"/>
  <c r="AJ423" i="23" s="1"/>
  <c r="AK420" i="23" s="1"/>
  <c r="Y416" i="23"/>
  <c r="Y426" i="23" s="1"/>
  <c r="Z411" i="23"/>
  <c r="AA408" i="23" s="1"/>
  <c r="AA410" i="23" s="1"/>
  <c r="AZ249" i="15"/>
  <c r="AZ257" i="15" s="1"/>
  <c r="AZ261" i="15" s="1"/>
  <c r="AZ263" i="15" s="1"/>
  <c r="AY309" i="15"/>
  <c r="AY311" i="15" s="1"/>
  <c r="AY296" i="15"/>
  <c r="AY297" i="15" s="1"/>
  <c r="AY328" i="15"/>
  <c r="AK422" i="23" l="1"/>
  <c r="AK423" i="23" s="1"/>
  <c r="AL420" i="23" s="1"/>
  <c r="Y417" i="23"/>
  <c r="Z414" i="23" s="1"/>
  <c r="AY322" i="15"/>
  <c r="AY324" i="15" s="1"/>
  <c r="AY316" i="15"/>
  <c r="AY315" i="15" s="1"/>
  <c r="AZ264" i="15"/>
  <c r="BA262" i="15" s="1"/>
  <c r="AY330" i="15"/>
  <c r="AY331" i="15" s="1"/>
  <c r="AZ267" i="15"/>
  <c r="AZ269" i="15" s="1"/>
  <c r="AL422" i="23" l="1"/>
  <c r="AL423" i="23" s="1"/>
  <c r="AM420" i="23" s="1"/>
  <c r="Z416" i="23"/>
  <c r="Z426" i="23" s="1"/>
  <c r="AA411" i="23"/>
  <c r="AB408" i="23" s="1"/>
  <c r="AB410" i="23" s="1"/>
  <c r="AY325" i="15"/>
  <c r="AY334" i="15" s="1"/>
  <c r="AY333" i="15"/>
  <c r="AZ270" i="15"/>
  <c r="BA268" i="15" s="1"/>
  <c r="AZ273" i="15"/>
  <c r="AZ275" i="15" s="1"/>
  <c r="BA226" i="15" s="1"/>
  <c r="BA305" i="15" l="1"/>
  <c r="BA307" i="15"/>
  <c r="BA174" i="15"/>
  <c r="BA313" i="15"/>
  <c r="AM422" i="23"/>
  <c r="AM423" i="23" s="1"/>
  <c r="AN420" i="23" s="1"/>
  <c r="Z417" i="23"/>
  <c r="AA414" i="23" s="1"/>
  <c r="BA253" i="15"/>
  <c r="BA303" i="15"/>
  <c r="AZ279" i="15"/>
  <c r="AZ281" i="15" s="1"/>
  <c r="AZ276" i="15"/>
  <c r="BA274" i="15" s="1"/>
  <c r="AN422" i="23" l="1"/>
  <c r="AN423" i="23" s="1"/>
  <c r="AO420" i="23" s="1"/>
  <c r="AA416" i="23"/>
  <c r="AA426" i="23" s="1"/>
  <c r="AB411" i="23"/>
  <c r="AC408" i="23" s="1"/>
  <c r="AC410" i="23" s="1"/>
  <c r="AZ285" i="15"/>
  <c r="AZ287" i="15" s="1"/>
  <c r="AZ282" i="15"/>
  <c r="BA280" i="15" s="1"/>
  <c r="AO422" i="23" l="1"/>
  <c r="AO423" i="23" s="1"/>
  <c r="AP420" i="23" s="1"/>
  <c r="AA417" i="23"/>
  <c r="AB414" i="23" s="1"/>
  <c r="AZ288" i="15"/>
  <c r="BA286" i="15" s="1"/>
  <c r="AZ291" i="15"/>
  <c r="AZ309" i="15" s="1"/>
  <c r="BA257" i="15"/>
  <c r="BA261" i="15" s="1"/>
  <c r="BA263" i="15" s="1"/>
  <c r="AP422" i="23" l="1"/>
  <c r="AP423" i="23" s="1"/>
  <c r="AQ420" i="23" s="1"/>
  <c r="AB416" i="23"/>
  <c r="AB426" i="23" s="1"/>
  <c r="AC411" i="23"/>
  <c r="AD408" i="23" s="1"/>
  <c r="AD410" i="23" s="1"/>
  <c r="BA249" i="15"/>
  <c r="AZ294" i="15"/>
  <c r="AZ311" i="15"/>
  <c r="BA264" i="15"/>
  <c r="BB262" i="15" s="1"/>
  <c r="BA267" i="15"/>
  <c r="BA269" i="15" s="1"/>
  <c r="BA270" i="15" s="1"/>
  <c r="BB268" i="15" s="1"/>
  <c r="AQ422" i="23" l="1"/>
  <c r="AQ423" i="23" s="1"/>
  <c r="AR420" i="23" s="1"/>
  <c r="AB417" i="23"/>
  <c r="AC414" i="23" s="1"/>
  <c r="AZ316" i="15"/>
  <c r="AZ315" i="15" s="1"/>
  <c r="AZ328" i="15"/>
  <c r="AZ330" i="15" s="1"/>
  <c r="AZ331" i="15" s="1"/>
  <c r="AZ296" i="15"/>
  <c r="AZ297" i="15" s="1"/>
  <c r="AZ322" i="15"/>
  <c r="BA273" i="15"/>
  <c r="BA275" i="15" s="1"/>
  <c r="BB226" i="15" s="1"/>
  <c r="BB305" i="15" l="1"/>
  <c r="BB307" i="15"/>
  <c r="BB174" i="15"/>
  <c r="BB313" i="15"/>
  <c r="AR422" i="23"/>
  <c r="AR423" i="23" s="1"/>
  <c r="AS420" i="23" s="1"/>
  <c r="AC416" i="23"/>
  <c r="AC426" i="23" s="1"/>
  <c r="AD411" i="23"/>
  <c r="AE408" i="23" s="1"/>
  <c r="AE410" i="23" s="1"/>
  <c r="BB253" i="15"/>
  <c r="BB303" i="15"/>
  <c r="AZ324" i="15"/>
  <c r="AZ333" i="15" s="1"/>
  <c r="BA276" i="15"/>
  <c r="BB274" i="15" s="1"/>
  <c r="BA279" i="15"/>
  <c r="BA281" i="15" s="1"/>
  <c r="AS422" i="23" l="1"/>
  <c r="AS423" i="23" s="1"/>
  <c r="AT420" i="23" s="1"/>
  <c r="AC417" i="23"/>
  <c r="AD414" i="23" s="1"/>
  <c r="AZ325" i="15"/>
  <c r="AZ334" i="15" s="1"/>
  <c r="BA285" i="15"/>
  <c r="BA287" i="15" s="1"/>
  <c r="BA282" i="15"/>
  <c r="BB280" i="15" s="1"/>
  <c r="AT422" i="23" l="1"/>
  <c r="AT423" i="23" s="1"/>
  <c r="AU420" i="23" s="1"/>
  <c r="AD416" i="23"/>
  <c r="AD426" i="23" s="1"/>
  <c r="AE411" i="23"/>
  <c r="AF408" i="23" s="1"/>
  <c r="AF410" i="23" s="1"/>
  <c r="BA288" i="15"/>
  <c r="BB286" i="15" s="1"/>
  <c r="BA291" i="15"/>
  <c r="BA294" i="15" s="1"/>
  <c r="AU422" i="23" l="1"/>
  <c r="AU423" i="23" s="1"/>
  <c r="AV420" i="23" s="1"/>
  <c r="AD417" i="23"/>
  <c r="AE414" i="23" s="1"/>
  <c r="BA309" i="15"/>
  <c r="BA311" i="15" s="1"/>
  <c r="BA316" i="15" s="1"/>
  <c r="BB249" i="15"/>
  <c r="BB257" i="15" s="1"/>
  <c r="BB261" i="15" s="1"/>
  <c r="BB263" i="15" s="1"/>
  <c r="BA328" i="15"/>
  <c r="BA330" i="15" s="1"/>
  <c r="BA331" i="15" s="1"/>
  <c r="BA296" i="15"/>
  <c r="BA297" i="15" s="1"/>
  <c r="AV422" i="23" l="1"/>
  <c r="AV423" i="23" s="1"/>
  <c r="AW420" i="23" s="1"/>
  <c r="AE416" i="23"/>
  <c r="AE426" i="23" s="1"/>
  <c r="AF411" i="23"/>
  <c r="AG408" i="23" s="1"/>
  <c r="AG410" i="23" s="1"/>
  <c r="BA315" i="15"/>
  <c r="BA322" i="15"/>
  <c r="BA324" i="15" s="1"/>
  <c r="BA333" i="15" s="1"/>
  <c r="BB264" i="15"/>
  <c r="BC262" i="15" s="1"/>
  <c r="BB267" i="15"/>
  <c r="BB269" i="15" s="1"/>
  <c r="BB270" i="15" s="1"/>
  <c r="BC268" i="15" s="1"/>
  <c r="AW422" i="23" l="1"/>
  <c r="AW423" i="23" s="1"/>
  <c r="AX420" i="23" s="1"/>
  <c r="AE417" i="23"/>
  <c r="AF414" i="23" s="1"/>
  <c r="BA325" i="15"/>
  <c r="BA334" i="15" s="1"/>
  <c r="BB273" i="15"/>
  <c r="BB275" i="15" s="1"/>
  <c r="BC226" i="15" s="1"/>
  <c r="BC305" i="15" l="1"/>
  <c r="BC307" i="15"/>
  <c r="BC174" i="15"/>
  <c r="BC313" i="15"/>
  <c r="AX422" i="23"/>
  <c r="AX423" i="23" s="1"/>
  <c r="AY420" i="23" s="1"/>
  <c r="AF416" i="23"/>
  <c r="AF426" i="23" s="1"/>
  <c r="AG411" i="23"/>
  <c r="AH408" i="23" s="1"/>
  <c r="AH410" i="23" s="1"/>
  <c r="BC253" i="15"/>
  <c r="BC303" i="15"/>
  <c r="BB276" i="15"/>
  <c r="BC274" i="15" s="1"/>
  <c r="BB279" i="15"/>
  <c r="BB281" i="15" s="1"/>
  <c r="AY422" i="23" l="1"/>
  <c r="AY423" i="23" s="1"/>
  <c r="AZ420" i="23" s="1"/>
  <c r="AF417" i="23"/>
  <c r="AG414" i="23" s="1"/>
  <c r="BB285" i="15"/>
  <c r="BB287" i="15" s="1"/>
  <c r="BB282" i="15"/>
  <c r="BC280" i="15" s="1"/>
  <c r="AZ422" i="23" l="1"/>
  <c r="AZ423" i="23" s="1"/>
  <c r="BA420" i="23" s="1"/>
  <c r="AG416" i="23"/>
  <c r="AG426" i="23" s="1"/>
  <c r="AH411" i="23"/>
  <c r="AI408" i="23" s="1"/>
  <c r="AI410" i="23" s="1"/>
  <c r="BB288" i="15"/>
  <c r="BC286" i="15" s="1"/>
  <c r="BB291" i="15"/>
  <c r="BC249" i="15" s="1"/>
  <c r="BC257" i="15" s="1"/>
  <c r="BA422" i="23" l="1"/>
  <c r="BA423" i="23" s="1"/>
  <c r="BB420" i="23" s="1"/>
  <c r="AG417" i="23"/>
  <c r="AH414" i="23" s="1"/>
  <c r="BB294" i="15"/>
  <c r="BB328" i="15" s="1"/>
  <c r="BB330" i="15" s="1"/>
  <c r="BB331" i="15" s="1"/>
  <c r="BB309" i="15"/>
  <c r="BB311" i="15" s="1"/>
  <c r="BB316" i="15" s="1"/>
  <c r="BC261" i="15"/>
  <c r="BC263" i="15" s="1"/>
  <c r="BB422" i="23" l="1"/>
  <c r="BB423" i="23" s="1"/>
  <c r="BC420" i="23" s="1"/>
  <c r="AH416" i="23"/>
  <c r="AH426" i="23" s="1"/>
  <c r="AI411" i="23"/>
  <c r="AJ408" i="23" s="1"/>
  <c r="AJ410" i="23" s="1"/>
  <c r="BB296" i="15"/>
  <c r="BB297" i="15" s="1"/>
  <c r="BB315" i="15"/>
  <c r="BB322" i="15"/>
  <c r="BB324" i="15" s="1"/>
  <c r="BB325" i="15" s="1"/>
  <c r="BB334" i="15" s="1"/>
  <c r="BC264" i="15"/>
  <c r="BD262" i="15" s="1"/>
  <c r="BC267" i="15"/>
  <c r="BC269" i="15" s="1"/>
  <c r="BC270" i="15" s="1"/>
  <c r="BD268" i="15" s="1"/>
  <c r="BC422" i="23" l="1"/>
  <c r="BC423" i="23" s="1"/>
  <c r="BD420" i="23" s="1"/>
  <c r="AH417" i="23"/>
  <c r="AI414" i="23" s="1"/>
  <c r="BB333" i="15"/>
  <c r="BC273" i="15"/>
  <c r="BC275" i="15" s="1"/>
  <c r="BD226" i="15" s="1"/>
  <c r="BD305" i="15" l="1"/>
  <c r="BD307" i="15"/>
  <c r="BD174" i="15"/>
  <c r="BD313" i="15"/>
  <c r="BD422" i="23"/>
  <c r="BD423" i="23" s="1"/>
  <c r="BE420" i="23" s="1"/>
  <c r="AI416" i="23"/>
  <c r="AI426" i="23" s="1"/>
  <c r="AJ411" i="23"/>
  <c r="AK408" i="23" s="1"/>
  <c r="AK410" i="23" s="1"/>
  <c r="BD253" i="15"/>
  <c r="BD303" i="15"/>
  <c r="BC279" i="15"/>
  <c r="BC281" i="15" s="1"/>
  <c r="BC282" i="15" s="1"/>
  <c r="BD280" i="15" s="1"/>
  <c r="BC276" i="15"/>
  <c r="BD274" i="15" s="1"/>
  <c r="BE422" i="23" l="1"/>
  <c r="BE423" i="23" s="1"/>
  <c r="BF420" i="23" s="1"/>
  <c r="AI417" i="23"/>
  <c r="AJ414" i="23" s="1"/>
  <c r="BC285" i="15"/>
  <c r="BC287" i="15" s="1"/>
  <c r="BF422" i="23" l="1"/>
  <c r="BF423" i="23" s="1"/>
  <c r="BG420" i="23" s="1"/>
  <c r="AJ416" i="23"/>
  <c r="AJ426" i="23" s="1"/>
  <c r="AK411" i="23"/>
  <c r="AL408" i="23" s="1"/>
  <c r="AL410" i="23" s="1"/>
  <c r="BC288" i="15"/>
  <c r="BD286" i="15" s="1"/>
  <c r="BC291" i="15"/>
  <c r="BC294" i="15" s="1"/>
  <c r="BC296" i="15" s="1"/>
  <c r="BC297" i="15" s="1"/>
  <c r="BG422" i="23" l="1"/>
  <c r="BG423" i="23" s="1"/>
  <c r="BH420" i="23" s="1"/>
  <c r="AJ417" i="23"/>
  <c r="AK414" i="23" s="1"/>
  <c r="BD249" i="15"/>
  <c r="BD257" i="15" s="1"/>
  <c r="BD261" i="15" s="1"/>
  <c r="BD263" i="15" s="1"/>
  <c r="BD264" i="15" s="1"/>
  <c r="BE262" i="15" s="1"/>
  <c r="BC309" i="15"/>
  <c r="BC311" i="15" s="1"/>
  <c r="BC316" i="15" s="1"/>
  <c r="BC328" i="15"/>
  <c r="BC330" i="15" s="1"/>
  <c r="BC331" i="15" s="1"/>
  <c r="BH422" i="23" l="1"/>
  <c r="BH423" i="23" s="1"/>
  <c r="BI420" i="23" s="1"/>
  <c r="AK416" i="23"/>
  <c r="AK426" i="23" s="1"/>
  <c r="AL411" i="23"/>
  <c r="AM408" i="23" s="1"/>
  <c r="AM410" i="23" s="1"/>
  <c r="BD267" i="15"/>
  <c r="BD269" i="15" s="1"/>
  <c r="BD270" i="15" s="1"/>
  <c r="BE268" i="15" s="1"/>
  <c r="BC322" i="15"/>
  <c r="BC324" i="15" s="1"/>
  <c r="BC325" i="15" s="1"/>
  <c r="BC334" i="15" s="1"/>
  <c r="BC315" i="15"/>
  <c r="BI422" i="23" l="1"/>
  <c r="BI423" i="23" s="1"/>
  <c r="BJ420" i="23" s="1"/>
  <c r="AK417" i="23"/>
  <c r="AL414" i="23" s="1"/>
  <c r="BD273" i="15"/>
  <c r="BD275" i="15" s="1"/>
  <c r="BE226" i="15" s="1"/>
  <c r="BC333" i="15"/>
  <c r="BE305" i="15" l="1"/>
  <c r="BE307" i="15"/>
  <c r="BE174" i="15"/>
  <c r="BE313" i="15"/>
  <c r="BJ422" i="23"/>
  <c r="BJ423" i="23" s="1"/>
  <c r="BK420" i="23" s="1"/>
  <c r="AL416" i="23"/>
  <c r="AL426" i="23" s="1"/>
  <c r="AM411" i="23"/>
  <c r="AN408" i="23" s="1"/>
  <c r="BE303" i="15"/>
  <c r="BD279" i="15"/>
  <c r="BD281" i="15" s="1"/>
  <c r="BD285" i="15" s="1"/>
  <c r="BD287" i="15" s="1"/>
  <c r="BE253" i="15"/>
  <c r="BD276" i="15"/>
  <c r="BE274" i="15" s="1"/>
  <c r="BK422" i="23" l="1"/>
  <c r="BK423" i="23" s="1"/>
  <c r="BL420" i="23" s="1"/>
  <c r="AL417" i="23"/>
  <c r="AM414" i="23" s="1"/>
  <c r="AN410" i="23"/>
  <c r="BD282" i="15"/>
  <c r="BE280" i="15" s="1"/>
  <c r="BD288" i="15"/>
  <c r="BE286" i="15" s="1"/>
  <c r="BD291" i="15"/>
  <c r="BD309" i="15" s="1"/>
  <c r="BL422" i="23" l="1"/>
  <c r="BL423" i="23" s="1"/>
  <c r="BM420" i="23" s="1"/>
  <c r="AM416" i="23"/>
  <c r="AM426" i="23" s="1"/>
  <c r="AN411" i="23"/>
  <c r="AO408" i="23" s="1"/>
  <c r="AO410" i="23" s="1"/>
  <c r="BD311" i="15"/>
  <c r="BE249" i="15"/>
  <c r="BE257" i="15" s="1"/>
  <c r="BD294" i="15"/>
  <c r="BM422" i="23" l="1"/>
  <c r="BM423" i="23" s="1"/>
  <c r="BN420" i="23" s="1"/>
  <c r="AM417" i="23"/>
  <c r="AN414" i="23" s="1"/>
  <c r="AO411" i="23"/>
  <c r="AP408" i="23" s="1"/>
  <c r="AP410" i="23" s="1"/>
  <c r="BD322" i="15"/>
  <c r="BD324" i="15" s="1"/>
  <c r="BD325" i="15" s="1"/>
  <c r="BD316" i="15"/>
  <c r="BD315" i="15" s="1"/>
  <c r="BD328" i="15"/>
  <c r="BD330" i="15" s="1"/>
  <c r="BD331" i="15" s="1"/>
  <c r="BD296" i="15"/>
  <c r="BD297" i="15" s="1"/>
  <c r="BE261" i="15"/>
  <c r="BE263" i="15" s="1"/>
  <c r="BE267" i="15" s="1"/>
  <c r="BE269" i="15" s="1"/>
  <c r="BE270" i="15" s="1"/>
  <c r="BF268" i="15" s="1"/>
  <c r="BN422" i="23" l="1"/>
  <c r="BN423" i="23" s="1"/>
  <c r="BO420" i="23" s="1"/>
  <c r="AN416" i="23"/>
  <c r="AN426" i="23" s="1"/>
  <c r="BD334" i="15"/>
  <c r="BD333" i="15"/>
  <c r="BE264" i="15"/>
  <c r="BF262" i="15" s="1"/>
  <c r="BE273" i="15"/>
  <c r="BE275" i="15" s="1"/>
  <c r="BO422" i="23" l="1"/>
  <c r="BO423" i="23" s="1"/>
  <c r="BP420" i="23" s="1"/>
  <c r="AN417" i="23"/>
  <c r="AO414" i="23" s="1"/>
  <c r="AP411" i="23"/>
  <c r="AQ408" i="23" s="1"/>
  <c r="AQ410" i="23" s="1"/>
  <c r="BF226" i="15"/>
  <c r="BF307" i="15" s="1"/>
  <c r="BE276" i="15"/>
  <c r="BF274" i="15" s="1"/>
  <c r="BE279" i="15"/>
  <c r="BE281" i="15" s="1"/>
  <c r="BE282" i="15" s="1"/>
  <c r="BF280" i="15" s="1"/>
  <c r="BF174" i="15" l="1"/>
  <c r="BF305" i="15"/>
  <c r="BP422" i="23"/>
  <c r="BP423" i="23" s="1"/>
  <c r="BQ420" i="23" s="1"/>
  <c r="AO416" i="23"/>
  <c r="AO426" i="23" s="1"/>
  <c r="BF303" i="15"/>
  <c r="BF313" i="15"/>
  <c r="BF253" i="15"/>
  <c r="BE285" i="15"/>
  <c r="BE287" i="15" s="1"/>
  <c r="BQ422" i="23" l="1"/>
  <c r="BQ423" i="23" s="1"/>
  <c r="BR420" i="23" s="1"/>
  <c r="AO417" i="23"/>
  <c r="AP414" i="23" s="1"/>
  <c r="AQ411" i="23"/>
  <c r="AR408" i="23" s="1"/>
  <c r="AR410" i="23" s="1"/>
  <c r="BE288" i="15"/>
  <c r="BF286" i="15" s="1"/>
  <c r="BE291" i="15"/>
  <c r="BE309" i="15" s="1"/>
  <c r="BR422" i="23" l="1"/>
  <c r="BR423" i="23" s="1"/>
  <c r="BS420" i="23" s="1"/>
  <c r="AP416" i="23"/>
  <c r="AP426" i="23" s="1"/>
  <c r="BE311" i="15"/>
  <c r="BF249" i="15"/>
  <c r="BF257" i="15" s="1"/>
  <c r="BE294" i="15"/>
  <c r="BS422" i="23" l="1"/>
  <c r="I422" i="23" s="1"/>
  <c r="AP417" i="23"/>
  <c r="AQ414" i="23" s="1"/>
  <c r="AR411" i="23"/>
  <c r="AS408" i="23" s="1"/>
  <c r="AS410" i="23" s="1"/>
  <c r="BE316" i="15"/>
  <c r="BE315" i="15" s="1"/>
  <c r="BE328" i="15"/>
  <c r="BE330" i="15" s="1"/>
  <c r="BE331" i="15" s="1"/>
  <c r="BE296" i="15"/>
  <c r="BE297" i="15" s="1"/>
  <c r="BE322" i="15"/>
  <c r="BF261" i="15"/>
  <c r="BF263" i="15" s="1"/>
  <c r="BS423" i="23" l="1"/>
  <c r="AQ416" i="23"/>
  <c r="AQ426" i="23" s="1"/>
  <c r="BF264" i="15"/>
  <c r="BG262" i="15" s="1"/>
  <c r="BE324" i="15"/>
  <c r="BE333" i="15" s="1"/>
  <c r="BF267" i="15"/>
  <c r="BF269" i="15" s="1"/>
  <c r="BF273" i="15" s="1"/>
  <c r="BF275" i="15" s="1"/>
  <c r="AQ417" i="23" l="1"/>
  <c r="AR414" i="23" s="1"/>
  <c r="AS411" i="23"/>
  <c r="AT408" i="23" s="1"/>
  <c r="AT410" i="23" s="1"/>
  <c r="BE325" i="15"/>
  <c r="BE334" i="15" s="1"/>
  <c r="BG226" i="15"/>
  <c r="BG307" i="15" s="1"/>
  <c r="BF276" i="15"/>
  <c r="BG274" i="15" s="1"/>
  <c r="BF270" i="15"/>
  <c r="BG268" i="15" s="1"/>
  <c r="BF279" i="15"/>
  <c r="BF281" i="15" s="1"/>
  <c r="BF282" i="15" s="1"/>
  <c r="BG280" i="15" s="1"/>
  <c r="BG174" i="15" l="1"/>
  <c r="BG305" i="15"/>
  <c r="AR416" i="23"/>
  <c r="AR426" i="23" s="1"/>
  <c r="BG303" i="15"/>
  <c r="BG313" i="15"/>
  <c r="BF285" i="15"/>
  <c r="BF287" i="15" s="1"/>
  <c r="BG253" i="15"/>
  <c r="AR417" i="23" l="1"/>
  <c r="AS414" i="23" s="1"/>
  <c r="AT411" i="23"/>
  <c r="AU408" i="23" s="1"/>
  <c r="AU410" i="23" s="1"/>
  <c r="BF288" i="15"/>
  <c r="BG286" i="15" s="1"/>
  <c r="BF291" i="15"/>
  <c r="BF309" i="15" s="1"/>
  <c r="AS416" i="23" l="1"/>
  <c r="AS426" i="23" s="1"/>
  <c r="BG249" i="15"/>
  <c r="BG257" i="15" s="1"/>
  <c r="BF311" i="15"/>
  <c r="BF294" i="15"/>
  <c r="AS417" i="23" l="1"/>
  <c r="AT414" i="23" s="1"/>
  <c r="AU411" i="23"/>
  <c r="AV408" i="23" s="1"/>
  <c r="AV410" i="23" s="1"/>
  <c r="BF322" i="15"/>
  <c r="BF324" i="15" s="1"/>
  <c r="BF316" i="15"/>
  <c r="BF315" i="15" s="1"/>
  <c r="BF328" i="15"/>
  <c r="BF330" i="15" s="1"/>
  <c r="BF331" i="15" s="1"/>
  <c r="BF296" i="15"/>
  <c r="BF297" i="15" s="1"/>
  <c r="BG261" i="15"/>
  <c r="BG263" i="15" s="1"/>
  <c r="BG267" i="15" s="1"/>
  <c r="BG269" i="15" s="1"/>
  <c r="BG270" i="15" s="1"/>
  <c r="BH268" i="15" s="1"/>
  <c r="AT416" i="23" l="1"/>
  <c r="AT426" i="23" s="1"/>
  <c r="BF325" i="15"/>
  <c r="BF334" i="15" s="1"/>
  <c r="BF333" i="15"/>
  <c r="BG264" i="15"/>
  <c r="BH262" i="15" s="1"/>
  <c r="BG273" i="15"/>
  <c r="BG275" i="15" s="1"/>
  <c r="AT417" i="23" l="1"/>
  <c r="AU414" i="23" s="1"/>
  <c r="AV411" i="23"/>
  <c r="AW408" i="23" s="1"/>
  <c r="AW410" i="23" s="1"/>
  <c r="BG276" i="15"/>
  <c r="BH274" i="15" s="1"/>
  <c r="BG279" i="15"/>
  <c r="BG281" i="15" s="1"/>
  <c r="BH226" i="15"/>
  <c r="BH307" i="15" s="1"/>
  <c r="BH257" i="15"/>
  <c r="BH261" i="15" s="1"/>
  <c r="BH263" i="15" s="1"/>
  <c r="BH174" i="15" l="1"/>
  <c r="BH305" i="15"/>
  <c r="AU416" i="23"/>
  <c r="AU426" i="23" s="1"/>
  <c r="BH303" i="15"/>
  <c r="BH313" i="15"/>
  <c r="BH253" i="15"/>
  <c r="BG282" i="15"/>
  <c r="BH280" i="15" s="1"/>
  <c r="BG285" i="15"/>
  <c r="BG287" i="15" s="1"/>
  <c r="BH267" i="15"/>
  <c r="BH269" i="15" s="1"/>
  <c r="BH273" i="15" s="1"/>
  <c r="BH275" i="15" s="1"/>
  <c r="BH264" i="15"/>
  <c r="BI262" i="15" s="1"/>
  <c r="AU417" i="23" l="1"/>
  <c r="AV414" i="23" s="1"/>
  <c r="AW411" i="23"/>
  <c r="AX408" i="23" s="1"/>
  <c r="AX410" i="23" s="1"/>
  <c r="BG288" i="15"/>
  <c r="BH286" i="15" s="1"/>
  <c r="BG291" i="15"/>
  <c r="BG309" i="15" s="1"/>
  <c r="BH270" i="15"/>
  <c r="BI268" i="15" s="1"/>
  <c r="BI226" i="15"/>
  <c r="BH276" i="15"/>
  <c r="BI274" i="15" s="1"/>
  <c r="BH279" i="15"/>
  <c r="BH281" i="15" s="1"/>
  <c r="BI305" i="15" l="1"/>
  <c r="BI307" i="15"/>
  <c r="BI174" i="15"/>
  <c r="BI313" i="15"/>
  <c r="AV416" i="23"/>
  <c r="AV426" i="23" s="1"/>
  <c r="BI253" i="15"/>
  <c r="BI303" i="15"/>
  <c r="BG311" i="15"/>
  <c r="BG294" i="15"/>
  <c r="BG296" i="15" s="1"/>
  <c r="BG297" i="15" s="1"/>
  <c r="BH249" i="15"/>
  <c r="BH285" i="15"/>
  <c r="BH287" i="15" s="1"/>
  <c r="BH282" i="15"/>
  <c r="BI280" i="15" s="1"/>
  <c r="AV417" i="23" l="1"/>
  <c r="AW414" i="23" s="1"/>
  <c r="AX411" i="23"/>
  <c r="AY408" i="23" s="1"/>
  <c r="AY410" i="23" s="1"/>
  <c r="BG316" i="15"/>
  <c r="BG315" i="15" s="1"/>
  <c r="BG328" i="15"/>
  <c r="BG330" i="15" s="1"/>
  <c r="BG331" i="15" s="1"/>
  <c r="BG322" i="15"/>
  <c r="BG324" i="15" s="1"/>
  <c r="BH288" i="15"/>
  <c r="BI286" i="15" s="1"/>
  <c r="BH291" i="15"/>
  <c r="AW416" i="23" l="1"/>
  <c r="AW426" i="23" s="1"/>
  <c r="BG333" i="15"/>
  <c r="BH309" i="15"/>
  <c r="BH311" i="15" s="1"/>
  <c r="BH294" i="15"/>
  <c r="BH296" i="15" s="1"/>
  <c r="BH297" i="15" s="1"/>
  <c r="BG325" i="15"/>
  <c r="BG334" i="15" s="1"/>
  <c r="BI249" i="15"/>
  <c r="BI257" i="15" s="1"/>
  <c r="BI261" i="15" s="1"/>
  <c r="BI263" i="15" s="1"/>
  <c r="AW417" i="23" l="1"/>
  <c r="AX414" i="23" s="1"/>
  <c r="AY411" i="23"/>
  <c r="AZ408" i="23" s="1"/>
  <c r="AZ410" i="23" s="1"/>
  <c r="BH316" i="15"/>
  <c r="BH315" i="15" s="1"/>
  <c r="BH328" i="15"/>
  <c r="BH330" i="15" s="1"/>
  <c r="BH322" i="15"/>
  <c r="BH324" i="15" s="1"/>
  <c r="BI264" i="15"/>
  <c r="BJ262" i="15" s="1"/>
  <c r="BI267" i="15"/>
  <c r="BI269" i="15" s="1"/>
  <c r="AX416" i="23" l="1"/>
  <c r="AX426" i="23" s="1"/>
  <c r="BH333" i="15"/>
  <c r="BH325" i="15"/>
  <c r="BI270" i="15"/>
  <c r="BJ268" i="15" s="1"/>
  <c r="BI273" i="15"/>
  <c r="BI275" i="15" s="1"/>
  <c r="BH331" i="15"/>
  <c r="AX417" i="23" l="1"/>
  <c r="AY414" i="23" s="1"/>
  <c r="AZ411" i="23"/>
  <c r="BA408" i="23" s="1"/>
  <c r="BA410" i="23" s="1"/>
  <c r="BH334" i="15"/>
  <c r="BI279" i="15"/>
  <c r="BI281" i="15" s="1"/>
  <c r="BJ226" i="15"/>
  <c r="BI276" i="15"/>
  <c r="BJ274" i="15" s="1"/>
  <c r="BJ305" i="15" l="1"/>
  <c r="BJ307" i="15"/>
  <c r="BJ174" i="15"/>
  <c r="BJ313" i="15"/>
  <c r="AY416" i="23"/>
  <c r="AY426" i="23" s="1"/>
  <c r="BJ253" i="15"/>
  <c r="BJ303" i="15"/>
  <c r="BI285" i="15"/>
  <c r="BI287" i="15" s="1"/>
  <c r="BI282" i="15"/>
  <c r="BJ280" i="15" s="1"/>
  <c r="AY417" i="23" l="1"/>
  <c r="AZ414" i="23" s="1"/>
  <c r="BA411" i="23"/>
  <c r="BB408" i="23" s="1"/>
  <c r="BB410" i="23" s="1"/>
  <c r="BI288" i="15"/>
  <c r="BJ286" i="15" s="1"/>
  <c r="BI291" i="15"/>
  <c r="BJ249" i="15" s="1"/>
  <c r="BJ257" i="15" s="1"/>
  <c r="AZ416" i="23" l="1"/>
  <c r="AZ426" i="23" s="1"/>
  <c r="BI294" i="15"/>
  <c r="BI296" i="15" s="1"/>
  <c r="BI297" i="15" s="1"/>
  <c r="BI309" i="15"/>
  <c r="BI311" i="15" s="1"/>
  <c r="BI316" i="15" s="1"/>
  <c r="BJ261" i="15"/>
  <c r="BJ263" i="15" s="1"/>
  <c r="AZ417" i="23" l="1"/>
  <c r="BA414" i="23" s="1"/>
  <c r="BB411" i="23"/>
  <c r="BC408" i="23" s="1"/>
  <c r="BC410" i="23" s="1"/>
  <c r="BI328" i="15"/>
  <c r="BI330" i="15" s="1"/>
  <c r="BI331" i="15" s="1"/>
  <c r="BI315" i="15"/>
  <c r="BI322" i="15"/>
  <c r="BI324" i="15" s="1"/>
  <c r="BI325" i="15" s="1"/>
  <c r="BJ264" i="15"/>
  <c r="BK262" i="15" s="1"/>
  <c r="BJ267" i="15"/>
  <c r="BJ269" i="15" s="1"/>
  <c r="BJ270" i="15" s="1"/>
  <c r="BK268" i="15" s="1"/>
  <c r="BA416" i="23" l="1"/>
  <c r="BA426" i="23" s="1"/>
  <c r="BI334" i="15"/>
  <c r="BI333" i="15"/>
  <c r="BJ273" i="15"/>
  <c r="BJ275" i="15" s="1"/>
  <c r="BA417" i="23" l="1"/>
  <c r="BB414" i="23" s="1"/>
  <c r="BC411" i="23"/>
  <c r="BD408" i="23" s="1"/>
  <c r="BD410" i="23" s="1"/>
  <c r="BK226" i="15"/>
  <c r="BJ276" i="15"/>
  <c r="BK274" i="15" s="1"/>
  <c r="BJ279" i="15"/>
  <c r="BJ281" i="15" s="1"/>
  <c r="BK305" i="15" l="1"/>
  <c r="BK307" i="15"/>
  <c r="BK174" i="15"/>
  <c r="BK313" i="15"/>
  <c r="BB416" i="23"/>
  <c r="BB426" i="23" s="1"/>
  <c r="BK253" i="15"/>
  <c r="BK303" i="15"/>
  <c r="BJ285" i="15"/>
  <c r="BJ287" i="15" s="1"/>
  <c r="BJ282" i="15"/>
  <c r="BK280" i="15" s="1"/>
  <c r="BB417" i="23" l="1"/>
  <c r="BC414" i="23" s="1"/>
  <c r="BD411" i="23"/>
  <c r="BE408" i="23" s="1"/>
  <c r="BE410" i="23" s="1"/>
  <c r="BJ288" i="15"/>
  <c r="BK286" i="15" s="1"/>
  <c r="BJ291" i="15"/>
  <c r="BJ294" i="15" s="1"/>
  <c r="BJ296" i="15" s="1"/>
  <c r="BJ297" i="15" s="1"/>
  <c r="BC416" i="23" l="1"/>
  <c r="BC426" i="23" s="1"/>
  <c r="BK249" i="15"/>
  <c r="BK257" i="15" s="1"/>
  <c r="BK261" i="15" s="1"/>
  <c r="BK263" i="15" s="1"/>
  <c r="BJ309" i="15"/>
  <c r="BJ311" i="15" s="1"/>
  <c r="BJ316" i="15" s="1"/>
  <c r="BJ328" i="15"/>
  <c r="BJ330" i="15" s="1"/>
  <c r="BJ331" i="15" s="1"/>
  <c r="BC417" i="23" l="1"/>
  <c r="BD414" i="23" s="1"/>
  <c r="BE411" i="23"/>
  <c r="BF408" i="23" s="1"/>
  <c r="BF410" i="23" s="1"/>
  <c r="BJ315" i="15"/>
  <c r="BJ322" i="15"/>
  <c r="BJ324" i="15" s="1"/>
  <c r="BJ333" i="15" s="1"/>
  <c r="BK264" i="15"/>
  <c r="BL262" i="15" s="1"/>
  <c r="BK267" i="15"/>
  <c r="BK269" i="15" s="1"/>
  <c r="BK270" i="15" s="1"/>
  <c r="BL268" i="15" s="1"/>
  <c r="BD416" i="23" l="1"/>
  <c r="BD426" i="23" s="1"/>
  <c r="BK273" i="15"/>
  <c r="BK275" i="15" s="1"/>
  <c r="BK276" i="15" s="1"/>
  <c r="BL274" i="15" s="1"/>
  <c r="BJ325" i="15"/>
  <c r="BJ334" i="15" s="1"/>
  <c r="BD417" i="23" l="1"/>
  <c r="BE414" i="23" s="1"/>
  <c r="BF411" i="23"/>
  <c r="BG408" i="23" s="1"/>
  <c r="BG410" i="23" s="1"/>
  <c r="BK279" i="15"/>
  <c r="BK281" i="15" s="1"/>
  <c r="BL226" i="15"/>
  <c r="BL307" i="15" s="1"/>
  <c r="BL174" i="15" l="1"/>
  <c r="BL305" i="15"/>
  <c r="BE416" i="23"/>
  <c r="BE426" i="23" s="1"/>
  <c r="BL303" i="15"/>
  <c r="BL313" i="15"/>
  <c r="BK285" i="15"/>
  <c r="BK287" i="15" s="1"/>
  <c r="BL253" i="15"/>
  <c r="BK282" i="15"/>
  <c r="BL280" i="15" s="1"/>
  <c r="BE417" i="23" l="1"/>
  <c r="BF414" i="23" s="1"/>
  <c r="BG411" i="23"/>
  <c r="BH408" i="23" s="1"/>
  <c r="BH410" i="23" s="1"/>
  <c r="BK288" i="15"/>
  <c r="BL286" i="15" s="1"/>
  <c r="BK291" i="15"/>
  <c r="BK309" i="15" s="1"/>
  <c r="BL257" i="15"/>
  <c r="BL261" i="15" s="1"/>
  <c r="BL263" i="15" s="1"/>
  <c r="BF416" i="23" l="1"/>
  <c r="BF426" i="23" s="1"/>
  <c r="BL249" i="15"/>
  <c r="BK311" i="15"/>
  <c r="BK294" i="15"/>
  <c r="BL264" i="15"/>
  <c r="BM262" i="15" s="1"/>
  <c r="BL267" i="15"/>
  <c r="BL269" i="15" s="1"/>
  <c r="BL270" i="15" s="1"/>
  <c r="BM268" i="15" s="1"/>
  <c r="BF417" i="23" l="1"/>
  <c r="BG414" i="23" s="1"/>
  <c r="BH411" i="23"/>
  <c r="BI408" i="23" s="1"/>
  <c r="BI410" i="23" s="1"/>
  <c r="BK316" i="15"/>
  <c r="BK315" i="15" s="1"/>
  <c r="BK296" i="15"/>
  <c r="BK297" i="15" s="1"/>
  <c r="BK328" i="15"/>
  <c r="BK330" i="15" s="1"/>
  <c r="BK331" i="15" s="1"/>
  <c r="BK322" i="15"/>
  <c r="BK324" i="15" s="1"/>
  <c r="BL273" i="15"/>
  <c r="BL275" i="15" s="1"/>
  <c r="BM226" i="15" s="1"/>
  <c r="BM305" i="15" l="1"/>
  <c r="BM307" i="15"/>
  <c r="BM174" i="15"/>
  <c r="BM313" i="15"/>
  <c r="BG416" i="23"/>
  <c r="BG426" i="23" s="1"/>
  <c r="BK333" i="15"/>
  <c r="BM253" i="15"/>
  <c r="BM303" i="15"/>
  <c r="BK325" i="15"/>
  <c r="BK334" i="15" s="1"/>
  <c r="BL279" i="15"/>
  <c r="BL281" i="15" s="1"/>
  <c r="BL276" i="15"/>
  <c r="BM274" i="15" s="1"/>
  <c r="BG417" i="23" l="1"/>
  <c r="BH414" i="23" s="1"/>
  <c r="BI411" i="23"/>
  <c r="BJ408" i="23" s="1"/>
  <c r="BJ410" i="23" s="1"/>
  <c r="BL285" i="15"/>
  <c r="BL287" i="15" s="1"/>
  <c r="BL282" i="15"/>
  <c r="BM280" i="15" s="1"/>
  <c r="BH416" i="23" l="1"/>
  <c r="BH426" i="23" s="1"/>
  <c r="BL288" i="15"/>
  <c r="BM286" i="15" s="1"/>
  <c r="BL291" i="15"/>
  <c r="BL309" i="15" s="1"/>
  <c r="BH417" i="23" l="1"/>
  <c r="BI414" i="23" s="1"/>
  <c r="BJ411" i="23"/>
  <c r="BK408" i="23" s="1"/>
  <c r="BK410" i="23" s="1"/>
  <c r="BM249" i="15"/>
  <c r="BM257" i="15" s="1"/>
  <c r="BM261" i="15" s="1"/>
  <c r="BM263" i="15" s="1"/>
  <c r="BM264" i="15" s="1"/>
  <c r="BN262" i="15" s="1"/>
  <c r="BL311" i="15"/>
  <c r="BL294" i="15"/>
  <c r="BI416" i="23" l="1"/>
  <c r="BI426" i="23" s="1"/>
  <c r="BL316" i="15"/>
  <c r="BL315" i="15" s="1"/>
  <c r="BM267" i="15"/>
  <c r="BM269" i="15" s="1"/>
  <c r="BM270" i="15" s="1"/>
  <c r="BN268" i="15" s="1"/>
  <c r="BL328" i="15"/>
  <c r="BL330" i="15" s="1"/>
  <c r="BL331" i="15" s="1"/>
  <c r="BL296" i="15"/>
  <c r="BL297" i="15" s="1"/>
  <c r="BL322" i="15"/>
  <c r="BL324" i="15" s="1"/>
  <c r="BI417" i="23" l="1"/>
  <c r="BJ414" i="23" s="1"/>
  <c r="BK411" i="23"/>
  <c r="BL408" i="23" s="1"/>
  <c r="BL410" i="23" s="1"/>
  <c r="BM273" i="15"/>
  <c r="BM275" i="15" s="1"/>
  <c r="BN226" i="15" s="1"/>
  <c r="BL333" i="15"/>
  <c r="BL325" i="15"/>
  <c r="BL334" i="15" s="1"/>
  <c r="BN305" i="15" l="1"/>
  <c r="BN307" i="15"/>
  <c r="BN174" i="15"/>
  <c r="BN313" i="15"/>
  <c r="BJ416" i="23"/>
  <c r="BJ426" i="23" s="1"/>
  <c r="BN303" i="15"/>
  <c r="BN253" i="15"/>
  <c r="BM279" i="15"/>
  <c r="BM281" i="15" s="1"/>
  <c r="BM285" i="15" s="1"/>
  <c r="BM287" i="15" s="1"/>
  <c r="BM276" i="15"/>
  <c r="BN274" i="15" s="1"/>
  <c r="BN257" i="15"/>
  <c r="BN261" i="15" s="1"/>
  <c r="BN263" i="15" s="1"/>
  <c r="BJ417" i="23" l="1"/>
  <c r="BK414" i="23" s="1"/>
  <c r="BL411" i="23"/>
  <c r="BM408" i="23" s="1"/>
  <c r="BM410" i="23" s="1"/>
  <c r="BM282" i="15"/>
  <c r="BN280" i="15" s="1"/>
  <c r="BM288" i="15"/>
  <c r="BN286" i="15" s="1"/>
  <c r="BM291" i="15"/>
  <c r="BM309" i="15" s="1"/>
  <c r="BN264" i="15"/>
  <c r="BO262" i="15" s="1"/>
  <c r="BN267" i="15"/>
  <c r="BN269" i="15" s="1"/>
  <c r="BN270" i="15" s="1"/>
  <c r="BO268" i="15" s="1"/>
  <c r="BK416" i="23" l="1"/>
  <c r="BK426" i="23" s="1"/>
  <c r="BN249" i="15"/>
  <c r="BM311" i="15"/>
  <c r="BM294" i="15"/>
  <c r="BN273" i="15"/>
  <c r="BN275" i="15" s="1"/>
  <c r="BO226" i="15" s="1"/>
  <c r="BO305" i="15" l="1"/>
  <c r="BO307" i="15"/>
  <c r="BO174" i="15"/>
  <c r="BO313" i="15"/>
  <c r="BK417" i="23"/>
  <c r="BL414" i="23" s="1"/>
  <c r="BM411" i="23"/>
  <c r="BN408" i="23" s="1"/>
  <c r="BN410" i="23" s="1"/>
  <c r="BM316" i="15"/>
  <c r="BM315" i="15" s="1"/>
  <c r="BO253" i="15"/>
  <c r="BO303" i="15"/>
  <c r="BM296" i="15"/>
  <c r="BM297" i="15" s="1"/>
  <c r="BM328" i="15"/>
  <c r="BM330" i="15" s="1"/>
  <c r="BM331" i="15" s="1"/>
  <c r="BM322" i="15"/>
  <c r="BM324" i="15" s="1"/>
  <c r="BN279" i="15"/>
  <c r="BN281" i="15" s="1"/>
  <c r="BN276" i="15"/>
  <c r="BO274" i="15" s="1"/>
  <c r="BL416" i="23" l="1"/>
  <c r="BL426" i="23" s="1"/>
  <c r="BM325" i="15"/>
  <c r="BM334" i="15" s="1"/>
  <c r="BM333" i="15"/>
  <c r="BN285" i="15"/>
  <c r="BN287" i="15" s="1"/>
  <c r="BN282" i="15"/>
  <c r="BO280" i="15" s="1"/>
  <c r="BL417" i="23" l="1"/>
  <c r="BM414" i="23" s="1"/>
  <c r="BN411" i="23"/>
  <c r="BO408" i="23" s="1"/>
  <c r="BO410" i="23" s="1"/>
  <c r="BN288" i="15"/>
  <c r="BO286" i="15" s="1"/>
  <c r="BN291" i="15"/>
  <c r="BN309" i="15" s="1"/>
  <c r="BM416" i="23" l="1"/>
  <c r="BM426" i="23" s="1"/>
  <c r="BN294" i="15"/>
  <c r="BO249" i="15"/>
  <c r="BO257" i="15" s="1"/>
  <c r="BO261" i="15" s="1"/>
  <c r="BO263" i="15" s="1"/>
  <c r="BO267" i="15" s="1"/>
  <c r="BO269" i="15" s="1"/>
  <c r="BO270" i="15" s="1"/>
  <c r="BP268" i="15" s="1"/>
  <c r="BN311" i="15"/>
  <c r="BM417" i="23" l="1"/>
  <c r="BN414" i="23" s="1"/>
  <c r="BO411" i="23"/>
  <c r="BP408" i="23" s="1"/>
  <c r="BP410" i="23" s="1"/>
  <c r="BN316" i="15"/>
  <c r="BN315" i="15" s="1"/>
  <c r="BO264" i="15"/>
  <c r="BP262" i="15" s="1"/>
  <c r="BN296" i="15"/>
  <c r="BN297" i="15" s="1"/>
  <c r="BN322" i="15"/>
  <c r="BN324" i="15" s="1"/>
  <c r="BN328" i="15"/>
  <c r="BN330" i="15" s="1"/>
  <c r="BN331" i="15" s="1"/>
  <c r="BO273" i="15"/>
  <c r="BO275" i="15" s="1"/>
  <c r="BP226" i="15" s="1"/>
  <c r="BP305" i="15" l="1"/>
  <c r="BP307" i="15"/>
  <c r="BP174" i="15"/>
  <c r="BP313" i="15"/>
  <c r="BN416" i="23"/>
  <c r="BN426" i="23" s="1"/>
  <c r="BN333" i="15"/>
  <c r="BP253" i="15"/>
  <c r="BP303" i="15"/>
  <c r="BN325" i="15"/>
  <c r="BN334" i="15" s="1"/>
  <c r="BO279" i="15"/>
  <c r="BO281" i="15" s="1"/>
  <c r="BO276" i="15"/>
  <c r="BP274" i="15" s="1"/>
  <c r="BN417" i="23" l="1"/>
  <c r="BO414" i="23" s="1"/>
  <c r="BP411" i="23"/>
  <c r="BQ408" i="23" s="1"/>
  <c r="BQ410" i="23" s="1"/>
  <c r="BO285" i="15"/>
  <c r="BO287" i="15" s="1"/>
  <c r="BO282" i="15"/>
  <c r="BP280" i="15" s="1"/>
  <c r="BO416" i="23" l="1"/>
  <c r="BO426" i="23" s="1"/>
  <c r="BO288" i="15"/>
  <c r="BP286" i="15" s="1"/>
  <c r="BO291" i="15"/>
  <c r="BO309" i="15" s="1"/>
  <c r="BO417" i="23" l="1"/>
  <c r="BP414" i="23" s="1"/>
  <c r="BQ411" i="23"/>
  <c r="BR408" i="23" s="1"/>
  <c r="BR410" i="23" s="1"/>
  <c r="BO294" i="15"/>
  <c r="BP249" i="15"/>
  <c r="BP257" i="15" s="1"/>
  <c r="BP261" i="15" s="1"/>
  <c r="BP263" i="15" s="1"/>
  <c r="BP267" i="15" s="1"/>
  <c r="BP269" i="15" s="1"/>
  <c r="BP270" i="15" s="1"/>
  <c r="BQ268" i="15" s="1"/>
  <c r="BO311" i="15"/>
  <c r="BP416" i="23" l="1"/>
  <c r="BP426" i="23" s="1"/>
  <c r="BO316" i="15"/>
  <c r="BO315" i="15" s="1"/>
  <c r="BP264" i="15"/>
  <c r="BQ262" i="15" s="1"/>
  <c r="BO296" i="15"/>
  <c r="BO297" i="15" s="1"/>
  <c r="BO328" i="15"/>
  <c r="BO330" i="15" s="1"/>
  <c r="BO331" i="15" s="1"/>
  <c r="BO322" i="15"/>
  <c r="BO324" i="15" s="1"/>
  <c r="BP273" i="15"/>
  <c r="BP275" i="15" s="1"/>
  <c r="BQ226" i="15" s="1"/>
  <c r="BQ305" i="15" l="1"/>
  <c r="BQ307" i="15"/>
  <c r="BQ174" i="15"/>
  <c r="BQ313" i="15"/>
  <c r="BP417" i="23"/>
  <c r="BQ414" i="23" s="1"/>
  <c r="BR411" i="23"/>
  <c r="BS408" i="23" s="1"/>
  <c r="BS410" i="23" s="1"/>
  <c r="BO333" i="15"/>
  <c r="BQ253" i="15"/>
  <c r="BQ303" i="15"/>
  <c r="BO325" i="15"/>
  <c r="BO334" i="15" s="1"/>
  <c r="BP279" i="15"/>
  <c r="BP281" i="15" s="1"/>
  <c r="BP276" i="15"/>
  <c r="BQ274" i="15" s="1"/>
  <c r="BQ416" i="23" l="1"/>
  <c r="BQ426" i="23" s="1"/>
  <c r="BS411" i="23"/>
  <c r="BP285" i="15"/>
  <c r="BP287" i="15" s="1"/>
  <c r="BP282" i="15"/>
  <c r="BQ280" i="15" s="1"/>
  <c r="BQ417" i="23" l="1"/>
  <c r="BR414" i="23" s="1"/>
  <c r="I410" i="23"/>
  <c r="BP288" i="15"/>
  <c r="BQ286" i="15" s="1"/>
  <c r="BP291" i="15"/>
  <c r="BP309" i="15" s="1"/>
  <c r="BR416" i="23" l="1"/>
  <c r="BR426" i="23" s="1"/>
  <c r="BQ249" i="15"/>
  <c r="BQ257" i="15" s="1"/>
  <c r="BQ261" i="15" s="1"/>
  <c r="BQ263" i="15" s="1"/>
  <c r="BQ264" i="15" s="1"/>
  <c r="BR262" i="15" s="1"/>
  <c r="BP311" i="15"/>
  <c r="BP294" i="15"/>
  <c r="BR417" i="23" l="1"/>
  <c r="BS414" i="23" s="1"/>
  <c r="BP316" i="15"/>
  <c r="BP315" i="15" s="1"/>
  <c r="BQ267" i="15"/>
  <c r="BQ269" i="15" s="1"/>
  <c r="BQ270" i="15" s="1"/>
  <c r="BR268" i="15" s="1"/>
  <c r="BP296" i="15"/>
  <c r="BP297" i="15" s="1"/>
  <c r="BP322" i="15"/>
  <c r="BP324" i="15" s="1"/>
  <c r="BP328" i="15"/>
  <c r="BP330" i="15" s="1"/>
  <c r="BP331" i="15" s="1"/>
  <c r="BS416" i="23" l="1"/>
  <c r="BS417" i="23" s="1"/>
  <c r="BQ273" i="15"/>
  <c r="BQ275" i="15" s="1"/>
  <c r="BQ276" i="15" s="1"/>
  <c r="BR274" i="15" s="1"/>
  <c r="BP333" i="15"/>
  <c r="BP325" i="15"/>
  <c r="BP334" i="15" s="1"/>
  <c r="I416" i="23" l="1"/>
  <c r="BS426" i="23"/>
  <c r="L524" i="23" s="1" a="1"/>
  <c r="BQ279" i="15"/>
  <c r="BQ281" i="15" s="1"/>
  <c r="BQ282" i="15" s="1"/>
  <c r="BR280" i="15" s="1"/>
  <c r="BR226" i="15"/>
  <c r="BR305" i="15" l="1"/>
  <c r="BR307" i="15"/>
  <c r="BR174" i="15"/>
  <c r="BR313" i="15"/>
  <c r="L524" i="23"/>
  <c r="L525" i="23" s="1"/>
  <c r="BN525" i="23"/>
  <c r="BN541" i="23" s="1"/>
  <c r="AW525" i="23"/>
  <c r="AW541" i="23" s="1"/>
  <c r="AC525" i="23"/>
  <c r="AC541" i="23" s="1"/>
  <c r="BP525" i="23"/>
  <c r="BP541" i="23" s="1"/>
  <c r="BK525" i="23"/>
  <c r="BK541" i="23" s="1"/>
  <c r="O525" i="23"/>
  <c r="O541" i="23" s="1"/>
  <c r="AN525" i="23"/>
  <c r="AN541" i="23" s="1"/>
  <c r="BH525" i="23"/>
  <c r="BH541" i="23" s="1"/>
  <c r="BB525" i="23"/>
  <c r="BB541" i="23" s="1"/>
  <c r="P525" i="23"/>
  <c r="P541" i="23" s="1"/>
  <c r="N525" i="23"/>
  <c r="N541" i="23" s="1"/>
  <c r="BL525" i="23"/>
  <c r="BL541" i="23" s="1"/>
  <c r="BM525" i="23"/>
  <c r="BM541" i="23" s="1"/>
  <c r="AS525" i="23"/>
  <c r="AS541" i="23" s="1"/>
  <c r="Y525" i="23"/>
  <c r="Y541" i="23" s="1"/>
  <c r="U525" i="23"/>
  <c r="U541" i="23" s="1"/>
  <c r="AJ525" i="23"/>
  <c r="AJ541" i="23" s="1"/>
  <c r="BR525" i="23"/>
  <c r="BR541" i="23" s="1"/>
  <c r="AH525" i="23"/>
  <c r="AH541" i="23" s="1"/>
  <c r="AA525" i="23"/>
  <c r="AA541" i="23" s="1"/>
  <c r="R525" i="23"/>
  <c r="R541" i="23" s="1"/>
  <c r="BS525" i="23"/>
  <c r="BS541" i="23" s="1"/>
  <c r="AY525" i="23"/>
  <c r="AY541" i="23" s="1"/>
  <c r="W525" i="23"/>
  <c r="W541" i="23" s="1"/>
  <c r="BI525" i="23"/>
  <c r="BI541" i="23" s="1"/>
  <c r="AO525" i="23"/>
  <c r="AO541" i="23" s="1"/>
  <c r="AK525" i="23"/>
  <c r="AK541" i="23" s="1"/>
  <c r="BF525" i="23"/>
  <c r="BF541" i="23" s="1"/>
  <c r="AE525" i="23"/>
  <c r="AE541" i="23" s="1"/>
  <c r="BJ525" i="23"/>
  <c r="BJ541" i="23" s="1"/>
  <c r="BC525" i="23"/>
  <c r="BC541" i="23" s="1"/>
  <c r="AT525" i="23"/>
  <c r="AT541" i="23" s="1"/>
  <c r="BG525" i="23"/>
  <c r="BG541" i="23" s="1"/>
  <c r="BD525" i="23"/>
  <c r="BD541" i="23" s="1"/>
  <c r="AQ525" i="23"/>
  <c r="AQ541" i="23" s="1"/>
  <c r="AL525" i="23"/>
  <c r="AL541" i="23" s="1"/>
  <c r="BE525" i="23"/>
  <c r="BE541" i="23" s="1"/>
  <c r="BA525" i="23"/>
  <c r="BA541" i="23" s="1"/>
  <c r="Q525" i="23"/>
  <c r="Q541" i="23" s="1"/>
  <c r="AZ525" i="23"/>
  <c r="AZ541" i="23" s="1"/>
  <c r="Z525" i="23"/>
  <c r="Z541" i="23" s="1"/>
  <c r="T525" i="23"/>
  <c r="T541" i="23" s="1"/>
  <c r="S525" i="23"/>
  <c r="S541" i="23" s="1"/>
  <c r="AM525" i="23"/>
  <c r="AM541" i="23" s="1"/>
  <c r="AR525" i="23"/>
  <c r="AR541" i="23" s="1"/>
  <c r="AD525" i="23"/>
  <c r="AD541" i="23" s="1"/>
  <c r="AX525" i="23"/>
  <c r="AX541" i="23" s="1"/>
  <c r="AI525" i="23"/>
  <c r="AI541" i="23" s="1"/>
  <c r="BQ525" i="23"/>
  <c r="BQ541" i="23" s="1"/>
  <c r="AG525" i="23"/>
  <c r="AG541" i="23" s="1"/>
  <c r="M525" i="23"/>
  <c r="M541" i="23" s="1"/>
  <c r="AU525" i="23"/>
  <c r="AU541" i="23" s="1"/>
  <c r="AP525" i="23"/>
  <c r="AP541" i="23" s="1"/>
  <c r="AV525" i="23"/>
  <c r="AV541" i="23" s="1"/>
  <c r="BO525" i="23"/>
  <c r="BO541" i="23" s="1"/>
  <c r="AF525" i="23"/>
  <c r="AF541" i="23" s="1"/>
  <c r="X525" i="23"/>
  <c r="X541" i="23" s="1"/>
  <c r="AB525" i="23"/>
  <c r="AB541" i="23" s="1"/>
  <c r="V525" i="23"/>
  <c r="V541" i="23" s="1"/>
  <c r="I426" i="23"/>
  <c r="L506" i="23" a="1"/>
  <c r="BR303" i="15"/>
  <c r="BR253" i="15"/>
  <c r="BQ285" i="15"/>
  <c r="BQ287" i="15" s="1"/>
  <c r="BQ288" i="15" s="1"/>
  <c r="BR286" i="15" s="1"/>
  <c r="I524" i="23" l="1"/>
  <c r="I549" i="23"/>
  <c r="I525" i="23"/>
  <c r="L541" i="23"/>
  <c r="L506" i="23"/>
  <c r="L507" i="23" s="1"/>
  <c r="BI507" i="23"/>
  <c r="AV507" i="23"/>
  <c r="AR507" i="23"/>
  <c r="BO507" i="23"/>
  <c r="BQ507" i="23"/>
  <c r="AD507" i="23"/>
  <c r="AF507" i="23"/>
  <c r="BL507" i="23"/>
  <c r="AN507" i="23"/>
  <c r="AW507" i="23"/>
  <c r="BN507" i="23"/>
  <c r="AA507" i="23"/>
  <c r="AB507" i="23"/>
  <c r="N507" i="23"/>
  <c r="Y507" i="23"/>
  <c r="BP507" i="23"/>
  <c r="AC507" i="23"/>
  <c r="AH507" i="23"/>
  <c r="AE507" i="23"/>
  <c r="BJ507" i="23"/>
  <c r="BM507" i="23"/>
  <c r="M507" i="23"/>
  <c r="AM507" i="23"/>
  <c r="BF507" i="23"/>
  <c r="AI507" i="23"/>
  <c r="AO507" i="23"/>
  <c r="O507" i="23"/>
  <c r="Z507" i="23"/>
  <c r="V507" i="23"/>
  <c r="BG507" i="23"/>
  <c r="U507" i="23"/>
  <c r="BB507" i="23"/>
  <c r="AS507" i="23"/>
  <c r="BH507" i="23"/>
  <c r="W507" i="23"/>
  <c r="BD507" i="23"/>
  <c r="BE507" i="23"/>
  <c r="AL507" i="23"/>
  <c r="BR507" i="23"/>
  <c r="AX507" i="23"/>
  <c r="X507" i="23"/>
  <c r="AK507" i="23"/>
  <c r="T507" i="23"/>
  <c r="BC507" i="23"/>
  <c r="BK507" i="23"/>
  <c r="AZ507" i="23"/>
  <c r="Q507" i="23"/>
  <c r="R507" i="23"/>
  <c r="AY507" i="23"/>
  <c r="AU507" i="23"/>
  <c r="P507" i="23"/>
  <c r="AT507" i="23"/>
  <c r="BA507" i="23"/>
  <c r="BS507" i="23"/>
  <c r="AP507" i="23"/>
  <c r="AJ507" i="23"/>
  <c r="S507" i="23"/>
  <c r="AG507" i="23"/>
  <c r="AQ507" i="23"/>
  <c r="BQ291" i="15"/>
  <c r="BR249" i="15" s="1"/>
  <c r="BR257" i="15" s="1"/>
  <c r="BR261" i="15" s="1"/>
  <c r="BR263" i="15" s="1"/>
  <c r="I506" i="23" l="1"/>
  <c r="I546" i="23"/>
  <c r="I548" i="23"/>
  <c r="L543" i="23"/>
  <c r="M543" i="23" s="1"/>
  <c r="N543" i="23" s="1"/>
  <c r="O543" i="23" s="1"/>
  <c r="P543" i="23" s="1"/>
  <c r="Q543" i="23" s="1"/>
  <c r="R543" i="23" s="1"/>
  <c r="S543" i="23" s="1"/>
  <c r="T543" i="23" s="1"/>
  <c r="U543" i="23" s="1"/>
  <c r="V543" i="23" s="1"/>
  <c r="W543" i="23" s="1"/>
  <c r="X543" i="23" s="1"/>
  <c r="Y543" i="23" s="1"/>
  <c r="Z543" i="23" s="1"/>
  <c r="AA543" i="23" s="1"/>
  <c r="AB543" i="23" s="1"/>
  <c r="AC543" i="23" s="1"/>
  <c r="AD543" i="23" s="1"/>
  <c r="AE543" i="23" s="1"/>
  <c r="AF543" i="23" s="1"/>
  <c r="AG543" i="23" s="1"/>
  <c r="AH543" i="23" s="1"/>
  <c r="AI543" i="23" s="1"/>
  <c r="AJ543" i="23" s="1"/>
  <c r="AK543" i="23" s="1"/>
  <c r="AL543" i="23" s="1"/>
  <c r="AM543" i="23" s="1"/>
  <c r="AN543" i="23" s="1"/>
  <c r="AO543" i="23" s="1"/>
  <c r="AP543" i="23" s="1"/>
  <c r="AQ543" i="23" s="1"/>
  <c r="AR543" i="23" s="1"/>
  <c r="AS543" i="23" s="1"/>
  <c r="AT543" i="23" s="1"/>
  <c r="AU543" i="23" s="1"/>
  <c r="AV543" i="23" s="1"/>
  <c r="AW543" i="23" s="1"/>
  <c r="AX543" i="23" s="1"/>
  <c r="AY543" i="23" s="1"/>
  <c r="AZ543" i="23" s="1"/>
  <c r="BA543" i="23" s="1"/>
  <c r="BB543" i="23" s="1"/>
  <c r="BC543" i="23" s="1"/>
  <c r="BD543" i="23" s="1"/>
  <c r="BE543" i="23" s="1"/>
  <c r="BF543" i="23" s="1"/>
  <c r="BG543" i="23" s="1"/>
  <c r="BH543" i="23" s="1"/>
  <c r="BI543" i="23" s="1"/>
  <c r="BJ543" i="23" s="1"/>
  <c r="BK543" i="23" s="1"/>
  <c r="BL543" i="23" s="1"/>
  <c r="BM543" i="23" s="1"/>
  <c r="BN543" i="23" s="1"/>
  <c r="BO543" i="23" s="1"/>
  <c r="BP543" i="23" s="1"/>
  <c r="BQ543" i="23" s="1"/>
  <c r="BR543" i="23" s="1"/>
  <c r="BS543" i="23" s="1"/>
  <c r="I545" i="23"/>
  <c r="I514" i="23"/>
  <c r="L509" i="23"/>
  <c r="M509" i="23" s="1"/>
  <c r="N509" i="23" s="1"/>
  <c r="O509" i="23" s="1"/>
  <c r="P509" i="23" s="1"/>
  <c r="Q509" i="23" s="1"/>
  <c r="R509" i="23" s="1"/>
  <c r="S509" i="23" s="1"/>
  <c r="T509" i="23" s="1"/>
  <c r="U509" i="23" s="1"/>
  <c r="V509" i="23" s="1"/>
  <c r="W509" i="23" s="1"/>
  <c r="X509" i="23" s="1"/>
  <c r="Y509" i="23" s="1"/>
  <c r="Z509" i="23" s="1"/>
  <c r="AA509" i="23" s="1"/>
  <c r="AB509" i="23" s="1"/>
  <c r="AC509" i="23" s="1"/>
  <c r="AD509" i="23" s="1"/>
  <c r="AE509" i="23" s="1"/>
  <c r="AF509" i="23" s="1"/>
  <c r="AG509" i="23" s="1"/>
  <c r="AH509" i="23" s="1"/>
  <c r="AI509" i="23" s="1"/>
  <c r="AJ509" i="23" s="1"/>
  <c r="AK509" i="23" s="1"/>
  <c r="AL509" i="23" s="1"/>
  <c r="AM509" i="23" s="1"/>
  <c r="AN509" i="23" s="1"/>
  <c r="AO509" i="23" s="1"/>
  <c r="AP509" i="23" s="1"/>
  <c r="AQ509" i="23" s="1"/>
  <c r="AR509" i="23" s="1"/>
  <c r="AS509" i="23" s="1"/>
  <c r="AT509" i="23" s="1"/>
  <c r="AU509" i="23" s="1"/>
  <c r="AV509" i="23" s="1"/>
  <c r="AW509" i="23" s="1"/>
  <c r="AX509" i="23" s="1"/>
  <c r="AY509" i="23" s="1"/>
  <c r="AZ509" i="23" s="1"/>
  <c r="BA509" i="23" s="1"/>
  <c r="BB509" i="23" s="1"/>
  <c r="BC509" i="23" s="1"/>
  <c r="BD509" i="23" s="1"/>
  <c r="BE509" i="23" s="1"/>
  <c r="BF509" i="23" s="1"/>
  <c r="BG509" i="23" s="1"/>
  <c r="BH509" i="23" s="1"/>
  <c r="BI509" i="23" s="1"/>
  <c r="BJ509" i="23" s="1"/>
  <c r="BK509" i="23" s="1"/>
  <c r="BL509" i="23" s="1"/>
  <c r="BM509" i="23" s="1"/>
  <c r="BN509" i="23" s="1"/>
  <c r="BO509" i="23" s="1"/>
  <c r="BP509" i="23" s="1"/>
  <c r="BQ509" i="23" s="1"/>
  <c r="BR509" i="23" s="1"/>
  <c r="BS509" i="23" s="1"/>
  <c r="I515" i="23"/>
  <c r="I541" i="23"/>
  <c r="I582" i="23" s="1"/>
  <c r="I511" i="23"/>
  <c r="I512" i="23"/>
  <c r="I507" i="23"/>
  <c r="BQ309" i="15"/>
  <c r="BQ311" i="15" s="1"/>
  <c r="BQ316" i="15" s="1"/>
  <c r="BQ294" i="15"/>
  <c r="BQ296" i="15" s="1"/>
  <c r="BQ297" i="15" s="1"/>
  <c r="BR264" i="15"/>
  <c r="BS262" i="15" s="1"/>
  <c r="BR267" i="15"/>
  <c r="BR269" i="15" s="1"/>
  <c r="BR270" i="15" s="1"/>
  <c r="BS268" i="15" s="1"/>
  <c r="F541" i="23" l="1"/>
  <c r="BQ322" i="15"/>
  <c r="BQ324" i="15" s="1"/>
  <c r="BQ325" i="15" s="1"/>
  <c r="BQ315" i="15"/>
  <c r="BQ328" i="15"/>
  <c r="BQ330" i="15" s="1"/>
  <c r="BQ331" i="15" s="1"/>
  <c r="BR273" i="15"/>
  <c r="BR275" i="15" s="1"/>
  <c r="BS226" i="15" s="1"/>
  <c r="BS305" i="15" l="1"/>
  <c r="I305" i="15" s="1"/>
  <c r="BS307" i="15"/>
  <c r="I307" i="15" s="1"/>
  <c r="BS174" i="15"/>
  <c r="BS313" i="15"/>
  <c r="I313" i="15" s="1"/>
  <c r="I551" i="23"/>
  <c r="I517" i="23"/>
  <c r="BQ334" i="15"/>
  <c r="BQ333" i="15"/>
  <c r="BS253" i="15"/>
  <c r="BS303" i="15"/>
  <c r="I303" i="15" s="1"/>
  <c r="BR279" i="15"/>
  <c r="BR281" i="15" s="1"/>
  <c r="BR282" i="15" s="1"/>
  <c r="BS280" i="15" s="1"/>
  <c r="BR276" i="15"/>
  <c r="BS274" i="15" s="1"/>
  <c r="BR285" i="15" l="1"/>
  <c r="BR287" i="15" s="1"/>
  <c r="I253" i="15"/>
  <c r="BR288" i="15" l="1"/>
  <c r="BS286" i="15" s="1"/>
  <c r="BR291" i="15"/>
  <c r="BR294" i="15" l="1"/>
  <c r="BR296" i="15" s="1"/>
  <c r="BR297" i="15" s="1"/>
  <c r="BR309" i="15"/>
  <c r="BR311" i="15" s="1"/>
  <c r="BS249" i="15"/>
  <c r="BS257" i="15"/>
  <c r="I257" i="15" s="1"/>
  <c r="BR316" i="15" l="1"/>
  <c r="BR315" i="15" s="1"/>
  <c r="BR322" i="15"/>
  <c r="BR324" i="15" s="1"/>
  <c r="BR328" i="15"/>
  <c r="BR330" i="15" s="1"/>
  <c r="BR331" i="15" s="1"/>
  <c r="BS261" i="15"/>
  <c r="BS263" i="15" s="1"/>
  <c r="BR325" i="15" l="1"/>
  <c r="BR334" i="15" s="1"/>
  <c r="BR333" i="15"/>
  <c r="BS264" i="15"/>
  <c r="BS267" i="15"/>
  <c r="BS269" i="15" s="1"/>
  <c r="I263" i="15"/>
  <c r="H263" i="15" s="1"/>
  <c r="I261" i="15"/>
  <c r="I267" i="15" l="1"/>
  <c r="I269" i="15"/>
  <c r="H269" i="15" s="1"/>
  <c r="BS270" i="15"/>
  <c r="BS273" i="15"/>
  <c r="BS275" i="15" l="1"/>
  <c r="I273" i="15"/>
  <c r="I275" i="15" l="1"/>
  <c r="H275" i="15" s="1"/>
  <c r="BS276" i="15"/>
  <c r="BS279" i="15"/>
  <c r="I279" i="15" l="1"/>
  <c r="BS281" i="15"/>
  <c r="BS285" i="15" s="1"/>
  <c r="I285" i="15" l="1"/>
  <c r="BS287" i="15"/>
  <c r="BS291" i="15" s="1"/>
  <c r="BS309" i="15" s="1"/>
  <c r="BS282" i="15"/>
  <c r="I281" i="15"/>
  <c r="H281" i="15" s="1"/>
  <c r="I287" i="15" l="1"/>
  <c r="H287" i="15" s="1"/>
  <c r="BS288" i="15"/>
  <c r="L341" i="15" a="1"/>
  <c r="BS294" i="15"/>
  <c r="BS328" i="15" s="1"/>
  <c r="I291" i="15"/>
  <c r="H291" i="15" s="1"/>
  <c r="L348" i="15" a="1"/>
  <c r="L348" i="15" s="1"/>
  <c r="I348" i="15" s="1"/>
  <c r="P123" i="25" l="1" a="1"/>
  <c r="P123" i="25" s="1"/>
  <c r="N123" i="25" s="1"/>
  <c r="P56" i="25" a="1"/>
  <c r="P56" i="25" s="1"/>
  <c r="M581" i="15"/>
  <c r="Q581" i="15"/>
  <c r="U581" i="15"/>
  <c r="Y581" i="15"/>
  <c r="AC581" i="15"/>
  <c r="AG581" i="15"/>
  <c r="AK581" i="15"/>
  <c r="AO581" i="15"/>
  <c r="AS581" i="15"/>
  <c r="AW581" i="15"/>
  <c r="BA581" i="15"/>
  <c r="BE581" i="15"/>
  <c r="BI581" i="15"/>
  <c r="BM581" i="15"/>
  <c r="BQ581" i="15"/>
  <c r="O581" i="15"/>
  <c r="AA581" i="15"/>
  <c r="AM581" i="15"/>
  <c r="AU581" i="15"/>
  <c r="BC581" i="15"/>
  <c r="BK581" i="15"/>
  <c r="BS581" i="15"/>
  <c r="P581" i="15"/>
  <c r="AB581" i="15"/>
  <c r="AF581" i="15"/>
  <c r="AN581" i="15"/>
  <c r="AV581" i="15"/>
  <c r="BD581" i="15"/>
  <c r="BP581" i="15"/>
  <c r="N581" i="15"/>
  <c r="R581" i="15"/>
  <c r="V581" i="15"/>
  <c r="Z581" i="15"/>
  <c r="AD581" i="15"/>
  <c r="AH581" i="15"/>
  <c r="AL581" i="15"/>
  <c r="AP581" i="15"/>
  <c r="AT581" i="15"/>
  <c r="AX581" i="15"/>
  <c r="BB581" i="15"/>
  <c r="BF581" i="15"/>
  <c r="BJ581" i="15"/>
  <c r="BN581" i="15"/>
  <c r="BR581" i="15"/>
  <c r="S581" i="15"/>
  <c r="W581" i="15"/>
  <c r="AE581" i="15"/>
  <c r="AI581" i="15"/>
  <c r="AQ581" i="15"/>
  <c r="AY581" i="15"/>
  <c r="BG581" i="15"/>
  <c r="BO581" i="15"/>
  <c r="T581" i="15"/>
  <c r="X581" i="15"/>
  <c r="AJ581" i="15"/>
  <c r="AR581" i="15"/>
  <c r="AZ581" i="15"/>
  <c r="BH581" i="15"/>
  <c r="BL581" i="15"/>
  <c r="L341" i="15"/>
  <c r="BS296" i="15"/>
  <c r="I294" i="15"/>
  <c r="BS330" i="15"/>
  <c r="I330" i="15" s="1"/>
  <c r="I328" i="15"/>
  <c r="I309" i="15"/>
  <c r="BS311" i="15"/>
  <c r="BS316" i="15" s="1"/>
  <c r="Q87" i="21" l="1" a="1"/>
  <c r="Q87" i="21" s="1"/>
  <c r="L581" i="15"/>
  <c r="Q78" i="21" s="1" a="1"/>
  <c r="N56" i="25"/>
  <c r="I341" i="15"/>
  <c r="BS331" i="15"/>
  <c r="I331" i="15" s="1"/>
  <c r="BS322" i="15"/>
  <c r="BS315" i="15"/>
  <c r="I311" i="15"/>
  <c r="BS297" i="15"/>
  <c r="L342" i="15" a="1"/>
  <c r="I296" i="15"/>
  <c r="L349" i="15" a="1"/>
  <c r="P124" i="25" l="1" a="1"/>
  <c r="P124" i="25" s="1"/>
  <c r="N124" i="25" s="1"/>
  <c r="P57" i="25" a="1"/>
  <c r="P57" i="25" s="1"/>
  <c r="M583" i="15"/>
  <c r="Q583" i="15"/>
  <c r="U583" i="15"/>
  <c r="Y583" i="15"/>
  <c r="AC583" i="15"/>
  <c r="AG583" i="15"/>
  <c r="AK583" i="15"/>
  <c r="AO583" i="15"/>
  <c r="AS583" i="15"/>
  <c r="AW583" i="15"/>
  <c r="BA583" i="15"/>
  <c r="BE583" i="15"/>
  <c r="BI583" i="15"/>
  <c r="BM583" i="15"/>
  <c r="BQ583" i="15"/>
  <c r="N583" i="15"/>
  <c r="R583" i="15"/>
  <c r="V583" i="15"/>
  <c r="Z583" i="15"/>
  <c r="AD583" i="15"/>
  <c r="AH583" i="15"/>
  <c r="AL583" i="15"/>
  <c r="AP583" i="15"/>
  <c r="AT583" i="15"/>
  <c r="AX583" i="15"/>
  <c r="BB583" i="15"/>
  <c r="BF583" i="15"/>
  <c r="BJ583" i="15"/>
  <c r="BN583" i="15"/>
  <c r="BR583" i="15"/>
  <c r="O583" i="15"/>
  <c r="S583" i="15"/>
  <c r="W583" i="15"/>
  <c r="AA583" i="15"/>
  <c r="AE583" i="15"/>
  <c r="AI583" i="15"/>
  <c r="AM583" i="15"/>
  <c r="AQ583" i="15"/>
  <c r="AU583" i="15"/>
  <c r="AY583" i="15"/>
  <c r="BC583" i="15"/>
  <c r="BG583" i="15"/>
  <c r="BK583" i="15"/>
  <c r="BO583" i="15"/>
  <c r="BS583" i="15"/>
  <c r="P583" i="15"/>
  <c r="T583" i="15"/>
  <c r="X583" i="15"/>
  <c r="AB583" i="15"/>
  <c r="AF583" i="15"/>
  <c r="AJ583" i="15"/>
  <c r="AN583" i="15"/>
  <c r="AR583" i="15"/>
  <c r="AV583" i="15"/>
  <c r="AZ583" i="15"/>
  <c r="BD583" i="15"/>
  <c r="BH583" i="15"/>
  <c r="BL583" i="15"/>
  <c r="BP583" i="15"/>
  <c r="AG87" i="21"/>
  <c r="AP87" i="21"/>
  <c r="Q78" i="21"/>
  <c r="AI78" i="21" s="1"/>
  <c r="AP78" i="21"/>
  <c r="AG78" i="21"/>
  <c r="AO87" i="21"/>
  <c r="AK87" i="21"/>
  <c r="AN87" i="21"/>
  <c r="AJ87" i="21"/>
  <c r="AM87" i="21"/>
  <c r="AL87" i="21"/>
  <c r="AO78" i="21"/>
  <c r="AK78" i="21"/>
  <c r="AM78" i="21"/>
  <c r="AN78" i="21"/>
  <c r="AJ78" i="21"/>
  <c r="AL78" i="21"/>
  <c r="I581" i="15"/>
  <c r="AA78" i="21"/>
  <c r="AE78" i="21"/>
  <c r="AB78" i="21"/>
  <c r="AI87" i="21"/>
  <c r="AC87" i="21"/>
  <c r="AE87" i="21"/>
  <c r="AB87" i="21"/>
  <c r="AD87" i="21"/>
  <c r="AA87" i="21"/>
  <c r="AF87" i="21"/>
  <c r="AC78" i="21"/>
  <c r="AF78" i="21"/>
  <c r="AD78" i="21"/>
  <c r="I315" i="15"/>
  <c r="L343" i="15" a="1"/>
  <c r="L349" i="15"/>
  <c r="L342" i="15"/>
  <c r="L551" i="15" a="1"/>
  <c r="I316" i="15"/>
  <c r="I297" i="15"/>
  <c r="L550" i="15" a="1"/>
  <c r="P110" i="25" s="1" a="1"/>
  <c r="P110" i="25" s="1"/>
  <c r="I322" i="15"/>
  <c r="BS324" i="15"/>
  <c r="BS325" i="15" s="1"/>
  <c r="P125" i="25" l="1" a="1"/>
  <c r="P125" i="25" s="1"/>
  <c r="P58" i="25" a="1"/>
  <c r="P58" i="25" s="1"/>
  <c r="P111" i="25" a="1"/>
  <c r="P111" i="25" s="1"/>
  <c r="N111" i="25" s="1"/>
  <c r="N110" i="25"/>
  <c r="M584" i="15"/>
  <c r="Q584" i="15"/>
  <c r="U584" i="15"/>
  <c r="Y584" i="15"/>
  <c r="AC584" i="15"/>
  <c r="AG584" i="15"/>
  <c r="AK584" i="15"/>
  <c r="AO584" i="15"/>
  <c r="AS584" i="15"/>
  <c r="AW584" i="15"/>
  <c r="BA584" i="15"/>
  <c r="BE584" i="15"/>
  <c r="BI584" i="15"/>
  <c r="BM584" i="15"/>
  <c r="BQ584" i="15"/>
  <c r="N584" i="15"/>
  <c r="R584" i="15"/>
  <c r="V584" i="15"/>
  <c r="Z584" i="15"/>
  <c r="AD584" i="15"/>
  <c r="AH584" i="15"/>
  <c r="AL584" i="15"/>
  <c r="AP584" i="15"/>
  <c r="AT584" i="15"/>
  <c r="AX584" i="15"/>
  <c r="BB584" i="15"/>
  <c r="BF584" i="15"/>
  <c r="BJ584" i="15"/>
  <c r="BN584" i="15"/>
  <c r="BR584" i="15"/>
  <c r="O584" i="15"/>
  <c r="S584" i="15"/>
  <c r="W584" i="15"/>
  <c r="AA584" i="15"/>
  <c r="AE584" i="15"/>
  <c r="AI584" i="15"/>
  <c r="AM584" i="15"/>
  <c r="AQ584" i="15"/>
  <c r="AU584" i="15"/>
  <c r="AY584" i="15"/>
  <c r="BC584" i="15"/>
  <c r="BG584" i="15"/>
  <c r="BK584" i="15"/>
  <c r="BO584" i="15"/>
  <c r="BS584" i="15"/>
  <c r="P584" i="15"/>
  <c r="T584" i="15"/>
  <c r="X584" i="15"/>
  <c r="AB584" i="15"/>
  <c r="AF584" i="15"/>
  <c r="AJ584" i="15"/>
  <c r="AN584" i="15"/>
  <c r="AR584" i="15"/>
  <c r="AV584" i="15"/>
  <c r="AZ584" i="15"/>
  <c r="BD584" i="15"/>
  <c r="BH584" i="15"/>
  <c r="BL584" i="15"/>
  <c r="BP584" i="15"/>
  <c r="P44" i="25" a="1"/>
  <c r="O65" i="17" s="1"/>
  <c r="M578" i="15"/>
  <c r="Q578" i="15"/>
  <c r="U578" i="15"/>
  <c r="Y578" i="15"/>
  <c r="AC578" i="15"/>
  <c r="AG578" i="15"/>
  <c r="AK578" i="15"/>
  <c r="AO578" i="15"/>
  <c r="AS578" i="15"/>
  <c r="AW578" i="15"/>
  <c r="BA578" i="15"/>
  <c r="BE578" i="15"/>
  <c r="BI578" i="15"/>
  <c r="BM578" i="15"/>
  <c r="BQ578" i="15"/>
  <c r="N578" i="15"/>
  <c r="R578" i="15"/>
  <c r="V578" i="15"/>
  <c r="Z578" i="15"/>
  <c r="AD578" i="15"/>
  <c r="AH578" i="15"/>
  <c r="AL578" i="15"/>
  <c r="AP578" i="15"/>
  <c r="AT578" i="15"/>
  <c r="AX578" i="15"/>
  <c r="BB578" i="15"/>
  <c r="BF578" i="15"/>
  <c r="BJ578" i="15"/>
  <c r="BN578" i="15"/>
  <c r="BR578" i="15"/>
  <c r="O578" i="15"/>
  <c r="S578" i="15"/>
  <c r="W578" i="15"/>
  <c r="AA578" i="15"/>
  <c r="AE578" i="15"/>
  <c r="AI578" i="15"/>
  <c r="AM578" i="15"/>
  <c r="AQ578" i="15"/>
  <c r="AU578" i="15"/>
  <c r="AY578" i="15"/>
  <c r="BC578" i="15"/>
  <c r="BG578" i="15"/>
  <c r="BK578" i="15"/>
  <c r="BO578" i="15"/>
  <c r="BS578" i="15"/>
  <c r="P578" i="15"/>
  <c r="T578" i="15"/>
  <c r="X578" i="15"/>
  <c r="AB578" i="15"/>
  <c r="AF578" i="15"/>
  <c r="AJ578" i="15"/>
  <c r="AN578" i="15"/>
  <c r="AR578" i="15"/>
  <c r="AV578" i="15"/>
  <c r="AZ578" i="15"/>
  <c r="BD578" i="15"/>
  <c r="BH578" i="15"/>
  <c r="BL578" i="15"/>
  <c r="BP578" i="15"/>
  <c r="Q88" i="21" a="1"/>
  <c r="AP88" i="21" s="1"/>
  <c r="L583" i="15"/>
  <c r="Q80" i="21" s="1" a="1"/>
  <c r="Q80" i="21" s="1"/>
  <c r="P43" i="25" a="1"/>
  <c r="N64" i="17" s="1"/>
  <c r="M577" i="15"/>
  <c r="Q577" i="15"/>
  <c r="U577" i="15"/>
  <c r="Y577" i="15"/>
  <c r="AC577" i="15"/>
  <c r="AG577" i="15"/>
  <c r="AK577" i="15"/>
  <c r="AO577" i="15"/>
  <c r="AS577" i="15"/>
  <c r="AW577" i="15"/>
  <c r="BA577" i="15"/>
  <c r="BE577" i="15"/>
  <c r="BI577" i="15"/>
  <c r="BM577" i="15"/>
  <c r="BQ577" i="15"/>
  <c r="N577" i="15"/>
  <c r="R577" i="15"/>
  <c r="V577" i="15"/>
  <c r="Z577" i="15"/>
  <c r="AD577" i="15"/>
  <c r="AH577" i="15"/>
  <c r="AL577" i="15"/>
  <c r="AP577" i="15"/>
  <c r="AT577" i="15"/>
  <c r="AX577" i="15"/>
  <c r="BB577" i="15"/>
  <c r="BF577" i="15"/>
  <c r="BJ577" i="15"/>
  <c r="BN577" i="15"/>
  <c r="BR577" i="15"/>
  <c r="O577" i="15"/>
  <c r="S577" i="15"/>
  <c r="W577" i="15"/>
  <c r="AA577" i="15"/>
  <c r="AE577" i="15"/>
  <c r="AI577" i="15"/>
  <c r="AM577" i="15"/>
  <c r="AQ577" i="15"/>
  <c r="AU577" i="15"/>
  <c r="AY577" i="15"/>
  <c r="BC577" i="15"/>
  <c r="BG577" i="15"/>
  <c r="BK577" i="15"/>
  <c r="BO577" i="15"/>
  <c r="BS577" i="15"/>
  <c r="P577" i="15"/>
  <c r="T577" i="15"/>
  <c r="X577" i="15"/>
  <c r="AB577" i="15"/>
  <c r="AF577" i="15"/>
  <c r="AJ577" i="15"/>
  <c r="AN577" i="15"/>
  <c r="AR577" i="15"/>
  <c r="AV577" i="15"/>
  <c r="AZ577" i="15"/>
  <c r="BD577" i="15"/>
  <c r="BH577" i="15"/>
  <c r="BL577" i="15"/>
  <c r="BP577" i="15"/>
  <c r="N57" i="25"/>
  <c r="Z78" i="21"/>
  <c r="Z87" i="21"/>
  <c r="L551" i="15"/>
  <c r="L343" i="15"/>
  <c r="I325" i="15"/>
  <c r="BS334" i="15"/>
  <c r="I342" i="15"/>
  <c r="I349" i="15"/>
  <c r="L550" i="15"/>
  <c r="I324" i="15"/>
  <c r="BS333" i="15"/>
  <c r="P64" i="17" l="1"/>
  <c r="O64" i="17"/>
  <c r="P43" i="25"/>
  <c r="N43" i="25" s="1"/>
  <c r="G113" i="17" s="1"/>
  <c r="Q64" i="17"/>
  <c r="Q65" i="17"/>
  <c r="AG88" i="21"/>
  <c r="N65" i="17"/>
  <c r="M64" i="17"/>
  <c r="Q88" i="21"/>
  <c r="AI88" i="21" s="1"/>
  <c r="M65" i="17"/>
  <c r="P44" i="25"/>
  <c r="L65" i="17" s="1"/>
  <c r="P65" i="17"/>
  <c r="Q89" i="21" a="1"/>
  <c r="AP89" i="21" s="1"/>
  <c r="L584" i="15"/>
  <c r="Q81" i="21" s="1" a="1"/>
  <c r="Q81" i="21" s="1"/>
  <c r="Q68" i="21" a="1"/>
  <c r="L578" i="15"/>
  <c r="Q59" i="21" s="1" a="1"/>
  <c r="Q67" i="21" a="1"/>
  <c r="L577" i="15"/>
  <c r="Q58" i="21" s="1" a="1"/>
  <c r="AP79" i="21"/>
  <c r="AG79" i="21"/>
  <c r="AD79" i="21"/>
  <c r="AA79" i="21"/>
  <c r="AN79" i="21"/>
  <c r="AO79" i="21"/>
  <c r="AE79" i="21"/>
  <c r="AJ79" i="21"/>
  <c r="AK79" i="21"/>
  <c r="AM79" i="21"/>
  <c r="AB79" i="21"/>
  <c r="AC79" i="21"/>
  <c r="AF79" i="21"/>
  <c r="AL79" i="21"/>
  <c r="AL88" i="21"/>
  <c r="AJ88" i="21"/>
  <c r="AO88" i="21"/>
  <c r="AK88" i="21"/>
  <c r="AN88" i="21"/>
  <c r="AM88" i="21"/>
  <c r="I583" i="15"/>
  <c r="AD88" i="21"/>
  <c r="AB88" i="21"/>
  <c r="AC88" i="21"/>
  <c r="AA88" i="21"/>
  <c r="AE88" i="21"/>
  <c r="AF88" i="21"/>
  <c r="I551" i="15"/>
  <c r="I343" i="15"/>
  <c r="I333" i="15"/>
  <c r="L350" i="15" a="1"/>
  <c r="L344" i="15" a="1"/>
  <c r="I334" i="15"/>
  <c r="L552" i="15" a="1"/>
  <c r="P112" i="25" s="1" a="1"/>
  <c r="P112" i="25" s="1"/>
  <c r="I550" i="15"/>
  <c r="N44" i="25" l="1"/>
  <c r="G100" i="17" s="1"/>
  <c r="P59" i="25" a="1"/>
  <c r="P59" i="25" s="1"/>
  <c r="P126" i="25" a="1"/>
  <c r="P126" i="25" s="1"/>
  <c r="N112" i="25"/>
  <c r="R113" i="25"/>
  <c r="Q113" i="25"/>
  <c r="S113" i="25"/>
  <c r="T113" i="25"/>
  <c r="U113" i="25"/>
  <c r="AG68" i="21"/>
  <c r="AA40" i="17"/>
  <c r="AG67" i="21"/>
  <c r="AA39" i="17"/>
  <c r="L64" i="17"/>
  <c r="Q89" i="21"/>
  <c r="AI89" i="21" s="1"/>
  <c r="AP68" i="21"/>
  <c r="AE67" i="21"/>
  <c r="AL67" i="21"/>
  <c r="AG89" i="21"/>
  <c r="AC67" i="21"/>
  <c r="AK67" i="21"/>
  <c r="AA67" i="21"/>
  <c r="Q68" i="21"/>
  <c r="U39" i="17"/>
  <c r="M585" i="15"/>
  <c r="Q585" i="15"/>
  <c r="U585" i="15"/>
  <c r="Y585" i="15"/>
  <c r="AC585" i="15"/>
  <c r="AG585" i="15"/>
  <c r="AK585" i="15"/>
  <c r="AO585" i="15"/>
  <c r="AS585" i="15"/>
  <c r="AW585" i="15"/>
  <c r="BA585" i="15"/>
  <c r="BE585" i="15"/>
  <c r="BI585" i="15"/>
  <c r="BM585" i="15"/>
  <c r="BQ585" i="15"/>
  <c r="N585" i="15"/>
  <c r="R585" i="15"/>
  <c r="V585" i="15"/>
  <c r="Z585" i="15"/>
  <c r="AD585" i="15"/>
  <c r="AH585" i="15"/>
  <c r="AL585" i="15"/>
  <c r="AP585" i="15"/>
  <c r="AT585" i="15"/>
  <c r="AX585" i="15"/>
  <c r="BB585" i="15"/>
  <c r="BF585" i="15"/>
  <c r="BJ585" i="15"/>
  <c r="BN585" i="15"/>
  <c r="BR585" i="15"/>
  <c r="O585" i="15"/>
  <c r="S585" i="15"/>
  <c r="W585" i="15"/>
  <c r="AA585" i="15"/>
  <c r="AE585" i="15"/>
  <c r="AI585" i="15"/>
  <c r="AM585" i="15"/>
  <c r="AQ585" i="15"/>
  <c r="AU585" i="15"/>
  <c r="AY585" i="15"/>
  <c r="BC585" i="15"/>
  <c r="BG585" i="15"/>
  <c r="BK585" i="15"/>
  <c r="BO585" i="15"/>
  <c r="BS585" i="15"/>
  <c r="P585" i="15"/>
  <c r="T585" i="15"/>
  <c r="X585" i="15"/>
  <c r="AB585" i="15"/>
  <c r="AF585" i="15"/>
  <c r="AJ585" i="15"/>
  <c r="AN585" i="15"/>
  <c r="AR585" i="15"/>
  <c r="AV585" i="15"/>
  <c r="AZ585" i="15"/>
  <c r="BD585" i="15"/>
  <c r="BH585" i="15"/>
  <c r="BL585" i="15"/>
  <c r="BP585" i="15"/>
  <c r="AF67" i="21"/>
  <c r="AD67" i="21"/>
  <c r="AM67" i="21"/>
  <c r="AO67" i="21"/>
  <c r="S39" i="17"/>
  <c r="AJ67" i="21"/>
  <c r="W39" i="17"/>
  <c r="AB67" i="21"/>
  <c r="AN67" i="21"/>
  <c r="Y39" i="17"/>
  <c r="P45" i="25" a="1"/>
  <c r="Q66" i="17" s="1"/>
  <c r="M579" i="15"/>
  <c r="Q579" i="15"/>
  <c r="U579" i="15"/>
  <c r="Y579" i="15"/>
  <c r="AC579" i="15"/>
  <c r="AG579" i="15"/>
  <c r="AK579" i="15"/>
  <c r="AO579" i="15"/>
  <c r="AS579" i="15"/>
  <c r="AW579" i="15"/>
  <c r="BA579" i="15"/>
  <c r="BE579" i="15"/>
  <c r="BI579" i="15"/>
  <c r="BM579" i="15"/>
  <c r="BQ579" i="15"/>
  <c r="AL579" i="15"/>
  <c r="AP579" i="15"/>
  <c r="AT579" i="15"/>
  <c r="AX579" i="15"/>
  <c r="BB579" i="15"/>
  <c r="BF579" i="15"/>
  <c r="BJ579" i="15"/>
  <c r="BN579" i="15"/>
  <c r="BR579" i="15"/>
  <c r="N579" i="15"/>
  <c r="R579" i="15"/>
  <c r="V579" i="15"/>
  <c r="Z579" i="15"/>
  <c r="AD579" i="15"/>
  <c r="AH579" i="15"/>
  <c r="O579" i="15"/>
  <c r="S579" i="15"/>
  <c r="W579" i="15"/>
  <c r="AA579" i="15"/>
  <c r="AE579" i="15"/>
  <c r="AI579" i="15"/>
  <c r="AM579" i="15"/>
  <c r="AQ579" i="15"/>
  <c r="AU579" i="15"/>
  <c r="AY579" i="15"/>
  <c r="BC579" i="15"/>
  <c r="BG579" i="15"/>
  <c r="BK579" i="15"/>
  <c r="BO579" i="15"/>
  <c r="BS579" i="15"/>
  <c r="P579" i="15"/>
  <c r="T579" i="15"/>
  <c r="X579" i="15"/>
  <c r="AB579" i="15"/>
  <c r="AF579" i="15"/>
  <c r="AJ579" i="15"/>
  <c r="AN579" i="15"/>
  <c r="AR579" i="15"/>
  <c r="AV579" i="15"/>
  <c r="AZ579" i="15"/>
  <c r="BD579" i="15"/>
  <c r="BH579" i="15"/>
  <c r="BL579" i="15"/>
  <c r="BP579" i="15"/>
  <c r="Q39" i="17"/>
  <c r="O39" i="17"/>
  <c r="AP67" i="21"/>
  <c r="Q67" i="21"/>
  <c r="M39" i="17" s="1"/>
  <c r="AG59" i="21"/>
  <c r="Q59" i="21"/>
  <c r="AI59" i="21" s="1"/>
  <c r="AP59" i="21"/>
  <c r="AG58" i="21"/>
  <c r="Q58" i="21"/>
  <c r="AP58" i="21"/>
  <c r="AO80" i="21"/>
  <c r="AI79" i="21"/>
  <c r="Z79" i="21"/>
  <c r="S40" i="17"/>
  <c r="Q40" i="17"/>
  <c r="U40" i="17"/>
  <c r="O40" i="17"/>
  <c r="W40" i="17"/>
  <c r="Y40" i="17"/>
  <c r="AM89" i="21"/>
  <c r="AK89" i="21"/>
  <c r="AJ89" i="21"/>
  <c r="AL89" i="21"/>
  <c r="AO89" i="21"/>
  <c r="AN89" i="21"/>
  <c r="AO68" i="21"/>
  <c r="AK68" i="21"/>
  <c r="AN68" i="21"/>
  <c r="AJ68" i="21"/>
  <c r="AM68" i="21"/>
  <c r="AL68" i="21"/>
  <c r="AN59" i="21"/>
  <c r="AJ59" i="21"/>
  <c r="AO59" i="21"/>
  <c r="AM59" i="21"/>
  <c r="AK59" i="21"/>
  <c r="AL59" i="21"/>
  <c r="Z88" i="21"/>
  <c r="I584" i="15"/>
  <c r="AE89" i="21"/>
  <c r="AB89" i="21"/>
  <c r="AF89" i="21"/>
  <c r="AA89" i="21"/>
  <c r="AD89" i="21"/>
  <c r="AC89" i="21"/>
  <c r="AC68" i="21"/>
  <c r="AA68" i="21"/>
  <c r="AD68" i="21"/>
  <c r="AE68" i="21"/>
  <c r="AB68" i="21"/>
  <c r="AF68" i="21"/>
  <c r="I578" i="15"/>
  <c r="AC59" i="21"/>
  <c r="AA59" i="21"/>
  <c r="AB59" i="21"/>
  <c r="AE59" i="21"/>
  <c r="AF59" i="21"/>
  <c r="AD59" i="21"/>
  <c r="I577" i="15"/>
  <c r="L344" i="15"/>
  <c r="R345" i="15"/>
  <c r="M345" i="15"/>
  <c r="AM345" i="15"/>
  <c r="BB345" i="15"/>
  <c r="AJ345" i="15"/>
  <c r="BS345" i="15"/>
  <c r="AH345" i="15"/>
  <c r="BI345" i="15"/>
  <c r="Y345" i="15"/>
  <c r="X345" i="15"/>
  <c r="BL345" i="15"/>
  <c r="N345" i="15"/>
  <c r="U345" i="15"/>
  <c r="AF345" i="15"/>
  <c r="BA345" i="15"/>
  <c r="BG345" i="15"/>
  <c r="AC345" i="15"/>
  <c r="AO345" i="15"/>
  <c r="P345" i="15"/>
  <c r="AQ345" i="15"/>
  <c r="AV345" i="15"/>
  <c r="W345" i="15"/>
  <c r="AS345" i="15"/>
  <c r="AZ345" i="15"/>
  <c r="BH345" i="15"/>
  <c r="AB345" i="15"/>
  <c r="AP345" i="15"/>
  <c r="AY345" i="15"/>
  <c r="AR345" i="15"/>
  <c r="AA345" i="15"/>
  <c r="BF345" i="15"/>
  <c r="AI345" i="15"/>
  <c r="AE345" i="15"/>
  <c r="AW345" i="15"/>
  <c r="S345" i="15"/>
  <c r="AN345" i="15"/>
  <c r="BR345" i="15"/>
  <c r="BD345" i="15"/>
  <c r="AT345" i="15"/>
  <c r="O345" i="15"/>
  <c r="AD345" i="15"/>
  <c r="BJ345" i="15"/>
  <c r="BE345" i="15"/>
  <c r="T345" i="15"/>
  <c r="BP345" i="15"/>
  <c r="Z345" i="15"/>
  <c r="BK345" i="15"/>
  <c r="Q345" i="15"/>
  <c r="AL345" i="15"/>
  <c r="BC345" i="15"/>
  <c r="BM345" i="15"/>
  <c r="AX345" i="15"/>
  <c r="BN345" i="15"/>
  <c r="AK345" i="15"/>
  <c r="AU345" i="15"/>
  <c r="AG345" i="15"/>
  <c r="V345" i="15"/>
  <c r="BQ345" i="15"/>
  <c r="BO345" i="15"/>
  <c r="L350" i="15"/>
  <c r="AQ351" i="15"/>
  <c r="AO351" i="15"/>
  <c r="N351" i="15"/>
  <c r="BO351" i="15"/>
  <c r="BJ351" i="15"/>
  <c r="AK351" i="15"/>
  <c r="O351" i="15"/>
  <c r="M351" i="15"/>
  <c r="BA351" i="15"/>
  <c r="Z351" i="15"/>
  <c r="AP351" i="15"/>
  <c r="BB351" i="15"/>
  <c r="AB351" i="15"/>
  <c r="BD351" i="15"/>
  <c r="AV351" i="15"/>
  <c r="S351" i="15"/>
  <c r="BQ351" i="15"/>
  <c r="BH351" i="15"/>
  <c r="BR351" i="15"/>
  <c r="AG351" i="15"/>
  <c r="AA351" i="15"/>
  <c r="AJ351" i="15"/>
  <c r="U351" i="15"/>
  <c r="Y351" i="15"/>
  <c r="AE351" i="15"/>
  <c r="BS351" i="15"/>
  <c r="AY351" i="15"/>
  <c r="AN351" i="15"/>
  <c r="BK351" i="15"/>
  <c r="BG351" i="15"/>
  <c r="BL351" i="15"/>
  <c r="BN351" i="15"/>
  <c r="BI351" i="15"/>
  <c r="T351" i="15"/>
  <c r="AR351" i="15"/>
  <c r="BP351" i="15"/>
  <c r="AT351" i="15"/>
  <c r="AZ351" i="15"/>
  <c r="W351" i="15"/>
  <c r="AM351" i="15"/>
  <c r="AI351" i="15"/>
  <c r="BF351" i="15"/>
  <c r="AW351" i="15"/>
  <c r="AS351" i="15"/>
  <c r="BC351" i="15"/>
  <c r="BE351" i="15"/>
  <c r="AD351" i="15"/>
  <c r="P351" i="15"/>
  <c r="Q351" i="15"/>
  <c r="V351" i="15"/>
  <c r="AL351" i="15"/>
  <c r="R351" i="15"/>
  <c r="AC351" i="15"/>
  <c r="X351" i="15"/>
  <c r="AX351" i="15"/>
  <c r="BM351" i="15"/>
  <c r="AU351" i="15"/>
  <c r="AH351" i="15"/>
  <c r="AF351" i="15"/>
  <c r="L552" i="15"/>
  <c r="AI560" i="15"/>
  <c r="AC560" i="15"/>
  <c r="BQ560" i="15"/>
  <c r="AZ560" i="15"/>
  <c r="V560" i="15"/>
  <c r="BE560" i="15"/>
  <c r="U560" i="15"/>
  <c r="AE560" i="15"/>
  <c r="N560" i="15"/>
  <c r="AN560" i="15"/>
  <c r="T560" i="15"/>
  <c r="AO560" i="15"/>
  <c r="AY560" i="15"/>
  <c r="Q560" i="15"/>
  <c r="BN560" i="15"/>
  <c r="BF560" i="15"/>
  <c r="BO560" i="15"/>
  <c r="BK560" i="15"/>
  <c r="AQ560" i="15"/>
  <c r="BJ560" i="15"/>
  <c r="M560" i="15"/>
  <c r="BC560" i="15"/>
  <c r="BS560" i="15"/>
  <c r="AX560" i="15"/>
  <c r="AG560" i="15"/>
  <c r="AU560" i="15"/>
  <c r="AD560" i="15"/>
  <c r="AT560" i="15"/>
  <c r="AL560" i="15"/>
  <c r="BI560" i="15"/>
  <c r="BG560" i="15"/>
  <c r="AK560" i="15"/>
  <c r="BD560" i="15"/>
  <c r="BB560" i="15"/>
  <c r="AV560" i="15"/>
  <c r="AH560" i="15"/>
  <c r="AS560" i="15"/>
  <c r="AA560" i="15"/>
  <c r="R560" i="15"/>
  <c r="S560" i="15"/>
  <c r="O560" i="15"/>
  <c r="AF560" i="15"/>
  <c r="AJ560" i="15"/>
  <c r="AB560" i="15"/>
  <c r="AR560" i="15"/>
  <c r="Y560" i="15"/>
  <c r="X560" i="15"/>
  <c r="W560" i="15"/>
  <c r="BR560" i="15"/>
  <c r="AP560" i="15"/>
  <c r="BP560" i="15"/>
  <c r="AW560" i="15"/>
  <c r="BH560" i="15"/>
  <c r="Z560" i="15"/>
  <c r="AM560" i="15"/>
  <c r="BA560" i="15"/>
  <c r="BL560" i="15"/>
  <c r="BM560" i="15"/>
  <c r="P560" i="15"/>
  <c r="N126" i="25" l="1"/>
  <c r="N125" i="25"/>
  <c r="P113" i="25"/>
  <c r="S114" i="25"/>
  <c r="Q114" i="25"/>
  <c r="U114" i="25"/>
  <c r="R114" i="25"/>
  <c r="T114" i="25"/>
  <c r="P66" i="17"/>
  <c r="U60" i="25"/>
  <c r="U66" i="25" s="1"/>
  <c r="T46" i="25"/>
  <c r="T47" i="25" s="1"/>
  <c r="U46" i="25"/>
  <c r="U47" i="25" s="1"/>
  <c r="M66" i="17"/>
  <c r="O66" i="17"/>
  <c r="AI67" i="21"/>
  <c r="S46" i="25"/>
  <c r="S47" i="25" s="1"/>
  <c r="Q46" i="25"/>
  <c r="Q47" i="25" s="1"/>
  <c r="N66" i="17"/>
  <c r="R46" i="25"/>
  <c r="R47" i="25" s="1"/>
  <c r="P45" i="25"/>
  <c r="L66" i="17" s="1"/>
  <c r="Z67" i="21"/>
  <c r="Q90" i="21" a="1"/>
  <c r="AP90" i="21" s="1"/>
  <c r="L585" i="15"/>
  <c r="Q82" i="21" s="1" a="1"/>
  <c r="Q82" i="21" s="1"/>
  <c r="Q69" i="21" a="1"/>
  <c r="L579" i="15"/>
  <c r="Q60" i="21" s="1" a="1"/>
  <c r="BQ354" i="15"/>
  <c r="AK354" i="15"/>
  <c r="BC354" i="15"/>
  <c r="Z354" i="15"/>
  <c r="BJ354" i="15"/>
  <c r="BD354" i="15"/>
  <c r="AW354" i="15"/>
  <c r="AA354" i="15"/>
  <c r="AB354" i="15"/>
  <c r="W354" i="15"/>
  <c r="AO354" i="15"/>
  <c r="AF354" i="15"/>
  <c r="X354" i="15"/>
  <c r="BS354" i="15"/>
  <c r="M354" i="15"/>
  <c r="V354" i="15"/>
  <c r="BN354" i="15"/>
  <c r="AL354" i="15"/>
  <c r="BP354" i="15"/>
  <c r="AD354" i="15"/>
  <c r="BR354" i="15"/>
  <c r="AE354" i="15"/>
  <c r="AR354" i="15"/>
  <c r="BH354" i="15"/>
  <c r="AV354" i="15"/>
  <c r="AC354" i="15"/>
  <c r="U354" i="15"/>
  <c r="Y354" i="15"/>
  <c r="AJ354" i="15"/>
  <c r="R354" i="15"/>
  <c r="AG354" i="15"/>
  <c r="AX354" i="15"/>
  <c r="Q354" i="15"/>
  <c r="T354" i="15"/>
  <c r="O354" i="15"/>
  <c r="AN354" i="15"/>
  <c r="AI354" i="15"/>
  <c r="AY354" i="15"/>
  <c r="AZ354" i="15"/>
  <c r="AQ354" i="15"/>
  <c r="BG354" i="15"/>
  <c r="N354" i="15"/>
  <c r="BI354" i="15"/>
  <c r="BB354" i="15"/>
  <c r="BO354" i="15"/>
  <c r="AU354" i="15"/>
  <c r="BM354" i="15"/>
  <c r="BK354" i="15"/>
  <c r="BE354" i="15"/>
  <c r="AT354" i="15"/>
  <c r="S354" i="15"/>
  <c r="BF354" i="15"/>
  <c r="AP354" i="15"/>
  <c r="AS354" i="15"/>
  <c r="P354" i="15"/>
  <c r="BA354" i="15"/>
  <c r="BL354" i="15"/>
  <c r="AH354" i="15"/>
  <c r="AM354" i="15"/>
  <c r="L53" i="17" a="1"/>
  <c r="N58" i="25"/>
  <c r="AN80" i="21"/>
  <c r="AE80" i="21"/>
  <c r="AB80" i="21"/>
  <c r="AF80" i="21"/>
  <c r="AK80" i="21"/>
  <c r="AJ80" i="21"/>
  <c r="AD80" i="21"/>
  <c r="AA80" i="21"/>
  <c r="AC80" i="21"/>
  <c r="AM80" i="21"/>
  <c r="AL80" i="21"/>
  <c r="AG80" i="21"/>
  <c r="AP80" i="21"/>
  <c r="AI68" i="21"/>
  <c r="M40" i="17"/>
  <c r="Z68" i="21"/>
  <c r="AM58" i="21"/>
  <c r="AJ58" i="21"/>
  <c r="AL58" i="21"/>
  <c r="AO58" i="21"/>
  <c r="AK58" i="21"/>
  <c r="AN58" i="21"/>
  <c r="Z89" i="21"/>
  <c r="Z59" i="21"/>
  <c r="AI58" i="21"/>
  <c r="AB58" i="21"/>
  <c r="AC58" i="21"/>
  <c r="AF58" i="21"/>
  <c r="AE58" i="21"/>
  <c r="AA58" i="21"/>
  <c r="AD58" i="21"/>
  <c r="AM562" i="15"/>
  <c r="AM563" i="15"/>
  <c r="R562" i="15"/>
  <c r="R563" i="15"/>
  <c r="AD562" i="15"/>
  <c r="AD563" i="15"/>
  <c r="T563" i="15"/>
  <c r="T562" i="15"/>
  <c r="Q368" i="15"/>
  <c r="Q355" i="15"/>
  <c r="Q369" i="15"/>
  <c r="AT369" i="15"/>
  <c r="AT355" i="15"/>
  <c r="AT368" i="15"/>
  <c r="AE355" i="15"/>
  <c r="AE368" i="15"/>
  <c r="AE369" i="15"/>
  <c r="BA355" i="15"/>
  <c r="BA368" i="15"/>
  <c r="BA369" i="15"/>
  <c r="AU363" i="15"/>
  <c r="AU364" i="15"/>
  <c r="BE363" i="15"/>
  <c r="BE364" i="15"/>
  <c r="AT363" i="15"/>
  <c r="AT364" i="15"/>
  <c r="AP363" i="15"/>
  <c r="AP364" i="15"/>
  <c r="AS364" i="15"/>
  <c r="AS363" i="15"/>
  <c r="P364" i="15"/>
  <c r="P363" i="15"/>
  <c r="AH364" i="15"/>
  <c r="AH363" i="15"/>
  <c r="AM363" i="15"/>
  <c r="AM364" i="15"/>
  <c r="BM562" i="15"/>
  <c r="BM563" i="15"/>
  <c r="Z563" i="15"/>
  <c r="Z562" i="15"/>
  <c r="AP562" i="15"/>
  <c r="AP563" i="15"/>
  <c r="Y563" i="15"/>
  <c r="Y562" i="15"/>
  <c r="AF562" i="15"/>
  <c r="AF563" i="15"/>
  <c r="AA563" i="15"/>
  <c r="AA562" i="15"/>
  <c r="BB563" i="15"/>
  <c r="BB562" i="15"/>
  <c r="BI563" i="15"/>
  <c r="BI562" i="15"/>
  <c r="AU562" i="15"/>
  <c r="AU563" i="15"/>
  <c r="BC562" i="15"/>
  <c r="BC563" i="15"/>
  <c r="BK562" i="15"/>
  <c r="BK563" i="15"/>
  <c r="Q562" i="15"/>
  <c r="Q563" i="15"/>
  <c r="AN563" i="15"/>
  <c r="AN562" i="15"/>
  <c r="BE562" i="15"/>
  <c r="BE563" i="15"/>
  <c r="AC562" i="15"/>
  <c r="AC563" i="15"/>
  <c r="BM355" i="15"/>
  <c r="BM369" i="15"/>
  <c r="BM368" i="15"/>
  <c r="R368" i="15"/>
  <c r="R369" i="15"/>
  <c r="R355" i="15"/>
  <c r="P368" i="15"/>
  <c r="P355" i="15"/>
  <c r="P369" i="15"/>
  <c r="AS355" i="15"/>
  <c r="AS368" i="15"/>
  <c r="AS369" i="15"/>
  <c r="AM369" i="15"/>
  <c r="AM368" i="15"/>
  <c r="AM355" i="15"/>
  <c r="BP368" i="15"/>
  <c r="BP355" i="15"/>
  <c r="BP369" i="15"/>
  <c r="BN355" i="15"/>
  <c r="BN368" i="15"/>
  <c r="BN369" i="15"/>
  <c r="AN355" i="15"/>
  <c r="AN368" i="15"/>
  <c r="AN369" i="15"/>
  <c r="Y355" i="15"/>
  <c r="Y369" i="15"/>
  <c r="Y368" i="15"/>
  <c r="AG368" i="15"/>
  <c r="AG369" i="15"/>
  <c r="AG355" i="15"/>
  <c r="S368" i="15"/>
  <c r="S369" i="15"/>
  <c r="S355" i="15"/>
  <c r="BB369" i="15"/>
  <c r="BB368" i="15"/>
  <c r="BB355" i="15"/>
  <c r="M355" i="15"/>
  <c r="M368" i="15"/>
  <c r="M369" i="15"/>
  <c r="BO368" i="15"/>
  <c r="BO369" i="15"/>
  <c r="BO355" i="15"/>
  <c r="I350" i="15"/>
  <c r="L351" i="15"/>
  <c r="BQ363" i="15"/>
  <c r="BQ364" i="15"/>
  <c r="AK363" i="15"/>
  <c r="AK364" i="15"/>
  <c r="BC364" i="15"/>
  <c r="BC363" i="15"/>
  <c r="Z364" i="15"/>
  <c r="Z363" i="15"/>
  <c r="BJ363" i="15"/>
  <c r="BJ364" i="15"/>
  <c r="BD363" i="15"/>
  <c r="BD364" i="15"/>
  <c r="AW364" i="15"/>
  <c r="AW363" i="15"/>
  <c r="AA363" i="15"/>
  <c r="AA364" i="15"/>
  <c r="AB364" i="15"/>
  <c r="AB363" i="15"/>
  <c r="W363" i="15"/>
  <c r="W364" i="15"/>
  <c r="AO363" i="15"/>
  <c r="AO364" i="15"/>
  <c r="AF363" i="15"/>
  <c r="AF364" i="15"/>
  <c r="X363" i="15"/>
  <c r="X364" i="15"/>
  <c r="BS363" i="15"/>
  <c r="BS364" i="15"/>
  <c r="M364" i="15"/>
  <c r="M363" i="15"/>
  <c r="P563" i="15"/>
  <c r="P562" i="15"/>
  <c r="X562" i="15"/>
  <c r="X563" i="15"/>
  <c r="AV562" i="15"/>
  <c r="AV563" i="15"/>
  <c r="BS563" i="15"/>
  <c r="BS562" i="15"/>
  <c r="AQ563" i="15"/>
  <c r="AQ562" i="15"/>
  <c r="I566" i="15"/>
  <c r="U562" i="15"/>
  <c r="U563" i="15"/>
  <c r="AU369" i="15"/>
  <c r="AU368" i="15"/>
  <c r="AU355" i="15"/>
  <c r="BC355" i="15"/>
  <c r="BC369" i="15"/>
  <c r="BC368" i="15"/>
  <c r="BI355" i="15"/>
  <c r="BI368" i="15"/>
  <c r="BI369" i="15"/>
  <c r="AA355" i="15"/>
  <c r="AA369" i="15"/>
  <c r="AA368" i="15"/>
  <c r="AB368" i="15"/>
  <c r="AB369" i="15"/>
  <c r="AB355" i="15"/>
  <c r="AQ368" i="15"/>
  <c r="AQ355" i="15"/>
  <c r="AQ369" i="15"/>
  <c r="BM364" i="15"/>
  <c r="BM363" i="15"/>
  <c r="S363" i="15"/>
  <c r="S364" i="15"/>
  <c r="BL363" i="15"/>
  <c r="BL364" i="15"/>
  <c r="BL563" i="15"/>
  <c r="BL562" i="15"/>
  <c r="BR563" i="15"/>
  <c r="BR562" i="15"/>
  <c r="O563" i="15"/>
  <c r="O562" i="15"/>
  <c r="BD563" i="15"/>
  <c r="BD562" i="15"/>
  <c r="AL562" i="15"/>
  <c r="AL563" i="15"/>
  <c r="AG562" i="15"/>
  <c r="AG563" i="15"/>
  <c r="M563" i="15"/>
  <c r="M562" i="15"/>
  <c r="BO562" i="15"/>
  <c r="BO563" i="15"/>
  <c r="AY562" i="15"/>
  <c r="AY563" i="15"/>
  <c r="N563" i="15"/>
  <c r="N562" i="15"/>
  <c r="V562" i="15"/>
  <c r="V563" i="15"/>
  <c r="AI563" i="15"/>
  <c r="AI562" i="15"/>
  <c r="AF369" i="15"/>
  <c r="AF355" i="15"/>
  <c r="AF368" i="15"/>
  <c r="AX368" i="15"/>
  <c r="AX369" i="15"/>
  <c r="AX355" i="15"/>
  <c r="AL368" i="15"/>
  <c r="AL355" i="15"/>
  <c r="AL369" i="15"/>
  <c r="AD369" i="15"/>
  <c r="AD368" i="15"/>
  <c r="AD355" i="15"/>
  <c r="AW355" i="15"/>
  <c r="AW369" i="15"/>
  <c r="AW368" i="15"/>
  <c r="W369" i="15"/>
  <c r="W368" i="15"/>
  <c r="W355" i="15"/>
  <c r="AR369" i="15"/>
  <c r="AR355" i="15"/>
  <c r="AR368" i="15"/>
  <c r="BL368" i="15"/>
  <c r="BL355" i="15"/>
  <c r="BL369" i="15"/>
  <c r="AY355" i="15"/>
  <c r="AY368" i="15"/>
  <c r="AY369" i="15"/>
  <c r="U368" i="15"/>
  <c r="U355" i="15"/>
  <c r="U369" i="15"/>
  <c r="BR368" i="15"/>
  <c r="BR355" i="15"/>
  <c r="BR369" i="15"/>
  <c r="AV355" i="15"/>
  <c r="AV368" i="15"/>
  <c r="AV369" i="15"/>
  <c r="AP355" i="15"/>
  <c r="AP368" i="15"/>
  <c r="AP369" i="15"/>
  <c r="O368" i="15"/>
  <c r="O369" i="15"/>
  <c r="O355" i="15"/>
  <c r="N355" i="15"/>
  <c r="N369" i="15"/>
  <c r="N368" i="15"/>
  <c r="V363" i="15"/>
  <c r="V364" i="15"/>
  <c r="BN364" i="15"/>
  <c r="BN363" i="15"/>
  <c r="AL363" i="15"/>
  <c r="AL364" i="15"/>
  <c r="BP364" i="15"/>
  <c r="BP363" i="15"/>
  <c r="AD364" i="15"/>
  <c r="AD363" i="15"/>
  <c r="BR364" i="15"/>
  <c r="BR363" i="15"/>
  <c r="AE364" i="15"/>
  <c r="AE363" i="15"/>
  <c r="AR364" i="15"/>
  <c r="AR363" i="15"/>
  <c r="BH364" i="15"/>
  <c r="BH363" i="15"/>
  <c r="AV363" i="15"/>
  <c r="AV364" i="15"/>
  <c r="AC364" i="15"/>
  <c r="AC363" i="15"/>
  <c r="U363" i="15"/>
  <c r="U364" i="15"/>
  <c r="Y363" i="15"/>
  <c r="Y364" i="15"/>
  <c r="AJ363" i="15"/>
  <c r="AJ364" i="15"/>
  <c r="R363" i="15"/>
  <c r="R364" i="15"/>
  <c r="BP562" i="15"/>
  <c r="BP563" i="15"/>
  <c r="AJ563" i="15"/>
  <c r="AJ562" i="15"/>
  <c r="BG563" i="15"/>
  <c r="BG562" i="15"/>
  <c r="BN563" i="15"/>
  <c r="BN562" i="15"/>
  <c r="BQ562" i="15"/>
  <c r="BQ563" i="15"/>
  <c r="AC369" i="15"/>
  <c r="AC355" i="15"/>
  <c r="AC368" i="15"/>
  <c r="AI355" i="15"/>
  <c r="AI369" i="15"/>
  <c r="AI368" i="15"/>
  <c r="BK355" i="15"/>
  <c r="BK368" i="15"/>
  <c r="BK369" i="15"/>
  <c r="BQ355" i="15"/>
  <c r="BQ368" i="15"/>
  <c r="BQ369" i="15"/>
  <c r="BJ355" i="15"/>
  <c r="BJ369" i="15"/>
  <c r="BJ368" i="15"/>
  <c r="BO364" i="15"/>
  <c r="BO363" i="15"/>
  <c r="BK363" i="15"/>
  <c r="BK364" i="15"/>
  <c r="BF364" i="15"/>
  <c r="BF363" i="15"/>
  <c r="BA363" i="15"/>
  <c r="BA364" i="15"/>
  <c r="BH562" i="15"/>
  <c r="BH563" i="15"/>
  <c r="AR562" i="15"/>
  <c r="AR563" i="15"/>
  <c r="AS563" i="15"/>
  <c r="AS562" i="15"/>
  <c r="BA562" i="15"/>
  <c r="BA563" i="15"/>
  <c r="AW563" i="15"/>
  <c r="AW562" i="15"/>
  <c r="W562" i="15"/>
  <c r="W563" i="15"/>
  <c r="AB562" i="15"/>
  <c r="AB563" i="15"/>
  <c r="S562" i="15"/>
  <c r="S563" i="15"/>
  <c r="AH562" i="15"/>
  <c r="AH563" i="15"/>
  <c r="AK562" i="15"/>
  <c r="AK563" i="15"/>
  <c r="AT563" i="15"/>
  <c r="AT562" i="15"/>
  <c r="AX562" i="15"/>
  <c r="AX563" i="15"/>
  <c r="BJ562" i="15"/>
  <c r="BJ563" i="15"/>
  <c r="BF562" i="15"/>
  <c r="BF563" i="15"/>
  <c r="AO563" i="15"/>
  <c r="AO562" i="15"/>
  <c r="AE562" i="15"/>
  <c r="AE563" i="15"/>
  <c r="AZ562" i="15"/>
  <c r="AZ563" i="15"/>
  <c r="I552" i="15"/>
  <c r="L560" i="15"/>
  <c r="AH368" i="15"/>
  <c r="AH355" i="15"/>
  <c r="AH369" i="15"/>
  <c r="X368" i="15"/>
  <c r="X355" i="15"/>
  <c r="X369" i="15"/>
  <c r="V355" i="15"/>
  <c r="V369" i="15"/>
  <c r="V368" i="15"/>
  <c r="BE369" i="15"/>
  <c r="BE355" i="15"/>
  <c r="BE368" i="15"/>
  <c r="BF369" i="15"/>
  <c r="BF355" i="15"/>
  <c r="BF368" i="15"/>
  <c r="AZ369" i="15"/>
  <c r="AZ355" i="15"/>
  <c r="AZ368" i="15"/>
  <c r="T368" i="15"/>
  <c r="T355" i="15"/>
  <c r="T369" i="15"/>
  <c r="BG355" i="15"/>
  <c r="BG368" i="15"/>
  <c r="BG369" i="15"/>
  <c r="BS369" i="15"/>
  <c r="BS355" i="15"/>
  <c r="BS368" i="15"/>
  <c r="AJ355" i="15"/>
  <c r="AJ369" i="15"/>
  <c r="AJ368" i="15"/>
  <c r="BH368" i="15"/>
  <c r="BH369" i="15"/>
  <c r="BH355" i="15"/>
  <c r="BD369" i="15"/>
  <c r="BD355" i="15"/>
  <c r="BD368" i="15"/>
  <c r="Z355" i="15"/>
  <c r="Z369" i="15"/>
  <c r="Z368" i="15"/>
  <c r="AK369" i="15"/>
  <c r="AK355" i="15"/>
  <c r="AK368" i="15"/>
  <c r="AO368" i="15"/>
  <c r="AO355" i="15"/>
  <c r="AO369" i="15"/>
  <c r="AG363" i="15"/>
  <c r="AG364" i="15"/>
  <c r="AX363" i="15"/>
  <c r="AX364" i="15"/>
  <c r="Q363" i="15"/>
  <c r="Q364" i="15"/>
  <c r="T363" i="15"/>
  <c r="T364" i="15"/>
  <c r="O364" i="15"/>
  <c r="O363" i="15"/>
  <c r="AN363" i="15"/>
  <c r="AN364" i="15"/>
  <c r="AI363" i="15"/>
  <c r="AI364" i="15"/>
  <c r="AY363" i="15"/>
  <c r="AY364" i="15"/>
  <c r="AZ364" i="15"/>
  <c r="AZ363" i="15"/>
  <c r="AQ364" i="15"/>
  <c r="AQ363" i="15"/>
  <c r="BG363" i="15"/>
  <c r="BG364" i="15"/>
  <c r="N364" i="15"/>
  <c r="N363" i="15"/>
  <c r="BI363" i="15"/>
  <c r="BI364" i="15"/>
  <c r="BB364" i="15"/>
  <c r="BB363" i="15"/>
  <c r="I344" i="15"/>
  <c r="L345" i="15"/>
  <c r="P114" i="25" l="1"/>
  <c r="N113" i="25"/>
  <c r="N114" i="25" s="1"/>
  <c r="R127" i="25"/>
  <c r="R133" i="25" s="1"/>
  <c r="R136" i="25" s="1"/>
  <c r="T127" i="25"/>
  <c r="T133" i="25" s="1"/>
  <c r="T136" i="25" s="1"/>
  <c r="P127" i="25"/>
  <c r="P133" i="25" s="1"/>
  <c r="P136" i="25" s="1"/>
  <c r="S127" i="25"/>
  <c r="S133" i="25" s="1"/>
  <c r="S136" i="25" s="1"/>
  <c r="Q127" i="25"/>
  <c r="Q133" i="25" s="1"/>
  <c r="Q136" i="25" s="1"/>
  <c r="U127" i="25"/>
  <c r="U133" i="25" s="1"/>
  <c r="U136" i="25" s="1"/>
  <c r="N56" i="17"/>
  <c r="Q56" i="17"/>
  <c r="O56" i="17"/>
  <c r="P56" i="17"/>
  <c r="L53" i="17"/>
  <c r="L56" i="17" s="1"/>
  <c r="M56" i="17"/>
  <c r="Q69" i="21"/>
  <c r="Z69" i="21" s="1"/>
  <c r="Z70" i="21" s="1"/>
  <c r="AA41" i="17"/>
  <c r="AA42" i="17" s="1"/>
  <c r="S60" i="25"/>
  <c r="S66" i="25" s="1"/>
  <c r="S69" i="25" s="1"/>
  <c r="N59" i="25"/>
  <c r="Q60" i="25"/>
  <c r="Q66" i="25" s="1"/>
  <c r="Q69" i="25" s="1"/>
  <c r="T60" i="25"/>
  <c r="T66" i="25" s="1"/>
  <c r="T69" i="25" s="1"/>
  <c r="R60" i="25"/>
  <c r="R66" i="25" s="1"/>
  <c r="R69" i="25" s="1"/>
  <c r="AK69" i="21"/>
  <c r="AD69" i="21"/>
  <c r="AD70" i="21" s="1"/>
  <c r="Y41" i="17"/>
  <c r="Y42" i="17" s="1"/>
  <c r="U69" i="25"/>
  <c r="AG90" i="21"/>
  <c r="Q90" i="21"/>
  <c r="AI90" i="21" s="1"/>
  <c r="V70" i="21"/>
  <c r="V72" i="21" s="1"/>
  <c r="X91" i="21"/>
  <c r="X97" i="21" s="1"/>
  <c r="P46" i="25"/>
  <c r="P47" i="25" s="1"/>
  <c r="AE69" i="21"/>
  <c r="AE70" i="21" s="1"/>
  <c r="Q41" i="17"/>
  <c r="Q42" i="17" s="1"/>
  <c r="W70" i="21"/>
  <c r="W72" i="21" s="1"/>
  <c r="AF69" i="21"/>
  <c r="AF70" i="21" s="1"/>
  <c r="X70" i="21"/>
  <c r="X72" i="21" s="1"/>
  <c r="AA69" i="21"/>
  <c r="AA70" i="21" s="1"/>
  <c r="AL69" i="21"/>
  <c r="AG69" i="21"/>
  <c r="AG70" i="21" s="1"/>
  <c r="U70" i="21"/>
  <c r="AM70" i="21" s="1"/>
  <c r="AC69" i="21"/>
  <c r="AC70" i="21" s="1"/>
  <c r="S70" i="21"/>
  <c r="AK70" i="21" s="1"/>
  <c r="T70" i="21"/>
  <c r="T72" i="21" s="1"/>
  <c r="AJ69" i="21"/>
  <c r="U41" i="17"/>
  <c r="U42" i="17" s="1"/>
  <c r="AP69" i="21"/>
  <c r="N45" i="25"/>
  <c r="R70" i="21"/>
  <c r="R72" i="21" s="1"/>
  <c r="AB69" i="21"/>
  <c r="AB70" i="21" s="1"/>
  <c r="AN69" i="21"/>
  <c r="O41" i="17"/>
  <c r="O42" i="17" s="1"/>
  <c r="AM69" i="21"/>
  <c r="AO69" i="21"/>
  <c r="S41" i="17"/>
  <c r="S42" i="17" s="1"/>
  <c r="W41" i="17"/>
  <c r="W42" i="17" s="1"/>
  <c r="AI82" i="21"/>
  <c r="AG82" i="21"/>
  <c r="AP82" i="21"/>
  <c r="L354" i="15"/>
  <c r="I586" i="15"/>
  <c r="AP81" i="21"/>
  <c r="AG81" i="21"/>
  <c r="AI80" i="21"/>
  <c r="Z80" i="21"/>
  <c r="Q60" i="21"/>
  <c r="AP60" i="21"/>
  <c r="AG60" i="21"/>
  <c r="X61" i="21"/>
  <c r="X84" i="21"/>
  <c r="AO81" i="21"/>
  <c r="AM81" i="21"/>
  <c r="AD81" i="21"/>
  <c r="AK81" i="21"/>
  <c r="AL81" i="21"/>
  <c r="AC81" i="21"/>
  <c r="AE81" i="21"/>
  <c r="AN81" i="21"/>
  <c r="AF81" i="21"/>
  <c r="AJ81" i="21"/>
  <c r="AA81" i="21"/>
  <c r="AB81" i="21"/>
  <c r="AN90" i="21"/>
  <c r="AJ90" i="21"/>
  <c r="AL90" i="21"/>
  <c r="AK90" i="21"/>
  <c r="AM90" i="21"/>
  <c r="AO90" i="21"/>
  <c r="AO82" i="21"/>
  <c r="AK82" i="21"/>
  <c r="AN82" i="21"/>
  <c r="AJ82" i="21"/>
  <c r="AM82" i="21"/>
  <c r="AL82" i="21"/>
  <c r="AF82" i="21"/>
  <c r="Z58" i="21"/>
  <c r="I585" i="15"/>
  <c r="AB82" i="21"/>
  <c r="AE82" i="21"/>
  <c r="S84" i="21"/>
  <c r="AK84" i="21" s="1"/>
  <c r="AC82" i="21"/>
  <c r="R84" i="21"/>
  <c r="AJ84" i="21" s="1"/>
  <c r="AD82" i="21"/>
  <c r="AE90" i="21"/>
  <c r="AF90" i="21"/>
  <c r="AC90" i="21"/>
  <c r="AD90" i="21"/>
  <c r="AA90" i="21"/>
  <c r="AB90" i="21"/>
  <c r="V91" i="21"/>
  <c r="AN91" i="21" s="1"/>
  <c r="U91" i="21"/>
  <c r="AM91" i="21" s="1"/>
  <c r="T91" i="21"/>
  <c r="AL91" i="21" s="1"/>
  <c r="R91" i="21"/>
  <c r="AJ91" i="21" s="1"/>
  <c r="W91" i="21"/>
  <c r="AO91" i="21" s="1"/>
  <c r="S91" i="21"/>
  <c r="AK91" i="21" s="1"/>
  <c r="T84" i="21"/>
  <c r="AL84" i="21" s="1"/>
  <c r="W84" i="21"/>
  <c r="AO84" i="21" s="1"/>
  <c r="AA82" i="21"/>
  <c r="V84" i="21"/>
  <c r="AN84" i="21" s="1"/>
  <c r="U84" i="21"/>
  <c r="AM84" i="21" s="1"/>
  <c r="I579" i="15"/>
  <c r="AW370" i="15"/>
  <c r="AD370" i="15"/>
  <c r="BC370" i="15"/>
  <c r="AU370" i="15"/>
  <c r="BJ370" i="15"/>
  <c r="AD365" i="15"/>
  <c r="BF365" i="15"/>
  <c r="O365" i="15"/>
  <c r="BL365" i="15"/>
  <c r="Z370" i="15"/>
  <c r="BH370" i="15"/>
  <c r="BG370" i="15"/>
  <c r="V365" i="15"/>
  <c r="AV370" i="15"/>
  <c r="BI365" i="15"/>
  <c r="BQ370" i="15"/>
  <c r="AM370" i="15"/>
  <c r="AO365" i="15"/>
  <c r="AG365" i="15"/>
  <c r="AK370" i="15"/>
  <c r="AZ370" i="15"/>
  <c r="AY365" i="15"/>
  <c r="AO370" i="15"/>
  <c r="BS370" i="15"/>
  <c r="T370" i="15"/>
  <c r="BF370" i="15"/>
  <c r="AC370" i="15"/>
  <c r="U365" i="15"/>
  <c r="BR365" i="15"/>
  <c r="BN365" i="15"/>
  <c r="Y365" i="15"/>
  <c r="AE365" i="15"/>
  <c r="BL370" i="15"/>
  <c r="BO370" i="15"/>
  <c r="R370" i="15"/>
  <c r="S370" i="15"/>
  <c r="N365" i="15"/>
  <c r="V370" i="15"/>
  <c r="BO365" i="15"/>
  <c r="AR365" i="15"/>
  <c r="BP365" i="15"/>
  <c r="N370" i="15"/>
  <c r="W370" i="15"/>
  <c r="P365" i="15"/>
  <c r="AT370" i="15"/>
  <c r="BR370" i="15"/>
  <c r="AL370" i="15"/>
  <c r="AF370" i="15"/>
  <c r="BB365" i="15"/>
  <c r="AQ365" i="15"/>
  <c r="AJ370" i="15"/>
  <c r="AI370" i="15"/>
  <c r="AC365" i="15"/>
  <c r="BM365" i="15"/>
  <c r="AB365" i="15"/>
  <c r="Z365" i="15"/>
  <c r="BB370" i="15"/>
  <c r="Y370" i="15"/>
  <c r="AN370" i="15"/>
  <c r="AS370" i="15"/>
  <c r="P370" i="15"/>
  <c r="BM370" i="15"/>
  <c r="AH365" i="15"/>
  <c r="AA370" i="15"/>
  <c r="AG370" i="15"/>
  <c r="AU365" i="15"/>
  <c r="BN370" i="15"/>
  <c r="Q370" i="15"/>
  <c r="AZ373" i="15"/>
  <c r="AZ374" i="15"/>
  <c r="AZ356" i="15"/>
  <c r="BI374" i="15"/>
  <c r="BI373" i="15"/>
  <c r="BI356" i="15"/>
  <c r="AN365" i="15"/>
  <c r="Q356" i="15"/>
  <c r="Q374" i="15"/>
  <c r="Q373" i="15"/>
  <c r="AX365" i="15"/>
  <c r="AK379" i="15"/>
  <c r="AK378" i="15"/>
  <c r="Z379" i="15"/>
  <c r="Z378" i="15"/>
  <c r="BH378" i="15"/>
  <c r="BH379" i="15"/>
  <c r="AZ378" i="15"/>
  <c r="AZ379" i="15"/>
  <c r="X379" i="15"/>
  <c r="X378" i="15"/>
  <c r="AH370" i="15"/>
  <c r="BA374" i="15"/>
  <c r="BA373" i="15"/>
  <c r="BA356" i="15"/>
  <c r="BJ378" i="15"/>
  <c r="BJ379" i="15"/>
  <c r="R374" i="15"/>
  <c r="R373" i="15"/>
  <c r="R356" i="15"/>
  <c r="AJ373" i="15"/>
  <c r="AJ374" i="15"/>
  <c r="AJ356" i="15"/>
  <c r="AV365" i="15"/>
  <c r="AE373" i="15"/>
  <c r="AE356" i="15"/>
  <c r="AE374" i="15"/>
  <c r="AL374" i="15"/>
  <c r="AL373" i="15"/>
  <c r="AL356" i="15"/>
  <c r="AP379" i="15"/>
  <c r="AP378" i="15"/>
  <c r="U379" i="15"/>
  <c r="U378" i="15"/>
  <c r="AY379" i="15"/>
  <c r="AY378" i="15"/>
  <c r="AR370" i="15"/>
  <c r="AW379" i="15"/>
  <c r="AW378" i="15"/>
  <c r="AQ370" i="15"/>
  <c r="BI370" i="15"/>
  <c r="BC378" i="15"/>
  <c r="BC379" i="15"/>
  <c r="AF365" i="15"/>
  <c r="AA365" i="15"/>
  <c r="BJ373" i="15"/>
  <c r="BJ374" i="15"/>
  <c r="BJ356" i="15"/>
  <c r="BQ373" i="15"/>
  <c r="BQ356" i="15"/>
  <c r="BQ374" i="15"/>
  <c r="BO378" i="15"/>
  <c r="BO379" i="15"/>
  <c r="M370" i="15"/>
  <c r="AG378" i="15"/>
  <c r="AG379" i="15"/>
  <c r="AN379" i="15"/>
  <c r="AN378" i="15"/>
  <c r="AS379" i="15"/>
  <c r="AS378" i="15"/>
  <c r="R379" i="15"/>
  <c r="R378" i="15"/>
  <c r="AT365" i="15"/>
  <c r="BE365" i="15"/>
  <c r="AE370" i="15"/>
  <c r="BB373" i="15"/>
  <c r="BB374" i="15"/>
  <c r="BB356" i="15"/>
  <c r="AQ374" i="15"/>
  <c r="AQ373" i="15"/>
  <c r="AQ356" i="15"/>
  <c r="AN373" i="15"/>
  <c r="AN356" i="15"/>
  <c r="AN374" i="15"/>
  <c r="T373" i="15"/>
  <c r="T356" i="15"/>
  <c r="T374" i="15"/>
  <c r="BE379" i="15"/>
  <c r="BE378" i="15"/>
  <c r="BK373" i="15"/>
  <c r="BK374" i="15"/>
  <c r="BK356" i="15"/>
  <c r="AV373" i="15"/>
  <c r="AV374" i="15"/>
  <c r="AV356" i="15"/>
  <c r="AR356" i="15"/>
  <c r="AR374" i="15"/>
  <c r="AR373" i="15"/>
  <c r="BP356" i="15"/>
  <c r="BP373" i="15"/>
  <c r="BP374" i="15"/>
  <c r="N378" i="15"/>
  <c r="N379" i="15"/>
  <c r="S374" i="15"/>
  <c r="S356" i="15"/>
  <c r="S373" i="15"/>
  <c r="BG373" i="15"/>
  <c r="BG374" i="15"/>
  <c r="BG356" i="15"/>
  <c r="L364" i="15"/>
  <c r="I345" i="15"/>
  <c r="L363" i="15"/>
  <c r="L458" i="15" a="1"/>
  <c r="AI356" i="15"/>
  <c r="AI374" i="15"/>
  <c r="AI373" i="15"/>
  <c r="BG365" i="15"/>
  <c r="AZ365" i="15"/>
  <c r="AY356" i="15"/>
  <c r="AY373" i="15"/>
  <c r="AY374" i="15"/>
  <c r="AI365" i="15"/>
  <c r="O374" i="15"/>
  <c r="O373" i="15"/>
  <c r="O356" i="15"/>
  <c r="T365" i="15"/>
  <c r="Q365" i="15"/>
  <c r="AO379" i="15"/>
  <c r="AO378" i="15"/>
  <c r="BD370" i="15"/>
  <c r="AJ379" i="15"/>
  <c r="AJ378" i="15"/>
  <c r="T378" i="15"/>
  <c r="T379" i="15"/>
  <c r="BE370" i="15"/>
  <c r="X370" i="15"/>
  <c r="I565" i="15"/>
  <c r="L563" i="15"/>
  <c r="L562" i="15"/>
  <c r="I562" i="15" s="1"/>
  <c r="I560" i="15"/>
  <c r="I568" i="15" s="1"/>
  <c r="BF373" i="15"/>
  <c r="BF374" i="15"/>
  <c r="BF356" i="15"/>
  <c r="BK365" i="15"/>
  <c r="BK370" i="15"/>
  <c r="AI378" i="15"/>
  <c r="AI379" i="15"/>
  <c r="R365" i="15"/>
  <c r="U374" i="15"/>
  <c r="U373" i="15"/>
  <c r="U356" i="15"/>
  <c r="AC356" i="15"/>
  <c r="AC374" i="15"/>
  <c r="AC373" i="15"/>
  <c r="BH365" i="15"/>
  <c r="AD373" i="15"/>
  <c r="AD374" i="15"/>
  <c r="AD356" i="15"/>
  <c r="AL365" i="15"/>
  <c r="O370" i="15"/>
  <c r="BR378" i="15"/>
  <c r="BR379" i="15"/>
  <c r="U370" i="15"/>
  <c r="AR378" i="15"/>
  <c r="AR379" i="15"/>
  <c r="AD379" i="15"/>
  <c r="AD378" i="15"/>
  <c r="AL378" i="15"/>
  <c r="AL379" i="15"/>
  <c r="AX370" i="15"/>
  <c r="S365" i="15"/>
  <c r="BM374" i="15"/>
  <c r="BM373" i="15"/>
  <c r="BM356" i="15"/>
  <c r="AB378" i="15"/>
  <c r="AB379" i="15"/>
  <c r="BI379" i="15"/>
  <c r="BI378" i="15"/>
  <c r="AU378" i="15"/>
  <c r="AU379" i="15"/>
  <c r="M373" i="15"/>
  <c r="M356" i="15"/>
  <c r="M374" i="15"/>
  <c r="BS365" i="15"/>
  <c r="X365" i="15"/>
  <c r="AO356" i="15"/>
  <c r="AO374" i="15"/>
  <c r="AO373" i="15"/>
  <c r="W365" i="15"/>
  <c r="AB373" i="15"/>
  <c r="AB356" i="15"/>
  <c r="AB374" i="15"/>
  <c r="AW373" i="15"/>
  <c r="AW356" i="15"/>
  <c r="AW374" i="15"/>
  <c r="BD365" i="15"/>
  <c r="BJ365" i="15"/>
  <c r="BC365" i="15"/>
  <c r="AK356" i="15"/>
  <c r="AK373" i="15"/>
  <c r="AK374" i="15"/>
  <c r="BQ365" i="15"/>
  <c r="M379" i="15"/>
  <c r="M378" i="15"/>
  <c r="S378" i="15"/>
  <c r="S379" i="15"/>
  <c r="Y379" i="15"/>
  <c r="Y378" i="15"/>
  <c r="BP379" i="15"/>
  <c r="BP378" i="15"/>
  <c r="BM379" i="15"/>
  <c r="BM378" i="15"/>
  <c r="AM365" i="15"/>
  <c r="AH374" i="15"/>
  <c r="AH373" i="15"/>
  <c r="AH356" i="15"/>
  <c r="AS365" i="15"/>
  <c r="AP373" i="15"/>
  <c r="AP374" i="15"/>
  <c r="AP356" i="15"/>
  <c r="AT373" i="15"/>
  <c r="AT356" i="15"/>
  <c r="AT374" i="15"/>
  <c r="BA370" i="15"/>
  <c r="AE378" i="15"/>
  <c r="AE379" i="15"/>
  <c r="M365" i="15"/>
  <c r="BS356" i="15"/>
  <c r="BS374" i="15"/>
  <c r="BS373" i="15"/>
  <c r="AF374" i="15"/>
  <c r="AF356" i="15"/>
  <c r="AF373" i="15"/>
  <c r="W373" i="15"/>
  <c r="W356" i="15"/>
  <c r="W374" i="15"/>
  <c r="AA374" i="15"/>
  <c r="AA356" i="15"/>
  <c r="AA373" i="15"/>
  <c r="AW365" i="15"/>
  <c r="BD356" i="15"/>
  <c r="BD373" i="15"/>
  <c r="BD374" i="15"/>
  <c r="Z374" i="15"/>
  <c r="Z373" i="15"/>
  <c r="Z356" i="15"/>
  <c r="AK365" i="15"/>
  <c r="L369" i="15"/>
  <c r="I369" i="15" s="1"/>
  <c r="L368" i="15"/>
  <c r="L511" i="15" a="1"/>
  <c r="L511" i="15" s="1"/>
  <c r="I511" i="15" s="1"/>
  <c r="L459" i="15" a="1"/>
  <c r="L459" i="15" s="1"/>
  <c r="I459" i="15" s="1"/>
  <c r="L355" i="15"/>
  <c r="I351" i="15"/>
  <c r="BB378" i="15"/>
  <c r="BB379" i="15"/>
  <c r="BP370" i="15"/>
  <c r="P378" i="15"/>
  <c r="P379" i="15"/>
  <c r="AM356" i="15"/>
  <c r="AM374" i="15"/>
  <c r="AM373" i="15"/>
  <c r="AS373" i="15"/>
  <c r="AS374" i="15"/>
  <c r="AS356" i="15"/>
  <c r="AP365" i="15"/>
  <c r="AU356" i="15"/>
  <c r="AU373" i="15"/>
  <c r="AU374" i="15"/>
  <c r="BA378" i="15"/>
  <c r="BA379" i="15"/>
  <c r="Q378" i="15"/>
  <c r="Q379" i="15"/>
  <c r="N373" i="15"/>
  <c r="N374" i="15"/>
  <c r="N356" i="15"/>
  <c r="AG374" i="15"/>
  <c r="AG373" i="15"/>
  <c r="AG356" i="15"/>
  <c r="BD378" i="15"/>
  <c r="BD379" i="15"/>
  <c r="V379" i="15"/>
  <c r="V378" i="15"/>
  <c r="BK378" i="15"/>
  <c r="BK379" i="15"/>
  <c r="Y374" i="15"/>
  <c r="Y356" i="15"/>
  <c r="Y373" i="15"/>
  <c r="BH374" i="15"/>
  <c r="BH373" i="15"/>
  <c r="BH356" i="15"/>
  <c r="BL379" i="15"/>
  <c r="BL378" i="15"/>
  <c r="AA378" i="15"/>
  <c r="AA379" i="15"/>
  <c r="AX356" i="15"/>
  <c r="AX374" i="15"/>
  <c r="AX373" i="15"/>
  <c r="BS379" i="15"/>
  <c r="BS378" i="15"/>
  <c r="BG378" i="15"/>
  <c r="BG379" i="15"/>
  <c r="BF379" i="15"/>
  <c r="BF378" i="15"/>
  <c r="AH379" i="15"/>
  <c r="AH378" i="15"/>
  <c r="BA365" i="15"/>
  <c r="BO373" i="15"/>
  <c r="BO374" i="15"/>
  <c r="BO356" i="15"/>
  <c r="BQ379" i="15"/>
  <c r="BQ378" i="15"/>
  <c r="AC378" i="15"/>
  <c r="AC379" i="15"/>
  <c r="AJ365" i="15"/>
  <c r="BR374" i="15"/>
  <c r="BR373" i="15"/>
  <c r="BR356" i="15"/>
  <c r="BN374" i="15"/>
  <c r="BN356" i="15"/>
  <c r="BN373" i="15"/>
  <c r="V374" i="15"/>
  <c r="V373" i="15"/>
  <c r="V356" i="15"/>
  <c r="O378" i="15"/>
  <c r="O379" i="15"/>
  <c r="AP370" i="15"/>
  <c r="AV378" i="15"/>
  <c r="AV379" i="15"/>
  <c r="AY370" i="15"/>
  <c r="W379" i="15"/>
  <c r="W378" i="15"/>
  <c r="AX378" i="15"/>
  <c r="AX379" i="15"/>
  <c r="AF378" i="15"/>
  <c r="AF379" i="15"/>
  <c r="BL374" i="15"/>
  <c r="BL373" i="15"/>
  <c r="BL356" i="15"/>
  <c r="AQ378" i="15"/>
  <c r="AQ379" i="15"/>
  <c r="AB370" i="15"/>
  <c r="X356" i="15"/>
  <c r="X374" i="15"/>
  <c r="X373" i="15"/>
  <c r="BC373" i="15"/>
  <c r="BC374" i="15"/>
  <c r="BC356" i="15"/>
  <c r="BN379" i="15"/>
  <c r="BN378" i="15"/>
  <c r="AM379" i="15"/>
  <c r="AM378" i="15"/>
  <c r="P374" i="15"/>
  <c r="P373" i="15"/>
  <c r="P356" i="15"/>
  <c r="BE374" i="15"/>
  <c r="BE373" i="15"/>
  <c r="BE356" i="15"/>
  <c r="AT378" i="15"/>
  <c r="AT379" i="15"/>
  <c r="N127" i="25" l="1"/>
  <c r="N133" i="25"/>
  <c r="N136" i="25" s="1"/>
  <c r="Q70" i="21"/>
  <c r="AI70" i="21" s="1"/>
  <c r="M41" i="17"/>
  <c r="M42" i="17" s="1"/>
  <c r="AI69" i="21"/>
  <c r="P60" i="25"/>
  <c r="P66" i="25" s="1"/>
  <c r="P69" i="25" s="1"/>
  <c r="AP91" i="21"/>
  <c r="N46" i="25"/>
  <c r="N47" i="25" s="1"/>
  <c r="AN70" i="21"/>
  <c r="AP70" i="21"/>
  <c r="AG91" i="21"/>
  <c r="X74" i="21"/>
  <c r="AJ70" i="21"/>
  <c r="AL70" i="21"/>
  <c r="AO70" i="21"/>
  <c r="S72" i="21"/>
  <c r="U72" i="21"/>
  <c r="AG61" i="21"/>
  <c r="AP61" i="21"/>
  <c r="AP97" i="21"/>
  <c r="AG97" i="21"/>
  <c r="AP84" i="21"/>
  <c r="AG84" i="21"/>
  <c r="AI81" i="21"/>
  <c r="Z81" i="21"/>
  <c r="AO60" i="21"/>
  <c r="AK60" i="21"/>
  <c r="AN60" i="21"/>
  <c r="AJ60" i="21"/>
  <c r="AM60" i="21"/>
  <c r="AL60" i="21"/>
  <c r="AE84" i="21"/>
  <c r="AC84" i="21"/>
  <c r="Z90" i="21"/>
  <c r="AB84" i="21"/>
  <c r="AD84" i="21"/>
  <c r="AF84" i="21"/>
  <c r="AA84" i="21"/>
  <c r="Q91" i="21"/>
  <c r="AI91" i="21" s="1"/>
  <c r="AF91" i="21"/>
  <c r="W97" i="21"/>
  <c r="W74" i="21" s="1"/>
  <c r="AE91" i="21"/>
  <c r="V97" i="21"/>
  <c r="AA91" i="21"/>
  <c r="R97" i="21"/>
  <c r="R74" i="21" s="1"/>
  <c r="T97" i="21"/>
  <c r="AC91" i="21"/>
  <c r="AB91" i="21"/>
  <c r="S97" i="21"/>
  <c r="AD91" i="21"/>
  <c r="U97" i="21"/>
  <c r="Z82" i="21"/>
  <c r="Q84" i="21"/>
  <c r="AI84" i="21" s="1"/>
  <c r="AI60" i="21"/>
  <c r="AE60" i="21"/>
  <c r="AB60" i="21"/>
  <c r="AA60" i="21"/>
  <c r="AC60" i="21"/>
  <c r="AF60" i="21"/>
  <c r="AD60" i="21"/>
  <c r="I563" i="15"/>
  <c r="BN375" i="15"/>
  <c r="AM380" i="15"/>
  <c r="W380" i="15"/>
  <c r="BQ380" i="15"/>
  <c r="AH380" i="15"/>
  <c r="AX375" i="15"/>
  <c r="BH375" i="15"/>
  <c r="AG375" i="15"/>
  <c r="AM375" i="15"/>
  <c r="Z375" i="15"/>
  <c r="BM375" i="15"/>
  <c r="T380" i="15"/>
  <c r="AO380" i="15"/>
  <c r="AR375" i="15"/>
  <c r="AQ375" i="15"/>
  <c r="BO375" i="15"/>
  <c r="AE380" i="15"/>
  <c r="BF375" i="15"/>
  <c r="S380" i="15"/>
  <c r="BR380" i="15"/>
  <c r="BC375" i="15"/>
  <c r="BK380" i="15"/>
  <c r="BD380" i="15"/>
  <c r="Q380" i="15"/>
  <c r="AU375" i="15"/>
  <c r="AF375" i="15"/>
  <c r="AT375" i="15"/>
  <c r="AW375" i="15"/>
  <c r="M375" i="15"/>
  <c r="S375" i="15"/>
  <c r="BA375" i="15"/>
  <c r="AN380" i="15"/>
  <c r="U380" i="15"/>
  <c r="BO380" i="15"/>
  <c r="BJ380" i="15"/>
  <c r="BK375" i="15"/>
  <c r="BB375" i="15"/>
  <c r="BJ375" i="15"/>
  <c r="AH375" i="15"/>
  <c r="Q375" i="15"/>
  <c r="AA380" i="15"/>
  <c r="N375" i="15"/>
  <c r="P380" i="15"/>
  <c r="BA380" i="15"/>
  <c r="AU380" i="15"/>
  <c r="R380" i="15"/>
  <c r="AB380" i="15"/>
  <c r="AD380" i="15"/>
  <c r="O380" i="15"/>
  <c r="AX380" i="15"/>
  <c r="AC380" i="15"/>
  <c r="N380" i="15"/>
  <c r="AS380" i="15"/>
  <c r="AY380" i="15"/>
  <c r="AP380" i="15"/>
  <c r="AV380" i="15"/>
  <c r="BC380" i="15"/>
  <c r="AQ380" i="15"/>
  <c r="AS375" i="15"/>
  <c r="BP375" i="15"/>
  <c r="BB380" i="15"/>
  <c r="BH380" i="15"/>
  <c r="BQ375" i="15"/>
  <c r="AE375" i="15"/>
  <c r="Z380" i="15"/>
  <c r="BD460" i="15"/>
  <c r="BD476" i="15" s="1"/>
  <c r="BL460" i="15"/>
  <c r="BL476" i="15" s="1"/>
  <c r="BG460" i="15"/>
  <c r="BG476" i="15" s="1"/>
  <c r="R460" i="15"/>
  <c r="R476" i="15" s="1"/>
  <c r="X460" i="15"/>
  <c r="X476" i="15" s="1"/>
  <c r="AY460" i="15"/>
  <c r="AY476" i="15" s="1"/>
  <c r="AA460" i="15"/>
  <c r="AA476" i="15" s="1"/>
  <c r="BE460" i="15"/>
  <c r="BE476" i="15" s="1"/>
  <c r="S460" i="15"/>
  <c r="S476" i="15" s="1"/>
  <c r="AH460" i="15"/>
  <c r="AH476" i="15" s="1"/>
  <c r="BI460" i="15"/>
  <c r="BI476" i="15" s="1"/>
  <c r="BM460" i="15"/>
  <c r="BM476" i="15" s="1"/>
  <c r="AD460" i="15"/>
  <c r="AD476" i="15" s="1"/>
  <c r="AC460" i="15"/>
  <c r="AC476" i="15" s="1"/>
  <c r="T460" i="15"/>
  <c r="T476" i="15" s="1"/>
  <c r="AJ460" i="15"/>
  <c r="AJ476" i="15" s="1"/>
  <c r="BK460" i="15"/>
  <c r="BK476" i="15" s="1"/>
  <c r="BQ460" i="15"/>
  <c r="BQ476" i="15" s="1"/>
  <c r="BP460" i="15"/>
  <c r="BP476" i="15" s="1"/>
  <c r="BB460" i="15"/>
  <c r="BB476" i="15" s="1"/>
  <c r="AB460" i="15"/>
  <c r="AB476" i="15" s="1"/>
  <c r="AZ460" i="15"/>
  <c r="AZ476" i="15" s="1"/>
  <c r="AL460" i="15"/>
  <c r="AL476" i="15" s="1"/>
  <c r="AW460" i="15"/>
  <c r="AW476" i="15" s="1"/>
  <c r="BC460" i="15"/>
  <c r="BC476" i="15" s="1"/>
  <c r="V460" i="15"/>
  <c r="V476" i="15" s="1"/>
  <c r="W460" i="15"/>
  <c r="W476" i="15" s="1"/>
  <c r="AF460" i="15"/>
  <c r="AF476" i="15" s="1"/>
  <c r="AP460" i="15"/>
  <c r="AP476" i="15" s="1"/>
  <c r="Q460" i="15"/>
  <c r="Q476" i="15" s="1"/>
  <c r="O460" i="15"/>
  <c r="O476" i="15" s="1"/>
  <c r="BS460" i="15"/>
  <c r="BS476" i="15" s="1"/>
  <c r="AT460" i="15"/>
  <c r="AT476" i="15" s="1"/>
  <c r="Y460" i="15"/>
  <c r="Y476" i="15" s="1"/>
  <c r="BA460" i="15"/>
  <c r="BA476" i="15" s="1"/>
  <c r="BN460" i="15"/>
  <c r="BN476" i="15" s="1"/>
  <c r="AK460" i="15"/>
  <c r="AK476" i="15" s="1"/>
  <c r="AR460" i="15"/>
  <c r="AR476" i="15" s="1"/>
  <c r="AG460" i="15"/>
  <c r="AG476" i="15" s="1"/>
  <c r="BR460" i="15"/>
  <c r="BR476" i="15" s="1"/>
  <c r="L458" i="15"/>
  <c r="AV460" i="15"/>
  <c r="AV476" i="15" s="1"/>
  <c r="AX460" i="15"/>
  <c r="AX476" i="15" s="1"/>
  <c r="BO460" i="15"/>
  <c r="BO476" i="15" s="1"/>
  <c r="N460" i="15"/>
  <c r="N476" i="15" s="1"/>
  <c r="AS460" i="15"/>
  <c r="AS476" i="15" s="1"/>
  <c r="AN460" i="15"/>
  <c r="AN476" i="15" s="1"/>
  <c r="Z460" i="15"/>
  <c r="Z476" i="15" s="1"/>
  <c r="BJ460" i="15"/>
  <c r="BJ476" i="15" s="1"/>
  <c r="M460" i="15"/>
  <c r="M476" i="15" s="1"/>
  <c r="U460" i="15"/>
  <c r="U476" i="15" s="1"/>
  <c r="AO460" i="15"/>
  <c r="AO476" i="15" s="1"/>
  <c r="AU460" i="15"/>
  <c r="AU476" i="15" s="1"/>
  <c r="AM460" i="15"/>
  <c r="AM476" i="15" s="1"/>
  <c r="AE460" i="15"/>
  <c r="AE476" i="15" s="1"/>
  <c r="AQ460" i="15"/>
  <c r="AQ476" i="15" s="1"/>
  <c r="BH460" i="15"/>
  <c r="BH476" i="15" s="1"/>
  <c r="AI460" i="15"/>
  <c r="AI476" i="15" s="1"/>
  <c r="BF460" i="15"/>
  <c r="BF476" i="15" s="1"/>
  <c r="P460" i="15"/>
  <c r="I364" i="15"/>
  <c r="L410" i="15"/>
  <c r="L411" i="15" s="1"/>
  <c r="M408" i="15" s="1"/>
  <c r="L398" i="15"/>
  <c r="L404" i="15"/>
  <c r="L405" i="15" s="1"/>
  <c r="M402" i="15" s="1"/>
  <c r="AT380" i="15"/>
  <c r="AF380" i="15"/>
  <c r="V375" i="15"/>
  <c r="BG380" i="15"/>
  <c r="BL380" i="15"/>
  <c r="L379" i="15"/>
  <c r="I379" i="15" s="1"/>
  <c r="L378" i="15"/>
  <c r="I355" i="15"/>
  <c r="BM380" i="15"/>
  <c r="Y380" i="15"/>
  <c r="M380" i="15"/>
  <c r="AK375" i="15"/>
  <c r="AO375" i="15"/>
  <c r="AL380" i="15"/>
  <c r="AR380" i="15"/>
  <c r="AD375" i="15"/>
  <c r="AJ380" i="15"/>
  <c r="O375" i="15"/>
  <c r="AY375" i="15"/>
  <c r="AI375" i="15"/>
  <c r="L365" i="15"/>
  <c r="I365" i="15" s="1"/>
  <c r="I363" i="15"/>
  <c r="AV375" i="15"/>
  <c r="AL375" i="15"/>
  <c r="AJ375" i="15"/>
  <c r="L370" i="15"/>
  <c r="I370" i="15" s="1"/>
  <c r="I368" i="15"/>
  <c r="P375" i="15"/>
  <c r="BN380" i="15"/>
  <c r="BL375" i="15"/>
  <c r="BF380" i="15"/>
  <c r="BS380" i="15"/>
  <c r="Y375" i="15"/>
  <c r="AA375" i="15"/>
  <c r="I572" i="15"/>
  <c r="I354" i="15"/>
  <c r="L374" i="15"/>
  <c r="I374" i="15" s="1"/>
  <c r="L373" i="15"/>
  <c r="L356" i="15"/>
  <c r="I356" i="15" s="1"/>
  <c r="AN375" i="15"/>
  <c r="AZ380" i="15"/>
  <c r="BE375" i="15"/>
  <c r="X375" i="15"/>
  <c r="BR375" i="15"/>
  <c r="V380" i="15"/>
  <c r="BD375" i="15"/>
  <c r="W375" i="15"/>
  <c r="BS375" i="15"/>
  <c r="AP375" i="15"/>
  <c r="BP380" i="15"/>
  <c r="AB375" i="15"/>
  <c r="BI380" i="15"/>
  <c r="AC375" i="15"/>
  <c r="U375" i="15"/>
  <c r="AI380" i="15"/>
  <c r="BG375" i="15"/>
  <c r="BE380" i="15"/>
  <c r="T375" i="15"/>
  <c r="AG380" i="15"/>
  <c r="AW380" i="15"/>
  <c r="R375" i="15"/>
  <c r="X380" i="15"/>
  <c r="AK380" i="15"/>
  <c r="BI375" i="15"/>
  <c r="AZ375" i="15"/>
  <c r="Q72" i="21" l="1"/>
  <c r="N60" i="25"/>
  <c r="P476" i="15"/>
  <c r="N66" i="25"/>
  <c r="N69" i="25" s="1"/>
  <c r="AK97" i="21"/>
  <c r="S74" i="21"/>
  <c r="AM97" i="21"/>
  <c r="U74" i="21"/>
  <c r="AN97" i="21"/>
  <c r="V74" i="21"/>
  <c r="AL97" i="21"/>
  <c r="T74" i="21"/>
  <c r="AO97" i="21"/>
  <c r="AJ97" i="21"/>
  <c r="Z91" i="21"/>
  <c r="Z60" i="21"/>
  <c r="Z84" i="21"/>
  <c r="Q97" i="21"/>
  <c r="AD97" i="21"/>
  <c r="AE97" i="21"/>
  <c r="AB97" i="21"/>
  <c r="AA97" i="21"/>
  <c r="AF97" i="21"/>
  <c r="AC97" i="21"/>
  <c r="AA57" i="21"/>
  <c r="AD57" i="21"/>
  <c r="AF57" i="21"/>
  <c r="AE57" i="21"/>
  <c r="AC57" i="21"/>
  <c r="AB57" i="21"/>
  <c r="T61" i="21"/>
  <c r="AL61" i="21" s="1"/>
  <c r="S61" i="21"/>
  <c r="AK61" i="21" s="1"/>
  <c r="W61" i="21"/>
  <c r="AO61" i="21" s="1"/>
  <c r="U61" i="21"/>
  <c r="AM61" i="21" s="1"/>
  <c r="R61" i="21"/>
  <c r="AJ61" i="21" s="1"/>
  <c r="V61" i="21"/>
  <c r="AN61" i="21" s="1"/>
  <c r="Z57" i="21"/>
  <c r="Q61" i="21"/>
  <c r="AI61" i="21" s="1"/>
  <c r="M404" i="15"/>
  <c r="M405" i="15" s="1"/>
  <c r="N402" i="15" s="1"/>
  <c r="N404" i="15" s="1"/>
  <c r="N405" i="15" s="1"/>
  <c r="O402" i="15" s="1"/>
  <c r="O404" i="15" s="1"/>
  <c r="O405" i="15" s="1"/>
  <c r="P402" i="15" s="1"/>
  <c r="P404" i="15" s="1"/>
  <c r="P405" i="15" s="1"/>
  <c r="Q402" i="15" s="1"/>
  <c r="Q404" i="15" s="1"/>
  <c r="Q405" i="15" s="1"/>
  <c r="R402" i="15" s="1"/>
  <c r="R404" i="15" s="1"/>
  <c r="R405" i="15" s="1"/>
  <c r="S402" i="15" s="1"/>
  <c r="L380" i="15"/>
  <c r="I380" i="15" s="1"/>
  <c r="I378" i="15"/>
  <c r="L414" i="15"/>
  <c r="L399" i="15"/>
  <c r="M396" i="15" s="1"/>
  <c r="I484" i="15"/>
  <c r="I373" i="15"/>
  <c r="L375" i="15"/>
  <c r="I375" i="15" s="1"/>
  <c r="M410" i="15"/>
  <c r="M411" i="15" s="1"/>
  <c r="N408" i="15" s="1"/>
  <c r="N410" i="15" s="1"/>
  <c r="N411" i="15" s="1"/>
  <c r="O408" i="15" s="1"/>
  <c r="O410" i="15" s="1"/>
  <c r="O411" i="15" s="1"/>
  <c r="P408" i="15" s="1"/>
  <c r="P410" i="15" s="1"/>
  <c r="P411" i="15" s="1"/>
  <c r="Q408" i="15" s="1"/>
  <c r="Q410" i="15" s="1"/>
  <c r="Q411" i="15" s="1"/>
  <c r="R408" i="15" s="1"/>
  <c r="L460" i="15"/>
  <c r="I458" i="15"/>
  <c r="L212" i="17" l="1"/>
  <c r="M212" i="17"/>
  <c r="Q212" i="17"/>
  <c r="N212" i="17"/>
  <c r="R212" i="17"/>
  <c r="O212" i="17"/>
  <c r="S212" i="17"/>
  <c r="P212" i="17"/>
  <c r="AI97" i="21"/>
  <c r="Q74" i="21"/>
  <c r="AA61" i="21"/>
  <c r="AC61" i="21"/>
  <c r="Z61" i="21"/>
  <c r="AD61" i="21"/>
  <c r="AF61" i="21"/>
  <c r="AE61" i="21"/>
  <c r="AB61" i="21"/>
  <c r="Z97" i="21"/>
  <c r="I460" i="15"/>
  <c r="L476" i="15"/>
  <c r="M398" i="15"/>
  <c r="M414" i="15" s="1"/>
  <c r="S404" i="15"/>
  <c r="S405" i="15" s="1"/>
  <c r="T402" i="15" s="1"/>
  <c r="R410" i="15"/>
  <c r="R411" i="15" s="1"/>
  <c r="S408" i="15" s="1"/>
  <c r="M399" i="15" l="1"/>
  <c r="N396" i="15" s="1"/>
  <c r="I480" i="15"/>
  <c r="L492" i="15" a="1"/>
  <c r="L492" i="15" s="1"/>
  <c r="I492" i="15" s="1"/>
  <c r="I483" i="15"/>
  <c r="I481" i="15"/>
  <c r="I476" i="15"/>
  <c r="F560" i="15" s="1"/>
  <c r="L478" i="15"/>
  <c r="S410" i="15"/>
  <c r="S411" i="15" s="1"/>
  <c r="T408" i="15" s="1"/>
  <c r="T404" i="15"/>
  <c r="T405" i="15" s="1"/>
  <c r="U402" i="15" s="1"/>
  <c r="M478" i="15" l="1"/>
  <c r="N478" i="15" s="1"/>
  <c r="O478" i="15" s="1"/>
  <c r="P478" i="15" s="1"/>
  <c r="Q478" i="15" s="1"/>
  <c r="R478" i="15" s="1"/>
  <c r="S478" i="15" s="1"/>
  <c r="T478" i="15" s="1"/>
  <c r="U478" i="15" s="1"/>
  <c r="V478" i="15" s="1"/>
  <c r="W478" i="15" s="1"/>
  <c r="X478" i="15" s="1"/>
  <c r="Y478" i="15" s="1"/>
  <c r="Z478" i="15" s="1"/>
  <c r="AA478" i="15" s="1"/>
  <c r="AB478" i="15" s="1"/>
  <c r="AC478" i="15" s="1"/>
  <c r="AD478" i="15" s="1"/>
  <c r="AE478" i="15" s="1"/>
  <c r="AF478" i="15" s="1"/>
  <c r="AG478" i="15" s="1"/>
  <c r="AH478" i="15" s="1"/>
  <c r="AI478" i="15" s="1"/>
  <c r="AJ478" i="15" s="1"/>
  <c r="AK478" i="15" s="1"/>
  <c r="AL478" i="15" s="1"/>
  <c r="AM478" i="15" s="1"/>
  <c r="AN478" i="15" s="1"/>
  <c r="AO478" i="15" s="1"/>
  <c r="AP478" i="15" s="1"/>
  <c r="AQ478" i="15" s="1"/>
  <c r="AR478" i="15" s="1"/>
  <c r="AS478" i="15" s="1"/>
  <c r="AT478" i="15" s="1"/>
  <c r="AU478" i="15" s="1"/>
  <c r="AV478" i="15" s="1"/>
  <c r="AW478" i="15" s="1"/>
  <c r="AX478" i="15" s="1"/>
  <c r="AY478" i="15" s="1"/>
  <c r="AZ478" i="15" s="1"/>
  <c r="BA478" i="15" s="1"/>
  <c r="BB478" i="15" s="1"/>
  <c r="BC478" i="15" s="1"/>
  <c r="BD478" i="15" s="1"/>
  <c r="BE478" i="15" s="1"/>
  <c r="BF478" i="15" s="1"/>
  <c r="BG478" i="15" s="1"/>
  <c r="BH478" i="15" s="1"/>
  <c r="BI478" i="15" s="1"/>
  <c r="BJ478" i="15" s="1"/>
  <c r="BK478" i="15" s="1"/>
  <c r="BL478" i="15" s="1"/>
  <c r="BM478" i="15" s="1"/>
  <c r="BN478" i="15" s="1"/>
  <c r="BO478" i="15" s="1"/>
  <c r="BP478" i="15" s="1"/>
  <c r="BQ478" i="15" s="1"/>
  <c r="BR478" i="15" s="1"/>
  <c r="BS478" i="15" s="1"/>
  <c r="N398" i="15"/>
  <c r="N414" i="15" s="1"/>
  <c r="U404" i="15"/>
  <c r="U405" i="15" s="1"/>
  <c r="V402" i="15" s="1"/>
  <c r="T410" i="15"/>
  <c r="T411" i="15" s="1"/>
  <c r="U408" i="15" s="1"/>
  <c r="N399" i="15" l="1"/>
  <c r="O396" i="15" s="1"/>
  <c r="I486" i="15"/>
  <c r="U410" i="15"/>
  <c r="U411" i="15" s="1"/>
  <c r="V408" i="15" s="1"/>
  <c r="V404" i="15"/>
  <c r="V405" i="15" s="1"/>
  <c r="W402" i="15" s="1"/>
  <c r="O398" i="15" l="1"/>
  <c r="O414" i="15" s="1"/>
  <c r="W404" i="15"/>
  <c r="W405" i="15" s="1"/>
  <c r="X402" i="15" s="1"/>
  <c r="V410" i="15"/>
  <c r="V411" i="15" s="1"/>
  <c r="W408" i="15" s="1"/>
  <c r="O399" i="15" l="1"/>
  <c r="P396" i="15" s="1"/>
  <c r="W410" i="15"/>
  <c r="W411" i="15" s="1"/>
  <c r="X408" i="15" s="1"/>
  <c r="X404" i="15"/>
  <c r="X405" i="15" s="1"/>
  <c r="Y402" i="15" s="1"/>
  <c r="P398" i="15" l="1"/>
  <c r="P414" i="15" s="1"/>
  <c r="Y404" i="15"/>
  <c r="Y405" i="15" s="1"/>
  <c r="Z402" i="15" s="1"/>
  <c r="X410" i="15"/>
  <c r="X411" i="15" s="1"/>
  <c r="Y408" i="15" s="1"/>
  <c r="P399" i="15" l="1"/>
  <c r="Q396" i="15" s="1"/>
  <c r="Y410" i="15"/>
  <c r="Y411" i="15" s="1"/>
  <c r="Z408" i="15" s="1"/>
  <c r="Z404" i="15"/>
  <c r="Z405" i="15" s="1"/>
  <c r="AA402" i="15" s="1"/>
  <c r="Q398" i="15" l="1"/>
  <c r="Q414" i="15" s="1"/>
  <c r="AA404" i="15"/>
  <c r="AA405" i="15" s="1"/>
  <c r="AB402" i="15" s="1"/>
  <c r="Z410" i="15"/>
  <c r="Z411" i="15" s="1"/>
  <c r="AA408" i="15" s="1"/>
  <c r="Q399" i="15" l="1"/>
  <c r="R396" i="15" s="1"/>
  <c r="AA410" i="15"/>
  <c r="AA411" i="15" s="1"/>
  <c r="AB408" i="15" s="1"/>
  <c r="AB404" i="15"/>
  <c r="AB405" i="15" s="1"/>
  <c r="AC402" i="15" s="1"/>
  <c r="R398" i="15" l="1"/>
  <c r="R414" i="15" s="1"/>
  <c r="AC404" i="15"/>
  <c r="AC405" i="15" s="1"/>
  <c r="AD402" i="15" s="1"/>
  <c r="AB410" i="15"/>
  <c r="AB411" i="15" s="1"/>
  <c r="AC408" i="15" s="1"/>
  <c r="R399" i="15" l="1"/>
  <c r="S396" i="15" s="1"/>
  <c r="AC410" i="15"/>
  <c r="AC411" i="15" s="1"/>
  <c r="AD408" i="15" s="1"/>
  <c r="AD404" i="15"/>
  <c r="AD405" i="15" s="1"/>
  <c r="AE402" i="15" s="1"/>
  <c r="S398" i="15" l="1"/>
  <c r="S414" i="15" s="1"/>
  <c r="AE404" i="15"/>
  <c r="AE405" i="15" s="1"/>
  <c r="AF402" i="15" s="1"/>
  <c r="AD410" i="15"/>
  <c r="AD411" i="15" s="1"/>
  <c r="AE408" i="15" s="1"/>
  <c r="S399" i="15" l="1"/>
  <c r="T396" i="15" s="1"/>
  <c r="AE410" i="15"/>
  <c r="AE411" i="15" s="1"/>
  <c r="AF408" i="15" s="1"/>
  <c r="AF404" i="15"/>
  <c r="AF405" i="15" s="1"/>
  <c r="AG402" i="15" s="1"/>
  <c r="T398" i="15" l="1"/>
  <c r="T414" i="15" s="1"/>
  <c r="AG404" i="15"/>
  <c r="AG405" i="15" s="1"/>
  <c r="AH402" i="15" s="1"/>
  <c r="AF410" i="15"/>
  <c r="AF411" i="15" s="1"/>
  <c r="AG408" i="15" s="1"/>
  <c r="T399" i="15" l="1"/>
  <c r="U396" i="15" s="1"/>
  <c r="AG410" i="15"/>
  <c r="AG411" i="15" s="1"/>
  <c r="AH408" i="15" s="1"/>
  <c r="AH404" i="15"/>
  <c r="AH405" i="15" s="1"/>
  <c r="AI402" i="15" s="1"/>
  <c r="U398" i="15" l="1"/>
  <c r="U414" i="15" s="1"/>
  <c r="AI404" i="15"/>
  <c r="AI405" i="15" s="1"/>
  <c r="AJ402" i="15" s="1"/>
  <c r="AH410" i="15"/>
  <c r="AH411" i="15" s="1"/>
  <c r="AI408" i="15" s="1"/>
  <c r="U399" i="15" l="1"/>
  <c r="V396" i="15" s="1"/>
  <c r="AI410" i="15"/>
  <c r="AI411" i="15" s="1"/>
  <c r="AJ408" i="15" s="1"/>
  <c r="AJ404" i="15"/>
  <c r="AJ405" i="15" s="1"/>
  <c r="AK402" i="15" s="1"/>
  <c r="V398" i="15" l="1"/>
  <c r="V414" i="15" s="1"/>
  <c r="AK404" i="15"/>
  <c r="AK405" i="15" s="1"/>
  <c r="AL402" i="15" s="1"/>
  <c r="AJ410" i="15"/>
  <c r="AJ411" i="15" s="1"/>
  <c r="AK408" i="15" s="1"/>
  <c r="V399" i="15" l="1"/>
  <c r="W396" i="15" s="1"/>
  <c r="AK410" i="15"/>
  <c r="AK411" i="15" s="1"/>
  <c r="AL408" i="15" s="1"/>
  <c r="AL404" i="15"/>
  <c r="AL405" i="15" s="1"/>
  <c r="AM402" i="15" s="1"/>
  <c r="W398" i="15" l="1"/>
  <c r="W414" i="15" s="1"/>
  <c r="AM404" i="15"/>
  <c r="AM405" i="15" s="1"/>
  <c r="AN402" i="15" s="1"/>
  <c r="AL410" i="15"/>
  <c r="AL411" i="15" s="1"/>
  <c r="AM408" i="15" s="1"/>
  <c r="W399" i="15" l="1"/>
  <c r="X396" i="15" s="1"/>
  <c r="AM410" i="15"/>
  <c r="AM411" i="15" s="1"/>
  <c r="AN408" i="15" s="1"/>
  <c r="AN404" i="15"/>
  <c r="AN405" i="15" s="1"/>
  <c r="AO402" i="15" s="1"/>
  <c r="X398" i="15" l="1"/>
  <c r="X414" i="15" s="1"/>
  <c r="AO404" i="15"/>
  <c r="AO405" i="15" s="1"/>
  <c r="AP402" i="15" s="1"/>
  <c r="AN410" i="15"/>
  <c r="AN411" i="15" s="1"/>
  <c r="AO408" i="15" s="1"/>
  <c r="X399" i="15" l="1"/>
  <c r="Y396" i="15" s="1"/>
  <c r="AO410" i="15"/>
  <c r="AO411" i="15" s="1"/>
  <c r="AP408" i="15" s="1"/>
  <c r="AP404" i="15"/>
  <c r="AP405" i="15" s="1"/>
  <c r="AQ402" i="15" s="1"/>
  <c r="Y398" i="15" l="1"/>
  <c r="Y414" i="15" s="1"/>
  <c r="AQ404" i="15"/>
  <c r="AQ405" i="15" s="1"/>
  <c r="AR402" i="15" s="1"/>
  <c r="AP410" i="15"/>
  <c r="AP411" i="15" s="1"/>
  <c r="AQ408" i="15" s="1"/>
  <c r="Y399" i="15" l="1"/>
  <c r="Z396" i="15" s="1"/>
  <c r="AQ410" i="15"/>
  <c r="AQ411" i="15" s="1"/>
  <c r="AR408" i="15" s="1"/>
  <c r="AR404" i="15"/>
  <c r="AR405" i="15" s="1"/>
  <c r="AS402" i="15" s="1"/>
  <c r="Z398" i="15" l="1"/>
  <c r="Z414" i="15" s="1"/>
  <c r="AR410" i="15"/>
  <c r="AR411" i="15" s="1"/>
  <c r="AS408" i="15" s="1"/>
  <c r="AS404" i="15"/>
  <c r="AS405" i="15" s="1"/>
  <c r="AT402" i="15" s="1"/>
  <c r="Z399" i="15" l="1"/>
  <c r="AA396" i="15" s="1"/>
  <c r="AT404" i="15"/>
  <c r="AT405" i="15" s="1"/>
  <c r="AU402" i="15" s="1"/>
  <c r="AS410" i="15"/>
  <c r="AS411" i="15" s="1"/>
  <c r="AT408" i="15" s="1"/>
  <c r="AA398" i="15" l="1"/>
  <c r="AA414" i="15" s="1"/>
  <c r="AT410" i="15"/>
  <c r="AT411" i="15" s="1"/>
  <c r="AU408" i="15" s="1"/>
  <c r="AU404" i="15"/>
  <c r="AU405" i="15" s="1"/>
  <c r="AV402" i="15" s="1"/>
  <c r="AA399" i="15" l="1"/>
  <c r="AB396" i="15" s="1"/>
  <c r="AV404" i="15"/>
  <c r="AV405" i="15" s="1"/>
  <c r="AW402" i="15" s="1"/>
  <c r="AU410" i="15"/>
  <c r="AU411" i="15" s="1"/>
  <c r="AV408" i="15" s="1"/>
  <c r="AB398" i="15" l="1"/>
  <c r="AB414" i="15" s="1"/>
  <c r="AV410" i="15"/>
  <c r="AV411" i="15" s="1"/>
  <c r="AW408" i="15" s="1"/>
  <c r="AW404" i="15"/>
  <c r="AW405" i="15" s="1"/>
  <c r="AX402" i="15" s="1"/>
  <c r="AB399" i="15" l="1"/>
  <c r="AC396" i="15" s="1"/>
  <c r="AX404" i="15"/>
  <c r="AX405" i="15" s="1"/>
  <c r="AY402" i="15" s="1"/>
  <c r="AW410" i="15"/>
  <c r="AW411" i="15" s="1"/>
  <c r="AX408" i="15" s="1"/>
  <c r="AC398" i="15" l="1"/>
  <c r="AC414" i="15" s="1"/>
  <c r="AX410" i="15"/>
  <c r="AX411" i="15" s="1"/>
  <c r="AY408" i="15" s="1"/>
  <c r="AY404" i="15"/>
  <c r="AY405" i="15" s="1"/>
  <c r="AZ402" i="15" s="1"/>
  <c r="AC399" i="15" l="1"/>
  <c r="AD396" i="15" s="1"/>
  <c r="AZ404" i="15"/>
  <c r="AZ405" i="15" s="1"/>
  <c r="BA402" i="15" s="1"/>
  <c r="AY410" i="15"/>
  <c r="AY411" i="15" s="1"/>
  <c r="AZ408" i="15" s="1"/>
  <c r="AD398" i="15" l="1"/>
  <c r="AD414" i="15" s="1"/>
  <c r="AZ410" i="15"/>
  <c r="AZ411" i="15" s="1"/>
  <c r="BA408" i="15" s="1"/>
  <c r="BA404" i="15"/>
  <c r="BA405" i="15" s="1"/>
  <c r="BB402" i="15" s="1"/>
  <c r="AD399" i="15" l="1"/>
  <c r="AE396" i="15" s="1"/>
  <c r="BB404" i="15"/>
  <c r="BB405" i="15" s="1"/>
  <c r="BC402" i="15" s="1"/>
  <c r="BA410" i="15"/>
  <c r="BA411" i="15" s="1"/>
  <c r="BB408" i="15" s="1"/>
  <c r="AE398" i="15" l="1"/>
  <c r="AE414" i="15" s="1"/>
  <c r="BB410" i="15"/>
  <c r="BB411" i="15" s="1"/>
  <c r="BC408" i="15" s="1"/>
  <c r="BC404" i="15"/>
  <c r="BC405" i="15" s="1"/>
  <c r="BD402" i="15" s="1"/>
  <c r="AE399" i="15" l="1"/>
  <c r="AF396" i="15" s="1"/>
  <c r="BD404" i="15"/>
  <c r="BD405" i="15" s="1"/>
  <c r="BE402" i="15" s="1"/>
  <c r="BC410" i="15"/>
  <c r="BC411" i="15" s="1"/>
  <c r="BD408" i="15" s="1"/>
  <c r="AF398" i="15" l="1"/>
  <c r="AF414" i="15" s="1"/>
  <c r="BD410" i="15"/>
  <c r="BD411" i="15" s="1"/>
  <c r="BE408" i="15" s="1"/>
  <c r="BE404" i="15"/>
  <c r="BE405" i="15" s="1"/>
  <c r="BF402" i="15" s="1"/>
  <c r="AF399" i="15" l="1"/>
  <c r="AG396" i="15" s="1"/>
  <c r="BF404" i="15"/>
  <c r="BF405" i="15" s="1"/>
  <c r="BG402" i="15" s="1"/>
  <c r="BE410" i="15"/>
  <c r="BE411" i="15" s="1"/>
  <c r="BF408" i="15" s="1"/>
  <c r="AG398" i="15" l="1"/>
  <c r="AG414" i="15" s="1"/>
  <c r="BF410" i="15"/>
  <c r="BF411" i="15" s="1"/>
  <c r="BG408" i="15" s="1"/>
  <c r="BG404" i="15"/>
  <c r="BG405" i="15" s="1"/>
  <c r="BH402" i="15" s="1"/>
  <c r="AG399" i="15" l="1"/>
  <c r="AH396" i="15" s="1"/>
  <c r="BH404" i="15"/>
  <c r="BH405" i="15" s="1"/>
  <c r="BI402" i="15" s="1"/>
  <c r="BG410" i="15"/>
  <c r="BG411" i="15" s="1"/>
  <c r="BH408" i="15" s="1"/>
  <c r="AH398" i="15" l="1"/>
  <c r="AH414" i="15" s="1"/>
  <c r="BH410" i="15"/>
  <c r="BH411" i="15" s="1"/>
  <c r="BI408" i="15" s="1"/>
  <c r="BI404" i="15"/>
  <c r="BI405" i="15" s="1"/>
  <c r="BJ402" i="15" s="1"/>
  <c r="AH399" i="15" l="1"/>
  <c r="AI396" i="15" s="1"/>
  <c r="BJ404" i="15"/>
  <c r="BJ405" i="15" s="1"/>
  <c r="BK402" i="15" s="1"/>
  <c r="BI410" i="15"/>
  <c r="BI411" i="15" s="1"/>
  <c r="BJ408" i="15" s="1"/>
  <c r="AI398" i="15" l="1"/>
  <c r="AI414" i="15" s="1"/>
  <c r="BJ410" i="15"/>
  <c r="BJ411" i="15" s="1"/>
  <c r="BK408" i="15" s="1"/>
  <c r="BK404" i="15"/>
  <c r="BK405" i="15" s="1"/>
  <c r="BL402" i="15" s="1"/>
  <c r="AI399" i="15" l="1"/>
  <c r="AJ396" i="15" s="1"/>
  <c r="BL404" i="15"/>
  <c r="BL405" i="15" s="1"/>
  <c r="BM402" i="15" s="1"/>
  <c r="BK410" i="15"/>
  <c r="BK411" i="15" s="1"/>
  <c r="BL408" i="15" s="1"/>
  <c r="AJ398" i="15" l="1"/>
  <c r="AJ414" i="15" s="1"/>
  <c r="BL410" i="15"/>
  <c r="BL411" i="15" s="1"/>
  <c r="BM408" i="15" s="1"/>
  <c r="BM404" i="15"/>
  <c r="BM405" i="15" s="1"/>
  <c r="BN402" i="15" s="1"/>
  <c r="AJ399" i="15" l="1"/>
  <c r="AK396" i="15" s="1"/>
  <c r="BN404" i="15"/>
  <c r="BN405" i="15" s="1"/>
  <c r="BO402" i="15" s="1"/>
  <c r="BM410" i="15"/>
  <c r="BM411" i="15" s="1"/>
  <c r="BN408" i="15" s="1"/>
  <c r="AK398" i="15" l="1"/>
  <c r="AK414" i="15" s="1"/>
  <c r="BN410" i="15"/>
  <c r="BN411" i="15" s="1"/>
  <c r="BO408" i="15" s="1"/>
  <c r="BO404" i="15"/>
  <c r="BO405" i="15" s="1"/>
  <c r="BP402" i="15" s="1"/>
  <c r="AK399" i="15" l="1"/>
  <c r="AL396" i="15" s="1"/>
  <c r="BO410" i="15"/>
  <c r="BO411" i="15" s="1"/>
  <c r="BP408" i="15" s="1"/>
  <c r="BP404" i="15"/>
  <c r="BP405" i="15" s="1"/>
  <c r="BQ402" i="15" s="1"/>
  <c r="AL398" i="15" l="1"/>
  <c r="AL414" i="15" s="1"/>
  <c r="BP410" i="15"/>
  <c r="BP411" i="15" s="1"/>
  <c r="BQ408" i="15" s="1"/>
  <c r="BQ404" i="15"/>
  <c r="BQ405" i="15" s="1"/>
  <c r="BR402" i="15" s="1"/>
  <c r="AL399" i="15" l="1"/>
  <c r="AM396" i="15" s="1"/>
  <c r="BQ410" i="15"/>
  <c r="BQ411" i="15" s="1"/>
  <c r="BR408" i="15" s="1"/>
  <c r="BR404" i="15"/>
  <c r="BR405" i="15" s="1"/>
  <c r="BS402" i="15" s="1"/>
  <c r="AM398" i="15" l="1"/>
  <c r="AM414" i="15" s="1"/>
  <c r="BR410" i="15"/>
  <c r="BR411" i="15" s="1"/>
  <c r="BS408" i="15" s="1"/>
  <c r="BS404" i="15"/>
  <c r="I404" i="15" s="1"/>
  <c r="AM399" i="15" l="1"/>
  <c r="AN396" i="15" s="1"/>
  <c r="BS410" i="15"/>
  <c r="I410" i="15" s="1"/>
  <c r="BS405" i="15"/>
  <c r="AN398" i="15" l="1"/>
  <c r="AN414" i="15" s="1"/>
  <c r="BS411" i="15"/>
  <c r="AN399" i="15" l="1"/>
  <c r="AO396" i="15" s="1"/>
  <c r="AO398" i="15" l="1"/>
  <c r="AO414" i="15" s="1"/>
  <c r="AO399" i="15" l="1"/>
  <c r="AP396" i="15" s="1"/>
  <c r="AP398" i="15" l="1"/>
  <c r="AP414" i="15" s="1"/>
  <c r="AP399" i="15" l="1"/>
  <c r="AQ396" i="15" s="1"/>
  <c r="AQ398" i="15" l="1"/>
  <c r="AQ414" i="15" s="1"/>
  <c r="AQ399" i="15" l="1"/>
  <c r="AR396" i="15" s="1"/>
  <c r="AR398" i="15" l="1"/>
  <c r="AR414" i="15" s="1"/>
  <c r="AR399" i="15" l="1"/>
  <c r="AS396" i="15" s="1"/>
  <c r="AS398" i="15" l="1"/>
  <c r="AS414" i="15" s="1"/>
  <c r="AS399" i="15" l="1"/>
  <c r="AT396" i="15" s="1"/>
  <c r="AT398" i="15" l="1"/>
  <c r="AT414" i="15" s="1"/>
  <c r="AT399" i="15" l="1"/>
  <c r="AU396" i="15" s="1"/>
  <c r="AU398" i="15" l="1"/>
  <c r="AU414" i="15" s="1"/>
  <c r="AU399" i="15" l="1"/>
  <c r="AV396" i="15" s="1"/>
  <c r="AV398" i="15" l="1"/>
  <c r="AV414" i="15" s="1"/>
  <c r="AV399" i="15" l="1"/>
  <c r="AW396" i="15" s="1"/>
  <c r="AW398" i="15" l="1"/>
  <c r="AW414" i="15" s="1"/>
  <c r="AW399" i="15" l="1"/>
  <c r="AX396" i="15" s="1"/>
  <c r="AX398" i="15" l="1"/>
  <c r="AX414" i="15" s="1"/>
  <c r="AX399" i="15" l="1"/>
  <c r="AY396" i="15" s="1"/>
  <c r="AY398" i="15" l="1"/>
  <c r="AY414" i="15" s="1"/>
  <c r="AY399" i="15" l="1"/>
  <c r="AZ396" i="15" s="1"/>
  <c r="AZ398" i="15" l="1"/>
  <c r="AZ414" i="15" s="1"/>
  <c r="AZ399" i="15" l="1"/>
  <c r="BA396" i="15" s="1"/>
  <c r="BA398" i="15" l="1"/>
  <c r="BA414" i="15" s="1"/>
  <c r="BA399" i="15" l="1"/>
  <c r="BB396" i="15" s="1"/>
  <c r="BB398" i="15" l="1"/>
  <c r="BB414" i="15" s="1"/>
  <c r="BB399" i="15" l="1"/>
  <c r="BC396" i="15" s="1"/>
  <c r="BC398" i="15" l="1"/>
  <c r="BC414" i="15" s="1"/>
  <c r="BC399" i="15" l="1"/>
  <c r="BD396" i="15" s="1"/>
  <c r="BD398" i="15" l="1"/>
  <c r="BD414" i="15" s="1"/>
  <c r="BD399" i="15" l="1"/>
  <c r="BE396" i="15" s="1"/>
  <c r="BE398" i="15" l="1"/>
  <c r="BE414" i="15" s="1"/>
  <c r="BE399" i="15" l="1"/>
  <c r="BF396" i="15" s="1"/>
  <c r="BF398" i="15" l="1"/>
  <c r="BF414" i="15" s="1"/>
  <c r="BF399" i="15" l="1"/>
  <c r="BG396" i="15" s="1"/>
  <c r="BG398" i="15" l="1"/>
  <c r="BG414" i="15" s="1"/>
  <c r="BG399" i="15" l="1"/>
  <c r="BH396" i="15" s="1"/>
  <c r="BH398" i="15" l="1"/>
  <c r="BH414" i="15" s="1"/>
  <c r="BH399" i="15" l="1"/>
  <c r="BI396" i="15" s="1"/>
  <c r="BI398" i="15" l="1"/>
  <c r="BI414" i="15" s="1"/>
  <c r="BI399" i="15" l="1"/>
  <c r="BJ396" i="15" s="1"/>
  <c r="BJ398" i="15" l="1"/>
  <c r="BJ414" i="15" s="1"/>
  <c r="BJ399" i="15" l="1"/>
  <c r="BK396" i="15" s="1"/>
  <c r="BK398" i="15" l="1"/>
  <c r="BK414" i="15" s="1"/>
  <c r="BK399" i="15" l="1"/>
  <c r="BL396" i="15" s="1"/>
  <c r="BL398" i="15" l="1"/>
  <c r="BL414" i="15" s="1"/>
  <c r="BL399" i="15" l="1"/>
  <c r="BM396" i="15" s="1"/>
  <c r="BM398" i="15" l="1"/>
  <c r="BM414" i="15" s="1"/>
  <c r="BM399" i="15" l="1"/>
  <c r="BN396" i="15" s="1"/>
  <c r="BN398" i="15" l="1"/>
  <c r="BN414" i="15" s="1"/>
  <c r="BN399" i="15" l="1"/>
  <c r="BO396" i="15" s="1"/>
  <c r="BO398" i="15" l="1"/>
  <c r="BO414" i="15" s="1"/>
  <c r="BO399" i="15" l="1"/>
  <c r="BP396" i="15" s="1"/>
  <c r="BP398" i="15" l="1"/>
  <c r="BP399" i="15" s="1"/>
  <c r="BQ396" i="15" s="1"/>
  <c r="BQ398" i="15" l="1"/>
  <c r="BQ414" i="15" s="1"/>
  <c r="BP414" i="15"/>
  <c r="BQ399" i="15" l="1"/>
  <c r="BR396" i="15" s="1"/>
  <c r="BR398" i="15" l="1"/>
  <c r="BR399" i="15" s="1"/>
  <c r="BS396" i="15" s="1"/>
  <c r="BS398" i="15" s="1"/>
  <c r="BS399" i="15" l="1"/>
  <c r="BS414" i="15"/>
  <c r="BR414" i="15"/>
  <c r="I398" i="15"/>
  <c r="L512" i="15" l="1" a="1"/>
  <c r="L494" i="15" a="1"/>
  <c r="I414" i="15"/>
  <c r="L494" i="15" l="1"/>
  <c r="AF495" i="15"/>
  <c r="AY495" i="15"/>
  <c r="AC495" i="15"/>
  <c r="BO495" i="15"/>
  <c r="BG495" i="15"/>
  <c r="W495" i="15"/>
  <c r="AL495" i="15"/>
  <c r="BJ495" i="15"/>
  <c r="BH495" i="15"/>
  <c r="AQ495" i="15"/>
  <c r="AS495" i="15"/>
  <c r="AT495" i="15"/>
  <c r="BC495" i="15"/>
  <c r="BB495" i="15"/>
  <c r="BN495" i="15"/>
  <c r="O495" i="15"/>
  <c r="AB495" i="15"/>
  <c r="BR495" i="15"/>
  <c r="AW495" i="15"/>
  <c r="N495" i="15"/>
  <c r="BI495" i="15"/>
  <c r="BL495" i="15"/>
  <c r="AE495" i="15"/>
  <c r="U495" i="15"/>
  <c r="Q495" i="15"/>
  <c r="AJ495" i="15"/>
  <c r="X495" i="15"/>
  <c r="Z495" i="15"/>
  <c r="S495" i="15"/>
  <c r="BA495" i="15"/>
  <c r="AM495" i="15"/>
  <c r="BS495" i="15"/>
  <c r="BD495" i="15"/>
  <c r="Y495" i="15"/>
  <c r="AZ495" i="15"/>
  <c r="AX495" i="15"/>
  <c r="AU495" i="15"/>
  <c r="M495" i="15"/>
  <c r="AD495" i="15"/>
  <c r="BM495" i="15"/>
  <c r="AI495" i="15"/>
  <c r="AR495" i="15"/>
  <c r="AA495" i="15"/>
  <c r="BP495" i="15"/>
  <c r="BE495" i="15"/>
  <c r="AK495" i="15"/>
  <c r="P495" i="15"/>
  <c r="AG495" i="15"/>
  <c r="BQ495" i="15"/>
  <c r="V495" i="15"/>
  <c r="AO495" i="15"/>
  <c r="AV495" i="15"/>
  <c r="AP495" i="15"/>
  <c r="T495" i="15"/>
  <c r="AN495" i="15"/>
  <c r="BK495" i="15"/>
  <c r="AH495" i="15"/>
  <c r="BF495" i="15"/>
  <c r="R495" i="15"/>
  <c r="L512" i="15"/>
  <c r="AT513" i="15"/>
  <c r="AT529" i="15" s="1"/>
  <c r="BB513" i="15"/>
  <c r="BB529" i="15" s="1"/>
  <c r="BR513" i="15"/>
  <c r="BR529" i="15" s="1"/>
  <c r="AL513" i="15"/>
  <c r="AL529" i="15" s="1"/>
  <c r="BK513" i="15"/>
  <c r="BK529" i="15" s="1"/>
  <c r="BA513" i="15"/>
  <c r="BA529" i="15" s="1"/>
  <c r="BN513" i="15"/>
  <c r="BN529" i="15" s="1"/>
  <c r="AK513" i="15"/>
  <c r="AK529" i="15" s="1"/>
  <c r="BG513" i="15"/>
  <c r="BG529" i="15" s="1"/>
  <c r="BH513" i="15"/>
  <c r="BH529" i="15" s="1"/>
  <c r="BQ513" i="15"/>
  <c r="BQ529" i="15" s="1"/>
  <c r="S513" i="15"/>
  <c r="S529" i="15" s="1"/>
  <c r="R513" i="15"/>
  <c r="R529" i="15" s="1"/>
  <c r="AC513" i="15"/>
  <c r="AC529" i="15" s="1"/>
  <c r="T513" i="15"/>
  <c r="T529" i="15" s="1"/>
  <c r="BC513" i="15"/>
  <c r="BC529" i="15" s="1"/>
  <c r="AO513" i="15"/>
  <c r="AO529" i="15" s="1"/>
  <c r="BL513" i="15"/>
  <c r="BL529" i="15" s="1"/>
  <c r="U513" i="15"/>
  <c r="U529" i="15" s="1"/>
  <c r="AV513" i="15"/>
  <c r="AV529" i="15" s="1"/>
  <c r="AU513" i="15"/>
  <c r="AU529" i="15" s="1"/>
  <c r="AI513" i="15"/>
  <c r="AI529" i="15" s="1"/>
  <c r="AX513" i="15"/>
  <c r="AX529" i="15" s="1"/>
  <c r="AH513" i="15"/>
  <c r="AH529" i="15" s="1"/>
  <c r="BI513" i="15"/>
  <c r="BI529" i="15" s="1"/>
  <c r="BJ513" i="15"/>
  <c r="BJ529" i="15" s="1"/>
  <c r="AQ513" i="15"/>
  <c r="AQ529" i="15" s="1"/>
  <c r="AG513" i="15"/>
  <c r="AG529" i="15" s="1"/>
  <c r="BM513" i="15"/>
  <c r="BM529" i="15" s="1"/>
  <c r="AJ513" i="15"/>
  <c r="AJ529" i="15" s="1"/>
  <c r="AF513" i="15"/>
  <c r="AF529" i="15" s="1"/>
  <c r="AB513" i="15"/>
  <c r="AB529" i="15" s="1"/>
  <c r="AM513" i="15"/>
  <c r="AM529" i="15" s="1"/>
  <c r="W513" i="15"/>
  <c r="W529" i="15" s="1"/>
  <c r="P513" i="15"/>
  <c r="P529" i="15" s="1"/>
  <c r="AD513" i="15"/>
  <c r="AD529" i="15" s="1"/>
  <c r="AW513" i="15"/>
  <c r="AW529" i="15" s="1"/>
  <c r="BE513" i="15"/>
  <c r="BE529" i="15" s="1"/>
  <c r="Y513" i="15"/>
  <c r="Y529" i="15" s="1"/>
  <c r="AE513" i="15"/>
  <c r="AE529" i="15" s="1"/>
  <c r="AN513" i="15"/>
  <c r="AN529" i="15" s="1"/>
  <c r="BF513" i="15"/>
  <c r="BF529" i="15" s="1"/>
  <c r="AP513" i="15"/>
  <c r="AP529" i="15" s="1"/>
  <c r="Q513" i="15"/>
  <c r="Q529" i="15" s="1"/>
  <c r="AR513" i="15"/>
  <c r="AR529" i="15" s="1"/>
  <c r="N513" i="15"/>
  <c r="N529" i="15" s="1"/>
  <c r="AA513" i="15"/>
  <c r="AA529" i="15" s="1"/>
  <c r="BD513" i="15"/>
  <c r="BD529" i="15" s="1"/>
  <c r="V513" i="15"/>
  <c r="V529" i="15" s="1"/>
  <c r="O513" i="15"/>
  <c r="O529" i="15" s="1"/>
  <c r="BO513" i="15"/>
  <c r="BO529" i="15" s="1"/>
  <c r="AY513" i="15"/>
  <c r="AY529" i="15" s="1"/>
  <c r="M513" i="15"/>
  <c r="M529" i="15" s="1"/>
  <c r="AS513" i="15"/>
  <c r="AS529" i="15" s="1"/>
  <c r="AZ513" i="15"/>
  <c r="AZ529" i="15" s="1"/>
  <c r="Z513" i="15"/>
  <c r="Z529" i="15" s="1"/>
  <c r="BS513" i="15"/>
  <c r="BS529" i="15" s="1"/>
  <c r="BP513" i="15"/>
  <c r="BP529" i="15" s="1"/>
  <c r="X513" i="15"/>
  <c r="X529" i="15" s="1"/>
  <c r="P116" i="25" l="1" a="1"/>
  <c r="P116" i="25" s="1"/>
  <c r="P49" i="25" a="1"/>
  <c r="I537" i="15"/>
  <c r="L513" i="15"/>
  <c r="I512" i="15"/>
  <c r="I503" i="15"/>
  <c r="I494" i="15"/>
  <c r="L495" i="15"/>
  <c r="P118" i="25" l="1"/>
  <c r="S118" i="25"/>
  <c r="U118" i="25"/>
  <c r="R118" i="25"/>
  <c r="T118" i="25"/>
  <c r="Q118" i="25"/>
  <c r="P49" i="25"/>
  <c r="U51" i="25"/>
  <c r="Q51" i="25"/>
  <c r="R51" i="25"/>
  <c r="T51" i="25"/>
  <c r="S51" i="25"/>
  <c r="L497" i="15"/>
  <c r="I495" i="15"/>
  <c r="I499" i="15"/>
  <c r="I500" i="15"/>
  <c r="I502" i="15"/>
  <c r="I513" i="15"/>
  <c r="L529" i="15"/>
  <c r="N116" i="25" l="1"/>
  <c r="N118" i="25"/>
  <c r="N49" i="25"/>
  <c r="P51" i="25"/>
  <c r="N51" i="25" s="1"/>
  <c r="I533" i="15"/>
  <c r="I529" i="15"/>
  <c r="I534" i="15"/>
  <c r="L531" i="15"/>
  <c r="I536" i="15"/>
  <c r="M497" i="15"/>
  <c r="N497" i="15" s="1"/>
  <c r="O497" i="15" s="1"/>
  <c r="P497" i="15" s="1"/>
  <c r="Q497" i="15" s="1"/>
  <c r="R497" i="15" s="1"/>
  <c r="S497" i="15" s="1"/>
  <c r="T497" i="15" s="1"/>
  <c r="U497" i="15" s="1"/>
  <c r="V497" i="15" s="1"/>
  <c r="W497" i="15" s="1"/>
  <c r="X497" i="15" s="1"/>
  <c r="Y497" i="15" s="1"/>
  <c r="Z497" i="15" s="1"/>
  <c r="AA497" i="15" s="1"/>
  <c r="AB497" i="15" s="1"/>
  <c r="AC497" i="15" s="1"/>
  <c r="AD497" i="15" s="1"/>
  <c r="AE497" i="15" s="1"/>
  <c r="AF497" i="15" s="1"/>
  <c r="AG497" i="15" s="1"/>
  <c r="AH497" i="15" s="1"/>
  <c r="AI497" i="15" s="1"/>
  <c r="AJ497" i="15" s="1"/>
  <c r="AK497" i="15" s="1"/>
  <c r="AL497" i="15" s="1"/>
  <c r="AM497" i="15" s="1"/>
  <c r="AN497" i="15" s="1"/>
  <c r="AO497" i="15" s="1"/>
  <c r="AP497" i="15" s="1"/>
  <c r="AQ497" i="15" s="1"/>
  <c r="AR497" i="15" s="1"/>
  <c r="AS497" i="15" s="1"/>
  <c r="AT497" i="15" s="1"/>
  <c r="AU497" i="15" s="1"/>
  <c r="AV497" i="15" s="1"/>
  <c r="AW497" i="15" s="1"/>
  <c r="AX497" i="15" s="1"/>
  <c r="AY497" i="15" s="1"/>
  <c r="AZ497" i="15" s="1"/>
  <c r="BA497" i="15" s="1"/>
  <c r="BB497" i="15" s="1"/>
  <c r="BC497" i="15" s="1"/>
  <c r="BD497" i="15" s="1"/>
  <c r="BE497" i="15" s="1"/>
  <c r="BF497" i="15" s="1"/>
  <c r="BG497" i="15" s="1"/>
  <c r="BH497" i="15" s="1"/>
  <c r="BI497" i="15" s="1"/>
  <c r="BJ497" i="15" s="1"/>
  <c r="BK497" i="15" s="1"/>
  <c r="BL497" i="15" s="1"/>
  <c r="BM497" i="15" s="1"/>
  <c r="BN497" i="15" s="1"/>
  <c r="BO497" i="15" s="1"/>
  <c r="BP497" i="15" s="1"/>
  <c r="BQ497" i="15" s="1"/>
  <c r="BR497" i="15" s="1"/>
  <c r="BS497" i="15" s="1"/>
  <c r="G72" i="17" l="1"/>
  <c r="G86" i="17"/>
  <c r="M531" i="15"/>
  <c r="N531" i="15" s="1"/>
  <c r="O531" i="15" s="1"/>
  <c r="P531" i="15" s="1"/>
  <c r="Q531" i="15" s="1"/>
  <c r="R531" i="15" s="1"/>
  <c r="S531" i="15" s="1"/>
  <c r="T531" i="15" s="1"/>
  <c r="U531" i="15" s="1"/>
  <c r="V531" i="15" s="1"/>
  <c r="W531" i="15" s="1"/>
  <c r="X531" i="15" s="1"/>
  <c r="Y531" i="15" s="1"/>
  <c r="Z531" i="15" s="1"/>
  <c r="AA531" i="15" s="1"/>
  <c r="AB531" i="15" s="1"/>
  <c r="AC531" i="15" s="1"/>
  <c r="AD531" i="15" s="1"/>
  <c r="AE531" i="15" s="1"/>
  <c r="AF531" i="15" s="1"/>
  <c r="AG531" i="15" s="1"/>
  <c r="AH531" i="15" s="1"/>
  <c r="AI531" i="15" s="1"/>
  <c r="AJ531" i="15" s="1"/>
  <c r="AK531" i="15" s="1"/>
  <c r="AL531" i="15" s="1"/>
  <c r="AM531" i="15" s="1"/>
  <c r="AN531" i="15" s="1"/>
  <c r="AO531" i="15" s="1"/>
  <c r="AP531" i="15" s="1"/>
  <c r="AQ531" i="15" s="1"/>
  <c r="AR531" i="15" s="1"/>
  <c r="AS531" i="15" s="1"/>
  <c r="AT531" i="15" s="1"/>
  <c r="AU531" i="15" s="1"/>
  <c r="AV531" i="15" s="1"/>
  <c r="AW531" i="15" s="1"/>
  <c r="AX531" i="15" s="1"/>
  <c r="AY531" i="15" s="1"/>
  <c r="AZ531" i="15" s="1"/>
  <c r="BA531" i="15" s="1"/>
  <c r="BB531" i="15" s="1"/>
  <c r="BC531" i="15" s="1"/>
  <c r="BD531" i="15" s="1"/>
  <c r="BE531" i="15" s="1"/>
  <c r="BF531" i="15" s="1"/>
  <c r="BG531" i="15" s="1"/>
  <c r="BH531" i="15" s="1"/>
  <c r="BI531" i="15" s="1"/>
  <c r="BJ531" i="15" s="1"/>
  <c r="BK531" i="15" s="1"/>
  <c r="BL531" i="15" s="1"/>
  <c r="BM531" i="15" s="1"/>
  <c r="BN531" i="15" s="1"/>
  <c r="BO531" i="15" s="1"/>
  <c r="BP531" i="15" s="1"/>
  <c r="BQ531" i="15" s="1"/>
  <c r="BR531" i="15" s="1"/>
  <c r="BS531" i="15" s="1"/>
  <c r="I570" i="15"/>
  <c r="F529" i="15"/>
  <c r="I505" i="15"/>
  <c r="I539" i="15" l="1"/>
</calcChain>
</file>

<file path=xl/comments1.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Jawed, Adeel</author>
  </authors>
  <commentList>
    <comment ref="R172" authorId="0" shapeId="8193" xr:uid="{555B16A1-3565-478F-9829-DCEE904CA99F}">
      <text>
        <r>
          <rPr>
            <b/>
            <sz val="9"/>
            <color indexed="81"/>
            <rFont val="Tahoma"/>
            <family val="2"/>
          </rPr>
          <t>Jawed, Adeel:</t>
        </r>
        <r>
          <rPr>
            <sz val="9"/>
            <color indexed="81"/>
            <rFont val="Tahoma"/>
            <family val="2"/>
          </rPr>
          <t xml:space="preserve">
R4D inputs
</t>
        </r>
      </text>
      <mc:AlternateContent xmlns:mc="http://schemas.openxmlformats.org/markup-compatibility/2006">
        <mc:Choice Requires="v"/>
        <mc:Fallback>
          <commentPr defaultSize="0" autoFill="0" autoLine="0">
            <anchor>
              <from>
                <xdr:col>18</xdr:col>
                <xdr:colOff>152400</xdr:colOff>
                <xdr:row>179</xdr:row>
                <xdr:rowOff>101600</xdr:rowOff>
              </from>
              <to>
                <xdr:col>20</xdr:col>
                <xdr:colOff>355600</xdr:colOff>
                <xdr:row>183</xdr:row>
                <xdr:rowOff>101600</xdr:rowOff>
              </to>
            </anchor>
          </commentPr>
        </mc:Fallback>
      </mc:AlternateContent>
    </comment>
  </commentList>
</comments>
</file>

<file path=xl/comments2.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Jawed, Adeel</author>
  </authors>
  <commentList>
    <comment ref="P129" authorId="0" shapeId="6145" xr:uid="{772ED846-B8B5-4ECC-8C8F-B4C1AB088BBF}">
      <text>
        <r>
          <rPr>
            <b/>
            <sz val="9"/>
            <color indexed="81"/>
            <rFont val="Tahoma"/>
            <family val="2"/>
          </rPr>
          <t>Jawed, Adeel:</t>
        </r>
        <r>
          <rPr>
            <sz val="9"/>
            <color indexed="81"/>
            <rFont val="Tahoma"/>
            <family val="2"/>
          </rPr>
          <t xml:space="preserve">
decimal point moved</t>
        </r>
      </text>
      <mc:AlternateContent xmlns:mc="http://schemas.openxmlformats.org/markup-compatibility/2006">
        <mc:Choice Requires="v"/>
        <mc:Fallback>
          <commentPr defaultSize="0" autoFill="0" autoLine="0">
            <anchor>
              <from>
                <xdr:col>16</xdr:col>
                <xdr:colOff>152400</xdr:colOff>
                <xdr:row>127</xdr:row>
                <xdr:rowOff>101600</xdr:rowOff>
              </from>
              <to>
                <xdr:col>18</xdr:col>
                <xdr:colOff>355600</xdr:colOff>
                <xdr:row>131</xdr:row>
                <xdr:rowOff>101600</xdr:rowOff>
              </to>
            </anchor>
          </commentPr>
        </mc:Fallback>
      </mc:AlternateContent>
    </comment>
  </commentList>
</comments>
</file>

<file path=xl/metadata.xml><?xml version="1.0" encoding="utf-8"?>
<metadata xmlns="http://purl.oclc.org/ooxml/spreadsheetml/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<sst xmlns="http://purl.oclc.org/ooxml/spreadsheetml/main" count="6082" uniqueCount="1656">
  <si>
    <t>Inputs</t>
  </si>
  <si>
    <t>IA_Years</t>
  </si>
  <si>
    <t>IA_Periods</t>
  </si>
  <si>
    <t>IA_Days</t>
  </si>
  <si>
    <t>Legend</t>
  </si>
  <si>
    <t>General Assumptions</t>
  </si>
  <si>
    <t>Dates</t>
  </si>
  <si>
    <t>Current_year</t>
  </si>
  <si>
    <t>ModelStart_year</t>
  </si>
  <si>
    <t>Valuation Assumptions</t>
  </si>
  <si>
    <t>Discount Rate (nominal)</t>
  </si>
  <si>
    <t>input_DiscRate_nom</t>
  </si>
  <si>
    <t>Macro Assumptions</t>
  </si>
  <si>
    <t>US inflation rate</t>
  </si>
  <si>
    <t>Inflation index</t>
  </si>
  <si>
    <t>Model start year</t>
  </si>
  <si>
    <t>Current year</t>
  </si>
  <si>
    <t>Input cell</t>
  </si>
  <si>
    <t>Calculation cell</t>
  </si>
  <si>
    <t>Summation cell</t>
  </si>
  <si>
    <t>input_US_inflation_perc</t>
  </si>
  <si>
    <t>IA_infl_index</t>
  </si>
  <si>
    <t>Inflation index base year</t>
  </si>
  <si>
    <t>InflationBase_year</t>
  </si>
  <si>
    <t>Conversion Rates</t>
  </si>
  <si>
    <t>1 barrel oil</t>
  </si>
  <si>
    <t>=</t>
  </si>
  <si>
    <t>1 ton oil</t>
  </si>
  <si>
    <t>1 cubic meter</t>
  </si>
  <si>
    <t>1 ton LNG</t>
  </si>
  <si>
    <t>conv_BbltoMcf</t>
  </si>
  <si>
    <t>conv_TontoBbls</t>
  </si>
  <si>
    <t>conv_CMtoBbls</t>
  </si>
  <si>
    <t>conv_CMtoCF</t>
  </si>
  <si>
    <t>conv_TonLNGtoMcf</t>
  </si>
  <si>
    <t>Field Assumptions</t>
  </si>
  <si>
    <t>Fields</t>
  </si>
  <si>
    <t>list_FieldName</t>
  </si>
  <si>
    <t>Production Volumes</t>
  </si>
  <si>
    <t>Production Oil</t>
  </si>
  <si>
    <t>Selected</t>
  </si>
  <si>
    <t>field_selected</t>
  </si>
  <si>
    <t>MMbbls</t>
  </si>
  <si>
    <t>IA_prod_oil</t>
  </si>
  <si>
    <t>Production Gas</t>
  </si>
  <si>
    <t>Bcf</t>
  </si>
  <si>
    <t>$/bbl</t>
  </si>
  <si>
    <t>$/mcf</t>
  </si>
  <si>
    <t>IA_oilprice_nominal</t>
  </si>
  <si>
    <t>IA_gasprice_nominal</t>
  </si>
  <si>
    <t>Operating Costs</t>
  </si>
  <si>
    <t>Prices</t>
  </si>
  <si>
    <t>Fixed Opex Total</t>
  </si>
  <si>
    <t>$ MM real</t>
  </si>
  <si>
    <t>IA_prod_gas</t>
  </si>
  <si>
    <t>IA_fixedopex_real</t>
  </si>
  <si>
    <t>IA_varopex_real</t>
  </si>
  <si>
    <t>Development Costs</t>
  </si>
  <si>
    <t>Oil Price</t>
  </si>
  <si>
    <t>Gas Price</t>
  </si>
  <si>
    <t>Development Capex Total</t>
  </si>
  <si>
    <t>IA_devcapex_real</t>
  </si>
  <si>
    <t>Capital Costs</t>
  </si>
  <si>
    <t>Decommissioning Costs</t>
  </si>
  <si>
    <t>IA_decom_real</t>
  </si>
  <si>
    <t>Fiscal Terms</t>
  </si>
  <si>
    <t>Fees</t>
  </si>
  <si>
    <t>PID Fees</t>
  </si>
  <si>
    <t>fees_PID_perc</t>
  </si>
  <si>
    <t>Royalty</t>
  </si>
  <si>
    <t>Oil</t>
  </si>
  <si>
    <t>Gas</t>
  </si>
  <si>
    <t>royalty_rate_oil</t>
  </si>
  <si>
    <t>royalty_rate_gas</t>
  </si>
  <si>
    <t>Cost Recovery</t>
  </si>
  <si>
    <t>Effective Date</t>
  </si>
  <si>
    <t>Cost Stop</t>
  </si>
  <si>
    <t>Cost Stop %</t>
  </si>
  <si>
    <t>FA_CR_date</t>
  </si>
  <si>
    <t>FA_coststop_perc</t>
  </si>
  <si>
    <t>(% of gross prod @FP)</t>
  </si>
  <si>
    <t>(% of gross prod @ min</t>
  </si>
  <si>
    <t>of FP or HP)</t>
  </si>
  <si>
    <t>GCO_date</t>
  </si>
  <si>
    <t>GCO_perc</t>
  </si>
  <si>
    <t>Excess Cost Recovery</t>
  </si>
  <si>
    <t>Cum Oil Prod</t>
  </si>
  <si>
    <t>Cum Gas Prod</t>
  </si>
  <si>
    <t>MMbbl</t>
  </si>
  <si>
    <t>Bscf</t>
  </si>
  <si>
    <t>%</t>
  </si>
  <si>
    <t>Excess Cost Recovery (ECR)</t>
  </si>
  <si>
    <t>ECR Govt.</t>
  </si>
  <si>
    <t>ECR Cont.</t>
  </si>
  <si>
    <t>FA_ECR_cumprod_oil</t>
  </si>
  <si>
    <t>FA_ECR_cumprod_gas</t>
  </si>
  <si>
    <t>FA_ECR_govt_rate</t>
  </si>
  <si>
    <t>FA_ECR_cont_rate</t>
  </si>
  <si>
    <t>Super Profit Oil</t>
  </si>
  <si>
    <t>(applicable if FP&gt;HP)</t>
  </si>
  <si>
    <t>Super Profit Oil (SPO)</t>
  </si>
  <si>
    <t>SPO Govt.</t>
  </si>
  <si>
    <t>SPO Cont.</t>
  </si>
  <si>
    <t>FA_SPO_cumprod_oil</t>
  </si>
  <si>
    <t>FA_SPO_govt_rate</t>
  </si>
  <si>
    <t>FA_SPO_cont_rate</t>
  </si>
  <si>
    <t>FA_PS_cumprod_oil</t>
  </si>
  <si>
    <t>Profit Share (PS)</t>
  </si>
  <si>
    <t>FA_PS_cumprod_gas</t>
  </si>
  <si>
    <t>FA_PS_govt_rate</t>
  </si>
  <si>
    <t>FA_PS_cont_rate</t>
  </si>
  <si>
    <t>High Price (HP)</t>
  </si>
  <si>
    <t>FA_HP_date</t>
  </si>
  <si>
    <t>FA_HP</t>
  </si>
  <si>
    <t>Ownership Details</t>
  </si>
  <si>
    <t>State Participation</t>
  </si>
  <si>
    <t>IOC Consortium</t>
  </si>
  <si>
    <t>NOC part of Contractor group?</t>
  </si>
  <si>
    <t>NOC_WI_perc</t>
  </si>
  <si>
    <t>NOC_included_in_contgroup</t>
  </si>
  <si>
    <t>IOC_WI_perc</t>
  </si>
  <si>
    <t>Carried Interest</t>
  </si>
  <si>
    <t>Calculations</t>
  </si>
  <si>
    <t>Production and Volumes</t>
  </si>
  <si>
    <t>Gross Production Volumes</t>
  </si>
  <si>
    <t>Effective Date PSC</t>
  </si>
  <si>
    <t>effective_date_Mwafi</t>
  </si>
  <si>
    <t>Date offset</t>
  </si>
  <si>
    <t>date_offset_Mwafi</t>
  </si>
  <si>
    <t>Total</t>
  </si>
  <si>
    <t>Mmboe</t>
  </si>
  <si>
    <t>CA_gross_prod_oil</t>
  </si>
  <si>
    <t>CA_gross_prod_gas</t>
  </si>
  <si>
    <t>CA_gross_prod_Total</t>
  </si>
  <si>
    <t>Cumulative Gross Production Volumes</t>
  </si>
  <si>
    <t>CA_cum_gross_prod_oil</t>
  </si>
  <si>
    <t>CA_cum_gross_prod_gas</t>
  </si>
  <si>
    <t>CA_cum_gross_prod_Total</t>
  </si>
  <si>
    <t>Market Price (FP)</t>
  </si>
  <si>
    <t>Oil Price (Nominal)</t>
  </si>
  <si>
    <t>Gas Price (Nominal)</t>
  </si>
  <si>
    <t>CA_FP_oil_nom</t>
  </si>
  <si>
    <t>CA_FP_gas_nom</t>
  </si>
  <si>
    <t>CA_HP_oil_nom</t>
  </si>
  <si>
    <t>Revenues</t>
  </si>
  <si>
    <t>Gross Revenues</t>
  </si>
  <si>
    <t>Oil Revenue (@ FP)</t>
  </si>
  <si>
    <t>Gas Revenue (@ FP)</t>
  </si>
  <si>
    <t>$MM</t>
  </si>
  <si>
    <t>MMboe</t>
  </si>
  <si>
    <t>Gross Revenue Total (@FP)</t>
  </si>
  <si>
    <t>CA_gross_rev_oil_fp</t>
  </si>
  <si>
    <t>CA_gross_rev_gas_fp</t>
  </si>
  <si>
    <t>CA_gross_rev_total_fp</t>
  </si>
  <si>
    <t>Oil Revenue (@ HP)</t>
  </si>
  <si>
    <t>CA_gross_rev_oil_hp</t>
  </si>
  <si>
    <t>Oil Revenue Difference (FP-HP)</t>
  </si>
  <si>
    <t>CA_gross_rev_oil_difference</t>
  </si>
  <si>
    <t>Variable Opex</t>
  </si>
  <si>
    <t>CA_varopex_nom</t>
  </si>
  <si>
    <t>Variable Opex (Nominal)</t>
  </si>
  <si>
    <t>Fixed Costs</t>
  </si>
  <si>
    <t>Variable Costs</t>
  </si>
  <si>
    <t>Fixed Opex (Nominal)</t>
  </si>
  <si>
    <t>CA_fixedopex_nom</t>
  </si>
  <si>
    <t>Total Opex</t>
  </si>
  <si>
    <t>CA_opex_total_nom</t>
  </si>
  <si>
    <t>Exploration &amp; Appraisal Costs</t>
  </si>
  <si>
    <t>Recoverable E&amp;A Costs (Nominal)</t>
  </si>
  <si>
    <t>Development Capex (Nominal)</t>
  </si>
  <si>
    <t>CA_devex_nom</t>
  </si>
  <si>
    <t>CA_expex_nom</t>
  </si>
  <si>
    <t>CA_decom_nom</t>
  </si>
  <si>
    <t>Fiscal Calculations</t>
  </si>
  <si>
    <t>CA_pid_fees</t>
  </si>
  <si>
    <t>Oil Royalty</t>
  </si>
  <si>
    <t>Gas Royalty</t>
  </si>
  <si>
    <t>CA_roy_oil_fp</t>
  </si>
  <si>
    <t>CA_roy_gas_fp</t>
  </si>
  <si>
    <t>Total Royalty</t>
  </si>
  <si>
    <t>CA_roy_total_fp</t>
  </si>
  <si>
    <t>Recoverable Cost Pool</t>
  </si>
  <si>
    <t>Opex</t>
  </si>
  <si>
    <t>Capital-Development</t>
  </si>
  <si>
    <t>Capital-Expex</t>
  </si>
  <si>
    <t>Total Recoverable Costs</t>
  </si>
  <si>
    <t>Guaranteed Cost Oil</t>
  </si>
  <si>
    <t>Cost Stop Limit</t>
  </si>
  <si>
    <t>Min of Gross Revenue Valued at FP and HP</t>
  </si>
  <si>
    <t>CA_cost_stop</t>
  </si>
  <si>
    <t>CA_gco</t>
  </si>
  <si>
    <t>Cost Recovery Schedule</t>
  </si>
  <si>
    <t>Revenue available for recovery</t>
  </si>
  <si>
    <t>Cumulative opex to recover</t>
  </si>
  <si>
    <t>Opex recovered</t>
  </si>
  <si>
    <t xml:space="preserve">Under / (Over) recovery </t>
  </si>
  <si>
    <t>CA_opex_to_recover</t>
  </si>
  <si>
    <t>CA_pid_to_recover</t>
  </si>
  <si>
    <t>CA_capex_to_recover</t>
  </si>
  <si>
    <t>CA_expex_to_recover</t>
  </si>
  <si>
    <t>PID</t>
  </si>
  <si>
    <t>Cumulative PID to recover</t>
  </si>
  <si>
    <t>PID recovered</t>
  </si>
  <si>
    <t>Cumulative Capex to recover</t>
  </si>
  <si>
    <t>Capex recovered</t>
  </si>
  <si>
    <t>Cumulative Expex to recover</t>
  </si>
  <si>
    <t>Expex recovered</t>
  </si>
  <si>
    <t>Total Cost Recovered</t>
  </si>
  <si>
    <t>CA_cost_recovered_total</t>
  </si>
  <si>
    <t>Revenue available for Excess Cost recovery split</t>
  </si>
  <si>
    <t>CA_excess_cost_recovery</t>
  </si>
  <si>
    <t>Contractor Share of Excess Cost</t>
  </si>
  <si>
    <t>Operating Trigger</t>
  </si>
  <si>
    <t>CA_op_trig</t>
  </si>
  <si>
    <t>CA_excess_CR_cont</t>
  </si>
  <si>
    <t>Govt. Share of Excess Cost</t>
  </si>
  <si>
    <t>CA_excess_CR_gov</t>
  </si>
  <si>
    <t>SPO Trigger</t>
  </si>
  <si>
    <t>Oil Royalty - SPO</t>
  </si>
  <si>
    <t>CA_SPO_trig</t>
  </si>
  <si>
    <t>Gross Revenue - SPO</t>
  </si>
  <si>
    <t>CA_rev_for_SPO</t>
  </si>
  <si>
    <t>Contractor Share of SPO</t>
  </si>
  <si>
    <t>Govt. Share of SPO</t>
  </si>
  <si>
    <t>CA_SPO_cont</t>
  </si>
  <si>
    <t>CA_Spo_gov</t>
  </si>
  <si>
    <t>Profit Oil</t>
  </si>
  <si>
    <t>Profit Split</t>
  </si>
  <si>
    <t>Share of Product in Revenues</t>
  </si>
  <si>
    <t>Share of Oil in Total Revenue</t>
  </si>
  <si>
    <t>Share of Gas in Total Revenue</t>
  </si>
  <si>
    <t>CA_rev_oil_perc</t>
  </si>
  <si>
    <t>CA_rev_gas_perc</t>
  </si>
  <si>
    <t>Oil Revenue for Profit Split</t>
  </si>
  <si>
    <t>Profit Split %</t>
  </si>
  <si>
    <t>Contractor Share of Profit Oil</t>
  </si>
  <si>
    <t>Govt. Share of Profit Oil</t>
  </si>
  <si>
    <t>Profit Gas</t>
  </si>
  <si>
    <t>Gas Revenue for Profit Split</t>
  </si>
  <si>
    <t>Total Profit Share Contractor</t>
  </si>
  <si>
    <t>Total Profit Share Govt.</t>
  </si>
  <si>
    <t>CA_PS_cont</t>
  </si>
  <si>
    <t>CA_PS_gov</t>
  </si>
  <si>
    <t>Entitlement Calculations</t>
  </si>
  <si>
    <t>Entitlement Revenue - Oil</t>
  </si>
  <si>
    <t>Cost Oil</t>
  </si>
  <si>
    <t>Excess Cost Oil</t>
  </si>
  <si>
    <t>CA_ent_rev_oil</t>
  </si>
  <si>
    <t>Entitlement Revenue - Gas</t>
  </si>
  <si>
    <t>Cost Gas</t>
  </si>
  <si>
    <t>Excess Cost Gas</t>
  </si>
  <si>
    <t>CA_ent_rev_gas</t>
  </si>
  <si>
    <t>Entitlement Volumes</t>
  </si>
  <si>
    <t>CA_ent_vol_total</t>
  </si>
  <si>
    <t>Carried Interest Calculations</t>
  </si>
  <si>
    <t>Cash Flows</t>
  </si>
  <si>
    <t>Mwafi PSC</t>
  </si>
  <si>
    <t>Divisible Income</t>
  </si>
  <si>
    <t>Oil Revenue</t>
  </si>
  <si>
    <t>Gas Revenue</t>
  </si>
  <si>
    <t>Gross Revenue Total</t>
  </si>
  <si>
    <t>Fixed Opex</t>
  </si>
  <si>
    <t>Capital Expenditures</t>
  </si>
  <si>
    <t>Exploration and Appraisal</t>
  </si>
  <si>
    <t>Decommissioning</t>
  </si>
  <si>
    <t>Total Capex</t>
  </si>
  <si>
    <t>Contractor Cash Flows</t>
  </si>
  <si>
    <t>Entitlement Revenue</t>
  </si>
  <si>
    <t>Entitlement Revenue Oil</t>
  </si>
  <si>
    <t>Enttlement Revenue Gas</t>
  </si>
  <si>
    <t>Total Entitlement Revenue</t>
  </si>
  <si>
    <t>Bonuses and Fees</t>
  </si>
  <si>
    <t>Production and Other Taxes</t>
  </si>
  <si>
    <t>Capex excluding Decom</t>
  </si>
  <si>
    <t>Income Tax</t>
  </si>
  <si>
    <t>Additional Taxes</t>
  </si>
  <si>
    <t>After Tax Cash flows</t>
  </si>
  <si>
    <t>Full Cycle</t>
  </si>
  <si>
    <t>Discount Period</t>
  </si>
  <si>
    <t>Point Forward</t>
  </si>
  <si>
    <t>Discount Factor</t>
  </si>
  <si>
    <t>CA_disc_factor_pf</t>
  </si>
  <si>
    <t>CA_disc_factor_fc</t>
  </si>
  <si>
    <t>OA_cont_ATCF_mwafi</t>
  </si>
  <si>
    <t>Full Cycle NPV</t>
  </si>
  <si>
    <t>Point Forward NPV</t>
  </si>
  <si>
    <t>Full Cycle IRR</t>
  </si>
  <si>
    <t>Point Forward IRR</t>
  </si>
  <si>
    <t>Last model year</t>
  </si>
  <si>
    <t>last_model_year</t>
  </si>
  <si>
    <t>NOC Cash Flows</t>
  </si>
  <si>
    <t>OA_noc_ATCF_mwafi</t>
  </si>
  <si>
    <t>Government Cash flows</t>
  </si>
  <si>
    <t>Royalties</t>
  </si>
  <si>
    <t>SPO</t>
  </si>
  <si>
    <t>Production and other Taxes</t>
  </si>
  <si>
    <t>Additional Tax</t>
  </si>
  <si>
    <t>Costs</t>
  </si>
  <si>
    <t>Financing costs</t>
  </si>
  <si>
    <t>Other costs</t>
  </si>
  <si>
    <t>Total Government Cash flows</t>
  </si>
  <si>
    <t>OA_gov_CF_mwafi</t>
  </si>
  <si>
    <t>Nominal Govt. Take %</t>
  </si>
  <si>
    <t>Cumulative ATCF</t>
  </si>
  <si>
    <t>Payback Period</t>
  </si>
  <si>
    <t>Switch/Toggle</t>
  </si>
  <si>
    <t>Selected oil price (nominal)</t>
  </si>
  <si>
    <t>Selected gas price (nominal)</t>
  </si>
  <si>
    <t>Guaranteed Cost Oil (GCO)</t>
  </si>
  <si>
    <t>Fiscal Specific Price</t>
  </si>
  <si>
    <t>Revenue available for SPO</t>
  </si>
  <si>
    <t>Discount Period Calculations</t>
  </si>
  <si>
    <t>Decom (Nominal)</t>
  </si>
  <si>
    <t>Effective Annual Annuity</t>
  </si>
  <si>
    <t>$ MM</t>
  </si>
  <si>
    <t>Actual Cost Oil - Cost Stop</t>
  </si>
  <si>
    <t>NOC WI (SNPC)</t>
  </si>
  <si>
    <t>NOC carried interest - E&amp;A</t>
  </si>
  <si>
    <t>NOC carried interest - Devex</t>
  </si>
  <si>
    <t>NOC_CI_expex</t>
  </si>
  <si>
    <t>NOC_CI_devex</t>
  </si>
  <si>
    <t>NOC carried interest - Opex</t>
  </si>
  <si>
    <t>NOC_CI_opex</t>
  </si>
  <si>
    <t>Repayment</t>
  </si>
  <si>
    <t>NOC_CI_expex_rpmt</t>
  </si>
  <si>
    <t>NOC_CI_devex_rpmt</t>
  </si>
  <si>
    <t>NOC_CI_opex_rpmt</t>
  </si>
  <si>
    <t>Carry Repayment</t>
  </si>
  <si>
    <t>(% of State's Entitlement Available for Repayment)</t>
  </si>
  <si>
    <t>NOC_rpmt_max_perc</t>
  </si>
  <si>
    <t>NOC Carried Costs</t>
  </si>
  <si>
    <t>NOC Carried Interest - Expex</t>
  </si>
  <si>
    <t>NOC Carried Interest - Capex</t>
  </si>
  <si>
    <t>NOC Carried Interest - Opex</t>
  </si>
  <si>
    <t>NOC Carry Repayment - Expex</t>
  </si>
  <si>
    <t>Carry Payback</t>
  </si>
  <si>
    <t>Carried Costs CB</t>
  </si>
  <si>
    <t>Carried Costs OB</t>
  </si>
  <si>
    <t>Workinng Interest</t>
  </si>
  <si>
    <t>NOC / State Participation</t>
  </si>
  <si>
    <t>CA_IOC_WI</t>
  </si>
  <si>
    <t>CA_NOC_WI</t>
  </si>
  <si>
    <t>WI Share Entitlement Revenue - Oil</t>
  </si>
  <si>
    <t>WI Share Entitlement Revenue - Gas</t>
  </si>
  <si>
    <t>WI Share Entitlement Volumes - Oil</t>
  </si>
  <si>
    <t>WI Share Entitlement Volumes - Gas</t>
  </si>
  <si>
    <t>NOC Carry Repayment - Capex</t>
  </si>
  <si>
    <t>NOC Carry Repayment - Opex</t>
  </si>
  <si>
    <t>Carried Costs for the period</t>
  </si>
  <si>
    <t>NOC Carried Costs Total</t>
  </si>
  <si>
    <t>Carry Repayment Total</t>
  </si>
  <si>
    <t>CA_NOC_carried_costs</t>
  </si>
  <si>
    <t>CA_NOC_carry_payback</t>
  </si>
  <si>
    <t>IOC Consortium Cash Flows</t>
  </si>
  <si>
    <t>IOC Share of After Tax Cash flows</t>
  </si>
  <si>
    <t>Carried Costs</t>
  </si>
  <si>
    <t>IOC After Tax Cash flow</t>
  </si>
  <si>
    <t>OA_IOC_ATCF_mwafi</t>
  </si>
  <si>
    <t>CA_NOC_CI_expex</t>
  </si>
  <si>
    <t>CA_NOC_CI_devex</t>
  </si>
  <si>
    <t>CA_NOC_CI_opex</t>
  </si>
  <si>
    <t>Interest on Carried Forward Costs</t>
  </si>
  <si>
    <t>int_rate_cf_costs</t>
  </si>
  <si>
    <t>effective_date_HM1994</t>
  </si>
  <si>
    <t>date_offset_HM1994</t>
  </si>
  <si>
    <t>FP</t>
  </si>
  <si>
    <t xml:space="preserve">Cost Stop </t>
  </si>
  <si>
    <t>HP</t>
  </si>
  <si>
    <t>cost_stop_p1</t>
  </si>
  <si>
    <t>cost_stop_p2</t>
  </si>
  <si>
    <t>cost_stop_perbbl1</t>
  </si>
  <si>
    <t>cost_stop_perbbl2</t>
  </si>
  <si>
    <t>cost_stop_perc</t>
  </si>
  <si>
    <t>ECR_govt_rate</t>
  </si>
  <si>
    <t>ECR_cont_rate</t>
  </si>
  <si>
    <t>SPO_govt_rate</t>
  </si>
  <si>
    <t>SPO_cont_rate</t>
  </si>
  <si>
    <t>PS Govt.</t>
  </si>
  <si>
    <t>PS Cont.</t>
  </si>
  <si>
    <t>PS_govt_rate</t>
  </si>
  <si>
    <t>PS_cont_rate</t>
  </si>
  <si>
    <t>HP_date</t>
  </si>
  <si>
    <t>OA_cont_ATCF_HM1994</t>
  </si>
  <si>
    <t>OA_IOC_ATCF_HM1994</t>
  </si>
  <si>
    <t>OA_noc_ATCF_HM1994</t>
  </si>
  <si>
    <t>OA_gov_CF_HM1994</t>
  </si>
  <si>
    <t>Actual Cost Recovered</t>
  </si>
  <si>
    <t>KLL II 2020</t>
  </si>
  <si>
    <t>effective_date_KLL2020</t>
  </si>
  <si>
    <t>date_offset_KLL2020</t>
  </si>
  <si>
    <t>CR_date</t>
  </si>
  <si>
    <t>OA_cont_ATCF_KLL2020</t>
  </si>
  <si>
    <t>OA_IOC_ATCF_KLL2020</t>
  </si>
  <si>
    <t>OA_noc_ATCF_KLL2020</t>
  </si>
  <si>
    <t>OA_gov_CF_KLL2020</t>
  </si>
  <si>
    <t>Loango II</t>
  </si>
  <si>
    <t>effective_date_Loango</t>
  </si>
  <si>
    <t>date_offset_Loango</t>
  </si>
  <si>
    <t>OA_cont_ATCF_Loango</t>
  </si>
  <si>
    <t>OA_IOC_ATCF_Loango</t>
  </si>
  <si>
    <t>OA_noc_ATCF_Loango</t>
  </si>
  <si>
    <t>OA_gov_CF_Loango</t>
  </si>
  <si>
    <t>effective_date_AM_3_2005</t>
  </si>
  <si>
    <t>date_offset_AM_3_2005</t>
  </si>
  <si>
    <t>100-200</t>
  </si>
  <si>
    <t>200 - 400</t>
  </si>
  <si>
    <t>Reserves MMbbl</t>
  </si>
  <si>
    <t>&lt;200 or &gt; 400</t>
  </si>
  <si>
    <t>Dev Cost  %</t>
  </si>
  <si>
    <t>Dev Cost Threshold %</t>
  </si>
  <si>
    <t>Total Reserves MMboe</t>
  </si>
  <si>
    <t>na</t>
  </si>
  <si>
    <t>ECR_Dev_cost_perc</t>
  </si>
  <si>
    <t>(Prod*FP)-(Prod*(65%-(65%*(HP/FP)))</t>
  </si>
  <si>
    <t>(Prod*FP)-(Prod*HP)</t>
  </si>
  <si>
    <t>Basis</t>
  </si>
  <si>
    <t>(% of gross prod @ HP)</t>
  </si>
  <si>
    <t>&lt; 100</t>
  </si>
  <si>
    <t>200-400</t>
  </si>
  <si>
    <t>FA_CS_cumprod_oil</t>
  </si>
  <si>
    <t>FA_CS_cumprod_gas</t>
  </si>
  <si>
    <t>FA_CS_rate</t>
  </si>
  <si>
    <t>FA_CS_HP</t>
  </si>
  <si>
    <t>Oil Price (Nominal) for Cost stop</t>
  </si>
  <si>
    <t>Inflation Index for HP</t>
  </si>
  <si>
    <t>CA_infl_index_HP</t>
  </si>
  <si>
    <t>CA_CS_HP_oil_nom</t>
  </si>
  <si>
    <t>Gross Revenue Valued at HP</t>
  </si>
  <si>
    <t>SPO Revenue - Tranche 1</t>
  </si>
  <si>
    <t>SPO Revenue - Tranche 2</t>
  </si>
  <si>
    <t>SPO Revenue - Tranche 3</t>
  </si>
  <si>
    <t>OA_cont_ATCF_AM_2005</t>
  </si>
  <si>
    <t>OA_IOC_ATCF_AM_3_2005</t>
  </si>
  <si>
    <t>OA_noc_ATCF_Am_3_2005</t>
  </si>
  <si>
    <t>OA_gov_CF_AM_3_2005</t>
  </si>
  <si>
    <t>effective_date_AM_4_AM_6</t>
  </si>
  <si>
    <t>date_offset_AM_4_AM_6</t>
  </si>
  <si>
    <t>factor a</t>
  </si>
  <si>
    <t>70%*(1-HP/FP)*Prod</t>
  </si>
  <si>
    <t>60%*(1-HP/FP)*Prod</t>
  </si>
  <si>
    <t>(1-royalty %)*(1-HP/FP)*Prod</t>
  </si>
  <si>
    <t>SPO = (a-b)</t>
  </si>
  <si>
    <t>factor b</t>
  </si>
  <si>
    <t>If( (Cost Oil&gt; Cost stop %*(HP/FP)*Prod),Cost oil - Cost stop %*(HP/FP)*Prod, 0)</t>
  </si>
  <si>
    <t>FA_PS_HP</t>
  </si>
  <si>
    <t>Special Condition</t>
  </si>
  <si>
    <t>&lt;80</t>
  </si>
  <si>
    <t>FA_PS_govt_rate2</t>
  </si>
  <si>
    <t>FA_PS_cont_rate2</t>
  </si>
  <si>
    <t>Period 1</t>
  </si>
  <si>
    <t>Period 2</t>
  </si>
  <si>
    <t>Oil Price (Nominal) Period 1</t>
  </si>
  <si>
    <t>HP_1</t>
  </si>
  <si>
    <t>HP_2</t>
  </si>
  <si>
    <t>Oil Price (Nominal) Period 2</t>
  </si>
  <si>
    <t>CA_HP_oil_nom_period1</t>
  </si>
  <si>
    <t>CA_HP_oil_nom_period2</t>
  </si>
  <si>
    <t>Oil Revenue (@ HP Period 1)</t>
  </si>
  <si>
    <t>Oil Revenue (@ HP Period 2)</t>
  </si>
  <si>
    <t>CA_gross_rev_oil_hp1</t>
  </si>
  <si>
    <t>CA_gross_rev_oil_hp2</t>
  </si>
  <si>
    <t>CA_infl_index_HP_CS</t>
  </si>
  <si>
    <t>Inflation Base  year for Cost Stop</t>
  </si>
  <si>
    <t>CS_HP_infl_baseyear</t>
  </si>
  <si>
    <t>Inflation Index for HP for Cost Stop</t>
  </si>
  <si>
    <t>Period Trigger for HP</t>
  </si>
  <si>
    <t>CA_period_trig</t>
  </si>
  <si>
    <t>Gross Revenue Valued at FP</t>
  </si>
  <si>
    <t>Factor a</t>
  </si>
  <si>
    <t>OA_cont_ATCF_AM_4_AM_6</t>
  </si>
  <si>
    <t>OA_IOC_ATCF_AM_4_AM_6</t>
  </si>
  <si>
    <t>OA_noc_ATCF_AM_4_AM_6</t>
  </si>
  <si>
    <t>OA_gov_CF_AM_4_AM_6</t>
  </si>
  <si>
    <t>list_FieldDescr</t>
  </si>
  <si>
    <t>Field Selected</t>
  </si>
  <si>
    <t>Cost Escalation rate</t>
  </si>
  <si>
    <t>input_cost_esc_perc</t>
  </si>
  <si>
    <t>Cost Escalation index</t>
  </si>
  <si>
    <t>Cost escalation base year</t>
  </si>
  <si>
    <t>costescBase_year</t>
  </si>
  <si>
    <t>IA_esc_index</t>
  </si>
  <si>
    <t>gov_roy_AM_4_AM6</t>
  </si>
  <si>
    <t>gov_pid_AM_4_AM6</t>
  </si>
  <si>
    <t>gov_ECR_AM_4_AM6</t>
  </si>
  <si>
    <t>gov_SPO_AM_4_AM6</t>
  </si>
  <si>
    <t>gov_PO_AM_4_AM6</t>
  </si>
  <si>
    <t>gov_CF_AM_4_AM6</t>
  </si>
  <si>
    <t>gov_NPV_AM_4_AM6</t>
  </si>
  <si>
    <t>gov_take_AM_4_AM6</t>
  </si>
  <si>
    <t>gov_EAA_AM_4_AM6</t>
  </si>
  <si>
    <t>Nominal State Take %</t>
  </si>
  <si>
    <t>state_take_AM_4_AM6</t>
  </si>
  <si>
    <t>NOC_CF_AM_4_AM6</t>
  </si>
  <si>
    <t>NOC_NPV_AM_4_AM6</t>
  </si>
  <si>
    <t>IOC_CF_AM_4_AM6</t>
  </si>
  <si>
    <t>IOC_NPV_AM_4_AM6</t>
  </si>
  <si>
    <t>IOC_IRR_AM_4_AM6</t>
  </si>
  <si>
    <t>IOC_PP_AM_4_AM6</t>
  </si>
  <si>
    <t>gov_roy_AM_3_2005</t>
  </si>
  <si>
    <t>gov_pid_AM_3_2005</t>
  </si>
  <si>
    <t>gov_ECR_AM_3_2005</t>
  </si>
  <si>
    <t>gov_SPO_AM_3_2005</t>
  </si>
  <si>
    <t>gov_PO_AM_3_2005</t>
  </si>
  <si>
    <t>gov_CF_AM_3_2005</t>
  </si>
  <si>
    <t>gov_NPV_AM_3_2005</t>
  </si>
  <si>
    <t>gov_take_AM_3_2005</t>
  </si>
  <si>
    <t>state_take_AM_3_2005</t>
  </si>
  <si>
    <t>gov_EAA_AM_3_2005</t>
  </si>
  <si>
    <t>NOC_CF_AM_3_2005</t>
  </si>
  <si>
    <t>NOC_NPV_AM_3_2005</t>
  </si>
  <si>
    <t>IOC_CF_AM_3_2005</t>
  </si>
  <si>
    <t>IOC_NPV_AM_3_2005</t>
  </si>
  <si>
    <t>IOC_IRR_AM_3_2005</t>
  </si>
  <si>
    <t>IOC_PP_AM_3_2005</t>
  </si>
  <si>
    <t>gov_roy_KLL2020</t>
  </si>
  <si>
    <t>gov_pid_KLL2020</t>
  </si>
  <si>
    <t>gov_ECR_KLL2020</t>
  </si>
  <si>
    <t>gov_SPO_KLL2020</t>
  </si>
  <si>
    <t>gov_PO_KLL2020</t>
  </si>
  <si>
    <t>gov_CF_KLL2020</t>
  </si>
  <si>
    <t>gov_NPV_KLL2020</t>
  </si>
  <si>
    <t>gov_take_KLL2020</t>
  </si>
  <si>
    <t>state_take_KLL2020</t>
  </si>
  <si>
    <t>gov_EAA_KLL2020</t>
  </si>
  <si>
    <t>NOC_CF_KLL_2020</t>
  </si>
  <si>
    <t>NOC_NPV_KLL_2020</t>
  </si>
  <si>
    <t>IOC_CF_KLL2020</t>
  </si>
  <si>
    <t>IOC_NPV_KLL2020</t>
  </si>
  <si>
    <t>IOC_IRR_KLL2020</t>
  </si>
  <si>
    <t>IOC_PP_KLL2020</t>
  </si>
  <si>
    <t>gov_roy_Loango</t>
  </si>
  <si>
    <t>gov_pid_Loango</t>
  </si>
  <si>
    <t>gov_ECR_Loango</t>
  </si>
  <si>
    <t>gov_SPO_Loango</t>
  </si>
  <si>
    <t>gov_PO_Loango</t>
  </si>
  <si>
    <t>gov_CF_Loango</t>
  </si>
  <si>
    <t>gov_NPV_Loango</t>
  </si>
  <si>
    <t>gov_take_Loango</t>
  </si>
  <si>
    <t>state_take_Loango</t>
  </si>
  <si>
    <t>gov_EAA_Loango</t>
  </si>
  <si>
    <t>NOC_CF_KLL_Loango</t>
  </si>
  <si>
    <t>NOC_NPV_KLL_Loango</t>
  </si>
  <si>
    <t>IOC_CF_Loango</t>
  </si>
  <si>
    <t>IOC_NPV_Loango</t>
  </si>
  <si>
    <t>IOC_IRR_Loango</t>
  </si>
  <si>
    <t>IOC_PP_Loango</t>
  </si>
  <si>
    <t>gov_roy_HM1994</t>
  </si>
  <si>
    <t>gov_pid_HM1994</t>
  </si>
  <si>
    <t>gov_ECR_HM1994</t>
  </si>
  <si>
    <t>gov_SPO_HM1994</t>
  </si>
  <si>
    <t>gov_PO_HM1994</t>
  </si>
  <si>
    <t>gov_CF_HM1994</t>
  </si>
  <si>
    <t>gov_NPV_HM1994</t>
  </si>
  <si>
    <t>gov_take_HM1994</t>
  </si>
  <si>
    <t>state_take_HM1994</t>
  </si>
  <si>
    <t>gov_EAA_HM1994</t>
  </si>
  <si>
    <t>NOC_CF_HM1994</t>
  </si>
  <si>
    <t>NOC_NPV_HM1994</t>
  </si>
  <si>
    <t>IOC_CF_HM1994</t>
  </si>
  <si>
    <t>IOC_NPV_HM1994</t>
  </si>
  <si>
    <t>IOC_IRR_HM1994</t>
  </si>
  <si>
    <t>IOC_PP_HM1994</t>
  </si>
  <si>
    <t>Haute Mer 1994</t>
  </si>
  <si>
    <t>Chart 1</t>
  </si>
  <si>
    <t>title_chart1</t>
  </si>
  <si>
    <t>Chart Titles</t>
  </si>
  <si>
    <t>Chart 2</t>
  </si>
  <si>
    <t>title_chart2</t>
  </si>
  <si>
    <t>Chart Data</t>
  </si>
  <si>
    <t>Chart 3</t>
  </si>
  <si>
    <t>title_chart3</t>
  </si>
  <si>
    <t>Recoverable?</t>
  </si>
  <si>
    <t>E&amp;A Costs</t>
  </si>
  <si>
    <t>recov_EandA_toggle</t>
  </si>
  <si>
    <t>IA_EandA_real</t>
  </si>
  <si>
    <t>Chart 4</t>
  </si>
  <si>
    <t>title_chart4</t>
  </si>
  <si>
    <t>HM Zone D AM3 2005</t>
  </si>
  <si>
    <t>effective_date_Nsoko1999</t>
  </si>
  <si>
    <t>FA_ECR_reserves</t>
  </si>
  <si>
    <t>date_offset_Nsoko1999</t>
  </si>
  <si>
    <t>OA_cont_ATCF_Nsoko1999</t>
  </si>
  <si>
    <t>OA_IOC_ATCF_Nsoko1999</t>
  </si>
  <si>
    <t>IOC_CF_Nsoko1999</t>
  </si>
  <si>
    <t>IOC_NPV_Nsoko1999</t>
  </si>
  <si>
    <t>IOC_IRR_Nsoko1999</t>
  </si>
  <si>
    <t>IOC_PP_Nsoko1999</t>
  </si>
  <si>
    <t>OA_noc_ATCF_Nsoko1999</t>
  </si>
  <si>
    <t>NOC_CF_Nsoko1999</t>
  </si>
  <si>
    <t>NOC_NPV_Nsoko1999</t>
  </si>
  <si>
    <t>gov_roy_Nsoko1999</t>
  </si>
  <si>
    <t>gov_pid_Nsoko1999</t>
  </si>
  <si>
    <t>gov_ECR_Nsoko1999</t>
  </si>
  <si>
    <t>gov_SPO_Nsoko1999</t>
  </si>
  <si>
    <t>gov_PO_Nsoko1999</t>
  </si>
  <si>
    <t>OA_gov_CF_Nsoko1999</t>
  </si>
  <si>
    <t>gov_CF_Nsoko1999</t>
  </si>
  <si>
    <t>gov_NPV_Nsoko1999</t>
  </si>
  <si>
    <t>gov_take_Nsoko1999</t>
  </si>
  <si>
    <t>state_take_Nsoko1999</t>
  </si>
  <si>
    <t>gov_EAA_Nsoko1999</t>
  </si>
  <si>
    <t>Effective Date HM 1994 PSC</t>
  </si>
  <si>
    <t>Effective Date AM 5 2017 PSC</t>
  </si>
  <si>
    <t>effective_date_Nkossa2017</t>
  </si>
  <si>
    <t>Min (HP,FP)</t>
  </si>
  <si>
    <t>cost_stop_perc_Nkossa2017</t>
  </si>
  <si>
    <t>Year</t>
  </si>
  <si>
    <t>SPO basis (2017)</t>
  </si>
  <si>
    <t>((prod*FP)-(prod*HP))-(Royalty((Prod*FP)-(Prod*HP))-(cost recovered-cost stop@HP)</t>
  </si>
  <si>
    <t>CA_HP1_oil_nom</t>
  </si>
  <si>
    <t>CA_HP2_oil_nom</t>
  </si>
  <si>
    <t>Oil Price HP1 (Nominal)</t>
  </si>
  <si>
    <t>Oil Price HP2 (Nominal)</t>
  </si>
  <si>
    <t>Inflation Index for HP1</t>
  </si>
  <si>
    <t>Inflation Index for HP2</t>
  </si>
  <si>
    <t>CA_infl_index_HP1</t>
  </si>
  <si>
    <t>CA_infl_index_HP2</t>
  </si>
  <si>
    <t>Oil Revenue (@ HP1)</t>
  </si>
  <si>
    <t>Oil Revenue (@ HP2)</t>
  </si>
  <si>
    <t>Oil Revenue Difference (FP-HP1)</t>
  </si>
  <si>
    <t>CA_gross_rev_oil_difference1</t>
  </si>
  <si>
    <t>Oil Revenue Difference (FP-HP2)</t>
  </si>
  <si>
    <t>CA_gross_rev_oil_difference2</t>
  </si>
  <si>
    <t>PSC Switch Trigger</t>
  </si>
  <si>
    <t>CA_PSC_switch_trig</t>
  </si>
  <si>
    <t>OA_cont_ATCF_Nkossa2017</t>
  </si>
  <si>
    <t>OA_IOC_ATCF_Nkossa2017</t>
  </si>
  <si>
    <t>IOC_CF_Nkossa2017</t>
  </si>
  <si>
    <t>IOC_NPV_Nkossa2017</t>
  </si>
  <si>
    <t>OA_noc_ATCF_Nkossa2017</t>
  </si>
  <si>
    <t>NOC_CF_Nkossa2017</t>
  </si>
  <si>
    <t>NOC_NPV_Nkossa2017</t>
  </si>
  <si>
    <t>gov_roy_Nkossa2017</t>
  </si>
  <si>
    <t>gov_pid_Nkossa2017</t>
  </si>
  <si>
    <t>gov_ECR_Nkossa2017</t>
  </si>
  <si>
    <t>gov_SPO_Nkossa2017</t>
  </si>
  <si>
    <t>gov_PO_Nkossa2017</t>
  </si>
  <si>
    <t>gov_CF_Nkossa2017</t>
  </si>
  <si>
    <t>gov_NPV_Nkossa2017</t>
  </si>
  <si>
    <t>gov_take_Nkossa2017</t>
  </si>
  <si>
    <t>state_take_Nkossa2017</t>
  </si>
  <si>
    <t>gov_EAA_Nkossa2017</t>
  </si>
  <si>
    <t>OA_gov_CF_Nkossa2017</t>
  </si>
  <si>
    <t>HM_ZA_Nkossa</t>
  </si>
  <si>
    <t>Nkossa</t>
  </si>
  <si>
    <t>HM_ZB_Nsoko</t>
  </si>
  <si>
    <t>Nsoko</t>
  </si>
  <si>
    <t>HM_ZD_Moho</t>
  </si>
  <si>
    <t>Moho</t>
  </si>
  <si>
    <t>Kombi_Likalala_Libondo</t>
  </si>
  <si>
    <t>KLL</t>
  </si>
  <si>
    <t>Production Liquified Petroleum Gas</t>
  </si>
  <si>
    <t>IA_prod_lpg</t>
  </si>
  <si>
    <t>Bcm</t>
  </si>
  <si>
    <t>Sales Volumes</t>
  </si>
  <si>
    <t>Sales Oil</t>
  </si>
  <si>
    <t>Sales Liquified Petroleum Gas</t>
  </si>
  <si>
    <t>Sales Gas</t>
  </si>
  <si>
    <t>IA_sales_oil</t>
  </si>
  <si>
    <t>IA_sales_lpg</t>
  </si>
  <si>
    <t>IA_sales_gas</t>
  </si>
  <si>
    <t>Other Costs</t>
  </si>
  <si>
    <t>Unrecovered Costs Balance</t>
  </si>
  <si>
    <t>IA_unrec_cost_bal_real</t>
  </si>
  <si>
    <t>Actual HP</t>
  </si>
  <si>
    <t>IA_historic_HP</t>
  </si>
  <si>
    <t>HM Zone A Nkossa</t>
  </si>
  <si>
    <t>Gross Sales Volumes</t>
  </si>
  <si>
    <t>Cumulative Gross Sales Volumes</t>
  </si>
  <si>
    <t>CA_gross_sales_oil</t>
  </si>
  <si>
    <t>CA_gross_sales_gas</t>
  </si>
  <si>
    <t>CA_gross_sales_Total</t>
  </si>
  <si>
    <t>CA_cum_gross_sales_oil</t>
  </si>
  <si>
    <t>CA_cum_gross_sales_gas</t>
  </si>
  <si>
    <t>CA_cum_gross_sales_Total</t>
  </si>
  <si>
    <t>Unrecovered Cost Balance</t>
  </si>
  <si>
    <t>CA_unrecov_costs_to_recover</t>
  </si>
  <si>
    <t>Abondonment Costs</t>
  </si>
  <si>
    <t>Capital-Decommissioning</t>
  </si>
  <si>
    <t>CA_decom_to_recover</t>
  </si>
  <si>
    <t>LPG Price</t>
  </si>
  <si>
    <t>IA_lpgprice_nominal</t>
  </si>
  <si>
    <t>$/mcm</t>
  </si>
  <si>
    <t>LPG</t>
  </si>
  <si>
    <t>CA_gross_prod_lpg</t>
  </si>
  <si>
    <t>CA_gross_sales_lpg</t>
  </si>
  <si>
    <t>CA_cum_gross_prod_lpg</t>
  </si>
  <si>
    <t>CA_cum_gross_sales_lpg</t>
  </si>
  <si>
    <t>LPG Price (Nominal)</t>
  </si>
  <si>
    <t>CA_FP_lpg_nom</t>
  </si>
  <si>
    <t>IA_othercosts_real</t>
  </si>
  <si>
    <t>Volumes</t>
  </si>
  <si>
    <t>Mbbl</t>
  </si>
  <si>
    <t>Royalty Oil</t>
  </si>
  <si>
    <t>Royalty Gas</t>
  </si>
  <si>
    <t>FA_royalty_oil</t>
  </si>
  <si>
    <t>FA_royalty_gas</t>
  </si>
  <si>
    <t>HM ZB Nsoko</t>
  </si>
  <si>
    <t>Effective Date Nsoko 1999</t>
  </si>
  <si>
    <t>Effective Date Nsoko II</t>
  </si>
  <si>
    <t>effective_date_Nsoko2019</t>
  </si>
  <si>
    <t>Nsoko 2019</t>
  </si>
  <si>
    <t>PS_govt_rate_nsoko2019</t>
  </si>
  <si>
    <t>PS_cont_rate_nsoko2019</t>
  </si>
  <si>
    <t>ECR_govt_rate_Nsoko2019</t>
  </si>
  <si>
    <t>ECR_cont_rate_Nsoko2019</t>
  </si>
  <si>
    <t>Effective Date KLL II PSC</t>
  </si>
  <si>
    <t>Effective Date PNGF 2008 PSC</t>
  </si>
  <si>
    <t>effective_date_PNGF2010</t>
  </si>
  <si>
    <t>PNGF 2008</t>
  </si>
  <si>
    <t>If FP &gt;= 35 Then 50%*Prod*35</t>
  </si>
  <si>
    <t>R4D Congo Backcasting &amp; Forecasting Model</t>
  </si>
  <si>
    <t>Select PSC</t>
  </si>
  <si>
    <t>PSC Name</t>
  </si>
  <si>
    <t>db_psc_selector</t>
  </si>
  <si>
    <t>Model Results</t>
  </si>
  <si>
    <t>Actual Results</t>
  </si>
  <si>
    <t>Liquified Petroleum Gas</t>
  </si>
  <si>
    <t>$/Mcm</t>
  </si>
  <si>
    <t>PSC index number</t>
  </si>
  <si>
    <t>db_psc_number</t>
  </si>
  <si>
    <t>HP effective</t>
  </si>
  <si>
    <t>CA_HP_effective</t>
  </si>
  <si>
    <t>Total Revenue</t>
  </si>
  <si>
    <t>RA_rev_oil</t>
  </si>
  <si>
    <t>Revenue Gas</t>
  </si>
  <si>
    <t>RA_rev_lpg</t>
  </si>
  <si>
    <t>RA_rev_gas</t>
  </si>
  <si>
    <t>Contractor Share</t>
  </si>
  <si>
    <t>RA_costoil_cont</t>
  </si>
  <si>
    <t>RA_spo_cont</t>
  </si>
  <si>
    <t>RA_profitoiil_cont</t>
  </si>
  <si>
    <t>Government Share</t>
  </si>
  <si>
    <t>RA_spo_gov</t>
  </si>
  <si>
    <t>RA_profitoiil_gov</t>
  </si>
  <si>
    <t>RA_pid_gov</t>
  </si>
  <si>
    <t>Revenue Liquids</t>
  </si>
  <si>
    <t>Operating &amp; Other</t>
  </si>
  <si>
    <t>Development</t>
  </si>
  <si>
    <t>E&amp;A</t>
  </si>
  <si>
    <t>Abandonment</t>
  </si>
  <si>
    <t>Total Costs</t>
  </si>
  <si>
    <t>Royalty Volumes</t>
  </si>
  <si>
    <t>RA_roy_gov</t>
  </si>
  <si>
    <t>SPO Volumes</t>
  </si>
  <si>
    <t>Profit Oil Volumes</t>
  </si>
  <si>
    <t>Govt. Take %</t>
  </si>
  <si>
    <t>Cost Oil Vol.</t>
  </si>
  <si>
    <t>Cost Gas Vol.</t>
  </si>
  <si>
    <t>Profit Oil Vol.</t>
  </si>
  <si>
    <t>Profit Gas Vol.</t>
  </si>
  <si>
    <t>SPO Vol.</t>
  </si>
  <si>
    <t>Cont Cost Oil</t>
  </si>
  <si>
    <t>Cont SPO</t>
  </si>
  <si>
    <t>Cont Profit Oil</t>
  </si>
  <si>
    <t>Total Volumes</t>
  </si>
  <si>
    <t>Check</t>
  </si>
  <si>
    <t>Contractor Cash flow</t>
  </si>
  <si>
    <t>(-)PID</t>
  </si>
  <si>
    <t>(-)Opex &amp; Other</t>
  </si>
  <si>
    <t>(-)Capex</t>
  </si>
  <si>
    <t>(-)Decom</t>
  </si>
  <si>
    <t>Contractor Cash Flow Total</t>
  </si>
  <si>
    <t>Project Cash Flows</t>
  </si>
  <si>
    <t>Government Cash Flow</t>
  </si>
  <si>
    <t>Gov. Cash Flow Total</t>
  </si>
  <si>
    <t>HM Zone D Moho</t>
  </si>
  <si>
    <t>Note: 2013 and 2014 are based on AM3-2005 terms, 2015 onwards use AM4 and AM6 terms</t>
  </si>
  <si>
    <t>Client inputs/ results</t>
  </si>
  <si>
    <t>R4D Calculations/ summations</t>
  </si>
  <si>
    <t xml:space="preserve">Dollar Difference </t>
  </si>
  <si>
    <t>% Difference</t>
  </si>
  <si>
    <t>Highlight cells with +/- difference</t>
  </si>
  <si>
    <t>Conditional Formatting</t>
  </si>
  <si>
    <t>or</t>
  </si>
  <si>
    <t>Apply Conditional Formatting</t>
  </si>
  <si>
    <t>Yes</t>
  </si>
  <si>
    <t>No</t>
  </si>
  <si>
    <t>Sales Volume &lt; Production Volume?</t>
  </si>
  <si>
    <t>Revenue Check</t>
  </si>
  <si>
    <t>Liquids Revenue = Sum(Oil Rev, LPG Rev)</t>
  </si>
  <si>
    <t>Royalty %</t>
  </si>
  <si>
    <t>Royalty $/Total Revenue</t>
  </si>
  <si>
    <t>Is Royalty % consistent with Fiscals?</t>
  </si>
  <si>
    <t>Royalty % applicable based on Fiscals</t>
  </si>
  <si>
    <t>PID %</t>
  </si>
  <si>
    <t>PID % from Actual Results</t>
  </si>
  <si>
    <t>FP&gt;HP?</t>
  </si>
  <si>
    <t>PID % from Fiscals</t>
  </si>
  <si>
    <t>Is PID consistent with Fiscals?</t>
  </si>
  <si>
    <t>Unrecovered Costs Check</t>
  </si>
  <si>
    <t>Unrecovered Costs OB</t>
  </si>
  <si>
    <t>Unrecovered Costs EB</t>
  </si>
  <si>
    <t>Does Unrecovered costs balance reconcile?</t>
  </si>
  <si>
    <t>+ Total Costs incurred</t>
  </si>
  <si>
    <t xml:space="preserve"> - Total Cost recovered </t>
  </si>
  <si>
    <t>Cost Recovery Check</t>
  </si>
  <si>
    <t>Revenue at HP</t>
  </si>
  <si>
    <t>Cost recovery % of Revenue @ FP</t>
  </si>
  <si>
    <t>Cost recovery % of Revenue @ HP</t>
  </si>
  <si>
    <t>Effective Cost stop % based on Fiscals</t>
  </si>
  <si>
    <t>Cost stop %</t>
  </si>
  <si>
    <t>SPO Check</t>
  </si>
  <si>
    <t>Royalty on Rev Difference</t>
  </si>
  <si>
    <t>Revenue Difference FP-HP</t>
  </si>
  <si>
    <t>Gov SPO share % based on Fiscals</t>
  </si>
  <si>
    <t>Check failed</t>
  </si>
  <si>
    <t>Include decom?</t>
  </si>
  <si>
    <t>db_decom_switch</t>
  </si>
  <si>
    <t>decom_toggle</t>
  </si>
  <si>
    <t>Reserve Size (Mmboe)</t>
  </si>
  <si>
    <t>db_total_reserves</t>
  </si>
  <si>
    <t>SP</t>
  </si>
  <si>
    <t>AR</t>
  </si>
  <si>
    <t>MR</t>
  </si>
  <si>
    <t>Charts</t>
  </si>
  <si>
    <t>Data and Fiscal Checks</t>
  </si>
  <si>
    <t>Marine XII</t>
  </si>
  <si>
    <t>Effective Date Marine XII</t>
  </si>
  <si>
    <t>effective_date_Marine</t>
  </si>
  <si>
    <t>Gas Domestic</t>
  </si>
  <si>
    <t>Gas Export</t>
  </si>
  <si>
    <t>royalty_rate_gas_domestic</t>
  </si>
  <si>
    <t>Oil Cost Stop %</t>
  </si>
  <si>
    <t>Gas Cost Stop %</t>
  </si>
  <si>
    <t>FA_cost_stop_perc_oil</t>
  </si>
  <si>
    <t>FA_cost_stop_perc_gas</t>
  </si>
  <si>
    <t>PS Gas Export</t>
  </si>
  <si>
    <t>PS Gas Domestic</t>
  </si>
  <si>
    <t>PS_govt_rate_gas</t>
  </si>
  <si>
    <t>PS_govt_rate_gas_domestic</t>
  </si>
  <si>
    <t>PS_cont_rate_gas</t>
  </si>
  <si>
    <t>PS_cont_rate_gas_domestic</t>
  </si>
  <si>
    <t>High Price (HP) Period 2</t>
  </si>
  <si>
    <t>Period 1: No HP until initial capex recovery</t>
  </si>
  <si>
    <t>Gas Split</t>
  </si>
  <si>
    <t>Export Gas %</t>
  </si>
  <si>
    <t>CA_exportgas_perc</t>
  </si>
  <si>
    <t>Export Sales Gas</t>
  </si>
  <si>
    <t>Domestic Sales Gas</t>
  </si>
  <si>
    <t>CA_export_sales_gas</t>
  </si>
  <si>
    <t>CA_domestic_sales_gas</t>
  </si>
  <si>
    <t>Export Gas Price (Nominal)</t>
  </si>
  <si>
    <t>Domestic Gas Price (Nominal)</t>
  </si>
  <si>
    <t>CA_FP_domestic_gas_nom</t>
  </si>
  <si>
    <t>Oil Price HP (Nominal)</t>
  </si>
  <si>
    <t>Export Gas Revenue (@ FP)</t>
  </si>
  <si>
    <t>Domestic Gas Revenue (@ FP)</t>
  </si>
  <si>
    <t>CA_gross_rev_domestic_gas_fp</t>
  </si>
  <si>
    <t>Share of Domestic Gas in Total Revenue</t>
  </si>
  <si>
    <t>CA_rev_domestic_gas_perc</t>
  </si>
  <si>
    <t>date_offset_Marine</t>
  </si>
  <si>
    <t>PSC Period Trigger</t>
  </si>
  <si>
    <t>CA_PSC_period_trig</t>
  </si>
  <si>
    <t>Domestic Gas Royalty</t>
  </si>
  <si>
    <t>CA_roy_domestic_gas_fp</t>
  </si>
  <si>
    <t>Cost Stop Oil</t>
  </si>
  <si>
    <t>CA_cost_stop_oil</t>
  </si>
  <si>
    <t>Cost Recovery Schedule Oil</t>
  </si>
  <si>
    <t>Cost Stop Limit Oil</t>
  </si>
  <si>
    <t>Cost Stop Limit Gas</t>
  </si>
  <si>
    <t>Cost Stop Gas</t>
  </si>
  <si>
    <t>Cost Recovered Oil</t>
  </si>
  <si>
    <t>Cost Recovery Schedule Gas</t>
  </si>
  <si>
    <t>CA_cost_stop_gas</t>
  </si>
  <si>
    <t>Decom recovered</t>
  </si>
  <si>
    <t>Cumulative Decom to recover</t>
  </si>
  <si>
    <t>Costs Recovered Gas</t>
  </si>
  <si>
    <t>Oil Revenue available for Excess Cost recovery split</t>
  </si>
  <si>
    <t>Gas Revenue available for Excess Cost recovery split</t>
  </si>
  <si>
    <t>CA_excess_cost_recovery_oil</t>
  </si>
  <si>
    <t>CA_excess_cost_recovery_gas</t>
  </si>
  <si>
    <t>CA_cost_recovered_gas</t>
  </si>
  <si>
    <t>CA_cost_recovered_oil</t>
  </si>
  <si>
    <t>Profit Gas Export</t>
  </si>
  <si>
    <t>Profit Gas Domestic</t>
  </si>
  <si>
    <t>Contractor Share of Profit Gas</t>
  </si>
  <si>
    <t>Govt. Share of Profit Gas</t>
  </si>
  <si>
    <t>OA_cont_ATCF_Marine</t>
  </si>
  <si>
    <t>OA_IOC_ATCF_Marine</t>
  </si>
  <si>
    <t>IOC_CF_Marine</t>
  </si>
  <si>
    <t>IOC_NPV_Marine</t>
  </si>
  <si>
    <t>IOC_IRR_Marine</t>
  </si>
  <si>
    <t>IOC_PP_Marine</t>
  </si>
  <si>
    <t>OA_noc_ATCF_Marine</t>
  </si>
  <si>
    <t>NOC_CF_Marine</t>
  </si>
  <si>
    <t>NOC_NPV_Marine</t>
  </si>
  <si>
    <t>OA_gov_CF_Marine</t>
  </si>
  <si>
    <t>gov_roy_Marine</t>
  </si>
  <si>
    <t>gov_pid_Marine</t>
  </si>
  <si>
    <t>gov_ECR_Marine</t>
  </si>
  <si>
    <t>gov_SPO_Marine</t>
  </si>
  <si>
    <t>gov_PO_Marine</t>
  </si>
  <si>
    <t>gov_CF_Marine</t>
  </si>
  <si>
    <t>gov_NPV_Marine</t>
  </si>
  <si>
    <t>gov_take_Marine</t>
  </si>
  <si>
    <t>state_take_Marine</t>
  </si>
  <si>
    <t>gov_EAA_Marine</t>
  </si>
  <si>
    <t>Cont Cost Gas</t>
  </si>
  <si>
    <t>Cont Excess Cost Recovery Oil</t>
  </si>
  <si>
    <t>Cont Excess Cost Recovery Gas</t>
  </si>
  <si>
    <t>Cont Profit Gas</t>
  </si>
  <si>
    <t>Data Changes Audit Trail</t>
  </si>
  <si>
    <t>Change No.</t>
  </si>
  <si>
    <t>Tab Name</t>
  </si>
  <si>
    <t>Cell reference</t>
  </si>
  <si>
    <t>Original Data</t>
  </si>
  <si>
    <t>R4D Change</t>
  </si>
  <si>
    <t>Date of Change</t>
  </si>
  <si>
    <t>Change made by</t>
  </si>
  <si>
    <t>P103</t>
  </si>
  <si>
    <t>AJ</t>
  </si>
  <si>
    <t>Comments</t>
  </si>
  <si>
    <t>The decimal looked like a typo</t>
  </si>
  <si>
    <t>Royalty Volumes / Total Production Volume</t>
  </si>
  <si>
    <t>GCO % (if applicable)</t>
  </si>
  <si>
    <t>Actual Unrecovered Costs EB</t>
  </si>
  <si>
    <t>Volume Check</t>
  </si>
  <si>
    <t>Total Sales Volume</t>
  </si>
  <si>
    <t xml:space="preserve"> - Royalty</t>
  </si>
  <si>
    <t xml:space="preserve"> - Cost Recovery</t>
  </si>
  <si>
    <t xml:space="preserve"> - SPO</t>
  </si>
  <si>
    <t>Highlight Data issues</t>
  </si>
  <si>
    <t>Tolerance ($MM)</t>
  </si>
  <si>
    <t>Tolerance (%)</t>
  </si>
  <si>
    <t>+/-</t>
  </si>
  <si>
    <t>Adjustments to SPO Revenue</t>
  </si>
  <si>
    <t>S95</t>
  </si>
  <si>
    <t>New data input, different from the original data received</t>
  </si>
  <si>
    <t>RA_costgas_cont</t>
  </si>
  <si>
    <t>RA_profitgas_cont</t>
  </si>
  <si>
    <t>ECR</t>
  </si>
  <si>
    <t>RA_ECR_cont</t>
  </si>
  <si>
    <t>RA_ECR_gov</t>
  </si>
  <si>
    <t>InputData</t>
  </si>
  <si>
    <t>S123:127</t>
  </si>
  <si>
    <t>Input Price Data based on Fiscal price document, the prices seem low compared to historic</t>
  </si>
  <si>
    <t>L127:S127</t>
  </si>
  <si>
    <t>N/A</t>
  </si>
  <si>
    <t>2014 and 2015 same price as Nkossa, 2016-2020, based on Fiscal price document using Nkossa price</t>
  </si>
  <si>
    <t>Decline Rate</t>
  </si>
  <si>
    <t>prod_decline_rate</t>
  </si>
  <si>
    <t>marine_upside_toggle</t>
  </si>
  <si>
    <t>Date</t>
  </si>
  <si>
    <t>Price $</t>
  </si>
  <si>
    <t>Price Selected</t>
  </si>
  <si>
    <t>price_selected</t>
  </si>
  <si>
    <t>df_psc_selector</t>
  </si>
  <si>
    <t>df_psc_number</t>
  </si>
  <si>
    <t>df_decom_switch</t>
  </si>
  <si>
    <t>df_total_reserves</t>
  </si>
  <si>
    <t>df_price_selector</t>
  </si>
  <si>
    <t>df_custom_price</t>
  </si>
  <si>
    <t>Select Oil Price (Real)</t>
  </si>
  <si>
    <t>Custom Oil Price (Real)</t>
  </si>
  <si>
    <t>DI - Sum (Cont cash flow , Gov Cash flow)</t>
  </si>
  <si>
    <t>Cost recovery vol as % Total Production</t>
  </si>
  <si>
    <t>Is Cost Recovery % &gt; Cost Stop?</t>
  </si>
  <si>
    <t>Is Cost Recovery % &gt; GCO ?</t>
  </si>
  <si>
    <t>Calculated Gov SPO Share %</t>
  </si>
  <si>
    <t>Total SPO Vol Reported (MMboe)</t>
  </si>
  <si>
    <t>Difference b/w Reported and Fiscal SPO %</t>
  </si>
  <si>
    <t>Q173, R172:S16</t>
  </si>
  <si>
    <t>R4D inputs</t>
  </si>
  <si>
    <t>R4D inputs for Opex based on 2018 actuals, prepared by TM</t>
  </si>
  <si>
    <t>S126</t>
  </si>
  <si>
    <t>Based on analysis from DH and TM</t>
  </si>
  <si>
    <t>R221, R223, S220:224</t>
  </si>
  <si>
    <t>Calculated</t>
  </si>
  <si>
    <t>Balances calculated using previous CB + reported cost incurred - reported cost recovered</t>
  </si>
  <si>
    <t>Effective PS % Gov</t>
  </si>
  <si>
    <t>Difference b/w Calculated and Reported</t>
  </si>
  <si>
    <t>Gov SPO share % Reported</t>
  </si>
  <si>
    <t>Number of forecast years</t>
  </si>
  <si>
    <t>df_forecast_years</t>
  </si>
  <si>
    <t>Liquids Decline Rate</t>
  </si>
  <si>
    <t>df_prod_decline_rate</t>
  </si>
  <si>
    <t>Include future decom?</t>
  </si>
  <si>
    <t>Production Forecast Options</t>
  </si>
  <si>
    <t>Cost Sensitivity</t>
  </si>
  <si>
    <t>Opex Sensitivity</t>
  </si>
  <si>
    <t>Capex Sensitivity</t>
  </si>
  <si>
    <t>df_opex_sens</t>
  </si>
  <si>
    <t>df_capex_sens</t>
  </si>
  <si>
    <t>Discount for LPG Price</t>
  </si>
  <si>
    <t>df_LPG_dscount</t>
  </si>
  <si>
    <t>df_infl_perc</t>
  </si>
  <si>
    <t>df_esc_perc</t>
  </si>
  <si>
    <t>Forecast</t>
  </si>
  <si>
    <t>Actual</t>
  </si>
  <si>
    <t>Totals</t>
  </si>
  <si>
    <t>Total Gov. Cash flows</t>
  </si>
  <si>
    <t>SNPC Cash flows</t>
  </si>
  <si>
    <t xml:space="preserve">Gov Take </t>
  </si>
  <si>
    <t>Contractor Cash flows</t>
  </si>
  <si>
    <t>Gov Cash flows incl. SNPC</t>
  </si>
  <si>
    <t>Run Alternative HP for Period 2</t>
  </si>
  <si>
    <t>alt_HP2_toggle</t>
  </si>
  <si>
    <t>Weighted Avg. Price</t>
  </si>
  <si>
    <t>Prior Cum Prod</t>
  </si>
  <si>
    <t>Prior Cum Sales</t>
  </si>
  <si>
    <t>prior_cum_prod</t>
  </si>
  <si>
    <t>prior_cum_sales</t>
  </si>
  <si>
    <t>Rem. Vol. based on Total Sales</t>
  </si>
  <si>
    <t>Rem. Vol. based on Total Prod.</t>
  </si>
  <si>
    <t>Added 108 Mbbls as Prior Cum Prod and Prior Cum Sales to account for prior production in Moho based on TM's change request</t>
  </si>
  <si>
    <t>G65, G95</t>
  </si>
  <si>
    <t>Gov. Revenues</t>
  </si>
  <si>
    <t>Price Sensitivity</t>
  </si>
  <si>
    <t>Delta</t>
  </si>
  <si>
    <t>Chart 5</t>
  </si>
  <si>
    <t>Prod Sensitivity</t>
  </si>
  <si>
    <t>title_chart5</t>
  </si>
  <si>
    <t>Note: Update Chart for Different Price Case</t>
  </si>
  <si>
    <t>Note: Update Chart for Different Decline Rate</t>
  </si>
  <si>
    <t>(Prod*FP)-(Prod*(60%-(60%*(HP/FP)))</t>
  </si>
  <si>
    <t>Chart 6</t>
  </si>
  <si>
    <t>title_chart6</t>
  </si>
  <si>
    <t>Gov SPO</t>
  </si>
  <si>
    <t>Chart 8</t>
  </si>
  <si>
    <t>title_chart8</t>
  </si>
  <si>
    <t>ECO</t>
  </si>
  <si>
    <t>Gov ECO</t>
  </si>
  <si>
    <t>Chart 9</t>
  </si>
  <si>
    <t>title_chart9</t>
  </si>
  <si>
    <t>Chart 10</t>
  </si>
  <si>
    <t>title_chart10</t>
  </si>
  <si>
    <t>Chart 11</t>
  </si>
  <si>
    <t>Barrel Split</t>
  </si>
  <si>
    <t>Consolidated</t>
  </si>
  <si>
    <t>title_chart11</t>
  </si>
  <si>
    <t>Chart 12</t>
  </si>
  <si>
    <t>title_chart12</t>
  </si>
  <si>
    <t>SPO + PO</t>
  </si>
  <si>
    <t>Chart 13</t>
  </si>
  <si>
    <t>title_chart13</t>
  </si>
  <si>
    <t>Chart 14</t>
  </si>
  <si>
    <t>Entitlment Revenue</t>
  </si>
  <si>
    <t>(-) PID</t>
  </si>
  <si>
    <t>(-) Opex and other</t>
  </si>
  <si>
    <t>Consolidated Operating margin</t>
  </si>
  <si>
    <t>Operating Margin %</t>
  </si>
  <si>
    <t>title_chart14</t>
  </si>
  <si>
    <t>Chart 15</t>
  </si>
  <si>
    <t>SPO Revenue</t>
  </si>
  <si>
    <t xml:space="preserve">  </t>
  </si>
  <si>
    <t>title_chart15</t>
  </si>
  <si>
    <t>Chart 16</t>
  </si>
  <si>
    <t>High Price vs. Fixed Price</t>
  </si>
  <si>
    <t>title_chart16</t>
  </si>
  <si>
    <t>Chart 17</t>
  </si>
  <si>
    <t>Total Government Revenue (Reported and Forecasted)</t>
  </si>
  <si>
    <t>title_chart17</t>
  </si>
  <si>
    <t>Récupération des coûts</t>
  </si>
  <si>
    <t>Part du Contracteur</t>
  </si>
  <si>
    <t>Cash flow du Contracteur</t>
  </si>
  <si>
    <t>Prix fixé</t>
  </si>
  <si>
    <t>Revenus Etat déclarés</t>
  </si>
  <si>
    <t>Projection revenus Etat @ $70/bbl</t>
  </si>
  <si>
    <t>Projection revenus Etat @ $50/bbl</t>
  </si>
  <si>
    <t>Projection revenus Etats @ $90/bbl</t>
  </si>
  <si>
    <t>Reference</t>
  </si>
  <si>
    <t>English</t>
  </si>
  <si>
    <t>French</t>
  </si>
  <si>
    <t>Dashboard Backcasting</t>
  </si>
  <si>
    <t>Dashboard Forecasting</t>
  </si>
  <si>
    <t>Moho Gov. Cash Flows 
 Actual vs. Modeled Results</t>
  </si>
  <si>
    <t>Moho Gov. Cash Flow Breakdown</t>
  </si>
  <si>
    <t>Change in Total Gov. Revenues at Different Prices 
Base Decline Rate: 10%</t>
  </si>
  <si>
    <t>Change in Total Gov. Revenues at Different Decline Rates 
Base Price: $70/bbl</t>
  </si>
  <si>
    <t xml:space="preserve">Total Gov. Revenues by License at Different Prices </t>
  </si>
  <si>
    <t>Gov. Share of SPO at Different Prices 
Base Decline Rate: 10%</t>
  </si>
  <si>
    <t>Gov. Share of ECO at Different Prices 
Base Decline Rate: 10%</t>
  </si>
  <si>
    <t>Reported Gov. Revenues by License</t>
  </si>
  <si>
    <t>Moho Split of a Barrel of Oil
 Reported Volumes</t>
  </si>
  <si>
    <t>Split of a Barrel of Oil
 Reported Volumes for All Licenses</t>
  </si>
  <si>
    <t>Gov. Share Volumes Consolidated 
 Actual vs. Modeled Results</t>
  </si>
  <si>
    <t>Gov. Share of SPO Revenue 
 Reported Results</t>
  </si>
  <si>
    <t>High Prices vs. Fixed Price 
 Reported Results</t>
  </si>
  <si>
    <t>Total Gov. Revenue Consolidated</t>
  </si>
  <si>
    <t>Cont Excess Cost Oil</t>
  </si>
  <si>
    <t>Development Cost Trigger - 20%</t>
  </si>
  <si>
    <t>Min of Gross Revenue Valued at FP or HP</t>
  </si>
  <si>
    <t>(% of gross prod @ min of FP or HP)</t>
  </si>
  <si>
    <t>HM 2005</t>
  </si>
  <si>
    <t>Gross Revenue Valued at $22/bbl</t>
  </si>
  <si>
    <t>Development Cost Trigger - na%</t>
  </si>
  <si>
    <t>Consolidated Project Cash flows</t>
  </si>
  <si>
    <t>Consolidated Government Cash flows</t>
  </si>
  <si>
    <t>Consolidated Contractor Cash flows</t>
  </si>
  <si>
    <t>Modèle d'analyse comparative et de Forecasting R4D</t>
  </si>
  <si>
    <t>Légende</t>
  </si>
  <si>
    <t>Entrées client/résultats</t>
  </si>
  <si>
    <t>Non vérifié</t>
  </si>
  <si>
    <t>Sélections</t>
  </si>
  <si>
    <t>Sélectionner le CPP</t>
  </si>
  <si>
    <t>Nom du CPP</t>
  </si>
  <si>
    <t>Numéro d'index du CPP</t>
  </si>
  <si>
    <t>Taille de la réserve (Mmboe)</t>
  </si>
  <si>
    <t>Résultats réels</t>
  </si>
  <si>
    <t>Flux de trésorerie du projet</t>
  </si>
  <si>
    <t>Volumes de production</t>
  </si>
  <si>
    <t>Pétrole</t>
  </si>
  <si>
    <t>Gaz de pétrole liquéfié</t>
  </si>
  <si>
    <t>Gaz</t>
  </si>
  <si>
    <t>Volumes de vente</t>
  </si>
  <si>
    <t>Prix</t>
  </si>
  <si>
    <t>Prix moyenne pondérée</t>
  </si>
  <si>
    <t>PH</t>
  </si>
  <si>
    <t>Revenus</t>
  </si>
  <si>
    <t>Revenus gaz</t>
  </si>
  <si>
    <t>Total revenus</t>
  </si>
  <si>
    <t>Coûts</t>
  </si>
  <si>
    <t>Exploitation et autres</t>
  </si>
  <si>
    <t>Développement</t>
  </si>
  <si>
    <t>Abandon</t>
  </si>
  <si>
    <t>Total des coûts</t>
  </si>
  <si>
    <t>Revenu divisible</t>
  </si>
  <si>
    <t>Volumes de redevances</t>
  </si>
  <si>
    <t>Volumes SPO</t>
  </si>
  <si>
    <t>Volumes Profit Oil</t>
  </si>
  <si>
    <t>Volumes totaux</t>
  </si>
  <si>
    <t>Redevances</t>
  </si>
  <si>
    <t>Vol. Cost Oil</t>
  </si>
  <si>
    <t>Vol. SPO</t>
  </si>
  <si>
    <t>Vol. Profit Oil</t>
  </si>
  <si>
    <t>Flux de trésorerie Contracteur</t>
  </si>
  <si>
    <t>Revenus des droits</t>
  </si>
  <si>
    <t>(-)Opex et autres</t>
  </si>
  <si>
    <t>(-)Abandon</t>
  </si>
  <si>
    <t>Total flux de trésorerie du contracteur</t>
  </si>
  <si>
    <t>Vérification des données et de la fiscalité</t>
  </si>
  <si>
    <t>Mise en évidence des problèmes de données</t>
  </si>
  <si>
    <t>Tolérance (MM$)</t>
  </si>
  <si>
    <t>Tolérance (%)</t>
  </si>
  <si>
    <t>Volume des ventes &lt; Volume de production ?</t>
  </si>
  <si>
    <t>GPL</t>
  </si>
  <si>
    <t>PF&gt;PH ?</t>
  </si>
  <si>
    <t>Vérification des revenus</t>
  </si>
  <si>
    <t>Vérification des volumes</t>
  </si>
  <si>
    <t>Volume total des ventes</t>
  </si>
  <si>
    <t xml:space="preserve"> - Redevance</t>
  </si>
  <si>
    <t xml:space="preserve"> - Récupération des coûts</t>
  </si>
  <si>
    <t>Redevance (%)</t>
  </si>
  <si>
    <t>Volumes de redevance/Volume total de production</t>
  </si>
  <si>
    <t>% PID</t>
  </si>
  <si>
    <t>Vérification des coûts non récupérés</t>
  </si>
  <si>
    <t xml:space="preserve"> +Total Coûts engagés</t>
  </si>
  <si>
    <t xml:space="preserve"> - Total Coûts récupérés </t>
  </si>
  <si>
    <t>Vérification de la récupération des coûts</t>
  </si>
  <si>
    <t>Revenus au PH</t>
  </si>
  <si>
    <t>Vol. la la récupération des coûts en % de la production totale</t>
  </si>
  <si>
    <t>Le % de récupération des coûts est-il &gt; Cost Stop ?</t>
  </si>
  <si>
    <t>Vérification du SPO</t>
  </si>
  <si>
    <t>Différence de revenus PF-PH</t>
  </si>
  <si>
    <t>Redevance sur la différence de rev.</t>
  </si>
  <si>
    <t>Ajustements aux revenus du SPO</t>
  </si>
  <si>
    <t>Graphiques</t>
  </si>
  <si>
    <t>Mise en forme conditionnelle</t>
  </si>
  <si>
    <t>Appliquer la mise en forme conditionnelle</t>
  </si>
  <si>
    <t>Mettre en évidence les cellules avec une différence +/-</t>
  </si>
  <si>
    <t>Résultats du modèle</t>
  </si>
  <si>
    <t xml:space="preserve">Différence en dollars </t>
  </si>
  <si>
    <t>Différence en %</t>
  </si>
  <si>
    <t>Entrées</t>
  </si>
  <si>
    <t>Nombre d'années de prévision</t>
  </si>
  <si>
    <t>Prix du pétrole sélectionné (réel)</t>
  </si>
  <si>
    <t>Prix du pétrole personnalisé (réel)</t>
  </si>
  <si>
    <t>Actualisation pour le prix du GPL</t>
  </si>
  <si>
    <t>Options de prévision de la production</t>
  </si>
  <si>
    <t>Taux de déclin du pétrole liquide</t>
  </si>
  <si>
    <t>Sensibilité aux coûts</t>
  </si>
  <si>
    <t>Sensibilité Opex</t>
  </si>
  <si>
    <t>Sensibilité Capex</t>
  </si>
  <si>
    <t>Hypothèses macroéconomiques</t>
  </si>
  <si>
    <t>Taux d'indexation des coûts</t>
  </si>
  <si>
    <t>Flux de trésorerie de la SNPC</t>
  </si>
  <si>
    <t>Prévisions</t>
  </si>
  <si>
    <t>Réels</t>
  </si>
  <si>
    <t>Note : Mettre à jour le graphique pour différents taux de déclin</t>
  </si>
  <si>
    <t>Note : Mettre à jour le graphique pour différents scénarios de prix</t>
  </si>
  <si>
    <t>Cellule d'entrée</t>
  </si>
  <si>
    <t>Cellule de calcul</t>
  </si>
  <si>
    <t>Cellule de somme</t>
  </si>
  <si>
    <t>Hypothèses générales</t>
  </si>
  <si>
    <t>Année en cours</t>
  </si>
  <si>
    <t>Année de début du modèle</t>
  </si>
  <si>
    <t>Année de base de l'indice d'inflation</t>
  </si>
  <si>
    <t>Année de base de l'indexation des coûts</t>
  </si>
  <si>
    <t>Dernière année du modèle</t>
  </si>
  <si>
    <t>Hypothèses de valorisation</t>
  </si>
  <si>
    <t>Taux d'actualisation (nominal)</t>
  </si>
  <si>
    <t>Indice d'inflation</t>
  </si>
  <si>
    <t>Indice d'indexation des coûts</t>
  </si>
  <si>
    <t>Taux de conversion</t>
  </si>
  <si>
    <t>1 baril de pétrole</t>
  </si>
  <si>
    <t>1 tonne de pétrole</t>
  </si>
  <si>
    <t>1 mètre cube</t>
  </si>
  <si>
    <t>1 tonne de GNL</t>
  </si>
  <si>
    <t>Hypothèses de champ</t>
  </si>
  <si>
    <t>Champs</t>
  </si>
  <si>
    <t>Production de pétrole</t>
  </si>
  <si>
    <t>Taux de déclin</t>
  </si>
  <si>
    <t>Production de gaz de pétrole liquéfié</t>
  </si>
  <si>
    <t>Production de gaz</t>
  </si>
  <si>
    <t>Ventes de gaz de pétrole liquéfié</t>
  </si>
  <si>
    <t>Ventes gazières</t>
  </si>
  <si>
    <t>Prix du pétrole</t>
  </si>
  <si>
    <t>Prix du pétrole sélectionné (nominal)</t>
  </si>
  <si>
    <t>Prix sélectionné</t>
  </si>
  <si>
    <t>Prix du gaz</t>
  </si>
  <si>
    <t>Prix du gaz sélectionné (nominal)</t>
  </si>
  <si>
    <t>Prix du GPL</t>
  </si>
  <si>
    <t>PH réel</t>
  </si>
  <si>
    <t>Coûts d'exploitation</t>
  </si>
  <si>
    <t>Total Opex fixes</t>
  </si>
  <si>
    <t>Autres coûts</t>
  </si>
  <si>
    <t>Coûts d'investissement</t>
  </si>
  <si>
    <t>Récupérables ?</t>
  </si>
  <si>
    <t>Coûts d'abandon</t>
  </si>
  <si>
    <t>Solde des coûts non récupérés</t>
  </si>
  <si>
    <t>Données du tableau</t>
  </si>
  <si>
    <t>Titres des graphiques</t>
  </si>
  <si>
    <t>Volumes déclarés partage d'un baril de pétrole pour Moho</t>
  </si>
  <si>
    <t>Volumes déclarés partage d'un baril de pétrole pour Moho pour tous les permis</t>
  </si>
  <si>
    <t xml:space="preserve">Prix Haut vs. Prix Fixé Résultats déclarés </t>
  </si>
  <si>
    <t>Modalités fiscales</t>
  </si>
  <si>
    <t>Date d'entrée en vigueur CPP HM 1994</t>
  </si>
  <si>
    <t>Frais</t>
  </si>
  <si>
    <t>Coûts PID</t>
  </si>
  <si>
    <t>Redevance</t>
  </si>
  <si>
    <t>(% de la production brute @PF)</t>
  </si>
  <si>
    <t>(applicable si PF&gt;PH)</t>
  </si>
  <si>
    <t>Prix Haut (PH)</t>
  </si>
  <si>
    <t>Participation de l'État</t>
  </si>
  <si>
    <t>Remboursement du portage</t>
  </si>
  <si>
    <t>Calculs</t>
  </si>
  <si>
    <t>Production et volumes</t>
  </si>
  <si>
    <t>Volumes Production brute</t>
  </si>
  <si>
    <t>Volumes de production brute cumulés</t>
  </si>
  <si>
    <t>Volumes de ventes brutes</t>
  </si>
  <si>
    <t>Volumes de ventes brutes cumulées</t>
  </si>
  <si>
    <t>Prix du pétrole (nominal)</t>
  </si>
  <si>
    <t>Prix du GPL (Nominal)</t>
  </si>
  <si>
    <t>Prix du gaz (Nominal)</t>
  </si>
  <si>
    <t>Prix du pétrole PH1 (nominal)</t>
  </si>
  <si>
    <t>Prix du pétrole PH2 (Nominal)</t>
  </si>
  <si>
    <t>Indice d'inflation pour PH1</t>
  </si>
  <si>
    <t>Indice d'inflation pour PH2</t>
  </si>
  <si>
    <t>PH effectif</t>
  </si>
  <si>
    <t>Revenus bruts</t>
  </si>
  <si>
    <t>Revenus pétroliers (@ PF)</t>
  </si>
  <si>
    <t>Revenus gaziers (@ PF)</t>
  </si>
  <si>
    <t>Revenu brut total (@ PF)</t>
  </si>
  <si>
    <t>Revenus pétroliers (@ PH1)</t>
  </si>
  <si>
    <t>Revenus pétroliers (@ PH2)</t>
  </si>
  <si>
    <t>Différence de revenus pétroliers (PF-PH1)</t>
  </si>
  <si>
    <t>Différence de revenus pétroliers (PF-PH2)</t>
  </si>
  <si>
    <t>Part du produit dans les revenus</t>
  </si>
  <si>
    <t>Part du pétrole dans le revenu total</t>
  </si>
  <si>
    <t>Part du gaz dans le revenu total</t>
  </si>
  <si>
    <t>Coûts variables</t>
  </si>
  <si>
    <t>Opex variables (nominal)</t>
  </si>
  <si>
    <t>Coûts fixes</t>
  </si>
  <si>
    <t>Opex fixes (nominal)</t>
  </si>
  <si>
    <t>Coûts de développement</t>
  </si>
  <si>
    <t>Coûts d'exploration et d'évaluation</t>
  </si>
  <si>
    <t>Abandon (nominal)</t>
  </si>
  <si>
    <t>Calculs fiscaux</t>
  </si>
  <si>
    <t>Redevance pétrolière</t>
  </si>
  <si>
    <t>Redevance gazière</t>
  </si>
  <si>
    <t>Redevance totale</t>
  </si>
  <si>
    <t>Ensemble des coûts récupérables</t>
  </si>
  <si>
    <t>Total des coûts récupérables</t>
  </si>
  <si>
    <t>Cost Oil garanti</t>
  </si>
  <si>
    <t>% Cost stop</t>
  </si>
  <si>
    <t>Calendrier de récupération des coûts</t>
  </si>
  <si>
    <t>Revenus disponibles pour la récupération</t>
  </si>
  <si>
    <t xml:space="preserve">Sous/(Sur)récupération </t>
  </si>
  <si>
    <t>PID cumulée à récupérer</t>
  </si>
  <si>
    <t>PID récupérée</t>
  </si>
  <si>
    <t>Coût total récupéré</t>
  </si>
  <si>
    <t>Déclencheur SPO</t>
  </si>
  <si>
    <t>Revenu brut - SPO</t>
  </si>
  <si>
    <t>Redevance pétrolière - SPO</t>
  </si>
  <si>
    <t>Coûts réels récupérés</t>
  </si>
  <si>
    <t>Revenus disponibles pour le SPO</t>
  </si>
  <si>
    <t>Part du Contracteur dans le SPO</t>
  </si>
  <si>
    <t>Calculs des droits</t>
  </si>
  <si>
    <t>Revenus des droits  - Pétrole</t>
  </si>
  <si>
    <t>Revenus des droits - Gaz</t>
  </si>
  <si>
    <t>Volumes de droits</t>
  </si>
  <si>
    <t>Participation</t>
  </si>
  <si>
    <t>NOC /State Participation</t>
  </si>
  <si>
    <t>Total Remboursement du portage</t>
  </si>
  <si>
    <t>Flux de trésorerie</t>
  </si>
  <si>
    <t>Calculs de la période d'actualisation</t>
  </si>
  <si>
    <t>Période d'actualisation</t>
  </si>
  <si>
    <t>Cycle complet</t>
  </si>
  <si>
    <t>Terme</t>
  </si>
  <si>
    <t>Facteur d'actualisation</t>
  </si>
  <si>
    <t>Revenus pétroliers</t>
  </si>
  <si>
    <t>Revenus gaziers</t>
  </si>
  <si>
    <t>Total revenus bruts</t>
  </si>
  <si>
    <t>Opex fixes</t>
  </si>
  <si>
    <t>Opex variables</t>
  </si>
  <si>
    <t>Dépenses d'investissement</t>
  </si>
  <si>
    <t>Exploration et évaluation</t>
  </si>
  <si>
    <t>Revenus de droits pétroliers</t>
  </si>
  <si>
    <t>Revenus de droits gaziers</t>
  </si>
  <si>
    <t>Capex hors abandon</t>
  </si>
  <si>
    <t>Impôt sur le revenu</t>
  </si>
  <si>
    <t>Impôts supplémentaires</t>
  </si>
  <si>
    <t>Flux de trésorerie après impôts</t>
  </si>
  <si>
    <t>VAN cycle complet</t>
  </si>
  <si>
    <t>VAN à terme</t>
  </si>
  <si>
    <t>TRI cycle complet</t>
  </si>
  <si>
    <t>TRI à terme</t>
  </si>
  <si>
    <t>Période de remboursement</t>
  </si>
  <si>
    <t>Impôt supplémentaire</t>
  </si>
  <si>
    <t>Coûts de financement</t>
  </si>
  <si>
    <t>Part nominale de l'État (%)</t>
  </si>
  <si>
    <t>Annuité annuelle effective</t>
  </si>
  <si>
    <t>Date d'entrée en vigueur Nsoko 1999</t>
  </si>
  <si>
    <t>Date d'entrée en vigueur Nsoko II</t>
  </si>
  <si>
    <t>Réserves totales MMboe</t>
  </si>
  <si>
    <t>% seuil de coût de dev.</t>
  </si>
  <si>
    <t>Déclencheur des coûts de développement - 20 %</t>
  </si>
  <si>
    <t>Date d'entrée en vigueur CPP</t>
  </si>
  <si>
    <t xml:space="preserve">Année de base d'inflation pour le Cost Stop </t>
  </si>
  <si>
    <t>facteur b</t>
  </si>
  <si>
    <t>Condition spéciale</t>
  </si>
  <si>
    <t>Période 1 = jusqu'à la récupération des capex</t>
  </si>
  <si>
    <t>Prix du pétrole (nominal) Période 1</t>
  </si>
  <si>
    <t>Prix du pétrole (nominal) Période 2</t>
  </si>
  <si>
    <t>Prix du pétrole (nominal) pour le Cost Stop</t>
  </si>
  <si>
    <t>Indice d'inflation pour le PH</t>
  </si>
  <si>
    <t>Indice d'inflation pour le PH pour le Cost Stop</t>
  </si>
  <si>
    <t>Revenus pétroliers (@ PH période 1)</t>
  </si>
  <si>
    <t>Revenus pétroliers (@ PH Période 2)</t>
  </si>
  <si>
    <t>Période Déclencheur pour le PH</t>
  </si>
  <si>
    <t>Limite Cost stop</t>
  </si>
  <si>
    <t>Revenus bruts évalués au PH</t>
  </si>
  <si>
    <t>Revenus bruts évalués au PF</t>
  </si>
  <si>
    <t>Facteur a</t>
  </si>
  <si>
    <t>Revenus SPO - Tranche 1</t>
  </si>
  <si>
    <t>Revenus SPO - Tranche 2</t>
  </si>
  <si>
    <t>Revenus SPO - Tranche 3</t>
  </si>
  <si>
    <t>Date d'entrée en vigueur CPP KLL II</t>
  </si>
  <si>
    <t>Date d'entrée en vigueur CPP PNGF 2008</t>
  </si>
  <si>
    <t>Min du revenu brut évalué au PF ou PH</t>
  </si>
  <si>
    <t>Cost Oil réel - Cost stop</t>
  </si>
  <si>
    <t>Date d'entrée en vigueur Marine XII</t>
  </si>
  <si>
    <t>Exportation de gaz</t>
  </si>
  <si>
    <t>Gaz domestique</t>
  </si>
  <si>
    <t>Prix Haut (PH) Période 2</t>
  </si>
  <si>
    <t>Gaz Split</t>
  </si>
  <si>
    <t>% Gaz exporté</t>
  </si>
  <si>
    <t>Ventes de gaz à l'exportation</t>
  </si>
  <si>
    <t>Gaz vendu sur le marché intérieur</t>
  </si>
  <si>
    <t>Prix du gaz exporté (nominal)</t>
  </si>
  <si>
    <t>Prix du gaz domestique (nominal)</t>
  </si>
  <si>
    <t>PH du prix du pétrole (nominal)</t>
  </si>
  <si>
    <t>Revenus du gaz exporté (@ PF)</t>
  </si>
  <si>
    <t>Revenus du gaz domestique (@ PF)</t>
  </si>
  <si>
    <t>Revenu pétrolier (@ PH)</t>
  </si>
  <si>
    <t>Part du gaz domestique dans le revenu total</t>
  </si>
  <si>
    <t>Déclencheur de la période CPP</t>
  </si>
  <si>
    <t>Redevance sur le gaz domestique</t>
  </si>
  <si>
    <t>Calendrier de récupération des coûts pétroliers</t>
  </si>
  <si>
    <t>Coûts d'abandon récupérés</t>
  </si>
  <si>
    <t>Calendrier de récupération des coûts gaziers</t>
  </si>
  <si>
    <t>(% de la prod. brute @ PH)</t>
  </si>
  <si>
    <t>Revenu brut évalué à 22 $/bbl</t>
  </si>
  <si>
    <t>Déclenchement des coûts de développement - na %</t>
  </si>
  <si>
    <t>Selections</t>
  </si>
  <si>
    <t>Consolidated Forecast</t>
  </si>
  <si>
    <t>Model Language</t>
  </si>
  <si>
    <t>db_ML_selected</t>
  </si>
  <si>
    <t>$/boe</t>
  </si>
  <si>
    <t>ECO Vol.</t>
  </si>
  <si>
    <t>Vol. ECO</t>
  </si>
  <si>
    <t xml:space="preserve"> - ECO</t>
  </si>
  <si>
    <t>sélectionnés</t>
  </si>
  <si>
    <t>Selected LPG price (nominal)</t>
  </si>
  <si>
    <t>Prix du GPL sélectionné (nominal)</t>
  </si>
  <si>
    <t>Prix du marché (PF)</t>
  </si>
  <si>
    <t>Abandon cumulées à récupérer</t>
  </si>
  <si>
    <t>Abandon récupérées</t>
  </si>
  <si>
    <t>ECO Govt.</t>
  </si>
  <si>
    <t>ECO Cont.</t>
  </si>
  <si>
    <t>Period 1 = Until recovery of development capex</t>
  </si>
  <si>
    <t>Prévisions consolidés</t>
  </si>
  <si>
    <t>Flux de trésorerie du projet consolidés</t>
  </si>
  <si>
    <t>Flux de trésorerie de l'État consolidés</t>
  </si>
  <si>
    <t>Flux de trésorerie Contracteur consolidés</t>
  </si>
  <si>
    <t>Consolidated Gov. Revenues</t>
  </si>
  <si>
    <t>Revenus de l'État consolidés</t>
  </si>
  <si>
    <t>Total Gov Revenues Moho at Different Prices</t>
  </si>
  <si>
    <t xml:space="preserve">Revenus totaux de l'État Moho à différents prix </t>
  </si>
  <si>
    <t>Chart 7</t>
  </si>
  <si>
    <t>title_chart7</t>
  </si>
  <si>
    <t>Info</t>
  </si>
  <si>
    <t>Model Name:</t>
  </si>
  <si>
    <t>Model Version:</t>
  </si>
  <si>
    <t>Last update:</t>
  </si>
  <si>
    <t>Thomas Mitro</t>
  </si>
  <si>
    <t>Contact:</t>
  </si>
  <si>
    <t>don.hubert@res4dev.com</t>
  </si>
  <si>
    <t>Accompanying Report:</t>
  </si>
  <si>
    <t>Disclaimer:</t>
  </si>
  <si>
    <t>Project Director:</t>
  </si>
  <si>
    <t xml:space="preserve">Don Hubert </t>
  </si>
  <si>
    <t>Technical Director:</t>
  </si>
  <si>
    <t>Comprendre les revenus et les ventes pétrolières de l’État en République du Congo grâce à la modélisation financière</t>
  </si>
  <si>
    <r>
      <t xml:space="preserve">Resources for Development Consulting (R4D) </t>
    </r>
    <r>
      <rPr>
        <sz val="14"/>
        <rFont val="Calibri"/>
        <family val="2"/>
        <scheme val="minor"/>
      </rPr>
      <t>has prepared this model under a contract with the Extractive Industries Transparency Initiative (EITI). It is based on our experience, knowledge, and research, and sources which were available at the time of drafting. While the product was prepared with all due care and diligence, R4D cannot represent or warrant that the report is complete or accurate in all respects. R4D does not accept any liability for the accuracy of third-party sources, or for any use or reliance on this product by persons other than the original client for which this product was prepared.</t>
    </r>
  </si>
  <si>
    <t>Excess Cost Oil Volumes</t>
  </si>
  <si>
    <t>Profit Share</t>
  </si>
  <si>
    <t xml:space="preserve"> - Profit Oil</t>
  </si>
  <si>
    <t>Profit share Check</t>
  </si>
  <si>
    <t>Reported PO Vol. (Gov + Cont) MMboe</t>
  </si>
  <si>
    <t>PO Volumes Calculated (MMboe)</t>
  </si>
  <si>
    <t>Gov Profit Share based on Fiscals</t>
  </si>
  <si>
    <t xml:space="preserve">Gov Profit Share based on Reported </t>
  </si>
  <si>
    <t>Difference b/w Reported and Fiscal PO%</t>
  </si>
  <si>
    <t>Include  Marine XII PIII Capex</t>
  </si>
  <si>
    <t>Excess Cost Oil (ECO)</t>
  </si>
  <si>
    <t>Revenue available for Excess Cost Oil Split</t>
  </si>
  <si>
    <t>Contractor Share of Excess Cost Oil</t>
  </si>
  <si>
    <t>Govt. Share of Excess Cost Oil</t>
  </si>
  <si>
    <t>Oil Revenue for Profit Share</t>
  </si>
  <si>
    <t>Profit Share %</t>
  </si>
  <si>
    <t>Gas Revenue for Profit Share</t>
  </si>
  <si>
    <t>Working Interest</t>
  </si>
  <si>
    <t>Contractor Excess Cost Oil %</t>
  </si>
  <si>
    <t>Cumulative Costs to be recovered</t>
  </si>
  <si>
    <t>PO Gas Export</t>
  </si>
  <si>
    <t>PO Gas Domestic</t>
  </si>
  <si>
    <t>Effective PO % Gov</t>
  </si>
  <si>
    <t>Cont Excess Cost Gas</t>
  </si>
  <si>
    <t>Calculs R4D/totaux</t>
  </si>
  <si>
    <t>Inclure Abandon ?</t>
  </si>
  <si>
    <t>Revenus hydrocarbures liquides</t>
  </si>
  <si>
    <t>Part du Gouv.</t>
  </si>
  <si>
    <t>Volume Excess Cost Oil</t>
  </si>
  <si>
    <t>Flux de trésorerie du Gouv.</t>
  </si>
  <si>
    <t>Partage du profit</t>
  </si>
  <si>
    <t>Total flux de trésorerie du Gouv.</t>
  </si>
  <si>
    <t>Part du Gouv. (%)</t>
  </si>
  <si>
    <t>Revenus divisibles - Somme (flux de trésorerie du contracteur et du Gouv.)</t>
  </si>
  <si>
    <t>Vol. Cost Gaz</t>
  </si>
  <si>
    <t>Vol. Profit Gaz</t>
  </si>
  <si>
    <t>Revenus hydrocarbures liquides = Somme (Rev. pétrole, Rev. GPL)</t>
  </si>
  <si>
    <t>Vol. Restant. basé sur les ventes totales</t>
  </si>
  <si>
    <t>Vol. Restant basé sur la production totale</t>
  </si>
  <si>
    <t>Redevance $/Revenus totaux</t>
  </si>
  <si>
    <t>% de redevance applicable basé sur les termes fiscaux</t>
  </si>
  <si>
    <t>Le pourcentage de redevance est-il cohérent avec les termes fiscaux ?</t>
  </si>
  <si>
    <t>% PID à paritr des résultats réels</t>
  </si>
  <si>
    <t>% PID à partir des termes fiscaux</t>
  </si>
  <si>
    <t>La PID est-elles conforme aux termes fiscaux ?</t>
  </si>
  <si>
    <t>Coûts non récupérés réels Solde clôture</t>
  </si>
  <si>
    <t>Coûts non récupérés Solde d'ouverture</t>
  </si>
  <si>
    <t>Coûts non récupérés Solde clôture</t>
  </si>
  <si>
    <t xml:space="preserve">Y-a-t-il réconciliation avec le solde des coûts non récupérés? </t>
  </si>
  <si>
    <t>% de récupération des coûts dans les revenus @ PF</t>
  </si>
  <si>
    <t>% de récupération des coûts dans les revenus @ PH</t>
  </si>
  <si>
    <t>Cost oil garanti % (si applicable)</t>
  </si>
  <si>
    <t>% du Cost stop effectif basé sur les termes fiscaux</t>
  </si>
  <si>
    <t>Le % de récupération des coûts est-il &gt; Cost oil garanti ?</t>
  </si>
  <si>
    <t>% calculé de la part du Gouv. dans le SPO</t>
  </si>
  <si>
    <t>Volume total du SPO déclaré (MMboe)</t>
  </si>
  <si>
    <t>Part du Gouv. dans le SPO en % selon les termes fiscaux</t>
  </si>
  <si>
    <t xml:space="preserve">Part du Gouv. déclarée dans le SPO en % </t>
  </si>
  <si>
    <t>Différence entre le % SPO déclaré et le % SPO selon les termes fiscaux</t>
  </si>
  <si>
    <t>Vérification du Partage du profit</t>
  </si>
  <si>
    <t>Volumes PO déclaré (Gouv + Cont.) en Mmboe</t>
  </si>
  <si>
    <t>Volumes PO calculé (MMboe)</t>
  </si>
  <si>
    <t>Différence entre calculés et déclarés</t>
  </si>
  <si>
    <t>Part du Profit du Gouv. selon les données fiscales</t>
  </si>
  <si>
    <t xml:space="preserve">Part du Profit du Gouv. selon les chiffres déclarés </t>
  </si>
  <si>
    <t>Différence entre le PO déclaré et le PO calculé (%)</t>
  </si>
  <si>
    <t>Inclure coûts futurs d'abandon ?</t>
  </si>
  <si>
    <t>Taux d'inflation USA</t>
  </si>
  <si>
    <t>Flux de trésorerie du Gouv. incl. la SNPC</t>
  </si>
  <si>
    <t>Revenus du Gouv.</t>
  </si>
  <si>
    <t>Bouton de bascule/Interrupteur</t>
  </si>
  <si>
    <t>Champ sélectionné</t>
  </si>
  <si>
    <t>Ventes pétrolières</t>
  </si>
  <si>
    <t>Coûts Exploration et Evaluation</t>
  </si>
  <si>
    <t>Total Capex Développement</t>
  </si>
  <si>
    <t>Inclure Capex de Marine XII PIII</t>
  </si>
  <si>
    <t>Flux de trésorerie du Gouv. pour Moho 
Résultats réels v. modélisés</t>
  </si>
  <si>
    <t>Ventilation des flux de trésorerie du Gouv. pour Moho</t>
  </si>
  <si>
    <t>Variation des revenus totaux du Gouv. à différents prix 
Taux de déclin de base : 10 %</t>
  </si>
  <si>
    <t>Variation des revenus totaux du Gouv. à différents taux de déclin 
Prix de base : 70 $/bbl</t>
  </si>
  <si>
    <t xml:space="preserve">Revenus totaux du Gouv. par permis à différents prix </t>
  </si>
  <si>
    <t>Part du Gouv. dans le SPO à différents prix 
Taux de déclin de base : 10 %</t>
  </si>
  <si>
    <t>Part du Gouv. dans l'ECO à différents prix 
Taux de déclin de base : 10 %</t>
  </si>
  <si>
    <t>Revenus déclarés du Gouvernemnt par permis</t>
  </si>
  <si>
    <t>Part du Gouv. Volumes consolidés réels v. résultats modélisés</t>
  </si>
  <si>
    <t>Marge d'exploitation Contracteur v. flux de trésorerie  Résultats reportés consolidés</t>
  </si>
  <si>
    <t>Part du Gouv. dans les revenus du SPO Résultats déclarés</t>
  </si>
  <si>
    <t>Total des revenus du Gouv. consolidés</t>
  </si>
  <si>
    <t>Date d'entrée en vigueur AM 5 au CPP 2017</t>
  </si>
  <si>
    <t>Décalage date</t>
  </si>
  <si>
    <t>coût_stop_p2</t>
  </si>
  <si>
    <t>Cost Oil garanti (COG)</t>
  </si>
  <si>
    <t>Intérêts sur les coûts reportés</t>
  </si>
  <si>
    <t>Base SPO (2017)</t>
  </si>
  <si>
    <t>Prix fiscal spécifique</t>
  </si>
  <si>
    <t>Détails propriété</t>
  </si>
  <si>
    <t>Participation de la compagnie nationale (SNPC)</t>
  </si>
  <si>
    <t>Consortium compagnie pétrolières internationales</t>
  </si>
  <si>
    <t>La compagnie nationale fait-elle partie du groupe contracteur ?</t>
  </si>
  <si>
    <t>Intérêt porté</t>
  </si>
  <si>
    <t>Intérêt porté compagnie nationale - Exploration et évaluation</t>
  </si>
  <si>
    <t>Intérêt porté compagnie nationale  - Coûts développement</t>
  </si>
  <si>
    <t>Intérêt porté compagnie nationale - Opex</t>
  </si>
  <si>
    <t>(% des droits de l'État disponible pour le remboursement)</t>
  </si>
  <si>
    <t>Coûts Eploration récupérables (Nominal)</t>
  </si>
  <si>
    <t>Capex développement (nominal)</t>
  </si>
  <si>
    <t>Déclencheur exploitation</t>
  </si>
  <si>
    <t>Déclencheur changement CPP</t>
  </si>
  <si>
    <t>Investissement-Développement</t>
  </si>
  <si>
    <t>Investissement -Dépenses d'exploration</t>
  </si>
  <si>
    <t>Opex cumulés à récupérer</t>
  </si>
  <si>
    <t>Opex récupérés</t>
  </si>
  <si>
    <t>Capex cumulés à récupérer</t>
  </si>
  <si>
    <t>Capex récupérés</t>
  </si>
  <si>
    <t>Coûts exploration cumulés à récupérer</t>
  </si>
  <si>
    <t>Coûts exploration récupérés</t>
  </si>
  <si>
    <t>Investissement-Abandon</t>
  </si>
  <si>
    <t>Revenus disponibles pour le partage de l'Excess Cost oil</t>
  </si>
  <si>
    <t>Part du Contracteur dans l'Excess Cost oil</t>
  </si>
  <si>
    <t>Part du Gouv. dans l'Excess Cost oil</t>
  </si>
  <si>
    <t>Part du Gouv. dans le SPO</t>
  </si>
  <si>
    <t>Revenus pétroliers pour le Partage du Profit</t>
  </si>
  <si>
    <t>Partage du profit %</t>
  </si>
  <si>
    <t>Part du Contracteur dans le Profit Oil</t>
  </si>
  <si>
    <t>Part du Gouv. dans le Profit Oil</t>
  </si>
  <si>
    <t>Profit Gaz</t>
  </si>
  <si>
    <t>Revenus gaziers pour le Partage du Profit</t>
  </si>
  <si>
    <t>Total Part du Profit Contracteur</t>
  </si>
  <si>
    <t>Total Part du Profit Gouv.</t>
  </si>
  <si>
    <t>Cost Gaz</t>
  </si>
  <si>
    <t>Excess Cost Gaz</t>
  </si>
  <si>
    <t>Participation compagnie nationale/État</t>
  </si>
  <si>
    <t>Revenus des droits selon participation -pétrole</t>
  </si>
  <si>
    <t>Revenus des droits selon participation -gaz</t>
  </si>
  <si>
    <t>Volumes de droits selon participation - Pétrole</t>
  </si>
  <si>
    <t>Volumes de droits selon participation - Gaz</t>
  </si>
  <si>
    <t>Calculs des intérêts portés</t>
  </si>
  <si>
    <t>Coûts portés compagnie nationale</t>
  </si>
  <si>
    <t>Intérêt porté compagnie nationale - coûts exploration</t>
  </si>
  <si>
    <t>Intérêt porté - Capex</t>
  </si>
  <si>
    <t>Remboursement du portage compagnie nationale - Coûts exploration</t>
  </si>
  <si>
    <t>Coûts portés Solde d'ouverture</t>
  </si>
  <si>
    <t>Coûts portés pour la période</t>
  </si>
  <si>
    <t>Coûts de portage Solde de clôture</t>
  </si>
  <si>
    <t>Remboursement du portage Compagnie nationale - Capex</t>
  </si>
  <si>
    <t>Remboursement du portage Compagnie nationale - Opex</t>
  </si>
  <si>
    <t>Total coûts portés compagnie nationale</t>
  </si>
  <si>
    <t>Total revenus des droits</t>
  </si>
  <si>
    <t>Bonus et frais</t>
  </si>
  <si>
    <t>Production et autres taxes</t>
  </si>
  <si>
    <t>Flux de trésorerie après impôts cumulé</t>
  </si>
  <si>
    <t>Flux de trésorerie consortium compagnies pétrolières internationales</t>
  </si>
  <si>
    <t>Part Flux de trésorerie après impôts des compagnies pétrolières internationales</t>
  </si>
  <si>
    <t>Coûts portés</t>
  </si>
  <si>
    <t>Flux de trésorerie après impôts des compagnies pétrolières internationales</t>
  </si>
  <si>
    <t>Flux de trésorerie compagnie nationale</t>
  </si>
  <si>
    <t>Part nominale du Gouv. (%)</t>
  </si>
  <si>
    <t>Cost Oil Contracteur</t>
  </si>
  <si>
    <t>Cost Gaz Contracteur</t>
  </si>
  <si>
    <t>Excess Cost Oil Contracteur</t>
  </si>
  <si>
    <t>SPO Contracteur</t>
  </si>
  <si>
    <t>Profit Oil Contracteur</t>
  </si>
  <si>
    <t>Profit Gaz Contracteur</t>
  </si>
  <si>
    <t>Excess Cost Oil Contracteur %</t>
  </si>
  <si>
    <t>Note : 2013 et 2014 sont basés sur les stipulations de l'AM3-2005, 2015 et plus tard sur les stipulations de l'AM4 et AM6.</t>
  </si>
  <si>
    <t>(% de la prod. brute @min entre PF ou PH)</t>
  </si>
  <si>
    <t>Appliquer PH alternatif pour la Période 2</t>
  </si>
  <si>
    <t>Coûts cumulés à récupérer</t>
  </si>
  <si>
    <t>Gaz exporté PO</t>
  </si>
  <si>
    <t>Gaz domestique PO</t>
  </si>
  <si>
    <t>Période 1 : Pas de PH jusqu'à la récupération  des capex initiaux</t>
  </si>
  <si>
    <t>Différence revenus pétroliers (PF-PH)</t>
  </si>
  <si>
    <t>Limite Cost Stop Pétrole</t>
  </si>
  <si>
    <t>Cost Stop pétrole</t>
  </si>
  <si>
    <t>Coûts d'abandon cumulés à récupérer</t>
  </si>
  <si>
    <t>Coûts récupérés Pétrole</t>
  </si>
  <si>
    <t>Limite Cost Stop Gaz</t>
  </si>
  <si>
    <t>Cost Stop Gaz</t>
  </si>
  <si>
    <t>Coûts récupérés Gaz</t>
  </si>
  <si>
    <t>Revenus pétroliers disponibles pour Partage  de l'Excess Cost Oil</t>
  </si>
  <si>
    <t>Revenus gaziers disponibles pour Partage de l'Excess Cost Gaz</t>
  </si>
  <si>
    <t>Profit Gaz Export</t>
  </si>
  <si>
    <t>Part du Contracteur dans le Profit gaz</t>
  </si>
  <si>
    <t>Part du Gouv. dans le Profit gaz</t>
  </si>
  <si>
    <t>Profit Gaz Domestique</t>
  </si>
  <si>
    <t>% PO effectif Gouv.</t>
  </si>
  <si>
    <t>Excess Cost Gaz Contracteur</t>
  </si>
  <si>
    <t>Free Cash Flow</t>
  </si>
  <si>
    <t>Chart 18</t>
  </si>
  <si>
    <t>title_chart18</t>
  </si>
  <si>
    <t>Chart 19</t>
  </si>
  <si>
    <t xml:space="preserve">Con. FCF vs. Cash flows 
 Reported Results </t>
  </si>
  <si>
    <t>title_chart19</t>
  </si>
  <si>
    <t>Con. Entitlement Volumes</t>
  </si>
  <si>
    <t>Cont. Entitlement Volumes
Reported Results Consolidated</t>
  </si>
  <si>
    <t>Chart 20</t>
  </si>
  <si>
    <t>title_chart20</t>
  </si>
  <si>
    <t>Avg FP</t>
  </si>
  <si>
    <t>Avg. FP</t>
  </si>
  <si>
    <t>Chart 21</t>
  </si>
  <si>
    <t>title_chart21</t>
  </si>
  <si>
    <t>Prix Fixé Congo (Djeno) 2013 -2019</t>
  </si>
  <si>
    <t>Fixed Price Congo (Djeno) 2013-2019</t>
  </si>
  <si>
    <t>Production</t>
  </si>
  <si>
    <t>Consolidated Production Rate</t>
  </si>
  <si>
    <t>Mbbl/d</t>
  </si>
  <si>
    <t>Chart 22</t>
  </si>
  <si>
    <t>title_chart22</t>
  </si>
  <si>
    <t>Production du Congo - Nkossa, Nsoko, Moho, KLL</t>
  </si>
  <si>
    <t>Con. Entitlement Volumes
Reported Results</t>
  </si>
  <si>
    <t>Congo Production - Nkossa, Nsoko, Moho, KLL</t>
  </si>
  <si>
    <t>Revnue Shares</t>
  </si>
  <si>
    <t>Congo % Share of Revenues</t>
  </si>
  <si>
    <t>Chart 23</t>
  </si>
  <si>
    <t>title_chart23</t>
  </si>
  <si>
    <t>Part des revenus du Congo</t>
  </si>
  <si>
    <t>Chart 24</t>
  </si>
  <si>
    <t>Cost Recovery  Share</t>
  </si>
  <si>
    <t xml:space="preserve">Cost Recovery % Share of Revenues </t>
  </si>
  <si>
    <t>% récupération des coûts dans les revenus</t>
  </si>
  <si>
    <t>title_chart24</t>
  </si>
  <si>
    <t>Chart 25</t>
  </si>
  <si>
    <t>PO</t>
  </si>
  <si>
    <t xml:space="preserve">Sources de Revenus du Congo - Moho </t>
  </si>
  <si>
    <t>Sources of Revenue - Moho</t>
  </si>
  <si>
    <t>title_chart25</t>
  </si>
  <si>
    <t>Chart 26</t>
  </si>
  <si>
    <t>Moho-PH</t>
  </si>
  <si>
    <t>Sources of Revenue - Nkossa</t>
  </si>
  <si>
    <t xml:space="preserve">Sources de Revenus du Congo - Nkossa </t>
  </si>
  <si>
    <t>title_chart26</t>
  </si>
  <si>
    <t>Con. FCF vs. Cash flows 
Reported Results Consolidated</t>
  </si>
  <si>
    <t>Flux de trésorerie net</t>
  </si>
  <si>
    <t>Marge d'exploitation Contracteur v. flux de trésorerie 
Résultats déclarés</t>
  </si>
  <si>
    <t>Volumes de droits Contracteur</t>
  </si>
  <si>
    <t>Volumes de droits Contracteur
Résultats déclarés</t>
  </si>
  <si>
    <t>Chart 27</t>
  </si>
  <si>
    <t>title_chart27</t>
  </si>
  <si>
    <t>Con. Net Margin vs. Free Cash flows 
Reported Results Consolidated</t>
  </si>
  <si>
    <t>Marge d'nette Contracteur v. flux de trésorerie  Résultats reportés consolidés</t>
  </si>
</sst>
</file>

<file path=xl/styles.xml><?xml version="1.0" encoding="utf-8"?>
<styleSheet xmlns="http://purl.oclc.org/ooxml/spreadsheetml/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64" formatCode="&quot;$&quot;#,##0_);[Red]\(&quot;$&quot;#,##0\)"/>
    <numFmt numFmtId="165" formatCode="&quot;$&quot;#,##0.00_);[Red]\(&quot;$&quot;#,##0.00\)"/>
    <numFmt numFmtId="166" formatCode="_(* #,##0.00_);_(* \(#,##0.00\);_(* &quot;-&quot;??_);_(@_)"/>
    <numFmt numFmtId="167" formatCode="0.0"/>
    <numFmt numFmtId="168" formatCode="0.00\ &quot;bbl&quot;"/>
    <numFmt numFmtId="169" formatCode="0.00\ &quot;cf&quot;"/>
    <numFmt numFmtId="170" formatCode="0.00\ &quot;mcf&quot;"/>
    <numFmt numFmtId="171" formatCode="_(* #,##0_);_(* \(#,##0\);_(* &quot;-&quot;??_);_(@_)"/>
    <numFmt numFmtId="172" formatCode="&quot;Yes&quot;;;&quot;No&quot;"/>
    <numFmt numFmtId="173" formatCode="0%\ &quot;nominal&quot;"/>
    <numFmt numFmtId="174" formatCode="&quot;Year&quot;\ #"/>
    <numFmt numFmtId="175" formatCode="0_);\(0\)"/>
    <numFmt numFmtId="176" formatCode="&quot;$&quot;#\ &quot;/bbl&quot;"/>
    <numFmt numFmtId="177" formatCode="&quot;$&quot;#.00\ &quot;/bbl&quot;"/>
    <numFmt numFmtId="178" formatCode="0.0%"/>
    <numFmt numFmtId="179" formatCode="_(* #,##0.0000_);_(* \(#,##0.0000\);_(* &quot;-&quot;??_);_(@_)"/>
    <numFmt numFmtId="180" formatCode="_(* #,##0.0_);_(* \(#,##0.0\);_(* &quot;-&quot;??_);_(@_)"/>
    <numFmt numFmtId="181" formatCode="0.000"/>
    <numFmt numFmtId="182" formatCode="_(* #,##0.0_);_(* \(#,##0.0\);_(* &quot;-&quot;?_);_(@_)"/>
    <numFmt numFmtId="183" formatCode="&quot;Δ&quot;\ 0%"/>
  </numFmts>
  <fonts count="37" x14ac:knownFonts="1">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1"/>
      <name val="Calibri"/>
      <family val="2"/>
      <scheme val="minor"/>
    </font>
    <font>
      <b/>
      <sz val="16"/>
      <color rgb="FFFFFFFF"/>
      <name val="Calibri"/>
      <family val="2"/>
      <scheme val="minor"/>
    </font>
    <font>
      <sz val="8"/>
      <color theme="1"/>
      <name val="Calibri"/>
      <family val="2"/>
      <scheme val="minor"/>
    </font>
    <font>
      <sz val="11"/>
      <color theme="1" tint="0.499984740745262"/>
      <name val="Calibri"/>
      <family val="2"/>
      <scheme val="minor"/>
    </font>
    <font>
      <sz val="11"/>
      <color rgb="FFC00000"/>
      <name val="Calibri"/>
      <family val="2"/>
      <scheme val="minor"/>
    </font>
    <font>
      <b/>
      <sz val="8"/>
      <color rgb="FFFFFFFF"/>
      <name val="Calibri"/>
      <family val="2"/>
      <scheme val="minor"/>
    </font>
    <font>
      <i/>
      <sz val="8"/>
      <color theme="1" tint="0.499984740745262"/>
      <name val="Calibri"/>
      <family val="2"/>
      <scheme val="minor"/>
    </font>
    <font>
      <sz val="8"/>
      <color theme="1"/>
      <name val="Arial"/>
      <family val="2"/>
    </font>
    <font>
      <b/>
      <sz val="12"/>
      <color rgb="FF06616C"/>
      <name val="Calibri"/>
      <family val="2"/>
      <scheme val="minor"/>
    </font>
    <font>
      <sz val="8"/>
      <color theme="0" tint="-0.14999847407452621"/>
      <name val="Calibri"/>
      <family val="2"/>
      <scheme val="minor"/>
    </font>
    <font>
      <sz val="8"/>
      <color theme="0"/>
      <name val="Calibri"/>
      <family val="2"/>
      <scheme val="minor"/>
    </font>
    <font>
      <sz val="8"/>
      <color theme="1" tint="0.499984740745262"/>
      <name val="Calibri"/>
      <family val="2"/>
      <scheme val="minor"/>
    </font>
    <font>
      <sz val="11"/>
      <color rgb="FFFF0000"/>
      <name val="Calibri"/>
      <family val="2"/>
      <scheme val="minor"/>
    </font>
    <font>
      <b/>
      <sz val="14"/>
      <color rgb="FFFFFFFF"/>
      <name val="Calibri"/>
      <family val="2"/>
      <scheme val="minor"/>
    </font>
    <font>
      <b/>
      <sz val="10"/>
      <color rgb="FFFFFFFF"/>
      <name val="Calibri"/>
      <family val="2"/>
      <scheme val="minor"/>
    </font>
    <font>
      <sz val="14"/>
      <color theme="1"/>
      <name val="Calibri"/>
      <family val="2"/>
      <scheme val="minor"/>
    </font>
    <font>
      <sz val="10"/>
      <color theme="1"/>
      <name val="Calibri"/>
      <family val="2"/>
      <scheme val="minor"/>
    </font>
    <font>
      <b/>
      <sz val="10"/>
      <color theme="1"/>
      <name val="Calibri"/>
      <family val="2"/>
      <scheme val="minor"/>
    </font>
    <font>
      <i/>
      <sz val="11"/>
      <color theme="1"/>
      <name val="Calibri"/>
      <family val="2"/>
      <scheme val="minor"/>
    </font>
    <font>
      <i/>
      <sz val="10"/>
      <color theme="1"/>
      <name val="Calibri"/>
      <family val="2"/>
      <scheme val="minor"/>
    </font>
    <font>
      <sz val="9"/>
      <color indexed="81"/>
      <name val="Tahoma"/>
      <family val="2"/>
    </font>
    <font>
      <b/>
      <sz val="9"/>
      <color indexed="81"/>
      <name val="Tahoma"/>
      <family val="2"/>
    </font>
    <font>
      <b/>
      <sz val="11"/>
      <color rgb="FFFFFFFF"/>
      <name val="Calibri"/>
      <family val="2"/>
      <scheme val="minor"/>
    </font>
    <font>
      <sz val="9"/>
      <color theme="1"/>
      <name val="Calibri"/>
      <family val="2"/>
      <scheme val="minor"/>
    </font>
    <font>
      <b/>
      <i/>
      <sz val="11"/>
      <color theme="1"/>
      <name val="Calibri"/>
      <family val="2"/>
      <scheme val="minor"/>
    </font>
    <font>
      <i/>
      <sz val="11"/>
      <color rgb="FFFF0000"/>
      <name val="Calibri"/>
      <family val="2"/>
      <scheme val="minor"/>
    </font>
    <font>
      <sz val="11"/>
      <color rgb="FF000000"/>
      <name val="Calibri"/>
      <family val="2"/>
    </font>
    <font>
      <sz val="11"/>
      <color theme="0" tint="-0.14999847407452621"/>
      <name val="Calibri"/>
      <family val="2"/>
      <scheme val="minor"/>
    </font>
    <font>
      <b/>
      <sz val="16"/>
      <color rgb="FFFFFFFF"/>
      <name val="Arial"/>
      <family val="2"/>
    </font>
    <font>
      <sz val="14"/>
      <color rgb="FF000000"/>
      <name val="Calibri"/>
      <family val="2"/>
      <scheme val="minor"/>
    </font>
    <font>
      <u/>
      <sz val="8"/>
      <color theme="10"/>
      <name val="Arial"/>
      <family val="2"/>
    </font>
    <font>
      <u/>
      <sz val="14"/>
      <color theme="10"/>
      <name val="Calibri"/>
      <family val="2"/>
      <scheme val="minor"/>
    </font>
    <font>
      <sz val="14"/>
      <name val="Calibri"/>
      <family val="2"/>
      <scheme val="minor"/>
    </font>
  </fonts>
  <fills count="14">
    <fill>
      <patternFill patternType="none"/>
    </fill>
    <fill>
      <patternFill patternType="gray125"/>
    </fill>
    <fill>
      <patternFill patternType="solid">
        <fgColor rgb="FF06616C"/>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5" tint="0.39997558519241921"/>
        <bgColor indexed="64"/>
      </patternFill>
    </fill>
    <fill>
      <patternFill patternType="solid">
        <fgColor rgb="FFF3AFAF"/>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rgb="FF1F497D"/>
        <bgColor indexed="64"/>
      </patternFill>
    </fill>
  </fills>
  <borders count="21">
    <border>
      <start/>
      <end/>
      <top/>
      <bottom/>
      <diagonal/>
    </border>
    <border>
      <start/>
      <end/>
      <top/>
      <bottom style="thick">
        <color theme="4"/>
      </bottom>
      <diagonal/>
    </border>
    <border>
      <start/>
      <end/>
      <top/>
      <bottom style="thick">
        <color theme="4" tint="0.499984740745262"/>
      </bottom>
      <diagonal/>
    </border>
    <border>
      <start/>
      <end/>
      <top style="medium">
        <color rgb="FF1F497D"/>
      </top>
      <bottom/>
      <diagonal/>
    </border>
    <border>
      <start style="medium">
        <color rgb="FF06616C"/>
      </start>
      <end style="medium">
        <color rgb="FF1F497D"/>
      </end>
      <top style="medium">
        <color rgb="FF06616C"/>
      </top>
      <bottom style="medium">
        <color rgb="FF06616C"/>
      </bottom>
      <diagonal/>
    </border>
    <border>
      <start style="medium">
        <color rgb="FF1F497D"/>
      </start>
      <end style="medium">
        <color rgb="FF1F497D"/>
      </end>
      <top style="medium">
        <color rgb="FF06616C"/>
      </top>
      <bottom style="medium">
        <color rgb="FF06616C"/>
      </bottom>
      <diagonal/>
    </border>
    <border>
      <start style="medium">
        <color rgb="FF1F497D"/>
      </start>
      <end style="medium">
        <color rgb="FF06616C"/>
      </end>
      <top style="medium">
        <color rgb="FF06616C"/>
      </top>
      <bottom style="medium">
        <color rgb="FF06616C"/>
      </bottom>
      <diagonal/>
    </border>
    <border>
      <start/>
      <end/>
      <top style="medium">
        <color rgb="FF06616C"/>
      </top>
      <bottom/>
      <diagonal/>
    </border>
    <border>
      <start style="thin">
        <color theme="0"/>
      </start>
      <end style="thin">
        <color theme="0"/>
      </end>
      <top style="thin">
        <color theme="0"/>
      </top>
      <bottom style="thin">
        <color theme="0"/>
      </bottom>
      <diagonal/>
    </border>
    <border>
      <start style="thin">
        <color auto="1"/>
      </start>
      <end style="thin">
        <color auto="1"/>
      </end>
      <top style="thin">
        <color auto="1"/>
      </top>
      <bottom style="thin">
        <color auto="1"/>
      </bottom>
      <diagonal/>
    </border>
    <border>
      <start/>
      <end/>
      <top/>
      <bottom style="thin">
        <color indexed="64"/>
      </bottom>
      <diagonal/>
    </border>
    <border>
      <start style="thin">
        <color theme="0"/>
      </start>
      <end style="thin">
        <color theme="0"/>
      </end>
      <top/>
      <bottom style="thin">
        <color theme="0"/>
      </bottom>
      <diagonal/>
    </border>
    <border>
      <start style="thin">
        <color theme="0"/>
      </start>
      <end style="thin">
        <color theme="0"/>
      </end>
      <top style="thin">
        <color theme="0"/>
      </top>
      <bottom/>
      <diagonal/>
    </border>
    <border>
      <start/>
      <end/>
      <top/>
      <bottom style="thin">
        <color rgb="FF008080"/>
      </bottom>
      <diagonal/>
    </border>
    <border>
      <start/>
      <end/>
      <top style="thin">
        <color indexed="64"/>
      </top>
      <bottom/>
      <diagonal/>
    </border>
    <border>
      <start/>
      <end/>
      <top style="medium">
        <color rgb="FF008080"/>
      </top>
      <bottom/>
      <diagonal/>
    </border>
    <border>
      <start/>
      <end/>
      <top/>
      <bottom style="thin">
        <color theme="0"/>
      </bottom>
      <diagonal/>
    </border>
    <border>
      <start style="dashed">
        <color theme="2" tint="-0.24994659260841701"/>
      </start>
      <end style="dashed">
        <color theme="2" tint="-0.24994659260841701"/>
      </end>
      <top/>
      <bottom style="dashed">
        <color theme="2" tint="-0.24994659260841701"/>
      </bottom>
      <diagonal/>
    </border>
    <border>
      <start style="dashed">
        <color theme="2" tint="-0.24994659260841701"/>
      </start>
      <end style="dashed">
        <color theme="2" tint="-0.24994659260841701"/>
      </end>
      <top/>
      <bottom/>
      <diagonal/>
    </border>
    <border>
      <start style="thin">
        <color indexed="64"/>
      </start>
      <end/>
      <top style="thin">
        <color indexed="64"/>
      </top>
      <bottom style="thin">
        <color indexed="64"/>
      </bottom>
      <diagonal/>
    </border>
    <border>
      <start/>
      <end style="thin">
        <color indexed="64"/>
      </end>
      <top style="thin">
        <color indexed="64"/>
      </top>
      <bottom style="thin">
        <color indexed="64"/>
      </bottom>
      <diagonal/>
    </border>
  </borders>
  <cellStyleXfs count="9">
    <xf numFmtId="0" fontId="0" fillId="0" borderId="0"/>
    <xf numFmtId="166" fontId="1" fillId="0" borderId="0" applyFont="0" applyFill="0" applyBorder="0" applyAlignment="0" applyProtection="0"/>
    <xf numFmtId="9" fontId="1" fillId="0" borderId="0" applyFont="0" applyFill="0" applyBorder="0" applyAlignment="0" applyProtection="0"/>
    <xf numFmtId="0" fontId="2" fillId="0" borderId="1" applyNumberFormat="0" applyFill="0" applyAlignment="0" applyProtection="0"/>
    <xf numFmtId="0" fontId="3" fillId="0" borderId="2" applyNumberFormat="0" applyFill="0" applyAlignment="0" applyProtection="0"/>
    <xf numFmtId="0" fontId="11" fillId="0" borderId="3" applyNumberFormat="0" applyFont="0" applyFill="0" applyAlignment="0" applyProtection="0"/>
    <xf numFmtId="0" fontId="32" fillId="13" borderId="0" applyNumberFormat="0" applyProtection="0">
      <alignment horizontal="left" vertical="center"/>
    </xf>
    <xf numFmtId="0" fontId="11" fillId="0" borderId="0" applyNumberFormat="0" applyProtection="0">
      <alignment vertical="center"/>
    </xf>
    <xf numFmtId="0" fontId="34" fillId="0" borderId="0" applyNumberFormat="0" applyFill="0" applyBorder="0" applyAlignment="0" applyProtection="0">
      <alignment vertical="center"/>
    </xf>
  </cellStyleXfs>
  <cellXfs count="224">
    <xf numFmtId="0" fontId="0" fillId="0" borderId="0" xfId="0"/>
    <xf numFmtId="0" fontId="6" fillId="2" borderId="0" xfId="0" applyFont="1" applyFill="1" applyAlignment="1">
      <alignment vertical="center"/>
    </xf>
    <xf numFmtId="0" fontId="6" fillId="0" borderId="0" xfId="0" applyFont="1" applyAlignment="1">
      <alignment vertical="center"/>
    </xf>
    <xf numFmtId="0" fontId="7" fillId="0" borderId="0" xfId="0" applyFont="1"/>
    <xf numFmtId="0" fontId="8" fillId="0" borderId="0" xfId="0" applyFont="1"/>
    <xf numFmtId="0" fontId="6" fillId="0" borderId="0" xfId="0" applyFont="1" applyBorder="1" applyAlignment="1">
      <alignment vertical="center"/>
    </xf>
    <xf numFmtId="0" fontId="0" fillId="0" borderId="0" xfId="0" applyBorder="1"/>
    <xf numFmtId="0" fontId="10" fillId="0" borderId="0" xfId="0" applyFont="1" applyAlignment="1">
      <alignment horizontal="right"/>
    </xf>
    <xf numFmtId="0" fontId="5" fillId="2" borderId="3" xfId="5" applyFont="1" applyFill="1" applyAlignment="1" applyProtection="1">
      <alignment horizontal="left" vertical="center"/>
    </xf>
    <xf numFmtId="0" fontId="0" fillId="0" borderId="7" xfId="0" applyBorder="1"/>
    <xf numFmtId="0" fontId="10" fillId="0" borderId="7" xfId="0" applyFont="1" applyBorder="1" applyAlignment="1">
      <alignment horizontal="right"/>
    </xf>
    <xf numFmtId="0" fontId="4" fillId="0" borderId="0" xfId="0" applyFont="1"/>
    <xf numFmtId="0" fontId="6" fillId="3" borderId="8" xfId="0" applyFont="1" applyFill="1" applyBorder="1" applyAlignment="1">
      <alignment vertical="center"/>
    </xf>
    <xf numFmtId="0" fontId="6" fillId="4" borderId="8" xfId="0" applyFont="1" applyFill="1" applyBorder="1" applyAlignment="1">
      <alignment vertical="center"/>
    </xf>
    <xf numFmtId="0" fontId="6" fillId="5" borderId="8" xfId="0" applyFont="1" applyFill="1" applyBorder="1" applyAlignment="1">
      <alignment vertical="center"/>
    </xf>
    <xf numFmtId="0" fontId="6" fillId="6" borderId="8" xfId="0" applyFont="1" applyFill="1" applyBorder="1" applyAlignment="1">
      <alignment vertical="center"/>
    </xf>
    <xf numFmtId="0" fontId="10" fillId="0" borderId="0" xfId="0" applyFont="1" applyAlignment="1">
      <alignment horizontal="left"/>
    </xf>
    <xf numFmtId="2" fontId="6" fillId="4" borderId="8" xfId="0" applyNumberFormat="1" applyFont="1" applyFill="1" applyBorder="1" applyAlignment="1">
      <alignment vertical="center"/>
    </xf>
    <xf numFmtId="167" fontId="6" fillId="4" borderId="8" xfId="0" applyNumberFormat="1" applyFont="1" applyFill="1" applyBorder="1" applyAlignment="1">
      <alignment vertical="center"/>
    </xf>
    <xf numFmtId="0" fontId="6" fillId="3" borderId="8" xfId="0" applyFont="1" applyFill="1" applyBorder="1" applyAlignment="1">
      <alignment horizontal="center" vertical="center"/>
    </xf>
    <xf numFmtId="0" fontId="0" fillId="0" borderId="0" xfId="0" applyAlignment="1">
      <alignment horizontal="center"/>
    </xf>
    <xf numFmtId="9" fontId="6" fillId="3" borderId="8" xfId="2" applyFont="1" applyFill="1" applyBorder="1" applyAlignment="1">
      <alignment horizontal="center" vertical="center"/>
    </xf>
    <xf numFmtId="168" fontId="6" fillId="3" borderId="8" xfId="0" applyNumberFormat="1" applyFont="1" applyFill="1" applyBorder="1" applyAlignment="1">
      <alignment horizontal="center" vertical="center"/>
    </xf>
    <xf numFmtId="169" fontId="6" fillId="3" borderId="8" xfId="0" applyNumberFormat="1" applyFont="1" applyFill="1" applyBorder="1" applyAlignment="1">
      <alignment horizontal="center" vertical="center"/>
    </xf>
    <xf numFmtId="170" fontId="6" fillId="3" borderId="8" xfId="0" applyNumberFormat="1" applyFont="1" applyFill="1" applyBorder="1" applyAlignment="1">
      <alignment horizontal="center" vertical="center"/>
    </xf>
    <xf numFmtId="167" fontId="0" fillId="0" borderId="0" xfId="0" applyNumberFormat="1"/>
    <xf numFmtId="0" fontId="6" fillId="0" borderId="0" xfId="0" applyFont="1"/>
    <xf numFmtId="0" fontId="13" fillId="0" borderId="0" xfId="0" applyFont="1"/>
    <xf numFmtId="167" fontId="6" fillId="3" borderId="8" xfId="0" applyNumberFormat="1" applyFont="1" applyFill="1" applyBorder="1" applyAlignment="1">
      <alignment horizontal="right" vertical="center"/>
    </xf>
    <xf numFmtId="0" fontId="0" fillId="0" borderId="9" xfId="0" applyBorder="1"/>
    <xf numFmtId="166" fontId="14" fillId="5" borderId="8" xfId="1" applyFont="1" applyFill="1" applyBorder="1" applyAlignment="1">
      <alignment vertical="center"/>
    </xf>
    <xf numFmtId="0" fontId="4" fillId="0" borderId="0" xfId="0" applyFont="1" applyAlignment="1">
      <alignment horizontal="center" wrapText="1"/>
    </xf>
    <xf numFmtId="0" fontId="4" fillId="0" borderId="0" xfId="0" applyFont="1" applyBorder="1" applyAlignment="1">
      <alignment horizontal="center" wrapText="1"/>
    </xf>
    <xf numFmtId="0" fontId="4" fillId="0" borderId="0" xfId="0" applyFont="1" applyAlignment="1">
      <alignment horizontal="center"/>
    </xf>
    <xf numFmtId="14" fontId="6" fillId="3" borderId="8" xfId="0" applyNumberFormat="1" applyFont="1" applyFill="1" applyBorder="1" applyAlignment="1">
      <alignment horizontal="center" vertical="center"/>
    </xf>
    <xf numFmtId="0" fontId="0" fillId="0" borderId="0" xfId="0" applyFont="1"/>
    <xf numFmtId="14" fontId="6" fillId="3" borderId="11" xfId="0" applyNumberFormat="1" applyFont="1" applyFill="1" applyBorder="1" applyAlignment="1">
      <alignment horizontal="center" vertical="center"/>
    </xf>
    <xf numFmtId="9" fontId="6" fillId="3" borderId="11" xfId="2" applyFont="1" applyFill="1" applyBorder="1" applyAlignment="1">
      <alignment horizontal="center" vertical="center"/>
    </xf>
    <xf numFmtId="0" fontId="4" fillId="0" borderId="10" xfId="0" applyFont="1" applyBorder="1"/>
    <xf numFmtId="0" fontId="0" fillId="0" borderId="0" xfId="0" applyBorder="1" applyAlignment="1">
      <alignment horizontal="left" indent="1"/>
    </xf>
    <xf numFmtId="0" fontId="6" fillId="4" borderId="8" xfId="0" applyFont="1" applyFill="1" applyBorder="1" applyAlignment="1">
      <alignment horizontal="center" vertical="center"/>
    </xf>
    <xf numFmtId="9" fontId="6" fillId="4" borderId="8" xfId="2" applyFont="1" applyFill="1" applyBorder="1" applyAlignment="1">
      <alignment horizontal="center" vertical="center"/>
    </xf>
    <xf numFmtId="0" fontId="4" fillId="0" borderId="10" xfId="0" applyFont="1" applyBorder="1" applyAlignment="1">
      <alignment horizontal="center"/>
    </xf>
    <xf numFmtId="0" fontId="6" fillId="3" borderId="11" xfId="0" applyFont="1" applyFill="1" applyBorder="1" applyAlignment="1">
      <alignment horizontal="center" vertical="center"/>
    </xf>
    <xf numFmtId="172" fontId="6" fillId="6" borderId="8" xfId="0" applyNumberFormat="1" applyFont="1" applyFill="1" applyBorder="1" applyAlignment="1">
      <alignment horizontal="center" vertical="center"/>
    </xf>
    <xf numFmtId="0" fontId="0" fillId="0" borderId="10" xfId="0" applyBorder="1"/>
    <xf numFmtId="166" fontId="14" fillId="5" borderId="12" xfId="1" applyFont="1" applyFill="1" applyBorder="1" applyAlignment="1">
      <alignment vertical="center"/>
    </xf>
    <xf numFmtId="0" fontId="4" fillId="0" borderId="0" xfId="0" applyFont="1" applyBorder="1"/>
    <xf numFmtId="0" fontId="6" fillId="0" borderId="7" xfId="0" applyFont="1" applyBorder="1"/>
    <xf numFmtId="166" fontId="6" fillId="4" borderId="8" xfId="1" applyFont="1" applyFill="1" applyBorder="1" applyAlignment="1">
      <alignment vertical="center"/>
    </xf>
    <xf numFmtId="0" fontId="0" fillId="0" borderId="0" xfId="0" applyAlignment="1">
      <alignment horizontal="left" indent="2"/>
    </xf>
    <xf numFmtId="0" fontId="4" fillId="0" borderId="0" xfId="0" applyFont="1" applyAlignment="1">
      <alignment horizontal="left" indent="2"/>
    </xf>
    <xf numFmtId="0" fontId="4" fillId="0" borderId="0" xfId="0" applyFont="1" applyAlignment="1">
      <alignment horizontal="left"/>
    </xf>
    <xf numFmtId="9" fontId="6" fillId="4" borderId="8" xfId="2" applyFont="1" applyFill="1" applyBorder="1" applyAlignment="1">
      <alignment vertical="center"/>
    </xf>
    <xf numFmtId="166" fontId="6" fillId="4" borderId="12" xfId="1" applyFont="1" applyFill="1" applyBorder="1" applyAlignment="1">
      <alignment vertical="center"/>
    </xf>
    <xf numFmtId="166" fontId="0" fillId="0" borderId="0" xfId="1" applyFont="1"/>
    <xf numFmtId="171" fontId="15" fillId="0" borderId="0" xfId="1" applyNumberFormat="1" applyFont="1" applyAlignment="1">
      <alignment horizontal="right"/>
    </xf>
    <xf numFmtId="171" fontId="6" fillId="4" borderId="8" xfId="1" applyNumberFormat="1" applyFont="1" applyFill="1" applyBorder="1" applyAlignment="1">
      <alignment vertical="center"/>
    </xf>
    <xf numFmtId="9" fontId="14" fillId="5" borderId="8" xfId="2" applyFont="1" applyFill="1" applyBorder="1" applyAlignment="1">
      <alignment vertical="center"/>
    </xf>
    <xf numFmtId="173" fontId="0" fillId="0" borderId="0" xfId="2" applyNumberFormat="1" applyFont="1"/>
    <xf numFmtId="165" fontId="0" fillId="0" borderId="0" xfId="0" applyNumberFormat="1"/>
    <xf numFmtId="0" fontId="0" fillId="0" borderId="0" xfId="0" applyAlignment="1">
      <alignment horizontal="center" vertical="center"/>
    </xf>
    <xf numFmtId="9" fontId="14" fillId="5" borderId="8" xfId="1" applyNumberFormat="1" applyFont="1" applyFill="1" applyBorder="1" applyAlignment="1">
      <alignment horizontal="center" vertical="center"/>
    </xf>
    <xf numFmtId="166" fontId="14" fillId="5" borderId="8" xfId="1" applyFont="1" applyFill="1" applyBorder="1" applyAlignment="1">
      <alignment horizontal="right" vertical="center"/>
    </xf>
    <xf numFmtId="0" fontId="15" fillId="0" borderId="0" xfId="0" applyFont="1" applyAlignment="1">
      <alignment horizontal="center"/>
    </xf>
    <xf numFmtId="166" fontId="14" fillId="5" borderId="8" xfId="1" applyNumberFormat="1" applyFont="1" applyFill="1" applyBorder="1" applyAlignment="1">
      <alignment vertical="center"/>
    </xf>
    <xf numFmtId="166" fontId="6" fillId="4" borderId="8" xfId="1" applyNumberFormat="1" applyFont="1" applyFill="1" applyBorder="1" applyAlignment="1">
      <alignment vertical="center"/>
    </xf>
    <xf numFmtId="174" fontId="14" fillId="5" borderId="8" xfId="1" applyNumberFormat="1" applyFont="1" applyFill="1" applyBorder="1" applyAlignment="1">
      <alignment horizontal="center" vertical="center"/>
    </xf>
    <xf numFmtId="175" fontId="6" fillId="3" borderId="11" xfId="1" applyNumberFormat="1" applyFont="1" applyFill="1" applyBorder="1" applyAlignment="1">
      <alignment horizontal="center" vertical="center"/>
    </xf>
    <xf numFmtId="176" fontId="6" fillId="3" borderId="11" xfId="2" applyNumberFormat="1" applyFont="1" applyFill="1" applyBorder="1" applyAlignment="1">
      <alignment horizontal="center" vertical="center"/>
    </xf>
    <xf numFmtId="177" fontId="6" fillId="3" borderId="11" xfId="2" applyNumberFormat="1" applyFont="1" applyFill="1" applyBorder="1" applyAlignment="1">
      <alignment horizontal="center" vertical="center"/>
    </xf>
    <xf numFmtId="166" fontId="0" fillId="0" borderId="0" xfId="0" applyNumberFormat="1"/>
    <xf numFmtId="171" fontId="6" fillId="4" borderId="8" xfId="1" applyNumberFormat="1" applyFont="1" applyFill="1" applyBorder="1" applyAlignment="1">
      <alignment horizontal="center" vertical="center"/>
    </xf>
    <xf numFmtId="3" fontId="6" fillId="4" borderId="8" xfId="0" applyNumberFormat="1" applyFont="1" applyFill="1" applyBorder="1" applyAlignment="1">
      <alignment horizontal="center" vertical="center"/>
    </xf>
    <xf numFmtId="1" fontId="6" fillId="3" borderId="8" xfId="0" applyNumberFormat="1" applyFont="1" applyFill="1" applyBorder="1" applyAlignment="1">
      <alignment horizontal="center" vertical="center"/>
    </xf>
    <xf numFmtId="0" fontId="0" fillId="0" borderId="0" xfId="0" applyAlignment="1">
      <alignment horizontal="left" indent="1"/>
    </xf>
    <xf numFmtId="0" fontId="16" fillId="0" borderId="0" xfId="0" applyFont="1"/>
    <xf numFmtId="0" fontId="6" fillId="0" borderId="9" xfId="0" applyFont="1" applyFill="1" applyBorder="1" applyAlignment="1">
      <alignment vertical="center"/>
    </xf>
    <xf numFmtId="0" fontId="6" fillId="3" borderId="8" xfId="0" applyFont="1" applyFill="1" applyBorder="1" applyAlignment="1">
      <alignment horizontal="left" vertical="center"/>
    </xf>
    <xf numFmtId="166" fontId="15" fillId="0" borderId="0" xfId="0" applyNumberFormat="1" applyFont="1" applyAlignment="1">
      <alignment horizontal="center"/>
    </xf>
    <xf numFmtId="0" fontId="4" fillId="0" borderId="0" xfId="0" applyFont="1" applyAlignment="1">
      <alignment horizontal="center"/>
    </xf>
    <xf numFmtId="0" fontId="4" fillId="0" borderId="10" xfId="0" applyFont="1" applyBorder="1" applyAlignment="1">
      <alignment horizontal="center"/>
    </xf>
    <xf numFmtId="0" fontId="5" fillId="2" borderId="0" xfId="3" applyFont="1" applyFill="1" applyBorder="1" applyAlignment="1" applyProtection="1">
      <alignment vertical="center"/>
    </xf>
    <xf numFmtId="0" fontId="10" fillId="2" borderId="0" xfId="3" applyFont="1" applyFill="1" applyBorder="1" applyAlignment="1" applyProtection="1">
      <alignment horizontal="right" vertical="center"/>
    </xf>
    <xf numFmtId="0" fontId="10" fillId="0" borderId="0" xfId="0" applyFont="1" applyBorder="1" applyAlignment="1">
      <alignment horizontal="right"/>
    </xf>
    <xf numFmtId="0" fontId="9" fillId="2" borderId="0" xfId="3" applyFont="1" applyFill="1" applyBorder="1" applyAlignment="1" applyProtection="1">
      <alignment vertical="center"/>
    </xf>
    <xf numFmtId="0" fontId="6" fillId="0" borderId="0" xfId="0" applyFont="1" applyBorder="1"/>
    <xf numFmtId="0" fontId="0" fillId="0" borderId="0" xfId="0" applyFont="1" applyFill="1" applyBorder="1" applyAlignment="1">
      <alignment horizontal="left"/>
    </xf>
    <xf numFmtId="1" fontId="6" fillId="3" borderId="11" xfId="0" applyNumberFormat="1" applyFont="1" applyFill="1" applyBorder="1" applyAlignment="1">
      <alignment horizontal="center" vertical="center"/>
    </xf>
    <xf numFmtId="0" fontId="10" fillId="0" borderId="0" xfId="0" applyFont="1" applyAlignment="1"/>
    <xf numFmtId="0" fontId="0" fillId="0" borderId="13" xfId="0" applyBorder="1"/>
    <xf numFmtId="0" fontId="4" fillId="0" borderId="13" xfId="0" applyFont="1" applyBorder="1"/>
    <xf numFmtId="0" fontId="17" fillId="2" borderId="0" xfId="3" applyFont="1" applyFill="1" applyBorder="1" applyAlignment="1" applyProtection="1">
      <alignment vertical="center"/>
    </xf>
    <xf numFmtId="0" fontId="18" fillId="2" borderId="0" xfId="3" applyFont="1" applyFill="1" applyBorder="1" applyAlignment="1" applyProtection="1">
      <alignment vertical="center"/>
    </xf>
    <xf numFmtId="0" fontId="12" fillId="0" borderId="0" xfId="4" applyFont="1" applyBorder="1" applyAlignment="1" applyProtection="1">
      <alignment vertical="center"/>
    </xf>
    <xf numFmtId="0" fontId="0" fillId="0" borderId="0" xfId="0" applyAlignment="1">
      <alignment horizontal="left" indent="3"/>
    </xf>
    <xf numFmtId="0" fontId="19" fillId="0" borderId="0" xfId="0" applyFont="1"/>
    <xf numFmtId="0" fontId="20" fillId="0" borderId="0" xfId="0" applyFont="1" applyBorder="1"/>
    <xf numFmtId="0" fontId="20" fillId="0" borderId="0" xfId="0" applyFont="1"/>
    <xf numFmtId="0" fontId="20" fillId="0" borderId="13" xfId="0" applyFont="1" applyBorder="1"/>
    <xf numFmtId="0" fontId="4" fillId="0" borderId="0" xfId="0" applyFont="1" applyAlignment="1">
      <alignment horizontal="left" indent="3"/>
    </xf>
    <xf numFmtId="166" fontId="1" fillId="0" borderId="0" xfId="1" applyFont="1"/>
    <xf numFmtId="0" fontId="21" fillId="0" borderId="0" xfId="0" applyFont="1"/>
    <xf numFmtId="166" fontId="4" fillId="0" borderId="0" xfId="1" applyFont="1"/>
    <xf numFmtId="166" fontId="10" fillId="0" borderId="0" xfId="1" applyFont="1" applyAlignment="1">
      <alignment horizontal="right"/>
    </xf>
    <xf numFmtId="0" fontId="0" fillId="0" borderId="14" xfId="0" applyBorder="1"/>
    <xf numFmtId="0" fontId="12" fillId="0" borderId="15" xfId="4" applyFont="1" applyBorder="1" applyAlignment="1" applyProtection="1">
      <alignment vertical="center"/>
    </xf>
    <xf numFmtId="0" fontId="0" fillId="0" borderId="15" xfId="0" applyBorder="1"/>
    <xf numFmtId="0" fontId="20" fillId="0" borderId="15" xfId="0" applyFont="1" applyBorder="1"/>
    <xf numFmtId="0" fontId="10" fillId="0" borderId="15" xfId="0" applyFont="1" applyBorder="1" applyAlignment="1">
      <alignment horizontal="right"/>
    </xf>
    <xf numFmtId="0" fontId="0" fillId="0" borderId="0" xfId="0" applyFont="1" applyAlignment="1">
      <alignment horizontal="left" indent="2"/>
    </xf>
    <xf numFmtId="9" fontId="0" fillId="0" borderId="0" xfId="2" applyFont="1"/>
    <xf numFmtId="0" fontId="22" fillId="0" borderId="0" xfId="0" applyFont="1" applyAlignment="1">
      <alignment horizontal="left" indent="2"/>
    </xf>
    <xf numFmtId="166" fontId="22" fillId="0" borderId="0" xfId="1" applyFont="1"/>
    <xf numFmtId="0" fontId="4" fillId="0" borderId="14" xfId="0" applyFont="1" applyBorder="1" applyAlignment="1">
      <alignment horizontal="left" indent="2"/>
    </xf>
    <xf numFmtId="0" fontId="4" fillId="0" borderId="14" xfId="0" applyFont="1" applyBorder="1"/>
    <xf numFmtId="0" fontId="21" fillId="0" borderId="14" xfId="0" applyFont="1" applyBorder="1"/>
    <xf numFmtId="166" fontId="4" fillId="0" borderId="14" xfId="0" applyNumberFormat="1" applyFont="1" applyBorder="1"/>
    <xf numFmtId="166" fontId="4" fillId="0" borderId="14" xfId="1" applyFont="1" applyBorder="1"/>
    <xf numFmtId="0" fontId="4" fillId="0" borderId="14" xfId="0" applyFont="1" applyBorder="1" applyAlignment="1">
      <alignment horizontal="left" indent="3"/>
    </xf>
    <xf numFmtId="0" fontId="23" fillId="0" borderId="0" xfId="0" applyFont="1"/>
    <xf numFmtId="0" fontId="23" fillId="0" borderId="0" xfId="0" applyFont="1" applyAlignment="1">
      <alignment horizontal="left" indent="2"/>
    </xf>
    <xf numFmtId="0" fontId="23" fillId="0" borderId="0" xfId="0" applyFont="1" applyBorder="1"/>
    <xf numFmtId="0" fontId="22" fillId="0" borderId="0" xfId="0" applyFont="1"/>
    <xf numFmtId="166" fontId="20" fillId="3" borderId="8" xfId="0" applyNumberFormat="1" applyFont="1" applyFill="1" applyBorder="1"/>
    <xf numFmtId="166" fontId="20" fillId="7" borderId="8" xfId="0" applyNumberFormat="1" applyFont="1" applyFill="1" applyBorder="1"/>
    <xf numFmtId="166" fontId="21" fillId="7" borderId="8" xfId="0" applyNumberFormat="1" applyFont="1" applyFill="1" applyBorder="1"/>
    <xf numFmtId="9" fontId="20" fillId="7" borderId="8" xfId="2" applyFont="1" applyFill="1" applyBorder="1"/>
    <xf numFmtId="9" fontId="4" fillId="0" borderId="0" xfId="2" applyFont="1"/>
    <xf numFmtId="9" fontId="4" fillId="0" borderId="14" xfId="2" applyFont="1" applyBorder="1"/>
    <xf numFmtId="9" fontId="0" fillId="8" borderId="0" xfId="2" applyFont="1" applyFill="1" applyAlignment="1">
      <alignment horizontal="center"/>
    </xf>
    <xf numFmtId="9" fontId="0" fillId="9" borderId="0" xfId="2" applyFont="1" applyFill="1" applyAlignment="1">
      <alignment horizontal="center"/>
    </xf>
    <xf numFmtId="0" fontId="0" fillId="0" borderId="0" xfId="0" applyBorder="1" applyAlignment="1">
      <alignment horizontal="center"/>
    </xf>
    <xf numFmtId="167" fontId="0" fillId="9" borderId="0" xfId="0" applyNumberFormat="1" applyFill="1" applyAlignment="1">
      <alignment horizontal="center"/>
    </xf>
    <xf numFmtId="167" fontId="0" fillId="8" borderId="0" xfId="0" applyNumberFormat="1" applyFill="1" applyAlignment="1">
      <alignment horizontal="center"/>
    </xf>
    <xf numFmtId="0" fontId="10" fillId="0" borderId="0" xfId="0" applyFont="1" applyAlignment="1">
      <alignment horizontal="center"/>
    </xf>
    <xf numFmtId="9" fontId="0" fillId="0" borderId="0" xfId="2" applyFont="1" applyAlignment="1">
      <alignment horizontal="center"/>
    </xf>
    <xf numFmtId="178" fontId="0" fillId="0" borderId="0" xfId="2" applyNumberFormat="1" applyFont="1" applyAlignment="1">
      <alignment horizontal="center"/>
    </xf>
    <xf numFmtId="0" fontId="0" fillId="0" borderId="0" xfId="0" quotePrefix="1" applyAlignment="1">
      <alignment horizontal="left" indent="3"/>
    </xf>
    <xf numFmtId="171" fontId="0" fillId="0" borderId="0" xfId="0" applyNumberFormat="1"/>
    <xf numFmtId="179" fontId="0" fillId="0" borderId="0" xfId="0" applyNumberFormat="1"/>
    <xf numFmtId="171" fontId="20" fillId="3" borderId="8" xfId="0" applyNumberFormat="1" applyFont="1" applyFill="1" applyBorder="1"/>
    <xf numFmtId="0" fontId="0" fillId="0" borderId="0" xfId="0" applyAlignment="1"/>
    <xf numFmtId="0" fontId="0" fillId="0" borderId="0" xfId="0" applyAlignment="1">
      <alignment horizontal="left"/>
    </xf>
    <xf numFmtId="166" fontId="0" fillId="0" borderId="0" xfId="0" applyNumberFormat="1" applyAlignment="1">
      <alignment horizontal="center"/>
    </xf>
    <xf numFmtId="0" fontId="0" fillId="0" borderId="0" xfId="0" applyFill="1" applyBorder="1"/>
    <xf numFmtId="0" fontId="20" fillId="10" borderId="0" xfId="0" applyFont="1" applyFill="1" applyBorder="1"/>
    <xf numFmtId="1" fontId="6" fillId="3" borderId="8" xfId="0" applyNumberFormat="1" applyFont="1" applyFill="1" applyBorder="1" applyAlignment="1">
      <alignment horizontal="right" vertical="center"/>
    </xf>
    <xf numFmtId="0" fontId="0" fillId="0" borderId="16" xfId="0" applyBorder="1" applyAlignment="1">
      <alignment horizontal="center"/>
    </xf>
    <xf numFmtId="171" fontId="6" fillId="3" borderId="8" xfId="1" applyNumberFormat="1" applyFont="1" applyFill="1" applyBorder="1" applyAlignment="1">
      <alignment vertical="center"/>
    </xf>
    <xf numFmtId="0" fontId="4" fillId="11" borderId="18" xfId="0" applyFont="1" applyFill="1" applyBorder="1"/>
    <xf numFmtId="0" fontId="0" fillId="0" borderId="18" xfId="0" applyBorder="1"/>
    <xf numFmtId="0" fontId="0" fillId="0" borderId="17" xfId="0" applyBorder="1"/>
    <xf numFmtId="14" fontId="0" fillId="0" borderId="18" xfId="0" applyNumberFormat="1" applyBorder="1"/>
    <xf numFmtId="9" fontId="0" fillId="0" borderId="0" xfId="0" applyNumberFormat="1" applyFont="1" applyAlignment="1">
      <alignment horizontal="center"/>
    </xf>
    <xf numFmtId="171" fontId="0" fillId="0" borderId="0" xfId="0" applyNumberFormat="1" applyFont="1" applyAlignment="1">
      <alignment horizontal="center"/>
    </xf>
    <xf numFmtId="178" fontId="0" fillId="0" borderId="0" xfId="0" applyNumberFormat="1" applyFont="1" applyAlignment="1">
      <alignment horizontal="center"/>
    </xf>
    <xf numFmtId="166" fontId="0" fillId="0" borderId="0" xfId="0" applyNumberFormat="1" applyFont="1" applyAlignment="1">
      <alignment horizontal="center"/>
    </xf>
    <xf numFmtId="0" fontId="20" fillId="10" borderId="0" xfId="0" applyFont="1" applyFill="1" applyBorder="1" applyAlignment="1">
      <alignment horizontal="center"/>
    </xf>
    <xf numFmtId="9" fontId="20" fillId="10" borderId="0" xfId="2" applyFont="1" applyFill="1" applyBorder="1" applyAlignment="1">
      <alignment horizontal="center"/>
    </xf>
    <xf numFmtId="0" fontId="0" fillId="0" borderId="0" xfId="0" quotePrefix="1"/>
    <xf numFmtId="166" fontId="4" fillId="0" borderId="0" xfId="0" applyNumberFormat="1" applyFont="1" applyAlignment="1">
      <alignment horizontal="center"/>
    </xf>
    <xf numFmtId="181" fontId="0" fillId="0" borderId="0" xfId="0" applyNumberFormat="1"/>
    <xf numFmtId="9" fontId="0" fillId="0" borderId="9" xfId="0" applyNumberFormat="1" applyBorder="1" applyAlignment="1">
      <alignment horizontal="center"/>
    </xf>
    <xf numFmtId="17" fontId="0" fillId="0" borderId="0" xfId="0" applyNumberFormat="1"/>
    <xf numFmtId="0" fontId="26" fillId="2" borderId="0" xfId="3" applyFont="1" applyFill="1" applyBorder="1" applyAlignment="1" applyProtection="1">
      <alignment vertical="center"/>
    </xf>
    <xf numFmtId="0" fontId="1" fillId="0" borderId="0" xfId="0" applyFont="1"/>
    <xf numFmtId="0" fontId="27" fillId="0" borderId="0" xfId="0" applyFont="1"/>
    <xf numFmtId="0" fontId="0" fillId="0" borderId="9" xfId="0" applyBorder="1" applyAlignment="1">
      <alignment horizontal="center"/>
    </xf>
    <xf numFmtId="166" fontId="23" fillId="0" borderId="0" xfId="0" applyNumberFormat="1" applyFont="1"/>
    <xf numFmtId="166" fontId="0" fillId="0" borderId="0" xfId="2" applyNumberFormat="1" applyFont="1" applyAlignment="1">
      <alignment horizontal="center"/>
    </xf>
    <xf numFmtId="166" fontId="0" fillId="0" borderId="0" xfId="2" applyNumberFormat="1" applyFont="1"/>
    <xf numFmtId="167" fontId="6" fillId="12" borderId="8" xfId="0" applyNumberFormat="1" applyFont="1" applyFill="1" applyBorder="1" applyAlignment="1">
      <alignment horizontal="right" vertical="center"/>
    </xf>
    <xf numFmtId="0" fontId="1" fillId="6" borderId="8" xfId="0" applyFont="1" applyFill="1" applyBorder="1" applyAlignment="1">
      <alignment horizontal="center" vertical="center"/>
    </xf>
    <xf numFmtId="0" fontId="1" fillId="0" borderId="0" xfId="0" applyFont="1" applyAlignment="1">
      <alignment horizontal="center"/>
    </xf>
    <xf numFmtId="1" fontId="1" fillId="3" borderId="8" xfId="0" applyNumberFormat="1" applyFont="1" applyFill="1" applyBorder="1" applyAlignment="1">
      <alignment horizontal="center" vertical="center"/>
    </xf>
    <xf numFmtId="1" fontId="1" fillId="3" borderId="0" xfId="0" applyNumberFormat="1" applyFont="1" applyFill="1" applyBorder="1" applyAlignment="1">
      <alignment horizontal="center" vertical="center"/>
    </xf>
    <xf numFmtId="9" fontId="1" fillId="6" borderId="8" xfId="0" applyNumberFormat="1" applyFont="1" applyFill="1" applyBorder="1" applyAlignment="1">
      <alignment horizontal="center" vertical="center"/>
    </xf>
    <xf numFmtId="9" fontId="1" fillId="3" borderId="8" xfId="2" applyFont="1" applyFill="1" applyBorder="1" applyAlignment="1">
      <alignment horizontal="center" vertical="center"/>
    </xf>
    <xf numFmtId="0" fontId="28" fillId="0" borderId="0" xfId="0" applyFont="1" applyAlignment="1">
      <alignment horizontal="center"/>
    </xf>
    <xf numFmtId="0" fontId="28" fillId="0" borderId="10" xfId="0" applyFont="1" applyBorder="1"/>
    <xf numFmtId="166" fontId="0" fillId="0" borderId="0" xfId="1" applyFont="1" applyAlignment="1">
      <alignment horizontal="center"/>
    </xf>
    <xf numFmtId="166" fontId="4" fillId="0" borderId="0" xfId="0" applyNumberFormat="1" applyFont="1"/>
    <xf numFmtId="180" fontId="0" fillId="0" borderId="0" xfId="1" applyNumberFormat="1" applyFont="1" applyAlignment="1">
      <alignment horizontal="center"/>
    </xf>
    <xf numFmtId="180" fontId="4" fillId="0" borderId="0" xfId="0" applyNumberFormat="1" applyFont="1"/>
    <xf numFmtId="0" fontId="12" fillId="0" borderId="10" xfId="4" applyFont="1" applyBorder="1" applyAlignment="1" applyProtection="1">
      <alignment vertical="center"/>
    </xf>
    <xf numFmtId="0" fontId="0" fillId="0" borderId="0" xfId="0" applyFont="1" applyAlignment="1">
      <alignment horizontal="left" indent="3"/>
    </xf>
    <xf numFmtId="9" fontId="1" fillId="0" borderId="0" xfId="2" applyFont="1"/>
    <xf numFmtId="180" fontId="0" fillId="0" borderId="0" xfId="0" applyNumberFormat="1"/>
    <xf numFmtId="180" fontId="4" fillId="0" borderId="14" xfId="0" applyNumberFormat="1" applyFont="1" applyBorder="1"/>
    <xf numFmtId="0" fontId="20" fillId="0" borderId="14" xfId="0" applyFont="1" applyBorder="1"/>
    <xf numFmtId="182" fontId="23" fillId="0" borderId="0" xfId="0" applyNumberFormat="1" applyFont="1"/>
    <xf numFmtId="166" fontId="0" fillId="0" borderId="0" xfId="1" applyNumberFormat="1" applyFont="1"/>
    <xf numFmtId="0" fontId="6" fillId="0" borderId="0" xfId="0" applyFont="1" applyAlignment="1">
      <alignment horizontal="right"/>
    </xf>
    <xf numFmtId="0" fontId="0" fillId="0" borderId="16" xfId="0" applyBorder="1" applyAlignment="1">
      <alignment horizontal="center"/>
    </xf>
    <xf numFmtId="164" fontId="0" fillId="0" borderId="0" xfId="0" applyNumberFormat="1"/>
    <xf numFmtId="3" fontId="0" fillId="0" borderId="0" xfId="0" applyNumberFormat="1"/>
    <xf numFmtId="183" fontId="0" fillId="0" borderId="0" xfId="0" applyNumberFormat="1"/>
    <xf numFmtId="9" fontId="0" fillId="0" borderId="0" xfId="0" applyNumberFormat="1"/>
    <xf numFmtId="0" fontId="29" fillId="0" borderId="0" xfId="0" applyFont="1"/>
    <xf numFmtId="183" fontId="0" fillId="0" borderId="0" xfId="2" applyNumberFormat="1" applyFont="1"/>
    <xf numFmtId="0" fontId="4" fillId="0" borderId="19" xfId="0" applyFont="1" applyBorder="1"/>
    <xf numFmtId="0" fontId="4" fillId="0" borderId="9" xfId="0" applyFont="1" applyBorder="1"/>
    <xf numFmtId="0" fontId="4" fillId="0" borderId="20" xfId="0" applyFont="1" applyBorder="1"/>
    <xf numFmtId="0" fontId="31" fillId="0" borderId="0" xfId="0" applyFont="1"/>
    <xf numFmtId="0" fontId="0" fillId="0" borderId="0" xfId="0" applyAlignment="1">
      <alignment horizontal="left" wrapText="1" indent="3"/>
    </xf>
    <xf numFmtId="0" fontId="5" fillId="2" borderId="0" xfId="6" applyFont="1" applyFill="1" applyAlignment="1">
      <alignment vertical="center"/>
    </xf>
    <xf numFmtId="0" fontId="6" fillId="0" borderId="0" xfId="7" applyFont="1">
      <alignment vertical="center"/>
    </xf>
    <xf numFmtId="0" fontId="33" fillId="0" borderId="0" xfId="7" applyFont="1" applyAlignment="1"/>
    <xf numFmtId="167" fontId="33" fillId="0" borderId="0" xfId="7" applyNumberFormat="1" applyFont="1" applyAlignment="1">
      <alignment horizontal="left"/>
    </xf>
    <xf numFmtId="15" fontId="33" fillId="0" borderId="0" xfId="7" applyNumberFormat="1" applyFont="1" applyAlignment="1">
      <alignment horizontal="left"/>
    </xf>
    <xf numFmtId="0" fontId="35" fillId="0" borderId="0" xfId="8" applyFont="1" applyFill="1" applyBorder="1" applyAlignment="1" applyProtection="1"/>
    <xf numFmtId="0" fontId="33" fillId="0" borderId="0" xfId="7" applyFont="1">
      <alignment vertical="center"/>
    </xf>
    <xf numFmtId="0" fontId="36" fillId="0" borderId="0" xfId="7" applyFont="1" applyAlignment="1">
      <alignment wrapText="1"/>
    </xf>
    <xf numFmtId="0" fontId="33" fillId="0" borderId="0" xfId="7" applyFont="1" applyAlignment="1">
      <alignment vertical="top"/>
    </xf>
    <xf numFmtId="0" fontId="35" fillId="0" borderId="0" xfId="8" applyFont="1" applyFill="1" applyBorder="1" applyAlignment="1">
      <alignment wrapText="1"/>
    </xf>
    <xf numFmtId="0" fontId="0" fillId="0" borderId="0" xfId="0" applyFill="1"/>
    <xf numFmtId="0" fontId="0" fillId="0" borderId="0" xfId="0" applyFill="1" applyAlignment="1">
      <alignment wrapText="1"/>
    </xf>
    <xf numFmtId="0" fontId="0" fillId="0" borderId="0" xfId="0" quotePrefix="1" applyFill="1"/>
    <xf numFmtId="0" fontId="4" fillId="0" borderId="0" xfId="0" applyFont="1" applyAlignment="1">
      <alignment horizontal="center"/>
    </xf>
    <xf numFmtId="0" fontId="0" fillId="0" borderId="16" xfId="0" applyBorder="1" applyAlignment="1">
      <alignment horizontal="center"/>
    </xf>
    <xf numFmtId="0" fontId="12" fillId="0" borderId="4" xfId="4" applyFont="1" applyBorder="1" applyAlignment="1" applyProtection="1">
      <alignment horizontal="left" vertical="center"/>
    </xf>
    <xf numFmtId="0" fontId="12" fillId="0" borderId="5" xfId="4" applyFont="1" applyBorder="1" applyAlignment="1" applyProtection="1">
      <alignment horizontal="left" vertical="center"/>
    </xf>
    <xf numFmtId="0" fontId="12" fillId="0" borderId="6" xfId="4" applyFont="1" applyBorder="1" applyAlignment="1" applyProtection="1">
      <alignment horizontal="left" vertical="center"/>
    </xf>
  </cellXfs>
  <cellStyles count="9">
    <cellStyle name="Heading 1 2" xfId="6" xr:uid="{93EDA218-50E3-4298-A92A-1A79CC8C6BDE}"/>
    <cellStyle name="Hyperlink 2" xfId="8" xr:uid="{FD3E949E-2AA9-49B7-8AD8-B4884E31AFC7}"/>
    <cellStyle name="Milliers" xfId="1" builtinId="3"/>
    <cellStyle name="Normal" xfId="0" builtinId="0"/>
    <cellStyle name="Normal 2" xfId="7" xr:uid="{6628B31D-6AA9-4353-996B-D046F26D2C71}"/>
    <cellStyle name="Page Divider" xfId="5" xr:uid="{53B07E1B-0A28-422B-B01F-8E9947FCE6BF}"/>
    <cellStyle name="Pourcentage" xfId="2" builtinId="5"/>
    <cellStyle name="Titre 1" xfId="3" builtinId="16"/>
    <cellStyle name="Titre 2" xfId="4" builtinId="17"/>
  </cellStyles>
  <dxfs count="12">
    <dxf>
      <fill>
        <patternFill>
          <bgColor theme="7" tint="0.79998168889431442"/>
        </patternFill>
      </fill>
    </dxf>
    <dxf>
      <fill>
        <patternFill>
          <bgColor theme="5" tint="0.39994506668294322"/>
        </patternFill>
      </fill>
    </dxf>
    <dxf>
      <fill>
        <patternFill>
          <bgColor theme="7" tint="0.79998168889431442"/>
        </patternFill>
      </fill>
    </dxf>
    <dxf>
      <fill>
        <patternFill>
          <bgColor theme="5" tint="0.39994506668294322"/>
        </patternFill>
      </fill>
    </dxf>
    <dxf>
      <fill>
        <patternFill>
          <bgColor rgb="FFF3AFAF"/>
        </patternFill>
      </fill>
    </dxf>
    <dxf>
      <fill>
        <patternFill>
          <bgColor rgb="FFF3AFAF"/>
        </patternFill>
      </fill>
    </dxf>
    <dxf>
      <fill>
        <patternFill>
          <bgColor rgb="FFF3AFAF"/>
        </patternFill>
      </fill>
    </dxf>
    <dxf>
      <fill>
        <patternFill>
          <bgColor rgb="FFF3AFAF"/>
        </patternFill>
      </fill>
    </dxf>
    <dxf>
      <fill>
        <patternFill>
          <bgColor theme="7" tint="0.79998168889431442"/>
        </patternFill>
      </fill>
    </dxf>
    <dxf>
      <fill>
        <patternFill>
          <bgColor theme="5" tint="0.39994506668294322"/>
        </patternFill>
      </fill>
    </dxf>
    <dxf>
      <fill>
        <patternFill>
          <bgColor theme="7" tint="0.79998168889431442"/>
        </patternFill>
      </fill>
    </dxf>
    <dxf>
      <fill>
        <patternFill>
          <bgColor theme="5" tint="0.39994506668294322"/>
        </patternFill>
      </fill>
    </dxf>
  </dxfs>
  <tableStyles count="0" defaultTableStyle="TableStyleMedium2" defaultPivotStyle="PivotStyleLight16"/>
  <colors>
    <mruColors>
      <color rgb="FF33CCCC"/>
      <color rgb="FF008080"/>
      <color rgb="FFF3AFAF"/>
      <color rgb="FFFF7C80"/>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purl.oclc.org/ooxml/officeDocument/relationships/worksheet" Target="worksheets/sheet8.xml"/><Relationship Id="rId13" Type="http://purl.oclc.org/ooxml/officeDocument/relationships/worksheet" Target="worksheets/sheet13.xml"/><Relationship Id="rId18" Type="http://purl.oclc.org/ooxml/officeDocument/relationships/worksheet" Target="worksheets/sheet18.xml"/><Relationship Id="rId3" Type="http://purl.oclc.org/ooxml/officeDocument/relationships/worksheet" Target="worksheets/sheet3.xml"/><Relationship Id="rId21" Type="http://purl.oclc.org/ooxml/officeDocument/relationships/styles" Target="styles.xml"/><Relationship Id="rId7" Type="http://purl.oclc.org/ooxml/officeDocument/relationships/worksheet" Target="worksheets/sheet7.xml"/><Relationship Id="rId12" Type="http://purl.oclc.org/ooxml/officeDocument/relationships/worksheet" Target="worksheets/sheet12.xml"/><Relationship Id="rId17" Type="http://purl.oclc.org/ooxml/officeDocument/relationships/worksheet" Target="worksheets/sheet17.xml"/><Relationship Id="rId2" Type="http://purl.oclc.org/ooxml/officeDocument/relationships/worksheet" Target="worksheets/sheet2.xml"/><Relationship Id="rId16" Type="http://purl.oclc.org/ooxml/officeDocument/relationships/worksheet" Target="worksheets/sheet16.xml"/><Relationship Id="rId20" Type="http://purl.oclc.org/ooxml/officeDocument/relationships/theme" Target="theme/theme1.xml"/><Relationship Id="rId1" Type="http://purl.oclc.org/ooxml/officeDocument/relationships/worksheet" Target="worksheets/sheet1.xml"/><Relationship Id="rId6" Type="http://purl.oclc.org/ooxml/officeDocument/relationships/worksheet" Target="worksheets/sheet6.xml"/><Relationship Id="rId11" Type="http://purl.oclc.org/ooxml/officeDocument/relationships/worksheet" Target="worksheets/sheet11.xml"/><Relationship Id="rId24" Type="http://purl.oclc.org/ooxml/officeDocument/relationships/calcChain" Target="calcChain.xml"/><Relationship Id="rId5" Type="http://purl.oclc.org/ooxml/officeDocument/relationships/worksheet" Target="worksheets/sheet5.xml"/><Relationship Id="rId15" Type="http://purl.oclc.org/ooxml/officeDocument/relationships/worksheet" Target="worksheets/sheet15.xml"/><Relationship Id="rId23" Type="http://purl.oclc.org/ooxml/officeDocument/relationships/sheetMetadata" Target="metadata.xml"/><Relationship Id="rId10" Type="http://purl.oclc.org/ooxml/officeDocument/relationships/worksheet" Target="worksheets/sheet10.xml"/><Relationship Id="rId19" Type="http://purl.oclc.org/ooxml/officeDocument/relationships/worksheet" Target="worksheets/sheet19.xml"/><Relationship Id="rId4" Type="http://purl.oclc.org/ooxml/officeDocument/relationships/worksheet" Target="worksheets/sheet4.xml"/><Relationship Id="rId9" Type="http://purl.oclc.org/ooxml/officeDocument/relationships/worksheet" Target="worksheets/sheet9.xml"/><Relationship Id="rId14" Type="http://purl.oclc.org/ooxml/officeDocument/relationships/worksheet" Target="worksheets/sheet14.xml"/><Relationship Id="rId22" Type="http://purl.oclc.org/ooxml/officeDocument/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purl.oclc.org/ooxml/officeDocument/relationships/chartUserShapes" Target="../drawings/drawing3.xml"/><Relationship Id="rId2" Type="http://schemas.microsoft.com/office/2011/relationships/chartColorStyle" Target="colors21.xml"/><Relationship Id="rId1" Type="http://schemas.microsoft.com/office/2011/relationships/chartStyle" Target="style21.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purl.oclc.org/ooxml/drawingml/chart" xmlns:a="http://purl.oclc.org/ooxml/drawingml/main" xmlns:r="http://purl.oclc.org/ooxml/officeDocument/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[0]!title_chart1</c:f>
          <c:strCache>
            <c:ptCount val="1"/>
            <c:pt idx="0">
              <c:v>Flux de trésorerie de l'État pour Moho Résultats réels et modélisés</c:v>
            </c:pt>
          </c:strCache>
        </c:strRef>
      </c:tx>
      <c:layout>
        <c:manualLayout>
          <c:xMode val="edge"/>
          <c:yMode val="edge"/>
          <c:x val="0.38220702950964358"/>
          <c:y val="3.302374225047182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
                  <a:lumOff val="35%"/>
                </a:schemeClr>
              </a:solidFill>
              <a:latin typeface="+mn-lt"/>
              <a:ea typeface="+mn-ea"/>
              <a:cs typeface="+mn-cs"/>
            </a:defRPr>
          </a:pPr>
          <a:endParaRPr lang="fr-FR"/>
        </a:p>
      </c:txPr>
    </c:title>
    <c:autoTitleDeleted val="0"/>
    <c:plotArea>
      <c:layout>
        <c:manualLayout>
          <c:layoutTarget val="inner"/>
          <c:xMode val="edge"/>
          <c:yMode val="edge"/>
          <c:x val="9.6171625555490636E-2"/>
          <c:y val="0.17504397158122748"/>
          <c:w val="0.88882411267566896"/>
          <c:h val="0.59346475574826252"/>
        </c:manualLayout>
      </c:layout>
      <c:barChart>
        <c:barDir val="col"/>
        <c:grouping val="stacked"/>
        <c:varyColors val="0"/>
        <c:ser>
          <c:idx val="0"/>
          <c:order val="0"/>
          <c:tx>
            <c:strRef>
              <c:f>'Données graphiques'!$D$37</c:f>
              <c:strCache>
                <c:ptCount val="1"/>
                <c:pt idx="0">
                  <c:v>Redevances</c:v>
                </c:pt>
              </c:strCache>
            </c:strRef>
          </c:tx>
          <c:spPr>
            <a:solidFill>
              <a:schemeClr val="accent6"/>
            </a:solidFill>
            <a:ln>
              <a:noFill/>
            </a:ln>
            <a:effectLst/>
          </c:spPr>
          <c:invertIfNegative val="0"/>
          <c:cat>
            <c:multiLvlStrRef>
              <c:f>'Données graphiques'!$L$35:$Y$36</c:f>
              <c:multiLvlStrCache>
                <c:ptCount val="14"/>
                <c:lvl>
                  <c:pt idx="0">
                    <c:v>AR</c:v>
                  </c:pt>
                  <c:pt idx="1">
                    <c:v>MR</c:v>
                  </c:pt>
                  <c:pt idx="2">
                    <c:v>AR</c:v>
                  </c:pt>
                  <c:pt idx="3">
                    <c:v>MR</c:v>
                  </c:pt>
                  <c:pt idx="4">
                    <c:v>AR</c:v>
                  </c:pt>
                  <c:pt idx="5">
                    <c:v>MR</c:v>
                  </c:pt>
                  <c:pt idx="6">
                    <c:v>AR</c:v>
                  </c:pt>
                  <c:pt idx="7">
                    <c:v>MR</c:v>
                  </c:pt>
                  <c:pt idx="8">
                    <c:v>AR</c:v>
                  </c:pt>
                  <c:pt idx="9">
                    <c:v>MR</c:v>
                  </c:pt>
                  <c:pt idx="10">
                    <c:v>AR</c:v>
                  </c:pt>
                  <c:pt idx="11">
                    <c:v>MR</c:v>
                  </c:pt>
                  <c:pt idx="12">
                    <c:v>AR</c:v>
                  </c:pt>
                  <c:pt idx="13">
                    <c:v>MR</c:v>
                  </c:pt>
                </c:lvl>
                <c:lvl>
                  <c:pt idx="0">
                    <c:v>2013</c:v>
                  </c:pt>
                  <c:pt idx="2">
                    <c:v>2014</c:v>
                  </c:pt>
                  <c:pt idx="4">
                    <c:v>2015</c:v>
                  </c:pt>
                  <c:pt idx="6">
                    <c:v>2016</c:v>
                  </c:pt>
                  <c:pt idx="8">
                    <c:v>2017</c:v>
                  </c:pt>
                  <c:pt idx="10">
                    <c:v>2018</c:v>
                  </c:pt>
                  <c:pt idx="12">
                    <c:v>2019</c:v>
                  </c:pt>
                </c:lvl>
              </c:multiLvlStrCache>
            </c:multiLvlStrRef>
          </c:cat>
          <c:val>
            <c:numRef>
              <c:f>'Données graphiques'!$L$37:$Y$37</c:f>
              <c:numCache>
                <c:formatCode>_(* #,##0_);_(* \(#,##0\);_(* "-"??_);_(@_)</c:formatCode>
                <c:ptCount val="14"/>
                <c:pt idx="0">
                  <c:v>307.94691053758311</c:v>
                </c:pt>
                <c:pt idx="1">
                  <c:v>286.82753200305001</c:v>
                </c:pt>
                <c:pt idx="2">
                  <c:v>290.89560630942105</c:v>
                </c:pt>
                <c:pt idx="3">
                  <c:v>272.66642499059992</c:v>
                </c:pt>
                <c:pt idx="4">
                  <c:v>109.75167984388519</c:v>
                </c:pt>
                <c:pt idx="5">
                  <c:v>110.25705771749999</c:v>
                </c:pt>
                <c:pt idx="6">
                  <c:v>103.07291503119568</c:v>
                </c:pt>
                <c:pt idx="7">
                  <c:v>94.750883169299996</c:v>
                </c:pt>
                <c:pt idx="8">
                  <c:v>287.35943646489602</c:v>
                </c:pt>
                <c:pt idx="9">
                  <c:v>265.85457837735004</c:v>
                </c:pt>
                <c:pt idx="10">
                  <c:v>571.20528755839803</c:v>
                </c:pt>
                <c:pt idx="11">
                  <c:v>537.88417472100002</c:v>
                </c:pt>
                <c:pt idx="12">
                  <c:v>545.23186173253214</c:v>
                </c:pt>
                <c:pt idx="13">
                  <c:v>528.64961559075005</c:v>
                </c:pt>
              </c:numCache>
            </c:numRef>
          </c:val>
          <c:extLst>
            <c:ext xmlns:c16="http://schemas.microsoft.com/office/drawing/2014/chart" uri="{C3380CC4-5D6E-409C-BE32-E72D297353CC}">
              <c16:uniqueId val="{00000000-F0CD-4150-A15A-82150DB47936}"/>
            </c:ext>
          </c:extLst>
        </c:ser>
        <c:ser>
          <c:idx val="1"/>
          <c:order val="1"/>
          <c:tx>
            <c:strRef>
              <c:f>'Données graphiques'!$D$38</c:f>
              <c:strCache>
                <c:ptCount val="1"/>
                <c:pt idx="0">
                  <c:v>PID</c:v>
                </c:pt>
              </c:strCache>
            </c:strRef>
          </c:tx>
          <c:spPr>
            <a:solidFill>
              <a:schemeClr val="accent5"/>
            </a:solidFill>
            <a:ln>
              <a:noFill/>
            </a:ln>
            <a:effectLst/>
          </c:spPr>
          <c:invertIfNegative val="0"/>
          <c:cat>
            <c:multiLvlStrRef>
              <c:f>'Données graphiques'!$L$35:$Y$36</c:f>
              <c:multiLvlStrCache>
                <c:ptCount val="14"/>
                <c:lvl>
                  <c:pt idx="0">
                    <c:v>AR</c:v>
                  </c:pt>
                  <c:pt idx="1">
                    <c:v>MR</c:v>
                  </c:pt>
                  <c:pt idx="2">
                    <c:v>AR</c:v>
                  </c:pt>
                  <c:pt idx="3">
                    <c:v>MR</c:v>
                  </c:pt>
                  <c:pt idx="4">
                    <c:v>AR</c:v>
                  </c:pt>
                  <c:pt idx="5">
                    <c:v>MR</c:v>
                  </c:pt>
                  <c:pt idx="6">
                    <c:v>AR</c:v>
                  </c:pt>
                  <c:pt idx="7">
                    <c:v>MR</c:v>
                  </c:pt>
                  <c:pt idx="8">
                    <c:v>AR</c:v>
                  </c:pt>
                  <c:pt idx="9">
                    <c:v>MR</c:v>
                  </c:pt>
                  <c:pt idx="10">
                    <c:v>AR</c:v>
                  </c:pt>
                  <c:pt idx="11">
                    <c:v>MR</c:v>
                  </c:pt>
                  <c:pt idx="12">
                    <c:v>AR</c:v>
                  </c:pt>
                  <c:pt idx="13">
                    <c:v>MR</c:v>
                  </c:pt>
                </c:lvl>
                <c:lvl>
                  <c:pt idx="0">
                    <c:v>2013</c:v>
                  </c:pt>
                  <c:pt idx="2">
                    <c:v>2014</c:v>
                  </c:pt>
                  <c:pt idx="4">
                    <c:v>2015</c:v>
                  </c:pt>
                  <c:pt idx="6">
                    <c:v>2016</c:v>
                  </c:pt>
                  <c:pt idx="8">
                    <c:v>2017</c:v>
                  </c:pt>
                  <c:pt idx="10">
                    <c:v>2018</c:v>
                  </c:pt>
                  <c:pt idx="12">
                    <c:v>2019</c:v>
                  </c:pt>
                </c:lvl>
              </c:multiLvlStrCache>
            </c:multiLvlStrRef>
          </c:cat>
          <c:val>
            <c:numRef>
              <c:f>'Données graphiques'!$L$38:$Y$38</c:f>
              <c:numCache>
                <c:formatCode>_(* #,##0_);_(* \(#,##0\);_(* "-"??_);_(@_)</c:formatCode>
                <c:ptCount val="14"/>
                <c:pt idx="0">
                  <c:v>20.534758022249697</c:v>
                </c:pt>
                <c:pt idx="1">
                  <c:v>19.121835466870003</c:v>
                </c:pt>
                <c:pt idx="2">
                  <c:v>19.129832350994999</c:v>
                </c:pt>
                <c:pt idx="3">
                  <c:v>18.177761666039995</c:v>
                </c:pt>
                <c:pt idx="4">
                  <c:v>7.3099130866430597</c:v>
                </c:pt>
                <c:pt idx="5">
                  <c:v>7.3504705144999996</c:v>
                </c:pt>
                <c:pt idx="6">
                  <c:v>6.8124576475457399</c:v>
                </c:pt>
                <c:pt idx="7">
                  <c:v>6.3167255446199997</c:v>
                </c:pt>
                <c:pt idx="8">
                  <c:v>19.100886826789498</c:v>
                </c:pt>
                <c:pt idx="9">
                  <c:v>17.723638558490006</c:v>
                </c:pt>
                <c:pt idx="10">
                  <c:v>38.231386150506104</c:v>
                </c:pt>
                <c:pt idx="11">
                  <c:v>35.858944981400008</c:v>
                </c:pt>
                <c:pt idx="12">
                  <c:v>36.2742601816662</c:v>
                </c:pt>
                <c:pt idx="13">
                  <c:v>35.243307706050004</c:v>
                </c:pt>
              </c:numCache>
            </c:numRef>
          </c:val>
          <c:extLst>
            <c:ext xmlns:c16="http://schemas.microsoft.com/office/drawing/2014/chart" uri="{C3380CC4-5D6E-409C-BE32-E72D297353CC}">
              <c16:uniqueId val="{00000001-F0CD-4150-A15A-82150DB47936}"/>
            </c:ext>
          </c:extLst>
        </c:ser>
        <c:ser>
          <c:idx val="2"/>
          <c:order val="2"/>
          <c:tx>
            <c:strRef>
              <c:f>'Données graphiques'!$D$39</c:f>
              <c:strCache>
                <c:ptCount val="1"/>
                <c:pt idx="0">
                  <c:v>Excess Cost Oil</c:v>
                </c:pt>
              </c:strCache>
            </c:strRef>
          </c:tx>
          <c:spPr>
            <a:solidFill>
              <a:schemeClr val="accent3"/>
            </a:solidFill>
            <a:ln>
              <a:noFill/>
            </a:ln>
            <a:effectLst/>
          </c:spPr>
          <c:invertIfNegative val="0"/>
          <c:cat>
            <c:multiLvlStrRef>
              <c:f>'Données graphiques'!$L$35:$Y$36</c:f>
              <c:multiLvlStrCache>
                <c:ptCount val="14"/>
                <c:lvl>
                  <c:pt idx="0">
                    <c:v>AR</c:v>
                  </c:pt>
                  <c:pt idx="1">
                    <c:v>MR</c:v>
                  </c:pt>
                  <c:pt idx="2">
                    <c:v>AR</c:v>
                  </c:pt>
                  <c:pt idx="3">
                    <c:v>MR</c:v>
                  </c:pt>
                  <c:pt idx="4">
                    <c:v>AR</c:v>
                  </c:pt>
                  <c:pt idx="5">
                    <c:v>MR</c:v>
                  </c:pt>
                  <c:pt idx="6">
                    <c:v>AR</c:v>
                  </c:pt>
                  <c:pt idx="7">
                    <c:v>MR</c:v>
                  </c:pt>
                  <c:pt idx="8">
                    <c:v>AR</c:v>
                  </c:pt>
                  <c:pt idx="9">
                    <c:v>MR</c:v>
                  </c:pt>
                  <c:pt idx="10">
                    <c:v>AR</c:v>
                  </c:pt>
                  <c:pt idx="11">
                    <c:v>MR</c:v>
                  </c:pt>
                  <c:pt idx="12">
                    <c:v>AR</c:v>
                  </c:pt>
                  <c:pt idx="13">
                    <c:v>MR</c:v>
                  </c:pt>
                </c:lvl>
                <c:lvl>
                  <c:pt idx="0">
                    <c:v>2013</c:v>
                  </c:pt>
                  <c:pt idx="2">
                    <c:v>2014</c:v>
                  </c:pt>
                  <c:pt idx="4">
                    <c:v>2015</c:v>
                  </c:pt>
                  <c:pt idx="6">
                    <c:v>2016</c:v>
                  </c:pt>
                  <c:pt idx="8">
                    <c:v>2017</c:v>
                  </c:pt>
                  <c:pt idx="10">
                    <c:v>2018</c:v>
                  </c:pt>
                  <c:pt idx="12">
                    <c:v>2019</c:v>
                  </c:pt>
                </c:lvl>
              </c:multiLvlStrCache>
            </c:multiLvlStrRef>
          </c:cat>
          <c:val>
            <c:numRef>
              <c:f>'Données graphiques'!$L$39:$Y$39</c:f>
              <c:numCache>
                <c:formatCode>_(* #,##0_);_(* \(#,##0\);_(* "-"??_);_(@_)</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2-F0CD-4150-A15A-82150DB47936}"/>
            </c:ext>
          </c:extLst>
        </c:ser>
        <c:ser>
          <c:idx val="3"/>
          <c:order val="3"/>
          <c:tx>
            <c:strRef>
              <c:f>'Données graphiques'!$D$40</c:f>
              <c:strCache>
                <c:ptCount val="1"/>
                <c:pt idx="0">
                  <c:v>SPO</c:v>
                </c:pt>
              </c:strCache>
            </c:strRef>
          </c:tx>
          <c:spPr>
            <a:solidFill>
              <a:schemeClr val="accent4"/>
            </a:solidFill>
            <a:ln>
              <a:noFill/>
            </a:ln>
            <a:effectLst/>
          </c:spPr>
          <c:invertIfNegative val="0"/>
          <c:cat>
            <c:multiLvlStrRef>
              <c:f>'Données graphiques'!$L$35:$Y$36</c:f>
              <c:multiLvlStrCache>
                <c:ptCount val="14"/>
                <c:lvl>
                  <c:pt idx="0">
                    <c:v>AR</c:v>
                  </c:pt>
                  <c:pt idx="1">
                    <c:v>MR</c:v>
                  </c:pt>
                  <c:pt idx="2">
                    <c:v>AR</c:v>
                  </c:pt>
                  <c:pt idx="3">
                    <c:v>MR</c:v>
                  </c:pt>
                  <c:pt idx="4">
                    <c:v>AR</c:v>
                  </c:pt>
                  <c:pt idx="5">
                    <c:v>MR</c:v>
                  </c:pt>
                  <c:pt idx="6">
                    <c:v>AR</c:v>
                  </c:pt>
                  <c:pt idx="7">
                    <c:v>MR</c:v>
                  </c:pt>
                  <c:pt idx="8">
                    <c:v>AR</c:v>
                  </c:pt>
                  <c:pt idx="9">
                    <c:v>MR</c:v>
                  </c:pt>
                  <c:pt idx="10">
                    <c:v>AR</c:v>
                  </c:pt>
                  <c:pt idx="11">
                    <c:v>MR</c:v>
                  </c:pt>
                  <c:pt idx="12">
                    <c:v>AR</c:v>
                  </c:pt>
                  <c:pt idx="13">
                    <c:v>MR</c:v>
                  </c:pt>
                </c:lvl>
                <c:lvl>
                  <c:pt idx="0">
                    <c:v>2013</c:v>
                  </c:pt>
                  <c:pt idx="2">
                    <c:v>2014</c:v>
                  </c:pt>
                  <c:pt idx="4">
                    <c:v>2015</c:v>
                  </c:pt>
                  <c:pt idx="6">
                    <c:v>2016</c:v>
                  </c:pt>
                  <c:pt idx="8">
                    <c:v>2017</c:v>
                  </c:pt>
                  <c:pt idx="10">
                    <c:v>2018</c:v>
                  </c:pt>
                  <c:pt idx="12">
                    <c:v>2019</c:v>
                  </c:pt>
                </c:lvl>
              </c:multiLvlStrCache>
            </c:multiLvlStrRef>
          </c:cat>
          <c:val>
            <c:numRef>
              <c:f>'Données graphiques'!$L$40:$Y$40</c:f>
              <c:numCache>
                <c:formatCode>_(* #,##0_);_(* \(#,##0\);_(* "-"??_);_(@_)</c:formatCode>
                <c:ptCount val="14"/>
                <c:pt idx="0">
                  <c:v>778.34405180643921</c:v>
                </c:pt>
                <c:pt idx="1">
                  <c:v>995.81614967590008</c:v>
                </c:pt>
                <c:pt idx="2">
                  <c:v>692.26235690257909</c:v>
                </c:pt>
                <c:pt idx="3">
                  <c:v>909.82390352489983</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F0CD-4150-A15A-82150DB47936}"/>
            </c:ext>
          </c:extLst>
        </c:ser>
        <c:ser>
          <c:idx val="4"/>
          <c:order val="4"/>
          <c:tx>
            <c:strRef>
              <c:f>'Données graphiques'!$D$41</c:f>
              <c:strCache>
                <c:ptCount val="1"/>
                <c:pt idx="0">
                  <c:v>Partage du profit</c:v>
                </c:pt>
              </c:strCache>
            </c:strRef>
          </c:tx>
          <c:spPr>
            <a:solidFill>
              <a:schemeClr val="accent2"/>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6-F0CD-4150-A15A-82150DB47936}"/>
                </c:ext>
              </c:extLst>
            </c:dLbl>
            <c:dLbl>
              <c:idx val="1"/>
              <c:layout>
                <c:manualLayout>
                  <c:x val="-3.2736571132015162E-2"/>
                  <c:y val="-3.3821141675553848E-2"/>
                </c:manualLayout>
              </c:layout>
              <c:tx>
                <c:strRef>
                  <c:f>'Données graphiques'!$M$42</c:f>
                  <c:strCache>
                    <c:ptCount val="1"/>
                    <c:pt idx="0">
                      <c:v>Δ 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{E0609B21-94DC-7541-88D4-A2237A4DF46A}</c15:txfldGUID>
                      <c15:f>'Données graphiques'!$M$42</c15:f>
                      <c15:dlblFieldTableCache>
                        <c:ptCount val="1"/>
                        <c:pt idx="0">
                          <c:v>Δ 0%</c:v>
                        </c:pt>
                      </c15:dlblFieldTableCache>
                    </c15:dlblFTEntry>
                  </c15:dlblFieldTable>
                  <c15:showDataLabelsRange val="0"/>
                </c:ext>
                <c:ext xmlns:c16="http://schemas.microsoft.com/office/drawing/2014/chart" uri="{C3380CC4-5D6E-409C-BE32-E72D297353CC}">
                  <c16:uniqueId val="{00000007-F0CD-4150-A15A-82150DB47936}"/>
                </c:ext>
              </c:extLst>
            </c:dLbl>
            <c:dLbl>
              <c:idx val="2"/>
              <c:delete val="1"/>
              <c:extLst>
                <c:ext xmlns:c15="http://schemas.microsoft.com/office/drawing/2012/chart" uri="{CE6537A1-D6FC-4f65-9D91-7224C49458BB}"/>
                <c:ext xmlns:c16="http://schemas.microsoft.com/office/drawing/2014/chart" uri="{C3380CC4-5D6E-409C-BE32-E72D297353CC}">
                  <c16:uniqueId val="{00000008-F0CD-4150-A15A-82150DB47936}"/>
                </c:ext>
              </c:extLst>
            </c:dLbl>
            <c:dLbl>
              <c:idx val="3"/>
              <c:layout>
                <c:manualLayout>
                  <c:x val="-3.4100594929182465E-2"/>
                  <c:y val="-2.0813010261879341E-2"/>
                </c:manualLayout>
              </c:layout>
              <c:tx>
                <c:strRef>
                  <c:f>'Données graphiques'!$O$42</c:f>
                  <c:strCache>
                    <c:ptCount val="1"/>
                    <c:pt idx="0">
                      <c:v>Δ 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{6055513B-90E0-AD4B-8904-93B29DD9C386}</c15:txfldGUID>
                      <c15:f>'Données graphiques'!$O$42</c15:f>
                      <c15:dlblFieldTableCache>
                        <c:ptCount val="1"/>
                        <c:pt idx="0">
                          <c:v>Δ 1%</c:v>
                        </c:pt>
                      </c15:dlblFieldTableCache>
                    </c15:dlblFTEntry>
                  </c15:dlblFieldTable>
                  <c15:showDataLabelsRange val="0"/>
                </c:ext>
                <c:ext xmlns:c16="http://schemas.microsoft.com/office/drawing/2014/chart" uri="{C3380CC4-5D6E-409C-BE32-E72D297353CC}">
                  <c16:uniqueId val="{00000009-F0CD-4150-A15A-82150DB47936}"/>
                </c:ext>
              </c:extLst>
            </c:dLbl>
            <c:dLbl>
              <c:idx val="4"/>
              <c:delete val="1"/>
              <c:extLst>
                <c:ext xmlns:c15="http://schemas.microsoft.com/office/drawing/2012/chart" uri="{CE6537A1-D6FC-4f65-9D91-7224C49458BB}"/>
                <c:ext xmlns:c16="http://schemas.microsoft.com/office/drawing/2014/chart" uri="{C3380CC4-5D6E-409C-BE32-E72D297353CC}">
                  <c16:uniqueId val="{0000000A-F0CD-4150-A15A-82150DB47936}"/>
                </c:ext>
              </c:extLst>
            </c:dLbl>
            <c:dLbl>
              <c:idx val="5"/>
              <c:layout>
                <c:manualLayout>
                  <c:x val="-3.4100594929182465E-2"/>
                  <c:y val="-3.6422767958288763E-2"/>
                </c:manualLayout>
              </c:layout>
              <c:tx>
                <c:strRef>
                  <c:f>'Données graphiques'!$Q$42</c:f>
                  <c:strCache>
                    <c:ptCount val="1"/>
                    <c:pt idx="0">
                      <c:v>-Δ 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{3B57E8D7-A1A5-094C-97D8-5DA0B581FEEE}</c15:txfldGUID>
                      <c15:f>'Données graphiques'!$Q$42</c15:f>
                      <c15:dlblFieldTableCache>
                        <c:ptCount val="1"/>
                        <c:pt idx="0">
                          <c:v>-Δ 18%</c:v>
                        </c:pt>
                      </c15:dlblFieldTableCache>
                    </c15:dlblFTEntry>
                  </c15:dlblFieldTable>
                  <c15:showDataLabelsRange val="0"/>
                </c:ext>
                <c:ext xmlns:c16="http://schemas.microsoft.com/office/drawing/2014/chart" uri="{C3380CC4-5D6E-409C-BE32-E72D297353CC}">
                  <c16:uniqueId val="{0000000B-F0CD-4150-A15A-82150DB47936}"/>
                </c:ext>
              </c:extLst>
            </c:dLbl>
            <c:dLbl>
              <c:idx val="6"/>
              <c:delete val="1"/>
              <c:extLst>
                <c:ext xmlns:c15="http://schemas.microsoft.com/office/drawing/2012/chart" uri="{CE6537A1-D6FC-4f65-9D91-7224C49458BB}"/>
                <c:ext xmlns:c16="http://schemas.microsoft.com/office/drawing/2014/chart" uri="{C3380CC4-5D6E-409C-BE32-E72D297353CC}">
                  <c16:uniqueId val="{0000000C-F0CD-4150-A15A-82150DB47936}"/>
                </c:ext>
              </c:extLst>
            </c:dLbl>
            <c:dLbl>
              <c:idx val="7"/>
              <c:layout>
                <c:manualLayout>
                  <c:x val="-3.5464618726349859E-2"/>
                  <c:y val="-2.8617889110084026E-2"/>
                </c:manualLayout>
              </c:layout>
              <c:tx>
                <c:strRef>
                  <c:f>'Données graphiques'!$S$42</c:f>
                  <c:strCache>
                    <c:ptCount val="1"/>
                    <c:pt idx="0">
                      <c:v>-Δ 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{EA893A77-AA7B-1F4C-BD28-D0F42436E767}</c15:txfldGUID>
                      <c15:f>'Données graphiques'!$S$42</c15:f>
                      <c15:dlblFieldTableCache>
                        <c:ptCount val="1"/>
                        <c:pt idx="0">
                          <c:v>-Δ 8%</c:v>
                        </c:pt>
                      </c15:dlblFieldTableCache>
                    </c15:dlblFTEntry>
                  </c15:dlblFieldTable>
                  <c15:showDataLabelsRange val="0"/>
                </c:ext>
                <c:ext xmlns:c16="http://schemas.microsoft.com/office/drawing/2014/chart" uri="{C3380CC4-5D6E-409C-BE32-E72D297353CC}">
                  <c16:uniqueId val="{0000000D-F0CD-4150-A15A-82150DB47936}"/>
                </c:ext>
              </c:extLst>
            </c:dLbl>
            <c:dLbl>
              <c:idx val="8"/>
              <c:delete val="1"/>
              <c:extLst>
                <c:ext xmlns:c15="http://schemas.microsoft.com/office/drawing/2012/chart" uri="{CE6537A1-D6FC-4f65-9D91-7224C49458BB}"/>
                <c:ext xmlns:c16="http://schemas.microsoft.com/office/drawing/2014/chart" uri="{C3380CC4-5D6E-409C-BE32-E72D297353CC}">
                  <c16:uniqueId val="{0000000E-F0CD-4150-A15A-82150DB47936}"/>
                </c:ext>
              </c:extLst>
            </c:dLbl>
            <c:dLbl>
              <c:idx val="9"/>
              <c:layout>
                <c:manualLayout>
                  <c:x val="-3.4100594929182465E-2"/>
                  <c:y val="-3.1219515392818937E-2"/>
                </c:manualLayout>
              </c:layout>
              <c:tx>
                <c:strRef>
                  <c:f>'Données graphiques'!$U$42</c:f>
                  <c:strCache>
                    <c:ptCount val="1"/>
                    <c:pt idx="0">
                      <c:v>-Δ 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{A3FD34F9-A008-FE4A-8CAF-C36FD2A4631B}</c15:txfldGUID>
                      <c15:f>'Données graphiques'!$U$42</c15:f>
                      <c15:dlblFieldTableCache>
                        <c:ptCount val="1"/>
                        <c:pt idx="0">
                          <c:v>-Δ 7%</c:v>
                        </c:pt>
                      </c15:dlblFieldTableCache>
                    </c15:dlblFTEntry>
                  </c15:dlblFieldTable>
                  <c15:showDataLabelsRange val="0"/>
                </c:ext>
                <c:ext xmlns:c16="http://schemas.microsoft.com/office/drawing/2014/chart" uri="{C3380CC4-5D6E-409C-BE32-E72D297353CC}">
                  <c16:uniqueId val="{0000000F-F0CD-4150-A15A-82150DB47936}"/>
                </c:ext>
              </c:extLst>
            </c:dLbl>
            <c:dLbl>
              <c:idx val="10"/>
              <c:delete val="1"/>
              <c:extLst>
                <c:ext xmlns:c15="http://schemas.microsoft.com/office/drawing/2012/chart" uri="{CE6537A1-D6FC-4f65-9D91-7224C49458BB}"/>
                <c:ext xmlns:c16="http://schemas.microsoft.com/office/drawing/2014/chart" uri="{C3380CC4-5D6E-409C-BE32-E72D297353CC}">
                  <c16:uniqueId val="{00000010-F0CD-4150-A15A-82150DB47936}"/>
                </c:ext>
              </c:extLst>
            </c:dLbl>
            <c:dLbl>
              <c:idx val="11"/>
              <c:layout>
                <c:manualLayout>
                  <c:x val="-3.8192666320684458E-2"/>
                  <c:y val="-2.0813010261879292E-2"/>
                </c:manualLayout>
              </c:layout>
              <c:tx>
                <c:strRef>
                  <c:f>'Données graphiques'!$W$42</c:f>
                  <c:strCache>
                    <c:ptCount val="1"/>
                    <c:pt idx="0">
                      <c:v>-Δ 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{1DB8BBAE-3173-7C4F-921D-B5F2D5840B4E}</c15:txfldGUID>
                      <c15:f>'Données graphiques'!$W$42</c15:f>
                      <c15:dlblFieldTableCache>
                        <c:ptCount val="1"/>
                        <c:pt idx="0">
                          <c:v>-Δ 6%</c:v>
                        </c:pt>
                      </c15:dlblFieldTableCache>
                    </c15:dlblFTEntry>
                  </c15:dlblFieldTable>
                  <c15:showDataLabelsRange val="0"/>
                </c:ext>
                <c:ext xmlns:c16="http://schemas.microsoft.com/office/drawing/2014/chart" uri="{C3380CC4-5D6E-409C-BE32-E72D297353CC}">
                  <c16:uniqueId val="{00000011-F0CD-4150-A15A-82150DB47936}"/>
                </c:ext>
              </c:extLst>
            </c:dLbl>
            <c:dLbl>
              <c:idx val="12"/>
              <c:delete val="1"/>
              <c:extLst>
                <c:ext xmlns:c15="http://schemas.microsoft.com/office/drawing/2012/chart" uri="{CE6537A1-D6FC-4f65-9D91-7224C49458BB}"/>
                <c:ext xmlns:c16="http://schemas.microsoft.com/office/drawing/2014/chart" uri="{C3380CC4-5D6E-409C-BE32-E72D297353CC}">
                  <c16:uniqueId val="{00000012-F0CD-4150-A15A-82150DB47936}"/>
                </c:ext>
              </c:extLst>
            </c:dLbl>
            <c:dLbl>
              <c:idx val="13"/>
              <c:layout>
                <c:manualLayout>
                  <c:x val="-3.2736571132015162E-2"/>
                  <c:y val="-3.3821141675553848E-2"/>
                </c:manualLayout>
              </c:layout>
              <c:tx>
                <c:strRef>
                  <c:f>'Données graphiques'!$Y$42</c:f>
                  <c:strCache>
                    <c:ptCount val="1"/>
                    <c:pt idx="0">
                      <c:v>Δ 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{FB363F61-AF4B-0143-8552-71B90568049C}</c15:txfldGUID>
                      <c15:f>'Données graphiques'!$Y$42</c15:f>
                      <c15:dlblFieldTableCache>
                        <c:ptCount val="1"/>
                        <c:pt idx="0">
                          <c:v>Δ 1%</c:v>
                        </c:pt>
                      </c15:dlblFieldTableCache>
                    </c15:dlblFTEntry>
                  </c15:dlblFieldTable>
                  <c15:showDataLabelsRange val="0"/>
                </c:ext>
                <c:ext xmlns:c16="http://schemas.microsoft.com/office/drawing/2014/chart" uri="{C3380CC4-5D6E-409C-BE32-E72D297353CC}">
                  <c16:uniqueId val="{00000013-F0CD-4150-A15A-82150DB47936}"/>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
                        <a:lumOff val="25%"/>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'Données graphiques'!$L$35:$Y$36</c:f>
              <c:multiLvlStrCache>
                <c:ptCount val="14"/>
                <c:lvl>
                  <c:pt idx="0">
                    <c:v>AR</c:v>
                  </c:pt>
                  <c:pt idx="1">
                    <c:v>MR</c:v>
                  </c:pt>
                  <c:pt idx="2">
                    <c:v>AR</c:v>
                  </c:pt>
                  <c:pt idx="3">
                    <c:v>MR</c:v>
                  </c:pt>
                  <c:pt idx="4">
                    <c:v>AR</c:v>
                  </c:pt>
                  <c:pt idx="5">
                    <c:v>MR</c:v>
                  </c:pt>
                  <c:pt idx="6">
                    <c:v>AR</c:v>
                  </c:pt>
                  <c:pt idx="7">
                    <c:v>MR</c:v>
                  </c:pt>
                  <c:pt idx="8">
                    <c:v>AR</c:v>
                  </c:pt>
                  <c:pt idx="9">
                    <c:v>MR</c:v>
                  </c:pt>
                  <c:pt idx="10">
                    <c:v>AR</c:v>
                  </c:pt>
                  <c:pt idx="11">
                    <c:v>MR</c:v>
                  </c:pt>
                  <c:pt idx="12">
                    <c:v>AR</c:v>
                  </c:pt>
                  <c:pt idx="13">
                    <c:v>MR</c:v>
                  </c:pt>
                </c:lvl>
                <c:lvl>
                  <c:pt idx="0">
                    <c:v>2013</c:v>
                  </c:pt>
                  <c:pt idx="2">
                    <c:v>2014</c:v>
                  </c:pt>
                  <c:pt idx="4">
                    <c:v>2015</c:v>
                  </c:pt>
                  <c:pt idx="6">
                    <c:v>2016</c:v>
                  </c:pt>
                  <c:pt idx="8">
                    <c:v>2017</c:v>
                  </c:pt>
                  <c:pt idx="10">
                    <c:v>2018</c:v>
                  </c:pt>
                  <c:pt idx="12">
                    <c:v>2019</c:v>
                  </c:pt>
                </c:lvl>
              </c:multiLvlStrCache>
            </c:multiLvlStrRef>
          </c:cat>
          <c:val>
            <c:numRef>
              <c:f>'Données graphiques'!$L$41:$Y$41</c:f>
              <c:numCache>
                <c:formatCode>_(* #,##0_);_(* \(#,##0\);_(* "-"??_);_(@_)</c:formatCode>
                <c:ptCount val="14"/>
                <c:pt idx="0">
                  <c:v>194.83262388775512</c:v>
                </c:pt>
                <c:pt idx="1">
                  <c:v>0</c:v>
                </c:pt>
                <c:pt idx="2">
                  <c:v>184.45149782026778</c:v>
                </c:pt>
                <c:pt idx="3">
                  <c:v>0</c:v>
                </c:pt>
                <c:pt idx="4">
                  <c:v>66.139737863002495</c:v>
                </c:pt>
                <c:pt idx="5">
                  <c:v>33.077117315250021</c:v>
                </c:pt>
                <c:pt idx="6">
                  <c:v>30.921874509358716</c:v>
                </c:pt>
                <c:pt idx="7">
                  <c:v>28.425264950790009</c:v>
                </c:pt>
                <c:pt idx="8">
                  <c:v>86.207830939468835</c:v>
                </c:pt>
                <c:pt idx="9">
                  <c:v>79.756373513205062</c:v>
                </c:pt>
                <c:pt idx="10">
                  <c:v>171.3615862675195</c:v>
                </c:pt>
                <c:pt idx="11">
                  <c:v>161.36525241630011</c:v>
                </c:pt>
                <c:pt idx="12">
                  <c:v>163.56955851975971</c:v>
                </c:pt>
                <c:pt idx="13">
                  <c:v>185.02736545676242</c:v>
                </c:pt>
              </c:numCache>
            </c:numRef>
          </c:val>
          <c:extLst>
            <c:ext xmlns:c16="http://schemas.microsoft.com/office/drawing/2014/chart" uri="{C3380CC4-5D6E-409C-BE32-E72D297353CC}">
              <c16:uniqueId val="{00000004-F0CD-4150-A15A-82150DB47936}"/>
            </c:ext>
          </c:extLst>
        </c:ser>
        <c:dLbls>
          <c:showLegendKey val="0"/>
          <c:showVal val="0"/>
          <c:showCatName val="0"/>
          <c:showSerName val="0"/>
          <c:showPercent val="0"/>
          <c:showBubbleSize val="0"/>
        </c:dLbls>
        <c:gapWidth val="80"/>
        <c:overlap val="100"/>
        <c:axId val="860024096"/>
        <c:axId val="860025408"/>
      </c:barChart>
      <c:catAx>
        <c:axId val="860024096"/>
        <c:scaling>
          <c:orientation val="minMax"/>
        </c:scaling>
        <c:delete val="0"/>
        <c:axPos val="b"/>
        <c:numFmt formatCode="General" sourceLinked="1"/>
        <c:majorTickMark val="none"/>
        <c:minorTickMark val="none"/>
        <c:tickLblPos val="nextTo"/>
        <c:spPr>
          <a:noFill/>
          <a:ln w="9525" cap="flat" cmpd="sng" algn="ctr">
            <a:solidFill>
              <a:schemeClr val="tx1">
                <a:lumMod val="15%"/>
                <a:lumOff val="85%"/>
              </a:schemeClr>
            </a:solidFill>
            <a:round/>
          </a:ln>
          <a:effectLst/>
        </c:spPr>
        <c:txPr>
          <a:bodyPr rot="-60000000" spcFirstLastPara="1" vertOverflow="ellipsis" vert="horz" wrap="square" anchor="ctr" anchorCtr="1"/>
          <a:lstStyle/>
          <a:p>
            <a:pPr>
              <a:defRPr sz="1000" b="0" i="0" u="none" strike="noStrike" kern="1200" baseline="0%">
                <a:solidFill>
                  <a:schemeClr val="tx1">
                    <a:lumMod val="65%"/>
                    <a:lumOff val="35%"/>
                  </a:schemeClr>
                </a:solidFill>
                <a:latin typeface="+mn-lt"/>
                <a:ea typeface="+mn-ea"/>
                <a:cs typeface="+mn-cs"/>
              </a:defRPr>
            </a:pPr>
            <a:endParaRPr lang="fr-FR"/>
          </a:p>
        </c:txPr>
        <c:crossAx val="860025408"/>
        <c:crosses val="autoZero"/>
        <c:auto val="1"/>
        <c:lblAlgn val="ctr"/>
        <c:lblOffset val="100"/>
        <c:noMultiLvlLbl val="0"/>
      </c:catAx>
      <c:valAx>
        <c:axId val="860025408"/>
        <c:scaling>
          <c:orientation val="minMax"/>
        </c:scaling>
        <c:delete val="0"/>
        <c:axPos val="l"/>
        <c:majorGridlines>
          <c:spPr>
            <a:ln w="9525" cap="flat" cmpd="sng" algn="ctr">
              <a:solidFill>
                <a:schemeClr val="tx1">
                  <a:lumMod val="15%"/>
                  <a:lumOff val="85%"/>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
                        <a:lumOff val="35%"/>
                      </a:schemeClr>
                    </a:solidFill>
                    <a:latin typeface="+mn-lt"/>
                    <a:ea typeface="+mn-ea"/>
                    <a:cs typeface="+mn-cs"/>
                  </a:defRPr>
                </a:pPr>
                <a:r>
                  <a:rPr lang="en-US" sz="1100" b="1"/>
                  <a:t>USD Millions</a:t>
                </a:r>
              </a:p>
            </c:rich>
          </c:tx>
          <c:layout>
            <c:manualLayout>
              <c:xMode val="edge"/>
              <c:yMode val="edge"/>
              <c:x val="2.1544702174533182E-2"/>
              <c:y val="0.41666089665561973"/>
            </c:manualLayout>
          </c:layout>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
                      <a:lumOff val="35%"/>
                    </a:schemeClr>
                  </a:solidFill>
                  <a:latin typeface="+mn-lt"/>
                  <a:ea typeface="+mn-ea"/>
                  <a:cs typeface="+mn-cs"/>
                </a:defRPr>
              </a:pPr>
              <a:endParaRPr lang="fr-FR"/>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
                    <a:lumOff val="35%"/>
                  </a:schemeClr>
                </a:solidFill>
                <a:latin typeface="+mn-lt"/>
                <a:ea typeface="+mn-ea"/>
                <a:cs typeface="+mn-cs"/>
              </a:defRPr>
            </a:pPr>
            <a:endParaRPr lang="fr-FR"/>
          </a:p>
        </c:txPr>
        <c:crossAx val="860024096"/>
        <c:crosses val="autoZero"/>
        <c:crossBetween val="between"/>
      </c:valAx>
      <c:spPr>
        <a:noFill/>
        <a:ln>
          <a:noFill/>
        </a:ln>
        <a:effectLst/>
      </c:spPr>
    </c:plotArea>
    <c:legend>
      <c:legendPos val="b"/>
      <c:layout>
        <c:manualLayout>
          <c:xMode val="edge"/>
          <c:yMode val="edge"/>
          <c:x val="0.29622000006873822"/>
          <c:y val="0.898320865329581"/>
          <c:w val="0.43211242821153489"/>
          <c:h val="8.6069376974009543E-2"/>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
                  <a:lumOff val="35%"/>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0.xml><?xml version="1.0" encoding="utf-8"?>
<c:chartSpace xmlns:c="http://purl.oclc.org/ooxml/drawingml/chart" xmlns:a="http://purl.oclc.org/ooxml/drawingml/main" xmlns:r="http://purl.oclc.org/ooxml/officeDocument/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[0]!title_chart22</c:f>
          <c:strCache>
            <c:ptCount val="1"/>
            <c:pt idx="0">
              <c:v>Production du Congo - Nkossa, Nsoko, Moho, KLL</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
                  <a:lumOff val="35%"/>
                </a:schemeClr>
              </a:solidFill>
              <a:latin typeface="+mn-lt"/>
              <a:ea typeface="+mn-ea"/>
              <a:cs typeface="+mn-cs"/>
            </a:defRPr>
          </a:pPr>
          <a:endParaRPr lang="fr-FR"/>
        </a:p>
      </c:txPr>
    </c:title>
    <c:autoTitleDeleted val="0"/>
    <c:plotArea>
      <c:layout>
        <c:manualLayout>
          <c:layoutTarget val="inner"/>
          <c:xMode val="edge"/>
          <c:yMode val="edge"/>
          <c:x val="0.11185972586759989"/>
          <c:y val="0.14225308641975309"/>
          <c:w val="0.86776990376202956"/>
          <c:h val="0.71554510547292705"/>
        </c:manualLayout>
      </c:layout>
      <c:barChart>
        <c:barDir val="col"/>
        <c:grouping val="stacked"/>
        <c:varyColors val="0"/>
        <c:ser>
          <c:idx val="0"/>
          <c:order val="0"/>
          <c:tx>
            <c:strRef>
              <c:f>'Données graphiques'!$D$317</c:f>
              <c:strCache>
                <c:ptCount val="1"/>
                <c:pt idx="0">
                  <c:v>Consolidated Production Rate</c:v>
                </c:pt>
              </c:strCache>
            </c:strRef>
          </c:tx>
          <c:spPr>
            <a:solidFill>
              <a:schemeClr val="accent1"/>
            </a:solidFill>
            <a:ln>
              <a:noFill/>
            </a:ln>
            <a:effectLst/>
          </c:spPr>
          <c:invertIfNegative val="0"/>
          <c:cat>
            <c:numRef>
              <c:extLst>
                <c:ext xmlns:c15="http://schemas.microsoft.com/office/drawing/2012/chart" uri="{02D57815-91ED-43cb-92C2-25804820EDAC}">
                  <c15:fullRef>
                    <c15:sqref>'Données graphiques'!$L$220:$S$220</c15:sqref>
                  </c15:fullRef>
                </c:ext>
              </c:extLst>
              <c:f>'Données graphiques'!$L$220:$R$220</c:f>
              <c:numCache>
                <c:formatCode>General</c:formatCode>
                <c:ptCount val="7"/>
                <c:pt idx="0">
                  <c:v>2013</c:v>
                </c:pt>
                <c:pt idx="1">
                  <c:v>2014</c:v>
                </c:pt>
                <c:pt idx="2">
                  <c:v>2015</c:v>
                </c:pt>
                <c:pt idx="3">
                  <c:v>2016</c:v>
                </c:pt>
                <c:pt idx="4">
                  <c:v>2017</c:v>
                </c:pt>
                <c:pt idx="5">
                  <c:v>2018</c:v>
                </c:pt>
                <c:pt idx="6">
                  <c:v>2019</c:v>
                </c:pt>
              </c:numCache>
            </c:numRef>
          </c:cat>
          <c:val>
            <c:numRef>
              <c:extLst>
                <c:ext xmlns:c15="http://schemas.microsoft.com/office/drawing/2012/chart" uri="{02D57815-91ED-43cb-92C2-25804820EDAC}">
                  <c15:fullRef>
                    <c15:sqref>'Données graphiques'!$L$317:$S$317</c15:sqref>
                  </c15:fullRef>
                </c:ext>
              </c:extLst>
              <c:f>'Données graphiques'!$L$317:$R$317</c:f>
              <c:numCache>
                <c:formatCode>_(* #,##0_);_(* \(#,##0\);_(* "-"??_);_(@_)</c:formatCode>
                <c:ptCount val="7"/>
                <c:pt idx="0">
                  <c:v>95.101260013698635</c:v>
                </c:pt>
                <c:pt idx="1">
                  <c:v>102.13674408219177</c:v>
                </c:pt>
                <c:pt idx="2">
                  <c:v>90.238728501369849</c:v>
                </c:pt>
                <c:pt idx="3">
                  <c:v>90.469743120547946</c:v>
                </c:pt>
                <c:pt idx="4">
                  <c:v>136.64400527945205</c:v>
                </c:pt>
                <c:pt idx="5">
                  <c:v>191.32038015890413</c:v>
                </c:pt>
                <c:pt idx="6">
                  <c:v>190.8567372328767</c:v>
                </c:pt>
              </c:numCache>
            </c:numRef>
          </c:val>
          <c:extLst>
            <c:ext xmlns:c16="http://schemas.microsoft.com/office/drawing/2014/chart" uri="{C3380CC4-5D6E-409C-BE32-E72D297353CC}">
              <c16:uniqueId val="{00000000-ACC2-4191-9FB4-7D1128A032F6}"/>
            </c:ext>
          </c:extLst>
        </c:ser>
        <c:dLbls>
          <c:showLegendKey val="0"/>
          <c:showVal val="0"/>
          <c:showCatName val="0"/>
          <c:showSerName val="0"/>
          <c:showPercent val="0"/>
          <c:showBubbleSize val="0"/>
        </c:dLbls>
        <c:gapWidth val="150"/>
        <c:overlap val="100"/>
        <c:axId val="667638192"/>
        <c:axId val="667640816"/>
      </c:barChart>
      <c:catAx>
        <c:axId val="667638192"/>
        <c:scaling>
          <c:orientation val="minMax"/>
        </c:scaling>
        <c:delete val="0"/>
        <c:axPos val="b"/>
        <c:numFmt formatCode="General" sourceLinked="1"/>
        <c:majorTickMark val="none"/>
        <c:minorTickMark val="none"/>
        <c:tickLblPos val="nextTo"/>
        <c:spPr>
          <a:noFill/>
          <a:ln w="9525" cap="flat" cmpd="sng" algn="ctr">
            <a:solidFill>
              <a:schemeClr val="tx1">
                <a:lumMod val="15%"/>
                <a:lumOff val="85%"/>
              </a:schemeClr>
            </a:solidFill>
            <a:round/>
          </a:ln>
          <a:effectLst/>
        </c:spPr>
        <c:txPr>
          <a:bodyPr rot="-6000000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fr-FR"/>
          </a:p>
        </c:txPr>
        <c:crossAx val="667640816"/>
        <c:crosses val="autoZero"/>
        <c:auto val="1"/>
        <c:lblAlgn val="ctr"/>
        <c:lblOffset val="100"/>
        <c:noMultiLvlLbl val="0"/>
      </c:catAx>
      <c:valAx>
        <c:axId val="667640816"/>
        <c:scaling>
          <c:orientation val="minMax"/>
        </c:scaling>
        <c:delete val="0"/>
        <c:axPos val="l"/>
        <c:majorGridlines>
          <c:spPr>
            <a:ln w="9525" cap="flat" cmpd="sng" algn="ctr">
              <a:solidFill>
                <a:schemeClr val="tx1">
                  <a:lumMod val="15%"/>
                  <a:lumOff val="85%"/>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
                        <a:lumOff val="35%"/>
                      </a:schemeClr>
                    </a:solidFill>
                    <a:latin typeface="+mn-lt"/>
                    <a:ea typeface="+mn-ea"/>
                    <a:cs typeface="+mn-cs"/>
                  </a:defRPr>
                </a:pPr>
                <a:r>
                  <a:rPr lang="en-US" sz="1100" b="1"/>
                  <a:t>Mbbl/d</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
                      <a:lumOff val="35%"/>
                    </a:schemeClr>
                  </a:solidFill>
                  <a:latin typeface="+mn-lt"/>
                  <a:ea typeface="+mn-ea"/>
                  <a:cs typeface="+mn-cs"/>
                </a:defRPr>
              </a:pPr>
              <a:endParaRPr lang="fr-FR"/>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fr-FR"/>
          </a:p>
        </c:txPr>
        <c:crossAx val="667638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
                  <a:lumOff val="35%"/>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1.xml><?xml version="1.0" encoding="utf-8"?>
<c:chartSpace xmlns:c="http://purl.oclc.org/ooxml/drawingml/chart" xmlns:a="http://purl.oclc.org/ooxml/drawingml/main" xmlns:r="http://purl.oclc.org/ooxml/officeDocument/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[0]!title_chart23</c:f>
          <c:strCache>
            <c:ptCount val="1"/>
            <c:pt idx="0">
              <c:v>Part des revenus du Congo</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
                  <a:lumOff val="35%"/>
                </a:schemeClr>
              </a:solidFill>
              <a:latin typeface="+mn-lt"/>
              <a:ea typeface="+mn-ea"/>
              <a:cs typeface="+mn-cs"/>
            </a:defRPr>
          </a:pPr>
          <a:endParaRPr lang="fr-FR"/>
        </a:p>
      </c:txPr>
    </c:title>
    <c:autoTitleDeleted val="0"/>
    <c:plotArea>
      <c:layout>
        <c:manualLayout>
          <c:layoutTarget val="inner"/>
          <c:xMode val="edge"/>
          <c:yMode val="edge"/>
          <c:x val="0.11185972586759989"/>
          <c:y val="0.14225308641975309"/>
          <c:w val="0.82822820162350153"/>
          <c:h val="0.71554510547292705"/>
        </c:manualLayout>
      </c:layout>
      <c:barChart>
        <c:barDir val="col"/>
        <c:grouping val="clustered"/>
        <c:varyColors val="0"/>
        <c:ser>
          <c:idx val="1"/>
          <c:order val="0"/>
          <c:tx>
            <c:strRef>
              <c:f>'Données graphiques'!$D$324</c:f>
              <c:strCache>
                <c:ptCount val="1"/>
                <c:pt idx="0">
                  <c:v>Total flux de trésorerie du Gouv.</c:v>
                </c:pt>
              </c:strCache>
            </c:strRef>
          </c:tx>
          <c:spPr>
            <a:solidFill>
              <a:schemeClr val="accent2"/>
            </a:solidFill>
            <a:ln>
              <a:noFill/>
            </a:ln>
            <a:effectLst/>
          </c:spPr>
          <c:invertIfNegative val="0"/>
          <c:cat>
            <c:numRef>
              <c:extLst>
                <c:ext xmlns:c15="http://schemas.microsoft.com/office/drawing/2012/chart" uri="{02D57815-91ED-43cb-92C2-25804820EDAC}">
                  <c15:fullRef>
                    <c15:sqref>'Données graphiques'!$L$260:$S$260</c15:sqref>
                  </c15:fullRef>
                </c:ext>
              </c:extLst>
              <c:f>'Données graphiques'!$L$260:$R$260</c:f>
              <c:numCache>
                <c:formatCode>General</c:formatCode>
                <c:ptCount val="7"/>
                <c:pt idx="0">
                  <c:v>2013</c:v>
                </c:pt>
                <c:pt idx="1">
                  <c:v>2014</c:v>
                </c:pt>
                <c:pt idx="2">
                  <c:v>2015</c:v>
                </c:pt>
                <c:pt idx="3">
                  <c:v>2016</c:v>
                </c:pt>
                <c:pt idx="4">
                  <c:v>2017</c:v>
                </c:pt>
                <c:pt idx="5">
                  <c:v>2018</c:v>
                </c:pt>
                <c:pt idx="6">
                  <c:v>2019</c:v>
                </c:pt>
              </c:numCache>
            </c:numRef>
          </c:cat>
          <c:val>
            <c:numRef>
              <c:extLst>
                <c:ext xmlns:c15="http://schemas.microsoft.com/office/drawing/2012/chart" uri="{02D57815-91ED-43cb-92C2-25804820EDAC}">
                  <c15:fullRef>
                    <c15:sqref>'Données graphiques'!$L$324:$S$324</c15:sqref>
                  </c15:fullRef>
                </c:ext>
              </c:extLst>
              <c:f>'Données graphiques'!$L$324:$R$324</c:f>
              <c:numCache>
                <c:formatCode>_(* #,##0_);_(* \(#,##0\);_(* "-"??_);_(@_)</c:formatCode>
                <c:ptCount val="7"/>
                <c:pt idx="0">
                  <c:v>2294.2836553891611</c:v>
                </c:pt>
                <c:pt idx="1">
                  <c:v>2122.6017635048638</c:v>
                </c:pt>
                <c:pt idx="2">
                  <c:v>506.69063551901479</c:v>
                </c:pt>
                <c:pt idx="3">
                  <c:v>347.28216151018364</c:v>
                </c:pt>
                <c:pt idx="4">
                  <c:v>625.78259063188045</c:v>
                </c:pt>
                <c:pt idx="5">
                  <c:v>1120.775248125731</c:v>
                </c:pt>
                <c:pt idx="6">
                  <c:v>1048.1057548012518</c:v>
                </c:pt>
              </c:numCache>
            </c:numRef>
          </c:val>
          <c:extLst>
            <c:ext xmlns:c16="http://schemas.microsoft.com/office/drawing/2014/chart" uri="{C3380CC4-5D6E-409C-BE32-E72D297353CC}">
              <c16:uniqueId val="{00000001-9643-483E-9951-46BA087E4D0E}"/>
            </c:ext>
          </c:extLst>
        </c:ser>
        <c:ser>
          <c:idx val="0"/>
          <c:order val="1"/>
          <c:tx>
            <c:strRef>
              <c:f>'Données graphiques'!$D$323</c:f>
              <c:strCache>
                <c:ptCount val="1"/>
                <c:pt idx="0">
                  <c:v>Total revenus</c:v>
                </c:pt>
              </c:strCache>
            </c:strRef>
          </c:tx>
          <c:spPr>
            <a:solidFill>
              <a:schemeClr val="accent1"/>
            </a:solidFill>
            <a:ln>
              <a:noFill/>
            </a:ln>
            <a:effectLst/>
          </c:spPr>
          <c:invertIfNegative val="0"/>
          <c:cat>
            <c:numRef>
              <c:extLst>
                <c:ext xmlns:c15="http://schemas.microsoft.com/office/drawing/2012/chart" uri="{02D57815-91ED-43cb-92C2-25804820EDAC}">
                  <c15:fullRef>
                    <c15:sqref>'Données graphiques'!$L$260:$S$260</c15:sqref>
                  </c15:fullRef>
                </c:ext>
              </c:extLst>
              <c:f>'Données graphiques'!$L$260:$R$260</c:f>
              <c:numCache>
                <c:formatCode>General</c:formatCode>
                <c:ptCount val="7"/>
                <c:pt idx="0">
                  <c:v>2013</c:v>
                </c:pt>
                <c:pt idx="1">
                  <c:v>2014</c:v>
                </c:pt>
                <c:pt idx="2">
                  <c:v>2015</c:v>
                </c:pt>
                <c:pt idx="3">
                  <c:v>2016</c:v>
                </c:pt>
                <c:pt idx="4">
                  <c:v>2017</c:v>
                </c:pt>
                <c:pt idx="5">
                  <c:v>2018</c:v>
                </c:pt>
                <c:pt idx="6">
                  <c:v>2019</c:v>
                </c:pt>
              </c:numCache>
            </c:numRef>
          </c:cat>
          <c:val>
            <c:numRef>
              <c:extLst>
                <c:ext xmlns:c15="http://schemas.microsoft.com/office/drawing/2012/chart" uri="{02D57815-91ED-43cb-92C2-25804820EDAC}">
                  <c15:fullRef>
                    <c15:sqref>'Données graphiques'!$L$323:$S$323</c15:sqref>
                  </c15:fullRef>
                </c:ext>
              </c:extLst>
              <c:f>'Données graphiques'!$L$323:$R$323</c:f>
              <c:numCache>
                <c:formatCode>_(* #,##0_);_(* \(#,##0\);_(* "-"??_);_(@_)</c:formatCode>
                <c:ptCount val="7"/>
                <c:pt idx="0">
                  <c:v>3413.9595372109998</c:v>
                </c:pt>
                <c:pt idx="1">
                  <c:v>3429.9380339799995</c:v>
                </c:pt>
                <c:pt idx="2">
                  <c:v>1506.0982819689998</c:v>
                </c:pt>
                <c:pt idx="3">
                  <c:v>1317.246117869</c:v>
                </c:pt>
                <c:pt idx="4">
                  <c:v>2543.0041175360002</c:v>
                </c:pt>
                <c:pt idx="5">
                  <c:v>4505.8636628049999</c:v>
                </c:pt>
                <c:pt idx="6">
                  <c:v>4383.8491450520005</c:v>
                </c:pt>
              </c:numCache>
            </c:numRef>
          </c:val>
          <c:extLst>
            <c:ext xmlns:c16="http://schemas.microsoft.com/office/drawing/2014/chart" uri="{C3380CC4-5D6E-409C-BE32-E72D297353CC}">
              <c16:uniqueId val="{00000000-ACC2-4191-9FB4-7D1128A032F6}"/>
            </c:ext>
          </c:extLst>
        </c:ser>
        <c:dLbls>
          <c:showLegendKey val="0"/>
          <c:showVal val="0"/>
          <c:showCatName val="0"/>
          <c:showSerName val="0"/>
          <c:showPercent val="0"/>
          <c:showBubbleSize val="0"/>
        </c:dLbls>
        <c:gapWidth val="150"/>
        <c:axId val="667638192"/>
        <c:axId val="667640816"/>
      </c:barChart>
      <c:lineChart>
        <c:grouping val="standard"/>
        <c:varyColors val="0"/>
        <c:ser>
          <c:idx val="2"/>
          <c:order val="2"/>
          <c:tx>
            <c:strRef>
              <c:f>'Données graphiques'!$D$325</c:f>
              <c:strCache>
                <c:ptCount val="1"/>
                <c:pt idx="0">
                  <c:v>Part des revenus du Congo</c:v>
                </c:pt>
              </c:strCache>
            </c:strRef>
          </c:tx>
          <c:spPr>
            <a:ln w="38100" cap="rnd">
              <a:solidFill>
                <a:schemeClr val="tx1"/>
              </a:solidFill>
              <a:prstDash val="dash"/>
              <a:round/>
            </a:ln>
            <a:effectLst/>
          </c:spPr>
          <c:marker>
            <c:symbol val="none"/>
          </c:marker>
          <c:cat>
            <c:numRef>
              <c:extLst>
                <c:ext xmlns:c15="http://schemas.microsoft.com/office/drawing/2012/chart" uri="{02D57815-91ED-43cb-92C2-25804820EDAC}">
                  <c15:fullRef>
                    <c15:sqref>'Données graphiques'!$L$260:$S$260</c15:sqref>
                  </c15:fullRef>
                </c:ext>
              </c:extLst>
              <c:f>'Données graphiques'!$L$260:$R$260</c:f>
              <c:numCache>
                <c:formatCode>General</c:formatCode>
                <c:ptCount val="7"/>
                <c:pt idx="0">
                  <c:v>2013</c:v>
                </c:pt>
                <c:pt idx="1">
                  <c:v>2014</c:v>
                </c:pt>
                <c:pt idx="2">
                  <c:v>2015</c:v>
                </c:pt>
                <c:pt idx="3">
                  <c:v>2016</c:v>
                </c:pt>
                <c:pt idx="4">
                  <c:v>2017</c:v>
                </c:pt>
                <c:pt idx="5">
                  <c:v>2018</c:v>
                </c:pt>
                <c:pt idx="6">
                  <c:v>2019</c:v>
                </c:pt>
              </c:numCache>
            </c:numRef>
          </c:cat>
          <c:val>
            <c:numRef>
              <c:extLst>
                <c:ext xmlns:c15="http://schemas.microsoft.com/office/drawing/2012/chart" uri="{02D57815-91ED-43cb-92C2-25804820EDAC}">
                  <c15:fullRef>
                    <c15:sqref>'Données graphiques'!$L$325:$S$325</c15:sqref>
                  </c15:fullRef>
                </c:ext>
              </c:extLst>
              <c:f>'Données graphiques'!$L$325:$R$325</c:f>
              <c:numCache>
                <c:formatCode>0%</c:formatCode>
                <c:ptCount val="7"/>
                <c:pt idx="0">
                  <c:v>0.67203012524965466</c:v>
                </c:pt>
                <c:pt idx="1">
                  <c:v>0.61884551338143534</c:v>
                </c:pt>
                <c:pt idx="2">
                  <c:v>0.33642600989929555</c:v>
                </c:pt>
                <c:pt idx="3">
                  <c:v>0.26364257734310576</c:v>
                </c:pt>
                <c:pt idx="4">
                  <c:v>0.24608005402611052</c:v>
                </c:pt>
                <c:pt idx="5">
                  <c:v>0.24873705287124101</c:v>
                </c:pt>
                <c:pt idx="6">
                  <c:v>0.23908344473582915</c:v>
                </c:pt>
              </c:numCache>
            </c:numRef>
          </c:val>
          <c:smooth val="0"/>
          <c:extLst>
            <c:ext xmlns:c16="http://schemas.microsoft.com/office/drawing/2014/chart" uri="{C3380CC4-5D6E-409C-BE32-E72D297353CC}">
              <c16:uniqueId val="{00000002-9643-483E-9951-46BA087E4D0E}"/>
            </c:ext>
          </c:extLst>
        </c:ser>
        <c:dLbls>
          <c:showLegendKey val="0"/>
          <c:showVal val="0"/>
          <c:showCatName val="0"/>
          <c:showSerName val="0"/>
          <c:showPercent val="0"/>
          <c:showBubbleSize val="0"/>
        </c:dLbls>
        <c:marker val="1"/>
        <c:smooth val="0"/>
        <c:axId val="741699888"/>
        <c:axId val="741700216"/>
      </c:lineChart>
      <c:catAx>
        <c:axId val="667638192"/>
        <c:scaling>
          <c:orientation val="minMax"/>
        </c:scaling>
        <c:delete val="0"/>
        <c:axPos val="b"/>
        <c:numFmt formatCode="General" sourceLinked="1"/>
        <c:majorTickMark val="none"/>
        <c:minorTickMark val="none"/>
        <c:tickLblPos val="nextTo"/>
        <c:spPr>
          <a:noFill/>
          <a:ln w="9525" cap="flat" cmpd="sng" algn="ctr">
            <a:solidFill>
              <a:schemeClr val="tx1">
                <a:lumMod val="15%"/>
                <a:lumOff val="85%"/>
              </a:schemeClr>
            </a:solidFill>
            <a:round/>
          </a:ln>
          <a:effectLst/>
        </c:spPr>
        <c:txPr>
          <a:bodyPr rot="-6000000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fr-FR"/>
          </a:p>
        </c:txPr>
        <c:crossAx val="667640816"/>
        <c:crosses val="autoZero"/>
        <c:auto val="1"/>
        <c:lblAlgn val="ctr"/>
        <c:lblOffset val="100"/>
        <c:noMultiLvlLbl val="0"/>
      </c:catAx>
      <c:valAx>
        <c:axId val="667640816"/>
        <c:scaling>
          <c:orientation val="minMax"/>
        </c:scaling>
        <c:delete val="0"/>
        <c:axPos val="l"/>
        <c:majorGridlines>
          <c:spPr>
            <a:ln w="9525" cap="flat" cmpd="sng" algn="ctr">
              <a:solidFill>
                <a:schemeClr val="tx1">
                  <a:lumMod val="15%"/>
                  <a:lumOff val="85%"/>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
                        <a:lumOff val="35%"/>
                      </a:schemeClr>
                    </a:solidFill>
                    <a:latin typeface="+mn-lt"/>
                    <a:ea typeface="+mn-ea"/>
                    <a:cs typeface="+mn-cs"/>
                  </a:defRPr>
                </a:pPr>
                <a:r>
                  <a:rPr lang="en-US" sz="1100" b="1"/>
                  <a:t>Millions USD</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
                      <a:lumOff val="35%"/>
                    </a:schemeClr>
                  </a:solidFill>
                  <a:latin typeface="+mn-lt"/>
                  <a:ea typeface="+mn-ea"/>
                  <a:cs typeface="+mn-cs"/>
                </a:defRPr>
              </a:pPr>
              <a:endParaRPr lang="fr-FR"/>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fr-FR"/>
          </a:p>
        </c:txPr>
        <c:crossAx val="667638192"/>
        <c:crosses val="autoZero"/>
        <c:crossBetween val="between"/>
      </c:valAx>
      <c:valAx>
        <c:axId val="74170021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fr-FR"/>
          </a:p>
        </c:txPr>
        <c:crossAx val="741699888"/>
        <c:crosses val="max"/>
        <c:crossBetween val="between"/>
      </c:valAx>
      <c:catAx>
        <c:axId val="741699888"/>
        <c:scaling>
          <c:orientation val="minMax"/>
        </c:scaling>
        <c:delete val="1"/>
        <c:axPos val="b"/>
        <c:numFmt formatCode="General" sourceLinked="1"/>
        <c:majorTickMark val="out"/>
        <c:minorTickMark val="none"/>
        <c:tickLblPos val="nextTo"/>
        <c:crossAx val="74170021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
                  <a:lumOff val="35%"/>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2.xml><?xml version="1.0" encoding="utf-8"?>
<c:chartSpace xmlns:c="http://purl.oclc.org/ooxml/drawingml/chart" xmlns:a="http://purl.oclc.org/ooxml/drawingml/main" xmlns:r="http://purl.oclc.org/ooxml/officeDocument/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[0]!title_chart24</c:f>
          <c:strCache>
            <c:ptCount val="1"/>
            <c:pt idx="0">
              <c:v>% récupération des coûts dans les revenus</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
                  <a:lumOff val="35%"/>
                </a:schemeClr>
              </a:solidFill>
              <a:latin typeface="+mn-lt"/>
              <a:ea typeface="+mn-ea"/>
              <a:cs typeface="+mn-cs"/>
            </a:defRPr>
          </a:pPr>
          <a:endParaRPr lang="fr-FR"/>
        </a:p>
      </c:txPr>
    </c:title>
    <c:autoTitleDeleted val="0"/>
    <c:plotArea>
      <c:layout>
        <c:manualLayout>
          <c:layoutTarget val="inner"/>
          <c:xMode val="edge"/>
          <c:yMode val="edge"/>
          <c:x val="0.11185972586759989"/>
          <c:y val="0.14225308641975309"/>
          <c:w val="0.82822820162350153"/>
          <c:h val="0.71554510547292705"/>
        </c:manualLayout>
      </c:layout>
      <c:barChart>
        <c:barDir val="col"/>
        <c:grouping val="clustered"/>
        <c:varyColors val="0"/>
        <c:ser>
          <c:idx val="1"/>
          <c:order val="0"/>
          <c:tx>
            <c:strRef>
              <c:f>'Données graphiques'!$D$332</c:f>
              <c:strCache>
                <c:ptCount val="1"/>
                <c:pt idx="0">
                  <c:v>Récupération des coûts</c:v>
                </c:pt>
              </c:strCache>
            </c:strRef>
          </c:tx>
          <c:spPr>
            <a:solidFill>
              <a:schemeClr val="accent2"/>
            </a:solidFill>
            <a:ln>
              <a:noFill/>
            </a:ln>
            <a:effectLst/>
          </c:spPr>
          <c:invertIfNegative val="0"/>
          <c:cat>
            <c:numRef>
              <c:extLst>
                <c:ext xmlns:c15="http://schemas.microsoft.com/office/drawing/2012/chart" uri="{02D57815-91ED-43cb-92C2-25804820EDAC}">
                  <c15:fullRef>
                    <c15:sqref>'Données graphiques'!$L$260:$S$260</c15:sqref>
                  </c15:fullRef>
                </c:ext>
              </c:extLst>
              <c:f>'Données graphiques'!$L$260:$R$260</c:f>
              <c:numCache>
                <c:formatCode>General</c:formatCode>
                <c:ptCount val="7"/>
                <c:pt idx="0">
                  <c:v>2013</c:v>
                </c:pt>
                <c:pt idx="1">
                  <c:v>2014</c:v>
                </c:pt>
                <c:pt idx="2">
                  <c:v>2015</c:v>
                </c:pt>
                <c:pt idx="3">
                  <c:v>2016</c:v>
                </c:pt>
                <c:pt idx="4">
                  <c:v>2017</c:v>
                </c:pt>
                <c:pt idx="5">
                  <c:v>2018</c:v>
                </c:pt>
                <c:pt idx="6">
                  <c:v>2019</c:v>
                </c:pt>
              </c:numCache>
            </c:numRef>
          </c:cat>
          <c:val>
            <c:numRef>
              <c:extLst>
                <c:ext xmlns:c15="http://schemas.microsoft.com/office/drawing/2012/chart" uri="{02D57815-91ED-43cb-92C2-25804820EDAC}">
                  <c15:fullRef>
                    <c15:sqref>'Données graphiques'!$L$332:$S$332</c15:sqref>
                  </c15:fullRef>
                </c:ext>
              </c:extLst>
              <c:f>'Données graphiques'!$L$332:$R$332</c:f>
              <c:numCache>
                <c:formatCode>_(* #,##0_);_(* \(#,##0\);_(* "-"??_);_(@_)</c:formatCode>
                <c:ptCount val="7"/>
                <c:pt idx="0">
                  <c:v>626.44439288542935</c:v>
                </c:pt>
                <c:pt idx="1">
                  <c:v>690.78425161289533</c:v>
                </c:pt>
                <c:pt idx="2">
                  <c:v>760.01555092779199</c:v>
                </c:pt>
                <c:pt idx="3">
                  <c:v>758.9388566668033</c:v>
                </c:pt>
                <c:pt idx="4">
                  <c:v>1689.2760924767297</c:v>
                </c:pt>
                <c:pt idx="5">
                  <c:v>3029.2498981763379</c:v>
                </c:pt>
                <c:pt idx="6">
                  <c:v>2881.0870137562888</c:v>
                </c:pt>
              </c:numCache>
            </c:numRef>
          </c:val>
          <c:extLst>
            <c:ext xmlns:c16="http://schemas.microsoft.com/office/drawing/2014/chart" uri="{C3380CC4-5D6E-409C-BE32-E72D297353CC}">
              <c16:uniqueId val="{00000001-9643-483E-9951-46BA087E4D0E}"/>
            </c:ext>
          </c:extLst>
        </c:ser>
        <c:ser>
          <c:idx val="0"/>
          <c:order val="1"/>
          <c:tx>
            <c:strRef>
              <c:f>'Données graphiques'!$D$331</c:f>
              <c:strCache>
                <c:ptCount val="1"/>
                <c:pt idx="0">
                  <c:v>Total revenus</c:v>
                </c:pt>
              </c:strCache>
            </c:strRef>
          </c:tx>
          <c:spPr>
            <a:solidFill>
              <a:schemeClr val="accent1"/>
            </a:solidFill>
            <a:ln>
              <a:noFill/>
            </a:ln>
            <a:effectLst/>
          </c:spPr>
          <c:invertIfNegative val="0"/>
          <c:cat>
            <c:numRef>
              <c:extLst>
                <c:ext xmlns:c15="http://schemas.microsoft.com/office/drawing/2012/chart" uri="{02D57815-91ED-43cb-92C2-25804820EDAC}">
                  <c15:fullRef>
                    <c15:sqref>'Données graphiques'!$L$260:$S$260</c15:sqref>
                  </c15:fullRef>
                </c:ext>
              </c:extLst>
              <c:f>'Données graphiques'!$L$260:$R$260</c:f>
              <c:numCache>
                <c:formatCode>General</c:formatCode>
                <c:ptCount val="7"/>
                <c:pt idx="0">
                  <c:v>2013</c:v>
                </c:pt>
                <c:pt idx="1">
                  <c:v>2014</c:v>
                </c:pt>
                <c:pt idx="2">
                  <c:v>2015</c:v>
                </c:pt>
                <c:pt idx="3">
                  <c:v>2016</c:v>
                </c:pt>
                <c:pt idx="4">
                  <c:v>2017</c:v>
                </c:pt>
                <c:pt idx="5">
                  <c:v>2018</c:v>
                </c:pt>
                <c:pt idx="6">
                  <c:v>2019</c:v>
                </c:pt>
              </c:numCache>
            </c:numRef>
          </c:cat>
          <c:val>
            <c:numRef>
              <c:extLst>
                <c:ext xmlns:c15="http://schemas.microsoft.com/office/drawing/2012/chart" uri="{02D57815-91ED-43cb-92C2-25804820EDAC}">
                  <c15:fullRef>
                    <c15:sqref>'Données graphiques'!$L$331:$S$331</c15:sqref>
                  </c15:fullRef>
                </c:ext>
              </c:extLst>
              <c:f>'Données graphiques'!$L$331:$R$331</c:f>
              <c:numCache>
                <c:formatCode>_(* #,##0_);_(* \(#,##0\);_(* "-"??_);_(@_)</c:formatCode>
                <c:ptCount val="7"/>
                <c:pt idx="0">
                  <c:v>3413.9595372109998</c:v>
                </c:pt>
                <c:pt idx="1">
                  <c:v>3429.9380339799995</c:v>
                </c:pt>
                <c:pt idx="2">
                  <c:v>1506.0982819689998</c:v>
                </c:pt>
                <c:pt idx="3">
                  <c:v>1317.246117869</c:v>
                </c:pt>
                <c:pt idx="4">
                  <c:v>2543.0041175360002</c:v>
                </c:pt>
                <c:pt idx="5">
                  <c:v>4505.8636628049999</c:v>
                </c:pt>
                <c:pt idx="6">
                  <c:v>4383.8491450520005</c:v>
                </c:pt>
              </c:numCache>
            </c:numRef>
          </c:val>
          <c:extLst>
            <c:ext xmlns:c16="http://schemas.microsoft.com/office/drawing/2014/chart" uri="{C3380CC4-5D6E-409C-BE32-E72D297353CC}">
              <c16:uniqueId val="{00000000-ACC2-4191-9FB4-7D1128A032F6}"/>
            </c:ext>
          </c:extLst>
        </c:ser>
        <c:dLbls>
          <c:showLegendKey val="0"/>
          <c:showVal val="0"/>
          <c:showCatName val="0"/>
          <c:showSerName val="0"/>
          <c:showPercent val="0"/>
          <c:showBubbleSize val="0"/>
        </c:dLbls>
        <c:gapWidth val="150"/>
        <c:axId val="667638192"/>
        <c:axId val="667640816"/>
      </c:barChart>
      <c:lineChart>
        <c:grouping val="standard"/>
        <c:varyColors val="0"/>
        <c:ser>
          <c:idx val="2"/>
          <c:order val="2"/>
          <c:tx>
            <c:strRef>
              <c:f>'Données graphiques'!$D$333</c:f>
              <c:strCache>
                <c:ptCount val="1"/>
                <c:pt idx="0">
                  <c:v>% récupération des coûts dans les revenus</c:v>
                </c:pt>
              </c:strCache>
            </c:strRef>
          </c:tx>
          <c:spPr>
            <a:ln w="38100" cap="rnd">
              <a:solidFill>
                <a:schemeClr val="tx1"/>
              </a:solidFill>
              <a:prstDash val="dash"/>
              <a:round/>
            </a:ln>
            <a:effectLst/>
          </c:spPr>
          <c:marker>
            <c:symbol val="none"/>
          </c:marker>
          <c:cat>
            <c:numRef>
              <c:extLst>
                <c:ext xmlns:c15="http://schemas.microsoft.com/office/drawing/2012/chart" uri="{02D57815-91ED-43cb-92C2-25804820EDAC}">
                  <c15:fullRef>
                    <c15:sqref>'Données graphiques'!$L$260:$S$260</c15:sqref>
                  </c15:fullRef>
                </c:ext>
              </c:extLst>
              <c:f>'Données graphiques'!$L$260:$R$260</c:f>
              <c:numCache>
                <c:formatCode>General</c:formatCode>
                <c:ptCount val="7"/>
                <c:pt idx="0">
                  <c:v>2013</c:v>
                </c:pt>
                <c:pt idx="1">
                  <c:v>2014</c:v>
                </c:pt>
                <c:pt idx="2">
                  <c:v>2015</c:v>
                </c:pt>
                <c:pt idx="3">
                  <c:v>2016</c:v>
                </c:pt>
                <c:pt idx="4">
                  <c:v>2017</c:v>
                </c:pt>
                <c:pt idx="5">
                  <c:v>2018</c:v>
                </c:pt>
                <c:pt idx="6">
                  <c:v>2019</c:v>
                </c:pt>
              </c:numCache>
            </c:numRef>
          </c:cat>
          <c:val>
            <c:numRef>
              <c:extLst>
                <c:ext xmlns:c15="http://schemas.microsoft.com/office/drawing/2012/chart" uri="{02D57815-91ED-43cb-92C2-25804820EDAC}">
                  <c15:fullRef>
                    <c15:sqref>'Données graphiques'!$L$333:$S$333</c15:sqref>
                  </c15:fullRef>
                </c:ext>
              </c:extLst>
              <c:f>'Données graphiques'!$L$333:$R$333</c:f>
              <c:numCache>
                <c:formatCode>0%</c:formatCode>
                <c:ptCount val="7"/>
                <c:pt idx="0">
                  <c:v>0.18349496707778701</c:v>
                </c:pt>
                <c:pt idx="1">
                  <c:v>0.20139846398663055</c:v>
                </c:pt>
                <c:pt idx="2">
                  <c:v>0.50462546835534838</c:v>
                </c:pt>
                <c:pt idx="3">
                  <c:v>0.57615569814287326</c:v>
                </c:pt>
                <c:pt idx="4">
                  <c:v>0.66428366388707405</c:v>
                </c:pt>
                <c:pt idx="5">
                  <c:v>0.67229062503204162</c:v>
                </c:pt>
                <c:pt idx="6">
                  <c:v>0.65720487143316464</c:v>
                </c:pt>
              </c:numCache>
            </c:numRef>
          </c:val>
          <c:smooth val="0"/>
          <c:extLst>
            <c:ext xmlns:c16="http://schemas.microsoft.com/office/drawing/2014/chart" uri="{C3380CC4-5D6E-409C-BE32-E72D297353CC}">
              <c16:uniqueId val="{00000002-9643-483E-9951-46BA087E4D0E}"/>
            </c:ext>
          </c:extLst>
        </c:ser>
        <c:dLbls>
          <c:showLegendKey val="0"/>
          <c:showVal val="0"/>
          <c:showCatName val="0"/>
          <c:showSerName val="0"/>
          <c:showPercent val="0"/>
          <c:showBubbleSize val="0"/>
        </c:dLbls>
        <c:marker val="1"/>
        <c:smooth val="0"/>
        <c:axId val="741699888"/>
        <c:axId val="741700216"/>
      </c:lineChart>
      <c:catAx>
        <c:axId val="667638192"/>
        <c:scaling>
          <c:orientation val="minMax"/>
        </c:scaling>
        <c:delete val="0"/>
        <c:axPos val="b"/>
        <c:numFmt formatCode="General" sourceLinked="1"/>
        <c:majorTickMark val="none"/>
        <c:minorTickMark val="none"/>
        <c:tickLblPos val="nextTo"/>
        <c:spPr>
          <a:noFill/>
          <a:ln w="9525" cap="flat" cmpd="sng" algn="ctr">
            <a:solidFill>
              <a:schemeClr val="tx1">
                <a:lumMod val="15%"/>
                <a:lumOff val="85%"/>
              </a:schemeClr>
            </a:solidFill>
            <a:round/>
          </a:ln>
          <a:effectLst/>
        </c:spPr>
        <c:txPr>
          <a:bodyPr rot="-6000000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fr-FR"/>
          </a:p>
        </c:txPr>
        <c:crossAx val="667640816"/>
        <c:crosses val="autoZero"/>
        <c:auto val="1"/>
        <c:lblAlgn val="ctr"/>
        <c:lblOffset val="100"/>
        <c:noMultiLvlLbl val="0"/>
      </c:catAx>
      <c:valAx>
        <c:axId val="667640816"/>
        <c:scaling>
          <c:orientation val="minMax"/>
        </c:scaling>
        <c:delete val="0"/>
        <c:axPos val="l"/>
        <c:majorGridlines>
          <c:spPr>
            <a:ln w="9525" cap="flat" cmpd="sng" algn="ctr">
              <a:solidFill>
                <a:schemeClr val="tx1">
                  <a:lumMod val="15%"/>
                  <a:lumOff val="85%"/>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
                        <a:lumOff val="35%"/>
                      </a:schemeClr>
                    </a:solidFill>
                    <a:latin typeface="+mn-lt"/>
                    <a:ea typeface="+mn-ea"/>
                    <a:cs typeface="+mn-cs"/>
                  </a:defRPr>
                </a:pPr>
                <a:r>
                  <a:rPr lang="en-US" sz="1100" b="1"/>
                  <a:t>Millions USD</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
                      <a:lumOff val="35%"/>
                    </a:schemeClr>
                  </a:solidFill>
                  <a:latin typeface="+mn-lt"/>
                  <a:ea typeface="+mn-ea"/>
                  <a:cs typeface="+mn-cs"/>
                </a:defRPr>
              </a:pPr>
              <a:endParaRPr lang="fr-FR"/>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fr-FR"/>
          </a:p>
        </c:txPr>
        <c:crossAx val="667638192"/>
        <c:crosses val="autoZero"/>
        <c:crossBetween val="between"/>
      </c:valAx>
      <c:valAx>
        <c:axId val="74170021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fr-FR"/>
          </a:p>
        </c:txPr>
        <c:crossAx val="741699888"/>
        <c:crosses val="max"/>
        <c:crossBetween val="between"/>
      </c:valAx>
      <c:catAx>
        <c:axId val="741699888"/>
        <c:scaling>
          <c:orientation val="minMax"/>
        </c:scaling>
        <c:delete val="1"/>
        <c:axPos val="b"/>
        <c:numFmt formatCode="General" sourceLinked="1"/>
        <c:majorTickMark val="out"/>
        <c:minorTickMark val="none"/>
        <c:tickLblPos val="nextTo"/>
        <c:crossAx val="74170021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
                  <a:lumOff val="35%"/>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3.xml><?xml version="1.0" encoding="utf-8"?>
<c:chartSpace xmlns:c="http://purl.oclc.org/ooxml/drawingml/chart" xmlns:a="http://purl.oclc.org/ooxml/drawingml/main" xmlns:r="http://purl.oclc.org/ooxml/officeDocument/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[0]!title_chart25</c:f>
          <c:strCache>
            <c:ptCount val="1"/>
            <c:pt idx="0">
              <c:v>Sources de Revenus du Congo - Moho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
                  <a:lumOff val="35%"/>
                </a:schemeClr>
              </a:solidFill>
              <a:latin typeface="+mn-lt"/>
              <a:ea typeface="+mn-ea"/>
              <a:cs typeface="+mn-cs"/>
            </a:defRPr>
          </a:pPr>
          <a:endParaRPr lang="fr-FR"/>
        </a:p>
      </c:txPr>
    </c:title>
    <c:autoTitleDeleted val="0"/>
    <c:plotArea>
      <c:layout>
        <c:manualLayout>
          <c:layoutTarget val="inner"/>
          <c:xMode val="edge"/>
          <c:yMode val="edge"/>
          <c:x val="0.10419288980042632"/>
          <c:y val="0.14225305995166446"/>
          <c:w val="0.81744410739825657"/>
          <c:h val="0.71554510547292705"/>
        </c:manualLayout>
      </c:layout>
      <c:barChart>
        <c:barDir val="col"/>
        <c:grouping val="stacked"/>
        <c:varyColors val="0"/>
        <c:ser>
          <c:idx val="0"/>
          <c:order val="0"/>
          <c:tx>
            <c:strRef>
              <c:f>'Données graphiques'!$D$338</c:f>
              <c:strCache>
                <c:ptCount val="1"/>
                <c:pt idx="0">
                  <c:v>Redevances and PID</c:v>
                </c:pt>
              </c:strCache>
            </c:strRef>
          </c:tx>
          <c:spPr>
            <a:solidFill>
              <a:schemeClr val="accent1"/>
            </a:solidFill>
            <a:ln>
              <a:noFill/>
            </a:ln>
            <a:effectLst/>
          </c:spPr>
          <c:invertIfNegative val="0"/>
          <c:cat>
            <c:numRef>
              <c:extLst>
                <c:ext xmlns:c15="http://schemas.microsoft.com/office/drawing/2012/chart" uri="{02D57815-91ED-43cb-92C2-25804820EDAC}">
                  <c15:fullRef>
                    <c15:sqref>'Données graphiques'!$L$260:$S$260</c15:sqref>
                  </c15:fullRef>
                </c:ext>
              </c:extLst>
              <c:f>'Données graphiques'!$L$260:$R$260</c:f>
              <c:numCache>
                <c:formatCode>General</c:formatCode>
                <c:ptCount val="7"/>
                <c:pt idx="0">
                  <c:v>2013</c:v>
                </c:pt>
                <c:pt idx="1">
                  <c:v>2014</c:v>
                </c:pt>
                <c:pt idx="2">
                  <c:v>2015</c:v>
                </c:pt>
                <c:pt idx="3">
                  <c:v>2016</c:v>
                </c:pt>
                <c:pt idx="4">
                  <c:v>2017</c:v>
                </c:pt>
                <c:pt idx="5">
                  <c:v>2018</c:v>
                </c:pt>
                <c:pt idx="6">
                  <c:v>2019</c:v>
                </c:pt>
              </c:numCache>
            </c:numRef>
          </c:cat>
          <c:val>
            <c:numRef>
              <c:extLst>
                <c:ext xmlns:c15="http://schemas.microsoft.com/office/drawing/2012/chart" uri="{02D57815-91ED-43cb-92C2-25804820EDAC}">
                  <c15:fullRef>
                    <c15:sqref>'Données graphiques'!$L$338:$S$338</c15:sqref>
                  </c15:fullRef>
                </c:ext>
              </c:extLst>
              <c:f>'Données graphiques'!$L$338:$R$338</c:f>
              <c:numCache>
                <c:formatCode>_(* #,##0_);_(* \(#,##0\);_(* "-"??_);_(@_)</c:formatCode>
                <c:ptCount val="7"/>
                <c:pt idx="0">
                  <c:v>328.48166855983283</c:v>
                </c:pt>
                <c:pt idx="1">
                  <c:v>310.02543866041606</c:v>
                </c:pt>
                <c:pt idx="2">
                  <c:v>117.06159293052825</c:v>
                </c:pt>
                <c:pt idx="3">
                  <c:v>109.88537267874142</c:v>
                </c:pt>
                <c:pt idx="4">
                  <c:v>306.46032329168554</c:v>
                </c:pt>
                <c:pt idx="5">
                  <c:v>609.4366737089041</c:v>
                </c:pt>
                <c:pt idx="6">
                  <c:v>581.50612191419839</c:v>
                </c:pt>
              </c:numCache>
            </c:numRef>
          </c:val>
          <c:extLst>
            <c:ext xmlns:c16="http://schemas.microsoft.com/office/drawing/2014/chart" uri="{C3380CC4-5D6E-409C-BE32-E72D297353CC}">
              <c16:uniqueId val="{00000000-5789-47BB-9BC7-59284CC10108}"/>
            </c:ext>
          </c:extLst>
        </c:ser>
        <c:ser>
          <c:idx val="1"/>
          <c:order val="1"/>
          <c:tx>
            <c:strRef>
              <c:f>'Données graphiques'!$D$339</c:f>
              <c:strCache>
                <c:ptCount val="1"/>
                <c:pt idx="0">
                  <c:v>Excess Cost Oil</c:v>
                </c:pt>
              </c:strCache>
            </c:strRef>
          </c:tx>
          <c:spPr>
            <a:solidFill>
              <a:schemeClr val="accent3"/>
            </a:solidFill>
            <a:ln>
              <a:noFill/>
            </a:ln>
            <a:effectLst/>
          </c:spPr>
          <c:invertIfNegative val="0"/>
          <c:cat>
            <c:numRef>
              <c:extLst>
                <c:ext xmlns:c15="http://schemas.microsoft.com/office/drawing/2012/chart" uri="{02D57815-91ED-43cb-92C2-25804820EDAC}">
                  <c15:fullRef>
                    <c15:sqref>'Données graphiques'!$L$260:$S$260</c15:sqref>
                  </c15:fullRef>
                </c:ext>
              </c:extLst>
              <c:f>'Données graphiques'!$L$260:$R$260</c:f>
              <c:numCache>
                <c:formatCode>General</c:formatCode>
                <c:ptCount val="7"/>
                <c:pt idx="0">
                  <c:v>2013</c:v>
                </c:pt>
                <c:pt idx="1">
                  <c:v>2014</c:v>
                </c:pt>
                <c:pt idx="2">
                  <c:v>2015</c:v>
                </c:pt>
                <c:pt idx="3">
                  <c:v>2016</c:v>
                </c:pt>
                <c:pt idx="4">
                  <c:v>2017</c:v>
                </c:pt>
                <c:pt idx="5">
                  <c:v>2018</c:v>
                </c:pt>
                <c:pt idx="6">
                  <c:v>2019</c:v>
                </c:pt>
              </c:numCache>
            </c:numRef>
          </c:cat>
          <c:val>
            <c:numRef>
              <c:extLst>
                <c:ext xmlns:c15="http://schemas.microsoft.com/office/drawing/2012/chart" uri="{02D57815-91ED-43cb-92C2-25804820EDAC}">
                  <c15:fullRef>
                    <c15:sqref>'Données graphiques'!$L$339:$S$339</c15:sqref>
                  </c15:fullRef>
                </c:ext>
              </c:extLst>
              <c:f>'Données graphiques'!$L$339:$R$339</c:f>
              <c:numCache>
                <c:formatCode>_(* #,##0_);_(* \(#,##0\);_(* "-"??_);_(@_)</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5789-47BB-9BC7-59284CC10108}"/>
            </c:ext>
          </c:extLst>
        </c:ser>
        <c:ser>
          <c:idx val="2"/>
          <c:order val="2"/>
          <c:tx>
            <c:strRef>
              <c:f>'Données graphiques'!$D$340</c:f>
              <c:strCache>
                <c:ptCount val="1"/>
                <c:pt idx="0">
                  <c:v>SPO</c:v>
                </c:pt>
              </c:strCache>
            </c:strRef>
          </c:tx>
          <c:spPr>
            <a:solidFill>
              <a:schemeClr val="accent2"/>
            </a:solidFill>
            <a:ln>
              <a:noFill/>
            </a:ln>
            <a:effectLst/>
          </c:spPr>
          <c:invertIfNegative val="0"/>
          <c:cat>
            <c:numRef>
              <c:extLst>
                <c:ext xmlns:c15="http://schemas.microsoft.com/office/drawing/2012/chart" uri="{02D57815-91ED-43cb-92C2-25804820EDAC}">
                  <c15:fullRef>
                    <c15:sqref>'Données graphiques'!$L$260:$S$260</c15:sqref>
                  </c15:fullRef>
                </c:ext>
              </c:extLst>
              <c:f>'Données graphiques'!$L$260:$R$260</c:f>
              <c:numCache>
                <c:formatCode>General</c:formatCode>
                <c:ptCount val="7"/>
                <c:pt idx="0">
                  <c:v>2013</c:v>
                </c:pt>
                <c:pt idx="1">
                  <c:v>2014</c:v>
                </c:pt>
                <c:pt idx="2">
                  <c:v>2015</c:v>
                </c:pt>
                <c:pt idx="3">
                  <c:v>2016</c:v>
                </c:pt>
                <c:pt idx="4">
                  <c:v>2017</c:v>
                </c:pt>
                <c:pt idx="5">
                  <c:v>2018</c:v>
                </c:pt>
                <c:pt idx="6">
                  <c:v>2019</c:v>
                </c:pt>
              </c:numCache>
            </c:numRef>
          </c:cat>
          <c:val>
            <c:numRef>
              <c:extLst>
                <c:ext xmlns:c15="http://schemas.microsoft.com/office/drawing/2012/chart" uri="{02D57815-91ED-43cb-92C2-25804820EDAC}">
                  <c15:fullRef>
                    <c15:sqref>'Données graphiques'!$L$340:$S$340</c15:sqref>
                  </c15:fullRef>
                </c:ext>
              </c:extLst>
              <c:f>'Données graphiques'!$L$340:$R$340</c:f>
              <c:numCache>
                <c:formatCode>_(* #,##0_);_(* \(#,##0\);_(* "-"??_);_(@_)</c:formatCode>
                <c:ptCount val="7"/>
                <c:pt idx="0">
                  <c:v>778.34405180643921</c:v>
                </c:pt>
                <c:pt idx="1">
                  <c:v>692.26235690257909</c:v>
                </c:pt>
                <c:pt idx="2">
                  <c:v>0</c:v>
                </c:pt>
                <c:pt idx="3">
                  <c:v>0</c:v>
                </c:pt>
                <c:pt idx="4">
                  <c:v>0</c:v>
                </c:pt>
                <c:pt idx="5">
                  <c:v>0</c:v>
                </c:pt>
                <c:pt idx="6">
                  <c:v>0</c:v>
                </c:pt>
              </c:numCache>
            </c:numRef>
          </c:val>
          <c:extLst>
            <c:ext xmlns:c16="http://schemas.microsoft.com/office/drawing/2014/chart" uri="{C3380CC4-5D6E-409C-BE32-E72D297353CC}">
              <c16:uniqueId val="{00000002-5789-47BB-9BC7-59284CC10108}"/>
            </c:ext>
          </c:extLst>
        </c:ser>
        <c:ser>
          <c:idx val="3"/>
          <c:order val="3"/>
          <c:tx>
            <c:strRef>
              <c:f>'Données graphiques'!$D$341</c:f>
              <c:strCache>
                <c:ptCount val="1"/>
                <c:pt idx="0">
                  <c:v>PO</c:v>
                </c:pt>
              </c:strCache>
            </c:strRef>
          </c:tx>
          <c:spPr>
            <a:solidFill>
              <a:schemeClr val="accent4"/>
            </a:solidFill>
            <a:ln>
              <a:noFill/>
            </a:ln>
            <a:effectLst/>
          </c:spPr>
          <c:invertIfNegative val="0"/>
          <c:cat>
            <c:numRef>
              <c:extLst>
                <c:ext xmlns:c15="http://schemas.microsoft.com/office/drawing/2012/chart" uri="{02D57815-91ED-43cb-92C2-25804820EDAC}">
                  <c15:fullRef>
                    <c15:sqref>'Données graphiques'!$L$260:$S$260</c15:sqref>
                  </c15:fullRef>
                </c:ext>
              </c:extLst>
              <c:f>'Données graphiques'!$L$260:$R$260</c:f>
              <c:numCache>
                <c:formatCode>General</c:formatCode>
                <c:ptCount val="7"/>
                <c:pt idx="0">
                  <c:v>2013</c:v>
                </c:pt>
                <c:pt idx="1">
                  <c:v>2014</c:v>
                </c:pt>
                <c:pt idx="2">
                  <c:v>2015</c:v>
                </c:pt>
                <c:pt idx="3">
                  <c:v>2016</c:v>
                </c:pt>
                <c:pt idx="4">
                  <c:v>2017</c:v>
                </c:pt>
                <c:pt idx="5">
                  <c:v>2018</c:v>
                </c:pt>
                <c:pt idx="6">
                  <c:v>2019</c:v>
                </c:pt>
              </c:numCache>
            </c:numRef>
          </c:cat>
          <c:val>
            <c:numRef>
              <c:extLst>
                <c:ext xmlns:c15="http://schemas.microsoft.com/office/drawing/2012/chart" uri="{02D57815-91ED-43cb-92C2-25804820EDAC}">
                  <c15:fullRef>
                    <c15:sqref>'Données graphiques'!$L$341:$S$341</c15:sqref>
                  </c15:fullRef>
                </c:ext>
              </c:extLst>
              <c:f>'Données graphiques'!$L$341:$R$341</c:f>
              <c:numCache>
                <c:formatCode>_(* #,##0_);_(* \(#,##0\);_(* "-"??_);_(@_)</c:formatCode>
                <c:ptCount val="7"/>
                <c:pt idx="0">
                  <c:v>194.83262388775512</c:v>
                </c:pt>
                <c:pt idx="1">
                  <c:v>184.45149782026778</c:v>
                </c:pt>
                <c:pt idx="2">
                  <c:v>66.139737863002495</c:v>
                </c:pt>
                <c:pt idx="3">
                  <c:v>30.921874509358716</c:v>
                </c:pt>
                <c:pt idx="4">
                  <c:v>86.207830939468835</c:v>
                </c:pt>
                <c:pt idx="5">
                  <c:v>171.3615862675195</c:v>
                </c:pt>
                <c:pt idx="6">
                  <c:v>163.56955851975971</c:v>
                </c:pt>
              </c:numCache>
            </c:numRef>
          </c:val>
          <c:extLst>
            <c:ext xmlns:c16="http://schemas.microsoft.com/office/drawing/2014/chart" uri="{C3380CC4-5D6E-409C-BE32-E72D297353CC}">
              <c16:uniqueId val="{00000003-5789-47BB-9BC7-59284CC10108}"/>
            </c:ext>
          </c:extLst>
        </c:ser>
        <c:dLbls>
          <c:showLegendKey val="0"/>
          <c:showVal val="0"/>
          <c:showCatName val="0"/>
          <c:showSerName val="0"/>
          <c:showPercent val="0"/>
          <c:showBubbleSize val="0"/>
        </c:dLbls>
        <c:gapWidth val="150"/>
        <c:overlap val="100"/>
        <c:axId val="667638192"/>
        <c:axId val="667640816"/>
      </c:barChart>
      <c:lineChart>
        <c:grouping val="standard"/>
        <c:varyColors val="0"/>
        <c:ser>
          <c:idx val="4"/>
          <c:order val="4"/>
          <c:tx>
            <c:strRef>
              <c:f>'Données graphiques'!$D$342</c:f>
              <c:strCache>
                <c:ptCount val="1"/>
                <c:pt idx="0">
                  <c:v>Moho-PH</c:v>
                </c:pt>
              </c:strCache>
            </c:strRef>
          </c:tx>
          <c:spPr>
            <a:ln w="28575" cap="rnd">
              <a:solidFill>
                <a:schemeClr val="accent5"/>
              </a:solidFill>
              <a:round/>
            </a:ln>
            <a:effectLst/>
          </c:spPr>
          <c:marker>
            <c:symbol val="none"/>
          </c:marker>
          <c:cat>
            <c:numRef>
              <c:extLst>
                <c:ext xmlns:c15="http://schemas.microsoft.com/office/drawing/2012/chart" uri="{02D57815-91ED-43cb-92C2-25804820EDAC}">
                  <c15:fullRef>
                    <c15:sqref>'Données graphiques'!$L$260:$S$260</c15:sqref>
                  </c15:fullRef>
                </c:ext>
              </c:extLst>
              <c:f>'Données graphiques'!$L$260:$R$260</c:f>
              <c:numCache>
                <c:formatCode>General</c:formatCode>
                <c:ptCount val="7"/>
                <c:pt idx="0">
                  <c:v>2013</c:v>
                </c:pt>
                <c:pt idx="1">
                  <c:v>2014</c:v>
                </c:pt>
                <c:pt idx="2">
                  <c:v>2015</c:v>
                </c:pt>
                <c:pt idx="3">
                  <c:v>2016</c:v>
                </c:pt>
                <c:pt idx="4">
                  <c:v>2017</c:v>
                </c:pt>
                <c:pt idx="5">
                  <c:v>2018</c:v>
                </c:pt>
                <c:pt idx="6">
                  <c:v>2019</c:v>
                </c:pt>
              </c:numCache>
            </c:numRef>
          </c:cat>
          <c:val>
            <c:numRef>
              <c:extLst>
                <c:ext xmlns:c15="http://schemas.microsoft.com/office/drawing/2012/chart" uri="{02D57815-91ED-43cb-92C2-25804820EDAC}">
                  <c15:fullRef>
                    <c15:sqref>'Données graphiques'!$L$342:$S$342</c15:sqref>
                  </c15:fullRef>
                </c:ext>
              </c:extLst>
              <c:f>'Données graphiques'!$L$342:$R$342</c:f>
              <c:numCache>
                <c:formatCode>_(* #,##0_);_(* \(#,##0\);_(* "-"??_);_(@_)</c:formatCode>
                <c:ptCount val="7"/>
                <c:pt idx="0">
                  <c:v>27.028749999999999</c:v>
                </c:pt>
                <c:pt idx="1">
                  <c:v>27.382999999999999</c:v>
                </c:pt>
                <c:pt idx="2">
                  <c:v>27.72325</c:v>
                </c:pt>
                <c:pt idx="3">
                  <c:v>28.14725</c:v>
                </c:pt>
                <c:pt idx="4">
                  <c:v>97.840500000000006</c:v>
                </c:pt>
                <c:pt idx="5">
                  <c:v>100.089</c:v>
                </c:pt>
                <c:pt idx="6">
                  <c:v>101.9695</c:v>
                </c:pt>
              </c:numCache>
            </c:numRef>
          </c:val>
          <c:smooth val="0"/>
          <c:extLst>
            <c:ext xmlns:c16="http://schemas.microsoft.com/office/drawing/2014/chart" uri="{C3380CC4-5D6E-409C-BE32-E72D297353CC}">
              <c16:uniqueId val="{00000001-B52E-4C64-BD82-A7BCB10C589C}"/>
            </c:ext>
          </c:extLst>
        </c:ser>
        <c:dLbls>
          <c:showLegendKey val="0"/>
          <c:showVal val="0"/>
          <c:showCatName val="0"/>
          <c:showSerName val="0"/>
          <c:showPercent val="0"/>
          <c:showBubbleSize val="0"/>
        </c:dLbls>
        <c:marker val="1"/>
        <c:smooth val="0"/>
        <c:axId val="750813080"/>
        <c:axId val="750812752"/>
      </c:lineChart>
      <c:catAx>
        <c:axId val="667638192"/>
        <c:scaling>
          <c:orientation val="minMax"/>
        </c:scaling>
        <c:delete val="0"/>
        <c:axPos val="b"/>
        <c:numFmt formatCode="General" sourceLinked="1"/>
        <c:majorTickMark val="none"/>
        <c:minorTickMark val="none"/>
        <c:tickLblPos val="nextTo"/>
        <c:spPr>
          <a:noFill/>
          <a:ln w="9525" cap="flat" cmpd="sng" algn="ctr">
            <a:solidFill>
              <a:schemeClr val="tx1">
                <a:lumMod val="15%"/>
                <a:lumOff val="85%"/>
              </a:schemeClr>
            </a:solidFill>
            <a:round/>
          </a:ln>
          <a:effectLst/>
        </c:spPr>
        <c:txPr>
          <a:bodyPr rot="-6000000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fr-FR"/>
          </a:p>
        </c:txPr>
        <c:crossAx val="667640816"/>
        <c:crosses val="autoZero"/>
        <c:auto val="1"/>
        <c:lblAlgn val="ctr"/>
        <c:lblOffset val="100"/>
        <c:noMultiLvlLbl val="0"/>
      </c:catAx>
      <c:valAx>
        <c:axId val="667640816"/>
        <c:scaling>
          <c:orientation val="minMax"/>
        </c:scaling>
        <c:delete val="0"/>
        <c:axPos val="l"/>
        <c:majorGridlines>
          <c:spPr>
            <a:ln w="9525" cap="flat" cmpd="sng" algn="ctr">
              <a:solidFill>
                <a:schemeClr val="tx1">
                  <a:lumMod val="15%"/>
                  <a:lumOff val="85%"/>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
                        <a:lumOff val="35%"/>
                      </a:schemeClr>
                    </a:solidFill>
                    <a:latin typeface="+mn-lt"/>
                    <a:ea typeface="+mn-ea"/>
                    <a:cs typeface="+mn-cs"/>
                  </a:defRPr>
                </a:pPr>
                <a:r>
                  <a:rPr lang="en-US" sz="1100" b="1"/>
                  <a:t>Millions USD</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
                      <a:lumOff val="35%"/>
                    </a:schemeClr>
                  </a:solidFill>
                  <a:latin typeface="+mn-lt"/>
                  <a:ea typeface="+mn-ea"/>
                  <a:cs typeface="+mn-cs"/>
                </a:defRPr>
              </a:pPr>
              <a:endParaRPr lang="fr-FR"/>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fr-FR"/>
          </a:p>
        </c:txPr>
        <c:crossAx val="667638192"/>
        <c:crosses val="autoZero"/>
        <c:crossBetween val="between"/>
      </c:valAx>
      <c:valAx>
        <c:axId val="750812752"/>
        <c:scaling>
          <c:orientation val="minMax"/>
        </c:scaling>
        <c:delete val="0"/>
        <c:axPos val="r"/>
        <c:title>
          <c:tx>
            <c:rich>
              <a:bodyPr rot="-5400000" spcFirstLastPara="1" vertOverflow="ellipsis" vert="horz" wrap="square" anchor="ctr" anchorCtr="1"/>
              <a:lstStyle/>
              <a:p>
                <a:pPr>
                  <a:defRPr sz="1100" b="1" i="0" u="none" strike="noStrike" kern="1200" baseline="0%">
                    <a:solidFill>
                      <a:schemeClr val="tx1">
                        <a:lumMod val="65%"/>
                        <a:lumOff val="35%"/>
                      </a:schemeClr>
                    </a:solidFill>
                    <a:latin typeface="+mn-lt"/>
                    <a:ea typeface="+mn-ea"/>
                    <a:cs typeface="+mn-cs"/>
                  </a:defRPr>
                </a:pPr>
                <a:r>
                  <a:rPr lang="en-US" sz="1100" b="1"/>
                  <a:t>$/bbl</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
                      <a:lumOff val="35%"/>
                    </a:schemeClr>
                  </a:solidFill>
                  <a:latin typeface="+mn-lt"/>
                  <a:ea typeface="+mn-ea"/>
                  <a:cs typeface="+mn-cs"/>
                </a:defRPr>
              </a:pPr>
              <a:endParaRPr lang="fr-FR"/>
            </a:p>
          </c:txPr>
        </c:title>
        <c:numFmt formatCode="_(* #,##0_);_(* \(#,##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fr-FR"/>
          </a:p>
        </c:txPr>
        <c:crossAx val="750813080"/>
        <c:crosses val="max"/>
        <c:crossBetween val="between"/>
      </c:valAx>
      <c:catAx>
        <c:axId val="750813080"/>
        <c:scaling>
          <c:orientation val="minMax"/>
        </c:scaling>
        <c:delete val="1"/>
        <c:axPos val="b"/>
        <c:numFmt formatCode="General" sourceLinked="1"/>
        <c:majorTickMark val="out"/>
        <c:minorTickMark val="none"/>
        <c:tickLblPos val="nextTo"/>
        <c:crossAx val="75081275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
                  <a:lumOff val="35%"/>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4.xml><?xml version="1.0" encoding="utf-8"?>
<c:chartSpace xmlns:c="http://purl.oclc.org/ooxml/drawingml/chart" xmlns:a="http://purl.oclc.org/ooxml/drawingml/main" xmlns:r="http://purl.oclc.org/ooxml/officeDocument/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[0]!title_chart26</c:f>
          <c:strCache>
            <c:ptCount val="1"/>
            <c:pt idx="0">
              <c:v>Sources de Revenus du Congo - Nkossa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
                  <a:lumOff val="35%"/>
                </a:schemeClr>
              </a:solidFill>
              <a:latin typeface="+mn-lt"/>
              <a:ea typeface="+mn-ea"/>
              <a:cs typeface="+mn-cs"/>
            </a:defRPr>
          </a:pPr>
          <a:endParaRPr lang="fr-FR"/>
        </a:p>
      </c:txPr>
    </c:title>
    <c:autoTitleDeleted val="0"/>
    <c:plotArea>
      <c:layout>
        <c:manualLayout>
          <c:layoutTarget val="inner"/>
          <c:xMode val="edge"/>
          <c:yMode val="edge"/>
          <c:x val="0.10419288980042632"/>
          <c:y val="0.14225305995166446"/>
          <c:w val="0.81744410739825657"/>
          <c:h val="0.71554510547292705"/>
        </c:manualLayout>
      </c:layout>
      <c:barChart>
        <c:barDir val="col"/>
        <c:grouping val="stacked"/>
        <c:varyColors val="0"/>
        <c:ser>
          <c:idx val="0"/>
          <c:order val="0"/>
          <c:tx>
            <c:strRef>
              <c:f>'Données graphiques'!$D$347</c:f>
              <c:strCache>
                <c:ptCount val="1"/>
                <c:pt idx="0">
                  <c:v>Redevances and PID</c:v>
                </c:pt>
              </c:strCache>
            </c:strRef>
          </c:tx>
          <c:spPr>
            <a:solidFill>
              <a:schemeClr val="accent1"/>
            </a:solidFill>
            <a:ln>
              <a:noFill/>
            </a:ln>
            <a:effectLst/>
          </c:spPr>
          <c:invertIfNegative val="0"/>
          <c:cat>
            <c:numRef>
              <c:extLst>
                <c:ext xmlns:c15="http://schemas.microsoft.com/office/drawing/2012/chart" uri="{02D57815-91ED-43cb-92C2-25804820EDAC}">
                  <c15:fullRef>
                    <c15:sqref>'Données graphiques'!$L$260:$S$260</c15:sqref>
                  </c15:fullRef>
                </c:ext>
              </c:extLst>
              <c:f>'Données graphiques'!$L$260:$R$260</c:f>
              <c:numCache>
                <c:formatCode>General</c:formatCode>
                <c:ptCount val="7"/>
                <c:pt idx="0">
                  <c:v>2013</c:v>
                </c:pt>
                <c:pt idx="1">
                  <c:v>2014</c:v>
                </c:pt>
                <c:pt idx="2">
                  <c:v>2015</c:v>
                </c:pt>
                <c:pt idx="3">
                  <c:v>2016</c:v>
                </c:pt>
                <c:pt idx="4">
                  <c:v>2017</c:v>
                </c:pt>
                <c:pt idx="5">
                  <c:v>2018</c:v>
                </c:pt>
                <c:pt idx="6">
                  <c:v>2019</c:v>
                </c:pt>
              </c:numCache>
            </c:numRef>
          </c:cat>
          <c:val>
            <c:numRef>
              <c:extLst>
                <c:ext xmlns:c15="http://schemas.microsoft.com/office/drawing/2012/chart" uri="{02D57815-91ED-43cb-92C2-25804820EDAC}">
                  <c15:fullRef>
                    <c15:sqref>'Données graphiques'!$L$347:$S$347</c15:sqref>
                  </c15:fullRef>
                </c:ext>
              </c:extLst>
              <c:f>'Données graphiques'!$L$347:$R$347</c:f>
              <c:numCache>
                <c:formatCode>_(* #,##0_);_(* \(#,##0\);_(* "-"??_);_(@_)</c:formatCode>
                <c:ptCount val="7"/>
                <c:pt idx="0">
                  <c:v>117.4352627211414</c:v>
                </c:pt>
                <c:pt idx="1">
                  <c:v>120.37506328921643</c:v>
                </c:pt>
                <c:pt idx="2">
                  <c:v>58.090526328767098</c:v>
                </c:pt>
                <c:pt idx="3">
                  <c:v>48.051606121753252</c:v>
                </c:pt>
                <c:pt idx="4">
                  <c:v>64.482373528318433</c:v>
                </c:pt>
                <c:pt idx="5">
                  <c:v>68.436500081211562</c:v>
                </c:pt>
                <c:pt idx="6">
                  <c:v>59.487695962580496</c:v>
                </c:pt>
              </c:numCache>
            </c:numRef>
          </c:val>
          <c:extLst>
            <c:ext xmlns:c16="http://schemas.microsoft.com/office/drawing/2014/chart" uri="{C3380CC4-5D6E-409C-BE32-E72D297353CC}">
              <c16:uniqueId val="{00000000-5789-47BB-9BC7-59284CC10108}"/>
            </c:ext>
          </c:extLst>
        </c:ser>
        <c:ser>
          <c:idx val="1"/>
          <c:order val="1"/>
          <c:tx>
            <c:strRef>
              <c:f>'Données graphiques'!$D$348</c:f>
              <c:strCache>
                <c:ptCount val="1"/>
                <c:pt idx="0">
                  <c:v>Excess Cost Oil</c:v>
                </c:pt>
              </c:strCache>
            </c:strRef>
          </c:tx>
          <c:spPr>
            <a:solidFill>
              <a:schemeClr val="accent3"/>
            </a:solidFill>
            <a:ln>
              <a:noFill/>
            </a:ln>
            <a:effectLst/>
          </c:spPr>
          <c:invertIfNegative val="0"/>
          <c:cat>
            <c:numRef>
              <c:extLst>
                <c:ext xmlns:c15="http://schemas.microsoft.com/office/drawing/2012/chart" uri="{02D57815-91ED-43cb-92C2-25804820EDAC}">
                  <c15:fullRef>
                    <c15:sqref>'Données graphiques'!$L$260:$S$260</c15:sqref>
                  </c15:fullRef>
                </c:ext>
              </c:extLst>
              <c:f>'Données graphiques'!$L$260:$R$260</c:f>
              <c:numCache>
                <c:formatCode>General</c:formatCode>
                <c:ptCount val="7"/>
                <c:pt idx="0">
                  <c:v>2013</c:v>
                </c:pt>
                <c:pt idx="1">
                  <c:v>2014</c:v>
                </c:pt>
                <c:pt idx="2">
                  <c:v>2015</c:v>
                </c:pt>
                <c:pt idx="3">
                  <c:v>2016</c:v>
                </c:pt>
                <c:pt idx="4">
                  <c:v>2017</c:v>
                </c:pt>
                <c:pt idx="5">
                  <c:v>2018</c:v>
                </c:pt>
                <c:pt idx="6">
                  <c:v>2019</c:v>
                </c:pt>
              </c:numCache>
            </c:numRef>
          </c:cat>
          <c:val>
            <c:numRef>
              <c:extLst>
                <c:ext xmlns:c15="http://schemas.microsoft.com/office/drawing/2012/chart" uri="{02D57815-91ED-43cb-92C2-25804820EDAC}">
                  <c15:fullRef>
                    <c15:sqref>'Données graphiques'!$L$348:$S$348</c15:sqref>
                  </c15:fullRef>
                </c:ext>
              </c:extLst>
              <c:f>'Données graphiques'!$L$348:$R$348</c:f>
              <c:numCache>
                <c:formatCode>_(* #,##0_);_(* \(#,##0\);_(* "-"??_);_(@_)</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5789-47BB-9BC7-59284CC10108}"/>
            </c:ext>
          </c:extLst>
        </c:ser>
        <c:ser>
          <c:idx val="2"/>
          <c:order val="2"/>
          <c:tx>
            <c:strRef>
              <c:f>'Données graphiques'!$D$349</c:f>
              <c:strCache>
                <c:ptCount val="1"/>
                <c:pt idx="0">
                  <c:v>SPO</c:v>
                </c:pt>
              </c:strCache>
            </c:strRef>
          </c:tx>
          <c:spPr>
            <a:solidFill>
              <a:schemeClr val="accent2"/>
            </a:solidFill>
            <a:ln>
              <a:noFill/>
            </a:ln>
            <a:effectLst/>
          </c:spPr>
          <c:invertIfNegative val="0"/>
          <c:cat>
            <c:numRef>
              <c:extLst>
                <c:ext xmlns:c15="http://schemas.microsoft.com/office/drawing/2012/chart" uri="{02D57815-91ED-43cb-92C2-25804820EDAC}">
                  <c15:fullRef>
                    <c15:sqref>'Données graphiques'!$L$260:$S$260</c15:sqref>
                  </c15:fullRef>
                </c:ext>
              </c:extLst>
              <c:f>'Données graphiques'!$L$260:$R$260</c:f>
              <c:numCache>
                <c:formatCode>General</c:formatCode>
                <c:ptCount val="7"/>
                <c:pt idx="0">
                  <c:v>2013</c:v>
                </c:pt>
                <c:pt idx="1">
                  <c:v>2014</c:v>
                </c:pt>
                <c:pt idx="2">
                  <c:v>2015</c:v>
                </c:pt>
                <c:pt idx="3">
                  <c:v>2016</c:v>
                </c:pt>
                <c:pt idx="4">
                  <c:v>2017</c:v>
                </c:pt>
                <c:pt idx="5">
                  <c:v>2018</c:v>
                </c:pt>
                <c:pt idx="6">
                  <c:v>2019</c:v>
                </c:pt>
              </c:numCache>
            </c:numRef>
          </c:cat>
          <c:val>
            <c:numRef>
              <c:extLst>
                <c:ext xmlns:c15="http://schemas.microsoft.com/office/drawing/2012/chart" uri="{02D57815-91ED-43cb-92C2-25804820EDAC}">
                  <c15:fullRef>
                    <c15:sqref>'Données graphiques'!$L$349:$S$349</c15:sqref>
                  </c15:fullRef>
                </c:ext>
              </c:extLst>
              <c:f>'Données graphiques'!$L$349:$R$349</c:f>
              <c:numCache>
                <c:formatCode>_(* #,##0_);_(* \(#,##0\);_(* "-"??_);_(@_)</c:formatCode>
                <c:ptCount val="7"/>
                <c:pt idx="0">
                  <c:v>452.22112767776127</c:v>
                </c:pt>
                <c:pt idx="1">
                  <c:v>420.50888183781211</c:v>
                </c:pt>
                <c:pt idx="2">
                  <c:v>93.311941198710997</c:v>
                </c:pt>
                <c:pt idx="3">
                  <c:v>49.919363850933728</c:v>
                </c:pt>
                <c:pt idx="4">
                  <c:v>0</c:v>
                </c:pt>
                <c:pt idx="5">
                  <c:v>12.120860632115837</c:v>
                </c:pt>
                <c:pt idx="6">
                  <c:v>0.19049247760407986</c:v>
                </c:pt>
              </c:numCache>
            </c:numRef>
          </c:val>
          <c:extLst>
            <c:ext xmlns:c16="http://schemas.microsoft.com/office/drawing/2014/chart" uri="{C3380CC4-5D6E-409C-BE32-E72D297353CC}">
              <c16:uniqueId val="{00000002-5789-47BB-9BC7-59284CC10108}"/>
            </c:ext>
          </c:extLst>
        </c:ser>
        <c:ser>
          <c:idx val="3"/>
          <c:order val="3"/>
          <c:tx>
            <c:strRef>
              <c:f>'Données graphiques'!$D$350</c:f>
              <c:strCache>
                <c:ptCount val="1"/>
                <c:pt idx="0">
                  <c:v>PO</c:v>
                </c:pt>
              </c:strCache>
            </c:strRef>
          </c:tx>
          <c:spPr>
            <a:solidFill>
              <a:schemeClr val="accent4"/>
            </a:solidFill>
            <a:ln>
              <a:noFill/>
            </a:ln>
            <a:effectLst/>
          </c:spPr>
          <c:invertIfNegative val="0"/>
          <c:cat>
            <c:numRef>
              <c:extLst>
                <c:ext xmlns:c15="http://schemas.microsoft.com/office/drawing/2012/chart" uri="{02D57815-91ED-43cb-92C2-25804820EDAC}">
                  <c15:fullRef>
                    <c15:sqref>'Données graphiques'!$L$260:$S$260</c15:sqref>
                  </c15:fullRef>
                </c:ext>
              </c:extLst>
              <c:f>'Données graphiques'!$L$260:$R$260</c:f>
              <c:numCache>
                <c:formatCode>General</c:formatCode>
                <c:ptCount val="7"/>
                <c:pt idx="0">
                  <c:v>2013</c:v>
                </c:pt>
                <c:pt idx="1">
                  <c:v>2014</c:v>
                </c:pt>
                <c:pt idx="2">
                  <c:v>2015</c:v>
                </c:pt>
                <c:pt idx="3">
                  <c:v>2016</c:v>
                </c:pt>
                <c:pt idx="4">
                  <c:v>2017</c:v>
                </c:pt>
                <c:pt idx="5">
                  <c:v>2018</c:v>
                </c:pt>
                <c:pt idx="6">
                  <c:v>2019</c:v>
                </c:pt>
              </c:numCache>
            </c:numRef>
          </c:cat>
          <c:val>
            <c:numRef>
              <c:extLst>
                <c:ext xmlns:c15="http://schemas.microsoft.com/office/drawing/2012/chart" uri="{02D57815-91ED-43cb-92C2-25804820EDAC}">
                  <c15:fullRef>
                    <c15:sqref>'Données graphiques'!$L$350:$S$350</c15:sqref>
                  </c15:fullRef>
                </c:ext>
              </c:extLst>
              <c:f>'Données graphiques'!$L$350:$R$350</c:f>
              <c:numCache>
                <c:formatCode>_(* #,##0_);_(* \(#,##0\);_(* "-"??_);_(@_)</c:formatCode>
                <c:ptCount val="7"/>
                <c:pt idx="0">
                  <c:v>32.161684262341609</c:v>
                </c:pt>
                <c:pt idx="1">
                  <c:v>45.565212834068994</c:v>
                </c:pt>
                <c:pt idx="2">
                  <c:v>28.022202020616092</c:v>
                </c:pt>
                <c:pt idx="3">
                  <c:v>32.760909035790299</c:v>
                </c:pt>
                <c:pt idx="4">
                  <c:v>39.752690214233894</c:v>
                </c:pt>
                <c:pt idx="5">
                  <c:v>43.170693099356363</c:v>
                </c:pt>
                <c:pt idx="6">
                  <c:v>43.012437931297832</c:v>
                </c:pt>
              </c:numCache>
            </c:numRef>
          </c:val>
          <c:extLst>
            <c:ext xmlns:c16="http://schemas.microsoft.com/office/drawing/2014/chart" uri="{C3380CC4-5D6E-409C-BE32-E72D297353CC}">
              <c16:uniqueId val="{00000003-5789-47BB-9BC7-59284CC10108}"/>
            </c:ext>
          </c:extLst>
        </c:ser>
        <c:dLbls>
          <c:showLegendKey val="0"/>
          <c:showVal val="0"/>
          <c:showCatName val="0"/>
          <c:showSerName val="0"/>
          <c:showPercent val="0"/>
          <c:showBubbleSize val="0"/>
        </c:dLbls>
        <c:gapWidth val="150"/>
        <c:overlap val="100"/>
        <c:axId val="667638192"/>
        <c:axId val="667640816"/>
      </c:barChart>
      <c:lineChart>
        <c:grouping val="standard"/>
        <c:varyColors val="0"/>
        <c:ser>
          <c:idx val="4"/>
          <c:order val="4"/>
          <c:tx>
            <c:strRef>
              <c:f>'Données graphiques'!$D$351</c:f>
              <c:strCache>
                <c:ptCount val="1"/>
                <c:pt idx="0">
                  <c:v>Nkossa - PH</c:v>
                </c:pt>
              </c:strCache>
            </c:strRef>
          </c:tx>
          <c:spPr>
            <a:ln w="28575" cap="rnd">
              <a:solidFill>
                <a:schemeClr val="accent5"/>
              </a:solidFill>
              <a:round/>
            </a:ln>
            <a:effectLst/>
          </c:spPr>
          <c:marker>
            <c:symbol val="none"/>
          </c:marker>
          <c:cat>
            <c:numRef>
              <c:extLst>
                <c:ext xmlns:c15="http://schemas.microsoft.com/office/drawing/2012/chart" uri="{02D57815-91ED-43cb-92C2-25804820EDAC}">
                  <c15:fullRef>
                    <c15:sqref>'Données graphiques'!$L$260:$S$260</c15:sqref>
                  </c15:fullRef>
                </c:ext>
              </c:extLst>
              <c:f>'Données graphiques'!$L$260:$R$260</c:f>
              <c:numCache>
                <c:formatCode>General</c:formatCode>
                <c:ptCount val="7"/>
                <c:pt idx="0">
                  <c:v>2013</c:v>
                </c:pt>
                <c:pt idx="1">
                  <c:v>2014</c:v>
                </c:pt>
                <c:pt idx="2">
                  <c:v>2015</c:v>
                </c:pt>
                <c:pt idx="3">
                  <c:v>2016</c:v>
                </c:pt>
                <c:pt idx="4">
                  <c:v>2017</c:v>
                </c:pt>
                <c:pt idx="5">
                  <c:v>2018</c:v>
                </c:pt>
                <c:pt idx="6">
                  <c:v>2019</c:v>
                </c:pt>
              </c:numCache>
            </c:numRef>
          </c:cat>
          <c:val>
            <c:numRef>
              <c:extLst>
                <c:ext xmlns:c15="http://schemas.microsoft.com/office/drawing/2012/chart" uri="{02D57815-91ED-43cb-92C2-25804820EDAC}">
                  <c15:fullRef>
                    <c15:sqref>'Données graphiques'!$L$351:$S$351</c15:sqref>
                  </c15:fullRef>
                </c:ext>
              </c:extLst>
              <c:f>'Données graphiques'!$L$351:$R$351</c:f>
              <c:numCache>
                <c:formatCode>_(* #,##0_);_(* \(#,##0\);_(* "-"??_);_(@_)</c:formatCode>
                <c:ptCount val="7"/>
                <c:pt idx="0">
                  <c:v>32.270000000000003</c:v>
                </c:pt>
                <c:pt idx="1">
                  <c:v>32.519750000000002</c:v>
                </c:pt>
                <c:pt idx="2">
                  <c:v>32.923999999999999</c:v>
                </c:pt>
                <c:pt idx="3">
                  <c:v>33.427250000000001</c:v>
                </c:pt>
                <c:pt idx="4">
                  <c:v>66.422750000000008</c:v>
                </c:pt>
                <c:pt idx="5">
                  <c:v>68.897500000000008</c:v>
                </c:pt>
                <c:pt idx="6">
                  <c:v>69.747250000000008</c:v>
                </c:pt>
              </c:numCache>
            </c:numRef>
          </c:val>
          <c:smooth val="0"/>
          <c:extLst>
            <c:ext xmlns:c16="http://schemas.microsoft.com/office/drawing/2014/chart" uri="{C3380CC4-5D6E-409C-BE32-E72D297353CC}">
              <c16:uniqueId val="{00000001-B52E-4C64-BD82-A7BCB10C589C}"/>
            </c:ext>
          </c:extLst>
        </c:ser>
        <c:dLbls>
          <c:showLegendKey val="0"/>
          <c:showVal val="0"/>
          <c:showCatName val="0"/>
          <c:showSerName val="0"/>
          <c:showPercent val="0"/>
          <c:showBubbleSize val="0"/>
        </c:dLbls>
        <c:marker val="1"/>
        <c:smooth val="0"/>
        <c:axId val="750813080"/>
        <c:axId val="750812752"/>
      </c:lineChart>
      <c:catAx>
        <c:axId val="667638192"/>
        <c:scaling>
          <c:orientation val="minMax"/>
        </c:scaling>
        <c:delete val="0"/>
        <c:axPos val="b"/>
        <c:numFmt formatCode="General" sourceLinked="1"/>
        <c:majorTickMark val="none"/>
        <c:minorTickMark val="none"/>
        <c:tickLblPos val="nextTo"/>
        <c:spPr>
          <a:noFill/>
          <a:ln w="9525" cap="flat" cmpd="sng" algn="ctr">
            <a:solidFill>
              <a:schemeClr val="tx1">
                <a:lumMod val="15%"/>
                <a:lumOff val="85%"/>
              </a:schemeClr>
            </a:solidFill>
            <a:round/>
          </a:ln>
          <a:effectLst/>
        </c:spPr>
        <c:txPr>
          <a:bodyPr rot="-6000000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fr-FR"/>
          </a:p>
        </c:txPr>
        <c:crossAx val="667640816"/>
        <c:crosses val="autoZero"/>
        <c:auto val="1"/>
        <c:lblAlgn val="ctr"/>
        <c:lblOffset val="100"/>
        <c:noMultiLvlLbl val="0"/>
      </c:catAx>
      <c:valAx>
        <c:axId val="667640816"/>
        <c:scaling>
          <c:orientation val="minMax"/>
        </c:scaling>
        <c:delete val="0"/>
        <c:axPos val="l"/>
        <c:majorGridlines>
          <c:spPr>
            <a:ln w="9525" cap="flat" cmpd="sng" algn="ctr">
              <a:solidFill>
                <a:schemeClr val="tx1">
                  <a:lumMod val="15%"/>
                  <a:lumOff val="85%"/>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
                        <a:lumOff val="35%"/>
                      </a:schemeClr>
                    </a:solidFill>
                    <a:latin typeface="+mn-lt"/>
                    <a:ea typeface="+mn-ea"/>
                    <a:cs typeface="+mn-cs"/>
                  </a:defRPr>
                </a:pPr>
                <a:r>
                  <a:rPr lang="en-US" sz="1100" b="1"/>
                  <a:t>Millions USD</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
                      <a:lumOff val="35%"/>
                    </a:schemeClr>
                  </a:solidFill>
                  <a:latin typeface="+mn-lt"/>
                  <a:ea typeface="+mn-ea"/>
                  <a:cs typeface="+mn-cs"/>
                </a:defRPr>
              </a:pPr>
              <a:endParaRPr lang="fr-FR"/>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fr-FR"/>
          </a:p>
        </c:txPr>
        <c:crossAx val="667638192"/>
        <c:crosses val="autoZero"/>
        <c:crossBetween val="between"/>
      </c:valAx>
      <c:valAx>
        <c:axId val="750812752"/>
        <c:scaling>
          <c:orientation val="minMax"/>
        </c:scaling>
        <c:delete val="0"/>
        <c:axPos val="r"/>
        <c:title>
          <c:tx>
            <c:rich>
              <a:bodyPr rot="-5400000" spcFirstLastPara="1" vertOverflow="ellipsis" vert="horz" wrap="square" anchor="ctr" anchorCtr="1"/>
              <a:lstStyle/>
              <a:p>
                <a:pPr>
                  <a:defRPr sz="1100" b="1" i="0" u="none" strike="noStrike" kern="1200" baseline="0%">
                    <a:solidFill>
                      <a:schemeClr val="tx1">
                        <a:lumMod val="65%"/>
                        <a:lumOff val="35%"/>
                      </a:schemeClr>
                    </a:solidFill>
                    <a:latin typeface="+mn-lt"/>
                    <a:ea typeface="+mn-ea"/>
                    <a:cs typeface="+mn-cs"/>
                  </a:defRPr>
                </a:pPr>
                <a:r>
                  <a:rPr lang="en-US" sz="1100" b="1"/>
                  <a:t>$/bbl</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
                      <a:lumOff val="35%"/>
                    </a:schemeClr>
                  </a:solidFill>
                  <a:latin typeface="+mn-lt"/>
                  <a:ea typeface="+mn-ea"/>
                  <a:cs typeface="+mn-cs"/>
                </a:defRPr>
              </a:pPr>
              <a:endParaRPr lang="fr-FR"/>
            </a:p>
          </c:txPr>
        </c:title>
        <c:numFmt formatCode="_(* #,##0_);_(* \(#,##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fr-FR"/>
          </a:p>
        </c:txPr>
        <c:crossAx val="750813080"/>
        <c:crosses val="max"/>
        <c:crossBetween val="between"/>
      </c:valAx>
      <c:catAx>
        <c:axId val="750813080"/>
        <c:scaling>
          <c:orientation val="minMax"/>
        </c:scaling>
        <c:delete val="1"/>
        <c:axPos val="b"/>
        <c:numFmt formatCode="General" sourceLinked="1"/>
        <c:majorTickMark val="out"/>
        <c:minorTickMark val="none"/>
        <c:tickLblPos val="nextTo"/>
        <c:crossAx val="75081275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
                  <a:lumOff val="35%"/>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5.xml><?xml version="1.0" encoding="utf-8"?>
<c:chartSpace xmlns:c="http://purl.oclc.org/ooxml/drawingml/chart" xmlns:a="http://purl.oclc.org/ooxml/drawingml/main" xmlns:r="http://purl.oclc.org/ooxml/officeDocument/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[0]!title_chart2</c:f>
          <c:strCache>
            <c:ptCount val="1"/>
            <c:pt idx="0">
              <c:v>Revenus Etat par license</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
                  <a:lumOff val="35%"/>
                </a:schemeClr>
              </a:solidFill>
              <a:latin typeface="+mn-lt"/>
              <a:ea typeface="+mn-ea"/>
              <a:cs typeface="+mn-cs"/>
            </a:defRPr>
          </a:pPr>
          <a:endParaRPr lang="fr-FR"/>
        </a:p>
      </c:txPr>
    </c:title>
    <c:autoTitleDeleted val="0"/>
    <c:plotArea>
      <c:layout>
        <c:manualLayout>
          <c:layoutTarget val="inner"/>
          <c:xMode val="edge"/>
          <c:yMode val="edge"/>
          <c:x val="9.6750790766538794E-2"/>
          <c:y val="0.12642291052455948"/>
          <c:w val="0.86735177333602531"/>
          <c:h val="0.68698677797831897"/>
        </c:manualLayout>
      </c:layout>
      <c:lineChart>
        <c:grouping val="standard"/>
        <c:varyColors val="0"/>
        <c:ser>
          <c:idx val="0"/>
          <c:order val="0"/>
          <c:tx>
            <c:strRef>
              <c:f>'Données graphiques'!$D$51</c:f>
              <c:strCache>
                <c:ptCount val="1"/>
                <c:pt idx="0">
                  <c:v>Nkossa</c:v>
                </c:pt>
              </c:strCache>
            </c:strRef>
          </c:tx>
          <c:spPr>
            <a:ln w="38100" cap="rnd">
              <a:solidFill>
                <a:schemeClr val="accent1"/>
              </a:solidFill>
              <a:round/>
            </a:ln>
            <a:effectLst/>
          </c:spPr>
          <c:marker>
            <c:symbol val="none"/>
          </c:marker>
          <c:cat>
            <c:numRef>
              <c:extLst>
                <c:ext xmlns:c15="http://schemas.microsoft.com/office/drawing/2012/chart" uri="{02D57815-91ED-43cb-92C2-25804820EDAC}">
                  <c15:fullRef>
                    <c15:sqref>'Données graphiques'!$L$50:$Q$50</c15:sqref>
                  </c15:fullRef>
                </c:ext>
              </c:extLst>
              <c:f>'Données graphiques'!$M$50:$Q$50</c:f>
              <c:numCache>
                <c:formatCode>General</c:formatCode>
                <c:ptCount val="5"/>
                <c:pt idx="0">
                  <c:v>2021</c:v>
                </c:pt>
                <c:pt idx="1">
                  <c:v>2022</c:v>
                </c:pt>
                <c:pt idx="2">
                  <c:v>2023</c:v>
                </c:pt>
                <c:pt idx="3">
                  <c:v>2024</c:v>
                </c:pt>
                <c:pt idx="4">
                  <c:v>2025</c:v>
                </c:pt>
              </c:numCache>
            </c:numRef>
          </c:cat>
          <c:val>
            <c:numRef>
              <c:extLst>
                <c:ext xmlns:c15="http://schemas.microsoft.com/office/drawing/2012/chart" uri="{02D57815-91ED-43cb-92C2-25804820EDAC}">
                  <c15:fullRef>
                    <c15:sqref>'Données graphiques'!$L$51:$Q$51</c15:sqref>
                  </c15:fullRef>
                </c:ext>
              </c:extLst>
              <c:f>'Données graphiques'!$M$51:$Q$51</c:f>
              <c:numCache>
                <c:formatCode>_(* #,##0_);_(* \(#,##0\);_(* "-"??_);_(@_)</c:formatCode>
                <c:ptCount val="5"/>
                <c:pt idx="0">
                  <c:v>86.724148384972764</c:v>
                </c:pt>
                <c:pt idx="1">
                  <c:v>86.572390512383976</c:v>
                </c:pt>
                <c:pt idx="2">
                  <c:v>82.122569640047431</c:v>
                </c:pt>
                <c:pt idx="3">
                  <c:v>77.901469560548989</c:v>
                </c:pt>
                <c:pt idx="4">
                  <c:v>73.897334025136772</c:v>
                </c:pt>
              </c:numCache>
            </c:numRef>
          </c:val>
          <c:smooth val="0"/>
          <c:extLst>
            <c:ext xmlns:c16="http://schemas.microsoft.com/office/drawing/2014/chart" uri="{C3380CC4-5D6E-409C-BE32-E72D297353CC}">
              <c16:uniqueId val="{00000000-C9E8-4D91-91C3-B5D62521D0F2}"/>
            </c:ext>
          </c:extLst>
        </c:ser>
        <c:ser>
          <c:idx val="1"/>
          <c:order val="1"/>
          <c:tx>
            <c:strRef>
              <c:f>'Données graphiques'!$D$52</c:f>
              <c:strCache>
                <c:ptCount val="1"/>
                <c:pt idx="0">
                  <c:v>Nsoko</c:v>
                </c:pt>
              </c:strCache>
            </c:strRef>
          </c:tx>
          <c:spPr>
            <a:ln w="38100" cap="rnd">
              <a:solidFill>
                <a:schemeClr val="accent2"/>
              </a:solidFill>
              <a:round/>
            </a:ln>
            <a:effectLst/>
          </c:spPr>
          <c:marker>
            <c:symbol val="none"/>
          </c:marker>
          <c:cat>
            <c:numRef>
              <c:extLst>
                <c:ext xmlns:c15="http://schemas.microsoft.com/office/drawing/2012/chart" uri="{02D57815-91ED-43cb-92C2-25804820EDAC}">
                  <c15:fullRef>
                    <c15:sqref>'Données graphiques'!$L$50:$Q$50</c15:sqref>
                  </c15:fullRef>
                </c:ext>
              </c:extLst>
              <c:f>'Données graphiques'!$M$50:$Q$50</c:f>
              <c:numCache>
                <c:formatCode>General</c:formatCode>
                <c:ptCount val="5"/>
                <c:pt idx="0">
                  <c:v>2021</c:v>
                </c:pt>
                <c:pt idx="1">
                  <c:v>2022</c:v>
                </c:pt>
                <c:pt idx="2">
                  <c:v>2023</c:v>
                </c:pt>
                <c:pt idx="3">
                  <c:v>2024</c:v>
                </c:pt>
                <c:pt idx="4">
                  <c:v>2025</c:v>
                </c:pt>
              </c:numCache>
            </c:numRef>
          </c:cat>
          <c:val>
            <c:numRef>
              <c:extLst>
                <c:ext xmlns:c15="http://schemas.microsoft.com/office/drawing/2012/chart" uri="{02D57815-91ED-43cb-92C2-25804820EDAC}">
                  <c15:fullRef>
                    <c15:sqref>'Données graphiques'!$L$52:$Q$52</c15:sqref>
                  </c15:fullRef>
                </c:ext>
              </c:extLst>
              <c:f>'Données graphiques'!$M$52:$Q$52</c:f>
              <c:numCache>
                <c:formatCode>_(* #,##0_);_(* \(#,##0\);_(* "-"??_);_(@_)</c:formatCode>
                <c:ptCount val="5"/>
                <c:pt idx="0">
                  <c:v>16.524832174796753</c:v>
                </c:pt>
                <c:pt idx="1">
                  <c:v>17.872821853309972</c:v>
                </c:pt>
                <c:pt idx="2">
                  <c:v>17.303135926567432</c:v>
                </c:pt>
                <c:pt idx="3">
                  <c:v>16.738303458303225</c:v>
                </c:pt>
                <c:pt idx="4">
                  <c:v>16.179784968622506</c:v>
                </c:pt>
              </c:numCache>
            </c:numRef>
          </c:val>
          <c:smooth val="0"/>
          <c:extLst>
            <c:ext xmlns:c16="http://schemas.microsoft.com/office/drawing/2014/chart" uri="{C3380CC4-5D6E-409C-BE32-E72D297353CC}">
              <c16:uniqueId val="{00000001-C9E8-4D91-91C3-B5D62521D0F2}"/>
            </c:ext>
          </c:extLst>
        </c:ser>
        <c:ser>
          <c:idx val="2"/>
          <c:order val="2"/>
          <c:tx>
            <c:strRef>
              <c:f>'Données graphiques'!$D$53</c:f>
              <c:strCache>
                <c:ptCount val="1"/>
                <c:pt idx="0">
                  <c:v>Moho</c:v>
                </c:pt>
              </c:strCache>
            </c:strRef>
          </c:tx>
          <c:spPr>
            <a:ln w="38100" cap="rnd">
              <a:solidFill>
                <a:schemeClr val="accent3"/>
              </a:solidFill>
              <a:round/>
            </a:ln>
            <a:effectLst/>
          </c:spPr>
          <c:marker>
            <c:symbol val="none"/>
          </c:marker>
          <c:cat>
            <c:numRef>
              <c:extLst>
                <c:ext xmlns:c15="http://schemas.microsoft.com/office/drawing/2012/chart" uri="{02D57815-91ED-43cb-92C2-25804820EDAC}">
                  <c15:fullRef>
                    <c15:sqref>'Données graphiques'!$L$50:$Q$50</c15:sqref>
                  </c15:fullRef>
                </c:ext>
              </c:extLst>
              <c:f>'Données graphiques'!$M$50:$Q$50</c:f>
              <c:numCache>
                <c:formatCode>General</c:formatCode>
                <c:ptCount val="5"/>
                <c:pt idx="0">
                  <c:v>2021</c:v>
                </c:pt>
                <c:pt idx="1">
                  <c:v>2022</c:v>
                </c:pt>
                <c:pt idx="2">
                  <c:v>2023</c:v>
                </c:pt>
                <c:pt idx="3">
                  <c:v>2024</c:v>
                </c:pt>
                <c:pt idx="4">
                  <c:v>2025</c:v>
                </c:pt>
              </c:numCache>
            </c:numRef>
          </c:cat>
          <c:val>
            <c:numRef>
              <c:extLst>
                <c:ext xmlns:c15="http://schemas.microsoft.com/office/drawing/2012/chart" uri="{02D57815-91ED-43cb-92C2-25804820EDAC}">
                  <c15:fullRef>
                    <c15:sqref>'Données graphiques'!$L$53:$Q$53</c15:sqref>
                  </c15:fullRef>
                </c:ext>
              </c:extLst>
              <c:f>'Données graphiques'!$M$53:$Q$53</c:f>
              <c:numCache>
                <c:formatCode>_(* #,##0_);_(* \(#,##0\);_(* "-"??_);_(@_)</c:formatCode>
                <c:ptCount val="5"/>
                <c:pt idx="0">
                  <c:v>684.20996028215995</c:v>
                </c:pt>
                <c:pt idx="1">
                  <c:v>683.01266691105002</c:v>
                </c:pt>
                <c:pt idx="2">
                  <c:v>716.50760809636802</c:v>
                </c:pt>
                <c:pt idx="3">
                  <c:v>992.61002676520206</c:v>
                </c:pt>
                <c:pt idx="4">
                  <c:v>941.58987138947043</c:v>
                </c:pt>
              </c:numCache>
            </c:numRef>
          </c:val>
          <c:smooth val="0"/>
          <c:extLst>
            <c:ext xmlns:c16="http://schemas.microsoft.com/office/drawing/2014/chart" uri="{C3380CC4-5D6E-409C-BE32-E72D297353CC}">
              <c16:uniqueId val="{00000002-C9E8-4D91-91C3-B5D62521D0F2}"/>
            </c:ext>
          </c:extLst>
        </c:ser>
        <c:ser>
          <c:idx val="3"/>
          <c:order val="3"/>
          <c:tx>
            <c:strRef>
              <c:f>'Données graphiques'!$D$54</c:f>
              <c:strCache>
                <c:ptCount val="1"/>
                <c:pt idx="0">
                  <c:v>KLL</c:v>
                </c:pt>
              </c:strCache>
            </c:strRef>
          </c:tx>
          <c:spPr>
            <a:ln w="38100" cap="rnd">
              <a:solidFill>
                <a:schemeClr val="accent4"/>
              </a:solidFill>
              <a:round/>
            </a:ln>
            <a:effectLst/>
          </c:spPr>
          <c:marker>
            <c:symbol val="none"/>
          </c:marker>
          <c:cat>
            <c:numRef>
              <c:extLst>
                <c:ext xmlns:c15="http://schemas.microsoft.com/office/drawing/2012/chart" uri="{02D57815-91ED-43cb-92C2-25804820EDAC}">
                  <c15:fullRef>
                    <c15:sqref>'Données graphiques'!$L$50:$Q$50</c15:sqref>
                  </c15:fullRef>
                </c:ext>
              </c:extLst>
              <c:f>'Données graphiques'!$M$50:$Q$50</c:f>
              <c:numCache>
                <c:formatCode>General</c:formatCode>
                <c:ptCount val="5"/>
                <c:pt idx="0">
                  <c:v>2021</c:v>
                </c:pt>
                <c:pt idx="1">
                  <c:v>2022</c:v>
                </c:pt>
                <c:pt idx="2">
                  <c:v>2023</c:v>
                </c:pt>
                <c:pt idx="3">
                  <c:v>2024</c:v>
                </c:pt>
                <c:pt idx="4">
                  <c:v>2025</c:v>
                </c:pt>
              </c:numCache>
            </c:numRef>
          </c:cat>
          <c:val>
            <c:numRef>
              <c:extLst>
                <c:ext xmlns:c15="http://schemas.microsoft.com/office/drawing/2012/chart" uri="{02D57815-91ED-43cb-92C2-25804820EDAC}">
                  <c15:fullRef>
                    <c15:sqref>'Données graphiques'!$L$54:$Q$54</c15:sqref>
                  </c15:fullRef>
                </c:ext>
              </c:extLst>
              <c:f>'Données graphiques'!$M$54:$Q$54</c:f>
              <c:numCache>
                <c:formatCode>_(* #,##0_);_(* \(#,##0\);_(* "-"??_);_(@_)</c:formatCode>
                <c:ptCount val="5"/>
                <c:pt idx="0">
                  <c:v>146.27424564910075</c:v>
                </c:pt>
                <c:pt idx="1">
                  <c:v>151.07491976129279</c:v>
                </c:pt>
                <c:pt idx="2">
                  <c:v>143.30966888556233</c:v>
                </c:pt>
                <c:pt idx="3">
                  <c:v>135.94355190484441</c:v>
                </c:pt>
                <c:pt idx="4">
                  <c:v>128.95605333693544</c:v>
                </c:pt>
              </c:numCache>
            </c:numRef>
          </c:val>
          <c:smooth val="0"/>
          <c:extLst>
            <c:ext xmlns:c16="http://schemas.microsoft.com/office/drawing/2014/chart" uri="{C3380CC4-5D6E-409C-BE32-E72D297353CC}">
              <c16:uniqueId val="{00000003-C9E8-4D91-91C3-B5D62521D0F2}"/>
            </c:ext>
          </c:extLst>
        </c:ser>
        <c:dLbls>
          <c:showLegendKey val="0"/>
          <c:showVal val="0"/>
          <c:showCatName val="0"/>
          <c:showSerName val="0"/>
          <c:showPercent val="0"/>
          <c:showBubbleSize val="0"/>
        </c:dLbls>
        <c:smooth val="0"/>
        <c:axId val="833164160"/>
        <c:axId val="833164488"/>
        <c:extLst>
          <c:ext xmlns:c15="http://schemas.microsoft.com/office/drawing/2012/chart" uri="{02D57815-91ED-43cb-92C2-25804820EDAC}">
            <c15:filteredLineSeries>
              <c15:ser>
                <c:idx val="4"/>
                <c:order val="4"/>
                <c:tx>
                  <c:strRef>
                    <c:extLst>
                      <c:ext uri="{02D57815-91ED-43cb-92C2-25804820EDAC}">
                        <c15:formulaRef>
                          <c15:sqref>'Données graphiques'!$D$55</c15:sqref>
                        </c15:formulaRef>
                      </c:ext>
                    </c:extLst>
                    <c:strCache>
                      <c:ptCount val="1"/>
                      <c:pt idx="0">
                        <c:v>0</c:v>
                      </c:pt>
                    </c:strCache>
                  </c:strRef>
                </c:tx>
                <c:spPr>
                  <a:ln w="38100" cap="rnd">
                    <a:solidFill>
                      <a:schemeClr val="accent5"/>
                    </a:solidFill>
                    <a:round/>
                  </a:ln>
                  <a:effectLst/>
                </c:spPr>
                <c:marker>
                  <c:symbol val="none"/>
                </c:marker>
                <c:cat>
                  <c:numRef>
                    <c:extLst>
                      <c:ext uri="{02D57815-91ED-43cb-92C2-25804820EDAC}">
                        <c15:fullRef>
                          <c15:sqref>'Données graphiques'!$L$50:$Q$50</c15:sqref>
                        </c15:fullRef>
                        <c15:formulaRef>
                          <c15:sqref>'Données graphiques'!$M$50:$Q$50</c15:sqref>
                        </c15:formulaRef>
                      </c:ext>
                    </c:extLst>
                    <c:numCache>
                      <c:formatCode>General</c:formatCode>
                      <c:ptCount val="5"/>
                      <c:pt idx="0">
                        <c:v>2021</c:v>
                      </c:pt>
                      <c:pt idx="1">
                        <c:v>2022</c:v>
                      </c:pt>
                      <c:pt idx="2">
                        <c:v>2023</c:v>
                      </c:pt>
                      <c:pt idx="3">
                        <c:v>2024</c:v>
                      </c:pt>
                      <c:pt idx="4">
                        <c:v>2025</c:v>
                      </c:pt>
                    </c:numCache>
                  </c:numRef>
                </c:cat>
                <c:val>
                  <c:numRef>
                    <c:extLst>
                      <c:ext uri="{02D57815-91ED-43cb-92C2-25804820EDAC}">
                        <c15:fullRef>
                          <c15:sqref>'Données graphiques'!$L$55:$Q$55</c15:sqref>
                        </c15:fullRef>
                        <c15:formulaRef>
                          <c15:sqref>'Données graphiques'!$M$55:$Q$55</c15:sqref>
                        </c15:formulaRef>
                      </c:ext>
                    </c:extLst>
                    <c:numCache>
                      <c:formatCode>_(* #,##0_);_(* \(#,##0\);_(* "-"??_);_(@_)</c:formatCode>
                      <c:ptCount val="5"/>
                      <c:pt idx="0">
                        <c:v>168.30044450966864</c:v>
                      </c:pt>
                      <c:pt idx="1">
                        <c:v>168.05751829874873</c:v>
                      </c:pt>
                      <c:pt idx="2">
                        <c:v>161.46388515024032</c:v>
                      </c:pt>
                      <c:pt idx="3">
                        <c:v>162.3254873638798</c:v>
                      </c:pt>
                      <c:pt idx="4">
                        <c:v>155.98397156074134</c:v>
                      </c:pt>
                    </c:numCache>
                  </c:numRef>
                </c:val>
                <c:smooth val="0"/>
                <c:extLst>
                  <c:ext xmlns:c16="http://schemas.microsoft.com/office/drawing/2014/chart" uri="{C3380CC4-5D6E-409C-BE32-E72D297353CC}">
                    <c16:uniqueId val="{00000004-C9E8-4D91-91C3-B5D62521D0F2}"/>
                  </c:ext>
                </c:extLst>
              </c15:ser>
            </c15:filteredLineSeries>
          </c:ext>
        </c:extLst>
      </c:lineChart>
      <c:catAx>
        <c:axId val="833164160"/>
        <c:scaling>
          <c:orientation val="minMax"/>
        </c:scaling>
        <c:delete val="0"/>
        <c:axPos val="b"/>
        <c:numFmt formatCode="General" sourceLinked="1"/>
        <c:majorTickMark val="none"/>
        <c:minorTickMark val="none"/>
        <c:tickLblPos val="nextTo"/>
        <c:spPr>
          <a:noFill/>
          <a:ln w="9525" cap="flat" cmpd="sng" algn="ctr">
            <a:solidFill>
              <a:schemeClr val="tx1">
                <a:lumMod val="15%"/>
                <a:lumOff val="85%"/>
              </a:schemeClr>
            </a:solidFill>
            <a:round/>
          </a:ln>
          <a:effectLst/>
        </c:spPr>
        <c:txPr>
          <a:bodyPr rot="-60000000" spcFirstLastPara="1" vertOverflow="ellipsis" vert="horz" wrap="square" anchor="ctr" anchorCtr="1"/>
          <a:lstStyle/>
          <a:p>
            <a:pPr>
              <a:defRPr sz="1000" b="0" i="0" u="none" strike="noStrike" kern="1200" baseline="0%">
                <a:solidFill>
                  <a:schemeClr val="tx1">
                    <a:lumMod val="65%"/>
                    <a:lumOff val="35%"/>
                  </a:schemeClr>
                </a:solidFill>
                <a:latin typeface="+mn-lt"/>
                <a:ea typeface="+mn-ea"/>
                <a:cs typeface="+mn-cs"/>
              </a:defRPr>
            </a:pPr>
            <a:endParaRPr lang="fr-FR"/>
          </a:p>
        </c:txPr>
        <c:crossAx val="833164488"/>
        <c:crosses val="autoZero"/>
        <c:auto val="1"/>
        <c:lblAlgn val="ctr"/>
        <c:lblOffset val="100"/>
        <c:noMultiLvlLbl val="0"/>
      </c:catAx>
      <c:valAx>
        <c:axId val="833164488"/>
        <c:scaling>
          <c:orientation val="minMax"/>
        </c:scaling>
        <c:delete val="0"/>
        <c:axPos val="l"/>
        <c:majorGridlines>
          <c:spPr>
            <a:ln w="9525" cap="flat" cmpd="sng" algn="ctr">
              <a:solidFill>
                <a:schemeClr val="tx1">
                  <a:lumMod val="15%"/>
                  <a:lumOff val="85%"/>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
                        <a:lumOff val="35%"/>
                      </a:schemeClr>
                    </a:solidFill>
                    <a:latin typeface="+mn-lt"/>
                    <a:ea typeface="+mn-ea"/>
                    <a:cs typeface="+mn-cs"/>
                  </a:defRPr>
                </a:pPr>
                <a:r>
                  <a:rPr lang="en-US" sz="1100" b="1"/>
                  <a:t>Millions USD</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
                      <a:lumOff val="35%"/>
                    </a:schemeClr>
                  </a:solidFill>
                  <a:latin typeface="+mn-lt"/>
                  <a:ea typeface="+mn-ea"/>
                  <a:cs typeface="+mn-cs"/>
                </a:defRPr>
              </a:pPr>
              <a:endParaRPr lang="fr-FR"/>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
                    <a:lumOff val="35%"/>
                  </a:schemeClr>
                </a:solidFill>
                <a:latin typeface="+mn-lt"/>
                <a:ea typeface="+mn-ea"/>
                <a:cs typeface="+mn-cs"/>
              </a:defRPr>
            </a:pPr>
            <a:endParaRPr lang="fr-FR"/>
          </a:p>
        </c:txPr>
        <c:crossAx val="8331641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
                  <a:lumOff val="35%"/>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6.xml><?xml version="1.0" encoding="utf-8"?>
<c:chartSpace xmlns:c="http://purl.oclc.org/ooxml/drawingml/chart" xmlns:a="http://purl.oclc.org/ooxml/drawingml/main" xmlns:r="http://purl.oclc.org/ooxml/officeDocument/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[0]!title_chart3</c:f>
          <c:strCache>
            <c:ptCount val="1"/>
            <c:pt idx="0">
              <c:v>Ventilation des flux de trésorerie de l'État pour KLL</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
                  <a:lumOff val="35%"/>
                </a:schemeClr>
              </a:solidFill>
              <a:latin typeface="+mn-lt"/>
              <a:ea typeface="+mn-ea"/>
              <a:cs typeface="+mn-cs"/>
            </a:defRPr>
          </a:pPr>
          <a:endParaRPr lang="fr-FR"/>
        </a:p>
      </c:txPr>
    </c:title>
    <c:autoTitleDeleted val="0"/>
    <c:plotArea>
      <c:layout>
        <c:manualLayout>
          <c:layoutTarget val="inner"/>
          <c:xMode val="edge"/>
          <c:yMode val="edge"/>
          <c:x val="0.11195599326256356"/>
          <c:y val="0.13430301522275859"/>
          <c:w val="0.86927067277339809"/>
          <c:h val="0.69151265973161991"/>
        </c:manualLayout>
      </c:layout>
      <c:barChart>
        <c:barDir val="col"/>
        <c:grouping val="stacked"/>
        <c:varyColors val="0"/>
        <c:ser>
          <c:idx val="0"/>
          <c:order val="0"/>
          <c:tx>
            <c:strRef>
              <c:f>'Données graphiques'!$D$62</c:f>
              <c:strCache>
                <c:ptCount val="1"/>
                <c:pt idx="0">
                  <c:v>Redevances</c:v>
                </c:pt>
              </c:strCache>
            </c:strRef>
          </c:tx>
          <c:spPr>
            <a:solidFill>
              <a:schemeClr val="accent6"/>
            </a:solidFill>
            <a:ln>
              <a:noFill/>
            </a:ln>
            <a:effectLst/>
          </c:spPr>
          <c:invertIfNegative val="0"/>
          <c:cat>
            <c:numRef>
              <c:extLst>
                <c:ext xmlns:c15="http://schemas.microsoft.com/office/drawing/2012/chart" uri="{02D57815-91ED-43cb-92C2-25804820EDAC}">
                  <c15:fullRef>
                    <c15:sqref>'Données graphiques'!$L$61:$Q$61</c15:sqref>
                  </c15:fullRef>
                </c:ext>
              </c:extLst>
              <c:f>'Données graphiques'!$M$61:$Q$61</c:f>
              <c:numCache>
                <c:formatCode>General</c:formatCode>
                <c:ptCount val="5"/>
                <c:pt idx="0">
                  <c:v>2021</c:v>
                </c:pt>
                <c:pt idx="1">
                  <c:v>2022</c:v>
                </c:pt>
                <c:pt idx="2">
                  <c:v>2023</c:v>
                </c:pt>
                <c:pt idx="3">
                  <c:v>2024</c:v>
                </c:pt>
                <c:pt idx="4">
                  <c:v>2025</c:v>
                </c:pt>
              </c:numCache>
            </c:numRef>
          </c:cat>
          <c:val>
            <c:numRef>
              <c:extLst>
                <c:ext xmlns:c15="http://schemas.microsoft.com/office/drawing/2012/chart" uri="{02D57815-91ED-43cb-92C2-25804820EDAC}">
                  <c15:fullRef>
                    <c15:sqref>'Données graphiques'!$L$62:$Q$62</c15:sqref>
                  </c15:fullRef>
                </c:ext>
              </c:extLst>
              <c:f>'Données graphiques'!$M$62:$Q$62</c:f>
              <c:numCache>
                <c:formatCode>_(* #,##0_);_(* \(#,##0\);_(* "-"??_);_(@_)</c:formatCode>
                <c:ptCount val="5"/>
                <c:pt idx="0">
                  <c:v>51.619911426719995</c:v>
                </c:pt>
                <c:pt idx="1">
                  <c:v>51.529582169099996</c:v>
                </c:pt>
                <c:pt idx="2">
                  <c:v>48.880961645608252</c:v>
                </c:pt>
                <c:pt idx="3">
                  <c:v>46.368480217023979</c:v>
                </c:pt>
                <c:pt idx="4">
                  <c:v>43.985140333868948</c:v>
                </c:pt>
              </c:numCache>
            </c:numRef>
          </c:val>
          <c:extLst>
            <c:ext xmlns:c16="http://schemas.microsoft.com/office/drawing/2014/chart" uri="{C3380CC4-5D6E-409C-BE32-E72D297353CC}">
              <c16:uniqueId val="{00000000-10FA-447C-9B45-C919C81B348A}"/>
            </c:ext>
          </c:extLst>
        </c:ser>
        <c:ser>
          <c:idx val="1"/>
          <c:order val="1"/>
          <c:tx>
            <c:strRef>
              <c:f>'Données graphiques'!$D$63</c:f>
              <c:strCache>
                <c:ptCount val="1"/>
                <c:pt idx="0">
                  <c:v>PID</c:v>
                </c:pt>
              </c:strCache>
            </c:strRef>
          </c:tx>
          <c:spPr>
            <a:solidFill>
              <a:schemeClr val="accent5"/>
            </a:solidFill>
            <a:ln>
              <a:noFill/>
            </a:ln>
            <a:effectLst/>
          </c:spPr>
          <c:invertIfNegative val="0"/>
          <c:cat>
            <c:numRef>
              <c:extLst>
                <c:ext xmlns:c15="http://schemas.microsoft.com/office/drawing/2012/chart" uri="{02D57815-91ED-43cb-92C2-25804820EDAC}">
                  <c15:fullRef>
                    <c15:sqref>'Données graphiques'!$L$61:$Q$61</c15:sqref>
                  </c15:fullRef>
                </c:ext>
              </c:extLst>
              <c:f>'Données graphiques'!$M$61:$Q$61</c:f>
              <c:numCache>
                <c:formatCode>General</c:formatCode>
                <c:ptCount val="5"/>
                <c:pt idx="0">
                  <c:v>2021</c:v>
                </c:pt>
                <c:pt idx="1">
                  <c:v>2022</c:v>
                </c:pt>
                <c:pt idx="2">
                  <c:v>2023</c:v>
                </c:pt>
                <c:pt idx="3">
                  <c:v>2024</c:v>
                </c:pt>
                <c:pt idx="4">
                  <c:v>2025</c:v>
                </c:pt>
              </c:numCache>
            </c:numRef>
          </c:cat>
          <c:val>
            <c:numRef>
              <c:extLst>
                <c:ext xmlns:c15="http://schemas.microsoft.com/office/drawing/2012/chart" uri="{02D57815-91ED-43cb-92C2-25804820EDAC}">
                  <c15:fullRef>
                    <c15:sqref>'Données graphiques'!$L$63:$Q$63</c15:sqref>
                  </c15:fullRef>
                </c:ext>
              </c:extLst>
              <c:f>'Données graphiques'!$M$63:$Q$63</c:f>
              <c:numCache>
                <c:formatCode>_(* #,##0_);_(* \(#,##0\);_(* "-"??_);_(@_)</c:formatCode>
                <c:ptCount val="5"/>
                <c:pt idx="0">
                  <c:v>3.4413274284479995</c:v>
                </c:pt>
                <c:pt idx="1">
                  <c:v>3.4353054779399996</c:v>
                </c:pt>
                <c:pt idx="2">
                  <c:v>3.2587307763738838</c:v>
                </c:pt>
                <c:pt idx="3">
                  <c:v>3.0912320144682655</c:v>
                </c:pt>
                <c:pt idx="4">
                  <c:v>2.9323426889245967</c:v>
                </c:pt>
              </c:numCache>
            </c:numRef>
          </c:val>
          <c:extLst>
            <c:ext xmlns:c16="http://schemas.microsoft.com/office/drawing/2014/chart" uri="{C3380CC4-5D6E-409C-BE32-E72D297353CC}">
              <c16:uniqueId val="{00000001-10FA-447C-9B45-C919C81B348A}"/>
            </c:ext>
          </c:extLst>
        </c:ser>
        <c:ser>
          <c:idx val="2"/>
          <c:order val="2"/>
          <c:tx>
            <c:strRef>
              <c:f>'Données graphiques'!$D$64</c:f>
              <c:strCache>
                <c:ptCount val="1"/>
                <c:pt idx="0">
                  <c:v>Excess Cost Oil</c:v>
                </c:pt>
              </c:strCache>
            </c:strRef>
          </c:tx>
          <c:spPr>
            <a:solidFill>
              <a:schemeClr val="accent3"/>
            </a:solidFill>
            <a:ln>
              <a:noFill/>
            </a:ln>
            <a:effectLst/>
          </c:spPr>
          <c:invertIfNegative val="0"/>
          <c:cat>
            <c:numRef>
              <c:extLst>
                <c:ext xmlns:c15="http://schemas.microsoft.com/office/drawing/2012/chart" uri="{02D57815-91ED-43cb-92C2-25804820EDAC}">
                  <c15:fullRef>
                    <c15:sqref>'Données graphiques'!$L$61:$Q$61</c15:sqref>
                  </c15:fullRef>
                </c:ext>
              </c:extLst>
              <c:f>'Données graphiques'!$M$61:$Q$61</c:f>
              <c:numCache>
                <c:formatCode>General</c:formatCode>
                <c:ptCount val="5"/>
                <c:pt idx="0">
                  <c:v>2021</c:v>
                </c:pt>
                <c:pt idx="1">
                  <c:v>2022</c:v>
                </c:pt>
                <c:pt idx="2">
                  <c:v>2023</c:v>
                </c:pt>
                <c:pt idx="3">
                  <c:v>2024</c:v>
                </c:pt>
                <c:pt idx="4">
                  <c:v>2025</c:v>
                </c:pt>
              </c:numCache>
            </c:numRef>
          </c:cat>
          <c:val>
            <c:numRef>
              <c:extLst>
                <c:ext xmlns:c15="http://schemas.microsoft.com/office/drawing/2012/chart" uri="{02D57815-91ED-43cb-92C2-25804820EDAC}">
                  <c15:fullRef>
                    <c15:sqref>'Données graphiques'!$L$64:$Q$64</c15:sqref>
                  </c15:fullRef>
                </c:ext>
              </c:extLst>
              <c:f>'Données graphiques'!$M$64:$Q$64</c:f>
              <c:numCache>
                <c:formatCode>_(* #,##0_);_(* \(#,##0\);_(* "-"??_);_(@_)</c:formatCode>
                <c:ptCount val="5"/>
                <c:pt idx="0">
                  <c:v>0</c:v>
                </c:pt>
                <c:pt idx="1">
                  <c:v>0</c:v>
                </c:pt>
                <c:pt idx="2">
                  <c:v>0</c:v>
                </c:pt>
                <c:pt idx="3">
                  <c:v>0</c:v>
                </c:pt>
                <c:pt idx="4">
                  <c:v>0</c:v>
                </c:pt>
              </c:numCache>
            </c:numRef>
          </c:val>
          <c:extLst>
            <c:ext xmlns:c16="http://schemas.microsoft.com/office/drawing/2014/chart" uri="{C3380CC4-5D6E-409C-BE32-E72D297353CC}">
              <c16:uniqueId val="{00000002-10FA-447C-9B45-C919C81B348A}"/>
            </c:ext>
          </c:extLst>
        </c:ser>
        <c:ser>
          <c:idx val="3"/>
          <c:order val="3"/>
          <c:tx>
            <c:strRef>
              <c:f>'Données graphiques'!$D$65</c:f>
              <c:strCache>
                <c:ptCount val="1"/>
                <c:pt idx="0">
                  <c:v>SPO</c:v>
                </c:pt>
              </c:strCache>
            </c:strRef>
          </c:tx>
          <c:spPr>
            <a:solidFill>
              <a:schemeClr val="accent4"/>
            </a:solidFill>
            <a:ln>
              <a:noFill/>
            </a:ln>
            <a:effectLst/>
          </c:spPr>
          <c:invertIfNegative val="0"/>
          <c:cat>
            <c:numRef>
              <c:extLst>
                <c:ext xmlns:c15="http://schemas.microsoft.com/office/drawing/2012/chart" uri="{02D57815-91ED-43cb-92C2-25804820EDAC}">
                  <c15:fullRef>
                    <c15:sqref>'Données graphiques'!$L$61:$Q$61</c15:sqref>
                  </c15:fullRef>
                </c:ext>
              </c:extLst>
              <c:f>'Données graphiques'!$M$61:$Q$61</c:f>
              <c:numCache>
                <c:formatCode>General</c:formatCode>
                <c:ptCount val="5"/>
                <c:pt idx="0">
                  <c:v>2021</c:v>
                </c:pt>
                <c:pt idx="1">
                  <c:v>2022</c:v>
                </c:pt>
                <c:pt idx="2">
                  <c:v>2023</c:v>
                </c:pt>
                <c:pt idx="3">
                  <c:v>2024</c:v>
                </c:pt>
                <c:pt idx="4">
                  <c:v>2025</c:v>
                </c:pt>
              </c:numCache>
            </c:numRef>
          </c:cat>
          <c:val>
            <c:numRef>
              <c:extLst>
                <c:ext xmlns:c15="http://schemas.microsoft.com/office/drawing/2012/chart" uri="{02D57815-91ED-43cb-92C2-25804820EDAC}">
                  <c15:fullRef>
                    <c15:sqref>'Données graphiques'!$L$65:$Q$65</c15:sqref>
                  </c15:fullRef>
                </c:ext>
              </c:extLst>
              <c:f>'Données graphiques'!$M$65:$Q$65</c:f>
              <c:numCache>
                <c:formatCode>_(* #,##0_);_(* \(#,##0\);_(* "-"??_);_(@_)</c:formatCode>
                <c:ptCount val="5"/>
                <c:pt idx="0">
                  <c:v>45.039546068932786</c:v>
                </c:pt>
                <c:pt idx="1">
                  <c:v>52.30988727051782</c:v>
                </c:pt>
                <c:pt idx="2">
                  <c:v>49.621159064813206</c:v>
                </c:pt>
                <c:pt idx="3">
                  <c:v>47.07063148888178</c:v>
                </c:pt>
                <c:pt idx="4">
                  <c:v>44.651201030353278</c:v>
                </c:pt>
              </c:numCache>
            </c:numRef>
          </c:val>
          <c:extLst>
            <c:ext xmlns:c16="http://schemas.microsoft.com/office/drawing/2014/chart" uri="{C3380CC4-5D6E-409C-BE32-E72D297353CC}">
              <c16:uniqueId val="{00000003-10FA-447C-9B45-C919C81B348A}"/>
            </c:ext>
          </c:extLst>
        </c:ser>
        <c:ser>
          <c:idx val="4"/>
          <c:order val="4"/>
          <c:tx>
            <c:strRef>
              <c:f>'Données graphiques'!$D$66</c:f>
              <c:strCache>
                <c:ptCount val="1"/>
                <c:pt idx="0">
                  <c:v>Partage du profit</c:v>
                </c:pt>
              </c:strCache>
            </c:strRef>
          </c:tx>
          <c:spPr>
            <a:solidFill>
              <a:schemeClr val="accent2"/>
            </a:solidFill>
            <a:ln>
              <a:noFill/>
            </a:ln>
            <a:effectLst/>
          </c:spPr>
          <c:invertIfNegative val="0"/>
          <c:cat>
            <c:numRef>
              <c:extLst>
                <c:ext xmlns:c15="http://schemas.microsoft.com/office/drawing/2012/chart" uri="{02D57815-91ED-43cb-92C2-25804820EDAC}">
                  <c15:fullRef>
                    <c15:sqref>'Données graphiques'!$L$61:$Q$61</c15:sqref>
                  </c15:fullRef>
                </c:ext>
              </c:extLst>
              <c:f>'Données graphiques'!$M$61:$Q$61</c:f>
              <c:numCache>
                <c:formatCode>General</c:formatCode>
                <c:ptCount val="5"/>
                <c:pt idx="0">
                  <c:v>2021</c:v>
                </c:pt>
                <c:pt idx="1">
                  <c:v>2022</c:v>
                </c:pt>
                <c:pt idx="2">
                  <c:v>2023</c:v>
                </c:pt>
                <c:pt idx="3">
                  <c:v>2024</c:v>
                </c:pt>
                <c:pt idx="4">
                  <c:v>2025</c:v>
                </c:pt>
              </c:numCache>
            </c:numRef>
          </c:cat>
          <c:val>
            <c:numRef>
              <c:extLst>
                <c:ext xmlns:c15="http://schemas.microsoft.com/office/drawing/2012/chart" uri="{02D57815-91ED-43cb-92C2-25804820EDAC}">
                  <c15:fullRef>
                    <c15:sqref>'Données graphiques'!$L$66:$Q$66</c15:sqref>
                  </c15:fullRef>
                </c:ext>
              </c:extLst>
              <c:f>'Données graphiques'!$M$66:$Q$66</c:f>
              <c:numCache>
                <c:formatCode>_(* #,##0_);_(* \(#,##0\);_(* "-"??_);_(@_)</c:formatCode>
                <c:ptCount val="5"/>
                <c:pt idx="0">
                  <c:v>46.173460724999984</c:v>
                </c:pt>
                <c:pt idx="1">
                  <c:v>43.800144843734998</c:v>
                </c:pt>
                <c:pt idx="2">
                  <c:v>41.548817398767007</c:v>
                </c:pt>
                <c:pt idx="3">
                  <c:v>39.413208184470378</c:v>
                </c:pt>
                <c:pt idx="4">
                  <c:v>37.387369283788615</c:v>
                </c:pt>
              </c:numCache>
            </c:numRef>
          </c:val>
          <c:extLst>
            <c:ext xmlns:c16="http://schemas.microsoft.com/office/drawing/2014/chart" uri="{C3380CC4-5D6E-409C-BE32-E72D297353CC}">
              <c16:uniqueId val="{00000004-10FA-447C-9B45-C919C81B348A}"/>
            </c:ext>
          </c:extLst>
        </c:ser>
        <c:dLbls>
          <c:showLegendKey val="0"/>
          <c:showVal val="0"/>
          <c:showCatName val="0"/>
          <c:showSerName val="0"/>
          <c:showPercent val="0"/>
          <c:showBubbleSize val="0"/>
        </c:dLbls>
        <c:gapWidth val="150"/>
        <c:overlap val="100"/>
        <c:axId val="812604400"/>
        <c:axId val="812601120"/>
      </c:barChart>
      <c:catAx>
        <c:axId val="812604400"/>
        <c:scaling>
          <c:orientation val="minMax"/>
        </c:scaling>
        <c:delete val="0"/>
        <c:axPos val="b"/>
        <c:numFmt formatCode="General" sourceLinked="1"/>
        <c:majorTickMark val="none"/>
        <c:minorTickMark val="none"/>
        <c:tickLblPos val="nextTo"/>
        <c:spPr>
          <a:noFill/>
          <a:ln w="9525" cap="flat" cmpd="sng" algn="ctr">
            <a:solidFill>
              <a:schemeClr val="tx1">
                <a:lumMod val="15%"/>
                <a:lumOff val="85%"/>
              </a:schemeClr>
            </a:solidFill>
            <a:round/>
          </a:ln>
          <a:effectLst/>
        </c:spPr>
        <c:txPr>
          <a:bodyPr rot="-60000000" spcFirstLastPara="1" vertOverflow="ellipsis" vert="horz" wrap="square" anchor="ctr" anchorCtr="1"/>
          <a:lstStyle/>
          <a:p>
            <a:pPr>
              <a:defRPr sz="1000" b="0" i="0" u="none" strike="noStrike" kern="1200" baseline="0%">
                <a:solidFill>
                  <a:schemeClr val="tx1">
                    <a:lumMod val="65%"/>
                    <a:lumOff val="35%"/>
                  </a:schemeClr>
                </a:solidFill>
                <a:latin typeface="+mn-lt"/>
                <a:ea typeface="+mn-ea"/>
                <a:cs typeface="+mn-cs"/>
              </a:defRPr>
            </a:pPr>
            <a:endParaRPr lang="fr-FR"/>
          </a:p>
        </c:txPr>
        <c:crossAx val="812601120"/>
        <c:crosses val="autoZero"/>
        <c:auto val="1"/>
        <c:lblAlgn val="ctr"/>
        <c:lblOffset val="100"/>
        <c:noMultiLvlLbl val="0"/>
      </c:catAx>
      <c:valAx>
        <c:axId val="812601120"/>
        <c:scaling>
          <c:orientation val="minMax"/>
        </c:scaling>
        <c:delete val="0"/>
        <c:axPos val="l"/>
        <c:majorGridlines>
          <c:spPr>
            <a:ln w="9525" cap="flat" cmpd="sng" algn="ctr">
              <a:solidFill>
                <a:schemeClr val="tx1">
                  <a:lumMod val="15%"/>
                  <a:lumOff val="85%"/>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
                        <a:lumOff val="35%"/>
                      </a:schemeClr>
                    </a:solidFill>
                    <a:latin typeface="+mn-lt"/>
                    <a:ea typeface="+mn-ea"/>
                    <a:cs typeface="+mn-cs"/>
                  </a:defRPr>
                </a:pPr>
                <a:r>
                  <a:rPr lang="en-US" b="1"/>
                  <a:t>Millions USD</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
                      <a:lumOff val="35%"/>
                    </a:schemeClr>
                  </a:solidFill>
                  <a:latin typeface="+mn-lt"/>
                  <a:ea typeface="+mn-ea"/>
                  <a:cs typeface="+mn-cs"/>
                </a:defRPr>
              </a:pPr>
              <a:endParaRPr lang="fr-FR"/>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
                    <a:lumOff val="35%"/>
                  </a:schemeClr>
                </a:solidFill>
                <a:latin typeface="+mn-lt"/>
                <a:ea typeface="+mn-ea"/>
                <a:cs typeface="+mn-cs"/>
              </a:defRPr>
            </a:pPr>
            <a:endParaRPr lang="fr-FR"/>
          </a:p>
        </c:txPr>
        <c:crossAx val="8126044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
                  <a:lumOff val="35%"/>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7.xml><?xml version="1.0" encoding="utf-8"?>
<c:chartSpace xmlns:c="http://purl.oclc.org/ooxml/drawingml/chart" xmlns:a="http://purl.oclc.org/ooxml/drawingml/main" xmlns:r="http://purl.oclc.org/ooxml/officeDocument/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[0]!title_chart4</c:f>
          <c:strCache>
            <c:ptCount val="1"/>
            <c:pt idx="0">
              <c:v>Variation des revenus totaux de l'État à différents
 taux de déclin : 7%</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
                  <a:lumOff val="35%"/>
                </a:schemeClr>
              </a:solidFill>
              <a:latin typeface="+mn-lt"/>
              <a:ea typeface="+mn-ea"/>
              <a:cs typeface="+mn-cs"/>
            </a:defRPr>
          </a:pPr>
          <a:endParaRPr lang="fr-FR"/>
        </a:p>
      </c:txPr>
    </c:title>
    <c:autoTitleDeleted val="0"/>
    <c:plotArea>
      <c:layout>
        <c:manualLayout>
          <c:layoutTarget val="inner"/>
          <c:xMode val="edge"/>
          <c:yMode val="edge"/>
          <c:x val="0.10219202782579007"/>
          <c:y val="0.1478298611111111"/>
          <c:w val="0.87917653585984679"/>
          <c:h val="0.71885594378827644"/>
        </c:manualLayout>
      </c:layout>
      <c:barChart>
        <c:barDir val="col"/>
        <c:grouping val="stacked"/>
        <c:varyColors val="0"/>
        <c:ser>
          <c:idx val="0"/>
          <c:order val="0"/>
          <c:tx>
            <c:strRef>
              <c:f>'Données graphiques'!$D$75:$E$75</c:f>
              <c:strCache>
                <c:ptCount val="2"/>
                <c:pt idx="0">
                  <c:v>Nkossa</c:v>
                </c:pt>
              </c:strCache>
            </c:strRef>
          </c:tx>
          <c:spPr>
            <a:solidFill>
              <a:schemeClr val="accent1"/>
            </a:solidFill>
            <a:ln>
              <a:noFill/>
            </a:ln>
            <a:effectLst/>
          </c:spPr>
          <c:invertIfNegative val="0"/>
          <c:cat>
            <c:numRef>
              <c:f>'Données graphiques'!$F$74:$I$74</c:f>
              <c:numCache>
                <c:formatCode>"$"#,##0_);[Red]\("$"#,##0\)</c:formatCode>
                <c:ptCount val="4"/>
                <c:pt idx="0">
                  <c:v>50</c:v>
                </c:pt>
                <c:pt idx="1">
                  <c:v>70</c:v>
                </c:pt>
                <c:pt idx="2">
                  <c:v>90</c:v>
                </c:pt>
                <c:pt idx="3">
                  <c:v>100</c:v>
                </c:pt>
              </c:numCache>
            </c:numRef>
          </c:cat>
          <c:val>
            <c:numRef>
              <c:f>'Données graphiques'!$F$75:$I$75</c:f>
              <c:numCache>
                <c:formatCode>#,##0</c:formatCode>
                <c:ptCount val="4"/>
                <c:pt idx="0">
                  <c:v>445.99833000424047</c:v>
                </c:pt>
                <c:pt idx="1">
                  <c:v>568.14042337355966</c:v>
                </c:pt>
                <c:pt idx="2">
                  <c:v>752.2000439942102</c:v>
                </c:pt>
                <c:pt idx="3">
                  <c:v>864.86763278113324</c:v>
                </c:pt>
              </c:numCache>
            </c:numRef>
          </c:val>
          <c:extLst>
            <c:ext xmlns:c16="http://schemas.microsoft.com/office/drawing/2014/chart" uri="{C3380CC4-5D6E-409C-BE32-E72D297353CC}">
              <c16:uniqueId val="{00000000-0F34-41D7-9DD6-4D9D0A8389AA}"/>
            </c:ext>
          </c:extLst>
        </c:ser>
        <c:ser>
          <c:idx val="1"/>
          <c:order val="1"/>
          <c:tx>
            <c:strRef>
              <c:f>'Données graphiques'!$D$76:$E$76</c:f>
              <c:strCache>
                <c:ptCount val="2"/>
                <c:pt idx="0">
                  <c:v>Nsoko</c:v>
                </c:pt>
              </c:strCache>
            </c:strRef>
          </c:tx>
          <c:spPr>
            <a:solidFill>
              <a:schemeClr val="accent2"/>
            </a:solidFill>
            <a:ln>
              <a:noFill/>
            </a:ln>
            <a:effectLst/>
          </c:spPr>
          <c:invertIfNegative val="0"/>
          <c:cat>
            <c:numRef>
              <c:f>'Données graphiques'!$F$74:$I$74</c:f>
              <c:numCache>
                <c:formatCode>"$"#,##0_);[Red]\("$"#,##0\)</c:formatCode>
                <c:ptCount val="4"/>
                <c:pt idx="0">
                  <c:v>50</c:v>
                </c:pt>
                <c:pt idx="1">
                  <c:v>70</c:v>
                </c:pt>
                <c:pt idx="2">
                  <c:v>90</c:v>
                </c:pt>
                <c:pt idx="3">
                  <c:v>100</c:v>
                </c:pt>
              </c:numCache>
            </c:numRef>
          </c:cat>
          <c:val>
            <c:numRef>
              <c:f>'Données graphiques'!$F$76:$I$76</c:f>
              <c:numCache>
                <c:formatCode>#,##0</c:formatCode>
                <c:ptCount val="4"/>
                <c:pt idx="0">
                  <c:v>67.699260777905948</c:v>
                </c:pt>
                <c:pt idx="1">
                  <c:v>105.04972692293858</c:v>
                </c:pt>
                <c:pt idx="2">
                  <c:v>144.74567387095672</c:v>
                </c:pt>
                <c:pt idx="3">
                  <c:v>164.59364734496577</c:v>
                </c:pt>
              </c:numCache>
            </c:numRef>
          </c:val>
          <c:extLst>
            <c:ext xmlns:c16="http://schemas.microsoft.com/office/drawing/2014/chart" uri="{C3380CC4-5D6E-409C-BE32-E72D297353CC}">
              <c16:uniqueId val="{00000001-0F34-41D7-9DD6-4D9D0A8389AA}"/>
            </c:ext>
          </c:extLst>
        </c:ser>
        <c:ser>
          <c:idx val="2"/>
          <c:order val="2"/>
          <c:tx>
            <c:strRef>
              <c:f>'Données graphiques'!$D$77:$E$77</c:f>
              <c:strCache>
                <c:ptCount val="2"/>
                <c:pt idx="0">
                  <c:v>Moho</c:v>
                </c:pt>
              </c:strCache>
            </c:strRef>
          </c:tx>
          <c:spPr>
            <a:solidFill>
              <a:schemeClr val="accent3"/>
            </a:solidFill>
            <a:ln>
              <a:noFill/>
            </a:ln>
            <a:effectLst/>
          </c:spPr>
          <c:invertIfNegative val="0"/>
          <c:cat>
            <c:numRef>
              <c:f>'Données graphiques'!$F$74:$I$74</c:f>
              <c:numCache>
                <c:formatCode>"$"#,##0_);[Red]\("$"#,##0\)</c:formatCode>
                <c:ptCount val="4"/>
                <c:pt idx="0">
                  <c:v>50</c:v>
                </c:pt>
                <c:pt idx="1">
                  <c:v>70</c:v>
                </c:pt>
                <c:pt idx="2">
                  <c:v>90</c:v>
                </c:pt>
                <c:pt idx="3">
                  <c:v>100</c:v>
                </c:pt>
              </c:numCache>
            </c:numRef>
          </c:cat>
          <c:val>
            <c:numRef>
              <c:f>'Données graphiques'!$F$77:$I$77</c:f>
              <c:numCache>
                <c:formatCode>#,##0</c:formatCode>
                <c:ptCount val="4"/>
                <c:pt idx="0">
                  <c:v>4212.8720746453728</c:v>
                </c:pt>
                <c:pt idx="1">
                  <c:v>5560.4921940693912</c:v>
                </c:pt>
                <c:pt idx="2">
                  <c:v>7816.4546342138419</c:v>
                </c:pt>
                <c:pt idx="3">
                  <c:v>9030.7417485815949</c:v>
                </c:pt>
              </c:numCache>
            </c:numRef>
          </c:val>
          <c:extLst>
            <c:ext xmlns:c16="http://schemas.microsoft.com/office/drawing/2014/chart" uri="{C3380CC4-5D6E-409C-BE32-E72D297353CC}">
              <c16:uniqueId val="{00000002-0F34-41D7-9DD6-4D9D0A8389AA}"/>
            </c:ext>
          </c:extLst>
        </c:ser>
        <c:ser>
          <c:idx val="3"/>
          <c:order val="3"/>
          <c:tx>
            <c:strRef>
              <c:f>'Données graphiques'!$D$78:$E$78</c:f>
              <c:strCache>
                <c:ptCount val="2"/>
                <c:pt idx="0">
                  <c:v>KLL</c:v>
                </c:pt>
              </c:strCache>
            </c:strRef>
          </c:tx>
          <c:spPr>
            <a:solidFill>
              <a:schemeClr val="accent4"/>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5-0F34-41D7-9DD6-4D9D0A8389AA}"/>
                </c:ext>
              </c:extLst>
            </c:dLbl>
            <c:dLbl>
              <c:idx val="1"/>
              <c:layout>
                <c:manualLayout>
                  <c:x val="-0.22357723577235772"/>
                  <c:y val="4.2585287868166018E-2"/>
                </c:manualLayout>
              </c:layout>
              <c:tx>
                <c:strRef>
                  <c:f>'Données graphiques'!$F$80</c:f>
                  <c:strCache>
                    <c:ptCount val="1"/>
                    <c:pt idx="0">
                      <c:v>-Δ 25%</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{AEA14E63-E4F5-B24B-8E5E-23FE3B7030D4}</c15:txfldGUID>
                      <c15:f>'Données graphiques'!$F$80</c15:f>
                      <c15:dlblFieldTableCache>
                        <c:ptCount val="1"/>
                        <c:pt idx="0">
                          <c:v>-Δ 25%</c:v>
                        </c:pt>
                      </c15:dlblFieldTableCache>
                    </c15:dlblFTEntry>
                  </c15:dlblFieldTable>
                  <c15:showDataLabelsRange val="0"/>
                </c:ext>
                <c:ext xmlns:c16="http://schemas.microsoft.com/office/drawing/2014/chart" uri="{C3380CC4-5D6E-409C-BE32-E72D297353CC}">
                  <c16:uniqueId val="{00000006-0F34-41D7-9DD6-4D9D0A8389AA}"/>
                </c:ext>
              </c:extLst>
            </c:dLbl>
            <c:dLbl>
              <c:idx val="2"/>
              <c:layout>
                <c:manualLayout>
                  <c:x val="0"/>
                  <c:y val="-6.655092592592593E-2"/>
                </c:manualLayout>
              </c:layout>
              <c:tx>
                <c:strRef>
                  <c:f>'Données graphiques'!$H$80</c:f>
                  <c:strCache>
                    <c:ptCount val="1"/>
                    <c:pt idx="0">
                      <c:v>Δ 85%</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{E7A3E39E-8FC1-B344-A8E7-C12046B90C52}</c15:txfldGUID>
                      <c15:f>'Données graphiques'!$H$80</c15:f>
                      <c15:dlblFieldTableCache>
                        <c:ptCount val="1"/>
                        <c:pt idx="0">
                          <c:v>Δ 85%</c:v>
                        </c:pt>
                      </c15:dlblFieldTableCache>
                    </c15:dlblFTEntry>
                  </c15:dlblFieldTable>
                  <c15:showDataLabelsRange val="0"/>
                </c:ext>
                <c:ext xmlns:c16="http://schemas.microsoft.com/office/drawing/2014/chart" uri="{C3380CC4-5D6E-409C-BE32-E72D297353CC}">
                  <c16:uniqueId val="{00000007-0F34-41D7-9DD6-4D9D0A8389AA}"/>
                </c:ext>
              </c:extLst>
            </c:dLbl>
            <c:dLbl>
              <c:idx val="3"/>
              <c:layout>
                <c:manualLayout>
                  <c:x val="0"/>
                  <c:y val="-6.655092592592593E-2"/>
                </c:manualLayout>
              </c:layout>
              <c:tx>
                <c:strRef>
                  <c:f>'Données graphiques'!$I$80</c:f>
                  <c:strCache>
                    <c:ptCount val="1"/>
                    <c:pt idx="0">
                      <c:v>Δ 112%</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{F5081DE3-AEA3-AE4A-8E5A-5B4BAE06C425}</c15:txfldGUID>
                      <c15:f>'Données graphiques'!$I$80</c15:f>
                      <c15:dlblFieldTableCache>
                        <c:ptCount val="1"/>
                        <c:pt idx="0">
                          <c:v>Δ 112%</c:v>
                        </c:pt>
                      </c15:dlblFieldTableCache>
                    </c15:dlblFTEntry>
                  </c15:dlblFieldTable>
                  <c15:showDataLabelsRange val="0"/>
                </c:ext>
                <c:ext xmlns:c16="http://schemas.microsoft.com/office/drawing/2014/chart" uri="{C3380CC4-5D6E-409C-BE32-E72D297353CC}">
                  <c16:uniqueId val="{00000008-0F34-41D7-9DD6-4D9D0A8389AA}"/>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
                        <a:lumOff val="25%"/>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'Données graphiques'!$F$74:$I$74</c:f>
              <c:numCache>
                <c:formatCode>"$"#,##0_);[Red]\("$"#,##0\)</c:formatCode>
                <c:ptCount val="4"/>
                <c:pt idx="0">
                  <c:v>50</c:v>
                </c:pt>
                <c:pt idx="1">
                  <c:v>70</c:v>
                </c:pt>
                <c:pt idx="2">
                  <c:v>90</c:v>
                </c:pt>
                <c:pt idx="3">
                  <c:v>100</c:v>
                </c:pt>
              </c:numCache>
            </c:numRef>
          </c:cat>
          <c:val>
            <c:numRef>
              <c:f>'Données graphiques'!$F$78:$I$78</c:f>
              <c:numCache>
                <c:formatCode>#,##0</c:formatCode>
                <c:ptCount val="4"/>
                <c:pt idx="0">
                  <c:v>642.19520896232314</c:v>
                </c:pt>
                <c:pt idx="1">
                  <c:v>918.84321692688343</c:v>
                </c:pt>
                <c:pt idx="2">
                  <c:v>1201.1015081253574</c:v>
                </c:pt>
                <c:pt idx="3">
                  <c:v>1342.2306537245947</c:v>
                </c:pt>
              </c:numCache>
            </c:numRef>
          </c:val>
          <c:extLst>
            <c:ext xmlns:c16="http://schemas.microsoft.com/office/drawing/2014/chart" uri="{C3380CC4-5D6E-409C-BE32-E72D297353CC}">
              <c16:uniqueId val="{00000003-0F34-41D7-9DD6-4D9D0A8389AA}"/>
            </c:ext>
          </c:extLst>
        </c:ser>
        <c:dLbls>
          <c:showLegendKey val="0"/>
          <c:showVal val="0"/>
          <c:showCatName val="0"/>
          <c:showSerName val="0"/>
          <c:showPercent val="0"/>
          <c:showBubbleSize val="0"/>
        </c:dLbls>
        <c:gapWidth val="150"/>
        <c:overlap val="100"/>
        <c:axId val="792532280"/>
        <c:axId val="792533264"/>
      </c:barChart>
      <c:catAx>
        <c:axId val="792532280"/>
        <c:scaling>
          <c:orientation val="minMax"/>
        </c:scaling>
        <c:delete val="0"/>
        <c:axPos val="b"/>
        <c:numFmt formatCode="&quot;$&quot;#,##0_);[Red]\(&quot;$&quot;#,##0\)" sourceLinked="1"/>
        <c:majorTickMark val="none"/>
        <c:minorTickMark val="none"/>
        <c:tickLblPos val="nextTo"/>
        <c:spPr>
          <a:noFill/>
          <a:ln w="9525" cap="flat" cmpd="sng" algn="ctr">
            <a:solidFill>
              <a:schemeClr val="tx1">
                <a:lumMod val="15%"/>
                <a:lumOff val="85%"/>
              </a:schemeClr>
            </a:solidFill>
            <a:round/>
          </a:ln>
          <a:effectLst/>
        </c:spPr>
        <c:txPr>
          <a:bodyPr rot="-60000000" spcFirstLastPara="1" vertOverflow="ellipsis" vert="horz" wrap="square" anchor="ctr" anchorCtr="1"/>
          <a:lstStyle/>
          <a:p>
            <a:pPr>
              <a:defRPr sz="1000" b="0" i="0" u="none" strike="noStrike" kern="1200" baseline="0%">
                <a:solidFill>
                  <a:schemeClr val="tx1">
                    <a:lumMod val="65%"/>
                    <a:lumOff val="35%"/>
                  </a:schemeClr>
                </a:solidFill>
                <a:latin typeface="+mn-lt"/>
                <a:ea typeface="+mn-ea"/>
                <a:cs typeface="+mn-cs"/>
              </a:defRPr>
            </a:pPr>
            <a:endParaRPr lang="fr-FR"/>
          </a:p>
        </c:txPr>
        <c:crossAx val="792533264"/>
        <c:crosses val="autoZero"/>
        <c:auto val="1"/>
        <c:lblAlgn val="ctr"/>
        <c:lblOffset val="100"/>
        <c:noMultiLvlLbl val="0"/>
      </c:catAx>
      <c:valAx>
        <c:axId val="792533264"/>
        <c:scaling>
          <c:orientation val="minMax"/>
        </c:scaling>
        <c:delete val="0"/>
        <c:axPos val="l"/>
        <c:majorGridlines>
          <c:spPr>
            <a:ln w="9525" cap="flat" cmpd="sng" algn="ctr">
              <a:solidFill>
                <a:schemeClr val="tx1">
                  <a:lumMod val="15%"/>
                  <a:lumOff val="85%"/>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
                        <a:lumOff val="35%"/>
                      </a:schemeClr>
                    </a:solidFill>
                    <a:latin typeface="+mn-lt"/>
                    <a:ea typeface="+mn-ea"/>
                    <a:cs typeface="+mn-cs"/>
                  </a:defRPr>
                </a:pPr>
                <a:r>
                  <a:rPr lang="en-US" sz="1100" b="1" baseline="0%"/>
                  <a:t>Millions USD</a:t>
                </a:r>
                <a:endParaRPr lang="en-US" sz="1100" b="1"/>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
                      <a:lumOff val="35%"/>
                    </a:schemeClr>
                  </a:solidFill>
                  <a:latin typeface="+mn-lt"/>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
                    <a:lumOff val="35%"/>
                  </a:schemeClr>
                </a:solidFill>
                <a:latin typeface="+mn-lt"/>
                <a:ea typeface="+mn-ea"/>
                <a:cs typeface="+mn-cs"/>
              </a:defRPr>
            </a:pPr>
            <a:endParaRPr lang="fr-FR"/>
          </a:p>
        </c:txPr>
        <c:crossAx val="7925322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
                  <a:lumOff val="35%"/>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8.xml><?xml version="1.0" encoding="utf-8"?>
<c:chartSpace xmlns:c="http://purl.oclc.org/ooxml/drawingml/chart" xmlns:a="http://purl.oclc.org/ooxml/drawingml/main" xmlns:r="http://purl.oclc.org/ooxml/officeDocument/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[0]!title_chart5</c:f>
          <c:strCache>
            <c:ptCount val="1"/>
            <c:pt idx="0">
              <c:v>Variation des revenus totaux de l'État à différents taux de déclin 
Prix de base : 70/bbl</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
                  <a:lumOff val="35%"/>
                </a:schemeClr>
              </a:solidFill>
              <a:latin typeface="+mn-lt"/>
              <a:ea typeface="+mn-ea"/>
              <a:cs typeface="+mn-cs"/>
            </a:defRPr>
          </a:pPr>
          <a:endParaRPr lang="fr-FR"/>
        </a:p>
      </c:txPr>
    </c:title>
    <c:autoTitleDeleted val="0"/>
    <c:plotArea>
      <c:layout>
        <c:manualLayout>
          <c:layoutTarget val="inner"/>
          <c:xMode val="edge"/>
          <c:yMode val="edge"/>
          <c:x val="0.10219202782579007"/>
          <c:y val="0.17676504629629633"/>
          <c:w val="0.87917653585984679"/>
          <c:h val="0.68992075860309132"/>
        </c:manualLayout>
      </c:layout>
      <c:barChart>
        <c:barDir val="col"/>
        <c:grouping val="stacked"/>
        <c:varyColors val="0"/>
        <c:ser>
          <c:idx val="0"/>
          <c:order val="0"/>
          <c:tx>
            <c:strRef>
              <c:f>'Données graphiques'!$D$89:$E$89</c:f>
              <c:strCache>
                <c:ptCount val="2"/>
                <c:pt idx="0">
                  <c:v>Nkossa</c:v>
                </c:pt>
              </c:strCache>
            </c:strRef>
          </c:tx>
          <c:spPr>
            <a:solidFill>
              <a:schemeClr val="accent1"/>
            </a:solidFill>
            <a:ln>
              <a:noFill/>
            </a:ln>
            <a:effectLst/>
          </c:spPr>
          <c:invertIfNegative val="0"/>
          <c:cat>
            <c:numRef>
              <c:f>'Données graphiques'!$F$88:$I$88</c:f>
              <c:numCache>
                <c:formatCode>0%</c:formatCode>
                <c:ptCount val="4"/>
                <c:pt idx="0">
                  <c:v>7.0000000000000007E-2</c:v>
                </c:pt>
                <c:pt idx="1">
                  <c:v>0.1</c:v>
                </c:pt>
                <c:pt idx="2">
                  <c:v>0.12</c:v>
                </c:pt>
                <c:pt idx="3">
                  <c:v>0.15</c:v>
                </c:pt>
              </c:numCache>
            </c:numRef>
          </c:cat>
          <c:val>
            <c:numRef>
              <c:f>'Données graphiques'!$F$89:$I$89</c:f>
              <c:numCache>
                <c:formatCode>#,##0</c:formatCode>
                <c:ptCount val="4"/>
                <c:pt idx="0">
                  <c:v>568.14042337355966</c:v>
                </c:pt>
                <c:pt idx="1">
                  <c:v>519.13842031961917</c:v>
                </c:pt>
                <c:pt idx="2">
                  <c:v>488.6980015926581</c:v>
                </c:pt>
                <c:pt idx="3">
                  <c:v>446.16836021524648</c:v>
                </c:pt>
              </c:numCache>
            </c:numRef>
          </c:val>
          <c:extLst>
            <c:ext xmlns:c16="http://schemas.microsoft.com/office/drawing/2014/chart" uri="{C3380CC4-5D6E-409C-BE32-E72D297353CC}">
              <c16:uniqueId val="{00000000-0F34-41D7-9DD6-4D9D0A8389AA}"/>
            </c:ext>
          </c:extLst>
        </c:ser>
        <c:ser>
          <c:idx val="1"/>
          <c:order val="1"/>
          <c:tx>
            <c:strRef>
              <c:f>'Données graphiques'!$D$90:$E$90</c:f>
              <c:strCache>
                <c:ptCount val="2"/>
                <c:pt idx="0">
                  <c:v>Nsoko</c:v>
                </c:pt>
              </c:strCache>
            </c:strRef>
          </c:tx>
          <c:spPr>
            <a:solidFill>
              <a:schemeClr val="accent2"/>
            </a:solidFill>
            <a:ln>
              <a:noFill/>
            </a:ln>
            <a:effectLst/>
          </c:spPr>
          <c:invertIfNegative val="0"/>
          <c:cat>
            <c:numRef>
              <c:f>'Données graphiques'!$F$88:$I$88</c:f>
              <c:numCache>
                <c:formatCode>0%</c:formatCode>
                <c:ptCount val="4"/>
                <c:pt idx="0">
                  <c:v>7.0000000000000007E-2</c:v>
                </c:pt>
                <c:pt idx="1">
                  <c:v>0.1</c:v>
                </c:pt>
                <c:pt idx="2">
                  <c:v>0.12</c:v>
                </c:pt>
                <c:pt idx="3">
                  <c:v>0.15</c:v>
                </c:pt>
              </c:numCache>
            </c:numRef>
          </c:cat>
          <c:val>
            <c:numRef>
              <c:f>'Données graphiques'!$F$90:$I$90</c:f>
              <c:numCache>
                <c:formatCode>#,##0</c:formatCode>
                <c:ptCount val="4"/>
                <c:pt idx="0">
                  <c:v>105.04972692293858</c:v>
                </c:pt>
                <c:pt idx="1">
                  <c:v>95.714399225368226</c:v>
                </c:pt>
                <c:pt idx="2">
                  <c:v>89.920136836876452</c:v>
                </c:pt>
                <c:pt idx="3">
                  <c:v>81.831921789238805</c:v>
                </c:pt>
              </c:numCache>
            </c:numRef>
          </c:val>
          <c:extLst>
            <c:ext xmlns:c16="http://schemas.microsoft.com/office/drawing/2014/chart" uri="{C3380CC4-5D6E-409C-BE32-E72D297353CC}">
              <c16:uniqueId val="{00000001-0F34-41D7-9DD6-4D9D0A8389AA}"/>
            </c:ext>
          </c:extLst>
        </c:ser>
        <c:ser>
          <c:idx val="2"/>
          <c:order val="2"/>
          <c:tx>
            <c:strRef>
              <c:f>'Données graphiques'!$D$91:$E$91</c:f>
              <c:strCache>
                <c:ptCount val="2"/>
                <c:pt idx="0">
                  <c:v>Moho</c:v>
                </c:pt>
              </c:strCache>
            </c:strRef>
          </c:tx>
          <c:spPr>
            <a:solidFill>
              <a:schemeClr val="accent3"/>
            </a:solidFill>
            <a:ln>
              <a:noFill/>
            </a:ln>
            <a:effectLst/>
          </c:spPr>
          <c:invertIfNegative val="0"/>
          <c:cat>
            <c:numRef>
              <c:f>'Données graphiques'!$F$88:$I$88</c:f>
              <c:numCache>
                <c:formatCode>0%</c:formatCode>
                <c:ptCount val="4"/>
                <c:pt idx="0">
                  <c:v>7.0000000000000007E-2</c:v>
                </c:pt>
                <c:pt idx="1">
                  <c:v>0.1</c:v>
                </c:pt>
                <c:pt idx="2">
                  <c:v>0.12</c:v>
                </c:pt>
                <c:pt idx="3">
                  <c:v>0.15</c:v>
                </c:pt>
              </c:numCache>
            </c:numRef>
          </c:cat>
          <c:val>
            <c:numRef>
              <c:f>'Données graphiques'!$F$91:$I$91</c:f>
              <c:numCache>
                <c:formatCode>#,##0</c:formatCode>
                <c:ptCount val="4"/>
                <c:pt idx="0">
                  <c:v>5560.4921940693912</c:v>
                </c:pt>
                <c:pt idx="1">
                  <c:v>4965.6486973014398</c:v>
                </c:pt>
                <c:pt idx="2">
                  <c:v>4434.9784275160837</c:v>
                </c:pt>
                <c:pt idx="3">
                  <c:v>3986.6127802341525</c:v>
                </c:pt>
              </c:numCache>
            </c:numRef>
          </c:val>
          <c:extLst>
            <c:ext xmlns:c16="http://schemas.microsoft.com/office/drawing/2014/chart" uri="{C3380CC4-5D6E-409C-BE32-E72D297353CC}">
              <c16:uniqueId val="{00000002-0F34-41D7-9DD6-4D9D0A8389AA}"/>
            </c:ext>
          </c:extLst>
        </c:ser>
        <c:ser>
          <c:idx val="3"/>
          <c:order val="3"/>
          <c:tx>
            <c:strRef>
              <c:f>'Données graphiques'!$D$92:$E$92</c:f>
              <c:strCache>
                <c:ptCount val="2"/>
                <c:pt idx="0">
                  <c:v>KLL</c:v>
                </c:pt>
              </c:strCache>
            </c:strRef>
          </c:tx>
          <c:spPr>
            <a:solidFill>
              <a:schemeClr val="accent4"/>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5-0F34-41D7-9DD6-4D9D0A8389AA}"/>
                </c:ext>
              </c:extLst>
            </c:dLbl>
            <c:dLbl>
              <c:idx val="1"/>
              <c:layout>
                <c:manualLayout>
                  <c:x val="7.3171995485479726E-3"/>
                  <c:y val="-7.8738239035789748E-2"/>
                </c:manualLayout>
              </c:layout>
              <c:tx>
                <c:strRef>
                  <c:f>'Données graphiques'!$G$94</c:f>
                  <c:strCache>
                    <c:ptCount val="1"/>
                    <c:pt idx="0">
                      <c:v>-Δ 10%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{78C9D011-8B16-8D4A-B891-8533F34E6162}</c15:txfldGUID>
                      <c15:f>'Données graphiques'!$G$94</c15:f>
                      <c15:dlblFieldTableCache>
                        <c:ptCount val="1"/>
                        <c:pt idx="0">
                          <c:v>-Δ 10%</c:v>
                        </c:pt>
                      </c15:dlblFieldTableCache>
                    </c15:dlblFTEntry>
                  </c15:dlblFieldTable>
                  <c15:showDataLabelsRange val="0"/>
                </c:ext>
                <c:ext xmlns:c16="http://schemas.microsoft.com/office/drawing/2014/chart" uri="{C3380CC4-5D6E-409C-BE32-E72D297353CC}">
                  <c16:uniqueId val="{00000006-0F34-41D7-9DD6-4D9D0A8389AA}"/>
                </c:ext>
              </c:extLst>
            </c:dLbl>
            <c:dLbl>
              <c:idx val="2"/>
              <c:layout>
                <c:manualLayout>
                  <c:x val="-1.2420814056604871E-16"/>
                  <c:y val="-6.3657407407407454E-2"/>
                </c:manualLayout>
              </c:layout>
              <c:tx>
                <c:strRef>
                  <c:f>'Données graphiques'!$H$94</c:f>
                  <c:strCache>
                    <c:ptCount val="1"/>
                    <c:pt idx="0">
                      <c:v>-Δ 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{DB3EFB45-8E7E-584D-A161-92A5DD7072C4}</c15:txfldGUID>
                      <c15:f>'Données graphiques'!$H$94</c15:f>
                      <c15:dlblFieldTableCache>
                        <c:ptCount val="1"/>
                        <c:pt idx="0">
                          <c:v>-Δ 19%</c:v>
                        </c:pt>
                      </c15:dlblFieldTableCache>
                    </c15:dlblFTEntry>
                  </c15:dlblFieldTable>
                  <c15:showDataLabelsRange val="0"/>
                </c:ext>
                <c:ext xmlns:c16="http://schemas.microsoft.com/office/drawing/2014/chart" uri="{C3380CC4-5D6E-409C-BE32-E72D297353CC}">
                  <c16:uniqueId val="{00000007-0F34-41D7-9DD6-4D9D0A8389AA}"/>
                </c:ext>
              </c:extLst>
            </c:dLbl>
            <c:dLbl>
              <c:idx val="3"/>
              <c:layout>
                <c:manualLayout>
                  <c:x val="-1.2420814056604871E-16"/>
                  <c:y val="-7.2337962962963021E-2"/>
                </c:manualLayout>
              </c:layout>
              <c:tx>
                <c:strRef>
                  <c:f>'Données graphiques'!$I$94</c:f>
                  <c:strCache>
                    <c:ptCount val="1"/>
                    <c:pt idx="0">
                      <c:v>-Δ 27%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{7AD2ADDE-5DAC-0940-8E38-F414BDA41917}</c15:txfldGUID>
                      <c15:f>'Données graphiques'!$I$94</c15:f>
                      <c15:dlblFieldTableCache>
                        <c:ptCount val="1"/>
                        <c:pt idx="0">
                          <c:v>-Δ 27%</c:v>
                        </c:pt>
                      </c15:dlblFieldTableCache>
                    </c15:dlblFTEntry>
                  </c15:dlblFieldTable>
                  <c15:showDataLabelsRange val="0"/>
                </c:ext>
                <c:ext xmlns:c16="http://schemas.microsoft.com/office/drawing/2014/chart" uri="{C3380CC4-5D6E-409C-BE32-E72D297353CC}">
                  <c16:uniqueId val="{00000008-0F34-41D7-9DD6-4D9D0A8389AA}"/>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
                        <a:lumOff val="25%"/>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'Données graphiques'!$F$88:$I$88</c:f>
              <c:numCache>
                <c:formatCode>0%</c:formatCode>
                <c:ptCount val="4"/>
                <c:pt idx="0">
                  <c:v>7.0000000000000007E-2</c:v>
                </c:pt>
                <c:pt idx="1">
                  <c:v>0.1</c:v>
                </c:pt>
                <c:pt idx="2">
                  <c:v>0.12</c:v>
                </c:pt>
                <c:pt idx="3">
                  <c:v>0.15</c:v>
                </c:pt>
              </c:numCache>
            </c:numRef>
          </c:cat>
          <c:val>
            <c:numRef>
              <c:f>'Données graphiques'!$F$92:$I$92</c:f>
              <c:numCache>
                <c:formatCode>#,##0</c:formatCode>
                <c:ptCount val="4"/>
                <c:pt idx="0">
                  <c:v>918.84321692688343</c:v>
                </c:pt>
                <c:pt idx="1">
                  <c:v>838.53225563999945</c:v>
                </c:pt>
                <c:pt idx="2">
                  <c:v>788.6484153472602</c:v>
                </c:pt>
                <c:pt idx="3">
                  <c:v>718.96248242236038</c:v>
                </c:pt>
              </c:numCache>
            </c:numRef>
          </c:val>
          <c:extLst>
            <c:ext xmlns:c16="http://schemas.microsoft.com/office/drawing/2014/chart" uri="{C3380CC4-5D6E-409C-BE32-E72D297353CC}">
              <c16:uniqueId val="{00000003-0F34-41D7-9DD6-4D9D0A8389AA}"/>
            </c:ext>
          </c:extLst>
        </c:ser>
        <c:dLbls>
          <c:showLegendKey val="0"/>
          <c:showVal val="0"/>
          <c:showCatName val="0"/>
          <c:showSerName val="0"/>
          <c:showPercent val="0"/>
          <c:showBubbleSize val="0"/>
        </c:dLbls>
        <c:gapWidth val="150"/>
        <c:overlap val="100"/>
        <c:axId val="792532280"/>
        <c:axId val="792533264"/>
      </c:barChart>
      <c:catAx>
        <c:axId val="792532280"/>
        <c:scaling>
          <c:orientation val="minMax"/>
        </c:scaling>
        <c:delete val="0"/>
        <c:axPos val="b"/>
        <c:numFmt formatCode="0%" sourceLinked="1"/>
        <c:majorTickMark val="none"/>
        <c:minorTickMark val="none"/>
        <c:tickLblPos val="nextTo"/>
        <c:spPr>
          <a:noFill/>
          <a:ln w="9525" cap="flat" cmpd="sng" algn="ctr">
            <a:solidFill>
              <a:schemeClr val="tx1">
                <a:lumMod val="15%"/>
                <a:lumOff val="85%"/>
              </a:schemeClr>
            </a:solidFill>
            <a:round/>
          </a:ln>
          <a:effectLst/>
        </c:spPr>
        <c:txPr>
          <a:bodyPr rot="-60000000" spcFirstLastPara="1" vertOverflow="ellipsis" vert="horz" wrap="square" anchor="ctr" anchorCtr="1"/>
          <a:lstStyle/>
          <a:p>
            <a:pPr>
              <a:defRPr sz="1000" b="0" i="0" u="none" strike="noStrike" kern="1200" baseline="0%">
                <a:solidFill>
                  <a:schemeClr val="tx1">
                    <a:lumMod val="65%"/>
                    <a:lumOff val="35%"/>
                  </a:schemeClr>
                </a:solidFill>
                <a:latin typeface="+mn-lt"/>
                <a:ea typeface="+mn-ea"/>
                <a:cs typeface="+mn-cs"/>
              </a:defRPr>
            </a:pPr>
            <a:endParaRPr lang="fr-FR"/>
          </a:p>
        </c:txPr>
        <c:crossAx val="792533264"/>
        <c:crosses val="autoZero"/>
        <c:auto val="1"/>
        <c:lblAlgn val="ctr"/>
        <c:lblOffset val="100"/>
        <c:noMultiLvlLbl val="0"/>
      </c:catAx>
      <c:valAx>
        <c:axId val="792533264"/>
        <c:scaling>
          <c:orientation val="minMax"/>
        </c:scaling>
        <c:delete val="0"/>
        <c:axPos val="l"/>
        <c:majorGridlines>
          <c:spPr>
            <a:ln w="9525" cap="flat" cmpd="sng" algn="ctr">
              <a:solidFill>
                <a:schemeClr val="tx1">
                  <a:lumMod val="15%"/>
                  <a:lumOff val="85%"/>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
                        <a:lumOff val="35%"/>
                      </a:schemeClr>
                    </a:solidFill>
                    <a:latin typeface="+mn-lt"/>
                    <a:ea typeface="+mn-ea"/>
                    <a:cs typeface="+mn-cs"/>
                  </a:defRPr>
                </a:pPr>
                <a:r>
                  <a:rPr lang="en-US" sz="1100" b="1" baseline="0%"/>
                  <a:t>Millions USD</a:t>
                </a:r>
                <a:endParaRPr lang="en-US" sz="1100" b="1"/>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
                      <a:lumOff val="35%"/>
                    </a:schemeClr>
                  </a:solidFill>
                  <a:latin typeface="+mn-lt"/>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
                    <a:lumOff val="35%"/>
                  </a:schemeClr>
                </a:solidFill>
                <a:latin typeface="+mn-lt"/>
                <a:ea typeface="+mn-ea"/>
                <a:cs typeface="+mn-cs"/>
              </a:defRPr>
            </a:pPr>
            <a:endParaRPr lang="fr-FR"/>
          </a:p>
        </c:txPr>
        <c:crossAx val="7925322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
                  <a:lumOff val="35%"/>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9.xml><?xml version="1.0" encoding="utf-8"?>
<c:chartSpace xmlns:c="http://purl.oclc.org/ooxml/drawingml/chart" xmlns:a="http://purl.oclc.org/ooxml/drawingml/main" xmlns:r="http://purl.oclc.org/ooxml/officeDocument/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[0]!title_chart6</c:f>
          <c:strCache>
            <c:ptCount val="1"/>
            <c:pt idx="0">
              <c:v>Revenus totaux du Gouv. par permis à différents prix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
                  <a:lumOff val="35%"/>
                </a:schemeClr>
              </a:solidFill>
              <a:latin typeface="+mn-lt"/>
              <a:ea typeface="+mn-ea"/>
              <a:cs typeface="+mn-cs"/>
            </a:defRPr>
          </a:pPr>
          <a:endParaRPr lang="fr-FR"/>
        </a:p>
      </c:txPr>
    </c:title>
    <c:autoTitleDeleted val="0"/>
    <c:plotArea>
      <c:layout>
        <c:manualLayout>
          <c:layoutTarget val="inner"/>
          <c:xMode val="edge"/>
          <c:yMode val="edge"/>
          <c:x val="9.6750790766538794E-2"/>
          <c:y val="0.12642291052455948"/>
          <c:w val="0.86735177333602531"/>
          <c:h val="0.68698677797831897"/>
        </c:manualLayout>
      </c:layout>
      <c:lineChart>
        <c:grouping val="standard"/>
        <c:varyColors val="0"/>
        <c:ser>
          <c:idx val="0"/>
          <c:order val="0"/>
          <c:tx>
            <c:strRef>
              <c:f>'Données graphiques'!$D$75:$E$75</c:f>
              <c:strCache>
                <c:ptCount val="2"/>
                <c:pt idx="0">
                  <c:v>Nkossa</c:v>
                </c:pt>
              </c:strCache>
            </c:strRef>
          </c:tx>
          <c:spPr>
            <a:ln w="38100" cap="rnd">
              <a:solidFill>
                <a:schemeClr val="accent1"/>
              </a:solidFill>
              <a:round/>
            </a:ln>
            <a:effectLst/>
          </c:spPr>
          <c:marker>
            <c:symbol val="none"/>
          </c:marker>
          <c:cat>
            <c:numRef>
              <c:f>'Données graphiques'!$F$74:$I$74</c:f>
              <c:numCache>
                <c:formatCode>"$"#,##0_);[Red]\("$"#,##0\)</c:formatCode>
                <c:ptCount val="4"/>
                <c:pt idx="0">
                  <c:v>50</c:v>
                </c:pt>
                <c:pt idx="1">
                  <c:v>70</c:v>
                </c:pt>
                <c:pt idx="2">
                  <c:v>90</c:v>
                </c:pt>
                <c:pt idx="3">
                  <c:v>100</c:v>
                </c:pt>
              </c:numCache>
            </c:numRef>
          </c:cat>
          <c:val>
            <c:numRef>
              <c:f>'Données graphiques'!$F$75:$I$75</c:f>
              <c:numCache>
                <c:formatCode>#,##0</c:formatCode>
                <c:ptCount val="4"/>
                <c:pt idx="0">
                  <c:v>445.99833000424047</c:v>
                </c:pt>
                <c:pt idx="1">
                  <c:v>568.14042337355966</c:v>
                </c:pt>
                <c:pt idx="2">
                  <c:v>752.2000439942102</c:v>
                </c:pt>
                <c:pt idx="3">
                  <c:v>864.86763278113324</c:v>
                </c:pt>
              </c:numCache>
            </c:numRef>
          </c:val>
          <c:smooth val="0"/>
          <c:extLst>
            <c:ext xmlns:c16="http://schemas.microsoft.com/office/drawing/2014/chart" uri="{C3380CC4-5D6E-409C-BE32-E72D297353CC}">
              <c16:uniqueId val="{00000000-C9E8-4D91-91C3-B5D62521D0F2}"/>
            </c:ext>
          </c:extLst>
        </c:ser>
        <c:ser>
          <c:idx val="1"/>
          <c:order val="1"/>
          <c:tx>
            <c:strRef>
              <c:f>'Données graphiques'!$D$76:$E$76</c:f>
              <c:strCache>
                <c:ptCount val="2"/>
                <c:pt idx="0">
                  <c:v>Nsoko</c:v>
                </c:pt>
              </c:strCache>
            </c:strRef>
          </c:tx>
          <c:spPr>
            <a:ln w="38100" cap="rnd">
              <a:solidFill>
                <a:schemeClr val="accent2"/>
              </a:solidFill>
              <a:round/>
            </a:ln>
            <a:effectLst/>
          </c:spPr>
          <c:marker>
            <c:symbol val="none"/>
          </c:marker>
          <c:cat>
            <c:numRef>
              <c:f>'Données graphiques'!$F$74:$I$74</c:f>
              <c:numCache>
                <c:formatCode>"$"#,##0_);[Red]\("$"#,##0\)</c:formatCode>
                <c:ptCount val="4"/>
                <c:pt idx="0">
                  <c:v>50</c:v>
                </c:pt>
                <c:pt idx="1">
                  <c:v>70</c:v>
                </c:pt>
                <c:pt idx="2">
                  <c:v>90</c:v>
                </c:pt>
                <c:pt idx="3">
                  <c:v>100</c:v>
                </c:pt>
              </c:numCache>
            </c:numRef>
          </c:cat>
          <c:val>
            <c:numRef>
              <c:f>'Données graphiques'!$F$76:$I$76</c:f>
              <c:numCache>
                <c:formatCode>#,##0</c:formatCode>
                <c:ptCount val="4"/>
                <c:pt idx="0">
                  <c:v>67.699260777905948</c:v>
                </c:pt>
                <c:pt idx="1">
                  <c:v>105.04972692293858</c:v>
                </c:pt>
                <c:pt idx="2">
                  <c:v>144.74567387095672</c:v>
                </c:pt>
                <c:pt idx="3">
                  <c:v>164.59364734496577</c:v>
                </c:pt>
              </c:numCache>
            </c:numRef>
          </c:val>
          <c:smooth val="0"/>
          <c:extLst>
            <c:ext xmlns:c16="http://schemas.microsoft.com/office/drawing/2014/chart" uri="{C3380CC4-5D6E-409C-BE32-E72D297353CC}">
              <c16:uniqueId val="{00000001-C9E8-4D91-91C3-B5D62521D0F2}"/>
            </c:ext>
          </c:extLst>
        </c:ser>
        <c:ser>
          <c:idx val="2"/>
          <c:order val="2"/>
          <c:tx>
            <c:strRef>
              <c:f>'Données graphiques'!$D$77:$E$77</c:f>
              <c:strCache>
                <c:ptCount val="2"/>
                <c:pt idx="0">
                  <c:v>Moho</c:v>
                </c:pt>
              </c:strCache>
            </c:strRef>
          </c:tx>
          <c:spPr>
            <a:ln w="38100" cap="rnd">
              <a:solidFill>
                <a:schemeClr val="accent3"/>
              </a:solidFill>
              <a:round/>
            </a:ln>
            <a:effectLst/>
          </c:spPr>
          <c:marker>
            <c:symbol val="none"/>
          </c:marker>
          <c:cat>
            <c:numRef>
              <c:f>'Données graphiques'!$F$74:$I$74</c:f>
              <c:numCache>
                <c:formatCode>"$"#,##0_);[Red]\("$"#,##0\)</c:formatCode>
                <c:ptCount val="4"/>
                <c:pt idx="0">
                  <c:v>50</c:v>
                </c:pt>
                <c:pt idx="1">
                  <c:v>70</c:v>
                </c:pt>
                <c:pt idx="2">
                  <c:v>90</c:v>
                </c:pt>
                <c:pt idx="3">
                  <c:v>100</c:v>
                </c:pt>
              </c:numCache>
            </c:numRef>
          </c:cat>
          <c:val>
            <c:numRef>
              <c:f>'Données graphiques'!$F$77:$I$77</c:f>
              <c:numCache>
                <c:formatCode>#,##0</c:formatCode>
                <c:ptCount val="4"/>
                <c:pt idx="0">
                  <c:v>4212.8720746453728</c:v>
                </c:pt>
                <c:pt idx="1">
                  <c:v>5560.4921940693912</c:v>
                </c:pt>
                <c:pt idx="2">
                  <c:v>7816.4546342138419</c:v>
                </c:pt>
                <c:pt idx="3">
                  <c:v>9030.7417485815949</c:v>
                </c:pt>
              </c:numCache>
            </c:numRef>
          </c:val>
          <c:smooth val="0"/>
          <c:extLst>
            <c:ext xmlns:c16="http://schemas.microsoft.com/office/drawing/2014/chart" uri="{C3380CC4-5D6E-409C-BE32-E72D297353CC}">
              <c16:uniqueId val="{00000002-C9E8-4D91-91C3-B5D62521D0F2}"/>
            </c:ext>
          </c:extLst>
        </c:ser>
        <c:ser>
          <c:idx val="3"/>
          <c:order val="3"/>
          <c:tx>
            <c:strRef>
              <c:f>'Données graphiques'!$D$78:$E$78</c:f>
              <c:strCache>
                <c:ptCount val="2"/>
                <c:pt idx="0">
                  <c:v>KLL</c:v>
                </c:pt>
              </c:strCache>
            </c:strRef>
          </c:tx>
          <c:spPr>
            <a:ln w="38100" cap="rnd">
              <a:solidFill>
                <a:schemeClr val="accent4"/>
              </a:solidFill>
              <a:round/>
            </a:ln>
            <a:effectLst/>
          </c:spPr>
          <c:marker>
            <c:symbol val="none"/>
          </c:marker>
          <c:cat>
            <c:numRef>
              <c:f>'Données graphiques'!$F$74:$I$74</c:f>
              <c:numCache>
                <c:formatCode>"$"#,##0_);[Red]\("$"#,##0\)</c:formatCode>
                <c:ptCount val="4"/>
                <c:pt idx="0">
                  <c:v>50</c:v>
                </c:pt>
                <c:pt idx="1">
                  <c:v>70</c:v>
                </c:pt>
                <c:pt idx="2">
                  <c:v>90</c:v>
                </c:pt>
                <c:pt idx="3">
                  <c:v>100</c:v>
                </c:pt>
              </c:numCache>
            </c:numRef>
          </c:cat>
          <c:val>
            <c:numRef>
              <c:f>'Données graphiques'!$F$78:$I$78</c:f>
              <c:numCache>
                <c:formatCode>#,##0</c:formatCode>
                <c:ptCount val="4"/>
                <c:pt idx="0">
                  <c:v>642.19520896232314</c:v>
                </c:pt>
                <c:pt idx="1">
                  <c:v>918.84321692688343</c:v>
                </c:pt>
                <c:pt idx="2">
                  <c:v>1201.1015081253574</c:v>
                </c:pt>
                <c:pt idx="3">
                  <c:v>1342.2306537245947</c:v>
                </c:pt>
              </c:numCache>
            </c:numRef>
          </c:val>
          <c:smooth val="0"/>
          <c:extLst>
            <c:ext xmlns:c16="http://schemas.microsoft.com/office/drawing/2014/chart" uri="{C3380CC4-5D6E-409C-BE32-E72D297353CC}">
              <c16:uniqueId val="{00000003-C9E8-4D91-91C3-B5D62521D0F2}"/>
            </c:ext>
          </c:extLst>
        </c:ser>
        <c:dLbls>
          <c:showLegendKey val="0"/>
          <c:showVal val="0"/>
          <c:showCatName val="0"/>
          <c:showSerName val="0"/>
          <c:showPercent val="0"/>
          <c:showBubbleSize val="0"/>
        </c:dLbls>
        <c:smooth val="0"/>
        <c:axId val="833164160"/>
        <c:axId val="833164488"/>
        <c:extLst/>
      </c:lineChart>
      <c:catAx>
        <c:axId val="833164160"/>
        <c:scaling>
          <c:orientation val="minMax"/>
        </c:scaling>
        <c:delete val="0"/>
        <c:axPos val="b"/>
        <c:numFmt formatCode="&quot;$&quot;#,##0_);[Red]\(&quot;$&quot;#,##0\)" sourceLinked="1"/>
        <c:majorTickMark val="none"/>
        <c:minorTickMark val="none"/>
        <c:tickLblPos val="nextTo"/>
        <c:spPr>
          <a:noFill/>
          <a:ln w="9525" cap="flat" cmpd="sng" algn="ctr">
            <a:solidFill>
              <a:schemeClr val="tx1">
                <a:lumMod val="15%"/>
                <a:lumOff val="85%"/>
              </a:schemeClr>
            </a:solidFill>
            <a:round/>
          </a:ln>
          <a:effectLst/>
        </c:spPr>
        <c:txPr>
          <a:bodyPr rot="-60000000" spcFirstLastPara="1" vertOverflow="ellipsis" vert="horz" wrap="square" anchor="ctr" anchorCtr="1"/>
          <a:lstStyle/>
          <a:p>
            <a:pPr>
              <a:defRPr sz="1000" b="0" i="0" u="none" strike="noStrike" kern="1200" baseline="0%">
                <a:solidFill>
                  <a:schemeClr val="tx1">
                    <a:lumMod val="65%"/>
                    <a:lumOff val="35%"/>
                  </a:schemeClr>
                </a:solidFill>
                <a:latin typeface="+mn-lt"/>
                <a:ea typeface="+mn-ea"/>
                <a:cs typeface="+mn-cs"/>
              </a:defRPr>
            </a:pPr>
            <a:endParaRPr lang="fr-FR"/>
          </a:p>
        </c:txPr>
        <c:crossAx val="833164488"/>
        <c:crosses val="autoZero"/>
        <c:auto val="1"/>
        <c:lblAlgn val="ctr"/>
        <c:lblOffset val="100"/>
        <c:noMultiLvlLbl val="0"/>
      </c:catAx>
      <c:valAx>
        <c:axId val="833164488"/>
        <c:scaling>
          <c:orientation val="minMax"/>
        </c:scaling>
        <c:delete val="0"/>
        <c:axPos val="l"/>
        <c:majorGridlines>
          <c:spPr>
            <a:ln w="9525" cap="flat" cmpd="sng" algn="ctr">
              <a:solidFill>
                <a:schemeClr val="tx1">
                  <a:lumMod val="15%"/>
                  <a:lumOff val="85%"/>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
                        <a:lumOff val="35%"/>
                      </a:schemeClr>
                    </a:solidFill>
                    <a:latin typeface="+mn-lt"/>
                    <a:ea typeface="+mn-ea"/>
                    <a:cs typeface="+mn-cs"/>
                  </a:defRPr>
                </a:pPr>
                <a:r>
                  <a:rPr lang="en-US" sz="1100" b="1"/>
                  <a:t>Millions USD</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
                      <a:lumOff val="35%"/>
                    </a:schemeClr>
                  </a:solidFill>
                  <a:latin typeface="+mn-lt"/>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
                    <a:lumOff val="35%"/>
                  </a:schemeClr>
                </a:solidFill>
                <a:latin typeface="+mn-lt"/>
                <a:ea typeface="+mn-ea"/>
                <a:cs typeface="+mn-cs"/>
              </a:defRPr>
            </a:pPr>
            <a:endParaRPr lang="fr-FR"/>
          </a:p>
        </c:txPr>
        <c:crossAx val="8331641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
                  <a:lumOff val="35%"/>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purl.oclc.org/ooxml/drawingml/chart" xmlns:a="http://purl.oclc.org/ooxml/drawingml/main" xmlns:r="http://purl.oclc.org/ooxml/officeDocument/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[0]!title_chart10</c:f>
          <c:strCache>
            <c:ptCount val="1"/>
            <c:pt idx="0">
              <c:v>Revenus déclarés du Gouvernemnt par permis</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
                  <a:lumOff val="35%"/>
                </a:schemeClr>
              </a:solidFill>
              <a:latin typeface="+mn-lt"/>
              <a:ea typeface="+mn-ea"/>
              <a:cs typeface="+mn-cs"/>
            </a:defRPr>
          </a:pPr>
          <a:endParaRPr lang="fr-FR"/>
        </a:p>
      </c:txPr>
    </c:title>
    <c:autoTitleDeleted val="0"/>
    <c:plotArea>
      <c:layout>
        <c:manualLayout>
          <c:layoutTarget val="inner"/>
          <c:xMode val="edge"/>
          <c:yMode val="edge"/>
          <c:x val="0.11371157771945173"/>
          <c:y val="0.12990740740740742"/>
          <c:w val="0.8659180519101779"/>
          <c:h val="0.72789078448527267"/>
        </c:manualLayout>
      </c:layout>
      <c:lineChart>
        <c:grouping val="standard"/>
        <c:varyColors val="0"/>
        <c:ser>
          <c:idx val="0"/>
          <c:order val="0"/>
          <c:tx>
            <c:strRef>
              <c:f>'Données graphiques'!$D$126:$K$126</c:f>
              <c:strCache>
                <c:ptCount val="8"/>
                <c:pt idx="0">
                  <c:v>Nkossa</c:v>
                </c:pt>
              </c:strCache>
            </c:strRef>
          </c:tx>
          <c:spPr>
            <a:ln w="38100" cap="rnd">
              <a:solidFill>
                <a:schemeClr val="accent1"/>
              </a:solidFill>
              <a:round/>
            </a:ln>
            <a:effectLst/>
          </c:spPr>
          <c:marker>
            <c:symbol val="none"/>
          </c:marker>
          <c:cat>
            <c:numRef>
              <c:f>'Données graphiques'!$L$125:$R$125</c:f>
              <c:numCache>
                <c:formatCode>General</c:formatCode>
                <c:ptCount val="7"/>
                <c:pt idx="0">
                  <c:v>2013</c:v>
                </c:pt>
                <c:pt idx="1">
                  <c:v>2014</c:v>
                </c:pt>
                <c:pt idx="2">
                  <c:v>2015</c:v>
                </c:pt>
                <c:pt idx="3">
                  <c:v>2016</c:v>
                </c:pt>
                <c:pt idx="4">
                  <c:v>2017</c:v>
                </c:pt>
                <c:pt idx="5">
                  <c:v>2018</c:v>
                </c:pt>
                <c:pt idx="6">
                  <c:v>2019</c:v>
                </c:pt>
              </c:numCache>
            </c:numRef>
          </c:cat>
          <c:val>
            <c:numRef>
              <c:f>'Données graphiques'!$L$126:$R$126</c:f>
              <c:numCache>
                <c:formatCode>_(* #,##0_);_(* \(#,##0\);_(* "-"??_);_(@_)</c:formatCode>
                <c:ptCount val="7"/>
                <c:pt idx="0">
                  <c:v>601.81807466124428</c:v>
                </c:pt>
                <c:pt idx="1">
                  <c:v>586.44915796109751</c:v>
                </c:pt>
                <c:pt idx="2">
                  <c:v>179.42466954809419</c:v>
                </c:pt>
                <c:pt idx="3">
                  <c:v>130.73187900847728</c:v>
                </c:pt>
                <c:pt idx="4">
                  <c:v>104.23506374255233</c:v>
                </c:pt>
                <c:pt idx="5">
                  <c:v>123.72805381268375</c:v>
                </c:pt>
                <c:pt idx="6">
                  <c:v>102.69062637148241</c:v>
                </c:pt>
              </c:numCache>
            </c:numRef>
          </c:val>
          <c:smooth val="0"/>
          <c:extLst>
            <c:ext xmlns:c16="http://schemas.microsoft.com/office/drawing/2014/chart" uri="{C3380CC4-5D6E-409C-BE32-E72D297353CC}">
              <c16:uniqueId val="{00000000-BC04-4CF0-919C-E211FF71E558}"/>
            </c:ext>
          </c:extLst>
        </c:ser>
        <c:ser>
          <c:idx val="1"/>
          <c:order val="1"/>
          <c:tx>
            <c:strRef>
              <c:f>'Données graphiques'!$D$127:$K$127</c:f>
              <c:strCache>
                <c:ptCount val="8"/>
                <c:pt idx="0">
                  <c:v>Nsoko</c:v>
                </c:pt>
              </c:strCache>
            </c:strRef>
          </c:tx>
          <c:spPr>
            <a:ln w="38100" cap="rnd">
              <a:solidFill>
                <a:schemeClr val="accent2"/>
              </a:solidFill>
              <a:round/>
            </a:ln>
            <a:effectLst/>
          </c:spPr>
          <c:marker>
            <c:symbol val="none"/>
          </c:marker>
          <c:cat>
            <c:numRef>
              <c:f>'Données graphiques'!$L$125:$R$125</c:f>
              <c:numCache>
                <c:formatCode>General</c:formatCode>
                <c:ptCount val="7"/>
                <c:pt idx="0">
                  <c:v>2013</c:v>
                </c:pt>
                <c:pt idx="1">
                  <c:v>2014</c:v>
                </c:pt>
                <c:pt idx="2">
                  <c:v>2015</c:v>
                </c:pt>
                <c:pt idx="3">
                  <c:v>2016</c:v>
                </c:pt>
                <c:pt idx="4">
                  <c:v>2017</c:v>
                </c:pt>
                <c:pt idx="5">
                  <c:v>2018</c:v>
                </c:pt>
                <c:pt idx="6">
                  <c:v>2019</c:v>
                </c:pt>
              </c:numCache>
            </c:numRef>
          </c:cat>
          <c:val>
            <c:numRef>
              <c:f>'Données graphiques'!$L$127:$R$127</c:f>
              <c:numCache>
                <c:formatCode>_(* #,##0_);_(* \(#,##0\);_(* "-"??_);_(@_)</c:formatCode>
                <c:ptCount val="7"/>
                <c:pt idx="0">
                  <c:v>71.759624821199907</c:v>
                </c:pt>
                <c:pt idx="1">
                  <c:v>44.188958796113745</c:v>
                </c:pt>
                <c:pt idx="2">
                  <c:v>21.917219906841233</c:v>
                </c:pt>
                <c:pt idx="3">
                  <c:v>13.933877110400513</c:v>
                </c:pt>
                <c:pt idx="4">
                  <c:v>18.658698060727559</c:v>
                </c:pt>
                <c:pt idx="5">
                  <c:v>23.401374040557215</c:v>
                </c:pt>
                <c:pt idx="6">
                  <c:v>14.379892740187351</c:v>
                </c:pt>
              </c:numCache>
            </c:numRef>
          </c:val>
          <c:smooth val="0"/>
          <c:extLst>
            <c:ext xmlns:c16="http://schemas.microsoft.com/office/drawing/2014/chart" uri="{C3380CC4-5D6E-409C-BE32-E72D297353CC}">
              <c16:uniqueId val="{00000001-BC04-4CF0-919C-E211FF71E558}"/>
            </c:ext>
          </c:extLst>
        </c:ser>
        <c:ser>
          <c:idx val="2"/>
          <c:order val="2"/>
          <c:tx>
            <c:strRef>
              <c:f>'Données graphiques'!$D$128:$K$128</c:f>
              <c:strCache>
                <c:ptCount val="8"/>
                <c:pt idx="0">
                  <c:v>Moho</c:v>
                </c:pt>
              </c:strCache>
            </c:strRef>
          </c:tx>
          <c:spPr>
            <a:ln w="38100" cap="rnd">
              <a:solidFill>
                <a:schemeClr val="accent3"/>
              </a:solidFill>
              <a:round/>
            </a:ln>
            <a:effectLst/>
          </c:spPr>
          <c:marker>
            <c:symbol val="none"/>
          </c:marker>
          <c:cat>
            <c:numRef>
              <c:f>'Données graphiques'!$L$125:$R$125</c:f>
              <c:numCache>
                <c:formatCode>General</c:formatCode>
                <c:ptCount val="7"/>
                <c:pt idx="0">
                  <c:v>2013</c:v>
                </c:pt>
                <c:pt idx="1">
                  <c:v>2014</c:v>
                </c:pt>
                <c:pt idx="2">
                  <c:v>2015</c:v>
                </c:pt>
                <c:pt idx="3">
                  <c:v>2016</c:v>
                </c:pt>
                <c:pt idx="4">
                  <c:v>2017</c:v>
                </c:pt>
                <c:pt idx="5">
                  <c:v>2018</c:v>
                </c:pt>
                <c:pt idx="6">
                  <c:v>2019</c:v>
                </c:pt>
              </c:numCache>
            </c:numRef>
          </c:cat>
          <c:val>
            <c:numRef>
              <c:f>'Données graphiques'!$L$128:$R$128</c:f>
              <c:numCache>
                <c:formatCode>_(* #,##0_);_(* \(#,##0\);_(* "-"??_);_(@_)</c:formatCode>
                <c:ptCount val="7"/>
                <c:pt idx="0">
                  <c:v>1301.658344254027</c:v>
                </c:pt>
                <c:pt idx="1">
                  <c:v>1186.739293383263</c:v>
                </c:pt>
                <c:pt idx="2">
                  <c:v>183.20133079353076</c:v>
                </c:pt>
                <c:pt idx="3">
                  <c:v>140.80724718810012</c:v>
                </c:pt>
                <c:pt idx="4">
                  <c:v>392.6681542311544</c:v>
                </c:pt>
                <c:pt idx="5">
                  <c:v>780.79825997642365</c:v>
                </c:pt>
                <c:pt idx="6">
                  <c:v>745.07568043395804</c:v>
                </c:pt>
              </c:numCache>
            </c:numRef>
          </c:val>
          <c:smooth val="0"/>
          <c:extLst>
            <c:ext xmlns:c16="http://schemas.microsoft.com/office/drawing/2014/chart" uri="{C3380CC4-5D6E-409C-BE32-E72D297353CC}">
              <c16:uniqueId val="{00000002-BC04-4CF0-919C-E211FF71E558}"/>
            </c:ext>
          </c:extLst>
        </c:ser>
        <c:ser>
          <c:idx val="3"/>
          <c:order val="3"/>
          <c:tx>
            <c:strRef>
              <c:f>'Données graphiques'!$D$129:$K$129</c:f>
              <c:strCache>
                <c:ptCount val="8"/>
                <c:pt idx="0">
                  <c:v>KLL</c:v>
                </c:pt>
              </c:strCache>
            </c:strRef>
          </c:tx>
          <c:spPr>
            <a:ln w="38100" cap="rnd">
              <a:solidFill>
                <a:schemeClr val="accent4"/>
              </a:solidFill>
              <a:round/>
            </a:ln>
            <a:effectLst/>
          </c:spPr>
          <c:marker>
            <c:symbol val="none"/>
          </c:marker>
          <c:cat>
            <c:numRef>
              <c:f>'Données graphiques'!$L$125:$R$125</c:f>
              <c:numCache>
                <c:formatCode>General</c:formatCode>
                <c:ptCount val="7"/>
                <c:pt idx="0">
                  <c:v>2013</c:v>
                </c:pt>
                <c:pt idx="1">
                  <c:v>2014</c:v>
                </c:pt>
                <c:pt idx="2">
                  <c:v>2015</c:v>
                </c:pt>
                <c:pt idx="3">
                  <c:v>2016</c:v>
                </c:pt>
                <c:pt idx="4">
                  <c:v>2017</c:v>
                </c:pt>
                <c:pt idx="5">
                  <c:v>2018</c:v>
                </c:pt>
                <c:pt idx="6">
                  <c:v>2019</c:v>
                </c:pt>
              </c:numCache>
            </c:numRef>
          </c:cat>
          <c:val>
            <c:numRef>
              <c:f>'Données graphiques'!$L$129:$R$129</c:f>
              <c:numCache>
                <c:formatCode>_(* #,##0_);_(* \(#,##0\);_(* "-"??_);_(@_)</c:formatCode>
                <c:ptCount val="7"/>
                <c:pt idx="0">
                  <c:v>319.04761165269014</c:v>
                </c:pt>
                <c:pt idx="1">
                  <c:v>305.22435336438934</c:v>
                </c:pt>
                <c:pt idx="2">
                  <c:v>122.14741527054858</c:v>
                </c:pt>
                <c:pt idx="3">
                  <c:v>61.809158203205698</c:v>
                </c:pt>
                <c:pt idx="4">
                  <c:v>110.22067459744622</c:v>
                </c:pt>
                <c:pt idx="5">
                  <c:v>192.84756029606632</c:v>
                </c:pt>
                <c:pt idx="6">
                  <c:v>185.95955525562408</c:v>
                </c:pt>
              </c:numCache>
            </c:numRef>
          </c:val>
          <c:smooth val="0"/>
          <c:extLst>
            <c:ext xmlns:c16="http://schemas.microsoft.com/office/drawing/2014/chart" uri="{C3380CC4-5D6E-409C-BE32-E72D297353CC}">
              <c16:uniqueId val="{00000003-BC04-4CF0-919C-E211FF71E558}"/>
            </c:ext>
          </c:extLst>
        </c:ser>
        <c:dLbls>
          <c:showLegendKey val="0"/>
          <c:showVal val="0"/>
          <c:showCatName val="0"/>
          <c:showSerName val="0"/>
          <c:showPercent val="0"/>
          <c:showBubbleSize val="0"/>
        </c:dLbls>
        <c:smooth val="0"/>
        <c:axId val="677502800"/>
        <c:axId val="677505424"/>
      </c:lineChart>
      <c:catAx>
        <c:axId val="677502800"/>
        <c:scaling>
          <c:orientation val="minMax"/>
        </c:scaling>
        <c:delete val="0"/>
        <c:axPos val="b"/>
        <c:numFmt formatCode="General" sourceLinked="1"/>
        <c:majorTickMark val="none"/>
        <c:minorTickMark val="none"/>
        <c:tickLblPos val="nextTo"/>
        <c:spPr>
          <a:noFill/>
          <a:ln w="9525" cap="flat" cmpd="sng" algn="ctr">
            <a:solidFill>
              <a:schemeClr val="tx1">
                <a:lumMod val="15%"/>
                <a:lumOff val="85%"/>
              </a:schemeClr>
            </a:solidFill>
            <a:round/>
          </a:ln>
          <a:effectLst/>
        </c:spPr>
        <c:txPr>
          <a:bodyPr rot="-6000000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fr-FR"/>
          </a:p>
        </c:txPr>
        <c:crossAx val="677505424"/>
        <c:crosses val="autoZero"/>
        <c:auto val="1"/>
        <c:lblAlgn val="ctr"/>
        <c:lblOffset val="100"/>
        <c:noMultiLvlLbl val="0"/>
      </c:catAx>
      <c:valAx>
        <c:axId val="677505424"/>
        <c:scaling>
          <c:orientation val="minMax"/>
        </c:scaling>
        <c:delete val="0"/>
        <c:axPos val="l"/>
        <c:majorGridlines>
          <c:spPr>
            <a:ln w="9525" cap="flat" cmpd="sng" algn="ctr">
              <a:solidFill>
                <a:schemeClr val="tx1">
                  <a:lumMod val="15%"/>
                  <a:lumOff val="85%"/>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
                        <a:lumOff val="35%"/>
                      </a:schemeClr>
                    </a:solidFill>
                    <a:latin typeface="+mn-lt"/>
                    <a:ea typeface="+mn-ea"/>
                    <a:cs typeface="+mn-cs"/>
                  </a:defRPr>
                </a:pPr>
                <a:r>
                  <a:rPr lang="en-US" sz="1100" b="1"/>
                  <a:t>USD Millions</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
                      <a:lumOff val="35%"/>
                    </a:schemeClr>
                  </a:solidFill>
                  <a:latin typeface="+mn-lt"/>
                  <a:ea typeface="+mn-ea"/>
                  <a:cs typeface="+mn-cs"/>
                </a:defRPr>
              </a:pPr>
              <a:endParaRPr lang="fr-FR"/>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
                    <a:lumOff val="35%"/>
                  </a:schemeClr>
                </a:solidFill>
                <a:latin typeface="+mn-lt"/>
                <a:ea typeface="+mn-ea"/>
                <a:cs typeface="+mn-cs"/>
              </a:defRPr>
            </a:pPr>
            <a:endParaRPr lang="fr-FR"/>
          </a:p>
        </c:txPr>
        <c:crossAx val="6775028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
                  <a:lumOff val="35%"/>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0.xml><?xml version="1.0" encoding="utf-8"?>
<c:chartSpace xmlns:c="http://purl.oclc.org/ooxml/drawingml/chart" xmlns:a="http://purl.oclc.org/ooxml/drawingml/main" xmlns:r="http://purl.oclc.org/ooxml/officeDocument/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[0]!title_chart8</c:f>
          <c:strCache>
            <c:ptCount val="1"/>
            <c:pt idx="0">
              <c:v>Part de l'État dans le SPO à différents prix 
taux de déclin de base : 7%</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
                  <a:lumOff val="35%"/>
                </a:schemeClr>
              </a:solidFill>
              <a:latin typeface="+mn-lt"/>
              <a:ea typeface="+mn-ea"/>
              <a:cs typeface="+mn-cs"/>
            </a:defRPr>
          </a:pPr>
          <a:endParaRPr lang="fr-FR"/>
        </a:p>
      </c:txPr>
    </c:title>
    <c:autoTitleDeleted val="0"/>
    <c:plotArea>
      <c:layout>
        <c:manualLayout>
          <c:layoutTarget val="inner"/>
          <c:xMode val="edge"/>
          <c:yMode val="edge"/>
          <c:x val="0.10219202782579007"/>
          <c:y val="0.1478298611111111"/>
          <c:w val="0.87917653585984679"/>
          <c:h val="0.71885594378827644"/>
        </c:manualLayout>
      </c:layout>
      <c:barChart>
        <c:barDir val="col"/>
        <c:grouping val="stacked"/>
        <c:varyColors val="0"/>
        <c:ser>
          <c:idx val="0"/>
          <c:order val="0"/>
          <c:tx>
            <c:strRef>
              <c:f>'Données graphiques'!$D$103:$E$103</c:f>
              <c:strCache>
                <c:ptCount val="2"/>
                <c:pt idx="0">
                  <c:v>Nkossa</c:v>
                </c:pt>
              </c:strCache>
            </c:strRef>
          </c:tx>
          <c:spPr>
            <a:solidFill>
              <a:schemeClr val="accent1"/>
            </a:solidFill>
            <a:ln>
              <a:noFill/>
            </a:ln>
            <a:effectLst/>
          </c:spPr>
          <c:invertIfNegative val="0"/>
          <c:cat>
            <c:numRef>
              <c:f>'Données graphiques'!$F$102:$I$102</c:f>
              <c:numCache>
                <c:formatCode>"$"#,##0_);[Red]\("$"#,##0\)</c:formatCode>
                <c:ptCount val="4"/>
                <c:pt idx="0">
                  <c:v>50</c:v>
                </c:pt>
                <c:pt idx="1">
                  <c:v>70</c:v>
                </c:pt>
                <c:pt idx="2">
                  <c:v>90</c:v>
                </c:pt>
                <c:pt idx="3">
                  <c:v>100</c:v>
                </c:pt>
              </c:numCache>
            </c:numRef>
          </c:cat>
          <c:val>
            <c:numRef>
              <c:f>'Données graphiques'!$F$103:$I$103</c:f>
              <c:numCache>
                <c:formatCode>#,##0</c:formatCode>
                <c:ptCount val="4"/>
                <c:pt idx="0">
                  <c:v>0</c:v>
                </c:pt>
                <c:pt idx="1">
                  <c:v>0</c:v>
                </c:pt>
                <c:pt idx="2">
                  <c:v>99.429605805057491</c:v>
                </c:pt>
                <c:pt idx="3">
                  <c:v>182.28536684518832</c:v>
                </c:pt>
              </c:numCache>
            </c:numRef>
          </c:val>
          <c:extLst>
            <c:ext xmlns:c16="http://schemas.microsoft.com/office/drawing/2014/chart" uri="{C3380CC4-5D6E-409C-BE32-E72D297353CC}">
              <c16:uniqueId val="{00000000-0F34-41D7-9DD6-4D9D0A8389AA}"/>
            </c:ext>
          </c:extLst>
        </c:ser>
        <c:ser>
          <c:idx val="1"/>
          <c:order val="1"/>
          <c:tx>
            <c:strRef>
              <c:f>'Données graphiques'!$D$104:$E$104</c:f>
              <c:strCache>
                <c:ptCount val="2"/>
                <c:pt idx="0">
                  <c:v>Nsoko</c:v>
                </c:pt>
              </c:strCache>
            </c:strRef>
          </c:tx>
          <c:spPr>
            <a:solidFill>
              <a:schemeClr val="accent2"/>
            </a:solidFill>
            <a:ln>
              <a:noFill/>
            </a:ln>
            <a:effectLst/>
          </c:spPr>
          <c:invertIfNegative val="0"/>
          <c:cat>
            <c:numRef>
              <c:f>'Données graphiques'!$F$102:$I$102</c:f>
              <c:numCache>
                <c:formatCode>"$"#,##0_);[Red]\("$"#,##0\)</c:formatCode>
                <c:ptCount val="4"/>
                <c:pt idx="0">
                  <c:v>50</c:v>
                </c:pt>
                <c:pt idx="1">
                  <c:v>70</c:v>
                </c:pt>
                <c:pt idx="2">
                  <c:v>90</c:v>
                </c:pt>
                <c:pt idx="3">
                  <c:v>100</c:v>
                </c:pt>
              </c:numCache>
            </c:numRef>
          </c:cat>
          <c:val>
            <c:numRef>
              <c:f>'Données graphiques'!$F$104:$I$104</c:f>
              <c:numCache>
                <c:formatCode>#,##0</c:formatCode>
                <c:ptCount val="4"/>
                <c:pt idx="0">
                  <c:v>5.311320865044741</c:v>
                </c:pt>
                <c:pt idx="1">
                  <c:v>33.492544453421218</c:v>
                </c:pt>
                <c:pt idx="2">
                  <c:v>65.033024434820433</c:v>
                </c:pt>
                <c:pt idx="3">
                  <c:v>80.803264425520013</c:v>
                </c:pt>
              </c:numCache>
            </c:numRef>
          </c:val>
          <c:extLst>
            <c:ext xmlns:c16="http://schemas.microsoft.com/office/drawing/2014/chart" uri="{C3380CC4-5D6E-409C-BE32-E72D297353CC}">
              <c16:uniqueId val="{00000001-0F34-41D7-9DD6-4D9D0A8389AA}"/>
            </c:ext>
          </c:extLst>
        </c:ser>
        <c:ser>
          <c:idx val="2"/>
          <c:order val="2"/>
          <c:tx>
            <c:strRef>
              <c:f>'Données graphiques'!$D$105:$E$105</c:f>
              <c:strCache>
                <c:ptCount val="2"/>
                <c:pt idx="0">
                  <c:v>Moho</c:v>
                </c:pt>
              </c:strCache>
            </c:strRef>
          </c:tx>
          <c:spPr>
            <a:solidFill>
              <a:schemeClr val="accent3"/>
            </a:solidFill>
            <a:ln>
              <a:noFill/>
            </a:ln>
            <a:effectLst/>
          </c:spPr>
          <c:invertIfNegative val="0"/>
          <c:cat>
            <c:numRef>
              <c:f>'Données graphiques'!$F$102:$I$102</c:f>
              <c:numCache>
                <c:formatCode>"$"#,##0_);[Red]\("$"#,##0\)</c:formatCode>
                <c:ptCount val="4"/>
                <c:pt idx="0">
                  <c:v>50</c:v>
                </c:pt>
                <c:pt idx="1">
                  <c:v>70</c:v>
                </c:pt>
                <c:pt idx="2">
                  <c:v>90</c:v>
                </c:pt>
                <c:pt idx="3">
                  <c:v>100</c:v>
                </c:pt>
              </c:numCache>
            </c:numRef>
          </c:cat>
          <c:val>
            <c:numRef>
              <c:f>'Données graphiques'!$F$105:$I$105</c:f>
              <c:numCache>
                <c:formatCode>#,##0</c:formatCode>
                <c:ptCount val="4"/>
                <c:pt idx="0">
                  <c:v>0</c:v>
                </c:pt>
                <c:pt idx="1">
                  <c:v>190.54625429189113</c:v>
                </c:pt>
                <c:pt idx="2">
                  <c:v>1366.1000523473215</c:v>
                </c:pt>
                <c:pt idx="3">
                  <c:v>1817.7724840236856</c:v>
                </c:pt>
              </c:numCache>
            </c:numRef>
          </c:val>
          <c:extLst>
            <c:ext xmlns:c16="http://schemas.microsoft.com/office/drawing/2014/chart" uri="{C3380CC4-5D6E-409C-BE32-E72D297353CC}">
              <c16:uniqueId val="{00000002-0F34-41D7-9DD6-4D9D0A8389AA}"/>
            </c:ext>
          </c:extLst>
        </c:ser>
        <c:ser>
          <c:idx val="3"/>
          <c:order val="3"/>
          <c:tx>
            <c:strRef>
              <c:f>'Données graphiques'!$D$106:$E$106</c:f>
              <c:strCache>
                <c:ptCount val="2"/>
                <c:pt idx="0">
                  <c:v>KLL</c:v>
                </c:pt>
              </c:strCache>
            </c:strRef>
          </c:tx>
          <c:spPr>
            <a:solidFill>
              <a:schemeClr val="accent4"/>
            </a:solidFill>
            <a:ln>
              <a:noFill/>
            </a:ln>
            <a:effectLst/>
          </c:spPr>
          <c:invertIfNegative val="0"/>
          <c:cat>
            <c:numRef>
              <c:f>'Données graphiques'!$F$102:$I$102</c:f>
              <c:numCache>
                <c:formatCode>"$"#,##0_);[Red]\("$"#,##0\)</c:formatCode>
                <c:ptCount val="4"/>
                <c:pt idx="0">
                  <c:v>50</c:v>
                </c:pt>
                <c:pt idx="1">
                  <c:v>70</c:v>
                </c:pt>
                <c:pt idx="2">
                  <c:v>90</c:v>
                </c:pt>
                <c:pt idx="3">
                  <c:v>100</c:v>
                </c:pt>
              </c:numCache>
            </c:numRef>
          </c:cat>
          <c:val>
            <c:numRef>
              <c:f>'Données graphiques'!$F$106:$I$106</c:f>
              <c:numCache>
                <c:formatCode>#,##0</c:formatCode>
                <c:ptCount val="4"/>
                <c:pt idx="0">
                  <c:v>45.039546068932786</c:v>
                </c:pt>
                <c:pt idx="1">
                  <c:v>238.69242492349889</c:v>
                </c:pt>
                <c:pt idx="2">
                  <c:v>442.53756055988401</c:v>
                </c:pt>
                <c:pt idx="3">
                  <c:v>544.46012837807666</c:v>
                </c:pt>
              </c:numCache>
            </c:numRef>
          </c:val>
          <c:extLst>
            <c:ext xmlns:c16="http://schemas.microsoft.com/office/drawing/2014/chart" uri="{C3380CC4-5D6E-409C-BE32-E72D297353CC}">
              <c16:uniqueId val="{00000003-0F34-41D7-9DD6-4D9D0A8389AA}"/>
            </c:ext>
          </c:extLst>
        </c:ser>
        <c:dLbls>
          <c:showLegendKey val="0"/>
          <c:showVal val="0"/>
          <c:showCatName val="0"/>
          <c:showSerName val="0"/>
          <c:showPercent val="0"/>
          <c:showBubbleSize val="0"/>
        </c:dLbls>
        <c:gapWidth val="150"/>
        <c:overlap val="100"/>
        <c:axId val="792532280"/>
        <c:axId val="792533264"/>
      </c:barChart>
      <c:catAx>
        <c:axId val="792532280"/>
        <c:scaling>
          <c:orientation val="minMax"/>
        </c:scaling>
        <c:delete val="0"/>
        <c:axPos val="b"/>
        <c:numFmt formatCode="&quot;$&quot;#,##0_);[Red]\(&quot;$&quot;#,##0\)" sourceLinked="1"/>
        <c:majorTickMark val="none"/>
        <c:minorTickMark val="none"/>
        <c:tickLblPos val="nextTo"/>
        <c:spPr>
          <a:noFill/>
          <a:ln w="9525" cap="flat" cmpd="sng" algn="ctr">
            <a:solidFill>
              <a:schemeClr val="tx1">
                <a:lumMod val="15%"/>
                <a:lumOff val="85%"/>
              </a:schemeClr>
            </a:solidFill>
            <a:round/>
          </a:ln>
          <a:effectLst/>
        </c:spPr>
        <c:txPr>
          <a:bodyPr rot="-60000000" spcFirstLastPara="1" vertOverflow="ellipsis" vert="horz" wrap="square" anchor="ctr" anchorCtr="1"/>
          <a:lstStyle/>
          <a:p>
            <a:pPr>
              <a:defRPr sz="1000" b="0" i="0" u="none" strike="noStrike" kern="1200" baseline="0%">
                <a:solidFill>
                  <a:schemeClr val="tx1">
                    <a:lumMod val="65%"/>
                    <a:lumOff val="35%"/>
                  </a:schemeClr>
                </a:solidFill>
                <a:latin typeface="+mn-lt"/>
                <a:ea typeface="+mn-ea"/>
                <a:cs typeface="+mn-cs"/>
              </a:defRPr>
            </a:pPr>
            <a:endParaRPr lang="fr-FR"/>
          </a:p>
        </c:txPr>
        <c:crossAx val="792533264"/>
        <c:crosses val="autoZero"/>
        <c:auto val="1"/>
        <c:lblAlgn val="ctr"/>
        <c:lblOffset val="100"/>
        <c:noMultiLvlLbl val="0"/>
      </c:catAx>
      <c:valAx>
        <c:axId val="792533264"/>
        <c:scaling>
          <c:orientation val="minMax"/>
        </c:scaling>
        <c:delete val="0"/>
        <c:axPos val="l"/>
        <c:majorGridlines>
          <c:spPr>
            <a:ln w="9525" cap="flat" cmpd="sng" algn="ctr">
              <a:solidFill>
                <a:schemeClr val="tx1">
                  <a:lumMod val="15%"/>
                  <a:lumOff val="85%"/>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lumMod val="65%"/>
                        <a:lumOff val="35%"/>
                      </a:schemeClr>
                    </a:solidFill>
                    <a:latin typeface="+mn-lt"/>
                    <a:ea typeface="+mn-ea"/>
                    <a:cs typeface="+mn-cs"/>
                  </a:defRPr>
                </a:pPr>
                <a:r>
                  <a:rPr lang="en-US" sz="1050" b="1" baseline="0%"/>
                  <a:t>Millions USD</a:t>
                </a:r>
                <a:endParaRPr lang="en-US" sz="1050" b="1"/>
              </a:p>
            </c:rich>
          </c:tx>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65%"/>
                      <a:lumOff val="35%"/>
                    </a:schemeClr>
                  </a:solidFill>
                  <a:latin typeface="+mn-lt"/>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
                    <a:lumOff val="35%"/>
                  </a:schemeClr>
                </a:solidFill>
                <a:latin typeface="+mn-lt"/>
                <a:ea typeface="+mn-ea"/>
                <a:cs typeface="+mn-cs"/>
              </a:defRPr>
            </a:pPr>
            <a:endParaRPr lang="fr-FR"/>
          </a:p>
        </c:txPr>
        <c:crossAx val="7925322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
                  <a:lumOff val="35%"/>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1.xml><?xml version="1.0" encoding="utf-8"?>
<c:chartSpace xmlns:c="http://purl.oclc.org/ooxml/drawingml/chart" xmlns:a="http://purl.oclc.org/ooxml/drawingml/main" xmlns:r="http://purl.oclc.org/ooxml/officeDocument/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[0]!title_chart17</c:f>
          <c:strCache>
            <c:ptCount val="1"/>
            <c:pt idx="0">
              <c:v>Total des revenus du Gouv. consolidés</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
                  <a:lumOff val="35%"/>
                </a:schemeClr>
              </a:solidFill>
              <a:latin typeface="+mn-lt"/>
              <a:ea typeface="+mn-ea"/>
              <a:cs typeface="+mn-cs"/>
            </a:defRPr>
          </a:pPr>
          <a:endParaRPr lang="fr-FR"/>
        </a:p>
      </c:txPr>
    </c:title>
    <c:autoTitleDeleted val="0"/>
    <c:plotArea>
      <c:layout>
        <c:manualLayout>
          <c:layoutTarget val="inner"/>
          <c:xMode val="edge"/>
          <c:yMode val="edge"/>
          <c:x val="0.10335073612876693"/>
          <c:y val="0.14177331272859328"/>
          <c:w val="0.82029422294979515"/>
          <c:h val="0.62853123177311176"/>
        </c:manualLayout>
      </c:layout>
      <c:lineChart>
        <c:grouping val="standard"/>
        <c:varyColors val="0"/>
        <c:ser>
          <c:idx val="0"/>
          <c:order val="0"/>
          <c:tx>
            <c:strRef>
              <c:f>'Données graphiques'!$D$241</c:f>
              <c:strCache>
                <c:ptCount val="1"/>
                <c:pt idx="0">
                  <c:v>Revenus Etat déclarés</c:v>
                </c:pt>
              </c:strCache>
            </c:strRef>
          </c:tx>
          <c:spPr>
            <a:ln w="38100" cap="rnd">
              <a:solidFill>
                <a:schemeClr val="accent1"/>
              </a:solidFill>
              <a:round/>
            </a:ln>
            <a:effectLst/>
          </c:spPr>
          <c:marker>
            <c:symbol val="none"/>
          </c:marker>
          <c:cat>
            <c:numRef>
              <c:f>'Données graphiques'!$L$240:$X$240</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'Données graphiques'!$L$241:$X$241</c:f>
              <c:numCache>
                <c:formatCode>_(* #,##0_);_(* \(#,##0\);_(* "-"??_);_(@_)</c:formatCode>
                <c:ptCount val="13"/>
                <c:pt idx="0">
                  <c:v>2294.2836553891611</c:v>
                </c:pt>
                <c:pt idx="1">
                  <c:v>2122.6017635048638</c:v>
                </c:pt>
                <c:pt idx="2">
                  <c:v>506.69063551901479</c:v>
                </c:pt>
                <c:pt idx="3">
                  <c:v>347.28216151018364</c:v>
                </c:pt>
                <c:pt idx="4">
                  <c:v>625.78259063188045</c:v>
                </c:pt>
                <c:pt idx="5">
                  <c:v>1120.775248125731</c:v>
                </c:pt>
                <c:pt idx="6">
                  <c:v>1048.1057548012518</c:v>
                </c:pt>
                <c:pt idx="7">
                  <c:v>578.67318078623475</c:v>
                </c:pt>
              </c:numCache>
            </c:numRef>
          </c:val>
          <c:smooth val="0"/>
          <c:extLst>
            <c:ext xmlns:c16="http://schemas.microsoft.com/office/drawing/2014/chart" uri="{C3380CC4-5D6E-409C-BE32-E72D297353CC}">
              <c16:uniqueId val="{00000000-9BD6-4470-A381-4CD9069EC68A}"/>
            </c:ext>
          </c:extLst>
        </c:ser>
        <c:ser>
          <c:idx val="1"/>
          <c:order val="1"/>
          <c:tx>
            <c:strRef>
              <c:f>'Données graphiques'!$D$242</c:f>
              <c:strCache>
                <c:ptCount val="1"/>
                <c:pt idx="0">
                  <c:v>Projection revenus Etat @ $50/bbl</c:v>
                </c:pt>
              </c:strCache>
            </c:strRef>
          </c:tx>
          <c:spPr>
            <a:ln w="38100" cap="rnd">
              <a:solidFill>
                <a:schemeClr val="accent2"/>
              </a:solidFill>
              <a:prstDash val="sysDot"/>
              <a:round/>
            </a:ln>
            <a:effectLst/>
          </c:spPr>
          <c:marker>
            <c:symbol val="none"/>
          </c:marker>
          <c:cat>
            <c:numRef>
              <c:f>'Données graphiques'!$L$240:$X$240</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'Données graphiques'!$L$242:$X$242</c:f>
              <c:numCache>
                <c:formatCode>_(* #,##0_);_(* \(#,##0\);_(* "-"??_);_(@_)</c:formatCode>
                <c:ptCount val="13"/>
                <c:pt idx="7">
                  <c:v>579</c:v>
                </c:pt>
                <c:pt idx="8">
                  <c:v>903.61276112035205</c:v>
                </c:pt>
                <c:pt idx="9">
                  <c:v>599.91647335681216</c:v>
                </c:pt>
                <c:pt idx="10">
                  <c:v>550.72332254155356</c:v>
                </c:pt>
                <c:pt idx="11">
                  <c:v>727.52791719191998</c:v>
                </c:pt>
                <c:pt idx="12">
                  <c:v>667.87062798218267</c:v>
                </c:pt>
              </c:numCache>
            </c:numRef>
          </c:val>
          <c:smooth val="0"/>
          <c:extLst>
            <c:ext xmlns:c16="http://schemas.microsoft.com/office/drawing/2014/chart" uri="{C3380CC4-5D6E-409C-BE32-E72D297353CC}">
              <c16:uniqueId val="{00000001-9BD6-4470-A381-4CD9069EC68A}"/>
            </c:ext>
          </c:extLst>
        </c:ser>
        <c:ser>
          <c:idx val="2"/>
          <c:order val="2"/>
          <c:tx>
            <c:strRef>
              <c:f>'Données graphiques'!$D$243</c:f>
              <c:strCache>
                <c:ptCount val="1"/>
                <c:pt idx="0">
                  <c:v>Projection revenus Etat @ $70/bbl</c:v>
                </c:pt>
              </c:strCache>
            </c:strRef>
          </c:tx>
          <c:spPr>
            <a:ln w="38100" cap="rnd">
              <a:solidFill>
                <a:schemeClr val="accent6"/>
              </a:solidFill>
              <a:prstDash val="dash"/>
              <a:round/>
            </a:ln>
            <a:effectLst/>
          </c:spPr>
          <c:marker>
            <c:symbol val="none"/>
          </c:marker>
          <c:cat>
            <c:numRef>
              <c:f>'Données graphiques'!$L$240:$X$240</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'Données graphiques'!$L$243:$X$243</c:f>
              <c:numCache>
                <c:formatCode>_(* #,##0_);_(* \(#,##0\);_(* "-"??_);_(@_)</c:formatCode>
                <c:ptCount val="13"/>
                <c:pt idx="7">
                  <c:v>579</c:v>
                </c:pt>
                <c:pt idx="8">
                  <c:v>903.61276112035205</c:v>
                </c:pt>
                <c:pt idx="9">
                  <c:v>878.95891689306291</c:v>
                </c:pt>
                <c:pt idx="10">
                  <c:v>807.20056854983</c:v>
                </c:pt>
                <c:pt idx="11">
                  <c:v>1072.8360425675305</c:v>
                </c:pt>
                <c:pt idx="12">
                  <c:v>985.11967617901178</c:v>
                </c:pt>
              </c:numCache>
            </c:numRef>
          </c:val>
          <c:smooth val="0"/>
          <c:extLst>
            <c:ext xmlns:c16="http://schemas.microsoft.com/office/drawing/2014/chart" uri="{C3380CC4-5D6E-409C-BE32-E72D297353CC}">
              <c16:uniqueId val="{00000002-9BD6-4470-A381-4CD9069EC68A}"/>
            </c:ext>
          </c:extLst>
        </c:ser>
        <c:ser>
          <c:idx val="3"/>
          <c:order val="3"/>
          <c:tx>
            <c:strRef>
              <c:f>'Données graphiques'!$D$244</c:f>
              <c:strCache>
                <c:ptCount val="1"/>
                <c:pt idx="0">
                  <c:v>Projection revenus Etats @ $90/bbl</c:v>
                </c:pt>
              </c:strCache>
            </c:strRef>
          </c:tx>
          <c:spPr>
            <a:ln w="38100" cap="rnd">
              <a:solidFill>
                <a:schemeClr val="accent4"/>
              </a:solidFill>
              <a:prstDash val="sysDash"/>
              <a:round/>
            </a:ln>
            <a:effectLst/>
          </c:spPr>
          <c:marker>
            <c:symbol val="none"/>
          </c:marker>
          <c:cat>
            <c:numRef>
              <c:f>'Données graphiques'!$L$240:$X$240</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'Données graphiques'!$L$244:$X$244</c:f>
              <c:numCache>
                <c:formatCode>_(* #,##0_);_(* \(#,##0\);_(* "-"??_);_(@_)</c:formatCode>
                <c:ptCount val="13"/>
                <c:pt idx="7">
                  <c:v>579</c:v>
                </c:pt>
                <c:pt idx="8">
                  <c:v>903.61276112035205</c:v>
                </c:pt>
                <c:pt idx="9">
                  <c:v>1192.3027079044732</c:v>
                </c:pt>
                <c:pt idx="10">
                  <c:v>1094.850168698305</c:v>
                </c:pt>
                <c:pt idx="11">
                  <c:v>1776.3858995520548</c:v>
                </c:pt>
                <c:pt idx="12">
                  <c:v>1630.9784448908051</c:v>
                </c:pt>
              </c:numCache>
            </c:numRef>
          </c:val>
          <c:smooth val="0"/>
          <c:extLst>
            <c:ext xmlns:c16="http://schemas.microsoft.com/office/drawing/2014/chart" uri="{C3380CC4-5D6E-409C-BE32-E72D297353CC}">
              <c16:uniqueId val="{00000003-9BD6-4470-A381-4CD9069EC68A}"/>
            </c:ext>
          </c:extLst>
        </c:ser>
        <c:dLbls>
          <c:showLegendKey val="0"/>
          <c:showVal val="0"/>
          <c:showCatName val="0"/>
          <c:showSerName val="0"/>
          <c:showPercent val="0"/>
          <c:showBubbleSize val="0"/>
        </c:dLbls>
        <c:marker val="1"/>
        <c:smooth val="0"/>
        <c:axId val="710683624"/>
        <c:axId val="710683952"/>
      </c:lineChart>
      <c:lineChart>
        <c:grouping val="standard"/>
        <c:varyColors val="0"/>
        <c:ser>
          <c:idx val="4"/>
          <c:order val="4"/>
          <c:tx>
            <c:strRef>
              <c:f>'Données graphiques'!$D$245</c:f>
              <c:strCache>
                <c:ptCount val="1"/>
                <c:pt idx="0">
                  <c:v>Volumes de production</c:v>
                </c:pt>
              </c:strCache>
            </c:strRef>
          </c:tx>
          <c:spPr>
            <a:ln w="25400" cap="rnd">
              <a:solidFill>
                <a:schemeClr val="accent2">
                  <a:lumMod val="20%"/>
                  <a:lumOff val="80%"/>
                </a:schemeClr>
              </a:solidFill>
              <a:round/>
            </a:ln>
            <a:effectLst/>
          </c:spPr>
          <c:marker>
            <c:symbol val="none"/>
          </c:marker>
          <c:cat>
            <c:numRef>
              <c:f>'Données graphiques'!$L$240:$X$240</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'Données graphiques'!$L$245:$X$245</c:f>
              <c:numCache>
                <c:formatCode>_(* #,##0_);_(* \(#,##0\);_(* "-"??_);_(@_)</c:formatCode>
                <c:ptCount val="13"/>
                <c:pt idx="0">
                  <c:v>33.265190167</c:v>
                </c:pt>
                <c:pt idx="1">
                  <c:v>35.572766373</c:v>
                </c:pt>
                <c:pt idx="2">
                  <c:v>31.076485458999997</c:v>
                </c:pt>
                <c:pt idx="3">
                  <c:v>31.161619239</c:v>
                </c:pt>
                <c:pt idx="4">
                  <c:v>48.430250927000003</c:v>
                </c:pt>
                <c:pt idx="5">
                  <c:v>68.788219757999997</c:v>
                </c:pt>
                <c:pt idx="6">
                  <c:v>68.453631926</c:v>
                </c:pt>
                <c:pt idx="7">
                  <c:v>61.989338238000002</c:v>
                </c:pt>
                <c:pt idx="8">
                  <c:v>57.650084561339995</c:v>
                </c:pt>
                <c:pt idx="9">
                  <c:v>53.614578642046197</c:v>
                </c:pt>
                <c:pt idx="10">
                  <c:v>49.861558137102961</c:v>
                </c:pt>
                <c:pt idx="11">
                  <c:v>46.371249067505744</c:v>
                </c:pt>
                <c:pt idx="12">
                  <c:v>43.125261632780337</c:v>
                </c:pt>
              </c:numCache>
            </c:numRef>
          </c:val>
          <c:smooth val="0"/>
          <c:extLst>
            <c:ext xmlns:c16="http://schemas.microsoft.com/office/drawing/2014/chart" uri="{C3380CC4-5D6E-409C-BE32-E72D297353CC}">
              <c16:uniqueId val="{00000001-2D14-46C2-B141-28F155714B33}"/>
            </c:ext>
          </c:extLst>
        </c:ser>
        <c:dLbls>
          <c:showLegendKey val="0"/>
          <c:showVal val="0"/>
          <c:showCatName val="0"/>
          <c:showSerName val="0"/>
          <c:showPercent val="0"/>
          <c:showBubbleSize val="0"/>
        </c:dLbls>
        <c:marker val="1"/>
        <c:smooth val="0"/>
        <c:axId val="740153760"/>
        <c:axId val="740151792"/>
      </c:lineChart>
      <c:catAx>
        <c:axId val="710683624"/>
        <c:scaling>
          <c:orientation val="minMax"/>
        </c:scaling>
        <c:delete val="0"/>
        <c:axPos val="b"/>
        <c:numFmt formatCode="General" sourceLinked="1"/>
        <c:majorTickMark val="none"/>
        <c:minorTickMark val="none"/>
        <c:tickLblPos val="nextTo"/>
        <c:spPr>
          <a:noFill/>
          <a:ln w="9525" cap="flat" cmpd="sng" algn="ctr">
            <a:solidFill>
              <a:schemeClr val="tx1">
                <a:lumMod val="15%"/>
                <a:lumOff val="85%"/>
              </a:schemeClr>
            </a:solidFill>
            <a:round/>
          </a:ln>
          <a:effectLst/>
        </c:spPr>
        <c:txPr>
          <a:bodyPr rot="-6000000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fr-FR"/>
          </a:p>
        </c:txPr>
        <c:crossAx val="710683952"/>
        <c:crosses val="autoZero"/>
        <c:auto val="1"/>
        <c:lblAlgn val="ctr"/>
        <c:lblOffset val="100"/>
        <c:noMultiLvlLbl val="0"/>
      </c:catAx>
      <c:valAx>
        <c:axId val="710683952"/>
        <c:scaling>
          <c:orientation val="minMax"/>
        </c:scaling>
        <c:delete val="0"/>
        <c:axPos val="l"/>
        <c:majorGridlines>
          <c:spPr>
            <a:ln w="9525" cap="flat" cmpd="sng" algn="ctr">
              <a:solidFill>
                <a:schemeClr val="tx1">
                  <a:lumMod val="15%"/>
                  <a:lumOff val="85%"/>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
                  </a:lnSpc>
                  <a:spcBef>
                    <a:spcPts val="0"/>
                  </a:spcBef>
                  <a:spcAft>
                    <a:spcPts val="0"/>
                  </a:spcAft>
                  <a:buClrTx/>
                  <a:buSzTx/>
                  <a:buFontTx/>
                  <a:buNone/>
                  <a:tabLst/>
                  <a:defRPr sz="1100" b="1" i="0" u="none" strike="noStrike" kern="1200" baseline="0%">
                    <a:solidFill>
                      <a:sysClr val="windowText" lastClr="000000">
                        <a:lumMod val="65%"/>
                        <a:lumOff val="35%"/>
                      </a:sysClr>
                    </a:solidFill>
                    <a:latin typeface="+mn-lt"/>
                    <a:ea typeface="+mn-ea"/>
                    <a:cs typeface="+mn-cs"/>
                  </a:defRPr>
                </a:pPr>
                <a:r>
                  <a:rPr lang="en-US" sz="1100" b="1" i="0" baseline="0%">
                    <a:effectLst/>
                  </a:rPr>
                  <a:t>Millions  USD</a:t>
                </a:r>
                <a:endParaRPr lang="en-US" sz="1100">
                  <a:effectLst/>
                </a:endParaRPr>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
                </a:lnSpc>
                <a:spcBef>
                  <a:spcPts val="0"/>
                </a:spcBef>
                <a:spcAft>
                  <a:spcPts val="0"/>
                </a:spcAft>
                <a:buClrTx/>
                <a:buSzTx/>
                <a:buFontTx/>
                <a:buNone/>
                <a:tabLst/>
                <a:defRPr sz="1100" b="1" i="0" u="none" strike="noStrike" kern="1200" baseline="0%">
                  <a:solidFill>
                    <a:sysClr val="windowText" lastClr="000000">
                      <a:lumMod val="65%"/>
                      <a:lumOff val="35%"/>
                    </a:sysClr>
                  </a:solidFill>
                  <a:latin typeface="+mn-lt"/>
                  <a:ea typeface="+mn-ea"/>
                  <a:cs typeface="+mn-cs"/>
                </a:defRPr>
              </a:pPr>
              <a:endParaRPr lang="fr-FR"/>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fr-FR"/>
          </a:p>
        </c:txPr>
        <c:crossAx val="710683624"/>
        <c:crosses val="autoZero"/>
        <c:crossBetween val="between"/>
      </c:valAx>
      <c:valAx>
        <c:axId val="740151792"/>
        <c:scaling>
          <c:orientation val="minMax"/>
          <c:max val="100"/>
        </c:scaling>
        <c:delete val="0"/>
        <c:axPos val="r"/>
        <c:title>
          <c:tx>
            <c:rich>
              <a:bodyPr rot="-5400000" spcFirstLastPara="1" vertOverflow="ellipsis" vert="horz" wrap="square" anchor="ctr" anchorCtr="1"/>
              <a:lstStyle/>
              <a:p>
                <a:pPr>
                  <a:defRPr sz="1050" b="1" i="0" u="none" strike="noStrike" kern="1200" baseline="0%">
                    <a:solidFill>
                      <a:schemeClr val="tx1">
                        <a:lumMod val="65%"/>
                        <a:lumOff val="35%"/>
                      </a:schemeClr>
                    </a:solidFill>
                    <a:latin typeface="+mn-lt"/>
                    <a:ea typeface="+mn-ea"/>
                    <a:cs typeface="+mn-cs"/>
                  </a:defRPr>
                </a:pPr>
                <a:r>
                  <a:rPr lang="en-US" sz="1050" b="1"/>
                  <a:t>MMboe</a:t>
                </a:r>
              </a:p>
            </c:rich>
          </c:tx>
          <c:layout>
            <c:manualLayout>
              <c:xMode val="edge"/>
              <c:yMode val="edge"/>
              <c:x val="0.96329154246997617"/>
              <c:y val="0.36631959554176508"/>
            </c:manualLayout>
          </c:layout>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65%"/>
                      <a:lumOff val="35%"/>
                    </a:schemeClr>
                  </a:solidFill>
                  <a:latin typeface="+mn-lt"/>
                  <a:ea typeface="+mn-ea"/>
                  <a:cs typeface="+mn-cs"/>
                </a:defRPr>
              </a:pPr>
              <a:endParaRPr lang="fr-FR"/>
            </a:p>
          </c:txPr>
        </c:title>
        <c:numFmt formatCode="_(* #,##0_);_(* \(#,##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fr-FR"/>
          </a:p>
        </c:txPr>
        <c:crossAx val="740153760"/>
        <c:crosses val="max"/>
        <c:crossBetween val="between"/>
        <c:majorUnit val="20"/>
      </c:valAx>
      <c:catAx>
        <c:axId val="740153760"/>
        <c:scaling>
          <c:orientation val="minMax"/>
        </c:scaling>
        <c:delete val="1"/>
        <c:axPos val="b"/>
        <c:numFmt formatCode="General" sourceLinked="1"/>
        <c:majorTickMark val="out"/>
        <c:minorTickMark val="none"/>
        <c:tickLblPos val="nextTo"/>
        <c:crossAx val="740151792"/>
        <c:crosses val="autoZero"/>
        <c:auto val="1"/>
        <c:lblAlgn val="ctr"/>
        <c:lblOffset val="100"/>
        <c:noMultiLvlLbl val="0"/>
      </c:catAx>
      <c:spPr>
        <a:noFill/>
        <a:ln>
          <a:noFill/>
        </a:ln>
        <a:effectLst/>
      </c:spPr>
    </c:plotArea>
    <c:legend>
      <c:legendPos val="b"/>
      <c:layout>
        <c:manualLayout>
          <c:xMode val="edge"/>
          <c:yMode val="edge"/>
          <c:x val="0.13620286793419115"/>
          <c:y val="0.87531441382327213"/>
          <c:w val="0.76466833879712703"/>
          <c:h val="0.12468570101460302"/>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
                  <a:lumOff val="35%"/>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3.xml><?xml version="1.0" encoding="utf-8"?>
<c:chartSpace xmlns:c="http://purl.oclc.org/ooxml/drawingml/chart" xmlns:a="http://purl.oclc.org/ooxml/drawingml/main" xmlns:r="http://purl.oclc.org/ooxml/officeDocument/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[0]!title_chart12</c:f>
          <c:strCache>
            <c:ptCount val="1"/>
            <c:pt idx="0">
              <c:v>Volumes déclarés partage d'un baril de pétrole pour Moho pour tous les permis</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
                  <a:lumOff val="35%"/>
                </a:schemeClr>
              </a:solidFill>
              <a:latin typeface="+mn-lt"/>
              <a:ea typeface="+mn-ea"/>
              <a:cs typeface="+mn-cs"/>
            </a:defRPr>
          </a:pPr>
          <a:endParaRPr lang="fr-FR"/>
        </a:p>
      </c:txPr>
    </c:title>
    <c:autoTitleDeleted val="0"/>
    <c:plotArea>
      <c:layout>
        <c:manualLayout>
          <c:layoutTarget val="inner"/>
          <c:xMode val="edge"/>
          <c:yMode val="edge"/>
          <c:x val="0.12400772820064158"/>
          <c:y val="0.17929012345679013"/>
          <c:w val="0.85562190142898809"/>
          <c:h val="0.67103723145717897"/>
        </c:manualLayout>
      </c:layout>
      <c:barChart>
        <c:barDir val="col"/>
        <c:grouping val="percentStacked"/>
        <c:varyColors val="0"/>
        <c:ser>
          <c:idx val="0"/>
          <c:order val="0"/>
          <c:tx>
            <c:strRef>
              <c:f>'Données graphiques'!$D$159</c:f>
              <c:strCache>
                <c:ptCount val="1"/>
                <c:pt idx="0">
                  <c:v>Récupération des coûts</c:v>
                </c:pt>
              </c:strCache>
            </c:strRef>
          </c:tx>
          <c:spPr>
            <a:solidFill>
              <a:schemeClr val="accent1">
                <a:lumMod val="60%"/>
                <a:lumOff val="40%"/>
              </a:schemeClr>
            </a:solidFill>
            <a:ln>
              <a:noFill/>
            </a:ln>
            <a:effectLst/>
            <a:scene3d>
              <a:camera prst="orthographicFront"/>
              <a:lightRig rig="threePt" dir="t"/>
            </a:scene3d>
          </c:spPr>
          <c:invertIfNegative val="0"/>
          <c:cat>
            <c:numRef>
              <c:extLst>
                <c:ext xmlns:c15="http://schemas.microsoft.com/office/drawing/2012/chart" uri="{02D57815-91ED-43cb-92C2-25804820EDAC}">
                  <c15:fullRef>
                    <c15:sqref>'Données graphiques'!$L$133:$S$133</c15:sqref>
                  </c15:fullRef>
                </c:ext>
              </c:extLst>
              <c:f>'Données graphiques'!$L$133:$R$133</c:f>
              <c:numCache>
                <c:formatCode>General</c:formatCode>
                <c:ptCount val="7"/>
                <c:pt idx="0">
                  <c:v>2013</c:v>
                </c:pt>
                <c:pt idx="1">
                  <c:v>2014</c:v>
                </c:pt>
                <c:pt idx="2">
                  <c:v>2015</c:v>
                </c:pt>
                <c:pt idx="3">
                  <c:v>2016</c:v>
                </c:pt>
                <c:pt idx="4">
                  <c:v>2017</c:v>
                </c:pt>
                <c:pt idx="5">
                  <c:v>2018</c:v>
                </c:pt>
                <c:pt idx="6">
                  <c:v>2019</c:v>
                </c:pt>
              </c:numCache>
            </c:numRef>
          </c:cat>
          <c:val>
            <c:numRef>
              <c:extLst>
                <c:ext xmlns:c15="http://schemas.microsoft.com/office/drawing/2012/chart" uri="{02D57815-91ED-43cb-92C2-25804820EDAC}">
                  <c15:fullRef>
                    <c15:sqref>'Données graphiques'!$L$159:$S$159</c15:sqref>
                  </c15:fullRef>
                </c:ext>
              </c:extLst>
              <c:f>'Données graphiques'!$L$159:$R$159</c:f>
              <c:numCache>
                <c:formatCode>_(* #,##0_);_(* \(#,##0\);_(* "-"??_);_(@_)</c:formatCode>
                <c:ptCount val="7"/>
                <c:pt idx="0">
                  <c:v>5.9457166552753717</c:v>
                </c:pt>
                <c:pt idx="1">
                  <c:v>7.3079293100981726</c:v>
                </c:pt>
                <c:pt idx="2">
                  <c:v>15.944196741550412</c:v>
                </c:pt>
                <c:pt idx="3">
                  <c:v>18.714485731288065</c:v>
                </c:pt>
                <c:pt idx="4">
                  <c:v>31.525564827995638</c:v>
                </c:pt>
                <c:pt idx="5">
                  <c:v>44.233100269177108</c:v>
                </c:pt>
                <c:pt idx="6">
                  <c:v>45.038333074349801</c:v>
                </c:pt>
              </c:numCache>
            </c:numRef>
          </c:val>
          <c:extLst>
            <c:ext xmlns:c16="http://schemas.microsoft.com/office/drawing/2014/chart" uri="{C3380CC4-5D6E-409C-BE32-E72D297353CC}">
              <c16:uniqueId val="{00000000-88F3-44D6-857C-797B497BC135}"/>
            </c:ext>
          </c:extLst>
        </c:ser>
        <c:ser>
          <c:idx val="1"/>
          <c:order val="1"/>
          <c:tx>
            <c:strRef>
              <c:f>'Données graphiques'!$D$160</c:f>
              <c:strCache>
                <c:ptCount val="1"/>
                <c:pt idx="0">
                  <c:v>Part de l’Etat</c:v>
                </c:pt>
              </c:strCache>
            </c:strRef>
          </c:tx>
          <c:spPr>
            <a:solidFill>
              <a:schemeClr val="accent2">
                <a:lumMod val="60%"/>
                <a:lumOff val="40%"/>
              </a:schemeClr>
            </a:solidFill>
            <a:ln>
              <a:noFill/>
            </a:ln>
            <a:effectLst/>
          </c:spPr>
          <c:invertIfNegative val="0"/>
          <c:cat>
            <c:numRef>
              <c:extLst>
                <c:ext xmlns:c15="http://schemas.microsoft.com/office/drawing/2012/chart" uri="{02D57815-91ED-43cb-92C2-25804820EDAC}">
                  <c15:fullRef>
                    <c15:sqref>'Données graphiques'!$L$133:$S$133</c15:sqref>
                  </c15:fullRef>
                </c:ext>
              </c:extLst>
              <c:f>'Données graphiques'!$L$133:$R$133</c:f>
              <c:numCache>
                <c:formatCode>General</c:formatCode>
                <c:ptCount val="7"/>
                <c:pt idx="0">
                  <c:v>2013</c:v>
                </c:pt>
                <c:pt idx="1">
                  <c:v>2014</c:v>
                </c:pt>
                <c:pt idx="2">
                  <c:v>2015</c:v>
                </c:pt>
                <c:pt idx="3">
                  <c:v>2016</c:v>
                </c:pt>
                <c:pt idx="4">
                  <c:v>2017</c:v>
                </c:pt>
                <c:pt idx="5">
                  <c:v>2018</c:v>
                </c:pt>
                <c:pt idx="6">
                  <c:v>2019</c:v>
                </c:pt>
              </c:numCache>
            </c:numRef>
          </c:cat>
          <c:val>
            <c:numRef>
              <c:extLst>
                <c:ext xmlns:c15="http://schemas.microsoft.com/office/drawing/2012/chart" uri="{02D57815-91ED-43cb-92C2-25804820EDAC}">
                  <c15:fullRef>
                    <c15:sqref>'Données graphiques'!$L$160:$S$160</c15:sqref>
                  </c15:fullRef>
                </c:ext>
              </c:extLst>
              <c:f>'Données graphiques'!$L$160:$R$160</c:f>
              <c:numCache>
                <c:formatCode>_(* #,##0_);_(* \(#,##0\);_(* "-"??_);_(@_)</c:formatCode>
                <c:ptCount val="7"/>
                <c:pt idx="0">
                  <c:v>21.418851728485549</c:v>
                </c:pt>
                <c:pt idx="1">
                  <c:v>22.100121714680945</c:v>
                </c:pt>
                <c:pt idx="2">
                  <c:v>10.321867382685836</c:v>
                </c:pt>
                <c:pt idx="3">
                  <c:v>8.2314068893007786</c:v>
                </c:pt>
                <c:pt idx="4">
                  <c:v>11.28690042744666</c:v>
                </c:pt>
                <c:pt idx="5">
                  <c:v>15.682709274607173</c:v>
                </c:pt>
                <c:pt idx="6">
                  <c:v>15.75832208255801</c:v>
                </c:pt>
              </c:numCache>
            </c:numRef>
          </c:val>
          <c:extLst>
            <c:ext xmlns:c16="http://schemas.microsoft.com/office/drawing/2014/chart" uri="{C3380CC4-5D6E-409C-BE32-E72D297353CC}">
              <c16:uniqueId val="{00000001-88F3-44D6-857C-797B497BC135}"/>
            </c:ext>
          </c:extLst>
        </c:ser>
        <c:ser>
          <c:idx val="2"/>
          <c:order val="2"/>
          <c:tx>
            <c:strRef>
              <c:f>'Données graphiques'!$D$161</c:f>
              <c:strCache>
                <c:ptCount val="1"/>
                <c:pt idx="0">
                  <c:v>Part du Contracteur</c:v>
                </c:pt>
              </c:strCache>
            </c:strRef>
          </c:tx>
          <c:spPr>
            <a:solidFill>
              <a:schemeClr val="accent6">
                <a:lumMod val="60%"/>
                <a:lumOff val="40%"/>
              </a:schemeClr>
            </a:solidFill>
            <a:ln>
              <a:noFill/>
            </a:ln>
            <a:effectLst/>
          </c:spPr>
          <c:invertIfNegative val="0"/>
          <c:cat>
            <c:numRef>
              <c:extLst>
                <c:ext xmlns:c15="http://schemas.microsoft.com/office/drawing/2012/chart" uri="{02D57815-91ED-43cb-92C2-25804820EDAC}">
                  <c15:fullRef>
                    <c15:sqref>'Données graphiques'!$L$133:$S$133</c15:sqref>
                  </c15:fullRef>
                </c:ext>
              </c:extLst>
              <c:f>'Données graphiques'!$L$133:$R$133</c:f>
              <c:numCache>
                <c:formatCode>General</c:formatCode>
                <c:ptCount val="7"/>
                <c:pt idx="0">
                  <c:v>2013</c:v>
                </c:pt>
                <c:pt idx="1">
                  <c:v>2014</c:v>
                </c:pt>
                <c:pt idx="2">
                  <c:v>2015</c:v>
                </c:pt>
                <c:pt idx="3">
                  <c:v>2016</c:v>
                </c:pt>
                <c:pt idx="4">
                  <c:v>2017</c:v>
                </c:pt>
                <c:pt idx="5">
                  <c:v>2018</c:v>
                </c:pt>
                <c:pt idx="6">
                  <c:v>2019</c:v>
                </c:pt>
              </c:numCache>
            </c:numRef>
          </c:cat>
          <c:val>
            <c:numRef>
              <c:extLst>
                <c:ext xmlns:c15="http://schemas.microsoft.com/office/drawing/2012/chart" uri="{02D57815-91ED-43cb-92C2-25804820EDAC}">
                  <c15:fullRef>
                    <c15:sqref>'Données graphiques'!$L$161:$S$161</c15:sqref>
                  </c15:fullRef>
                </c:ext>
              </c:extLst>
              <c:f>'Données graphiques'!$L$161:$R$161</c:f>
              <c:numCache>
                <c:formatCode>_(* #,##0_);_(* \(#,##0\);_(* "-"??_);_(@_)</c:formatCode>
                <c:ptCount val="7"/>
                <c:pt idx="0">
                  <c:v>6.8381461038728686</c:v>
                </c:pt>
                <c:pt idx="1">
                  <c:v>7.3402763380506943</c:v>
                </c:pt>
                <c:pt idx="2">
                  <c:v>4.9783177338210844</c:v>
                </c:pt>
                <c:pt idx="3">
                  <c:v>3.5925340573151554</c:v>
                </c:pt>
                <c:pt idx="4">
                  <c:v>6.0331132173204747</c:v>
                </c:pt>
                <c:pt idx="5">
                  <c:v>7.9926600447982459</c:v>
                </c:pt>
                <c:pt idx="6">
                  <c:v>8.4157863744036483</c:v>
                </c:pt>
              </c:numCache>
            </c:numRef>
          </c:val>
          <c:extLst>
            <c:ext xmlns:c16="http://schemas.microsoft.com/office/drawing/2014/chart" uri="{C3380CC4-5D6E-409C-BE32-E72D297353CC}">
              <c16:uniqueId val="{00000002-88F3-44D6-857C-797B497BC135}"/>
            </c:ext>
          </c:extLst>
        </c:ser>
        <c:dLbls>
          <c:showLegendKey val="0"/>
          <c:showVal val="0"/>
          <c:showCatName val="0"/>
          <c:showSerName val="0"/>
          <c:showPercent val="0"/>
          <c:showBubbleSize val="0"/>
        </c:dLbls>
        <c:gapWidth val="150"/>
        <c:overlap val="100"/>
        <c:axId val="676323488"/>
        <c:axId val="676322504"/>
      </c:barChart>
      <c:catAx>
        <c:axId val="676323488"/>
        <c:scaling>
          <c:orientation val="minMax"/>
        </c:scaling>
        <c:delete val="0"/>
        <c:axPos val="b"/>
        <c:numFmt formatCode="General" sourceLinked="1"/>
        <c:majorTickMark val="none"/>
        <c:minorTickMark val="none"/>
        <c:tickLblPos val="nextTo"/>
        <c:spPr>
          <a:noFill/>
          <a:ln w="9525" cap="flat" cmpd="sng" algn="ctr">
            <a:solidFill>
              <a:schemeClr val="tx1">
                <a:lumMod val="15%"/>
                <a:lumOff val="85%"/>
              </a:schemeClr>
            </a:solidFill>
            <a:round/>
          </a:ln>
          <a:effectLst/>
        </c:spPr>
        <c:txPr>
          <a:bodyPr rot="-6000000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fr-FR"/>
          </a:p>
        </c:txPr>
        <c:crossAx val="676322504"/>
        <c:crosses val="autoZero"/>
        <c:auto val="1"/>
        <c:lblAlgn val="ctr"/>
        <c:lblOffset val="100"/>
        <c:noMultiLvlLbl val="0"/>
      </c:catAx>
      <c:valAx>
        <c:axId val="676322504"/>
        <c:scaling>
          <c:orientation val="minMax"/>
        </c:scaling>
        <c:delete val="0"/>
        <c:axPos val="l"/>
        <c:majorGridlines>
          <c:spPr>
            <a:ln w="9525" cap="flat" cmpd="sng" algn="ctr">
              <a:solidFill>
                <a:schemeClr val="tx1">
                  <a:lumMod val="15%"/>
                  <a:lumOff val="85%"/>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
                  </a:lnSpc>
                  <a:spcBef>
                    <a:spcPts val="0"/>
                  </a:spcBef>
                  <a:spcAft>
                    <a:spcPts val="0"/>
                  </a:spcAft>
                  <a:buClrTx/>
                  <a:buSzTx/>
                  <a:buFontTx/>
                  <a:buNone/>
                  <a:tabLst/>
                  <a:defRPr sz="1100" b="1" i="0" u="none" strike="noStrike" kern="1200" baseline="0%">
                    <a:solidFill>
                      <a:sysClr val="windowText" lastClr="000000">
                        <a:lumMod val="65%"/>
                        <a:lumOff val="35%"/>
                      </a:sysClr>
                    </a:solidFill>
                    <a:latin typeface="+mn-lt"/>
                    <a:ea typeface="+mn-ea"/>
                    <a:cs typeface="+mn-cs"/>
                  </a:defRPr>
                </a:pPr>
                <a:r>
                  <a:rPr lang="en-US" sz="1100" b="1" i="0" baseline="0%">
                    <a:effectLst/>
                  </a:rPr>
                  <a:t>% d’un baril de pétrole</a:t>
                </a:r>
                <a:endParaRPr lang="en-US" sz="1100">
                  <a:effectLst/>
                </a:endParaRPr>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
                </a:lnSpc>
                <a:spcBef>
                  <a:spcPts val="0"/>
                </a:spcBef>
                <a:spcAft>
                  <a:spcPts val="0"/>
                </a:spcAft>
                <a:buClrTx/>
                <a:buSzTx/>
                <a:buFontTx/>
                <a:buNone/>
                <a:tabLst/>
                <a:defRPr sz="1100" b="1" i="0" u="none" strike="noStrike" kern="1200" baseline="0%">
                  <a:solidFill>
                    <a:sysClr val="windowText" lastClr="000000">
                      <a:lumMod val="65%"/>
                      <a:lumOff val="35%"/>
                    </a:sysClr>
                  </a:solidFill>
                  <a:latin typeface="+mn-lt"/>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
                    <a:lumOff val="35%"/>
                  </a:schemeClr>
                </a:solidFill>
                <a:latin typeface="+mn-lt"/>
                <a:ea typeface="+mn-ea"/>
                <a:cs typeface="+mn-cs"/>
              </a:defRPr>
            </a:pPr>
            <a:endParaRPr lang="fr-FR"/>
          </a:p>
        </c:txPr>
        <c:crossAx val="676323488"/>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
                  <a:lumOff val="35%"/>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purl.oclc.org/ooxml/drawingml/chart" xmlns:a="http://purl.oclc.org/ooxml/drawingml/main" xmlns:r="http://purl.oclc.org/ooxml/officeDocument/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[0]!title_chart27</c:f>
          <c:strCache>
            <c:ptCount val="1"/>
            <c:pt idx="0">
              <c:v>Marge d'nette Contracteur v. flux de trésorerie  Résultats reportés consolidés</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
                  <a:lumOff val="35%"/>
                </a:schemeClr>
              </a:solidFill>
              <a:latin typeface="+mn-lt"/>
              <a:ea typeface="+mn-ea"/>
              <a:cs typeface="+mn-cs"/>
            </a:defRPr>
          </a:pPr>
          <a:endParaRPr lang="fr-FR"/>
        </a:p>
      </c:txPr>
    </c:title>
    <c:autoTitleDeleted val="0"/>
    <c:plotArea>
      <c:layout>
        <c:manualLayout>
          <c:layoutTarget val="inner"/>
          <c:xMode val="edge"/>
          <c:yMode val="edge"/>
          <c:x val="0.13154491105278507"/>
          <c:y val="0.17003086419753086"/>
          <c:w val="0.84808471857684453"/>
          <c:h val="0.71794546515018953"/>
        </c:manualLayout>
      </c:layout>
      <c:barChart>
        <c:barDir val="col"/>
        <c:grouping val="clustered"/>
        <c:varyColors val="0"/>
        <c:ser>
          <c:idx val="0"/>
          <c:order val="0"/>
          <c:tx>
            <c:strRef>
              <c:f>'Données graphiques'!$D$211</c:f>
              <c:strCache>
                <c:ptCount val="1"/>
                <c:pt idx="0">
                  <c:v>Marge Nette</c:v>
                </c:pt>
              </c:strCache>
            </c:strRef>
          </c:tx>
          <c:spPr>
            <a:solidFill>
              <a:schemeClr val="accent1"/>
            </a:solidFill>
            <a:ln>
              <a:noFill/>
            </a:ln>
            <a:effectLst/>
          </c:spPr>
          <c:invertIfNegative val="0"/>
          <c:dLbls>
            <c:dLbl>
              <c:idx val="0"/>
              <c:tx>
                <c:strRef>
                  <c:f>'Données graphiques'!$L$212</c:f>
                  <c:strCache>
                    <c:ptCount val="1"/>
                    <c:pt idx="0">
                      <c:v>63%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{FD99ED01-CDDC-E14F-A650-59D5AF73B7D0}</c15:txfldGUID>
                      <c15:f>'Données graphiques'!$L$212</c15:f>
                      <c15:dlblFieldTableCache>
                        <c:ptCount val="1"/>
                        <c:pt idx="0">
                          <c:v>63%</c:v>
                        </c:pt>
                      </c15:dlblFieldTableCache>
                    </c15:dlblFTEntry>
                  </c15:dlblFieldTable>
                  <c15:showDataLabelsRange val="0"/>
                </c:ext>
                <c:ext xmlns:c16="http://schemas.microsoft.com/office/drawing/2014/chart" uri="{C3380CC4-5D6E-409C-BE32-E72D297353CC}">
                  <c16:uniqueId val="{00000001-4C08-49B4-86EF-E9767E69E41B}"/>
                </c:ext>
              </c:extLst>
            </c:dLbl>
            <c:dLbl>
              <c:idx val="1"/>
              <c:tx>
                <c:strRef>
                  <c:f>'Données graphiques'!$M$212</c:f>
                  <c:strCache>
                    <c:ptCount val="1"/>
                    <c:pt idx="0">
                      <c:v>62%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{53C96180-EC7C-D54F-B1F8-16715720EACA}</c15:txfldGUID>
                      <c15:f>'Données graphiques'!$M$212</c15:f>
                      <c15:dlblFieldTableCache>
                        <c:ptCount val="1"/>
                        <c:pt idx="0">
                          <c:v>62%</c:v>
                        </c:pt>
                      </c15:dlblFieldTableCache>
                    </c15:dlblFTEntry>
                  </c15:dlblFieldTable>
                  <c15:showDataLabelsRange val="0"/>
                </c:ext>
                <c:ext xmlns:c16="http://schemas.microsoft.com/office/drawing/2014/chart" uri="{C3380CC4-5D6E-409C-BE32-E72D297353CC}">
                  <c16:uniqueId val="{00000002-4C08-49B4-86EF-E9767E69E41B}"/>
                </c:ext>
              </c:extLst>
            </c:dLbl>
            <c:dLbl>
              <c:idx val="2"/>
              <c:tx>
                <c:strRef>
                  <c:f>'Données graphiques'!$N$212</c:f>
                  <c:strCache>
                    <c:ptCount val="1"/>
                    <c:pt idx="0">
                      <c:v>50%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{43265284-E6B9-204D-A2B2-63368263E018}</c15:txfldGUID>
                      <c15:f>'Données graphiques'!$N$212</c15:f>
                      <c15:dlblFieldTableCache>
                        <c:ptCount val="1"/>
                        <c:pt idx="0">
                          <c:v>50%</c:v>
                        </c:pt>
                      </c15:dlblFieldTableCache>
                    </c15:dlblFTEntry>
                  </c15:dlblFieldTable>
                  <c15:showDataLabelsRange val="0"/>
                </c:ext>
                <c:ext xmlns:c16="http://schemas.microsoft.com/office/drawing/2014/chart" uri="{C3380CC4-5D6E-409C-BE32-E72D297353CC}">
                  <c16:uniqueId val="{00000003-4C08-49B4-86EF-E9767E69E41B}"/>
                </c:ext>
              </c:extLst>
            </c:dLbl>
            <c:dLbl>
              <c:idx val="3"/>
              <c:tx>
                <c:strRef>
                  <c:f>'Données graphiques'!$O$212</c:f>
                  <c:strCache>
                    <c:ptCount val="1"/>
                    <c:pt idx="0">
                      <c:v>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{C21A1478-499D-6B41-840E-A5126025CEDC}</c15:txfldGUID>
                      <c15:f>'Données graphiques'!$O$212</c15:f>
                      <c15:dlblFieldTableCache>
                        <c:ptCount val="1"/>
                        <c:pt idx="0">
                          <c:v>9%</c:v>
                        </c:pt>
                      </c15:dlblFieldTableCache>
                    </c15:dlblFTEntry>
                  </c15:dlblFieldTable>
                  <c15:showDataLabelsRange val="0"/>
                </c:ext>
                <c:ext xmlns:c16="http://schemas.microsoft.com/office/drawing/2014/chart" uri="{C3380CC4-5D6E-409C-BE32-E72D297353CC}">
                  <c16:uniqueId val="{00000004-4C08-49B4-86EF-E9767E69E41B}"/>
                </c:ext>
              </c:extLst>
            </c:dLbl>
            <c:dLbl>
              <c:idx val="4"/>
              <c:tx>
                <c:strRef>
                  <c:f>'Données graphiques'!$P$212</c:f>
                  <c:strCache>
                    <c:ptCount val="1"/>
                    <c:pt idx="0">
                      <c:v>41%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{198EEDD3-D9FA-AC46-8F56-541780D2C1DA}</c15:txfldGUID>
                      <c15:f>'Données graphiques'!$P$212</c15:f>
                      <c15:dlblFieldTableCache>
                        <c:ptCount val="1"/>
                        <c:pt idx="0">
                          <c:v>41%</c:v>
                        </c:pt>
                      </c15:dlblFieldTableCache>
                    </c15:dlblFTEntry>
                  </c15:dlblFieldTable>
                  <c15:showDataLabelsRange val="0"/>
                </c:ext>
                <c:ext xmlns:c16="http://schemas.microsoft.com/office/drawing/2014/chart" uri="{C3380CC4-5D6E-409C-BE32-E72D297353CC}">
                  <c16:uniqueId val="{00000005-4C08-49B4-86EF-E9767E69E41B}"/>
                </c:ext>
              </c:extLst>
            </c:dLbl>
            <c:dLbl>
              <c:idx val="5"/>
              <c:tx>
                <c:strRef>
                  <c:f>'Données graphiques'!$Q$212</c:f>
                  <c:strCache>
                    <c:ptCount val="1"/>
                    <c:pt idx="0">
                      <c:v>88%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{5D6E53B8-537B-3846-8934-A4E505371B90}</c15:txfldGUID>
                      <c15:f>'Données graphiques'!$Q$212</c15:f>
                      <c15:dlblFieldTableCache>
                        <c:ptCount val="1"/>
                        <c:pt idx="0">
                          <c:v>88%</c:v>
                        </c:pt>
                      </c15:dlblFieldTableCache>
                    </c15:dlblFTEntry>
                  </c15:dlblFieldTable>
                  <c15:showDataLabelsRange val="0"/>
                </c:ext>
                <c:ext xmlns:c16="http://schemas.microsoft.com/office/drawing/2014/chart" uri="{C3380CC4-5D6E-409C-BE32-E72D297353CC}">
                  <c16:uniqueId val="{00000006-4C08-49B4-86EF-E9767E69E41B}"/>
                </c:ext>
              </c:extLst>
            </c:dLbl>
            <c:dLbl>
              <c:idx val="6"/>
              <c:tx>
                <c:strRef>
                  <c:f>'Données graphiques'!$R$212</c:f>
                  <c:strCache>
                    <c:ptCount val="1"/>
                    <c:pt idx="0">
                      <c:v>86%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{20B1BFE1-245D-DD4A-A5AA-ED4E05A0E3A1}</c15:txfldGUID>
                      <c15:f>'Données graphiques'!$R$212</c15:f>
                      <c15:dlblFieldTableCache>
                        <c:ptCount val="1"/>
                        <c:pt idx="0">
                          <c:v>86%</c:v>
                        </c:pt>
                      </c15:dlblFieldTableCache>
                    </c15:dlblFTEntry>
                  </c15:dlblFieldTable>
                  <c15:showDataLabelsRange val="0"/>
                </c:ext>
                <c:ext xmlns:c16="http://schemas.microsoft.com/office/drawing/2014/chart" uri="{C3380CC4-5D6E-409C-BE32-E72D297353CC}">
                  <c16:uniqueId val="{00000007-4C08-49B4-86EF-E9767E69E41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
                        <a:lumOff val="25%"/>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
                          <a:lumOff val="65%"/>
                        </a:schemeClr>
                      </a:solidFill>
                      <a:round/>
                    </a:ln>
                    <a:effectLst/>
                  </c:spPr>
                </c15:leaderLines>
              </c:ext>
            </c:extLst>
          </c:dLbls>
          <c:cat>
            <c:numRef>
              <c:extLst>
                <c:ext xmlns:c15="http://schemas.microsoft.com/office/drawing/2012/chart" uri="{02D57815-91ED-43cb-92C2-25804820EDAC}">
                  <c15:fullRef>
                    <c15:sqref>'Données graphiques'!$L$207:$S$207</c15:sqref>
                  </c15:fullRef>
                </c:ext>
              </c:extLst>
              <c:f>'Données graphiques'!$L$207:$R$207</c:f>
              <c:numCache>
                <c:formatCode>General</c:formatCode>
                <c:ptCount val="7"/>
                <c:pt idx="0">
                  <c:v>2013</c:v>
                </c:pt>
                <c:pt idx="1">
                  <c:v>2014</c:v>
                </c:pt>
                <c:pt idx="2">
                  <c:v>2015</c:v>
                </c:pt>
                <c:pt idx="3">
                  <c:v>2016</c:v>
                </c:pt>
                <c:pt idx="4">
                  <c:v>2017</c:v>
                </c:pt>
                <c:pt idx="5">
                  <c:v>2018</c:v>
                </c:pt>
                <c:pt idx="6">
                  <c:v>2019</c:v>
                </c:pt>
              </c:numCache>
            </c:numRef>
          </c:cat>
          <c:val>
            <c:numRef>
              <c:extLst>
                <c:ext xmlns:c15="http://schemas.microsoft.com/office/drawing/2012/chart" uri="{02D57815-91ED-43cb-92C2-25804820EDAC}">
                  <c15:fullRef>
                    <c15:sqref>'Données graphiques'!$L$211:$S$211</c15:sqref>
                  </c15:fullRef>
                </c:ext>
              </c:extLst>
              <c:f>'Données graphiques'!$L$211:$R$211</c:f>
              <c:numCache>
                <c:formatCode>_(* #,##0_);_(* \(#,##0\);_(* "-"??_);_(@_)</c:formatCode>
                <c:ptCount val="7"/>
                <c:pt idx="0">
                  <c:v>853.40789414701874</c:v>
                </c:pt>
                <c:pt idx="1">
                  <c:v>864.6615500423884</c:v>
                </c:pt>
                <c:pt idx="2">
                  <c:v>500.92189478532464</c:v>
                </c:pt>
                <c:pt idx="3">
                  <c:v>78.932401184445212</c:v>
                </c:pt>
                <c:pt idx="4">
                  <c:v>815.77088789117897</c:v>
                </c:pt>
                <c:pt idx="5">
                  <c:v>3137.9766517609332</c:v>
                </c:pt>
                <c:pt idx="6">
                  <c:v>2945.3154358854449</c:v>
                </c:pt>
              </c:numCache>
            </c:numRef>
          </c:val>
          <c:extLst>
            <c:ext xmlns:c16="http://schemas.microsoft.com/office/drawing/2014/chart" uri="{C3380CC4-5D6E-409C-BE32-E72D297353CC}">
              <c16:uniqueId val="{00000000-9529-45DE-9BF9-BFD6A9FBBFE7}"/>
            </c:ext>
          </c:extLst>
        </c:ser>
        <c:dLbls>
          <c:showLegendKey val="0"/>
          <c:showVal val="0"/>
          <c:showCatName val="0"/>
          <c:showSerName val="0"/>
          <c:showPercent val="0"/>
          <c:showBubbleSize val="0"/>
        </c:dLbls>
        <c:gapWidth val="150"/>
        <c:axId val="717201344"/>
        <c:axId val="717199048"/>
      </c:barChart>
      <c:lineChart>
        <c:grouping val="standard"/>
        <c:varyColors val="0"/>
        <c:ser>
          <c:idx val="2"/>
          <c:order val="1"/>
          <c:tx>
            <c:strRef>
              <c:f>'Données graphiques'!$D$214</c:f>
              <c:strCache>
                <c:ptCount val="1"/>
                <c:pt idx="0">
                  <c:v>Flux de trésorerie net</c:v>
                </c:pt>
              </c:strCache>
            </c:strRef>
          </c:tx>
          <c:spPr>
            <a:ln w="38100" cap="rnd">
              <a:solidFill>
                <a:schemeClr val="accent2"/>
              </a:solidFill>
              <a:round/>
            </a:ln>
            <a:effectLst/>
          </c:spPr>
          <c:marker>
            <c:symbol val="none"/>
          </c:marker>
          <c:cat>
            <c:numRef>
              <c:extLst>
                <c:ext xmlns:c15="http://schemas.microsoft.com/office/drawing/2012/chart" uri="{02D57815-91ED-43cb-92C2-25804820EDAC}">
                  <c15:fullRef>
                    <c15:sqref>'Données graphiques'!$L$207:$S$207</c15:sqref>
                  </c15:fullRef>
                </c:ext>
              </c:extLst>
              <c:f>'Données graphiques'!$L$207:$R$207</c:f>
              <c:numCache>
                <c:formatCode>General</c:formatCode>
                <c:ptCount val="7"/>
                <c:pt idx="0">
                  <c:v>2013</c:v>
                </c:pt>
                <c:pt idx="1">
                  <c:v>2014</c:v>
                </c:pt>
                <c:pt idx="2">
                  <c:v>2015</c:v>
                </c:pt>
                <c:pt idx="3">
                  <c:v>2016</c:v>
                </c:pt>
                <c:pt idx="4">
                  <c:v>2017</c:v>
                </c:pt>
                <c:pt idx="5">
                  <c:v>2018</c:v>
                </c:pt>
                <c:pt idx="6">
                  <c:v>2019</c:v>
                </c:pt>
              </c:numCache>
            </c:numRef>
          </c:cat>
          <c:val>
            <c:numRef>
              <c:extLst>
                <c:ext xmlns:c15="http://schemas.microsoft.com/office/drawing/2012/chart" uri="{02D57815-91ED-43cb-92C2-25804820EDAC}">
                  <c15:fullRef>
                    <c15:sqref>'Données graphiques'!$L$215:$S$215</c15:sqref>
                  </c15:fullRef>
                </c:ext>
              </c:extLst>
              <c:f>'Données graphiques'!$L$215:$R$215</c:f>
              <c:numCache>
                <c:formatCode>_(* #,##0_);_(* \(#,##0\);_(* "-"??_);_(@_)</c:formatCode>
                <c:ptCount val="7"/>
                <c:pt idx="0">
                  <c:v>-880.52410585298128</c:v>
                </c:pt>
                <c:pt idx="1">
                  <c:v>-1746.5124499576118</c:v>
                </c:pt>
                <c:pt idx="2">
                  <c:v>-2999.4601052146759</c:v>
                </c:pt>
                <c:pt idx="3">
                  <c:v>-2845.7255988155553</c:v>
                </c:pt>
                <c:pt idx="4">
                  <c:v>-766.932112108821</c:v>
                </c:pt>
                <c:pt idx="5">
                  <c:v>1882.6826517609327</c:v>
                </c:pt>
                <c:pt idx="6">
                  <c:v>2502.4334358854444</c:v>
                </c:pt>
              </c:numCache>
            </c:numRef>
          </c:val>
          <c:smooth val="0"/>
          <c:extLst>
            <c:ext xmlns:c16="http://schemas.microsoft.com/office/drawing/2014/chart" uri="{C3380CC4-5D6E-409C-BE32-E72D297353CC}">
              <c16:uniqueId val="{00000001-9529-45DE-9BF9-BFD6A9FBBFE7}"/>
            </c:ext>
          </c:extLst>
        </c:ser>
        <c:dLbls>
          <c:showLegendKey val="0"/>
          <c:showVal val="0"/>
          <c:showCatName val="0"/>
          <c:showSerName val="0"/>
          <c:showPercent val="0"/>
          <c:showBubbleSize val="0"/>
        </c:dLbls>
        <c:marker val="1"/>
        <c:smooth val="0"/>
        <c:axId val="717201344"/>
        <c:axId val="717199048"/>
      </c:lineChart>
      <c:catAx>
        <c:axId val="717201344"/>
        <c:scaling>
          <c:orientation val="minMax"/>
        </c:scaling>
        <c:delete val="0"/>
        <c:axPos val="b"/>
        <c:numFmt formatCode="General" sourceLinked="1"/>
        <c:majorTickMark val="none"/>
        <c:minorTickMark val="none"/>
        <c:tickLblPos val="nextTo"/>
        <c:spPr>
          <a:noFill/>
          <a:ln w="9525" cap="flat" cmpd="sng" algn="ctr">
            <a:solidFill>
              <a:schemeClr val="tx1">
                <a:lumMod val="15%"/>
                <a:lumOff val="85%"/>
              </a:schemeClr>
            </a:solidFill>
            <a:round/>
          </a:ln>
          <a:effectLst/>
        </c:spPr>
        <c:txPr>
          <a:bodyPr rot="-6000000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fr-FR"/>
          </a:p>
        </c:txPr>
        <c:crossAx val="717199048"/>
        <c:crosses val="autoZero"/>
        <c:auto val="1"/>
        <c:lblAlgn val="ctr"/>
        <c:lblOffset val="100"/>
        <c:noMultiLvlLbl val="0"/>
      </c:catAx>
      <c:valAx>
        <c:axId val="717199048"/>
        <c:scaling>
          <c:orientation val="minMax"/>
        </c:scaling>
        <c:delete val="0"/>
        <c:axPos val="l"/>
        <c:majorGridlines>
          <c:spPr>
            <a:ln w="9525" cap="flat" cmpd="sng" algn="ctr">
              <a:solidFill>
                <a:schemeClr val="tx1">
                  <a:lumMod val="15%"/>
                  <a:lumOff val="85%"/>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
                  </a:lnSpc>
                  <a:spcBef>
                    <a:spcPts val="0"/>
                  </a:spcBef>
                  <a:spcAft>
                    <a:spcPts val="0"/>
                  </a:spcAft>
                  <a:buClrTx/>
                  <a:buSzTx/>
                  <a:buFontTx/>
                  <a:buNone/>
                  <a:tabLst/>
                  <a:defRPr sz="1100" b="1" i="0" u="none" strike="noStrike" kern="1200" baseline="0%">
                    <a:solidFill>
                      <a:sysClr val="windowText" lastClr="000000">
                        <a:lumMod val="65%"/>
                        <a:lumOff val="35%"/>
                      </a:sysClr>
                    </a:solidFill>
                    <a:latin typeface="+mn-lt"/>
                    <a:ea typeface="+mn-ea"/>
                    <a:cs typeface="+mn-cs"/>
                  </a:defRPr>
                </a:pPr>
                <a:r>
                  <a:rPr lang="en-US" sz="1100" b="1" i="0">
                    <a:effectLst/>
                  </a:rPr>
                  <a:t>Millions de USD</a:t>
                </a:r>
              </a:p>
            </c:rich>
          </c:tx>
          <c:layout>
            <c:manualLayout>
              <c:xMode val="edge"/>
              <c:yMode val="edge"/>
              <c:x val="3.888888888888889E-2"/>
              <c:y val="0.42315470982793812"/>
            </c:manualLayout>
          </c:layout>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
                </a:lnSpc>
                <a:spcBef>
                  <a:spcPts val="0"/>
                </a:spcBef>
                <a:spcAft>
                  <a:spcPts val="0"/>
                </a:spcAft>
                <a:buClrTx/>
                <a:buSzTx/>
                <a:buFontTx/>
                <a:buNone/>
                <a:tabLst/>
                <a:defRPr sz="1100" b="1" i="0" u="none" strike="noStrike" kern="1200" baseline="0%">
                  <a:solidFill>
                    <a:sysClr val="windowText" lastClr="000000">
                      <a:lumMod val="65%"/>
                      <a:lumOff val="35%"/>
                    </a:sysClr>
                  </a:solidFill>
                  <a:latin typeface="+mn-lt"/>
                  <a:ea typeface="+mn-ea"/>
                  <a:cs typeface="+mn-cs"/>
                </a:defRPr>
              </a:pPr>
              <a:endParaRPr lang="fr-FR"/>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fr-FR"/>
          </a:p>
        </c:txPr>
        <c:crossAx val="717201344"/>
        <c:crosses val="autoZero"/>
        <c:crossBetween val="between"/>
        <c:majorUnit val="2000"/>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
                  <a:lumOff val="35%"/>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purl.oclc.org/ooxml/drawingml/chart" xmlns:a="http://purl.oclc.org/ooxml/drawingml/main" xmlns:r="http://purl.oclc.org/ooxml/officeDocument/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[0]!title_chart15</c:f>
          <c:strCache>
            <c:ptCount val="1"/>
            <c:pt idx="0">
              <c:v>Part du Gouv. dans les revenus du SPO Résultats déclarés</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
                  <a:lumOff val="35%"/>
                </a:schemeClr>
              </a:solidFill>
              <a:latin typeface="+mn-lt"/>
              <a:ea typeface="+mn-ea"/>
              <a:cs typeface="+mn-cs"/>
            </a:defRPr>
          </a:pPr>
          <a:endParaRPr lang="fr-FR"/>
        </a:p>
      </c:txPr>
    </c:title>
    <c:autoTitleDeleted val="0"/>
    <c:plotArea>
      <c:layout>
        <c:manualLayout>
          <c:layoutTarget val="inner"/>
          <c:xMode val="edge"/>
          <c:yMode val="edge"/>
          <c:x val="0.11185972586759989"/>
          <c:y val="0.14225308641975309"/>
          <c:w val="0.86776990376202956"/>
          <c:h val="0.71554510547292705"/>
        </c:manualLayout>
      </c:layout>
      <c:barChart>
        <c:barDir val="col"/>
        <c:grouping val="stacked"/>
        <c:varyColors val="0"/>
        <c:ser>
          <c:idx val="0"/>
          <c:order val="0"/>
          <c:tx>
            <c:strRef>
              <c:f>'Données graphiques'!$D$221</c:f>
              <c:strCache>
                <c:ptCount val="1"/>
                <c:pt idx="0">
                  <c:v>Nkossa</c:v>
                </c:pt>
              </c:strCache>
            </c:strRef>
          </c:tx>
          <c:spPr>
            <a:solidFill>
              <a:schemeClr val="accent1"/>
            </a:solidFill>
            <a:ln>
              <a:noFill/>
            </a:ln>
            <a:effectLst/>
          </c:spPr>
          <c:invertIfNegative val="0"/>
          <c:cat>
            <c:numRef>
              <c:extLst>
                <c:ext xmlns:c15="http://schemas.microsoft.com/office/drawing/2012/chart" uri="{02D57815-91ED-43cb-92C2-25804820EDAC}">
                  <c15:fullRef>
                    <c15:sqref>'Données graphiques'!$L$220:$S$220</c15:sqref>
                  </c15:fullRef>
                </c:ext>
              </c:extLst>
              <c:f>'Données graphiques'!$L$220:$R$220</c:f>
              <c:numCache>
                <c:formatCode>General</c:formatCode>
                <c:ptCount val="7"/>
                <c:pt idx="0">
                  <c:v>2013</c:v>
                </c:pt>
                <c:pt idx="1">
                  <c:v>2014</c:v>
                </c:pt>
                <c:pt idx="2">
                  <c:v>2015</c:v>
                </c:pt>
                <c:pt idx="3">
                  <c:v>2016</c:v>
                </c:pt>
                <c:pt idx="4">
                  <c:v>2017</c:v>
                </c:pt>
                <c:pt idx="5">
                  <c:v>2018</c:v>
                </c:pt>
                <c:pt idx="6">
                  <c:v>2019</c:v>
                </c:pt>
              </c:numCache>
            </c:numRef>
          </c:cat>
          <c:val>
            <c:numRef>
              <c:extLst>
                <c:ext xmlns:c15="http://schemas.microsoft.com/office/drawing/2012/chart" uri="{02D57815-91ED-43cb-92C2-25804820EDAC}">
                  <c15:fullRef>
                    <c15:sqref>'Données graphiques'!$L$221:$S$221</c15:sqref>
                  </c15:fullRef>
                </c:ext>
              </c:extLst>
              <c:f>'Données graphiques'!$L$221:$R$221</c:f>
              <c:numCache>
                <c:formatCode>_(* #,##0_);_(* \(#,##0\);_(* "-"??_);_(@_)</c:formatCode>
                <c:ptCount val="7"/>
                <c:pt idx="0">
                  <c:v>452.22112767776127</c:v>
                </c:pt>
                <c:pt idx="1">
                  <c:v>420.50888183781211</c:v>
                </c:pt>
                <c:pt idx="2">
                  <c:v>93.311941198710997</c:v>
                </c:pt>
                <c:pt idx="3">
                  <c:v>49.919363850933728</c:v>
                </c:pt>
                <c:pt idx="4">
                  <c:v>0</c:v>
                </c:pt>
                <c:pt idx="5">
                  <c:v>12.120860632115837</c:v>
                </c:pt>
                <c:pt idx="6">
                  <c:v>0.19049247760407986</c:v>
                </c:pt>
              </c:numCache>
            </c:numRef>
          </c:val>
          <c:extLst>
            <c:ext xmlns:c16="http://schemas.microsoft.com/office/drawing/2014/chart" uri="{C3380CC4-5D6E-409C-BE32-E72D297353CC}">
              <c16:uniqueId val="{00000000-5789-47BB-9BC7-59284CC10108}"/>
            </c:ext>
          </c:extLst>
        </c:ser>
        <c:ser>
          <c:idx val="1"/>
          <c:order val="1"/>
          <c:tx>
            <c:strRef>
              <c:f>'Données graphiques'!$D$222</c:f>
              <c:strCache>
                <c:ptCount val="1"/>
                <c:pt idx="0">
                  <c:v>Nsoko</c:v>
                </c:pt>
              </c:strCache>
            </c:strRef>
          </c:tx>
          <c:spPr>
            <a:solidFill>
              <a:schemeClr val="accent2"/>
            </a:solidFill>
            <a:ln>
              <a:noFill/>
            </a:ln>
            <a:effectLst/>
          </c:spPr>
          <c:invertIfNegative val="0"/>
          <c:cat>
            <c:numRef>
              <c:extLst>
                <c:ext xmlns:c15="http://schemas.microsoft.com/office/drawing/2012/chart" uri="{02D57815-91ED-43cb-92C2-25804820EDAC}">
                  <c15:fullRef>
                    <c15:sqref>'Données graphiques'!$L$220:$S$220</c15:sqref>
                  </c15:fullRef>
                </c:ext>
              </c:extLst>
              <c:f>'Données graphiques'!$L$220:$R$220</c:f>
              <c:numCache>
                <c:formatCode>General</c:formatCode>
                <c:ptCount val="7"/>
                <c:pt idx="0">
                  <c:v>2013</c:v>
                </c:pt>
                <c:pt idx="1">
                  <c:v>2014</c:v>
                </c:pt>
                <c:pt idx="2">
                  <c:v>2015</c:v>
                </c:pt>
                <c:pt idx="3">
                  <c:v>2016</c:v>
                </c:pt>
                <c:pt idx="4">
                  <c:v>2017</c:v>
                </c:pt>
                <c:pt idx="5">
                  <c:v>2018</c:v>
                </c:pt>
                <c:pt idx="6">
                  <c:v>2019</c:v>
                </c:pt>
              </c:numCache>
            </c:numRef>
          </c:cat>
          <c:val>
            <c:numRef>
              <c:extLst>
                <c:ext xmlns:c15="http://schemas.microsoft.com/office/drawing/2012/chart" uri="{02D57815-91ED-43cb-92C2-25804820EDAC}">
                  <c15:fullRef>
                    <c15:sqref>'Données graphiques'!$L$222:$S$222</c15:sqref>
                  </c15:fullRef>
                </c:ext>
              </c:extLst>
              <c:f>'Données graphiques'!$L$222:$R$222</c:f>
              <c:numCache>
                <c:formatCode>_(* #,##0_);_(* \(#,##0\);_(* "-"??_);_(@_)</c:formatCode>
                <c:ptCount val="7"/>
                <c:pt idx="0">
                  <c:v>53.135785398615027</c:v>
                </c:pt>
                <c:pt idx="1">
                  <c:v>31.399728314015022</c:v>
                </c:pt>
                <c:pt idx="2">
                  <c:v>12.109650871427165</c:v>
                </c:pt>
                <c:pt idx="3">
                  <c:v>6.0210674194926508</c:v>
                </c:pt>
                <c:pt idx="4">
                  <c:v>10.338094635236846</c:v>
                </c:pt>
                <c:pt idx="5">
                  <c:v>15.585240066648542</c:v>
                </c:pt>
                <c:pt idx="6">
                  <c:v>2.9919595827461873</c:v>
                </c:pt>
              </c:numCache>
            </c:numRef>
          </c:val>
          <c:extLst>
            <c:ext xmlns:c16="http://schemas.microsoft.com/office/drawing/2014/chart" uri="{C3380CC4-5D6E-409C-BE32-E72D297353CC}">
              <c16:uniqueId val="{00000001-5789-47BB-9BC7-59284CC10108}"/>
            </c:ext>
          </c:extLst>
        </c:ser>
        <c:ser>
          <c:idx val="2"/>
          <c:order val="2"/>
          <c:tx>
            <c:strRef>
              <c:f>'Données graphiques'!$D$223</c:f>
              <c:strCache>
                <c:ptCount val="1"/>
                <c:pt idx="0">
                  <c:v>Moho</c:v>
                </c:pt>
              </c:strCache>
            </c:strRef>
          </c:tx>
          <c:spPr>
            <a:solidFill>
              <a:schemeClr val="accent3"/>
            </a:solidFill>
            <a:ln>
              <a:noFill/>
            </a:ln>
            <a:effectLst/>
          </c:spPr>
          <c:invertIfNegative val="0"/>
          <c:cat>
            <c:numRef>
              <c:extLst>
                <c:ext xmlns:c15="http://schemas.microsoft.com/office/drawing/2012/chart" uri="{02D57815-91ED-43cb-92C2-25804820EDAC}">
                  <c15:fullRef>
                    <c15:sqref>'Données graphiques'!$L$220:$S$220</c15:sqref>
                  </c15:fullRef>
                </c:ext>
              </c:extLst>
              <c:f>'Données graphiques'!$L$220:$R$220</c:f>
              <c:numCache>
                <c:formatCode>General</c:formatCode>
                <c:ptCount val="7"/>
                <c:pt idx="0">
                  <c:v>2013</c:v>
                </c:pt>
                <c:pt idx="1">
                  <c:v>2014</c:v>
                </c:pt>
                <c:pt idx="2">
                  <c:v>2015</c:v>
                </c:pt>
                <c:pt idx="3">
                  <c:v>2016</c:v>
                </c:pt>
                <c:pt idx="4">
                  <c:v>2017</c:v>
                </c:pt>
                <c:pt idx="5">
                  <c:v>2018</c:v>
                </c:pt>
                <c:pt idx="6">
                  <c:v>2019</c:v>
                </c:pt>
              </c:numCache>
            </c:numRef>
          </c:cat>
          <c:val>
            <c:numRef>
              <c:extLst>
                <c:ext xmlns:c15="http://schemas.microsoft.com/office/drawing/2012/chart" uri="{02D57815-91ED-43cb-92C2-25804820EDAC}">
                  <c15:fullRef>
                    <c15:sqref>'Données graphiques'!$L$223:$S$223</c15:sqref>
                  </c15:fullRef>
                </c:ext>
              </c:extLst>
              <c:f>'Données graphiques'!$L$223:$R$223</c:f>
              <c:numCache>
                <c:formatCode>_(* #,##0_);_(* \(#,##0\);_(* "-"??_);_(@_)</c:formatCode>
                <c:ptCount val="7"/>
                <c:pt idx="0">
                  <c:v>778.34405180643921</c:v>
                </c:pt>
                <c:pt idx="1">
                  <c:v>692.26235690257909</c:v>
                </c:pt>
                <c:pt idx="2">
                  <c:v>0</c:v>
                </c:pt>
                <c:pt idx="3">
                  <c:v>0</c:v>
                </c:pt>
                <c:pt idx="4">
                  <c:v>0</c:v>
                </c:pt>
                <c:pt idx="5">
                  <c:v>0</c:v>
                </c:pt>
                <c:pt idx="6">
                  <c:v>0</c:v>
                </c:pt>
              </c:numCache>
            </c:numRef>
          </c:val>
          <c:extLst>
            <c:ext xmlns:c16="http://schemas.microsoft.com/office/drawing/2014/chart" uri="{C3380CC4-5D6E-409C-BE32-E72D297353CC}">
              <c16:uniqueId val="{00000002-5789-47BB-9BC7-59284CC10108}"/>
            </c:ext>
          </c:extLst>
        </c:ser>
        <c:ser>
          <c:idx val="3"/>
          <c:order val="3"/>
          <c:tx>
            <c:strRef>
              <c:f>'Données graphiques'!$D$224</c:f>
              <c:strCache>
                <c:ptCount val="1"/>
                <c:pt idx="0">
                  <c:v>KLL</c:v>
                </c:pt>
              </c:strCache>
            </c:strRef>
          </c:tx>
          <c:spPr>
            <a:solidFill>
              <a:schemeClr val="accent4"/>
            </a:solidFill>
            <a:ln>
              <a:noFill/>
            </a:ln>
            <a:effectLst/>
          </c:spPr>
          <c:invertIfNegative val="0"/>
          <c:cat>
            <c:numRef>
              <c:extLst>
                <c:ext xmlns:c15="http://schemas.microsoft.com/office/drawing/2012/chart" uri="{02D57815-91ED-43cb-92C2-25804820EDAC}">
                  <c15:fullRef>
                    <c15:sqref>'Données graphiques'!$L$220:$S$220</c15:sqref>
                  </c15:fullRef>
                </c:ext>
              </c:extLst>
              <c:f>'Données graphiques'!$L$220:$R$220</c:f>
              <c:numCache>
                <c:formatCode>General</c:formatCode>
                <c:ptCount val="7"/>
                <c:pt idx="0">
                  <c:v>2013</c:v>
                </c:pt>
                <c:pt idx="1">
                  <c:v>2014</c:v>
                </c:pt>
                <c:pt idx="2">
                  <c:v>2015</c:v>
                </c:pt>
                <c:pt idx="3">
                  <c:v>2016</c:v>
                </c:pt>
                <c:pt idx="4">
                  <c:v>2017</c:v>
                </c:pt>
                <c:pt idx="5">
                  <c:v>2018</c:v>
                </c:pt>
                <c:pt idx="6">
                  <c:v>2019</c:v>
                </c:pt>
              </c:numCache>
            </c:numRef>
          </c:cat>
          <c:val>
            <c:numRef>
              <c:extLst>
                <c:ext xmlns:c15="http://schemas.microsoft.com/office/drawing/2012/chart" uri="{02D57815-91ED-43cb-92C2-25804820EDAC}">
                  <c15:fullRef>
                    <c15:sqref>'Données graphiques'!$L$224:$S$224</c15:sqref>
                  </c15:fullRef>
                </c:ext>
              </c:extLst>
              <c:f>'Données graphiques'!$L$224:$R$224</c:f>
              <c:numCache>
                <c:formatCode>_(* #,##0_);_(* \(#,##0\);_(* "-"??_);_(@_)</c:formatCode>
                <c:ptCount val="7"/>
                <c:pt idx="0">
                  <c:v>217.3889275219712</c:v>
                </c:pt>
                <c:pt idx="1">
                  <c:v>194.80727571468745</c:v>
                </c:pt>
                <c:pt idx="2">
                  <c:v>39.187175391837748</c:v>
                </c:pt>
                <c:pt idx="3">
                  <c:v>13.127730914421749</c:v>
                </c:pt>
                <c:pt idx="4">
                  <c:v>45.476558872560858</c:v>
                </c:pt>
                <c:pt idx="5">
                  <c:v>101.7923454955461</c:v>
                </c:pt>
                <c:pt idx="6">
                  <c:v>86.710625794179222</c:v>
                </c:pt>
              </c:numCache>
            </c:numRef>
          </c:val>
          <c:extLst>
            <c:ext xmlns:c16="http://schemas.microsoft.com/office/drawing/2014/chart" uri="{C3380CC4-5D6E-409C-BE32-E72D297353CC}">
              <c16:uniqueId val="{00000003-5789-47BB-9BC7-59284CC10108}"/>
            </c:ext>
          </c:extLst>
        </c:ser>
        <c:dLbls>
          <c:showLegendKey val="0"/>
          <c:showVal val="0"/>
          <c:showCatName val="0"/>
          <c:showSerName val="0"/>
          <c:showPercent val="0"/>
          <c:showBubbleSize val="0"/>
        </c:dLbls>
        <c:gapWidth val="150"/>
        <c:overlap val="100"/>
        <c:axId val="667638192"/>
        <c:axId val="667640816"/>
      </c:barChart>
      <c:catAx>
        <c:axId val="667638192"/>
        <c:scaling>
          <c:orientation val="minMax"/>
        </c:scaling>
        <c:delete val="0"/>
        <c:axPos val="b"/>
        <c:numFmt formatCode="General" sourceLinked="1"/>
        <c:majorTickMark val="none"/>
        <c:minorTickMark val="none"/>
        <c:tickLblPos val="nextTo"/>
        <c:spPr>
          <a:noFill/>
          <a:ln w="9525" cap="flat" cmpd="sng" algn="ctr">
            <a:solidFill>
              <a:schemeClr val="tx1">
                <a:lumMod val="15%"/>
                <a:lumOff val="85%"/>
              </a:schemeClr>
            </a:solidFill>
            <a:round/>
          </a:ln>
          <a:effectLst/>
        </c:spPr>
        <c:txPr>
          <a:bodyPr rot="-6000000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fr-FR"/>
          </a:p>
        </c:txPr>
        <c:crossAx val="667640816"/>
        <c:crosses val="autoZero"/>
        <c:auto val="1"/>
        <c:lblAlgn val="ctr"/>
        <c:lblOffset val="100"/>
        <c:noMultiLvlLbl val="0"/>
      </c:catAx>
      <c:valAx>
        <c:axId val="667640816"/>
        <c:scaling>
          <c:orientation val="minMax"/>
        </c:scaling>
        <c:delete val="0"/>
        <c:axPos val="l"/>
        <c:majorGridlines>
          <c:spPr>
            <a:ln w="9525" cap="flat" cmpd="sng" algn="ctr">
              <a:solidFill>
                <a:schemeClr val="tx1">
                  <a:lumMod val="15%"/>
                  <a:lumOff val="85%"/>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
                        <a:lumOff val="35%"/>
                      </a:schemeClr>
                    </a:solidFill>
                    <a:latin typeface="+mn-lt"/>
                    <a:ea typeface="+mn-ea"/>
                    <a:cs typeface="+mn-cs"/>
                  </a:defRPr>
                </a:pPr>
                <a:r>
                  <a:rPr lang="en-US" sz="1100" b="1"/>
                  <a:t>Millions USD</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
                      <a:lumOff val="35%"/>
                    </a:schemeClr>
                  </a:solidFill>
                  <a:latin typeface="+mn-lt"/>
                  <a:ea typeface="+mn-ea"/>
                  <a:cs typeface="+mn-cs"/>
                </a:defRPr>
              </a:pPr>
              <a:endParaRPr lang="fr-FR"/>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fr-FR"/>
          </a:p>
        </c:txPr>
        <c:crossAx val="667638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
                  <a:lumOff val="35%"/>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purl.oclc.org/ooxml/drawingml/chart" xmlns:a="http://purl.oclc.org/ooxml/drawingml/main" xmlns:r="http://purl.oclc.org/ooxml/officeDocument/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[0]!title_chart16</c:f>
          <c:strCache>
            <c:ptCount val="1"/>
            <c:pt idx="0">
              <c:v>Prix Haut vs. Prix Fixé Résultats déclarés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
                  <a:lumOff val="35%"/>
                </a:schemeClr>
              </a:solidFill>
              <a:latin typeface="+mn-lt"/>
              <a:ea typeface="+mn-ea"/>
              <a:cs typeface="+mn-cs"/>
            </a:defRPr>
          </a:pPr>
          <a:endParaRPr lang="fr-FR"/>
        </a:p>
      </c:txPr>
    </c:title>
    <c:autoTitleDeleted val="0"/>
    <c:plotArea>
      <c:layout>
        <c:manualLayout>
          <c:layoutTarget val="inner"/>
          <c:xMode val="edge"/>
          <c:yMode val="edge"/>
          <c:x val="0.10110965296004666"/>
          <c:y val="0.16694444444444448"/>
          <c:w val="0.87851997666958292"/>
          <c:h val="0.63400019442014177"/>
        </c:manualLayout>
      </c:layout>
      <c:lineChart>
        <c:grouping val="standard"/>
        <c:varyColors val="0"/>
        <c:ser>
          <c:idx val="0"/>
          <c:order val="0"/>
          <c:tx>
            <c:strRef>
              <c:f>'Données graphiques'!$D$230</c:f>
              <c:strCache>
                <c:ptCount val="1"/>
                <c:pt idx="0">
                  <c:v>Prix fixé</c:v>
                </c:pt>
              </c:strCache>
            </c:strRef>
          </c:tx>
          <c:spPr>
            <a:ln w="38100" cap="rnd">
              <a:solidFill>
                <a:schemeClr val="tx1"/>
              </a:solidFill>
              <a:prstDash val="dash"/>
              <a:round/>
            </a:ln>
            <a:effectLst/>
          </c:spPr>
          <c:marker>
            <c:symbol val="none"/>
          </c:marker>
          <c:cat>
            <c:numRef>
              <c:extLst>
                <c:ext xmlns:c15="http://schemas.microsoft.com/office/drawing/2012/chart" uri="{02D57815-91ED-43cb-92C2-25804820EDAC}">
                  <c15:fullRef>
                    <c15:sqref>'Données graphiques'!$L$229:$S$229</c15:sqref>
                  </c15:fullRef>
                </c:ext>
              </c:extLst>
              <c:f>'Données graphiques'!$L$229:$R$229</c:f>
              <c:numCache>
                <c:formatCode>General</c:formatCode>
                <c:ptCount val="7"/>
                <c:pt idx="0">
                  <c:v>2013</c:v>
                </c:pt>
                <c:pt idx="1">
                  <c:v>2014</c:v>
                </c:pt>
                <c:pt idx="2">
                  <c:v>2015</c:v>
                </c:pt>
                <c:pt idx="3">
                  <c:v>2016</c:v>
                </c:pt>
                <c:pt idx="4">
                  <c:v>2017</c:v>
                </c:pt>
                <c:pt idx="5">
                  <c:v>2018</c:v>
                </c:pt>
                <c:pt idx="6">
                  <c:v>2019</c:v>
                </c:pt>
              </c:numCache>
            </c:numRef>
          </c:cat>
          <c:val>
            <c:numRef>
              <c:extLst>
                <c:ext xmlns:c15="http://schemas.microsoft.com/office/drawing/2012/chart" uri="{02D57815-91ED-43cb-92C2-25804820EDAC}">
                  <c15:fullRef>
                    <c15:sqref>'Données graphiques'!$L$230:$S$230</c15:sqref>
                  </c15:fullRef>
                </c:ext>
              </c:extLst>
              <c:f>'Données graphiques'!$L$230:$R$230</c:f>
              <c:numCache>
                <c:formatCode>_(* #,##0_);_(* \(#,##0\);_(* "-"??_);_(@_)</c:formatCode>
                <c:ptCount val="7"/>
                <c:pt idx="0">
                  <c:v>105.7474522914833</c:v>
                </c:pt>
                <c:pt idx="1">
                  <c:v>94.490602143210737</c:v>
                </c:pt>
                <c:pt idx="2">
                  <c:v>47.847421826767324</c:v>
                </c:pt>
                <c:pt idx="3">
                  <c:v>40.914760876827444</c:v>
                </c:pt>
                <c:pt idx="4">
                  <c:v>52.06999317300108</c:v>
                </c:pt>
                <c:pt idx="5">
                  <c:v>68.46179192045004</c:v>
                </c:pt>
                <c:pt idx="6">
                  <c:v>61.518309773265528</c:v>
                </c:pt>
              </c:numCache>
            </c:numRef>
          </c:val>
          <c:smooth val="0"/>
          <c:extLst>
            <c:ext xmlns:c16="http://schemas.microsoft.com/office/drawing/2014/chart" uri="{C3380CC4-5D6E-409C-BE32-E72D297353CC}">
              <c16:uniqueId val="{00000000-7087-4350-A1B1-A84036ADB889}"/>
            </c:ext>
          </c:extLst>
        </c:ser>
        <c:ser>
          <c:idx val="1"/>
          <c:order val="1"/>
          <c:tx>
            <c:strRef>
              <c:f>'Données graphiques'!$D$231</c:f>
              <c:strCache>
                <c:ptCount val="1"/>
                <c:pt idx="0">
                  <c:v>Nkossa - PH</c:v>
                </c:pt>
              </c:strCache>
            </c:strRef>
          </c:tx>
          <c:spPr>
            <a:ln w="38100" cap="rnd">
              <a:solidFill>
                <a:schemeClr val="accent1"/>
              </a:solidFill>
              <a:round/>
            </a:ln>
            <a:effectLst/>
          </c:spPr>
          <c:marker>
            <c:symbol val="none"/>
          </c:marker>
          <c:cat>
            <c:numRef>
              <c:extLst>
                <c:ext xmlns:c15="http://schemas.microsoft.com/office/drawing/2012/chart" uri="{02D57815-91ED-43cb-92C2-25804820EDAC}">
                  <c15:fullRef>
                    <c15:sqref>'Données graphiques'!$L$229:$S$229</c15:sqref>
                  </c15:fullRef>
                </c:ext>
              </c:extLst>
              <c:f>'Données graphiques'!$L$229:$R$229</c:f>
              <c:numCache>
                <c:formatCode>General</c:formatCode>
                <c:ptCount val="7"/>
                <c:pt idx="0">
                  <c:v>2013</c:v>
                </c:pt>
                <c:pt idx="1">
                  <c:v>2014</c:v>
                </c:pt>
                <c:pt idx="2">
                  <c:v>2015</c:v>
                </c:pt>
                <c:pt idx="3">
                  <c:v>2016</c:v>
                </c:pt>
                <c:pt idx="4">
                  <c:v>2017</c:v>
                </c:pt>
                <c:pt idx="5">
                  <c:v>2018</c:v>
                </c:pt>
                <c:pt idx="6">
                  <c:v>2019</c:v>
                </c:pt>
              </c:numCache>
            </c:numRef>
          </c:cat>
          <c:val>
            <c:numRef>
              <c:extLst>
                <c:ext xmlns:c15="http://schemas.microsoft.com/office/drawing/2012/chart" uri="{02D57815-91ED-43cb-92C2-25804820EDAC}">
                  <c15:fullRef>
                    <c15:sqref>'Données graphiques'!$L$231:$S$231</c15:sqref>
                  </c15:fullRef>
                </c:ext>
              </c:extLst>
              <c:f>'Données graphiques'!$L$231:$R$231</c:f>
              <c:numCache>
                <c:formatCode>_(* #,##0_);_(* \(#,##0\);_(* "-"??_);_(@_)</c:formatCode>
                <c:ptCount val="7"/>
                <c:pt idx="0">
                  <c:v>32.270000000000003</c:v>
                </c:pt>
                <c:pt idx="1">
                  <c:v>32.519750000000002</c:v>
                </c:pt>
                <c:pt idx="2">
                  <c:v>32.923999999999999</c:v>
                </c:pt>
                <c:pt idx="3">
                  <c:v>33.427250000000001</c:v>
                </c:pt>
                <c:pt idx="4">
                  <c:v>66.422750000000008</c:v>
                </c:pt>
                <c:pt idx="5">
                  <c:v>68.897500000000008</c:v>
                </c:pt>
                <c:pt idx="6">
                  <c:v>69.747250000000008</c:v>
                </c:pt>
              </c:numCache>
            </c:numRef>
          </c:val>
          <c:smooth val="0"/>
          <c:extLst>
            <c:ext xmlns:c16="http://schemas.microsoft.com/office/drawing/2014/chart" uri="{C3380CC4-5D6E-409C-BE32-E72D297353CC}">
              <c16:uniqueId val="{00000001-7087-4350-A1B1-A84036ADB889}"/>
            </c:ext>
          </c:extLst>
        </c:ser>
        <c:ser>
          <c:idx val="2"/>
          <c:order val="2"/>
          <c:tx>
            <c:strRef>
              <c:f>'Données graphiques'!$D$232</c:f>
              <c:strCache>
                <c:ptCount val="1"/>
                <c:pt idx="0">
                  <c:v>Nsoko - PH</c:v>
                </c:pt>
              </c:strCache>
            </c:strRef>
          </c:tx>
          <c:spPr>
            <a:ln w="38100" cap="rnd">
              <a:solidFill>
                <a:schemeClr val="accent2"/>
              </a:solidFill>
              <a:round/>
            </a:ln>
            <a:effectLst/>
          </c:spPr>
          <c:marker>
            <c:symbol val="none"/>
          </c:marker>
          <c:cat>
            <c:numRef>
              <c:extLst>
                <c:ext xmlns:c15="http://schemas.microsoft.com/office/drawing/2012/chart" uri="{02D57815-91ED-43cb-92C2-25804820EDAC}">
                  <c15:fullRef>
                    <c15:sqref>'Données graphiques'!$L$229:$S$229</c15:sqref>
                  </c15:fullRef>
                </c:ext>
              </c:extLst>
              <c:f>'Données graphiques'!$L$229:$R$229</c:f>
              <c:numCache>
                <c:formatCode>General</c:formatCode>
                <c:ptCount val="7"/>
                <c:pt idx="0">
                  <c:v>2013</c:v>
                </c:pt>
                <c:pt idx="1">
                  <c:v>2014</c:v>
                </c:pt>
                <c:pt idx="2">
                  <c:v>2015</c:v>
                </c:pt>
                <c:pt idx="3">
                  <c:v>2016</c:v>
                </c:pt>
                <c:pt idx="4">
                  <c:v>2017</c:v>
                </c:pt>
                <c:pt idx="5">
                  <c:v>2018</c:v>
                </c:pt>
                <c:pt idx="6">
                  <c:v>2019</c:v>
                </c:pt>
              </c:numCache>
            </c:numRef>
          </c:cat>
          <c:val>
            <c:numRef>
              <c:extLst>
                <c:ext xmlns:c15="http://schemas.microsoft.com/office/drawing/2012/chart" uri="{02D57815-91ED-43cb-92C2-25804820EDAC}">
                  <c15:fullRef>
                    <c15:sqref>'Données graphiques'!$L$232:$S$232</c15:sqref>
                  </c15:fullRef>
                </c:ext>
              </c:extLst>
              <c:f>'Données graphiques'!$L$232:$R$232</c:f>
              <c:numCache>
                <c:formatCode>_(* #,##0_);_(* \(#,##0\);_(* "-"??_);_(@_)</c:formatCode>
                <c:ptCount val="7"/>
                <c:pt idx="0">
                  <c:v>29.870249999999999</c:v>
                </c:pt>
                <c:pt idx="1">
                  <c:v>30.137</c:v>
                </c:pt>
                <c:pt idx="2">
                  <c:v>30.511749999999999</c:v>
                </c:pt>
                <c:pt idx="3">
                  <c:v>30.977999999999998</c:v>
                </c:pt>
                <c:pt idx="4">
                  <c:v>31.553000000000001</c:v>
                </c:pt>
                <c:pt idx="5">
                  <c:v>32.152000000000001</c:v>
                </c:pt>
                <c:pt idx="6">
                  <c:v>41.183999999999997</c:v>
                </c:pt>
              </c:numCache>
            </c:numRef>
          </c:val>
          <c:smooth val="0"/>
          <c:extLst>
            <c:ext xmlns:c16="http://schemas.microsoft.com/office/drawing/2014/chart" uri="{C3380CC4-5D6E-409C-BE32-E72D297353CC}">
              <c16:uniqueId val="{00000002-7087-4350-A1B1-A84036ADB889}"/>
            </c:ext>
          </c:extLst>
        </c:ser>
        <c:ser>
          <c:idx val="3"/>
          <c:order val="3"/>
          <c:tx>
            <c:strRef>
              <c:f>'Données graphiques'!$D$233</c:f>
              <c:strCache>
                <c:ptCount val="1"/>
                <c:pt idx="0">
                  <c:v>Moho - PH</c:v>
                </c:pt>
              </c:strCache>
            </c:strRef>
          </c:tx>
          <c:spPr>
            <a:ln w="38100" cap="rnd">
              <a:solidFill>
                <a:schemeClr val="accent3"/>
              </a:solidFill>
              <a:round/>
            </a:ln>
            <a:effectLst/>
          </c:spPr>
          <c:marker>
            <c:symbol val="none"/>
          </c:marker>
          <c:cat>
            <c:numRef>
              <c:extLst>
                <c:ext xmlns:c15="http://schemas.microsoft.com/office/drawing/2012/chart" uri="{02D57815-91ED-43cb-92C2-25804820EDAC}">
                  <c15:fullRef>
                    <c15:sqref>'Données graphiques'!$L$229:$S$229</c15:sqref>
                  </c15:fullRef>
                </c:ext>
              </c:extLst>
              <c:f>'Données graphiques'!$L$229:$R$229</c:f>
              <c:numCache>
                <c:formatCode>General</c:formatCode>
                <c:ptCount val="7"/>
                <c:pt idx="0">
                  <c:v>2013</c:v>
                </c:pt>
                <c:pt idx="1">
                  <c:v>2014</c:v>
                </c:pt>
                <c:pt idx="2">
                  <c:v>2015</c:v>
                </c:pt>
                <c:pt idx="3">
                  <c:v>2016</c:v>
                </c:pt>
                <c:pt idx="4">
                  <c:v>2017</c:v>
                </c:pt>
                <c:pt idx="5">
                  <c:v>2018</c:v>
                </c:pt>
                <c:pt idx="6">
                  <c:v>2019</c:v>
                </c:pt>
              </c:numCache>
            </c:numRef>
          </c:cat>
          <c:val>
            <c:numRef>
              <c:extLst>
                <c:ext xmlns:c15="http://schemas.microsoft.com/office/drawing/2012/chart" uri="{02D57815-91ED-43cb-92C2-25804820EDAC}">
                  <c15:fullRef>
                    <c15:sqref>'Données graphiques'!$L$233:$S$233</c15:sqref>
                  </c15:fullRef>
                </c:ext>
              </c:extLst>
              <c:f>'Données graphiques'!$L$233:$R$233</c:f>
              <c:numCache>
                <c:formatCode>_(* #,##0_);_(* \(#,##0\);_(* "-"??_);_(@_)</c:formatCode>
                <c:ptCount val="7"/>
                <c:pt idx="0">
                  <c:v>27.028749999999999</c:v>
                </c:pt>
                <c:pt idx="1">
                  <c:v>27.382999999999999</c:v>
                </c:pt>
                <c:pt idx="2">
                  <c:v>27.72325</c:v>
                </c:pt>
                <c:pt idx="3">
                  <c:v>28.14725</c:v>
                </c:pt>
                <c:pt idx="4">
                  <c:v>97.840500000000006</c:v>
                </c:pt>
                <c:pt idx="5">
                  <c:v>100.089</c:v>
                </c:pt>
                <c:pt idx="6">
                  <c:v>101.9695</c:v>
                </c:pt>
              </c:numCache>
            </c:numRef>
          </c:val>
          <c:smooth val="0"/>
          <c:extLst>
            <c:ext xmlns:c16="http://schemas.microsoft.com/office/drawing/2014/chart" uri="{C3380CC4-5D6E-409C-BE32-E72D297353CC}">
              <c16:uniqueId val="{00000003-7087-4350-A1B1-A84036ADB889}"/>
            </c:ext>
          </c:extLst>
        </c:ser>
        <c:ser>
          <c:idx val="4"/>
          <c:order val="4"/>
          <c:tx>
            <c:strRef>
              <c:f>'Données graphiques'!$D$234</c:f>
              <c:strCache>
                <c:ptCount val="1"/>
                <c:pt idx="0">
                  <c:v>KLL - PH</c:v>
                </c:pt>
              </c:strCache>
            </c:strRef>
          </c:tx>
          <c:spPr>
            <a:ln w="38100" cap="rnd">
              <a:solidFill>
                <a:schemeClr val="accent4"/>
              </a:solidFill>
              <a:round/>
            </a:ln>
            <a:effectLst/>
          </c:spPr>
          <c:marker>
            <c:symbol val="none"/>
          </c:marker>
          <c:cat>
            <c:numRef>
              <c:extLst>
                <c:ext xmlns:c15="http://schemas.microsoft.com/office/drawing/2012/chart" uri="{02D57815-91ED-43cb-92C2-25804820EDAC}">
                  <c15:fullRef>
                    <c15:sqref>'Données graphiques'!$L$229:$S$229</c15:sqref>
                  </c15:fullRef>
                </c:ext>
              </c:extLst>
              <c:f>'Données graphiques'!$L$229:$R$229</c:f>
              <c:numCache>
                <c:formatCode>General</c:formatCode>
                <c:ptCount val="7"/>
                <c:pt idx="0">
                  <c:v>2013</c:v>
                </c:pt>
                <c:pt idx="1">
                  <c:v>2014</c:v>
                </c:pt>
                <c:pt idx="2">
                  <c:v>2015</c:v>
                </c:pt>
                <c:pt idx="3">
                  <c:v>2016</c:v>
                </c:pt>
                <c:pt idx="4">
                  <c:v>2017</c:v>
                </c:pt>
                <c:pt idx="5">
                  <c:v>2018</c:v>
                </c:pt>
                <c:pt idx="6">
                  <c:v>2019</c:v>
                </c:pt>
              </c:numCache>
            </c:numRef>
          </c:cat>
          <c:val>
            <c:numRef>
              <c:extLst>
                <c:ext xmlns:c15="http://schemas.microsoft.com/office/drawing/2012/chart" uri="{02D57815-91ED-43cb-92C2-25804820EDAC}">
                  <c15:fullRef>
                    <c15:sqref>'Données graphiques'!$L$234:$S$234</c15:sqref>
                  </c15:fullRef>
                </c:ext>
              </c:extLst>
              <c:f>'Données graphiques'!$L$234:$R$234</c:f>
              <c:numCache>
                <c:formatCode>_(* #,##0_);_(* \(#,##0\);_(* "-"??_);_(@_)</c:formatCode>
                <c:ptCount val="7"/>
                <c:pt idx="0">
                  <c:v>36.591749999999998</c:v>
                </c:pt>
                <c:pt idx="1">
                  <c:v>37.042000000000002</c:v>
                </c:pt>
                <c:pt idx="2">
                  <c:v>37.502749999999999</c:v>
                </c:pt>
                <c:pt idx="3">
                  <c:v>38.078249999999997</c:v>
                </c:pt>
                <c:pt idx="4">
                  <c:v>38.782499999999999</c:v>
                </c:pt>
                <c:pt idx="5">
                  <c:v>39.640750000000004</c:v>
                </c:pt>
                <c:pt idx="6">
                  <c:v>40.453749999999999</c:v>
                </c:pt>
              </c:numCache>
            </c:numRef>
          </c:val>
          <c:smooth val="0"/>
          <c:extLst>
            <c:ext xmlns:c16="http://schemas.microsoft.com/office/drawing/2014/chart" uri="{C3380CC4-5D6E-409C-BE32-E72D297353CC}">
              <c16:uniqueId val="{00000004-7087-4350-A1B1-A84036ADB889}"/>
            </c:ext>
          </c:extLst>
        </c:ser>
        <c:dLbls>
          <c:showLegendKey val="0"/>
          <c:showVal val="0"/>
          <c:showCatName val="0"/>
          <c:showSerName val="0"/>
          <c:showPercent val="0"/>
          <c:showBubbleSize val="0"/>
        </c:dLbls>
        <c:smooth val="0"/>
        <c:axId val="708648392"/>
        <c:axId val="708648720"/>
      </c:lineChart>
      <c:catAx>
        <c:axId val="708648392"/>
        <c:scaling>
          <c:orientation val="minMax"/>
        </c:scaling>
        <c:delete val="0"/>
        <c:axPos val="b"/>
        <c:numFmt formatCode="General" sourceLinked="1"/>
        <c:majorTickMark val="none"/>
        <c:minorTickMark val="none"/>
        <c:tickLblPos val="nextTo"/>
        <c:spPr>
          <a:noFill/>
          <a:ln w="9525" cap="flat" cmpd="sng" algn="ctr">
            <a:solidFill>
              <a:schemeClr val="tx1">
                <a:lumMod val="15%"/>
                <a:lumOff val="85%"/>
              </a:schemeClr>
            </a:solidFill>
            <a:round/>
          </a:ln>
          <a:effectLst/>
        </c:spPr>
        <c:txPr>
          <a:bodyPr rot="-6000000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fr-FR"/>
          </a:p>
        </c:txPr>
        <c:crossAx val="708648720"/>
        <c:crosses val="autoZero"/>
        <c:auto val="1"/>
        <c:lblAlgn val="ctr"/>
        <c:lblOffset val="100"/>
        <c:noMultiLvlLbl val="0"/>
      </c:catAx>
      <c:valAx>
        <c:axId val="708648720"/>
        <c:scaling>
          <c:orientation val="minMax"/>
        </c:scaling>
        <c:delete val="0"/>
        <c:axPos val="l"/>
        <c:majorGridlines>
          <c:spPr>
            <a:ln w="9525" cap="flat" cmpd="sng" algn="ctr">
              <a:solidFill>
                <a:schemeClr val="tx1">
                  <a:lumMod val="15%"/>
                  <a:lumOff val="85%"/>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
                        <a:lumOff val="35%"/>
                      </a:schemeClr>
                    </a:solidFill>
                    <a:latin typeface="+mn-lt"/>
                    <a:ea typeface="+mn-ea"/>
                    <a:cs typeface="+mn-cs"/>
                  </a:defRPr>
                </a:pPr>
                <a:r>
                  <a:rPr lang="en-US" sz="1100" b="1"/>
                  <a:t>$/bbl</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
                      <a:lumOff val="35%"/>
                    </a:schemeClr>
                  </a:solidFill>
                  <a:latin typeface="+mn-lt"/>
                  <a:ea typeface="+mn-ea"/>
                  <a:cs typeface="+mn-cs"/>
                </a:defRPr>
              </a:pPr>
              <a:endParaRPr lang="fr-FR"/>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fr-FR"/>
          </a:p>
        </c:txPr>
        <c:crossAx val="708648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
                  <a:lumOff val="35%"/>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purl.oclc.org/ooxml/drawingml/chart" xmlns:a="http://purl.oclc.org/ooxml/drawingml/main" xmlns:r="http://purl.oclc.org/ooxml/officeDocument/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[0]!title_chart19</c:f>
          <c:strCache>
            <c:ptCount val="1"/>
            <c:pt idx="0">
              <c:v>Volumes de droits Contracteur
Résultats déclarés Moho</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
                  <a:lumOff val="35%"/>
                </a:schemeClr>
              </a:solidFill>
              <a:latin typeface="+mn-lt"/>
              <a:ea typeface="+mn-ea"/>
              <a:cs typeface="+mn-cs"/>
            </a:defRPr>
          </a:pPr>
          <a:endParaRPr lang="fr-FR"/>
        </a:p>
      </c:txPr>
    </c:title>
    <c:autoTitleDeleted val="0"/>
    <c:plotArea>
      <c:layout>
        <c:manualLayout>
          <c:layoutTarget val="inner"/>
          <c:xMode val="edge"/>
          <c:yMode val="edge"/>
          <c:x val="0.10160338291046953"/>
          <c:y val="0.16726086322543016"/>
          <c:w val="0.87802624671916008"/>
          <c:h val="0.69053732866724993"/>
        </c:manualLayout>
      </c:layout>
      <c:barChart>
        <c:barDir val="col"/>
        <c:grouping val="stacked"/>
        <c:varyColors val="0"/>
        <c:ser>
          <c:idx val="0"/>
          <c:order val="0"/>
          <c:tx>
            <c:strRef>
              <c:f>'Données graphiques'!$D$252</c:f>
              <c:strCache>
                <c:ptCount val="1"/>
                <c:pt idx="0">
                  <c:v>Vol. Cost Oil</c:v>
                </c:pt>
              </c:strCache>
            </c:strRef>
          </c:tx>
          <c:spPr>
            <a:solidFill>
              <a:schemeClr val="accent6"/>
            </a:solidFill>
            <a:ln>
              <a:noFill/>
            </a:ln>
            <a:effectLst/>
          </c:spPr>
          <c:invertIfNegative val="0"/>
          <c:cat>
            <c:numRef>
              <c:extLst>
                <c:ext xmlns:c15="http://schemas.microsoft.com/office/drawing/2012/chart" uri="{02D57815-91ED-43cb-92C2-25804820EDAC}">
                  <c15:fullRef>
                    <c15:sqref>'Données graphiques'!$L$251:$S$251</c15:sqref>
                  </c15:fullRef>
                </c:ext>
              </c:extLst>
              <c:f>'Données graphiques'!$L$251:$R$251</c:f>
              <c:numCache>
                <c:formatCode>General</c:formatCode>
                <c:ptCount val="7"/>
                <c:pt idx="0">
                  <c:v>2013</c:v>
                </c:pt>
                <c:pt idx="1">
                  <c:v>2014</c:v>
                </c:pt>
                <c:pt idx="2">
                  <c:v>2015</c:v>
                </c:pt>
                <c:pt idx="3">
                  <c:v>2016</c:v>
                </c:pt>
                <c:pt idx="4">
                  <c:v>2017</c:v>
                </c:pt>
                <c:pt idx="5">
                  <c:v>2018</c:v>
                </c:pt>
                <c:pt idx="6">
                  <c:v>2019</c:v>
                </c:pt>
              </c:numCache>
            </c:numRef>
          </c:cat>
          <c:val>
            <c:numRef>
              <c:extLst>
                <c:ext xmlns:c15="http://schemas.microsoft.com/office/drawing/2012/chart" uri="{02D57815-91ED-43cb-92C2-25804820EDAC}">
                  <c15:fullRef>
                    <c15:sqref>'Données graphiques'!$L$252:$S$252</c15:sqref>
                  </c15:fullRef>
                </c:ext>
              </c:extLst>
              <c:f>'Données graphiques'!$L$252:$R$252</c:f>
              <c:numCache>
                <c:formatCode>_(* #,##0_);_(* \(#,##0\);_(* "-"??_);_(@_)</c:formatCode>
                <c:ptCount val="7"/>
                <c:pt idx="0">
                  <c:v>2.9992264411255869</c:v>
                </c:pt>
                <c:pt idx="1">
                  <c:v>3.6277583419481636</c:v>
                </c:pt>
                <c:pt idx="2">
                  <c:v>9.3187840000000008</c:v>
                </c:pt>
                <c:pt idx="3">
                  <c:v>11.872558173700002</c:v>
                </c:pt>
                <c:pt idx="4">
                  <c:v>24.691832848900003</c:v>
                </c:pt>
                <c:pt idx="5">
                  <c:v>38.944228930599998</c:v>
                </c:pt>
                <c:pt idx="6">
                  <c:v>39.4500413321</c:v>
                </c:pt>
              </c:numCache>
            </c:numRef>
          </c:val>
          <c:extLst>
            <c:ext xmlns:c16="http://schemas.microsoft.com/office/drawing/2014/chart" uri="{C3380CC4-5D6E-409C-BE32-E72D297353CC}">
              <c16:uniqueId val="{00000000-359D-4711-8E43-416D095C1DEA}"/>
            </c:ext>
          </c:extLst>
        </c:ser>
        <c:ser>
          <c:idx val="1"/>
          <c:order val="1"/>
          <c:tx>
            <c:strRef>
              <c:f>'Données graphiques'!$D$253</c:f>
              <c:strCache>
                <c:ptCount val="1"/>
                <c:pt idx="0">
                  <c:v>Vol. ECO</c:v>
                </c:pt>
              </c:strCache>
            </c:strRef>
          </c:tx>
          <c:spPr>
            <a:solidFill>
              <a:schemeClr val="accent5"/>
            </a:solidFill>
            <a:ln>
              <a:noFill/>
            </a:ln>
            <a:effectLst/>
          </c:spPr>
          <c:invertIfNegative val="0"/>
          <c:cat>
            <c:numRef>
              <c:extLst>
                <c:ext xmlns:c15="http://schemas.microsoft.com/office/drawing/2012/chart" uri="{02D57815-91ED-43cb-92C2-25804820EDAC}">
                  <c15:fullRef>
                    <c15:sqref>'Données graphiques'!$L$251:$S$251</c15:sqref>
                  </c15:fullRef>
                </c:ext>
              </c:extLst>
              <c:f>'Données graphiques'!$L$251:$R$251</c:f>
              <c:numCache>
                <c:formatCode>General</c:formatCode>
                <c:ptCount val="7"/>
                <c:pt idx="0">
                  <c:v>2013</c:v>
                </c:pt>
                <c:pt idx="1">
                  <c:v>2014</c:v>
                </c:pt>
                <c:pt idx="2">
                  <c:v>2015</c:v>
                </c:pt>
                <c:pt idx="3">
                  <c:v>2016</c:v>
                </c:pt>
                <c:pt idx="4">
                  <c:v>2017</c:v>
                </c:pt>
                <c:pt idx="5">
                  <c:v>2018</c:v>
                </c:pt>
                <c:pt idx="6">
                  <c:v>2019</c:v>
                </c:pt>
              </c:numCache>
            </c:numRef>
          </c:cat>
          <c:val>
            <c:numRef>
              <c:extLst>
                <c:ext xmlns:c15="http://schemas.microsoft.com/office/drawing/2012/chart" uri="{02D57815-91ED-43cb-92C2-25804820EDAC}">
                  <c15:fullRef>
                    <c15:sqref>'Données graphiques'!$L$253:$S$253</c15:sqref>
                  </c15:fullRef>
                </c:ext>
              </c:extLst>
              <c:f>'Données graphiques'!$L$253:$R$253</c:f>
              <c:numCache>
                <c:formatCode>_(* #,##0_);_(* \(#,##0\);_(* "-"??_);_(@_)</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359D-4711-8E43-416D095C1DEA}"/>
            </c:ext>
          </c:extLst>
        </c:ser>
        <c:ser>
          <c:idx val="2"/>
          <c:order val="2"/>
          <c:tx>
            <c:strRef>
              <c:f>'Données graphiques'!$D$254</c:f>
              <c:strCache>
                <c:ptCount val="1"/>
                <c:pt idx="0">
                  <c:v>Vol. SPO</c:v>
                </c:pt>
              </c:strCache>
            </c:strRef>
          </c:tx>
          <c:spPr>
            <a:solidFill>
              <a:schemeClr val="accent4"/>
            </a:solidFill>
            <a:ln>
              <a:noFill/>
            </a:ln>
            <a:effectLst/>
          </c:spPr>
          <c:invertIfNegative val="0"/>
          <c:cat>
            <c:numRef>
              <c:extLst>
                <c:ext xmlns:c15="http://schemas.microsoft.com/office/drawing/2012/chart" uri="{02D57815-91ED-43cb-92C2-25804820EDAC}">
                  <c15:fullRef>
                    <c15:sqref>'Données graphiques'!$L$251:$S$251</c15:sqref>
                  </c15:fullRef>
                </c:ext>
              </c:extLst>
              <c:f>'Données graphiques'!$L$251:$R$251</c:f>
              <c:numCache>
                <c:formatCode>General</c:formatCode>
                <c:ptCount val="7"/>
                <c:pt idx="0">
                  <c:v>2013</c:v>
                </c:pt>
                <c:pt idx="1">
                  <c:v>2014</c:v>
                </c:pt>
                <c:pt idx="2">
                  <c:v>2015</c:v>
                </c:pt>
                <c:pt idx="3">
                  <c:v>2016</c:v>
                </c:pt>
                <c:pt idx="4">
                  <c:v>2017</c:v>
                </c:pt>
                <c:pt idx="5">
                  <c:v>2018</c:v>
                </c:pt>
                <c:pt idx="6">
                  <c:v>2019</c:v>
                </c:pt>
              </c:numCache>
            </c:numRef>
          </c:cat>
          <c:val>
            <c:numRef>
              <c:extLst>
                <c:ext xmlns:c15="http://schemas.microsoft.com/office/drawing/2012/chart" uri="{02D57815-91ED-43cb-92C2-25804820EDAC}">
                  <c15:fullRef>
                    <c15:sqref>'Données graphiques'!$L$254:$S$254</c15:sqref>
                  </c15:fullRef>
                </c:ext>
              </c:extLst>
              <c:f>'Données graphiques'!$L$254:$R$254</c:f>
              <c:numCache>
                <c:formatCode>_(* #,##0_);_(* \(#,##0\);_(* "-"??_);_(@_)</c:formatCode>
                <c:ptCount val="7"/>
                <c:pt idx="0">
                  <c:v>1.3011282288180415</c:v>
                </c:pt>
                <c:pt idx="1">
                  <c:v>1.2713778160393705</c:v>
                </c:pt>
                <c:pt idx="2">
                  <c:v>0</c:v>
                </c:pt>
                <c:pt idx="3">
                  <c:v>0</c:v>
                </c:pt>
                <c:pt idx="4">
                  <c:v>0</c:v>
                </c:pt>
                <c:pt idx="5">
                  <c:v>0</c:v>
                </c:pt>
                <c:pt idx="6">
                  <c:v>0</c:v>
                </c:pt>
              </c:numCache>
            </c:numRef>
          </c:val>
          <c:extLst>
            <c:ext xmlns:c16="http://schemas.microsoft.com/office/drawing/2014/chart" uri="{C3380CC4-5D6E-409C-BE32-E72D297353CC}">
              <c16:uniqueId val="{00000002-359D-4711-8E43-416D095C1DEA}"/>
            </c:ext>
          </c:extLst>
        </c:ser>
        <c:ser>
          <c:idx val="3"/>
          <c:order val="3"/>
          <c:tx>
            <c:strRef>
              <c:f>'Données graphiques'!$D$255</c:f>
              <c:strCache>
                <c:ptCount val="1"/>
                <c:pt idx="0">
                  <c:v>Vol. Profit Oil</c:v>
                </c:pt>
              </c:strCache>
            </c:strRef>
          </c:tx>
          <c:spPr>
            <a:solidFill>
              <a:schemeClr val="accent2"/>
            </a:solidFill>
            <a:ln>
              <a:noFill/>
            </a:ln>
            <a:effectLst/>
          </c:spPr>
          <c:invertIfNegative val="0"/>
          <c:cat>
            <c:numRef>
              <c:extLst>
                <c:ext xmlns:c15="http://schemas.microsoft.com/office/drawing/2012/chart" uri="{02D57815-91ED-43cb-92C2-25804820EDAC}">
                  <c15:fullRef>
                    <c15:sqref>'Données graphiques'!$L$251:$S$251</c15:sqref>
                  </c15:fullRef>
                </c:ext>
              </c:extLst>
              <c:f>'Données graphiques'!$L$251:$R$251</c:f>
              <c:numCache>
                <c:formatCode>General</c:formatCode>
                <c:ptCount val="7"/>
                <c:pt idx="0">
                  <c:v>2013</c:v>
                </c:pt>
                <c:pt idx="1">
                  <c:v>2014</c:v>
                </c:pt>
                <c:pt idx="2">
                  <c:v>2015</c:v>
                </c:pt>
                <c:pt idx="3">
                  <c:v>2016</c:v>
                </c:pt>
                <c:pt idx="4">
                  <c:v>2017</c:v>
                </c:pt>
                <c:pt idx="5">
                  <c:v>2018</c:v>
                </c:pt>
                <c:pt idx="6">
                  <c:v>2019</c:v>
                </c:pt>
              </c:numCache>
            </c:numRef>
          </c:cat>
          <c:val>
            <c:numRef>
              <c:extLst>
                <c:ext xmlns:c15="http://schemas.microsoft.com/office/drawing/2012/chart" uri="{02D57815-91ED-43cb-92C2-25804820EDAC}">
                  <c15:fullRef>
                    <c15:sqref>'Données graphiques'!$L$255:$T$255</c15:sqref>
                  </c15:fullRef>
                </c:ext>
              </c:extLst>
              <c:f>'Données graphiques'!$L$255:$R$255</c:f>
              <c:numCache>
                <c:formatCode>_(* #,##0_);_(* \(#,##0\);_(* "-"??_);_(@_)</c:formatCode>
                <c:ptCount val="7"/>
                <c:pt idx="0">
                  <c:v>3.0112438592065649</c:v>
                </c:pt>
                <c:pt idx="1">
                  <c:v>3.1320007571110731</c:v>
                </c:pt>
                <c:pt idx="2">
                  <c:v>2.3005080000000002</c:v>
                </c:pt>
                <c:pt idx="3">
                  <c:v>1.780883726055001</c:v>
                </c:pt>
                <c:pt idx="4">
                  <c:v>3.7037749273350014</c:v>
                </c:pt>
                <c:pt idx="5">
                  <c:v>5.8416343395900006</c:v>
                </c:pt>
                <c:pt idx="6">
                  <c:v>5.9175061998150014</c:v>
                </c:pt>
              </c:numCache>
            </c:numRef>
          </c:val>
          <c:extLst>
            <c:ext xmlns:c16="http://schemas.microsoft.com/office/drawing/2014/chart" uri="{C3380CC4-5D6E-409C-BE32-E72D297353CC}">
              <c16:uniqueId val="{00000003-359D-4711-8E43-416D095C1DEA}"/>
            </c:ext>
          </c:extLst>
        </c:ser>
        <c:dLbls>
          <c:showLegendKey val="0"/>
          <c:showVal val="0"/>
          <c:showCatName val="0"/>
          <c:showSerName val="0"/>
          <c:showPercent val="0"/>
          <c:showBubbleSize val="0"/>
        </c:dLbls>
        <c:gapWidth val="150"/>
        <c:overlap val="100"/>
        <c:axId val="755802056"/>
        <c:axId val="755805992"/>
      </c:barChart>
      <c:lineChart>
        <c:grouping val="standard"/>
        <c:varyColors val="0"/>
        <c:ser>
          <c:idx val="4"/>
          <c:order val="4"/>
          <c:tx>
            <c:strRef>
              <c:f>'Données graphiques'!$D$256</c:f>
              <c:strCache>
                <c:ptCount val="1"/>
                <c:pt idx="0">
                  <c:v>Volumes de droits Contracteur</c:v>
                </c:pt>
              </c:strCache>
            </c:strRef>
          </c:tx>
          <c:spPr>
            <a:ln w="38100" cap="rnd">
              <a:solidFill>
                <a:schemeClr val="accent3"/>
              </a:solidFill>
              <a:round/>
            </a:ln>
            <a:effectLst/>
          </c:spPr>
          <c:marker>
            <c:symbol val="none"/>
          </c:marker>
          <c:cat>
            <c:numRef>
              <c:extLst>
                <c:ext xmlns:c15="http://schemas.microsoft.com/office/drawing/2012/chart" uri="{02D57815-91ED-43cb-92C2-25804820EDAC}">
                  <c15:fullRef>
                    <c15:sqref>'Données graphiques'!$L$251:$S$251</c15:sqref>
                  </c15:fullRef>
                </c:ext>
              </c:extLst>
              <c:f>'Données graphiques'!$L$251:$R$251</c:f>
              <c:numCache>
                <c:formatCode>General</c:formatCode>
                <c:ptCount val="7"/>
                <c:pt idx="0">
                  <c:v>2013</c:v>
                </c:pt>
                <c:pt idx="1">
                  <c:v>2014</c:v>
                </c:pt>
                <c:pt idx="2">
                  <c:v>2015</c:v>
                </c:pt>
                <c:pt idx="3">
                  <c:v>2016</c:v>
                </c:pt>
                <c:pt idx="4">
                  <c:v>2017</c:v>
                </c:pt>
                <c:pt idx="5">
                  <c:v>2018</c:v>
                </c:pt>
                <c:pt idx="6">
                  <c:v>2019</c:v>
                </c:pt>
              </c:numCache>
            </c:numRef>
          </c:cat>
          <c:val>
            <c:numRef>
              <c:extLst>
                <c:ext xmlns:c15="http://schemas.microsoft.com/office/drawing/2012/chart" uri="{02D57815-91ED-43cb-92C2-25804820EDAC}">
                  <c15:fullRef>
                    <c15:sqref>'Données graphiques'!$L$256:$S$256</c15:sqref>
                  </c15:fullRef>
                </c:ext>
              </c:extLst>
              <c:f>'Données graphiques'!$L$256:$R$256</c:f>
              <c:numCache>
                <c:formatCode>_(* #,##0_);_(* \(#,##0\);_(* "-"??_);_(@_)</c:formatCode>
                <c:ptCount val="7"/>
                <c:pt idx="0">
                  <c:v>7.311598529150193</c:v>
                </c:pt>
                <c:pt idx="1">
                  <c:v>8.0311369150986067</c:v>
                </c:pt>
                <c:pt idx="2">
                  <c:v>11.619292000000002</c:v>
                </c:pt>
                <c:pt idx="3">
                  <c:v>13.653441899755002</c:v>
                </c:pt>
                <c:pt idx="4">
                  <c:v>28.395607776235003</c:v>
                </c:pt>
                <c:pt idx="5">
                  <c:v>44.785863270189999</c:v>
                </c:pt>
                <c:pt idx="6">
                  <c:v>45.367547531915001</c:v>
                </c:pt>
              </c:numCache>
            </c:numRef>
          </c:val>
          <c:smooth val="0"/>
          <c:extLst>
            <c:ext xmlns:c16="http://schemas.microsoft.com/office/drawing/2014/chart" uri="{C3380CC4-5D6E-409C-BE32-E72D297353CC}">
              <c16:uniqueId val="{00000004-359D-4711-8E43-416D095C1DEA}"/>
            </c:ext>
          </c:extLst>
        </c:ser>
        <c:dLbls>
          <c:showLegendKey val="0"/>
          <c:showVal val="0"/>
          <c:showCatName val="0"/>
          <c:showSerName val="0"/>
          <c:showPercent val="0"/>
          <c:showBubbleSize val="0"/>
        </c:dLbls>
        <c:marker val="1"/>
        <c:smooth val="0"/>
        <c:axId val="755802056"/>
        <c:axId val="755805992"/>
      </c:lineChart>
      <c:catAx>
        <c:axId val="755802056"/>
        <c:scaling>
          <c:orientation val="minMax"/>
        </c:scaling>
        <c:delete val="0"/>
        <c:axPos val="b"/>
        <c:numFmt formatCode="General" sourceLinked="1"/>
        <c:majorTickMark val="none"/>
        <c:minorTickMark val="none"/>
        <c:tickLblPos val="nextTo"/>
        <c:spPr>
          <a:noFill/>
          <a:ln w="9525" cap="flat" cmpd="sng" algn="ctr">
            <a:solidFill>
              <a:schemeClr val="tx1">
                <a:lumMod val="15%"/>
                <a:lumOff val="85%"/>
              </a:schemeClr>
            </a:solidFill>
            <a:round/>
          </a:ln>
          <a:effectLst/>
        </c:spPr>
        <c:txPr>
          <a:bodyPr rot="-6000000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fr-FR"/>
          </a:p>
        </c:txPr>
        <c:crossAx val="755805992"/>
        <c:crosses val="autoZero"/>
        <c:auto val="1"/>
        <c:lblAlgn val="ctr"/>
        <c:lblOffset val="100"/>
        <c:noMultiLvlLbl val="0"/>
      </c:catAx>
      <c:valAx>
        <c:axId val="755805992"/>
        <c:scaling>
          <c:orientation val="minMax"/>
        </c:scaling>
        <c:delete val="0"/>
        <c:axPos val="l"/>
        <c:majorGridlines>
          <c:spPr>
            <a:ln w="9525" cap="flat" cmpd="sng" algn="ctr">
              <a:solidFill>
                <a:schemeClr val="tx1">
                  <a:lumMod val="15%"/>
                  <a:lumOff val="85%"/>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
                        <a:lumOff val="35%"/>
                      </a:schemeClr>
                    </a:solidFill>
                    <a:latin typeface="+mn-lt"/>
                    <a:ea typeface="+mn-ea"/>
                    <a:cs typeface="+mn-cs"/>
                  </a:defRPr>
                </a:pPr>
                <a:r>
                  <a:rPr lang="en-US" sz="1100" b="1"/>
                  <a:t>MMbbl</a:t>
                </a:r>
              </a:p>
            </c:rich>
          </c:tx>
          <c:layout>
            <c:manualLayout>
              <c:xMode val="edge"/>
              <c:yMode val="edge"/>
              <c:x val="2.2222222222222223E-2"/>
              <c:y val="0.42188125789831826"/>
            </c:manualLayout>
          </c:layout>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
                      <a:lumOff val="35%"/>
                    </a:schemeClr>
                  </a:solidFill>
                  <a:latin typeface="+mn-lt"/>
                  <a:ea typeface="+mn-ea"/>
                  <a:cs typeface="+mn-cs"/>
                </a:defRPr>
              </a:pPr>
              <a:endParaRPr lang="fr-FR"/>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
                    <a:lumOff val="35%"/>
                  </a:schemeClr>
                </a:solidFill>
                <a:latin typeface="+mn-lt"/>
                <a:ea typeface="+mn-ea"/>
                <a:cs typeface="+mn-cs"/>
              </a:defRPr>
            </a:pPr>
            <a:endParaRPr lang="fr-FR"/>
          </a:p>
        </c:txPr>
        <c:crossAx val="755802056"/>
        <c:crosses val="autoZero"/>
        <c:crossBetween val="between"/>
        <c:minorUnit val="1"/>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
                  <a:lumOff val="35%"/>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purl.oclc.org/ooxml/drawingml/chart" xmlns:a="http://purl.oclc.org/ooxml/drawingml/main" xmlns:r="http://purl.oclc.org/ooxml/officeDocument/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[0]!title_chart20</c:f>
          <c:strCache>
            <c:ptCount val="1"/>
            <c:pt idx="0">
              <c:v>Volumes de droits Contracteur</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
                  <a:lumOff val="35%"/>
                </a:schemeClr>
              </a:solidFill>
              <a:latin typeface="+mn-lt"/>
              <a:ea typeface="+mn-ea"/>
              <a:cs typeface="+mn-cs"/>
            </a:defRPr>
          </a:pPr>
          <a:endParaRPr lang="fr-FR"/>
        </a:p>
      </c:txPr>
    </c:title>
    <c:autoTitleDeleted val="0"/>
    <c:plotArea>
      <c:layout>
        <c:manualLayout>
          <c:layoutTarget val="inner"/>
          <c:xMode val="edge"/>
          <c:yMode val="edge"/>
          <c:x val="0.10160338291046953"/>
          <c:y val="0.16726086322543016"/>
          <c:w val="0.87802624671916008"/>
          <c:h val="0.69053732866724993"/>
        </c:manualLayout>
      </c:layout>
      <c:barChart>
        <c:barDir val="col"/>
        <c:grouping val="stacked"/>
        <c:varyColors val="0"/>
        <c:ser>
          <c:idx val="0"/>
          <c:order val="0"/>
          <c:tx>
            <c:strRef>
              <c:f>'Données graphiques'!$D$293</c:f>
              <c:strCache>
                <c:ptCount val="1"/>
                <c:pt idx="0">
                  <c:v>Vol. Cost Oil</c:v>
                </c:pt>
              </c:strCache>
            </c:strRef>
          </c:tx>
          <c:spPr>
            <a:solidFill>
              <a:schemeClr val="accent6"/>
            </a:solidFill>
            <a:ln>
              <a:noFill/>
            </a:ln>
            <a:effectLst/>
          </c:spPr>
          <c:invertIfNegative val="0"/>
          <c:cat>
            <c:numRef>
              <c:extLst>
                <c:ext xmlns:c15="http://schemas.microsoft.com/office/drawing/2012/chart" uri="{02D57815-91ED-43cb-92C2-25804820EDAC}">
                  <c15:fullRef>
                    <c15:sqref>'Données graphiques'!$L$251:$S$251</c15:sqref>
                  </c15:fullRef>
                </c:ext>
              </c:extLst>
              <c:f>'Données graphiques'!$L$251:$R$251</c:f>
              <c:numCache>
                <c:formatCode>General</c:formatCode>
                <c:ptCount val="7"/>
                <c:pt idx="0">
                  <c:v>2013</c:v>
                </c:pt>
                <c:pt idx="1">
                  <c:v>2014</c:v>
                </c:pt>
                <c:pt idx="2">
                  <c:v>2015</c:v>
                </c:pt>
                <c:pt idx="3">
                  <c:v>2016</c:v>
                </c:pt>
                <c:pt idx="4">
                  <c:v>2017</c:v>
                </c:pt>
                <c:pt idx="5">
                  <c:v>2018</c:v>
                </c:pt>
                <c:pt idx="6">
                  <c:v>2019</c:v>
                </c:pt>
              </c:numCache>
            </c:numRef>
          </c:cat>
          <c:val>
            <c:numRef>
              <c:extLst>
                <c:ext xmlns:c15="http://schemas.microsoft.com/office/drawing/2012/chart" uri="{02D57815-91ED-43cb-92C2-25804820EDAC}">
                  <c15:fullRef>
                    <c15:sqref>'Données graphiques'!$L$293:$S$293</c15:sqref>
                  </c15:fullRef>
                </c:ext>
              </c:extLst>
              <c:f>'Données graphiques'!$L$293:$R$293</c:f>
              <c:numCache>
                <c:formatCode>_(* #,##0_);_(* \(#,##0\);_(* "-"??_);_(@_)</c:formatCode>
                <c:ptCount val="7"/>
                <c:pt idx="0">
                  <c:v>5.9457166552753717</c:v>
                </c:pt>
                <c:pt idx="1">
                  <c:v>7.3079293100981726</c:v>
                </c:pt>
                <c:pt idx="2">
                  <c:v>15.944196741550412</c:v>
                </c:pt>
                <c:pt idx="3">
                  <c:v>18.714485731288065</c:v>
                </c:pt>
                <c:pt idx="4">
                  <c:v>31.525564827995638</c:v>
                </c:pt>
                <c:pt idx="5">
                  <c:v>44.233100269177108</c:v>
                </c:pt>
                <c:pt idx="6">
                  <c:v>45.038333074349801</c:v>
                </c:pt>
              </c:numCache>
            </c:numRef>
          </c:val>
          <c:extLst>
            <c:ext xmlns:c16="http://schemas.microsoft.com/office/drawing/2014/chart" uri="{C3380CC4-5D6E-409C-BE32-E72D297353CC}">
              <c16:uniqueId val="{00000000-359D-4711-8E43-416D095C1DEA}"/>
            </c:ext>
          </c:extLst>
        </c:ser>
        <c:ser>
          <c:idx val="1"/>
          <c:order val="1"/>
          <c:tx>
            <c:strRef>
              <c:f>'Données graphiques'!$D$294</c:f>
              <c:strCache>
                <c:ptCount val="1"/>
                <c:pt idx="0">
                  <c:v>Vol. ECO</c:v>
                </c:pt>
              </c:strCache>
            </c:strRef>
          </c:tx>
          <c:spPr>
            <a:solidFill>
              <a:schemeClr val="accent5"/>
            </a:solidFill>
            <a:ln>
              <a:noFill/>
            </a:ln>
            <a:effectLst/>
          </c:spPr>
          <c:invertIfNegative val="0"/>
          <c:cat>
            <c:numRef>
              <c:extLst>
                <c:ext xmlns:c15="http://schemas.microsoft.com/office/drawing/2012/chart" uri="{02D57815-91ED-43cb-92C2-25804820EDAC}">
                  <c15:fullRef>
                    <c15:sqref>'Données graphiques'!$L$251:$S$251</c15:sqref>
                  </c15:fullRef>
                </c:ext>
              </c:extLst>
              <c:f>'Données graphiques'!$L$251:$R$251</c:f>
              <c:numCache>
                <c:formatCode>General</c:formatCode>
                <c:ptCount val="7"/>
                <c:pt idx="0">
                  <c:v>2013</c:v>
                </c:pt>
                <c:pt idx="1">
                  <c:v>2014</c:v>
                </c:pt>
                <c:pt idx="2">
                  <c:v>2015</c:v>
                </c:pt>
                <c:pt idx="3">
                  <c:v>2016</c:v>
                </c:pt>
                <c:pt idx="4">
                  <c:v>2017</c:v>
                </c:pt>
                <c:pt idx="5">
                  <c:v>2018</c:v>
                </c:pt>
                <c:pt idx="6">
                  <c:v>2019</c:v>
                </c:pt>
              </c:numCache>
            </c:numRef>
          </c:cat>
          <c:val>
            <c:numRef>
              <c:extLst>
                <c:ext xmlns:c15="http://schemas.microsoft.com/office/drawing/2012/chart" uri="{02D57815-91ED-43cb-92C2-25804820EDAC}">
                  <c15:fullRef>
                    <c15:sqref>'Données graphiques'!$L$294:$S$294</c15:sqref>
                  </c15:fullRef>
                </c:ext>
              </c:extLst>
              <c:f>'Données graphiques'!$L$294:$R$294</c:f>
              <c:numCache>
                <c:formatCode>_(* #,##0_);_(* \(#,##0\);_(* "-"??_);_(@_)</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359D-4711-8E43-416D095C1DEA}"/>
            </c:ext>
          </c:extLst>
        </c:ser>
        <c:ser>
          <c:idx val="2"/>
          <c:order val="2"/>
          <c:tx>
            <c:strRef>
              <c:f>'Données graphiques'!$D$295</c:f>
              <c:strCache>
                <c:ptCount val="1"/>
                <c:pt idx="0">
                  <c:v>Vol. SPO</c:v>
                </c:pt>
              </c:strCache>
            </c:strRef>
          </c:tx>
          <c:spPr>
            <a:solidFill>
              <a:schemeClr val="accent4"/>
            </a:solidFill>
            <a:ln>
              <a:noFill/>
            </a:ln>
            <a:effectLst/>
          </c:spPr>
          <c:invertIfNegative val="0"/>
          <c:cat>
            <c:numRef>
              <c:extLst>
                <c:ext xmlns:c15="http://schemas.microsoft.com/office/drawing/2012/chart" uri="{02D57815-91ED-43cb-92C2-25804820EDAC}">
                  <c15:fullRef>
                    <c15:sqref>'Données graphiques'!$L$251:$S$251</c15:sqref>
                  </c15:fullRef>
                </c:ext>
              </c:extLst>
              <c:f>'Données graphiques'!$L$251:$R$251</c:f>
              <c:numCache>
                <c:formatCode>General</c:formatCode>
                <c:ptCount val="7"/>
                <c:pt idx="0">
                  <c:v>2013</c:v>
                </c:pt>
                <c:pt idx="1">
                  <c:v>2014</c:v>
                </c:pt>
                <c:pt idx="2">
                  <c:v>2015</c:v>
                </c:pt>
                <c:pt idx="3">
                  <c:v>2016</c:v>
                </c:pt>
                <c:pt idx="4">
                  <c:v>2017</c:v>
                </c:pt>
                <c:pt idx="5">
                  <c:v>2018</c:v>
                </c:pt>
                <c:pt idx="6">
                  <c:v>2019</c:v>
                </c:pt>
              </c:numCache>
            </c:numRef>
          </c:cat>
          <c:val>
            <c:numRef>
              <c:extLst>
                <c:ext xmlns:c15="http://schemas.microsoft.com/office/drawing/2012/chart" uri="{02D57815-91ED-43cb-92C2-25804820EDAC}">
                  <c15:fullRef>
                    <c15:sqref>'Données graphiques'!$L$295:$S$295</c15:sqref>
                  </c15:fullRef>
                </c:ext>
              </c:extLst>
              <c:f>'Données graphiques'!$L$295:$R$295</c:f>
              <c:numCache>
                <c:formatCode>_(* #,##0_);_(* \(#,##0\);_(* "-"??_);_(@_)</c:formatCode>
                <c:ptCount val="7"/>
                <c:pt idx="0">
                  <c:v>3.3539314117401271</c:v>
                </c:pt>
                <c:pt idx="1">
                  <c:v>3.3506382099496017</c:v>
                </c:pt>
                <c:pt idx="2">
                  <c:v>0.87875879821983871</c:v>
                </c:pt>
                <c:pt idx="3">
                  <c:v>0.45128711459932336</c:v>
                </c:pt>
                <c:pt idx="4">
                  <c:v>0.89433103112802415</c:v>
                </c:pt>
                <c:pt idx="5">
                  <c:v>0.90705974906259634</c:v>
                </c:pt>
                <c:pt idx="6">
                  <c:v>0.70299759115647231</c:v>
                </c:pt>
              </c:numCache>
            </c:numRef>
          </c:val>
          <c:extLst>
            <c:ext xmlns:c16="http://schemas.microsoft.com/office/drawing/2014/chart" uri="{C3380CC4-5D6E-409C-BE32-E72D297353CC}">
              <c16:uniqueId val="{00000002-359D-4711-8E43-416D095C1DEA}"/>
            </c:ext>
          </c:extLst>
        </c:ser>
        <c:ser>
          <c:idx val="3"/>
          <c:order val="3"/>
          <c:tx>
            <c:strRef>
              <c:f>'Données graphiques'!$D$296</c:f>
              <c:strCache>
                <c:ptCount val="1"/>
                <c:pt idx="0">
                  <c:v>Vol. Profit Oil</c:v>
                </c:pt>
              </c:strCache>
            </c:strRef>
          </c:tx>
          <c:spPr>
            <a:solidFill>
              <a:schemeClr val="accent2"/>
            </a:solidFill>
            <a:ln>
              <a:noFill/>
            </a:ln>
            <a:effectLst/>
          </c:spPr>
          <c:invertIfNegative val="0"/>
          <c:cat>
            <c:numRef>
              <c:extLst>
                <c:ext xmlns:c15="http://schemas.microsoft.com/office/drawing/2012/chart" uri="{02D57815-91ED-43cb-92C2-25804820EDAC}">
                  <c15:fullRef>
                    <c15:sqref>'Données graphiques'!$L$251:$S$251</c15:sqref>
                  </c15:fullRef>
                </c:ext>
              </c:extLst>
              <c:f>'Données graphiques'!$L$251:$R$251</c:f>
              <c:numCache>
                <c:formatCode>General</c:formatCode>
                <c:ptCount val="7"/>
                <c:pt idx="0">
                  <c:v>2013</c:v>
                </c:pt>
                <c:pt idx="1">
                  <c:v>2014</c:v>
                </c:pt>
                <c:pt idx="2">
                  <c:v>2015</c:v>
                </c:pt>
                <c:pt idx="3">
                  <c:v>2016</c:v>
                </c:pt>
                <c:pt idx="4">
                  <c:v>2017</c:v>
                </c:pt>
                <c:pt idx="5">
                  <c:v>2018</c:v>
                </c:pt>
                <c:pt idx="6">
                  <c:v>2019</c:v>
                </c:pt>
              </c:numCache>
            </c:numRef>
          </c:cat>
          <c:val>
            <c:numRef>
              <c:extLst>
                <c:ext xmlns:c15="http://schemas.microsoft.com/office/drawing/2012/chart" uri="{02D57815-91ED-43cb-92C2-25804820EDAC}">
                  <c15:fullRef>
                    <c15:sqref>'Données graphiques'!$L$296:$S$296</c15:sqref>
                  </c15:fullRef>
                </c:ext>
              </c:extLst>
              <c:f>'Données graphiques'!$L$296:$R$296</c:f>
              <c:numCache>
                <c:formatCode>_(* #,##0_);_(* \(#,##0\);_(* "-"??_);_(@_)</c:formatCode>
                <c:ptCount val="7"/>
                <c:pt idx="0">
                  <c:v>3.484214692132741</c:v>
                </c:pt>
                <c:pt idx="1">
                  <c:v>3.9896381281010935</c:v>
                </c:pt>
                <c:pt idx="2">
                  <c:v>4.0995589356012463</c:v>
                </c:pt>
                <c:pt idx="3">
                  <c:v>3.1412469427158323</c:v>
                </c:pt>
                <c:pt idx="4">
                  <c:v>5.1387821861924508</c:v>
                </c:pt>
                <c:pt idx="5">
                  <c:v>7.0856002957356496</c:v>
                </c:pt>
                <c:pt idx="6">
                  <c:v>7.7127887832471762</c:v>
                </c:pt>
              </c:numCache>
            </c:numRef>
          </c:val>
          <c:extLst>
            <c:ext xmlns:c16="http://schemas.microsoft.com/office/drawing/2014/chart" uri="{C3380CC4-5D6E-409C-BE32-E72D297353CC}">
              <c16:uniqueId val="{00000003-359D-4711-8E43-416D095C1DEA}"/>
            </c:ext>
          </c:extLst>
        </c:ser>
        <c:dLbls>
          <c:showLegendKey val="0"/>
          <c:showVal val="0"/>
          <c:showCatName val="0"/>
          <c:showSerName val="0"/>
          <c:showPercent val="0"/>
          <c:showBubbleSize val="0"/>
        </c:dLbls>
        <c:gapWidth val="150"/>
        <c:overlap val="100"/>
        <c:axId val="755802056"/>
        <c:axId val="755805992"/>
      </c:barChart>
      <c:lineChart>
        <c:grouping val="standard"/>
        <c:varyColors val="0"/>
        <c:ser>
          <c:idx val="4"/>
          <c:order val="4"/>
          <c:tx>
            <c:strRef>
              <c:f>'Données graphiques'!$D$297</c:f>
              <c:strCache>
                <c:ptCount val="1"/>
                <c:pt idx="0">
                  <c:v>Volumes de droits Contracteur</c:v>
                </c:pt>
              </c:strCache>
            </c:strRef>
          </c:tx>
          <c:spPr>
            <a:ln w="38100" cap="rnd">
              <a:solidFill>
                <a:schemeClr val="accent3"/>
              </a:solidFill>
              <a:round/>
            </a:ln>
            <a:effectLst/>
          </c:spPr>
          <c:marker>
            <c:symbol val="none"/>
          </c:marker>
          <c:cat>
            <c:numRef>
              <c:extLst>
                <c:ext xmlns:c15="http://schemas.microsoft.com/office/drawing/2012/chart" uri="{02D57815-91ED-43cb-92C2-25804820EDAC}">
                  <c15:fullRef>
                    <c15:sqref>'Données graphiques'!$L$251:$S$251</c15:sqref>
                  </c15:fullRef>
                </c:ext>
              </c:extLst>
              <c:f>'Données graphiques'!$L$251:$R$251</c:f>
              <c:numCache>
                <c:formatCode>General</c:formatCode>
                <c:ptCount val="7"/>
                <c:pt idx="0">
                  <c:v>2013</c:v>
                </c:pt>
                <c:pt idx="1">
                  <c:v>2014</c:v>
                </c:pt>
                <c:pt idx="2">
                  <c:v>2015</c:v>
                </c:pt>
                <c:pt idx="3">
                  <c:v>2016</c:v>
                </c:pt>
                <c:pt idx="4">
                  <c:v>2017</c:v>
                </c:pt>
                <c:pt idx="5">
                  <c:v>2018</c:v>
                </c:pt>
                <c:pt idx="6">
                  <c:v>2019</c:v>
                </c:pt>
              </c:numCache>
            </c:numRef>
          </c:cat>
          <c:val>
            <c:numRef>
              <c:extLst>
                <c:ext xmlns:c15="http://schemas.microsoft.com/office/drawing/2012/chart" uri="{02D57815-91ED-43cb-92C2-25804820EDAC}">
                  <c15:fullRef>
                    <c15:sqref>'Données graphiques'!$L$297:$S$297</c15:sqref>
                  </c15:fullRef>
                </c:ext>
              </c:extLst>
              <c:f>'Données graphiques'!$L$297:$R$297</c:f>
              <c:numCache>
                <c:formatCode>_(* #,##0_);_(* \(#,##0\);_(* "-"??_);_(@_)</c:formatCode>
                <c:ptCount val="7"/>
                <c:pt idx="0">
                  <c:v>12.783862759148239</c:v>
                </c:pt>
                <c:pt idx="1">
                  <c:v>14.648205648148867</c:v>
                </c:pt>
                <c:pt idx="2">
                  <c:v>20.9225144753715</c:v>
                </c:pt>
                <c:pt idx="3">
                  <c:v>22.30701978860322</c:v>
                </c:pt>
                <c:pt idx="4">
                  <c:v>37.558678045316114</c:v>
                </c:pt>
                <c:pt idx="5">
                  <c:v>52.22576031397535</c:v>
                </c:pt>
                <c:pt idx="6">
                  <c:v>53.454119448753445</c:v>
                </c:pt>
              </c:numCache>
            </c:numRef>
          </c:val>
          <c:smooth val="0"/>
          <c:extLst>
            <c:ext xmlns:c16="http://schemas.microsoft.com/office/drawing/2014/chart" uri="{C3380CC4-5D6E-409C-BE32-E72D297353CC}">
              <c16:uniqueId val="{00000004-359D-4711-8E43-416D095C1DEA}"/>
            </c:ext>
          </c:extLst>
        </c:ser>
        <c:dLbls>
          <c:showLegendKey val="0"/>
          <c:showVal val="0"/>
          <c:showCatName val="0"/>
          <c:showSerName val="0"/>
          <c:showPercent val="0"/>
          <c:showBubbleSize val="0"/>
        </c:dLbls>
        <c:marker val="1"/>
        <c:smooth val="0"/>
        <c:axId val="755802056"/>
        <c:axId val="755805992"/>
      </c:lineChart>
      <c:catAx>
        <c:axId val="755802056"/>
        <c:scaling>
          <c:orientation val="minMax"/>
        </c:scaling>
        <c:delete val="0"/>
        <c:axPos val="b"/>
        <c:numFmt formatCode="General" sourceLinked="1"/>
        <c:majorTickMark val="none"/>
        <c:minorTickMark val="none"/>
        <c:tickLblPos val="nextTo"/>
        <c:spPr>
          <a:noFill/>
          <a:ln w="9525" cap="flat" cmpd="sng" algn="ctr">
            <a:solidFill>
              <a:schemeClr val="tx1">
                <a:lumMod val="15%"/>
                <a:lumOff val="85%"/>
              </a:schemeClr>
            </a:solidFill>
            <a:round/>
          </a:ln>
          <a:effectLst/>
        </c:spPr>
        <c:txPr>
          <a:bodyPr rot="-6000000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fr-FR"/>
          </a:p>
        </c:txPr>
        <c:crossAx val="755805992"/>
        <c:crosses val="autoZero"/>
        <c:auto val="1"/>
        <c:lblAlgn val="ctr"/>
        <c:lblOffset val="100"/>
        <c:noMultiLvlLbl val="0"/>
      </c:catAx>
      <c:valAx>
        <c:axId val="755805992"/>
        <c:scaling>
          <c:orientation val="minMax"/>
        </c:scaling>
        <c:delete val="0"/>
        <c:axPos val="l"/>
        <c:majorGridlines>
          <c:spPr>
            <a:ln w="9525" cap="flat" cmpd="sng" algn="ctr">
              <a:solidFill>
                <a:schemeClr val="tx1">
                  <a:lumMod val="15%"/>
                  <a:lumOff val="85%"/>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
                        <a:lumOff val="35%"/>
                      </a:schemeClr>
                    </a:solidFill>
                    <a:latin typeface="+mn-lt"/>
                    <a:ea typeface="+mn-ea"/>
                    <a:cs typeface="+mn-cs"/>
                  </a:defRPr>
                </a:pPr>
                <a:r>
                  <a:rPr lang="en-US" sz="1100" b="1"/>
                  <a:t>MMbbl</a:t>
                </a:r>
              </a:p>
            </c:rich>
          </c:tx>
          <c:layout>
            <c:manualLayout>
              <c:xMode val="edge"/>
              <c:yMode val="edge"/>
              <c:x val="2.2222222222222223E-2"/>
              <c:y val="0.42188125789831826"/>
            </c:manualLayout>
          </c:layout>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
                      <a:lumOff val="35%"/>
                    </a:schemeClr>
                  </a:solidFill>
                  <a:latin typeface="+mn-lt"/>
                  <a:ea typeface="+mn-ea"/>
                  <a:cs typeface="+mn-cs"/>
                </a:defRPr>
              </a:pPr>
              <a:endParaRPr lang="fr-FR"/>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
                    <a:lumOff val="35%"/>
                  </a:schemeClr>
                </a:solidFill>
                <a:latin typeface="+mn-lt"/>
                <a:ea typeface="+mn-ea"/>
                <a:cs typeface="+mn-cs"/>
              </a:defRPr>
            </a:pPr>
            <a:endParaRPr lang="fr-FR"/>
          </a:p>
        </c:txPr>
        <c:crossAx val="755802056"/>
        <c:crosses val="autoZero"/>
        <c:crossBetween val="between"/>
        <c:minorUnit val="1"/>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
                  <a:lumOff val="35%"/>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9.xml><?xml version="1.0" encoding="utf-8"?>
<c:chartSpace xmlns:c="http://purl.oclc.org/ooxml/drawingml/chart" xmlns:a="http://purl.oclc.org/ooxml/drawingml/main" xmlns:r="http://purl.oclc.org/ooxml/officeDocument/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[0]!title_chart21</c:f>
          <c:strCache>
            <c:ptCount val="1"/>
            <c:pt idx="0">
              <c:v>Prix Fixé Congo (Djeno) 2013 -2019</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
                  <a:lumOff val="35%"/>
                </a:schemeClr>
              </a:solidFill>
              <a:latin typeface="+mn-lt"/>
              <a:ea typeface="+mn-ea"/>
              <a:cs typeface="+mn-cs"/>
            </a:defRPr>
          </a:pPr>
          <a:endParaRPr lang="fr-FR"/>
        </a:p>
      </c:txPr>
    </c:title>
    <c:autoTitleDeleted val="0"/>
    <c:plotArea>
      <c:layout>
        <c:manualLayout>
          <c:layoutTarget val="inner"/>
          <c:xMode val="edge"/>
          <c:yMode val="edge"/>
          <c:x val="0.10110965296004666"/>
          <c:y val="0.16694444444444448"/>
          <c:w val="0.87851997666958292"/>
          <c:h val="0.63400019442014177"/>
        </c:manualLayout>
      </c:layout>
      <c:lineChart>
        <c:grouping val="standard"/>
        <c:varyColors val="0"/>
        <c:ser>
          <c:idx val="0"/>
          <c:order val="0"/>
          <c:tx>
            <c:strRef>
              <c:f>'Données graphiques'!$D$307</c:f>
              <c:strCache>
                <c:ptCount val="1"/>
                <c:pt idx="0">
                  <c:v>Avg. FP</c:v>
                </c:pt>
              </c:strCache>
            </c:strRef>
          </c:tx>
          <c:spPr>
            <a:ln w="38100" cap="rnd">
              <a:solidFill>
                <a:schemeClr val="tx1"/>
              </a:solidFill>
              <a:prstDash val="dash"/>
              <a:round/>
            </a:ln>
            <a:effectLst/>
          </c:spPr>
          <c:marker>
            <c:symbol val="none"/>
          </c:marker>
          <c:cat>
            <c:numRef>
              <c:extLst>
                <c:ext xmlns:c15="http://schemas.microsoft.com/office/drawing/2012/chart" uri="{02D57815-91ED-43cb-92C2-25804820EDAC}">
                  <c15:fullRef>
                    <c15:sqref>'Données graphiques'!$L$229:$S$229</c15:sqref>
                  </c15:fullRef>
                </c:ext>
              </c:extLst>
              <c:f>'Données graphiques'!$L$229:$R$229</c:f>
              <c:numCache>
                <c:formatCode>General</c:formatCode>
                <c:ptCount val="7"/>
                <c:pt idx="0">
                  <c:v>2013</c:v>
                </c:pt>
                <c:pt idx="1">
                  <c:v>2014</c:v>
                </c:pt>
                <c:pt idx="2">
                  <c:v>2015</c:v>
                </c:pt>
                <c:pt idx="3">
                  <c:v>2016</c:v>
                </c:pt>
                <c:pt idx="4">
                  <c:v>2017</c:v>
                </c:pt>
                <c:pt idx="5">
                  <c:v>2018</c:v>
                </c:pt>
                <c:pt idx="6">
                  <c:v>2019</c:v>
                </c:pt>
              </c:numCache>
            </c:numRef>
          </c:cat>
          <c:val>
            <c:numRef>
              <c:extLst>
                <c:ext xmlns:c15="http://schemas.microsoft.com/office/drawing/2012/chart" uri="{02D57815-91ED-43cb-92C2-25804820EDAC}">
                  <c15:fullRef>
                    <c15:sqref>'Données graphiques'!$L$307:$S$307</c15:sqref>
                  </c15:fullRef>
                </c:ext>
              </c:extLst>
              <c:f>'Données graphiques'!$L$307:$R$307</c:f>
              <c:numCache>
                <c:formatCode>_(* #,##0_);_(* \(#,##0\);_(* "-"??_);_(@_)</c:formatCode>
                <c:ptCount val="7"/>
                <c:pt idx="0">
                  <c:v>105.7474522914833</c:v>
                </c:pt>
                <c:pt idx="1">
                  <c:v>94.490602143210737</c:v>
                </c:pt>
                <c:pt idx="2">
                  <c:v>47.847421826767324</c:v>
                </c:pt>
                <c:pt idx="3">
                  <c:v>40.914760876827444</c:v>
                </c:pt>
                <c:pt idx="4">
                  <c:v>52.06999317300108</c:v>
                </c:pt>
                <c:pt idx="5">
                  <c:v>68.46179192045004</c:v>
                </c:pt>
                <c:pt idx="6">
                  <c:v>61.518309773265528</c:v>
                </c:pt>
              </c:numCache>
            </c:numRef>
          </c:val>
          <c:smooth val="0"/>
          <c:extLst>
            <c:ext xmlns:c16="http://schemas.microsoft.com/office/drawing/2014/chart" uri="{C3380CC4-5D6E-409C-BE32-E72D297353CC}">
              <c16:uniqueId val="{00000000-7087-4350-A1B1-A84036ADB889}"/>
            </c:ext>
          </c:extLst>
        </c:ser>
        <c:dLbls>
          <c:showLegendKey val="0"/>
          <c:showVal val="0"/>
          <c:showCatName val="0"/>
          <c:showSerName val="0"/>
          <c:showPercent val="0"/>
          <c:showBubbleSize val="0"/>
        </c:dLbls>
        <c:smooth val="0"/>
        <c:axId val="708648392"/>
        <c:axId val="708648720"/>
      </c:lineChart>
      <c:catAx>
        <c:axId val="708648392"/>
        <c:scaling>
          <c:orientation val="minMax"/>
        </c:scaling>
        <c:delete val="0"/>
        <c:axPos val="b"/>
        <c:numFmt formatCode="General" sourceLinked="1"/>
        <c:majorTickMark val="none"/>
        <c:minorTickMark val="none"/>
        <c:tickLblPos val="nextTo"/>
        <c:spPr>
          <a:noFill/>
          <a:ln w="9525" cap="flat" cmpd="sng" algn="ctr">
            <a:solidFill>
              <a:schemeClr val="tx1">
                <a:lumMod val="15%"/>
                <a:lumOff val="85%"/>
              </a:schemeClr>
            </a:solidFill>
            <a:round/>
          </a:ln>
          <a:effectLst/>
        </c:spPr>
        <c:txPr>
          <a:bodyPr rot="-6000000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fr-FR"/>
          </a:p>
        </c:txPr>
        <c:crossAx val="708648720"/>
        <c:crosses val="autoZero"/>
        <c:auto val="1"/>
        <c:lblAlgn val="ctr"/>
        <c:lblOffset val="100"/>
        <c:noMultiLvlLbl val="0"/>
      </c:catAx>
      <c:valAx>
        <c:axId val="708648720"/>
        <c:scaling>
          <c:orientation val="minMax"/>
        </c:scaling>
        <c:delete val="0"/>
        <c:axPos val="l"/>
        <c:majorGridlines>
          <c:spPr>
            <a:ln w="9525" cap="flat" cmpd="sng" algn="ctr">
              <a:solidFill>
                <a:schemeClr val="tx1">
                  <a:lumMod val="15%"/>
                  <a:lumOff val="85%"/>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
                        <a:lumOff val="35%"/>
                      </a:schemeClr>
                    </a:solidFill>
                    <a:latin typeface="+mn-lt"/>
                    <a:ea typeface="+mn-ea"/>
                    <a:cs typeface="+mn-cs"/>
                  </a:defRPr>
                </a:pPr>
                <a:r>
                  <a:rPr lang="en-US" sz="1100" b="1"/>
                  <a:t>$/bbl</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
                      <a:lumOff val="35%"/>
                    </a:schemeClr>
                  </a:solidFill>
                  <a:latin typeface="+mn-lt"/>
                  <a:ea typeface="+mn-ea"/>
                  <a:cs typeface="+mn-cs"/>
                </a:defRPr>
              </a:pPr>
              <a:endParaRPr lang="fr-FR"/>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fr-FR"/>
          </a:p>
        </c:txPr>
        <c:crossAx val="708648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
                  <a:lumOff val="35%"/>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10.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11.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12.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13.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14.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15.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16.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17.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18.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19.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2.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20.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21.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3.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4.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5.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6.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7.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8.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9.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style1.xml><?xml version="1.0" encoding="utf-8"?>
<cs:chartStyle xmlns:cs="http://schemas.microsoft.com/office/drawing/2012/chartStyle" xmlns:a="http://purl.oclc.org/ooxml/drawingml/main" id="297">
  <cs:axisTitle>
    <cs:lnRef idx="0"/>
    <cs:fillRef idx="0"/>
    <cs:effectRef idx="0"/>
    <cs:fontRef idx="minor">
      <a:schemeClr val="tx1">
        <a:lumMod val="65%"/>
        <a:lumOff val="35%"/>
      </a:schemeClr>
    </cs:fontRef>
    <cs:defRPr sz="1000" kern="1200"/>
  </cs:axisTitle>
  <cs:categoryAxis>
    <cs:lnRef idx="0"/>
    <cs:fillRef idx="0"/>
    <cs:effectRef idx="0"/>
    <cs:fontRef idx="minor">
      <a:schemeClr val="tx1">
        <a:lumMod val="65%"/>
        <a:lumOff val="35%"/>
      </a:schemeClr>
    </cs:fontRef>
    <cs:spPr>
      <a:ln w="9525" cap="flat" cmpd="sng" algn="ctr">
        <a:solidFill>
          <a:schemeClr val="tx1">
            <a:lumMod val="15%"/>
            <a:lumOff val="85%"/>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
            <a:lumOff val="85%"/>
          </a:schemeClr>
        </a:solidFill>
        <a:round/>
      </a:ln>
    </cs:spPr>
    <cs:defRPr sz="1000" kern="1200"/>
  </cs:chartArea>
  <cs:dataLabel>
    <cs:lnRef idx="0"/>
    <cs:fillRef idx="0"/>
    <cs:effectRef idx="0"/>
    <cs:fontRef idx="minor">
      <a:schemeClr val="tx1">
        <a:lumMod val="75%"/>
        <a:lumOff val="25%"/>
      </a:schemeClr>
    </cs:fontRef>
    <cs:defRPr sz="900" kern="1200"/>
  </cs:dataLabel>
  <cs:dataLabelCallout>
    <cs:lnRef idx="0"/>
    <cs:fillRef idx="0"/>
    <cs:effectRef idx="0"/>
    <cs:fontRef idx="minor">
      <a:schemeClr val="dk1">
        <a:lumMod val="65%"/>
        <a:lumOff val="35%"/>
      </a:schemeClr>
    </cs:fontRef>
    <cs:spPr>
      <a:solidFill>
        <a:schemeClr val="lt1"/>
      </a:solidFill>
      <a:ln>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
        <a:lumOff val="35%"/>
      </a:schemeClr>
    </cs:fontRef>
    <cs:spPr>
      <a:noFill/>
      <a:ln w="9525" cap="flat" cmpd="sng" algn="ctr">
        <a:solidFill>
          <a:schemeClr val="tx1">
            <a:lumMod val="15%"/>
            <a:lumOff val="85%"/>
          </a:schemeClr>
        </a:solidFill>
        <a:round/>
      </a:ln>
    </cs:spPr>
    <cs:defRPr sz="900" kern="1200"/>
  </cs:dataTable>
  <cs:downBar>
    <cs:lnRef idx="0"/>
    <cs:fillRef idx="0"/>
    <cs:effectRef idx="0"/>
    <cs:fontRef idx="minor">
      <a:schemeClr val="tx1"/>
    </cs:fontRef>
    <cs:spPr>
      <a:solidFill>
        <a:schemeClr val="dk1">
          <a:lumMod val="75%"/>
          <a:lumOff val="25%"/>
        </a:schemeClr>
      </a:solidFill>
      <a:ln w="9525" cap="flat" cmpd="sng" algn="ctr">
        <a:solidFill>
          <a:schemeClr val="tx1">
            <a:lumMod val="65%"/>
            <a:lumOff val="35%"/>
          </a:schemeClr>
        </a:solidFill>
        <a:round/>
      </a:ln>
    </cs:spPr>
  </cs:downBar>
  <cs:dropLine>
    <cs:lnRef idx="0"/>
    <cs:fillRef idx="0"/>
    <cs:effectRef idx="0"/>
    <cs:fontRef idx="minor">
      <a:schemeClr val="tx1"/>
    </cs:fontRef>
    <cs:spPr>
      <a:ln w="9525" cap="flat" cmpd="sng" algn="ctr">
        <a:solidFill>
          <a:schemeClr val="tx1">
            <a:lumMod val="35%"/>
            <a:lumOff val="65%"/>
          </a:schemeClr>
        </a:solidFill>
        <a:round/>
      </a:ln>
    </cs:spPr>
  </cs:dropLine>
  <cs:errorBar>
    <cs:lnRef idx="0"/>
    <cs:fillRef idx="0"/>
    <cs:effectRef idx="0"/>
    <cs:fontRef idx="minor">
      <a:schemeClr val="tx1"/>
    </cs:fontRef>
    <cs:spPr>
      <a:ln w="9525" cap="flat" cmpd="sng" algn="ctr">
        <a:solidFill>
          <a:schemeClr val="tx1">
            <a:lumMod val="65%"/>
            <a:lumOff val="35%"/>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
            <a:lumOff val="85%"/>
          </a:schemeClr>
        </a:solidFill>
        <a:round/>
      </a:ln>
    </cs:spPr>
  </cs:gridlineMajor>
  <cs:gridlineMinor>
    <cs:lnRef idx="0"/>
    <cs:fillRef idx="0"/>
    <cs:effectRef idx="0"/>
    <cs:fontRef idx="minor">
      <a:schemeClr val="tx1"/>
    </cs:fontRef>
    <cs:spPr>
      <a:ln w="9525" cap="flat" cmpd="sng" algn="ctr">
        <a:solidFill>
          <a:schemeClr val="tx1">
            <a:lumMod val="5%"/>
            <a:lumOff val="95%"/>
          </a:schemeClr>
        </a:solidFill>
        <a:round/>
      </a:ln>
    </cs:spPr>
  </cs:gridlineMinor>
  <cs:hiLoLine>
    <cs:lnRef idx="0"/>
    <cs:fillRef idx="0"/>
    <cs:effectRef idx="0"/>
    <cs:fontRef idx="minor">
      <a:schemeClr val="tx1"/>
    </cs:fontRef>
    <cs:spPr>
      <a:ln w="9525" cap="flat" cmpd="sng" algn="ctr">
        <a:solidFill>
          <a:schemeClr val="tx1">
            <a:lumMod val="50%"/>
            <a:lumOff val="50%"/>
          </a:schemeClr>
        </a:solidFill>
        <a:round/>
      </a:ln>
    </cs:spPr>
  </cs:hiLoLine>
  <cs:leaderLine>
    <cs:lnRef idx="0"/>
    <cs:fillRef idx="0"/>
    <cs:effectRef idx="0"/>
    <cs:fontRef idx="minor">
      <a:schemeClr val="tx1"/>
    </cs:fontRef>
    <cs:spPr>
      <a:ln w="9525" cap="flat" cmpd="sng" algn="ctr">
        <a:solidFill>
          <a:schemeClr val="tx1">
            <a:lumMod val="35%"/>
            <a:lumOff val="65%"/>
          </a:schemeClr>
        </a:solidFill>
        <a:round/>
      </a:ln>
    </cs:spPr>
  </cs:leaderLine>
  <cs:legend>
    <cs:lnRef idx="0"/>
    <cs:fillRef idx="0"/>
    <cs:effectRef idx="0"/>
    <cs:fontRef idx="minor">
      <a:schemeClr val="tx1">
        <a:lumMod val="65%"/>
        <a:lumOff val="35%"/>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
        <a:lumOff val="35%"/>
      </a:schemeClr>
    </cs:fontRef>
    <cs:defRPr sz="900" kern="1200"/>
  </cs:seriesAxis>
  <cs:seriesLine>
    <cs:lnRef idx="0"/>
    <cs:fillRef idx="0"/>
    <cs:effectRef idx="0"/>
    <cs:fontRef idx="minor">
      <a:schemeClr val="tx1"/>
    </cs:fontRef>
    <cs:spPr>
      <a:ln w="9525" cap="flat" cmpd="sng" algn="ctr">
        <a:solidFill>
          <a:schemeClr val="tx1">
            <a:lumMod val="35%"/>
            <a:lumOff val="65%"/>
          </a:schemeClr>
        </a:solidFill>
        <a:round/>
      </a:ln>
    </cs:spPr>
  </cs:seriesLine>
  <cs:title>
    <cs:lnRef idx="0"/>
    <cs:fillRef idx="0"/>
    <cs:effectRef idx="0"/>
    <cs:fontRef idx="minor">
      <a:schemeClr val="tx1">
        <a:lumMod val="65%"/>
        <a:lumOff val="35%"/>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
        <a:lumOff val="35%"/>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
            <a:lumOff val="35%"/>
          </a:schemeClr>
        </a:solidFill>
        <a:round/>
      </a:ln>
    </cs:spPr>
  </cs:upBar>
  <cs:valueAxis>
    <cs:lnRef idx="0"/>
    <cs:fillRef idx="0"/>
    <cs:effectRef idx="0"/>
    <cs:fontRef idx="minor">
      <a:schemeClr val="tx1">
        <a:lumMod val="65%"/>
        <a:lumOff val="35%"/>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purl.oclc.org/ooxml/drawingml/main" id="297">
  <cs:axisTitle>
    <cs:lnRef idx="0"/>
    <cs:fillRef idx="0"/>
    <cs:effectRef idx="0"/>
    <cs:fontRef idx="minor">
      <a:schemeClr val="tx1">
        <a:lumMod val="65%"/>
        <a:lumOff val="35%"/>
      </a:schemeClr>
    </cs:fontRef>
    <cs:defRPr sz="1000" kern="1200"/>
  </cs:axisTitle>
  <cs:categoryAxis>
    <cs:lnRef idx="0"/>
    <cs:fillRef idx="0"/>
    <cs:effectRef idx="0"/>
    <cs:fontRef idx="minor">
      <a:schemeClr val="tx1">
        <a:lumMod val="65%"/>
        <a:lumOff val="35%"/>
      </a:schemeClr>
    </cs:fontRef>
    <cs:spPr>
      <a:ln w="9525" cap="flat" cmpd="sng" algn="ctr">
        <a:solidFill>
          <a:schemeClr val="tx1">
            <a:lumMod val="15%"/>
            <a:lumOff val="85%"/>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
            <a:lumOff val="85%"/>
          </a:schemeClr>
        </a:solidFill>
        <a:round/>
      </a:ln>
    </cs:spPr>
    <cs:defRPr sz="1000" kern="1200"/>
  </cs:chartArea>
  <cs:dataLabel>
    <cs:lnRef idx="0"/>
    <cs:fillRef idx="0"/>
    <cs:effectRef idx="0"/>
    <cs:fontRef idx="minor">
      <a:schemeClr val="tx1">
        <a:lumMod val="75%"/>
        <a:lumOff val="25%"/>
      </a:schemeClr>
    </cs:fontRef>
    <cs:defRPr sz="900" kern="1200"/>
  </cs:dataLabel>
  <cs:dataLabelCallout>
    <cs:lnRef idx="0"/>
    <cs:fillRef idx="0"/>
    <cs:effectRef idx="0"/>
    <cs:fontRef idx="minor">
      <a:schemeClr val="dk1">
        <a:lumMod val="65%"/>
        <a:lumOff val="35%"/>
      </a:schemeClr>
    </cs:fontRef>
    <cs:spPr>
      <a:solidFill>
        <a:schemeClr val="lt1"/>
      </a:solidFill>
      <a:ln>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
        <a:lumOff val="35%"/>
      </a:schemeClr>
    </cs:fontRef>
    <cs:spPr>
      <a:noFill/>
      <a:ln w="9525" cap="flat" cmpd="sng" algn="ctr">
        <a:solidFill>
          <a:schemeClr val="tx1">
            <a:lumMod val="15%"/>
            <a:lumOff val="85%"/>
          </a:schemeClr>
        </a:solidFill>
        <a:round/>
      </a:ln>
    </cs:spPr>
    <cs:defRPr sz="900" kern="1200"/>
  </cs:dataTable>
  <cs:downBar>
    <cs:lnRef idx="0"/>
    <cs:fillRef idx="0"/>
    <cs:effectRef idx="0"/>
    <cs:fontRef idx="minor">
      <a:schemeClr val="tx1"/>
    </cs:fontRef>
    <cs:spPr>
      <a:solidFill>
        <a:schemeClr val="dk1">
          <a:lumMod val="75%"/>
          <a:lumOff val="25%"/>
        </a:schemeClr>
      </a:solidFill>
      <a:ln w="9525" cap="flat" cmpd="sng" algn="ctr">
        <a:solidFill>
          <a:schemeClr val="tx1">
            <a:lumMod val="65%"/>
            <a:lumOff val="35%"/>
          </a:schemeClr>
        </a:solidFill>
        <a:round/>
      </a:ln>
    </cs:spPr>
  </cs:downBar>
  <cs:dropLine>
    <cs:lnRef idx="0"/>
    <cs:fillRef idx="0"/>
    <cs:effectRef idx="0"/>
    <cs:fontRef idx="minor">
      <a:schemeClr val="tx1"/>
    </cs:fontRef>
    <cs:spPr>
      <a:ln w="9525" cap="flat" cmpd="sng" algn="ctr">
        <a:solidFill>
          <a:schemeClr val="tx1">
            <a:lumMod val="35%"/>
            <a:lumOff val="65%"/>
          </a:schemeClr>
        </a:solidFill>
        <a:round/>
      </a:ln>
    </cs:spPr>
  </cs:dropLine>
  <cs:errorBar>
    <cs:lnRef idx="0"/>
    <cs:fillRef idx="0"/>
    <cs:effectRef idx="0"/>
    <cs:fontRef idx="minor">
      <a:schemeClr val="tx1"/>
    </cs:fontRef>
    <cs:spPr>
      <a:ln w="9525" cap="flat" cmpd="sng" algn="ctr">
        <a:solidFill>
          <a:schemeClr val="tx1">
            <a:lumMod val="65%"/>
            <a:lumOff val="35%"/>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
            <a:lumOff val="85%"/>
          </a:schemeClr>
        </a:solidFill>
        <a:round/>
      </a:ln>
    </cs:spPr>
  </cs:gridlineMajor>
  <cs:gridlineMinor>
    <cs:lnRef idx="0"/>
    <cs:fillRef idx="0"/>
    <cs:effectRef idx="0"/>
    <cs:fontRef idx="minor">
      <a:schemeClr val="tx1"/>
    </cs:fontRef>
    <cs:spPr>
      <a:ln w="9525" cap="flat" cmpd="sng" algn="ctr">
        <a:solidFill>
          <a:schemeClr val="tx1">
            <a:lumMod val="5%"/>
            <a:lumOff val="95%"/>
          </a:schemeClr>
        </a:solidFill>
        <a:round/>
      </a:ln>
    </cs:spPr>
  </cs:gridlineMinor>
  <cs:hiLoLine>
    <cs:lnRef idx="0"/>
    <cs:fillRef idx="0"/>
    <cs:effectRef idx="0"/>
    <cs:fontRef idx="minor">
      <a:schemeClr val="tx1"/>
    </cs:fontRef>
    <cs:spPr>
      <a:ln w="9525" cap="flat" cmpd="sng" algn="ctr">
        <a:solidFill>
          <a:schemeClr val="tx1">
            <a:lumMod val="50%"/>
            <a:lumOff val="50%"/>
          </a:schemeClr>
        </a:solidFill>
        <a:round/>
      </a:ln>
    </cs:spPr>
  </cs:hiLoLine>
  <cs:leaderLine>
    <cs:lnRef idx="0"/>
    <cs:fillRef idx="0"/>
    <cs:effectRef idx="0"/>
    <cs:fontRef idx="minor">
      <a:schemeClr val="tx1"/>
    </cs:fontRef>
    <cs:spPr>
      <a:ln w="9525" cap="flat" cmpd="sng" algn="ctr">
        <a:solidFill>
          <a:schemeClr val="tx1">
            <a:lumMod val="35%"/>
            <a:lumOff val="65%"/>
          </a:schemeClr>
        </a:solidFill>
        <a:round/>
      </a:ln>
    </cs:spPr>
  </cs:leaderLine>
  <cs:legend>
    <cs:lnRef idx="0"/>
    <cs:fillRef idx="0"/>
    <cs:effectRef idx="0"/>
    <cs:fontRef idx="minor">
      <a:schemeClr val="tx1">
        <a:lumMod val="65%"/>
        <a:lumOff val="35%"/>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
        <a:lumOff val="35%"/>
      </a:schemeClr>
    </cs:fontRef>
    <cs:defRPr sz="900" kern="1200"/>
  </cs:seriesAxis>
  <cs:seriesLine>
    <cs:lnRef idx="0"/>
    <cs:fillRef idx="0"/>
    <cs:effectRef idx="0"/>
    <cs:fontRef idx="minor">
      <a:schemeClr val="tx1"/>
    </cs:fontRef>
    <cs:spPr>
      <a:ln w="9525" cap="flat" cmpd="sng" algn="ctr">
        <a:solidFill>
          <a:schemeClr val="tx1">
            <a:lumMod val="35%"/>
            <a:lumOff val="65%"/>
          </a:schemeClr>
        </a:solidFill>
        <a:round/>
      </a:ln>
    </cs:spPr>
  </cs:seriesLine>
  <cs:title>
    <cs:lnRef idx="0"/>
    <cs:fillRef idx="0"/>
    <cs:effectRef idx="0"/>
    <cs:fontRef idx="minor">
      <a:schemeClr val="tx1">
        <a:lumMod val="65%"/>
        <a:lumOff val="35%"/>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
        <a:lumOff val="35%"/>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
            <a:lumOff val="35%"/>
          </a:schemeClr>
        </a:solidFill>
        <a:round/>
      </a:ln>
    </cs:spPr>
  </cs:upBar>
  <cs:valueAxis>
    <cs:lnRef idx="0"/>
    <cs:fillRef idx="0"/>
    <cs:effectRef idx="0"/>
    <cs:fontRef idx="minor">
      <a:schemeClr val="tx1">
        <a:lumMod val="65%"/>
        <a:lumOff val="35%"/>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purl.oclc.org/ooxml/drawingml/main" id="297">
  <cs:axisTitle>
    <cs:lnRef idx="0"/>
    <cs:fillRef idx="0"/>
    <cs:effectRef idx="0"/>
    <cs:fontRef idx="minor">
      <a:schemeClr val="tx1">
        <a:lumMod val="65%"/>
        <a:lumOff val="35%"/>
      </a:schemeClr>
    </cs:fontRef>
    <cs:defRPr sz="1000" kern="1200"/>
  </cs:axisTitle>
  <cs:categoryAxis>
    <cs:lnRef idx="0"/>
    <cs:fillRef idx="0"/>
    <cs:effectRef idx="0"/>
    <cs:fontRef idx="minor">
      <a:schemeClr val="tx1">
        <a:lumMod val="65%"/>
        <a:lumOff val="35%"/>
      </a:schemeClr>
    </cs:fontRef>
    <cs:spPr>
      <a:ln w="9525" cap="flat" cmpd="sng" algn="ctr">
        <a:solidFill>
          <a:schemeClr val="tx1">
            <a:lumMod val="15%"/>
            <a:lumOff val="85%"/>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
            <a:lumOff val="85%"/>
          </a:schemeClr>
        </a:solidFill>
        <a:round/>
      </a:ln>
    </cs:spPr>
    <cs:defRPr sz="1000" kern="1200"/>
  </cs:chartArea>
  <cs:dataLabel>
    <cs:lnRef idx="0"/>
    <cs:fillRef idx="0"/>
    <cs:effectRef idx="0"/>
    <cs:fontRef idx="minor">
      <a:schemeClr val="tx1">
        <a:lumMod val="75%"/>
        <a:lumOff val="25%"/>
      </a:schemeClr>
    </cs:fontRef>
    <cs:defRPr sz="900" kern="1200"/>
  </cs:dataLabel>
  <cs:dataLabelCallout>
    <cs:lnRef idx="0"/>
    <cs:fillRef idx="0"/>
    <cs:effectRef idx="0"/>
    <cs:fontRef idx="minor">
      <a:schemeClr val="dk1">
        <a:lumMod val="65%"/>
        <a:lumOff val="35%"/>
      </a:schemeClr>
    </cs:fontRef>
    <cs:spPr>
      <a:solidFill>
        <a:schemeClr val="lt1"/>
      </a:solidFill>
      <a:ln>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
        <a:lumOff val="35%"/>
      </a:schemeClr>
    </cs:fontRef>
    <cs:spPr>
      <a:noFill/>
      <a:ln w="9525" cap="flat" cmpd="sng" algn="ctr">
        <a:solidFill>
          <a:schemeClr val="tx1">
            <a:lumMod val="15%"/>
            <a:lumOff val="85%"/>
          </a:schemeClr>
        </a:solidFill>
        <a:round/>
      </a:ln>
    </cs:spPr>
    <cs:defRPr sz="900" kern="1200"/>
  </cs:dataTable>
  <cs:downBar>
    <cs:lnRef idx="0"/>
    <cs:fillRef idx="0"/>
    <cs:effectRef idx="0"/>
    <cs:fontRef idx="minor">
      <a:schemeClr val="tx1"/>
    </cs:fontRef>
    <cs:spPr>
      <a:solidFill>
        <a:schemeClr val="dk1">
          <a:lumMod val="75%"/>
          <a:lumOff val="25%"/>
        </a:schemeClr>
      </a:solidFill>
      <a:ln w="9525" cap="flat" cmpd="sng" algn="ctr">
        <a:solidFill>
          <a:schemeClr val="tx1">
            <a:lumMod val="65%"/>
            <a:lumOff val="35%"/>
          </a:schemeClr>
        </a:solidFill>
        <a:round/>
      </a:ln>
    </cs:spPr>
  </cs:downBar>
  <cs:dropLine>
    <cs:lnRef idx="0"/>
    <cs:fillRef idx="0"/>
    <cs:effectRef idx="0"/>
    <cs:fontRef idx="minor">
      <a:schemeClr val="tx1"/>
    </cs:fontRef>
    <cs:spPr>
      <a:ln w="9525" cap="flat" cmpd="sng" algn="ctr">
        <a:solidFill>
          <a:schemeClr val="tx1">
            <a:lumMod val="35%"/>
            <a:lumOff val="65%"/>
          </a:schemeClr>
        </a:solidFill>
        <a:round/>
      </a:ln>
    </cs:spPr>
  </cs:dropLine>
  <cs:errorBar>
    <cs:lnRef idx="0"/>
    <cs:fillRef idx="0"/>
    <cs:effectRef idx="0"/>
    <cs:fontRef idx="minor">
      <a:schemeClr val="tx1"/>
    </cs:fontRef>
    <cs:spPr>
      <a:ln w="9525" cap="flat" cmpd="sng" algn="ctr">
        <a:solidFill>
          <a:schemeClr val="tx1">
            <a:lumMod val="65%"/>
            <a:lumOff val="35%"/>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
            <a:lumOff val="85%"/>
          </a:schemeClr>
        </a:solidFill>
        <a:round/>
      </a:ln>
    </cs:spPr>
  </cs:gridlineMajor>
  <cs:gridlineMinor>
    <cs:lnRef idx="0"/>
    <cs:fillRef idx="0"/>
    <cs:effectRef idx="0"/>
    <cs:fontRef idx="minor">
      <a:schemeClr val="tx1"/>
    </cs:fontRef>
    <cs:spPr>
      <a:ln w="9525" cap="flat" cmpd="sng" algn="ctr">
        <a:solidFill>
          <a:schemeClr val="tx1">
            <a:lumMod val="5%"/>
            <a:lumOff val="95%"/>
          </a:schemeClr>
        </a:solidFill>
        <a:round/>
      </a:ln>
    </cs:spPr>
  </cs:gridlineMinor>
  <cs:hiLoLine>
    <cs:lnRef idx="0"/>
    <cs:fillRef idx="0"/>
    <cs:effectRef idx="0"/>
    <cs:fontRef idx="minor">
      <a:schemeClr val="tx1"/>
    </cs:fontRef>
    <cs:spPr>
      <a:ln w="9525" cap="flat" cmpd="sng" algn="ctr">
        <a:solidFill>
          <a:schemeClr val="tx1">
            <a:lumMod val="50%"/>
            <a:lumOff val="50%"/>
          </a:schemeClr>
        </a:solidFill>
        <a:round/>
      </a:ln>
    </cs:spPr>
  </cs:hiLoLine>
  <cs:leaderLine>
    <cs:lnRef idx="0"/>
    <cs:fillRef idx="0"/>
    <cs:effectRef idx="0"/>
    <cs:fontRef idx="minor">
      <a:schemeClr val="tx1"/>
    </cs:fontRef>
    <cs:spPr>
      <a:ln w="9525" cap="flat" cmpd="sng" algn="ctr">
        <a:solidFill>
          <a:schemeClr val="tx1">
            <a:lumMod val="35%"/>
            <a:lumOff val="65%"/>
          </a:schemeClr>
        </a:solidFill>
        <a:round/>
      </a:ln>
    </cs:spPr>
  </cs:leaderLine>
  <cs:legend>
    <cs:lnRef idx="0"/>
    <cs:fillRef idx="0"/>
    <cs:effectRef idx="0"/>
    <cs:fontRef idx="minor">
      <a:schemeClr val="tx1">
        <a:lumMod val="65%"/>
        <a:lumOff val="35%"/>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
        <a:lumOff val="35%"/>
      </a:schemeClr>
    </cs:fontRef>
    <cs:defRPr sz="900" kern="1200"/>
  </cs:seriesAxis>
  <cs:seriesLine>
    <cs:lnRef idx="0"/>
    <cs:fillRef idx="0"/>
    <cs:effectRef idx="0"/>
    <cs:fontRef idx="minor">
      <a:schemeClr val="tx1"/>
    </cs:fontRef>
    <cs:spPr>
      <a:ln w="9525" cap="flat" cmpd="sng" algn="ctr">
        <a:solidFill>
          <a:schemeClr val="tx1">
            <a:lumMod val="35%"/>
            <a:lumOff val="65%"/>
          </a:schemeClr>
        </a:solidFill>
        <a:round/>
      </a:ln>
    </cs:spPr>
  </cs:seriesLine>
  <cs:title>
    <cs:lnRef idx="0"/>
    <cs:fillRef idx="0"/>
    <cs:effectRef idx="0"/>
    <cs:fontRef idx="minor">
      <a:schemeClr val="tx1">
        <a:lumMod val="65%"/>
        <a:lumOff val="35%"/>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
        <a:lumOff val="35%"/>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
            <a:lumOff val="35%"/>
          </a:schemeClr>
        </a:solidFill>
        <a:round/>
      </a:ln>
    </cs:spPr>
  </cs:upBar>
  <cs:valueAxis>
    <cs:lnRef idx="0"/>
    <cs:fillRef idx="0"/>
    <cs:effectRef idx="0"/>
    <cs:fontRef idx="minor">
      <a:schemeClr val="tx1">
        <a:lumMod val="65%"/>
        <a:lumOff val="35%"/>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purl.oclc.org/ooxml/drawingml/main" id="297">
  <cs:axisTitle>
    <cs:lnRef idx="0"/>
    <cs:fillRef idx="0"/>
    <cs:effectRef idx="0"/>
    <cs:fontRef idx="minor">
      <a:schemeClr val="tx1">
        <a:lumMod val="65%"/>
        <a:lumOff val="35%"/>
      </a:schemeClr>
    </cs:fontRef>
    <cs:defRPr sz="1000" kern="1200"/>
  </cs:axisTitle>
  <cs:categoryAxis>
    <cs:lnRef idx="0"/>
    <cs:fillRef idx="0"/>
    <cs:effectRef idx="0"/>
    <cs:fontRef idx="minor">
      <a:schemeClr val="tx1">
        <a:lumMod val="65%"/>
        <a:lumOff val="35%"/>
      </a:schemeClr>
    </cs:fontRef>
    <cs:spPr>
      <a:ln w="9525" cap="flat" cmpd="sng" algn="ctr">
        <a:solidFill>
          <a:schemeClr val="tx1">
            <a:lumMod val="15%"/>
            <a:lumOff val="85%"/>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
            <a:lumOff val="85%"/>
          </a:schemeClr>
        </a:solidFill>
        <a:round/>
      </a:ln>
    </cs:spPr>
    <cs:defRPr sz="1000" kern="1200"/>
  </cs:chartArea>
  <cs:dataLabel>
    <cs:lnRef idx="0"/>
    <cs:fillRef idx="0"/>
    <cs:effectRef idx="0"/>
    <cs:fontRef idx="minor">
      <a:schemeClr val="tx1">
        <a:lumMod val="75%"/>
        <a:lumOff val="25%"/>
      </a:schemeClr>
    </cs:fontRef>
    <cs:defRPr sz="900" kern="1200"/>
  </cs:dataLabel>
  <cs:dataLabelCallout>
    <cs:lnRef idx="0"/>
    <cs:fillRef idx="0"/>
    <cs:effectRef idx="0"/>
    <cs:fontRef idx="minor">
      <a:schemeClr val="dk1">
        <a:lumMod val="65%"/>
        <a:lumOff val="35%"/>
      </a:schemeClr>
    </cs:fontRef>
    <cs:spPr>
      <a:solidFill>
        <a:schemeClr val="lt1"/>
      </a:solidFill>
      <a:ln>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
        <a:lumOff val="35%"/>
      </a:schemeClr>
    </cs:fontRef>
    <cs:spPr>
      <a:noFill/>
      <a:ln w="9525" cap="flat" cmpd="sng" algn="ctr">
        <a:solidFill>
          <a:schemeClr val="tx1">
            <a:lumMod val="15%"/>
            <a:lumOff val="85%"/>
          </a:schemeClr>
        </a:solidFill>
        <a:round/>
      </a:ln>
    </cs:spPr>
    <cs:defRPr sz="900" kern="1200"/>
  </cs:dataTable>
  <cs:downBar>
    <cs:lnRef idx="0"/>
    <cs:fillRef idx="0"/>
    <cs:effectRef idx="0"/>
    <cs:fontRef idx="minor">
      <a:schemeClr val="tx1"/>
    </cs:fontRef>
    <cs:spPr>
      <a:solidFill>
        <a:schemeClr val="dk1">
          <a:lumMod val="75%"/>
          <a:lumOff val="25%"/>
        </a:schemeClr>
      </a:solidFill>
      <a:ln w="9525" cap="flat" cmpd="sng" algn="ctr">
        <a:solidFill>
          <a:schemeClr val="tx1">
            <a:lumMod val="65%"/>
            <a:lumOff val="35%"/>
          </a:schemeClr>
        </a:solidFill>
        <a:round/>
      </a:ln>
    </cs:spPr>
  </cs:downBar>
  <cs:dropLine>
    <cs:lnRef idx="0"/>
    <cs:fillRef idx="0"/>
    <cs:effectRef idx="0"/>
    <cs:fontRef idx="minor">
      <a:schemeClr val="tx1"/>
    </cs:fontRef>
    <cs:spPr>
      <a:ln w="9525" cap="flat" cmpd="sng" algn="ctr">
        <a:solidFill>
          <a:schemeClr val="tx1">
            <a:lumMod val="35%"/>
            <a:lumOff val="65%"/>
          </a:schemeClr>
        </a:solidFill>
        <a:round/>
      </a:ln>
    </cs:spPr>
  </cs:dropLine>
  <cs:errorBar>
    <cs:lnRef idx="0"/>
    <cs:fillRef idx="0"/>
    <cs:effectRef idx="0"/>
    <cs:fontRef idx="minor">
      <a:schemeClr val="tx1"/>
    </cs:fontRef>
    <cs:spPr>
      <a:ln w="9525" cap="flat" cmpd="sng" algn="ctr">
        <a:solidFill>
          <a:schemeClr val="tx1">
            <a:lumMod val="65%"/>
            <a:lumOff val="35%"/>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
            <a:lumOff val="85%"/>
          </a:schemeClr>
        </a:solidFill>
        <a:round/>
      </a:ln>
    </cs:spPr>
  </cs:gridlineMajor>
  <cs:gridlineMinor>
    <cs:lnRef idx="0"/>
    <cs:fillRef idx="0"/>
    <cs:effectRef idx="0"/>
    <cs:fontRef idx="minor">
      <a:schemeClr val="tx1"/>
    </cs:fontRef>
    <cs:spPr>
      <a:ln w="9525" cap="flat" cmpd="sng" algn="ctr">
        <a:solidFill>
          <a:schemeClr val="tx1">
            <a:lumMod val="5%"/>
            <a:lumOff val="95%"/>
          </a:schemeClr>
        </a:solidFill>
        <a:round/>
      </a:ln>
    </cs:spPr>
  </cs:gridlineMinor>
  <cs:hiLoLine>
    <cs:lnRef idx="0"/>
    <cs:fillRef idx="0"/>
    <cs:effectRef idx="0"/>
    <cs:fontRef idx="minor">
      <a:schemeClr val="tx1"/>
    </cs:fontRef>
    <cs:spPr>
      <a:ln w="9525" cap="flat" cmpd="sng" algn="ctr">
        <a:solidFill>
          <a:schemeClr val="tx1">
            <a:lumMod val="50%"/>
            <a:lumOff val="50%"/>
          </a:schemeClr>
        </a:solidFill>
        <a:round/>
      </a:ln>
    </cs:spPr>
  </cs:hiLoLine>
  <cs:leaderLine>
    <cs:lnRef idx="0"/>
    <cs:fillRef idx="0"/>
    <cs:effectRef idx="0"/>
    <cs:fontRef idx="minor">
      <a:schemeClr val="tx1"/>
    </cs:fontRef>
    <cs:spPr>
      <a:ln w="9525" cap="flat" cmpd="sng" algn="ctr">
        <a:solidFill>
          <a:schemeClr val="tx1">
            <a:lumMod val="35%"/>
            <a:lumOff val="65%"/>
          </a:schemeClr>
        </a:solidFill>
        <a:round/>
      </a:ln>
    </cs:spPr>
  </cs:leaderLine>
  <cs:legend>
    <cs:lnRef idx="0"/>
    <cs:fillRef idx="0"/>
    <cs:effectRef idx="0"/>
    <cs:fontRef idx="minor">
      <a:schemeClr val="tx1">
        <a:lumMod val="65%"/>
        <a:lumOff val="35%"/>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
        <a:lumOff val="35%"/>
      </a:schemeClr>
    </cs:fontRef>
    <cs:defRPr sz="900" kern="1200"/>
  </cs:seriesAxis>
  <cs:seriesLine>
    <cs:lnRef idx="0"/>
    <cs:fillRef idx="0"/>
    <cs:effectRef idx="0"/>
    <cs:fontRef idx="minor">
      <a:schemeClr val="tx1"/>
    </cs:fontRef>
    <cs:spPr>
      <a:ln w="9525" cap="flat" cmpd="sng" algn="ctr">
        <a:solidFill>
          <a:schemeClr val="tx1">
            <a:lumMod val="35%"/>
            <a:lumOff val="65%"/>
          </a:schemeClr>
        </a:solidFill>
        <a:round/>
      </a:ln>
    </cs:spPr>
  </cs:seriesLine>
  <cs:title>
    <cs:lnRef idx="0"/>
    <cs:fillRef idx="0"/>
    <cs:effectRef idx="0"/>
    <cs:fontRef idx="minor">
      <a:schemeClr val="tx1">
        <a:lumMod val="65%"/>
        <a:lumOff val="35%"/>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
        <a:lumOff val="35%"/>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
            <a:lumOff val="35%"/>
          </a:schemeClr>
        </a:solidFill>
        <a:round/>
      </a:ln>
    </cs:spPr>
  </cs:upBar>
  <cs:valueAxis>
    <cs:lnRef idx="0"/>
    <cs:fillRef idx="0"/>
    <cs:effectRef idx="0"/>
    <cs:fontRef idx="minor">
      <a:schemeClr val="tx1">
        <a:lumMod val="65%"/>
        <a:lumOff val="35%"/>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purl.oclc.org/ooxml/drawingml/main" id="297">
  <cs:axisTitle>
    <cs:lnRef idx="0"/>
    <cs:fillRef idx="0"/>
    <cs:effectRef idx="0"/>
    <cs:fontRef idx="minor">
      <a:schemeClr val="tx1">
        <a:lumMod val="65%"/>
        <a:lumOff val="35%"/>
      </a:schemeClr>
    </cs:fontRef>
    <cs:defRPr sz="1000" kern="1200"/>
  </cs:axisTitle>
  <cs:categoryAxis>
    <cs:lnRef idx="0"/>
    <cs:fillRef idx="0"/>
    <cs:effectRef idx="0"/>
    <cs:fontRef idx="minor">
      <a:schemeClr val="tx1">
        <a:lumMod val="65%"/>
        <a:lumOff val="35%"/>
      </a:schemeClr>
    </cs:fontRef>
    <cs:spPr>
      <a:ln w="9525" cap="flat" cmpd="sng" algn="ctr">
        <a:solidFill>
          <a:schemeClr val="tx1">
            <a:lumMod val="15%"/>
            <a:lumOff val="85%"/>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
            <a:lumOff val="85%"/>
          </a:schemeClr>
        </a:solidFill>
        <a:round/>
      </a:ln>
    </cs:spPr>
    <cs:defRPr sz="1000" kern="1200"/>
  </cs:chartArea>
  <cs:dataLabel>
    <cs:lnRef idx="0"/>
    <cs:fillRef idx="0"/>
    <cs:effectRef idx="0"/>
    <cs:fontRef idx="minor">
      <a:schemeClr val="tx1">
        <a:lumMod val="75%"/>
        <a:lumOff val="25%"/>
      </a:schemeClr>
    </cs:fontRef>
    <cs:defRPr sz="900" kern="1200"/>
  </cs:dataLabel>
  <cs:dataLabelCallout>
    <cs:lnRef idx="0"/>
    <cs:fillRef idx="0"/>
    <cs:effectRef idx="0"/>
    <cs:fontRef idx="minor">
      <a:schemeClr val="dk1">
        <a:lumMod val="65%"/>
        <a:lumOff val="35%"/>
      </a:schemeClr>
    </cs:fontRef>
    <cs:spPr>
      <a:solidFill>
        <a:schemeClr val="lt1"/>
      </a:solidFill>
      <a:ln>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
        <a:lumOff val="35%"/>
      </a:schemeClr>
    </cs:fontRef>
    <cs:spPr>
      <a:noFill/>
      <a:ln w="9525" cap="flat" cmpd="sng" algn="ctr">
        <a:solidFill>
          <a:schemeClr val="tx1">
            <a:lumMod val="15%"/>
            <a:lumOff val="85%"/>
          </a:schemeClr>
        </a:solidFill>
        <a:round/>
      </a:ln>
    </cs:spPr>
    <cs:defRPr sz="900" kern="1200"/>
  </cs:dataTable>
  <cs:downBar>
    <cs:lnRef idx="0"/>
    <cs:fillRef idx="0"/>
    <cs:effectRef idx="0"/>
    <cs:fontRef idx="minor">
      <a:schemeClr val="tx1"/>
    </cs:fontRef>
    <cs:spPr>
      <a:solidFill>
        <a:schemeClr val="dk1">
          <a:lumMod val="75%"/>
          <a:lumOff val="25%"/>
        </a:schemeClr>
      </a:solidFill>
      <a:ln w="9525" cap="flat" cmpd="sng" algn="ctr">
        <a:solidFill>
          <a:schemeClr val="tx1">
            <a:lumMod val="65%"/>
            <a:lumOff val="35%"/>
          </a:schemeClr>
        </a:solidFill>
        <a:round/>
      </a:ln>
    </cs:spPr>
  </cs:downBar>
  <cs:dropLine>
    <cs:lnRef idx="0"/>
    <cs:fillRef idx="0"/>
    <cs:effectRef idx="0"/>
    <cs:fontRef idx="minor">
      <a:schemeClr val="tx1"/>
    </cs:fontRef>
    <cs:spPr>
      <a:ln w="9525" cap="flat" cmpd="sng" algn="ctr">
        <a:solidFill>
          <a:schemeClr val="tx1">
            <a:lumMod val="35%"/>
            <a:lumOff val="65%"/>
          </a:schemeClr>
        </a:solidFill>
        <a:round/>
      </a:ln>
    </cs:spPr>
  </cs:dropLine>
  <cs:errorBar>
    <cs:lnRef idx="0"/>
    <cs:fillRef idx="0"/>
    <cs:effectRef idx="0"/>
    <cs:fontRef idx="minor">
      <a:schemeClr val="tx1"/>
    </cs:fontRef>
    <cs:spPr>
      <a:ln w="9525" cap="flat" cmpd="sng" algn="ctr">
        <a:solidFill>
          <a:schemeClr val="tx1">
            <a:lumMod val="65%"/>
            <a:lumOff val="35%"/>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
            <a:lumOff val="85%"/>
          </a:schemeClr>
        </a:solidFill>
        <a:round/>
      </a:ln>
    </cs:spPr>
  </cs:gridlineMajor>
  <cs:gridlineMinor>
    <cs:lnRef idx="0"/>
    <cs:fillRef idx="0"/>
    <cs:effectRef idx="0"/>
    <cs:fontRef idx="minor">
      <a:schemeClr val="tx1"/>
    </cs:fontRef>
    <cs:spPr>
      <a:ln w="9525" cap="flat" cmpd="sng" algn="ctr">
        <a:solidFill>
          <a:schemeClr val="tx1">
            <a:lumMod val="5%"/>
            <a:lumOff val="95%"/>
          </a:schemeClr>
        </a:solidFill>
        <a:round/>
      </a:ln>
    </cs:spPr>
  </cs:gridlineMinor>
  <cs:hiLoLine>
    <cs:lnRef idx="0"/>
    <cs:fillRef idx="0"/>
    <cs:effectRef idx="0"/>
    <cs:fontRef idx="minor">
      <a:schemeClr val="tx1"/>
    </cs:fontRef>
    <cs:spPr>
      <a:ln w="9525" cap="flat" cmpd="sng" algn="ctr">
        <a:solidFill>
          <a:schemeClr val="tx1">
            <a:lumMod val="50%"/>
            <a:lumOff val="50%"/>
          </a:schemeClr>
        </a:solidFill>
        <a:round/>
      </a:ln>
    </cs:spPr>
  </cs:hiLoLine>
  <cs:leaderLine>
    <cs:lnRef idx="0"/>
    <cs:fillRef idx="0"/>
    <cs:effectRef idx="0"/>
    <cs:fontRef idx="minor">
      <a:schemeClr val="tx1"/>
    </cs:fontRef>
    <cs:spPr>
      <a:ln w="9525" cap="flat" cmpd="sng" algn="ctr">
        <a:solidFill>
          <a:schemeClr val="tx1">
            <a:lumMod val="35%"/>
            <a:lumOff val="65%"/>
          </a:schemeClr>
        </a:solidFill>
        <a:round/>
      </a:ln>
    </cs:spPr>
  </cs:leaderLine>
  <cs:legend>
    <cs:lnRef idx="0"/>
    <cs:fillRef idx="0"/>
    <cs:effectRef idx="0"/>
    <cs:fontRef idx="minor">
      <a:schemeClr val="tx1">
        <a:lumMod val="65%"/>
        <a:lumOff val="35%"/>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
        <a:lumOff val="35%"/>
      </a:schemeClr>
    </cs:fontRef>
    <cs:defRPr sz="900" kern="1200"/>
  </cs:seriesAxis>
  <cs:seriesLine>
    <cs:lnRef idx="0"/>
    <cs:fillRef idx="0"/>
    <cs:effectRef idx="0"/>
    <cs:fontRef idx="minor">
      <a:schemeClr val="tx1"/>
    </cs:fontRef>
    <cs:spPr>
      <a:ln w="9525" cap="flat" cmpd="sng" algn="ctr">
        <a:solidFill>
          <a:schemeClr val="tx1">
            <a:lumMod val="35%"/>
            <a:lumOff val="65%"/>
          </a:schemeClr>
        </a:solidFill>
        <a:round/>
      </a:ln>
    </cs:spPr>
  </cs:seriesLine>
  <cs:title>
    <cs:lnRef idx="0"/>
    <cs:fillRef idx="0"/>
    <cs:effectRef idx="0"/>
    <cs:fontRef idx="minor">
      <a:schemeClr val="tx1">
        <a:lumMod val="65%"/>
        <a:lumOff val="35%"/>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
        <a:lumOff val="35%"/>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
            <a:lumOff val="35%"/>
          </a:schemeClr>
        </a:solidFill>
        <a:round/>
      </a:ln>
    </cs:spPr>
  </cs:upBar>
  <cs:valueAxis>
    <cs:lnRef idx="0"/>
    <cs:fillRef idx="0"/>
    <cs:effectRef idx="0"/>
    <cs:fontRef idx="minor">
      <a:schemeClr val="tx1">
        <a:lumMod val="65%"/>
        <a:lumOff val="35%"/>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purl.oclc.org/ooxml/drawingml/main" id="297">
  <cs:axisTitle>
    <cs:lnRef idx="0"/>
    <cs:fillRef idx="0"/>
    <cs:effectRef idx="0"/>
    <cs:fontRef idx="minor">
      <a:schemeClr val="tx1">
        <a:lumMod val="65%"/>
        <a:lumOff val="35%"/>
      </a:schemeClr>
    </cs:fontRef>
    <cs:defRPr sz="1000" kern="1200"/>
  </cs:axisTitle>
  <cs:categoryAxis>
    <cs:lnRef idx="0"/>
    <cs:fillRef idx="0"/>
    <cs:effectRef idx="0"/>
    <cs:fontRef idx="minor">
      <a:schemeClr val="tx1">
        <a:lumMod val="65%"/>
        <a:lumOff val="35%"/>
      </a:schemeClr>
    </cs:fontRef>
    <cs:spPr>
      <a:ln w="9525" cap="flat" cmpd="sng" algn="ctr">
        <a:solidFill>
          <a:schemeClr val="tx1">
            <a:lumMod val="15%"/>
            <a:lumOff val="85%"/>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
            <a:lumOff val="85%"/>
          </a:schemeClr>
        </a:solidFill>
        <a:round/>
      </a:ln>
    </cs:spPr>
    <cs:defRPr sz="1000" kern="1200"/>
  </cs:chartArea>
  <cs:dataLabel>
    <cs:lnRef idx="0"/>
    <cs:fillRef idx="0"/>
    <cs:effectRef idx="0"/>
    <cs:fontRef idx="minor">
      <a:schemeClr val="tx1">
        <a:lumMod val="75%"/>
        <a:lumOff val="25%"/>
      </a:schemeClr>
    </cs:fontRef>
    <cs:defRPr sz="900" kern="1200"/>
  </cs:dataLabel>
  <cs:dataLabelCallout>
    <cs:lnRef idx="0"/>
    <cs:fillRef idx="0"/>
    <cs:effectRef idx="0"/>
    <cs:fontRef idx="minor">
      <a:schemeClr val="dk1">
        <a:lumMod val="65%"/>
        <a:lumOff val="35%"/>
      </a:schemeClr>
    </cs:fontRef>
    <cs:spPr>
      <a:solidFill>
        <a:schemeClr val="lt1"/>
      </a:solidFill>
      <a:ln>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
        <a:lumOff val="35%"/>
      </a:schemeClr>
    </cs:fontRef>
    <cs:spPr>
      <a:noFill/>
      <a:ln w="9525" cap="flat" cmpd="sng" algn="ctr">
        <a:solidFill>
          <a:schemeClr val="tx1">
            <a:lumMod val="15%"/>
            <a:lumOff val="85%"/>
          </a:schemeClr>
        </a:solidFill>
        <a:round/>
      </a:ln>
    </cs:spPr>
    <cs:defRPr sz="900" kern="1200"/>
  </cs:dataTable>
  <cs:downBar>
    <cs:lnRef idx="0"/>
    <cs:fillRef idx="0"/>
    <cs:effectRef idx="0"/>
    <cs:fontRef idx="minor">
      <a:schemeClr val="tx1"/>
    </cs:fontRef>
    <cs:spPr>
      <a:solidFill>
        <a:schemeClr val="dk1">
          <a:lumMod val="75%"/>
          <a:lumOff val="25%"/>
        </a:schemeClr>
      </a:solidFill>
      <a:ln w="9525" cap="flat" cmpd="sng" algn="ctr">
        <a:solidFill>
          <a:schemeClr val="tx1">
            <a:lumMod val="65%"/>
            <a:lumOff val="35%"/>
          </a:schemeClr>
        </a:solidFill>
        <a:round/>
      </a:ln>
    </cs:spPr>
  </cs:downBar>
  <cs:dropLine>
    <cs:lnRef idx="0"/>
    <cs:fillRef idx="0"/>
    <cs:effectRef idx="0"/>
    <cs:fontRef idx="minor">
      <a:schemeClr val="tx1"/>
    </cs:fontRef>
    <cs:spPr>
      <a:ln w="9525" cap="flat" cmpd="sng" algn="ctr">
        <a:solidFill>
          <a:schemeClr val="tx1">
            <a:lumMod val="35%"/>
            <a:lumOff val="65%"/>
          </a:schemeClr>
        </a:solidFill>
        <a:round/>
      </a:ln>
    </cs:spPr>
  </cs:dropLine>
  <cs:errorBar>
    <cs:lnRef idx="0"/>
    <cs:fillRef idx="0"/>
    <cs:effectRef idx="0"/>
    <cs:fontRef idx="minor">
      <a:schemeClr val="tx1"/>
    </cs:fontRef>
    <cs:spPr>
      <a:ln w="9525" cap="flat" cmpd="sng" algn="ctr">
        <a:solidFill>
          <a:schemeClr val="tx1">
            <a:lumMod val="65%"/>
            <a:lumOff val="35%"/>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
            <a:lumOff val="85%"/>
          </a:schemeClr>
        </a:solidFill>
        <a:round/>
      </a:ln>
    </cs:spPr>
  </cs:gridlineMajor>
  <cs:gridlineMinor>
    <cs:lnRef idx="0"/>
    <cs:fillRef idx="0"/>
    <cs:effectRef idx="0"/>
    <cs:fontRef idx="minor">
      <a:schemeClr val="tx1"/>
    </cs:fontRef>
    <cs:spPr>
      <a:ln w="9525" cap="flat" cmpd="sng" algn="ctr">
        <a:solidFill>
          <a:schemeClr val="tx1">
            <a:lumMod val="5%"/>
            <a:lumOff val="95%"/>
          </a:schemeClr>
        </a:solidFill>
        <a:round/>
      </a:ln>
    </cs:spPr>
  </cs:gridlineMinor>
  <cs:hiLoLine>
    <cs:lnRef idx="0"/>
    <cs:fillRef idx="0"/>
    <cs:effectRef idx="0"/>
    <cs:fontRef idx="minor">
      <a:schemeClr val="tx1"/>
    </cs:fontRef>
    <cs:spPr>
      <a:ln w="9525" cap="flat" cmpd="sng" algn="ctr">
        <a:solidFill>
          <a:schemeClr val="tx1">
            <a:lumMod val="50%"/>
            <a:lumOff val="50%"/>
          </a:schemeClr>
        </a:solidFill>
        <a:round/>
      </a:ln>
    </cs:spPr>
  </cs:hiLoLine>
  <cs:leaderLine>
    <cs:lnRef idx="0"/>
    <cs:fillRef idx="0"/>
    <cs:effectRef idx="0"/>
    <cs:fontRef idx="minor">
      <a:schemeClr val="tx1"/>
    </cs:fontRef>
    <cs:spPr>
      <a:ln w="9525" cap="flat" cmpd="sng" algn="ctr">
        <a:solidFill>
          <a:schemeClr val="tx1">
            <a:lumMod val="35%"/>
            <a:lumOff val="65%"/>
          </a:schemeClr>
        </a:solidFill>
        <a:round/>
      </a:ln>
    </cs:spPr>
  </cs:leaderLine>
  <cs:legend>
    <cs:lnRef idx="0"/>
    <cs:fillRef idx="0"/>
    <cs:effectRef idx="0"/>
    <cs:fontRef idx="minor">
      <a:schemeClr val="tx1">
        <a:lumMod val="65%"/>
        <a:lumOff val="35%"/>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
        <a:lumOff val="35%"/>
      </a:schemeClr>
    </cs:fontRef>
    <cs:defRPr sz="900" kern="1200"/>
  </cs:seriesAxis>
  <cs:seriesLine>
    <cs:lnRef idx="0"/>
    <cs:fillRef idx="0"/>
    <cs:effectRef idx="0"/>
    <cs:fontRef idx="minor">
      <a:schemeClr val="tx1"/>
    </cs:fontRef>
    <cs:spPr>
      <a:ln w="9525" cap="flat" cmpd="sng" algn="ctr">
        <a:solidFill>
          <a:schemeClr val="tx1">
            <a:lumMod val="35%"/>
            <a:lumOff val="65%"/>
          </a:schemeClr>
        </a:solidFill>
        <a:round/>
      </a:ln>
    </cs:spPr>
  </cs:seriesLine>
  <cs:title>
    <cs:lnRef idx="0"/>
    <cs:fillRef idx="0"/>
    <cs:effectRef idx="0"/>
    <cs:fontRef idx="minor">
      <a:schemeClr val="tx1">
        <a:lumMod val="65%"/>
        <a:lumOff val="35%"/>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
        <a:lumOff val="35%"/>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
            <a:lumOff val="35%"/>
          </a:schemeClr>
        </a:solidFill>
        <a:round/>
      </a:ln>
    </cs:spPr>
  </cs:upBar>
  <cs:valueAxis>
    <cs:lnRef idx="0"/>
    <cs:fillRef idx="0"/>
    <cs:effectRef idx="0"/>
    <cs:fontRef idx="minor">
      <a:schemeClr val="tx1">
        <a:lumMod val="65%"/>
        <a:lumOff val="35%"/>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purl.oclc.org/ooxml/drawingml/main" id="227">
  <cs:axisTitle>
    <cs:lnRef idx="0"/>
    <cs:fillRef idx="0"/>
    <cs:effectRef idx="0"/>
    <cs:fontRef idx="minor">
      <a:schemeClr val="tx1">
        <a:lumMod val="65%"/>
        <a:lumOff val="35%"/>
      </a:schemeClr>
    </cs:fontRef>
    <cs:defRPr sz="1000" kern="1200"/>
  </cs:axisTitle>
  <cs:categoryAxis>
    <cs:lnRef idx="0"/>
    <cs:fillRef idx="0"/>
    <cs:effectRef idx="0"/>
    <cs:fontRef idx="minor">
      <a:schemeClr val="tx1">
        <a:lumMod val="65%"/>
        <a:lumOff val="35%"/>
      </a:schemeClr>
    </cs:fontRef>
    <cs:spPr>
      <a:ln w="9525" cap="flat" cmpd="sng" algn="ctr">
        <a:solidFill>
          <a:schemeClr val="tx1">
            <a:lumMod val="15%"/>
            <a:lumOff val="85%"/>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
            <a:lumOff val="85%"/>
          </a:schemeClr>
        </a:solidFill>
        <a:round/>
      </a:ln>
    </cs:spPr>
    <cs:defRPr sz="1000" kern="1200"/>
  </cs:chartArea>
  <cs:dataLabel>
    <cs:lnRef idx="0"/>
    <cs:fillRef idx="0"/>
    <cs:effectRef idx="0"/>
    <cs:fontRef idx="minor">
      <a:schemeClr val="tx1">
        <a:lumMod val="75%"/>
        <a:lumOff val="25%"/>
      </a:schemeClr>
    </cs:fontRef>
    <cs:defRPr sz="900" kern="1200"/>
  </cs:dataLabel>
  <cs:dataLabelCallout>
    <cs:lnRef idx="0"/>
    <cs:fillRef idx="0"/>
    <cs:effectRef idx="0"/>
    <cs:fontRef idx="minor">
      <a:schemeClr val="dk1">
        <a:lumMod val="65%"/>
        <a:lumOff val="35%"/>
      </a:schemeClr>
    </cs:fontRef>
    <cs:spPr>
      <a:solidFill>
        <a:schemeClr val="lt1"/>
      </a:solidFill>
      <a:ln>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
        <a:lumOff val="35%"/>
      </a:schemeClr>
    </cs:fontRef>
    <cs:spPr>
      <a:noFill/>
      <a:ln w="9525" cap="flat" cmpd="sng" algn="ctr">
        <a:solidFill>
          <a:schemeClr val="tx1">
            <a:lumMod val="15%"/>
            <a:lumOff val="85%"/>
          </a:schemeClr>
        </a:solidFill>
        <a:round/>
      </a:ln>
    </cs:spPr>
    <cs:defRPr sz="900" kern="1200"/>
  </cs:dataTable>
  <cs:downBar>
    <cs:lnRef idx="0"/>
    <cs:fillRef idx="0"/>
    <cs:effectRef idx="0"/>
    <cs:fontRef idx="minor">
      <a:schemeClr val="dk1"/>
    </cs:fontRef>
    <cs:spPr>
      <a:solidFill>
        <a:schemeClr val="dk1">
          <a:lumMod val="65%"/>
          <a:lumOff val="35%"/>
        </a:schemeClr>
      </a:solidFill>
      <a:ln w="9525">
        <a:solidFill>
          <a:schemeClr val="tx1">
            <a:lumMod val="65%"/>
            <a:lumOff val="35%"/>
          </a:schemeClr>
        </a:solidFill>
      </a:ln>
    </cs:spPr>
  </cs:downBar>
  <cs:dropLine>
    <cs:lnRef idx="0"/>
    <cs:fillRef idx="0"/>
    <cs:effectRef idx="0"/>
    <cs:fontRef idx="minor">
      <a:schemeClr val="tx1"/>
    </cs:fontRef>
    <cs:spPr>
      <a:ln w="9525" cap="flat" cmpd="sng" algn="ctr">
        <a:solidFill>
          <a:schemeClr val="tx1">
            <a:lumMod val="35%"/>
            <a:lumOff val="65%"/>
          </a:schemeClr>
        </a:solidFill>
        <a:round/>
      </a:ln>
    </cs:spPr>
  </cs:dropLine>
  <cs:errorBar>
    <cs:lnRef idx="0"/>
    <cs:fillRef idx="0"/>
    <cs:effectRef idx="0"/>
    <cs:fontRef idx="minor">
      <a:schemeClr val="tx1"/>
    </cs:fontRef>
    <cs:spPr>
      <a:ln w="9525" cap="flat" cmpd="sng" algn="ctr">
        <a:solidFill>
          <a:schemeClr val="tx1">
            <a:lumMod val="65%"/>
            <a:lumOff val="35%"/>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
            <a:lumOff val="85%"/>
          </a:schemeClr>
        </a:solidFill>
        <a:round/>
      </a:ln>
    </cs:spPr>
  </cs:gridlineMajor>
  <cs:gridlineMinor>
    <cs:lnRef idx="0"/>
    <cs:fillRef idx="0"/>
    <cs:effectRef idx="0"/>
    <cs:fontRef idx="minor">
      <a:schemeClr val="tx1"/>
    </cs:fontRef>
    <cs:spPr>
      <a:ln w="9525" cap="flat" cmpd="sng" algn="ctr">
        <a:solidFill>
          <a:schemeClr val="tx1">
            <a:lumMod val="5%"/>
            <a:lumOff val="95%"/>
          </a:schemeClr>
        </a:solidFill>
        <a:round/>
      </a:ln>
    </cs:spPr>
  </cs:gridlineMinor>
  <cs:hiLoLine>
    <cs:lnRef idx="0"/>
    <cs:fillRef idx="0"/>
    <cs:effectRef idx="0"/>
    <cs:fontRef idx="minor">
      <a:schemeClr val="tx1"/>
    </cs:fontRef>
    <cs:spPr>
      <a:ln w="9525" cap="flat" cmpd="sng" algn="ctr">
        <a:solidFill>
          <a:schemeClr val="tx1">
            <a:lumMod val="75%"/>
            <a:lumOff val="25%"/>
          </a:schemeClr>
        </a:solidFill>
        <a:round/>
      </a:ln>
    </cs:spPr>
  </cs:hiLoLine>
  <cs:leaderLine>
    <cs:lnRef idx="0"/>
    <cs:fillRef idx="0"/>
    <cs:effectRef idx="0"/>
    <cs:fontRef idx="minor">
      <a:schemeClr val="tx1"/>
    </cs:fontRef>
    <cs:spPr>
      <a:ln w="9525" cap="flat" cmpd="sng" algn="ctr">
        <a:solidFill>
          <a:schemeClr val="tx1">
            <a:lumMod val="35%"/>
            <a:lumOff val="65%"/>
          </a:schemeClr>
        </a:solidFill>
        <a:round/>
      </a:ln>
    </cs:spPr>
  </cs:leaderLine>
  <cs:legend>
    <cs:lnRef idx="0"/>
    <cs:fillRef idx="0"/>
    <cs:effectRef idx="0"/>
    <cs:fontRef idx="minor">
      <a:schemeClr val="tx1">
        <a:lumMod val="65%"/>
        <a:lumOff val="35%"/>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
        <a:lumOff val="35%"/>
      </a:schemeClr>
    </cs:fontRef>
    <cs:defRPr sz="900" kern="1200"/>
  </cs:seriesAxis>
  <cs:seriesLine>
    <cs:lnRef idx="0"/>
    <cs:fillRef idx="0"/>
    <cs:effectRef idx="0"/>
    <cs:fontRef idx="minor">
      <a:schemeClr val="tx1"/>
    </cs:fontRef>
    <cs:spPr>
      <a:ln w="9525" cap="flat" cmpd="sng" algn="ctr">
        <a:solidFill>
          <a:schemeClr val="tx1">
            <a:lumMod val="35%"/>
            <a:lumOff val="65%"/>
          </a:schemeClr>
        </a:solidFill>
        <a:round/>
      </a:ln>
    </cs:spPr>
  </cs:seriesLine>
  <cs:title>
    <cs:lnRef idx="0"/>
    <cs:fillRef idx="0"/>
    <cs:effectRef idx="0"/>
    <cs:fontRef idx="minor">
      <a:schemeClr val="tx1">
        <a:lumMod val="65%"/>
        <a:lumOff val="35%"/>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
        <a:lumOff val="35%"/>
      </a:schemeClr>
    </cs:fontRef>
    <cs:defRPr sz="900" kern="1200"/>
  </cs:trendlineLabel>
  <cs:upBar>
    <cs:lnRef idx="0"/>
    <cs:fillRef idx="0"/>
    <cs:effectRef idx="0"/>
    <cs:fontRef idx="minor">
      <a:schemeClr val="dk1"/>
    </cs:fontRef>
    <cs:spPr>
      <a:solidFill>
        <a:schemeClr val="lt1"/>
      </a:solidFill>
      <a:ln w="9525">
        <a:solidFill>
          <a:schemeClr val="tx1">
            <a:lumMod val="15%"/>
            <a:lumOff val="85%"/>
          </a:schemeClr>
        </a:solidFill>
      </a:ln>
    </cs:spPr>
  </cs:upBar>
  <cs:valueAxis>
    <cs:lnRef idx="0"/>
    <cs:fillRef idx="0"/>
    <cs:effectRef idx="0"/>
    <cs:fontRef idx="minor">
      <a:schemeClr val="tx1">
        <a:lumMod val="65%"/>
        <a:lumOff val="35%"/>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purl.oclc.org/ooxml/drawingml/main" id="297">
  <cs:axisTitle>
    <cs:lnRef idx="0"/>
    <cs:fillRef idx="0"/>
    <cs:effectRef idx="0"/>
    <cs:fontRef idx="minor">
      <a:schemeClr val="tx1">
        <a:lumMod val="65%"/>
        <a:lumOff val="35%"/>
      </a:schemeClr>
    </cs:fontRef>
    <cs:defRPr sz="1000" kern="1200"/>
  </cs:axisTitle>
  <cs:categoryAxis>
    <cs:lnRef idx="0"/>
    <cs:fillRef idx="0"/>
    <cs:effectRef idx="0"/>
    <cs:fontRef idx="minor">
      <a:schemeClr val="tx1">
        <a:lumMod val="65%"/>
        <a:lumOff val="35%"/>
      </a:schemeClr>
    </cs:fontRef>
    <cs:spPr>
      <a:ln w="9525" cap="flat" cmpd="sng" algn="ctr">
        <a:solidFill>
          <a:schemeClr val="tx1">
            <a:lumMod val="15%"/>
            <a:lumOff val="85%"/>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
            <a:lumOff val="85%"/>
          </a:schemeClr>
        </a:solidFill>
        <a:round/>
      </a:ln>
    </cs:spPr>
    <cs:defRPr sz="1000" kern="1200"/>
  </cs:chartArea>
  <cs:dataLabel>
    <cs:lnRef idx="0"/>
    <cs:fillRef idx="0"/>
    <cs:effectRef idx="0"/>
    <cs:fontRef idx="minor">
      <a:schemeClr val="tx1">
        <a:lumMod val="75%"/>
        <a:lumOff val="25%"/>
      </a:schemeClr>
    </cs:fontRef>
    <cs:defRPr sz="900" kern="1200"/>
  </cs:dataLabel>
  <cs:dataLabelCallout>
    <cs:lnRef idx="0"/>
    <cs:fillRef idx="0"/>
    <cs:effectRef idx="0"/>
    <cs:fontRef idx="minor">
      <a:schemeClr val="dk1">
        <a:lumMod val="65%"/>
        <a:lumOff val="35%"/>
      </a:schemeClr>
    </cs:fontRef>
    <cs:spPr>
      <a:solidFill>
        <a:schemeClr val="lt1"/>
      </a:solidFill>
      <a:ln>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
        <a:lumOff val="35%"/>
      </a:schemeClr>
    </cs:fontRef>
    <cs:spPr>
      <a:noFill/>
      <a:ln w="9525" cap="flat" cmpd="sng" algn="ctr">
        <a:solidFill>
          <a:schemeClr val="tx1">
            <a:lumMod val="15%"/>
            <a:lumOff val="85%"/>
          </a:schemeClr>
        </a:solidFill>
        <a:round/>
      </a:ln>
    </cs:spPr>
    <cs:defRPr sz="900" kern="1200"/>
  </cs:dataTable>
  <cs:downBar>
    <cs:lnRef idx="0"/>
    <cs:fillRef idx="0"/>
    <cs:effectRef idx="0"/>
    <cs:fontRef idx="minor">
      <a:schemeClr val="tx1"/>
    </cs:fontRef>
    <cs:spPr>
      <a:solidFill>
        <a:schemeClr val="dk1">
          <a:lumMod val="75%"/>
          <a:lumOff val="25%"/>
        </a:schemeClr>
      </a:solidFill>
      <a:ln w="9525" cap="flat" cmpd="sng" algn="ctr">
        <a:solidFill>
          <a:schemeClr val="tx1">
            <a:lumMod val="65%"/>
            <a:lumOff val="35%"/>
          </a:schemeClr>
        </a:solidFill>
        <a:round/>
      </a:ln>
    </cs:spPr>
  </cs:downBar>
  <cs:dropLine>
    <cs:lnRef idx="0"/>
    <cs:fillRef idx="0"/>
    <cs:effectRef idx="0"/>
    <cs:fontRef idx="minor">
      <a:schemeClr val="tx1"/>
    </cs:fontRef>
    <cs:spPr>
      <a:ln w="9525" cap="flat" cmpd="sng" algn="ctr">
        <a:solidFill>
          <a:schemeClr val="tx1">
            <a:lumMod val="35%"/>
            <a:lumOff val="65%"/>
          </a:schemeClr>
        </a:solidFill>
        <a:round/>
      </a:ln>
    </cs:spPr>
  </cs:dropLine>
  <cs:errorBar>
    <cs:lnRef idx="0"/>
    <cs:fillRef idx="0"/>
    <cs:effectRef idx="0"/>
    <cs:fontRef idx="minor">
      <a:schemeClr val="tx1"/>
    </cs:fontRef>
    <cs:spPr>
      <a:ln w="9525" cap="flat" cmpd="sng" algn="ctr">
        <a:solidFill>
          <a:schemeClr val="tx1">
            <a:lumMod val="65%"/>
            <a:lumOff val="35%"/>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
            <a:lumOff val="85%"/>
          </a:schemeClr>
        </a:solidFill>
        <a:round/>
      </a:ln>
    </cs:spPr>
  </cs:gridlineMajor>
  <cs:gridlineMinor>
    <cs:lnRef idx="0"/>
    <cs:fillRef idx="0"/>
    <cs:effectRef idx="0"/>
    <cs:fontRef idx="minor">
      <a:schemeClr val="tx1"/>
    </cs:fontRef>
    <cs:spPr>
      <a:ln w="9525" cap="flat" cmpd="sng" algn="ctr">
        <a:solidFill>
          <a:schemeClr val="tx1">
            <a:lumMod val="5%"/>
            <a:lumOff val="95%"/>
          </a:schemeClr>
        </a:solidFill>
        <a:round/>
      </a:ln>
    </cs:spPr>
  </cs:gridlineMinor>
  <cs:hiLoLine>
    <cs:lnRef idx="0"/>
    <cs:fillRef idx="0"/>
    <cs:effectRef idx="0"/>
    <cs:fontRef idx="minor">
      <a:schemeClr val="tx1"/>
    </cs:fontRef>
    <cs:spPr>
      <a:ln w="9525" cap="flat" cmpd="sng" algn="ctr">
        <a:solidFill>
          <a:schemeClr val="tx1">
            <a:lumMod val="50%"/>
            <a:lumOff val="50%"/>
          </a:schemeClr>
        </a:solidFill>
        <a:round/>
      </a:ln>
    </cs:spPr>
  </cs:hiLoLine>
  <cs:leaderLine>
    <cs:lnRef idx="0"/>
    <cs:fillRef idx="0"/>
    <cs:effectRef idx="0"/>
    <cs:fontRef idx="minor">
      <a:schemeClr val="tx1"/>
    </cs:fontRef>
    <cs:spPr>
      <a:ln w="9525" cap="flat" cmpd="sng" algn="ctr">
        <a:solidFill>
          <a:schemeClr val="tx1">
            <a:lumMod val="35%"/>
            <a:lumOff val="65%"/>
          </a:schemeClr>
        </a:solidFill>
        <a:round/>
      </a:ln>
    </cs:spPr>
  </cs:leaderLine>
  <cs:legend>
    <cs:lnRef idx="0"/>
    <cs:fillRef idx="0"/>
    <cs:effectRef idx="0"/>
    <cs:fontRef idx="minor">
      <a:schemeClr val="tx1">
        <a:lumMod val="65%"/>
        <a:lumOff val="35%"/>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
        <a:lumOff val="35%"/>
      </a:schemeClr>
    </cs:fontRef>
    <cs:defRPr sz="900" kern="1200"/>
  </cs:seriesAxis>
  <cs:seriesLine>
    <cs:lnRef idx="0"/>
    <cs:fillRef idx="0"/>
    <cs:effectRef idx="0"/>
    <cs:fontRef idx="minor">
      <a:schemeClr val="tx1"/>
    </cs:fontRef>
    <cs:spPr>
      <a:ln w="9525" cap="flat" cmpd="sng" algn="ctr">
        <a:solidFill>
          <a:schemeClr val="tx1">
            <a:lumMod val="35%"/>
            <a:lumOff val="65%"/>
          </a:schemeClr>
        </a:solidFill>
        <a:round/>
      </a:ln>
    </cs:spPr>
  </cs:seriesLine>
  <cs:title>
    <cs:lnRef idx="0"/>
    <cs:fillRef idx="0"/>
    <cs:effectRef idx="0"/>
    <cs:fontRef idx="minor">
      <a:schemeClr val="tx1">
        <a:lumMod val="65%"/>
        <a:lumOff val="35%"/>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
        <a:lumOff val="35%"/>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
            <a:lumOff val="35%"/>
          </a:schemeClr>
        </a:solidFill>
        <a:round/>
      </a:ln>
    </cs:spPr>
  </cs:upBar>
  <cs:valueAxis>
    <cs:lnRef idx="0"/>
    <cs:fillRef idx="0"/>
    <cs:effectRef idx="0"/>
    <cs:fontRef idx="minor">
      <a:schemeClr val="tx1">
        <a:lumMod val="65%"/>
        <a:lumOff val="35%"/>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purl.oclc.org/ooxml/drawingml/main" id="297">
  <cs:axisTitle>
    <cs:lnRef idx="0"/>
    <cs:fillRef idx="0"/>
    <cs:effectRef idx="0"/>
    <cs:fontRef idx="minor">
      <a:schemeClr val="tx1">
        <a:lumMod val="65%"/>
        <a:lumOff val="35%"/>
      </a:schemeClr>
    </cs:fontRef>
    <cs:defRPr sz="1000" kern="1200"/>
  </cs:axisTitle>
  <cs:categoryAxis>
    <cs:lnRef idx="0"/>
    <cs:fillRef idx="0"/>
    <cs:effectRef idx="0"/>
    <cs:fontRef idx="minor">
      <a:schemeClr val="tx1">
        <a:lumMod val="65%"/>
        <a:lumOff val="35%"/>
      </a:schemeClr>
    </cs:fontRef>
    <cs:spPr>
      <a:ln w="9525" cap="flat" cmpd="sng" algn="ctr">
        <a:solidFill>
          <a:schemeClr val="tx1">
            <a:lumMod val="15%"/>
            <a:lumOff val="85%"/>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
            <a:lumOff val="85%"/>
          </a:schemeClr>
        </a:solidFill>
        <a:round/>
      </a:ln>
    </cs:spPr>
    <cs:defRPr sz="1000" kern="1200"/>
  </cs:chartArea>
  <cs:dataLabel>
    <cs:lnRef idx="0"/>
    <cs:fillRef idx="0"/>
    <cs:effectRef idx="0"/>
    <cs:fontRef idx="minor">
      <a:schemeClr val="tx1">
        <a:lumMod val="75%"/>
        <a:lumOff val="25%"/>
      </a:schemeClr>
    </cs:fontRef>
    <cs:defRPr sz="900" kern="1200"/>
  </cs:dataLabel>
  <cs:dataLabelCallout>
    <cs:lnRef idx="0"/>
    <cs:fillRef idx="0"/>
    <cs:effectRef idx="0"/>
    <cs:fontRef idx="minor">
      <a:schemeClr val="dk1">
        <a:lumMod val="65%"/>
        <a:lumOff val="35%"/>
      </a:schemeClr>
    </cs:fontRef>
    <cs:spPr>
      <a:solidFill>
        <a:schemeClr val="lt1"/>
      </a:solidFill>
      <a:ln>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
        <a:lumOff val="35%"/>
      </a:schemeClr>
    </cs:fontRef>
    <cs:spPr>
      <a:noFill/>
      <a:ln w="9525" cap="flat" cmpd="sng" algn="ctr">
        <a:solidFill>
          <a:schemeClr val="tx1">
            <a:lumMod val="15%"/>
            <a:lumOff val="85%"/>
          </a:schemeClr>
        </a:solidFill>
        <a:round/>
      </a:ln>
    </cs:spPr>
    <cs:defRPr sz="900" kern="1200"/>
  </cs:dataTable>
  <cs:downBar>
    <cs:lnRef idx="0"/>
    <cs:fillRef idx="0"/>
    <cs:effectRef idx="0"/>
    <cs:fontRef idx="minor">
      <a:schemeClr val="tx1"/>
    </cs:fontRef>
    <cs:spPr>
      <a:solidFill>
        <a:schemeClr val="dk1">
          <a:lumMod val="75%"/>
          <a:lumOff val="25%"/>
        </a:schemeClr>
      </a:solidFill>
      <a:ln w="9525" cap="flat" cmpd="sng" algn="ctr">
        <a:solidFill>
          <a:schemeClr val="tx1">
            <a:lumMod val="65%"/>
            <a:lumOff val="35%"/>
          </a:schemeClr>
        </a:solidFill>
        <a:round/>
      </a:ln>
    </cs:spPr>
  </cs:downBar>
  <cs:dropLine>
    <cs:lnRef idx="0"/>
    <cs:fillRef idx="0"/>
    <cs:effectRef idx="0"/>
    <cs:fontRef idx="minor">
      <a:schemeClr val="tx1"/>
    </cs:fontRef>
    <cs:spPr>
      <a:ln w="9525" cap="flat" cmpd="sng" algn="ctr">
        <a:solidFill>
          <a:schemeClr val="tx1">
            <a:lumMod val="35%"/>
            <a:lumOff val="65%"/>
          </a:schemeClr>
        </a:solidFill>
        <a:round/>
      </a:ln>
    </cs:spPr>
  </cs:dropLine>
  <cs:errorBar>
    <cs:lnRef idx="0"/>
    <cs:fillRef idx="0"/>
    <cs:effectRef idx="0"/>
    <cs:fontRef idx="minor">
      <a:schemeClr val="tx1"/>
    </cs:fontRef>
    <cs:spPr>
      <a:ln w="9525" cap="flat" cmpd="sng" algn="ctr">
        <a:solidFill>
          <a:schemeClr val="tx1">
            <a:lumMod val="65%"/>
            <a:lumOff val="35%"/>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
            <a:lumOff val="85%"/>
          </a:schemeClr>
        </a:solidFill>
        <a:round/>
      </a:ln>
    </cs:spPr>
  </cs:gridlineMajor>
  <cs:gridlineMinor>
    <cs:lnRef idx="0"/>
    <cs:fillRef idx="0"/>
    <cs:effectRef idx="0"/>
    <cs:fontRef idx="minor">
      <a:schemeClr val="tx1"/>
    </cs:fontRef>
    <cs:spPr>
      <a:ln w="9525" cap="flat" cmpd="sng" algn="ctr">
        <a:solidFill>
          <a:schemeClr val="tx1">
            <a:lumMod val="5%"/>
            <a:lumOff val="95%"/>
          </a:schemeClr>
        </a:solidFill>
        <a:round/>
      </a:ln>
    </cs:spPr>
  </cs:gridlineMinor>
  <cs:hiLoLine>
    <cs:lnRef idx="0"/>
    <cs:fillRef idx="0"/>
    <cs:effectRef idx="0"/>
    <cs:fontRef idx="minor">
      <a:schemeClr val="tx1"/>
    </cs:fontRef>
    <cs:spPr>
      <a:ln w="9525" cap="flat" cmpd="sng" algn="ctr">
        <a:solidFill>
          <a:schemeClr val="tx1">
            <a:lumMod val="50%"/>
            <a:lumOff val="50%"/>
          </a:schemeClr>
        </a:solidFill>
        <a:round/>
      </a:ln>
    </cs:spPr>
  </cs:hiLoLine>
  <cs:leaderLine>
    <cs:lnRef idx="0"/>
    <cs:fillRef idx="0"/>
    <cs:effectRef idx="0"/>
    <cs:fontRef idx="minor">
      <a:schemeClr val="tx1"/>
    </cs:fontRef>
    <cs:spPr>
      <a:ln w="9525" cap="flat" cmpd="sng" algn="ctr">
        <a:solidFill>
          <a:schemeClr val="tx1">
            <a:lumMod val="35%"/>
            <a:lumOff val="65%"/>
          </a:schemeClr>
        </a:solidFill>
        <a:round/>
      </a:ln>
    </cs:spPr>
  </cs:leaderLine>
  <cs:legend>
    <cs:lnRef idx="0"/>
    <cs:fillRef idx="0"/>
    <cs:effectRef idx="0"/>
    <cs:fontRef idx="minor">
      <a:schemeClr val="tx1">
        <a:lumMod val="65%"/>
        <a:lumOff val="35%"/>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
        <a:lumOff val="35%"/>
      </a:schemeClr>
    </cs:fontRef>
    <cs:defRPr sz="900" kern="1200"/>
  </cs:seriesAxis>
  <cs:seriesLine>
    <cs:lnRef idx="0"/>
    <cs:fillRef idx="0"/>
    <cs:effectRef idx="0"/>
    <cs:fontRef idx="minor">
      <a:schemeClr val="tx1"/>
    </cs:fontRef>
    <cs:spPr>
      <a:ln w="9525" cap="flat" cmpd="sng" algn="ctr">
        <a:solidFill>
          <a:schemeClr val="tx1">
            <a:lumMod val="35%"/>
            <a:lumOff val="65%"/>
          </a:schemeClr>
        </a:solidFill>
        <a:round/>
      </a:ln>
    </cs:spPr>
  </cs:seriesLine>
  <cs:title>
    <cs:lnRef idx="0"/>
    <cs:fillRef idx="0"/>
    <cs:effectRef idx="0"/>
    <cs:fontRef idx="minor">
      <a:schemeClr val="tx1">
        <a:lumMod val="65%"/>
        <a:lumOff val="35%"/>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
        <a:lumOff val="35%"/>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
            <a:lumOff val="35%"/>
          </a:schemeClr>
        </a:solidFill>
        <a:round/>
      </a:ln>
    </cs:spPr>
  </cs:upBar>
  <cs:valueAxis>
    <cs:lnRef idx="0"/>
    <cs:fillRef idx="0"/>
    <cs:effectRef idx="0"/>
    <cs:fontRef idx="minor">
      <a:schemeClr val="tx1">
        <a:lumMod val="65%"/>
        <a:lumOff val="35%"/>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purl.oclc.org/ooxml/drawingml/main" id="297">
  <cs:axisTitle>
    <cs:lnRef idx="0"/>
    <cs:fillRef idx="0"/>
    <cs:effectRef idx="0"/>
    <cs:fontRef idx="minor">
      <a:schemeClr val="tx1">
        <a:lumMod val="65%"/>
        <a:lumOff val="35%"/>
      </a:schemeClr>
    </cs:fontRef>
    <cs:defRPr sz="1000" kern="1200"/>
  </cs:axisTitle>
  <cs:categoryAxis>
    <cs:lnRef idx="0"/>
    <cs:fillRef idx="0"/>
    <cs:effectRef idx="0"/>
    <cs:fontRef idx="minor">
      <a:schemeClr val="tx1">
        <a:lumMod val="65%"/>
        <a:lumOff val="35%"/>
      </a:schemeClr>
    </cs:fontRef>
    <cs:spPr>
      <a:ln w="9525" cap="flat" cmpd="sng" algn="ctr">
        <a:solidFill>
          <a:schemeClr val="tx1">
            <a:lumMod val="15%"/>
            <a:lumOff val="85%"/>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
            <a:lumOff val="85%"/>
          </a:schemeClr>
        </a:solidFill>
        <a:round/>
      </a:ln>
    </cs:spPr>
    <cs:defRPr sz="1000" kern="1200"/>
  </cs:chartArea>
  <cs:dataLabel>
    <cs:lnRef idx="0"/>
    <cs:fillRef idx="0"/>
    <cs:effectRef idx="0"/>
    <cs:fontRef idx="minor">
      <a:schemeClr val="tx1">
        <a:lumMod val="75%"/>
        <a:lumOff val="25%"/>
      </a:schemeClr>
    </cs:fontRef>
    <cs:defRPr sz="900" kern="1200"/>
  </cs:dataLabel>
  <cs:dataLabelCallout>
    <cs:lnRef idx="0"/>
    <cs:fillRef idx="0"/>
    <cs:effectRef idx="0"/>
    <cs:fontRef idx="minor">
      <a:schemeClr val="dk1">
        <a:lumMod val="65%"/>
        <a:lumOff val="35%"/>
      </a:schemeClr>
    </cs:fontRef>
    <cs:spPr>
      <a:solidFill>
        <a:schemeClr val="lt1"/>
      </a:solidFill>
      <a:ln>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
        <a:lumOff val="35%"/>
      </a:schemeClr>
    </cs:fontRef>
    <cs:spPr>
      <a:noFill/>
      <a:ln w="9525" cap="flat" cmpd="sng" algn="ctr">
        <a:solidFill>
          <a:schemeClr val="tx1">
            <a:lumMod val="15%"/>
            <a:lumOff val="85%"/>
          </a:schemeClr>
        </a:solidFill>
        <a:round/>
      </a:ln>
    </cs:spPr>
    <cs:defRPr sz="900" kern="1200"/>
  </cs:dataTable>
  <cs:downBar>
    <cs:lnRef idx="0"/>
    <cs:fillRef idx="0"/>
    <cs:effectRef idx="0"/>
    <cs:fontRef idx="minor">
      <a:schemeClr val="tx1"/>
    </cs:fontRef>
    <cs:spPr>
      <a:solidFill>
        <a:schemeClr val="dk1">
          <a:lumMod val="75%"/>
          <a:lumOff val="25%"/>
        </a:schemeClr>
      </a:solidFill>
      <a:ln w="9525" cap="flat" cmpd="sng" algn="ctr">
        <a:solidFill>
          <a:schemeClr val="tx1">
            <a:lumMod val="65%"/>
            <a:lumOff val="35%"/>
          </a:schemeClr>
        </a:solidFill>
        <a:round/>
      </a:ln>
    </cs:spPr>
  </cs:downBar>
  <cs:dropLine>
    <cs:lnRef idx="0"/>
    <cs:fillRef idx="0"/>
    <cs:effectRef idx="0"/>
    <cs:fontRef idx="minor">
      <a:schemeClr val="tx1"/>
    </cs:fontRef>
    <cs:spPr>
      <a:ln w="9525" cap="flat" cmpd="sng" algn="ctr">
        <a:solidFill>
          <a:schemeClr val="tx1">
            <a:lumMod val="35%"/>
            <a:lumOff val="65%"/>
          </a:schemeClr>
        </a:solidFill>
        <a:round/>
      </a:ln>
    </cs:spPr>
  </cs:dropLine>
  <cs:errorBar>
    <cs:lnRef idx="0"/>
    <cs:fillRef idx="0"/>
    <cs:effectRef idx="0"/>
    <cs:fontRef idx="minor">
      <a:schemeClr val="tx1"/>
    </cs:fontRef>
    <cs:spPr>
      <a:ln w="9525" cap="flat" cmpd="sng" algn="ctr">
        <a:solidFill>
          <a:schemeClr val="tx1">
            <a:lumMod val="65%"/>
            <a:lumOff val="35%"/>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
            <a:lumOff val="85%"/>
          </a:schemeClr>
        </a:solidFill>
        <a:round/>
      </a:ln>
    </cs:spPr>
  </cs:gridlineMajor>
  <cs:gridlineMinor>
    <cs:lnRef idx="0"/>
    <cs:fillRef idx="0"/>
    <cs:effectRef idx="0"/>
    <cs:fontRef idx="minor">
      <a:schemeClr val="tx1"/>
    </cs:fontRef>
    <cs:spPr>
      <a:ln w="9525" cap="flat" cmpd="sng" algn="ctr">
        <a:solidFill>
          <a:schemeClr val="tx1">
            <a:lumMod val="5%"/>
            <a:lumOff val="95%"/>
          </a:schemeClr>
        </a:solidFill>
        <a:round/>
      </a:ln>
    </cs:spPr>
  </cs:gridlineMinor>
  <cs:hiLoLine>
    <cs:lnRef idx="0"/>
    <cs:fillRef idx="0"/>
    <cs:effectRef idx="0"/>
    <cs:fontRef idx="minor">
      <a:schemeClr val="tx1"/>
    </cs:fontRef>
    <cs:spPr>
      <a:ln w="9525" cap="flat" cmpd="sng" algn="ctr">
        <a:solidFill>
          <a:schemeClr val="tx1">
            <a:lumMod val="50%"/>
            <a:lumOff val="50%"/>
          </a:schemeClr>
        </a:solidFill>
        <a:round/>
      </a:ln>
    </cs:spPr>
  </cs:hiLoLine>
  <cs:leaderLine>
    <cs:lnRef idx="0"/>
    <cs:fillRef idx="0"/>
    <cs:effectRef idx="0"/>
    <cs:fontRef idx="minor">
      <a:schemeClr val="tx1"/>
    </cs:fontRef>
    <cs:spPr>
      <a:ln w="9525" cap="flat" cmpd="sng" algn="ctr">
        <a:solidFill>
          <a:schemeClr val="tx1">
            <a:lumMod val="35%"/>
            <a:lumOff val="65%"/>
          </a:schemeClr>
        </a:solidFill>
        <a:round/>
      </a:ln>
    </cs:spPr>
  </cs:leaderLine>
  <cs:legend>
    <cs:lnRef idx="0"/>
    <cs:fillRef idx="0"/>
    <cs:effectRef idx="0"/>
    <cs:fontRef idx="minor">
      <a:schemeClr val="tx1">
        <a:lumMod val="65%"/>
        <a:lumOff val="35%"/>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
        <a:lumOff val="35%"/>
      </a:schemeClr>
    </cs:fontRef>
    <cs:defRPr sz="900" kern="1200"/>
  </cs:seriesAxis>
  <cs:seriesLine>
    <cs:lnRef idx="0"/>
    <cs:fillRef idx="0"/>
    <cs:effectRef idx="0"/>
    <cs:fontRef idx="minor">
      <a:schemeClr val="tx1"/>
    </cs:fontRef>
    <cs:spPr>
      <a:ln w="9525" cap="flat" cmpd="sng" algn="ctr">
        <a:solidFill>
          <a:schemeClr val="tx1">
            <a:lumMod val="35%"/>
            <a:lumOff val="65%"/>
          </a:schemeClr>
        </a:solidFill>
        <a:round/>
      </a:ln>
    </cs:spPr>
  </cs:seriesLine>
  <cs:title>
    <cs:lnRef idx="0"/>
    <cs:fillRef idx="0"/>
    <cs:effectRef idx="0"/>
    <cs:fontRef idx="minor">
      <a:schemeClr val="tx1">
        <a:lumMod val="65%"/>
        <a:lumOff val="35%"/>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
        <a:lumOff val="35%"/>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
            <a:lumOff val="35%"/>
          </a:schemeClr>
        </a:solidFill>
        <a:round/>
      </a:ln>
    </cs:spPr>
  </cs:upBar>
  <cs:valueAxis>
    <cs:lnRef idx="0"/>
    <cs:fillRef idx="0"/>
    <cs:effectRef idx="0"/>
    <cs:fontRef idx="minor">
      <a:schemeClr val="tx1">
        <a:lumMod val="65%"/>
        <a:lumOff val="35%"/>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purl.oclc.org/ooxml/drawingml/main" id="227">
  <cs:axisTitle>
    <cs:lnRef idx="0"/>
    <cs:fillRef idx="0"/>
    <cs:effectRef idx="0"/>
    <cs:fontRef idx="minor">
      <a:schemeClr val="tx1">
        <a:lumMod val="65%"/>
        <a:lumOff val="35%"/>
      </a:schemeClr>
    </cs:fontRef>
    <cs:defRPr sz="1000" kern="1200"/>
  </cs:axisTitle>
  <cs:categoryAxis>
    <cs:lnRef idx="0"/>
    <cs:fillRef idx="0"/>
    <cs:effectRef idx="0"/>
    <cs:fontRef idx="minor">
      <a:schemeClr val="tx1">
        <a:lumMod val="65%"/>
        <a:lumOff val="35%"/>
      </a:schemeClr>
    </cs:fontRef>
    <cs:spPr>
      <a:ln w="9525" cap="flat" cmpd="sng" algn="ctr">
        <a:solidFill>
          <a:schemeClr val="tx1">
            <a:lumMod val="15%"/>
            <a:lumOff val="85%"/>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
            <a:lumOff val="85%"/>
          </a:schemeClr>
        </a:solidFill>
        <a:round/>
      </a:ln>
    </cs:spPr>
    <cs:defRPr sz="1000" kern="1200"/>
  </cs:chartArea>
  <cs:dataLabel>
    <cs:lnRef idx="0"/>
    <cs:fillRef idx="0"/>
    <cs:effectRef idx="0"/>
    <cs:fontRef idx="minor">
      <a:schemeClr val="tx1">
        <a:lumMod val="75%"/>
        <a:lumOff val="25%"/>
      </a:schemeClr>
    </cs:fontRef>
    <cs:defRPr sz="900" kern="1200"/>
  </cs:dataLabel>
  <cs:dataLabelCallout>
    <cs:lnRef idx="0"/>
    <cs:fillRef idx="0"/>
    <cs:effectRef idx="0"/>
    <cs:fontRef idx="minor">
      <a:schemeClr val="dk1">
        <a:lumMod val="65%"/>
        <a:lumOff val="35%"/>
      </a:schemeClr>
    </cs:fontRef>
    <cs:spPr>
      <a:solidFill>
        <a:schemeClr val="lt1"/>
      </a:solidFill>
      <a:ln>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
        <a:lumOff val="35%"/>
      </a:schemeClr>
    </cs:fontRef>
    <cs:spPr>
      <a:noFill/>
      <a:ln w="9525" cap="flat" cmpd="sng" algn="ctr">
        <a:solidFill>
          <a:schemeClr val="tx1">
            <a:lumMod val="15%"/>
            <a:lumOff val="85%"/>
          </a:schemeClr>
        </a:solidFill>
        <a:round/>
      </a:ln>
    </cs:spPr>
    <cs:defRPr sz="900" kern="1200"/>
  </cs:dataTable>
  <cs:downBar>
    <cs:lnRef idx="0"/>
    <cs:fillRef idx="0"/>
    <cs:effectRef idx="0"/>
    <cs:fontRef idx="minor">
      <a:schemeClr val="dk1"/>
    </cs:fontRef>
    <cs:spPr>
      <a:solidFill>
        <a:schemeClr val="dk1">
          <a:lumMod val="65%"/>
          <a:lumOff val="35%"/>
        </a:schemeClr>
      </a:solidFill>
      <a:ln w="9525">
        <a:solidFill>
          <a:schemeClr val="tx1">
            <a:lumMod val="65%"/>
            <a:lumOff val="35%"/>
          </a:schemeClr>
        </a:solidFill>
      </a:ln>
    </cs:spPr>
  </cs:downBar>
  <cs:dropLine>
    <cs:lnRef idx="0"/>
    <cs:fillRef idx="0"/>
    <cs:effectRef idx="0"/>
    <cs:fontRef idx="minor">
      <a:schemeClr val="tx1"/>
    </cs:fontRef>
    <cs:spPr>
      <a:ln w="9525" cap="flat" cmpd="sng" algn="ctr">
        <a:solidFill>
          <a:schemeClr val="tx1">
            <a:lumMod val="35%"/>
            <a:lumOff val="65%"/>
          </a:schemeClr>
        </a:solidFill>
        <a:round/>
      </a:ln>
    </cs:spPr>
  </cs:dropLine>
  <cs:errorBar>
    <cs:lnRef idx="0"/>
    <cs:fillRef idx="0"/>
    <cs:effectRef idx="0"/>
    <cs:fontRef idx="minor">
      <a:schemeClr val="tx1"/>
    </cs:fontRef>
    <cs:spPr>
      <a:ln w="9525" cap="flat" cmpd="sng" algn="ctr">
        <a:solidFill>
          <a:schemeClr val="tx1">
            <a:lumMod val="65%"/>
            <a:lumOff val="35%"/>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
            <a:lumOff val="85%"/>
          </a:schemeClr>
        </a:solidFill>
        <a:round/>
      </a:ln>
    </cs:spPr>
  </cs:gridlineMajor>
  <cs:gridlineMinor>
    <cs:lnRef idx="0"/>
    <cs:fillRef idx="0"/>
    <cs:effectRef idx="0"/>
    <cs:fontRef idx="minor">
      <a:schemeClr val="tx1"/>
    </cs:fontRef>
    <cs:spPr>
      <a:ln w="9525" cap="flat" cmpd="sng" algn="ctr">
        <a:solidFill>
          <a:schemeClr val="tx1">
            <a:lumMod val="5%"/>
            <a:lumOff val="95%"/>
          </a:schemeClr>
        </a:solidFill>
        <a:round/>
      </a:ln>
    </cs:spPr>
  </cs:gridlineMinor>
  <cs:hiLoLine>
    <cs:lnRef idx="0"/>
    <cs:fillRef idx="0"/>
    <cs:effectRef idx="0"/>
    <cs:fontRef idx="minor">
      <a:schemeClr val="tx1"/>
    </cs:fontRef>
    <cs:spPr>
      <a:ln w="9525" cap="flat" cmpd="sng" algn="ctr">
        <a:solidFill>
          <a:schemeClr val="tx1">
            <a:lumMod val="75%"/>
            <a:lumOff val="25%"/>
          </a:schemeClr>
        </a:solidFill>
        <a:round/>
      </a:ln>
    </cs:spPr>
  </cs:hiLoLine>
  <cs:leaderLine>
    <cs:lnRef idx="0"/>
    <cs:fillRef idx="0"/>
    <cs:effectRef idx="0"/>
    <cs:fontRef idx="minor">
      <a:schemeClr val="tx1"/>
    </cs:fontRef>
    <cs:spPr>
      <a:ln w="9525" cap="flat" cmpd="sng" algn="ctr">
        <a:solidFill>
          <a:schemeClr val="tx1">
            <a:lumMod val="35%"/>
            <a:lumOff val="65%"/>
          </a:schemeClr>
        </a:solidFill>
        <a:round/>
      </a:ln>
    </cs:spPr>
  </cs:leaderLine>
  <cs:legend>
    <cs:lnRef idx="0"/>
    <cs:fillRef idx="0"/>
    <cs:effectRef idx="0"/>
    <cs:fontRef idx="minor">
      <a:schemeClr val="tx1">
        <a:lumMod val="65%"/>
        <a:lumOff val="35%"/>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
        <a:lumOff val="35%"/>
      </a:schemeClr>
    </cs:fontRef>
    <cs:defRPr sz="900" kern="1200"/>
  </cs:seriesAxis>
  <cs:seriesLine>
    <cs:lnRef idx="0"/>
    <cs:fillRef idx="0"/>
    <cs:effectRef idx="0"/>
    <cs:fontRef idx="minor">
      <a:schemeClr val="tx1"/>
    </cs:fontRef>
    <cs:spPr>
      <a:ln w="9525" cap="flat" cmpd="sng" algn="ctr">
        <a:solidFill>
          <a:schemeClr val="tx1">
            <a:lumMod val="35%"/>
            <a:lumOff val="65%"/>
          </a:schemeClr>
        </a:solidFill>
        <a:round/>
      </a:ln>
    </cs:spPr>
  </cs:seriesLine>
  <cs:title>
    <cs:lnRef idx="0"/>
    <cs:fillRef idx="0"/>
    <cs:effectRef idx="0"/>
    <cs:fontRef idx="minor">
      <a:schemeClr val="tx1">
        <a:lumMod val="65%"/>
        <a:lumOff val="35%"/>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
        <a:lumOff val="35%"/>
      </a:schemeClr>
    </cs:fontRef>
    <cs:defRPr sz="900" kern="1200"/>
  </cs:trendlineLabel>
  <cs:upBar>
    <cs:lnRef idx="0"/>
    <cs:fillRef idx="0"/>
    <cs:effectRef idx="0"/>
    <cs:fontRef idx="minor">
      <a:schemeClr val="dk1"/>
    </cs:fontRef>
    <cs:spPr>
      <a:solidFill>
        <a:schemeClr val="lt1"/>
      </a:solidFill>
      <a:ln w="9525">
        <a:solidFill>
          <a:schemeClr val="tx1">
            <a:lumMod val="15%"/>
            <a:lumOff val="85%"/>
          </a:schemeClr>
        </a:solidFill>
      </a:ln>
    </cs:spPr>
  </cs:upBar>
  <cs:valueAxis>
    <cs:lnRef idx="0"/>
    <cs:fillRef idx="0"/>
    <cs:effectRef idx="0"/>
    <cs:fontRef idx="minor">
      <a:schemeClr val="tx1">
        <a:lumMod val="65%"/>
        <a:lumOff val="35%"/>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purl.oclc.org/ooxml/drawingml/main" id="227">
  <cs:axisTitle>
    <cs:lnRef idx="0"/>
    <cs:fillRef idx="0"/>
    <cs:effectRef idx="0"/>
    <cs:fontRef idx="minor">
      <a:schemeClr val="tx1">
        <a:lumMod val="65%"/>
        <a:lumOff val="35%"/>
      </a:schemeClr>
    </cs:fontRef>
    <cs:defRPr sz="1000" kern="1200"/>
  </cs:axisTitle>
  <cs:categoryAxis>
    <cs:lnRef idx="0"/>
    <cs:fillRef idx="0"/>
    <cs:effectRef idx="0"/>
    <cs:fontRef idx="minor">
      <a:schemeClr val="tx1">
        <a:lumMod val="65%"/>
        <a:lumOff val="35%"/>
      </a:schemeClr>
    </cs:fontRef>
    <cs:spPr>
      <a:ln w="9525" cap="flat" cmpd="sng" algn="ctr">
        <a:solidFill>
          <a:schemeClr val="tx1">
            <a:lumMod val="15%"/>
            <a:lumOff val="85%"/>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
            <a:lumOff val="85%"/>
          </a:schemeClr>
        </a:solidFill>
        <a:round/>
      </a:ln>
    </cs:spPr>
    <cs:defRPr sz="1000" kern="1200"/>
  </cs:chartArea>
  <cs:dataLabel>
    <cs:lnRef idx="0"/>
    <cs:fillRef idx="0"/>
    <cs:effectRef idx="0"/>
    <cs:fontRef idx="minor">
      <a:schemeClr val="tx1">
        <a:lumMod val="75%"/>
        <a:lumOff val="25%"/>
      </a:schemeClr>
    </cs:fontRef>
    <cs:defRPr sz="900" kern="1200"/>
  </cs:dataLabel>
  <cs:dataLabelCallout>
    <cs:lnRef idx="0"/>
    <cs:fillRef idx="0"/>
    <cs:effectRef idx="0"/>
    <cs:fontRef idx="minor">
      <a:schemeClr val="dk1">
        <a:lumMod val="65%"/>
        <a:lumOff val="35%"/>
      </a:schemeClr>
    </cs:fontRef>
    <cs:spPr>
      <a:solidFill>
        <a:schemeClr val="lt1"/>
      </a:solidFill>
      <a:ln>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
        <a:lumOff val="35%"/>
      </a:schemeClr>
    </cs:fontRef>
    <cs:spPr>
      <a:noFill/>
      <a:ln w="9525" cap="flat" cmpd="sng" algn="ctr">
        <a:solidFill>
          <a:schemeClr val="tx1">
            <a:lumMod val="15%"/>
            <a:lumOff val="85%"/>
          </a:schemeClr>
        </a:solidFill>
        <a:round/>
      </a:ln>
    </cs:spPr>
    <cs:defRPr sz="900" kern="1200"/>
  </cs:dataTable>
  <cs:downBar>
    <cs:lnRef idx="0"/>
    <cs:fillRef idx="0"/>
    <cs:effectRef idx="0"/>
    <cs:fontRef idx="minor">
      <a:schemeClr val="dk1"/>
    </cs:fontRef>
    <cs:spPr>
      <a:solidFill>
        <a:schemeClr val="dk1">
          <a:lumMod val="65%"/>
          <a:lumOff val="35%"/>
        </a:schemeClr>
      </a:solidFill>
      <a:ln w="9525">
        <a:solidFill>
          <a:schemeClr val="tx1">
            <a:lumMod val="65%"/>
            <a:lumOff val="35%"/>
          </a:schemeClr>
        </a:solidFill>
      </a:ln>
    </cs:spPr>
  </cs:downBar>
  <cs:dropLine>
    <cs:lnRef idx="0"/>
    <cs:fillRef idx="0"/>
    <cs:effectRef idx="0"/>
    <cs:fontRef idx="minor">
      <a:schemeClr val="tx1"/>
    </cs:fontRef>
    <cs:spPr>
      <a:ln w="9525" cap="flat" cmpd="sng" algn="ctr">
        <a:solidFill>
          <a:schemeClr val="tx1">
            <a:lumMod val="35%"/>
            <a:lumOff val="65%"/>
          </a:schemeClr>
        </a:solidFill>
        <a:round/>
      </a:ln>
    </cs:spPr>
  </cs:dropLine>
  <cs:errorBar>
    <cs:lnRef idx="0"/>
    <cs:fillRef idx="0"/>
    <cs:effectRef idx="0"/>
    <cs:fontRef idx="minor">
      <a:schemeClr val="tx1"/>
    </cs:fontRef>
    <cs:spPr>
      <a:ln w="9525" cap="flat" cmpd="sng" algn="ctr">
        <a:solidFill>
          <a:schemeClr val="tx1">
            <a:lumMod val="65%"/>
            <a:lumOff val="35%"/>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
            <a:lumOff val="85%"/>
          </a:schemeClr>
        </a:solidFill>
        <a:round/>
      </a:ln>
    </cs:spPr>
  </cs:gridlineMajor>
  <cs:gridlineMinor>
    <cs:lnRef idx="0"/>
    <cs:fillRef idx="0"/>
    <cs:effectRef idx="0"/>
    <cs:fontRef idx="minor">
      <a:schemeClr val="tx1"/>
    </cs:fontRef>
    <cs:spPr>
      <a:ln w="9525" cap="flat" cmpd="sng" algn="ctr">
        <a:solidFill>
          <a:schemeClr val="tx1">
            <a:lumMod val="5%"/>
            <a:lumOff val="95%"/>
          </a:schemeClr>
        </a:solidFill>
        <a:round/>
      </a:ln>
    </cs:spPr>
  </cs:gridlineMinor>
  <cs:hiLoLine>
    <cs:lnRef idx="0"/>
    <cs:fillRef idx="0"/>
    <cs:effectRef idx="0"/>
    <cs:fontRef idx="minor">
      <a:schemeClr val="tx1"/>
    </cs:fontRef>
    <cs:spPr>
      <a:ln w="9525" cap="flat" cmpd="sng" algn="ctr">
        <a:solidFill>
          <a:schemeClr val="tx1">
            <a:lumMod val="75%"/>
            <a:lumOff val="25%"/>
          </a:schemeClr>
        </a:solidFill>
        <a:round/>
      </a:ln>
    </cs:spPr>
  </cs:hiLoLine>
  <cs:leaderLine>
    <cs:lnRef idx="0"/>
    <cs:fillRef idx="0"/>
    <cs:effectRef idx="0"/>
    <cs:fontRef idx="minor">
      <a:schemeClr val="tx1"/>
    </cs:fontRef>
    <cs:spPr>
      <a:ln w="9525" cap="flat" cmpd="sng" algn="ctr">
        <a:solidFill>
          <a:schemeClr val="tx1">
            <a:lumMod val="35%"/>
            <a:lumOff val="65%"/>
          </a:schemeClr>
        </a:solidFill>
        <a:round/>
      </a:ln>
    </cs:spPr>
  </cs:leaderLine>
  <cs:legend>
    <cs:lnRef idx="0"/>
    <cs:fillRef idx="0"/>
    <cs:effectRef idx="0"/>
    <cs:fontRef idx="minor">
      <a:schemeClr val="tx1">
        <a:lumMod val="65%"/>
        <a:lumOff val="35%"/>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
        <a:lumOff val="35%"/>
      </a:schemeClr>
    </cs:fontRef>
    <cs:defRPr sz="900" kern="1200"/>
  </cs:seriesAxis>
  <cs:seriesLine>
    <cs:lnRef idx="0"/>
    <cs:fillRef idx="0"/>
    <cs:effectRef idx="0"/>
    <cs:fontRef idx="minor">
      <a:schemeClr val="tx1"/>
    </cs:fontRef>
    <cs:spPr>
      <a:ln w="9525" cap="flat" cmpd="sng" algn="ctr">
        <a:solidFill>
          <a:schemeClr val="tx1">
            <a:lumMod val="35%"/>
            <a:lumOff val="65%"/>
          </a:schemeClr>
        </a:solidFill>
        <a:round/>
      </a:ln>
    </cs:spPr>
  </cs:seriesLine>
  <cs:title>
    <cs:lnRef idx="0"/>
    <cs:fillRef idx="0"/>
    <cs:effectRef idx="0"/>
    <cs:fontRef idx="minor">
      <a:schemeClr val="tx1">
        <a:lumMod val="65%"/>
        <a:lumOff val="35%"/>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
        <a:lumOff val="35%"/>
      </a:schemeClr>
    </cs:fontRef>
    <cs:defRPr sz="900" kern="1200"/>
  </cs:trendlineLabel>
  <cs:upBar>
    <cs:lnRef idx="0"/>
    <cs:fillRef idx="0"/>
    <cs:effectRef idx="0"/>
    <cs:fontRef idx="minor">
      <a:schemeClr val="dk1"/>
    </cs:fontRef>
    <cs:spPr>
      <a:solidFill>
        <a:schemeClr val="lt1"/>
      </a:solidFill>
      <a:ln w="9525">
        <a:solidFill>
          <a:schemeClr val="tx1">
            <a:lumMod val="15%"/>
            <a:lumOff val="85%"/>
          </a:schemeClr>
        </a:solidFill>
      </a:ln>
    </cs:spPr>
  </cs:upBar>
  <cs:valueAxis>
    <cs:lnRef idx="0"/>
    <cs:fillRef idx="0"/>
    <cs:effectRef idx="0"/>
    <cs:fontRef idx="minor">
      <a:schemeClr val="tx1">
        <a:lumMod val="65%"/>
        <a:lumOff val="35%"/>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purl.oclc.org/ooxml/drawingml/main" id="297">
  <cs:axisTitle>
    <cs:lnRef idx="0"/>
    <cs:fillRef idx="0"/>
    <cs:effectRef idx="0"/>
    <cs:fontRef idx="minor">
      <a:schemeClr val="tx1">
        <a:lumMod val="65%"/>
        <a:lumOff val="35%"/>
      </a:schemeClr>
    </cs:fontRef>
    <cs:defRPr sz="1000" kern="1200"/>
  </cs:axisTitle>
  <cs:categoryAxis>
    <cs:lnRef idx="0"/>
    <cs:fillRef idx="0"/>
    <cs:effectRef idx="0"/>
    <cs:fontRef idx="minor">
      <a:schemeClr val="tx1">
        <a:lumMod val="65%"/>
        <a:lumOff val="35%"/>
      </a:schemeClr>
    </cs:fontRef>
    <cs:spPr>
      <a:ln w="9525" cap="flat" cmpd="sng" algn="ctr">
        <a:solidFill>
          <a:schemeClr val="tx1">
            <a:lumMod val="15%"/>
            <a:lumOff val="85%"/>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
            <a:lumOff val="85%"/>
          </a:schemeClr>
        </a:solidFill>
        <a:round/>
      </a:ln>
    </cs:spPr>
    <cs:defRPr sz="1000" kern="1200"/>
  </cs:chartArea>
  <cs:dataLabel>
    <cs:lnRef idx="0"/>
    <cs:fillRef idx="0"/>
    <cs:effectRef idx="0"/>
    <cs:fontRef idx="minor">
      <a:schemeClr val="tx1">
        <a:lumMod val="75%"/>
        <a:lumOff val="25%"/>
      </a:schemeClr>
    </cs:fontRef>
    <cs:defRPr sz="900" kern="1200"/>
  </cs:dataLabel>
  <cs:dataLabelCallout>
    <cs:lnRef idx="0"/>
    <cs:fillRef idx="0"/>
    <cs:effectRef idx="0"/>
    <cs:fontRef idx="minor">
      <a:schemeClr val="dk1">
        <a:lumMod val="65%"/>
        <a:lumOff val="35%"/>
      </a:schemeClr>
    </cs:fontRef>
    <cs:spPr>
      <a:solidFill>
        <a:schemeClr val="lt1"/>
      </a:solidFill>
      <a:ln>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
        <a:lumOff val="35%"/>
      </a:schemeClr>
    </cs:fontRef>
    <cs:spPr>
      <a:noFill/>
      <a:ln w="9525" cap="flat" cmpd="sng" algn="ctr">
        <a:solidFill>
          <a:schemeClr val="tx1">
            <a:lumMod val="15%"/>
            <a:lumOff val="85%"/>
          </a:schemeClr>
        </a:solidFill>
        <a:round/>
      </a:ln>
    </cs:spPr>
    <cs:defRPr sz="900" kern="1200"/>
  </cs:dataTable>
  <cs:downBar>
    <cs:lnRef idx="0"/>
    <cs:fillRef idx="0"/>
    <cs:effectRef idx="0"/>
    <cs:fontRef idx="minor">
      <a:schemeClr val="tx1"/>
    </cs:fontRef>
    <cs:spPr>
      <a:solidFill>
        <a:schemeClr val="dk1">
          <a:lumMod val="75%"/>
          <a:lumOff val="25%"/>
        </a:schemeClr>
      </a:solidFill>
      <a:ln w="9525" cap="flat" cmpd="sng" algn="ctr">
        <a:solidFill>
          <a:schemeClr val="tx1">
            <a:lumMod val="65%"/>
            <a:lumOff val="35%"/>
          </a:schemeClr>
        </a:solidFill>
        <a:round/>
      </a:ln>
    </cs:spPr>
  </cs:downBar>
  <cs:dropLine>
    <cs:lnRef idx="0"/>
    <cs:fillRef idx="0"/>
    <cs:effectRef idx="0"/>
    <cs:fontRef idx="minor">
      <a:schemeClr val="tx1"/>
    </cs:fontRef>
    <cs:spPr>
      <a:ln w="9525" cap="flat" cmpd="sng" algn="ctr">
        <a:solidFill>
          <a:schemeClr val="tx1">
            <a:lumMod val="35%"/>
            <a:lumOff val="65%"/>
          </a:schemeClr>
        </a:solidFill>
        <a:round/>
      </a:ln>
    </cs:spPr>
  </cs:dropLine>
  <cs:errorBar>
    <cs:lnRef idx="0"/>
    <cs:fillRef idx="0"/>
    <cs:effectRef idx="0"/>
    <cs:fontRef idx="minor">
      <a:schemeClr val="tx1"/>
    </cs:fontRef>
    <cs:spPr>
      <a:ln w="9525" cap="flat" cmpd="sng" algn="ctr">
        <a:solidFill>
          <a:schemeClr val="tx1">
            <a:lumMod val="65%"/>
            <a:lumOff val="35%"/>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
            <a:lumOff val="85%"/>
          </a:schemeClr>
        </a:solidFill>
        <a:round/>
      </a:ln>
    </cs:spPr>
  </cs:gridlineMajor>
  <cs:gridlineMinor>
    <cs:lnRef idx="0"/>
    <cs:fillRef idx="0"/>
    <cs:effectRef idx="0"/>
    <cs:fontRef idx="minor">
      <a:schemeClr val="tx1"/>
    </cs:fontRef>
    <cs:spPr>
      <a:ln w="9525" cap="flat" cmpd="sng" algn="ctr">
        <a:solidFill>
          <a:schemeClr val="tx1">
            <a:lumMod val="5%"/>
            <a:lumOff val="95%"/>
          </a:schemeClr>
        </a:solidFill>
        <a:round/>
      </a:ln>
    </cs:spPr>
  </cs:gridlineMinor>
  <cs:hiLoLine>
    <cs:lnRef idx="0"/>
    <cs:fillRef idx="0"/>
    <cs:effectRef idx="0"/>
    <cs:fontRef idx="minor">
      <a:schemeClr val="tx1"/>
    </cs:fontRef>
    <cs:spPr>
      <a:ln w="9525" cap="flat" cmpd="sng" algn="ctr">
        <a:solidFill>
          <a:schemeClr val="tx1">
            <a:lumMod val="50%"/>
            <a:lumOff val="50%"/>
          </a:schemeClr>
        </a:solidFill>
        <a:round/>
      </a:ln>
    </cs:spPr>
  </cs:hiLoLine>
  <cs:leaderLine>
    <cs:lnRef idx="0"/>
    <cs:fillRef idx="0"/>
    <cs:effectRef idx="0"/>
    <cs:fontRef idx="minor">
      <a:schemeClr val="tx1"/>
    </cs:fontRef>
    <cs:spPr>
      <a:ln w="9525" cap="flat" cmpd="sng" algn="ctr">
        <a:solidFill>
          <a:schemeClr val="tx1">
            <a:lumMod val="35%"/>
            <a:lumOff val="65%"/>
          </a:schemeClr>
        </a:solidFill>
        <a:round/>
      </a:ln>
    </cs:spPr>
  </cs:leaderLine>
  <cs:legend>
    <cs:lnRef idx="0"/>
    <cs:fillRef idx="0"/>
    <cs:effectRef idx="0"/>
    <cs:fontRef idx="minor">
      <a:schemeClr val="tx1">
        <a:lumMod val="65%"/>
        <a:lumOff val="35%"/>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
        <a:lumOff val="35%"/>
      </a:schemeClr>
    </cs:fontRef>
    <cs:defRPr sz="900" kern="1200"/>
  </cs:seriesAxis>
  <cs:seriesLine>
    <cs:lnRef idx="0"/>
    <cs:fillRef idx="0"/>
    <cs:effectRef idx="0"/>
    <cs:fontRef idx="minor">
      <a:schemeClr val="tx1"/>
    </cs:fontRef>
    <cs:spPr>
      <a:ln w="9525" cap="flat" cmpd="sng" algn="ctr">
        <a:solidFill>
          <a:schemeClr val="tx1">
            <a:lumMod val="35%"/>
            <a:lumOff val="65%"/>
          </a:schemeClr>
        </a:solidFill>
        <a:round/>
      </a:ln>
    </cs:spPr>
  </cs:seriesLine>
  <cs:title>
    <cs:lnRef idx="0"/>
    <cs:fillRef idx="0"/>
    <cs:effectRef idx="0"/>
    <cs:fontRef idx="minor">
      <a:schemeClr val="tx1">
        <a:lumMod val="65%"/>
        <a:lumOff val="35%"/>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
        <a:lumOff val="35%"/>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
            <a:lumOff val="35%"/>
          </a:schemeClr>
        </a:solidFill>
        <a:round/>
      </a:ln>
    </cs:spPr>
  </cs:upBar>
  <cs:valueAxis>
    <cs:lnRef idx="0"/>
    <cs:fillRef idx="0"/>
    <cs:effectRef idx="0"/>
    <cs:fontRef idx="minor">
      <a:schemeClr val="tx1">
        <a:lumMod val="65%"/>
        <a:lumOff val="35%"/>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purl.oclc.org/ooxml/drawingml/main" id="227">
  <cs:axisTitle>
    <cs:lnRef idx="0"/>
    <cs:fillRef idx="0"/>
    <cs:effectRef idx="0"/>
    <cs:fontRef idx="minor">
      <a:schemeClr val="tx1">
        <a:lumMod val="65%"/>
        <a:lumOff val="35%"/>
      </a:schemeClr>
    </cs:fontRef>
    <cs:defRPr sz="1000" kern="1200"/>
  </cs:axisTitle>
  <cs:categoryAxis>
    <cs:lnRef idx="0"/>
    <cs:fillRef idx="0"/>
    <cs:effectRef idx="0"/>
    <cs:fontRef idx="minor">
      <a:schemeClr val="tx1">
        <a:lumMod val="65%"/>
        <a:lumOff val="35%"/>
      </a:schemeClr>
    </cs:fontRef>
    <cs:spPr>
      <a:ln w="9525" cap="flat" cmpd="sng" algn="ctr">
        <a:solidFill>
          <a:schemeClr val="tx1">
            <a:lumMod val="15%"/>
            <a:lumOff val="85%"/>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
            <a:lumOff val="85%"/>
          </a:schemeClr>
        </a:solidFill>
        <a:round/>
      </a:ln>
    </cs:spPr>
    <cs:defRPr sz="1000" kern="1200"/>
  </cs:chartArea>
  <cs:dataLabel>
    <cs:lnRef idx="0"/>
    <cs:fillRef idx="0"/>
    <cs:effectRef idx="0"/>
    <cs:fontRef idx="minor">
      <a:schemeClr val="tx1">
        <a:lumMod val="75%"/>
        <a:lumOff val="25%"/>
      </a:schemeClr>
    </cs:fontRef>
    <cs:defRPr sz="900" kern="1200"/>
  </cs:dataLabel>
  <cs:dataLabelCallout>
    <cs:lnRef idx="0"/>
    <cs:fillRef idx="0"/>
    <cs:effectRef idx="0"/>
    <cs:fontRef idx="minor">
      <a:schemeClr val="dk1">
        <a:lumMod val="65%"/>
        <a:lumOff val="35%"/>
      </a:schemeClr>
    </cs:fontRef>
    <cs:spPr>
      <a:solidFill>
        <a:schemeClr val="lt1"/>
      </a:solidFill>
      <a:ln>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
        <a:lumOff val="35%"/>
      </a:schemeClr>
    </cs:fontRef>
    <cs:spPr>
      <a:noFill/>
      <a:ln w="9525" cap="flat" cmpd="sng" algn="ctr">
        <a:solidFill>
          <a:schemeClr val="tx1">
            <a:lumMod val="15%"/>
            <a:lumOff val="85%"/>
          </a:schemeClr>
        </a:solidFill>
        <a:round/>
      </a:ln>
    </cs:spPr>
    <cs:defRPr sz="900" kern="1200"/>
  </cs:dataTable>
  <cs:downBar>
    <cs:lnRef idx="0"/>
    <cs:fillRef idx="0"/>
    <cs:effectRef idx="0"/>
    <cs:fontRef idx="minor">
      <a:schemeClr val="dk1"/>
    </cs:fontRef>
    <cs:spPr>
      <a:solidFill>
        <a:schemeClr val="dk1">
          <a:lumMod val="65%"/>
          <a:lumOff val="35%"/>
        </a:schemeClr>
      </a:solidFill>
      <a:ln w="9525">
        <a:solidFill>
          <a:schemeClr val="tx1">
            <a:lumMod val="65%"/>
            <a:lumOff val="35%"/>
          </a:schemeClr>
        </a:solidFill>
      </a:ln>
    </cs:spPr>
  </cs:downBar>
  <cs:dropLine>
    <cs:lnRef idx="0"/>
    <cs:fillRef idx="0"/>
    <cs:effectRef idx="0"/>
    <cs:fontRef idx="minor">
      <a:schemeClr val="tx1"/>
    </cs:fontRef>
    <cs:spPr>
      <a:ln w="9525" cap="flat" cmpd="sng" algn="ctr">
        <a:solidFill>
          <a:schemeClr val="tx1">
            <a:lumMod val="35%"/>
            <a:lumOff val="65%"/>
          </a:schemeClr>
        </a:solidFill>
        <a:round/>
      </a:ln>
    </cs:spPr>
  </cs:dropLine>
  <cs:errorBar>
    <cs:lnRef idx="0"/>
    <cs:fillRef idx="0"/>
    <cs:effectRef idx="0"/>
    <cs:fontRef idx="minor">
      <a:schemeClr val="tx1"/>
    </cs:fontRef>
    <cs:spPr>
      <a:ln w="9525" cap="flat" cmpd="sng" algn="ctr">
        <a:solidFill>
          <a:schemeClr val="tx1">
            <a:lumMod val="65%"/>
            <a:lumOff val="35%"/>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
            <a:lumOff val="85%"/>
          </a:schemeClr>
        </a:solidFill>
        <a:round/>
      </a:ln>
    </cs:spPr>
  </cs:gridlineMajor>
  <cs:gridlineMinor>
    <cs:lnRef idx="0"/>
    <cs:fillRef idx="0"/>
    <cs:effectRef idx="0"/>
    <cs:fontRef idx="minor">
      <a:schemeClr val="tx1"/>
    </cs:fontRef>
    <cs:spPr>
      <a:ln w="9525" cap="flat" cmpd="sng" algn="ctr">
        <a:solidFill>
          <a:schemeClr val="tx1">
            <a:lumMod val="5%"/>
            <a:lumOff val="95%"/>
          </a:schemeClr>
        </a:solidFill>
        <a:round/>
      </a:ln>
    </cs:spPr>
  </cs:gridlineMinor>
  <cs:hiLoLine>
    <cs:lnRef idx="0"/>
    <cs:fillRef idx="0"/>
    <cs:effectRef idx="0"/>
    <cs:fontRef idx="minor">
      <a:schemeClr val="tx1"/>
    </cs:fontRef>
    <cs:spPr>
      <a:ln w="9525" cap="flat" cmpd="sng" algn="ctr">
        <a:solidFill>
          <a:schemeClr val="tx1">
            <a:lumMod val="75%"/>
            <a:lumOff val="25%"/>
          </a:schemeClr>
        </a:solidFill>
        <a:round/>
      </a:ln>
    </cs:spPr>
  </cs:hiLoLine>
  <cs:leaderLine>
    <cs:lnRef idx="0"/>
    <cs:fillRef idx="0"/>
    <cs:effectRef idx="0"/>
    <cs:fontRef idx="minor">
      <a:schemeClr val="tx1"/>
    </cs:fontRef>
    <cs:spPr>
      <a:ln w="9525" cap="flat" cmpd="sng" algn="ctr">
        <a:solidFill>
          <a:schemeClr val="tx1">
            <a:lumMod val="35%"/>
            <a:lumOff val="65%"/>
          </a:schemeClr>
        </a:solidFill>
        <a:round/>
      </a:ln>
    </cs:spPr>
  </cs:leaderLine>
  <cs:legend>
    <cs:lnRef idx="0"/>
    <cs:fillRef idx="0"/>
    <cs:effectRef idx="0"/>
    <cs:fontRef idx="minor">
      <a:schemeClr val="tx1">
        <a:lumMod val="65%"/>
        <a:lumOff val="35%"/>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
        <a:lumOff val="35%"/>
      </a:schemeClr>
    </cs:fontRef>
    <cs:defRPr sz="900" kern="1200"/>
  </cs:seriesAxis>
  <cs:seriesLine>
    <cs:lnRef idx="0"/>
    <cs:fillRef idx="0"/>
    <cs:effectRef idx="0"/>
    <cs:fontRef idx="minor">
      <a:schemeClr val="tx1"/>
    </cs:fontRef>
    <cs:spPr>
      <a:ln w="9525" cap="flat" cmpd="sng" algn="ctr">
        <a:solidFill>
          <a:schemeClr val="tx1">
            <a:lumMod val="35%"/>
            <a:lumOff val="65%"/>
          </a:schemeClr>
        </a:solidFill>
        <a:round/>
      </a:ln>
    </cs:spPr>
  </cs:seriesLine>
  <cs:title>
    <cs:lnRef idx="0"/>
    <cs:fillRef idx="0"/>
    <cs:effectRef idx="0"/>
    <cs:fontRef idx="minor">
      <a:schemeClr val="tx1">
        <a:lumMod val="65%"/>
        <a:lumOff val="35%"/>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
        <a:lumOff val="35%"/>
      </a:schemeClr>
    </cs:fontRef>
    <cs:defRPr sz="900" kern="1200"/>
  </cs:trendlineLabel>
  <cs:upBar>
    <cs:lnRef idx="0"/>
    <cs:fillRef idx="0"/>
    <cs:effectRef idx="0"/>
    <cs:fontRef idx="minor">
      <a:schemeClr val="dk1"/>
    </cs:fontRef>
    <cs:spPr>
      <a:solidFill>
        <a:schemeClr val="lt1"/>
      </a:solidFill>
      <a:ln w="9525">
        <a:solidFill>
          <a:schemeClr val="tx1">
            <a:lumMod val="15%"/>
            <a:lumOff val="85%"/>
          </a:schemeClr>
        </a:solidFill>
      </a:ln>
    </cs:spPr>
  </cs:upBar>
  <cs:valueAxis>
    <cs:lnRef idx="0"/>
    <cs:fillRef idx="0"/>
    <cs:effectRef idx="0"/>
    <cs:fontRef idx="minor">
      <a:schemeClr val="tx1">
        <a:lumMod val="65%"/>
        <a:lumOff val="35%"/>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purl.oclc.org/ooxml/drawingml/main" id="297">
  <cs:axisTitle>
    <cs:lnRef idx="0"/>
    <cs:fillRef idx="0"/>
    <cs:effectRef idx="0"/>
    <cs:fontRef idx="minor">
      <a:schemeClr val="tx1">
        <a:lumMod val="65%"/>
        <a:lumOff val="35%"/>
      </a:schemeClr>
    </cs:fontRef>
    <cs:defRPr sz="1000" kern="1200"/>
  </cs:axisTitle>
  <cs:categoryAxis>
    <cs:lnRef idx="0"/>
    <cs:fillRef idx="0"/>
    <cs:effectRef idx="0"/>
    <cs:fontRef idx="minor">
      <a:schemeClr val="tx1">
        <a:lumMod val="65%"/>
        <a:lumOff val="35%"/>
      </a:schemeClr>
    </cs:fontRef>
    <cs:spPr>
      <a:ln w="9525" cap="flat" cmpd="sng" algn="ctr">
        <a:solidFill>
          <a:schemeClr val="tx1">
            <a:lumMod val="15%"/>
            <a:lumOff val="85%"/>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
            <a:lumOff val="85%"/>
          </a:schemeClr>
        </a:solidFill>
        <a:round/>
      </a:ln>
    </cs:spPr>
    <cs:defRPr sz="1000" kern="1200"/>
  </cs:chartArea>
  <cs:dataLabel>
    <cs:lnRef idx="0"/>
    <cs:fillRef idx="0"/>
    <cs:effectRef idx="0"/>
    <cs:fontRef idx="minor">
      <a:schemeClr val="tx1">
        <a:lumMod val="75%"/>
        <a:lumOff val="25%"/>
      </a:schemeClr>
    </cs:fontRef>
    <cs:defRPr sz="900" kern="1200"/>
  </cs:dataLabel>
  <cs:dataLabelCallout>
    <cs:lnRef idx="0"/>
    <cs:fillRef idx="0"/>
    <cs:effectRef idx="0"/>
    <cs:fontRef idx="minor">
      <a:schemeClr val="dk1">
        <a:lumMod val="65%"/>
        <a:lumOff val="35%"/>
      </a:schemeClr>
    </cs:fontRef>
    <cs:spPr>
      <a:solidFill>
        <a:schemeClr val="lt1"/>
      </a:solidFill>
      <a:ln>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
        <a:lumOff val="35%"/>
      </a:schemeClr>
    </cs:fontRef>
    <cs:spPr>
      <a:noFill/>
      <a:ln w="9525" cap="flat" cmpd="sng" algn="ctr">
        <a:solidFill>
          <a:schemeClr val="tx1">
            <a:lumMod val="15%"/>
            <a:lumOff val="85%"/>
          </a:schemeClr>
        </a:solidFill>
        <a:round/>
      </a:ln>
    </cs:spPr>
    <cs:defRPr sz="900" kern="1200"/>
  </cs:dataTable>
  <cs:downBar>
    <cs:lnRef idx="0"/>
    <cs:fillRef idx="0"/>
    <cs:effectRef idx="0"/>
    <cs:fontRef idx="minor">
      <a:schemeClr val="tx1"/>
    </cs:fontRef>
    <cs:spPr>
      <a:solidFill>
        <a:schemeClr val="dk1">
          <a:lumMod val="75%"/>
          <a:lumOff val="25%"/>
        </a:schemeClr>
      </a:solidFill>
      <a:ln w="9525" cap="flat" cmpd="sng" algn="ctr">
        <a:solidFill>
          <a:schemeClr val="tx1">
            <a:lumMod val="65%"/>
            <a:lumOff val="35%"/>
          </a:schemeClr>
        </a:solidFill>
        <a:round/>
      </a:ln>
    </cs:spPr>
  </cs:downBar>
  <cs:dropLine>
    <cs:lnRef idx="0"/>
    <cs:fillRef idx="0"/>
    <cs:effectRef idx="0"/>
    <cs:fontRef idx="minor">
      <a:schemeClr val="tx1"/>
    </cs:fontRef>
    <cs:spPr>
      <a:ln w="9525" cap="flat" cmpd="sng" algn="ctr">
        <a:solidFill>
          <a:schemeClr val="tx1">
            <a:lumMod val="35%"/>
            <a:lumOff val="65%"/>
          </a:schemeClr>
        </a:solidFill>
        <a:round/>
      </a:ln>
    </cs:spPr>
  </cs:dropLine>
  <cs:errorBar>
    <cs:lnRef idx="0"/>
    <cs:fillRef idx="0"/>
    <cs:effectRef idx="0"/>
    <cs:fontRef idx="minor">
      <a:schemeClr val="tx1"/>
    </cs:fontRef>
    <cs:spPr>
      <a:ln w="9525" cap="flat" cmpd="sng" algn="ctr">
        <a:solidFill>
          <a:schemeClr val="tx1">
            <a:lumMod val="65%"/>
            <a:lumOff val="35%"/>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
            <a:lumOff val="85%"/>
          </a:schemeClr>
        </a:solidFill>
        <a:round/>
      </a:ln>
    </cs:spPr>
  </cs:gridlineMajor>
  <cs:gridlineMinor>
    <cs:lnRef idx="0"/>
    <cs:fillRef idx="0"/>
    <cs:effectRef idx="0"/>
    <cs:fontRef idx="minor">
      <a:schemeClr val="tx1"/>
    </cs:fontRef>
    <cs:spPr>
      <a:ln w="9525" cap="flat" cmpd="sng" algn="ctr">
        <a:solidFill>
          <a:schemeClr val="tx1">
            <a:lumMod val="5%"/>
            <a:lumOff val="95%"/>
          </a:schemeClr>
        </a:solidFill>
        <a:round/>
      </a:ln>
    </cs:spPr>
  </cs:gridlineMinor>
  <cs:hiLoLine>
    <cs:lnRef idx="0"/>
    <cs:fillRef idx="0"/>
    <cs:effectRef idx="0"/>
    <cs:fontRef idx="minor">
      <a:schemeClr val="tx1"/>
    </cs:fontRef>
    <cs:spPr>
      <a:ln w="9525" cap="flat" cmpd="sng" algn="ctr">
        <a:solidFill>
          <a:schemeClr val="tx1">
            <a:lumMod val="50%"/>
            <a:lumOff val="50%"/>
          </a:schemeClr>
        </a:solidFill>
        <a:round/>
      </a:ln>
    </cs:spPr>
  </cs:hiLoLine>
  <cs:leaderLine>
    <cs:lnRef idx="0"/>
    <cs:fillRef idx="0"/>
    <cs:effectRef idx="0"/>
    <cs:fontRef idx="minor">
      <a:schemeClr val="tx1"/>
    </cs:fontRef>
    <cs:spPr>
      <a:ln w="9525" cap="flat" cmpd="sng" algn="ctr">
        <a:solidFill>
          <a:schemeClr val="tx1">
            <a:lumMod val="35%"/>
            <a:lumOff val="65%"/>
          </a:schemeClr>
        </a:solidFill>
        <a:round/>
      </a:ln>
    </cs:spPr>
  </cs:leaderLine>
  <cs:legend>
    <cs:lnRef idx="0"/>
    <cs:fillRef idx="0"/>
    <cs:effectRef idx="0"/>
    <cs:fontRef idx="minor">
      <a:schemeClr val="tx1">
        <a:lumMod val="65%"/>
        <a:lumOff val="35%"/>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
        <a:lumOff val="35%"/>
      </a:schemeClr>
    </cs:fontRef>
    <cs:defRPr sz="900" kern="1200"/>
  </cs:seriesAxis>
  <cs:seriesLine>
    <cs:lnRef idx="0"/>
    <cs:fillRef idx="0"/>
    <cs:effectRef idx="0"/>
    <cs:fontRef idx="minor">
      <a:schemeClr val="tx1"/>
    </cs:fontRef>
    <cs:spPr>
      <a:ln w="9525" cap="flat" cmpd="sng" algn="ctr">
        <a:solidFill>
          <a:schemeClr val="tx1">
            <a:lumMod val="35%"/>
            <a:lumOff val="65%"/>
          </a:schemeClr>
        </a:solidFill>
        <a:round/>
      </a:ln>
    </cs:spPr>
  </cs:seriesLine>
  <cs:title>
    <cs:lnRef idx="0"/>
    <cs:fillRef idx="0"/>
    <cs:effectRef idx="0"/>
    <cs:fontRef idx="minor">
      <a:schemeClr val="tx1">
        <a:lumMod val="65%"/>
        <a:lumOff val="35%"/>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
        <a:lumOff val="35%"/>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
            <a:lumOff val="35%"/>
          </a:schemeClr>
        </a:solidFill>
        <a:round/>
      </a:ln>
    </cs:spPr>
  </cs:upBar>
  <cs:valueAxis>
    <cs:lnRef idx="0"/>
    <cs:fillRef idx="0"/>
    <cs:effectRef idx="0"/>
    <cs:fontRef idx="minor">
      <a:schemeClr val="tx1">
        <a:lumMod val="65%"/>
        <a:lumOff val="35%"/>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purl.oclc.org/ooxml/drawingml/main" id="322">
  <cs:axisTitle>
    <cs:lnRef idx="0"/>
    <cs:fillRef idx="0"/>
    <cs:effectRef idx="0"/>
    <cs:fontRef idx="minor">
      <a:schemeClr val="tx1">
        <a:lumMod val="65%"/>
        <a:lumOff val="35%"/>
      </a:schemeClr>
    </cs:fontRef>
    <cs:defRPr sz="1000" kern="1200"/>
  </cs:axisTitle>
  <cs:categoryAxis>
    <cs:lnRef idx="0"/>
    <cs:fillRef idx="0"/>
    <cs:effectRef idx="0"/>
    <cs:fontRef idx="minor">
      <a:schemeClr val="tx1">
        <a:lumMod val="65%"/>
        <a:lumOff val="35%"/>
      </a:schemeClr>
    </cs:fontRef>
    <cs:spPr>
      <a:ln w="9525" cap="flat" cmpd="sng" algn="ctr">
        <a:solidFill>
          <a:schemeClr val="tx1">
            <a:lumMod val="15%"/>
            <a:lumOff val="85%"/>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
            <a:lumOff val="85%"/>
          </a:schemeClr>
        </a:solidFill>
        <a:round/>
      </a:ln>
    </cs:spPr>
    <cs:defRPr sz="1000" kern="1200"/>
  </cs:chartArea>
  <cs:dataLabel>
    <cs:lnRef idx="0"/>
    <cs:fillRef idx="0"/>
    <cs:effectRef idx="0"/>
    <cs:fontRef idx="minor">
      <a:schemeClr val="tx1">
        <a:lumMod val="75%"/>
        <a:lumOff val="25%"/>
      </a:schemeClr>
    </cs:fontRef>
    <cs:defRPr sz="900" kern="1200"/>
  </cs:dataLabel>
  <cs:dataLabelCallout>
    <cs:lnRef idx="0"/>
    <cs:fillRef idx="0"/>
    <cs:effectRef idx="0"/>
    <cs:fontRef idx="minor">
      <a:schemeClr val="dk1">
        <a:lumMod val="65%"/>
        <a:lumOff val="35%"/>
      </a:schemeClr>
    </cs:fontRef>
    <cs:spPr>
      <a:solidFill>
        <a:schemeClr val="lt1"/>
      </a:solidFill>
      <a:ln>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
        <a:lumOff val="35%"/>
      </a:schemeClr>
    </cs:fontRef>
    <cs:spPr>
      <a:noFill/>
      <a:ln w="9525" cap="flat" cmpd="sng" algn="ctr">
        <a:solidFill>
          <a:schemeClr val="tx1">
            <a:lumMod val="15%"/>
            <a:lumOff val="85%"/>
          </a:schemeClr>
        </a:solidFill>
        <a:round/>
      </a:ln>
    </cs:spPr>
    <cs:defRPr sz="900" kern="1200"/>
  </cs:dataTable>
  <cs:downBar>
    <cs:lnRef idx="0"/>
    <cs:fillRef idx="0"/>
    <cs:effectRef idx="0"/>
    <cs:fontRef idx="minor">
      <a:schemeClr val="tx1"/>
    </cs:fontRef>
    <cs:spPr>
      <a:solidFill>
        <a:schemeClr val="dk1">
          <a:lumMod val="75%"/>
          <a:lumOff val="25%"/>
        </a:schemeClr>
      </a:solidFill>
      <a:ln w="9525" cap="flat" cmpd="sng" algn="ctr">
        <a:solidFill>
          <a:schemeClr val="tx1">
            <a:lumMod val="65%"/>
            <a:lumOff val="35%"/>
          </a:schemeClr>
        </a:solidFill>
        <a:round/>
      </a:ln>
    </cs:spPr>
  </cs:downBar>
  <cs:dropLine>
    <cs:lnRef idx="0"/>
    <cs:fillRef idx="0"/>
    <cs:effectRef idx="0"/>
    <cs:fontRef idx="minor">
      <a:schemeClr val="tx1"/>
    </cs:fontRef>
    <cs:spPr>
      <a:ln w="9525" cap="flat" cmpd="sng" algn="ctr">
        <a:solidFill>
          <a:schemeClr val="tx1">
            <a:lumMod val="35%"/>
            <a:lumOff val="65%"/>
          </a:schemeClr>
        </a:solidFill>
        <a:round/>
      </a:ln>
    </cs:spPr>
  </cs:dropLine>
  <cs:errorBar>
    <cs:lnRef idx="0"/>
    <cs:fillRef idx="0"/>
    <cs:effectRef idx="0"/>
    <cs:fontRef idx="minor">
      <a:schemeClr val="tx1"/>
    </cs:fontRef>
    <cs:spPr>
      <a:ln w="9525" cap="flat" cmpd="sng" algn="ctr">
        <a:solidFill>
          <a:schemeClr val="tx1">
            <a:lumMod val="65%"/>
            <a:lumOff val="35%"/>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
            <a:lumOff val="85%"/>
          </a:schemeClr>
        </a:solidFill>
        <a:round/>
      </a:ln>
    </cs:spPr>
  </cs:gridlineMajor>
  <cs:gridlineMinor>
    <cs:lnRef idx="0"/>
    <cs:fillRef idx="0"/>
    <cs:effectRef idx="0"/>
    <cs:fontRef idx="minor">
      <a:schemeClr val="tx1"/>
    </cs:fontRef>
    <cs:spPr>
      <a:ln w="9525" cap="flat" cmpd="sng" algn="ctr">
        <a:solidFill>
          <a:schemeClr val="tx1">
            <a:lumMod val="5%"/>
            <a:lumOff val="95%"/>
          </a:schemeClr>
        </a:solidFill>
        <a:round/>
      </a:ln>
    </cs:spPr>
  </cs:gridlineMinor>
  <cs:hiLoLine>
    <cs:lnRef idx="0"/>
    <cs:fillRef idx="0"/>
    <cs:effectRef idx="0"/>
    <cs:fontRef idx="minor">
      <a:schemeClr val="tx1"/>
    </cs:fontRef>
    <cs:spPr>
      <a:ln w="9525" cap="flat" cmpd="sng" algn="ctr">
        <a:solidFill>
          <a:schemeClr val="tx1">
            <a:lumMod val="75%"/>
            <a:lumOff val="25%"/>
          </a:schemeClr>
        </a:solidFill>
        <a:round/>
      </a:ln>
    </cs:spPr>
  </cs:hiLoLine>
  <cs:leaderLine>
    <cs:lnRef idx="0"/>
    <cs:fillRef idx="0"/>
    <cs:effectRef idx="0"/>
    <cs:fontRef idx="minor">
      <a:schemeClr val="tx1"/>
    </cs:fontRef>
    <cs:spPr>
      <a:ln w="9525" cap="flat" cmpd="sng" algn="ctr">
        <a:solidFill>
          <a:schemeClr val="tx1">
            <a:lumMod val="35%"/>
            <a:lumOff val="65%"/>
          </a:schemeClr>
        </a:solidFill>
        <a:round/>
      </a:ln>
    </cs:spPr>
  </cs:leaderLine>
  <cs:legend>
    <cs:lnRef idx="0"/>
    <cs:fillRef idx="0"/>
    <cs:effectRef idx="0"/>
    <cs:fontRef idx="minor">
      <a:schemeClr val="tx1">
        <a:lumMod val="65%"/>
        <a:lumOff val="35%"/>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
        <a:lumOff val="35%"/>
      </a:schemeClr>
    </cs:fontRef>
    <cs:spPr>
      <a:ln w="9525" cap="flat" cmpd="sng" algn="ctr">
        <a:solidFill>
          <a:schemeClr val="tx1">
            <a:lumMod val="15%"/>
            <a:lumOff val="85%"/>
          </a:schemeClr>
        </a:solidFill>
        <a:round/>
      </a:ln>
    </cs:spPr>
    <cs:defRPr sz="900" kern="1200"/>
  </cs:seriesAxis>
  <cs:seriesLine>
    <cs:lnRef idx="0"/>
    <cs:fillRef idx="0"/>
    <cs:effectRef idx="0"/>
    <cs:fontRef idx="minor">
      <a:schemeClr val="tx1"/>
    </cs:fontRef>
    <cs:spPr>
      <a:ln w="9525" cap="flat" cmpd="sng" algn="ctr">
        <a:solidFill>
          <a:schemeClr val="tx1">
            <a:lumMod val="35%"/>
            <a:lumOff val="65%"/>
          </a:schemeClr>
        </a:solidFill>
        <a:round/>
      </a:ln>
    </cs:spPr>
  </cs:seriesLine>
  <cs:title>
    <cs:lnRef idx="0"/>
    <cs:fillRef idx="0"/>
    <cs:effectRef idx="0"/>
    <cs:fontRef idx="minor">
      <a:schemeClr val="tx1">
        <a:lumMod val="65%"/>
        <a:lumOff val="35%"/>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
        <a:lumOff val="35%"/>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
            <a:lumOff val="35%"/>
          </a:schemeClr>
        </a:solidFill>
        <a:round/>
      </a:ln>
    </cs:spPr>
  </cs:upBar>
  <cs:valueAxis>
    <cs:lnRef idx="0"/>
    <cs:fillRef idx="0"/>
    <cs:effectRef idx="0"/>
    <cs:fontRef idx="minor">
      <a:schemeClr val="tx1">
        <a:lumMod val="65%"/>
        <a:lumOff val="35%"/>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purl.oclc.org/ooxml/drawingml/main" id="297">
  <cs:axisTitle>
    <cs:lnRef idx="0"/>
    <cs:fillRef idx="0"/>
    <cs:effectRef idx="0"/>
    <cs:fontRef idx="minor">
      <a:schemeClr val="tx1">
        <a:lumMod val="65%"/>
        <a:lumOff val="35%"/>
      </a:schemeClr>
    </cs:fontRef>
    <cs:defRPr sz="1000" kern="1200"/>
  </cs:axisTitle>
  <cs:categoryAxis>
    <cs:lnRef idx="0"/>
    <cs:fillRef idx="0"/>
    <cs:effectRef idx="0"/>
    <cs:fontRef idx="minor">
      <a:schemeClr val="tx1">
        <a:lumMod val="65%"/>
        <a:lumOff val="35%"/>
      </a:schemeClr>
    </cs:fontRef>
    <cs:spPr>
      <a:ln w="9525" cap="flat" cmpd="sng" algn="ctr">
        <a:solidFill>
          <a:schemeClr val="tx1">
            <a:lumMod val="15%"/>
            <a:lumOff val="85%"/>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
            <a:lumOff val="85%"/>
          </a:schemeClr>
        </a:solidFill>
        <a:round/>
      </a:ln>
    </cs:spPr>
    <cs:defRPr sz="1000" kern="1200"/>
  </cs:chartArea>
  <cs:dataLabel>
    <cs:lnRef idx="0"/>
    <cs:fillRef idx="0"/>
    <cs:effectRef idx="0"/>
    <cs:fontRef idx="minor">
      <a:schemeClr val="tx1">
        <a:lumMod val="75%"/>
        <a:lumOff val="25%"/>
      </a:schemeClr>
    </cs:fontRef>
    <cs:defRPr sz="900" kern="1200"/>
  </cs:dataLabel>
  <cs:dataLabelCallout>
    <cs:lnRef idx="0"/>
    <cs:fillRef idx="0"/>
    <cs:effectRef idx="0"/>
    <cs:fontRef idx="minor">
      <a:schemeClr val="dk1">
        <a:lumMod val="65%"/>
        <a:lumOff val="35%"/>
      </a:schemeClr>
    </cs:fontRef>
    <cs:spPr>
      <a:solidFill>
        <a:schemeClr val="lt1"/>
      </a:solidFill>
      <a:ln>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
        <a:lumOff val="35%"/>
      </a:schemeClr>
    </cs:fontRef>
    <cs:spPr>
      <a:noFill/>
      <a:ln w="9525" cap="flat" cmpd="sng" algn="ctr">
        <a:solidFill>
          <a:schemeClr val="tx1">
            <a:lumMod val="15%"/>
            <a:lumOff val="85%"/>
          </a:schemeClr>
        </a:solidFill>
        <a:round/>
      </a:ln>
    </cs:spPr>
    <cs:defRPr sz="900" kern="1200"/>
  </cs:dataTable>
  <cs:downBar>
    <cs:lnRef idx="0"/>
    <cs:fillRef idx="0"/>
    <cs:effectRef idx="0"/>
    <cs:fontRef idx="minor">
      <a:schemeClr val="tx1"/>
    </cs:fontRef>
    <cs:spPr>
      <a:solidFill>
        <a:schemeClr val="dk1">
          <a:lumMod val="75%"/>
          <a:lumOff val="25%"/>
        </a:schemeClr>
      </a:solidFill>
      <a:ln w="9525" cap="flat" cmpd="sng" algn="ctr">
        <a:solidFill>
          <a:schemeClr val="tx1">
            <a:lumMod val="65%"/>
            <a:lumOff val="35%"/>
          </a:schemeClr>
        </a:solidFill>
        <a:round/>
      </a:ln>
    </cs:spPr>
  </cs:downBar>
  <cs:dropLine>
    <cs:lnRef idx="0"/>
    <cs:fillRef idx="0"/>
    <cs:effectRef idx="0"/>
    <cs:fontRef idx="minor">
      <a:schemeClr val="tx1"/>
    </cs:fontRef>
    <cs:spPr>
      <a:ln w="9525" cap="flat" cmpd="sng" algn="ctr">
        <a:solidFill>
          <a:schemeClr val="tx1">
            <a:lumMod val="35%"/>
            <a:lumOff val="65%"/>
          </a:schemeClr>
        </a:solidFill>
        <a:round/>
      </a:ln>
    </cs:spPr>
  </cs:dropLine>
  <cs:errorBar>
    <cs:lnRef idx="0"/>
    <cs:fillRef idx="0"/>
    <cs:effectRef idx="0"/>
    <cs:fontRef idx="minor">
      <a:schemeClr val="tx1"/>
    </cs:fontRef>
    <cs:spPr>
      <a:ln w="9525" cap="flat" cmpd="sng" algn="ctr">
        <a:solidFill>
          <a:schemeClr val="tx1">
            <a:lumMod val="65%"/>
            <a:lumOff val="35%"/>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
            <a:lumOff val="85%"/>
          </a:schemeClr>
        </a:solidFill>
        <a:round/>
      </a:ln>
    </cs:spPr>
  </cs:gridlineMajor>
  <cs:gridlineMinor>
    <cs:lnRef idx="0"/>
    <cs:fillRef idx="0"/>
    <cs:effectRef idx="0"/>
    <cs:fontRef idx="minor">
      <a:schemeClr val="tx1"/>
    </cs:fontRef>
    <cs:spPr>
      <a:ln w="9525" cap="flat" cmpd="sng" algn="ctr">
        <a:solidFill>
          <a:schemeClr val="tx1">
            <a:lumMod val="5%"/>
            <a:lumOff val="95%"/>
          </a:schemeClr>
        </a:solidFill>
        <a:round/>
      </a:ln>
    </cs:spPr>
  </cs:gridlineMinor>
  <cs:hiLoLine>
    <cs:lnRef idx="0"/>
    <cs:fillRef idx="0"/>
    <cs:effectRef idx="0"/>
    <cs:fontRef idx="minor">
      <a:schemeClr val="tx1"/>
    </cs:fontRef>
    <cs:spPr>
      <a:ln w="9525" cap="flat" cmpd="sng" algn="ctr">
        <a:solidFill>
          <a:schemeClr val="tx1">
            <a:lumMod val="50%"/>
            <a:lumOff val="50%"/>
          </a:schemeClr>
        </a:solidFill>
        <a:round/>
      </a:ln>
    </cs:spPr>
  </cs:hiLoLine>
  <cs:leaderLine>
    <cs:lnRef idx="0"/>
    <cs:fillRef idx="0"/>
    <cs:effectRef idx="0"/>
    <cs:fontRef idx="minor">
      <a:schemeClr val="tx1"/>
    </cs:fontRef>
    <cs:spPr>
      <a:ln w="9525" cap="flat" cmpd="sng" algn="ctr">
        <a:solidFill>
          <a:schemeClr val="tx1">
            <a:lumMod val="35%"/>
            <a:lumOff val="65%"/>
          </a:schemeClr>
        </a:solidFill>
        <a:round/>
      </a:ln>
    </cs:spPr>
  </cs:leaderLine>
  <cs:legend>
    <cs:lnRef idx="0"/>
    <cs:fillRef idx="0"/>
    <cs:effectRef idx="0"/>
    <cs:fontRef idx="minor">
      <a:schemeClr val="tx1">
        <a:lumMod val="65%"/>
        <a:lumOff val="35%"/>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
        <a:lumOff val="35%"/>
      </a:schemeClr>
    </cs:fontRef>
    <cs:defRPr sz="900" kern="1200"/>
  </cs:seriesAxis>
  <cs:seriesLine>
    <cs:lnRef idx="0"/>
    <cs:fillRef idx="0"/>
    <cs:effectRef idx="0"/>
    <cs:fontRef idx="minor">
      <a:schemeClr val="tx1"/>
    </cs:fontRef>
    <cs:spPr>
      <a:ln w="9525" cap="flat" cmpd="sng" algn="ctr">
        <a:solidFill>
          <a:schemeClr val="tx1">
            <a:lumMod val="35%"/>
            <a:lumOff val="65%"/>
          </a:schemeClr>
        </a:solidFill>
        <a:round/>
      </a:ln>
    </cs:spPr>
  </cs:seriesLine>
  <cs:title>
    <cs:lnRef idx="0"/>
    <cs:fillRef idx="0"/>
    <cs:effectRef idx="0"/>
    <cs:fontRef idx="minor">
      <a:schemeClr val="tx1">
        <a:lumMod val="65%"/>
        <a:lumOff val="35%"/>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
        <a:lumOff val="35%"/>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
            <a:lumOff val="35%"/>
          </a:schemeClr>
        </a:solidFill>
        <a:round/>
      </a:ln>
    </cs:spPr>
  </cs:upBar>
  <cs:valueAxis>
    <cs:lnRef idx="0"/>
    <cs:fillRef idx="0"/>
    <cs:effectRef idx="0"/>
    <cs:fontRef idx="minor">
      <a:schemeClr val="tx1">
        <a:lumMod val="65%"/>
        <a:lumOff val="35%"/>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purl.oclc.org/ooxml/drawingml/main" id="227">
  <cs:axisTitle>
    <cs:lnRef idx="0"/>
    <cs:fillRef idx="0"/>
    <cs:effectRef idx="0"/>
    <cs:fontRef idx="minor">
      <a:schemeClr val="tx1">
        <a:lumMod val="65%"/>
        <a:lumOff val="35%"/>
      </a:schemeClr>
    </cs:fontRef>
    <cs:defRPr sz="1000" kern="1200"/>
  </cs:axisTitle>
  <cs:categoryAxis>
    <cs:lnRef idx="0"/>
    <cs:fillRef idx="0"/>
    <cs:effectRef idx="0"/>
    <cs:fontRef idx="minor">
      <a:schemeClr val="tx1">
        <a:lumMod val="65%"/>
        <a:lumOff val="35%"/>
      </a:schemeClr>
    </cs:fontRef>
    <cs:spPr>
      <a:ln w="9525" cap="flat" cmpd="sng" algn="ctr">
        <a:solidFill>
          <a:schemeClr val="tx1">
            <a:lumMod val="15%"/>
            <a:lumOff val="85%"/>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
            <a:lumOff val="85%"/>
          </a:schemeClr>
        </a:solidFill>
        <a:round/>
      </a:ln>
    </cs:spPr>
    <cs:defRPr sz="1000" kern="1200"/>
  </cs:chartArea>
  <cs:dataLabel>
    <cs:lnRef idx="0"/>
    <cs:fillRef idx="0"/>
    <cs:effectRef idx="0"/>
    <cs:fontRef idx="minor">
      <a:schemeClr val="tx1">
        <a:lumMod val="75%"/>
        <a:lumOff val="25%"/>
      </a:schemeClr>
    </cs:fontRef>
    <cs:defRPr sz="900" kern="1200"/>
  </cs:dataLabel>
  <cs:dataLabelCallout>
    <cs:lnRef idx="0"/>
    <cs:fillRef idx="0"/>
    <cs:effectRef idx="0"/>
    <cs:fontRef idx="minor">
      <a:schemeClr val="dk1">
        <a:lumMod val="65%"/>
        <a:lumOff val="35%"/>
      </a:schemeClr>
    </cs:fontRef>
    <cs:spPr>
      <a:solidFill>
        <a:schemeClr val="lt1"/>
      </a:solidFill>
      <a:ln>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
        <a:lumOff val="35%"/>
      </a:schemeClr>
    </cs:fontRef>
    <cs:spPr>
      <a:noFill/>
      <a:ln w="9525" cap="flat" cmpd="sng" algn="ctr">
        <a:solidFill>
          <a:schemeClr val="tx1">
            <a:lumMod val="15%"/>
            <a:lumOff val="85%"/>
          </a:schemeClr>
        </a:solidFill>
        <a:round/>
      </a:ln>
    </cs:spPr>
    <cs:defRPr sz="900" kern="1200"/>
  </cs:dataTable>
  <cs:downBar>
    <cs:lnRef idx="0"/>
    <cs:fillRef idx="0"/>
    <cs:effectRef idx="0"/>
    <cs:fontRef idx="minor">
      <a:schemeClr val="dk1"/>
    </cs:fontRef>
    <cs:spPr>
      <a:solidFill>
        <a:schemeClr val="dk1">
          <a:lumMod val="65%"/>
          <a:lumOff val="35%"/>
        </a:schemeClr>
      </a:solidFill>
      <a:ln w="9525">
        <a:solidFill>
          <a:schemeClr val="tx1">
            <a:lumMod val="65%"/>
            <a:lumOff val="35%"/>
          </a:schemeClr>
        </a:solidFill>
      </a:ln>
    </cs:spPr>
  </cs:downBar>
  <cs:dropLine>
    <cs:lnRef idx="0"/>
    <cs:fillRef idx="0"/>
    <cs:effectRef idx="0"/>
    <cs:fontRef idx="minor">
      <a:schemeClr val="tx1"/>
    </cs:fontRef>
    <cs:spPr>
      <a:ln w="9525" cap="flat" cmpd="sng" algn="ctr">
        <a:solidFill>
          <a:schemeClr val="tx1">
            <a:lumMod val="35%"/>
            <a:lumOff val="65%"/>
          </a:schemeClr>
        </a:solidFill>
        <a:round/>
      </a:ln>
    </cs:spPr>
  </cs:dropLine>
  <cs:errorBar>
    <cs:lnRef idx="0"/>
    <cs:fillRef idx="0"/>
    <cs:effectRef idx="0"/>
    <cs:fontRef idx="minor">
      <a:schemeClr val="tx1"/>
    </cs:fontRef>
    <cs:spPr>
      <a:ln w="9525" cap="flat" cmpd="sng" algn="ctr">
        <a:solidFill>
          <a:schemeClr val="tx1">
            <a:lumMod val="65%"/>
            <a:lumOff val="35%"/>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
            <a:lumOff val="85%"/>
          </a:schemeClr>
        </a:solidFill>
        <a:round/>
      </a:ln>
    </cs:spPr>
  </cs:gridlineMajor>
  <cs:gridlineMinor>
    <cs:lnRef idx="0"/>
    <cs:fillRef idx="0"/>
    <cs:effectRef idx="0"/>
    <cs:fontRef idx="minor">
      <a:schemeClr val="tx1"/>
    </cs:fontRef>
    <cs:spPr>
      <a:ln w="9525" cap="flat" cmpd="sng" algn="ctr">
        <a:solidFill>
          <a:schemeClr val="tx1">
            <a:lumMod val="5%"/>
            <a:lumOff val="95%"/>
          </a:schemeClr>
        </a:solidFill>
        <a:round/>
      </a:ln>
    </cs:spPr>
  </cs:gridlineMinor>
  <cs:hiLoLine>
    <cs:lnRef idx="0"/>
    <cs:fillRef idx="0"/>
    <cs:effectRef idx="0"/>
    <cs:fontRef idx="minor">
      <a:schemeClr val="tx1"/>
    </cs:fontRef>
    <cs:spPr>
      <a:ln w="9525" cap="flat" cmpd="sng" algn="ctr">
        <a:solidFill>
          <a:schemeClr val="tx1">
            <a:lumMod val="75%"/>
            <a:lumOff val="25%"/>
          </a:schemeClr>
        </a:solidFill>
        <a:round/>
      </a:ln>
    </cs:spPr>
  </cs:hiLoLine>
  <cs:leaderLine>
    <cs:lnRef idx="0"/>
    <cs:fillRef idx="0"/>
    <cs:effectRef idx="0"/>
    <cs:fontRef idx="minor">
      <a:schemeClr val="tx1"/>
    </cs:fontRef>
    <cs:spPr>
      <a:ln w="9525" cap="flat" cmpd="sng" algn="ctr">
        <a:solidFill>
          <a:schemeClr val="tx1">
            <a:lumMod val="35%"/>
            <a:lumOff val="65%"/>
          </a:schemeClr>
        </a:solidFill>
        <a:round/>
      </a:ln>
    </cs:spPr>
  </cs:leaderLine>
  <cs:legend>
    <cs:lnRef idx="0"/>
    <cs:fillRef idx="0"/>
    <cs:effectRef idx="0"/>
    <cs:fontRef idx="minor">
      <a:schemeClr val="tx1">
        <a:lumMod val="65%"/>
        <a:lumOff val="35%"/>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
        <a:lumOff val="35%"/>
      </a:schemeClr>
    </cs:fontRef>
    <cs:defRPr sz="900" kern="1200"/>
  </cs:seriesAxis>
  <cs:seriesLine>
    <cs:lnRef idx="0"/>
    <cs:fillRef idx="0"/>
    <cs:effectRef idx="0"/>
    <cs:fontRef idx="minor">
      <a:schemeClr val="tx1"/>
    </cs:fontRef>
    <cs:spPr>
      <a:ln w="9525" cap="flat" cmpd="sng" algn="ctr">
        <a:solidFill>
          <a:schemeClr val="tx1">
            <a:lumMod val="35%"/>
            <a:lumOff val="65%"/>
          </a:schemeClr>
        </a:solidFill>
        <a:round/>
      </a:ln>
    </cs:spPr>
  </cs:seriesLine>
  <cs:title>
    <cs:lnRef idx="0"/>
    <cs:fillRef idx="0"/>
    <cs:effectRef idx="0"/>
    <cs:fontRef idx="minor">
      <a:schemeClr val="tx1">
        <a:lumMod val="65%"/>
        <a:lumOff val="35%"/>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
        <a:lumOff val="35%"/>
      </a:schemeClr>
    </cs:fontRef>
    <cs:defRPr sz="900" kern="1200"/>
  </cs:trendlineLabel>
  <cs:upBar>
    <cs:lnRef idx="0"/>
    <cs:fillRef idx="0"/>
    <cs:effectRef idx="0"/>
    <cs:fontRef idx="minor">
      <a:schemeClr val="dk1"/>
    </cs:fontRef>
    <cs:spPr>
      <a:solidFill>
        <a:schemeClr val="lt1"/>
      </a:solidFill>
      <a:ln w="9525">
        <a:solidFill>
          <a:schemeClr val="tx1">
            <a:lumMod val="15%"/>
            <a:lumOff val="85%"/>
          </a:schemeClr>
        </a:solidFill>
      </a:ln>
    </cs:spPr>
  </cs:upBar>
  <cs:valueAxis>
    <cs:lnRef idx="0"/>
    <cs:fillRef idx="0"/>
    <cs:effectRef idx="0"/>
    <cs:fontRef idx="minor">
      <a:schemeClr val="tx1">
        <a:lumMod val="65%"/>
        <a:lumOff val="35%"/>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purl.oclc.org/ooxml/drawingml/main" id="297">
  <cs:axisTitle>
    <cs:lnRef idx="0"/>
    <cs:fillRef idx="0"/>
    <cs:effectRef idx="0"/>
    <cs:fontRef idx="minor">
      <a:schemeClr val="tx1">
        <a:lumMod val="65%"/>
        <a:lumOff val="35%"/>
      </a:schemeClr>
    </cs:fontRef>
    <cs:defRPr sz="1000" kern="1200"/>
  </cs:axisTitle>
  <cs:categoryAxis>
    <cs:lnRef idx="0"/>
    <cs:fillRef idx="0"/>
    <cs:effectRef idx="0"/>
    <cs:fontRef idx="minor">
      <a:schemeClr val="tx1">
        <a:lumMod val="65%"/>
        <a:lumOff val="35%"/>
      </a:schemeClr>
    </cs:fontRef>
    <cs:spPr>
      <a:ln w="9525" cap="flat" cmpd="sng" algn="ctr">
        <a:solidFill>
          <a:schemeClr val="tx1">
            <a:lumMod val="15%"/>
            <a:lumOff val="85%"/>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
            <a:lumOff val="85%"/>
          </a:schemeClr>
        </a:solidFill>
        <a:round/>
      </a:ln>
    </cs:spPr>
    <cs:defRPr sz="1000" kern="1200"/>
  </cs:chartArea>
  <cs:dataLabel>
    <cs:lnRef idx="0"/>
    <cs:fillRef idx="0"/>
    <cs:effectRef idx="0"/>
    <cs:fontRef idx="minor">
      <a:schemeClr val="tx1">
        <a:lumMod val="75%"/>
        <a:lumOff val="25%"/>
      </a:schemeClr>
    </cs:fontRef>
    <cs:defRPr sz="900" kern="1200"/>
  </cs:dataLabel>
  <cs:dataLabelCallout>
    <cs:lnRef idx="0"/>
    <cs:fillRef idx="0"/>
    <cs:effectRef idx="0"/>
    <cs:fontRef idx="minor">
      <a:schemeClr val="dk1">
        <a:lumMod val="65%"/>
        <a:lumOff val="35%"/>
      </a:schemeClr>
    </cs:fontRef>
    <cs:spPr>
      <a:solidFill>
        <a:schemeClr val="lt1"/>
      </a:solidFill>
      <a:ln>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
        <a:lumOff val="35%"/>
      </a:schemeClr>
    </cs:fontRef>
    <cs:spPr>
      <a:noFill/>
      <a:ln w="9525" cap="flat" cmpd="sng" algn="ctr">
        <a:solidFill>
          <a:schemeClr val="tx1">
            <a:lumMod val="15%"/>
            <a:lumOff val="85%"/>
          </a:schemeClr>
        </a:solidFill>
        <a:round/>
      </a:ln>
    </cs:spPr>
    <cs:defRPr sz="900" kern="1200"/>
  </cs:dataTable>
  <cs:downBar>
    <cs:lnRef idx="0"/>
    <cs:fillRef idx="0"/>
    <cs:effectRef idx="0"/>
    <cs:fontRef idx="minor">
      <a:schemeClr val="tx1"/>
    </cs:fontRef>
    <cs:spPr>
      <a:solidFill>
        <a:schemeClr val="dk1">
          <a:lumMod val="75%"/>
          <a:lumOff val="25%"/>
        </a:schemeClr>
      </a:solidFill>
      <a:ln w="9525" cap="flat" cmpd="sng" algn="ctr">
        <a:solidFill>
          <a:schemeClr val="tx1">
            <a:lumMod val="65%"/>
            <a:lumOff val="35%"/>
          </a:schemeClr>
        </a:solidFill>
        <a:round/>
      </a:ln>
    </cs:spPr>
  </cs:downBar>
  <cs:dropLine>
    <cs:lnRef idx="0"/>
    <cs:fillRef idx="0"/>
    <cs:effectRef idx="0"/>
    <cs:fontRef idx="minor">
      <a:schemeClr val="tx1"/>
    </cs:fontRef>
    <cs:spPr>
      <a:ln w="9525" cap="flat" cmpd="sng" algn="ctr">
        <a:solidFill>
          <a:schemeClr val="tx1">
            <a:lumMod val="35%"/>
            <a:lumOff val="65%"/>
          </a:schemeClr>
        </a:solidFill>
        <a:round/>
      </a:ln>
    </cs:spPr>
  </cs:dropLine>
  <cs:errorBar>
    <cs:lnRef idx="0"/>
    <cs:fillRef idx="0"/>
    <cs:effectRef idx="0"/>
    <cs:fontRef idx="minor">
      <a:schemeClr val="tx1"/>
    </cs:fontRef>
    <cs:spPr>
      <a:ln w="9525" cap="flat" cmpd="sng" algn="ctr">
        <a:solidFill>
          <a:schemeClr val="tx1">
            <a:lumMod val="65%"/>
            <a:lumOff val="35%"/>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
            <a:lumOff val="85%"/>
          </a:schemeClr>
        </a:solidFill>
        <a:round/>
      </a:ln>
    </cs:spPr>
  </cs:gridlineMajor>
  <cs:gridlineMinor>
    <cs:lnRef idx="0"/>
    <cs:fillRef idx="0"/>
    <cs:effectRef idx="0"/>
    <cs:fontRef idx="minor">
      <a:schemeClr val="tx1"/>
    </cs:fontRef>
    <cs:spPr>
      <a:ln w="9525" cap="flat" cmpd="sng" algn="ctr">
        <a:solidFill>
          <a:schemeClr val="tx1">
            <a:lumMod val="5%"/>
            <a:lumOff val="95%"/>
          </a:schemeClr>
        </a:solidFill>
        <a:round/>
      </a:ln>
    </cs:spPr>
  </cs:gridlineMinor>
  <cs:hiLoLine>
    <cs:lnRef idx="0"/>
    <cs:fillRef idx="0"/>
    <cs:effectRef idx="0"/>
    <cs:fontRef idx="minor">
      <a:schemeClr val="tx1"/>
    </cs:fontRef>
    <cs:spPr>
      <a:ln w="9525" cap="flat" cmpd="sng" algn="ctr">
        <a:solidFill>
          <a:schemeClr val="tx1">
            <a:lumMod val="50%"/>
            <a:lumOff val="50%"/>
          </a:schemeClr>
        </a:solidFill>
        <a:round/>
      </a:ln>
    </cs:spPr>
  </cs:hiLoLine>
  <cs:leaderLine>
    <cs:lnRef idx="0"/>
    <cs:fillRef idx="0"/>
    <cs:effectRef idx="0"/>
    <cs:fontRef idx="minor">
      <a:schemeClr val="tx1"/>
    </cs:fontRef>
    <cs:spPr>
      <a:ln w="9525" cap="flat" cmpd="sng" algn="ctr">
        <a:solidFill>
          <a:schemeClr val="tx1">
            <a:lumMod val="35%"/>
            <a:lumOff val="65%"/>
          </a:schemeClr>
        </a:solidFill>
        <a:round/>
      </a:ln>
    </cs:spPr>
  </cs:leaderLine>
  <cs:legend>
    <cs:lnRef idx="0"/>
    <cs:fillRef idx="0"/>
    <cs:effectRef idx="0"/>
    <cs:fontRef idx="minor">
      <a:schemeClr val="tx1">
        <a:lumMod val="65%"/>
        <a:lumOff val="35%"/>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
        <a:lumOff val="35%"/>
      </a:schemeClr>
    </cs:fontRef>
    <cs:defRPr sz="900" kern="1200"/>
  </cs:seriesAxis>
  <cs:seriesLine>
    <cs:lnRef idx="0"/>
    <cs:fillRef idx="0"/>
    <cs:effectRef idx="0"/>
    <cs:fontRef idx="minor">
      <a:schemeClr val="tx1"/>
    </cs:fontRef>
    <cs:spPr>
      <a:ln w="9525" cap="flat" cmpd="sng" algn="ctr">
        <a:solidFill>
          <a:schemeClr val="tx1">
            <a:lumMod val="35%"/>
            <a:lumOff val="65%"/>
          </a:schemeClr>
        </a:solidFill>
        <a:round/>
      </a:ln>
    </cs:spPr>
  </cs:seriesLine>
  <cs:title>
    <cs:lnRef idx="0"/>
    <cs:fillRef idx="0"/>
    <cs:effectRef idx="0"/>
    <cs:fontRef idx="minor">
      <a:schemeClr val="tx1">
        <a:lumMod val="65%"/>
        <a:lumOff val="35%"/>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
        <a:lumOff val="35%"/>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
            <a:lumOff val="35%"/>
          </a:schemeClr>
        </a:solidFill>
        <a:round/>
      </a:ln>
    </cs:spPr>
  </cs:upBar>
  <cs:valueAxis>
    <cs:lnRef idx="0"/>
    <cs:fillRef idx="0"/>
    <cs:effectRef idx="0"/>
    <cs:fontRef idx="minor">
      <a:schemeClr val="tx1">
        <a:lumMod val="65%"/>
        <a:lumOff val="35%"/>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purl.oclc.org/ooxml/drawingml/main" id="297">
  <cs:axisTitle>
    <cs:lnRef idx="0"/>
    <cs:fillRef idx="0"/>
    <cs:effectRef idx="0"/>
    <cs:fontRef idx="minor">
      <a:schemeClr val="tx1">
        <a:lumMod val="65%"/>
        <a:lumOff val="35%"/>
      </a:schemeClr>
    </cs:fontRef>
    <cs:defRPr sz="1000" kern="1200"/>
  </cs:axisTitle>
  <cs:categoryAxis>
    <cs:lnRef idx="0"/>
    <cs:fillRef idx="0"/>
    <cs:effectRef idx="0"/>
    <cs:fontRef idx="minor">
      <a:schemeClr val="tx1">
        <a:lumMod val="65%"/>
        <a:lumOff val="35%"/>
      </a:schemeClr>
    </cs:fontRef>
    <cs:spPr>
      <a:ln w="9525" cap="flat" cmpd="sng" algn="ctr">
        <a:solidFill>
          <a:schemeClr val="tx1">
            <a:lumMod val="15%"/>
            <a:lumOff val="85%"/>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
            <a:lumOff val="85%"/>
          </a:schemeClr>
        </a:solidFill>
        <a:round/>
      </a:ln>
    </cs:spPr>
    <cs:defRPr sz="1000" kern="1200"/>
  </cs:chartArea>
  <cs:dataLabel>
    <cs:lnRef idx="0"/>
    <cs:fillRef idx="0"/>
    <cs:effectRef idx="0"/>
    <cs:fontRef idx="minor">
      <a:schemeClr val="tx1">
        <a:lumMod val="75%"/>
        <a:lumOff val="25%"/>
      </a:schemeClr>
    </cs:fontRef>
    <cs:defRPr sz="900" kern="1200"/>
  </cs:dataLabel>
  <cs:dataLabelCallout>
    <cs:lnRef idx="0"/>
    <cs:fillRef idx="0"/>
    <cs:effectRef idx="0"/>
    <cs:fontRef idx="minor">
      <a:schemeClr val="dk1">
        <a:lumMod val="65%"/>
        <a:lumOff val="35%"/>
      </a:schemeClr>
    </cs:fontRef>
    <cs:spPr>
      <a:solidFill>
        <a:schemeClr val="lt1"/>
      </a:solidFill>
      <a:ln>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
        <a:lumOff val="35%"/>
      </a:schemeClr>
    </cs:fontRef>
    <cs:spPr>
      <a:noFill/>
      <a:ln w="9525" cap="flat" cmpd="sng" algn="ctr">
        <a:solidFill>
          <a:schemeClr val="tx1">
            <a:lumMod val="15%"/>
            <a:lumOff val="85%"/>
          </a:schemeClr>
        </a:solidFill>
        <a:round/>
      </a:ln>
    </cs:spPr>
    <cs:defRPr sz="900" kern="1200"/>
  </cs:dataTable>
  <cs:downBar>
    <cs:lnRef idx="0"/>
    <cs:fillRef idx="0"/>
    <cs:effectRef idx="0"/>
    <cs:fontRef idx="minor">
      <a:schemeClr val="tx1"/>
    </cs:fontRef>
    <cs:spPr>
      <a:solidFill>
        <a:schemeClr val="dk1">
          <a:lumMod val="75%"/>
          <a:lumOff val="25%"/>
        </a:schemeClr>
      </a:solidFill>
      <a:ln w="9525" cap="flat" cmpd="sng" algn="ctr">
        <a:solidFill>
          <a:schemeClr val="tx1">
            <a:lumMod val="65%"/>
            <a:lumOff val="35%"/>
          </a:schemeClr>
        </a:solidFill>
        <a:round/>
      </a:ln>
    </cs:spPr>
  </cs:downBar>
  <cs:dropLine>
    <cs:lnRef idx="0"/>
    <cs:fillRef idx="0"/>
    <cs:effectRef idx="0"/>
    <cs:fontRef idx="minor">
      <a:schemeClr val="tx1"/>
    </cs:fontRef>
    <cs:spPr>
      <a:ln w="9525" cap="flat" cmpd="sng" algn="ctr">
        <a:solidFill>
          <a:schemeClr val="tx1">
            <a:lumMod val="35%"/>
            <a:lumOff val="65%"/>
          </a:schemeClr>
        </a:solidFill>
        <a:round/>
      </a:ln>
    </cs:spPr>
  </cs:dropLine>
  <cs:errorBar>
    <cs:lnRef idx="0"/>
    <cs:fillRef idx="0"/>
    <cs:effectRef idx="0"/>
    <cs:fontRef idx="minor">
      <a:schemeClr val="tx1"/>
    </cs:fontRef>
    <cs:spPr>
      <a:ln w="9525" cap="flat" cmpd="sng" algn="ctr">
        <a:solidFill>
          <a:schemeClr val="tx1">
            <a:lumMod val="65%"/>
            <a:lumOff val="35%"/>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
            <a:lumOff val="85%"/>
          </a:schemeClr>
        </a:solidFill>
        <a:round/>
      </a:ln>
    </cs:spPr>
  </cs:gridlineMajor>
  <cs:gridlineMinor>
    <cs:lnRef idx="0"/>
    <cs:fillRef idx="0"/>
    <cs:effectRef idx="0"/>
    <cs:fontRef idx="minor">
      <a:schemeClr val="tx1"/>
    </cs:fontRef>
    <cs:spPr>
      <a:ln w="9525" cap="flat" cmpd="sng" algn="ctr">
        <a:solidFill>
          <a:schemeClr val="tx1">
            <a:lumMod val="5%"/>
            <a:lumOff val="95%"/>
          </a:schemeClr>
        </a:solidFill>
        <a:round/>
      </a:ln>
    </cs:spPr>
  </cs:gridlineMinor>
  <cs:hiLoLine>
    <cs:lnRef idx="0"/>
    <cs:fillRef idx="0"/>
    <cs:effectRef idx="0"/>
    <cs:fontRef idx="minor">
      <a:schemeClr val="tx1"/>
    </cs:fontRef>
    <cs:spPr>
      <a:ln w="9525" cap="flat" cmpd="sng" algn="ctr">
        <a:solidFill>
          <a:schemeClr val="tx1">
            <a:lumMod val="50%"/>
            <a:lumOff val="50%"/>
          </a:schemeClr>
        </a:solidFill>
        <a:round/>
      </a:ln>
    </cs:spPr>
  </cs:hiLoLine>
  <cs:leaderLine>
    <cs:lnRef idx="0"/>
    <cs:fillRef idx="0"/>
    <cs:effectRef idx="0"/>
    <cs:fontRef idx="minor">
      <a:schemeClr val="tx1"/>
    </cs:fontRef>
    <cs:spPr>
      <a:ln w="9525" cap="flat" cmpd="sng" algn="ctr">
        <a:solidFill>
          <a:schemeClr val="tx1">
            <a:lumMod val="35%"/>
            <a:lumOff val="65%"/>
          </a:schemeClr>
        </a:solidFill>
        <a:round/>
      </a:ln>
    </cs:spPr>
  </cs:leaderLine>
  <cs:legend>
    <cs:lnRef idx="0"/>
    <cs:fillRef idx="0"/>
    <cs:effectRef idx="0"/>
    <cs:fontRef idx="minor">
      <a:schemeClr val="tx1">
        <a:lumMod val="65%"/>
        <a:lumOff val="35%"/>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
        <a:lumOff val="35%"/>
      </a:schemeClr>
    </cs:fontRef>
    <cs:defRPr sz="900" kern="1200"/>
  </cs:seriesAxis>
  <cs:seriesLine>
    <cs:lnRef idx="0"/>
    <cs:fillRef idx="0"/>
    <cs:effectRef idx="0"/>
    <cs:fontRef idx="minor">
      <a:schemeClr val="tx1"/>
    </cs:fontRef>
    <cs:spPr>
      <a:ln w="9525" cap="flat" cmpd="sng" algn="ctr">
        <a:solidFill>
          <a:schemeClr val="tx1">
            <a:lumMod val="35%"/>
            <a:lumOff val="65%"/>
          </a:schemeClr>
        </a:solidFill>
        <a:round/>
      </a:ln>
    </cs:spPr>
  </cs:seriesLine>
  <cs:title>
    <cs:lnRef idx="0"/>
    <cs:fillRef idx="0"/>
    <cs:effectRef idx="0"/>
    <cs:fontRef idx="minor">
      <a:schemeClr val="tx1">
        <a:lumMod val="65%"/>
        <a:lumOff val="35%"/>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
        <a:lumOff val="35%"/>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
            <a:lumOff val="35%"/>
          </a:schemeClr>
        </a:solidFill>
        <a:round/>
      </a:ln>
    </cs:spPr>
  </cs:upBar>
  <cs:valueAxis>
    <cs:lnRef idx="0"/>
    <cs:fillRef idx="0"/>
    <cs:effectRef idx="0"/>
    <cs:fontRef idx="minor">
      <a:schemeClr val="tx1">
        <a:lumMod val="65%"/>
        <a:lumOff val="35%"/>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purl.oclc.org/ooxml/drawingml/main" id="227">
  <cs:axisTitle>
    <cs:lnRef idx="0"/>
    <cs:fillRef idx="0"/>
    <cs:effectRef idx="0"/>
    <cs:fontRef idx="minor">
      <a:schemeClr val="tx1">
        <a:lumMod val="65%"/>
        <a:lumOff val="35%"/>
      </a:schemeClr>
    </cs:fontRef>
    <cs:defRPr sz="1000" kern="1200"/>
  </cs:axisTitle>
  <cs:categoryAxis>
    <cs:lnRef idx="0"/>
    <cs:fillRef idx="0"/>
    <cs:effectRef idx="0"/>
    <cs:fontRef idx="minor">
      <a:schemeClr val="tx1">
        <a:lumMod val="65%"/>
        <a:lumOff val="35%"/>
      </a:schemeClr>
    </cs:fontRef>
    <cs:spPr>
      <a:ln w="9525" cap="flat" cmpd="sng" algn="ctr">
        <a:solidFill>
          <a:schemeClr val="tx1">
            <a:lumMod val="15%"/>
            <a:lumOff val="85%"/>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
            <a:lumOff val="85%"/>
          </a:schemeClr>
        </a:solidFill>
        <a:round/>
      </a:ln>
    </cs:spPr>
    <cs:defRPr sz="1000" kern="1200"/>
  </cs:chartArea>
  <cs:dataLabel>
    <cs:lnRef idx="0"/>
    <cs:fillRef idx="0"/>
    <cs:effectRef idx="0"/>
    <cs:fontRef idx="minor">
      <a:schemeClr val="tx1">
        <a:lumMod val="75%"/>
        <a:lumOff val="25%"/>
      </a:schemeClr>
    </cs:fontRef>
    <cs:defRPr sz="900" kern="1200"/>
  </cs:dataLabel>
  <cs:dataLabelCallout>
    <cs:lnRef idx="0"/>
    <cs:fillRef idx="0"/>
    <cs:effectRef idx="0"/>
    <cs:fontRef idx="minor">
      <a:schemeClr val="dk1">
        <a:lumMod val="65%"/>
        <a:lumOff val="35%"/>
      </a:schemeClr>
    </cs:fontRef>
    <cs:spPr>
      <a:solidFill>
        <a:schemeClr val="lt1"/>
      </a:solidFill>
      <a:ln>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
        <a:lumOff val="35%"/>
      </a:schemeClr>
    </cs:fontRef>
    <cs:spPr>
      <a:noFill/>
      <a:ln w="9525" cap="flat" cmpd="sng" algn="ctr">
        <a:solidFill>
          <a:schemeClr val="tx1">
            <a:lumMod val="15%"/>
            <a:lumOff val="85%"/>
          </a:schemeClr>
        </a:solidFill>
        <a:round/>
      </a:ln>
    </cs:spPr>
    <cs:defRPr sz="900" kern="1200"/>
  </cs:dataTable>
  <cs:downBar>
    <cs:lnRef idx="0"/>
    <cs:fillRef idx="0"/>
    <cs:effectRef idx="0"/>
    <cs:fontRef idx="minor">
      <a:schemeClr val="dk1"/>
    </cs:fontRef>
    <cs:spPr>
      <a:solidFill>
        <a:schemeClr val="dk1">
          <a:lumMod val="65%"/>
          <a:lumOff val="35%"/>
        </a:schemeClr>
      </a:solidFill>
      <a:ln w="9525">
        <a:solidFill>
          <a:schemeClr val="tx1">
            <a:lumMod val="65%"/>
            <a:lumOff val="35%"/>
          </a:schemeClr>
        </a:solidFill>
      </a:ln>
    </cs:spPr>
  </cs:downBar>
  <cs:dropLine>
    <cs:lnRef idx="0"/>
    <cs:fillRef idx="0"/>
    <cs:effectRef idx="0"/>
    <cs:fontRef idx="minor">
      <a:schemeClr val="tx1"/>
    </cs:fontRef>
    <cs:spPr>
      <a:ln w="9525" cap="flat" cmpd="sng" algn="ctr">
        <a:solidFill>
          <a:schemeClr val="tx1">
            <a:lumMod val="35%"/>
            <a:lumOff val="65%"/>
          </a:schemeClr>
        </a:solidFill>
        <a:round/>
      </a:ln>
    </cs:spPr>
  </cs:dropLine>
  <cs:errorBar>
    <cs:lnRef idx="0"/>
    <cs:fillRef idx="0"/>
    <cs:effectRef idx="0"/>
    <cs:fontRef idx="minor">
      <a:schemeClr val="tx1"/>
    </cs:fontRef>
    <cs:spPr>
      <a:ln w="9525" cap="flat" cmpd="sng" algn="ctr">
        <a:solidFill>
          <a:schemeClr val="tx1">
            <a:lumMod val="65%"/>
            <a:lumOff val="35%"/>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
            <a:lumOff val="85%"/>
          </a:schemeClr>
        </a:solidFill>
        <a:round/>
      </a:ln>
    </cs:spPr>
  </cs:gridlineMajor>
  <cs:gridlineMinor>
    <cs:lnRef idx="0"/>
    <cs:fillRef idx="0"/>
    <cs:effectRef idx="0"/>
    <cs:fontRef idx="minor">
      <a:schemeClr val="tx1"/>
    </cs:fontRef>
    <cs:spPr>
      <a:ln w="9525" cap="flat" cmpd="sng" algn="ctr">
        <a:solidFill>
          <a:schemeClr val="tx1">
            <a:lumMod val="5%"/>
            <a:lumOff val="95%"/>
          </a:schemeClr>
        </a:solidFill>
        <a:round/>
      </a:ln>
    </cs:spPr>
  </cs:gridlineMinor>
  <cs:hiLoLine>
    <cs:lnRef idx="0"/>
    <cs:fillRef idx="0"/>
    <cs:effectRef idx="0"/>
    <cs:fontRef idx="minor">
      <a:schemeClr val="tx1"/>
    </cs:fontRef>
    <cs:spPr>
      <a:ln w="9525" cap="flat" cmpd="sng" algn="ctr">
        <a:solidFill>
          <a:schemeClr val="tx1">
            <a:lumMod val="75%"/>
            <a:lumOff val="25%"/>
          </a:schemeClr>
        </a:solidFill>
        <a:round/>
      </a:ln>
    </cs:spPr>
  </cs:hiLoLine>
  <cs:leaderLine>
    <cs:lnRef idx="0"/>
    <cs:fillRef idx="0"/>
    <cs:effectRef idx="0"/>
    <cs:fontRef idx="minor">
      <a:schemeClr val="tx1"/>
    </cs:fontRef>
    <cs:spPr>
      <a:ln w="9525" cap="flat" cmpd="sng" algn="ctr">
        <a:solidFill>
          <a:schemeClr val="tx1">
            <a:lumMod val="35%"/>
            <a:lumOff val="65%"/>
          </a:schemeClr>
        </a:solidFill>
        <a:round/>
      </a:ln>
    </cs:spPr>
  </cs:leaderLine>
  <cs:legend>
    <cs:lnRef idx="0"/>
    <cs:fillRef idx="0"/>
    <cs:effectRef idx="0"/>
    <cs:fontRef idx="minor">
      <a:schemeClr val="tx1">
        <a:lumMod val="65%"/>
        <a:lumOff val="35%"/>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
        <a:lumOff val="35%"/>
      </a:schemeClr>
    </cs:fontRef>
    <cs:defRPr sz="900" kern="1200"/>
  </cs:seriesAxis>
  <cs:seriesLine>
    <cs:lnRef idx="0"/>
    <cs:fillRef idx="0"/>
    <cs:effectRef idx="0"/>
    <cs:fontRef idx="minor">
      <a:schemeClr val="tx1"/>
    </cs:fontRef>
    <cs:spPr>
      <a:ln w="9525" cap="flat" cmpd="sng" algn="ctr">
        <a:solidFill>
          <a:schemeClr val="tx1">
            <a:lumMod val="35%"/>
            <a:lumOff val="65%"/>
          </a:schemeClr>
        </a:solidFill>
        <a:round/>
      </a:ln>
    </cs:spPr>
  </cs:seriesLine>
  <cs:title>
    <cs:lnRef idx="0"/>
    <cs:fillRef idx="0"/>
    <cs:effectRef idx="0"/>
    <cs:fontRef idx="minor">
      <a:schemeClr val="tx1">
        <a:lumMod val="65%"/>
        <a:lumOff val="35%"/>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
        <a:lumOff val="35%"/>
      </a:schemeClr>
    </cs:fontRef>
    <cs:defRPr sz="900" kern="1200"/>
  </cs:trendlineLabel>
  <cs:upBar>
    <cs:lnRef idx="0"/>
    <cs:fillRef idx="0"/>
    <cs:effectRef idx="0"/>
    <cs:fontRef idx="minor">
      <a:schemeClr val="dk1"/>
    </cs:fontRef>
    <cs:spPr>
      <a:solidFill>
        <a:schemeClr val="lt1"/>
      </a:solidFill>
      <a:ln w="9525">
        <a:solidFill>
          <a:schemeClr val="tx1">
            <a:lumMod val="15%"/>
            <a:lumOff val="85%"/>
          </a:schemeClr>
        </a:solidFill>
      </a:ln>
    </cs:spPr>
  </cs:upBar>
  <cs:valueAxis>
    <cs:lnRef idx="0"/>
    <cs:fillRef idx="0"/>
    <cs:effectRef idx="0"/>
    <cs:fontRef idx="minor">
      <a:schemeClr val="tx1">
        <a:lumMod val="65%"/>
        <a:lumOff val="35%"/>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purl.oclc.org/ooxml/officeDocument/relationships/chart" Target="../charts/chart8.xml"/><Relationship Id="rId13" Type="http://purl.oclc.org/ooxml/officeDocument/relationships/chart" Target="../charts/chart13.xml"/><Relationship Id="rId3" Type="http://purl.oclc.org/ooxml/officeDocument/relationships/chart" Target="../charts/chart3.xml"/><Relationship Id="rId7" Type="http://purl.oclc.org/ooxml/officeDocument/relationships/chart" Target="../charts/chart7.xml"/><Relationship Id="rId12" Type="http://purl.oclc.org/ooxml/officeDocument/relationships/chart" Target="../charts/chart12.xml"/><Relationship Id="rId2" Type="http://purl.oclc.org/ooxml/officeDocument/relationships/chart" Target="../charts/chart2.xml"/><Relationship Id="rId1" Type="http://purl.oclc.org/ooxml/officeDocument/relationships/chart" Target="../charts/chart1.xml"/><Relationship Id="rId6" Type="http://purl.oclc.org/ooxml/officeDocument/relationships/chart" Target="../charts/chart6.xml"/><Relationship Id="rId11" Type="http://purl.oclc.org/ooxml/officeDocument/relationships/chart" Target="../charts/chart11.xml"/><Relationship Id="rId5" Type="http://purl.oclc.org/ooxml/officeDocument/relationships/chart" Target="../charts/chart5.xml"/><Relationship Id="rId10" Type="http://purl.oclc.org/ooxml/officeDocument/relationships/chart" Target="../charts/chart10.xml"/><Relationship Id="rId4" Type="http://purl.oclc.org/ooxml/officeDocument/relationships/chart" Target="../charts/chart4.xml"/><Relationship Id="rId9" Type="http://purl.oclc.org/ooxml/officeDocument/relationships/chart" Target="../charts/chart9.xml"/><Relationship Id="rId14" Type="http://purl.oclc.org/ooxml/officeDocument/relationships/chart" Target="../charts/chart14.xml"/></Relationships>
</file>

<file path=xl/drawings/_rels/drawing2.xml.rels><?xml version="1.0" encoding="UTF-8" standalone="yes"?>
<Relationships xmlns="http://schemas.openxmlformats.org/package/2006/relationships"><Relationship Id="rId3" Type="http://purl.oclc.org/ooxml/officeDocument/relationships/chart" Target="../charts/chart17.xml"/><Relationship Id="rId7" Type="http://purl.oclc.org/ooxml/officeDocument/relationships/chart" Target="../charts/chart21.xml"/><Relationship Id="rId2" Type="http://purl.oclc.org/ooxml/officeDocument/relationships/chart" Target="../charts/chart16.xml"/><Relationship Id="rId1" Type="http://purl.oclc.org/ooxml/officeDocument/relationships/chart" Target="../charts/chart15.xml"/><Relationship Id="rId6" Type="http://purl.oclc.org/ooxml/officeDocument/relationships/chart" Target="../charts/chart20.xml"/><Relationship Id="rId5" Type="http://purl.oclc.org/ooxml/officeDocument/relationships/chart" Target="../charts/chart19.xml"/><Relationship Id="rId4" Type="http://purl.oclc.org/ooxml/officeDocument/relationships/chart" Target="../charts/chart18.xml"/></Relationships>
</file>

<file path=xl/drawings/drawing1.xml><?xml version="1.0" encoding="utf-8"?>
<xdr:wsDr xmlns:xdr="http://purl.oclc.org/ooxml/drawingml/spreadsheetDrawing" xmlns:a="http://purl.oclc.org/ooxml/drawingml/main">
  <xdr:twoCellAnchor>
    <xdr:from>
      <xdr:col>18</xdr:col>
      <xdr:colOff>321470</xdr:colOff>
      <xdr:row>197</xdr:row>
      <xdr:rowOff>142876</xdr:rowOff>
    </xdr:from>
    <xdr:to>
      <xdr:col>33</xdr:col>
      <xdr:colOff>35721</xdr:colOff>
      <xdr:row>223</xdr:row>
      <xdr:rowOff>71438</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1"/>
        </a:graphicData>
      </a:graphic>
    </xdr:graphicFrame>
    <xdr:clientData/>
  </xdr:twoCellAnchor>
  <xdr:twoCellAnchor>
    <xdr:from>
      <xdr:col>7</xdr:col>
      <xdr:colOff>119060</xdr:colOff>
      <xdr:row>197</xdr:row>
      <xdr:rowOff>142875</xdr:rowOff>
    </xdr:from>
    <xdr:to>
      <xdr:col>17</xdr:col>
      <xdr:colOff>238122</xdr:colOff>
      <xdr:row>219</xdr:row>
      <xdr:rowOff>66675</xdr:rowOff>
    </xdr:to>
    <xdr:graphicFrame macro="">
      <xdr:nvGraphicFramePr>
        <xdr:cNvPr id="3" name="Chart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2"/>
        </a:graphicData>
      </a:graphic>
    </xdr:graphicFrame>
    <xdr:clientData/>
  </xdr:twoCellAnchor>
  <xdr:twoCellAnchor>
    <xdr:from>
      <xdr:col>7</xdr:col>
      <xdr:colOff>0</xdr:colOff>
      <xdr:row>226</xdr:row>
      <xdr:rowOff>33337</xdr:rowOff>
    </xdr:from>
    <xdr:to>
      <xdr:col>17</xdr:col>
      <xdr:colOff>119062</xdr:colOff>
      <xdr:row>247</xdr:row>
      <xdr:rowOff>147637</xdr:rowOff>
    </xdr:to>
    <xdr:graphicFrame macro="">
      <xdr:nvGraphicFramePr>
        <xdr:cNvPr id="5" name="Chart 4">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3"/>
        </a:graphicData>
      </a:graphic>
    </xdr:graphicFrame>
    <xdr:clientData/>
  </xdr:twoCellAnchor>
  <xdr:twoCellAnchor>
    <xdr:from>
      <xdr:col>7</xdr:col>
      <xdr:colOff>0</xdr:colOff>
      <xdr:row>295</xdr:row>
      <xdr:rowOff>178555</xdr:rowOff>
    </xdr:from>
    <xdr:to>
      <xdr:col>17</xdr:col>
      <xdr:colOff>119062</xdr:colOff>
      <xdr:row>317</xdr:row>
      <xdr:rowOff>102355</xdr:rowOff>
    </xdr:to>
    <xdr:graphicFrame macro="">
      <xdr:nvGraphicFramePr>
        <xdr:cNvPr id="7" name="Chart 6">
          <a:extLst>
            <a:ext uri="{FF2B5EF4-FFF2-40B4-BE49-F238E27FC236}">
              <a16:creationId xmlns:a16="http://schemas.microsoft.com/office/drawing/2014/main" id="{00000000-0008-0000-0100-000007000000}"/>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4"/>
        </a:graphicData>
      </a:graphic>
    </xdr:graphicFrame>
    <xdr:clientData/>
  </xdr:twoCellAnchor>
  <xdr:twoCellAnchor>
    <xdr:from>
      <xdr:col>7</xdr:col>
      <xdr:colOff>0</xdr:colOff>
      <xdr:row>322</xdr:row>
      <xdr:rowOff>35672</xdr:rowOff>
    </xdr:from>
    <xdr:to>
      <xdr:col>17</xdr:col>
      <xdr:colOff>119062</xdr:colOff>
      <xdr:row>343</xdr:row>
      <xdr:rowOff>149972</xdr:rowOff>
    </xdr:to>
    <xdr:graphicFrame macro="">
      <xdr:nvGraphicFramePr>
        <xdr:cNvPr id="8" name="Chart 7">
          <a:extLst>
            <a:ext uri="{FF2B5EF4-FFF2-40B4-BE49-F238E27FC236}">
              <a16:creationId xmlns:a16="http://schemas.microsoft.com/office/drawing/2014/main" id="{00000000-0008-0000-0100-000008000000}"/>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5"/>
        </a:graphicData>
      </a:graphic>
    </xdr:graphicFrame>
    <xdr:clientData/>
  </xdr:twoCellAnchor>
  <xdr:twoCellAnchor>
    <xdr:from>
      <xdr:col>7</xdr:col>
      <xdr:colOff>0</xdr:colOff>
      <xdr:row>345</xdr:row>
      <xdr:rowOff>35672</xdr:rowOff>
    </xdr:from>
    <xdr:to>
      <xdr:col>17</xdr:col>
      <xdr:colOff>119062</xdr:colOff>
      <xdr:row>366</xdr:row>
      <xdr:rowOff>149972</xdr:rowOff>
    </xdr:to>
    <xdr:graphicFrame macro="">
      <xdr:nvGraphicFramePr>
        <xdr:cNvPr id="9" name="Chart 8">
          <a:extLst>
            <a:ext uri="{FF2B5EF4-FFF2-40B4-BE49-F238E27FC236}">
              <a16:creationId xmlns:a16="http://schemas.microsoft.com/office/drawing/2014/main" id="{00000000-0008-0000-0100-000009000000}"/>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6"/>
        </a:graphicData>
      </a:graphic>
    </xdr:graphicFrame>
    <xdr:clientData/>
  </xdr:twoCellAnchor>
  <xdr:twoCellAnchor>
    <xdr:from>
      <xdr:col>7</xdr:col>
      <xdr:colOff>0</xdr:colOff>
      <xdr:row>249</xdr:row>
      <xdr:rowOff>142875</xdr:rowOff>
    </xdr:from>
    <xdr:to>
      <xdr:col>17</xdr:col>
      <xdr:colOff>119062</xdr:colOff>
      <xdr:row>271</xdr:row>
      <xdr:rowOff>66675</xdr:rowOff>
    </xdr:to>
    <xdr:graphicFrame macro="">
      <xdr:nvGraphicFramePr>
        <xdr:cNvPr id="11" name="Chart 10">
          <a:extLst>
            <a:ext uri="{FF2B5EF4-FFF2-40B4-BE49-F238E27FC236}">
              <a16:creationId xmlns:a16="http://schemas.microsoft.com/office/drawing/2014/main" id="{00000000-0008-0000-0100-00000B000000}"/>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7"/>
        </a:graphicData>
      </a:graphic>
    </xdr:graphicFrame>
    <xdr:clientData/>
  </xdr:twoCellAnchor>
  <xdr:twoCellAnchor>
    <xdr:from>
      <xdr:col>7</xdr:col>
      <xdr:colOff>0</xdr:colOff>
      <xdr:row>272</xdr:row>
      <xdr:rowOff>128587</xdr:rowOff>
    </xdr:from>
    <xdr:to>
      <xdr:col>17</xdr:col>
      <xdr:colOff>119062</xdr:colOff>
      <xdr:row>294</xdr:row>
      <xdr:rowOff>52387</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8"/>
        </a:graphicData>
      </a:graphic>
    </xdr:graphicFrame>
    <xdr:clientData/>
  </xdr:twoCellAnchor>
  <xdr:twoCellAnchor>
    <xdr:from>
      <xdr:col>6</xdr:col>
      <xdr:colOff>203200</xdr:colOff>
      <xdr:row>368</xdr:row>
      <xdr:rowOff>172197</xdr:rowOff>
    </xdr:from>
    <xdr:to>
      <xdr:col>17</xdr:col>
      <xdr:colOff>93662</xdr:colOff>
      <xdr:row>390</xdr:row>
      <xdr:rowOff>108697</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9"/>
        </a:graphicData>
      </a:graphic>
    </xdr:graphicFrame>
    <xdr:clientData/>
  </xdr:twoCellAnchor>
  <xdr:twoCellAnchor>
    <xdr:from>
      <xdr:col>7</xdr:col>
      <xdr:colOff>0</xdr:colOff>
      <xdr:row>392</xdr:row>
      <xdr:rowOff>0</xdr:rowOff>
    </xdr:from>
    <xdr:to>
      <xdr:col>17</xdr:col>
      <xdr:colOff>119062</xdr:colOff>
      <xdr:row>413</xdr:row>
      <xdr:rowOff>114300</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10"/>
        </a:graphicData>
      </a:graphic>
    </xdr:graphicFrame>
    <xdr:clientData/>
  </xdr:twoCellAnchor>
  <xdr:twoCellAnchor>
    <xdr:from>
      <xdr:col>6</xdr:col>
      <xdr:colOff>215900</xdr:colOff>
      <xdr:row>415</xdr:row>
      <xdr:rowOff>101600</xdr:rowOff>
    </xdr:from>
    <xdr:to>
      <xdr:col>17</xdr:col>
      <xdr:colOff>106362</xdr:colOff>
      <xdr:row>437</xdr:row>
      <xdr:rowOff>38100</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11"/>
        </a:graphicData>
      </a:graphic>
    </xdr:graphicFrame>
    <xdr:clientData/>
  </xdr:twoCellAnchor>
  <xdr:twoCellAnchor>
    <xdr:from>
      <xdr:col>7</xdr:col>
      <xdr:colOff>25400</xdr:colOff>
      <xdr:row>440</xdr:row>
      <xdr:rowOff>165100</xdr:rowOff>
    </xdr:from>
    <xdr:to>
      <xdr:col>17</xdr:col>
      <xdr:colOff>144462</xdr:colOff>
      <xdr:row>462</xdr:row>
      <xdr:rowOff>101600</xdr:rowOff>
    </xdr:to>
    <xdr:graphicFrame macro="">
      <xdr:nvGraphicFramePr>
        <xdr:cNvPr id="16" name="Chart 15">
          <a:extLst>
            <a:ext uri="{FF2B5EF4-FFF2-40B4-BE49-F238E27FC236}">
              <a16:creationId xmlns:a16="http://schemas.microsoft.com/office/drawing/2014/main" id="{00000000-0008-0000-0100-000010000000}"/>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12"/>
        </a:graphicData>
      </a:graphic>
    </xdr:graphicFrame>
    <xdr:clientData/>
  </xdr:twoCellAnchor>
  <xdr:twoCellAnchor>
    <xdr:from>
      <xdr:col>6</xdr:col>
      <xdr:colOff>190500</xdr:colOff>
      <xdr:row>466</xdr:row>
      <xdr:rowOff>10272</xdr:rowOff>
    </xdr:from>
    <xdr:to>
      <xdr:col>17</xdr:col>
      <xdr:colOff>80962</xdr:colOff>
      <xdr:row>487</xdr:row>
      <xdr:rowOff>124572</xdr:rowOff>
    </xdr:to>
    <xdr:graphicFrame macro="">
      <xdr:nvGraphicFramePr>
        <xdr:cNvPr id="17" name="Chart 16">
          <a:extLst>
            <a:ext uri="{FF2B5EF4-FFF2-40B4-BE49-F238E27FC236}">
              <a16:creationId xmlns:a16="http://schemas.microsoft.com/office/drawing/2014/main" id="{00000000-0008-0000-0100-000011000000}"/>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13"/>
        </a:graphicData>
      </a:graphic>
    </xdr:graphicFrame>
    <xdr:clientData/>
  </xdr:twoCellAnchor>
  <xdr:twoCellAnchor>
    <xdr:from>
      <xdr:col>6</xdr:col>
      <xdr:colOff>203200</xdr:colOff>
      <xdr:row>489</xdr:row>
      <xdr:rowOff>175372</xdr:rowOff>
    </xdr:from>
    <xdr:to>
      <xdr:col>17</xdr:col>
      <xdr:colOff>93662</xdr:colOff>
      <xdr:row>511</xdr:row>
      <xdr:rowOff>111872</xdr:rowOff>
    </xdr:to>
    <xdr:graphicFrame macro="">
      <xdr:nvGraphicFramePr>
        <xdr:cNvPr id="18" name="Chart 17">
          <a:extLst>
            <a:ext uri="{FF2B5EF4-FFF2-40B4-BE49-F238E27FC236}">
              <a16:creationId xmlns:a16="http://schemas.microsoft.com/office/drawing/2014/main" id="{00000000-0008-0000-0100-000012000000}"/>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14"/>
        </a:graphicData>
      </a:graphic>
    </xdr:graphicFrame>
    <xdr:clientData/>
  </xdr:twoCellAnchor>
</xdr:wsDr>
</file>

<file path=xl/drawings/drawing2.xml><?xml version="1.0" encoding="utf-8"?>
<xdr:wsDr xmlns:xdr="http://purl.oclc.org/ooxml/drawingml/spreadsheetDrawing" xmlns:a="http://purl.oclc.org/ooxml/drawingml/main">
  <xdr:twoCellAnchor>
    <xdr:from>
      <xdr:col>23</xdr:col>
      <xdr:colOff>59530</xdr:colOff>
      <xdr:row>6</xdr:row>
      <xdr:rowOff>35718</xdr:rowOff>
    </xdr:from>
    <xdr:to>
      <xdr:col>34</xdr:col>
      <xdr:colOff>92392</xdr:colOff>
      <xdr:row>29</xdr:row>
      <xdr:rowOff>43338</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1"/>
        </a:graphicData>
      </a:graphic>
    </xdr:graphicFrame>
    <xdr:clientData/>
  </xdr:twoCellAnchor>
  <xdr:twoCellAnchor>
    <xdr:from>
      <xdr:col>23</xdr:col>
      <xdr:colOff>110013</xdr:colOff>
      <xdr:row>33</xdr:row>
      <xdr:rowOff>142874</xdr:rowOff>
    </xdr:from>
    <xdr:to>
      <xdr:col>34</xdr:col>
      <xdr:colOff>142875</xdr:colOff>
      <xdr:row>56</xdr:row>
      <xdr:rowOff>102869</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2"/>
        </a:graphicData>
      </a:graphic>
    </xdr:graphicFrame>
    <xdr:clientData/>
  </xdr:twoCellAnchor>
  <xdr:twoCellAnchor>
    <xdr:from>
      <xdr:col>23</xdr:col>
      <xdr:colOff>47624</xdr:colOff>
      <xdr:row>98</xdr:row>
      <xdr:rowOff>0</xdr:rowOff>
    </xdr:from>
    <xdr:to>
      <xdr:col>34</xdr:col>
      <xdr:colOff>80486</xdr:colOff>
      <xdr:row>121</xdr:row>
      <xdr:rowOff>7620</xdr:rowOff>
    </xdr:to>
    <xdr:graphicFrame macro="">
      <xdr:nvGraphicFramePr>
        <xdr:cNvPr id="5" name="Chart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3"/>
        </a:graphicData>
      </a:graphic>
    </xdr:graphicFrame>
    <xdr:clientData/>
  </xdr:twoCellAnchor>
  <xdr:twoCellAnchor editAs="oneCell">
    <xdr:from>
      <xdr:col>23</xdr:col>
      <xdr:colOff>88900</xdr:colOff>
      <xdr:row>122</xdr:row>
      <xdr:rowOff>76200</xdr:rowOff>
    </xdr:from>
    <xdr:to>
      <xdr:col>25</xdr:col>
      <xdr:colOff>203200</xdr:colOff>
      <xdr:row>124</xdr:row>
      <xdr:rowOff>0</xdr:rowOff>
    </xdr:to>
    <xdr:sp macro="" textlink="">
      <xdr:nvSpPr>
        <xdr:cNvPr id="2057" name="Button 9">
          <a:extLst>
            <a:ext uri="{63B3BB69-23CF-44E3-9099-C40C66FF867C}">
              <a14:compatExt xmlns:a14="http://schemas.microsoft.com/office/drawing/2010/main" spid="_x0000_s2057"/>
            </a:ext>
            <a:ext uri="{FF2B5EF4-FFF2-40B4-BE49-F238E27FC236}">
              <a16:creationId xmlns:a16="http://schemas.microsoft.com/office/drawing/2014/main" id="{00000000-0008-0000-0200-000009080000}"/>
            </a:ext>
          </a:extLst>
        </xdr:cNvPr>
        <xdr:cNvSpPr/>
      </xdr:nvSpPr>
      <xdr:spPr bwMode="auto">
        <a:xfrm>
          <a:off x="0" y="0"/>
          <a:ext cx="0" cy="0"/>
        </a:xfrm>
        <a:prstGeom prst="rect">
          <a:avLst/>
        </a:prstGeom>
        <a:noFill/>
        <a:ln w="9525">
          <a:miter lim="800%"/>
          <a:headEnd/>
          <a:tailEnd/>
        </a:ln>
      </xdr:spPr>
      <xdr:txBody>
        <a:bodyPr vertOverflow="clip" wrap="square" lIns="27432" tIns="22860" rIns="27432" bIns="22860" anchor="ctr" upright="1"/>
        <a:lstStyle/>
        <a:p>
          <a:pPr algn="ctr" rtl="0">
            <a:defRPr sz="1000"/>
          </a:pPr>
          <a:r>
            <a:rPr lang="fr-FR" sz="1100" b="0" i="0" u="none" strike="noStrike" baseline="0%">
              <a:solidFill>
                <a:srgbClr val="000000"/>
              </a:solidFill>
              <a:latin typeface="Calibri" pitchFamily="2" charset="0"/>
              <a:cs typeface="Calibri" pitchFamily="2" charset="0"/>
            </a:rPr>
            <a:t>Update Price Chart</a:t>
          </a:r>
        </a:p>
      </xdr:txBody>
    </xdr:sp>
    <xdr:clientData fPrintsWithSheet="0"/>
  </xdr:twoCellAnchor>
  <xdr:twoCellAnchor>
    <xdr:from>
      <xdr:col>23</xdr:col>
      <xdr:colOff>47624</xdr:colOff>
      <xdr:row>126</xdr:row>
      <xdr:rowOff>33337</xdr:rowOff>
    </xdr:from>
    <xdr:to>
      <xdr:col>34</xdr:col>
      <xdr:colOff>80486</xdr:colOff>
      <xdr:row>149</xdr:row>
      <xdr:rowOff>40957</xdr:rowOff>
    </xdr:to>
    <xdr:graphicFrame macro="">
      <xdr:nvGraphicFramePr>
        <xdr:cNvPr id="6" name="Chart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4"/>
        </a:graphicData>
      </a:graphic>
    </xdr:graphicFrame>
    <xdr:clientData/>
  </xdr:twoCellAnchor>
  <xdr:twoCellAnchor editAs="oneCell">
    <xdr:from>
      <xdr:col>23</xdr:col>
      <xdr:colOff>127000</xdr:colOff>
      <xdr:row>150</xdr:row>
      <xdr:rowOff>101600</xdr:rowOff>
    </xdr:from>
    <xdr:to>
      <xdr:col>25</xdr:col>
      <xdr:colOff>571500</xdr:colOff>
      <xdr:row>152</xdr:row>
      <xdr:rowOff>38100</xdr:rowOff>
    </xdr:to>
    <xdr:sp macro="" textlink="">
      <xdr:nvSpPr>
        <xdr:cNvPr id="2058" name="Button 10">
          <a:extLst>
            <a:ext uri="{63B3BB69-23CF-44E3-9099-C40C66FF867C}">
              <a14:compatExt xmlns:a14="http://schemas.microsoft.com/office/drawing/2010/main" spid="_x0000_s2058"/>
            </a:ext>
            <a:ext uri="{FF2B5EF4-FFF2-40B4-BE49-F238E27FC236}">
              <a16:creationId xmlns:a16="http://schemas.microsoft.com/office/drawing/2014/main" id="{00000000-0008-0000-0200-00000A080000}"/>
            </a:ext>
          </a:extLst>
        </xdr:cNvPr>
        <xdr:cNvSpPr/>
      </xdr:nvSpPr>
      <xdr:spPr bwMode="auto">
        <a:xfrm>
          <a:off x="0" y="0"/>
          <a:ext cx="0" cy="0"/>
        </a:xfrm>
        <a:prstGeom prst="rect">
          <a:avLst/>
        </a:prstGeom>
        <a:noFill/>
        <a:ln w="9525">
          <a:miter lim="800%"/>
          <a:headEnd/>
          <a:tailEnd/>
        </a:ln>
      </xdr:spPr>
      <xdr:txBody>
        <a:bodyPr vertOverflow="clip" wrap="square" lIns="27432" tIns="22860" rIns="27432" bIns="22860" anchor="ctr" upright="1"/>
        <a:lstStyle/>
        <a:p>
          <a:pPr algn="ctr" rtl="0">
            <a:defRPr sz="1000"/>
          </a:pPr>
          <a:r>
            <a:rPr lang="fr-FR" sz="1100" b="0" i="0" u="none" strike="noStrike" baseline="0%">
              <a:solidFill>
                <a:srgbClr val="000000"/>
              </a:solidFill>
              <a:latin typeface="Calibri" pitchFamily="2" charset="0"/>
              <a:cs typeface="Calibri" pitchFamily="2" charset="0"/>
            </a:rPr>
            <a:t>Update Decline Rate Chart</a:t>
          </a:r>
        </a:p>
      </xdr:txBody>
    </xdr:sp>
    <xdr:clientData fPrintsWithSheet="0"/>
  </xdr:twoCellAnchor>
  <xdr:twoCellAnchor>
    <xdr:from>
      <xdr:col>23</xdr:col>
      <xdr:colOff>47624</xdr:colOff>
      <xdr:row>155</xdr:row>
      <xdr:rowOff>188121</xdr:rowOff>
    </xdr:from>
    <xdr:to>
      <xdr:col>34</xdr:col>
      <xdr:colOff>80486</xdr:colOff>
      <xdr:row>179</xdr:row>
      <xdr:rowOff>5241</xdr:rowOff>
    </xdr:to>
    <xdr:graphicFrame macro="">
      <xdr:nvGraphicFramePr>
        <xdr:cNvPr id="8" name="Chart 7">
          <a:extLst>
            <a:ext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5"/>
        </a:graphicData>
      </a:graphic>
    </xdr:graphicFrame>
    <xdr:clientData/>
  </xdr:twoCellAnchor>
  <xdr:twoCellAnchor>
    <xdr:from>
      <xdr:col>23</xdr:col>
      <xdr:colOff>47624</xdr:colOff>
      <xdr:row>181</xdr:row>
      <xdr:rowOff>69056</xdr:rowOff>
    </xdr:from>
    <xdr:to>
      <xdr:col>34</xdr:col>
      <xdr:colOff>80486</xdr:colOff>
      <xdr:row>204</xdr:row>
      <xdr:rowOff>76676</xdr:rowOff>
    </xdr:to>
    <xdr:graphicFrame macro="">
      <xdr:nvGraphicFramePr>
        <xdr:cNvPr id="10" name="Chart 9">
          <a:extLst>
            <a:ext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6"/>
        </a:graphicData>
      </a:graphic>
    </xdr:graphicFrame>
    <xdr:clientData/>
  </xdr:twoCellAnchor>
  <xdr:twoCellAnchor editAs="oneCell">
    <xdr:from>
      <xdr:col>23</xdr:col>
      <xdr:colOff>673100</xdr:colOff>
      <xdr:row>207</xdr:row>
      <xdr:rowOff>63500</xdr:rowOff>
    </xdr:from>
    <xdr:to>
      <xdr:col>27</xdr:col>
      <xdr:colOff>266700</xdr:colOff>
      <xdr:row>208</xdr:row>
      <xdr:rowOff>165100</xdr:rowOff>
    </xdr:to>
    <xdr:sp macro="" textlink="">
      <xdr:nvSpPr>
        <xdr:cNvPr id="2062" name="Button 14">
          <a:extLst>
            <a:ext uri="{63B3BB69-23CF-44E3-9099-C40C66FF867C}">
              <a14:compatExt xmlns:a14="http://schemas.microsoft.com/office/drawing/2010/main" spid="_x0000_s2062"/>
            </a:ext>
            <a:ext uri="{FF2B5EF4-FFF2-40B4-BE49-F238E27FC236}">
              <a16:creationId xmlns:a16="http://schemas.microsoft.com/office/drawing/2014/main" id="{00000000-0008-0000-0200-00000E080000}"/>
            </a:ext>
          </a:extLst>
        </xdr:cNvPr>
        <xdr:cNvSpPr/>
      </xdr:nvSpPr>
      <xdr:spPr bwMode="auto">
        <a:xfrm>
          <a:off x="0" y="0"/>
          <a:ext cx="0" cy="0"/>
        </a:xfrm>
        <a:prstGeom prst="rect">
          <a:avLst/>
        </a:prstGeom>
        <a:noFill/>
        <a:ln w="9525">
          <a:miter lim="800%"/>
          <a:headEnd/>
          <a:tailEnd/>
        </a:ln>
      </xdr:spPr>
      <xdr:txBody>
        <a:bodyPr vertOverflow="clip" wrap="square" lIns="27432" tIns="22860" rIns="27432" bIns="22860" anchor="ctr" upright="1"/>
        <a:lstStyle/>
        <a:p>
          <a:pPr algn="ctr" rtl="0">
            <a:defRPr sz="1000"/>
          </a:pPr>
          <a:r>
            <a:rPr lang="fr-FR" sz="1100" b="0" i="0" u="none" strike="noStrike" baseline="0%">
              <a:solidFill>
                <a:srgbClr val="000000"/>
              </a:solidFill>
              <a:latin typeface="Calibri" pitchFamily="2" charset="0"/>
              <a:cs typeface="Calibri" pitchFamily="2" charset="0"/>
            </a:rPr>
            <a:t>Update SPO Chart</a:t>
          </a:r>
        </a:p>
        <a:p>
          <a:pPr algn="ctr" rtl="0">
            <a:defRPr sz="1000"/>
          </a:pPr>
          <a:r>
            <a:rPr lang="fr-FR" sz="1100" b="0" i="0" u="none" strike="noStrike" baseline="0%">
              <a:solidFill>
                <a:srgbClr val="000000"/>
              </a:solidFill>
              <a:latin typeface="Calibri" pitchFamily="2" charset="0"/>
              <a:cs typeface="Calibri" pitchFamily="2" charset="0"/>
            </a:rPr>
            <a:t>PO</a:t>
          </a:r>
        </a:p>
        <a:p>
          <a:pPr algn="ctr" rtl="0">
            <a:defRPr sz="1000"/>
          </a:pPr>
          <a:r>
            <a:rPr lang="fr-FR" sz="1100" b="0" i="0" u="none" strike="noStrike" baseline="0%">
              <a:solidFill>
                <a:srgbClr val="000000"/>
              </a:solidFill>
              <a:latin typeface="Calibri" pitchFamily="2" charset="0"/>
              <a:cs typeface="Calibri" pitchFamily="2" charset="0"/>
            </a:rPr>
            <a:t>Update Spo Charts</a:t>
          </a:r>
        </a:p>
        <a:p>
          <a:pPr algn="ctr" rtl="0">
            <a:defRPr sz="1000"/>
          </a:pPr>
          <a:r>
            <a:rPr lang="fr-FR" sz="1100" b="0" i="0" u="none" strike="noStrike" baseline="0%">
              <a:solidFill>
                <a:srgbClr val="000000"/>
              </a:solidFill>
              <a:latin typeface="Calibri" pitchFamily="2" charset="0"/>
              <a:cs typeface="Calibri" pitchFamily="2" charset="0"/>
            </a:rPr>
            <a:t>arts</a:t>
          </a:r>
        </a:p>
      </xdr:txBody>
    </xdr:sp>
    <xdr:clientData fPrintsWithSheet="0"/>
  </xdr:twoCellAnchor>
  <xdr:twoCellAnchor>
    <xdr:from>
      <xdr:col>23</xdr:col>
      <xdr:colOff>110013</xdr:colOff>
      <xdr:row>72</xdr:row>
      <xdr:rowOff>11905</xdr:rowOff>
    </xdr:from>
    <xdr:to>
      <xdr:col>34</xdr:col>
      <xdr:colOff>142875</xdr:colOff>
      <xdr:row>94</xdr:row>
      <xdr:rowOff>186212</xdr:rowOff>
    </xdr:to>
    <xdr:graphicFrame macro="">
      <xdr:nvGraphicFramePr>
        <xdr:cNvPr id="14" name="Chart 13">
          <a:extLst>
            <a:ext uri="{FF2B5EF4-FFF2-40B4-BE49-F238E27FC236}">
              <a16:creationId xmlns:a16="http://schemas.microsoft.com/office/drawing/2014/main" id="{00000000-0008-0000-0200-00000E000000}"/>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7"/>
        </a:graphicData>
      </a:graphic>
    </xdr:graphicFrame>
    <xdr:clientData/>
  </xdr:twoCellAnchor>
</xdr:wsDr>
</file>

<file path=xl/drawings/drawing3.xml><?xml version="1.0" encoding="utf-8"?>
<c:userShapes xmlns:c="http://purl.oclc.org/ooxml/drawingml/chart">
  <cdr:relSizeAnchor xmlns:cdr="http://purl.oclc.org/ooxml/drawingml/chartDrawing">
    <cdr:from>
      <cdr:x>0.57449</cdr:x>
      <cdr:y>0.14737</cdr:y>
    </cdr:from>
    <cdr:to>
      <cdr:x>0.57845</cdr:x>
      <cdr:y>0.78299</cdr:y>
    </cdr:to>
    <cdr:cxnSp macro="">
      <cdr:nvCxnSpPr>
        <cdr:cNvPr id="3" name="Straight Connector 2">
          <a:extLst xmlns:a="http://purl.oclc.org/ooxml/drawingml/main">
            <a:ext uri="{FF2B5EF4-FFF2-40B4-BE49-F238E27FC236}">
              <a16:creationId xmlns:a16="http://schemas.microsoft.com/office/drawing/2014/main" id="{0E5FB6CE-B701-42FB-9073-9876B6D38A7B}"/>
            </a:ext>
          </a:extLst>
        </cdr:cNvPr>
        <cdr:cNvCxnSpPr/>
      </cdr:nvCxnSpPr>
      <cdr:spPr>
        <a:xfrm xmlns:a="http://purl.oclc.org/ooxml/drawingml/main" flipH="1">
          <a:off x="4423887" y="618039"/>
          <a:ext cx="30435" cy="2665706"/>
        </a:xfrm>
        <a:prstGeom xmlns:a="http://purl.oclc.org/ooxml/drawingml/main" prst="line">
          <a:avLst/>
        </a:prstGeom>
        <a:ln xmlns:a="http://purl.oclc.org/ooxml/drawingml/main" w="22225">
          <a:solidFill>
            <a:schemeClr val="bg2"/>
          </a:solidFill>
          <a:prstDash val="lgDash"/>
        </a:ln>
      </cdr:spPr>
      <cdr:style>
        <a:lnRef xmlns:a="http://purl.oclc.org/ooxml/drawingml/main" idx="1">
          <a:schemeClr val="accent1"/>
        </a:lnRef>
        <a:fillRef xmlns:a="http://purl.oclc.org/ooxml/drawingml/main" idx="0">
          <a:schemeClr val="accent1"/>
        </a:fillRef>
        <a:effectRef xmlns:a="http://purl.oclc.org/ooxml/drawingml/main" idx="0">
          <a:schemeClr val="accent1"/>
        </a:effectRef>
        <a:fontRef xmlns:a="http://purl.oclc.org/ooxml/drawingml/main" idx="minor">
          <a:schemeClr val="tx1"/>
        </a:fontRef>
      </cdr:style>
    </cdr:cxnSp>
  </cdr:relSizeAnchor>
  <cdr:relSizeAnchor xmlns:cdr="http://purl.oclc.org/ooxml/drawingml/chartDrawing">
    <cdr:from>
      <cdr:x>0.23304</cdr:x>
      <cdr:y>0.15462</cdr:y>
    </cdr:from>
    <cdr:to>
      <cdr:x>0.48393</cdr:x>
      <cdr:y>0.21701</cdr:y>
    </cdr:to>
    <cdr:sp macro="" textlink="">
      <cdr:nvSpPr>
        <cdr:cNvPr id="7" name="TextBox 6">
          <a:extLst xmlns:a="http://purl.oclc.org/ooxml/drawingml/main">
            <a:ext uri="{FF2B5EF4-FFF2-40B4-BE49-F238E27FC236}">
              <a16:creationId xmlns:a16="http://schemas.microsoft.com/office/drawing/2014/main" id="{4586A832-8686-41B7-885E-77118BE2CAA9}"/>
            </a:ext>
          </a:extLst>
        </cdr:cNvPr>
        <cdr:cNvSpPr txBox="1"/>
      </cdr:nvSpPr>
      <cdr:spPr>
        <a:xfrm xmlns:a="http://purl.oclc.org/ooxml/drawingml/main">
          <a:off x="1747360" y="678657"/>
          <a:ext cx="1881188" cy="273844"/>
        </a:xfrm>
        <a:prstGeom xmlns:a="http://purl.oclc.org/ooxml/drawingml/main" prst="rect">
          <a:avLst/>
        </a:prstGeom>
      </cdr:spPr>
      <cdr:txBody>
        <a:bodyPr xmlns:a="http://purl.oclc.org/ooxml/drawingml/main" vertOverflow="clip" wrap="square" rtlCol="0"/>
        <a:lstStyle xmlns:a="http://purl.oclc.org/ooxml/drawingml/main"/>
        <a:p xmlns:a="http://purl.oclc.org/ooxml/drawingml/main">
          <a:pPr algn="ctr"/>
          <a:r>
            <a:rPr lang="en-US" sz="1100" b="1">
              <a:solidFill>
                <a:schemeClr val="tx1">
                  <a:lumMod val="65%"/>
                  <a:lumOff val="35%"/>
                </a:schemeClr>
              </a:solidFill>
            </a:rPr>
            <a:t>Reported</a:t>
          </a:r>
        </a:p>
      </cdr:txBody>
    </cdr:sp>
  </cdr:relSizeAnchor>
  <cdr:relSizeAnchor xmlns:cdr="http://purl.oclc.org/ooxml/drawingml/chartDrawing">
    <cdr:from>
      <cdr:x>0.66305</cdr:x>
      <cdr:y>0.15462</cdr:y>
    </cdr:from>
    <cdr:to>
      <cdr:x>0.91393</cdr:x>
      <cdr:y>0.21701</cdr:y>
    </cdr:to>
    <cdr:sp macro="" textlink="">
      <cdr:nvSpPr>
        <cdr:cNvPr id="8" name="TextBox 7">
          <a:extLst xmlns:a="http://purl.oclc.org/ooxml/drawingml/main">
            <a:ext uri="{FF2B5EF4-FFF2-40B4-BE49-F238E27FC236}">
              <a16:creationId xmlns:a16="http://schemas.microsoft.com/office/drawing/2014/main" id="{DFB0D784-EFC3-423E-90F8-860B79D0590D}"/>
            </a:ext>
          </a:extLst>
        </cdr:cNvPr>
        <cdr:cNvSpPr txBox="1"/>
      </cdr:nvSpPr>
      <cdr:spPr>
        <a:xfrm xmlns:a="http://purl.oclc.org/ooxml/drawingml/main">
          <a:off x="4971569" y="678657"/>
          <a:ext cx="1881188" cy="273844"/>
        </a:xfrm>
        <a:prstGeom xmlns:a="http://purl.oclc.org/ooxml/drawingml/main" prst="rect">
          <a:avLst/>
        </a:prstGeom>
      </cdr:spPr>
      <cdr:txBody>
        <a:bodyPr xmlns:a="http://purl.oclc.org/ooxml/drawingml/main" vertOverflow="clip" wrap="square" rtlCol="0"/>
        <a:lstStyle xmlns:a="http://purl.oclc.org/ooxml/drawingml/main"/>
        <a:p xmlns:a="http://purl.oclc.org/ooxml/drawingml/main">
          <a:pPr algn="ctr"/>
          <a:r>
            <a:rPr lang="en-US" sz="1100" b="1">
              <a:solidFill>
                <a:schemeClr val="tx1">
                  <a:lumMod val="65%"/>
                  <a:lumOff val="35%"/>
                </a:schemeClr>
              </a:solidFill>
            </a:rPr>
            <a:t>Forecasted</a:t>
          </a:r>
        </a:p>
      </cdr:txBody>
    </cdr:sp>
  </cdr:relSizeAnchor>
</c:userShapes>
</file>

<file path=xl/drawings/drawing4.xml><?xml version="1.0" encoding="utf-8"?>
<xdr:wsDr xmlns:xdr="http://purl.oclc.org/ooxml/drawingml/spreadsheetDrawing" xmlns:a="http://purl.oclc.org/ooxml/drawingml/main">
  <mc:AlternateContent xmlns:mc="http://schemas.openxmlformats.org/markup-compatibility/2006">
    <mc:Choice xmlns:v="urn:schemas-microsoft-com:vml" Requires="v"/>
    <mc:Fallback>
      <xdr:twoCellAnchor editAs="absolute">
        <xdr:from>
          <xdr:col>18</xdr:col>
          <xdr:colOff>152400</xdr:colOff>
          <xdr:row>179</xdr:row>
          <xdr:rowOff>101600</xdr:rowOff>
        </xdr:from>
        <xdr:to>
          <xdr:col>20</xdr:col>
          <xdr:colOff>355600</xdr:colOff>
          <xdr:row>183</xdr:row>
          <xdr:rowOff>101600</xdr:rowOff>
        </xdr:to>
        <xdr:sp macro="" textlink="">
          <xdr:nvSpPr>
            <xdr:cNvPr id="8193" name="Comment 1" hidden="1">
              <a:extLst>
                <a:ext uri="{FF2B5EF4-FFF2-40B4-BE49-F238E27FC236}">
                  <a16:creationId xmlns:a16="http://schemas.microsoft.com/office/drawing/2014/main" id="{8B2EA96A-D653-FE20-47D3-53E6C252DF88}"/>
                </a:ext>
              </a:extLst>
            </xdr:cNvPr>
            <xdr:cNvSpPr txBox="1">
              <a:spLocks noChangeArrowheads="1"/>
            </xdr:cNvSpPr>
          </xdr:nvSpPr>
          <xdr:spPr bwMode="auto">
            <a:xfrm>
              <a:off x="15506700" y="33185100"/>
              <a:ext cx="16002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fr-FR" sz="900" b="1" i="0" u="none" strike="noStrike" baseline="0%">
                  <a:solidFill>
                    <a:srgbClr val="000000"/>
                  </a:solidFill>
                  <a:latin typeface="Tahoma" pitchFamily="2" charset="0"/>
                  <a:ea typeface="Tahoma" pitchFamily="2" charset="0"/>
                  <a:cs typeface="Tahoma" pitchFamily="2" charset="0"/>
                </a:rPr>
                <a:t>Jawed, Adeel:</a:t>
              </a:r>
              <a:endParaRPr lang="fr-FR" sz="900" b="0" i="0" u="none" strike="noStrike" baseline="0%">
                <a:solidFill>
                  <a:srgbClr val="000000"/>
                </a:solidFill>
                <a:latin typeface="Tahoma" pitchFamily="2" charset="0"/>
                <a:ea typeface="Tahoma" pitchFamily="2" charset="0"/>
                <a:cs typeface="Tahoma" pitchFamily="2" charset="0"/>
              </a:endParaRPr>
            </a:p>
            <a:p>
              <a:pPr algn="l" rtl="0">
                <a:defRPr sz="1000"/>
              </a:pPr>
              <a:r>
                <a:rPr lang="fr-FR" sz="900" b="0" i="0" u="none" strike="noStrike" baseline="0%">
                  <a:solidFill>
                    <a:srgbClr val="000000"/>
                  </a:solidFill>
                  <a:latin typeface="Tahoma" pitchFamily="2" charset="0"/>
                  <a:ea typeface="Tahoma" pitchFamily="2" charset="0"/>
                  <a:cs typeface="Tahoma" pitchFamily="2" charset="0"/>
                </a:rPr>
                <a:t>R4D inputs</a:t>
              </a:r>
            </a:p>
            <a:p>
              <a:pPr algn="l" rtl="0">
                <a:defRPr sz="1000"/>
              </a:pPr>
              <a:endParaRPr lang="fr-FR"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xdr:wsDr>
</file>

<file path=xl/drawings/drawing5.xml><?xml version="1.0" encoding="utf-8"?>
<xdr:wsDr xmlns:xdr="http://purl.oclc.org/ooxml/drawingml/spreadsheetDrawing" xmlns:a="http://purl.oclc.org/ooxml/drawingml/main">
  <mc:AlternateContent xmlns:mc="http://schemas.openxmlformats.org/markup-compatibility/2006">
    <mc:Choice xmlns:v="urn:schemas-microsoft-com:vml" Requires="v"/>
    <mc:Fallback>
      <xdr:twoCellAnchor editAs="absolute">
        <xdr:from>
          <xdr:col>16</xdr:col>
          <xdr:colOff>152400</xdr:colOff>
          <xdr:row>127</xdr:row>
          <xdr:rowOff>101600</xdr:rowOff>
        </xdr:from>
        <xdr:to>
          <xdr:col>18</xdr:col>
          <xdr:colOff>355600</xdr:colOff>
          <xdr:row>131</xdr:row>
          <xdr:rowOff>101600</xdr:rowOff>
        </xdr:to>
        <xdr:sp macro="" textlink="">
          <xdr:nvSpPr>
            <xdr:cNvPr id="6145" name="Comment 1" hidden="1">
              <a:extLst>
                <a:ext uri="{FF2B5EF4-FFF2-40B4-BE49-F238E27FC236}">
                  <a16:creationId xmlns:a16="http://schemas.microsoft.com/office/drawing/2014/main" id="{48B8D891-EA26-B2D6-337D-226139F58CFB}"/>
                </a:ext>
              </a:extLst>
            </xdr:cNvPr>
            <xdr:cNvSpPr txBox="1">
              <a:spLocks noChangeArrowheads="1"/>
            </xdr:cNvSpPr>
          </xdr:nvSpPr>
          <xdr:spPr bwMode="auto">
            <a:xfrm>
              <a:off x="14109700" y="24587200"/>
              <a:ext cx="16002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fr-FR" sz="900" b="1" i="0" u="none" strike="noStrike" baseline="0%">
                  <a:solidFill>
                    <a:srgbClr val="000000"/>
                  </a:solidFill>
                  <a:latin typeface="Tahoma" pitchFamily="2" charset="0"/>
                  <a:ea typeface="Tahoma" pitchFamily="2" charset="0"/>
                  <a:cs typeface="Tahoma" pitchFamily="2" charset="0"/>
                </a:rPr>
                <a:t>Jawed, Adeel:</a:t>
              </a:r>
              <a:endParaRPr lang="fr-FR" sz="900" b="0" i="0" u="none" strike="noStrike" baseline="0%">
                <a:solidFill>
                  <a:srgbClr val="000000"/>
                </a:solidFill>
                <a:latin typeface="Tahoma" pitchFamily="2" charset="0"/>
                <a:ea typeface="Tahoma" pitchFamily="2" charset="0"/>
                <a:cs typeface="Tahoma" pitchFamily="2" charset="0"/>
              </a:endParaRPr>
            </a:p>
            <a:p>
              <a:pPr algn="l" rtl="0">
                <a:defRPr sz="1000"/>
              </a:pPr>
              <a:r>
                <a:rPr lang="fr-FR" sz="900" b="0" i="0" u="none" strike="noStrike" baseline="0%">
                  <a:solidFill>
                    <a:srgbClr val="000000"/>
                  </a:solidFill>
                  <a:latin typeface="Tahoma" pitchFamily="2" charset="0"/>
                  <a:ea typeface="Tahoma" pitchFamily="2" charset="0"/>
                  <a:cs typeface="Tahoma" pitchFamily="2" charset="0"/>
                </a:rPr>
                <a:t>decimal point moved</a:t>
              </a:r>
            </a:p>
          </xdr:txBody>
        </xdr:sp>
        <xdr:clientData/>
      </xdr:twoCellAnchor>
    </mc:Fallback>
  </mc:AlternateContent>
</xdr:wsDr>
</file>

<file path=xl/theme/theme1.xml><?xml version="1.0" encoding="utf-8"?>
<a:theme xmlns:a="http://purl.oclc.org/ooxml/drawingml/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
                <a:satMod val="105%"/>
                <a:tint val="67%"/>
              </a:schemeClr>
            </a:gs>
            <a:gs pos="50%">
              <a:schemeClr val="phClr">
                <a:lumMod val="105%"/>
                <a:satMod val="103%"/>
                <a:tint val="73%"/>
              </a:schemeClr>
            </a:gs>
            <a:gs pos="100%">
              <a:schemeClr val="phClr">
                <a:lumMod val="105%"/>
                <a:satMod val="109%"/>
                <a:tint val="81%"/>
              </a:schemeClr>
            </a:gs>
          </a:gsLst>
          <a:lin ang="5400000" scaled="0"/>
        </a:gradFill>
        <a:gradFill rotWithShape="1">
          <a:gsLst>
            <a:gs pos="0%">
              <a:schemeClr val="phClr">
                <a:satMod val="103%"/>
                <a:lumMod val="102%"/>
                <a:tint val="94%"/>
              </a:schemeClr>
            </a:gs>
            <a:gs pos="50%">
              <a:schemeClr val="phClr">
                <a:satMod val="110%"/>
                <a:lumMod val="100%"/>
                <a:shade val="100%"/>
              </a:schemeClr>
            </a:gs>
            <a:gs pos="100%">
              <a:schemeClr val="phClr">
                <a:lumMod val="99%"/>
                <a:satMod val="120%"/>
                <a:shade val="78%"/>
              </a:schemeClr>
            </a:gs>
          </a:gsLst>
          <a:lin ang="5400000" scaled="0"/>
        </a:gradFill>
      </a:fillStyleLst>
      <a:lnStyleLst>
        <a:ln w="6350" cap="flat" cmpd="sng" algn="ctr">
          <a:solidFill>
            <a:schemeClr val="phClr"/>
          </a:solidFill>
          <a:prstDash val="solid"/>
          <a:miter lim="800%"/>
        </a:ln>
        <a:ln w="12700" cap="flat" cmpd="sng" algn="ctr">
          <a:solidFill>
            <a:schemeClr val="phClr"/>
          </a:solidFill>
          <a:prstDash val="solid"/>
          <a:miter lim="800%"/>
        </a:ln>
        <a:ln w="19050" cap="flat" cmpd="sng" algn="ctr">
          <a:solidFill>
            <a:schemeClr val="phClr"/>
          </a:solidFill>
          <a:prstDash val="solid"/>
          <a:miter lim="800%"/>
        </a:ln>
      </a:lnStyleLst>
      <a:effectStyleLst>
        <a:effectStyle>
          <a:effectLst/>
        </a:effectStyle>
        <a:effectStyle>
          <a:effectLst/>
        </a:effectStyle>
        <a:effectStyle>
          <a:effectLst>
            <a:outerShdw blurRad="57150" dist="19050" dir="5400000" algn="ctr" rotWithShape="0">
              <a:srgbClr val="000000">
                <a:alpha val="63%"/>
              </a:srgbClr>
            </a:outerShdw>
          </a:effectLst>
        </a:effectStyle>
      </a:effectStyleLst>
      <a:bgFillStyleLst>
        <a:solidFill>
          <a:schemeClr val="phClr"/>
        </a:solidFill>
        <a:solidFill>
          <a:schemeClr val="phClr">
            <a:tint val="95%"/>
            <a:satMod val="170%"/>
          </a:schemeClr>
        </a:solidFill>
        <a:gradFill rotWithShape="1">
          <a:gsLst>
            <a:gs pos="0%">
              <a:schemeClr val="phClr">
                <a:tint val="93%"/>
                <a:satMod val="150%"/>
                <a:shade val="98%"/>
                <a:lumMod val="102%"/>
              </a:schemeClr>
            </a:gs>
            <a:gs pos="50%">
              <a:schemeClr val="phClr">
                <a:tint val="98%"/>
                <a:satMod val="130%"/>
                <a:shade val="90%"/>
                <a:lumMod val="103%"/>
              </a:schemeClr>
            </a:gs>
            <a:gs pos="100%">
              <a:schemeClr val="phClr">
                <a:shade val="63%"/>
                <a:satMod val="12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purl.oclc.org/ooxml/officeDocument/relationships/printerSettings" Target="../printerSettings/printerSettings1.bin"/><Relationship Id="rId2" Type="http://purl.oclc.org/ooxml/officeDocument/relationships/hyperlink" Target="http://www.res4dev.com/" TargetMode="External"/><Relationship Id="rId1" Type="http://purl.oclc.org/ooxml/officeDocument/relationships/hyperlink" Target="mailto:don.hubert@res4dev.com" TargetMode="External"/></Relationships>
</file>

<file path=xl/worksheets/_rels/sheet2.xml.rels><?xml version="1.0" encoding="UTF-8" standalone="yes"?>
<Relationships xmlns="http://schemas.openxmlformats.org/package/2006/relationships"><Relationship Id="rId1" Type="http://purl.oclc.org/ooxml/officeDocument/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purl.oclc.org/ooxml/officeDocument/relationships/drawing" Target="../drawings/drawing2.xml"/><Relationship Id="rId1" Type="http://purl.oclc.org/ooxml/officeDocument/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purl.oclc.org/ooxml/officeDocument/relationships/drawing" Target="../drawings/drawing4.xml"/><Relationship Id="rId1" Type="http://purl.oclc.org/ooxml/officeDocument/relationships/printerSettings" Target="../printerSettings/printerSettings3.bin"/><Relationship Id="rId4" Type="http://purl.oclc.org/ooxml/officeDocument/relationships/comments" Target="../comments1.xml"/></Relationships>
</file>

<file path=xl/worksheets/_rels/sheet6.xml.rels><?xml version="1.0" encoding="UTF-8" standalone="yes"?>
<Relationships xmlns="http://schemas.openxmlformats.org/package/2006/relationships"><Relationship Id="rId1" Type="http://purl.oclc.org/ooxml/officeDocument/relationships/printerSettings" Target="../printerSettings/printerSettings4.bin"/></Relationships>
</file>

<file path=xl/worksheets/_rels/sheet8.xml.rels><?xml version="1.0" encoding="UTF-8" standalone="yes"?>
<Relationships xmlns="http://schemas.openxmlformats.org/package/2006/relationships"><Relationship Id="rId3" Type="http://purl.oclc.org/ooxml/officeDocument/relationships/comments" Target="../comments2.xml"/><Relationship Id="rId2" Type="http://schemas.openxmlformats.org/officeDocument/2006/relationships/vmlDrawing" Target="../drawings/vmlDrawing3.vml"/><Relationship Id="rId1" Type="http://purl.oclc.org/ooxml/officeDocument/relationships/drawing" Target="../drawings/drawing5.xml"/></Relationships>
</file>

<file path=xl/worksheets/sheet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02E6D-AD41-46E2-B762-2CB65CD33838}">
  <sheetPr codeName="Sheet20">
    <tabColor theme="0" tint="-0.249977111117893"/>
  </sheetPr>
  <dimension ref="A1:Z9"/>
  <sheetViews>
    <sheetView showGridLines="0" workbookViewId="0">
      <selection activeCell="B3" sqref="B3"/>
    </sheetView>
  </sheetViews>
  <sheetFormatPr baseColWidth="10" defaultColWidth="9.83203125" defaultRowHeight="11" x14ac:dyDescent="0.2"/>
  <cols>
    <col min="1" max="1" width="31" style="207" customWidth="1"/>
    <col min="2" max="2" width="120.5" style="207" customWidth="1"/>
    <col min="3" max="16384" width="9.83203125" style="207"/>
  </cols>
  <sheetData>
    <row r="1" spans="1:26" ht="24" customHeight="1" x14ac:dyDescent="0.2">
      <c r="A1" s="206" t="s">
        <v>1402</v>
      </c>
      <c r="B1" s="206"/>
      <c r="C1" s="206"/>
      <c r="D1" s="206"/>
      <c r="E1" s="206"/>
      <c r="F1" s="206"/>
      <c r="G1" s="206"/>
      <c r="H1" s="206"/>
      <c r="I1" s="206"/>
      <c r="J1" s="206"/>
      <c r="K1" s="206"/>
      <c r="L1" s="206"/>
      <c r="M1" s="206"/>
      <c r="N1" s="206"/>
      <c r="O1" s="206"/>
      <c r="P1" s="206"/>
      <c r="Q1" s="206"/>
      <c r="R1" s="206"/>
      <c r="S1" s="206"/>
      <c r="T1" s="206"/>
      <c r="U1" s="206"/>
      <c r="V1" s="206"/>
      <c r="W1" s="206"/>
      <c r="X1" s="206"/>
      <c r="Y1" s="206"/>
      <c r="Z1" s="206"/>
    </row>
    <row r="2" spans="1:26" ht="19" x14ac:dyDescent="0.25">
      <c r="A2" s="208" t="s">
        <v>1403</v>
      </c>
      <c r="B2" s="208" t="str">
        <f>'Tableau de bord Backcasting'!A1</f>
        <v>Modèle d'analyse comparative et de Forecasting R4D</v>
      </c>
    </row>
    <row r="3" spans="1:26" ht="19" x14ac:dyDescent="0.25">
      <c r="A3" s="208" t="s">
        <v>1404</v>
      </c>
      <c r="B3" s="209">
        <v>1</v>
      </c>
    </row>
    <row r="4" spans="1:26" ht="19" x14ac:dyDescent="0.25">
      <c r="A4" s="208" t="s">
        <v>1405</v>
      </c>
      <c r="B4" s="210" t="d">
        <v>2021-12-05</v>
      </c>
    </row>
    <row r="5" spans="1:26" ht="19" x14ac:dyDescent="0.25">
      <c r="A5" s="208" t="s">
        <v>1411</v>
      </c>
      <c r="B5" s="210" t="s">
        <v>1412</v>
      </c>
    </row>
    <row r="6" spans="1:26" ht="19" x14ac:dyDescent="0.25">
      <c r="A6" s="208" t="s">
        <v>1413</v>
      </c>
      <c r="B6" s="210" t="s">
        <v>1406</v>
      </c>
    </row>
    <row r="7" spans="1:26" ht="19" x14ac:dyDescent="0.25">
      <c r="A7" s="208" t="s">
        <v>1407</v>
      </c>
      <c r="B7" s="211" t="s">
        <v>1408</v>
      </c>
    </row>
    <row r="8" spans="1:26" ht="20" x14ac:dyDescent="0.25">
      <c r="A8" s="212" t="s">
        <v>1409</v>
      </c>
      <c r="B8" s="213" t="s">
        <v>1414</v>
      </c>
    </row>
    <row r="9" spans="1:26" ht="100" x14ac:dyDescent="0.25">
      <c r="A9" s="214" t="s">
        <v>1410</v>
      </c>
      <c r="B9" s="215" t="s">
        <v>1415</v>
      </c>
    </row>
  </sheetData>
  <hyperlinks>
    <hyperlink ref="B7" r:id="rId1" xr:uid="{12C19762-D4A9-451E-976F-8B4C12CAC68D}"/>
    <hyperlink ref="B9" r:id="rId2" display="Resources for Development Consulting (R4D), funded by Norad under the Oil for Development Programme, has prepared this report for the Ministry of Economy and Finance in Mozambique. It is based on our experience, knowledge, and research, and sources which were available at the time of drafting. While the product was prepared with all due care and diligence, R4D cannot represent or warrant that the report is complete or accurate in all respects. R4D does not accept any liability for the accuracy of third-party sources, or for any use or reliance on this product by persons other than the original client for which this product was prepared." xr:uid="{3EFF3079-BF9C-4A14-9AFF-8F13070055F8}"/>
  </hyperlinks>
  <pageMargins left="0.75" right="0.75" top="1" bottom="1" header="0.5" footer="0.5"/>
  <pageSetup paperSize="9" orientation="portrait" r:id="rId3"/>
</worksheet>
</file>

<file path=xl/worksheets/sheet10.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AF3EC-B5F4-4ECF-B975-FD3877F6B1E3}">
  <sheetPr codeName="Sheet10"/>
  <dimension ref="A1:CP576"/>
  <sheetViews>
    <sheetView showGridLines="0" zoomScale="80" zoomScaleNormal="80" workbookViewId="0">
      <pane xSplit="11" ySplit="5" topLeftCell="L413" activePane="bottomRight" state="frozen"/>
      <selection pane="topRight" activeCell="L1" sqref="L1"/>
      <selection pane="bottomLeft" activeCell="A6" sqref="A6"/>
      <selection pane="bottomRight" activeCell="D281" sqref="D281"/>
    </sheetView>
  </sheetViews>
  <sheetFormatPr baseColWidth="10" defaultColWidth="0" defaultRowHeight="15" outlineLevelRow="1" x14ac:dyDescent="0.2"/>
  <cols>
    <col min="1" max="3" width="5.6640625" customWidth="1"/>
    <col min="4" max="10" width="14.6640625" customWidth="1"/>
    <col min="11" max="11" width="17.6640625" style="7" customWidth="1"/>
    <col min="12" max="93" width="9.1640625" customWidth="1"/>
    <col min="94" max="94" width="0" style="6" hidden="1" customWidth="1"/>
    <col min="95" max="16384" width="9.1640625" style="6" hidden="1"/>
  </cols>
  <sheetData>
    <row r="1" spans="1:93" s="5" customFormat="1" ht="20.25" customHeight="1" x14ac:dyDescent="0.2">
      <c r="A1" s="82" t="s">
        <v>697</v>
      </c>
      <c r="B1" s="82"/>
      <c r="C1" s="82"/>
      <c r="D1" s="82"/>
      <c r="E1" s="82"/>
      <c r="F1" s="82"/>
      <c r="G1" s="82"/>
      <c r="H1" s="82"/>
      <c r="I1" s="82"/>
      <c r="J1" s="82"/>
      <c r="K1" s="83"/>
      <c r="L1" s="82"/>
      <c r="M1" s="82"/>
      <c r="N1" s="82"/>
      <c r="O1" s="82"/>
      <c r="P1" s="82"/>
      <c r="Q1" s="82"/>
      <c r="R1" s="82"/>
      <c r="S1" s="82"/>
      <c r="T1" s="82"/>
      <c r="U1" s="82"/>
      <c r="V1" s="82"/>
      <c r="W1" s="82"/>
      <c r="X1" s="82"/>
      <c r="Y1" s="82"/>
      <c r="Z1" s="82"/>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row>
    <row r="2" spans="1:93" ht="9" customHeight="1" x14ac:dyDescent="0.2">
      <c r="A2" s="6"/>
      <c r="B2" s="6"/>
      <c r="C2" s="6"/>
      <c r="D2" s="6"/>
      <c r="E2" s="6"/>
      <c r="F2" s="6"/>
      <c r="G2" s="6"/>
      <c r="H2" s="6"/>
      <c r="I2" s="6"/>
      <c r="J2" s="6"/>
      <c r="K2" s="84"/>
      <c r="L2" s="6"/>
      <c r="M2" s="6"/>
      <c r="N2" s="6"/>
      <c r="O2" s="6"/>
      <c r="P2" s="6"/>
      <c r="Q2" s="6"/>
      <c r="R2" s="6"/>
      <c r="S2" s="6"/>
      <c r="T2" s="6"/>
      <c r="U2" s="6"/>
      <c r="V2" s="6"/>
      <c r="W2" s="6"/>
      <c r="X2" s="6"/>
      <c r="Y2" s="6"/>
      <c r="Z2" s="6"/>
    </row>
    <row r="3" spans="1:93" x14ac:dyDescent="0.2">
      <c r="L3" s="3">
        <f t="array" ref="L3:BS3">IA_Periods</f>
        <v>1</v>
      </c>
      <c r="M3" s="3">
        <v>2</v>
      </c>
      <c r="N3" s="3">
        <v>3</v>
      </c>
      <c r="O3" s="3">
        <v>4</v>
      </c>
      <c r="P3" s="3">
        <v>5</v>
      </c>
      <c r="Q3" s="3">
        <v>6</v>
      </c>
      <c r="R3" s="3">
        <v>7</v>
      </c>
      <c r="S3" s="3">
        <v>8</v>
      </c>
      <c r="T3" s="3">
        <v>9</v>
      </c>
      <c r="U3" s="3">
        <v>10</v>
      </c>
      <c r="V3" s="3">
        <v>11</v>
      </c>
      <c r="W3" s="3">
        <v>12</v>
      </c>
      <c r="X3" s="3">
        <v>13</v>
      </c>
      <c r="Y3" s="3">
        <v>14</v>
      </c>
      <c r="Z3" s="3">
        <v>15</v>
      </c>
      <c r="AA3" s="3">
        <v>16</v>
      </c>
      <c r="AB3" s="3">
        <v>17</v>
      </c>
      <c r="AC3" s="3">
        <v>18</v>
      </c>
      <c r="AD3" s="3">
        <v>19</v>
      </c>
      <c r="AE3" s="3">
        <v>20</v>
      </c>
      <c r="AF3" s="3">
        <v>21</v>
      </c>
      <c r="AG3" s="3">
        <v>22</v>
      </c>
      <c r="AH3" s="3">
        <v>23</v>
      </c>
      <c r="AI3" s="3">
        <v>24</v>
      </c>
      <c r="AJ3" s="3">
        <v>25</v>
      </c>
      <c r="AK3" s="3">
        <v>26</v>
      </c>
      <c r="AL3" s="3">
        <v>27</v>
      </c>
      <c r="AM3" s="3">
        <v>28</v>
      </c>
      <c r="AN3" s="3">
        <v>29</v>
      </c>
      <c r="AO3" s="3">
        <v>30</v>
      </c>
      <c r="AP3" s="3">
        <v>31</v>
      </c>
      <c r="AQ3" s="3">
        <v>32</v>
      </c>
      <c r="AR3" s="3">
        <v>33</v>
      </c>
      <c r="AS3" s="3">
        <v>34</v>
      </c>
      <c r="AT3" s="3">
        <v>35</v>
      </c>
      <c r="AU3" s="3">
        <v>36</v>
      </c>
      <c r="AV3" s="3">
        <v>37</v>
      </c>
      <c r="AW3" s="3">
        <v>38</v>
      </c>
      <c r="AX3" s="3">
        <v>39</v>
      </c>
      <c r="AY3" s="3">
        <v>40</v>
      </c>
      <c r="AZ3" s="3">
        <v>41</v>
      </c>
      <c r="BA3" s="3">
        <v>42</v>
      </c>
      <c r="BB3" s="3">
        <v>43</v>
      </c>
      <c r="BC3" s="3">
        <v>44</v>
      </c>
      <c r="BD3" s="3">
        <v>45</v>
      </c>
      <c r="BE3" s="3">
        <v>46</v>
      </c>
      <c r="BF3" s="3">
        <v>47</v>
      </c>
      <c r="BG3" s="3">
        <v>48</v>
      </c>
      <c r="BH3" s="3">
        <v>49</v>
      </c>
      <c r="BI3" s="3">
        <v>50</v>
      </c>
      <c r="BJ3" s="3">
        <v>51</v>
      </c>
      <c r="BK3" s="3">
        <v>52</v>
      </c>
      <c r="BL3" s="3">
        <v>53</v>
      </c>
      <c r="BM3" s="3">
        <v>54</v>
      </c>
      <c r="BN3" s="3">
        <v>55</v>
      </c>
      <c r="BO3" s="3">
        <v>56</v>
      </c>
      <c r="BP3" s="3">
        <v>57</v>
      </c>
      <c r="BQ3" s="3">
        <v>58</v>
      </c>
      <c r="BR3" s="3">
        <v>59</v>
      </c>
      <c r="BS3" s="3">
        <v>60</v>
      </c>
    </row>
    <row r="4" spans="1:93" x14ac:dyDescent="0.2">
      <c r="L4" s="4">
        <f t="array" ref="L4:BS4">IA_Years</f>
        <v>2013</v>
      </c>
      <c r="M4">
        <v>2014</v>
      </c>
      <c r="N4">
        <v>2015</v>
      </c>
      <c r="O4">
        <v>2016</v>
      </c>
      <c r="P4">
        <v>2017</v>
      </c>
      <c r="Q4">
        <v>2018</v>
      </c>
      <c r="R4">
        <v>2019</v>
      </c>
      <c r="S4">
        <v>2020</v>
      </c>
      <c r="T4" s="76">
        <v>2021</v>
      </c>
      <c r="U4">
        <v>2022</v>
      </c>
      <c r="V4">
        <v>2023</v>
      </c>
      <c r="W4">
        <v>2024</v>
      </c>
      <c r="X4">
        <v>2025</v>
      </c>
      <c r="Y4">
        <v>2026</v>
      </c>
      <c r="Z4">
        <v>2027</v>
      </c>
      <c r="AA4">
        <v>2028</v>
      </c>
      <c r="AB4">
        <v>2029</v>
      </c>
      <c r="AC4">
        <v>2030</v>
      </c>
      <c r="AD4">
        <v>2031</v>
      </c>
      <c r="AE4">
        <v>2032</v>
      </c>
      <c r="AF4">
        <v>2033</v>
      </c>
      <c r="AG4">
        <v>2034</v>
      </c>
      <c r="AH4">
        <v>2035</v>
      </c>
      <c r="AI4">
        <v>2036</v>
      </c>
      <c r="AJ4">
        <v>2037</v>
      </c>
      <c r="AK4">
        <v>2038</v>
      </c>
      <c r="AL4">
        <v>2039</v>
      </c>
      <c r="AM4">
        <v>2040</v>
      </c>
      <c r="AN4">
        <v>2041</v>
      </c>
      <c r="AO4">
        <v>2042</v>
      </c>
      <c r="AP4">
        <v>2043</v>
      </c>
      <c r="AQ4">
        <v>2044</v>
      </c>
      <c r="AR4">
        <v>2045</v>
      </c>
      <c r="AS4">
        <v>2046</v>
      </c>
      <c r="AT4">
        <v>2047</v>
      </c>
      <c r="AU4">
        <v>2048</v>
      </c>
      <c r="AV4">
        <v>2049</v>
      </c>
      <c r="AW4">
        <v>2050</v>
      </c>
      <c r="AX4">
        <v>2051</v>
      </c>
      <c r="AY4">
        <v>2052</v>
      </c>
      <c r="AZ4">
        <v>2053</v>
      </c>
      <c r="BA4">
        <v>2054</v>
      </c>
      <c r="BB4">
        <v>2055</v>
      </c>
      <c r="BC4">
        <v>2056</v>
      </c>
      <c r="BD4">
        <v>2057</v>
      </c>
      <c r="BE4">
        <v>2058</v>
      </c>
      <c r="BF4">
        <v>2059</v>
      </c>
      <c r="BG4">
        <v>2060</v>
      </c>
      <c r="BH4">
        <v>2061</v>
      </c>
      <c r="BI4">
        <v>2062</v>
      </c>
      <c r="BJ4">
        <v>2063</v>
      </c>
      <c r="BK4">
        <v>2064</v>
      </c>
      <c r="BL4">
        <v>2065</v>
      </c>
      <c r="BM4">
        <v>2066</v>
      </c>
      <c r="BN4">
        <v>2067</v>
      </c>
      <c r="BO4">
        <v>2068</v>
      </c>
      <c r="BP4">
        <v>2069</v>
      </c>
      <c r="BQ4">
        <v>2070</v>
      </c>
      <c r="BR4">
        <v>2071</v>
      </c>
      <c r="BS4">
        <v>2072</v>
      </c>
    </row>
    <row r="5" spans="1:93" x14ac:dyDescent="0.2">
      <c r="L5" s="3">
        <f t="array" ref="L5:BS5">+IA_Days</f>
        <v>365</v>
      </c>
      <c r="M5" s="3">
        <v>365</v>
      </c>
      <c r="N5" s="3">
        <v>365</v>
      </c>
      <c r="O5" s="3">
        <v>366</v>
      </c>
      <c r="P5" s="3">
        <v>365</v>
      </c>
      <c r="Q5" s="3">
        <v>365</v>
      </c>
      <c r="R5" s="3">
        <v>365</v>
      </c>
      <c r="S5" s="3">
        <v>366</v>
      </c>
      <c r="T5" s="3">
        <v>365</v>
      </c>
      <c r="U5" s="3">
        <v>365</v>
      </c>
      <c r="V5" s="3">
        <v>365</v>
      </c>
      <c r="W5" s="3">
        <v>366</v>
      </c>
      <c r="X5" s="3">
        <v>365</v>
      </c>
      <c r="Y5" s="3">
        <v>365</v>
      </c>
      <c r="Z5" s="3">
        <v>365</v>
      </c>
      <c r="AA5" s="3">
        <v>366</v>
      </c>
      <c r="AB5" s="3">
        <v>365</v>
      </c>
      <c r="AC5" s="3">
        <v>365</v>
      </c>
      <c r="AD5" s="3">
        <v>365</v>
      </c>
      <c r="AE5" s="3">
        <v>366</v>
      </c>
      <c r="AF5" s="3">
        <v>365</v>
      </c>
      <c r="AG5" s="3">
        <v>365</v>
      </c>
      <c r="AH5" s="3">
        <v>365</v>
      </c>
      <c r="AI5" s="3">
        <v>366</v>
      </c>
      <c r="AJ5" s="3">
        <v>365</v>
      </c>
      <c r="AK5" s="3">
        <v>365</v>
      </c>
      <c r="AL5" s="3">
        <v>365</v>
      </c>
      <c r="AM5" s="3">
        <v>366</v>
      </c>
      <c r="AN5" s="3">
        <v>365</v>
      </c>
      <c r="AO5" s="3">
        <v>365</v>
      </c>
      <c r="AP5" s="3">
        <v>365</v>
      </c>
      <c r="AQ5" s="3">
        <v>366</v>
      </c>
      <c r="AR5" s="3">
        <v>365</v>
      </c>
      <c r="AS5" s="3">
        <v>365</v>
      </c>
      <c r="AT5" s="3">
        <v>365</v>
      </c>
      <c r="AU5" s="3">
        <v>366</v>
      </c>
      <c r="AV5" s="3">
        <v>365</v>
      </c>
      <c r="AW5" s="3">
        <v>365</v>
      </c>
      <c r="AX5" s="3">
        <v>365</v>
      </c>
      <c r="AY5" s="3">
        <v>366</v>
      </c>
      <c r="AZ5" s="3">
        <v>365</v>
      </c>
      <c r="BA5" s="3">
        <v>365</v>
      </c>
      <c r="BB5" s="3">
        <v>365</v>
      </c>
      <c r="BC5" s="3">
        <v>366</v>
      </c>
      <c r="BD5" s="3">
        <v>365</v>
      </c>
      <c r="BE5" s="3">
        <v>365</v>
      </c>
      <c r="BF5" s="3">
        <v>365</v>
      </c>
      <c r="BG5" s="3">
        <v>366</v>
      </c>
      <c r="BH5" s="3">
        <v>365</v>
      </c>
      <c r="BI5" s="3">
        <v>365</v>
      </c>
      <c r="BJ5" s="3">
        <v>365</v>
      </c>
      <c r="BK5" s="3">
        <v>366</v>
      </c>
      <c r="BL5" s="3">
        <v>365</v>
      </c>
      <c r="BM5" s="3">
        <v>365</v>
      </c>
      <c r="BN5" s="3">
        <v>365</v>
      </c>
      <c r="BO5" s="3">
        <v>366</v>
      </c>
      <c r="BP5" s="3">
        <v>365</v>
      </c>
      <c r="BQ5" s="3">
        <v>365</v>
      </c>
      <c r="BR5" s="3">
        <v>365</v>
      </c>
      <c r="BS5" s="3">
        <v>366</v>
      </c>
    </row>
    <row r="6" spans="1:93" ht="16" thickBot="1" x14ac:dyDescent="0.25"/>
    <row r="7" spans="1:93" ht="22" thickBot="1" x14ac:dyDescent="0.25">
      <c r="A7" s="8"/>
      <c r="B7" s="221" t="str">
        <f>HM_ZA_Nkossa!$B$7</f>
        <v>Modalités fiscales</v>
      </c>
      <c r="C7" s="222"/>
      <c r="D7" s="222"/>
      <c r="E7" s="223"/>
      <c r="F7" s="9"/>
      <c r="G7" s="9"/>
      <c r="H7" s="9"/>
      <c r="I7" s="9"/>
      <c r="J7" s="48"/>
      <c r="K7" s="10"/>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row>
    <row r="8" spans="1:93" outlineLevel="1" x14ac:dyDescent="0.2">
      <c r="J8" s="26"/>
    </row>
    <row r="9" spans="1:93" outlineLevel="1" x14ac:dyDescent="0.2">
      <c r="C9" s="11" t="s">
        <v>6</v>
      </c>
      <c r="J9" s="26"/>
    </row>
    <row r="10" spans="1:93" outlineLevel="1" x14ac:dyDescent="0.2">
      <c r="D10" t="e">
        <f>CHOOSE(db_ML_selected,'Liste Traduction'!B431)</f>
        <v>#VALUE!</v>
      </c>
      <c r="G10" s="36" t="d">
        <v>1999-01-01</v>
      </c>
      <c r="H10" s="16" t="s">
        <v>578</v>
      </c>
      <c r="J10" s="26"/>
    </row>
    <row r="11" spans="1:93" outlineLevel="1" x14ac:dyDescent="0.2">
      <c r="D11" t="e">
        <f>CHOOSE(db_ML_selected,'Liste Traduction'!B432)</f>
        <v>#VALUE!</v>
      </c>
      <c r="G11" s="36" t="d">
        <v>2019-01-01</v>
      </c>
      <c r="H11" s="16" t="s">
        <v>700</v>
      </c>
      <c r="J11" s="26"/>
    </row>
    <row r="12" spans="1:93" outlineLevel="1" x14ac:dyDescent="0.2">
      <c r="D12" t="str">
        <f>HM_ZA_Nkossa!D12</f>
        <v>Décalage date</v>
      </c>
      <c r="G12" s="40">
        <v>0</v>
      </c>
      <c r="H12" s="16" t="s">
        <v>580</v>
      </c>
      <c r="J12" s="26"/>
    </row>
    <row r="13" spans="1:93" outlineLevel="1" x14ac:dyDescent="0.2">
      <c r="J13" s="26"/>
    </row>
    <row r="14" spans="1:93" outlineLevel="1" x14ac:dyDescent="0.2">
      <c r="C14" s="11" t="str">
        <f>HM_ZA_Nkossa!C14</f>
        <v>Frais</v>
      </c>
      <c r="J14" s="26"/>
    </row>
    <row r="15" spans="1:93" outlineLevel="1" x14ac:dyDescent="0.2">
      <c r="D15" t="str">
        <f>HM_ZA_Nkossa!D15</f>
        <v>Coûts PID</v>
      </c>
      <c r="G15" s="21">
        <v>0.01</v>
      </c>
      <c r="H15" s="16" t="s">
        <v>68</v>
      </c>
      <c r="J15" s="26"/>
    </row>
    <row r="16" spans="1:93" outlineLevel="1" x14ac:dyDescent="0.2">
      <c r="J16" s="26"/>
    </row>
    <row r="17" spans="3:10" outlineLevel="1" x14ac:dyDescent="0.2">
      <c r="J17" s="26"/>
    </row>
    <row r="18" spans="3:10" outlineLevel="1" x14ac:dyDescent="0.2">
      <c r="C18" s="11" t="str">
        <f>HM_ZA_Nkossa!C18</f>
        <v>Redevance</v>
      </c>
      <c r="J18" s="26"/>
    </row>
    <row r="19" spans="3:10" outlineLevel="1" x14ac:dyDescent="0.2">
      <c r="J19" s="26"/>
    </row>
    <row r="20" spans="3:10" outlineLevel="1" x14ac:dyDescent="0.2">
      <c r="D20" t="str">
        <f>CHOOSE(db_ML_selected,'Liste Traduction'!B16,'Liste Traduction'!C16)</f>
        <v>Pétrole</v>
      </c>
      <c r="G20" s="21">
        <v>0.15</v>
      </c>
      <c r="H20" s="16" t="s">
        <v>72</v>
      </c>
      <c r="J20" s="26"/>
    </row>
    <row r="21" spans="3:10" outlineLevel="1" x14ac:dyDescent="0.2">
      <c r="D21" t="str">
        <f>CHOOSE(db_ML_selected,'Liste Traduction'!B18,'Liste Traduction'!C18)</f>
        <v>Gaz</v>
      </c>
      <c r="G21" s="21">
        <v>0.15</v>
      </c>
      <c r="H21" s="16" t="s">
        <v>73</v>
      </c>
      <c r="J21" s="26"/>
    </row>
    <row r="22" spans="3:10" outlineLevel="1" x14ac:dyDescent="0.2">
      <c r="J22" s="26"/>
    </row>
    <row r="23" spans="3:10" outlineLevel="1" x14ac:dyDescent="0.2">
      <c r="J23" s="26"/>
    </row>
    <row r="24" spans="3:10" outlineLevel="1" x14ac:dyDescent="0.2">
      <c r="C24" s="11" t="str">
        <f>HM_ZA_Nkossa!C24</f>
        <v>Récupération des coûts</v>
      </c>
      <c r="J24" s="26"/>
    </row>
    <row r="25" spans="3:10" outlineLevel="1" x14ac:dyDescent="0.2">
      <c r="J25" s="26"/>
    </row>
    <row r="26" spans="3:10" outlineLevel="1" x14ac:dyDescent="0.2">
      <c r="D26" t="str">
        <f>HM_ZA_Nkossa!D26</f>
        <v>Cost Stop</v>
      </c>
      <c r="F26" s="81" t="s">
        <v>365</v>
      </c>
      <c r="G26" s="81" t="s">
        <v>366</v>
      </c>
      <c r="J26" s="26"/>
    </row>
    <row r="27" spans="3:10" outlineLevel="1" x14ac:dyDescent="0.2">
      <c r="E27" s="16"/>
      <c r="F27" s="68" t="s">
        <v>365</v>
      </c>
      <c r="G27" s="37">
        <v>0.6</v>
      </c>
      <c r="H27" s="16"/>
      <c r="J27" s="26"/>
    </row>
    <row r="28" spans="3:10" outlineLevel="1" x14ac:dyDescent="0.2">
      <c r="D28" s="39"/>
      <c r="E28" s="16"/>
      <c r="F28" s="68" t="s">
        <v>367</v>
      </c>
      <c r="G28" s="37">
        <v>0.6</v>
      </c>
      <c r="H28" s="16" t="s">
        <v>372</v>
      </c>
      <c r="J28" s="26"/>
    </row>
    <row r="29" spans="3:10" outlineLevel="1" x14ac:dyDescent="0.2">
      <c r="F29" s="6"/>
      <c r="G29" s="6"/>
      <c r="H29" s="16"/>
      <c r="J29" s="26"/>
    </row>
    <row r="30" spans="3:10" outlineLevel="1" x14ac:dyDescent="0.2">
      <c r="J30" s="26"/>
    </row>
    <row r="31" spans="3:10" outlineLevel="1" x14ac:dyDescent="0.2">
      <c r="J31" s="26"/>
    </row>
    <row r="32" spans="3:10" outlineLevel="1" x14ac:dyDescent="0.2">
      <c r="D32" t="str">
        <f>HM_ZA_Nkossa!D38</f>
        <v>Intérêts sur les coûts reportés</v>
      </c>
      <c r="G32" s="21">
        <v>0</v>
      </c>
      <c r="H32" s="16" t="s">
        <v>362</v>
      </c>
      <c r="J32" s="26"/>
    </row>
    <row r="33" spans="3:10" outlineLevel="1" x14ac:dyDescent="0.2">
      <c r="J33" s="26"/>
    </row>
    <row r="34" spans="3:10" outlineLevel="1" x14ac:dyDescent="0.2">
      <c r="J34" s="26"/>
    </row>
    <row r="35" spans="3:10" outlineLevel="1" x14ac:dyDescent="0.2">
      <c r="J35" s="26"/>
    </row>
    <row r="36" spans="3:10" outlineLevel="1" x14ac:dyDescent="0.2">
      <c r="C36" s="11" t="str">
        <f>HM_ZA_Nkossa!C42</f>
        <v>Excess Cost Oil (ECO)</v>
      </c>
      <c r="J36" s="26"/>
    </row>
    <row r="37" spans="3:10" outlineLevel="1" x14ac:dyDescent="0.2">
      <c r="D37" t="str">
        <f>CHOOSE(db_ML_selected,'Liste Traduction'!B433,'Liste Traduction'!C433)</f>
        <v>Réserves totales MMboe</v>
      </c>
      <c r="F37" s="72">
        <f>db_total_reserves</f>
        <v>100</v>
      </c>
      <c r="J37" s="26"/>
    </row>
    <row r="38" spans="3:10" outlineLevel="1" x14ac:dyDescent="0.2">
      <c r="J38" s="26"/>
    </row>
    <row r="39" spans="3:10" outlineLevel="1" x14ac:dyDescent="0.2">
      <c r="F39" s="80" t="str">
        <f>LEFT(D37,15)</f>
        <v>Réserves totale</v>
      </c>
      <c r="G39" s="80" t="s">
        <v>1389</v>
      </c>
      <c r="H39" s="80" t="s">
        <v>1390</v>
      </c>
      <c r="I39" s="6"/>
      <c r="J39" s="26"/>
    </row>
    <row r="40" spans="3:10" outlineLevel="1" x14ac:dyDescent="0.2">
      <c r="F40" s="81" t="s">
        <v>130</v>
      </c>
      <c r="G40" s="81" t="s">
        <v>90</v>
      </c>
      <c r="H40" s="81" t="s">
        <v>90</v>
      </c>
      <c r="I40" s="6"/>
      <c r="J40" s="26"/>
    </row>
    <row r="41" spans="3:10" outlineLevel="1" x14ac:dyDescent="0.2">
      <c r="F41" s="19">
        <v>200</v>
      </c>
      <c r="G41" s="37">
        <v>0.6</v>
      </c>
      <c r="H41" s="41">
        <f>1-G41</f>
        <v>0.4</v>
      </c>
      <c r="I41" s="6"/>
      <c r="J41" s="26"/>
    </row>
    <row r="42" spans="3:10" outlineLevel="1" x14ac:dyDescent="0.2">
      <c r="F42" s="19">
        <v>400</v>
      </c>
      <c r="G42" s="21">
        <v>0</v>
      </c>
      <c r="H42" s="41">
        <f>1-G42</f>
        <v>1</v>
      </c>
      <c r="I42" s="6"/>
      <c r="J42" s="26"/>
    </row>
    <row r="43" spans="3:10" outlineLevel="1" x14ac:dyDescent="0.2">
      <c r="F43" s="19" t="s">
        <v>408</v>
      </c>
      <c r="G43" s="21">
        <v>0.5</v>
      </c>
      <c r="H43" s="41">
        <f>1-G43</f>
        <v>0.5</v>
      </c>
      <c r="I43" s="6"/>
      <c r="J43" s="26"/>
    </row>
    <row r="44" spans="3:10" outlineLevel="1" x14ac:dyDescent="0.2">
      <c r="F44" s="16" t="s">
        <v>579</v>
      </c>
      <c r="G44" s="16" t="s">
        <v>96</v>
      </c>
      <c r="H44" s="16" t="s">
        <v>97</v>
      </c>
      <c r="I44" s="6"/>
      <c r="J44" s="26"/>
    </row>
    <row r="45" spans="3:10" outlineLevel="1" x14ac:dyDescent="0.2">
      <c r="J45" s="26"/>
    </row>
    <row r="46" spans="3:10" outlineLevel="1" x14ac:dyDescent="0.2">
      <c r="D46" t="str">
        <f>CHOOSE(db_ML_selected,'Liste Traduction'!B434,'Liste Traduction'!C434)</f>
        <v>% seuil de coût de dev.</v>
      </c>
      <c r="F46" s="21">
        <v>0.2</v>
      </c>
      <c r="G46" s="16" t="s">
        <v>412</v>
      </c>
      <c r="J46" s="26"/>
    </row>
    <row r="47" spans="3:10" outlineLevel="1" x14ac:dyDescent="0.2">
      <c r="J47" s="26"/>
    </row>
    <row r="48" spans="3:10" outlineLevel="1" x14ac:dyDescent="0.2">
      <c r="D48" t="s">
        <v>701</v>
      </c>
      <c r="G48" s="21">
        <v>0.5</v>
      </c>
      <c r="H48" s="41">
        <f>1-G48</f>
        <v>0.5</v>
      </c>
      <c r="J48" s="26"/>
    </row>
    <row r="49" spans="3:24" outlineLevel="1" x14ac:dyDescent="0.2">
      <c r="G49" s="16" t="s">
        <v>704</v>
      </c>
      <c r="H49" s="16" t="s">
        <v>705</v>
      </c>
      <c r="J49" s="26"/>
    </row>
    <row r="50" spans="3:24" outlineLevel="1" x14ac:dyDescent="0.2">
      <c r="J50" s="26"/>
    </row>
    <row r="51" spans="3:24" outlineLevel="1" x14ac:dyDescent="0.2">
      <c r="J51" s="26"/>
    </row>
    <row r="52" spans="3:24" outlineLevel="1" x14ac:dyDescent="0.2">
      <c r="C52" s="11" t="str">
        <f>HM_ZA_Nkossa!C49</f>
        <v>Super Profit Oil (SPO)</v>
      </c>
      <c r="F52" s="80" t="s">
        <v>101</v>
      </c>
      <c r="G52" s="80" t="s">
        <v>102</v>
      </c>
      <c r="J52" s="26"/>
    </row>
    <row r="53" spans="3:24" outlineLevel="1" x14ac:dyDescent="0.2">
      <c r="D53" t="str">
        <f>HM_ZA_Nkossa!D50</f>
        <v>(applicable si PF&gt;PH)</v>
      </c>
      <c r="F53" s="81" t="s">
        <v>90</v>
      </c>
      <c r="G53" s="81" t="s">
        <v>90</v>
      </c>
      <c r="J53" s="26"/>
    </row>
    <row r="54" spans="3:24" outlineLevel="1" x14ac:dyDescent="0.2">
      <c r="F54" s="37">
        <v>0.85</v>
      </c>
      <c r="G54" s="41">
        <f>1-F54</f>
        <v>0.15000000000000002</v>
      </c>
      <c r="J54" s="26"/>
    </row>
    <row r="55" spans="3:24" outlineLevel="1" x14ac:dyDescent="0.2">
      <c r="F55" s="16" t="s">
        <v>375</v>
      </c>
      <c r="G55" s="16" t="s">
        <v>376</v>
      </c>
      <c r="J55" s="26"/>
    </row>
    <row r="56" spans="3:24" outlineLevel="1" x14ac:dyDescent="0.2">
      <c r="J56" s="26"/>
    </row>
    <row r="57" spans="3:24" outlineLevel="1" x14ac:dyDescent="0.2">
      <c r="J57" s="26"/>
    </row>
    <row r="58" spans="3:24" outlineLevel="1" x14ac:dyDescent="0.2">
      <c r="J58" s="26"/>
    </row>
    <row r="59" spans="3:24" outlineLevel="1" x14ac:dyDescent="0.2">
      <c r="C59" s="11" t="str">
        <f>HM_ZA_Nkossa!$C$58</f>
        <v>Partage du profit</v>
      </c>
      <c r="F59" s="6"/>
      <c r="G59" s="6"/>
      <c r="H59" s="6"/>
      <c r="I59" s="6"/>
      <c r="J59" s="26"/>
      <c r="K59" s="80" t="s">
        <v>406</v>
      </c>
      <c r="P59" s="80" t="s">
        <v>406</v>
      </c>
      <c r="U59" s="80" t="s">
        <v>406</v>
      </c>
    </row>
    <row r="60" spans="3:24" outlineLevel="1" x14ac:dyDescent="0.2">
      <c r="D60" t="str">
        <f>D37</f>
        <v>Réserves totales MMboe</v>
      </c>
      <c r="F60" s="72">
        <f>db_total_reserves</f>
        <v>100</v>
      </c>
      <c r="G60" s="6"/>
      <c r="H60" s="6"/>
      <c r="I60" s="6"/>
      <c r="J60" s="26"/>
      <c r="K60" s="80" t="s">
        <v>417</v>
      </c>
      <c r="P60" s="80" t="s">
        <v>404</v>
      </c>
      <c r="U60" s="80" t="s">
        <v>418</v>
      </c>
    </row>
    <row r="61" spans="3:24" outlineLevel="1" x14ac:dyDescent="0.2">
      <c r="F61" s="6"/>
      <c r="G61" s="6"/>
      <c r="H61" s="6"/>
      <c r="I61" s="6"/>
      <c r="J61" s="26"/>
    </row>
    <row r="62" spans="3:24" outlineLevel="1" x14ac:dyDescent="0.2">
      <c r="F62" s="80" t="s">
        <v>86</v>
      </c>
      <c r="G62" s="80" t="s">
        <v>87</v>
      </c>
      <c r="H62" s="80" t="s">
        <v>377</v>
      </c>
      <c r="I62" s="80" t="s">
        <v>378</v>
      </c>
      <c r="J62" s="26"/>
      <c r="K62" s="80" t="s">
        <v>86</v>
      </c>
      <c r="L62" s="80" t="s">
        <v>87</v>
      </c>
      <c r="M62" s="80" t="s">
        <v>377</v>
      </c>
      <c r="N62" s="80" t="s">
        <v>378</v>
      </c>
      <c r="P62" s="80" t="s">
        <v>86</v>
      </c>
      <c r="Q62" s="80" t="s">
        <v>87</v>
      </c>
      <c r="R62" s="80" t="s">
        <v>377</v>
      </c>
      <c r="S62" s="80" t="s">
        <v>378</v>
      </c>
      <c r="U62" s="80" t="s">
        <v>86</v>
      </c>
      <c r="V62" s="80" t="s">
        <v>87</v>
      </c>
      <c r="W62" s="80" t="s">
        <v>377</v>
      </c>
      <c r="X62" s="80" t="s">
        <v>378</v>
      </c>
    </row>
    <row r="63" spans="3:24" outlineLevel="1" x14ac:dyDescent="0.2">
      <c r="F63" s="81" t="s">
        <v>88</v>
      </c>
      <c r="G63" s="81" t="s">
        <v>89</v>
      </c>
      <c r="H63" s="81" t="s">
        <v>90</v>
      </c>
      <c r="I63" s="81" t="s">
        <v>90</v>
      </c>
      <c r="J63" s="26"/>
      <c r="K63" s="81" t="s">
        <v>88</v>
      </c>
      <c r="L63" s="81" t="s">
        <v>89</v>
      </c>
      <c r="M63" s="81" t="s">
        <v>90</v>
      </c>
      <c r="N63" s="81" t="s">
        <v>90</v>
      </c>
      <c r="P63" s="81" t="s">
        <v>88</v>
      </c>
      <c r="Q63" s="81" t="s">
        <v>89</v>
      </c>
      <c r="R63" s="81" t="s">
        <v>90</v>
      </c>
      <c r="S63" s="81" t="s">
        <v>90</v>
      </c>
      <c r="U63" s="81" t="s">
        <v>88</v>
      </c>
      <c r="V63" s="81" t="s">
        <v>89</v>
      </c>
      <c r="W63" s="81" t="s">
        <v>90</v>
      </c>
      <c r="X63" s="81" t="s">
        <v>90</v>
      </c>
    </row>
    <row r="64" spans="3:24" outlineLevel="1" x14ac:dyDescent="0.2">
      <c r="F64" s="73">
        <f>IF($F$60&lt;100,K64,
IF(AND($F$60&gt;=100,$F$60&lt;200),P64,U64))</f>
        <v>0</v>
      </c>
      <c r="G64" s="73">
        <f>F64*conv_BbltoMcf</f>
        <v>0</v>
      </c>
      <c r="H64" s="41">
        <f>IF($F$60&lt;100,M64,
IF(AND($F$60&gt;=100,$F$60&lt;200),R64,W64))</f>
        <v>0.33</v>
      </c>
      <c r="I64" s="41">
        <f>1-H64</f>
        <v>0.66999999999999993</v>
      </c>
      <c r="J64" s="26"/>
      <c r="K64" s="19">
        <v>0</v>
      </c>
      <c r="L64" s="40">
        <f>K64*conv_BbltoMcf</f>
        <v>0</v>
      </c>
      <c r="M64" s="37">
        <v>0.33</v>
      </c>
      <c r="N64" s="41">
        <f>1-M64</f>
        <v>0.66999999999999993</v>
      </c>
      <c r="P64" s="19">
        <v>0</v>
      </c>
      <c r="Q64" s="40">
        <f>P64*conv_BbltoMcf</f>
        <v>0</v>
      </c>
      <c r="R64" s="37">
        <v>0.33</v>
      </c>
      <c r="S64" s="41">
        <f>1-R64</f>
        <v>0.66999999999999993</v>
      </c>
      <c r="U64" s="19">
        <v>0</v>
      </c>
      <c r="V64" s="40">
        <f>U64*conv_BbltoMcf</f>
        <v>0</v>
      </c>
      <c r="W64" s="37">
        <v>0.33</v>
      </c>
      <c r="X64" s="41">
        <f>1-W64</f>
        <v>0.66999999999999993</v>
      </c>
    </row>
    <row r="65" spans="3:24" outlineLevel="1" x14ac:dyDescent="0.2">
      <c r="F65" s="73">
        <f t="shared" ref="F65:F67" si="0">IF($F$60&lt;100,K65,
IF(AND($F$60&gt;=100,$F$60&lt;200),P65,U65))</f>
        <v>100</v>
      </c>
      <c r="G65" s="73">
        <f>F65*conv_BbltoMcf</f>
        <v>600</v>
      </c>
      <c r="H65" s="41">
        <f t="shared" ref="H65:H67" si="1">IF($F$60&lt;100,M65,
IF(AND($F$60&gt;=100,$F$60&lt;200),R65,W65))</f>
        <v>0.38</v>
      </c>
      <c r="I65" s="41">
        <f>1-H65</f>
        <v>0.62</v>
      </c>
      <c r="J65" s="26"/>
      <c r="K65" s="19">
        <v>100</v>
      </c>
      <c r="L65" s="40">
        <f>K65*conv_BbltoMcf</f>
        <v>600</v>
      </c>
      <c r="M65" s="21">
        <v>0.33</v>
      </c>
      <c r="N65" s="41">
        <f>1-M65</f>
        <v>0.66999999999999993</v>
      </c>
      <c r="P65" s="19">
        <v>100</v>
      </c>
      <c r="Q65" s="40">
        <f>P65*conv_BbltoMcf</f>
        <v>600</v>
      </c>
      <c r="R65" s="21">
        <v>0.38</v>
      </c>
      <c r="S65" s="41">
        <f>1-R65</f>
        <v>0.62</v>
      </c>
      <c r="U65" s="19">
        <v>100</v>
      </c>
      <c r="V65" s="40">
        <f>U65*conv_BbltoMcf</f>
        <v>600</v>
      </c>
      <c r="W65" s="21">
        <v>0.37</v>
      </c>
      <c r="X65" s="41">
        <f>1-W65</f>
        <v>0.63</v>
      </c>
    </row>
    <row r="66" spans="3:24" outlineLevel="1" x14ac:dyDescent="0.2">
      <c r="F66" s="73">
        <f t="shared" si="0"/>
        <v>200</v>
      </c>
      <c r="G66" s="73">
        <f>F66*conv_BbltoMcf</f>
        <v>1200</v>
      </c>
      <c r="H66" s="41">
        <f t="shared" si="1"/>
        <v>0.38</v>
      </c>
      <c r="I66" s="41">
        <f>1-H66</f>
        <v>0.62</v>
      </c>
      <c r="J66" s="26"/>
      <c r="K66" s="19">
        <v>200</v>
      </c>
      <c r="L66" s="40">
        <f>K66*conv_BbltoMcf</f>
        <v>1200</v>
      </c>
      <c r="M66" s="21">
        <v>0.33</v>
      </c>
      <c r="N66" s="41">
        <f>1-M66</f>
        <v>0.66999999999999993</v>
      </c>
      <c r="P66" s="19">
        <v>200</v>
      </c>
      <c r="Q66" s="40">
        <f>P66*conv_BbltoMcf</f>
        <v>1200</v>
      </c>
      <c r="R66" s="21">
        <v>0.38</v>
      </c>
      <c r="S66" s="41">
        <f>1-R66</f>
        <v>0.62</v>
      </c>
      <c r="U66" s="19">
        <v>200</v>
      </c>
      <c r="V66" s="40">
        <f>U66*conv_BbltoMcf</f>
        <v>1200</v>
      </c>
      <c r="W66" s="21">
        <v>0.42</v>
      </c>
      <c r="X66" s="41">
        <f>1-W66</f>
        <v>0.58000000000000007</v>
      </c>
    </row>
    <row r="67" spans="3:24" outlineLevel="1" x14ac:dyDescent="0.2">
      <c r="F67" s="73">
        <f t="shared" si="0"/>
        <v>400</v>
      </c>
      <c r="G67" s="73">
        <f>F67*conv_BbltoMcf</f>
        <v>2400</v>
      </c>
      <c r="H67" s="41">
        <f t="shared" si="1"/>
        <v>0.38</v>
      </c>
      <c r="I67" s="41">
        <f>1-H67</f>
        <v>0.62</v>
      </c>
      <c r="J67" s="26"/>
      <c r="K67" s="19">
        <v>400</v>
      </c>
      <c r="L67" s="40">
        <f>K67*conv_BbltoMcf</f>
        <v>2400</v>
      </c>
      <c r="M67" s="21">
        <v>0.33</v>
      </c>
      <c r="N67" s="41">
        <f>1-M67</f>
        <v>0.66999999999999993</v>
      </c>
      <c r="P67" s="19">
        <v>400</v>
      </c>
      <c r="Q67" s="40">
        <f>P67*conv_BbltoMcf</f>
        <v>2400</v>
      </c>
      <c r="R67" s="21">
        <v>0.38</v>
      </c>
      <c r="S67" s="41">
        <f>1-R67</f>
        <v>0.62</v>
      </c>
      <c r="U67" s="19">
        <v>400</v>
      </c>
      <c r="V67" s="40">
        <f>U67*conv_BbltoMcf</f>
        <v>2400</v>
      </c>
      <c r="W67" s="21">
        <v>0.42</v>
      </c>
      <c r="X67" s="41">
        <f>1-W67</f>
        <v>0.58000000000000007</v>
      </c>
    </row>
    <row r="68" spans="3:24" outlineLevel="1" x14ac:dyDescent="0.2">
      <c r="F68" s="16" t="s">
        <v>106</v>
      </c>
      <c r="G68" s="16" t="s">
        <v>108</v>
      </c>
      <c r="H68" s="16" t="s">
        <v>109</v>
      </c>
      <c r="I68" s="16" t="s">
        <v>110</v>
      </c>
      <c r="J68" s="26"/>
      <c r="K68" s="16"/>
      <c r="L68" s="16"/>
      <c r="M68" s="16"/>
      <c r="N68" s="16"/>
      <c r="P68" s="16"/>
      <c r="Q68" s="16"/>
      <c r="R68" s="16"/>
      <c r="S68" s="16"/>
      <c r="U68" s="16"/>
      <c r="V68" s="16"/>
      <c r="W68" s="16"/>
      <c r="X68" s="16"/>
    </row>
    <row r="69" spans="3:24" outlineLevel="1" x14ac:dyDescent="0.2">
      <c r="J69" s="26"/>
    </row>
    <row r="70" spans="3:24" outlineLevel="1" x14ac:dyDescent="0.2">
      <c r="D70" t="s">
        <v>701</v>
      </c>
      <c r="G70" s="6"/>
      <c r="H70" s="21">
        <v>0.5</v>
      </c>
      <c r="I70" s="41">
        <f>1-H70</f>
        <v>0.5</v>
      </c>
      <c r="J70" s="26"/>
    </row>
    <row r="71" spans="3:24" outlineLevel="1" x14ac:dyDescent="0.2">
      <c r="H71" s="16" t="s">
        <v>702</v>
      </c>
      <c r="I71" s="16" t="s">
        <v>703</v>
      </c>
      <c r="J71" s="26"/>
    </row>
    <row r="72" spans="3:24" outlineLevel="1" x14ac:dyDescent="0.2">
      <c r="J72" s="26"/>
    </row>
    <row r="73" spans="3:24" outlineLevel="1" x14ac:dyDescent="0.2">
      <c r="J73" s="26"/>
    </row>
    <row r="74" spans="3:24" outlineLevel="1" x14ac:dyDescent="0.2">
      <c r="C74" s="11" t="str">
        <f>HM_ZA_Nkossa!C65</f>
        <v>Prix fiscal spécifique</v>
      </c>
      <c r="F74" s="38" t="s">
        <v>75</v>
      </c>
      <c r="G74" s="81" t="s">
        <v>46</v>
      </c>
      <c r="J74" s="26"/>
    </row>
    <row r="75" spans="3:24" outlineLevel="1" x14ac:dyDescent="0.2">
      <c r="D75" t="str">
        <f>HM_ZA_Nkossa!D66</f>
        <v>Prix Haut (PH)</v>
      </c>
      <c r="F75" s="36" t="d">
        <v>1998-01-01</v>
      </c>
      <c r="G75" s="43">
        <v>22</v>
      </c>
      <c r="J75" s="26"/>
    </row>
    <row r="76" spans="3:24" outlineLevel="1" x14ac:dyDescent="0.2">
      <c r="F76" s="36" t="d">
        <v>2019-01-01</v>
      </c>
      <c r="G76" s="43">
        <v>50</v>
      </c>
      <c r="J76" s="26"/>
    </row>
    <row r="77" spans="3:24" outlineLevel="1" x14ac:dyDescent="0.2">
      <c r="F77" s="16" t="s">
        <v>112</v>
      </c>
      <c r="G77" s="16" t="s">
        <v>113</v>
      </c>
      <c r="J77" s="26"/>
    </row>
    <row r="78" spans="3:24" outlineLevel="1" x14ac:dyDescent="0.2">
      <c r="F78" s="6"/>
      <c r="G78" s="6"/>
      <c r="J78" s="26"/>
    </row>
    <row r="79" spans="3:24" outlineLevel="1" x14ac:dyDescent="0.2">
      <c r="J79" s="26"/>
    </row>
    <row r="80" spans="3:24" ht="16" thickBot="1" x14ac:dyDescent="0.25">
      <c r="J80" s="26"/>
    </row>
    <row r="81" spans="1:93" ht="22" thickBot="1" x14ac:dyDescent="0.25">
      <c r="A81" s="8"/>
      <c r="B81" s="221" t="str">
        <f>HM_ZA_Nkossa!B72</f>
        <v>Détails propriété</v>
      </c>
      <c r="C81" s="222"/>
      <c r="D81" s="222"/>
      <c r="E81" s="223"/>
      <c r="F81" s="9"/>
      <c r="G81" s="9"/>
      <c r="H81" s="9"/>
      <c r="I81" s="9"/>
      <c r="J81" s="48"/>
      <c r="K81" s="10"/>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row>
    <row r="82" spans="1:93" outlineLevel="1" x14ac:dyDescent="0.2">
      <c r="J82" s="26"/>
    </row>
    <row r="83" spans="1:93" outlineLevel="1" x14ac:dyDescent="0.2">
      <c r="C83" s="11" t="str">
        <f>HM_ZA_Nkossa!C74</f>
        <v>Participation de l'État</v>
      </c>
      <c r="J83" s="26"/>
    </row>
    <row r="84" spans="1:93" outlineLevel="1" x14ac:dyDescent="0.2">
      <c r="D84" t="str">
        <f>HM_ZA_Nkossa!D75</f>
        <v>Participation de la compagnie nationale (SNPC)</v>
      </c>
      <c r="G84" s="37">
        <v>0.15</v>
      </c>
      <c r="H84" s="16" t="s">
        <v>118</v>
      </c>
      <c r="J84" s="26"/>
    </row>
    <row r="85" spans="1:93" outlineLevel="1" x14ac:dyDescent="0.2">
      <c r="D85" t="str">
        <f>HM_ZA_Nkossa!D76</f>
        <v>Consortium compagnie pétrolières internationales</v>
      </c>
      <c r="G85" s="37">
        <v>0.85</v>
      </c>
      <c r="H85" s="16" t="s">
        <v>120</v>
      </c>
      <c r="J85" s="26"/>
    </row>
    <row r="86" spans="1:93" outlineLevel="1" x14ac:dyDescent="0.2">
      <c r="J86" s="26"/>
    </row>
    <row r="87" spans="1:93" outlineLevel="1" x14ac:dyDescent="0.2">
      <c r="D87" t="str">
        <f>HM_ZA_Nkossa!D78</f>
        <v>La compagnie nationale fait-elle partie du groupe contracteur ?</v>
      </c>
      <c r="G87" s="44">
        <v>0</v>
      </c>
      <c r="H87" s="16" t="s">
        <v>119</v>
      </c>
      <c r="J87" s="26"/>
    </row>
    <row r="88" spans="1:93" outlineLevel="1" x14ac:dyDescent="0.2">
      <c r="J88" s="26"/>
    </row>
    <row r="89" spans="1:93" outlineLevel="1" x14ac:dyDescent="0.2">
      <c r="J89" s="26"/>
    </row>
    <row r="90" spans="1:93" outlineLevel="1" x14ac:dyDescent="0.2">
      <c r="C90" s="11" t="str">
        <f>HM_ZA_Nkossa!C81</f>
        <v>Intérêt porté</v>
      </c>
      <c r="H90" s="38" t="str">
        <f>HM_ZA_Nkossa!H81</f>
        <v>Repayment</v>
      </c>
      <c r="J90" s="26"/>
    </row>
    <row r="91" spans="1:93" outlineLevel="1" x14ac:dyDescent="0.2">
      <c r="D91" t="str">
        <f>HM_ZA_Nkossa!D82</f>
        <v>Intérêt porté compagnie nationale - Exploration et évaluation</v>
      </c>
      <c r="F91" s="41">
        <f>NOC_WI_perc</f>
        <v>0.15</v>
      </c>
      <c r="G91" s="16" t="s">
        <v>319</v>
      </c>
      <c r="H91" s="44">
        <v>0</v>
      </c>
      <c r="I91" s="16" t="s">
        <v>324</v>
      </c>
      <c r="J91" s="26"/>
    </row>
    <row r="92" spans="1:93" outlineLevel="1" x14ac:dyDescent="0.2">
      <c r="D92" t="str">
        <f>HM_ZA_Nkossa!D83</f>
        <v>Intérêt porté compagnie nationale  - Coûts développement</v>
      </c>
      <c r="F92" s="41">
        <f>NOC_WI_perc</f>
        <v>0.15</v>
      </c>
      <c r="G92" s="16" t="s">
        <v>320</v>
      </c>
      <c r="H92" s="44">
        <v>1</v>
      </c>
      <c r="I92" s="16" t="s">
        <v>325</v>
      </c>
      <c r="J92" s="26"/>
    </row>
    <row r="93" spans="1:93" outlineLevel="1" x14ac:dyDescent="0.2">
      <c r="D93" t="str">
        <f>HM_ZA_Nkossa!D84</f>
        <v>Intérêt porté compagnie nationale - Opex</v>
      </c>
      <c r="F93" s="41"/>
      <c r="G93" s="16" t="s">
        <v>322</v>
      </c>
      <c r="H93" s="44">
        <v>0</v>
      </c>
      <c r="I93" s="16" t="s">
        <v>326</v>
      </c>
      <c r="J93" s="26"/>
    </row>
    <row r="94" spans="1:93" outlineLevel="1" x14ac:dyDescent="0.2">
      <c r="J94" s="26"/>
    </row>
    <row r="95" spans="1:93" outlineLevel="1" x14ac:dyDescent="0.2">
      <c r="J95" s="26"/>
    </row>
    <row r="96" spans="1:93" outlineLevel="1" x14ac:dyDescent="0.2">
      <c r="C96" s="11" t="str">
        <f>HM_ZA_Nkossa!C87</f>
        <v>Remboursement du portage</v>
      </c>
      <c r="G96" s="37">
        <v>0.75</v>
      </c>
      <c r="H96" s="16" t="s">
        <v>329</v>
      </c>
      <c r="J96" s="26"/>
    </row>
    <row r="97" spans="3:10" outlineLevel="1" x14ac:dyDescent="0.2">
      <c r="C97" t="str">
        <f>HM_ZA_Nkossa!C88</f>
        <v>(% des droits de l'État disponible pour le remboursement)</v>
      </c>
      <c r="J97" s="26"/>
    </row>
    <row r="98" spans="3:10" outlineLevel="1" x14ac:dyDescent="0.2">
      <c r="J98" s="26"/>
    </row>
    <row r="99" spans="3:10" outlineLevel="1" x14ac:dyDescent="0.2">
      <c r="J99" s="26"/>
    </row>
    <row r="100" spans="3:10" outlineLevel="1" x14ac:dyDescent="0.2">
      <c r="J100" s="26"/>
    </row>
    <row r="101" spans="3:10" outlineLevel="1" x14ac:dyDescent="0.2">
      <c r="J101" s="26"/>
    </row>
    <row r="102" spans="3:10" outlineLevel="1" x14ac:dyDescent="0.2">
      <c r="J102" s="26"/>
    </row>
    <row r="103" spans="3:10" outlineLevel="1" x14ac:dyDescent="0.2">
      <c r="J103" s="26"/>
    </row>
    <row r="104" spans="3:10" outlineLevel="1" x14ac:dyDescent="0.2">
      <c r="J104" s="26"/>
    </row>
    <row r="105" spans="3:10" outlineLevel="1" x14ac:dyDescent="0.2">
      <c r="J105" s="26"/>
    </row>
    <row r="106" spans="3:10" outlineLevel="1" x14ac:dyDescent="0.2">
      <c r="J106" s="26"/>
    </row>
    <row r="107" spans="3:10" outlineLevel="1" x14ac:dyDescent="0.2">
      <c r="J107" s="26"/>
    </row>
    <row r="108" spans="3:10" outlineLevel="1" x14ac:dyDescent="0.2">
      <c r="J108" s="26"/>
    </row>
    <row r="109" spans="3:10" outlineLevel="1" x14ac:dyDescent="0.2">
      <c r="J109" s="26"/>
    </row>
    <row r="110" spans="3:10" outlineLevel="1" x14ac:dyDescent="0.2">
      <c r="J110" s="26"/>
    </row>
    <row r="111" spans="3:10" outlineLevel="1" x14ac:dyDescent="0.2">
      <c r="J111" s="26"/>
    </row>
    <row r="112" spans="3:10" outlineLevel="1" x14ac:dyDescent="0.2">
      <c r="J112" s="26"/>
    </row>
    <row r="113" spans="1:93" outlineLevel="1" x14ac:dyDescent="0.2">
      <c r="J113" s="26"/>
    </row>
    <row r="114" spans="1:93" outlineLevel="1" x14ac:dyDescent="0.2">
      <c r="J114" s="26"/>
    </row>
    <row r="115" spans="1:93" outlineLevel="1" x14ac:dyDescent="0.2">
      <c r="J115" s="26"/>
    </row>
    <row r="116" spans="1:93" outlineLevel="1" x14ac:dyDescent="0.2">
      <c r="J116" s="26"/>
    </row>
    <row r="117" spans="1:93" outlineLevel="1" x14ac:dyDescent="0.2">
      <c r="J117" s="26"/>
    </row>
    <row r="118" spans="1:93" x14ac:dyDescent="0.2">
      <c r="J118" s="26"/>
    </row>
    <row r="119" spans="1:93" ht="16" thickBot="1" x14ac:dyDescent="0.25">
      <c r="J119" s="26"/>
    </row>
    <row r="120" spans="1:93" ht="22" thickBot="1" x14ac:dyDescent="0.25">
      <c r="A120" s="8"/>
      <c r="B120" s="221" t="str">
        <f>HM_ZA_Nkossa!B111</f>
        <v>Calculs</v>
      </c>
      <c r="C120" s="222"/>
      <c r="D120" s="222"/>
      <c r="E120" s="223"/>
      <c r="F120" s="9"/>
      <c r="G120" s="9"/>
      <c r="H120" s="9"/>
      <c r="I120" s="9"/>
      <c r="J120" s="48"/>
      <c r="K120" s="10"/>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row>
    <row r="121" spans="1:93" outlineLevel="1" x14ac:dyDescent="0.2">
      <c r="J121" s="26"/>
    </row>
    <row r="122" spans="1:93" outlineLevel="1" x14ac:dyDescent="0.2">
      <c r="A122" s="45"/>
      <c r="B122" s="38" t="str">
        <f>HM_ZA_Nkossa!B113</f>
        <v>Production et volumes</v>
      </c>
      <c r="C122" s="45"/>
      <c r="D122" s="45"/>
      <c r="E122" s="45"/>
      <c r="J122" s="26"/>
    </row>
    <row r="123" spans="1:93" outlineLevel="1" x14ac:dyDescent="0.2">
      <c r="J123" s="26"/>
    </row>
    <row r="124" spans="1:93" outlineLevel="1" x14ac:dyDescent="0.2">
      <c r="C124" s="11" t="str">
        <f>HM_ZA_Nkossa!C115</f>
        <v>Volumes Production brute</v>
      </c>
      <c r="J124" s="26"/>
    </row>
    <row r="125" spans="1:93" outlineLevel="1" x14ac:dyDescent="0.2">
      <c r="D125" t="str">
        <f>HM_ZA_Nkossa!D116</f>
        <v>Pétrole</v>
      </c>
      <c r="I125" s="30">
        <f ca="1">SUM($L125:$BS125)</f>
        <v>7.8397019378449011</v>
      </c>
      <c r="J125" s="26" t="s">
        <v>42</v>
      </c>
      <c r="K125" s="7" t="s">
        <v>131</v>
      </c>
      <c r="L125" s="49">
        <f t="shared" ref="L125:AQ125" ca="1" si="2">OFFSET(_xlfn.SINGLE(IA_prod_oil),3,)</f>
        <v>0.89748140500000018</v>
      </c>
      <c r="M125" s="49">
        <f t="shared" ca="1" si="2"/>
        <v>0.65572134800000004</v>
      </c>
      <c r="N125" s="49">
        <f t="shared" ca="1" si="2"/>
        <v>0.88709828300000015</v>
      </c>
      <c r="O125" s="49">
        <f t="shared" ca="1" si="2"/>
        <v>0.75052600000000003</v>
      </c>
      <c r="P125" s="49">
        <f t="shared" ca="1" si="2"/>
        <v>0.76784799999999997</v>
      </c>
      <c r="Q125" s="49">
        <f t="shared" ca="1" si="2"/>
        <v>0.55382799999999999</v>
      </c>
      <c r="R125" s="49">
        <f t="shared" ca="1" si="2"/>
        <v>0.33802152099999999</v>
      </c>
      <c r="S125" s="49">
        <f t="shared" ca="1" si="2"/>
        <v>0.59273823799999992</v>
      </c>
      <c r="T125" s="49">
        <f t="shared" ca="1" si="2"/>
        <v>0.55124656133999994</v>
      </c>
      <c r="U125" s="49">
        <f t="shared" ca="1" si="2"/>
        <v>0.51265930204619992</v>
      </c>
      <c r="V125" s="49">
        <f t="shared" ca="1" si="2"/>
        <v>0.4767731509029659</v>
      </c>
      <c r="W125" s="49">
        <f t="shared" ca="1" si="2"/>
        <v>0.44339903033975825</v>
      </c>
      <c r="X125" s="49">
        <f t="shared" ca="1" si="2"/>
        <v>0.41236109821597516</v>
      </c>
      <c r="Y125" s="49">
        <f t="shared" ca="1" si="2"/>
        <v>0</v>
      </c>
      <c r="Z125" s="49">
        <f t="shared" ca="1" si="2"/>
        <v>0</v>
      </c>
      <c r="AA125" s="49">
        <f t="shared" ca="1" si="2"/>
        <v>0</v>
      </c>
      <c r="AB125" s="49">
        <f t="shared" ca="1" si="2"/>
        <v>0</v>
      </c>
      <c r="AC125" s="49">
        <f t="shared" ca="1" si="2"/>
        <v>0</v>
      </c>
      <c r="AD125" s="49">
        <f t="shared" ca="1" si="2"/>
        <v>0</v>
      </c>
      <c r="AE125" s="49">
        <f t="shared" ca="1" si="2"/>
        <v>0</v>
      </c>
      <c r="AF125" s="49">
        <f t="shared" ca="1" si="2"/>
        <v>0</v>
      </c>
      <c r="AG125" s="49">
        <f t="shared" ca="1" si="2"/>
        <v>0</v>
      </c>
      <c r="AH125" s="49">
        <f t="shared" ca="1" si="2"/>
        <v>0</v>
      </c>
      <c r="AI125" s="49">
        <f t="shared" ca="1" si="2"/>
        <v>0</v>
      </c>
      <c r="AJ125" s="49">
        <f t="shared" ca="1" si="2"/>
        <v>0</v>
      </c>
      <c r="AK125" s="49">
        <f t="shared" ca="1" si="2"/>
        <v>0</v>
      </c>
      <c r="AL125" s="49">
        <f t="shared" ca="1" si="2"/>
        <v>0</v>
      </c>
      <c r="AM125" s="49">
        <f t="shared" ca="1" si="2"/>
        <v>0</v>
      </c>
      <c r="AN125" s="49">
        <f t="shared" ca="1" si="2"/>
        <v>0</v>
      </c>
      <c r="AO125" s="49">
        <f t="shared" ca="1" si="2"/>
        <v>0</v>
      </c>
      <c r="AP125" s="49">
        <f t="shared" ca="1" si="2"/>
        <v>0</v>
      </c>
      <c r="AQ125" s="49">
        <f t="shared" ca="1" si="2"/>
        <v>0</v>
      </c>
      <c r="AR125" s="49">
        <f t="shared" ref="AR125:BS125" ca="1" si="3">OFFSET(_xlfn.SINGLE(IA_prod_oil),3,)</f>
        <v>0</v>
      </c>
      <c r="AS125" s="49">
        <f t="shared" ca="1" si="3"/>
        <v>0</v>
      </c>
      <c r="AT125" s="49">
        <f t="shared" ca="1" si="3"/>
        <v>0</v>
      </c>
      <c r="AU125" s="49">
        <f t="shared" ca="1" si="3"/>
        <v>0</v>
      </c>
      <c r="AV125" s="49">
        <f t="shared" ca="1" si="3"/>
        <v>0</v>
      </c>
      <c r="AW125" s="49">
        <f t="shared" ca="1" si="3"/>
        <v>0</v>
      </c>
      <c r="AX125" s="49">
        <f t="shared" ca="1" si="3"/>
        <v>0</v>
      </c>
      <c r="AY125" s="49">
        <f t="shared" ca="1" si="3"/>
        <v>0</v>
      </c>
      <c r="AZ125" s="49">
        <f t="shared" ca="1" si="3"/>
        <v>0</v>
      </c>
      <c r="BA125" s="49">
        <f t="shared" ca="1" si="3"/>
        <v>0</v>
      </c>
      <c r="BB125" s="49">
        <f t="shared" ca="1" si="3"/>
        <v>0</v>
      </c>
      <c r="BC125" s="49">
        <f t="shared" ca="1" si="3"/>
        <v>0</v>
      </c>
      <c r="BD125" s="49">
        <f t="shared" ca="1" si="3"/>
        <v>0</v>
      </c>
      <c r="BE125" s="49">
        <f t="shared" ca="1" si="3"/>
        <v>0</v>
      </c>
      <c r="BF125" s="49">
        <f t="shared" ca="1" si="3"/>
        <v>0</v>
      </c>
      <c r="BG125" s="49">
        <f t="shared" ca="1" si="3"/>
        <v>0</v>
      </c>
      <c r="BH125" s="49">
        <f t="shared" ca="1" si="3"/>
        <v>0</v>
      </c>
      <c r="BI125" s="49">
        <f t="shared" ca="1" si="3"/>
        <v>0</v>
      </c>
      <c r="BJ125" s="49">
        <f t="shared" ca="1" si="3"/>
        <v>0</v>
      </c>
      <c r="BK125" s="49">
        <f t="shared" ca="1" si="3"/>
        <v>0</v>
      </c>
      <c r="BL125" s="49">
        <f t="shared" ca="1" si="3"/>
        <v>0</v>
      </c>
      <c r="BM125" s="49">
        <f t="shared" ca="1" si="3"/>
        <v>0</v>
      </c>
      <c r="BN125" s="49">
        <f t="shared" ca="1" si="3"/>
        <v>0</v>
      </c>
      <c r="BO125" s="49">
        <f t="shared" ca="1" si="3"/>
        <v>0</v>
      </c>
      <c r="BP125" s="49">
        <f t="shared" ca="1" si="3"/>
        <v>0</v>
      </c>
      <c r="BQ125" s="49">
        <f t="shared" ca="1" si="3"/>
        <v>0</v>
      </c>
      <c r="BR125" s="49">
        <f t="shared" ca="1" si="3"/>
        <v>0</v>
      </c>
      <c r="BS125" s="49">
        <f t="shared" ca="1" si="3"/>
        <v>0</v>
      </c>
    </row>
    <row r="126" spans="1:93" outlineLevel="1" x14ac:dyDescent="0.2">
      <c r="D126" t="str">
        <f>HM_ZA_Nkossa!D117</f>
        <v>GPL</v>
      </c>
      <c r="I126" s="30">
        <f ca="1">SUM($L126:$BS126)</f>
        <v>1.3526304117142658</v>
      </c>
      <c r="J126" s="26" t="s">
        <v>42</v>
      </c>
      <c r="K126" s="7" t="s">
        <v>684</v>
      </c>
      <c r="L126" s="49">
        <f t="shared" ref="L126:AQ126" ca="1" si="4">OFFSET(_xlfn.SINGLE(IA_prod_lpg),3,)</f>
        <v>9.1936059000000014E-2</v>
      </c>
      <c r="M126" s="49">
        <f t="shared" ca="1" si="4"/>
        <v>7.448188800000001E-2</v>
      </c>
      <c r="N126" s="49">
        <f t="shared" ca="1" si="4"/>
        <v>9.9910986000000007E-2</v>
      </c>
      <c r="O126" s="49">
        <f t="shared" ca="1" si="4"/>
        <v>8.1037999999999999E-2</v>
      </c>
      <c r="P126" s="49">
        <f t="shared" ca="1" si="4"/>
        <v>7.9019000000000006E-2</v>
      </c>
      <c r="Q126" s="49">
        <f t="shared" ca="1" si="4"/>
        <v>6.1114000000000002E-2</v>
      </c>
      <c r="R126" s="49">
        <f t="shared" ca="1" si="4"/>
        <v>4.9182212000000003E-2</v>
      </c>
      <c r="S126" s="49">
        <f t="shared" ca="1" si="4"/>
        <v>0.16179827299999999</v>
      </c>
      <c r="T126" s="49">
        <f t="shared" ca="1" si="4"/>
        <v>0.15047239388999997</v>
      </c>
      <c r="U126" s="49">
        <f t="shared" ca="1" si="4"/>
        <v>0.13993932631769995</v>
      </c>
      <c r="V126" s="49">
        <f t="shared" ca="1" si="4"/>
        <v>0.13014357347546096</v>
      </c>
      <c r="W126" s="49">
        <f t="shared" ca="1" si="4"/>
        <v>0.12103352333217869</v>
      </c>
      <c r="X126" s="49">
        <f t="shared" ca="1" si="4"/>
        <v>0.11256117669892618</v>
      </c>
      <c r="Y126" s="49">
        <f t="shared" ca="1" si="4"/>
        <v>0</v>
      </c>
      <c r="Z126" s="49">
        <f t="shared" ca="1" si="4"/>
        <v>0</v>
      </c>
      <c r="AA126" s="49">
        <f t="shared" ca="1" si="4"/>
        <v>0</v>
      </c>
      <c r="AB126" s="49">
        <f t="shared" ca="1" si="4"/>
        <v>0</v>
      </c>
      <c r="AC126" s="49">
        <f t="shared" ca="1" si="4"/>
        <v>0</v>
      </c>
      <c r="AD126" s="49">
        <f t="shared" ca="1" si="4"/>
        <v>0</v>
      </c>
      <c r="AE126" s="49">
        <f t="shared" ca="1" si="4"/>
        <v>0</v>
      </c>
      <c r="AF126" s="49">
        <f t="shared" ca="1" si="4"/>
        <v>0</v>
      </c>
      <c r="AG126" s="49">
        <f t="shared" ca="1" si="4"/>
        <v>0</v>
      </c>
      <c r="AH126" s="49">
        <f t="shared" ca="1" si="4"/>
        <v>0</v>
      </c>
      <c r="AI126" s="49">
        <f t="shared" ca="1" si="4"/>
        <v>0</v>
      </c>
      <c r="AJ126" s="49">
        <f t="shared" ca="1" si="4"/>
        <v>0</v>
      </c>
      <c r="AK126" s="49">
        <f t="shared" ca="1" si="4"/>
        <v>0</v>
      </c>
      <c r="AL126" s="49">
        <f t="shared" ca="1" si="4"/>
        <v>0</v>
      </c>
      <c r="AM126" s="49">
        <f t="shared" ca="1" si="4"/>
        <v>0</v>
      </c>
      <c r="AN126" s="49">
        <f t="shared" ca="1" si="4"/>
        <v>0</v>
      </c>
      <c r="AO126" s="49">
        <f t="shared" ca="1" si="4"/>
        <v>0</v>
      </c>
      <c r="AP126" s="49">
        <f t="shared" ca="1" si="4"/>
        <v>0</v>
      </c>
      <c r="AQ126" s="49">
        <f t="shared" ca="1" si="4"/>
        <v>0</v>
      </c>
      <c r="AR126" s="49">
        <f t="shared" ref="AR126:BS126" ca="1" si="5">OFFSET(_xlfn.SINGLE(IA_prod_lpg),3,)</f>
        <v>0</v>
      </c>
      <c r="AS126" s="49">
        <f t="shared" ca="1" si="5"/>
        <v>0</v>
      </c>
      <c r="AT126" s="49">
        <f t="shared" ca="1" si="5"/>
        <v>0</v>
      </c>
      <c r="AU126" s="49">
        <f t="shared" ca="1" si="5"/>
        <v>0</v>
      </c>
      <c r="AV126" s="49">
        <f t="shared" ca="1" si="5"/>
        <v>0</v>
      </c>
      <c r="AW126" s="49">
        <f t="shared" ca="1" si="5"/>
        <v>0</v>
      </c>
      <c r="AX126" s="49">
        <f t="shared" ca="1" si="5"/>
        <v>0</v>
      </c>
      <c r="AY126" s="49">
        <f t="shared" ca="1" si="5"/>
        <v>0</v>
      </c>
      <c r="AZ126" s="49">
        <f t="shared" ca="1" si="5"/>
        <v>0</v>
      </c>
      <c r="BA126" s="49">
        <f t="shared" ca="1" si="5"/>
        <v>0</v>
      </c>
      <c r="BB126" s="49">
        <f t="shared" ca="1" si="5"/>
        <v>0</v>
      </c>
      <c r="BC126" s="49">
        <f t="shared" ca="1" si="5"/>
        <v>0</v>
      </c>
      <c r="BD126" s="49">
        <f t="shared" ca="1" si="5"/>
        <v>0</v>
      </c>
      <c r="BE126" s="49">
        <f t="shared" ca="1" si="5"/>
        <v>0</v>
      </c>
      <c r="BF126" s="49">
        <f t="shared" ca="1" si="5"/>
        <v>0</v>
      </c>
      <c r="BG126" s="49">
        <f t="shared" ca="1" si="5"/>
        <v>0</v>
      </c>
      <c r="BH126" s="49">
        <f t="shared" ca="1" si="5"/>
        <v>0</v>
      </c>
      <c r="BI126" s="49">
        <f t="shared" ca="1" si="5"/>
        <v>0</v>
      </c>
      <c r="BJ126" s="49">
        <f t="shared" ca="1" si="5"/>
        <v>0</v>
      </c>
      <c r="BK126" s="49">
        <f t="shared" ca="1" si="5"/>
        <v>0</v>
      </c>
      <c r="BL126" s="49">
        <f t="shared" ca="1" si="5"/>
        <v>0</v>
      </c>
      <c r="BM126" s="49">
        <f t="shared" ca="1" si="5"/>
        <v>0</v>
      </c>
      <c r="BN126" s="49">
        <f t="shared" ca="1" si="5"/>
        <v>0</v>
      </c>
      <c r="BO126" s="49">
        <f t="shared" ca="1" si="5"/>
        <v>0</v>
      </c>
      <c r="BP126" s="49">
        <f t="shared" ca="1" si="5"/>
        <v>0</v>
      </c>
      <c r="BQ126" s="49">
        <f t="shared" ca="1" si="5"/>
        <v>0</v>
      </c>
      <c r="BR126" s="49">
        <f t="shared" ca="1" si="5"/>
        <v>0</v>
      </c>
      <c r="BS126" s="49">
        <f t="shared" ca="1" si="5"/>
        <v>0</v>
      </c>
    </row>
    <row r="127" spans="1:93" outlineLevel="1" x14ac:dyDescent="0.2">
      <c r="D127" t="str">
        <f>HM_ZA_Nkossa!D118</f>
        <v>Gaz</v>
      </c>
      <c r="I127" s="46">
        <f ca="1">SUM($L127:$BS127)</f>
        <v>0</v>
      </c>
      <c r="J127" s="26" t="s">
        <v>653</v>
      </c>
      <c r="K127" s="7" t="s">
        <v>132</v>
      </c>
      <c r="L127" s="54">
        <f t="shared" ref="L127:AQ127" ca="1" si="6">OFFSET(_xlfn.SINGLE(IA_prod_gas),3,)</f>
        <v>0</v>
      </c>
      <c r="M127" s="54">
        <f t="shared" ca="1" si="6"/>
        <v>0</v>
      </c>
      <c r="N127" s="54">
        <f t="shared" ca="1" si="6"/>
        <v>0</v>
      </c>
      <c r="O127" s="54">
        <f t="shared" ca="1" si="6"/>
        <v>0</v>
      </c>
      <c r="P127" s="54">
        <f t="shared" ca="1" si="6"/>
        <v>0</v>
      </c>
      <c r="Q127" s="54">
        <f t="shared" ca="1" si="6"/>
        <v>0</v>
      </c>
      <c r="R127" s="54">
        <f t="shared" ca="1" si="6"/>
        <v>0</v>
      </c>
      <c r="S127" s="54">
        <f t="shared" ca="1" si="6"/>
        <v>0</v>
      </c>
      <c r="T127" s="54">
        <f t="shared" ca="1" si="6"/>
        <v>0</v>
      </c>
      <c r="U127" s="54">
        <f t="shared" ca="1" si="6"/>
        <v>0</v>
      </c>
      <c r="V127" s="54">
        <f t="shared" ca="1" si="6"/>
        <v>0</v>
      </c>
      <c r="W127" s="54">
        <f t="shared" ca="1" si="6"/>
        <v>0</v>
      </c>
      <c r="X127" s="54">
        <f t="shared" ca="1" si="6"/>
        <v>0</v>
      </c>
      <c r="Y127" s="54">
        <f t="shared" ca="1" si="6"/>
        <v>0</v>
      </c>
      <c r="Z127" s="54">
        <f t="shared" ca="1" si="6"/>
        <v>0</v>
      </c>
      <c r="AA127" s="54">
        <f t="shared" ca="1" si="6"/>
        <v>0</v>
      </c>
      <c r="AB127" s="54">
        <f t="shared" ca="1" si="6"/>
        <v>0</v>
      </c>
      <c r="AC127" s="54">
        <f t="shared" ca="1" si="6"/>
        <v>0</v>
      </c>
      <c r="AD127" s="54">
        <f t="shared" ca="1" si="6"/>
        <v>0</v>
      </c>
      <c r="AE127" s="54">
        <f t="shared" ca="1" si="6"/>
        <v>0</v>
      </c>
      <c r="AF127" s="54">
        <f t="shared" ca="1" si="6"/>
        <v>0</v>
      </c>
      <c r="AG127" s="54">
        <f t="shared" ca="1" si="6"/>
        <v>0</v>
      </c>
      <c r="AH127" s="54">
        <f t="shared" ca="1" si="6"/>
        <v>0</v>
      </c>
      <c r="AI127" s="54">
        <f t="shared" ca="1" si="6"/>
        <v>0</v>
      </c>
      <c r="AJ127" s="54">
        <f t="shared" ca="1" si="6"/>
        <v>0</v>
      </c>
      <c r="AK127" s="54">
        <f t="shared" ca="1" si="6"/>
        <v>0</v>
      </c>
      <c r="AL127" s="54">
        <f t="shared" ca="1" si="6"/>
        <v>0</v>
      </c>
      <c r="AM127" s="54">
        <f t="shared" ca="1" si="6"/>
        <v>0</v>
      </c>
      <c r="AN127" s="54">
        <f t="shared" ca="1" si="6"/>
        <v>0</v>
      </c>
      <c r="AO127" s="54">
        <f t="shared" ca="1" si="6"/>
        <v>0</v>
      </c>
      <c r="AP127" s="54">
        <f t="shared" ca="1" si="6"/>
        <v>0</v>
      </c>
      <c r="AQ127" s="54">
        <f t="shared" ca="1" si="6"/>
        <v>0</v>
      </c>
      <c r="AR127" s="54">
        <f t="shared" ref="AR127:BS127" ca="1" si="7">OFFSET(_xlfn.SINGLE(IA_prod_gas),3,)</f>
        <v>0</v>
      </c>
      <c r="AS127" s="54">
        <f t="shared" ca="1" si="7"/>
        <v>0</v>
      </c>
      <c r="AT127" s="54">
        <f t="shared" ca="1" si="7"/>
        <v>0</v>
      </c>
      <c r="AU127" s="54">
        <f t="shared" ca="1" si="7"/>
        <v>0</v>
      </c>
      <c r="AV127" s="54">
        <f t="shared" ca="1" si="7"/>
        <v>0</v>
      </c>
      <c r="AW127" s="54">
        <f t="shared" ca="1" si="7"/>
        <v>0</v>
      </c>
      <c r="AX127" s="54">
        <f t="shared" ca="1" si="7"/>
        <v>0</v>
      </c>
      <c r="AY127" s="54">
        <f t="shared" ca="1" si="7"/>
        <v>0</v>
      </c>
      <c r="AZ127" s="54">
        <f t="shared" ca="1" si="7"/>
        <v>0</v>
      </c>
      <c r="BA127" s="54">
        <f t="shared" ca="1" si="7"/>
        <v>0</v>
      </c>
      <c r="BB127" s="54">
        <f t="shared" ca="1" si="7"/>
        <v>0</v>
      </c>
      <c r="BC127" s="54">
        <f t="shared" ca="1" si="7"/>
        <v>0</v>
      </c>
      <c r="BD127" s="54">
        <f t="shared" ca="1" si="7"/>
        <v>0</v>
      </c>
      <c r="BE127" s="54">
        <f t="shared" ca="1" si="7"/>
        <v>0</v>
      </c>
      <c r="BF127" s="54">
        <f t="shared" ca="1" si="7"/>
        <v>0</v>
      </c>
      <c r="BG127" s="54">
        <f t="shared" ca="1" si="7"/>
        <v>0</v>
      </c>
      <c r="BH127" s="54">
        <f t="shared" ca="1" si="7"/>
        <v>0</v>
      </c>
      <c r="BI127" s="54">
        <f t="shared" ca="1" si="7"/>
        <v>0</v>
      </c>
      <c r="BJ127" s="54">
        <f t="shared" ca="1" si="7"/>
        <v>0</v>
      </c>
      <c r="BK127" s="54">
        <f t="shared" ca="1" si="7"/>
        <v>0</v>
      </c>
      <c r="BL127" s="54">
        <f t="shared" ca="1" si="7"/>
        <v>0</v>
      </c>
      <c r="BM127" s="54">
        <f t="shared" ca="1" si="7"/>
        <v>0</v>
      </c>
      <c r="BN127" s="54">
        <f t="shared" ca="1" si="7"/>
        <v>0</v>
      </c>
      <c r="BO127" s="54">
        <f t="shared" ca="1" si="7"/>
        <v>0</v>
      </c>
      <c r="BP127" s="54">
        <f t="shared" ca="1" si="7"/>
        <v>0</v>
      </c>
      <c r="BQ127" s="54">
        <f t="shared" ca="1" si="7"/>
        <v>0</v>
      </c>
      <c r="BR127" s="54">
        <f t="shared" ca="1" si="7"/>
        <v>0</v>
      </c>
      <c r="BS127" s="54">
        <f t="shared" ca="1" si="7"/>
        <v>0</v>
      </c>
    </row>
    <row r="128" spans="1:93" outlineLevel="1" x14ac:dyDescent="0.2">
      <c r="A128" s="6"/>
      <c r="B128" s="6"/>
      <c r="C128" s="6"/>
      <c r="D128" s="47" t="str">
        <f>HM_ZA_Nkossa!D119</f>
        <v>Total</v>
      </c>
      <c r="E128" s="6"/>
      <c r="F128" s="6"/>
      <c r="G128" s="6"/>
      <c r="H128" s="6"/>
      <c r="I128" s="30">
        <f ca="1">SUM($L128:$BS128)</f>
        <v>9.1923323495591642</v>
      </c>
      <c r="J128" s="26" t="s">
        <v>130</v>
      </c>
      <c r="K128" s="7" t="s">
        <v>133</v>
      </c>
      <c r="L128" s="49">
        <f t="shared" ref="L128:AQ128" ca="1" si="8">SUM(L125,L126,L127/conv_CMtoBbls)</f>
        <v>0.98941746400000019</v>
      </c>
      <c r="M128" s="49">
        <f t="shared" ca="1" si="8"/>
        <v>0.73020323600000003</v>
      </c>
      <c r="N128" s="49">
        <f t="shared" ca="1" si="8"/>
        <v>0.98700926900000019</v>
      </c>
      <c r="O128" s="49">
        <f t="shared" ca="1" si="8"/>
        <v>0.83156399999999997</v>
      </c>
      <c r="P128" s="49">
        <f t="shared" ca="1" si="8"/>
        <v>0.84686700000000004</v>
      </c>
      <c r="Q128" s="49">
        <f t="shared" ca="1" si="8"/>
        <v>0.61494199999999999</v>
      </c>
      <c r="R128" s="49">
        <f t="shared" ca="1" si="8"/>
        <v>0.38720373299999999</v>
      </c>
      <c r="S128" s="49">
        <f t="shared" ca="1" si="8"/>
        <v>0.75453651099999997</v>
      </c>
      <c r="T128" s="49">
        <f t="shared" ca="1" si="8"/>
        <v>0.70171895522999994</v>
      </c>
      <c r="U128" s="49">
        <f t="shared" ca="1" si="8"/>
        <v>0.65259862836389981</v>
      </c>
      <c r="V128" s="49">
        <f t="shared" ca="1" si="8"/>
        <v>0.60691672437842681</v>
      </c>
      <c r="W128" s="49">
        <f t="shared" ca="1" si="8"/>
        <v>0.5644325536719369</v>
      </c>
      <c r="X128" s="49">
        <f t="shared" ca="1" si="8"/>
        <v>0.5249222749149014</v>
      </c>
      <c r="Y128" s="49">
        <f t="shared" ca="1" si="8"/>
        <v>0</v>
      </c>
      <c r="Z128" s="49">
        <f t="shared" ca="1" si="8"/>
        <v>0</v>
      </c>
      <c r="AA128" s="49">
        <f t="shared" ca="1" si="8"/>
        <v>0</v>
      </c>
      <c r="AB128" s="49">
        <f t="shared" ca="1" si="8"/>
        <v>0</v>
      </c>
      <c r="AC128" s="49">
        <f t="shared" ca="1" si="8"/>
        <v>0</v>
      </c>
      <c r="AD128" s="49">
        <f t="shared" ca="1" si="8"/>
        <v>0</v>
      </c>
      <c r="AE128" s="49">
        <f t="shared" ca="1" si="8"/>
        <v>0</v>
      </c>
      <c r="AF128" s="49">
        <f t="shared" ca="1" si="8"/>
        <v>0</v>
      </c>
      <c r="AG128" s="49">
        <f t="shared" ca="1" si="8"/>
        <v>0</v>
      </c>
      <c r="AH128" s="49">
        <f t="shared" ca="1" si="8"/>
        <v>0</v>
      </c>
      <c r="AI128" s="49">
        <f t="shared" ca="1" si="8"/>
        <v>0</v>
      </c>
      <c r="AJ128" s="49">
        <f t="shared" ca="1" si="8"/>
        <v>0</v>
      </c>
      <c r="AK128" s="49">
        <f t="shared" ca="1" si="8"/>
        <v>0</v>
      </c>
      <c r="AL128" s="49">
        <f t="shared" ca="1" si="8"/>
        <v>0</v>
      </c>
      <c r="AM128" s="49">
        <f t="shared" ca="1" si="8"/>
        <v>0</v>
      </c>
      <c r="AN128" s="49">
        <f t="shared" ca="1" si="8"/>
        <v>0</v>
      </c>
      <c r="AO128" s="49">
        <f t="shared" ca="1" si="8"/>
        <v>0</v>
      </c>
      <c r="AP128" s="49">
        <f t="shared" ca="1" si="8"/>
        <v>0</v>
      </c>
      <c r="AQ128" s="49">
        <f t="shared" ca="1" si="8"/>
        <v>0</v>
      </c>
      <c r="AR128" s="49">
        <f t="shared" ref="AR128:BS128" ca="1" si="9">SUM(AR125,AR126,AR127/conv_CMtoBbls)</f>
        <v>0</v>
      </c>
      <c r="AS128" s="49">
        <f t="shared" ca="1" si="9"/>
        <v>0</v>
      </c>
      <c r="AT128" s="49">
        <f t="shared" ca="1" si="9"/>
        <v>0</v>
      </c>
      <c r="AU128" s="49">
        <f t="shared" ca="1" si="9"/>
        <v>0</v>
      </c>
      <c r="AV128" s="49">
        <f t="shared" ca="1" si="9"/>
        <v>0</v>
      </c>
      <c r="AW128" s="49">
        <f t="shared" ca="1" si="9"/>
        <v>0</v>
      </c>
      <c r="AX128" s="49">
        <f t="shared" ca="1" si="9"/>
        <v>0</v>
      </c>
      <c r="AY128" s="49">
        <f t="shared" ca="1" si="9"/>
        <v>0</v>
      </c>
      <c r="AZ128" s="49">
        <f t="shared" ca="1" si="9"/>
        <v>0</v>
      </c>
      <c r="BA128" s="49">
        <f t="shared" ca="1" si="9"/>
        <v>0</v>
      </c>
      <c r="BB128" s="49">
        <f t="shared" ca="1" si="9"/>
        <v>0</v>
      </c>
      <c r="BC128" s="49">
        <f t="shared" ca="1" si="9"/>
        <v>0</v>
      </c>
      <c r="BD128" s="49">
        <f t="shared" ca="1" si="9"/>
        <v>0</v>
      </c>
      <c r="BE128" s="49">
        <f t="shared" ca="1" si="9"/>
        <v>0</v>
      </c>
      <c r="BF128" s="49">
        <f t="shared" ca="1" si="9"/>
        <v>0</v>
      </c>
      <c r="BG128" s="49">
        <f t="shared" ca="1" si="9"/>
        <v>0</v>
      </c>
      <c r="BH128" s="49">
        <f t="shared" ca="1" si="9"/>
        <v>0</v>
      </c>
      <c r="BI128" s="49">
        <f t="shared" ca="1" si="9"/>
        <v>0</v>
      </c>
      <c r="BJ128" s="49">
        <f t="shared" ca="1" si="9"/>
        <v>0</v>
      </c>
      <c r="BK128" s="49">
        <f t="shared" ca="1" si="9"/>
        <v>0</v>
      </c>
      <c r="BL128" s="49">
        <f t="shared" ca="1" si="9"/>
        <v>0</v>
      </c>
      <c r="BM128" s="49">
        <f t="shared" ca="1" si="9"/>
        <v>0</v>
      </c>
      <c r="BN128" s="49">
        <f t="shared" ca="1" si="9"/>
        <v>0</v>
      </c>
      <c r="BO128" s="49">
        <f t="shared" ca="1" si="9"/>
        <v>0</v>
      </c>
      <c r="BP128" s="49">
        <f t="shared" ca="1" si="9"/>
        <v>0</v>
      </c>
      <c r="BQ128" s="49">
        <f t="shared" ca="1" si="9"/>
        <v>0</v>
      </c>
      <c r="BR128" s="49">
        <f t="shared" ca="1" si="9"/>
        <v>0</v>
      </c>
      <c r="BS128" s="49">
        <f t="shared" ca="1" si="9"/>
        <v>0</v>
      </c>
      <c r="BT128" s="6"/>
      <c r="BU128" s="6"/>
      <c r="BV128" s="6"/>
      <c r="BW128" s="6"/>
      <c r="BX128" s="6"/>
      <c r="BY128" s="6"/>
      <c r="BZ128" s="6"/>
      <c r="CA128" s="6"/>
      <c r="CB128" s="6"/>
      <c r="CC128" s="6"/>
      <c r="CD128" s="6"/>
      <c r="CE128" s="6"/>
      <c r="CF128" s="6"/>
      <c r="CG128" s="6"/>
      <c r="CH128" s="6"/>
      <c r="CI128" s="6"/>
      <c r="CJ128" s="6"/>
      <c r="CK128" s="6"/>
      <c r="CL128" s="6"/>
      <c r="CM128" s="6"/>
      <c r="CN128" s="6"/>
      <c r="CO128" s="6"/>
    </row>
    <row r="129" spans="1:93" outlineLevel="1" x14ac:dyDescent="0.2">
      <c r="J129" s="26"/>
      <c r="L129" s="55"/>
      <c r="M129" s="55"/>
      <c r="N129" s="55"/>
      <c r="O129" s="55"/>
      <c r="P129" s="55"/>
      <c r="Q129" s="55"/>
      <c r="R129" s="55"/>
      <c r="S129" s="55"/>
      <c r="T129" s="55"/>
      <c r="U129" s="55"/>
      <c r="V129" s="55"/>
      <c r="W129" s="55"/>
      <c r="X129" s="55"/>
      <c r="Y129" s="55"/>
      <c r="Z129" s="55"/>
      <c r="AA129" s="55"/>
      <c r="AB129" s="55"/>
      <c r="AC129" s="55"/>
      <c r="AD129" s="55"/>
      <c r="AE129" s="55"/>
      <c r="AF129" s="55"/>
      <c r="AG129" s="55"/>
      <c r="AH129" s="55"/>
      <c r="AI129" s="55"/>
      <c r="AJ129" s="55"/>
      <c r="AK129" s="55"/>
      <c r="AL129" s="55"/>
      <c r="AM129" s="55"/>
      <c r="AN129" s="55"/>
      <c r="AO129" s="55"/>
      <c r="AP129" s="55"/>
      <c r="AQ129" s="55"/>
      <c r="AR129" s="55"/>
      <c r="AS129" s="55"/>
      <c r="AT129" s="55"/>
      <c r="AU129" s="55"/>
      <c r="AV129" s="55"/>
      <c r="AW129" s="55"/>
      <c r="AX129" s="55"/>
      <c r="AY129" s="55"/>
      <c r="AZ129" s="55"/>
      <c r="BA129" s="55"/>
      <c r="BB129" s="55"/>
      <c r="BC129" s="55"/>
      <c r="BD129" s="55"/>
      <c r="BE129" s="55"/>
      <c r="BF129" s="55"/>
      <c r="BG129" s="55"/>
      <c r="BH129" s="55"/>
      <c r="BI129" s="55"/>
      <c r="BJ129" s="55"/>
      <c r="BK129" s="55"/>
      <c r="BL129" s="55"/>
      <c r="BM129" s="55"/>
      <c r="BN129" s="55"/>
      <c r="BO129" s="55"/>
      <c r="BP129" s="55"/>
      <c r="BQ129" s="55"/>
      <c r="BR129" s="55"/>
      <c r="BS129" s="55"/>
    </row>
    <row r="130" spans="1:93" outlineLevel="1" x14ac:dyDescent="0.2">
      <c r="C130" s="11" t="str">
        <f>HM_ZA_Nkossa!C121</f>
        <v>Volumes de production brute cumulés</v>
      </c>
      <c r="J130" s="26"/>
      <c r="L130" s="55"/>
      <c r="M130" s="55"/>
      <c r="N130" s="55"/>
      <c r="O130" s="55"/>
      <c r="P130" s="55"/>
      <c r="Q130" s="55"/>
      <c r="R130" s="55"/>
      <c r="S130" s="55"/>
      <c r="T130" s="55"/>
      <c r="U130" s="55"/>
      <c r="V130" s="55"/>
      <c r="W130" s="55"/>
      <c r="X130" s="55"/>
      <c r="Y130" s="55"/>
      <c r="Z130" s="55"/>
      <c r="AA130" s="55"/>
      <c r="AB130" s="55"/>
      <c r="AC130" s="55"/>
      <c r="AD130" s="55"/>
      <c r="AE130" s="55"/>
      <c r="AF130" s="55"/>
      <c r="AG130" s="55"/>
      <c r="AH130" s="55"/>
      <c r="AI130" s="55"/>
      <c r="AJ130" s="55"/>
      <c r="AK130" s="55"/>
      <c r="AL130" s="55"/>
      <c r="AM130" s="55"/>
      <c r="AN130" s="55"/>
      <c r="AO130" s="55"/>
      <c r="AP130" s="55"/>
      <c r="AQ130" s="55"/>
      <c r="AR130" s="55"/>
      <c r="AS130" s="55"/>
      <c r="AT130" s="55"/>
      <c r="AU130" s="55"/>
      <c r="AV130" s="55"/>
      <c r="AW130" s="55"/>
      <c r="AX130" s="55"/>
      <c r="AY130" s="55"/>
      <c r="AZ130" s="55"/>
      <c r="BA130" s="55"/>
      <c r="BB130" s="55"/>
      <c r="BC130" s="55"/>
      <c r="BD130" s="55"/>
      <c r="BE130" s="55"/>
      <c r="BF130" s="55"/>
      <c r="BG130" s="55"/>
      <c r="BH130" s="55"/>
      <c r="BI130" s="55"/>
      <c r="BJ130" s="55"/>
      <c r="BK130" s="55"/>
      <c r="BL130" s="55"/>
      <c r="BM130" s="55"/>
      <c r="BN130" s="55"/>
      <c r="BO130" s="55"/>
      <c r="BP130" s="55"/>
      <c r="BQ130" s="55"/>
      <c r="BR130" s="55"/>
      <c r="BS130" s="55"/>
    </row>
    <row r="131" spans="1:93" outlineLevel="1" x14ac:dyDescent="0.2">
      <c r="D131" t="str">
        <f>HM_ZA_Nkossa!D122</f>
        <v>Pétrole</v>
      </c>
      <c r="K131" s="7" t="s">
        <v>135</v>
      </c>
      <c r="L131" s="49">
        <f ca="1">SUM(K131)+HM_ZB_Nsoko!CA_gross_prod_oil</f>
        <v>0.89748140500000018</v>
      </c>
      <c r="M131" s="49">
        <f ca="1">SUM(L131)+HM_ZB_Nsoko!CA_gross_prod_oil</f>
        <v>1.5532027530000003</v>
      </c>
      <c r="N131" s="49">
        <f ca="1">SUM(M131)+HM_ZB_Nsoko!CA_gross_prod_oil</f>
        <v>2.4403010360000006</v>
      </c>
      <c r="O131" s="49">
        <f ca="1">SUM(N131)+HM_ZB_Nsoko!CA_gross_prod_oil</f>
        <v>3.1908270360000008</v>
      </c>
      <c r="P131" s="49">
        <f ca="1">SUM(O131)+HM_ZB_Nsoko!CA_gross_prod_oil</f>
        <v>3.9586750360000007</v>
      </c>
      <c r="Q131" s="49">
        <f ca="1">SUM(P131)+HM_ZB_Nsoko!CA_gross_prod_oil</f>
        <v>4.5125030360000009</v>
      </c>
      <c r="R131" s="49">
        <f ca="1">SUM(Q131)+HM_ZB_Nsoko!CA_gross_prod_oil</f>
        <v>4.8505245570000008</v>
      </c>
      <c r="S131" s="49">
        <f ca="1">SUM(R131)+HM_ZB_Nsoko!CA_gross_prod_oil</f>
        <v>5.4432627950000008</v>
      </c>
      <c r="T131" s="49">
        <f ca="1">SUM(S131)+HM_ZB_Nsoko!CA_gross_prod_oil</f>
        <v>5.9945093563400009</v>
      </c>
      <c r="U131" s="49">
        <f ca="1">SUM(T131)+HM_ZB_Nsoko!CA_gross_prod_oil</f>
        <v>6.5071686583862007</v>
      </c>
      <c r="V131" s="49">
        <f ca="1">SUM(U131)+HM_ZB_Nsoko!CA_gross_prod_oil</f>
        <v>6.983941809289167</v>
      </c>
      <c r="W131" s="49">
        <f ca="1">SUM(V131)+HM_ZB_Nsoko!CA_gross_prod_oil</f>
        <v>7.4273408396289256</v>
      </c>
      <c r="X131" s="49">
        <f ca="1">SUM(W131)+HM_ZB_Nsoko!CA_gross_prod_oil</f>
        <v>7.8397019378449011</v>
      </c>
      <c r="Y131" s="49">
        <f ca="1">SUM(X131)+HM_ZB_Nsoko!CA_gross_prod_oil</f>
        <v>7.8397019378449011</v>
      </c>
      <c r="Z131" s="49">
        <f ca="1">SUM(Y131)+HM_ZB_Nsoko!CA_gross_prod_oil</f>
        <v>7.8397019378449011</v>
      </c>
      <c r="AA131" s="49">
        <f ca="1">SUM(Z131)+HM_ZB_Nsoko!CA_gross_prod_oil</f>
        <v>7.8397019378449011</v>
      </c>
      <c r="AB131" s="49">
        <f ca="1">SUM(AA131)+HM_ZB_Nsoko!CA_gross_prod_oil</f>
        <v>7.8397019378449011</v>
      </c>
      <c r="AC131" s="49">
        <f ca="1">SUM(AB131)+HM_ZB_Nsoko!CA_gross_prod_oil</f>
        <v>7.8397019378449011</v>
      </c>
      <c r="AD131" s="49">
        <f ca="1">SUM(AC131)+HM_ZB_Nsoko!CA_gross_prod_oil</f>
        <v>7.8397019378449011</v>
      </c>
      <c r="AE131" s="49">
        <f ca="1">SUM(AD131)+HM_ZB_Nsoko!CA_gross_prod_oil</f>
        <v>7.8397019378449011</v>
      </c>
      <c r="AF131" s="49">
        <f ca="1">SUM(AE131)+HM_ZB_Nsoko!CA_gross_prod_oil</f>
        <v>7.8397019378449011</v>
      </c>
      <c r="AG131" s="49">
        <f ca="1">SUM(AF131)+HM_ZB_Nsoko!CA_gross_prod_oil</f>
        <v>7.8397019378449011</v>
      </c>
      <c r="AH131" s="49">
        <f ca="1">SUM(AG131)+HM_ZB_Nsoko!CA_gross_prod_oil</f>
        <v>7.8397019378449011</v>
      </c>
      <c r="AI131" s="49">
        <f ca="1">SUM(AH131)+HM_ZB_Nsoko!CA_gross_prod_oil</f>
        <v>7.8397019378449011</v>
      </c>
      <c r="AJ131" s="49">
        <f ca="1">SUM(AI131)+HM_ZB_Nsoko!CA_gross_prod_oil</f>
        <v>7.8397019378449011</v>
      </c>
      <c r="AK131" s="49">
        <f ca="1">SUM(AJ131)+HM_ZB_Nsoko!CA_gross_prod_oil</f>
        <v>7.8397019378449011</v>
      </c>
      <c r="AL131" s="49">
        <f ca="1">SUM(AK131)+HM_ZB_Nsoko!CA_gross_prod_oil</f>
        <v>7.8397019378449011</v>
      </c>
      <c r="AM131" s="49">
        <f ca="1">SUM(AL131)+HM_ZB_Nsoko!CA_gross_prod_oil</f>
        <v>7.8397019378449011</v>
      </c>
      <c r="AN131" s="49">
        <f ca="1">SUM(AM131)+HM_ZB_Nsoko!CA_gross_prod_oil</f>
        <v>7.8397019378449011</v>
      </c>
      <c r="AO131" s="49">
        <f ca="1">SUM(AN131)+HM_ZB_Nsoko!CA_gross_prod_oil</f>
        <v>7.8397019378449011</v>
      </c>
      <c r="AP131" s="49">
        <f ca="1">SUM(AO131)+HM_ZB_Nsoko!CA_gross_prod_oil</f>
        <v>7.8397019378449011</v>
      </c>
      <c r="AQ131" s="49">
        <f ca="1">SUM(AP131)+HM_ZB_Nsoko!CA_gross_prod_oil</f>
        <v>7.8397019378449011</v>
      </c>
      <c r="AR131" s="49">
        <f ca="1">SUM(AQ131)+HM_ZB_Nsoko!CA_gross_prod_oil</f>
        <v>7.8397019378449011</v>
      </c>
      <c r="AS131" s="49">
        <f ca="1">SUM(AR131)+HM_ZB_Nsoko!CA_gross_prod_oil</f>
        <v>7.8397019378449011</v>
      </c>
      <c r="AT131" s="49">
        <f ca="1">SUM(AS131)+HM_ZB_Nsoko!CA_gross_prod_oil</f>
        <v>7.8397019378449011</v>
      </c>
      <c r="AU131" s="49">
        <f ca="1">SUM(AT131)+HM_ZB_Nsoko!CA_gross_prod_oil</f>
        <v>7.8397019378449011</v>
      </c>
      <c r="AV131" s="49">
        <f ca="1">SUM(AU131)+HM_ZB_Nsoko!CA_gross_prod_oil</f>
        <v>7.8397019378449011</v>
      </c>
      <c r="AW131" s="49">
        <f ca="1">SUM(AV131)+HM_ZB_Nsoko!CA_gross_prod_oil</f>
        <v>7.8397019378449011</v>
      </c>
      <c r="AX131" s="49">
        <f ca="1">SUM(AW131)+HM_ZB_Nsoko!CA_gross_prod_oil</f>
        <v>7.8397019378449011</v>
      </c>
      <c r="AY131" s="49">
        <f ca="1">SUM(AX131)+HM_ZB_Nsoko!CA_gross_prod_oil</f>
        <v>7.8397019378449011</v>
      </c>
      <c r="AZ131" s="49">
        <f ca="1">SUM(AY131)+HM_ZB_Nsoko!CA_gross_prod_oil</f>
        <v>7.8397019378449011</v>
      </c>
      <c r="BA131" s="49">
        <f ca="1">SUM(AZ131)+HM_ZB_Nsoko!CA_gross_prod_oil</f>
        <v>7.8397019378449011</v>
      </c>
      <c r="BB131" s="49">
        <f ca="1">SUM(BA131)+HM_ZB_Nsoko!CA_gross_prod_oil</f>
        <v>7.8397019378449011</v>
      </c>
      <c r="BC131" s="49">
        <f ca="1">SUM(BB131)+HM_ZB_Nsoko!CA_gross_prod_oil</f>
        <v>7.8397019378449011</v>
      </c>
      <c r="BD131" s="49">
        <f ca="1">SUM(BC131)+HM_ZB_Nsoko!CA_gross_prod_oil</f>
        <v>7.8397019378449011</v>
      </c>
      <c r="BE131" s="49">
        <f ca="1">SUM(BD131)+HM_ZB_Nsoko!CA_gross_prod_oil</f>
        <v>7.8397019378449011</v>
      </c>
      <c r="BF131" s="49">
        <f ca="1">SUM(BE131)+HM_ZB_Nsoko!CA_gross_prod_oil</f>
        <v>7.8397019378449011</v>
      </c>
      <c r="BG131" s="49">
        <f ca="1">SUM(BF131)+HM_ZB_Nsoko!CA_gross_prod_oil</f>
        <v>7.8397019378449011</v>
      </c>
      <c r="BH131" s="49">
        <f ca="1">SUM(BG131)+HM_ZB_Nsoko!CA_gross_prod_oil</f>
        <v>7.8397019378449011</v>
      </c>
      <c r="BI131" s="49">
        <f ca="1">SUM(BH131)+HM_ZB_Nsoko!CA_gross_prod_oil</f>
        <v>7.8397019378449011</v>
      </c>
      <c r="BJ131" s="49">
        <f ca="1">SUM(BI131)+HM_ZB_Nsoko!CA_gross_prod_oil</f>
        <v>7.8397019378449011</v>
      </c>
      <c r="BK131" s="49">
        <f ca="1">SUM(BJ131)+HM_ZB_Nsoko!CA_gross_prod_oil</f>
        <v>7.8397019378449011</v>
      </c>
      <c r="BL131" s="49">
        <f ca="1">SUM(BK131)+HM_ZB_Nsoko!CA_gross_prod_oil</f>
        <v>7.8397019378449011</v>
      </c>
      <c r="BM131" s="49">
        <f ca="1">SUM(BL131)+HM_ZB_Nsoko!CA_gross_prod_oil</f>
        <v>7.8397019378449011</v>
      </c>
      <c r="BN131" s="49">
        <f ca="1">SUM(BM131)+HM_ZB_Nsoko!CA_gross_prod_oil</f>
        <v>7.8397019378449011</v>
      </c>
      <c r="BO131" s="49">
        <f ca="1">SUM(BN131)+HM_ZB_Nsoko!CA_gross_prod_oil</f>
        <v>7.8397019378449011</v>
      </c>
      <c r="BP131" s="49">
        <f ca="1">SUM(BO131)+HM_ZB_Nsoko!CA_gross_prod_oil</f>
        <v>7.8397019378449011</v>
      </c>
      <c r="BQ131" s="49">
        <f ca="1">SUM(BP131)+HM_ZB_Nsoko!CA_gross_prod_oil</f>
        <v>7.8397019378449011</v>
      </c>
      <c r="BR131" s="49">
        <f ca="1">SUM(BQ131)+HM_ZB_Nsoko!CA_gross_prod_oil</f>
        <v>7.8397019378449011</v>
      </c>
      <c r="BS131" s="49">
        <f ca="1">SUM(BR131)+HM_ZB_Nsoko!CA_gross_prod_oil</f>
        <v>7.8397019378449011</v>
      </c>
    </row>
    <row r="132" spans="1:93" outlineLevel="1" x14ac:dyDescent="0.2">
      <c r="D132" t="str">
        <f>HM_ZA_Nkossa!D123</f>
        <v>GPL</v>
      </c>
      <c r="K132" s="7" t="s">
        <v>686</v>
      </c>
      <c r="L132" s="49">
        <f ca="1">SUM(K132)+HM_ZB_Nsoko!CA_gross_prod_lpg</f>
        <v>9.1936059000000014E-2</v>
      </c>
      <c r="M132" s="49">
        <f ca="1">SUM(L132)+HM_ZB_Nsoko!CA_gross_prod_lpg</f>
        <v>0.16641794700000001</v>
      </c>
      <c r="N132" s="49">
        <f ca="1">SUM(M132)+HM_ZB_Nsoko!CA_gross_prod_lpg</f>
        <v>0.26632893300000005</v>
      </c>
      <c r="O132" s="49">
        <f ca="1">SUM(N132)+HM_ZB_Nsoko!CA_gross_prod_lpg</f>
        <v>0.34736693300000004</v>
      </c>
      <c r="P132" s="49">
        <f ca="1">SUM(O132)+HM_ZB_Nsoko!CA_gross_prod_lpg</f>
        <v>0.42638593300000005</v>
      </c>
      <c r="Q132" s="49">
        <f ca="1">SUM(P132)+HM_ZB_Nsoko!CA_gross_prod_lpg</f>
        <v>0.48749993300000005</v>
      </c>
      <c r="R132" s="49">
        <f ca="1">SUM(Q132)+HM_ZB_Nsoko!CA_gross_prod_lpg</f>
        <v>0.53668214500000011</v>
      </c>
      <c r="S132" s="49">
        <f ca="1">SUM(R132)+HM_ZB_Nsoko!CA_gross_prod_lpg</f>
        <v>0.69848041800000016</v>
      </c>
      <c r="T132" s="49">
        <f ca="1">SUM(S132)+HM_ZB_Nsoko!CA_gross_prod_lpg</f>
        <v>0.84895281189000016</v>
      </c>
      <c r="U132" s="49">
        <f ca="1">SUM(T132)+HM_ZB_Nsoko!CA_gross_prod_lpg</f>
        <v>0.98889213820770006</v>
      </c>
      <c r="V132" s="49">
        <f ca="1">SUM(U132)+HM_ZB_Nsoko!CA_gross_prod_lpg</f>
        <v>1.1190357116831611</v>
      </c>
      <c r="W132" s="49">
        <f ca="1">SUM(V132)+HM_ZB_Nsoko!CA_gross_prod_lpg</f>
        <v>1.2400692350153397</v>
      </c>
      <c r="X132" s="49">
        <f ca="1">SUM(W132)+HM_ZB_Nsoko!CA_gross_prod_lpg</f>
        <v>1.3526304117142658</v>
      </c>
      <c r="Y132" s="49">
        <f ca="1">SUM(X132)+HM_ZB_Nsoko!CA_gross_prod_lpg</f>
        <v>1.3526304117142658</v>
      </c>
      <c r="Z132" s="49">
        <f ca="1">SUM(Y132)+HM_ZB_Nsoko!CA_gross_prod_lpg</f>
        <v>1.3526304117142658</v>
      </c>
      <c r="AA132" s="49">
        <f ca="1">SUM(Z132)+HM_ZB_Nsoko!CA_gross_prod_lpg</f>
        <v>1.3526304117142658</v>
      </c>
      <c r="AB132" s="49">
        <f ca="1">SUM(AA132)+HM_ZB_Nsoko!CA_gross_prod_lpg</f>
        <v>1.3526304117142658</v>
      </c>
      <c r="AC132" s="49">
        <f ca="1">SUM(AB132)+HM_ZB_Nsoko!CA_gross_prod_lpg</f>
        <v>1.3526304117142658</v>
      </c>
      <c r="AD132" s="49">
        <f ca="1">SUM(AC132)+HM_ZB_Nsoko!CA_gross_prod_lpg</f>
        <v>1.3526304117142658</v>
      </c>
      <c r="AE132" s="49">
        <f ca="1">SUM(AD132)+HM_ZB_Nsoko!CA_gross_prod_lpg</f>
        <v>1.3526304117142658</v>
      </c>
      <c r="AF132" s="49">
        <f ca="1">SUM(AE132)+HM_ZB_Nsoko!CA_gross_prod_lpg</f>
        <v>1.3526304117142658</v>
      </c>
      <c r="AG132" s="49">
        <f ca="1">SUM(AF132)+HM_ZB_Nsoko!CA_gross_prod_lpg</f>
        <v>1.3526304117142658</v>
      </c>
      <c r="AH132" s="49">
        <f ca="1">SUM(AG132)+HM_ZB_Nsoko!CA_gross_prod_lpg</f>
        <v>1.3526304117142658</v>
      </c>
      <c r="AI132" s="49">
        <f ca="1">SUM(AH132)+HM_ZB_Nsoko!CA_gross_prod_lpg</f>
        <v>1.3526304117142658</v>
      </c>
      <c r="AJ132" s="49">
        <f ca="1">SUM(AI132)+HM_ZB_Nsoko!CA_gross_prod_lpg</f>
        <v>1.3526304117142658</v>
      </c>
      <c r="AK132" s="49">
        <f ca="1">SUM(AJ132)+HM_ZB_Nsoko!CA_gross_prod_lpg</f>
        <v>1.3526304117142658</v>
      </c>
      <c r="AL132" s="49">
        <f ca="1">SUM(AK132)+HM_ZB_Nsoko!CA_gross_prod_lpg</f>
        <v>1.3526304117142658</v>
      </c>
      <c r="AM132" s="49">
        <f ca="1">SUM(AL132)+HM_ZB_Nsoko!CA_gross_prod_lpg</f>
        <v>1.3526304117142658</v>
      </c>
      <c r="AN132" s="49">
        <f ca="1">SUM(AM132)+HM_ZB_Nsoko!CA_gross_prod_lpg</f>
        <v>1.3526304117142658</v>
      </c>
      <c r="AO132" s="49">
        <f ca="1">SUM(AN132)+HM_ZB_Nsoko!CA_gross_prod_lpg</f>
        <v>1.3526304117142658</v>
      </c>
      <c r="AP132" s="49">
        <f ca="1">SUM(AO132)+HM_ZB_Nsoko!CA_gross_prod_lpg</f>
        <v>1.3526304117142658</v>
      </c>
      <c r="AQ132" s="49">
        <f ca="1">SUM(AP132)+HM_ZB_Nsoko!CA_gross_prod_lpg</f>
        <v>1.3526304117142658</v>
      </c>
      <c r="AR132" s="49">
        <f ca="1">SUM(AQ132)+HM_ZB_Nsoko!CA_gross_prod_lpg</f>
        <v>1.3526304117142658</v>
      </c>
      <c r="AS132" s="49">
        <f ca="1">SUM(AR132)+HM_ZB_Nsoko!CA_gross_prod_lpg</f>
        <v>1.3526304117142658</v>
      </c>
      <c r="AT132" s="49">
        <f ca="1">SUM(AS132)+HM_ZB_Nsoko!CA_gross_prod_lpg</f>
        <v>1.3526304117142658</v>
      </c>
      <c r="AU132" s="49">
        <f ca="1">SUM(AT132)+HM_ZB_Nsoko!CA_gross_prod_lpg</f>
        <v>1.3526304117142658</v>
      </c>
      <c r="AV132" s="49">
        <f ca="1">SUM(AU132)+HM_ZB_Nsoko!CA_gross_prod_lpg</f>
        <v>1.3526304117142658</v>
      </c>
      <c r="AW132" s="49">
        <f ca="1">SUM(AV132)+HM_ZB_Nsoko!CA_gross_prod_lpg</f>
        <v>1.3526304117142658</v>
      </c>
      <c r="AX132" s="49">
        <f ca="1">SUM(AW132)+HM_ZB_Nsoko!CA_gross_prod_lpg</f>
        <v>1.3526304117142658</v>
      </c>
      <c r="AY132" s="49">
        <f ca="1">SUM(AX132)+HM_ZB_Nsoko!CA_gross_prod_lpg</f>
        <v>1.3526304117142658</v>
      </c>
      <c r="AZ132" s="49">
        <f ca="1">SUM(AY132)+HM_ZB_Nsoko!CA_gross_prod_lpg</f>
        <v>1.3526304117142658</v>
      </c>
      <c r="BA132" s="49">
        <f ca="1">SUM(AZ132)+HM_ZB_Nsoko!CA_gross_prod_lpg</f>
        <v>1.3526304117142658</v>
      </c>
      <c r="BB132" s="49">
        <f ca="1">SUM(BA132)+HM_ZB_Nsoko!CA_gross_prod_lpg</f>
        <v>1.3526304117142658</v>
      </c>
      <c r="BC132" s="49">
        <f ca="1">SUM(BB132)+HM_ZB_Nsoko!CA_gross_prod_lpg</f>
        <v>1.3526304117142658</v>
      </c>
      <c r="BD132" s="49">
        <f ca="1">SUM(BC132)+HM_ZB_Nsoko!CA_gross_prod_lpg</f>
        <v>1.3526304117142658</v>
      </c>
      <c r="BE132" s="49">
        <f ca="1">SUM(BD132)+HM_ZB_Nsoko!CA_gross_prod_lpg</f>
        <v>1.3526304117142658</v>
      </c>
      <c r="BF132" s="49">
        <f ca="1">SUM(BE132)+HM_ZB_Nsoko!CA_gross_prod_lpg</f>
        <v>1.3526304117142658</v>
      </c>
      <c r="BG132" s="49">
        <f ca="1">SUM(BF132)+HM_ZB_Nsoko!CA_gross_prod_lpg</f>
        <v>1.3526304117142658</v>
      </c>
      <c r="BH132" s="49">
        <f ca="1">SUM(BG132)+HM_ZB_Nsoko!CA_gross_prod_lpg</f>
        <v>1.3526304117142658</v>
      </c>
      <c r="BI132" s="49">
        <f ca="1">SUM(BH132)+HM_ZB_Nsoko!CA_gross_prod_lpg</f>
        <v>1.3526304117142658</v>
      </c>
      <c r="BJ132" s="49">
        <f ca="1">SUM(BI132)+HM_ZB_Nsoko!CA_gross_prod_lpg</f>
        <v>1.3526304117142658</v>
      </c>
      <c r="BK132" s="49">
        <f ca="1">SUM(BJ132)+HM_ZB_Nsoko!CA_gross_prod_lpg</f>
        <v>1.3526304117142658</v>
      </c>
      <c r="BL132" s="49">
        <f ca="1">SUM(BK132)+HM_ZB_Nsoko!CA_gross_prod_lpg</f>
        <v>1.3526304117142658</v>
      </c>
      <c r="BM132" s="49">
        <f ca="1">SUM(BL132)+HM_ZB_Nsoko!CA_gross_prod_lpg</f>
        <v>1.3526304117142658</v>
      </c>
      <c r="BN132" s="49">
        <f ca="1">SUM(BM132)+HM_ZB_Nsoko!CA_gross_prod_lpg</f>
        <v>1.3526304117142658</v>
      </c>
      <c r="BO132" s="49">
        <f ca="1">SUM(BN132)+HM_ZB_Nsoko!CA_gross_prod_lpg</f>
        <v>1.3526304117142658</v>
      </c>
      <c r="BP132" s="49">
        <f ca="1">SUM(BO132)+HM_ZB_Nsoko!CA_gross_prod_lpg</f>
        <v>1.3526304117142658</v>
      </c>
      <c r="BQ132" s="49">
        <f ca="1">SUM(BP132)+HM_ZB_Nsoko!CA_gross_prod_lpg</f>
        <v>1.3526304117142658</v>
      </c>
      <c r="BR132" s="49">
        <f ca="1">SUM(BQ132)+HM_ZB_Nsoko!CA_gross_prod_lpg</f>
        <v>1.3526304117142658</v>
      </c>
      <c r="BS132" s="49">
        <f ca="1">SUM(BR132)+HM_ZB_Nsoko!CA_gross_prod_lpg</f>
        <v>1.3526304117142658</v>
      </c>
    </row>
    <row r="133" spans="1:93" outlineLevel="1" x14ac:dyDescent="0.2">
      <c r="D133" t="str">
        <f>HM_ZA_Nkossa!D124</f>
        <v>Gaz</v>
      </c>
      <c r="K133" s="7" t="s">
        <v>136</v>
      </c>
      <c r="L133" s="49">
        <f ca="1">SUM(K133)+HM_ZB_Nsoko!CA_gross_prod_gas</f>
        <v>0</v>
      </c>
      <c r="M133" s="49">
        <f ca="1">SUM(L133)+HM_ZB_Nsoko!CA_gross_prod_gas</f>
        <v>0</v>
      </c>
      <c r="N133" s="49">
        <f ca="1">SUM(M133)+HM_ZB_Nsoko!CA_gross_prod_gas</f>
        <v>0</v>
      </c>
      <c r="O133" s="49">
        <f ca="1">SUM(N133)+HM_ZB_Nsoko!CA_gross_prod_gas</f>
        <v>0</v>
      </c>
      <c r="P133" s="49">
        <f ca="1">SUM(O133)+HM_ZB_Nsoko!CA_gross_prod_gas</f>
        <v>0</v>
      </c>
      <c r="Q133" s="49">
        <f ca="1">SUM(P133)+HM_ZB_Nsoko!CA_gross_prod_gas</f>
        <v>0</v>
      </c>
      <c r="R133" s="49">
        <f ca="1">SUM(Q133)+HM_ZB_Nsoko!CA_gross_prod_gas</f>
        <v>0</v>
      </c>
      <c r="S133" s="49">
        <f ca="1">SUM(R133)+HM_ZB_Nsoko!CA_gross_prod_gas</f>
        <v>0</v>
      </c>
      <c r="T133" s="49">
        <f ca="1">SUM(S133)+HM_ZB_Nsoko!CA_gross_prod_gas</f>
        <v>0</v>
      </c>
      <c r="U133" s="49">
        <f ca="1">SUM(T133)+HM_ZB_Nsoko!CA_gross_prod_gas</f>
        <v>0</v>
      </c>
      <c r="V133" s="49">
        <f ca="1">SUM(U133)+HM_ZB_Nsoko!CA_gross_prod_gas</f>
        <v>0</v>
      </c>
      <c r="W133" s="49">
        <f ca="1">SUM(V133)+HM_ZB_Nsoko!CA_gross_prod_gas</f>
        <v>0</v>
      </c>
      <c r="X133" s="49">
        <f ca="1">SUM(W133)+HM_ZB_Nsoko!CA_gross_prod_gas</f>
        <v>0</v>
      </c>
      <c r="Y133" s="49">
        <f ca="1">SUM(X133)+HM_ZB_Nsoko!CA_gross_prod_gas</f>
        <v>0</v>
      </c>
      <c r="Z133" s="49">
        <f ca="1">SUM(Y133)+HM_ZB_Nsoko!CA_gross_prod_gas</f>
        <v>0</v>
      </c>
      <c r="AA133" s="49">
        <f ca="1">SUM(Z133)+HM_ZB_Nsoko!CA_gross_prod_gas</f>
        <v>0</v>
      </c>
      <c r="AB133" s="49">
        <f ca="1">SUM(AA133)+HM_ZB_Nsoko!CA_gross_prod_gas</f>
        <v>0</v>
      </c>
      <c r="AC133" s="49">
        <f ca="1">SUM(AB133)+HM_ZB_Nsoko!CA_gross_prod_gas</f>
        <v>0</v>
      </c>
      <c r="AD133" s="49">
        <f ca="1">SUM(AC133)+HM_ZB_Nsoko!CA_gross_prod_gas</f>
        <v>0</v>
      </c>
      <c r="AE133" s="49">
        <f ca="1">SUM(AD133)+HM_ZB_Nsoko!CA_gross_prod_gas</f>
        <v>0</v>
      </c>
      <c r="AF133" s="49">
        <f ca="1">SUM(AE133)+HM_ZB_Nsoko!CA_gross_prod_gas</f>
        <v>0</v>
      </c>
      <c r="AG133" s="49">
        <f ca="1">SUM(AF133)+HM_ZB_Nsoko!CA_gross_prod_gas</f>
        <v>0</v>
      </c>
      <c r="AH133" s="49">
        <f ca="1">SUM(AG133)+HM_ZB_Nsoko!CA_gross_prod_gas</f>
        <v>0</v>
      </c>
      <c r="AI133" s="49">
        <f ca="1">SUM(AH133)+HM_ZB_Nsoko!CA_gross_prod_gas</f>
        <v>0</v>
      </c>
      <c r="AJ133" s="49">
        <f ca="1">SUM(AI133)+HM_ZB_Nsoko!CA_gross_prod_gas</f>
        <v>0</v>
      </c>
      <c r="AK133" s="49">
        <f ca="1">SUM(AJ133)+HM_ZB_Nsoko!CA_gross_prod_gas</f>
        <v>0</v>
      </c>
      <c r="AL133" s="49">
        <f ca="1">SUM(AK133)+HM_ZB_Nsoko!CA_gross_prod_gas</f>
        <v>0</v>
      </c>
      <c r="AM133" s="49">
        <f ca="1">SUM(AL133)+HM_ZB_Nsoko!CA_gross_prod_gas</f>
        <v>0</v>
      </c>
      <c r="AN133" s="49">
        <f ca="1">SUM(AM133)+HM_ZB_Nsoko!CA_gross_prod_gas</f>
        <v>0</v>
      </c>
      <c r="AO133" s="49">
        <f ca="1">SUM(AN133)+HM_ZB_Nsoko!CA_gross_prod_gas</f>
        <v>0</v>
      </c>
      <c r="AP133" s="49">
        <f ca="1">SUM(AO133)+HM_ZB_Nsoko!CA_gross_prod_gas</f>
        <v>0</v>
      </c>
      <c r="AQ133" s="49">
        <f ca="1">SUM(AP133)+HM_ZB_Nsoko!CA_gross_prod_gas</f>
        <v>0</v>
      </c>
      <c r="AR133" s="49">
        <f ca="1">SUM(AQ133)+HM_ZB_Nsoko!CA_gross_prod_gas</f>
        <v>0</v>
      </c>
      <c r="AS133" s="49">
        <f ca="1">SUM(AR133)+HM_ZB_Nsoko!CA_gross_prod_gas</f>
        <v>0</v>
      </c>
      <c r="AT133" s="49">
        <f ca="1">SUM(AS133)+HM_ZB_Nsoko!CA_gross_prod_gas</f>
        <v>0</v>
      </c>
      <c r="AU133" s="49">
        <f ca="1">SUM(AT133)+HM_ZB_Nsoko!CA_gross_prod_gas</f>
        <v>0</v>
      </c>
      <c r="AV133" s="49">
        <f ca="1">SUM(AU133)+HM_ZB_Nsoko!CA_gross_prod_gas</f>
        <v>0</v>
      </c>
      <c r="AW133" s="49">
        <f ca="1">SUM(AV133)+HM_ZB_Nsoko!CA_gross_prod_gas</f>
        <v>0</v>
      </c>
      <c r="AX133" s="49">
        <f ca="1">SUM(AW133)+HM_ZB_Nsoko!CA_gross_prod_gas</f>
        <v>0</v>
      </c>
      <c r="AY133" s="49">
        <f ca="1">SUM(AX133)+HM_ZB_Nsoko!CA_gross_prod_gas</f>
        <v>0</v>
      </c>
      <c r="AZ133" s="49">
        <f ca="1">SUM(AY133)+HM_ZB_Nsoko!CA_gross_prod_gas</f>
        <v>0</v>
      </c>
      <c r="BA133" s="49">
        <f ca="1">SUM(AZ133)+HM_ZB_Nsoko!CA_gross_prod_gas</f>
        <v>0</v>
      </c>
      <c r="BB133" s="49">
        <f ca="1">SUM(BA133)+HM_ZB_Nsoko!CA_gross_prod_gas</f>
        <v>0</v>
      </c>
      <c r="BC133" s="49">
        <f ca="1">SUM(BB133)+HM_ZB_Nsoko!CA_gross_prod_gas</f>
        <v>0</v>
      </c>
      <c r="BD133" s="49">
        <f ca="1">SUM(BC133)+HM_ZB_Nsoko!CA_gross_prod_gas</f>
        <v>0</v>
      </c>
      <c r="BE133" s="49">
        <f ca="1">SUM(BD133)+HM_ZB_Nsoko!CA_gross_prod_gas</f>
        <v>0</v>
      </c>
      <c r="BF133" s="49">
        <f ca="1">SUM(BE133)+HM_ZB_Nsoko!CA_gross_prod_gas</f>
        <v>0</v>
      </c>
      <c r="BG133" s="49">
        <f ca="1">SUM(BF133)+HM_ZB_Nsoko!CA_gross_prod_gas</f>
        <v>0</v>
      </c>
      <c r="BH133" s="49">
        <f ca="1">SUM(BG133)+HM_ZB_Nsoko!CA_gross_prod_gas</f>
        <v>0</v>
      </c>
      <c r="BI133" s="49">
        <f ca="1">SUM(BH133)+HM_ZB_Nsoko!CA_gross_prod_gas</f>
        <v>0</v>
      </c>
      <c r="BJ133" s="49">
        <f ca="1">SUM(BI133)+HM_ZB_Nsoko!CA_gross_prod_gas</f>
        <v>0</v>
      </c>
      <c r="BK133" s="49">
        <f ca="1">SUM(BJ133)+HM_ZB_Nsoko!CA_gross_prod_gas</f>
        <v>0</v>
      </c>
      <c r="BL133" s="49">
        <f ca="1">SUM(BK133)+HM_ZB_Nsoko!CA_gross_prod_gas</f>
        <v>0</v>
      </c>
      <c r="BM133" s="49">
        <f ca="1">SUM(BL133)+HM_ZB_Nsoko!CA_gross_prod_gas</f>
        <v>0</v>
      </c>
      <c r="BN133" s="49">
        <f ca="1">SUM(BM133)+HM_ZB_Nsoko!CA_gross_prod_gas</f>
        <v>0</v>
      </c>
      <c r="BO133" s="49">
        <f ca="1">SUM(BN133)+HM_ZB_Nsoko!CA_gross_prod_gas</f>
        <v>0</v>
      </c>
      <c r="BP133" s="49">
        <f ca="1">SUM(BO133)+HM_ZB_Nsoko!CA_gross_prod_gas</f>
        <v>0</v>
      </c>
      <c r="BQ133" s="49">
        <f ca="1">SUM(BP133)+HM_ZB_Nsoko!CA_gross_prod_gas</f>
        <v>0</v>
      </c>
      <c r="BR133" s="49">
        <f ca="1">SUM(BQ133)+HM_ZB_Nsoko!CA_gross_prod_gas</f>
        <v>0</v>
      </c>
      <c r="BS133" s="49">
        <f ca="1">SUM(BR133)+HM_ZB_Nsoko!CA_gross_prod_gas</f>
        <v>0</v>
      </c>
    </row>
    <row r="134" spans="1:93" outlineLevel="1" x14ac:dyDescent="0.2">
      <c r="D134" s="47" t="str">
        <f>HM_ZA_Nkossa!D125</f>
        <v>Total</v>
      </c>
      <c r="E134" s="6"/>
      <c r="F134" s="6"/>
      <c r="G134" s="6"/>
      <c r="H134" s="6"/>
      <c r="I134" s="6"/>
      <c r="J134" s="6"/>
      <c r="K134" s="7" t="s">
        <v>137</v>
      </c>
      <c r="L134" s="49">
        <f t="shared" ref="L134:AQ134" ca="1" si="10">SUM(L131,L132,L133/conv_CMtoBbls)</f>
        <v>0.98941746400000019</v>
      </c>
      <c r="M134" s="49">
        <f t="shared" ca="1" si="10"/>
        <v>1.7196207000000003</v>
      </c>
      <c r="N134" s="49">
        <f t="shared" ca="1" si="10"/>
        <v>2.7066299690000006</v>
      </c>
      <c r="O134" s="49">
        <f t="shared" ca="1" si="10"/>
        <v>3.5381939690000008</v>
      </c>
      <c r="P134" s="49">
        <f t="shared" ca="1" si="10"/>
        <v>4.3850609690000004</v>
      </c>
      <c r="Q134" s="49">
        <f t="shared" ca="1" si="10"/>
        <v>5.0000029690000005</v>
      </c>
      <c r="R134" s="49">
        <f t="shared" ca="1" si="10"/>
        <v>5.3872067020000012</v>
      </c>
      <c r="S134" s="49">
        <f t="shared" ca="1" si="10"/>
        <v>6.1417432130000007</v>
      </c>
      <c r="T134" s="49">
        <f t="shared" ca="1" si="10"/>
        <v>6.8434621682300012</v>
      </c>
      <c r="U134" s="49">
        <f t="shared" ca="1" si="10"/>
        <v>7.496060796593901</v>
      </c>
      <c r="V134" s="49">
        <f t="shared" ca="1" si="10"/>
        <v>8.1029775209723276</v>
      </c>
      <c r="W134" s="49">
        <f t="shared" ca="1" si="10"/>
        <v>8.6674100746442662</v>
      </c>
      <c r="X134" s="49">
        <f t="shared" ca="1" si="10"/>
        <v>9.192332349559166</v>
      </c>
      <c r="Y134" s="49">
        <f t="shared" ca="1" si="10"/>
        <v>9.192332349559166</v>
      </c>
      <c r="Z134" s="49">
        <f t="shared" ca="1" si="10"/>
        <v>9.192332349559166</v>
      </c>
      <c r="AA134" s="49">
        <f t="shared" ca="1" si="10"/>
        <v>9.192332349559166</v>
      </c>
      <c r="AB134" s="49">
        <f t="shared" ca="1" si="10"/>
        <v>9.192332349559166</v>
      </c>
      <c r="AC134" s="49">
        <f t="shared" ca="1" si="10"/>
        <v>9.192332349559166</v>
      </c>
      <c r="AD134" s="49">
        <f t="shared" ca="1" si="10"/>
        <v>9.192332349559166</v>
      </c>
      <c r="AE134" s="49">
        <f t="shared" ca="1" si="10"/>
        <v>9.192332349559166</v>
      </c>
      <c r="AF134" s="49">
        <f t="shared" ca="1" si="10"/>
        <v>9.192332349559166</v>
      </c>
      <c r="AG134" s="49">
        <f t="shared" ca="1" si="10"/>
        <v>9.192332349559166</v>
      </c>
      <c r="AH134" s="49">
        <f t="shared" ca="1" si="10"/>
        <v>9.192332349559166</v>
      </c>
      <c r="AI134" s="49">
        <f t="shared" ca="1" si="10"/>
        <v>9.192332349559166</v>
      </c>
      <c r="AJ134" s="49">
        <f t="shared" ca="1" si="10"/>
        <v>9.192332349559166</v>
      </c>
      <c r="AK134" s="49">
        <f t="shared" ca="1" si="10"/>
        <v>9.192332349559166</v>
      </c>
      <c r="AL134" s="49">
        <f t="shared" ca="1" si="10"/>
        <v>9.192332349559166</v>
      </c>
      <c r="AM134" s="49">
        <f t="shared" ca="1" si="10"/>
        <v>9.192332349559166</v>
      </c>
      <c r="AN134" s="49">
        <f t="shared" ca="1" si="10"/>
        <v>9.192332349559166</v>
      </c>
      <c r="AO134" s="49">
        <f t="shared" ca="1" si="10"/>
        <v>9.192332349559166</v>
      </c>
      <c r="AP134" s="49">
        <f t="shared" ca="1" si="10"/>
        <v>9.192332349559166</v>
      </c>
      <c r="AQ134" s="49">
        <f t="shared" ca="1" si="10"/>
        <v>9.192332349559166</v>
      </c>
      <c r="AR134" s="49">
        <f t="shared" ref="AR134:BS134" ca="1" si="11">SUM(AR131,AR132,AR133/conv_CMtoBbls)</f>
        <v>9.192332349559166</v>
      </c>
      <c r="AS134" s="49">
        <f t="shared" ca="1" si="11"/>
        <v>9.192332349559166</v>
      </c>
      <c r="AT134" s="49">
        <f t="shared" ca="1" si="11"/>
        <v>9.192332349559166</v>
      </c>
      <c r="AU134" s="49">
        <f t="shared" ca="1" si="11"/>
        <v>9.192332349559166</v>
      </c>
      <c r="AV134" s="49">
        <f t="shared" ca="1" si="11"/>
        <v>9.192332349559166</v>
      </c>
      <c r="AW134" s="49">
        <f t="shared" ca="1" si="11"/>
        <v>9.192332349559166</v>
      </c>
      <c r="AX134" s="49">
        <f t="shared" ca="1" si="11"/>
        <v>9.192332349559166</v>
      </c>
      <c r="AY134" s="49">
        <f t="shared" ca="1" si="11"/>
        <v>9.192332349559166</v>
      </c>
      <c r="AZ134" s="49">
        <f t="shared" ca="1" si="11"/>
        <v>9.192332349559166</v>
      </c>
      <c r="BA134" s="49">
        <f t="shared" ca="1" si="11"/>
        <v>9.192332349559166</v>
      </c>
      <c r="BB134" s="49">
        <f t="shared" ca="1" si="11"/>
        <v>9.192332349559166</v>
      </c>
      <c r="BC134" s="49">
        <f t="shared" ca="1" si="11"/>
        <v>9.192332349559166</v>
      </c>
      <c r="BD134" s="49">
        <f t="shared" ca="1" si="11"/>
        <v>9.192332349559166</v>
      </c>
      <c r="BE134" s="49">
        <f t="shared" ca="1" si="11"/>
        <v>9.192332349559166</v>
      </c>
      <c r="BF134" s="49">
        <f t="shared" ca="1" si="11"/>
        <v>9.192332349559166</v>
      </c>
      <c r="BG134" s="49">
        <f t="shared" ca="1" si="11"/>
        <v>9.192332349559166</v>
      </c>
      <c r="BH134" s="49">
        <f t="shared" ca="1" si="11"/>
        <v>9.192332349559166</v>
      </c>
      <c r="BI134" s="49">
        <f t="shared" ca="1" si="11"/>
        <v>9.192332349559166</v>
      </c>
      <c r="BJ134" s="49">
        <f t="shared" ca="1" si="11"/>
        <v>9.192332349559166</v>
      </c>
      <c r="BK134" s="49">
        <f t="shared" ca="1" si="11"/>
        <v>9.192332349559166</v>
      </c>
      <c r="BL134" s="49">
        <f t="shared" ca="1" si="11"/>
        <v>9.192332349559166</v>
      </c>
      <c r="BM134" s="49">
        <f t="shared" ca="1" si="11"/>
        <v>9.192332349559166</v>
      </c>
      <c r="BN134" s="49">
        <f t="shared" ca="1" si="11"/>
        <v>9.192332349559166</v>
      </c>
      <c r="BO134" s="49">
        <f t="shared" ca="1" si="11"/>
        <v>9.192332349559166</v>
      </c>
      <c r="BP134" s="49">
        <f t="shared" ca="1" si="11"/>
        <v>9.192332349559166</v>
      </c>
      <c r="BQ134" s="49">
        <f t="shared" ca="1" si="11"/>
        <v>9.192332349559166</v>
      </c>
      <c r="BR134" s="49">
        <f t="shared" ca="1" si="11"/>
        <v>9.192332349559166</v>
      </c>
      <c r="BS134" s="49">
        <f t="shared" ca="1" si="11"/>
        <v>9.192332349559166</v>
      </c>
    </row>
    <row r="135" spans="1:93" outlineLevel="1" x14ac:dyDescent="0.2">
      <c r="J135" s="26"/>
      <c r="L135" s="55"/>
      <c r="M135" s="55"/>
      <c r="N135" s="55"/>
      <c r="O135" s="55"/>
      <c r="P135" s="55"/>
      <c r="Q135" s="55"/>
      <c r="R135" s="55"/>
      <c r="S135" s="55"/>
      <c r="T135" s="55"/>
      <c r="U135" s="55"/>
      <c r="V135" s="55"/>
      <c r="W135" s="55"/>
      <c r="X135" s="55"/>
      <c r="Y135" s="55"/>
      <c r="Z135" s="55"/>
      <c r="AA135" s="55"/>
      <c r="AB135" s="55"/>
      <c r="AC135" s="55"/>
      <c r="AD135" s="55"/>
      <c r="AE135" s="55"/>
      <c r="AF135" s="55"/>
      <c r="AG135" s="55"/>
      <c r="AH135" s="55"/>
      <c r="AI135" s="55"/>
      <c r="AJ135" s="55"/>
      <c r="AK135" s="55"/>
      <c r="AL135" s="55"/>
      <c r="AM135" s="55"/>
      <c r="AN135" s="55"/>
      <c r="AO135" s="55"/>
      <c r="AP135" s="55"/>
      <c r="AQ135" s="55"/>
      <c r="AR135" s="55"/>
      <c r="AS135" s="55"/>
      <c r="AT135" s="55"/>
      <c r="AU135" s="55"/>
      <c r="AV135" s="55"/>
      <c r="AW135" s="55"/>
      <c r="AX135" s="55"/>
      <c r="AY135" s="55"/>
      <c r="AZ135" s="55"/>
      <c r="BA135" s="55"/>
      <c r="BB135" s="55"/>
      <c r="BC135" s="55"/>
      <c r="BD135" s="55"/>
      <c r="BE135" s="55"/>
      <c r="BF135" s="55"/>
      <c r="BG135" s="55"/>
      <c r="BH135" s="55"/>
      <c r="BI135" s="55"/>
      <c r="BJ135" s="55"/>
      <c r="BK135" s="55"/>
      <c r="BL135" s="55"/>
      <c r="BM135" s="55"/>
      <c r="BN135" s="55"/>
      <c r="BO135" s="55"/>
      <c r="BP135" s="55"/>
      <c r="BQ135" s="55"/>
      <c r="BR135" s="55"/>
      <c r="BS135" s="55"/>
    </row>
    <row r="136" spans="1:93" outlineLevel="1" x14ac:dyDescent="0.2">
      <c r="C136" s="11" t="str">
        <f>HM_ZA_Nkossa!C127</f>
        <v>Volumes de ventes brutes</v>
      </c>
      <c r="J136" s="26"/>
    </row>
    <row r="137" spans="1:93" outlineLevel="1" x14ac:dyDescent="0.2">
      <c r="D137" t="str">
        <f>HM_ZA_Nkossa!D128</f>
        <v>Pétrole</v>
      </c>
      <c r="I137" s="30">
        <f ca="1">SUM($L137:$BS137)</f>
        <v>7.5585643808449001</v>
      </c>
      <c r="J137" s="26" t="s">
        <v>42</v>
      </c>
      <c r="K137" s="7" t="s">
        <v>669</v>
      </c>
      <c r="L137" s="49">
        <f t="shared" ref="L137:AQ137" ca="1" si="12">OFFSET(_xlfn.SINGLE(IA_sales_oil),3,)</f>
        <v>0.71158600000000005</v>
      </c>
      <c r="M137" s="49">
        <f t="shared" ca="1" si="12"/>
        <v>0.80262699999999998</v>
      </c>
      <c r="N137" s="49">
        <f t="shared" ca="1" si="12"/>
        <v>0.893347</v>
      </c>
      <c r="O137" s="49">
        <f t="shared" ca="1" si="12"/>
        <v>0.69643600000000006</v>
      </c>
      <c r="P137" s="49">
        <f t="shared" ca="1" si="12"/>
        <v>0.58618599999999998</v>
      </c>
      <c r="Q137" s="49">
        <f t="shared" ca="1" si="12"/>
        <v>0.63382099999999997</v>
      </c>
      <c r="R137" s="49">
        <f t="shared" ca="1" si="12"/>
        <v>0.24538399999999999</v>
      </c>
      <c r="S137" s="49">
        <f t="shared" ca="1" si="12"/>
        <v>0.59273823799999992</v>
      </c>
      <c r="T137" s="49">
        <f t="shared" ca="1" si="12"/>
        <v>0.55124656133999994</v>
      </c>
      <c r="U137" s="49">
        <f t="shared" ca="1" si="12"/>
        <v>0.51265930204619992</v>
      </c>
      <c r="V137" s="49">
        <f t="shared" ca="1" si="12"/>
        <v>0.4767731509029659</v>
      </c>
      <c r="W137" s="49">
        <f t="shared" ca="1" si="12"/>
        <v>0.44339903033975825</v>
      </c>
      <c r="X137" s="49">
        <f t="shared" ca="1" si="12"/>
        <v>0.41236109821597516</v>
      </c>
      <c r="Y137" s="49">
        <f t="shared" ca="1" si="12"/>
        <v>0</v>
      </c>
      <c r="Z137" s="49">
        <f t="shared" ca="1" si="12"/>
        <v>0</v>
      </c>
      <c r="AA137" s="49">
        <f t="shared" ca="1" si="12"/>
        <v>0</v>
      </c>
      <c r="AB137" s="49">
        <f t="shared" ca="1" si="12"/>
        <v>0</v>
      </c>
      <c r="AC137" s="49">
        <f t="shared" ca="1" si="12"/>
        <v>0</v>
      </c>
      <c r="AD137" s="49">
        <f t="shared" ca="1" si="12"/>
        <v>0</v>
      </c>
      <c r="AE137" s="49">
        <f t="shared" ca="1" si="12"/>
        <v>0</v>
      </c>
      <c r="AF137" s="49">
        <f t="shared" ca="1" si="12"/>
        <v>0</v>
      </c>
      <c r="AG137" s="49">
        <f t="shared" ca="1" si="12"/>
        <v>0</v>
      </c>
      <c r="AH137" s="49">
        <f t="shared" ca="1" si="12"/>
        <v>0</v>
      </c>
      <c r="AI137" s="49">
        <f t="shared" ca="1" si="12"/>
        <v>0</v>
      </c>
      <c r="AJ137" s="49">
        <f t="shared" ca="1" si="12"/>
        <v>0</v>
      </c>
      <c r="AK137" s="49">
        <f t="shared" ca="1" si="12"/>
        <v>0</v>
      </c>
      <c r="AL137" s="49">
        <f t="shared" ca="1" si="12"/>
        <v>0</v>
      </c>
      <c r="AM137" s="49">
        <f t="shared" ca="1" si="12"/>
        <v>0</v>
      </c>
      <c r="AN137" s="49">
        <f t="shared" ca="1" si="12"/>
        <v>0</v>
      </c>
      <c r="AO137" s="49">
        <f t="shared" ca="1" si="12"/>
        <v>0</v>
      </c>
      <c r="AP137" s="49">
        <f t="shared" ca="1" si="12"/>
        <v>0</v>
      </c>
      <c r="AQ137" s="49">
        <f t="shared" ca="1" si="12"/>
        <v>0</v>
      </c>
      <c r="AR137" s="49">
        <f t="shared" ref="AR137:BS137" ca="1" si="13">OFFSET(_xlfn.SINGLE(IA_sales_oil),3,)</f>
        <v>0</v>
      </c>
      <c r="AS137" s="49">
        <f t="shared" ca="1" si="13"/>
        <v>0</v>
      </c>
      <c r="AT137" s="49">
        <f t="shared" ca="1" si="13"/>
        <v>0</v>
      </c>
      <c r="AU137" s="49">
        <f t="shared" ca="1" si="13"/>
        <v>0</v>
      </c>
      <c r="AV137" s="49">
        <f t="shared" ca="1" si="13"/>
        <v>0</v>
      </c>
      <c r="AW137" s="49">
        <f t="shared" ca="1" si="13"/>
        <v>0</v>
      </c>
      <c r="AX137" s="49">
        <f t="shared" ca="1" si="13"/>
        <v>0</v>
      </c>
      <c r="AY137" s="49">
        <f t="shared" ca="1" si="13"/>
        <v>0</v>
      </c>
      <c r="AZ137" s="49">
        <f t="shared" ca="1" si="13"/>
        <v>0</v>
      </c>
      <c r="BA137" s="49">
        <f t="shared" ca="1" si="13"/>
        <v>0</v>
      </c>
      <c r="BB137" s="49">
        <f t="shared" ca="1" si="13"/>
        <v>0</v>
      </c>
      <c r="BC137" s="49">
        <f t="shared" ca="1" si="13"/>
        <v>0</v>
      </c>
      <c r="BD137" s="49">
        <f t="shared" ca="1" si="13"/>
        <v>0</v>
      </c>
      <c r="BE137" s="49">
        <f t="shared" ca="1" si="13"/>
        <v>0</v>
      </c>
      <c r="BF137" s="49">
        <f t="shared" ca="1" si="13"/>
        <v>0</v>
      </c>
      <c r="BG137" s="49">
        <f t="shared" ca="1" si="13"/>
        <v>0</v>
      </c>
      <c r="BH137" s="49">
        <f t="shared" ca="1" si="13"/>
        <v>0</v>
      </c>
      <c r="BI137" s="49">
        <f t="shared" ca="1" si="13"/>
        <v>0</v>
      </c>
      <c r="BJ137" s="49">
        <f t="shared" ca="1" si="13"/>
        <v>0</v>
      </c>
      <c r="BK137" s="49">
        <f t="shared" ca="1" si="13"/>
        <v>0</v>
      </c>
      <c r="BL137" s="49">
        <f t="shared" ca="1" si="13"/>
        <v>0</v>
      </c>
      <c r="BM137" s="49">
        <f t="shared" ca="1" si="13"/>
        <v>0</v>
      </c>
      <c r="BN137" s="49">
        <f t="shared" ca="1" si="13"/>
        <v>0</v>
      </c>
      <c r="BO137" s="49">
        <f t="shared" ca="1" si="13"/>
        <v>0</v>
      </c>
      <c r="BP137" s="49">
        <f t="shared" ca="1" si="13"/>
        <v>0</v>
      </c>
      <c r="BQ137" s="49">
        <f t="shared" ca="1" si="13"/>
        <v>0</v>
      </c>
      <c r="BR137" s="49">
        <f t="shared" ca="1" si="13"/>
        <v>0</v>
      </c>
      <c r="BS137" s="49">
        <f t="shared" ca="1" si="13"/>
        <v>0</v>
      </c>
    </row>
    <row r="138" spans="1:93" outlineLevel="1" x14ac:dyDescent="0.2">
      <c r="D138" t="str">
        <f>HM_ZA_Nkossa!D129</f>
        <v>GPL</v>
      </c>
      <c r="I138" s="30">
        <f ca="1">SUM($L138:$BS138)</f>
        <v>1.5487282667142654</v>
      </c>
      <c r="J138" s="26" t="s">
        <v>42</v>
      </c>
      <c r="K138" s="7" t="s">
        <v>685</v>
      </c>
      <c r="L138" s="49">
        <f t="shared" ref="L138:AQ138" ca="1" si="14">OFFSET(_xlfn.SINGLE(IA_sales_lpg),3,)</f>
        <v>6.8948999999999996E-2</v>
      </c>
      <c r="M138" s="49">
        <f t="shared" ca="1" si="14"/>
        <v>6.8847000000000005E-2</v>
      </c>
      <c r="N138" s="49">
        <f t="shared" ca="1" si="14"/>
        <v>0.10581699999999999</v>
      </c>
      <c r="O138" s="49">
        <f t="shared" ca="1" si="14"/>
        <v>9.7638000000000003E-2</v>
      </c>
      <c r="P138" s="49">
        <f t="shared" ca="1" si="14"/>
        <v>0.30085499999999998</v>
      </c>
      <c r="Q138" s="49">
        <f t="shared" ca="1" si="14"/>
        <v>6.2244000000000001E-2</v>
      </c>
      <c r="R138" s="49">
        <f t="shared" ca="1" si="14"/>
        <v>2.843E-2</v>
      </c>
      <c r="S138" s="49">
        <f t="shared" ca="1" si="14"/>
        <v>0.16179827299999999</v>
      </c>
      <c r="T138" s="49">
        <f t="shared" ca="1" si="14"/>
        <v>0.15047239388999997</v>
      </c>
      <c r="U138" s="49">
        <f t="shared" ca="1" si="14"/>
        <v>0.13993932631769995</v>
      </c>
      <c r="V138" s="49">
        <f t="shared" ca="1" si="14"/>
        <v>0.13014357347546096</v>
      </c>
      <c r="W138" s="49">
        <f t="shared" ca="1" si="14"/>
        <v>0.12103352333217869</v>
      </c>
      <c r="X138" s="49">
        <f t="shared" ca="1" si="14"/>
        <v>0.11256117669892618</v>
      </c>
      <c r="Y138" s="49">
        <f t="shared" ca="1" si="14"/>
        <v>0</v>
      </c>
      <c r="Z138" s="49">
        <f t="shared" ca="1" si="14"/>
        <v>0</v>
      </c>
      <c r="AA138" s="49">
        <f t="shared" ca="1" si="14"/>
        <v>0</v>
      </c>
      <c r="AB138" s="49">
        <f t="shared" ca="1" si="14"/>
        <v>0</v>
      </c>
      <c r="AC138" s="49">
        <f t="shared" ca="1" si="14"/>
        <v>0</v>
      </c>
      <c r="AD138" s="49">
        <f t="shared" ca="1" si="14"/>
        <v>0</v>
      </c>
      <c r="AE138" s="49">
        <f t="shared" ca="1" si="14"/>
        <v>0</v>
      </c>
      <c r="AF138" s="49">
        <f t="shared" ca="1" si="14"/>
        <v>0</v>
      </c>
      <c r="AG138" s="49">
        <f t="shared" ca="1" si="14"/>
        <v>0</v>
      </c>
      <c r="AH138" s="49">
        <f t="shared" ca="1" si="14"/>
        <v>0</v>
      </c>
      <c r="AI138" s="49">
        <f t="shared" ca="1" si="14"/>
        <v>0</v>
      </c>
      <c r="AJ138" s="49">
        <f t="shared" ca="1" si="14"/>
        <v>0</v>
      </c>
      <c r="AK138" s="49">
        <f t="shared" ca="1" si="14"/>
        <v>0</v>
      </c>
      <c r="AL138" s="49">
        <f t="shared" ca="1" si="14"/>
        <v>0</v>
      </c>
      <c r="AM138" s="49">
        <f t="shared" ca="1" si="14"/>
        <v>0</v>
      </c>
      <c r="AN138" s="49">
        <f t="shared" ca="1" si="14"/>
        <v>0</v>
      </c>
      <c r="AO138" s="49">
        <f t="shared" ca="1" si="14"/>
        <v>0</v>
      </c>
      <c r="AP138" s="49">
        <f t="shared" ca="1" si="14"/>
        <v>0</v>
      </c>
      <c r="AQ138" s="49">
        <f t="shared" ca="1" si="14"/>
        <v>0</v>
      </c>
      <c r="AR138" s="49">
        <f t="shared" ref="AR138:BS138" ca="1" si="15">OFFSET(_xlfn.SINGLE(IA_sales_lpg),3,)</f>
        <v>0</v>
      </c>
      <c r="AS138" s="49">
        <f t="shared" ca="1" si="15"/>
        <v>0</v>
      </c>
      <c r="AT138" s="49">
        <f t="shared" ca="1" si="15"/>
        <v>0</v>
      </c>
      <c r="AU138" s="49">
        <f t="shared" ca="1" si="15"/>
        <v>0</v>
      </c>
      <c r="AV138" s="49">
        <f t="shared" ca="1" si="15"/>
        <v>0</v>
      </c>
      <c r="AW138" s="49">
        <f t="shared" ca="1" si="15"/>
        <v>0</v>
      </c>
      <c r="AX138" s="49">
        <f t="shared" ca="1" si="15"/>
        <v>0</v>
      </c>
      <c r="AY138" s="49">
        <f t="shared" ca="1" si="15"/>
        <v>0</v>
      </c>
      <c r="AZ138" s="49">
        <f t="shared" ca="1" si="15"/>
        <v>0</v>
      </c>
      <c r="BA138" s="49">
        <f t="shared" ca="1" si="15"/>
        <v>0</v>
      </c>
      <c r="BB138" s="49">
        <f t="shared" ca="1" si="15"/>
        <v>0</v>
      </c>
      <c r="BC138" s="49">
        <f t="shared" ca="1" si="15"/>
        <v>0</v>
      </c>
      <c r="BD138" s="49">
        <f t="shared" ca="1" si="15"/>
        <v>0</v>
      </c>
      <c r="BE138" s="49">
        <f t="shared" ca="1" si="15"/>
        <v>0</v>
      </c>
      <c r="BF138" s="49">
        <f t="shared" ca="1" si="15"/>
        <v>0</v>
      </c>
      <c r="BG138" s="49">
        <f t="shared" ca="1" si="15"/>
        <v>0</v>
      </c>
      <c r="BH138" s="49">
        <f t="shared" ca="1" si="15"/>
        <v>0</v>
      </c>
      <c r="BI138" s="49">
        <f t="shared" ca="1" si="15"/>
        <v>0</v>
      </c>
      <c r="BJ138" s="49">
        <f t="shared" ca="1" si="15"/>
        <v>0</v>
      </c>
      <c r="BK138" s="49">
        <f t="shared" ca="1" si="15"/>
        <v>0</v>
      </c>
      <c r="BL138" s="49">
        <f t="shared" ca="1" si="15"/>
        <v>0</v>
      </c>
      <c r="BM138" s="49">
        <f t="shared" ca="1" si="15"/>
        <v>0</v>
      </c>
      <c r="BN138" s="49">
        <f t="shared" ca="1" si="15"/>
        <v>0</v>
      </c>
      <c r="BO138" s="49">
        <f t="shared" ca="1" si="15"/>
        <v>0</v>
      </c>
      <c r="BP138" s="49">
        <f t="shared" ca="1" si="15"/>
        <v>0</v>
      </c>
      <c r="BQ138" s="49">
        <f t="shared" ca="1" si="15"/>
        <v>0</v>
      </c>
      <c r="BR138" s="49">
        <f t="shared" ca="1" si="15"/>
        <v>0</v>
      </c>
      <c r="BS138" s="49">
        <f t="shared" ca="1" si="15"/>
        <v>0</v>
      </c>
    </row>
    <row r="139" spans="1:93" outlineLevel="1" x14ac:dyDescent="0.2">
      <c r="D139" t="str">
        <f>HM_ZA_Nkossa!D130</f>
        <v>Gaz</v>
      </c>
      <c r="I139" s="46">
        <f ca="1">SUM($L139:$BS139)</f>
        <v>0</v>
      </c>
      <c r="J139" s="26" t="s">
        <v>653</v>
      </c>
      <c r="K139" s="7" t="s">
        <v>670</v>
      </c>
      <c r="L139" s="54">
        <f t="shared" ref="L139:AQ139" ca="1" si="16">OFFSET(_xlfn.SINGLE(IA_sales_gas),3,)</f>
        <v>0</v>
      </c>
      <c r="M139" s="54">
        <f t="shared" ca="1" si="16"/>
        <v>0</v>
      </c>
      <c r="N139" s="54">
        <f t="shared" ca="1" si="16"/>
        <v>0</v>
      </c>
      <c r="O139" s="54">
        <f t="shared" ca="1" si="16"/>
        <v>0</v>
      </c>
      <c r="P139" s="54">
        <f t="shared" ca="1" si="16"/>
        <v>0</v>
      </c>
      <c r="Q139" s="54">
        <f t="shared" ca="1" si="16"/>
        <v>0</v>
      </c>
      <c r="R139" s="54">
        <f t="shared" ca="1" si="16"/>
        <v>0</v>
      </c>
      <c r="S139" s="54">
        <f t="shared" ca="1" si="16"/>
        <v>0</v>
      </c>
      <c r="T139" s="54">
        <f t="shared" ca="1" si="16"/>
        <v>0</v>
      </c>
      <c r="U139" s="54">
        <f t="shared" ca="1" si="16"/>
        <v>0</v>
      </c>
      <c r="V139" s="54">
        <f t="shared" ca="1" si="16"/>
        <v>0</v>
      </c>
      <c r="W139" s="54">
        <f t="shared" ca="1" si="16"/>
        <v>0</v>
      </c>
      <c r="X139" s="54">
        <f t="shared" ca="1" si="16"/>
        <v>0</v>
      </c>
      <c r="Y139" s="54">
        <f t="shared" ca="1" si="16"/>
        <v>0</v>
      </c>
      <c r="Z139" s="54">
        <f t="shared" ca="1" si="16"/>
        <v>0</v>
      </c>
      <c r="AA139" s="54">
        <f t="shared" ca="1" si="16"/>
        <v>0</v>
      </c>
      <c r="AB139" s="54">
        <f t="shared" ca="1" si="16"/>
        <v>0</v>
      </c>
      <c r="AC139" s="54">
        <f t="shared" ca="1" si="16"/>
        <v>0</v>
      </c>
      <c r="AD139" s="54">
        <f t="shared" ca="1" si="16"/>
        <v>0</v>
      </c>
      <c r="AE139" s="54">
        <f t="shared" ca="1" si="16"/>
        <v>0</v>
      </c>
      <c r="AF139" s="54">
        <f t="shared" ca="1" si="16"/>
        <v>0</v>
      </c>
      <c r="AG139" s="54">
        <f t="shared" ca="1" si="16"/>
        <v>0</v>
      </c>
      <c r="AH139" s="54">
        <f t="shared" ca="1" si="16"/>
        <v>0</v>
      </c>
      <c r="AI139" s="54">
        <f t="shared" ca="1" si="16"/>
        <v>0</v>
      </c>
      <c r="AJ139" s="54">
        <f t="shared" ca="1" si="16"/>
        <v>0</v>
      </c>
      <c r="AK139" s="54">
        <f t="shared" ca="1" si="16"/>
        <v>0</v>
      </c>
      <c r="AL139" s="54">
        <f t="shared" ca="1" si="16"/>
        <v>0</v>
      </c>
      <c r="AM139" s="54">
        <f t="shared" ca="1" si="16"/>
        <v>0</v>
      </c>
      <c r="AN139" s="54">
        <f t="shared" ca="1" si="16"/>
        <v>0</v>
      </c>
      <c r="AO139" s="54">
        <f t="shared" ca="1" si="16"/>
        <v>0</v>
      </c>
      <c r="AP139" s="54">
        <f t="shared" ca="1" si="16"/>
        <v>0</v>
      </c>
      <c r="AQ139" s="54">
        <f t="shared" ca="1" si="16"/>
        <v>0</v>
      </c>
      <c r="AR139" s="54">
        <f t="shared" ref="AR139:BS139" ca="1" si="17">OFFSET(_xlfn.SINGLE(IA_sales_gas),3,)</f>
        <v>0</v>
      </c>
      <c r="AS139" s="54">
        <f t="shared" ca="1" si="17"/>
        <v>0</v>
      </c>
      <c r="AT139" s="54">
        <f t="shared" ca="1" si="17"/>
        <v>0</v>
      </c>
      <c r="AU139" s="54">
        <f t="shared" ca="1" si="17"/>
        <v>0</v>
      </c>
      <c r="AV139" s="54">
        <f t="shared" ca="1" si="17"/>
        <v>0</v>
      </c>
      <c r="AW139" s="54">
        <f t="shared" ca="1" si="17"/>
        <v>0</v>
      </c>
      <c r="AX139" s="54">
        <f t="shared" ca="1" si="17"/>
        <v>0</v>
      </c>
      <c r="AY139" s="54">
        <f t="shared" ca="1" si="17"/>
        <v>0</v>
      </c>
      <c r="AZ139" s="54">
        <f t="shared" ca="1" si="17"/>
        <v>0</v>
      </c>
      <c r="BA139" s="54">
        <f t="shared" ca="1" si="17"/>
        <v>0</v>
      </c>
      <c r="BB139" s="54">
        <f t="shared" ca="1" si="17"/>
        <v>0</v>
      </c>
      <c r="BC139" s="54">
        <f t="shared" ca="1" si="17"/>
        <v>0</v>
      </c>
      <c r="BD139" s="54">
        <f t="shared" ca="1" si="17"/>
        <v>0</v>
      </c>
      <c r="BE139" s="54">
        <f t="shared" ca="1" si="17"/>
        <v>0</v>
      </c>
      <c r="BF139" s="54">
        <f t="shared" ca="1" si="17"/>
        <v>0</v>
      </c>
      <c r="BG139" s="54">
        <f t="shared" ca="1" si="17"/>
        <v>0</v>
      </c>
      <c r="BH139" s="54">
        <f t="shared" ca="1" si="17"/>
        <v>0</v>
      </c>
      <c r="BI139" s="54">
        <f t="shared" ca="1" si="17"/>
        <v>0</v>
      </c>
      <c r="BJ139" s="54">
        <f t="shared" ca="1" si="17"/>
        <v>0</v>
      </c>
      <c r="BK139" s="54">
        <f t="shared" ca="1" si="17"/>
        <v>0</v>
      </c>
      <c r="BL139" s="54">
        <f t="shared" ca="1" si="17"/>
        <v>0</v>
      </c>
      <c r="BM139" s="54">
        <f t="shared" ca="1" si="17"/>
        <v>0</v>
      </c>
      <c r="BN139" s="54">
        <f t="shared" ca="1" si="17"/>
        <v>0</v>
      </c>
      <c r="BO139" s="54">
        <f t="shared" ca="1" si="17"/>
        <v>0</v>
      </c>
      <c r="BP139" s="54">
        <f t="shared" ca="1" si="17"/>
        <v>0</v>
      </c>
      <c r="BQ139" s="54">
        <f t="shared" ca="1" si="17"/>
        <v>0</v>
      </c>
      <c r="BR139" s="54">
        <f t="shared" ca="1" si="17"/>
        <v>0</v>
      </c>
      <c r="BS139" s="54">
        <f t="shared" ca="1" si="17"/>
        <v>0</v>
      </c>
    </row>
    <row r="140" spans="1:93" outlineLevel="1" x14ac:dyDescent="0.2">
      <c r="A140" s="6"/>
      <c r="B140" s="6"/>
      <c r="C140" s="6"/>
      <c r="D140" s="47" t="str">
        <f>HM_ZA_Nkossa!D131</f>
        <v>Total</v>
      </c>
      <c r="E140" s="6"/>
      <c r="F140" s="6"/>
      <c r="G140" s="6"/>
      <c r="H140" s="6"/>
      <c r="I140" s="30">
        <f ca="1">SUM($L140:$BS140)</f>
        <v>9.1072926475591647</v>
      </c>
      <c r="J140" s="26" t="s">
        <v>130</v>
      </c>
      <c r="K140" s="7" t="s">
        <v>671</v>
      </c>
      <c r="L140" s="49">
        <f t="shared" ref="L140:AQ140" ca="1" si="18">SUM(L137,L138,L139/conv_CMtoBbls)</f>
        <v>0.78053500000000009</v>
      </c>
      <c r="M140" s="49">
        <f t="shared" ca="1" si="18"/>
        <v>0.87147399999999997</v>
      </c>
      <c r="N140" s="49">
        <f t="shared" ca="1" si="18"/>
        <v>0.99916399999999994</v>
      </c>
      <c r="O140" s="49">
        <f t="shared" ca="1" si="18"/>
        <v>0.79407400000000006</v>
      </c>
      <c r="P140" s="49">
        <f t="shared" ca="1" si="18"/>
        <v>0.88704099999999997</v>
      </c>
      <c r="Q140" s="49">
        <f t="shared" ca="1" si="18"/>
        <v>0.69606499999999993</v>
      </c>
      <c r="R140" s="49">
        <f t="shared" ca="1" si="18"/>
        <v>0.273814</v>
      </c>
      <c r="S140" s="49">
        <f t="shared" ca="1" si="18"/>
        <v>0.75453651099999997</v>
      </c>
      <c r="T140" s="49">
        <f t="shared" ca="1" si="18"/>
        <v>0.70171895522999994</v>
      </c>
      <c r="U140" s="49">
        <f t="shared" ca="1" si="18"/>
        <v>0.65259862836389981</v>
      </c>
      <c r="V140" s="49">
        <f t="shared" ca="1" si="18"/>
        <v>0.60691672437842681</v>
      </c>
      <c r="W140" s="49">
        <f t="shared" ca="1" si="18"/>
        <v>0.5644325536719369</v>
      </c>
      <c r="X140" s="49">
        <f t="shared" ca="1" si="18"/>
        <v>0.5249222749149014</v>
      </c>
      <c r="Y140" s="49">
        <f t="shared" ca="1" si="18"/>
        <v>0</v>
      </c>
      <c r="Z140" s="49">
        <f t="shared" ca="1" si="18"/>
        <v>0</v>
      </c>
      <c r="AA140" s="49">
        <f t="shared" ca="1" si="18"/>
        <v>0</v>
      </c>
      <c r="AB140" s="49">
        <f t="shared" ca="1" si="18"/>
        <v>0</v>
      </c>
      <c r="AC140" s="49">
        <f t="shared" ca="1" si="18"/>
        <v>0</v>
      </c>
      <c r="AD140" s="49">
        <f t="shared" ca="1" si="18"/>
        <v>0</v>
      </c>
      <c r="AE140" s="49">
        <f t="shared" ca="1" si="18"/>
        <v>0</v>
      </c>
      <c r="AF140" s="49">
        <f t="shared" ca="1" si="18"/>
        <v>0</v>
      </c>
      <c r="AG140" s="49">
        <f t="shared" ca="1" si="18"/>
        <v>0</v>
      </c>
      <c r="AH140" s="49">
        <f t="shared" ca="1" si="18"/>
        <v>0</v>
      </c>
      <c r="AI140" s="49">
        <f t="shared" ca="1" si="18"/>
        <v>0</v>
      </c>
      <c r="AJ140" s="49">
        <f t="shared" ca="1" si="18"/>
        <v>0</v>
      </c>
      <c r="AK140" s="49">
        <f t="shared" ca="1" si="18"/>
        <v>0</v>
      </c>
      <c r="AL140" s="49">
        <f t="shared" ca="1" si="18"/>
        <v>0</v>
      </c>
      <c r="AM140" s="49">
        <f t="shared" ca="1" si="18"/>
        <v>0</v>
      </c>
      <c r="AN140" s="49">
        <f t="shared" ca="1" si="18"/>
        <v>0</v>
      </c>
      <c r="AO140" s="49">
        <f t="shared" ca="1" si="18"/>
        <v>0</v>
      </c>
      <c r="AP140" s="49">
        <f t="shared" ca="1" si="18"/>
        <v>0</v>
      </c>
      <c r="AQ140" s="49">
        <f t="shared" ca="1" si="18"/>
        <v>0</v>
      </c>
      <c r="AR140" s="49">
        <f t="shared" ref="AR140:BS140" ca="1" si="19">SUM(AR137,AR138,AR139/conv_CMtoBbls)</f>
        <v>0</v>
      </c>
      <c r="AS140" s="49">
        <f t="shared" ca="1" si="19"/>
        <v>0</v>
      </c>
      <c r="AT140" s="49">
        <f t="shared" ca="1" si="19"/>
        <v>0</v>
      </c>
      <c r="AU140" s="49">
        <f t="shared" ca="1" si="19"/>
        <v>0</v>
      </c>
      <c r="AV140" s="49">
        <f t="shared" ca="1" si="19"/>
        <v>0</v>
      </c>
      <c r="AW140" s="49">
        <f t="shared" ca="1" si="19"/>
        <v>0</v>
      </c>
      <c r="AX140" s="49">
        <f t="shared" ca="1" si="19"/>
        <v>0</v>
      </c>
      <c r="AY140" s="49">
        <f t="shared" ca="1" si="19"/>
        <v>0</v>
      </c>
      <c r="AZ140" s="49">
        <f t="shared" ca="1" si="19"/>
        <v>0</v>
      </c>
      <c r="BA140" s="49">
        <f t="shared" ca="1" si="19"/>
        <v>0</v>
      </c>
      <c r="BB140" s="49">
        <f t="shared" ca="1" si="19"/>
        <v>0</v>
      </c>
      <c r="BC140" s="49">
        <f t="shared" ca="1" si="19"/>
        <v>0</v>
      </c>
      <c r="BD140" s="49">
        <f t="shared" ca="1" si="19"/>
        <v>0</v>
      </c>
      <c r="BE140" s="49">
        <f t="shared" ca="1" si="19"/>
        <v>0</v>
      </c>
      <c r="BF140" s="49">
        <f t="shared" ca="1" si="19"/>
        <v>0</v>
      </c>
      <c r="BG140" s="49">
        <f t="shared" ca="1" si="19"/>
        <v>0</v>
      </c>
      <c r="BH140" s="49">
        <f t="shared" ca="1" si="19"/>
        <v>0</v>
      </c>
      <c r="BI140" s="49">
        <f t="shared" ca="1" si="19"/>
        <v>0</v>
      </c>
      <c r="BJ140" s="49">
        <f t="shared" ca="1" si="19"/>
        <v>0</v>
      </c>
      <c r="BK140" s="49">
        <f t="shared" ca="1" si="19"/>
        <v>0</v>
      </c>
      <c r="BL140" s="49">
        <f t="shared" ca="1" si="19"/>
        <v>0</v>
      </c>
      <c r="BM140" s="49">
        <f t="shared" ca="1" si="19"/>
        <v>0</v>
      </c>
      <c r="BN140" s="49">
        <f t="shared" ca="1" si="19"/>
        <v>0</v>
      </c>
      <c r="BO140" s="49">
        <f t="shared" ca="1" si="19"/>
        <v>0</v>
      </c>
      <c r="BP140" s="49">
        <f t="shared" ca="1" si="19"/>
        <v>0</v>
      </c>
      <c r="BQ140" s="49">
        <f t="shared" ca="1" si="19"/>
        <v>0</v>
      </c>
      <c r="BR140" s="49">
        <f t="shared" ca="1" si="19"/>
        <v>0</v>
      </c>
      <c r="BS140" s="49">
        <f t="shared" ca="1" si="19"/>
        <v>0</v>
      </c>
      <c r="BT140" s="6"/>
      <c r="BU140" s="6"/>
      <c r="BV140" s="6"/>
      <c r="BW140" s="6"/>
      <c r="BX140" s="6"/>
      <c r="BY140" s="6"/>
      <c r="BZ140" s="6"/>
      <c r="CA140" s="6"/>
      <c r="CB140" s="6"/>
      <c r="CC140" s="6"/>
      <c r="CD140" s="6"/>
      <c r="CE140" s="6"/>
      <c r="CF140" s="6"/>
      <c r="CG140" s="6"/>
      <c r="CH140" s="6"/>
      <c r="CI140" s="6"/>
      <c r="CJ140" s="6"/>
      <c r="CK140" s="6"/>
      <c r="CL140" s="6"/>
      <c r="CM140" s="6"/>
      <c r="CN140" s="6"/>
      <c r="CO140" s="6"/>
    </row>
    <row r="141" spans="1:93" outlineLevel="1" x14ac:dyDescent="0.2">
      <c r="J141" s="26"/>
      <c r="L141" s="55"/>
      <c r="M141" s="55"/>
      <c r="N141" s="55"/>
      <c r="O141" s="55"/>
      <c r="P141" s="55"/>
      <c r="Q141" s="55"/>
      <c r="R141" s="55"/>
      <c r="S141" s="55"/>
      <c r="T141" s="55"/>
      <c r="U141" s="55"/>
      <c r="V141" s="55"/>
      <c r="W141" s="55"/>
      <c r="X141" s="55"/>
      <c r="Y141" s="55"/>
      <c r="Z141" s="55"/>
      <c r="AA141" s="55"/>
      <c r="AB141" s="55"/>
      <c r="AC141" s="55"/>
      <c r="AD141" s="55"/>
      <c r="AE141" s="55"/>
      <c r="AF141" s="55"/>
      <c r="AG141" s="55"/>
      <c r="AH141" s="55"/>
      <c r="AI141" s="55"/>
      <c r="AJ141" s="55"/>
      <c r="AK141" s="55"/>
      <c r="AL141" s="55"/>
      <c r="AM141" s="55"/>
      <c r="AN141" s="55"/>
      <c r="AO141" s="55"/>
      <c r="AP141" s="55"/>
      <c r="AQ141" s="55"/>
      <c r="AR141" s="55"/>
      <c r="AS141" s="55"/>
      <c r="AT141" s="55"/>
      <c r="AU141" s="55"/>
      <c r="AV141" s="55"/>
      <c r="AW141" s="55"/>
      <c r="AX141" s="55"/>
      <c r="AY141" s="55"/>
      <c r="AZ141" s="55"/>
      <c r="BA141" s="55"/>
      <c r="BB141" s="55"/>
      <c r="BC141" s="55"/>
      <c r="BD141" s="55"/>
      <c r="BE141" s="55"/>
      <c r="BF141" s="55"/>
      <c r="BG141" s="55"/>
      <c r="BH141" s="55"/>
      <c r="BI141" s="55"/>
      <c r="BJ141" s="55"/>
      <c r="BK141" s="55"/>
      <c r="BL141" s="55"/>
      <c r="BM141" s="55"/>
      <c r="BN141" s="55"/>
      <c r="BO141" s="55"/>
      <c r="BP141" s="55"/>
      <c r="BQ141" s="55"/>
      <c r="BR141" s="55"/>
      <c r="BS141" s="55"/>
    </row>
    <row r="142" spans="1:93" outlineLevel="1" x14ac:dyDescent="0.2">
      <c r="C142" s="11" t="str">
        <f>HM_ZA_Nkossa!C133</f>
        <v>Volumes de ventes brutes cumulées</v>
      </c>
      <c r="J142" s="26"/>
      <c r="L142" s="55"/>
      <c r="M142" s="55"/>
      <c r="N142" s="55"/>
      <c r="O142" s="55"/>
      <c r="P142" s="55"/>
      <c r="Q142" s="55"/>
      <c r="R142" s="55"/>
      <c r="S142" s="55"/>
      <c r="T142" s="55"/>
      <c r="U142" s="55"/>
      <c r="V142" s="55"/>
      <c r="W142" s="55"/>
      <c r="X142" s="55"/>
      <c r="Y142" s="55"/>
      <c r="Z142" s="55"/>
      <c r="AA142" s="55"/>
      <c r="AB142" s="55"/>
      <c r="AC142" s="55"/>
      <c r="AD142" s="55"/>
      <c r="AE142" s="55"/>
      <c r="AF142" s="55"/>
      <c r="AG142" s="55"/>
      <c r="AH142" s="55"/>
      <c r="AI142" s="55"/>
      <c r="AJ142" s="55"/>
      <c r="AK142" s="55"/>
      <c r="AL142" s="55"/>
      <c r="AM142" s="55"/>
      <c r="AN142" s="55"/>
      <c r="AO142" s="55"/>
      <c r="AP142" s="55"/>
      <c r="AQ142" s="55"/>
      <c r="AR142" s="55"/>
      <c r="AS142" s="55"/>
      <c r="AT142" s="55"/>
      <c r="AU142" s="55"/>
      <c r="AV142" s="55"/>
      <c r="AW142" s="55"/>
      <c r="AX142" s="55"/>
      <c r="AY142" s="55"/>
      <c r="AZ142" s="55"/>
      <c r="BA142" s="55"/>
      <c r="BB142" s="55"/>
      <c r="BC142" s="55"/>
      <c r="BD142" s="55"/>
      <c r="BE142" s="55"/>
      <c r="BF142" s="55"/>
      <c r="BG142" s="55"/>
      <c r="BH142" s="55"/>
      <c r="BI142" s="55"/>
      <c r="BJ142" s="55"/>
      <c r="BK142" s="55"/>
      <c r="BL142" s="55"/>
      <c r="BM142" s="55"/>
      <c r="BN142" s="55"/>
      <c r="BO142" s="55"/>
      <c r="BP142" s="55"/>
      <c r="BQ142" s="55"/>
      <c r="BR142" s="55"/>
      <c r="BS142" s="55"/>
    </row>
    <row r="143" spans="1:93" outlineLevel="1" x14ac:dyDescent="0.2">
      <c r="D143" t="str">
        <f>HM_ZA_Nkossa!D134</f>
        <v>Pétrole</v>
      </c>
      <c r="K143" s="7" t="s">
        <v>672</v>
      </c>
      <c r="L143" s="49">
        <f ca="1">SUM(K143)+HM_ZB_Nsoko!CA_gross_sales_oil</f>
        <v>0.71158600000000005</v>
      </c>
      <c r="M143" s="49">
        <f ca="1">SUM(L143)+HM_ZB_Nsoko!CA_gross_sales_oil</f>
        <v>1.514213</v>
      </c>
      <c r="N143" s="49">
        <f ca="1">SUM(M143)+HM_ZB_Nsoko!CA_gross_sales_oil</f>
        <v>2.4075600000000001</v>
      </c>
      <c r="O143" s="49">
        <f ca="1">SUM(N143)+HM_ZB_Nsoko!CA_gross_sales_oil</f>
        <v>3.1039960000000004</v>
      </c>
      <c r="P143" s="49">
        <f ca="1">SUM(O143)+HM_ZB_Nsoko!CA_gross_sales_oil</f>
        <v>3.6901820000000005</v>
      </c>
      <c r="Q143" s="49">
        <f ca="1">SUM(P143)+HM_ZB_Nsoko!CA_gross_sales_oil</f>
        <v>4.3240030000000003</v>
      </c>
      <c r="R143" s="49">
        <f ca="1">SUM(Q143)+HM_ZB_Nsoko!CA_gross_sales_oil</f>
        <v>4.5693869999999999</v>
      </c>
      <c r="S143" s="49">
        <f ca="1">SUM(R143)+HM_ZB_Nsoko!CA_gross_sales_oil</f>
        <v>5.1621252379999998</v>
      </c>
      <c r="T143" s="49">
        <f ca="1">SUM(S143)+HM_ZB_Nsoko!CA_gross_sales_oil</f>
        <v>5.7133717993399999</v>
      </c>
      <c r="U143" s="49">
        <f ca="1">SUM(T143)+HM_ZB_Nsoko!CA_gross_sales_oil</f>
        <v>6.2260311013861998</v>
      </c>
      <c r="V143" s="49">
        <f ca="1">SUM(U143)+HM_ZB_Nsoko!CA_gross_sales_oil</f>
        <v>6.702804252289166</v>
      </c>
      <c r="W143" s="49">
        <f ca="1">SUM(V143)+HM_ZB_Nsoko!CA_gross_sales_oil</f>
        <v>7.1462032826289246</v>
      </c>
      <c r="X143" s="49">
        <f ca="1">SUM(W143)+HM_ZB_Nsoko!CA_gross_sales_oil</f>
        <v>7.5585643808449001</v>
      </c>
      <c r="Y143" s="49">
        <f ca="1">SUM(X143)+HM_ZB_Nsoko!CA_gross_sales_oil</f>
        <v>7.5585643808449001</v>
      </c>
      <c r="Z143" s="49">
        <f ca="1">SUM(Y143)+HM_ZB_Nsoko!CA_gross_sales_oil</f>
        <v>7.5585643808449001</v>
      </c>
      <c r="AA143" s="49">
        <f ca="1">SUM(Z143)+HM_ZB_Nsoko!CA_gross_sales_oil</f>
        <v>7.5585643808449001</v>
      </c>
      <c r="AB143" s="49">
        <f ca="1">SUM(AA143)+HM_ZB_Nsoko!CA_gross_sales_oil</f>
        <v>7.5585643808449001</v>
      </c>
      <c r="AC143" s="49">
        <f ca="1">SUM(AB143)+HM_ZB_Nsoko!CA_gross_sales_oil</f>
        <v>7.5585643808449001</v>
      </c>
      <c r="AD143" s="49">
        <f ca="1">SUM(AC143)+HM_ZB_Nsoko!CA_gross_sales_oil</f>
        <v>7.5585643808449001</v>
      </c>
      <c r="AE143" s="49">
        <f ca="1">SUM(AD143)+HM_ZB_Nsoko!CA_gross_sales_oil</f>
        <v>7.5585643808449001</v>
      </c>
      <c r="AF143" s="49">
        <f ca="1">SUM(AE143)+HM_ZB_Nsoko!CA_gross_sales_oil</f>
        <v>7.5585643808449001</v>
      </c>
      <c r="AG143" s="49">
        <f ca="1">SUM(AF143)+HM_ZB_Nsoko!CA_gross_sales_oil</f>
        <v>7.5585643808449001</v>
      </c>
      <c r="AH143" s="49">
        <f ca="1">SUM(AG143)+HM_ZB_Nsoko!CA_gross_sales_oil</f>
        <v>7.5585643808449001</v>
      </c>
      <c r="AI143" s="49">
        <f ca="1">SUM(AH143)+HM_ZB_Nsoko!CA_gross_sales_oil</f>
        <v>7.5585643808449001</v>
      </c>
      <c r="AJ143" s="49">
        <f ca="1">SUM(AI143)+HM_ZB_Nsoko!CA_gross_sales_oil</f>
        <v>7.5585643808449001</v>
      </c>
      <c r="AK143" s="49">
        <f ca="1">SUM(AJ143)+HM_ZB_Nsoko!CA_gross_sales_oil</f>
        <v>7.5585643808449001</v>
      </c>
      <c r="AL143" s="49">
        <f ca="1">SUM(AK143)+HM_ZB_Nsoko!CA_gross_sales_oil</f>
        <v>7.5585643808449001</v>
      </c>
      <c r="AM143" s="49">
        <f ca="1">SUM(AL143)+HM_ZB_Nsoko!CA_gross_sales_oil</f>
        <v>7.5585643808449001</v>
      </c>
      <c r="AN143" s="49">
        <f ca="1">SUM(AM143)+HM_ZB_Nsoko!CA_gross_sales_oil</f>
        <v>7.5585643808449001</v>
      </c>
      <c r="AO143" s="49">
        <f ca="1">SUM(AN143)+HM_ZB_Nsoko!CA_gross_sales_oil</f>
        <v>7.5585643808449001</v>
      </c>
      <c r="AP143" s="49">
        <f ca="1">SUM(AO143)+HM_ZB_Nsoko!CA_gross_sales_oil</f>
        <v>7.5585643808449001</v>
      </c>
      <c r="AQ143" s="49">
        <f ca="1">SUM(AP143)+HM_ZB_Nsoko!CA_gross_sales_oil</f>
        <v>7.5585643808449001</v>
      </c>
      <c r="AR143" s="49">
        <f ca="1">SUM(AQ143)+HM_ZB_Nsoko!CA_gross_sales_oil</f>
        <v>7.5585643808449001</v>
      </c>
      <c r="AS143" s="49">
        <f ca="1">SUM(AR143)+HM_ZB_Nsoko!CA_gross_sales_oil</f>
        <v>7.5585643808449001</v>
      </c>
      <c r="AT143" s="49">
        <f ca="1">SUM(AS143)+HM_ZB_Nsoko!CA_gross_sales_oil</f>
        <v>7.5585643808449001</v>
      </c>
      <c r="AU143" s="49">
        <f ca="1">SUM(AT143)+HM_ZB_Nsoko!CA_gross_sales_oil</f>
        <v>7.5585643808449001</v>
      </c>
      <c r="AV143" s="49">
        <f ca="1">SUM(AU143)+HM_ZB_Nsoko!CA_gross_sales_oil</f>
        <v>7.5585643808449001</v>
      </c>
      <c r="AW143" s="49">
        <f ca="1">SUM(AV143)+HM_ZB_Nsoko!CA_gross_sales_oil</f>
        <v>7.5585643808449001</v>
      </c>
      <c r="AX143" s="49">
        <f ca="1">SUM(AW143)+HM_ZB_Nsoko!CA_gross_sales_oil</f>
        <v>7.5585643808449001</v>
      </c>
      <c r="AY143" s="49">
        <f ca="1">SUM(AX143)+HM_ZB_Nsoko!CA_gross_sales_oil</f>
        <v>7.5585643808449001</v>
      </c>
      <c r="AZ143" s="49">
        <f ca="1">SUM(AY143)+HM_ZB_Nsoko!CA_gross_sales_oil</f>
        <v>7.5585643808449001</v>
      </c>
      <c r="BA143" s="49">
        <f ca="1">SUM(AZ143)+HM_ZB_Nsoko!CA_gross_sales_oil</f>
        <v>7.5585643808449001</v>
      </c>
      <c r="BB143" s="49">
        <f ca="1">SUM(BA143)+HM_ZB_Nsoko!CA_gross_sales_oil</f>
        <v>7.5585643808449001</v>
      </c>
      <c r="BC143" s="49">
        <f ca="1">SUM(BB143)+HM_ZB_Nsoko!CA_gross_sales_oil</f>
        <v>7.5585643808449001</v>
      </c>
      <c r="BD143" s="49">
        <f ca="1">SUM(BC143)+HM_ZB_Nsoko!CA_gross_sales_oil</f>
        <v>7.5585643808449001</v>
      </c>
      <c r="BE143" s="49">
        <f ca="1">SUM(BD143)+HM_ZB_Nsoko!CA_gross_sales_oil</f>
        <v>7.5585643808449001</v>
      </c>
      <c r="BF143" s="49">
        <f ca="1">SUM(BE143)+HM_ZB_Nsoko!CA_gross_sales_oil</f>
        <v>7.5585643808449001</v>
      </c>
      <c r="BG143" s="49">
        <f ca="1">SUM(BF143)+HM_ZB_Nsoko!CA_gross_sales_oil</f>
        <v>7.5585643808449001</v>
      </c>
      <c r="BH143" s="49">
        <f ca="1">SUM(BG143)+HM_ZB_Nsoko!CA_gross_sales_oil</f>
        <v>7.5585643808449001</v>
      </c>
      <c r="BI143" s="49">
        <f ca="1">SUM(BH143)+HM_ZB_Nsoko!CA_gross_sales_oil</f>
        <v>7.5585643808449001</v>
      </c>
      <c r="BJ143" s="49">
        <f ca="1">SUM(BI143)+HM_ZB_Nsoko!CA_gross_sales_oil</f>
        <v>7.5585643808449001</v>
      </c>
      <c r="BK143" s="49">
        <f ca="1">SUM(BJ143)+HM_ZB_Nsoko!CA_gross_sales_oil</f>
        <v>7.5585643808449001</v>
      </c>
      <c r="BL143" s="49">
        <f ca="1">SUM(BK143)+HM_ZB_Nsoko!CA_gross_sales_oil</f>
        <v>7.5585643808449001</v>
      </c>
      <c r="BM143" s="49">
        <f ca="1">SUM(BL143)+HM_ZB_Nsoko!CA_gross_sales_oil</f>
        <v>7.5585643808449001</v>
      </c>
      <c r="BN143" s="49">
        <f ca="1">SUM(BM143)+HM_ZB_Nsoko!CA_gross_sales_oil</f>
        <v>7.5585643808449001</v>
      </c>
      <c r="BO143" s="49">
        <f ca="1">SUM(BN143)+HM_ZB_Nsoko!CA_gross_sales_oil</f>
        <v>7.5585643808449001</v>
      </c>
      <c r="BP143" s="49">
        <f ca="1">SUM(BO143)+HM_ZB_Nsoko!CA_gross_sales_oil</f>
        <v>7.5585643808449001</v>
      </c>
      <c r="BQ143" s="49">
        <f ca="1">SUM(BP143)+HM_ZB_Nsoko!CA_gross_sales_oil</f>
        <v>7.5585643808449001</v>
      </c>
      <c r="BR143" s="49">
        <f ca="1">SUM(BQ143)+HM_ZB_Nsoko!CA_gross_sales_oil</f>
        <v>7.5585643808449001</v>
      </c>
      <c r="BS143" s="49">
        <f ca="1">SUM(BR143)+HM_ZB_Nsoko!CA_gross_sales_oil</f>
        <v>7.5585643808449001</v>
      </c>
    </row>
    <row r="144" spans="1:93" outlineLevel="1" x14ac:dyDescent="0.2">
      <c r="D144" t="str">
        <f>HM_ZA_Nkossa!D135</f>
        <v>GPL</v>
      </c>
      <c r="K144" s="7" t="s">
        <v>687</v>
      </c>
      <c r="L144" s="49">
        <f ca="1">SUM(K144)+HM_ZB_Nsoko!CA_gross_sales_lpg</f>
        <v>6.8948999999999996E-2</v>
      </c>
      <c r="M144" s="49">
        <f ca="1">SUM(L144)+HM_ZB_Nsoko!CA_gross_sales_lpg</f>
        <v>0.137796</v>
      </c>
      <c r="N144" s="49">
        <f ca="1">SUM(M144)+HM_ZB_Nsoko!CA_gross_sales_lpg</f>
        <v>0.243613</v>
      </c>
      <c r="O144" s="49">
        <f ca="1">SUM(N144)+HM_ZB_Nsoko!CA_gross_sales_lpg</f>
        <v>0.34125099999999997</v>
      </c>
      <c r="P144" s="49">
        <f ca="1">SUM(O144)+HM_ZB_Nsoko!CA_gross_sales_lpg</f>
        <v>0.64210599999999995</v>
      </c>
      <c r="Q144" s="49">
        <f ca="1">SUM(P144)+HM_ZB_Nsoko!CA_gross_sales_lpg</f>
        <v>0.70434999999999992</v>
      </c>
      <c r="R144" s="49">
        <f ca="1">SUM(Q144)+HM_ZB_Nsoko!CA_gross_sales_lpg</f>
        <v>0.73277999999999988</v>
      </c>
      <c r="S144" s="49">
        <f ca="1">SUM(R144)+HM_ZB_Nsoko!CA_gross_sales_lpg</f>
        <v>0.89457827299999981</v>
      </c>
      <c r="T144" s="49">
        <f ca="1">SUM(S144)+HM_ZB_Nsoko!CA_gross_sales_lpg</f>
        <v>1.0450506668899997</v>
      </c>
      <c r="U144" s="49">
        <f ca="1">SUM(T144)+HM_ZB_Nsoko!CA_gross_sales_lpg</f>
        <v>1.1849899932076997</v>
      </c>
      <c r="V144" s="49">
        <f ca="1">SUM(U144)+HM_ZB_Nsoko!CA_gross_sales_lpg</f>
        <v>1.3151335666831607</v>
      </c>
      <c r="W144" s="49">
        <f ca="1">SUM(V144)+HM_ZB_Nsoko!CA_gross_sales_lpg</f>
        <v>1.4361670900153394</v>
      </c>
      <c r="X144" s="49">
        <f ca="1">SUM(W144)+HM_ZB_Nsoko!CA_gross_sales_lpg</f>
        <v>1.5487282667142654</v>
      </c>
      <c r="Y144" s="49">
        <f ca="1">SUM(X144)+HM_ZB_Nsoko!CA_gross_sales_lpg</f>
        <v>1.5487282667142654</v>
      </c>
      <c r="Z144" s="49">
        <f ca="1">SUM(Y144)+HM_ZB_Nsoko!CA_gross_sales_lpg</f>
        <v>1.5487282667142654</v>
      </c>
      <c r="AA144" s="49">
        <f ca="1">SUM(Z144)+HM_ZB_Nsoko!CA_gross_sales_lpg</f>
        <v>1.5487282667142654</v>
      </c>
      <c r="AB144" s="49">
        <f ca="1">SUM(AA144)+HM_ZB_Nsoko!CA_gross_sales_lpg</f>
        <v>1.5487282667142654</v>
      </c>
      <c r="AC144" s="49">
        <f ca="1">SUM(AB144)+HM_ZB_Nsoko!CA_gross_sales_lpg</f>
        <v>1.5487282667142654</v>
      </c>
      <c r="AD144" s="49">
        <f ca="1">SUM(AC144)+HM_ZB_Nsoko!CA_gross_sales_lpg</f>
        <v>1.5487282667142654</v>
      </c>
      <c r="AE144" s="49">
        <f ca="1">SUM(AD144)+HM_ZB_Nsoko!CA_gross_sales_lpg</f>
        <v>1.5487282667142654</v>
      </c>
      <c r="AF144" s="49">
        <f ca="1">SUM(AE144)+HM_ZB_Nsoko!CA_gross_sales_lpg</f>
        <v>1.5487282667142654</v>
      </c>
      <c r="AG144" s="49">
        <f ca="1">SUM(AF144)+HM_ZB_Nsoko!CA_gross_sales_lpg</f>
        <v>1.5487282667142654</v>
      </c>
      <c r="AH144" s="49">
        <f ca="1">SUM(AG144)+HM_ZB_Nsoko!CA_gross_sales_lpg</f>
        <v>1.5487282667142654</v>
      </c>
      <c r="AI144" s="49">
        <f ca="1">SUM(AH144)+HM_ZB_Nsoko!CA_gross_sales_lpg</f>
        <v>1.5487282667142654</v>
      </c>
      <c r="AJ144" s="49">
        <f ca="1">SUM(AI144)+HM_ZB_Nsoko!CA_gross_sales_lpg</f>
        <v>1.5487282667142654</v>
      </c>
      <c r="AK144" s="49">
        <f ca="1">SUM(AJ144)+HM_ZB_Nsoko!CA_gross_sales_lpg</f>
        <v>1.5487282667142654</v>
      </c>
      <c r="AL144" s="49">
        <f ca="1">SUM(AK144)+HM_ZB_Nsoko!CA_gross_sales_lpg</f>
        <v>1.5487282667142654</v>
      </c>
      <c r="AM144" s="49">
        <f ca="1">SUM(AL144)+HM_ZB_Nsoko!CA_gross_sales_lpg</f>
        <v>1.5487282667142654</v>
      </c>
      <c r="AN144" s="49">
        <f ca="1">SUM(AM144)+HM_ZB_Nsoko!CA_gross_sales_lpg</f>
        <v>1.5487282667142654</v>
      </c>
      <c r="AO144" s="49">
        <f ca="1">SUM(AN144)+HM_ZB_Nsoko!CA_gross_sales_lpg</f>
        <v>1.5487282667142654</v>
      </c>
      <c r="AP144" s="49">
        <f ca="1">SUM(AO144)+HM_ZB_Nsoko!CA_gross_sales_lpg</f>
        <v>1.5487282667142654</v>
      </c>
      <c r="AQ144" s="49">
        <f ca="1">SUM(AP144)+HM_ZB_Nsoko!CA_gross_sales_lpg</f>
        <v>1.5487282667142654</v>
      </c>
      <c r="AR144" s="49">
        <f ca="1">SUM(AQ144)+HM_ZB_Nsoko!CA_gross_sales_lpg</f>
        <v>1.5487282667142654</v>
      </c>
      <c r="AS144" s="49">
        <f ca="1">SUM(AR144)+HM_ZB_Nsoko!CA_gross_sales_lpg</f>
        <v>1.5487282667142654</v>
      </c>
      <c r="AT144" s="49">
        <f ca="1">SUM(AS144)+HM_ZB_Nsoko!CA_gross_sales_lpg</f>
        <v>1.5487282667142654</v>
      </c>
      <c r="AU144" s="49">
        <f ca="1">SUM(AT144)+HM_ZB_Nsoko!CA_gross_sales_lpg</f>
        <v>1.5487282667142654</v>
      </c>
      <c r="AV144" s="49">
        <f ca="1">SUM(AU144)+HM_ZB_Nsoko!CA_gross_sales_lpg</f>
        <v>1.5487282667142654</v>
      </c>
      <c r="AW144" s="49">
        <f ca="1">SUM(AV144)+HM_ZB_Nsoko!CA_gross_sales_lpg</f>
        <v>1.5487282667142654</v>
      </c>
      <c r="AX144" s="49">
        <f ca="1">SUM(AW144)+HM_ZB_Nsoko!CA_gross_sales_lpg</f>
        <v>1.5487282667142654</v>
      </c>
      <c r="AY144" s="49">
        <f ca="1">SUM(AX144)+HM_ZB_Nsoko!CA_gross_sales_lpg</f>
        <v>1.5487282667142654</v>
      </c>
      <c r="AZ144" s="49">
        <f ca="1">SUM(AY144)+HM_ZB_Nsoko!CA_gross_sales_lpg</f>
        <v>1.5487282667142654</v>
      </c>
      <c r="BA144" s="49">
        <f ca="1">SUM(AZ144)+HM_ZB_Nsoko!CA_gross_sales_lpg</f>
        <v>1.5487282667142654</v>
      </c>
      <c r="BB144" s="49">
        <f ca="1">SUM(BA144)+HM_ZB_Nsoko!CA_gross_sales_lpg</f>
        <v>1.5487282667142654</v>
      </c>
      <c r="BC144" s="49">
        <f ca="1">SUM(BB144)+HM_ZB_Nsoko!CA_gross_sales_lpg</f>
        <v>1.5487282667142654</v>
      </c>
      <c r="BD144" s="49">
        <f ca="1">SUM(BC144)+HM_ZB_Nsoko!CA_gross_sales_lpg</f>
        <v>1.5487282667142654</v>
      </c>
      <c r="BE144" s="49">
        <f ca="1">SUM(BD144)+HM_ZB_Nsoko!CA_gross_sales_lpg</f>
        <v>1.5487282667142654</v>
      </c>
      <c r="BF144" s="49">
        <f ca="1">SUM(BE144)+HM_ZB_Nsoko!CA_gross_sales_lpg</f>
        <v>1.5487282667142654</v>
      </c>
      <c r="BG144" s="49">
        <f ca="1">SUM(BF144)+HM_ZB_Nsoko!CA_gross_sales_lpg</f>
        <v>1.5487282667142654</v>
      </c>
      <c r="BH144" s="49">
        <f ca="1">SUM(BG144)+HM_ZB_Nsoko!CA_gross_sales_lpg</f>
        <v>1.5487282667142654</v>
      </c>
      <c r="BI144" s="49">
        <f ca="1">SUM(BH144)+HM_ZB_Nsoko!CA_gross_sales_lpg</f>
        <v>1.5487282667142654</v>
      </c>
      <c r="BJ144" s="49">
        <f ca="1">SUM(BI144)+HM_ZB_Nsoko!CA_gross_sales_lpg</f>
        <v>1.5487282667142654</v>
      </c>
      <c r="BK144" s="49">
        <f ca="1">SUM(BJ144)+HM_ZB_Nsoko!CA_gross_sales_lpg</f>
        <v>1.5487282667142654</v>
      </c>
      <c r="BL144" s="49">
        <f ca="1">SUM(BK144)+HM_ZB_Nsoko!CA_gross_sales_lpg</f>
        <v>1.5487282667142654</v>
      </c>
      <c r="BM144" s="49">
        <f ca="1">SUM(BL144)+HM_ZB_Nsoko!CA_gross_sales_lpg</f>
        <v>1.5487282667142654</v>
      </c>
      <c r="BN144" s="49">
        <f ca="1">SUM(BM144)+HM_ZB_Nsoko!CA_gross_sales_lpg</f>
        <v>1.5487282667142654</v>
      </c>
      <c r="BO144" s="49">
        <f ca="1">SUM(BN144)+HM_ZB_Nsoko!CA_gross_sales_lpg</f>
        <v>1.5487282667142654</v>
      </c>
      <c r="BP144" s="49">
        <f ca="1">SUM(BO144)+HM_ZB_Nsoko!CA_gross_sales_lpg</f>
        <v>1.5487282667142654</v>
      </c>
      <c r="BQ144" s="49">
        <f ca="1">SUM(BP144)+HM_ZB_Nsoko!CA_gross_sales_lpg</f>
        <v>1.5487282667142654</v>
      </c>
      <c r="BR144" s="49">
        <f ca="1">SUM(BQ144)+HM_ZB_Nsoko!CA_gross_sales_lpg</f>
        <v>1.5487282667142654</v>
      </c>
      <c r="BS144" s="49">
        <f ca="1">SUM(BR144)+HM_ZB_Nsoko!CA_gross_sales_lpg</f>
        <v>1.5487282667142654</v>
      </c>
    </row>
    <row r="145" spans="1:71" outlineLevel="1" x14ac:dyDescent="0.2">
      <c r="D145" t="str">
        <f>HM_ZA_Nkossa!D136</f>
        <v>Gaz</v>
      </c>
      <c r="K145" s="7" t="s">
        <v>673</v>
      </c>
      <c r="L145" s="49">
        <f ca="1">SUM(K145)+HM_ZB_Nsoko!CA_gross_sales_gas</f>
        <v>0</v>
      </c>
      <c r="M145" s="49">
        <f ca="1">SUM(L145)+HM_ZB_Nsoko!CA_gross_sales_gas</f>
        <v>0</v>
      </c>
      <c r="N145" s="49">
        <f ca="1">SUM(M145)+HM_ZB_Nsoko!CA_gross_sales_gas</f>
        <v>0</v>
      </c>
      <c r="O145" s="49">
        <f ca="1">SUM(N145)+HM_ZB_Nsoko!CA_gross_sales_gas</f>
        <v>0</v>
      </c>
      <c r="P145" s="49">
        <f ca="1">SUM(O145)+HM_ZB_Nsoko!CA_gross_sales_gas</f>
        <v>0</v>
      </c>
      <c r="Q145" s="49">
        <f ca="1">SUM(P145)+HM_ZB_Nsoko!CA_gross_sales_gas</f>
        <v>0</v>
      </c>
      <c r="R145" s="49">
        <f ca="1">SUM(Q145)+HM_ZB_Nsoko!CA_gross_sales_gas</f>
        <v>0</v>
      </c>
      <c r="S145" s="49">
        <f ca="1">SUM(R145)+HM_ZB_Nsoko!CA_gross_sales_gas</f>
        <v>0</v>
      </c>
      <c r="T145" s="49">
        <f ca="1">SUM(S145)+HM_ZB_Nsoko!CA_gross_sales_gas</f>
        <v>0</v>
      </c>
      <c r="U145" s="49">
        <f ca="1">SUM(T145)+HM_ZB_Nsoko!CA_gross_sales_gas</f>
        <v>0</v>
      </c>
      <c r="V145" s="49">
        <f ca="1">SUM(U145)+HM_ZB_Nsoko!CA_gross_sales_gas</f>
        <v>0</v>
      </c>
      <c r="W145" s="49">
        <f ca="1">SUM(V145)+HM_ZB_Nsoko!CA_gross_sales_gas</f>
        <v>0</v>
      </c>
      <c r="X145" s="49">
        <f ca="1">SUM(W145)+HM_ZB_Nsoko!CA_gross_sales_gas</f>
        <v>0</v>
      </c>
      <c r="Y145" s="49">
        <f ca="1">SUM(X145)+HM_ZB_Nsoko!CA_gross_sales_gas</f>
        <v>0</v>
      </c>
      <c r="Z145" s="49">
        <f ca="1">SUM(Y145)+HM_ZB_Nsoko!CA_gross_sales_gas</f>
        <v>0</v>
      </c>
      <c r="AA145" s="49">
        <f ca="1">SUM(Z145)+HM_ZB_Nsoko!CA_gross_sales_gas</f>
        <v>0</v>
      </c>
      <c r="AB145" s="49">
        <f ca="1">SUM(AA145)+HM_ZB_Nsoko!CA_gross_sales_gas</f>
        <v>0</v>
      </c>
      <c r="AC145" s="49">
        <f ca="1">SUM(AB145)+HM_ZB_Nsoko!CA_gross_sales_gas</f>
        <v>0</v>
      </c>
      <c r="AD145" s="49">
        <f ca="1">SUM(AC145)+HM_ZB_Nsoko!CA_gross_sales_gas</f>
        <v>0</v>
      </c>
      <c r="AE145" s="49">
        <f ca="1">SUM(AD145)+HM_ZB_Nsoko!CA_gross_sales_gas</f>
        <v>0</v>
      </c>
      <c r="AF145" s="49">
        <f ca="1">SUM(AE145)+HM_ZB_Nsoko!CA_gross_sales_gas</f>
        <v>0</v>
      </c>
      <c r="AG145" s="49">
        <f ca="1">SUM(AF145)+HM_ZB_Nsoko!CA_gross_sales_gas</f>
        <v>0</v>
      </c>
      <c r="AH145" s="49">
        <f ca="1">SUM(AG145)+HM_ZB_Nsoko!CA_gross_sales_gas</f>
        <v>0</v>
      </c>
      <c r="AI145" s="49">
        <f ca="1">SUM(AH145)+HM_ZB_Nsoko!CA_gross_sales_gas</f>
        <v>0</v>
      </c>
      <c r="AJ145" s="49">
        <f ca="1">SUM(AI145)+HM_ZB_Nsoko!CA_gross_sales_gas</f>
        <v>0</v>
      </c>
      <c r="AK145" s="49">
        <f ca="1">SUM(AJ145)+HM_ZB_Nsoko!CA_gross_sales_gas</f>
        <v>0</v>
      </c>
      <c r="AL145" s="49">
        <f ca="1">SUM(AK145)+HM_ZB_Nsoko!CA_gross_sales_gas</f>
        <v>0</v>
      </c>
      <c r="AM145" s="49">
        <f ca="1">SUM(AL145)+HM_ZB_Nsoko!CA_gross_sales_gas</f>
        <v>0</v>
      </c>
      <c r="AN145" s="49">
        <f ca="1">SUM(AM145)+HM_ZB_Nsoko!CA_gross_sales_gas</f>
        <v>0</v>
      </c>
      <c r="AO145" s="49">
        <f ca="1">SUM(AN145)+HM_ZB_Nsoko!CA_gross_sales_gas</f>
        <v>0</v>
      </c>
      <c r="AP145" s="49">
        <f ca="1">SUM(AO145)+HM_ZB_Nsoko!CA_gross_sales_gas</f>
        <v>0</v>
      </c>
      <c r="AQ145" s="49">
        <f ca="1">SUM(AP145)+HM_ZB_Nsoko!CA_gross_sales_gas</f>
        <v>0</v>
      </c>
      <c r="AR145" s="49">
        <f ca="1">SUM(AQ145)+HM_ZB_Nsoko!CA_gross_sales_gas</f>
        <v>0</v>
      </c>
      <c r="AS145" s="49">
        <f ca="1">SUM(AR145)+HM_ZB_Nsoko!CA_gross_sales_gas</f>
        <v>0</v>
      </c>
      <c r="AT145" s="49">
        <f ca="1">SUM(AS145)+HM_ZB_Nsoko!CA_gross_sales_gas</f>
        <v>0</v>
      </c>
      <c r="AU145" s="49">
        <f ca="1">SUM(AT145)+HM_ZB_Nsoko!CA_gross_sales_gas</f>
        <v>0</v>
      </c>
      <c r="AV145" s="49">
        <f ca="1">SUM(AU145)+HM_ZB_Nsoko!CA_gross_sales_gas</f>
        <v>0</v>
      </c>
      <c r="AW145" s="49">
        <f ca="1">SUM(AV145)+HM_ZB_Nsoko!CA_gross_sales_gas</f>
        <v>0</v>
      </c>
      <c r="AX145" s="49">
        <f ca="1">SUM(AW145)+HM_ZB_Nsoko!CA_gross_sales_gas</f>
        <v>0</v>
      </c>
      <c r="AY145" s="49">
        <f ca="1">SUM(AX145)+HM_ZB_Nsoko!CA_gross_sales_gas</f>
        <v>0</v>
      </c>
      <c r="AZ145" s="49">
        <f ca="1">SUM(AY145)+HM_ZB_Nsoko!CA_gross_sales_gas</f>
        <v>0</v>
      </c>
      <c r="BA145" s="49">
        <f ca="1">SUM(AZ145)+HM_ZB_Nsoko!CA_gross_sales_gas</f>
        <v>0</v>
      </c>
      <c r="BB145" s="49">
        <f ca="1">SUM(BA145)+HM_ZB_Nsoko!CA_gross_sales_gas</f>
        <v>0</v>
      </c>
      <c r="BC145" s="49">
        <f ca="1">SUM(BB145)+HM_ZB_Nsoko!CA_gross_sales_gas</f>
        <v>0</v>
      </c>
      <c r="BD145" s="49">
        <f ca="1">SUM(BC145)+HM_ZB_Nsoko!CA_gross_sales_gas</f>
        <v>0</v>
      </c>
      <c r="BE145" s="49">
        <f ca="1">SUM(BD145)+HM_ZB_Nsoko!CA_gross_sales_gas</f>
        <v>0</v>
      </c>
      <c r="BF145" s="49">
        <f ca="1">SUM(BE145)+HM_ZB_Nsoko!CA_gross_sales_gas</f>
        <v>0</v>
      </c>
      <c r="BG145" s="49">
        <f ca="1">SUM(BF145)+HM_ZB_Nsoko!CA_gross_sales_gas</f>
        <v>0</v>
      </c>
      <c r="BH145" s="49">
        <f ca="1">SUM(BG145)+HM_ZB_Nsoko!CA_gross_sales_gas</f>
        <v>0</v>
      </c>
      <c r="BI145" s="49">
        <f ca="1">SUM(BH145)+HM_ZB_Nsoko!CA_gross_sales_gas</f>
        <v>0</v>
      </c>
      <c r="BJ145" s="49">
        <f ca="1">SUM(BI145)+HM_ZB_Nsoko!CA_gross_sales_gas</f>
        <v>0</v>
      </c>
      <c r="BK145" s="49">
        <f ca="1">SUM(BJ145)+HM_ZB_Nsoko!CA_gross_sales_gas</f>
        <v>0</v>
      </c>
      <c r="BL145" s="49">
        <f ca="1">SUM(BK145)+HM_ZB_Nsoko!CA_gross_sales_gas</f>
        <v>0</v>
      </c>
      <c r="BM145" s="49">
        <f ca="1">SUM(BL145)+HM_ZB_Nsoko!CA_gross_sales_gas</f>
        <v>0</v>
      </c>
      <c r="BN145" s="49">
        <f ca="1">SUM(BM145)+HM_ZB_Nsoko!CA_gross_sales_gas</f>
        <v>0</v>
      </c>
      <c r="BO145" s="49">
        <f ca="1">SUM(BN145)+HM_ZB_Nsoko!CA_gross_sales_gas</f>
        <v>0</v>
      </c>
      <c r="BP145" s="49">
        <f ca="1">SUM(BO145)+HM_ZB_Nsoko!CA_gross_sales_gas</f>
        <v>0</v>
      </c>
      <c r="BQ145" s="49">
        <f ca="1">SUM(BP145)+HM_ZB_Nsoko!CA_gross_sales_gas</f>
        <v>0</v>
      </c>
      <c r="BR145" s="49">
        <f ca="1">SUM(BQ145)+HM_ZB_Nsoko!CA_gross_sales_gas</f>
        <v>0</v>
      </c>
      <c r="BS145" s="49">
        <f ca="1">SUM(BR145)+HM_ZB_Nsoko!CA_gross_sales_gas</f>
        <v>0</v>
      </c>
    </row>
    <row r="146" spans="1:71" outlineLevel="1" x14ac:dyDescent="0.2">
      <c r="D146" s="47" t="str">
        <f>HM_ZA_Nkossa!D137</f>
        <v>Total</v>
      </c>
      <c r="E146" s="6"/>
      <c r="F146" s="6"/>
      <c r="G146" s="6"/>
      <c r="H146" s="6"/>
      <c r="I146" s="6"/>
      <c r="J146" s="6"/>
      <c r="K146" s="7" t="s">
        <v>674</v>
      </c>
      <c r="L146" s="49">
        <f t="shared" ref="L146:AQ146" ca="1" si="20">SUM(L143,L144,L145/conv_CMtoBbls)</f>
        <v>0.78053500000000009</v>
      </c>
      <c r="M146" s="49">
        <f t="shared" ca="1" si="20"/>
        <v>1.6520090000000001</v>
      </c>
      <c r="N146" s="49">
        <f t="shared" ca="1" si="20"/>
        <v>2.651173</v>
      </c>
      <c r="O146" s="49">
        <f t="shared" ca="1" si="20"/>
        <v>3.4452470000000002</v>
      </c>
      <c r="P146" s="49">
        <f t="shared" ca="1" si="20"/>
        <v>4.3322880000000001</v>
      </c>
      <c r="Q146" s="49">
        <f t="shared" ca="1" si="20"/>
        <v>5.0283530000000001</v>
      </c>
      <c r="R146" s="49">
        <f t="shared" ca="1" si="20"/>
        <v>5.3021669999999999</v>
      </c>
      <c r="S146" s="49">
        <f t="shared" ca="1" si="20"/>
        <v>6.0567035109999994</v>
      </c>
      <c r="T146" s="49">
        <f t="shared" ca="1" si="20"/>
        <v>6.7584224662299999</v>
      </c>
      <c r="U146" s="49">
        <f t="shared" ca="1" si="20"/>
        <v>7.4110210945938997</v>
      </c>
      <c r="V146" s="49">
        <f t="shared" ca="1" si="20"/>
        <v>8.0179378189723263</v>
      </c>
      <c r="W146" s="49">
        <f t="shared" ca="1" si="20"/>
        <v>8.5823703726442631</v>
      </c>
      <c r="X146" s="49">
        <f t="shared" ca="1" si="20"/>
        <v>9.1072926475591665</v>
      </c>
      <c r="Y146" s="49">
        <f t="shared" ca="1" si="20"/>
        <v>9.1072926475591665</v>
      </c>
      <c r="Z146" s="49">
        <f t="shared" ca="1" si="20"/>
        <v>9.1072926475591665</v>
      </c>
      <c r="AA146" s="49">
        <f t="shared" ca="1" si="20"/>
        <v>9.1072926475591665</v>
      </c>
      <c r="AB146" s="49">
        <f t="shared" ca="1" si="20"/>
        <v>9.1072926475591665</v>
      </c>
      <c r="AC146" s="49">
        <f t="shared" ca="1" si="20"/>
        <v>9.1072926475591665</v>
      </c>
      <c r="AD146" s="49">
        <f t="shared" ca="1" si="20"/>
        <v>9.1072926475591665</v>
      </c>
      <c r="AE146" s="49">
        <f t="shared" ca="1" si="20"/>
        <v>9.1072926475591665</v>
      </c>
      <c r="AF146" s="49">
        <f t="shared" ca="1" si="20"/>
        <v>9.1072926475591665</v>
      </c>
      <c r="AG146" s="49">
        <f t="shared" ca="1" si="20"/>
        <v>9.1072926475591665</v>
      </c>
      <c r="AH146" s="49">
        <f t="shared" ca="1" si="20"/>
        <v>9.1072926475591665</v>
      </c>
      <c r="AI146" s="49">
        <f t="shared" ca="1" si="20"/>
        <v>9.1072926475591665</v>
      </c>
      <c r="AJ146" s="49">
        <f t="shared" ca="1" si="20"/>
        <v>9.1072926475591665</v>
      </c>
      <c r="AK146" s="49">
        <f t="shared" ca="1" si="20"/>
        <v>9.1072926475591665</v>
      </c>
      <c r="AL146" s="49">
        <f t="shared" ca="1" si="20"/>
        <v>9.1072926475591665</v>
      </c>
      <c r="AM146" s="49">
        <f t="shared" ca="1" si="20"/>
        <v>9.1072926475591665</v>
      </c>
      <c r="AN146" s="49">
        <f t="shared" ca="1" si="20"/>
        <v>9.1072926475591665</v>
      </c>
      <c r="AO146" s="49">
        <f t="shared" ca="1" si="20"/>
        <v>9.1072926475591665</v>
      </c>
      <c r="AP146" s="49">
        <f t="shared" ca="1" si="20"/>
        <v>9.1072926475591665</v>
      </c>
      <c r="AQ146" s="49">
        <f t="shared" ca="1" si="20"/>
        <v>9.1072926475591665</v>
      </c>
      <c r="AR146" s="49">
        <f t="shared" ref="AR146:BS146" ca="1" si="21">SUM(AR143,AR144,AR145/conv_CMtoBbls)</f>
        <v>9.1072926475591665</v>
      </c>
      <c r="AS146" s="49">
        <f t="shared" ca="1" si="21"/>
        <v>9.1072926475591665</v>
      </c>
      <c r="AT146" s="49">
        <f t="shared" ca="1" si="21"/>
        <v>9.1072926475591665</v>
      </c>
      <c r="AU146" s="49">
        <f t="shared" ca="1" si="21"/>
        <v>9.1072926475591665</v>
      </c>
      <c r="AV146" s="49">
        <f t="shared" ca="1" si="21"/>
        <v>9.1072926475591665</v>
      </c>
      <c r="AW146" s="49">
        <f t="shared" ca="1" si="21"/>
        <v>9.1072926475591665</v>
      </c>
      <c r="AX146" s="49">
        <f t="shared" ca="1" si="21"/>
        <v>9.1072926475591665</v>
      </c>
      <c r="AY146" s="49">
        <f t="shared" ca="1" si="21"/>
        <v>9.1072926475591665</v>
      </c>
      <c r="AZ146" s="49">
        <f t="shared" ca="1" si="21"/>
        <v>9.1072926475591665</v>
      </c>
      <c r="BA146" s="49">
        <f t="shared" ca="1" si="21"/>
        <v>9.1072926475591665</v>
      </c>
      <c r="BB146" s="49">
        <f t="shared" ca="1" si="21"/>
        <v>9.1072926475591665</v>
      </c>
      <c r="BC146" s="49">
        <f t="shared" ca="1" si="21"/>
        <v>9.1072926475591665</v>
      </c>
      <c r="BD146" s="49">
        <f t="shared" ca="1" si="21"/>
        <v>9.1072926475591665</v>
      </c>
      <c r="BE146" s="49">
        <f t="shared" ca="1" si="21"/>
        <v>9.1072926475591665</v>
      </c>
      <c r="BF146" s="49">
        <f t="shared" ca="1" si="21"/>
        <v>9.1072926475591665</v>
      </c>
      <c r="BG146" s="49">
        <f t="shared" ca="1" si="21"/>
        <v>9.1072926475591665</v>
      </c>
      <c r="BH146" s="49">
        <f t="shared" ca="1" si="21"/>
        <v>9.1072926475591665</v>
      </c>
      <c r="BI146" s="49">
        <f t="shared" ca="1" si="21"/>
        <v>9.1072926475591665</v>
      </c>
      <c r="BJ146" s="49">
        <f t="shared" ca="1" si="21"/>
        <v>9.1072926475591665</v>
      </c>
      <c r="BK146" s="49">
        <f t="shared" ca="1" si="21"/>
        <v>9.1072926475591665</v>
      </c>
      <c r="BL146" s="49">
        <f t="shared" ca="1" si="21"/>
        <v>9.1072926475591665</v>
      </c>
      <c r="BM146" s="49">
        <f t="shared" ca="1" si="21"/>
        <v>9.1072926475591665</v>
      </c>
      <c r="BN146" s="49">
        <f t="shared" ca="1" si="21"/>
        <v>9.1072926475591665</v>
      </c>
      <c r="BO146" s="49">
        <f t="shared" ca="1" si="21"/>
        <v>9.1072926475591665</v>
      </c>
      <c r="BP146" s="49">
        <f t="shared" ca="1" si="21"/>
        <v>9.1072926475591665</v>
      </c>
      <c r="BQ146" s="49">
        <f t="shared" ca="1" si="21"/>
        <v>9.1072926475591665</v>
      </c>
      <c r="BR146" s="49">
        <f t="shared" ca="1" si="21"/>
        <v>9.1072926475591665</v>
      </c>
      <c r="BS146" s="49">
        <f t="shared" ca="1" si="21"/>
        <v>9.1072926475591665</v>
      </c>
    </row>
    <row r="147" spans="1:71" outlineLevel="1" x14ac:dyDescent="0.2">
      <c r="J147" s="26"/>
      <c r="L147" s="55"/>
      <c r="M147" s="55"/>
      <c r="N147" s="55"/>
      <c r="O147" s="55"/>
      <c r="P147" s="55"/>
      <c r="Q147" s="55"/>
      <c r="R147" s="55"/>
      <c r="S147" s="55"/>
      <c r="T147" s="55"/>
      <c r="U147" s="55"/>
      <c r="V147" s="55"/>
      <c r="W147" s="55"/>
      <c r="X147" s="55"/>
      <c r="Y147" s="55"/>
      <c r="Z147" s="55"/>
      <c r="AA147" s="55"/>
      <c r="AB147" s="55"/>
      <c r="AC147" s="55"/>
      <c r="AD147" s="55"/>
      <c r="AE147" s="55"/>
      <c r="AF147" s="55"/>
      <c r="AG147" s="55"/>
      <c r="AH147" s="55"/>
      <c r="AI147" s="55"/>
      <c r="AJ147" s="55"/>
      <c r="AK147" s="55"/>
      <c r="AL147" s="55"/>
      <c r="AM147" s="55"/>
      <c r="AN147" s="55"/>
      <c r="AO147" s="55"/>
      <c r="AP147" s="55"/>
      <c r="AQ147" s="55"/>
      <c r="AR147" s="55"/>
      <c r="AS147" s="55"/>
      <c r="AT147" s="55"/>
      <c r="AU147" s="55"/>
      <c r="AV147" s="55"/>
      <c r="AW147" s="55"/>
      <c r="AX147" s="55"/>
      <c r="AY147" s="55"/>
      <c r="AZ147" s="55"/>
      <c r="BA147" s="55"/>
      <c r="BB147" s="55"/>
      <c r="BC147" s="55"/>
      <c r="BD147" s="55"/>
      <c r="BE147" s="55"/>
      <c r="BF147" s="55"/>
      <c r="BG147" s="55"/>
      <c r="BH147" s="55"/>
      <c r="BI147" s="55"/>
      <c r="BJ147" s="55"/>
      <c r="BK147" s="55"/>
      <c r="BL147" s="55"/>
      <c r="BM147" s="55"/>
      <c r="BN147" s="55"/>
      <c r="BO147" s="55"/>
      <c r="BP147" s="55"/>
      <c r="BQ147" s="55"/>
      <c r="BR147" s="55"/>
      <c r="BS147" s="55"/>
    </row>
    <row r="148" spans="1:71" outlineLevel="1" x14ac:dyDescent="0.2">
      <c r="J148" s="26"/>
      <c r="L148" s="55"/>
      <c r="M148" s="55"/>
      <c r="N148" s="55"/>
      <c r="O148" s="55"/>
      <c r="P148" s="55"/>
      <c r="Q148" s="55"/>
      <c r="R148" s="55"/>
      <c r="S148" s="55"/>
      <c r="T148" s="55"/>
      <c r="U148" s="55"/>
      <c r="V148" s="55"/>
      <c r="W148" s="55"/>
      <c r="X148" s="55"/>
      <c r="Y148" s="55"/>
      <c r="Z148" s="55"/>
      <c r="AA148" s="55"/>
      <c r="AB148" s="55"/>
      <c r="AC148" s="55"/>
      <c r="AD148" s="55"/>
      <c r="AE148" s="55"/>
      <c r="AF148" s="55"/>
      <c r="AG148" s="55"/>
      <c r="AH148" s="55"/>
      <c r="AI148" s="55"/>
      <c r="AJ148" s="55"/>
      <c r="AK148" s="55"/>
      <c r="AL148" s="55"/>
      <c r="AM148" s="55"/>
      <c r="AN148" s="55"/>
      <c r="AO148" s="55"/>
      <c r="AP148" s="55"/>
      <c r="AQ148" s="55"/>
      <c r="AR148" s="55"/>
      <c r="AS148" s="55"/>
      <c r="AT148" s="55"/>
      <c r="AU148" s="55"/>
      <c r="AV148" s="55"/>
      <c r="AW148" s="55"/>
      <c r="AX148" s="55"/>
      <c r="AY148" s="55"/>
      <c r="AZ148" s="55"/>
      <c r="BA148" s="55"/>
      <c r="BB148" s="55"/>
      <c r="BC148" s="55"/>
      <c r="BD148" s="55"/>
      <c r="BE148" s="55"/>
      <c r="BF148" s="55"/>
      <c r="BG148" s="55"/>
      <c r="BH148" s="55"/>
      <c r="BI148" s="55"/>
      <c r="BJ148" s="55"/>
      <c r="BK148" s="55"/>
      <c r="BL148" s="55"/>
      <c r="BM148" s="55"/>
      <c r="BN148" s="55"/>
      <c r="BO148" s="55"/>
      <c r="BP148" s="55"/>
      <c r="BQ148" s="55"/>
      <c r="BR148" s="55"/>
      <c r="BS148" s="55"/>
    </row>
    <row r="149" spans="1:71" outlineLevel="1" x14ac:dyDescent="0.2">
      <c r="A149" s="45"/>
      <c r="B149" s="38" t="str">
        <f>HM_ZA_Nkossa!B140</f>
        <v>Prix</v>
      </c>
      <c r="C149" s="45"/>
      <c r="D149" s="45"/>
      <c r="E149" s="45"/>
      <c r="J149" s="26"/>
      <c r="L149" s="55"/>
      <c r="M149" s="55"/>
      <c r="N149" s="55"/>
      <c r="O149" s="55"/>
      <c r="P149" s="55"/>
      <c r="Q149" s="55"/>
      <c r="R149" s="55"/>
      <c r="S149" s="55"/>
      <c r="T149" s="55"/>
      <c r="U149" s="55"/>
      <c r="V149" s="55"/>
      <c r="W149" s="55"/>
      <c r="X149" s="55"/>
      <c r="Y149" s="55"/>
      <c r="Z149" s="55"/>
      <c r="AA149" s="55"/>
      <c r="AB149" s="55"/>
      <c r="AC149" s="55"/>
      <c r="AD149" s="55"/>
      <c r="AE149" s="55"/>
      <c r="AF149" s="55"/>
      <c r="AG149" s="55"/>
      <c r="AH149" s="55"/>
      <c r="AI149" s="55"/>
      <c r="AJ149" s="55"/>
      <c r="AK149" s="55"/>
      <c r="AL149" s="55"/>
      <c r="AM149" s="55"/>
      <c r="AN149" s="55"/>
      <c r="AO149" s="55"/>
      <c r="AP149" s="55"/>
      <c r="AQ149" s="55"/>
      <c r="AR149" s="55"/>
      <c r="AS149" s="55"/>
      <c r="AT149" s="55"/>
      <c r="AU149" s="55"/>
      <c r="AV149" s="55"/>
      <c r="AW149" s="55"/>
      <c r="AX149" s="55"/>
      <c r="AY149" s="55"/>
      <c r="AZ149" s="55"/>
      <c r="BA149" s="55"/>
      <c r="BB149" s="55"/>
      <c r="BC149" s="55"/>
      <c r="BD149" s="55"/>
      <c r="BE149" s="55"/>
      <c r="BF149" s="55"/>
      <c r="BG149" s="55"/>
      <c r="BH149" s="55"/>
      <c r="BI149" s="55"/>
      <c r="BJ149" s="55"/>
      <c r="BK149" s="55"/>
      <c r="BL149" s="55"/>
      <c r="BM149" s="55"/>
      <c r="BN149" s="55"/>
      <c r="BO149" s="55"/>
      <c r="BP149" s="55"/>
      <c r="BQ149" s="55"/>
      <c r="BR149" s="55"/>
      <c r="BS149" s="55"/>
    </row>
    <row r="150" spans="1:71" outlineLevel="1" x14ac:dyDescent="0.2">
      <c r="J150" s="26"/>
      <c r="L150" s="55"/>
      <c r="M150" s="55"/>
      <c r="N150" s="55"/>
      <c r="O150" s="55"/>
      <c r="P150" s="55"/>
      <c r="Q150" s="55"/>
      <c r="R150" s="55"/>
      <c r="S150" s="55"/>
      <c r="T150" s="55"/>
      <c r="U150" s="55"/>
      <c r="V150" s="55"/>
      <c r="W150" s="55"/>
      <c r="X150" s="55"/>
      <c r="Y150" s="55"/>
      <c r="Z150" s="55"/>
      <c r="AA150" s="55"/>
      <c r="AB150" s="55"/>
      <c r="AC150" s="55"/>
      <c r="AD150" s="55"/>
      <c r="AE150" s="55"/>
      <c r="AF150" s="55"/>
      <c r="AG150" s="55"/>
      <c r="AH150" s="55"/>
      <c r="AI150" s="55"/>
      <c r="AJ150" s="55"/>
      <c r="AK150" s="55"/>
      <c r="AL150" s="55"/>
      <c r="AM150" s="55"/>
      <c r="AN150" s="55"/>
      <c r="AO150" s="55"/>
      <c r="AP150" s="55"/>
      <c r="AQ150" s="55"/>
      <c r="AR150" s="55"/>
      <c r="AS150" s="55"/>
      <c r="AT150" s="55"/>
      <c r="AU150" s="55"/>
      <c r="AV150" s="55"/>
      <c r="AW150" s="55"/>
      <c r="AX150" s="55"/>
      <c r="AY150" s="55"/>
      <c r="AZ150" s="55"/>
      <c r="BA150" s="55"/>
      <c r="BB150" s="55"/>
      <c r="BC150" s="55"/>
      <c r="BD150" s="55"/>
      <c r="BE150" s="55"/>
      <c r="BF150" s="55"/>
      <c r="BG150" s="55"/>
      <c r="BH150" s="55"/>
      <c r="BI150" s="55"/>
      <c r="BJ150" s="55"/>
      <c r="BK150" s="55"/>
      <c r="BL150" s="55"/>
      <c r="BM150" s="55"/>
      <c r="BN150" s="55"/>
      <c r="BO150" s="55"/>
      <c r="BP150" s="55"/>
      <c r="BQ150" s="55"/>
      <c r="BR150" s="55"/>
      <c r="BS150" s="55"/>
    </row>
    <row r="151" spans="1:71" outlineLevel="1" x14ac:dyDescent="0.2">
      <c r="C151" s="11" t="str">
        <f>HM_ZA_Nkossa!C142</f>
        <v>Prix du marché (PF)</v>
      </c>
      <c r="J151" s="26"/>
      <c r="L151" s="55"/>
      <c r="M151" s="55"/>
      <c r="N151" s="55"/>
      <c r="O151" s="55"/>
      <c r="P151" s="55"/>
      <c r="Q151" s="55"/>
      <c r="R151" s="55"/>
      <c r="S151" s="55"/>
      <c r="T151" s="55"/>
      <c r="U151" s="55"/>
      <c r="V151" s="55"/>
      <c r="W151" s="55"/>
      <c r="X151" s="55"/>
      <c r="Y151" s="55"/>
      <c r="Z151" s="55"/>
      <c r="AA151" s="55"/>
      <c r="AB151" s="55"/>
      <c r="AC151" s="55"/>
      <c r="AD151" s="55"/>
      <c r="AE151" s="55"/>
      <c r="AF151" s="55"/>
      <c r="AG151" s="55"/>
      <c r="AH151" s="55"/>
      <c r="AI151" s="55"/>
      <c r="AJ151" s="55"/>
      <c r="AK151" s="55"/>
      <c r="AL151" s="55"/>
      <c r="AM151" s="55"/>
      <c r="AN151" s="55"/>
      <c r="AO151" s="55"/>
      <c r="AP151" s="55"/>
      <c r="AQ151" s="55"/>
      <c r="AR151" s="55"/>
      <c r="AS151" s="55"/>
      <c r="AT151" s="55"/>
      <c r="AU151" s="55"/>
      <c r="AV151" s="55"/>
      <c r="AW151" s="55"/>
      <c r="AX151" s="55"/>
      <c r="AY151" s="55"/>
      <c r="AZ151" s="55"/>
      <c r="BA151" s="55"/>
      <c r="BB151" s="55"/>
      <c r="BC151" s="55"/>
      <c r="BD151" s="55"/>
      <c r="BE151" s="55"/>
      <c r="BF151" s="55"/>
      <c r="BG151" s="55"/>
      <c r="BH151" s="55"/>
      <c r="BI151" s="55"/>
      <c r="BJ151" s="55"/>
      <c r="BK151" s="55"/>
      <c r="BL151" s="55"/>
      <c r="BM151" s="55"/>
      <c r="BN151" s="55"/>
      <c r="BO151" s="55"/>
      <c r="BP151" s="55"/>
      <c r="BQ151" s="55"/>
      <c r="BR151" s="55"/>
      <c r="BS151" s="55"/>
    </row>
    <row r="152" spans="1:71" outlineLevel="1" x14ac:dyDescent="0.2">
      <c r="D152" t="str">
        <f>HM_ZA_Nkossa!D143</f>
        <v>Prix du pétrole (nominal)</v>
      </c>
      <c r="J152" s="26" t="s">
        <v>46</v>
      </c>
      <c r="K152" s="7" t="s">
        <v>141</v>
      </c>
      <c r="L152" s="49">
        <f t="shared" ref="L152:AQ152" ca="1" si="22">OFFSET(_xlfn.SINGLE(IA_oilprice_nominal),3,)</f>
        <v>110.63020024705375</v>
      </c>
      <c r="M152" s="49">
        <f t="shared" ca="1" si="22"/>
        <v>99.296178547444811</v>
      </c>
      <c r="N152" s="49">
        <f t="shared" ca="1" si="22"/>
        <v>50.940892120307119</v>
      </c>
      <c r="O152" s="49">
        <f t="shared" ca="1" si="22"/>
        <v>44.240222864699696</v>
      </c>
      <c r="P152" s="49">
        <f t="shared" ca="1" si="22"/>
        <v>52.890568232608757</v>
      </c>
      <c r="Q152" s="49">
        <f t="shared" ca="1" si="22"/>
        <v>70.855180980118988</v>
      </c>
      <c r="R152" s="49">
        <f t="shared" ca="1" si="22"/>
        <v>63.030585726860757</v>
      </c>
      <c r="S152" s="49">
        <f t="shared" ca="1" si="22"/>
        <v>41.00483333333333</v>
      </c>
      <c r="T152" s="49">
        <f t="shared" ca="1" si="22"/>
        <v>66.5184</v>
      </c>
      <c r="U152" s="49">
        <f t="shared" ca="1" si="22"/>
        <v>71.400000000000006</v>
      </c>
      <c r="V152" s="49">
        <f t="shared" ca="1" si="22"/>
        <v>72.828000000000003</v>
      </c>
      <c r="W152" s="49">
        <f t="shared" ca="1" si="22"/>
        <v>74.284559999999999</v>
      </c>
      <c r="X152" s="49">
        <f t="shared" ca="1" si="22"/>
        <v>75.770251200000004</v>
      </c>
      <c r="Y152" s="49">
        <f t="shared" ca="1" si="22"/>
        <v>0</v>
      </c>
      <c r="Z152" s="49">
        <f t="shared" ca="1" si="22"/>
        <v>0</v>
      </c>
      <c r="AA152" s="49">
        <f t="shared" ca="1" si="22"/>
        <v>0</v>
      </c>
      <c r="AB152" s="49">
        <f t="shared" ca="1" si="22"/>
        <v>0</v>
      </c>
      <c r="AC152" s="49">
        <f t="shared" ca="1" si="22"/>
        <v>0</v>
      </c>
      <c r="AD152" s="49">
        <f t="shared" ca="1" si="22"/>
        <v>0</v>
      </c>
      <c r="AE152" s="49">
        <f t="shared" ca="1" si="22"/>
        <v>0</v>
      </c>
      <c r="AF152" s="49">
        <f t="shared" ca="1" si="22"/>
        <v>0</v>
      </c>
      <c r="AG152" s="49">
        <f t="shared" ca="1" si="22"/>
        <v>0</v>
      </c>
      <c r="AH152" s="49">
        <f t="shared" ca="1" si="22"/>
        <v>0</v>
      </c>
      <c r="AI152" s="49">
        <f t="shared" ca="1" si="22"/>
        <v>0</v>
      </c>
      <c r="AJ152" s="49">
        <f t="shared" ca="1" si="22"/>
        <v>0</v>
      </c>
      <c r="AK152" s="49">
        <f t="shared" ca="1" si="22"/>
        <v>0</v>
      </c>
      <c r="AL152" s="49">
        <f t="shared" ca="1" si="22"/>
        <v>0</v>
      </c>
      <c r="AM152" s="49">
        <f t="shared" ca="1" si="22"/>
        <v>0</v>
      </c>
      <c r="AN152" s="49">
        <f t="shared" ca="1" si="22"/>
        <v>0</v>
      </c>
      <c r="AO152" s="49">
        <f t="shared" ca="1" si="22"/>
        <v>0</v>
      </c>
      <c r="AP152" s="49">
        <f t="shared" ca="1" si="22"/>
        <v>0</v>
      </c>
      <c r="AQ152" s="49">
        <f t="shared" ca="1" si="22"/>
        <v>0</v>
      </c>
      <c r="AR152" s="49">
        <f t="shared" ref="AR152:BS152" ca="1" si="23">OFFSET(_xlfn.SINGLE(IA_oilprice_nominal),3,)</f>
        <v>0</v>
      </c>
      <c r="AS152" s="49">
        <f t="shared" ca="1" si="23"/>
        <v>0</v>
      </c>
      <c r="AT152" s="49">
        <f t="shared" ca="1" si="23"/>
        <v>0</v>
      </c>
      <c r="AU152" s="49">
        <f t="shared" ca="1" si="23"/>
        <v>0</v>
      </c>
      <c r="AV152" s="49">
        <f t="shared" ca="1" si="23"/>
        <v>0</v>
      </c>
      <c r="AW152" s="49">
        <f t="shared" ca="1" si="23"/>
        <v>0</v>
      </c>
      <c r="AX152" s="49">
        <f t="shared" ca="1" si="23"/>
        <v>0</v>
      </c>
      <c r="AY152" s="49">
        <f t="shared" ca="1" si="23"/>
        <v>0</v>
      </c>
      <c r="AZ152" s="49">
        <f t="shared" ca="1" si="23"/>
        <v>0</v>
      </c>
      <c r="BA152" s="49">
        <f t="shared" ca="1" si="23"/>
        <v>0</v>
      </c>
      <c r="BB152" s="49">
        <f t="shared" ca="1" si="23"/>
        <v>0</v>
      </c>
      <c r="BC152" s="49">
        <f t="shared" ca="1" si="23"/>
        <v>0</v>
      </c>
      <c r="BD152" s="49">
        <f t="shared" ca="1" si="23"/>
        <v>0</v>
      </c>
      <c r="BE152" s="49">
        <f t="shared" ca="1" si="23"/>
        <v>0</v>
      </c>
      <c r="BF152" s="49">
        <f t="shared" ca="1" si="23"/>
        <v>0</v>
      </c>
      <c r="BG152" s="49">
        <f t="shared" ca="1" si="23"/>
        <v>0</v>
      </c>
      <c r="BH152" s="49">
        <f t="shared" ca="1" si="23"/>
        <v>0</v>
      </c>
      <c r="BI152" s="49">
        <f t="shared" ca="1" si="23"/>
        <v>0</v>
      </c>
      <c r="BJ152" s="49">
        <f t="shared" ca="1" si="23"/>
        <v>0</v>
      </c>
      <c r="BK152" s="49">
        <f t="shared" ca="1" si="23"/>
        <v>0</v>
      </c>
      <c r="BL152" s="49">
        <f t="shared" ca="1" si="23"/>
        <v>0</v>
      </c>
      <c r="BM152" s="49">
        <f t="shared" ca="1" si="23"/>
        <v>0</v>
      </c>
      <c r="BN152" s="49">
        <f t="shared" ca="1" si="23"/>
        <v>0</v>
      </c>
      <c r="BO152" s="49">
        <f t="shared" ca="1" si="23"/>
        <v>0</v>
      </c>
      <c r="BP152" s="49">
        <f t="shared" ca="1" si="23"/>
        <v>0</v>
      </c>
      <c r="BQ152" s="49">
        <f t="shared" ca="1" si="23"/>
        <v>0</v>
      </c>
      <c r="BR152" s="49">
        <f t="shared" ca="1" si="23"/>
        <v>0</v>
      </c>
      <c r="BS152" s="49">
        <f t="shared" ca="1" si="23"/>
        <v>0</v>
      </c>
    </row>
    <row r="153" spans="1:71" outlineLevel="1" x14ac:dyDescent="0.2">
      <c r="J153" s="26"/>
      <c r="L153" s="55"/>
      <c r="M153" s="55"/>
      <c r="N153" s="55"/>
      <c r="O153" s="55"/>
      <c r="P153" s="55"/>
      <c r="Q153" s="55"/>
      <c r="R153" s="55"/>
      <c r="S153" s="55"/>
      <c r="T153" s="55"/>
      <c r="U153" s="55"/>
      <c r="V153" s="55"/>
      <c r="W153" s="55"/>
      <c r="X153" s="55"/>
      <c r="Y153" s="55"/>
      <c r="Z153" s="55"/>
      <c r="AA153" s="55"/>
      <c r="AB153" s="55"/>
      <c r="AC153" s="55"/>
      <c r="AD153" s="55"/>
      <c r="AE153" s="55"/>
      <c r="AF153" s="55"/>
      <c r="AG153" s="55"/>
      <c r="AH153" s="55"/>
      <c r="AI153" s="55"/>
      <c r="AJ153" s="55"/>
      <c r="AK153" s="55"/>
      <c r="AL153" s="55"/>
      <c r="AM153" s="55"/>
      <c r="AN153" s="55"/>
      <c r="AO153" s="55"/>
      <c r="AP153" s="55"/>
      <c r="AQ153" s="55"/>
      <c r="AR153" s="55"/>
      <c r="AS153" s="55"/>
      <c r="AT153" s="55"/>
      <c r="AU153" s="55"/>
      <c r="AV153" s="55"/>
      <c r="AW153" s="55"/>
      <c r="AX153" s="55"/>
      <c r="AY153" s="55"/>
      <c r="AZ153" s="55"/>
      <c r="BA153" s="55"/>
      <c r="BB153" s="55"/>
      <c r="BC153" s="55"/>
      <c r="BD153" s="55"/>
      <c r="BE153" s="55"/>
      <c r="BF153" s="55"/>
      <c r="BG153" s="55"/>
      <c r="BH153" s="55"/>
      <c r="BI153" s="55"/>
      <c r="BJ153" s="55"/>
      <c r="BK153" s="55"/>
      <c r="BL153" s="55"/>
      <c r="BM153" s="55"/>
      <c r="BN153" s="55"/>
      <c r="BO153" s="55"/>
      <c r="BP153" s="55"/>
      <c r="BQ153" s="55"/>
      <c r="BR153" s="55"/>
      <c r="BS153" s="55"/>
    </row>
    <row r="154" spans="1:71" outlineLevel="1" x14ac:dyDescent="0.2">
      <c r="D154" t="str">
        <f>HM_ZA_Nkossa!D145</f>
        <v>Prix du GPL (Nominal)</v>
      </c>
      <c r="J154" s="26" t="s">
        <v>46</v>
      </c>
      <c r="K154" s="7" t="s">
        <v>689</v>
      </c>
      <c r="L154" s="49">
        <f t="shared" ref="L154:AQ154" ca="1" si="24">OFFSET(_xlfn.SINGLE(IA_lpgprice_nominal),3,)</f>
        <v>75.569879476134531</v>
      </c>
      <c r="M154" s="49">
        <f t="shared" ca="1" si="24"/>
        <v>65.935165105233324</v>
      </c>
      <c r="N154" s="49">
        <f t="shared" ca="1" si="24"/>
        <v>28.078451770509467</v>
      </c>
      <c r="O154" s="49">
        <f t="shared" ca="1" si="24"/>
        <v>23.137570699932404</v>
      </c>
      <c r="P154" s="49">
        <f t="shared" ca="1" si="24"/>
        <v>29.256735483870973</v>
      </c>
      <c r="Q154" s="49">
        <f t="shared" ca="1" si="24"/>
        <v>42.562816801619441</v>
      </c>
      <c r="R154" s="49">
        <f t="shared" ca="1" si="24"/>
        <v>33.53255195216321</v>
      </c>
      <c r="S154" s="49">
        <f t="shared" ca="1" si="24"/>
        <v>41.00483333333333</v>
      </c>
      <c r="T154" s="49">
        <f t="shared" ca="1" si="24"/>
        <v>39.91104</v>
      </c>
      <c r="U154" s="49">
        <f t="shared" ca="1" si="24"/>
        <v>42.84</v>
      </c>
      <c r="V154" s="49">
        <f t="shared" ca="1" si="24"/>
        <v>43.696800000000003</v>
      </c>
      <c r="W154" s="49">
        <f t="shared" ca="1" si="24"/>
        <v>44.570735999999997</v>
      </c>
      <c r="X154" s="49">
        <f t="shared" ca="1" si="24"/>
        <v>45.462150720000004</v>
      </c>
      <c r="Y154" s="49">
        <f t="shared" ca="1" si="24"/>
        <v>0</v>
      </c>
      <c r="Z154" s="49">
        <f t="shared" ca="1" si="24"/>
        <v>0</v>
      </c>
      <c r="AA154" s="49">
        <f t="shared" ca="1" si="24"/>
        <v>0</v>
      </c>
      <c r="AB154" s="49">
        <f t="shared" ca="1" si="24"/>
        <v>0</v>
      </c>
      <c r="AC154" s="49">
        <f t="shared" ca="1" si="24"/>
        <v>0</v>
      </c>
      <c r="AD154" s="49">
        <f t="shared" ca="1" si="24"/>
        <v>0</v>
      </c>
      <c r="AE154" s="49">
        <f t="shared" ca="1" si="24"/>
        <v>0</v>
      </c>
      <c r="AF154" s="49">
        <f t="shared" ca="1" si="24"/>
        <v>0</v>
      </c>
      <c r="AG154" s="49">
        <f t="shared" ca="1" si="24"/>
        <v>0</v>
      </c>
      <c r="AH154" s="49">
        <f t="shared" ca="1" si="24"/>
        <v>0</v>
      </c>
      <c r="AI154" s="49">
        <f t="shared" ca="1" si="24"/>
        <v>0</v>
      </c>
      <c r="AJ154" s="49">
        <f t="shared" ca="1" si="24"/>
        <v>0</v>
      </c>
      <c r="AK154" s="49">
        <f t="shared" ca="1" si="24"/>
        <v>0</v>
      </c>
      <c r="AL154" s="49">
        <f t="shared" ca="1" si="24"/>
        <v>0</v>
      </c>
      <c r="AM154" s="49">
        <f t="shared" ca="1" si="24"/>
        <v>0</v>
      </c>
      <c r="AN154" s="49">
        <f t="shared" ca="1" si="24"/>
        <v>0</v>
      </c>
      <c r="AO154" s="49">
        <f t="shared" ca="1" si="24"/>
        <v>0</v>
      </c>
      <c r="AP154" s="49">
        <f t="shared" ca="1" si="24"/>
        <v>0</v>
      </c>
      <c r="AQ154" s="49">
        <f t="shared" ca="1" si="24"/>
        <v>0</v>
      </c>
      <c r="AR154" s="49">
        <f t="shared" ref="AR154:BS154" ca="1" si="25">OFFSET(_xlfn.SINGLE(IA_lpgprice_nominal),3,)</f>
        <v>0</v>
      </c>
      <c r="AS154" s="49">
        <f t="shared" ca="1" si="25"/>
        <v>0</v>
      </c>
      <c r="AT154" s="49">
        <f t="shared" ca="1" si="25"/>
        <v>0</v>
      </c>
      <c r="AU154" s="49">
        <f t="shared" ca="1" si="25"/>
        <v>0</v>
      </c>
      <c r="AV154" s="49">
        <f t="shared" ca="1" si="25"/>
        <v>0</v>
      </c>
      <c r="AW154" s="49">
        <f t="shared" ca="1" si="25"/>
        <v>0</v>
      </c>
      <c r="AX154" s="49">
        <f t="shared" ca="1" si="25"/>
        <v>0</v>
      </c>
      <c r="AY154" s="49">
        <f t="shared" ca="1" si="25"/>
        <v>0</v>
      </c>
      <c r="AZ154" s="49">
        <f t="shared" ca="1" si="25"/>
        <v>0</v>
      </c>
      <c r="BA154" s="49">
        <f t="shared" ca="1" si="25"/>
        <v>0</v>
      </c>
      <c r="BB154" s="49">
        <f t="shared" ca="1" si="25"/>
        <v>0</v>
      </c>
      <c r="BC154" s="49">
        <f t="shared" ca="1" si="25"/>
        <v>0</v>
      </c>
      <c r="BD154" s="49">
        <f t="shared" ca="1" si="25"/>
        <v>0</v>
      </c>
      <c r="BE154" s="49">
        <f t="shared" ca="1" si="25"/>
        <v>0</v>
      </c>
      <c r="BF154" s="49">
        <f t="shared" ca="1" si="25"/>
        <v>0</v>
      </c>
      <c r="BG154" s="49">
        <f t="shared" ca="1" si="25"/>
        <v>0</v>
      </c>
      <c r="BH154" s="49">
        <f t="shared" ca="1" si="25"/>
        <v>0</v>
      </c>
      <c r="BI154" s="49">
        <f t="shared" ca="1" si="25"/>
        <v>0</v>
      </c>
      <c r="BJ154" s="49">
        <f t="shared" ca="1" si="25"/>
        <v>0</v>
      </c>
      <c r="BK154" s="49">
        <f t="shared" ca="1" si="25"/>
        <v>0</v>
      </c>
      <c r="BL154" s="49">
        <f t="shared" ca="1" si="25"/>
        <v>0</v>
      </c>
      <c r="BM154" s="49">
        <f t="shared" ca="1" si="25"/>
        <v>0</v>
      </c>
      <c r="BN154" s="49">
        <f t="shared" ca="1" si="25"/>
        <v>0</v>
      </c>
      <c r="BO154" s="49">
        <f t="shared" ca="1" si="25"/>
        <v>0</v>
      </c>
      <c r="BP154" s="49">
        <f t="shared" ca="1" si="25"/>
        <v>0</v>
      </c>
      <c r="BQ154" s="49">
        <f t="shared" ca="1" si="25"/>
        <v>0</v>
      </c>
      <c r="BR154" s="49">
        <f t="shared" ca="1" si="25"/>
        <v>0</v>
      </c>
      <c r="BS154" s="49">
        <f t="shared" ca="1" si="25"/>
        <v>0</v>
      </c>
    </row>
    <row r="155" spans="1:71" outlineLevel="1" x14ac:dyDescent="0.2">
      <c r="J155" s="26"/>
      <c r="L155" s="55"/>
      <c r="M155" s="55"/>
      <c r="N155" s="55"/>
      <c r="O155" s="55"/>
      <c r="P155" s="55"/>
      <c r="Q155" s="55"/>
      <c r="R155" s="55"/>
      <c r="S155" s="55"/>
      <c r="T155" s="55"/>
      <c r="U155" s="55"/>
      <c r="V155" s="55"/>
      <c r="W155" s="55"/>
      <c r="X155" s="55"/>
      <c r="Y155" s="55"/>
      <c r="Z155" s="55"/>
      <c r="AA155" s="55"/>
      <c r="AB155" s="55"/>
      <c r="AC155" s="55"/>
      <c r="AD155" s="55"/>
      <c r="AE155" s="55"/>
      <c r="AF155" s="55"/>
      <c r="AG155" s="55"/>
      <c r="AH155" s="55"/>
      <c r="AI155" s="55"/>
      <c r="AJ155" s="55"/>
      <c r="AK155" s="55"/>
      <c r="AL155" s="55"/>
      <c r="AM155" s="55"/>
      <c r="AN155" s="55"/>
      <c r="AO155" s="55"/>
      <c r="AP155" s="55"/>
      <c r="AQ155" s="55"/>
      <c r="AR155" s="55"/>
      <c r="AS155" s="55"/>
      <c r="AT155" s="55"/>
      <c r="AU155" s="55"/>
      <c r="AV155" s="55"/>
      <c r="AW155" s="55"/>
      <c r="AX155" s="55"/>
      <c r="AY155" s="55"/>
      <c r="AZ155" s="55"/>
      <c r="BA155" s="55"/>
      <c r="BB155" s="55"/>
      <c r="BC155" s="55"/>
      <c r="BD155" s="55"/>
      <c r="BE155" s="55"/>
      <c r="BF155" s="55"/>
      <c r="BG155" s="55"/>
      <c r="BH155" s="55"/>
      <c r="BI155" s="55"/>
      <c r="BJ155" s="55"/>
      <c r="BK155" s="55"/>
      <c r="BL155" s="55"/>
      <c r="BM155" s="55"/>
      <c r="BN155" s="55"/>
      <c r="BO155" s="55"/>
      <c r="BP155" s="55"/>
      <c r="BQ155" s="55"/>
      <c r="BR155" s="55"/>
      <c r="BS155" s="55"/>
    </row>
    <row r="156" spans="1:71" outlineLevel="1" x14ac:dyDescent="0.2">
      <c r="D156" t="str">
        <f>HM_ZA_Nkossa!D147</f>
        <v>Prix du gaz (Nominal)</v>
      </c>
      <c r="J156" s="26" t="s">
        <v>47</v>
      </c>
      <c r="K156" s="7" t="s">
        <v>142</v>
      </c>
      <c r="L156" s="49">
        <f t="shared" ref="L156:AQ156" ca="1" si="26">OFFSET(_xlfn.SINGLE(IA_gasprice_nominal),3,)</f>
        <v>0</v>
      </c>
      <c r="M156" s="49">
        <f t="shared" ca="1" si="26"/>
        <v>0</v>
      </c>
      <c r="N156" s="49">
        <f t="shared" ca="1" si="26"/>
        <v>0</v>
      </c>
      <c r="O156" s="49">
        <f t="shared" ca="1" si="26"/>
        <v>0</v>
      </c>
      <c r="P156" s="49">
        <f t="shared" ca="1" si="26"/>
        <v>0</v>
      </c>
      <c r="Q156" s="49">
        <f t="shared" ca="1" si="26"/>
        <v>0</v>
      </c>
      <c r="R156" s="49">
        <f t="shared" ca="1" si="26"/>
        <v>0</v>
      </c>
      <c r="S156" s="49">
        <f t="shared" ca="1" si="26"/>
        <v>0</v>
      </c>
      <c r="T156" s="49">
        <f t="shared" ca="1" si="26"/>
        <v>0</v>
      </c>
      <c r="U156" s="49">
        <f t="shared" ca="1" si="26"/>
        <v>0</v>
      </c>
      <c r="V156" s="49">
        <f t="shared" ca="1" si="26"/>
        <v>0</v>
      </c>
      <c r="W156" s="49">
        <f t="shared" ca="1" si="26"/>
        <v>0</v>
      </c>
      <c r="X156" s="49">
        <f t="shared" ca="1" si="26"/>
        <v>0</v>
      </c>
      <c r="Y156" s="49">
        <f t="shared" ca="1" si="26"/>
        <v>0</v>
      </c>
      <c r="Z156" s="49">
        <f t="shared" ca="1" si="26"/>
        <v>0</v>
      </c>
      <c r="AA156" s="49">
        <f t="shared" ca="1" si="26"/>
        <v>0</v>
      </c>
      <c r="AB156" s="49">
        <f t="shared" ca="1" si="26"/>
        <v>0</v>
      </c>
      <c r="AC156" s="49">
        <f t="shared" ca="1" si="26"/>
        <v>0</v>
      </c>
      <c r="AD156" s="49">
        <f t="shared" ca="1" si="26"/>
        <v>0</v>
      </c>
      <c r="AE156" s="49">
        <f t="shared" ca="1" si="26"/>
        <v>0</v>
      </c>
      <c r="AF156" s="49">
        <f t="shared" ca="1" si="26"/>
        <v>0</v>
      </c>
      <c r="AG156" s="49">
        <f t="shared" ca="1" si="26"/>
        <v>0</v>
      </c>
      <c r="AH156" s="49">
        <f t="shared" ca="1" si="26"/>
        <v>0</v>
      </c>
      <c r="AI156" s="49">
        <f t="shared" ca="1" si="26"/>
        <v>0</v>
      </c>
      <c r="AJ156" s="49">
        <f t="shared" ca="1" si="26"/>
        <v>0</v>
      </c>
      <c r="AK156" s="49">
        <f t="shared" ca="1" si="26"/>
        <v>0</v>
      </c>
      <c r="AL156" s="49">
        <f t="shared" ca="1" si="26"/>
        <v>0</v>
      </c>
      <c r="AM156" s="49">
        <f t="shared" ca="1" si="26"/>
        <v>0</v>
      </c>
      <c r="AN156" s="49">
        <f t="shared" ca="1" si="26"/>
        <v>0</v>
      </c>
      <c r="AO156" s="49">
        <f t="shared" ca="1" si="26"/>
        <v>0</v>
      </c>
      <c r="AP156" s="49">
        <f t="shared" ca="1" si="26"/>
        <v>0</v>
      </c>
      <c r="AQ156" s="49">
        <f t="shared" ca="1" si="26"/>
        <v>0</v>
      </c>
      <c r="AR156" s="49">
        <f t="shared" ref="AR156:BS156" ca="1" si="27">OFFSET(_xlfn.SINGLE(IA_gasprice_nominal),3,)</f>
        <v>0</v>
      </c>
      <c r="AS156" s="49">
        <f t="shared" ca="1" si="27"/>
        <v>0</v>
      </c>
      <c r="AT156" s="49">
        <f t="shared" ca="1" si="27"/>
        <v>0</v>
      </c>
      <c r="AU156" s="49">
        <f t="shared" ca="1" si="27"/>
        <v>0</v>
      </c>
      <c r="AV156" s="49">
        <f t="shared" ca="1" si="27"/>
        <v>0</v>
      </c>
      <c r="AW156" s="49">
        <f t="shared" ca="1" si="27"/>
        <v>0</v>
      </c>
      <c r="AX156" s="49">
        <f t="shared" ca="1" si="27"/>
        <v>0</v>
      </c>
      <c r="AY156" s="49">
        <f t="shared" ca="1" si="27"/>
        <v>0</v>
      </c>
      <c r="AZ156" s="49">
        <f t="shared" ca="1" si="27"/>
        <v>0</v>
      </c>
      <c r="BA156" s="49">
        <f t="shared" ca="1" si="27"/>
        <v>0</v>
      </c>
      <c r="BB156" s="49">
        <f t="shared" ca="1" si="27"/>
        <v>0</v>
      </c>
      <c r="BC156" s="49">
        <f t="shared" ca="1" si="27"/>
        <v>0</v>
      </c>
      <c r="BD156" s="49">
        <f t="shared" ca="1" si="27"/>
        <v>0</v>
      </c>
      <c r="BE156" s="49">
        <f t="shared" ca="1" si="27"/>
        <v>0</v>
      </c>
      <c r="BF156" s="49">
        <f t="shared" ca="1" si="27"/>
        <v>0</v>
      </c>
      <c r="BG156" s="49">
        <f t="shared" ca="1" si="27"/>
        <v>0</v>
      </c>
      <c r="BH156" s="49">
        <f t="shared" ca="1" si="27"/>
        <v>0</v>
      </c>
      <c r="BI156" s="49">
        <f t="shared" ca="1" si="27"/>
        <v>0</v>
      </c>
      <c r="BJ156" s="49">
        <f t="shared" ca="1" si="27"/>
        <v>0</v>
      </c>
      <c r="BK156" s="49">
        <f t="shared" ca="1" si="27"/>
        <v>0</v>
      </c>
      <c r="BL156" s="49">
        <f t="shared" ca="1" si="27"/>
        <v>0</v>
      </c>
      <c r="BM156" s="49">
        <f t="shared" ca="1" si="27"/>
        <v>0</v>
      </c>
      <c r="BN156" s="49">
        <f t="shared" ca="1" si="27"/>
        <v>0</v>
      </c>
      <c r="BO156" s="49">
        <f t="shared" ca="1" si="27"/>
        <v>0</v>
      </c>
      <c r="BP156" s="49">
        <f t="shared" ca="1" si="27"/>
        <v>0</v>
      </c>
      <c r="BQ156" s="49">
        <f t="shared" ca="1" si="27"/>
        <v>0</v>
      </c>
      <c r="BR156" s="49">
        <f t="shared" ca="1" si="27"/>
        <v>0</v>
      </c>
      <c r="BS156" s="49">
        <f t="shared" ca="1" si="27"/>
        <v>0</v>
      </c>
    </row>
    <row r="157" spans="1:71" outlineLevel="1" x14ac:dyDescent="0.2">
      <c r="J157" s="26"/>
      <c r="L157" s="55"/>
      <c r="M157" s="55"/>
      <c r="N157" s="55"/>
      <c r="O157" s="55"/>
      <c r="P157" s="55"/>
      <c r="Q157" s="55"/>
      <c r="R157" s="55"/>
      <c r="S157" s="55"/>
      <c r="T157" s="55"/>
      <c r="U157" s="55"/>
      <c r="V157" s="55"/>
      <c r="W157" s="55"/>
      <c r="X157" s="55"/>
      <c r="Y157" s="55"/>
      <c r="Z157" s="55"/>
      <c r="AA157" s="55"/>
      <c r="AB157" s="55"/>
      <c r="AC157" s="55"/>
      <c r="AD157" s="55"/>
      <c r="AE157" s="55"/>
      <c r="AF157" s="55"/>
      <c r="AG157" s="55"/>
      <c r="AH157" s="55"/>
      <c r="AI157" s="55"/>
      <c r="AJ157" s="55"/>
      <c r="AK157" s="55"/>
      <c r="AL157" s="55"/>
      <c r="AM157" s="55"/>
      <c r="AN157" s="55"/>
      <c r="AO157" s="55"/>
      <c r="AP157" s="55"/>
      <c r="AQ157" s="55"/>
      <c r="AR157" s="55"/>
      <c r="AS157" s="55"/>
      <c r="AT157" s="55"/>
      <c r="AU157" s="55"/>
      <c r="AV157" s="55"/>
      <c r="AW157" s="55"/>
      <c r="AX157" s="55"/>
      <c r="AY157" s="55"/>
      <c r="AZ157" s="55"/>
      <c r="BA157" s="55"/>
      <c r="BB157" s="55"/>
      <c r="BC157" s="55"/>
      <c r="BD157" s="55"/>
      <c r="BE157" s="55"/>
      <c r="BF157" s="55"/>
      <c r="BG157" s="55"/>
      <c r="BH157" s="55"/>
      <c r="BI157" s="55"/>
      <c r="BJ157" s="55"/>
      <c r="BK157" s="55"/>
      <c r="BL157" s="55"/>
      <c r="BM157" s="55"/>
      <c r="BN157" s="55"/>
      <c r="BO157" s="55"/>
      <c r="BP157" s="55"/>
      <c r="BQ157" s="55"/>
      <c r="BR157" s="55"/>
      <c r="BS157" s="55"/>
    </row>
    <row r="158" spans="1:71" outlineLevel="1" x14ac:dyDescent="0.2">
      <c r="C158" s="11" t="str">
        <f>HM_ZA_Nkossa!C149</f>
        <v>Prix Haut (PH)</v>
      </c>
      <c r="J158" s="26"/>
      <c r="L158" s="55"/>
      <c r="M158" s="55"/>
      <c r="N158" s="55"/>
      <c r="O158" s="55"/>
      <c r="P158" s="55"/>
      <c r="Q158" s="55"/>
      <c r="R158" s="55"/>
      <c r="S158" s="55"/>
      <c r="T158" s="55"/>
      <c r="U158" s="55"/>
      <c r="V158" s="55"/>
      <c r="W158" s="55"/>
      <c r="X158" s="55"/>
      <c r="Y158" s="55"/>
      <c r="Z158" s="55"/>
      <c r="AA158" s="55"/>
      <c r="AB158" s="55"/>
      <c r="AC158" s="55"/>
      <c r="AD158" s="55"/>
      <c r="AE158" s="55"/>
      <c r="AF158" s="55"/>
      <c r="AG158" s="55"/>
      <c r="AH158" s="55"/>
      <c r="AI158" s="55"/>
      <c r="AJ158" s="55"/>
      <c r="AK158" s="55"/>
      <c r="AL158" s="55"/>
      <c r="AM158" s="55"/>
      <c r="AN158" s="55"/>
      <c r="AO158" s="55"/>
      <c r="AP158" s="55"/>
      <c r="AQ158" s="55"/>
      <c r="AR158" s="55"/>
      <c r="AS158" s="55"/>
      <c r="AT158" s="55"/>
      <c r="AU158" s="55"/>
      <c r="AV158" s="55"/>
      <c r="AW158" s="55"/>
      <c r="AX158" s="55"/>
      <c r="AY158" s="55"/>
      <c r="AZ158" s="55"/>
      <c r="BA158" s="55"/>
      <c r="BB158" s="55"/>
      <c r="BC158" s="55"/>
      <c r="BD158" s="55"/>
      <c r="BE158" s="55"/>
      <c r="BF158" s="55"/>
      <c r="BG158" s="55"/>
      <c r="BH158" s="55"/>
      <c r="BI158" s="55"/>
      <c r="BJ158" s="55"/>
      <c r="BK158" s="55"/>
      <c r="BL158" s="55"/>
      <c r="BM158" s="55"/>
      <c r="BN158" s="55"/>
      <c r="BO158" s="55"/>
      <c r="BP158" s="55"/>
      <c r="BQ158" s="55"/>
      <c r="BR158" s="55"/>
      <c r="BS158" s="55"/>
    </row>
    <row r="159" spans="1:71" outlineLevel="1" x14ac:dyDescent="0.2">
      <c r="D159" t="str">
        <f>HM_ZA_Nkossa!D150</f>
        <v>Prix du pétrole PH1 (nominal)</v>
      </c>
      <c r="J159" s="26" t="s">
        <v>46</v>
      </c>
      <c r="K159" s="7" t="s">
        <v>609</v>
      </c>
      <c r="L159" s="49">
        <f ca="1">IF(L$4&lt;YEAR(effective_date_Nsoko2019),OFFSET(_xlfn.SINGLE(IA_historic_HP),3,),INDEX(HM_ZB_Nsoko!FA_HP,1)*_xlfn.SINGLE(CA_infl_index_HP1))</f>
        <v>29.870249999999999</v>
      </c>
      <c r="M159" s="49">
        <f ca="1">IF(M$4&lt;YEAR(effective_date_Nsoko2019),OFFSET(_xlfn.SINGLE(IA_historic_HP),3,),INDEX(HM_ZB_Nsoko!FA_HP,1)*_xlfn.SINGLE(CA_infl_index_HP1))</f>
        <v>30.137</v>
      </c>
      <c r="N159" s="49">
        <f ca="1">IF(N$4&lt;YEAR(effective_date_Nsoko2019),OFFSET(_xlfn.SINGLE(IA_historic_HP),3,),INDEX(HM_ZB_Nsoko!FA_HP,1)*_xlfn.SINGLE(CA_infl_index_HP1))</f>
        <v>30.511749999999999</v>
      </c>
      <c r="O159" s="49">
        <f ca="1">IF(O$4&lt;YEAR(effective_date_Nsoko2019),OFFSET(_xlfn.SINGLE(IA_historic_HP),3,),INDEX(HM_ZB_Nsoko!FA_HP,1)*_xlfn.SINGLE(CA_infl_index_HP1))</f>
        <v>30.977999999999998</v>
      </c>
      <c r="P159" s="49">
        <f ca="1">IF(P$4&lt;YEAR(effective_date_Nsoko2019),OFFSET(_xlfn.SINGLE(IA_historic_HP),3,),INDEX(HM_ZB_Nsoko!FA_HP,1)*_xlfn.SINGLE(CA_infl_index_HP1))</f>
        <v>31.553000000000001</v>
      </c>
      <c r="Q159" s="49">
        <f ca="1">IF(Q$4&lt;YEAR(effective_date_Nsoko2019),OFFSET(_xlfn.SINGLE(IA_historic_HP),3,),INDEX(HM_ZB_Nsoko!FA_HP,1)*_xlfn.SINGLE(CA_infl_index_HP1))</f>
        <v>32.152000000000001</v>
      </c>
      <c r="R159" s="49">
        <f ca="1">IF(R$4&lt;YEAR(effective_date_Nsoko2019),OFFSET(_xlfn.SINGLE(IA_historic_HP),3,),INDEX(HM_ZB_Nsoko!FA_HP,1)*_xlfn.SINGLE(CA_infl_index_HP1))</f>
        <v>32.690842711523793</v>
      </c>
      <c r="S159" s="49">
        <f ca="1">IF(S$4&lt;YEAR(effective_date_Nsoko2019),OFFSET(_xlfn.SINGLE(IA_historic_HP),3,),INDEX(HM_ZB_Nsoko!FA_HP,1)*_xlfn.SINGLE(CA_infl_index_HP1))</f>
        <v>33.34465956575427</v>
      </c>
      <c r="T159" s="49">
        <f ca="1">IF(T$4&lt;YEAR(effective_date_Nsoko2019),OFFSET(_xlfn.SINGLE(IA_historic_HP),3,),INDEX(HM_ZB_Nsoko!FA_HP,1)*_xlfn.SINGLE(CA_infl_index_HP1))</f>
        <v>34.011552757069353</v>
      </c>
      <c r="U159" s="49">
        <f ca="1">IF(U$4&lt;YEAR(effective_date_Nsoko2019),OFFSET(_xlfn.SINGLE(IA_historic_HP),3,),INDEX(HM_ZB_Nsoko!FA_HP,1)*_xlfn.SINGLE(CA_infl_index_HP1))</f>
        <v>34.691783812210737</v>
      </c>
      <c r="V159" s="49">
        <f ca="1">IF(V$4&lt;YEAR(effective_date_Nsoko2019),OFFSET(_xlfn.SINGLE(IA_historic_HP),3,),INDEX(HM_ZB_Nsoko!FA_HP,1)*_xlfn.SINGLE(CA_infl_index_HP1))</f>
        <v>35.38561948845495</v>
      </c>
      <c r="W159" s="49">
        <f ca="1">IF(W$4&lt;YEAR(effective_date_Nsoko2019),OFFSET(_xlfn.SINGLE(IA_historic_HP),3,),INDEX(HM_ZB_Nsoko!FA_HP,1)*_xlfn.SINGLE(CA_infl_index_HP1))</f>
        <v>36.093331878224049</v>
      </c>
      <c r="X159" s="49">
        <f ca="1">IF(X$4&lt;YEAR(effective_date_Nsoko2019),OFFSET(_xlfn.SINGLE(IA_historic_HP),3,),INDEX(HM_ZB_Nsoko!FA_HP,1)*_xlfn.SINGLE(CA_infl_index_HP1))</f>
        <v>36.815198515788538</v>
      </c>
      <c r="Y159" s="49">
        <f ca="1">IF(Y$4&lt;YEAR(effective_date_Nsoko2019),OFFSET(_xlfn.SINGLE(IA_historic_HP),3,),INDEX(HM_ZB_Nsoko!FA_HP,1)*_xlfn.SINGLE(CA_infl_index_HP1))</f>
        <v>37.551502486104297</v>
      </c>
      <c r="Z159" s="49">
        <f ca="1">IF(Z$4&lt;YEAR(effective_date_Nsoko2019),OFFSET(_xlfn.SINGLE(IA_historic_HP),3,),INDEX(HM_ZB_Nsoko!FA_HP,1)*_xlfn.SINGLE(CA_infl_index_HP1))</f>
        <v>38.302532535826394</v>
      </c>
      <c r="AA159" s="49">
        <f ca="1">IF(AA$4&lt;YEAR(effective_date_Nsoko2019),OFFSET(_xlfn.SINGLE(IA_historic_HP),3,),INDEX(HM_ZB_Nsoko!FA_HP,1)*_xlfn.SINGLE(CA_infl_index_HP1))</f>
        <v>39.068583186542917</v>
      </c>
      <c r="AB159" s="49">
        <f ca="1">IF(AB$4&lt;YEAR(effective_date_Nsoko2019),OFFSET(_xlfn.SINGLE(IA_historic_HP),3,),INDEX(HM_ZB_Nsoko!FA_HP,1)*_xlfn.SINGLE(CA_infl_index_HP1))</f>
        <v>39.849954850273775</v>
      </c>
      <c r="AC159" s="49">
        <f ca="1">IF(AC$4&lt;YEAR(effective_date_Nsoko2019),OFFSET(_xlfn.SINGLE(IA_historic_HP),3,),INDEX(HM_ZB_Nsoko!FA_HP,1)*_xlfn.SINGLE(CA_infl_index_HP1))</f>
        <v>40.646953947279243</v>
      </c>
      <c r="AD159" s="49">
        <f ca="1">IF(AD$4&lt;YEAR(effective_date_Nsoko2019),OFFSET(_xlfn.SINGLE(IA_historic_HP),3,),INDEX(HM_ZB_Nsoko!FA_HP,1)*_xlfn.SINGLE(CA_infl_index_HP1))</f>
        <v>41.459893026224833</v>
      </c>
      <c r="AE159" s="49">
        <f ca="1">IF(AE$4&lt;YEAR(effective_date_Nsoko2019),OFFSET(_xlfn.SINGLE(IA_historic_HP),3,),INDEX(HM_ZB_Nsoko!FA_HP,1)*_xlfn.SINGLE(CA_infl_index_HP1))</f>
        <v>42.289090886749335</v>
      </c>
      <c r="AF159" s="49">
        <f ca="1">IF(AF$4&lt;YEAR(effective_date_Nsoko2019),OFFSET(_xlfn.SINGLE(IA_historic_HP),3,),INDEX(HM_ZB_Nsoko!FA_HP,1)*_xlfn.SINGLE(CA_infl_index_HP1))</f>
        <v>43.134872704484316</v>
      </c>
      <c r="AG159" s="49">
        <f ca="1">IF(AG$4&lt;YEAR(effective_date_Nsoko2019),OFFSET(_xlfn.SINGLE(IA_historic_HP),3,),INDEX(HM_ZB_Nsoko!FA_HP,1)*_xlfn.SINGLE(CA_infl_index_HP1))</f>
        <v>43.997570158574007</v>
      </c>
      <c r="AH159" s="49">
        <f ca="1">IF(AH$4&lt;YEAR(effective_date_Nsoko2019),OFFSET(_xlfn.SINGLE(IA_historic_HP),3,),INDEX(HM_ZB_Nsoko!FA_HP,1)*_xlfn.SINGLE(CA_infl_index_HP1))</f>
        <v>44.877521561745482</v>
      </c>
      <c r="AI159" s="49">
        <f ca="1">IF(AI$4&lt;YEAR(effective_date_Nsoko2019),OFFSET(_xlfn.SINGLE(IA_historic_HP),3,),INDEX(HM_ZB_Nsoko!FA_HP,1)*_xlfn.SINGLE(CA_infl_index_HP1))</f>
        <v>45.775071992980401</v>
      </c>
      <c r="AJ159" s="49">
        <f ca="1">IF(AJ$4&lt;YEAR(effective_date_Nsoko2019),OFFSET(_xlfn.SINGLE(IA_historic_HP),3,),INDEX(HM_ZB_Nsoko!FA_HP,1)*_xlfn.SINGLE(CA_infl_index_HP1))</f>
        <v>46.690573432840011</v>
      </c>
      <c r="AK159" s="49">
        <f ca="1">IF(AK$4&lt;YEAR(effective_date_Nsoko2019),OFFSET(_xlfn.SINGLE(IA_historic_HP),3,),INDEX(HM_ZB_Nsoko!FA_HP,1)*_xlfn.SINGLE(CA_infl_index_HP1))</f>
        <v>47.624384901496789</v>
      </c>
      <c r="AL159" s="49">
        <f ca="1">IF(AL$4&lt;YEAR(effective_date_Nsoko2019),OFFSET(_xlfn.SINGLE(IA_historic_HP),3,),INDEX(HM_ZB_Nsoko!FA_HP,1)*_xlfn.SINGLE(CA_infl_index_HP1))</f>
        <v>48.576872599526737</v>
      </c>
      <c r="AM159" s="49">
        <f ca="1">IF(AM$4&lt;YEAR(effective_date_Nsoko2019),OFFSET(_xlfn.SINGLE(IA_historic_HP),3,),INDEX(HM_ZB_Nsoko!FA_HP,1)*_xlfn.SINGLE(CA_infl_index_HP1))</f>
        <v>49.548410051517273</v>
      </c>
      <c r="AN159" s="49">
        <f ca="1">IF(AN$4&lt;YEAR(effective_date_Nsoko2019),OFFSET(_xlfn.SINGLE(IA_historic_HP),3,),INDEX(HM_ZB_Nsoko!FA_HP,1)*_xlfn.SINGLE(CA_infl_index_HP1))</f>
        <v>50.539378252547614</v>
      </c>
      <c r="AO159" s="49">
        <f ca="1">IF(AO$4&lt;YEAR(effective_date_Nsoko2019),OFFSET(_xlfn.SINGLE(IA_historic_HP),3,),INDEX(HM_ZB_Nsoko!FA_HP,1)*_xlfn.SINGLE(CA_infl_index_HP1))</f>
        <v>51.550165817598568</v>
      </c>
      <c r="AP159" s="49">
        <f ca="1">IF(AP$4&lt;YEAR(effective_date_Nsoko2019),OFFSET(_xlfn.SINGLE(IA_historic_HP),3,),INDEX(HM_ZB_Nsoko!FA_HP,1)*_xlfn.SINGLE(CA_infl_index_HP1))</f>
        <v>52.581169133950546</v>
      </c>
      <c r="AQ159" s="49">
        <f ca="1">IF(AQ$4&lt;YEAR(effective_date_Nsoko2019),OFFSET(_xlfn.SINGLE(IA_historic_HP),3,),INDEX(HM_ZB_Nsoko!FA_HP,1)*_xlfn.SINGLE(CA_infl_index_HP1))</f>
        <v>53.63279251662955</v>
      </c>
      <c r="AR159" s="49">
        <f ca="1">IF(AR$4&lt;YEAR(effective_date_Nsoko2019),OFFSET(_xlfn.SINGLE(IA_historic_HP),3,),INDEX(HM_ZB_Nsoko!FA_HP,1)*_xlfn.SINGLE(CA_infl_index_HP1))</f>
        <v>54.705448366962152</v>
      </c>
      <c r="AS159" s="49">
        <f ca="1">IF(AS$4&lt;YEAR(effective_date_Nsoko2019),OFFSET(_xlfn.SINGLE(IA_historic_HP),3,),INDEX(HM_ZB_Nsoko!FA_HP,1)*_xlfn.SINGLE(CA_infl_index_HP1))</f>
        <v>55.799557334301369</v>
      </c>
      <c r="AT159" s="49">
        <f ca="1">IF(AT$4&lt;YEAR(effective_date_Nsoko2019),OFFSET(_xlfn.SINGLE(IA_historic_HP),3,),INDEX(HM_ZB_Nsoko!FA_HP,1)*_xlfn.SINGLE(CA_infl_index_HP1))</f>
        <v>56.915548480987411</v>
      </c>
      <c r="AU159" s="49">
        <f ca="1">IF(AU$4&lt;YEAR(effective_date_Nsoko2019),OFFSET(_xlfn.SINGLE(IA_historic_HP),3,),INDEX(HM_ZB_Nsoko!FA_HP,1)*_xlfn.SINGLE(CA_infl_index_HP1))</f>
        <v>58.053859450607163</v>
      </c>
      <c r="AV159" s="49">
        <f ca="1">IF(AV$4&lt;YEAR(effective_date_Nsoko2019),OFFSET(_xlfn.SINGLE(IA_historic_HP),3,),INDEX(HM_ZB_Nsoko!FA_HP,1)*_xlfn.SINGLE(CA_infl_index_HP1))</f>
        <v>59.214936639619303</v>
      </c>
      <c r="AW159" s="49">
        <f ca="1">IF(AW$4&lt;YEAR(effective_date_Nsoko2019),OFFSET(_xlfn.SINGLE(IA_historic_HP),3,),INDEX(HM_ZB_Nsoko!FA_HP,1)*_xlfn.SINGLE(CA_infl_index_HP1))</f>
        <v>60.399235372411681</v>
      </c>
      <c r="AX159" s="49">
        <f ca="1">IF(AX$4&lt;YEAR(effective_date_Nsoko2019),OFFSET(_xlfn.SINGLE(IA_historic_HP),3,),INDEX(HM_ZB_Nsoko!FA_HP,1)*_xlfn.SINGLE(CA_infl_index_HP1))</f>
        <v>61.607220079859928</v>
      </c>
      <c r="AY159" s="49">
        <f ca="1">IF(AY$4&lt;YEAR(effective_date_Nsoko2019),OFFSET(_xlfn.SINGLE(IA_historic_HP),3,),INDEX(HM_ZB_Nsoko!FA_HP,1)*_xlfn.SINGLE(CA_infl_index_HP1))</f>
        <v>62.839364481457118</v>
      </c>
      <c r="AZ159" s="49">
        <f ca="1">IF(AZ$4&lt;YEAR(effective_date_Nsoko2019),OFFSET(_xlfn.SINGLE(IA_historic_HP),3,),INDEX(HM_ZB_Nsoko!FA_HP,1)*_xlfn.SINGLE(CA_infl_index_HP1))</f>
        <v>64.096151771086269</v>
      </c>
      <c r="BA159" s="49">
        <f ca="1">IF(BA$4&lt;YEAR(effective_date_Nsoko2019),OFFSET(_xlfn.SINGLE(IA_historic_HP),3,),INDEX(HM_ZB_Nsoko!FA_HP,1)*_xlfn.SINGLE(CA_infl_index_HP1))</f>
        <v>65.378074806507968</v>
      </c>
      <c r="BB159" s="49">
        <f ca="1">IF(BB$4&lt;YEAR(effective_date_Nsoko2019),OFFSET(_xlfn.SINGLE(IA_historic_HP),3,),INDEX(HM_ZB_Nsoko!FA_HP,1)*_xlfn.SINGLE(CA_infl_index_HP1))</f>
        <v>66.68563630263813</v>
      </c>
      <c r="BC159" s="49">
        <f ca="1">IF(BC$4&lt;YEAR(effective_date_Nsoko2019),OFFSET(_xlfn.SINGLE(IA_historic_HP),3,),INDEX(HM_ZB_Nsoko!FA_HP,1)*_xlfn.SINGLE(CA_infl_index_HP1))</f>
        <v>68.019349028690897</v>
      </c>
      <c r="BD159" s="49">
        <f ca="1">IF(BD$4&lt;YEAR(effective_date_Nsoko2019),OFFSET(_xlfn.SINGLE(IA_historic_HP),3,),INDEX(HM_ZB_Nsoko!FA_HP,1)*_xlfn.SINGLE(CA_infl_index_HP1))</f>
        <v>69.379736009264718</v>
      </c>
      <c r="BE159" s="49">
        <f ca="1">IF(BE$4&lt;YEAR(effective_date_Nsoko2019),OFFSET(_xlfn.SINGLE(IA_historic_HP),3,),INDEX(HM_ZB_Nsoko!FA_HP,1)*_xlfn.SINGLE(CA_infl_index_HP1))</f>
        <v>70.767330729450009</v>
      </c>
      <c r="BF159" s="49">
        <f ca="1">IF(BF$4&lt;YEAR(effective_date_Nsoko2019),OFFSET(_xlfn.SINGLE(IA_historic_HP),3,),INDEX(HM_ZB_Nsoko!FA_HP,1)*_xlfn.SINGLE(CA_infl_index_HP1))</f>
        <v>72.182677344039021</v>
      </c>
      <c r="BG159" s="49">
        <f ca="1">IF(BG$4&lt;YEAR(effective_date_Nsoko2019),OFFSET(_xlfn.SINGLE(IA_historic_HP),3,),INDEX(HM_ZB_Nsoko!FA_HP,1)*_xlfn.SINGLE(CA_infl_index_HP1))</f>
        <v>73.626330890919803</v>
      </c>
      <c r="BH159" s="49">
        <f ca="1">IF(BH$4&lt;YEAR(effective_date_Nsoko2019),OFFSET(_xlfn.SINGLE(IA_historic_HP),3,),INDEX(HM_ZB_Nsoko!FA_HP,1)*_xlfn.SINGLE(CA_infl_index_HP1))</f>
        <v>75.098857508738192</v>
      </c>
      <c r="BI159" s="49">
        <f ca="1">IF(BI$4&lt;YEAR(effective_date_Nsoko2019),OFFSET(_xlfn.SINGLE(IA_historic_HP),3,),INDEX(HM_ZB_Nsoko!FA_HP,1)*_xlfn.SINGLE(CA_infl_index_HP1))</f>
        <v>76.600834658912945</v>
      </c>
      <c r="BJ159" s="49">
        <f ca="1">IF(BJ$4&lt;YEAR(effective_date_Nsoko2019),OFFSET(_xlfn.SINGLE(IA_historic_HP),3,),INDEX(HM_ZB_Nsoko!FA_HP,1)*_xlfn.SINGLE(CA_infl_index_HP1))</f>
        <v>78.132851352091222</v>
      </c>
      <c r="BK159" s="49">
        <f ca="1">IF(BK$4&lt;YEAR(effective_date_Nsoko2019),OFFSET(_xlfn.SINGLE(IA_historic_HP),3,),INDEX(HM_ZB_Nsoko!FA_HP,1)*_xlfn.SINGLE(CA_infl_index_HP1))</f>
        <v>79.695508379133045</v>
      </c>
      <c r="BL159" s="49">
        <f ca="1">IF(BL$4&lt;YEAR(effective_date_Nsoko2019),OFFSET(_xlfn.SINGLE(IA_historic_HP),3,),INDEX(HM_ZB_Nsoko!FA_HP,1)*_xlfn.SINGLE(CA_infl_index_HP1))</f>
        <v>81.289418546715694</v>
      </c>
      <c r="BM159" s="49">
        <f ca="1">IF(BM$4&lt;YEAR(effective_date_Nsoko2019),OFFSET(_xlfn.SINGLE(IA_historic_HP),3,),INDEX(HM_ZB_Nsoko!FA_HP,1)*_xlfn.SINGLE(CA_infl_index_HP1))</f>
        <v>82.915206917650011</v>
      </c>
      <c r="BN159" s="49">
        <f ca="1">IF(BN$4&lt;YEAR(effective_date_Nsoko2019),OFFSET(_xlfn.SINGLE(IA_historic_HP),3,),INDEX(HM_ZB_Nsoko!FA_HP,1)*_xlfn.SINGLE(CA_infl_index_HP1))</f>
        <v>84.573511056003014</v>
      </c>
      <c r="BO159" s="49">
        <f ca="1">IF(BO$4&lt;YEAR(effective_date_Nsoko2019),OFFSET(_xlfn.SINGLE(IA_historic_HP),3,),INDEX(HM_ZB_Nsoko!FA_HP,1)*_xlfn.SINGLE(CA_infl_index_HP1))</f>
        <v>86.26498127712307</v>
      </c>
      <c r="BP159" s="49">
        <f ca="1">IF(BP$4&lt;YEAR(effective_date_Nsoko2019),OFFSET(_xlfn.SINGLE(IA_historic_HP),3,),INDEX(HM_ZB_Nsoko!FA_HP,1)*_xlfn.SINGLE(CA_infl_index_HP1))</f>
        <v>87.990280902665546</v>
      </c>
      <c r="BQ159" s="49">
        <f ca="1">IF(BQ$4&lt;YEAR(effective_date_Nsoko2019),OFFSET(_xlfn.SINGLE(IA_historic_HP),3,),INDEX(HM_ZB_Nsoko!FA_HP,1)*_xlfn.SINGLE(CA_infl_index_HP1))</f>
        <v>89.750086520718838</v>
      </c>
      <c r="BR159" s="49">
        <f ca="1">IF(BR$4&lt;YEAR(effective_date_Nsoko2019),OFFSET(_xlfn.SINGLE(IA_historic_HP),3,),INDEX(HM_ZB_Nsoko!FA_HP,1)*_xlfn.SINGLE(CA_infl_index_HP1))</f>
        <v>91.545088251133222</v>
      </c>
      <c r="BS159" s="49">
        <f ca="1">IF(BS$4&lt;YEAR(effective_date_Nsoko2019),OFFSET(_xlfn.SINGLE(IA_historic_HP),3,),INDEX(HM_ZB_Nsoko!FA_HP,1)*_xlfn.SINGLE(CA_infl_index_HP1))</f>
        <v>93.375990016155882</v>
      </c>
    </row>
    <row r="160" spans="1:71" outlineLevel="1" x14ac:dyDescent="0.2">
      <c r="J160" s="26"/>
      <c r="L160" s="55"/>
      <c r="M160" s="55"/>
      <c r="N160" s="55"/>
      <c r="O160" s="55"/>
      <c r="P160" s="55"/>
      <c r="Q160" s="55"/>
      <c r="R160" s="55"/>
      <c r="S160" s="55"/>
      <c r="T160" s="55"/>
      <c r="U160" s="55"/>
      <c r="V160" s="55"/>
      <c r="W160" s="55"/>
      <c r="X160" s="55"/>
      <c r="Y160" s="55"/>
      <c r="Z160" s="55"/>
      <c r="AA160" s="55"/>
      <c r="AB160" s="55"/>
      <c r="AC160" s="55"/>
      <c r="AD160" s="55"/>
      <c r="AE160" s="55"/>
      <c r="AF160" s="55"/>
      <c r="AG160" s="55"/>
      <c r="AH160" s="55"/>
      <c r="AI160" s="55"/>
      <c r="AJ160" s="55"/>
      <c r="AK160" s="55"/>
      <c r="AL160" s="55"/>
      <c r="AM160" s="55"/>
      <c r="AN160" s="55"/>
      <c r="AO160" s="55"/>
      <c r="AP160" s="55"/>
      <c r="AQ160" s="55"/>
      <c r="AR160" s="55"/>
      <c r="AS160" s="55"/>
      <c r="AT160" s="55"/>
      <c r="AU160" s="55"/>
      <c r="AV160" s="55"/>
      <c r="AW160" s="55"/>
      <c r="AX160" s="55"/>
      <c r="AY160" s="55"/>
      <c r="AZ160" s="55"/>
      <c r="BA160" s="55"/>
      <c r="BB160" s="55"/>
      <c r="BC160" s="55"/>
      <c r="BD160" s="55"/>
      <c r="BE160" s="55"/>
      <c r="BF160" s="55"/>
      <c r="BG160" s="55"/>
      <c r="BH160" s="55"/>
      <c r="BI160" s="55"/>
      <c r="BJ160" s="55"/>
      <c r="BK160" s="55"/>
      <c r="BL160" s="55"/>
      <c r="BM160" s="55"/>
      <c r="BN160" s="55"/>
      <c r="BO160" s="55"/>
      <c r="BP160" s="55"/>
      <c r="BQ160" s="55"/>
      <c r="BR160" s="55"/>
      <c r="BS160" s="55"/>
    </row>
    <row r="161" spans="1:71" outlineLevel="1" x14ac:dyDescent="0.2">
      <c r="D161" t="str">
        <f>HM_ZA_Nkossa!D152</f>
        <v>Prix du pétrole PH2 (Nominal)</v>
      </c>
      <c r="J161" s="26" t="s">
        <v>46</v>
      </c>
      <c r="K161" s="7" t="s">
        <v>610</v>
      </c>
      <c r="L161" s="49">
        <f ca="1">IF(L$4&lt;YEAR(effective_date_Nsoko2019),0,
IF(AND(L$4&gt;=YEAR(effective_date_Nsoko2019),OFFSET(_xlfn.SINGLE(IA_historic_HP),3,)&lt;&gt;0),OFFSET(_xlfn.SINGLE(IA_historic_HP),3,),INDEX(HM_ZB_Nsoko!FA_HP,2)))</f>
        <v>0</v>
      </c>
      <c r="M161" s="49">
        <f ca="1">IF(M$4&lt;YEAR(effective_date_Nsoko2019),0,
IF(AND(M$4&gt;=YEAR(effective_date_Nsoko2019),OFFSET(_xlfn.SINGLE(IA_historic_HP),3,)&lt;&gt;0),OFFSET(_xlfn.SINGLE(IA_historic_HP),3,),INDEX(HM_ZB_Nsoko!FA_HP,2)))</f>
        <v>0</v>
      </c>
      <c r="N161" s="49">
        <f ca="1">IF(N$4&lt;YEAR(effective_date_Nsoko2019),0,
IF(AND(N$4&gt;=YEAR(effective_date_Nsoko2019),OFFSET(_xlfn.SINGLE(IA_historic_HP),3,)&lt;&gt;0),OFFSET(_xlfn.SINGLE(IA_historic_HP),3,),INDEX(HM_ZB_Nsoko!FA_HP,2)))</f>
        <v>0</v>
      </c>
      <c r="O161" s="49">
        <f ca="1">IF(O$4&lt;YEAR(effective_date_Nsoko2019),0,
IF(AND(O$4&gt;=YEAR(effective_date_Nsoko2019),OFFSET(_xlfn.SINGLE(IA_historic_HP),3,)&lt;&gt;0),OFFSET(_xlfn.SINGLE(IA_historic_HP),3,),INDEX(HM_ZB_Nsoko!FA_HP,2)))</f>
        <v>0</v>
      </c>
      <c r="P161" s="49">
        <f ca="1">IF(P$4&lt;YEAR(effective_date_Nsoko2019),0,
IF(AND(P$4&gt;=YEAR(effective_date_Nsoko2019),OFFSET(_xlfn.SINGLE(IA_historic_HP),3,)&lt;&gt;0),OFFSET(_xlfn.SINGLE(IA_historic_HP),3,),INDEX(HM_ZB_Nsoko!FA_HP,2)))</f>
        <v>0</v>
      </c>
      <c r="Q161" s="49">
        <f ca="1">IF(Q$4&lt;YEAR(effective_date_Nsoko2019),0,
IF(AND(Q$4&gt;=YEAR(effective_date_Nsoko2019),OFFSET(_xlfn.SINGLE(IA_historic_HP),3,)&lt;&gt;0),OFFSET(_xlfn.SINGLE(IA_historic_HP),3,),INDEX(HM_ZB_Nsoko!FA_HP,2)))</f>
        <v>0</v>
      </c>
      <c r="R161" s="49">
        <f ca="1">IF(R$4&lt;YEAR(effective_date_Nsoko2019),0,
IF(AND(R$4&gt;=YEAR(effective_date_Nsoko2019),OFFSET(_xlfn.SINGLE(IA_historic_HP),3,)&lt;&gt;0),OFFSET(_xlfn.SINGLE(IA_historic_HP),3,),INDEX(HM_ZB_Nsoko!FA_HP,2)))</f>
        <v>41.183999999999997</v>
      </c>
      <c r="S161" s="49">
        <f ca="1">IF(S$4&lt;YEAR(effective_date_Nsoko2019),0,
IF(AND(S$4&gt;=YEAR(effective_date_Nsoko2019),OFFSET(_xlfn.SINGLE(IA_historic_HP),3,)&lt;&gt;0),OFFSET(_xlfn.SINGLE(IA_historic_HP),3,),INDEX(HM_ZB_Nsoko!FA_HP,2)))</f>
        <v>50</v>
      </c>
      <c r="T161" s="49">
        <f ca="1">IF(T$4&lt;YEAR(effective_date_Nsoko2019),0,
IF(AND(T$4&gt;=YEAR(effective_date_Nsoko2019),OFFSET(_xlfn.SINGLE(IA_historic_HP),3,)&lt;&gt;0),OFFSET(_xlfn.SINGLE(IA_historic_HP),3,),INDEX(HM_ZB_Nsoko!FA_HP,2)))</f>
        <v>50</v>
      </c>
      <c r="U161" s="49">
        <f ca="1">IF(U$4&lt;YEAR(effective_date_Nsoko2019),0,
IF(AND(U$4&gt;=YEAR(effective_date_Nsoko2019),OFFSET(_xlfn.SINGLE(IA_historic_HP),3,)&lt;&gt;0),OFFSET(_xlfn.SINGLE(IA_historic_HP),3,),INDEX(HM_ZB_Nsoko!FA_HP,2)))</f>
        <v>50</v>
      </c>
      <c r="V161" s="49">
        <f ca="1">IF(V$4&lt;YEAR(effective_date_Nsoko2019),0,
IF(AND(V$4&gt;=YEAR(effective_date_Nsoko2019),OFFSET(_xlfn.SINGLE(IA_historic_HP),3,)&lt;&gt;0),OFFSET(_xlfn.SINGLE(IA_historic_HP),3,),INDEX(HM_ZB_Nsoko!FA_HP,2)))</f>
        <v>50</v>
      </c>
      <c r="W161" s="49">
        <f ca="1">IF(W$4&lt;YEAR(effective_date_Nsoko2019),0,
IF(AND(W$4&gt;=YEAR(effective_date_Nsoko2019),OFFSET(_xlfn.SINGLE(IA_historic_HP),3,)&lt;&gt;0),OFFSET(_xlfn.SINGLE(IA_historic_HP),3,),INDEX(HM_ZB_Nsoko!FA_HP,2)))</f>
        <v>50</v>
      </c>
      <c r="X161" s="49">
        <f ca="1">IF(X$4&lt;YEAR(effective_date_Nsoko2019),0,
IF(AND(X$4&gt;=YEAR(effective_date_Nsoko2019),OFFSET(_xlfn.SINGLE(IA_historic_HP),3,)&lt;&gt;0),OFFSET(_xlfn.SINGLE(IA_historic_HP),3,),INDEX(HM_ZB_Nsoko!FA_HP,2)))</f>
        <v>50</v>
      </c>
      <c r="Y161" s="49">
        <f ca="1">IF(Y$4&lt;YEAR(effective_date_Nsoko2019),0,
IF(AND(Y$4&gt;=YEAR(effective_date_Nsoko2019),OFFSET(_xlfn.SINGLE(IA_historic_HP),3,)&lt;&gt;0),OFFSET(_xlfn.SINGLE(IA_historic_HP),3,),INDEX(HM_ZB_Nsoko!FA_HP,2)))</f>
        <v>50</v>
      </c>
      <c r="Z161" s="49">
        <f ca="1">IF(Z$4&lt;YEAR(effective_date_Nsoko2019),0,
IF(AND(Z$4&gt;=YEAR(effective_date_Nsoko2019),OFFSET(_xlfn.SINGLE(IA_historic_HP),3,)&lt;&gt;0),OFFSET(_xlfn.SINGLE(IA_historic_HP),3,),INDEX(HM_ZB_Nsoko!FA_HP,2)))</f>
        <v>50</v>
      </c>
      <c r="AA161" s="49">
        <f ca="1">IF(AA$4&lt;YEAR(effective_date_Nsoko2019),0,
IF(AND(AA$4&gt;=YEAR(effective_date_Nsoko2019),OFFSET(_xlfn.SINGLE(IA_historic_HP),3,)&lt;&gt;0),OFFSET(_xlfn.SINGLE(IA_historic_HP),3,),INDEX(HM_ZB_Nsoko!FA_HP,2)))</f>
        <v>50</v>
      </c>
      <c r="AB161" s="49">
        <f ca="1">IF(AB$4&lt;YEAR(effective_date_Nsoko2019),0,
IF(AND(AB$4&gt;=YEAR(effective_date_Nsoko2019),OFFSET(_xlfn.SINGLE(IA_historic_HP),3,)&lt;&gt;0),OFFSET(_xlfn.SINGLE(IA_historic_HP),3,),INDEX(HM_ZB_Nsoko!FA_HP,2)))</f>
        <v>50</v>
      </c>
      <c r="AC161" s="49">
        <f ca="1">IF(AC$4&lt;YEAR(effective_date_Nsoko2019),0,
IF(AND(AC$4&gt;=YEAR(effective_date_Nsoko2019),OFFSET(_xlfn.SINGLE(IA_historic_HP),3,)&lt;&gt;0),OFFSET(_xlfn.SINGLE(IA_historic_HP),3,),INDEX(HM_ZB_Nsoko!FA_HP,2)))</f>
        <v>50</v>
      </c>
      <c r="AD161" s="49">
        <f ca="1">IF(AD$4&lt;YEAR(effective_date_Nsoko2019),0,
IF(AND(AD$4&gt;=YEAR(effective_date_Nsoko2019),OFFSET(_xlfn.SINGLE(IA_historic_HP),3,)&lt;&gt;0),OFFSET(_xlfn.SINGLE(IA_historic_HP),3,),INDEX(HM_ZB_Nsoko!FA_HP,2)))</f>
        <v>50</v>
      </c>
      <c r="AE161" s="49">
        <f ca="1">IF(AE$4&lt;YEAR(effective_date_Nsoko2019),0,
IF(AND(AE$4&gt;=YEAR(effective_date_Nsoko2019),OFFSET(_xlfn.SINGLE(IA_historic_HP),3,)&lt;&gt;0),OFFSET(_xlfn.SINGLE(IA_historic_HP),3,),INDEX(HM_ZB_Nsoko!FA_HP,2)))</f>
        <v>50</v>
      </c>
      <c r="AF161" s="49">
        <f ca="1">IF(AF$4&lt;YEAR(effective_date_Nsoko2019),0,
IF(AND(AF$4&gt;=YEAR(effective_date_Nsoko2019),OFFSET(_xlfn.SINGLE(IA_historic_HP),3,)&lt;&gt;0),OFFSET(_xlfn.SINGLE(IA_historic_HP),3,),INDEX(HM_ZB_Nsoko!FA_HP,2)))</f>
        <v>50</v>
      </c>
      <c r="AG161" s="49">
        <f ca="1">IF(AG$4&lt;YEAR(effective_date_Nsoko2019),0,
IF(AND(AG$4&gt;=YEAR(effective_date_Nsoko2019),OFFSET(_xlfn.SINGLE(IA_historic_HP),3,)&lt;&gt;0),OFFSET(_xlfn.SINGLE(IA_historic_HP),3,),INDEX(HM_ZB_Nsoko!FA_HP,2)))</f>
        <v>50</v>
      </c>
      <c r="AH161" s="49">
        <f ca="1">IF(AH$4&lt;YEAR(effective_date_Nsoko2019),0,
IF(AND(AH$4&gt;=YEAR(effective_date_Nsoko2019),OFFSET(_xlfn.SINGLE(IA_historic_HP),3,)&lt;&gt;0),OFFSET(_xlfn.SINGLE(IA_historic_HP),3,),INDEX(HM_ZB_Nsoko!FA_HP,2)))</f>
        <v>50</v>
      </c>
      <c r="AI161" s="49">
        <f ca="1">IF(AI$4&lt;YEAR(effective_date_Nsoko2019),0,
IF(AND(AI$4&gt;=YEAR(effective_date_Nsoko2019),OFFSET(_xlfn.SINGLE(IA_historic_HP),3,)&lt;&gt;0),OFFSET(_xlfn.SINGLE(IA_historic_HP),3,),INDEX(HM_ZB_Nsoko!FA_HP,2)))</f>
        <v>50</v>
      </c>
      <c r="AJ161" s="49">
        <f ca="1">IF(AJ$4&lt;YEAR(effective_date_Nsoko2019),0,
IF(AND(AJ$4&gt;=YEAR(effective_date_Nsoko2019),OFFSET(_xlfn.SINGLE(IA_historic_HP),3,)&lt;&gt;0),OFFSET(_xlfn.SINGLE(IA_historic_HP),3,),INDEX(HM_ZB_Nsoko!FA_HP,2)))</f>
        <v>50</v>
      </c>
      <c r="AK161" s="49">
        <f ca="1">IF(AK$4&lt;YEAR(effective_date_Nsoko2019),0,
IF(AND(AK$4&gt;=YEAR(effective_date_Nsoko2019),OFFSET(_xlfn.SINGLE(IA_historic_HP),3,)&lt;&gt;0),OFFSET(_xlfn.SINGLE(IA_historic_HP),3,),INDEX(HM_ZB_Nsoko!FA_HP,2)))</f>
        <v>50</v>
      </c>
      <c r="AL161" s="49">
        <f ca="1">IF(AL$4&lt;YEAR(effective_date_Nsoko2019),0,
IF(AND(AL$4&gt;=YEAR(effective_date_Nsoko2019),OFFSET(_xlfn.SINGLE(IA_historic_HP),3,)&lt;&gt;0),OFFSET(_xlfn.SINGLE(IA_historic_HP),3,),INDEX(HM_ZB_Nsoko!FA_HP,2)))</f>
        <v>50</v>
      </c>
      <c r="AM161" s="49">
        <f ca="1">IF(AM$4&lt;YEAR(effective_date_Nsoko2019),0,
IF(AND(AM$4&gt;=YEAR(effective_date_Nsoko2019),OFFSET(_xlfn.SINGLE(IA_historic_HP),3,)&lt;&gt;0),OFFSET(_xlfn.SINGLE(IA_historic_HP),3,),INDEX(HM_ZB_Nsoko!FA_HP,2)))</f>
        <v>50</v>
      </c>
      <c r="AN161" s="49">
        <f ca="1">IF(AN$4&lt;YEAR(effective_date_Nsoko2019),0,
IF(AND(AN$4&gt;=YEAR(effective_date_Nsoko2019),OFFSET(_xlfn.SINGLE(IA_historic_HP),3,)&lt;&gt;0),OFFSET(_xlfn.SINGLE(IA_historic_HP),3,),INDEX(HM_ZB_Nsoko!FA_HP,2)))</f>
        <v>50</v>
      </c>
      <c r="AO161" s="49">
        <f ca="1">IF(AO$4&lt;YEAR(effective_date_Nsoko2019),0,
IF(AND(AO$4&gt;=YEAR(effective_date_Nsoko2019),OFFSET(_xlfn.SINGLE(IA_historic_HP),3,)&lt;&gt;0),OFFSET(_xlfn.SINGLE(IA_historic_HP),3,),INDEX(HM_ZB_Nsoko!FA_HP,2)))</f>
        <v>50</v>
      </c>
      <c r="AP161" s="49">
        <f ca="1">IF(AP$4&lt;YEAR(effective_date_Nsoko2019),0,
IF(AND(AP$4&gt;=YEAR(effective_date_Nsoko2019),OFFSET(_xlfn.SINGLE(IA_historic_HP),3,)&lt;&gt;0),OFFSET(_xlfn.SINGLE(IA_historic_HP),3,),INDEX(HM_ZB_Nsoko!FA_HP,2)))</f>
        <v>50</v>
      </c>
      <c r="AQ161" s="49">
        <f ca="1">IF(AQ$4&lt;YEAR(effective_date_Nsoko2019),0,
IF(AND(AQ$4&gt;=YEAR(effective_date_Nsoko2019),OFFSET(_xlfn.SINGLE(IA_historic_HP),3,)&lt;&gt;0),OFFSET(_xlfn.SINGLE(IA_historic_HP),3,),INDEX(HM_ZB_Nsoko!FA_HP,2)))</f>
        <v>50</v>
      </c>
      <c r="AR161" s="49">
        <f ca="1">IF(AR$4&lt;YEAR(effective_date_Nsoko2019),0,
IF(AND(AR$4&gt;=YEAR(effective_date_Nsoko2019),OFFSET(_xlfn.SINGLE(IA_historic_HP),3,)&lt;&gt;0),OFFSET(_xlfn.SINGLE(IA_historic_HP),3,),INDEX(HM_ZB_Nsoko!FA_HP,2)))</f>
        <v>50</v>
      </c>
      <c r="AS161" s="49">
        <f ca="1">IF(AS$4&lt;YEAR(effective_date_Nsoko2019),0,
IF(AND(AS$4&gt;=YEAR(effective_date_Nsoko2019),OFFSET(_xlfn.SINGLE(IA_historic_HP),3,)&lt;&gt;0),OFFSET(_xlfn.SINGLE(IA_historic_HP),3,),INDEX(HM_ZB_Nsoko!FA_HP,2)))</f>
        <v>50</v>
      </c>
      <c r="AT161" s="49">
        <f ca="1">IF(AT$4&lt;YEAR(effective_date_Nsoko2019),0,
IF(AND(AT$4&gt;=YEAR(effective_date_Nsoko2019),OFFSET(_xlfn.SINGLE(IA_historic_HP),3,)&lt;&gt;0),OFFSET(_xlfn.SINGLE(IA_historic_HP),3,),INDEX(HM_ZB_Nsoko!FA_HP,2)))</f>
        <v>50</v>
      </c>
      <c r="AU161" s="49">
        <f ca="1">IF(AU$4&lt;YEAR(effective_date_Nsoko2019),0,
IF(AND(AU$4&gt;=YEAR(effective_date_Nsoko2019),OFFSET(_xlfn.SINGLE(IA_historic_HP),3,)&lt;&gt;0),OFFSET(_xlfn.SINGLE(IA_historic_HP),3,),INDEX(HM_ZB_Nsoko!FA_HP,2)))</f>
        <v>50</v>
      </c>
      <c r="AV161" s="49">
        <f ca="1">IF(AV$4&lt;YEAR(effective_date_Nsoko2019),0,
IF(AND(AV$4&gt;=YEAR(effective_date_Nsoko2019),OFFSET(_xlfn.SINGLE(IA_historic_HP),3,)&lt;&gt;0),OFFSET(_xlfn.SINGLE(IA_historic_HP),3,),INDEX(HM_ZB_Nsoko!FA_HP,2)))</f>
        <v>50</v>
      </c>
      <c r="AW161" s="49">
        <f ca="1">IF(AW$4&lt;YEAR(effective_date_Nsoko2019),0,
IF(AND(AW$4&gt;=YEAR(effective_date_Nsoko2019),OFFSET(_xlfn.SINGLE(IA_historic_HP),3,)&lt;&gt;0),OFFSET(_xlfn.SINGLE(IA_historic_HP),3,),INDEX(HM_ZB_Nsoko!FA_HP,2)))</f>
        <v>50</v>
      </c>
      <c r="AX161" s="49">
        <f ca="1">IF(AX$4&lt;YEAR(effective_date_Nsoko2019),0,
IF(AND(AX$4&gt;=YEAR(effective_date_Nsoko2019),OFFSET(_xlfn.SINGLE(IA_historic_HP),3,)&lt;&gt;0),OFFSET(_xlfn.SINGLE(IA_historic_HP),3,),INDEX(HM_ZB_Nsoko!FA_HP,2)))</f>
        <v>50</v>
      </c>
      <c r="AY161" s="49">
        <f ca="1">IF(AY$4&lt;YEAR(effective_date_Nsoko2019),0,
IF(AND(AY$4&gt;=YEAR(effective_date_Nsoko2019),OFFSET(_xlfn.SINGLE(IA_historic_HP),3,)&lt;&gt;0),OFFSET(_xlfn.SINGLE(IA_historic_HP),3,),INDEX(HM_ZB_Nsoko!FA_HP,2)))</f>
        <v>50</v>
      </c>
      <c r="AZ161" s="49">
        <f ca="1">IF(AZ$4&lt;YEAR(effective_date_Nsoko2019),0,
IF(AND(AZ$4&gt;=YEAR(effective_date_Nsoko2019),OFFSET(_xlfn.SINGLE(IA_historic_HP),3,)&lt;&gt;0),OFFSET(_xlfn.SINGLE(IA_historic_HP),3,),INDEX(HM_ZB_Nsoko!FA_HP,2)))</f>
        <v>50</v>
      </c>
      <c r="BA161" s="49">
        <f ca="1">IF(BA$4&lt;YEAR(effective_date_Nsoko2019),0,
IF(AND(BA$4&gt;=YEAR(effective_date_Nsoko2019),OFFSET(_xlfn.SINGLE(IA_historic_HP),3,)&lt;&gt;0),OFFSET(_xlfn.SINGLE(IA_historic_HP),3,),INDEX(HM_ZB_Nsoko!FA_HP,2)))</f>
        <v>50</v>
      </c>
      <c r="BB161" s="49">
        <f ca="1">IF(BB$4&lt;YEAR(effective_date_Nsoko2019),0,
IF(AND(BB$4&gt;=YEAR(effective_date_Nsoko2019),OFFSET(_xlfn.SINGLE(IA_historic_HP),3,)&lt;&gt;0),OFFSET(_xlfn.SINGLE(IA_historic_HP),3,),INDEX(HM_ZB_Nsoko!FA_HP,2)))</f>
        <v>50</v>
      </c>
      <c r="BC161" s="49">
        <f ca="1">IF(BC$4&lt;YEAR(effective_date_Nsoko2019),0,
IF(AND(BC$4&gt;=YEAR(effective_date_Nsoko2019),OFFSET(_xlfn.SINGLE(IA_historic_HP),3,)&lt;&gt;0),OFFSET(_xlfn.SINGLE(IA_historic_HP),3,),INDEX(HM_ZB_Nsoko!FA_HP,2)))</f>
        <v>50</v>
      </c>
      <c r="BD161" s="49">
        <f ca="1">IF(BD$4&lt;YEAR(effective_date_Nsoko2019),0,
IF(AND(BD$4&gt;=YEAR(effective_date_Nsoko2019),OFFSET(_xlfn.SINGLE(IA_historic_HP),3,)&lt;&gt;0),OFFSET(_xlfn.SINGLE(IA_historic_HP),3,),INDEX(HM_ZB_Nsoko!FA_HP,2)))</f>
        <v>50</v>
      </c>
      <c r="BE161" s="49">
        <f ca="1">IF(BE$4&lt;YEAR(effective_date_Nsoko2019),0,
IF(AND(BE$4&gt;=YEAR(effective_date_Nsoko2019),OFFSET(_xlfn.SINGLE(IA_historic_HP),3,)&lt;&gt;0),OFFSET(_xlfn.SINGLE(IA_historic_HP),3,),INDEX(HM_ZB_Nsoko!FA_HP,2)))</f>
        <v>50</v>
      </c>
      <c r="BF161" s="49">
        <f ca="1">IF(BF$4&lt;YEAR(effective_date_Nsoko2019),0,
IF(AND(BF$4&gt;=YEAR(effective_date_Nsoko2019),OFFSET(_xlfn.SINGLE(IA_historic_HP),3,)&lt;&gt;0),OFFSET(_xlfn.SINGLE(IA_historic_HP),3,),INDEX(HM_ZB_Nsoko!FA_HP,2)))</f>
        <v>50</v>
      </c>
      <c r="BG161" s="49">
        <f ca="1">IF(BG$4&lt;YEAR(effective_date_Nsoko2019),0,
IF(AND(BG$4&gt;=YEAR(effective_date_Nsoko2019),OFFSET(_xlfn.SINGLE(IA_historic_HP),3,)&lt;&gt;0),OFFSET(_xlfn.SINGLE(IA_historic_HP),3,),INDEX(HM_ZB_Nsoko!FA_HP,2)))</f>
        <v>50</v>
      </c>
      <c r="BH161" s="49">
        <f ca="1">IF(BH$4&lt;YEAR(effective_date_Nsoko2019),0,
IF(AND(BH$4&gt;=YEAR(effective_date_Nsoko2019),OFFSET(_xlfn.SINGLE(IA_historic_HP),3,)&lt;&gt;0),OFFSET(_xlfn.SINGLE(IA_historic_HP),3,),INDEX(HM_ZB_Nsoko!FA_HP,2)))</f>
        <v>50</v>
      </c>
      <c r="BI161" s="49">
        <f ca="1">IF(BI$4&lt;YEAR(effective_date_Nsoko2019),0,
IF(AND(BI$4&gt;=YEAR(effective_date_Nsoko2019),OFFSET(_xlfn.SINGLE(IA_historic_HP),3,)&lt;&gt;0),OFFSET(_xlfn.SINGLE(IA_historic_HP),3,),INDEX(HM_ZB_Nsoko!FA_HP,2)))</f>
        <v>50</v>
      </c>
      <c r="BJ161" s="49">
        <f ca="1">IF(BJ$4&lt;YEAR(effective_date_Nsoko2019),0,
IF(AND(BJ$4&gt;=YEAR(effective_date_Nsoko2019),OFFSET(_xlfn.SINGLE(IA_historic_HP),3,)&lt;&gt;0),OFFSET(_xlfn.SINGLE(IA_historic_HP),3,),INDEX(HM_ZB_Nsoko!FA_HP,2)))</f>
        <v>50</v>
      </c>
      <c r="BK161" s="49">
        <f ca="1">IF(BK$4&lt;YEAR(effective_date_Nsoko2019),0,
IF(AND(BK$4&gt;=YEAR(effective_date_Nsoko2019),OFFSET(_xlfn.SINGLE(IA_historic_HP),3,)&lt;&gt;0),OFFSET(_xlfn.SINGLE(IA_historic_HP),3,),INDEX(HM_ZB_Nsoko!FA_HP,2)))</f>
        <v>50</v>
      </c>
      <c r="BL161" s="49">
        <f ca="1">IF(BL$4&lt;YEAR(effective_date_Nsoko2019),0,
IF(AND(BL$4&gt;=YEAR(effective_date_Nsoko2019),OFFSET(_xlfn.SINGLE(IA_historic_HP),3,)&lt;&gt;0),OFFSET(_xlfn.SINGLE(IA_historic_HP),3,),INDEX(HM_ZB_Nsoko!FA_HP,2)))</f>
        <v>50</v>
      </c>
      <c r="BM161" s="49">
        <f ca="1">IF(BM$4&lt;YEAR(effective_date_Nsoko2019),0,
IF(AND(BM$4&gt;=YEAR(effective_date_Nsoko2019),OFFSET(_xlfn.SINGLE(IA_historic_HP),3,)&lt;&gt;0),OFFSET(_xlfn.SINGLE(IA_historic_HP),3,),INDEX(HM_ZB_Nsoko!FA_HP,2)))</f>
        <v>50</v>
      </c>
      <c r="BN161" s="49">
        <f ca="1">IF(BN$4&lt;YEAR(effective_date_Nsoko2019),0,
IF(AND(BN$4&gt;=YEAR(effective_date_Nsoko2019),OFFSET(_xlfn.SINGLE(IA_historic_HP),3,)&lt;&gt;0),OFFSET(_xlfn.SINGLE(IA_historic_HP),3,),INDEX(HM_ZB_Nsoko!FA_HP,2)))</f>
        <v>50</v>
      </c>
      <c r="BO161" s="49">
        <f ca="1">IF(BO$4&lt;YEAR(effective_date_Nsoko2019),0,
IF(AND(BO$4&gt;=YEAR(effective_date_Nsoko2019),OFFSET(_xlfn.SINGLE(IA_historic_HP),3,)&lt;&gt;0),OFFSET(_xlfn.SINGLE(IA_historic_HP),3,),INDEX(HM_ZB_Nsoko!FA_HP,2)))</f>
        <v>50</v>
      </c>
      <c r="BP161" s="49">
        <f ca="1">IF(BP$4&lt;YEAR(effective_date_Nsoko2019),0,
IF(AND(BP$4&gt;=YEAR(effective_date_Nsoko2019),OFFSET(_xlfn.SINGLE(IA_historic_HP),3,)&lt;&gt;0),OFFSET(_xlfn.SINGLE(IA_historic_HP),3,),INDEX(HM_ZB_Nsoko!FA_HP,2)))</f>
        <v>50</v>
      </c>
      <c r="BQ161" s="49">
        <f ca="1">IF(BQ$4&lt;YEAR(effective_date_Nsoko2019),0,
IF(AND(BQ$4&gt;=YEAR(effective_date_Nsoko2019),OFFSET(_xlfn.SINGLE(IA_historic_HP),3,)&lt;&gt;0),OFFSET(_xlfn.SINGLE(IA_historic_HP),3,),INDEX(HM_ZB_Nsoko!FA_HP,2)))</f>
        <v>50</v>
      </c>
      <c r="BR161" s="49">
        <f ca="1">IF(BR$4&lt;YEAR(effective_date_Nsoko2019),0,
IF(AND(BR$4&gt;=YEAR(effective_date_Nsoko2019),OFFSET(_xlfn.SINGLE(IA_historic_HP),3,)&lt;&gt;0),OFFSET(_xlfn.SINGLE(IA_historic_HP),3,),INDEX(HM_ZB_Nsoko!FA_HP,2)))</f>
        <v>50</v>
      </c>
      <c r="BS161" s="49">
        <f ca="1">IF(BS$4&lt;YEAR(effective_date_Nsoko2019),0,
IF(AND(BS$4&gt;=YEAR(effective_date_Nsoko2019),OFFSET(_xlfn.SINGLE(IA_historic_HP),3,)&lt;&gt;0),OFFSET(_xlfn.SINGLE(IA_historic_HP),3,),INDEX(HM_ZB_Nsoko!FA_HP,2)))</f>
        <v>50</v>
      </c>
    </row>
    <row r="162" spans="1:71" outlineLevel="1" x14ac:dyDescent="0.2">
      <c r="J162" s="26"/>
      <c r="L162" s="55"/>
      <c r="M162" s="55"/>
      <c r="N162" s="55"/>
      <c r="O162" s="55"/>
      <c r="P162" s="55"/>
      <c r="Q162" s="55"/>
      <c r="R162" s="55"/>
      <c r="S162" s="55"/>
      <c r="T162" s="55"/>
      <c r="U162" s="55"/>
      <c r="V162" s="55"/>
      <c r="W162" s="55"/>
      <c r="X162" s="55"/>
      <c r="Y162" s="55"/>
      <c r="Z162" s="55"/>
      <c r="AA162" s="55"/>
      <c r="AB162" s="55"/>
      <c r="AC162" s="55"/>
      <c r="AD162" s="55"/>
      <c r="AE162" s="55"/>
      <c r="AF162" s="55"/>
      <c r="AG162" s="55"/>
      <c r="AH162" s="55"/>
      <c r="AI162" s="55"/>
      <c r="AJ162" s="55"/>
      <c r="AK162" s="55"/>
      <c r="AL162" s="55"/>
      <c r="AM162" s="55"/>
      <c r="AN162" s="55"/>
      <c r="AO162" s="55"/>
      <c r="AP162" s="55"/>
      <c r="AQ162" s="55"/>
      <c r="AR162" s="55"/>
      <c r="AS162" s="55"/>
      <c r="AT162" s="55"/>
      <c r="AU162" s="55"/>
      <c r="AV162" s="55"/>
      <c r="AW162" s="55"/>
      <c r="AX162" s="55"/>
      <c r="AY162" s="55"/>
      <c r="AZ162" s="55"/>
      <c r="BA162" s="55"/>
      <c r="BB162" s="55"/>
      <c r="BC162" s="55"/>
      <c r="BD162" s="55"/>
      <c r="BE162" s="55"/>
      <c r="BF162" s="55"/>
      <c r="BG162" s="55"/>
      <c r="BH162" s="55"/>
      <c r="BI162" s="55"/>
      <c r="BJ162" s="55"/>
      <c r="BK162" s="55"/>
      <c r="BL162" s="55"/>
      <c r="BM162" s="55"/>
      <c r="BN162" s="55"/>
      <c r="BO162" s="55"/>
      <c r="BP162" s="55"/>
      <c r="BQ162" s="55"/>
      <c r="BR162" s="55"/>
      <c r="BS162" s="55"/>
    </row>
    <row r="163" spans="1:71" outlineLevel="1" x14ac:dyDescent="0.2">
      <c r="D163" t="str">
        <f>HM_ZA_Nkossa!D154</f>
        <v>Indice d'inflation pour PH1</v>
      </c>
      <c r="J163" s="26"/>
      <c r="K163" s="7" t="s">
        <v>615</v>
      </c>
      <c r="L163" s="49">
        <f t="shared" ref="L163:AQ163" si="28">IF(L$4&lt;=YEAR(effective_date_Nsoko1999),1,(1+input_US_inflation_perc)^(L$4-YEAR(effective_date_Nsoko1999)))</f>
        <v>1.3194787630628722</v>
      </c>
      <c r="M163" s="49">
        <f t="shared" si="28"/>
        <v>1.3458683383241292</v>
      </c>
      <c r="N163" s="49">
        <f t="shared" si="28"/>
        <v>1.372785705090612</v>
      </c>
      <c r="O163" s="49">
        <f t="shared" si="28"/>
        <v>1.4002414191924244</v>
      </c>
      <c r="P163" s="49">
        <f t="shared" si="28"/>
        <v>1.4282462475762727</v>
      </c>
      <c r="Q163" s="49">
        <f t="shared" si="28"/>
        <v>1.4568111725277981</v>
      </c>
      <c r="R163" s="49">
        <f t="shared" si="28"/>
        <v>1.4859473959783542</v>
      </c>
      <c r="S163" s="49">
        <f t="shared" si="28"/>
        <v>1.5156663438979212</v>
      </c>
      <c r="T163" s="49">
        <f t="shared" si="28"/>
        <v>1.5459796707758797</v>
      </c>
      <c r="U163" s="49">
        <f t="shared" si="28"/>
        <v>1.576899264191397</v>
      </c>
      <c r="V163" s="49">
        <f t="shared" si="28"/>
        <v>1.608437249475225</v>
      </c>
      <c r="W163" s="49">
        <f t="shared" si="28"/>
        <v>1.6406059944647295</v>
      </c>
      <c r="X163" s="49">
        <f t="shared" si="28"/>
        <v>1.6734181143540243</v>
      </c>
      <c r="Y163" s="49">
        <f t="shared" si="28"/>
        <v>1.7068864766411045</v>
      </c>
      <c r="Z163" s="49">
        <f t="shared" si="28"/>
        <v>1.7410242061739269</v>
      </c>
      <c r="AA163" s="49">
        <f t="shared" si="28"/>
        <v>1.7758446902974052</v>
      </c>
      <c r="AB163" s="49">
        <f t="shared" si="28"/>
        <v>1.8113615841033535</v>
      </c>
      <c r="AC163" s="49">
        <f t="shared" si="28"/>
        <v>1.8475888157854201</v>
      </c>
      <c r="AD163" s="49">
        <f t="shared" si="28"/>
        <v>1.8845405921011289</v>
      </c>
      <c r="AE163" s="49">
        <f t="shared" si="28"/>
        <v>1.9222314039431516</v>
      </c>
      <c r="AF163" s="49">
        <f t="shared" si="28"/>
        <v>1.9606760320220145</v>
      </c>
      <c r="AG163" s="49">
        <f t="shared" si="28"/>
        <v>1.9998895526624547</v>
      </c>
      <c r="AH163" s="49">
        <f t="shared" si="28"/>
        <v>2.0398873437157037</v>
      </c>
      <c r="AI163" s="49">
        <f t="shared" si="28"/>
        <v>2.080685090590018</v>
      </c>
      <c r="AJ163" s="49">
        <f t="shared" si="28"/>
        <v>2.1222987924018186</v>
      </c>
      <c r="AK163" s="49">
        <f t="shared" si="28"/>
        <v>2.1647447682498542</v>
      </c>
      <c r="AL163" s="49">
        <f t="shared" si="28"/>
        <v>2.2080396636148518</v>
      </c>
      <c r="AM163" s="49">
        <f t="shared" si="28"/>
        <v>2.2522004568871488</v>
      </c>
      <c r="AN163" s="49">
        <f t="shared" si="28"/>
        <v>2.2972444660248916</v>
      </c>
      <c r="AO163" s="49">
        <f t="shared" si="28"/>
        <v>2.3431893553453893</v>
      </c>
      <c r="AP163" s="49">
        <f t="shared" si="28"/>
        <v>2.3900531424522975</v>
      </c>
      <c r="AQ163" s="49">
        <f t="shared" si="28"/>
        <v>2.4378542053013432</v>
      </c>
      <c r="AR163" s="49">
        <f t="shared" ref="AR163:BS163" si="29">IF(AR$4&lt;=YEAR(effective_date_Nsoko1999),1,(1+input_US_inflation_perc)^(AR$4-YEAR(effective_date_Nsoko1999)))</f>
        <v>2.4866112894073704</v>
      </c>
      <c r="AS163" s="49">
        <f t="shared" si="29"/>
        <v>2.5363435151955169</v>
      </c>
      <c r="AT163" s="49">
        <f t="shared" si="29"/>
        <v>2.5870703854994277</v>
      </c>
      <c r="AU163" s="49">
        <f t="shared" si="29"/>
        <v>2.6388117932094164</v>
      </c>
      <c r="AV163" s="49">
        <f t="shared" si="29"/>
        <v>2.6915880290736047</v>
      </c>
      <c r="AW163" s="49">
        <f t="shared" si="29"/>
        <v>2.7454197896550765</v>
      </c>
      <c r="AX163" s="49">
        <f t="shared" si="29"/>
        <v>2.8003281854481785</v>
      </c>
      <c r="AY163" s="49">
        <f t="shared" si="29"/>
        <v>2.8563347491571416</v>
      </c>
      <c r="AZ163" s="49">
        <f t="shared" si="29"/>
        <v>2.9134614441402849</v>
      </c>
      <c r="BA163" s="49">
        <f t="shared" si="29"/>
        <v>2.9717306730230897</v>
      </c>
      <c r="BB163" s="49">
        <f t="shared" si="29"/>
        <v>3.0311652864835517</v>
      </c>
      <c r="BC163" s="49">
        <f t="shared" si="29"/>
        <v>3.0917885922132227</v>
      </c>
      <c r="BD163" s="49">
        <f t="shared" si="29"/>
        <v>3.1536243640574875</v>
      </c>
      <c r="BE163" s="49">
        <f t="shared" si="29"/>
        <v>3.2166968513386367</v>
      </c>
      <c r="BF163" s="49">
        <f t="shared" si="29"/>
        <v>3.2810307883654102</v>
      </c>
      <c r="BG163" s="49">
        <f t="shared" si="29"/>
        <v>3.346651404132718</v>
      </c>
      <c r="BH163" s="49">
        <f t="shared" si="29"/>
        <v>3.4135844322153726</v>
      </c>
      <c r="BI163" s="49">
        <f t="shared" si="29"/>
        <v>3.4818561208596792</v>
      </c>
      <c r="BJ163" s="49">
        <f t="shared" si="29"/>
        <v>3.5514932432768735</v>
      </c>
      <c r="BK163" s="49">
        <f t="shared" si="29"/>
        <v>3.6225231081424112</v>
      </c>
      <c r="BL163" s="49">
        <f t="shared" si="29"/>
        <v>3.6949735703052591</v>
      </c>
      <c r="BM163" s="49">
        <f t="shared" si="29"/>
        <v>3.7688730417113643</v>
      </c>
      <c r="BN163" s="49">
        <f t="shared" si="29"/>
        <v>3.8442505025455915</v>
      </c>
      <c r="BO163" s="49">
        <f t="shared" si="29"/>
        <v>3.9211355125965035</v>
      </c>
      <c r="BP163" s="49">
        <f t="shared" si="29"/>
        <v>3.9995582228484339</v>
      </c>
      <c r="BQ163" s="49">
        <f t="shared" si="29"/>
        <v>4.0795493873054021</v>
      </c>
      <c r="BR163" s="49">
        <f t="shared" si="29"/>
        <v>4.1611403750515104</v>
      </c>
      <c r="BS163" s="49">
        <f t="shared" si="29"/>
        <v>4.2443631825525401</v>
      </c>
    </row>
    <row r="164" spans="1:71" outlineLevel="1" x14ac:dyDescent="0.2">
      <c r="J164" s="26"/>
      <c r="L164" s="55"/>
      <c r="M164" s="55"/>
      <c r="N164" s="55"/>
      <c r="O164" s="55"/>
      <c r="P164" s="55"/>
      <c r="Q164" s="55"/>
      <c r="R164" s="55"/>
      <c r="S164" s="55"/>
      <c r="T164" s="55"/>
      <c r="U164" s="55"/>
      <c r="V164" s="55"/>
      <c r="W164" s="55"/>
      <c r="X164" s="55"/>
      <c r="Y164" s="55"/>
      <c r="Z164" s="55"/>
      <c r="AA164" s="55"/>
      <c r="AB164" s="55"/>
      <c r="AC164" s="55"/>
      <c r="AD164" s="55"/>
      <c r="AE164" s="55"/>
      <c r="AF164" s="55"/>
      <c r="AG164" s="55"/>
      <c r="AH164" s="55"/>
      <c r="AI164" s="55"/>
      <c r="AJ164" s="55"/>
      <c r="AK164" s="55"/>
      <c r="AL164" s="55"/>
      <c r="AM164" s="55"/>
      <c r="AN164" s="55"/>
      <c r="AO164" s="55"/>
      <c r="AP164" s="55"/>
      <c r="AQ164" s="55"/>
      <c r="AR164" s="55"/>
      <c r="AS164" s="55"/>
      <c r="AT164" s="55"/>
      <c r="AU164" s="55"/>
      <c r="AV164" s="55"/>
      <c r="AW164" s="55"/>
      <c r="AX164" s="55"/>
      <c r="AY164" s="55"/>
      <c r="AZ164" s="55"/>
      <c r="BA164" s="55"/>
      <c r="BB164" s="55"/>
      <c r="BC164" s="55"/>
      <c r="BD164" s="55"/>
      <c r="BE164" s="55"/>
      <c r="BF164" s="55"/>
      <c r="BG164" s="55"/>
      <c r="BH164" s="55"/>
      <c r="BI164" s="55"/>
      <c r="BJ164" s="55"/>
      <c r="BK164" s="55"/>
      <c r="BL164" s="55"/>
      <c r="BM164" s="55"/>
      <c r="BN164" s="55"/>
      <c r="BO164" s="55"/>
      <c r="BP164" s="55"/>
      <c r="BQ164" s="55"/>
      <c r="BR164" s="55"/>
      <c r="BS164" s="55"/>
    </row>
    <row r="165" spans="1:71" outlineLevel="1" x14ac:dyDescent="0.2">
      <c r="D165" t="str">
        <f>HM_ZA_Nkossa!D156</f>
        <v>Indice d'inflation pour PH2</v>
      </c>
      <c r="J165" s="26"/>
      <c r="K165" s="7" t="s">
        <v>616</v>
      </c>
      <c r="L165" s="49">
        <f t="shared" ref="L165:AQ165" si="30">IF(L$4&lt;=YEAR(effective_date_Nsoko2019),1,(1+input_US_inflation_perc)^(L$4-YEAR(effective_date_Nsoko2019)))</f>
        <v>1</v>
      </c>
      <c r="M165" s="49">
        <f t="shared" si="30"/>
        <v>1</v>
      </c>
      <c r="N165" s="49">
        <f t="shared" si="30"/>
        <v>1</v>
      </c>
      <c r="O165" s="49">
        <f t="shared" si="30"/>
        <v>1</v>
      </c>
      <c r="P165" s="49">
        <f t="shared" si="30"/>
        <v>1</v>
      </c>
      <c r="Q165" s="49">
        <f t="shared" si="30"/>
        <v>1</v>
      </c>
      <c r="R165" s="49">
        <f t="shared" si="30"/>
        <v>1</v>
      </c>
      <c r="S165" s="49">
        <f t="shared" si="30"/>
        <v>1.02</v>
      </c>
      <c r="T165" s="49">
        <f t="shared" si="30"/>
        <v>1.0404</v>
      </c>
      <c r="U165" s="49">
        <f t="shared" si="30"/>
        <v>1.0612079999999999</v>
      </c>
      <c r="V165" s="49">
        <f t="shared" si="30"/>
        <v>1.08243216</v>
      </c>
      <c r="W165" s="49">
        <f t="shared" si="30"/>
        <v>1.1040808032</v>
      </c>
      <c r="X165" s="49">
        <f t="shared" si="30"/>
        <v>1.1261624192640001</v>
      </c>
      <c r="Y165" s="49">
        <f t="shared" si="30"/>
        <v>1.1486856676492798</v>
      </c>
      <c r="Z165" s="49">
        <f t="shared" si="30"/>
        <v>1.1716593810022655</v>
      </c>
      <c r="AA165" s="49">
        <f t="shared" si="30"/>
        <v>1.1950925686223108</v>
      </c>
      <c r="AB165" s="49">
        <f t="shared" si="30"/>
        <v>1.2189944199947571</v>
      </c>
      <c r="AC165" s="49">
        <f t="shared" si="30"/>
        <v>1.243374308394652</v>
      </c>
      <c r="AD165" s="49">
        <f t="shared" si="30"/>
        <v>1.2682417945625453</v>
      </c>
      <c r="AE165" s="49">
        <f t="shared" si="30"/>
        <v>1.2936066304537961</v>
      </c>
      <c r="AF165" s="49">
        <f t="shared" si="30"/>
        <v>1.3194787630628722</v>
      </c>
      <c r="AG165" s="49">
        <f t="shared" si="30"/>
        <v>1.3458683383241292</v>
      </c>
      <c r="AH165" s="49">
        <f t="shared" si="30"/>
        <v>1.372785705090612</v>
      </c>
      <c r="AI165" s="49">
        <f t="shared" si="30"/>
        <v>1.4002414191924244</v>
      </c>
      <c r="AJ165" s="49">
        <f t="shared" si="30"/>
        <v>1.4282462475762727</v>
      </c>
      <c r="AK165" s="49">
        <f t="shared" si="30"/>
        <v>1.4568111725277981</v>
      </c>
      <c r="AL165" s="49">
        <f t="shared" si="30"/>
        <v>1.4859473959783542</v>
      </c>
      <c r="AM165" s="49">
        <f t="shared" si="30"/>
        <v>1.5156663438979212</v>
      </c>
      <c r="AN165" s="49">
        <f t="shared" si="30"/>
        <v>1.5459796707758797</v>
      </c>
      <c r="AO165" s="49">
        <f t="shared" si="30"/>
        <v>1.576899264191397</v>
      </c>
      <c r="AP165" s="49">
        <f t="shared" si="30"/>
        <v>1.608437249475225</v>
      </c>
      <c r="AQ165" s="49">
        <f t="shared" si="30"/>
        <v>1.6406059944647295</v>
      </c>
      <c r="AR165" s="49">
        <f t="shared" ref="AR165:BS165" si="31">IF(AR$4&lt;=YEAR(effective_date_Nsoko2019),1,(1+input_US_inflation_perc)^(AR$4-YEAR(effective_date_Nsoko2019)))</f>
        <v>1.6734181143540243</v>
      </c>
      <c r="AS165" s="49">
        <f t="shared" si="31"/>
        <v>1.7068864766411045</v>
      </c>
      <c r="AT165" s="49">
        <f t="shared" si="31"/>
        <v>1.7410242061739269</v>
      </c>
      <c r="AU165" s="49">
        <f t="shared" si="31"/>
        <v>1.7758446902974052</v>
      </c>
      <c r="AV165" s="49">
        <f t="shared" si="31"/>
        <v>1.8113615841033535</v>
      </c>
      <c r="AW165" s="49">
        <f t="shared" si="31"/>
        <v>1.8475888157854201</v>
      </c>
      <c r="AX165" s="49">
        <f t="shared" si="31"/>
        <v>1.8845405921011289</v>
      </c>
      <c r="AY165" s="49">
        <f t="shared" si="31"/>
        <v>1.9222314039431516</v>
      </c>
      <c r="AZ165" s="49">
        <f t="shared" si="31"/>
        <v>1.9606760320220145</v>
      </c>
      <c r="BA165" s="49">
        <f t="shared" si="31"/>
        <v>1.9998895526624547</v>
      </c>
      <c r="BB165" s="49">
        <f t="shared" si="31"/>
        <v>2.0398873437157037</v>
      </c>
      <c r="BC165" s="49">
        <f t="shared" si="31"/>
        <v>2.080685090590018</v>
      </c>
      <c r="BD165" s="49">
        <f t="shared" si="31"/>
        <v>2.1222987924018186</v>
      </c>
      <c r="BE165" s="49">
        <f t="shared" si="31"/>
        <v>2.1647447682498542</v>
      </c>
      <c r="BF165" s="49">
        <f t="shared" si="31"/>
        <v>2.2080396636148518</v>
      </c>
      <c r="BG165" s="49">
        <f t="shared" si="31"/>
        <v>2.2522004568871488</v>
      </c>
      <c r="BH165" s="49">
        <f t="shared" si="31"/>
        <v>2.2972444660248916</v>
      </c>
      <c r="BI165" s="49">
        <f t="shared" si="31"/>
        <v>2.3431893553453893</v>
      </c>
      <c r="BJ165" s="49">
        <f t="shared" si="31"/>
        <v>2.3900531424522975</v>
      </c>
      <c r="BK165" s="49">
        <f t="shared" si="31"/>
        <v>2.4378542053013432</v>
      </c>
      <c r="BL165" s="49">
        <f t="shared" si="31"/>
        <v>2.4866112894073704</v>
      </c>
      <c r="BM165" s="49">
        <f t="shared" si="31"/>
        <v>2.5363435151955169</v>
      </c>
      <c r="BN165" s="49">
        <f t="shared" si="31"/>
        <v>2.5870703854994277</v>
      </c>
      <c r="BO165" s="49">
        <f t="shared" si="31"/>
        <v>2.6388117932094164</v>
      </c>
      <c r="BP165" s="49">
        <f t="shared" si="31"/>
        <v>2.6915880290736047</v>
      </c>
      <c r="BQ165" s="49">
        <f t="shared" si="31"/>
        <v>2.7454197896550765</v>
      </c>
      <c r="BR165" s="49">
        <f t="shared" si="31"/>
        <v>2.8003281854481785</v>
      </c>
      <c r="BS165" s="49">
        <f t="shared" si="31"/>
        <v>2.8563347491571416</v>
      </c>
    </row>
    <row r="166" spans="1:71" outlineLevel="1" x14ac:dyDescent="0.2">
      <c r="J166" s="26"/>
      <c r="L166" s="55"/>
      <c r="M166" s="55"/>
      <c r="N166" s="55"/>
      <c r="O166" s="55"/>
      <c r="P166" s="55"/>
      <c r="Q166" s="55"/>
      <c r="R166" s="55"/>
      <c r="S166" s="55"/>
      <c r="T166" s="55"/>
      <c r="U166" s="55"/>
      <c r="V166" s="55"/>
      <c r="W166" s="55"/>
      <c r="X166" s="55"/>
      <c r="Y166" s="55"/>
      <c r="Z166" s="55"/>
      <c r="AA166" s="55"/>
      <c r="AB166" s="55"/>
      <c r="AC166" s="55"/>
      <c r="AD166" s="55"/>
      <c r="AE166" s="55"/>
      <c r="AF166" s="55"/>
      <c r="AG166" s="55"/>
      <c r="AH166" s="55"/>
      <c r="AI166" s="55"/>
      <c r="AJ166" s="55"/>
      <c r="AK166" s="55"/>
      <c r="AL166" s="55"/>
      <c r="AM166" s="55"/>
      <c r="AN166" s="55"/>
      <c r="AO166" s="55"/>
      <c r="AP166" s="55"/>
      <c r="AQ166" s="55"/>
      <c r="AR166" s="55"/>
      <c r="AS166" s="55"/>
      <c r="AT166" s="55"/>
      <c r="AU166" s="55"/>
      <c r="AV166" s="55"/>
      <c r="AW166" s="55"/>
      <c r="AX166" s="55"/>
      <c r="AY166" s="55"/>
      <c r="AZ166" s="55"/>
      <c r="BA166" s="55"/>
      <c r="BB166" s="55"/>
      <c r="BC166" s="55"/>
      <c r="BD166" s="55"/>
      <c r="BE166" s="55"/>
      <c r="BF166" s="55"/>
      <c r="BG166" s="55"/>
      <c r="BH166" s="55"/>
      <c r="BI166" s="55"/>
      <c r="BJ166" s="55"/>
      <c r="BK166" s="55"/>
      <c r="BL166" s="55"/>
      <c r="BM166" s="55"/>
      <c r="BN166" s="55"/>
      <c r="BO166" s="55"/>
      <c r="BP166" s="55"/>
      <c r="BQ166" s="55"/>
      <c r="BR166" s="55"/>
      <c r="BS166" s="55"/>
    </row>
    <row r="167" spans="1:71" outlineLevel="1" x14ac:dyDescent="0.2">
      <c r="D167" t="str">
        <f>HM_ZA_Nkossa!D158</f>
        <v>PH effectif</v>
      </c>
      <c r="J167" s="26" t="s">
        <v>46</v>
      </c>
      <c r="K167" s="7" t="s">
        <v>722</v>
      </c>
      <c r="L167" s="49" cm="1">
        <f t="array" aca="1" ref="L167:BS167" ca="1">HM_ZB_Nsoko!CA_HP1_oil_nom*(HM_ZB_Nsoko!CA_PSC_switch_trig=0)+HM_ZB_Nsoko!CA_HP2_oil_nom*(HM_ZB_Nsoko!CA_PSC_switch_trig=1)</f>
        <v>29.870249999999999</v>
      </c>
      <c r="M167" s="49">
        <f ca="1"/>
        <v>30.137</v>
      </c>
      <c r="N167" s="49">
        <f ca="1"/>
        <v>30.511749999999999</v>
      </c>
      <c r="O167" s="49">
        <f ca="1"/>
        <v>30.977999999999998</v>
      </c>
      <c r="P167" s="49">
        <f ca="1"/>
        <v>31.553000000000001</v>
      </c>
      <c r="Q167" s="49">
        <f ca="1"/>
        <v>32.152000000000001</v>
      </c>
      <c r="R167" s="49">
        <f ca="1"/>
        <v>41.183999999999997</v>
      </c>
      <c r="S167" s="49">
        <f ca="1"/>
        <v>50</v>
      </c>
      <c r="T167" s="49">
        <f ca="1"/>
        <v>50</v>
      </c>
      <c r="U167" s="49">
        <f ca="1"/>
        <v>50</v>
      </c>
      <c r="V167" s="49">
        <f ca="1"/>
        <v>50</v>
      </c>
      <c r="W167" s="49">
        <f ca="1"/>
        <v>50</v>
      </c>
      <c r="X167" s="49">
        <f ca="1"/>
        <v>50</v>
      </c>
      <c r="Y167" s="49">
        <f ca="1"/>
        <v>50</v>
      </c>
      <c r="Z167" s="49">
        <f ca="1"/>
        <v>50</v>
      </c>
      <c r="AA167" s="49">
        <f ca="1"/>
        <v>50</v>
      </c>
      <c r="AB167" s="49">
        <f ca="1"/>
        <v>50</v>
      </c>
      <c r="AC167" s="49">
        <f ca="1"/>
        <v>50</v>
      </c>
      <c r="AD167" s="49">
        <f ca="1"/>
        <v>50</v>
      </c>
      <c r="AE167" s="49">
        <f ca="1"/>
        <v>50</v>
      </c>
      <c r="AF167" s="49">
        <f ca="1"/>
        <v>50</v>
      </c>
      <c r="AG167" s="49">
        <f ca="1"/>
        <v>50</v>
      </c>
      <c r="AH167" s="49">
        <f ca="1"/>
        <v>50</v>
      </c>
      <c r="AI167" s="49">
        <f ca="1"/>
        <v>50</v>
      </c>
      <c r="AJ167" s="49">
        <f ca="1"/>
        <v>50</v>
      </c>
      <c r="AK167" s="49">
        <f ca="1"/>
        <v>50</v>
      </c>
      <c r="AL167" s="49">
        <f ca="1"/>
        <v>50</v>
      </c>
      <c r="AM167" s="49">
        <f ca="1"/>
        <v>50</v>
      </c>
      <c r="AN167" s="49">
        <f ca="1"/>
        <v>50</v>
      </c>
      <c r="AO167" s="49">
        <f ca="1"/>
        <v>50</v>
      </c>
      <c r="AP167" s="49">
        <f ca="1"/>
        <v>50</v>
      </c>
      <c r="AQ167" s="49">
        <f ca="1"/>
        <v>50</v>
      </c>
      <c r="AR167" s="49">
        <f ca="1"/>
        <v>50</v>
      </c>
      <c r="AS167" s="49">
        <f ca="1"/>
        <v>50</v>
      </c>
      <c r="AT167" s="49">
        <f ca="1"/>
        <v>50</v>
      </c>
      <c r="AU167" s="49">
        <f ca="1"/>
        <v>50</v>
      </c>
      <c r="AV167" s="49">
        <f ca="1"/>
        <v>50</v>
      </c>
      <c r="AW167" s="49">
        <f ca="1"/>
        <v>50</v>
      </c>
      <c r="AX167" s="49">
        <f ca="1"/>
        <v>50</v>
      </c>
      <c r="AY167" s="49">
        <f ca="1"/>
        <v>50</v>
      </c>
      <c r="AZ167" s="49">
        <f ca="1"/>
        <v>50</v>
      </c>
      <c r="BA167" s="49">
        <f ca="1"/>
        <v>50</v>
      </c>
      <c r="BB167" s="49">
        <f ca="1"/>
        <v>50</v>
      </c>
      <c r="BC167" s="49">
        <f ca="1"/>
        <v>50</v>
      </c>
      <c r="BD167" s="49">
        <f ca="1"/>
        <v>50</v>
      </c>
      <c r="BE167" s="49">
        <f ca="1"/>
        <v>50</v>
      </c>
      <c r="BF167" s="49">
        <f ca="1"/>
        <v>50</v>
      </c>
      <c r="BG167" s="49">
        <f ca="1"/>
        <v>50</v>
      </c>
      <c r="BH167" s="49">
        <f ca="1"/>
        <v>50</v>
      </c>
      <c r="BI167" s="49">
        <f ca="1"/>
        <v>50</v>
      </c>
      <c r="BJ167" s="49">
        <f ca="1"/>
        <v>50</v>
      </c>
      <c r="BK167" s="49">
        <f ca="1"/>
        <v>50</v>
      </c>
      <c r="BL167" s="49">
        <f ca="1"/>
        <v>50</v>
      </c>
      <c r="BM167" s="49">
        <f ca="1"/>
        <v>50</v>
      </c>
      <c r="BN167" s="49">
        <f ca="1"/>
        <v>50</v>
      </c>
      <c r="BO167" s="49">
        <f ca="1"/>
        <v>50</v>
      </c>
      <c r="BP167" s="49">
        <f ca="1"/>
        <v>50</v>
      </c>
      <c r="BQ167" s="49">
        <f ca="1"/>
        <v>50</v>
      </c>
      <c r="BR167" s="49">
        <f ca="1"/>
        <v>50</v>
      </c>
      <c r="BS167" s="49">
        <f ca="1"/>
        <v>50</v>
      </c>
    </row>
    <row r="168" spans="1:71" outlineLevel="1" x14ac:dyDescent="0.2">
      <c r="J168" s="26"/>
      <c r="L168" s="55"/>
      <c r="M168" s="55"/>
      <c r="N168" s="55"/>
      <c r="O168" s="55"/>
      <c r="P168" s="55"/>
      <c r="Q168" s="55"/>
      <c r="R168" s="55"/>
      <c r="S168" s="55"/>
      <c r="T168" s="55"/>
      <c r="U168" s="55"/>
      <c r="V168" s="55"/>
      <c r="W168" s="55"/>
      <c r="X168" s="55"/>
      <c r="Y168" s="55"/>
      <c r="Z168" s="55"/>
      <c r="AA168" s="55"/>
      <c r="AB168" s="55"/>
      <c r="AC168" s="55"/>
      <c r="AD168" s="55"/>
      <c r="AE168" s="55"/>
      <c r="AF168" s="55"/>
      <c r="AG168" s="55"/>
      <c r="AH168" s="55"/>
      <c r="AI168" s="55"/>
      <c r="AJ168" s="55"/>
      <c r="AK168" s="55"/>
      <c r="AL168" s="55"/>
      <c r="AM168" s="55"/>
      <c r="AN168" s="55"/>
      <c r="AO168" s="55"/>
      <c r="AP168" s="55"/>
      <c r="AQ168" s="55"/>
      <c r="AR168" s="55"/>
      <c r="AS168" s="55"/>
      <c r="AT168" s="55"/>
      <c r="AU168" s="55"/>
      <c r="AV168" s="55"/>
      <c r="AW168" s="55"/>
      <c r="AX168" s="55"/>
      <c r="AY168" s="55"/>
      <c r="AZ168" s="55"/>
      <c r="BA168" s="55"/>
      <c r="BB168" s="55"/>
      <c r="BC168" s="55"/>
      <c r="BD168" s="55"/>
      <c r="BE168" s="55"/>
      <c r="BF168" s="55"/>
      <c r="BG168" s="55"/>
      <c r="BH168" s="55"/>
      <c r="BI168" s="55"/>
      <c r="BJ168" s="55"/>
      <c r="BK168" s="55"/>
      <c r="BL168" s="55"/>
      <c r="BM168" s="55"/>
      <c r="BN168" s="55"/>
      <c r="BO168" s="55"/>
      <c r="BP168" s="55"/>
      <c r="BQ168" s="55"/>
      <c r="BR168" s="55"/>
      <c r="BS168" s="55"/>
    </row>
    <row r="169" spans="1:71" outlineLevel="1" x14ac:dyDescent="0.2">
      <c r="A169" s="45"/>
      <c r="B169" s="38" t="str">
        <f>HM_ZA_Nkossa!B160</f>
        <v>Revenus</v>
      </c>
      <c r="C169" s="45"/>
      <c r="D169" s="45"/>
      <c r="E169" s="45"/>
      <c r="J169" s="26"/>
      <c r="L169" s="55"/>
      <c r="M169" s="55"/>
      <c r="N169" s="55"/>
      <c r="O169" s="55"/>
      <c r="P169" s="55"/>
      <c r="Q169" s="55"/>
      <c r="R169" s="55"/>
      <c r="S169" s="55"/>
      <c r="T169" s="55"/>
      <c r="U169" s="55"/>
      <c r="V169" s="55"/>
      <c r="W169" s="55"/>
      <c r="X169" s="55"/>
      <c r="Y169" s="55"/>
      <c r="Z169" s="55"/>
      <c r="AA169" s="55"/>
      <c r="AB169" s="55"/>
      <c r="AC169" s="55"/>
      <c r="AD169" s="55"/>
      <c r="AE169" s="55"/>
      <c r="AF169" s="55"/>
      <c r="AG169" s="55"/>
      <c r="AH169" s="55"/>
      <c r="AI169" s="55"/>
      <c r="AJ169" s="55"/>
      <c r="AK169" s="55"/>
      <c r="AL169" s="55"/>
      <c r="AM169" s="55"/>
      <c r="AN169" s="55"/>
      <c r="AO169" s="55"/>
      <c r="AP169" s="55"/>
      <c r="AQ169" s="55"/>
      <c r="AR169" s="55"/>
      <c r="AS169" s="55"/>
      <c r="AT169" s="55"/>
      <c r="AU169" s="55"/>
      <c r="AV169" s="55"/>
      <c r="AW169" s="55"/>
      <c r="AX169" s="55"/>
      <c r="AY169" s="55"/>
      <c r="AZ169" s="55"/>
      <c r="BA169" s="55"/>
      <c r="BB169" s="55"/>
      <c r="BC169" s="55"/>
      <c r="BD169" s="55"/>
      <c r="BE169" s="55"/>
      <c r="BF169" s="55"/>
      <c r="BG169" s="55"/>
      <c r="BH169" s="55"/>
      <c r="BI169" s="55"/>
      <c r="BJ169" s="55"/>
      <c r="BK169" s="55"/>
      <c r="BL169" s="55"/>
      <c r="BM169" s="55"/>
      <c r="BN169" s="55"/>
      <c r="BO169" s="55"/>
      <c r="BP169" s="55"/>
      <c r="BQ169" s="55"/>
      <c r="BR169" s="55"/>
      <c r="BS169" s="55"/>
    </row>
    <row r="170" spans="1:71" outlineLevel="1" x14ac:dyDescent="0.2">
      <c r="J170" s="26"/>
      <c r="L170" s="55"/>
      <c r="M170" s="55"/>
      <c r="N170" s="55"/>
      <c r="O170" s="55"/>
      <c r="P170" s="55"/>
      <c r="Q170" s="55"/>
      <c r="R170" s="55"/>
      <c r="S170" s="55"/>
      <c r="T170" s="55"/>
      <c r="U170" s="55"/>
      <c r="V170" s="55"/>
      <c r="W170" s="55"/>
      <c r="X170" s="55"/>
      <c r="Y170" s="55"/>
      <c r="Z170" s="55"/>
      <c r="AA170" s="55"/>
      <c r="AB170" s="55"/>
      <c r="AC170" s="55"/>
      <c r="AD170" s="55"/>
      <c r="AE170" s="55"/>
      <c r="AF170" s="55"/>
      <c r="AG170" s="55"/>
      <c r="AH170" s="55"/>
      <c r="AI170" s="55"/>
      <c r="AJ170" s="55"/>
      <c r="AK170" s="55"/>
      <c r="AL170" s="55"/>
      <c r="AM170" s="55"/>
      <c r="AN170" s="55"/>
      <c r="AO170" s="55"/>
      <c r="AP170" s="55"/>
      <c r="AQ170" s="55"/>
      <c r="AR170" s="55"/>
      <c r="AS170" s="55"/>
      <c r="AT170" s="55"/>
      <c r="AU170" s="55"/>
      <c r="AV170" s="55"/>
      <c r="AW170" s="55"/>
      <c r="AX170" s="55"/>
      <c r="AY170" s="55"/>
      <c r="AZ170" s="55"/>
      <c r="BA170" s="55"/>
      <c r="BB170" s="55"/>
      <c r="BC170" s="55"/>
      <c r="BD170" s="55"/>
      <c r="BE170" s="55"/>
      <c r="BF170" s="55"/>
      <c r="BG170" s="55"/>
      <c r="BH170" s="55"/>
      <c r="BI170" s="55"/>
      <c r="BJ170" s="55"/>
      <c r="BK170" s="55"/>
      <c r="BL170" s="55"/>
      <c r="BM170" s="55"/>
      <c r="BN170" s="55"/>
      <c r="BO170" s="55"/>
      <c r="BP170" s="55"/>
      <c r="BQ170" s="55"/>
      <c r="BR170" s="55"/>
      <c r="BS170" s="55"/>
    </row>
    <row r="171" spans="1:71" outlineLevel="1" x14ac:dyDescent="0.2">
      <c r="C171" s="11" t="str">
        <f>HM_ZA_Nkossa!C162</f>
        <v>Revenus bruts</v>
      </c>
      <c r="J171" s="26"/>
      <c r="L171" s="55"/>
      <c r="M171" s="55"/>
      <c r="N171" s="55"/>
      <c r="O171" s="55"/>
      <c r="P171" s="55"/>
      <c r="Q171" s="55"/>
      <c r="R171" s="55"/>
      <c r="S171" s="55"/>
      <c r="T171" s="55"/>
      <c r="U171" s="55"/>
      <c r="V171" s="55"/>
      <c r="W171" s="55"/>
      <c r="X171" s="55"/>
      <c r="Y171" s="55"/>
      <c r="Z171" s="55"/>
      <c r="AA171" s="55"/>
      <c r="AB171" s="55"/>
      <c r="AC171" s="55"/>
      <c r="AD171" s="55"/>
      <c r="AE171" s="55"/>
      <c r="AF171" s="55"/>
      <c r="AG171" s="55"/>
      <c r="AH171" s="55"/>
      <c r="AI171" s="55"/>
      <c r="AJ171" s="55"/>
      <c r="AK171" s="55"/>
      <c r="AL171" s="55"/>
      <c r="AM171" s="55"/>
      <c r="AN171" s="55"/>
      <c r="AO171" s="55"/>
      <c r="AP171" s="55"/>
      <c r="AQ171" s="55"/>
      <c r="AR171" s="55"/>
      <c r="AS171" s="55"/>
      <c r="AT171" s="55"/>
      <c r="AU171" s="55"/>
      <c r="AV171" s="55"/>
      <c r="AW171" s="55"/>
      <c r="AX171" s="55"/>
      <c r="AY171" s="55"/>
      <c r="AZ171" s="55"/>
      <c r="BA171" s="55"/>
      <c r="BB171" s="55"/>
      <c r="BC171" s="55"/>
      <c r="BD171" s="55"/>
      <c r="BE171" s="55"/>
      <c r="BF171" s="55"/>
      <c r="BG171" s="55"/>
      <c r="BH171" s="55"/>
      <c r="BI171" s="55"/>
      <c r="BJ171" s="55"/>
      <c r="BK171" s="55"/>
      <c r="BL171" s="55"/>
      <c r="BM171" s="55"/>
      <c r="BN171" s="55"/>
      <c r="BO171" s="55"/>
      <c r="BP171" s="55"/>
      <c r="BQ171" s="55"/>
      <c r="BR171" s="55"/>
      <c r="BS171" s="55"/>
    </row>
    <row r="172" spans="1:71" outlineLevel="1" x14ac:dyDescent="0.2">
      <c r="D172" t="str">
        <f>HM_ZA_Nkossa!D163</f>
        <v>Revenus pétroliers (@ PF)</v>
      </c>
      <c r="I172" s="30">
        <f ca="1">SUM($L172:$BS172)</f>
        <v>584.81941006574402</v>
      </c>
      <c r="J172" s="26" t="s">
        <v>148</v>
      </c>
      <c r="K172" s="7" t="s">
        <v>151</v>
      </c>
      <c r="L172" s="49" cm="1">
        <f t="array" aca="1" ref="L172:BS172" ca="1">HM_ZB_Nsoko!CA_gross_sales_oil*HM_ZB_Nsoko!CA_FP_oil_nom+HM_ZB_Nsoko!CA_gross_sales_lpg*HM_ZB_Nsoko!CA_FP_lpg_nom</f>
        <v>83.933369292999998</v>
      </c>
      <c r="M172" s="49">
        <f ca="1"/>
        <v>84.237232210999991</v>
      </c>
      <c r="N172" s="49">
        <f ca="1"/>
        <v>48.479070684000007</v>
      </c>
      <c r="O172" s="49">
        <f ca="1"/>
        <v>33.069589979</v>
      </c>
      <c r="P172" s="49">
        <f ca="1"/>
        <v>39.805745783999996</v>
      </c>
      <c r="Q172" s="49">
        <f ca="1"/>
        <v>47.558781632999995</v>
      </c>
      <c r="R172" s="49">
        <f ca="1"/>
        <v>16.420027699999999</v>
      </c>
      <c r="S172" s="49">
        <f ca="1"/>
        <v>30.939643877469827</v>
      </c>
      <c r="T172" s="49">
        <f ca="1"/>
        <v>42.673548997278196</v>
      </c>
      <c r="U172" s="49">
        <f ca="1"/>
        <v>42.598874905548946</v>
      </c>
      <c r="V172" s="49">
        <f ca="1"/>
        <v>40.409292735403724</v>
      </c>
      <c r="W172" s="49">
        <f ca="1"/>
        <v>38.332255088803969</v>
      </c>
      <c r="X172" s="49">
        <f ca="1"/>
        <v>36.361977177239446</v>
      </c>
      <c r="Y172" s="49">
        <f ca="1"/>
        <v>0</v>
      </c>
      <c r="Z172" s="49">
        <f ca="1"/>
        <v>0</v>
      </c>
      <c r="AA172" s="49">
        <f ca="1"/>
        <v>0</v>
      </c>
      <c r="AB172" s="49">
        <f ca="1"/>
        <v>0</v>
      </c>
      <c r="AC172" s="49">
        <f ca="1"/>
        <v>0</v>
      </c>
      <c r="AD172" s="49">
        <f ca="1"/>
        <v>0</v>
      </c>
      <c r="AE172" s="49">
        <f ca="1"/>
        <v>0</v>
      </c>
      <c r="AF172" s="49">
        <f ca="1"/>
        <v>0</v>
      </c>
      <c r="AG172" s="49">
        <f ca="1"/>
        <v>0</v>
      </c>
      <c r="AH172" s="49">
        <f ca="1"/>
        <v>0</v>
      </c>
      <c r="AI172" s="49">
        <f ca="1"/>
        <v>0</v>
      </c>
      <c r="AJ172" s="49">
        <f ca="1"/>
        <v>0</v>
      </c>
      <c r="AK172" s="49">
        <f ca="1"/>
        <v>0</v>
      </c>
      <c r="AL172" s="49">
        <f ca="1"/>
        <v>0</v>
      </c>
      <c r="AM172" s="49">
        <f ca="1"/>
        <v>0</v>
      </c>
      <c r="AN172" s="49">
        <f ca="1"/>
        <v>0</v>
      </c>
      <c r="AO172" s="49">
        <f ca="1"/>
        <v>0</v>
      </c>
      <c r="AP172" s="49">
        <f ca="1"/>
        <v>0</v>
      </c>
      <c r="AQ172" s="49">
        <f ca="1"/>
        <v>0</v>
      </c>
      <c r="AR172" s="49">
        <f ca="1"/>
        <v>0</v>
      </c>
      <c r="AS172" s="49">
        <f ca="1"/>
        <v>0</v>
      </c>
      <c r="AT172" s="49">
        <f ca="1"/>
        <v>0</v>
      </c>
      <c r="AU172" s="49">
        <f ca="1"/>
        <v>0</v>
      </c>
      <c r="AV172" s="49">
        <f ca="1"/>
        <v>0</v>
      </c>
      <c r="AW172" s="49">
        <f ca="1"/>
        <v>0</v>
      </c>
      <c r="AX172" s="49">
        <f ca="1"/>
        <v>0</v>
      </c>
      <c r="AY172" s="49">
        <f ca="1"/>
        <v>0</v>
      </c>
      <c r="AZ172" s="49">
        <f ca="1"/>
        <v>0</v>
      </c>
      <c r="BA172" s="49">
        <f ca="1"/>
        <v>0</v>
      </c>
      <c r="BB172" s="49">
        <f ca="1"/>
        <v>0</v>
      </c>
      <c r="BC172" s="49">
        <f ca="1"/>
        <v>0</v>
      </c>
      <c r="BD172" s="49">
        <f ca="1"/>
        <v>0</v>
      </c>
      <c r="BE172" s="49">
        <f ca="1"/>
        <v>0</v>
      </c>
      <c r="BF172" s="49">
        <f ca="1"/>
        <v>0</v>
      </c>
      <c r="BG172" s="49">
        <f ca="1"/>
        <v>0</v>
      </c>
      <c r="BH172" s="49">
        <f ca="1"/>
        <v>0</v>
      </c>
      <c r="BI172" s="49">
        <f ca="1"/>
        <v>0</v>
      </c>
      <c r="BJ172" s="49">
        <f ca="1"/>
        <v>0</v>
      </c>
      <c r="BK172" s="49">
        <f ca="1"/>
        <v>0</v>
      </c>
      <c r="BL172" s="49">
        <f ca="1"/>
        <v>0</v>
      </c>
      <c r="BM172" s="49">
        <f ca="1"/>
        <v>0</v>
      </c>
      <c r="BN172" s="49">
        <f ca="1"/>
        <v>0</v>
      </c>
      <c r="BO172" s="49">
        <f ca="1"/>
        <v>0</v>
      </c>
      <c r="BP172" s="49">
        <f ca="1"/>
        <v>0</v>
      </c>
      <c r="BQ172" s="49">
        <f ca="1"/>
        <v>0</v>
      </c>
      <c r="BR172" s="49">
        <f ca="1"/>
        <v>0</v>
      </c>
      <c r="BS172" s="49">
        <f ca="1"/>
        <v>0</v>
      </c>
    </row>
    <row r="173" spans="1:71" outlineLevel="1" x14ac:dyDescent="0.2">
      <c r="D173" t="str">
        <f>HM_ZA_Nkossa!D164</f>
        <v>Revenus gaziers (@ PF)</v>
      </c>
      <c r="I173" s="30">
        <f ca="1">SUM($L173:$BS173)</f>
        <v>0</v>
      </c>
      <c r="J173" s="26" t="s">
        <v>148</v>
      </c>
      <c r="K173" s="7" t="s">
        <v>152</v>
      </c>
      <c r="L173" s="49" cm="1">
        <f t="array" aca="1" ref="L173:BS173" ca="1">HM_ZB_Nsoko!CA_gross_sales_gas*HM_ZB_Nsoko!CA_FP_gas_nom</f>
        <v>0</v>
      </c>
      <c r="M173" s="49">
        <f ca="1"/>
        <v>0</v>
      </c>
      <c r="N173" s="49">
        <f ca="1"/>
        <v>0</v>
      </c>
      <c r="O173" s="49">
        <f ca="1"/>
        <v>0</v>
      </c>
      <c r="P173" s="49">
        <f ca="1"/>
        <v>0</v>
      </c>
      <c r="Q173" s="49">
        <f ca="1"/>
        <v>0</v>
      </c>
      <c r="R173" s="49">
        <f ca="1"/>
        <v>0</v>
      </c>
      <c r="S173" s="49">
        <f ca="1"/>
        <v>0</v>
      </c>
      <c r="T173" s="49">
        <f ca="1"/>
        <v>0</v>
      </c>
      <c r="U173" s="49">
        <f ca="1"/>
        <v>0</v>
      </c>
      <c r="V173" s="49">
        <f ca="1"/>
        <v>0</v>
      </c>
      <c r="W173" s="49">
        <f ca="1"/>
        <v>0</v>
      </c>
      <c r="X173" s="49">
        <f ca="1"/>
        <v>0</v>
      </c>
      <c r="Y173" s="49">
        <f ca="1"/>
        <v>0</v>
      </c>
      <c r="Z173" s="49">
        <f ca="1"/>
        <v>0</v>
      </c>
      <c r="AA173" s="49">
        <f ca="1"/>
        <v>0</v>
      </c>
      <c r="AB173" s="49">
        <f ca="1"/>
        <v>0</v>
      </c>
      <c r="AC173" s="49">
        <f ca="1"/>
        <v>0</v>
      </c>
      <c r="AD173" s="49">
        <f ca="1"/>
        <v>0</v>
      </c>
      <c r="AE173" s="49">
        <f ca="1"/>
        <v>0</v>
      </c>
      <c r="AF173" s="49">
        <f ca="1"/>
        <v>0</v>
      </c>
      <c r="AG173" s="49">
        <f ca="1"/>
        <v>0</v>
      </c>
      <c r="AH173" s="49">
        <f ca="1"/>
        <v>0</v>
      </c>
      <c r="AI173" s="49">
        <f ca="1"/>
        <v>0</v>
      </c>
      <c r="AJ173" s="49">
        <f ca="1"/>
        <v>0</v>
      </c>
      <c r="AK173" s="49">
        <f ca="1"/>
        <v>0</v>
      </c>
      <c r="AL173" s="49">
        <f ca="1"/>
        <v>0</v>
      </c>
      <c r="AM173" s="49">
        <f ca="1"/>
        <v>0</v>
      </c>
      <c r="AN173" s="49">
        <f ca="1"/>
        <v>0</v>
      </c>
      <c r="AO173" s="49">
        <f ca="1"/>
        <v>0</v>
      </c>
      <c r="AP173" s="49">
        <f ca="1"/>
        <v>0</v>
      </c>
      <c r="AQ173" s="49">
        <f ca="1"/>
        <v>0</v>
      </c>
      <c r="AR173" s="49">
        <f ca="1"/>
        <v>0</v>
      </c>
      <c r="AS173" s="49">
        <f ca="1"/>
        <v>0</v>
      </c>
      <c r="AT173" s="49">
        <f ca="1"/>
        <v>0</v>
      </c>
      <c r="AU173" s="49">
        <f ca="1"/>
        <v>0</v>
      </c>
      <c r="AV173" s="49">
        <f ca="1"/>
        <v>0</v>
      </c>
      <c r="AW173" s="49">
        <f ca="1"/>
        <v>0</v>
      </c>
      <c r="AX173" s="49">
        <f ca="1"/>
        <v>0</v>
      </c>
      <c r="AY173" s="49">
        <f ca="1"/>
        <v>0</v>
      </c>
      <c r="AZ173" s="49">
        <f ca="1"/>
        <v>0</v>
      </c>
      <c r="BA173" s="49">
        <f ca="1"/>
        <v>0</v>
      </c>
      <c r="BB173" s="49">
        <f ca="1"/>
        <v>0</v>
      </c>
      <c r="BC173" s="49">
        <f ca="1"/>
        <v>0</v>
      </c>
      <c r="BD173" s="49">
        <f ca="1"/>
        <v>0</v>
      </c>
      <c r="BE173" s="49">
        <f ca="1"/>
        <v>0</v>
      </c>
      <c r="BF173" s="49">
        <f ca="1"/>
        <v>0</v>
      </c>
      <c r="BG173" s="49">
        <f ca="1"/>
        <v>0</v>
      </c>
      <c r="BH173" s="49">
        <f ca="1"/>
        <v>0</v>
      </c>
      <c r="BI173" s="49">
        <f ca="1"/>
        <v>0</v>
      </c>
      <c r="BJ173" s="49">
        <f ca="1"/>
        <v>0</v>
      </c>
      <c r="BK173" s="49">
        <f ca="1"/>
        <v>0</v>
      </c>
      <c r="BL173" s="49">
        <f ca="1"/>
        <v>0</v>
      </c>
      <c r="BM173" s="49">
        <f ca="1"/>
        <v>0</v>
      </c>
      <c r="BN173" s="49">
        <f ca="1"/>
        <v>0</v>
      </c>
      <c r="BO173" s="49">
        <f ca="1"/>
        <v>0</v>
      </c>
      <c r="BP173" s="49">
        <f ca="1"/>
        <v>0</v>
      </c>
      <c r="BQ173" s="49">
        <f ca="1"/>
        <v>0</v>
      </c>
      <c r="BR173" s="49">
        <f ca="1"/>
        <v>0</v>
      </c>
      <c r="BS173" s="49">
        <f ca="1"/>
        <v>0</v>
      </c>
    </row>
    <row r="174" spans="1:71" outlineLevel="1" x14ac:dyDescent="0.2">
      <c r="D174" s="11" t="str">
        <f>HM_ZA_Nkossa!D165</f>
        <v>Revenu brut total (@ PF)</v>
      </c>
      <c r="I174" s="30">
        <f ca="1">SUM($L174:$BS174)</f>
        <v>584.81941006574402</v>
      </c>
      <c r="J174" s="26"/>
      <c r="K174" s="7" t="s">
        <v>153</v>
      </c>
      <c r="L174" s="49">
        <f t="shared" ref="L174:AQ174" ca="1" si="32">SUM(L172:L173)</f>
        <v>83.933369292999998</v>
      </c>
      <c r="M174" s="49">
        <f t="shared" ca="1" si="32"/>
        <v>84.237232210999991</v>
      </c>
      <c r="N174" s="49">
        <f t="shared" ca="1" si="32"/>
        <v>48.479070684000007</v>
      </c>
      <c r="O174" s="49">
        <f t="shared" ca="1" si="32"/>
        <v>33.069589979</v>
      </c>
      <c r="P174" s="49">
        <f t="shared" ca="1" si="32"/>
        <v>39.805745783999996</v>
      </c>
      <c r="Q174" s="49">
        <f t="shared" ca="1" si="32"/>
        <v>47.558781632999995</v>
      </c>
      <c r="R174" s="49">
        <f t="shared" ca="1" si="32"/>
        <v>16.420027699999999</v>
      </c>
      <c r="S174" s="49">
        <f t="shared" ca="1" si="32"/>
        <v>30.939643877469827</v>
      </c>
      <c r="T174" s="49">
        <f t="shared" ca="1" si="32"/>
        <v>42.673548997278196</v>
      </c>
      <c r="U174" s="49">
        <f t="shared" ca="1" si="32"/>
        <v>42.598874905548946</v>
      </c>
      <c r="V174" s="49">
        <f t="shared" ca="1" si="32"/>
        <v>40.409292735403724</v>
      </c>
      <c r="W174" s="49">
        <f t="shared" ca="1" si="32"/>
        <v>38.332255088803969</v>
      </c>
      <c r="X174" s="49">
        <f t="shared" ca="1" si="32"/>
        <v>36.361977177239446</v>
      </c>
      <c r="Y174" s="49">
        <f t="shared" ca="1" si="32"/>
        <v>0</v>
      </c>
      <c r="Z174" s="49">
        <f t="shared" ca="1" si="32"/>
        <v>0</v>
      </c>
      <c r="AA174" s="49">
        <f t="shared" ca="1" si="32"/>
        <v>0</v>
      </c>
      <c r="AB174" s="49">
        <f t="shared" ca="1" si="32"/>
        <v>0</v>
      </c>
      <c r="AC174" s="49">
        <f t="shared" ca="1" si="32"/>
        <v>0</v>
      </c>
      <c r="AD174" s="49">
        <f t="shared" ca="1" si="32"/>
        <v>0</v>
      </c>
      <c r="AE174" s="49">
        <f t="shared" ca="1" si="32"/>
        <v>0</v>
      </c>
      <c r="AF174" s="49">
        <f t="shared" ca="1" si="32"/>
        <v>0</v>
      </c>
      <c r="AG174" s="49">
        <f t="shared" ca="1" si="32"/>
        <v>0</v>
      </c>
      <c r="AH174" s="49">
        <f t="shared" ca="1" si="32"/>
        <v>0</v>
      </c>
      <c r="AI174" s="49">
        <f t="shared" ca="1" si="32"/>
        <v>0</v>
      </c>
      <c r="AJ174" s="49">
        <f t="shared" ca="1" si="32"/>
        <v>0</v>
      </c>
      <c r="AK174" s="49">
        <f t="shared" ca="1" si="32"/>
        <v>0</v>
      </c>
      <c r="AL174" s="49">
        <f t="shared" ca="1" si="32"/>
        <v>0</v>
      </c>
      <c r="AM174" s="49">
        <f t="shared" ca="1" si="32"/>
        <v>0</v>
      </c>
      <c r="AN174" s="49">
        <f t="shared" ca="1" si="32"/>
        <v>0</v>
      </c>
      <c r="AO174" s="49">
        <f t="shared" ca="1" si="32"/>
        <v>0</v>
      </c>
      <c r="AP174" s="49">
        <f t="shared" ca="1" si="32"/>
        <v>0</v>
      </c>
      <c r="AQ174" s="49">
        <f t="shared" ca="1" si="32"/>
        <v>0</v>
      </c>
      <c r="AR174" s="49">
        <f t="shared" ref="AR174:BS174" ca="1" si="33">SUM(AR172:AR173)</f>
        <v>0</v>
      </c>
      <c r="AS174" s="49">
        <f t="shared" ca="1" si="33"/>
        <v>0</v>
      </c>
      <c r="AT174" s="49">
        <f t="shared" ca="1" si="33"/>
        <v>0</v>
      </c>
      <c r="AU174" s="49">
        <f t="shared" ca="1" si="33"/>
        <v>0</v>
      </c>
      <c r="AV174" s="49">
        <f t="shared" ca="1" si="33"/>
        <v>0</v>
      </c>
      <c r="AW174" s="49">
        <f t="shared" ca="1" si="33"/>
        <v>0</v>
      </c>
      <c r="AX174" s="49">
        <f t="shared" ca="1" si="33"/>
        <v>0</v>
      </c>
      <c r="AY174" s="49">
        <f t="shared" ca="1" si="33"/>
        <v>0</v>
      </c>
      <c r="AZ174" s="49">
        <f t="shared" ca="1" si="33"/>
        <v>0</v>
      </c>
      <c r="BA174" s="49">
        <f t="shared" ca="1" si="33"/>
        <v>0</v>
      </c>
      <c r="BB174" s="49">
        <f t="shared" ca="1" si="33"/>
        <v>0</v>
      </c>
      <c r="BC174" s="49">
        <f t="shared" ca="1" si="33"/>
        <v>0</v>
      </c>
      <c r="BD174" s="49">
        <f t="shared" ca="1" si="33"/>
        <v>0</v>
      </c>
      <c r="BE174" s="49">
        <f t="shared" ca="1" si="33"/>
        <v>0</v>
      </c>
      <c r="BF174" s="49">
        <f t="shared" ca="1" si="33"/>
        <v>0</v>
      </c>
      <c r="BG174" s="49">
        <f t="shared" ca="1" si="33"/>
        <v>0</v>
      </c>
      <c r="BH174" s="49">
        <f t="shared" ca="1" si="33"/>
        <v>0</v>
      </c>
      <c r="BI174" s="49">
        <f t="shared" ca="1" si="33"/>
        <v>0</v>
      </c>
      <c r="BJ174" s="49">
        <f t="shared" ca="1" si="33"/>
        <v>0</v>
      </c>
      <c r="BK174" s="49">
        <f t="shared" ca="1" si="33"/>
        <v>0</v>
      </c>
      <c r="BL174" s="49">
        <f t="shared" ca="1" si="33"/>
        <v>0</v>
      </c>
      <c r="BM174" s="49">
        <f t="shared" ca="1" si="33"/>
        <v>0</v>
      </c>
      <c r="BN174" s="49">
        <f t="shared" ca="1" si="33"/>
        <v>0</v>
      </c>
      <c r="BO174" s="49">
        <f t="shared" ca="1" si="33"/>
        <v>0</v>
      </c>
      <c r="BP174" s="49">
        <f t="shared" ca="1" si="33"/>
        <v>0</v>
      </c>
      <c r="BQ174" s="49">
        <f t="shared" ca="1" si="33"/>
        <v>0</v>
      </c>
      <c r="BR174" s="49">
        <f t="shared" ca="1" si="33"/>
        <v>0</v>
      </c>
      <c r="BS174" s="49">
        <f t="shared" ca="1" si="33"/>
        <v>0</v>
      </c>
    </row>
    <row r="175" spans="1:71" outlineLevel="1" x14ac:dyDescent="0.2">
      <c r="J175" s="26"/>
      <c r="L175" s="55"/>
      <c r="M175" s="55"/>
      <c r="N175" s="55"/>
      <c r="O175" s="55"/>
      <c r="P175" s="55"/>
      <c r="Q175" s="55"/>
      <c r="R175" s="55"/>
      <c r="S175" s="55"/>
      <c r="T175" s="55"/>
      <c r="U175" s="55"/>
      <c r="V175" s="55"/>
      <c r="W175" s="55"/>
      <c r="X175" s="55"/>
      <c r="Y175" s="55"/>
      <c r="Z175" s="55"/>
      <c r="AA175" s="55"/>
      <c r="AB175" s="55"/>
      <c r="AC175" s="55"/>
      <c r="AD175" s="55"/>
      <c r="AE175" s="55"/>
      <c r="AF175" s="55"/>
      <c r="AG175" s="55"/>
      <c r="AH175" s="55"/>
      <c r="AI175" s="55"/>
      <c r="AJ175" s="55"/>
      <c r="AK175" s="55"/>
      <c r="AL175" s="55"/>
      <c r="AM175" s="55"/>
      <c r="AN175" s="55"/>
      <c r="AO175" s="55"/>
      <c r="AP175" s="55"/>
      <c r="AQ175" s="55"/>
      <c r="AR175" s="55"/>
      <c r="AS175" s="55"/>
      <c r="AT175" s="55"/>
      <c r="AU175" s="55"/>
      <c r="AV175" s="55"/>
      <c r="AW175" s="55"/>
      <c r="AX175" s="55"/>
      <c r="AY175" s="55"/>
      <c r="AZ175" s="55"/>
      <c r="BA175" s="55"/>
      <c r="BB175" s="55"/>
      <c r="BC175" s="55"/>
      <c r="BD175" s="55"/>
      <c r="BE175" s="55"/>
      <c r="BF175" s="55"/>
      <c r="BG175" s="55"/>
      <c r="BH175" s="55"/>
      <c r="BI175" s="55"/>
      <c r="BJ175" s="55"/>
      <c r="BK175" s="55"/>
      <c r="BL175" s="55"/>
      <c r="BM175" s="55"/>
      <c r="BN175" s="55"/>
      <c r="BO175" s="55"/>
      <c r="BP175" s="55"/>
      <c r="BQ175" s="55"/>
      <c r="BR175" s="55"/>
      <c r="BS175" s="55"/>
    </row>
    <row r="176" spans="1:71" outlineLevel="1" x14ac:dyDescent="0.2">
      <c r="J176" s="26"/>
      <c r="L176" s="55"/>
      <c r="M176" s="55"/>
      <c r="N176" s="55"/>
      <c r="O176" s="55"/>
      <c r="P176" s="55"/>
      <c r="Q176" s="55"/>
      <c r="R176" s="55"/>
      <c r="S176" s="55"/>
      <c r="T176" s="55"/>
      <c r="U176" s="55"/>
      <c r="V176" s="55"/>
      <c r="W176" s="55"/>
      <c r="X176" s="55"/>
      <c r="Y176" s="55"/>
      <c r="Z176" s="55"/>
      <c r="AA176" s="55"/>
      <c r="AB176" s="55"/>
      <c r="AC176" s="55"/>
      <c r="AD176" s="55"/>
      <c r="AE176" s="55"/>
      <c r="AF176" s="55"/>
      <c r="AG176" s="55"/>
      <c r="AH176" s="55"/>
      <c r="AI176" s="55"/>
      <c r="AJ176" s="55"/>
      <c r="AK176" s="55"/>
      <c r="AL176" s="55"/>
      <c r="AM176" s="55"/>
      <c r="AN176" s="55"/>
      <c r="AO176" s="55"/>
      <c r="AP176" s="55"/>
      <c r="AQ176" s="55"/>
      <c r="AR176" s="55"/>
      <c r="AS176" s="55"/>
      <c r="AT176" s="55"/>
      <c r="AU176" s="55"/>
      <c r="AV176" s="55"/>
      <c r="AW176" s="55"/>
      <c r="AX176" s="55"/>
      <c r="AY176" s="55"/>
      <c r="AZ176" s="55"/>
      <c r="BA176" s="55"/>
      <c r="BB176" s="55"/>
      <c r="BC176" s="55"/>
      <c r="BD176" s="55"/>
      <c r="BE176" s="55"/>
      <c r="BF176" s="55"/>
      <c r="BG176" s="55"/>
      <c r="BH176" s="55"/>
      <c r="BI176" s="55"/>
      <c r="BJ176" s="55"/>
      <c r="BK176" s="55"/>
      <c r="BL176" s="55"/>
      <c r="BM176" s="55"/>
      <c r="BN176" s="55"/>
      <c r="BO176" s="55"/>
      <c r="BP176" s="55"/>
      <c r="BQ176" s="55"/>
      <c r="BR176" s="55"/>
      <c r="BS176" s="55"/>
    </row>
    <row r="177" spans="1:71" outlineLevel="1" x14ac:dyDescent="0.2">
      <c r="D177" t="str">
        <f>HM_ZA_Nkossa!D168</f>
        <v>Revenus pétroliers (@ PH1)</v>
      </c>
      <c r="I177" s="30">
        <f ca="1">SUM($L177:$BS177)</f>
        <v>296.82296942591717</v>
      </c>
      <c r="J177" s="26" t="s">
        <v>148</v>
      </c>
      <c r="K177" s="7" t="s">
        <v>459</v>
      </c>
      <c r="L177" s="49" cm="1">
        <f t="array" aca="1" ref="L177:BS177" ca="1">(HM_ZB_Nsoko!CA_gross_sales_oil+HM_ZB_Nsoko!CA_gross_sales_lpg)*HM_ZB_Nsoko!CA_HP1_oil_nom</f>
        <v>23.314775583750002</v>
      </c>
      <c r="M177" s="49">
        <f ca="1"/>
        <v>26.263611938</v>
      </c>
      <c r="N177" s="49">
        <f ca="1"/>
        <v>30.486242176999998</v>
      </c>
      <c r="O177" s="49">
        <f ca="1"/>
        <v>24.598824371999999</v>
      </c>
      <c r="P177" s="49">
        <f ca="1"/>
        <v>27.988804673000001</v>
      </c>
      <c r="Q177" s="49">
        <f ca="1"/>
        <v>22.379881879999999</v>
      </c>
      <c r="R177" s="49">
        <f ca="1"/>
        <v>8.9512104062131765</v>
      </c>
      <c r="S177" s="49">
        <f ca="1"/>
        <v>25.159763089227003</v>
      </c>
      <c r="T177" s="49">
        <f ca="1"/>
        <v>23.86655126644073</v>
      </c>
      <c r="U177" s="49">
        <f ca="1"/>
        <v>22.63981053134567</v>
      </c>
      <c r="V177" s="49">
        <f ca="1"/>
        <v>21.4761242700345</v>
      </c>
      <c r="W177" s="49">
        <f ca="1"/>
        <v>20.372251482554727</v>
      </c>
      <c r="X177" s="49">
        <f ca="1"/>
        <v>19.325117756351421</v>
      </c>
      <c r="Y177" s="49">
        <f ca="1"/>
        <v>0</v>
      </c>
      <c r="Z177" s="49">
        <f ca="1"/>
        <v>0</v>
      </c>
      <c r="AA177" s="49">
        <f ca="1"/>
        <v>0</v>
      </c>
      <c r="AB177" s="49">
        <f ca="1"/>
        <v>0</v>
      </c>
      <c r="AC177" s="49">
        <f ca="1"/>
        <v>0</v>
      </c>
      <c r="AD177" s="49">
        <f ca="1"/>
        <v>0</v>
      </c>
      <c r="AE177" s="49">
        <f ca="1"/>
        <v>0</v>
      </c>
      <c r="AF177" s="49">
        <f ca="1"/>
        <v>0</v>
      </c>
      <c r="AG177" s="49">
        <f ca="1"/>
        <v>0</v>
      </c>
      <c r="AH177" s="49">
        <f ca="1"/>
        <v>0</v>
      </c>
      <c r="AI177" s="49">
        <f ca="1"/>
        <v>0</v>
      </c>
      <c r="AJ177" s="49">
        <f ca="1"/>
        <v>0</v>
      </c>
      <c r="AK177" s="49">
        <f ca="1"/>
        <v>0</v>
      </c>
      <c r="AL177" s="49">
        <f ca="1"/>
        <v>0</v>
      </c>
      <c r="AM177" s="49">
        <f ca="1"/>
        <v>0</v>
      </c>
      <c r="AN177" s="49">
        <f ca="1"/>
        <v>0</v>
      </c>
      <c r="AO177" s="49">
        <f ca="1"/>
        <v>0</v>
      </c>
      <c r="AP177" s="49">
        <f ca="1"/>
        <v>0</v>
      </c>
      <c r="AQ177" s="49">
        <f ca="1"/>
        <v>0</v>
      </c>
      <c r="AR177" s="49">
        <f ca="1"/>
        <v>0</v>
      </c>
      <c r="AS177" s="49">
        <f ca="1"/>
        <v>0</v>
      </c>
      <c r="AT177" s="49">
        <f ca="1"/>
        <v>0</v>
      </c>
      <c r="AU177" s="49">
        <f ca="1"/>
        <v>0</v>
      </c>
      <c r="AV177" s="49">
        <f ca="1"/>
        <v>0</v>
      </c>
      <c r="AW177" s="49">
        <f ca="1"/>
        <v>0</v>
      </c>
      <c r="AX177" s="49">
        <f ca="1"/>
        <v>0</v>
      </c>
      <c r="AY177" s="49">
        <f ca="1"/>
        <v>0</v>
      </c>
      <c r="AZ177" s="49">
        <f ca="1"/>
        <v>0</v>
      </c>
      <c r="BA177" s="49">
        <f ca="1"/>
        <v>0</v>
      </c>
      <c r="BB177" s="49">
        <f ca="1"/>
        <v>0</v>
      </c>
      <c r="BC177" s="49">
        <f ca="1"/>
        <v>0</v>
      </c>
      <c r="BD177" s="49">
        <f ca="1"/>
        <v>0</v>
      </c>
      <c r="BE177" s="49">
        <f ca="1"/>
        <v>0</v>
      </c>
      <c r="BF177" s="49">
        <f ca="1"/>
        <v>0</v>
      </c>
      <c r="BG177" s="49">
        <f ca="1"/>
        <v>0</v>
      </c>
      <c r="BH177" s="49">
        <f ca="1"/>
        <v>0</v>
      </c>
      <c r="BI177" s="49">
        <f ca="1"/>
        <v>0</v>
      </c>
      <c r="BJ177" s="49">
        <f ca="1"/>
        <v>0</v>
      </c>
      <c r="BK177" s="49">
        <f ca="1"/>
        <v>0</v>
      </c>
      <c r="BL177" s="49">
        <f ca="1"/>
        <v>0</v>
      </c>
      <c r="BM177" s="49">
        <f ca="1"/>
        <v>0</v>
      </c>
      <c r="BN177" s="49">
        <f ca="1"/>
        <v>0</v>
      </c>
      <c r="BO177" s="49">
        <f ca="1"/>
        <v>0</v>
      </c>
      <c r="BP177" s="49">
        <f ca="1"/>
        <v>0</v>
      </c>
      <c r="BQ177" s="49">
        <f ca="1"/>
        <v>0</v>
      </c>
      <c r="BR177" s="49">
        <f ca="1"/>
        <v>0</v>
      </c>
      <c r="BS177" s="49">
        <f ca="1"/>
        <v>0</v>
      </c>
    </row>
    <row r="178" spans="1:71" outlineLevel="1" x14ac:dyDescent="0.2">
      <c r="J178" s="26"/>
      <c r="L178" s="55"/>
      <c r="M178" s="55"/>
      <c r="N178" s="55"/>
      <c r="O178" s="55"/>
      <c r="P178" s="55"/>
      <c r="Q178" s="55"/>
      <c r="R178" s="55"/>
      <c r="S178" s="55"/>
      <c r="T178" s="55"/>
      <c r="U178" s="55"/>
      <c r="V178" s="55"/>
      <c r="W178" s="55"/>
      <c r="X178" s="55"/>
      <c r="Y178" s="55"/>
      <c r="Z178" s="55"/>
      <c r="AA178" s="55"/>
      <c r="AB178" s="55"/>
      <c r="AC178" s="55"/>
      <c r="AD178" s="55"/>
      <c r="AE178" s="55"/>
      <c r="AF178" s="55"/>
      <c r="AG178" s="55"/>
      <c r="AH178" s="55"/>
      <c r="AI178" s="55"/>
      <c r="AJ178" s="55"/>
      <c r="AK178" s="55"/>
      <c r="AL178" s="55"/>
      <c r="AM178" s="55"/>
      <c r="AN178" s="55"/>
      <c r="AO178" s="55"/>
      <c r="AP178" s="55"/>
      <c r="AQ178" s="55"/>
      <c r="AR178" s="55"/>
      <c r="AS178" s="55"/>
      <c r="AT178" s="55"/>
      <c r="AU178" s="55"/>
      <c r="AV178" s="55"/>
      <c r="AW178" s="55"/>
      <c r="AX178" s="55"/>
      <c r="AY178" s="55"/>
      <c r="AZ178" s="55"/>
      <c r="BA178" s="55"/>
      <c r="BB178" s="55"/>
      <c r="BC178" s="55"/>
      <c r="BD178" s="55"/>
      <c r="BE178" s="55"/>
      <c r="BF178" s="55"/>
      <c r="BG178" s="55"/>
      <c r="BH178" s="55"/>
      <c r="BI178" s="55"/>
      <c r="BJ178" s="55"/>
      <c r="BK178" s="55"/>
      <c r="BL178" s="55"/>
      <c r="BM178" s="55"/>
      <c r="BN178" s="55"/>
      <c r="BO178" s="55"/>
      <c r="BP178" s="55"/>
      <c r="BQ178" s="55"/>
      <c r="BR178" s="55"/>
      <c r="BS178" s="55"/>
    </row>
    <row r="179" spans="1:71" outlineLevel="1" x14ac:dyDescent="0.2">
      <c r="D179" t="str">
        <f>HM_ZA_Nkossa!D170</f>
        <v>Revenus pétroliers (@ PH2)</v>
      </c>
      <c r="I179" s="30">
        <f ca="1">SUM($L179:$BS179)</f>
        <v>201.53303815395824</v>
      </c>
      <c r="J179" s="26" t="s">
        <v>148</v>
      </c>
      <c r="K179" s="7" t="s">
        <v>460</v>
      </c>
      <c r="L179" s="49" cm="1">
        <f t="array" aca="1" ref="L179:BS179" ca="1">(HM_ZB_Nsoko!CA_gross_sales_oil+HM_ZB_Nsoko!CA_gross_sales_lpg)*HM_ZB_Nsoko!CA_HP2_oil_nom</f>
        <v>0</v>
      </c>
      <c r="M179" s="49">
        <f ca="1"/>
        <v>0</v>
      </c>
      <c r="N179" s="49">
        <f ca="1"/>
        <v>0</v>
      </c>
      <c r="O179" s="49">
        <f ca="1"/>
        <v>0</v>
      </c>
      <c r="P179" s="49">
        <f ca="1"/>
        <v>0</v>
      </c>
      <c r="Q179" s="49">
        <f ca="1"/>
        <v>0</v>
      </c>
      <c r="R179" s="49">
        <f ca="1"/>
        <v>11.276755776</v>
      </c>
      <c r="S179" s="49">
        <f ca="1"/>
        <v>37.726825550000001</v>
      </c>
      <c r="T179" s="49">
        <f ca="1"/>
        <v>35.085947761499995</v>
      </c>
      <c r="U179" s="49">
        <f ca="1"/>
        <v>32.629931418194992</v>
      </c>
      <c r="V179" s="49">
        <f ca="1"/>
        <v>30.345836218921342</v>
      </c>
      <c r="W179" s="49">
        <f ca="1"/>
        <v>28.221627683596846</v>
      </c>
      <c r="X179" s="49">
        <f ca="1"/>
        <v>26.24611374574507</v>
      </c>
      <c r="Y179" s="49">
        <f ca="1"/>
        <v>0</v>
      </c>
      <c r="Z179" s="49">
        <f ca="1"/>
        <v>0</v>
      </c>
      <c r="AA179" s="49">
        <f ca="1"/>
        <v>0</v>
      </c>
      <c r="AB179" s="49">
        <f ca="1"/>
        <v>0</v>
      </c>
      <c r="AC179" s="49">
        <f ca="1"/>
        <v>0</v>
      </c>
      <c r="AD179" s="49">
        <f ca="1"/>
        <v>0</v>
      </c>
      <c r="AE179" s="49">
        <f ca="1"/>
        <v>0</v>
      </c>
      <c r="AF179" s="49">
        <f ca="1"/>
        <v>0</v>
      </c>
      <c r="AG179" s="49">
        <f ca="1"/>
        <v>0</v>
      </c>
      <c r="AH179" s="49">
        <f ca="1"/>
        <v>0</v>
      </c>
      <c r="AI179" s="49">
        <f ca="1"/>
        <v>0</v>
      </c>
      <c r="AJ179" s="49">
        <f ca="1"/>
        <v>0</v>
      </c>
      <c r="AK179" s="49">
        <f ca="1"/>
        <v>0</v>
      </c>
      <c r="AL179" s="49">
        <f ca="1"/>
        <v>0</v>
      </c>
      <c r="AM179" s="49">
        <f ca="1"/>
        <v>0</v>
      </c>
      <c r="AN179" s="49">
        <f ca="1"/>
        <v>0</v>
      </c>
      <c r="AO179" s="49">
        <f ca="1"/>
        <v>0</v>
      </c>
      <c r="AP179" s="49">
        <f ca="1"/>
        <v>0</v>
      </c>
      <c r="AQ179" s="49">
        <f ca="1"/>
        <v>0</v>
      </c>
      <c r="AR179" s="49">
        <f ca="1"/>
        <v>0</v>
      </c>
      <c r="AS179" s="49">
        <f ca="1"/>
        <v>0</v>
      </c>
      <c r="AT179" s="49">
        <f ca="1"/>
        <v>0</v>
      </c>
      <c r="AU179" s="49">
        <f ca="1"/>
        <v>0</v>
      </c>
      <c r="AV179" s="49">
        <f ca="1"/>
        <v>0</v>
      </c>
      <c r="AW179" s="49">
        <f ca="1"/>
        <v>0</v>
      </c>
      <c r="AX179" s="49">
        <f ca="1"/>
        <v>0</v>
      </c>
      <c r="AY179" s="49">
        <f ca="1"/>
        <v>0</v>
      </c>
      <c r="AZ179" s="49">
        <f ca="1"/>
        <v>0</v>
      </c>
      <c r="BA179" s="49">
        <f ca="1"/>
        <v>0</v>
      </c>
      <c r="BB179" s="49">
        <f ca="1"/>
        <v>0</v>
      </c>
      <c r="BC179" s="49">
        <f ca="1"/>
        <v>0</v>
      </c>
      <c r="BD179" s="49">
        <f ca="1"/>
        <v>0</v>
      </c>
      <c r="BE179" s="49">
        <f ca="1"/>
        <v>0</v>
      </c>
      <c r="BF179" s="49">
        <f ca="1"/>
        <v>0</v>
      </c>
      <c r="BG179" s="49">
        <f ca="1"/>
        <v>0</v>
      </c>
      <c r="BH179" s="49">
        <f ca="1"/>
        <v>0</v>
      </c>
      <c r="BI179" s="49">
        <f ca="1"/>
        <v>0</v>
      </c>
      <c r="BJ179" s="49">
        <f ca="1"/>
        <v>0</v>
      </c>
      <c r="BK179" s="49">
        <f ca="1"/>
        <v>0</v>
      </c>
      <c r="BL179" s="49">
        <f ca="1"/>
        <v>0</v>
      </c>
      <c r="BM179" s="49">
        <f ca="1"/>
        <v>0</v>
      </c>
      <c r="BN179" s="49">
        <f ca="1"/>
        <v>0</v>
      </c>
      <c r="BO179" s="49">
        <f ca="1"/>
        <v>0</v>
      </c>
      <c r="BP179" s="49">
        <f ca="1"/>
        <v>0</v>
      </c>
      <c r="BQ179" s="49">
        <f ca="1"/>
        <v>0</v>
      </c>
      <c r="BR179" s="49">
        <f ca="1"/>
        <v>0</v>
      </c>
      <c r="BS179" s="49">
        <f ca="1"/>
        <v>0</v>
      </c>
    </row>
    <row r="180" spans="1:71" outlineLevel="1" x14ac:dyDescent="0.2">
      <c r="J180" s="26"/>
      <c r="L180" s="55"/>
      <c r="M180" s="55"/>
      <c r="N180" s="55"/>
      <c r="O180" s="55"/>
      <c r="P180" s="55"/>
      <c r="Q180" s="55"/>
      <c r="R180" s="55"/>
      <c r="S180" s="55"/>
      <c r="T180" s="55"/>
      <c r="U180" s="55"/>
      <c r="V180" s="55"/>
      <c r="W180" s="55"/>
      <c r="X180" s="55"/>
      <c r="Y180" s="55"/>
      <c r="Z180" s="55"/>
      <c r="AA180" s="55"/>
      <c r="AB180" s="55"/>
      <c r="AC180" s="55"/>
      <c r="AD180" s="55"/>
      <c r="AE180" s="55"/>
      <c r="AF180" s="55"/>
      <c r="AG180" s="55"/>
      <c r="AH180" s="55"/>
      <c r="AI180" s="55"/>
      <c r="AJ180" s="55"/>
      <c r="AK180" s="55"/>
      <c r="AL180" s="55"/>
      <c r="AM180" s="55"/>
      <c r="AN180" s="55"/>
      <c r="AO180" s="55"/>
      <c r="AP180" s="55"/>
      <c r="AQ180" s="55"/>
      <c r="AR180" s="55"/>
      <c r="AS180" s="55"/>
      <c r="AT180" s="55"/>
      <c r="AU180" s="55"/>
      <c r="AV180" s="55"/>
      <c r="AW180" s="55"/>
      <c r="AX180" s="55"/>
      <c r="AY180" s="55"/>
      <c r="AZ180" s="55"/>
      <c r="BA180" s="55"/>
      <c r="BB180" s="55"/>
      <c r="BC180" s="55"/>
      <c r="BD180" s="55"/>
      <c r="BE180" s="55"/>
      <c r="BF180" s="55"/>
      <c r="BG180" s="55"/>
      <c r="BH180" s="55"/>
      <c r="BI180" s="55"/>
      <c r="BJ180" s="55"/>
      <c r="BK180" s="55"/>
      <c r="BL180" s="55"/>
      <c r="BM180" s="55"/>
      <c r="BN180" s="55"/>
      <c r="BO180" s="55"/>
      <c r="BP180" s="55"/>
      <c r="BQ180" s="55"/>
      <c r="BR180" s="55"/>
      <c r="BS180" s="55"/>
    </row>
    <row r="181" spans="1:71" outlineLevel="1" x14ac:dyDescent="0.2">
      <c r="D181" t="str">
        <f>HM_ZA_Nkossa!D172</f>
        <v>Différence de revenus pétroliers (PF-PH1)</v>
      </c>
      <c r="I181" s="30">
        <f ca="1">SUM($L181:$BS181)</f>
        <v>287.99644063982691</v>
      </c>
      <c r="J181" s="26" t="s">
        <v>148</v>
      </c>
      <c r="K181" s="7" t="s">
        <v>620</v>
      </c>
      <c r="L181" s="49" cm="1">
        <f t="array" aca="1" ref="L181:BS181" ca="1">HM_ZB_Nsoko!CA_gross_rev_oil_fp-HM_ZB_Nsoko!CA_gross_rev_oil_hp1</f>
        <v>60.618593709249993</v>
      </c>
      <c r="M181" s="49">
        <f ca="1"/>
        <v>57.973620272999995</v>
      </c>
      <c r="N181" s="49">
        <f ca="1"/>
        <v>17.992828507000009</v>
      </c>
      <c r="O181" s="49">
        <f ca="1"/>
        <v>8.4707656070000006</v>
      </c>
      <c r="P181" s="49">
        <f ca="1"/>
        <v>11.816941110999995</v>
      </c>
      <c r="Q181" s="49">
        <f ca="1"/>
        <v>25.178899752999996</v>
      </c>
      <c r="R181" s="49">
        <f ca="1"/>
        <v>7.468817293786822</v>
      </c>
      <c r="S181" s="49">
        <f ca="1"/>
        <v>5.7798807882428243</v>
      </c>
      <c r="T181" s="49">
        <f ca="1"/>
        <v>18.806997730837466</v>
      </c>
      <c r="U181" s="49">
        <f ca="1"/>
        <v>19.959064374203276</v>
      </c>
      <c r="V181" s="49">
        <f ca="1"/>
        <v>18.933168465369224</v>
      </c>
      <c r="W181" s="49">
        <f ca="1"/>
        <v>17.960003606249241</v>
      </c>
      <c r="X181" s="49">
        <f ca="1"/>
        <v>17.036859420888025</v>
      </c>
      <c r="Y181" s="49">
        <f ca="1"/>
        <v>0</v>
      </c>
      <c r="Z181" s="49">
        <f ca="1"/>
        <v>0</v>
      </c>
      <c r="AA181" s="49">
        <f ca="1"/>
        <v>0</v>
      </c>
      <c r="AB181" s="49">
        <f ca="1"/>
        <v>0</v>
      </c>
      <c r="AC181" s="49">
        <f ca="1"/>
        <v>0</v>
      </c>
      <c r="AD181" s="49">
        <f ca="1"/>
        <v>0</v>
      </c>
      <c r="AE181" s="49">
        <f ca="1"/>
        <v>0</v>
      </c>
      <c r="AF181" s="49">
        <f ca="1"/>
        <v>0</v>
      </c>
      <c r="AG181" s="49">
        <f ca="1"/>
        <v>0</v>
      </c>
      <c r="AH181" s="49">
        <f ca="1"/>
        <v>0</v>
      </c>
      <c r="AI181" s="49">
        <f ca="1"/>
        <v>0</v>
      </c>
      <c r="AJ181" s="49">
        <f ca="1"/>
        <v>0</v>
      </c>
      <c r="AK181" s="49">
        <f ca="1"/>
        <v>0</v>
      </c>
      <c r="AL181" s="49">
        <f ca="1"/>
        <v>0</v>
      </c>
      <c r="AM181" s="49">
        <f ca="1"/>
        <v>0</v>
      </c>
      <c r="AN181" s="49">
        <f ca="1"/>
        <v>0</v>
      </c>
      <c r="AO181" s="49">
        <f ca="1"/>
        <v>0</v>
      </c>
      <c r="AP181" s="49">
        <f ca="1"/>
        <v>0</v>
      </c>
      <c r="AQ181" s="49">
        <f ca="1"/>
        <v>0</v>
      </c>
      <c r="AR181" s="49">
        <f ca="1"/>
        <v>0</v>
      </c>
      <c r="AS181" s="49">
        <f ca="1"/>
        <v>0</v>
      </c>
      <c r="AT181" s="49">
        <f ca="1"/>
        <v>0</v>
      </c>
      <c r="AU181" s="49">
        <f ca="1"/>
        <v>0</v>
      </c>
      <c r="AV181" s="49">
        <f ca="1"/>
        <v>0</v>
      </c>
      <c r="AW181" s="49">
        <f ca="1"/>
        <v>0</v>
      </c>
      <c r="AX181" s="49">
        <f ca="1"/>
        <v>0</v>
      </c>
      <c r="AY181" s="49">
        <f ca="1"/>
        <v>0</v>
      </c>
      <c r="AZ181" s="49">
        <f ca="1"/>
        <v>0</v>
      </c>
      <c r="BA181" s="49">
        <f ca="1"/>
        <v>0</v>
      </c>
      <c r="BB181" s="49">
        <f ca="1"/>
        <v>0</v>
      </c>
      <c r="BC181" s="49">
        <f ca="1"/>
        <v>0</v>
      </c>
      <c r="BD181" s="49">
        <f ca="1"/>
        <v>0</v>
      </c>
      <c r="BE181" s="49">
        <f ca="1"/>
        <v>0</v>
      </c>
      <c r="BF181" s="49">
        <f ca="1"/>
        <v>0</v>
      </c>
      <c r="BG181" s="49">
        <f ca="1"/>
        <v>0</v>
      </c>
      <c r="BH181" s="49">
        <f ca="1"/>
        <v>0</v>
      </c>
      <c r="BI181" s="49">
        <f ca="1"/>
        <v>0</v>
      </c>
      <c r="BJ181" s="49">
        <f ca="1"/>
        <v>0</v>
      </c>
      <c r="BK181" s="49">
        <f ca="1"/>
        <v>0</v>
      </c>
      <c r="BL181" s="49">
        <f ca="1"/>
        <v>0</v>
      </c>
      <c r="BM181" s="49">
        <f ca="1"/>
        <v>0</v>
      </c>
      <c r="BN181" s="49">
        <f ca="1"/>
        <v>0</v>
      </c>
      <c r="BO181" s="49">
        <f ca="1"/>
        <v>0</v>
      </c>
      <c r="BP181" s="49">
        <f ca="1"/>
        <v>0</v>
      </c>
      <c r="BQ181" s="49">
        <f ca="1"/>
        <v>0</v>
      </c>
      <c r="BR181" s="49">
        <f ca="1"/>
        <v>0</v>
      </c>
      <c r="BS181" s="49">
        <f ca="1"/>
        <v>0</v>
      </c>
    </row>
    <row r="182" spans="1:71" outlineLevel="1" x14ac:dyDescent="0.2">
      <c r="J182" s="26"/>
      <c r="L182" s="55"/>
      <c r="M182" s="55"/>
      <c r="N182" s="55"/>
      <c r="O182" s="55"/>
      <c r="P182" s="55"/>
      <c r="Q182" s="55"/>
      <c r="R182" s="55"/>
      <c r="S182" s="55"/>
      <c r="T182" s="55"/>
      <c r="U182" s="55"/>
      <c r="V182" s="55"/>
      <c r="W182" s="55"/>
      <c r="X182" s="55"/>
      <c r="Y182" s="55"/>
      <c r="Z182" s="55"/>
      <c r="AA182" s="55"/>
      <c r="AB182" s="55"/>
      <c r="AC182" s="55"/>
      <c r="AD182" s="55"/>
      <c r="AE182" s="55"/>
      <c r="AF182" s="55"/>
      <c r="AG182" s="55"/>
      <c r="AH182" s="55"/>
      <c r="AI182" s="55"/>
      <c r="AJ182" s="55"/>
      <c r="AK182" s="55"/>
      <c r="AL182" s="55"/>
      <c r="AM182" s="55"/>
      <c r="AN182" s="55"/>
      <c r="AO182" s="55"/>
      <c r="AP182" s="55"/>
      <c r="AQ182" s="55"/>
      <c r="AR182" s="55"/>
      <c r="AS182" s="55"/>
      <c r="AT182" s="55"/>
      <c r="AU182" s="55"/>
      <c r="AV182" s="55"/>
      <c r="AW182" s="55"/>
      <c r="AX182" s="55"/>
      <c r="AY182" s="55"/>
      <c r="AZ182" s="55"/>
      <c r="BA182" s="55"/>
      <c r="BB182" s="55"/>
      <c r="BC182" s="55"/>
      <c r="BD182" s="55"/>
      <c r="BE182" s="55"/>
      <c r="BF182" s="55"/>
      <c r="BG182" s="55"/>
      <c r="BH182" s="55"/>
      <c r="BI182" s="55"/>
      <c r="BJ182" s="55"/>
      <c r="BK182" s="55"/>
      <c r="BL182" s="55"/>
      <c r="BM182" s="55"/>
      <c r="BN182" s="55"/>
      <c r="BO182" s="55"/>
      <c r="BP182" s="55"/>
      <c r="BQ182" s="55"/>
      <c r="BR182" s="55"/>
      <c r="BS182" s="55"/>
    </row>
    <row r="183" spans="1:71" outlineLevel="1" x14ac:dyDescent="0.2">
      <c r="D183" t="str">
        <f>HM_ZA_Nkossa!D174</f>
        <v>Différence de revenus pétroliers (PF-PH2)</v>
      </c>
      <c r="I183" s="30">
        <f ca="1">SUM($L183:$BS183)</f>
        <v>390.07355358431607</v>
      </c>
      <c r="J183" s="26" t="s">
        <v>148</v>
      </c>
      <c r="K183" s="7" t="s">
        <v>622</v>
      </c>
      <c r="L183" s="49">
        <f ca="1">MAX(HM_ZB_Nsoko!CA_gross_rev_oil_fp-HM_ZB_Nsoko!CA_gross_rev_oil_hp2,0)</f>
        <v>83.933369292999998</v>
      </c>
      <c r="M183" s="49">
        <f ca="1">MAX(HM_ZB_Nsoko!CA_gross_rev_oil_fp-HM_ZB_Nsoko!CA_gross_rev_oil_hp2,0)</f>
        <v>84.237232210999991</v>
      </c>
      <c r="N183" s="49">
        <f ca="1">MAX(HM_ZB_Nsoko!CA_gross_rev_oil_fp-HM_ZB_Nsoko!CA_gross_rev_oil_hp2,0)</f>
        <v>48.479070684000007</v>
      </c>
      <c r="O183" s="49">
        <f ca="1">MAX(HM_ZB_Nsoko!CA_gross_rev_oil_fp-HM_ZB_Nsoko!CA_gross_rev_oil_hp2,0)</f>
        <v>33.069589979</v>
      </c>
      <c r="P183" s="49">
        <f ca="1">MAX(HM_ZB_Nsoko!CA_gross_rev_oil_fp-HM_ZB_Nsoko!CA_gross_rev_oil_hp2,0)</f>
        <v>39.805745783999996</v>
      </c>
      <c r="Q183" s="49">
        <f ca="1">MAX(HM_ZB_Nsoko!CA_gross_rev_oil_fp-HM_ZB_Nsoko!CA_gross_rev_oil_hp2,0)</f>
        <v>47.558781632999995</v>
      </c>
      <c r="R183" s="49">
        <f ca="1">MAX(HM_ZB_Nsoko!CA_gross_rev_oil_fp-HM_ZB_Nsoko!CA_gross_rev_oil_hp2,0)</f>
        <v>5.1432719239999987</v>
      </c>
      <c r="S183" s="49">
        <f ca="1">MAX(HM_ZB_Nsoko!CA_gross_rev_oil_fp-HM_ZB_Nsoko!CA_gross_rev_oil_hp2,0)</f>
        <v>0</v>
      </c>
      <c r="T183" s="49">
        <f ca="1">MAX(HM_ZB_Nsoko!CA_gross_rev_oil_fp-HM_ZB_Nsoko!CA_gross_rev_oil_hp2,0)</f>
        <v>7.5876012357782017</v>
      </c>
      <c r="U183" s="49">
        <f ca="1">MAX(HM_ZB_Nsoko!CA_gross_rev_oil_fp-HM_ZB_Nsoko!CA_gross_rev_oil_hp2,0)</f>
        <v>9.968943487353954</v>
      </c>
      <c r="V183" s="49">
        <f ca="1">MAX(HM_ZB_Nsoko!CA_gross_rev_oil_fp-HM_ZB_Nsoko!CA_gross_rev_oil_hp2,0)</f>
        <v>10.063456516482383</v>
      </c>
      <c r="W183" s="49">
        <f ca="1">MAX(HM_ZB_Nsoko!CA_gross_rev_oil_fp-HM_ZB_Nsoko!CA_gross_rev_oil_hp2,0)</f>
        <v>10.110627405207122</v>
      </c>
      <c r="X183" s="49">
        <f ca="1">MAX(HM_ZB_Nsoko!CA_gross_rev_oil_fp-HM_ZB_Nsoko!CA_gross_rev_oil_hp2,0)</f>
        <v>10.115863431494375</v>
      </c>
      <c r="Y183" s="49">
        <f ca="1">MAX(HM_ZB_Nsoko!CA_gross_rev_oil_fp-HM_ZB_Nsoko!CA_gross_rev_oil_hp2,0)</f>
        <v>0</v>
      </c>
      <c r="Z183" s="49">
        <f ca="1">MAX(HM_ZB_Nsoko!CA_gross_rev_oil_fp-HM_ZB_Nsoko!CA_gross_rev_oil_hp2,0)</f>
        <v>0</v>
      </c>
      <c r="AA183" s="49">
        <f ca="1">MAX(HM_ZB_Nsoko!CA_gross_rev_oil_fp-HM_ZB_Nsoko!CA_gross_rev_oil_hp2,0)</f>
        <v>0</v>
      </c>
      <c r="AB183" s="49">
        <f ca="1">MAX(HM_ZB_Nsoko!CA_gross_rev_oil_fp-HM_ZB_Nsoko!CA_gross_rev_oil_hp2,0)</f>
        <v>0</v>
      </c>
      <c r="AC183" s="49">
        <f ca="1">MAX(HM_ZB_Nsoko!CA_gross_rev_oil_fp-HM_ZB_Nsoko!CA_gross_rev_oil_hp2,0)</f>
        <v>0</v>
      </c>
      <c r="AD183" s="49">
        <f ca="1">MAX(HM_ZB_Nsoko!CA_gross_rev_oil_fp-HM_ZB_Nsoko!CA_gross_rev_oil_hp2,0)</f>
        <v>0</v>
      </c>
      <c r="AE183" s="49">
        <f ca="1">MAX(HM_ZB_Nsoko!CA_gross_rev_oil_fp-HM_ZB_Nsoko!CA_gross_rev_oil_hp2,0)</f>
        <v>0</v>
      </c>
      <c r="AF183" s="49">
        <f ca="1">MAX(HM_ZB_Nsoko!CA_gross_rev_oil_fp-HM_ZB_Nsoko!CA_gross_rev_oil_hp2,0)</f>
        <v>0</v>
      </c>
      <c r="AG183" s="49">
        <f ca="1">MAX(HM_ZB_Nsoko!CA_gross_rev_oil_fp-HM_ZB_Nsoko!CA_gross_rev_oil_hp2,0)</f>
        <v>0</v>
      </c>
      <c r="AH183" s="49">
        <f ca="1">MAX(HM_ZB_Nsoko!CA_gross_rev_oil_fp-HM_ZB_Nsoko!CA_gross_rev_oil_hp2,0)</f>
        <v>0</v>
      </c>
      <c r="AI183" s="49">
        <f ca="1">MAX(HM_ZB_Nsoko!CA_gross_rev_oil_fp-HM_ZB_Nsoko!CA_gross_rev_oil_hp2,0)</f>
        <v>0</v>
      </c>
      <c r="AJ183" s="49">
        <f ca="1">MAX(HM_ZB_Nsoko!CA_gross_rev_oil_fp-HM_ZB_Nsoko!CA_gross_rev_oil_hp2,0)</f>
        <v>0</v>
      </c>
      <c r="AK183" s="49">
        <f ca="1">MAX(HM_ZB_Nsoko!CA_gross_rev_oil_fp-HM_ZB_Nsoko!CA_gross_rev_oil_hp2,0)</f>
        <v>0</v>
      </c>
      <c r="AL183" s="49">
        <f ca="1">MAX(HM_ZB_Nsoko!CA_gross_rev_oil_fp-HM_ZB_Nsoko!CA_gross_rev_oil_hp2,0)</f>
        <v>0</v>
      </c>
      <c r="AM183" s="49">
        <f ca="1">MAX(HM_ZB_Nsoko!CA_gross_rev_oil_fp-HM_ZB_Nsoko!CA_gross_rev_oil_hp2,0)</f>
        <v>0</v>
      </c>
      <c r="AN183" s="49">
        <f ca="1">MAX(HM_ZB_Nsoko!CA_gross_rev_oil_fp-HM_ZB_Nsoko!CA_gross_rev_oil_hp2,0)</f>
        <v>0</v>
      </c>
      <c r="AO183" s="49">
        <f ca="1">MAX(HM_ZB_Nsoko!CA_gross_rev_oil_fp-HM_ZB_Nsoko!CA_gross_rev_oil_hp2,0)</f>
        <v>0</v>
      </c>
      <c r="AP183" s="49">
        <f ca="1">MAX(HM_ZB_Nsoko!CA_gross_rev_oil_fp-HM_ZB_Nsoko!CA_gross_rev_oil_hp2,0)</f>
        <v>0</v>
      </c>
      <c r="AQ183" s="49">
        <f ca="1">MAX(HM_ZB_Nsoko!CA_gross_rev_oil_fp-HM_ZB_Nsoko!CA_gross_rev_oil_hp2,0)</f>
        <v>0</v>
      </c>
      <c r="AR183" s="49">
        <f ca="1">MAX(HM_ZB_Nsoko!CA_gross_rev_oil_fp-HM_ZB_Nsoko!CA_gross_rev_oil_hp2,0)</f>
        <v>0</v>
      </c>
      <c r="AS183" s="49">
        <f ca="1">MAX(HM_ZB_Nsoko!CA_gross_rev_oil_fp-HM_ZB_Nsoko!CA_gross_rev_oil_hp2,0)</f>
        <v>0</v>
      </c>
      <c r="AT183" s="49">
        <f ca="1">MAX(HM_ZB_Nsoko!CA_gross_rev_oil_fp-HM_ZB_Nsoko!CA_gross_rev_oil_hp2,0)</f>
        <v>0</v>
      </c>
      <c r="AU183" s="49">
        <f ca="1">MAX(HM_ZB_Nsoko!CA_gross_rev_oil_fp-HM_ZB_Nsoko!CA_gross_rev_oil_hp2,0)</f>
        <v>0</v>
      </c>
      <c r="AV183" s="49">
        <f ca="1">MAX(HM_ZB_Nsoko!CA_gross_rev_oil_fp-HM_ZB_Nsoko!CA_gross_rev_oil_hp2,0)</f>
        <v>0</v>
      </c>
      <c r="AW183" s="49">
        <f ca="1">MAX(HM_ZB_Nsoko!CA_gross_rev_oil_fp-HM_ZB_Nsoko!CA_gross_rev_oil_hp2,0)</f>
        <v>0</v>
      </c>
      <c r="AX183" s="49">
        <f ca="1">MAX(HM_ZB_Nsoko!CA_gross_rev_oil_fp-HM_ZB_Nsoko!CA_gross_rev_oil_hp2,0)</f>
        <v>0</v>
      </c>
      <c r="AY183" s="49">
        <f ca="1">MAX(HM_ZB_Nsoko!CA_gross_rev_oil_fp-HM_ZB_Nsoko!CA_gross_rev_oil_hp2,0)</f>
        <v>0</v>
      </c>
      <c r="AZ183" s="49">
        <f ca="1">MAX(HM_ZB_Nsoko!CA_gross_rev_oil_fp-HM_ZB_Nsoko!CA_gross_rev_oil_hp2,0)</f>
        <v>0</v>
      </c>
      <c r="BA183" s="49">
        <f ca="1">MAX(HM_ZB_Nsoko!CA_gross_rev_oil_fp-HM_ZB_Nsoko!CA_gross_rev_oil_hp2,0)</f>
        <v>0</v>
      </c>
      <c r="BB183" s="49">
        <f ca="1">MAX(HM_ZB_Nsoko!CA_gross_rev_oil_fp-HM_ZB_Nsoko!CA_gross_rev_oil_hp2,0)</f>
        <v>0</v>
      </c>
      <c r="BC183" s="49">
        <f ca="1">MAX(HM_ZB_Nsoko!CA_gross_rev_oil_fp-HM_ZB_Nsoko!CA_gross_rev_oil_hp2,0)</f>
        <v>0</v>
      </c>
      <c r="BD183" s="49">
        <f ca="1">MAX(HM_ZB_Nsoko!CA_gross_rev_oil_fp-HM_ZB_Nsoko!CA_gross_rev_oil_hp2,0)</f>
        <v>0</v>
      </c>
      <c r="BE183" s="49">
        <f ca="1">MAX(HM_ZB_Nsoko!CA_gross_rev_oil_fp-HM_ZB_Nsoko!CA_gross_rev_oil_hp2,0)</f>
        <v>0</v>
      </c>
      <c r="BF183" s="49">
        <f ca="1">MAX(HM_ZB_Nsoko!CA_gross_rev_oil_fp-HM_ZB_Nsoko!CA_gross_rev_oil_hp2,0)</f>
        <v>0</v>
      </c>
      <c r="BG183" s="49">
        <f ca="1">MAX(HM_ZB_Nsoko!CA_gross_rev_oil_fp-HM_ZB_Nsoko!CA_gross_rev_oil_hp2,0)</f>
        <v>0</v>
      </c>
      <c r="BH183" s="49">
        <f ca="1">MAX(HM_ZB_Nsoko!CA_gross_rev_oil_fp-HM_ZB_Nsoko!CA_gross_rev_oil_hp2,0)</f>
        <v>0</v>
      </c>
      <c r="BI183" s="49">
        <f ca="1">MAX(HM_ZB_Nsoko!CA_gross_rev_oil_fp-HM_ZB_Nsoko!CA_gross_rev_oil_hp2,0)</f>
        <v>0</v>
      </c>
      <c r="BJ183" s="49">
        <f ca="1">MAX(HM_ZB_Nsoko!CA_gross_rev_oil_fp-HM_ZB_Nsoko!CA_gross_rev_oil_hp2,0)</f>
        <v>0</v>
      </c>
      <c r="BK183" s="49">
        <f ca="1">MAX(HM_ZB_Nsoko!CA_gross_rev_oil_fp-HM_ZB_Nsoko!CA_gross_rev_oil_hp2,0)</f>
        <v>0</v>
      </c>
      <c r="BL183" s="49">
        <f ca="1">MAX(HM_ZB_Nsoko!CA_gross_rev_oil_fp-HM_ZB_Nsoko!CA_gross_rev_oil_hp2,0)</f>
        <v>0</v>
      </c>
      <c r="BM183" s="49">
        <f ca="1">MAX(HM_ZB_Nsoko!CA_gross_rev_oil_fp-HM_ZB_Nsoko!CA_gross_rev_oil_hp2,0)</f>
        <v>0</v>
      </c>
      <c r="BN183" s="49">
        <f ca="1">MAX(HM_ZB_Nsoko!CA_gross_rev_oil_fp-HM_ZB_Nsoko!CA_gross_rev_oil_hp2,0)</f>
        <v>0</v>
      </c>
      <c r="BO183" s="49">
        <f ca="1">MAX(HM_ZB_Nsoko!CA_gross_rev_oil_fp-HM_ZB_Nsoko!CA_gross_rev_oil_hp2,0)</f>
        <v>0</v>
      </c>
      <c r="BP183" s="49">
        <f ca="1">MAX(HM_ZB_Nsoko!CA_gross_rev_oil_fp-HM_ZB_Nsoko!CA_gross_rev_oil_hp2,0)</f>
        <v>0</v>
      </c>
      <c r="BQ183" s="49">
        <f ca="1">MAX(HM_ZB_Nsoko!CA_gross_rev_oil_fp-HM_ZB_Nsoko!CA_gross_rev_oil_hp2,0)</f>
        <v>0</v>
      </c>
      <c r="BR183" s="49">
        <f ca="1">MAX(HM_ZB_Nsoko!CA_gross_rev_oil_fp-HM_ZB_Nsoko!CA_gross_rev_oil_hp2,0)</f>
        <v>0</v>
      </c>
      <c r="BS183" s="49">
        <f ca="1">MAX(HM_ZB_Nsoko!CA_gross_rev_oil_fp-HM_ZB_Nsoko!CA_gross_rev_oil_hp2,0)</f>
        <v>0</v>
      </c>
    </row>
    <row r="184" spans="1:71" outlineLevel="1" x14ac:dyDescent="0.2">
      <c r="J184" s="26"/>
      <c r="L184" s="55"/>
      <c r="M184" s="55"/>
      <c r="N184" s="55"/>
      <c r="O184" s="55"/>
      <c r="P184" s="55"/>
      <c r="Q184" s="55"/>
      <c r="R184" s="55"/>
      <c r="S184" s="55"/>
      <c r="T184" s="55"/>
      <c r="U184" s="55"/>
      <c r="V184" s="55"/>
      <c r="W184" s="55"/>
      <c r="X184" s="55"/>
      <c r="Y184" s="55"/>
      <c r="Z184" s="55"/>
      <c r="AA184" s="55"/>
      <c r="AB184" s="55"/>
      <c r="AC184" s="55"/>
      <c r="AD184" s="55"/>
      <c r="AE184" s="55"/>
      <c r="AF184" s="55"/>
      <c r="AG184" s="55"/>
      <c r="AH184" s="55"/>
      <c r="AI184" s="55"/>
      <c r="AJ184" s="55"/>
      <c r="AK184" s="55"/>
      <c r="AL184" s="55"/>
      <c r="AM184" s="55"/>
      <c r="AN184" s="55"/>
      <c r="AO184" s="55"/>
      <c r="AP184" s="55"/>
      <c r="AQ184" s="55"/>
      <c r="AR184" s="55"/>
      <c r="AS184" s="55"/>
      <c r="AT184" s="55"/>
      <c r="AU184" s="55"/>
      <c r="AV184" s="55"/>
      <c r="AW184" s="55"/>
      <c r="AX184" s="55"/>
      <c r="AY184" s="55"/>
      <c r="AZ184" s="55"/>
      <c r="BA184" s="55"/>
      <c r="BB184" s="55"/>
      <c r="BC184" s="55"/>
      <c r="BD184" s="55"/>
      <c r="BE184" s="55"/>
      <c r="BF184" s="55"/>
      <c r="BG184" s="55"/>
      <c r="BH184" s="55"/>
      <c r="BI184" s="55"/>
      <c r="BJ184" s="55"/>
      <c r="BK184" s="55"/>
      <c r="BL184" s="55"/>
      <c r="BM184" s="55"/>
      <c r="BN184" s="55"/>
      <c r="BO184" s="55"/>
      <c r="BP184" s="55"/>
      <c r="BQ184" s="55"/>
      <c r="BR184" s="55"/>
      <c r="BS184" s="55"/>
    </row>
    <row r="185" spans="1:71" outlineLevel="1" x14ac:dyDescent="0.2">
      <c r="C185" s="11" t="str">
        <f>HM_ZA_Nkossa!C176</f>
        <v>Part du produit dans les revenus</v>
      </c>
      <c r="J185" s="26"/>
      <c r="L185" s="55"/>
      <c r="M185" s="55"/>
      <c r="N185" s="55"/>
      <c r="O185" s="55"/>
      <c r="P185" s="55"/>
      <c r="Q185" s="55"/>
      <c r="R185" s="55"/>
      <c r="S185" s="55"/>
      <c r="T185" s="55"/>
      <c r="U185" s="55"/>
      <c r="V185" s="55"/>
      <c r="W185" s="55"/>
      <c r="X185" s="55"/>
      <c r="Y185" s="55"/>
      <c r="Z185" s="55"/>
      <c r="AA185" s="55"/>
      <c r="AB185" s="55"/>
      <c r="AC185" s="55"/>
      <c r="AD185" s="55"/>
      <c r="AE185" s="55"/>
      <c r="AF185" s="55"/>
      <c r="AG185" s="55"/>
      <c r="AH185" s="55"/>
      <c r="AI185" s="55"/>
      <c r="AJ185" s="55"/>
      <c r="AK185" s="55"/>
      <c r="AL185" s="55"/>
      <c r="AM185" s="55"/>
      <c r="AN185" s="55"/>
      <c r="AO185" s="55"/>
      <c r="AP185" s="55"/>
      <c r="AQ185" s="55"/>
      <c r="AR185" s="55"/>
      <c r="AS185" s="55"/>
      <c r="AT185" s="55"/>
      <c r="AU185" s="55"/>
      <c r="AV185" s="55"/>
      <c r="AW185" s="55"/>
      <c r="AX185" s="55"/>
      <c r="AY185" s="55"/>
      <c r="AZ185" s="55"/>
      <c r="BA185" s="55"/>
      <c r="BB185" s="55"/>
      <c r="BC185" s="55"/>
      <c r="BD185" s="55"/>
      <c r="BE185" s="55"/>
      <c r="BF185" s="55"/>
      <c r="BG185" s="55"/>
      <c r="BH185" s="55"/>
      <c r="BI185" s="55"/>
      <c r="BJ185" s="55"/>
      <c r="BK185" s="55"/>
      <c r="BL185" s="55"/>
      <c r="BM185" s="55"/>
      <c r="BN185" s="55"/>
      <c r="BO185" s="55"/>
      <c r="BP185" s="55"/>
      <c r="BQ185" s="55"/>
      <c r="BR185" s="55"/>
      <c r="BS185" s="55"/>
    </row>
    <row r="186" spans="1:71" outlineLevel="1" x14ac:dyDescent="0.2">
      <c r="D186" t="str">
        <f>HM_ZA_Nkossa!D177</f>
        <v>Part du pétrole dans le revenu total</v>
      </c>
      <c r="I186" s="58">
        <f ca="1">IFERROR(I172/$I$174,0)</f>
        <v>1</v>
      </c>
      <c r="J186" s="26" t="s">
        <v>90</v>
      </c>
      <c r="K186" s="7" t="s">
        <v>231</v>
      </c>
      <c r="L186" s="53">
        <f ca="1">IFERROR(HM_ZB_Nsoko!CA_gross_rev_oil_fp/HM_ZB_Nsoko!CA_gross_rev_total_fp,0)</f>
        <v>1</v>
      </c>
      <c r="M186" s="53">
        <f ca="1">IFERROR(HM_ZB_Nsoko!CA_gross_rev_oil_fp/HM_ZB_Nsoko!CA_gross_rev_total_fp,0)</f>
        <v>1</v>
      </c>
      <c r="N186" s="53">
        <f ca="1">IFERROR(HM_ZB_Nsoko!CA_gross_rev_oil_fp/HM_ZB_Nsoko!CA_gross_rev_total_fp,0)</f>
        <v>1</v>
      </c>
      <c r="O186" s="53">
        <f ca="1">IFERROR(HM_ZB_Nsoko!CA_gross_rev_oil_fp/HM_ZB_Nsoko!CA_gross_rev_total_fp,0)</f>
        <v>1</v>
      </c>
      <c r="P186" s="53">
        <f ca="1">IFERROR(HM_ZB_Nsoko!CA_gross_rev_oil_fp/HM_ZB_Nsoko!CA_gross_rev_total_fp,0)</f>
        <v>1</v>
      </c>
      <c r="Q186" s="53">
        <f ca="1">IFERROR(HM_ZB_Nsoko!CA_gross_rev_oil_fp/HM_ZB_Nsoko!CA_gross_rev_total_fp,0)</f>
        <v>1</v>
      </c>
      <c r="R186" s="53">
        <f ca="1">IFERROR(HM_ZB_Nsoko!CA_gross_rev_oil_fp/HM_ZB_Nsoko!CA_gross_rev_total_fp,0)</f>
        <v>1</v>
      </c>
      <c r="S186" s="53">
        <f ca="1">IFERROR(HM_ZB_Nsoko!CA_gross_rev_oil_fp/HM_ZB_Nsoko!CA_gross_rev_total_fp,0)</f>
        <v>1</v>
      </c>
      <c r="T186" s="53">
        <f ca="1">IFERROR(HM_ZB_Nsoko!CA_gross_rev_oil_fp/HM_ZB_Nsoko!CA_gross_rev_total_fp,0)</f>
        <v>1</v>
      </c>
      <c r="U186" s="53">
        <f ca="1">IFERROR(HM_ZB_Nsoko!CA_gross_rev_oil_fp/HM_ZB_Nsoko!CA_gross_rev_total_fp,0)</f>
        <v>1</v>
      </c>
      <c r="V186" s="53">
        <f ca="1">IFERROR(HM_ZB_Nsoko!CA_gross_rev_oil_fp/HM_ZB_Nsoko!CA_gross_rev_total_fp,0)</f>
        <v>1</v>
      </c>
      <c r="W186" s="53">
        <f ca="1">IFERROR(HM_ZB_Nsoko!CA_gross_rev_oil_fp/HM_ZB_Nsoko!CA_gross_rev_total_fp,0)</f>
        <v>1</v>
      </c>
      <c r="X186" s="53">
        <f ca="1">IFERROR(HM_ZB_Nsoko!CA_gross_rev_oil_fp/HM_ZB_Nsoko!CA_gross_rev_total_fp,0)</f>
        <v>1</v>
      </c>
      <c r="Y186" s="53">
        <f ca="1">IFERROR(HM_ZB_Nsoko!CA_gross_rev_oil_fp/HM_ZB_Nsoko!CA_gross_rev_total_fp,0)</f>
        <v>0</v>
      </c>
      <c r="Z186" s="53">
        <f ca="1">IFERROR(HM_ZB_Nsoko!CA_gross_rev_oil_fp/HM_ZB_Nsoko!CA_gross_rev_total_fp,0)</f>
        <v>0</v>
      </c>
      <c r="AA186" s="53">
        <f ca="1">IFERROR(HM_ZB_Nsoko!CA_gross_rev_oil_fp/HM_ZB_Nsoko!CA_gross_rev_total_fp,0)</f>
        <v>0</v>
      </c>
      <c r="AB186" s="53">
        <f ca="1">IFERROR(HM_ZB_Nsoko!CA_gross_rev_oil_fp/HM_ZB_Nsoko!CA_gross_rev_total_fp,0)</f>
        <v>0</v>
      </c>
      <c r="AC186" s="53">
        <f ca="1">IFERROR(HM_ZB_Nsoko!CA_gross_rev_oil_fp/HM_ZB_Nsoko!CA_gross_rev_total_fp,0)</f>
        <v>0</v>
      </c>
      <c r="AD186" s="53">
        <f ca="1">IFERROR(HM_ZB_Nsoko!CA_gross_rev_oil_fp/HM_ZB_Nsoko!CA_gross_rev_total_fp,0)</f>
        <v>0</v>
      </c>
      <c r="AE186" s="53">
        <f ca="1">IFERROR(HM_ZB_Nsoko!CA_gross_rev_oil_fp/HM_ZB_Nsoko!CA_gross_rev_total_fp,0)</f>
        <v>0</v>
      </c>
      <c r="AF186" s="53">
        <f ca="1">IFERROR(HM_ZB_Nsoko!CA_gross_rev_oil_fp/HM_ZB_Nsoko!CA_gross_rev_total_fp,0)</f>
        <v>0</v>
      </c>
      <c r="AG186" s="53">
        <f ca="1">IFERROR(HM_ZB_Nsoko!CA_gross_rev_oil_fp/HM_ZB_Nsoko!CA_gross_rev_total_fp,0)</f>
        <v>0</v>
      </c>
      <c r="AH186" s="53">
        <f ca="1">IFERROR(HM_ZB_Nsoko!CA_gross_rev_oil_fp/HM_ZB_Nsoko!CA_gross_rev_total_fp,0)</f>
        <v>0</v>
      </c>
      <c r="AI186" s="53">
        <f ca="1">IFERROR(HM_ZB_Nsoko!CA_gross_rev_oil_fp/HM_ZB_Nsoko!CA_gross_rev_total_fp,0)</f>
        <v>0</v>
      </c>
      <c r="AJ186" s="53">
        <f ca="1">IFERROR(HM_ZB_Nsoko!CA_gross_rev_oil_fp/HM_ZB_Nsoko!CA_gross_rev_total_fp,0)</f>
        <v>0</v>
      </c>
      <c r="AK186" s="53">
        <f ca="1">IFERROR(HM_ZB_Nsoko!CA_gross_rev_oil_fp/HM_ZB_Nsoko!CA_gross_rev_total_fp,0)</f>
        <v>0</v>
      </c>
      <c r="AL186" s="53">
        <f ca="1">IFERROR(HM_ZB_Nsoko!CA_gross_rev_oil_fp/HM_ZB_Nsoko!CA_gross_rev_total_fp,0)</f>
        <v>0</v>
      </c>
      <c r="AM186" s="53">
        <f ca="1">IFERROR(HM_ZB_Nsoko!CA_gross_rev_oil_fp/HM_ZB_Nsoko!CA_gross_rev_total_fp,0)</f>
        <v>0</v>
      </c>
      <c r="AN186" s="53">
        <f ca="1">IFERROR(HM_ZB_Nsoko!CA_gross_rev_oil_fp/HM_ZB_Nsoko!CA_gross_rev_total_fp,0)</f>
        <v>0</v>
      </c>
      <c r="AO186" s="53">
        <f ca="1">IFERROR(HM_ZB_Nsoko!CA_gross_rev_oil_fp/HM_ZB_Nsoko!CA_gross_rev_total_fp,0)</f>
        <v>0</v>
      </c>
      <c r="AP186" s="53">
        <f ca="1">IFERROR(HM_ZB_Nsoko!CA_gross_rev_oil_fp/HM_ZB_Nsoko!CA_gross_rev_total_fp,0)</f>
        <v>0</v>
      </c>
      <c r="AQ186" s="53">
        <f ca="1">IFERROR(HM_ZB_Nsoko!CA_gross_rev_oil_fp/HM_ZB_Nsoko!CA_gross_rev_total_fp,0)</f>
        <v>0</v>
      </c>
      <c r="AR186" s="53">
        <f ca="1">IFERROR(HM_ZB_Nsoko!CA_gross_rev_oil_fp/HM_ZB_Nsoko!CA_gross_rev_total_fp,0)</f>
        <v>0</v>
      </c>
      <c r="AS186" s="53">
        <f ca="1">IFERROR(HM_ZB_Nsoko!CA_gross_rev_oil_fp/HM_ZB_Nsoko!CA_gross_rev_total_fp,0)</f>
        <v>0</v>
      </c>
      <c r="AT186" s="53">
        <f ca="1">IFERROR(HM_ZB_Nsoko!CA_gross_rev_oil_fp/HM_ZB_Nsoko!CA_gross_rev_total_fp,0)</f>
        <v>0</v>
      </c>
      <c r="AU186" s="53">
        <f ca="1">IFERROR(HM_ZB_Nsoko!CA_gross_rev_oil_fp/HM_ZB_Nsoko!CA_gross_rev_total_fp,0)</f>
        <v>0</v>
      </c>
      <c r="AV186" s="53">
        <f ca="1">IFERROR(HM_ZB_Nsoko!CA_gross_rev_oil_fp/HM_ZB_Nsoko!CA_gross_rev_total_fp,0)</f>
        <v>0</v>
      </c>
      <c r="AW186" s="53">
        <f ca="1">IFERROR(HM_ZB_Nsoko!CA_gross_rev_oil_fp/HM_ZB_Nsoko!CA_gross_rev_total_fp,0)</f>
        <v>0</v>
      </c>
      <c r="AX186" s="53">
        <f ca="1">IFERROR(HM_ZB_Nsoko!CA_gross_rev_oil_fp/HM_ZB_Nsoko!CA_gross_rev_total_fp,0)</f>
        <v>0</v>
      </c>
      <c r="AY186" s="53">
        <f ca="1">IFERROR(HM_ZB_Nsoko!CA_gross_rev_oil_fp/HM_ZB_Nsoko!CA_gross_rev_total_fp,0)</f>
        <v>0</v>
      </c>
      <c r="AZ186" s="53">
        <f ca="1">IFERROR(HM_ZB_Nsoko!CA_gross_rev_oil_fp/HM_ZB_Nsoko!CA_gross_rev_total_fp,0)</f>
        <v>0</v>
      </c>
      <c r="BA186" s="53">
        <f ca="1">IFERROR(HM_ZB_Nsoko!CA_gross_rev_oil_fp/HM_ZB_Nsoko!CA_gross_rev_total_fp,0)</f>
        <v>0</v>
      </c>
      <c r="BB186" s="53">
        <f ca="1">IFERROR(HM_ZB_Nsoko!CA_gross_rev_oil_fp/HM_ZB_Nsoko!CA_gross_rev_total_fp,0)</f>
        <v>0</v>
      </c>
      <c r="BC186" s="53">
        <f ca="1">IFERROR(HM_ZB_Nsoko!CA_gross_rev_oil_fp/HM_ZB_Nsoko!CA_gross_rev_total_fp,0)</f>
        <v>0</v>
      </c>
      <c r="BD186" s="53">
        <f ca="1">IFERROR(HM_ZB_Nsoko!CA_gross_rev_oil_fp/HM_ZB_Nsoko!CA_gross_rev_total_fp,0)</f>
        <v>0</v>
      </c>
      <c r="BE186" s="53">
        <f ca="1">IFERROR(HM_ZB_Nsoko!CA_gross_rev_oil_fp/HM_ZB_Nsoko!CA_gross_rev_total_fp,0)</f>
        <v>0</v>
      </c>
      <c r="BF186" s="53">
        <f ca="1">IFERROR(HM_ZB_Nsoko!CA_gross_rev_oil_fp/HM_ZB_Nsoko!CA_gross_rev_total_fp,0)</f>
        <v>0</v>
      </c>
      <c r="BG186" s="53">
        <f ca="1">IFERROR(HM_ZB_Nsoko!CA_gross_rev_oil_fp/HM_ZB_Nsoko!CA_gross_rev_total_fp,0)</f>
        <v>0</v>
      </c>
      <c r="BH186" s="53">
        <f ca="1">IFERROR(HM_ZB_Nsoko!CA_gross_rev_oil_fp/HM_ZB_Nsoko!CA_gross_rev_total_fp,0)</f>
        <v>0</v>
      </c>
      <c r="BI186" s="53">
        <f ca="1">IFERROR(HM_ZB_Nsoko!CA_gross_rev_oil_fp/HM_ZB_Nsoko!CA_gross_rev_total_fp,0)</f>
        <v>0</v>
      </c>
      <c r="BJ186" s="53">
        <f ca="1">IFERROR(HM_ZB_Nsoko!CA_gross_rev_oil_fp/HM_ZB_Nsoko!CA_gross_rev_total_fp,0)</f>
        <v>0</v>
      </c>
      <c r="BK186" s="53">
        <f ca="1">IFERROR(HM_ZB_Nsoko!CA_gross_rev_oil_fp/HM_ZB_Nsoko!CA_gross_rev_total_fp,0)</f>
        <v>0</v>
      </c>
      <c r="BL186" s="53">
        <f ca="1">IFERROR(HM_ZB_Nsoko!CA_gross_rev_oil_fp/HM_ZB_Nsoko!CA_gross_rev_total_fp,0)</f>
        <v>0</v>
      </c>
      <c r="BM186" s="53">
        <f ca="1">IFERROR(HM_ZB_Nsoko!CA_gross_rev_oil_fp/HM_ZB_Nsoko!CA_gross_rev_total_fp,0)</f>
        <v>0</v>
      </c>
      <c r="BN186" s="53">
        <f ca="1">IFERROR(HM_ZB_Nsoko!CA_gross_rev_oil_fp/HM_ZB_Nsoko!CA_gross_rev_total_fp,0)</f>
        <v>0</v>
      </c>
      <c r="BO186" s="53">
        <f ca="1">IFERROR(HM_ZB_Nsoko!CA_gross_rev_oil_fp/HM_ZB_Nsoko!CA_gross_rev_total_fp,0)</f>
        <v>0</v>
      </c>
      <c r="BP186" s="53">
        <f ca="1">IFERROR(HM_ZB_Nsoko!CA_gross_rev_oil_fp/HM_ZB_Nsoko!CA_gross_rev_total_fp,0)</f>
        <v>0</v>
      </c>
      <c r="BQ186" s="53">
        <f ca="1">IFERROR(HM_ZB_Nsoko!CA_gross_rev_oil_fp/HM_ZB_Nsoko!CA_gross_rev_total_fp,0)</f>
        <v>0</v>
      </c>
      <c r="BR186" s="53">
        <f ca="1">IFERROR(HM_ZB_Nsoko!CA_gross_rev_oil_fp/HM_ZB_Nsoko!CA_gross_rev_total_fp,0)</f>
        <v>0</v>
      </c>
      <c r="BS186" s="53">
        <f ca="1">IFERROR(HM_ZB_Nsoko!CA_gross_rev_oil_fp/HM_ZB_Nsoko!CA_gross_rev_total_fp,0)</f>
        <v>0</v>
      </c>
    </row>
    <row r="187" spans="1:71" outlineLevel="1" x14ac:dyDescent="0.2">
      <c r="D187" t="str">
        <f>HM_ZA_Nkossa!D178</f>
        <v>Part du gaz dans le revenu total</v>
      </c>
      <c r="I187" s="58">
        <f ca="1">IFERROR(I173/$I$174,0)</f>
        <v>0</v>
      </c>
      <c r="J187" s="26" t="s">
        <v>90</v>
      </c>
      <c r="K187" s="7" t="s">
        <v>232</v>
      </c>
      <c r="L187" s="53">
        <f ca="1">IFERROR(HM_ZB_Nsoko!CA_gross_rev_gas_fp/HM_ZB_Nsoko!CA_gross_rev_total_fp,0)</f>
        <v>0</v>
      </c>
      <c r="M187" s="53">
        <f ca="1">IFERROR(HM_ZB_Nsoko!CA_gross_rev_gas_fp/HM_ZB_Nsoko!CA_gross_rev_total_fp,0)</f>
        <v>0</v>
      </c>
      <c r="N187" s="53">
        <f ca="1">IFERROR(HM_ZB_Nsoko!CA_gross_rev_gas_fp/HM_ZB_Nsoko!CA_gross_rev_total_fp,0)</f>
        <v>0</v>
      </c>
      <c r="O187" s="53">
        <f ca="1">IFERROR(HM_ZB_Nsoko!CA_gross_rev_gas_fp/HM_ZB_Nsoko!CA_gross_rev_total_fp,0)</f>
        <v>0</v>
      </c>
      <c r="P187" s="53">
        <f ca="1">IFERROR(HM_ZB_Nsoko!CA_gross_rev_gas_fp/HM_ZB_Nsoko!CA_gross_rev_total_fp,0)</f>
        <v>0</v>
      </c>
      <c r="Q187" s="53">
        <f ca="1">IFERROR(HM_ZB_Nsoko!CA_gross_rev_gas_fp/HM_ZB_Nsoko!CA_gross_rev_total_fp,0)</f>
        <v>0</v>
      </c>
      <c r="R187" s="53">
        <f ca="1">IFERROR(HM_ZB_Nsoko!CA_gross_rev_gas_fp/HM_ZB_Nsoko!CA_gross_rev_total_fp,0)</f>
        <v>0</v>
      </c>
      <c r="S187" s="53">
        <f ca="1">IFERROR(HM_ZB_Nsoko!CA_gross_rev_gas_fp/HM_ZB_Nsoko!CA_gross_rev_total_fp,0)</f>
        <v>0</v>
      </c>
      <c r="T187" s="53">
        <f ca="1">IFERROR(HM_ZB_Nsoko!CA_gross_rev_gas_fp/HM_ZB_Nsoko!CA_gross_rev_total_fp,0)</f>
        <v>0</v>
      </c>
      <c r="U187" s="53">
        <f ca="1">IFERROR(HM_ZB_Nsoko!CA_gross_rev_gas_fp/HM_ZB_Nsoko!CA_gross_rev_total_fp,0)</f>
        <v>0</v>
      </c>
      <c r="V187" s="53">
        <f ca="1">IFERROR(HM_ZB_Nsoko!CA_gross_rev_gas_fp/HM_ZB_Nsoko!CA_gross_rev_total_fp,0)</f>
        <v>0</v>
      </c>
      <c r="W187" s="53">
        <f ca="1">IFERROR(HM_ZB_Nsoko!CA_gross_rev_gas_fp/HM_ZB_Nsoko!CA_gross_rev_total_fp,0)</f>
        <v>0</v>
      </c>
      <c r="X187" s="53">
        <f ca="1">IFERROR(HM_ZB_Nsoko!CA_gross_rev_gas_fp/HM_ZB_Nsoko!CA_gross_rev_total_fp,0)</f>
        <v>0</v>
      </c>
      <c r="Y187" s="53">
        <f ca="1">IFERROR(HM_ZB_Nsoko!CA_gross_rev_gas_fp/HM_ZB_Nsoko!CA_gross_rev_total_fp,0)</f>
        <v>0</v>
      </c>
      <c r="Z187" s="53">
        <f ca="1">IFERROR(HM_ZB_Nsoko!CA_gross_rev_gas_fp/HM_ZB_Nsoko!CA_gross_rev_total_fp,0)</f>
        <v>0</v>
      </c>
      <c r="AA187" s="53">
        <f ca="1">IFERROR(HM_ZB_Nsoko!CA_gross_rev_gas_fp/HM_ZB_Nsoko!CA_gross_rev_total_fp,0)</f>
        <v>0</v>
      </c>
      <c r="AB187" s="53">
        <f ca="1">IFERROR(HM_ZB_Nsoko!CA_gross_rev_gas_fp/HM_ZB_Nsoko!CA_gross_rev_total_fp,0)</f>
        <v>0</v>
      </c>
      <c r="AC187" s="53">
        <f ca="1">IFERROR(HM_ZB_Nsoko!CA_gross_rev_gas_fp/HM_ZB_Nsoko!CA_gross_rev_total_fp,0)</f>
        <v>0</v>
      </c>
      <c r="AD187" s="53">
        <f ca="1">IFERROR(HM_ZB_Nsoko!CA_gross_rev_gas_fp/HM_ZB_Nsoko!CA_gross_rev_total_fp,0)</f>
        <v>0</v>
      </c>
      <c r="AE187" s="53">
        <f ca="1">IFERROR(HM_ZB_Nsoko!CA_gross_rev_gas_fp/HM_ZB_Nsoko!CA_gross_rev_total_fp,0)</f>
        <v>0</v>
      </c>
      <c r="AF187" s="53">
        <f ca="1">IFERROR(HM_ZB_Nsoko!CA_gross_rev_gas_fp/HM_ZB_Nsoko!CA_gross_rev_total_fp,0)</f>
        <v>0</v>
      </c>
      <c r="AG187" s="53">
        <f ca="1">IFERROR(HM_ZB_Nsoko!CA_gross_rev_gas_fp/HM_ZB_Nsoko!CA_gross_rev_total_fp,0)</f>
        <v>0</v>
      </c>
      <c r="AH187" s="53">
        <f ca="1">IFERROR(HM_ZB_Nsoko!CA_gross_rev_gas_fp/HM_ZB_Nsoko!CA_gross_rev_total_fp,0)</f>
        <v>0</v>
      </c>
      <c r="AI187" s="53">
        <f ca="1">IFERROR(HM_ZB_Nsoko!CA_gross_rev_gas_fp/HM_ZB_Nsoko!CA_gross_rev_total_fp,0)</f>
        <v>0</v>
      </c>
      <c r="AJ187" s="53">
        <f ca="1">IFERROR(HM_ZB_Nsoko!CA_gross_rev_gas_fp/HM_ZB_Nsoko!CA_gross_rev_total_fp,0)</f>
        <v>0</v>
      </c>
      <c r="AK187" s="53">
        <f ca="1">IFERROR(HM_ZB_Nsoko!CA_gross_rev_gas_fp/HM_ZB_Nsoko!CA_gross_rev_total_fp,0)</f>
        <v>0</v>
      </c>
      <c r="AL187" s="53">
        <f ca="1">IFERROR(HM_ZB_Nsoko!CA_gross_rev_gas_fp/HM_ZB_Nsoko!CA_gross_rev_total_fp,0)</f>
        <v>0</v>
      </c>
      <c r="AM187" s="53">
        <f ca="1">IFERROR(HM_ZB_Nsoko!CA_gross_rev_gas_fp/HM_ZB_Nsoko!CA_gross_rev_total_fp,0)</f>
        <v>0</v>
      </c>
      <c r="AN187" s="53">
        <f ca="1">IFERROR(HM_ZB_Nsoko!CA_gross_rev_gas_fp/HM_ZB_Nsoko!CA_gross_rev_total_fp,0)</f>
        <v>0</v>
      </c>
      <c r="AO187" s="53">
        <f ca="1">IFERROR(HM_ZB_Nsoko!CA_gross_rev_gas_fp/HM_ZB_Nsoko!CA_gross_rev_total_fp,0)</f>
        <v>0</v>
      </c>
      <c r="AP187" s="53">
        <f ca="1">IFERROR(HM_ZB_Nsoko!CA_gross_rev_gas_fp/HM_ZB_Nsoko!CA_gross_rev_total_fp,0)</f>
        <v>0</v>
      </c>
      <c r="AQ187" s="53">
        <f ca="1">IFERROR(HM_ZB_Nsoko!CA_gross_rev_gas_fp/HM_ZB_Nsoko!CA_gross_rev_total_fp,0)</f>
        <v>0</v>
      </c>
      <c r="AR187" s="53">
        <f ca="1">IFERROR(HM_ZB_Nsoko!CA_gross_rev_gas_fp/HM_ZB_Nsoko!CA_gross_rev_total_fp,0)</f>
        <v>0</v>
      </c>
      <c r="AS187" s="53">
        <f ca="1">IFERROR(HM_ZB_Nsoko!CA_gross_rev_gas_fp/HM_ZB_Nsoko!CA_gross_rev_total_fp,0)</f>
        <v>0</v>
      </c>
      <c r="AT187" s="53">
        <f ca="1">IFERROR(HM_ZB_Nsoko!CA_gross_rev_gas_fp/HM_ZB_Nsoko!CA_gross_rev_total_fp,0)</f>
        <v>0</v>
      </c>
      <c r="AU187" s="53">
        <f ca="1">IFERROR(HM_ZB_Nsoko!CA_gross_rev_gas_fp/HM_ZB_Nsoko!CA_gross_rev_total_fp,0)</f>
        <v>0</v>
      </c>
      <c r="AV187" s="53">
        <f ca="1">IFERROR(HM_ZB_Nsoko!CA_gross_rev_gas_fp/HM_ZB_Nsoko!CA_gross_rev_total_fp,0)</f>
        <v>0</v>
      </c>
      <c r="AW187" s="53">
        <f ca="1">IFERROR(HM_ZB_Nsoko!CA_gross_rev_gas_fp/HM_ZB_Nsoko!CA_gross_rev_total_fp,0)</f>
        <v>0</v>
      </c>
      <c r="AX187" s="53">
        <f ca="1">IFERROR(HM_ZB_Nsoko!CA_gross_rev_gas_fp/HM_ZB_Nsoko!CA_gross_rev_total_fp,0)</f>
        <v>0</v>
      </c>
      <c r="AY187" s="53">
        <f ca="1">IFERROR(HM_ZB_Nsoko!CA_gross_rev_gas_fp/HM_ZB_Nsoko!CA_gross_rev_total_fp,0)</f>
        <v>0</v>
      </c>
      <c r="AZ187" s="53">
        <f ca="1">IFERROR(HM_ZB_Nsoko!CA_gross_rev_gas_fp/HM_ZB_Nsoko!CA_gross_rev_total_fp,0)</f>
        <v>0</v>
      </c>
      <c r="BA187" s="53">
        <f ca="1">IFERROR(HM_ZB_Nsoko!CA_gross_rev_gas_fp/HM_ZB_Nsoko!CA_gross_rev_total_fp,0)</f>
        <v>0</v>
      </c>
      <c r="BB187" s="53">
        <f ca="1">IFERROR(HM_ZB_Nsoko!CA_gross_rev_gas_fp/HM_ZB_Nsoko!CA_gross_rev_total_fp,0)</f>
        <v>0</v>
      </c>
      <c r="BC187" s="53">
        <f ca="1">IFERROR(HM_ZB_Nsoko!CA_gross_rev_gas_fp/HM_ZB_Nsoko!CA_gross_rev_total_fp,0)</f>
        <v>0</v>
      </c>
      <c r="BD187" s="53">
        <f ca="1">IFERROR(HM_ZB_Nsoko!CA_gross_rev_gas_fp/HM_ZB_Nsoko!CA_gross_rev_total_fp,0)</f>
        <v>0</v>
      </c>
      <c r="BE187" s="53">
        <f ca="1">IFERROR(HM_ZB_Nsoko!CA_gross_rev_gas_fp/HM_ZB_Nsoko!CA_gross_rev_total_fp,0)</f>
        <v>0</v>
      </c>
      <c r="BF187" s="53">
        <f ca="1">IFERROR(HM_ZB_Nsoko!CA_gross_rev_gas_fp/HM_ZB_Nsoko!CA_gross_rev_total_fp,0)</f>
        <v>0</v>
      </c>
      <c r="BG187" s="53">
        <f ca="1">IFERROR(HM_ZB_Nsoko!CA_gross_rev_gas_fp/HM_ZB_Nsoko!CA_gross_rev_total_fp,0)</f>
        <v>0</v>
      </c>
      <c r="BH187" s="53">
        <f ca="1">IFERROR(HM_ZB_Nsoko!CA_gross_rev_gas_fp/HM_ZB_Nsoko!CA_gross_rev_total_fp,0)</f>
        <v>0</v>
      </c>
      <c r="BI187" s="53">
        <f ca="1">IFERROR(HM_ZB_Nsoko!CA_gross_rev_gas_fp/HM_ZB_Nsoko!CA_gross_rev_total_fp,0)</f>
        <v>0</v>
      </c>
      <c r="BJ187" s="53">
        <f ca="1">IFERROR(HM_ZB_Nsoko!CA_gross_rev_gas_fp/HM_ZB_Nsoko!CA_gross_rev_total_fp,0)</f>
        <v>0</v>
      </c>
      <c r="BK187" s="53">
        <f ca="1">IFERROR(HM_ZB_Nsoko!CA_gross_rev_gas_fp/HM_ZB_Nsoko!CA_gross_rev_total_fp,0)</f>
        <v>0</v>
      </c>
      <c r="BL187" s="53">
        <f ca="1">IFERROR(HM_ZB_Nsoko!CA_gross_rev_gas_fp/HM_ZB_Nsoko!CA_gross_rev_total_fp,0)</f>
        <v>0</v>
      </c>
      <c r="BM187" s="53">
        <f ca="1">IFERROR(HM_ZB_Nsoko!CA_gross_rev_gas_fp/HM_ZB_Nsoko!CA_gross_rev_total_fp,0)</f>
        <v>0</v>
      </c>
      <c r="BN187" s="53">
        <f ca="1">IFERROR(HM_ZB_Nsoko!CA_gross_rev_gas_fp/HM_ZB_Nsoko!CA_gross_rev_total_fp,0)</f>
        <v>0</v>
      </c>
      <c r="BO187" s="53">
        <f ca="1">IFERROR(HM_ZB_Nsoko!CA_gross_rev_gas_fp/HM_ZB_Nsoko!CA_gross_rev_total_fp,0)</f>
        <v>0</v>
      </c>
      <c r="BP187" s="53">
        <f ca="1">IFERROR(HM_ZB_Nsoko!CA_gross_rev_gas_fp/HM_ZB_Nsoko!CA_gross_rev_total_fp,0)</f>
        <v>0</v>
      </c>
      <c r="BQ187" s="53">
        <f ca="1">IFERROR(HM_ZB_Nsoko!CA_gross_rev_gas_fp/HM_ZB_Nsoko!CA_gross_rev_total_fp,0)</f>
        <v>0</v>
      </c>
      <c r="BR187" s="53">
        <f ca="1">IFERROR(HM_ZB_Nsoko!CA_gross_rev_gas_fp/HM_ZB_Nsoko!CA_gross_rev_total_fp,0)</f>
        <v>0</v>
      </c>
      <c r="BS187" s="53">
        <f ca="1">IFERROR(HM_ZB_Nsoko!CA_gross_rev_gas_fp/HM_ZB_Nsoko!CA_gross_rev_total_fp,0)</f>
        <v>0</v>
      </c>
    </row>
    <row r="188" spans="1:71" outlineLevel="1" x14ac:dyDescent="0.2">
      <c r="J188" s="26"/>
      <c r="L188" s="55"/>
      <c r="M188" s="55"/>
      <c r="N188" s="55"/>
      <c r="O188" s="55"/>
      <c r="P188" s="55"/>
      <c r="Q188" s="55"/>
      <c r="R188" s="55"/>
      <c r="S188" s="55"/>
      <c r="T188" s="55"/>
      <c r="U188" s="55"/>
      <c r="V188" s="55"/>
      <c r="W188" s="55"/>
      <c r="X188" s="55"/>
      <c r="Y188" s="55"/>
      <c r="Z188" s="55"/>
      <c r="AA188" s="55"/>
      <c r="AB188" s="55"/>
      <c r="AC188" s="55"/>
      <c r="AD188" s="55"/>
      <c r="AE188" s="55"/>
      <c r="AF188" s="55"/>
      <c r="AG188" s="55"/>
      <c r="AH188" s="55"/>
      <c r="AI188" s="55"/>
      <c r="AJ188" s="55"/>
      <c r="AK188" s="55"/>
      <c r="AL188" s="55"/>
      <c r="AM188" s="55"/>
      <c r="AN188" s="55"/>
      <c r="AO188" s="55"/>
      <c r="AP188" s="55"/>
      <c r="AQ188" s="55"/>
      <c r="AR188" s="55"/>
      <c r="AS188" s="55"/>
      <c r="AT188" s="55"/>
      <c r="AU188" s="55"/>
      <c r="AV188" s="55"/>
      <c r="AW188" s="55"/>
      <c r="AX188" s="55"/>
      <c r="AY188" s="55"/>
      <c r="AZ188" s="55"/>
      <c r="BA188" s="55"/>
      <c r="BB188" s="55"/>
      <c r="BC188" s="55"/>
      <c r="BD188" s="55"/>
      <c r="BE188" s="55"/>
      <c r="BF188" s="55"/>
      <c r="BG188" s="55"/>
      <c r="BH188" s="55"/>
      <c r="BI188" s="55"/>
      <c r="BJ188" s="55"/>
      <c r="BK188" s="55"/>
      <c r="BL188" s="55"/>
      <c r="BM188" s="55"/>
      <c r="BN188" s="55"/>
      <c r="BO188" s="55"/>
      <c r="BP188" s="55"/>
      <c r="BQ188" s="55"/>
      <c r="BR188" s="55"/>
      <c r="BS188" s="55"/>
    </row>
    <row r="189" spans="1:71" outlineLevel="1" x14ac:dyDescent="0.2">
      <c r="J189" s="26"/>
      <c r="L189" s="55"/>
      <c r="M189" s="55"/>
      <c r="N189" s="55"/>
      <c r="O189" s="55"/>
      <c r="P189" s="55"/>
      <c r="Q189" s="55"/>
      <c r="R189" s="55"/>
      <c r="S189" s="55"/>
      <c r="T189" s="55"/>
      <c r="U189" s="55"/>
      <c r="V189" s="55"/>
      <c r="W189" s="55"/>
      <c r="X189" s="55"/>
      <c r="Y189" s="55"/>
      <c r="Z189" s="55"/>
      <c r="AA189" s="55"/>
      <c r="AB189" s="55"/>
      <c r="AC189" s="55"/>
      <c r="AD189" s="55"/>
      <c r="AE189" s="55"/>
      <c r="AF189" s="55"/>
      <c r="AG189" s="55"/>
      <c r="AH189" s="55"/>
      <c r="AI189" s="55"/>
      <c r="AJ189" s="55"/>
      <c r="AK189" s="55"/>
      <c r="AL189" s="55"/>
      <c r="AM189" s="55"/>
      <c r="AN189" s="55"/>
      <c r="AO189" s="55"/>
      <c r="AP189" s="55"/>
      <c r="AQ189" s="55"/>
      <c r="AR189" s="55"/>
      <c r="AS189" s="55"/>
      <c r="AT189" s="55"/>
      <c r="AU189" s="55"/>
      <c r="AV189" s="55"/>
      <c r="AW189" s="55"/>
      <c r="AX189" s="55"/>
      <c r="AY189" s="55"/>
      <c r="AZ189" s="55"/>
      <c r="BA189" s="55"/>
      <c r="BB189" s="55"/>
      <c r="BC189" s="55"/>
      <c r="BD189" s="55"/>
      <c r="BE189" s="55"/>
      <c r="BF189" s="55"/>
      <c r="BG189" s="55"/>
      <c r="BH189" s="55"/>
      <c r="BI189" s="55"/>
      <c r="BJ189" s="55"/>
      <c r="BK189" s="55"/>
      <c r="BL189" s="55"/>
      <c r="BM189" s="55"/>
      <c r="BN189" s="55"/>
      <c r="BO189" s="55"/>
      <c r="BP189" s="55"/>
      <c r="BQ189" s="55"/>
      <c r="BR189" s="55"/>
      <c r="BS189" s="55"/>
    </row>
    <row r="190" spans="1:71" outlineLevel="1" x14ac:dyDescent="0.2">
      <c r="J190" s="26"/>
      <c r="L190" s="55"/>
      <c r="M190" s="55"/>
      <c r="N190" s="55"/>
      <c r="O190" s="55"/>
      <c r="P190" s="55"/>
      <c r="Q190" s="55"/>
      <c r="R190" s="55"/>
      <c r="S190" s="55"/>
      <c r="T190" s="55"/>
      <c r="U190" s="55"/>
      <c r="V190" s="55"/>
      <c r="W190" s="55"/>
      <c r="X190" s="55"/>
      <c r="Y190" s="55"/>
      <c r="Z190" s="55"/>
      <c r="AA190" s="55"/>
      <c r="AB190" s="55"/>
      <c r="AC190" s="55"/>
      <c r="AD190" s="55"/>
      <c r="AE190" s="55"/>
      <c r="AF190" s="55"/>
      <c r="AG190" s="55"/>
      <c r="AH190" s="55"/>
      <c r="AI190" s="55"/>
      <c r="AJ190" s="55"/>
      <c r="AK190" s="55"/>
      <c r="AL190" s="55"/>
      <c r="AM190" s="55"/>
      <c r="AN190" s="55"/>
      <c r="AO190" s="55"/>
      <c r="AP190" s="55"/>
      <c r="AQ190" s="55"/>
      <c r="AR190" s="55"/>
      <c r="AS190" s="55"/>
      <c r="AT190" s="55"/>
      <c r="AU190" s="55"/>
      <c r="AV190" s="55"/>
      <c r="AW190" s="55"/>
      <c r="AX190" s="55"/>
      <c r="AY190" s="55"/>
      <c r="AZ190" s="55"/>
      <c r="BA190" s="55"/>
      <c r="BB190" s="55"/>
      <c r="BC190" s="55"/>
      <c r="BD190" s="55"/>
      <c r="BE190" s="55"/>
      <c r="BF190" s="55"/>
      <c r="BG190" s="55"/>
      <c r="BH190" s="55"/>
      <c r="BI190" s="55"/>
      <c r="BJ190" s="55"/>
      <c r="BK190" s="55"/>
      <c r="BL190" s="55"/>
      <c r="BM190" s="55"/>
      <c r="BN190" s="55"/>
      <c r="BO190" s="55"/>
      <c r="BP190" s="55"/>
      <c r="BQ190" s="55"/>
      <c r="BR190" s="55"/>
      <c r="BS190" s="55"/>
    </row>
    <row r="191" spans="1:71" outlineLevel="1" x14ac:dyDescent="0.2">
      <c r="A191" s="45"/>
      <c r="B191" s="38" t="str">
        <f>HM_ZA_Nkossa!B182</f>
        <v>Coûts d'exploitation</v>
      </c>
      <c r="C191" s="45"/>
      <c r="D191" s="45"/>
      <c r="E191" s="45"/>
      <c r="J191" s="26"/>
      <c r="L191" s="55"/>
      <c r="M191" s="55"/>
      <c r="N191" s="55"/>
      <c r="O191" s="55"/>
      <c r="P191" s="55"/>
      <c r="Q191" s="55"/>
      <c r="R191" s="55"/>
      <c r="S191" s="55"/>
      <c r="T191" s="55"/>
      <c r="U191" s="55"/>
      <c r="V191" s="55"/>
      <c r="W191" s="55"/>
      <c r="X191" s="55"/>
      <c r="Y191" s="55"/>
      <c r="Z191" s="55"/>
      <c r="AA191" s="55"/>
      <c r="AB191" s="55"/>
      <c r="AC191" s="55"/>
      <c r="AD191" s="55"/>
      <c r="AE191" s="55"/>
      <c r="AF191" s="55"/>
      <c r="AG191" s="55"/>
      <c r="AH191" s="55"/>
      <c r="AI191" s="55"/>
      <c r="AJ191" s="55"/>
      <c r="AK191" s="55"/>
      <c r="AL191" s="55"/>
      <c r="AM191" s="55"/>
      <c r="AN191" s="55"/>
      <c r="AO191" s="55"/>
      <c r="AP191" s="55"/>
      <c r="AQ191" s="55"/>
      <c r="AR191" s="55"/>
      <c r="AS191" s="55"/>
      <c r="AT191" s="55"/>
      <c r="AU191" s="55"/>
      <c r="AV191" s="55"/>
      <c r="AW191" s="55"/>
      <c r="AX191" s="55"/>
      <c r="AY191" s="55"/>
      <c r="AZ191" s="55"/>
      <c r="BA191" s="55"/>
      <c r="BB191" s="55"/>
      <c r="BC191" s="55"/>
      <c r="BD191" s="55"/>
      <c r="BE191" s="55"/>
      <c r="BF191" s="55"/>
      <c r="BG191" s="55"/>
      <c r="BH191" s="55"/>
      <c r="BI191" s="55"/>
      <c r="BJ191" s="55"/>
      <c r="BK191" s="55"/>
      <c r="BL191" s="55"/>
      <c r="BM191" s="55"/>
      <c r="BN191" s="55"/>
      <c r="BO191" s="55"/>
      <c r="BP191" s="55"/>
      <c r="BQ191" s="55"/>
      <c r="BR191" s="55"/>
      <c r="BS191" s="55"/>
    </row>
    <row r="192" spans="1:71" outlineLevel="1" x14ac:dyDescent="0.2">
      <c r="J192" s="26"/>
      <c r="L192" s="55"/>
      <c r="M192" s="55"/>
      <c r="N192" s="55"/>
      <c r="O192" s="55"/>
      <c r="P192" s="55"/>
      <c r="Q192" s="55"/>
      <c r="R192" s="55"/>
      <c r="S192" s="55"/>
      <c r="T192" s="55"/>
      <c r="U192" s="55"/>
      <c r="V192" s="55"/>
      <c r="W192" s="55"/>
      <c r="X192" s="55"/>
      <c r="Y192" s="55"/>
      <c r="Z192" s="55"/>
      <c r="AA192" s="55"/>
      <c r="AB192" s="55"/>
      <c r="AC192" s="55"/>
      <c r="AD192" s="55"/>
      <c r="AE192" s="55"/>
      <c r="AF192" s="55"/>
      <c r="AG192" s="55"/>
      <c r="AH192" s="55"/>
      <c r="AI192" s="55"/>
      <c r="AJ192" s="55"/>
      <c r="AK192" s="55"/>
      <c r="AL192" s="55"/>
      <c r="AM192" s="55"/>
      <c r="AN192" s="55"/>
      <c r="AO192" s="55"/>
      <c r="AP192" s="55"/>
      <c r="AQ192" s="55"/>
      <c r="AR192" s="55"/>
      <c r="AS192" s="55"/>
      <c r="AT192" s="55"/>
      <c r="AU192" s="55"/>
      <c r="AV192" s="55"/>
      <c r="AW192" s="55"/>
      <c r="AX192" s="55"/>
      <c r="AY192" s="55"/>
      <c r="AZ192" s="55"/>
      <c r="BA192" s="55"/>
      <c r="BB192" s="55"/>
      <c r="BC192" s="55"/>
      <c r="BD192" s="55"/>
      <c r="BE192" s="55"/>
      <c r="BF192" s="55"/>
      <c r="BG192" s="55"/>
      <c r="BH192" s="55"/>
      <c r="BI192" s="55"/>
      <c r="BJ192" s="55"/>
      <c r="BK192" s="55"/>
      <c r="BL192" s="55"/>
      <c r="BM192" s="55"/>
      <c r="BN192" s="55"/>
      <c r="BO192" s="55"/>
      <c r="BP192" s="55"/>
      <c r="BQ192" s="55"/>
      <c r="BR192" s="55"/>
      <c r="BS192" s="55"/>
    </row>
    <row r="193" spans="1:71" outlineLevel="1" x14ac:dyDescent="0.2">
      <c r="C193" s="11" t="str">
        <f>HM_ZA_Nkossa!C184</f>
        <v>Coûts variables</v>
      </c>
      <c r="J193" s="26"/>
      <c r="L193" s="55"/>
      <c r="M193" s="55"/>
      <c r="N193" s="55"/>
      <c r="O193" s="55"/>
      <c r="P193" s="55"/>
      <c r="Q193" s="55"/>
      <c r="R193" s="55"/>
      <c r="S193" s="55"/>
      <c r="T193" s="55"/>
      <c r="U193" s="55"/>
      <c r="V193" s="55"/>
      <c r="W193" s="55"/>
      <c r="X193" s="55"/>
      <c r="Y193" s="55"/>
      <c r="Z193" s="55"/>
      <c r="AA193" s="55"/>
      <c r="AB193" s="55"/>
      <c r="AC193" s="55"/>
      <c r="AD193" s="55"/>
      <c r="AE193" s="55"/>
      <c r="AF193" s="55"/>
      <c r="AG193" s="55"/>
      <c r="AH193" s="55"/>
      <c r="AI193" s="55"/>
      <c r="AJ193" s="55"/>
      <c r="AK193" s="55"/>
      <c r="AL193" s="55"/>
      <c r="AM193" s="55"/>
      <c r="AN193" s="55"/>
      <c r="AO193" s="55"/>
      <c r="AP193" s="55"/>
      <c r="AQ193" s="55"/>
      <c r="AR193" s="55"/>
      <c r="AS193" s="55"/>
      <c r="AT193" s="55"/>
      <c r="AU193" s="55"/>
      <c r="AV193" s="55"/>
      <c r="AW193" s="55"/>
      <c r="AX193" s="55"/>
      <c r="AY193" s="55"/>
      <c r="AZ193" s="55"/>
      <c r="BA193" s="55"/>
      <c r="BB193" s="55"/>
      <c r="BC193" s="55"/>
      <c r="BD193" s="55"/>
      <c r="BE193" s="55"/>
      <c r="BF193" s="55"/>
      <c r="BG193" s="55"/>
      <c r="BH193" s="55"/>
      <c r="BI193" s="55"/>
      <c r="BJ193" s="55"/>
      <c r="BK193" s="55"/>
      <c r="BL193" s="55"/>
      <c r="BM193" s="55"/>
      <c r="BN193" s="55"/>
      <c r="BO193" s="55"/>
      <c r="BP193" s="55"/>
      <c r="BQ193" s="55"/>
      <c r="BR193" s="55"/>
      <c r="BS193" s="55"/>
    </row>
    <row r="194" spans="1:71" outlineLevel="1" x14ac:dyDescent="0.2">
      <c r="D194" t="str">
        <f>HM_ZA_Nkossa!D185</f>
        <v>Opex variables (nominal)</v>
      </c>
      <c r="I194" s="30">
        <f ca="1">SUM($L194:$BS194)</f>
        <v>111.14358231999998</v>
      </c>
      <c r="J194" s="26" t="s">
        <v>148</v>
      </c>
      <c r="K194" s="7" t="s">
        <v>159</v>
      </c>
      <c r="L194" s="49">
        <f t="shared" ref="L194:S194" ca="1" si="34">IF(L4&gt;=YEAR(effective_date_Nsoko1999),((OFFSET(_xlfn.SINGLE(IA_varopex_real),3,date_offset_Nsoko1999)+OFFSET(_xlfn.SINGLE(IA_othercosts_real),3,date_offset_Nsoko1999))*_xlfn.SINGLE(IA_esc_index)),0)</f>
        <v>9.577</v>
      </c>
      <c r="M194" s="49">
        <f t="shared" ca="1" si="34"/>
        <v>7.9459999999999997</v>
      </c>
      <c r="N194" s="49">
        <f t="shared" ca="1" si="34"/>
        <v>7.3320000000000007</v>
      </c>
      <c r="O194" s="49">
        <f t="shared" ca="1" si="34"/>
        <v>6.6769999999999996</v>
      </c>
      <c r="P194" s="49">
        <f t="shared" ca="1" si="34"/>
        <v>7.2530000000000001</v>
      </c>
      <c r="Q194" s="49">
        <f t="shared" ca="1" si="34"/>
        <v>7.3</v>
      </c>
      <c r="R194" s="49">
        <f t="shared" ca="1" si="34"/>
        <v>4.5999999999999996</v>
      </c>
      <c r="S194" s="49">
        <f t="shared" ca="1" si="34"/>
        <v>10</v>
      </c>
      <c r="T194" s="49">
        <f t="shared" ref="T194:AY194" ca="1" si="35">IF(T4&gt;=YEAR(effective_date_Nsoko1999),((OFFSET(_xlfn.SINGLE(IA_varopex_real),3,date_offset_Nsoko1999)+OFFSET(_xlfn.SINGLE(IA_othercosts_real),3,date_offset_Nsoko1999))*_xlfn.SINGLE(IA_esc_index)),0)*(1+df_opex_sens)</f>
        <v>9.9</v>
      </c>
      <c r="U194" s="49">
        <f t="shared" ca="1" si="35"/>
        <v>9.9960000000000004</v>
      </c>
      <c r="V194" s="49">
        <f t="shared" ca="1" si="35"/>
        <v>10.09188</v>
      </c>
      <c r="W194" s="49">
        <f t="shared" ca="1" si="35"/>
        <v>10.1875968</v>
      </c>
      <c r="X194" s="49">
        <f t="shared" ca="1" si="35"/>
        <v>10.283105519999999</v>
      </c>
      <c r="Y194" s="49">
        <f t="shared" ca="1" si="35"/>
        <v>0</v>
      </c>
      <c r="Z194" s="49">
        <f t="shared" ca="1" si="35"/>
        <v>0</v>
      </c>
      <c r="AA194" s="49">
        <f t="shared" ca="1" si="35"/>
        <v>0</v>
      </c>
      <c r="AB194" s="49">
        <f t="shared" ca="1" si="35"/>
        <v>0</v>
      </c>
      <c r="AC194" s="49">
        <f t="shared" ca="1" si="35"/>
        <v>0</v>
      </c>
      <c r="AD194" s="49">
        <f t="shared" ca="1" si="35"/>
        <v>0</v>
      </c>
      <c r="AE194" s="49">
        <f t="shared" ca="1" si="35"/>
        <v>0</v>
      </c>
      <c r="AF194" s="49">
        <f t="shared" ca="1" si="35"/>
        <v>0</v>
      </c>
      <c r="AG194" s="49">
        <f t="shared" ca="1" si="35"/>
        <v>0</v>
      </c>
      <c r="AH194" s="49">
        <f t="shared" ca="1" si="35"/>
        <v>0</v>
      </c>
      <c r="AI194" s="49">
        <f t="shared" ca="1" si="35"/>
        <v>0</v>
      </c>
      <c r="AJ194" s="49">
        <f t="shared" ca="1" si="35"/>
        <v>0</v>
      </c>
      <c r="AK194" s="49">
        <f t="shared" ca="1" si="35"/>
        <v>0</v>
      </c>
      <c r="AL194" s="49">
        <f t="shared" ca="1" si="35"/>
        <v>0</v>
      </c>
      <c r="AM194" s="49">
        <f t="shared" ca="1" si="35"/>
        <v>0</v>
      </c>
      <c r="AN194" s="49">
        <f t="shared" ca="1" si="35"/>
        <v>0</v>
      </c>
      <c r="AO194" s="49">
        <f t="shared" ca="1" si="35"/>
        <v>0</v>
      </c>
      <c r="AP194" s="49">
        <f t="shared" ca="1" si="35"/>
        <v>0</v>
      </c>
      <c r="AQ194" s="49">
        <f t="shared" ca="1" si="35"/>
        <v>0</v>
      </c>
      <c r="AR194" s="49">
        <f t="shared" ca="1" si="35"/>
        <v>0</v>
      </c>
      <c r="AS194" s="49">
        <f t="shared" ca="1" si="35"/>
        <v>0</v>
      </c>
      <c r="AT194" s="49">
        <f t="shared" ca="1" si="35"/>
        <v>0</v>
      </c>
      <c r="AU194" s="49">
        <f t="shared" ca="1" si="35"/>
        <v>0</v>
      </c>
      <c r="AV194" s="49">
        <f t="shared" ca="1" si="35"/>
        <v>0</v>
      </c>
      <c r="AW194" s="49">
        <f t="shared" ca="1" si="35"/>
        <v>0</v>
      </c>
      <c r="AX194" s="49">
        <f t="shared" ca="1" si="35"/>
        <v>0</v>
      </c>
      <c r="AY194" s="49">
        <f t="shared" ca="1" si="35"/>
        <v>0</v>
      </c>
      <c r="AZ194" s="49">
        <f t="shared" ref="AZ194:BS194" ca="1" si="36">IF(AZ4&gt;=YEAR(effective_date_Nsoko1999),((OFFSET(_xlfn.SINGLE(IA_varopex_real),3,date_offset_Nsoko1999)+OFFSET(_xlfn.SINGLE(IA_othercosts_real),3,date_offset_Nsoko1999))*_xlfn.SINGLE(IA_esc_index)),0)*(1+df_opex_sens)</f>
        <v>0</v>
      </c>
      <c r="BA194" s="49">
        <f t="shared" ca="1" si="36"/>
        <v>0</v>
      </c>
      <c r="BB194" s="49">
        <f t="shared" ca="1" si="36"/>
        <v>0</v>
      </c>
      <c r="BC194" s="49">
        <f t="shared" ca="1" si="36"/>
        <v>0</v>
      </c>
      <c r="BD194" s="49">
        <f t="shared" ca="1" si="36"/>
        <v>0</v>
      </c>
      <c r="BE194" s="49">
        <f t="shared" ca="1" si="36"/>
        <v>0</v>
      </c>
      <c r="BF194" s="49">
        <f t="shared" ca="1" si="36"/>
        <v>0</v>
      </c>
      <c r="BG194" s="49">
        <f t="shared" ca="1" si="36"/>
        <v>0</v>
      </c>
      <c r="BH194" s="49">
        <f t="shared" ca="1" si="36"/>
        <v>0</v>
      </c>
      <c r="BI194" s="49">
        <f t="shared" ca="1" si="36"/>
        <v>0</v>
      </c>
      <c r="BJ194" s="49">
        <f t="shared" ca="1" si="36"/>
        <v>0</v>
      </c>
      <c r="BK194" s="49">
        <f t="shared" ca="1" si="36"/>
        <v>0</v>
      </c>
      <c r="BL194" s="49">
        <f t="shared" ca="1" si="36"/>
        <v>0</v>
      </c>
      <c r="BM194" s="49">
        <f t="shared" ca="1" si="36"/>
        <v>0</v>
      </c>
      <c r="BN194" s="49">
        <f t="shared" ca="1" si="36"/>
        <v>0</v>
      </c>
      <c r="BO194" s="49">
        <f t="shared" ca="1" si="36"/>
        <v>0</v>
      </c>
      <c r="BP194" s="49">
        <f t="shared" ca="1" si="36"/>
        <v>0</v>
      </c>
      <c r="BQ194" s="49">
        <f t="shared" ca="1" si="36"/>
        <v>0</v>
      </c>
      <c r="BR194" s="49">
        <f t="shared" ca="1" si="36"/>
        <v>0</v>
      </c>
      <c r="BS194" s="49">
        <f t="shared" ca="1" si="36"/>
        <v>0</v>
      </c>
    </row>
    <row r="195" spans="1:71" outlineLevel="1" x14ac:dyDescent="0.2">
      <c r="J195" s="26"/>
      <c r="L195" s="55"/>
      <c r="M195" s="55"/>
      <c r="N195" s="55"/>
      <c r="O195" s="55"/>
      <c r="P195" s="55"/>
      <c r="Q195" s="55"/>
      <c r="R195" s="55"/>
      <c r="S195" s="55"/>
      <c r="T195" s="55"/>
      <c r="U195" s="55"/>
      <c r="V195" s="55"/>
      <c r="W195" s="55"/>
      <c r="X195" s="55"/>
      <c r="Y195" s="55"/>
      <c r="Z195" s="55"/>
      <c r="AA195" s="55"/>
      <c r="AB195" s="55"/>
      <c r="AC195" s="55"/>
      <c r="AD195" s="55"/>
      <c r="AE195" s="55"/>
      <c r="AF195" s="55"/>
      <c r="AG195" s="55"/>
      <c r="AH195" s="55"/>
      <c r="AI195" s="55"/>
      <c r="AJ195" s="55"/>
      <c r="AK195" s="55"/>
      <c r="AL195" s="55"/>
      <c r="AM195" s="55"/>
      <c r="AN195" s="55"/>
      <c r="AO195" s="55"/>
      <c r="AP195" s="55"/>
      <c r="AQ195" s="55"/>
      <c r="AR195" s="55"/>
      <c r="AS195" s="55"/>
      <c r="AT195" s="55"/>
      <c r="AU195" s="55"/>
      <c r="AV195" s="55"/>
      <c r="AW195" s="55"/>
      <c r="AX195" s="55"/>
      <c r="AY195" s="55"/>
      <c r="AZ195" s="55"/>
      <c r="BA195" s="55"/>
      <c r="BB195" s="55"/>
      <c r="BC195" s="55"/>
      <c r="BD195" s="55"/>
      <c r="BE195" s="55"/>
      <c r="BF195" s="55"/>
      <c r="BG195" s="55"/>
      <c r="BH195" s="55"/>
      <c r="BI195" s="55"/>
      <c r="BJ195" s="55"/>
      <c r="BK195" s="55"/>
      <c r="BL195" s="55"/>
      <c r="BM195" s="55"/>
      <c r="BN195" s="55"/>
      <c r="BO195" s="55"/>
      <c r="BP195" s="55"/>
      <c r="BQ195" s="55"/>
      <c r="BR195" s="55"/>
      <c r="BS195" s="55"/>
    </row>
    <row r="196" spans="1:71" outlineLevel="1" x14ac:dyDescent="0.2">
      <c r="C196" s="11" t="str">
        <f>HM_ZA_Nkossa!C187</f>
        <v>Coûts fixes</v>
      </c>
      <c r="J196" s="26"/>
      <c r="L196" s="55"/>
      <c r="M196" s="55"/>
      <c r="N196" s="55"/>
      <c r="O196" s="55"/>
      <c r="P196" s="55"/>
      <c r="Q196" s="55"/>
      <c r="R196" s="55"/>
      <c r="S196" s="55"/>
      <c r="T196" s="55"/>
      <c r="U196" s="55"/>
      <c r="V196" s="55"/>
      <c r="W196" s="55"/>
      <c r="X196" s="55"/>
      <c r="Y196" s="55"/>
      <c r="Z196" s="55"/>
      <c r="AA196" s="55"/>
      <c r="AB196" s="55"/>
      <c r="AC196" s="55"/>
      <c r="AD196" s="55"/>
      <c r="AE196" s="55"/>
      <c r="AF196" s="55"/>
      <c r="AG196" s="55"/>
      <c r="AH196" s="55"/>
      <c r="AI196" s="55"/>
      <c r="AJ196" s="55"/>
      <c r="AK196" s="55"/>
      <c r="AL196" s="55"/>
      <c r="AM196" s="55"/>
      <c r="AN196" s="55"/>
      <c r="AO196" s="55"/>
      <c r="AP196" s="55"/>
      <c r="AQ196" s="55"/>
      <c r="AR196" s="55"/>
      <c r="AS196" s="55"/>
      <c r="AT196" s="55"/>
      <c r="AU196" s="55"/>
      <c r="AV196" s="55"/>
      <c r="AW196" s="55"/>
      <c r="AX196" s="55"/>
      <c r="AY196" s="55"/>
      <c r="AZ196" s="55"/>
      <c r="BA196" s="55"/>
      <c r="BB196" s="55"/>
      <c r="BC196" s="55"/>
      <c r="BD196" s="55"/>
      <c r="BE196" s="55"/>
      <c r="BF196" s="55"/>
      <c r="BG196" s="55"/>
      <c r="BH196" s="55"/>
      <c r="BI196" s="55"/>
      <c r="BJ196" s="55"/>
      <c r="BK196" s="55"/>
      <c r="BL196" s="55"/>
      <c r="BM196" s="55"/>
      <c r="BN196" s="55"/>
      <c r="BO196" s="55"/>
      <c r="BP196" s="55"/>
      <c r="BQ196" s="55"/>
      <c r="BR196" s="55"/>
      <c r="BS196" s="55"/>
    </row>
    <row r="197" spans="1:71" outlineLevel="1" x14ac:dyDescent="0.2">
      <c r="D197" t="str">
        <f>HM_ZA_Nkossa!D188</f>
        <v>Opex fixes (nominal)</v>
      </c>
      <c r="I197" s="30">
        <f ca="1">SUM($L197:$BS197)</f>
        <v>0</v>
      </c>
      <c r="J197" s="26" t="s">
        <v>148</v>
      </c>
      <c r="K197" s="7" t="s">
        <v>164</v>
      </c>
      <c r="L197" s="49">
        <f t="shared" ref="L197:S197" ca="1" si="37">IF(L4&gt;=YEAR(effective_date_Nsoko1999),(OFFSET(_xlfn.SINGLE(IA_fixedopex_real),3,date_offset_Nsoko1999)*_xlfn.SINGLE(IA_esc_index)),0)</f>
        <v>0</v>
      </c>
      <c r="M197" s="49">
        <f t="shared" ca="1" si="37"/>
        <v>0</v>
      </c>
      <c r="N197" s="49">
        <f t="shared" ca="1" si="37"/>
        <v>0</v>
      </c>
      <c r="O197" s="49">
        <f t="shared" ca="1" si="37"/>
        <v>0</v>
      </c>
      <c r="P197" s="49">
        <f t="shared" ca="1" si="37"/>
        <v>0</v>
      </c>
      <c r="Q197" s="49">
        <f t="shared" ca="1" si="37"/>
        <v>0</v>
      </c>
      <c r="R197" s="49">
        <f t="shared" ca="1" si="37"/>
        <v>0</v>
      </c>
      <c r="S197" s="49">
        <f t="shared" ca="1" si="37"/>
        <v>0</v>
      </c>
      <c r="T197" s="49">
        <f t="shared" ref="T197:AY197" ca="1" si="38">IF(T4&gt;=YEAR(effective_date_Nsoko1999),(OFFSET(_xlfn.SINGLE(IA_fixedopex_real),3,date_offset_Nsoko1999)*_xlfn.SINGLE(IA_esc_index)),0)*(1+df_opex_sens)</f>
        <v>0</v>
      </c>
      <c r="U197" s="49">
        <f t="shared" ca="1" si="38"/>
        <v>0</v>
      </c>
      <c r="V197" s="49">
        <f t="shared" ca="1" si="38"/>
        <v>0</v>
      </c>
      <c r="W197" s="49">
        <f t="shared" ca="1" si="38"/>
        <v>0</v>
      </c>
      <c r="X197" s="49">
        <f t="shared" ca="1" si="38"/>
        <v>0</v>
      </c>
      <c r="Y197" s="49">
        <f t="shared" ca="1" si="38"/>
        <v>0</v>
      </c>
      <c r="Z197" s="49">
        <f t="shared" ca="1" si="38"/>
        <v>0</v>
      </c>
      <c r="AA197" s="49">
        <f t="shared" ca="1" si="38"/>
        <v>0</v>
      </c>
      <c r="AB197" s="49">
        <f t="shared" ca="1" si="38"/>
        <v>0</v>
      </c>
      <c r="AC197" s="49">
        <f t="shared" ca="1" si="38"/>
        <v>0</v>
      </c>
      <c r="AD197" s="49">
        <f t="shared" ca="1" si="38"/>
        <v>0</v>
      </c>
      <c r="AE197" s="49">
        <f t="shared" ca="1" si="38"/>
        <v>0</v>
      </c>
      <c r="AF197" s="49">
        <f t="shared" ca="1" si="38"/>
        <v>0</v>
      </c>
      <c r="AG197" s="49">
        <f t="shared" ca="1" si="38"/>
        <v>0</v>
      </c>
      <c r="AH197" s="49">
        <f t="shared" ca="1" si="38"/>
        <v>0</v>
      </c>
      <c r="AI197" s="49">
        <f t="shared" ca="1" si="38"/>
        <v>0</v>
      </c>
      <c r="AJ197" s="49">
        <f t="shared" ca="1" si="38"/>
        <v>0</v>
      </c>
      <c r="AK197" s="49">
        <f t="shared" ca="1" si="38"/>
        <v>0</v>
      </c>
      <c r="AL197" s="49">
        <f t="shared" ca="1" si="38"/>
        <v>0</v>
      </c>
      <c r="AM197" s="49">
        <f t="shared" ca="1" si="38"/>
        <v>0</v>
      </c>
      <c r="AN197" s="49">
        <f t="shared" ca="1" si="38"/>
        <v>0</v>
      </c>
      <c r="AO197" s="49">
        <f t="shared" ca="1" si="38"/>
        <v>0</v>
      </c>
      <c r="AP197" s="49">
        <f t="shared" ca="1" si="38"/>
        <v>0</v>
      </c>
      <c r="AQ197" s="49">
        <f t="shared" ca="1" si="38"/>
        <v>0</v>
      </c>
      <c r="AR197" s="49">
        <f t="shared" ca="1" si="38"/>
        <v>0</v>
      </c>
      <c r="AS197" s="49">
        <f t="shared" ca="1" si="38"/>
        <v>0</v>
      </c>
      <c r="AT197" s="49">
        <f t="shared" ca="1" si="38"/>
        <v>0</v>
      </c>
      <c r="AU197" s="49">
        <f t="shared" ca="1" si="38"/>
        <v>0</v>
      </c>
      <c r="AV197" s="49">
        <f t="shared" ca="1" si="38"/>
        <v>0</v>
      </c>
      <c r="AW197" s="49">
        <f t="shared" ca="1" si="38"/>
        <v>0</v>
      </c>
      <c r="AX197" s="49">
        <f t="shared" ca="1" si="38"/>
        <v>0</v>
      </c>
      <c r="AY197" s="49">
        <f t="shared" ca="1" si="38"/>
        <v>0</v>
      </c>
      <c r="AZ197" s="49">
        <f t="shared" ref="AZ197:BS197" ca="1" si="39">IF(AZ4&gt;=YEAR(effective_date_Nsoko1999),(OFFSET(_xlfn.SINGLE(IA_fixedopex_real),3,date_offset_Nsoko1999)*_xlfn.SINGLE(IA_esc_index)),0)*(1+df_opex_sens)</f>
        <v>0</v>
      </c>
      <c r="BA197" s="49">
        <f t="shared" ca="1" si="39"/>
        <v>0</v>
      </c>
      <c r="BB197" s="49">
        <f t="shared" ca="1" si="39"/>
        <v>0</v>
      </c>
      <c r="BC197" s="49">
        <f t="shared" ca="1" si="39"/>
        <v>0</v>
      </c>
      <c r="BD197" s="49">
        <f t="shared" ca="1" si="39"/>
        <v>0</v>
      </c>
      <c r="BE197" s="49">
        <f t="shared" ca="1" si="39"/>
        <v>0</v>
      </c>
      <c r="BF197" s="49">
        <f t="shared" ca="1" si="39"/>
        <v>0</v>
      </c>
      <c r="BG197" s="49">
        <f t="shared" ca="1" si="39"/>
        <v>0</v>
      </c>
      <c r="BH197" s="49">
        <f t="shared" ca="1" si="39"/>
        <v>0</v>
      </c>
      <c r="BI197" s="49">
        <f t="shared" ca="1" si="39"/>
        <v>0</v>
      </c>
      <c r="BJ197" s="49">
        <f t="shared" ca="1" si="39"/>
        <v>0</v>
      </c>
      <c r="BK197" s="49">
        <f t="shared" ca="1" si="39"/>
        <v>0</v>
      </c>
      <c r="BL197" s="49">
        <f t="shared" ca="1" si="39"/>
        <v>0</v>
      </c>
      <c r="BM197" s="49">
        <f t="shared" ca="1" si="39"/>
        <v>0</v>
      </c>
      <c r="BN197" s="49">
        <f t="shared" ca="1" si="39"/>
        <v>0</v>
      </c>
      <c r="BO197" s="49">
        <f t="shared" ca="1" si="39"/>
        <v>0</v>
      </c>
      <c r="BP197" s="49">
        <f t="shared" ca="1" si="39"/>
        <v>0</v>
      </c>
      <c r="BQ197" s="49">
        <f t="shared" ca="1" si="39"/>
        <v>0</v>
      </c>
      <c r="BR197" s="49">
        <f t="shared" ca="1" si="39"/>
        <v>0</v>
      </c>
      <c r="BS197" s="49">
        <f t="shared" ca="1" si="39"/>
        <v>0</v>
      </c>
    </row>
    <row r="198" spans="1:71" outlineLevel="1" x14ac:dyDescent="0.2">
      <c r="J198" s="26"/>
      <c r="L198" s="55"/>
      <c r="M198" s="55"/>
      <c r="N198" s="55"/>
      <c r="O198" s="55"/>
      <c r="P198" s="55"/>
      <c r="Q198" s="55"/>
      <c r="R198" s="55"/>
      <c r="S198" s="55"/>
      <c r="T198" s="55"/>
      <c r="U198" s="55"/>
      <c r="V198" s="55"/>
      <c r="W198" s="55"/>
      <c r="X198" s="55"/>
      <c r="Y198" s="55"/>
      <c r="Z198" s="55"/>
      <c r="AA198" s="55"/>
      <c r="AB198" s="55"/>
      <c r="AC198" s="55"/>
      <c r="AD198" s="55"/>
      <c r="AE198" s="55"/>
      <c r="AF198" s="55"/>
      <c r="AG198" s="55"/>
      <c r="AH198" s="55"/>
      <c r="AI198" s="55"/>
      <c r="AJ198" s="55"/>
      <c r="AK198" s="55"/>
      <c r="AL198" s="55"/>
      <c r="AM198" s="55"/>
      <c r="AN198" s="55"/>
      <c r="AO198" s="55"/>
      <c r="AP198" s="55"/>
      <c r="AQ198" s="55"/>
      <c r="AR198" s="55"/>
      <c r="AS198" s="55"/>
      <c r="AT198" s="55"/>
      <c r="AU198" s="55"/>
      <c r="AV198" s="55"/>
      <c r="AW198" s="55"/>
      <c r="AX198" s="55"/>
      <c r="AY198" s="55"/>
      <c r="AZ198" s="55"/>
      <c r="BA198" s="55"/>
      <c r="BB198" s="55"/>
      <c r="BC198" s="55"/>
      <c r="BD198" s="55"/>
      <c r="BE198" s="55"/>
      <c r="BF198" s="55"/>
      <c r="BG198" s="55"/>
      <c r="BH198" s="55"/>
      <c r="BI198" s="55"/>
      <c r="BJ198" s="55"/>
      <c r="BK198" s="55"/>
      <c r="BL198" s="55"/>
      <c r="BM198" s="55"/>
      <c r="BN198" s="55"/>
      <c r="BO198" s="55"/>
      <c r="BP198" s="55"/>
      <c r="BQ198" s="55"/>
      <c r="BR198" s="55"/>
      <c r="BS198" s="55"/>
    </row>
    <row r="199" spans="1:71" outlineLevel="1" x14ac:dyDescent="0.2">
      <c r="J199" s="26"/>
      <c r="L199" s="55"/>
      <c r="M199" s="55"/>
      <c r="N199" s="55"/>
      <c r="O199" s="55"/>
      <c r="P199" s="55"/>
      <c r="Q199" s="55"/>
      <c r="R199" s="55"/>
      <c r="S199" s="55"/>
      <c r="T199" s="55"/>
      <c r="U199" s="55"/>
      <c r="V199" s="55"/>
      <c r="W199" s="55"/>
      <c r="X199" s="55"/>
      <c r="Y199" s="55"/>
      <c r="Z199" s="55"/>
      <c r="AA199" s="55"/>
      <c r="AB199" s="55"/>
      <c r="AC199" s="55"/>
      <c r="AD199" s="55"/>
      <c r="AE199" s="55"/>
      <c r="AF199" s="55"/>
      <c r="AG199" s="55"/>
      <c r="AH199" s="55"/>
      <c r="AI199" s="55"/>
      <c r="AJ199" s="55"/>
      <c r="AK199" s="55"/>
      <c r="AL199" s="55"/>
      <c r="AM199" s="55"/>
      <c r="AN199" s="55"/>
      <c r="AO199" s="55"/>
      <c r="AP199" s="55"/>
      <c r="AQ199" s="55"/>
      <c r="AR199" s="55"/>
      <c r="AS199" s="55"/>
      <c r="AT199" s="55"/>
      <c r="AU199" s="55"/>
      <c r="AV199" s="55"/>
      <c r="AW199" s="55"/>
      <c r="AX199" s="55"/>
      <c r="AY199" s="55"/>
      <c r="AZ199" s="55"/>
      <c r="BA199" s="55"/>
      <c r="BB199" s="55"/>
      <c r="BC199" s="55"/>
      <c r="BD199" s="55"/>
      <c r="BE199" s="55"/>
      <c r="BF199" s="55"/>
      <c r="BG199" s="55"/>
      <c r="BH199" s="55"/>
      <c r="BI199" s="55"/>
      <c r="BJ199" s="55"/>
      <c r="BK199" s="55"/>
      <c r="BL199" s="55"/>
      <c r="BM199" s="55"/>
      <c r="BN199" s="55"/>
      <c r="BO199" s="55"/>
      <c r="BP199" s="55"/>
      <c r="BQ199" s="55"/>
      <c r="BR199" s="55"/>
      <c r="BS199" s="55"/>
    </row>
    <row r="200" spans="1:71" outlineLevel="1" x14ac:dyDescent="0.2">
      <c r="D200" s="11" t="str">
        <f>HM_ZA_Nkossa!D191</f>
        <v>Total Opex</v>
      </c>
      <c r="I200" s="30">
        <f ca="1">SUM($L200:$BS200)</f>
        <v>111.14358231999998</v>
      </c>
      <c r="J200" s="26" t="s">
        <v>148</v>
      </c>
      <c r="K200" s="7" t="s">
        <v>166</v>
      </c>
      <c r="L200" s="49">
        <f ca="1">SUM(L197,L194)</f>
        <v>9.577</v>
      </c>
      <c r="M200" s="49">
        <f t="shared" ref="M200:BS200" ca="1" si="40">SUM(M197,M194)</f>
        <v>7.9459999999999997</v>
      </c>
      <c r="N200" s="49">
        <f t="shared" ca="1" si="40"/>
        <v>7.3320000000000007</v>
      </c>
      <c r="O200" s="49">
        <f t="shared" ca="1" si="40"/>
        <v>6.6769999999999996</v>
      </c>
      <c r="P200" s="49">
        <f t="shared" ca="1" si="40"/>
        <v>7.2530000000000001</v>
      </c>
      <c r="Q200" s="49">
        <f t="shared" ca="1" si="40"/>
        <v>7.3</v>
      </c>
      <c r="R200" s="49">
        <f t="shared" ca="1" si="40"/>
        <v>4.5999999999999996</v>
      </c>
      <c r="S200" s="49">
        <f t="shared" ca="1" si="40"/>
        <v>10</v>
      </c>
      <c r="T200" s="49">
        <f t="shared" ca="1" si="40"/>
        <v>9.9</v>
      </c>
      <c r="U200" s="49">
        <f t="shared" ca="1" si="40"/>
        <v>9.9960000000000004</v>
      </c>
      <c r="V200" s="49">
        <f t="shared" ca="1" si="40"/>
        <v>10.09188</v>
      </c>
      <c r="W200" s="49">
        <f t="shared" ca="1" si="40"/>
        <v>10.1875968</v>
      </c>
      <c r="X200" s="49">
        <f t="shared" ca="1" si="40"/>
        <v>10.283105519999999</v>
      </c>
      <c r="Y200" s="49">
        <f t="shared" ca="1" si="40"/>
        <v>0</v>
      </c>
      <c r="Z200" s="49">
        <f t="shared" ca="1" si="40"/>
        <v>0</v>
      </c>
      <c r="AA200" s="49">
        <f t="shared" ca="1" si="40"/>
        <v>0</v>
      </c>
      <c r="AB200" s="49">
        <f t="shared" ca="1" si="40"/>
        <v>0</v>
      </c>
      <c r="AC200" s="49">
        <f t="shared" ca="1" si="40"/>
        <v>0</v>
      </c>
      <c r="AD200" s="49">
        <f t="shared" ca="1" si="40"/>
        <v>0</v>
      </c>
      <c r="AE200" s="49">
        <f t="shared" ca="1" si="40"/>
        <v>0</v>
      </c>
      <c r="AF200" s="49">
        <f t="shared" ca="1" si="40"/>
        <v>0</v>
      </c>
      <c r="AG200" s="49">
        <f t="shared" ca="1" si="40"/>
        <v>0</v>
      </c>
      <c r="AH200" s="49">
        <f t="shared" ca="1" si="40"/>
        <v>0</v>
      </c>
      <c r="AI200" s="49">
        <f t="shared" ca="1" si="40"/>
        <v>0</v>
      </c>
      <c r="AJ200" s="49">
        <f t="shared" ca="1" si="40"/>
        <v>0</v>
      </c>
      <c r="AK200" s="49">
        <f t="shared" ca="1" si="40"/>
        <v>0</v>
      </c>
      <c r="AL200" s="49">
        <f t="shared" ca="1" si="40"/>
        <v>0</v>
      </c>
      <c r="AM200" s="49">
        <f t="shared" ca="1" si="40"/>
        <v>0</v>
      </c>
      <c r="AN200" s="49">
        <f t="shared" ca="1" si="40"/>
        <v>0</v>
      </c>
      <c r="AO200" s="49">
        <f t="shared" ca="1" si="40"/>
        <v>0</v>
      </c>
      <c r="AP200" s="49">
        <f t="shared" ca="1" si="40"/>
        <v>0</v>
      </c>
      <c r="AQ200" s="49">
        <f t="shared" ca="1" si="40"/>
        <v>0</v>
      </c>
      <c r="AR200" s="49">
        <f t="shared" ca="1" si="40"/>
        <v>0</v>
      </c>
      <c r="AS200" s="49">
        <f t="shared" ca="1" si="40"/>
        <v>0</v>
      </c>
      <c r="AT200" s="49">
        <f t="shared" ca="1" si="40"/>
        <v>0</v>
      </c>
      <c r="AU200" s="49">
        <f t="shared" ca="1" si="40"/>
        <v>0</v>
      </c>
      <c r="AV200" s="49">
        <f t="shared" ca="1" si="40"/>
        <v>0</v>
      </c>
      <c r="AW200" s="49">
        <f t="shared" ca="1" si="40"/>
        <v>0</v>
      </c>
      <c r="AX200" s="49">
        <f t="shared" ca="1" si="40"/>
        <v>0</v>
      </c>
      <c r="AY200" s="49">
        <f t="shared" ca="1" si="40"/>
        <v>0</v>
      </c>
      <c r="AZ200" s="49">
        <f t="shared" ca="1" si="40"/>
        <v>0</v>
      </c>
      <c r="BA200" s="49">
        <f t="shared" ca="1" si="40"/>
        <v>0</v>
      </c>
      <c r="BB200" s="49">
        <f t="shared" ca="1" si="40"/>
        <v>0</v>
      </c>
      <c r="BC200" s="49">
        <f t="shared" ca="1" si="40"/>
        <v>0</v>
      </c>
      <c r="BD200" s="49">
        <f t="shared" ca="1" si="40"/>
        <v>0</v>
      </c>
      <c r="BE200" s="49">
        <f t="shared" ca="1" si="40"/>
        <v>0</v>
      </c>
      <c r="BF200" s="49">
        <f t="shared" ca="1" si="40"/>
        <v>0</v>
      </c>
      <c r="BG200" s="49">
        <f t="shared" ca="1" si="40"/>
        <v>0</v>
      </c>
      <c r="BH200" s="49">
        <f t="shared" ca="1" si="40"/>
        <v>0</v>
      </c>
      <c r="BI200" s="49">
        <f t="shared" ca="1" si="40"/>
        <v>0</v>
      </c>
      <c r="BJ200" s="49">
        <f t="shared" ca="1" si="40"/>
        <v>0</v>
      </c>
      <c r="BK200" s="49">
        <f t="shared" ca="1" si="40"/>
        <v>0</v>
      </c>
      <c r="BL200" s="49">
        <f t="shared" ca="1" si="40"/>
        <v>0</v>
      </c>
      <c r="BM200" s="49">
        <f t="shared" ca="1" si="40"/>
        <v>0</v>
      </c>
      <c r="BN200" s="49">
        <f t="shared" ca="1" si="40"/>
        <v>0</v>
      </c>
      <c r="BO200" s="49">
        <f t="shared" ca="1" si="40"/>
        <v>0</v>
      </c>
      <c r="BP200" s="49">
        <f t="shared" ca="1" si="40"/>
        <v>0</v>
      </c>
      <c r="BQ200" s="49">
        <f t="shared" ca="1" si="40"/>
        <v>0</v>
      </c>
      <c r="BR200" s="49">
        <f t="shared" ca="1" si="40"/>
        <v>0</v>
      </c>
      <c r="BS200" s="49">
        <f t="shared" ca="1" si="40"/>
        <v>0</v>
      </c>
    </row>
    <row r="201" spans="1:71" outlineLevel="1" x14ac:dyDescent="0.2">
      <c r="J201" s="26"/>
      <c r="L201" s="55"/>
      <c r="M201" s="55"/>
      <c r="N201" s="55"/>
      <c r="O201" s="55"/>
      <c r="P201" s="55"/>
      <c r="Q201" s="55"/>
      <c r="R201" s="55"/>
      <c r="S201" s="55"/>
      <c r="T201" s="55"/>
      <c r="U201" s="55"/>
      <c r="V201" s="55"/>
      <c r="W201" s="55"/>
      <c r="X201" s="55"/>
      <c r="Y201" s="55"/>
      <c r="Z201" s="55"/>
      <c r="AA201" s="55"/>
      <c r="AB201" s="55"/>
      <c r="AC201" s="55"/>
      <c r="AD201" s="55"/>
      <c r="AE201" s="55"/>
      <c r="AF201" s="55"/>
      <c r="AG201" s="55"/>
      <c r="AH201" s="55"/>
      <c r="AI201" s="55"/>
      <c r="AJ201" s="55"/>
      <c r="AK201" s="55"/>
      <c r="AL201" s="55"/>
      <c r="AM201" s="55"/>
      <c r="AN201" s="55"/>
      <c r="AO201" s="55"/>
      <c r="AP201" s="55"/>
      <c r="AQ201" s="55"/>
      <c r="AR201" s="55"/>
      <c r="AS201" s="55"/>
      <c r="AT201" s="55"/>
      <c r="AU201" s="55"/>
      <c r="AV201" s="55"/>
      <c r="AW201" s="55"/>
      <c r="AX201" s="55"/>
      <c r="AY201" s="55"/>
      <c r="AZ201" s="55"/>
      <c r="BA201" s="55"/>
      <c r="BB201" s="55"/>
      <c r="BC201" s="55"/>
      <c r="BD201" s="55"/>
      <c r="BE201" s="55"/>
      <c r="BF201" s="55"/>
      <c r="BG201" s="55"/>
      <c r="BH201" s="55"/>
      <c r="BI201" s="55"/>
      <c r="BJ201" s="55"/>
      <c r="BK201" s="55"/>
      <c r="BL201" s="55"/>
      <c r="BM201" s="55"/>
      <c r="BN201" s="55"/>
      <c r="BO201" s="55"/>
      <c r="BP201" s="55"/>
      <c r="BQ201" s="55"/>
      <c r="BR201" s="55"/>
      <c r="BS201" s="55"/>
    </row>
    <row r="202" spans="1:71" outlineLevel="1" x14ac:dyDescent="0.2">
      <c r="J202" s="26"/>
      <c r="L202" s="55"/>
      <c r="M202" s="55"/>
      <c r="N202" s="55"/>
      <c r="O202" s="55"/>
      <c r="P202" s="55"/>
      <c r="Q202" s="55"/>
      <c r="R202" s="55"/>
      <c r="S202" s="55"/>
      <c r="T202" s="55"/>
      <c r="U202" s="55"/>
      <c r="V202" s="55"/>
      <c r="W202" s="55"/>
      <c r="X202" s="55"/>
      <c r="Y202" s="55"/>
      <c r="Z202" s="55"/>
      <c r="AA202" s="55"/>
      <c r="AB202" s="55"/>
      <c r="AC202" s="55"/>
      <c r="AD202" s="55"/>
      <c r="AE202" s="55"/>
      <c r="AF202" s="55"/>
      <c r="AG202" s="55"/>
      <c r="AH202" s="55"/>
      <c r="AI202" s="55"/>
      <c r="AJ202" s="55"/>
      <c r="AK202" s="55"/>
      <c r="AL202" s="55"/>
      <c r="AM202" s="55"/>
      <c r="AN202" s="55"/>
      <c r="AO202" s="55"/>
      <c r="AP202" s="55"/>
      <c r="AQ202" s="55"/>
      <c r="AR202" s="55"/>
      <c r="AS202" s="55"/>
      <c r="AT202" s="55"/>
      <c r="AU202" s="55"/>
      <c r="AV202" s="55"/>
      <c r="AW202" s="55"/>
      <c r="AX202" s="55"/>
      <c r="AY202" s="55"/>
      <c r="AZ202" s="55"/>
      <c r="BA202" s="55"/>
      <c r="BB202" s="55"/>
      <c r="BC202" s="55"/>
      <c r="BD202" s="55"/>
      <c r="BE202" s="55"/>
      <c r="BF202" s="55"/>
      <c r="BG202" s="55"/>
      <c r="BH202" s="55"/>
      <c r="BI202" s="55"/>
      <c r="BJ202" s="55"/>
      <c r="BK202" s="55"/>
      <c r="BL202" s="55"/>
      <c r="BM202" s="55"/>
      <c r="BN202" s="55"/>
      <c r="BO202" s="55"/>
      <c r="BP202" s="55"/>
      <c r="BQ202" s="55"/>
      <c r="BR202" s="55"/>
      <c r="BS202" s="55"/>
    </row>
    <row r="203" spans="1:71" outlineLevel="1" x14ac:dyDescent="0.2">
      <c r="A203" s="45"/>
      <c r="B203" s="38" t="str">
        <f>HM_ZA_Nkossa!B194</f>
        <v>Coûts de développement</v>
      </c>
      <c r="C203" s="45"/>
      <c r="D203" s="45"/>
      <c r="E203" s="45"/>
      <c r="J203" s="26"/>
      <c r="L203" s="55"/>
      <c r="M203" s="55"/>
      <c r="N203" s="55"/>
      <c r="O203" s="55"/>
      <c r="P203" s="55"/>
      <c r="Q203" s="55"/>
      <c r="R203" s="55"/>
      <c r="S203" s="55"/>
      <c r="T203" s="55"/>
      <c r="U203" s="55"/>
      <c r="V203" s="55"/>
      <c r="W203" s="55"/>
      <c r="X203" s="55"/>
      <c r="Y203" s="55"/>
      <c r="Z203" s="55"/>
      <c r="AA203" s="55"/>
      <c r="AB203" s="55"/>
      <c r="AC203" s="55"/>
      <c r="AD203" s="55"/>
      <c r="AE203" s="55"/>
      <c r="AF203" s="55"/>
      <c r="AG203" s="55"/>
      <c r="AH203" s="55"/>
      <c r="AI203" s="55"/>
      <c r="AJ203" s="55"/>
      <c r="AK203" s="55"/>
      <c r="AL203" s="55"/>
      <c r="AM203" s="55"/>
      <c r="AN203" s="55"/>
      <c r="AO203" s="55"/>
      <c r="AP203" s="55"/>
      <c r="AQ203" s="55"/>
      <c r="AR203" s="55"/>
      <c r="AS203" s="55"/>
      <c r="AT203" s="55"/>
      <c r="AU203" s="55"/>
      <c r="AV203" s="55"/>
      <c r="AW203" s="55"/>
      <c r="AX203" s="55"/>
      <c r="AY203" s="55"/>
      <c r="AZ203" s="55"/>
      <c r="BA203" s="55"/>
      <c r="BB203" s="55"/>
      <c r="BC203" s="55"/>
      <c r="BD203" s="55"/>
      <c r="BE203" s="55"/>
      <c r="BF203" s="55"/>
      <c r="BG203" s="55"/>
      <c r="BH203" s="55"/>
      <c r="BI203" s="55"/>
      <c r="BJ203" s="55"/>
      <c r="BK203" s="55"/>
      <c r="BL203" s="55"/>
      <c r="BM203" s="55"/>
      <c r="BN203" s="55"/>
      <c r="BO203" s="55"/>
      <c r="BP203" s="55"/>
      <c r="BQ203" s="55"/>
      <c r="BR203" s="55"/>
      <c r="BS203" s="55"/>
    </row>
    <row r="204" spans="1:71" outlineLevel="1" x14ac:dyDescent="0.2">
      <c r="J204" s="26"/>
      <c r="L204" s="55"/>
      <c r="M204" s="55"/>
      <c r="N204" s="55"/>
      <c r="O204" s="55"/>
      <c r="P204" s="55"/>
      <c r="Q204" s="55"/>
      <c r="R204" s="55"/>
      <c r="S204" s="55"/>
      <c r="T204" s="55"/>
      <c r="U204" s="55"/>
      <c r="V204" s="55"/>
      <c r="W204" s="55"/>
      <c r="X204" s="55"/>
      <c r="Y204" s="55"/>
      <c r="Z204" s="55"/>
      <c r="AA204" s="55"/>
      <c r="AB204" s="55"/>
      <c r="AC204" s="55"/>
      <c r="AD204" s="55"/>
      <c r="AE204" s="55"/>
      <c r="AF204" s="55"/>
      <c r="AG204" s="55"/>
      <c r="AH204" s="55"/>
      <c r="AI204" s="55"/>
      <c r="AJ204" s="55"/>
      <c r="AK204" s="55"/>
      <c r="AL204" s="55"/>
      <c r="AM204" s="55"/>
      <c r="AN204" s="55"/>
      <c r="AO204" s="55"/>
      <c r="AP204" s="55"/>
      <c r="AQ204" s="55"/>
      <c r="AR204" s="55"/>
      <c r="AS204" s="55"/>
      <c r="AT204" s="55"/>
      <c r="AU204" s="55"/>
      <c r="AV204" s="55"/>
      <c r="AW204" s="55"/>
      <c r="AX204" s="55"/>
      <c r="AY204" s="55"/>
      <c r="AZ204" s="55"/>
      <c r="BA204" s="55"/>
      <c r="BB204" s="55"/>
      <c r="BC204" s="55"/>
      <c r="BD204" s="55"/>
      <c r="BE204" s="55"/>
      <c r="BF204" s="55"/>
      <c r="BG204" s="55"/>
      <c r="BH204" s="55"/>
      <c r="BI204" s="55"/>
      <c r="BJ204" s="55"/>
      <c r="BK204" s="55"/>
      <c r="BL204" s="55"/>
      <c r="BM204" s="55"/>
      <c r="BN204" s="55"/>
      <c r="BO204" s="55"/>
      <c r="BP204" s="55"/>
      <c r="BQ204" s="55"/>
      <c r="BR204" s="55"/>
      <c r="BS204" s="55"/>
    </row>
    <row r="205" spans="1:71" outlineLevel="1" x14ac:dyDescent="0.2">
      <c r="C205" s="11" t="str">
        <f>HM_ZA_Nkossa!C196</f>
        <v>Coûts d'exploration et d'évaluation</v>
      </c>
      <c r="J205" s="26"/>
      <c r="L205" s="55"/>
      <c r="M205" s="55"/>
      <c r="N205" s="55"/>
      <c r="O205" s="55"/>
      <c r="P205" s="55"/>
      <c r="Q205" s="55"/>
      <c r="R205" s="55"/>
      <c r="S205" s="55"/>
      <c r="T205" s="55"/>
      <c r="U205" s="55"/>
      <c r="V205" s="55"/>
      <c r="W205" s="55"/>
      <c r="X205" s="55"/>
      <c r="Y205" s="55"/>
      <c r="Z205" s="55"/>
      <c r="AA205" s="55"/>
      <c r="AB205" s="55"/>
      <c r="AC205" s="55"/>
      <c r="AD205" s="55"/>
      <c r="AE205" s="55"/>
      <c r="AF205" s="55"/>
      <c r="AG205" s="55"/>
      <c r="AH205" s="55"/>
      <c r="AI205" s="55"/>
      <c r="AJ205" s="55"/>
      <c r="AK205" s="55"/>
      <c r="AL205" s="55"/>
      <c r="AM205" s="55"/>
      <c r="AN205" s="55"/>
      <c r="AO205" s="55"/>
      <c r="AP205" s="55"/>
      <c r="AQ205" s="55"/>
      <c r="AR205" s="55"/>
      <c r="AS205" s="55"/>
      <c r="AT205" s="55"/>
      <c r="AU205" s="55"/>
      <c r="AV205" s="55"/>
      <c r="AW205" s="55"/>
      <c r="AX205" s="55"/>
      <c r="AY205" s="55"/>
      <c r="AZ205" s="55"/>
      <c r="BA205" s="55"/>
      <c r="BB205" s="55"/>
      <c r="BC205" s="55"/>
      <c r="BD205" s="55"/>
      <c r="BE205" s="55"/>
      <c r="BF205" s="55"/>
      <c r="BG205" s="55"/>
      <c r="BH205" s="55"/>
      <c r="BI205" s="55"/>
      <c r="BJ205" s="55"/>
      <c r="BK205" s="55"/>
      <c r="BL205" s="55"/>
      <c r="BM205" s="55"/>
      <c r="BN205" s="55"/>
      <c r="BO205" s="55"/>
      <c r="BP205" s="55"/>
      <c r="BQ205" s="55"/>
      <c r="BR205" s="55"/>
      <c r="BS205" s="55"/>
    </row>
    <row r="206" spans="1:71" outlineLevel="1" x14ac:dyDescent="0.2">
      <c r="D206" t="str">
        <f>HM_ZA_Nkossa!D197</f>
        <v>Coûts Eploration récupérables (Nominal)</v>
      </c>
      <c r="I206" s="30">
        <f ca="1">SUM($L206:$BS206)</f>
        <v>0</v>
      </c>
      <c r="J206" s="26" t="s">
        <v>148</v>
      </c>
      <c r="K206" s="7" t="s">
        <v>171</v>
      </c>
      <c r="L206" s="49">
        <f t="shared" ref="L206:S206" ca="1" si="41">IF(L4&gt;=YEAR(effective_date_Nsoko1999),(OFFSET(_xlfn.SINGLE(IA_EandA_real),3,date_offset_Nsoko1999)*_xlfn.SINGLE(IA_esc_index)),0)</f>
        <v>0</v>
      </c>
      <c r="M206" s="49">
        <f t="shared" ca="1" si="41"/>
        <v>0</v>
      </c>
      <c r="N206" s="49">
        <f t="shared" ca="1" si="41"/>
        <v>0</v>
      </c>
      <c r="O206" s="49">
        <f t="shared" ca="1" si="41"/>
        <v>0</v>
      </c>
      <c r="P206" s="49">
        <f t="shared" ca="1" si="41"/>
        <v>0</v>
      </c>
      <c r="Q206" s="49">
        <f t="shared" ca="1" si="41"/>
        <v>0</v>
      </c>
      <c r="R206" s="49">
        <f t="shared" ca="1" si="41"/>
        <v>0</v>
      </c>
      <c r="S206" s="49">
        <f t="shared" ca="1" si="41"/>
        <v>0</v>
      </c>
      <c r="T206" s="49">
        <f t="shared" ref="T206:AY206" ca="1" si="42">IF(T4&gt;=YEAR(effective_date_Nsoko1999),(OFFSET(_xlfn.SINGLE(IA_EandA_real),3,date_offset_Nsoko1999)*_xlfn.SINGLE(IA_esc_index)),0)*(1+df_capex_sens)</f>
        <v>0</v>
      </c>
      <c r="U206" s="49">
        <f t="shared" ca="1" si="42"/>
        <v>0</v>
      </c>
      <c r="V206" s="49">
        <f t="shared" ca="1" si="42"/>
        <v>0</v>
      </c>
      <c r="W206" s="49">
        <f t="shared" ca="1" si="42"/>
        <v>0</v>
      </c>
      <c r="X206" s="49">
        <f t="shared" ca="1" si="42"/>
        <v>0</v>
      </c>
      <c r="Y206" s="49">
        <f t="shared" ca="1" si="42"/>
        <v>0</v>
      </c>
      <c r="Z206" s="49">
        <f t="shared" ca="1" si="42"/>
        <v>0</v>
      </c>
      <c r="AA206" s="49">
        <f t="shared" ca="1" si="42"/>
        <v>0</v>
      </c>
      <c r="AB206" s="49">
        <f t="shared" ca="1" si="42"/>
        <v>0</v>
      </c>
      <c r="AC206" s="49">
        <f t="shared" ca="1" si="42"/>
        <v>0</v>
      </c>
      <c r="AD206" s="49">
        <f t="shared" ca="1" si="42"/>
        <v>0</v>
      </c>
      <c r="AE206" s="49">
        <f t="shared" ca="1" si="42"/>
        <v>0</v>
      </c>
      <c r="AF206" s="49">
        <f t="shared" ca="1" si="42"/>
        <v>0</v>
      </c>
      <c r="AG206" s="49">
        <f t="shared" ca="1" si="42"/>
        <v>0</v>
      </c>
      <c r="AH206" s="49">
        <f t="shared" ca="1" si="42"/>
        <v>0</v>
      </c>
      <c r="AI206" s="49">
        <f t="shared" ca="1" si="42"/>
        <v>0</v>
      </c>
      <c r="AJ206" s="49">
        <f t="shared" ca="1" si="42"/>
        <v>0</v>
      </c>
      <c r="AK206" s="49">
        <f t="shared" ca="1" si="42"/>
        <v>0</v>
      </c>
      <c r="AL206" s="49">
        <f t="shared" ca="1" si="42"/>
        <v>0</v>
      </c>
      <c r="AM206" s="49">
        <f t="shared" ca="1" si="42"/>
        <v>0</v>
      </c>
      <c r="AN206" s="49">
        <f t="shared" ca="1" si="42"/>
        <v>0</v>
      </c>
      <c r="AO206" s="49">
        <f t="shared" ca="1" si="42"/>
        <v>0</v>
      </c>
      <c r="AP206" s="49">
        <f t="shared" ca="1" si="42"/>
        <v>0</v>
      </c>
      <c r="AQ206" s="49">
        <f t="shared" ca="1" si="42"/>
        <v>0</v>
      </c>
      <c r="AR206" s="49">
        <f t="shared" ca="1" si="42"/>
        <v>0</v>
      </c>
      <c r="AS206" s="49">
        <f t="shared" ca="1" si="42"/>
        <v>0</v>
      </c>
      <c r="AT206" s="49">
        <f t="shared" ca="1" si="42"/>
        <v>0</v>
      </c>
      <c r="AU206" s="49">
        <f t="shared" ca="1" si="42"/>
        <v>0</v>
      </c>
      <c r="AV206" s="49">
        <f t="shared" ca="1" si="42"/>
        <v>0</v>
      </c>
      <c r="AW206" s="49">
        <f t="shared" ca="1" si="42"/>
        <v>0</v>
      </c>
      <c r="AX206" s="49">
        <f t="shared" ca="1" si="42"/>
        <v>0</v>
      </c>
      <c r="AY206" s="49">
        <f t="shared" ca="1" si="42"/>
        <v>0</v>
      </c>
      <c r="AZ206" s="49">
        <f t="shared" ref="AZ206:BS206" ca="1" si="43">IF(AZ4&gt;=YEAR(effective_date_Nsoko1999),(OFFSET(_xlfn.SINGLE(IA_EandA_real),3,date_offset_Nsoko1999)*_xlfn.SINGLE(IA_esc_index)),0)*(1+df_capex_sens)</f>
        <v>0</v>
      </c>
      <c r="BA206" s="49">
        <f t="shared" ca="1" si="43"/>
        <v>0</v>
      </c>
      <c r="BB206" s="49">
        <f t="shared" ca="1" si="43"/>
        <v>0</v>
      </c>
      <c r="BC206" s="49">
        <f t="shared" ca="1" si="43"/>
        <v>0</v>
      </c>
      <c r="BD206" s="49">
        <f t="shared" ca="1" si="43"/>
        <v>0</v>
      </c>
      <c r="BE206" s="49">
        <f t="shared" ca="1" si="43"/>
        <v>0</v>
      </c>
      <c r="BF206" s="49">
        <f t="shared" ca="1" si="43"/>
        <v>0</v>
      </c>
      <c r="BG206" s="49">
        <f t="shared" ca="1" si="43"/>
        <v>0</v>
      </c>
      <c r="BH206" s="49">
        <f t="shared" ca="1" si="43"/>
        <v>0</v>
      </c>
      <c r="BI206" s="49">
        <f t="shared" ca="1" si="43"/>
        <v>0</v>
      </c>
      <c r="BJ206" s="49">
        <f t="shared" ca="1" si="43"/>
        <v>0</v>
      </c>
      <c r="BK206" s="49">
        <f t="shared" ca="1" si="43"/>
        <v>0</v>
      </c>
      <c r="BL206" s="49">
        <f t="shared" ca="1" si="43"/>
        <v>0</v>
      </c>
      <c r="BM206" s="49">
        <f t="shared" ca="1" si="43"/>
        <v>0</v>
      </c>
      <c r="BN206" s="49">
        <f t="shared" ca="1" si="43"/>
        <v>0</v>
      </c>
      <c r="BO206" s="49">
        <f t="shared" ca="1" si="43"/>
        <v>0</v>
      </c>
      <c r="BP206" s="49">
        <f t="shared" ca="1" si="43"/>
        <v>0</v>
      </c>
      <c r="BQ206" s="49">
        <f t="shared" ca="1" si="43"/>
        <v>0</v>
      </c>
      <c r="BR206" s="49">
        <f t="shared" ca="1" si="43"/>
        <v>0</v>
      </c>
      <c r="BS206" s="49">
        <f t="shared" ca="1" si="43"/>
        <v>0</v>
      </c>
    </row>
    <row r="207" spans="1:71" outlineLevel="1" x14ac:dyDescent="0.2">
      <c r="J207" s="26"/>
      <c r="L207" s="55"/>
      <c r="M207" s="55"/>
      <c r="N207" s="55"/>
      <c r="O207" s="55"/>
      <c r="P207" s="55"/>
      <c r="Q207" s="55"/>
      <c r="R207" s="55"/>
      <c r="S207" s="55"/>
      <c r="T207" s="55"/>
      <c r="U207" s="55"/>
      <c r="V207" s="55"/>
      <c r="W207" s="55"/>
      <c r="X207" s="55"/>
      <c r="Y207" s="55"/>
      <c r="Z207" s="55"/>
      <c r="AA207" s="55"/>
      <c r="AB207" s="55"/>
      <c r="AC207" s="55"/>
      <c r="AD207" s="55"/>
      <c r="AE207" s="55"/>
      <c r="AF207" s="55"/>
      <c r="AG207" s="55"/>
      <c r="AH207" s="55"/>
      <c r="AI207" s="55"/>
      <c r="AJ207" s="55"/>
      <c r="AK207" s="55"/>
      <c r="AL207" s="55"/>
      <c r="AM207" s="55"/>
      <c r="AN207" s="55"/>
      <c r="AO207" s="55"/>
      <c r="AP207" s="55"/>
      <c r="AQ207" s="55"/>
      <c r="AR207" s="55"/>
      <c r="AS207" s="55"/>
      <c r="AT207" s="55"/>
      <c r="AU207" s="55"/>
      <c r="AV207" s="55"/>
      <c r="AW207" s="55"/>
      <c r="AX207" s="55"/>
      <c r="AY207" s="55"/>
      <c r="AZ207" s="55"/>
      <c r="BA207" s="55"/>
      <c r="BB207" s="55"/>
      <c r="BC207" s="55"/>
      <c r="BD207" s="55"/>
      <c r="BE207" s="55"/>
      <c r="BF207" s="55"/>
      <c r="BG207" s="55"/>
      <c r="BH207" s="55"/>
      <c r="BI207" s="55"/>
      <c r="BJ207" s="55"/>
      <c r="BK207" s="55"/>
      <c r="BL207" s="55"/>
      <c r="BM207" s="55"/>
      <c r="BN207" s="55"/>
      <c r="BO207" s="55"/>
      <c r="BP207" s="55"/>
      <c r="BQ207" s="55"/>
      <c r="BR207" s="55"/>
      <c r="BS207" s="55"/>
    </row>
    <row r="208" spans="1:71" outlineLevel="1" x14ac:dyDescent="0.2">
      <c r="C208" s="11" t="str">
        <f>HM_ZA_Nkossa!C199</f>
        <v>Coûts de développement</v>
      </c>
      <c r="J208" s="26"/>
      <c r="L208" s="55"/>
      <c r="M208" s="55"/>
      <c r="N208" s="55"/>
      <c r="O208" s="55"/>
      <c r="P208" s="55"/>
      <c r="Q208" s="55"/>
      <c r="R208" s="55"/>
      <c r="S208" s="55"/>
      <c r="T208" s="55"/>
      <c r="U208" s="55"/>
      <c r="V208" s="55"/>
      <c r="W208" s="55"/>
      <c r="X208" s="55"/>
      <c r="Y208" s="55"/>
      <c r="Z208" s="55"/>
      <c r="AA208" s="55"/>
      <c r="AB208" s="55"/>
      <c r="AC208" s="55"/>
      <c r="AD208" s="55"/>
      <c r="AE208" s="55"/>
      <c r="AF208" s="55"/>
      <c r="AG208" s="55"/>
      <c r="AH208" s="55"/>
      <c r="AI208" s="55"/>
      <c r="AJ208" s="55"/>
      <c r="AK208" s="55"/>
      <c r="AL208" s="55"/>
      <c r="AM208" s="55"/>
      <c r="AN208" s="55"/>
      <c r="AO208" s="55"/>
      <c r="AP208" s="55"/>
      <c r="AQ208" s="55"/>
      <c r="AR208" s="55"/>
      <c r="AS208" s="55"/>
      <c r="AT208" s="55"/>
      <c r="AU208" s="55"/>
      <c r="AV208" s="55"/>
      <c r="AW208" s="55"/>
      <c r="AX208" s="55"/>
      <c r="AY208" s="55"/>
      <c r="AZ208" s="55"/>
      <c r="BA208" s="55"/>
      <c r="BB208" s="55"/>
      <c r="BC208" s="55"/>
      <c r="BD208" s="55"/>
      <c r="BE208" s="55"/>
      <c r="BF208" s="55"/>
      <c r="BG208" s="55"/>
      <c r="BH208" s="55"/>
      <c r="BI208" s="55"/>
      <c r="BJ208" s="55"/>
      <c r="BK208" s="55"/>
      <c r="BL208" s="55"/>
      <c r="BM208" s="55"/>
      <c r="BN208" s="55"/>
      <c r="BO208" s="55"/>
      <c r="BP208" s="55"/>
      <c r="BQ208" s="55"/>
      <c r="BR208" s="55"/>
      <c r="BS208" s="55"/>
    </row>
    <row r="209" spans="1:71" outlineLevel="1" x14ac:dyDescent="0.2">
      <c r="D209" t="str">
        <f>HM_ZA_Nkossa!D200</f>
        <v>Capex développement (nominal)</v>
      </c>
      <c r="I209" s="30">
        <f ca="1">SUM($L209:$BS209)</f>
        <v>40.866999999999997</v>
      </c>
      <c r="J209" s="26" t="s">
        <v>148</v>
      </c>
      <c r="K209" s="7" t="s">
        <v>170</v>
      </c>
      <c r="L209" s="49">
        <f t="shared" ref="L209:S209" ca="1" si="44">IF(L4&gt;=YEAR(effective_date_Nsoko1999),(OFFSET(_xlfn.SINGLE(IA_devcapex_real),3,date_offset_Nsoko1999)*_xlfn.SINGLE(IA_esc_index)),0)</f>
        <v>0.81200000000000006</v>
      </c>
      <c r="M209" s="49">
        <f t="shared" ca="1" si="44"/>
        <v>38.951000000000001</v>
      </c>
      <c r="N209" s="49">
        <f t="shared" ca="1" si="44"/>
        <v>0.69199999999999995</v>
      </c>
      <c r="O209" s="49">
        <f t="shared" ca="1" si="44"/>
        <v>0.156</v>
      </c>
      <c r="P209" s="49">
        <f t="shared" ca="1" si="44"/>
        <v>0.25600000000000001</v>
      </c>
      <c r="Q209" s="49">
        <f t="shared" ca="1" si="44"/>
        <v>0</v>
      </c>
      <c r="R209" s="49">
        <f t="shared" ca="1" si="44"/>
        <v>0</v>
      </c>
      <c r="S209" s="49">
        <f t="shared" ca="1" si="44"/>
        <v>0</v>
      </c>
      <c r="T209" s="49">
        <f t="shared" ref="T209:AY209" ca="1" si="45">IF(T4&gt;=YEAR(effective_date_Nsoko1999),(OFFSET(_xlfn.SINGLE(IA_devcapex_real),3,date_offset_Nsoko1999)*_xlfn.SINGLE(IA_esc_index)),0)*(1+df_capex_sens)</f>
        <v>0</v>
      </c>
      <c r="U209" s="49">
        <f t="shared" ca="1" si="45"/>
        <v>0</v>
      </c>
      <c r="V209" s="49">
        <f t="shared" ca="1" si="45"/>
        <v>0</v>
      </c>
      <c r="W209" s="49">
        <f t="shared" ca="1" si="45"/>
        <v>0</v>
      </c>
      <c r="X209" s="49">
        <f t="shared" ca="1" si="45"/>
        <v>0</v>
      </c>
      <c r="Y209" s="49">
        <f t="shared" ca="1" si="45"/>
        <v>0</v>
      </c>
      <c r="Z209" s="49">
        <f t="shared" ca="1" si="45"/>
        <v>0</v>
      </c>
      <c r="AA209" s="49">
        <f t="shared" ca="1" si="45"/>
        <v>0</v>
      </c>
      <c r="AB209" s="49">
        <f t="shared" ca="1" si="45"/>
        <v>0</v>
      </c>
      <c r="AC209" s="49">
        <f t="shared" ca="1" si="45"/>
        <v>0</v>
      </c>
      <c r="AD209" s="49">
        <f t="shared" ca="1" si="45"/>
        <v>0</v>
      </c>
      <c r="AE209" s="49">
        <f t="shared" ca="1" si="45"/>
        <v>0</v>
      </c>
      <c r="AF209" s="49">
        <f t="shared" ca="1" si="45"/>
        <v>0</v>
      </c>
      <c r="AG209" s="49">
        <f t="shared" ca="1" si="45"/>
        <v>0</v>
      </c>
      <c r="AH209" s="49">
        <f t="shared" ca="1" si="45"/>
        <v>0</v>
      </c>
      <c r="AI209" s="49">
        <f t="shared" ca="1" si="45"/>
        <v>0</v>
      </c>
      <c r="AJ209" s="49">
        <f t="shared" ca="1" si="45"/>
        <v>0</v>
      </c>
      <c r="AK209" s="49">
        <f t="shared" ca="1" si="45"/>
        <v>0</v>
      </c>
      <c r="AL209" s="49">
        <f t="shared" ca="1" si="45"/>
        <v>0</v>
      </c>
      <c r="AM209" s="49">
        <f t="shared" ca="1" si="45"/>
        <v>0</v>
      </c>
      <c r="AN209" s="49">
        <f t="shared" ca="1" si="45"/>
        <v>0</v>
      </c>
      <c r="AO209" s="49">
        <f t="shared" ca="1" si="45"/>
        <v>0</v>
      </c>
      <c r="AP209" s="49">
        <f t="shared" ca="1" si="45"/>
        <v>0</v>
      </c>
      <c r="AQ209" s="49">
        <f t="shared" ca="1" si="45"/>
        <v>0</v>
      </c>
      <c r="AR209" s="49">
        <f t="shared" ca="1" si="45"/>
        <v>0</v>
      </c>
      <c r="AS209" s="49">
        <f t="shared" ca="1" si="45"/>
        <v>0</v>
      </c>
      <c r="AT209" s="49">
        <f t="shared" ca="1" si="45"/>
        <v>0</v>
      </c>
      <c r="AU209" s="49">
        <f t="shared" ca="1" si="45"/>
        <v>0</v>
      </c>
      <c r="AV209" s="49">
        <f t="shared" ca="1" si="45"/>
        <v>0</v>
      </c>
      <c r="AW209" s="49">
        <f t="shared" ca="1" si="45"/>
        <v>0</v>
      </c>
      <c r="AX209" s="49">
        <f t="shared" ca="1" si="45"/>
        <v>0</v>
      </c>
      <c r="AY209" s="49">
        <f t="shared" ca="1" si="45"/>
        <v>0</v>
      </c>
      <c r="AZ209" s="49">
        <f t="shared" ref="AZ209:BS209" ca="1" si="46">IF(AZ4&gt;=YEAR(effective_date_Nsoko1999),(OFFSET(_xlfn.SINGLE(IA_devcapex_real),3,date_offset_Nsoko1999)*_xlfn.SINGLE(IA_esc_index)),0)*(1+df_capex_sens)</f>
        <v>0</v>
      </c>
      <c r="BA209" s="49">
        <f t="shared" ca="1" si="46"/>
        <v>0</v>
      </c>
      <c r="BB209" s="49">
        <f t="shared" ca="1" si="46"/>
        <v>0</v>
      </c>
      <c r="BC209" s="49">
        <f t="shared" ca="1" si="46"/>
        <v>0</v>
      </c>
      <c r="BD209" s="49">
        <f t="shared" ca="1" si="46"/>
        <v>0</v>
      </c>
      <c r="BE209" s="49">
        <f t="shared" ca="1" si="46"/>
        <v>0</v>
      </c>
      <c r="BF209" s="49">
        <f t="shared" ca="1" si="46"/>
        <v>0</v>
      </c>
      <c r="BG209" s="49">
        <f t="shared" ca="1" si="46"/>
        <v>0</v>
      </c>
      <c r="BH209" s="49">
        <f t="shared" ca="1" si="46"/>
        <v>0</v>
      </c>
      <c r="BI209" s="49">
        <f t="shared" ca="1" si="46"/>
        <v>0</v>
      </c>
      <c r="BJ209" s="49">
        <f t="shared" ca="1" si="46"/>
        <v>0</v>
      </c>
      <c r="BK209" s="49">
        <f t="shared" ca="1" si="46"/>
        <v>0</v>
      </c>
      <c r="BL209" s="49">
        <f t="shared" ca="1" si="46"/>
        <v>0</v>
      </c>
      <c r="BM209" s="49">
        <f t="shared" ca="1" si="46"/>
        <v>0</v>
      </c>
      <c r="BN209" s="49">
        <f t="shared" ca="1" si="46"/>
        <v>0</v>
      </c>
      <c r="BO209" s="49">
        <f t="shared" ca="1" si="46"/>
        <v>0</v>
      </c>
      <c r="BP209" s="49">
        <f t="shared" ca="1" si="46"/>
        <v>0</v>
      </c>
      <c r="BQ209" s="49">
        <f t="shared" ca="1" si="46"/>
        <v>0</v>
      </c>
      <c r="BR209" s="49">
        <f t="shared" ca="1" si="46"/>
        <v>0</v>
      </c>
      <c r="BS209" s="49">
        <f t="shared" ca="1" si="46"/>
        <v>0</v>
      </c>
    </row>
    <row r="210" spans="1:71" outlineLevel="1" x14ac:dyDescent="0.2">
      <c r="J210" s="26"/>
      <c r="L210" s="55"/>
      <c r="M210" s="55"/>
      <c r="N210" s="55"/>
      <c r="O210" s="55"/>
      <c r="P210" s="55"/>
      <c r="Q210" s="55"/>
      <c r="R210" s="55"/>
      <c r="S210" s="55"/>
      <c r="T210" s="55"/>
      <c r="U210" s="55"/>
      <c r="V210" s="55"/>
      <c r="W210" s="55"/>
      <c r="X210" s="55"/>
      <c r="Y210" s="55"/>
      <c r="Z210" s="55"/>
      <c r="AA210" s="55"/>
      <c r="AB210" s="55"/>
      <c r="AC210" s="55"/>
      <c r="AD210" s="55"/>
      <c r="AE210" s="55"/>
      <c r="AF210" s="55"/>
      <c r="AG210" s="55"/>
      <c r="AH210" s="55"/>
      <c r="AI210" s="55"/>
      <c r="AJ210" s="55"/>
      <c r="AK210" s="55"/>
      <c r="AL210" s="55"/>
      <c r="AM210" s="55"/>
      <c r="AN210" s="55"/>
      <c r="AO210" s="55"/>
      <c r="AP210" s="55"/>
      <c r="AQ210" s="55"/>
      <c r="AR210" s="55"/>
      <c r="AS210" s="55"/>
      <c r="AT210" s="55"/>
      <c r="AU210" s="55"/>
      <c r="AV210" s="55"/>
      <c r="AW210" s="55"/>
      <c r="AX210" s="55"/>
      <c r="AY210" s="55"/>
      <c r="AZ210" s="55"/>
      <c r="BA210" s="55"/>
      <c r="BB210" s="55"/>
      <c r="BC210" s="55"/>
      <c r="BD210" s="55"/>
      <c r="BE210" s="55"/>
      <c r="BF210" s="55"/>
      <c r="BG210" s="55"/>
      <c r="BH210" s="55"/>
      <c r="BI210" s="55"/>
      <c r="BJ210" s="55"/>
      <c r="BK210" s="55"/>
      <c r="BL210" s="55"/>
      <c r="BM210" s="55"/>
      <c r="BN210" s="55"/>
      <c r="BO210" s="55"/>
      <c r="BP210" s="55"/>
      <c r="BQ210" s="55"/>
      <c r="BR210" s="55"/>
      <c r="BS210" s="55"/>
    </row>
    <row r="211" spans="1:71" outlineLevel="1" x14ac:dyDescent="0.2">
      <c r="C211" s="11" t="str">
        <f>HM_ZA_Nkossa!C202</f>
        <v>Coûts d'abandon</v>
      </c>
      <c r="J211" s="26"/>
      <c r="L211" s="55"/>
      <c r="M211" s="55"/>
      <c r="N211" s="55"/>
      <c r="O211" s="55"/>
      <c r="P211" s="55"/>
      <c r="Q211" s="55"/>
      <c r="R211" s="55"/>
      <c r="S211" s="55"/>
      <c r="T211" s="55"/>
      <c r="U211" s="55"/>
      <c r="V211" s="55"/>
      <c r="W211" s="55"/>
      <c r="X211" s="55"/>
      <c r="Y211" s="55"/>
      <c r="Z211" s="55"/>
      <c r="AA211" s="55"/>
      <c r="AB211" s="55"/>
      <c r="AC211" s="55"/>
      <c r="AD211" s="55"/>
      <c r="AE211" s="55"/>
      <c r="AF211" s="55"/>
      <c r="AG211" s="55"/>
      <c r="AH211" s="55"/>
      <c r="AI211" s="55"/>
      <c r="AJ211" s="55"/>
      <c r="AK211" s="55"/>
      <c r="AL211" s="55"/>
      <c r="AM211" s="55"/>
      <c r="AN211" s="55"/>
      <c r="AO211" s="55"/>
      <c r="AP211" s="55"/>
      <c r="AQ211" s="55"/>
      <c r="AR211" s="55"/>
      <c r="AS211" s="55"/>
      <c r="AT211" s="55"/>
      <c r="AU211" s="55"/>
      <c r="AV211" s="55"/>
      <c r="AW211" s="55"/>
      <c r="AX211" s="55"/>
      <c r="AY211" s="55"/>
      <c r="AZ211" s="55"/>
      <c r="BA211" s="55"/>
      <c r="BB211" s="55"/>
      <c r="BC211" s="55"/>
      <c r="BD211" s="55"/>
      <c r="BE211" s="55"/>
      <c r="BF211" s="55"/>
      <c r="BG211" s="55"/>
      <c r="BH211" s="55"/>
      <c r="BI211" s="55"/>
      <c r="BJ211" s="55"/>
      <c r="BK211" s="55"/>
      <c r="BL211" s="55"/>
      <c r="BM211" s="55"/>
      <c r="BN211" s="55"/>
      <c r="BO211" s="55"/>
      <c r="BP211" s="55"/>
      <c r="BQ211" s="55"/>
      <c r="BR211" s="55"/>
      <c r="BS211" s="55"/>
    </row>
    <row r="212" spans="1:71" outlineLevel="1" x14ac:dyDescent="0.2">
      <c r="D212" t="str">
        <f>HM_ZA_Nkossa!D203</f>
        <v>Abandon (nominal)</v>
      </c>
      <c r="I212" s="30">
        <f ca="1">SUM($L212:$BS212)</f>
        <v>37.902999999999999</v>
      </c>
      <c r="J212" s="26" t="s">
        <v>148</v>
      </c>
      <c r="K212" s="7" t="s">
        <v>172</v>
      </c>
      <c r="L212" s="49">
        <f t="shared" ref="L212:S212" ca="1" si="47">IF(L4&gt;=YEAR(effective_date_Nsoko1999),(OFFSET(_xlfn.SINGLE(IA_decom_real),3,date_offset_Nsoko1999)*_xlfn.SINGLE(IA_esc_index)),0)*decom_toggle</f>
        <v>4.1470000000000002</v>
      </c>
      <c r="M212" s="49">
        <f t="shared" ca="1" si="47"/>
        <v>4.7190000000000003</v>
      </c>
      <c r="N212" s="49">
        <f t="shared" ca="1" si="47"/>
        <v>6.5110000000000001</v>
      </c>
      <c r="O212" s="49">
        <f t="shared" ca="1" si="47"/>
        <v>7.0970000000000004</v>
      </c>
      <c r="P212" s="49">
        <f t="shared" ca="1" si="47"/>
        <v>7.5179999999999998</v>
      </c>
      <c r="Q212" s="49">
        <f t="shared" ca="1" si="47"/>
        <v>7.9109999999999996</v>
      </c>
      <c r="R212" s="49">
        <f t="shared" ca="1" si="47"/>
        <v>0</v>
      </c>
      <c r="S212" s="49">
        <f t="shared" ca="1" si="47"/>
        <v>0</v>
      </c>
      <c r="T212" s="49">
        <f t="shared" ref="T212:AY212" ca="1" si="48">IF(T4&gt;=YEAR(effective_date_Nsoko1999),(OFFSET(_xlfn.SINGLE(IA_decom_real),3,date_offset_Nsoko1999)*_xlfn.SINGLE(IA_esc_index)),0)*(1*(df_decom_switch="Yes"))*(1+df_capex_sens)</f>
        <v>0</v>
      </c>
      <c r="U212" s="49">
        <f t="shared" ca="1" si="48"/>
        <v>0</v>
      </c>
      <c r="V212" s="49">
        <f t="shared" ca="1" si="48"/>
        <v>0</v>
      </c>
      <c r="W212" s="49">
        <f t="shared" ca="1" si="48"/>
        <v>0</v>
      </c>
      <c r="X212" s="49">
        <f t="shared" ca="1" si="48"/>
        <v>0</v>
      </c>
      <c r="Y212" s="49">
        <f t="shared" ca="1" si="48"/>
        <v>0</v>
      </c>
      <c r="Z212" s="49">
        <f t="shared" ca="1" si="48"/>
        <v>0</v>
      </c>
      <c r="AA212" s="49">
        <f t="shared" ca="1" si="48"/>
        <v>0</v>
      </c>
      <c r="AB212" s="49">
        <f t="shared" ca="1" si="48"/>
        <v>0</v>
      </c>
      <c r="AC212" s="49">
        <f t="shared" ca="1" si="48"/>
        <v>0</v>
      </c>
      <c r="AD212" s="49">
        <f t="shared" ca="1" si="48"/>
        <v>0</v>
      </c>
      <c r="AE212" s="49">
        <f t="shared" ca="1" si="48"/>
        <v>0</v>
      </c>
      <c r="AF212" s="49">
        <f t="shared" ca="1" si="48"/>
        <v>0</v>
      </c>
      <c r="AG212" s="49">
        <f t="shared" ca="1" si="48"/>
        <v>0</v>
      </c>
      <c r="AH212" s="49">
        <f t="shared" ca="1" si="48"/>
        <v>0</v>
      </c>
      <c r="AI212" s="49">
        <f t="shared" ca="1" si="48"/>
        <v>0</v>
      </c>
      <c r="AJ212" s="49">
        <f t="shared" ca="1" si="48"/>
        <v>0</v>
      </c>
      <c r="AK212" s="49">
        <f t="shared" ca="1" si="48"/>
        <v>0</v>
      </c>
      <c r="AL212" s="49">
        <f t="shared" ca="1" si="48"/>
        <v>0</v>
      </c>
      <c r="AM212" s="49">
        <f t="shared" ca="1" si="48"/>
        <v>0</v>
      </c>
      <c r="AN212" s="49">
        <f t="shared" ca="1" si="48"/>
        <v>0</v>
      </c>
      <c r="AO212" s="49">
        <f t="shared" ca="1" si="48"/>
        <v>0</v>
      </c>
      <c r="AP212" s="49">
        <f t="shared" ca="1" si="48"/>
        <v>0</v>
      </c>
      <c r="AQ212" s="49">
        <f t="shared" ca="1" si="48"/>
        <v>0</v>
      </c>
      <c r="AR212" s="49">
        <f t="shared" ca="1" si="48"/>
        <v>0</v>
      </c>
      <c r="AS212" s="49">
        <f t="shared" ca="1" si="48"/>
        <v>0</v>
      </c>
      <c r="AT212" s="49">
        <f t="shared" ca="1" si="48"/>
        <v>0</v>
      </c>
      <c r="AU212" s="49">
        <f t="shared" ca="1" si="48"/>
        <v>0</v>
      </c>
      <c r="AV212" s="49">
        <f t="shared" ca="1" si="48"/>
        <v>0</v>
      </c>
      <c r="AW212" s="49">
        <f t="shared" ca="1" si="48"/>
        <v>0</v>
      </c>
      <c r="AX212" s="49">
        <f t="shared" ca="1" si="48"/>
        <v>0</v>
      </c>
      <c r="AY212" s="49">
        <f t="shared" ca="1" si="48"/>
        <v>0</v>
      </c>
      <c r="AZ212" s="49">
        <f t="shared" ref="AZ212:BS212" ca="1" si="49">IF(AZ4&gt;=YEAR(effective_date_Nsoko1999),(OFFSET(_xlfn.SINGLE(IA_decom_real),3,date_offset_Nsoko1999)*_xlfn.SINGLE(IA_esc_index)),0)*(1*(df_decom_switch="Yes"))*(1+df_capex_sens)</f>
        <v>0</v>
      </c>
      <c r="BA212" s="49">
        <f t="shared" ca="1" si="49"/>
        <v>0</v>
      </c>
      <c r="BB212" s="49">
        <f t="shared" ca="1" si="49"/>
        <v>0</v>
      </c>
      <c r="BC212" s="49">
        <f t="shared" ca="1" si="49"/>
        <v>0</v>
      </c>
      <c r="BD212" s="49">
        <f t="shared" ca="1" si="49"/>
        <v>0</v>
      </c>
      <c r="BE212" s="49">
        <f t="shared" ca="1" si="49"/>
        <v>0</v>
      </c>
      <c r="BF212" s="49">
        <f t="shared" ca="1" si="49"/>
        <v>0</v>
      </c>
      <c r="BG212" s="49">
        <f t="shared" ca="1" si="49"/>
        <v>0</v>
      </c>
      <c r="BH212" s="49">
        <f t="shared" ca="1" si="49"/>
        <v>0</v>
      </c>
      <c r="BI212" s="49">
        <f t="shared" ca="1" si="49"/>
        <v>0</v>
      </c>
      <c r="BJ212" s="49">
        <f t="shared" ca="1" si="49"/>
        <v>0</v>
      </c>
      <c r="BK212" s="49">
        <f t="shared" ca="1" si="49"/>
        <v>0</v>
      </c>
      <c r="BL212" s="49">
        <f t="shared" ca="1" si="49"/>
        <v>0</v>
      </c>
      <c r="BM212" s="49">
        <f t="shared" ca="1" si="49"/>
        <v>0</v>
      </c>
      <c r="BN212" s="49">
        <f t="shared" ca="1" si="49"/>
        <v>0</v>
      </c>
      <c r="BO212" s="49">
        <f t="shared" ca="1" si="49"/>
        <v>0</v>
      </c>
      <c r="BP212" s="49">
        <f t="shared" ca="1" si="49"/>
        <v>0</v>
      </c>
      <c r="BQ212" s="49">
        <f t="shared" ca="1" si="49"/>
        <v>0</v>
      </c>
      <c r="BR212" s="49">
        <f t="shared" ca="1" si="49"/>
        <v>0</v>
      </c>
      <c r="BS212" s="49">
        <f t="shared" ca="1" si="49"/>
        <v>0</v>
      </c>
    </row>
    <row r="213" spans="1:71" outlineLevel="1" x14ac:dyDescent="0.2">
      <c r="J213" s="26"/>
      <c r="L213" s="55"/>
      <c r="M213" s="55"/>
      <c r="N213" s="55"/>
      <c r="O213" s="55"/>
      <c r="P213" s="55"/>
      <c r="Q213" s="55"/>
      <c r="R213" s="55"/>
      <c r="S213" s="55"/>
      <c r="T213" s="55"/>
      <c r="U213" s="55"/>
      <c r="V213" s="55"/>
      <c r="W213" s="55"/>
      <c r="X213" s="55"/>
      <c r="Y213" s="55"/>
      <c r="Z213" s="55"/>
      <c r="AA213" s="55"/>
      <c r="AB213" s="55"/>
      <c r="AC213" s="55"/>
      <c r="AD213" s="55"/>
      <c r="AE213" s="55"/>
      <c r="AF213" s="55"/>
      <c r="AG213" s="55"/>
      <c r="AH213" s="55"/>
      <c r="AI213" s="55"/>
      <c r="AJ213" s="55"/>
      <c r="AK213" s="55"/>
      <c r="AL213" s="55"/>
      <c r="AM213" s="55"/>
      <c r="AN213" s="55"/>
      <c r="AO213" s="55"/>
      <c r="AP213" s="55"/>
      <c r="AQ213" s="55"/>
      <c r="AR213" s="55"/>
      <c r="AS213" s="55"/>
      <c r="AT213" s="55"/>
      <c r="AU213" s="55"/>
      <c r="AV213" s="55"/>
      <c r="AW213" s="55"/>
      <c r="AX213" s="55"/>
      <c r="AY213" s="55"/>
      <c r="AZ213" s="55"/>
      <c r="BA213" s="55"/>
      <c r="BB213" s="55"/>
      <c r="BC213" s="55"/>
      <c r="BD213" s="55"/>
      <c r="BE213" s="55"/>
      <c r="BF213" s="55"/>
      <c r="BG213" s="55"/>
      <c r="BH213" s="55"/>
      <c r="BI213" s="55"/>
      <c r="BJ213" s="55"/>
      <c r="BK213" s="55"/>
      <c r="BL213" s="55"/>
      <c r="BM213" s="55"/>
      <c r="BN213" s="55"/>
      <c r="BO213" s="55"/>
      <c r="BP213" s="55"/>
      <c r="BQ213" s="55"/>
      <c r="BR213" s="55"/>
      <c r="BS213" s="55"/>
    </row>
    <row r="214" spans="1:71" outlineLevel="1" x14ac:dyDescent="0.2">
      <c r="J214" s="26"/>
      <c r="L214" s="55"/>
      <c r="M214" s="55"/>
      <c r="N214" s="55"/>
      <c r="O214" s="55"/>
      <c r="P214" s="55"/>
      <c r="Q214" s="55"/>
      <c r="R214" s="55"/>
      <c r="S214" s="55"/>
      <c r="T214" s="55"/>
      <c r="U214" s="55"/>
      <c r="V214" s="55"/>
      <c r="W214" s="55"/>
      <c r="X214" s="55"/>
      <c r="Y214" s="55"/>
      <c r="Z214" s="55"/>
      <c r="AA214" s="55"/>
      <c r="AB214" s="55"/>
      <c r="AC214" s="55"/>
      <c r="AD214" s="55"/>
      <c r="AE214" s="55"/>
      <c r="AF214" s="55"/>
      <c r="AG214" s="55"/>
      <c r="AH214" s="55"/>
      <c r="AI214" s="55"/>
      <c r="AJ214" s="55"/>
      <c r="AK214" s="55"/>
      <c r="AL214" s="55"/>
      <c r="AM214" s="55"/>
      <c r="AN214" s="55"/>
      <c r="AO214" s="55"/>
      <c r="AP214" s="55"/>
      <c r="AQ214" s="55"/>
      <c r="AR214" s="55"/>
      <c r="AS214" s="55"/>
      <c r="AT214" s="55"/>
      <c r="AU214" s="55"/>
      <c r="AV214" s="55"/>
      <c r="AW214" s="55"/>
      <c r="AX214" s="55"/>
      <c r="AY214" s="55"/>
      <c r="AZ214" s="55"/>
      <c r="BA214" s="55"/>
      <c r="BB214" s="55"/>
      <c r="BC214" s="55"/>
      <c r="BD214" s="55"/>
      <c r="BE214" s="55"/>
      <c r="BF214" s="55"/>
      <c r="BG214" s="55"/>
      <c r="BH214" s="55"/>
      <c r="BI214" s="55"/>
      <c r="BJ214" s="55"/>
      <c r="BK214" s="55"/>
      <c r="BL214" s="55"/>
      <c r="BM214" s="55"/>
      <c r="BN214" s="55"/>
      <c r="BO214" s="55"/>
      <c r="BP214" s="55"/>
      <c r="BQ214" s="55"/>
      <c r="BR214" s="55"/>
      <c r="BS214" s="55"/>
    </row>
    <row r="215" spans="1:71" outlineLevel="1" x14ac:dyDescent="0.2">
      <c r="A215" s="45"/>
      <c r="B215" s="38" t="str">
        <f>HM_ZA_Nkossa!B206</f>
        <v>Calculs fiscaux</v>
      </c>
      <c r="C215" s="45"/>
      <c r="D215" s="45"/>
      <c r="E215" s="45"/>
      <c r="J215" s="26"/>
      <c r="L215" s="55"/>
      <c r="M215" s="55"/>
      <c r="N215" s="55"/>
      <c r="O215" s="55"/>
      <c r="P215" s="55"/>
      <c r="Q215" s="55"/>
      <c r="R215" s="55"/>
      <c r="S215" s="55"/>
      <c r="T215" s="55"/>
      <c r="U215" s="55"/>
      <c r="V215" s="55"/>
      <c r="W215" s="55"/>
      <c r="X215" s="55"/>
      <c r="Y215" s="55"/>
      <c r="Z215" s="55"/>
      <c r="AA215" s="55"/>
      <c r="AB215" s="55"/>
      <c r="AC215" s="55"/>
      <c r="AD215" s="55"/>
      <c r="AE215" s="55"/>
      <c r="AF215" s="55"/>
      <c r="AG215" s="55"/>
      <c r="AH215" s="55"/>
      <c r="AI215" s="55"/>
      <c r="AJ215" s="55"/>
      <c r="AK215" s="55"/>
      <c r="AL215" s="55"/>
      <c r="AM215" s="55"/>
      <c r="AN215" s="55"/>
      <c r="AO215" s="55"/>
      <c r="AP215" s="55"/>
      <c r="AQ215" s="55"/>
      <c r="AR215" s="55"/>
      <c r="AS215" s="55"/>
      <c r="AT215" s="55"/>
      <c r="AU215" s="55"/>
      <c r="AV215" s="55"/>
      <c r="AW215" s="55"/>
      <c r="AX215" s="55"/>
      <c r="AY215" s="55"/>
      <c r="AZ215" s="55"/>
      <c r="BA215" s="55"/>
      <c r="BB215" s="55"/>
      <c r="BC215" s="55"/>
      <c r="BD215" s="55"/>
      <c r="BE215" s="55"/>
      <c r="BF215" s="55"/>
      <c r="BG215" s="55"/>
      <c r="BH215" s="55"/>
      <c r="BI215" s="55"/>
      <c r="BJ215" s="55"/>
      <c r="BK215" s="55"/>
      <c r="BL215" s="55"/>
      <c r="BM215" s="55"/>
      <c r="BN215" s="55"/>
      <c r="BO215" s="55"/>
      <c r="BP215" s="55"/>
      <c r="BQ215" s="55"/>
      <c r="BR215" s="55"/>
      <c r="BS215" s="55"/>
    </row>
    <row r="216" spans="1:71" outlineLevel="1" x14ac:dyDescent="0.2">
      <c r="J216" s="26"/>
      <c r="L216" s="55"/>
      <c r="M216" s="55"/>
      <c r="N216" s="55"/>
      <c r="O216" s="55"/>
      <c r="P216" s="55"/>
      <c r="Q216" s="55"/>
      <c r="R216" s="55"/>
      <c r="S216" s="55"/>
      <c r="T216" s="55"/>
      <c r="U216" s="55"/>
      <c r="V216" s="55"/>
      <c r="W216" s="55"/>
      <c r="X216" s="55"/>
      <c r="Y216" s="55"/>
      <c r="Z216" s="55"/>
      <c r="AA216" s="55"/>
      <c r="AB216" s="55"/>
      <c r="AC216" s="55"/>
      <c r="AD216" s="55"/>
      <c r="AE216" s="55"/>
      <c r="AF216" s="55"/>
      <c r="AG216" s="55"/>
      <c r="AH216" s="55"/>
      <c r="AI216" s="55"/>
      <c r="AJ216" s="55"/>
      <c r="AK216" s="55"/>
      <c r="AL216" s="55"/>
      <c r="AM216" s="55"/>
      <c r="AN216" s="55"/>
      <c r="AO216" s="55"/>
      <c r="AP216" s="55"/>
      <c r="AQ216" s="55"/>
      <c r="AR216" s="55"/>
      <c r="AS216" s="55"/>
      <c r="AT216" s="55"/>
      <c r="AU216" s="55"/>
      <c r="AV216" s="55"/>
      <c r="AW216" s="55"/>
      <c r="AX216" s="55"/>
      <c r="AY216" s="55"/>
      <c r="AZ216" s="55"/>
      <c r="BA216" s="55"/>
      <c r="BB216" s="55"/>
      <c r="BC216" s="55"/>
      <c r="BD216" s="55"/>
      <c r="BE216" s="55"/>
      <c r="BF216" s="55"/>
      <c r="BG216" s="55"/>
      <c r="BH216" s="55"/>
      <c r="BI216" s="55"/>
      <c r="BJ216" s="55"/>
      <c r="BK216" s="55"/>
      <c r="BL216" s="55"/>
      <c r="BM216" s="55"/>
      <c r="BN216" s="55"/>
      <c r="BO216" s="55"/>
      <c r="BP216" s="55"/>
      <c r="BQ216" s="55"/>
      <c r="BR216" s="55"/>
      <c r="BS216" s="55"/>
    </row>
    <row r="217" spans="1:71" outlineLevel="1" x14ac:dyDescent="0.2">
      <c r="C217" s="11" t="str">
        <f>HM_ZA_Nkossa!C208</f>
        <v>Déclencheur exploitation</v>
      </c>
      <c r="J217" s="26"/>
      <c r="K217" s="7" t="s">
        <v>213</v>
      </c>
      <c r="L217" s="57">
        <f ca="1">1*(OR(HM_ZB_Nsoko!CA_opex_total_nom&gt;0,HM_ZB_Nsoko!CA_expex_nom&gt;0,HM_ZB_Nsoko!CA_devex_nom&gt;0,HM_ZB_Nsoko!CA_gross_prod_oil+HM_ZB_Nsoko!CA_gross_prod_gas&gt;0))</f>
        <v>1</v>
      </c>
      <c r="M217" s="57">
        <f ca="1">1*(OR(HM_ZB_Nsoko!CA_opex_total_nom&gt;0,HM_ZB_Nsoko!CA_expex_nom&gt;0,HM_ZB_Nsoko!CA_devex_nom&gt;0,HM_ZB_Nsoko!CA_gross_prod_oil+HM_ZB_Nsoko!CA_gross_prod_gas&gt;0))</f>
        <v>1</v>
      </c>
      <c r="N217" s="57">
        <f ca="1">1*(OR(HM_ZB_Nsoko!CA_opex_total_nom&gt;0,HM_ZB_Nsoko!CA_expex_nom&gt;0,HM_ZB_Nsoko!CA_devex_nom&gt;0,HM_ZB_Nsoko!CA_gross_prod_oil+HM_ZB_Nsoko!CA_gross_prod_gas&gt;0))</f>
        <v>1</v>
      </c>
      <c r="O217" s="57">
        <f ca="1">1*(OR(HM_ZB_Nsoko!CA_opex_total_nom&gt;0,HM_ZB_Nsoko!CA_expex_nom&gt;0,HM_ZB_Nsoko!CA_devex_nom&gt;0,HM_ZB_Nsoko!CA_gross_prod_oil+HM_ZB_Nsoko!CA_gross_prod_gas&gt;0))</f>
        <v>1</v>
      </c>
      <c r="P217" s="57">
        <f ca="1">1*(OR(HM_ZB_Nsoko!CA_opex_total_nom&gt;0,HM_ZB_Nsoko!CA_expex_nom&gt;0,HM_ZB_Nsoko!CA_devex_nom&gt;0,HM_ZB_Nsoko!CA_gross_prod_oil+HM_ZB_Nsoko!CA_gross_prod_gas&gt;0))</f>
        <v>1</v>
      </c>
      <c r="Q217" s="57">
        <f ca="1">1*(OR(HM_ZB_Nsoko!CA_opex_total_nom&gt;0,HM_ZB_Nsoko!CA_expex_nom&gt;0,HM_ZB_Nsoko!CA_devex_nom&gt;0,HM_ZB_Nsoko!CA_gross_prod_oil+HM_ZB_Nsoko!CA_gross_prod_gas&gt;0))</f>
        <v>1</v>
      </c>
      <c r="R217" s="57">
        <f ca="1">1*(OR(HM_ZB_Nsoko!CA_opex_total_nom&gt;0,HM_ZB_Nsoko!CA_expex_nom&gt;0,HM_ZB_Nsoko!CA_devex_nom&gt;0,HM_ZB_Nsoko!CA_gross_prod_oil+HM_ZB_Nsoko!CA_gross_prod_gas&gt;0))</f>
        <v>1</v>
      </c>
      <c r="S217" s="57">
        <f ca="1">1*(OR(HM_ZB_Nsoko!CA_opex_total_nom&gt;0,HM_ZB_Nsoko!CA_expex_nom&gt;0,HM_ZB_Nsoko!CA_devex_nom&gt;0,HM_ZB_Nsoko!CA_gross_prod_oil+HM_ZB_Nsoko!CA_gross_prod_gas&gt;0))</f>
        <v>1</v>
      </c>
      <c r="T217" s="57">
        <f ca="1">1*(OR(HM_ZB_Nsoko!CA_opex_total_nom&gt;0,HM_ZB_Nsoko!CA_expex_nom&gt;0,HM_ZB_Nsoko!CA_devex_nom&gt;0,HM_ZB_Nsoko!CA_gross_prod_oil+HM_ZB_Nsoko!CA_gross_prod_gas&gt;0))</f>
        <v>1</v>
      </c>
      <c r="U217" s="57">
        <f ca="1">1*(OR(HM_ZB_Nsoko!CA_opex_total_nom&gt;0,HM_ZB_Nsoko!CA_expex_nom&gt;0,HM_ZB_Nsoko!CA_devex_nom&gt;0,HM_ZB_Nsoko!CA_gross_prod_oil+HM_ZB_Nsoko!CA_gross_prod_gas&gt;0))</f>
        <v>1</v>
      </c>
      <c r="V217" s="57">
        <f ca="1">1*(OR(HM_ZB_Nsoko!CA_opex_total_nom&gt;0,HM_ZB_Nsoko!CA_expex_nom&gt;0,HM_ZB_Nsoko!CA_devex_nom&gt;0,HM_ZB_Nsoko!CA_gross_prod_oil+HM_ZB_Nsoko!CA_gross_prod_gas&gt;0))</f>
        <v>1</v>
      </c>
      <c r="W217" s="57">
        <f ca="1">1*(OR(HM_ZB_Nsoko!CA_opex_total_nom&gt;0,HM_ZB_Nsoko!CA_expex_nom&gt;0,HM_ZB_Nsoko!CA_devex_nom&gt;0,HM_ZB_Nsoko!CA_gross_prod_oil+HM_ZB_Nsoko!CA_gross_prod_gas&gt;0))</f>
        <v>1</v>
      </c>
      <c r="X217" s="57">
        <f ca="1">1*(OR(HM_ZB_Nsoko!CA_opex_total_nom&gt;0,HM_ZB_Nsoko!CA_expex_nom&gt;0,HM_ZB_Nsoko!CA_devex_nom&gt;0,HM_ZB_Nsoko!CA_gross_prod_oil+HM_ZB_Nsoko!CA_gross_prod_gas&gt;0))</f>
        <v>1</v>
      </c>
      <c r="Y217" s="57">
        <f ca="1">1*(OR(HM_ZB_Nsoko!CA_opex_total_nom&gt;0,HM_ZB_Nsoko!CA_expex_nom&gt;0,HM_ZB_Nsoko!CA_devex_nom&gt;0,HM_ZB_Nsoko!CA_gross_prod_oil+HM_ZB_Nsoko!CA_gross_prod_gas&gt;0))</f>
        <v>0</v>
      </c>
      <c r="Z217" s="57">
        <f ca="1">1*(OR(HM_ZB_Nsoko!CA_opex_total_nom&gt;0,HM_ZB_Nsoko!CA_expex_nom&gt;0,HM_ZB_Nsoko!CA_devex_nom&gt;0,HM_ZB_Nsoko!CA_gross_prod_oil+HM_ZB_Nsoko!CA_gross_prod_gas&gt;0))</f>
        <v>0</v>
      </c>
      <c r="AA217" s="57">
        <f ca="1">1*(OR(HM_ZB_Nsoko!CA_opex_total_nom&gt;0,HM_ZB_Nsoko!CA_expex_nom&gt;0,HM_ZB_Nsoko!CA_devex_nom&gt;0,HM_ZB_Nsoko!CA_gross_prod_oil+HM_ZB_Nsoko!CA_gross_prod_gas&gt;0))</f>
        <v>0</v>
      </c>
      <c r="AB217" s="57">
        <f ca="1">1*(OR(HM_ZB_Nsoko!CA_opex_total_nom&gt;0,HM_ZB_Nsoko!CA_expex_nom&gt;0,HM_ZB_Nsoko!CA_devex_nom&gt;0,HM_ZB_Nsoko!CA_gross_prod_oil+HM_ZB_Nsoko!CA_gross_prod_gas&gt;0))</f>
        <v>0</v>
      </c>
      <c r="AC217" s="57">
        <f ca="1">1*(OR(HM_ZB_Nsoko!CA_opex_total_nom&gt;0,HM_ZB_Nsoko!CA_expex_nom&gt;0,HM_ZB_Nsoko!CA_devex_nom&gt;0,HM_ZB_Nsoko!CA_gross_prod_oil+HM_ZB_Nsoko!CA_gross_prod_gas&gt;0))</f>
        <v>0</v>
      </c>
      <c r="AD217" s="57">
        <f ca="1">1*(OR(HM_ZB_Nsoko!CA_opex_total_nom&gt;0,HM_ZB_Nsoko!CA_expex_nom&gt;0,HM_ZB_Nsoko!CA_devex_nom&gt;0,HM_ZB_Nsoko!CA_gross_prod_oil+HM_ZB_Nsoko!CA_gross_prod_gas&gt;0))</f>
        <v>0</v>
      </c>
      <c r="AE217" s="57">
        <f ca="1">1*(OR(HM_ZB_Nsoko!CA_opex_total_nom&gt;0,HM_ZB_Nsoko!CA_expex_nom&gt;0,HM_ZB_Nsoko!CA_devex_nom&gt;0,HM_ZB_Nsoko!CA_gross_prod_oil+HM_ZB_Nsoko!CA_gross_prod_gas&gt;0))</f>
        <v>0</v>
      </c>
      <c r="AF217" s="57">
        <f ca="1">1*(OR(HM_ZB_Nsoko!CA_opex_total_nom&gt;0,HM_ZB_Nsoko!CA_expex_nom&gt;0,HM_ZB_Nsoko!CA_devex_nom&gt;0,HM_ZB_Nsoko!CA_gross_prod_oil+HM_ZB_Nsoko!CA_gross_prod_gas&gt;0))</f>
        <v>0</v>
      </c>
      <c r="AG217" s="57">
        <f ca="1">1*(OR(HM_ZB_Nsoko!CA_opex_total_nom&gt;0,HM_ZB_Nsoko!CA_expex_nom&gt;0,HM_ZB_Nsoko!CA_devex_nom&gt;0,HM_ZB_Nsoko!CA_gross_prod_oil+HM_ZB_Nsoko!CA_gross_prod_gas&gt;0))</f>
        <v>0</v>
      </c>
      <c r="AH217" s="57">
        <f ca="1">1*(OR(HM_ZB_Nsoko!CA_opex_total_nom&gt;0,HM_ZB_Nsoko!CA_expex_nom&gt;0,HM_ZB_Nsoko!CA_devex_nom&gt;0,HM_ZB_Nsoko!CA_gross_prod_oil+HM_ZB_Nsoko!CA_gross_prod_gas&gt;0))</f>
        <v>0</v>
      </c>
      <c r="AI217" s="57">
        <f ca="1">1*(OR(HM_ZB_Nsoko!CA_opex_total_nom&gt;0,HM_ZB_Nsoko!CA_expex_nom&gt;0,HM_ZB_Nsoko!CA_devex_nom&gt;0,HM_ZB_Nsoko!CA_gross_prod_oil+HM_ZB_Nsoko!CA_gross_prod_gas&gt;0))</f>
        <v>0</v>
      </c>
      <c r="AJ217" s="57">
        <f ca="1">1*(OR(HM_ZB_Nsoko!CA_opex_total_nom&gt;0,HM_ZB_Nsoko!CA_expex_nom&gt;0,HM_ZB_Nsoko!CA_devex_nom&gt;0,HM_ZB_Nsoko!CA_gross_prod_oil+HM_ZB_Nsoko!CA_gross_prod_gas&gt;0))</f>
        <v>0</v>
      </c>
      <c r="AK217" s="57">
        <f ca="1">1*(OR(HM_ZB_Nsoko!CA_opex_total_nom&gt;0,HM_ZB_Nsoko!CA_expex_nom&gt;0,HM_ZB_Nsoko!CA_devex_nom&gt;0,HM_ZB_Nsoko!CA_gross_prod_oil+HM_ZB_Nsoko!CA_gross_prod_gas&gt;0))</f>
        <v>0</v>
      </c>
      <c r="AL217" s="57">
        <f ca="1">1*(OR(HM_ZB_Nsoko!CA_opex_total_nom&gt;0,HM_ZB_Nsoko!CA_expex_nom&gt;0,HM_ZB_Nsoko!CA_devex_nom&gt;0,HM_ZB_Nsoko!CA_gross_prod_oil+HM_ZB_Nsoko!CA_gross_prod_gas&gt;0))</f>
        <v>0</v>
      </c>
      <c r="AM217" s="57">
        <f ca="1">1*(OR(HM_ZB_Nsoko!CA_opex_total_nom&gt;0,HM_ZB_Nsoko!CA_expex_nom&gt;0,HM_ZB_Nsoko!CA_devex_nom&gt;0,HM_ZB_Nsoko!CA_gross_prod_oil+HM_ZB_Nsoko!CA_gross_prod_gas&gt;0))</f>
        <v>0</v>
      </c>
      <c r="AN217" s="57">
        <f ca="1">1*(OR(HM_ZB_Nsoko!CA_opex_total_nom&gt;0,HM_ZB_Nsoko!CA_expex_nom&gt;0,HM_ZB_Nsoko!CA_devex_nom&gt;0,HM_ZB_Nsoko!CA_gross_prod_oil+HM_ZB_Nsoko!CA_gross_prod_gas&gt;0))</f>
        <v>0</v>
      </c>
      <c r="AO217" s="57">
        <f ca="1">1*(OR(HM_ZB_Nsoko!CA_opex_total_nom&gt;0,HM_ZB_Nsoko!CA_expex_nom&gt;0,HM_ZB_Nsoko!CA_devex_nom&gt;0,HM_ZB_Nsoko!CA_gross_prod_oil+HM_ZB_Nsoko!CA_gross_prod_gas&gt;0))</f>
        <v>0</v>
      </c>
      <c r="AP217" s="57">
        <f ca="1">1*(OR(HM_ZB_Nsoko!CA_opex_total_nom&gt;0,HM_ZB_Nsoko!CA_expex_nom&gt;0,HM_ZB_Nsoko!CA_devex_nom&gt;0,HM_ZB_Nsoko!CA_gross_prod_oil+HM_ZB_Nsoko!CA_gross_prod_gas&gt;0))</f>
        <v>0</v>
      </c>
      <c r="AQ217" s="57">
        <f ca="1">1*(OR(HM_ZB_Nsoko!CA_opex_total_nom&gt;0,HM_ZB_Nsoko!CA_expex_nom&gt;0,HM_ZB_Nsoko!CA_devex_nom&gt;0,HM_ZB_Nsoko!CA_gross_prod_oil+HM_ZB_Nsoko!CA_gross_prod_gas&gt;0))</f>
        <v>0</v>
      </c>
      <c r="AR217" s="57">
        <f ca="1">1*(OR(HM_ZB_Nsoko!CA_opex_total_nom&gt;0,HM_ZB_Nsoko!CA_expex_nom&gt;0,HM_ZB_Nsoko!CA_devex_nom&gt;0,HM_ZB_Nsoko!CA_gross_prod_oil+HM_ZB_Nsoko!CA_gross_prod_gas&gt;0))</f>
        <v>0</v>
      </c>
      <c r="AS217" s="57">
        <f ca="1">1*(OR(HM_ZB_Nsoko!CA_opex_total_nom&gt;0,HM_ZB_Nsoko!CA_expex_nom&gt;0,HM_ZB_Nsoko!CA_devex_nom&gt;0,HM_ZB_Nsoko!CA_gross_prod_oil+HM_ZB_Nsoko!CA_gross_prod_gas&gt;0))</f>
        <v>0</v>
      </c>
      <c r="AT217" s="57">
        <f ca="1">1*(OR(HM_ZB_Nsoko!CA_opex_total_nom&gt;0,HM_ZB_Nsoko!CA_expex_nom&gt;0,HM_ZB_Nsoko!CA_devex_nom&gt;0,HM_ZB_Nsoko!CA_gross_prod_oil+HM_ZB_Nsoko!CA_gross_prod_gas&gt;0))</f>
        <v>0</v>
      </c>
      <c r="AU217" s="57">
        <f ca="1">1*(OR(HM_ZB_Nsoko!CA_opex_total_nom&gt;0,HM_ZB_Nsoko!CA_expex_nom&gt;0,HM_ZB_Nsoko!CA_devex_nom&gt;0,HM_ZB_Nsoko!CA_gross_prod_oil+HM_ZB_Nsoko!CA_gross_prod_gas&gt;0))</f>
        <v>0</v>
      </c>
      <c r="AV217" s="57">
        <f ca="1">1*(OR(HM_ZB_Nsoko!CA_opex_total_nom&gt;0,HM_ZB_Nsoko!CA_expex_nom&gt;0,HM_ZB_Nsoko!CA_devex_nom&gt;0,HM_ZB_Nsoko!CA_gross_prod_oil+HM_ZB_Nsoko!CA_gross_prod_gas&gt;0))</f>
        <v>0</v>
      </c>
      <c r="AW217" s="57">
        <f ca="1">1*(OR(HM_ZB_Nsoko!CA_opex_total_nom&gt;0,HM_ZB_Nsoko!CA_expex_nom&gt;0,HM_ZB_Nsoko!CA_devex_nom&gt;0,HM_ZB_Nsoko!CA_gross_prod_oil+HM_ZB_Nsoko!CA_gross_prod_gas&gt;0))</f>
        <v>0</v>
      </c>
      <c r="AX217" s="57">
        <f ca="1">1*(OR(HM_ZB_Nsoko!CA_opex_total_nom&gt;0,HM_ZB_Nsoko!CA_expex_nom&gt;0,HM_ZB_Nsoko!CA_devex_nom&gt;0,HM_ZB_Nsoko!CA_gross_prod_oil+HM_ZB_Nsoko!CA_gross_prod_gas&gt;0))</f>
        <v>0</v>
      </c>
      <c r="AY217" s="57">
        <f ca="1">1*(OR(HM_ZB_Nsoko!CA_opex_total_nom&gt;0,HM_ZB_Nsoko!CA_expex_nom&gt;0,HM_ZB_Nsoko!CA_devex_nom&gt;0,HM_ZB_Nsoko!CA_gross_prod_oil+HM_ZB_Nsoko!CA_gross_prod_gas&gt;0))</f>
        <v>0</v>
      </c>
      <c r="AZ217" s="57">
        <f ca="1">1*(OR(HM_ZB_Nsoko!CA_opex_total_nom&gt;0,HM_ZB_Nsoko!CA_expex_nom&gt;0,HM_ZB_Nsoko!CA_devex_nom&gt;0,HM_ZB_Nsoko!CA_gross_prod_oil+HM_ZB_Nsoko!CA_gross_prod_gas&gt;0))</f>
        <v>0</v>
      </c>
      <c r="BA217" s="57">
        <f ca="1">1*(OR(HM_ZB_Nsoko!CA_opex_total_nom&gt;0,HM_ZB_Nsoko!CA_expex_nom&gt;0,HM_ZB_Nsoko!CA_devex_nom&gt;0,HM_ZB_Nsoko!CA_gross_prod_oil+HM_ZB_Nsoko!CA_gross_prod_gas&gt;0))</f>
        <v>0</v>
      </c>
      <c r="BB217" s="57">
        <f ca="1">1*(OR(HM_ZB_Nsoko!CA_opex_total_nom&gt;0,HM_ZB_Nsoko!CA_expex_nom&gt;0,HM_ZB_Nsoko!CA_devex_nom&gt;0,HM_ZB_Nsoko!CA_gross_prod_oil+HM_ZB_Nsoko!CA_gross_prod_gas&gt;0))</f>
        <v>0</v>
      </c>
      <c r="BC217" s="57">
        <f ca="1">1*(OR(HM_ZB_Nsoko!CA_opex_total_nom&gt;0,HM_ZB_Nsoko!CA_expex_nom&gt;0,HM_ZB_Nsoko!CA_devex_nom&gt;0,HM_ZB_Nsoko!CA_gross_prod_oil+HM_ZB_Nsoko!CA_gross_prod_gas&gt;0))</f>
        <v>0</v>
      </c>
      <c r="BD217" s="57">
        <f ca="1">1*(OR(HM_ZB_Nsoko!CA_opex_total_nom&gt;0,HM_ZB_Nsoko!CA_expex_nom&gt;0,HM_ZB_Nsoko!CA_devex_nom&gt;0,HM_ZB_Nsoko!CA_gross_prod_oil+HM_ZB_Nsoko!CA_gross_prod_gas&gt;0))</f>
        <v>0</v>
      </c>
      <c r="BE217" s="57">
        <f ca="1">1*(OR(HM_ZB_Nsoko!CA_opex_total_nom&gt;0,HM_ZB_Nsoko!CA_expex_nom&gt;0,HM_ZB_Nsoko!CA_devex_nom&gt;0,HM_ZB_Nsoko!CA_gross_prod_oil+HM_ZB_Nsoko!CA_gross_prod_gas&gt;0))</f>
        <v>0</v>
      </c>
      <c r="BF217" s="57">
        <f ca="1">1*(OR(HM_ZB_Nsoko!CA_opex_total_nom&gt;0,HM_ZB_Nsoko!CA_expex_nom&gt;0,HM_ZB_Nsoko!CA_devex_nom&gt;0,HM_ZB_Nsoko!CA_gross_prod_oil+HM_ZB_Nsoko!CA_gross_prod_gas&gt;0))</f>
        <v>0</v>
      </c>
      <c r="BG217" s="57">
        <f ca="1">1*(OR(HM_ZB_Nsoko!CA_opex_total_nom&gt;0,HM_ZB_Nsoko!CA_expex_nom&gt;0,HM_ZB_Nsoko!CA_devex_nom&gt;0,HM_ZB_Nsoko!CA_gross_prod_oil+HM_ZB_Nsoko!CA_gross_prod_gas&gt;0))</f>
        <v>0</v>
      </c>
      <c r="BH217" s="57">
        <f ca="1">1*(OR(HM_ZB_Nsoko!CA_opex_total_nom&gt;0,HM_ZB_Nsoko!CA_expex_nom&gt;0,HM_ZB_Nsoko!CA_devex_nom&gt;0,HM_ZB_Nsoko!CA_gross_prod_oil+HM_ZB_Nsoko!CA_gross_prod_gas&gt;0))</f>
        <v>0</v>
      </c>
      <c r="BI217" s="57">
        <f ca="1">1*(OR(HM_ZB_Nsoko!CA_opex_total_nom&gt;0,HM_ZB_Nsoko!CA_expex_nom&gt;0,HM_ZB_Nsoko!CA_devex_nom&gt;0,HM_ZB_Nsoko!CA_gross_prod_oil+HM_ZB_Nsoko!CA_gross_prod_gas&gt;0))</f>
        <v>0</v>
      </c>
      <c r="BJ217" s="57">
        <f ca="1">1*(OR(HM_ZB_Nsoko!CA_opex_total_nom&gt;0,HM_ZB_Nsoko!CA_expex_nom&gt;0,HM_ZB_Nsoko!CA_devex_nom&gt;0,HM_ZB_Nsoko!CA_gross_prod_oil+HM_ZB_Nsoko!CA_gross_prod_gas&gt;0))</f>
        <v>0</v>
      </c>
      <c r="BK217" s="57">
        <f ca="1">1*(OR(HM_ZB_Nsoko!CA_opex_total_nom&gt;0,HM_ZB_Nsoko!CA_expex_nom&gt;0,HM_ZB_Nsoko!CA_devex_nom&gt;0,HM_ZB_Nsoko!CA_gross_prod_oil+HM_ZB_Nsoko!CA_gross_prod_gas&gt;0))</f>
        <v>0</v>
      </c>
      <c r="BL217" s="57">
        <f ca="1">1*(OR(HM_ZB_Nsoko!CA_opex_total_nom&gt;0,HM_ZB_Nsoko!CA_expex_nom&gt;0,HM_ZB_Nsoko!CA_devex_nom&gt;0,HM_ZB_Nsoko!CA_gross_prod_oil+HM_ZB_Nsoko!CA_gross_prod_gas&gt;0))</f>
        <v>0</v>
      </c>
      <c r="BM217" s="57">
        <f ca="1">1*(OR(HM_ZB_Nsoko!CA_opex_total_nom&gt;0,HM_ZB_Nsoko!CA_expex_nom&gt;0,HM_ZB_Nsoko!CA_devex_nom&gt;0,HM_ZB_Nsoko!CA_gross_prod_oil+HM_ZB_Nsoko!CA_gross_prod_gas&gt;0))</f>
        <v>0</v>
      </c>
      <c r="BN217" s="57">
        <f ca="1">1*(OR(HM_ZB_Nsoko!CA_opex_total_nom&gt;0,HM_ZB_Nsoko!CA_expex_nom&gt;0,HM_ZB_Nsoko!CA_devex_nom&gt;0,HM_ZB_Nsoko!CA_gross_prod_oil+HM_ZB_Nsoko!CA_gross_prod_gas&gt;0))</f>
        <v>0</v>
      </c>
      <c r="BO217" s="57">
        <f ca="1">1*(OR(HM_ZB_Nsoko!CA_opex_total_nom&gt;0,HM_ZB_Nsoko!CA_expex_nom&gt;0,HM_ZB_Nsoko!CA_devex_nom&gt;0,HM_ZB_Nsoko!CA_gross_prod_oil+HM_ZB_Nsoko!CA_gross_prod_gas&gt;0))</f>
        <v>0</v>
      </c>
      <c r="BP217" s="57">
        <f ca="1">1*(OR(HM_ZB_Nsoko!CA_opex_total_nom&gt;0,HM_ZB_Nsoko!CA_expex_nom&gt;0,HM_ZB_Nsoko!CA_devex_nom&gt;0,HM_ZB_Nsoko!CA_gross_prod_oil+HM_ZB_Nsoko!CA_gross_prod_gas&gt;0))</f>
        <v>0</v>
      </c>
      <c r="BQ217" s="57">
        <f ca="1">1*(OR(HM_ZB_Nsoko!CA_opex_total_nom&gt;0,HM_ZB_Nsoko!CA_expex_nom&gt;0,HM_ZB_Nsoko!CA_devex_nom&gt;0,HM_ZB_Nsoko!CA_gross_prod_oil+HM_ZB_Nsoko!CA_gross_prod_gas&gt;0))</f>
        <v>0</v>
      </c>
      <c r="BR217" s="57">
        <f ca="1">1*(OR(HM_ZB_Nsoko!CA_opex_total_nom&gt;0,HM_ZB_Nsoko!CA_expex_nom&gt;0,HM_ZB_Nsoko!CA_devex_nom&gt;0,HM_ZB_Nsoko!CA_gross_prod_oil+HM_ZB_Nsoko!CA_gross_prod_gas&gt;0))</f>
        <v>0</v>
      </c>
      <c r="BS217" s="57">
        <f ca="1">1*(OR(HM_ZB_Nsoko!CA_opex_total_nom&gt;0,HM_ZB_Nsoko!CA_expex_nom&gt;0,HM_ZB_Nsoko!CA_devex_nom&gt;0,HM_ZB_Nsoko!CA_gross_prod_oil+HM_ZB_Nsoko!CA_gross_prod_gas&gt;0))</f>
        <v>0</v>
      </c>
    </row>
    <row r="218" spans="1:71" outlineLevel="1" x14ac:dyDescent="0.2">
      <c r="J218" s="26"/>
      <c r="L218" s="55"/>
      <c r="M218" s="55"/>
      <c r="N218" s="55"/>
      <c r="O218" s="55"/>
      <c r="P218" s="55"/>
      <c r="Q218" s="55"/>
      <c r="R218" s="55"/>
      <c r="S218" s="55"/>
      <c r="T218" s="55"/>
      <c r="U218" s="55"/>
      <c r="V218" s="55"/>
      <c r="W218" s="55"/>
      <c r="X218" s="55"/>
      <c r="Y218" s="55"/>
      <c r="Z218" s="55"/>
      <c r="AA218" s="55"/>
      <c r="AB218" s="55"/>
      <c r="AC218" s="55"/>
      <c r="AD218" s="55"/>
      <c r="AE218" s="55"/>
      <c r="AF218" s="55"/>
      <c r="AG218" s="55"/>
      <c r="AH218" s="55"/>
      <c r="AI218" s="55"/>
      <c r="AJ218" s="55"/>
      <c r="AK218" s="55"/>
      <c r="AL218" s="55"/>
      <c r="AM218" s="55"/>
      <c r="AN218" s="55"/>
      <c r="AO218" s="55"/>
      <c r="AP218" s="55"/>
      <c r="AQ218" s="55"/>
      <c r="AR218" s="55"/>
      <c r="AS218" s="55"/>
      <c r="AT218" s="55"/>
      <c r="AU218" s="55"/>
      <c r="AV218" s="55"/>
      <c r="AW218" s="55"/>
      <c r="AX218" s="55"/>
      <c r="AY218" s="55"/>
      <c r="AZ218" s="55"/>
      <c r="BA218" s="55"/>
      <c r="BB218" s="55"/>
      <c r="BC218" s="55"/>
      <c r="BD218" s="55"/>
      <c r="BE218" s="55"/>
      <c r="BF218" s="55"/>
      <c r="BG218" s="55"/>
      <c r="BH218" s="55"/>
      <c r="BI218" s="55"/>
      <c r="BJ218" s="55"/>
      <c r="BK218" s="55"/>
      <c r="BL218" s="55"/>
      <c r="BM218" s="55"/>
      <c r="BN218" s="55"/>
      <c r="BO218" s="55"/>
      <c r="BP218" s="55"/>
      <c r="BQ218" s="55"/>
      <c r="BR218" s="55"/>
      <c r="BS218" s="55"/>
    </row>
    <row r="219" spans="1:71" outlineLevel="1" x14ac:dyDescent="0.2">
      <c r="C219" s="11" t="str">
        <f>HM_ZA_Nkossa!C210</f>
        <v>Déclencheur changement CPP</v>
      </c>
      <c r="J219" s="26"/>
      <c r="K219" s="7" t="s">
        <v>624</v>
      </c>
      <c r="L219" s="57">
        <f t="shared" ref="L219:AQ219" si="50">1*(L$4&gt;=YEAR(effective_date_Nsoko2019))</f>
        <v>0</v>
      </c>
      <c r="M219" s="57">
        <f t="shared" si="50"/>
        <v>0</v>
      </c>
      <c r="N219" s="57">
        <f t="shared" si="50"/>
        <v>0</v>
      </c>
      <c r="O219" s="57">
        <f t="shared" si="50"/>
        <v>0</v>
      </c>
      <c r="P219" s="57">
        <f t="shared" si="50"/>
        <v>0</v>
      </c>
      <c r="Q219" s="57">
        <f t="shared" si="50"/>
        <v>0</v>
      </c>
      <c r="R219" s="57">
        <f t="shared" si="50"/>
        <v>1</v>
      </c>
      <c r="S219" s="57">
        <f t="shared" si="50"/>
        <v>1</v>
      </c>
      <c r="T219" s="57">
        <f t="shared" si="50"/>
        <v>1</v>
      </c>
      <c r="U219" s="57">
        <f t="shared" si="50"/>
        <v>1</v>
      </c>
      <c r="V219" s="57">
        <f t="shared" si="50"/>
        <v>1</v>
      </c>
      <c r="W219" s="57">
        <f t="shared" si="50"/>
        <v>1</v>
      </c>
      <c r="X219" s="57">
        <f t="shared" si="50"/>
        <v>1</v>
      </c>
      <c r="Y219" s="57">
        <f t="shared" si="50"/>
        <v>1</v>
      </c>
      <c r="Z219" s="57">
        <f t="shared" si="50"/>
        <v>1</v>
      </c>
      <c r="AA219" s="57">
        <f t="shared" si="50"/>
        <v>1</v>
      </c>
      <c r="AB219" s="57">
        <f t="shared" si="50"/>
        <v>1</v>
      </c>
      <c r="AC219" s="57">
        <f t="shared" si="50"/>
        <v>1</v>
      </c>
      <c r="AD219" s="57">
        <f t="shared" si="50"/>
        <v>1</v>
      </c>
      <c r="AE219" s="57">
        <f t="shared" si="50"/>
        <v>1</v>
      </c>
      <c r="AF219" s="57">
        <f t="shared" si="50"/>
        <v>1</v>
      </c>
      <c r="AG219" s="57">
        <f t="shared" si="50"/>
        <v>1</v>
      </c>
      <c r="AH219" s="57">
        <f t="shared" si="50"/>
        <v>1</v>
      </c>
      <c r="AI219" s="57">
        <f t="shared" si="50"/>
        <v>1</v>
      </c>
      <c r="AJ219" s="57">
        <f t="shared" si="50"/>
        <v>1</v>
      </c>
      <c r="AK219" s="57">
        <f t="shared" si="50"/>
        <v>1</v>
      </c>
      <c r="AL219" s="57">
        <f t="shared" si="50"/>
        <v>1</v>
      </c>
      <c r="AM219" s="57">
        <f t="shared" si="50"/>
        <v>1</v>
      </c>
      <c r="AN219" s="57">
        <f t="shared" si="50"/>
        <v>1</v>
      </c>
      <c r="AO219" s="57">
        <f t="shared" si="50"/>
        <v>1</v>
      </c>
      <c r="AP219" s="57">
        <f t="shared" si="50"/>
        <v>1</v>
      </c>
      <c r="AQ219" s="57">
        <f t="shared" si="50"/>
        <v>1</v>
      </c>
      <c r="AR219" s="57">
        <f t="shared" ref="AR219:BS219" si="51">1*(AR$4&gt;=YEAR(effective_date_Nsoko2019))</f>
        <v>1</v>
      </c>
      <c r="AS219" s="57">
        <f t="shared" si="51"/>
        <v>1</v>
      </c>
      <c r="AT219" s="57">
        <f t="shared" si="51"/>
        <v>1</v>
      </c>
      <c r="AU219" s="57">
        <f t="shared" si="51"/>
        <v>1</v>
      </c>
      <c r="AV219" s="57">
        <f t="shared" si="51"/>
        <v>1</v>
      </c>
      <c r="AW219" s="57">
        <f t="shared" si="51"/>
        <v>1</v>
      </c>
      <c r="AX219" s="57">
        <f t="shared" si="51"/>
        <v>1</v>
      </c>
      <c r="AY219" s="57">
        <f t="shared" si="51"/>
        <v>1</v>
      </c>
      <c r="AZ219" s="57">
        <f t="shared" si="51"/>
        <v>1</v>
      </c>
      <c r="BA219" s="57">
        <f t="shared" si="51"/>
        <v>1</v>
      </c>
      <c r="BB219" s="57">
        <f t="shared" si="51"/>
        <v>1</v>
      </c>
      <c r="BC219" s="57">
        <f t="shared" si="51"/>
        <v>1</v>
      </c>
      <c r="BD219" s="57">
        <f t="shared" si="51"/>
        <v>1</v>
      </c>
      <c r="BE219" s="57">
        <f t="shared" si="51"/>
        <v>1</v>
      </c>
      <c r="BF219" s="57">
        <f t="shared" si="51"/>
        <v>1</v>
      </c>
      <c r="BG219" s="57">
        <f t="shared" si="51"/>
        <v>1</v>
      </c>
      <c r="BH219" s="57">
        <f t="shared" si="51"/>
        <v>1</v>
      </c>
      <c r="BI219" s="57">
        <f t="shared" si="51"/>
        <v>1</v>
      </c>
      <c r="BJ219" s="57">
        <f t="shared" si="51"/>
        <v>1</v>
      </c>
      <c r="BK219" s="57">
        <f t="shared" si="51"/>
        <v>1</v>
      </c>
      <c r="BL219" s="57">
        <f t="shared" si="51"/>
        <v>1</v>
      </c>
      <c r="BM219" s="57">
        <f t="shared" si="51"/>
        <v>1</v>
      </c>
      <c r="BN219" s="57">
        <f t="shared" si="51"/>
        <v>1</v>
      </c>
      <c r="BO219" s="57">
        <f t="shared" si="51"/>
        <v>1</v>
      </c>
      <c r="BP219" s="57">
        <f t="shared" si="51"/>
        <v>1</v>
      </c>
      <c r="BQ219" s="57">
        <f t="shared" si="51"/>
        <v>1</v>
      </c>
      <c r="BR219" s="57">
        <f t="shared" si="51"/>
        <v>1</v>
      </c>
      <c r="BS219" s="57">
        <f t="shared" si="51"/>
        <v>1</v>
      </c>
    </row>
    <row r="220" spans="1:71" outlineLevel="1" x14ac:dyDescent="0.2">
      <c r="J220" s="26"/>
      <c r="L220" s="55"/>
      <c r="M220" s="55"/>
      <c r="N220" s="55"/>
      <c r="O220" s="55"/>
      <c r="P220" s="55"/>
      <c r="Q220" s="55"/>
      <c r="R220" s="55"/>
      <c r="S220" s="55"/>
      <c r="T220" s="55"/>
      <c r="U220" s="55"/>
      <c r="V220" s="55"/>
      <c r="W220" s="55"/>
      <c r="X220" s="55"/>
      <c r="Y220" s="55"/>
      <c r="Z220" s="55"/>
      <c r="AA220" s="55"/>
      <c r="AB220" s="55"/>
      <c r="AC220" s="55"/>
      <c r="AD220" s="55"/>
      <c r="AE220" s="55"/>
      <c r="AF220" s="55"/>
      <c r="AG220" s="55"/>
      <c r="AH220" s="55"/>
      <c r="AI220" s="55"/>
      <c r="AJ220" s="55"/>
      <c r="AK220" s="55"/>
      <c r="AL220" s="55"/>
      <c r="AM220" s="55"/>
      <c r="AN220" s="55"/>
      <c r="AO220" s="55"/>
      <c r="AP220" s="55"/>
      <c r="AQ220" s="55"/>
      <c r="AR220" s="55"/>
      <c r="AS220" s="55"/>
      <c r="AT220" s="55"/>
      <c r="AU220" s="55"/>
      <c r="AV220" s="55"/>
      <c r="AW220" s="55"/>
      <c r="AX220" s="55"/>
      <c r="AY220" s="55"/>
      <c r="AZ220" s="55"/>
      <c r="BA220" s="55"/>
      <c r="BB220" s="55"/>
      <c r="BC220" s="55"/>
      <c r="BD220" s="55"/>
      <c r="BE220" s="55"/>
      <c r="BF220" s="55"/>
      <c r="BG220" s="55"/>
      <c r="BH220" s="55"/>
      <c r="BI220" s="55"/>
      <c r="BJ220" s="55"/>
      <c r="BK220" s="55"/>
      <c r="BL220" s="55"/>
      <c r="BM220" s="55"/>
      <c r="BN220" s="55"/>
      <c r="BO220" s="55"/>
      <c r="BP220" s="55"/>
      <c r="BQ220" s="55"/>
      <c r="BR220" s="55"/>
      <c r="BS220" s="55"/>
    </row>
    <row r="221" spans="1:71" outlineLevel="1" x14ac:dyDescent="0.2">
      <c r="C221" s="11" t="str">
        <f>HM_ZA_Nkossa!C212</f>
        <v>Frais</v>
      </c>
      <c r="J221" s="26"/>
      <c r="L221" s="55"/>
      <c r="M221" s="55"/>
      <c r="N221" s="55"/>
      <c r="O221" s="55"/>
      <c r="P221" s="55"/>
      <c r="Q221" s="55"/>
      <c r="R221" s="55"/>
      <c r="S221" s="55"/>
      <c r="T221" s="55"/>
      <c r="U221" s="55"/>
      <c r="V221" s="55"/>
      <c r="W221" s="55"/>
      <c r="X221" s="55"/>
      <c r="Y221" s="55"/>
      <c r="Z221" s="55"/>
      <c r="AA221" s="55"/>
      <c r="AB221" s="55"/>
      <c r="AC221" s="55"/>
      <c r="AD221" s="55"/>
      <c r="AE221" s="55"/>
      <c r="AF221" s="55"/>
      <c r="AG221" s="55"/>
      <c r="AH221" s="55"/>
      <c r="AI221" s="55"/>
      <c r="AJ221" s="55"/>
      <c r="AK221" s="55"/>
      <c r="AL221" s="55"/>
      <c r="AM221" s="55"/>
      <c r="AN221" s="55"/>
      <c r="AO221" s="55"/>
      <c r="AP221" s="55"/>
      <c r="AQ221" s="55"/>
      <c r="AR221" s="55"/>
      <c r="AS221" s="55"/>
      <c r="AT221" s="55"/>
      <c r="AU221" s="55"/>
      <c r="AV221" s="55"/>
      <c r="AW221" s="55"/>
      <c r="AX221" s="55"/>
      <c r="AY221" s="55"/>
      <c r="AZ221" s="55"/>
      <c r="BA221" s="55"/>
      <c r="BB221" s="55"/>
      <c r="BC221" s="55"/>
      <c r="BD221" s="55"/>
      <c r="BE221" s="55"/>
      <c r="BF221" s="55"/>
      <c r="BG221" s="55"/>
      <c r="BH221" s="55"/>
      <c r="BI221" s="55"/>
      <c r="BJ221" s="55"/>
      <c r="BK221" s="55"/>
      <c r="BL221" s="55"/>
      <c r="BM221" s="55"/>
      <c r="BN221" s="55"/>
      <c r="BO221" s="55"/>
      <c r="BP221" s="55"/>
      <c r="BQ221" s="55"/>
      <c r="BR221" s="55"/>
      <c r="BS221" s="55"/>
    </row>
    <row r="222" spans="1:71" outlineLevel="1" x14ac:dyDescent="0.2">
      <c r="D222" t="str">
        <f>HM_ZA_Nkossa!D213</f>
        <v>Coûts PID</v>
      </c>
      <c r="I222" s="30">
        <f ca="1">SUM($L222:$BS222)</f>
        <v>5.8481941006574409</v>
      </c>
      <c r="J222" s="26" t="s">
        <v>148</v>
      </c>
      <c r="K222" s="7" t="s">
        <v>174</v>
      </c>
      <c r="L222" s="49" cm="1">
        <f t="array" aca="1" ref="L222:BS222" ca="1">HM_ZB_Nsoko!CA_gross_rev_total_fp*HM_ZB_Nsoko!fees_PID_perc</f>
        <v>0.83933369293000004</v>
      </c>
      <c r="M222" s="49">
        <f ca="1"/>
        <v>0.8423723221099999</v>
      </c>
      <c r="N222" s="49">
        <f ca="1"/>
        <v>0.48479070684000009</v>
      </c>
      <c r="O222" s="49">
        <f ca="1"/>
        <v>0.33069589979000003</v>
      </c>
      <c r="P222" s="49">
        <f ca="1"/>
        <v>0.39805745783999996</v>
      </c>
      <c r="Q222" s="49">
        <f ca="1"/>
        <v>0.47558781632999997</v>
      </c>
      <c r="R222" s="49">
        <f ca="1"/>
        <v>0.16420027699999998</v>
      </c>
      <c r="S222" s="49">
        <f ca="1"/>
        <v>0.3093964387746983</v>
      </c>
      <c r="T222" s="49">
        <f ca="1"/>
        <v>0.42673548997278199</v>
      </c>
      <c r="U222" s="49">
        <f ca="1"/>
        <v>0.42598874905548945</v>
      </c>
      <c r="V222" s="49">
        <f ca="1"/>
        <v>0.40409292735403723</v>
      </c>
      <c r="W222" s="49">
        <f ca="1"/>
        <v>0.38332255088803968</v>
      </c>
      <c r="X222" s="49">
        <f ca="1"/>
        <v>0.36361977177239446</v>
      </c>
      <c r="Y222" s="49">
        <f ca="1"/>
        <v>0</v>
      </c>
      <c r="Z222" s="49">
        <f ca="1"/>
        <v>0</v>
      </c>
      <c r="AA222" s="49">
        <f ca="1"/>
        <v>0</v>
      </c>
      <c r="AB222" s="49">
        <f ca="1"/>
        <v>0</v>
      </c>
      <c r="AC222" s="49">
        <f ca="1"/>
        <v>0</v>
      </c>
      <c r="AD222" s="49">
        <f ca="1"/>
        <v>0</v>
      </c>
      <c r="AE222" s="49">
        <f ca="1"/>
        <v>0</v>
      </c>
      <c r="AF222" s="49">
        <f ca="1"/>
        <v>0</v>
      </c>
      <c r="AG222" s="49">
        <f ca="1"/>
        <v>0</v>
      </c>
      <c r="AH222" s="49">
        <f ca="1"/>
        <v>0</v>
      </c>
      <c r="AI222" s="49">
        <f ca="1"/>
        <v>0</v>
      </c>
      <c r="AJ222" s="49">
        <f ca="1"/>
        <v>0</v>
      </c>
      <c r="AK222" s="49">
        <f ca="1"/>
        <v>0</v>
      </c>
      <c r="AL222" s="49">
        <f ca="1"/>
        <v>0</v>
      </c>
      <c r="AM222" s="49">
        <f ca="1"/>
        <v>0</v>
      </c>
      <c r="AN222" s="49">
        <f ca="1"/>
        <v>0</v>
      </c>
      <c r="AO222" s="49">
        <f ca="1"/>
        <v>0</v>
      </c>
      <c r="AP222" s="49">
        <f ca="1"/>
        <v>0</v>
      </c>
      <c r="AQ222" s="49">
        <f ca="1"/>
        <v>0</v>
      </c>
      <c r="AR222" s="49">
        <f ca="1"/>
        <v>0</v>
      </c>
      <c r="AS222" s="49">
        <f ca="1"/>
        <v>0</v>
      </c>
      <c r="AT222" s="49">
        <f ca="1"/>
        <v>0</v>
      </c>
      <c r="AU222" s="49">
        <f ca="1"/>
        <v>0</v>
      </c>
      <c r="AV222" s="49">
        <f ca="1"/>
        <v>0</v>
      </c>
      <c r="AW222" s="49">
        <f ca="1"/>
        <v>0</v>
      </c>
      <c r="AX222" s="49">
        <f ca="1"/>
        <v>0</v>
      </c>
      <c r="AY222" s="49">
        <f ca="1"/>
        <v>0</v>
      </c>
      <c r="AZ222" s="49">
        <f ca="1"/>
        <v>0</v>
      </c>
      <c r="BA222" s="49">
        <f ca="1"/>
        <v>0</v>
      </c>
      <c r="BB222" s="49">
        <f ca="1"/>
        <v>0</v>
      </c>
      <c r="BC222" s="49">
        <f ca="1"/>
        <v>0</v>
      </c>
      <c r="BD222" s="49">
        <f ca="1"/>
        <v>0</v>
      </c>
      <c r="BE222" s="49">
        <f ca="1"/>
        <v>0</v>
      </c>
      <c r="BF222" s="49">
        <f ca="1"/>
        <v>0</v>
      </c>
      <c r="BG222" s="49">
        <f ca="1"/>
        <v>0</v>
      </c>
      <c r="BH222" s="49">
        <f ca="1"/>
        <v>0</v>
      </c>
      <c r="BI222" s="49">
        <f ca="1"/>
        <v>0</v>
      </c>
      <c r="BJ222" s="49">
        <f ca="1"/>
        <v>0</v>
      </c>
      <c r="BK222" s="49">
        <f ca="1"/>
        <v>0</v>
      </c>
      <c r="BL222" s="49">
        <f ca="1"/>
        <v>0</v>
      </c>
      <c r="BM222" s="49">
        <f ca="1"/>
        <v>0</v>
      </c>
      <c r="BN222" s="49">
        <f ca="1"/>
        <v>0</v>
      </c>
      <c r="BO222" s="49">
        <f ca="1"/>
        <v>0</v>
      </c>
      <c r="BP222" s="49">
        <f ca="1"/>
        <v>0</v>
      </c>
      <c r="BQ222" s="49">
        <f ca="1"/>
        <v>0</v>
      </c>
      <c r="BR222" s="49">
        <f ca="1"/>
        <v>0</v>
      </c>
      <c r="BS222" s="49">
        <f ca="1"/>
        <v>0</v>
      </c>
    </row>
    <row r="223" spans="1:71" outlineLevel="1" x14ac:dyDescent="0.2">
      <c r="J223" s="26"/>
      <c r="L223" s="55"/>
      <c r="M223" s="55"/>
      <c r="N223" s="55"/>
      <c r="O223" s="55"/>
      <c r="P223" s="55"/>
      <c r="Q223" s="55"/>
      <c r="R223" s="55"/>
      <c r="S223" s="55"/>
      <c r="T223" s="55"/>
      <c r="U223" s="55"/>
      <c r="V223" s="55"/>
      <c r="W223" s="55"/>
      <c r="X223" s="55"/>
      <c r="Y223" s="55"/>
      <c r="Z223" s="55"/>
      <c r="AA223" s="55"/>
      <c r="AB223" s="55"/>
      <c r="AC223" s="55"/>
      <c r="AD223" s="55"/>
      <c r="AE223" s="55"/>
      <c r="AF223" s="55"/>
      <c r="AG223" s="55"/>
      <c r="AH223" s="55"/>
      <c r="AI223" s="55"/>
      <c r="AJ223" s="55"/>
      <c r="AK223" s="55"/>
      <c r="AL223" s="55"/>
      <c r="AM223" s="55"/>
      <c r="AN223" s="55"/>
      <c r="AO223" s="55"/>
      <c r="AP223" s="55"/>
      <c r="AQ223" s="55"/>
      <c r="AR223" s="55"/>
      <c r="AS223" s="55"/>
      <c r="AT223" s="55"/>
      <c r="AU223" s="55"/>
      <c r="AV223" s="55"/>
      <c r="AW223" s="55"/>
      <c r="AX223" s="55"/>
      <c r="AY223" s="55"/>
      <c r="AZ223" s="55"/>
      <c r="BA223" s="55"/>
      <c r="BB223" s="55"/>
      <c r="BC223" s="55"/>
      <c r="BD223" s="55"/>
      <c r="BE223" s="55"/>
      <c r="BF223" s="55"/>
      <c r="BG223" s="55"/>
      <c r="BH223" s="55"/>
      <c r="BI223" s="55"/>
      <c r="BJ223" s="55"/>
      <c r="BK223" s="55"/>
      <c r="BL223" s="55"/>
      <c r="BM223" s="55"/>
      <c r="BN223" s="55"/>
      <c r="BO223" s="55"/>
      <c r="BP223" s="55"/>
      <c r="BQ223" s="55"/>
      <c r="BR223" s="55"/>
      <c r="BS223" s="55"/>
    </row>
    <row r="224" spans="1:71" outlineLevel="1" x14ac:dyDescent="0.2">
      <c r="C224" s="11" t="str">
        <f>HM_ZA_Nkossa!C215</f>
        <v>Redevance</v>
      </c>
      <c r="J224" s="26"/>
      <c r="L224" s="55"/>
      <c r="M224" s="55"/>
      <c r="N224" s="55"/>
      <c r="O224" s="55"/>
      <c r="P224" s="55"/>
      <c r="Q224" s="55"/>
      <c r="R224" s="55"/>
      <c r="S224" s="55"/>
      <c r="T224" s="55"/>
      <c r="U224" s="55"/>
      <c r="V224" s="55"/>
      <c r="W224" s="55"/>
      <c r="X224" s="55"/>
      <c r="Y224" s="55"/>
      <c r="Z224" s="55"/>
      <c r="AA224" s="55"/>
      <c r="AB224" s="55"/>
      <c r="AC224" s="55"/>
      <c r="AD224" s="55"/>
      <c r="AE224" s="55"/>
      <c r="AF224" s="55"/>
      <c r="AG224" s="55"/>
      <c r="AH224" s="55"/>
      <c r="AI224" s="55"/>
      <c r="AJ224" s="55"/>
      <c r="AK224" s="55"/>
      <c r="AL224" s="55"/>
      <c r="AM224" s="55"/>
      <c r="AN224" s="55"/>
      <c r="AO224" s="55"/>
      <c r="AP224" s="55"/>
      <c r="AQ224" s="55"/>
      <c r="AR224" s="55"/>
      <c r="AS224" s="55"/>
      <c r="AT224" s="55"/>
      <c r="AU224" s="55"/>
      <c r="AV224" s="55"/>
      <c r="AW224" s="55"/>
      <c r="AX224" s="55"/>
      <c r="AY224" s="55"/>
      <c r="AZ224" s="55"/>
      <c r="BA224" s="55"/>
      <c r="BB224" s="55"/>
      <c r="BC224" s="55"/>
      <c r="BD224" s="55"/>
      <c r="BE224" s="55"/>
      <c r="BF224" s="55"/>
      <c r="BG224" s="55"/>
      <c r="BH224" s="55"/>
      <c r="BI224" s="55"/>
      <c r="BJ224" s="55"/>
      <c r="BK224" s="55"/>
      <c r="BL224" s="55"/>
      <c r="BM224" s="55"/>
      <c r="BN224" s="55"/>
      <c r="BO224" s="55"/>
      <c r="BP224" s="55"/>
      <c r="BQ224" s="55"/>
      <c r="BR224" s="55"/>
      <c r="BS224" s="55"/>
    </row>
    <row r="225" spans="3:71" outlineLevel="1" x14ac:dyDescent="0.2">
      <c r="D225" t="str">
        <f>HM_ZA_Nkossa!D216</f>
        <v>Redevance pétrolière</v>
      </c>
      <c r="I225" s="30">
        <f ca="1">SUM($L225:$BS225)</f>
        <v>87.722911509861632</v>
      </c>
      <c r="J225" s="26" t="s">
        <v>148</v>
      </c>
      <c r="K225" s="7" t="s">
        <v>177</v>
      </c>
      <c r="L225" s="49" cm="1">
        <f t="array" aca="1" ref="L225:BS225" ca="1">HM_ZB_Nsoko!CA_gross_rev_oil_fp*HM_ZB_Nsoko!royalty_rate_oil</f>
        <v>12.590005393949999</v>
      </c>
      <c r="M225" s="49">
        <f ca="1"/>
        <v>12.635584831649998</v>
      </c>
      <c r="N225" s="49">
        <f ca="1"/>
        <v>7.2718606026000003</v>
      </c>
      <c r="O225" s="49">
        <f ca="1"/>
        <v>4.9604384968500002</v>
      </c>
      <c r="P225" s="49">
        <f ca="1"/>
        <v>5.9708618675999992</v>
      </c>
      <c r="Q225" s="49">
        <f ca="1"/>
        <v>7.1338172449499995</v>
      </c>
      <c r="R225" s="49">
        <f ca="1"/>
        <v>2.4630041549999997</v>
      </c>
      <c r="S225" s="49">
        <f ca="1"/>
        <v>4.640946581620474</v>
      </c>
      <c r="T225" s="49">
        <f ca="1"/>
        <v>6.4010323495917296</v>
      </c>
      <c r="U225" s="49">
        <f ca="1"/>
        <v>6.3898312358323421</v>
      </c>
      <c r="V225" s="49">
        <f ca="1"/>
        <v>6.0613939103105583</v>
      </c>
      <c r="W225" s="49">
        <f ca="1"/>
        <v>5.7498382633205951</v>
      </c>
      <c r="X225" s="49">
        <f ca="1"/>
        <v>5.454296576585917</v>
      </c>
      <c r="Y225" s="49">
        <f ca="1"/>
        <v>0</v>
      </c>
      <c r="Z225" s="49">
        <f ca="1"/>
        <v>0</v>
      </c>
      <c r="AA225" s="49">
        <f ca="1"/>
        <v>0</v>
      </c>
      <c r="AB225" s="49">
        <f ca="1"/>
        <v>0</v>
      </c>
      <c r="AC225" s="49">
        <f ca="1"/>
        <v>0</v>
      </c>
      <c r="AD225" s="49">
        <f ca="1"/>
        <v>0</v>
      </c>
      <c r="AE225" s="49">
        <f ca="1"/>
        <v>0</v>
      </c>
      <c r="AF225" s="49">
        <f ca="1"/>
        <v>0</v>
      </c>
      <c r="AG225" s="49">
        <f ca="1"/>
        <v>0</v>
      </c>
      <c r="AH225" s="49">
        <f ca="1"/>
        <v>0</v>
      </c>
      <c r="AI225" s="49">
        <f ca="1"/>
        <v>0</v>
      </c>
      <c r="AJ225" s="49">
        <f ca="1"/>
        <v>0</v>
      </c>
      <c r="AK225" s="49">
        <f ca="1"/>
        <v>0</v>
      </c>
      <c r="AL225" s="49">
        <f ca="1"/>
        <v>0</v>
      </c>
      <c r="AM225" s="49">
        <f ca="1"/>
        <v>0</v>
      </c>
      <c r="AN225" s="49">
        <f ca="1"/>
        <v>0</v>
      </c>
      <c r="AO225" s="49">
        <f ca="1"/>
        <v>0</v>
      </c>
      <c r="AP225" s="49">
        <f ca="1"/>
        <v>0</v>
      </c>
      <c r="AQ225" s="49">
        <f ca="1"/>
        <v>0</v>
      </c>
      <c r="AR225" s="49">
        <f ca="1"/>
        <v>0</v>
      </c>
      <c r="AS225" s="49">
        <f ca="1"/>
        <v>0</v>
      </c>
      <c r="AT225" s="49">
        <f ca="1"/>
        <v>0</v>
      </c>
      <c r="AU225" s="49">
        <f ca="1"/>
        <v>0</v>
      </c>
      <c r="AV225" s="49">
        <f ca="1"/>
        <v>0</v>
      </c>
      <c r="AW225" s="49">
        <f ca="1"/>
        <v>0</v>
      </c>
      <c r="AX225" s="49">
        <f ca="1"/>
        <v>0</v>
      </c>
      <c r="AY225" s="49">
        <f ca="1"/>
        <v>0</v>
      </c>
      <c r="AZ225" s="49">
        <f ca="1"/>
        <v>0</v>
      </c>
      <c r="BA225" s="49">
        <f ca="1"/>
        <v>0</v>
      </c>
      <c r="BB225" s="49">
        <f ca="1"/>
        <v>0</v>
      </c>
      <c r="BC225" s="49">
        <f ca="1"/>
        <v>0</v>
      </c>
      <c r="BD225" s="49">
        <f ca="1"/>
        <v>0</v>
      </c>
      <c r="BE225" s="49">
        <f ca="1"/>
        <v>0</v>
      </c>
      <c r="BF225" s="49">
        <f ca="1"/>
        <v>0</v>
      </c>
      <c r="BG225" s="49">
        <f ca="1"/>
        <v>0</v>
      </c>
      <c r="BH225" s="49">
        <f ca="1"/>
        <v>0</v>
      </c>
      <c r="BI225" s="49">
        <f ca="1"/>
        <v>0</v>
      </c>
      <c r="BJ225" s="49">
        <f ca="1"/>
        <v>0</v>
      </c>
      <c r="BK225" s="49">
        <f ca="1"/>
        <v>0</v>
      </c>
      <c r="BL225" s="49">
        <f ca="1"/>
        <v>0</v>
      </c>
      <c r="BM225" s="49">
        <f ca="1"/>
        <v>0</v>
      </c>
      <c r="BN225" s="49">
        <f ca="1"/>
        <v>0</v>
      </c>
      <c r="BO225" s="49">
        <f ca="1"/>
        <v>0</v>
      </c>
      <c r="BP225" s="49">
        <f ca="1"/>
        <v>0</v>
      </c>
      <c r="BQ225" s="49">
        <f ca="1"/>
        <v>0</v>
      </c>
      <c r="BR225" s="49">
        <f ca="1"/>
        <v>0</v>
      </c>
      <c r="BS225" s="49">
        <f ca="1"/>
        <v>0</v>
      </c>
    </row>
    <row r="226" spans="3:71" outlineLevel="1" x14ac:dyDescent="0.2">
      <c r="D226" t="str">
        <f>HM_ZA_Nkossa!D217</f>
        <v>Redevance gazière</v>
      </c>
      <c r="I226" s="30">
        <f ca="1">SUM($L226:$BS226)</f>
        <v>0</v>
      </c>
      <c r="J226" s="26" t="s">
        <v>148</v>
      </c>
      <c r="K226" s="7" t="s">
        <v>178</v>
      </c>
      <c r="L226" s="49" cm="1">
        <f t="array" aca="1" ref="L226:BS226" ca="1">HM_ZB_Nsoko!CA_gross_rev_gas_fp*HM_ZB_Nsoko!royalty_rate_gas</f>
        <v>0</v>
      </c>
      <c r="M226" s="49">
        <f ca="1"/>
        <v>0</v>
      </c>
      <c r="N226" s="49">
        <f ca="1"/>
        <v>0</v>
      </c>
      <c r="O226" s="49">
        <f ca="1"/>
        <v>0</v>
      </c>
      <c r="P226" s="49">
        <f ca="1"/>
        <v>0</v>
      </c>
      <c r="Q226" s="49">
        <f ca="1"/>
        <v>0</v>
      </c>
      <c r="R226" s="49">
        <f ca="1"/>
        <v>0</v>
      </c>
      <c r="S226" s="49">
        <f ca="1"/>
        <v>0</v>
      </c>
      <c r="T226" s="49">
        <f ca="1"/>
        <v>0</v>
      </c>
      <c r="U226" s="49">
        <f ca="1"/>
        <v>0</v>
      </c>
      <c r="V226" s="49">
        <f ca="1"/>
        <v>0</v>
      </c>
      <c r="W226" s="49">
        <f ca="1"/>
        <v>0</v>
      </c>
      <c r="X226" s="49">
        <f ca="1"/>
        <v>0</v>
      </c>
      <c r="Y226" s="49">
        <f ca="1"/>
        <v>0</v>
      </c>
      <c r="Z226" s="49">
        <f ca="1"/>
        <v>0</v>
      </c>
      <c r="AA226" s="49">
        <f ca="1"/>
        <v>0</v>
      </c>
      <c r="AB226" s="49">
        <f ca="1"/>
        <v>0</v>
      </c>
      <c r="AC226" s="49">
        <f ca="1"/>
        <v>0</v>
      </c>
      <c r="AD226" s="49">
        <f ca="1"/>
        <v>0</v>
      </c>
      <c r="AE226" s="49">
        <f ca="1"/>
        <v>0</v>
      </c>
      <c r="AF226" s="49">
        <f ca="1"/>
        <v>0</v>
      </c>
      <c r="AG226" s="49">
        <f ca="1"/>
        <v>0</v>
      </c>
      <c r="AH226" s="49">
        <f ca="1"/>
        <v>0</v>
      </c>
      <c r="AI226" s="49">
        <f ca="1"/>
        <v>0</v>
      </c>
      <c r="AJ226" s="49">
        <f ca="1"/>
        <v>0</v>
      </c>
      <c r="AK226" s="49">
        <f ca="1"/>
        <v>0</v>
      </c>
      <c r="AL226" s="49">
        <f ca="1"/>
        <v>0</v>
      </c>
      <c r="AM226" s="49">
        <f ca="1"/>
        <v>0</v>
      </c>
      <c r="AN226" s="49">
        <f ca="1"/>
        <v>0</v>
      </c>
      <c r="AO226" s="49">
        <f ca="1"/>
        <v>0</v>
      </c>
      <c r="AP226" s="49">
        <f ca="1"/>
        <v>0</v>
      </c>
      <c r="AQ226" s="49">
        <f ca="1"/>
        <v>0</v>
      </c>
      <c r="AR226" s="49">
        <f ca="1"/>
        <v>0</v>
      </c>
      <c r="AS226" s="49">
        <f ca="1"/>
        <v>0</v>
      </c>
      <c r="AT226" s="49">
        <f ca="1"/>
        <v>0</v>
      </c>
      <c r="AU226" s="49">
        <f ca="1"/>
        <v>0</v>
      </c>
      <c r="AV226" s="49">
        <f ca="1"/>
        <v>0</v>
      </c>
      <c r="AW226" s="49">
        <f ca="1"/>
        <v>0</v>
      </c>
      <c r="AX226" s="49">
        <f ca="1"/>
        <v>0</v>
      </c>
      <c r="AY226" s="49">
        <f ca="1"/>
        <v>0</v>
      </c>
      <c r="AZ226" s="49">
        <f ca="1"/>
        <v>0</v>
      </c>
      <c r="BA226" s="49">
        <f ca="1"/>
        <v>0</v>
      </c>
      <c r="BB226" s="49">
        <f ca="1"/>
        <v>0</v>
      </c>
      <c r="BC226" s="49">
        <f ca="1"/>
        <v>0</v>
      </c>
      <c r="BD226" s="49">
        <f ca="1"/>
        <v>0</v>
      </c>
      <c r="BE226" s="49">
        <f ca="1"/>
        <v>0</v>
      </c>
      <c r="BF226" s="49">
        <f ca="1"/>
        <v>0</v>
      </c>
      <c r="BG226" s="49">
        <f ca="1"/>
        <v>0</v>
      </c>
      <c r="BH226" s="49">
        <f ca="1"/>
        <v>0</v>
      </c>
      <c r="BI226" s="49">
        <f ca="1"/>
        <v>0</v>
      </c>
      <c r="BJ226" s="49">
        <f ca="1"/>
        <v>0</v>
      </c>
      <c r="BK226" s="49">
        <f ca="1"/>
        <v>0</v>
      </c>
      <c r="BL226" s="49">
        <f ca="1"/>
        <v>0</v>
      </c>
      <c r="BM226" s="49">
        <f ca="1"/>
        <v>0</v>
      </c>
      <c r="BN226" s="49">
        <f ca="1"/>
        <v>0</v>
      </c>
      <c r="BO226" s="49">
        <f ca="1"/>
        <v>0</v>
      </c>
      <c r="BP226" s="49">
        <f ca="1"/>
        <v>0</v>
      </c>
      <c r="BQ226" s="49">
        <f ca="1"/>
        <v>0</v>
      </c>
      <c r="BR226" s="49">
        <f ca="1"/>
        <v>0</v>
      </c>
      <c r="BS226" s="49">
        <f ca="1"/>
        <v>0</v>
      </c>
    </row>
    <row r="227" spans="3:71" outlineLevel="1" x14ac:dyDescent="0.2">
      <c r="D227" s="11" t="str">
        <f>HM_ZA_Nkossa!D218</f>
        <v>Redevance totale</v>
      </c>
      <c r="I227" s="30">
        <f ca="1">SUM($L227:$BS227)</f>
        <v>87.722911509861632</v>
      </c>
      <c r="J227" s="26" t="s">
        <v>148</v>
      </c>
      <c r="K227" s="7" t="s">
        <v>180</v>
      </c>
      <c r="L227" s="49">
        <f ca="1">SUM(L225:L226)</f>
        <v>12.590005393949999</v>
      </c>
      <c r="M227" s="49">
        <f t="shared" ref="M227:BS227" ca="1" si="52">SUM(M225:M226)</f>
        <v>12.635584831649998</v>
      </c>
      <c r="N227" s="49">
        <f t="shared" ca="1" si="52"/>
        <v>7.2718606026000003</v>
      </c>
      <c r="O227" s="49">
        <f t="shared" ca="1" si="52"/>
        <v>4.9604384968500002</v>
      </c>
      <c r="P227" s="49">
        <f t="shared" ca="1" si="52"/>
        <v>5.9708618675999992</v>
      </c>
      <c r="Q227" s="49">
        <f t="shared" ca="1" si="52"/>
        <v>7.1338172449499995</v>
      </c>
      <c r="R227" s="49">
        <f t="shared" ca="1" si="52"/>
        <v>2.4630041549999997</v>
      </c>
      <c r="S227" s="49">
        <f t="shared" ca="1" si="52"/>
        <v>4.640946581620474</v>
      </c>
      <c r="T227" s="49">
        <f t="shared" ca="1" si="52"/>
        <v>6.4010323495917296</v>
      </c>
      <c r="U227" s="49">
        <f t="shared" ca="1" si="52"/>
        <v>6.3898312358323421</v>
      </c>
      <c r="V227" s="49">
        <f t="shared" ca="1" si="52"/>
        <v>6.0613939103105583</v>
      </c>
      <c r="W227" s="49">
        <f t="shared" ca="1" si="52"/>
        <v>5.7498382633205951</v>
      </c>
      <c r="X227" s="49">
        <f t="shared" ca="1" si="52"/>
        <v>5.454296576585917</v>
      </c>
      <c r="Y227" s="49">
        <f t="shared" ca="1" si="52"/>
        <v>0</v>
      </c>
      <c r="Z227" s="49">
        <f t="shared" ca="1" si="52"/>
        <v>0</v>
      </c>
      <c r="AA227" s="49">
        <f t="shared" ca="1" si="52"/>
        <v>0</v>
      </c>
      <c r="AB227" s="49">
        <f t="shared" ca="1" si="52"/>
        <v>0</v>
      </c>
      <c r="AC227" s="49">
        <f t="shared" ca="1" si="52"/>
        <v>0</v>
      </c>
      <c r="AD227" s="49">
        <f t="shared" ca="1" si="52"/>
        <v>0</v>
      </c>
      <c r="AE227" s="49">
        <f t="shared" ca="1" si="52"/>
        <v>0</v>
      </c>
      <c r="AF227" s="49">
        <f t="shared" ca="1" si="52"/>
        <v>0</v>
      </c>
      <c r="AG227" s="49">
        <f t="shared" ca="1" si="52"/>
        <v>0</v>
      </c>
      <c r="AH227" s="49">
        <f t="shared" ca="1" si="52"/>
        <v>0</v>
      </c>
      <c r="AI227" s="49">
        <f t="shared" ca="1" si="52"/>
        <v>0</v>
      </c>
      <c r="AJ227" s="49">
        <f t="shared" ca="1" si="52"/>
        <v>0</v>
      </c>
      <c r="AK227" s="49">
        <f t="shared" ca="1" si="52"/>
        <v>0</v>
      </c>
      <c r="AL227" s="49">
        <f t="shared" ca="1" si="52"/>
        <v>0</v>
      </c>
      <c r="AM227" s="49">
        <f t="shared" ca="1" si="52"/>
        <v>0</v>
      </c>
      <c r="AN227" s="49">
        <f t="shared" ca="1" si="52"/>
        <v>0</v>
      </c>
      <c r="AO227" s="49">
        <f t="shared" ca="1" si="52"/>
        <v>0</v>
      </c>
      <c r="AP227" s="49">
        <f t="shared" ca="1" si="52"/>
        <v>0</v>
      </c>
      <c r="AQ227" s="49">
        <f t="shared" ca="1" si="52"/>
        <v>0</v>
      </c>
      <c r="AR227" s="49">
        <f t="shared" ca="1" si="52"/>
        <v>0</v>
      </c>
      <c r="AS227" s="49">
        <f t="shared" ca="1" si="52"/>
        <v>0</v>
      </c>
      <c r="AT227" s="49">
        <f t="shared" ca="1" si="52"/>
        <v>0</v>
      </c>
      <c r="AU227" s="49">
        <f t="shared" ca="1" si="52"/>
        <v>0</v>
      </c>
      <c r="AV227" s="49">
        <f t="shared" ca="1" si="52"/>
        <v>0</v>
      </c>
      <c r="AW227" s="49">
        <f t="shared" ca="1" si="52"/>
        <v>0</v>
      </c>
      <c r="AX227" s="49">
        <f t="shared" ca="1" si="52"/>
        <v>0</v>
      </c>
      <c r="AY227" s="49">
        <f t="shared" ca="1" si="52"/>
        <v>0</v>
      </c>
      <c r="AZ227" s="49">
        <f t="shared" ca="1" si="52"/>
        <v>0</v>
      </c>
      <c r="BA227" s="49">
        <f t="shared" ca="1" si="52"/>
        <v>0</v>
      </c>
      <c r="BB227" s="49">
        <f t="shared" ca="1" si="52"/>
        <v>0</v>
      </c>
      <c r="BC227" s="49">
        <f t="shared" ca="1" si="52"/>
        <v>0</v>
      </c>
      <c r="BD227" s="49">
        <f t="shared" ca="1" si="52"/>
        <v>0</v>
      </c>
      <c r="BE227" s="49">
        <f t="shared" ca="1" si="52"/>
        <v>0</v>
      </c>
      <c r="BF227" s="49">
        <f t="shared" ca="1" si="52"/>
        <v>0</v>
      </c>
      <c r="BG227" s="49">
        <f t="shared" ca="1" si="52"/>
        <v>0</v>
      </c>
      <c r="BH227" s="49">
        <f t="shared" ca="1" si="52"/>
        <v>0</v>
      </c>
      <c r="BI227" s="49">
        <f t="shared" ca="1" si="52"/>
        <v>0</v>
      </c>
      <c r="BJ227" s="49">
        <f t="shared" ca="1" si="52"/>
        <v>0</v>
      </c>
      <c r="BK227" s="49">
        <f t="shared" ca="1" si="52"/>
        <v>0</v>
      </c>
      <c r="BL227" s="49">
        <f t="shared" ca="1" si="52"/>
        <v>0</v>
      </c>
      <c r="BM227" s="49">
        <f t="shared" ca="1" si="52"/>
        <v>0</v>
      </c>
      <c r="BN227" s="49">
        <f t="shared" ca="1" si="52"/>
        <v>0</v>
      </c>
      <c r="BO227" s="49">
        <f t="shared" ca="1" si="52"/>
        <v>0</v>
      </c>
      <c r="BP227" s="49">
        <f t="shared" ca="1" si="52"/>
        <v>0</v>
      </c>
      <c r="BQ227" s="49">
        <f t="shared" ca="1" si="52"/>
        <v>0</v>
      </c>
      <c r="BR227" s="49">
        <f t="shared" ca="1" si="52"/>
        <v>0</v>
      </c>
      <c r="BS227" s="49">
        <f t="shared" ca="1" si="52"/>
        <v>0</v>
      </c>
    </row>
    <row r="228" spans="3:71" outlineLevel="1" x14ac:dyDescent="0.2">
      <c r="J228" s="26"/>
      <c r="L228" s="55"/>
      <c r="M228" s="55"/>
      <c r="N228" s="55"/>
      <c r="O228" s="55"/>
      <c r="P228" s="55"/>
      <c r="Q228" s="55"/>
      <c r="R228" s="55"/>
      <c r="S228" s="55"/>
      <c r="T228" s="55"/>
      <c r="U228" s="55"/>
      <c r="V228" s="55"/>
      <c r="W228" s="55"/>
      <c r="X228" s="55"/>
      <c r="Y228" s="55"/>
      <c r="Z228" s="55"/>
      <c r="AA228" s="55"/>
      <c r="AB228" s="55"/>
      <c r="AC228" s="55"/>
      <c r="AD228" s="55"/>
      <c r="AE228" s="55"/>
      <c r="AF228" s="55"/>
      <c r="AG228" s="55"/>
      <c r="AH228" s="55"/>
      <c r="AI228" s="55"/>
      <c r="AJ228" s="55"/>
      <c r="AK228" s="55"/>
      <c r="AL228" s="55"/>
      <c r="AM228" s="55"/>
      <c r="AN228" s="55"/>
      <c r="AO228" s="55"/>
      <c r="AP228" s="55"/>
      <c r="AQ228" s="55"/>
      <c r="AR228" s="55"/>
      <c r="AS228" s="55"/>
      <c r="AT228" s="55"/>
      <c r="AU228" s="55"/>
      <c r="AV228" s="55"/>
      <c r="AW228" s="55"/>
      <c r="AX228" s="55"/>
      <c r="AY228" s="55"/>
      <c r="AZ228" s="55"/>
      <c r="BA228" s="55"/>
      <c r="BB228" s="55"/>
      <c r="BC228" s="55"/>
      <c r="BD228" s="55"/>
      <c r="BE228" s="55"/>
      <c r="BF228" s="55"/>
      <c r="BG228" s="55"/>
      <c r="BH228" s="55"/>
      <c r="BI228" s="55"/>
      <c r="BJ228" s="55"/>
      <c r="BK228" s="55"/>
      <c r="BL228" s="55"/>
      <c r="BM228" s="55"/>
      <c r="BN228" s="55"/>
      <c r="BO228" s="55"/>
      <c r="BP228" s="55"/>
      <c r="BQ228" s="55"/>
      <c r="BR228" s="55"/>
      <c r="BS228" s="55"/>
    </row>
    <row r="229" spans="3:71" outlineLevel="1" x14ac:dyDescent="0.2">
      <c r="J229" s="26"/>
      <c r="L229" s="55"/>
      <c r="M229" s="55"/>
      <c r="N229" s="55"/>
      <c r="O229" s="55"/>
      <c r="P229" s="55"/>
      <c r="Q229" s="55"/>
      <c r="R229" s="55"/>
      <c r="S229" s="55"/>
      <c r="T229" s="55"/>
      <c r="U229" s="55"/>
      <c r="V229" s="55"/>
      <c r="W229" s="55"/>
      <c r="X229" s="55"/>
      <c r="Y229" s="55"/>
      <c r="Z229" s="55"/>
      <c r="AA229" s="55"/>
      <c r="AB229" s="55"/>
      <c r="AC229" s="55"/>
      <c r="AD229" s="55"/>
      <c r="AE229" s="55"/>
      <c r="AF229" s="55"/>
      <c r="AG229" s="55"/>
      <c r="AH229" s="55"/>
      <c r="AI229" s="55"/>
      <c r="AJ229" s="55"/>
      <c r="AK229" s="55"/>
      <c r="AL229" s="55"/>
      <c r="AM229" s="55"/>
      <c r="AN229" s="55"/>
      <c r="AO229" s="55"/>
      <c r="AP229" s="55"/>
      <c r="AQ229" s="55"/>
      <c r="AR229" s="55"/>
      <c r="AS229" s="55"/>
      <c r="AT229" s="55"/>
      <c r="AU229" s="55"/>
      <c r="AV229" s="55"/>
      <c r="AW229" s="55"/>
      <c r="AX229" s="55"/>
      <c r="AY229" s="55"/>
      <c r="AZ229" s="55"/>
      <c r="BA229" s="55"/>
      <c r="BB229" s="55"/>
      <c r="BC229" s="55"/>
      <c r="BD229" s="55"/>
      <c r="BE229" s="55"/>
      <c r="BF229" s="55"/>
      <c r="BG229" s="55"/>
      <c r="BH229" s="55"/>
      <c r="BI229" s="55"/>
      <c r="BJ229" s="55"/>
      <c r="BK229" s="55"/>
      <c r="BL229" s="55"/>
      <c r="BM229" s="55"/>
      <c r="BN229" s="55"/>
      <c r="BO229" s="55"/>
      <c r="BP229" s="55"/>
      <c r="BQ229" s="55"/>
      <c r="BR229" s="55"/>
      <c r="BS229" s="55"/>
    </row>
    <row r="230" spans="3:71" outlineLevel="1" x14ac:dyDescent="0.2">
      <c r="C230" s="11" t="str">
        <f>HM_ZA_Nkossa!C221</f>
        <v>Récupération des coûts</v>
      </c>
      <c r="J230" s="26"/>
      <c r="L230" s="55"/>
      <c r="M230" s="55"/>
      <c r="N230" s="55"/>
      <c r="O230" s="55"/>
      <c r="P230" s="55"/>
      <c r="Q230" s="55"/>
      <c r="R230" s="55"/>
      <c r="S230" s="55"/>
      <c r="T230" s="55"/>
      <c r="U230" s="55"/>
      <c r="V230" s="55"/>
      <c r="W230" s="55"/>
      <c r="X230" s="55"/>
      <c r="Y230" s="55"/>
      <c r="Z230" s="55"/>
      <c r="AA230" s="55"/>
      <c r="AB230" s="55"/>
      <c r="AC230" s="55"/>
      <c r="AD230" s="55"/>
      <c r="AE230" s="55"/>
      <c r="AF230" s="55"/>
      <c r="AG230" s="55"/>
      <c r="AH230" s="55"/>
      <c r="AI230" s="55"/>
      <c r="AJ230" s="55"/>
      <c r="AK230" s="55"/>
      <c r="AL230" s="55"/>
      <c r="AM230" s="55"/>
      <c r="AN230" s="55"/>
      <c r="AO230" s="55"/>
      <c r="AP230" s="55"/>
      <c r="AQ230" s="55"/>
      <c r="AR230" s="55"/>
      <c r="AS230" s="55"/>
      <c r="AT230" s="55"/>
      <c r="AU230" s="55"/>
      <c r="AV230" s="55"/>
      <c r="AW230" s="55"/>
      <c r="AX230" s="55"/>
      <c r="AY230" s="55"/>
      <c r="AZ230" s="55"/>
      <c r="BA230" s="55"/>
      <c r="BB230" s="55"/>
      <c r="BC230" s="55"/>
      <c r="BD230" s="55"/>
      <c r="BE230" s="55"/>
      <c r="BF230" s="55"/>
      <c r="BG230" s="55"/>
      <c r="BH230" s="55"/>
      <c r="BI230" s="55"/>
      <c r="BJ230" s="55"/>
      <c r="BK230" s="55"/>
      <c r="BL230" s="55"/>
      <c r="BM230" s="55"/>
      <c r="BN230" s="55"/>
      <c r="BO230" s="55"/>
      <c r="BP230" s="55"/>
      <c r="BQ230" s="55"/>
      <c r="BR230" s="55"/>
      <c r="BS230" s="55"/>
    </row>
    <row r="231" spans="3:71" outlineLevel="1" x14ac:dyDescent="0.2">
      <c r="D231" s="11" t="str">
        <f>HM_ZA_Nkossa!D222</f>
        <v>Ensemble des coûts récupérables</v>
      </c>
      <c r="J231" s="26"/>
      <c r="L231" s="55"/>
      <c r="M231" s="55"/>
      <c r="N231" s="55"/>
      <c r="O231" s="55"/>
      <c r="P231" s="55"/>
      <c r="Q231" s="55"/>
      <c r="R231" s="55"/>
      <c r="S231" s="55"/>
      <c r="T231" s="55"/>
      <c r="U231" s="55"/>
      <c r="V231" s="55"/>
      <c r="W231" s="55"/>
      <c r="X231" s="55"/>
      <c r="Y231" s="55"/>
      <c r="Z231" s="55"/>
      <c r="AA231" s="55"/>
      <c r="AB231" s="55"/>
      <c r="AC231" s="55"/>
      <c r="AD231" s="55"/>
      <c r="AE231" s="55"/>
      <c r="AF231" s="55"/>
      <c r="AG231" s="55"/>
      <c r="AH231" s="55"/>
      <c r="AI231" s="55"/>
      <c r="AJ231" s="55"/>
      <c r="AK231" s="55"/>
      <c r="AL231" s="55"/>
      <c r="AM231" s="55"/>
      <c r="AN231" s="55"/>
      <c r="AO231" s="55"/>
      <c r="AP231" s="55"/>
      <c r="AQ231" s="55"/>
      <c r="AR231" s="55"/>
      <c r="AS231" s="55"/>
      <c r="AT231" s="55"/>
      <c r="AU231" s="55"/>
      <c r="AV231" s="55"/>
      <c r="AW231" s="55"/>
      <c r="AX231" s="55"/>
      <c r="AY231" s="55"/>
      <c r="AZ231" s="55"/>
      <c r="BA231" s="55"/>
      <c r="BB231" s="55"/>
      <c r="BC231" s="55"/>
      <c r="BD231" s="55"/>
      <c r="BE231" s="55"/>
      <c r="BF231" s="55"/>
      <c r="BG231" s="55"/>
      <c r="BH231" s="55"/>
      <c r="BI231" s="55"/>
      <c r="BJ231" s="55"/>
      <c r="BK231" s="55"/>
      <c r="BL231" s="55"/>
      <c r="BM231" s="55"/>
      <c r="BN231" s="55"/>
      <c r="BO231" s="55"/>
      <c r="BP231" s="55"/>
      <c r="BQ231" s="55"/>
      <c r="BR231" s="55"/>
      <c r="BS231" s="55"/>
    </row>
    <row r="232" spans="3:71" outlineLevel="1" x14ac:dyDescent="0.2">
      <c r="D232" s="50" t="str">
        <f>HM_ZA_Nkossa!D223</f>
        <v>Opex</v>
      </c>
      <c r="I232" s="30">
        <f ca="1">SUM($L232:$BS232)</f>
        <v>111.14358231999998</v>
      </c>
      <c r="J232" s="26" t="s">
        <v>148</v>
      </c>
      <c r="K232" s="7" t="s">
        <v>196</v>
      </c>
      <c r="L232" s="49" cm="1">
        <f t="array" aca="1" ref="L232:BS232" ca="1">HM_ZB_Nsoko!CA_opex_total_nom</f>
        <v>9.577</v>
      </c>
      <c r="M232" s="49">
        <f ca="1"/>
        <v>7.9459999999999997</v>
      </c>
      <c r="N232" s="49">
        <f ca="1"/>
        <v>7.3320000000000007</v>
      </c>
      <c r="O232" s="49">
        <f ca="1"/>
        <v>6.6769999999999996</v>
      </c>
      <c r="P232" s="49">
        <f ca="1"/>
        <v>7.2530000000000001</v>
      </c>
      <c r="Q232" s="49">
        <f ca="1"/>
        <v>7.3</v>
      </c>
      <c r="R232" s="49">
        <f ca="1"/>
        <v>4.5999999999999996</v>
      </c>
      <c r="S232" s="49">
        <f ca="1"/>
        <v>10</v>
      </c>
      <c r="T232" s="49">
        <f ca="1"/>
        <v>9.9</v>
      </c>
      <c r="U232" s="49">
        <f ca="1"/>
        <v>9.9960000000000004</v>
      </c>
      <c r="V232" s="49">
        <f ca="1"/>
        <v>10.09188</v>
      </c>
      <c r="W232" s="49">
        <f ca="1"/>
        <v>10.1875968</v>
      </c>
      <c r="X232" s="49">
        <f ca="1"/>
        <v>10.283105519999999</v>
      </c>
      <c r="Y232" s="49">
        <f ca="1"/>
        <v>0</v>
      </c>
      <c r="Z232" s="49">
        <f ca="1"/>
        <v>0</v>
      </c>
      <c r="AA232" s="49">
        <f ca="1"/>
        <v>0</v>
      </c>
      <c r="AB232" s="49">
        <f ca="1"/>
        <v>0</v>
      </c>
      <c r="AC232" s="49">
        <f ca="1"/>
        <v>0</v>
      </c>
      <c r="AD232" s="49">
        <f ca="1"/>
        <v>0</v>
      </c>
      <c r="AE232" s="49">
        <f ca="1"/>
        <v>0</v>
      </c>
      <c r="AF232" s="49">
        <f ca="1"/>
        <v>0</v>
      </c>
      <c r="AG232" s="49">
        <f ca="1"/>
        <v>0</v>
      </c>
      <c r="AH232" s="49">
        <f ca="1"/>
        <v>0</v>
      </c>
      <c r="AI232" s="49">
        <f ca="1"/>
        <v>0</v>
      </c>
      <c r="AJ232" s="49">
        <f ca="1"/>
        <v>0</v>
      </c>
      <c r="AK232" s="49">
        <f ca="1"/>
        <v>0</v>
      </c>
      <c r="AL232" s="49">
        <f ca="1"/>
        <v>0</v>
      </c>
      <c r="AM232" s="49">
        <f ca="1"/>
        <v>0</v>
      </c>
      <c r="AN232" s="49">
        <f ca="1"/>
        <v>0</v>
      </c>
      <c r="AO232" s="49">
        <f ca="1"/>
        <v>0</v>
      </c>
      <c r="AP232" s="49">
        <f ca="1"/>
        <v>0</v>
      </c>
      <c r="AQ232" s="49">
        <f ca="1"/>
        <v>0</v>
      </c>
      <c r="AR232" s="49">
        <f ca="1"/>
        <v>0</v>
      </c>
      <c r="AS232" s="49">
        <f ca="1"/>
        <v>0</v>
      </c>
      <c r="AT232" s="49">
        <f ca="1"/>
        <v>0</v>
      </c>
      <c r="AU232" s="49">
        <f ca="1"/>
        <v>0</v>
      </c>
      <c r="AV232" s="49">
        <f ca="1"/>
        <v>0</v>
      </c>
      <c r="AW232" s="49">
        <f ca="1"/>
        <v>0</v>
      </c>
      <c r="AX232" s="49">
        <f ca="1"/>
        <v>0</v>
      </c>
      <c r="AY232" s="49">
        <f ca="1"/>
        <v>0</v>
      </c>
      <c r="AZ232" s="49">
        <f ca="1"/>
        <v>0</v>
      </c>
      <c r="BA232" s="49">
        <f ca="1"/>
        <v>0</v>
      </c>
      <c r="BB232" s="49">
        <f ca="1"/>
        <v>0</v>
      </c>
      <c r="BC232" s="49">
        <f ca="1"/>
        <v>0</v>
      </c>
      <c r="BD232" s="49">
        <f ca="1"/>
        <v>0</v>
      </c>
      <c r="BE232" s="49">
        <f ca="1"/>
        <v>0</v>
      </c>
      <c r="BF232" s="49">
        <f ca="1"/>
        <v>0</v>
      </c>
      <c r="BG232" s="49">
        <f ca="1"/>
        <v>0</v>
      </c>
      <c r="BH232" s="49">
        <f ca="1"/>
        <v>0</v>
      </c>
      <c r="BI232" s="49">
        <f ca="1"/>
        <v>0</v>
      </c>
      <c r="BJ232" s="49">
        <f ca="1"/>
        <v>0</v>
      </c>
      <c r="BK232" s="49">
        <f ca="1"/>
        <v>0</v>
      </c>
      <c r="BL232" s="49">
        <f ca="1"/>
        <v>0</v>
      </c>
      <c r="BM232" s="49">
        <f ca="1"/>
        <v>0</v>
      </c>
      <c r="BN232" s="49">
        <f ca="1"/>
        <v>0</v>
      </c>
      <c r="BO232" s="49">
        <f ca="1"/>
        <v>0</v>
      </c>
      <c r="BP232" s="49">
        <f ca="1"/>
        <v>0</v>
      </c>
      <c r="BQ232" s="49">
        <f ca="1"/>
        <v>0</v>
      </c>
      <c r="BR232" s="49">
        <f ca="1"/>
        <v>0</v>
      </c>
      <c r="BS232" s="49">
        <f ca="1"/>
        <v>0</v>
      </c>
    </row>
    <row r="233" spans="3:71" outlineLevel="1" x14ac:dyDescent="0.2">
      <c r="D233" s="50" t="str">
        <f>HM_ZA_Nkossa!D224</f>
        <v>Coûts PID</v>
      </c>
      <c r="I233" s="30">
        <f t="shared" ref="I233:I238" ca="1" si="53">SUM($L233:$BS233)</f>
        <v>5.8481941006574409</v>
      </c>
      <c r="J233" s="26" t="s">
        <v>148</v>
      </c>
      <c r="K233" s="7" t="s">
        <v>197</v>
      </c>
      <c r="L233" s="49" cm="1">
        <f t="array" aca="1" ref="L233:BS233" ca="1">HM_ZB_Nsoko!CA_pid_fees</f>
        <v>0.83933369293000004</v>
      </c>
      <c r="M233" s="49">
        <f ca="1"/>
        <v>0.8423723221099999</v>
      </c>
      <c r="N233" s="49">
        <f ca="1"/>
        <v>0.48479070684000009</v>
      </c>
      <c r="O233" s="49">
        <f ca="1"/>
        <v>0.33069589979000003</v>
      </c>
      <c r="P233" s="49">
        <f ca="1"/>
        <v>0.39805745783999996</v>
      </c>
      <c r="Q233" s="49">
        <f ca="1"/>
        <v>0.47558781632999997</v>
      </c>
      <c r="R233" s="49">
        <f ca="1"/>
        <v>0.16420027699999998</v>
      </c>
      <c r="S233" s="49">
        <f ca="1"/>
        <v>0.3093964387746983</v>
      </c>
      <c r="T233" s="49">
        <f ca="1"/>
        <v>0.42673548997278199</v>
      </c>
      <c r="U233" s="49">
        <f ca="1"/>
        <v>0.42598874905548945</v>
      </c>
      <c r="V233" s="49">
        <f ca="1"/>
        <v>0.40409292735403723</v>
      </c>
      <c r="W233" s="49">
        <f ca="1"/>
        <v>0.38332255088803968</v>
      </c>
      <c r="X233" s="49">
        <f ca="1"/>
        <v>0.36361977177239446</v>
      </c>
      <c r="Y233" s="49">
        <f ca="1"/>
        <v>0</v>
      </c>
      <c r="Z233" s="49">
        <f ca="1"/>
        <v>0</v>
      </c>
      <c r="AA233" s="49">
        <f ca="1"/>
        <v>0</v>
      </c>
      <c r="AB233" s="49">
        <f ca="1"/>
        <v>0</v>
      </c>
      <c r="AC233" s="49">
        <f ca="1"/>
        <v>0</v>
      </c>
      <c r="AD233" s="49">
        <f ca="1"/>
        <v>0</v>
      </c>
      <c r="AE233" s="49">
        <f ca="1"/>
        <v>0</v>
      </c>
      <c r="AF233" s="49">
        <f ca="1"/>
        <v>0</v>
      </c>
      <c r="AG233" s="49">
        <f ca="1"/>
        <v>0</v>
      </c>
      <c r="AH233" s="49">
        <f ca="1"/>
        <v>0</v>
      </c>
      <c r="AI233" s="49">
        <f ca="1"/>
        <v>0</v>
      </c>
      <c r="AJ233" s="49">
        <f ca="1"/>
        <v>0</v>
      </c>
      <c r="AK233" s="49">
        <f ca="1"/>
        <v>0</v>
      </c>
      <c r="AL233" s="49">
        <f ca="1"/>
        <v>0</v>
      </c>
      <c r="AM233" s="49">
        <f ca="1"/>
        <v>0</v>
      </c>
      <c r="AN233" s="49">
        <f ca="1"/>
        <v>0</v>
      </c>
      <c r="AO233" s="49">
        <f ca="1"/>
        <v>0</v>
      </c>
      <c r="AP233" s="49">
        <f ca="1"/>
        <v>0</v>
      </c>
      <c r="AQ233" s="49">
        <f ca="1"/>
        <v>0</v>
      </c>
      <c r="AR233" s="49">
        <f ca="1"/>
        <v>0</v>
      </c>
      <c r="AS233" s="49">
        <f ca="1"/>
        <v>0</v>
      </c>
      <c r="AT233" s="49">
        <f ca="1"/>
        <v>0</v>
      </c>
      <c r="AU233" s="49">
        <f ca="1"/>
        <v>0</v>
      </c>
      <c r="AV233" s="49">
        <f ca="1"/>
        <v>0</v>
      </c>
      <c r="AW233" s="49">
        <f ca="1"/>
        <v>0</v>
      </c>
      <c r="AX233" s="49">
        <f ca="1"/>
        <v>0</v>
      </c>
      <c r="AY233" s="49">
        <f ca="1"/>
        <v>0</v>
      </c>
      <c r="AZ233" s="49">
        <f ca="1"/>
        <v>0</v>
      </c>
      <c r="BA233" s="49">
        <f ca="1"/>
        <v>0</v>
      </c>
      <c r="BB233" s="49">
        <f ca="1"/>
        <v>0</v>
      </c>
      <c r="BC233" s="49">
        <f ca="1"/>
        <v>0</v>
      </c>
      <c r="BD233" s="49">
        <f ca="1"/>
        <v>0</v>
      </c>
      <c r="BE233" s="49">
        <f ca="1"/>
        <v>0</v>
      </c>
      <c r="BF233" s="49">
        <f ca="1"/>
        <v>0</v>
      </c>
      <c r="BG233" s="49">
        <f ca="1"/>
        <v>0</v>
      </c>
      <c r="BH233" s="49">
        <f ca="1"/>
        <v>0</v>
      </c>
      <c r="BI233" s="49">
        <f ca="1"/>
        <v>0</v>
      </c>
      <c r="BJ233" s="49">
        <f ca="1"/>
        <v>0</v>
      </c>
      <c r="BK233" s="49">
        <f ca="1"/>
        <v>0</v>
      </c>
      <c r="BL233" s="49">
        <f ca="1"/>
        <v>0</v>
      </c>
      <c r="BM233" s="49">
        <f ca="1"/>
        <v>0</v>
      </c>
      <c r="BN233" s="49">
        <f ca="1"/>
        <v>0</v>
      </c>
      <c r="BO233" s="49">
        <f ca="1"/>
        <v>0</v>
      </c>
      <c r="BP233" s="49">
        <f ca="1"/>
        <v>0</v>
      </c>
      <c r="BQ233" s="49">
        <f ca="1"/>
        <v>0</v>
      </c>
      <c r="BR233" s="49">
        <f ca="1"/>
        <v>0</v>
      </c>
      <c r="BS233" s="49">
        <f ca="1"/>
        <v>0</v>
      </c>
    </row>
    <row r="234" spans="3:71" outlineLevel="1" x14ac:dyDescent="0.2">
      <c r="D234" s="50" t="str">
        <f>HM_ZA_Nkossa!D225</f>
        <v>Investissement-Développement</v>
      </c>
      <c r="I234" s="30">
        <f t="shared" ca="1" si="53"/>
        <v>40.866999999999997</v>
      </c>
      <c r="J234" s="26" t="s">
        <v>148</v>
      </c>
      <c r="K234" s="7" t="s">
        <v>198</v>
      </c>
      <c r="L234" s="49" cm="1">
        <f t="array" aca="1" ref="L234:BS234" ca="1">HM_ZB_Nsoko!CA_devex_nom</f>
        <v>0.81200000000000006</v>
      </c>
      <c r="M234" s="49">
        <f ca="1"/>
        <v>38.951000000000001</v>
      </c>
      <c r="N234" s="49">
        <f ca="1"/>
        <v>0.69199999999999995</v>
      </c>
      <c r="O234" s="49">
        <f ca="1"/>
        <v>0.156</v>
      </c>
      <c r="P234" s="49">
        <f ca="1"/>
        <v>0.25600000000000001</v>
      </c>
      <c r="Q234" s="49">
        <f ca="1"/>
        <v>0</v>
      </c>
      <c r="R234" s="49">
        <f ca="1"/>
        <v>0</v>
      </c>
      <c r="S234" s="49">
        <f ca="1"/>
        <v>0</v>
      </c>
      <c r="T234" s="49">
        <f ca="1"/>
        <v>0</v>
      </c>
      <c r="U234" s="49">
        <f ca="1"/>
        <v>0</v>
      </c>
      <c r="V234" s="49">
        <f ca="1"/>
        <v>0</v>
      </c>
      <c r="W234" s="49">
        <f ca="1"/>
        <v>0</v>
      </c>
      <c r="X234" s="49">
        <f ca="1"/>
        <v>0</v>
      </c>
      <c r="Y234" s="49">
        <f ca="1"/>
        <v>0</v>
      </c>
      <c r="Z234" s="49">
        <f ca="1"/>
        <v>0</v>
      </c>
      <c r="AA234" s="49">
        <f ca="1"/>
        <v>0</v>
      </c>
      <c r="AB234" s="49">
        <f ca="1"/>
        <v>0</v>
      </c>
      <c r="AC234" s="49">
        <f ca="1"/>
        <v>0</v>
      </c>
      <c r="AD234" s="49">
        <f ca="1"/>
        <v>0</v>
      </c>
      <c r="AE234" s="49">
        <f ca="1"/>
        <v>0</v>
      </c>
      <c r="AF234" s="49">
        <f ca="1"/>
        <v>0</v>
      </c>
      <c r="AG234" s="49">
        <f ca="1"/>
        <v>0</v>
      </c>
      <c r="AH234" s="49">
        <f ca="1"/>
        <v>0</v>
      </c>
      <c r="AI234" s="49">
        <f ca="1"/>
        <v>0</v>
      </c>
      <c r="AJ234" s="49">
        <f ca="1"/>
        <v>0</v>
      </c>
      <c r="AK234" s="49">
        <f ca="1"/>
        <v>0</v>
      </c>
      <c r="AL234" s="49">
        <f ca="1"/>
        <v>0</v>
      </c>
      <c r="AM234" s="49">
        <f ca="1"/>
        <v>0</v>
      </c>
      <c r="AN234" s="49">
        <f ca="1"/>
        <v>0</v>
      </c>
      <c r="AO234" s="49">
        <f ca="1"/>
        <v>0</v>
      </c>
      <c r="AP234" s="49">
        <f ca="1"/>
        <v>0</v>
      </c>
      <c r="AQ234" s="49">
        <f ca="1"/>
        <v>0</v>
      </c>
      <c r="AR234" s="49">
        <f ca="1"/>
        <v>0</v>
      </c>
      <c r="AS234" s="49">
        <f ca="1"/>
        <v>0</v>
      </c>
      <c r="AT234" s="49">
        <f ca="1"/>
        <v>0</v>
      </c>
      <c r="AU234" s="49">
        <f ca="1"/>
        <v>0</v>
      </c>
      <c r="AV234" s="49">
        <f ca="1"/>
        <v>0</v>
      </c>
      <c r="AW234" s="49">
        <f ca="1"/>
        <v>0</v>
      </c>
      <c r="AX234" s="49">
        <f ca="1"/>
        <v>0</v>
      </c>
      <c r="AY234" s="49">
        <f ca="1"/>
        <v>0</v>
      </c>
      <c r="AZ234" s="49">
        <f ca="1"/>
        <v>0</v>
      </c>
      <c r="BA234" s="49">
        <f ca="1"/>
        <v>0</v>
      </c>
      <c r="BB234" s="49">
        <f ca="1"/>
        <v>0</v>
      </c>
      <c r="BC234" s="49">
        <f ca="1"/>
        <v>0</v>
      </c>
      <c r="BD234" s="49">
        <f ca="1"/>
        <v>0</v>
      </c>
      <c r="BE234" s="49">
        <f ca="1"/>
        <v>0</v>
      </c>
      <c r="BF234" s="49">
        <f ca="1"/>
        <v>0</v>
      </c>
      <c r="BG234" s="49">
        <f ca="1"/>
        <v>0</v>
      </c>
      <c r="BH234" s="49">
        <f ca="1"/>
        <v>0</v>
      </c>
      <c r="BI234" s="49">
        <f ca="1"/>
        <v>0</v>
      </c>
      <c r="BJ234" s="49">
        <f ca="1"/>
        <v>0</v>
      </c>
      <c r="BK234" s="49">
        <f ca="1"/>
        <v>0</v>
      </c>
      <c r="BL234" s="49">
        <f ca="1"/>
        <v>0</v>
      </c>
      <c r="BM234" s="49">
        <f ca="1"/>
        <v>0</v>
      </c>
      <c r="BN234" s="49">
        <f ca="1"/>
        <v>0</v>
      </c>
      <c r="BO234" s="49">
        <f ca="1"/>
        <v>0</v>
      </c>
      <c r="BP234" s="49">
        <f ca="1"/>
        <v>0</v>
      </c>
      <c r="BQ234" s="49">
        <f ca="1"/>
        <v>0</v>
      </c>
      <c r="BR234" s="49">
        <f ca="1"/>
        <v>0</v>
      </c>
      <c r="BS234" s="49">
        <f ca="1"/>
        <v>0</v>
      </c>
    </row>
    <row r="235" spans="3:71" outlineLevel="1" x14ac:dyDescent="0.2">
      <c r="D235" s="50" t="str">
        <f>HM_ZA_Nkossa!D226</f>
        <v>Investissement -Dépenses d'exploration</v>
      </c>
      <c r="I235" s="30">
        <f t="shared" ca="1" si="53"/>
        <v>0</v>
      </c>
      <c r="J235" s="26" t="s">
        <v>148</v>
      </c>
      <c r="K235" s="7" t="s">
        <v>199</v>
      </c>
      <c r="L235" s="49" cm="1">
        <f t="array" aca="1" ref="L235:BS235" ca="1">HM_ZB_Nsoko!CA_expex_nom*recov_EandA_toggle</f>
        <v>0</v>
      </c>
      <c r="M235" s="49">
        <f ca="1"/>
        <v>0</v>
      </c>
      <c r="N235" s="49">
        <f ca="1"/>
        <v>0</v>
      </c>
      <c r="O235" s="49">
        <f ca="1"/>
        <v>0</v>
      </c>
      <c r="P235" s="49">
        <f ca="1"/>
        <v>0</v>
      </c>
      <c r="Q235" s="49">
        <f ca="1"/>
        <v>0</v>
      </c>
      <c r="R235" s="49">
        <f ca="1"/>
        <v>0</v>
      </c>
      <c r="S235" s="49">
        <f ca="1"/>
        <v>0</v>
      </c>
      <c r="T235" s="49">
        <f ca="1"/>
        <v>0</v>
      </c>
      <c r="U235" s="49">
        <f ca="1"/>
        <v>0</v>
      </c>
      <c r="V235" s="49">
        <f ca="1"/>
        <v>0</v>
      </c>
      <c r="W235" s="49">
        <f ca="1"/>
        <v>0</v>
      </c>
      <c r="X235" s="49">
        <f ca="1"/>
        <v>0</v>
      </c>
      <c r="Y235" s="49">
        <f ca="1"/>
        <v>0</v>
      </c>
      <c r="Z235" s="49">
        <f ca="1"/>
        <v>0</v>
      </c>
      <c r="AA235" s="49">
        <f ca="1"/>
        <v>0</v>
      </c>
      <c r="AB235" s="49">
        <f ca="1"/>
        <v>0</v>
      </c>
      <c r="AC235" s="49">
        <f ca="1"/>
        <v>0</v>
      </c>
      <c r="AD235" s="49">
        <f ca="1"/>
        <v>0</v>
      </c>
      <c r="AE235" s="49">
        <f ca="1"/>
        <v>0</v>
      </c>
      <c r="AF235" s="49">
        <f ca="1"/>
        <v>0</v>
      </c>
      <c r="AG235" s="49">
        <f ca="1"/>
        <v>0</v>
      </c>
      <c r="AH235" s="49">
        <f ca="1"/>
        <v>0</v>
      </c>
      <c r="AI235" s="49">
        <f ca="1"/>
        <v>0</v>
      </c>
      <c r="AJ235" s="49">
        <f ca="1"/>
        <v>0</v>
      </c>
      <c r="AK235" s="49">
        <f ca="1"/>
        <v>0</v>
      </c>
      <c r="AL235" s="49">
        <f ca="1"/>
        <v>0</v>
      </c>
      <c r="AM235" s="49">
        <f ca="1"/>
        <v>0</v>
      </c>
      <c r="AN235" s="49">
        <f ca="1"/>
        <v>0</v>
      </c>
      <c r="AO235" s="49">
        <f ca="1"/>
        <v>0</v>
      </c>
      <c r="AP235" s="49">
        <f ca="1"/>
        <v>0</v>
      </c>
      <c r="AQ235" s="49">
        <f ca="1"/>
        <v>0</v>
      </c>
      <c r="AR235" s="49">
        <f ca="1"/>
        <v>0</v>
      </c>
      <c r="AS235" s="49">
        <f ca="1"/>
        <v>0</v>
      </c>
      <c r="AT235" s="49">
        <f ca="1"/>
        <v>0</v>
      </c>
      <c r="AU235" s="49">
        <f ca="1"/>
        <v>0</v>
      </c>
      <c r="AV235" s="49">
        <f ca="1"/>
        <v>0</v>
      </c>
      <c r="AW235" s="49">
        <f ca="1"/>
        <v>0</v>
      </c>
      <c r="AX235" s="49">
        <f ca="1"/>
        <v>0</v>
      </c>
      <c r="AY235" s="49">
        <f ca="1"/>
        <v>0</v>
      </c>
      <c r="AZ235" s="49">
        <f ca="1"/>
        <v>0</v>
      </c>
      <c r="BA235" s="49">
        <f ca="1"/>
        <v>0</v>
      </c>
      <c r="BB235" s="49">
        <f ca="1"/>
        <v>0</v>
      </c>
      <c r="BC235" s="49">
        <f ca="1"/>
        <v>0</v>
      </c>
      <c r="BD235" s="49">
        <f ca="1"/>
        <v>0</v>
      </c>
      <c r="BE235" s="49">
        <f ca="1"/>
        <v>0</v>
      </c>
      <c r="BF235" s="49">
        <f ca="1"/>
        <v>0</v>
      </c>
      <c r="BG235" s="49">
        <f ca="1"/>
        <v>0</v>
      </c>
      <c r="BH235" s="49">
        <f ca="1"/>
        <v>0</v>
      </c>
      <c r="BI235" s="49">
        <f ca="1"/>
        <v>0</v>
      </c>
      <c r="BJ235" s="49">
        <f ca="1"/>
        <v>0</v>
      </c>
      <c r="BK235" s="49">
        <f ca="1"/>
        <v>0</v>
      </c>
      <c r="BL235" s="49">
        <f ca="1"/>
        <v>0</v>
      </c>
      <c r="BM235" s="49">
        <f ca="1"/>
        <v>0</v>
      </c>
      <c r="BN235" s="49">
        <f ca="1"/>
        <v>0</v>
      </c>
      <c r="BO235" s="49">
        <f ca="1"/>
        <v>0</v>
      </c>
      <c r="BP235" s="49">
        <f ca="1"/>
        <v>0</v>
      </c>
      <c r="BQ235" s="49">
        <f ca="1"/>
        <v>0</v>
      </c>
      <c r="BR235" s="49">
        <f ca="1"/>
        <v>0</v>
      </c>
      <c r="BS235" s="49">
        <f ca="1"/>
        <v>0</v>
      </c>
    </row>
    <row r="236" spans="3:71" outlineLevel="1" x14ac:dyDescent="0.2">
      <c r="D236" s="50" t="str">
        <f>HM_ZA_Nkossa!D227</f>
        <v>Coûts d'abandon</v>
      </c>
      <c r="I236" s="30">
        <f t="shared" ca="1" si="53"/>
        <v>37.902999999999999</v>
      </c>
      <c r="J236" s="26" t="s">
        <v>148</v>
      </c>
      <c r="K236" s="7" t="s">
        <v>679</v>
      </c>
      <c r="L236" s="49">
        <f ca="1">HM_ZB_Nsoko!CA_decom_nom</f>
        <v>4.1470000000000002</v>
      </c>
      <c r="M236" s="49">
        <f ca="1">HM_ZB_Nsoko!CA_decom_nom</f>
        <v>4.7190000000000003</v>
      </c>
      <c r="N236" s="49">
        <f ca="1">HM_ZB_Nsoko!CA_decom_nom</f>
        <v>6.5110000000000001</v>
      </c>
      <c r="O236" s="49">
        <f ca="1">HM_ZB_Nsoko!CA_decom_nom</f>
        <v>7.0970000000000004</v>
      </c>
      <c r="P236" s="49">
        <f ca="1">HM_ZB_Nsoko!CA_decom_nom</f>
        <v>7.5179999999999998</v>
      </c>
      <c r="Q236" s="49">
        <f ca="1">HM_ZB_Nsoko!CA_decom_nom</f>
        <v>7.9109999999999996</v>
      </c>
      <c r="R236" s="49">
        <f ca="1">HM_ZB_Nsoko!CA_decom_nom</f>
        <v>0</v>
      </c>
      <c r="S236" s="49">
        <f ca="1">HM_ZB_Nsoko!CA_decom_nom</f>
        <v>0</v>
      </c>
      <c r="T236" s="49">
        <f ca="1">HM_ZB_Nsoko!CA_decom_nom</f>
        <v>0</v>
      </c>
      <c r="U236" s="49">
        <f ca="1">HM_ZB_Nsoko!CA_decom_nom</f>
        <v>0</v>
      </c>
      <c r="V236" s="49">
        <f ca="1">HM_ZB_Nsoko!CA_decom_nom</f>
        <v>0</v>
      </c>
      <c r="W236" s="49">
        <f ca="1">HM_ZB_Nsoko!CA_decom_nom</f>
        <v>0</v>
      </c>
      <c r="X236" s="49">
        <f ca="1">HM_ZB_Nsoko!CA_decom_nom</f>
        <v>0</v>
      </c>
      <c r="Y236" s="49">
        <f ca="1">HM_ZB_Nsoko!CA_decom_nom</f>
        <v>0</v>
      </c>
      <c r="Z236" s="49">
        <f ca="1">HM_ZB_Nsoko!CA_decom_nom</f>
        <v>0</v>
      </c>
      <c r="AA236" s="49">
        <f ca="1">HM_ZB_Nsoko!CA_decom_nom</f>
        <v>0</v>
      </c>
      <c r="AB236" s="49">
        <f ca="1">HM_ZB_Nsoko!CA_decom_nom</f>
        <v>0</v>
      </c>
      <c r="AC236" s="49">
        <f ca="1">HM_ZB_Nsoko!CA_decom_nom</f>
        <v>0</v>
      </c>
      <c r="AD236" s="49">
        <f ca="1">HM_ZB_Nsoko!CA_decom_nom</f>
        <v>0</v>
      </c>
      <c r="AE236" s="49">
        <f ca="1">HM_ZB_Nsoko!CA_decom_nom</f>
        <v>0</v>
      </c>
      <c r="AF236" s="49">
        <f ca="1">HM_ZB_Nsoko!CA_decom_nom</f>
        <v>0</v>
      </c>
      <c r="AG236" s="49">
        <f ca="1">HM_ZB_Nsoko!CA_decom_nom</f>
        <v>0</v>
      </c>
      <c r="AH236" s="49">
        <f ca="1">HM_ZB_Nsoko!CA_decom_nom</f>
        <v>0</v>
      </c>
      <c r="AI236" s="49">
        <f ca="1">HM_ZB_Nsoko!CA_decom_nom</f>
        <v>0</v>
      </c>
      <c r="AJ236" s="49">
        <f ca="1">HM_ZB_Nsoko!CA_decom_nom</f>
        <v>0</v>
      </c>
      <c r="AK236" s="49">
        <f ca="1">HM_ZB_Nsoko!CA_decom_nom</f>
        <v>0</v>
      </c>
      <c r="AL236" s="49">
        <f ca="1">HM_ZB_Nsoko!CA_decom_nom</f>
        <v>0</v>
      </c>
      <c r="AM236" s="49">
        <f ca="1">HM_ZB_Nsoko!CA_decom_nom</f>
        <v>0</v>
      </c>
      <c r="AN236" s="49">
        <f ca="1">HM_ZB_Nsoko!CA_decom_nom</f>
        <v>0</v>
      </c>
      <c r="AO236" s="49">
        <f ca="1">HM_ZB_Nsoko!CA_decom_nom</f>
        <v>0</v>
      </c>
      <c r="AP236" s="49">
        <f ca="1">HM_ZB_Nsoko!CA_decom_nom</f>
        <v>0</v>
      </c>
      <c r="AQ236" s="49">
        <f ca="1">HM_ZB_Nsoko!CA_decom_nom</f>
        <v>0</v>
      </c>
      <c r="AR236" s="49">
        <f ca="1">HM_ZB_Nsoko!CA_decom_nom</f>
        <v>0</v>
      </c>
      <c r="AS236" s="49">
        <f ca="1">HM_ZB_Nsoko!CA_decom_nom</f>
        <v>0</v>
      </c>
      <c r="AT236" s="49">
        <f ca="1">HM_ZB_Nsoko!CA_decom_nom</f>
        <v>0</v>
      </c>
      <c r="AU236" s="49">
        <f ca="1">HM_ZB_Nsoko!CA_decom_nom</f>
        <v>0</v>
      </c>
      <c r="AV236" s="49">
        <f ca="1">HM_ZB_Nsoko!CA_decom_nom</f>
        <v>0</v>
      </c>
      <c r="AW236" s="49">
        <f ca="1">HM_ZB_Nsoko!CA_decom_nom</f>
        <v>0</v>
      </c>
      <c r="AX236" s="49">
        <f ca="1">HM_ZB_Nsoko!CA_decom_nom</f>
        <v>0</v>
      </c>
      <c r="AY236" s="49">
        <f ca="1">HM_ZB_Nsoko!CA_decom_nom</f>
        <v>0</v>
      </c>
      <c r="AZ236" s="49">
        <f ca="1">HM_ZB_Nsoko!CA_decom_nom</f>
        <v>0</v>
      </c>
      <c r="BA236" s="49">
        <f ca="1">HM_ZB_Nsoko!CA_decom_nom</f>
        <v>0</v>
      </c>
      <c r="BB236" s="49">
        <f ca="1">HM_ZB_Nsoko!CA_decom_nom</f>
        <v>0</v>
      </c>
      <c r="BC236" s="49">
        <f ca="1">HM_ZB_Nsoko!CA_decom_nom</f>
        <v>0</v>
      </c>
      <c r="BD236" s="49">
        <f ca="1">HM_ZB_Nsoko!CA_decom_nom</f>
        <v>0</v>
      </c>
      <c r="BE236" s="49">
        <f ca="1">HM_ZB_Nsoko!CA_decom_nom</f>
        <v>0</v>
      </c>
      <c r="BF236" s="49">
        <f ca="1">HM_ZB_Nsoko!CA_decom_nom</f>
        <v>0</v>
      </c>
      <c r="BG236" s="49">
        <f ca="1">HM_ZB_Nsoko!CA_decom_nom</f>
        <v>0</v>
      </c>
      <c r="BH236" s="49">
        <f ca="1">HM_ZB_Nsoko!CA_decom_nom</f>
        <v>0</v>
      </c>
      <c r="BI236" s="49">
        <f ca="1">HM_ZB_Nsoko!CA_decom_nom</f>
        <v>0</v>
      </c>
      <c r="BJ236" s="49">
        <f ca="1">HM_ZB_Nsoko!CA_decom_nom</f>
        <v>0</v>
      </c>
      <c r="BK236" s="49">
        <f ca="1">HM_ZB_Nsoko!CA_decom_nom</f>
        <v>0</v>
      </c>
      <c r="BL236" s="49">
        <f ca="1">HM_ZB_Nsoko!CA_decom_nom</f>
        <v>0</v>
      </c>
      <c r="BM236" s="49">
        <f ca="1">HM_ZB_Nsoko!CA_decom_nom</f>
        <v>0</v>
      </c>
      <c r="BN236" s="49">
        <f ca="1">HM_ZB_Nsoko!CA_decom_nom</f>
        <v>0</v>
      </c>
      <c r="BO236" s="49">
        <f ca="1">HM_ZB_Nsoko!CA_decom_nom</f>
        <v>0</v>
      </c>
      <c r="BP236" s="49">
        <f ca="1">HM_ZB_Nsoko!CA_decom_nom</f>
        <v>0</v>
      </c>
      <c r="BQ236" s="49">
        <f ca="1">HM_ZB_Nsoko!CA_decom_nom</f>
        <v>0</v>
      </c>
      <c r="BR236" s="49">
        <f ca="1">HM_ZB_Nsoko!CA_decom_nom</f>
        <v>0</v>
      </c>
      <c r="BS236" s="49">
        <f ca="1">HM_ZB_Nsoko!CA_decom_nom</f>
        <v>0</v>
      </c>
    </row>
    <row r="237" spans="3:71" outlineLevel="1" x14ac:dyDescent="0.2">
      <c r="D237" s="50" t="str">
        <f>HM_ZA_Nkossa!D228</f>
        <v>Solde des coûts non récupérés</v>
      </c>
      <c r="I237" s="30">
        <f t="shared" ca="1" si="53"/>
        <v>32.868526799999998</v>
      </c>
      <c r="J237" s="26" t="s">
        <v>148</v>
      </c>
      <c r="K237" s="7" t="s">
        <v>676</v>
      </c>
      <c r="L237" s="49">
        <f ca="1">OFFSET(_xlfn.SINGLE(IA_unrec_cost_bal_real),3,)</f>
        <v>32.868526799999998</v>
      </c>
      <c r="M237" s="49"/>
      <c r="N237" s="49"/>
      <c r="O237" s="49"/>
      <c r="P237" s="49"/>
      <c r="Q237" s="49"/>
      <c r="R237" s="49"/>
      <c r="S237" s="49"/>
      <c r="T237" s="49"/>
      <c r="U237" s="49"/>
      <c r="V237" s="49"/>
      <c r="W237" s="49"/>
      <c r="X237" s="49"/>
      <c r="Y237" s="49"/>
      <c r="Z237" s="49"/>
      <c r="AA237" s="49"/>
      <c r="AB237" s="49"/>
      <c r="AC237" s="49"/>
      <c r="AD237" s="49"/>
      <c r="AE237" s="49"/>
      <c r="AF237" s="49"/>
      <c r="AG237" s="49"/>
      <c r="AH237" s="49"/>
      <c r="AI237" s="49"/>
      <c r="AJ237" s="49"/>
      <c r="AK237" s="49"/>
      <c r="AL237" s="49"/>
      <c r="AM237" s="49"/>
      <c r="AN237" s="49"/>
      <c r="AO237" s="49"/>
      <c r="AP237" s="49"/>
      <c r="AQ237" s="49"/>
      <c r="AR237" s="49"/>
      <c r="AS237" s="49"/>
      <c r="AT237" s="49"/>
      <c r="AU237" s="49"/>
      <c r="AV237" s="49"/>
      <c r="AW237" s="49"/>
      <c r="AX237" s="49"/>
      <c r="AY237" s="49"/>
      <c r="AZ237" s="49"/>
      <c r="BA237" s="49"/>
      <c r="BB237" s="49"/>
      <c r="BC237" s="49"/>
      <c r="BD237" s="49"/>
      <c r="BE237" s="49"/>
      <c r="BF237" s="49"/>
      <c r="BG237" s="49"/>
      <c r="BH237" s="49"/>
      <c r="BI237" s="49"/>
      <c r="BJ237" s="49"/>
      <c r="BK237" s="49"/>
      <c r="BL237" s="49"/>
      <c r="BM237" s="49"/>
      <c r="BN237" s="49"/>
      <c r="BO237" s="49"/>
      <c r="BP237" s="49"/>
      <c r="BQ237" s="49"/>
      <c r="BR237" s="49"/>
      <c r="BS237" s="49"/>
    </row>
    <row r="238" spans="3:71" outlineLevel="1" x14ac:dyDescent="0.2">
      <c r="D238" s="51" t="str">
        <f>HM_ZA_Nkossa!D229</f>
        <v>Total des coûts récupérables</v>
      </c>
      <c r="I238" s="30">
        <f t="shared" ca="1" si="53"/>
        <v>228.6303032206574</v>
      </c>
      <c r="J238" s="26" t="s">
        <v>148</v>
      </c>
      <c r="L238" s="49">
        <f ca="1">SUM(L232:L237)</f>
        <v>48.243860492929997</v>
      </c>
      <c r="M238" s="49">
        <f t="shared" ref="M238:BS238" ca="1" si="54">SUM(M232:M237)</f>
        <v>52.458372322110002</v>
      </c>
      <c r="N238" s="49">
        <f t="shared" ca="1" si="54"/>
        <v>15.019790706840002</v>
      </c>
      <c r="O238" s="49">
        <f t="shared" ca="1" si="54"/>
        <v>14.260695899790001</v>
      </c>
      <c r="P238" s="49">
        <f t="shared" ca="1" si="54"/>
        <v>15.425057457840001</v>
      </c>
      <c r="Q238" s="49">
        <f t="shared" ca="1" si="54"/>
        <v>15.68658781633</v>
      </c>
      <c r="R238" s="49">
        <f t="shared" ca="1" si="54"/>
        <v>4.7642002769999996</v>
      </c>
      <c r="S238" s="49">
        <f t="shared" ca="1" si="54"/>
        <v>10.309396438774698</v>
      </c>
      <c r="T238" s="49">
        <f t="shared" ca="1" si="54"/>
        <v>10.326735489972782</v>
      </c>
      <c r="U238" s="49">
        <f t="shared" ca="1" si="54"/>
        <v>10.42198874905549</v>
      </c>
      <c r="V238" s="49">
        <f t="shared" ca="1" si="54"/>
        <v>10.495972927354037</v>
      </c>
      <c r="W238" s="49">
        <f t="shared" ca="1" si="54"/>
        <v>10.570919350888039</v>
      </c>
      <c r="X238" s="49">
        <f t="shared" ca="1" si="54"/>
        <v>10.646725291772395</v>
      </c>
      <c r="Y238" s="49">
        <f t="shared" ca="1" si="54"/>
        <v>0</v>
      </c>
      <c r="Z238" s="49">
        <f t="shared" ca="1" si="54"/>
        <v>0</v>
      </c>
      <c r="AA238" s="49">
        <f t="shared" ca="1" si="54"/>
        <v>0</v>
      </c>
      <c r="AB238" s="49">
        <f t="shared" ca="1" si="54"/>
        <v>0</v>
      </c>
      <c r="AC238" s="49">
        <f t="shared" ca="1" si="54"/>
        <v>0</v>
      </c>
      <c r="AD238" s="49">
        <f t="shared" ca="1" si="54"/>
        <v>0</v>
      </c>
      <c r="AE238" s="49">
        <f t="shared" ca="1" si="54"/>
        <v>0</v>
      </c>
      <c r="AF238" s="49">
        <f t="shared" ca="1" si="54"/>
        <v>0</v>
      </c>
      <c r="AG238" s="49">
        <f t="shared" ca="1" si="54"/>
        <v>0</v>
      </c>
      <c r="AH238" s="49">
        <f t="shared" ca="1" si="54"/>
        <v>0</v>
      </c>
      <c r="AI238" s="49">
        <f t="shared" ca="1" si="54"/>
        <v>0</v>
      </c>
      <c r="AJ238" s="49">
        <f t="shared" ca="1" si="54"/>
        <v>0</v>
      </c>
      <c r="AK238" s="49">
        <f t="shared" ca="1" si="54"/>
        <v>0</v>
      </c>
      <c r="AL238" s="49">
        <f t="shared" ca="1" si="54"/>
        <v>0</v>
      </c>
      <c r="AM238" s="49">
        <f t="shared" ca="1" si="54"/>
        <v>0</v>
      </c>
      <c r="AN238" s="49">
        <f t="shared" ca="1" si="54"/>
        <v>0</v>
      </c>
      <c r="AO238" s="49">
        <f t="shared" ca="1" si="54"/>
        <v>0</v>
      </c>
      <c r="AP238" s="49">
        <f t="shared" ca="1" si="54"/>
        <v>0</v>
      </c>
      <c r="AQ238" s="49">
        <f t="shared" ca="1" si="54"/>
        <v>0</v>
      </c>
      <c r="AR238" s="49">
        <f t="shared" ca="1" si="54"/>
        <v>0</v>
      </c>
      <c r="AS238" s="49">
        <f t="shared" ca="1" si="54"/>
        <v>0</v>
      </c>
      <c r="AT238" s="49">
        <f t="shared" ca="1" si="54"/>
        <v>0</v>
      </c>
      <c r="AU238" s="49">
        <f t="shared" ca="1" si="54"/>
        <v>0</v>
      </c>
      <c r="AV238" s="49">
        <f t="shared" ca="1" si="54"/>
        <v>0</v>
      </c>
      <c r="AW238" s="49">
        <f t="shared" ca="1" si="54"/>
        <v>0</v>
      </c>
      <c r="AX238" s="49">
        <f t="shared" ca="1" si="54"/>
        <v>0</v>
      </c>
      <c r="AY238" s="49">
        <f t="shared" ca="1" si="54"/>
        <v>0</v>
      </c>
      <c r="AZ238" s="49">
        <f t="shared" ca="1" si="54"/>
        <v>0</v>
      </c>
      <c r="BA238" s="49">
        <f t="shared" ca="1" si="54"/>
        <v>0</v>
      </c>
      <c r="BB238" s="49">
        <f t="shared" ca="1" si="54"/>
        <v>0</v>
      </c>
      <c r="BC238" s="49">
        <f t="shared" ca="1" si="54"/>
        <v>0</v>
      </c>
      <c r="BD238" s="49">
        <f t="shared" ca="1" si="54"/>
        <v>0</v>
      </c>
      <c r="BE238" s="49">
        <f t="shared" ca="1" si="54"/>
        <v>0</v>
      </c>
      <c r="BF238" s="49">
        <f t="shared" ca="1" si="54"/>
        <v>0</v>
      </c>
      <c r="BG238" s="49">
        <f t="shared" ca="1" si="54"/>
        <v>0</v>
      </c>
      <c r="BH238" s="49">
        <f t="shared" ca="1" si="54"/>
        <v>0</v>
      </c>
      <c r="BI238" s="49">
        <f t="shared" ca="1" si="54"/>
        <v>0</v>
      </c>
      <c r="BJ238" s="49">
        <f t="shared" ca="1" si="54"/>
        <v>0</v>
      </c>
      <c r="BK238" s="49">
        <f t="shared" ca="1" si="54"/>
        <v>0</v>
      </c>
      <c r="BL238" s="49">
        <f t="shared" ca="1" si="54"/>
        <v>0</v>
      </c>
      <c r="BM238" s="49">
        <f t="shared" ca="1" si="54"/>
        <v>0</v>
      </c>
      <c r="BN238" s="49">
        <f t="shared" ca="1" si="54"/>
        <v>0</v>
      </c>
      <c r="BO238" s="49">
        <f t="shared" ca="1" si="54"/>
        <v>0</v>
      </c>
      <c r="BP238" s="49">
        <f t="shared" ca="1" si="54"/>
        <v>0</v>
      </c>
      <c r="BQ238" s="49">
        <f t="shared" ca="1" si="54"/>
        <v>0</v>
      </c>
      <c r="BR238" s="49">
        <f t="shared" ca="1" si="54"/>
        <v>0</v>
      </c>
      <c r="BS238" s="49">
        <f t="shared" ca="1" si="54"/>
        <v>0</v>
      </c>
    </row>
    <row r="239" spans="3:71" outlineLevel="1" x14ac:dyDescent="0.2">
      <c r="J239" s="26"/>
      <c r="L239" s="55"/>
      <c r="M239" s="55"/>
      <c r="N239" s="55"/>
      <c r="O239" s="55"/>
      <c r="P239" s="55"/>
      <c r="Q239" s="55"/>
      <c r="R239" s="55"/>
      <c r="S239" s="55"/>
      <c r="T239" s="55"/>
      <c r="U239" s="55"/>
      <c r="V239" s="55"/>
      <c r="W239" s="55"/>
      <c r="X239" s="55"/>
      <c r="Y239" s="55"/>
      <c r="Z239" s="55"/>
      <c r="AA239" s="55"/>
      <c r="AB239" s="55"/>
      <c r="AC239" s="55"/>
      <c r="AD239" s="55"/>
      <c r="AE239" s="55"/>
      <c r="AF239" s="55"/>
      <c r="AG239" s="55"/>
      <c r="AH239" s="55"/>
      <c r="AI239" s="55"/>
      <c r="AJ239" s="55"/>
      <c r="AK239" s="55"/>
      <c r="AL239" s="55"/>
      <c r="AM239" s="55"/>
      <c r="AN239" s="55"/>
      <c r="AO239" s="55"/>
      <c r="AP239" s="55"/>
      <c r="AQ239" s="55"/>
      <c r="AR239" s="55"/>
      <c r="AS239" s="55"/>
      <c r="AT239" s="55"/>
      <c r="AU239" s="55"/>
      <c r="AV239" s="55"/>
      <c r="AW239" s="55"/>
      <c r="AX239" s="55"/>
      <c r="AY239" s="55"/>
      <c r="AZ239" s="55"/>
      <c r="BA239" s="55"/>
      <c r="BB239" s="55"/>
      <c r="BC239" s="55"/>
      <c r="BD239" s="55"/>
      <c r="BE239" s="55"/>
      <c r="BF239" s="55"/>
      <c r="BG239" s="55"/>
      <c r="BH239" s="55"/>
      <c r="BI239" s="55"/>
      <c r="BJ239" s="55"/>
      <c r="BK239" s="55"/>
      <c r="BL239" s="55"/>
      <c r="BM239" s="55"/>
      <c r="BN239" s="55"/>
      <c r="BO239" s="55"/>
      <c r="BP239" s="55"/>
      <c r="BQ239" s="55"/>
      <c r="BR239" s="55"/>
      <c r="BS239" s="55"/>
    </row>
    <row r="240" spans="3:71" outlineLevel="1" x14ac:dyDescent="0.2">
      <c r="D240" s="143" t="str">
        <f>HM_ZA_Nkossa!D233</f>
        <v>% Cost stop</v>
      </c>
      <c r="J240" s="26"/>
      <c r="L240" s="49">
        <f ca="1">IF(HM_ZB_Nsoko!CA_FP_oil_nom&gt;HM_ZB_Nsoko!CA_HP1_oil_nom,HM_ZB_Nsoko!cost_stop_perc,HM_ZB_Nsoko!cost_stop_perc)*(HM_ZB_Nsoko!CA_PSC_switch_trig=0)+(HM_ZB_Nsoko!cost_stop_perc)*(HM_ZB_Nsoko!CA_PSC_switch_trig=1)</f>
        <v>0.6</v>
      </c>
      <c r="M240" s="49">
        <f ca="1">IF(HM_ZB_Nsoko!CA_FP_oil_nom&gt;HM_ZB_Nsoko!CA_HP1_oil_nom,HM_ZB_Nsoko!cost_stop_perc,HM_ZB_Nsoko!cost_stop_perc)*(HM_ZB_Nsoko!CA_PSC_switch_trig=0)+(HM_ZB_Nsoko!cost_stop_perc)*(HM_ZB_Nsoko!CA_PSC_switch_trig=1)</f>
        <v>0.6</v>
      </c>
      <c r="N240" s="49">
        <f ca="1">IF(HM_ZB_Nsoko!CA_FP_oil_nom&gt;HM_ZB_Nsoko!CA_HP1_oil_nom,HM_ZB_Nsoko!cost_stop_perc,HM_ZB_Nsoko!cost_stop_perc)*(HM_ZB_Nsoko!CA_PSC_switch_trig=0)+(HM_ZB_Nsoko!cost_stop_perc)*(HM_ZB_Nsoko!CA_PSC_switch_trig=1)</f>
        <v>0.6</v>
      </c>
      <c r="O240" s="49">
        <f ca="1">IF(HM_ZB_Nsoko!CA_FP_oil_nom&gt;HM_ZB_Nsoko!CA_HP1_oil_nom,HM_ZB_Nsoko!cost_stop_perc,HM_ZB_Nsoko!cost_stop_perc)*(HM_ZB_Nsoko!CA_PSC_switch_trig=0)+(HM_ZB_Nsoko!cost_stop_perc)*(HM_ZB_Nsoko!CA_PSC_switch_trig=1)</f>
        <v>0.6</v>
      </c>
      <c r="P240" s="49">
        <f ca="1">IF(HM_ZB_Nsoko!CA_FP_oil_nom&gt;HM_ZB_Nsoko!CA_HP1_oil_nom,HM_ZB_Nsoko!cost_stop_perc,HM_ZB_Nsoko!cost_stop_perc)*(HM_ZB_Nsoko!CA_PSC_switch_trig=0)+(HM_ZB_Nsoko!cost_stop_perc)*(HM_ZB_Nsoko!CA_PSC_switch_trig=1)</f>
        <v>0.6</v>
      </c>
      <c r="Q240" s="49">
        <f ca="1">IF(HM_ZB_Nsoko!CA_FP_oil_nom&gt;HM_ZB_Nsoko!CA_HP1_oil_nom,HM_ZB_Nsoko!cost_stop_perc,HM_ZB_Nsoko!cost_stop_perc)*(HM_ZB_Nsoko!CA_PSC_switch_trig=0)+(HM_ZB_Nsoko!cost_stop_perc)*(HM_ZB_Nsoko!CA_PSC_switch_trig=1)</f>
        <v>0.6</v>
      </c>
      <c r="R240" s="49">
        <f ca="1">IF(HM_ZB_Nsoko!CA_FP_oil_nom&gt;HM_ZB_Nsoko!CA_HP1_oil_nom,HM_ZB_Nsoko!cost_stop_perc,HM_ZB_Nsoko!cost_stop_perc)*(HM_ZB_Nsoko!CA_PSC_switch_trig=0)+(HM_ZB_Nsoko!cost_stop_perc)*(HM_ZB_Nsoko!CA_PSC_switch_trig=1)</f>
        <v>0.6</v>
      </c>
      <c r="S240" s="49">
        <f ca="1">IF(HM_ZB_Nsoko!CA_FP_oil_nom&gt;HM_ZB_Nsoko!CA_HP1_oil_nom,HM_ZB_Nsoko!cost_stop_perc,HM_ZB_Nsoko!cost_stop_perc)*(HM_ZB_Nsoko!CA_PSC_switch_trig=0)+(HM_ZB_Nsoko!cost_stop_perc)*(HM_ZB_Nsoko!CA_PSC_switch_trig=1)</f>
        <v>0.6</v>
      </c>
      <c r="T240" s="49">
        <f ca="1">IF(HM_ZB_Nsoko!CA_FP_oil_nom&gt;HM_ZB_Nsoko!CA_HP1_oil_nom,HM_ZB_Nsoko!cost_stop_perc,HM_ZB_Nsoko!cost_stop_perc)*(HM_ZB_Nsoko!CA_PSC_switch_trig=0)+(HM_ZB_Nsoko!cost_stop_perc)*(HM_ZB_Nsoko!CA_PSC_switch_trig=1)</f>
        <v>0.6</v>
      </c>
      <c r="U240" s="49">
        <f ca="1">IF(HM_ZB_Nsoko!CA_FP_oil_nom&gt;HM_ZB_Nsoko!CA_HP1_oil_nom,HM_ZB_Nsoko!cost_stop_perc,HM_ZB_Nsoko!cost_stop_perc)*(HM_ZB_Nsoko!CA_PSC_switch_trig=0)+(HM_ZB_Nsoko!cost_stop_perc)*(HM_ZB_Nsoko!CA_PSC_switch_trig=1)</f>
        <v>0.6</v>
      </c>
      <c r="V240" s="49">
        <f ca="1">IF(HM_ZB_Nsoko!CA_FP_oil_nom&gt;HM_ZB_Nsoko!CA_HP1_oil_nom,HM_ZB_Nsoko!cost_stop_perc,HM_ZB_Nsoko!cost_stop_perc)*(HM_ZB_Nsoko!CA_PSC_switch_trig=0)+(HM_ZB_Nsoko!cost_stop_perc)*(HM_ZB_Nsoko!CA_PSC_switch_trig=1)</f>
        <v>0.6</v>
      </c>
      <c r="W240" s="49">
        <f ca="1">IF(HM_ZB_Nsoko!CA_FP_oil_nom&gt;HM_ZB_Nsoko!CA_HP1_oil_nom,HM_ZB_Nsoko!cost_stop_perc,HM_ZB_Nsoko!cost_stop_perc)*(HM_ZB_Nsoko!CA_PSC_switch_trig=0)+(HM_ZB_Nsoko!cost_stop_perc)*(HM_ZB_Nsoko!CA_PSC_switch_trig=1)</f>
        <v>0.6</v>
      </c>
      <c r="X240" s="49">
        <f ca="1">IF(HM_ZB_Nsoko!CA_FP_oil_nom&gt;HM_ZB_Nsoko!CA_HP1_oil_nom,HM_ZB_Nsoko!cost_stop_perc,HM_ZB_Nsoko!cost_stop_perc)*(HM_ZB_Nsoko!CA_PSC_switch_trig=0)+(HM_ZB_Nsoko!cost_stop_perc)*(HM_ZB_Nsoko!CA_PSC_switch_trig=1)</f>
        <v>0.6</v>
      </c>
      <c r="Y240" s="49">
        <f ca="1">IF(HM_ZB_Nsoko!CA_FP_oil_nom&gt;HM_ZB_Nsoko!CA_HP1_oil_nom,HM_ZB_Nsoko!cost_stop_perc,HM_ZB_Nsoko!cost_stop_perc)*(HM_ZB_Nsoko!CA_PSC_switch_trig=0)+(HM_ZB_Nsoko!cost_stop_perc)*(HM_ZB_Nsoko!CA_PSC_switch_trig=1)</f>
        <v>0.6</v>
      </c>
      <c r="Z240" s="49">
        <f ca="1">IF(HM_ZB_Nsoko!CA_FP_oil_nom&gt;HM_ZB_Nsoko!CA_HP1_oil_nom,HM_ZB_Nsoko!cost_stop_perc,HM_ZB_Nsoko!cost_stop_perc)*(HM_ZB_Nsoko!CA_PSC_switch_trig=0)+(HM_ZB_Nsoko!cost_stop_perc)*(HM_ZB_Nsoko!CA_PSC_switch_trig=1)</f>
        <v>0.6</v>
      </c>
      <c r="AA240" s="49">
        <f ca="1">IF(HM_ZB_Nsoko!CA_FP_oil_nom&gt;HM_ZB_Nsoko!CA_HP1_oil_nom,HM_ZB_Nsoko!cost_stop_perc,HM_ZB_Nsoko!cost_stop_perc)*(HM_ZB_Nsoko!CA_PSC_switch_trig=0)+(HM_ZB_Nsoko!cost_stop_perc)*(HM_ZB_Nsoko!CA_PSC_switch_trig=1)</f>
        <v>0.6</v>
      </c>
      <c r="AB240" s="49">
        <f ca="1">IF(HM_ZB_Nsoko!CA_FP_oil_nom&gt;HM_ZB_Nsoko!CA_HP1_oil_nom,HM_ZB_Nsoko!cost_stop_perc,HM_ZB_Nsoko!cost_stop_perc)*(HM_ZB_Nsoko!CA_PSC_switch_trig=0)+(HM_ZB_Nsoko!cost_stop_perc)*(HM_ZB_Nsoko!CA_PSC_switch_trig=1)</f>
        <v>0.6</v>
      </c>
      <c r="AC240" s="49">
        <f ca="1">IF(HM_ZB_Nsoko!CA_FP_oil_nom&gt;HM_ZB_Nsoko!CA_HP1_oil_nom,HM_ZB_Nsoko!cost_stop_perc,HM_ZB_Nsoko!cost_stop_perc)*(HM_ZB_Nsoko!CA_PSC_switch_trig=0)+(HM_ZB_Nsoko!cost_stop_perc)*(HM_ZB_Nsoko!CA_PSC_switch_trig=1)</f>
        <v>0.6</v>
      </c>
      <c r="AD240" s="49">
        <f ca="1">IF(HM_ZB_Nsoko!CA_FP_oil_nom&gt;HM_ZB_Nsoko!CA_HP1_oil_nom,HM_ZB_Nsoko!cost_stop_perc,HM_ZB_Nsoko!cost_stop_perc)*(HM_ZB_Nsoko!CA_PSC_switch_trig=0)+(HM_ZB_Nsoko!cost_stop_perc)*(HM_ZB_Nsoko!CA_PSC_switch_trig=1)</f>
        <v>0.6</v>
      </c>
      <c r="AE240" s="49">
        <f ca="1">IF(HM_ZB_Nsoko!CA_FP_oil_nom&gt;HM_ZB_Nsoko!CA_HP1_oil_nom,HM_ZB_Nsoko!cost_stop_perc,HM_ZB_Nsoko!cost_stop_perc)*(HM_ZB_Nsoko!CA_PSC_switch_trig=0)+(HM_ZB_Nsoko!cost_stop_perc)*(HM_ZB_Nsoko!CA_PSC_switch_trig=1)</f>
        <v>0.6</v>
      </c>
      <c r="AF240" s="49">
        <f ca="1">IF(HM_ZB_Nsoko!CA_FP_oil_nom&gt;HM_ZB_Nsoko!CA_HP1_oil_nom,HM_ZB_Nsoko!cost_stop_perc,HM_ZB_Nsoko!cost_stop_perc)*(HM_ZB_Nsoko!CA_PSC_switch_trig=0)+(HM_ZB_Nsoko!cost_stop_perc)*(HM_ZB_Nsoko!CA_PSC_switch_trig=1)</f>
        <v>0.6</v>
      </c>
      <c r="AG240" s="49">
        <f ca="1">IF(HM_ZB_Nsoko!CA_FP_oil_nom&gt;HM_ZB_Nsoko!CA_HP1_oil_nom,HM_ZB_Nsoko!cost_stop_perc,HM_ZB_Nsoko!cost_stop_perc)*(HM_ZB_Nsoko!CA_PSC_switch_trig=0)+(HM_ZB_Nsoko!cost_stop_perc)*(HM_ZB_Nsoko!CA_PSC_switch_trig=1)</f>
        <v>0.6</v>
      </c>
      <c r="AH240" s="49">
        <f ca="1">IF(HM_ZB_Nsoko!CA_FP_oil_nom&gt;HM_ZB_Nsoko!CA_HP1_oil_nom,HM_ZB_Nsoko!cost_stop_perc,HM_ZB_Nsoko!cost_stop_perc)*(HM_ZB_Nsoko!CA_PSC_switch_trig=0)+(HM_ZB_Nsoko!cost_stop_perc)*(HM_ZB_Nsoko!CA_PSC_switch_trig=1)</f>
        <v>0.6</v>
      </c>
      <c r="AI240" s="49">
        <f ca="1">IF(HM_ZB_Nsoko!CA_FP_oil_nom&gt;HM_ZB_Nsoko!CA_HP1_oil_nom,HM_ZB_Nsoko!cost_stop_perc,HM_ZB_Nsoko!cost_stop_perc)*(HM_ZB_Nsoko!CA_PSC_switch_trig=0)+(HM_ZB_Nsoko!cost_stop_perc)*(HM_ZB_Nsoko!CA_PSC_switch_trig=1)</f>
        <v>0.6</v>
      </c>
      <c r="AJ240" s="49">
        <f ca="1">IF(HM_ZB_Nsoko!CA_FP_oil_nom&gt;HM_ZB_Nsoko!CA_HP1_oil_nom,HM_ZB_Nsoko!cost_stop_perc,HM_ZB_Nsoko!cost_stop_perc)*(HM_ZB_Nsoko!CA_PSC_switch_trig=0)+(HM_ZB_Nsoko!cost_stop_perc)*(HM_ZB_Nsoko!CA_PSC_switch_trig=1)</f>
        <v>0.6</v>
      </c>
      <c r="AK240" s="49">
        <f ca="1">IF(HM_ZB_Nsoko!CA_FP_oil_nom&gt;HM_ZB_Nsoko!CA_HP1_oil_nom,HM_ZB_Nsoko!cost_stop_perc,HM_ZB_Nsoko!cost_stop_perc)*(HM_ZB_Nsoko!CA_PSC_switch_trig=0)+(HM_ZB_Nsoko!cost_stop_perc)*(HM_ZB_Nsoko!CA_PSC_switch_trig=1)</f>
        <v>0.6</v>
      </c>
      <c r="AL240" s="49">
        <f ca="1">IF(HM_ZB_Nsoko!CA_FP_oil_nom&gt;HM_ZB_Nsoko!CA_HP1_oil_nom,HM_ZB_Nsoko!cost_stop_perc,HM_ZB_Nsoko!cost_stop_perc)*(HM_ZB_Nsoko!CA_PSC_switch_trig=0)+(HM_ZB_Nsoko!cost_stop_perc)*(HM_ZB_Nsoko!CA_PSC_switch_trig=1)</f>
        <v>0.6</v>
      </c>
      <c r="AM240" s="49">
        <f ca="1">IF(HM_ZB_Nsoko!CA_FP_oil_nom&gt;HM_ZB_Nsoko!CA_HP1_oil_nom,HM_ZB_Nsoko!cost_stop_perc,HM_ZB_Nsoko!cost_stop_perc)*(HM_ZB_Nsoko!CA_PSC_switch_trig=0)+(HM_ZB_Nsoko!cost_stop_perc)*(HM_ZB_Nsoko!CA_PSC_switch_trig=1)</f>
        <v>0.6</v>
      </c>
      <c r="AN240" s="49">
        <f ca="1">IF(HM_ZB_Nsoko!CA_FP_oil_nom&gt;HM_ZB_Nsoko!CA_HP1_oil_nom,HM_ZB_Nsoko!cost_stop_perc,HM_ZB_Nsoko!cost_stop_perc)*(HM_ZB_Nsoko!CA_PSC_switch_trig=0)+(HM_ZB_Nsoko!cost_stop_perc)*(HM_ZB_Nsoko!CA_PSC_switch_trig=1)</f>
        <v>0.6</v>
      </c>
      <c r="AO240" s="49">
        <f ca="1">IF(HM_ZB_Nsoko!CA_FP_oil_nom&gt;HM_ZB_Nsoko!CA_HP1_oil_nom,HM_ZB_Nsoko!cost_stop_perc,HM_ZB_Nsoko!cost_stop_perc)*(HM_ZB_Nsoko!CA_PSC_switch_trig=0)+(HM_ZB_Nsoko!cost_stop_perc)*(HM_ZB_Nsoko!CA_PSC_switch_trig=1)</f>
        <v>0.6</v>
      </c>
      <c r="AP240" s="49">
        <f ca="1">IF(HM_ZB_Nsoko!CA_FP_oil_nom&gt;HM_ZB_Nsoko!CA_HP1_oil_nom,HM_ZB_Nsoko!cost_stop_perc,HM_ZB_Nsoko!cost_stop_perc)*(HM_ZB_Nsoko!CA_PSC_switch_trig=0)+(HM_ZB_Nsoko!cost_stop_perc)*(HM_ZB_Nsoko!CA_PSC_switch_trig=1)</f>
        <v>0.6</v>
      </c>
      <c r="AQ240" s="49">
        <f ca="1">IF(HM_ZB_Nsoko!CA_FP_oil_nom&gt;HM_ZB_Nsoko!CA_HP1_oil_nom,HM_ZB_Nsoko!cost_stop_perc,HM_ZB_Nsoko!cost_stop_perc)*(HM_ZB_Nsoko!CA_PSC_switch_trig=0)+(HM_ZB_Nsoko!cost_stop_perc)*(HM_ZB_Nsoko!CA_PSC_switch_trig=1)</f>
        <v>0.6</v>
      </c>
      <c r="AR240" s="49">
        <f ca="1">IF(HM_ZB_Nsoko!CA_FP_oil_nom&gt;HM_ZB_Nsoko!CA_HP1_oil_nom,HM_ZB_Nsoko!cost_stop_perc,HM_ZB_Nsoko!cost_stop_perc)*(HM_ZB_Nsoko!CA_PSC_switch_trig=0)+(HM_ZB_Nsoko!cost_stop_perc)*(HM_ZB_Nsoko!CA_PSC_switch_trig=1)</f>
        <v>0.6</v>
      </c>
      <c r="AS240" s="49">
        <f ca="1">IF(HM_ZB_Nsoko!CA_FP_oil_nom&gt;HM_ZB_Nsoko!CA_HP1_oil_nom,HM_ZB_Nsoko!cost_stop_perc,HM_ZB_Nsoko!cost_stop_perc)*(HM_ZB_Nsoko!CA_PSC_switch_trig=0)+(HM_ZB_Nsoko!cost_stop_perc)*(HM_ZB_Nsoko!CA_PSC_switch_trig=1)</f>
        <v>0.6</v>
      </c>
      <c r="AT240" s="49">
        <f ca="1">IF(HM_ZB_Nsoko!CA_FP_oil_nom&gt;HM_ZB_Nsoko!CA_HP1_oil_nom,HM_ZB_Nsoko!cost_stop_perc,HM_ZB_Nsoko!cost_stop_perc)*(HM_ZB_Nsoko!CA_PSC_switch_trig=0)+(HM_ZB_Nsoko!cost_stop_perc)*(HM_ZB_Nsoko!CA_PSC_switch_trig=1)</f>
        <v>0.6</v>
      </c>
      <c r="AU240" s="49">
        <f ca="1">IF(HM_ZB_Nsoko!CA_FP_oil_nom&gt;HM_ZB_Nsoko!CA_HP1_oil_nom,HM_ZB_Nsoko!cost_stop_perc,HM_ZB_Nsoko!cost_stop_perc)*(HM_ZB_Nsoko!CA_PSC_switch_trig=0)+(HM_ZB_Nsoko!cost_stop_perc)*(HM_ZB_Nsoko!CA_PSC_switch_trig=1)</f>
        <v>0.6</v>
      </c>
      <c r="AV240" s="49">
        <f ca="1">IF(HM_ZB_Nsoko!CA_FP_oil_nom&gt;HM_ZB_Nsoko!CA_HP1_oil_nom,HM_ZB_Nsoko!cost_stop_perc,HM_ZB_Nsoko!cost_stop_perc)*(HM_ZB_Nsoko!CA_PSC_switch_trig=0)+(HM_ZB_Nsoko!cost_stop_perc)*(HM_ZB_Nsoko!CA_PSC_switch_trig=1)</f>
        <v>0.6</v>
      </c>
      <c r="AW240" s="49">
        <f ca="1">IF(HM_ZB_Nsoko!CA_FP_oil_nom&gt;HM_ZB_Nsoko!CA_HP1_oil_nom,HM_ZB_Nsoko!cost_stop_perc,HM_ZB_Nsoko!cost_stop_perc)*(HM_ZB_Nsoko!CA_PSC_switch_trig=0)+(HM_ZB_Nsoko!cost_stop_perc)*(HM_ZB_Nsoko!CA_PSC_switch_trig=1)</f>
        <v>0.6</v>
      </c>
      <c r="AX240" s="49">
        <f ca="1">IF(HM_ZB_Nsoko!CA_FP_oil_nom&gt;HM_ZB_Nsoko!CA_HP1_oil_nom,HM_ZB_Nsoko!cost_stop_perc,HM_ZB_Nsoko!cost_stop_perc)*(HM_ZB_Nsoko!CA_PSC_switch_trig=0)+(HM_ZB_Nsoko!cost_stop_perc)*(HM_ZB_Nsoko!CA_PSC_switch_trig=1)</f>
        <v>0.6</v>
      </c>
      <c r="AY240" s="49">
        <f ca="1">IF(HM_ZB_Nsoko!CA_FP_oil_nom&gt;HM_ZB_Nsoko!CA_HP1_oil_nom,HM_ZB_Nsoko!cost_stop_perc,HM_ZB_Nsoko!cost_stop_perc)*(HM_ZB_Nsoko!CA_PSC_switch_trig=0)+(HM_ZB_Nsoko!cost_stop_perc)*(HM_ZB_Nsoko!CA_PSC_switch_trig=1)</f>
        <v>0.6</v>
      </c>
      <c r="AZ240" s="49">
        <f ca="1">IF(HM_ZB_Nsoko!CA_FP_oil_nom&gt;HM_ZB_Nsoko!CA_HP1_oil_nom,HM_ZB_Nsoko!cost_stop_perc,HM_ZB_Nsoko!cost_stop_perc)*(HM_ZB_Nsoko!CA_PSC_switch_trig=0)+(HM_ZB_Nsoko!cost_stop_perc)*(HM_ZB_Nsoko!CA_PSC_switch_trig=1)</f>
        <v>0.6</v>
      </c>
      <c r="BA240" s="49">
        <f ca="1">IF(HM_ZB_Nsoko!CA_FP_oil_nom&gt;HM_ZB_Nsoko!CA_HP1_oil_nom,HM_ZB_Nsoko!cost_stop_perc,HM_ZB_Nsoko!cost_stop_perc)*(HM_ZB_Nsoko!CA_PSC_switch_trig=0)+(HM_ZB_Nsoko!cost_stop_perc)*(HM_ZB_Nsoko!CA_PSC_switch_trig=1)</f>
        <v>0.6</v>
      </c>
      <c r="BB240" s="49">
        <f ca="1">IF(HM_ZB_Nsoko!CA_FP_oil_nom&gt;HM_ZB_Nsoko!CA_HP1_oil_nom,HM_ZB_Nsoko!cost_stop_perc,HM_ZB_Nsoko!cost_stop_perc)*(HM_ZB_Nsoko!CA_PSC_switch_trig=0)+(HM_ZB_Nsoko!cost_stop_perc)*(HM_ZB_Nsoko!CA_PSC_switch_trig=1)</f>
        <v>0.6</v>
      </c>
      <c r="BC240" s="49">
        <f ca="1">IF(HM_ZB_Nsoko!CA_FP_oil_nom&gt;HM_ZB_Nsoko!CA_HP1_oil_nom,HM_ZB_Nsoko!cost_stop_perc,HM_ZB_Nsoko!cost_stop_perc)*(HM_ZB_Nsoko!CA_PSC_switch_trig=0)+(HM_ZB_Nsoko!cost_stop_perc)*(HM_ZB_Nsoko!CA_PSC_switch_trig=1)</f>
        <v>0.6</v>
      </c>
      <c r="BD240" s="49">
        <f ca="1">IF(HM_ZB_Nsoko!CA_FP_oil_nom&gt;HM_ZB_Nsoko!CA_HP1_oil_nom,HM_ZB_Nsoko!cost_stop_perc,HM_ZB_Nsoko!cost_stop_perc)*(HM_ZB_Nsoko!CA_PSC_switch_trig=0)+(HM_ZB_Nsoko!cost_stop_perc)*(HM_ZB_Nsoko!CA_PSC_switch_trig=1)</f>
        <v>0.6</v>
      </c>
      <c r="BE240" s="49">
        <f ca="1">IF(HM_ZB_Nsoko!CA_FP_oil_nom&gt;HM_ZB_Nsoko!CA_HP1_oil_nom,HM_ZB_Nsoko!cost_stop_perc,HM_ZB_Nsoko!cost_stop_perc)*(HM_ZB_Nsoko!CA_PSC_switch_trig=0)+(HM_ZB_Nsoko!cost_stop_perc)*(HM_ZB_Nsoko!CA_PSC_switch_trig=1)</f>
        <v>0.6</v>
      </c>
      <c r="BF240" s="49">
        <f ca="1">IF(HM_ZB_Nsoko!CA_FP_oil_nom&gt;HM_ZB_Nsoko!CA_HP1_oil_nom,HM_ZB_Nsoko!cost_stop_perc,HM_ZB_Nsoko!cost_stop_perc)*(HM_ZB_Nsoko!CA_PSC_switch_trig=0)+(HM_ZB_Nsoko!cost_stop_perc)*(HM_ZB_Nsoko!CA_PSC_switch_trig=1)</f>
        <v>0.6</v>
      </c>
      <c r="BG240" s="49">
        <f ca="1">IF(HM_ZB_Nsoko!CA_FP_oil_nom&gt;HM_ZB_Nsoko!CA_HP1_oil_nom,HM_ZB_Nsoko!cost_stop_perc,HM_ZB_Nsoko!cost_stop_perc)*(HM_ZB_Nsoko!CA_PSC_switch_trig=0)+(HM_ZB_Nsoko!cost_stop_perc)*(HM_ZB_Nsoko!CA_PSC_switch_trig=1)</f>
        <v>0.6</v>
      </c>
      <c r="BH240" s="49">
        <f ca="1">IF(HM_ZB_Nsoko!CA_FP_oil_nom&gt;HM_ZB_Nsoko!CA_HP1_oil_nom,HM_ZB_Nsoko!cost_stop_perc,HM_ZB_Nsoko!cost_stop_perc)*(HM_ZB_Nsoko!CA_PSC_switch_trig=0)+(HM_ZB_Nsoko!cost_stop_perc)*(HM_ZB_Nsoko!CA_PSC_switch_trig=1)</f>
        <v>0.6</v>
      </c>
      <c r="BI240" s="49">
        <f ca="1">IF(HM_ZB_Nsoko!CA_FP_oil_nom&gt;HM_ZB_Nsoko!CA_HP1_oil_nom,HM_ZB_Nsoko!cost_stop_perc,HM_ZB_Nsoko!cost_stop_perc)*(HM_ZB_Nsoko!CA_PSC_switch_trig=0)+(HM_ZB_Nsoko!cost_stop_perc)*(HM_ZB_Nsoko!CA_PSC_switch_trig=1)</f>
        <v>0.6</v>
      </c>
      <c r="BJ240" s="49">
        <f ca="1">IF(HM_ZB_Nsoko!CA_FP_oil_nom&gt;HM_ZB_Nsoko!CA_HP1_oil_nom,HM_ZB_Nsoko!cost_stop_perc,HM_ZB_Nsoko!cost_stop_perc)*(HM_ZB_Nsoko!CA_PSC_switch_trig=0)+(HM_ZB_Nsoko!cost_stop_perc)*(HM_ZB_Nsoko!CA_PSC_switch_trig=1)</f>
        <v>0.6</v>
      </c>
      <c r="BK240" s="49">
        <f ca="1">IF(HM_ZB_Nsoko!CA_FP_oil_nom&gt;HM_ZB_Nsoko!CA_HP1_oil_nom,HM_ZB_Nsoko!cost_stop_perc,HM_ZB_Nsoko!cost_stop_perc)*(HM_ZB_Nsoko!CA_PSC_switch_trig=0)+(HM_ZB_Nsoko!cost_stop_perc)*(HM_ZB_Nsoko!CA_PSC_switch_trig=1)</f>
        <v>0.6</v>
      </c>
      <c r="BL240" s="49">
        <f ca="1">IF(HM_ZB_Nsoko!CA_FP_oil_nom&gt;HM_ZB_Nsoko!CA_HP1_oil_nom,HM_ZB_Nsoko!cost_stop_perc,HM_ZB_Nsoko!cost_stop_perc)*(HM_ZB_Nsoko!CA_PSC_switch_trig=0)+(HM_ZB_Nsoko!cost_stop_perc)*(HM_ZB_Nsoko!CA_PSC_switch_trig=1)</f>
        <v>0.6</v>
      </c>
      <c r="BM240" s="49">
        <f ca="1">IF(HM_ZB_Nsoko!CA_FP_oil_nom&gt;HM_ZB_Nsoko!CA_HP1_oil_nom,HM_ZB_Nsoko!cost_stop_perc,HM_ZB_Nsoko!cost_stop_perc)*(HM_ZB_Nsoko!CA_PSC_switch_trig=0)+(HM_ZB_Nsoko!cost_stop_perc)*(HM_ZB_Nsoko!CA_PSC_switch_trig=1)</f>
        <v>0.6</v>
      </c>
      <c r="BN240" s="49">
        <f ca="1">IF(HM_ZB_Nsoko!CA_FP_oil_nom&gt;HM_ZB_Nsoko!CA_HP1_oil_nom,HM_ZB_Nsoko!cost_stop_perc,HM_ZB_Nsoko!cost_stop_perc)*(HM_ZB_Nsoko!CA_PSC_switch_trig=0)+(HM_ZB_Nsoko!cost_stop_perc)*(HM_ZB_Nsoko!CA_PSC_switch_trig=1)</f>
        <v>0.6</v>
      </c>
      <c r="BO240" s="49">
        <f ca="1">IF(HM_ZB_Nsoko!CA_FP_oil_nom&gt;HM_ZB_Nsoko!CA_HP1_oil_nom,HM_ZB_Nsoko!cost_stop_perc,HM_ZB_Nsoko!cost_stop_perc)*(HM_ZB_Nsoko!CA_PSC_switch_trig=0)+(HM_ZB_Nsoko!cost_stop_perc)*(HM_ZB_Nsoko!CA_PSC_switch_trig=1)</f>
        <v>0.6</v>
      </c>
      <c r="BP240" s="49">
        <f ca="1">IF(HM_ZB_Nsoko!CA_FP_oil_nom&gt;HM_ZB_Nsoko!CA_HP1_oil_nom,HM_ZB_Nsoko!cost_stop_perc,HM_ZB_Nsoko!cost_stop_perc)*(HM_ZB_Nsoko!CA_PSC_switch_trig=0)+(HM_ZB_Nsoko!cost_stop_perc)*(HM_ZB_Nsoko!CA_PSC_switch_trig=1)</f>
        <v>0.6</v>
      </c>
      <c r="BQ240" s="49">
        <f ca="1">IF(HM_ZB_Nsoko!CA_FP_oil_nom&gt;HM_ZB_Nsoko!CA_HP1_oil_nom,HM_ZB_Nsoko!cost_stop_perc,HM_ZB_Nsoko!cost_stop_perc)*(HM_ZB_Nsoko!CA_PSC_switch_trig=0)+(HM_ZB_Nsoko!cost_stop_perc)*(HM_ZB_Nsoko!CA_PSC_switch_trig=1)</f>
        <v>0.6</v>
      </c>
      <c r="BR240" s="49">
        <f ca="1">IF(HM_ZB_Nsoko!CA_FP_oil_nom&gt;HM_ZB_Nsoko!CA_HP1_oil_nom,HM_ZB_Nsoko!cost_stop_perc,HM_ZB_Nsoko!cost_stop_perc)*(HM_ZB_Nsoko!CA_PSC_switch_trig=0)+(HM_ZB_Nsoko!cost_stop_perc)*(HM_ZB_Nsoko!CA_PSC_switch_trig=1)</f>
        <v>0.6</v>
      </c>
      <c r="BS240" s="49">
        <f ca="1">IF(HM_ZB_Nsoko!CA_FP_oil_nom&gt;HM_ZB_Nsoko!CA_HP1_oil_nom,HM_ZB_Nsoko!cost_stop_perc,HM_ZB_Nsoko!cost_stop_perc)*(HM_ZB_Nsoko!CA_PSC_switch_trig=0)+(HM_ZB_Nsoko!cost_stop_perc)*(HM_ZB_Nsoko!CA_PSC_switch_trig=1)</f>
        <v>0.6</v>
      </c>
    </row>
    <row r="241" spans="4:71" outlineLevel="1" x14ac:dyDescent="0.2">
      <c r="J241" s="26"/>
      <c r="L241" s="55"/>
      <c r="M241" s="55"/>
      <c r="N241" s="55"/>
      <c r="O241" s="55"/>
      <c r="P241" s="55"/>
      <c r="Q241" s="55"/>
      <c r="R241" s="55"/>
      <c r="S241" s="55"/>
      <c r="T241" s="55"/>
      <c r="U241" s="55"/>
      <c r="V241" s="55"/>
      <c r="W241" s="55"/>
      <c r="X241" s="55"/>
      <c r="Y241" s="55"/>
      <c r="Z241" s="55"/>
      <c r="AA241" s="55"/>
      <c r="AB241" s="55"/>
      <c r="AC241" s="55"/>
      <c r="AD241" s="55"/>
      <c r="AE241" s="55"/>
      <c r="AF241" s="55"/>
      <c r="AG241" s="55"/>
      <c r="AH241" s="55"/>
      <c r="AI241" s="55"/>
      <c r="AJ241" s="55"/>
      <c r="AK241" s="55"/>
      <c r="AL241" s="55"/>
      <c r="AM241" s="55"/>
      <c r="AN241" s="55"/>
      <c r="AO241" s="55"/>
      <c r="AP241" s="55"/>
      <c r="AQ241" s="55"/>
      <c r="AR241" s="55"/>
      <c r="AS241" s="55"/>
      <c r="AT241" s="55"/>
      <c r="AU241" s="55"/>
      <c r="AV241" s="55"/>
      <c r="AW241" s="55"/>
      <c r="AX241" s="55"/>
      <c r="AY241" s="55"/>
      <c r="AZ241" s="55"/>
      <c r="BA241" s="55"/>
      <c r="BB241" s="55"/>
      <c r="BC241" s="55"/>
      <c r="BD241" s="55"/>
      <c r="BE241" s="55"/>
      <c r="BF241" s="55"/>
      <c r="BG241" s="55"/>
      <c r="BH241" s="55"/>
      <c r="BI241" s="55"/>
      <c r="BJ241" s="55"/>
      <c r="BK241" s="55"/>
      <c r="BL241" s="55"/>
      <c r="BM241" s="55"/>
      <c r="BN241" s="55"/>
      <c r="BO241" s="55"/>
      <c r="BP241" s="55"/>
      <c r="BQ241" s="55"/>
      <c r="BR241" s="55"/>
      <c r="BS241" s="55"/>
    </row>
    <row r="242" spans="4:71" outlineLevel="1" x14ac:dyDescent="0.2">
      <c r="D242" s="11" t="str">
        <f>HM_ZA_Nkossa!D235</f>
        <v>Cost Stop</v>
      </c>
      <c r="I242" s="30">
        <f t="shared" ref="I242" ca="1" si="55">SUM($L242:$BS242)</f>
        <v>209.86679826310686</v>
      </c>
      <c r="J242" s="26" t="s">
        <v>148</v>
      </c>
      <c r="K242" s="7" t="s">
        <v>189</v>
      </c>
      <c r="L242" s="49">
        <f ca="1">IF(_xlfn.SINGLE(HM_ZB_Nsoko!CA_FP_oil_nom)&gt;_xlfn.SINGLE(HM_ZB_Nsoko!CA_HP1_oil_nom),HM_ZB_Nsoko!cost_stop_perc*_xlfn.SINGLE(HM_ZB_Nsoko!CA_gross_rev_oil_hp1),HM_ZB_Nsoko!cost_stop_perc*_xlfn.SINGLE(HM_ZB_Nsoko!CA_gross_rev_total_fp))*(_xlfn.SINGLE(HM_ZB_Nsoko!CA_PSC_switch_trig)=0)+(MIN(_xlfn.SINGLE(HM_ZB_Nsoko!CA_gross_rev_total_fp),_xlfn.SINGLE(HM_ZB_Nsoko!CA_gross_rev_oil_hp2))*HM_ZB_Nsoko!cost_stop_perc)*(_xlfn.SINGLE(HM_ZB_Nsoko!CA_PSC_switch_trig)=1)</f>
        <v>13.98886535025</v>
      </c>
      <c r="M242" s="49">
        <f ca="1">IF(_xlfn.SINGLE(HM_ZB_Nsoko!CA_FP_oil_nom)&gt;_xlfn.SINGLE(HM_ZB_Nsoko!CA_HP1_oil_nom),HM_ZB_Nsoko!cost_stop_perc*_xlfn.SINGLE(HM_ZB_Nsoko!CA_gross_rev_oil_hp1),HM_ZB_Nsoko!cost_stop_perc*_xlfn.SINGLE(HM_ZB_Nsoko!CA_gross_rev_total_fp))*(_xlfn.SINGLE(HM_ZB_Nsoko!CA_PSC_switch_trig)=0)+(MIN(_xlfn.SINGLE(HM_ZB_Nsoko!CA_gross_rev_total_fp),_xlfn.SINGLE(HM_ZB_Nsoko!CA_gross_rev_oil_hp2))*HM_ZB_Nsoko!cost_stop_perc)*(_xlfn.SINGLE(HM_ZB_Nsoko!CA_PSC_switch_trig)=1)</f>
        <v>15.7581671628</v>
      </c>
      <c r="N242" s="49">
        <f ca="1">IF(_xlfn.SINGLE(HM_ZB_Nsoko!CA_FP_oil_nom)&gt;_xlfn.SINGLE(HM_ZB_Nsoko!CA_HP1_oil_nom),HM_ZB_Nsoko!cost_stop_perc*_xlfn.SINGLE(HM_ZB_Nsoko!CA_gross_rev_oil_hp1),HM_ZB_Nsoko!cost_stop_perc*_xlfn.SINGLE(HM_ZB_Nsoko!CA_gross_rev_total_fp))*(_xlfn.SINGLE(HM_ZB_Nsoko!CA_PSC_switch_trig)=0)+(MIN(_xlfn.SINGLE(HM_ZB_Nsoko!CA_gross_rev_total_fp),_xlfn.SINGLE(HM_ZB_Nsoko!CA_gross_rev_oil_hp2))*HM_ZB_Nsoko!cost_stop_perc)*(_xlfn.SINGLE(HM_ZB_Nsoko!CA_PSC_switch_trig)=1)</f>
        <v>18.291745306199999</v>
      </c>
      <c r="O242" s="49">
        <f ca="1">IF(_xlfn.SINGLE(HM_ZB_Nsoko!CA_FP_oil_nom)&gt;_xlfn.SINGLE(HM_ZB_Nsoko!CA_HP1_oil_nom),HM_ZB_Nsoko!cost_stop_perc*_xlfn.SINGLE(HM_ZB_Nsoko!CA_gross_rev_oil_hp1),HM_ZB_Nsoko!cost_stop_perc*_xlfn.SINGLE(HM_ZB_Nsoko!CA_gross_rev_total_fp))*(_xlfn.SINGLE(HM_ZB_Nsoko!CA_PSC_switch_trig)=0)+(MIN(_xlfn.SINGLE(HM_ZB_Nsoko!CA_gross_rev_total_fp),_xlfn.SINGLE(HM_ZB_Nsoko!CA_gross_rev_oil_hp2))*HM_ZB_Nsoko!cost_stop_perc)*(_xlfn.SINGLE(HM_ZB_Nsoko!CA_PSC_switch_trig)=1)</f>
        <v>14.759294623199999</v>
      </c>
      <c r="P242" s="49">
        <f ca="1">IF(_xlfn.SINGLE(HM_ZB_Nsoko!CA_FP_oil_nom)&gt;_xlfn.SINGLE(HM_ZB_Nsoko!CA_HP1_oil_nom),HM_ZB_Nsoko!cost_stop_perc*_xlfn.SINGLE(HM_ZB_Nsoko!CA_gross_rev_oil_hp1),HM_ZB_Nsoko!cost_stop_perc*_xlfn.SINGLE(HM_ZB_Nsoko!CA_gross_rev_total_fp))*(_xlfn.SINGLE(HM_ZB_Nsoko!CA_PSC_switch_trig)=0)+(MIN(_xlfn.SINGLE(HM_ZB_Nsoko!CA_gross_rev_total_fp),_xlfn.SINGLE(HM_ZB_Nsoko!CA_gross_rev_oil_hp2))*HM_ZB_Nsoko!cost_stop_perc)*(_xlfn.SINGLE(HM_ZB_Nsoko!CA_PSC_switch_trig)=1)</f>
        <v>16.7932828038</v>
      </c>
      <c r="Q242" s="49">
        <f ca="1">IF(_xlfn.SINGLE(HM_ZB_Nsoko!CA_FP_oil_nom)&gt;_xlfn.SINGLE(HM_ZB_Nsoko!CA_HP1_oil_nom),HM_ZB_Nsoko!cost_stop_perc*_xlfn.SINGLE(HM_ZB_Nsoko!CA_gross_rev_oil_hp1),HM_ZB_Nsoko!cost_stop_perc*_xlfn.SINGLE(HM_ZB_Nsoko!CA_gross_rev_total_fp))*(_xlfn.SINGLE(HM_ZB_Nsoko!CA_PSC_switch_trig)=0)+(MIN(_xlfn.SINGLE(HM_ZB_Nsoko!CA_gross_rev_total_fp),_xlfn.SINGLE(HM_ZB_Nsoko!CA_gross_rev_oil_hp2))*HM_ZB_Nsoko!cost_stop_perc)*(_xlfn.SINGLE(HM_ZB_Nsoko!CA_PSC_switch_trig)=1)</f>
        <v>13.427929127999999</v>
      </c>
      <c r="R242" s="49">
        <f ca="1">IF(_xlfn.SINGLE(HM_ZB_Nsoko!CA_FP_oil_nom)&gt;_xlfn.SINGLE(HM_ZB_Nsoko!CA_HP1_oil_nom),HM_ZB_Nsoko!cost_stop_perc*_xlfn.SINGLE(HM_ZB_Nsoko!CA_gross_rev_oil_hp1),HM_ZB_Nsoko!cost_stop_perc*_xlfn.SINGLE(HM_ZB_Nsoko!CA_gross_rev_total_fp))*(_xlfn.SINGLE(HM_ZB_Nsoko!CA_PSC_switch_trig)=0)+(MIN(_xlfn.SINGLE(HM_ZB_Nsoko!CA_gross_rev_total_fp),_xlfn.SINGLE(HM_ZB_Nsoko!CA_gross_rev_oil_hp2))*HM_ZB_Nsoko!cost_stop_perc)*(_xlfn.SINGLE(HM_ZB_Nsoko!CA_PSC_switch_trig)=1)</f>
        <v>6.7660534655999998</v>
      </c>
      <c r="S242" s="49">
        <f ca="1">IF(_xlfn.SINGLE(HM_ZB_Nsoko!CA_FP_oil_nom)&gt;_xlfn.SINGLE(HM_ZB_Nsoko!CA_HP1_oil_nom),HM_ZB_Nsoko!cost_stop_perc*_xlfn.SINGLE(HM_ZB_Nsoko!CA_gross_rev_oil_hp1),HM_ZB_Nsoko!cost_stop_perc*_xlfn.SINGLE(HM_ZB_Nsoko!CA_gross_rev_total_fp))*(_xlfn.SINGLE(HM_ZB_Nsoko!CA_PSC_switch_trig)=0)+(MIN(_xlfn.SINGLE(HM_ZB_Nsoko!CA_gross_rev_total_fp),_xlfn.SINGLE(HM_ZB_Nsoko!CA_gross_rev_oil_hp2))*HM_ZB_Nsoko!cost_stop_perc)*(_xlfn.SINGLE(HM_ZB_Nsoko!CA_PSC_switch_trig)=1)</f>
        <v>18.563786326481896</v>
      </c>
      <c r="T242" s="49">
        <f ca="1">IF(_xlfn.SINGLE(HM_ZB_Nsoko!CA_FP_oil_nom)&gt;_xlfn.SINGLE(HM_ZB_Nsoko!CA_HP1_oil_nom),HM_ZB_Nsoko!cost_stop_perc*_xlfn.SINGLE(HM_ZB_Nsoko!CA_gross_rev_oil_hp1),HM_ZB_Nsoko!cost_stop_perc*_xlfn.SINGLE(HM_ZB_Nsoko!CA_gross_rev_total_fp))*(_xlfn.SINGLE(HM_ZB_Nsoko!CA_PSC_switch_trig)=0)+(MIN(_xlfn.SINGLE(HM_ZB_Nsoko!CA_gross_rev_total_fp),_xlfn.SINGLE(HM_ZB_Nsoko!CA_gross_rev_oil_hp2))*HM_ZB_Nsoko!cost_stop_perc)*(_xlfn.SINGLE(HM_ZB_Nsoko!CA_PSC_switch_trig)=1)</f>
        <v>21.051568656899995</v>
      </c>
      <c r="U242" s="49">
        <f ca="1">IF(_xlfn.SINGLE(HM_ZB_Nsoko!CA_FP_oil_nom)&gt;_xlfn.SINGLE(HM_ZB_Nsoko!CA_HP1_oil_nom),HM_ZB_Nsoko!cost_stop_perc*_xlfn.SINGLE(HM_ZB_Nsoko!CA_gross_rev_oil_hp1),HM_ZB_Nsoko!cost_stop_perc*_xlfn.SINGLE(HM_ZB_Nsoko!CA_gross_rev_total_fp))*(_xlfn.SINGLE(HM_ZB_Nsoko!CA_PSC_switch_trig)=0)+(MIN(_xlfn.SINGLE(HM_ZB_Nsoko!CA_gross_rev_total_fp),_xlfn.SINGLE(HM_ZB_Nsoko!CA_gross_rev_oil_hp2))*HM_ZB_Nsoko!cost_stop_perc)*(_xlfn.SINGLE(HM_ZB_Nsoko!CA_PSC_switch_trig)=1)</f>
        <v>19.577958850916996</v>
      </c>
      <c r="V242" s="49">
        <f ca="1">IF(_xlfn.SINGLE(HM_ZB_Nsoko!CA_FP_oil_nom)&gt;_xlfn.SINGLE(HM_ZB_Nsoko!CA_HP1_oil_nom),HM_ZB_Nsoko!cost_stop_perc*_xlfn.SINGLE(HM_ZB_Nsoko!CA_gross_rev_oil_hp1),HM_ZB_Nsoko!cost_stop_perc*_xlfn.SINGLE(HM_ZB_Nsoko!CA_gross_rev_total_fp))*(_xlfn.SINGLE(HM_ZB_Nsoko!CA_PSC_switch_trig)=0)+(MIN(_xlfn.SINGLE(HM_ZB_Nsoko!CA_gross_rev_total_fp),_xlfn.SINGLE(HM_ZB_Nsoko!CA_gross_rev_oil_hp2))*HM_ZB_Nsoko!cost_stop_perc)*(_xlfn.SINGLE(HM_ZB_Nsoko!CA_PSC_switch_trig)=1)</f>
        <v>18.207501731352803</v>
      </c>
      <c r="W242" s="49">
        <f ca="1">IF(_xlfn.SINGLE(HM_ZB_Nsoko!CA_FP_oil_nom)&gt;_xlfn.SINGLE(HM_ZB_Nsoko!CA_HP1_oil_nom),HM_ZB_Nsoko!cost_stop_perc*_xlfn.SINGLE(HM_ZB_Nsoko!CA_gross_rev_oil_hp1),HM_ZB_Nsoko!cost_stop_perc*_xlfn.SINGLE(HM_ZB_Nsoko!CA_gross_rev_total_fp))*(_xlfn.SINGLE(HM_ZB_Nsoko!CA_PSC_switch_trig)=0)+(MIN(_xlfn.SINGLE(HM_ZB_Nsoko!CA_gross_rev_total_fp),_xlfn.SINGLE(HM_ZB_Nsoko!CA_gross_rev_oil_hp2))*HM_ZB_Nsoko!cost_stop_perc)*(_xlfn.SINGLE(HM_ZB_Nsoko!CA_PSC_switch_trig)=1)</f>
        <v>16.932976610158107</v>
      </c>
      <c r="X242" s="49">
        <f ca="1">IF(_xlfn.SINGLE(HM_ZB_Nsoko!CA_FP_oil_nom)&gt;_xlfn.SINGLE(HM_ZB_Nsoko!CA_HP1_oil_nom),HM_ZB_Nsoko!cost_stop_perc*_xlfn.SINGLE(HM_ZB_Nsoko!CA_gross_rev_oil_hp1),HM_ZB_Nsoko!cost_stop_perc*_xlfn.SINGLE(HM_ZB_Nsoko!CA_gross_rev_total_fp))*(_xlfn.SINGLE(HM_ZB_Nsoko!CA_PSC_switch_trig)=0)+(MIN(_xlfn.SINGLE(HM_ZB_Nsoko!CA_gross_rev_total_fp),_xlfn.SINGLE(HM_ZB_Nsoko!CA_gross_rev_oil_hp2))*HM_ZB_Nsoko!cost_stop_perc)*(_xlfn.SINGLE(HM_ZB_Nsoko!CA_PSC_switch_trig)=1)</f>
        <v>15.747668247447042</v>
      </c>
      <c r="Y242" s="49">
        <f ca="1">IF(_xlfn.SINGLE(HM_ZB_Nsoko!CA_FP_oil_nom)&gt;_xlfn.SINGLE(HM_ZB_Nsoko!CA_HP1_oil_nom),HM_ZB_Nsoko!cost_stop_perc*_xlfn.SINGLE(HM_ZB_Nsoko!CA_gross_rev_oil_hp1),HM_ZB_Nsoko!cost_stop_perc*_xlfn.SINGLE(HM_ZB_Nsoko!CA_gross_rev_total_fp))*(_xlfn.SINGLE(HM_ZB_Nsoko!CA_PSC_switch_trig)=0)+(MIN(_xlfn.SINGLE(HM_ZB_Nsoko!CA_gross_rev_total_fp),_xlfn.SINGLE(HM_ZB_Nsoko!CA_gross_rev_oil_hp2))*HM_ZB_Nsoko!cost_stop_perc)*(_xlfn.SINGLE(HM_ZB_Nsoko!CA_PSC_switch_trig)=1)</f>
        <v>0</v>
      </c>
      <c r="Z242" s="49">
        <f ca="1">IF(_xlfn.SINGLE(HM_ZB_Nsoko!CA_FP_oil_nom)&gt;_xlfn.SINGLE(HM_ZB_Nsoko!CA_HP1_oil_nom),HM_ZB_Nsoko!cost_stop_perc*_xlfn.SINGLE(HM_ZB_Nsoko!CA_gross_rev_oil_hp1),HM_ZB_Nsoko!cost_stop_perc*_xlfn.SINGLE(HM_ZB_Nsoko!CA_gross_rev_total_fp))*(_xlfn.SINGLE(HM_ZB_Nsoko!CA_PSC_switch_trig)=0)+(MIN(_xlfn.SINGLE(HM_ZB_Nsoko!CA_gross_rev_total_fp),_xlfn.SINGLE(HM_ZB_Nsoko!CA_gross_rev_oil_hp2))*HM_ZB_Nsoko!cost_stop_perc)*(_xlfn.SINGLE(HM_ZB_Nsoko!CA_PSC_switch_trig)=1)</f>
        <v>0</v>
      </c>
      <c r="AA242" s="49">
        <f ca="1">IF(_xlfn.SINGLE(HM_ZB_Nsoko!CA_FP_oil_nom)&gt;_xlfn.SINGLE(HM_ZB_Nsoko!CA_HP1_oil_nom),HM_ZB_Nsoko!cost_stop_perc*_xlfn.SINGLE(HM_ZB_Nsoko!CA_gross_rev_oil_hp1),HM_ZB_Nsoko!cost_stop_perc*_xlfn.SINGLE(HM_ZB_Nsoko!CA_gross_rev_total_fp))*(_xlfn.SINGLE(HM_ZB_Nsoko!CA_PSC_switch_trig)=0)+(MIN(_xlfn.SINGLE(HM_ZB_Nsoko!CA_gross_rev_total_fp),_xlfn.SINGLE(HM_ZB_Nsoko!CA_gross_rev_oil_hp2))*HM_ZB_Nsoko!cost_stop_perc)*(_xlfn.SINGLE(HM_ZB_Nsoko!CA_PSC_switch_trig)=1)</f>
        <v>0</v>
      </c>
      <c r="AB242" s="49">
        <f ca="1">IF(_xlfn.SINGLE(HM_ZB_Nsoko!CA_FP_oil_nom)&gt;_xlfn.SINGLE(HM_ZB_Nsoko!CA_HP1_oil_nom),HM_ZB_Nsoko!cost_stop_perc*_xlfn.SINGLE(HM_ZB_Nsoko!CA_gross_rev_oil_hp1),HM_ZB_Nsoko!cost_stop_perc*_xlfn.SINGLE(HM_ZB_Nsoko!CA_gross_rev_total_fp))*(_xlfn.SINGLE(HM_ZB_Nsoko!CA_PSC_switch_trig)=0)+(MIN(_xlfn.SINGLE(HM_ZB_Nsoko!CA_gross_rev_total_fp),_xlfn.SINGLE(HM_ZB_Nsoko!CA_gross_rev_oil_hp2))*HM_ZB_Nsoko!cost_stop_perc)*(_xlfn.SINGLE(HM_ZB_Nsoko!CA_PSC_switch_trig)=1)</f>
        <v>0</v>
      </c>
      <c r="AC242" s="49">
        <f ca="1">IF(_xlfn.SINGLE(HM_ZB_Nsoko!CA_FP_oil_nom)&gt;_xlfn.SINGLE(HM_ZB_Nsoko!CA_HP1_oil_nom),HM_ZB_Nsoko!cost_stop_perc*_xlfn.SINGLE(HM_ZB_Nsoko!CA_gross_rev_oil_hp1),HM_ZB_Nsoko!cost_stop_perc*_xlfn.SINGLE(HM_ZB_Nsoko!CA_gross_rev_total_fp))*(_xlfn.SINGLE(HM_ZB_Nsoko!CA_PSC_switch_trig)=0)+(MIN(_xlfn.SINGLE(HM_ZB_Nsoko!CA_gross_rev_total_fp),_xlfn.SINGLE(HM_ZB_Nsoko!CA_gross_rev_oil_hp2))*HM_ZB_Nsoko!cost_stop_perc)*(_xlfn.SINGLE(HM_ZB_Nsoko!CA_PSC_switch_trig)=1)</f>
        <v>0</v>
      </c>
      <c r="AD242" s="49">
        <f ca="1">IF(_xlfn.SINGLE(HM_ZB_Nsoko!CA_FP_oil_nom)&gt;_xlfn.SINGLE(HM_ZB_Nsoko!CA_HP1_oil_nom),HM_ZB_Nsoko!cost_stop_perc*_xlfn.SINGLE(HM_ZB_Nsoko!CA_gross_rev_oil_hp1),HM_ZB_Nsoko!cost_stop_perc*_xlfn.SINGLE(HM_ZB_Nsoko!CA_gross_rev_total_fp))*(_xlfn.SINGLE(HM_ZB_Nsoko!CA_PSC_switch_trig)=0)+(MIN(_xlfn.SINGLE(HM_ZB_Nsoko!CA_gross_rev_total_fp),_xlfn.SINGLE(HM_ZB_Nsoko!CA_gross_rev_oil_hp2))*HM_ZB_Nsoko!cost_stop_perc)*(_xlfn.SINGLE(HM_ZB_Nsoko!CA_PSC_switch_trig)=1)</f>
        <v>0</v>
      </c>
      <c r="AE242" s="49">
        <f ca="1">IF(_xlfn.SINGLE(HM_ZB_Nsoko!CA_FP_oil_nom)&gt;_xlfn.SINGLE(HM_ZB_Nsoko!CA_HP1_oil_nom),HM_ZB_Nsoko!cost_stop_perc*_xlfn.SINGLE(HM_ZB_Nsoko!CA_gross_rev_oil_hp1),HM_ZB_Nsoko!cost_stop_perc*_xlfn.SINGLE(HM_ZB_Nsoko!CA_gross_rev_total_fp))*(_xlfn.SINGLE(HM_ZB_Nsoko!CA_PSC_switch_trig)=0)+(MIN(_xlfn.SINGLE(HM_ZB_Nsoko!CA_gross_rev_total_fp),_xlfn.SINGLE(HM_ZB_Nsoko!CA_gross_rev_oil_hp2))*HM_ZB_Nsoko!cost_stop_perc)*(_xlfn.SINGLE(HM_ZB_Nsoko!CA_PSC_switch_trig)=1)</f>
        <v>0</v>
      </c>
      <c r="AF242" s="49">
        <f ca="1">IF(_xlfn.SINGLE(HM_ZB_Nsoko!CA_FP_oil_nom)&gt;_xlfn.SINGLE(HM_ZB_Nsoko!CA_HP1_oil_nom),HM_ZB_Nsoko!cost_stop_perc*_xlfn.SINGLE(HM_ZB_Nsoko!CA_gross_rev_oil_hp1),HM_ZB_Nsoko!cost_stop_perc*_xlfn.SINGLE(HM_ZB_Nsoko!CA_gross_rev_total_fp))*(_xlfn.SINGLE(HM_ZB_Nsoko!CA_PSC_switch_trig)=0)+(MIN(_xlfn.SINGLE(HM_ZB_Nsoko!CA_gross_rev_total_fp),_xlfn.SINGLE(HM_ZB_Nsoko!CA_gross_rev_oil_hp2))*HM_ZB_Nsoko!cost_stop_perc)*(_xlfn.SINGLE(HM_ZB_Nsoko!CA_PSC_switch_trig)=1)</f>
        <v>0</v>
      </c>
      <c r="AG242" s="49">
        <f ca="1">IF(_xlfn.SINGLE(HM_ZB_Nsoko!CA_FP_oil_nom)&gt;_xlfn.SINGLE(HM_ZB_Nsoko!CA_HP1_oil_nom),HM_ZB_Nsoko!cost_stop_perc*_xlfn.SINGLE(HM_ZB_Nsoko!CA_gross_rev_oil_hp1),HM_ZB_Nsoko!cost_stop_perc*_xlfn.SINGLE(HM_ZB_Nsoko!CA_gross_rev_total_fp))*(_xlfn.SINGLE(HM_ZB_Nsoko!CA_PSC_switch_trig)=0)+(MIN(_xlfn.SINGLE(HM_ZB_Nsoko!CA_gross_rev_total_fp),_xlfn.SINGLE(HM_ZB_Nsoko!CA_gross_rev_oil_hp2))*HM_ZB_Nsoko!cost_stop_perc)*(_xlfn.SINGLE(HM_ZB_Nsoko!CA_PSC_switch_trig)=1)</f>
        <v>0</v>
      </c>
      <c r="AH242" s="49">
        <f ca="1">IF(_xlfn.SINGLE(HM_ZB_Nsoko!CA_FP_oil_nom)&gt;_xlfn.SINGLE(HM_ZB_Nsoko!CA_HP1_oil_nom),HM_ZB_Nsoko!cost_stop_perc*_xlfn.SINGLE(HM_ZB_Nsoko!CA_gross_rev_oil_hp1),HM_ZB_Nsoko!cost_stop_perc*_xlfn.SINGLE(HM_ZB_Nsoko!CA_gross_rev_total_fp))*(_xlfn.SINGLE(HM_ZB_Nsoko!CA_PSC_switch_trig)=0)+(MIN(_xlfn.SINGLE(HM_ZB_Nsoko!CA_gross_rev_total_fp),_xlfn.SINGLE(HM_ZB_Nsoko!CA_gross_rev_oil_hp2))*HM_ZB_Nsoko!cost_stop_perc)*(_xlfn.SINGLE(HM_ZB_Nsoko!CA_PSC_switch_trig)=1)</f>
        <v>0</v>
      </c>
      <c r="AI242" s="49">
        <f ca="1">IF(_xlfn.SINGLE(HM_ZB_Nsoko!CA_FP_oil_nom)&gt;_xlfn.SINGLE(HM_ZB_Nsoko!CA_HP1_oil_nom),HM_ZB_Nsoko!cost_stop_perc*_xlfn.SINGLE(HM_ZB_Nsoko!CA_gross_rev_oil_hp1),HM_ZB_Nsoko!cost_stop_perc*_xlfn.SINGLE(HM_ZB_Nsoko!CA_gross_rev_total_fp))*(_xlfn.SINGLE(HM_ZB_Nsoko!CA_PSC_switch_trig)=0)+(MIN(_xlfn.SINGLE(HM_ZB_Nsoko!CA_gross_rev_total_fp),_xlfn.SINGLE(HM_ZB_Nsoko!CA_gross_rev_oil_hp2))*HM_ZB_Nsoko!cost_stop_perc)*(_xlfn.SINGLE(HM_ZB_Nsoko!CA_PSC_switch_trig)=1)</f>
        <v>0</v>
      </c>
      <c r="AJ242" s="49">
        <f ca="1">IF(_xlfn.SINGLE(HM_ZB_Nsoko!CA_FP_oil_nom)&gt;_xlfn.SINGLE(HM_ZB_Nsoko!CA_HP1_oil_nom),HM_ZB_Nsoko!cost_stop_perc*_xlfn.SINGLE(HM_ZB_Nsoko!CA_gross_rev_oil_hp1),HM_ZB_Nsoko!cost_stop_perc*_xlfn.SINGLE(HM_ZB_Nsoko!CA_gross_rev_total_fp))*(_xlfn.SINGLE(HM_ZB_Nsoko!CA_PSC_switch_trig)=0)+(MIN(_xlfn.SINGLE(HM_ZB_Nsoko!CA_gross_rev_total_fp),_xlfn.SINGLE(HM_ZB_Nsoko!CA_gross_rev_oil_hp2))*HM_ZB_Nsoko!cost_stop_perc)*(_xlfn.SINGLE(HM_ZB_Nsoko!CA_PSC_switch_trig)=1)</f>
        <v>0</v>
      </c>
      <c r="AK242" s="49">
        <f ca="1">IF(_xlfn.SINGLE(HM_ZB_Nsoko!CA_FP_oil_nom)&gt;_xlfn.SINGLE(HM_ZB_Nsoko!CA_HP1_oil_nom),HM_ZB_Nsoko!cost_stop_perc*_xlfn.SINGLE(HM_ZB_Nsoko!CA_gross_rev_oil_hp1),HM_ZB_Nsoko!cost_stop_perc*_xlfn.SINGLE(HM_ZB_Nsoko!CA_gross_rev_total_fp))*(_xlfn.SINGLE(HM_ZB_Nsoko!CA_PSC_switch_trig)=0)+(MIN(_xlfn.SINGLE(HM_ZB_Nsoko!CA_gross_rev_total_fp),_xlfn.SINGLE(HM_ZB_Nsoko!CA_gross_rev_oil_hp2))*HM_ZB_Nsoko!cost_stop_perc)*(_xlfn.SINGLE(HM_ZB_Nsoko!CA_PSC_switch_trig)=1)</f>
        <v>0</v>
      </c>
      <c r="AL242" s="49">
        <f ca="1">IF(_xlfn.SINGLE(HM_ZB_Nsoko!CA_FP_oil_nom)&gt;_xlfn.SINGLE(HM_ZB_Nsoko!CA_HP1_oil_nom),HM_ZB_Nsoko!cost_stop_perc*_xlfn.SINGLE(HM_ZB_Nsoko!CA_gross_rev_oil_hp1),HM_ZB_Nsoko!cost_stop_perc*_xlfn.SINGLE(HM_ZB_Nsoko!CA_gross_rev_total_fp))*(_xlfn.SINGLE(HM_ZB_Nsoko!CA_PSC_switch_trig)=0)+(MIN(_xlfn.SINGLE(HM_ZB_Nsoko!CA_gross_rev_total_fp),_xlfn.SINGLE(HM_ZB_Nsoko!CA_gross_rev_oil_hp2))*HM_ZB_Nsoko!cost_stop_perc)*(_xlfn.SINGLE(HM_ZB_Nsoko!CA_PSC_switch_trig)=1)</f>
        <v>0</v>
      </c>
      <c r="AM242" s="49">
        <f ca="1">IF(_xlfn.SINGLE(HM_ZB_Nsoko!CA_FP_oil_nom)&gt;_xlfn.SINGLE(HM_ZB_Nsoko!CA_HP1_oil_nom),HM_ZB_Nsoko!cost_stop_perc*_xlfn.SINGLE(HM_ZB_Nsoko!CA_gross_rev_oil_hp1),HM_ZB_Nsoko!cost_stop_perc*_xlfn.SINGLE(HM_ZB_Nsoko!CA_gross_rev_total_fp))*(_xlfn.SINGLE(HM_ZB_Nsoko!CA_PSC_switch_trig)=0)+(MIN(_xlfn.SINGLE(HM_ZB_Nsoko!CA_gross_rev_total_fp),_xlfn.SINGLE(HM_ZB_Nsoko!CA_gross_rev_oil_hp2))*HM_ZB_Nsoko!cost_stop_perc)*(_xlfn.SINGLE(HM_ZB_Nsoko!CA_PSC_switch_trig)=1)</f>
        <v>0</v>
      </c>
      <c r="AN242" s="49">
        <f ca="1">IF(_xlfn.SINGLE(HM_ZB_Nsoko!CA_FP_oil_nom)&gt;_xlfn.SINGLE(HM_ZB_Nsoko!CA_HP1_oil_nom),HM_ZB_Nsoko!cost_stop_perc*_xlfn.SINGLE(HM_ZB_Nsoko!CA_gross_rev_oil_hp1),HM_ZB_Nsoko!cost_stop_perc*_xlfn.SINGLE(HM_ZB_Nsoko!CA_gross_rev_total_fp))*(_xlfn.SINGLE(HM_ZB_Nsoko!CA_PSC_switch_trig)=0)+(MIN(_xlfn.SINGLE(HM_ZB_Nsoko!CA_gross_rev_total_fp),_xlfn.SINGLE(HM_ZB_Nsoko!CA_gross_rev_oil_hp2))*HM_ZB_Nsoko!cost_stop_perc)*(_xlfn.SINGLE(HM_ZB_Nsoko!CA_PSC_switch_trig)=1)</f>
        <v>0</v>
      </c>
      <c r="AO242" s="49">
        <f ca="1">IF(_xlfn.SINGLE(HM_ZB_Nsoko!CA_FP_oil_nom)&gt;_xlfn.SINGLE(HM_ZB_Nsoko!CA_HP1_oil_nom),HM_ZB_Nsoko!cost_stop_perc*_xlfn.SINGLE(HM_ZB_Nsoko!CA_gross_rev_oil_hp1),HM_ZB_Nsoko!cost_stop_perc*_xlfn.SINGLE(HM_ZB_Nsoko!CA_gross_rev_total_fp))*(_xlfn.SINGLE(HM_ZB_Nsoko!CA_PSC_switch_trig)=0)+(MIN(_xlfn.SINGLE(HM_ZB_Nsoko!CA_gross_rev_total_fp),_xlfn.SINGLE(HM_ZB_Nsoko!CA_gross_rev_oil_hp2))*HM_ZB_Nsoko!cost_stop_perc)*(_xlfn.SINGLE(HM_ZB_Nsoko!CA_PSC_switch_trig)=1)</f>
        <v>0</v>
      </c>
      <c r="AP242" s="49">
        <f ca="1">IF(_xlfn.SINGLE(HM_ZB_Nsoko!CA_FP_oil_nom)&gt;_xlfn.SINGLE(HM_ZB_Nsoko!CA_HP1_oil_nom),HM_ZB_Nsoko!cost_stop_perc*_xlfn.SINGLE(HM_ZB_Nsoko!CA_gross_rev_oil_hp1),HM_ZB_Nsoko!cost_stop_perc*_xlfn.SINGLE(HM_ZB_Nsoko!CA_gross_rev_total_fp))*(_xlfn.SINGLE(HM_ZB_Nsoko!CA_PSC_switch_trig)=0)+(MIN(_xlfn.SINGLE(HM_ZB_Nsoko!CA_gross_rev_total_fp),_xlfn.SINGLE(HM_ZB_Nsoko!CA_gross_rev_oil_hp2))*HM_ZB_Nsoko!cost_stop_perc)*(_xlfn.SINGLE(HM_ZB_Nsoko!CA_PSC_switch_trig)=1)</f>
        <v>0</v>
      </c>
      <c r="AQ242" s="49">
        <f ca="1">IF(_xlfn.SINGLE(HM_ZB_Nsoko!CA_FP_oil_nom)&gt;_xlfn.SINGLE(HM_ZB_Nsoko!CA_HP1_oil_nom),HM_ZB_Nsoko!cost_stop_perc*_xlfn.SINGLE(HM_ZB_Nsoko!CA_gross_rev_oil_hp1),HM_ZB_Nsoko!cost_stop_perc*_xlfn.SINGLE(HM_ZB_Nsoko!CA_gross_rev_total_fp))*(_xlfn.SINGLE(HM_ZB_Nsoko!CA_PSC_switch_trig)=0)+(MIN(_xlfn.SINGLE(HM_ZB_Nsoko!CA_gross_rev_total_fp),_xlfn.SINGLE(HM_ZB_Nsoko!CA_gross_rev_oil_hp2))*HM_ZB_Nsoko!cost_stop_perc)*(_xlfn.SINGLE(HM_ZB_Nsoko!CA_PSC_switch_trig)=1)</f>
        <v>0</v>
      </c>
      <c r="AR242" s="49">
        <f ca="1">IF(_xlfn.SINGLE(HM_ZB_Nsoko!CA_FP_oil_nom)&gt;_xlfn.SINGLE(HM_ZB_Nsoko!CA_HP1_oil_nom),HM_ZB_Nsoko!cost_stop_perc*_xlfn.SINGLE(HM_ZB_Nsoko!CA_gross_rev_oil_hp1),HM_ZB_Nsoko!cost_stop_perc*_xlfn.SINGLE(HM_ZB_Nsoko!CA_gross_rev_total_fp))*(_xlfn.SINGLE(HM_ZB_Nsoko!CA_PSC_switch_trig)=0)+(MIN(_xlfn.SINGLE(HM_ZB_Nsoko!CA_gross_rev_total_fp),_xlfn.SINGLE(HM_ZB_Nsoko!CA_gross_rev_oil_hp2))*HM_ZB_Nsoko!cost_stop_perc)*(_xlfn.SINGLE(HM_ZB_Nsoko!CA_PSC_switch_trig)=1)</f>
        <v>0</v>
      </c>
      <c r="AS242" s="49">
        <f ca="1">IF(_xlfn.SINGLE(HM_ZB_Nsoko!CA_FP_oil_nom)&gt;_xlfn.SINGLE(HM_ZB_Nsoko!CA_HP1_oil_nom),HM_ZB_Nsoko!cost_stop_perc*_xlfn.SINGLE(HM_ZB_Nsoko!CA_gross_rev_oil_hp1),HM_ZB_Nsoko!cost_stop_perc*_xlfn.SINGLE(HM_ZB_Nsoko!CA_gross_rev_total_fp))*(_xlfn.SINGLE(HM_ZB_Nsoko!CA_PSC_switch_trig)=0)+(MIN(_xlfn.SINGLE(HM_ZB_Nsoko!CA_gross_rev_total_fp),_xlfn.SINGLE(HM_ZB_Nsoko!CA_gross_rev_oil_hp2))*HM_ZB_Nsoko!cost_stop_perc)*(_xlfn.SINGLE(HM_ZB_Nsoko!CA_PSC_switch_trig)=1)</f>
        <v>0</v>
      </c>
      <c r="AT242" s="49">
        <f ca="1">IF(_xlfn.SINGLE(HM_ZB_Nsoko!CA_FP_oil_nom)&gt;_xlfn.SINGLE(HM_ZB_Nsoko!CA_HP1_oil_nom),HM_ZB_Nsoko!cost_stop_perc*_xlfn.SINGLE(HM_ZB_Nsoko!CA_gross_rev_oil_hp1),HM_ZB_Nsoko!cost_stop_perc*_xlfn.SINGLE(HM_ZB_Nsoko!CA_gross_rev_total_fp))*(_xlfn.SINGLE(HM_ZB_Nsoko!CA_PSC_switch_trig)=0)+(MIN(_xlfn.SINGLE(HM_ZB_Nsoko!CA_gross_rev_total_fp),_xlfn.SINGLE(HM_ZB_Nsoko!CA_gross_rev_oil_hp2))*HM_ZB_Nsoko!cost_stop_perc)*(_xlfn.SINGLE(HM_ZB_Nsoko!CA_PSC_switch_trig)=1)</f>
        <v>0</v>
      </c>
      <c r="AU242" s="49">
        <f ca="1">IF(_xlfn.SINGLE(HM_ZB_Nsoko!CA_FP_oil_nom)&gt;_xlfn.SINGLE(HM_ZB_Nsoko!CA_HP1_oil_nom),HM_ZB_Nsoko!cost_stop_perc*_xlfn.SINGLE(HM_ZB_Nsoko!CA_gross_rev_oil_hp1),HM_ZB_Nsoko!cost_stop_perc*_xlfn.SINGLE(HM_ZB_Nsoko!CA_gross_rev_total_fp))*(_xlfn.SINGLE(HM_ZB_Nsoko!CA_PSC_switch_trig)=0)+(MIN(_xlfn.SINGLE(HM_ZB_Nsoko!CA_gross_rev_total_fp),_xlfn.SINGLE(HM_ZB_Nsoko!CA_gross_rev_oil_hp2))*HM_ZB_Nsoko!cost_stop_perc)*(_xlfn.SINGLE(HM_ZB_Nsoko!CA_PSC_switch_trig)=1)</f>
        <v>0</v>
      </c>
      <c r="AV242" s="49">
        <f ca="1">IF(_xlfn.SINGLE(HM_ZB_Nsoko!CA_FP_oil_nom)&gt;_xlfn.SINGLE(HM_ZB_Nsoko!CA_HP1_oil_nom),HM_ZB_Nsoko!cost_stop_perc*_xlfn.SINGLE(HM_ZB_Nsoko!CA_gross_rev_oil_hp1),HM_ZB_Nsoko!cost_stop_perc*_xlfn.SINGLE(HM_ZB_Nsoko!CA_gross_rev_total_fp))*(_xlfn.SINGLE(HM_ZB_Nsoko!CA_PSC_switch_trig)=0)+(MIN(_xlfn.SINGLE(HM_ZB_Nsoko!CA_gross_rev_total_fp),_xlfn.SINGLE(HM_ZB_Nsoko!CA_gross_rev_oil_hp2))*HM_ZB_Nsoko!cost_stop_perc)*(_xlfn.SINGLE(HM_ZB_Nsoko!CA_PSC_switch_trig)=1)</f>
        <v>0</v>
      </c>
      <c r="AW242" s="49">
        <f ca="1">IF(_xlfn.SINGLE(HM_ZB_Nsoko!CA_FP_oil_nom)&gt;_xlfn.SINGLE(HM_ZB_Nsoko!CA_HP1_oil_nom),HM_ZB_Nsoko!cost_stop_perc*_xlfn.SINGLE(HM_ZB_Nsoko!CA_gross_rev_oil_hp1),HM_ZB_Nsoko!cost_stop_perc*_xlfn.SINGLE(HM_ZB_Nsoko!CA_gross_rev_total_fp))*(_xlfn.SINGLE(HM_ZB_Nsoko!CA_PSC_switch_trig)=0)+(MIN(_xlfn.SINGLE(HM_ZB_Nsoko!CA_gross_rev_total_fp),_xlfn.SINGLE(HM_ZB_Nsoko!CA_gross_rev_oil_hp2))*HM_ZB_Nsoko!cost_stop_perc)*(_xlfn.SINGLE(HM_ZB_Nsoko!CA_PSC_switch_trig)=1)</f>
        <v>0</v>
      </c>
      <c r="AX242" s="49">
        <f ca="1">IF(_xlfn.SINGLE(HM_ZB_Nsoko!CA_FP_oil_nom)&gt;_xlfn.SINGLE(HM_ZB_Nsoko!CA_HP1_oil_nom),HM_ZB_Nsoko!cost_stop_perc*_xlfn.SINGLE(HM_ZB_Nsoko!CA_gross_rev_oil_hp1),HM_ZB_Nsoko!cost_stop_perc*_xlfn.SINGLE(HM_ZB_Nsoko!CA_gross_rev_total_fp))*(_xlfn.SINGLE(HM_ZB_Nsoko!CA_PSC_switch_trig)=0)+(MIN(_xlfn.SINGLE(HM_ZB_Nsoko!CA_gross_rev_total_fp),_xlfn.SINGLE(HM_ZB_Nsoko!CA_gross_rev_oil_hp2))*HM_ZB_Nsoko!cost_stop_perc)*(_xlfn.SINGLE(HM_ZB_Nsoko!CA_PSC_switch_trig)=1)</f>
        <v>0</v>
      </c>
      <c r="AY242" s="49">
        <f ca="1">IF(_xlfn.SINGLE(HM_ZB_Nsoko!CA_FP_oil_nom)&gt;_xlfn.SINGLE(HM_ZB_Nsoko!CA_HP1_oil_nom),HM_ZB_Nsoko!cost_stop_perc*_xlfn.SINGLE(HM_ZB_Nsoko!CA_gross_rev_oil_hp1),HM_ZB_Nsoko!cost_stop_perc*_xlfn.SINGLE(HM_ZB_Nsoko!CA_gross_rev_total_fp))*(_xlfn.SINGLE(HM_ZB_Nsoko!CA_PSC_switch_trig)=0)+(MIN(_xlfn.SINGLE(HM_ZB_Nsoko!CA_gross_rev_total_fp),_xlfn.SINGLE(HM_ZB_Nsoko!CA_gross_rev_oil_hp2))*HM_ZB_Nsoko!cost_stop_perc)*(_xlfn.SINGLE(HM_ZB_Nsoko!CA_PSC_switch_trig)=1)</f>
        <v>0</v>
      </c>
      <c r="AZ242" s="49">
        <f ca="1">IF(_xlfn.SINGLE(HM_ZB_Nsoko!CA_FP_oil_nom)&gt;_xlfn.SINGLE(HM_ZB_Nsoko!CA_HP1_oil_nom),HM_ZB_Nsoko!cost_stop_perc*_xlfn.SINGLE(HM_ZB_Nsoko!CA_gross_rev_oil_hp1),HM_ZB_Nsoko!cost_stop_perc*_xlfn.SINGLE(HM_ZB_Nsoko!CA_gross_rev_total_fp))*(_xlfn.SINGLE(HM_ZB_Nsoko!CA_PSC_switch_trig)=0)+(MIN(_xlfn.SINGLE(HM_ZB_Nsoko!CA_gross_rev_total_fp),_xlfn.SINGLE(HM_ZB_Nsoko!CA_gross_rev_oil_hp2))*HM_ZB_Nsoko!cost_stop_perc)*(_xlfn.SINGLE(HM_ZB_Nsoko!CA_PSC_switch_trig)=1)</f>
        <v>0</v>
      </c>
      <c r="BA242" s="49">
        <f ca="1">IF(_xlfn.SINGLE(HM_ZB_Nsoko!CA_FP_oil_nom)&gt;_xlfn.SINGLE(HM_ZB_Nsoko!CA_HP1_oil_nom),HM_ZB_Nsoko!cost_stop_perc*_xlfn.SINGLE(HM_ZB_Nsoko!CA_gross_rev_oil_hp1),HM_ZB_Nsoko!cost_stop_perc*_xlfn.SINGLE(HM_ZB_Nsoko!CA_gross_rev_total_fp))*(_xlfn.SINGLE(HM_ZB_Nsoko!CA_PSC_switch_trig)=0)+(MIN(_xlfn.SINGLE(HM_ZB_Nsoko!CA_gross_rev_total_fp),_xlfn.SINGLE(HM_ZB_Nsoko!CA_gross_rev_oil_hp2))*HM_ZB_Nsoko!cost_stop_perc)*(_xlfn.SINGLE(HM_ZB_Nsoko!CA_PSC_switch_trig)=1)</f>
        <v>0</v>
      </c>
      <c r="BB242" s="49">
        <f ca="1">IF(_xlfn.SINGLE(HM_ZB_Nsoko!CA_FP_oil_nom)&gt;_xlfn.SINGLE(HM_ZB_Nsoko!CA_HP1_oil_nom),HM_ZB_Nsoko!cost_stop_perc*_xlfn.SINGLE(HM_ZB_Nsoko!CA_gross_rev_oil_hp1),HM_ZB_Nsoko!cost_stop_perc*_xlfn.SINGLE(HM_ZB_Nsoko!CA_gross_rev_total_fp))*(_xlfn.SINGLE(HM_ZB_Nsoko!CA_PSC_switch_trig)=0)+(MIN(_xlfn.SINGLE(HM_ZB_Nsoko!CA_gross_rev_total_fp),_xlfn.SINGLE(HM_ZB_Nsoko!CA_gross_rev_oil_hp2))*HM_ZB_Nsoko!cost_stop_perc)*(_xlfn.SINGLE(HM_ZB_Nsoko!CA_PSC_switch_trig)=1)</f>
        <v>0</v>
      </c>
      <c r="BC242" s="49">
        <f ca="1">IF(_xlfn.SINGLE(HM_ZB_Nsoko!CA_FP_oil_nom)&gt;_xlfn.SINGLE(HM_ZB_Nsoko!CA_HP1_oil_nom),HM_ZB_Nsoko!cost_stop_perc*_xlfn.SINGLE(HM_ZB_Nsoko!CA_gross_rev_oil_hp1),HM_ZB_Nsoko!cost_stop_perc*_xlfn.SINGLE(HM_ZB_Nsoko!CA_gross_rev_total_fp))*(_xlfn.SINGLE(HM_ZB_Nsoko!CA_PSC_switch_trig)=0)+(MIN(_xlfn.SINGLE(HM_ZB_Nsoko!CA_gross_rev_total_fp),_xlfn.SINGLE(HM_ZB_Nsoko!CA_gross_rev_oil_hp2))*HM_ZB_Nsoko!cost_stop_perc)*(_xlfn.SINGLE(HM_ZB_Nsoko!CA_PSC_switch_trig)=1)</f>
        <v>0</v>
      </c>
      <c r="BD242" s="49">
        <f ca="1">IF(_xlfn.SINGLE(HM_ZB_Nsoko!CA_FP_oil_nom)&gt;_xlfn.SINGLE(HM_ZB_Nsoko!CA_HP1_oil_nom),HM_ZB_Nsoko!cost_stop_perc*_xlfn.SINGLE(HM_ZB_Nsoko!CA_gross_rev_oil_hp1),HM_ZB_Nsoko!cost_stop_perc*_xlfn.SINGLE(HM_ZB_Nsoko!CA_gross_rev_total_fp))*(_xlfn.SINGLE(HM_ZB_Nsoko!CA_PSC_switch_trig)=0)+(MIN(_xlfn.SINGLE(HM_ZB_Nsoko!CA_gross_rev_total_fp),_xlfn.SINGLE(HM_ZB_Nsoko!CA_gross_rev_oil_hp2))*HM_ZB_Nsoko!cost_stop_perc)*(_xlfn.SINGLE(HM_ZB_Nsoko!CA_PSC_switch_trig)=1)</f>
        <v>0</v>
      </c>
      <c r="BE242" s="49">
        <f ca="1">IF(_xlfn.SINGLE(HM_ZB_Nsoko!CA_FP_oil_nom)&gt;_xlfn.SINGLE(HM_ZB_Nsoko!CA_HP1_oil_nom),HM_ZB_Nsoko!cost_stop_perc*_xlfn.SINGLE(HM_ZB_Nsoko!CA_gross_rev_oil_hp1),HM_ZB_Nsoko!cost_stop_perc*_xlfn.SINGLE(HM_ZB_Nsoko!CA_gross_rev_total_fp))*(_xlfn.SINGLE(HM_ZB_Nsoko!CA_PSC_switch_trig)=0)+(MIN(_xlfn.SINGLE(HM_ZB_Nsoko!CA_gross_rev_total_fp),_xlfn.SINGLE(HM_ZB_Nsoko!CA_gross_rev_oil_hp2))*HM_ZB_Nsoko!cost_stop_perc)*(_xlfn.SINGLE(HM_ZB_Nsoko!CA_PSC_switch_trig)=1)</f>
        <v>0</v>
      </c>
      <c r="BF242" s="49">
        <f ca="1">IF(_xlfn.SINGLE(HM_ZB_Nsoko!CA_FP_oil_nom)&gt;_xlfn.SINGLE(HM_ZB_Nsoko!CA_HP1_oil_nom),HM_ZB_Nsoko!cost_stop_perc*_xlfn.SINGLE(HM_ZB_Nsoko!CA_gross_rev_oil_hp1),HM_ZB_Nsoko!cost_stop_perc*_xlfn.SINGLE(HM_ZB_Nsoko!CA_gross_rev_total_fp))*(_xlfn.SINGLE(HM_ZB_Nsoko!CA_PSC_switch_trig)=0)+(MIN(_xlfn.SINGLE(HM_ZB_Nsoko!CA_gross_rev_total_fp),_xlfn.SINGLE(HM_ZB_Nsoko!CA_gross_rev_oil_hp2))*HM_ZB_Nsoko!cost_stop_perc)*(_xlfn.SINGLE(HM_ZB_Nsoko!CA_PSC_switch_trig)=1)</f>
        <v>0</v>
      </c>
      <c r="BG242" s="49">
        <f ca="1">IF(_xlfn.SINGLE(HM_ZB_Nsoko!CA_FP_oil_nom)&gt;_xlfn.SINGLE(HM_ZB_Nsoko!CA_HP1_oil_nom),HM_ZB_Nsoko!cost_stop_perc*_xlfn.SINGLE(HM_ZB_Nsoko!CA_gross_rev_oil_hp1),HM_ZB_Nsoko!cost_stop_perc*_xlfn.SINGLE(HM_ZB_Nsoko!CA_gross_rev_total_fp))*(_xlfn.SINGLE(HM_ZB_Nsoko!CA_PSC_switch_trig)=0)+(MIN(_xlfn.SINGLE(HM_ZB_Nsoko!CA_gross_rev_total_fp),_xlfn.SINGLE(HM_ZB_Nsoko!CA_gross_rev_oil_hp2))*HM_ZB_Nsoko!cost_stop_perc)*(_xlfn.SINGLE(HM_ZB_Nsoko!CA_PSC_switch_trig)=1)</f>
        <v>0</v>
      </c>
      <c r="BH242" s="49">
        <f ca="1">IF(_xlfn.SINGLE(HM_ZB_Nsoko!CA_FP_oil_nom)&gt;_xlfn.SINGLE(HM_ZB_Nsoko!CA_HP1_oil_nom),HM_ZB_Nsoko!cost_stop_perc*_xlfn.SINGLE(HM_ZB_Nsoko!CA_gross_rev_oil_hp1),HM_ZB_Nsoko!cost_stop_perc*_xlfn.SINGLE(HM_ZB_Nsoko!CA_gross_rev_total_fp))*(_xlfn.SINGLE(HM_ZB_Nsoko!CA_PSC_switch_trig)=0)+(MIN(_xlfn.SINGLE(HM_ZB_Nsoko!CA_gross_rev_total_fp),_xlfn.SINGLE(HM_ZB_Nsoko!CA_gross_rev_oil_hp2))*HM_ZB_Nsoko!cost_stop_perc)*(_xlfn.SINGLE(HM_ZB_Nsoko!CA_PSC_switch_trig)=1)</f>
        <v>0</v>
      </c>
      <c r="BI242" s="49">
        <f ca="1">IF(_xlfn.SINGLE(HM_ZB_Nsoko!CA_FP_oil_nom)&gt;_xlfn.SINGLE(HM_ZB_Nsoko!CA_HP1_oil_nom),HM_ZB_Nsoko!cost_stop_perc*_xlfn.SINGLE(HM_ZB_Nsoko!CA_gross_rev_oil_hp1),HM_ZB_Nsoko!cost_stop_perc*_xlfn.SINGLE(HM_ZB_Nsoko!CA_gross_rev_total_fp))*(_xlfn.SINGLE(HM_ZB_Nsoko!CA_PSC_switch_trig)=0)+(MIN(_xlfn.SINGLE(HM_ZB_Nsoko!CA_gross_rev_total_fp),_xlfn.SINGLE(HM_ZB_Nsoko!CA_gross_rev_oil_hp2))*HM_ZB_Nsoko!cost_stop_perc)*(_xlfn.SINGLE(HM_ZB_Nsoko!CA_PSC_switch_trig)=1)</f>
        <v>0</v>
      </c>
      <c r="BJ242" s="49">
        <f ca="1">IF(_xlfn.SINGLE(HM_ZB_Nsoko!CA_FP_oil_nom)&gt;_xlfn.SINGLE(HM_ZB_Nsoko!CA_HP1_oil_nom),HM_ZB_Nsoko!cost_stop_perc*_xlfn.SINGLE(HM_ZB_Nsoko!CA_gross_rev_oil_hp1),HM_ZB_Nsoko!cost_stop_perc*_xlfn.SINGLE(HM_ZB_Nsoko!CA_gross_rev_total_fp))*(_xlfn.SINGLE(HM_ZB_Nsoko!CA_PSC_switch_trig)=0)+(MIN(_xlfn.SINGLE(HM_ZB_Nsoko!CA_gross_rev_total_fp),_xlfn.SINGLE(HM_ZB_Nsoko!CA_gross_rev_oil_hp2))*HM_ZB_Nsoko!cost_stop_perc)*(_xlfn.SINGLE(HM_ZB_Nsoko!CA_PSC_switch_trig)=1)</f>
        <v>0</v>
      </c>
      <c r="BK242" s="49">
        <f ca="1">IF(_xlfn.SINGLE(HM_ZB_Nsoko!CA_FP_oil_nom)&gt;_xlfn.SINGLE(HM_ZB_Nsoko!CA_HP1_oil_nom),HM_ZB_Nsoko!cost_stop_perc*_xlfn.SINGLE(HM_ZB_Nsoko!CA_gross_rev_oil_hp1),HM_ZB_Nsoko!cost_stop_perc*_xlfn.SINGLE(HM_ZB_Nsoko!CA_gross_rev_total_fp))*(_xlfn.SINGLE(HM_ZB_Nsoko!CA_PSC_switch_trig)=0)+(MIN(_xlfn.SINGLE(HM_ZB_Nsoko!CA_gross_rev_total_fp),_xlfn.SINGLE(HM_ZB_Nsoko!CA_gross_rev_oil_hp2))*HM_ZB_Nsoko!cost_stop_perc)*(_xlfn.SINGLE(HM_ZB_Nsoko!CA_PSC_switch_trig)=1)</f>
        <v>0</v>
      </c>
      <c r="BL242" s="49">
        <f ca="1">IF(_xlfn.SINGLE(HM_ZB_Nsoko!CA_FP_oil_nom)&gt;_xlfn.SINGLE(HM_ZB_Nsoko!CA_HP1_oil_nom),HM_ZB_Nsoko!cost_stop_perc*_xlfn.SINGLE(HM_ZB_Nsoko!CA_gross_rev_oil_hp1),HM_ZB_Nsoko!cost_stop_perc*_xlfn.SINGLE(HM_ZB_Nsoko!CA_gross_rev_total_fp))*(_xlfn.SINGLE(HM_ZB_Nsoko!CA_PSC_switch_trig)=0)+(MIN(_xlfn.SINGLE(HM_ZB_Nsoko!CA_gross_rev_total_fp),_xlfn.SINGLE(HM_ZB_Nsoko!CA_gross_rev_oil_hp2))*HM_ZB_Nsoko!cost_stop_perc)*(_xlfn.SINGLE(HM_ZB_Nsoko!CA_PSC_switch_trig)=1)</f>
        <v>0</v>
      </c>
      <c r="BM242" s="49">
        <f ca="1">IF(_xlfn.SINGLE(HM_ZB_Nsoko!CA_FP_oil_nom)&gt;_xlfn.SINGLE(HM_ZB_Nsoko!CA_HP1_oil_nom),HM_ZB_Nsoko!cost_stop_perc*_xlfn.SINGLE(HM_ZB_Nsoko!CA_gross_rev_oil_hp1),HM_ZB_Nsoko!cost_stop_perc*_xlfn.SINGLE(HM_ZB_Nsoko!CA_gross_rev_total_fp))*(_xlfn.SINGLE(HM_ZB_Nsoko!CA_PSC_switch_trig)=0)+(MIN(_xlfn.SINGLE(HM_ZB_Nsoko!CA_gross_rev_total_fp),_xlfn.SINGLE(HM_ZB_Nsoko!CA_gross_rev_oil_hp2))*HM_ZB_Nsoko!cost_stop_perc)*(_xlfn.SINGLE(HM_ZB_Nsoko!CA_PSC_switch_trig)=1)</f>
        <v>0</v>
      </c>
      <c r="BN242" s="49">
        <f ca="1">IF(_xlfn.SINGLE(HM_ZB_Nsoko!CA_FP_oil_nom)&gt;_xlfn.SINGLE(HM_ZB_Nsoko!CA_HP1_oil_nom),HM_ZB_Nsoko!cost_stop_perc*_xlfn.SINGLE(HM_ZB_Nsoko!CA_gross_rev_oil_hp1),HM_ZB_Nsoko!cost_stop_perc*_xlfn.SINGLE(HM_ZB_Nsoko!CA_gross_rev_total_fp))*(_xlfn.SINGLE(HM_ZB_Nsoko!CA_PSC_switch_trig)=0)+(MIN(_xlfn.SINGLE(HM_ZB_Nsoko!CA_gross_rev_total_fp),_xlfn.SINGLE(HM_ZB_Nsoko!CA_gross_rev_oil_hp2))*HM_ZB_Nsoko!cost_stop_perc)*(_xlfn.SINGLE(HM_ZB_Nsoko!CA_PSC_switch_trig)=1)</f>
        <v>0</v>
      </c>
      <c r="BO242" s="49">
        <f ca="1">IF(_xlfn.SINGLE(HM_ZB_Nsoko!CA_FP_oil_nom)&gt;_xlfn.SINGLE(HM_ZB_Nsoko!CA_HP1_oil_nom),HM_ZB_Nsoko!cost_stop_perc*_xlfn.SINGLE(HM_ZB_Nsoko!CA_gross_rev_oil_hp1),HM_ZB_Nsoko!cost_stop_perc*_xlfn.SINGLE(HM_ZB_Nsoko!CA_gross_rev_total_fp))*(_xlfn.SINGLE(HM_ZB_Nsoko!CA_PSC_switch_trig)=0)+(MIN(_xlfn.SINGLE(HM_ZB_Nsoko!CA_gross_rev_total_fp),_xlfn.SINGLE(HM_ZB_Nsoko!CA_gross_rev_oil_hp2))*HM_ZB_Nsoko!cost_stop_perc)*(_xlfn.SINGLE(HM_ZB_Nsoko!CA_PSC_switch_trig)=1)</f>
        <v>0</v>
      </c>
      <c r="BP242" s="49">
        <f ca="1">IF(_xlfn.SINGLE(HM_ZB_Nsoko!CA_FP_oil_nom)&gt;_xlfn.SINGLE(HM_ZB_Nsoko!CA_HP1_oil_nom),HM_ZB_Nsoko!cost_stop_perc*_xlfn.SINGLE(HM_ZB_Nsoko!CA_gross_rev_oil_hp1),HM_ZB_Nsoko!cost_stop_perc*_xlfn.SINGLE(HM_ZB_Nsoko!CA_gross_rev_total_fp))*(_xlfn.SINGLE(HM_ZB_Nsoko!CA_PSC_switch_trig)=0)+(MIN(_xlfn.SINGLE(HM_ZB_Nsoko!CA_gross_rev_total_fp),_xlfn.SINGLE(HM_ZB_Nsoko!CA_gross_rev_oil_hp2))*HM_ZB_Nsoko!cost_stop_perc)*(_xlfn.SINGLE(HM_ZB_Nsoko!CA_PSC_switch_trig)=1)</f>
        <v>0</v>
      </c>
      <c r="BQ242" s="49">
        <f ca="1">IF(_xlfn.SINGLE(HM_ZB_Nsoko!CA_FP_oil_nom)&gt;_xlfn.SINGLE(HM_ZB_Nsoko!CA_HP1_oil_nom),HM_ZB_Nsoko!cost_stop_perc*_xlfn.SINGLE(HM_ZB_Nsoko!CA_gross_rev_oil_hp1),HM_ZB_Nsoko!cost_stop_perc*_xlfn.SINGLE(HM_ZB_Nsoko!CA_gross_rev_total_fp))*(_xlfn.SINGLE(HM_ZB_Nsoko!CA_PSC_switch_trig)=0)+(MIN(_xlfn.SINGLE(HM_ZB_Nsoko!CA_gross_rev_total_fp),_xlfn.SINGLE(HM_ZB_Nsoko!CA_gross_rev_oil_hp2))*HM_ZB_Nsoko!cost_stop_perc)*(_xlfn.SINGLE(HM_ZB_Nsoko!CA_PSC_switch_trig)=1)</f>
        <v>0</v>
      </c>
      <c r="BR242" s="49">
        <f ca="1">IF(_xlfn.SINGLE(HM_ZB_Nsoko!CA_FP_oil_nom)&gt;_xlfn.SINGLE(HM_ZB_Nsoko!CA_HP1_oil_nom),HM_ZB_Nsoko!cost_stop_perc*_xlfn.SINGLE(HM_ZB_Nsoko!CA_gross_rev_oil_hp1),HM_ZB_Nsoko!cost_stop_perc*_xlfn.SINGLE(HM_ZB_Nsoko!CA_gross_rev_total_fp))*(_xlfn.SINGLE(HM_ZB_Nsoko!CA_PSC_switch_trig)=0)+(MIN(_xlfn.SINGLE(HM_ZB_Nsoko!CA_gross_rev_total_fp),_xlfn.SINGLE(HM_ZB_Nsoko!CA_gross_rev_oil_hp2))*HM_ZB_Nsoko!cost_stop_perc)*(_xlfn.SINGLE(HM_ZB_Nsoko!CA_PSC_switch_trig)=1)</f>
        <v>0</v>
      </c>
      <c r="BS242" s="49">
        <f ca="1">IF(_xlfn.SINGLE(HM_ZB_Nsoko!CA_FP_oil_nom)&gt;_xlfn.SINGLE(HM_ZB_Nsoko!CA_HP1_oil_nom),HM_ZB_Nsoko!cost_stop_perc*_xlfn.SINGLE(HM_ZB_Nsoko!CA_gross_rev_oil_hp1),HM_ZB_Nsoko!cost_stop_perc*_xlfn.SINGLE(HM_ZB_Nsoko!CA_gross_rev_total_fp))*(_xlfn.SINGLE(HM_ZB_Nsoko!CA_PSC_switch_trig)=0)+(MIN(_xlfn.SINGLE(HM_ZB_Nsoko!CA_gross_rev_total_fp),_xlfn.SINGLE(HM_ZB_Nsoko!CA_gross_rev_oil_hp2))*HM_ZB_Nsoko!cost_stop_perc)*(_xlfn.SINGLE(HM_ZB_Nsoko!CA_PSC_switch_trig)=1)</f>
        <v>0</v>
      </c>
    </row>
    <row r="243" spans="4:71" outlineLevel="1" x14ac:dyDescent="0.2">
      <c r="J243" s="26"/>
      <c r="L243" s="55"/>
      <c r="M243" s="55"/>
      <c r="N243" s="55"/>
      <c r="O243" s="55"/>
      <c r="P243" s="55"/>
      <c r="Q243" s="55"/>
      <c r="R243" s="55"/>
      <c r="S243" s="55"/>
      <c r="T243" s="55"/>
      <c r="U243" s="55"/>
      <c r="V243" s="55"/>
      <c r="W243" s="55"/>
      <c r="X243" s="55"/>
      <c r="Y243" s="55"/>
      <c r="Z243" s="55"/>
      <c r="AA243" s="55"/>
      <c r="AB243" s="55"/>
      <c r="AC243" s="55"/>
      <c r="AD243" s="55"/>
      <c r="AE243" s="55"/>
      <c r="AF243" s="55"/>
      <c r="AG243" s="55"/>
      <c r="AH243" s="55"/>
      <c r="AI243" s="55"/>
      <c r="AJ243" s="55"/>
      <c r="AK243" s="55"/>
      <c r="AL243" s="55"/>
      <c r="AM243" s="55"/>
      <c r="AN243" s="55"/>
      <c r="AO243" s="55"/>
      <c r="AP243" s="55"/>
      <c r="AQ243" s="55"/>
      <c r="AR243" s="55"/>
      <c r="AS243" s="55"/>
      <c r="AT243" s="55"/>
      <c r="AU243" s="55"/>
      <c r="AV243" s="55"/>
      <c r="AW243" s="55"/>
      <c r="AX243" s="55"/>
      <c r="AY243" s="55"/>
      <c r="AZ243" s="55"/>
      <c r="BA243" s="55"/>
      <c r="BB243" s="55"/>
      <c r="BC243" s="55"/>
      <c r="BD243" s="55"/>
      <c r="BE243" s="55"/>
      <c r="BF243" s="55"/>
      <c r="BG243" s="55"/>
      <c r="BH243" s="55"/>
      <c r="BI243" s="55"/>
      <c r="BJ243" s="55"/>
      <c r="BK243" s="55"/>
      <c r="BL243" s="55"/>
      <c r="BM243" s="55"/>
      <c r="BN243" s="55"/>
      <c r="BO243" s="55"/>
      <c r="BP243" s="55"/>
      <c r="BQ243" s="55"/>
      <c r="BR243" s="55"/>
      <c r="BS243" s="55"/>
    </row>
    <row r="244" spans="4:71" outlineLevel="1" x14ac:dyDescent="0.2">
      <c r="D244" s="11" t="str">
        <f>HM_ZA_Nkossa!D237</f>
        <v>Calendrier de récupération des coûts</v>
      </c>
      <c r="J244" s="26"/>
      <c r="L244" s="55"/>
      <c r="M244" s="55"/>
      <c r="N244" s="55"/>
      <c r="O244" s="55"/>
      <c r="P244" s="55"/>
      <c r="Q244" s="55"/>
      <c r="R244" s="55"/>
      <c r="S244" s="55"/>
      <c r="T244" s="55"/>
      <c r="U244" s="55"/>
      <c r="V244" s="55"/>
      <c r="W244" s="55"/>
      <c r="X244" s="55"/>
      <c r="Y244" s="55"/>
      <c r="Z244" s="55"/>
      <c r="AA244" s="55"/>
      <c r="AB244" s="55"/>
      <c r="AC244" s="55"/>
      <c r="AD244" s="55"/>
      <c r="AE244" s="55"/>
      <c r="AF244" s="55"/>
      <c r="AG244" s="55"/>
      <c r="AH244" s="55"/>
      <c r="AI244" s="55"/>
      <c r="AJ244" s="55"/>
      <c r="AK244" s="55"/>
      <c r="AL244" s="55"/>
      <c r="AM244" s="55"/>
      <c r="AN244" s="55"/>
      <c r="AO244" s="55"/>
      <c r="AP244" s="55"/>
      <c r="AQ244" s="55"/>
      <c r="AR244" s="55"/>
      <c r="AS244" s="55"/>
      <c r="AT244" s="55"/>
      <c r="AU244" s="55"/>
      <c r="AV244" s="55"/>
      <c r="AW244" s="55"/>
      <c r="AX244" s="55"/>
      <c r="AY244" s="55"/>
      <c r="AZ244" s="55"/>
      <c r="BA244" s="55"/>
      <c r="BB244" s="55"/>
      <c r="BC244" s="55"/>
      <c r="BD244" s="55"/>
      <c r="BE244" s="55"/>
      <c r="BF244" s="55"/>
      <c r="BG244" s="55"/>
      <c r="BH244" s="55"/>
      <c r="BI244" s="55"/>
      <c r="BJ244" s="55"/>
      <c r="BK244" s="55"/>
      <c r="BL244" s="55"/>
      <c r="BM244" s="55"/>
      <c r="BN244" s="55"/>
      <c r="BO244" s="55"/>
      <c r="BP244" s="55"/>
      <c r="BQ244" s="55"/>
      <c r="BR244" s="55"/>
      <c r="BS244" s="55"/>
    </row>
    <row r="245" spans="4:71" outlineLevel="1" x14ac:dyDescent="0.2">
      <c r="D245" s="51" t="str">
        <f>HM_ZA_Nkossa!D238</f>
        <v>Opex</v>
      </c>
      <c r="J245" s="26"/>
      <c r="L245" s="55"/>
      <c r="M245" s="55"/>
      <c r="N245" s="55"/>
      <c r="O245" s="55"/>
      <c r="P245" s="55"/>
      <c r="Q245" s="55"/>
      <c r="R245" s="55"/>
      <c r="S245" s="55"/>
      <c r="T245" s="55"/>
      <c r="U245" s="55"/>
      <c r="V245" s="55"/>
      <c r="W245" s="55"/>
      <c r="X245" s="55"/>
      <c r="Y245" s="55"/>
      <c r="Z245" s="55"/>
      <c r="AA245" s="55"/>
      <c r="AB245" s="55"/>
      <c r="AC245" s="55"/>
      <c r="AD245" s="55"/>
      <c r="AE245" s="55"/>
      <c r="AF245" s="55"/>
      <c r="AG245" s="55"/>
      <c r="AH245" s="55"/>
      <c r="AI245" s="55"/>
      <c r="AJ245" s="55"/>
      <c r="AK245" s="55"/>
      <c r="AL245" s="55"/>
      <c r="AM245" s="55"/>
      <c r="AN245" s="55"/>
      <c r="AO245" s="55"/>
      <c r="AP245" s="55"/>
      <c r="AQ245" s="55"/>
      <c r="AR245" s="55"/>
      <c r="AS245" s="55"/>
      <c r="AT245" s="55"/>
      <c r="AU245" s="55"/>
      <c r="AV245" s="55"/>
      <c r="AW245" s="55"/>
      <c r="AX245" s="55"/>
      <c r="AY245" s="55"/>
      <c r="AZ245" s="55"/>
      <c r="BA245" s="55"/>
      <c r="BB245" s="55"/>
      <c r="BC245" s="55"/>
      <c r="BD245" s="55"/>
      <c r="BE245" s="55"/>
      <c r="BF245" s="55"/>
      <c r="BG245" s="55"/>
      <c r="BH245" s="55"/>
      <c r="BI245" s="55"/>
      <c r="BJ245" s="55"/>
      <c r="BK245" s="55"/>
      <c r="BL245" s="55"/>
      <c r="BM245" s="55"/>
      <c r="BN245" s="55"/>
      <c r="BO245" s="55"/>
      <c r="BP245" s="55"/>
      <c r="BQ245" s="55"/>
      <c r="BR245" s="55"/>
      <c r="BS245" s="55"/>
    </row>
    <row r="246" spans="4:71" outlineLevel="1" x14ac:dyDescent="0.2">
      <c r="E246" t="str">
        <f>HM_ZA_Nkossa!E239</f>
        <v>Revenus disponibles pour la récupération</v>
      </c>
      <c r="I246" s="30">
        <f t="shared" ref="I246:I248" ca="1" si="56">SUM($L246:$BS246)</f>
        <v>209.86679826310686</v>
      </c>
      <c r="J246" s="26" t="s">
        <v>148</v>
      </c>
      <c r="L246" s="49">
        <f ca="1">HM_ZB_Nsoko!CA_cost_stop</f>
        <v>13.98886535025</v>
      </c>
      <c r="M246" s="49">
        <f ca="1">HM_ZB_Nsoko!CA_cost_stop</f>
        <v>15.7581671628</v>
      </c>
      <c r="N246" s="49">
        <f ca="1">HM_ZB_Nsoko!CA_cost_stop</f>
        <v>18.291745306199999</v>
      </c>
      <c r="O246" s="49">
        <f ca="1">HM_ZB_Nsoko!CA_cost_stop</f>
        <v>14.759294623199999</v>
      </c>
      <c r="P246" s="49">
        <f ca="1">HM_ZB_Nsoko!CA_cost_stop</f>
        <v>16.7932828038</v>
      </c>
      <c r="Q246" s="49">
        <f ca="1">HM_ZB_Nsoko!CA_cost_stop</f>
        <v>13.427929127999999</v>
      </c>
      <c r="R246" s="49">
        <f ca="1">HM_ZB_Nsoko!CA_cost_stop</f>
        <v>6.7660534655999998</v>
      </c>
      <c r="S246" s="49">
        <f ca="1">HM_ZB_Nsoko!CA_cost_stop</f>
        <v>18.563786326481896</v>
      </c>
      <c r="T246" s="49">
        <f ca="1">HM_ZB_Nsoko!CA_cost_stop</f>
        <v>21.051568656899995</v>
      </c>
      <c r="U246" s="49">
        <f ca="1">HM_ZB_Nsoko!CA_cost_stop</f>
        <v>19.577958850916996</v>
      </c>
      <c r="V246" s="49">
        <f ca="1">HM_ZB_Nsoko!CA_cost_stop</f>
        <v>18.207501731352803</v>
      </c>
      <c r="W246" s="49">
        <f ca="1">HM_ZB_Nsoko!CA_cost_stop</f>
        <v>16.932976610158107</v>
      </c>
      <c r="X246" s="49">
        <f ca="1">HM_ZB_Nsoko!CA_cost_stop</f>
        <v>15.747668247447042</v>
      </c>
      <c r="Y246" s="49">
        <f ca="1">HM_ZB_Nsoko!CA_cost_stop</f>
        <v>0</v>
      </c>
      <c r="Z246" s="49">
        <f ca="1">HM_ZB_Nsoko!CA_cost_stop</f>
        <v>0</v>
      </c>
      <c r="AA246" s="49">
        <f ca="1">HM_ZB_Nsoko!CA_cost_stop</f>
        <v>0</v>
      </c>
      <c r="AB246" s="49">
        <f ca="1">HM_ZB_Nsoko!CA_cost_stop</f>
        <v>0</v>
      </c>
      <c r="AC246" s="49">
        <f ca="1">HM_ZB_Nsoko!CA_cost_stop</f>
        <v>0</v>
      </c>
      <c r="AD246" s="49">
        <f ca="1">HM_ZB_Nsoko!CA_cost_stop</f>
        <v>0</v>
      </c>
      <c r="AE246" s="49">
        <f ca="1">HM_ZB_Nsoko!CA_cost_stop</f>
        <v>0</v>
      </c>
      <c r="AF246" s="49">
        <f ca="1">HM_ZB_Nsoko!CA_cost_stop</f>
        <v>0</v>
      </c>
      <c r="AG246" s="49">
        <f ca="1">HM_ZB_Nsoko!CA_cost_stop</f>
        <v>0</v>
      </c>
      <c r="AH246" s="49">
        <f ca="1">HM_ZB_Nsoko!CA_cost_stop</f>
        <v>0</v>
      </c>
      <c r="AI246" s="49">
        <f ca="1">HM_ZB_Nsoko!CA_cost_stop</f>
        <v>0</v>
      </c>
      <c r="AJ246" s="49">
        <f ca="1">HM_ZB_Nsoko!CA_cost_stop</f>
        <v>0</v>
      </c>
      <c r="AK246" s="49">
        <f ca="1">HM_ZB_Nsoko!CA_cost_stop</f>
        <v>0</v>
      </c>
      <c r="AL246" s="49">
        <f ca="1">HM_ZB_Nsoko!CA_cost_stop</f>
        <v>0</v>
      </c>
      <c r="AM246" s="49">
        <f ca="1">HM_ZB_Nsoko!CA_cost_stop</f>
        <v>0</v>
      </c>
      <c r="AN246" s="49">
        <f ca="1">HM_ZB_Nsoko!CA_cost_stop</f>
        <v>0</v>
      </c>
      <c r="AO246" s="49">
        <f ca="1">HM_ZB_Nsoko!CA_cost_stop</f>
        <v>0</v>
      </c>
      <c r="AP246" s="49">
        <f ca="1">HM_ZB_Nsoko!CA_cost_stop</f>
        <v>0</v>
      </c>
      <c r="AQ246" s="49">
        <f ca="1">HM_ZB_Nsoko!CA_cost_stop</f>
        <v>0</v>
      </c>
      <c r="AR246" s="49">
        <f ca="1">HM_ZB_Nsoko!CA_cost_stop</f>
        <v>0</v>
      </c>
      <c r="AS246" s="49">
        <f ca="1">HM_ZB_Nsoko!CA_cost_stop</f>
        <v>0</v>
      </c>
      <c r="AT246" s="49">
        <f ca="1">HM_ZB_Nsoko!CA_cost_stop</f>
        <v>0</v>
      </c>
      <c r="AU246" s="49">
        <f ca="1">HM_ZB_Nsoko!CA_cost_stop</f>
        <v>0</v>
      </c>
      <c r="AV246" s="49">
        <f ca="1">HM_ZB_Nsoko!CA_cost_stop</f>
        <v>0</v>
      </c>
      <c r="AW246" s="49">
        <f ca="1">HM_ZB_Nsoko!CA_cost_stop</f>
        <v>0</v>
      </c>
      <c r="AX246" s="49">
        <f ca="1">HM_ZB_Nsoko!CA_cost_stop</f>
        <v>0</v>
      </c>
      <c r="AY246" s="49">
        <f ca="1">HM_ZB_Nsoko!CA_cost_stop</f>
        <v>0</v>
      </c>
      <c r="AZ246" s="49">
        <f ca="1">HM_ZB_Nsoko!CA_cost_stop</f>
        <v>0</v>
      </c>
      <c r="BA246" s="49">
        <f ca="1">HM_ZB_Nsoko!CA_cost_stop</f>
        <v>0</v>
      </c>
      <c r="BB246" s="49">
        <f ca="1">HM_ZB_Nsoko!CA_cost_stop</f>
        <v>0</v>
      </c>
      <c r="BC246" s="49">
        <f ca="1">HM_ZB_Nsoko!CA_cost_stop</f>
        <v>0</v>
      </c>
      <c r="BD246" s="49">
        <f ca="1">HM_ZB_Nsoko!CA_cost_stop</f>
        <v>0</v>
      </c>
      <c r="BE246" s="49">
        <f ca="1">HM_ZB_Nsoko!CA_cost_stop</f>
        <v>0</v>
      </c>
      <c r="BF246" s="49">
        <f ca="1">HM_ZB_Nsoko!CA_cost_stop</f>
        <v>0</v>
      </c>
      <c r="BG246" s="49">
        <f ca="1">HM_ZB_Nsoko!CA_cost_stop</f>
        <v>0</v>
      </c>
      <c r="BH246" s="49">
        <f ca="1">HM_ZB_Nsoko!CA_cost_stop</f>
        <v>0</v>
      </c>
      <c r="BI246" s="49">
        <f ca="1">HM_ZB_Nsoko!CA_cost_stop</f>
        <v>0</v>
      </c>
      <c r="BJ246" s="49">
        <f ca="1">HM_ZB_Nsoko!CA_cost_stop</f>
        <v>0</v>
      </c>
      <c r="BK246" s="49">
        <f ca="1">HM_ZB_Nsoko!CA_cost_stop</f>
        <v>0</v>
      </c>
      <c r="BL246" s="49">
        <f ca="1">HM_ZB_Nsoko!CA_cost_stop</f>
        <v>0</v>
      </c>
      <c r="BM246" s="49">
        <f ca="1">HM_ZB_Nsoko!CA_cost_stop</f>
        <v>0</v>
      </c>
      <c r="BN246" s="49">
        <f ca="1">HM_ZB_Nsoko!CA_cost_stop</f>
        <v>0</v>
      </c>
      <c r="BO246" s="49">
        <f ca="1">HM_ZB_Nsoko!CA_cost_stop</f>
        <v>0</v>
      </c>
      <c r="BP246" s="49">
        <f ca="1">HM_ZB_Nsoko!CA_cost_stop</f>
        <v>0</v>
      </c>
      <c r="BQ246" s="49">
        <f ca="1">HM_ZB_Nsoko!CA_cost_stop</f>
        <v>0</v>
      </c>
      <c r="BR246" s="49">
        <f ca="1">HM_ZB_Nsoko!CA_cost_stop</f>
        <v>0</v>
      </c>
      <c r="BS246" s="49">
        <f ca="1">HM_ZB_Nsoko!CA_cost_stop</f>
        <v>0</v>
      </c>
    </row>
    <row r="247" spans="4:71" outlineLevel="1" x14ac:dyDescent="0.2">
      <c r="E247" t="str">
        <f>HM_ZA_Nkossa!E240</f>
        <v>Opex cumulés à récupérer</v>
      </c>
      <c r="I247" s="30">
        <f ca="1">I232</f>
        <v>111.14358231999998</v>
      </c>
      <c r="J247" s="26" t="s">
        <v>148</v>
      </c>
      <c r="L247" s="49">
        <f ca="1">HM_ZB_Nsoko!CA_opex_to_recover+(K249*(1+int_rate_cf_costs))</f>
        <v>9.577</v>
      </c>
      <c r="M247" s="49">
        <f ca="1">HM_ZB_Nsoko!CA_opex_to_recover+(L249*(1+int_rate_cf_costs))</f>
        <v>7.9459999999999997</v>
      </c>
      <c r="N247" s="49">
        <f ca="1">HM_ZB_Nsoko!CA_opex_to_recover+(M249*(1+int_rate_cf_costs))</f>
        <v>7.3320000000000007</v>
      </c>
      <c r="O247" s="49">
        <f ca="1">HM_ZB_Nsoko!CA_opex_to_recover+(N249*(1+int_rate_cf_costs))</f>
        <v>6.6769999999999996</v>
      </c>
      <c r="P247" s="49">
        <f ca="1">HM_ZB_Nsoko!CA_opex_to_recover+(O249*(1+int_rate_cf_costs))</f>
        <v>7.2530000000000001</v>
      </c>
      <c r="Q247" s="49">
        <f ca="1">HM_ZB_Nsoko!CA_opex_to_recover+(P249*(1+int_rate_cf_costs))</f>
        <v>7.3</v>
      </c>
      <c r="R247" s="49">
        <f ca="1">HM_ZB_Nsoko!CA_opex_to_recover+(Q249*(1+int_rate_cf_costs))</f>
        <v>4.5999999999999996</v>
      </c>
      <c r="S247" s="49">
        <f ca="1">HM_ZB_Nsoko!CA_opex_to_recover+(R249*(1+int_rate_cf_costs))</f>
        <v>10</v>
      </c>
      <c r="T247" s="49">
        <f ca="1">HM_ZB_Nsoko!CA_opex_to_recover+(S249*(1+int_rate_cf_costs))</f>
        <v>9.9</v>
      </c>
      <c r="U247" s="49">
        <f ca="1">HM_ZB_Nsoko!CA_opex_to_recover+(T249*(1+int_rate_cf_costs))</f>
        <v>9.9960000000000004</v>
      </c>
      <c r="V247" s="49">
        <f ca="1">HM_ZB_Nsoko!CA_opex_to_recover+(U249*(1+int_rate_cf_costs))</f>
        <v>10.09188</v>
      </c>
      <c r="W247" s="49">
        <f ca="1">HM_ZB_Nsoko!CA_opex_to_recover+(V249*(1+int_rate_cf_costs))</f>
        <v>10.1875968</v>
      </c>
      <c r="X247" s="49">
        <f ca="1">HM_ZB_Nsoko!CA_opex_to_recover+(W249*(1+int_rate_cf_costs))</f>
        <v>10.283105519999999</v>
      </c>
      <c r="Y247" s="49">
        <f ca="1">HM_ZB_Nsoko!CA_opex_to_recover+(X249*(1+int_rate_cf_costs))</f>
        <v>0</v>
      </c>
      <c r="Z247" s="49">
        <f ca="1">HM_ZB_Nsoko!CA_opex_to_recover+(Y249*(1+int_rate_cf_costs))</f>
        <v>0</v>
      </c>
      <c r="AA247" s="49">
        <f ca="1">HM_ZB_Nsoko!CA_opex_to_recover+(Z249*(1+int_rate_cf_costs))</f>
        <v>0</v>
      </c>
      <c r="AB247" s="49">
        <f ca="1">HM_ZB_Nsoko!CA_opex_to_recover+(AA249*(1+int_rate_cf_costs))</f>
        <v>0</v>
      </c>
      <c r="AC247" s="49">
        <f ca="1">HM_ZB_Nsoko!CA_opex_to_recover+(AB249*(1+int_rate_cf_costs))</f>
        <v>0</v>
      </c>
      <c r="AD247" s="49">
        <f ca="1">HM_ZB_Nsoko!CA_opex_to_recover+(AC249*(1+int_rate_cf_costs))</f>
        <v>0</v>
      </c>
      <c r="AE247" s="49">
        <f ca="1">HM_ZB_Nsoko!CA_opex_to_recover+(AD249*(1+int_rate_cf_costs))</f>
        <v>0</v>
      </c>
      <c r="AF247" s="49">
        <f ca="1">HM_ZB_Nsoko!CA_opex_to_recover+(AE249*(1+int_rate_cf_costs))</f>
        <v>0</v>
      </c>
      <c r="AG247" s="49">
        <f ca="1">HM_ZB_Nsoko!CA_opex_to_recover+(AF249*(1+int_rate_cf_costs))</f>
        <v>0</v>
      </c>
      <c r="AH247" s="49">
        <f ca="1">HM_ZB_Nsoko!CA_opex_to_recover+(AG249*(1+int_rate_cf_costs))</f>
        <v>0</v>
      </c>
      <c r="AI247" s="49">
        <f ca="1">HM_ZB_Nsoko!CA_opex_to_recover+(AH249*(1+int_rate_cf_costs))</f>
        <v>0</v>
      </c>
      <c r="AJ247" s="49">
        <f ca="1">HM_ZB_Nsoko!CA_opex_to_recover+(AI249*(1+int_rate_cf_costs))</f>
        <v>0</v>
      </c>
      <c r="AK247" s="49">
        <f ca="1">HM_ZB_Nsoko!CA_opex_to_recover+(AJ249*(1+int_rate_cf_costs))</f>
        <v>0</v>
      </c>
      <c r="AL247" s="49">
        <f ca="1">HM_ZB_Nsoko!CA_opex_to_recover+(AK249*(1+int_rate_cf_costs))</f>
        <v>0</v>
      </c>
      <c r="AM247" s="49">
        <f ca="1">HM_ZB_Nsoko!CA_opex_to_recover+(AL249*(1+int_rate_cf_costs))</f>
        <v>0</v>
      </c>
      <c r="AN247" s="49">
        <f ca="1">HM_ZB_Nsoko!CA_opex_to_recover+(AM249*(1+int_rate_cf_costs))</f>
        <v>0</v>
      </c>
      <c r="AO247" s="49">
        <f ca="1">HM_ZB_Nsoko!CA_opex_to_recover+(AN249*(1+int_rate_cf_costs))</f>
        <v>0</v>
      </c>
      <c r="AP247" s="49">
        <f ca="1">HM_ZB_Nsoko!CA_opex_to_recover+(AO249*(1+int_rate_cf_costs))</f>
        <v>0</v>
      </c>
      <c r="AQ247" s="49">
        <f ca="1">HM_ZB_Nsoko!CA_opex_to_recover+(AP249*(1+int_rate_cf_costs))</f>
        <v>0</v>
      </c>
      <c r="AR247" s="49">
        <f ca="1">HM_ZB_Nsoko!CA_opex_to_recover+(AQ249*(1+int_rate_cf_costs))</f>
        <v>0</v>
      </c>
      <c r="AS247" s="49">
        <f ca="1">HM_ZB_Nsoko!CA_opex_to_recover+(AR249*(1+int_rate_cf_costs))</f>
        <v>0</v>
      </c>
      <c r="AT247" s="49">
        <f ca="1">HM_ZB_Nsoko!CA_opex_to_recover+(AS249*(1+int_rate_cf_costs))</f>
        <v>0</v>
      </c>
      <c r="AU247" s="49">
        <f ca="1">HM_ZB_Nsoko!CA_opex_to_recover+(AT249*(1+int_rate_cf_costs))</f>
        <v>0</v>
      </c>
      <c r="AV247" s="49">
        <f ca="1">HM_ZB_Nsoko!CA_opex_to_recover+(AU249*(1+int_rate_cf_costs))</f>
        <v>0</v>
      </c>
      <c r="AW247" s="49">
        <f ca="1">HM_ZB_Nsoko!CA_opex_to_recover+(AV249*(1+int_rate_cf_costs))</f>
        <v>0</v>
      </c>
      <c r="AX247" s="49">
        <f ca="1">HM_ZB_Nsoko!CA_opex_to_recover+(AW249*(1+int_rate_cf_costs))</f>
        <v>0</v>
      </c>
      <c r="AY247" s="49">
        <f ca="1">HM_ZB_Nsoko!CA_opex_to_recover+(AX249*(1+int_rate_cf_costs))</f>
        <v>0</v>
      </c>
      <c r="AZ247" s="49">
        <f ca="1">HM_ZB_Nsoko!CA_opex_to_recover+(AY249*(1+int_rate_cf_costs))</f>
        <v>0</v>
      </c>
      <c r="BA247" s="49">
        <f ca="1">HM_ZB_Nsoko!CA_opex_to_recover+(AZ249*(1+int_rate_cf_costs))</f>
        <v>0</v>
      </c>
      <c r="BB247" s="49">
        <f ca="1">HM_ZB_Nsoko!CA_opex_to_recover+(BA249*(1+int_rate_cf_costs))</f>
        <v>0</v>
      </c>
      <c r="BC247" s="49">
        <f ca="1">HM_ZB_Nsoko!CA_opex_to_recover+(BB249*(1+int_rate_cf_costs))</f>
        <v>0</v>
      </c>
      <c r="BD247" s="49">
        <f ca="1">HM_ZB_Nsoko!CA_opex_to_recover+(BC249*(1+int_rate_cf_costs))</f>
        <v>0</v>
      </c>
      <c r="BE247" s="49">
        <f ca="1">HM_ZB_Nsoko!CA_opex_to_recover+(BD249*(1+int_rate_cf_costs))</f>
        <v>0</v>
      </c>
      <c r="BF247" s="49">
        <f ca="1">HM_ZB_Nsoko!CA_opex_to_recover+(BE249*(1+int_rate_cf_costs))</f>
        <v>0</v>
      </c>
      <c r="BG247" s="49">
        <f ca="1">HM_ZB_Nsoko!CA_opex_to_recover+(BF249*(1+int_rate_cf_costs))</f>
        <v>0</v>
      </c>
      <c r="BH247" s="49">
        <f ca="1">HM_ZB_Nsoko!CA_opex_to_recover+(BG249*(1+int_rate_cf_costs))</f>
        <v>0</v>
      </c>
      <c r="BI247" s="49">
        <f ca="1">HM_ZB_Nsoko!CA_opex_to_recover+(BH249*(1+int_rate_cf_costs))</f>
        <v>0</v>
      </c>
      <c r="BJ247" s="49">
        <f ca="1">HM_ZB_Nsoko!CA_opex_to_recover+(BI249*(1+int_rate_cf_costs))</f>
        <v>0</v>
      </c>
      <c r="BK247" s="49">
        <f ca="1">HM_ZB_Nsoko!CA_opex_to_recover+(BJ249*(1+int_rate_cf_costs))</f>
        <v>0</v>
      </c>
      <c r="BL247" s="49">
        <f ca="1">HM_ZB_Nsoko!CA_opex_to_recover+(BK249*(1+int_rate_cf_costs))</f>
        <v>0</v>
      </c>
      <c r="BM247" s="49">
        <f ca="1">HM_ZB_Nsoko!CA_opex_to_recover+(BL249*(1+int_rate_cf_costs))</f>
        <v>0</v>
      </c>
      <c r="BN247" s="49">
        <f ca="1">HM_ZB_Nsoko!CA_opex_to_recover+(BM249*(1+int_rate_cf_costs))</f>
        <v>0</v>
      </c>
      <c r="BO247" s="49">
        <f ca="1">HM_ZB_Nsoko!CA_opex_to_recover+(BN249*(1+int_rate_cf_costs))</f>
        <v>0</v>
      </c>
      <c r="BP247" s="49">
        <f ca="1">HM_ZB_Nsoko!CA_opex_to_recover+(BO249*(1+int_rate_cf_costs))</f>
        <v>0</v>
      </c>
      <c r="BQ247" s="49">
        <f ca="1">HM_ZB_Nsoko!CA_opex_to_recover+(BP249*(1+int_rate_cf_costs))</f>
        <v>0</v>
      </c>
      <c r="BR247" s="49">
        <f ca="1">HM_ZB_Nsoko!CA_opex_to_recover+(BQ249*(1+int_rate_cf_costs))</f>
        <v>0</v>
      </c>
      <c r="BS247" s="49">
        <f ca="1">HM_ZB_Nsoko!CA_opex_to_recover+(BR249*(1+int_rate_cf_costs))</f>
        <v>0</v>
      </c>
    </row>
    <row r="248" spans="4:71" outlineLevel="1" x14ac:dyDescent="0.2">
      <c r="E248" t="str">
        <f>HM_ZA_Nkossa!E241</f>
        <v>Opex récupérés</v>
      </c>
      <c r="H248" s="56" t="b">
        <f ca="1">ROUND(I248,2)=-ROUND(I247,2)</f>
        <v>1</v>
      </c>
      <c r="I248" s="30">
        <f t="shared" ca="1" si="56"/>
        <v>-111.14358231999998</v>
      </c>
      <c r="J248" s="26" t="s">
        <v>148</v>
      </c>
      <c r="L248" s="49">
        <f ca="1">-MIN(L247,L246)</f>
        <v>-9.577</v>
      </c>
      <c r="M248" s="49">
        <f t="shared" ref="M248:BS248" ca="1" si="57">-MIN(M247,M246)</f>
        <v>-7.9459999999999997</v>
      </c>
      <c r="N248" s="49">
        <f t="shared" ca="1" si="57"/>
        <v>-7.3320000000000007</v>
      </c>
      <c r="O248" s="49">
        <f t="shared" ca="1" si="57"/>
        <v>-6.6769999999999996</v>
      </c>
      <c r="P248" s="49">
        <f t="shared" ca="1" si="57"/>
        <v>-7.2530000000000001</v>
      </c>
      <c r="Q248" s="49">
        <f t="shared" ca="1" si="57"/>
        <v>-7.3</v>
      </c>
      <c r="R248" s="49">
        <f t="shared" ca="1" si="57"/>
        <v>-4.5999999999999996</v>
      </c>
      <c r="S248" s="49">
        <f t="shared" ca="1" si="57"/>
        <v>-10</v>
      </c>
      <c r="T248" s="49">
        <f t="shared" ca="1" si="57"/>
        <v>-9.9</v>
      </c>
      <c r="U248" s="49">
        <f t="shared" ca="1" si="57"/>
        <v>-9.9960000000000004</v>
      </c>
      <c r="V248" s="49">
        <f t="shared" ca="1" si="57"/>
        <v>-10.09188</v>
      </c>
      <c r="W248" s="49">
        <f t="shared" ca="1" si="57"/>
        <v>-10.1875968</v>
      </c>
      <c r="X248" s="49">
        <f t="shared" ca="1" si="57"/>
        <v>-10.283105519999999</v>
      </c>
      <c r="Y248" s="49">
        <f t="shared" ca="1" si="57"/>
        <v>0</v>
      </c>
      <c r="Z248" s="49">
        <f t="shared" ca="1" si="57"/>
        <v>0</v>
      </c>
      <c r="AA248" s="49">
        <f t="shared" ca="1" si="57"/>
        <v>0</v>
      </c>
      <c r="AB248" s="49">
        <f t="shared" ca="1" si="57"/>
        <v>0</v>
      </c>
      <c r="AC248" s="49">
        <f t="shared" ca="1" si="57"/>
        <v>0</v>
      </c>
      <c r="AD248" s="49">
        <f t="shared" ca="1" si="57"/>
        <v>0</v>
      </c>
      <c r="AE248" s="49">
        <f t="shared" ca="1" si="57"/>
        <v>0</v>
      </c>
      <c r="AF248" s="49">
        <f t="shared" ca="1" si="57"/>
        <v>0</v>
      </c>
      <c r="AG248" s="49">
        <f t="shared" ca="1" si="57"/>
        <v>0</v>
      </c>
      <c r="AH248" s="49">
        <f t="shared" ca="1" si="57"/>
        <v>0</v>
      </c>
      <c r="AI248" s="49">
        <f t="shared" ca="1" si="57"/>
        <v>0</v>
      </c>
      <c r="AJ248" s="49">
        <f t="shared" ca="1" si="57"/>
        <v>0</v>
      </c>
      <c r="AK248" s="49">
        <f t="shared" ca="1" si="57"/>
        <v>0</v>
      </c>
      <c r="AL248" s="49">
        <f t="shared" ca="1" si="57"/>
        <v>0</v>
      </c>
      <c r="AM248" s="49">
        <f t="shared" ca="1" si="57"/>
        <v>0</v>
      </c>
      <c r="AN248" s="49">
        <f t="shared" ca="1" si="57"/>
        <v>0</v>
      </c>
      <c r="AO248" s="49">
        <f t="shared" ca="1" si="57"/>
        <v>0</v>
      </c>
      <c r="AP248" s="49">
        <f t="shared" ca="1" si="57"/>
        <v>0</v>
      </c>
      <c r="AQ248" s="49">
        <f t="shared" ca="1" si="57"/>
        <v>0</v>
      </c>
      <c r="AR248" s="49">
        <f t="shared" ca="1" si="57"/>
        <v>0</v>
      </c>
      <c r="AS248" s="49">
        <f t="shared" ca="1" si="57"/>
        <v>0</v>
      </c>
      <c r="AT248" s="49">
        <f t="shared" ca="1" si="57"/>
        <v>0</v>
      </c>
      <c r="AU248" s="49">
        <f t="shared" ca="1" si="57"/>
        <v>0</v>
      </c>
      <c r="AV248" s="49">
        <f t="shared" ca="1" si="57"/>
        <v>0</v>
      </c>
      <c r="AW248" s="49">
        <f t="shared" ca="1" si="57"/>
        <v>0</v>
      </c>
      <c r="AX248" s="49">
        <f t="shared" ca="1" si="57"/>
        <v>0</v>
      </c>
      <c r="AY248" s="49">
        <f t="shared" ca="1" si="57"/>
        <v>0</v>
      </c>
      <c r="AZ248" s="49">
        <f t="shared" ca="1" si="57"/>
        <v>0</v>
      </c>
      <c r="BA248" s="49">
        <f t="shared" ca="1" si="57"/>
        <v>0</v>
      </c>
      <c r="BB248" s="49">
        <f t="shared" ca="1" si="57"/>
        <v>0</v>
      </c>
      <c r="BC248" s="49">
        <f t="shared" ca="1" si="57"/>
        <v>0</v>
      </c>
      <c r="BD248" s="49">
        <f t="shared" ca="1" si="57"/>
        <v>0</v>
      </c>
      <c r="BE248" s="49">
        <f t="shared" ca="1" si="57"/>
        <v>0</v>
      </c>
      <c r="BF248" s="49">
        <f t="shared" ca="1" si="57"/>
        <v>0</v>
      </c>
      <c r="BG248" s="49">
        <f t="shared" ca="1" si="57"/>
        <v>0</v>
      </c>
      <c r="BH248" s="49">
        <f t="shared" ca="1" si="57"/>
        <v>0</v>
      </c>
      <c r="BI248" s="49">
        <f t="shared" ca="1" si="57"/>
        <v>0</v>
      </c>
      <c r="BJ248" s="49">
        <f t="shared" ca="1" si="57"/>
        <v>0</v>
      </c>
      <c r="BK248" s="49">
        <f t="shared" ca="1" si="57"/>
        <v>0</v>
      </c>
      <c r="BL248" s="49">
        <f t="shared" ca="1" si="57"/>
        <v>0</v>
      </c>
      <c r="BM248" s="49">
        <f t="shared" ca="1" si="57"/>
        <v>0</v>
      </c>
      <c r="BN248" s="49">
        <f t="shared" ca="1" si="57"/>
        <v>0</v>
      </c>
      <c r="BO248" s="49">
        <f t="shared" ca="1" si="57"/>
        <v>0</v>
      </c>
      <c r="BP248" s="49">
        <f t="shared" ca="1" si="57"/>
        <v>0</v>
      </c>
      <c r="BQ248" s="49">
        <f t="shared" ca="1" si="57"/>
        <v>0</v>
      </c>
      <c r="BR248" s="49">
        <f t="shared" ca="1" si="57"/>
        <v>0</v>
      </c>
      <c r="BS248" s="49">
        <f t="shared" ca="1" si="57"/>
        <v>0</v>
      </c>
    </row>
    <row r="249" spans="4:71" outlineLevel="1" x14ac:dyDescent="0.2">
      <c r="E249" t="str">
        <f>HM_ZA_Nkossa!E242</f>
        <v xml:space="preserve">Sous/(Sur)récupération </v>
      </c>
      <c r="J249" s="26"/>
      <c r="L249" s="49">
        <f ca="1">L247+L248</f>
        <v>0</v>
      </c>
      <c r="M249" s="49">
        <f t="shared" ref="M249:BS249" ca="1" si="58">M247+M248</f>
        <v>0</v>
      </c>
      <c r="N249" s="49">
        <f t="shared" ca="1" si="58"/>
        <v>0</v>
      </c>
      <c r="O249" s="49">
        <f t="shared" ca="1" si="58"/>
        <v>0</v>
      </c>
      <c r="P249" s="49">
        <f t="shared" ca="1" si="58"/>
        <v>0</v>
      </c>
      <c r="Q249" s="49">
        <f t="shared" ca="1" si="58"/>
        <v>0</v>
      </c>
      <c r="R249" s="49">
        <f t="shared" ca="1" si="58"/>
        <v>0</v>
      </c>
      <c r="S249" s="49">
        <f t="shared" ca="1" si="58"/>
        <v>0</v>
      </c>
      <c r="T249" s="49">
        <f t="shared" ca="1" si="58"/>
        <v>0</v>
      </c>
      <c r="U249" s="49">
        <f t="shared" ca="1" si="58"/>
        <v>0</v>
      </c>
      <c r="V249" s="49">
        <f t="shared" ca="1" si="58"/>
        <v>0</v>
      </c>
      <c r="W249" s="49">
        <f t="shared" ca="1" si="58"/>
        <v>0</v>
      </c>
      <c r="X249" s="49">
        <f t="shared" ca="1" si="58"/>
        <v>0</v>
      </c>
      <c r="Y249" s="49">
        <f t="shared" ca="1" si="58"/>
        <v>0</v>
      </c>
      <c r="Z249" s="49">
        <f t="shared" ca="1" si="58"/>
        <v>0</v>
      </c>
      <c r="AA249" s="49">
        <f t="shared" ca="1" si="58"/>
        <v>0</v>
      </c>
      <c r="AB249" s="49">
        <f t="shared" ca="1" si="58"/>
        <v>0</v>
      </c>
      <c r="AC249" s="49">
        <f t="shared" ca="1" si="58"/>
        <v>0</v>
      </c>
      <c r="AD249" s="49">
        <f t="shared" ca="1" si="58"/>
        <v>0</v>
      </c>
      <c r="AE249" s="49">
        <f t="shared" ca="1" si="58"/>
        <v>0</v>
      </c>
      <c r="AF249" s="49">
        <f t="shared" ca="1" si="58"/>
        <v>0</v>
      </c>
      <c r="AG249" s="49">
        <f t="shared" ca="1" si="58"/>
        <v>0</v>
      </c>
      <c r="AH249" s="49">
        <f t="shared" ca="1" si="58"/>
        <v>0</v>
      </c>
      <c r="AI249" s="49">
        <f t="shared" ca="1" si="58"/>
        <v>0</v>
      </c>
      <c r="AJ249" s="49">
        <f t="shared" ca="1" si="58"/>
        <v>0</v>
      </c>
      <c r="AK249" s="49">
        <f t="shared" ca="1" si="58"/>
        <v>0</v>
      </c>
      <c r="AL249" s="49">
        <f t="shared" ca="1" si="58"/>
        <v>0</v>
      </c>
      <c r="AM249" s="49">
        <f t="shared" ca="1" si="58"/>
        <v>0</v>
      </c>
      <c r="AN249" s="49">
        <f t="shared" ca="1" si="58"/>
        <v>0</v>
      </c>
      <c r="AO249" s="49">
        <f t="shared" ca="1" si="58"/>
        <v>0</v>
      </c>
      <c r="AP249" s="49">
        <f t="shared" ca="1" si="58"/>
        <v>0</v>
      </c>
      <c r="AQ249" s="49">
        <f t="shared" ca="1" si="58"/>
        <v>0</v>
      </c>
      <c r="AR249" s="49">
        <f t="shared" ca="1" si="58"/>
        <v>0</v>
      </c>
      <c r="AS249" s="49">
        <f t="shared" ca="1" si="58"/>
        <v>0</v>
      </c>
      <c r="AT249" s="49">
        <f t="shared" ca="1" si="58"/>
        <v>0</v>
      </c>
      <c r="AU249" s="49">
        <f t="shared" ca="1" si="58"/>
        <v>0</v>
      </c>
      <c r="AV249" s="49">
        <f t="shared" ca="1" si="58"/>
        <v>0</v>
      </c>
      <c r="AW249" s="49">
        <f t="shared" ca="1" si="58"/>
        <v>0</v>
      </c>
      <c r="AX249" s="49">
        <f t="shared" ca="1" si="58"/>
        <v>0</v>
      </c>
      <c r="AY249" s="49">
        <f t="shared" ca="1" si="58"/>
        <v>0</v>
      </c>
      <c r="AZ249" s="49">
        <f t="shared" ca="1" si="58"/>
        <v>0</v>
      </c>
      <c r="BA249" s="49">
        <f t="shared" ca="1" si="58"/>
        <v>0</v>
      </c>
      <c r="BB249" s="49">
        <f t="shared" ca="1" si="58"/>
        <v>0</v>
      </c>
      <c r="BC249" s="49">
        <f t="shared" ca="1" si="58"/>
        <v>0</v>
      </c>
      <c r="BD249" s="49">
        <f t="shared" ca="1" si="58"/>
        <v>0</v>
      </c>
      <c r="BE249" s="49">
        <f t="shared" ca="1" si="58"/>
        <v>0</v>
      </c>
      <c r="BF249" s="49">
        <f t="shared" ca="1" si="58"/>
        <v>0</v>
      </c>
      <c r="BG249" s="49">
        <f t="shared" ca="1" si="58"/>
        <v>0</v>
      </c>
      <c r="BH249" s="49">
        <f t="shared" ca="1" si="58"/>
        <v>0</v>
      </c>
      <c r="BI249" s="49">
        <f t="shared" ca="1" si="58"/>
        <v>0</v>
      </c>
      <c r="BJ249" s="49">
        <f t="shared" ca="1" si="58"/>
        <v>0</v>
      </c>
      <c r="BK249" s="49">
        <f t="shared" ca="1" si="58"/>
        <v>0</v>
      </c>
      <c r="BL249" s="49">
        <f t="shared" ca="1" si="58"/>
        <v>0</v>
      </c>
      <c r="BM249" s="49">
        <f t="shared" ca="1" si="58"/>
        <v>0</v>
      </c>
      <c r="BN249" s="49">
        <f t="shared" ca="1" si="58"/>
        <v>0</v>
      </c>
      <c r="BO249" s="49">
        <f t="shared" ca="1" si="58"/>
        <v>0</v>
      </c>
      <c r="BP249" s="49">
        <f t="shared" ca="1" si="58"/>
        <v>0</v>
      </c>
      <c r="BQ249" s="49">
        <f t="shared" ca="1" si="58"/>
        <v>0</v>
      </c>
      <c r="BR249" s="49">
        <f t="shared" ca="1" si="58"/>
        <v>0</v>
      </c>
      <c r="BS249" s="49">
        <f t="shared" ca="1" si="58"/>
        <v>0</v>
      </c>
    </row>
    <row r="250" spans="4:71" outlineLevel="1" x14ac:dyDescent="0.2">
      <c r="J250" s="26"/>
      <c r="L250" s="55"/>
      <c r="M250" s="55"/>
      <c r="N250" s="55"/>
      <c r="O250" s="55"/>
      <c r="P250" s="55"/>
      <c r="Q250" s="55"/>
      <c r="R250" s="55"/>
      <c r="S250" s="55"/>
      <c r="T250" s="55"/>
      <c r="U250" s="55"/>
      <c r="V250" s="55"/>
      <c r="W250" s="55"/>
      <c r="X250" s="55"/>
      <c r="Y250" s="55"/>
      <c r="Z250" s="55"/>
      <c r="AA250" s="55"/>
      <c r="AB250" s="55"/>
      <c r="AC250" s="55"/>
      <c r="AD250" s="55"/>
      <c r="AE250" s="55"/>
      <c r="AF250" s="55"/>
      <c r="AG250" s="55"/>
      <c r="AH250" s="55"/>
      <c r="AI250" s="55"/>
      <c r="AJ250" s="55"/>
      <c r="AK250" s="55"/>
      <c r="AL250" s="55"/>
      <c r="AM250" s="55"/>
      <c r="AN250" s="55"/>
      <c r="AO250" s="55"/>
      <c r="AP250" s="55"/>
      <c r="AQ250" s="55"/>
      <c r="AR250" s="55"/>
      <c r="AS250" s="55"/>
      <c r="AT250" s="55"/>
      <c r="AU250" s="55"/>
      <c r="AV250" s="55"/>
      <c r="AW250" s="55"/>
      <c r="AX250" s="55"/>
      <c r="AY250" s="55"/>
      <c r="AZ250" s="55"/>
      <c r="BA250" s="55"/>
      <c r="BB250" s="55"/>
      <c r="BC250" s="55"/>
      <c r="BD250" s="55"/>
      <c r="BE250" s="55"/>
      <c r="BF250" s="55"/>
      <c r="BG250" s="55"/>
      <c r="BH250" s="55"/>
      <c r="BI250" s="55"/>
      <c r="BJ250" s="55"/>
      <c r="BK250" s="55"/>
      <c r="BL250" s="55"/>
      <c r="BM250" s="55"/>
      <c r="BN250" s="55"/>
      <c r="BO250" s="55"/>
      <c r="BP250" s="55"/>
      <c r="BQ250" s="55"/>
      <c r="BR250" s="55"/>
      <c r="BS250" s="55"/>
    </row>
    <row r="251" spans="4:71" outlineLevel="1" x14ac:dyDescent="0.2">
      <c r="D251" s="51" t="str">
        <f>HM_ZA_Nkossa!D244</f>
        <v>Coûts PID</v>
      </c>
      <c r="J251" s="26"/>
      <c r="L251" s="55"/>
      <c r="M251" s="55"/>
      <c r="N251" s="55"/>
      <c r="O251" s="55"/>
      <c r="P251" s="55"/>
      <c r="Q251" s="55"/>
      <c r="R251" s="55"/>
      <c r="S251" s="55"/>
      <c r="T251" s="55"/>
      <c r="U251" s="55"/>
      <c r="V251" s="55"/>
      <c r="W251" s="55"/>
      <c r="X251" s="55"/>
      <c r="Y251" s="55"/>
      <c r="Z251" s="55"/>
      <c r="AA251" s="55"/>
      <c r="AB251" s="55"/>
      <c r="AC251" s="55"/>
      <c r="AD251" s="55"/>
      <c r="AE251" s="55"/>
      <c r="AF251" s="55"/>
      <c r="AG251" s="55"/>
      <c r="AH251" s="55"/>
      <c r="AI251" s="55"/>
      <c r="AJ251" s="55"/>
      <c r="AK251" s="55"/>
      <c r="AL251" s="55"/>
      <c r="AM251" s="55"/>
      <c r="AN251" s="55"/>
      <c r="AO251" s="55"/>
      <c r="AP251" s="55"/>
      <c r="AQ251" s="55"/>
      <c r="AR251" s="55"/>
      <c r="AS251" s="55"/>
      <c r="AT251" s="55"/>
      <c r="AU251" s="55"/>
      <c r="AV251" s="55"/>
      <c r="AW251" s="55"/>
      <c r="AX251" s="55"/>
      <c r="AY251" s="55"/>
      <c r="AZ251" s="55"/>
      <c r="BA251" s="55"/>
      <c r="BB251" s="55"/>
      <c r="BC251" s="55"/>
      <c r="BD251" s="55"/>
      <c r="BE251" s="55"/>
      <c r="BF251" s="55"/>
      <c r="BG251" s="55"/>
      <c r="BH251" s="55"/>
      <c r="BI251" s="55"/>
      <c r="BJ251" s="55"/>
      <c r="BK251" s="55"/>
      <c r="BL251" s="55"/>
      <c r="BM251" s="55"/>
      <c r="BN251" s="55"/>
      <c r="BO251" s="55"/>
      <c r="BP251" s="55"/>
      <c r="BQ251" s="55"/>
      <c r="BR251" s="55"/>
      <c r="BS251" s="55"/>
    </row>
    <row r="252" spans="4:71" outlineLevel="1" x14ac:dyDescent="0.2">
      <c r="E252" t="str">
        <f>HM_ZA_Nkossa!E245</f>
        <v>Revenus disponibles pour la récupération</v>
      </c>
      <c r="I252" s="30">
        <f t="shared" ref="I252:I254" ca="1" si="59">SUM($L252:$BS252)</f>
        <v>98.723215943106837</v>
      </c>
      <c r="J252" s="26" t="s">
        <v>148</v>
      </c>
      <c r="L252" s="49">
        <f ca="1">HM_ZB_Nsoko!CA_cost_stop+L248</f>
        <v>4.4118653502500003</v>
      </c>
      <c r="M252" s="49">
        <f ca="1">HM_ZB_Nsoko!CA_cost_stop+M248</f>
        <v>7.8121671627999998</v>
      </c>
      <c r="N252" s="49">
        <f ca="1">HM_ZB_Nsoko!CA_cost_stop+N248</f>
        <v>10.959745306199999</v>
      </c>
      <c r="O252" s="49">
        <f ca="1">HM_ZB_Nsoko!CA_cost_stop+O248</f>
        <v>8.0822946231999993</v>
      </c>
      <c r="P252" s="49">
        <f ca="1">HM_ZB_Nsoko!CA_cost_stop+P248</f>
        <v>9.5402828038000003</v>
      </c>
      <c r="Q252" s="49">
        <f ca="1">HM_ZB_Nsoko!CA_cost_stop+Q248</f>
        <v>6.127929127999999</v>
      </c>
      <c r="R252" s="49">
        <f ca="1">HM_ZB_Nsoko!CA_cost_stop+R248</f>
        <v>2.1660534656000001</v>
      </c>
      <c r="S252" s="49">
        <f ca="1">HM_ZB_Nsoko!CA_cost_stop+S248</f>
        <v>8.5637863264818961</v>
      </c>
      <c r="T252" s="49">
        <f ca="1">HM_ZB_Nsoko!CA_cost_stop+T248</f>
        <v>11.151568656899995</v>
      </c>
      <c r="U252" s="49">
        <f ca="1">HM_ZB_Nsoko!CA_cost_stop+U248</f>
        <v>9.5819588509169957</v>
      </c>
      <c r="V252" s="49">
        <f ca="1">HM_ZB_Nsoko!CA_cost_stop+V248</f>
        <v>8.1156217313528032</v>
      </c>
      <c r="W252" s="49">
        <f ca="1">HM_ZB_Nsoko!CA_cost_stop+W248</f>
        <v>6.7453798101581075</v>
      </c>
      <c r="X252" s="49">
        <f ca="1">HM_ZB_Nsoko!CA_cost_stop+X248</f>
        <v>5.4645627274470421</v>
      </c>
      <c r="Y252" s="49">
        <f ca="1">HM_ZB_Nsoko!CA_cost_stop+Y248</f>
        <v>0</v>
      </c>
      <c r="Z252" s="49">
        <f ca="1">HM_ZB_Nsoko!CA_cost_stop+Z248</f>
        <v>0</v>
      </c>
      <c r="AA252" s="49">
        <f ca="1">HM_ZB_Nsoko!CA_cost_stop+AA248</f>
        <v>0</v>
      </c>
      <c r="AB252" s="49">
        <f ca="1">HM_ZB_Nsoko!CA_cost_stop+AB248</f>
        <v>0</v>
      </c>
      <c r="AC252" s="49">
        <f ca="1">HM_ZB_Nsoko!CA_cost_stop+AC248</f>
        <v>0</v>
      </c>
      <c r="AD252" s="49">
        <f ca="1">HM_ZB_Nsoko!CA_cost_stop+AD248</f>
        <v>0</v>
      </c>
      <c r="AE252" s="49">
        <f ca="1">HM_ZB_Nsoko!CA_cost_stop+AE248</f>
        <v>0</v>
      </c>
      <c r="AF252" s="49">
        <f ca="1">HM_ZB_Nsoko!CA_cost_stop+AF248</f>
        <v>0</v>
      </c>
      <c r="AG252" s="49">
        <f ca="1">HM_ZB_Nsoko!CA_cost_stop+AG248</f>
        <v>0</v>
      </c>
      <c r="AH252" s="49">
        <f ca="1">HM_ZB_Nsoko!CA_cost_stop+AH248</f>
        <v>0</v>
      </c>
      <c r="AI252" s="49">
        <f ca="1">HM_ZB_Nsoko!CA_cost_stop+AI248</f>
        <v>0</v>
      </c>
      <c r="AJ252" s="49">
        <f ca="1">HM_ZB_Nsoko!CA_cost_stop+AJ248</f>
        <v>0</v>
      </c>
      <c r="AK252" s="49">
        <f ca="1">HM_ZB_Nsoko!CA_cost_stop+AK248</f>
        <v>0</v>
      </c>
      <c r="AL252" s="49">
        <f ca="1">HM_ZB_Nsoko!CA_cost_stop+AL248</f>
        <v>0</v>
      </c>
      <c r="AM252" s="49">
        <f ca="1">HM_ZB_Nsoko!CA_cost_stop+AM248</f>
        <v>0</v>
      </c>
      <c r="AN252" s="49">
        <f ca="1">HM_ZB_Nsoko!CA_cost_stop+AN248</f>
        <v>0</v>
      </c>
      <c r="AO252" s="49">
        <f ca="1">HM_ZB_Nsoko!CA_cost_stop+AO248</f>
        <v>0</v>
      </c>
      <c r="AP252" s="49">
        <f ca="1">HM_ZB_Nsoko!CA_cost_stop+AP248</f>
        <v>0</v>
      </c>
      <c r="AQ252" s="49">
        <f ca="1">HM_ZB_Nsoko!CA_cost_stop+AQ248</f>
        <v>0</v>
      </c>
      <c r="AR252" s="49">
        <f ca="1">HM_ZB_Nsoko!CA_cost_stop+AR248</f>
        <v>0</v>
      </c>
      <c r="AS252" s="49">
        <f ca="1">HM_ZB_Nsoko!CA_cost_stop+AS248</f>
        <v>0</v>
      </c>
      <c r="AT252" s="49">
        <f ca="1">HM_ZB_Nsoko!CA_cost_stop+AT248</f>
        <v>0</v>
      </c>
      <c r="AU252" s="49">
        <f ca="1">HM_ZB_Nsoko!CA_cost_stop+AU248</f>
        <v>0</v>
      </c>
      <c r="AV252" s="49">
        <f ca="1">HM_ZB_Nsoko!CA_cost_stop+AV248</f>
        <v>0</v>
      </c>
      <c r="AW252" s="49">
        <f ca="1">HM_ZB_Nsoko!CA_cost_stop+AW248</f>
        <v>0</v>
      </c>
      <c r="AX252" s="49">
        <f ca="1">HM_ZB_Nsoko!CA_cost_stop+AX248</f>
        <v>0</v>
      </c>
      <c r="AY252" s="49">
        <f ca="1">HM_ZB_Nsoko!CA_cost_stop+AY248</f>
        <v>0</v>
      </c>
      <c r="AZ252" s="49">
        <f ca="1">HM_ZB_Nsoko!CA_cost_stop+AZ248</f>
        <v>0</v>
      </c>
      <c r="BA252" s="49">
        <f ca="1">HM_ZB_Nsoko!CA_cost_stop+BA248</f>
        <v>0</v>
      </c>
      <c r="BB252" s="49">
        <f ca="1">HM_ZB_Nsoko!CA_cost_stop+BB248</f>
        <v>0</v>
      </c>
      <c r="BC252" s="49">
        <f ca="1">HM_ZB_Nsoko!CA_cost_stop+BC248</f>
        <v>0</v>
      </c>
      <c r="BD252" s="49">
        <f ca="1">HM_ZB_Nsoko!CA_cost_stop+BD248</f>
        <v>0</v>
      </c>
      <c r="BE252" s="49">
        <f ca="1">HM_ZB_Nsoko!CA_cost_stop+BE248</f>
        <v>0</v>
      </c>
      <c r="BF252" s="49">
        <f ca="1">HM_ZB_Nsoko!CA_cost_stop+BF248</f>
        <v>0</v>
      </c>
      <c r="BG252" s="49">
        <f ca="1">HM_ZB_Nsoko!CA_cost_stop+BG248</f>
        <v>0</v>
      </c>
      <c r="BH252" s="49">
        <f ca="1">HM_ZB_Nsoko!CA_cost_stop+BH248</f>
        <v>0</v>
      </c>
      <c r="BI252" s="49">
        <f ca="1">HM_ZB_Nsoko!CA_cost_stop+BI248</f>
        <v>0</v>
      </c>
      <c r="BJ252" s="49">
        <f ca="1">HM_ZB_Nsoko!CA_cost_stop+BJ248</f>
        <v>0</v>
      </c>
      <c r="BK252" s="49">
        <f ca="1">HM_ZB_Nsoko!CA_cost_stop+BK248</f>
        <v>0</v>
      </c>
      <c r="BL252" s="49">
        <f ca="1">HM_ZB_Nsoko!CA_cost_stop+BL248</f>
        <v>0</v>
      </c>
      <c r="BM252" s="49">
        <f ca="1">HM_ZB_Nsoko!CA_cost_stop+BM248</f>
        <v>0</v>
      </c>
      <c r="BN252" s="49">
        <f ca="1">HM_ZB_Nsoko!CA_cost_stop+BN248</f>
        <v>0</v>
      </c>
      <c r="BO252" s="49">
        <f ca="1">HM_ZB_Nsoko!CA_cost_stop+BO248</f>
        <v>0</v>
      </c>
      <c r="BP252" s="49">
        <f ca="1">HM_ZB_Nsoko!CA_cost_stop+BP248</f>
        <v>0</v>
      </c>
      <c r="BQ252" s="49">
        <f ca="1">HM_ZB_Nsoko!CA_cost_stop+BQ248</f>
        <v>0</v>
      </c>
      <c r="BR252" s="49">
        <f ca="1">HM_ZB_Nsoko!CA_cost_stop+BR248</f>
        <v>0</v>
      </c>
      <c r="BS252" s="49">
        <f ca="1">HM_ZB_Nsoko!CA_cost_stop+BS248</f>
        <v>0</v>
      </c>
    </row>
    <row r="253" spans="4:71" outlineLevel="1" x14ac:dyDescent="0.2">
      <c r="E253" t="str">
        <f>HM_ZA_Nkossa!E246</f>
        <v>PID cumulée à récupérer</v>
      </c>
      <c r="I253" s="30">
        <f ca="1">I233</f>
        <v>5.8481941006574409</v>
      </c>
      <c r="J253" s="26" t="s">
        <v>148</v>
      </c>
      <c r="L253" s="49">
        <f ca="1">HM_ZB_Nsoko!CA_pid_to_recover+(K255*(1+int_rate_cf_costs))</f>
        <v>0.83933369293000004</v>
      </c>
      <c r="M253" s="49">
        <f ca="1">HM_ZB_Nsoko!CA_pid_to_recover+(L255*(1+int_rate_cf_costs))</f>
        <v>0.8423723221099999</v>
      </c>
      <c r="N253" s="49">
        <f ca="1">HM_ZB_Nsoko!CA_pid_to_recover+(M255*(1+int_rate_cf_costs))</f>
        <v>0.48479070684000009</v>
      </c>
      <c r="O253" s="49">
        <f ca="1">HM_ZB_Nsoko!CA_pid_to_recover+(N255*(1+int_rate_cf_costs))</f>
        <v>0.33069589979000003</v>
      </c>
      <c r="P253" s="49">
        <f ca="1">HM_ZB_Nsoko!CA_pid_to_recover+(O255*(1+int_rate_cf_costs))</f>
        <v>0.39805745783999996</v>
      </c>
      <c r="Q253" s="49">
        <f ca="1">HM_ZB_Nsoko!CA_pid_to_recover+(P255*(1+int_rate_cf_costs))</f>
        <v>0.47558781632999997</v>
      </c>
      <c r="R253" s="49">
        <f ca="1">HM_ZB_Nsoko!CA_pid_to_recover+(Q255*(1+int_rate_cf_costs))</f>
        <v>0.16420027699999998</v>
      </c>
      <c r="S253" s="49">
        <f ca="1">HM_ZB_Nsoko!CA_pid_to_recover+(R255*(1+int_rate_cf_costs))</f>
        <v>0.3093964387746983</v>
      </c>
      <c r="T253" s="49">
        <f ca="1">HM_ZB_Nsoko!CA_pid_to_recover+(S255*(1+int_rate_cf_costs))</f>
        <v>0.42673548997278199</v>
      </c>
      <c r="U253" s="49">
        <f ca="1">HM_ZB_Nsoko!CA_pid_to_recover+(T255*(1+int_rate_cf_costs))</f>
        <v>0.42598874905548945</v>
      </c>
      <c r="V253" s="49">
        <f ca="1">HM_ZB_Nsoko!CA_pid_to_recover+(U255*(1+int_rate_cf_costs))</f>
        <v>0.40409292735403723</v>
      </c>
      <c r="W253" s="49">
        <f ca="1">HM_ZB_Nsoko!CA_pid_to_recover+(V255*(1+int_rate_cf_costs))</f>
        <v>0.38332255088803968</v>
      </c>
      <c r="X253" s="49">
        <f ca="1">HM_ZB_Nsoko!CA_pid_to_recover+(W255*(1+int_rate_cf_costs))</f>
        <v>0.36361977177239446</v>
      </c>
      <c r="Y253" s="49">
        <f ca="1">HM_ZB_Nsoko!CA_pid_to_recover+(X255*(1+int_rate_cf_costs))</f>
        <v>0</v>
      </c>
      <c r="Z253" s="49">
        <f ca="1">HM_ZB_Nsoko!CA_pid_to_recover+(Y255*(1+int_rate_cf_costs))</f>
        <v>0</v>
      </c>
      <c r="AA253" s="49">
        <f ca="1">HM_ZB_Nsoko!CA_pid_to_recover+(Z255*(1+int_rate_cf_costs))</f>
        <v>0</v>
      </c>
      <c r="AB253" s="49">
        <f ca="1">HM_ZB_Nsoko!CA_pid_to_recover+(AA255*(1+int_rate_cf_costs))</f>
        <v>0</v>
      </c>
      <c r="AC253" s="49">
        <f ca="1">HM_ZB_Nsoko!CA_pid_to_recover+(AB255*(1+int_rate_cf_costs))</f>
        <v>0</v>
      </c>
      <c r="AD253" s="49">
        <f ca="1">HM_ZB_Nsoko!CA_pid_to_recover+(AC255*(1+int_rate_cf_costs))</f>
        <v>0</v>
      </c>
      <c r="AE253" s="49">
        <f ca="1">HM_ZB_Nsoko!CA_pid_to_recover+(AD255*(1+int_rate_cf_costs))</f>
        <v>0</v>
      </c>
      <c r="AF253" s="49">
        <f ca="1">HM_ZB_Nsoko!CA_pid_to_recover+(AE255*(1+int_rate_cf_costs))</f>
        <v>0</v>
      </c>
      <c r="AG253" s="49">
        <f ca="1">HM_ZB_Nsoko!CA_pid_to_recover+(AF255*(1+int_rate_cf_costs))</f>
        <v>0</v>
      </c>
      <c r="AH253" s="49">
        <f ca="1">HM_ZB_Nsoko!CA_pid_to_recover+(AG255*(1+int_rate_cf_costs))</f>
        <v>0</v>
      </c>
      <c r="AI253" s="49">
        <f ca="1">HM_ZB_Nsoko!CA_pid_to_recover+(AH255*(1+int_rate_cf_costs))</f>
        <v>0</v>
      </c>
      <c r="AJ253" s="49">
        <f ca="1">HM_ZB_Nsoko!CA_pid_to_recover+(AI255*(1+int_rate_cf_costs))</f>
        <v>0</v>
      </c>
      <c r="AK253" s="49">
        <f ca="1">HM_ZB_Nsoko!CA_pid_to_recover+(AJ255*(1+int_rate_cf_costs))</f>
        <v>0</v>
      </c>
      <c r="AL253" s="49">
        <f ca="1">HM_ZB_Nsoko!CA_pid_to_recover+(AK255*(1+int_rate_cf_costs))</f>
        <v>0</v>
      </c>
      <c r="AM253" s="49">
        <f ca="1">HM_ZB_Nsoko!CA_pid_to_recover+(AL255*(1+int_rate_cf_costs))</f>
        <v>0</v>
      </c>
      <c r="AN253" s="49">
        <f ca="1">HM_ZB_Nsoko!CA_pid_to_recover+(AM255*(1+int_rate_cf_costs))</f>
        <v>0</v>
      </c>
      <c r="AO253" s="49">
        <f ca="1">HM_ZB_Nsoko!CA_pid_to_recover+(AN255*(1+int_rate_cf_costs))</f>
        <v>0</v>
      </c>
      <c r="AP253" s="49">
        <f ca="1">HM_ZB_Nsoko!CA_pid_to_recover+(AO255*(1+int_rate_cf_costs))</f>
        <v>0</v>
      </c>
      <c r="AQ253" s="49">
        <f ca="1">HM_ZB_Nsoko!CA_pid_to_recover+(AP255*(1+int_rate_cf_costs))</f>
        <v>0</v>
      </c>
      <c r="AR253" s="49">
        <f ca="1">HM_ZB_Nsoko!CA_pid_to_recover+(AQ255*(1+int_rate_cf_costs))</f>
        <v>0</v>
      </c>
      <c r="AS253" s="49">
        <f ca="1">HM_ZB_Nsoko!CA_pid_to_recover+(AR255*(1+int_rate_cf_costs))</f>
        <v>0</v>
      </c>
      <c r="AT253" s="49">
        <f ca="1">HM_ZB_Nsoko!CA_pid_to_recover+(AS255*(1+int_rate_cf_costs))</f>
        <v>0</v>
      </c>
      <c r="AU253" s="49">
        <f ca="1">HM_ZB_Nsoko!CA_pid_to_recover+(AT255*(1+int_rate_cf_costs))</f>
        <v>0</v>
      </c>
      <c r="AV253" s="49">
        <f ca="1">HM_ZB_Nsoko!CA_pid_to_recover+(AU255*(1+int_rate_cf_costs))</f>
        <v>0</v>
      </c>
      <c r="AW253" s="49">
        <f ca="1">HM_ZB_Nsoko!CA_pid_to_recover+(AV255*(1+int_rate_cf_costs))</f>
        <v>0</v>
      </c>
      <c r="AX253" s="49">
        <f ca="1">HM_ZB_Nsoko!CA_pid_to_recover+(AW255*(1+int_rate_cf_costs))</f>
        <v>0</v>
      </c>
      <c r="AY253" s="49">
        <f ca="1">HM_ZB_Nsoko!CA_pid_to_recover+(AX255*(1+int_rate_cf_costs))</f>
        <v>0</v>
      </c>
      <c r="AZ253" s="49">
        <f ca="1">HM_ZB_Nsoko!CA_pid_to_recover+(AY255*(1+int_rate_cf_costs))</f>
        <v>0</v>
      </c>
      <c r="BA253" s="49">
        <f ca="1">HM_ZB_Nsoko!CA_pid_to_recover+(AZ255*(1+int_rate_cf_costs))</f>
        <v>0</v>
      </c>
      <c r="BB253" s="49">
        <f ca="1">HM_ZB_Nsoko!CA_pid_to_recover+(BA255*(1+int_rate_cf_costs))</f>
        <v>0</v>
      </c>
      <c r="BC253" s="49">
        <f ca="1">HM_ZB_Nsoko!CA_pid_to_recover+(BB255*(1+int_rate_cf_costs))</f>
        <v>0</v>
      </c>
      <c r="BD253" s="49">
        <f ca="1">HM_ZB_Nsoko!CA_pid_to_recover+(BC255*(1+int_rate_cf_costs))</f>
        <v>0</v>
      </c>
      <c r="BE253" s="49">
        <f ca="1">HM_ZB_Nsoko!CA_pid_to_recover+(BD255*(1+int_rate_cf_costs))</f>
        <v>0</v>
      </c>
      <c r="BF253" s="49">
        <f ca="1">HM_ZB_Nsoko!CA_pid_to_recover+(BE255*(1+int_rate_cf_costs))</f>
        <v>0</v>
      </c>
      <c r="BG253" s="49">
        <f ca="1">HM_ZB_Nsoko!CA_pid_to_recover+(BF255*(1+int_rate_cf_costs))</f>
        <v>0</v>
      </c>
      <c r="BH253" s="49">
        <f ca="1">HM_ZB_Nsoko!CA_pid_to_recover+(BG255*(1+int_rate_cf_costs))</f>
        <v>0</v>
      </c>
      <c r="BI253" s="49">
        <f ca="1">HM_ZB_Nsoko!CA_pid_to_recover+(BH255*(1+int_rate_cf_costs))</f>
        <v>0</v>
      </c>
      <c r="BJ253" s="49">
        <f ca="1">HM_ZB_Nsoko!CA_pid_to_recover+(BI255*(1+int_rate_cf_costs))</f>
        <v>0</v>
      </c>
      <c r="BK253" s="49">
        <f ca="1">HM_ZB_Nsoko!CA_pid_to_recover+(BJ255*(1+int_rate_cf_costs))</f>
        <v>0</v>
      </c>
      <c r="BL253" s="49">
        <f ca="1">HM_ZB_Nsoko!CA_pid_to_recover+(BK255*(1+int_rate_cf_costs))</f>
        <v>0</v>
      </c>
      <c r="BM253" s="49">
        <f ca="1">HM_ZB_Nsoko!CA_pid_to_recover+(BL255*(1+int_rate_cf_costs))</f>
        <v>0</v>
      </c>
      <c r="BN253" s="49">
        <f ca="1">HM_ZB_Nsoko!CA_pid_to_recover+(BM255*(1+int_rate_cf_costs))</f>
        <v>0</v>
      </c>
      <c r="BO253" s="49">
        <f ca="1">HM_ZB_Nsoko!CA_pid_to_recover+(BN255*(1+int_rate_cf_costs))</f>
        <v>0</v>
      </c>
      <c r="BP253" s="49">
        <f ca="1">HM_ZB_Nsoko!CA_pid_to_recover+(BO255*(1+int_rate_cf_costs))</f>
        <v>0</v>
      </c>
      <c r="BQ253" s="49">
        <f ca="1">HM_ZB_Nsoko!CA_pid_to_recover+(BP255*(1+int_rate_cf_costs))</f>
        <v>0</v>
      </c>
      <c r="BR253" s="49">
        <f ca="1">HM_ZB_Nsoko!CA_pid_to_recover+(BQ255*(1+int_rate_cf_costs))</f>
        <v>0</v>
      </c>
      <c r="BS253" s="49">
        <f ca="1">HM_ZB_Nsoko!CA_pid_to_recover+(BR255*(1+int_rate_cf_costs))</f>
        <v>0</v>
      </c>
    </row>
    <row r="254" spans="4:71" outlineLevel="1" x14ac:dyDescent="0.2">
      <c r="E254" t="str">
        <f>HM_ZA_Nkossa!E247</f>
        <v>PID récupérée</v>
      </c>
      <c r="H254" s="56" t="b">
        <f ca="1">ROUND(I254,2)=-ROUND(I253,2)</f>
        <v>1</v>
      </c>
      <c r="I254" s="30">
        <f t="shared" ca="1" si="59"/>
        <v>-5.8481941006574409</v>
      </c>
      <c r="J254" s="26" t="s">
        <v>148</v>
      </c>
      <c r="L254" s="49">
        <f ca="1">-MIN(L253,L252)</f>
        <v>-0.83933369293000004</v>
      </c>
      <c r="M254" s="49">
        <f t="shared" ref="M254:BS254" ca="1" si="60">-MIN(M253,M252)</f>
        <v>-0.8423723221099999</v>
      </c>
      <c r="N254" s="49">
        <f t="shared" ca="1" si="60"/>
        <v>-0.48479070684000009</v>
      </c>
      <c r="O254" s="49">
        <f t="shared" ca="1" si="60"/>
        <v>-0.33069589979000003</v>
      </c>
      <c r="P254" s="49">
        <f t="shared" ca="1" si="60"/>
        <v>-0.39805745783999996</v>
      </c>
      <c r="Q254" s="49">
        <f t="shared" ca="1" si="60"/>
        <v>-0.47558781632999997</v>
      </c>
      <c r="R254" s="49">
        <f t="shared" ca="1" si="60"/>
        <v>-0.16420027699999998</v>
      </c>
      <c r="S254" s="49">
        <f t="shared" ca="1" si="60"/>
        <v>-0.3093964387746983</v>
      </c>
      <c r="T254" s="49">
        <f t="shared" ca="1" si="60"/>
        <v>-0.42673548997278199</v>
      </c>
      <c r="U254" s="49">
        <f t="shared" ca="1" si="60"/>
        <v>-0.42598874905548945</v>
      </c>
      <c r="V254" s="49">
        <f t="shared" ca="1" si="60"/>
        <v>-0.40409292735403723</v>
      </c>
      <c r="W254" s="49">
        <f t="shared" ca="1" si="60"/>
        <v>-0.38332255088803968</v>
      </c>
      <c r="X254" s="49">
        <f t="shared" ca="1" si="60"/>
        <v>-0.36361977177239446</v>
      </c>
      <c r="Y254" s="49">
        <f t="shared" ca="1" si="60"/>
        <v>0</v>
      </c>
      <c r="Z254" s="49">
        <f t="shared" ca="1" si="60"/>
        <v>0</v>
      </c>
      <c r="AA254" s="49">
        <f t="shared" ca="1" si="60"/>
        <v>0</v>
      </c>
      <c r="AB254" s="49">
        <f t="shared" ca="1" si="60"/>
        <v>0</v>
      </c>
      <c r="AC254" s="49">
        <f t="shared" ca="1" si="60"/>
        <v>0</v>
      </c>
      <c r="AD254" s="49">
        <f t="shared" ca="1" si="60"/>
        <v>0</v>
      </c>
      <c r="AE254" s="49">
        <f t="shared" ca="1" si="60"/>
        <v>0</v>
      </c>
      <c r="AF254" s="49">
        <f t="shared" ca="1" si="60"/>
        <v>0</v>
      </c>
      <c r="AG254" s="49">
        <f t="shared" ca="1" si="60"/>
        <v>0</v>
      </c>
      <c r="AH254" s="49">
        <f t="shared" ca="1" si="60"/>
        <v>0</v>
      </c>
      <c r="AI254" s="49">
        <f t="shared" ca="1" si="60"/>
        <v>0</v>
      </c>
      <c r="AJ254" s="49">
        <f t="shared" ca="1" si="60"/>
        <v>0</v>
      </c>
      <c r="AK254" s="49">
        <f t="shared" ca="1" si="60"/>
        <v>0</v>
      </c>
      <c r="AL254" s="49">
        <f t="shared" ca="1" si="60"/>
        <v>0</v>
      </c>
      <c r="AM254" s="49">
        <f t="shared" ca="1" si="60"/>
        <v>0</v>
      </c>
      <c r="AN254" s="49">
        <f t="shared" ca="1" si="60"/>
        <v>0</v>
      </c>
      <c r="AO254" s="49">
        <f t="shared" ca="1" si="60"/>
        <v>0</v>
      </c>
      <c r="AP254" s="49">
        <f t="shared" ca="1" si="60"/>
        <v>0</v>
      </c>
      <c r="AQ254" s="49">
        <f t="shared" ca="1" si="60"/>
        <v>0</v>
      </c>
      <c r="AR254" s="49">
        <f t="shared" ca="1" si="60"/>
        <v>0</v>
      </c>
      <c r="AS254" s="49">
        <f t="shared" ca="1" si="60"/>
        <v>0</v>
      </c>
      <c r="AT254" s="49">
        <f t="shared" ca="1" si="60"/>
        <v>0</v>
      </c>
      <c r="AU254" s="49">
        <f t="shared" ca="1" si="60"/>
        <v>0</v>
      </c>
      <c r="AV254" s="49">
        <f t="shared" ca="1" si="60"/>
        <v>0</v>
      </c>
      <c r="AW254" s="49">
        <f t="shared" ca="1" si="60"/>
        <v>0</v>
      </c>
      <c r="AX254" s="49">
        <f t="shared" ca="1" si="60"/>
        <v>0</v>
      </c>
      <c r="AY254" s="49">
        <f t="shared" ca="1" si="60"/>
        <v>0</v>
      </c>
      <c r="AZ254" s="49">
        <f t="shared" ca="1" si="60"/>
        <v>0</v>
      </c>
      <c r="BA254" s="49">
        <f t="shared" ca="1" si="60"/>
        <v>0</v>
      </c>
      <c r="BB254" s="49">
        <f t="shared" ca="1" si="60"/>
        <v>0</v>
      </c>
      <c r="BC254" s="49">
        <f t="shared" ca="1" si="60"/>
        <v>0</v>
      </c>
      <c r="BD254" s="49">
        <f t="shared" ca="1" si="60"/>
        <v>0</v>
      </c>
      <c r="BE254" s="49">
        <f t="shared" ca="1" si="60"/>
        <v>0</v>
      </c>
      <c r="BF254" s="49">
        <f t="shared" ca="1" si="60"/>
        <v>0</v>
      </c>
      <c r="BG254" s="49">
        <f t="shared" ca="1" si="60"/>
        <v>0</v>
      </c>
      <c r="BH254" s="49">
        <f t="shared" ca="1" si="60"/>
        <v>0</v>
      </c>
      <c r="BI254" s="49">
        <f t="shared" ca="1" si="60"/>
        <v>0</v>
      </c>
      <c r="BJ254" s="49">
        <f t="shared" ca="1" si="60"/>
        <v>0</v>
      </c>
      <c r="BK254" s="49">
        <f t="shared" ca="1" si="60"/>
        <v>0</v>
      </c>
      <c r="BL254" s="49">
        <f t="shared" ca="1" si="60"/>
        <v>0</v>
      </c>
      <c r="BM254" s="49">
        <f t="shared" ca="1" si="60"/>
        <v>0</v>
      </c>
      <c r="BN254" s="49">
        <f t="shared" ca="1" si="60"/>
        <v>0</v>
      </c>
      <c r="BO254" s="49">
        <f t="shared" ca="1" si="60"/>
        <v>0</v>
      </c>
      <c r="BP254" s="49">
        <f t="shared" ca="1" si="60"/>
        <v>0</v>
      </c>
      <c r="BQ254" s="49">
        <f t="shared" ca="1" si="60"/>
        <v>0</v>
      </c>
      <c r="BR254" s="49">
        <f t="shared" ca="1" si="60"/>
        <v>0</v>
      </c>
      <c r="BS254" s="49">
        <f t="shared" ca="1" si="60"/>
        <v>0</v>
      </c>
    </row>
    <row r="255" spans="4:71" outlineLevel="1" x14ac:dyDescent="0.2">
      <c r="E255" t="str">
        <f>HM_ZA_Nkossa!E248</f>
        <v xml:space="preserve">Sous/(Sur)récupération </v>
      </c>
      <c r="J255" s="26"/>
      <c r="L255" s="49">
        <f ca="1">L253+L254</f>
        <v>0</v>
      </c>
      <c r="M255" s="49">
        <f t="shared" ref="M255:BS255" ca="1" si="61">M253+M254</f>
        <v>0</v>
      </c>
      <c r="N255" s="49">
        <f t="shared" ca="1" si="61"/>
        <v>0</v>
      </c>
      <c r="O255" s="49">
        <f t="shared" ca="1" si="61"/>
        <v>0</v>
      </c>
      <c r="P255" s="49">
        <f t="shared" ca="1" si="61"/>
        <v>0</v>
      </c>
      <c r="Q255" s="49">
        <f t="shared" ca="1" si="61"/>
        <v>0</v>
      </c>
      <c r="R255" s="49">
        <f t="shared" ca="1" si="61"/>
        <v>0</v>
      </c>
      <c r="S255" s="49">
        <f t="shared" ca="1" si="61"/>
        <v>0</v>
      </c>
      <c r="T255" s="49">
        <f t="shared" ca="1" si="61"/>
        <v>0</v>
      </c>
      <c r="U255" s="49">
        <f t="shared" ca="1" si="61"/>
        <v>0</v>
      </c>
      <c r="V255" s="49">
        <f t="shared" ca="1" si="61"/>
        <v>0</v>
      </c>
      <c r="W255" s="49">
        <f t="shared" ca="1" si="61"/>
        <v>0</v>
      </c>
      <c r="X255" s="49">
        <f t="shared" ca="1" si="61"/>
        <v>0</v>
      </c>
      <c r="Y255" s="49">
        <f t="shared" ca="1" si="61"/>
        <v>0</v>
      </c>
      <c r="Z255" s="49">
        <f t="shared" ca="1" si="61"/>
        <v>0</v>
      </c>
      <c r="AA255" s="49">
        <f t="shared" ca="1" si="61"/>
        <v>0</v>
      </c>
      <c r="AB255" s="49">
        <f t="shared" ca="1" si="61"/>
        <v>0</v>
      </c>
      <c r="AC255" s="49">
        <f t="shared" ca="1" si="61"/>
        <v>0</v>
      </c>
      <c r="AD255" s="49">
        <f t="shared" ca="1" si="61"/>
        <v>0</v>
      </c>
      <c r="AE255" s="49">
        <f t="shared" ca="1" si="61"/>
        <v>0</v>
      </c>
      <c r="AF255" s="49">
        <f t="shared" ca="1" si="61"/>
        <v>0</v>
      </c>
      <c r="AG255" s="49">
        <f t="shared" ca="1" si="61"/>
        <v>0</v>
      </c>
      <c r="AH255" s="49">
        <f t="shared" ca="1" si="61"/>
        <v>0</v>
      </c>
      <c r="AI255" s="49">
        <f t="shared" ca="1" si="61"/>
        <v>0</v>
      </c>
      <c r="AJ255" s="49">
        <f t="shared" ca="1" si="61"/>
        <v>0</v>
      </c>
      <c r="AK255" s="49">
        <f t="shared" ca="1" si="61"/>
        <v>0</v>
      </c>
      <c r="AL255" s="49">
        <f t="shared" ca="1" si="61"/>
        <v>0</v>
      </c>
      <c r="AM255" s="49">
        <f t="shared" ca="1" si="61"/>
        <v>0</v>
      </c>
      <c r="AN255" s="49">
        <f t="shared" ca="1" si="61"/>
        <v>0</v>
      </c>
      <c r="AO255" s="49">
        <f t="shared" ca="1" si="61"/>
        <v>0</v>
      </c>
      <c r="AP255" s="49">
        <f t="shared" ca="1" si="61"/>
        <v>0</v>
      </c>
      <c r="AQ255" s="49">
        <f t="shared" ca="1" si="61"/>
        <v>0</v>
      </c>
      <c r="AR255" s="49">
        <f t="shared" ca="1" si="61"/>
        <v>0</v>
      </c>
      <c r="AS255" s="49">
        <f t="shared" ca="1" si="61"/>
        <v>0</v>
      </c>
      <c r="AT255" s="49">
        <f t="shared" ca="1" si="61"/>
        <v>0</v>
      </c>
      <c r="AU255" s="49">
        <f t="shared" ca="1" si="61"/>
        <v>0</v>
      </c>
      <c r="AV255" s="49">
        <f t="shared" ca="1" si="61"/>
        <v>0</v>
      </c>
      <c r="AW255" s="49">
        <f t="shared" ca="1" si="61"/>
        <v>0</v>
      </c>
      <c r="AX255" s="49">
        <f t="shared" ca="1" si="61"/>
        <v>0</v>
      </c>
      <c r="AY255" s="49">
        <f t="shared" ca="1" si="61"/>
        <v>0</v>
      </c>
      <c r="AZ255" s="49">
        <f t="shared" ca="1" si="61"/>
        <v>0</v>
      </c>
      <c r="BA255" s="49">
        <f t="shared" ca="1" si="61"/>
        <v>0</v>
      </c>
      <c r="BB255" s="49">
        <f t="shared" ca="1" si="61"/>
        <v>0</v>
      </c>
      <c r="BC255" s="49">
        <f t="shared" ca="1" si="61"/>
        <v>0</v>
      </c>
      <c r="BD255" s="49">
        <f t="shared" ca="1" si="61"/>
        <v>0</v>
      </c>
      <c r="BE255" s="49">
        <f t="shared" ca="1" si="61"/>
        <v>0</v>
      </c>
      <c r="BF255" s="49">
        <f t="shared" ca="1" si="61"/>
        <v>0</v>
      </c>
      <c r="BG255" s="49">
        <f t="shared" ca="1" si="61"/>
        <v>0</v>
      </c>
      <c r="BH255" s="49">
        <f t="shared" ca="1" si="61"/>
        <v>0</v>
      </c>
      <c r="BI255" s="49">
        <f t="shared" ca="1" si="61"/>
        <v>0</v>
      </c>
      <c r="BJ255" s="49">
        <f t="shared" ca="1" si="61"/>
        <v>0</v>
      </c>
      <c r="BK255" s="49">
        <f t="shared" ca="1" si="61"/>
        <v>0</v>
      </c>
      <c r="BL255" s="49">
        <f t="shared" ca="1" si="61"/>
        <v>0</v>
      </c>
      <c r="BM255" s="49">
        <f t="shared" ca="1" si="61"/>
        <v>0</v>
      </c>
      <c r="BN255" s="49">
        <f t="shared" ca="1" si="61"/>
        <v>0</v>
      </c>
      <c r="BO255" s="49">
        <f t="shared" ca="1" si="61"/>
        <v>0</v>
      </c>
      <c r="BP255" s="49">
        <f t="shared" ca="1" si="61"/>
        <v>0</v>
      </c>
      <c r="BQ255" s="49">
        <f t="shared" ca="1" si="61"/>
        <v>0</v>
      </c>
      <c r="BR255" s="49">
        <f t="shared" ca="1" si="61"/>
        <v>0</v>
      </c>
      <c r="BS255" s="49">
        <f t="shared" ca="1" si="61"/>
        <v>0</v>
      </c>
    </row>
    <row r="256" spans="4:71" outlineLevel="1" x14ac:dyDescent="0.2">
      <c r="J256" s="26"/>
      <c r="L256" s="55"/>
      <c r="M256" s="55"/>
      <c r="N256" s="55"/>
      <c r="O256" s="55"/>
      <c r="P256" s="55"/>
      <c r="Q256" s="55"/>
      <c r="R256" s="55"/>
      <c r="S256" s="55"/>
      <c r="T256" s="55"/>
      <c r="U256" s="55"/>
      <c r="V256" s="55"/>
      <c r="W256" s="55"/>
      <c r="X256" s="55"/>
      <c r="Y256" s="55"/>
      <c r="Z256" s="55"/>
      <c r="AA256" s="55"/>
      <c r="AB256" s="55"/>
      <c r="AC256" s="55"/>
      <c r="AD256" s="55"/>
      <c r="AE256" s="55"/>
      <c r="AF256" s="55"/>
      <c r="AG256" s="55"/>
      <c r="AH256" s="55"/>
      <c r="AI256" s="55"/>
      <c r="AJ256" s="55"/>
      <c r="AK256" s="55"/>
      <c r="AL256" s="55"/>
      <c r="AM256" s="55"/>
      <c r="AN256" s="55"/>
      <c r="AO256" s="55"/>
      <c r="AP256" s="55"/>
      <c r="AQ256" s="55"/>
      <c r="AR256" s="55"/>
      <c r="AS256" s="55"/>
      <c r="AT256" s="55"/>
      <c r="AU256" s="55"/>
      <c r="AV256" s="55"/>
      <c r="AW256" s="55"/>
      <c r="AX256" s="55"/>
      <c r="AY256" s="55"/>
      <c r="AZ256" s="55"/>
      <c r="BA256" s="55"/>
      <c r="BB256" s="55"/>
      <c r="BC256" s="55"/>
      <c r="BD256" s="55"/>
      <c r="BE256" s="55"/>
      <c r="BF256" s="55"/>
      <c r="BG256" s="55"/>
      <c r="BH256" s="55"/>
      <c r="BI256" s="55"/>
      <c r="BJ256" s="55"/>
      <c r="BK256" s="55"/>
      <c r="BL256" s="55"/>
      <c r="BM256" s="55"/>
      <c r="BN256" s="55"/>
      <c r="BO256" s="55"/>
      <c r="BP256" s="55"/>
      <c r="BQ256" s="55"/>
      <c r="BR256" s="55"/>
      <c r="BS256" s="55"/>
    </row>
    <row r="257" spans="4:71" outlineLevel="1" x14ac:dyDescent="0.2">
      <c r="D257" s="51" t="str">
        <f>HM_ZA_Nkossa!D250</f>
        <v>Investissement-Développement</v>
      </c>
      <c r="J257" s="26"/>
      <c r="L257" s="55"/>
      <c r="M257" s="55"/>
      <c r="N257" s="55"/>
      <c r="O257" s="55"/>
      <c r="P257" s="55"/>
      <c r="Q257" s="55"/>
      <c r="R257" s="55"/>
      <c r="S257" s="55"/>
      <c r="T257" s="55"/>
      <c r="U257" s="55"/>
      <c r="V257" s="55"/>
      <c r="W257" s="55"/>
      <c r="X257" s="55"/>
      <c r="Y257" s="55"/>
      <c r="Z257" s="55"/>
      <c r="AA257" s="55"/>
      <c r="AB257" s="55"/>
      <c r="AC257" s="55"/>
      <c r="AD257" s="55"/>
      <c r="AE257" s="55"/>
      <c r="AF257" s="55"/>
      <c r="AG257" s="55"/>
      <c r="AH257" s="55"/>
      <c r="AI257" s="55"/>
      <c r="AJ257" s="55"/>
      <c r="AK257" s="55"/>
      <c r="AL257" s="55"/>
      <c r="AM257" s="55"/>
      <c r="AN257" s="55"/>
      <c r="AO257" s="55"/>
      <c r="AP257" s="55"/>
      <c r="AQ257" s="55"/>
      <c r="AR257" s="55"/>
      <c r="AS257" s="55"/>
      <c r="AT257" s="55"/>
      <c r="AU257" s="55"/>
      <c r="AV257" s="55"/>
      <c r="AW257" s="55"/>
      <c r="AX257" s="55"/>
      <c r="AY257" s="55"/>
      <c r="AZ257" s="55"/>
      <c r="BA257" s="55"/>
      <c r="BB257" s="55"/>
      <c r="BC257" s="55"/>
      <c r="BD257" s="55"/>
      <c r="BE257" s="55"/>
      <c r="BF257" s="55"/>
      <c r="BG257" s="55"/>
      <c r="BH257" s="55"/>
      <c r="BI257" s="55"/>
      <c r="BJ257" s="55"/>
      <c r="BK257" s="55"/>
      <c r="BL257" s="55"/>
      <c r="BM257" s="55"/>
      <c r="BN257" s="55"/>
      <c r="BO257" s="55"/>
      <c r="BP257" s="55"/>
      <c r="BQ257" s="55"/>
      <c r="BR257" s="55"/>
      <c r="BS257" s="55"/>
    </row>
    <row r="258" spans="4:71" outlineLevel="1" x14ac:dyDescent="0.2">
      <c r="E258" t="str">
        <f>HM_ZA_Nkossa!E251</f>
        <v>Revenus disponibles pour la récupération</v>
      </c>
      <c r="I258" s="30">
        <f t="shared" ref="I258:I260" ca="1" si="62">SUM($L258:$BS258)</f>
        <v>92.875021842449414</v>
      </c>
      <c r="J258" s="26" t="s">
        <v>148</v>
      </c>
      <c r="L258" s="49">
        <f ca="1">HM_ZB_Nsoko!CA_cost_stop+L248+L254</f>
        <v>3.5725316573200003</v>
      </c>
      <c r="M258" s="49">
        <f ca="1">HM_ZB_Nsoko!CA_cost_stop+M248+M254</f>
        <v>6.9697948406899997</v>
      </c>
      <c r="N258" s="49">
        <f ca="1">HM_ZB_Nsoko!CA_cost_stop+N248+N254</f>
        <v>10.474954599359998</v>
      </c>
      <c r="O258" s="49">
        <f ca="1">HM_ZB_Nsoko!CA_cost_stop+O248+O254</f>
        <v>7.751598723409999</v>
      </c>
      <c r="P258" s="49">
        <f ca="1">HM_ZB_Nsoko!CA_cost_stop+P248+P254</f>
        <v>9.14222534596</v>
      </c>
      <c r="Q258" s="49">
        <f ca="1">HM_ZB_Nsoko!CA_cost_stop+Q248+Q254</f>
        <v>5.652341311669999</v>
      </c>
      <c r="R258" s="49">
        <f ca="1">HM_ZB_Nsoko!CA_cost_stop+R248+R254</f>
        <v>2.0018531886000002</v>
      </c>
      <c r="S258" s="49">
        <f ca="1">HM_ZB_Nsoko!CA_cost_stop+S248+S254</f>
        <v>8.2543898877071982</v>
      </c>
      <c r="T258" s="49">
        <f ca="1">HM_ZB_Nsoko!CA_cost_stop+T248+T254</f>
        <v>10.724833166927214</v>
      </c>
      <c r="U258" s="49">
        <f ca="1">HM_ZB_Nsoko!CA_cost_stop+U248+U254</f>
        <v>9.1559701018615058</v>
      </c>
      <c r="V258" s="49">
        <f ca="1">HM_ZB_Nsoko!CA_cost_stop+V248+V254</f>
        <v>7.7115288039987657</v>
      </c>
      <c r="W258" s="49">
        <f ca="1">HM_ZB_Nsoko!CA_cost_stop+W248+W254</f>
        <v>6.3620572592700677</v>
      </c>
      <c r="X258" s="49">
        <f ca="1">HM_ZB_Nsoko!CA_cost_stop+X248+X254</f>
        <v>5.1009429556746477</v>
      </c>
      <c r="Y258" s="49">
        <f ca="1">HM_ZB_Nsoko!CA_cost_stop+Y248+Y254</f>
        <v>0</v>
      </c>
      <c r="Z258" s="49">
        <f ca="1">HM_ZB_Nsoko!CA_cost_stop+Z248+Z254</f>
        <v>0</v>
      </c>
      <c r="AA258" s="49">
        <f ca="1">HM_ZB_Nsoko!CA_cost_stop+AA248+AA254</f>
        <v>0</v>
      </c>
      <c r="AB258" s="49">
        <f ca="1">HM_ZB_Nsoko!CA_cost_stop+AB248+AB254</f>
        <v>0</v>
      </c>
      <c r="AC258" s="49">
        <f ca="1">HM_ZB_Nsoko!CA_cost_stop+AC248+AC254</f>
        <v>0</v>
      </c>
      <c r="AD258" s="49">
        <f ca="1">HM_ZB_Nsoko!CA_cost_stop+AD248+AD254</f>
        <v>0</v>
      </c>
      <c r="AE258" s="49">
        <f ca="1">HM_ZB_Nsoko!CA_cost_stop+AE248+AE254</f>
        <v>0</v>
      </c>
      <c r="AF258" s="49">
        <f ca="1">HM_ZB_Nsoko!CA_cost_stop+AF248+AF254</f>
        <v>0</v>
      </c>
      <c r="AG258" s="49">
        <f ca="1">HM_ZB_Nsoko!CA_cost_stop+AG248+AG254</f>
        <v>0</v>
      </c>
      <c r="AH258" s="49">
        <f ca="1">HM_ZB_Nsoko!CA_cost_stop+AH248+AH254</f>
        <v>0</v>
      </c>
      <c r="AI258" s="49">
        <f ca="1">HM_ZB_Nsoko!CA_cost_stop+AI248+AI254</f>
        <v>0</v>
      </c>
      <c r="AJ258" s="49">
        <f ca="1">HM_ZB_Nsoko!CA_cost_stop+AJ248+AJ254</f>
        <v>0</v>
      </c>
      <c r="AK258" s="49">
        <f ca="1">HM_ZB_Nsoko!CA_cost_stop+AK248+AK254</f>
        <v>0</v>
      </c>
      <c r="AL258" s="49">
        <f ca="1">HM_ZB_Nsoko!CA_cost_stop+AL248+AL254</f>
        <v>0</v>
      </c>
      <c r="AM258" s="49">
        <f ca="1">HM_ZB_Nsoko!CA_cost_stop+AM248+AM254</f>
        <v>0</v>
      </c>
      <c r="AN258" s="49">
        <f ca="1">HM_ZB_Nsoko!CA_cost_stop+AN248+AN254</f>
        <v>0</v>
      </c>
      <c r="AO258" s="49">
        <f ca="1">HM_ZB_Nsoko!CA_cost_stop+AO248+AO254</f>
        <v>0</v>
      </c>
      <c r="AP258" s="49">
        <f ca="1">HM_ZB_Nsoko!CA_cost_stop+AP248+AP254</f>
        <v>0</v>
      </c>
      <c r="AQ258" s="49">
        <f ca="1">HM_ZB_Nsoko!CA_cost_stop+AQ248+AQ254</f>
        <v>0</v>
      </c>
      <c r="AR258" s="49">
        <f ca="1">HM_ZB_Nsoko!CA_cost_stop+AR248+AR254</f>
        <v>0</v>
      </c>
      <c r="AS258" s="49">
        <f ca="1">HM_ZB_Nsoko!CA_cost_stop+AS248+AS254</f>
        <v>0</v>
      </c>
      <c r="AT258" s="49">
        <f ca="1">HM_ZB_Nsoko!CA_cost_stop+AT248+AT254</f>
        <v>0</v>
      </c>
      <c r="AU258" s="49">
        <f ca="1">HM_ZB_Nsoko!CA_cost_stop+AU248+AU254</f>
        <v>0</v>
      </c>
      <c r="AV258" s="49">
        <f ca="1">HM_ZB_Nsoko!CA_cost_stop+AV248+AV254</f>
        <v>0</v>
      </c>
      <c r="AW258" s="49">
        <f ca="1">HM_ZB_Nsoko!CA_cost_stop+AW248+AW254</f>
        <v>0</v>
      </c>
      <c r="AX258" s="49">
        <f ca="1">HM_ZB_Nsoko!CA_cost_stop+AX248+AX254</f>
        <v>0</v>
      </c>
      <c r="AY258" s="49">
        <f ca="1">HM_ZB_Nsoko!CA_cost_stop+AY248+AY254</f>
        <v>0</v>
      </c>
      <c r="AZ258" s="49">
        <f ca="1">HM_ZB_Nsoko!CA_cost_stop+AZ248+AZ254</f>
        <v>0</v>
      </c>
      <c r="BA258" s="49">
        <f ca="1">HM_ZB_Nsoko!CA_cost_stop+BA248+BA254</f>
        <v>0</v>
      </c>
      <c r="BB258" s="49">
        <f ca="1">HM_ZB_Nsoko!CA_cost_stop+BB248+BB254</f>
        <v>0</v>
      </c>
      <c r="BC258" s="49">
        <f ca="1">HM_ZB_Nsoko!CA_cost_stop+BC248+BC254</f>
        <v>0</v>
      </c>
      <c r="BD258" s="49">
        <f ca="1">HM_ZB_Nsoko!CA_cost_stop+BD248+BD254</f>
        <v>0</v>
      </c>
      <c r="BE258" s="49">
        <f ca="1">HM_ZB_Nsoko!CA_cost_stop+BE248+BE254</f>
        <v>0</v>
      </c>
      <c r="BF258" s="49">
        <f ca="1">HM_ZB_Nsoko!CA_cost_stop+BF248+BF254</f>
        <v>0</v>
      </c>
      <c r="BG258" s="49">
        <f ca="1">HM_ZB_Nsoko!CA_cost_stop+BG248+BG254</f>
        <v>0</v>
      </c>
      <c r="BH258" s="49">
        <f ca="1">HM_ZB_Nsoko!CA_cost_stop+BH248+BH254</f>
        <v>0</v>
      </c>
      <c r="BI258" s="49">
        <f ca="1">HM_ZB_Nsoko!CA_cost_stop+BI248+BI254</f>
        <v>0</v>
      </c>
      <c r="BJ258" s="49">
        <f ca="1">HM_ZB_Nsoko!CA_cost_stop+BJ248+BJ254</f>
        <v>0</v>
      </c>
      <c r="BK258" s="49">
        <f ca="1">HM_ZB_Nsoko!CA_cost_stop+BK248+BK254</f>
        <v>0</v>
      </c>
      <c r="BL258" s="49">
        <f ca="1">HM_ZB_Nsoko!CA_cost_stop+BL248+BL254</f>
        <v>0</v>
      </c>
      <c r="BM258" s="49">
        <f ca="1">HM_ZB_Nsoko!CA_cost_stop+BM248+BM254</f>
        <v>0</v>
      </c>
      <c r="BN258" s="49">
        <f ca="1">HM_ZB_Nsoko!CA_cost_stop+BN248+BN254</f>
        <v>0</v>
      </c>
      <c r="BO258" s="49">
        <f ca="1">HM_ZB_Nsoko!CA_cost_stop+BO248+BO254</f>
        <v>0</v>
      </c>
      <c r="BP258" s="49">
        <f ca="1">HM_ZB_Nsoko!CA_cost_stop+BP248+BP254</f>
        <v>0</v>
      </c>
      <c r="BQ258" s="49">
        <f ca="1">HM_ZB_Nsoko!CA_cost_stop+BQ248+BQ254</f>
        <v>0</v>
      </c>
      <c r="BR258" s="49">
        <f ca="1">HM_ZB_Nsoko!CA_cost_stop+BR248+BR254</f>
        <v>0</v>
      </c>
      <c r="BS258" s="49">
        <f ca="1">HM_ZB_Nsoko!CA_cost_stop+BS248+BS254</f>
        <v>0</v>
      </c>
    </row>
    <row r="259" spans="4:71" outlineLevel="1" x14ac:dyDescent="0.2">
      <c r="E259" t="str">
        <f>HM_ZA_Nkossa!E252</f>
        <v>Capex cumulés à récupérer</v>
      </c>
      <c r="I259" s="30">
        <f ca="1">I234+I237</f>
        <v>73.735526800000002</v>
      </c>
      <c r="J259" s="26" t="s">
        <v>148</v>
      </c>
      <c r="L259" s="49">
        <f ca="1">(HM_ZB_Nsoko!CA_capex_to_recover+HM_ZB_Nsoko!CA_unrecov_costs_to_recover)+(K261*(1+int_rate_cf_costs))</f>
        <v>33.680526799999996</v>
      </c>
      <c r="M259" s="49">
        <f ca="1">(HM_ZB_Nsoko!CA_capex_to_recover+HM_ZB_Nsoko!CA_unrecov_costs_to_recover)+(L261*(1+int_rate_cf_costs))</f>
        <v>69.058995142680004</v>
      </c>
      <c r="N259" s="49">
        <f ca="1">(HM_ZB_Nsoko!CA_capex_to_recover+HM_ZB_Nsoko!CA_unrecov_costs_to_recover)+(M261*(1+int_rate_cf_costs))</f>
        <v>62.781200301990005</v>
      </c>
      <c r="O259" s="49">
        <f ca="1">(HM_ZB_Nsoko!CA_capex_to_recover+HM_ZB_Nsoko!CA_unrecov_costs_to_recover)+(N261*(1+int_rate_cf_costs))</f>
        <v>52.462245702630007</v>
      </c>
      <c r="P259" s="49">
        <f ca="1">(HM_ZB_Nsoko!CA_capex_to_recover+HM_ZB_Nsoko!CA_unrecov_costs_to_recover)+(O261*(1+int_rate_cf_costs))</f>
        <v>44.966646979220009</v>
      </c>
      <c r="Q259" s="49">
        <f ca="1">(HM_ZB_Nsoko!CA_capex_to_recover+HM_ZB_Nsoko!CA_unrecov_costs_to_recover)+(P261*(1+int_rate_cf_costs))</f>
        <v>35.824421633260009</v>
      </c>
      <c r="R259" s="49">
        <f ca="1">(HM_ZB_Nsoko!CA_capex_to_recover+HM_ZB_Nsoko!CA_unrecov_costs_to_recover)+(Q261*(1+int_rate_cf_costs))</f>
        <v>30.172080321590009</v>
      </c>
      <c r="S259" s="49">
        <f ca="1">(HM_ZB_Nsoko!CA_capex_to_recover+HM_ZB_Nsoko!CA_unrecov_costs_to_recover)+(R261*(1+int_rate_cf_costs))</f>
        <v>28.170227132990007</v>
      </c>
      <c r="T259" s="49">
        <f ca="1">(HM_ZB_Nsoko!CA_capex_to_recover+HM_ZB_Nsoko!CA_unrecov_costs_to_recover)+(S261*(1+int_rate_cf_costs))</f>
        <v>19.915837245282809</v>
      </c>
      <c r="U259" s="49">
        <f ca="1">(HM_ZB_Nsoko!CA_capex_to_recover+HM_ZB_Nsoko!CA_unrecov_costs_to_recover)+(T261*(1+int_rate_cf_costs))</f>
        <v>9.1910040783555953</v>
      </c>
      <c r="V259" s="49">
        <f ca="1">(HM_ZB_Nsoko!CA_capex_to_recover+HM_ZB_Nsoko!CA_unrecov_costs_to_recover)+(U261*(1+int_rate_cf_costs))</f>
        <v>3.5033976494089458E-2</v>
      </c>
      <c r="W259" s="49">
        <f ca="1">(HM_ZB_Nsoko!CA_capex_to_recover+HM_ZB_Nsoko!CA_unrecov_costs_to_recover)+(V261*(1+int_rate_cf_costs))</f>
        <v>0</v>
      </c>
      <c r="X259" s="49">
        <f ca="1">(HM_ZB_Nsoko!CA_capex_to_recover+HM_ZB_Nsoko!CA_unrecov_costs_to_recover)+(W261*(1+int_rate_cf_costs))</f>
        <v>0</v>
      </c>
      <c r="Y259" s="49">
        <f ca="1">(HM_ZB_Nsoko!CA_capex_to_recover+HM_ZB_Nsoko!CA_unrecov_costs_to_recover)+(X261*(1+int_rate_cf_costs))</f>
        <v>0</v>
      </c>
      <c r="Z259" s="49">
        <f ca="1">(HM_ZB_Nsoko!CA_capex_to_recover+HM_ZB_Nsoko!CA_unrecov_costs_to_recover)+(Y261*(1+int_rate_cf_costs))</f>
        <v>0</v>
      </c>
      <c r="AA259" s="49">
        <f ca="1">(HM_ZB_Nsoko!CA_capex_to_recover+HM_ZB_Nsoko!CA_unrecov_costs_to_recover)+(Z261*(1+int_rate_cf_costs))</f>
        <v>0</v>
      </c>
      <c r="AB259" s="49">
        <f ca="1">(HM_ZB_Nsoko!CA_capex_to_recover+HM_ZB_Nsoko!CA_unrecov_costs_to_recover)+(AA261*(1+int_rate_cf_costs))</f>
        <v>0</v>
      </c>
      <c r="AC259" s="49">
        <f ca="1">(HM_ZB_Nsoko!CA_capex_to_recover+HM_ZB_Nsoko!CA_unrecov_costs_to_recover)+(AB261*(1+int_rate_cf_costs))</f>
        <v>0</v>
      </c>
      <c r="AD259" s="49">
        <f ca="1">(HM_ZB_Nsoko!CA_capex_to_recover+HM_ZB_Nsoko!CA_unrecov_costs_to_recover)+(AC261*(1+int_rate_cf_costs))</f>
        <v>0</v>
      </c>
      <c r="AE259" s="49">
        <f ca="1">(HM_ZB_Nsoko!CA_capex_to_recover+HM_ZB_Nsoko!CA_unrecov_costs_to_recover)+(AD261*(1+int_rate_cf_costs))</f>
        <v>0</v>
      </c>
      <c r="AF259" s="49">
        <f ca="1">(HM_ZB_Nsoko!CA_capex_to_recover+HM_ZB_Nsoko!CA_unrecov_costs_to_recover)+(AE261*(1+int_rate_cf_costs))</f>
        <v>0</v>
      </c>
      <c r="AG259" s="49">
        <f ca="1">(HM_ZB_Nsoko!CA_capex_to_recover+HM_ZB_Nsoko!CA_unrecov_costs_to_recover)+(AF261*(1+int_rate_cf_costs))</f>
        <v>0</v>
      </c>
      <c r="AH259" s="49">
        <f ca="1">(HM_ZB_Nsoko!CA_capex_to_recover+HM_ZB_Nsoko!CA_unrecov_costs_to_recover)+(AG261*(1+int_rate_cf_costs))</f>
        <v>0</v>
      </c>
      <c r="AI259" s="49">
        <f ca="1">(HM_ZB_Nsoko!CA_capex_to_recover+HM_ZB_Nsoko!CA_unrecov_costs_to_recover)+(AH261*(1+int_rate_cf_costs))</f>
        <v>0</v>
      </c>
      <c r="AJ259" s="49">
        <f ca="1">(HM_ZB_Nsoko!CA_capex_to_recover+HM_ZB_Nsoko!CA_unrecov_costs_to_recover)+(AI261*(1+int_rate_cf_costs))</f>
        <v>0</v>
      </c>
      <c r="AK259" s="49">
        <f ca="1">(HM_ZB_Nsoko!CA_capex_to_recover+HM_ZB_Nsoko!CA_unrecov_costs_to_recover)+(AJ261*(1+int_rate_cf_costs))</f>
        <v>0</v>
      </c>
      <c r="AL259" s="49">
        <f ca="1">(HM_ZB_Nsoko!CA_capex_to_recover+HM_ZB_Nsoko!CA_unrecov_costs_to_recover)+(AK261*(1+int_rate_cf_costs))</f>
        <v>0</v>
      </c>
      <c r="AM259" s="49">
        <f ca="1">(HM_ZB_Nsoko!CA_capex_to_recover+HM_ZB_Nsoko!CA_unrecov_costs_to_recover)+(AL261*(1+int_rate_cf_costs))</f>
        <v>0</v>
      </c>
      <c r="AN259" s="49">
        <f ca="1">(HM_ZB_Nsoko!CA_capex_to_recover+HM_ZB_Nsoko!CA_unrecov_costs_to_recover)+(AM261*(1+int_rate_cf_costs))</f>
        <v>0</v>
      </c>
      <c r="AO259" s="49">
        <f ca="1">(HM_ZB_Nsoko!CA_capex_to_recover+HM_ZB_Nsoko!CA_unrecov_costs_to_recover)+(AN261*(1+int_rate_cf_costs))</f>
        <v>0</v>
      </c>
      <c r="AP259" s="49">
        <f ca="1">(HM_ZB_Nsoko!CA_capex_to_recover+HM_ZB_Nsoko!CA_unrecov_costs_to_recover)+(AO261*(1+int_rate_cf_costs))</f>
        <v>0</v>
      </c>
      <c r="AQ259" s="49">
        <f ca="1">(HM_ZB_Nsoko!CA_capex_to_recover+HM_ZB_Nsoko!CA_unrecov_costs_to_recover)+(AP261*(1+int_rate_cf_costs))</f>
        <v>0</v>
      </c>
      <c r="AR259" s="49">
        <f ca="1">(HM_ZB_Nsoko!CA_capex_to_recover+HM_ZB_Nsoko!CA_unrecov_costs_to_recover)+(AQ261*(1+int_rate_cf_costs))</f>
        <v>0</v>
      </c>
      <c r="AS259" s="49">
        <f ca="1">(HM_ZB_Nsoko!CA_capex_to_recover+HM_ZB_Nsoko!CA_unrecov_costs_to_recover)+(AR261*(1+int_rate_cf_costs))</f>
        <v>0</v>
      </c>
      <c r="AT259" s="49">
        <f ca="1">(HM_ZB_Nsoko!CA_capex_to_recover+HM_ZB_Nsoko!CA_unrecov_costs_to_recover)+(AS261*(1+int_rate_cf_costs))</f>
        <v>0</v>
      </c>
      <c r="AU259" s="49">
        <f ca="1">(HM_ZB_Nsoko!CA_capex_to_recover+HM_ZB_Nsoko!CA_unrecov_costs_to_recover)+(AT261*(1+int_rate_cf_costs))</f>
        <v>0</v>
      </c>
      <c r="AV259" s="49">
        <f ca="1">(HM_ZB_Nsoko!CA_capex_to_recover+HM_ZB_Nsoko!CA_unrecov_costs_to_recover)+(AU261*(1+int_rate_cf_costs))</f>
        <v>0</v>
      </c>
      <c r="AW259" s="49">
        <f ca="1">(HM_ZB_Nsoko!CA_capex_to_recover+HM_ZB_Nsoko!CA_unrecov_costs_to_recover)+(AV261*(1+int_rate_cf_costs))</f>
        <v>0</v>
      </c>
      <c r="AX259" s="49">
        <f ca="1">(HM_ZB_Nsoko!CA_capex_to_recover+HM_ZB_Nsoko!CA_unrecov_costs_to_recover)+(AW261*(1+int_rate_cf_costs))</f>
        <v>0</v>
      </c>
      <c r="AY259" s="49">
        <f ca="1">(HM_ZB_Nsoko!CA_capex_to_recover+HM_ZB_Nsoko!CA_unrecov_costs_to_recover)+(AX261*(1+int_rate_cf_costs))</f>
        <v>0</v>
      </c>
      <c r="AZ259" s="49">
        <f ca="1">(HM_ZB_Nsoko!CA_capex_to_recover+HM_ZB_Nsoko!CA_unrecov_costs_to_recover)+(AY261*(1+int_rate_cf_costs))</f>
        <v>0</v>
      </c>
      <c r="BA259" s="49">
        <f ca="1">(HM_ZB_Nsoko!CA_capex_to_recover+HM_ZB_Nsoko!CA_unrecov_costs_to_recover)+(AZ261*(1+int_rate_cf_costs))</f>
        <v>0</v>
      </c>
      <c r="BB259" s="49">
        <f ca="1">(HM_ZB_Nsoko!CA_capex_to_recover+HM_ZB_Nsoko!CA_unrecov_costs_to_recover)+(BA261*(1+int_rate_cf_costs))</f>
        <v>0</v>
      </c>
      <c r="BC259" s="49">
        <f ca="1">(HM_ZB_Nsoko!CA_capex_to_recover+HM_ZB_Nsoko!CA_unrecov_costs_to_recover)+(BB261*(1+int_rate_cf_costs))</f>
        <v>0</v>
      </c>
      <c r="BD259" s="49">
        <f ca="1">(HM_ZB_Nsoko!CA_capex_to_recover+HM_ZB_Nsoko!CA_unrecov_costs_to_recover)+(BC261*(1+int_rate_cf_costs))</f>
        <v>0</v>
      </c>
      <c r="BE259" s="49">
        <f ca="1">(HM_ZB_Nsoko!CA_capex_to_recover+HM_ZB_Nsoko!CA_unrecov_costs_to_recover)+(BD261*(1+int_rate_cf_costs))</f>
        <v>0</v>
      </c>
      <c r="BF259" s="49">
        <f ca="1">(HM_ZB_Nsoko!CA_capex_to_recover+HM_ZB_Nsoko!CA_unrecov_costs_to_recover)+(BE261*(1+int_rate_cf_costs))</f>
        <v>0</v>
      </c>
      <c r="BG259" s="49">
        <f ca="1">(HM_ZB_Nsoko!CA_capex_to_recover+HM_ZB_Nsoko!CA_unrecov_costs_to_recover)+(BF261*(1+int_rate_cf_costs))</f>
        <v>0</v>
      </c>
      <c r="BH259" s="49">
        <f ca="1">(HM_ZB_Nsoko!CA_capex_to_recover+HM_ZB_Nsoko!CA_unrecov_costs_to_recover)+(BG261*(1+int_rate_cf_costs))</f>
        <v>0</v>
      </c>
      <c r="BI259" s="49">
        <f ca="1">(HM_ZB_Nsoko!CA_capex_to_recover+HM_ZB_Nsoko!CA_unrecov_costs_to_recover)+(BH261*(1+int_rate_cf_costs))</f>
        <v>0</v>
      </c>
      <c r="BJ259" s="49">
        <f ca="1">(HM_ZB_Nsoko!CA_capex_to_recover+HM_ZB_Nsoko!CA_unrecov_costs_to_recover)+(BI261*(1+int_rate_cf_costs))</f>
        <v>0</v>
      </c>
      <c r="BK259" s="49">
        <f ca="1">(HM_ZB_Nsoko!CA_capex_to_recover+HM_ZB_Nsoko!CA_unrecov_costs_to_recover)+(BJ261*(1+int_rate_cf_costs))</f>
        <v>0</v>
      </c>
      <c r="BL259" s="49">
        <f ca="1">(HM_ZB_Nsoko!CA_capex_to_recover+HM_ZB_Nsoko!CA_unrecov_costs_to_recover)+(BK261*(1+int_rate_cf_costs))</f>
        <v>0</v>
      </c>
      <c r="BM259" s="49">
        <f ca="1">(HM_ZB_Nsoko!CA_capex_to_recover+HM_ZB_Nsoko!CA_unrecov_costs_to_recover)+(BL261*(1+int_rate_cf_costs))</f>
        <v>0</v>
      </c>
      <c r="BN259" s="49">
        <f ca="1">(HM_ZB_Nsoko!CA_capex_to_recover+HM_ZB_Nsoko!CA_unrecov_costs_to_recover)+(BM261*(1+int_rate_cf_costs))</f>
        <v>0</v>
      </c>
      <c r="BO259" s="49">
        <f ca="1">(HM_ZB_Nsoko!CA_capex_to_recover+HM_ZB_Nsoko!CA_unrecov_costs_to_recover)+(BN261*(1+int_rate_cf_costs))</f>
        <v>0</v>
      </c>
      <c r="BP259" s="49">
        <f ca="1">(HM_ZB_Nsoko!CA_capex_to_recover+HM_ZB_Nsoko!CA_unrecov_costs_to_recover)+(BO261*(1+int_rate_cf_costs))</f>
        <v>0</v>
      </c>
      <c r="BQ259" s="49">
        <f ca="1">(HM_ZB_Nsoko!CA_capex_to_recover+HM_ZB_Nsoko!CA_unrecov_costs_to_recover)+(BP261*(1+int_rate_cf_costs))</f>
        <v>0</v>
      </c>
      <c r="BR259" s="49">
        <f ca="1">(HM_ZB_Nsoko!CA_capex_to_recover+HM_ZB_Nsoko!CA_unrecov_costs_to_recover)+(BQ261*(1+int_rate_cf_costs))</f>
        <v>0</v>
      </c>
      <c r="BS259" s="49">
        <f ca="1">(HM_ZB_Nsoko!CA_capex_to_recover+HM_ZB_Nsoko!CA_unrecov_costs_to_recover)+(BR261*(1+int_rate_cf_costs))</f>
        <v>0</v>
      </c>
    </row>
    <row r="260" spans="4:71" outlineLevel="1" x14ac:dyDescent="0.2">
      <c r="E260" t="str">
        <f>HM_ZA_Nkossa!E253</f>
        <v>Capex récupérés</v>
      </c>
      <c r="H260" s="56" t="b">
        <f ca="1">ROUND(I260,2)=-ROUND(I259,2)</f>
        <v>1</v>
      </c>
      <c r="I260" s="30">
        <f t="shared" ca="1" si="62"/>
        <v>-73.735526800000017</v>
      </c>
      <c r="J260" s="26" t="s">
        <v>148</v>
      </c>
      <c r="L260" s="49">
        <f ca="1">-MIN(L259,L258)</f>
        <v>-3.5725316573200003</v>
      </c>
      <c r="M260" s="49">
        <f t="shared" ref="M260:BS260" ca="1" si="63">-MIN(M259,M258)</f>
        <v>-6.9697948406899997</v>
      </c>
      <c r="N260" s="49">
        <f t="shared" ca="1" si="63"/>
        <v>-10.474954599359998</v>
      </c>
      <c r="O260" s="49">
        <f t="shared" ca="1" si="63"/>
        <v>-7.751598723409999</v>
      </c>
      <c r="P260" s="49">
        <f t="shared" ca="1" si="63"/>
        <v>-9.14222534596</v>
      </c>
      <c r="Q260" s="49">
        <f t="shared" ca="1" si="63"/>
        <v>-5.652341311669999</v>
      </c>
      <c r="R260" s="49">
        <f t="shared" ca="1" si="63"/>
        <v>-2.0018531886000002</v>
      </c>
      <c r="S260" s="49">
        <f t="shared" ca="1" si="63"/>
        <v>-8.2543898877071982</v>
      </c>
      <c r="T260" s="49">
        <f t="shared" ca="1" si="63"/>
        <v>-10.724833166927214</v>
      </c>
      <c r="U260" s="49">
        <f t="shared" ca="1" si="63"/>
        <v>-9.1559701018615058</v>
      </c>
      <c r="V260" s="49">
        <f t="shared" ca="1" si="63"/>
        <v>-3.5033976494089458E-2</v>
      </c>
      <c r="W260" s="49">
        <f t="shared" ca="1" si="63"/>
        <v>0</v>
      </c>
      <c r="X260" s="49">
        <f t="shared" ca="1" si="63"/>
        <v>0</v>
      </c>
      <c r="Y260" s="49">
        <f t="shared" ca="1" si="63"/>
        <v>0</v>
      </c>
      <c r="Z260" s="49">
        <f t="shared" ca="1" si="63"/>
        <v>0</v>
      </c>
      <c r="AA260" s="49">
        <f t="shared" ca="1" si="63"/>
        <v>0</v>
      </c>
      <c r="AB260" s="49">
        <f t="shared" ca="1" si="63"/>
        <v>0</v>
      </c>
      <c r="AC260" s="49">
        <f t="shared" ca="1" si="63"/>
        <v>0</v>
      </c>
      <c r="AD260" s="49">
        <f t="shared" ca="1" si="63"/>
        <v>0</v>
      </c>
      <c r="AE260" s="49">
        <f t="shared" ca="1" si="63"/>
        <v>0</v>
      </c>
      <c r="AF260" s="49">
        <f t="shared" ca="1" si="63"/>
        <v>0</v>
      </c>
      <c r="AG260" s="49">
        <f t="shared" ca="1" si="63"/>
        <v>0</v>
      </c>
      <c r="AH260" s="49">
        <f t="shared" ca="1" si="63"/>
        <v>0</v>
      </c>
      <c r="AI260" s="49">
        <f t="shared" ca="1" si="63"/>
        <v>0</v>
      </c>
      <c r="AJ260" s="49">
        <f t="shared" ca="1" si="63"/>
        <v>0</v>
      </c>
      <c r="AK260" s="49">
        <f t="shared" ca="1" si="63"/>
        <v>0</v>
      </c>
      <c r="AL260" s="49">
        <f t="shared" ca="1" si="63"/>
        <v>0</v>
      </c>
      <c r="AM260" s="49">
        <f t="shared" ca="1" si="63"/>
        <v>0</v>
      </c>
      <c r="AN260" s="49">
        <f t="shared" ca="1" si="63"/>
        <v>0</v>
      </c>
      <c r="AO260" s="49">
        <f t="shared" ca="1" si="63"/>
        <v>0</v>
      </c>
      <c r="AP260" s="49">
        <f t="shared" ca="1" si="63"/>
        <v>0</v>
      </c>
      <c r="AQ260" s="49">
        <f t="shared" ca="1" si="63"/>
        <v>0</v>
      </c>
      <c r="AR260" s="49">
        <f t="shared" ca="1" si="63"/>
        <v>0</v>
      </c>
      <c r="AS260" s="49">
        <f t="shared" ca="1" si="63"/>
        <v>0</v>
      </c>
      <c r="AT260" s="49">
        <f t="shared" ca="1" si="63"/>
        <v>0</v>
      </c>
      <c r="AU260" s="49">
        <f t="shared" ca="1" si="63"/>
        <v>0</v>
      </c>
      <c r="AV260" s="49">
        <f t="shared" ca="1" si="63"/>
        <v>0</v>
      </c>
      <c r="AW260" s="49">
        <f t="shared" ca="1" si="63"/>
        <v>0</v>
      </c>
      <c r="AX260" s="49">
        <f t="shared" ca="1" si="63"/>
        <v>0</v>
      </c>
      <c r="AY260" s="49">
        <f t="shared" ca="1" si="63"/>
        <v>0</v>
      </c>
      <c r="AZ260" s="49">
        <f t="shared" ca="1" si="63"/>
        <v>0</v>
      </c>
      <c r="BA260" s="49">
        <f t="shared" ca="1" si="63"/>
        <v>0</v>
      </c>
      <c r="BB260" s="49">
        <f t="shared" ca="1" si="63"/>
        <v>0</v>
      </c>
      <c r="BC260" s="49">
        <f t="shared" ca="1" si="63"/>
        <v>0</v>
      </c>
      <c r="BD260" s="49">
        <f t="shared" ca="1" si="63"/>
        <v>0</v>
      </c>
      <c r="BE260" s="49">
        <f t="shared" ca="1" si="63"/>
        <v>0</v>
      </c>
      <c r="BF260" s="49">
        <f t="shared" ca="1" si="63"/>
        <v>0</v>
      </c>
      <c r="BG260" s="49">
        <f t="shared" ca="1" si="63"/>
        <v>0</v>
      </c>
      <c r="BH260" s="49">
        <f t="shared" ca="1" si="63"/>
        <v>0</v>
      </c>
      <c r="BI260" s="49">
        <f t="shared" ca="1" si="63"/>
        <v>0</v>
      </c>
      <c r="BJ260" s="49">
        <f t="shared" ca="1" si="63"/>
        <v>0</v>
      </c>
      <c r="BK260" s="49">
        <f t="shared" ca="1" si="63"/>
        <v>0</v>
      </c>
      <c r="BL260" s="49">
        <f t="shared" ca="1" si="63"/>
        <v>0</v>
      </c>
      <c r="BM260" s="49">
        <f t="shared" ca="1" si="63"/>
        <v>0</v>
      </c>
      <c r="BN260" s="49">
        <f t="shared" ca="1" si="63"/>
        <v>0</v>
      </c>
      <c r="BO260" s="49">
        <f t="shared" ca="1" si="63"/>
        <v>0</v>
      </c>
      <c r="BP260" s="49">
        <f t="shared" ca="1" si="63"/>
        <v>0</v>
      </c>
      <c r="BQ260" s="49">
        <f t="shared" ca="1" si="63"/>
        <v>0</v>
      </c>
      <c r="BR260" s="49">
        <f t="shared" ca="1" si="63"/>
        <v>0</v>
      </c>
      <c r="BS260" s="49">
        <f t="shared" ca="1" si="63"/>
        <v>0</v>
      </c>
    </row>
    <row r="261" spans="4:71" outlineLevel="1" x14ac:dyDescent="0.2">
      <c r="E261" t="str">
        <f>HM_ZA_Nkossa!E254</f>
        <v xml:space="preserve">Sous/(Sur)récupération </v>
      </c>
      <c r="J261" s="26"/>
      <c r="L261" s="49">
        <f ca="1">L259+L260</f>
        <v>30.107995142679997</v>
      </c>
      <c r="M261" s="49">
        <f t="shared" ref="M261:BS261" ca="1" si="64">M259+M260</f>
        <v>62.089200301990005</v>
      </c>
      <c r="N261" s="49">
        <f t="shared" ca="1" si="64"/>
        <v>52.306245702630008</v>
      </c>
      <c r="O261" s="49">
        <f t="shared" ca="1" si="64"/>
        <v>44.710646979220009</v>
      </c>
      <c r="P261" s="49">
        <f t="shared" ca="1" si="64"/>
        <v>35.824421633260009</v>
      </c>
      <c r="Q261" s="49">
        <f t="shared" ca="1" si="64"/>
        <v>30.172080321590009</v>
      </c>
      <c r="R261" s="49">
        <f t="shared" ca="1" si="64"/>
        <v>28.170227132990007</v>
      </c>
      <c r="S261" s="49">
        <f t="shared" ca="1" si="64"/>
        <v>19.915837245282809</v>
      </c>
      <c r="T261" s="49">
        <f t="shared" ca="1" si="64"/>
        <v>9.1910040783555953</v>
      </c>
      <c r="U261" s="49">
        <f t="shared" ca="1" si="64"/>
        <v>3.5033976494089458E-2</v>
      </c>
      <c r="V261" s="49">
        <f t="shared" ca="1" si="64"/>
        <v>0</v>
      </c>
      <c r="W261" s="49">
        <f t="shared" ca="1" si="64"/>
        <v>0</v>
      </c>
      <c r="X261" s="49">
        <f t="shared" ca="1" si="64"/>
        <v>0</v>
      </c>
      <c r="Y261" s="49">
        <f t="shared" ca="1" si="64"/>
        <v>0</v>
      </c>
      <c r="Z261" s="49">
        <f t="shared" ca="1" si="64"/>
        <v>0</v>
      </c>
      <c r="AA261" s="49">
        <f t="shared" ca="1" si="64"/>
        <v>0</v>
      </c>
      <c r="AB261" s="49">
        <f t="shared" ca="1" si="64"/>
        <v>0</v>
      </c>
      <c r="AC261" s="49">
        <f t="shared" ca="1" si="64"/>
        <v>0</v>
      </c>
      <c r="AD261" s="49">
        <f t="shared" ca="1" si="64"/>
        <v>0</v>
      </c>
      <c r="AE261" s="49">
        <f t="shared" ca="1" si="64"/>
        <v>0</v>
      </c>
      <c r="AF261" s="49">
        <f t="shared" ca="1" si="64"/>
        <v>0</v>
      </c>
      <c r="AG261" s="49">
        <f t="shared" ca="1" si="64"/>
        <v>0</v>
      </c>
      <c r="AH261" s="49">
        <f t="shared" ca="1" si="64"/>
        <v>0</v>
      </c>
      <c r="AI261" s="49">
        <f t="shared" ca="1" si="64"/>
        <v>0</v>
      </c>
      <c r="AJ261" s="49">
        <f t="shared" ca="1" si="64"/>
        <v>0</v>
      </c>
      <c r="AK261" s="49">
        <f t="shared" ca="1" si="64"/>
        <v>0</v>
      </c>
      <c r="AL261" s="49">
        <f t="shared" ca="1" si="64"/>
        <v>0</v>
      </c>
      <c r="AM261" s="49">
        <f t="shared" ca="1" si="64"/>
        <v>0</v>
      </c>
      <c r="AN261" s="49">
        <f t="shared" ca="1" si="64"/>
        <v>0</v>
      </c>
      <c r="AO261" s="49">
        <f t="shared" ca="1" si="64"/>
        <v>0</v>
      </c>
      <c r="AP261" s="49">
        <f t="shared" ca="1" si="64"/>
        <v>0</v>
      </c>
      <c r="AQ261" s="49">
        <f t="shared" ca="1" si="64"/>
        <v>0</v>
      </c>
      <c r="AR261" s="49">
        <f t="shared" ca="1" si="64"/>
        <v>0</v>
      </c>
      <c r="AS261" s="49">
        <f t="shared" ca="1" si="64"/>
        <v>0</v>
      </c>
      <c r="AT261" s="49">
        <f t="shared" ca="1" si="64"/>
        <v>0</v>
      </c>
      <c r="AU261" s="49">
        <f t="shared" ca="1" si="64"/>
        <v>0</v>
      </c>
      <c r="AV261" s="49">
        <f t="shared" ca="1" si="64"/>
        <v>0</v>
      </c>
      <c r="AW261" s="49">
        <f t="shared" ca="1" si="64"/>
        <v>0</v>
      </c>
      <c r="AX261" s="49">
        <f t="shared" ca="1" si="64"/>
        <v>0</v>
      </c>
      <c r="AY261" s="49">
        <f t="shared" ca="1" si="64"/>
        <v>0</v>
      </c>
      <c r="AZ261" s="49">
        <f t="shared" ca="1" si="64"/>
        <v>0</v>
      </c>
      <c r="BA261" s="49">
        <f t="shared" ca="1" si="64"/>
        <v>0</v>
      </c>
      <c r="BB261" s="49">
        <f t="shared" ca="1" si="64"/>
        <v>0</v>
      </c>
      <c r="BC261" s="49">
        <f t="shared" ca="1" si="64"/>
        <v>0</v>
      </c>
      <c r="BD261" s="49">
        <f t="shared" ca="1" si="64"/>
        <v>0</v>
      </c>
      <c r="BE261" s="49">
        <f t="shared" ca="1" si="64"/>
        <v>0</v>
      </c>
      <c r="BF261" s="49">
        <f t="shared" ca="1" si="64"/>
        <v>0</v>
      </c>
      <c r="BG261" s="49">
        <f t="shared" ca="1" si="64"/>
        <v>0</v>
      </c>
      <c r="BH261" s="49">
        <f t="shared" ca="1" si="64"/>
        <v>0</v>
      </c>
      <c r="BI261" s="49">
        <f t="shared" ca="1" si="64"/>
        <v>0</v>
      </c>
      <c r="BJ261" s="49">
        <f t="shared" ca="1" si="64"/>
        <v>0</v>
      </c>
      <c r="BK261" s="49">
        <f t="shared" ca="1" si="64"/>
        <v>0</v>
      </c>
      <c r="BL261" s="49">
        <f t="shared" ca="1" si="64"/>
        <v>0</v>
      </c>
      <c r="BM261" s="49">
        <f t="shared" ca="1" si="64"/>
        <v>0</v>
      </c>
      <c r="BN261" s="49">
        <f t="shared" ca="1" si="64"/>
        <v>0</v>
      </c>
      <c r="BO261" s="49">
        <f t="shared" ca="1" si="64"/>
        <v>0</v>
      </c>
      <c r="BP261" s="49">
        <f t="shared" ca="1" si="64"/>
        <v>0</v>
      </c>
      <c r="BQ261" s="49">
        <f t="shared" ca="1" si="64"/>
        <v>0</v>
      </c>
      <c r="BR261" s="49">
        <f t="shared" ca="1" si="64"/>
        <v>0</v>
      </c>
      <c r="BS261" s="49">
        <f t="shared" ca="1" si="64"/>
        <v>0</v>
      </c>
    </row>
    <row r="262" spans="4:71" outlineLevel="1" x14ac:dyDescent="0.2">
      <c r="J262" s="26"/>
      <c r="L262" s="55"/>
      <c r="M262" s="55"/>
      <c r="N262" s="55"/>
      <c r="O262" s="55"/>
      <c r="P262" s="55"/>
      <c r="Q262" s="55"/>
      <c r="R262" s="55"/>
      <c r="S262" s="55"/>
      <c r="T262" s="55"/>
      <c r="U262" s="55"/>
      <c r="V262" s="55"/>
      <c r="W262" s="55"/>
      <c r="X262" s="55"/>
      <c r="Y262" s="55"/>
      <c r="Z262" s="55"/>
      <c r="AA262" s="55"/>
      <c r="AB262" s="55"/>
      <c r="AC262" s="55"/>
      <c r="AD262" s="55"/>
      <c r="AE262" s="55"/>
      <c r="AF262" s="55"/>
      <c r="AG262" s="55"/>
      <c r="AH262" s="55"/>
      <c r="AI262" s="55"/>
      <c r="AJ262" s="55"/>
      <c r="AK262" s="55"/>
      <c r="AL262" s="55"/>
      <c r="AM262" s="55"/>
      <c r="AN262" s="55"/>
      <c r="AO262" s="55"/>
      <c r="AP262" s="55"/>
      <c r="AQ262" s="55"/>
      <c r="AR262" s="55"/>
      <c r="AS262" s="55"/>
      <c r="AT262" s="55"/>
      <c r="AU262" s="55"/>
      <c r="AV262" s="55"/>
      <c r="AW262" s="55"/>
      <c r="AX262" s="55"/>
      <c r="AY262" s="55"/>
      <c r="AZ262" s="55"/>
      <c r="BA262" s="55"/>
      <c r="BB262" s="55"/>
      <c r="BC262" s="55"/>
      <c r="BD262" s="55"/>
      <c r="BE262" s="55"/>
      <c r="BF262" s="55"/>
      <c r="BG262" s="55"/>
      <c r="BH262" s="55"/>
      <c r="BI262" s="55"/>
      <c r="BJ262" s="55"/>
      <c r="BK262" s="55"/>
      <c r="BL262" s="55"/>
      <c r="BM262" s="55"/>
      <c r="BN262" s="55"/>
      <c r="BO262" s="55"/>
      <c r="BP262" s="55"/>
      <c r="BQ262" s="55"/>
      <c r="BR262" s="55"/>
      <c r="BS262" s="55"/>
    </row>
    <row r="263" spans="4:71" outlineLevel="1" x14ac:dyDescent="0.2">
      <c r="D263" s="51" t="str">
        <f>HM_ZA_Nkossa!D256</f>
        <v>Investissement -Dépenses d'exploration</v>
      </c>
      <c r="J263" s="26"/>
      <c r="L263" s="55"/>
      <c r="M263" s="55"/>
      <c r="N263" s="55"/>
      <c r="O263" s="55"/>
      <c r="P263" s="55"/>
      <c r="Q263" s="55"/>
      <c r="R263" s="55"/>
      <c r="S263" s="55"/>
      <c r="T263" s="55"/>
      <c r="U263" s="55"/>
      <c r="V263" s="55"/>
      <c r="W263" s="55"/>
      <c r="X263" s="55"/>
      <c r="Y263" s="55"/>
      <c r="Z263" s="55"/>
      <c r="AA263" s="55"/>
      <c r="AB263" s="55"/>
      <c r="AC263" s="55"/>
      <c r="AD263" s="55"/>
      <c r="AE263" s="55"/>
      <c r="AF263" s="55"/>
      <c r="AG263" s="55"/>
      <c r="AH263" s="55"/>
      <c r="AI263" s="55"/>
      <c r="AJ263" s="55"/>
      <c r="AK263" s="55"/>
      <c r="AL263" s="55"/>
      <c r="AM263" s="55"/>
      <c r="AN263" s="55"/>
      <c r="AO263" s="55"/>
      <c r="AP263" s="55"/>
      <c r="AQ263" s="55"/>
      <c r="AR263" s="55"/>
      <c r="AS263" s="55"/>
      <c r="AT263" s="55"/>
      <c r="AU263" s="55"/>
      <c r="AV263" s="55"/>
      <c r="AW263" s="55"/>
      <c r="AX263" s="55"/>
      <c r="AY263" s="55"/>
      <c r="AZ263" s="55"/>
      <c r="BA263" s="55"/>
      <c r="BB263" s="55"/>
      <c r="BC263" s="55"/>
      <c r="BD263" s="55"/>
      <c r="BE263" s="55"/>
      <c r="BF263" s="55"/>
      <c r="BG263" s="55"/>
      <c r="BH263" s="55"/>
      <c r="BI263" s="55"/>
      <c r="BJ263" s="55"/>
      <c r="BK263" s="55"/>
      <c r="BL263" s="55"/>
      <c r="BM263" s="55"/>
      <c r="BN263" s="55"/>
      <c r="BO263" s="55"/>
      <c r="BP263" s="55"/>
      <c r="BQ263" s="55"/>
      <c r="BR263" s="55"/>
      <c r="BS263" s="55"/>
    </row>
    <row r="264" spans="4:71" outlineLevel="1" x14ac:dyDescent="0.2">
      <c r="E264" t="str">
        <f>HM_ZA_Nkossa!E257</f>
        <v>Revenus disponibles pour la récupération</v>
      </c>
      <c r="I264" s="30">
        <f t="shared" ref="I264:I276" ca="1" si="65">SUM($L264:$BS264)</f>
        <v>19.13949504244939</v>
      </c>
      <c r="J264" s="26" t="s">
        <v>148</v>
      </c>
      <c r="L264" s="49">
        <f ca="1">HM_ZB_Nsoko!CA_cost_stop+L248+L254+L260</f>
        <v>0</v>
      </c>
      <c r="M264" s="49">
        <f ca="1">HM_ZB_Nsoko!CA_cost_stop+M248+M254+M260</f>
        <v>0</v>
      </c>
      <c r="N264" s="49">
        <f ca="1">HM_ZB_Nsoko!CA_cost_stop+N248+N254+N260</f>
        <v>0</v>
      </c>
      <c r="O264" s="49">
        <f ca="1">HM_ZB_Nsoko!CA_cost_stop+O248+O254+O260</f>
        <v>0</v>
      </c>
      <c r="P264" s="49">
        <f ca="1">HM_ZB_Nsoko!CA_cost_stop+P248+P254+P260</f>
        <v>0</v>
      </c>
      <c r="Q264" s="49">
        <f ca="1">HM_ZB_Nsoko!CA_cost_stop+Q248+Q254+Q260</f>
        <v>0</v>
      </c>
      <c r="R264" s="49">
        <f ca="1">HM_ZB_Nsoko!CA_cost_stop+R248+R254+R260</f>
        <v>0</v>
      </c>
      <c r="S264" s="49">
        <f ca="1">HM_ZB_Nsoko!CA_cost_stop+S248+S254+S260</f>
        <v>0</v>
      </c>
      <c r="T264" s="49">
        <f ca="1">HM_ZB_Nsoko!CA_cost_stop+T248+T254+T260</f>
        <v>0</v>
      </c>
      <c r="U264" s="49">
        <f ca="1">HM_ZB_Nsoko!CA_cost_stop+U248+U254+U260</f>
        <v>0</v>
      </c>
      <c r="V264" s="49">
        <f ca="1">HM_ZB_Nsoko!CA_cost_stop+V248+V254+V260</f>
        <v>7.6764948275046763</v>
      </c>
      <c r="W264" s="49">
        <f ca="1">HM_ZB_Nsoko!CA_cost_stop+W248+W254+W260</f>
        <v>6.3620572592700677</v>
      </c>
      <c r="X264" s="49">
        <f ca="1">HM_ZB_Nsoko!CA_cost_stop+X248+X254+X260</f>
        <v>5.1009429556746477</v>
      </c>
      <c r="Y264" s="49">
        <f ca="1">HM_ZB_Nsoko!CA_cost_stop+Y248+Y254+Y260</f>
        <v>0</v>
      </c>
      <c r="Z264" s="49">
        <f ca="1">HM_ZB_Nsoko!CA_cost_stop+Z248+Z254+Z260</f>
        <v>0</v>
      </c>
      <c r="AA264" s="49">
        <f ca="1">HM_ZB_Nsoko!CA_cost_stop+AA248+AA254+AA260</f>
        <v>0</v>
      </c>
      <c r="AB264" s="49">
        <f ca="1">HM_ZB_Nsoko!CA_cost_stop+AB248+AB254+AB260</f>
        <v>0</v>
      </c>
      <c r="AC264" s="49">
        <f ca="1">HM_ZB_Nsoko!CA_cost_stop+AC248+AC254+AC260</f>
        <v>0</v>
      </c>
      <c r="AD264" s="49">
        <f ca="1">HM_ZB_Nsoko!CA_cost_stop+AD248+AD254+AD260</f>
        <v>0</v>
      </c>
      <c r="AE264" s="49">
        <f ca="1">HM_ZB_Nsoko!CA_cost_stop+AE248+AE254+AE260</f>
        <v>0</v>
      </c>
      <c r="AF264" s="49">
        <f ca="1">HM_ZB_Nsoko!CA_cost_stop+AF248+AF254+AF260</f>
        <v>0</v>
      </c>
      <c r="AG264" s="49">
        <f ca="1">HM_ZB_Nsoko!CA_cost_stop+AG248+AG254+AG260</f>
        <v>0</v>
      </c>
      <c r="AH264" s="49">
        <f ca="1">HM_ZB_Nsoko!CA_cost_stop+AH248+AH254+AH260</f>
        <v>0</v>
      </c>
      <c r="AI264" s="49">
        <f ca="1">HM_ZB_Nsoko!CA_cost_stop+AI248+AI254+AI260</f>
        <v>0</v>
      </c>
      <c r="AJ264" s="49">
        <f ca="1">HM_ZB_Nsoko!CA_cost_stop+AJ248+AJ254+AJ260</f>
        <v>0</v>
      </c>
      <c r="AK264" s="49">
        <f ca="1">HM_ZB_Nsoko!CA_cost_stop+AK248+AK254+AK260</f>
        <v>0</v>
      </c>
      <c r="AL264" s="49">
        <f ca="1">HM_ZB_Nsoko!CA_cost_stop+AL248+AL254+AL260</f>
        <v>0</v>
      </c>
      <c r="AM264" s="49">
        <f ca="1">HM_ZB_Nsoko!CA_cost_stop+AM248+AM254+AM260</f>
        <v>0</v>
      </c>
      <c r="AN264" s="49">
        <f ca="1">HM_ZB_Nsoko!CA_cost_stop+AN248+AN254+AN260</f>
        <v>0</v>
      </c>
      <c r="AO264" s="49">
        <f ca="1">HM_ZB_Nsoko!CA_cost_stop+AO248+AO254+AO260</f>
        <v>0</v>
      </c>
      <c r="AP264" s="49">
        <f ca="1">HM_ZB_Nsoko!CA_cost_stop+AP248+AP254+AP260</f>
        <v>0</v>
      </c>
      <c r="AQ264" s="49">
        <f ca="1">HM_ZB_Nsoko!CA_cost_stop+AQ248+AQ254+AQ260</f>
        <v>0</v>
      </c>
      <c r="AR264" s="49">
        <f ca="1">HM_ZB_Nsoko!CA_cost_stop+AR248+AR254+AR260</f>
        <v>0</v>
      </c>
      <c r="AS264" s="49">
        <f ca="1">HM_ZB_Nsoko!CA_cost_stop+AS248+AS254+AS260</f>
        <v>0</v>
      </c>
      <c r="AT264" s="49">
        <f ca="1">HM_ZB_Nsoko!CA_cost_stop+AT248+AT254+AT260</f>
        <v>0</v>
      </c>
      <c r="AU264" s="49">
        <f ca="1">HM_ZB_Nsoko!CA_cost_stop+AU248+AU254+AU260</f>
        <v>0</v>
      </c>
      <c r="AV264" s="49">
        <f ca="1">HM_ZB_Nsoko!CA_cost_stop+AV248+AV254+AV260</f>
        <v>0</v>
      </c>
      <c r="AW264" s="49">
        <f ca="1">HM_ZB_Nsoko!CA_cost_stop+AW248+AW254+AW260</f>
        <v>0</v>
      </c>
      <c r="AX264" s="49">
        <f ca="1">HM_ZB_Nsoko!CA_cost_stop+AX248+AX254+AX260</f>
        <v>0</v>
      </c>
      <c r="AY264" s="49">
        <f ca="1">HM_ZB_Nsoko!CA_cost_stop+AY248+AY254+AY260</f>
        <v>0</v>
      </c>
      <c r="AZ264" s="49">
        <f ca="1">HM_ZB_Nsoko!CA_cost_stop+AZ248+AZ254+AZ260</f>
        <v>0</v>
      </c>
      <c r="BA264" s="49">
        <f ca="1">HM_ZB_Nsoko!CA_cost_stop+BA248+BA254+BA260</f>
        <v>0</v>
      </c>
      <c r="BB264" s="49">
        <f ca="1">HM_ZB_Nsoko!CA_cost_stop+BB248+BB254+BB260</f>
        <v>0</v>
      </c>
      <c r="BC264" s="49">
        <f ca="1">HM_ZB_Nsoko!CA_cost_stop+BC248+BC254+BC260</f>
        <v>0</v>
      </c>
      <c r="BD264" s="49">
        <f ca="1">HM_ZB_Nsoko!CA_cost_stop+BD248+BD254+BD260</f>
        <v>0</v>
      </c>
      <c r="BE264" s="49">
        <f ca="1">HM_ZB_Nsoko!CA_cost_stop+BE248+BE254+BE260</f>
        <v>0</v>
      </c>
      <c r="BF264" s="49">
        <f ca="1">HM_ZB_Nsoko!CA_cost_stop+BF248+BF254+BF260</f>
        <v>0</v>
      </c>
      <c r="BG264" s="49">
        <f ca="1">HM_ZB_Nsoko!CA_cost_stop+BG248+BG254+BG260</f>
        <v>0</v>
      </c>
      <c r="BH264" s="49">
        <f ca="1">HM_ZB_Nsoko!CA_cost_stop+BH248+BH254+BH260</f>
        <v>0</v>
      </c>
      <c r="BI264" s="49">
        <f ca="1">HM_ZB_Nsoko!CA_cost_stop+BI248+BI254+BI260</f>
        <v>0</v>
      </c>
      <c r="BJ264" s="49">
        <f ca="1">HM_ZB_Nsoko!CA_cost_stop+BJ248+BJ254+BJ260</f>
        <v>0</v>
      </c>
      <c r="BK264" s="49">
        <f ca="1">HM_ZB_Nsoko!CA_cost_stop+BK248+BK254+BK260</f>
        <v>0</v>
      </c>
      <c r="BL264" s="49">
        <f ca="1">HM_ZB_Nsoko!CA_cost_stop+BL248+BL254+BL260</f>
        <v>0</v>
      </c>
      <c r="BM264" s="49">
        <f ca="1">HM_ZB_Nsoko!CA_cost_stop+BM248+BM254+BM260</f>
        <v>0</v>
      </c>
      <c r="BN264" s="49">
        <f ca="1">HM_ZB_Nsoko!CA_cost_stop+BN248+BN254+BN260</f>
        <v>0</v>
      </c>
      <c r="BO264" s="49">
        <f ca="1">HM_ZB_Nsoko!CA_cost_stop+BO248+BO254+BO260</f>
        <v>0</v>
      </c>
      <c r="BP264" s="49">
        <f ca="1">HM_ZB_Nsoko!CA_cost_stop+BP248+BP254+BP260</f>
        <v>0</v>
      </c>
      <c r="BQ264" s="49">
        <f ca="1">HM_ZB_Nsoko!CA_cost_stop+BQ248+BQ254+BQ260</f>
        <v>0</v>
      </c>
      <c r="BR264" s="49">
        <f ca="1">HM_ZB_Nsoko!CA_cost_stop+BR248+BR254+BR260</f>
        <v>0</v>
      </c>
      <c r="BS264" s="49">
        <f ca="1">HM_ZB_Nsoko!CA_cost_stop+BS248+BS254+BS260</f>
        <v>0</v>
      </c>
    </row>
    <row r="265" spans="4:71" outlineLevel="1" x14ac:dyDescent="0.2">
      <c r="E265" t="str">
        <f>HM_ZA_Nkossa!E258</f>
        <v>Coûts exploration cumulés à récupérer</v>
      </c>
      <c r="I265" s="30">
        <f ca="1">I235</f>
        <v>0</v>
      </c>
      <c r="J265" s="26" t="s">
        <v>148</v>
      </c>
      <c r="L265" s="49">
        <f ca="1">HM_ZB_Nsoko!CA_expex_to_recover+(K267*(1+int_rate_cf_costs))</f>
        <v>0</v>
      </c>
      <c r="M265" s="49">
        <f ca="1">HM_ZB_Nsoko!CA_expex_to_recover+(L267*(1+int_rate_cf_costs))</f>
        <v>0</v>
      </c>
      <c r="N265" s="49">
        <f ca="1">HM_ZB_Nsoko!CA_expex_to_recover+(M267*(1+int_rate_cf_costs))</f>
        <v>0</v>
      </c>
      <c r="O265" s="49">
        <f ca="1">HM_ZB_Nsoko!CA_expex_to_recover+(N267*(1+int_rate_cf_costs))</f>
        <v>0</v>
      </c>
      <c r="P265" s="49">
        <f ca="1">HM_ZB_Nsoko!CA_expex_to_recover+(O267*(1+int_rate_cf_costs))</f>
        <v>0</v>
      </c>
      <c r="Q265" s="49">
        <f ca="1">HM_ZB_Nsoko!CA_expex_to_recover+(P267*(1+int_rate_cf_costs))</f>
        <v>0</v>
      </c>
      <c r="R265" s="49">
        <f ca="1">HM_ZB_Nsoko!CA_expex_to_recover+(Q267*(1+int_rate_cf_costs))</f>
        <v>0</v>
      </c>
      <c r="S265" s="49">
        <f ca="1">HM_ZB_Nsoko!CA_expex_to_recover+(R267*(1+int_rate_cf_costs))</f>
        <v>0</v>
      </c>
      <c r="T265" s="49">
        <f ca="1">HM_ZB_Nsoko!CA_expex_to_recover+(S267*(1+int_rate_cf_costs))</f>
        <v>0</v>
      </c>
      <c r="U265" s="49">
        <f ca="1">HM_ZB_Nsoko!CA_expex_to_recover+(T267*(1+int_rate_cf_costs))</f>
        <v>0</v>
      </c>
      <c r="V265" s="49">
        <f ca="1">HM_ZB_Nsoko!CA_expex_to_recover+(U267*(1+int_rate_cf_costs))</f>
        <v>0</v>
      </c>
      <c r="W265" s="49">
        <f ca="1">HM_ZB_Nsoko!CA_expex_to_recover+(V267*(1+int_rate_cf_costs))</f>
        <v>0</v>
      </c>
      <c r="X265" s="49">
        <f ca="1">HM_ZB_Nsoko!CA_expex_to_recover+(W267*(1+int_rate_cf_costs))</f>
        <v>0</v>
      </c>
      <c r="Y265" s="49">
        <f ca="1">HM_ZB_Nsoko!CA_expex_to_recover+(X267*(1+int_rate_cf_costs))</f>
        <v>0</v>
      </c>
      <c r="Z265" s="49">
        <f ca="1">HM_ZB_Nsoko!CA_expex_to_recover+(Y267*(1+int_rate_cf_costs))</f>
        <v>0</v>
      </c>
      <c r="AA265" s="49">
        <f ca="1">HM_ZB_Nsoko!CA_expex_to_recover+(Z267*(1+int_rate_cf_costs))</f>
        <v>0</v>
      </c>
      <c r="AB265" s="49">
        <f ca="1">HM_ZB_Nsoko!CA_expex_to_recover+(AA267*(1+int_rate_cf_costs))</f>
        <v>0</v>
      </c>
      <c r="AC265" s="49">
        <f ca="1">HM_ZB_Nsoko!CA_expex_to_recover+(AB267*(1+int_rate_cf_costs))</f>
        <v>0</v>
      </c>
      <c r="AD265" s="49">
        <f ca="1">HM_ZB_Nsoko!CA_expex_to_recover+(AC267*(1+int_rate_cf_costs))</f>
        <v>0</v>
      </c>
      <c r="AE265" s="49">
        <f ca="1">HM_ZB_Nsoko!CA_expex_to_recover+(AD267*(1+int_rate_cf_costs))</f>
        <v>0</v>
      </c>
      <c r="AF265" s="49">
        <f ca="1">HM_ZB_Nsoko!CA_expex_to_recover+(AE267*(1+int_rate_cf_costs))</f>
        <v>0</v>
      </c>
      <c r="AG265" s="49">
        <f ca="1">HM_ZB_Nsoko!CA_expex_to_recover+(AF267*(1+int_rate_cf_costs))</f>
        <v>0</v>
      </c>
      <c r="AH265" s="49">
        <f ca="1">HM_ZB_Nsoko!CA_expex_to_recover+(AG267*(1+int_rate_cf_costs))</f>
        <v>0</v>
      </c>
      <c r="AI265" s="49">
        <f ca="1">HM_ZB_Nsoko!CA_expex_to_recover+(AH267*(1+int_rate_cf_costs))</f>
        <v>0</v>
      </c>
      <c r="AJ265" s="49">
        <f ca="1">HM_ZB_Nsoko!CA_expex_to_recover+(AI267*(1+int_rate_cf_costs))</f>
        <v>0</v>
      </c>
      <c r="AK265" s="49">
        <f ca="1">HM_ZB_Nsoko!CA_expex_to_recover+(AJ267*(1+int_rate_cf_costs))</f>
        <v>0</v>
      </c>
      <c r="AL265" s="49">
        <f ca="1">HM_ZB_Nsoko!CA_expex_to_recover+(AK267*(1+int_rate_cf_costs))</f>
        <v>0</v>
      </c>
      <c r="AM265" s="49">
        <f ca="1">HM_ZB_Nsoko!CA_expex_to_recover+(AL267*(1+int_rate_cf_costs))</f>
        <v>0</v>
      </c>
      <c r="AN265" s="49">
        <f ca="1">HM_ZB_Nsoko!CA_expex_to_recover+(AM267*(1+int_rate_cf_costs))</f>
        <v>0</v>
      </c>
      <c r="AO265" s="49">
        <f ca="1">HM_ZB_Nsoko!CA_expex_to_recover+(AN267*(1+int_rate_cf_costs))</f>
        <v>0</v>
      </c>
      <c r="AP265" s="49">
        <f ca="1">HM_ZB_Nsoko!CA_expex_to_recover+(AO267*(1+int_rate_cf_costs))</f>
        <v>0</v>
      </c>
      <c r="AQ265" s="49">
        <f ca="1">HM_ZB_Nsoko!CA_expex_to_recover+(AP267*(1+int_rate_cf_costs))</f>
        <v>0</v>
      </c>
      <c r="AR265" s="49">
        <f ca="1">HM_ZB_Nsoko!CA_expex_to_recover+(AQ267*(1+int_rate_cf_costs))</f>
        <v>0</v>
      </c>
      <c r="AS265" s="49">
        <f ca="1">HM_ZB_Nsoko!CA_expex_to_recover+(AR267*(1+int_rate_cf_costs))</f>
        <v>0</v>
      </c>
      <c r="AT265" s="49">
        <f ca="1">HM_ZB_Nsoko!CA_expex_to_recover+(AS267*(1+int_rate_cf_costs))</f>
        <v>0</v>
      </c>
      <c r="AU265" s="49">
        <f ca="1">HM_ZB_Nsoko!CA_expex_to_recover+(AT267*(1+int_rate_cf_costs))</f>
        <v>0</v>
      </c>
      <c r="AV265" s="49">
        <f ca="1">HM_ZB_Nsoko!CA_expex_to_recover+(AU267*(1+int_rate_cf_costs))</f>
        <v>0</v>
      </c>
      <c r="AW265" s="49">
        <f ca="1">HM_ZB_Nsoko!CA_expex_to_recover+(AV267*(1+int_rate_cf_costs))</f>
        <v>0</v>
      </c>
      <c r="AX265" s="49">
        <f ca="1">HM_ZB_Nsoko!CA_expex_to_recover+(AW267*(1+int_rate_cf_costs))</f>
        <v>0</v>
      </c>
      <c r="AY265" s="49">
        <f ca="1">HM_ZB_Nsoko!CA_expex_to_recover+(AX267*(1+int_rate_cf_costs))</f>
        <v>0</v>
      </c>
      <c r="AZ265" s="49">
        <f ca="1">HM_ZB_Nsoko!CA_expex_to_recover+(AY267*(1+int_rate_cf_costs))</f>
        <v>0</v>
      </c>
      <c r="BA265" s="49">
        <f ca="1">HM_ZB_Nsoko!CA_expex_to_recover+(AZ267*(1+int_rate_cf_costs))</f>
        <v>0</v>
      </c>
      <c r="BB265" s="49">
        <f ca="1">HM_ZB_Nsoko!CA_expex_to_recover+(BA267*(1+int_rate_cf_costs))</f>
        <v>0</v>
      </c>
      <c r="BC265" s="49">
        <f ca="1">HM_ZB_Nsoko!CA_expex_to_recover+(BB267*(1+int_rate_cf_costs))</f>
        <v>0</v>
      </c>
      <c r="BD265" s="49">
        <f ca="1">HM_ZB_Nsoko!CA_expex_to_recover+(BC267*(1+int_rate_cf_costs))</f>
        <v>0</v>
      </c>
      <c r="BE265" s="49">
        <f ca="1">HM_ZB_Nsoko!CA_expex_to_recover+(BD267*(1+int_rate_cf_costs))</f>
        <v>0</v>
      </c>
      <c r="BF265" s="49">
        <f ca="1">HM_ZB_Nsoko!CA_expex_to_recover+(BE267*(1+int_rate_cf_costs))</f>
        <v>0</v>
      </c>
      <c r="BG265" s="49">
        <f ca="1">HM_ZB_Nsoko!CA_expex_to_recover+(BF267*(1+int_rate_cf_costs))</f>
        <v>0</v>
      </c>
      <c r="BH265" s="49">
        <f ca="1">HM_ZB_Nsoko!CA_expex_to_recover+(BG267*(1+int_rate_cf_costs))</f>
        <v>0</v>
      </c>
      <c r="BI265" s="49">
        <f ca="1">HM_ZB_Nsoko!CA_expex_to_recover+(BH267*(1+int_rate_cf_costs))</f>
        <v>0</v>
      </c>
      <c r="BJ265" s="49">
        <f ca="1">HM_ZB_Nsoko!CA_expex_to_recover+(BI267*(1+int_rate_cf_costs))</f>
        <v>0</v>
      </c>
      <c r="BK265" s="49">
        <f ca="1">HM_ZB_Nsoko!CA_expex_to_recover+(BJ267*(1+int_rate_cf_costs))</f>
        <v>0</v>
      </c>
      <c r="BL265" s="49">
        <f ca="1">HM_ZB_Nsoko!CA_expex_to_recover+(BK267*(1+int_rate_cf_costs))</f>
        <v>0</v>
      </c>
      <c r="BM265" s="49">
        <f ca="1">HM_ZB_Nsoko!CA_expex_to_recover+(BL267*(1+int_rate_cf_costs))</f>
        <v>0</v>
      </c>
      <c r="BN265" s="49">
        <f ca="1">HM_ZB_Nsoko!CA_expex_to_recover+(BM267*(1+int_rate_cf_costs))</f>
        <v>0</v>
      </c>
      <c r="BO265" s="49">
        <f ca="1">HM_ZB_Nsoko!CA_expex_to_recover+(BN267*(1+int_rate_cf_costs))</f>
        <v>0</v>
      </c>
      <c r="BP265" s="49">
        <f ca="1">HM_ZB_Nsoko!CA_expex_to_recover+(BO267*(1+int_rate_cf_costs))</f>
        <v>0</v>
      </c>
      <c r="BQ265" s="49">
        <f ca="1">HM_ZB_Nsoko!CA_expex_to_recover+(BP267*(1+int_rate_cf_costs))</f>
        <v>0</v>
      </c>
      <c r="BR265" s="49">
        <f ca="1">HM_ZB_Nsoko!CA_expex_to_recover+(BQ267*(1+int_rate_cf_costs))</f>
        <v>0</v>
      </c>
      <c r="BS265" s="49">
        <f ca="1">HM_ZB_Nsoko!CA_expex_to_recover+(BR267*(1+int_rate_cf_costs))</f>
        <v>0</v>
      </c>
    </row>
    <row r="266" spans="4:71" outlineLevel="1" x14ac:dyDescent="0.2">
      <c r="E266" t="str">
        <f>HM_ZA_Nkossa!E259</f>
        <v>Coûts exploration récupérés</v>
      </c>
      <c r="H266" s="56" t="b">
        <f ca="1">ROUND(I266,2)=-ROUND(I265,2)</f>
        <v>1</v>
      </c>
      <c r="I266" s="30">
        <f t="shared" ca="1" si="65"/>
        <v>0</v>
      </c>
      <c r="J266" s="26" t="s">
        <v>148</v>
      </c>
      <c r="L266" s="49">
        <f ca="1">-MIN(L265,L264)</f>
        <v>0</v>
      </c>
      <c r="M266" s="49">
        <f t="shared" ref="M266:BS266" ca="1" si="66">-MIN(M265,M264)</f>
        <v>0</v>
      </c>
      <c r="N266" s="49">
        <f t="shared" ca="1" si="66"/>
        <v>0</v>
      </c>
      <c r="O266" s="49">
        <f t="shared" ca="1" si="66"/>
        <v>0</v>
      </c>
      <c r="P266" s="49">
        <f t="shared" ca="1" si="66"/>
        <v>0</v>
      </c>
      <c r="Q266" s="49">
        <f t="shared" ca="1" si="66"/>
        <v>0</v>
      </c>
      <c r="R266" s="49">
        <f t="shared" ca="1" si="66"/>
        <v>0</v>
      </c>
      <c r="S266" s="49">
        <f t="shared" ca="1" si="66"/>
        <v>0</v>
      </c>
      <c r="T266" s="49">
        <f t="shared" ca="1" si="66"/>
        <v>0</v>
      </c>
      <c r="U266" s="49">
        <f t="shared" ca="1" si="66"/>
        <v>0</v>
      </c>
      <c r="V266" s="49">
        <f t="shared" ca="1" si="66"/>
        <v>0</v>
      </c>
      <c r="W266" s="49">
        <f t="shared" ca="1" si="66"/>
        <v>0</v>
      </c>
      <c r="X266" s="49">
        <f t="shared" ca="1" si="66"/>
        <v>0</v>
      </c>
      <c r="Y266" s="49">
        <f t="shared" ca="1" si="66"/>
        <v>0</v>
      </c>
      <c r="Z266" s="49">
        <f t="shared" ca="1" si="66"/>
        <v>0</v>
      </c>
      <c r="AA266" s="49">
        <f t="shared" ca="1" si="66"/>
        <v>0</v>
      </c>
      <c r="AB266" s="49">
        <f t="shared" ca="1" si="66"/>
        <v>0</v>
      </c>
      <c r="AC266" s="49">
        <f t="shared" ca="1" si="66"/>
        <v>0</v>
      </c>
      <c r="AD266" s="49">
        <f t="shared" ca="1" si="66"/>
        <v>0</v>
      </c>
      <c r="AE266" s="49">
        <f t="shared" ca="1" si="66"/>
        <v>0</v>
      </c>
      <c r="AF266" s="49">
        <f t="shared" ca="1" si="66"/>
        <v>0</v>
      </c>
      <c r="AG266" s="49">
        <f t="shared" ca="1" si="66"/>
        <v>0</v>
      </c>
      <c r="AH266" s="49">
        <f t="shared" ca="1" si="66"/>
        <v>0</v>
      </c>
      <c r="AI266" s="49">
        <f t="shared" ca="1" si="66"/>
        <v>0</v>
      </c>
      <c r="AJ266" s="49">
        <f t="shared" ca="1" si="66"/>
        <v>0</v>
      </c>
      <c r="AK266" s="49">
        <f t="shared" ca="1" si="66"/>
        <v>0</v>
      </c>
      <c r="AL266" s="49">
        <f t="shared" ca="1" si="66"/>
        <v>0</v>
      </c>
      <c r="AM266" s="49">
        <f t="shared" ca="1" si="66"/>
        <v>0</v>
      </c>
      <c r="AN266" s="49">
        <f t="shared" ca="1" si="66"/>
        <v>0</v>
      </c>
      <c r="AO266" s="49">
        <f t="shared" ca="1" si="66"/>
        <v>0</v>
      </c>
      <c r="AP266" s="49">
        <f t="shared" ca="1" si="66"/>
        <v>0</v>
      </c>
      <c r="AQ266" s="49">
        <f t="shared" ca="1" si="66"/>
        <v>0</v>
      </c>
      <c r="AR266" s="49">
        <f t="shared" ca="1" si="66"/>
        <v>0</v>
      </c>
      <c r="AS266" s="49">
        <f t="shared" ca="1" si="66"/>
        <v>0</v>
      </c>
      <c r="AT266" s="49">
        <f t="shared" ca="1" si="66"/>
        <v>0</v>
      </c>
      <c r="AU266" s="49">
        <f t="shared" ca="1" si="66"/>
        <v>0</v>
      </c>
      <c r="AV266" s="49">
        <f t="shared" ca="1" si="66"/>
        <v>0</v>
      </c>
      <c r="AW266" s="49">
        <f t="shared" ca="1" si="66"/>
        <v>0</v>
      </c>
      <c r="AX266" s="49">
        <f t="shared" ca="1" si="66"/>
        <v>0</v>
      </c>
      <c r="AY266" s="49">
        <f t="shared" ca="1" si="66"/>
        <v>0</v>
      </c>
      <c r="AZ266" s="49">
        <f t="shared" ca="1" si="66"/>
        <v>0</v>
      </c>
      <c r="BA266" s="49">
        <f t="shared" ca="1" si="66"/>
        <v>0</v>
      </c>
      <c r="BB266" s="49">
        <f t="shared" ca="1" si="66"/>
        <v>0</v>
      </c>
      <c r="BC266" s="49">
        <f t="shared" ca="1" si="66"/>
        <v>0</v>
      </c>
      <c r="BD266" s="49">
        <f t="shared" ca="1" si="66"/>
        <v>0</v>
      </c>
      <c r="BE266" s="49">
        <f t="shared" ca="1" si="66"/>
        <v>0</v>
      </c>
      <c r="BF266" s="49">
        <f t="shared" ca="1" si="66"/>
        <v>0</v>
      </c>
      <c r="BG266" s="49">
        <f t="shared" ca="1" si="66"/>
        <v>0</v>
      </c>
      <c r="BH266" s="49">
        <f t="shared" ca="1" si="66"/>
        <v>0</v>
      </c>
      <c r="BI266" s="49">
        <f t="shared" ca="1" si="66"/>
        <v>0</v>
      </c>
      <c r="BJ266" s="49">
        <f t="shared" ca="1" si="66"/>
        <v>0</v>
      </c>
      <c r="BK266" s="49">
        <f t="shared" ca="1" si="66"/>
        <v>0</v>
      </c>
      <c r="BL266" s="49">
        <f t="shared" ca="1" si="66"/>
        <v>0</v>
      </c>
      <c r="BM266" s="49">
        <f t="shared" ca="1" si="66"/>
        <v>0</v>
      </c>
      <c r="BN266" s="49">
        <f t="shared" ca="1" si="66"/>
        <v>0</v>
      </c>
      <c r="BO266" s="49">
        <f t="shared" ca="1" si="66"/>
        <v>0</v>
      </c>
      <c r="BP266" s="49">
        <f t="shared" ca="1" si="66"/>
        <v>0</v>
      </c>
      <c r="BQ266" s="49">
        <f t="shared" ca="1" si="66"/>
        <v>0</v>
      </c>
      <c r="BR266" s="49">
        <f t="shared" ca="1" si="66"/>
        <v>0</v>
      </c>
      <c r="BS266" s="49">
        <f t="shared" ca="1" si="66"/>
        <v>0</v>
      </c>
    </row>
    <row r="267" spans="4:71" outlineLevel="1" x14ac:dyDescent="0.2">
      <c r="E267" t="str">
        <f>HM_ZA_Nkossa!E260</f>
        <v xml:space="preserve">Sous/(Sur)récupération </v>
      </c>
      <c r="J267" s="26"/>
      <c r="L267" s="49">
        <f ca="1">L265+L266</f>
        <v>0</v>
      </c>
      <c r="M267" s="49">
        <f t="shared" ref="M267:BS267" ca="1" si="67">M265+M266</f>
        <v>0</v>
      </c>
      <c r="N267" s="49">
        <f t="shared" ca="1" si="67"/>
        <v>0</v>
      </c>
      <c r="O267" s="49">
        <f t="shared" ca="1" si="67"/>
        <v>0</v>
      </c>
      <c r="P267" s="49">
        <f t="shared" ca="1" si="67"/>
        <v>0</v>
      </c>
      <c r="Q267" s="49">
        <f t="shared" ca="1" si="67"/>
        <v>0</v>
      </c>
      <c r="R267" s="49">
        <f t="shared" ca="1" si="67"/>
        <v>0</v>
      </c>
      <c r="S267" s="49">
        <f t="shared" ca="1" si="67"/>
        <v>0</v>
      </c>
      <c r="T267" s="49">
        <f t="shared" ca="1" si="67"/>
        <v>0</v>
      </c>
      <c r="U267" s="49">
        <f t="shared" ca="1" si="67"/>
        <v>0</v>
      </c>
      <c r="V267" s="49">
        <f t="shared" ca="1" si="67"/>
        <v>0</v>
      </c>
      <c r="W267" s="49">
        <f t="shared" ca="1" si="67"/>
        <v>0</v>
      </c>
      <c r="X267" s="49">
        <f t="shared" ca="1" si="67"/>
        <v>0</v>
      </c>
      <c r="Y267" s="49">
        <f t="shared" ca="1" si="67"/>
        <v>0</v>
      </c>
      <c r="Z267" s="49">
        <f t="shared" ca="1" si="67"/>
        <v>0</v>
      </c>
      <c r="AA267" s="49">
        <f t="shared" ca="1" si="67"/>
        <v>0</v>
      </c>
      <c r="AB267" s="49">
        <f t="shared" ca="1" si="67"/>
        <v>0</v>
      </c>
      <c r="AC267" s="49">
        <f t="shared" ca="1" si="67"/>
        <v>0</v>
      </c>
      <c r="AD267" s="49">
        <f t="shared" ca="1" si="67"/>
        <v>0</v>
      </c>
      <c r="AE267" s="49">
        <f t="shared" ca="1" si="67"/>
        <v>0</v>
      </c>
      <c r="AF267" s="49">
        <f t="shared" ca="1" si="67"/>
        <v>0</v>
      </c>
      <c r="AG267" s="49">
        <f t="shared" ca="1" si="67"/>
        <v>0</v>
      </c>
      <c r="AH267" s="49">
        <f t="shared" ca="1" si="67"/>
        <v>0</v>
      </c>
      <c r="AI267" s="49">
        <f t="shared" ca="1" si="67"/>
        <v>0</v>
      </c>
      <c r="AJ267" s="49">
        <f t="shared" ca="1" si="67"/>
        <v>0</v>
      </c>
      <c r="AK267" s="49">
        <f t="shared" ca="1" si="67"/>
        <v>0</v>
      </c>
      <c r="AL267" s="49">
        <f t="shared" ca="1" si="67"/>
        <v>0</v>
      </c>
      <c r="AM267" s="49">
        <f t="shared" ca="1" si="67"/>
        <v>0</v>
      </c>
      <c r="AN267" s="49">
        <f t="shared" ca="1" si="67"/>
        <v>0</v>
      </c>
      <c r="AO267" s="49">
        <f t="shared" ca="1" si="67"/>
        <v>0</v>
      </c>
      <c r="AP267" s="49">
        <f t="shared" ca="1" si="67"/>
        <v>0</v>
      </c>
      <c r="AQ267" s="49">
        <f t="shared" ca="1" si="67"/>
        <v>0</v>
      </c>
      <c r="AR267" s="49">
        <f t="shared" ca="1" si="67"/>
        <v>0</v>
      </c>
      <c r="AS267" s="49">
        <f t="shared" ca="1" si="67"/>
        <v>0</v>
      </c>
      <c r="AT267" s="49">
        <f t="shared" ca="1" si="67"/>
        <v>0</v>
      </c>
      <c r="AU267" s="49">
        <f t="shared" ca="1" si="67"/>
        <v>0</v>
      </c>
      <c r="AV267" s="49">
        <f t="shared" ca="1" si="67"/>
        <v>0</v>
      </c>
      <c r="AW267" s="49">
        <f t="shared" ca="1" si="67"/>
        <v>0</v>
      </c>
      <c r="AX267" s="49">
        <f t="shared" ca="1" si="67"/>
        <v>0</v>
      </c>
      <c r="AY267" s="49">
        <f t="shared" ca="1" si="67"/>
        <v>0</v>
      </c>
      <c r="AZ267" s="49">
        <f t="shared" ca="1" si="67"/>
        <v>0</v>
      </c>
      <c r="BA267" s="49">
        <f t="shared" ca="1" si="67"/>
        <v>0</v>
      </c>
      <c r="BB267" s="49">
        <f t="shared" ca="1" si="67"/>
        <v>0</v>
      </c>
      <c r="BC267" s="49">
        <f t="shared" ca="1" si="67"/>
        <v>0</v>
      </c>
      <c r="BD267" s="49">
        <f t="shared" ca="1" si="67"/>
        <v>0</v>
      </c>
      <c r="BE267" s="49">
        <f t="shared" ca="1" si="67"/>
        <v>0</v>
      </c>
      <c r="BF267" s="49">
        <f t="shared" ca="1" si="67"/>
        <v>0</v>
      </c>
      <c r="BG267" s="49">
        <f t="shared" ca="1" si="67"/>
        <v>0</v>
      </c>
      <c r="BH267" s="49">
        <f t="shared" ca="1" si="67"/>
        <v>0</v>
      </c>
      <c r="BI267" s="49">
        <f t="shared" ca="1" si="67"/>
        <v>0</v>
      </c>
      <c r="BJ267" s="49">
        <f t="shared" ca="1" si="67"/>
        <v>0</v>
      </c>
      <c r="BK267" s="49">
        <f t="shared" ca="1" si="67"/>
        <v>0</v>
      </c>
      <c r="BL267" s="49">
        <f t="shared" ca="1" si="67"/>
        <v>0</v>
      </c>
      <c r="BM267" s="49">
        <f t="shared" ca="1" si="67"/>
        <v>0</v>
      </c>
      <c r="BN267" s="49">
        <f t="shared" ca="1" si="67"/>
        <v>0</v>
      </c>
      <c r="BO267" s="49">
        <f t="shared" ca="1" si="67"/>
        <v>0</v>
      </c>
      <c r="BP267" s="49">
        <f t="shared" ca="1" si="67"/>
        <v>0</v>
      </c>
      <c r="BQ267" s="49">
        <f t="shared" ca="1" si="67"/>
        <v>0</v>
      </c>
      <c r="BR267" s="49">
        <f t="shared" ca="1" si="67"/>
        <v>0</v>
      </c>
      <c r="BS267" s="49">
        <f t="shared" ca="1" si="67"/>
        <v>0</v>
      </c>
    </row>
    <row r="268" spans="4:71" outlineLevel="1" x14ac:dyDescent="0.2">
      <c r="J268" s="26"/>
      <c r="L268" s="55"/>
      <c r="M268" s="55"/>
      <c r="N268" s="55"/>
      <c r="O268" s="55"/>
      <c r="P268" s="55"/>
      <c r="Q268" s="55"/>
      <c r="R268" s="55"/>
      <c r="S268" s="55"/>
      <c r="T268" s="55"/>
      <c r="U268" s="55"/>
      <c r="V268" s="55"/>
      <c r="W268" s="55"/>
      <c r="X268" s="55"/>
      <c r="Y268" s="55"/>
      <c r="Z268" s="55"/>
      <c r="AA268" s="55"/>
      <c r="AB268" s="55"/>
      <c r="AC268" s="55"/>
      <c r="AD268" s="55"/>
      <c r="AE268" s="55"/>
      <c r="AF268" s="55"/>
      <c r="AG268" s="55"/>
      <c r="AH268" s="55"/>
      <c r="AI268" s="55"/>
      <c r="AJ268" s="55"/>
      <c r="AK268" s="55"/>
      <c r="AL268" s="55"/>
      <c r="AM268" s="55"/>
      <c r="AN268" s="55"/>
      <c r="AO268" s="55"/>
      <c r="AP268" s="55"/>
      <c r="AQ268" s="55"/>
      <c r="AR268" s="55"/>
      <c r="AS268" s="55"/>
      <c r="AT268" s="55"/>
      <c r="AU268" s="55"/>
      <c r="AV268" s="55"/>
      <c r="AW268" s="55"/>
      <c r="AX268" s="55"/>
      <c r="AY268" s="55"/>
      <c r="AZ268" s="55"/>
      <c r="BA268" s="55"/>
      <c r="BB268" s="55"/>
      <c r="BC268" s="55"/>
      <c r="BD268" s="55"/>
      <c r="BE268" s="55"/>
      <c r="BF268" s="55"/>
      <c r="BG268" s="55"/>
      <c r="BH268" s="55"/>
      <c r="BI268" s="55"/>
      <c r="BJ268" s="55"/>
      <c r="BK268" s="55"/>
      <c r="BL268" s="55"/>
      <c r="BM268" s="55"/>
      <c r="BN268" s="55"/>
      <c r="BO268" s="55"/>
      <c r="BP268" s="55"/>
      <c r="BQ268" s="55"/>
      <c r="BR268" s="55"/>
      <c r="BS268" s="55"/>
    </row>
    <row r="269" spans="4:71" outlineLevel="1" x14ac:dyDescent="0.2">
      <c r="D269" s="51" t="str">
        <f>HM_ZA_Nkossa!D262</f>
        <v>Coûts d'abandon</v>
      </c>
      <c r="J269" s="26"/>
      <c r="L269" s="55"/>
      <c r="M269" s="55"/>
      <c r="N269" s="55"/>
      <c r="O269" s="55"/>
      <c r="P269" s="55"/>
      <c r="Q269" s="55"/>
      <c r="R269" s="55"/>
      <c r="S269" s="55"/>
      <c r="T269" s="55"/>
      <c r="U269" s="55"/>
      <c r="V269" s="55"/>
      <c r="W269" s="55"/>
      <c r="X269" s="55"/>
      <c r="Y269" s="55"/>
      <c r="Z269" s="55"/>
      <c r="AA269" s="55"/>
      <c r="AB269" s="55"/>
      <c r="AC269" s="55"/>
      <c r="AD269" s="55"/>
      <c r="AE269" s="55"/>
      <c r="AF269" s="55"/>
      <c r="AG269" s="55"/>
      <c r="AH269" s="55"/>
      <c r="AI269" s="55"/>
      <c r="AJ269" s="55"/>
      <c r="AK269" s="55"/>
      <c r="AL269" s="55"/>
      <c r="AM269" s="55"/>
      <c r="AN269" s="55"/>
      <c r="AO269" s="55"/>
      <c r="AP269" s="55"/>
      <c r="AQ269" s="55"/>
      <c r="AR269" s="55"/>
      <c r="AS269" s="55"/>
      <c r="AT269" s="55"/>
      <c r="AU269" s="55"/>
      <c r="AV269" s="55"/>
      <c r="AW269" s="55"/>
      <c r="AX269" s="55"/>
      <c r="AY269" s="55"/>
      <c r="AZ269" s="55"/>
      <c r="BA269" s="55"/>
      <c r="BB269" s="55"/>
      <c r="BC269" s="55"/>
      <c r="BD269" s="55"/>
      <c r="BE269" s="55"/>
      <c r="BF269" s="55"/>
      <c r="BG269" s="55"/>
      <c r="BH269" s="55"/>
      <c r="BI269" s="55"/>
      <c r="BJ269" s="55"/>
      <c r="BK269" s="55"/>
      <c r="BL269" s="55"/>
      <c r="BM269" s="55"/>
      <c r="BN269" s="55"/>
      <c r="BO269" s="55"/>
      <c r="BP269" s="55"/>
      <c r="BQ269" s="55"/>
      <c r="BR269" s="55"/>
      <c r="BS269" s="55"/>
    </row>
    <row r="270" spans="4:71" outlineLevel="1" x14ac:dyDescent="0.2">
      <c r="E270" t="str">
        <f>HM_ZA_Nkossa!E263</f>
        <v>Revenus disponibles pour la récupération</v>
      </c>
      <c r="I270" s="30">
        <f t="shared" ca="1" si="65"/>
        <v>19.13949504244939</v>
      </c>
      <c r="J270" s="26" t="s">
        <v>148</v>
      </c>
      <c r="L270" s="49">
        <f ca="1">HM_ZB_Nsoko!CA_cost_stop+L248+L254+L260+L266</f>
        <v>0</v>
      </c>
      <c r="M270" s="49">
        <f ca="1">HM_ZB_Nsoko!CA_cost_stop+M248+M254+M260+M266</f>
        <v>0</v>
      </c>
      <c r="N270" s="49">
        <f ca="1">HM_ZB_Nsoko!CA_cost_stop+N248+N254+N260+N266</f>
        <v>0</v>
      </c>
      <c r="O270" s="49">
        <f ca="1">HM_ZB_Nsoko!CA_cost_stop+O248+O254+O260+O266</f>
        <v>0</v>
      </c>
      <c r="P270" s="49">
        <f ca="1">HM_ZB_Nsoko!CA_cost_stop+P248+P254+P260+P266</f>
        <v>0</v>
      </c>
      <c r="Q270" s="49">
        <f ca="1">HM_ZB_Nsoko!CA_cost_stop+Q248+Q254+Q260+Q266</f>
        <v>0</v>
      </c>
      <c r="R270" s="49">
        <f ca="1">HM_ZB_Nsoko!CA_cost_stop+R248+R254+R260+R266</f>
        <v>0</v>
      </c>
      <c r="S270" s="49">
        <f ca="1">HM_ZB_Nsoko!CA_cost_stop+S248+S254+S260+S266</f>
        <v>0</v>
      </c>
      <c r="T270" s="49">
        <f ca="1">HM_ZB_Nsoko!CA_cost_stop+T248+T254+T260+T266</f>
        <v>0</v>
      </c>
      <c r="U270" s="49">
        <f ca="1">HM_ZB_Nsoko!CA_cost_stop+U248+U254+U260+U266</f>
        <v>0</v>
      </c>
      <c r="V270" s="49">
        <f ca="1">HM_ZB_Nsoko!CA_cost_stop+V248+V254+V260+V266</f>
        <v>7.6764948275046763</v>
      </c>
      <c r="W270" s="49">
        <f ca="1">HM_ZB_Nsoko!CA_cost_stop+W248+W254+W260+W266</f>
        <v>6.3620572592700677</v>
      </c>
      <c r="X270" s="49">
        <f ca="1">HM_ZB_Nsoko!CA_cost_stop+X248+X254+X260+X266</f>
        <v>5.1009429556746477</v>
      </c>
      <c r="Y270" s="49">
        <f ca="1">HM_ZB_Nsoko!CA_cost_stop+Y248+Y254+Y260+Y266</f>
        <v>0</v>
      </c>
      <c r="Z270" s="49">
        <f ca="1">HM_ZB_Nsoko!CA_cost_stop+Z248+Z254+Z260+Z266</f>
        <v>0</v>
      </c>
      <c r="AA270" s="49">
        <f ca="1">HM_ZB_Nsoko!CA_cost_stop+AA248+AA254+AA260+AA266</f>
        <v>0</v>
      </c>
      <c r="AB270" s="49">
        <f ca="1">HM_ZB_Nsoko!CA_cost_stop+AB248+AB254+AB260+AB266</f>
        <v>0</v>
      </c>
      <c r="AC270" s="49">
        <f ca="1">HM_ZB_Nsoko!CA_cost_stop+AC248+AC254+AC260+AC266</f>
        <v>0</v>
      </c>
      <c r="AD270" s="49">
        <f ca="1">HM_ZB_Nsoko!CA_cost_stop+AD248+AD254+AD260+AD266</f>
        <v>0</v>
      </c>
      <c r="AE270" s="49">
        <f ca="1">HM_ZB_Nsoko!CA_cost_stop+AE248+AE254+AE260+AE266</f>
        <v>0</v>
      </c>
      <c r="AF270" s="49">
        <f ca="1">HM_ZB_Nsoko!CA_cost_stop+AF248+AF254+AF260+AF266</f>
        <v>0</v>
      </c>
      <c r="AG270" s="49">
        <f ca="1">HM_ZB_Nsoko!CA_cost_stop+AG248+AG254+AG260+AG266</f>
        <v>0</v>
      </c>
      <c r="AH270" s="49">
        <f ca="1">HM_ZB_Nsoko!CA_cost_stop+AH248+AH254+AH260+AH266</f>
        <v>0</v>
      </c>
      <c r="AI270" s="49">
        <f ca="1">HM_ZB_Nsoko!CA_cost_stop+AI248+AI254+AI260+AI266</f>
        <v>0</v>
      </c>
      <c r="AJ270" s="49">
        <f ca="1">HM_ZB_Nsoko!CA_cost_stop+AJ248+AJ254+AJ260+AJ266</f>
        <v>0</v>
      </c>
      <c r="AK270" s="49">
        <f ca="1">HM_ZB_Nsoko!CA_cost_stop+AK248+AK254+AK260+AK266</f>
        <v>0</v>
      </c>
      <c r="AL270" s="49">
        <f ca="1">HM_ZB_Nsoko!CA_cost_stop+AL248+AL254+AL260+AL266</f>
        <v>0</v>
      </c>
      <c r="AM270" s="49">
        <f ca="1">HM_ZB_Nsoko!CA_cost_stop+AM248+AM254+AM260+AM266</f>
        <v>0</v>
      </c>
      <c r="AN270" s="49">
        <f ca="1">HM_ZB_Nsoko!CA_cost_stop+AN248+AN254+AN260+AN266</f>
        <v>0</v>
      </c>
      <c r="AO270" s="49">
        <f ca="1">HM_ZB_Nsoko!CA_cost_stop+AO248+AO254+AO260+AO266</f>
        <v>0</v>
      </c>
      <c r="AP270" s="49">
        <f ca="1">HM_ZB_Nsoko!CA_cost_stop+AP248+AP254+AP260+AP266</f>
        <v>0</v>
      </c>
      <c r="AQ270" s="49">
        <f ca="1">HM_ZB_Nsoko!CA_cost_stop+AQ248+AQ254+AQ260+AQ266</f>
        <v>0</v>
      </c>
      <c r="AR270" s="49">
        <f ca="1">HM_ZB_Nsoko!CA_cost_stop+AR248+AR254+AR260+AR266</f>
        <v>0</v>
      </c>
      <c r="AS270" s="49">
        <f ca="1">HM_ZB_Nsoko!CA_cost_stop+AS248+AS254+AS260+AS266</f>
        <v>0</v>
      </c>
      <c r="AT270" s="49">
        <f ca="1">HM_ZB_Nsoko!CA_cost_stop+AT248+AT254+AT260+AT266</f>
        <v>0</v>
      </c>
      <c r="AU270" s="49">
        <f ca="1">HM_ZB_Nsoko!CA_cost_stop+AU248+AU254+AU260+AU266</f>
        <v>0</v>
      </c>
      <c r="AV270" s="49">
        <f ca="1">HM_ZB_Nsoko!CA_cost_stop+AV248+AV254+AV260+AV266</f>
        <v>0</v>
      </c>
      <c r="AW270" s="49">
        <f ca="1">HM_ZB_Nsoko!CA_cost_stop+AW248+AW254+AW260+AW266</f>
        <v>0</v>
      </c>
      <c r="AX270" s="49">
        <f ca="1">HM_ZB_Nsoko!CA_cost_stop+AX248+AX254+AX260+AX266</f>
        <v>0</v>
      </c>
      <c r="AY270" s="49">
        <f ca="1">HM_ZB_Nsoko!CA_cost_stop+AY248+AY254+AY260+AY266</f>
        <v>0</v>
      </c>
      <c r="AZ270" s="49">
        <f ca="1">HM_ZB_Nsoko!CA_cost_stop+AZ248+AZ254+AZ260+AZ266</f>
        <v>0</v>
      </c>
      <c r="BA270" s="49">
        <f ca="1">HM_ZB_Nsoko!CA_cost_stop+BA248+BA254+BA260+BA266</f>
        <v>0</v>
      </c>
      <c r="BB270" s="49">
        <f ca="1">HM_ZB_Nsoko!CA_cost_stop+BB248+BB254+BB260+BB266</f>
        <v>0</v>
      </c>
      <c r="BC270" s="49">
        <f ca="1">HM_ZB_Nsoko!CA_cost_stop+BC248+BC254+BC260+BC266</f>
        <v>0</v>
      </c>
      <c r="BD270" s="49">
        <f ca="1">HM_ZB_Nsoko!CA_cost_stop+BD248+BD254+BD260+BD266</f>
        <v>0</v>
      </c>
      <c r="BE270" s="49">
        <f ca="1">HM_ZB_Nsoko!CA_cost_stop+BE248+BE254+BE260+BE266</f>
        <v>0</v>
      </c>
      <c r="BF270" s="49">
        <f ca="1">HM_ZB_Nsoko!CA_cost_stop+BF248+BF254+BF260+BF266</f>
        <v>0</v>
      </c>
      <c r="BG270" s="49">
        <f ca="1">HM_ZB_Nsoko!CA_cost_stop+BG248+BG254+BG260+BG266</f>
        <v>0</v>
      </c>
      <c r="BH270" s="49">
        <f ca="1">HM_ZB_Nsoko!CA_cost_stop+BH248+BH254+BH260+BH266</f>
        <v>0</v>
      </c>
      <c r="BI270" s="49">
        <f ca="1">HM_ZB_Nsoko!CA_cost_stop+BI248+BI254+BI260+BI266</f>
        <v>0</v>
      </c>
      <c r="BJ270" s="49">
        <f ca="1">HM_ZB_Nsoko!CA_cost_stop+BJ248+BJ254+BJ260+BJ266</f>
        <v>0</v>
      </c>
      <c r="BK270" s="49">
        <f ca="1">HM_ZB_Nsoko!CA_cost_stop+BK248+BK254+BK260+BK266</f>
        <v>0</v>
      </c>
      <c r="BL270" s="49">
        <f ca="1">HM_ZB_Nsoko!CA_cost_stop+BL248+BL254+BL260+BL266</f>
        <v>0</v>
      </c>
      <c r="BM270" s="49">
        <f ca="1">HM_ZB_Nsoko!CA_cost_stop+BM248+BM254+BM260+BM266</f>
        <v>0</v>
      </c>
      <c r="BN270" s="49">
        <f ca="1">HM_ZB_Nsoko!CA_cost_stop+BN248+BN254+BN260+BN266</f>
        <v>0</v>
      </c>
      <c r="BO270" s="49">
        <f ca="1">HM_ZB_Nsoko!CA_cost_stop+BO248+BO254+BO260+BO266</f>
        <v>0</v>
      </c>
      <c r="BP270" s="49">
        <f ca="1">HM_ZB_Nsoko!CA_cost_stop+BP248+BP254+BP260+BP266</f>
        <v>0</v>
      </c>
      <c r="BQ270" s="49">
        <f ca="1">HM_ZB_Nsoko!CA_cost_stop+BQ248+BQ254+BQ260+BQ266</f>
        <v>0</v>
      </c>
      <c r="BR270" s="49">
        <f ca="1">HM_ZB_Nsoko!CA_cost_stop+BR248+BR254+BR260+BR266</f>
        <v>0</v>
      </c>
      <c r="BS270" s="49">
        <f ca="1">HM_ZB_Nsoko!CA_cost_stop+BS248+BS254+BS260+BS266</f>
        <v>0</v>
      </c>
    </row>
    <row r="271" spans="4:71" outlineLevel="1" x14ac:dyDescent="0.2">
      <c r="E271" t="str">
        <f>HM_ZA_Nkossa!E264</f>
        <v>Abandon cumulées à récupérer</v>
      </c>
      <c r="I271" s="30">
        <f ca="1">I236</f>
        <v>37.902999999999999</v>
      </c>
      <c r="J271" s="26" t="s">
        <v>148</v>
      </c>
      <c r="L271" s="49">
        <f ca="1">HM_ZB_Nsoko!CA_decom_to_recover+(K273*(1+int_rate_cf_costs))</f>
        <v>4.1470000000000002</v>
      </c>
      <c r="M271" s="49">
        <f ca="1">HM_ZB_Nsoko!CA_decom_to_recover+(L273*(1+int_rate_cf_costs))</f>
        <v>8.8659999999999997</v>
      </c>
      <c r="N271" s="49">
        <f ca="1">HM_ZB_Nsoko!CA_decom_to_recover+(M273*(1+int_rate_cf_costs))</f>
        <v>15.376999999999999</v>
      </c>
      <c r="O271" s="49">
        <f ca="1">HM_ZB_Nsoko!CA_decom_to_recover+(N273*(1+int_rate_cf_costs))</f>
        <v>22.474</v>
      </c>
      <c r="P271" s="49">
        <f ca="1">HM_ZB_Nsoko!CA_decom_to_recover+(O273*(1+int_rate_cf_costs))</f>
        <v>29.992000000000001</v>
      </c>
      <c r="Q271" s="49">
        <f ca="1">HM_ZB_Nsoko!CA_decom_to_recover+(P273*(1+int_rate_cf_costs))</f>
        <v>37.902999999999999</v>
      </c>
      <c r="R271" s="49">
        <f ca="1">HM_ZB_Nsoko!CA_decom_to_recover+(Q273*(1+int_rate_cf_costs))</f>
        <v>37.902999999999999</v>
      </c>
      <c r="S271" s="49">
        <f ca="1">HM_ZB_Nsoko!CA_decom_to_recover+(R273*(1+int_rate_cf_costs))</f>
        <v>37.902999999999999</v>
      </c>
      <c r="T271" s="49">
        <f ca="1">HM_ZB_Nsoko!CA_decom_to_recover+(S273*(1+int_rate_cf_costs))</f>
        <v>37.902999999999999</v>
      </c>
      <c r="U271" s="49">
        <f ca="1">HM_ZB_Nsoko!CA_decom_to_recover+(T273*(1+int_rate_cf_costs))</f>
        <v>37.902999999999999</v>
      </c>
      <c r="V271" s="49">
        <f ca="1">HM_ZB_Nsoko!CA_decom_to_recover+(U273*(1+int_rate_cf_costs))</f>
        <v>37.902999999999999</v>
      </c>
      <c r="W271" s="49">
        <f ca="1">HM_ZB_Nsoko!CA_decom_to_recover+(V273*(1+int_rate_cf_costs))</f>
        <v>30.226505172495322</v>
      </c>
      <c r="X271" s="49">
        <f ca="1">HM_ZB_Nsoko!CA_decom_to_recover+(W273*(1+int_rate_cf_costs))</f>
        <v>23.864447913225256</v>
      </c>
      <c r="Y271" s="49">
        <f ca="1">HM_ZB_Nsoko!CA_decom_to_recover+(X273*(1+int_rate_cf_costs))</f>
        <v>18.763504957550609</v>
      </c>
      <c r="Z271" s="49">
        <f ca="1">HM_ZB_Nsoko!CA_decom_to_recover+(Y273*(1+int_rate_cf_costs))</f>
        <v>18.763504957550609</v>
      </c>
      <c r="AA271" s="49">
        <f ca="1">HM_ZB_Nsoko!CA_decom_to_recover+(Z273*(1+int_rate_cf_costs))</f>
        <v>18.763504957550609</v>
      </c>
      <c r="AB271" s="49">
        <f ca="1">HM_ZB_Nsoko!CA_decom_to_recover+(AA273*(1+int_rate_cf_costs))</f>
        <v>18.763504957550609</v>
      </c>
      <c r="AC271" s="49">
        <f ca="1">HM_ZB_Nsoko!CA_decom_to_recover+(AB273*(1+int_rate_cf_costs))</f>
        <v>18.763504957550609</v>
      </c>
      <c r="AD271" s="49">
        <f ca="1">HM_ZB_Nsoko!CA_decom_to_recover+(AC273*(1+int_rate_cf_costs))</f>
        <v>18.763504957550609</v>
      </c>
      <c r="AE271" s="49">
        <f ca="1">HM_ZB_Nsoko!CA_decom_to_recover+(AD273*(1+int_rate_cf_costs))</f>
        <v>18.763504957550609</v>
      </c>
      <c r="AF271" s="49">
        <f ca="1">HM_ZB_Nsoko!CA_decom_to_recover+(AE273*(1+int_rate_cf_costs))</f>
        <v>18.763504957550609</v>
      </c>
      <c r="AG271" s="49">
        <f ca="1">HM_ZB_Nsoko!CA_decom_to_recover+(AF273*(1+int_rate_cf_costs))</f>
        <v>18.763504957550609</v>
      </c>
      <c r="AH271" s="49">
        <f ca="1">HM_ZB_Nsoko!CA_decom_to_recover+(AG273*(1+int_rate_cf_costs))</f>
        <v>18.763504957550609</v>
      </c>
      <c r="AI271" s="49">
        <f ca="1">HM_ZB_Nsoko!CA_decom_to_recover+(AH273*(1+int_rate_cf_costs))</f>
        <v>18.763504957550609</v>
      </c>
      <c r="AJ271" s="49">
        <f ca="1">HM_ZB_Nsoko!CA_decom_to_recover+(AI273*(1+int_rate_cf_costs))</f>
        <v>18.763504957550609</v>
      </c>
      <c r="AK271" s="49">
        <f ca="1">HM_ZB_Nsoko!CA_decom_to_recover+(AJ273*(1+int_rate_cf_costs))</f>
        <v>18.763504957550609</v>
      </c>
      <c r="AL271" s="49">
        <f ca="1">HM_ZB_Nsoko!CA_decom_to_recover+(AK273*(1+int_rate_cf_costs))</f>
        <v>18.763504957550609</v>
      </c>
      <c r="AM271" s="49">
        <f ca="1">HM_ZB_Nsoko!CA_decom_to_recover+(AL273*(1+int_rate_cf_costs))</f>
        <v>18.763504957550609</v>
      </c>
      <c r="AN271" s="49">
        <f ca="1">HM_ZB_Nsoko!CA_decom_to_recover+(AM273*(1+int_rate_cf_costs))</f>
        <v>18.763504957550609</v>
      </c>
      <c r="AO271" s="49">
        <f ca="1">HM_ZB_Nsoko!CA_decom_to_recover+(AN273*(1+int_rate_cf_costs))</f>
        <v>18.763504957550609</v>
      </c>
      <c r="AP271" s="49">
        <f ca="1">HM_ZB_Nsoko!CA_decom_to_recover+(AO273*(1+int_rate_cf_costs))</f>
        <v>18.763504957550609</v>
      </c>
      <c r="AQ271" s="49">
        <f ca="1">HM_ZB_Nsoko!CA_decom_to_recover+(AP273*(1+int_rate_cf_costs))</f>
        <v>18.763504957550609</v>
      </c>
      <c r="AR271" s="49">
        <f ca="1">HM_ZB_Nsoko!CA_decom_to_recover+(AQ273*(1+int_rate_cf_costs))</f>
        <v>18.763504957550609</v>
      </c>
      <c r="AS271" s="49">
        <f ca="1">HM_ZB_Nsoko!CA_decom_to_recover+(AR273*(1+int_rate_cf_costs))</f>
        <v>18.763504957550609</v>
      </c>
      <c r="AT271" s="49">
        <f ca="1">HM_ZB_Nsoko!CA_decom_to_recover+(AS273*(1+int_rate_cf_costs))</f>
        <v>18.763504957550609</v>
      </c>
      <c r="AU271" s="49">
        <f ca="1">HM_ZB_Nsoko!CA_decom_to_recover+(AT273*(1+int_rate_cf_costs))</f>
        <v>18.763504957550609</v>
      </c>
      <c r="AV271" s="49">
        <f ca="1">HM_ZB_Nsoko!CA_decom_to_recover+(AU273*(1+int_rate_cf_costs))</f>
        <v>18.763504957550609</v>
      </c>
      <c r="AW271" s="49">
        <f ca="1">HM_ZB_Nsoko!CA_decom_to_recover+(AV273*(1+int_rate_cf_costs))</f>
        <v>18.763504957550609</v>
      </c>
      <c r="AX271" s="49">
        <f ca="1">HM_ZB_Nsoko!CA_decom_to_recover+(AW273*(1+int_rate_cf_costs))</f>
        <v>18.763504957550609</v>
      </c>
      <c r="AY271" s="49">
        <f ca="1">HM_ZB_Nsoko!CA_decom_to_recover+(AX273*(1+int_rate_cf_costs))</f>
        <v>18.763504957550609</v>
      </c>
      <c r="AZ271" s="49">
        <f ca="1">HM_ZB_Nsoko!CA_decom_to_recover+(AY273*(1+int_rate_cf_costs))</f>
        <v>18.763504957550609</v>
      </c>
      <c r="BA271" s="49">
        <f ca="1">HM_ZB_Nsoko!CA_decom_to_recover+(AZ273*(1+int_rate_cf_costs))</f>
        <v>18.763504957550609</v>
      </c>
      <c r="BB271" s="49">
        <f ca="1">HM_ZB_Nsoko!CA_decom_to_recover+(BA273*(1+int_rate_cf_costs))</f>
        <v>18.763504957550609</v>
      </c>
      <c r="BC271" s="49">
        <f ca="1">HM_ZB_Nsoko!CA_decom_to_recover+(BB273*(1+int_rate_cf_costs))</f>
        <v>18.763504957550609</v>
      </c>
      <c r="BD271" s="49">
        <f ca="1">HM_ZB_Nsoko!CA_decom_to_recover+(BC273*(1+int_rate_cf_costs))</f>
        <v>18.763504957550609</v>
      </c>
      <c r="BE271" s="49">
        <f ca="1">HM_ZB_Nsoko!CA_decom_to_recover+(BD273*(1+int_rate_cf_costs))</f>
        <v>18.763504957550609</v>
      </c>
      <c r="BF271" s="49">
        <f ca="1">HM_ZB_Nsoko!CA_decom_to_recover+(BE273*(1+int_rate_cf_costs))</f>
        <v>18.763504957550609</v>
      </c>
      <c r="BG271" s="49">
        <f ca="1">HM_ZB_Nsoko!CA_decom_to_recover+(BF273*(1+int_rate_cf_costs))</f>
        <v>18.763504957550609</v>
      </c>
      <c r="BH271" s="49">
        <f ca="1">HM_ZB_Nsoko!CA_decom_to_recover+(BG273*(1+int_rate_cf_costs))</f>
        <v>18.763504957550609</v>
      </c>
      <c r="BI271" s="49">
        <f ca="1">HM_ZB_Nsoko!CA_decom_to_recover+(BH273*(1+int_rate_cf_costs))</f>
        <v>18.763504957550609</v>
      </c>
      <c r="BJ271" s="49">
        <f ca="1">HM_ZB_Nsoko!CA_decom_to_recover+(BI273*(1+int_rate_cf_costs))</f>
        <v>18.763504957550609</v>
      </c>
      <c r="BK271" s="49">
        <f ca="1">HM_ZB_Nsoko!CA_decom_to_recover+(BJ273*(1+int_rate_cf_costs))</f>
        <v>18.763504957550609</v>
      </c>
      <c r="BL271" s="49">
        <f ca="1">HM_ZB_Nsoko!CA_decom_to_recover+(BK273*(1+int_rate_cf_costs))</f>
        <v>18.763504957550609</v>
      </c>
      <c r="BM271" s="49">
        <f ca="1">HM_ZB_Nsoko!CA_decom_to_recover+(BL273*(1+int_rate_cf_costs))</f>
        <v>18.763504957550609</v>
      </c>
      <c r="BN271" s="49">
        <f ca="1">HM_ZB_Nsoko!CA_decom_to_recover+(BM273*(1+int_rate_cf_costs))</f>
        <v>18.763504957550609</v>
      </c>
      <c r="BO271" s="49">
        <f ca="1">HM_ZB_Nsoko!CA_decom_to_recover+(BN273*(1+int_rate_cf_costs))</f>
        <v>18.763504957550609</v>
      </c>
      <c r="BP271" s="49">
        <f ca="1">HM_ZB_Nsoko!CA_decom_to_recover+(BO273*(1+int_rate_cf_costs))</f>
        <v>18.763504957550609</v>
      </c>
      <c r="BQ271" s="49">
        <f ca="1">HM_ZB_Nsoko!CA_decom_to_recover+(BP273*(1+int_rate_cf_costs))</f>
        <v>18.763504957550609</v>
      </c>
      <c r="BR271" s="49">
        <f ca="1">HM_ZB_Nsoko!CA_decom_to_recover+(BQ273*(1+int_rate_cf_costs))</f>
        <v>18.763504957550609</v>
      </c>
      <c r="BS271" s="49">
        <f ca="1">HM_ZB_Nsoko!CA_decom_to_recover+(BR273*(1+int_rate_cf_costs))</f>
        <v>18.763504957550609</v>
      </c>
    </row>
    <row r="272" spans="4:71" outlineLevel="1" x14ac:dyDescent="0.2">
      <c r="E272" t="str">
        <f>HM_ZA_Nkossa!E265</f>
        <v>Abandon récupérées</v>
      </c>
      <c r="H272" s="56" t="b">
        <f ca="1">ROUND(I272,2)=-ROUND(I271,2)</f>
        <v>0</v>
      </c>
      <c r="I272" s="30">
        <f t="shared" ca="1" si="65"/>
        <v>-19.13949504244939</v>
      </c>
      <c r="J272" s="26" t="s">
        <v>148</v>
      </c>
      <c r="L272" s="49">
        <f ca="1">-MIN(L271,L270)</f>
        <v>0</v>
      </c>
      <c r="M272" s="49">
        <f t="shared" ref="M272:BS272" ca="1" si="68">-MIN(M271,M270)</f>
        <v>0</v>
      </c>
      <c r="N272" s="49">
        <f t="shared" ca="1" si="68"/>
        <v>0</v>
      </c>
      <c r="O272" s="49">
        <f t="shared" ca="1" si="68"/>
        <v>0</v>
      </c>
      <c r="P272" s="49">
        <f t="shared" ca="1" si="68"/>
        <v>0</v>
      </c>
      <c r="Q272" s="49">
        <f t="shared" ca="1" si="68"/>
        <v>0</v>
      </c>
      <c r="R272" s="49">
        <f t="shared" ca="1" si="68"/>
        <v>0</v>
      </c>
      <c r="S272" s="49">
        <f t="shared" ca="1" si="68"/>
        <v>0</v>
      </c>
      <c r="T272" s="49">
        <f t="shared" ca="1" si="68"/>
        <v>0</v>
      </c>
      <c r="U272" s="49">
        <f t="shared" ca="1" si="68"/>
        <v>0</v>
      </c>
      <c r="V272" s="49">
        <f t="shared" ca="1" si="68"/>
        <v>-7.6764948275046763</v>
      </c>
      <c r="W272" s="49">
        <f t="shared" ca="1" si="68"/>
        <v>-6.3620572592700677</v>
      </c>
      <c r="X272" s="49">
        <f t="shared" ca="1" si="68"/>
        <v>-5.1009429556746477</v>
      </c>
      <c r="Y272" s="49">
        <f t="shared" ca="1" si="68"/>
        <v>0</v>
      </c>
      <c r="Z272" s="49">
        <f t="shared" ca="1" si="68"/>
        <v>0</v>
      </c>
      <c r="AA272" s="49">
        <f t="shared" ca="1" si="68"/>
        <v>0</v>
      </c>
      <c r="AB272" s="49">
        <f t="shared" ca="1" si="68"/>
        <v>0</v>
      </c>
      <c r="AC272" s="49">
        <f t="shared" ca="1" si="68"/>
        <v>0</v>
      </c>
      <c r="AD272" s="49">
        <f t="shared" ca="1" si="68"/>
        <v>0</v>
      </c>
      <c r="AE272" s="49">
        <f t="shared" ca="1" si="68"/>
        <v>0</v>
      </c>
      <c r="AF272" s="49">
        <f t="shared" ca="1" si="68"/>
        <v>0</v>
      </c>
      <c r="AG272" s="49">
        <f t="shared" ca="1" si="68"/>
        <v>0</v>
      </c>
      <c r="AH272" s="49">
        <f t="shared" ca="1" si="68"/>
        <v>0</v>
      </c>
      <c r="AI272" s="49">
        <f t="shared" ca="1" si="68"/>
        <v>0</v>
      </c>
      <c r="AJ272" s="49">
        <f t="shared" ca="1" si="68"/>
        <v>0</v>
      </c>
      <c r="AK272" s="49">
        <f t="shared" ca="1" si="68"/>
        <v>0</v>
      </c>
      <c r="AL272" s="49">
        <f t="shared" ca="1" si="68"/>
        <v>0</v>
      </c>
      <c r="AM272" s="49">
        <f t="shared" ca="1" si="68"/>
        <v>0</v>
      </c>
      <c r="AN272" s="49">
        <f t="shared" ca="1" si="68"/>
        <v>0</v>
      </c>
      <c r="AO272" s="49">
        <f t="shared" ca="1" si="68"/>
        <v>0</v>
      </c>
      <c r="AP272" s="49">
        <f t="shared" ca="1" si="68"/>
        <v>0</v>
      </c>
      <c r="AQ272" s="49">
        <f t="shared" ca="1" si="68"/>
        <v>0</v>
      </c>
      <c r="AR272" s="49">
        <f t="shared" ca="1" si="68"/>
        <v>0</v>
      </c>
      <c r="AS272" s="49">
        <f t="shared" ca="1" si="68"/>
        <v>0</v>
      </c>
      <c r="AT272" s="49">
        <f t="shared" ca="1" si="68"/>
        <v>0</v>
      </c>
      <c r="AU272" s="49">
        <f t="shared" ca="1" si="68"/>
        <v>0</v>
      </c>
      <c r="AV272" s="49">
        <f t="shared" ca="1" si="68"/>
        <v>0</v>
      </c>
      <c r="AW272" s="49">
        <f t="shared" ca="1" si="68"/>
        <v>0</v>
      </c>
      <c r="AX272" s="49">
        <f t="shared" ca="1" si="68"/>
        <v>0</v>
      </c>
      <c r="AY272" s="49">
        <f t="shared" ca="1" si="68"/>
        <v>0</v>
      </c>
      <c r="AZ272" s="49">
        <f t="shared" ca="1" si="68"/>
        <v>0</v>
      </c>
      <c r="BA272" s="49">
        <f t="shared" ca="1" si="68"/>
        <v>0</v>
      </c>
      <c r="BB272" s="49">
        <f t="shared" ca="1" si="68"/>
        <v>0</v>
      </c>
      <c r="BC272" s="49">
        <f t="shared" ca="1" si="68"/>
        <v>0</v>
      </c>
      <c r="BD272" s="49">
        <f t="shared" ca="1" si="68"/>
        <v>0</v>
      </c>
      <c r="BE272" s="49">
        <f t="shared" ca="1" si="68"/>
        <v>0</v>
      </c>
      <c r="BF272" s="49">
        <f t="shared" ca="1" si="68"/>
        <v>0</v>
      </c>
      <c r="BG272" s="49">
        <f t="shared" ca="1" si="68"/>
        <v>0</v>
      </c>
      <c r="BH272" s="49">
        <f t="shared" ca="1" si="68"/>
        <v>0</v>
      </c>
      <c r="BI272" s="49">
        <f t="shared" ca="1" si="68"/>
        <v>0</v>
      </c>
      <c r="BJ272" s="49">
        <f t="shared" ca="1" si="68"/>
        <v>0</v>
      </c>
      <c r="BK272" s="49">
        <f t="shared" ca="1" si="68"/>
        <v>0</v>
      </c>
      <c r="BL272" s="49">
        <f t="shared" ca="1" si="68"/>
        <v>0</v>
      </c>
      <c r="BM272" s="49">
        <f t="shared" ca="1" si="68"/>
        <v>0</v>
      </c>
      <c r="BN272" s="49">
        <f t="shared" ca="1" si="68"/>
        <v>0</v>
      </c>
      <c r="BO272" s="49">
        <f t="shared" ca="1" si="68"/>
        <v>0</v>
      </c>
      <c r="BP272" s="49">
        <f t="shared" ca="1" si="68"/>
        <v>0</v>
      </c>
      <c r="BQ272" s="49">
        <f t="shared" ca="1" si="68"/>
        <v>0</v>
      </c>
      <c r="BR272" s="49">
        <f t="shared" ca="1" si="68"/>
        <v>0</v>
      </c>
      <c r="BS272" s="49">
        <f t="shared" ca="1" si="68"/>
        <v>0</v>
      </c>
    </row>
    <row r="273" spans="3:71" outlineLevel="1" x14ac:dyDescent="0.2">
      <c r="E273" t="str">
        <f>HM_ZA_Nkossa!E266</f>
        <v xml:space="preserve">Sous/(Sur)récupération </v>
      </c>
      <c r="J273" s="26"/>
      <c r="L273" s="49">
        <f ca="1">L271+L272</f>
        <v>4.1470000000000002</v>
      </c>
      <c r="M273" s="49">
        <f t="shared" ref="M273:BS273" ca="1" si="69">M271+M272</f>
        <v>8.8659999999999997</v>
      </c>
      <c r="N273" s="49">
        <f t="shared" ca="1" si="69"/>
        <v>15.376999999999999</v>
      </c>
      <c r="O273" s="49">
        <f t="shared" ca="1" si="69"/>
        <v>22.474</v>
      </c>
      <c r="P273" s="49">
        <f t="shared" ca="1" si="69"/>
        <v>29.992000000000001</v>
      </c>
      <c r="Q273" s="49">
        <f t="shared" ca="1" si="69"/>
        <v>37.902999999999999</v>
      </c>
      <c r="R273" s="49">
        <f t="shared" ca="1" si="69"/>
        <v>37.902999999999999</v>
      </c>
      <c r="S273" s="49">
        <f t="shared" ca="1" si="69"/>
        <v>37.902999999999999</v>
      </c>
      <c r="T273" s="49">
        <f t="shared" ca="1" si="69"/>
        <v>37.902999999999999</v>
      </c>
      <c r="U273" s="49">
        <f t="shared" ca="1" si="69"/>
        <v>37.902999999999999</v>
      </c>
      <c r="V273" s="49">
        <f t="shared" ca="1" si="69"/>
        <v>30.226505172495322</v>
      </c>
      <c r="W273" s="49">
        <f t="shared" ca="1" si="69"/>
        <v>23.864447913225256</v>
      </c>
      <c r="X273" s="49">
        <f t="shared" ca="1" si="69"/>
        <v>18.763504957550609</v>
      </c>
      <c r="Y273" s="49">
        <f t="shared" ca="1" si="69"/>
        <v>18.763504957550609</v>
      </c>
      <c r="Z273" s="49">
        <f t="shared" ca="1" si="69"/>
        <v>18.763504957550609</v>
      </c>
      <c r="AA273" s="49">
        <f t="shared" ca="1" si="69"/>
        <v>18.763504957550609</v>
      </c>
      <c r="AB273" s="49">
        <f t="shared" ca="1" si="69"/>
        <v>18.763504957550609</v>
      </c>
      <c r="AC273" s="49">
        <f t="shared" ca="1" si="69"/>
        <v>18.763504957550609</v>
      </c>
      <c r="AD273" s="49">
        <f t="shared" ca="1" si="69"/>
        <v>18.763504957550609</v>
      </c>
      <c r="AE273" s="49">
        <f t="shared" ca="1" si="69"/>
        <v>18.763504957550609</v>
      </c>
      <c r="AF273" s="49">
        <f t="shared" ca="1" si="69"/>
        <v>18.763504957550609</v>
      </c>
      <c r="AG273" s="49">
        <f t="shared" ca="1" si="69"/>
        <v>18.763504957550609</v>
      </c>
      <c r="AH273" s="49">
        <f t="shared" ca="1" si="69"/>
        <v>18.763504957550609</v>
      </c>
      <c r="AI273" s="49">
        <f t="shared" ca="1" si="69"/>
        <v>18.763504957550609</v>
      </c>
      <c r="AJ273" s="49">
        <f t="shared" ca="1" si="69"/>
        <v>18.763504957550609</v>
      </c>
      <c r="AK273" s="49">
        <f t="shared" ca="1" si="69"/>
        <v>18.763504957550609</v>
      </c>
      <c r="AL273" s="49">
        <f t="shared" ca="1" si="69"/>
        <v>18.763504957550609</v>
      </c>
      <c r="AM273" s="49">
        <f t="shared" ca="1" si="69"/>
        <v>18.763504957550609</v>
      </c>
      <c r="AN273" s="49">
        <f t="shared" ca="1" si="69"/>
        <v>18.763504957550609</v>
      </c>
      <c r="AO273" s="49">
        <f t="shared" ca="1" si="69"/>
        <v>18.763504957550609</v>
      </c>
      <c r="AP273" s="49">
        <f t="shared" ca="1" si="69"/>
        <v>18.763504957550609</v>
      </c>
      <c r="AQ273" s="49">
        <f t="shared" ca="1" si="69"/>
        <v>18.763504957550609</v>
      </c>
      <c r="AR273" s="49">
        <f t="shared" ca="1" si="69"/>
        <v>18.763504957550609</v>
      </c>
      <c r="AS273" s="49">
        <f t="shared" ca="1" si="69"/>
        <v>18.763504957550609</v>
      </c>
      <c r="AT273" s="49">
        <f t="shared" ca="1" si="69"/>
        <v>18.763504957550609</v>
      </c>
      <c r="AU273" s="49">
        <f t="shared" ca="1" si="69"/>
        <v>18.763504957550609</v>
      </c>
      <c r="AV273" s="49">
        <f t="shared" ca="1" si="69"/>
        <v>18.763504957550609</v>
      </c>
      <c r="AW273" s="49">
        <f t="shared" ca="1" si="69"/>
        <v>18.763504957550609</v>
      </c>
      <c r="AX273" s="49">
        <f t="shared" ca="1" si="69"/>
        <v>18.763504957550609</v>
      </c>
      <c r="AY273" s="49">
        <f t="shared" ca="1" si="69"/>
        <v>18.763504957550609</v>
      </c>
      <c r="AZ273" s="49">
        <f t="shared" ca="1" si="69"/>
        <v>18.763504957550609</v>
      </c>
      <c r="BA273" s="49">
        <f t="shared" ca="1" si="69"/>
        <v>18.763504957550609</v>
      </c>
      <c r="BB273" s="49">
        <f t="shared" ca="1" si="69"/>
        <v>18.763504957550609</v>
      </c>
      <c r="BC273" s="49">
        <f t="shared" ca="1" si="69"/>
        <v>18.763504957550609</v>
      </c>
      <c r="BD273" s="49">
        <f t="shared" ca="1" si="69"/>
        <v>18.763504957550609</v>
      </c>
      <c r="BE273" s="49">
        <f t="shared" ca="1" si="69"/>
        <v>18.763504957550609</v>
      </c>
      <c r="BF273" s="49">
        <f t="shared" ca="1" si="69"/>
        <v>18.763504957550609</v>
      </c>
      <c r="BG273" s="49">
        <f t="shared" ca="1" si="69"/>
        <v>18.763504957550609</v>
      </c>
      <c r="BH273" s="49">
        <f t="shared" ca="1" si="69"/>
        <v>18.763504957550609</v>
      </c>
      <c r="BI273" s="49">
        <f t="shared" ca="1" si="69"/>
        <v>18.763504957550609</v>
      </c>
      <c r="BJ273" s="49">
        <f t="shared" ca="1" si="69"/>
        <v>18.763504957550609</v>
      </c>
      <c r="BK273" s="49">
        <f t="shared" ca="1" si="69"/>
        <v>18.763504957550609</v>
      </c>
      <c r="BL273" s="49">
        <f t="shared" ca="1" si="69"/>
        <v>18.763504957550609</v>
      </c>
      <c r="BM273" s="49">
        <f t="shared" ca="1" si="69"/>
        <v>18.763504957550609</v>
      </c>
      <c r="BN273" s="49">
        <f t="shared" ca="1" si="69"/>
        <v>18.763504957550609</v>
      </c>
      <c r="BO273" s="49">
        <f t="shared" ca="1" si="69"/>
        <v>18.763504957550609</v>
      </c>
      <c r="BP273" s="49">
        <f t="shared" ca="1" si="69"/>
        <v>18.763504957550609</v>
      </c>
      <c r="BQ273" s="49">
        <f t="shared" ca="1" si="69"/>
        <v>18.763504957550609</v>
      </c>
      <c r="BR273" s="49">
        <f t="shared" ca="1" si="69"/>
        <v>18.763504957550609</v>
      </c>
      <c r="BS273" s="49">
        <f t="shared" ca="1" si="69"/>
        <v>18.763504957550609</v>
      </c>
    </row>
    <row r="274" spans="3:71" outlineLevel="1" x14ac:dyDescent="0.2">
      <c r="J274" s="26"/>
      <c r="L274" s="55"/>
      <c r="M274" s="55"/>
      <c r="N274" s="55"/>
      <c r="O274" s="55"/>
      <c r="P274" s="55"/>
      <c r="Q274" s="55"/>
      <c r="R274" s="55"/>
      <c r="S274" s="55"/>
      <c r="T274" s="55"/>
      <c r="U274" s="55"/>
      <c r="V274" s="55"/>
      <c r="W274" s="55"/>
      <c r="X274" s="55"/>
      <c r="Y274" s="55"/>
      <c r="Z274" s="55"/>
      <c r="AA274" s="55"/>
      <c r="AB274" s="55"/>
      <c r="AC274" s="55"/>
      <c r="AD274" s="55"/>
      <c r="AE274" s="55"/>
      <c r="AF274" s="55"/>
      <c r="AG274" s="55"/>
      <c r="AH274" s="55"/>
      <c r="AI274" s="55"/>
      <c r="AJ274" s="55"/>
      <c r="AK274" s="55"/>
      <c r="AL274" s="55"/>
      <c r="AM274" s="55"/>
      <c r="AN274" s="55"/>
      <c r="AO274" s="55"/>
      <c r="AP274" s="55"/>
      <c r="AQ274" s="55"/>
      <c r="AR274" s="55"/>
      <c r="AS274" s="55"/>
      <c r="AT274" s="55"/>
      <c r="AU274" s="55"/>
      <c r="AV274" s="55"/>
      <c r="AW274" s="55"/>
      <c r="AX274" s="55"/>
      <c r="AY274" s="55"/>
      <c r="AZ274" s="55"/>
      <c r="BA274" s="55"/>
      <c r="BB274" s="55"/>
      <c r="BC274" s="55"/>
      <c r="BD274" s="55"/>
      <c r="BE274" s="55"/>
      <c r="BF274" s="55"/>
      <c r="BG274" s="55"/>
      <c r="BH274" s="55"/>
      <c r="BI274" s="55"/>
      <c r="BJ274" s="55"/>
      <c r="BK274" s="55"/>
      <c r="BL274" s="55"/>
      <c r="BM274" s="55"/>
      <c r="BN274" s="55"/>
      <c r="BO274" s="55"/>
      <c r="BP274" s="55"/>
      <c r="BQ274" s="55"/>
      <c r="BR274" s="55"/>
      <c r="BS274" s="55"/>
    </row>
    <row r="275" spans="3:71" outlineLevel="1" x14ac:dyDescent="0.2">
      <c r="J275" s="26"/>
      <c r="L275" s="55"/>
      <c r="M275" s="55"/>
      <c r="N275" s="55"/>
      <c r="O275" s="55"/>
      <c r="P275" s="55"/>
      <c r="Q275" s="55"/>
      <c r="R275" s="55"/>
      <c r="S275" s="55"/>
      <c r="T275" s="55"/>
      <c r="U275" s="55"/>
      <c r="V275" s="55"/>
      <c r="W275" s="55"/>
      <c r="X275" s="55"/>
      <c r="Y275" s="55"/>
      <c r="Z275" s="55"/>
      <c r="AA275" s="55"/>
      <c r="AB275" s="55"/>
      <c r="AC275" s="55"/>
      <c r="AD275" s="55"/>
      <c r="AE275" s="55"/>
      <c r="AF275" s="55"/>
      <c r="AG275" s="55"/>
      <c r="AH275" s="55"/>
      <c r="AI275" s="55"/>
      <c r="AJ275" s="55"/>
      <c r="AK275" s="55"/>
      <c r="AL275" s="55"/>
      <c r="AM275" s="55"/>
      <c r="AN275" s="55"/>
      <c r="AO275" s="55"/>
      <c r="AP275" s="55"/>
      <c r="AQ275" s="55"/>
      <c r="AR275" s="55"/>
      <c r="AS275" s="55"/>
      <c r="AT275" s="55"/>
      <c r="AU275" s="55"/>
      <c r="AV275" s="55"/>
      <c r="AW275" s="55"/>
      <c r="AX275" s="55"/>
      <c r="AY275" s="55"/>
      <c r="AZ275" s="55"/>
      <c r="BA275" s="55"/>
      <c r="BB275" s="55"/>
      <c r="BC275" s="55"/>
      <c r="BD275" s="55"/>
      <c r="BE275" s="55"/>
      <c r="BF275" s="55"/>
      <c r="BG275" s="55"/>
      <c r="BH275" s="55"/>
      <c r="BI275" s="55"/>
      <c r="BJ275" s="55"/>
      <c r="BK275" s="55"/>
      <c r="BL275" s="55"/>
      <c r="BM275" s="55"/>
      <c r="BN275" s="55"/>
      <c r="BO275" s="55"/>
      <c r="BP275" s="55"/>
      <c r="BQ275" s="55"/>
      <c r="BR275" s="55"/>
      <c r="BS275" s="55"/>
    </row>
    <row r="276" spans="3:71" outlineLevel="1" x14ac:dyDescent="0.2">
      <c r="D276" s="11" t="str">
        <f>HM_ZA_Nkossa!D269</f>
        <v>Coût total récupéré</v>
      </c>
      <c r="H276" s="56" t="b">
        <f ca="1">ROUND(I276,2)=ROUND(I238,2)</f>
        <v>0</v>
      </c>
      <c r="I276" s="30">
        <f t="shared" ca="1" si="65"/>
        <v>209.86679826310686</v>
      </c>
      <c r="J276" s="26" t="s">
        <v>148</v>
      </c>
      <c r="K276" s="7" t="s">
        <v>208</v>
      </c>
      <c r="L276" s="49">
        <f ca="1">-SUM(L266,L260,L254,L248,L272)</f>
        <v>13.98886535025</v>
      </c>
      <c r="M276" s="49">
        <f t="shared" ref="M276:BS276" ca="1" si="70">-SUM(M266,M260,M254,M248,M272)</f>
        <v>15.7581671628</v>
      </c>
      <c r="N276" s="49">
        <f t="shared" ca="1" si="70"/>
        <v>18.291745306199999</v>
      </c>
      <c r="O276" s="49">
        <f t="shared" ca="1" si="70"/>
        <v>14.759294623199999</v>
      </c>
      <c r="P276" s="49">
        <f t="shared" ca="1" si="70"/>
        <v>16.7932828038</v>
      </c>
      <c r="Q276" s="49">
        <f t="shared" ca="1" si="70"/>
        <v>13.427929127999999</v>
      </c>
      <c r="R276" s="49">
        <f t="shared" ca="1" si="70"/>
        <v>6.7660534655999998</v>
      </c>
      <c r="S276" s="49">
        <f t="shared" ca="1" si="70"/>
        <v>18.563786326481896</v>
      </c>
      <c r="T276" s="49">
        <f t="shared" ca="1" si="70"/>
        <v>21.051568656899995</v>
      </c>
      <c r="U276" s="49">
        <f t="shared" ca="1" si="70"/>
        <v>19.577958850916996</v>
      </c>
      <c r="V276" s="49">
        <f t="shared" ca="1" si="70"/>
        <v>18.207501731352803</v>
      </c>
      <c r="W276" s="49">
        <f t="shared" ca="1" si="70"/>
        <v>16.932976610158107</v>
      </c>
      <c r="X276" s="49">
        <f t="shared" ca="1" si="70"/>
        <v>15.747668247447042</v>
      </c>
      <c r="Y276" s="49">
        <f t="shared" ca="1" si="70"/>
        <v>0</v>
      </c>
      <c r="Z276" s="49">
        <f t="shared" ca="1" si="70"/>
        <v>0</v>
      </c>
      <c r="AA276" s="49">
        <f t="shared" ca="1" si="70"/>
        <v>0</v>
      </c>
      <c r="AB276" s="49">
        <f t="shared" ca="1" si="70"/>
        <v>0</v>
      </c>
      <c r="AC276" s="49">
        <f t="shared" ca="1" si="70"/>
        <v>0</v>
      </c>
      <c r="AD276" s="49">
        <f t="shared" ca="1" si="70"/>
        <v>0</v>
      </c>
      <c r="AE276" s="49">
        <f t="shared" ca="1" si="70"/>
        <v>0</v>
      </c>
      <c r="AF276" s="49">
        <f t="shared" ca="1" si="70"/>
        <v>0</v>
      </c>
      <c r="AG276" s="49">
        <f t="shared" ca="1" si="70"/>
        <v>0</v>
      </c>
      <c r="AH276" s="49">
        <f t="shared" ca="1" si="70"/>
        <v>0</v>
      </c>
      <c r="AI276" s="49">
        <f t="shared" ca="1" si="70"/>
        <v>0</v>
      </c>
      <c r="AJ276" s="49">
        <f t="shared" ca="1" si="70"/>
        <v>0</v>
      </c>
      <c r="AK276" s="49">
        <f t="shared" ca="1" si="70"/>
        <v>0</v>
      </c>
      <c r="AL276" s="49">
        <f t="shared" ca="1" si="70"/>
        <v>0</v>
      </c>
      <c r="AM276" s="49">
        <f t="shared" ca="1" si="70"/>
        <v>0</v>
      </c>
      <c r="AN276" s="49">
        <f t="shared" ca="1" si="70"/>
        <v>0</v>
      </c>
      <c r="AO276" s="49">
        <f t="shared" ca="1" si="70"/>
        <v>0</v>
      </c>
      <c r="AP276" s="49">
        <f t="shared" ca="1" si="70"/>
        <v>0</v>
      </c>
      <c r="AQ276" s="49">
        <f t="shared" ca="1" si="70"/>
        <v>0</v>
      </c>
      <c r="AR276" s="49">
        <f t="shared" ca="1" si="70"/>
        <v>0</v>
      </c>
      <c r="AS276" s="49">
        <f t="shared" ca="1" si="70"/>
        <v>0</v>
      </c>
      <c r="AT276" s="49">
        <f t="shared" ca="1" si="70"/>
        <v>0</v>
      </c>
      <c r="AU276" s="49">
        <f t="shared" ca="1" si="70"/>
        <v>0</v>
      </c>
      <c r="AV276" s="49">
        <f t="shared" ca="1" si="70"/>
        <v>0</v>
      </c>
      <c r="AW276" s="49">
        <f t="shared" ca="1" si="70"/>
        <v>0</v>
      </c>
      <c r="AX276" s="49">
        <f t="shared" ca="1" si="70"/>
        <v>0</v>
      </c>
      <c r="AY276" s="49">
        <f t="shared" ca="1" si="70"/>
        <v>0</v>
      </c>
      <c r="AZ276" s="49">
        <f t="shared" ca="1" si="70"/>
        <v>0</v>
      </c>
      <c r="BA276" s="49">
        <f t="shared" ca="1" si="70"/>
        <v>0</v>
      </c>
      <c r="BB276" s="49">
        <f t="shared" ca="1" si="70"/>
        <v>0</v>
      </c>
      <c r="BC276" s="49">
        <f t="shared" ca="1" si="70"/>
        <v>0</v>
      </c>
      <c r="BD276" s="49">
        <f t="shared" ca="1" si="70"/>
        <v>0</v>
      </c>
      <c r="BE276" s="49">
        <f t="shared" ca="1" si="70"/>
        <v>0</v>
      </c>
      <c r="BF276" s="49">
        <f t="shared" ca="1" si="70"/>
        <v>0</v>
      </c>
      <c r="BG276" s="49">
        <f t="shared" ca="1" si="70"/>
        <v>0</v>
      </c>
      <c r="BH276" s="49">
        <f t="shared" ca="1" si="70"/>
        <v>0</v>
      </c>
      <c r="BI276" s="49">
        <f t="shared" ca="1" si="70"/>
        <v>0</v>
      </c>
      <c r="BJ276" s="49">
        <f t="shared" ca="1" si="70"/>
        <v>0</v>
      </c>
      <c r="BK276" s="49">
        <f t="shared" ca="1" si="70"/>
        <v>0</v>
      </c>
      <c r="BL276" s="49">
        <f t="shared" ca="1" si="70"/>
        <v>0</v>
      </c>
      <c r="BM276" s="49">
        <f t="shared" ca="1" si="70"/>
        <v>0</v>
      </c>
      <c r="BN276" s="49">
        <f t="shared" ca="1" si="70"/>
        <v>0</v>
      </c>
      <c r="BO276" s="49">
        <f t="shared" ca="1" si="70"/>
        <v>0</v>
      </c>
      <c r="BP276" s="49">
        <f t="shared" ca="1" si="70"/>
        <v>0</v>
      </c>
      <c r="BQ276" s="49">
        <f t="shared" ca="1" si="70"/>
        <v>0</v>
      </c>
      <c r="BR276" s="49">
        <f t="shared" ca="1" si="70"/>
        <v>0</v>
      </c>
      <c r="BS276" s="49">
        <f t="shared" ca="1" si="70"/>
        <v>0</v>
      </c>
    </row>
    <row r="277" spans="3:71" outlineLevel="1" x14ac:dyDescent="0.2">
      <c r="J277" s="26"/>
      <c r="L277" s="55"/>
      <c r="M277" s="55"/>
      <c r="N277" s="55"/>
      <c r="O277" s="55"/>
      <c r="P277" s="55"/>
      <c r="Q277" s="55"/>
      <c r="R277" s="55"/>
      <c r="S277" s="55"/>
      <c r="T277" s="55"/>
      <c r="U277" s="55"/>
      <c r="V277" s="55"/>
      <c r="W277" s="55"/>
      <c r="X277" s="55"/>
      <c r="Y277" s="55"/>
      <c r="Z277" s="55"/>
      <c r="AA277" s="55"/>
      <c r="AB277" s="55"/>
      <c r="AC277" s="55"/>
      <c r="AD277" s="55"/>
      <c r="AE277" s="55"/>
      <c r="AF277" s="55"/>
      <c r="AG277" s="55"/>
      <c r="AH277" s="55"/>
      <c r="AI277" s="55"/>
      <c r="AJ277" s="55"/>
      <c r="AK277" s="55"/>
      <c r="AL277" s="55"/>
      <c r="AM277" s="55"/>
      <c r="AN277" s="55"/>
      <c r="AO277" s="55"/>
      <c r="AP277" s="55"/>
      <c r="AQ277" s="55"/>
      <c r="AR277" s="55"/>
      <c r="AS277" s="55"/>
      <c r="AT277" s="55"/>
      <c r="AU277" s="55"/>
      <c r="AV277" s="55"/>
      <c r="AW277" s="55"/>
      <c r="AX277" s="55"/>
      <c r="AY277" s="55"/>
      <c r="AZ277" s="55"/>
      <c r="BA277" s="55"/>
      <c r="BB277" s="55"/>
      <c r="BC277" s="55"/>
      <c r="BD277" s="55"/>
      <c r="BE277" s="55"/>
      <c r="BF277" s="55"/>
      <c r="BG277" s="55"/>
      <c r="BH277" s="55"/>
      <c r="BI277" s="55"/>
      <c r="BJ277" s="55"/>
      <c r="BK277" s="55"/>
      <c r="BL277" s="55"/>
      <c r="BM277" s="55"/>
      <c r="BN277" s="55"/>
      <c r="BO277" s="55"/>
      <c r="BP277" s="55"/>
      <c r="BQ277" s="55"/>
      <c r="BR277" s="55"/>
      <c r="BS277" s="55"/>
    </row>
    <row r="278" spans="3:71" outlineLevel="1" x14ac:dyDescent="0.2">
      <c r="C278" s="11" t="str">
        <f>HM_ZA_Nkossa!C271</f>
        <v>Excess Cost Oil (ECO)</v>
      </c>
      <c r="J278" s="26"/>
      <c r="L278" s="55"/>
      <c r="M278" s="55"/>
      <c r="N278" s="55"/>
      <c r="O278" s="55"/>
      <c r="P278" s="55"/>
      <c r="Q278" s="55"/>
      <c r="R278" s="55"/>
      <c r="S278" s="55"/>
      <c r="T278" s="55"/>
      <c r="U278" s="55"/>
      <c r="V278" s="55"/>
      <c r="W278" s="5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55"/>
      <c r="BR278" s="55"/>
      <c r="BS278" s="55"/>
    </row>
    <row r="279" spans="3:71" outlineLevel="1" x14ac:dyDescent="0.2">
      <c r="D279" t="str">
        <f>HM_ZA_Nkossa!D272</f>
        <v>Revenus disponibles pour le partage de l'Excess Cost oil</v>
      </c>
      <c r="I279" s="30">
        <f t="shared" ref="I279:I286" ca="1" si="71">SUM($L279:$BS279)</f>
        <v>0</v>
      </c>
      <c r="J279" s="26" t="s">
        <v>148</v>
      </c>
      <c r="K279" s="7" t="s">
        <v>210</v>
      </c>
      <c r="L279" s="49">
        <f ca="1">IF(HM_ZB_Nsoko!CA_cost_stop-HM_ZB_Nsoko!CA_cost_recovered_total&lt;0,0,HM_ZB_Nsoko!CA_cost_stop-HM_ZB_Nsoko!CA_cost_recovered_total)</f>
        <v>0</v>
      </c>
      <c r="M279" s="49">
        <f ca="1">IF(HM_ZB_Nsoko!CA_cost_stop-HM_ZB_Nsoko!CA_cost_recovered_total&lt;0,0,HM_ZB_Nsoko!CA_cost_stop-HM_ZB_Nsoko!CA_cost_recovered_total)</f>
        <v>0</v>
      </c>
      <c r="N279" s="49">
        <f ca="1">IF(HM_ZB_Nsoko!CA_cost_stop-HM_ZB_Nsoko!CA_cost_recovered_total&lt;0,0,HM_ZB_Nsoko!CA_cost_stop-HM_ZB_Nsoko!CA_cost_recovered_total)</f>
        <v>0</v>
      </c>
      <c r="O279" s="49">
        <f ca="1">IF(HM_ZB_Nsoko!CA_cost_stop-HM_ZB_Nsoko!CA_cost_recovered_total&lt;0,0,HM_ZB_Nsoko!CA_cost_stop-HM_ZB_Nsoko!CA_cost_recovered_total)</f>
        <v>0</v>
      </c>
      <c r="P279" s="49">
        <f ca="1">IF(HM_ZB_Nsoko!CA_cost_stop-HM_ZB_Nsoko!CA_cost_recovered_total&lt;0,0,HM_ZB_Nsoko!CA_cost_stop-HM_ZB_Nsoko!CA_cost_recovered_total)</f>
        <v>0</v>
      </c>
      <c r="Q279" s="49">
        <f ca="1">IF(HM_ZB_Nsoko!CA_cost_stop-HM_ZB_Nsoko!CA_cost_recovered_total&lt;0,0,HM_ZB_Nsoko!CA_cost_stop-HM_ZB_Nsoko!CA_cost_recovered_total)</f>
        <v>0</v>
      </c>
      <c r="R279" s="49">
        <f ca="1">IF(HM_ZB_Nsoko!CA_cost_stop-HM_ZB_Nsoko!CA_cost_recovered_total&lt;0,0,HM_ZB_Nsoko!CA_cost_stop-HM_ZB_Nsoko!CA_cost_recovered_total)</f>
        <v>0</v>
      </c>
      <c r="S279" s="49">
        <f ca="1">IF(HM_ZB_Nsoko!CA_cost_stop-HM_ZB_Nsoko!CA_cost_recovered_total&lt;0,0,HM_ZB_Nsoko!CA_cost_stop-HM_ZB_Nsoko!CA_cost_recovered_total)</f>
        <v>0</v>
      </c>
      <c r="T279" s="49">
        <f ca="1">IF(HM_ZB_Nsoko!CA_cost_stop-HM_ZB_Nsoko!CA_cost_recovered_total&lt;0,0,HM_ZB_Nsoko!CA_cost_stop-HM_ZB_Nsoko!CA_cost_recovered_total)</f>
        <v>0</v>
      </c>
      <c r="U279" s="49">
        <f ca="1">IF(HM_ZB_Nsoko!CA_cost_stop-HM_ZB_Nsoko!CA_cost_recovered_total&lt;0,0,HM_ZB_Nsoko!CA_cost_stop-HM_ZB_Nsoko!CA_cost_recovered_total)</f>
        <v>0</v>
      </c>
      <c r="V279" s="49">
        <f ca="1">IF(HM_ZB_Nsoko!CA_cost_stop-HM_ZB_Nsoko!CA_cost_recovered_total&lt;0,0,HM_ZB_Nsoko!CA_cost_stop-HM_ZB_Nsoko!CA_cost_recovered_total)</f>
        <v>0</v>
      </c>
      <c r="W279" s="49">
        <f ca="1">IF(HM_ZB_Nsoko!CA_cost_stop-HM_ZB_Nsoko!CA_cost_recovered_total&lt;0,0,HM_ZB_Nsoko!CA_cost_stop-HM_ZB_Nsoko!CA_cost_recovered_total)</f>
        <v>0</v>
      </c>
      <c r="X279" s="49">
        <f ca="1">IF(HM_ZB_Nsoko!CA_cost_stop-HM_ZB_Nsoko!CA_cost_recovered_total&lt;0,0,HM_ZB_Nsoko!CA_cost_stop-HM_ZB_Nsoko!CA_cost_recovered_total)</f>
        <v>0</v>
      </c>
      <c r="Y279" s="49">
        <f ca="1">IF(HM_ZB_Nsoko!CA_cost_stop-HM_ZB_Nsoko!CA_cost_recovered_total&lt;0,0,HM_ZB_Nsoko!CA_cost_stop-HM_ZB_Nsoko!CA_cost_recovered_total)</f>
        <v>0</v>
      </c>
      <c r="Z279" s="49">
        <f ca="1">IF(HM_ZB_Nsoko!CA_cost_stop-HM_ZB_Nsoko!CA_cost_recovered_total&lt;0,0,HM_ZB_Nsoko!CA_cost_stop-HM_ZB_Nsoko!CA_cost_recovered_total)</f>
        <v>0</v>
      </c>
      <c r="AA279" s="49">
        <f ca="1">IF(HM_ZB_Nsoko!CA_cost_stop-HM_ZB_Nsoko!CA_cost_recovered_total&lt;0,0,HM_ZB_Nsoko!CA_cost_stop-HM_ZB_Nsoko!CA_cost_recovered_total)</f>
        <v>0</v>
      </c>
      <c r="AB279" s="49">
        <f ca="1">IF(HM_ZB_Nsoko!CA_cost_stop-HM_ZB_Nsoko!CA_cost_recovered_total&lt;0,0,HM_ZB_Nsoko!CA_cost_stop-HM_ZB_Nsoko!CA_cost_recovered_total)</f>
        <v>0</v>
      </c>
      <c r="AC279" s="49">
        <f ca="1">IF(HM_ZB_Nsoko!CA_cost_stop-HM_ZB_Nsoko!CA_cost_recovered_total&lt;0,0,HM_ZB_Nsoko!CA_cost_stop-HM_ZB_Nsoko!CA_cost_recovered_total)</f>
        <v>0</v>
      </c>
      <c r="AD279" s="49">
        <f ca="1">IF(HM_ZB_Nsoko!CA_cost_stop-HM_ZB_Nsoko!CA_cost_recovered_total&lt;0,0,HM_ZB_Nsoko!CA_cost_stop-HM_ZB_Nsoko!CA_cost_recovered_total)</f>
        <v>0</v>
      </c>
      <c r="AE279" s="49">
        <f ca="1">IF(HM_ZB_Nsoko!CA_cost_stop-HM_ZB_Nsoko!CA_cost_recovered_total&lt;0,0,HM_ZB_Nsoko!CA_cost_stop-HM_ZB_Nsoko!CA_cost_recovered_total)</f>
        <v>0</v>
      </c>
      <c r="AF279" s="49">
        <f ca="1">IF(HM_ZB_Nsoko!CA_cost_stop-HM_ZB_Nsoko!CA_cost_recovered_total&lt;0,0,HM_ZB_Nsoko!CA_cost_stop-HM_ZB_Nsoko!CA_cost_recovered_total)</f>
        <v>0</v>
      </c>
      <c r="AG279" s="49">
        <f ca="1">IF(HM_ZB_Nsoko!CA_cost_stop-HM_ZB_Nsoko!CA_cost_recovered_total&lt;0,0,HM_ZB_Nsoko!CA_cost_stop-HM_ZB_Nsoko!CA_cost_recovered_total)</f>
        <v>0</v>
      </c>
      <c r="AH279" s="49">
        <f ca="1">IF(HM_ZB_Nsoko!CA_cost_stop-HM_ZB_Nsoko!CA_cost_recovered_total&lt;0,0,HM_ZB_Nsoko!CA_cost_stop-HM_ZB_Nsoko!CA_cost_recovered_total)</f>
        <v>0</v>
      </c>
      <c r="AI279" s="49">
        <f ca="1">IF(HM_ZB_Nsoko!CA_cost_stop-HM_ZB_Nsoko!CA_cost_recovered_total&lt;0,0,HM_ZB_Nsoko!CA_cost_stop-HM_ZB_Nsoko!CA_cost_recovered_total)</f>
        <v>0</v>
      </c>
      <c r="AJ279" s="49">
        <f ca="1">IF(HM_ZB_Nsoko!CA_cost_stop-HM_ZB_Nsoko!CA_cost_recovered_total&lt;0,0,HM_ZB_Nsoko!CA_cost_stop-HM_ZB_Nsoko!CA_cost_recovered_total)</f>
        <v>0</v>
      </c>
      <c r="AK279" s="49">
        <f ca="1">IF(HM_ZB_Nsoko!CA_cost_stop-HM_ZB_Nsoko!CA_cost_recovered_total&lt;0,0,HM_ZB_Nsoko!CA_cost_stop-HM_ZB_Nsoko!CA_cost_recovered_total)</f>
        <v>0</v>
      </c>
      <c r="AL279" s="49">
        <f ca="1">IF(HM_ZB_Nsoko!CA_cost_stop-HM_ZB_Nsoko!CA_cost_recovered_total&lt;0,0,HM_ZB_Nsoko!CA_cost_stop-HM_ZB_Nsoko!CA_cost_recovered_total)</f>
        <v>0</v>
      </c>
      <c r="AM279" s="49">
        <f ca="1">IF(HM_ZB_Nsoko!CA_cost_stop-HM_ZB_Nsoko!CA_cost_recovered_total&lt;0,0,HM_ZB_Nsoko!CA_cost_stop-HM_ZB_Nsoko!CA_cost_recovered_total)</f>
        <v>0</v>
      </c>
      <c r="AN279" s="49">
        <f ca="1">IF(HM_ZB_Nsoko!CA_cost_stop-HM_ZB_Nsoko!CA_cost_recovered_total&lt;0,0,HM_ZB_Nsoko!CA_cost_stop-HM_ZB_Nsoko!CA_cost_recovered_total)</f>
        <v>0</v>
      </c>
      <c r="AO279" s="49">
        <f ca="1">IF(HM_ZB_Nsoko!CA_cost_stop-HM_ZB_Nsoko!CA_cost_recovered_total&lt;0,0,HM_ZB_Nsoko!CA_cost_stop-HM_ZB_Nsoko!CA_cost_recovered_total)</f>
        <v>0</v>
      </c>
      <c r="AP279" s="49">
        <f ca="1">IF(HM_ZB_Nsoko!CA_cost_stop-HM_ZB_Nsoko!CA_cost_recovered_total&lt;0,0,HM_ZB_Nsoko!CA_cost_stop-HM_ZB_Nsoko!CA_cost_recovered_total)</f>
        <v>0</v>
      </c>
      <c r="AQ279" s="49">
        <f ca="1">IF(HM_ZB_Nsoko!CA_cost_stop-HM_ZB_Nsoko!CA_cost_recovered_total&lt;0,0,HM_ZB_Nsoko!CA_cost_stop-HM_ZB_Nsoko!CA_cost_recovered_total)</f>
        <v>0</v>
      </c>
      <c r="AR279" s="49">
        <f ca="1">IF(HM_ZB_Nsoko!CA_cost_stop-HM_ZB_Nsoko!CA_cost_recovered_total&lt;0,0,HM_ZB_Nsoko!CA_cost_stop-HM_ZB_Nsoko!CA_cost_recovered_total)</f>
        <v>0</v>
      </c>
      <c r="AS279" s="49">
        <f ca="1">IF(HM_ZB_Nsoko!CA_cost_stop-HM_ZB_Nsoko!CA_cost_recovered_total&lt;0,0,HM_ZB_Nsoko!CA_cost_stop-HM_ZB_Nsoko!CA_cost_recovered_total)</f>
        <v>0</v>
      </c>
      <c r="AT279" s="49">
        <f ca="1">IF(HM_ZB_Nsoko!CA_cost_stop-HM_ZB_Nsoko!CA_cost_recovered_total&lt;0,0,HM_ZB_Nsoko!CA_cost_stop-HM_ZB_Nsoko!CA_cost_recovered_total)</f>
        <v>0</v>
      </c>
      <c r="AU279" s="49">
        <f ca="1">IF(HM_ZB_Nsoko!CA_cost_stop-HM_ZB_Nsoko!CA_cost_recovered_total&lt;0,0,HM_ZB_Nsoko!CA_cost_stop-HM_ZB_Nsoko!CA_cost_recovered_total)</f>
        <v>0</v>
      </c>
      <c r="AV279" s="49">
        <f ca="1">IF(HM_ZB_Nsoko!CA_cost_stop-HM_ZB_Nsoko!CA_cost_recovered_total&lt;0,0,HM_ZB_Nsoko!CA_cost_stop-HM_ZB_Nsoko!CA_cost_recovered_total)</f>
        <v>0</v>
      </c>
      <c r="AW279" s="49">
        <f ca="1">IF(HM_ZB_Nsoko!CA_cost_stop-HM_ZB_Nsoko!CA_cost_recovered_total&lt;0,0,HM_ZB_Nsoko!CA_cost_stop-HM_ZB_Nsoko!CA_cost_recovered_total)</f>
        <v>0</v>
      </c>
      <c r="AX279" s="49">
        <f ca="1">IF(HM_ZB_Nsoko!CA_cost_stop-HM_ZB_Nsoko!CA_cost_recovered_total&lt;0,0,HM_ZB_Nsoko!CA_cost_stop-HM_ZB_Nsoko!CA_cost_recovered_total)</f>
        <v>0</v>
      </c>
      <c r="AY279" s="49">
        <f ca="1">IF(HM_ZB_Nsoko!CA_cost_stop-HM_ZB_Nsoko!CA_cost_recovered_total&lt;0,0,HM_ZB_Nsoko!CA_cost_stop-HM_ZB_Nsoko!CA_cost_recovered_total)</f>
        <v>0</v>
      </c>
      <c r="AZ279" s="49">
        <f ca="1">IF(HM_ZB_Nsoko!CA_cost_stop-HM_ZB_Nsoko!CA_cost_recovered_total&lt;0,0,HM_ZB_Nsoko!CA_cost_stop-HM_ZB_Nsoko!CA_cost_recovered_total)</f>
        <v>0</v>
      </c>
      <c r="BA279" s="49">
        <f ca="1">IF(HM_ZB_Nsoko!CA_cost_stop-HM_ZB_Nsoko!CA_cost_recovered_total&lt;0,0,HM_ZB_Nsoko!CA_cost_stop-HM_ZB_Nsoko!CA_cost_recovered_total)</f>
        <v>0</v>
      </c>
      <c r="BB279" s="49">
        <f ca="1">IF(HM_ZB_Nsoko!CA_cost_stop-HM_ZB_Nsoko!CA_cost_recovered_total&lt;0,0,HM_ZB_Nsoko!CA_cost_stop-HM_ZB_Nsoko!CA_cost_recovered_total)</f>
        <v>0</v>
      </c>
      <c r="BC279" s="49">
        <f ca="1">IF(HM_ZB_Nsoko!CA_cost_stop-HM_ZB_Nsoko!CA_cost_recovered_total&lt;0,0,HM_ZB_Nsoko!CA_cost_stop-HM_ZB_Nsoko!CA_cost_recovered_total)</f>
        <v>0</v>
      </c>
      <c r="BD279" s="49">
        <f ca="1">IF(HM_ZB_Nsoko!CA_cost_stop-HM_ZB_Nsoko!CA_cost_recovered_total&lt;0,0,HM_ZB_Nsoko!CA_cost_stop-HM_ZB_Nsoko!CA_cost_recovered_total)</f>
        <v>0</v>
      </c>
      <c r="BE279" s="49">
        <f ca="1">IF(HM_ZB_Nsoko!CA_cost_stop-HM_ZB_Nsoko!CA_cost_recovered_total&lt;0,0,HM_ZB_Nsoko!CA_cost_stop-HM_ZB_Nsoko!CA_cost_recovered_total)</f>
        <v>0</v>
      </c>
      <c r="BF279" s="49">
        <f ca="1">IF(HM_ZB_Nsoko!CA_cost_stop-HM_ZB_Nsoko!CA_cost_recovered_total&lt;0,0,HM_ZB_Nsoko!CA_cost_stop-HM_ZB_Nsoko!CA_cost_recovered_total)</f>
        <v>0</v>
      </c>
      <c r="BG279" s="49">
        <f ca="1">IF(HM_ZB_Nsoko!CA_cost_stop-HM_ZB_Nsoko!CA_cost_recovered_total&lt;0,0,HM_ZB_Nsoko!CA_cost_stop-HM_ZB_Nsoko!CA_cost_recovered_total)</f>
        <v>0</v>
      </c>
      <c r="BH279" s="49">
        <f ca="1">IF(HM_ZB_Nsoko!CA_cost_stop-HM_ZB_Nsoko!CA_cost_recovered_total&lt;0,0,HM_ZB_Nsoko!CA_cost_stop-HM_ZB_Nsoko!CA_cost_recovered_total)</f>
        <v>0</v>
      </c>
      <c r="BI279" s="49">
        <f ca="1">IF(HM_ZB_Nsoko!CA_cost_stop-HM_ZB_Nsoko!CA_cost_recovered_total&lt;0,0,HM_ZB_Nsoko!CA_cost_stop-HM_ZB_Nsoko!CA_cost_recovered_total)</f>
        <v>0</v>
      </c>
      <c r="BJ279" s="49">
        <f ca="1">IF(HM_ZB_Nsoko!CA_cost_stop-HM_ZB_Nsoko!CA_cost_recovered_total&lt;0,0,HM_ZB_Nsoko!CA_cost_stop-HM_ZB_Nsoko!CA_cost_recovered_total)</f>
        <v>0</v>
      </c>
      <c r="BK279" s="49">
        <f ca="1">IF(HM_ZB_Nsoko!CA_cost_stop-HM_ZB_Nsoko!CA_cost_recovered_total&lt;0,0,HM_ZB_Nsoko!CA_cost_stop-HM_ZB_Nsoko!CA_cost_recovered_total)</f>
        <v>0</v>
      </c>
      <c r="BL279" s="49">
        <f ca="1">IF(HM_ZB_Nsoko!CA_cost_stop-HM_ZB_Nsoko!CA_cost_recovered_total&lt;0,0,HM_ZB_Nsoko!CA_cost_stop-HM_ZB_Nsoko!CA_cost_recovered_total)</f>
        <v>0</v>
      </c>
      <c r="BM279" s="49">
        <f ca="1">IF(HM_ZB_Nsoko!CA_cost_stop-HM_ZB_Nsoko!CA_cost_recovered_total&lt;0,0,HM_ZB_Nsoko!CA_cost_stop-HM_ZB_Nsoko!CA_cost_recovered_total)</f>
        <v>0</v>
      </c>
      <c r="BN279" s="49">
        <f ca="1">IF(HM_ZB_Nsoko!CA_cost_stop-HM_ZB_Nsoko!CA_cost_recovered_total&lt;0,0,HM_ZB_Nsoko!CA_cost_stop-HM_ZB_Nsoko!CA_cost_recovered_total)</f>
        <v>0</v>
      </c>
      <c r="BO279" s="49">
        <f ca="1">IF(HM_ZB_Nsoko!CA_cost_stop-HM_ZB_Nsoko!CA_cost_recovered_total&lt;0,0,HM_ZB_Nsoko!CA_cost_stop-HM_ZB_Nsoko!CA_cost_recovered_total)</f>
        <v>0</v>
      </c>
      <c r="BP279" s="49">
        <f ca="1">IF(HM_ZB_Nsoko!CA_cost_stop-HM_ZB_Nsoko!CA_cost_recovered_total&lt;0,0,HM_ZB_Nsoko!CA_cost_stop-HM_ZB_Nsoko!CA_cost_recovered_total)</f>
        <v>0</v>
      </c>
      <c r="BQ279" s="49">
        <f ca="1">IF(HM_ZB_Nsoko!CA_cost_stop-HM_ZB_Nsoko!CA_cost_recovered_total&lt;0,0,HM_ZB_Nsoko!CA_cost_stop-HM_ZB_Nsoko!CA_cost_recovered_total)</f>
        <v>0</v>
      </c>
      <c r="BR279" s="49">
        <f ca="1">IF(HM_ZB_Nsoko!CA_cost_stop-HM_ZB_Nsoko!CA_cost_recovered_total&lt;0,0,HM_ZB_Nsoko!CA_cost_stop-HM_ZB_Nsoko!CA_cost_recovered_total)</f>
        <v>0</v>
      </c>
      <c r="BS279" s="49">
        <f ca="1">IF(HM_ZB_Nsoko!CA_cost_stop-HM_ZB_Nsoko!CA_cost_recovered_total&lt;0,0,HM_ZB_Nsoko!CA_cost_stop-HM_ZB_Nsoko!CA_cost_recovered_total)</f>
        <v>0</v>
      </c>
    </row>
    <row r="280" spans="3:71" outlineLevel="1" x14ac:dyDescent="0.2">
      <c r="J280" s="26"/>
      <c r="L280" s="55"/>
      <c r="M280" s="55"/>
      <c r="N280" s="55"/>
      <c r="O280" s="55"/>
      <c r="P280" s="55"/>
      <c r="Q280" s="55"/>
      <c r="R280" s="55"/>
      <c r="S280" s="55"/>
      <c r="T280" s="55"/>
      <c r="U280" s="55"/>
      <c r="V280" s="55"/>
      <c r="W280" s="55"/>
      <c r="X280" s="55"/>
      <c r="Y280" s="55"/>
      <c r="Z280" s="55"/>
      <c r="AA280" s="55"/>
      <c r="AB280" s="55"/>
      <c r="AC280" s="55"/>
      <c r="AD280" s="55"/>
      <c r="AE280" s="55"/>
      <c r="AF280" s="55"/>
      <c r="AG280" s="55"/>
      <c r="AH280" s="55"/>
      <c r="AI280" s="55"/>
      <c r="AJ280" s="55"/>
      <c r="AK280" s="55"/>
      <c r="AL280" s="55"/>
      <c r="AM280" s="55"/>
      <c r="AN280" s="55"/>
      <c r="AO280" s="55"/>
      <c r="AP280" s="55"/>
      <c r="AQ280" s="55"/>
      <c r="AR280" s="55"/>
      <c r="AS280" s="55"/>
      <c r="AT280" s="55"/>
      <c r="AU280" s="55"/>
      <c r="AV280" s="55"/>
      <c r="AW280" s="55"/>
      <c r="AX280" s="55"/>
      <c r="AY280" s="55"/>
      <c r="AZ280" s="55"/>
      <c r="BA280" s="55"/>
      <c r="BB280" s="55"/>
      <c r="BC280" s="55"/>
      <c r="BD280" s="55"/>
      <c r="BE280" s="55"/>
      <c r="BF280" s="55"/>
      <c r="BG280" s="55"/>
      <c r="BH280" s="55"/>
      <c r="BI280" s="55"/>
      <c r="BJ280" s="55"/>
      <c r="BK280" s="55"/>
      <c r="BL280" s="55"/>
      <c r="BM280" s="55"/>
      <c r="BN280" s="55"/>
      <c r="BO280" s="55"/>
      <c r="BP280" s="55"/>
      <c r="BQ280" s="55"/>
      <c r="BR280" s="55"/>
      <c r="BS280" s="55"/>
    </row>
    <row r="281" spans="3:71" outlineLevel="1" x14ac:dyDescent="0.2">
      <c r="D281" t="str">
        <f>CHOOSE(db_ML_selected,"Development Cost Trigger - " &amp; IFERROR(ECR_Dev_cost_perc*100,"na") &amp;"%",LEFT('Liste Traduction'!C436,LEN('Liste Traduction'!C436)-5)&amp; IFERROR(ECR_Dev_cost_perc*100,"na") &amp;"%")</f>
        <v>Déclencheur des coûts de développement -20%</v>
      </c>
      <c r="J281" s="26"/>
      <c r="L281" s="49">
        <f ca="1">IFERROR(1*(-SUM($K260:L260)/$I$259&gt;= HM_ZB_Nsoko!ECR_Dev_cost_perc)*(ISNUMBER(HM_ZB_Nsoko!ECR_Dev_cost_perc)),0)</f>
        <v>0</v>
      </c>
      <c r="M281" s="49">
        <f ca="1">IFERROR(1*(-SUM($K260:M260)/$I$259&gt;= HM_ZB_Nsoko!ECR_Dev_cost_perc)*(ISNUMBER(HM_ZB_Nsoko!ECR_Dev_cost_perc)),0)</f>
        <v>0</v>
      </c>
      <c r="N281" s="49">
        <f ca="1">IFERROR(1*(-SUM($K260:N260)/$I$259&gt;= HM_ZB_Nsoko!ECR_Dev_cost_perc)*(ISNUMBER(HM_ZB_Nsoko!ECR_Dev_cost_perc)),0)</f>
        <v>1</v>
      </c>
      <c r="O281" s="49">
        <f ca="1">IFERROR(1*(-SUM($K260:O260)/$I$259&gt;= HM_ZB_Nsoko!ECR_Dev_cost_perc)*(ISNUMBER(HM_ZB_Nsoko!ECR_Dev_cost_perc)),0)</f>
        <v>1</v>
      </c>
      <c r="P281" s="49">
        <f ca="1">IFERROR(1*(-SUM($K260:P260)/$I$259&gt;= HM_ZB_Nsoko!ECR_Dev_cost_perc)*(ISNUMBER(HM_ZB_Nsoko!ECR_Dev_cost_perc)),0)</f>
        <v>1</v>
      </c>
      <c r="Q281" s="49">
        <f ca="1">IFERROR(1*(-SUM($K260:Q260)/$I$259&gt;= HM_ZB_Nsoko!ECR_Dev_cost_perc)*(ISNUMBER(HM_ZB_Nsoko!ECR_Dev_cost_perc)),0)</f>
        <v>1</v>
      </c>
      <c r="R281" s="49">
        <f ca="1">IFERROR(1*(-SUM($K260:R260)/$I$259&gt;= HM_ZB_Nsoko!ECR_Dev_cost_perc)*(ISNUMBER(HM_ZB_Nsoko!ECR_Dev_cost_perc)),0)</f>
        <v>1</v>
      </c>
      <c r="S281" s="49">
        <f ca="1">IFERROR(1*(-SUM($K260:S260)/$I$259&gt;= HM_ZB_Nsoko!ECR_Dev_cost_perc)*(ISNUMBER(HM_ZB_Nsoko!ECR_Dev_cost_perc)),0)</f>
        <v>1</v>
      </c>
      <c r="T281" s="49">
        <f ca="1">IFERROR(1*(-SUM($K260:T260)/$I$259&gt;= HM_ZB_Nsoko!ECR_Dev_cost_perc)*(ISNUMBER(HM_ZB_Nsoko!ECR_Dev_cost_perc)),0)</f>
        <v>1</v>
      </c>
      <c r="U281" s="49">
        <f ca="1">IFERROR(1*(-SUM($K260:U260)/$I$259&gt;= HM_ZB_Nsoko!ECR_Dev_cost_perc)*(ISNUMBER(HM_ZB_Nsoko!ECR_Dev_cost_perc)),0)</f>
        <v>1</v>
      </c>
      <c r="V281" s="49">
        <f ca="1">IFERROR(1*(-SUM($K260:V260)/$I$259&gt;= HM_ZB_Nsoko!ECR_Dev_cost_perc)*(ISNUMBER(HM_ZB_Nsoko!ECR_Dev_cost_perc)),0)</f>
        <v>1</v>
      </c>
      <c r="W281" s="49">
        <f ca="1">IFERROR(1*(-SUM($K260:W260)/$I$259&gt;= HM_ZB_Nsoko!ECR_Dev_cost_perc)*(ISNUMBER(HM_ZB_Nsoko!ECR_Dev_cost_perc)),0)</f>
        <v>1</v>
      </c>
      <c r="X281" s="49">
        <f ca="1">IFERROR(1*(-SUM($K260:X260)/$I$259&gt;= HM_ZB_Nsoko!ECR_Dev_cost_perc)*(ISNUMBER(HM_ZB_Nsoko!ECR_Dev_cost_perc)),0)</f>
        <v>1</v>
      </c>
      <c r="Y281" s="49">
        <f ca="1">IFERROR(1*(-SUM($K260:Y260)/$I$259&gt;= HM_ZB_Nsoko!ECR_Dev_cost_perc)*(ISNUMBER(HM_ZB_Nsoko!ECR_Dev_cost_perc)),0)</f>
        <v>1</v>
      </c>
      <c r="Z281" s="49">
        <f ca="1">IFERROR(1*(-SUM($K260:Z260)/$I$259&gt;= HM_ZB_Nsoko!ECR_Dev_cost_perc)*(ISNUMBER(HM_ZB_Nsoko!ECR_Dev_cost_perc)),0)</f>
        <v>1</v>
      </c>
      <c r="AA281" s="49">
        <f ca="1">IFERROR(1*(-SUM($K260:AA260)/$I$259&gt;= HM_ZB_Nsoko!ECR_Dev_cost_perc)*(ISNUMBER(HM_ZB_Nsoko!ECR_Dev_cost_perc)),0)</f>
        <v>1</v>
      </c>
      <c r="AB281" s="49">
        <f ca="1">IFERROR(1*(-SUM($K260:AB260)/$I$259&gt;= HM_ZB_Nsoko!ECR_Dev_cost_perc)*(ISNUMBER(HM_ZB_Nsoko!ECR_Dev_cost_perc)),0)</f>
        <v>1</v>
      </c>
      <c r="AC281" s="49">
        <f ca="1">IFERROR(1*(-SUM($K260:AC260)/$I$259&gt;= HM_ZB_Nsoko!ECR_Dev_cost_perc)*(ISNUMBER(HM_ZB_Nsoko!ECR_Dev_cost_perc)),0)</f>
        <v>1</v>
      </c>
      <c r="AD281" s="49">
        <f ca="1">IFERROR(1*(-SUM($K260:AD260)/$I$259&gt;= HM_ZB_Nsoko!ECR_Dev_cost_perc)*(ISNUMBER(HM_ZB_Nsoko!ECR_Dev_cost_perc)),0)</f>
        <v>1</v>
      </c>
      <c r="AE281" s="49">
        <f ca="1">IFERROR(1*(-SUM($K260:AE260)/$I$259&gt;= HM_ZB_Nsoko!ECR_Dev_cost_perc)*(ISNUMBER(HM_ZB_Nsoko!ECR_Dev_cost_perc)),0)</f>
        <v>1</v>
      </c>
      <c r="AF281" s="49">
        <f ca="1">IFERROR(1*(-SUM($K260:AF260)/$I$259&gt;= HM_ZB_Nsoko!ECR_Dev_cost_perc)*(ISNUMBER(HM_ZB_Nsoko!ECR_Dev_cost_perc)),0)</f>
        <v>1</v>
      </c>
      <c r="AG281" s="49">
        <f ca="1">IFERROR(1*(-SUM($K260:AG260)/$I$259&gt;= HM_ZB_Nsoko!ECR_Dev_cost_perc)*(ISNUMBER(HM_ZB_Nsoko!ECR_Dev_cost_perc)),0)</f>
        <v>1</v>
      </c>
      <c r="AH281" s="49">
        <f ca="1">IFERROR(1*(-SUM($K260:AH260)/$I$259&gt;= HM_ZB_Nsoko!ECR_Dev_cost_perc)*(ISNUMBER(HM_ZB_Nsoko!ECR_Dev_cost_perc)),0)</f>
        <v>1</v>
      </c>
      <c r="AI281" s="49">
        <f ca="1">IFERROR(1*(-SUM($K260:AI260)/$I$259&gt;= HM_ZB_Nsoko!ECR_Dev_cost_perc)*(ISNUMBER(HM_ZB_Nsoko!ECR_Dev_cost_perc)),0)</f>
        <v>1</v>
      </c>
      <c r="AJ281" s="49">
        <f ca="1">IFERROR(1*(-SUM($K260:AJ260)/$I$259&gt;= HM_ZB_Nsoko!ECR_Dev_cost_perc)*(ISNUMBER(HM_ZB_Nsoko!ECR_Dev_cost_perc)),0)</f>
        <v>1</v>
      </c>
      <c r="AK281" s="49">
        <f ca="1">IFERROR(1*(-SUM($K260:AK260)/$I$259&gt;= HM_ZB_Nsoko!ECR_Dev_cost_perc)*(ISNUMBER(HM_ZB_Nsoko!ECR_Dev_cost_perc)),0)</f>
        <v>1</v>
      </c>
      <c r="AL281" s="49">
        <f ca="1">IFERROR(1*(-SUM($K260:AL260)/$I$259&gt;= HM_ZB_Nsoko!ECR_Dev_cost_perc)*(ISNUMBER(HM_ZB_Nsoko!ECR_Dev_cost_perc)),0)</f>
        <v>1</v>
      </c>
      <c r="AM281" s="49">
        <f ca="1">IFERROR(1*(-SUM($K260:AM260)/$I$259&gt;= HM_ZB_Nsoko!ECR_Dev_cost_perc)*(ISNUMBER(HM_ZB_Nsoko!ECR_Dev_cost_perc)),0)</f>
        <v>1</v>
      </c>
      <c r="AN281" s="49">
        <f ca="1">IFERROR(1*(-SUM($K260:AN260)/$I$259&gt;= HM_ZB_Nsoko!ECR_Dev_cost_perc)*(ISNUMBER(HM_ZB_Nsoko!ECR_Dev_cost_perc)),0)</f>
        <v>1</v>
      </c>
      <c r="AO281" s="49">
        <f ca="1">IFERROR(1*(-SUM($K260:AO260)/$I$259&gt;= HM_ZB_Nsoko!ECR_Dev_cost_perc)*(ISNUMBER(HM_ZB_Nsoko!ECR_Dev_cost_perc)),0)</f>
        <v>1</v>
      </c>
      <c r="AP281" s="49">
        <f ca="1">IFERROR(1*(-SUM($K260:AP260)/$I$259&gt;= HM_ZB_Nsoko!ECR_Dev_cost_perc)*(ISNUMBER(HM_ZB_Nsoko!ECR_Dev_cost_perc)),0)</f>
        <v>1</v>
      </c>
      <c r="AQ281" s="49">
        <f ca="1">IFERROR(1*(-SUM($K260:AQ260)/$I$259&gt;= HM_ZB_Nsoko!ECR_Dev_cost_perc)*(ISNUMBER(HM_ZB_Nsoko!ECR_Dev_cost_perc)),0)</f>
        <v>1</v>
      </c>
      <c r="AR281" s="49">
        <f ca="1">IFERROR(1*(-SUM($K260:AR260)/$I$259&gt;= HM_ZB_Nsoko!ECR_Dev_cost_perc)*(ISNUMBER(HM_ZB_Nsoko!ECR_Dev_cost_perc)),0)</f>
        <v>1</v>
      </c>
      <c r="AS281" s="49">
        <f ca="1">IFERROR(1*(-SUM($K260:AS260)/$I$259&gt;= HM_ZB_Nsoko!ECR_Dev_cost_perc)*(ISNUMBER(HM_ZB_Nsoko!ECR_Dev_cost_perc)),0)</f>
        <v>1</v>
      </c>
      <c r="AT281" s="49">
        <f ca="1">IFERROR(1*(-SUM($K260:AT260)/$I$259&gt;= HM_ZB_Nsoko!ECR_Dev_cost_perc)*(ISNUMBER(HM_ZB_Nsoko!ECR_Dev_cost_perc)),0)</f>
        <v>1</v>
      </c>
      <c r="AU281" s="49">
        <f ca="1">IFERROR(1*(-SUM($K260:AU260)/$I$259&gt;= HM_ZB_Nsoko!ECR_Dev_cost_perc)*(ISNUMBER(HM_ZB_Nsoko!ECR_Dev_cost_perc)),0)</f>
        <v>1</v>
      </c>
      <c r="AV281" s="49">
        <f ca="1">IFERROR(1*(-SUM($K260:AV260)/$I$259&gt;= HM_ZB_Nsoko!ECR_Dev_cost_perc)*(ISNUMBER(HM_ZB_Nsoko!ECR_Dev_cost_perc)),0)</f>
        <v>1</v>
      </c>
      <c r="AW281" s="49">
        <f ca="1">IFERROR(1*(-SUM($K260:AW260)/$I$259&gt;= HM_ZB_Nsoko!ECR_Dev_cost_perc)*(ISNUMBER(HM_ZB_Nsoko!ECR_Dev_cost_perc)),0)</f>
        <v>1</v>
      </c>
      <c r="AX281" s="49">
        <f ca="1">IFERROR(1*(-SUM($K260:AX260)/$I$259&gt;= HM_ZB_Nsoko!ECR_Dev_cost_perc)*(ISNUMBER(HM_ZB_Nsoko!ECR_Dev_cost_perc)),0)</f>
        <v>1</v>
      </c>
      <c r="AY281" s="49">
        <f ca="1">IFERROR(1*(-SUM($K260:AY260)/$I$259&gt;= HM_ZB_Nsoko!ECR_Dev_cost_perc)*(ISNUMBER(HM_ZB_Nsoko!ECR_Dev_cost_perc)),0)</f>
        <v>1</v>
      </c>
      <c r="AZ281" s="49">
        <f ca="1">IFERROR(1*(-SUM($K260:AZ260)/$I$259&gt;= HM_ZB_Nsoko!ECR_Dev_cost_perc)*(ISNUMBER(HM_ZB_Nsoko!ECR_Dev_cost_perc)),0)</f>
        <v>1</v>
      </c>
      <c r="BA281" s="49">
        <f ca="1">IFERROR(1*(-SUM($K260:BA260)/$I$259&gt;= HM_ZB_Nsoko!ECR_Dev_cost_perc)*(ISNUMBER(HM_ZB_Nsoko!ECR_Dev_cost_perc)),0)</f>
        <v>1</v>
      </c>
      <c r="BB281" s="49">
        <f ca="1">IFERROR(1*(-SUM($K260:BB260)/$I$259&gt;= HM_ZB_Nsoko!ECR_Dev_cost_perc)*(ISNUMBER(HM_ZB_Nsoko!ECR_Dev_cost_perc)),0)</f>
        <v>1</v>
      </c>
      <c r="BC281" s="49">
        <f ca="1">IFERROR(1*(-SUM($K260:BC260)/$I$259&gt;= HM_ZB_Nsoko!ECR_Dev_cost_perc)*(ISNUMBER(HM_ZB_Nsoko!ECR_Dev_cost_perc)),0)</f>
        <v>1</v>
      </c>
      <c r="BD281" s="49">
        <f ca="1">IFERROR(1*(-SUM($K260:BD260)/$I$259&gt;= HM_ZB_Nsoko!ECR_Dev_cost_perc)*(ISNUMBER(HM_ZB_Nsoko!ECR_Dev_cost_perc)),0)</f>
        <v>1</v>
      </c>
      <c r="BE281" s="49">
        <f ca="1">IFERROR(1*(-SUM($K260:BE260)/$I$259&gt;= HM_ZB_Nsoko!ECR_Dev_cost_perc)*(ISNUMBER(HM_ZB_Nsoko!ECR_Dev_cost_perc)),0)</f>
        <v>1</v>
      </c>
      <c r="BF281" s="49">
        <f ca="1">IFERROR(1*(-SUM($K260:BF260)/$I$259&gt;= HM_ZB_Nsoko!ECR_Dev_cost_perc)*(ISNUMBER(HM_ZB_Nsoko!ECR_Dev_cost_perc)),0)</f>
        <v>1</v>
      </c>
      <c r="BG281" s="49">
        <f ca="1">IFERROR(1*(-SUM($K260:BG260)/$I$259&gt;= HM_ZB_Nsoko!ECR_Dev_cost_perc)*(ISNUMBER(HM_ZB_Nsoko!ECR_Dev_cost_perc)),0)</f>
        <v>1</v>
      </c>
      <c r="BH281" s="49">
        <f ca="1">IFERROR(1*(-SUM($K260:BH260)/$I$259&gt;= HM_ZB_Nsoko!ECR_Dev_cost_perc)*(ISNUMBER(HM_ZB_Nsoko!ECR_Dev_cost_perc)),0)</f>
        <v>1</v>
      </c>
      <c r="BI281" s="49">
        <f ca="1">IFERROR(1*(-SUM($K260:BI260)/$I$259&gt;= HM_ZB_Nsoko!ECR_Dev_cost_perc)*(ISNUMBER(HM_ZB_Nsoko!ECR_Dev_cost_perc)),0)</f>
        <v>1</v>
      </c>
      <c r="BJ281" s="49">
        <f ca="1">IFERROR(1*(-SUM($K260:BJ260)/$I$259&gt;= HM_ZB_Nsoko!ECR_Dev_cost_perc)*(ISNUMBER(HM_ZB_Nsoko!ECR_Dev_cost_perc)),0)</f>
        <v>1</v>
      </c>
      <c r="BK281" s="49">
        <f ca="1">IFERROR(1*(-SUM($K260:BK260)/$I$259&gt;= HM_ZB_Nsoko!ECR_Dev_cost_perc)*(ISNUMBER(HM_ZB_Nsoko!ECR_Dev_cost_perc)),0)</f>
        <v>1</v>
      </c>
      <c r="BL281" s="49">
        <f ca="1">IFERROR(1*(-SUM($K260:BL260)/$I$259&gt;= HM_ZB_Nsoko!ECR_Dev_cost_perc)*(ISNUMBER(HM_ZB_Nsoko!ECR_Dev_cost_perc)),0)</f>
        <v>1</v>
      </c>
      <c r="BM281" s="49">
        <f ca="1">IFERROR(1*(-SUM($K260:BM260)/$I$259&gt;= HM_ZB_Nsoko!ECR_Dev_cost_perc)*(ISNUMBER(HM_ZB_Nsoko!ECR_Dev_cost_perc)),0)</f>
        <v>1</v>
      </c>
      <c r="BN281" s="49">
        <f ca="1">IFERROR(1*(-SUM($K260:BN260)/$I$259&gt;= HM_ZB_Nsoko!ECR_Dev_cost_perc)*(ISNUMBER(HM_ZB_Nsoko!ECR_Dev_cost_perc)),0)</f>
        <v>1</v>
      </c>
      <c r="BO281" s="49">
        <f ca="1">IFERROR(1*(-SUM($K260:BO260)/$I$259&gt;= HM_ZB_Nsoko!ECR_Dev_cost_perc)*(ISNUMBER(HM_ZB_Nsoko!ECR_Dev_cost_perc)),0)</f>
        <v>1</v>
      </c>
      <c r="BP281" s="49">
        <f ca="1">IFERROR(1*(-SUM($K260:BP260)/$I$259&gt;= HM_ZB_Nsoko!ECR_Dev_cost_perc)*(ISNUMBER(HM_ZB_Nsoko!ECR_Dev_cost_perc)),0)</f>
        <v>1</v>
      </c>
      <c r="BQ281" s="49">
        <f ca="1">IFERROR(1*(-SUM($K260:BQ260)/$I$259&gt;= HM_ZB_Nsoko!ECR_Dev_cost_perc)*(ISNUMBER(HM_ZB_Nsoko!ECR_Dev_cost_perc)),0)</f>
        <v>1</v>
      </c>
      <c r="BR281" s="49">
        <f ca="1">IFERROR(1*(-SUM($K260:BR260)/$I$259&gt;= HM_ZB_Nsoko!ECR_Dev_cost_perc)*(ISNUMBER(HM_ZB_Nsoko!ECR_Dev_cost_perc)),0)</f>
        <v>1</v>
      </c>
      <c r="BS281" s="49">
        <f ca="1">IFERROR(1*(-SUM($K260:BS260)/$I$259&gt;= HM_ZB_Nsoko!ECR_Dev_cost_perc)*(ISNUMBER(HM_ZB_Nsoko!ECR_Dev_cost_perc)),0)</f>
        <v>1</v>
      </c>
    </row>
    <row r="282" spans="3:71" outlineLevel="1" x14ac:dyDescent="0.2">
      <c r="J282" s="26"/>
      <c r="L282" s="55"/>
      <c r="M282" s="55"/>
      <c r="N282" s="55"/>
      <c r="O282" s="55"/>
      <c r="P282" s="55"/>
      <c r="Q282" s="55"/>
      <c r="R282" s="55"/>
      <c r="S282" s="55"/>
      <c r="T282" s="55"/>
      <c r="U282" s="55"/>
      <c r="V282" s="55"/>
      <c r="W282" s="55"/>
      <c r="X282" s="55"/>
      <c r="Y282" s="55"/>
      <c r="Z282" s="55"/>
      <c r="AA282" s="55"/>
      <c r="AB282" s="55"/>
      <c r="AC282" s="55"/>
      <c r="AD282" s="55"/>
      <c r="AE282" s="55"/>
      <c r="AF282" s="55"/>
      <c r="AG282" s="55"/>
      <c r="AH282" s="55"/>
      <c r="AI282" s="55"/>
      <c r="AJ282" s="55"/>
      <c r="AK282" s="55"/>
      <c r="AL282" s="55"/>
      <c r="AM282" s="55"/>
      <c r="AN282" s="55"/>
      <c r="AO282" s="55"/>
      <c r="AP282" s="55"/>
      <c r="AQ282" s="55"/>
      <c r="AR282" s="55"/>
      <c r="AS282" s="55"/>
      <c r="AT282" s="55"/>
      <c r="AU282" s="55"/>
      <c r="AV282" s="55"/>
      <c r="AW282" s="55"/>
      <c r="AX282" s="55"/>
      <c r="AY282" s="55"/>
      <c r="AZ282" s="55"/>
      <c r="BA282" s="55"/>
      <c r="BB282" s="55"/>
      <c r="BC282" s="55"/>
      <c r="BD282" s="55"/>
      <c r="BE282" s="55"/>
      <c r="BF282" s="55"/>
      <c r="BG282" s="55"/>
      <c r="BH282" s="55"/>
      <c r="BI282" s="55"/>
      <c r="BJ282" s="55"/>
      <c r="BK282" s="55"/>
      <c r="BL282" s="55"/>
      <c r="BM282" s="55"/>
      <c r="BN282" s="55"/>
      <c r="BO282" s="55"/>
      <c r="BP282" s="55"/>
      <c r="BQ282" s="55"/>
      <c r="BR282" s="55"/>
      <c r="BS282" s="55"/>
    </row>
    <row r="283" spans="3:71" outlineLevel="1" x14ac:dyDescent="0.2">
      <c r="D283" t="str">
        <f>CHOOSE(db_ML_selected,'Liste Traduction'!B437,'Liste Traduction'!C437)</f>
        <v>Excess Cost Oil Contracteur %</v>
      </c>
      <c r="J283" s="26" t="s">
        <v>90</v>
      </c>
      <c r="L283" s="53">
        <f ca="1">(IF(AND($F$37&gt;=INDEX(FA_ECR_reserves,2),L281=1),INDEX(HM_ZB_Nsoko!FA_ECR_cont_rate,3),
IF(AND($F$37&gt;=INDEX(FA_ECR_reserves,2),L281=0),INDEX(HM_ZB_Nsoko!FA_ECR_cont_rate,2),
INDEX(HM_ZB_Nsoko!FA_ECR_cont_rate,1))))*(HM_ZB_Nsoko!CA_PSC_switch_trig=0)+ (ECR_cont_rate_Nsoko2019)*(HM_ZB_Nsoko!CA_PSC_switch_trig=1)</f>
        <v>0.4</v>
      </c>
      <c r="M283" s="53">
        <f ca="1">(IF(AND($F$37&gt;=INDEX(FA_ECR_reserves,2),M281=1),INDEX(HM_ZB_Nsoko!FA_ECR_cont_rate,3),
IF(AND($F$37&gt;=INDEX(FA_ECR_reserves,2),M281=0),INDEX(HM_ZB_Nsoko!FA_ECR_cont_rate,2),
INDEX(HM_ZB_Nsoko!FA_ECR_cont_rate,1))))*(HM_ZB_Nsoko!CA_PSC_switch_trig=0)+ (ECR_cont_rate_Nsoko2019)*(HM_ZB_Nsoko!CA_PSC_switch_trig=1)</f>
        <v>0.4</v>
      </c>
      <c r="N283" s="53">
        <f ca="1">(IF(AND($F$37&gt;=INDEX(FA_ECR_reserves,2),N281=1),INDEX(HM_ZB_Nsoko!FA_ECR_cont_rate,3),
IF(AND($F$37&gt;=INDEX(FA_ECR_reserves,2),N281=0),INDEX(HM_ZB_Nsoko!FA_ECR_cont_rate,2),
INDEX(HM_ZB_Nsoko!FA_ECR_cont_rate,1))))*(HM_ZB_Nsoko!CA_PSC_switch_trig=0)+ (ECR_cont_rate_Nsoko2019)*(HM_ZB_Nsoko!CA_PSC_switch_trig=1)</f>
        <v>0.4</v>
      </c>
      <c r="O283" s="53">
        <f ca="1">(IF(AND($F$37&gt;=INDEX(FA_ECR_reserves,2),O281=1),INDEX(HM_ZB_Nsoko!FA_ECR_cont_rate,3),
IF(AND($F$37&gt;=INDEX(FA_ECR_reserves,2),O281=0),INDEX(HM_ZB_Nsoko!FA_ECR_cont_rate,2),
INDEX(HM_ZB_Nsoko!FA_ECR_cont_rate,1))))*(HM_ZB_Nsoko!CA_PSC_switch_trig=0)+ (ECR_cont_rate_Nsoko2019)*(HM_ZB_Nsoko!CA_PSC_switch_trig=1)</f>
        <v>0.4</v>
      </c>
      <c r="P283" s="53">
        <f ca="1">(IF(AND($F$37&gt;=INDEX(FA_ECR_reserves,2),P281=1),INDEX(HM_ZB_Nsoko!FA_ECR_cont_rate,3),
IF(AND($F$37&gt;=INDEX(FA_ECR_reserves,2),P281=0),INDEX(HM_ZB_Nsoko!FA_ECR_cont_rate,2),
INDEX(HM_ZB_Nsoko!FA_ECR_cont_rate,1))))*(HM_ZB_Nsoko!CA_PSC_switch_trig=0)+ (ECR_cont_rate_Nsoko2019)*(HM_ZB_Nsoko!CA_PSC_switch_trig=1)</f>
        <v>0.4</v>
      </c>
      <c r="Q283" s="53">
        <f ca="1">(IF(AND($F$37&gt;=INDEX(FA_ECR_reserves,2),Q281=1),INDEX(HM_ZB_Nsoko!FA_ECR_cont_rate,3),
IF(AND($F$37&gt;=INDEX(FA_ECR_reserves,2),Q281=0),INDEX(HM_ZB_Nsoko!FA_ECR_cont_rate,2),
INDEX(HM_ZB_Nsoko!FA_ECR_cont_rate,1))))*(HM_ZB_Nsoko!CA_PSC_switch_trig=0)+ (ECR_cont_rate_Nsoko2019)*(HM_ZB_Nsoko!CA_PSC_switch_trig=1)</f>
        <v>0.4</v>
      </c>
      <c r="R283" s="53">
        <f ca="1">(IF(AND($F$37&gt;=INDEX(FA_ECR_reserves,2),R281=1),INDEX(HM_ZB_Nsoko!FA_ECR_cont_rate,3),
IF(AND($F$37&gt;=INDEX(FA_ECR_reserves,2),R281=0),INDEX(HM_ZB_Nsoko!FA_ECR_cont_rate,2),
INDEX(HM_ZB_Nsoko!FA_ECR_cont_rate,1))))*(HM_ZB_Nsoko!CA_PSC_switch_trig=0)+ (ECR_cont_rate_Nsoko2019)*(HM_ZB_Nsoko!CA_PSC_switch_trig=1)</f>
        <v>0.5</v>
      </c>
      <c r="S283" s="53">
        <f ca="1">(IF(AND($F$37&gt;=INDEX(FA_ECR_reserves,2),S281=1),INDEX(HM_ZB_Nsoko!FA_ECR_cont_rate,3),
IF(AND($F$37&gt;=INDEX(FA_ECR_reserves,2),S281=0),INDEX(HM_ZB_Nsoko!FA_ECR_cont_rate,2),
INDEX(HM_ZB_Nsoko!FA_ECR_cont_rate,1))))*(HM_ZB_Nsoko!CA_PSC_switch_trig=0)+ (ECR_cont_rate_Nsoko2019)*(HM_ZB_Nsoko!CA_PSC_switch_trig=1)</f>
        <v>0.5</v>
      </c>
      <c r="T283" s="53">
        <f ca="1">(IF(AND($F$37&gt;=INDEX(FA_ECR_reserves,2),T281=1),INDEX(HM_ZB_Nsoko!FA_ECR_cont_rate,3),
IF(AND($F$37&gt;=INDEX(FA_ECR_reserves,2),T281=0),INDEX(HM_ZB_Nsoko!FA_ECR_cont_rate,2),
INDEX(HM_ZB_Nsoko!FA_ECR_cont_rate,1))))*(HM_ZB_Nsoko!CA_PSC_switch_trig=0)+ (ECR_cont_rate_Nsoko2019)*(HM_ZB_Nsoko!CA_PSC_switch_trig=1)</f>
        <v>0.5</v>
      </c>
      <c r="U283" s="53">
        <f ca="1">(IF(AND($F$37&gt;=INDEX(FA_ECR_reserves,2),U281=1),INDEX(HM_ZB_Nsoko!FA_ECR_cont_rate,3),
IF(AND($F$37&gt;=INDEX(FA_ECR_reserves,2),U281=0),INDEX(HM_ZB_Nsoko!FA_ECR_cont_rate,2),
INDEX(HM_ZB_Nsoko!FA_ECR_cont_rate,1))))*(HM_ZB_Nsoko!CA_PSC_switch_trig=0)+ (ECR_cont_rate_Nsoko2019)*(HM_ZB_Nsoko!CA_PSC_switch_trig=1)</f>
        <v>0.5</v>
      </c>
      <c r="V283" s="53">
        <f ca="1">(IF(AND($F$37&gt;=INDEX(FA_ECR_reserves,2),V281=1),INDEX(HM_ZB_Nsoko!FA_ECR_cont_rate,3),
IF(AND($F$37&gt;=INDEX(FA_ECR_reserves,2),V281=0),INDEX(HM_ZB_Nsoko!FA_ECR_cont_rate,2),
INDEX(HM_ZB_Nsoko!FA_ECR_cont_rate,1))))*(HM_ZB_Nsoko!CA_PSC_switch_trig=0)+ (ECR_cont_rate_Nsoko2019)*(HM_ZB_Nsoko!CA_PSC_switch_trig=1)</f>
        <v>0.5</v>
      </c>
      <c r="W283" s="53">
        <f ca="1">(IF(AND($F$37&gt;=INDEX(FA_ECR_reserves,2),W281=1),INDEX(HM_ZB_Nsoko!FA_ECR_cont_rate,3),
IF(AND($F$37&gt;=INDEX(FA_ECR_reserves,2),W281=0),INDEX(HM_ZB_Nsoko!FA_ECR_cont_rate,2),
INDEX(HM_ZB_Nsoko!FA_ECR_cont_rate,1))))*(HM_ZB_Nsoko!CA_PSC_switch_trig=0)+ (ECR_cont_rate_Nsoko2019)*(HM_ZB_Nsoko!CA_PSC_switch_trig=1)</f>
        <v>0.5</v>
      </c>
      <c r="X283" s="53">
        <f ca="1">(IF(AND($F$37&gt;=INDEX(FA_ECR_reserves,2),X281=1),INDEX(HM_ZB_Nsoko!FA_ECR_cont_rate,3),
IF(AND($F$37&gt;=INDEX(FA_ECR_reserves,2),X281=0),INDEX(HM_ZB_Nsoko!FA_ECR_cont_rate,2),
INDEX(HM_ZB_Nsoko!FA_ECR_cont_rate,1))))*(HM_ZB_Nsoko!CA_PSC_switch_trig=0)+ (ECR_cont_rate_Nsoko2019)*(HM_ZB_Nsoko!CA_PSC_switch_trig=1)</f>
        <v>0.5</v>
      </c>
      <c r="Y283" s="53">
        <f ca="1">(IF(AND($F$37&gt;=INDEX(FA_ECR_reserves,2),Y281=1),INDEX(HM_ZB_Nsoko!FA_ECR_cont_rate,3),
IF(AND($F$37&gt;=INDEX(FA_ECR_reserves,2),Y281=0),INDEX(HM_ZB_Nsoko!FA_ECR_cont_rate,2),
INDEX(HM_ZB_Nsoko!FA_ECR_cont_rate,1))))*(HM_ZB_Nsoko!CA_PSC_switch_trig=0)+ (ECR_cont_rate_Nsoko2019)*(HM_ZB_Nsoko!CA_PSC_switch_trig=1)</f>
        <v>0.5</v>
      </c>
      <c r="Z283" s="53">
        <f ca="1">(IF(AND($F$37&gt;=INDEX(FA_ECR_reserves,2),Z281=1),INDEX(HM_ZB_Nsoko!FA_ECR_cont_rate,3),
IF(AND($F$37&gt;=INDEX(FA_ECR_reserves,2),Z281=0),INDEX(HM_ZB_Nsoko!FA_ECR_cont_rate,2),
INDEX(HM_ZB_Nsoko!FA_ECR_cont_rate,1))))*(HM_ZB_Nsoko!CA_PSC_switch_trig=0)+ (ECR_cont_rate_Nsoko2019)*(HM_ZB_Nsoko!CA_PSC_switch_trig=1)</f>
        <v>0.5</v>
      </c>
      <c r="AA283" s="53">
        <f ca="1">(IF(AND($F$37&gt;=INDEX(FA_ECR_reserves,2),AA281=1),INDEX(HM_ZB_Nsoko!FA_ECR_cont_rate,3),
IF(AND($F$37&gt;=INDEX(FA_ECR_reserves,2),AA281=0),INDEX(HM_ZB_Nsoko!FA_ECR_cont_rate,2),
INDEX(HM_ZB_Nsoko!FA_ECR_cont_rate,1))))*(HM_ZB_Nsoko!CA_PSC_switch_trig=0)+ (ECR_cont_rate_Nsoko2019)*(HM_ZB_Nsoko!CA_PSC_switch_trig=1)</f>
        <v>0.5</v>
      </c>
      <c r="AB283" s="53">
        <f ca="1">(IF(AND($F$37&gt;=INDEX(FA_ECR_reserves,2),AB281=1),INDEX(HM_ZB_Nsoko!FA_ECR_cont_rate,3),
IF(AND($F$37&gt;=INDEX(FA_ECR_reserves,2),AB281=0),INDEX(HM_ZB_Nsoko!FA_ECR_cont_rate,2),
INDEX(HM_ZB_Nsoko!FA_ECR_cont_rate,1))))*(HM_ZB_Nsoko!CA_PSC_switch_trig=0)+ (ECR_cont_rate_Nsoko2019)*(HM_ZB_Nsoko!CA_PSC_switch_trig=1)</f>
        <v>0.5</v>
      </c>
      <c r="AC283" s="53">
        <f ca="1">(IF(AND($F$37&gt;=INDEX(FA_ECR_reserves,2),AC281=1),INDEX(HM_ZB_Nsoko!FA_ECR_cont_rate,3),
IF(AND($F$37&gt;=INDEX(FA_ECR_reserves,2),AC281=0),INDEX(HM_ZB_Nsoko!FA_ECR_cont_rate,2),
INDEX(HM_ZB_Nsoko!FA_ECR_cont_rate,1))))*(HM_ZB_Nsoko!CA_PSC_switch_trig=0)+ (ECR_cont_rate_Nsoko2019)*(HM_ZB_Nsoko!CA_PSC_switch_trig=1)</f>
        <v>0.5</v>
      </c>
      <c r="AD283" s="53">
        <f ca="1">(IF(AND($F$37&gt;=INDEX(FA_ECR_reserves,2),AD281=1),INDEX(HM_ZB_Nsoko!FA_ECR_cont_rate,3),
IF(AND($F$37&gt;=INDEX(FA_ECR_reserves,2),AD281=0),INDEX(HM_ZB_Nsoko!FA_ECR_cont_rate,2),
INDEX(HM_ZB_Nsoko!FA_ECR_cont_rate,1))))*(HM_ZB_Nsoko!CA_PSC_switch_trig=0)+ (ECR_cont_rate_Nsoko2019)*(HM_ZB_Nsoko!CA_PSC_switch_trig=1)</f>
        <v>0.5</v>
      </c>
      <c r="AE283" s="53">
        <f ca="1">(IF(AND($F$37&gt;=INDEX(FA_ECR_reserves,2),AE281=1),INDEX(HM_ZB_Nsoko!FA_ECR_cont_rate,3),
IF(AND($F$37&gt;=INDEX(FA_ECR_reserves,2),AE281=0),INDEX(HM_ZB_Nsoko!FA_ECR_cont_rate,2),
INDEX(HM_ZB_Nsoko!FA_ECR_cont_rate,1))))*(HM_ZB_Nsoko!CA_PSC_switch_trig=0)+ (ECR_cont_rate_Nsoko2019)*(HM_ZB_Nsoko!CA_PSC_switch_trig=1)</f>
        <v>0.5</v>
      </c>
      <c r="AF283" s="53">
        <f ca="1">(IF(AND($F$37&gt;=INDEX(FA_ECR_reserves,2),AF281=1),INDEX(HM_ZB_Nsoko!FA_ECR_cont_rate,3),
IF(AND($F$37&gt;=INDEX(FA_ECR_reserves,2),AF281=0),INDEX(HM_ZB_Nsoko!FA_ECR_cont_rate,2),
INDEX(HM_ZB_Nsoko!FA_ECR_cont_rate,1))))*(HM_ZB_Nsoko!CA_PSC_switch_trig=0)+ (ECR_cont_rate_Nsoko2019)*(HM_ZB_Nsoko!CA_PSC_switch_trig=1)</f>
        <v>0.5</v>
      </c>
      <c r="AG283" s="53">
        <f ca="1">(IF(AND($F$37&gt;=INDEX(FA_ECR_reserves,2),AG281=1),INDEX(HM_ZB_Nsoko!FA_ECR_cont_rate,3),
IF(AND($F$37&gt;=INDEX(FA_ECR_reserves,2),AG281=0),INDEX(HM_ZB_Nsoko!FA_ECR_cont_rate,2),
INDEX(HM_ZB_Nsoko!FA_ECR_cont_rate,1))))*(HM_ZB_Nsoko!CA_PSC_switch_trig=0)+ (ECR_cont_rate_Nsoko2019)*(HM_ZB_Nsoko!CA_PSC_switch_trig=1)</f>
        <v>0.5</v>
      </c>
      <c r="AH283" s="53">
        <f ca="1">(IF(AND($F$37&gt;=INDEX(FA_ECR_reserves,2),AH281=1),INDEX(HM_ZB_Nsoko!FA_ECR_cont_rate,3),
IF(AND($F$37&gt;=INDEX(FA_ECR_reserves,2),AH281=0),INDEX(HM_ZB_Nsoko!FA_ECR_cont_rate,2),
INDEX(HM_ZB_Nsoko!FA_ECR_cont_rate,1))))*(HM_ZB_Nsoko!CA_PSC_switch_trig=0)+ (ECR_cont_rate_Nsoko2019)*(HM_ZB_Nsoko!CA_PSC_switch_trig=1)</f>
        <v>0.5</v>
      </c>
      <c r="AI283" s="53">
        <f ca="1">(IF(AND($F$37&gt;=INDEX(FA_ECR_reserves,2),AI281=1),INDEX(HM_ZB_Nsoko!FA_ECR_cont_rate,3),
IF(AND($F$37&gt;=INDEX(FA_ECR_reserves,2),AI281=0),INDEX(HM_ZB_Nsoko!FA_ECR_cont_rate,2),
INDEX(HM_ZB_Nsoko!FA_ECR_cont_rate,1))))*(HM_ZB_Nsoko!CA_PSC_switch_trig=0)+ (ECR_cont_rate_Nsoko2019)*(HM_ZB_Nsoko!CA_PSC_switch_trig=1)</f>
        <v>0.5</v>
      </c>
      <c r="AJ283" s="53">
        <f ca="1">(IF(AND($F$37&gt;=INDEX(FA_ECR_reserves,2),AJ281=1),INDEX(HM_ZB_Nsoko!FA_ECR_cont_rate,3),
IF(AND($F$37&gt;=INDEX(FA_ECR_reserves,2),AJ281=0),INDEX(HM_ZB_Nsoko!FA_ECR_cont_rate,2),
INDEX(HM_ZB_Nsoko!FA_ECR_cont_rate,1))))*(HM_ZB_Nsoko!CA_PSC_switch_trig=0)+ (ECR_cont_rate_Nsoko2019)*(HM_ZB_Nsoko!CA_PSC_switch_trig=1)</f>
        <v>0.5</v>
      </c>
      <c r="AK283" s="53">
        <f ca="1">(IF(AND($F$37&gt;=INDEX(FA_ECR_reserves,2),AK281=1),INDEX(HM_ZB_Nsoko!FA_ECR_cont_rate,3),
IF(AND($F$37&gt;=INDEX(FA_ECR_reserves,2),AK281=0),INDEX(HM_ZB_Nsoko!FA_ECR_cont_rate,2),
INDEX(HM_ZB_Nsoko!FA_ECR_cont_rate,1))))*(HM_ZB_Nsoko!CA_PSC_switch_trig=0)+ (ECR_cont_rate_Nsoko2019)*(HM_ZB_Nsoko!CA_PSC_switch_trig=1)</f>
        <v>0.5</v>
      </c>
      <c r="AL283" s="53">
        <f ca="1">(IF(AND($F$37&gt;=INDEX(FA_ECR_reserves,2),AL281=1),INDEX(HM_ZB_Nsoko!FA_ECR_cont_rate,3),
IF(AND($F$37&gt;=INDEX(FA_ECR_reserves,2),AL281=0),INDEX(HM_ZB_Nsoko!FA_ECR_cont_rate,2),
INDEX(HM_ZB_Nsoko!FA_ECR_cont_rate,1))))*(HM_ZB_Nsoko!CA_PSC_switch_trig=0)+ (ECR_cont_rate_Nsoko2019)*(HM_ZB_Nsoko!CA_PSC_switch_trig=1)</f>
        <v>0.5</v>
      </c>
      <c r="AM283" s="53">
        <f ca="1">(IF(AND($F$37&gt;=INDEX(FA_ECR_reserves,2),AM281=1),INDEX(HM_ZB_Nsoko!FA_ECR_cont_rate,3),
IF(AND($F$37&gt;=INDEX(FA_ECR_reserves,2),AM281=0),INDEX(HM_ZB_Nsoko!FA_ECR_cont_rate,2),
INDEX(HM_ZB_Nsoko!FA_ECR_cont_rate,1))))*(HM_ZB_Nsoko!CA_PSC_switch_trig=0)+ (ECR_cont_rate_Nsoko2019)*(HM_ZB_Nsoko!CA_PSC_switch_trig=1)</f>
        <v>0.5</v>
      </c>
      <c r="AN283" s="53">
        <f ca="1">(IF(AND($F$37&gt;=INDEX(FA_ECR_reserves,2),AN281=1),INDEX(HM_ZB_Nsoko!FA_ECR_cont_rate,3),
IF(AND($F$37&gt;=INDEX(FA_ECR_reserves,2),AN281=0),INDEX(HM_ZB_Nsoko!FA_ECR_cont_rate,2),
INDEX(HM_ZB_Nsoko!FA_ECR_cont_rate,1))))*(HM_ZB_Nsoko!CA_PSC_switch_trig=0)+ (ECR_cont_rate_Nsoko2019)*(HM_ZB_Nsoko!CA_PSC_switch_trig=1)</f>
        <v>0.5</v>
      </c>
      <c r="AO283" s="53">
        <f ca="1">(IF(AND($F$37&gt;=INDEX(FA_ECR_reserves,2),AO281=1),INDEX(HM_ZB_Nsoko!FA_ECR_cont_rate,3),
IF(AND($F$37&gt;=INDEX(FA_ECR_reserves,2),AO281=0),INDEX(HM_ZB_Nsoko!FA_ECR_cont_rate,2),
INDEX(HM_ZB_Nsoko!FA_ECR_cont_rate,1))))*(HM_ZB_Nsoko!CA_PSC_switch_trig=0)+ (ECR_cont_rate_Nsoko2019)*(HM_ZB_Nsoko!CA_PSC_switch_trig=1)</f>
        <v>0.5</v>
      </c>
      <c r="AP283" s="53">
        <f ca="1">(IF(AND($F$37&gt;=INDEX(FA_ECR_reserves,2),AP281=1),INDEX(HM_ZB_Nsoko!FA_ECR_cont_rate,3),
IF(AND($F$37&gt;=INDEX(FA_ECR_reserves,2),AP281=0),INDEX(HM_ZB_Nsoko!FA_ECR_cont_rate,2),
INDEX(HM_ZB_Nsoko!FA_ECR_cont_rate,1))))*(HM_ZB_Nsoko!CA_PSC_switch_trig=0)+ (ECR_cont_rate_Nsoko2019)*(HM_ZB_Nsoko!CA_PSC_switch_trig=1)</f>
        <v>0.5</v>
      </c>
      <c r="AQ283" s="53">
        <f ca="1">(IF(AND($F$37&gt;=INDEX(FA_ECR_reserves,2),AQ281=1),INDEX(HM_ZB_Nsoko!FA_ECR_cont_rate,3),
IF(AND($F$37&gt;=INDEX(FA_ECR_reserves,2),AQ281=0),INDEX(HM_ZB_Nsoko!FA_ECR_cont_rate,2),
INDEX(HM_ZB_Nsoko!FA_ECR_cont_rate,1))))*(HM_ZB_Nsoko!CA_PSC_switch_trig=0)+ (ECR_cont_rate_Nsoko2019)*(HM_ZB_Nsoko!CA_PSC_switch_trig=1)</f>
        <v>0.5</v>
      </c>
      <c r="AR283" s="53">
        <f ca="1">(IF(AND($F$37&gt;=INDEX(FA_ECR_reserves,2),AR281=1),INDEX(HM_ZB_Nsoko!FA_ECR_cont_rate,3),
IF(AND($F$37&gt;=INDEX(FA_ECR_reserves,2),AR281=0),INDEX(HM_ZB_Nsoko!FA_ECR_cont_rate,2),
INDEX(HM_ZB_Nsoko!FA_ECR_cont_rate,1))))*(HM_ZB_Nsoko!CA_PSC_switch_trig=0)+ (ECR_cont_rate_Nsoko2019)*(HM_ZB_Nsoko!CA_PSC_switch_trig=1)</f>
        <v>0.5</v>
      </c>
      <c r="AS283" s="53">
        <f ca="1">(IF(AND($F$37&gt;=INDEX(FA_ECR_reserves,2),AS281=1),INDEX(HM_ZB_Nsoko!FA_ECR_cont_rate,3),
IF(AND($F$37&gt;=INDEX(FA_ECR_reserves,2),AS281=0),INDEX(HM_ZB_Nsoko!FA_ECR_cont_rate,2),
INDEX(HM_ZB_Nsoko!FA_ECR_cont_rate,1))))*(HM_ZB_Nsoko!CA_PSC_switch_trig=0)+ (ECR_cont_rate_Nsoko2019)*(HM_ZB_Nsoko!CA_PSC_switch_trig=1)</f>
        <v>0.5</v>
      </c>
      <c r="AT283" s="53">
        <f ca="1">(IF(AND($F$37&gt;=INDEX(FA_ECR_reserves,2),AT281=1),INDEX(HM_ZB_Nsoko!FA_ECR_cont_rate,3),
IF(AND($F$37&gt;=INDEX(FA_ECR_reserves,2),AT281=0),INDEX(HM_ZB_Nsoko!FA_ECR_cont_rate,2),
INDEX(HM_ZB_Nsoko!FA_ECR_cont_rate,1))))*(HM_ZB_Nsoko!CA_PSC_switch_trig=0)+ (ECR_cont_rate_Nsoko2019)*(HM_ZB_Nsoko!CA_PSC_switch_trig=1)</f>
        <v>0.5</v>
      </c>
      <c r="AU283" s="53">
        <f ca="1">(IF(AND($F$37&gt;=INDEX(FA_ECR_reserves,2),AU281=1),INDEX(HM_ZB_Nsoko!FA_ECR_cont_rate,3),
IF(AND($F$37&gt;=INDEX(FA_ECR_reserves,2),AU281=0),INDEX(HM_ZB_Nsoko!FA_ECR_cont_rate,2),
INDEX(HM_ZB_Nsoko!FA_ECR_cont_rate,1))))*(HM_ZB_Nsoko!CA_PSC_switch_trig=0)+ (ECR_cont_rate_Nsoko2019)*(HM_ZB_Nsoko!CA_PSC_switch_trig=1)</f>
        <v>0.5</v>
      </c>
      <c r="AV283" s="53">
        <f ca="1">(IF(AND($F$37&gt;=INDEX(FA_ECR_reserves,2),AV281=1),INDEX(HM_ZB_Nsoko!FA_ECR_cont_rate,3),
IF(AND($F$37&gt;=INDEX(FA_ECR_reserves,2),AV281=0),INDEX(HM_ZB_Nsoko!FA_ECR_cont_rate,2),
INDEX(HM_ZB_Nsoko!FA_ECR_cont_rate,1))))*(HM_ZB_Nsoko!CA_PSC_switch_trig=0)+ (ECR_cont_rate_Nsoko2019)*(HM_ZB_Nsoko!CA_PSC_switch_trig=1)</f>
        <v>0.5</v>
      </c>
      <c r="AW283" s="53">
        <f ca="1">(IF(AND($F$37&gt;=INDEX(FA_ECR_reserves,2),AW281=1),INDEX(HM_ZB_Nsoko!FA_ECR_cont_rate,3),
IF(AND($F$37&gt;=INDEX(FA_ECR_reserves,2),AW281=0),INDEX(HM_ZB_Nsoko!FA_ECR_cont_rate,2),
INDEX(HM_ZB_Nsoko!FA_ECR_cont_rate,1))))*(HM_ZB_Nsoko!CA_PSC_switch_trig=0)+ (ECR_cont_rate_Nsoko2019)*(HM_ZB_Nsoko!CA_PSC_switch_trig=1)</f>
        <v>0.5</v>
      </c>
      <c r="AX283" s="53">
        <f ca="1">(IF(AND($F$37&gt;=INDEX(FA_ECR_reserves,2),AX281=1),INDEX(HM_ZB_Nsoko!FA_ECR_cont_rate,3),
IF(AND($F$37&gt;=INDEX(FA_ECR_reserves,2),AX281=0),INDEX(HM_ZB_Nsoko!FA_ECR_cont_rate,2),
INDEX(HM_ZB_Nsoko!FA_ECR_cont_rate,1))))*(HM_ZB_Nsoko!CA_PSC_switch_trig=0)+ (ECR_cont_rate_Nsoko2019)*(HM_ZB_Nsoko!CA_PSC_switch_trig=1)</f>
        <v>0.5</v>
      </c>
      <c r="AY283" s="53">
        <f ca="1">(IF(AND($F$37&gt;=INDEX(FA_ECR_reserves,2),AY281=1),INDEX(HM_ZB_Nsoko!FA_ECR_cont_rate,3),
IF(AND($F$37&gt;=INDEX(FA_ECR_reserves,2),AY281=0),INDEX(HM_ZB_Nsoko!FA_ECR_cont_rate,2),
INDEX(HM_ZB_Nsoko!FA_ECR_cont_rate,1))))*(HM_ZB_Nsoko!CA_PSC_switch_trig=0)+ (ECR_cont_rate_Nsoko2019)*(HM_ZB_Nsoko!CA_PSC_switch_trig=1)</f>
        <v>0.5</v>
      </c>
      <c r="AZ283" s="53">
        <f ca="1">(IF(AND($F$37&gt;=INDEX(FA_ECR_reserves,2),AZ281=1),INDEX(HM_ZB_Nsoko!FA_ECR_cont_rate,3),
IF(AND($F$37&gt;=INDEX(FA_ECR_reserves,2),AZ281=0),INDEX(HM_ZB_Nsoko!FA_ECR_cont_rate,2),
INDEX(HM_ZB_Nsoko!FA_ECR_cont_rate,1))))*(HM_ZB_Nsoko!CA_PSC_switch_trig=0)+ (ECR_cont_rate_Nsoko2019)*(HM_ZB_Nsoko!CA_PSC_switch_trig=1)</f>
        <v>0.5</v>
      </c>
      <c r="BA283" s="53">
        <f ca="1">(IF(AND($F$37&gt;=INDEX(FA_ECR_reserves,2),BA281=1),INDEX(HM_ZB_Nsoko!FA_ECR_cont_rate,3),
IF(AND($F$37&gt;=INDEX(FA_ECR_reserves,2),BA281=0),INDEX(HM_ZB_Nsoko!FA_ECR_cont_rate,2),
INDEX(HM_ZB_Nsoko!FA_ECR_cont_rate,1))))*(HM_ZB_Nsoko!CA_PSC_switch_trig=0)+ (ECR_cont_rate_Nsoko2019)*(HM_ZB_Nsoko!CA_PSC_switch_trig=1)</f>
        <v>0.5</v>
      </c>
      <c r="BB283" s="53">
        <f ca="1">(IF(AND($F$37&gt;=INDEX(FA_ECR_reserves,2),BB281=1),INDEX(HM_ZB_Nsoko!FA_ECR_cont_rate,3),
IF(AND($F$37&gt;=INDEX(FA_ECR_reserves,2),BB281=0),INDEX(HM_ZB_Nsoko!FA_ECR_cont_rate,2),
INDEX(HM_ZB_Nsoko!FA_ECR_cont_rate,1))))*(HM_ZB_Nsoko!CA_PSC_switch_trig=0)+ (ECR_cont_rate_Nsoko2019)*(HM_ZB_Nsoko!CA_PSC_switch_trig=1)</f>
        <v>0.5</v>
      </c>
      <c r="BC283" s="53">
        <f ca="1">(IF(AND($F$37&gt;=INDEX(FA_ECR_reserves,2),BC281=1),INDEX(HM_ZB_Nsoko!FA_ECR_cont_rate,3),
IF(AND($F$37&gt;=INDEX(FA_ECR_reserves,2),BC281=0),INDEX(HM_ZB_Nsoko!FA_ECR_cont_rate,2),
INDEX(HM_ZB_Nsoko!FA_ECR_cont_rate,1))))*(HM_ZB_Nsoko!CA_PSC_switch_trig=0)+ (ECR_cont_rate_Nsoko2019)*(HM_ZB_Nsoko!CA_PSC_switch_trig=1)</f>
        <v>0.5</v>
      </c>
      <c r="BD283" s="53">
        <f ca="1">(IF(AND($F$37&gt;=INDEX(FA_ECR_reserves,2),BD281=1),INDEX(HM_ZB_Nsoko!FA_ECR_cont_rate,3),
IF(AND($F$37&gt;=INDEX(FA_ECR_reserves,2),BD281=0),INDEX(HM_ZB_Nsoko!FA_ECR_cont_rate,2),
INDEX(HM_ZB_Nsoko!FA_ECR_cont_rate,1))))*(HM_ZB_Nsoko!CA_PSC_switch_trig=0)+ (ECR_cont_rate_Nsoko2019)*(HM_ZB_Nsoko!CA_PSC_switch_trig=1)</f>
        <v>0.5</v>
      </c>
      <c r="BE283" s="53">
        <f ca="1">(IF(AND($F$37&gt;=INDEX(FA_ECR_reserves,2),BE281=1),INDEX(HM_ZB_Nsoko!FA_ECR_cont_rate,3),
IF(AND($F$37&gt;=INDEX(FA_ECR_reserves,2),BE281=0),INDEX(HM_ZB_Nsoko!FA_ECR_cont_rate,2),
INDEX(HM_ZB_Nsoko!FA_ECR_cont_rate,1))))*(HM_ZB_Nsoko!CA_PSC_switch_trig=0)+ (ECR_cont_rate_Nsoko2019)*(HM_ZB_Nsoko!CA_PSC_switch_trig=1)</f>
        <v>0.5</v>
      </c>
      <c r="BF283" s="53">
        <f ca="1">(IF(AND($F$37&gt;=INDEX(FA_ECR_reserves,2),BF281=1),INDEX(HM_ZB_Nsoko!FA_ECR_cont_rate,3),
IF(AND($F$37&gt;=INDEX(FA_ECR_reserves,2),BF281=0),INDEX(HM_ZB_Nsoko!FA_ECR_cont_rate,2),
INDEX(HM_ZB_Nsoko!FA_ECR_cont_rate,1))))*(HM_ZB_Nsoko!CA_PSC_switch_trig=0)+ (ECR_cont_rate_Nsoko2019)*(HM_ZB_Nsoko!CA_PSC_switch_trig=1)</f>
        <v>0.5</v>
      </c>
      <c r="BG283" s="53">
        <f ca="1">(IF(AND($F$37&gt;=INDEX(FA_ECR_reserves,2),BG281=1),INDEX(HM_ZB_Nsoko!FA_ECR_cont_rate,3),
IF(AND($F$37&gt;=INDEX(FA_ECR_reserves,2),BG281=0),INDEX(HM_ZB_Nsoko!FA_ECR_cont_rate,2),
INDEX(HM_ZB_Nsoko!FA_ECR_cont_rate,1))))*(HM_ZB_Nsoko!CA_PSC_switch_trig=0)+ (ECR_cont_rate_Nsoko2019)*(HM_ZB_Nsoko!CA_PSC_switch_trig=1)</f>
        <v>0.5</v>
      </c>
      <c r="BH283" s="53">
        <f ca="1">(IF(AND($F$37&gt;=INDEX(FA_ECR_reserves,2),BH281=1),INDEX(HM_ZB_Nsoko!FA_ECR_cont_rate,3),
IF(AND($F$37&gt;=INDEX(FA_ECR_reserves,2),BH281=0),INDEX(HM_ZB_Nsoko!FA_ECR_cont_rate,2),
INDEX(HM_ZB_Nsoko!FA_ECR_cont_rate,1))))*(HM_ZB_Nsoko!CA_PSC_switch_trig=0)+ (ECR_cont_rate_Nsoko2019)*(HM_ZB_Nsoko!CA_PSC_switch_trig=1)</f>
        <v>0.5</v>
      </c>
      <c r="BI283" s="53">
        <f ca="1">(IF(AND($F$37&gt;=INDEX(FA_ECR_reserves,2),BI281=1),INDEX(HM_ZB_Nsoko!FA_ECR_cont_rate,3),
IF(AND($F$37&gt;=INDEX(FA_ECR_reserves,2),BI281=0),INDEX(HM_ZB_Nsoko!FA_ECR_cont_rate,2),
INDEX(HM_ZB_Nsoko!FA_ECR_cont_rate,1))))*(HM_ZB_Nsoko!CA_PSC_switch_trig=0)+ (ECR_cont_rate_Nsoko2019)*(HM_ZB_Nsoko!CA_PSC_switch_trig=1)</f>
        <v>0.5</v>
      </c>
      <c r="BJ283" s="53">
        <f ca="1">(IF(AND($F$37&gt;=INDEX(FA_ECR_reserves,2),BJ281=1),INDEX(HM_ZB_Nsoko!FA_ECR_cont_rate,3),
IF(AND($F$37&gt;=INDEX(FA_ECR_reserves,2),BJ281=0),INDEX(HM_ZB_Nsoko!FA_ECR_cont_rate,2),
INDEX(HM_ZB_Nsoko!FA_ECR_cont_rate,1))))*(HM_ZB_Nsoko!CA_PSC_switch_trig=0)+ (ECR_cont_rate_Nsoko2019)*(HM_ZB_Nsoko!CA_PSC_switch_trig=1)</f>
        <v>0.5</v>
      </c>
      <c r="BK283" s="53">
        <f ca="1">(IF(AND($F$37&gt;=INDEX(FA_ECR_reserves,2),BK281=1),INDEX(HM_ZB_Nsoko!FA_ECR_cont_rate,3),
IF(AND($F$37&gt;=INDEX(FA_ECR_reserves,2),BK281=0),INDEX(HM_ZB_Nsoko!FA_ECR_cont_rate,2),
INDEX(HM_ZB_Nsoko!FA_ECR_cont_rate,1))))*(HM_ZB_Nsoko!CA_PSC_switch_trig=0)+ (ECR_cont_rate_Nsoko2019)*(HM_ZB_Nsoko!CA_PSC_switch_trig=1)</f>
        <v>0.5</v>
      </c>
      <c r="BL283" s="53">
        <f ca="1">(IF(AND($F$37&gt;=INDEX(FA_ECR_reserves,2),BL281=1),INDEX(HM_ZB_Nsoko!FA_ECR_cont_rate,3),
IF(AND($F$37&gt;=INDEX(FA_ECR_reserves,2),BL281=0),INDEX(HM_ZB_Nsoko!FA_ECR_cont_rate,2),
INDEX(HM_ZB_Nsoko!FA_ECR_cont_rate,1))))*(HM_ZB_Nsoko!CA_PSC_switch_trig=0)+ (ECR_cont_rate_Nsoko2019)*(HM_ZB_Nsoko!CA_PSC_switch_trig=1)</f>
        <v>0.5</v>
      </c>
      <c r="BM283" s="53">
        <f ca="1">(IF(AND($F$37&gt;=INDEX(FA_ECR_reserves,2),BM281=1),INDEX(HM_ZB_Nsoko!FA_ECR_cont_rate,3),
IF(AND($F$37&gt;=INDEX(FA_ECR_reserves,2),BM281=0),INDEX(HM_ZB_Nsoko!FA_ECR_cont_rate,2),
INDEX(HM_ZB_Nsoko!FA_ECR_cont_rate,1))))*(HM_ZB_Nsoko!CA_PSC_switch_trig=0)+ (ECR_cont_rate_Nsoko2019)*(HM_ZB_Nsoko!CA_PSC_switch_trig=1)</f>
        <v>0.5</v>
      </c>
      <c r="BN283" s="53">
        <f ca="1">(IF(AND($F$37&gt;=INDEX(FA_ECR_reserves,2),BN281=1),INDEX(HM_ZB_Nsoko!FA_ECR_cont_rate,3),
IF(AND($F$37&gt;=INDEX(FA_ECR_reserves,2),BN281=0),INDEX(HM_ZB_Nsoko!FA_ECR_cont_rate,2),
INDEX(HM_ZB_Nsoko!FA_ECR_cont_rate,1))))*(HM_ZB_Nsoko!CA_PSC_switch_trig=0)+ (ECR_cont_rate_Nsoko2019)*(HM_ZB_Nsoko!CA_PSC_switch_trig=1)</f>
        <v>0.5</v>
      </c>
      <c r="BO283" s="53">
        <f ca="1">(IF(AND($F$37&gt;=INDEX(FA_ECR_reserves,2),BO281=1),INDEX(HM_ZB_Nsoko!FA_ECR_cont_rate,3),
IF(AND($F$37&gt;=INDEX(FA_ECR_reserves,2),BO281=0),INDEX(HM_ZB_Nsoko!FA_ECR_cont_rate,2),
INDEX(HM_ZB_Nsoko!FA_ECR_cont_rate,1))))*(HM_ZB_Nsoko!CA_PSC_switch_trig=0)+ (ECR_cont_rate_Nsoko2019)*(HM_ZB_Nsoko!CA_PSC_switch_trig=1)</f>
        <v>0.5</v>
      </c>
      <c r="BP283" s="53">
        <f ca="1">(IF(AND($F$37&gt;=INDEX(FA_ECR_reserves,2),BP281=1),INDEX(HM_ZB_Nsoko!FA_ECR_cont_rate,3),
IF(AND($F$37&gt;=INDEX(FA_ECR_reserves,2),BP281=0),INDEX(HM_ZB_Nsoko!FA_ECR_cont_rate,2),
INDEX(HM_ZB_Nsoko!FA_ECR_cont_rate,1))))*(HM_ZB_Nsoko!CA_PSC_switch_trig=0)+ (ECR_cont_rate_Nsoko2019)*(HM_ZB_Nsoko!CA_PSC_switch_trig=1)</f>
        <v>0.5</v>
      </c>
      <c r="BQ283" s="53">
        <f ca="1">(IF(AND($F$37&gt;=INDEX(FA_ECR_reserves,2),BQ281=1),INDEX(HM_ZB_Nsoko!FA_ECR_cont_rate,3),
IF(AND($F$37&gt;=INDEX(FA_ECR_reserves,2),BQ281=0),INDEX(HM_ZB_Nsoko!FA_ECR_cont_rate,2),
INDEX(HM_ZB_Nsoko!FA_ECR_cont_rate,1))))*(HM_ZB_Nsoko!CA_PSC_switch_trig=0)+ (ECR_cont_rate_Nsoko2019)*(HM_ZB_Nsoko!CA_PSC_switch_trig=1)</f>
        <v>0.5</v>
      </c>
      <c r="BR283" s="53">
        <f ca="1">(IF(AND($F$37&gt;=INDEX(FA_ECR_reserves,2),BR281=1),INDEX(HM_ZB_Nsoko!FA_ECR_cont_rate,3),
IF(AND($F$37&gt;=INDEX(FA_ECR_reserves,2),BR281=0),INDEX(HM_ZB_Nsoko!FA_ECR_cont_rate,2),
INDEX(HM_ZB_Nsoko!FA_ECR_cont_rate,1))))*(HM_ZB_Nsoko!CA_PSC_switch_trig=0)+ (ECR_cont_rate_Nsoko2019)*(HM_ZB_Nsoko!CA_PSC_switch_trig=1)</f>
        <v>0.5</v>
      </c>
      <c r="BS283" s="53">
        <f ca="1">(IF(AND($F$37&gt;=INDEX(FA_ECR_reserves,2),BS281=1),INDEX(HM_ZB_Nsoko!FA_ECR_cont_rate,3),
IF(AND($F$37&gt;=INDEX(FA_ECR_reserves,2),BS281=0),INDEX(HM_ZB_Nsoko!FA_ECR_cont_rate,2),
INDEX(HM_ZB_Nsoko!FA_ECR_cont_rate,1))))*(HM_ZB_Nsoko!CA_PSC_switch_trig=0)+ (ECR_cont_rate_Nsoko2019)*(HM_ZB_Nsoko!CA_PSC_switch_trig=1)</f>
        <v>0.5</v>
      </c>
    </row>
    <row r="284" spans="3:71" outlineLevel="1" x14ac:dyDescent="0.2">
      <c r="J284" s="26"/>
      <c r="L284" s="55"/>
      <c r="M284" s="55"/>
      <c r="N284" s="55"/>
      <c r="O284" s="55"/>
      <c r="P284" s="55"/>
      <c r="Q284" s="55"/>
      <c r="R284" s="55"/>
      <c r="S284" s="55"/>
      <c r="T284" s="55"/>
      <c r="U284" s="55"/>
      <c r="V284" s="55"/>
      <c r="W284" s="55"/>
      <c r="X284" s="55"/>
      <c r="Y284" s="55"/>
      <c r="Z284" s="55"/>
      <c r="AA284" s="55"/>
      <c r="AB284" s="55"/>
      <c r="AC284" s="55"/>
      <c r="AD284" s="55"/>
      <c r="AE284" s="55"/>
      <c r="AF284" s="55"/>
      <c r="AG284" s="55"/>
      <c r="AH284" s="55"/>
      <c r="AI284" s="55"/>
      <c r="AJ284" s="55"/>
      <c r="AK284" s="55"/>
      <c r="AL284" s="55"/>
      <c r="AM284" s="55"/>
      <c r="AN284" s="55"/>
      <c r="AO284" s="55"/>
      <c r="AP284" s="55"/>
      <c r="AQ284" s="55"/>
      <c r="AR284" s="55"/>
      <c r="AS284" s="55"/>
      <c r="AT284" s="55"/>
      <c r="AU284" s="55"/>
      <c r="AV284" s="55"/>
      <c r="AW284" s="55"/>
      <c r="AX284" s="55"/>
      <c r="AY284" s="55"/>
      <c r="AZ284" s="55"/>
      <c r="BA284" s="55"/>
      <c r="BB284" s="55"/>
      <c r="BC284" s="55"/>
      <c r="BD284" s="55"/>
      <c r="BE284" s="55"/>
      <c r="BF284" s="55"/>
      <c r="BG284" s="55"/>
      <c r="BH284" s="55"/>
      <c r="BI284" s="55"/>
      <c r="BJ284" s="55"/>
      <c r="BK284" s="55"/>
      <c r="BL284" s="55"/>
      <c r="BM284" s="55"/>
      <c r="BN284" s="55"/>
      <c r="BO284" s="55"/>
      <c r="BP284" s="55"/>
      <c r="BQ284" s="55"/>
      <c r="BR284" s="55"/>
      <c r="BS284" s="55"/>
    </row>
    <row r="285" spans="3:71" outlineLevel="1" x14ac:dyDescent="0.2">
      <c r="D285" t="str">
        <f>HM_ZA_Nkossa!D274</f>
        <v>Part du Contracteur dans l'Excess Cost oil</v>
      </c>
      <c r="I285" s="30">
        <f t="shared" ca="1" si="71"/>
        <v>0</v>
      </c>
      <c r="J285" s="26" t="s">
        <v>148</v>
      </c>
      <c r="K285" s="7" t="s">
        <v>214</v>
      </c>
      <c r="L285" s="49">
        <f ca="1">L283*HM_ZB_Nsoko!CA_excess_cost_recovery</f>
        <v>0</v>
      </c>
      <c r="M285" s="49">
        <f ca="1">M283*HM_ZB_Nsoko!CA_excess_cost_recovery</f>
        <v>0</v>
      </c>
      <c r="N285" s="49">
        <f ca="1">N283*HM_ZB_Nsoko!CA_excess_cost_recovery</f>
        <v>0</v>
      </c>
      <c r="O285" s="49">
        <f ca="1">O283*HM_ZB_Nsoko!CA_excess_cost_recovery</f>
        <v>0</v>
      </c>
      <c r="P285" s="49">
        <f ca="1">P283*HM_ZB_Nsoko!CA_excess_cost_recovery</f>
        <v>0</v>
      </c>
      <c r="Q285" s="49">
        <f ca="1">Q283*HM_ZB_Nsoko!CA_excess_cost_recovery</f>
        <v>0</v>
      </c>
      <c r="R285" s="49">
        <f ca="1">R283*HM_ZB_Nsoko!CA_excess_cost_recovery</f>
        <v>0</v>
      </c>
      <c r="S285" s="49">
        <f ca="1">S283*HM_ZB_Nsoko!CA_excess_cost_recovery</f>
        <v>0</v>
      </c>
      <c r="T285" s="49">
        <f ca="1">T283*HM_ZB_Nsoko!CA_excess_cost_recovery</f>
        <v>0</v>
      </c>
      <c r="U285" s="49">
        <f ca="1">U283*HM_ZB_Nsoko!CA_excess_cost_recovery</f>
        <v>0</v>
      </c>
      <c r="V285" s="49">
        <f ca="1">V283*HM_ZB_Nsoko!CA_excess_cost_recovery</f>
        <v>0</v>
      </c>
      <c r="W285" s="49">
        <f ca="1">W283*HM_ZB_Nsoko!CA_excess_cost_recovery</f>
        <v>0</v>
      </c>
      <c r="X285" s="49">
        <f ca="1">X283*HM_ZB_Nsoko!CA_excess_cost_recovery</f>
        <v>0</v>
      </c>
      <c r="Y285" s="49">
        <f ca="1">Y283*HM_ZB_Nsoko!CA_excess_cost_recovery</f>
        <v>0</v>
      </c>
      <c r="Z285" s="49">
        <f ca="1">Z283*HM_ZB_Nsoko!CA_excess_cost_recovery</f>
        <v>0</v>
      </c>
      <c r="AA285" s="49">
        <f ca="1">AA283*HM_ZB_Nsoko!CA_excess_cost_recovery</f>
        <v>0</v>
      </c>
      <c r="AB285" s="49">
        <f ca="1">AB283*HM_ZB_Nsoko!CA_excess_cost_recovery</f>
        <v>0</v>
      </c>
      <c r="AC285" s="49">
        <f ca="1">AC283*HM_ZB_Nsoko!CA_excess_cost_recovery</f>
        <v>0</v>
      </c>
      <c r="AD285" s="49">
        <f ca="1">AD283*HM_ZB_Nsoko!CA_excess_cost_recovery</f>
        <v>0</v>
      </c>
      <c r="AE285" s="49">
        <f ca="1">AE283*HM_ZB_Nsoko!CA_excess_cost_recovery</f>
        <v>0</v>
      </c>
      <c r="AF285" s="49">
        <f ca="1">AF283*HM_ZB_Nsoko!CA_excess_cost_recovery</f>
        <v>0</v>
      </c>
      <c r="AG285" s="49">
        <f ca="1">AG283*HM_ZB_Nsoko!CA_excess_cost_recovery</f>
        <v>0</v>
      </c>
      <c r="AH285" s="49">
        <f ca="1">AH283*HM_ZB_Nsoko!CA_excess_cost_recovery</f>
        <v>0</v>
      </c>
      <c r="AI285" s="49">
        <f ca="1">AI283*HM_ZB_Nsoko!CA_excess_cost_recovery</f>
        <v>0</v>
      </c>
      <c r="AJ285" s="49">
        <f ca="1">AJ283*HM_ZB_Nsoko!CA_excess_cost_recovery</f>
        <v>0</v>
      </c>
      <c r="AK285" s="49">
        <f ca="1">AK283*HM_ZB_Nsoko!CA_excess_cost_recovery</f>
        <v>0</v>
      </c>
      <c r="AL285" s="49">
        <f ca="1">AL283*HM_ZB_Nsoko!CA_excess_cost_recovery</f>
        <v>0</v>
      </c>
      <c r="AM285" s="49">
        <f ca="1">AM283*HM_ZB_Nsoko!CA_excess_cost_recovery</f>
        <v>0</v>
      </c>
      <c r="AN285" s="49">
        <f ca="1">AN283*HM_ZB_Nsoko!CA_excess_cost_recovery</f>
        <v>0</v>
      </c>
      <c r="AO285" s="49">
        <f ca="1">AO283*HM_ZB_Nsoko!CA_excess_cost_recovery</f>
        <v>0</v>
      </c>
      <c r="AP285" s="49">
        <f ca="1">AP283*HM_ZB_Nsoko!CA_excess_cost_recovery</f>
        <v>0</v>
      </c>
      <c r="AQ285" s="49">
        <f ca="1">AQ283*HM_ZB_Nsoko!CA_excess_cost_recovery</f>
        <v>0</v>
      </c>
      <c r="AR285" s="49">
        <f ca="1">AR283*HM_ZB_Nsoko!CA_excess_cost_recovery</f>
        <v>0</v>
      </c>
      <c r="AS285" s="49">
        <f ca="1">AS283*HM_ZB_Nsoko!CA_excess_cost_recovery</f>
        <v>0</v>
      </c>
      <c r="AT285" s="49">
        <f ca="1">AT283*HM_ZB_Nsoko!CA_excess_cost_recovery</f>
        <v>0</v>
      </c>
      <c r="AU285" s="49">
        <f ca="1">AU283*HM_ZB_Nsoko!CA_excess_cost_recovery</f>
        <v>0</v>
      </c>
      <c r="AV285" s="49">
        <f ca="1">AV283*HM_ZB_Nsoko!CA_excess_cost_recovery</f>
        <v>0</v>
      </c>
      <c r="AW285" s="49">
        <f ca="1">AW283*HM_ZB_Nsoko!CA_excess_cost_recovery</f>
        <v>0</v>
      </c>
      <c r="AX285" s="49">
        <f ca="1">AX283*HM_ZB_Nsoko!CA_excess_cost_recovery</f>
        <v>0</v>
      </c>
      <c r="AY285" s="49">
        <f ca="1">AY283*HM_ZB_Nsoko!CA_excess_cost_recovery</f>
        <v>0</v>
      </c>
      <c r="AZ285" s="49">
        <f ca="1">AZ283*HM_ZB_Nsoko!CA_excess_cost_recovery</f>
        <v>0</v>
      </c>
      <c r="BA285" s="49">
        <f ca="1">BA283*HM_ZB_Nsoko!CA_excess_cost_recovery</f>
        <v>0</v>
      </c>
      <c r="BB285" s="49">
        <f ca="1">BB283*HM_ZB_Nsoko!CA_excess_cost_recovery</f>
        <v>0</v>
      </c>
      <c r="BC285" s="49">
        <f ca="1">BC283*HM_ZB_Nsoko!CA_excess_cost_recovery</f>
        <v>0</v>
      </c>
      <c r="BD285" s="49">
        <f ca="1">BD283*HM_ZB_Nsoko!CA_excess_cost_recovery</f>
        <v>0</v>
      </c>
      <c r="BE285" s="49">
        <f ca="1">BE283*HM_ZB_Nsoko!CA_excess_cost_recovery</f>
        <v>0</v>
      </c>
      <c r="BF285" s="49">
        <f ca="1">BF283*HM_ZB_Nsoko!CA_excess_cost_recovery</f>
        <v>0</v>
      </c>
      <c r="BG285" s="49">
        <f ca="1">BG283*HM_ZB_Nsoko!CA_excess_cost_recovery</f>
        <v>0</v>
      </c>
      <c r="BH285" s="49">
        <f ca="1">BH283*HM_ZB_Nsoko!CA_excess_cost_recovery</f>
        <v>0</v>
      </c>
      <c r="BI285" s="49">
        <f ca="1">BI283*HM_ZB_Nsoko!CA_excess_cost_recovery</f>
        <v>0</v>
      </c>
      <c r="BJ285" s="49">
        <f ca="1">BJ283*HM_ZB_Nsoko!CA_excess_cost_recovery</f>
        <v>0</v>
      </c>
      <c r="BK285" s="49">
        <f ca="1">BK283*HM_ZB_Nsoko!CA_excess_cost_recovery</f>
        <v>0</v>
      </c>
      <c r="BL285" s="49">
        <f ca="1">BL283*HM_ZB_Nsoko!CA_excess_cost_recovery</f>
        <v>0</v>
      </c>
      <c r="BM285" s="49">
        <f ca="1">BM283*HM_ZB_Nsoko!CA_excess_cost_recovery</f>
        <v>0</v>
      </c>
      <c r="BN285" s="49">
        <f ca="1">BN283*HM_ZB_Nsoko!CA_excess_cost_recovery</f>
        <v>0</v>
      </c>
      <c r="BO285" s="49">
        <f ca="1">BO283*HM_ZB_Nsoko!CA_excess_cost_recovery</f>
        <v>0</v>
      </c>
      <c r="BP285" s="49">
        <f ca="1">BP283*HM_ZB_Nsoko!CA_excess_cost_recovery</f>
        <v>0</v>
      </c>
      <c r="BQ285" s="49">
        <f ca="1">BQ283*HM_ZB_Nsoko!CA_excess_cost_recovery</f>
        <v>0</v>
      </c>
      <c r="BR285" s="49">
        <f ca="1">BR283*HM_ZB_Nsoko!CA_excess_cost_recovery</f>
        <v>0</v>
      </c>
      <c r="BS285" s="49">
        <f ca="1">BS283*HM_ZB_Nsoko!CA_excess_cost_recovery</f>
        <v>0</v>
      </c>
    </row>
    <row r="286" spans="3:71" outlineLevel="1" x14ac:dyDescent="0.2">
      <c r="D286" t="str">
        <f>HM_ZA_Nkossa!D275</f>
        <v>Part du Gouv. dans l'Excess Cost oil</v>
      </c>
      <c r="I286" s="30">
        <f t="shared" ca="1" si="71"/>
        <v>0</v>
      </c>
      <c r="J286" s="26" t="s">
        <v>148</v>
      </c>
      <c r="K286" s="7" t="s">
        <v>216</v>
      </c>
      <c r="L286" s="49">
        <f ca="1">HM_ZB_Nsoko!CA_excess_cost_recovery-HM_ZB_Nsoko!CA_excess_CR_cont</f>
        <v>0</v>
      </c>
      <c r="M286" s="49">
        <f ca="1">HM_ZB_Nsoko!CA_excess_cost_recovery-HM_ZB_Nsoko!CA_excess_CR_cont</f>
        <v>0</v>
      </c>
      <c r="N286" s="49">
        <f ca="1">HM_ZB_Nsoko!CA_excess_cost_recovery-HM_ZB_Nsoko!CA_excess_CR_cont</f>
        <v>0</v>
      </c>
      <c r="O286" s="49">
        <f ca="1">HM_ZB_Nsoko!CA_excess_cost_recovery-HM_ZB_Nsoko!CA_excess_CR_cont</f>
        <v>0</v>
      </c>
      <c r="P286" s="49">
        <f ca="1">HM_ZB_Nsoko!CA_excess_cost_recovery-HM_ZB_Nsoko!CA_excess_CR_cont</f>
        <v>0</v>
      </c>
      <c r="Q286" s="49">
        <f ca="1">HM_ZB_Nsoko!CA_excess_cost_recovery-HM_ZB_Nsoko!CA_excess_CR_cont</f>
        <v>0</v>
      </c>
      <c r="R286" s="49">
        <f ca="1">HM_ZB_Nsoko!CA_excess_cost_recovery-HM_ZB_Nsoko!CA_excess_CR_cont</f>
        <v>0</v>
      </c>
      <c r="S286" s="49">
        <f ca="1">HM_ZB_Nsoko!CA_excess_cost_recovery-HM_ZB_Nsoko!CA_excess_CR_cont</f>
        <v>0</v>
      </c>
      <c r="T286" s="49">
        <f ca="1">HM_ZB_Nsoko!CA_excess_cost_recovery-HM_ZB_Nsoko!CA_excess_CR_cont</f>
        <v>0</v>
      </c>
      <c r="U286" s="49">
        <f ca="1">HM_ZB_Nsoko!CA_excess_cost_recovery-HM_ZB_Nsoko!CA_excess_CR_cont</f>
        <v>0</v>
      </c>
      <c r="V286" s="49">
        <f ca="1">HM_ZB_Nsoko!CA_excess_cost_recovery-HM_ZB_Nsoko!CA_excess_CR_cont</f>
        <v>0</v>
      </c>
      <c r="W286" s="49">
        <f ca="1">HM_ZB_Nsoko!CA_excess_cost_recovery-HM_ZB_Nsoko!CA_excess_CR_cont</f>
        <v>0</v>
      </c>
      <c r="X286" s="49">
        <f ca="1">HM_ZB_Nsoko!CA_excess_cost_recovery-HM_ZB_Nsoko!CA_excess_CR_cont</f>
        <v>0</v>
      </c>
      <c r="Y286" s="49">
        <f ca="1">HM_ZB_Nsoko!CA_excess_cost_recovery-HM_ZB_Nsoko!CA_excess_CR_cont</f>
        <v>0</v>
      </c>
      <c r="Z286" s="49">
        <f ca="1">HM_ZB_Nsoko!CA_excess_cost_recovery-HM_ZB_Nsoko!CA_excess_CR_cont</f>
        <v>0</v>
      </c>
      <c r="AA286" s="49">
        <f ca="1">HM_ZB_Nsoko!CA_excess_cost_recovery-HM_ZB_Nsoko!CA_excess_CR_cont</f>
        <v>0</v>
      </c>
      <c r="AB286" s="49">
        <f ca="1">HM_ZB_Nsoko!CA_excess_cost_recovery-HM_ZB_Nsoko!CA_excess_CR_cont</f>
        <v>0</v>
      </c>
      <c r="AC286" s="49">
        <f ca="1">HM_ZB_Nsoko!CA_excess_cost_recovery-HM_ZB_Nsoko!CA_excess_CR_cont</f>
        <v>0</v>
      </c>
      <c r="AD286" s="49">
        <f ca="1">HM_ZB_Nsoko!CA_excess_cost_recovery-HM_ZB_Nsoko!CA_excess_CR_cont</f>
        <v>0</v>
      </c>
      <c r="AE286" s="49">
        <f ca="1">HM_ZB_Nsoko!CA_excess_cost_recovery-HM_ZB_Nsoko!CA_excess_CR_cont</f>
        <v>0</v>
      </c>
      <c r="AF286" s="49">
        <f ca="1">HM_ZB_Nsoko!CA_excess_cost_recovery-HM_ZB_Nsoko!CA_excess_CR_cont</f>
        <v>0</v>
      </c>
      <c r="AG286" s="49">
        <f ca="1">HM_ZB_Nsoko!CA_excess_cost_recovery-HM_ZB_Nsoko!CA_excess_CR_cont</f>
        <v>0</v>
      </c>
      <c r="AH286" s="49">
        <f ca="1">HM_ZB_Nsoko!CA_excess_cost_recovery-HM_ZB_Nsoko!CA_excess_CR_cont</f>
        <v>0</v>
      </c>
      <c r="AI286" s="49">
        <f ca="1">HM_ZB_Nsoko!CA_excess_cost_recovery-HM_ZB_Nsoko!CA_excess_CR_cont</f>
        <v>0</v>
      </c>
      <c r="AJ286" s="49">
        <f ca="1">HM_ZB_Nsoko!CA_excess_cost_recovery-HM_ZB_Nsoko!CA_excess_CR_cont</f>
        <v>0</v>
      </c>
      <c r="AK286" s="49">
        <f ca="1">HM_ZB_Nsoko!CA_excess_cost_recovery-HM_ZB_Nsoko!CA_excess_CR_cont</f>
        <v>0</v>
      </c>
      <c r="AL286" s="49">
        <f ca="1">HM_ZB_Nsoko!CA_excess_cost_recovery-HM_ZB_Nsoko!CA_excess_CR_cont</f>
        <v>0</v>
      </c>
      <c r="AM286" s="49">
        <f ca="1">HM_ZB_Nsoko!CA_excess_cost_recovery-HM_ZB_Nsoko!CA_excess_CR_cont</f>
        <v>0</v>
      </c>
      <c r="AN286" s="49">
        <f ca="1">HM_ZB_Nsoko!CA_excess_cost_recovery-HM_ZB_Nsoko!CA_excess_CR_cont</f>
        <v>0</v>
      </c>
      <c r="AO286" s="49">
        <f ca="1">HM_ZB_Nsoko!CA_excess_cost_recovery-HM_ZB_Nsoko!CA_excess_CR_cont</f>
        <v>0</v>
      </c>
      <c r="AP286" s="49">
        <f ca="1">HM_ZB_Nsoko!CA_excess_cost_recovery-HM_ZB_Nsoko!CA_excess_CR_cont</f>
        <v>0</v>
      </c>
      <c r="AQ286" s="49">
        <f ca="1">HM_ZB_Nsoko!CA_excess_cost_recovery-HM_ZB_Nsoko!CA_excess_CR_cont</f>
        <v>0</v>
      </c>
      <c r="AR286" s="49">
        <f ca="1">HM_ZB_Nsoko!CA_excess_cost_recovery-HM_ZB_Nsoko!CA_excess_CR_cont</f>
        <v>0</v>
      </c>
      <c r="AS286" s="49">
        <f ca="1">HM_ZB_Nsoko!CA_excess_cost_recovery-HM_ZB_Nsoko!CA_excess_CR_cont</f>
        <v>0</v>
      </c>
      <c r="AT286" s="49">
        <f ca="1">HM_ZB_Nsoko!CA_excess_cost_recovery-HM_ZB_Nsoko!CA_excess_CR_cont</f>
        <v>0</v>
      </c>
      <c r="AU286" s="49">
        <f ca="1">HM_ZB_Nsoko!CA_excess_cost_recovery-HM_ZB_Nsoko!CA_excess_CR_cont</f>
        <v>0</v>
      </c>
      <c r="AV286" s="49">
        <f ca="1">HM_ZB_Nsoko!CA_excess_cost_recovery-HM_ZB_Nsoko!CA_excess_CR_cont</f>
        <v>0</v>
      </c>
      <c r="AW286" s="49">
        <f ca="1">HM_ZB_Nsoko!CA_excess_cost_recovery-HM_ZB_Nsoko!CA_excess_CR_cont</f>
        <v>0</v>
      </c>
      <c r="AX286" s="49">
        <f ca="1">HM_ZB_Nsoko!CA_excess_cost_recovery-HM_ZB_Nsoko!CA_excess_CR_cont</f>
        <v>0</v>
      </c>
      <c r="AY286" s="49">
        <f ca="1">HM_ZB_Nsoko!CA_excess_cost_recovery-HM_ZB_Nsoko!CA_excess_CR_cont</f>
        <v>0</v>
      </c>
      <c r="AZ286" s="49">
        <f ca="1">HM_ZB_Nsoko!CA_excess_cost_recovery-HM_ZB_Nsoko!CA_excess_CR_cont</f>
        <v>0</v>
      </c>
      <c r="BA286" s="49">
        <f ca="1">HM_ZB_Nsoko!CA_excess_cost_recovery-HM_ZB_Nsoko!CA_excess_CR_cont</f>
        <v>0</v>
      </c>
      <c r="BB286" s="49">
        <f ca="1">HM_ZB_Nsoko!CA_excess_cost_recovery-HM_ZB_Nsoko!CA_excess_CR_cont</f>
        <v>0</v>
      </c>
      <c r="BC286" s="49">
        <f ca="1">HM_ZB_Nsoko!CA_excess_cost_recovery-HM_ZB_Nsoko!CA_excess_CR_cont</f>
        <v>0</v>
      </c>
      <c r="BD286" s="49">
        <f ca="1">HM_ZB_Nsoko!CA_excess_cost_recovery-HM_ZB_Nsoko!CA_excess_CR_cont</f>
        <v>0</v>
      </c>
      <c r="BE286" s="49">
        <f ca="1">HM_ZB_Nsoko!CA_excess_cost_recovery-HM_ZB_Nsoko!CA_excess_CR_cont</f>
        <v>0</v>
      </c>
      <c r="BF286" s="49">
        <f ca="1">HM_ZB_Nsoko!CA_excess_cost_recovery-HM_ZB_Nsoko!CA_excess_CR_cont</f>
        <v>0</v>
      </c>
      <c r="BG286" s="49">
        <f ca="1">HM_ZB_Nsoko!CA_excess_cost_recovery-HM_ZB_Nsoko!CA_excess_CR_cont</f>
        <v>0</v>
      </c>
      <c r="BH286" s="49">
        <f ca="1">HM_ZB_Nsoko!CA_excess_cost_recovery-HM_ZB_Nsoko!CA_excess_CR_cont</f>
        <v>0</v>
      </c>
      <c r="BI286" s="49">
        <f ca="1">HM_ZB_Nsoko!CA_excess_cost_recovery-HM_ZB_Nsoko!CA_excess_CR_cont</f>
        <v>0</v>
      </c>
      <c r="BJ286" s="49">
        <f ca="1">HM_ZB_Nsoko!CA_excess_cost_recovery-HM_ZB_Nsoko!CA_excess_CR_cont</f>
        <v>0</v>
      </c>
      <c r="BK286" s="49">
        <f ca="1">HM_ZB_Nsoko!CA_excess_cost_recovery-HM_ZB_Nsoko!CA_excess_CR_cont</f>
        <v>0</v>
      </c>
      <c r="BL286" s="49">
        <f ca="1">HM_ZB_Nsoko!CA_excess_cost_recovery-HM_ZB_Nsoko!CA_excess_CR_cont</f>
        <v>0</v>
      </c>
      <c r="BM286" s="49">
        <f ca="1">HM_ZB_Nsoko!CA_excess_cost_recovery-HM_ZB_Nsoko!CA_excess_CR_cont</f>
        <v>0</v>
      </c>
      <c r="BN286" s="49">
        <f ca="1">HM_ZB_Nsoko!CA_excess_cost_recovery-HM_ZB_Nsoko!CA_excess_CR_cont</f>
        <v>0</v>
      </c>
      <c r="BO286" s="49">
        <f ca="1">HM_ZB_Nsoko!CA_excess_cost_recovery-HM_ZB_Nsoko!CA_excess_CR_cont</f>
        <v>0</v>
      </c>
      <c r="BP286" s="49">
        <f ca="1">HM_ZB_Nsoko!CA_excess_cost_recovery-HM_ZB_Nsoko!CA_excess_CR_cont</f>
        <v>0</v>
      </c>
      <c r="BQ286" s="49">
        <f ca="1">HM_ZB_Nsoko!CA_excess_cost_recovery-HM_ZB_Nsoko!CA_excess_CR_cont</f>
        <v>0</v>
      </c>
      <c r="BR286" s="49">
        <f ca="1">HM_ZB_Nsoko!CA_excess_cost_recovery-HM_ZB_Nsoko!CA_excess_CR_cont</f>
        <v>0</v>
      </c>
      <c r="BS286" s="49">
        <f ca="1">HM_ZB_Nsoko!CA_excess_cost_recovery-HM_ZB_Nsoko!CA_excess_CR_cont</f>
        <v>0</v>
      </c>
    </row>
    <row r="287" spans="3:71" outlineLevel="1" x14ac:dyDescent="0.2">
      <c r="J287" s="26"/>
      <c r="L287" s="55"/>
      <c r="M287" s="55"/>
      <c r="N287" s="55"/>
      <c r="O287" s="55"/>
      <c r="P287" s="55"/>
      <c r="Q287" s="55"/>
      <c r="R287" s="55"/>
      <c r="S287" s="55"/>
      <c r="T287" s="55"/>
      <c r="U287" s="55"/>
      <c r="V287" s="55"/>
      <c r="W287" s="55"/>
      <c r="X287" s="55"/>
      <c r="Y287" s="55"/>
      <c r="Z287" s="55"/>
      <c r="AA287" s="55"/>
      <c r="AB287" s="55"/>
      <c r="AC287" s="55"/>
      <c r="AD287" s="55"/>
      <c r="AE287" s="55"/>
      <c r="AF287" s="55"/>
      <c r="AG287" s="55"/>
      <c r="AH287" s="55"/>
      <c r="AI287" s="55"/>
      <c r="AJ287" s="55"/>
      <c r="AK287" s="55"/>
      <c r="AL287" s="55"/>
      <c r="AM287" s="55"/>
      <c r="AN287" s="55"/>
      <c r="AO287" s="55"/>
      <c r="AP287" s="55"/>
      <c r="AQ287" s="55"/>
      <c r="AR287" s="55"/>
      <c r="AS287" s="55"/>
      <c r="AT287" s="55"/>
      <c r="AU287" s="55"/>
      <c r="AV287" s="55"/>
      <c r="AW287" s="55"/>
      <c r="AX287" s="55"/>
      <c r="AY287" s="55"/>
      <c r="AZ287" s="55"/>
      <c r="BA287" s="55"/>
      <c r="BB287" s="55"/>
      <c r="BC287" s="55"/>
      <c r="BD287" s="55"/>
      <c r="BE287" s="55"/>
      <c r="BF287" s="55"/>
      <c r="BG287" s="55"/>
      <c r="BH287" s="55"/>
      <c r="BI287" s="55"/>
      <c r="BJ287" s="55"/>
      <c r="BK287" s="55"/>
      <c r="BL287" s="55"/>
      <c r="BM287" s="55"/>
      <c r="BN287" s="55"/>
      <c r="BO287" s="55"/>
      <c r="BP287" s="55"/>
      <c r="BQ287" s="55"/>
      <c r="BR287" s="55"/>
      <c r="BS287" s="55"/>
    </row>
    <row r="288" spans="3:71" outlineLevel="1" x14ac:dyDescent="0.2">
      <c r="J288" s="26"/>
      <c r="L288" s="55"/>
      <c r="M288" s="55"/>
      <c r="N288" s="55"/>
      <c r="O288" s="55"/>
      <c r="P288" s="55"/>
      <c r="Q288" s="55"/>
      <c r="R288" s="55"/>
      <c r="S288" s="55"/>
      <c r="T288" s="55"/>
      <c r="U288" s="55"/>
      <c r="V288" s="55"/>
      <c r="W288" s="55"/>
      <c r="X288" s="55"/>
      <c r="Y288" s="55"/>
      <c r="Z288" s="55"/>
      <c r="AA288" s="55"/>
      <c r="AB288" s="55"/>
      <c r="AC288" s="55"/>
      <c r="AD288" s="55"/>
      <c r="AE288" s="55"/>
      <c r="AF288" s="55"/>
      <c r="AG288" s="55"/>
      <c r="AH288" s="55"/>
      <c r="AI288" s="55"/>
      <c r="AJ288" s="55"/>
      <c r="AK288" s="55"/>
      <c r="AL288" s="55"/>
      <c r="AM288" s="55"/>
      <c r="AN288" s="55"/>
      <c r="AO288" s="55"/>
      <c r="AP288" s="55"/>
      <c r="AQ288" s="55"/>
      <c r="AR288" s="55"/>
      <c r="AS288" s="55"/>
      <c r="AT288" s="55"/>
      <c r="AU288" s="55"/>
      <c r="AV288" s="55"/>
      <c r="AW288" s="55"/>
      <c r="AX288" s="55"/>
      <c r="AY288" s="55"/>
      <c r="AZ288" s="55"/>
      <c r="BA288" s="55"/>
      <c r="BB288" s="55"/>
      <c r="BC288" s="55"/>
      <c r="BD288" s="55"/>
      <c r="BE288" s="55"/>
      <c r="BF288" s="55"/>
      <c r="BG288" s="55"/>
      <c r="BH288" s="55"/>
      <c r="BI288" s="55"/>
      <c r="BJ288" s="55"/>
      <c r="BK288" s="55"/>
      <c r="BL288" s="55"/>
      <c r="BM288" s="55"/>
      <c r="BN288" s="55"/>
      <c r="BO288" s="55"/>
      <c r="BP288" s="55"/>
      <c r="BQ288" s="55"/>
      <c r="BR288" s="55"/>
      <c r="BS288" s="55"/>
    </row>
    <row r="289" spans="3:71" outlineLevel="1" x14ac:dyDescent="0.2">
      <c r="C289" s="11" t="str">
        <f>HM_ZA_Nkossa!C278</f>
        <v>Super Profit Oil (SPO)</v>
      </c>
      <c r="J289" s="26"/>
      <c r="L289" s="55"/>
      <c r="M289" s="55"/>
      <c r="N289" s="55"/>
      <c r="O289" s="55"/>
      <c r="P289" s="55"/>
      <c r="Q289" s="55"/>
      <c r="R289" s="55"/>
      <c r="S289" s="55"/>
      <c r="T289" s="55"/>
      <c r="U289" s="55"/>
      <c r="V289" s="55"/>
      <c r="W289" s="55"/>
      <c r="X289" s="55"/>
      <c r="Y289" s="55"/>
      <c r="Z289" s="55"/>
      <c r="AA289" s="55"/>
      <c r="AB289" s="55"/>
      <c r="AC289" s="55"/>
      <c r="AD289" s="55"/>
      <c r="AE289" s="55"/>
      <c r="AF289" s="55"/>
      <c r="AG289" s="55"/>
      <c r="AH289" s="55"/>
      <c r="AI289" s="55"/>
      <c r="AJ289" s="55"/>
      <c r="AK289" s="55"/>
      <c r="AL289" s="55"/>
      <c r="AM289" s="55"/>
      <c r="AN289" s="55"/>
      <c r="AO289" s="55"/>
      <c r="AP289" s="55"/>
      <c r="AQ289" s="55"/>
      <c r="AR289" s="55"/>
      <c r="AS289" s="55"/>
      <c r="AT289" s="55"/>
      <c r="AU289" s="55"/>
      <c r="AV289" s="55"/>
      <c r="AW289" s="55"/>
      <c r="AX289" s="55"/>
      <c r="AY289" s="55"/>
      <c r="AZ289" s="55"/>
      <c r="BA289" s="55"/>
      <c r="BB289" s="55"/>
      <c r="BC289" s="55"/>
      <c r="BD289" s="55"/>
      <c r="BE289" s="55"/>
      <c r="BF289" s="55"/>
      <c r="BG289" s="55"/>
      <c r="BH289" s="55"/>
      <c r="BI289" s="55"/>
      <c r="BJ289" s="55"/>
      <c r="BK289" s="55"/>
      <c r="BL289" s="55"/>
      <c r="BM289" s="55"/>
      <c r="BN289" s="55"/>
      <c r="BO289" s="55"/>
      <c r="BP289" s="55"/>
      <c r="BQ289" s="55"/>
      <c r="BR289" s="55"/>
      <c r="BS289" s="55"/>
    </row>
    <row r="290" spans="3:71" outlineLevel="1" x14ac:dyDescent="0.2">
      <c r="J290" s="26"/>
      <c r="L290" s="55"/>
      <c r="M290" s="55"/>
      <c r="N290" s="55"/>
      <c r="O290" s="55"/>
      <c r="P290" s="55"/>
      <c r="Q290" s="55"/>
      <c r="R290" s="55"/>
      <c r="S290" s="55"/>
      <c r="T290" s="55"/>
      <c r="U290" s="55"/>
      <c r="V290" s="55"/>
      <c r="W290" s="55"/>
      <c r="X290" s="55"/>
      <c r="Y290" s="55"/>
      <c r="Z290" s="55"/>
      <c r="AA290" s="55"/>
      <c r="AB290" s="55"/>
      <c r="AC290" s="55"/>
      <c r="AD290" s="55"/>
      <c r="AE290" s="55"/>
      <c r="AF290" s="55"/>
      <c r="AG290" s="55"/>
      <c r="AH290" s="55"/>
      <c r="AI290" s="55"/>
      <c r="AJ290" s="55"/>
      <c r="AK290" s="55"/>
      <c r="AL290" s="55"/>
      <c r="AM290" s="55"/>
      <c r="AN290" s="55"/>
      <c r="AO290" s="55"/>
      <c r="AP290" s="55"/>
      <c r="AQ290" s="55"/>
      <c r="AR290" s="55"/>
      <c r="AS290" s="55"/>
      <c r="AT290" s="55"/>
      <c r="AU290" s="55"/>
      <c r="AV290" s="55"/>
      <c r="AW290" s="55"/>
      <c r="AX290" s="55"/>
      <c r="AY290" s="55"/>
      <c r="AZ290" s="55"/>
      <c r="BA290" s="55"/>
      <c r="BB290" s="55"/>
      <c r="BC290" s="55"/>
      <c r="BD290" s="55"/>
      <c r="BE290" s="55"/>
      <c r="BF290" s="55"/>
      <c r="BG290" s="55"/>
      <c r="BH290" s="55"/>
      <c r="BI290" s="55"/>
      <c r="BJ290" s="55"/>
      <c r="BK290" s="55"/>
      <c r="BL290" s="55"/>
      <c r="BM290" s="55"/>
      <c r="BN290" s="55"/>
      <c r="BO290" s="55"/>
      <c r="BP290" s="55"/>
      <c r="BQ290" s="55"/>
      <c r="BR290" s="55"/>
      <c r="BS290" s="55"/>
    </row>
    <row r="291" spans="3:71" outlineLevel="1" x14ac:dyDescent="0.2">
      <c r="D291" s="35" t="str">
        <f>HM_ZA_Nkossa!D280</f>
        <v>Déclencheur SPO</v>
      </c>
      <c r="J291" s="26"/>
      <c r="K291" s="7" t="s">
        <v>219</v>
      </c>
      <c r="L291" s="49">
        <f ca="1">(1*AND(HM_ZB_Nsoko!CA_gross_rev_total_fp&gt;HM_ZB_Nsoko!CA_gross_rev_oil_hp1,CA_op_trig=1))*(HM_ZB_Nsoko!CA_PSC_switch_trig=0)+
(1*AND(HM_ZB_Nsoko!CA_gross_rev_total_fp&gt;HM_ZB_Nsoko!CA_gross_rev_oil_hp2,CA_op_trig=1))*(HM_ZB_Nsoko!CA_PSC_switch_trig=1)</f>
        <v>1</v>
      </c>
      <c r="M291" s="49">
        <f ca="1">(1*AND(HM_ZB_Nsoko!CA_gross_rev_total_fp&gt;HM_ZB_Nsoko!CA_gross_rev_oil_hp1,CA_op_trig=1))*(HM_ZB_Nsoko!CA_PSC_switch_trig=0)+
(1*AND(HM_ZB_Nsoko!CA_gross_rev_total_fp&gt;HM_ZB_Nsoko!CA_gross_rev_oil_hp2,CA_op_trig=1))*(HM_ZB_Nsoko!CA_PSC_switch_trig=1)</f>
        <v>1</v>
      </c>
      <c r="N291" s="49">
        <f ca="1">(1*AND(HM_ZB_Nsoko!CA_gross_rev_total_fp&gt;HM_ZB_Nsoko!CA_gross_rev_oil_hp1,CA_op_trig=1))*(HM_ZB_Nsoko!CA_PSC_switch_trig=0)+
(1*AND(HM_ZB_Nsoko!CA_gross_rev_total_fp&gt;HM_ZB_Nsoko!CA_gross_rev_oil_hp2,CA_op_trig=1))*(HM_ZB_Nsoko!CA_PSC_switch_trig=1)</f>
        <v>1</v>
      </c>
      <c r="O291" s="49">
        <f ca="1">(1*AND(HM_ZB_Nsoko!CA_gross_rev_total_fp&gt;HM_ZB_Nsoko!CA_gross_rev_oil_hp1,CA_op_trig=1))*(HM_ZB_Nsoko!CA_PSC_switch_trig=0)+
(1*AND(HM_ZB_Nsoko!CA_gross_rev_total_fp&gt;HM_ZB_Nsoko!CA_gross_rev_oil_hp2,CA_op_trig=1))*(HM_ZB_Nsoko!CA_PSC_switch_trig=1)</f>
        <v>1</v>
      </c>
      <c r="P291" s="49">
        <f ca="1">(1*AND(HM_ZB_Nsoko!CA_gross_rev_total_fp&gt;HM_ZB_Nsoko!CA_gross_rev_oil_hp1,CA_op_trig=1))*(HM_ZB_Nsoko!CA_PSC_switch_trig=0)+
(1*AND(HM_ZB_Nsoko!CA_gross_rev_total_fp&gt;HM_ZB_Nsoko!CA_gross_rev_oil_hp2,CA_op_trig=1))*(HM_ZB_Nsoko!CA_PSC_switch_trig=1)</f>
        <v>1</v>
      </c>
      <c r="Q291" s="49">
        <f ca="1">(1*AND(HM_ZB_Nsoko!CA_gross_rev_total_fp&gt;HM_ZB_Nsoko!CA_gross_rev_oil_hp1,CA_op_trig=1))*(HM_ZB_Nsoko!CA_PSC_switch_trig=0)+
(1*AND(HM_ZB_Nsoko!CA_gross_rev_total_fp&gt;HM_ZB_Nsoko!CA_gross_rev_oil_hp2,CA_op_trig=1))*(HM_ZB_Nsoko!CA_PSC_switch_trig=1)</f>
        <v>1</v>
      </c>
      <c r="R291" s="49">
        <f ca="1">(1*AND(HM_ZB_Nsoko!CA_gross_rev_total_fp&gt;HM_ZB_Nsoko!CA_gross_rev_oil_hp1,CA_op_trig=1))*(HM_ZB_Nsoko!CA_PSC_switch_trig=0)+
(1*AND(HM_ZB_Nsoko!CA_gross_rev_total_fp&gt;HM_ZB_Nsoko!CA_gross_rev_oil_hp2,CA_op_trig=1))*(HM_ZB_Nsoko!CA_PSC_switch_trig=1)</f>
        <v>1</v>
      </c>
      <c r="S291" s="49">
        <f ca="1">(1*AND(HM_ZB_Nsoko!CA_gross_rev_total_fp&gt;HM_ZB_Nsoko!CA_gross_rev_oil_hp1,CA_op_trig=1))*(HM_ZB_Nsoko!CA_PSC_switch_trig=0)+
(1*AND(HM_ZB_Nsoko!CA_gross_rev_total_fp&gt;HM_ZB_Nsoko!CA_gross_rev_oil_hp2,CA_op_trig=1))*(HM_ZB_Nsoko!CA_PSC_switch_trig=1)</f>
        <v>0</v>
      </c>
      <c r="T291" s="49">
        <f ca="1">(1*AND(HM_ZB_Nsoko!CA_gross_rev_total_fp&gt;HM_ZB_Nsoko!CA_gross_rev_oil_hp1,CA_op_trig=1))*(HM_ZB_Nsoko!CA_PSC_switch_trig=0)+
(1*AND(HM_ZB_Nsoko!CA_gross_rev_total_fp&gt;HM_ZB_Nsoko!CA_gross_rev_oil_hp2,CA_op_trig=1))*(HM_ZB_Nsoko!CA_PSC_switch_trig=1)</f>
        <v>1</v>
      </c>
      <c r="U291" s="49">
        <f ca="1">(1*AND(HM_ZB_Nsoko!CA_gross_rev_total_fp&gt;HM_ZB_Nsoko!CA_gross_rev_oil_hp1,CA_op_trig=1))*(HM_ZB_Nsoko!CA_PSC_switch_trig=0)+
(1*AND(HM_ZB_Nsoko!CA_gross_rev_total_fp&gt;HM_ZB_Nsoko!CA_gross_rev_oil_hp2,CA_op_trig=1))*(HM_ZB_Nsoko!CA_PSC_switch_trig=1)</f>
        <v>1</v>
      </c>
      <c r="V291" s="49">
        <f ca="1">(1*AND(HM_ZB_Nsoko!CA_gross_rev_total_fp&gt;HM_ZB_Nsoko!CA_gross_rev_oil_hp1,CA_op_trig=1))*(HM_ZB_Nsoko!CA_PSC_switch_trig=0)+
(1*AND(HM_ZB_Nsoko!CA_gross_rev_total_fp&gt;HM_ZB_Nsoko!CA_gross_rev_oil_hp2,CA_op_trig=1))*(HM_ZB_Nsoko!CA_PSC_switch_trig=1)</f>
        <v>1</v>
      </c>
      <c r="W291" s="49">
        <f ca="1">(1*AND(HM_ZB_Nsoko!CA_gross_rev_total_fp&gt;HM_ZB_Nsoko!CA_gross_rev_oil_hp1,CA_op_trig=1))*(HM_ZB_Nsoko!CA_PSC_switch_trig=0)+
(1*AND(HM_ZB_Nsoko!CA_gross_rev_total_fp&gt;HM_ZB_Nsoko!CA_gross_rev_oil_hp2,CA_op_trig=1))*(HM_ZB_Nsoko!CA_PSC_switch_trig=1)</f>
        <v>1</v>
      </c>
      <c r="X291" s="49">
        <f ca="1">(1*AND(HM_ZB_Nsoko!CA_gross_rev_total_fp&gt;HM_ZB_Nsoko!CA_gross_rev_oil_hp1,CA_op_trig=1))*(HM_ZB_Nsoko!CA_PSC_switch_trig=0)+
(1*AND(HM_ZB_Nsoko!CA_gross_rev_total_fp&gt;HM_ZB_Nsoko!CA_gross_rev_oil_hp2,CA_op_trig=1))*(HM_ZB_Nsoko!CA_PSC_switch_trig=1)</f>
        <v>1</v>
      </c>
      <c r="Y291" s="49">
        <f ca="1">(1*AND(HM_ZB_Nsoko!CA_gross_rev_total_fp&gt;HM_ZB_Nsoko!CA_gross_rev_oil_hp1,CA_op_trig=1))*(HM_ZB_Nsoko!CA_PSC_switch_trig=0)+
(1*AND(HM_ZB_Nsoko!CA_gross_rev_total_fp&gt;HM_ZB_Nsoko!CA_gross_rev_oil_hp2,CA_op_trig=1))*(HM_ZB_Nsoko!CA_PSC_switch_trig=1)</f>
        <v>0</v>
      </c>
      <c r="Z291" s="49">
        <f ca="1">(1*AND(HM_ZB_Nsoko!CA_gross_rev_total_fp&gt;HM_ZB_Nsoko!CA_gross_rev_oil_hp1,CA_op_trig=1))*(HM_ZB_Nsoko!CA_PSC_switch_trig=0)+
(1*AND(HM_ZB_Nsoko!CA_gross_rev_total_fp&gt;HM_ZB_Nsoko!CA_gross_rev_oil_hp2,CA_op_trig=1))*(HM_ZB_Nsoko!CA_PSC_switch_trig=1)</f>
        <v>0</v>
      </c>
      <c r="AA291" s="49">
        <f ca="1">(1*AND(HM_ZB_Nsoko!CA_gross_rev_total_fp&gt;HM_ZB_Nsoko!CA_gross_rev_oil_hp1,CA_op_trig=1))*(HM_ZB_Nsoko!CA_PSC_switch_trig=0)+
(1*AND(HM_ZB_Nsoko!CA_gross_rev_total_fp&gt;HM_ZB_Nsoko!CA_gross_rev_oil_hp2,CA_op_trig=1))*(HM_ZB_Nsoko!CA_PSC_switch_trig=1)</f>
        <v>0</v>
      </c>
      <c r="AB291" s="49">
        <f ca="1">(1*AND(HM_ZB_Nsoko!CA_gross_rev_total_fp&gt;HM_ZB_Nsoko!CA_gross_rev_oil_hp1,CA_op_trig=1))*(HM_ZB_Nsoko!CA_PSC_switch_trig=0)+
(1*AND(HM_ZB_Nsoko!CA_gross_rev_total_fp&gt;HM_ZB_Nsoko!CA_gross_rev_oil_hp2,CA_op_trig=1))*(HM_ZB_Nsoko!CA_PSC_switch_trig=1)</f>
        <v>0</v>
      </c>
      <c r="AC291" s="49">
        <f ca="1">(1*AND(HM_ZB_Nsoko!CA_gross_rev_total_fp&gt;HM_ZB_Nsoko!CA_gross_rev_oil_hp1,CA_op_trig=1))*(HM_ZB_Nsoko!CA_PSC_switch_trig=0)+
(1*AND(HM_ZB_Nsoko!CA_gross_rev_total_fp&gt;HM_ZB_Nsoko!CA_gross_rev_oil_hp2,CA_op_trig=1))*(HM_ZB_Nsoko!CA_PSC_switch_trig=1)</f>
        <v>0</v>
      </c>
      <c r="AD291" s="49">
        <f ca="1">(1*AND(HM_ZB_Nsoko!CA_gross_rev_total_fp&gt;HM_ZB_Nsoko!CA_gross_rev_oil_hp1,CA_op_trig=1))*(HM_ZB_Nsoko!CA_PSC_switch_trig=0)+
(1*AND(HM_ZB_Nsoko!CA_gross_rev_total_fp&gt;HM_ZB_Nsoko!CA_gross_rev_oil_hp2,CA_op_trig=1))*(HM_ZB_Nsoko!CA_PSC_switch_trig=1)</f>
        <v>0</v>
      </c>
      <c r="AE291" s="49">
        <f ca="1">(1*AND(HM_ZB_Nsoko!CA_gross_rev_total_fp&gt;HM_ZB_Nsoko!CA_gross_rev_oil_hp1,CA_op_trig=1))*(HM_ZB_Nsoko!CA_PSC_switch_trig=0)+
(1*AND(HM_ZB_Nsoko!CA_gross_rev_total_fp&gt;HM_ZB_Nsoko!CA_gross_rev_oil_hp2,CA_op_trig=1))*(HM_ZB_Nsoko!CA_PSC_switch_trig=1)</f>
        <v>0</v>
      </c>
      <c r="AF291" s="49">
        <f ca="1">(1*AND(HM_ZB_Nsoko!CA_gross_rev_total_fp&gt;HM_ZB_Nsoko!CA_gross_rev_oil_hp1,CA_op_trig=1))*(HM_ZB_Nsoko!CA_PSC_switch_trig=0)+
(1*AND(HM_ZB_Nsoko!CA_gross_rev_total_fp&gt;HM_ZB_Nsoko!CA_gross_rev_oil_hp2,CA_op_trig=1))*(HM_ZB_Nsoko!CA_PSC_switch_trig=1)</f>
        <v>0</v>
      </c>
      <c r="AG291" s="49">
        <f ca="1">(1*AND(HM_ZB_Nsoko!CA_gross_rev_total_fp&gt;HM_ZB_Nsoko!CA_gross_rev_oil_hp1,CA_op_trig=1))*(HM_ZB_Nsoko!CA_PSC_switch_trig=0)+
(1*AND(HM_ZB_Nsoko!CA_gross_rev_total_fp&gt;HM_ZB_Nsoko!CA_gross_rev_oil_hp2,CA_op_trig=1))*(HM_ZB_Nsoko!CA_PSC_switch_trig=1)</f>
        <v>0</v>
      </c>
      <c r="AH291" s="49">
        <f ca="1">(1*AND(HM_ZB_Nsoko!CA_gross_rev_total_fp&gt;HM_ZB_Nsoko!CA_gross_rev_oil_hp1,CA_op_trig=1))*(HM_ZB_Nsoko!CA_PSC_switch_trig=0)+
(1*AND(HM_ZB_Nsoko!CA_gross_rev_total_fp&gt;HM_ZB_Nsoko!CA_gross_rev_oil_hp2,CA_op_trig=1))*(HM_ZB_Nsoko!CA_PSC_switch_trig=1)</f>
        <v>0</v>
      </c>
      <c r="AI291" s="49">
        <f ca="1">(1*AND(HM_ZB_Nsoko!CA_gross_rev_total_fp&gt;HM_ZB_Nsoko!CA_gross_rev_oil_hp1,CA_op_trig=1))*(HM_ZB_Nsoko!CA_PSC_switch_trig=0)+
(1*AND(HM_ZB_Nsoko!CA_gross_rev_total_fp&gt;HM_ZB_Nsoko!CA_gross_rev_oil_hp2,CA_op_trig=1))*(HM_ZB_Nsoko!CA_PSC_switch_trig=1)</f>
        <v>0</v>
      </c>
      <c r="AJ291" s="49">
        <f ca="1">(1*AND(HM_ZB_Nsoko!CA_gross_rev_total_fp&gt;HM_ZB_Nsoko!CA_gross_rev_oil_hp1,CA_op_trig=1))*(HM_ZB_Nsoko!CA_PSC_switch_trig=0)+
(1*AND(HM_ZB_Nsoko!CA_gross_rev_total_fp&gt;HM_ZB_Nsoko!CA_gross_rev_oil_hp2,CA_op_trig=1))*(HM_ZB_Nsoko!CA_PSC_switch_trig=1)</f>
        <v>0</v>
      </c>
      <c r="AK291" s="49">
        <f ca="1">(1*AND(HM_ZB_Nsoko!CA_gross_rev_total_fp&gt;HM_ZB_Nsoko!CA_gross_rev_oil_hp1,CA_op_trig=1))*(HM_ZB_Nsoko!CA_PSC_switch_trig=0)+
(1*AND(HM_ZB_Nsoko!CA_gross_rev_total_fp&gt;HM_ZB_Nsoko!CA_gross_rev_oil_hp2,CA_op_trig=1))*(HM_ZB_Nsoko!CA_PSC_switch_trig=1)</f>
        <v>0</v>
      </c>
      <c r="AL291" s="49">
        <f ca="1">(1*AND(HM_ZB_Nsoko!CA_gross_rev_total_fp&gt;HM_ZB_Nsoko!CA_gross_rev_oil_hp1,CA_op_trig=1))*(HM_ZB_Nsoko!CA_PSC_switch_trig=0)+
(1*AND(HM_ZB_Nsoko!CA_gross_rev_total_fp&gt;HM_ZB_Nsoko!CA_gross_rev_oil_hp2,CA_op_trig=1))*(HM_ZB_Nsoko!CA_PSC_switch_trig=1)</f>
        <v>0</v>
      </c>
      <c r="AM291" s="49">
        <f ca="1">(1*AND(HM_ZB_Nsoko!CA_gross_rev_total_fp&gt;HM_ZB_Nsoko!CA_gross_rev_oil_hp1,CA_op_trig=1))*(HM_ZB_Nsoko!CA_PSC_switch_trig=0)+
(1*AND(HM_ZB_Nsoko!CA_gross_rev_total_fp&gt;HM_ZB_Nsoko!CA_gross_rev_oil_hp2,CA_op_trig=1))*(HM_ZB_Nsoko!CA_PSC_switch_trig=1)</f>
        <v>0</v>
      </c>
      <c r="AN291" s="49">
        <f ca="1">(1*AND(HM_ZB_Nsoko!CA_gross_rev_total_fp&gt;HM_ZB_Nsoko!CA_gross_rev_oil_hp1,CA_op_trig=1))*(HM_ZB_Nsoko!CA_PSC_switch_trig=0)+
(1*AND(HM_ZB_Nsoko!CA_gross_rev_total_fp&gt;HM_ZB_Nsoko!CA_gross_rev_oil_hp2,CA_op_trig=1))*(HM_ZB_Nsoko!CA_PSC_switch_trig=1)</f>
        <v>0</v>
      </c>
      <c r="AO291" s="49">
        <f ca="1">(1*AND(HM_ZB_Nsoko!CA_gross_rev_total_fp&gt;HM_ZB_Nsoko!CA_gross_rev_oil_hp1,CA_op_trig=1))*(HM_ZB_Nsoko!CA_PSC_switch_trig=0)+
(1*AND(HM_ZB_Nsoko!CA_gross_rev_total_fp&gt;HM_ZB_Nsoko!CA_gross_rev_oil_hp2,CA_op_trig=1))*(HM_ZB_Nsoko!CA_PSC_switch_trig=1)</f>
        <v>0</v>
      </c>
      <c r="AP291" s="49">
        <f ca="1">(1*AND(HM_ZB_Nsoko!CA_gross_rev_total_fp&gt;HM_ZB_Nsoko!CA_gross_rev_oil_hp1,CA_op_trig=1))*(HM_ZB_Nsoko!CA_PSC_switch_trig=0)+
(1*AND(HM_ZB_Nsoko!CA_gross_rev_total_fp&gt;HM_ZB_Nsoko!CA_gross_rev_oil_hp2,CA_op_trig=1))*(HM_ZB_Nsoko!CA_PSC_switch_trig=1)</f>
        <v>0</v>
      </c>
      <c r="AQ291" s="49">
        <f ca="1">(1*AND(HM_ZB_Nsoko!CA_gross_rev_total_fp&gt;HM_ZB_Nsoko!CA_gross_rev_oil_hp1,CA_op_trig=1))*(HM_ZB_Nsoko!CA_PSC_switch_trig=0)+
(1*AND(HM_ZB_Nsoko!CA_gross_rev_total_fp&gt;HM_ZB_Nsoko!CA_gross_rev_oil_hp2,CA_op_trig=1))*(HM_ZB_Nsoko!CA_PSC_switch_trig=1)</f>
        <v>0</v>
      </c>
      <c r="AR291" s="49">
        <f ca="1">(1*AND(HM_ZB_Nsoko!CA_gross_rev_total_fp&gt;HM_ZB_Nsoko!CA_gross_rev_oil_hp1,CA_op_trig=1))*(HM_ZB_Nsoko!CA_PSC_switch_trig=0)+
(1*AND(HM_ZB_Nsoko!CA_gross_rev_total_fp&gt;HM_ZB_Nsoko!CA_gross_rev_oil_hp2,CA_op_trig=1))*(HM_ZB_Nsoko!CA_PSC_switch_trig=1)</f>
        <v>0</v>
      </c>
      <c r="AS291" s="49">
        <f ca="1">(1*AND(HM_ZB_Nsoko!CA_gross_rev_total_fp&gt;HM_ZB_Nsoko!CA_gross_rev_oil_hp1,CA_op_trig=1))*(HM_ZB_Nsoko!CA_PSC_switch_trig=0)+
(1*AND(HM_ZB_Nsoko!CA_gross_rev_total_fp&gt;HM_ZB_Nsoko!CA_gross_rev_oil_hp2,CA_op_trig=1))*(HM_ZB_Nsoko!CA_PSC_switch_trig=1)</f>
        <v>0</v>
      </c>
      <c r="AT291" s="49">
        <f ca="1">(1*AND(HM_ZB_Nsoko!CA_gross_rev_total_fp&gt;HM_ZB_Nsoko!CA_gross_rev_oil_hp1,CA_op_trig=1))*(HM_ZB_Nsoko!CA_PSC_switch_trig=0)+
(1*AND(HM_ZB_Nsoko!CA_gross_rev_total_fp&gt;HM_ZB_Nsoko!CA_gross_rev_oil_hp2,CA_op_trig=1))*(HM_ZB_Nsoko!CA_PSC_switch_trig=1)</f>
        <v>0</v>
      </c>
      <c r="AU291" s="49">
        <f ca="1">(1*AND(HM_ZB_Nsoko!CA_gross_rev_total_fp&gt;HM_ZB_Nsoko!CA_gross_rev_oil_hp1,CA_op_trig=1))*(HM_ZB_Nsoko!CA_PSC_switch_trig=0)+
(1*AND(HM_ZB_Nsoko!CA_gross_rev_total_fp&gt;HM_ZB_Nsoko!CA_gross_rev_oil_hp2,CA_op_trig=1))*(HM_ZB_Nsoko!CA_PSC_switch_trig=1)</f>
        <v>0</v>
      </c>
      <c r="AV291" s="49">
        <f ca="1">(1*AND(HM_ZB_Nsoko!CA_gross_rev_total_fp&gt;HM_ZB_Nsoko!CA_gross_rev_oil_hp1,CA_op_trig=1))*(HM_ZB_Nsoko!CA_PSC_switch_trig=0)+
(1*AND(HM_ZB_Nsoko!CA_gross_rev_total_fp&gt;HM_ZB_Nsoko!CA_gross_rev_oil_hp2,CA_op_trig=1))*(HM_ZB_Nsoko!CA_PSC_switch_trig=1)</f>
        <v>0</v>
      </c>
      <c r="AW291" s="49">
        <f ca="1">(1*AND(HM_ZB_Nsoko!CA_gross_rev_total_fp&gt;HM_ZB_Nsoko!CA_gross_rev_oil_hp1,CA_op_trig=1))*(HM_ZB_Nsoko!CA_PSC_switch_trig=0)+
(1*AND(HM_ZB_Nsoko!CA_gross_rev_total_fp&gt;HM_ZB_Nsoko!CA_gross_rev_oil_hp2,CA_op_trig=1))*(HM_ZB_Nsoko!CA_PSC_switch_trig=1)</f>
        <v>0</v>
      </c>
      <c r="AX291" s="49">
        <f ca="1">(1*AND(HM_ZB_Nsoko!CA_gross_rev_total_fp&gt;HM_ZB_Nsoko!CA_gross_rev_oil_hp1,CA_op_trig=1))*(HM_ZB_Nsoko!CA_PSC_switch_trig=0)+
(1*AND(HM_ZB_Nsoko!CA_gross_rev_total_fp&gt;HM_ZB_Nsoko!CA_gross_rev_oil_hp2,CA_op_trig=1))*(HM_ZB_Nsoko!CA_PSC_switch_trig=1)</f>
        <v>0</v>
      </c>
      <c r="AY291" s="49">
        <f ca="1">(1*AND(HM_ZB_Nsoko!CA_gross_rev_total_fp&gt;HM_ZB_Nsoko!CA_gross_rev_oil_hp1,CA_op_trig=1))*(HM_ZB_Nsoko!CA_PSC_switch_trig=0)+
(1*AND(HM_ZB_Nsoko!CA_gross_rev_total_fp&gt;HM_ZB_Nsoko!CA_gross_rev_oil_hp2,CA_op_trig=1))*(HM_ZB_Nsoko!CA_PSC_switch_trig=1)</f>
        <v>0</v>
      </c>
      <c r="AZ291" s="49">
        <f ca="1">(1*AND(HM_ZB_Nsoko!CA_gross_rev_total_fp&gt;HM_ZB_Nsoko!CA_gross_rev_oil_hp1,CA_op_trig=1))*(HM_ZB_Nsoko!CA_PSC_switch_trig=0)+
(1*AND(HM_ZB_Nsoko!CA_gross_rev_total_fp&gt;HM_ZB_Nsoko!CA_gross_rev_oil_hp2,CA_op_trig=1))*(HM_ZB_Nsoko!CA_PSC_switch_trig=1)</f>
        <v>0</v>
      </c>
      <c r="BA291" s="49">
        <f ca="1">(1*AND(HM_ZB_Nsoko!CA_gross_rev_total_fp&gt;HM_ZB_Nsoko!CA_gross_rev_oil_hp1,CA_op_trig=1))*(HM_ZB_Nsoko!CA_PSC_switch_trig=0)+
(1*AND(HM_ZB_Nsoko!CA_gross_rev_total_fp&gt;HM_ZB_Nsoko!CA_gross_rev_oil_hp2,CA_op_trig=1))*(HM_ZB_Nsoko!CA_PSC_switch_trig=1)</f>
        <v>0</v>
      </c>
      <c r="BB291" s="49">
        <f ca="1">(1*AND(HM_ZB_Nsoko!CA_gross_rev_total_fp&gt;HM_ZB_Nsoko!CA_gross_rev_oil_hp1,CA_op_trig=1))*(HM_ZB_Nsoko!CA_PSC_switch_trig=0)+
(1*AND(HM_ZB_Nsoko!CA_gross_rev_total_fp&gt;HM_ZB_Nsoko!CA_gross_rev_oil_hp2,CA_op_trig=1))*(HM_ZB_Nsoko!CA_PSC_switch_trig=1)</f>
        <v>0</v>
      </c>
      <c r="BC291" s="49">
        <f ca="1">(1*AND(HM_ZB_Nsoko!CA_gross_rev_total_fp&gt;HM_ZB_Nsoko!CA_gross_rev_oil_hp1,CA_op_trig=1))*(HM_ZB_Nsoko!CA_PSC_switch_trig=0)+
(1*AND(HM_ZB_Nsoko!CA_gross_rev_total_fp&gt;HM_ZB_Nsoko!CA_gross_rev_oil_hp2,CA_op_trig=1))*(HM_ZB_Nsoko!CA_PSC_switch_trig=1)</f>
        <v>0</v>
      </c>
      <c r="BD291" s="49">
        <f ca="1">(1*AND(HM_ZB_Nsoko!CA_gross_rev_total_fp&gt;HM_ZB_Nsoko!CA_gross_rev_oil_hp1,CA_op_trig=1))*(HM_ZB_Nsoko!CA_PSC_switch_trig=0)+
(1*AND(HM_ZB_Nsoko!CA_gross_rev_total_fp&gt;HM_ZB_Nsoko!CA_gross_rev_oil_hp2,CA_op_trig=1))*(HM_ZB_Nsoko!CA_PSC_switch_trig=1)</f>
        <v>0</v>
      </c>
      <c r="BE291" s="49">
        <f ca="1">(1*AND(HM_ZB_Nsoko!CA_gross_rev_total_fp&gt;HM_ZB_Nsoko!CA_gross_rev_oil_hp1,CA_op_trig=1))*(HM_ZB_Nsoko!CA_PSC_switch_trig=0)+
(1*AND(HM_ZB_Nsoko!CA_gross_rev_total_fp&gt;HM_ZB_Nsoko!CA_gross_rev_oil_hp2,CA_op_trig=1))*(HM_ZB_Nsoko!CA_PSC_switch_trig=1)</f>
        <v>0</v>
      </c>
      <c r="BF291" s="49">
        <f ca="1">(1*AND(HM_ZB_Nsoko!CA_gross_rev_total_fp&gt;HM_ZB_Nsoko!CA_gross_rev_oil_hp1,CA_op_trig=1))*(HM_ZB_Nsoko!CA_PSC_switch_trig=0)+
(1*AND(HM_ZB_Nsoko!CA_gross_rev_total_fp&gt;HM_ZB_Nsoko!CA_gross_rev_oil_hp2,CA_op_trig=1))*(HM_ZB_Nsoko!CA_PSC_switch_trig=1)</f>
        <v>0</v>
      </c>
      <c r="BG291" s="49">
        <f ca="1">(1*AND(HM_ZB_Nsoko!CA_gross_rev_total_fp&gt;HM_ZB_Nsoko!CA_gross_rev_oil_hp1,CA_op_trig=1))*(HM_ZB_Nsoko!CA_PSC_switch_trig=0)+
(1*AND(HM_ZB_Nsoko!CA_gross_rev_total_fp&gt;HM_ZB_Nsoko!CA_gross_rev_oil_hp2,CA_op_trig=1))*(HM_ZB_Nsoko!CA_PSC_switch_trig=1)</f>
        <v>0</v>
      </c>
      <c r="BH291" s="49">
        <f ca="1">(1*AND(HM_ZB_Nsoko!CA_gross_rev_total_fp&gt;HM_ZB_Nsoko!CA_gross_rev_oil_hp1,CA_op_trig=1))*(HM_ZB_Nsoko!CA_PSC_switch_trig=0)+
(1*AND(HM_ZB_Nsoko!CA_gross_rev_total_fp&gt;HM_ZB_Nsoko!CA_gross_rev_oil_hp2,CA_op_trig=1))*(HM_ZB_Nsoko!CA_PSC_switch_trig=1)</f>
        <v>0</v>
      </c>
      <c r="BI291" s="49">
        <f ca="1">(1*AND(HM_ZB_Nsoko!CA_gross_rev_total_fp&gt;HM_ZB_Nsoko!CA_gross_rev_oil_hp1,CA_op_trig=1))*(HM_ZB_Nsoko!CA_PSC_switch_trig=0)+
(1*AND(HM_ZB_Nsoko!CA_gross_rev_total_fp&gt;HM_ZB_Nsoko!CA_gross_rev_oil_hp2,CA_op_trig=1))*(HM_ZB_Nsoko!CA_PSC_switch_trig=1)</f>
        <v>0</v>
      </c>
      <c r="BJ291" s="49">
        <f ca="1">(1*AND(HM_ZB_Nsoko!CA_gross_rev_total_fp&gt;HM_ZB_Nsoko!CA_gross_rev_oil_hp1,CA_op_trig=1))*(HM_ZB_Nsoko!CA_PSC_switch_trig=0)+
(1*AND(HM_ZB_Nsoko!CA_gross_rev_total_fp&gt;HM_ZB_Nsoko!CA_gross_rev_oil_hp2,CA_op_trig=1))*(HM_ZB_Nsoko!CA_PSC_switch_trig=1)</f>
        <v>0</v>
      </c>
      <c r="BK291" s="49">
        <f ca="1">(1*AND(HM_ZB_Nsoko!CA_gross_rev_total_fp&gt;HM_ZB_Nsoko!CA_gross_rev_oil_hp1,CA_op_trig=1))*(HM_ZB_Nsoko!CA_PSC_switch_trig=0)+
(1*AND(HM_ZB_Nsoko!CA_gross_rev_total_fp&gt;HM_ZB_Nsoko!CA_gross_rev_oil_hp2,CA_op_trig=1))*(HM_ZB_Nsoko!CA_PSC_switch_trig=1)</f>
        <v>0</v>
      </c>
      <c r="BL291" s="49">
        <f ca="1">(1*AND(HM_ZB_Nsoko!CA_gross_rev_total_fp&gt;HM_ZB_Nsoko!CA_gross_rev_oil_hp1,CA_op_trig=1))*(HM_ZB_Nsoko!CA_PSC_switch_trig=0)+
(1*AND(HM_ZB_Nsoko!CA_gross_rev_total_fp&gt;HM_ZB_Nsoko!CA_gross_rev_oil_hp2,CA_op_trig=1))*(HM_ZB_Nsoko!CA_PSC_switch_trig=1)</f>
        <v>0</v>
      </c>
      <c r="BM291" s="49">
        <f ca="1">(1*AND(HM_ZB_Nsoko!CA_gross_rev_total_fp&gt;HM_ZB_Nsoko!CA_gross_rev_oil_hp1,CA_op_trig=1))*(HM_ZB_Nsoko!CA_PSC_switch_trig=0)+
(1*AND(HM_ZB_Nsoko!CA_gross_rev_total_fp&gt;HM_ZB_Nsoko!CA_gross_rev_oil_hp2,CA_op_trig=1))*(HM_ZB_Nsoko!CA_PSC_switch_trig=1)</f>
        <v>0</v>
      </c>
      <c r="BN291" s="49">
        <f ca="1">(1*AND(HM_ZB_Nsoko!CA_gross_rev_total_fp&gt;HM_ZB_Nsoko!CA_gross_rev_oil_hp1,CA_op_trig=1))*(HM_ZB_Nsoko!CA_PSC_switch_trig=0)+
(1*AND(HM_ZB_Nsoko!CA_gross_rev_total_fp&gt;HM_ZB_Nsoko!CA_gross_rev_oil_hp2,CA_op_trig=1))*(HM_ZB_Nsoko!CA_PSC_switch_trig=1)</f>
        <v>0</v>
      </c>
      <c r="BO291" s="49">
        <f ca="1">(1*AND(HM_ZB_Nsoko!CA_gross_rev_total_fp&gt;HM_ZB_Nsoko!CA_gross_rev_oil_hp1,CA_op_trig=1))*(HM_ZB_Nsoko!CA_PSC_switch_trig=0)+
(1*AND(HM_ZB_Nsoko!CA_gross_rev_total_fp&gt;HM_ZB_Nsoko!CA_gross_rev_oil_hp2,CA_op_trig=1))*(HM_ZB_Nsoko!CA_PSC_switch_trig=1)</f>
        <v>0</v>
      </c>
      <c r="BP291" s="49">
        <f ca="1">(1*AND(HM_ZB_Nsoko!CA_gross_rev_total_fp&gt;HM_ZB_Nsoko!CA_gross_rev_oil_hp1,CA_op_trig=1))*(HM_ZB_Nsoko!CA_PSC_switch_trig=0)+
(1*AND(HM_ZB_Nsoko!CA_gross_rev_total_fp&gt;HM_ZB_Nsoko!CA_gross_rev_oil_hp2,CA_op_trig=1))*(HM_ZB_Nsoko!CA_PSC_switch_trig=1)</f>
        <v>0</v>
      </c>
      <c r="BQ291" s="49">
        <f ca="1">(1*AND(HM_ZB_Nsoko!CA_gross_rev_total_fp&gt;HM_ZB_Nsoko!CA_gross_rev_oil_hp1,CA_op_trig=1))*(HM_ZB_Nsoko!CA_PSC_switch_trig=0)+
(1*AND(HM_ZB_Nsoko!CA_gross_rev_total_fp&gt;HM_ZB_Nsoko!CA_gross_rev_oil_hp2,CA_op_trig=1))*(HM_ZB_Nsoko!CA_PSC_switch_trig=1)</f>
        <v>0</v>
      </c>
      <c r="BR291" s="49">
        <f ca="1">(1*AND(HM_ZB_Nsoko!CA_gross_rev_total_fp&gt;HM_ZB_Nsoko!CA_gross_rev_oil_hp1,CA_op_trig=1))*(HM_ZB_Nsoko!CA_PSC_switch_trig=0)+
(1*AND(HM_ZB_Nsoko!CA_gross_rev_total_fp&gt;HM_ZB_Nsoko!CA_gross_rev_oil_hp2,CA_op_trig=1))*(HM_ZB_Nsoko!CA_PSC_switch_trig=1)</f>
        <v>0</v>
      </c>
      <c r="BS291" s="49">
        <f ca="1">(1*AND(HM_ZB_Nsoko!CA_gross_rev_total_fp&gt;HM_ZB_Nsoko!CA_gross_rev_oil_hp1,CA_op_trig=1))*(HM_ZB_Nsoko!CA_PSC_switch_trig=0)+
(1*AND(HM_ZB_Nsoko!CA_gross_rev_total_fp&gt;HM_ZB_Nsoko!CA_gross_rev_oil_hp2,CA_op_trig=1))*(HM_ZB_Nsoko!CA_PSC_switch_trig=1)</f>
        <v>0</v>
      </c>
    </row>
    <row r="292" spans="3:71" outlineLevel="1" x14ac:dyDescent="0.2">
      <c r="D292" s="35"/>
      <c r="J292" s="26"/>
      <c r="L292" s="55"/>
      <c r="M292" s="55"/>
      <c r="N292" s="55"/>
      <c r="O292" s="55"/>
      <c r="P292" s="55"/>
      <c r="Q292" s="55"/>
      <c r="R292" s="55"/>
      <c r="S292" s="55"/>
      <c r="T292" s="55"/>
      <c r="U292" s="55"/>
      <c r="V292" s="55"/>
      <c r="W292" s="55"/>
      <c r="X292" s="55"/>
      <c r="Y292" s="55"/>
      <c r="Z292" s="55"/>
      <c r="AA292" s="55"/>
      <c r="AB292" s="55"/>
      <c r="AC292" s="55"/>
      <c r="AD292" s="55"/>
      <c r="AE292" s="55"/>
      <c r="AF292" s="55"/>
      <c r="AG292" s="55"/>
      <c r="AH292" s="55"/>
      <c r="AI292" s="55"/>
      <c r="AJ292" s="55"/>
      <c r="AK292" s="55"/>
      <c r="AL292" s="55"/>
      <c r="AM292" s="55"/>
      <c r="AN292" s="55"/>
      <c r="AO292" s="55"/>
      <c r="AP292" s="55"/>
      <c r="AQ292" s="55"/>
      <c r="AR292" s="55"/>
      <c r="AS292" s="55"/>
      <c r="AT292" s="55"/>
      <c r="AU292" s="55"/>
      <c r="AV292" s="55"/>
      <c r="AW292" s="55"/>
      <c r="AX292" s="55"/>
      <c r="AY292" s="55"/>
      <c r="AZ292" s="55"/>
      <c r="BA292" s="55"/>
      <c r="BB292" s="55"/>
      <c r="BC292" s="55"/>
      <c r="BD292" s="55"/>
      <c r="BE292" s="55"/>
      <c r="BF292" s="55"/>
      <c r="BG292" s="55"/>
      <c r="BH292" s="55"/>
      <c r="BI292" s="55"/>
      <c r="BJ292" s="55"/>
      <c r="BK292" s="55"/>
      <c r="BL292" s="55"/>
      <c r="BM292" s="55"/>
      <c r="BN292" s="55"/>
      <c r="BO292" s="55"/>
      <c r="BP292" s="55"/>
      <c r="BQ292" s="55"/>
      <c r="BR292" s="55"/>
      <c r="BS292" s="55"/>
    </row>
    <row r="293" spans="3:71" outlineLevel="1" x14ac:dyDescent="0.2">
      <c r="D293" s="35" t="str">
        <f>HM_ZA_Nkossa!D282</f>
        <v>Revenu brut - SPO</v>
      </c>
      <c r="I293" s="30">
        <f t="shared" ref="I293" ca="1" si="72">SUM($L293:$BS293)</f>
        <v>235.04141296056602</v>
      </c>
      <c r="J293" s="26" t="s">
        <v>148</v>
      </c>
      <c r="L293" s="49">
        <f ca="1">(HM_ZB_Nsoko!CA_gross_rev_oil_difference1)*(HM_ZB_Nsoko!CA_PSC_switch_trig=0)+(HM_ZB_Nsoko!CA_gross_rev_oil_difference2)*(HM_ZB_Nsoko!CA_PSC_switch_trig=1)</f>
        <v>60.618593709249993</v>
      </c>
      <c r="M293" s="49">
        <f ca="1">(HM_ZB_Nsoko!CA_gross_rev_oil_difference1)*(HM_ZB_Nsoko!CA_PSC_switch_trig=0)+(HM_ZB_Nsoko!CA_gross_rev_oil_difference2)*(HM_ZB_Nsoko!CA_PSC_switch_trig=1)</f>
        <v>57.973620272999995</v>
      </c>
      <c r="N293" s="49">
        <f ca="1">(HM_ZB_Nsoko!CA_gross_rev_oil_difference1)*(HM_ZB_Nsoko!CA_PSC_switch_trig=0)+(HM_ZB_Nsoko!CA_gross_rev_oil_difference2)*(HM_ZB_Nsoko!CA_PSC_switch_trig=1)</f>
        <v>17.992828507000009</v>
      </c>
      <c r="O293" s="49">
        <f ca="1">(HM_ZB_Nsoko!CA_gross_rev_oil_difference1)*(HM_ZB_Nsoko!CA_PSC_switch_trig=0)+(HM_ZB_Nsoko!CA_gross_rev_oil_difference2)*(HM_ZB_Nsoko!CA_PSC_switch_trig=1)</f>
        <v>8.4707656070000006</v>
      </c>
      <c r="P293" s="49">
        <f ca="1">(HM_ZB_Nsoko!CA_gross_rev_oil_difference1)*(HM_ZB_Nsoko!CA_PSC_switch_trig=0)+(HM_ZB_Nsoko!CA_gross_rev_oil_difference2)*(HM_ZB_Nsoko!CA_PSC_switch_trig=1)</f>
        <v>11.816941110999995</v>
      </c>
      <c r="Q293" s="49">
        <f ca="1">(HM_ZB_Nsoko!CA_gross_rev_oil_difference1)*(HM_ZB_Nsoko!CA_PSC_switch_trig=0)+(HM_ZB_Nsoko!CA_gross_rev_oil_difference2)*(HM_ZB_Nsoko!CA_PSC_switch_trig=1)</f>
        <v>25.178899752999996</v>
      </c>
      <c r="R293" s="49">
        <f ca="1">(HM_ZB_Nsoko!CA_gross_rev_oil_difference1)*(HM_ZB_Nsoko!CA_PSC_switch_trig=0)+(HM_ZB_Nsoko!CA_gross_rev_oil_difference2)*(HM_ZB_Nsoko!CA_PSC_switch_trig=1)</f>
        <v>5.1432719239999987</v>
      </c>
      <c r="S293" s="49">
        <f ca="1">(HM_ZB_Nsoko!CA_gross_rev_oil_difference1)*(HM_ZB_Nsoko!CA_PSC_switch_trig=0)+(HM_ZB_Nsoko!CA_gross_rev_oil_difference2)*(HM_ZB_Nsoko!CA_PSC_switch_trig=1)</f>
        <v>0</v>
      </c>
      <c r="T293" s="49">
        <f ca="1">(HM_ZB_Nsoko!CA_gross_rev_oil_difference1)*(HM_ZB_Nsoko!CA_PSC_switch_trig=0)+(HM_ZB_Nsoko!CA_gross_rev_oil_difference2)*(HM_ZB_Nsoko!CA_PSC_switch_trig=1)</f>
        <v>7.5876012357782017</v>
      </c>
      <c r="U293" s="49">
        <f ca="1">(HM_ZB_Nsoko!CA_gross_rev_oil_difference1)*(HM_ZB_Nsoko!CA_PSC_switch_trig=0)+(HM_ZB_Nsoko!CA_gross_rev_oil_difference2)*(HM_ZB_Nsoko!CA_PSC_switch_trig=1)</f>
        <v>9.968943487353954</v>
      </c>
      <c r="V293" s="49">
        <f ca="1">(HM_ZB_Nsoko!CA_gross_rev_oil_difference1)*(HM_ZB_Nsoko!CA_PSC_switch_trig=0)+(HM_ZB_Nsoko!CA_gross_rev_oil_difference2)*(HM_ZB_Nsoko!CA_PSC_switch_trig=1)</f>
        <v>10.063456516482383</v>
      </c>
      <c r="W293" s="49">
        <f ca="1">(HM_ZB_Nsoko!CA_gross_rev_oil_difference1)*(HM_ZB_Nsoko!CA_PSC_switch_trig=0)+(HM_ZB_Nsoko!CA_gross_rev_oil_difference2)*(HM_ZB_Nsoko!CA_PSC_switch_trig=1)</f>
        <v>10.110627405207122</v>
      </c>
      <c r="X293" s="49">
        <f ca="1">(HM_ZB_Nsoko!CA_gross_rev_oil_difference1)*(HM_ZB_Nsoko!CA_PSC_switch_trig=0)+(HM_ZB_Nsoko!CA_gross_rev_oil_difference2)*(HM_ZB_Nsoko!CA_PSC_switch_trig=1)</f>
        <v>10.115863431494375</v>
      </c>
      <c r="Y293" s="49">
        <f ca="1">(HM_ZB_Nsoko!CA_gross_rev_oil_difference1)*(HM_ZB_Nsoko!CA_PSC_switch_trig=0)+(HM_ZB_Nsoko!CA_gross_rev_oil_difference2)*(HM_ZB_Nsoko!CA_PSC_switch_trig=1)</f>
        <v>0</v>
      </c>
      <c r="Z293" s="49">
        <f ca="1">(HM_ZB_Nsoko!CA_gross_rev_oil_difference1)*(HM_ZB_Nsoko!CA_PSC_switch_trig=0)+(HM_ZB_Nsoko!CA_gross_rev_oil_difference2)*(HM_ZB_Nsoko!CA_PSC_switch_trig=1)</f>
        <v>0</v>
      </c>
      <c r="AA293" s="49">
        <f ca="1">(HM_ZB_Nsoko!CA_gross_rev_oil_difference1)*(HM_ZB_Nsoko!CA_PSC_switch_trig=0)+(HM_ZB_Nsoko!CA_gross_rev_oil_difference2)*(HM_ZB_Nsoko!CA_PSC_switch_trig=1)</f>
        <v>0</v>
      </c>
      <c r="AB293" s="49">
        <f ca="1">(HM_ZB_Nsoko!CA_gross_rev_oil_difference1)*(HM_ZB_Nsoko!CA_PSC_switch_trig=0)+(HM_ZB_Nsoko!CA_gross_rev_oil_difference2)*(HM_ZB_Nsoko!CA_PSC_switch_trig=1)</f>
        <v>0</v>
      </c>
      <c r="AC293" s="49">
        <f ca="1">(HM_ZB_Nsoko!CA_gross_rev_oil_difference1)*(HM_ZB_Nsoko!CA_PSC_switch_trig=0)+(HM_ZB_Nsoko!CA_gross_rev_oil_difference2)*(HM_ZB_Nsoko!CA_PSC_switch_trig=1)</f>
        <v>0</v>
      </c>
      <c r="AD293" s="49">
        <f ca="1">(HM_ZB_Nsoko!CA_gross_rev_oil_difference1)*(HM_ZB_Nsoko!CA_PSC_switch_trig=0)+(HM_ZB_Nsoko!CA_gross_rev_oil_difference2)*(HM_ZB_Nsoko!CA_PSC_switch_trig=1)</f>
        <v>0</v>
      </c>
      <c r="AE293" s="49">
        <f ca="1">(HM_ZB_Nsoko!CA_gross_rev_oil_difference1)*(HM_ZB_Nsoko!CA_PSC_switch_trig=0)+(HM_ZB_Nsoko!CA_gross_rev_oil_difference2)*(HM_ZB_Nsoko!CA_PSC_switch_trig=1)</f>
        <v>0</v>
      </c>
      <c r="AF293" s="49">
        <f ca="1">(HM_ZB_Nsoko!CA_gross_rev_oil_difference1)*(HM_ZB_Nsoko!CA_PSC_switch_trig=0)+(HM_ZB_Nsoko!CA_gross_rev_oil_difference2)*(HM_ZB_Nsoko!CA_PSC_switch_trig=1)</f>
        <v>0</v>
      </c>
      <c r="AG293" s="49">
        <f ca="1">(HM_ZB_Nsoko!CA_gross_rev_oil_difference1)*(HM_ZB_Nsoko!CA_PSC_switch_trig=0)+(HM_ZB_Nsoko!CA_gross_rev_oil_difference2)*(HM_ZB_Nsoko!CA_PSC_switch_trig=1)</f>
        <v>0</v>
      </c>
      <c r="AH293" s="49">
        <f ca="1">(HM_ZB_Nsoko!CA_gross_rev_oil_difference1)*(HM_ZB_Nsoko!CA_PSC_switch_trig=0)+(HM_ZB_Nsoko!CA_gross_rev_oil_difference2)*(HM_ZB_Nsoko!CA_PSC_switch_trig=1)</f>
        <v>0</v>
      </c>
      <c r="AI293" s="49">
        <f ca="1">(HM_ZB_Nsoko!CA_gross_rev_oil_difference1)*(HM_ZB_Nsoko!CA_PSC_switch_trig=0)+(HM_ZB_Nsoko!CA_gross_rev_oil_difference2)*(HM_ZB_Nsoko!CA_PSC_switch_trig=1)</f>
        <v>0</v>
      </c>
      <c r="AJ293" s="49">
        <f ca="1">(HM_ZB_Nsoko!CA_gross_rev_oil_difference1)*(HM_ZB_Nsoko!CA_PSC_switch_trig=0)+(HM_ZB_Nsoko!CA_gross_rev_oil_difference2)*(HM_ZB_Nsoko!CA_PSC_switch_trig=1)</f>
        <v>0</v>
      </c>
      <c r="AK293" s="49">
        <f ca="1">(HM_ZB_Nsoko!CA_gross_rev_oil_difference1)*(HM_ZB_Nsoko!CA_PSC_switch_trig=0)+(HM_ZB_Nsoko!CA_gross_rev_oil_difference2)*(HM_ZB_Nsoko!CA_PSC_switch_trig=1)</f>
        <v>0</v>
      </c>
      <c r="AL293" s="49">
        <f ca="1">(HM_ZB_Nsoko!CA_gross_rev_oil_difference1)*(HM_ZB_Nsoko!CA_PSC_switch_trig=0)+(HM_ZB_Nsoko!CA_gross_rev_oil_difference2)*(HM_ZB_Nsoko!CA_PSC_switch_trig=1)</f>
        <v>0</v>
      </c>
      <c r="AM293" s="49">
        <f ca="1">(HM_ZB_Nsoko!CA_gross_rev_oil_difference1)*(HM_ZB_Nsoko!CA_PSC_switch_trig=0)+(HM_ZB_Nsoko!CA_gross_rev_oil_difference2)*(HM_ZB_Nsoko!CA_PSC_switch_trig=1)</f>
        <v>0</v>
      </c>
      <c r="AN293" s="49">
        <f ca="1">(HM_ZB_Nsoko!CA_gross_rev_oil_difference1)*(HM_ZB_Nsoko!CA_PSC_switch_trig=0)+(HM_ZB_Nsoko!CA_gross_rev_oil_difference2)*(HM_ZB_Nsoko!CA_PSC_switch_trig=1)</f>
        <v>0</v>
      </c>
      <c r="AO293" s="49">
        <f ca="1">(HM_ZB_Nsoko!CA_gross_rev_oil_difference1)*(HM_ZB_Nsoko!CA_PSC_switch_trig=0)+(HM_ZB_Nsoko!CA_gross_rev_oil_difference2)*(HM_ZB_Nsoko!CA_PSC_switch_trig=1)</f>
        <v>0</v>
      </c>
      <c r="AP293" s="49">
        <f ca="1">(HM_ZB_Nsoko!CA_gross_rev_oil_difference1)*(HM_ZB_Nsoko!CA_PSC_switch_trig=0)+(HM_ZB_Nsoko!CA_gross_rev_oil_difference2)*(HM_ZB_Nsoko!CA_PSC_switch_trig=1)</f>
        <v>0</v>
      </c>
      <c r="AQ293" s="49">
        <f ca="1">(HM_ZB_Nsoko!CA_gross_rev_oil_difference1)*(HM_ZB_Nsoko!CA_PSC_switch_trig=0)+(HM_ZB_Nsoko!CA_gross_rev_oil_difference2)*(HM_ZB_Nsoko!CA_PSC_switch_trig=1)</f>
        <v>0</v>
      </c>
      <c r="AR293" s="49">
        <f ca="1">(HM_ZB_Nsoko!CA_gross_rev_oil_difference1)*(HM_ZB_Nsoko!CA_PSC_switch_trig=0)+(HM_ZB_Nsoko!CA_gross_rev_oil_difference2)*(HM_ZB_Nsoko!CA_PSC_switch_trig=1)</f>
        <v>0</v>
      </c>
      <c r="AS293" s="49">
        <f ca="1">(HM_ZB_Nsoko!CA_gross_rev_oil_difference1)*(HM_ZB_Nsoko!CA_PSC_switch_trig=0)+(HM_ZB_Nsoko!CA_gross_rev_oil_difference2)*(HM_ZB_Nsoko!CA_PSC_switch_trig=1)</f>
        <v>0</v>
      </c>
      <c r="AT293" s="49">
        <f ca="1">(HM_ZB_Nsoko!CA_gross_rev_oil_difference1)*(HM_ZB_Nsoko!CA_PSC_switch_trig=0)+(HM_ZB_Nsoko!CA_gross_rev_oil_difference2)*(HM_ZB_Nsoko!CA_PSC_switch_trig=1)</f>
        <v>0</v>
      </c>
      <c r="AU293" s="49">
        <f ca="1">(HM_ZB_Nsoko!CA_gross_rev_oil_difference1)*(HM_ZB_Nsoko!CA_PSC_switch_trig=0)+(HM_ZB_Nsoko!CA_gross_rev_oil_difference2)*(HM_ZB_Nsoko!CA_PSC_switch_trig=1)</f>
        <v>0</v>
      </c>
      <c r="AV293" s="49">
        <f ca="1">(HM_ZB_Nsoko!CA_gross_rev_oil_difference1)*(HM_ZB_Nsoko!CA_PSC_switch_trig=0)+(HM_ZB_Nsoko!CA_gross_rev_oil_difference2)*(HM_ZB_Nsoko!CA_PSC_switch_trig=1)</f>
        <v>0</v>
      </c>
      <c r="AW293" s="49">
        <f ca="1">(HM_ZB_Nsoko!CA_gross_rev_oil_difference1)*(HM_ZB_Nsoko!CA_PSC_switch_trig=0)+(HM_ZB_Nsoko!CA_gross_rev_oil_difference2)*(HM_ZB_Nsoko!CA_PSC_switch_trig=1)</f>
        <v>0</v>
      </c>
      <c r="AX293" s="49">
        <f ca="1">(HM_ZB_Nsoko!CA_gross_rev_oil_difference1)*(HM_ZB_Nsoko!CA_PSC_switch_trig=0)+(HM_ZB_Nsoko!CA_gross_rev_oil_difference2)*(HM_ZB_Nsoko!CA_PSC_switch_trig=1)</f>
        <v>0</v>
      </c>
      <c r="AY293" s="49">
        <f ca="1">(HM_ZB_Nsoko!CA_gross_rev_oil_difference1)*(HM_ZB_Nsoko!CA_PSC_switch_trig=0)+(HM_ZB_Nsoko!CA_gross_rev_oil_difference2)*(HM_ZB_Nsoko!CA_PSC_switch_trig=1)</f>
        <v>0</v>
      </c>
      <c r="AZ293" s="49">
        <f ca="1">(HM_ZB_Nsoko!CA_gross_rev_oil_difference1)*(HM_ZB_Nsoko!CA_PSC_switch_trig=0)+(HM_ZB_Nsoko!CA_gross_rev_oil_difference2)*(HM_ZB_Nsoko!CA_PSC_switch_trig=1)</f>
        <v>0</v>
      </c>
      <c r="BA293" s="49">
        <f ca="1">(HM_ZB_Nsoko!CA_gross_rev_oil_difference1)*(HM_ZB_Nsoko!CA_PSC_switch_trig=0)+(HM_ZB_Nsoko!CA_gross_rev_oil_difference2)*(HM_ZB_Nsoko!CA_PSC_switch_trig=1)</f>
        <v>0</v>
      </c>
      <c r="BB293" s="49">
        <f ca="1">(HM_ZB_Nsoko!CA_gross_rev_oil_difference1)*(HM_ZB_Nsoko!CA_PSC_switch_trig=0)+(HM_ZB_Nsoko!CA_gross_rev_oil_difference2)*(HM_ZB_Nsoko!CA_PSC_switch_trig=1)</f>
        <v>0</v>
      </c>
      <c r="BC293" s="49">
        <f ca="1">(HM_ZB_Nsoko!CA_gross_rev_oil_difference1)*(HM_ZB_Nsoko!CA_PSC_switch_trig=0)+(HM_ZB_Nsoko!CA_gross_rev_oil_difference2)*(HM_ZB_Nsoko!CA_PSC_switch_trig=1)</f>
        <v>0</v>
      </c>
      <c r="BD293" s="49">
        <f ca="1">(HM_ZB_Nsoko!CA_gross_rev_oil_difference1)*(HM_ZB_Nsoko!CA_PSC_switch_trig=0)+(HM_ZB_Nsoko!CA_gross_rev_oil_difference2)*(HM_ZB_Nsoko!CA_PSC_switch_trig=1)</f>
        <v>0</v>
      </c>
      <c r="BE293" s="49">
        <f ca="1">(HM_ZB_Nsoko!CA_gross_rev_oil_difference1)*(HM_ZB_Nsoko!CA_PSC_switch_trig=0)+(HM_ZB_Nsoko!CA_gross_rev_oil_difference2)*(HM_ZB_Nsoko!CA_PSC_switch_trig=1)</f>
        <v>0</v>
      </c>
      <c r="BF293" s="49">
        <f ca="1">(HM_ZB_Nsoko!CA_gross_rev_oil_difference1)*(HM_ZB_Nsoko!CA_PSC_switch_trig=0)+(HM_ZB_Nsoko!CA_gross_rev_oil_difference2)*(HM_ZB_Nsoko!CA_PSC_switch_trig=1)</f>
        <v>0</v>
      </c>
      <c r="BG293" s="49">
        <f ca="1">(HM_ZB_Nsoko!CA_gross_rev_oil_difference1)*(HM_ZB_Nsoko!CA_PSC_switch_trig=0)+(HM_ZB_Nsoko!CA_gross_rev_oil_difference2)*(HM_ZB_Nsoko!CA_PSC_switch_trig=1)</f>
        <v>0</v>
      </c>
      <c r="BH293" s="49">
        <f ca="1">(HM_ZB_Nsoko!CA_gross_rev_oil_difference1)*(HM_ZB_Nsoko!CA_PSC_switch_trig=0)+(HM_ZB_Nsoko!CA_gross_rev_oil_difference2)*(HM_ZB_Nsoko!CA_PSC_switch_trig=1)</f>
        <v>0</v>
      </c>
      <c r="BI293" s="49">
        <f ca="1">(HM_ZB_Nsoko!CA_gross_rev_oil_difference1)*(HM_ZB_Nsoko!CA_PSC_switch_trig=0)+(HM_ZB_Nsoko!CA_gross_rev_oil_difference2)*(HM_ZB_Nsoko!CA_PSC_switch_trig=1)</f>
        <v>0</v>
      </c>
      <c r="BJ293" s="49">
        <f ca="1">(HM_ZB_Nsoko!CA_gross_rev_oil_difference1)*(HM_ZB_Nsoko!CA_PSC_switch_trig=0)+(HM_ZB_Nsoko!CA_gross_rev_oil_difference2)*(HM_ZB_Nsoko!CA_PSC_switch_trig=1)</f>
        <v>0</v>
      </c>
      <c r="BK293" s="49">
        <f ca="1">(HM_ZB_Nsoko!CA_gross_rev_oil_difference1)*(HM_ZB_Nsoko!CA_PSC_switch_trig=0)+(HM_ZB_Nsoko!CA_gross_rev_oil_difference2)*(HM_ZB_Nsoko!CA_PSC_switch_trig=1)</f>
        <v>0</v>
      </c>
      <c r="BL293" s="49">
        <f ca="1">(HM_ZB_Nsoko!CA_gross_rev_oil_difference1)*(HM_ZB_Nsoko!CA_PSC_switch_trig=0)+(HM_ZB_Nsoko!CA_gross_rev_oil_difference2)*(HM_ZB_Nsoko!CA_PSC_switch_trig=1)</f>
        <v>0</v>
      </c>
      <c r="BM293" s="49">
        <f ca="1">(HM_ZB_Nsoko!CA_gross_rev_oil_difference1)*(HM_ZB_Nsoko!CA_PSC_switch_trig=0)+(HM_ZB_Nsoko!CA_gross_rev_oil_difference2)*(HM_ZB_Nsoko!CA_PSC_switch_trig=1)</f>
        <v>0</v>
      </c>
      <c r="BN293" s="49">
        <f ca="1">(HM_ZB_Nsoko!CA_gross_rev_oil_difference1)*(HM_ZB_Nsoko!CA_PSC_switch_trig=0)+(HM_ZB_Nsoko!CA_gross_rev_oil_difference2)*(HM_ZB_Nsoko!CA_PSC_switch_trig=1)</f>
        <v>0</v>
      </c>
      <c r="BO293" s="49">
        <f ca="1">(HM_ZB_Nsoko!CA_gross_rev_oil_difference1)*(HM_ZB_Nsoko!CA_PSC_switch_trig=0)+(HM_ZB_Nsoko!CA_gross_rev_oil_difference2)*(HM_ZB_Nsoko!CA_PSC_switch_trig=1)</f>
        <v>0</v>
      </c>
      <c r="BP293" s="49">
        <f ca="1">(HM_ZB_Nsoko!CA_gross_rev_oil_difference1)*(HM_ZB_Nsoko!CA_PSC_switch_trig=0)+(HM_ZB_Nsoko!CA_gross_rev_oil_difference2)*(HM_ZB_Nsoko!CA_PSC_switch_trig=1)</f>
        <v>0</v>
      </c>
      <c r="BQ293" s="49">
        <f ca="1">(HM_ZB_Nsoko!CA_gross_rev_oil_difference1)*(HM_ZB_Nsoko!CA_PSC_switch_trig=0)+(HM_ZB_Nsoko!CA_gross_rev_oil_difference2)*(HM_ZB_Nsoko!CA_PSC_switch_trig=1)</f>
        <v>0</v>
      </c>
      <c r="BR293" s="49">
        <f ca="1">(HM_ZB_Nsoko!CA_gross_rev_oil_difference1)*(HM_ZB_Nsoko!CA_PSC_switch_trig=0)+(HM_ZB_Nsoko!CA_gross_rev_oil_difference2)*(HM_ZB_Nsoko!CA_PSC_switch_trig=1)</f>
        <v>0</v>
      </c>
      <c r="BS293" s="49">
        <f ca="1">(HM_ZB_Nsoko!CA_gross_rev_oil_difference1)*(HM_ZB_Nsoko!CA_PSC_switch_trig=0)+(HM_ZB_Nsoko!CA_gross_rev_oil_difference2)*(HM_ZB_Nsoko!CA_PSC_switch_trig=1)</f>
        <v>0</v>
      </c>
    </row>
    <row r="294" spans="3:71" outlineLevel="1" x14ac:dyDescent="0.2">
      <c r="D294" s="35"/>
      <c r="J294" s="26"/>
      <c r="L294" s="55"/>
      <c r="M294" s="55"/>
      <c r="N294" s="55"/>
      <c r="O294" s="55"/>
      <c r="P294" s="55"/>
      <c r="Q294" s="55"/>
      <c r="R294" s="55"/>
      <c r="S294" s="55"/>
      <c r="T294" s="55"/>
      <c r="U294" s="55"/>
      <c r="V294" s="55"/>
      <c r="W294" s="55"/>
      <c r="X294" s="55"/>
      <c r="Y294" s="55"/>
      <c r="Z294" s="55"/>
      <c r="AA294" s="55"/>
      <c r="AB294" s="55"/>
      <c r="AC294" s="55"/>
      <c r="AD294" s="55"/>
      <c r="AE294" s="55"/>
      <c r="AF294" s="55"/>
      <c r="AG294" s="55"/>
      <c r="AH294" s="55"/>
      <c r="AI294" s="55"/>
      <c r="AJ294" s="55"/>
      <c r="AK294" s="55"/>
      <c r="AL294" s="55"/>
      <c r="AM294" s="55"/>
      <c r="AN294" s="55"/>
      <c r="AO294" s="55"/>
      <c r="AP294" s="55"/>
      <c r="AQ294" s="55"/>
      <c r="AR294" s="55"/>
      <c r="AS294" s="55"/>
      <c r="AT294" s="55"/>
      <c r="AU294" s="55"/>
      <c r="AV294" s="55"/>
      <c r="AW294" s="55"/>
      <c r="AX294" s="55"/>
      <c r="AY294" s="55"/>
      <c r="AZ294" s="55"/>
      <c r="BA294" s="55"/>
      <c r="BB294" s="55"/>
      <c r="BC294" s="55"/>
      <c r="BD294" s="55"/>
      <c r="BE294" s="55"/>
      <c r="BF294" s="55"/>
      <c r="BG294" s="55"/>
      <c r="BH294" s="55"/>
      <c r="BI294" s="55"/>
      <c r="BJ294" s="55"/>
      <c r="BK294" s="55"/>
      <c r="BL294" s="55"/>
      <c r="BM294" s="55"/>
      <c r="BN294" s="55"/>
      <c r="BO294" s="55"/>
      <c r="BP294" s="55"/>
      <c r="BQ294" s="55"/>
      <c r="BR294" s="55"/>
      <c r="BS294" s="55"/>
    </row>
    <row r="295" spans="3:71" outlineLevel="1" x14ac:dyDescent="0.2">
      <c r="D295" s="35" t="str">
        <f>HM_ZA_Nkossa!D284</f>
        <v>Redevance pétrolière - SPO</v>
      </c>
      <c r="I295" s="30">
        <f t="shared" ref="I295:I297" ca="1" si="73">SUM($L295:$BS295)</f>
        <v>35.256211944084903</v>
      </c>
      <c r="J295" s="26" t="s">
        <v>148</v>
      </c>
      <c r="L295" s="49">
        <f ca="1">(HM_ZB_Nsoko!CA_gross_rev_oil_difference1*HM_ZB_Nsoko!royalty_rate_oil)*(HM_ZB_Nsoko!CA_SPO_trig)*(HM_ZB_Nsoko!CA_PSC_switch_trig=0)+
(HM_ZB_Nsoko!CA_gross_rev_oil_difference2*HM_ZB_Nsoko!royalty_rate_oil)*(HM_ZB_Nsoko!CA_SPO_trig)*(HM_ZB_Nsoko!CA_PSC_switch_trig=1)</f>
        <v>9.0927890563874989</v>
      </c>
      <c r="M295" s="49">
        <f ca="1">(HM_ZB_Nsoko!CA_gross_rev_oil_difference1*HM_ZB_Nsoko!royalty_rate_oil)*(HM_ZB_Nsoko!CA_SPO_trig)*(HM_ZB_Nsoko!CA_PSC_switch_trig=0)+
(HM_ZB_Nsoko!CA_gross_rev_oil_difference2*HM_ZB_Nsoko!royalty_rate_oil)*(HM_ZB_Nsoko!CA_SPO_trig)*(HM_ZB_Nsoko!CA_PSC_switch_trig=1)</f>
        <v>8.6960430409499985</v>
      </c>
      <c r="N295" s="49">
        <f ca="1">(HM_ZB_Nsoko!CA_gross_rev_oil_difference1*HM_ZB_Nsoko!royalty_rate_oil)*(HM_ZB_Nsoko!CA_SPO_trig)*(HM_ZB_Nsoko!CA_PSC_switch_trig=0)+
(HM_ZB_Nsoko!CA_gross_rev_oil_difference2*HM_ZB_Nsoko!royalty_rate_oil)*(HM_ZB_Nsoko!CA_SPO_trig)*(HM_ZB_Nsoko!CA_PSC_switch_trig=1)</f>
        <v>2.6989242760500014</v>
      </c>
      <c r="O295" s="49">
        <f ca="1">(HM_ZB_Nsoko!CA_gross_rev_oil_difference1*HM_ZB_Nsoko!royalty_rate_oil)*(HM_ZB_Nsoko!CA_SPO_trig)*(HM_ZB_Nsoko!CA_PSC_switch_trig=0)+
(HM_ZB_Nsoko!CA_gross_rev_oil_difference2*HM_ZB_Nsoko!royalty_rate_oil)*(HM_ZB_Nsoko!CA_SPO_trig)*(HM_ZB_Nsoko!CA_PSC_switch_trig=1)</f>
        <v>1.27061484105</v>
      </c>
      <c r="P295" s="49">
        <f ca="1">(HM_ZB_Nsoko!CA_gross_rev_oil_difference1*HM_ZB_Nsoko!royalty_rate_oil)*(HM_ZB_Nsoko!CA_SPO_trig)*(HM_ZB_Nsoko!CA_PSC_switch_trig=0)+
(HM_ZB_Nsoko!CA_gross_rev_oil_difference2*HM_ZB_Nsoko!royalty_rate_oil)*(HM_ZB_Nsoko!CA_SPO_trig)*(HM_ZB_Nsoko!CA_PSC_switch_trig=1)</f>
        <v>1.7725411666499993</v>
      </c>
      <c r="Q295" s="49">
        <f ca="1">(HM_ZB_Nsoko!CA_gross_rev_oil_difference1*HM_ZB_Nsoko!royalty_rate_oil)*(HM_ZB_Nsoko!CA_SPO_trig)*(HM_ZB_Nsoko!CA_PSC_switch_trig=0)+
(HM_ZB_Nsoko!CA_gross_rev_oil_difference2*HM_ZB_Nsoko!royalty_rate_oil)*(HM_ZB_Nsoko!CA_SPO_trig)*(HM_ZB_Nsoko!CA_PSC_switch_trig=1)</f>
        <v>3.7768349629499993</v>
      </c>
      <c r="R295" s="49">
        <f ca="1">(HM_ZB_Nsoko!CA_gross_rev_oil_difference1*HM_ZB_Nsoko!royalty_rate_oil)*(HM_ZB_Nsoko!CA_SPO_trig)*(HM_ZB_Nsoko!CA_PSC_switch_trig=0)+
(HM_ZB_Nsoko!CA_gross_rev_oil_difference2*HM_ZB_Nsoko!royalty_rate_oil)*(HM_ZB_Nsoko!CA_SPO_trig)*(HM_ZB_Nsoko!CA_PSC_switch_trig=1)</f>
        <v>0.77149078859999975</v>
      </c>
      <c r="S295" s="49">
        <f ca="1">(HM_ZB_Nsoko!CA_gross_rev_oil_difference1*HM_ZB_Nsoko!royalty_rate_oil)*(HM_ZB_Nsoko!CA_SPO_trig)*(HM_ZB_Nsoko!CA_PSC_switch_trig=0)+
(HM_ZB_Nsoko!CA_gross_rev_oil_difference2*HM_ZB_Nsoko!royalty_rate_oil)*(HM_ZB_Nsoko!CA_SPO_trig)*(HM_ZB_Nsoko!CA_PSC_switch_trig=1)</f>
        <v>0</v>
      </c>
      <c r="T295" s="49">
        <f ca="1">(HM_ZB_Nsoko!CA_gross_rev_oil_difference1*HM_ZB_Nsoko!royalty_rate_oil)*(HM_ZB_Nsoko!CA_SPO_trig)*(HM_ZB_Nsoko!CA_PSC_switch_trig=0)+
(HM_ZB_Nsoko!CA_gross_rev_oil_difference2*HM_ZB_Nsoko!royalty_rate_oil)*(HM_ZB_Nsoko!CA_SPO_trig)*(HM_ZB_Nsoko!CA_PSC_switch_trig=1)</f>
        <v>1.1381401853667301</v>
      </c>
      <c r="U295" s="49">
        <f ca="1">(HM_ZB_Nsoko!CA_gross_rev_oil_difference1*HM_ZB_Nsoko!royalty_rate_oil)*(HM_ZB_Nsoko!CA_SPO_trig)*(HM_ZB_Nsoko!CA_PSC_switch_trig=0)+
(HM_ZB_Nsoko!CA_gross_rev_oil_difference2*HM_ZB_Nsoko!royalty_rate_oil)*(HM_ZB_Nsoko!CA_SPO_trig)*(HM_ZB_Nsoko!CA_PSC_switch_trig=1)</f>
        <v>1.4953415231030931</v>
      </c>
      <c r="V295" s="49">
        <f ca="1">(HM_ZB_Nsoko!CA_gross_rev_oil_difference1*HM_ZB_Nsoko!royalty_rate_oil)*(HM_ZB_Nsoko!CA_SPO_trig)*(HM_ZB_Nsoko!CA_PSC_switch_trig=0)+
(HM_ZB_Nsoko!CA_gross_rev_oil_difference2*HM_ZB_Nsoko!royalty_rate_oil)*(HM_ZB_Nsoko!CA_SPO_trig)*(HM_ZB_Nsoko!CA_PSC_switch_trig=1)</f>
        <v>1.5095184774723573</v>
      </c>
      <c r="W295" s="49">
        <f ca="1">(HM_ZB_Nsoko!CA_gross_rev_oil_difference1*HM_ZB_Nsoko!royalty_rate_oil)*(HM_ZB_Nsoko!CA_SPO_trig)*(HM_ZB_Nsoko!CA_PSC_switch_trig=0)+
(HM_ZB_Nsoko!CA_gross_rev_oil_difference2*HM_ZB_Nsoko!royalty_rate_oil)*(HM_ZB_Nsoko!CA_SPO_trig)*(HM_ZB_Nsoko!CA_PSC_switch_trig=1)</f>
        <v>1.5165941107810683</v>
      </c>
      <c r="X295" s="49">
        <f ca="1">(HM_ZB_Nsoko!CA_gross_rev_oil_difference1*HM_ZB_Nsoko!royalty_rate_oil)*(HM_ZB_Nsoko!CA_SPO_trig)*(HM_ZB_Nsoko!CA_PSC_switch_trig=0)+
(HM_ZB_Nsoko!CA_gross_rev_oil_difference2*HM_ZB_Nsoko!royalty_rate_oil)*(HM_ZB_Nsoko!CA_SPO_trig)*(HM_ZB_Nsoko!CA_PSC_switch_trig=1)</f>
        <v>1.5173795147241562</v>
      </c>
      <c r="Y295" s="49">
        <f ca="1">(HM_ZB_Nsoko!CA_gross_rev_oil_difference1*HM_ZB_Nsoko!royalty_rate_oil)*(HM_ZB_Nsoko!CA_SPO_trig)*(HM_ZB_Nsoko!CA_PSC_switch_trig=0)+
(HM_ZB_Nsoko!CA_gross_rev_oil_difference2*HM_ZB_Nsoko!royalty_rate_oil)*(HM_ZB_Nsoko!CA_SPO_trig)*(HM_ZB_Nsoko!CA_PSC_switch_trig=1)</f>
        <v>0</v>
      </c>
      <c r="Z295" s="49">
        <f ca="1">(HM_ZB_Nsoko!CA_gross_rev_oil_difference1*HM_ZB_Nsoko!royalty_rate_oil)*(HM_ZB_Nsoko!CA_SPO_trig)*(HM_ZB_Nsoko!CA_PSC_switch_trig=0)+
(HM_ZB_Nsoko!CA_gross_rev_oil_difference2*HM_ZB_Nsoko!royalty_rate_oil)*(HM_ZB_Nsoko!CA_SPO_trig)*(HM_ZB_Nsoko!CA_PSC_switch_trig=1)</f>
        <v>0</v>
      </c>
      <c r="AA295" s="49">
        <f ca="1">(HM_ZB_Nsoko!CA_gross_rev_oil_difference1*HM_ZB_Nsoko!royalty_rate_oil)*(HM_ZB_Nsoko!CA_SPO_trig)*(HM_ZB_Nsoko!CA_PSC_switch_trig=0)+
(HM_ZB_Nsoko!CA_gross_rev_oil_difference2*HM_ZB_Nsoko!royalty_rate_oil)*(HM_ZB_Nsoko!CA_SPO_trig)*(HM_ZB_Nsoko!CA_PSC_switch_trig=1)</f>
        <v>0</v>
      </c>
      <c r="AB295" s="49">
        <f ca="1">(HM_ZB_Nsoko!CA_gross_rev_oil_difference1*HM_ZB_Nsoko!royalty_rate_oil)*(HM_ZB_Nsoko!CA_SPO_trig)*(HM_ZB_Nsoko!CA_PSC_switch_trig=0)+
(HM_ZB_Nsoko!CA_gross_rev_oil_difference2*HM_ZB_Nsoko!royalty_rate_oil)*(HM_ZB_Nsoko!CA_SPO_trig)*(HM_ZB_Nsoko!CA_PSC_switch_trig=1)</f>
        <v>0</v>
      </c>
      <c r="AC295" s="49">
        <f ca="1">(HM_ZB_Nsoko!CA_gross_rev_oil_difference1*HM_ZB_Nsoko!royalty_rate_oil)*(HM_ZB_Nsoko!CA_SPO_trig)*(HM_ZB_Nsoko!CA_PSC_switch_trig=0)+
(HM_ZB_Nsoko!CA_gross_rev_oil_difference2*HM_ZB_Nsoko!royalty_rate_oil)*(HM_ZB_Nsoko!CA_SPO_trig)*(HM_ZB_Nsoko!CA_PSC_switch_trig=1)</f>
        <v>0</v>
      </c>
      <c r="AD295" s="49">
        <f ca="1">(HM_ZB_Nsoko!CA_gross_rev_oil_difference1*HM_ZB_Nsoko!royalty_rate_oil)*(HM_ZB_Nsoko!CA_SPO_trig)*(HM_ZB_Nsoko!CA_PSC_switch_trig=0)+
(HM_ZB_Nsoko!CA_gross_rev_oil_difference2*HM_ZB_Nsoko!royalty_rate_oil)*(HM_ZB_Nsoko!CA_SPO_trig)*(HM_ZB_Nsoko!CA_PSC_switch_trig=1)</f>
        <v>0</v>
      </c>
      <c r="AE295" s="49">
        <f ca="1">(HM_ZB_Nsoko!CA_gross_rev_oil_difference1*HM_ZB_Nsoko!royalty_rate_oil)*(HM_ZB_Nsoko!CA_SPO_trig)*(HM_ZB_Nsoko!CA_PSC_switch_trig=0)+
(HM_ZB_Nsoko!CA_gross_rev_oil_difference2*HM_ZB_Nsoko!royalty_rate_oil)*(HM_ZB_Nsoko!CA_SPO_trig)*(HM_ZB_Nsoko!CA_PSC_switch_trig=1)</f>
        <v>0</v>
      </c>
      <c r="AF295" s="49">
        <f ca="1">(HM_ZB_Nsoko!CA_gross_rev_oil_difference1*HM_ZB_Nsoko!royalty_rate_oil)*(HM_ZB_Nsoko!CA_SPO_trig)*(HM_ZB_Nsoko!CA_PSC_switch_trig=0)+
(HM_ZB_Nsoko!CA_gross_rev_oil_difference2*HM_ZB_Nsoko!royalty_rate_oil)*(HM_ZB_Nsoko!CA_SPO_trig)*(HM_ZB_Nsoko!CA_PSC_switch_trig=1)</f>
        <v>0</v>
      </c>
      <c r="AG295" s="49">
        <f ca="1">(HM_ZB_Nsoko!CA_gross_rev_oil_difference1*HM_ZB_Nsoko!royalty_rate_oil)*(HM_ZB_Nsoko!CA_SPO_trig)*(HM_ZB_Nsoko!CA_PSC_switch_trig=0)+
(HM_ZB_Nsoko!CA_gross_rev_oil_difference2*HM_ZB_Nsoko!royalty_rate_oil)*(HM_ZB_Nsoko!CA_SPO_trig)*(HM_ZB_Nsoko!CA_PSC_switch_trig=1)</f>
        <v>0</v>
      </c>
      <c r="AH295" s="49">
        <f ca="1">(HM_ZB_Nsoko!CA_gross_rev_oil_difference1*HM_ZB_Nsoko!royalty_rate_oil)*(HM_ZB_Nsoko!CA_SPO_trig)*(HM_ZB_Nsoko!CA_PSC_switch_trig=0)+
(HM_ZB_Nsoko!CA_gross_rev_oil_difference2*HM_ZB_Nsoko!royalty_rate_oil)*(HM_ZB_Nsoko!CA_SPO_trig)*(HM_ZB_Nsoko!CA_PSC_switch_trig=1)</f>
        <v>0</v>
      </c>
      <c r="AI295" s="49">
        <f ca="1">(HM_ZB_Nsoko!CA_gross_rev_oil_difference1*HM_ZB_Nsoko!royalty_rate_oil)*(HM_ZB_Nsoko!CA_SPO_trig)*(HM_ZB_Nsoko!CA_PSC_switch_trig=0)+
(HM_ZB_Nsoko!CA_gross_rev_oil_difference2*HM_ZB_Nsoko!royalty_rate_oil)*(HM_ZB_Nsoko!CA_SPO_trig)*(HM_ZB_Nsoko!CA_PSC_switch_trig=1)</f>
        <v>0</v>
      </c>
      <c r="AJ295" s="49">
        <f ca="1">(HM_ZB_Nsoko!CA_gross_rev_oil_difference1*HM_ZB_Nsoko!royalty_rate_oil)*(HM_ZB_Nsoko!CA_SPO_trig)*(HM_ZB_Nsoko!CA_PSC_switch_trig=0)+
(HM_ZB_Nsoko!CA_gross_rev_oil_difference2*HM_ZB_Nsoko!royalty_rate_oil)*(HM_ZB_Nsoko!CA_SPO_trig)*(HM_ZB_Nsoko!CA_PSC_switch_trig=1)</f>
        <v>0</v>
      </c>
      <c r="AK295" s="49">
        <f ca="1">(HM_ZB_Nsoko!CA_gross_rev_oil_difference1*HM_ZB_Nsoko!royalty_rate_oil)*(HM_ZB_Nsoko!CA_SPO_trig)*(HM_ZB_Nsoko!CA_PSC_switch_trig=0)+
(HM_ZB_Nsoko!CA_gross_rev_oil_difference2*HM_ZB_Nsoko!royalty_rate_oil)*(HM_ZB_Nsoko!CA_SPO_trig)*(HM_ZB_Nsoko!CA_PSC_switch_trig=1)</f>
        <v>0</v>
      </c>
      <c r="AL295" s="49">
        <f ca="1">(HM_ZB_Nsoko!CA_gross_rev_oil_difference1*HM_ZB_Nsoko!royalty_rate_oil)*(HM_ZB_Nsoko!CA_SPO_trig)*(HM_ZB_Nsoko!CA_PSC_switch_trig=0)+
(HM_ZB_Nsoko!CA_gross_rev_oil_difference2*HM_ZB_Nsoko!royalty_rate_oil)*(HM_ZB_Nsoko!CA_SPO_trig)*(HM_ZB_Nsoko!CA_PSC_switch_trig=1)</f>
        <v>0</v>
      </c>
      <c r="AM295" s="49">
        <f ca="1">(HM_ZB_Nsoko!CA_gross_rev_oil_difference1*HM_ZB_Nsoko!royalty_rate_oil)*(HM_ZB_Nsoko!CA_SPO_trig)*(HM_ZB_Nsoko!CA_PSC_switch_trig=0)+
(HM_ZB_Nsoko!CA_gross_rev_oil_difference2*HM_ZB_Nsoko!royalty_rate_oil)*(HM_ZB_Nsoko!CA_SPO_trig)*(HM_ZB_Nsoko!CA_PSC_switch_trig=1)</f>
        <v>0</v>
      </c>
      <c r="AN295" s="49">
        <f ca="1">(HM_ZB_Nsoko!CA_gross_rev_oil_difference1*HM_ZB_Nsoko!royalty_rate_oil)*(HM_ZB_Nsoko!CA_SPO_trig)*(HM_ZB_Nsoko!CA_PSC_switch_trig=0)+
(HM_ZB_Nsoko!CA_gross_rev_oil_difference2*HM_ZB_Nsoko!royalty_rate_oil)*(HM_ZB_Nsoko!CA_SPO_trig)*(HM_ZB_Nsoko!CA_PSC_switch_trig=1)</f>
        <v>0</v>
      </c>
      <c r="AO295" s="49">
        <f ca="1">(HM_ZB_Nsoko!CA_gross_rev_oil_difference1*HM_ZB_Nsoko!royalty_rate_oil)*(HM_ZB_Nsoko!CA_SPO_trig)*(HM_ZB_Nsoko!CA_PSC_switch_trig=0)+
(HM_ZB_Nsoko!CA_gross_rev_oil_difference2*HM_ZB_Nsoko!royalty_rate_oil)*(HM_ZB_Nsoko!CA_SPO_trig)*(HM_ZB_Nsoko!CA_PSC_switch_trig=1)</f>
        <v>0</v>
      </c>
      <c r="AP295" s="49">
        <f ca="1">(HM_ZB_Nsoko!CA_gross_rev_oil_difference1*HM_ZB_Nsoko!royalty_rate_oil)*(HM_ZB_Nsoko!CA_SPO_trig)*(HM_ZB_Nsoko!CA_PSC_switch_trig=0)+
(HM_ZB_Nsoko!CA_gross_rev_oil_difference2*HM_ZB_Nsoko!royalty_rate_oil)*(HM_ZB_Nsoko!CA_SPO_trig)*(HM_ZB_Nsoko!CA_PSC_switch_trig=1)</f>
        <v>0</v>
      </c>
      <c r="AQ295" s="49">
        <f ca="1">(HM_ZB_Nsoko!CA_gross_rev_oil_difference1*HM_ZB_Nsoko!royalty_rate_oil)*(HM_ZB_Nsoko!CA_SPO_trig)*(HM_ZB_Nsoko!CA_PSC_switch_trig=0)+
(HM_ZB_Nsoko!CA_gross_rev_oil_difference2*HM_ZB_Nsoko!royalty_rate_oil)*(HM_ZB_Nsoko!CA_SPO_trig)*(HM_ZB_Nsoko!CA_PSC_switch_trig=1)</f>
        <v>0</v>
      </c>
      <c r="AR295" s="49">
        <f ca="1">(HM_ZB_Nsoko!CA_gross_rev_oil_difference1*HM_ZB_Nsoko!royalty_rate_oil)*(HM_ZB_Nsoko!CA_SPO_trig)*(HM_ZB_Nsoko!CA_PSC_switch_trig=0)+
(HM_ZB_Nsoko!CA_gross_rev_oil_difference2*HM_ZB_Nsoko!royalty_rate_oil)*(HM_ZB_Nsoko!CA_SPO_trig)*(HM_ZB_Nsoko!CA_PSC_switch_trig=1)</f>
        <v>0</v>
      </c>
      <c r="AS295" s="49">
        <f ca="1">(HM_ZB_Nsoko!CA_gross_rev_oil_difference1*HM_ZB_Nsoko!royalty_rate_oil)*(HM_ZB_Nsoko!CA_SPO_trig)*(HM_ZB_Nsoko!CA_PSC_switch_trig=0)+
(HM_ZB_Nsoko!CA_gross_rev_oil_difference2*HM_ZB_Nsoko!royalty_rate_oil)*(HM_ZB_Nsoko!CA_SPO_trig)*(HM_ZB_Nsoko!CA_PSC_switch_trig=1)</f>
        <v>0</v>
      </c>
      <c r="AT295" s="49">
        <f ca="1">(HM_ZB_Nsoko!CA_gross_rev_oil_difference1*HM_ZB_Nsoko!royalty_rate_oil)*(HM_ZB_Nsoko!CA_SPO_trig)*(HM_ZB_Nsoko!CA_PSC_switch_trig=0)+
(HM_ZB_Nsoko!CA_gross_rev_oil_difference2*HM_ZB_Nsoko!royalty_rate_oil)*(HM_ZB_Nsoko!CA_SPO_trig)*(HM_ZB_Nsoko!CA_PSC_switch_trig=1)</f>
        <v>0</v>
      </c>
      <c r="AU295" s="49">
        <f ca="1">(HM_ZB_Nsoko!CA_gross_rev_oil_difference1*HM_ZB_Nsoko!royalty_rate_oil)*(HM_ZB_Nsoko!CA_SPO_trig)*(HM_ZB_Nsoko!CA_PSC_switch_trig=0)+
(HM_ZB_Nsoko!CA_gross_rev_oil_difference2*HM_ZB_Nsoko!royalty_rate_oil)*(HM_ZB_Nsoko!CA_SPO_trig)*(HM_ZB_Nsoko!CA_PSC_switch_trig=1)</f>
        <v>0</v>
      </c>
      <c r="AV295" s="49">
        <f ca="1">(HM_ZB_Nsoko!CA_gross_rev_oil_difference1*HM_ZB_Nsoko!royalty_rate_oil)*(HM_ZB_Nsoko!CA_SPO_trig)*(HM_ZB_Nsoko!CA_PSC_switch_trig=0)+
(HM_ZB_Nsoko!CA_gross_rev_oil_difference2*HM_ZB_Nsoko!royalty_rate_oil)*(HM_ZB_Nsoko!CA_SPO_trig)*(HM_ZB_Nsoko!CA_PSC_switch_trig=1)</f>
        <v>0</v>
      </c>
      <c r="AW295" s="49">
        <f ca="1">(HM_ZB_Nsoko!CA_gross_rev_oil_difference1*HM_ZB_Nsoko!royalty_rate_oil)*(HM_ZB_Nsoko!CA_SPO_trig)*(HM_ZB_Nsoko!CA_PSC_switch_trig=0)+
(HM_ZB_Nsoko!CA_gross_rev_oil_difference2*HM_ZB_Nsoko!royalty_rate_oil)*(HM_ZB_Nsoko!CA_SPO_trig)*(HM_ZB_Nsoko!CA_PSC_switch_trig=1)</f>
        <v>0</v>
      </c>
      <c r="AX295" s="49">
        <f ca="1">(HM_ZB_Nsoko!CA_gross_rev_oil_difference1*HM_ZB_Nsoko!royalty_rate_oil)*(HM_ZB_Nsoko!CA_SPO_trig)*(HM_ZB_Nsoko!CA_PSC_switch_trig=0)+
(HM_ZB_Nsoko!CA_gross_rev_oil_difference2*HM_ZB_Nsoko!royalty_rate_oil)*(HM_ZB_Nsoko!CA_SPO_trig)*(HM_ZB_Nsoko!CA_PSC_switch_trig=1)</f>
        <v>0</v>
      </c>
      <c r="AY295" s="49">
        <f ca="1">(HM_ZB_Nsoko!CA_gross_rev_oil_difference1*HM_ZB_Nsoko!royalty_rate_oil)*(HM_ZB_Nsoko!CA_SPO_trig)*(HM_ZB_Nsoko!CA_PSC_switch_trig=0)+
(HM_ZB_Nsoko!CA_gross_rev_oil_difference2*HM_ZB_Nsoko!royalty_rate_oil)*(HM_ZB_Nsoko!CA_SPO_trig)*(HM_ZB_Nsoko!CA_PSC_switch_trig=1)</f>
        <v>0</v>
      </c>
      <c r="AZ295" s="49">
        <f ca="1">(HM_ZB_Nsoko!CA_gross_rev_oil_difference1*HM_ZB_Nsoko!royalty_rate_oil)*(HM_ZB_Nsoko!CA_SPO_trig)*(HM_ZB_Nsoko!CA_PSC_switch_trig=0)+
(HM_ZB_Nsoko!CA_gross_rev_oil_difference2*HM_ZB_Nsoko!royalty_rate_oil)*(HM_ZB_Nsoko!CA_SPO_trig)*(HM_ZB_Nsoko!CA_PSC_switch_trig=1)</f>
        <v>0</v>
      </c>
      <c r="BA295" s="49">
        <f ca="1">(HM_ZB_Nsoko!CA_gross_rev_oil_difference1*HM_ZB_Nsoko!royalty_rate_oil)*(HM_ZB_Nsoko!CA_SPO_trig)*(HM_ZB_Nsoko!CA_PSC_switch_trig=0)+
(HM_ZB_Nsoko!CA_gross_rev_oil_difference2*HM_ZB_Nsoko!royalty_rate_oil)*(HM_ZB_Nsoko!CA_SPO_trig)*(HM_ZB_Nsoko!CA_PSC_switch_trig=1)</f>
        <v>0</v>
      </c>
      <c r="BB295" s="49">
        <f ca="1">(HM_ZB_Nsoko!CA_gross_rev_oil_difference1*HM_ZB_Nsoko!royalty_rate_oil)*(HM_ZB_Nsoko!CA_SPO_trig)*(HM_ZB_Nsoko!CA_PSC_switch_trig=0)+
(HM_ZB_Nsoko!CA_gross_rev_oil_difference2*HM_ZB_Nsoko!royalty_rate_oil)*(HM_ZB_Nsoko!CA_SPO_trig)*(HM_ZB_Nsoko!CA_PSC_switch_trig=1)</f>
        <v>0</v>
      </c>
      <c r="BC295" s="49">
        <f ca="1">(HM_ZB_Nsoko!CA_gross_rev_oil_difference1*HM_ZB_Nsoko!royalty_rate_oil)*(HM_ZB_Nsoko!CA_SPO_trig)*(HM_ZB_Nsoko!CA_PSC_switch_trig=0)+
(HM_ZB_Nsoko!CA_gross_rev_oil_difference2*HM_ZB_Nsoko!royalty_rate_oil)*(HM_ZB_Nsoko!CA_SPO_trig)*(HM_ZB_Nsoko!CA_PSC_switch_trig=1)</f>
        <v>0</v>
      </c>
      <c r="BD295" s="49">
        <f ca="1">(HM_ZB_Nsoko!CA_gross_rev_oil_difference1*HM_ZB_Nsoko!royalty_rate_oil)*(HM_ZB_Nsoko!CA_SPO_trig)*(HM_ZB_Nsoko!CA_PSC_switch_trig=0)+
(HM_ZB_Nsoko!CA_gross_rev_oil_difference2*HM_ZB_Nsoko!royalty_rate_oil)*(HM_ZB_Nsoko!CA_SPO_trig)*(HM_ZB_Nsoko!CA_PSC_switch_trig=1)</f>
        <v>0</v>
      </c>
      <c r="BE295" s="49">
        <f ca="1">(HM_ZB_Nsoko!CA_gross_rev_oil_difference1*HM_ZB_Nsoko!royalty_rate_oil)*(HM_ZB_Nsoko!CA_SPO_trig)*(HM_ZB_Nsoko!CA_PSC_switch_trig=0)+
(HM_ZB_Nsoko!CA_gross_rev_oil_difference2*HM_ZB_Nsoko!royalty_rate_oil)*(HM_ZB_Nsoko!CA_SPO_trig)*(HM_ZB_Nsoko!CA_PSC_switch_trig=1)</f>
        <v>0</v>
      </c>
      <c r="BF295" s="49">
        <f ca="1">(HM_ZB_Nsoko!CA_gross_rev_oil_difference1*HM_ZB_Nsoko!royalty_rate_oil)*(HM_ZB_Nsoko!CA_SPO_trig)*(HM_ZB_Nsoko!CA_PSC_switch_trig=0)+
(HM_ZB_Nsoko!CA_gross_rev_oil_difference2*HM_ZB_Nsoko!royalty_rate_oil)*(HM_ZB_Nsoko!CA_SPO_trig)*(HM_ZB_Nsoko!CA_PSC_switch_trig=1)</f>
        <v>0</v>
      </c>
      <c r="BG295" s="49">
        <f ca="1">(HM_ZB_Nsoko!CA_gross_rev_oil_difference1*HM_ZB_Nsoko!royalty_rate_oil)*(HM_ZB_Nsoko!CA_SPO_trig)*(HM_ZB_Nsoko!CA_PSC_switch_trig=0)+
(HM_ZB_Nsoko!CA_gross_rev_oil_difference2*HM_ZB_Nsoko!royalty_rate_oil)*(HM_ZB_Nsoko!CA_SPO_trig)*(HM_ZB_Nsoko!CA_PSC_switch_trig=1)</f>
        <v>0</v>
      </c>
      <c r="BH295" s="49">
        <f ca="1">(HM_ZB_Nsoko!CA_gross_rev_oil_difference1*HM_ZB_Nsoko!royalty_rate_oil)*(HM_ZB_Nsoko!CA_SPO_trig)*(HM_ZB_Nsoko!CA_PSC_switch_trig=0)+
(HM_ZB_Nsoko!CA_gross_rev_oil_difference2*HM_ZB_Nsoko!royalty_rate_oil)*(HM_ZB_Nsoko!CA_SPO_trig)*(HM_ZB_Nsoko!CA_PSC_switch_trig=1)</f>
        <v>0</v>
      </c>
      <c r="BI295" s="49">
        <f ca="1">(HM_ZB_Nsoko!CA_gross_rev_oil_difference1*HM_ZB_Nsoko!royalty_rate_oil)*(HM_ZB_Nsoko!CA_SPO_trig)*(HM_ZB_Nsoko!CA_PSC_switch_trig=0)+
(HM_ZB_Nsoko!CA_gross_rev_oil_difference2*HM_ZB_Nsoko!royalty_rate_oil)*(HM_ZB_Nsoko!CA_SPO_trig)*(HM_ZB_Nsoko!CA_PSC_switch_trig=1)</f>
        <v>0</v>
      </c>
      <c r="BJ295" s="49">
        <f ca="1">(HM_ZB_Nsoko!CA_gross_rev_oil_difference1*HM_ZB_Nsoko!royalty_rate_oil)*(HM_ZB_Nsoko!CA_SPO_trig)*(HM_ZB_Nsoko!CA_PSC_switch_trig=0)+
(HM_ZB_Nsoko!CA_gross_rev_oil_difference2*HM_ZB_Nsoko!royalty_rate_oil)*(HM_ZB_Nsoko!CA_SPO_trig)*(HM_ZB_Nsoko!CA_PSC_switch_trig=1)</f>
        <v>0</v>
      </c>
      <c r="BK295" s="49">
        <f ca="1">(HM_ZB_Nsoko!CA_gross_rev_oil_difference1*HM_ZB_Nsoko!royalty_rate_oil)*(HM_ZB_Nsoko!CA_SPO_trig)*(HM_ZB_Nsoko!CA_PSC_switch_trig=0)+
(HM_ZB_Nsoko!CA_gross_rev_oil_difference2*HM_ZB_Nsoko!royalty_rate_oil)*(HM_ZB_Nsoko!CA_SPO_trig)*(HM_ZB_Nsoko!CA_PSC_switch_trig=1)</f>
        <v>0</v>
      </c>
      <c r="BL295" s="49">
        <f ca="1">(HM_ZB_Nsoko!CA_gross_rev_oil_difference1*HM_ZB_Nsoko!royalty_rate_oil)*(HM_ZB_Nsoko!CA_SPO_trig)*(HM_ZB_Nsoko!CA_PSC_switch_trig=0)+
(HM_ZB_Nsoko!CA_gross_rev_oil_difference2*HM_ZB_Nsoko!royalty_rate_oil)*(HM_ZB_Nsoko!CA_SPO_trig)*(HM_ZB_Nsoko!CA_PSC_switch_trig=1)</f>
        <v>0</v>
      </c>
      <c r="BM295" s="49">
        <f ca="1">(HM_ZB_Nsoko!CA_gross_rev_oil_difference1*HM_ZB_Nsoko!royalty_rate_oil)*(HM_ZB_Nsoko!CA_SPO_trig)*(HM_ZB_Nsoko!CA_PSC_switch_trig=0)+
(HM_ZB_Nsoko!CA_gross_rev_oil_difference2*HM_ZB_Nsoko!royalty_rate_oil)*(HM_ZB_Nsoko!CA_SPO_trig)*(HM_ZB_Nsoko!CA_PSC_switch_trig=1)</f>
        <v>0</v>
      </c>
      <c r="BN295" s="49">
        <f ca="1">(HM_ZB_Nsoko!CA_gross_rev_oil_difference1*HM_ZB_Nsoko!royalty_rate_oil)*(HM_ZB_Nsoko!CA_SPO_trig)*(HM_ZB_Nsoko!CA_PSC_switch_trig=0)+
(HM_ZB_Nsoko!CA_gross_rev_oil_difference2*HM_ZB_Nsoko!royalty_rate_oil)*(HM_ZB_Nsoko!CA_SPO_trig)*(HM_ZB_Nsoko!CA_PSC_switch_trig=1)</f>
        <v>0</v>
      </c>
      <c r="BO295" s="49">
        <f ca="1">(HM_ZB_Nsoko!CA_gross_rev_oil_difference1*HM_ZB_Nsoko!royalty_rate_oil)*(HM_ZB_Nsoko!CA_SPO_trig)*(HM_ZB_Nsoko!CA_PSC_switch_trig=0)+
(HM_ZB_Nsoko!CA_gross_rev_oil_difference2*HM_ZB_Nsoko!royalty_rate_oil)*(HM_ZB_Nsoko!CA_SPO_trig)*(HM_ZB_Nsoko!CA_PSC_switch_trig=1)</f>
        <v>0</v>
      </c>
      <c r="BP295" s="49">
        <f ca="1">(HM_ZB_Nsoko!CA_gross_rev_oil_difference1*HM_ZB_Nsoko!royalty_rate_oil)*(HM_ZB_Nsoko!CA_SPO_trig)*(HM_ZB_Nsoko!CA_PSC_switch_trig=0)+
(HM_ZB_Nsoko!CA_gross_rev_oil_difference2*HM_ZB_Nsoko!royalty_rate_oil)*(HM_ZB_Nsoko!CA_SPO_trig)*(HM_ZB_Nsoko!CA_PSC_switch_trig=1)</f>
        <v>0</v>
      </c>
      <c r="BQ295" s="49">
        <f ca="1">(HM_ZB_Nsoko!CA_gross_rev_oil_difference1*HM_ZB_Nsoko!royalty_rate_oil)*(HM_ZB_Nsoko!CA_SPO_trig)*(HM_ZB_Nsoko!CA_PSC_switch_trig=0)+
(HM_ZB_Nsoko!CA_gross_rev_oil_difference2*HM_ZB_Nsoko!royalty_rate_oil)*(HM_ZB_Nsoko!CA_SPO_trig)*(HM_ZB_Nsoko!CA_PSC_switch_trig=1)</f>
        <v>0</v>
      </c>
      <c r="BR295" s="49">
        <f ca="1">(HM_ZB_Nsoko!CA_gross_rev_oil_difference1*HM_ZB_Nsoko!royalty_rate_oil)*(HM_ZB_Nsoko!CA_SPO_trig)*(HM_ZB_Nsoko!CA_PSC_switch_trig=0)+
(HM_ZB_Nsoko!CA_gross_rev_oil_difference2*HM_ZB_Nsoko!royalty_rate_oil)*(HM_ZB_Nsoko!CA_SPO_trig)*(HM_ZB_Nsoko!CA_PSC_switch_trig=1)</f>
        <v>0</v>
      </c>
      <c r="BS295" s="49">
        <f ca="1">(HM_ZB_Nsoko!CA_gross_rev_oil_difference1*HM_ZB_Nsoko!royalty_rate_oil)*(HM_ZB_Nsoko!CA_SPO_trig)*(HM_ZB_Nsoko!CA_PSC_switch_trig=0)+
(HM_ZB_Nsoko!CA_gross_rev_oil_difference2*HM_ZB_Nsoko!royalty_rate_oil)*(HM_ZB_Nsoko!CA_SPO_trig)*(HM_ZB_Nsoko!CA_PSC_switch_trig=1)</f>
        <v>0</v>
      </c>
    </row>
    <row r="296" spans="3:71" outlineLevel="1" x14ac:dyDescent="0.2">
      <c r="D296" s="35"/>
      <c r="J296" s="26"/>
      <c r="L296" s="55"/>
      <c r="M296" s="55"/>
      <c r="N296" s="55"/>
      <c r="O296" s="55"/>
      <c r="P296" s="55"/>
      <c r="Q296" s="55"/>
      <c r="R296" s="55"/>
      <c r="S296" s="55"/>
      <c r="T296" s="55"/>
      <c r="U296" s="55"/>
      <c r="V296" s="55"/>
      <c r="W296" s="55"/>
      <c r="X296" s="55"/>
      <c r="Y296" s="55"/>
      <c r="Z296" s="55"/>
      <c r="AA296" s="55"/>
      <c r="AB296" s="55"/>
      <c r="AC296" s="55"/>
      <c r="AD296" s="55"/>
      <c r="AE296" s="55"/>
      <c r="AF296" s="55"/>
      <c r="AG296" s="55"/>
      <c r="AH296" s="55"/>
      <c r="AI296" s="55"/>
      <c r="AJ296" s="55"/>
      <c r="AK296" s="55"/>
      <c r="AL296" s="55"/>
      <c r="AM296" s="55"/>
      <c r="AN296" s="55"/>
      <c r="AO296" s="55"/>
      <c r="AP296" s="55"/>
      <c r="AQ296" s="55"/>
      <c r="AR296" s="55"/>
      <c r="AS296" s="55"/>
      <c r="AT296" s="55"/>
      <c r="AU296" s="55"/>
      <c r="AV296" s="55"/>
      <c r="AW296" s="55"/>
      <c r="AX296" s="55"/>
      <c r="AY296" s="55"/>
      <c r="AZ296" s="55"/>
      <c r="BA296" s="55"/>
      <c r="BB296" s="55"/>
      <c r="BC296" s="55"/>
      <c r="BD296" s="55"/>
      <c r="BE296" s="55"/>
      <c r="BF296" s="55"/>
      <c r="BG296" s="55"/>
      <c r="BH296" s="55"/>
      <c r="BI296" s="55"/>
      <c r="BJ296" s="55"/>
      <c r="BK296" s="55"/>
      <c r="BL296" s="55"/>
      <c r="BM296" s="55"/>
      <c r="BN296" s="55"/>
      <c r="BO296" s="55"/>
      <c r="BP296" s="55"/>
      <c r="BQ296" s="55"/>
      <c r="BR296" s="55"/>
      <c r="BS296" s="55"/>
    </row>
    <row r="297" spans="3:71" outlineLevel="1" x14ac:dyDescent="0.2">
      <c r="D297" s="35" t="str">
        <f>HM_ZA_Nkossa!D286</f>
        <v>Coûts réels récupérés</v>
      </c>
      <c r="I297" s="30">
        <f t="shared" ca="1" si="73"/>
        <v>209.86679826310686</v>
      </c>
      <c r="J297" s="26" t="s">
        <v>148</v>
      </c>
      <c r="L297" s="49" cm="1">
        <f t="array" aca="1" ref="L297:BS297" ca="1">HM_ZB_Nsoko!CA_cost_recovered_total</f>
        <v>13.98886535025</v>
      </c>
      <c r="M297" s="49">
        <f ca="1"/>
        <v>15.7581671628</v>
      </c>
      <c r="N297" s="49">
        <f ca="1"/>
        <v>18.291745306199999</v>
      </c>
      <c r="O297" s="49">
        <f ca="1"/>
        <v>14.759294623199999</v>
      </c>
      <c r="P297" s="49">
        <f ca="1"/>
        <v>16.7932828038</v>
      </c>
      <c r="Q297" s="49">
        <f ca="1"/>
        <v>13.427929127999999</v>
      </c>
      <c r="R297" s="49">
        <f ca="1"/>
        <v>6.7660534655999998</v>
      </c>
      <c r="S297" s="49">
        <f ca="1"/>
        <v>18.563786326481896</v>
      </c>
      <c r="T297" s="49">
        <f ca="1"/>
        <v>21.051568656899995</v>
      </c>
      <c r="U297" s="49">
        <f ca="1"/>
        <v>19.577958850916996</v>
      </c>
      <c r="V297" s="49">
        <f ca="1"/>
        <v>18.207501731352803</v>
      </c>
      <c r="W297" s="49">
        <f ca="1"/>
        <v>16.932976610158107</v>
      </c>
      <c r="X297" s="49">
        <f ca="1"/>
        <v>15.747668247447042</v>
      </c>
      <c r="Y297" s="49">
        <f ca="1"/>
        <v>0</v>
      </c>
      <c r="Z297" s="49">
        <f ca="1"/>
        <v>0</v>
      </c>
      <c r="AA297" s="49">
        <f ca="1"/>
        <v>0</v>
      </c>
      <c r="AB297" s="49">
        <f ca="1"/>
        <v>0</v>
      </c>
      <c r="AC297" s="49">
        <f ca="1"/>
        <v>0</v>
      </c>
      <c r="AD297" s="49">
        <f ca="1"/>
        <v>0</v>
      </c>
      <c r="AE297" s="49">
        <f ca="1"/>
        <v>0</v>
      </c>
      <c r="AF297" s="49">
        <f ca="1"/>
        <v>0</v>
      </c>
      <c r="AG297" s="49">
        <f ca="1"/>
        <v>0</v>
      </c>
      <c r="AH297" s="49">
        <f ca="1"/>
        <v>0</v>
      </c>
      <c r="AI297" s="49">
        <f ca="1"/>
        <v>0</v>
      </c>
      <c r="AJ297" s="49">
        <f ca="1"/>
        <v>0</v>
      </c>
      <c r="AK297" s="49">
        <f ca="1"/>
        <v>0</v>
      </c>
      <c r="AL297" s="49">
        <f ca="1"/>
        <v>0</v>
      </c>
      <c r="AM297" s="49">
        <f ca="1"/>
        <v>0</v>
      </c>
      <c r="AN297" s="49">
        <f ca="1"/>
        <v>0</v>
      </c>
      <c r="AO297" s="49">
        <f ca="1"/>
        <v>0</v>
      </c>
      <c r="AP297" s="49">
        <f ca="1"/>
        <v>0</v>
      </c>
      <c r="AQ297" s="49">
        <f ca="1"/>
        <v>0</v>
      </c>
      <c r="AR297" s="49">
        <f ca="1"/>
        <v>0</v>
      </c>
      <c r="AS297" s="49">
        <f ca="1"/>
        <v>0</v>
      </c>
      <c r="AT297" s="49">
        <f ca="1"/>
        <v>0</v>
      </c>
      <c r="AU297" s="49">
        <f ca="1"/>
        <v>0</v>
      </c>
      <c r="AV297" s="49">
        <f ca="1"/>
        <v>0</v>
      </c>
      <c r="AW297" s="49">
        <f ca="1"/>
        <v>0</v>
      </c>
      <c r="AX297" s="49">
        <f ca="1"/>
        <v>0</v>
      </c>
      <c r="AY297" s="49">
        <f ca="1"/>
        <v>0</v>
      </c>
      <c r="AZ297" s="49">
        <f ca="1"/>
        <v>0</v>
      </c>
      <c r="BA297" s="49">
        <f ca="1"/>
        <v>0</v>
      </c>
      <c r="BB297" s="49">
        <f ca="1"/>
        <v>0</v>
      </c>
      <c r="BC297" s="49">
        <f ca="1"/>
        <v>0</v>
      </c>
      <c r="BD297" s="49">
        <f ca="1"/>
        <v>0</v>
      </c>
      <c r="BE297" s="49">
        <f ca="1"/>
        <v>0</v>
      </c>
      <c r="BF297" s="49">
        <f ca="1"/>
        <v>0</v>
      </c>
      <c r="BG297" s="49">
        <f ca="1"/>
        <v>0</v>
      </c>
      <c r="BH297" s="49">
        <f ca="1"/>
        <v>0</v>
      </c>
      <c r="BI297" s="49">
        <f ca="1"/>
        <v>0</v>
      </c>
      <c r="BJ297" s="49">
        <f ca="1"/>
        <v>0</v>
      </c>
      <c r="BK297" s="49">
        <f ca="1"/>
        <v>0</v>
      </c>
      <c r="BL297" s="49">
        <f ca="1"/>
        <v>0</v>
      </c>
      <c r="BM297" s="49">
        <f ca="1"/>
        <v>0</v>
      </c>
      <c r="BN297" s="49">
        <f ca="1"/>
        <v>0</v>
      </c>
      <c r="BO297" s="49">
        <f ca="1"/>
        <v>0</v>
      </c>
      <c r="BP297" s="49">
        <f ca="1"/>
        <v>0</v>
      </c>
      <c r="BQ297" s="49">
        <f ca="1"/>
        <v>0</v>
      </c>
      <c r="BR297" s="49">
        <f ca="1"/>
        <v>0</v>
      </c>
      <c r="BS297" s="49">
        <f ca="1"/>
        <v>0</v>
      </c>
    </row>
    <row r="298" spans="3:71" outlineLevel="1" x14ac:dyDescent="0.2">
      <c r="D298" s="35"/>
      <c r="J298" s="26"/>
      <c r="L298" s="55"/>
      <c r="M298" s="55"/>
      <c r="N298" s="55"/>
      <c r="O298" s="55"/>
      <c r="P298" s="55"/>
      <c r="Q298" s="55"/>
      <c r="R298" s="55"/>
      <c r="S298" s="55"/>
      <c r="T298" s="55"/>
      <c r="U298" s="55"/>
      <c r="V298" s="55"/>
      <c r="W298" s="55"/>
      <c r="X298" s="55"/>
      <c r="Y298" s="55"/>
      <c r="Z298" s="55"/>
      <c r="AA298" s="55"/>
      <c r="AB298" s="55"/>
      <c r="AC298" s="55"/>
      <c r="AD298" s="55"/>
      <c r="AE298" s="55"/>
      <c r="AF298" s="55"/>
      <c r="AG298" s="55"/>
      <c r="AH298" s="55"/>
      <c r="AI298" s="55"/>
      <c r="AJ298" s="55"/>
      <c r="AK298" s="55"/>
      <c r="AL298" s="55"/>
      <c r="AM298" s="55"/>
      <c r="AN298" s="55"/>
      <c r="AO298" s="55"/>
      <c r="AP298" s="55"/>
      <c r="AQ298" s="55"/>
      <c r="AR298" s="55"/>
      <c r="AS298" s="55"/>
      <c r="AT298" s="55"/>
      <c r="AU298" s="55"/>
      <c r="AV298" s="55"/>
      <c r="AW298" s="55"/>
      <c r="AX298" s="55"/>
      <c r="AY298" s="55"/>
      <c r="AZ298" s="55"/>
      <c r="BA298" s="55"/>
      <c r="BB298" s="55"/>
      <c r="BC298" s="55"/>
      <c r="BD298" s="55"/>
      <c r="BE298" s="55"/>
      <c r="BF298" s="55"/>
      <c r="BG298" s="55"/>
      <c r="BH298" s="55"/>
      <c r="BI298" s="55"/>
      <c r="BJ298" s="55"/>
      <c r="BK298" s="55"/>
      <c r="BL298" s="55"/>
      <c r="BM298" s="55"/>
      <c r="BN298" s="55"/>
      <c r="BO298" s="55"/>
      <c r="BP298" s="55"/>
      <c r="BQ298" s="55"/>
      <c r="BR298" s="55"/>
      <c r="BS298" s="55"/>
    </row>
    <row r="299" spans="3:71" outlineLevel="1" x14ac:dyDescent="0.2">
      <c r="D299" s="35" t="str">
        <f>HM_ZA_Nkossa!D288</f>
        <v>Revenus disponibles pour le SPO</v>
      </c>
      <c r="I299" s="30">
        <f t="shared" ref="I299:I302" ca="1" si="74">SUM($L299:$BS299)</f>
        <v>199.78520101648112</v>
      </c>
      <c r="J299" s="26" t="s">
        <v>148</v>
      </c>
      <c r="K299" s="7" t="s">
        <v>221</v>
      </c>
      <c r="L299" s="49">
        <f ca="1">MAX(L293-L295,0)</f>
        <v>51.52580465286249</v>
      </c>
      <c r="M299" s="49">
        <f t="shared" ref="M299:BS299" ca="1" si="75">MAX(M293-M295,0)</f>
        <v>49.277577232049993</v>
      </c>
      <c r="N299" s="49">
        <f t="shared" ca="1" si="75"/>
        <v>15.293904230950009</v>
      </c>
      <c r="O299" s="49">
        <f t="shared" ca="1" si="75"/>
        <v>7.200150765950001</v>
      </c>
      <c r="P299" s="49">
        <f t="shared" ca="1" si="75"/>
        <v>10.044399944349996</v>
      </c>
      <c r="Q299" s="49">
        <f t="shared" ca="1" si="75"/>
        <v>21.402064790049998</v>
      </c>
      <c r="R299" s="49">
        <f t="shared" ca="1" si="75"/>
        <v>4.3717811353999991</v>
      </c>
      <c r="S299" s="49">
        <f t="shared" ca="1" si="75"/>
        <v>0</v>
      </c>
      <c r="T299" s="49">
        <f t="shared" ca="1" si="75"/>
        <v>6.4494610504114718</v>
      </c>
      <c r="U299" s="49">
        <f t="shared" ca="1" si="75"/>
        <v>8.4736019642508609</v>
      </c>
      <c r="V299" s="49">
        <f t="shared" ca="1" si="75"/>
        <v>8.5539380390100259</v>
      </c>
      <c r="W299" s="49">
        <f t="shared" ca="1" si="75"/>
        <v>8.5940332944260547</v>
      </c>
      <c r="X299" s="49">
        <f t="shared" ca="1" si="75"/>
        <v>8.5984839167702187</v>
      </c>
      <c r="Y299" s="49">
        <f t="shared" ca="1" si="75"/>
        <v>0</v>
      </c>
      <c r="Z299" s="49">
        <f t="shared" ca="1" si="75"/>
        <v>0</v>
      </c>
      <c r="AA299" s="49">
        <f t="shared" ca="1" si="75"/>
        <v>0</v>
      </c>
      <c r="AB299" s="49">
        <f t="shared" ca="1" si="75"/>
        <v>0</v>
      </c>
      <c r="AC299" s="49">
        <f t="shared" ca="1" si="75"/>
        <v>0</v>
      </c>
      <c r="AD299" s="49">
        <f t="shared" ca="1" si="75"/>
        <v>0</v>
      </c>
      <c r="AE299" s="49">
        <f t="shared" ca="1" si="75"/>
        <v>0</v>
      </c>
      <c r="AF299" s="49">
        <f t="shared" ca="1" si="75"/>
        <v>0</v>
      </c>
      <c r="AG299" s="49">
        <f t="shared" ca="1" si="75"/>
        <v>0</v>
      </c>
      <c r="AH299" s="49">
        <f t="shared" ca="1" si="75"/>
        <v>0</v>
      </c>
      <c r="AI299" s="49">
        <f t="shared" ca="1" si="75"/>
        <v>0</v>
      </c>
      <c r="AJ299" s="49">
        <f t="shared" ca="1" si="75"/>
        <v>0</v>
      </c>
      <c r="AK299" s="49">
        <f t="shared" ca="1" si="75"/>
        <v>0</v>
      </c>
      <c r="AL299" s="49">
        <f t="shared" ca="1" si="75"/>
        <v>0</v>
      </c>
      <c r="AM299" s="49">
        <f t="shared" ca="1" si="75"/>
        <v>0</v>
      </c>
      <c r="AN299" s="49">
        <f t="shared" ca="1" si="75"/>
        <v>0</v>
      </c>
      <c r="AO299" s="49">
        <f t="shared" ca="1" si="75"/>
        <v>0</v>
      </c>
      <c r="AP299" s="49">
        <f t="shared" ca="1" si="75"/>
        <v>0</v>
      </c>
      <c r="AQ299" s="49">
        <f t="shared" ca="1" si="75"/>
        <v>0</v>
      </c>
      <c r="AR299" s="49">
        <f t="shared" ca="1" si="75"/>
        <v>0</v>
      </c>
      <c r="AS299" s="49">
        <f t="shared" ca="1" si="75"/>
        <v>0</v>
      </c>
      <c r="AT299" s="49">
        <f t="shared" ca="1" si="75"/>
        <v>0</v>
      </c>
      <c r="AU299" s="49">
        <f t="shared" ca="1" si="75"/>
        <v>0</v>
      </c>
      <c r="AV299" s="49">
        <f t="shared" ca="1" si="75"/>
        <v>0</v>
      </c>
      <c r="AW299" s="49">
        <f t="shared" ca="1" si="75"/>
        <v>0</v>
      </c>
      <c r="AX299" s="49">
        <f t="shared" ca="1" si="75"/>
        <v>0</v>
      </c>
      <c r="AY299" s="49">
        <f t="shared" ca="1" si="75"/>
        <v>0</v>
      </c>
      <c r="AZ299" s="49">
        <f t="shared" ca="1" si="75"/>
        <v>0</v>
      </c>
      <c r="BA299" s="49">
        <f t="shared" ca="1" si="75"/>
        <v>0</v>
      </c>
      <c r="BB299" s="49">
        <f t="shared" ca="1" si="75"/>
        <v>0</v>
      </c>
      <c r="BC299" s="49">
        <f t="shared" ca="1" si="75"/>
        <v>0</v>
      </c>
      <c r="BD299" s="49">
        <f t="shared" ca="1" si="75"/>
        <v>0</v>
      </c>
      <c r="BE299" s="49">
        <f t="shared" ca="1" si="75"/>
        <v>0</v>
      </c>
      <c r="BF299" s="49">
        <f t="shared" ca="1" si="75"/>
        <v>0</v>
      </c>
      <c r="BG299" s="49">
        <f t="shared" ca="1" si="75"/>
        <v>0</v>
      </c>
      <c r="BH299" s="49">
        <f t="shared" ca="1" si="75"/>
        <v>0</v>
      </c>
      <c r="BI299" s="49">
        <f t="shared" ca="1" si="75"/>
        <v>0</v>
      </c>
      <c r="BJ299" s="49">
        <f t="shared" ca="1" si="75"/>
        <v>0</v>
      </c>
      <c r="BK299" s="49">
        <f t="shared" ca="1" si="75"/>
        <v>0</v>
      </c>
      <c r="BL299" s="49">
        <f t="shared" ca="1" si="75"/>
        <v>0</v>
      </c>
      <c r="BM299" s="49">
        <f t="shared" ca="1" si="75"/>
        <v>0</v>
      </c>
      <c r="BN299" s="49">
        <f t="shared" ca="1" si="75"/>
        <v>0</v>
      </c>
      <c r="BO299" s="49">
        <f t="shared" ca="1" si="75"/>
        <v>0</v>
      </c>
      <c r="BP299" s="49">
        <f t="shared" ca="1" si="75"/>
        <v>0</v>
      </c>
      <c r="BQ299" s="49">
        <f t="shared" ca="1" si="75"/>
        <v>0</v>
      </c>
      <c r="BR299" s="49">
        <f t="shared" ca="1" si="75"/>
        <v>0</v>
      </c>
      <c r="BS299" s="49">
        <f t="shared" ca="1" si="75"/>
        <v>0</v>
      </c>
    </row>
    <row r="300" spans="3:71" outlineLevel="1" x14ac:dyDescent="0.2">
      <c r="D300" s="35"/>
      <c r="J300" s="26"/>
      <c r="L300" s="55"/>
      <c r="M300" s="55"/>
      <c r="N300" s="55"/>
      <c r="O300" s="55"/>
      <c r="P300" s="55"/>
      <c r="Q300" s="55"/>
      <c r="R300" s="55"/>
      <c r="S300" s="55"/>
      <c r="T300" s="55"/>
      <c r="U300" s="55"/>
      <c r="V300" s="55"/>
      <c r="W300" s="55"/>
      <c r="X300" s="55"/>
      <c r="Y300" s="55"/>
      <c r="Z300" s="55"/>
      <c r="AA300" s="55"/>
      <c r="AB300" s="55"/>
      <c r="AC300" s="55"/>
      <c r="AD300" s="55"/>
      <c r="AE300" s="55"/>
      <c r="AF300" s="55"/>
      <c r="AG300" s="55"/>
      <c r="AH300" s="55"/>
      <c r="AI300" s="55"/>
      <c r="AJ300" s="55"/>
      <c r="AK300" s="55"/>
      <c r="AL300" s="55"/>
      <c r="AM300" s="55"/>
      <c r="AN300" s="55"/>
      <c r="AO300" s="55"/>
      <c r="AP300" s="55"/>
      <c r="AQ300" s="55"/>
      <c r="AR300" s="55"/>
      <c r="AS300" s="55"/>
      <c r="AT300" s="55"/>
      <c r="AU300" s="55"/>
      <c r="AV300" s="55"/>
      <c r="AW300" s="55"/>
      <c r="AX300" s="55"/>
      <c r="AY300" s="55"/>
      <c r="AZ300" s="55"/>
      <c r="BA300" s="55"/>
      <c r="BB300" s="55"/>
      <c r="BC300" s="55"/>
      <c r="BD300" s="55"/>
      <c r="BE300" s="55"/>
      <c r="BF300" s="55"/>
      <c r="BG300" s="55"/>
      <c r="BH300" s="55"/>
      <c r="BI300" s="55"/>
      <c r="BJ300" s="55"/>
      <c r="BK300" s="55"/>
      <c r="BL300" s="55"/>
      <c r="BM300" s="55"/>
      <c r="BN300" s="55"/>
      <c r="BO300" s="55"/>
      <c r="BP300" s="55"/>
      <c r="BQ300" s="55"/>
      <c r="BR300" s="55"/>
      <c r="BS300" s="55"/>
    </row>
    <row r="301" spans="3:71" outlineLevel="1" x14ac:dyDescent="0.2">
      <c r="D301" s="35" t="str">
        <f>HM_ZA_Nkossa!D290</f>
        <v>Part du Contracteur dans le SPO</v>
      </c>
      <c r="I301" s="30">
        <f t="shared" ca="1" si="74"/>
        <v>35.256211944084924</v>
      </c>
      <c r="J301" s="26" t="s">
        <v>148</v>
      </c>
      <c r="K301" s="7" t="s">
        <v>224</v>
      </c>
      <c r="L301" s="49">
        <f ca="1">MAX(L299-L302,0)</f>
        <v>9.0927890563875025</v>
      </c>
      <c r="M301" s="49">
        <f t="shared" ref="M301:BS301" ca="1" si="76">MAX(M299-M302,0)</f>
        <v>8.696043040950002</v>
      </c>
      <c r="N301" s="49">
        <f t="shared" ca="1" si="76"/>
        <v>2.6989242760500041</v>
      </c>
      <c r="O301" s="49">
        <f t="shared" ca="1" si="76"/>
        <v>1.2706148410500013</v>
      </c>
      <c r="P301" s="49">
        <f t="shared" ca="1" si="76"/>
        <v>1.7725411666499991</v>
      </c>
      <c r="Q301" s="49">
        <f t="shared" ca="1" si="76"/>
        <v>3.7768349629500015</v>
      </c>
      <c r="R301" s="49">
        <f t="shared" ca="1" si="76"/>
        <v>0.77149078859999953</v>
      </c>
      <c r="S301" s="49">
        <f t="shared" ca="1" si="76"/>
        <v>0</v>
      </c>
      <c r="T301" s="49">
        <f t="shared" ca="1" si="76"/>
        <v>1.1381401853667308</v>
      </c>
      <c r="U301" s="49">
        <f t="shared" ca="1" si="76"/>
        <v>1.4953415231030931</v>
      </c>
      <c r="V301" s="49">
        <f t="shared" ca="1" si="76"/>
        <v>1.5095184774723593</v>
      </c>
      <c r="W301" s="49">
        <f t="shared" ca="1" si="76"/>
        <v>1.5165941107810701</v>
      </c>
      <c r="X301" s="49">
        <f t="shared" ca="1" si="76"/>
        <v>1.5173795147241567</v>
      </c>
      <c r="Y301" s="49">
        <f t="shared" ca="1" si="76"/>
        <v>0</v>
      </c>
      <c r="Z301" s="49">
        <f t="shared" ca="1" si="76"/>
        <v>0</v>
      </c>
      <c r="AA301" s="49">
        <f t="shared" ca="1" si="76"/>
        <v>0</v>
      </c>
      <c r="AB301" s="49">
        <f t="shared" ca="1" si="76"/>
        <v>0</v>
      </c>
      <c r="AC301" s="49">
        <f t="shared" ca="1" si="76"/>
        <v>0</v>
      </c>
      <c r="AD301" s="49">
        <f t="shared" ca="1" si="76"/>
        <v>0</v>
      </c>
      <c r="AE301" s="49">
        <f t="shared" ca="1" si="76"/>
        <v>0</v>
      </c>
      <c r="AF301" s="49">
        <f t="shared" ca="1" si="76"/>
        <v>0</v>
      </c>
      <c r="AG301" s="49">
        <f t="shared" ca="1" si="76"/>
        <v>0</v>
      </c>
      <c r="AH301" s="49">
        <f t="shared" ca="1" si="76"/>
        <v>0</v>
      </c>
      <c r="AI301" s="49">
        <f t="shared" ca="1" si="76"/>
        <v>0</v>
      </c>
      <c r="AJ301" s="49">
        <f t="shared" ca="1" si="76"/>
        <v>0</v>
      </c>
      <c r="AK301" s="49">
        <f t="shared" ca="1" si="76"/>
        <v>0</v>
      </c>
      <c r="AL301" s="49">
        <f t="shared" ca="1" si="76"/>
        <v>0</v>
      </c>
      <c r="AM301" s="49">
        <f t="shared" ca="1" si="76"/>
        <v>0</v>
      </c>
      <c r="AN301" s="49">
        <f t="shared" ca="1" si="76"/>
        <v>0</v>
      </c>
      <c r="AO301" s="49">
        <f t="shared" ca="1" si="76"/>
        <v>0</v>
      </c>
      <c r="AP301" s="49">
        <f t="shared" ca="1" si="76"/>
        <v>0</v>
      </c>
      <c r="AQ301" s="49">
        <f t="shared" ca="1" si="76"/>
        <v>0</v>
      </c>
      <c r="AR301" s="49">
        <f t="shared" ca="1" si="76"/>
        <v>0</v>
      </c>
      <c r="AS301" s="49">
        <f t="shared" ca="1" si="76"/>
        <v>0</v>
      </c>
      <c r="AT301" s="49">
        <f t="shared" ca="1" si="76"/>
        <v>0</v>
      </c>
      <c r="AU301" s="49">
        <f t="shared" ca="1" si="76"/>
        <v>0</v>
      </c>
      <c r="AV301" s="49">
        <f t="shared" ca="1" si="76"/>
        <v>0</v>
      </c>
      <c r="AW301" s="49">
        <f t="shared" ca="1" si="76"/>
        <v>0</v>
      </c>
      <c r="AX301" s="49">
        <f t="shared" ca="1" si="76"/>
        <v>0</v>
      </c>
      <c r="AY301" s="49">
        <f t="shared" ca="1" si="76"/>
        <v>0</v>
      </c>
      <c r="AZ301" s="49">
        <f t="shared" ca="1" si="76"/>
        <v>0</v>
      </c>
      <c r="BA301" s="49">
        <f t="shared" ca="1" si="76"/>
        <v>0</v>
      </c>
      <c r="BB301" s="49">
        <f t="shared" ca="1" si="76"/>
        <v>0</v>
      </c>
      <c r="BC301" s="49">
        <f t="shared" ca="1" si="76"/>
        <v>0</v>
      </c>
      <c r="BD301" s="49">
        <f t="shared" ca="1" si="76"/>
        <v>0</v>
      </c>
      <c r="BE301" s="49">
        <f t="shared" ca="1" si="76"/>
        <v>0</v>
      </c>
      <c r="BF301" s="49">
        <f t="shared" ca="1" si="76"/>
        <v>0</v>
      </c>
      <c r="BG301" s="49">
        <f t="shared" ca="1" si="76"/>
        <v>0</v>
      </c>
      <c r="BH301" s="49">
        <f t="shared" ca="1" si="76"/>
        <v>0</v>
      </c>
      <c r="BI301" s="49">
        <f t="shared" ca="1" si="76"/>
        <v>0</v>
      </c>
      <c r="BJ301" s="49">
        <f t="shared" ca="1" si="76"/>
        <v>0</v>
      </c>
      <c r="BK301" s="49">
        <f t="shared" ca="1" si="76"/>
        <v>0</v>
      </c>
      <c r="BL301" s="49">
        <f t="shared" ca="1" si="76"/>
        <v>0</v>
      </c>
      <c r="BM301" s="49">
        <f t="shared" ca="1" si="76"/>
        <v>0</v>
      </c>
      <c r="BN301" s="49">
        <f t="shared" ca="1" si="76"/>
        <v>0</v>
      </c>
      <c r="BO301" s="49">
        <f t="shared" ca="1" si="76"/>
        <v>0</v>
      </c>
      <c r="BP301" s="49">
        <f t="shared" ca="1" si="76"/>
        <v>0</v>
      </c>
      <c r="BQ301" s="49">
        <f t="shared" ca="1" si="76"/>
        <v>0</v>
      </c>
      <c r="BR301" s="49">
        <f t="shared" ca="1" si="76"/>
        <v>0</v>
      </c>
      <c r="BS301" s="49">
        <f t="shared" ca="1" si="76"/>
        <v>0</v>
      </c>
    </row>
    <row r="302" spans="3:71" outlineLevel="1" x14ac:dyDescent="0.2">
      <c r="D302" s="35" t="str">
        <f>HM_ZA_Nkossa!D291</f>
        <v>Part du Gouv. dans le SPO</v>
      </c>
      <c r="I302" s="30">
        <f t="shared" ca="1" si="74"/>
        <v>164.52898907239623</v>
      </c>
      <c r="J302" s="26" t="s">
        <v>148</v>
      </c>
      <c r="K302" s="7" t="s">
        <v>225</v>
      </c>
      <c r="L302" s="49">
        <f ca="1">HM_ZB_Nsoko!SPO_govt_rate*L293-L295</f>
        <v>42.433015596474988</v>
      </c>
      <c r="M302" s="49">
        <f ca="1">HM_ZB_Nsoko!SPO_govt_rate*M293-M295</f>
        <v>40.58153419109999</v>
      </c>
      <c r="N302" s="49">
        <f ca="1">HM_ZB_Nsoko!SPO_govt_rate*N293-N295</f>
        <v>12.594979954900005</v>
      </c>
      <c r="O302" s="49">
        <f ca="1">HM_ZB_Nsoko!SPO_govt_rate*O293-O295</f>
        <v>5.9295359248999997</v>
      </c>
      <c r="P302" s="49">
        <f ca="1">HM_ZB_Nsoko!SPO_govt_rate*P293-P295</f>
        <v>8.2718587776999968</v>
      </c>
      <c r="Q302" s="49">
        <f ca="1">HM_ZB_Nsoko!SPO_govt_rate*Q293-Q295</f>
        <v>17.625229827099997</v>
      </c>
      <c r="R302" s="49">
        <f ca="1">HM_ZB_Nsoko!SPO_govt_rate*R293-R295</f>
        <v>3.6002903467999996</v>
      </c>
      <c r="S302" s="49">
        <f ca="1">HM_ZB_Nsoko!SPO_govt_rate*S293-S295</f>
        <v>0</v>
      </c>
      <c r="T302" s="49">
        <f ca="1">HM_ZB_Nsoko!SPO_govt_rate*T293-T295</f>
        <v>5.311320865044741</v>
      </c>
      <c r="U302" s="49">
        <f ca="1">HM_ZB_Nsoko!SPO_govt_rate*U293-U295</f>
        <v>6.9782604411477678</v>
      </c>
      <c r="V302" s="49">
        <f ca="1">HM_ZB_Nsoko!SPO_govt_rate*V293-V295</f>
        <v>7.0444195615376666</v>
      </c>
      <c r="W302" s="49">
        <f ca="1">HM_ZB_Nsoko!SPO_govt_rate*W293-W295</f>
        <v>7.0774391836449846</v>
      </c>
      <c r="X302" s="49">
        <f ca="1">HM_ZB_Nsoko!SPO_govt_rate*X293-X295</f>
        <v>7.0811044020460621</v>
      </c>
      <c r="Y302" s="49">
        <f ca="1">HM_ZB_Nsoko!SPO_govt_rate*Y293-Y295</f>
        <v>0</v>
      </c>
      <c r="Z302" s="49">
        <f ca="1">HM_ZB_Nsoko!SPO_govt_rate*Z293-Z295</f>
        <v>0</v>
      </c>
      <c r="AA302" s="49">
        <f ca="1">HM_ZB_Nsoko!SPO_govt_rate*AA293-AA295</f>
        <v>0</v>
      </c>
      <c r="AB302" s="49">
        <f ca="1">HM_ZB_Nsoko!SPO_govt_rate*AB293-AB295</f>
        <v>0</v>
      </c>
      <c r="AC302" s="49">
        <f ca="1">HM_ZB_Nsoko!SPO_govt_rate*AC293-AC295</f>
        <v>0</v>
      </c>
      <c r="AD302" s="49">
        <f ca="1">HM_ZB_Nsoko!SPO_govt_rate*AD293-AD295</f>
        <v>0</v>
      </c>
      <c r="AE302" s="49">
        <f ca="1">HM_ZB_Nsoko!SPO_govt_rate*AE293-AE295</f>
        <v>0</v>
      </c>
      <c r="AF302" s="49">
        <f ca="1">HM_ZB_Nsoko!SPO_govt_rate*AF293-AF295</f>
        <v>0</v>
      </c>
      <c r="AG302" s="49">
        <f ca="1">HM_ZB_Nsoko!SPO_govt_rate*AG293-AG295</f>
        <v>0</v>
      </c>
      <c r="AH302" s="49">
        <f ca="1">HM_ZB_Nsoko!SPO_govt_rate*AH293-AH295</f>
        <v>0</v>
      </c>
      <c r="AI302" s="49">
        <f ca="1">HM_ZB_Nsoko!SPO_govt_rate*AI293-AI295</f>
        <v>0</v>
      </c>
      <c r="AJ302" s="49">
        <f ca="1">HM_ZB_Nsoko!SPO_govt_rate*AJ293-AJ295</f>
        <v>0</v>
      </c>
      <c r="AK302" s="49">
        <f ca="1">HM_ZB_Nsoko!SPO_govt_rate*AK293-AK295</f>
        <v>0</v>
      </c>
      <c r="AL302" s="49">
        <f ca="1">HM_ZB_Nsoko!SPO_govt_rate*AL293-AL295</f>
        <v>0</v>
      </c>
      <c r="AM302" s="49">
        <f ca="1">HM_ZB_Nsoko!SPO_govt_rate*AM293-AM295</f>
        <v>0</v>
      </c>
      <c r="AN302" s="49">
        <f ca="1">HM_ZB_Nsoko!SPO_govt_rate*AN293-AN295</f>
        <v>0</v>
      </c>
      <c r="AO302" s="49">
        <f ca="1">HM_ZB_Nsoko!SPO_govt_rate*AO293-AO295</f>
        <v>0</v>
      </c>
      <c r="AP302" s="49">
        <f ca="1">HM_ZB_Nsoko!SPO_govt_rate*AP293-AP295</f>
        <v>0</v>
      </c>
      <c r="AQ302" s="49">
        <f ca="1">HM_ZB_Nsoko!SPO_govt_rate*AQ293-AQ295</f>
        <v>0</v>
      </c>
      <c r="AR302" s="49">
        <f ca="1">HM_ZB_Nsoko!SPO_govt_rate*AR293-AR295</f>
        <v>0</v>
      </c>
      <c r="AS302" s="49">
        <f ca="1">HM_ZB_Nsoko!SPO_govt_rate*AS293-AS295</f>
        <v>0</v>
      </c>
      <c r="AT302" s="49">
        <f ca="1">HM_ZB_Nsoko!SPO_govt_rate*AT293-AT295</f>
        <v>0</v>
      </c>
      <c r="AU302" s="49">
        <f ca="1">HM_ZB_Nsoko!SPO_govt_rate*AU293-AU295</f>
        <v>0</v>
      </c>
      <c r="AV302" s="49">
        <f ca="1">HM_ZB_Nsoko!SPO_govt_rate*AV293-AV295</f>
        <v>0</v>
      </c>
      <c r="AW302" s="49">
        <f ca="1">HM_ZB_Nsoko!SPO_govt_rate*AW293-AW295</f>
        <v>0</v>
      </c>
      <c r="AX302" s="49">
        <f ca="1">HM_ZB_Nsoko!SPO_govt_rate*AX293-AX295</f>
        <v>0</v>
      </c>
      <c r="AY302" s="49">
        <f ca="1">HM_ZB_Nsoko!SPO_govt_rate*AY293-AY295</f>
        <v>0</v>
      </c>
      <c r="AZ302" s="49">
        <f ca="1">HM_ZB_Nsoko!SPO_govt_rate*AZ293-AZ295</f>
        <v>0</v>
      </c>
      <c r="BA302" s="49">
        <f ca="1">HM_ZB_Nsoko!SPO_govt_rate*BA293-BA295</f>
        <v>0</v>
      </c>
      <c r="BB302" s="49">
        <f ca="1">HM_ZB_Nsoko!SPO_govt_rate*BB293-BB295</f>
        <v>0</v>
      </c>
      <c r="BC302" s="49">
        <f ca="1">HM_ZB_Nsoko!SPO_govt_rate*BC293-BC295</f>
        <v>0</v>
      </c>
      <c r="BD302" s="49">
        <f ca="1">HM_ZB_Nsoko!SPO_govt_rate*BD293-BD295</f>
        <v>0</v>
      </c>
      <c r="BE302" s="49">
        <f ca="1">HM_ZB_Nsoko!SPO_govt_rate*BE293-BE295</f>
        <v>0</v>
      </c>
      <c r="BF302" s="49">
        <f ca="1">HM_ZB_Nsoko!SPO_govt_rate*BF293-BF295</f>
        <v>0</v>
      </c>
      <c r="BG302" s="49">
        <f ca="1">HM_ZB_Nsoko!SPO_govt_rate*BG293-BG295</f>
        <v>0</v>
      </c>
      <c r="BH302" s="49">
        <f ca="1">HM_ZB_Nsoko!SPO_govt_rate*BH293-BH295</f>
        <v>0</v>
      </c>
      <c r="BI302" s="49">
        <f ca="1">HM_ZB_Nsoko!SPO_govt_rate*BI293-BI295</f>
        <v>0</v>
      </c>
      <c r="BJ302" s="49">
        <f ca="1">HM_ZB_Nsoko!SPO_govt_rate*BJ293-BJ295</f>
        <v>0</v>
      </c>
      <c r="BK302" s="49">
        <f ca="1">HM_ZB_Nsoko!SPO_govt_rate*BK293-BK295</f>
        <v>0</v>
      </c>
      <c r="BL302" s="49">
        <f ca="1">HM_ZB_Nsoko!SPO_govt_rate*BL293-BL295</f>
        <v>0</v>
      </c>
      <c r="BM302" s="49">
        <f ca="1">HM_ZB_Nsoko!SPO_govt_rate*BM293-BM295</f>
        <v>0</v>
      </c>
      <c r="BN302" s="49">
        <f ca="1">HM_ZB_Nsoko!SPO_govt_rate*BN293-BN295</f>
        <v>0</v>
      </c>
      <c r="BO302" s="49">
        <f ca="1">HM_ZB_Nsoko!SPO_govt_rate*BO293-BO295</f>
        <v>0</v>
      </c>
      <c r="BP302" s="49">
        <f ca="1">HM_ZB_Nsoko!SPO_govt_rate*BP293-BP295</f>
        <v>0</v>
      </c>
      <c r="BQ302" s="49">
        <f ca="1">HM_ZB_Nsoko!SPO_govt_rate*BQ293-BQ295</f>
        <v>0</v>
      </c>
      <c r="BR302" s="49">
        <f ca="1">HM_ZB_Nsoko!SPO_govt_rate*BR293-BR295</f>
        <v>0</v>
      </c>
      <c r="BS302" s="49">
        <f ca="1">HM_ZB_Nsoko!SPO_govt_rate*BS293-BS295</f>
        <v>0</v>
      </c>
    </row>
    <row r="303" spans="3:71" outlineLevel="1" x14ac:dyDescent="0.2">
      <c r="J303" s="26"/>
      <c r="L303" s="55"/>
      <c r="M303" s="55"/>
      <c r="N303" s="55"/>
      <c r="O303" s="55"/>
      <c r="P303" s="55"/>
      <c r="Q303" s="55"/>
      <c r="R303" s="55"/>
      <c r="S303" s="55"/>
      <c r="T303" s="55"/>
      <c r="U303" s="55"/>
      <c r="V303" s="55"/>
      <c r="W303" s="55"/>
      <c r="X303" s="55"/>
      <c r="Y303" s="55"/>
      <c r="Z303" s="55"/>
      <c r="AA303" s="55"/>
      <c r="AB303" s="55"/>
      <c r="AC303" s="55"/>
      <c r="AD303" s="55"/>
      <c r="AE303" s="55"/>
      <c r="AF303" s="55"/>
      <c r="AG303" s="55"/>
      <c r="AH303" s="55"/>
      <c r="AI303" s="55"/>
      <c r="AJ303" s="55"/>
      <c r="AK303" s="55"/>
      <c r="AL303" s="55"/>
      <c r="AM303" s="55"/>
      <c r="AN303" s="55"/>
      <c r="AO303" s="55"/>
      <c r="AP303" s="55"/>
      <c r="AQ303" s="55"/>
      <c r="AR303" s="55"/>
      <c r="AS303" s="55"/>
      <c r="AT303" s="55"/>
      <c r="AU303" s="55"/>
      <c r="AV303" s="55"/>
      <c r="AW303" s="55"/>
      <c r="AX303" s="55"/>
      <c r="AY303" s="55"/>
      <c r="AZ303" s="55"/>
      <c r="BA303" s="55"/>
      <c r="BB303" s="55"/>
      <c r="BC303" s="55"/>
      <c r="BD303" s="55"/>
      <c r="BE303" s="55"/>
      <c r="BF303" s="55"/>
      <c r="BG303" s="55"/>
      <c r="BH303" s="55"/>
      <c r="BI303" s="55"/>
      <c r="BJ303" s="55"/>
      <c r="BK303" s="55"/>
      <c r="BL303" s="55"/>
      <c r="BM303" s="55"/>
      <c r="BN303" s="55"/>
      <c r="BO303" s="55"/>
      <c r="BP303" s="55"/>
      <c r="BQ303" s="55"/>
      <c r="BR303" s="55"/>
      <c r="BS303" s="55"/>
    </row>
    <row r="304" spans="3:71" outlineLevel="1" x14ac:dyDescent="0.2">
      <c r="J304" s="26"/>
      <c r="L304" s="55"/>
      <c r="M304" s="55"/>
      <c r="N304" s="55"/>
      <c r="O304" s="55"/>
      <c r="P304" s="55"/>
      <c r="Q304" s="55"/>
      <c r="R304" s="55"/>
      <c r="S304" s="55"/>
      <c r="T304" s="55"/>
      <c r="U304" s="55"/>
      <c r="V304" s="55"/>
      <c r="W304" s="55"/>
      <c r="X304" s="55"/>
      <c r="Y304" s="55"/>
      <c r="Z304" s="55"/>
      <c r="AA304" s="55"/>
      <c r="AB304" s="55"/>
      <c r="AC304" s="55"/>
      <c r="AD304" s="55"/>
      <c r="AE304" s="55"/>
      <c r="AF304" s="55"/>
      <c r="AG304" s="55"/>
      <c r="AH304" s="55"/>
      <c r="AI304" s="55"/>
      <c r="AJ304" s="55"/>
      <c r="AK304" s="55"/>
      <c r="AL304" s="55"/>
      <c r="AM304" s="55"/>
      <c r="AN304" s="55"/>
      <c r="AO304" s="55"/>
      <c r="AP304" s="55"/>
      <c r="AQ304" s="55"/>
      <c r="AR304" s="55"/>
      <c r="AS304" s="55"/>
      <c r="AT304" s="55"/>
      <c r="AU304" s="55"/>
      <c r="AV304" s="55"/>
      <c r="AW304" s="55"/>
      <c r="AX304" s="55"/>
      <c r="AY304" s="55"/>
      <c r="AZ304" s="55"/>
      <c r="BA304" s="55"/>
      <c r="BB304" s="55"/>
      <c r="BC304" s="55"/>
      <c r="BD304" s="55"/>
      <c r="BE304" s="55"/>
      <c r="BF304" s="55"/>
      <c r="BG304" s="55"/>
      <c r="BH304" s="55"/>
      <c r="BI304" s="55"/>
      <c r="BJ304" s="55"/>
      <c r="BK304" s="55"/>
      <c r="BL304" s="55"/>
      <c r="BM304" s="55"/>
      <c r="BN304" s="55"/>
      <c r="BO304" s="55"/>
      <c r="BP304" s="55"/>
      <c r="BQ304" s="55"/>
      <c r="BR304" s="55"/>
      <c r="BS304" s="55"/>
    </row>
    <row r="305" spans="3:71" outlineLevel="1" x14ac:dyDescent="0.2">
      <c r="C305" s="11" t="str">
        <f>HM_ZA_Nkossa!C294</f>
        <v>Partage du profit</v>
      </c>
      <c r="J305" s="26"/>
      <c r="L305" s="55"/>
      <c r="M305" s="55"/>
      <c r="N305" s="55"/>
      <c r="O305" s="55"/>
      <c r="P305" s="55"/>
      <c r="Q305" s="55"/>
      <c r="R305" s="55"/>
      <c r="S305" s="55"/>
      <c r="T305" s="55"/>
      <c r="U305" s="55"/>
      <c r="V305" s="55"/>
      <c r="W305" s="55"/>
      <c r="X305" s="55"/>
      <c r="Y305" s="55"/>
      <c r="Z305" s="55"/>
      <c r="AA305" s="55"/>
      <c r="AB305" s="55"/>
      <c r="AC305" s="55"/>
      <c r="AD305" s="55"/>
      <c r="AE305" s="55"/>
      <c r="AF305" s="55"/>
      <c r="AG305" s="55"/>
      <c r="AH305" s="55"/>
      <c r="AI305" s="55"/>
      <c r="AJ305" s="55"/>
      <c r="AK305" s="55"/>
      <c r="AL305" s="55"/>
      <c r="AM305" s="55"/>
      <c r="AN305" s="55"/>
      <c r="AO305" s="55"/>
      <c r="AP305" s="55"/>
      <c r="AQ305" s="55"/>
      <c r="AR305" s="55"/>
      <c r="AS305" s="55"/>
      <c r="AT305" s="55"/>
      <c r="AU305" s="55"/>
      <c r="AV305" s="55"/>
      <c r="AW305" s="55"/>
      <c r="AX305" s="55"/>
      <c r="AY305" s="55"/>
      <c r="AZ305" s="55"/>
      <c r="BA305" s="55"/>
      <c r="BB305" s="55"/>
      <c r="BC305" s="55"/>
      <c r="BD305" s="55"/>
      <c r="BE305" s="55"/>
      <c r="BF305" s="55"/>
      <c r="BG305" s="55"/>
      <c r="BH305" s="55"/>
      <c r="BI305" s="55"/>
      <c r="BJ305" s="55"/>
      <c r="BK305" s="55"/>
      <c r="BL305" s="55"/>
      <c r="BM305" s="55"/>
      <c r="BN305" s="55"/>
      <c r="BO305" s="55"/>
      <c r="BP305" s="55"/>
      <c r="BQ305" s="55"/>
      <c r="BR305" s="55"/>
      <c r="BS305" s="55"/>
    </row>
    <row r="306" spans="3:71" outlineLevel="1" x14ac:dyDescent="0.2">
      <c r="J306" s="26"/>
      <c r="L306" s="55"/>
      <c r="M306" s="55"/>
      <c r="N306" s="55"/>
      <c r="O306" s="55"/>
      <c r="P306" s="55"/>
      <c r="Q306" s="55"/>
      <c r="R306" s="55"/>
      <c r="S306" s="55"/>
      <c r="T306" s="55"/>
      <c r="U306" s="55"/>
      <c r="V306" s="55"/>
      <c r="W306" s="55"/>
      <c r="X306" s="55"/>
      <c r="Y306" s="55"/>
      <c r="Z306" s="55"/>
      <c r="AA306" s="55"/>
      <c r="AB306" s="55"/>
      <c r="AC306" s="55"/>
      <c r="AD306" s="55"/>
      <c r="AE306" s="55"/>
      <c r="AF306" s="55"/>
      <c r="AG306" s="55"/>
      <c r="AH306" s="55"/>
      <c r="AI306" s="55"/>
      <c r="AJ306" s="55"/>
      <c r="AK306" s="55"/>
      <c r="AL306" s="55"/>
      <c r="AM306" s="55"/>
      <c r="AN306" s="55"/>
      <c r="AO306" s="55"/>
      <c r="AP306" s="55"/>
      <c r="AQ306" s="55"/>
      <c r="AR306" s="55"/>
      <c r="AS306" s="55"/>
      <c r="AT306" s="55"/>
      <c r="AU306" s="55"/>
      <c r="AV306" s="55"/>
      <c r="AW306" s="55"/>
      <c r="AX306" s="55"/>
      <c r="AY306" s="55"/>
      <c r="AZ306" s="55"/>
      <c r="BA306" s="55"/>
      <c r="BB306" s="55"/>
      <c r="BC306" s="55"/>
      <c r="BD306" s="55"/>
      <c r="BE306" s="55"/>
      <c r="BF306" s="55"/>
      <c r="BG306" s="55"/>
      <c r="BH306" s="55"/>
      <c r="BI306" s="55"/>
      <c r="BJ306" s="55"/>
      <c r="BK306" s="55"/>
      <c r="BL306" s="55"/>
      <c r="BM306" s="55"/>
      <c r="BN306" s="55"/>
      <c r="BO306" s="55"/>
      <c r="BP306" s="55"/>
      <c r="BQ306" s="55"/>
      <c r="BR306" s="55"/>
      <c r="BS306" s="55"/>
    </row>
    <row r="307" spans="3:71" outlineLevel="1" x14ac:dyDescent="0.2">
      <c r="D307" s="11" t="str">
        <f>HM_ZA_Nkossa!D296</f>
        <v>Profit Oil</v>
      </c>
      <c r="J307" s="26"/>
      <c r="L307" s="55"/>
      <c r="M307" s="55"/>
      <c r="N307" s="55"/>
      <c r="O307" s="55"/>
      <c r="P307" s="55"/>
      <c r="Q307" s="55"/>
      <c r="R307" s="55"/>
      <c r="S307" s="55"/>
      <c r="T307" s="55"/>
      <c r="U307" s="55"/>
      <c r="V307" s="55"/>
      <c r="W307" s="55"/>
      <c r="X307" s="55"/>
      <c r="Y307" s="55"/>
      <c r="Z307" s="55"/>
      <c r="AA307" s="55"/>
      <c r="AB307" s="55"/>
      <c r="AC307" s="55"/>
      <c r="AD307" s="55"/>
      <c r="AE307" s="55"/>
      <c r="AF307" s="55"/>
      <c r="AG307" s="55"/>
      <c r="AH307" s="55"/>
      <c r="AI307" s="55"/>
      <c r="AJ307" s="55"/>
      <c r="AK307" s="55"/>
      <c r="AL307" s="55"/>
      <c r="AM307" s="55"/>
      <c r="AN307" s="55"/>
      <c r="AO307" s="55"/>
      <c r="AP307" s="55"/>
      <c r="AQ307" s="55"/>
      <c r="AR307" s="55"/>
      <c r="AS307" s="55"/>
      <c r="AT307" s="55"/>
      <c r="AU307" s="55"/>
      <c r="AV307" s="55"/>
      <c r="AW307" s="55"/>
      <c r="AX307" s="55"/>
      <c r="AY307" s="55"/>
      <c r="AZ307" s="55"/>
      <c r="BA307" s="55"/>
      <c r="BB307" s="55"/>
      <c r="BC307" s="55"/>
      <c r="BD307" s="55"/>
      <c r="BE307" s="55"/>
      <c r="BF307" s="55"/>
      <c r="BG307" s="55"/>
      <c r="BH307" s="55"/>
      <c r="BI307" s="55"/>
      <c r="BJ307" s="55"/>
      <c r="BK307" s="55"/>
      <c r="BL307" s="55"/>
      <c r="BM307" s="55"/>
      <c r="BN307" s="55"/>
      <c r="BO307" s="55"/>
      <c r="BP307" s="55"/>
      <c r="BQ307" s="55"/>
      <c r="BR307" s="55"/>
      <c r="BS307" s="55"/>
    </row>
    <row r="308" spans="3:71" outlineLevel="1" x14ac:dyDescent="0.2">
      <c r="D308" s="50" t="str">
        <f>HM_ZA_Nkossa!D297</f>
        <v>Revenus pétroliers pour le Partage du Profit</v>
      </c>
      <c r="I308" s="30">
        <f t="shared" ref="I308:I311" ca="1" si="77">SUM($L308:$BS308)</f>
        <v>87.444499276294536</v>
      </c>
      <c r="J308" s="26" t="s">
        <v>148</v>
      </c>
      <c r="L308" s="49">
        <f ca="1">MAX(HM_ZB_Nsoko!CA_gross_rev_oil_fp-HM_ZB_Nsoko!CA_roy_oil_fp-(HM_ZB_Nsoko!CA_cost_recovered_total*HM_ZB_Nsoko!CA_rev_oil_perc)-(HM_ZB_Nsoko!CA_excess_cost_recovery*HM_ZB_Nsoko!CA_rev_oil_perc)-HM_ZB_Nsoko!CA_rev_for_SPO,0)</f>
        <v>5.8286938959375121</v>
      </c>
      <c r="M308" s="49">
        <f ca="1">MAX(HM_ZB_Nsoko!CA_gross_rev_oil_fp-HM_ZB_Nsoko!CA_roy_oil_fp-(HM_ZB_Nsoko!CA_cost_recovered_total*HM_ZB_Nsoko!CA_rev_oil_perc)-(HM_ZB_Nsoko!CA_excess_cost_recovery*HM_ZB_Nsoko!CA_rev_oil_perc)-HM_ZB_Nsoko!CA_rev_for_SPO,0)</f>
        <v>6.5659029845000063</v>
      </c>
      <c r="N308" s="49">
        <f ca="1">MAX(HM_ZB_Nsoko!CA_gross_rev_oil_fp-HM_ZB_Nsoko!CA_roy_oil_fp-(HM_ZB_Nsoko!CA_cost_recovered_total*HM_ZB_Nsoko!CA_rev_oil_perc)-(HM_ZB_Nsoko!CA_excess_cost_recovery*HM_ZB_Nsoko!CA_rev_oil_perc)-HM_ZB_Nsoko!CA_rev_for_SPO,0)</f>
        <v>7.6215605442499985</v>
      </c>
      <c r="O308" s="49">
        <f ca="1">MAX(HM_ZB_Nsoko!CA_gross_rev_oil_fp-HM_ZB_Nsoko!CA_roy_oil_fp-(HM_ZB_Nsoko!CA_cost_recovered_total*HM_ZB_Nsoko!CA_rev_oil_perc)-(HM_ZB_Nsoko!CA_excess_cost_recovery*HM_ZB_Nsoko!CA_rev_oil_perc)-HM_ZB_Nsoko!CA_rev_for_SPO,0)</f>
        <v>6.1497060930000007</v>
      </c>
      <c r="P308" s="49">
        <f ca="1">MAX(HM_ZB_Nsoko!CA_gross_rev_oil_fp-HM_ZB_Nsoko!CA_roy_oil_fp-(HM_ZB_Nsoko!CA_cost_recovered_total*HM_ZB_Nsoko!CA_rev_oil_perc)-(HM_ZB_Nsoko!CA_excess_cost_recovery*HM_ZB_Nsoko!CA_rev_oil_perc)-HM_ZB_Nsoko!CA_rev_for_SPO,0)</f>
        <v>6.9972011682499993</v>
      </c>
      <c r="Q308" s="49">
        <f ca="1">MAX(HM_ZB_Nsoko!CA_gross_rev_oil_fp-HM_ZB_Nsoko!CA_roy_oil_fp-(HM_ZB_Nsoko!CA_cost_recovered_total*HM_ZB_Nsoko!CA_rev_oil_perc)-(HM_ZB_Nsoko!CA_excess_cost_recovery*HM_ZB_Nsoko!CA_rev_oil_perc)-HM_ZB_Nsoko!CA_rev_for_SPO,0)</f>
        <v>5.5949704699999963</v>
      </c>
      <c r="R308" s="49">
        <f ca="1">MAX(HM_ZB_Nsoko!CA_gross_rev_oil_fp-HM_ZB_Nsoko!CA_roy_oil_fp-(HM_ZB_Nsoko!CA_cost_recovered_total*HM_ZB_Nsoko!CA_rev_oil_perc)-(HM_ZB_Nsoko!CA_excess_cost_recovery*HM_ZB_Nsoko!CA_rev_oil_perc)-HM_ZB_Nsoko!CA_rev_for_SPO,0)</f>
        <v>2.8191889439999995</v>
      </c>
      <c r="S308" s="49">
        <f ca="1">MAX(HM_ZB_Nsoko!CA_gross_rev_oil_fp-HM_ZB_Nsoko!CA_roy_oil_fp-(HM_ZB_Nsoko!CA_cost_recovered_total*HM_ZB_Nsoko!CA_rev_oil_perc)-(HM_ZB_Nsoko!CA_excess_cost_recovery*HM_ZB_Nsoko!CA_rev_oil_perc)-HM_ZB_Nsoko!CA_rev_for_SPO,0)</f>
        <v>7.7349109693674549</v>
      </c>
      <c r="T308" s="49">
        <f ca="1">MAX(HM_ZB_Nsoko!CA_gross_rev_oil_fp-HM_ZB_Nsoko!CA_roy_oil_fp-(HM_ZB_Nsoko!CA_cost_recovered_total*HM_ZB_Nsoko!CA_rev_oil_perc)-(HM_ZB_Nsoko!CA_excess_cost_recovery*HM_ZB_Nsoko!CA_rev_oil_perc)-HM_ZB_Nsoko!CA_rev_for_SPO,0)</f>
        <v>8.7714869403749987</v>
      </c>
      <c r="U308" s="49">
        <f ca="1">MAX(HM_ZB_Nsoko!CA_gross_rev_oil_fp-HM_ZB_Nsoko!CA_roy_oil_fp-(HM_ZB_Nsoko!CA_cost_recovered_total*HM_ZB_Nsoko!CA_rev_oil_perc)-(HM_ZB_Nsoko!CA_excess_cost_recovery*HM_ZB_Nsoko!CA_rev_oil_perc)-HM_ZB_Nsoko!CA_rev_for_SPO,0)</f>
        <v>8.1574828545487499</v>
      </c>
      <c r="V308" s="49">
        <f ca="1">MAX(HM_ZB_Nsoko!CA_gross_rev_oil_fp-HM_ZB_Nsoko!CA_roy_oil_fp-(HM_ZB_Nsoko!CA_cost_recovered_total*HM_ZB_Nsoko!CA_rev_oil_perc)-(HM_ZB_Nsoko!CA_excess_cost_recovery*HM_ZB_Nsoko!CA_rev_oil_perc)-HM_ZB_Nsoko!CA_rev_for_SPO,0)</f>
        <v>7.586459054730339</v>
      </c>
      <c r="W308" s="49">
        <f ca="1">MAX(HM_ZB_Nsoko!CA_gross_rev_oil_fp-HM_ZB_Nsoko!CA_roy_oil_fp-(HM_ZB_Nsoko!CA_cost_recovered_total*HM_ZB_Nsoko!CA_rev_oil_perc)-(HM_ZB_Nsoko!CA_excess_cost_recovery*HM_ZB_Nsoko!CA_rev_oil_perc)-HM_ZB_Nsoko!CA_rev_for_SPO,0)</f>
        <v>7.055406920899209</v>
      </c>
      <c r="X308" s="49">
        <f ca="1">MAX(HM_ZB_Nsoko!CA_gross_rev_oil_fp-HM_ZB_Nsoko!CA_roy_oil_fp-(HM_ZB_Nsoko!CA_cost_recovered_total*HM_ZB_Nsoko!CA_rev_oil_perc)-(HM_ZB_Nsoko!CA_excess_cost_recovery*HM_ZB_Nsoko!CA_rev_oil_perc)-HM_ZB_Nsoko!CA_rev_for_SPO,0)</f>
        <v>6.5615284364362676</v>
      </c>
      <c r="Y308" s="49">
        <f ca="1">MAX(HM_ZB_Nsoko!CA_gross_rev_oil_fp-HM_ZB_Nsoko!CA_roy_oil_fp-(HM_ZB_Nsoko!CA_cost_recovered_total*HM_ZB_Nsoko!CA_rev_oil_perc)-(HM_ZB_Nsoko!CA_excess_cost_recovery*HM_ZB_Nsoko!CA_rev_oil_perc)-HM_ZB_Nsoko!CA_rev_for_SPO,0)</f>
        <v>0</v>
      </c>
      <c r="Z308" s="49">
        <f ca="1">MAX(HM_ZB_Nsoko!CA_gross_rev_oil_fp-HM_ZB_Nsoko!CA_roy_oil_fp-(HM_ZB_Nsoko!CA_cost_recovered_total*HM_ZB_Nsoko!CA_rev_oil_perc)-(HM_ZB_Nsoko!CA_excess_cost_recovery*HM_ZB_Nsoko!CA_rev_oil_perc)-HM_ZB_Nsoko!CA_rev_for_SPO,0)</f>
        <v>0</v>
      </c>
      <c r="AA308" s="49">
        <f ca="1">MAX(HM_ZB_Nsoko!CA_gross_rev_oil_fp-HM_ZB_Nsoko!CA_roy_oil_fp-(HM_ZB_Nsoko!CA_cost_recovered_total*HM_ZB_Nsoko!CA_rev_oil_perc)-(HM_ZB_Nsoko!CA_excess_cost_recovery*HM_ZB_Nsoko!CA_rev_oil_perc)-HM_ZB_Nsoko!CA_rev_for_SPO,0)</f>
        <v>0</v>
      </c>
      <c r="AB308" s="49">
        <f ca="1">MAX(HM_ZB_Nsoko!CA_gross_rev_oil_fp-HM_ZB_Nsoko!CA_roy_oil_fp-(HM_ZB_Nsoko!CA_cost_recovered_total*HM_ZB_Nsoko!CA_rev_oil_perc)-(HM_ZB_Nsoko!CA_excess_cost_recovery*HM_ZB_Nsoko!CA_rev_oil_perc)-HM_ZB_Nsoko!CA_rev_for_SPO,0)</f>
        <v>0</v>
      </c>
      <c r="AC308" s="49">
        <f ca="1">MAX(HM_ZB_Nsoko!CA_gross_rev_oil_fp-HM_ZB_Nsoko!CA_roy_oil_fp-(HM_ZB_Nsoko!CA_cost_recovered_total*HM_ZB_Nsoko!CA_rev_oil_perc)-(HM_ZB_Nsoko!CA_excess_cost_recovery*HM_ZB_Nsoko!CA_rev_oil_perc)-HM_ZB_Nsoko!CA_rev_for_SPO,0)</f>
        <v>0</v>
      </c>
      <c r="AD308" s="49">
        <f ca="1">MAX(HM_ZB_Nsoko!CA_gross_rev_oil_fp-HM_ZB_Nsoko!CA_roy_oil_fp-(HM_ZB_Nsoko!CA_cost_recovered_total*HM_ZB_Nsoko!CA_rev_oil_perc)-(HM_ZB_Nsoko!CA_excess_cost_recovery*HM_ZB_Nsoko!CA_rev_oil_perc)-HM_ZB_Nsoko!CA_rev_for_SPO,0)</f>
        <v>0</v>
      </c>
      <c r="AE308" s="49">
        <f ca="1">MAX(HM_ZB_Nsoko!CA_gross_rev_oil_fp-HM_ZB_Nsoko!CA_roy_oil_fp-(HM_ZB_Nsoko!CA_cost_recovered_total*HM_ZB_Nsoko!CA_rev_oil_perc)-(HM_ZB_Nsoko!CA_excess_cost_recovery*HM_ZB_Nsoko!CA_rev_oil_perc)-HM_ZB_Nsoko!CA_rev_for_SPO,0)</f>
        <v>0</v>
      </c>
      <c r="AF308" s="49">
        <f ca="1">MAX(HM_ZB_Nsoko!CA_gross_rev_oil_fp-HM_ZB_Nsoko!CA_roy_oil_fp-(HM_ZB_Nsoko!CA_cost_recovered_total*HM_ZB_Nsoko!CA_rev_oil_perc)-(HM_ZB_Nsoko!CA_excess_cost_recovery*HM_ZB_Nsoko!CA_rev_oil_perc)-HM_ZB_Nsoko!CA_rev_for_SPO,0)</f>
        <v>0</v>
      </c>
      <c r="AG308" s="49">
        <f ca="1">MAX(HM_ZB_Nsoko!CA_gross_rev_oil_fp-HM_ZB_Nsoko!CA_roy_oil_fp-(HM_ZB_Nsoko!CA_cost_recovered_total*HM_ZB_Nsoko!CA_rev_oil_perc)-(HM_ZB_Nsoko!CA_excess_cost_recovery*HM_ZB_Nsoko!CA_rev_oil_perc)-HM_ZB_Nsoko!CA_rev_for_SPO,0)</f>
        <v>0</v>
      </c>
      <c r="AH308" s="49">
        <f ca="1">MAX(HM_ZB_Nsoko!CA_gross_rev_oil_fp-HM_ZB_Nsoko!CA_roy_oil_fp-(HM_ZB_Nsoko!CA_cost_recovered_total*HM_ZB_Nsoko!CA_rev_oil_perc)-(HM_ZB_Nsoko!CA_excess_cost_recovery*HM_ZB_Nsoko!CA_rev_oil_perc)-HM_ZB_Nsoko!CA_rev_for_SPO,0)</f>
        <v>0</v>
      </c>
      <c r="AI308" s="49">
        <f ca="1">MAX(HM_ZB_Nsoko!CA_gross_rev_oil_fp-HM_ZB_Nsoko!CA_roy_oil_fp-(HM_ZB_Nsoko!CA_cost_recovered_total*HM_ZB_Nsoko!CA_rev_oil_perc)-(HM_ZB_Nsoko!CA_excess_cost_recovery*HM_ZB_Nsoko!CA_rev_oil_perc)-HM_ZB_Nsoko!CA_rev_for_SPO,0)</f>
        <v>0</v>
      </c>
      <c r="AJ308" s="49">
        <f ca="1">MAX(HM_ZB_Nsoko!CA_gross_rev_oil_fp-HM_ZB_Nsoko!CA_roy_oil_fp-(HM_ZB_Nsoko!CA_cost_recovered_total*HM_ZB_Nsoko!CA_rev_oil_perc)-(HM_ZB_Nsoko!CA_excess_cost_recovery*HM_ZB_Nsoko!CA_rev_oil_perc)-HM_ZB_Nsoko!CA_rev_for_SPO,0)</f>
        <v>0</v>
      </c>
      <c r="AK308" s="49">
        <f ca="1">MAX(HM_ZB_Nsoko!CA_gross_rev_oil_fp-HM_ZB_Nsoko!CA_roy_oil_fp-(HM_ZB_Nsoko!CA_cost_recovered_total*HM_ZB_Nsoko!CA_rev_oil_perc)-(HM_ZB_Nsoko!CA_excess_cost_recovery*HM_ZB_Nsoko!CA_rev_oil_perc)-HM_ZB_Nsoko!CA_rev_for_SPO,0)</f>
        <v>0</v>
      </c>
      <c r="AL308" s="49">
        <f ca="1">MAX(HM_ZB_Nsoko!CA_gross_rev_oil_fp-HM_ZB_Nsoko!CA_roy_oil_fp-(HM_ZB_Nsoko!CA_cost_recovered_total*HM_ZB_Nsoko!CA_rev_oil_perc)-(HM_ZB_Nsoko!CA_excess_cost_recovery*HM_ZB_Nsoko!CA_rev_oil_perc)-HM_ZB_Nsoko!CA_rev_for_SPO,0)</f>
        <v>0</v>
      </c>
      <c r="AM308" s="49">
        <f ca="1">MAX(HM_ZB_Nsoko!CA_gross_rev_oil_fp-HM_ZB_Nsoko!CA_roy_oil_fp-(HM_ZB_Nsoko!CA_cost_recovered_total*HM_ZB_Nsoko!CA_rev_oil_perc)-(HM_ZB_Nsoko!CA_excess_cost_recovery*HM_ZB_Nsoko!CA_rev_oil_perc)-HM_ZB_Nsoko!CA_rev_for_SPO,0)</f>
        <v>0</v>
      </c>
      <c r="AN308" s="49">
        <f ca="1">MAX(HM_ZB_Nsoko!CA_gross_rev_oil_fp-HM_ZB_Nsoko!CA_roy_oil_fp-(HM_ZB_Nsoko!CA_cost_recovered_total*HM_ZB_Nsoko!CA_rev_oil_perc)-(HM_ZB_Nsoko!CA_excess_cost_recovery*HM_ZB_Nsoko!CA_rev_oil_perc)-HM_ZB_Nsoko!CA_rev_for_SPO,0)</f>
        <v>0</v>
      </c>
      <c r="AO308" s="49">
        <f ca="1">MAX(HM_ZB_Nsoko!CA_gross_rev_oil_fp-HM_ZB_Nsoko!CA_roy_oil_fp-(HM_ZB_Nsoko!CA_cost_recovered_total*HM_ZB_Nsoko!CA_rev_oil_perc)-(HM_ZB_Nsoko!CA_excess_cost_recovery*HM_ZB_Nsoko!CA_rev_oil_perc)-HM_ZB_Nsoko!CA_rev_for_SPO,0)</f>
        <v>0</v>
      </c>
      <c r="AP308" s="49">
        <f ca="1">MAX(HM_ZB_Nsoko!CA_gross_rev_oil_fp-HM_ZB_Nsoko!CA_roy_oil_fp-(HM_ZB_Nsoko!CA_cost_recovered_total*HM_ZB_Nsoko!CA_rev_oil_perc)-(HM_ZB_Nsoko!CA_excess_cost_recovery*HM_ZB_Nsoko!CA_rev_oil_perc)-HM_ZB_Nsoko!CA_rev_for_SPO,0)</f>
        <v>0</v>
      </c>
      <c r="AQ308" s="49">
        <f ca="1">MAX(HM_ZB_Nsoko!CA_gross_rev_oil_fp-HM_ZB_Nsoko!CA_roy_oil_fp-(HM_ZB_Nsoko!CA_cost_recovered_total*HM_ZB_Nsoko!CA_rev_oil_perc)-(HM_ZB_Nsoko!CA_excess_cost_recovery*HM_ZB_Nsoko!CA_rev_oil_perc)-HM_ZB_Nsoko!CA_rev_for_SPO,0)</f>
        <v>0</v>
      </c>
      <c r="AR308" s="49">
        <f ca="1">MAX(HM_ZB_Nsoko!CA_gross_rev_oil_fp-HM_ZB_Nsoko!CA_roy_oil_fp-(HM_ZB_Nsoko!CA_cost_recovered_total*HM_ZB_Nsoko!CA_rev_oil_perc)-(HM_ZB_Nsoko!CA_excess_cost_recovery*HM_ZB_Nsoko!CA_rev_oil_perc)-HM_ZB_Nsoko!CA_rev_for_SPO,0)</f>
        <v>0</v>
      </c>
      <c r="AS308" s="49">
        <f ca="1">MAX(HM_ZB_Nsoko!CA_gross_rev_oil_fp-HM_ZB_Nsoko!CA_roy_oil_fp-(HM_ZB_Nsoko!CA_cost_recovered_total*HM_ZB_Nsoko!CA_rev_oil_perc)-(HM_ZB_Nsoko!CA_excess_cost_recovery*HM_ZB_Nsoko!CA_rev_oil_perc)-HM_ZB_Nsoko!CA_rev_for_SPO,0)</f>
        <v>0</v>
      </c>
      <c r="AT308" s="49">
        <f ca="1">MAX(HM_ZB_Nsoko!CA_gross_rev_oil_fp-HM_ZB_Nsoko!CA_roy_oil_fp-(HM_ZB_Nsoko!CA_cost_recovered_total*HM_ZB_Nsoko!CA_rev_oil_perc)-(HM_ZB_Nsoko!CA_excess_cost_recovery*HM_ZB_Nsoko!CA_rev_oil_perc)-HM_ZB_Nsoko!CA_rev_for_SPO,0)</f>
        <v>0</v>
      </c>
      <c r="AU308" s="49">
        <f ca="1">MAX(HM_ZB_Nsoko!CA_gross_rev_oil_fp-HM_ZB_Nsoko!CA_roy_oil_fp-(HM_ZB_Nsoko!CA_cost_recovered_total*HM_ZB_Nsoko!CA_rev_oil_perc)-(HM_ZB_Nsoko!CA_excess_cost_recovery*HM_ZB_Nsoko!CA_rev_oil_perc)-HM_ZB_Nsoko!CA_rev_for_SPO,0)</f>
        <v>0</v>
      </c>
      <c r="AV308" s="49">
        <f ca="1">MAX(HM_ZB_Nsoko!CA_gross_rev_oil_fp-HM_ZB_Nsoko!CA_roy_oil_fp-(HM_ZB_Nsoko!CA_cost_recovered_total*HM_ZB_Nsoko!CA_rev_oil_perc)-(HM_ZB_Nsoko!CA_excess_cost_recovery*HM_ZB_Nsoko!CA_rev_oil_perc)-HM_ZB_Nsoko!CA_rev_for_SPO,0)</f>
        <v>0</v>
      </c>
      <c r="AW308" s="49">
        <f ca="1">MAX(HM_ZB_Nsoko!CA_gross_rev_oil_fp-HM_ZB_Nsoko!CA_roy_oil_fp-(HM_ZB_Nsoko!CA_cost_recovered_total*HM_ZB_Nsoko!CA_rev_oil_perc)-(HM_ZB_Nsoko!CA_excess_cost_recovery*HM_ZB_Nsoko!CA_rev_oil_perc)-HM_ZB_Nsoko!CA_rev_for_SPO,0)</f>
        <v>0</v>
      </c>
      <c r="AX308" s="49">
        <f ca="1">MAX(HM_ZB_Nsoko!CA_gross_rev_oil_fp-HM_ZB_Nsoko!CA_roy_oil_fp-(HM_ZB_Nsoko!CA_cost_recovered_total*HM_ZB_Nsoko!CA_rev_oil_perc)-(HM_ZB_Nsoko!CA_excess_cost_recovery*HM_ZB_Nsoko!CA_rev_oil_perc)-HM_ZB_Nsoko!CA_rev_for_SPO,0)</f>
        <v>0</v>
      </c>
      <c r="AY308" s="49">
        <f ca="1">MAX(HM_ZB_Nsoko!CA_gross_rev_oil_fp-HM_ZB_Nsoko!CA_roy_oil_fp-(HM_ZB_Nsoko!CA_cost_recovered_total*HM_ZB_Nsoko!CA_rev_oil_perc)-(HM_ZB_Nsoko!CA_excess_cost_recovery*HM_ZB_Nsoko!CA_rev_oil_perc)-HM_ZB_Nsoko!CA_rev_for_SPO,0)</f>
        <v>0</v>
      </c>
      <c r="AZ308" s="49">
        <f ca="1">MAX(HM_ZB_Nsoko!CA_gross_rev_oil_fp-HM_ZB_Nsoko!CA_roy_oil_fp-(HM_ZB_Nsoko!CA_cost_recovered_total*HM_ZB_Nsoko!CA_rev_oil_perc)-(HM_ZB_Nsoko!CA_excess_cost_recovery*HM_ZB_Nsoko!CA_rev_oil_perc)-HM_ZB_Nsoko!CA_rev_for_SPO,0)</f>
        <v>0</v>
      </c>
      <c r="BA308" s="49">
        <f ca="1">MAX(HM_ZB_Nsoko!CA_gross_rev_oil_fp-HM_ZB_Nsoko!CA_roy_oil_fp-(HM_ZB_Nsoko!CA_cost_recovered_total*HM_ZB_Nsoko!CA_rev_oil_perc)-(HM_ZB_Nsoko!CA_excess_cost_recovery*HM_ZB_Nsoko!CA_rev_oil_perc)-HM_ZB_Nsoko!CA_rev_for_SPO,0)</f>
        <v>0</v>
      </c>
      <c r="BB308" s="49">
        <f ca="1">MAX(HM_ZB_Nsoko!CA_gross_rev_oil_fp-HM_ZB_Nsoko!CA_roy_oil_fp-(HM_ZB_Nsoko!CA_cost_recovered_total*HM_ZB_Nsoko!CA_rev_oil_perc)-(HM_ZB_Nsoko!CA_excess_cost_recovery*HM_ZB_Nsoko!CA_rev_oil_perc)-HM_ZB_Nsoko!CA_rev_for_SPO,0)</f>
        <v>0</v>
      </c>
      <c r="BC308" s="49">
        <f ca="1">MAX(HM_ZB_Nsoko!CA_gross_rev_oil_fp-HM_ZB_Nsoko!CA_roy_oil_fp-(HM_ZB_Nsoko!CA_cost_recovered_total*HM_ZB_Nsoko!CA_rev_oil_perc)-(HM_ZB_Nsoko!CA_excess_cost_recovery*HM_ZB_Nsoko!CA_rev_oil_perc)-HM_ZB_Nsoko!CA_rev_for_SPO,0)</f>
        <v>0</v>
      </c>
      <c r="BD308" s="49">
        <f ca="1">MAX(HM_ZB_Nsoko!CA_gross_rev_oil_fp-HM_ZB_Nsoko!CA_roy_oil_fp-(HM_ZB_Nsoko!CA_cost_recovered_total*HM_ZB_Nsoko!CA_rev_oil_perc)-(HM_ZB_Nsoko!CA_excess_cost_recovery*HM_ZB_Nsoko!CA_rev_oil_perc)-HM_ZB_Nsoko!CA_rev_for_SPO,0)</f>
        <v>0</v>
      </c>
      <c r="BE308" s="49">
        <f ca="1">MAX(HM_ZB_Nsoko!CA_gross_rev_oil_fp-HM_ZB_Nsoko!CA_roy_oil_fp-(HM_ZB_Nsoko!CA_cost_recovered_total*HM_ZB_Nsoko!CA_rev_oil_perc)-(HM_ZB_Nsoko!CA_excess_cost_recovery*HM_ZB_Nsoko!CA_rev_oil_perc)-HM_ZB_Nsoko!CA_rev_for_SPO,0)</f>
        <v>0</v>
      </c>
      <c r="BF308" s="49">
        <f ca="1">MAX(HM_ZB_Nsoko!CA_gross_rev_oil_fp-HM_ZB_Nsoko!CA_roy_oil_fp-(HM_ZB_Nsoko!CA_cost_recovered_total*HM_ZB_Nsoko!CA_rev_oil_perc)-(HM_ZB_Nsoko!CA_excess_cost_recovery*HM_ZB_Nsoko!CA_rev_oil_perc)-HM_ZB_Nsoko!CA_rev_for_SPO,0)</f>
        <v>0</v>
      </c>
      <c r="BG308" s="49">
        <f ca="1">MAX(HM_ZB_Nsoko!CA_gross_rev_oil_fp-HM_ZB_Nsoko!CA_roy_oil_fp-(HM_ZB_Nsoko!CA_cost_recovered_total*HM_ZB_Nsoko!CA_rev_oil_perc)-(HM_ZB_Nsoko!CA_excess_cost_recovery*HM_ZB_Nsoko!CA_rev_oil_perc)-HM_ZB_Nsoko!CA_rev_for_SPO,0)</f>
        <v>0</v>
      </c>
      <c r="BH308" s="49">
        <f ca="1">MAX(HM_ZB_Nsoko!CA_gross_rev_oil_fp-HM_ZB_Nsoko!CA_roy_oil_fp-(HM_ZB_Nsoko!CA_cost_recovered_total*HM_ZB_Nsoko!CA_rev_oil_perc)-(HM_ZB_Nsoko!CA_excess_cost_recovery*HM_ZB_Nsoko!CA_rev_oil_perc)-HM_ZB_Nsoko!CA_rev_for_SPO,0)</f>
        <v>0</v>
      </c>
      <c r="BI308" s="49">
        <f ca="1">MAX(HM_ZB_Nsoko!CA_gross_rev_oil_fp-HM_ZB_Nsoko!CA_roy_oil_fp-(HM_ZB_Nsoko!CA_cost_recovered_total*HM_ZB_Nsoko!CA_rev_oil_perc)-(HM_ZB_Nsoko!CA_excess_cost_recovery*HM_ZB_Nsoko!CA_rev_oil_perc)-HM_ZB_Nsoko!CA_rev_for_SPO,0)</f>
        <v>0</v>
      </c>
      <c r="BJ308" s="49">
        <f ca="1">MAX(HM_ZB_Nsoko!CA_gross_rev_oil_fp-HM_ZB_Nsoko!CA_roy_oil_fp-(HM_ZB_Nsoko!CA_cost_recovered_total*HM_ZB_Nsoko!CA_rev_oil_perc)-(HM_ZB_Nsoko!CA_excess_cost_recovery*HM_ZB_Nsoko!CA_rev_oil_perc)-HM_ZB_Nsoko!CA_rev_for_SPO,0)</f>
        <v>0</v>
      </c>
      <c r="BK308" s="49">
        <f ca="1">MAX(HM_ZB_Nsoko!CA_gross_rev_oil_fp-HM_ZB_Nsoko!CA_roy_oil_fp-(HM_ZB_Nsoko!CA_cost_recovered_total*HM_ZB_Nsoko!CA_rev_oil_perc)-(HM_ZB_Nsoko!CA_excess_cost_recovery*HM_ZB_Nsoko!CA_rev_oil_perc)-HM_ZB_Nsoko!CA_rev_for_SPO,0)</f>
        <v>0</v>
      </c>
      <c r="BL308" s="49">
        <f ca="1">MAX(HM_ZB_Nsoko!CA_gross_rev_oil_fp-HM_ZB_Nsoko!CA_roy_oil_fp-(HM_ZB_Nsoko!CA_cost_recovered_total*HM_ZB_Nsoko!CA_rev_oil_perc)-(HM_ZB_Nsoko!CA_excess_cost_recovery*HM_ZB_Nsoko!CA_rev_oil_perc)-HM_ZB_Nsoko!CA_rev_for_SPO,0)</f>
        <v>0</v>
      </c>
      <c r="BM308" s="49">
        <f ca="1">MAX(HM_ZB_Nsoko!CA_gross_rev_oil_fp-HM_ZB_Nsoko!CA_roy_oil_fp-(HM_ZB_Nsoko!CA_cost_recovered_total*HM_ZB_Nsoko!CA_rev_oil_perc)-(HM_ZB_Nsoko!CA_excess_cost_recovery*HM_ZB_Nsoko!CA_rev_oil_perc)-HM_ZB_Nsoko!CA_rev_for_SPO,0)</f>
        <v>0</v>
      </c>
      <c r="BN308" s="49">
        <f ca="1">MAX(HM_ZB_Nsoko!CA_gross_rev_oil_fp-HM_ZB_Nsoko!CA_roy_oil_fp-(HM_ZB_Nsoko!CA_cost_recovered_total*HM_ZB_Nsoko!CA_rev_oil_perc)-(HM_ZB_Nsoko!CA_excess_cost_recovery*HM_ZB_Nsoko!CA_rev_oil_perc)-HM_ZB_Nsoko!CA_rev_for_SPO,0)</f>
        <v>0</v>
      </c>
      <c r="BO308" s="49">
        <f ca="1">MAX(HM_ZB_Nsoko!CA_gross_rev_oil_fp-HM_ZB_Nsoko!CA_roy_oil_fp-(HM_ZB_Nsoko!CA_cost_recovered_total*HM_ZB_Nsoko!CA_rev_oil_perc)-(HM_ZB_Nsoko!CA_excess_cost_recovery*HM_ZB_Nsoko!CA_rev_oil_perc)-HM_ZB_Nsoko!CA_rev_for_SPO,0)</f>
        <v>0</v>
      </c>
      <c r="BP308" s="49">
        <f ca="1">MAX(HM_ZB_Nsoko!CA_gross_rev_oil_fp-HM_ZB_Nsoko!CA_roy_oil_fp-(HM_ZB_Nsoko!CA_cost_recovered_total*HM_ZB_Nsoko!CA_rev_oil_perc)-(HM_ZB_Nsoko!CA_excess_cost_recovery*HM_ZB_Nsoko!CA_rev_oil_perc)-HM_ZB_Nsoko!CA_rev_for_SPO,0)</f>
        <v>0</v>
      </c>
      <c r="BQ308" s="49">
        <f ca="1">MAX(HM_ZB_Nsoko!CA_gross_rev_oil_fp-HM_ZB_Nsoko!CA_roy_oil_fp-(HM_ZB_Nsoko!CA_cost_recovered_total*HM_ZB_Nsoko!CA_rev_oil_perc)-(HM_ZB_Nsoko!CA_excess_cost_recovery*HM_ZB_Nsoko!CA_rev_oil_perc)-HM_ZB_Nsoko!CA_rev_for_SPO,0)</f>
        <v>0</v>
      </c>
      <c r="BR308" s="49">
        <f ca="1">MAX(HM_ZB_Nsoko!CA_gross_rev_oil_fp-HM_ZB_Nsoko!CA_roy_oil_fp-(HM_ZB_Nsoko!CA_cost_recovered_total*HM_ZB_Nsoko!CA_rev_oil_perc)-(HM_ZB_Nsoko!CA_excess_cost_recovery*HM_ZB_Nsoko!CA_rev_oil_perc)-HM_ZB_Nsoko!CA_rev_for_SPO,0)</f>
        <v>0</v>
      </c>
      <c r="BS308" s="49">
        <f ca="1">MAX(HM_ZB_Nsoko!CA_gross_rev_oil_fp-HM_ZB_Nsoko!CA_roy_oil_fp-(HM_ZB_Nsoko!CA_cost_recovered_total*HM_ZB_Nsoko!CA_rev_oil_perc)-(HM_ZB_Nsoko!CA_excess_cost_recovery*HM_ZB_Nsoko!CA_rev_oil_perc)-HM_ZB_Nsoko!CA_rev_for_SPO,0)</f>
        <v>0</v>
      </c>
    </row>
    <row r="309" spans="3:71" outlineLevel="1" x14ac:dyDescent="0.2">
      <c r="D309" s="50" t="str">
        <f>HM_ZA_Nkossa!D298</f>
        <v>Partage du profit %</v>
      </c>
      <c r="J309" s="26"/>
      <c r="L309" s="53">
        <f ca="1">(INDEX(HM_ZB_Nsoko!FA_PS_cont_rate,MATCH(HM_ZB_Nsoko!CA_cum_gross_sales_oil,HM_ZB_Nsoko!FA_PS_cumprod_oil,1))*HM_ZB_Nsoko!CA_op_trig)*(HM_ZB_Nsoko!CA_PSC_switch_trig=0)+
(PS_cont_rate_nsoko2019*HM_ZB_Nsoko!CA_op_trig)*(HM_ZB_Nsoko!CA_PSC_switch_trig=1)</f>
        <v>0.66999999999999993</v>
      </c>
      <c r="M309" s="53">
        <f ca="1">(INDEX(HM_ZB_Nsoko!FA_PS_cont_rate,MATCH(HM_ZB_Nsoko!CA_cum_gross_sales_oil,HM_ZB_Nsoko!FA_PS_cumprod_oil,1))*HM_ZB_Nsoko!CA_op_trig)*(HM_ZB_Nsoko!CA_PSC_switch_trig=0)+
(PS_cont_rate_nsoko2019*HM_ZB_Nsoko!CA_op_trig)*(HM_ZB_Nsoko!CA_PSC_switch_trig=1)</f>
        <v>0.66999999999999993</v>
      </c>
      <c r="N309" s="53">
        <f ca="1">(INDEX(HM_ZB_Nsoko!FA_PS_cont_rate,MATCH(HM_ZB_Nsoko!CA_cum_gross_sales_oil,HM_ZB_Nsoko!FA_PS_cumprod_oil,1))*HM_ZB_Nsoko!CA_op_trig)*(HM_ZB_Nsoko!CA_PSC_switch_trig=0)+
(PS_cont_rate_nsoko2019*HM_ZB_Nsoko!CA_op_trig)*(HM_ZB_Nsoko!CA_PSC_switch_trig=1)</f>
        <v>0.66999999999999993</v>
      </c>
      <c r="O309" s="53">
        <f ca="1">(INDEX(HM_ZB_Nsoko!FA_PS_cont_rate,MATCH(HM_ZB_Nsoko!CA_cum_gross_sales_oil,HM_ZB_Nsoko!FA_PS_cumprod_oil,1))*HM_ZB_Nsoko!CA_op_trig)*(HM_ZB_Nsoko!CA_PSC_switch_trig=0)+
(PS_cont_rate_nsoko2019*HM_ZB_Nsoko!CA_op_trig)*(HM_ZB_Nsoko!CA_PSC_switch_trig=1)</f>
        <v>0.66999999999999993</v>
      </c>
      <c r="P309" s="53">
        <f ca="1">(INDEX(HM_ZB_Nsoko!FA_PS_cont_rate,MATCH(HM_ZB_Nsoko!CA_cum_gross_sales_oil,HM_ZB_Nsoko!FA_PS_cumprod_oil,1))*HM_ZB_Nsoko!CA_op_trig)*(HM_ZB_Nsoko!CA_PSC_switch_trig=0)+
(PS_cont_rate_nsoko2019*HM_ZB_Nsoko!CA_op_trig)*(HM_ZB_Nsoko!CA_PSC_switch_trig=1)</f>
        <v>0.66999999999999993</v>
      </c>
      <c r="Q309" s="53">
        <f ca="1">(INDEX(HM_ZB_Nsoko!FA_PS_cont_rate,MATCH(HM_ZB_Nsoko!CA_cum_gross_sales_oil,HM_ZB_Nsoko!FA_PS_cumprod_oil,1))*HM_ZB_Nsoko!CA_op_trig)*(HM_ZB_Nsoko!CA_PSC_switch_trig=0)+
(PS_cont_rate_nsoko2019*HM_ZB_Nsoko!CA_op_trig)*(HM_ZB_Nsoko!CA_PSC_switch_trig=1)</f>
        <v>0.66999999999999993</v>
      </c>
      <c r="R309" s="53">
        <f ca="1">(INDEX(HM_ZB_Nsoko!FA_PS_cont_rate,MATCH(HM_ZB_Nsoko!CA_cum_gross_sales_oil,HM_ZB_Nsoko!FA_PS_cumprod_oil,1))*HM_ZB_Nsoko!CA_op_trig)*(HM_ZB_Nsoko!CA_PSC_switch_trig=0)+
(PS_cont_rate_nsoko2019*HM_ZB_Nsoko!CA_op_trig)*(HM_ZB_Nsoko!CA_PSC_switch_trig=1)</f>
        <v>0.5</v>
      </c>
      <c r="S309" s="53">
        <f ca="1">(INDEX(HM_ZB_Nsoko!FA_PS_cont_rate,MATCH(HM_ZB_Nsoko!CA_cum_gross_sales_oil,HM_ZB_Nsoko!FA_PS_cumprod_oil,1))*HM_ZB_Nsoko!CA_op_trig)*(HM_ZB_Nsoko!CA_PSC_switch_trig=0)+
(PS_cont_rate_nsoko2019*HM_ZB_Nsoko!CA_op_trig)*(HM_ZB_Nsoko!CA_PSC_switch_trig=1)</f>
        <v>0.5</v>
      </c>
      <c r="T309" s="53">
        <f ca="1">(INDEX(HM_ZB_Nsoko!FA_PS_cont_rate,MATCH(HM_ZB_Nsoko!CA_cum_gross_sales_oil,HM_ZB_Nsoko!FA_PS_cumprod_oil,1))*HM_ZB_Nsoko!CA_op_trig)*(HM_ZB_Nsoko!CA_PSC_switch_trig=0)+
(PS_cont_rate_nsoko2019*HM_ZB_Nsoko!CA_op_trig)*(HM_ZB_Nsoko!CA_PSC_switch_trig=1)</f>
        <v>0.5</v>
      </c>
      <c r="U309" s="53">
        <f ca="1">(INDEX(HM_ZB_Nsoko!FA_PS_cont_rate,MATCH(HM_ZB_Nsoko!CA_cum_gross_sales_oil,HM_ZB_Nsoko!FA_PS_cumprod_oil,1))*HM_ZB_Nsoko!CA_op_trig)*(HM_ZB_Nsoko!CA_PSC_switch_trig=0)+
(PS_cont_rate_nsoko2019*HM_ZB_Nsoko!CA_op_trig)*(HM_ZB_Nsoko!CA_PSC_switch_trig=1)</f>
        <v>0.5</v>
      </c>
      <c r="V309" s="53">
        <f ca="1">(INDEX(HM_ZB_Nsoko!FA_PS_cont_rate,MATCH(HM_ZB_Nsoko!CA_cum_gross_sales_oil,HM_ZB_Nsoko!FA_PS_cumprod_oil,1))*HM_ZB_Nsoko!CA_op_trig)*(HM_ZB_Nsoko!CA_PSC_switch_trig=0)+
(PS_cont_rate_nsoko2019*HM_ZB_Nsoko!CA_op_trig)*(HM_ZB_Nsoko!CA_PSC_switch_trig=1)</f>
        <v>0.5</v>
      </c>
      <c r="W309" s="53">
        <f ca="1">(INDEX(HM_ZB_Nsoko!FA_PS_cont_rate,MATCH(HM_ZB_Nsoko!CA_cum_gross_sales_oil,HM_ZB_Nsoko!FA_PS_cumprod_oil,1))*HM_ZB_Nsoko!CA_op_trig)*(HM_ZB_Nsoko!CA_PSC_switch_trig=0)+
(PS_cont_rate_nsoko2019*HM_ZB_Nsoko!CA_op_trig)*(HM_ZB_Nsoko!CA_PSC_switch_trig=1)</f>
        <v>0.5</v>
      </c>
      <c r="X309" s="53">
        <f ca="1">(INDEX(HM_ZB_Nsoko!FA_PS_cont_rate,MATCH(HM_ZB_Nsoko!CA_cum_gross_sales_oil,HM_ZB_Nsoko!FA_PS_cumprod_oil,1))*HM_ZB_Nsoko!CA_op_trig)*(HM_ZB_Nsoko!CA_PSC_switch_trig=0)+
(PS_cont_rate_nsoko2019*HM_ZB_Nsoko!CA_op_trig)*(HM_ZB_Nsoko!CA_PSC_switch_trig=1)</f>
        <v>0.5</v>
      </c>
      <c r="Y309" s="53">
        <f ca="1">(INDEX(HM_ZB_Nsoko!FA_PS_cont_rate,MATCH(HM_ZB_Nsoko!CA_cum_gross_sales_oil,HM_ZB_Nsoko!FA_PS_cumprod_oil,1))*HM_ZB_Nsoko!CA_op_trig)*(HM_ZB_Nsoko!CA_PSC_switch_trig=0)+
(PS_cont_rate_nsoko2019*HM_ZB_Nsoko!CA_op_trig)*(HM_ZB_Nsoko!CA_PSC_switch_trig=1)</f>
        <v>0</v>
      </c>
      <c r="Z309" s="53">
        <f ca="1">(INDEX(HM_ZB_Nsoko!FA_PS_cont_rate,MATCH(HM_ZB_Nsoko!CA_cum_gross_sales_oil,HM_ZB_Nsoko!FA_PS_cumprod_oil,1))*HM_ZB_Nsoko!CA_op_trig)*(HM_ZB_Nsoko!CA_PSC_switch_trig=0)+
(PS_cont_rate_nsoko2019*HM_ZB_Nsoko!CA_op_trig)*(HM_ZB_Nsoko!CA_PSC_switch_trig=1)</f>
        <v>0</v>
      </c>
      <c r="AA309" s="53">
        <f ca="1">(INDEX(HM_ZB_Nsoko!FA_PS_cont_rate,MATCH(HM_ZB_Nsoko!CA_cum_gross_sales_oil,HM_ZB_Nsoko!FA_PS_cumprod_oil,1))*HM_ZB_Nsoko!CA_op_trig)*(HM_ZB_Nsoko!CA_PSC_switch_trig=0)+
(PS_cont_rate_nsoko2019*HM_ZB_Nsoko!CA_op_trig)*(HM_ZB_Nsoko!CA_PSC_switch_trig=1)</f>
        <v>0</v>
      </c>
      <c r="AB309" s="53">
        <f ca="1">(INDEX(HM_ZB_Nsoko!FA_PS_cont_rate,MATCH(HM_ZB_Nsoko!CA_cum_gross_sales_oil,HM_ZB_Nsoko!FA_PS_cumprod_oil,1))*HM_ZB_Nsoko!CA_op_trig)*(HM_ZB_Nsoko!CA_PSC_switch_trig=0)+
(PS_cont_rate_nsoko2019*HM_ZB_Nsoko!CA_op_trig)*(HM_ZB_Nsoko!CA_PSC_switch_trig=1)</f>
        <v>0</v>
      </c>
      <c r="AC309" s="53">
        <f ca="1">(INDEX(HM_ZB_Nsoko!FA_PS_cont_rate,MATCH(HM_ZB_Nsoko!CA_cum_gross_sales_oil,HM_ZB_Nsoko!FA_PS_cumprod_oil,1))*HM_ZB_Nsoko!CA_op_trig)*(HM_ZB_Nsoko!CA_PSC_switch_trig=0)+
(PS_cont_rate_nsoko2019*HM_ZB_Nsoko!CA_op_trig)*(HM_ZB_Nsoko!CA_PSC_switch_trig=1)</f>
        <v>0</v>
      </c>
      <c r="AD309" s="53">
        <f ca="1">(INDEX(HM_ZB_Nsoko!FA_PS_cont_rate,MATCH(HM_ZB_Nsoko!CA_cum_gross_sales_oil,HM_ZB_Nsoko!FA_PS_cumprod_oil,1))*HM_ZB_Nsoko!CA_op_trig)*(HM_ZB_Nsoko!CA_PSC_switch_trig=0)+
(PS_cont_rate_nsoko2019*HM_ZB_Nsoko!CA_op_trig)*(HM_ZB_Nsoko!CA_PSC_switch_trig=1)</f>
        <v>0</v>
      </c>
      <c r="AE309" s="53">
        <f ca="1">(INDEX(HM_ZB_Nsoko!FA_PS_cont_rate,MATCH(HM_ZB_Nsoko!CA_cum_gross_sales_oil,HM_ZB_Nsoko!FA_PS_cumprod_oil,1))*HM_ZB_Nsoko!CA_op_trig)*(HM_ZB_Nsoko!CA_PSC_switch_trig=0)+
(PS_cont_rate_nsoko2019*HM_ZB_Nsoko!CA_op_trig)*(HM_ZB_Nsoko!CA_PSC_switch_trig=1)</f>
        <v>0</v>
      </c>
      <c r="AF309" s="53">
        <f ca="1">(INDEX(HM_ZB_Nsoko!FA_PS_cont_rate,MATCH(HM_ZB_Nsoko!CA_cum_gross_sales_oil,HM_ZB_Nsoko!FA_PS_cumprod_oil,1))*HM_ZB_Nsoko!CA_op_trig)*(HM_ZB_Nsoko!CA_PSC_switch_trig=0)+
(PS_cont_rate_nsoko2019*HM_ZB_Nsoko!CA_op_trig)*(HM_ZB_Nsoko!CA_PSC_switch_trig=1)</f>
        <v>0</v>
      </c>
      <c r="AG309" s="53">
        <f ca="1">(INDEX(HM_ZB_Nsoko!FA_PS_cont_rate,MATCH(HM_ZB_Nsoko!CA_cum_gross_sales_oil,HM_ZB_Nsoko!FA_PS_cumprod_oil,1))*HM_ZB_Nsoko!CA_op_trig)*(HM_ZB_Nsoko!CA_PSC_switch_trig=0)+
(PS_cont_rate_nsoko2019*HM_ZB_Nsoko!CA_op_trig)*(HM_ZB_Nsoko!CA_PSC_switch_trig=1)</f>
        <v>0</v>
      </c>
      <c r="AH309" s="53">
        <f ca="1">(INDEX(HM_ZB_Nsoko!FA_PS_cont_rate,MATCH(HM_ZB_Nsoko!CA_cum_gross_sales_oil,HM_ZB_Nsoko!FA_PS_cumprod_oil,1))*HM_ZB_Nsoko!CA_op_trig)*(HM_ZB_Nsoko!CA_PSC_switch_trig=0)+
(PS_cont_rate_nsoko2019*HM_ZB_Nsoko!CA_op_trig)*(HM_ZB_Nsoko!CA_PSC_switch_trig=1)</f>
        <v>0</v>
      </c>
      <c r="AI309" s="53">
        <f ca="1">(INDEX(HM_ZB_Nsoko!FA_PS_cont_rate,MATCH(HM_ZB_Nsoko!CA_cum_gross_sales_oil,HM_ZB_Nsoko!FA_PS_cumprod_oil,1))*HM_ZB_Nsoko!CA_op_trig)*(HM_ZB_Nsoko!CA_PSC_switch_trig=0)+
(PS_cont_rate_nsoko2019*HM_ZB_Nsoko!CA_op_trig)*(HM_ZB_Nsoko!CA_PSC_switch_trig=1)</f>
        <v>0</v>
      </c>
      <c r="AJ309" s="53">
        <f ca="1">(INDEX(HM_ZB_Nsoko!FA_PS_cont_rate,MATCH(HM_ZB_Nsoko!CA_cum_gross_sales_oil,HM_ZB_Nsoko!FA_PS_cumprod_oil,1))*HM_ZB_Nsoko!CA_op_trig)*(HM_ZB_Nsoko!CA_PSC_switch_trig=0)+
(PS_cont_rate_nsoko2019*HM_ZB_Nsoko!CA_op_trig)*(HM_ZB_Nsoko!CA_PSC_switch_trig=1)</f>
        <v>0</v>
      </c>
      <c r="AK309" s="53">
        <f ca="1">(INDEX(HM_ZB_Nsoko!FA_PS_cont_rate,MATCH(HM_ZB_Nsoko!CA_cum_gross_sales_oil,HM_ZB_Nsoko!FA_PS_cumprod_oil,1))*HM_ZB_Nsoko!CA_op_trig)*(HM_ZB_Nsoko!CA_PSC_switch_trig=0)+
(PS_cont_rate_nsoko2019*HM_ZB_Nsoko!CA_op_trig)*(HM_ZB_Nsoko!CA_PSC_switch_trig=1)</f>
        <v>0</v>
      </c>
      <c r="AL309" s="53">
        <f ca="1">(INDEX(HM_ZB_Nsoko!FA_PS_cont_rate,MATCH(HM_ZB_Nsoko!CA_cum_gross_sales_oil,HM_ZB_Nsoko!FA_PS_cumprod_oil,1))*HM_ZB_Nsoko!CA_op_trig)*(HM_ZB_Nsoko!CA_PSC_switch_trig=0)+
(PS_cont_rate_nsoko2019*HM_ZB_Nsoko!CA_op_trig)*(HM_ZB_Nsoko!CA_PSC_switch_trig=1)</f>
        <v>0</v>
      </c>
      <c r="AM309" s="53">
        <f ca="1">(INDEX(HM_ZB_Nsoko!FA_PS_cont_rate,MATCH(HM_ZB_Nsoko!CA_cum_gross_sales_oil,HM_ZB_Nsoko!FA_PS_cumprod_oil,1))*HM_ZB_Nsoko!CA_op_trig)*(HM_ZB_Nsoko!CA_PSC_switch_trig=0)+
(PS_cont_rate_nsoko2019*HM_ZB_Nsoko!CA_op_trig)*(HM_ZB_Nsoko!CA_PSC_switch_trig=1)</f>
        <v>0</v>
      </c>
      <c r="AN309" s="53">
        <f ca="1">(INDEX(HM_ZB_Nsoko!FA_PS_cont_rate,MATCH(HM_ZB_Nsoko!CA_cum_gross_sales_oil,HM_ZB_Nsoko!FA_PS_cumprod_oil,1))*HM_ZB_Nsoko!CA_op_trig)*(HM_ZB_Nsoko!CA_PSC_switch_trig=0)+
(PS_cont_rate_nsoko2019*HM_ZB_Nsoko!CA_op_trig)*(HM_ZB_Nsoko!CA_PSC_switch_trig=1)</f>
        <v>0</v>
      </c>
      <c r="AO309" s="53">
        <f ca="1">(INDEX(HM_ZB_Nsoko!FA_PS_cont_rate,MATCH(HM_ZB_Nsoko!CA_cum_gross_sales_oil,HM_ZB_Nsoko!FA_PS_cumprod_oil,1))*HM_ZB_Nsoko!CA_op_trig)*(HM_ZB_Nsoko!CA_PSC_switch_trig=0)+
(PS_cont_rate_nsoko2019*HM_ZB_Nsoko!CA_op_trig)*(HM_ZB_Nsoko!CA_PSC_switch_trig=1)</f>
        <v>0</v>
      </c>
      <c r="AP309" s="53">
        <f ca="1">(INDEX(HM_ZB_Nsoko!FA_PS_cont_rate,MATCH(HM_ZB_Nsoko!CA_cum_gross_sales_oil,HM_ZB_Nsoko!FA_PS_cumprod_oil,1))*HM_ZB_Nsoko!CA_op_trig)*(HM_ZB_Nsoko!CA_PSC_switch_trig=0)+
(PS_cont_rate_nsoko2019*HM_ZB_Nsoko!CA_op_trig)*(HM_ZB_Nsoko!CA_PSC_switch_trig=1)</f>
        <v>0</v>
      </c>
      <c r="AQ309" s="53">
        <f ca="1">(INDEX(HM_ZB_Nsoko!FA_PS_cont_rate,MATCH(HM_ZB_Nsoko!CA_cum_gross_sales_oil,HM_ZB_Nsoko!FA_PS_cumprod_oil,1))*HM_ZB_Nsoko!CA_op_trig)*(HM_ZB_Nsoko!CA_PSC_switch_trig=0)+
(PS_cont_rate_nsoko2019*HM_ZB_Nsoko!CA_op_trig)*(HM_ZB_Nsoko!CA_PSC_switch_trig=1)</f>
        <v>0</v>
      </c>
      <c r="AR309" s="53">
        <f ca="1">(INDEX(HM_ZB_Nsoko!FA_PS_cont_rate,MATCH(HM_ZB_Nsoko!CA_cum_gross_sales_oil,HM_ZB_Nsoko!FA_PS_cumprod_oil,1))*HM_ZB_Nsoko!CA_op_trig)*(HM_ZB_Nsoko!CA_PSC_switch_trig=0)+
(PS_cont_rate_nsoko2019*HM_ZB_Nsoko!CA_op_trig)*(HM_ZB_Nsoko!CA_PSC_switch_trig=1)</f>
        <v>0</v>
      </c>
      <c r="AS309" s="53">
        <f ca="1">(INDEX(HM_ZB_Nsoko!FA_PS_cont_rate,MATCH(HM_ZB_Nsoko!CA_cum_gross_sales_oil,HM_ZB_Nsoko!FA_PS_cumprod_oil,1))*HM_ZB_Nsoko!CA_op_trig)*(HM_ZB_Nsoko!CA_PSC_switch_trig=0)+
(PS_cont_rate_nsoko2019*HM_ZB_Nsoko!CA_op_trig)*(HM_ZB_Nsoko!CA_PSC_switch_trig=1)</f>
        <v>0</v>
      </c>
      <c r="AT309" s="53">
        <f ca="1">(INDEX(HM_ZB_Nsoko!FA_PS_cont_rate,MATCH(HM_ZB_Nsoko!CA_cum_gross_sales_oil,HM_ZB_Nsoko!FA_PS_cumprod_oil,1))*HM_ZB_Nsoko!CA_op_trig)*(HM_ZB_Nsoko!CA_PSC_switch_trig=0)+
(PS_cont_rate_nsoko2019*HM_ZB_Nsoko!CA_op_trig)*(HM_ZB_Nsoko!CA_PSC_switch_trig=1)</f>
        <v>0</v>
      </c>
      <c r="AU309" s="53">
        <f ca="1">(INDEX(HM_ZB_Nsoko!FA_PS_cont_rate,MATCH(HM_ZB_Nsoko!CA_cum_gross_sales_oil,HM_ZB_Nsoko!FA_PS_cumprod_oil,1))*HM_ZB_Nsoko!CA_op_trig)*(HM_ZB_Nsoko!CA_PSC_switch_trig=0)+
(PS_cont_rate_nsoko2019*HM_ZB_Nsoko!CA_op_trig)*(HM_ZB_Nsoko!CA_PSC_switch_trig=1)</f>
        <v>0</v>
      </c>
      <c r="AV309" s="53">
        <f ca="1">(INDEX(HM_ZB_Nsoko!FA_PS_cont_rate,MATCH(HM_ZB_Nsoko!CA_cum_gross_sales_oil,HM_ZB_Nsoko!FA_PS_cumprod_oil,1))*HM_ZB_Nsoko!CA_op_trig)*(HM_ZB_Nsoko!CA_PSC_switch_trig=0)+
(PS_cont_rate_nsoko2019*HM_ZB_Nsoko!CA_op_trig)*(HM_ZB_Nsoko!CA_PSC_switch_trig=1)</f>
        <v>0</v>
      </c>
      <c r="AW309" s="53">
        <f ca="1">(INDEX(HM_ZB_Nsoko!FA_PS_cont_rate,MATCH(HM_ZB_Nsoko!CA_cum_gross_sales_oil,HM_ZB_Nsoko!FA_PS_cumprod_oil,1))*HM_ZB_Nsoko!CA_op_trig)*(HM_ZB_Nsoko!CA_PSC_switch_trig=0)+
(PS_cont_rate_nsoko2019*HM_ZB_Nsoko!CA_op_trig)*(HM_ZB_Nsoko!CA_PSC_switch_trig=1)</f>
        <v>0</v>
      </c>
      <c r="AX309" s="53">
        <f ca="1">(INDEX(HM_ZB_Nsoko!FA_PS_cont_rate,MATCH(HM_ZB_Nsoko!CA_cum_gross_sales_oil,HM_ZB_Nsoko!FA_PS_cumprod_oil,1))*HM_ZB_Nsoko!CA_op_trig)*(HM_ZB_Nsoko!CA_PSC_switch_trig=0)+
(PS_cont_rate_nsoko2019*HM_ZB_Nsoko!CA_op_trig)*(HM_ZB_Nsoko!CA_PSC_switch_trig=1)</f>
        <v>0</v>
      </c>
      <c r="AY309" s="53">
        <f ca="1">(INDEX(HM_ZB_Nsoko!FA_PS_cont_rate,MATCH(HM_ZB_Nsoko!CA_cum_gross_sales_oil,HM_ZB_Nsoko!FA_PS_cumprod_oil,1))*HM_ZB_Nsoko!CA_op_trig)*(HM_ZB_Nsoko!CA_PSC_switch_trig=0)+
(PS_cont_rate_nsoko2019*HM_ZB_Nsoko!CA_op_trig)*(HM_ZB_Nsoko!CA_PSC_switch_trig=1)</f>
        <v>0</v>
      </c>
      <c r="AZ309" s="53">
        <f ca="1">(INDEX(HM_ZB_Nsoko!FA_PS_cont_rate,MATCH(HM_ZB_Nsoko!CA_cum_gross_sales_oil,HM_ZB_Nsoko!FA_PS_cumprod_oil,1))*HM_ZB_Nsoko!CA_op_trig)*(HM_ZB_Nsoko!CA_PSC_switch_trig=0)+
(PS_cont_rate_nsoko2019*HM_ZB_Nsoko!CA_op_trig)*(HM_ZB_Nsoko!CA_PSC_switch_trig=1)</f>
        <v>0</v>
      </c>
      <c r="BA309" s="53">
        <f ca="1">(INDEX(HM_ZB_Nsoko!FA_PS_cont_rate,MATCH(HM_ZB_Nsoko!CA_cum_gross_sales_oil,HM_ZB_Nsoko!FA_PS_cumprod_oil,1))*HM_ZB_Nsoko!CA_op_trig)*(HM_ZB_Nsoko!CA_PSC_switch_trig=0)+
(PS_cont_rate_nsoko2019*HM_ZB_Nsoko!CA_op_trig)*(HM_ZB_Nsoko!CA_PSC_switch_trig=1)</f>
        <v>0</v>
      </c>
      <c r="BB309" s="53">
        <f ca="1">(INDEX(HM_ZB_Nsoko!FA_PS_cont_rate,MATCH(HM_ZB_Nsoko!CA_cum_gross_sales_oil,HM_ZB_Nsoko!FA_PS_cumprod_oil,1))*HM_ZB_Nsoko!CA_op_trig)*(HM_ZB_Nsoko!CA_PSC_switch_trig=0)+
(PS_cont_rate_nsoko2019*HM_ZB_Nsoko!CA_op_trig)*(HM_ZB_Nsoko!CA_PSC_switch_trig=1)</f>
        <v>0</v>
      </c>
      <c r="BC309" s="53">
        <f ca="1">(INDEX(HM_ZB_Nsoko!FA_PS_cont_rate,MATCH(HM_ZB_Nsoko!CA_cum_gross_sales_oil,HM_ZB_Nsoko!FA_PS_cumprod_oil,1))*HM_ZB_Nsoko!CA_op_trig)*(HM_ZB_Nsoko!CA_PSC_switch_trig=0)+
(PS_cont_rate_nsoko2019*HM_ZB_Nsoko!CA_op_trig)*(HM_ZB_Nsoko!CA_PSC_switch_trig=1)</f>
        <v>0</v>
      </c>
      <c r="BD309" s="53">
        <f ca="1">(INDEX(HM_ZB_Nsoko!FA_PS_cont_rate,MATCH(HM_ZB_Nsoko!CA_cum_gross_sales_oil,HM_ZB_Nsoko!FA_PS_cumprod_oil,1))*HM_ZB_Nsoko!CA_op_trig)*(HM_ZB_Nsoko!CA_PSC_switch_trig=0)+
(PS_cont_rate_nsoko2019*HM_ZB_Nsoko!CA_op_trig)*(HM_ZB_Nsoko!CA_PSC_switch_trig=1)</f>
        <v>0</v>
      </c>
      <c r="BE309" s="53">
        <f ca="1">(INDEX(HM_ZB_Nsoko!FA_PS_cont_rate,MATCH(HM_ZB_Nsoko!CA_cum_gross_sales_oil,HM_ZB_Nsoko!FA_PS_cumprod_oil,1))*HM_ZB_Nsoko!CA_op_trig)*(HM_ZB_Nsoko!CA_PSC_switch_trig=0)+
(PS_cont_rate_nsoko2019*HM_ZB_Nsoko!CA_op_trig)*(HM_ZB_Nsoko!CA_PSC_switch_trig=1)</f>
        <v>0</v>
      </c>
      <c r="BF309" s="53">
        <f ca="1">(INDEX(HM_ZB_Nsoko!FA_PS_cont_rate,MATCH(HM_ZB_Nsoko!CA_cum_gross_sales_oil,HM_ZB_Nsoko!FA_PS_cumprod_oil,1))*HM_ZB_Nsoko!CA_op_trig)*(HM_ZB_Nsoko!CA_PSC_switch_trig=0)+
(PS_cont_rate_nsoko2019*HM_ZB_Nsoko!CA_op_trig)*(HM_ZB_Nsoko!CA_PSC_switch_trig=1)</f>
        <v>0</v>
      </c>
      <c r="BG309" s="53">
        <f ca="1">(INDEX(HM_ZB_Nsoko!FA_PS_cont_rate,MATCH(HM_ZB_Nsoko!CA_cum_gross_sales_oil,HM_ZB_Nsoko!FA_PS_cumprod_oil,1))*HM_ZB_Nsoko!CA_op_trig)*(HM_ZB_Nsoko!CA_PSC_switch_trig=0)+
(PS_cont_rate_nsoko2019*HM_ZB_Nsoko!CA_op_trig)*(HM_ZB_Nsoko!CA_PSC_switch_trig=1)</f>
        <v>0</v>
      </c>
      <c r="BH309" s="53">
        <f ca="1">(INDEX(HM_ZB_Nsoko!FA_PS_cont_rate,MATCH(HM_ZB_Nsoko!CA_cum_gross_sales_oil,HM_ZB_Nsoko!FA_PS_cumprod_oil,1))*HM_ZB_Nsoko!CA_op_trig)*(HM_ZB_Nsoko!CA_PSC_switch_trig=0)+
(PS_cont_rate_nsoko2019*HM_ZB_Nsoko!CA_op_trig)*(HM_ZB_Nsoko!CA_PSC_switch_trig=1)</f>
        <v>0</v>
      </c>
      <c r="BI309" s="53">
        <f ca="1">(INDEX(HM_ZB_Nsoko!FA_PS_cont_rate,MATCH(HM_ZB_Nsoko!CA_cum_gross_sales_oil,HM_ZB_Nsoko!FA_PS_cumprod_oil,1))*HM_ZB_Nsoko!CA_op_trig)*(HM_ZB_Nsoko!CA_PSC_switch_trig=0)+
(PS_cont_rate_nsoko2019*HM_ZB_Nsoko!CA_op_trig)*(HM_ZB_Nsoko!CA_PSC_switch_trig=1)</f>
        <v>0</v>
      </c>
      <c r="BJ309" s="53">
        <f ca="1">(INDEX(HM_ZB_Nsoko!FA_PS_cont_rate,MATCH(HM_ZB_Nsoko!CA_cum_gross_sales_oil,HM_ZB_Nsoko!FA_PS_cumprod_oil,1))*HM_ZB_Nsoko!CA_op_trig)*(HM_ZB_Nsoko!CA_PSC_switch_trig=0)+
(PS_cont_rate_nsoko2019*HM_ZB_Nsoko!CA_op_trig)*(HM_ZB_Nsoko!CA_PSC_switch_trig=1)</f>
        <v>0</v>
      </c>
      <c r="BK309" s="53">
        <f ca="1">(INDEX(HM_ZB_Nsoko!FA_PS_cont_rate,MATCH(HM_ZB_Nsoko!CA_cum_gross_sales_oil,HM_ZB_Nsoko!FA_PS_cumprod_oil,1))*HM_ZB_Nsoko!CA_op_trig)*(HM_ZB_Nsoko!CA_PSC_switch_trig=0)+
(PS_cont_rate_nsoko2019*HM_ZB_Nsoko!CA_op_trig)*(HM_ZB_Nsoko!CA_PSC_switch_trig=1)</f>
        <v>0</v>
      </c>
      <c r="BL309" s="53">
        <f ca="1">(INDEX(HM_ZB_Nsoko!FA_PS_cont_rate,MATCH(HM_ZB_Nsoko!CA_cum_gross_sales_oil,HM_ZB_Nsoko!FA_PS_cumprod_oil,1))*HM_ZB_Nsoko!CA_op_trig)*(HM_ZB_Nsoko!CA_PSC_switch_trig=0)+
(PS_cont_rate_nsoko2019*HM_ZB_Nsoko!CA_op_trig)*(HM_ZB_Nsoko!CA_PSC_switch_trig=1)</f>
        <v>0</v>
      </c>
      <c r="BM309" s="53">
        <f ca="1">(INDEX(HM_ZB_Nsoko!FA_PS_cont_rate,MATCH(HM_ZB_Nsoko!CA_cum_gross_sales_oil,HM_ZB_Nsoko!FA_PS_cumprod_oil,1))*HM_ZB_Nsoko!CA_op_trig)*(HM_ZB_Nsoko!CA_PSC_switch_trig=0)+
(PS_cont_rate_nsoko2019*HM_ZB_Nsoko!CA_op_trig)*(HM_ZB_Nsoko!CA_PSC_switch_trig=1)</f>
        <v>0</v>
      </c>
      <c r="BN309" s="53">
        <f ca="1">(INDEX(HM_ZB_Nsoko!FA_PS_cont_rate,MATCH(HM_ZB_Nsoko!CA_cum_gross_sales_oil,HM_ZB_Nsoko!FA_PS_cumprod_oil,1))*HM_ZB_Nsoko!CA_op_trig)*(HM_ZB_Nsoko!CA_PSC_switch_trig=0)+
(PS_cont_rate_nsoko2019*HM_ZB_Nsoko!CA_op_trig)*(HM_ZB_Nsoko!CA_PSC_switch_trig=1)</f>
        <v>0</v>
      </c>
      <c r="BO309" s="53">
        <f ca="1">(INDEX(HM_ZB_Nsoko!FA_PS_cont_rate,MATCH(HM_ZB_Nsoko!CA_cum_gross_sales_oil,HM_ZB_Nsoko!FA_PS_cumprod_oil,1))*HM_ZB_Nsoko!CA_op_trig)*(HM_ZB_Nsoko!CA_PSC_switch_trig=0)+
(PS_cont_rate_nsoko2019*HM_ZB_Nsoko!CA_op_trig)*(HM_ZB_Nsoko!CA_PSC_switch_trig=1)</f>
        <v>0</v>
      </c>
      <c r="BP309" s="53">
        <f ca="1">(INDEX(HM_ZB_Nsoko!FA_PS_cont_rate,MATCH(HM_ZB_Nsoko!CA_cum_gross_sales_oil,HM_ZB_Nsoko!FA_PS_cumprod_oil,1))*HM_ZB_Nsoko!CA_op_trig)*(HM_ZB_Nsoko!CA_PSC_switch_trig=0)+
(PS_cont_rate_nsoko2019*HM_ZB_Nsoko!CA_op_trig)*(HM_ZB_Nsoko!CA_PSC_switch_trig=1)</f>
        <v>0</v>
      </c>
      <c r="BQ309" s="53">
        <f ca="1">(INDEX(HM_ZB_Nsoko!FA_PS_cont_rate,MATCH(HM_ZB_Nsoko!CA_cum_gross_sales_oil,HM_ZB_Nsoko!FA_PS_cumprod_oil,1))*HM_ZB_Nsoko!CA_op_trig)*(HM_ZB_Nsoko!CA_PSC_switch_trig=0)+
(PS_cont_rate_nsoko2019*HM_ZB_Nsoko!CA_op_trig)*(HM_ZB_Nsoko!CA_PSC_switch_trig=1)</f>
        <v>0</v>
      </c>
      <c r="BR309" s="53">
        <f ca="1">(INDEX(HM_ZB_Nsoko!FA_PS_cont_rate,MATCH(HM_ZB_Nsoko!CA_cum_gross_sales_oil,HM_ZB_Nsoko!FA_PS_cumprod_oil,1))*HM_ZB_Nsoko!CA_op_trig)*(HM_ZB_Nsoko!CA_PSC_switch_trig=0)+
(PS_cont_rate_nsoko2019*HM_ZB_Nsoko!CA_op_trig)*(HM_ZB_Nsoko!CA_PSC_switch_trig=1)</f>
        <v>0</v>
      </c>
      <c r="BS309" s="53">
        <f ca="1">(INDEX(HM_ZB_Nsoko!FA_PS_cont_rate,MATCH(HM_ZB_Nsoko!CA_cum_gross_sales_oil,HM_ZB_Nsoko!FA_PS_cumprod_oil,1))*HM_ZB_Nsoko!CA_op_trig)*(HM_ZB_Nsoko!CA_PSC_switch_trig=0)+
(PS_cont_rate_nsoko2019*HM_ZB_Nsoko!CA_op_trig)*(HM_ZB_Nsoko!CA_PSC_switch_trig=1)</f>
        <v>0</v>
      </c>
    </row>
    <row r="310" spans="3:71" outlineLevel="1" x14ac:dyDescent="0.2">
      <c r="D310" t="str">
        <f>HM_ZA_Nkossa!D299</f>
        <v>Part du Contracteur dans le Profit Oil</v>
      </c>
      <c r="I310" s="30">
        <f t="shared" ca="1" si="77"/>
        <v>50.311115614656636</v>
      </c>
      <c r="J310" s="26" t="s">
        <v>148</v>
      </c>
      <c r="L310" s="49">
        <f ca="1">L308*L309</f>
        <v>3.9052249102781329</v>
      </c>
      <c r="M310" s="49">
        <f t="shared" ref="M310:BS310" ca="1" si="78">M308*M309</f>
        <v>4.3991549996150034</v>
      </c>
      <c r="N310" s="49">
        <f t="shared" ca="1" si="78"/>
        <v>5.1064455646474984</v>
      </c>
      <c r="O310" s="49">
        <f t="shared" ca="1" si="78"/>
        <v>4.1203030823100004</v>
      </c>
      <c r="P310" s="49">
        <f t="shared" ca="1" si="78"/>
        <v>4.688124782727499</v>
      </c>
      <c r="Q310" s="49">
        <f t="shared" ca="1" si="78"/>
        <v>3.7486302148999973</v>
      </c>
      <c r="R310" s="49">
        <f t="shared" ca="1" si="78"/>
        <v>1.4095944719999998</v>
      </c>
      <c r="S310" s="49">
        <f t="shared" ca="1" si="78"/>
        <v>3.8674554846837275</v>
      </c>
      <c r="T310" s="49">
        <f t="shared" ca="1" si="78"/>
        <v>4.3857434701874993</v>
      </c>
      <c r="U310" s="49">
        <f t="shared" ca="1" si="78"/>
        <v>4.0787414272743749</v>
      </c>
      <c r="V310" s="49">
        <f t="shared" ca="1" si="78"/>
        <v>3.7932295273651695</v>
      </c>
      <c r="W310" s="49">
        <f t="shared" ca="1" si="78"/>
        <v>3.5277034604496045</v>
      </c>
      <c r="X310" s="49">
        <f t="shared" ca="1" si="78"/>
        <v>3.2807642182181338</v>
      </c>
      <c r="Y310" s="49">
        <f t="shared" ca="1" si="78"/>
        <v>0</v>
      </c>
      <c r="Z310" s="49">
        <f t="shared" ca="1" si="78"/>
        <v>0</v>
      </c>
      <c r="AA310" s="49">
        <f t="shared" ca="1" si="78"/>
        <v>0</v>
      </c>
      <c r="AB310" s="49">
        <f t="shared" ca="1" si="78"/>
        <v>0</v>
      </c>
      <c r="AC310" s="49">
        <f t="shared" ca="1" si="78"/>
        <v>0</v>
      </c>
      <c r="AD310" s="49">
        <f t="shared" ca="1" si="78"/>
        <v>0</v>
      </c>
      <c r="AE310" s="49">
        <f t="shared" ca="1" si="78"/>
        <v>0</v>
      </c>
      <c r="AF310" s="49">
        <f t="shared" ca="1" si="78"/>
        <v>0</v>
      </c>
      <c r="AG310" s="49">
        <f t="shared" ca="1" si="78"/>
        <v>0</v>
      </c>
      <c r="AH310" s="49">
        <f t="shared" ca="1" si="78"/>
        <v>0</v>
      </c>
      <c r="AI310" s="49">
        <f t="shared" ca="1" si="78"/>
        <v>0</v>
      </c>
      <c r="AJ310" s="49">
        <f t="shared" ca="1" si="78"/>
        <v>0</v>
      </c>
      <c r="AK310" s="49">
        <f t="shared" ca="1" si="78"/>
        <v>0</v>
      </c>
      <c r="AL310" s="49">
        <f t="shared" ca="1" si="78"/>
        <v>0</v>
      </c>
      <c r="AM310" s="49">
        <f t="shared" ca="1" si="78"/>
        <v>0</v>
      </c>
      <c r="AN310" s="49">
        <f t="shared" ca="1" si="78"/>
        <v>0</v>
      </c>
      <c r="AO310" s="49">
        <f t="shared" ca="1" si="78"/>
        <v>0</v>
      </c>
      <c r="AP310" s="49">
        <f t="shared" ca="1" si="78"/>
        <v>0</v>
      </c>
      <c r="AQ310" s="49">
        <f t="shared" ca="1" si="78"/>
        <v>0</v>
      </c>
      <c r="AR310" s="49">
        <f t="shared" ca="1" si="78"/>
        <v>0</v>
      </c>
      <c r="AS310" s="49">
        <f t="shared" ca="1" si="78"/>
        <v>0</v>
      </c>
      <c r="AT310" s="49">
        <f t="shared" ca="1" si="78"/>
        <v>0</v>
      </c>
      <c r="AU310" s="49">
        <f t="shared" ca="1" si="78"/>
        <v>0</v>
      </c>
      <c r="AV310" s="49">
        <f t="shared" ca="1" si="78"/>
        <v>0</v>
      </c>
      <c r="AW310" s="49">
        <f t="shared" ca="1" si="78"/>
        <v>0</v>
      </c>
      <c r="AX310" s="49">
        <f t="shared" ca="1" si="78"/>
        <v>0</v>
      </c>
      <c r="AY310" s="49">
        <f t="shared" ca="1" si="78"/>
        <v>0</v>
      </c>
      <c r="AZ310" s="49">
        <f t="shared" ca="1" si="78"/>
        <v>0</v>
      </c>
      <c r="BA310" s="49">
        <f t="shared" ca="1" si="78"/>
        <v>0</v>
      </c>
      <c r="BB310" s="49">
        <f t="shared" ca="1" si="78"/>
        <v>0</v>
      </c>
      <c r="BC310" s="49">
        <f t="shared" ca="1" si="78"/>
        <v>0</v>
      </c>
      <c r="BD310" s="49">
        <f t="shared" ca="1" si="78"/>
        <v>0</v>
      </c>
      <c r="BE310" s="49">
        <f t="shared" ca="1" si="78"/>
        <v>0</v>
      </c>
      <c r="BF310" s="49">
        <f t="shared" ca="1" si="78"/>
        <v>0</v>
      </c>
      <c r="BG310" s="49">
        <f t="shared" ca="1" si="78"/>
        <v>0</v>
      </c>
      <c r="BH310" s="49">
        <f t="shared" ca="1" si="78"/>
        <v>0</v>
      </c>
      <c r="BI310" s="49">
        <f t="shared" ca="1" si="78"/>
        <v>0</v>
      </c>
      <c r="BJ310" s="49">
        <f t="shared" ca="1" si="78"/>
        <v>0</v>
      </c>
      <c r="BK310" s="49">
        <f t="shared" ca="1" si="78"/>
        <v>0</v>
      </c>
      <c r="BL310" s="49">
        <f t="shared" ca="1" si="78"/>
        <v>0</v>
      </c>
      <c r="BM310" s="49">
        <f t="shared" ca="1" si="78"/>
        <v>0</v>
      </c>
      <c r="BN310" s="49">
        <f t="shared" ca="1" si="78"/>
        <v>0</v>
      </c>
      <c r="BO310" s="49">
        <f t="shared" ca="1" si="78"/>
        <v>0</v>
      </c>
      <c r="BP310" s="49">
        <f t="shared" ca="1" si="78"/>
        <v>0</v>
      </c>
      <c r="BQ310" s="49">
        <f t="shared" ca="1" si="78"/>
        <v>0</v>
      </c>
      <c r="BR310" s="49">
        <f t="shared" ca="1" si="78"/>
        <v>0</v>
      </c>
      <c r="BS310" s="49">
        <f t="shared" ca="1" si="78"/>
        <v>0</v>
      </c>
    </row>
    <row r="311" spans="3:71" outlineLevel="1" x14ac:dyDescent="0.2">
      <c r="D311" t="str">
        <f>HM_ZA_Nkossa!D300</f>
        <v>Part du Gouv. dans le Profit Oil</v>
      </c>
      <c r="I311" s="30">
        <f t="shared" ca="1" si="77"/>
        <v>37.133383661637886</v>
      </c>
      <c r="J311" s="26" t="s">
        <v>148</v>
      </c>
      <c r="L311" s="49">
        <f ca="1">L308-L310</f>
        <v>1.9234689856593792</v>
      </c>
      <c r="M311" s="49">
        <f t="shared" ref="M311:BS311" ca="1" si="79">M308-M310</f>
        <v>2.1667479848850029</v>
      </c>
      <c r="N311" s="49">
        <f t="shared" ca="1" si="79"/>
        <v>2.5151149796025001</v>
      </c>
      <c r="O311" s="49">
        <f t="shared" ca="1" si="79"/>
        <v>2.0294030106900003</v>
      </c>
      <c r="P311" s="49">
        <f t="shared" ca="1" si="79"/>
        <v>2.3090763855225003</v>
      </c>
      <c r="Q311" s="49">
        <f t="shared" ca="1" si="79"/>
        <v>1.846340255099999</v>
      </c>
      <c r="R311" s="49">
        <f t="shared" ca="1" si="79"/>
        <v>1.4095944719999998</v>
      </c>
      <c r="S311" s="49">
        <f t="shared" ca="1" si="79"/>
        <v>3.8674554846837275</v>
      </c>
      <c r="T311" s="49">
        <f t="shared" ca="1" si="79"/>
        <v>4.3857434701874993</v>
      </c>
      <c r="U311" s="49">
        <f t="shared" ca="1" si="79"/>
        <v>4.0787414272743749</v>
      </c>
      <c r="V311" s="49">
        <f t="shared" ca="1" si="79"/>
        <v>3.7932295273651695</v>
      </c>
      <c r="W311" s="49">
        <f t="shared" ca="1" si="79"/>
        <v>3.5277034604496045</v>
      </c>
      <c r="X311" s="49">
        <f t="shared" ca="1" si="79"/>
        <v>3.2807642182181338</v>
      </c>
      <c r="Y311" s="49">
        <f t="shared" ca="1" si="79"/>
        <v>0</v>
      </c>
      <c r="Z311" s="49">
        <f t="shared" ca="1" si="79"/>
        <v>0</v>
      </c>
      <c r="AA311" s="49">
        <f t="shared" ca="1" si="79"/>
        <v>0</v>
      </c>
      <c r="AB311" s="49">
        <f t="shared" ca="1" si="79"/>
        <v>0</v>
      </c>
      <c r="AC311" s="49">
        <f t="shared" ca="1" si="79"/>
        <v>0</v>
      </c>
      <c r="AD311" s="49">
        <f t="shared" ca="1" si="79"/>
        <v>0</v>
      </c>
      <c r="AE311" s="49">
        <f t="shared" ca="1" si="79"/>
        <v>0</v>
      </c>
      <c r="AF311" s="49">
        <f t="shared" ca="1" si="79"/>
        <v>0</v>
      </c>
      <c r="AG311" s="49">
        <f t="shared" ca="1" si="79"/>
        <v>0</v>
      </c>
      <c r="AH311" s="49">
        <f t="shared" ca="1" si="79"/>
        <v>0</v>
      </c>
      <c r="AI311" s="49">
        <f t="shared" ca="1" si="79"/>
        <v>0</v>
      </c>
      <c r="AJ311" s="49">
        <f t="shared" ca="1" si="79"/>
        <v>0</v>
      </c>
      <c r="AK311" s="49">
        <f t="shared" ca="1" si="79"/>
        <v>0</v>
      </c>
      <c r="AL311" s="49">
        <f t="shared" ca="1" si="79"/>
        <v>0</v>
      </c>
      <c r="AM311" s="49">
        <f t="shared" ca="1" si="79"/>
        <v>0</v>
      </c>
      <c r="AN311" s="49">
        <f t="shared" ca="1" si="79"/>
        <v>0</v>
      </c>
      <c r="AO311" s="49">
        <f t="shared" ca="1" si="79"/>
        <v>0</v>
      </c>
      <c r="AP311" s="49">
        <f t="shared" ca="1" si="79"/>
        <v>0</v>
      </c>
      <c r="AQ311" s="49">
        <f t="shared" ca="1" si="79"/>
        <v>0</v>
      </c>
      <c r="AR311" s="49">
        <f t="shared" ca="1" si="79"/>
        <v>0</v>
      </c>
      <c r="AS311" s="49">
        <f t="shared" ca="1" si="79"/>
        <v>0</v>
      </c>
      <c r="AT311" s="49">
        <f t="shared" ca="1" si="79"/>
        <v>0</v>
      </c>
      <c r="AU311" s="49">
        <f t="shared" ca="1" si="79"/>
        <v>0</v>
      </c>
      <c r="AV311" s="49">
        <f t="shared" ca="1" si="79"/>
        <v>0</v>
      </c>
      <c r="AW311" s="49">
        <f t="shared" ca="1" si="79"/>
        <v>0</v>
      </c>
      <c r="AX311" s="49">
        <f t="shared" ca="1" si="79"/>
        <v>0</v>
      </c>
      <c r="AY311" s="49">
        <f t="shared" ca="1" si="79"/>
        <v>0</v>
      </c>
      <c r="AZ311" s="49">
        <f t="shared" ca="1" si="79"/>
        <v>0</v>
      </c>
      <c r="BA311" s="49">
        <f t="shared" ca="1" si="79"/>
        <v>0</v>
      </c>
      <c r="BB311" s="49">
        <f t="shared" ca="1" si="79"/>
        <v>0</v>
      </c>
      <c r="BC311" s="49">
        <f t="shared" ca="1" si="79"/>
        <v>0</v>
      </c>
      <c r="BD311" s="49">
        <f t="shared" ca="1" si="79"/>
        <v>0</v>
      </c>
      <c r="BE311" s="49">
        <f t="shared" ca="1" si="79"/>
        <v>0</v>
      </c>
      <c r="BF311" s="49">
        <f t="shared" ca="1" si="79"/>
        <v>0</v>
      </c>
      <c r="BG311" s="49">
        <f t="shared" ca="1" si="79"/>
        <v>0</v>
      </c>
      <c r="BH311" s="49">
        <f t="shared" ca="1" si="79"/>
        <v>0</v>
      </c>
      <c r="BI311" s="49">
        <f t="shared" ca="1" si="79"/>
        <v>0</v>
      </c>
      <c r="BJ311" s="49">
        <f t="shared" ca="1" si="79"/>
        <v>0</v>
      </c>
      <c r="BK311" s="49">
        <f t="shared" ca="1" si="79"/>
        <v>0</v>
      </c>
      <c r="BL311" s="49">
        <f t="shared" ca="1" si="79"/>
        <v>0</v>
      </c>
      <c r="BM311" s="49">
        <f t="shared" ca="1" si="79"/>
        <v>0</v>
      </c>
      <c r="BN311" s="49">
        <f t="shared" ca="1" si="79"/>
        <v>0</v>
      </c>
      <c r="BO311" s="49">
        <f t="shared" ca="1" si="79"/>
        <v>0</v>
      </c>
      <c r="BP311" s="49">
        <f t="shared" ca="1" si="79"/>
        <v>0</v>
      </c>
      <c r="BQ311" s="49">
        <f t="shared" ca="1" si="79"/>
        <v>0</v>
      </c>
      <c r="BR311" s="49">
        <f t="shared" ca="1" si="79"/>
        <v>0</v>
      </c>
      <c r="BS311" s="49">
        <f t="shared" ca="1" si="79"/>
        <v>0</v>
      </c>
    </row>
    <row r="312" spans="3:71" outlineLevel="1" x14ac:dyDescent="0.2">
      <c r="J312" s="26"/>
      <c r="L312" s="55"/>
      <c r="M312" s="55"/>
      <c r="N312" s="55"/>
      <c r="O312" s="55"/>
      <c r="P312" s="55"/>
      <c r="Q312" s="55"/>
      <c r="R312" s="55"/>
      <c r="S312" s="55"/>
      <c r="T312" s="55"/>
      <c r="U312" s="55"/>
      <c r="V312" s="55"/>
      <c r="W312" s="55"/>
      <c r="X312" s="55"/>
      <c r="Y312" s="55"/>
      <c r="Z312" s="55"/>
      <c r="AA312" s="55"/>
      <c r="AB312" s="55"/>
      <c r="AC312" s="55"/>
      <c r="AD312" s="55"/>
      <c r="AE312" s="55"/>
      <c r="AF312" s="55"/>
      <c r="AG312" s="55"/>
      <c r="AH312" s="55"/>
      <c r="AI312" s="55"/>
      <c r="AJ312" s="55"/>
      <c r="AK312" s="55"/>
      <c r="AL312" s="55"/>
      <c r="AM312" s="55"/>
      <c r="AN312" s="55"/>
      <c r="AO312" s="55"/>
      <c r="AP312" s="55"/>
      <c r="AQ312" s="55"/>
      <c r="AR312" s="55"/>
      <c r="AS312" s="55"/>
      <c r="AT312" s="55"/>
      <c r="AU312" s="55"/>
      <c r="AV312" s="55"/>
      <c r="AW312" s="55"/>
      <c r="AX312" s="55"/>
      <c r="AY312" s="55"/>
      <c r="AZ312" s="55"/>
      <c r="BA312" s="55"/>
      <c r="BB312" s="55"/>
      <c r="BC312" s="55"/>
      <c r="BD312" s="55"/>
      <c r="BE312" s="55"/>
      <c r="BF312" s="55"/>
      <c r="BG312" s="55"/>
      <c r="BH312" s="55"/>
      <c r="BI312" s="55"/>
      <c r="BJ312" s="55"/>
      <c r="BK312" s="55"/>
      <c r="BL312" s="55"/>
      <c r="BM312" s="55"/>
      <c r="BN312" s="55"/>
      <c r="BO312" s="55"/>
      <c r="BP312" s="55"/>
      <c r="BQ312" s="55"/>
      <c r="BR312" s="55"/>
      <c r="BS312" s="55"/>
    </row>
    <row r="313" spans="3:71" outlineLevel="1" x14ac:dyDescent="0.2">
      <c r="D313" s="11" t="str">
        <f>HM_ZA_Nkossa!D302</f>
        <v>Profit Gaz</v>
      </c>
      <c r="J313" s="26"/>
      <c r="L313" s="55"/>
      <c r="M313" s="55"/>
      <c r="N313" s="55"/>
      <c r="O313" s="55"/>
      <c r="P313" s="55"/>
      <c r="Q313" s="55"/>
      <c r="R313" s="55"/>
      <c r="S313" s="55"/>
      <c r="T313" s="55"/>
      <c r="U313" s="55"/>
      <c r="V313" s="55"/>
      <c r="W313" s="55"/>
      <c r="X313" s="55"/>
      <c r="Y313" s="55"/>
      <c r="Z313" s="55"/>
      <c r="AA313" s="55"/>
      <c r="AB313" s="55"/>
      <c r="AC313" s="55"/>
      <c r="AD313" s="55"/>
      <c r="AE313" s="55"/>
      <c r="AF313" s="55"/>
      <c r="AG313" s="55"/>
      <c r="AH313" s="55"/>
      <c r="AI313" s="55"/>
      <c r="AJ313" s="55"/>
      <c r="AK313" s="55"/>
      <c r="AL313" s="55"/>
      <c r="AM313" s="55"/>
      <c r="AN313" s="55"/>
      <c r="AO313" s="55"/>
      <c r="AP313" s="55"/>
      <c r="AQ313" s="55"/>
      <c r="AR313" s="55"/>
      <c r="AS313" s="55"/>
      <c r="AT313" s="55"/>
      <c r="AU313" s="55"/>
      <c r="AV313" s="55"/>
      <c r="AW313" s="55"/>
      <c r="AX313" s="55"/>
      <c r="AY313" s="55"/>
      <c r="AZ313" s="55"/>
      <c r="BA313" s="55"/>
      <c r="BB313" s="55"/>
      <c r="BC313" s="55"/>
      <c r="BD313" s="55"/>
      <c r="BE313" s="55"/>
      <c r="BF313" s="55"/>
      <c r="BG313" s="55"/>
      <c r="BH313" s="55"/>
      <c r="BI313" s="55"/>
      <c r="BJ313" s="55"/>
      <c r="BK313" s="55"/>
      <c r="BL313" s="55"/>
      <c r="BM313" s="55"/>
      <c r="BN313" s="55"/>
      <c r="BO313" s="55"/>
      <c r="BP313" s="55"/>
      <c r="BQ313" s="55"/>
      <c r="BR313" s="55"/>
      <c r="BS313" s="55"/>
    </row>
    <row r="314" spans="3:71" outlineLevel="1" x14ac:dyDescent="0.2">
      <c r="D314" s="50" t="str">
        <f>HM_ZA_Nkossa!D303</f>
        <v>Revenus gaziers pour le Partage du Profit</v>
      </c>
      <c r="I314" s="30">
        <f t="shared" ref="I314:I320" ca="1" si="80">SUM($L314:$BS314)</f>
        <v>0</v>
      </c>
      <c r="J314" s="26" t="s">
        <v>148</v>
      </c>
      <c r="L314" s="49">
        <f ca="1">MAX(HM_ZB_Nsoko!CA_gross_rev_gas_fp-HM_ZB_Nsoko!CA_roy_gas_fp-(HM_ZB_Nsoko!CA_cost_recovered_total*HM_ZB_Nsoko!CA_rev_gas_perc)-(HM_ZB_Nsoko!CA_excess_cost_recovery*HM_ZB_Nsoko!CA_rev_gas_perc),0)</f>
        <v>0</v>
      </c>
      <c r="M314" s="49">
        <f ca="1">MAX(HM_ZB_Nsoko!CA_gross_rev_gas_fp-HM_ZB_Nsoko!CA_roy_gas_fp-(HM_ZB_Nsoko!CA_cost_recovered_total*HM_ZB_Nsoko!CA_rev_gas_perc)-(HM_ZB_Nsoko!CA_excess_cost_recovery*HM_ZB_Nsoko!CA_rev_gas_perc),0)</f>
        <v>0</v>
      </c>
      <c r="N314" s="49">
        <f ca="1">MAX(HM_ZB_Nsoko!CA_gross_rev_gas_fp-HM_ZB_Nsoko!CA_roy_gas_fp-(HM_ZB_Nsoko!CA_cost_recovered_total*HM_ZB_Nsoko!CA_rev_gas_perc)-(HM_ZB_Nsoko!CA_excess_cost_recovery*HM_ZB_Nsoko!CA_rev_gas_perc),0)</f>
        <v>0</v>
      </c>
      <c r="O314" s="49">
        <f ca="1">MAX(HM_ZB_Nsoko!CA_gross_rev_gas_fp-HM_ZB_Nsoko!CA_roy_gas_fp-(HM_ZB_Nsoko!CA_cost_recovered_total*HM_ZB_Nsoko!CA_rev_gas_perc)-(HM_ZB_Nsoko!CA_excess_cost_recovery*HM_ZB_Nsoko!CA_rev_gas_perc),0)</f>
        <v>0</v>
      </c>
      <c r="P314" s="49">
        <f ca="1">MAX(HM_ZB_Nsoko!CA_gross_rev_gas_fp-HM_ZB_Nsoko!CA_roy_gas_fp-(HM_ZB_Nsoko!CA_cost_recovered_total*HM_ZB_Nsoko!CA_rev_gas_perc)-(HM_ZB_Nsoko!CA_excess_cost_recovery*HM_ZB_Nsoko!CA_rev_gas_perc),0)</f>
        <v>0</v>
      </c>
      <c r="Q314" s="49">
        <f ca="1">MAX(HM_ZB_Nsoko!CA_gross_rev_gas_fp-HM_ZB_Nsoko!CA_roy_gas_fp-(HM_ZB_Nsoko!CA_cost_recovered_total*HM_ZB_Nsoko!CA_rev_gas_perc)-(HM_ZB_Nsoko!CA_excess_cost_recovery*HM_ZB_Nsoko!CA_rev_gas_perc),0)</f>
        <v>0</v>
      </c>
      <c r="R314" s="49">
        <f ca="1">MAX(HM_ZB_Nsoko!CA_gross_rev_gas_fp-HM_ZB_Nsoko!CA_roy_gas_fp-(HM_ZB_Nsoko!CA_cost_recovered_total*HM_ZB_Nsoko!CA_rev_gas_perc)-(HM_ZB_Nsoko!CA_excess_cost_recovery*HM_ZB_Nsoko!CA_rev_gas_perc),0)</f>
        <v>0</v>
      </c>
      <c r="S314" s="49">
        <f ca="1">MAX(HM_ZB_Nsoko!CA_gross_rev_gas_fp-HM_ZB_Nsoko!CA_roy_gas_fp-(HM_ZB_Nsoko!CA_cost_recovered_total*HM_ZB_Nsoko!CA_rev_gas_perc)-(HM_ZB_Nsoko!CA_excess_cost_recovery*HM_ZB_Nsoko!CA_rev_gas_perc),0)</f>
        <v>0</v>
      </c>
      <c r="T314" s="49">
        <f ca="1">MAX(HM_ZB_Nsoko!CA_gross_rev_gas_fp-HM_ZB_Nsoko!CA_roy_gas_fp-(HM_ZB_Nsoko!CA_cost_recovered_total*HM_ZB_Nsoko!CA_rev_gas_perc)-(HM_ZB_Nsoko!CA_excess_cost_recovery*HM_ZB_Nsoko!CA_rev_gas_perc),0)</f>
        <v>0</v>
      </c>
      <c r="U314" s="49">
        <f ca="1">MAX(HM_ZB_Nsoko!CA_gross_rev_gas_fp-HM_ZB_Nsoko!CA_roy_gas_fp-(HM_ZB_Nsoko!CA_cost_recovered_total*HM_ZB_Nsoko!CA_rev_gas_perc)-(HM_ZB_Nsoko!CA_excess_cost_recovery*HM_ZB_Nsoko!CA_rev_gas_perc),0)</f>
        <v>0</v>
      </c>
      <c r="V314" s="49">
        <f ca="1">MAX(HM_ZB_Nsoko!CA_gross_rev_gas_fp-HM_ZB_Nsoko!CA_roy_gas_fp-(HM_ZB_Nsoko!CA_cost_recovered_total*HM_ZB_Nsoko!CA_rev_gas_perc)-(HM_ZB_Nsoko!CA_excess_cost_recovery*HM_ZB_Nsoko!CA_rev_gas_perc),0)</f>
        <v>0</v>
      </c>
      <c r="W314" s="49">
        <f ca="1">MAX(HM_ZB_Nsoko!CA_gross_rev_gas_fp-HM_ZB_Nsoko!CA_roy_gas_fp-(HM_ZB_Nsoko!CA_cost_recovered_total*HM_ZB_Nsoko!CA_rev_gas_perc)-(HM_ZB_Nsoko!CA_excess_cost_recovery*HM_ZB_Nsoko!CA_rev_gas_perc),0)</f>
        <v>0</v>
      </c>
      <c r="X314" s="49">
        <f ca="1">MAX(HM_ZB_Nsoko!CA_gross_rev_gas_fp-HM_ZB_Nsoko!CA_roy_gas_fp-(HM_ZB_Nsoko!CA_cost_recovered_total*HM_ZB_Nsoko!CA_rev_gas_perc)-(HM_ZB_Nsoko!CA_excess_cost_recovery*HM_ZB_Nsoko!CA_rev_gas_perc),0)</f>
        <v>0</v>
      </c>
      <c r="Y314" s="49">
        <f ca="1">MAX(HM_ZB_Nsoko!CA_gross_rev_gas_fp-HM_ZB_Nsoko!CA_roy_gas_fp-(HM_ZB_Nsoko!CA_cost_recovered_total*HM_ZB_Nsoko!CA_rev_gas_perc)-(HM_ZB_Nsoko!CA_excess_cost_recovery*HM_ZB_Nsoko!CA_rev_gas_perc),0)</f>
        <v>0</v>
      </c>
      <c r="Z314" s="49">
        <f ca="1">MAX(HM_ZB_Nsoko!CA_gross_rev_gas_fp-HM_ZB_Nsoko!CA_roy_gas_fp-(HM_ZB_Nsoko!CA_cost_recovered_total*HM_ZB_Nsoko!CA_rev_gas_perc)-(HM_ZB_Nsoko!CA_excess_cost_recovery*HM_ZB_Nsoko!CA_rev_gas_perc),0)</f>
        <v>0</v>
      </c>
      <c r="AA314" s="49">
        <f ca="1">MAX(HM_ZB_Nsoko!CA_gross_rev_gas_fp-HM_ZB_Nsoko!CA_roy_gas_fp-(HM_ZB_Nsoko!CA_cost_recovered_total*HM_ZB_Nsoko!CA_rev_gas_perc)-(HM_ZB_Nsoko!CA_excess_cost_recovery*HM_ZB_Nsoko!CA_rev_gas_perc),0)</f>
        <v>0</v>
      </c>
      <c r="AB314" s="49">
        <f ca="1">MAX(HM_ZB_Nsoko!CA_gross_rev_gas_fp-HM_ZB_Nsoko!CA_roy_gas_fp-(HM_ZB_Nsoko!CA_cost_recovered_total*HM_ZB_Nsoko!CA_rev_gas_perc)-(HM_ZB_Nsoko!CA_excess_cost_recovery*HM_ZB_Nsoko!CA_rev_gas_perc),0)</f>
        <v>0</v>
      </c>
      <c r="AC314" s="49">
        <f ca="1">MAX(HM_ZB_Nsoko!CA_gross_rev_gas_fp-HM_ZB_Nsoko!CA_roy_gas_fp-(HM_ZB_Nsoko!CA_cost_recovered_total*HM_ZB_Nsoko!CA_rev_gas_perc)-(HM_ZB_Nsoko!CA_excess_cost_recovery*HM_ZB_Nsoko!CA_rev_gas_perc),0)</f>
        <v>0</v>
      </c>
      <c r="AD314" s="49">
        <f ca="1">MAX(HM_ZB_Nsoko!CA_gross_rev_gas_fp-HM_ZB_Nsoko!CA_roy_gas_fp-(HM_ZB_Nsoko!CA_cost_recovered_total*HM_ZB_Nsoko!CA_rev_gas_perc)-(HM_ZB_Nsoko!CA_excess_cost_recovery*HM_ZB_Nsoko!CA_rev_gas_perc),0)</f>
        <v>0</v>
      </c>
      <c r="AE314" s="49">
        <f ca="1">MAX(HM_ZB_Nsoko!CA_gross_rev_gas_fp-HM_ZB_Nsoko!CA_roy_gas_fp-(HM_ZB_Nsoko!CA_cost_recovered_total*HM_ZB_Nsoko!CA_rev_gas_perc)-(HM_ZB_Nsoko!CA_excess_cost_recovery*HM_ZB_Nsoko!CA_rev_gas_perc),0)</f>
        <v>0</v>
      </c>
      <c r="AF314" s="49">
        <f ca="1">MAX(HM_ZB_Nsoko!CA_gross_rev_gas_fp-HM_ZB_Nsoko!CA_roy_gas_fp-(HM_ZB_Nsoko!CA_cost_recovered_total*HM_ZB_Nsoko!CA_rev_gas_perc)-(HM_ZB_Nsoko!CA_excess_cost_recovery*HM_ZB_Nsoko!CA_rev_gas_perc),0)</f>
        <v>0</v>
      </c>
      <c r="AG314" s="49">
        <f ca="1">MAX(HM_ZB_Nsoko!CA_gross_rev_gas_fp-HM_ZB_Nsoko!CA_roy_gas_fp-(HM_ZB_Nsoko!CA_cost_recovered_total*HM_ZB_Nsoko!CA_rev_gas_perc)-(HM_ZB_Nsoko!CA_excess_cost_recovery*HM_ZB_Nsoko!CA_rev_gas_perc),0)</f>
        <v>0</v>
      </c>
      <c r="AH314" s="49">
        <f ca="1">MAX(HM_ZB_Nsoko!CA_gross_rev_gas_fp-HM_ZB_Nsoko!CA_roy_gas_fp-(HM_ZB_Nsoko!CA_cost_recovered_total*HM_ZB_Nsoko!CA_rev_gas_perc)-(HM_ZB_Nsoko!CA_excess_cost_recovery*HM_ZB_Nsoko!CA_rev_gas_perc),0)</f>
        <v>0</v>
      </c>
      <c r="AI314" s="49">
        <f ca="1">MAX(HM_ZB_Nsoko!CA_gross_rev_gas_fp-HM_ZB_Nsoko!CA_roy_gas_fp-(HM_ZB_Nsoko!CA_cost_recovered_total*HM_ZB_Nsoko!CA_rev_gas_perc)-(HM_ZB_Nsoko!CA_excess_cost_recovery*HM_ZB_Nsoko!CA_rev_gas_perc),0)</f>
        <v>0</v>
      </c>
      <c r="AJ314" s="49">
        <f ca="1">MAX(HM_ZB_Nsoko!CA_gross_rev_gas_fp-HM_ZB_Nsoko!CA_roy_gas_fp-(HM_ZB_Nsoko!CA_cost_recovered_total*HM_ZB_Nsoko!CA_rev_gas_perc)-(HM_ZB_Nsoko!CA_excess_cost_recovery*HM_ZB_Nsoko!CA_rev_gas_perc),0)</f>
        <v>0</v>
      </c>
      <c r="AK314" s="49">
        <f ca="1">MAX(HM_ZB_Nsoko!CA_gross_rev_gas_fp-HM_ZB_Nsoko!CA_roy_gas_fp-(HM_ZB_Nsoko!CA_cost_recovered_total*HM_ZB_Nsoko!CA_rev_gas_perc)-(HM_ZB_Nsoko!CA_excess_cost_recovery*HM_ZB_Nsoko!CA_rev_gas_perc),0)</f>
        <v>0</v>
      </c>
      <c r="AL314" s="49">
        <f ca="1">MAX(HM_ZB_Nsoko!CA_gross_rev_gas_fp-HM_ZB_Nsoko!CA_roy_gas_fp-(HM_ZB_Nsoko!CA_cost_recovered_total*HM_ZB_Nsoko!CA_rev_gas_perc)-(HM_ZB_Nsoko!CA_excess_cost_recovery*HM_ZB_Nsoko!CA_rev_gas_perc),0)</f>
        <v>0</v>
      </c>
      <c r="AM314" s="49">
        <f ca="1">MAX(HM_ZB_Nsoko!CA_gross_rev_gas_fp-HM_ZB_Nsoko!CA_roy_gas_fp-(HM_ZB_Nsoko!CA_cost_recovered_total*HM_ZB_Nsoko!CA_rev_gas_perc)-(HM_ZB_Nsoko!CA_excess_cost_recovery*HM_ZB_Nsoko!CA_rev_gas_perc),0)</f>
        <v>0</v>
      </c>
      <c r="AN314" s="49">
        <f ca="1">MAX(HM_ZB_Nsoko!CA_gross_rev_gas_fp-HM_ZB_Nsoko!CA_roy_gas_fp-(HM_ZB_Nsoko!CA_cost_recovered_total*HM_ZB_Nsoko!CA_rev_gas_perc)-(HM_ZB_Nsoko!CA_excess_cost_recovery*HM_ZB_Nsoko!CA_rev_gas_perc),0)</f>
        <v>0</v>
      </c>
      <c r="AO314" s="49">
        <f ca="1">MAX(HM_ZB_Nsoko!CA_gross_rev_gas_fp-HM_ZB_Nsoko!CA_roy_gas_fp-(HM_ZB_Nsoko!CA_cost_recovered_total*HM_ZB_Nsoko!CA_rev_gas_perc)-(HM_ZB_Nsoko!CA_excess_cost_recovery*HM_ZB_Nsoko!CA_rev_gas_perc),0)</f>
        <v>0</v>
      </c>
      <c r="AP314" s="49">
        <f ca="1">MAX(HM_ZB_Nsoko!CA_gross_rev_gas_fp-HM_ZB_Nsoko!CA_roy_gas_fp-(HM_ZB_Nsoko!CA_cost_recovered_total*HM_ZB_Nsoko!CA_rev_gas_perc)-(HM_ZB_Nsoko!CA_excess_cost_recovery*HM_ZB_Nsoko!CA_rev_gas_perc),0)</f>
        <v>0</v>
      </c>
      <c r="AQ314" s="49">
        <f ca="1">MAX(HM_ZB_Nsoko!CA_gross_rev_gas_fp-HM_ZB_Nsoko!CA_roy_gas_fp-(HM_ZB_Nsoko!CA_cost_recovered_total*HM_ZB_Nsoko!CA_rev_gas_perc)-(HM_ZB_Nsoko!CA_excess_cost_recovery*HM_ZB_Nsoko!CA_rev_gas_perc),0)</f>
        <v>0</v>
      </c>
      <c r="AR314" s="49">
        <f ca="1">MAX(HM_ZB_Nsoko!CA_gross_rev_gas_fp-HM_ZB_Nsoko!CA_roy_gas_fp-(HM_ZB_Nsoko!CA_cost_recovered_total*HM_ZB_Nsoko!CA_rev_gas_perc)-(HM_ZB_Nsoko!CA_excess_cost_recovery*HM_ZB_Nsoko!CA_rev_gas_perc),0)</f>
        <v>0</v>
      </c>
      <c r="AS314" s="49">
        <f ca="1">MAX(HM_ZB_Nsoko!CA_gross_rev_gas_fp-HM_ZB_Nsoko!CA_roy_gas_fp-(HM_ZB_Nsoko!CA_cost_recovered_total*HM_ZB_Nsoko!CA_rev_gas_perc)-(HM_ZB_Nsoko!CA_excess_cost_recovery*HM_ZB_Nsoko!CA_rev_gas_perc),0)</f>
        <v>0</v>
      </c>
      <c r="AT314" s="49">
        <f ca="1">MAX(HM_ZB_Nsoko!CA_gross_rev_gas_fp-HM_ZB_Nsoko!CA_roy_gas_fp-(HM_ZB_Nsoko!CA_cost_recovered_total*HM_ZB_Nsoko!CA_rev_gas_perc)-(HM_ZB_Nsoko!CA_excess_cost_recovery*HM_ZB_Nsoko!CA_rev_gas_perc),0)</f>
        <v>0</v>
      </c>
      <c r="AU314" s="49">
        <f ca="1">MAX(HM_ZB_Nsoko!CA_gross_rev_gas_fp-HM_ZB_Nsoko!CA_roy_gas_fp-(HM_ZB_Nsoko!CA_cost_recovered_total*HM_ZB_Nsoko!CA_rev_gas_perc)-(HM_ZB_Nsoko!CA_excess_cost_recovery*HM_ZB_Nsoko!CA_rev_gas_perc),0)</f>
        <v>0</v>
      </c>
      <c r="AV314" s="49">
        <f ca="1">MAX(HM_ZB_Nsoko!CA_gross_rev_gas_fp-HM_ZB_Nsoko!CA_roy_gas_fp-(HM_ZB_Nsoko!CA_cost_recovered_total*HM_ZB_Nsoko!CA_rev_gas_perc)-(HM_ZB_Nsoko!CA_excess_cost_recovery*HM_ZB_Nsoko!CA_rev_gas_perc),0)</f>
        <v>0</v>
      </c>
      <c r="AW314" s="49">
        <f ca="1">MAX(HM_ZB_Nsoko!CA_gross_rev_gas_fp-HM_ZB_Nsoko!CA_roy_gas_fp-(HM_ZB_Nsoko!CA_cost_recovered_total*HM_ZB_Nsoko!CA_rev_gas_perc)-(HM_ZB_Nsoko!CA_excess_cost_recovery*HM_ZB_Nsoko!CA_rev_gas_perc),0)</f>
        <v>0</v>
      </c>
      <c r="AX314" s="49">
        <f ca="1">MAX(HM_ZB_Nsoko!CA_gross_rev_gas_fp-HM_ZB_Nsoko!CA_roy_gas_fp-(HM_ZB_Nsoko!CA_cost_recovered_total*HM_ZB_Nsoko!CA_rev_gas_perc)-(HM_ZB_Nsoko!CA_excess_cost_recovery*HM_ZB_Nsoko!CA_rev_gas_perc),0)</f>
        <v>0</v>
      </c>
      <c r="AY314" s="49">
        <f ca="1">MAX(HM_ZB_Nsoko!CA_gross_rev_gas_fp-HM_ZB_Nsoko!CA_roy_gas_fp-(HM_ZB_Nsoko!CA_cost_recovered_total*HM_ZB_Nsoko!CA_rev_gas_perc)-(HM_ZB_Nsoko!CA_excess_cost_recovery*HM_ZB_Nsoko!CA_rev_gas_perc),0)</f>
        <v>0</v>
      </c>
      <c r="AZ314" s="49">
        <f ca="1">MAX(HM_ZB_Nsoko!CA_gross_rev_gas_fp-HM_ZB_Nsoko!CA_roy_gas_fp-(HM_ZB_Nsoko!CA_cost_recovered_total*HM_ZB_Nsoko!CA_rev_gas_perc)-(HM_ZB_Nsoko!CA_excess_cost_recovery*HM_ZB_Nsoko!CA_rev_gas_perc),0)</f>
        <v>0</v>
      </c>
      <c r="BA314" s="49">
        <f ca="1">MAX(HM_ZB_Nsoko!CA_gross_rev_gas_fp-HM_ZB_Nsoko!CA_roy_gas_fp-(HM_ZB_Nsoko!CA_cost_recovered_total*HM_ZB_Nsoko!CA_rev_gas_perc)-(HM_ZB_Nsoko!CA_excess_cost_recovery*HM_ZB_Nsoko!CA_rev_gas_perc),0)</f>
        <v>0</v>
      </c>
      <c r="BB314" s="49">
        <f ca="1">MAX(HM_ZB_Nsoko!CA_gross_rev_gas_fp-HM_ZB_Nsoko!CA_roy_gas_fp-(HM_ZB_Nsoko!CA_cost_recovered_total*HM_ZB_Nsoko!CA_rev_gas_perc)-(HM_ZB_Nsoko!CA_excess_cost_recovery*HM_ZB_Nsoko!CA_rev_gas_perc),0)</f>
        <v>0</v>
      </c>
      <c r="BC314" s="49">
        <f ca="1">MAX(HM_ZB_Nsoko!CA_gross_rev_gas_fp-HM_ZB_Nsoko!CA_roy_gas_fp-(HM_ZB_Nsoko!CA_cost_recovered_total*HM_ZB_Nsoko!CA_rev_gas_perc)-(HM_ZB_Nsoko!CA_excess_cost_recovery*HM_ZB_Nsoko!CA_rev_gas_perc),0)</f>
        <v>0</v>
      </c>
      <c r="BD314" s="49">
        <f ca="1">MAX(HM_ZB_Nsoko!CA_gross_rev_gas_fp-HM_ZB_Nsoko!CA_roy_gas_fp-(HM_ZB_Nsoko!CA_cost_recovered_total*HM_ZB_Nsoko!CA_rev_gas_perc)-(HM_ZB_Nsoko!CA_excess_cost_recovery*HM_ZB_Nsoko!CA_rev_gas_perc),0)</f>
        <v>0</v>
      </c>
      <c r="BE314" s="49">
        <f ca="1">MAX(HM_ZB_Nsoko!CA_gross_rev_gas_fp-HM_ZB_Nsoko!CA_roy_gas_fp-(HM_ZB_Nsoko!CA_cost_recovered_total*HM_ZB_Nsoko!CA_rev_gas_perc)-(HM_ZB_Nsoko!CA_excess_cost_recovery*HM_ZB_Nsoko!CA_rev_gas_perc),0)</f>
        <v>0</v>
      </c>
      <c r="BF314" s="49">
        <f ca="1">MAX(HM_ZB_Nsoko!CA_gross_rev_gas_fp-HM_ZB_Nsoko!CA_roy_gas_fp-(HM_ZB_Nsoko!CA_cost_recovered_total*HM_ZB_Nsoko!CA_rev_gas_perc)-(HM_ZB_Nsoko!CA_excess_cost_recovery*HM_ZB_Nsoko!CA_rev_gas_perc),0)</f>
        <v>0</v>
      </c>
      <c r="BG314" s="49">
        <f ca="1">MAX(HM_ZB_Nsoko!CA_gross_rev_gas_fp-HM_ZB_Nsoko!CA_roy_gas_fp-(HM_ZB_Nsoko!CA_cost_recovered_total*HM_ZB_Nsoko!CA_rev_gas_perc)-(HM_ZB_Nsoko!CA_excess_cost_recovery*HM_ZB_Nsoko!CA_rev_gas_perc),0)</f>
        <v>0</v>
      </c>
      <c r="BH314" s="49">
        <f ca="1">MAX(HM_ZB_Nsoko!CA_gross_rev_gas_fp-HM_ZB_Nsoko!CA_roy_gas_fp-(HM_ZB_Nsoko!CA_cost_recovered_total*HM_ZB_Nsoko!CA_rev_gas_perc)-(HM_ZB_Nsoko!CA_excess_cost_recovery*HM_ZB_Nsoko!CA_rev_gas_perc),0)</f>
        <v>0</v>
      </c>
      <c r="BI314" s="49">
        <f ca="1">MAX(HM_ZB_Nsoko!CA_gross_rev_gas_fp-HM_ZB_Nsoko!CA_roy_gas_fp-(HM_ZB_Nsoko!CA_cost_recovered_total*HM_ZB_Nsoko!CA_rev_gas_perc)-(HM_ZB_Nsoko!CA_excess_cost_recovery*HM_ZB_Nsoko!CA_rev_gas_perc),0)</f>
        <v>0</v>
      </c>
      <c r="BJ314" s="49">
        <f ca="1">MAX(HM_ZB_Nsoko!CA_gross_rev_gas_fp-HM_ZB_Nsoko!CA_roy_gas_fp-(HM_ZB_Nsoko!CA_cost_recovered_total*HM_ZB_Nsoko!CA_rev_gas_perc)-(HM_ZB_Nsoko!CA_excess_cost_recovery*HM_ZB_Nsoko!CA_rev_gas_perc),0)</f>
        <v>0</v>
      </c>
      <c r="BK314" s="49">
        <f ca="1">MAX(HM_ZB_Nsoko!CA_gross_rev_gas_fp-HM_ZB_Nsoko!CA_roy_gas_fp-(HM_ZB_Nsoko!CA_cost_recovered_total*HM_ZB_Nsoko!CA_rev_gas_perc)-(HM_ZB_Nsoko!CA_excess_cost_recovery*HM_ZB_Nsoko!CA_rev_gas_perc),0)</f>
        <v>0</v>
      </c>
      <c r="BL314" s="49">
        <f ca="1">MAX(HM_ZB_Nsoko!CA_gross_rev_gas_fp-HM_ZB_Nsoko!CA_roy_gas_fp-(HM_ZB_Nsoko!CA_cost_recovered_total*HM_ZB_Nsoko!CA_rev_gas_perc)-(HM_ZB_Nsoko!CA_excess_cost_recovery*HM_ZB_Nsoko!CA_rev_gas_perc),0)</f>
        <v>0</v>
      </c>
      <c r="BM314" s="49">
        <f ca="1">MAX(HM_ZB_Nsoko!CA_gross_rev_gas_fp-HM_ZB_Nsoko!CA_roy_gas_fp-(HM_ZB_Nsoko!CA_cost_recovered_total*HM_ZB_Nsoko!CA_rev_gas_perc)-(HM_ZB_Nsoko!CA_excess_cost_recovery*HM_ZB_Nsoko!CA_rev_gas_perc),0)</f>
        <v>0</v>
      </c>
      <c r="BN314" s="49">
        <f ca="1">MAX(HM_ZB_Nsoko!CA_gross_rev_gas_fp-HM_ZB_Nsoko!CA_roy_gas_fp-(HM_ZB_Nsoko!CA_cost_recovered_total*HM_ZB_Nsoko!CA_rev_gas_perc)-(HM_ZB_Nsoko!CA_excess_cost_recovery*HM_ZB_Nsoko!CA_rev_gas_perc),0)</f>
        <v>0</v>
      </c>
      <c r="BO314" s="49">
        <f ca="1">MAX(HM_ZB_Nsoko!CA_gross_rev_gas_fp-HM_ZB_Nsoko!CA_roy_gas_fp-(HM_ZB_Nsoko!CA_cost_recovered_total*HM_ZB_Nsoko!CA_rev_gas_perc)-(HM_ZB_Nsoko!CA_excess_cost_recovery*HM_ZB_Nsoko!CA_rev_gas_perc),0)</f>
        <v>0</v>
      </c>
      <c r="BP314" s="49">
        <f ca="1">MAX(HM_ZB_Nsoko!CA_gross_rev_gas_fp-HM_ZB_Nsoko!CA_roy_gas_fp-(HM_ZB_Nsoko!CA_cost_recovered_total*HM_ZB_Nsoko!CA_rev_gas_perc)-(HM_ZB_Nsoko!CA_excess_cost_recovery*HM_ZB_Nsoko!CA_rev_gas_perc),0)</f>
        <v>0</v>
      </c>
      <c r="BQ314" s="49">
        <f ca="1">MAX(HM_ZB_Nsoko!CA_gross_rev_gas_fp-HM_ZB_Nsoko!CA_roy_gas_fp-(HM_ZB_Nsoko!CA_cost_recovered_total*HM_ZB_Nsoko!CA_rev_gas_perc)-(HM_ZB_Nsoko!CA_excess_cost_recovery*HM_ZB_Nsoko!CA_rev_gas_perc),0)</f>
        <v>0</v>
      </c>
      <c r="BR314" s="49">
        <f ca="1">MAX(HM_ZB_Nsoko!CA_gross_rev_gas_fp-HM_ZB_Nsoko!CA_roy_gas_fp-(HM_ZB_Nsoko!CA_cost_recovered_total*HM_ZB_Nsoko!CA_rev_gas_perc)-(HM_ZB_Nsoko!CA_excess_cost_recovery*HM_ZB_Nsoko!CA_rev_gas_perc),0)</f>
        <v>0</v>
      </c>
      <c r="BS314" s="49">
        <f ca="1">MAX(HM_ZB_Nsoko!CA_gross_rev_gas_fp-HM_ZB_Nsoko!CA_roy_gas_fp-(HM_ZB_Nsoko!CA_cost_recovered_total*HM_ZB_Nsoko!CA_rev_gas_perc)-(HM_ZB_Nsoko!CA_excess_cost_recovery*HM_ZB_Nsoko!CA_rev_gas_perc),0)</f>
        <v>0</v>
      </c>
    </row>
    <row r="315" spans="3:71" outlineLevel="1" x14ac:dyDescent="0.2">
      <c r="D315" s="50" t="str">
        <f>HM_ZA_Nkossa!D304</f>
        <v>Partage du profit %</v>
      </c>
      <c r="J315" s="26"/>
      <c r="L315" s="53">
        <f ca="1">(INDEX(HM_ZB_Nsoko!FA_PS_cont_rate,MATCH(HM_ZB_Nsoko!CA_cum_gross_prod_gas,HM_ZB_Nsoko!FA_PS_cumprod_gas,1))*HM_ZB_Nsoko!CA_op_trig)*(HM_ZB_Nsoko!CA_PSC_switch_trig=0)+
(PS_cont_rate_nsoko2019*HM_ZB_Nsoko!CA_op_trig)*(HM_ZB_Nsoko!CA_PSC_switch_trig=1)</f>
        <v>0.66999999999999993</v>
      </c>
      <c r="M315" s="53">
        <f ca="1">(INDEX(HM_ZB_Nsoko!FA_PS_cont_rate,MATCH(HM_ZB_Nsoko!CA_cum_gross_prod_gas,HM_ZB_Nsoko!FA_PS_cumprod_gas,1))*HM_ZB_Nsoko!CA_op_trig)*(HM_ZB_Nsoko!CA_PSC_switch_trig=0)+
(PS_cont_rate_nsoko2019*HM_ZB_Nsoko!CA_op_trig)*(HM_ZB_Nsoko!CA_PSC_switch_trig=1)</f>
        <v>0.66999999999999993</v>
      </c>
      <c r="N315" s="53">
        <f ca="1">(INDEX(HM_ZB_Nsoko!FA_PS_cont_rate,MATCH(HM_ZB_Nsoko!CA_cum_gross_prod_gas,HM_ZB_Nsoko!FA_PS_cumprod_gas,1))*HM_ZB_Nsoko!CA_op_trig)*(HM_ZB_Nsoko!CA_PSC_switch_trig=0)+
(PS_cont_rate_nsoko2019*HM_ZB_Nsoko!CA_op_trig)*(HM_ZB_Nsoko!CA_PSC_switch_trig=1)</f>
        <v>0.66999999999999993</v>
      </c>
      <c r="O315" s="53">
        <f ca="1">(INDEX(HM_ZB_Nsoko!FA_PS_cont_rate,MATCH(HM_ZB_Nsoko!CA_cum_gross_prod_gas,HM_ZB_Nsoko!FA_PS_cumprod_gas,1))*HM_ZB_Nsoko!CA_op_trig)*(HM_ZB_Nsoko!CA_PSC_switch_trig=0)+
(PS_cont_rate_nsoko2019*HM_ZB_Nsoko!CA_op_trig)*(HM_ZB_Nsoko!CA_PSC_switch_trig=1)</f>
        <v>0.66999999999999993</v>
      </c>
      <c r="P315" s="53">
        <f ca="1">(INDEX(HM_ZB_Nsoko!FA_PS_cont_rate,MATCH(HM_ZB_Nsoko!CA_cum_gross_prod_gas,HM_ZB_Nsoko!FA_PS_cumprod_gas,1))*HM_ZB_Nsoko!CA_op_trig)*(HM_ZB_Nsoko!CA_PSC_switch_trig=0)+
(PS_cont_rate_nsoko2019*HM_ZB_Nsoko!CA_op_trig)*(HM_ZB_Nsoko!CA_PSC_switch_trig=1)</f>
        <v>0.66999999999999993</v>
      </c>
      <c r="Q315" s="53">
        <f ca="1">(INDEX(HM_ZB_Nsoko!FA_PS_cont_rate,MATCH(HM_ZB_Nsoko!CA_cum_gross_prod_gas,HM_ZB_Nsoko!FA_PS_cumprod_gas,1))*HM_ZB_Nsoko!CA_op_trig)*(HM_ZB_Nsoko!CA_PSC_switch_trig=0)+
(PS_cont_rate_nsoko2019*HM_ZB_Nsoko!CA_op_trig)*(HM_ZB_Nsoko!CA_PSC_switch_trig=1)</f>
        <v>0.66999999999999993</v>
      </c>
      <c r="R315" s="53">
        <f ca="1">(INDEX(HM_ZB_Nsoko!FA_PS_cont_rate,MATCH(HM_ZB_Nsoko!CA_cum_gross_prod_gas,HM_ZB_Nsoko!FA_PS_cumprod_gas,1))*HM_ZB_Nsoko!CA_op_trig)*(HM_ZB_Nsoko!CA_PSC_switch_trig=0)+
(PS_cont_rate_nsoko2019*HM_ZB_Nsoko!CA_op_trig)*(HM_ZB_Nsoko!CA_PSC_switch_trig=1)</f>
        <v>0.5</v>
      </c>
      <c r="S315" s="53">
        <f ca="1">(INDEX(HM_ZB_Nsoko!FA_PS_cont_rate,MATCH(HM_ZB_Nsoko!CA_cum_gross_prod_gas,HM_ZB_Nsoko!FA_PS_cumprod_gas,1))*HM_ZB_Nsoko!CA_op_trig)*(HM_ZB_Nsoko!CA_PSC_switch_trig=0)+
(PS_cont_rate_nsoko2019*HM_ZB_Nsoko!CA_op_trig)*(HM_ZB_Nsoko!CA_PSC_switch_trig=1)</f>
        <v>0.5</v>
      </c>
      <c r="T315" s="53">
        <f ca="1">(INDEX(HM_ZB_Nsoko!FA_PS_cont_rate,MATCH(HM_ZB_Nsoko!CA_cum_gross_prod_gas,HM_ZB_Nsoko!FA_PS_cumprod_gas,1))*HM_ZB_Nsoko!CA_op_trig)*(HM_ZB_Nsoko!CA_PSC_switch_trig=0)+
(PS_cont_rate_nsoko2019*HM_ZB_Nsoko!CA_op_trig)*(HM_ZB_Nsoko!CA_PSC_switch_trig=1)</f>
        <v>0.5</v>
      </c>
      <c r="U315" s="53">
        <f ca="1">(INDEX(HM_ZB_Nsoko!FA_PS_cont_rate,MATCH(HM_ZB_Nsoko!CA_cum_gross_prod_gas,HM_ZB_Nsoko!FA_PS_cumprod_gas,1))*HM_ZB_Nsoko!CA_op_trig)*(HM_ZB_Nsoko!CA_PSC_switch_trig=0)+
(PS_cont_rate_nsoko2019*HM_ZB_Nsoko!CA_op_trig)*(HM_ZB_Nsoko!CA_PSC_switch_trig=1)</f>
        <v>0.5</v>
      </c>
      <c r="V315" s="53">
        <f ca="1">(INDEX(HM_ZB_Nsoko!FA_PS_cont_rate,MATCH(HM_ZB_Nsoko!CA_cum_gross_prod_gas,HM_ZB_Nsoko!FA_PS_cumprod_gas,1))*HM_ZB_Nsoko!CA_op_trig)*(HM_ZB_Nsoko!CA_PSC_switch_trig=0)+
(PS_cont_rate_nsoko2019*HM_ZB_Nsoko!CA_op_trig)*(HM_ZB_Nsoko!CA_PSC_switch_trig=1)</f>
        <v>0.5</v>
      </c>
      <c r="W315" s="53">
        <f ca="1">(INDEX(HM_ZB_Nsoko!FA_PS_cont_rate,MATCH(HM_ZB_Nsoko!CA_cum_gross_prod_gas,HM_ZB_Nsoko!FA_PS_cumprod_gas,1))*HM_ZB_Nsoko!CA_op_trig)*(HM_ZB_Nsoko!CA_PSC_switch_trig=0)+
(PS_cont_rate_nsoko2019*HM_ZB_Nsoko!CA_op_trig)*(HM_ZB_Nsoko!CA_PSC_switch_trig=1)</f>
        <v>0.5</v>
      </c>
      <c r="X315" s="53">
        <f ca="1">(INDEX(HM_ZB_Nsoko!FA_PS_cont_rate,MATCH(HM_ZB_Nsoko!CA_cum_gross_prod_gas,HM_ZB_Nsoko!FA_PS_cumprod_gas,1))*HM_ZB_Nsoko!CA_op_trig)*(HM_ZB_Nsoko!CA_PSC_switch_trig=0)+
(PS_cont_rate_nsoko2019*HM_ZB_Nsoko!CA_op_trig)*(HM_ZB_Nsoko!CA_PSC_switch_trig=1)</f>
        <v>0.5</v>
      </c>
      <c r="Y315" s="53">
        <f ca="1">(INDEX(HM_ZB_Nsoko!FA_PS_cont_rate,MATCH(HM_ZB_Nsoko!CA_cum_gross_prod_gas,HM_ZB_Nsoko!FA_PS_cumprod_gas,1))*HM_ZB_Nsoko!CA_op_trig)*(HM_ZB_Nsoko!CA_PSC_switch_trig=0)+
(PS_cont_rate_nsoko2019*HM_ZB_Nsoko!CA_op_trig)*(HM_ZB_Nsoko!CA_PSC_switch_trig=1)</f>
        <v>0</v>
      </c>
      <c r="Z315" s="53">
        <f ca="1">(INDEX(HM_ZB_Nsoko!FA_PS_cont_rate,MATCH(HM_ZB_Nsoko!CA_cum_gross_prod_gas,HM_ZB_Nsoko!FA_PS_cumprod_gas,1))*HM_ZB_Nsoko!CA_op_trig)*(HM_ZB_Nsoko!CA_PSC_switch_trig=0)+
(PS_cont_rate_nsoko2019*HM_ZB_Nsoko!CA_op_trig)*(HM_ZB_Nsoko!CA_PSC_switch_trig=1)</f>
        <v>0</v>
      </c>
      <c r="AA315" s="53">
        <f ca="1">(INDEX(HM_ZB_Nsoko!FA_PS_cont_rate,MATCH(HM_ZB_Nsoko!CA_cum_gross_prod_gas,HM_ZB_Nsoko!FA_PS_cumprod_gas,1))*HM_ZB_Nsoko!CA_op_trig)*(HM_ZB_Nsoko!CA_PSC_switch_trig=0)+
(PS_cont_rate_nsoko2019*HM_ZB_Nsoko!CA_op_trig)*(HM_ZB_Nsoko!CA_PSC_switch_trig=1)</f>
        <v>0</v>
      </c>
      <c r="AB315" s="53">
        <f ca="1">(INDEX(HM_ZB_Nsoko!FA_PS_cont_rate,MATCH(HM_ZB_Nsoko!CA_cum_gross_prod_gas,HM_ZB_Nsoko!FA_PS_cumprod_gas,1))*HM_ZB_Nsoko!CA_op_trig)*(HM_ZB_Nsoko!CA_PSC_switch_trig=0)+
(PS_cont_rate_nsoko2019*HM_ZB_Nsoko!CA_op_trig)*(HM_ZB_Nsoko!CA_PSC_switch_trig=1)</f>
        <v>0</v>
      </c>
      <c r="AC315" s="53">
        <f ca="1">(INDEX(HM_ZB_Nsoko!FA_PS_cont_rate,MATCH(HM_ZB_Nsoko!CA_cum_gross_prod_gas,HM_ZB_Nsoko!FA_PS_cumprod_gas,1))*HM_ZB_Nsoko!CA_op_trig)*(HM_ZB_Nsoko!CA_PSC_switch_trig=0)+
(PS_cont_rate_nsoko2019*HM_ZB_Nsoko!CA_op_trig)*(HM_ZB_Nsoko!CA_PSC_switch_trig=1)</f>
        <v>0</v>
      </c>
      <c r="AD315" s="53">
        <f ca="1">(INDEX(HM_ZB_Nsoko!FA_PS_cont_rate,MATCH(HM_ZB_Nsoko!CA_cum_gross_prod_gas,HM_ZB_Nsoko!FA_PS_cumprod_gas,1))*HM_ZB_Nsoko!CA_op_trig)*(HM_ZB_Nsoko!CA_PSC_switch_trig=0)+
(PS_cont_rate_nsoko2019*HM_ZB_Nsoko!CA_op_trig)*(HM_ZB_Nsoko!CA_PSC_switch_trig=1)</f>
        <v>0</v>
      </c>
      <c r="AE315" s="53">
        <f ca="1">(INDEX(HM_ZB_Nsoko!FA_PS_cont_rate,MATCH(HM_ZB_Nsoko!CA_cum_gross_prod_gas,HM_ZB_Nsoko!FA_PS_cumprod_gas,1))*HM_ZB_Nsoko!CA_op_trig)*(HM_ZB_Nsoko!CA_PSC_switch_trig=0)+
(PS_cont_rate_nsoko2019*HM_ZB_Nsoko!CA_op_trig)*(HM_ZB_Nsoko!CA_PSC_switch_trig=1)</f>
        <v>0</v>
      </c>
      <c r="AF315" s="53">
        <f ca="1">(INDEX(HM_ZB_Nsoko!FA_PS_cont_rate,MATCH(HM_ZB_Nsoko!CA_cum_gross_prod_gas,HM_ZB_Nsoko!FA_PS_cumprod_gas,1))*HM_ZB_Nsoko!CA_op_trig)*(HM_ZB_Nsoko!CA_PSC_switch_trig=0)+
(PS_cont_rate_nsoko2019*HM_ZB_Nsoko!CA_op_trig)*(HM_ZB_Nsoko!CA_PSC_switch_trig=1)</f>
        <v>0</v>
      </c>
      <c r="AG315" s="53">
        <f ca="1">(INDEX(HM_ZB_Nsoko!FA_PS_cont_rate,MATCH(HM_ZB_Nsoko!CA_cum_gross_prod_gas,HM_ZB_Nsoko!FA_PS_cumprod_gas,1))*HM_ZB_Nsoko!CA_op_trig)*(HM_ZB_Nsoko!CA_PSC_switch_trig=0)+
(PS_cont_rate_nsoko2019*HM_ZB_Nsoko!CA_op_trig)*(HM_ZB_Nsoko!CA_PSC_switch_trig=1)</f>
        <v>0</v>
      </c>
      <c r="AH315" s="53">
        <f ca="1">(INDEX(HM_ZB_Nsoko!FA_PS_cont_rate,MATCH(HM_ZB_Nsoko!CA_cum_gross_prod_gas,HM_ZB_Nsoko!FA_PS_cumprod_gas,1))*HM_ZB_Nsoko!CA_op_trig)*(HM_ZB_Nsoko!CA_PSC_switch_trig=0)+
(PS_cont_rate_nsoko2019*HM_ZB_Nsoko!CA_op_trig)*(HM_ZB_Nsoko!CA_PSC_switch_trig=1)</f>
        <v>0</v>
      </c>
      <c r="AI315" s="53">
        <f ca="1">(INDEX(HM_ZB_Nsoko!FA_PS_cont_rate,MATCH(HM_ZB_Nsoko!CA_cum_gross_prod_gas,HM_ZB_Nsoko!FA_PS_cumprod_gas,1))*HM_ZB_Nsoko!CA_op_trig)*(HM_ZB_Nsoko!CA_PSC_switch_trig=0)+
(PS_cont_rate_nsoko2019*HM_ZB_Nsoko!CA_op_trig)*(HM_ZB_Nsoko!CA_PSC_switch_trig=1)</f>
        <v>0</v>
      </c>
      <c r="AJ315" s="53">
        <f ca="1">(INDEX(HM_ZB_Nsoko!FA_PS_cont_rate,MATCH(HM_ZB_Nsoko!CA_cum_gross_prod_gas,HM_ZB_Nsoko!FA_PS_cumprod_gas,1))*HM_ZB_Nsoko!CA_op_trig)*(HM_ZB_Nsoko!CA_PSC_switch_trig=0)+
(PS_cont_rate_nsoko2019*HM_ZB_Nsoko!CA_op_trig)*(HM_ZB_Nsoko!CA_PSC_switch_trig=1)</f>
        <v>0</v>
      </c>
      <c r="AK315" s="53">
        <f ca="1">(INDEX(HM_ZB_Nsoko!FA_PS_cont_rate,MATCH(HM_ZB_Nsoko!CA_cum_gross_prod_gas,HM_ZB_Nsoko!FA_PS_cumprod_gas,1))*HM_ZB_Nsoko!CA_op_trig)*(HM_ZB_Nsoko!CA_PSC_switch_trig=0)+
(PS_cont_rate_nsoko2019*HM_ZB_Nsoko!CA_op_trig)*(HM_ZB_Nsoko!CA_PSC_switch_trig=1)</f>
        <v>0</v>
      </c>
      <c r="AL315" s="53">
        <f ca="1">(INDEX(HM_ZB_Nsoko!FA_PS_cont_rate,MATCH(HM_ZB_Nsoko!CA_cum_gross_prod_gas,HM_ZB_Nsoko!FA_PS_cumprod_gas,1))*HM_ZB_Nsoko!CA_op_trig)*(HM_ZB_Nsoko!CA_PSC_switch_trig=0)+
(PS_cont_rate_nsoko2019*HM_ZB_Nsoko!CA_op_trig)*(HM_ZB_Nsoko!CA_PSC_switch_trig=1)</f>
        <v>0</v>
      </c>
      <c r="AM315" s="53">
        <f ca="1">(INDEX(HM_ZB_Nsoko!FA_PS_cont_rate,MATCH(HM_ZB_Nsoko!CA_cum_gross_prod_gas,HM_ZB_Nsoko!FA_PS_cumprod_gas,1))*HM_ZB_Nsoko!CA_op_trig)*(HM_ZB_Nsoko!CA_PSC_switch_trig=0)+
(PS_cont_rate_nsoko2019*HM_ZB_Nsoko!CA_op_trig)*(HM_ZB_Nsoko!CA_PSC_switch_trig=1)</f>
        <v>0</v>
      </c>
      <c r="AN315" s="53">
        <f ca="1">(INDEX(HM_ZB_Nsoko!FA_PS_cont_rate,MATCH(HM_ZB_Nsoko!CA_cum_gross_prod_gas,HM_ZB_Nsoko!FA_PS_cumprod_gas,1))*HM_ZB_Nsoko!CA_op_trig)*(HM_ZB_Nsoko!CA_PSC_switch_trig=0)+
(PS_cont_rate_nsoko2019*HM_ZB_Nsoko!CA_op_trig)*(HM_ZB_Nsoko!CA_PSC_switch_trig=1)</f>
        <v>0</v>
      </c>
      <c r="AO315" s="53">
        <f ca="1">(INDEX(HM_ZB_Nsoko!FA_PS_cont_rate,MATCH(HM_ZB_Nsoko!CA_cum_gross_prod_gas,HM_ZB_Nsoko!FA_PS_cumprod_gas,1))*HM_ZB_Nsoko!CA_op_trig)*(HM_ZB_Nsoko!CA_PSC_switch_trig=0)+
(PS_cont_rate_nsoko2019*HM_ZB_Nsoko!CA_op_trig)*(HM_ZB_Nsoko!CA_PSC_switch_trig=1)</f>
        <v>0</v>
      </c>
      <c r="AP315" s="53">
        <f ca="1">(INDEX(HM_ZB_Nsoko!FA_PS_cont_rate,MATCH(HM_ZB_Nsoko!CA_cum_gross_prod_gas,HM_ZB_Nsoko!FA_PS_cumprod_gas,1))*HM_ZB_Nsoko!CA_op_trig)*(HM_ZB_Nsoko!CA_PSC_switch_trig=0)+
(PS_cont_rate_nsoko2019*HM_ZB_Nsoko!CA_op_trig)*(HM_ZB_Nsoko!CA_PSC_switch_trig=1)</f>
        <v>0</v>
      </c>
      <c r="AQ315" s="53">
        <f ca="1">(INDEX(HM_ZB_Nsoko!FA_PS_cont_rate,MATCH(HM_ZB_Nsoko!CA_cum_gross_prod_gas,HM_ZB_Nsoko!FA_PS_cumprod_gas,1))*HM_ZB_Nsoko!CA_op_trig)*(HM_ZB_Nsoko!CA_PSC_switch_trig=0)+
(PS_cont_rate_nsoko2019*HM_ZB_Nsoko!CA_op_trig)*(HM_ZB_Nsoko!CA_PSC_switch_trig=1)</f>
        <v>0</v>
      </c>
      <c r="AR315" s="53">
        <f ca="1">(INDEX(HM_ZB_Nsoko!FA_PS_cont_rate,MATCH(HM_ZB_Nsoko!CA_cum_gross_prod_gas,HM_ZB_Nsoko!FA_PS_cumprod_gas,1))*HM_ZB_Nsoko!CA_op_trig)*(HM_ZB_Nsoko!CA_PSC_switch_trig=0)+
(PS_cont_rate_nsoko2019*HM_ZB_Nsoko!CA_op_trig)*(HM_ZB_Nsoko!CA_PSC_switch_trig=1)</f>
        <v>0</v>
      </c>
      <c r="AS315" s="53">
        <f ca="1">(INDEX(HM_ZB_Nsoko!FA_PS_cont_rate,MATCH(HM_ZB_Nsoko!CA_cum_gross_prod_gas,HM_ZB_Nsoko!FA_PS_cumprod_gas,1))*HM_ZB_Nsoko!CA_op_trig)*(HM_ZB_Nsoko!CA_PSC_switch_trig=0)+
(PS_cont_rate_nsoko2019*HM_ZB_Nsoko!CA_op_trig)*(HM_ZB_Nsoko!CA_PSC_switch_trig=1)</f>
        <v>0</v>
      </c>
      <c r="AT315" s="53">
        <f ca="1">(INDEX(HM_ZB_Nsoko!FA_PS_cont_rate,MATCH(HM_ZB_Nsoko!CA_cum_gross_prod_gas,HM_ZB_Nsoko!FA_PS_cumprod_gas,1))*HM_ZB_Nsoko!CA_op_trig)*(HM_ZB_Nsoko!CA_PSC_switch_trig=0)+
(PS_cont_rate_nsoko2019*HM_ZB_Nsoko!CA_op_trig)*(HM_ZB_Nsoko!CA_PSC_switch_trig=1)</f>
        <v>0</v>
      </c>
      <c r="AU315" s="53">
        <f ca="1">(INDEX(HM_ZB_Nsoko!FA_PS_cont_rate,MATCH(HM_ZB_Nsoko!CA_cum_gross_prod_gas,HM_ZB_Nsoko!FA_PS_cumprod_gas,1))*HM_ZB_Nsoko!CA_op_trig)*(HM_ZB_Nsoko!CA_PSC_switch_trig=0)+
(PS_cont_rate_nsoko2019*HM_ZB_Nsoko!CA_op_trig)*(HM_ZB_Nsoko!CA_PSC_switch_trig=1)</f>
        <v>0</v>
      </c>
      <c r="AV315" s="53">
        <f ca="1">(INDEX(HM_ZB_Nsoko!FA_PS_cont_rate,MATCH(HM_ZB_Nsoko!CA_cum_gross_prod_gas,HM_ZB_Nsoko!FA_PS_cumprod_gas,1))*HM_ZB_Nsoko!CA_op_trig)*(HM_ZB_Nsoko!CA_PSC_switch_trig=0)+
(PS_cont_rate_nsoko2019*HM_ZB_Nsoko!CA_op_trig)*(HM_ZB_Nsoko!CA_PSC_switch_trig=1)</f>
        <v>0</v>
      </c>
      <c r="AW315" s="53">
        <f ca="1">(INDEX(HM_ZB_Nsoko!FA_PS_cont_rate,MATCH(HM_ZB_Nsoko!CA_cum_gross_prod_gas,HM_ZB_Nsoko!FA_PS_cumprod_gas,1))*HM_ZB_Nsoko!CA_op_trig)*(HM_ZB_Nsoko!CA_PSC_switch_trig=0)+
(PS_cont_rate_nsoko2019*HM_ZB_Nsoko!CA_op_trig)*(HM_ZB_Nsoko!CA_PSC_switch_trig=1)</f>
        <v>0</v>
      </c>
      <c r="AX315" s="53">
        <f ca="1">(INDEX(HM_ZB_Nsoko!FA_PS_cont_rate,MATCH(HM_ZB_Nsoko!CA_cum_gross_prod_gas,HM_ZB_Nsoko!FA_PS_cumprod_gas,1))*HM_ZB_Nsoko!CA_op_trig)*(HM_ZB_Nsoko!CA_PSC_switch_trig=0)+
(PS_cont_rate_nsoko2019*HM_ZB_Nsoko!CA_op_trig)*(HM_ZB_Nsoko!CA_PSC_switch_trig=1)</f>
        <v>0</v>
      </c>
      <c r="AY315" s="53">
        <f ca="1">(INDEX(HM_ZB_Nsoko!FA_PS_cont_rate,MATCH(HM_ZB_Nsoko!CA_cum_gross_prod_gas,HM_ZB_Nsoko!FA_PS_cumprod_gas,1))*HM_ZB_Nsoko!CA_op_trig)*(HM_ZB_Nsoko!CA_PSC_switch_trig=0)+
(PS_cont_rate_nsoko2019*HM_ZB_Nsoko!CA_op_trig)*(HM_ZB_Nsoko!CA_PSC_switch_trig=1)</f>
        <v>0</v>
      </c>
      <c r="AZ315" s="53">
        <f ca="1">(INDEX(HM_ZB_Nsoko!FA_PS_cont_rate,MATCH(HM_ZB_Nsoko!CA_cum_gross_prod_gas,HM_ZB_Nsoko!FA_PS_cumprod_gas,1))*HM_ZB_Nsoko!CA_op_trig)*(HM_ZB_Nsoko!CA_PSC_switch_trig=0)+
(PS_cont_rate_nsoko2019*HM_ZB_Nsoko!CA_op_trig)*(HM_ZB_Nsoko!CA_PSC_switch_trig=1)</f>
        <v>0</v>
      </c>
      <c r="BA315" s="53">
        <f ca="1">(INDEX(HM_ZB_Nsoko!FA_PS_cont_rate,MATCH(HM_ZB_Nsoko!CA_cum_gross_prod_gas,HM_ZB_Nsoko!FA_PS_cumprod_gas,1))*HM_ZB_Nsoko!CA_op_trig)*(HM_ZB_Nsoko!CA_PSC_switch_trig=0)+
(PS_cont_rate_nsoko2019*HM_ZB_Nsoko!CA_op_trig)*(HM_ZB_Nsoko!CA_PSC_switch_trig=1)</f>
        <v>0</v>
      </c>
      <c r="BB315" s="53">
        <f ca="1">(INDEX(HM_ZB_Nsoko!FA_PS_cont_rate,MATCH(HM_ZB_Nsoko!CA_cum_gross_prod_gas,HM_ZB_Nsoko!FA_PS_cumprod_gas,1))*HM_ZB_Nsoko!CA_op_trig)*(HM_ZB_Nsoko!CA_PSC_switch_trig=0)+
(PS_cont_rate_nsoko2019*HM_ZB_Nsoko!CA_op_trig)*(HM_ZB_Nsoko!CA_PSC_switch_trig=1)</f>
        <v>0</v>
      </c>
      <c r="BC315" s="53">
        <f ca="1">(INDEX(HM_ZB_Nsoko!FA_PS_cont_rate,MATCH(HM_ZB_Nsoko!CA_cum_gross_prod_gas,HM_ZB_Nsoko!FA_PS_cumprod_gas,1))*HM_ZB_Nsoko!CA_op_trig)*(HM_ZB_Nsoko!CA_PSC_switch_trig=0)+
(PS_cont_rate_nsoko2019*HM_ZB_Nsoko!CA_op_trig)*(HM_ZB_Nsoko!CA_PSC_switch_trig=1)</f>
        <v>0</v>
      </c>
      <c r="BD315" s="53">
        <f ca="1">(INDEX(HM_ZB_Nsoko!FA_PS_cont_rate,MATCH(HM_ZB_Nsoko!CA_cum_gross_prod_gas,HM_ZB_Nsoko!FA_PS_cumprod_gas,1))*HM_ZB_Nsoko!CA_op_trig)*(HM_ZB_Nsoko!CA_PSC_switch_trig=0)+
(PS_cont_rate_nsoko2019*HM_ZB_Nsoko!CA_op_trig)*(HM_ZB_Nsoko!CA_PSC_switch_trig=1)</f>
        <v>0</v>
      </c>
      <c r="BE315" s="53">
        <f ca="1">(INDEX(HM_ZB_Nsoko!FA_PS_cont_rate,MATCH(HM_ZB_Nsoko!CA_cum_gross_prod_gas,HM_ZB_Nsoko!FA_PS_cumprod_gas,1))*HM_ZB_Nsoko!CA_op_trig)*(HM_ZB_Nsoko!CA_PSC_switch_trig=0)+
(PS_cont_rate_nsoko2019*HM_ZB_Nsoko!CA_op_trig)*(HM_ZB_Nsoko!CA_PSC_switch_trig=1)</f>
        <v>0</v>
      </c>
      <c r="BF315" s="53">
        <f ca="1">(INDEX(HM_ZB_Nsoko!FA_PS_cont_rate,MATCH(HM_ZB_Nsoko!CA_cum_gross_prod_gas,HM_ZB_Nsoko!FA_PS_cumprod_gas,1))*HM_ZB_Nsoko!CA_op_trig)*(HM_ZB_Nsoko!CA_PSC_switch_trig=0)+
(PS_cont_rate_nsoko2019*HM_ZB_Nsoko!CA_op_trig)*(HM_ZB_Nsoko!CA_PSC_switch_trig=1)</f>
        <v>0</v>
      </c>
      <c r="BG315" s="53">
        <f ca="1">(INDEX(HM_ZB_Nsoko!FA_PS_cont_rate,MATCH(HM_ZB_Nsoko!CA_cum_gross_prod_gas,HM_ZB_Nsoko!FA_PS_cumprod_gas,1))*HM_ZB_Nsoko!CA_op_trig)*(HM_ZB_Nsoko!CA_PSC_switch_trig=0)+
(PS_cont_rate_nsoko2019*HM_ZB_Nsoko!CA_op_trig)*(HM_ZB_Nsoko!CA_PSC_switch_trig=1)</f>
        <v>0</v>
      </c>
      <c r="BH315" s="53">
        <f ca="1">(INDEX(HM_ZB_Nsoko!FA_PS_cont_rate,MATCH(HM_ZB_Nsoko!CA_cum_gross_prod_gas,HM_ZB_Nsoko!FA_PS_cumprod_gas,1))*HM_ZB_Nsoko!CA_op_trig)*(HM_ZB_Nsoko!CA_PSC_switch_trig=0)+
(PS_cont_rate_nsoko2019*HM_ZB_Nsoko!CA_op_trig)*(HM_ZB_Nsoko!CA_PSC_switch_trig=1)</f>
        <v>0</v>
      </c>
      <c r="BI315" s="53">
        <f ca="1">(INDEX(HM_ZB_Nsoko!FA_PS_cont_rate,MATCH(HM_ZB_Nsoko!CA_cum_gross_prod_gas,HM_ZB_Nsoko!FA_PS_cumprod_gas,1))*HM_ZB_Nsoko!CA_op_trig)*(HM_ZB_Nsoko!CA_PSC_switch_trig=0)+
(PS_cont_rate_nsoko2019*HM_ZB_Nsoko!CA_op_trig)*(HM_ZB_Nsoko!CA_PSC_switch_trig=1)</f>
        <v>0</v>
      </c>
      <c r="BJ315" s="53">
        <f ca="1">(INDEX(HM_ZB_Nsoko!FA_PS_cont_rate,MATCH(HM_ZB_Nsoko!CA_cum_gross_prod_gas,HM_ZB_Nsoko!FA_PS_cumprod_gas,1))*HM_ZB_Nsoko!CA_op_trig)*(HM_ZB_Nsoko!CA_PSC_switch_trig=0)+
(PS_cont_rate_nsoko2019*HM_ZB_Nsoko!CA_op_trig)*(HM_ZB_Nsoko!CA_PSC_switch_trig=1)</f>
        <v>0</v>
      </c>
      <c r="BK315" s="53">
        <f ca="1">(INDEX(HM_ZB_Nsoko!FA_PS_cont_rate,MATCH(HM_ZB_Nsoko!CA_cum_gross_prod_gas,HM_ZB_Nsoko!FA_PS_cumprod_gas,1))*HM_ZB_Nsoko!CA_op_trig)*(HM_ZB_Nsoko!CA_PSC_switch_trig=0)+
(PS_cont_rate_nsoko2019*HM_ZB_Nsoko!CA_op_trig)*(HM_ZB_Nsoko!CA_PSC_switch_trig=1)</f>
        <v>0</v>
      </c>
      <c r="BL315" s="53">
        <f ca="1">(INDEX(HM_ZB_Nsoko!FA_PS_cont_rate,MATCH(HM_ZB_Nsoko!CA_cum_gross_prod_gas,HM_ZB_Nsoko!FA_PS_cumprod_gas,1))*HM_ZB_Nsoko!CA_op_trig)*(HM_ZB_Nsoko!CA_PSC_switch_trig=0)+
(PS_cont_rate_nsoko2019*HM_ZB_Nsoko!CA_op_trig)*(HM_ZB_Nsoko!CA_PSC_switch_trig=1)</f>
        <v>0</v>
      </c>
      <c r="BM315" s="53">
        <f ca="1">(INDEX(HM_ZB_Nsoko!FA_PS_cont_rate,MATCH(HM_ZB_Nsoko!CA_cum_gross_prod_gas,HM_ZB_Nsoko!FA_PS_cumprod_gas,1))*HM_ZB_Nsoko!CA_op_trig)*(HM_ZB_Nsoko!CA_PSC_switch_trig=0)+
(PS_cont_rate_nsoko2019*HM_ZB_Nsoko!CA_op_trig)*(HM_ZB_Nsoko!CA_PSC_switch_trig=1)</f>
        <v>0</v>
      </c>
      <c r="BN315" s="53">
        <f ca="1">(INDEX(HM_ZB_Nsoko!FA_PS_cont_rate,MATCH(HM_ZB_Nsoko!CA_cum_gross_prod_gas,HM_ZB_Nsoko!FA_PS_cumprod_gas,1))*HM_ZB_Nsoko!CA_op_trig)*(HM_ZB_Nsoko!CA_PSC_switch_trig=0)+
(PS_cont_rate_nsoko2019*HM_ZB_Nsoko!CA_op_trig)*(HM_ZB_Nsoko!CA_PSC_switch_trig=1)</f>
        <v>0</v>
      </c>
      <c r="BO315" s="53">
        <f ca="1">(INDEX(HM_ZB_Nsoko!FA_PS_cont_rate,MATCH(HM_ZB_Nsoko!CA_cum_gross_prod_gas,HM_ZB_Nsoko!FA_PS_cumprod_gas,1))*HM_ZB_Nsoko!CA_op_trig)*(HM_ZB_Nsoko!CA_PSC_switch_trig=0)+
(PS_cont_rate_nsoko2019*HM_ZB_Nsoko!CA_op_trig)*(HM_ZB_Nsoko!CA_PSC_switch_trig=1)</f>
        <v>0</v>
      </c>
      <c r="BP315" s="53">
        <f ca="1">(INDEX(HM_ZB_Nsoko!FA_PS_cont_rate,MATCH(HM_ZB_Nsoko!CA_cum_gross_prod_gas,HM_ZB_Nsoko!FA_PS_cumprod_gas,1))*HM_ZB_Nsoko!CA_op_trig)*(HM_ZB_Nsoko!CA_PSC_switch_trig=0)+
(PS_cont_rate_nsoko2019*HM_ZB_Nsoko!CA_op_trig)*(HM_ZB_Nsoko!CA_PSC_switch_trig=1)</f>
        <v>0</v>
      </c>
      <c r="BQ315" s="53">
        <f ca="1">(INDEX(HM_ZB_Nsoko!FA_PS_cont_rate,MATCH(HM_ZB_Nsoko!CA_cum_gross_prod_gas,HM_ZB_Nsoko!FA_PS_cumprod_gas,1))*HM_ZB_Nsoko!CA_op_trig)*(HM_ZB_Nsoko!CA_PSC_switch_trig=0)+
(PS_cont_rate_nsoko2019*HM_ZB_Nsoko!CA_op_trig)*(HM_ZB_Nsoko!CA_PSC_switch_trig=1)</f>
        <v>0</v>
      </c>
      <c r="BR315" s="53">
        <f ca="1">(INDEX(HM_ZB_Nsoko!FA_PS_cont_rate,MATCH(HM_ZB_Nsoko!CA_cum_gross_prod_gas,HM_ZB_Nsoko!FA_PS_cumprod_gas,1))*HM_ZB_Nsoko!CA_op_trig)*(HM_ZB_Nsoko!CA_PSC_switch_trig=0)+
(PS_cont_rate_nsoko2019*HM_ZB_Nsoko!CA_op_trig)*(HM_ZB_Nsoko!CA_PSC_switch_trig=1)</f>
        <v>0</v>
      </c>
      <c r="BS315" s="53">
        <f ca="1">(INDEX(HM_ZB_Nsoko!FA_PS_cont_rate,MATCH(HM_ZB_Nsoko!CA_cum_gross_prod_gas,HM_ZB_Nsoko!FA_PS_cumprod_gas,1))*HM_ZB_Nsoko!CA_op_trig)*(HM_ZB_Nsoko!CA_PSC_switch_trig=0)+
(PS_cont_rate_nsoko2019*HM_ZB_Nsoko!CA_op_trig)*(HM_ZB_Nsoko!CA_PSC_switch_trig=1)</f>
        <v>0</v>
      </c>
    </row>
    <row r="316" spans="3:71" outlineLevel="1" x14ac:dyDescent="0.2">
      <c r="D316" t="str">
        <f>HM_ZA_Nkossa!D305</f>
        <v>Part du Contracteur dans le Profit Oil</v>
      </c>
      <c r="I316" s="30">
        <f t="shared" ca="1" si="80"/>
        <v>0</v>
      </c>
      <c r="J316" s="26" t="s">
        <v>148</v>
      </c>
      <c r="L316" s="49">
        <f ca="1">L314*L315</f>
        <v>0</v>
      </c>
      <c r="M316" s="49">
        <f t="shared" ref="M316:BS316" ca="1" si="81">M314*M315</f>
        <v>0</v>
      </c>
      <c r="N316" s="49">
        <f t="shared" ca="1" si="81"/>
        <v>0</v>
      </c>
      <c r="O316" s="49">
        <f t="shared" ca="1" si="81"/>
        <v>0</v>
      </c>
      <c r="P316" s="49">
        <f t="shared" ca="1" si="81"/>
        <v>0</v>
      </c>
      <c r="Q316" s="49">
        <f t="shared" ca="1" si="81"/>
        <v>0</v>
      </c>
      <c r="R316" s="49">
        <f t="shared" ca="1" si="81"/>
        <v>0</v>
      </c>
      <c r="S316" s="49">
        <f t="shared" ca="1" si="81"/>
        <v>0</v>
      </c>
      <c r="T316" s="49">
        <f t="shared" ca="1" si="81"/>
        <v>0</v>
      </c>
      <c r="U316" s="49">
        <f t="shared" ca="1" si="81"/>
        <v>0</v>
      </c>
      <c r="V316" s="49">
        <f t="shared" ca="1" si="81"/>
        <v>0</v>
      </c>
      <c r="W316" s="49">
        <f t="shared" ca="1" si="81"/>
        <v>0</v>
      </c>
      <c r="X316" s="49">
        <f t="shared" ca="1" si="81"/>
        <v>0</v>
      </c>
      <c r="Y316" s="49">
        <f t="shared" ca="1" si="81"/>
        <v>0</v>
      </c>
      <c r="Z316" s="49">
        <f t="shared" ca="1" si="81"/>
        <v>0</v>
      </c>
      <c r="AA316" s="49">
        <f t="shared" ca="1" si="81"/>
        <v>0</v>
      </c>
      <c r="AB316" s="49">
        <f t="shared" ca="1" si="81"/>
        <v>0</v>
      </c>
      <c r="AC316" s="49">
        <f t="shared" ca="1" si="81"/>
        <v>0</v>
      </c>
      <c r="AD316" s="49">
        <f t="shared" ca="1" si="81"/>
        <v>0</v>
      </c>
      <c r="AE316" s="49">
        <f t="shared" ca="1" si="81"/>
        <v>0</v>
      </c>
      <c r="AF316" s="49">
        <f t="shared" ca="1" si="81"/>
        <v>0</v>
      </c>
      <c r="AG316" s="49">
        <f t="shared" ca="1" si="81"/>
        <v>0</v>
      </c>
      <c r="AH316" s="49">
        <f t="shared" ca="1" si="81"/>
        <v>0</v>
      </c>
      <c r="AI316" s="49">
        <f t="shared" ca="1" si="81"/>
        <v>0</v>
      </c>
      <c r="AJ316" s="49">
        <f t="shared" ca="1" si="81"/>
        <v>0</v>
      </c>
      <c r="AK316" s="49">
        <f t="shared" ca="1" si="81"/>
        <v>0</v>
      </c>
      <c r="AL316" s="49">
        <f t="shared" ca="1" si="81"/>
        <v>0</v>
      </c>
      <c r="AM316" s="49">
        <f t="shared" ca="1" si="81"/>
        <v>0</v>
      </c>
      <c r="AN316" s="49">
        <f t="shared" ca="1" si="81"/>
        <v>0</v>
      </c>
      <c r="AO316" s="49">
        <f t="shared" ca="1" si="81"/>
        <v>0</v>
      </c>
      <c r="AP316" s="49">
        <f t="shared" ca="1" si="81"/>
        <v>0</v>
      </c>
      <c r="AQ316" s="49">
        <f t="shared" ca="1" si="81"/>
        <v>0</v>
      </c>
      <c r="AR316" s="49">
        <f t="shared" ca="1" si="81"/>
        <v>0</v>
      </c>
      <c r="AS316" s="49">
        <f t="shared" ca="1" si="81"/>
        <v>0</v>
      </c>
      <c r="AT316" s="49">
        <f t="shared" ca="1" si="81"/>
        <v>0</v>
      </c>
      <c r="AU316" s="49">
        <f t="shared" ca="1" si="81"/>
        <v>0</v>
      </c>
      <c r="AV316" s="49">
        <f t="shared" ca="1" si="81"/>
        <v>0</v>
      </c>
      <c r="AW316" s="49">
        <f t="shared" ca="1" si="81"/>
        <v>0</v>
      </c>
      <c r="AX316" s="49">
        <f t="shared" ca="1" si="81"/>
        <v>0</v>
      </c>
      <c r="AY316" s="49">
        <f t="shared" ca="1" si="81"/>
        <v>0</v>
      </c>
      <c r="AZ316" s="49">
        <f t="shared" ca="1" si="81"/>
        <v>0</v>
      </c>
      <c r="BA316" s="49">
        <f t="shared" ca="1" si="81"/>
        <v>0</v>
      </c>
      <c r="BB316" s="49">
        <f t="shared" ca="1" si="81"/>
        <v>0</v>
      </c>
      <c r="BC316" s="49">
        <f t="shared" ca="1" si="81"/>
        <v>0</v>
      </c>
      <c r="BD316" s="49">
        <f t="shared" ca="1" si="81"/>
        <v>0</v>
      </c>
      <c r="BE316" s="49">
        <f t="shared" ca="1" si="81"/>
        <v>0</v>
      </c>
      <c r="BF316" s="49">
        <f t="shared" ca="1" si="81"/>
        <v>0</v>
      </c>
      <c r="BG316" s="49">
        <f t="shared" ca="1" si="81"/>
        <v>0</v>
      </c>
      <c r="BH316" s="49">
        <f t="shared" ca="1" si="81"/>
        <v>0</v>
      </c>
      <c r="BI316" s="49">
        <f t="shared" ca="1" si="81"/>
        <v>0</v>
      </c>
      <c r="BJ316" s="49">
        <f t="shared" ca="1" si="81"/>
        <v>0</v>
      </c>
      <c r="BK316" s="49">
        <f t="shared" ca="1" si="81"/>
        <v>0</v>
      </c>
      <c r="BL316" s="49">
        <f t="shared" ca="1" si="81"/>
        <v>0</v>
      </c>
      <c r="BM316" s="49">
        <f t="shared" ca="1" si="81"/>
        <v>0</v>
      </c>
      <c r="BN316" s="49">
        <f t="shared" ca="1" si="81"/>
        <v>0</v>
      </c>
      <c r="BO316" s="49">
        <f t="shared" ca="1" si="81"/>
        <v>0</v>
      </c>
      <c r="BP316" s="49">
        <f t="shared" ca="1" si="81"/>
        <v>0</v>
      </c>
      <c r="BQ316" s="49">
        <f t="shared" ca="1" si="81"/>
        <v>0</v>
      </c>
      <c r="BR316" s="49">
        <f t="shared" ca="1" si="81"/>
        <v>0</v>
      </c>
      <c r="BS316" s="49">
        <f t="shared" ca="1" si="81"/>
        <v>0</v>
      </c>
    </row>
    <row r="317" spans="3:71" outlineLevel="1" x14ac:dyDescent="0.2">
      <c r="D317" t="str">
        <f>HM_ZA_Nkossa!D306</f>
        <v>Part du Gouv. dans le Profit Oil</v>
      </c>
      <c r="I317" s="30">
        <f t="shared" ca="1" si="80"/>
        <v>0</v>
      </c>
      <c r="J317" s="26" t="s">
        <v>148</v>
      </c>
      <c r="L317" s="49">
        <f ca="1">L314-L316</f>
        <v>0</v>
      </c>
      <c r="M317" s="49">
        <f t="shared" ref="M317:BS317" ca="1" si="82">M314-M316</f>
        <v>0</v>
      </c>
      <c r="N317" s="49">
        <f t="shared" ca="1" si="82"/>
        <v>0</v>
      </c>
      <c r="O317" s="49">
        <f t="shared" ca="1" si="82"/>
        <v>0</v>
      </c>
      <c r="P317" s="49">
        <f t="shared" ca="1" si="82"/>
        <v>0</v>
      </c>
      <c r="Q317" s="49">
        <f t="shared" ca="1" si="82"/>
        <v>0</v>
      </c>
      <c r="R317" s="49">
        <f t="shared" ca="1" si="82"/>
        <v>0</v>
      </c>
      <c r="S317" s="49">
        <f t="shared" ca="1" si="82"/>
        <v>0</v>
      </c>
      <c r="T317" s="49">
        <f t="shared" ca="1" si="82"/>
        <v>0</v>
      </c>
      <c r="U317" s="49">
        <f t="shared" ca="1" si="82"/>
        <v>0</v>
      </c>
      <c r="V317" s="49">
        <f t="shared" ca="1" si="82"/>
        <v>0</v>
      </c>
      <c r="W317" s="49">
        <f t="shared" ca="1" si="82"/>
        <v>0</v>
      </c>
      <c r="X317" s="49">
        <f t="shared" ca="1" si="82"/>
        <v>0</v>
      </c>
      <c r="Y317" s="49">
        <f t="shared" ca="1" si="82"/>
        <v>0</v>
      </c>
      <c r="Z317" s="49">
        <f t="shared" ca="1" si="82"/>
        <v>0</v>
      </c>
      <c r="AA317" s="49">
        <f t="shared" ca="1" si="82"/>
        <v>0</v>
      </c>
      <c r="AB317" s="49">
        <f t="shared" ca="1" si="82"/>
        <v>0</v>
      </c>
      <c r="AC317" s="49">
        <f t="shared" ca="1" si="82"/>
        <v>0</v>
      </c>
      <c r="AD317" s="49">
        <f t="shared" ca="1" si="82"/>
        <v>0</v>
      </c>
      <c r="AE317" s="49">
        <f t="shared" ca="1" si="82"/>
        <v>0</v>
      </c>
      <c r="AF317" s="49">
        <f t="shared" ca="1" si="82"/>
        <v>0</v>
      </c>
      <c r="AG317" s="49">
        <f t="shared" ca="1" si="82"/>
        <v>0</v>
      </c>
      <c r="AH317" s="49">
        <f t="shared" ca="1" si="82"/>
        <v>0</v>
      </c>
      <c r="AI317" s="49">
        <f t="shared" ca="1" si="82"/>
        <v>0</v>
      </c>
      <c r="AJ317" s="49">
        <f t="shared" ca="1" si="82"/>
        <v>0</v>
      </c>
      <c r="AK317" s="49">
        <f t="shared" ca="1" si="82"/>
        <v>0</v>
      </c>
      <c r="AL317" s="49">
        <f t="shared" ca="1" si="82"/>
        <v>0</v>
      </c>
      <c r="AM317" s="49">
        <f t="shared" ca="1" si="82"/>
        <v>0</v>
      </c>
      <c r="AN317" s="49">
        <f t="shared" ca="1" si="82"/>
        <v>0</v>
      </c>
      <c r="AO317" s="49">
        <f t="shared" ca="1" si="82"/>
        <v>0</v>
      </c>
      <c r="AP317" s="49">
        <f t="shared" ca="1" si="82"/>
        <v>0</v>
      </c>
      <c r="AQ317" s="49">
        <f t="shared" ca="1" si="82"/>
        <v>0</v>
      </c>
      <c r="AR317" s="49">
        <f t="shared" ca="1" si="82"/>
        <v>0</v>
      </c>
      <c r="AS317" s="49">
        <f t="shared" ca="1" si="82"/>
        <v>0</v>
      </c>
      <c r="AT317" s="49">
        <f t="shared" ca="1" si="82"/>
        <v>0</v>
      </c>
      <c r="AU317" s="49">
        <f t="shared" ca="1" si="82"/>
        <v>0</v>
      </c>
      <c r="AV317" s="49">
        <f t="shared" ca="1" si="82"/>
        <v>0</v>
      </c>
      <c r="AW317" s="49">
        <f t="shared" ca="1" si="82"/>
        <v>0</v>
      </c>
      <c r="AX317" s="49">
        <f t="shared" ca="1" si="82"/>
        <v>0</v>
      </c>
      <c r="AY317" s="49">
        <f t="shared" ca="1" si="82"/>
        <v>0</v>
      </c>
      <c r="AZ317" s="49">
        <f t="shared" ca="1" si="82"/>
        <v>0</v>
      </c>
      <c r="BA317" s="49">
        <f t="shared" ca="1" si="82"/>
        <v>0</v>
      </c>
      <c r="BB317" s="49">
        <f t="shared" ca="1" si="82"/>
        <v>0</v>
      </c>
      <c r="BC317" s="49">
        <f t="shared" ca="1" si="82"/>
        <v>0</v>
      </c>
      <c r="BD317" s="49">
        <f t="shared" ca="1" si="82"/>
        <v>0</v>
      </c>
      <c r="BE317" s="49">
        <f t="shared" ca="1" si="82"/>
        <v>0</v>
      </c>
      <c r="BF317" s="49">
        <f t="shared" ca="1" si="82"/>
        <v>0</v>
      </c>
      <c r="BG317" s="49">
        <f t="shared" ca="1" si="82"/>
        <v>0</v>
      </c>
      <c r="BH317" s="49">
        <f t="shared" ca="1" si="82"/>
        <v>0</v>
      </c>
      <c r="BI317" s="49">
        <f t="shared" ca="1" si="82"/>
        <v>0</v>
      </c>
      <c r="BJ317" s="49">
        <f t="shared" ca="1" si="82"/>
        <v>0</v>
      </c>
      <c r="BK317" s="49">
        <f t="shared" ca="1" si="82"/>
        <v>0</v>
      </c>
      <c r="BL317" s="49">
        <f t="shared" ca="1" si="82"/>
        <v>0</v>
      </c>
      <c r="BM317" s="49">
        <f t="shared" ca="1" si="82"/>
        <v>0</v>
      </c>
      <c r="BN317" s="49">
        <f t="shared" ca="1" si="82"/>
        <v>0</v>
      </c>
      <c r="BO317" s="49">
        <f t="shared" ca="1" si="82"/>
        <v>0</v>
      </c>
      <c r="BP317" s="49">
        <f t="shared" ca="1" si="82"/>
        <v>0</v>
      </c>
      <c r="BQ317" s="49">
        <f t="shared" ca="1" si="82"/>
        <v>0</v>
      </c>
      <c r="BR317" s="49">
        <f t="shared" ca="1" si="82"/>
        <v>0</v>
      </c>
      <c r="BS317" s="49">
        <f t="shared" ca="1" si="82"/>
        <v>0</v>
      </c>
    </row>
    <row r="318" spans="3:71" outlineLevel="1" x14ac:dyDescent="0.2">
      <c r="J318" s="26"/>
      <c r="L318" s="55"/>
      <c r="M318" s="55"/>
      <c r="N318" s="55"/>
      <c r="O318" s="55"/>
      <c r="P318" s="55"/>
      <c r="Q318" s="55"/>
      <c r="R318" s="55"/>
      <c r="S318" s="55"/>
      <c r="T318" s="55"/>
      <c r="U318" s="55"/>
      <c r="V318" s="55"/>
      <c r="W318" s="55"/>
      <c r="X318" s="55"/>
      <c r="Y318" s="55"/>
      <c r="Z318" s="55"/>
      <c r="AA318" s="55"/>
      <c r="AB318" s="55"/>
      <c r="AC318" s="55"/>
      <c r="AD318" s="55"/>
      <c r="AE318" s="55"/>
      <c r="AF318" s="55"/>
      <c r="AG318" s="55"/>
      <c r="AH318" s="55"/>
      <c r="AI318" s="55"/>
      <c r="AJ318" s="55"/>
      <c r="AK318" s="55"/>
      <c r="AL318" s="55"/>
      <c r="AM318" s="55"/>
      <c r="AN318" s="55"/>
      <c r="AO318" s="55"/>
      <c r="AP318" s="55"/>
      <c r="AQ318" s="55"/>
      <c r="AR318" s="55"/>
      <c r="AS318" s="55"/>
      <c r="AT318" s="55"/>
      <c r="AU318" s="55"/>
      <c r="AV318" s="55"/>
      <c r="AW318" s="55"/>
      <c r="AX318" s="55"/>
      <c r="AY318" s="55"/>
      <c r="AZ318" s="55"/>
      <c r="BA318" s="55"/>
      <c r="BB318" s="55"/>
      <c r="BC318" s="55"/>
      <c r="BD318" s="55"/>
      <c r="BE318" s="55"/>
      <c r="BF318" s="55"/>
      <c r="BG318" s="55"/>
      <c r="BH318" s="55"/>
      <c r="BI318" s="55"/>
      <c r="BJ318" s="55"/>
      <c r="BK318" s="55"/>
      <c r="BL318" s="55"/>
      <c r="BM318" s="55"/>
      <c r="BN318" s="55"/>
      <c r="BO318" s="55"/>
      <c r="BP318" s="55"/>
      <c r="BQ318" s="55"/>
      <c r="BR318" s="55"/>
      <c r="BS318" s="55"/>
    </row>
    <row r="319" spans="3:71" outlineLevel="1" x14ac:dyDescent="0.2">
      <c r="D319" s="11" t="str">
        <f>HM_ZA_Nkossa!D308</f>
        <v>Total Part du Profit Contracteur</v>
      </c>
      <c r="I319" s="30">
        <f t="shared" ca="1" si="80"/>
        <v>50.311115614656636</v>
      </c>
      <c r="J319" s="26" t="s">
        <v>148</v>
      </c>
      <c r="K319" s="7" t="s">
        <v>241</v>
      </c>
      <c r="L319" s="49">
        <f ca="1">SUM(L310,L316)</f>
        <v>3.9052249102781329</v>
      </c>
      <c r="M319" s="49">
        <f t="shared" ref="M319:BS320" ca="1" si="83">SUM(M310,M316)</f>
        <v>4.3991549996150034</v>
      </c>
      <c r="N319" s="49">
        <f t="shared" ca="1" si="83"/>
        <v>5.1064455646474984</v>
      </c>
      <c r="O319" s="49">
        <f t="shared" ca="1" si="83"/>
        <v>4.1203030823100004</v>
      </c>
      <c r="P319" s="49">
        <f t="shared" ca="1" si="83"/>
        <v>4.688124782727499</v>
      </c>
      <c r="Q319" s="49">
        <f t="shared" ca="1" si="83"/>
        <v>3.7486302148999973</v>
      </c>
      <c r="R319" s="49">
        <f t="shared" ca="1" si="83"/>
        <v>1.4095944719999998</v>
      </c>
      <c r="S319" s="49">
        <f t="shared" ca="1" si="83"/>
        <v>3.8674554846837275</v>
      </c>
      <c r="T319" s="49">
        <f t="shared" ca="1" si="83"/>
        <v>4.3857434701874993</v>
      </c>
      <c r="U319" s="49">
        <f t="shared" ca="1" si="83"/>
        <v>4.0787414272743749</v>
      </c>
      <c r="V319" s="49">
        <f t="shared" ca="1" si="83"/>
        <v>3.7932295273651695</v>
      </c>
      <c r="W319" s="49">
        <f t="shared" ca="1" si="83"/>
        <v>3.5277034604496045</v>
      </c>
      <c r="X319" s="49">
        <f t="shared" ca="1" si="83"/>
        <v>3.2807642182181338</v>
      </c>
      <c r="Y319" s="49">
        <f t="shared" ca="1" si="83"/>
        <v>0</v>
      </c>
      <c r="Z319" s="49">
        <f t="shared" ca="1" si="83"/>
        <v>0</v>
      </c>
      <c r="AA319" s="49">
        <f t="shared" ca="1" si="83"/>
        <v>0</v>
      </c>
      <c r="AB319" s="49">
        <f t="shared" ca="1" si="83"/>
        <v>0</v>
      </c>
      <c r="AC319" s="49">
        <f t="shared" ca="1" si="83"/>
        <v>0</v>
      </c>
      <c r="AD319" s="49">
        <f t="shared" ca="1" si="83"/>
        <v>0</v>
      </c>
      <c r="AE319" s="49">
        <f t="shared" ca="1" si="83"/>
        <v>0</v>
      </c>
      <c r="AF319" s="49">
        <f t="shared" ca="1" si="83"/>
        <v>0</v>
      </c>
      <c r="AG319" s="49">
        <f t="shared" ca="1" si="83"/>
        <v>0</v>
      </c>
      <c r="AH319" s="49">
        <f t="shared" ca="1" si="83"/>
        <v>0</v>
      </c>
      <c r="AI319" s="49">
        <f t="shared" ca="1" si="83"/>
        <v>0</v>
      </c>
      <c r="AJ319" s="49">
        <f t="shared" ca="1" si="83"/>
        <v>0</v>
      </c>
      <c r="AK319" s="49">
        <f t="shared" ca="1" si="83"/>
        <v>0</v>
      </c>
      <c r="AL319" s="49">
        <f t="shared" ca="1" si="83"/>
        <v>0</v>
      </c>
      <c r="AM319" s="49">
        <f t="shared" ca="1" si="83"/>
        <v>0</v>
      </c>
      <c r="AN319" s="49">
        <f t="shared" ca="1" si="83"/>
        <v>0</v>
      </c>
      <c r="AO319" s="49">
        <f t="shared" ca="1" si="83"/>
        <v>0</v>
      </c>
      <c r="AP319" s="49">
        <f t="shared" ca="1" si="83"/>
        <v>0</v>
      </c>
      <c r="AQ319" s="49">
        <f t="shared" ca="1" si="83"/>
        <v>0</v>
      </c>
      <c r="AR319" s="49">
        <f t="shared" ca="1" si="83"/>
        <v>0</v>
      </c>
      <c r="AS319" s="49">
        <f t="shared" ca="1" si="83"/>
        <v>0</v>
      </c>
      <c r="AT319" s="49">
        <f t="shared" ca="1" si="83"/>
        <v>0</v>
      </c>
      <c r="AU319" s="49">
        <f t="shared" ca="1" si="83"/>
        <v>0</v>
      </c>
      <c r="AV319" s="49">
        <f t="shared" ca="1" si="83"/>
        <v>0</v>
      </c>
      <c r="AW319" s="49">
        <f t="shared" ca="1" si="83"/>
        <v>0</v>
      </c>
      <c r="AX319" s="49">
        <f t="shared" ca="1" si="83"/>
        <v>0</v>
      </c>
      <c r="AY319" s="49">
        <f t="shared" ca="1" si="83"/>
        <v>0</v>
      </c>
      <c r="AZ319" s="49">
        <f t="shared" ca="1" si="83"/>
        <v>0</v>
      </c>
      <c r="BA319" s="49">
        <f t="shared" ca="1" si="83"/>
        <v>0</v>
      </c>
      <c r="BB319" s="49">
        <f t="shared" ca="1" si="83"/>
        <v>0</v>
      </c>
      <c r="BC319" s="49">
        <f t="shared" ca="1" si="83"/>
        <v>0</v>
      </c>
      <c r="BD319" s="49">
        <f t="shared" ca="1" si="83"/>
        <v>0</v>
      </c>
      <c r="BE319" s="49">
        <f t="shared" ca="1" si="83"/>
        <v>0</v>
      </c>
      <c r="BF319" s="49">
        <f t="shared" ca="1" si="83"/>
        <v>0</v>
      </c>
      <c r="BG319" s="49">
        <f t="shared" ca="1" si="83"/>
        <v>0</v>
      </c>
      <c r="BH319" s="49">
        <f t="shared" ca="1" si="83"/>
        <v>0</v>
      </c>
      <c r="BI319" s="49">
        <f t="shared" ca="1" si="83"/>
        <v>0</v>
      </c>
      <c r="BJ319" s="49">
        <f t="shared" ca="1" si="83"/>
        <v>0</v>
      </c>
      <c r="BK319" s="49">
        <f t="shared" ca="1" si="83"/>
        <v>0</v>
      </c>
      <c r="BL319" s="49">
        <f t="shared" ca="1" si="83"/>
        <v>0</v>
      </c>
      <c r="BM319" s="49">
        <f t="shared" ca="1" si="83"/>
        <v>0</v>
      </c>
      <c r="BN319" s="49">
        <f t="shared" ca="1" si="83"/>
        <v>0</v>
      </c>
      <c r="BO319" s="49">
        <f t="shared" ca="1" si="83"/>
        <v>0</v>
      </c>
      <c r="BP319" s="49">
        <f t="shared" ca="1" si="83"/>
        <v>0</v>
      </c>
      <c r="BQ319" s="49">
        <f t="shared" ca="1" si="83"/>
        <v>0</v>
      </c>
      <c r="BR319" s="49">
        <f t="shared" ca="1" si="83"/>
        <v>0</v>
      </c>
      <c r="BS319" s="49">
        <f t="shared" ca="1" si="83"/>
        <v>0</v>
      </c>
    </row>
    <row r="320" spans="3:71" outlineLevel="1" x14ac:dyDescent="0.2">
      <c r="D320" s="11" t="str">
        <f>HM_ZA_Nkossa!D309</f>
        <v>Total Part du Profit Gouv.</v>
      </c>
      <c r="I320" s="30">
        <f t="shared" ca="1" si="80"/>
        <v>37.133383661637886</v>
      </c>
      <c r="J320" s="26" t="s">
        <v>148</v>
      </c>
      <c r="K320" s="7" t="s">
        <v>242</v>
      </c>
      <c r="L320" s="49">
        <f ca="1">SUM(L311,L317)</f>
        <v>1.9234689856593792</v>
      </c>
      <c r="M320" s="49">
        <f t="shared" ca="1" si="83"/>
        <v>2.1667479848850029</v>
      </c>
      <c r="N320" s="49">
        <f t="shared" ca="1" si="83"/>
        <v>2.5151149796025001</v>
      </c>
      <c r="O320" s="49">
        <f t="shared" ca="1" si="83"/>
        <v>2.0294030106900003</v>
      </c>
      <c r="P320" s="49">
        <f t="shared" ca="1" si="83"/>
        <v>2.3090763855225003</v>
      </c>
      <c r="Q320" s="49">
        <f t="shared" ca="1" si="83"/>
        <v>1.846340255099999</v>
      </c>
      <c r="R320" s="49">
        <f t="shared" ca="1" si="83"/>
        <v>1.4095944719999998</v>
      </c>
      <c r="S320" s="49">
        <f t="shared" ca="1" si="83"/>
        <v>3.8674554846837275</v>
      </c>
      <c r="T320" s="49">
        <f t="shared" ca="1" si="83"/>
        <v>4.3857434701874993</v>
      </c>
      <c r="U320" s="49">
        <f t="shared" ca="1" si="83"/>
        <v>4.0787414272743749</v>
      </c>
      <c r="V320" s="49">
        <f t="shared" ca="1" si="83"/>
        <v>3.7932295273651695</v>
      </c>
      <c r="W320" s="49">
        <f t="shared" ca="1" si="83"/>
        <v>3.5277034604496045</v>
      </c>
      <c r="X320" s="49">
        <f t="shared" ca="1" si="83"/>
        <v>3.2807642182181338</v>
      </c>
      <c r="Y320" s="49">
        <f t="shared" ca="1" si="83"/>
        <v>0</v>
      </c>
      <c r="Z320" s="49">
        <f t="shared" ca="1" si="83"/>
        <v>0</v>
      </c>
      <c r="AA320" s="49">
        <f t="shared" ca="1" si="83"/>
        <v>0</v>
      </c>
      <c r="AB320" s="49">
        <f t="shared" ca="1" si="83"/>
        <v>0</v>
      </c>
      <c r="AC320" s="49">
        <f t="shared" ca="1" si="83"/>
        <v>0</v>
      </c>
      <c r="AD320" s="49">
        <f t="shared" ca="1" si="83"/>
        <v>0</v>
      </c>
      <c r="AE320" s="49">
        <f t="shared" ca="1" si="83"/>
        <v>0</v>
      </c>
      <c r="AF320" s="49">
        <f t="shared" ca="1" si="83"/>
        <v>0</v>
      </c>
      <c r="AG320" s="49">
        <f t="shared" ca="1" si="83"/>
        <v>0</v>
      </c>
      <c r="AH320" s="49">
        <f t="shared" ca="1" si="83"/>
        <v>0</v>
      </c>
      <c r="AI320" s="49">
        <f t="shared" ca="1" si="83"/>
        <v>0</v>
      </c>
      <c r="AJ320" s="49">
        <f t="shared" ca="1" si="83"/>
        <v>0</v>
      </c>
      <c r="AK320" s="49">
        <f t="shared" ca="1" si="83"/>
        <v>0</v>
      </c>
      <c r="AL320" s="49">
        <f t="shared" ca="1" si="83"/>
        <v>0</v>
      </c>
      <c r="AM320" s="49">
        <f t="shared" ca="1" si="83"/>
        <v>0</v>
      </c>
      <c r="AN320" s="49">
        <f t="shared" ca="1" si="83"/>
        <v>0</v>
      </c>
      <c r="AO320" s="49">
        <f t="shared" ca="1" si="83"/>
        <v>0</v>
      </c>
      <c r="AP320" s="49">
        <f t="shared" ca="1" si="83"/>
        <v>0</v>
      </c>
      <c r="AQ320" s="49">
        <f t="shared" ca="1" si="83"/>
        <v>0</v>
      </c>
      <c r="AR320" s="49">
        <f t="shared" ca="1" si="83"/>
        <v>0</v>
      </c>
      <c r="AS320" s="49">
        <f t="shared" ca="1" si="83"/>
        <v>0</v>
      </c>
      <c r="AT320" s="49">
        <f t="shared" ca="1" si="83"/>
        <v>0</v>
      </c>
      <c r="AU320" s="49">
        <f t="shared" ca="1" si="83"/>
        <v>0</v>
      </c>
      <c r="AV320" s="49">
        <f t="shared" ca="1" si="83"/>
        <v>0</v>
      </c>
      <c r="AW320" s="49">
        <f t="shared" ca="1" si="83"/>
        <v>0</v>
      </c>
      <c r="AX320" s="49">
        <f t="shared" ca="1" si="83"/>
        <v>0</v>
      </c>
      <c r="AY320" s="49">
        <f t="shared" ca="1" si="83"/>
        <v>0</v>
      </c>
      <c r="AZ320" s="49">
        <f t="shared" ca="1" si="83"/>
        <v>0</v>
      </c>
      <c r="BA320" s="49">
        <f t="shared" ca="1" si="83"/>
        <v>0</v>
      </c>
      <c r="BB320" s="49">
        <f t="shared" ca="1" si="83"/>
        <v>0</v>
      </c>
      <c r="BC320" s="49">
        <f t="shared" ca="1" si="83"/>
        <v>0</v>
      </c>
      <c r="BD320" s="49">
        <f t="shared" ca="1" si="83"/>
        <v>0</v>
      </c>
      <c r="BE320" s="49">
        <f t="shared" ca="1" si="83"/>
        <v>0</v>
      </c>
      <c r="BF320" s="49">
        <f t="shared" ca="1" si="83"/>
        <v>0</v>
      </c>
      <c r="BG320" s="49">
        <f t="shared" ca="1" si="83"/>
        <v>0</v>
      </c>
      <c r="BH320" s="49">
        <f t="shared" ca="1" si="83"/>
        <v>0</v>
      </c>
      <c r="BI320" s="49">
        <f t="shared" ca="1" si="83"/>
        <v>0</v>
      </c>
      <c r="BJ320" s="49">
        <f t="shared" ca="1" si="83"/>
        <v>0</v>
      </c>
      <c r="BK320" s="49">
        <f t="shared" ca="1" si="83"/>
        <v>0</v>
      </c>
      <c r="BL320" s="49">
        <f t="shared" ca="1" si="83"/>
        <v>0</v>
      </c>
      <c r="BM320" s="49">
        <f t="shared" ca="1" si="83"/>
        <v>0</v>
      </c>
      <c r="BN320" s="49">
        <f t="shared" ca="1" si="83"/>
        <v>0</v>
      </c>
      <c r="BO320" s="49">
        <f t="shared" ca="1" si="83"/>
        <v>0</v>
      </c>
      <c r="BP320" s="49">
        <f t="shared" ca="1" si="83"/>
        <v>0</v>
      </c>
      <c r="BQ320" s="49">
        <f t="shared" ca="1" si="83"/>
        <v>0</v>
      </c>
      <c r="BR320" s="49">
        <f t="shared" ca="1" si="83"/>
        <v>0</v>
      </c>
      <c r="BS320" s="49">
        <f t="shared" ca="1" si="83"/>
        <v>0</v>
      </c>
    </row>
    <row r="321" spans="1:71" outlineLevel="1" x14ac:dyDescent="0.2">
      <c r="J321" s="26"/>
      <c r="L321" s="55"/>
      <c r="M321" s="55"/>
      <c r="N321" s="55"/>
      <c r="O321" s="55"/>
      <c r="P321" s="55"/>
      <c r="Q321" s="55"/>
      <c r="R321" s="55"/>
      <c r="S321" s="55"/>
      <c r="T321" s="55"/>
      <c r="U321" s="55"/>
      <c r="V321" s="55"/>
      <c r="W321" s="55"/>
      <c r="X321" s="55"/>
      <c r="Y321" s="55"/>
      <c r="Z321" s="55"/>
      <c r="AA321" s="55"/>
      <c r="AB321" s="55"/>
      <c r="AC321" s="55"/>
      <c r="AD321" s="55"/>
      <c r="AE321" s="55"/>
      <c r="AF321" s="55"/>
      <c r="AG321" s="55"/>
      <c r="AH321" s="55"/>
      <c r="AI321" s="55"/>
      <c r="AJ321" s="55"/>
      <c r="AK321" s="55"/>
      <c r="AL321" s="55"/>
      <c r="AM321" s="55"/>
      <c r="AN321" s="55"/>
      <c r="AO321" s="55"/>
      <c r="AP321" s="55"/>
      <c r="AQ321" s="55"/>
      <c r="AR321" s="55"/>
      <c r="AS321" s="55"/>
      <c r="AT321" s="55"/>
      <c r="AU321" s="55"/>
      <c r="AV321" s="55"/>
      <c r="AW321" s="55"/>
      <c r="AX321" s="55"/>
      <c r="AY321" s="55"/>
      <c r="AZ321" s="55"/>
      <c r="BA321" s="55"/>
      <c r="BB321" s="55"/>
      <c r="BC321" s="55"/>
      <c r="BD321" s="55"/>
      <c r="BE321" s="55"/>
      <c r="BF321" s="55"/>
      <c r="BG321" s="55"/>
      <c r="BH321" s="55"/>
      <c r="BI321" s="55"/>
      <c r="BJ321" s="55"/>
      <c r="BK321" s="55"/>
      <c r="BL321" s="55"/>
      <c r="BM321" s="55"/>
      <c r="BN321" s="55"/>
      <c r="BO321" s="55"/>
      <c r="BP321" s="55"/>
      <c r="BQ321" s="55"/>
      <c r="BR321" s="55"/>
      <c r="BS321" s="55"/>
    </row>
    <row r="322" spans="1:71" outlineLevel="1" x14ac:dyDescent="0.2">
      <c r="J322" s="26"/>
      <c r="L322" s="55"/>
      <c r="M322" s="55"/>
      <c r="N322" s="55"/>
      <c r="O322" s="55"/>
      <c r="P322" s="55"/>
      <c r="Q322" s="55"/>
      <c r="R322" s="55"/>
      <c r="S322" s="55"/>
      <c r="T322" s="55"/>
      <c r="U322" s="55"/>
      <c r="V322" s="55"/>
      <c r="W322" s="55"/>
      <c r="X322" s="55"/>
      <c r="Y322" s="55"/>
      <c r="Z322" s="55"/>
      <c r="AA322" s="55"/>
      <c r="AB322" s="55"/>
      <c r="AC322" s="55"/>
      <c r="AD322" s="55"/>
      <c r="AE322" s="55"/>
      <c r="AF322" s="55"/>
      <c r="AG322" s="55"/>
      <c r="AH322" s="55"/>
      <c r="AI322" s="55"/>
      <c r="AJ322" s="55"/>
      <c r="AK322" s="55"/>
      <c r="AL322" s="55"/>
      <c r="AM322" s="55"/>
      <c r="AN322" s="55"/>
      <c r="AO322" s="55"/>
      <c r="AP322" s="55"/>
      <c r="AQ322" s="55"/>
      <c r="AR322" s="55"/>
      <c r="AS322" s="55"/>
      <c r="AT322" s="55"/>
      <c r="AU322" s="55"/>
      <c r="AV322" s="55"/>
      <c r="AW322" s="55"/>
      <c r="AX322" s="55"/>
      <c r="AY322" s="55"/>
      <c r="AZ322" s="55"/>
      <c r="BA322" s="55"/>
      <c r="BB322" s="55"/>
      <c r="BC322" s="55"/>
      <c r="BD322" s="55"/>
      <c r="BE322" s="55"/>
      <c r="BF322" s="55"/>
      <c r="BG322" s="55"/>
      <c r="BH322" s="55"/>
      <c r="BI322" s="55"/>
      <c r="BJ322" s="55"/>
      <c r="BK322" s="55"/>
      <c r="BL322" s="55"/>
      <c r="BM322" s="55"/>
      <c r="BN322" s="55"/>
      <c r="BO322" s="55"/>
      <c r="BP322" s="55"/>
      <c r="BQ322" s="55"/>
      <c r="BR322" s="55"/>
      <c r="BS322" s="55"/>
    </row>
    <row r="323" spans="1:71" outlineLevel="1" x14ac:dyDescent="0.2">
      <c r="J323" s="26"/>
      <c r="L323" s="55"/>
      <c r="M323" s="55"/>
      <c r="N323" s="55"/>
      <c r="O323" s="55"/>
      <c r="P323" s="55"/>
      <c r="Q323" s="55"/>
      <c r="R323" s="55"/>
      <c r="S323" s="55"/>
      <c r="T323" s="55"/>
      <c r="U323" s="55"/>
      <c r="V323" s="55"/>
      <c r="W323" s="55"/>
      <c r="X323" s="55"/>
      <c r="Y323" s="55"/>
      <c r="Z323" s="55"/>
      <c r="AA323" s="55"/>
      <c r="AB323" s="55"/>
      <c r="AC323" s="55"/>
      <c r="AD323" s="55"/>
      <c r="AE323" s="55"/>
      <c r="AF323" s="55"/>
      <c r="AG323" s="55"/>
      <c r="AH323" s="55"/>
      <c r="AI323" s="55"/>
      <c r="AJ323" s="55"/>
      <c r="AK323" s="55"/>
      <c r="AL323" s="55"/>
      <c r="AM323" s="55"/>
      <c r="AN323" s="55"/>
      <c r="AO323" s="55"/>
      <c r="AP323" s="55"/>
      <c r="AQ323" s="55"/>
      <c r="AR323" s="55"/>
      <c r="AS323" s="55"/>
      <c r="AT323" s="55"/>
      <c r="AU323" s="55"/>
      <c r="AV323" s="55"/>
      <c r="AW323" s="55"/>
      <c r="AX323" s="55"/>
      <c r="AY323" s="55"/>
      <c r="AZ323" s="55"/>
      <c r="BA323" s="55"/>
      <c r="BB323" s="55"/>
      <c r="BC323" s="55"/>
      <c r="BD323" s="55"/>
      <c r="BE323" s="55"/>
      <c r="BF323" s="55"/>
      <c r="BG323" s="55"/>
      <c r="BH323" s="55"/>
      <c r="BI323" s="55"/>
      <c r="BJ323" s="55"/>
      <c r="BK323" s="55"/>
      <c r="BL323" s="55"/>
      <c r="BM323" s="55"/>
      <c r="BN323" s="55"/>
      <c r="BO323" s="55"/>
      <c r="BP323" s="55"/>
      <c r="BQ323" s="55"/>
      <c r="BR323" s="55"/>
      <c r="BS323" s="55"/>
    </row>
    <row r="324" spans="1:71" outlineLevel="1" x14ac:dyDescent="0.2">
      <c r="A324" s="45"/>
      <c r="B324" s="38" t="str">
        <f>HM_ZA_Nkossa!B313</f>
        <v>Calculs des droits</v>
      </c>
      <c r="C324" s="45"/>
      <c r="D324" s="45"/>
      <c r="E324" s="45"/>
      <c r="J324" s="26"/>
      <c r="L324" s="55"/>
      <c r="M324" s="55"/>
      <c r="N324" s="55"/>
      <c r="O324" s="55"/>
      <c r="P324" s="55"/>
      <c r="Q324" s="55"/>
      <c r="R324" s="55"/>
      <c r="S324" s="55"/>
      <c r="T324" s="55"/>
      <c r="U324" s="55"/>
      <c r="V324" s="55"/>
      <c r="W324" s="55"/>
      <c r="X324" s="55"/>
      <c r="Y324" s="55"/>
      <c r="Z324" s="55"/>
      <c r="AA324" s="55"/>
      <c r="AB324" s="55"/>
      <c r="AC324" s="55"/>
      <c r="AD324" s="55"/>
      <c r="AE324" s="55"/>
      <c r="AF324" s="55"/>
      <c r="AG324" s="55"/>
      <c r="AH324" s="55"/>
      <c r="AI324" s="55"/>
      <c r="AJ324" s="55"/>
      <c r="AK324" s="55"/>
      <c r="AL324" s="55"/>
      <c r="AM324" s="55"/>
      <c r="AN324" s="55"/>
      <c r="AO324" s="55"/>
      <c r="AP324" s="55"/>
      <c r="AQ324" s="55"/>
      <c r="AR324" s="55"/>
      <c r="AS324" s="55"/>
      <c r="AT324" s="55"/>
      <c r="AU324" s="55"/>
      <c r="AV324" s="55"/>
      <c r="AW324" s="55"/>
      <c r="AX324" s="55"/>
      <c r="AY324" s="55"/>
      <c r="AZ324" s="55"/>
      <c r="BA324" s="55"/>
      <c r="BB324" s="55"/>
      <c r="BC324" s="55"/>
      <c r="BD324" s="55"/>
      <c r="BE324" s="55"/>
      <c r="BF324" s="55"/>
      <c r="BG324" s="55"/>
      <c r="BH324" s="55"/>
      <c r="BI324" s="55"/>
      <c r="BJ324" s="55"/>
      <c r="BK324" s="55"/>
      <c r="BL324" s="55"/>
      <c r="BM324" s="55"/>
      <c r="BN324" s="55"/>
      <c r="BO324" s="55"/>
      <c r="BP324" s="55"/>
      <c r="BQ324" s="55"/>
      <c r="BR324" s="55"/>
      <c r="BS324" s="55"/>
    </row>
    <row r="325" spans="1:71" outlineLevel="1" x14ac:dyDescent="0.2">
      <c r="J325" s="26"/>
      <c r="L325" s="55"/>
      <c r="M325" s="55"/>
      <c r="N325" s="55"/>
      <c r="O325" s="55"/>
      <c r="P325" s="55"/>
      <c r="Q325" s="55"/>
      <c r="R325" s="55"/>
      <c r="S325" s="55"/>
      <c r="T325" s="55"/>
      <c r="U325" s="55"/>
      <c r="V325" s="55"/>
      <c r="W325" s="55"/>
      <c r="X325" s="55"/>
      <c r="Y325" s="55"/>
      <c r="Z325" s="55"/>
      <c r="AA325" s="55"/>
      <c r="AB325" s="55"/>
      <c r="AC325" s="55"/>
      <c r="AD325" s="55"/>
      <c r="AE325" s="55"/>
      <c r="AF325" s="55"/>
      <c r="AG325" s="55"/>
      <c r="AH325" s="55"/>
      <c r="AI325" s="55"/>
      <c r="AJ325" s="55"/>
      <c r="AK325" s="55"/>
      <c r="AL325" s="55"/>
      <c r="AM325" s="55"/>
      <c r="AN325" s="55"/>
      <c r="AO325" s="55"/>
      <c r="AP325" s="55"/>
      <c r="AQ325" s="55"/>
      <c r="AR325" s="55"/>
      <c r="AS325" s="55"/>
      <c r="AT325" s="55"/>
      <c r="AU325" s="55"/>
      <c r="AV325" s="55"/>
      <c r="AW325" s="55"/>
      <c r="AX325" s="55"/>
      <c r="AY325" s="55"/>
      <c r="AZ325" s="55"/>
      <c r="BA325" s="55"/>
      <c r="BB325" s="55"/>
      <c r="BC325" s="55"/>
      <c r="BD325" s="55"/>
      <c r="BE325" s="55"/>
      <c r="BF325" s="55"/>
      <c r="BG325" s="55"/>
      <c r="BH325" s="55"/>
      <c r="BI325" s="55"/>
      <c r="BJ325" s="55"/>
      <c r="BK325" s="55"/>
      <c r="BL325" s="55"/>
      <c r="BM325" s="55"/>
      <c r="BN325" s="55"/>
      <c r="BO325" s="55"/>
      <c r="BP325" s="55"/>
      <c r="BQ325" s="55"/>
      <c r="BR325" s="55"/>
      <c r="BS325" s="55"/>
    </row>
    <row r="326" spans="1:71" outlineLevel="1" x14ac:dyDescent="0.2">
      <c r="C326" s="11" t="str">
        <f>HM_ZA_Nkossa!C315</f>
        <v>Revenus des droits  - Pétrole</v>
      </c>
      <c r="J326" s="26"/>
      <c r="L326" s="55"/>
      <c r="M326" s="55"/>
      <c r="N326" s="55"/>
      <c r="O326" s="55"/>
      <c r="P326" s="55"/>
      <c r="Q326" s="55"/>
      <c r="R326" s="55"/>
      <c r="S326" s="55"/>
      <c r="T326" s="55"/>
      <c r="U326" s="55"/>
      <c r="V326" s="55"/>
      <c r="W326" s="55"/>
      <c r="X326" s="55"/>
      <c r="Y326" s="55"/>
      <c r="Z326" s="55"/>
      <c r="AA326" s="55"/>
      <c r="AB326" s="55"/>
      <c r="AC326" s="55"/>
      <c r="AD326" s="55"/>
      <c r="AE326" s="55"/>
      <c r="AF326" s="55"/>
      <c r="AG326" s="55"/>
      <c r="AH326" s="55"/>
      <c r="AI326" s="55"/>
      <c r="AJ326" s="55"/>
      <c r="AK326" s="55"/>
      <c r="AL326" s="55"/>
      <c r="AM326" s="55"/>
      <c r="AN326" s="55"/>
      <c r="AO326" s="55"/>
      <c r="AP326" s="55"/>
      <c r="AQ326" s="55"/>
      <c r="AR326" s="55"/>
      <c r="AS326" s="55"/>
      <c r="AT326" s="55"/>
      <c r="AU326" s="55"/>
      <c r="AV326" s="55"/>
      <c r="AW326" s="55"/>
      <c r="AX326" s="55"/>
      <c r="AY326" s="55"/>
      <c r="AZ326" s="55"/>
      <c r="BA326" s="55"/>
      <c r="BB326" s="55"/>
      <c r="BC326" s="55"/>
      <c r="BD326" s="55"/>
      <c r="BE326" s="55"/>
      <c r="BF326" s="55"/>
      <c r="BG326" s="55"/>
      <c r="BH326" s="55"/>
      <c r="BI326" s="55"/>
      <c r="BJ326" s="55"/>
      <c r="BK326" s="55"/>
      <c r="BL326" s="55"/>
      <c r="BM326" s="55"/>
      <c r="BN326" s="55"/>
      <c r="BO326" s="55"/>
      <c r="BP326" s="55"/>
      <c r="BQ326" s="55"/>
      <c r="BR326" s="55"/>
      <c r="BS326" s="55"/>
    </row>
    <row r="327" spans="1:71" outlineLevel="1" x14ac:dyDescent="0.2">
      <c r="D327" t="str">
        <f>HM_ZA_Nkossa!D316</f>
        <v>Cost Oil</v>
      </c>
      <c r="I327" s="30">
        <f t="shared" ref="I327:I331" ca="1" si="84">SUM($L327:$BS327)</f>
        <v>209.86679826310686</v>
      </c>
      <c r="J327" s="26" t="s">
        <v>148</v>
      </c>
      <c r="L327" s="49" cm="1">
        <f t="array" aca="1" ref="L327:BS327" ca="1">HM_ZB_Nsoko!CA_cost_recovered_total*HM_ZB_Nsoko!CA_rev_oil_perc</f>
        <v>13.98886535025</v>
      </c>
      <c r="M327" s="49">
        <f ca="1"/>
        <v>15.7581671628</v>
      </c>
      <c r="N327" s="49">
        <f ca="1"/>
        <v>18.291745306199999</v>
      </c>
      <c r="O327" s="49">
        <f ca="1"/>
        <v>14.759294623199999</v>
      </c>
      <c r="P327" s="49">
        <f ca="1"/>
        <v>16.7932828038</v>
      </c>
      <c r="Q327" s="49">
        <f ca="1"/>
        <v>13.427929127999999</v>
      </c>
      <c r="R327" s="49">
        <f ca="1"/>
        <v>6.7660534655999998</v>
      </c>
      <c r="S327" s="49">
        <f ca="1"/>
        <v>18.563786326481896</v>
      </c>
      <c r="T327" s="49">
        <f ca="1"/>
        <v>21.051568656899995</v>
      </c>
      <c r="U327" s="49">
        <f ca="1"/>
        <v>19.577958850916996</v>
      </c>
      <c r="V327" s="49">
        <f ca="1"/>
        <v>18.207501731352803</v>
      </c>
      <c r="W327" s="49">
        <f ca="1"/>
        <v>16.932976610158107</v>
      </c>
      <c r="X327" s="49">
        <f ca="1"/>
        <v>15.747668247447042</v>
      </c>
      <c r="Y327" s="49">
        <f ca="1"/>
        <v>0</v>
      </c>
      <c r="Z327" s="49">
        <f ca="1"/>
        <v>0</v>
      </c>
      <c r="AA327" s="49">
        <f ca="1"/>
        <v>0</v>
      </c>
      <c r="AB327" s="49">
        <f ca="1"/>
        <v>0</v>
      </c>
      <c r="AC327" s="49">
        <f ca="1"/>
        <v>0</v>
      </c>
      <c r="AD327" s="49">
        <f ca="1"/>
        <v>0</v>
      </c>
      <c r="AE327" s="49">
        <f ca="1"/>
        <v>0</v>
      </c>
      <c r="AF327" s="49">
        <f ca="1"/>
        <v>0</v>
      </c>
      <c r="AG327" s="49">
        <f ca="1"/>
        <v>0</v>
      </c>
      <c r="AH327" s="49">
        <f ca="1"/>
        <v>0</v>
      </c>
      <c r="AI327" s="49">
        <f ca="1"/>
        <v>0</v>
      </c>
      <c r="AJ327" s="49">
        <f ca="1"/>
        <v>0</v>
      </c>
      <c r="AK327" s="49">
        <f ca="1"/>
        <v>0</v>
      </c>
      <c r="AL327" s="49">
        <f ca="1"/>
        <v>0</v>
      </c>
      <c r="AM327" s="49">
        <f ca="1"/>
        <v>0</v>
      </c>
      <c r="AN327" s="49">
        <f ca="1"/>
        <v>0</v>
      </c>
      <c r="AO327" s="49">
        <f ca="1"/>
        <v>0</v>
      </c>
      <c r="AP327" s="49">
        <f ca="1"/>
        <v>0</v>
      </c>
      <c r="AQ327" s="49">
        <f ca="1"/>
        <v>0</v>
      </c>
      <c r="AR327" s="49">
        <f ca="1"/>
        <v>0</v>
      </c>
      <c r="AS327" s="49">
        <f ca="1"/>
        <v>0</v>
      </c>
      <c r="AT327" s="49">
        <f ca="1"/>
        <v>0</v>
      </c>
      <c r="AU327" s="49">
        <f ca="1"/>
        <v>0</v>
      </c>
      <c r="AV327" s="49">
        <f ca="1"/>
        <v>0</v>
      </c>
      <c r="AW327" s="49">
        <f ca="1"/>
        <v>0</v>
      </c>
      <c r="AX327" s="49">
        <f ca="1"/>
        <v>0</v>
      </c>
      <c r="AY327" s="49">
        <f ca="1"/>
        <v>0</v>
      </c>
      <c r="AZ327" s="49">
        <f ca="1"/>
        <v>0</v>
      </c>
      <c r="BA327" s="49">
        <f ca="1"/>
        <v>0</v>
      </c>
      <c r="BB327" s="49">
        <f ca="1"/>
        <v>0</v>
      </c>
      <c r="BC327" s="49">
        <f ca="1"/>
        <v>0</v>
      </c>
      <c r="BD327" s="49">
        <f ca="1"/>
        <v>0</v>
      </c>
      <c r="BE327" s="49">
        <f ca="1"/>
        <v>0</v>
      </c>
      <c r="BF327" s="49">
        <f ca="1"/>
        <v>0</v>
      </c>
      <c r="BG327" s="49">
        <f ca="1"/>
        <v>0</v>
      </c>
      <c r="BH327" s="49">
        <f ca="1"/>
        <v>0</v>
      </c>
      <c r="BI327" s="49">
        <f ca="1"/>
        <v>0</v>
      </c>
      <c r="BJ327" s="49">
        <f ca="1"/>
        <v>0</v>
      </c>
      <c r="BK327" s="49">
        <f ca="1"/>
        <v>0</v>
      </c>
      <c r="BL327" s="49">
        <f ca="1"/>
        <v>0</v>
      </c>
      <c r="BM327" s="49">
        <f ca="1"/>
        <v>0</v>
      </c>
      <c r="BN327" s="49">
        <f ca="1"/>
        <v>0</v>
      </c>
      <c r="BO327" s="49">
        <f ca="1"/>
        <v>0</v>
      </c>
      <c r="BP327" s="49">
        <f ca="1"/>
        <v>0</v>
      </c>
      <c r="BQ327" s="49">
        <f ca="1"/>
        <v>0</v>
      </c>
      <c r="BR327" s="49">
        <f ca="1"/>
        <v>0</v>
      </c>
      <c r="BS327" s="49">
        <f ca="1"/>
        <v>0</v>
      </c>
    </row>
    <row r="328" spans="1:71" outlineLevel="1" x14ac:dyDescent="0.2">
      <c r="D328" t="str">
        <f>HM_ZA_Nkossa!D317</f>
        <v>Excess Cost Oil</v>
      </c>
      <c r="I328" s="30">
        <f t="shared" ca="1" si="84"/>
        <v>0</v>
      </c>
      <c r="J328" s="26" t="s">
        <v>148</v>
      </c>
      <c r="L328" s="49" cm="1">
        <f t="array" aca="1" ref="L328:BS328" ca="1">HM_ZB_Nsoko!CA_excess_CR_cont*HM_ZB_Nsoko!CA_rev_oil_perc</f>
        <v>0</v>
      </c>
      <c r="M328" s="49">
        <f ca="1"/>
        <v>0</v>
      </c>
      <c r="N328" s="49">
        <f ca="1"/>
        <v>0</v>
      </c>
      <c r="O328" s="49">
        <f ca="1"/>
        <v>0</v>
      </c>
      <c r="P328" s="49">
        <f ca="1"/>
        <v>0</v>
      </c>
      <c r="Q328" s="49">
        <f ca="1"/>
        <v>0</v>
      </c>
      <c r="R328" s="49">
        <f ca="1"/>
        <v>0</v>
      </c>
      <c r="S328" s="49">
        <f ca="1"/>
        <v>0</v>
      </c>
      <c r="T328" s="49">
        <f ca="1"/>
        <v>0</v>
      </c>
      <c r="U328" s="49">
        <f ca="1"/>
        <v>0</v>
      </c>
      <c r="V328" s="49">
        <f ca="1"/>
        <v>0</v>
      </c>
      <c r="W328" s="49">
        <f ca="1"/>
        <v>0</v>
      </c>
      <c r="X328" s="49">
        <f ca="1"/>
        <v>0</v>
      </c>
      <c r="Y328" s="49">
        <f ca="1"/>
        <v>0</v>
      </c>
      <c r="Z328" s="49">
        <f ca="1"/>
        <v>0</v>
      </c>
      <c r="AA328" s="49">
        <f ca="1"/>
        <v>0</v>
      </c>
      <c r="AB328" s="49">
        <f ca="1"/>
        <v>0</v>
      </c>
      <c r="AC328" s="49">
        <f ca="1"/>
        <v>0</v>
      </c>
      <c r="AD328" s="49">
        <f ca="1"/>
        <v>0</v>
      </c>
      <c r="AE328" s="49">
        <f ca="1"/>
        <v>0</v>
      </c>
      <c r="AF328" s="49">
        <f ca="1"/>
        <v>0</v>
      </c>
      <c r="AG328" s="49">
        <f ca="1"/>
        <v>0</v>
      </c>
      <c r="AH328" s="49">
        <f ca="1"/>
        <v>0</v>
      </c>
      <c r="AI328" s="49">
        <f ca="1"/>
        <v>0</v>
      </c>
      <c r="AJ328" s="49">
        <f ca="1"/>
        <v>0</v>
      </c>
      <c r="AK328" s="49">
        <f ca="1"/>
        <v>0</v>
      </c>
      <c r="AL328" s="49">
        <f ca="1"/>
        <v>0</v>
      </c>
      <c r="AM328" s="49">
        <f ca="1"/>
        <v>0</v>
      </c>
      <c r="AN328" s="49">
        <f ca="1"/>
        <v>0</v>
      </c>
      <c r="AO328" s="49">
        <f ca="1"/>
        <v>0</v>
      </c>
      <c r="AP328" s="49">
        <f ca="1"/>
        <v>0</v>
      </c>
      <c r="AQ328" s="49">
        <f ca="1"/>
        <v>0</v>
      </c>
      <c r="AR328" s="49">
        <f ca="1"/>
        <v>0</v>
      </c>
      <c r="AS328" s="49">
        <f ca="1"/>
        <v>0</v>
      </c>
      <c r="AT328" s="49">
        <f ca="1"/>
        <v>0</v>
      </c>
      <c r="AU328" s="49">
        <f ca="1"/>
        <v>0</v>
      </c>
      <c r="AV328" s="49">
        <f ca="1"/>
        <v>0</v>
      </c>
      <c r="AW328" s="49">
        <f ca="1"/>
        <v>0</v>
      </c>
      <c r="AX328" s="49">
        <f ca="1"/>
        <v>0</v>
      </c>
      <c r="AY328" s="49">
        <f ca="1"/>
        <v>0</v>
      </c>
      <c r="AZ328" s="49">
        <f ca="1"/>
        <v>0</v>
      </c>
      <c r="BA328" s="49">
        <f ca="1"/>
        <v>0</v>
      </c>
      <c r="BB328" s="49">
        <f ca="1"/>
        <v>0</v>
      </c>
      <c r="BC328" s="49">
        <f ca="1"/>
        <v>0</v>
      </c>
      <c r="BD328" s="49">
        <f ca="1"/>
        <v>0</v>
      </c>
      <c r="BE328" s="49">
        <f ca="1"/>
        <v>0</v>
      </c>
      <c r="BF328" s="49">
        <f ca="1"/>
        <v>0</v>
      </c>
      <c r="BG328" s="49">
        <f ca="1"/>
        <v>0</v>
      </c>
      <c r="BH328" s="49">
        <f ca="1"/>
        <v>0</v>
      </c>
      <c r="BI328" s="49">
        <f ca="1"/>
        <v>0</v>
      </c>
      <c r="BJ328" s="49">
        <f ca="1"/>
        <v>0</v>
      </c>
      <c r="BK328" s="49">
        <f ca="1"/>
        <v>0</v>
      </c>
      <c r="BL328" s="49">
        <f ca="1"/>
        <v>0</v>
      </c>
      <c r="BM328" s="49">
        <f ca="1"/>
        <v>0</v>
      </c>
      <c r="BN328" s="49">
        <f ca="1"/>
        <v>0</v>
      </c>
      <c r="BO328" s="49">
        <f ca="1"/>
        <v>0</v>
      </c>
      <c r="BP328" s="49">
        <f ca="1"/>
        <v>0</v>
      </c>
      <c r="BQ328" s="49">
        <f ca="1"/>
        <v>0</v>
      </c>
      <c r="BR328" s="49">
        <f ca="1"/>
        <v>0</v>
      </c>
      <c r="BS328" s="49">
        <f ca="1"/>
        <v>0</v>
      </c>
    </row>
    <row r="329" spans="1:71" outlineLevel="1" x14ac:dyDescent="0.2">
      <c r="D329" t="str">
        <f>HM_ZA_Nkossa!D318</f>
        <v>Super Profit Oil</v>
      </c>
      <c r="I329" s="30">
        <f t="shared" ca="1" si="84"/>
        <v>35.256211944084924</v>
      </c>
      <c r="J329" s="26" t="s">
        <v>148</v>
      </c>
      <c r="L329" s="49" cm="1">
        <f t="array" aca="1" ref="L329:BS329" ca="1">HM_ZB_Nsoko!CA_SPO_cont</f>
        <v>9.0927890563875025</v>
      </c>
      <c r="M329" s="49">
        <f ca="1"/>
        <v>8.696043040950002</v>
      </c>
      <c r="N329" s="49">
        <f ca="1"/>
        <v>2.6989242760500041</v>
      </c>
      <c r="O329" s="49">
        <f ca="1"/>
        <v>1.2706148410500013</v>
      </c>
      <c r="P329" s="49">
        <f ca="1"/>
        <v>1.7725411666499991</v>
      </c>
      <c r="Q329" s="49">
        <f ca="1"/>
        <v>3.7768349629500015</v>
      </c>
      <c r="R329" s="49">
        <f ca="1"/>
        <v>0.77149078859999953</v>
      </c>
      <c r="S329" s="49">
        <f ca="1"/>
        <v>0</v>
      </c>
      <c r="T329" s="49">
        <f ca="1"/>
        <v>1.1381401853667308</v>
      </c>
      <c r="U329" s="49">
        <f ca="1"/>
        <v>1.4953415231030931</v>
      </c>
      <c r="V329" s="49">
        <f ca="1"/>
        <v>1.5095184774723593</v>
      </c>
      <c r="W329" s="49">
        <f ca="1"/>
        <v>1.5165941107810701</v>
      </c>
      <c r="X329" s="49">
        <f ca="1"/>
        <v>1.5173795147241567</v>
      </c>
      <c r="Y329" s="49">
        <f ca="1"/>
        <v>0</v>
      </c>
      <c r="Z329" s="49">
        <f ca="1"/>
        <v>0</v>
      </c>
      <c r="AA329" s="49">
        <f ca="1"/>
        <v>0</v>
      </c>
      <c r="AB329" s="49">
        <f ca="1"/>
        <v>0</v>
      </c>
      <c r="AC329" s="49">
        <f ca="1"/>
        <v>0</v>
      </c>
      <c r="AD329" s="49">
        <f ca="1"/>
        <v>0</v>
      </c>
      <c r="AE329" s="49">
        <f ca="1"/>
        <v>0</v>
      </c>
      <c r="AF329" s="49">
        <f ca="1"/>
        <v>0</v>
      </c>
      <c r="AG329" s="49">
        <f ca="1"/>
        <v>0</v>
      </c>
      <c r="AH329" s="49">
        <f ca="1"/>
        <v>0</v>
      </c>
      <c r="AI329" s="49">
        <f ca="1"/>
        <v>0</v>
      </c>
      <c r="AJ329" s="49">
        <f ca="1"/>
        <v>0</v>
      </c>
      <c r="AK329" s="49">
        <f ca="1"/>
        <v>0</v>
      </c>
      <c r="AL329" s="49">
        <f ca="1"/>
        <v>0</v>
      </c>
      <c r="AM329" s="49">
        <f ca="1"/>
        <v>0</v>
      </c>
      <c r="AN329" s="49">
        <f ca="1"/>
        <v>0</v>
      </c>
      <c r="AO329" s="49">
        <f ca="1"/>
        <v>0</v>
      </c>
      <c r="AP329" s="49">
        <f ca="1"/>
        <v>0</v>
      </c>
      <c r="AQ329" s="49">
        <f ca="1"/>
        <v>0</v>
      </c>
      <c r="AR329" s="49">
        <f ca="1"/>
        <v>0</v>
      </c>
      <c r="AS329" s="49">
        <f ca="1"/>
        <v>0</v>
      </c>
      <c r="AT329" s="49">
        <f ca="1"/>
        <v>0</v>
      </c>
      <c r="AU329" s="49">
        <f ca="1"/>
        <v>0</v>
      </c>
      <c r="AV329" s="49">
        <f ca="1"/>
        <v>0</v>
      </c>
      <c r="AW329" s="49">
        <f ca="1"/>
        <v>0</v>
      </c>
      <c r="AX329" s="49">
        <f ca="1"/>
        <v>0</v>
      </c>
      <c r="AY329" s="49">
        <f ca="1"/>
        <v>0</v>
      </c>
      <c r="AZ329" s="49">
        <f ca="1"/>
        <v>0</v>
      </c>
      <c r="BA329" s="49">
        <f ca="1"/>
        <v>0</v>
      </c>
      <c r="BB329" s="49">
        <f ca="1"/>
        <v>0</v>
      </c>
      <c r="BC329" s="49">
        <f ca="1"/>
        <v>0</v>
      </c>
      <c r="BD329" s="49">
        <f ca="1"/>
        <v>0</v>
      </c>
      <c r="BE329" s="49">
        <f ca="1"/>
        <v>0</v>
      </c>
      <c r="BF329" s="49">
        <f ca="1"/>
        <v>0</v>
      </c>
      <c r="BG329" s="49">
        <f ca="1"/>
        <v>0</v>
      </c>
      <c r="BH329" s="49">
        <f ca="1"/>
        <v>0</v>
      </c>
      <c r="BI329" s="49">
        <f ca="1"/>
        <v>0</v>
      </c>
      <c r="BJ329" s="49">
        <f ca="1"/>
        <v>0</v>
      </c>
      <c r="BK329" s="49">
        <f ca="1"/>
        <v>0</v>
      </c>
      <c r="BL329" s="49">
        <f ca="1"/>
        <v>0</v>
      </c>
      <c r="BM329" s="49">
        <f ca="1"/>
        <v>0</v>
      </c>
      <c r="BN329" s="49">
        <f ca="1"/>
        <v>0</v>
      </c>
      <c r="BO329" s="49">
        <f ca="1"/>
        <v>0</v>
      </c>
      <c r="BP329" s="49">
        <f ca="1"/>
        <v>0</v>
      </c>
      <c r="BQ329" s="49">
        <f ca="1"/>
        <v>0</v>
      </c>
      <c r="BR329" s="49">
        <f ca="1"/>
        <v>0</v>
      </c>
      <c r="BS329" s="49">
        <f ca="1"/>
        <v>0</v>
      </c>
    </row>
    <row r="330" spans="1:71" outlineLevel="1" x14ac:dyDescent="0.2">
      <c r="D330" t="str">
        <f>HM_ZA_Nkossa!D319</f>
        <v>Profit Oil</v>
      </c>
      <c r="I330" s="30">
        <f t="shared" ca="1" si="84"/>
        <v>50.311115614656636</v>
      </c>
      <c r="J330" s="26" t="s">
        <v>148</v>
      </c>
      <c r="L330" s="49" cm="1">
        <f t="array" aca="1" ref="L330:BS330" ca="1">HM_ZB_Nsoko!CA_PS_cont*HM_ZB_Nsoko!CA_rev_oil_perc</f>
        <v>3.9052249102781329</v>
      </c>
      <c r="M330" s="49">
        <f ca="1"/>
        <v>4.3991549996150034</v>
      </c>
      <c r="N330" s="49">
        <f ca="1"/>
        <v>5.1064455646474984</v>
      </c>
      <c r="O330" s="49">
        <f ca="1"/>
        <v>4.1203030823100004</v>
      </c>
      <c r="P330" s="49">
        <f ca="1"/>
        <v>4.688124782727499</v>
      </c>
      <c r="Q330" s="49">
        <f ca="1"/>
        <v>3.7486302148999973</v>
      </c>
      <c r="R330" s="49">
        <f ca="1"/>
        <v>1.4095944719999998</v>
      </c>
      <c r="S330" s="49">
        <f ca="1"/>
        <v>3.8674554846837275</v>
      </c>
      <c r="T330" s="49">
        <f ca="1"/>
        <v>4.3857434701874993</v>
      </c>
      <c r="U330" s="49">
        <f ca="1"/>
        <v>4.0787414272743749</v>
      </c>
      <c r="V330" s="49">
        <f ca="1"/>
        <v>3.7932295273651695</v>
      </c>
      <c r="W330" s="49">
        <f ca="1"/>
        <v>3.5277034604496045</v>
      </c>
      <c r="X330" s="49">
        <f ca="1"/>
        <v>3.2807642182181338</v>
      </c>
      <c r="Y330" s="49">
        <f ca="1"/>
        <v>0</v>
      </c>
      <c r="Z330" s="49">
        <f ca="1"/>
        <v>0</v>
      </c>
      <c r="AA330" s="49">
        <f ca="1"/>
        <v>0</v>
      </c>
      <c r="AB330" s="49">
        <f ca="1"/>
        <v>0</v>
      </c>
      <c r="AC330" s="49">
        <f ca="1"/>
        <v>0</v>
      </c>
      <c r="AD330" s="49">
        <f ca="1"/>
        <v>0</v>
      </c>
      <c r="AE330" s="49">
        <f ca="1"/>
        <v>0</v>
      </c>
      <c r="AF330" s="49">
        <f ca="1"/>
        <v>0</v>
      </c>
      <c r="AG330" s="49">
        <f ca="1"/>
        <v>0</v>
      </c>
      <c r="AH330" s="49">
        <f ca="1"/>
        <v>0</v>
      </c>
      <c r="AI330" s="49">
        <f ca="1"/>
        <v>0</v>
      </c>
      <c r="AJ330" s="49">
        <f ca="1"/>
        <v>0</v>
      </c>
      <c r="AK330" s="49">
        <f ca="1"/>
        <v>0</v>
      </c>
      <c r="AL330" s="49">
        <f ca="1"/>
        <v>0</v>
      </c>
      <c r="AM330" s="49">
        <f ca="1"/>
        <v>0</v>
      </c>
      <c r="AN330" s="49">
        <f ca="1"/>
        <v>0</v>
      </c>
      <c r="AO330" s="49">
        <f ca="1"/>
        <v>0</v>
      </c>
      <c r="AP330" s="49">
        <f ca="1"/>
        <v>0</v>
      </c>
      <c r="AQ330" s="49">
        <f ca="1"/>
        <v>0</v>
      </c>
      <c r="AR330" s="49">
        <f ca="1"/>
        <v>0</v>
      </c>
      <c r="AS330" s="49">
        <f ca="1"/>
        <v>0</v>
      </c>
      <c r="AT330" s="49">
        <f ca="1"/>
        <v>0</v>
      </c>
      <c r="AU330" s="49">
        <f ca="1"/>
        <v>0</v>
      </c>
      <c r="AV330" s="49">
        <f ca="1"/>
        <v>0</v>
      </c>
      <c r="AW330" s="49">
        <f ca="1"/>
        <v>0</v>
      </c>
      <c r="AX330" s="49">
        <f ca="1"/>
        <v>0</v>
      </c>
      <c r="AY330" s="49">
        <f ca="1"/>
        <v>0</v>
      </c>
      <c r="AZ330" s="49">
        <f ca="1"/>
        <v>0</v>
      </c>
      <c r="BA330" s="49">
        <f ca="1"/>
        <v>0</v>
      </c>
      <c r="BB330" s="49">
        <f ca="1"/>
        <v>0</v>
      </c>
      <c r="BC330" s="49">
        <f ca="1"/>
        <v>0</v>
      </c>
      <c r="BD330" s="49">
        <f ca="1"/>
        <v>0</v>
      </c>
      <c r="BE330" s="49">
        <f ca="1"/>
        <v>0</v>
      </c>
      <c r="BF330" s="49">
        <f ca="1"/>
        <v>0</v>
      </c>
      <c r="BG330" s="49">
        <f ca="1"/>
        <v>0</v>
      </c>
      <c r="BH330" s="49">
        <f ca="1"/>
        <v>0</v>
      </c>
      <c r="BI330" s="49">
        <f ca="1"/>
        <v>0</v>
      </c>
      <c r="BJ330" s="49">
        <f ca="1"/>
        <v>0</v>
      </c>
      <c r="BK330" s="49">
        <f ca="1"/>
        <v>0</v>
      </c>
      <c r="BL330" s="49">
        <f ca="1"/>
        <v>0</v>
      </c>
      <c r="BM330" s="49">
        <f ca="1"/>
        <v>0</v>
      </c>
      <c r="BN330" s="49">
        <f ca="1"/>
        <v>0</v>
      </c>
      <c r="BO330" s="49">
        <f ca="1"/>
        <v>0</v>
      </c>
      <c r="BP330" s="49">
        <f ca="1"/>
        <v>0</v>
      </c>
      <c r="BQ330" s="49">
        <f ca="1"/>
        <v>0</v>
      </c>
      <c r="BR330" s="49">
        <f ca="1"/>
        <v>0</v>
      </c>
      <c r="BS330" s="49">
        <f ca="1"/>
        <v>0</v>
      </c>
    </row>
    <row r="331" spans="1:71" outlineLevel="1" x14ac:dyDescent="0.2">
      <c r="D331" s="11" t="str">
        <f>HM_ZA_Nkossa!D320</f>
        <v>Total</v>
      </c>
      <c r="I331" s="30">
        <f t="shared" ca="1" si="84"/>
        <v>295.4341258218484</v>
      </c>
      <c r="J331" s="26" t="s">
        <v>148</v>
      </c>
      <c r="K331" s="7" t="s">
        <v>247</v>
      </c>
      <c r="L331" s="49">
        <f ca="1">SUM(L327:L330)</f>
        <v>26.986879316915637</v>
      </c>
      <c r="M331" s="49">
        <f t="shared" ref="M331:BS331" ca="1" si="85">SUM(M327:M330)</f>
        <v>28.853365203365005</v>
      </c>
      <c r="N331" s="49">
        <f t="shared" ca="1" si="85"/>
        <v>26.097115146897501</v>
      </c>
      <c r="O331" s="49">
        <f t="shared" ca="1" si="85"/>
        <v>20.150212546559999</v>
      </c>
      <c r="P331" s="49">
        <f t="shared" ca="1" si="85"/>
        <v>23.253948753177497</v>
      </c>
      <c r="Q331" s="49">
        <f t="shared" ca="1" si="85"/>
        <v>20.953394305849997</v>
      </c>
      <c r="R331" s="49">
        <f t="shared" ca="1" si="85"/>
        <v>8.9471387261999986</v>
      </c>
      <c r="S331" s="49">
        <f t="shared" ca="1" si="85"/>
        <v>22.431241811165624</v>
      </c>
      <c r="T331" s="49">
        <f t="shared" ca="1" si="85"/>
        <v>26.575452312454225</v>
      </c>
      <c r="U331" s="49">
        <f t="shared" ca="1" si="85"/>
        <v>25.152041801294466</v>
      </c>
      <c r="V331" s="49">
        <f t="shared" ca="1" si="85"/>
        <v>23.510249736190332</v>
      </c>
      <c r="W331" s="49">
        <f t="shared" ca="1" si="85"/>
        <v>21.977274181388783</v>
      </c>
      <c r="X331" s="49">
        <f t="shared" ca="1" si="85"/>
        <v>20.545811980389335</v>
      </c>
      <c r="Y331" s="49">
        <f t="shared" ca="1" si="85"/>
        <v>0</v>
      </c>
      <c r="Z331" s="49">
        <f t="shared" ca="1" si="85"/>
        <v>0</v>
      </c>
      <c r="AA331" s="49">
        <f t="shared" ca="1" si="85"/>
        <v>0</v>
      </c>
      <c r="AB331" s="49">
        <f t="shared" ca="1" si="85"/>
        <v>0</v>
      </c>
      <c r="AC331" s="49">
        <f t="shared" ca="1" si="85"/>
        <v>0</v>
      </c>
      <c r="AD331" s="49">
        <f t="shared" ca="1" si="85"/>
        <v>0</v>
      </c>
      <c r="AE331" s="49">
        <f t="shared" ca="1" si="85"/>
        <v>0</v>
      </c>
      <c r="AF331" s="49">
        <f t="shared" ca="1" si="85"/>
        <v>0</v>
      </c>
      <c r="AG331" s="49">
        <f t="shared" ca="1" si="85"/>
        <v>0</v>
      </c>
      <c r="AH331" s="49">
        <f t="shared" ca="1" si="85"/>
        <v>0</v>
      </c>
      <c r="AI331" s="49">
        <f t="shared" ca="1" si="85"/>
        <v>0</v>
      </c>
      <c r="AJ331" s="49">
        <f t="shared" ca="1" si="85"/>
        <v>0</v>
      </c>
      <c r="AK331" s="49">
        <f t="shared" ca="1" si="85"/>
        <v>0</v>
      </c>
      <c r="AL331" s="49">
        <f t="shared" ca="1" si="85"/>
        <v>0</v>
      </c>
      <c r="AM331" s="49">
        <f t="shared" ca="1" si="85"/>
        <v>0</v>
      </c>
      <c r="AN331" s="49">
        <f t="shared" ca="1" si="85"/>
        <v>0</v>
      </c>
      <c r="AO331" s="49">
        <f t="shared" ca="1" si="85"/>
        <v>0</v>
      </c>
      <c r="AP331" s="49">
        <f t="shared" ca="1" si="85"/>
        <v>0</v>
      </c>
      <c r="AQ331" s="49">
        <f t="shared" ca="1" si="85"/>
        <v>0</v>
      </c>
      <c r="AR331" s="49">
        <f t="shared" ca="1" si="85"/>
        <v>0</v>
      </c>
      <c r="AS331" s="49">
        <f t="shared" ca="1" si="85"/>
        <v>0</v>
      </c>
      <c r="AT331" s="49">
        <f t="shared" ca="1" si="85"/>
        <v>0</v>
      </c>
      <c r="AU331" s="49">
        <f t="shared" ca="1" si="85"/>
        <v>0</v>
      </c>
      <c r="AV331" s="49">
        <f t="shared" ca="1" si="85"/>
        <v>0</v>
      </c>
      <c r="AW331" s="49">
        <f t="shared" ca="1" si="85"/>
        <v>0</v>
      </c>
      <c r="AX331" s="49">
        <f t="shared" ca="1" si="85"/>
        <v>0</v>
      </c>
      <c r="AY331" s="49">
        <f t="shared" ca="1" si="85"/>
        <v>0</v>
      </c>
      <c r="AZ331" s="49">
        <f t="shared" ca="1" si="85"/>
        <v>0</v>
      </c>
      <c r="BA331" s="49">
        <f t="shared" ca="1" si="85"/>
        <v>0</v>
      </c>
      <c r="BB331" s="49">
        <f t="shared" ca="1" si="85"/>
        <v>0</v>
      </c>
      <c r="BC331" s="49">
        <f t="shared" ca="1" si="85"/>
        <v>0</v>
      </c>
      <c r="BD331" s="49">
        <f t="shared" ca="1" si="85"/>
        <v>0</v>
      </c>
      <c r="BE331" s="49">
        <f t="shared" ca="1" si="85"/>
        <v>0</v>
      </c>
      <c r="BF331" s="49">
        <f t="shared" ca="1" si="85"/>
        <v>0</v>
      </c>
      <c r="BG331" s="49">
        <f t="shared" ca="1" si="85"/>
        <v>0</v>
      </c>
      <c r="BH331" s="49">
        <f t="shared" ca="1" si="85"/>
        <v>0</v>
      </c>
      <c r="BI331" s="49">
        <f t="shared" ca="1" si="85"/>
        <v>0</v>
      </c>
      <c r="BJ331" s="49">
        <f t="shared" ca="1" si="85"/>
        <v>0</v>
      </c>
      <c r="BK331" s="49">
        <f t="shared" ca="1" si="85"/>
        <v>0</v>
      </c>
      <c r="BL331" s="49">
        <f t="shared" ca="1" si="85"/>
        <v>0</v>
      </c>
      <c r="BM331" s="49">
        <f t="shared" ca="1" si="85"/>
        <v>0</v>
      </c>
      <c r="BN331" s="49">
        <f t="shared" ca="1" si="85"/>
        <v>0</v>
      </c>
      <c r="BO331" s="49">
        <f t="shared" ca="1" si="85"/>
        <v>0</v>
      </c>
      <c r="BP331" s="49">
        <f t="shared" ca="1" si="85"/>
        <v>0</v>
      </c>
      <c r="BQ331" s="49">
        <f t="shared" ca="1" si="85"/>
        <v>0</v>
      </c>
      <c r="BR331" s="49">
        <f t="shared" ca="1" si="85"/>
        <v>0</v>
      </c>
      <c r="BS331" s="49">
        <f t="shared" ca="1" si="85"/>
        <v>0</v>
      </c>
    </row>
    <row r="332" spans="1:71" outlineLevel="1" x14ac:dyDescent="0.2">
      <c r="J332" s="26"/>
      <c r="L332" s="55"/>
      <c r="M332" s="55"/>
      <c r="N332" s="55"/>
      <c r="O332" s="55"/>
      <c r="P332" s="55"/>
      <c r="Q332" s="55"/>
      <c r="R332" s="55"/>
      <c r="S332" s="55"/>
      <c r="T332" s="55"/>
      <c r="U332" s="55"/>
      <c r="V332" s="55"/>
      <c r="W332" s="55"/>
      <c r="X332" s="55"/>
      <c r="Y332" s="55"/>
      <c r="Z332" s="55"/>
      <c r="AA332" s="55"/>
      <c r="AB332" s="55"/>
      <c r="AC332" s="55"/>
      <c r="AD332" s="55"/>
      <c r="AE332" s="55"/>
      <c r="AF332" s="55"/>
      <c r="AG332" s="55"/>
      <c r="AH332" s="55"/>
      <c r="AI332" s="55"/>
      <c r="AJ332" s="55"/>
      <c r="AK332" s="55"/>
      <c r="AL332" s="55"/>
      <c r="AM332" s="55"/>
      <c r="AN332" s="55"/>
      <c r="AO332" s="55"/>
      <c r="AP332" s="55"/>
      <c r="AQ332" s="55"/>
      <c r="AR332" s="55"/>
      <c r="AS332" s="55"/>
      <c r="AT332" s="55"/>
      <c r="AU332" s="55"/>
      <c r="AV332" s="55"/>
      <c r="AW332" s="55"/>
      <c r="AX332" s="55"/>
      <c r="AY332" s="55"/>
      <c r="AZ332" s="55"/>
      <c r="BA332" s="55"/>
      <c r="BB332" s="55"/>
      <c r="BC332" s="55"/>
      <c r="BD332" s="55"/>
      <c r="BE332" s="55"/>
      <c r="BF332" s="55"/>
      <c r="BG332" s="55"/>
      <c r="BH332" s="55"/>
      <c r="BI332" s="55"/>
      <c r="BJ332" s="55"/>
      <c r="BK332" s="55"/>
      <c r="BL332" s="55"/>
      <c r="BM332" s="55"/>
      <c r="BN332" s="55"/>
      <c r="BO332" s="55"/>
      <c r="BP332" s="55"/>
      <c r="BQ332" s="55"/>
      <c r="BR332" s="55"/>
      <c r="BS332" s="55"/>
    </row>
    <row r="333" spans="1:71" outlineLevel="1" x14ac:dyDescent="0.2">
      <c r="C333" s="11" t="str">
        <f>HM_ZA_Nkossa!C322</f>
        <v>Revenus des droits - Gaz</v>
      </c>
      <c r="J333" s="26"/>
      <c r="L333" s="55"/>
      <c r="M333" s="55"/>
      <c r="N333" s="55"/>
      <c r="O333" s="55"/>
      <c r="P333" s="55"/>
      <c r="Q333" s="55"/>
      <c r="R333" s="55"/>
      <c r="S333" s="55"/>
      <c r="T333" s="55"/>
      <c r="U333" s="55"/>
      <c r="V333" s="55"/>
      <c r="W333" s="55"/>
      <c r="X333" s="55"/>
      <c r="Y333" s="55"/>
      <c r="Z333" s="55"/>
      <c r="AA333" s="55"/>
      <c r="AB333" s="55"/>
      <c r="AC333" s="55"/>
      <c r="AD333" s="55"/>
      <c r="AE333" s="55"/>
      <c r="AF333" s="55"/>
      <c r="AG333" s="55"/>
      <c r="AH333" s="55"/>
      <c r="AI333" s="55"/>
      <c r="AJ333" s="55"/>
      <c r="AK333" s="55"/>
      <c r="AL333" s="55"/>
      <c r="AM333" s="55"/>
      <c r="AN333" s="55"/>
      <c r="AO333" s="55"/>
      <c r="AP333" s="55"/>
      <c r="AQ333" s="55"/>
      <c r="AR333" s="55"/>
      <c r="AS333" s="55"/>
      <c r="AT333" s="55"/>
      <c r="AU333" s="55"/>
      <c r="AV333" s="55"/>
      <c r="AW333" s="55"/>
      <c r="AX333" s="55"/>
      <c r="AY333" s="55"/>
      <c r="AZ333" s="55"/>
      <c r="BA333" s="55"/>
      <c r="BB333" s="55"/>
      <c r="BC333" s="55"/>
      <c r="BD333" s="55"/>
      <c r="BE333" s="55"/>
      <c r="BF333" s="55"/>
      <c r="BG333" s="55"/>
      <c r="BH333" s="55"/>
      <c r="BI333" s="55"/>
      <c r="BJ333" s="55"/>
      <c r="BK333" s="55"/>
      <c r="BL333" s="55"/>
      <c r="BM333" s="55"/>
      <c r="BN333" s="55"/>
      <c r="BO333" s="55"/>
      <c r="BP333" s="55"/>
      <c r="BQ333" s="55"/>
      <c r="BR333" s="55"/>
      <c r="BS333" s="55"/>
    </row>
    <row r="334" spans="1:71" outlineLevel="1" x14ac:dyDescent="0.2">
      <c r="D334" t="str">
        <f>HM_ZA_Nkossa!D323</f>
        <v>Cost Gaz</v>
      </c>
      <c r="I334" s="30">
        <f t="shared" ref="I334:I337" ca="1" si="86">SUM($L334:$BS334)</f>
        <v>0</v>
      </c>
      <c r="J334" s="26" t="s">
        <v>148</v>
      </c>
      <c r="L334" s="49" cm="1">
        <f t="array" aca="1" ref="L334:BS334" ca="1">HM_ZB_Nsoko!CA_cost_recovered_total*HM_ZB_Nsoko!CA_rev_gas_perc</f>
        <v>0</v>
      </c>
      <c r="M334" s="49">
        <f ca="1"/>
        <v>0</v>
      </c>
      <c r="N334" s="49">
        <f ca="1"/>
        <v>0</v>
      </c>
      <c r="O334" s="49">
        <f ca="1"/>
        <v>0</v>
      </c>
      <c r="P334" s="49">
        <f ca="1"/>
        <v>0</v>
      </c>
      <c r="Q334" s="49">
        <f ca="1"/>
        <v>0</v>
      </c>
      <c r="R334" s="49">
        <f ca="1"/>
        <v>0</v>
      </c>
      <c r="S334" s="49">
        <f ca="1"/>
        <v>0</v>
      </c>
      <c r="T334" s="49">
        <f ca="1"/>
        <v>0</v>
      </c>
      <c r="U334" s="49">
        <f ca="1"/>
        <v>0</v>
      </c>
      <c r="V334" s="49">
        <f ca="1"/>
        <v>0</v>
      </c>
      <c r="W334" s="49">
        <f ca="1"/>
        <v>0</v>
      </c>
      <c r="X334" s="49">
        <f ca="1"/>
        <v>0</v>
      </c>
      <c r="Y334" s="49">
        <f ca="1"/>
        <v>0</v>
      </c>
      <c r="Z334" s="49">
        <f ca="1"/>
        <v>0</v>
      </c>
      <c r="AA334" s="49">
        <f ca="1"/>
        <v>0</v>
      </c>
      <c r="AB334" s="49">
        <f ca="1"/>
        <v>0</v>
      </c>
      <c r="AC334" s="49">
        <f ca="1"/>
        <v>0</v>
      </c>
      <c r="AD334" s="49">
        <f ca="1"/>
        <v>0</v>
      </c>
      <c r="AE334" s="49">
        <f ca="1"/>
        <v>0</v>
      </c>
      <c r="AF334" s="49">
        <f ca="1"/>
        <v>0</v>
      </c>
      <c r="AG334" s="49">
        <f ca="1"/>
        <v>0</v>
      </c>
      <c r="AH334" s="49">
        <f ca="1"/>
        <v>0</v>
      </c>
      <c r="AI334" s="49">
        <f ca="1"/>
        <v>0</v>
      </c>
      <c r="AJ334" s="49">
        <f ca="1"/>
        <v>0</v>
      </c>
      <c r="AK334" s="49">
        <f ca="1"/>
        <v>0</v>
      </c>
      <c r="AL334" s="49">
        <f ca="1"/>
        <v>0</v>
      </c>
      <c r="AM334" s="49">
        <f ca="1"/>
        <v>0</v>
      </c>
      <c r="AN334" s="49">
        <f ca="1"/>
        <v>0</v>
      </c>
      <c r="AO334" s="49">
        <f ca="1"/>
        <v>0</v>
      </c>
      <c r="AP334" s="49">
        <f ca="1"/>
        <v>0</v>
      </c>
      <c r="AQ334" s="49">
        <f ca="1"/>
        <v>0</v>
      </c>
      <c r="AR334" s="49">
        <f ca="1"/>
        <v>0</v>
      </c>
      <c r="AS334" s="49">
        <f ca="1"/>
        <v>0</v>
      </c>
      <c r="AT334" s="49">
        <f ca="1"/>
        <v>0</v>
      </c>
      <c r="AU334" s="49">
        <f ca="1"/>
        <v>0</v>
      </c>
      <c r="AV334" s="49">
        <f ca="1"/>
        <v>0</v>
      </c>
      <c r="AW334" s="49">
        <f ca="1"/>
        <v>0</v>
      </c>
      <c r="AX334" s="49">
        <f ca="1"/>
        <v>0</v>
      </c>
      <c r="AY334" s="49">
        <f ca="1"/>
        <v>0</v>
      </c>
      <c r="AZ334" s="49">
        <f ca="1"/>
        <v>0</v>
      </c>
      <c r="BA334" s="49">
        <f ca="1"/>
        <v>0</v>
      </c>
      <c r="BB334" s="49">
        <f ca="1"/>
        <v>0</v>
      </c>
      <c r="BC334" s="49">
        <f ca="1"/>
        <v>0</v>
      </c>
      <c r="BD334" s="49">
        <f ca="1"/>
        <v>0</v>
      </c>
      <c r="BE334" s="49">
        <f ca="1"/>
        <v>0</v>
      </c>
      <c r="BF334" s="49">
        <f ca="1"/>
        <v>0</v>
      </c>
      <c r="BG334" s="49">
        <f ca="1"/>
        <v>0</v>
      </c>
      <c r="BH334" s="49">
        <f ca="1"/>
        <v>0</v>
      </c>
      <c r="BI334" s="49">
        <f ca="1"/>
        <v>0</v>
      </c>
      <c r="BJ334" s="49">
        <f ca="1"/>
        <v>0</v>
      </c>
      <c r="BK334" s="49">
        <f ca="1"/>
        <v>0</v>
      </c>
      <c r="BL334" s="49">
        <f ca="1"/>
        <v>0</v>
      </c>
      <c r="BM334" s="49">
        <f ca="1"/>
        <v>0</v>
      </c>
      <c r="BN334" s="49">
        <f ca="1"/>
        <v>0</v>
      </c>
      <c r="BO334" s="49">
        <f ca="1"/>
        <v>0</v>
      </c>
      <c r="BP334" s="49">
        <f ca="1"/>
        <v>0</v>
      </c>
      <c r="BQ334" s="49">
        <f ca="1"/>
        <v>0</v>
      </c>
      <c r="BR334" s="49">
        <f ca="1"/>
        <v>0</v>
      </c>
      <c r="BS334" s="49">
        <f ca="1"/>
        <v>0</v>
      </c>
    </row>
    <row r="335" spans="1:71" outlineLevel="1" x14ac:dyDescent="0.2">
      <c r="D335" t="str">
        <f>HM_ZA_Nkossa!D324</f>
        <v>Excess Cost Gaz</v>
      </c>
      <c r="I335" s="30">
        <f t="shared" ca="1" si="86"/>
        <v>0</v>
      </c>
      <c r="J335" s="26" t="s">
        <v>148</v>
      </c>
      <c r="L335" s="49" cm="1">
        <f t="array" aca="1" ref="L335:BS335" ca="1">HM_ZB_Nsoko!CA_excess_CR_cont*HM_ZB_Nsoko!CA_rev_gas_perc</f>
        <v>0</v>
      </c>
      <c r="M335" s="49">
        <f ca="1"/>
        <v>0</v>
      </c>
      <c r="N335" s="49">
        <f ca="1"/>
        <v>0</v>
      </c>
      <c r="O335" s="49">
        <f ca="1"/>
        <v>0</v>
      </c>
      <c r="P335" s="49">
        <f ca="1"/>
        <v>0</v>
      </c>
      <c r="Q335" s="49">
        <f ca="1"/>
        <v>0</v>
      </c>
      <c r="R335" s="49">
        <f ca="1"/>
        <v>0</v>
      </c>
      <c r="S335" s="49">
        <f ca="1"/>
        <v>0</v>
      </c>
      <c r="T335" s="49">
        <f ca="1"/>
        <v>0</v>
      </c>
      <c r="U335" s="49">
        <f ca="1"/>
        <v>0</v>
      </c>
      <c r="V335" s="49">
        <f ca="1"/>
        <v>0</v>
      </c>
      <c r="W335" s="49">
        <f ca="1"/>
        <v>0</v>
      </c>
      <c r="X335" s="49">
        <f ca="1"/>
        <v>0</v>
      </c>
      <c r="Y335" s="49">
        <f ca="1"/>
        <v>0</v>
      </c>
      <c r="Z335" s="49">
        <f ca="1"/>
        <v>0</v>
      </c>
      <c r="AA335" s="49">
        <f ca="1"/>
        <v>0</v>
      </c>
      <c r="AB335" s="49">
        <f ca="1"/>
        <v>0</v>
      </c>
      <c r="AC335" s="49">
        <f ca="1"/>
        <v>0</v>
      </c>
      <c r="AD335" s="49">
        <f ca="1"/>
        <v>0</v>
      </c>
      <c r="AE335" s="49">
        <f ca="1"/>
        <v>0</v>
      </c>
      <c r="AF335" s="49">
        <f ca="1"/>
        <v>0</v>
      </c>
      <c r="AG335" s="49">
        <f ca="1"/>
        <v>0</v>
      </c>
      <c r="AH335" s="49">
        <f ca="1"/>
        <v>0</v>
      </c>
      <c r="AI335" s="49">
        <f ca="1"/>
        <v>0</v>
      </c>
      <c r="AJ335" s="49">
        <f ca="1"/>
        <v>0</v>
      </c>
      <c r="AK335" s="49">
        <f ca="1"/>
        <v>0</v>
      </c>
      <c r="AL335" s="49">
        <f ca="1"/>
        <v>0</v>
      </c>
      <c r="AM335" s="49">
        <f ca="1"/>
        <v>0</v>
      </c>
      <c r="AN335" s="49">
        <f ca="1"/>
        <v>0</v>
      </c>
      <c r="AO335" s="49">
        <f ca="1"/>
        <v>0</v>
      </c>
      <c r="AP335" s="49">
        <f ca="1"/>
        <v>0</v>
      </c>
      <c r="AQ335" s="49">
        <f ca="1"/>
        <v>0</v>
      </c>
      <c r="AR335" s="49">
        <f ca="1"/>
        <v>0</v>
      </c>
      <c r="AS335" s="49">
        <f ca="1"/>
        <v>0</v>
      </c>
      <c r="AT335" s="49">
        <f ca="1"/>
        <v>0</v>
      </c>
      <c r="AU335" s="49">
        <f ca="1"/>
        <v>0</v>
      </c>
      <c r="AV335" s="49">
        <f ca="1"/>
        <v>0</v>
      </c>
      <c r="AW335" s="49">
        <f ca="1"/>
        <v>0</v>
      </c>
      <c r="AX335" s="49">
        <f ca="1"/>
        <v>0</v>
      </c>
      <c r="AY335" s="49">
        <f ca="1"/>
        <v>0</v>
      </c>
      <c r="AZ335" s="49">
        <f ca="1"/>
        <v>0</v>
      </c>
      <c r="BA335" s="49">
        <f ca="1"/>
        <v>0</v>
      </c>
      <c r="BB335" s="49">
        <f ca="1"/>
        <v>0</v>
      </c>
      <c r="BC335" s="49">
        <f ca="1"/>
        <v>0</v>
      </c>
      <c r="BD335" s="49">
        <f ca="1"/>
        <v>0</v>
      </c>
      <c r="BE335" s="49">
        <f ca="1"/>
        <v>0</v>
      </c>
      <c r="BF335" s="49">
        <f ca="1"/>
        <v>0</v>
      </c>
      <c r="BG335" s="49">
        <f ca="1"/>
        <v>0</v>
      </c>
      <c r="BH335" s="49">
        <f ca="1"/>
        <v>0</v>
      </c>
      <c r="BI335" s="49">
        <f ca="1"/>
        <v>0</v>
      </c>
      <c r="BJ335" s="49">
        <f ca="1"/>
        <v>0</v>
      </c>
      <c r="BK335" s="49">
        <f ca="1"/>
        <v>0</v>
      </c>
      <c r="BL335" s="49">
        <f ca="1"/>
        <v>0</v>
      </c>
      <c r="BM335" s="49">
        <f ca="1"/>
        <v>0</v>
      </c>
      <c r="BN335" s="49">
        <f ca="1"/>
        <v>0</v>
      </c>
      <c r="BO335" s="49">
        <f ca="1"/>
        <v>0</v>
      </c>
      <c r="BP335" s="49">
        <f ca="1"/>
        <v>0</v>
      </c>
      <c r="BQ335" s="49">
        <f ca="1"/>
        <v>0</v>
      </c>
      <c r="BR335" s="49">
        <f ca="1"/>
        <v>0</v>
      </c>
      <c r="BS335" s="49">
        <f ca="1"/>
        <v>0</v>
      </c>
    </row>
    <row r="336" spans="1:71" outlineLevel="1" x14ac:dyDescent="0.2">
      <c r="D336" t="str">
        <f>HM_ZA_Nkossa!D325</f>
        <v>Profit Gaz</v>
      </c>
      <c r="I336" s="30">
        <f t="shared" ca="1" si="86"/>
        <v>0</v>
      </c>
      <c r="J336" s="26" t="s">
        <v>148</v>
      </c>
      <c r="L336" s="49" cm="1">
        <f t="array" aca="1" ref="L336:BS336" ca="1">HM_ZB_Nsoko!CA_PS_cont*HM_ZB_Nsoko!CA_rev_gas_perc</f>
        <v>0</v>
      </c>
      <c r="M336" s="49">
        <f ca="1"/>
        <v>0</v>
      </c>
      <c r="N336" s="49">
        <f ca="1"/>
        <v>0</v>
      </c>
      <c r="O336" s="49">
        <f ca="1"/>
        <v>0</v>
      </c>
      <c r="P336" s="49">
        <f ca="1"/>
        <v>0</v>
      </c>
      <c r="Q336" s="49">
        <f ca="1"/>
        <v>0</v>
      </c>
      <c r="R336" s="49">
        <f ca="1"/>
        <v>0</v>
      </c>
      <c r="S336" s="49">
        <f ca="1"/>
        <v>0</v>
      </c>
      <c r="T336" s="49">
        <f ca="1"/>
        <v>0</v>
      </c>
      <c r="U336" s="49">
        <f ca="1"/>
        <v>0</v>
      </c>
      <c r="V336" s="49">
        <f ca="1"/>
        <v>0</v>
      </c>
      <c r="W336" s="49">
        <f ca="1"/>
        <v>0</v>
      </c>
      <c r="X336" s="49">
        <f ca="1"/>
        <v>0</v>
      </c>
      <c r="Y336" s="49">
        <f ca="1"/>
        <v>0</v>
      </c>
      <c r="Z336" s="49">
        <f ca="1"/>
        <v>0</v>
      </c>
      <c r="AA336" s="49">
        <f ca="1"/>
        <v>0</v>
      </c>
      <c r="AB336" s="49">
        <f ca="1"/>
        <v>0</v>
      </c>
      <c r="AC336" s="49">
        <f ca="1"/>
        <v>0</v>
      </c>
      <c r="AD336" s="49">
        <f ca="1"/>
        <v>0</v>
      </c>
      <c r="AE336" s="49">
        <f ca="1"/>
        <v>0</v>
      </c>
      <c r="AF336" s="49">
        <f ca="1"/>
        <v>0</v>
      </c>
      <c r="AG336" s="49">
        <f ca="1"/>
        <v>0</v>
      </c>
      <c r="AH336" s="49">
        <f ca="1"/>
        <v>0</v>
      </c>
      <c r="AI336" s="49">
        <f ca="1"/>
        <v>0</v>
      </c>
      <c r="AJ336" s="49">
        <f ca="1"/>
        <v>0</v>
      </c>
      <c r="AK336" s="49">
        <f ca="1"/>
        <v>0</v>
      </c>
      <c r="AL336" s="49">
        <f ca="1"/>
        <v>0</v>
      </c>
      <c r="AM336" s="49">
        <f ca="1"/>
        <v>0</v>
      </c>
      <c r="AN336" s="49">
        <f ca="1"/>
        <v>0</v>
      </c>
      <c r="AO336" s="49">
        <f ca="1"/>
        <v>0</v>
      </c>
      <c r="AP336" s="49">
        <f ca="1"/>
        <v>0</v>
      </c>
      <c r="AQ336" s="49">
        <f ca="1"/>
        <v>0</v>
      </c>
      <c r="AR336" s="49">
        <f ca="1"/>
        <v>0</v>
      </c>
      <c r="AS336" s="49">
        <f ca="1"/>
        <v>0</v>
      </c>
      <c r="AT336" s="49">
        <f ca="1"/>
        <v>0</v>
      </c>
      <c r="AU336" s="49">
        <f ca="1"/>
        <v>0</v>
      </c>
      <c r="AV336" s="49">
        <f ca="1"/>
        <v>0</v>
      </c>
      <c r="AW336" s="49">
        <f ca="1"/>
        <v>0</v>
      </c>
      <c r="AX336" s="49">
        <f ca="1"/>
        <v>0</v>
      </c>
      <c r="AY336" s="49">
        <f ca="1"/>
        <v>0</v>
      </c>
      <c r="AZ336" s="49">
        <f ca="1"/>
        <v>0</v>
      </c>
      <c r="BA336" s="49">
        <f ca="1"/>
        <v>0</v>
      </c>
      <c r="BB336" s="49">
        <f ca="1"/>
        <v>0</v>
      </c>
      <c r="BC336" s="49">
        <f ca="1"/>
        <v>0</v>
      </c>
      <c r="BD336" s="49">
        <f ca="1"/>
        <v>0</v>
      </c>
      <c r="BE336" s="49">
        <f ca="1"/>
        <v>0</v>
      </c>
      <c r="BF336" s="49">
        <f ca="1"/>
        <v>0</v>
      </c>
      <c r="BG336" s="49">
        <f ca="1"/>
        <v>0</v>
      </c>
      <c r="BH336" s="49">
        <f ca="1"/>
        <v>0</v>
      </c>
      <c r="BI336" s="49">
        <f ca="1"/>
        <v>0</v>
      </c>
      <c r="BJ336" s="49">
        <f ca="1"/>
        <v>0</v>
      </c>
      <c r="BK336" s="49">
        <f ca="1"/>
        <v>0</v>
      </c>
      <c r="BL336" s="49">
        <f ca="1"/>
        <v>0</v>
      </c>
      <c r="BM336" s="49">
        <f ca="1"/>
        <v>0</v>
      </c>
      <c r="BN336" s="49">
        <f ca="1"/>
        <v>0</v>
      </c>
      <c r="BO336" s="49">
        <f ca="1"/>
        <v>0</v>
      </c>
      <c r="BP336" s="49">
        <f ca="1"/>
        <v>0</v>
      </c>
      <c r="BQ336" s="49">
        <f ca="1"/>
        <v>0</v>
      </c>
      <c r="BR336" s="49">
        <f ca="1"/>
        <v>0</v>
      </c>
      <c r="BS336" s="49">
        <f ca="1"/>
        <v>0</v>
      </c>
    </row>
    <row r="337" spans="3:71" outlineLevel="1" x14ac:dyDescent="0.2">
      <c r="D337" s="11" t="str">
        <f>HM_ZA_Nkossa!D326</f>
        <v>Total</v>
      </c>
      <c r="I337" s="30">
        <f t="shared" ca="1" si="86"/>
        <v>0</v>
      </c>
      <c r="J337" s="26" t="s">
        <v>148</v>
      </c>
      <c r="K337" s="7" t="s">
        <v>251</v>
      </c>
      <c r="L337" s="49">
        <f t="shared" ref="L337:AQ337" ca="1" si="87">SUM(L334:L336)</f>
        <v>0</v>
      </c>
      <c r="M337" s="49">
        <f t="shared" ca="1" si="87"/>
        <v>0</v>
      </c>
      <c r="N337" s="49">
        <f t="shared" ca="1" si="87"/>
        <v>0</v>
      </c>
      <c r="O337" s="49">
        <f t="shared" ca="1" si="87"/>
        <v>0</v>
      </c>
      <c r="P337" s="49">
        <f t="shared" ca="1" si="87"/>
        <v>0</v>
      </c>
      <c r="Q337" s="49">
        <f t="shared" ca="1" si="87"/>
        <v>0</v>
      </c>
      <c r="R337" s="49">
        <f t="shared" ca="1" si="87"/>
        <v>0</v>
      </c>
      <c r="S337" s="49">
        <f t="shared" ca="1" si="87"/>
        <v>0</v>
      </c>
      <c r="T337" s="49">
        <f t="shared" ca="1" si="87"/>
        <v>0</v>
      </c>
      <c r="U337" s="49">
        <f t="shared" ca="1" si="87"/>
        <v>0</v>
      </c>
      <c r="V337" s="49">
        <f t="shared" ca="1" si="87"/>
        <v>0</v>
      </c>
      <c r="W337" s="49">
        <f t="shared" ca="1" si="87"/>
        <v>0</v>
      </c>
      <c r="X337" s="49">
        <f t="shared" ca="1" si="87"/>
        <v>0</v>
      </c>
      <c r="Y337" s="49">
        <f t="shared" ca="1" si="87"/>
        <v>0</v>
      </c>
      <c r="Z337" s="49">
        <f t="shared" ca="1" si="87"/>
        <v>0</v>
      </c>
      <c r="AA337" s="49">
        <f t="shared" ca="1" si="87"/>
        <v>0</v>
      </c>
      <c r="AB337" s="49">
        <f t="shared" ca="1" si="87"/>
        <v>0</v>
      </c>
      <c r="AC337" s="49">
        <f t="shared" ca="1" si="87"/>
        <v>0</v>
      </c>
      <c r="AD337" s="49">
        <f t="shared" ca="1" si="87"/>
        <v>0</v>
      </c>
      <c r="AE337" s="49">
        <f t="shared" ca="1" si="87"/>
        <v>0</v>
      </c>
      <c r="AF337" s="49">
        <f t="shared" ca="1" si="87"/>
        <v>0</v>
      </c>
      <c r="AG337" s="49">
        <f t="shared" ca="1" si="87"/>
        <v>0</v>
      </c>
      <c r="AH337" s="49">
        <f t="shared" ca="1" si="87"/>
        <v>0</v>
      </c>
      <c r="AI337" s="49">
        <f t="shared" ca="1" si="87"/>
        <v>0</v>
      </c>
      <c r="AJ337" s="49">
        <f t="shared" ca="1" si="87"/>
        <v>0</v>
      </c>
      <c r="AK337" s="49">
        <f t="shared" ca="1" si="87"/>
        <v>0</v>
      </c>
      <c r="AL337" s="49">
        <f t="shared" ca="1" si="87"/>
        <v>0</v>
      </c>
      <c r="AM337" s="49">
        <f t="shared" ca="1" si="87"/>
        <v>0</v>
      </c>
      <c r="AN337" s="49">
        <f t="shared" ca="1" si="87"/>
        <v>0</v>
      </c>
      <c r="AO337" s="49">
        <f t="shared" ca="1" si="87"/>
        <v>0</v>
      </c>
      <c r="AP337" s="49">
        <f t="shared" ca="1" si="87"/>
        <v>0</v>
      </c>
      <c r="AQ337" s="49">
        <f t="shared" ca="1" si="87"/>
        <v>0</v>
      </c>
      <c r="AR337" s="49">
        <f t="shared" ref="AR337:BS337" ca="1" si="88">SUM(AR334:AR336)</f>
        <v>0</v>
      </c>
      <c r="AS337" s="49">
        <f t="shared" ca="1" si="88"/>
        <v>0</v>
      </c>
      <c r="AT337" s="49">
        <f t="shared" ca="1" si="88"/>
        <v>0</v>
      </c>
      <c r="AU337" s="49">
        <f t="shared" ca="1" si="88"/>
        <v>0</v>
      </c>
      <c r="AV337" s="49">
        <f t="shared" ca="1" si="88"/>
        <v>0</v>
      </c>
      <c r="AW337" s="49">
        <f t="shared" ca="1" si="88"/>
        <v>0</v>
      </c>
      <c r="AX337" s="49">
        <f t="shared" ca="1" si="88"/>
        <v>0</v>
      </c>
      <c r="AY337" s="49">
        <f t="shared" ca="1" si="88"/>
        <v>0</v>
      </c>
      <c r="AZ337" s="49">
        <f t="shared" ca="1" si="88"/>
        <v>0</v>
      </c>
      <c r="BA337" s="49">
        <f t="shared" ca="1" si="88"/>
        <v>0</v>
      </c>
      <c r="BB337" s="49">
        <f t="shared" ca="1" si="88"/>
        <v>0</v>
      </c>
      <c r="BC337" s="49">
        <f t="shared" ca="1" si="88"/>
        <v>0</v>
      </c>
      <c r="BD337" s="49">
        <f t="shared" ca="1" si="88"/>
        <v>0</v>
      </c>
      <c r="BE337" s="49">
        <f t="shared" ca="1" si="88"/>
        <v>0</v>
      </c>
      <c r="BF337" s="49">
        <f t="shared" ca="1" si="88"/>
        <v>0</v>
      </c>
      <c r="BG337" s="49">
        <f t="shared" ca="1" si="88"/>
        <v>0</v>
      </c>
      <c r="BH337" s="49">
        <f t="shared" ca="1" si="88"/>
        <v>0</v>
      </c>
      <c r="BI337" s="49">
        <f t="shared" ca="1" si="88"/>
        <v>0</v>
      </c>
      <c r="BJ337" s="49">
        <f t="shared" ca="1" si="88"/>
        <v>0</v>
      </c>
      <c r="BK337" s="49">
        <f t="shared" ca="1" si="88"/>
        <v>0</v>
      </c>
      <c r="BL337" s="49">
        <f t="shared" ca="1" si="88"/>
        <v>0</v>
      </c>
      <c r="BM337" s="49">
        <f t="shared" ca="1" si="88"/>
        <v>0</v>
      </c>
      <c r="BN337" s="49">
        <f t="shared" ca="1" si="88"/>
        <v>0</v>
      </c>
      <c r="BO337" s="49">
        <f t="shared" ca="1" si="88"/>
        <v>0</v>
      </c>
      <c r="BP337" s="49">
        <f t="shared" ca="1" si="88"/>
        <v>0</v>
      </c>
      <c r="BQ337" s="49">
        <f t="shared" ca="1" si="88"/>
        <v>0</v>
      </c>
      <c r="BR337" s="49">
        <f t="shared" ca="1" si="88"/>
        <v>0</v>
      </c>
      <c r="BS337" s="49">
        <f t="shared" ca="1" si="88"/>
        <v>0</v>
      </c>
    </row>
    <row r="338" spans="3:71" outlineLevel="1" x14ac:dyDescent="0.2">
      <c r="J338" s="26"/>
      <c r="L338" s="55"/>
      <c r="M338" s="55"/>
      <c r="N338" s="55"/>
      <c r="O338" s="55"/>
      <c r="P338" s="55"/>
      <c r="Q338" s="55"/>
      <c r="R338" s="55"/>
      <c r="S338" s="55"/>
      <c r="T338" s="55"/>
      <c r="U338" s="55"/>
      <c r="V338" s="55"/>
      <c r="W338" s="55"/>
      <c r="X338" s="55"/>
      <c r="Y338" s="55"/>
      <c r="Z338" s="55"/>
      <c r="AA338" s="55"/>
      <c r="AB338" s="55"/>
      <c r="AC338" s="55"/>
      <c r="AD338" s="55"/>
      <c r="AE338" s="55"/>
      <c r="AF338" s="55"/>
      <c r="AG338" s="55"/>
      <c r="AH338" s="55"/>
      <c r="AI338" s="55"/>
      <c r="AJ338" s="55"/>
      <c r="AK338" s="55"/>
      <c r="AL338" s="55"/>
      <c r="AM338" s="55"/>
      <c r="AN338" s="55"/>
      <c r="AO338" s="55"/>
      <c r="AP338" s="55"/>
      <c r="AQ338" s="55"/>
      <c r="AR338" s="55"/>
      <c r="AS338" s="55"/>
      <c r="AT338" s="55"/>
      <c r="AU338" s="55"/>
      <c r="AV338" s="55"/>
      <c r="AW338" s="55"/>
      <c r="AX338" s="55"/>
      <c r="AY338" s="55"/>
      <c r="AZ338" s="55"/>
      <c r="BA338" s="55"/>
      <c r="BB338" s="55"/>
      <c r="BC338" s="55"/>
      <c r="BD338" s="55"/>
      <c r="BE338" s="55"/>
      <c r="BF338" s="55"/>
      <c r="BG338" s="55"/>
      <c r="BH338" s="55"/>
      <c r="BI338" s="55"/>
      <c r="BJ338" s="55"/>
      <c r="BK338" s="55"/>
      <c r="BL338" s="55"/>
      <c r="BM338" s="55"/>
      <c r="BN338" s="55"/>
      <c r="BO338" s="55"/>
      <c r="BP338" s="55"/>
      <c r="BQ338" s="55"/>
      <c r="BR338" s="55"/>
      <c r="BS338" s="55"/>
    </row>
    <row r="339" spans="3:71" outlineLevel="1" x14ac:dyDescent="0.2">
      <c r="C339" s="11" t="str">
        <f>HM_ZA_Nkossa!C328</f>
        <v>Volumes de droits</v>
      </c>
      <c r="J339" s="26"/>
      <c r="L339" s="55"/>
      <c r="M339" s="55"/>
      <c r="N339" s="55"/>
      <c r="O339" s="55"/>
      <c r="P339" s="55"/>
      <c r="Q339" s="55"/>
      <c r="R339" s="55"/>
      <c r="S339" s="55"/>
      <c r="T339" s="55"/>
      <c r="U339" s="55"/>
      <c r="V339" s="55"/>
      <c r="W339" s="55"/>
      <c r="X339" s="55"/>
      <c r="Y339" s="55"/>
      <c r="Z339" s="55"/>
      <c r="AA339" s="55"/>
      <c r="AB339" s="55"/>
      <c r="AC339" s="55"/>
      <c r="AD339" s="55"/>
      <c r="AE339" s="55"/>
      <c r="AF339" s="55"/>
      <c r="AG339" s="55"/>
      <c r="AH339" s="55"/>
      <c r="AI339" s="55"/>
      <c r="AJ339" s="55"/>
      <c r="AK339" s="55"/>
      <c r="AL339" s="55"/>
      <c r="AM339" s="55"/>
      <c r="AN339" s="55"/>
      <c r="AO339" s="55"/>
      <c r="AP339" s="55"/>
      <c r="AQ339" s="55"/>
      <c r="AR339" s="55"/>
      <c r="AS339" s="55"/>
      <c r="AT339" s="55"/>
      <c r="AU339" s="55"/>
      <c r="AV339" s="55"/>
      <c r="AW339" s="55"/>
      <c r="AX339" s="55"/>
      <c r="AY339" s="55"/>
      <c r="AZ339" s="55"/>
      <c r="BA339" s="55"/>
      <c r="BB339" s="55"/>
      <c r="BC339" s="55"/>
      <c r="BD339" s="55"/>
      <c r="BE339" s="55"/>
      <c r="BF339" s="55"/>
      <c r="BG339" s="55"/>
      <c r="BH339" s="55"/>
      <c r="BI339" s="55"/>
      <c r="BJ339" s="55"/>
      <c r="BK339" s="55"/>
      <c r="BL339" s="55"/>
      <c r="BM339" s="55"/>
      <c r="BN339" s="55"/>
      <c r="BO339" s="55"/>
      <c r="BP339" s="55"/>
      <c r="BQ339" s="55"/>
      <c r="BR339" s="55"/>
      <c r="BS339" s="55"/>
    </row>
    <row r="340" spans="3:71" outlineLevel="1" x14ac:dyDescent="0.2">
      <c r="D340" t="str">
        <f>HM_ZA_Nkossa!D329</f>
        <v>Pétrole</v>
      </c>
      <c r="I340" s="30">
        <f t="shared" ref="I340:I342" ca="1" si="89">SUM($L340:$BS340)</f>
        <v>4.5682826865885424</v>
      </c>
      <c r="J340" s="26" t="s">
        <v>88</v>
      </c>
      <c r="L340" s="49">
        <f ca="1">IFERROR(HM_ZB_Nsoko!CA_ent_rev_oil/HM_ZB_Nsoko!CA_FP_oil_nom,0)</f>
        <v>0.24393772456933013</v>
      </c>
      <c r="M340" s="49">
        <f ca="1">IFERROR(HM_ZB_Nsoko!CA_ent_rev_oil/HM_ZB_Nsoko!CA_FP_oil_nom,0)</f>
        <v>0.2905788080210816</v>
      </c>
      <c r="N340" s="49">
        <f ca="1">IFERROR(HM_ZB_Nsoko!CA_ent_rev_oil/HM_ZB_Nsoko!CA_FP_oil_nom,0)</f>
        <v>0.5123018867683734</v>
      </c>
      <c r="O340" s="49">
        <f ca="1">IFERROR(HM_ZB_Nsoko!CA_ent_rev_oil/HM_ZB_Nsoko!CA_FP_oil_nom,0)</f>
        <v>0.4554726726442041</v>
      </c>
      <c r="P340" s="49">
        <f ca="1">IFERROR(HM_ZB_Nsoko!CA_ent_rev_oil/HM_ZB_Nsoko!CA_FP_oil_nom,0)</f>
        <v>0.43966154137176922</v>
      </c>
      <c r="Q340" s="49">
        <f ca="1">IFERROR(HM_ZB_Nsoko!CA_ent_rev_oil/HM_ZB_Nsoko!CA_FP_oil_nom,0)</f>
        <v>0.29572141396024715</v>
      </c>
      <c r="R340" s="49">
        <f ca="1">IFERROR(HM_ZB_Nsoko!CA_ent_rev_oil/HM_ZB_Nsoko!CA_FP_oil_nom,0)</f>
        <v>0.1419491604436596</v>
      </c>
      <c r="S340" s="49">
        <f ca="1">IFERROR(HM_ZB_Nsoko!CA_ent_rev_oil/HM_ZB_Nsoko!CA_FP_oil_nom,0)</f>
        <v>0.54703897047499994</v>
      </c>
      <c r="T340" s="49">
        <f ca="1">IFERROR(HM_ZB_Nsoko!CA_ent_rev_oil/HM_ZB_Nsoko!CA_FP_oil_nom,0)</f>
        <v>0.39952031787376463</v>
      </c>
      <c r="U340" s="49">
        <f ca="1">IFERROR(HM_ZB_Nsoko!CA_ent_rev_oil/HM_ZB_Nsoko!CA_FP_oil_nom,0)</f>
        <v>0.35226949301532862</v>
      </c>
      <c r="V340" s="49">
        <f ca="1">IFERROR(HM_ZB_Nsoko!CA_ent_rev_oil/HM_ZB_Nsoko!CA_FP_oil_nom,0)</f>
        <v>0.32281882979335325</v>
      </c>
      <c r="W340" s="49">
        <f ca="1">IFERROR(HM_ZB_Nsoko!CA_ent_rev_oil/HM_ZB_Nsoko!CA_FP_oil_nom,0)</f>
        <v>0.29585251876552521</v>
      </c>
      <c r="X340" s="49">
        <f ca="1">IFERROR(HM_ZB_Nsoko!CA_ent_rev_oil/HM_ZB_Nsoko!CA_FP_oil_nom,0)</f>
        <v>0.27115934888690635</v>
      </c>
      <c r="Y340" s="49">
        <f ca="1">IFERROR(HM_ZB_Nsoko!CA_ent_rev_oil/HM_ZB_Nsoko!CA_FP_oil_nom,0)</f>
        <v>0</v>
      </c>
      <c r="Z340" s="49">
        <f ca="1">IFERROR(HM_ZB_Nsoko!CA_ent_rev_oil/HM_ZB_Nsoko!CA_FP_oil_nom,0)</f>
        <v>0</v>
      </c>
      <c r="AA340" s="49">
        <f ca="1">IFERROR(HM_ZB_Nsoko!CA_ent_rev_oil/HM_ZB_Nsoko!CA_FP_oil_nom,0)</f>
        <v>0</v>
      </c>
      <c r="AB340" s="49">
        <f ca="1">IFERROR(HM_ZB_Nsoko!CA_ent_rev_oil/HM_ZB_Nsoko!CA_FP_oil_nom,0)</f>
        <v>0</v>
      </c>
      <c r="AC340" s="49">
        <f ca="1">IFERROR(HM_ZB_Nsoko!CA_ent_rev_oil/HM_ZB_Nsoko!CA_FP_oil_nom,0)</f>
        <v>0</v>
      </c>
      <c r="AD340" s="49">
        <f ca="1">IFERROR(HM_ZB_Nsoko!CA_ent_rev_oil/HM_ZB_Nsoko!CA_FP_oil_nom,0)</f>
        <v>0</v>
      </c>
      <c r="AE340" s="49">
        <f ca="1">IFERROR(HM_ZB_Nsoko!CA_ent_rev_oil/HM_ZB_Nsoko!CA_FP_oil_nom,0)</f>
        <v>0</v>
      </c>
      <c r="AF340" s="49">
        <f ca="1">IFERROR(HM_ZB_Nsoko!CA_ent_rev_oil/HM_ZB_Nsoko!CA_FP_oil_nom,0)</f>
        <v>0</v>
      </c>
      <c r="AG340" s="49">
        <f ca="1">IFERROR(HM_ZB_Nsoko!CA_ent_rev_oil/HM_ZB_Nsoko!CA_FP_oil_nom,0)</f>
        <v>0</v>
      </c>
      <c r="AH340" s="49">
        <f ca="1">IFERROR(HM_ZB_Nsoko!CA_ent_rev_oil/HM_ZB_Nsoko!CA_FP_oil_nom,0)</f>
        <v>0</v>
      </c>
      <c r="AI340" s="49">
        <f ca="1">IFERROR(HM_ZB_Nsoko!CA_ent_rev_oil/HM_ZB_Nsoko!CA_FP_oil_nom,0)</f>
        <v>0</v>
      </c>
      <c r="AJ340" s="49">
        <f ca="1">IFERROR(HM_ZB_Nsoko!CA_ent_rev_oil/HM_ZB_Nsoko!CA_FP_oil_nom,0)</f>
        <v>0</v>
      </c>
      <c r="AK340" s="49">
        <f ca="1">IFERROR(HM_ZB_Nsoko!CA_ent_rev_oil/HM_ZB_Nsoko!CA_FP_oil_nom,0)</f>
        <v>0</v>
      </c>
      <c r="AL340" s="49">
        <f ca="1">IFERROR(HM_ZB_Nsoko!CA_ent_rev_oil/HM_ZB_Nsoko!CA_FP_oil_nom,0)</f>
        <v>0</v>
      </c>
      <c r="AM340" s="49">
        <f ca="1">IFERROR(HM_ZB_Nsoko!CA_ent_rev_oil/HM_ZB_Nsoko!CA_FP_oil_nom,0)</f>
        <v>0</v>
      </c>
      <c r="AN340" s="49">
        <f ca="1">IFERROR(HM_ZB_Nsoko!CA_ent_rev_oil/HM_ZB_Nsoko!CA_FP_oil_nom,0)</f>
        <v>0</v>
      </c>
      <c r="AO340" s="49">
        <f ca="1">IFERROR(HM_ZB_Nsoko!CA_ent_rev_oil/HM_ZB_Nsoko!CA_FP_oil_nom,0)</f>
        <v>0</v>
      </c>
      <c r="AP340" s="49">
        <f ca="1">IFERROR(HM_ZB_Nsoko!CA_ent_rev_oil/HM_ZB_Nsoko!CA_FP_oil_nom,0)</f>
        <v>0</v>
      </c>
      <c r="AQ340" s="49">
        <f ca="1">IFERROR(HM_ZB_Nsoko!CA_ent_rev_oil/HM_ZB_Nsoko!CA_FP_oil_nom,0)</f>
        <v>0</v>
      </c>
      <c r="AR340" s="49">
        <f ca="1">IFERROR(HM_ZB_Nsoko!CA_ent_rev_oil/HM_ZB_Nsoko!CA_FP_oil_nom,0)</f>
        <v>0</v>
      </c>
      <c r="AS340" s="49">
        <f ca="1">IFERROR(HM_ZB_Nsoko!CA_ent_rev_oil/HM_ZB_Nsoko!CA_FP_oil_nom,0)</f>
        <v>0</v>
      </c>
      <c r="AT340" s="49">
        <f ca="1">IFERROR(HM_ZB_Nsoko!CA_ent_rev_oil/HM_ZB_Nsoko!CA_FP_oil_nom,0)</f>
        <v>0</v>
      </c>
      <c r="AU340" s="49">
        <f ca="1">IFERROR(HM_ZB_Nsoko!CA_ent_rev_oil/HM_ZB_Nsoko!CA_FP_oil_nom,0)</f>
        <v>0</v>
      </c>
      <c r="AV340" s="49">
        <f ca="1">IFERROR(HM_ZB_Nsoko!CA_ent_rev_oil/HM_ZB_Nsoko!CA_FP_oil_nom,0)</f>
        <v>0</v>
      </c>
      <c r="AW340" s="49">
        <f ca="1">IFERROR(HM_ZB_Nsoko!CA_ent_rev_oil/HM_ZB_Nsoko!CA_FP_oil_nom,0)</f>
        <v>0</v>
      </c>
      <c r="AX340" s="49">
        <f ca="1">IFERROR(HM_ZB_Nsoko!CA_ent_rev_oil/HM_ZB_Nsoko!CA_FP_oil_nom,0)</f>
        <v>0</v>
      </c>
      <c r="AY340" s="49">
        <f ca="1">IFERROR(HM_ZB_Nsoko!CA_ent_rev_oil/HM_ZB_Nsoko!CA_FP_oil_nom,0)</f>
        <v>0</v>
      </c>
      <c r="AZ340" s="49">
        <f ca="1">IFERROR(HM_ZB_Nsoko!CA_ent_rev_oil/HM_ZB_Nsoko!CA_FP_oil_nom,0)</f>
        <v>0</v>
      </c>
      <c r="BA340" s="49">
        <f ca="1">IFERROR(HM_ZB_Nsoko!CA_ent_rev_oil/HM_ZB_Nsoko!CA_FP_oil_nom,0)</f>
        <v>0</v>
      </c>
      <c r="BB340" s="49">
        <f ca="1">IFERROR(HM_ZB_Nsoko!CA_ent_rev_oil/HM_ZB_Nsoko!CA_FP_oil_nom,0)</f>
        <v>0</v>
      </c>
      <c r="BC340" s="49">
        <f ca="1">IFERROR(HM_ZB_Nsoko!CA_ent_rev_oil/HM_ZB_Nsoko!CA_FP_oil_nom,0)</f>
        <v>0</v>
      </c>
      <c r="BD340" s="49">
        <f ca="1">IFERROR(HM_ZB_Nsoko!CA_ent_rev_oil/HM_ZB_Nsoko!CA_FP_oil_nom,0)</f>
        <v>0</v>
      </c>
      <c r="BE340" s="49">
        <f ca="1">IFERROR(HM_ZB_Nsoko!CA_ent_rev_oil/HM_ZB_Nsoko!CA_FP_oil_nom,0)</f>
        <v>0</v>
      </c>
      <c r="BF340" s="49">
        <f ca="1">IFERROR(HM_ZB_Nsoko!CA_ent_rev_oil/HM_ZB_Nsoko!CA_FP_oil_nom,0)</f>
        <v>0</v>
      </c>
      <c r="BG340" s="49">
        <f ca="1">IFERROR(HM_ZB_Nsoko!CA_ent_rev_oil/HM_ZB_Nsoko!CA_FP_oil_nom,0)</f>
        <v>0</v>
      </c>
      <c r="BH340" s="49">
        <f ca="1">IFERROR(HM_ZB_Nsoko!CA_ent_rev_oil/HM_ZB_Nsoko!CA_FP_oil_nom,0)</f>
        <v>0</v>
      </c>
      <c r="BI340" s="49">
        <f ca="1">IFERROR(HM_ZB_Nsoko!CA_ent_rev_oil/HM_ZB_Nsoko!CA_FP_oil_nom,0)</f>
        <v>0</v>
      </c>
      <c r="BJ340" s="49">
        <f ca="1">IFERROR(HM_ZB_Nsoko!CA_ent_rev_oil/HM_ZB_Nsoko!CA_FP_oil_nom,0)</f>
        <v>0</v>
      </c>
      <c r="BK340" s="49">
        <f ca="1">IFERROR(HM_ZB_Nsoko!CA_ent_rev_oil/HM_ZB_Nsoko!CA_FP_oil_nom,0)</f>
        <v>0</v>
      </c>
      <c r="BL340" s="49">
        <f ca="1">IFERROR(HM_ZB_Nsoko!CA_ent_rev_oil/HM_ZB_Nsoko!CA_FP_oil_nom,0)</f>
        <v>0</v>
      </c>
      <c r="BM340" s="49">
        <f ca="1">IFERROR(HM_ZB_Nsoko!CA_ent_rev_oil/HM_ZB_Nsoko!CA_FP_oil_nom,0)</f>
        <v>0</v>
      </c>
      <c r="BN340" s="49">
        <f ca="1">IFERROR(HM_ZB_Nsoko!CA_ent_rev_oil/HM_ZB_Nsoko!CA_FP_oil_nom,0)</f>
        <v>0</v>
      </c>
      <c r="BO340" s="49">
        <f ca="1">IFERROR(HM_ZB_Nsoko!CA_ent_rev_oil/HM_ZB_Nsoko!CA_FP_oil_nom,0)</f>
        <v>0</v>
      </c>
      <c r="BP340" s="49">
        <f ca="1">IFERROR(HM_ZB_Nsoko!CA_ent_rev_oil/HM_ZB_Nsoko!CA_FP_oil_nom,0)</f>
        <v>0</v>
      </c>
      <c r="BQ340" s="49">
        <f ca="1">IFERROR(HM_ZB_Nsoko!CA_ent_rev_oil/HM_ZB_Nsoko!CA_FP_oil_nom,0)</f>
        <v>0</v>
      </c>
      <c r="BR340" s="49">
        <f ca="1">IFERROR(HM_ZB_Nsoko!CA_ent_rev_oil/HM_ZB_Nsoko!CA_FP_oil_nom,0)</f>
        <v>0</v>
      </c>
      <c r="BS340" s="49">
        <f ca="1">IFERROR(HM_ZB_Nsoko!CA_ent_rev_oil/HM_ZB_Nsoko!CA_FP_oil_nom,0)</f>
        <v>0</v>
      </c>
    </row>
    <row r="341" spans="3:71" outlineLevel="1" x14ac:dyDescent="0.2">
      <c r="D341" t="str">
        <f>HM_ZA_Nkossa!D330</f>
        <v>Gaz</v>
      </c>
      <c r="I341" s="30">
        <f t="shared" ca="1" si="89"/>
        <v>0</v>
      </c>
      <c r="J341" s="26" t="s">
        <v>89</v>
      </c>
      <c r="L341" s="49">
        <f ca="1">IFERROR(HM_ZB_Nsoko!CA_ent_rev_gas/HM_ZB_Nsoko!CA_FP_gas_nom,0)</f>
        <v>0</v>
      </c>
      <c r="M341" s="49">
        <f ca="1">IFERROR(HM_ZB_Nsoko!CA_ent_rev_gas/HM_ZB_Nsoko!CA_FP_gas_nom,0)</f>
        <v>0</v>
      </c>
      <c r="N341" s="49">
        <f ca="1">IFERROR(HM_ZB_Nsoko!CA_ent_rev_gas/HM_ZB_Nsoko!CA_FP_gas_nom,0)</f>
        <v>0</v>
      </c>
      <c r="O341" s="49">
        <f ca="1">IFERROR(HM_ZB_Nsoko!CA_ent_rev_gas/HM_ZB_Nsoko!CA_FP_gas_nom,0)</f>
        <v>0</v>
      </c>
      <c r="P341" s="49">
        <f ca="1">IFERROR(HM_ZB_Nsoko!CA_ent_rev_gas/HM_ZB_Nsoko!CA_FP_gas_nom,0)</f>
        <v>0</v>
      </c>
      <c r="Q341" s="49">
        <f ca="1">IFERROR(HM_ZB_Nsoko!CA_ent_rev_gas/HM_ZB_Nsoko!CA_FP_gas_nom,0)</f>
        <v>0</v>
      </c>
      <c r="R341" s="49">
        <f ca="1">IFERROR(HM_ZB_Nsoko!CA_ent_rev_gas/HM_ZB_Nsoko!CA_FP_gas_nom,0)</f>
        <v>0</v>
      </c>
      <c r="S341" s="49">
        <f ca="1">IFERROR(HM_ZB_Nsoko!CA_ent_rev_gas/HM_ZB_Nsoko!CA_FP_gas_nom,0)</f>
        <v>0</v>
      </c>
      <c r="T341" s="49">
        <f ca="1">IFERROR(HM_ZB_Nsoko!CA_ent_rev_gas/HM_ZB_Nsoko!CA_FP_gas_nom,0)</f>
        <v>0</v>
      </c>
      <c r="U341" s="49">
        <f ca="1">IFERROR(HM_ZB_Nsoko!CA_ent_rev_gas/HM_ZB_Nsoko!CA_FP_gas_nom,0)</f>
        <v>0</v>
      </c>
      <c r="V341" s="49">
        <f ca="1">IFERROR(HM_ZB_Nsoko!CA_ent_rev_gas/HM_ZB_Nsoko!CA_FP_gas_nom,0)</f>
        <v>0</v>
      </c>
      <c r="W341" s="49">
        <f ca="1">IFERROR(HM_ZB_Nsoko!CA_ent_rev_gas/HM_ZB_Nsoko!CA_FP_gas_nom,0)</f>
        <v>0</v>
      </c>
      <c r="X341" s="49">
        <f ca="1">IFERROR(HM_ZB_Nsoko!CA_ent_rev_gas/HM_ZB_Nsoko!CA_FP_gas_nom,0)</f>
        <v>0</v>
      </c>
      <c r="Y341" s="49">
        <f ca="1">IFERROR(HM_ZB_Nsoko!CA_ent_rev_gas/HM_ZB_Nsoko!CA_FP_gas_nom,0)</f>
        <v>0</v>
      </c>
      <c r="Z341" s="49">
        <f ca="1">IFERROR(HM_ZB_Nsoko!CA_ent_rev_gas/HM_ZB_Nsoko!CA_FP_gas_nom,0)</f>
        <v>0</v>
      </c>
      <c r="AA341" s="49">
        <f ca="1">IFERROR(HM_ZB_Nsoko!CA_ent_rev_gas/HM_ZB_Nsoko!CA_FP_gas_nom,0)</f>
        <v>0</v>
      </c>
      <c r="AB341" s="49">
        <f ca="1">IFERROR(HM_ZB_Nsoko!CA_ent_rev_gas/HM_ZB_Nsoko!CA_FP_gas_nom,0)</f>
        <v>0</v>
      </c>
      <c r="AC341" s="49">
        <f ca="1">IFERROR(HM_ZB_Nsoko!CA_ent_rev_gas/HM_ZB_Nsoko!CA_FP_gas_nom,0)</f>
        <v>0</v>
      </c>
      <c r="AD341" s="49">
        <f ca="1">IFERROR(HM_ZB_Nsoko!CA_ent_rev_gas/HM_ZB_Nsoko!CA_FP_gas_nom,0)</f>
        <v>0</v>
      </c>
      <c r="AE341" s="49">
        <f ca="1">IFERROR(HM_ZB_Nsoko!CA_ent_rev_gas/HM_ZB_Nsoko!CA_FP_gas_nom,0)</f>
        <v>0</v>
      </c>
      <c r="AF341" s="49">
        <f ca="1">IFERROR(HM_ZB_Nsoko!CA_ent_rev_gas/HM_ZB_Nsoko!CA_FP_gas_nom,0)</f>
        <v>0</v>
      </c>
      <c r="AG341" s="49">
        <f ca="1">IFERROR(HM_ZB_Nsoko!CA_ent_rev_gas/HM_ZB_Nsoko!CA_FP_gas_nom,0)</f>
        <v>0</v>
      </c>
      <c r="AH341" s="49">
        <f ca="1">IFERROR(HM_ZB_Nsoko!CA_ent_rev_gas/HM_ZB_Nsoko!CA_FP_gas_nom,0)</f>
        <v>0</v>
      </c>
      <c r="AI341" s="49">
        <f ca="1">IFERROR(HM_ZB_Nsoko!CA_ent_rev_gas/HM_ZB_Nsoko!CA_FP_gas_nom,0)</f>
        <v>0</v>
      </c>
      <c r="AJ341" s="49">
        <f ca="1">IFERROR(HM_ZB_Nsoko!CA_ent_rev_gas/HM_ZB_Nsoko!CA_FP_gas_nom,0)</f>
        <v>0</v>
      </c>
      <c r="AK341" s="49">
        <f ca="1">IFERROR(HM_ZB_Nsoko!CA_ent_rev_gas/HM_ZB_Nsoko!CA_FP_gas_nom,0)</f>
        <v>0</v>
      </c>
      <c r="AL341" s="49">
        <f ca="1">IFERROR(HM_ZB_Nsoko!CA_ent_rev_gas/HM_ZB_Nsoko!CA_FP_gas_nom,0)</f>
        <v>0</v>
      </c>
      <c r="AM341" s="49">
        <f ca="1">IFERROR(HM_ZB_Nsoko!CA_ent_rev_gas/HM_ZB_Nsoko!CA_FP_gas_nom,0)</f>
        <v>0</v>
      </c>
      <c r="AN341" s="49">
        <f ca="1">IFERROR(HM_ZB_Nsoko!CA_ent_rev_gas/HM_ZB_Nsoko!CA_FP_gas_nom,0)</f>
        <v>0</v>
      </c>
      <c r="AO341" s="49">
        <f ca="1">IFERROR(HM_ZB_Nsoko!CA_ent_rev_gas/HM_ZB_Nsoko!CA_FP_gas_nom,0)</f>
        <v>0</v>
      </c>
      <c r="AP341" s="49">
        <f ca="1">IFERROR(HM_ZB_Nsoko!CA_ent_rev_gas/HM_ZB_Nsoko!CA_FP_gas_nom,0)</f>
        <v>0</v>
      </c>
      <c r="AQ341" s="49">
        <f ca="1">IFERROR(HM_ZB_Nsoko!CA_ent_rev_gas/HM_ZB_Nsoko!CA_FP_gas_nom,0)</f>
        <v>0</v>
      </c>
      <c r="AR341" s="49">
        <f ca="1">IFERROR(HM_ZB_Nsoko!CA_ent_rev_gas/HM_ZB_Nsoko!CA_FP_gas_nom,0)</f>
        <v>0</v>
      </c>
      <c r="AS341" s="49">
        <f ca="1">IFERROR(HM_ZB_Nsoko!CA_ent_rev_gas/HM_ZB_Nsoko!CA_FP_gas_nom,0)</f>
        <v>0</v>
      </c>
      <c r="AT341" s="49">
        <f ca="1">IFERROR(HM_ZB_Nsoko!CA_ent_rev_gas/HM_ZB_Nsoko!CA_FP_gas_nom,0)</f>
        <v>0</v>
      </c>
      <c r="AU341" s="49">
        <f ca="1">IFERROR(HM_ZB_Nsoko!CA_ent_rev_gas/HM_ZB_Nsoko!CA_FP_gas_nom,0)</f>
        <v>0</v>
      </c>
      <c r="AV341" s="49">
        <f ca="1">IFERROR(HM_ZB_Nsoko!CA_ent_rev_gas/HM_ZB_Nsoko!CA_FP_gas_nom,0)</f>
        <v>0</v>
      </c>
      <c r="AW341" s="49">
        <f ca="1">IFERROR(HM_ZB_Nsoko!CA_ent_rev_gas/HM_ZB_Nsoko!CA_FP_gas_nom,0)</f>
        <v>0</v>
      </c>
      <c r="AX341" s="49">
        <f ca="1">IFERROR(HM_ZB_Nsoko!CA_ent_rev_gas/HM_ZB_Nsoko!CA_FP_gas_nom,0)</f>
        <v>0</v>
      </c>
      <c r="AY341" s="49">
        <f ca="1">IFERROR(HM_ZB_Nsoko!CA_ent_rev_gas/HM_ZB_Nsoko!CA_FP_gas_nom,0)</f>
        <v>0</v>
      </c>
      <c r="AZ341" s="49">
        <f ca="1">IFERROR(HM_ZB_Nsoko!CA_ent_rev_gas/HM_ZB_Nsoko!CA_FP_gas_nom,0)</f>
        <v>0</v>
      </c>
      <c r="BA341" s="49">
        <f ca="1">IFERROR(HM_ZB_Nsoko!CA_ent_rev_gas/HM_ZB_Nsoko!CA_FP_gas_nom,0)</f>
        <v>0</v>
      </c>
      <c r="BB341" s="49">
        <f ca="1">IFERROR(HM_ZB_Nsoko!CA_ent_rev_gas/HM_ZB_Nsoko!CA_FP_gas_nom,0)</f>
        <v>0</v>
      </c>
      <c r="BC341" s="49">
        <f ca="1">IFERROR(HM_ZB_Nsoko!CA_ent_rev_gas/HM_ZB_Nsoko!CA_FP_gas_nom,0)</f>
        <v>0</v>
      </c>
      <c r="BD341" s="49">
        <f ca="1">IFERROR(HM_ZB_Nsoko!CA_ent_rev_gas/HM_ZB_Nsoko!CA_FP_gas_nom,0)</f>
        <v>0</v>
      </c>
      <c r="BE341" s="49">
        <f ca="1">IFERROR(HM_ZB_Nsoko!CA_ent_rev_gas/HM_ZB_Nsoko!CA_FP_gas_nom,0)</f>
        <v>0</v>
      </c>
      <c r="BF341" s="49">
        <f ca="1">IFERROR(HM_ZB_Nsoko!CA_ent_rev_gas/HM_ZB_Nsoko!CA_FP_gas_nom,0)</f>
        <v>0</v>
      </c>
      <c r="BG341" s="49">
        <f ca="1">IFERROR(HM_ZB_Nsoko!CA_ent_rev_gas/HM_ZB_Nsoko!CA_FP_gas_nom,0)</f>
        <v>0</v>
      </c>
      <c r="BH341" s="49">
        <f ca="1">IFERROR(HM_ZB_Nsoko!CA_ent_rev_gas/HM_ZB_Nsoko!CA_FP_gas_nom,0)</f>
        <v>0</v>
      </c>
      <c r="BI341" s="49">
        <f ca="1">IFERROR(HM_ZB_Nsoko!CA_ent_rev_gas/HM_ZB_Nsoko!CA_FP_gas_nom,0)</f>
        <v>0</v>
      </c>
      <c r="BJ341" s="49">
        <f ca="1">IFERROR(HM_ZB_Nsoko!CA_ent_rev_gas/HM_ZB_Nsoko!CA_FP_gas_nom,0)</f>
        <v>0</v>
      </c>
      <c r="BK341" s="49">
        <f ca="1">IFERROR(HM_ZB_Nsoko!CA_ent_rev_gas/HM_ZB_Nsoko!CA_FP_gas_nom,0)</f>
        <v>0</v>
      </c>
      <c r="BL341" s="49">
        <f ca="1">IFERROR(HM_ZB_Nsoko!CA_ent_rev_gas/HM_ZB_Nsoko!CA_FP_gas_nom,0)</f>
        <v>0</v>
      </c>
      <c r="BM341" s="49">
        <f ca="1">IFERROR(HM_ZB_Nsoko!CA_ent_rev_gas/HM_ZB_Nsoko!CA_FP_gas_nom,0)</f>
        <v>0</v>
      </c>
      <c r="BN341" s="49">
        <f ca="1">IFERROR(HM_ZB_Nsoko!CA_ent_rev_gas/HM_ZB_Nsoko!CA_FP_gas_nom,0)</f>
        <v>0</v>
      </c>
      <c r="BO341" s="49">
        <f ca="1">IFERROR(HM_ZB_Nsoko!CA_ent_rev_gas/HM_ZB_Nsoko!CA_FP_gas_nom,0)</f>
        <v>0</v>
      </c>
      <c r="BP341" s="49">
        <f ca="1">IFERROR(HM_ZB_Nsoko!CA_ent_rev_gas/HM_ZB_Nsoko!CA_FP_gas_nom,0)</f>
        <v>0</v>
      </c>
      <c r="BQ341" s="49">
        <f ca="1">IFERROR(HM_ZB_Nsoko!CA_ent_rev_gas/HM_ZB_Nsoko!CA_FP_gas_nom,0)</f>
        <v>0</v>
      </c>
      <c r="BR341" s="49">
        <f ca="1">IFERROR(HM_ZB_Nsoko!CA_ent_rev_gas/HM_ZB_Nsoko!CA_FP_gas_nom,0)</f>
        <v>0</v>
      </c>
      <c r="BS341" s="49">
        <f ca="1">IFERROR(HM_ZB_Nsoko!CA_ent_rev_gas/HM_ZB_Nsoko!CA_FP_gas_nom,0)</f>
        <v>0</v>
      </c>
    </row>
    <row r="342" spans="3:71" outlineLevel="1" x14ac:dyDescent="0.2">
      <c r="D342" s="11" t="str">
        <f>HM_ZA_Nkossa!D331</f>
        <v>Total</v>
      </c>
      <c r="I342" s="30">
        <f t="shared" ca="1" si="89"/>
        <v>4.5682826865885424</v>
      </c>
      <c r="J342" s="26" t="s">
        <v>130</v>
      </c>
      <c r="K342" s="7" t="s">
        <v>253</v>
      </c>
      <c r="L342" s="49">
        <f t="shared" ref="L342:BS342" ca="1" si="90">L340+L341*conv_BbltoMcf</f>
        <v>0.24393772456933013</v>
      </c>
      <c r="M342" s="49">
        <f t="shared" ca="1" si="90"/>
        <v>0.2905788080210816</v>
      </c>
      <c r="N342" s="49">
        <f t="shared" ca="1" si="90"/>
        <v>0.5123018867683734</v>
      </c>
      <c r="O342" s="49">
        <f t="shared" ca="1" si="90"/>
        <v>0.4554726726442041</v>
      </c>
      <c r="P342" s="49">
        <f t="shared" ca="1" si="90"/>
        <v>0.43966154137176922</v>
      </c>
      <c r="Q342" s="49">
        <f t="shared" ca="1" si="90"/>
        <v>0.29572141396024715</v>
      </c>
      <c r="R342" s="49">
        <f t="shared" ca="1" si="90"/>
        <v>0.1419491604436596</v>
      </c>
      <c r="S342" s="49">
        <f t="shared" ca="1" si="90"/>
        <v>0.54703897047499994</v>
      </c>
      <c r="T342" s="49">
        <f t="shared" ca="1" si="90"/>
        <v>0.39952031787376463</v>
      </c>
      <c r="U342" s="49">
        <f t="shared" ca="1" si="90"/>
        <v>0.35226949301532862</v>
      </c>
      <c r="V342" s="49">
        <f t="shared" ca="1" si="90"/>
        <v>0.32281882979335325</v>
      </c>
      <c r="W342" s="49">
        <f t="shared" ca="1" si="90"/>
        <v>0.29585251876552521</v>
      </c>
      <c r="X342" s="49">
        <f t="shared" ca="1" si="90"/>
        <v>0.27115934888690635</v>
      </c>
      <c r="Y342" s="49">
        <f t="shared" ca="1" si="90"/>
        <v>0</v>
      </c>
      <c r="Z342" s="49">
        <f t="shared" ca="1" si="90"/>
        <v>0</v>
      </c>
      <c r="AA342" s="49">
        <f t="shared" ca="1" si="90"/>
        <v>0</v>
      </c>
      <c r="AB342" s="49">
        <f t="shared" ca="1" si="90"/>
        <v>0</v>
      </c>
      <c r="AC342" s="49">
        <f t="shared" ca="1" si="90"/>
        <v>0</v>
      </c>
      <c r="AD342" s="49">
        <f t="shared" ca="1" si="90"/>
        <v>0</v>
      </c>
      <c r="AE342" s="49">
        <f t="shared" ca="1" si="90"/>
        <v>0</v>
      </c>
      <c r="AF342" s="49">
        <f t="shared" ca="1" si="90"/>
        <v>0</v>
      </c>
      <c r="AG342" s="49">
        <f t="shared" ca="1" si="90"/>
        <v>0</v>
      </c>
      <c r="AH342" s="49">
        <f t="shared" ca="1" si="90"/>
        <v>0</v>
      </c>
      <c r="AI342" s="49">
        <f t="shared" ca="1" si="90"/>
        <v>0</v>
      </c>
      <c r="AJ342" s="49">
        <f t="shared" ca="1" si="90"/>
        <v>0</v>
      </c>
      <c r="AK342" s="49">
        <f t="shared" ca="1" si="90"/>
        <v>0</v>
      </c>
      <c r="AL342" s="49">
        <f t="shared" ca="1" si="90"/>
        <v>0</v>
      </c>
      <c r="AM342" s="49">
        <f t="shared" ca="1" si="90"/>
        <v>0</v>
      </c>
      <c r="AN342" s="49">
        <f t="shared" ca="1" si="90"/>
        <v>0</v>
      </c>
      <c r="AO342" s="49">
        <f t="shared" ca="1" si="90"/>
        <v>0</v>
      </c>
      <c r="AP342" s="49">
        <f t="shared" ca="1" si="90"/>
        <v>0</v>
      </c>
      <c r="AQ342" s="49">
        <f t="shared" ca="1" si="90"/>
        <v>0</v>
      </c>
      <c r="AR342" s="49">
        <f t="shared" ca="1" si="90"/>
        <v>0</v>
      </c>
      <c r="AS342" s="49">
        <f t="shared" ca="1" si="90"/>
        <v>0</v>
      </c>
      <c r="AT342" s="49">
        <f t="shared" ca="1" si="90"/>
        <v>0</v>
      </c>
      <c r="AU342" s="49">
        <f t="shared" ca="1" si="90"/>
        <v>0</v>
      </c>
      <c r="AV342" s="49">
        <f t="shared" ca="1" si="90"/>
        <v>0</v>
      </c>
      <c r="AW342" s="49">
        <f t="shared" ca="1" si="90"/>
        <v>0</v>
      </c>
      <c r="AX342" s="49">
        <f t="shared" ca="1" si="90"/>
        <v>0</v>
      </c>
      <c r="AY342" s="49">
        <f t="shared" ca="1" si="90"/>
        <v>0</v>
      </c>
      <c r="AZ342" s="49">
        <f t="shared" ca="1" si="90"/>
        <v>0</v>
      </c>
      <c r="BA342" s="49">
        <f t="shared" ca="1" si="90"/>
        <v>0</v>
      </c>
      <c r="BB342" s="49">
        <f t="shared" ca="1" si="90"/>
        <v>0</v>
      </c>
      <c r="BC342" s="49">
        <f t="shared" ca="1" si="90"/>
        <v>0</v>
      </c>
      <c r="BD342" s="49">
        <f t="shared" ca="1" si="90"/>
        <v>0</v>
      </c>
      <c r="BE342" s="49">
        <f t="shared" ca="1" si="90"/>
        <v>0</v>
      </c>
      <c r="BF342" s="49">
        <f t="shared" ca="1" si="90"/>
        <v>0</v>
      </c>
      <c r="BG342" s="49">
        <f t="shared" ca="1" si="90"/>
        <v>0</v>
      </c>
      <c r="BH342" s="49">
        <f t="shared" ca="1" si="90"/>
        <v>0</v>
      </c>
      <c r="BI342" s="49">
        <f t="shared" ca="1" si="90"/>
        <v>0</v>
      </c>
      <c r="BJ342" s="49">
        <f t="shared" ca="1" si="90"/>
        <v>0</v>
      </c>
      <c r="BK342" s="49">
        <f t="shared" ca="1" si="90"/>
        <v>0</v>
      </c>
      <c r="BL342" s="49">
        <f t="shared" ca="1" si="90"/>
        <v>0</v>
      </c>
      <c r="BM342" s="49">
        <f t="shared" ca="1" si="90"/>
        <v>0</v>
      </c>
      <c r="BN342" s="49">
        <f t="shared" ca="1" si="90"/>
        <v>0</v>
      </c>
      <c r="BO342" s="49">
        <f t="shared" ca="1" si="90"/>
        <v>0</v>
      </c>
      <c r="BP342" s="49">
        <f t="shared" ca="1" si="90"/>
        <v>0</v>
      </c>
      <c r="BQ342" s="49">
        <f t="shared" ca="1" si="90"/>
        <v>0</v>
      </c>
      <c r="BR342" s="49">
        <f t="shared" ca="1" si="90"/>
        <v>0</v>
      </c>
      <c r="BS342" s="49">
        <f t="shared" ca="1" si="90"/>
        <v>0</v>
      </c>
    </row>
    <row r="343" spans="3:71" outlineLevel="1" x14ac:dyDescent="0.2">
      <c r="J343" s="26"/>
      <c r="L343" s="55"/>
      <c r="M343" s="55"/>
      <c r="N343" s="55"/>
      <c r="O343" s="55"/>
      <c r="P343" s="55"/>
      <c r="Q343" s="55"/>
      <c r="R343" s="55"/>
      <c r="S343" s="55"/>
      <c r="T343" s="55"/>
      <c r="U343" s="55"/>
      <c r="V343" s="55"/>
      <c r="W343" s="55"/>
      <c r="X343" s="55"/>
      <c r="Y343" s="55"/>
      <c r="Z343" s="55"/>
      <c r="AA343" s="55"/>
      <c r="AB343" s="55"/>
      <c r="AC343" s="55"/>
      <c r="AD343" s="55"/>
      <c r="AE343" s="55"/>
      <c r="AF343" s="55"/>
      <c r="AG343" s="55"/>
      <c r="AH343" s="55"/>
      <c r="AI343" s="55"/>
      <c r="AJ343" s="55"/>
      <c r="AK343" s="55"/>
      <c r="AL343" s="55"/>
      <c r="AM343" s="55"/>
      <c r="AN343" s="55"/>
      <c r="AO343" s="55"/>
      <c r="AP343" s="55"/>
      <c r="AQ343" s="55"/>
      <c r="AR343" s="55"/>
      <c r="AS343" s="55"/>
      <c r="AT343" s="55"/>
      <c r="AU343" s="55"/>
      <c r="AV343" s="55"/>
      <c r="AW343" s="55"/>
      <c r="AX343" s="55"/>
      <c r="AY343" s="55"/>
      <c r="AZ343" s="55"/>
      <c r="BA343" s="55"/>
      <c r="BB343" s="55"/>
      <c r="BC343" s="55"/>
      <c r="BD343" s="55"/>
      <c r="BE343" s="55"/>
      <c r="BF343" s="55"/>
      <c r="BG343" s="55"/>
      <c r="BH343" s="55"/>
      <c r="BI343" s="55"/>
      <c r="BJ343" s="55"/>
      <c r="BK343" s="55"/>
      <c r="BL343" s="55"/>
      <c r="BM343" s="55"/>
      <c r="BN343" s="55"/>
      <c r="BO343" s="55"/>
      <c r="BP343" s="55"/>
      <c r="BQ343" s="55"/>
      <c r="BR343" s="55"/>
      <c r="BS343" s="55"/>
    </row>
    <row r="344" spans="3:71" outlineLevel="1" x14ac:dyDescent="0.2">
      <c r="C344" s="11" t="str">
        <f>HM_ZA_Nkossa!C333</f>
        <v>Participation</v>
      </c>
      <c r="J344" s="26"/>
      <c r="L344" s="55"/>
      <c r="M344" s="55"/>
      <c r="N344" s="55"/>
      <c r="O344" s="55"/>
      <c r="P344" s="55"/>
      <c r="Q344" s="55"/>
      <c r="R344" s="55"/>
      <c r="S344" s="55"/>
      <c r="T344" s="55"/>
      <c r="U344" s="55"/>
      <c r="V344" s="55"/>
      <c r="W344" s="55"/>
      <c r="X344" s="55"/>
      <c r="Y344" s="55"/>
      <c r="Z344" s="55"/>
      <c r="AA344" s="55"/>
      <c r="AB344" s="55"/>
      <c r="AC344" s="55"/>
      <c r="AD344" s="55"/>
      <c r="AE344" s="55"/>
      <c r="AF344" s="55"/>
      <c r="AG344" s="55"/>
      <c r="AH344" s="55"/>
      <c r="AI344" s="55"/>
      <c r="AJ344" s="55"/>
      <c r="AK344" s="55"/>
      <c r="AL344" s="55"/>
      <c r="AM344" s="55"/>
      <c r="AN344" s="55"/>
      <c r="AO344" s="55"/>
      <c r="AP344" s="55"/>
      <c r="AQ344" s="55"/>
      <c r="AR344" s="55"/>
      <c r="AS344" s="55"/>
      <c r="AT344" s="55"/>
      <c r="AU344" s="55"/>
      <c r="AV344" s="55"/>
      <c r="AW344" s="55"/>
      <c r="AX344" s="55"/>
      <c r="AY344" s="55"/>
      <c r="AZ344" s="55"/>
      <c r="BA344" s="55"/>
      <c r="BB344" s="55"/>
      <c r="BC344" s="55"/>
      <c r="BD344" s="55"/>
      <c r="BE344" s="55"/>
      <c r="BF344" s="55"/>
      <c r="BG344" s="55"/>
      <c r="BH344" s="55"/>
      <c r="BI344" s="55"/>
      <c r="BJ344" s="55"/>
      <c r="BK344" s="55"/>
      <c r="BL344" s="55"/>
      <c r="BM344" s="55"/>
      <c r="BN344" s="55"/>
      <c r="BO344" s="55"/>
      <c r="BP344" s="55"/>
      <c r="BQ344" s="55"/>
      <c r="BR344" s="55"/>
      <c r="BS344" s="55"/>
    </row>
    <row r="345" spans="3:71" outlineLevel="1" x14ac:dyDescent="0.2">
      <c r="D345" t="str">
        <f>HM_ZA_Nkossa!D334</f>
        <v>Consortium compagnie pétrolières internationales</v>
      </c>
      <c r="J345" s="26" t="s">
        <v>90</v>
      </c>
      <c r="K345" s="7" t="s">
        <v>340</v>
      </c>
      <c r="L345" s="53">
        <f ca="1">HM_ZB_Nsoko!IOC_WI_perc*HM_ZB_Nsoko!CA_op_trig</f>
        <v>0.85</v>
      </c>
      <c r="M345" s="53">
        <f ca="1">HM_ZB_Nsoko!IOC_WI_perc*HM_ZB_Nsoko!CA_op_trig</f>
        <v>0.85</v>
      </c>
      <c r="N345" s="53">
        <f ca="1">HM_ZB_Nsoko!IOC_WI_perc*HM_ZB_Nsoko!CA_op_trig</f>
        <v>0.85</v>
      </c>
      <c r="O345" s="53">
        <f ca="1">HM_ZB_Nsoko!IOC_WI_perc*HM_ZB_Nsoko!CA_op_trig</f>
        <v>0.85</v>
      </c>
      <c r="P345" s="53">
        <f ca="1">HM_ZB_Nsoko!IOC_WI_perc*HM_ZB_Nsoko!CA_op_trig</f>
        <v>0.85</v>
      </c>
      <c r="Q345" s="53">
        <f ca="1">HM_ZB_Nsoko!IOC_WI_perc*HM_ZB_Nsoko!CA_op_trig</f>
        <v>0.85</v>
      </c>
      <c r="R345" s="53">
        <f ca="1">HM_ZB_Nsoko!IOC_WI_perc*HM_ZB_Nsoko!CA_op_trig</f>
        <v>0.85</v>
      </c>
      <c r="S345" s="53">
        <f ca="1">HM_ZB_Nsoko!IOC_WI_perc*HM_ZB_Nsoko!CA_op_trig</f>
        <v>0.85</v>
      </c>
      <c r="T345" s="53">
        <f ca="1">HM_ZB_Nsoko!IOC_WI_perc*HM_ZB_Nsoko!CA_op_trig</f>
        <v>0.85</v>
      </c>
      <c r="U345" s="53">
        <f ca="1">HM_ZB_Nsoko!IOC_WI_perc*HM_ZB_Nsoko!CA_op_trig</f>
        <v>0.85</v>
      </c>
      <c r="V345" s="53">
        <f ca="1">HM_ZB_Nsoko!IOC_WI_perc*HM_ZB_Nsoko!CA_op_trig</f>
        <v>0.85</v>
      </c>
      <c r="W345" s="53">
        <f ca="1">HM_ZB_Nsoko!IOC_WI_perc*HM_ZB_Nsoko!CA_op_trig</f>
        <v>0.85</v>
      </c>
      <c r="X345" s="53">
        <f ca="1">HM_ZB_Nsoko!IOC_WI_perc*HM_ZB_Nsoko!CA_op_trig</f>
        <v>0.85</v>
      </c>
      <c r="Y345" s="53">
        <f ca="1">HM_ZB_Nsoko!IOC_WI_perc*HM_ZB_Nsoko!CA_op_trig</f>
        <v>0</v>
      </c>
      <c r="Z345" s="53">
        <f ca="1">HM_ZB_Nsoko!IOC_WI_perc*HM_ZB_Nsoko!CA_op_trig</f>
        <v>0</v>
      </c>
      <c r="AA345" s="53">
        <f ca="1">HM_ZB_Nsoko!IOC_WI_perc*HM_ZB_Nsoko!CA_op_trig</f>
        <v>0</v>
      </c>
      <c r="AB345" s="53">
        <f ca="1">HM_ZB_Nsoko!IOC_WI_perc*HM_ZB_Nsoko!CA_op_trig</f>
        <v>0</v>
      </c>
      <c r="AC345" s="53">
        <f ca="1">HM_ZB_Nsoko!IOC_WI_perc*HM_ZB_Nsoko!CA_op_trig</f>
        <v>0</v>
      </c>
      <c r="AD345" s="53">
        <f ca="1">HM_ZB_Nsoko!IOC_WI_perc*HM_ZB_Nsoko!CA_op_trig</f>
        <v>0</v>
      </c>
      <c r="AE345" s="53">
        <f ca="1">HM_ZB_Nsoko!IOC_WI_perc*HM_ZB_Nsoko!CA_op_trig</f>
        <v>0</v>
      </c>
      <c r="AF345" s="53">
        <f ca="1">HM_ZB_Nsoko!IOC_WI_perc*HM_ZB_Nsoko!CA_op_trig</f>
        <v>0</v>
      </c>
      <c r="AG345" s="53">
        <f ca="1">HM_ZB_Nsoko!IOC_WI_perc*HM_ZB_Nsoko!CA_op_trig</f>
        <v>0</v>
      </c>
      <c r="AH345" s="53">
        <f ca="1">HM_ZB_Nsoko!IOC_WI_perc*HM_ZB_Nsoko!CA_op_trig</f>
        <v>0</v>
      </c>
      <c r="AI345" s="53">
        <f ca="1">HM_ZB_Nsoko!IOC_WI_perc*HM_ZB_Nsoko!CA_op_trig</f>
        <v>0</v>
      </c>
      <c r="AJ345" s="53">
        <f ca="1">HM_ZB_Nsoko!IOC_WI_perc*HM_ZB_Nsoko!CA_op_trig</f>
        <v>0</v>
      </c>
      <c r="AK345" s="53">
        <f ca="1">HM_ZB_Nsoko!IOC_WI_perc*HM_ZB_Nsoko!CA_op_trig</f>
        <v>0</v>
      </c>
      <c r="AL345" s="53">
        <f ca="1">HM_ZB_Nsoko!IOC_WI_perc*HM_ZB_Nsoko!CA_op_trig</f>
        <v>0</v>
      </c>
      <c r="AM345" s="53">
        <f ca="1">HM_ZB_Nsoko!IOC_WI_perc*HM_ZB_Nsoko!CA_op_trig</f>
        <v>0</v>
      </c>
      <c r="AN345" s="53">
        <f ca="1">HM_ZB_Nsoko!IOC_WI_perc*HM_ZB_Nsoko!CA_op_trig</f>
        <v>0</v>
      </c>
      <c r="AO345" s="53">
        <f ca="1">HM_ZB_Nsoko!IOC_WI_perc*HM_ZB_Nsoko!CA_op_trig</f>
        <v>0</v>
      </c>
      <c r="AP345" s="53">
        <f ca="1">HM_ZB_Nsoko!IOC_WI_perc*HM_ZB_Nsoko!CA_op_trig</f>
        <v>0</v>
      </c>
      <c r="AQ345" s="53">
        <f ca="1">HM_ZB_Nsoko!IOC_WI_perc*HM_ZB_Nsoko!CA_op_trig</f>
        <v>0</v>
      </c>
      <c r="AR345" s="53">
        <f ca="1">HM_ZB_Nsoko!IOC_WI_perc*HM_ZB_Nsoko!CA_op_trig</f>
        <v>0</v>
      </c>
      <c r="AS345" s="53">
        <f ca="1">HM_ZB_Nsoko!IOC_WI_perc*HM_ZB_Nsoko!CA_op_trig</f>
        <v>0</v>
      </c>
      <c r="AT345" s="53">
        <f ca="1">HM_ZB_Nsoko!IOC_WI_perc*HM_ZB_Nsoko!CA_op_trig</f>
        <v>0</v>
      </c>
      <c r="AU345" s="53">
        <f ca="1">HM_ZB_Nsoko!IOC_WI_perc*HM_ZB_Nsoko!CA_op_trig</f>
        <v>0</v>
      </c>
      <c r="AV345" s="53">
        <f ca="1">HM_ZB_Nsoko!IOC_WI_perc*HM_ZB_Nsoko!CA_op_trig</f>
        <v>0</v>
      </c>
      <c r="AW345" s="53">
        <f ca="1">HM_ZB_Nsoko!IOC_WI_perc*HM_ZB_Nsoko!CA_op_trig</f>
        <v>0</v>
      </c>
      <c r="AX345" s="53">
        <f ca="1">HM_ZB_Nsoko!IOC_WI_perc*HM_ZB_Nsoko!CA_op_trig</f>
        <v>0</v>
      </c>
      <c r="AY345" s="53">
        <f ca="1">HM_ZB_Nsoko!IOC_WI_perc*HM_ZB_Nsoko!CA_op_trig</f>
        <v>0</v>
      </c>
      <c r="AZ345" s="53">
        <f ca="1">HM_ZB_Nsoko!IOC_WI_perc*HM_ZB_Nsoko!CA_op_trig</f>
        <v>0</v>
      </c>
      <c r="BA345" s="53">
        <f ca="1">HM_ZB_Nsoko!IOC_WI_perc*HM_ZB_Nsoko!CA_op_trig</f>
        <v>0</v>
      </c>
      <c r="BB345" s="53">
        <f ca="1">HM_ZB_Nsoko!IOC_WI_perc*HM_ZB_Nsoko!CA_op_trig</f>
        <v>0</v>
      </c>
      <c r="BC345" s="53">
        <f ca="1">HM_ZB_Nsoko!IOC_WI_perc*HM_ZB_Nsoko!CA_op_trig</f>
        <v>0</v>
      </c>
      <c r="BD345" s="53">
        <f ca="1">HM_ZB_Nsoko!IOC_WI_perc*HM_ZB_Nsoko!CA_op_trig</f>
        <v>0</v>
      </c>
      <c r="BE345" s="53">
        <f ca="1">HM_ZB_Nsoko!IOC_WI_perc*HM_ZB_Nsoko!CA_op_trig</f>
        <v>0</v>
      </c>
      <c r="BF345" s="53">
        <f ca="1">HM_ZB_Nsoko!IOC_WI_perc*HM_ZB_Nsoko!CA_op_trig</f>
        <v>0</v>
      </c>
      <c r="BG345" s="53">
        <f ca="1">HM_ZB_Nsoko!IOC_WI_perc*HM_ZB_Nsoko!CA_op_trig</f>
        <v>0</v>
      </c>
      <c r="BH345" s="53">
        <f ca="1">HM_ZB_Nsoko!IOC_WI_perc*HM_ZB_Nsoko!CA_op_trig</f>
        <v>0</v>
      </c>
      <c r="BI345" s="53">
        <f ca="1">HM_ZB_Nsoko!IOC_WI_perc*HM_ZB_Nsoko!CA_op_trig</f>
        <v>0</v>
      </c>
      <c r="BJ345" s="53">
        <f ca="1">HM_ZB_Nsoko!IOC_WI_perc*HM_ZB_Nsoko!CA_op_trig</f>
        <v>0</v>
      </c>
      <c r="BK345" s="53">
        <f ca="1">HM_ZB_Nsoko!IOC_WI_perc*HM_ZB_Nsoko!CA_op_trig</f>
        <v>0</v>
      </c>
      <c r="BL345" s="53">
        <f ca="1">HM_ZB_Nsoko!IOC_WI_perc*HM_ZB_Nsoko!CA_op_trig</f>
        <v>0</v>
      </c>
      <c r="BM345" s="53">
        <f ca="1">HM_ZB_Nsoko!IOC_WI_perc*HM_ZB_Nsoko!CA_op_trig</f>
        <v>0</v>
      </c>
      <c r="BN345" s="53">
        <f ca="1">HM_ZB_Nsoko!IOC_WI_perc*HM_ZB_Nsoko!CA_op_trig</f>
        <v>0</v>
      </c>
      <c r="BO345" s="53">
        <f ca="1">HM_ZB_Nsoko!IOC_WI_perc*HM_ZB_Nsoko!CA_op_trig</f>
        <v>0</v>
      </c>
      <c r="BP345" s="53">
        <f ca="1">HM_ZB_Nsoko!IOC_WI_perc*HM_ZB_Nsoko!CA_op_trig</f>
        <v>0</v>
      </c>
      <c r="BQ345" s="53">
        <f ca="1">HM_ZB_Nsoko!IOC_WI_perc*HM_ZB_Nsoko!CA_op_trig</f>
        <v>0</v>
      </c>
      <c r="BR345" s="53">
        <f ca="1">HM_ZB_Nsoko!IOC_WI_perc*HM_ZB_Nsoko!CA_op_trig</f>
        <v>0</v>
      </c>
      <c r="BS345" s="53">
        <f ca="1">HM_ZB_Nsoko!IOC_WI_perc*HM_ZB_Nsoko!CA_op_trig</f>
        <v>0</v>
      </c>
    </row>
    <row r="346" spans="3:71" outlineLevel="1" x14ac:dyDescent="0.2">
      <c r="D346" t="str">
        <f>HM_ZA_Nkossa!D335</f>
        <v>Participation compagnie nationale/État</v>
      </c>
      <c r="J346" s="26" t="s">
        <v>90</v>
      </c>
      <c r="K346" s="7" t="s">
        <v>341</v>
      </c>
      <c r="L346" s="53">
        <f ca="1">HM_ZB_Nsoko!NOC_WI_perc*HM_ZB_Nsoko!CA_op_trig</f>
        <v>0.15</v>
      </c>
      <c r="M346" s="53">
        <f ca="1">HM_ZB_Nsoko!NOC_WI_perc*HM_ZB_Nsoko!CA_op_trig</f>
        <v>0.15</v>
      </c>
      <c r="N346" s="53">
        <f ca="1">HM_ZB_Nsoko!NOC_WI_perc*HM_ZB_Nsoko!CA_op_trig</f>
        <v>0.15</v>
      </c>
      <c r="O346" s="53">
        <f ca="1">HM_ZB_Nsoko!NOC_WI_perc*HM_ZB_Nsoko!CA_op_trig</f>
        <v>0.15</v>
      </c>
      <c r="P346" s="53">
        <f ca="1">HM_ZB_Nsoko!NOC_WI_perc*HM_ZB_Nsoko!CA_op_trig</f>
        <v>0.15</v>
      </c>
      <c r="Q346" s="53">
        <f ca="1">HM_ZB_Nsoko!NOC_WI_perc*HM_ZB_Nsoko!CA_op_trig</f>
        <v>0.15</v>
      </c>
      <c r="R346" s="53">
        <f ca="1">HM_ZB_Nsoko!NOC_WI_perc*HM_ZB_Nsoko!CA_op_trig</f>
        <v>0.15</v>
      </c>
      <c r="S346" s="53">
        <f ca="1">HM_ZB_Nsoko!NOC_WI_perc*HM_ZB_Nsoko!CA_op_trig</f>
        <v>0.15</v>
      </c>
      <c r="T346" s="53">
        <f ca="1">HM_ZB_Nsoko!NOC_WI_perc*HM_ZB_Nsoko!CA_op_trig</f>
        <v>0.15</v>
      </c>
      <c r="U346" s="53">
        <f ca="1">HM_ZB_Nsoko!NOC_WI_perc*HM_ZB_Nsoko!CA_op_trig</f>
        <v>0.15</v>
      </c>
      <c r="V346" s="53">
        <f ca="1">HM_ZB_Nsoko!NOC_WI_perc*HM_ZB_Nsoko!CA_op_trig</f>
        <v>0.15</v>
      </c>
      <c r="W346" s="53">
        <f ca="1">HM_ZB_Nsoko!NOC_WI_perc*HM_ZB_Nsoko!CA_op_trig</f>
        <v>0.15</v>
      </c>
      <c r="X346" s="53">
        <f ca="1">HM_ZB_Nsoko!NOC_WI_perc*HM_ZB_Nsoko!CA_op_trig</f>
        <v>0.15</v>
      </c>
      <c r="Y346" s="53">
        <f ca="1">HM_ZB_Nsoko!NOC_WI_perc*HM_ZB_Nsoko!CA_op_trig</f>
        <v>0</v>
      </c>
      <c r="Z346" s="53">
        <f ca="1">HM_ZB_Nsoko!NOC_WI_perc*HM_ZB_Nsoko!CA_op_trig</f>
        <v>0</v>
      </c>
      <c r="AA346" s="53">
        <f ca="1">HM_ZB_Nsoko!NOC_WI_perc*HM_ZB_Nsoko!CA_op_trig</f>
        <v>0</v>
      </c>
      <c r="AB346" s="53">
        <f ca="1">HM_ZB_Nsoko!NOC_WI_perc*HM_ZB_Nsoko!CA_op_trig</f>
        <v>0</v>
      </c>
      <c r="AC346" s="53">
        <f ca="1">HM_ZB_Nsoko!NOC_WI_perc*HM_ZB_Nsoko!CA_op_trig</f>
        <v>0</v>
      </c>
      <c r="AD346" s="53">
        <f ca="1">HM_ZB_Nsoko!NOC_WI_perc*HM_ZB_Nsoko!CA_op_trig</f>
        <v>0</v>
      </c>
      <c r="AE346" s="53">
        <f ca="1">HM_ZB_Nsoko!NOC_WI_perc*HM_ZB_Nsoko!CA_op_trig</f>
        <v>0</v>
      </c>
      <c r="AF346" s="53">
        <f ca="1">HM_ZB_Nsoko!NOC_WI_perc*HM_ZB_Nsoko!CA_op_trig</f>
        <v>0</v>
      </c>
      <c r="AG346" s="53">
        <f ca="1">HM_ZB_Nsoko!NOC_WI_perc*HM_ZB_Nsoko!CA_op_trig</f>
        <v>0</v>
      </c>
      <c r="AH346" s="53">
        <f ca="1">HM_ZB_Nsoko!NOC_WI_perc*HM_ZB_Nsoko!CA_op_trig</f>
        <v>0</v>
      </c>
      <c r="AI346" s="53">
        <f ca="1">HM_ZB_Nsoko!NOC_WI_perc*HM_ZB_Nsoko!CA_op_trig</f>
        <v>0</v>
      </c>
      <c r="AJ346" s="53">
        <f ca="1">HM_ZB_Nsoko!NOC_WI_perc*HM_ZB_Nsoko!CA_op_trig</f>
        <v>0</v>
      </c>
      <c r="AK346" s="53">
        <f ca="1">HM_ZB_Nsoko!NOC_WI_perc*HM_ZB_Nsoko!CA_op_trig</f>
        <v>0</v>
      </c>
      <c r="AL346" s="53">
        <f ca="1">HM_ZB_Nsoko!NOC_WI_perc*HM_ZB_Nsoko!CA_op_trig</f>
        <v>0</v>
      </c>
      <c r="AM346" s="53">
        <f ca="1">HM_ZB_Nsoko!NOC_WI_perc*HM_ZB_Nsoko!CA_op_trig</f>
        <v>0</v>
      </c>
      <c r="AN346" s="53">
        <f ca="1">HM_ZB_Nsoko!NOC_WI_perc*HM_ZB_Nsoko!CA_op_trig</f>
        <v>0</v>
      </c>
      <c r="AO346" s="53">
        <f ca="1">HM_ZB_Nsoko!NOC_WI_perc*HM_ZB_Nsoko!CA_op_trig</f>
        <v>0</v>
      </c>
      <c r="AP346" s="53">
        <f ca="1">HM_ZB_Nsoko!NOC_WI_perc*HM_ZB_Nsoko!CA_op_trig</f>
        <v>0</v>
      </c>
      <c r="AQ346" s="53">
        <f ca="1">HM_ZB_Nsoko!NOC_WI_perc*HM_ZB_Nsoko!CA_op_trig</f>
        <v>0</v>
      </c>
      <c r="AR346" s="53">
        <f ca="1">HM_ZB_Nsoko!NOC_WI_perc*HM_ZB_Nsoko!CA_op_trig</f>
        <v>0</v>
      </c>
      <c r="AS346" s="53">
        <f ca="1">HM_ZB_Nsoko!NOC_WI_perc*HM_ZB_Nsoko!CA_op_trig</f>
        <v>0</v>
      </c>
      <c r="AT346" s="53">
        <f ca="1">HM_ZB_Nsoko!NOC_WI_perc*HM_ZB_Nsoko!CA_op_trig</f>
        <v>0</v>
      </c>
      <c r="AU346" s="53">
        <f ca="1">HM_ZB_Nsoko!NOC_WI_perc*HM_ZB_Nsoko!CA_op_trig</f>
        <v>0</v>
      </c>
      <c r="AV346" s="53">
        <f ca="1">HM_ZB_Nsoko!NOC_WI_perc*HM_ZB_Nsoko!CA_op_trig</f>
        <v>0</v>
      </c>
      <c r="AW346" s="53">
        <f ca="1">HM_ZB_Nsoko!NOC_WI_perc*HM_ZB_Nsoko!CA_op_trig</f>
        <v>0</v>
      </c>
      <c r="AX346" s="53">
        <f ca="1">HM_ZB_Nsoko!NOC_WI_perc*HM_ZB_Nsoko!CA_op_trig</f>
        <v>0</v>
      </c>
      <c r="AY346" s="53">
        <f ca="1">HM_ZB_Nsoko!NOC_WI_perc*HM_ZB_Nsoko!CA_op_trig</f>
        <v>0</v>
      </c>
      <c r="AZ346" s="53">
        <f ca="1">HM_ZB_Nsoko!NOC_WI_perc*HM_ZB_Nsoko!CA_op_trig</f>
        <v>0</v>
      </c>
      <c r="BA346" s="53">
        <f ca="1">HM_ZB_Nsoko!NOC_WI_perc*HM_ZB_Nsoko!CA_op_trig</f>
        <v>0</v>
      </c>
      <c r="BB346" s="53">
        <f ca="1">HM_ZB_Nsoko!NOC_WI_perc*HM_ZB_Nsoko!CA_op_trig</f>
        <v>0</v>
      </c>
      <c r="BC346" s="53">
        <f ca="1">HM_ZB_Nsoko!NOC_WI_perc*HM_ZB_Nsoko!CA_op_trig</f>
        <v>0</v>
      </c>
      <c r="BD346" s="53">
        <f ca="1">HM_ZB_Nsoko!NOC_WI_perc*HM_ZB_Nsoko!CA_op_trig</f>
        <v>0</v>
      </c>
      <c r="BE346" s="53">
        <f ca="1">HM_ZB_Nsoko!NOC_WI_perc*HM_ZB_Nsoko!CA_op_trig</f>
        <v>0</v>
      </c>
      <c r="BF346" s="53">
        <f ca="1">HM_ZB_Nsoko!NOC_WI_perc*HM_ZB_Nsoko!CA_op_trig</f>
        <v>0</v>
      </c>
      <c r="BG346" s="53">
        <f ca="1">HM_ZB_Nsoko!NOC_WI_perc*HM_ZB_Nsoko!CA_op_trig</f>
        <v>0</v>
      </c>
      <c r="BH346" s="53">
        <f ca="1">HM_ZB_Nsoko!NOC_WI_perc*HM_ZB_Nsoko!CA_op_trig</f>
        <v>0</v>
      </c>
      <c r="BI346" s="53">
        <f ca="1">HM_ZB_Nsoko!NOC_WI_perc*HM_ZB_Nsoko!CA_op_trig</f>
        <v>0</v>
      </c>
      <c r="BJ346" s="53">
        <f ca="1">HM_ZB_Nsoko!NOC_WI_perc*HM_ZB_Nsoko!CA_op_trig</f>
        <v>0</v>
      </c>
      <c r="BK346" s="53">
        <f ca="1">HM_ZB_Nsoko!NOC_WI_perc*HM_ZB_Nsoko!CA_op_trig</f>
        <v>0</v>
      </c>
      <c r="BL346" s="53">
        <f ca="1">HM_ZB_Nsoko!NOC_WI_perc*HM_ZB_Nsoko!CA_op_trig</f>
        <v>0</v>
      </c>
      <c r="BM346" s="53">
        <f ca="1">HM_ZB_Nsoko!NOC_WI_perc*HM_ZB_Nsoko!CA_op_trig</f>
        <v>0</v>
      </c>
      <c r="BN346" s="53">
        <f ca="1">HM_ZB_Nsoko!NOC_WI_perc*HM_ZB_Nsoko!CA_op_trig</f>
        <v>0</v>
      </c>
      <c r="BO346" s="53">
        <f ca="1">HM_ZB_Nsoko!NOC_WI_perc*HM_ZB_Nsoko!CA_op_trig</f>
        <v>0</v>
      </c>
      <c r="BP346" s="53">
        <f ca="1">HM_ZB_Nsoko!NOC_WI_perc*HM_ZB_Nsoko!CA_op_trig</f>
        <v>0</v>
      </c>
      <c r="BQ346" s="53">
        <f ca="1">HM_ZB_Nsoko!NOC_WI_perc*HM_ZB_Nsoko!CA_op_trig</f>
        <v>0</v>
      </c>
      <c r="BR346" s="53">
        <f ca="1">HM_ZB_Nsoko!NOC_WI_perc*HM_ZB_Nsoko!CA_op_trig</f>
        <v>0</v>
      </c>
      <c r="BS346" s="53">
        <f ca="1">HM_ZB_Nsoko!NOC_WI_perc*HM_ZB_Nsoko!CA_op_trig</f>
        <v>0</v>
      </c>
    </row>
    <row r="347" spans="3:71" outlineLevel="1" x14ac:dyDescent="0.2">
      <c r="J347" s="26"/>
      <c r="L347" s="55"/>
      <c r="M347" s="55"/>
      <c r="N347" s="55"/>
      <c r="O347" s="55"/>
      <c r="P347" s="55"/>
      <c r="Q347" s="55"/>
      <c r="R347" s="55"/>
      <c r="S347" s="55"/>
      <c r="T347" s="55"/>
      <c r="U347" s="55"/>
      <c r="V347" s="55"/>
      <c r="W347" s="55"/>
      <c r="X347" s="55"/>
      <c r="Y347" s="55"/>
      <c r="Z347" s="55"/>
      <c r="AA347" s="55"/>
      <c r="AB347" s="55"/>
      <c r="AC347" s="55"/>
      <c r="AD347" s="55"/>
      <c r="AE347" s="55"/>
      <c r="AF347" s="55"/>
      <c r="AG347" s="55"/>
      <c r="AH347" s="55"/>
      <c r="AI347" s="55"/>
      <c r="AJ347" s="55"/>
      <c r="AK347" s="55"/>
      <c r="AL347" s="55"/>
      <c r="AM347" s="55"/>
      <c r="AN347" s="55"/>
      <c r="AO347" s="55"/>
      <c r="AP347" s="55"/>
      <c r="AQ347" s="55"/>
      <c r="AR347" s="55"/>
      <c r="AS347" s="55"/>
      <c r="AT347" s="55"/>
      <c r="AU347" s="55"/>
      <c r="AV347" s="55"/>
      <c r="AW347" s="55"/>
      <c r="AX347" s="55"/>
      <c r="AY347" s="55"/>
      <c r="AZ347" s="55"/>
      <c r="BA347" s="55"/>
      <c r="BB347" s="55"/>
      <c r="BC347" s="55"/>
      <c r="BD347" s="55"/>
      <c r="BE347" s="55"/>
      <c r="BF347" s="55"/>
      <c r="BG347" s="55"/>
      <c r="BH347" s="55"/>
      <c r="BI347" s="55"/>
      <c r="BJ347" s="55"/>
      <c r="BK347" s="55"/>
      <c r="BL347" s="55"/>
      <c r="BM347" s="55"/>
      <c r="BN347" s="55"/>
      <c r="BO347" s="55"/>
      <c r="BP347" s="55"/>
      <c r="BQ347" s="55"/>
      <c r="BR347" s="55"/>
      <c r="BS347" s="55"/>
    </row>
    <row r="348" spans="3:71" outlineLevel="1" x14ac:dyDescent="0.2">
      <c r="C348" s="11" t="str">
        <f>HM_ZA_Nkossa!C337</f>
        <v>Revenus des droits selon participation -pétrole</v>
      </c>
      <c r="J348" s="26"/>
      <c r="L348" s="55"/>
      <c r="M348" s="55"/>
      <c r="N348" s="55"/>
      <c r="O348" s="55"/>
      <c r="P348" s="55"/>
      <c r="Q348" s="55"/>
      <c r="R348" s="55"/>
      <c r="S348" s="55"/>
      <c r="T348" s="55"/>
      <c r="U348" s="55"/>
      <c r="V348" s="55"/>
      <c r="W348" s="55"/>
      <c r="X348" s="55"/>
      <c r="Y348" s="55"/>
      <c r="Z348" s="55"/>
      <c r="AA348" s="55"/>
      <c r="AB348" s="55"/>
      <c r="AC348" s="55"/>
      <c r="AD348" s="55"/>
      <c r="AE348" s="55"/>
      <c r="AF348" s="55"/>
      <c r="AG348" s="55"/>
      <c r="AH348" s="55"/>
      <c r="AI348" s="55"/>
      <c r="AJ348" s="55"/>
      <c r="AK348" s="55"/>
      <c r="AL348" s="55"/>
      <c r="AM348" s="55"/>
      <c r="AN348" s="55"/>
      <c r="AO348" s="55"/>
      <c r="AP348" s="55"/>
      <c r="AQ348" s="55"/>
      <c r="AR348" s="55"/>
      <c r="AS348" s="55"/>
      <c r="AT348" s="55"/>
      <c r="AU348" s="55"/>
      <c r="AV348" s="55"/>
      <c r="AW348" s="55"/>
      <c r="AX348" s="55"/>
      <c r="AY348" s="55"/>
      <c r="AZ348" s="55"/>
      <c r="BA348" s="55"/>
      <c r="BB348" s="55"/>
      <c r="BC348" s="55"/>
      <c r="BD348" s="55"/>
      <c r="BE348" s="55"/>
      <c r="BF348" s="55"/>
      <c r="BG348" s="55"/>
      <c r="BH348" s="55"/>
      <c r="BI348" s="55"/>
      <c r="BJ348" s="55"/>
      <c r="BK348" s="55"/>
      <c r="BL348" s="55"/>
      <c r="BM348" s="55"/>
      <c r="BN348" s="55"/>
      <c r="BO348" s="55"/>
      <c r="BP348" s="55"/>
      <c r="BQ348" s="55"/>
      <c r="BR348" s="55"/>
      <c r="BS348" s="55"/>
    </row>
    <row r="349" spans="3:71" outlineLevel="1" x14ac:dyDescent="0.2">
      <c r="D349" t="str">
        <f>HM_ZA_Nkossa!D338</f>
        <v>Consortium compagnie pétrolières internationales</v>
      </c>
      <c r="I349" s="30">
        <f t="shared" ref="I349:I351" ca="1" si="91">SUM($L349:$BS349)</f>
        <v>251.11900694857115</v>
      </c>
      <c r="J349" s="26" t="s">
        <v>148</v>
      </c>
      <c r="L349" s="49">
        <f ca="1">HM_ZB_Nsoko!CA_ent_rev_oil*HM_ZB_Nsoko!CA_IOC_WI</f>
        <v>22.938847419378291</v>
      </c>
      <c r="M349" s="49">
        <f ca="1">HM_ZB_Nsoko!CA_ent_rev_oil*HM_ZB_Nsoko!CA_IOC_WI</f>
        <v>24.525360422860253</v>
      </c>
      <c r="N349" s="49">
        <f ca="1">HM_ZB_Nsoko!CA_ent_rev_oil*HM_ZB_Nsoko!CA_IOC_WI</f>
        <v>22.182547874862877</v>
      </c>
      <c r="O349" s="49">
        <f ca="1">HM_ZB_Nsoko!CA_ent_rev_oil*HM_ZB_Nsoko!CA_IOC_WI</f>
        <v>17.127680664575998</v>
      </c>
      <c r="P349" s="49">
        <f ca="1">HM_ZB_Nsoko!CA_ent_rev_oil*HM_ZB_Nsoko!CA_IOC_WI</f>
        <v>19.765856440200871</v>
      </c>
      <c r="Q349" s="49">
        <f ca="1">HM_ZB_Nsoko!CA_ent_rev_oil*HM_ZB_Nsoko!CA_IOC_WI</f>
        <v>17.810385159972498</v>
      </c>
      <c r="R349" s="49">
        <f ca="1">HM_ZB_Nsoko!CA_ent_rev_oil*HM_ZB_Nsoko!CA_IOC_WI</f>
        <v>7.6050679172699986</v>
      </c>
      <c r="S349" s="49">
        <f ca="1">HM_ZB_Nsoko!CA_ent_rev_oil*HM_ZB_Nsoko!CA_IOC_WI</f>
        <v>19.066555539490778</v>
      </c>
      <c r="T349" s="49">
        <f ca="1">HM_ZB_Nsoko!CA_ent_rev_oil*HM_ZB_Nsoko!CA_IOC_WI</f>
        <v>22.589134465586092</v>
      </c>
      <c r="U349" s="49">
        <f ca="1">HM_ZB_Nsoko!CA_ent_rev_oil*HM_ZB_Nsoko!CA_IOC_WI</f>
        <v>21.379235531100296</v>
      </c>
      <c r="V349" s="49">
        <f ca="1">HM_ZB_Nsoko!CA_ent_rev_oil*HM_ZB_Nsoko!CA_IOC_WI</f>
        <v>19.983712275761782</v>
      </c>
      <c r="W349" s="49">
        <f ca="1">HM_ZB_Nsoko!CA_ent_rev_oil*HM_ZB_Nsoko!CA_IOC_WI</f>
        <v>18.680683054180466</v>
      </c>
      <c r="X349" s="49">
        <f ca="1">HM_ZB_Nsoko!CA_ent_rev_oil*HM_ZB_Nsoko!CA_IOC_WI</f>
        <v>17.463940183330934</v>
      </c>
      <c r="Y349" s="49">
        <f ca="1">HM_ZB_Nsoko!CA_ent_rev_oil*HM_ZB_Nsoko!CA_IOC_WI</f>
        <v>0</v>
      </c>
      <c r="Z349" s="49">
        <f ca="1">HM_ZB_Nsoko!CA_ent_rev_oil*HM_ZB_Nsoko!CA_IOC_WI</f>
        <v>0</v>
      </c>
      <c r="AA349" s="49">
        <f ca="1">HM_ZB_Nsoko!CA_ent_rev_oil*HM_ZB_Nsoko!CA_IOC_WI</f>
        <v>0</v>
      </c>
      <c r="AB349" s="49">
        <f ca="1">HM_ZB_Nsoko!CA_ent_rev_oil*HM_ZB_Nsoko!CA_IOC_WI</f>
        <v>0</v>
      </c>
      <c r="AC349" s="49">
        <f ca="1">HM_ZB_Nsoko!CA_ent_rev_oil*HM_ZB_Nsoko!CA_IOC_WI</f>
        <v>0</v>
      </c>
      <c r="AD349" s="49">
        <f ca="1">HM_ZB_Nsoko!CA_ent_rev_oil*HM_ZB_Nsoko!CA_IOC_WI</f>
        <v>0</v>
      </c>
      <c r="AE349" s="49">
        <f ca="1">HM_ZB_Nsoko!CA_ent_rev_oil*HM_ZB_Nsoko!CA_IOC_WI</f>
        <v>0</v>
      </c>
      <c r="AF349" s="49">
        <f ca="1">HM_ZB_Nsoko!CA_ent_rev_oil*HM_ZB_Nsoko!CA_IOC_WI</f>
        <v>0</v>
      </c>
      <c r="AG349" s="49">
        <f ca="1">HM_ZB_Nsoko!CA_ent_rev_oil*HM_ZB_Nsoko!CA_IOC_WI</f>
        <v>0</v>
      </c>
      <c r="AH349" s="49">
        <f ca="1">HM_ZB_Nsoko!CA_ent_rev_oil*HM_ZB_Nsoko!CA_IOC_WI</f>
        <v>0</v>
      </c>
      <c r="AI349" s="49">
        <f ca="1">HM_ZB_Nsoko!CA_ent_rev_oil*HM_ZB_Nsoko!CA_IOC_WI</f>
        <v>0</v>
      </c>
      <c r="AJ349" s="49">
        <f ca="1">HM_ZB_Nsoko!CA_ent_rev_oil*HM_ZB_Nsoko!CA_IOC_WI</f>
        <v>0</v>
      </c>
      <c r="AK349" s="49">
        <f ca="1">HM_ZB_Nsoko!CA_ent_rev_oil*HM_ZB_Nsoko!CA_IOC_WI</f>
        <v>0</v>
      </c>
      <c r="AL349" s="49">
        <f ca="1">HM_ZB_Nsoko!CA_ent_rev_oil*HM_ZB_Nsoko!CA_IOC_WI</f>
        <v>0</v>
      </c>
      <c r="AM349" s="49">
        <f ca="1">HM_ZB_Nsoko!CA_ent_rev_oil*HM_ZB_Nsoko!CA_IOC_WI</f>
        <v>0</v>
      </c>
      <c r="AN349" s="49">
        <f ca="1">HM_ZB_Nsoko!CA_ent_rev_oil*HM_ZB_Nsoko!CA_IOC_WI</f>
        <v>0</v>
      </c>
      <c r="AO349" s="49">
        <f ca="1">HM_ZB_Nsoko!CA_ent_rev_oil*HM_ZB_Nsoko!CA_IOC_WI</f>
        <v>0</v>
      </c>
      <c r="AP349" s="49">
        <f ca="1">HM_ZB_Nsoko!CA_ent_rev_oil*HM_ZB_Nsoko!CA_IOC_WI</f>
        <v>0</v>
      </c>
      <c r="AQ349" s="49">
        <f ca="1">HM_ZB_Nsoko!CA_ent_rev_oil*HM_ZB_Nsoko!CA_IOC_WI</f>
        <v>0</v>
      </c>
      <c r="AR349" s="49">
        <f ca="1">HM_ZB_Nsoko!CA_ent_rev_oil*HM_ZB_Nsoko!CA_IOC_WI</f>
        <v>0</v>
      </c>
      <c r="AS349" s="49">
        <f ca="1">HM_ZB_Nsoko!CA_ent_rev_oil*HM_ZB_Nsoko!CA_IOC_WI</f>
        <v>0</v>
      </c>
      <c r="AT349" s="49">
        <f ca="1">HM_ZB_Nsoko!CA_ent_rev_oil*HM_ZB_Nsoko!CA_IOC_WI</f>
        <v>0</v>
      </c>
      <c r="AU349" s="49">
        <f ca="1">HM_ZB_Nsoko!CA_ent_rev_oil*HM_ZB_Nsoko!CA_IOC_WI</f>
        <v>0</v>
      </c>
      <c r="AV349" s="49">
        <f ca="1">HM_ZB_Nsoko!CA_ent_rev_oil*HM_ZB_Nsoko!CA_IOC_WI</f>
        <v>0</v>
      </c>
      <c r="AW349" s="49">
        <f ca="1">HM_ZB_Nsoko!CA_ent_rev_oil*HM_ZB_Nsoko!CA_IOC_WI</f>
        <v>0</v>
      </c>
      <c r="AX349" s="49">
        <f ca="1">HM_ZB_Nsoko!CA_ent_rev_oil*HM_ZB_Nsoko!CA_IOC_WI</f>
        <v>0</v>
      </c>
      <c r="AY349" s="49">
        <f ca="1">HM_ZB_Nsoko!CA_ent_rev_oil*HM_ZB_Nsoko!CA_IOC_WI</f>
        <v>0</v>
      </c>
      <c r="AZ349" s="49">
        <f ca="1">HM_ZB_Nsoko!CA_ent_rev_oil*HM_ZB_Nsoko!CA_IOC_WI</f>
        <v>0</v>
      </c>
      <c r="BA349" s="49">
        <f ca="1">HM_ZB_Nsoko!CA_ent_rev_oil*HM_ZB_Nsoko!CA_IOC_WI</f>
        <v>0</v>
      </c>
      <c r="BB349" s="49">
        <f ca="1">HM_ZB_Nsoko!CA_ent_rev_oil*HM_ZB_Nsoko!CA_IOC_WI</f>
        <v>0</v>
      </c>
      <c r="BC349" s="49">
        <f ca="1">HM_ZB_Nsoko!CA_ent_rev_oil*HM_ZB_Nsoko!CA_IOC_WI</f>
        <v>0</v>
      </c>
      <c r="BD349" s="49">
        <f ca="1">HM_ZB_Nsoko!CA_ent_rev_oil*HM_ZB_Nsoko!CA_IOC_WI</f>
        <v>0</v>
      </c>
      <c r="BE349" s="49">
        <f ca="1">HM_ZB_Nsoko!CA_ent_rev_oil*HM_ZB_Nsoko!CA_IOC_WI</f>
        <v>0</v>
      </c>
      <c r="BF349" s="49">
        <f ca="1">HM_ZB_Nsoko!CA_ent_rev_oil*HM_ZB_Nsoko!CA_IOC_WI</f>
        <v>0</v>
      </c>
      <c r="BG349" s="49">
        <f ca="1">HM_ZB_Nsoko!CA_ent_rev_oil*HM_ZB_Nsoko!CA_IOC_WI</f>
        <v>0</v>
      </c>
      <c r="BH349" s="49">
        <f ca="1">HM_ZB_Nsoko!CA_ent_rev_oil*HM_ZB_Nsoko!CA_IOC_WI</f>
        <v>0</v>
      </c>
      <c r="BI349" s="49">
        <f ca="1">HM_ZB_Nsoko!CA_ent_rev_oil*HM_ZB_Nsoko!CA_IOC_WI</f>
        <v>0</v>
      </c>
      <c r="BJ349" s="49">
        <f ca="1">HM_ZB_Nsoko!CA_ent_rev_oil*HM_ZB_Nsoko!CA_IOC_WI</f>
        <v>0</v>
      </c>
      <c r="BK349" s="49">
        <f ca="1">HM_ZB_Nsoko!CA_ent_rev_oil*HM_ZB_Nsoko!CA_IOC_WI</f>
        <v>0</v>
      </c>
      <c r="BL349" s="49">
        <f ca="1">HM_ZB_Nsoko!CA_ent_rev_oil*HM_ZB_Nsoko!CA_IOC_WI</f>
        <v>0</v>
      </c>
      <c r="BM349" s="49">
        <f ca="1">HM_ZB_Nsoko!CA_ent_rev_oil*HM_ZB_Nsoko!CA_IOC_WI</f>
        <v>0</v>
      </c>
      <c r="BN349" s="49">
        <f ca="1">HM_ZB_Nsoko!CA_ent_rev_oil*HM_ZB_Nsoko!CA_IOC_WI</f>
        <v>0</v>
      </c>
      <c r="BO349" s="49">
        <f ca="1">HM_ZB_Nsoko!CA_ent_rev_oil*HM_ZB_Nsoko!CA_IOC_WI</f>
        <v>0</v>
      </c>
      <c r="BP349" s="49">
        <f ca="1">HM_ZB_Nsoko!CA_ent_rev_oil*HM_ZB_Nsoko!CA_IOC_WI</f>
        <v>0</v>
      </c>
      <c r="BQ349" s="49">
        <f ca="1">HM_ZB_Nsoko!CA_ent_rev_oil*HM_ZB_Nsoko!CA_IOC_WI</f>
        <v>0</v>
      </c>
      <c r="BR349" s="49">
        <f ca="1">HM_ZB_Nsoko!CA_ent_rev_oil*HM_ZB_Nsoko!CA_IOC_WI</f>
        <v>0</v>
      </c>
      <c r="BS349" s="49">
        <f ca="1">HM_ZB_Nsoko!CA_ent_rev_oil*HM_ZB_Nsoko!CA_IOC_WI</f>
        <v>0</v>
      </c>
    </row>
    <row r="350" spans="3:71" outlineLevel="1" x14ac:dyDescent="0.2">
      <c r="D350" t="str">
        <f>HM_ZA_Nkossa!D339</f>
        <v>Participation compagnie nationale/État</v>
      </c>
      <c r="I350" s="30">
        <f t="shared" ca="1" si="91"/>
        <v>44.31511887327725</v>
      </c>
      <c r="J350" s="26" t="s">
        <v>148</v>
      </c>
      <c r="L350" s="49">
        <f ca="1">HM_ZB_Nsoko!CA_ent_rev_oil*HM_ZB_Nsoko!CA_NOC_WI</f>
        <v>4.0480318975373457</v>
      </c>
      <c r="M350" s="49">
        <f ca="1">HM_ZB_Nsoko!CA_ent_rev_oil*HM_ZB_Nsoko!CA_NOC_WI</f>
        <v>4.3280047805047506</v>
      </c>
      <c r="N350" s="49">
        <f ca="1">HM_ZB_Nsoko!CA_ent_rev_oil*HM_ZB_Nsoko!CA_NOC_WI</f>
        <v>3.914567272034625</v>
      </c>
      <c r="O350" s="49">
        <f ca="1">HM_ZB_Nsoko!CA_ent_rev_oil*HM_ZB_Nsoko!CA_NOC_WI</f>
        <v>3.0225318819839999</v>
      </c>
      <c r="P350" s="49">
        <f ca="1">HM_ZB_Nsoko!CA_ent_rev_oil*HM_ZB_Nsoko!CA_NOC_WI</f>
        <v>3.4880923129766246</v>
      </c>
      <c r="Q350" s="49">
        <f ca="1">HM_ZB_Nsoko!CA_ent_rev_oil*HM_ZB_Nsoko!CA_NOC_WI</f>
        <v>3.1430091458774996</v>
      </c>
      <c r="R350" s="49">
        <f ca="1">HM_ZB_Nsoko!CA_ent_rev_oil*HM_ZB_Nsoko!CA_NOC_WI</f>
        <v>1.3420708089299997</v>
      </c>
      <c r="S350" s="49">
        <f ca="1">HM_ZB_Nsoko!CA_ent_rev_oil*HM_ZB_Nsoko!CA_NOC_WI</f>
        <v>3.3646862716748434</v>
      </c>
      <c r="T350" s="49">
        <f ca="1">HM_ZB_Nsoko!CA_ent_rev_oil*HM_ZB_Nsoko!CA_NOC_WI</f>
        <v>3.9863178468681335</v>
      </c>
      <c r="U350" s="49">
        <f ca="1">HM_ZB_Nsoko!CA_ent_rev_oil*HM_ZB_Nsoko!CA_NOC_WI</f>
        <v>3.7728062701941698</v>
      </c>
      <c r="V350" s="49">
        <f ca="1">HM_ZB_Nsoko!CA_ent_rev_oil*HM_ZB_Nsoko!CA_NOC_WI</f>
        <v>3.5265374604285498</v>
      </c>
      <c r="W350" s="49">
        <f ca="1">HM_ZB_Nsoko!CA_ent_rev_oil*HM_ZB_Nsoko!CA_NOC_WI</f>
        <v>3.2965911272083175</v>
      </c>
      <c r="X350" s="49">
        <f ca="1">HM_ZB_Nsoko!CA_ent_rev_oil*HM_ZB_Nsoko!CA_NOC_WI</f>
        <v>3.0818717970584002</v>
      </c>
      <c r="Y350" s="49">
        <f ca="1">HM_ZB_Nsoko!CA_ent_rev_oil*HM_ZB_Nsoko!CA_NOC_WI</f>
        <v>0</v>
      </c>
      <c r="Z350" s="49">
        <f ca="1">HM_ZB_Nsoko!CA_ent_rev_oil*HM_ZB_Nsoko!CA_NOC_WI</f>
        <v>0</v>
      </c>
      <c r="AA350" s="49">
        <f ca="1">HM_ZB_Nsoko!CA_ent_rev_oil*HM_ZB_Nsoko!CA_NOC_WI</f>
        <v>0</v>
      </c>
      <c r="AB350" s="49">
        <f ca="1">HM_ZB_Nsoko!CA_ent_rev_oil*HM_ZB_Nsoko!CA_NOC_WI</f>
        <v>0</v>
      </c>
      <c r="AC350" s="49">
        <f ca="1">HM_ZB_Nsoko!CA_ent_rev_oil*HM_ZB_Nsoko!CA_NOC_WI</f>
        <v>0</v>
      </c>
      <c r="AD350" s="49">
        <f ca="1">HM_ZB_Nsoko!CA_ent_rev_oil*HM_ZB_Nsoko!CA_NOC_WI</f>
        <v>0</v>
      </c>
      <c r="AE350" s="49">
        <f ca="1">HM_ZB_Nsoko!CA_ent_rev_oil*HM_ZB_Nsoko!CA_NOC_WI</f>
        <v>0</v>
      </c>
      <c r="AF350" s="49">
        <f ca="1">HM_ZB_Nsoko!CA_ent_rev_oil*HM_ZB_Nsoko!CA_NOC_WI</f>
        <v>0</v>
      </c>
      <c r="AG350" s="49">
        <f ca="1">HM_ZB_Nsoko!CA_ent_rev_oil*HM_ZB_Nsoko!CA_NOC_WI</f>
        <v>0</v>
      </c>
      <c r="AH350" s="49">
        <f ca="1">HM_ZB_Nsoko!CA_ent_rev_oil*HM_ZB_Nsoko!CA_NOC_WI</f>
        <v>0</v>
      </c>
      <c r="AI350" s="49">
        <f ca="1">HM_ZB_Nsoko!CA_ent_rev_oil*HM_ZB_Nsoko!CA_NOC_WI</f>
        <v>0</v>
      </c>
      <c r="AJ350" s="49">
        <f ca="1">HM_ZB_Nsoko!CA_ent_rev_oil*HM_ZB_Nsoko!CA_NOC_WI</f>
        <v>0</v>
      </c>
      <c r="AK350" s="49">
        <f ca="1">HM_ZB_Nsoko!CA_ent_rev_oil*HM_ZB_Nsoko!CA_NOC_WI</f>
        <v>0</v>
      </c>
      <c r="AL350" s="49">
        <f ca="1">HM_ZB_Nsoko!CA_ent_rev_oil*HM_ZB_Nsoko!CA_NOC_WI</f>
        <v>0</v>
      </c>
      <c r="AM350" s="49">
        <f ca="1">HM_ZB_Nsoko!CA_ent_rev_oil*HM_ZB_Nsoko!CA_NOC_WI</f>
        <v>0</v>
      </c>
      <c r="AN350" s="49">
        <f ca="1">HM_ZB_Nsoko!CA_ent_rev_oil*HM_ZB_Nsoko!CA_NOC_WI</f>
        <v>0</v>
      </c>
      <c r="AO350" s="49">
        <f ca="1">HM_ZB_Nsoko!CA_ent_rev_oil*HM_ZB_Nsoko!CA_NOC_WI</f>
        <v>0</v>
      </c>
      <c r="AP350" s="49">
        <f ca="1">HM_ZB_Nsoko!CA_ent_rev_oil*HM_ZB_Nsoko!CA_NOC_WI</f>
        <v>0</v>
      </c>
      <c r="AQ350" s="49">
        <f ca="1">HM_ZB_Nsoko!CA_ent_rev_oil*HM_ZB_Nsoko!CA_NOC_WI</f>
        <v>0</v>
      </c>
      <c r="AR350" s="49">
        <f ca="1">HM_ZB_Nsoko!CA_ent_rev_oil*HM_ZB_Nsoko!CA_NOC_WI</f>
        <v>0</v>
      </c>
      <c r="AS350" s="49">
        <f ca="1">HM_ZB_Nsoko!CA_ent_rev_oil*HM_ZB_Nsoko!CA_NOC_WI</f>
        <v>0</v>
      </c>
      <c r="AT350" s="49">
        <f ca="1">HM_ZB_Nsoko!CA_ent_rev_oil*HM_ZB_Nsoko!CA_NOC_WI</f>
        <v>0</v>
      </c>
      <c r="AU350" s="49">
        <f ca="1">HM_ZB_Nsoko!CA_ent_rev_oil*HM_ZB_Nsoko!CA_NOC_WI</f>
        <v>0</v>
      </c>
      <c r="AV350" s="49">
        <f ca="1">HM_ZB_Nsoko!CA_ent_rev_oil*HM_ZB_Nsoko!CA_NOC_WI</f>
        <v>0</v>
      </c>
      <c r="AW350" s="49">
        <f ca="1">HM_ZB_Nsoko!CA_ent_rev_oil*HM_ZB_Nsoko!CA_NOC_WI</f>
        <v>0</v>
      </c>
      <c r="AX350" s="49">
        <f ca="1">HM_ZB_Nsoko!CA_ent_rev_oil*HM_ZB_Nsoko!CA_NOC_WI</f>
        <v>0</v>
      </c>
      <c r="AY350" s="49">
        <f ca="1">HM_ZB_Nsoko!CA_ent_rev_oil*HM_ZB_Nsoko!CA_NOC_WI</f>
        <v>0</v>
      </c>
      <c r="AZ350" s="49">
        <f ca="1">HM_ZB_Nsoko!CA_ent_rev_oil*HM_ZB_Nsoko!CA_NOC_WI</f>
        <v>0</v>
      </c>
      <c r="BA350" s="49">
        <f ca="1">HM_ZB_Nsoko!CA_ent_rev_oil*HM_ZB_Nsoko!CA_NOC_WI</f>
        <v>0</v>
      </c>
      <c r="BB350" s="49">
        <f ca="1">HM_ZB_Nsoko!CA_ent_rev_oil*HM_ZB_Nsoko!CA_NOC_WI</f>
        <v>0</v>
      </c>
      <c r="BC350" s="49">
        <f ca="1">HM_ZB_Nsoko!CA_ent_rev_oil*HM_ZB_Nsoko!CA_NOC_WI</f>
        <v>0</v>
      </c>
      <c r="BD350" s="49">
        <f ca="1">HM_ZB_Nsoko!CA_ent_rev_oil*HM_ZB_Nsoko!CA_NOC_WI</f>
        <v>0</v>
      </c>
      <c r="BE350" s="49">
        <f ca="1">HM_ZB_Nsoko!CA_ent_rev_oil*HM_ZB_Nsoko!CA_NOC_WI</f>
        <v>0</v>
      </c>
      <c r="BF350" s="49">
        <f ca="1">HM_ZB_Nsoko!CA_ent_rev_oil*HM_ZB_Nsoko!CA_NOC_WI</f>
        <v>0</v>
      </c>
      <c r="BG350" s="49">
        <f ca="1">HM_ZB_Nsoko!CA_ent_rev_oil*HM_ZB_Nsoko!CA_NOC_WI</f>
        <v>0</v>
      </c>
      <c r="BH350" s="49">
        <f ca="1">HM_ZB_Nsoko!CA_ent_rev_oil*HM_ZB_Nsoko!CA_NOC_WI</f>
        <v>0</v>
      </c>
      <c r="BI350" s="49">
        <f ca="1">HM_ZB_Nsoko!CA_ent_rev_oil*HM_ZB_Nsoko!CA_NOC_WI</f>
        <v>0</v>
      </c>
      <c r="BJ350" s="49">
        <f ca="1">HM_ZB_Nsoko!CA_ent_rev_oil*HM_ZB_Nsoko!CA_NOC_WI</f>
        <v>0</v>
      </c>
      <c r="BK350" s="49">
        <f ca="1">HM_ZB_Nsoko!CA_ent_rev_oil*HM_ZB_Nsoko!CA_NOC_WI</f>
        <v>0</v>
      </c>
      <c r="BL350" s="49">
        <f ca="1">HM_ZB_Nsoko!CA_ent_rev_oil*HM_ZB_Nsoko!CA_NOC_WI</f>
        <v>0</v>
      </c>
      <c r="BM350" s="49">
        <f ca="1">HM_ZB_Nsoko!CA_ent_rev_oil*HM_ZB_Nsoko!CA_NOC_WI</f>
        <v>0</v>
      </c>
      <c r="BN350" s="49">
        <f ca="1">HM_ZB_Nsoko!CA_ent_rev_oil*HM_ZB_Nsoko!CA_NOC_WI</f>
        <v>0</v>
      </c>
      <c r="BO350" s="49">
        <f ca="1">HM_ZB_Nsoko!CA_ent_rev_oil*HM_ZB_Nsoko!CA_NOC_WI</f>
        <v>0</v>
      </c>
      <c r="BP350" s="49">
        <f ca="1">HM_ZB_Nsoko!CA_ent_rev_oil*HM_ZB_Nsoko!CA_NOC_WI</f>
        <v>0</v>
      </c>
      <c r="BQ350" s="49">
        <f ca="1">HM_ZB_Nsoko!CA_ent_rev_oil*HM_ZB_Nsoko!CA_NOC_WI</f>
        <v>0</v>
      </c>
      <c r="BR350" s="49">
        <f ca="1">HM_ZB_Nsoko!CA_ent_rev_oil*HM_ZB_Nsoko!CA_NOC_WI</f>
        <v>0</v>
      </c>
      <c r="BS350" s="49">
        <f ca="1">HM_ZB_Nsoko!CA_ent_rev_oil*HM_ZB_Nsoko!CA_NOC_WI</f>
        <v>0</v>
      </c>
    </row>
    <row r="351" spans="3:71" outlineLevel="1" x14ac:dyDescent="0.2">
      <c r="D351" s="11" t="str">
        <f>HM_ZA_Nkossa!D340</f>
        <v>Total</v>
      </c>
      <c r="I351" s="30">
        <f t="shared" ca="1" si="91"/>
        <v>295.43412582184834</v>
      </c>
      <c r="J351" s="26" t="s">
        <v>148</v>
      </c>
      <c r="L351" s="49">
        <f ca="1">SUM(L349:L350)</f>
        <v>26.986879316915637</v>
      </c>
      <c r="M351" s="49">
        <f t="shared" ref="M351:BS351" ca="1" si="92">SUM(M349:M350)</f>
        <v>28.853365203365001</v>
      </c>
      <c r="N351" s="49">
        <f t="shared" ca="1" si="92"/>
        <v>26.097115146897501</v>
      </c>
      <c r="O351" s="49">
        <f t="shared" ca="1" si="92"/>
        <v>20.150212546559999</v>
      </c>
      <c r="P351" s="49">
        <f t="shared" ca="1" si="92"/>
        <v>23.253948753177497</v>
      </c>
      <c r="Q351" s="49">
        <f t="shared" ca="1" si="92"/>
        <v>20.953394305849997</v>
      </c>
      <c r="R351" s="49">
        <f t="shared" ca="1" si="92"/>
        <v>8.9471387261999986</v>
      </c>
      <c r="S351" s="49">
        <f t="shared" ca="1" si="92"/>
        <v>22.43124181116562</v>
      </c>
      <c r="T351" s="49">
        <f t="shared" ca="1" si="92"/>
        <v>26.575452312454225</v>
      </c>
      <c r="U351" s="49">
        <f t="shared" ca="1" si="92"/>
        <v>25.152041801294466</v>
      </c>
      <c r="V351" s="49">
        <f t="shared" ca="1" si="92"/>
        <v>23.510249736190332</v>
      </c>
      <c r="W351" s="49">
        <f t="shared" ca="1" si="92"/>
        <v>21.977274181388783</v>
      </c>
      <c r="X351" s="49">
        <f t="shared" ca="1" si="92"/>
        <v>20.545811980389335</v>
      </c>
      <c r="Y351" s="49">
        <f t="shared" ca="1" si="92"/>
        <v>0</v>
      </c>
      <c r="Z351" s="49">
        <f t="shared" ca="1" si="92"/>
        <v>0</v>
      </c>
      <c r="AA351" s="49">
        <f t="shared" ca="1" si="92"/>
        <v>0</v>
      </c>
      <c r="AB351" s="49">
        <f t="shared" ca="1" si="92"/>
        <v>0</v>
      </c>
      <c r="AC351" s="49">
        <f t="shared" ca="1" si="92"/>
        <v>0</v>
      </c>
      <c r="AD351" s="49">
        <f t="shared" ca="1" si="92"/>
        <v>0</v>
      </c>
      <c r="AE351" s="49">
        <f t="shared" ca="1" si="92"/>
        <v>0</v>
      </c>
      <c r="AF351" s="49">
        <f t="shared" ca="1" si="92"/>
        <v>0</v>
      </c>
      <c r="AG351" s="49">
        <f t="shared" ca="1" si="92"/>
        <v>0</v>
      </c>
      <c r="AH351" s="49">
        <f t="shared" ca="1" si="92"/>
        <v>0</v>
      </c>
      <c r="AI351" s="49">
        <f t="shared" ca="1" si="92"/>
        <v>0</v>
      </c>
      <c r="AJ351" s="49">
        <f t="shared" ca="1" si="92"/>
        <v>0</v>
      </c>
      <c r="AK351" s="49">
        <f t="shared" ca="1" si="92"/>
        <v>0</v>
      </c>
      <c r="AL351" s="49">
        <f t="shared" ca="1" si="92"/>
        <v>0</v>
      </c>
      <c r="AM351" s="49">
        <f t="shared" ca="1" si="92"/>
        <v>0</v>
      </c>
      <c r="AN351" s="49">
        <f t="shared" ca="1" si="92"/>
        <v>0</v>
      </c>
      <c r="AO351" s="49">
        <f t="shared" ca="1" si="92"/>
        <v>0</v>
      </c>
      <c r="AP351" s="49">
        <f t="shared" ca="1" si="92"/>
        <v>0</v>
      </c>
      <c r="AQ351" s="49">
        <f t="shared" ca="1" si="92"/>
        <v>0</v>
      </c>
      <c r="AR351" s="49">
        <f t="shared" ca="1" si="92"/>
        <v>0</v>
      </c>
      <c r="AS351" s="49">
        <f t="shared" ca="1" si="92"/>
        <v>0</v>
      </c>
      <c r="AT351" s="49">
        <f t="shared" ca="1" si="92"/>
        <v>0</v>
      </c>
      <c r="AU351" s="49">
        <f t="shared" ca="1" si="92"/>
        <v>0</v>
      </c>
      <c r="AV351" s="49">
        <f t="shared" ca="1" si="92"/>
        <v>0</v>
      </c>
      <c r="AW351" s="49">
        <f t="shared" ca="1" si="92"/>
        <v>0</v>
      </c>
      <c r="AX351" s="49">
        <f t="shared" ca="1" si="92"/>
        <v>0</v>
      </c>
      <c r="AY351" s="49">
        <f t="shared" ca="1" si="92"/>
        <v>0</v>
      </c>
      <c r="AZ351" s="49">
        <f t="shared" ca="1" si="92"/>
        <v>0</v>
      </c>
      <c r="BA351" s="49">
        <f t="shared" ca="1" si="92"/>
        <v>0</v>
      </c>
      <c r="BB351" s="49">
        <f t="shared" ca="1" si="92"/>
        <v>0</v>
      </c>
      <c r="BC351" s="49">
        <f t="shared" ca="1" si="92"/>
        <v>0</v>
      </c>
      <c r="BD351" s="49">
        <f t="shared" ca="1" si="92"/>
        <v>0</v>
      </c>
      <c r="BE351" s="49">
        <f t="shared" ca="1" si="92"/>
        <v>0</v>
      </c>
      <c r="BF351" s="49">
        <f t="shared" ca="1" si="92"/>
        <v>0</v>
      </c>
      <c r="BG351" s="49">
        <f t="shared" ca="1" si="92"/>
        <v>0</v>
      </c>
      <c r="BH351" s="49">
        <f t="shared" ca="1" si="92"/>
        <v>0</v>
      </c>
      <c r="BI351" s="49">
        <f t="shared" ca="1" si="92"/>
        <v>0</v>
      </c>
      <c r="BJ351" s="49">
        <f t="shared" ca="1" si="92"/>
        <v>0</v>
      </c>
      <c r="BK351" s="49">
        <f t="shared" ca="1" si="92"/>
        <v>0</v>
      </c>
      <c r="BL351" s="49">
        <f t="shared" ca="1" si="92"/>
        <v>0</v>
      </c>
      <c r="BM351" s="49">
        <f t="shared" ca="1" si="92"/>
        <v>0</v>
      </c>
      <c r="BN351" s="49">
        <f t="shared" ca="1" si="92"/>
        <v>0</v>
      </c>
      <c r="BO351" s="49">
        <f t="shared" ca="1" si="92"/>
        <v>0</v>
      </c>
      <c r="BP351" s="49">
        <f t="shared" ca="1" si="92"/>
        <v>0</v>
      </c>
      <c r="BQ351" s="49">
        <f t="shared" ca="1" si="92"/>
        <v>0</v>
      </c>
      <c r="BR351" s="49">
        <f t="shared" ca="1" si="92"/>
        <v>0</v>
      </c>
      <c r="BS351" s="49">
        <f t="shared" ca="1" si="92"/>
        <v>0</v>
      </c>
    </row>
    <row r="352" spans="3:71" outlineLevel="1" x14ac:dyDescent="0.2">
      <c r="J352" s="26"/>
      <c r="L352" s="55"/>
      <c r="M352" s="55"/>
      <c r="N352" s="55"/>
      <c r="O352" s="55"/>
      <c r="P352" s="55"/>
      <c r="Q352" s="55"/>
      <c r="R352" s="55"/>
      <c r="S352" s="55"/>
      <c r="T352" s="55"/>
      <c r="U352" s="55"/>
      <c r="V352" s="55"/>
      <c r="W352" s="55"/>
      <c r="X352" s="55"/>
      <c r="Y352" s="55"/>
      <c r="Z352" s="55"/>
      <c r="AA352" s="55"/>
      <c r="AB352" s="55"/>
      <c r="AC352" s="55"/>
      <c r="AD352" s="55"/>
      <c r="AE352" s="55"/>
      <c r="AF352" s="55"/>
      <c r="AG352" s="55"/>
      <c r="AH352" s="55"/>
      <c r="AI352" s="55"/>
      <c r="AJ352" s="55"/>
      <c r="AK352" s="55"/>
      <c r="AL352" s="55"/>
      <c r="AM352" s="55"/>
      <c r="AN352" s="55"/>
      <c r="AO352" s="55"/>
      <c r="AP352" s="55"/>
      <c r="AQ352" s="55"/>
      <c r="AR352" s="55"/>
      <c r="AS352" s="55"/>
      <c r="AT352" s="55"/>
      <c r="AU352" s="55"/>
      <c r="AV352" s="55"/>
      <c r="AW352" s="55"/>
      <c r="AX352" s="55"/>
      <c r="AY352" s="55"/>
      <c r="AZ352" s="55"/>
      <c r="BA352" s="55"/>
      <c r="BB352" s="55"/>
      <c r="BC352" s="55"/>
      <c r="BD352" s="55"/>
      <c r="BE352" s="55"/>
      <c r="BF352" s="55"/>
      <c r="BG352" s="55"/>
      <c r="BH352" s="55"/>
      <c r="BI352" s="55"/>
      <c r="BJ352" s="55"/>
      <c r="BK352" s="55"/>
      <c r="BL352" s="55"/>
      <c r="BM352" s="55"/>
      <c r="BN352" s="55"/>
      <c r="BO352" s="55"/>
      <c r="BP352" s="55"/>
      <c r="BQ352" s="55"/>
      <c r="BR352" s="55"/>
      <c r="BS352" s="55"/>
    </row>
    <row r="353" spans="3:71" outlineLevel="1" x14ac:dyDescent="0.2">
      <c r="C353" s="11" t="str">
        <f>HM_ZA_Nkossa!C342</f>
        <v>Revenus des droits selon participation -gaz</v>
      </c>
      <c r="J353" s="26"/>
      <c r="L353" s="55"/>
      <c r="M353" s="55"/>
      <c r="N353" s="55"/>
      <c r="O353" s="55"/>
      <c r="P353" s="55"/>
      <c r="Q353" s="55"/>
      <c r="R353" s="55"/>
      <c r="S353" s="55"/>
      <c r="T353" s="55"/>
      <c r="U353" s="55"/>
      <c r="V353" s="55"/>
      <c r="W353" s="55"/>
      <c r="X353" s="55"/>
      <c r="Y353" s="55"/>
      <c r="Z353" s="55"/>
      <c r="AA353" s="55"/>
      <c r="AB353" s="55"/>
      <c r="AC353" s="55"/>
      <c r="AD353" s="55"/>
      <c r="AE353" s="55"/>
      <c r="AF353" s="55"/>
      <c r="AG353" s="55"/>
      <c r="AH353" s="55"/>
      <c r="AI353" s="55"/>
      <c r="AJ353" s="55"/>
      <c r="AK353" s="55"/>
      <c r="AL353" s="55"/>
      <c r="AM353" s="55"/>
      <c r="AN353" s="55"/>
      <c r="AO353" s="55"/>
      <c r="AP353" s="55"/>
      <c r="AQ353" s="55"/>
      <c r="AR353" s="55"/>
      <c r="AS353" s="55"/>
      <c r="AT353" s="55"/>
      <c r="AU353" s="55"/>
      <c r="AV353" s="55"/>
      <c r="AW353" s="55"/>
      <c r="AX353" s="55"/>
      <c r="AY353" s="55"/>
      <c r="AZ353" s="55"/>
      <c r="BA353" s="55"/>
      <c r="BB353" s="55"/>
      <c r="BC353" s="55"/>
      <c r="BD353" s="55"/>
      <c r="BE353" s="55"/>
      <c r="BF353" s="55"/>
      <c r="BG353" s="55"/>
      <c r="BH353" s="55"/>
      <c r="BI353" s="55"/>
      <c r="BJ353" s="55"/>
      <c r="BK353" s="55"/>
      <c r="BL353" s="55"/>
      <c r="BM353" s="55"/>
      <c r="BN353" s="55"/>
      <c r="BO353" s="55"/>
      <c r="BP353" s="55"/>
      <c r="BQ353" s="55"/>
      <c r="BR353" s="55"/>
      <c r="BS353" s="55"/>
    </row>
    <row r="354" spans="3:71" outlineLevel="1" x14ac:dyDescent="0.2">
      <c r="D354" t="str">
        <f>HM_ZA_Nkossa!D343</f>
        <v>Consortium compagnie pétrolières internationales</v>
      </c>
      <c r="I354" s="30">
        <f t="shared" ref="I354:I356" ca="1" si="93">SUM($L354:$BS354)</f>
        <v>0</v>
      </c>
      <c r="J354" s="26" t="s">
        <v>148</v>
      </c>
      <c r="L354" s="49">
        <f ca="1">HM_ZB_Nsoko!CA_ent_rev_gas*HM_ZB_Nsoko!CA_IOC_WI</f>
        <v>0</v>
      </c>
      <c r="M354" s="49">
        <f ca="1">HM_ZB_Nsoko!CA_ent_rev_gas*HM_ZB_Nsoko!CA_IOC_WI</f>
        <v>0</v>
      </c>
      <c r="N354" s="49">
        <f ca="1">HM_ZB_Nsoko!CA_ent_rev_gas*HM_ZB_Nsoko!CA_IOC_WI</f>
        <v>0</v>
      </c>
      <c r="O354" s="49">
        <f ca="1">HM_ZB_Nsoko!CA_ent_rev_gas*HM_ZB_Nsoko!CA_IOC_WI</f>
        <v>0</v>
      </c>
      <c r="P354" s="49">
        <f ca="1">HM_ZB_Nsoko!CA_ent_rev_gas*HM_ZB_Nsoko!CA_IOC_WI</f>
        <v>0</v>
      </c>
      <c r="Q354" s="49">
        <f ca="1">HM_ZB_Nsoko!CA_ent_rev_gas*HM_ZB_Nsoko!CA_IOC_WI</f>
        <v>0</v>
      </c>
      <c r="R354" s="49">
        <f ca="1">HM_ZB_Nsoko!CA_ent_rev_gas*HM_ZB_Nsoko!CA_IOC_WI</f>
        <v>0</v>
      </c>
      <c r="S354" s="49">
        <f ca="1">HM_ZB_Nsoko!CA_ent_rev_gas*HM_ZB_Nsoko!CA_IOC_WI</f>
        <v>0</v>
      </c>
      <c r="T354" s="49">
        <f ca="1">HM_ZB_Nsoko!CA_ent_rev_gas*HM_ZB_Nsoko!CA_IOC_WI</f>
        <v>0</v>
      </c>
      <c r="U354" s="49">
        <f ca="1">HM_ZB_Nsoko!CA_ent_rev_gas*HM_ZB_Nsoko!CA_IOC_WI</f>
        <v>0</v>
      </c>
      <c r="V354" s="49">
        <f ca="1">HM_ZB_Nsoko!CA_ent_rev_gas*HM_ZB_Nsoko!CA_IOC_WI</f>
        <v>0</v>
      </c>
      <c r="W354" s="49">
        <f ca="1">HM_ZB_Nsoko!CA_ent_rev_gas*HM_ZB_Nsoko!CA_IOC_WI</f>
        <v>0</v>
      </c>
      <c r="X354" s="49">
        <f ca="1">HM_ZB_Nsoko!CA_ent_rev_gas*HM_ZB_Nsoko!CA_IOC_WI</f>
        <v>0</v>
      </c>
      <c r="Y354" s="49">
        <f ca="1">HM_ZB_Nsoko!CA_ent_rev_gas*HM_ZB_Nsoko!CA_IOC_WI</f>
        <v>0</v>
      </c>
      <c r="Z354" s="49">
        <f ca="1">HM_ZB_Nsoko!CA_ent_rev_gas*HM_ZB_Nsoko!CA_IOC_WI</f>
        <v>0</v>
      </c>
      <c r="AA354" s="49">
        <f ca="1">HM_ZB_Nsoko!CA_ent_rev_gas*HM_ZB_Nsoko!CA_IOC_WI</f>
        <v>0</v>
      </c>
      <c r="AB354" s="49">
        <f ca="1">HM_ZB_Nsoko!CA_ent_rev_gas*HM_ZB_Nsoko!CA_IOC_WI</f>
        <v>0</v>
      </c>
      <c r="AC354" s="49">
        <f ca="1">HM_ZB_Nsoko!CA_ent_rev_gas*HM_ZB_Nsoko!CA_IOC_WI</f>
        <v>0</v>
      </c>
      <c r="AD354" s="49">
        <f ca="1">HM_ZB_Nsoko!CA_ent_rev_gas*HM_ZB_Nsoko!CA_IOC_WI</f>
        <v>0</v>
      </c>
      <c r="AE354" s="49">
        <f ca="1">HM_ZB_Nsoko!CA_ent_rev_gas*HM_ZB_Nsoko!CA_IOC_WI</f>
        <v>0</v>
      </c>
      <c r="AF354" s="49">
        <f ca="1">HM_ZB_Nsoko!CA_ent_rev_gas*HM_ZB_Nsoko!CA_IOC_WI</f>
        <v>0</v>
      </c>
      <c r="AG354" s="49">
        <f ca="1">HM_ZB_Nsoko!CA_ent_rev_gas*HM_ZB_Nsoko!CA_IOC_WI</f>
        <v>0</v>
      </c>
      <c r="AH354" s="49">
        <f ca="1">HM_ZB_Nsoko!CA_ent_rev_gas*HM_ZB_Nsoko!CA_IOC_WI</f>
        <v>0</v>
      </c>
      <c r="AI354" s="49">
        <f ca="1">HM_ZB_Nsoko!CA_ent_rev_gas*HM_ZB_Nsoko!CA_IOC_WI</f>
        <v>0</v>
      </c>
      <c r="AJ354" s="49">
        <f ca="1">HM_ZB_Nsoko!CA_ent_rev_gas*HM_ZB_Nsoko!CA_IOC_WI</f>
        <v>0</v>
      </c>
      <c r="AK354" s="49">
        <f ca="1">HM_ZB_Nsoko!CA_ent_rev_gas*HM_ZB_Nsoko!CA_IOC_WI</f>
        <v>0</v>
      </c>
      <c r="AL354" s="49">
        <f ca="1">HM_ZB_Nsoko!CA_ent_rev_gas*HM_ZB_Nsoko!CA_IOC_WI</f>
        <v>0</v>
      </c>
      <c r="AM354" s="49">
        <f ca="1">HM_ZB_Nsoko!CA_ent_rev_gas*HM_ZB_Nsoko!CA_IOC_WI</f>
        <v>0</v>
      </c>
      <c r="AN354" s="49">
        <f ca="1">HM_ZB_Nsoko!CA_ent_rev_gas*HM_ZB_Nsoko!CA_IOC_WI</f>
        <v>0</v>
      </c>
      <c r="AO354" s="49">
        <f ca="1">HM_ZB_Nsoko!CA_ent_rev_gas*HM_ZB_Nsoko!CA_IOC_WI</f>
        <v>0</v>
      </c>
      <c r="AP354" s="49">
        <f ca="1">HM_ZB_Nsoko!CA_ent_rev_gas*HM_ZB_Nsoko!CA_IOC_WI</f>
        <v>0</v>
      </c>
      <c r="AQ354" s="49">
        <f ca="1">HM_ZB_Nsoko!CA_ent_rev_gas*HM_ZB_Nsoko!CA_IOC_WI</f>
        <v>0</v>
      </c>
      <c r="AR354" s="49">
        <f ca="1">HM_ZB_Nsoko!CA_ent_rev_gas*HM_ZB_Nsoko!CA_IOC_WI</f>
        <v>0</v>
      </c>
      <c r="AS354" s="49">
        <f ca="1">HM_ZB_Nsoko!CA_ent_rev_gas*HM_ZB_Nsoko!CA_IOC_WI</f>
        <v>0</v>
      </c>
      <c r="AT354" s="49">
        <f ca="1">HM_ZB_Nsoko!CA_ent_rev_gas*HM_ZB_Nsoko!CA_IOC_WI</f>
        <v>0</v>
      </c>
      <c r="AU354" s="49">
        <f ca="1">HM_ZB_Nsoko!CA_ent_rev_gas*HM_ZB_Nsoko!CA_IOC_WI</f>
        <v>0</v>
      </c>
      <c r="AV354" s="49">
        <f ca="1">HM_ZB_Nsoko!CA_ent_rev_gas*HM_ZB_Nsoko!CA_IOC_WI</f>
        <v>0</v>
      </c>
      <c r="AW354" s="49">
        <f ca="1">HM_ZB_Nsoko!CA_ent_rev_gas*HM_ZB_Nsoko!CA_IOC_WI</f>
        <v>0</v>
      </c>
      <c r="AX354" s="49">
        <f ca="1">HM_ZB_Nsoko!CA_ent_rev_gas*HM_ZB_Nsoko!CA_IOC_WI</f>
        <v>0</v>
      </c>
      <c r="AY354" s="49">
        <f ca="1">HM_ZB_Nsoko!CA_ent_rev_gas*HM_ZB_Nsoko!CA_IOC_WI</f>
        <v>0</v>
      </c>
      <c r="AZ354" s="49">
        <f ca="1">HM_ZB_Nsoko!CA_ent_rev_gas*HM_ZB_Nsoko!CA_IOC_WI</f>
        <v>0</v>
      </c>
      <c r="BA354" s="49">
        <f ca="1">HM_ZB_Nsoko!CA_ent_rev_gas*HM_ZB_Nsoko!CA_IOC_WI</f>
        <v>0</v>
      </c>
      <c r="BB354" s="49">
        <f ca="1">HM_ZB_Nsoko!CA_ent_rev_gas*HM_ZB_Nsoko!CA_IOC_WI</f>
        <v>0</v>
      </c>
      <c r="BC354" s="49">
        <f ca="1">HM_ZB_Nsoko!CA_ent_rev_gas*HM_ZB_Nsoko!CA_IOC_WI</f>
        <v>0</v>
      </c>
      <c r="BD354" s="49">
        <f ca="1">HM_ZB_Nsoko!CA_ent_rev_gas*HM_ZB_Nsoko!CA_IOC_WI</f>
        <v>0</v>
      </c>
      <c r="BE354" s="49">
        <f ca="1">HM_ZB_Nsoko!CA_ent_rev_gas*HM_ZB_Nsoko!CA_IOC_WI</f>
        <v>0</v>
      </c>
      <c r="BF354" s="49">
        <f ca="1">HM_ZB_Nsoko!CA_ent_rev_gas*HM_ZB_Nsoko!CA_IOC_WI</f>
        <v>0</v>
      </c>
      <c r="BG354" s="49">
        <f ca="1">HM_ZB_Nsoko!CA_ent_rev_gas*HM_ZB_Nsoko!CA_IOC_WI</f>
        <v>0</v>
      </c>
      <c r="BH354" s="49">
        <f ca="1">HM_ZB_Nsoko!CA_ent_rev_gas*HM_ZB_Nsoko!CA_IOC_WI</f>
        <v>0</v>
      </c>
      <c r="BI354" s="49">
        <f ca="1">HM_ZB_Nsoko!CA_ent_rev_gas*HM_ZB_Nsoko!CA_IOC_WI</f>
        <v>0</v>
      </c>
      <c r="BJ354" s="49">
        <f ca="1">HM_ZB_Nsoko!CA_ent_rev_gas*HM_ZB_Nsoko!CA_IOC_WI</f>
        <v>0</v>
      </c>
      <c r="BK354" s="49">
        <f ca="1">HM_ZB_Nsoko!CA_ent_rev_gas*HM_ZB_Nsoko!CA_IOC_WI</f>
        <v>0</v>
      </c>
      <c r="BL354" s="49">
        <f ca="1">HM_ZB_Nsoko!CA_ent_rev_gas*HM_ZB_Nsoko!CA_IOC_WI</f>
        <v>0</v>
      </c>
      <c r="BM354" s="49">
        <f ca="1">HM_ZB_Nsoko!CA_ent_rev_gas*HM_ZB_Nsoko!CA_IOC_WI</f>
        <v>0</v>
      </c>
      <c r="BN354" s="49">
        <f ca="1">HM_ZB_Nsoko!CA_ent_rev_gas*HM_ZB_Nsoko!CA_IOC_WI</f>
        <v>0</v>
      </c>
      <c r="BO354" s="49">
        <f ca="1">HM_ZB_Nsoko!CA_ent_rev_gas*HM_ZB_Nsoko!CA_IOC_WI</f>
        <v>0</v>
      </c>
      <c r="BP354" s="49">
        <f ca="1">HM_ZB_Nsoko!CA_ent_rev_gas*HM_ZB_Nsoko!CA_IOC_WI</f>
        <v>0</v>
      </c>
      <c r="BQ354" s="49">
        <f ca="1">HM_ZB_Nsoko!CA_ent_rev_gas*HM_ZB_Nsoko!CA_IOC_WI</f>
        <v>0</v>
      </c>
      <c r="BR354" s="49">
        <f ca="1">HM_ZB_Nsoko!CA_ent_rev_gas*HM_ZB_Nsoko!CA_IOC_WI</f>
        <v>0</v>
      </c>
      <c r="BS354" s="49">
        <f ca="1">HM_ZB_Nsoko!CA_ent_rev_gas*HM_ZB_Nsoko!CA_IOC_WI</f>
        <v>0</v>
      </c>
    </row>
    <row r="355" spans="3:71" outlineLevel="1" x14ac:dyDescent="0.2">
      <c r="D355" t="str">
        <f>HM_ZA_Nkossa!D344</f>
        <v>Participation compagnie nationale/État</v>
      </c>
      <c r="I355" s="30">
        <f t="shared" ca="1" si="93"/>
        <v>0</v>
      </c>
      <c r="J355" s="26" t="s">
        <v>148</v>
      </c>
      <c r="L355" s="49">
        <f ca="1">HM_ZB_Nsoko!CA_ent_rev_gas*HM_ZB_Nsoko!CA_NOC_WI</f>
        <v>0</v>
      </c>
      <c r="M355" s="49">
        <f ca="1">HM_ZB_Nsoko!CA_ent_rev_gas*HM_ZB_Nsoko!CA_NOC_WI</f>
        <v>0</v>
      </c>
      <c r="N355" s="49">
        <f ca="1">HM_ZB_Nsoko!CA_ent_rev_gas*HM_ZB_Nsoko!CA_NOC_WI</f>
        <v>0</v>
      </c>
      <c r="O355" s="49">
        <f ca="1">HM_ZB_Nsoko!CA_ent_rev_gas*HM_ZB_Nsoko!CA_NOC_WI</f>
        <v>0</v>
      </c>
      <c r="P355" s="49">
        <f ca="1">HM_ZB_Nsoko!CA_ent_rev_gas*HM_ZB_Nsoko!CA_NOC_WI</f>
        <v>0</v>
      </c>
      <c r="Q355" s="49">
        <f ca="1">HM_ZB_Nsoko!CA_ent_rev_gas*HM_ZB_Nsoko!CA_NOC_WI</f>
        <v>0</v>
      </c>
      <c r="R355" s="49">
        <f ca="1">HM_ZB_Nsoko!CA_ent_rev_gas*HM_ZB_Nsoko!CA_NOC_WI</f>
        <v>0</v>
      </c>
      <c r="S355" s="49">
        <f ca="1">HM_ZB_Nsoko!CA_ent_rev_gas*HM_ZB_Nsoko!CA_NOC_WI</f>
        <v>0</v>
      </c>
      <c r="T355" s="49">
        <f ca="1">HM_ZB_Nsoko!CA_ent_rev_gas*HM_ZB_Nsoko!CA_NOC_WI</f>
        <v>0</v>
      </c>
      <c r="U355" s="49">
        <f ca="1">HM_ZB_Nsoko!CA_ent_rev_gas*HM_ZB_Nsoko!CA_NOC_WI</f>
        <v>0</v>
      </c>
      <c r="V355" s="49">
        <f ca="1">HM_ZB_Nsoko!CA_ent_rev_gas*HM_ZB_Nsoko!CA_NOC_WI</f>
        <v>0</v>
      </c>
      <c r="W355" s="49">
        <f ca="1">HM_ZB_Nsoko!CA_ent_rev_gas*HM_ZB_Nsoko!CA_NOC_WI</f>
        <v>0</v>
      </c>
      <c r="X355" s="49">
        <f ca="1">HM_ZB_Nsoko!CA_ent_rev_gas*HM_ZB_Nsoko!CA_NOC_WI</f>
        <v>0</v>
      </c>
      <c r="Y355" s="49">
        <f ca="1">HM_ZB_Nsoko!CA_ent_rev_gas*HM_ZB_Nsoko!CA_NOC_WI</f>
        <v>0</v>
      </c>
      <c r="Z355" s="49">
        <f ca="1">HM_ZB_Nsoko!CA_ent_rev_gas*HM_ZB_Nsoko!CA_NOC_WI</f>
        <v>0</v>
      </c>
      <c r="AA355" s="49">
        <f ca="1">HM_ZB_Nsoko!CA_ent_rev_gas*HM_ZB_Nsoko!CA_NOC_WI</f>
        <v>0</v>
      </c>
      <c r="AB355" s="49">
        <f ca="1">HM_ZB_Nsoko!CA_ent_rev_gas*HM_ZB_Nsoko!CA_NOC_WI</f>
        <v>0</v>
      </c>
      <c r="AC355" s="49">
        <f ca="1">HM_ZB_Nsoko!CA_ent_rev_gas*HM_ZB_Nsoko!CA_NOC_WI</f>
        <v>0</v>
      </c>
      <c r="AD355" s="49">
        <f ca="1">HM_ZB_Nsoko!CA_ent_rev_gas*HM_ZB_Nsoko!CA_NOC_WI</f>
        <v>0</v>
      </c>
      <c r="AE355" s="49">
        <f ca="1">HM_ZB_Nsoko!CA_ent_rev_gas*HM_ZB_Nsoko!CA_NOC_WI</f>
        <v>0</v>
      </c>
      <c r="AF355" s="49">
        <f ca="1">HM_ZB_Nsoko!CA_ent_rev_gas*HM_ZB_Nsoko!CA_NOC_WI</f>
        <v>0</v>
      </c>
      <c r="AG355" s="49">
        <f ca="1">HM_ZB_Nsoko!CA_ent_rev_gas*HM_ZB_Nsoko!CA_NOC_WI</f>
        <v>0</v>
      </c>
      <c r="AH355" s="49">
        <f ca="1">HM_ZB_Nsoko!CA_ent_rev_gas*HM_ZB_Nsoko!CA_NOC_WI</f>
        <v>0</v>
      </c>
      <c r="AI355" s="49">
        <f ca="1">HM_ZB_Nsoko!CA_ent_rev_gas*HM_ZB_Nsoko!CA_NOC_WI</f>
        <v>0</v>
      </c>
      <c r="AJ355" s="49">
        <f ca="1">HM_ZB_Nsoko!CA_ent_rev_gas*HM_ZB_Nsoko!CA_NOC_WI</f>
        <v>0</v>
      </c>
      <c r="AK355" s="49">
        <f ca="1">HM_ZB_Nsoko!CA_ent_rev_gas*HM_ZB_Nsoko!CA_NOC_WI</f>
        <v>0</v>
      </c>
      <c r="AL355" s="49">
        <f ca="1">HM_ZB_Nsoko!CA_ent_rev_gas*HM_ZB_Nsoko!CA_NOC_WI</f>
        <v>0</v>
      </c>
      <c r="AM355" s="49">
        <f ca="1">HM_ZB_Nsoko!CA_ent_rev_gas*HM_ZB_Nsoko!CA_NOC_WI</f>
        <v>0</v>
      </c>
      <c r="AN355" s="49">
        <f ca="1">HM_ZB_Nsoko!CA_ent_rev_gas*HM_ZB_Nsoko!CA_NOC_WI</f>
        <v>0</v>
      </c>
      <c r="AO355" s="49">
        <f ca="1">HM_ZB_Nsoko!CA_ent_rev_gas*HM_ZB_Nsoko!CA_NOC_WI</f>
        <v>0</v>
      </c>
      <c r="AP355" s="49">
        <f ca="1">HM_ZB_Nsoko!CA_ent_rev_gas*HM_ZB_Nsoko!CA_NOC_WI</f>
        <v>0</v>
      </c>
      <c r="AQ355" s="49">
        <f ca="1">HM_ZB_Nsoko!CA_ent_rev_gas*HM_ZB_Nsoko!CA_NOC_WI</f>
        <v>0</v>
      </c>
      <c r="AR355" s="49">
        <f ca="1">HM_ZB_Nsoko!CA_ent_rev_gas*HM_ZB_Nsoko!CA_NOC_WI</f>
        <v>0</v>
      </c>
      <c r="AS355" s="49">
        <f ca="1">HM_ZB_Nsoko!CA_ent_rev_gas*HM_ZB_Nsoko!CA_NOC_WI</f>
        <v>0</v>
      </c>
      <c r="AT355" s="49">
        <f ca="1">HM_ZB_Nsoko!CA_ent_rev_gas*HM_ZB_Nsoko!CA_NOC_WI</f>
        <v>0</v>
      </c>
      <c r="AU355" s="49">
        <f ca="1">HM_ZB_Nsoko!CA_ent_rev_gas*HM_ZB_Nsoko!CA_NOC_WI</f>
        <v>0</v>
      </c>
      <c r="AV355" s="49">
        <f ca="1">HM_ZB_Nsoko!CA_ent_rev_gas*HM_ZB_Nsoko!CA_NOC_WI</f>
        <v>0</v>
      </c>
      <c r="AW355" s="49">
        <f ca="1">HM_ZB_Nsoko!CA_ent_rev_gas*HM_ZB_Nsoko!CA_NOC_WI</f>
        <v>0</v>
      </c>
      <c r="AX355" s="49">
        <f ca="1">HM_ZB_Nsoko!CA_ent_rev_gas*HM_ZB_Nsoko!CA_NOC_WI</f>
        <v>0</v>
      </c>
      <c r="AY355" s="49">
        <f ca="1">HM_ZB_Nsoko!CA_ent_rev_gas*HM_ZB_Nsoko!CA_NOC_WI</f>
        <v>0</v>
      </c>
      <c r="AZ355" s="49">
        <f ca="1">HM_ZB_Nsoko!CA_ent_rev_gas*HM_ZB_Nsoko!CA_NOC_WI</f>
        <v>0</v>
      </c>
      <c r="BA355" s="49">
        <f ca="1">HM_ZB_Nsoko!CA_ent_rev_gas*HM_ZB_Nsoko!CA_NOC_WI</f>
        <v>0</v>
      </c>
      <c r="BB355" s="49">
        <f ca="1">HM_ZB_Nsoko!CA_ent_rev_gas*HM_ZB_Nsoko!CA_NOC_WI</f>
        <v>0</v>
      </c>
      <c r="BC355" s="49">
        <f ca="1">HM_ZB_Nsoko!CA_ent_rev_gas*HM_ZB_Nsoko!CA_NOC_WI</f>
        <v>0</v>
      </c>
      <c r="BD355" s="49">
        <f ca="1">HM_ZB_Nsoko!CA_ent_rev_gas*HM_ZB_Nsoko!CA_NOC_WI</f>
        <v>0</v>
      </c>
      <c r="BE355" s="49">
        <f ca="1">HM_ZB_Nsoko!CA_ent_rev_gas*HM_ZB_Nsoko!CA_NOC_WI</f>
        <v>0</v>
      </c>
      <c r="BF355" s="49">
        <f ca="1">HM_ZB_Nsoko!CA_ent_rev_gas*HM_ZB_Nsoko!CA_NOC_WI</f>
        <v>0</v>
      </c>
      <c r="BG355" s="49">
        <f ca="1">HM_ZB_Nsoko!CA_ent_rev_gas*HM_ZB_Nsoko!CA_NOC_WI</f>
        <v>0</v>
      </c>
      <c r="BH355" s="49">
        <f ca="1">HM_ZB_Nsoko!CA_ent_rev_gas*HM_ZB_Nsoko!CA_NOC_WI</f>
        <v>0</v>
      </c>
      <c r="BI355" s="49">
        <f ca="1">HM_ZB_Nsoko!CA_ent_rev_gas*HM_ZB_Nsoko!CA_NOC_WI</f>
        <v>0</v>
      </c>
      <c r="BJ355" s="49">
        <f ca="1">HM_ZB_Nsoko!CA_ent_rev_gas*HM_ZB_Nsoko!CA_NOC_WI</f>
        <v>0</v>
      </c>
      <c r="BK355" s="49">
        <f ca="1">HM_ZB_Nsoko!CA_ent_rev_gas*HM_ZB_Nsoko!CA_NOC_WI</f>
        <v>0</v>
      </c>
      <c r="BL355" s="49">
        <f ca="1">HM_ZB_Nsoko!CA_ent_rev_gas*HM_ZB_Nsoko!CA_NOC_WI</f>
        <v>0</v>
      </c>
      <c r="BM355" s="49">
        <f ca="1">HM_ZB_Nsoko!CA_ent_rev_gas*HM_ZB_Nsoko!CA_NOC_WI</f>
        <v>0</v>
      </c>
      <c r="BN355" s="49">
        <f ca="1">HM_ZB_Nsoko!CA_ent_rev_gas*HM_ZB_Nsoko!CA_NOC_WI</f>
        <v>0</v>
      </c>
      <c r="BO355" s="49">
        <f ca="1">HM_ZB_Nsoko!CA_ent_rev_gas*HM_ZB_Nsoko!CA_NOC_WI</f>
        <v>0</v>
      </c>
      <c r="BP355" s="49">
        <f ca="1">HM_ZB_Nsoko!CA_ent_rev_gas*HM_ZB_Nsoko!CA_NOC_WI</f>
        <v>0</v>
      </c>
      <c r="BQ355" s="49">
        <f ca="1">HM_ZB_Nsoko!CA_ent_rev_gas*HM_ZB_Nsoko!CA_NOC_WI</f>
        <v>0</v>
      </c>
      <c r="BR355" s="49">
        <f ca="1">HM_ZB_Nsoko!CA_ent_rev_gas*HM_ZB_Nsoko!CA_NOC_WI</f>
        <v>0</v>
      </c>
      <c r="BS355" s="49">
        <f ca="1">HM_ZB_Nsoko!CA_ent_rev_gas*HM_ZB_Nsoko!CA_NOC_WI</f>
        <v>0</v>
      </c>
    </row>
    <row r="356" spans="3:71" outlineLevel="1" x14ac:dyDescent="0.2">
      <c r="D356" s="11" t="str">
        <f>HM_ZA_Nkossa!D345</f>
        <v>Total</v>
      </c>
      <c r="I356" s="30">
        <f t="shared" ca="1" si="93"/>
        <v>0</v>
      </c>
      <c r="J356" s="26" t="s">
        <v>148</v>
      </c>
      <c r="L356" s="49">
        <f ca="1">SUM(L354:L355)</f>
        <v>0</v>
      </c>
      <c r="M356" s="49">
        <f t="shared" ref="M356:BS356" ca="1" si="94">SUM(M354:M355)</f>
        <v>0</v>
      </c>
      <c r="N356" s="49">
        <f t="shared" ca="1" si="94"/>
        <v>0</v>
      </c>
      <c r="O356" s="49">
        <f t="shared" ca="1" si="94"/>
        <v>0</v>
      </c>
      <c r="P356" s="49">
        <f t="shared" ca="1" si="94"/>
        <v>0</v>
      </c>
      <c r="Q356" s="49">
        <f t="shared" ca="1" si="94"/>
        <v>0</v>
      </c>
      <c r="R356" s="49">
        <f t="shared" ca="1" si="94"/>
        <v>0</v>
      </c>
      <c r="S356" s="49">
        <f t="shared" ca="1" si="94"/>
        <v>0</v>
      </c>
      <c r="T356" s="49">
        <f t="shared" ca="1" si="94"/>
        <v>0</v>
      </c>
      <c r="U356" s="49">
        <f t="shared" ca="1" si="94"/>
        <v>0</v>
      </c>
      <c r="V356" s="49">
        <f t="shared" ca="1" si="94"/>
        <v>0</v>
      </c>
      <c r="W356" s="49">
        <f t="shared" ca="1" si="94"/>
        <v>0</v>
      </c>
      <c r="X356" s="49">
        <f t="shared" ca="1" si="94"/>
        <v>0</v>
      </c>
      <c r="Y356" s="49">
        <f t="shared" ca="1" si="94"/>
        <v>0</v>
      </c>
      <c r="Z356" s="49">
        <f t="shared" ca="1" si="94"/>
        <v>0</v>
      </c>
      <c r="AA356" s="49">
        <f t="shared" ca="1" si="94"/>
        <v>0</v>
      </c>
      <c r="AB356" s="49">
        <f t="shared" ca="1" si="94"/>
        <v>0</v>
      </c>
      <c r="AC356" s="49">
        <f t="shared" ca="1" si="94"/>
        <v>0</v>
      </c>
      <c r="AD356" s="49">
        <f t="shared" ca="1" si="94"/>
        <v>0</v>
      </c>
      <c r="AE356" s="49">
        <f t="shared" ca="1" si="94"/>
        <v>0</v>
      </c>
      <c r="AF356" s="49">
        <f t="shared" ca="1" si="94"/>
        <v>0</v>
      </c>
      <c r="AG356" s="49">
        <f t="shared" ca="1" si="94"/>
        <v>0</v>
      </c>
      <c r="AH356" s="49">
        <f t="shared" ca="1" si="94"/>
        <v>0</v>
      </c>
      <c r="AI356" s="49">
        <f t="shared" ca="1" si="94"/>
        <v>0</v>
      </c>
      <c r="AJ356" s="49">
        <f t="shared" ca="1" si="94"/>
        <v>0</v>
      </c>
      <c r="AK356" s="49">
        <f t="shared" ca="1" si="94"/>
        <v>0</v>
      </c>
      <c r="AL356" s="49">
        <f t="shared" ca="1" si="94"/>
        <v>0</v>
      </c>
      <c r="AM356" s="49">
        <f t="shared" ca="1" si="94"/>
        <v>0</v>
      </c>
      <c r="AN356" s="49">
        <f t="shared" ca="1" si="94"/>
        <v>0</v>
      </c>
      <c r="AO356" s="49">
        <f t="shared" ca="1" si="94"/>
        <v>0</v>
      </c>
      <c r="AP356" s="49">
        <f t="shared" ca="1" si="94"/>
        <v>0</v>
      </c>
      <c r="AQ356" s="49">
        <f t="shared" ca="1" si="94"/>
        <v>0</v>
      </c>
      <c r="AR356" s="49">
        <f t="shared" ca="1" si="94"/>
        <v>0</v>
      </c>
      <c r="AS356" s="49">
        <f t="shared" ca="1" si="94"/>
        <v>0</v>
      </c>
      <c r="AT356" s="49">
        <f t="shared" ca="1" si="94"/>
        <v>0</v>
      </c>
      <c r="AU356" s="49">
        <f t="shared" ca="1" si="94"/>
        <v>0</v>
      </c>
      <c r="AV356" s="49">
        <f t="shared" ca="1" si="94"/>
        <v>0</v>
      </c>
      <c r="AW356" s="49">
        <f t="shared" ca="1" si="94"/>
        <v>0</v>
      </c>
      <c r="AX356" s="49">
        <f t="shared" ca="1" si="94"/>
        <v>0</v>
      </c>
      <c r="AY356" s="49">
        <f t="shared" ca="1" si="94"/>
        <v>0</v>
      </c>
      <c r="AZ356" s="49">
        <f t="shared" ca="1" si="94"/>
        <v>0</v>
      </c>
      <c r="BA356" s="49">
        <f t="shared" ca="1" si="94"/>
        <v>0</v>
      </c>
      <c r="BB356" s="49">
        <f t="shared" ca="1" si="94"/>
        <v>0</v>
      </c>
      <c r="BC356" s="49">
        <f t="shared" ca="1" si="94"/>
        <v>0</v>
      </c>
      <c r="BD356" s="49">
        <f t="shared" ca="1" si="94"/>
        <v>0</v>
      </c>
      <c r="BE356" s="49">
        <f t="shared" ca="1" si="94"/>
        <v>0</v>
      </c>
      <c r="BF356" s="49">
        <f t="shared" ca="1" si="94"/>
        <v>0</v>
      </c>
      <c r="BG356" s="49">
        <f t="shared" ca="1" si="94"/>
        <v>0</v>
      </c>
      <c r="BH356" s="49">
        <f t="shared" ca="1" si="94"/>
        <v>0</v>
      </c>
      <c r="BI356" s="49">
        <f t="shared" ca="1" si="94"/>
        <v>0</v>
      </c>
      <c r="BJ356" s="49">
        <f t="shared" ca="1" si="94"/>
        <v>0</v>
      </c>
      <c r="BK356" s="49">
        <f t="shared" ca="1" si="94"/>
        <v>0</v>
      </c>
      <c r="BL356" s="49">
        <f t="shared" ca="1" si="94"/>
        <v>0</v>
      </c>
      <c r="BM356" s="49">
        <f t="shared" ca="1" si="94"/>
        <v>0</v>
      </c>
      <c r="BN356" s="49">
        <f t="shared" ca="1" si="94"/>
        <v>0</v>
      </c>
      <c r="BO356" s="49">
        <f t="shared" ca="1" si="94"/>
        <v>0</v>
      </c>
      <c r="BP356" s="49">
        <f t="shared" ca="1" si="94"/>
        <v>0</v>
      </c>
      <c r="BQ356" s="49">
        <f t="shared" ca="1" si="94"/>
        <v>0</v>
      </c>
      <c r="BR356" s="49">
        <f t="shared" ca="1" si="94"/>
        <v>0</v>
      </c>
      <c r="BS356" s="49">
        <f t="shared" ca="1" si="94"/>
        <v>0</v>
      </c>
    </row>
    <row r="357" spans="3:71" outlineLevel="1" x14ac:dyDescent="0.2">
      <c r="J357" s="26"/>
      <c r="L357" s="55"/>
      <c r="M357" s="55"/>
      <c r="N357" s="55"/>
      <c r="O357" s="55"/>
      <c r="P357" s="55"/>
      <c r="Q357" s="55"/>
      <c r="R357" s="55"/>
      <c r="S357" s="55"/>
      <c r="T357" s="55"/>
      <c r="U357" s="55"/>
      <c r="V357" s="55"/>
      <c r="W357" s="55"/>
      <c r="X357" s="55"/>
      <c r="Y357" s="55"/>
      <c r="Z357" s="55"/>
      <c r="AA357" s="55"/>
      <c r="AB357" s="55"/>
      <c r="AC357" s="55"/>
      <c r="AD357" s="55"/>
      <c r="AE357" s="55"/>
      <c r="AF357" s="55"/>
      <c r="AG357" s="55"/>
      <c r="AH357" s="55"/>
      <c r="AI357" s="55"/>
      <c r="AJ357" s="55"/>
      <c r="AK357" s="55"/>
      <c r="AL357" s="55"/>
      <c r="AM357" s="55"/>
      <c r="AN357" s="55"/>
      <c r="AO357" s="55"/>
      <c r="AP357" s="55"/>
      <c r="AQ357" s="55"/>
      <c r="AR357" s="55"/>
      <c r="AS357" s="55"/>
      <c r="AT357" s="55"/>
      <c r="AU357" s="55"/>
      <c r="AV357" s="55"/>
      <c r="AW357" s="55"/>
      <c r="AX357" s="55"/>
      <c r="AY357" s="55"/>
      <c r="AZ357" s="55"/>
      <c r="BA357" s="55"/>
      <c r="BB357" s="55"/>
      <c r="BC357" s="55"/>
      <c r="BD357" s="55"/>
      <c r="BE357" s="55"/>
      <c r="BF357" s="55"/>
      <c r="BG357" s="55"/>
      <c r="BH357" s="55"/>
      <c r="BI357" s="55"/>
      <c r="BJ357" s="55"/>
      <c r="BK357" s="55"/>
      <c r="BL357" s="55"/>
      <c r="BM357" s="55"/>
      <c r="BN357" s="55"/>
      <c r="BO357" s="55"/>
      <c r="BP357" s="55"/>
      <c r="BQ357" s="55"/>
      <c r="BR357" s="55"/>
      <c r="BS357" s="55"/>
    </row>
    <row r="358" spans="3:71" outlineLevel="1" x14ac:dyDescent="0.2">
      <c r="C358" s="11" t="str">
        <f>HM_ZA_Nkossa!C347</f>
        <v>Volumes de droits selon participation - Pétrole</v>
      </c>
      <c r="J358" s="26"/>
      <c r="L358" s="55"/>
      <c r="M358" s="55"/>
      <c r="N358" s="55"/>
      <c r="O358" s="55"/>
      <c r="P358" s="55"/>
      <c r="Q358" s="55"/>
      <c r="R358" s="55"/>
      <c r="S358" s="55"/>
      <c r="T358" s="55"/>
      <c r="U358" s="55"/>
      <c r="V358" s="55"/>
      <c r="W358" s="55"/>
      <c r="X358" s="55"/>
      <c r="Y358" s="55"/>
      <c r="Z358" s="55"/>
      <c r="AA358" s="55"/>
      <c r="AB358" s="55"/>
      <c r="AC358" s="55"/>
      <c r="AD358" s="55"/>
      <c r="AE358" s="55"/>
      <c r="AF358" s="55"/>
      <c r="AG358" s="55"/>
      <c r="AH358" s="55"/>
      <c r="AI358" s="55"/>
      <c r="AJ358" s="55"/>
      <c r="AK358" s="55"/>
      <c r="AL358" s="55"/>
      <c r="AM358" s="55"/>
      <c r="AN358" s="55"/>
      <c r="AO358" s="55"/>
      <c r="AP358" s="55"/>
      <c r="AQ358" s="55"/>
      <c r="AR358" s="55"/>
      <c r="AS358" s="55"/>
      <c r="AT358" s="55"/>
      <c r="AU358" s="55"/>
      <c r="AV358" s="55"/>
      <c r="AW358" s="55"/>
      <c r="AX358" s="55"/>
      <c r="AY358" s="55"/>
      <c r="AZ358" s="55"/>
      <c r="BA358" s="55"/>
      <c r="BB358" s="55"/>
      <c r="BC358" s="55"/>
      <c r="BD358" s="55"/>
      <c r="BE358" s="55"/>
      <c r="BF358" s="55"/>
      <c r="BG358" s="55"/>
      <c r="BH358" s="55"/>
      <c r="BI358" s="55"/>
      <c r="BJ358" s="55"/>
      <c r="BK358" s="55"/>
      <c r="BL358" s="55"/>
      <c r="BM358" s="55"/>
      <c r="BN358" s="55"/>
      <c r="BO358" s="55"/>
      <c r="BP358" s="55"/>
      <c r="BQ358" s="55"/>
      <c r="BR358" s="55"/>
      <c r="BS358" s="55"/>
    </row>
    <row r="359" spans="3:71" outlineLevel="1" x14ac:dyDescent="0.2">
      <c r="D359" t="str">
        <f>HM_ZA_Nkossa!D348</f>
        <v>Consortium compagnie pétrolières internationales</v>
      </c>
      <c r="I359" s="30">
        <f t="shared" ref="I359:I361" ca="1" si="95">SUM($L359:$BS359)</f>
        <v>3.8830402836002618</v>
      </c>
      <c r="J359" s="26" t="s">
        <v>88</v>
      </c>
      <c r="L359" s="49">
        <f ca="1">L340*HM_ZB_Nsoko!CA_IOC_WI</f>
        <v>0.20734706588393062</v>
      </c>
      <c r="M359" s="49">
        <f ca="1">M340*HM_ZB_Nsoko!CA_IOC_WI</f>
        <v>0.24699198681791937</v>
      </c>
      <c r="N359" s="49">
        <f ca="1">N340*HM_ZB_Nsoko!CA_IOC_WI</f>
        <v>0.4354566037531174</v>
      </c>
      <c r="O359" s="49">
        <f ca="1">O340*HM_ZB_Nsoko!CA_IOC_WI</f>
        <v>0.38715177174757348</v>
      </c>
      <c r="P359" s="49">
        <f ca="1">P340*HM_ZB_Nsoko!CA_IOC_WI</f>
        <v>0.37371231016600381</v>
      </c>
      <c r="Q359" s="49">
        <f ca="1">Q340*HM_ZB_Nsoko!CA_IOC_WI</f>
        <v>0.25136320186621008</v>
      </c>
      <c r="R359" s="49">
        <f ca="1">R340*HM_ZB_Nsoko!CA_IOC_WI</f>
        <v>0.12065678637711065</v>
      </c>
      <c r="S359" s="49">
        <f ca="1">S340*HM_ZB_Nsoko!CA_IOC_WI</f>
        <v>0.46498312490374993</v>
      </c>
      <c r="T359" s="49">
        <f ca="1">T340*HM_ZB_Nsoko!CA_IOC_WI</f>
        <v>0.33959227019269994</v>
      </c>
      <c r="U359" s="49">
        <f ca="1">U340*HM_ZB_Nsoko!CA_IOC_WI</f>
        <v>0.2994290690630293</v>
      </c>
      <c r="V359" s="49">
        <f ca="1">V340*HM_ZB_Nsoko!CA_IOC_WI</f>
        <v>0.27439600532435027</v>
      </c>
      <c r="W359" s="49">
        <f ca="1">W340*HM_ZB_Nsoko!CA_IOC_WI</f>
        <v>0.25147464095069644</v>
      </c>
      <c r="X359" s="49">
        <f ca="1">X340*HM_ZB_Nsoko!CA_IOC_WI</f>
        <v>0.23048544655387038</v>
      </c>
      <c r="Y359" s="49">
        <f ca="1">Y340*HM_ZB_Nsoko!CA_IOC_WI</f>
        <v>0</v>
      </c>
      <c r="Z359" s="49">
        <f ca="1">Z340*HM_ZB_Nsoko!CA_IOC_WI</f>
        <v>0</v>
      </c>
      <c r="AA359" s="49">
        <f ca="1">AA340*HM_ZB_Nsoko!CA_IOC_WI</f>
        <v>0</v>
      </c>
      <c r="AB359" s="49">
        <f ca="1">AB340*HM_ZB_Nsoko!CA_IOC_WI</f>
        <v>0</v>
      </c>
      <c r="AC359" s="49">
        <f ca="1">AC340*HM_ZB_Nsoko!CA_IOC_WI</f>
        <v>0</v>
      </c>
      <c r="AD359" s="49">
        <f ca="1">AD340*HM_ZB_Nsoko!CA_IOC_WI</f>
        <v>0</v>
      </c>
      <c r="AE359" s="49">
        <f ca="1">AE340*HM_ZB_Nsoko!CA_IOC_WI</f>
        <v>0</v>
      </c>
      <c r="AF359" s="49">
        <f ca="1">AF340*HM_ZB_Nsoko!CA_IOC_WI</f>
        <v>0</v>
      </c>
      <c r="AG359" s="49">
        <f ca="1">AG340*HM_ZB_Nsoko!CA_IOC_WI</f>
        <v>0</v>
      </c>
      <c r="AH359" s="49">
        <f ca="1">AH340*HM_ZB_Nsoko!CA_IOC_WI</f>
        <v>0</v>
      </c>
      <c r="AI359" s="49">
        <f ca="1">AI340*HM_ZB_Nsoko!CA_IOC_WI</f>
        <v>0</v>
      </c>
      <c r="AJ359" s="49">
        <f ca="1">AJ340*HM_ZB_Nsoko!CA_IOC_WI</f>
        <v>0</v>
      </c>
      <c r="AK359" s="49">
        <f ca="1">AK340*HM_ZB_Nsoko!CA_IOC_WI</f>
        <v>0</v>
      </c>
      <c r="AL359" s="49">
        <f ca="1">AL340*HM_ZB_Nsoko!CA_IOC_WI</f>
        <v>0</v>
      </c>
      <c r="AM359" s="49">
        <f ca="1">AM340*HM_ZB_Nsoko!CA_IOC_WI</f>
        <v>0</v>
      </c>
      <c r="AN359" s="49">
        <f ca="1">AN340*HM_ZB_Nsoko!CA_IOC_WI</f>
        <v>0</v>
      </c>
      <c r="AO359" s="49">
        <f ca="1">AO340*HM_ZB_Nsoko!CA_IOC_WI</f>
        <v>0</v>
      </c>
      <c r="AP359" s="49">
        <f ca="1">AP340*HM_ZB_Nsoko!CA_IOC_WI</f>
        <v>0</v>
      </c>
      <c r="AQ359" s="49">
        <f ca="1">AQ340*HM_ZB_Nsoko!CA_IOC_WI</f>
        <v>0</v>
      </c>
      <c r="AR359" s="49">
        <f ca="1">AR340*HM_ZB_Nsoko!CA_IOC_WI</f>
        <v>0</v>
      </c>
      <c r="AS359" s="49">
        <f ca="1">AS340*HM_ZB_Nsoko!CA_IOC_WI</f>
        <v>0</v>
      </c>
      <c r="AT359" s="49">
        <f ca="1">AT340*HM_ZB_Nsoko!CA_IOC_WI</f>
        <v>0</v>
      </c>
      <c r="AU359" s="49">
        <f ca="1">AU340*HM_ZB_Nsoko!CA_IOC_WI</f>
        <v>0</v>
      </c>
      <c r="AV359" s="49">
        <f ca="1">AV340*HM_ZB_Nsoko!CA_IOC_WI</f>
        <v>0</v>
      </c>
      <c r="AW359" s="49">
        <f ca="1">AW340*HM_ZB_Nsoko!CA_IOC_WI</f>
        <v>0</v>
      </c>
      <c r="AX359" s="49">
        <f ca="1">AX340*HM_ZB_Nsoko!CA_IOC_WI</f>
        <v>0</v>
      </c>
      <c r="AY359" s="49">
        <f ca="1">AY340*HM_ZB_Nsoko!CA_IOC_WI</f>
        <v>0</v>
      </c>
      <c r="AZ359" s="49">
        <f ca="1">AZ340*HM_ZB_Nsoko!CA_IOC_WI</f>
        <v>0</v>
      </c>
      <c r="BA359" s="49">
        <f ca="1">BA340*HM_ZB_Nsoko!CA_IOC_WI</f>
        <v>0</v>
      </c>
      <c r="BB359" s="49">
        <f ca="1">BB340*HM_ZB_Nsoko!CA_IOC_WI</f>
        <v>0</v>
      </c>
      <c r="BC359" s="49">
        <f ca="1">BC340*HM_ZB_Nsoko!CA_IOC_WI</f>
        <v>0</v>
      </c>
      <c r="BD359" s="49">
        <f ca="1">BD340*HM_ZB_Nsoko!CA_IOC_WI</f>
        <v>0</v>
      </c>
      <c r="BE359" s="49">
        <f ca="1">BE340*HM_ZB_Nsoko!CA_IOC_WI</f>
        <v>0</v>
      </c>
      <c r="BF359" s="49">
        <f ca="1">BF340*HM_ZB_Nsoko!CA_IOC_WI</f>
        <v>0</v>
      </c>
      <c r="BG359" s="49">
        <f ca="1">BG340*HM_ZB_Nsoko!CA_IOC_WI</f>
        <v>0</v>
      </c>
      <c r="BH359" s="49">
        <f ca="1">BH340*HM_ZB_Nsoko!CA_IOC_WI</f>
        <v>0</v>
      </c>
      <c r="BI359" s="49">
        <f ca="1">BI340*HM_ZB_Nsoko!CA_IOC_WI</f>
        <v>0</v>
      </c>
      <c r="BJ359" s="49">
        <f ca="1">BJ340*HM_ZB_Nsoko!CA_IOC_WI</f>
        <v>0</v>
      </c>
      <c r="BK359" s="49">
        <f ca="1">BK340*HM_ZB_Nsoko!CA_IOC_WI</f>
        <v>0</v>
      </c>
      <c r="BL359" s="49">
        <f ca="1">BL340*HM_ZB_Nsoko!CA_IOC_WI</f>
        <v>0</v>
      </c>
      <c r="BM359" s="49">
        <f ca="1">BM340*HM_ZB_Nsoko!CA_IOC_WI</f>
        <v>0</v>
      </c>
      <c r="BN359" s="49">
        <f ca="1">BN340*HM_ZB_Nsoko!CA_IOC_WI</f>
        <v>0</v>
      </c>
      <c r="BO359" s="49">
        <f ca="1">BO340*HM_ZB_Nsoko!CA_IOC_WI</f>
        <v>0</v>
      </c>
      <c r="BP359" s="49">
        <f ca="1">BP340*HM_ZB_Nsoko!CA_IOC_WI</f>
        <v>0</v>
      </c>
      <c r="BQ359" s="49">
        <f ca="1">BQ340*HM_ZB_Nsoko!CA_IOC_WI</f>
        <v>0</v>
      </c>
      <c r="BR359" s="49">
        <f ca="1">BR340*HM_ZB_Nsoko!CA_IOC_WI</f>
        <v>0</v>
      </c>
      <c r="BS359" s="49">
        <f ca="1">BS340*HM_ZB_Nsoko!CA_IOC_WI</f>
        <v>0</v>
      </c>
    </row>
    <row r="360" spans="3:71" outlineLevel="1" x14ac:dyDescent="0.2">
      <c r="D360" t="str">
        <f>HM_ZA_Nkossa!D349</f>
        <v>Participation compagnie nationale/État</v>
      </c>
      <c r="I360" s="30">
        <f t="shared" ca="1" si="95"/>
        <v>0.68524240298828154</v>
      </c>
      <c r="J360" s="26" t="s">
        <v>88</v>
      </c>
      <c r="L360" s="49">
        <f ca="1">L340*HM_ZB_Nsoko!CA_NOC_WI</f>
        <v>3.659065868539952E-2</v>
      </c>
      <c r="M360" s="49">
        <f ca="1">M340*HM_ZB_Nsoko!CA_NOC_WI</f>
        <v>4.3586821203162242E-2</v>
      </c>
      <c r="N360" s="49">
        <f ca="1">N340*HM_ZB_Nsoko!CA_NOC_WI</f>
        <v>7.6845283015256005E-2</v>
      </c>
      <c r="O360" s="49">
        <f ca="1">O340*HM_ZB_Nsoko!CA_NOC_WI</f>
        <v>6.8320900896630607E-2</v>
      </c>
      <c r="P360" s="49">
        <f ca="1">P340*HM_ZB_Nsoko!CA_NOC_WI</f>
        <v>6.5949231205765374E-2</v>
      </c>
      <c r="Q360" s="49">
        <f ca="1">Q340*HM_ZB_Nsoko!CA_NOC_WI</f>
        <v>4.4358212094037071E-2</v>
      </c>
      <c r="R360" s="49">
        <f ca="1">R340*HM_ZB_Nsoko!CA_NOC_WI</f>
        <v>2.1292374066548939E-2</v>
      </c>
      <c r="S360" s="49">
        <f ca="1">S340*HM_ZB_Nsoko!CA_NOC_WI</f>
        <v>8.2055845571249994E-2</v>
      </c>
      <c r="T360" s="49">
        <f ca="1">T340*HM_ZB_Nsoko!CA_NOC_WI</f>
        <v>5.9928047681064689E-2</v>
      </c>
      <c r="U360" s="49">
        <f ca="1">U340*HM_ZB_Nsoko!CA_NOC_WI</f>
        <v>5.2840423952299292E-2</v>
      </c>
      <c r="V360" s="49">
        <f ca="1">V340*HM_ZB_Nsoko!CA_NOC_WI</f>
        <v>4.8422824469002985E-2</v>
      </c>
      <c r="W360" s="49">
        <f ca="1">W340*HM_ZB_Nsoko!CA_NOC_WI</f>
        <v>4.4377877814828777E-2</v>
      </c>
      <c r="X360" s="49">
        <f ca="1">X340*HM_ZB_Nsoko!CA_NOC_WI</f>
        <v>4.0673902333035951E-2</v>
      </c>
      <c r="Y360" s="49">
        <f ca="1">Y340*HM_ZB_Nsoko!CA_NOC_WI</f>
        <v>0</v>
      </c>
      <c r="Z360" s="49">
        <f ca="1">Z340*HM_ZB_Nsoko!CA_NOC_WI</f>
        <v>0</v>
      </c>
      <c r="AA360" s="49">
        <f ca="1">AA340*HM_ZB_Nsoko!CA_NOC_WI</f>
        <v>0</v>
      </c>
      <c r="AB360" s="49">
        <f ca="1">AB340*HM_ZB_Nsoko!CA_NOC_WI</f>
        <v>0</v>
      </c>
      <c r="AC360" s="49">
        <f ca="1">AC340*HM_ZB_Nsoko!CA_NOC_WI</f>
        <v>0</v>
      </c>
      <c r="AD360" s="49">
        <f ca="1">AD340*HM_ZB_Nsoko!CA_NOC_WI</f>
        <v>0</v>
      </c>
      <c r="AE360" s="49">
        <f ca="1">AE340*HM_ZB_Nsoko!CA_NOC_WI</f>
        <v>0</v>
      </c>
      <c r="AF360" s="49">
        <f ca="1">AF340*HM_ZB_Nsoko!CA_NOC_WI</f>
        <v>0</v>
      </c>
      <c r="AG360" s="49">
        <f ca="1">AG340*HM_ZB_Nsoko!CA_NOC_WI</f>
        <v>0</v>
      </c>
      <c r="AH360" s="49">
        <f ca="1">AH340*HM_ZB_Nsoko!CA_NOC_WI</f>
        <v>0</v>
      </c>
      <c r="AI360" s="49">
        <f ca="1">AI340*HM_ZB_Nsoko!CA_NOC_WI</f>
        <v>0</v>
      </c>
      <c r="AJ360" s="49">
        <f ca="1">AJ340*HM_ZB_Nsoko!CA_NOC_WI</f>
        <v>0</v>
      </c>
      <c r="AK360" s="49">
        <f ca="1">AK340*HM_ZB_Nsoko!CA_NOC_WI</f>
        <v>0</v>
      </c>
      <c r="AL360" s="49">
        <f ca="1">AL340*HM_ZB_Nsoko!CA_NOC_WI</f>
        <v>0</v>
      </c>
      <c r="AM360" s="49">
        <f ca="1">AM340*HM_ZB_Nsoko!CA_NOC_WI</f>
        <v>0</v>
      </c>
      <c r="AN360" s="49">
        <f ca="1">AN340*HM_ZB_Nsoko!CA_NOC_WI</f>
        <v>0</v>
      </c>
      <c r="AO360" s="49">
        <f ca="1">AO340*HM_ZB_Nsoko!CA_NOC_WI</f>
        <v>0</v>
      </c>
      <c r="AP360" s="49">
        <f ca="1">AP340*HM_ZB_Nsoko!CA_NOC_WI</f>
        <v>0</v>
      </c>
      <c r="AQ360" s="49">
        <f ca="1">AQ340*HM_ZB_Nsoko!CA_NOC_WI</f>
        <v>0</v>
      </c>
      <c r="AR360" s="49">
        <f ca="1">AR340*HM_ZB_Nsoko!CA_NOC_WI</f>
        <v>0</v>
      </c>
      <c r="AS360" s="49">
        <f ca="1">AS340*HM_ZB_Nsoko!CA_NOC_WI</f>
        <v>0</v>
      </c>
      <c r="AT360" s="49">
        <f ca="1">AT340*HM_ZB_Nsoko!CA_NOC_WI</f>
        <v>0</v>
      </c>
      <c r="AU360" s="49">
        <f ca="1">AU340*HM_ZB_Nsoko!CA_NOC_WI</f>
        <v>0</v>
      </c>
      <c r="AV360" s="49">
        <f ca="1">AV340*HM_ZB_Nsoko!CA_NOC_WI</f>
        <v>0</v>
      </c>
      <c r="AW360" s="49">
        <f ca="1">AW340*HM_ZB_Nsoko!CA_NOC_WI</f>
        <v>0</v>
      </c>
      <c r="AX360" s="49">
        <f ca="1">AX340*HM_ZB_Nsoko!CA_NOC_WI</f>
        <v>0</v>
      </c>
      <c r="AY360" s="49">
        <f ca="1">AY340*HM_ZB_Nsoko!CA_NOC_WI</f>
        <v>0</v>
      </c>
      <c r="AZ360" s="49">
        <f ca="1">AZ340*HM_ZB_Nsoko!CA_NOC_WI</f>
        <v>0</v>
      </c>
      <c r="BA360" s="49">
        <f ca="1">BA340*HM_ZB_Nsoko!CA_NOC_WI</f>
        <v>0</v>
      </c>
      <c r="BB360" s="49">
        <f ca="1">BB340*HM_ZB_Nsoko!CA_NOC_WI</f>
        <v>0</v>
      </c>
      <c r="BC360" s="49">
        <f ca="1">BC340*HM_ZB_Nsoko!CA_NOC_WI</f>
        <v>0</v>
      </c>
      <c r="BD360" s="49">
        <f ca="1">BD340*HM_ZB_Nsoko!CA_NOC_WI</f>
        <v>0</v>
      </c>
      <c r="BE360" s="49">
        <f ca="1">BE340*HM_ZB_Nsoko!CA_NOC_WI</f>
        <v>0</v>
      </c>
      <c r="BF360" s="49">
        <f ca="1">BF340*HM_ZB_Nsoko!CA_NOC_WI</f>
        <v>0</v>
      </c>
      <c r="BG360" s="49">
        <f ca="1">BG340*HM_ZB_Nsoko!CA_NOC_WI</f>
        <v>0</v>
      </c>
      <c r="BH360" s="49">
        <f ca="1">BH340*HM_ZB_Nsoko!CA_NOC_WI</f>
        <v>0</v>
      </c>
      <c r="BI360" s="49">
        <f ca="1">BI340*HM_ZB_Nsoko!CA_NOC_WI</f>
        <v>0</v>
      </c>
      <c r="BJ360" s="49">
        <f ca="1">BJ340*HM_ZB_Nsoko!CA_NOC_WI</f>
        <v>0</v>
      </c>
      <c r="BK360" s="49">
        <f ca="1">BK340*HM_ZB_Nsoko!CA_NOC_WI</f>
        <v>0</v>
      </c>
      <c r="BL360" s="49">
        <f ca="1">BL340*HM_ZB_Nsoko!CA_NOC_WI</f>
        <v>0</v>
      </c>
      <c r="BM360" s="49">
        <f ca="1">BM340*HM_ZB_Nsoko!CA_NOC_WI</f>
        <v>0</v>
      </c>
      <c r="BN360" s="49">
        <f ca="1">BN340*HM_ZB_Nsoko!CA_NOC_WI</f>
        <v>0</v>
      </c>
      <c r="BO360" s="49">
        <f ca="1">BO340*HM_ZB_Nsoko!CA_NOC_WI</f>
        <v>0</v>
      </c>
      <c r="BP360" s="49">
        <f ca="1">BP340*HM_ZB_Nsoko!CA_NOC_WI</f>
        <v>0</v>
      </c>
      <c r="BQ360" s="49">
        <f ca="1">BQ340*HM_ZB_Nsoko!CA_NOC_WI</f>
        <v>0</v>
      </c>
      <c r="BR360" s="49">
        <f ca="1">BR340*HM_ZB_Nsoko!CA_NOC_WI</f>
        <v>0</v>
      </c>
      <c r="BS360" s="49">
        <f ca="1">BS340*HM_ZB_Nsoko!CA_NOC_WI</f>
        <v>0</v>
      </c>
    </row>
    <row r="361" spans="3:71" outlineLevel="1" x14ac:dyDescent="0.2">
      <c r="D361" s="11" t="str">
        <f>HM_ZA_Nkossa!D350</f>
        <v>Total</v>
      </c>
      <c r="I361" s="30">
        <f t="shared" ca="1" si="95"/>
        <v>4.5682826865885424</v>
      </c>
      <c r="J361" s="26" t="s">
        <v>88</v>
      </c>
      <c r="L361" s="49">
        <f ca="1">SUM(L359:L360)</f>
        <v>0.24393772456933013</v>
      </c>
      <c r="M361" s="49">
        <f t="shared" ref="M361:BS361" ca="1" si="96">SUM(M359:M360)</f>
        <v>0.2905788080210816</v>
      </c>
      <c r="N361" s="49">
        <f t="shared" ca="1" si="96"/>
        <v>0.5123018867683734</v>
      </c>
      <c r="O361" s="49">
        <f t="shared" ca="1" si="96"/>
        <v>0.4554726726442041</v>
      </c>
      <c r="P361" s="49">
        <f t="shared" ca="1" si="96"/>
        <v>0.43966154137176916</v>
      </c>
      <c r="Q361" s="49">
        <f t="shared" ca="1" si="96"/>
        <v>0.29572141396024715</v>
      </c>
      <c r="R361" s="49">
        <f t="shared" ca="1" si="96"/>
        <v>0.1419491604436596</v>
      </c>
      <c r="S361" s="49">
        <f t="shared" ca="1" si="96"/>
        <v>0.54703897047499994</v>
      </c>
      <c r="T361" s="49">
        <f t="shared" ca="1" si="96"/>
        <v>0.39952031787376463</v>
      </c>
      <c r="U361" s="49">
        <f t="shared" ca="1" si="96"/>
        <v>0.35226949301532862</v>
      </c>
      <c r="V361" s="49">
        <f t="shared" ca="1" si="96"/>
        <v>0.32281882979335325</v>
      </c>
      <c r="W361" s="49">
        <f t="shared" ca="1" si="96"/>
        <v>0.29585251876552521</v>
      </c>
      <c r="X361" s="49">
        <f t="shared" ca="1" si="96"/>
        <v>0.27115934888690635</v>
      </c>
      <c r="Y361" s="49">
        <f t="shared" ca="1" si="96"/>
        <v>0</v>
      </c>
      <c r="Z361" s="49">
        <f t="shared" ca="1" si="96"/>
        <v>0</v>
      </c>
      <c r="AA361" s="49">
        <f t="shared" ca="1" si="96"/>
        <v>0</v>
      </c>
      <c r="AB361" s="49">
        <f t="shared" ca="1" si="96"/>
        <v>0</v>
      </c>
      <c r="AC361" s="49">
        <f t="shared" ca="1" si="96"/>
        <v>0</v>
      </c>
      <c r="AD361" s="49">
        <f t="shared" ca="1" si="96"/>
        <v>0</v>
      </c>
      <c r="AE361" s="49">
        <f t="shared" ca="1" si="96"/>
        <v>0</v>
      </c>
      <c r="AF361" s="49">
        <f t="shared" ca="1" si="96"/>
        <v>0</v>
      </c>
      <c r="AG361" s="49">
        <f t="shared" ca="1" si="96"/>
        <v>0</v>
      </c>
      <c r="AH361" s="49">
        <f t="shared" ca="1" si="96"/>
        <v>0</v>
      </c>
      <c r="AI361" s="49">
        <f t="shared" ca="1" si="96"/>
        <v>0</v>
      </c>
      <c r="AJ361" s="49">
        <f t="shared" ca="1" si="96"/>
        <v>0</v>
      </c>
      <c r="AK361" s="49">
        <f t="shared" ca="1" si="96"/>
        <v>0</v>
      </c>
      <c r="AL361" s="49">
        <f t="shared" ca="1" si="96"/>
        <v>0</v>
      </c>
      <c r="AM361" s="49">
        <f t="shared" ca="1" si="96"/>
        <v>0</v>
      </c>
      <c r="AN361" s="49">
        <f t="shared" ca="1" si="96"/>
        <v>0</v>
      </c>
      <c r="AO361" s="49">
        <f t="shared" ca="1" si="96"/>
        <v>0</v>
      </c>
      <c r="AP361" s="49">
        <f t="shared" ca="1" si="96"/>
        <v>0</v>
      </c>
      <c r="AQ361" s="49">
        <f t="shared" ca="1" si="96"/>
        <v>0</v>
      </c>
      <c r="AR361" s="49">
        <f t="shared" ca="1" si="96"/>
        <v>0</v>
      </c>
      <c r="AS361" s="49">
        <f t="shared" ca="1" si="96"/>
        <v>0</v>
      </c>
      <c r="AT361" s="49">
        <f t="shared" ca="1" si="96"/>
        <v>0</v>
      </c>
      <c r="AU361" s="49">
        <f t="shared" ca="1" si="96"/>
        <v>0</v>
      </c>
      <c r="AV361" s="49">
        <f t="shared" ca="1" si="96"/>
        <v>0</v>
      </c>
      <c r="AW361" s="49">
        <f t="shared" ca="1" si="96"/>
        <v>0</v>
      </c>
      <c r="AX361" s="49">
        <f t="shared" ca="1" si="96"/>
        <v>0</v>
      </c>
      <c r="AY361" s="49">
        <f t="shared" ca="1" si="96"/>
        <v>0</v>
      </c>
      <c r="AZ361" s="49">
        <f t="shared" ca="1" si="96"/>
        <v>0</v>
      </c>
      <c r="BA361" s="49">
        <f t="shared" ca="1" si="96"/>
        <v>0</v>
      </c>
      <c r="BB361" s="49">
        <f t="shared" ca="1" si="96"/>
        <v>0</v>
      </c>
      <c r="BC361" s="49">
        <f t="shared" ca="1" si="96"/>
        <v>0</v>
      </c>
      <c r="BD361" s="49">
        <f t="shared" ca="1" si="96"/>
        <v>0</v>
      </c>
      <c r="BE361" s="49">
        <f t="shared" ca="1" si="96"/>
        <v>0</v>
      </c>
      <c r="BF361" s="49">
        <f t="shared" ca="1" si="96"/>
        <v>0</v>
      </c>
      <c r="BG361" s="49">
        <f t="shared" ca="1" si="96"/>
        <v>0</v>
      </c>
      <c r="BH361" s="49">
        <f t="shared" ca="1" si="96"/>
        <v>0</v>
      </c>
      <c r="BI361" s="49">
        <f t="shared" ca="1" si="96"/>
        <v>0</v>
      </c>
      <c r="BJ361" s="49">
        <f t="shared" ca="1" si="96"/>
        <v>0</v>
      </c>
      <c r="BK361" s="49">
        <f t="shared" ca="1" si="96"/>
        <v>0</v>
      </c>
      <c r="BL361" s="49">
        <f t="shared" ca="1" si="96"/>
        <v>0</v>
      </c>
      <c r="BM361" s="49">
        <f t="shared" ca="1" si="96"/>
        <v>0</v>
      </c>
      <c r="BN361" s="49">
        <f t="shared" ca="1" si="96"/>
        <v>0</v>
      </c>
      <c r="BO361" s="49">
        <f t="shared" ca="1" si="96"/>
        <v>0</v>
      </c>
      <c r="BP361" s="49">
        <f t="shared" ca="1" si="96"/>
        <v>0</v>
      </c>
      <c r="BQ361" s="49">
        <f t="shared" ca="1" si="96"/>
        <v>0</v>
      </c>
      <c r="BR361" s="49">
        <f t="shared" ca="1" si="96"/>
        <v>0</v>
      </c>
      <c r="BS361" s="49">
        <f t="shared" ca="1" si="96"/>
        <v>0</v>
      </c>
    </row>
    <row r="362" spans="3:71" outlineLevel="1" x14ac:dyDescent="0.2">
      <c r="J362" s="26"/>
      <c r="L362" s="55"/>
      <c r="M362" s="55"/>
      <c r="N362" s="55"/>
      <c r="O362" s="55"/>
      <c r="P362" s="55"/>
      <c r="Q362" s="55"/>
      <c r="R362" s="55"/>
      <c r="S362" s="55"/>
      <c r="T362" s="55"/>
      <c r="U362" s="55"/>
      <c r="V362" s="55"/>
      <c r="W362" s="55"/>
      <c r="X362" s="55"/>
      <c r="Y362" s="55"/>
      <c r="Z362" s="55"/>
      <c r="AA362" s="55"/>
      <c r="AB362" s="55"/>
      <c r="AC362" s="55"/>
      <c r="AD362" s="55"/>
      <c r="AE362" s="55"/>
      <c r="AF362" s="55"/>
      <c r="AG362" s="55"/>
      <c r="AH362" s="55"/>
      <c r="AI362" s="55"/>
      <c r="AJ362" s="55"/>
      <c r="AK362" s="55"/>
      <c r="AL362" s="55"/>
      <c r="AM362" s="55"/>
      <c r="AN362" s="55"/>
      <c r="AO362" s="55"/>
      <c r="AP362" s="55"/>
      <c r="AQ362" s="55"/>
      <c r="AR362" s="55"/>
      <c r="AS362" s="55"/>
      <c r="AT362" s="55"/>
      <c r="AU362" s="55"/>
      <c r="AV362" s="55"/>
      <c r="AW362" s="55"/>
      <c r="AX362" s="55"/>
      <c r="AY362" s="55"/>
      <c r="AZ362" s="55"/>
      <c r="BA362" s="55"/>
      <c r="BB362" s="55"/>
      <c r="BC362" s="55"/>
      <c r="BD362" s="55"/>
      <c r="BE362" s="55"/>
      <c r="BF362" s="55"/>
      <c r="BG362" s="55"/>
      <c r="BH362" s="55"/>
      <c r="BI362" s="55"/>
      <c r="BJ362" s="55"/>
      <c r="BK362" s="55"/>
      <c r="BL362" s="55"/>
      <c r="BM362" s="55"/>
      <c r="BN362" s="55"/>
      <c r="BO362" s="55"/>
      <c r="BP362" s="55"/>
      <c r="BQ362" s="55"/>
      <c r="BR362" s="55"/>
      <c r="BS362" s="55"/>
    </row>
    <row r="363" spans="3:71" outlineLevel="1" x14ac:dyDescent="0.2">
      <c r="C363" s="11" t="str">
        <f>HM_ZA_Nkossa!C352</f>
        <v>Volumes de droits selon participation - Gaz</v>
      </c>
      <c r="J363" s="26"/>
      <c r="L363" s="55"/>
      <c r="M363" s="55"/>
      <c r="N363" s="55"/>
      <c r="O363" s="55"/>
      <c r="P363" s="55"/>
      <c r="Q363" s="55"/>
      <c r="R363" s="55"/>
      <c r="S363" s="55"/>
      <c r="T363" s="55"/>
      <c r="U363" s="55"/>
      <c r="V363" s="55"/>
      <c r="W363" s="55"/>
      <c r="X363" s="55"/>
      <c r="Y363" s="55"/>
      <c r="Z363" s="55"/>
      <c r="AA363" s="55"/>
      <c r="AB363" s="55"/>
      <c r="AC363" s="55"/>
      <c r="AD363" s="55"/>
      <c r="AE363" s="55"/>
      <c r="AF363" s="55"/>
      <c r="AG363" s="55"/>
      <c r="AH363" s="55"/>
      <c r="AI363" s="55"/>
      <c r="AJ363" s="55"/>
      <c r="AK363" s="55"/>
      <c r="AL363" s="55"/>
      <c r="AM363" s="55"/>
      <c r="AN363" s="55"/>
      <c r="AO363" s="55"/>
      <c r="AP363" s="55"/>
      <c r="AQ363" s="55"/>
      <c r="AR363" s="55"/>
      <c r="AS363" s="55"/>
      <c r="AT363" s="55"/>
      <c r="AU363" s="55"/>
      <c r="AV363" s="55"/>
      <c r="AW363" s="55"/>
      <c r="AX363" s="55"/>
      <c r="AY363" s="55"/>
      <c r="AZ363" s="55"/>
      <c r="BA363" s="55"/>
      <c r="BB363" s="55"/>
      <c r="BC363" s="55"/>
      <c r="BD363" s="55"/>
      <c r="BE363" s="55"/>
      <c r="BF363" s="55"/>
      <c r="BG363" s="55"/>
      <c r="BH363" s="55"/>
      <c r="BI363" s="55"/>
      <c r="BJ363" s="55"/>
      <c r="BK363" s="55"/>
      <c r="BL363" s="55"/>
      <c r="BM363" s="55"/>
      <c r="BN363" s="55"/>
      <c r="BO363" s="55"/>
      <c r="BP363" s="55"/>
      <c r="BQ363" s="55"/>
      <c r="BR363" s="55"/>
      <c r="BS363" s="55"/>
    </row>
    <row r="364" spans="3:71" outlineLevel="1" x14ac:dyDescent="0.2">
      <c r="D364" t="str">
        <f>HM_ZA_Nkossa!D353</f>
        <v>Consortium compagnie pétrolières internationales</v>
      </c>
      <c r="I364" s="30">
        <f t="shared" ref="I364:I366" ca="1" si="97">SUM($L364:$BS364)</f>
        <v>0</v>
      </c>
      <c r="J364" s="26" t="s">
        <v>148</v>
      </c>
      <c r="L364" s="49">
        <f ca="1">L341*HM_ZB_Nsoko!CA_IOC_WI</f>
        <v>0</v>
      </c>
      <c r="M364" s="49">
        <f ca="1">M341*HM_ZB_Nsoko!CA_IOC_WI</f>
        <v>0</v>
      </c>
      <c r="N364" s="49">
        <f ca="1">N341*HM_ZB_Nsoko!CA_IOC_WI</f>
        <v>0</v>
      </c>
      <c r="O364" s="49">
        <f ca="1">O341*HM_ZB_Nsoko!CA_IOC_WI</f>
        <v>0</v>
      </c>
      <c r="P364" s="49">
        <f ca="1">P341*HM_ZB_Nsoko!CA_IOC_WI</f>
        <v>0</v>
      </c>
      <c r="Q364" s="49">
        <f ca="1">Q341*HM_ZB_Nsoko!CA_IOC_WI</f>
        <v>0</v>
      </c>
      <c r="R364" s="49">
        <f ca="1">R341*HM_ZB_Nsoko!CA_IOC_WI</f>
        <v>0</v>
      </c>
      <c r="S364" s="49">
        <f ca="1">S341*HM_ZB_Nsoko!CA_IOC_WI</f>
        <v>0</v>
      </c>
      <c r="T364" s="49">
        <f ca="1">T341*HM_ZB_Nsoko!CA_IOC_WI</f>
        <v>0</v>
      </c>
      <c r="U364" s="49">
        <f ca="1">U341*HM_ZB_Nsoko!CA_IOC_WI</f>
        <v>0</v>
      </c>
      <c r="V364" s="49">
        <f ca="1">V341*HM_ZB_Nsoko!CA_IOC_WI</f>
        <v>0</v>
      </c>
      <c r="W364" s="49">
        <f ca="1">W341*HM_ZB_Nsoko!CA_IOC_WI</f>
        <v>0</v>
      </c>
      <c r="X364" s="49">
        <f ca="1">X341*HM_ZB_Nsoko!CA_IOC_WI</f>
        <v>0</v>
      </c>
      <c r="Y364" s="49">
        <f ca="1">Y341*HM_ZB_Nsoko!CA_IOC_WI</f>
        <v>0</v>
      </c>
      <c r="Z364" s="49">
        <f ca="1">Z341*HM_ZB_Nsoko!CA_IOC_WI</f>
        <v>0</v>
      </c>
      <c r="AA364" s="49">
        <f ca="1">AA341*HM_ZB_Nsoko!CA_IOC_WI</f>
        <v>0</v>
      </c>
      <c r="AB364" s="49">
        <f ca="1">AB341*HM_ZB_Nsoko!CA_IOC_WI</f>
        <v>0</v>
      </c>
      <c r="AC364" s="49">
        <f ca="1">AC341*HM_ZB_Nsoko!CA_IOC_WI</f>
        <v>0</v>
      </c>
      <c r="AD364" s="49">
        <f ca="1">AD341*HM_ZB_Nsoko!CA_IOC_WI</f>
        <v>0</v>
      </c>
      <c r="AE364" s="49">
        <f ca="1">AE341*HM_ZB_Nsoko!CA_IOC_WI</f>
        <v>0</v>
      </c>
      <c r="AF364" s="49">
        <f ca="1">AF341*HM_ZB_Nsoko!CA_IOC_WI</f>
        <v>0</v>
      </c>
      <c r="AG364" s="49">
        <f ca="1">AG341*HM_ZB_Nsoko!CA_IOC_WI</f>
        <v>0</v>
      </c>
      <c r="AH364" s="49">
        <f ca="1">AH341*HM_ZB_Nsoko!CA_IOC_WI</f>
        <v>0</v>
      </c>
      <c r="AI364" s="49">
        <f ca="1">AI341*HM_ZB_Nsoko!CA_IOC_WI</f>
        <v>0</v>
      </c>
      <c r="AJ364" s="49">
        <f ca="1">AJ341*HM_ZB_Nsoko!CA_IOC_WI</f>
        <v>0</v>
      </c>
      <c r="AK364" s="49">
        <f ca="1">AK341*HM_ZB_Nsoko!CA_IOC_WI</f>
        <v>0</v>
      </c>
      <c r="AL364" s="49">
        <f ca="1">AL341*HM_ZB_Nsoko!CA_IOC_WI</f>
        <v>0</v>
      </c>
      <c r="AM364" s="49">
        <f ca="1">AM341*HM_ZB_Nsoko!CA_IOC_WI</f>
        <v>0</v>
      </c>
      <c r="AN364" s="49">
        <f ca="1">AN341*HM_ZB_Nsoko!CA_IOC_WI</f>
        <v>0</v>
      </c>
      <c r="AO364" s="49">
        <f ca="1">AO341*HM_ZB_Nsoko!CA_IOC_WI</f>
        <v>0</v>
      </c>
      <c r="AP364" s="49">
        <f ca="1">AP341*HM_ZB_Nsoko!CA_IOC_WI</f>
        <v>0</v>
      </c>
      <c r="AQ364" s="49">
        <f ca="1">AQ341*HM_ZB_Nsoko!CA_IOC_WI</f>
        <v>0</v>
      </c>
      <c r="AR364" s="49">
        <f ca="1">AR341*HM_ZB_Nsoko!CA_IOC_WI</f>
        <v>0</v>
      </c>
      <c r="AS364" s="49">
        <f ca="1">AS341*HM_ZB_Nsoko!CA_IOC_WI</f>
        <v>0</v>
      </c>
      <c r="AT364" s="49">
        <f ca="1">AT341*HM_ZB_Nsoko!CA_IOC_WI</f>
        <v>0</v>
      </c>
      <c r="AU364" s="49">
        <f ca="1">AU341*HM_ZB_Nsoko!CA_IOC_WI</f>
        <v>0</v>
      </c>
      <c r="AV364" s="49">
        <f ca="1">AV341*HM_ZB_Nsoko!CA_IOC_WI</f>
        <v>0</v>
      </c>
      <c r="AW364" s="49">
        <f ca="1">AW341*HM_ZB_Nsoko!CA_IOC_WI</f>
        <v>0</v>
      </c>
      <c r="AX364" s="49">
        <f ca="1">AX341*HM_ZB_Nsoko!CA_IOC_WI</f>
        <v>0</v>
      </c>
      <c r="AY364" s="49">
        <f ca="1">AY341*HM_ZB_Nsoko!CA_IOC_WI</f>
        <v>0</v>
      </c>
      <c r="AZ364" s="49">
        <f ca="1">AZ341*HM_ZB_Nsoko!CA_IOC_WI</f>
        <v>0</v>
      </c>
      <c r="BA364" s="49">
        <f ca="1">BA341*HM_ZB_Nsoko!CA_IOC_WI</f>
        <v>0</v>
      </c>
      <c r="BB364" s="49">
        <f ca="1">BB341*HM_ZB_Nsoko!CA_IOC_WI</f>
        <v>0</v>
      </c>
      <c r="BC364" s="49">
        <f ca="1">BC341*HM_ZB_Nsoko!CA_IOC_WI</f>
        <v>0</v>
      </c>
      <c r="BD364" s="49">
        <f ca="1">BD341*HM_ZB_Nsoko!CA_IOC_WI</f>
        <v>0</v>
      </c>
      <c r="BE364" s="49">
        <f ca="1">BE341*HM_ZB_Nsoko!CA_IOC_WI</f>
        <v>0</v>
      </c>
      <c r="BF364" s="49">
        <f ca="1">BF341*HM_ZB_Nsoko!CA_IOC_WI</f>
        <v>0</v>
      </c>
      <c r="BG364" s="49">
        <f ca="1">BG341*HM_ZB_Nsoko!CA_IOC_WI</f>
        <v>0</v>
      </c>
      <c r="BH364" s="49">
        <f ca="1">BH341*HM_ZB_Nsoko!CA_IOC_WI</f>
        <v>0</v>
      </c>
      <c r="BI364" s="49">
        <f ca="1">BI341*HM_ZB_Nsoko!CA_IOC_WI</f>
        <v>0</v>
      </c>
      <c r="BJ364" s="49">
        <f ca="1">BJ341*HM_ZB_Nsoko!CA_IOC_WI</f>
        <v>0</v>
      </c>
      <c r="BK364" s="49">
        <f ca="1">BK341*HM_ZB_Nsoko!CA_IOC_WI</f>
        <v>0</v>
      </c>
      <c r="BL364" s="49">
        <f ca="1">BL341*HM_ZB_Nsoko!CA_IOC_WI</f>
        <v>0</v>
      </c>
      <c r="BM364" s="49">
        <f ca="1">BM341*HM_ZB_Nsoko!CA_IOC_WI</f>
        <v>0</v>
      </c>
      <c r="BN364" s="49">
        <f ca="1">BN341*HM_ZB_Nsoko!CA_IOC_WI</f>
        <v>0</v>
      </c>
      <c r="BO364" s="49">
        <f ca="1">BO341*HM_ZB_Nsoko!CA_IOC_WI</f>
        <v>0</v>
      </c>
      <c r="BP364" s="49">
        <f ca="1">BP341*HM_ZB_Nsoko!CA_IOC_WI</f>
        <v>0</v>
      </c>
      <c r="BQ364" s="49">
        <f ca="1">BQ341*HM_ZB_Nsoko!CA_IOC_WI</f>
        <v>0</v>
      </c>
      <c r="BR364" s="49">
        <f ca="1">BR341*HM_ZB_Nsoko!CA_IOC_WI</f>
        <v>0</v>
      </c>
      <c r="BS364" s="49">
        <f ca="1">BS341*HM_ZB_Nsoko!CA_IOC_WI</f>
        <v>0</v>
      </c>
    </row>
    <row r="365" spans="3:71" outlineLevel="1" x14ac:dyDescent="0.2">
      <c r="D365" t="str">
        <f>HM_ZA_Nkossa!D354</f>
        <v>Participation compagnie nationale/État</v>
      </c>
      <c r="I365" s="30">
        <f t="shared" ca="1" si="97"/>
        <v>0</v>
      </c>
      <c r="J365" s="26" t="s">
        <v>148</v>
      </c>
      <c r="L365" s="49">
        <f ca="1">L341*HM_ZB_Nsoko!CA_NOC_WI</f>
        <v>0</v>
      </c>
      <c r="M365" s="49">
        <f ca="1">M341*HM_ZB_Nsoko!CA_NOC_WI</f>
        <v>0</v>
      </c>
      <c r="N365" s="49">
        <f ca="1">N341*HM_ZB_Nsoko!CA_NOC_WI</f>
        <v>0</v>
      </c>
      <c r="O365" s="49">
        <f ca="1">O341*HM_ZB_Nsoko!CA_NOC_WI</f>
        <v>0</v>
      </c>
      <c r="P365" s="49">
        <f ca="1">P341*HM_ZB_Nsoko!CA_NOC_WI</f>
        <v>0</v>
      </c>
      <c r="Q365" s="49">
        <f ca="1">Q341*HM_ZB_Nsoko!CA_NOC_WI</f>
        <v>0</v>
      </c>
      <c r="R365" s="49">
        <f ca="1">R341*HM_ZB_Nsoko!CA_NOC_WI</f>
        <v>0</v>
      </c>
      <c r="S365" s="49">
        <f ca="1">S341*HM_ZB_Nsoko!CA_NOC_WI</f>
        <v>0</v>
      </c>
      <c r="T365" s="49">
        <f ca="1">T341*HM_ZB_Nsoko!CA_NOC_WI</f>
        <v>0</v>
      </c>
      <c r="U365" s="49">
        <f ca="1">U341*HM_ZB_Nsoko!CA_NOC_WI</f>
        <v>0</v>
      </c>
      <c r="V365" s="49">
        <f ca="1">V341*HM_ZB_Nsoko!CA_NOC_WI</f>
        <v>0</v>
      </c>
      <c r="W365" s="49">
        <f ca="1">W341*HM_ZB_Nsoko!CA_NOC_WI</f>
        <v>0</v>
      </c>
      <c r="X365" s="49">
        <f ca="1">X341*HM_ZB_Nsoko!CA_NOC_WI</f>
        <v>0</v>
      </c>
      <c r="Y365" s="49">
        <f ca="1">Y341*HM_ZB_Nsoko!CA_NOC_WI</f>
        <v>0</v>
      </c>
      <c r="Z365" s="49">
        <f ca="1">Z341*HM_ZB_Nsoko!CA_NOC_WI</f>
        <v>0</v>
      </c>
      <c r="AA365" s="49">
        <f ca="1">AA341*HM_ZB_Nsoko!CA_NOC_WI</f>
        <v>0</v>
      </c>
      <c r="AB365" s="49">
        <f ca="1">AB341*HM_ZB_Nsoko!CA_NOC_WI</f>
        <v>0</v>
      </c>
      <c r="AC365" s="49">
        <f ca="1">AC341*HM_ZB_Nsoko!CA_NOC_WI</f>
        <v>0</v>
      </c>
      <c r="AD365" s="49">
        <f ca="1">AD341*HM_ZB_Nsoko!CA_NOC_WI</f>
        <v>0</v>
      </c>
      <c r="AE365" s="49">
        <f ca="1">AE341*HM_ZB_Nsoko!CA_NOC_WI</f>
        <v>0</v>
      </c>
      <c r="AF365" s="49">
        <f ca="1">AF341*HM_ZB_Nsoko!CA_NOC_WI</f>
        <v>0</v>
      </c>
      <c r="AG365" s="49">
        <f ca="1">AG341*HM_ZB_Nsoko!CA_NOC_WI</f>
        <v>0</v>
      </c>
      <c r="AH365" s="49">
        <f ca="1">AH341*HM_ZB_Nsoko!CA_NOC_WI</f>
        <v>0</v>
      </c>
      <c r="AI365" s="49">
        <f ca="1">AI341*HM_ZB_Nsoko!CA_NOC_WI</f>
        <v>0</v>
      </c>
      <c r="AJ365" s="49">
        <f ca="1">AJ341*HM_ZB_Nsoko!CA_NOC_WI</f>
        <v>0</v>
      </c>
      <c r="AK365" s="49">
        <f ca="1">AK341*HM_ZB_Nsoko!CA_NOC_WI</f>
        <v>0</v>
      </c>
      <c r="AL365" s="49">
        <f ca="1">AL341*HM_ZB_Nsoko!CA_NOC_WI</f>
        <v>0</v>
      </c>
      <c r="AM365" s="49">
        <f ca="1">AM341*HM_ZB_Nsoko!CA_NOC_WI</f>
        <v>0</v>
      </c>
      <c r="AN365" s="49">
        <f ca="1">AN341*HM_ZB_Nsoko!CA_NOC_WI</f>
        <v>0</v>
      </c>
      <c r="AO365" s="49">
        <f ca="1">AO341*HM_ZB_Nsoko!CA_NOC_WI</f>
        <v>0</v>
      </c>
      <c r="AP365" s="49">
        <f ca="1">AP341*HM_ZB_Nsoko!CA_NOC_WI</f>
        <v>0</v>
      </c>
      <c r="AQ365" s="49">
        <f ca="1">AQ341*HM_ZB_Nsoko!CA_NOC_WI</f>
        <v>0</v>
      </c>
      <c r="AR365" s="49">
        <f ca="1">AR341*HM_ZB_Nsoko!CA_NOC_WI</f>
        <v>0</v>
      </c>
      <c r="AS365" s="49">
        <f ca="1">AS341*HM_ZB_Nsoko!CA_NOC_WI</f>
        <v>0</v>
      </c>
      <c r="AT365" s="49">
        <f ca="1">AT341*HM_ZB_Nsoko!CA_NOC_WI</f>
        <v>0</v>
      </c>
      <c r="AU365" s="49">
        <f ca="1">AU341*HM_ZB_Nsoko!CA_NOC_WI</f>
        <v>0</v>
      </c>
      <c r="AV365" s="49">
        <f ca="1">AV341*HM_ZB_Nsoko!CA_NOC_WI</f>
        <v>0</v>
      </c>
      <c r="AW365" s="49">
        <f ca="1">AW341*HM_ZB_Nsoko!CA_NOC_WI</f>
        <v>0</v>
      </c>
      <c r="AX365" s="49">
        <f ca="1">AX341*HM_ZB_Nsoko!CA_NOC_WI</f>
        <v>0</v>
      </c>
      <c r="AY365" s="49">
        <f ca="1">AY341*HM_ZB_Nsoko!CA_NOC_WI</f>
        <v>0</v>
      </c>
      <c r="AZ365" s="49">
        <f ca="1">AZ341*HM_ZB_Nsoko!CA_NOC_WI</f>
        <v>0</v>
      </c>
      <c r="BA365" s="49">
        <f ca="1">BA341*HM_ZB_Nsoko!CA_NOC_WI</f>
        <v>0</v>
      </c>
      <c r="BB365" s="49">
        <f ca="1">BB341*HM_ZB_Nsoko!CA_NOC_WI</f>
        <v>0</v>
      </c>
      <c r="BC365" s="49">
        <f ca="1">BC341*HM_ZB_Nsoko!CA_NOC_WI</f>
        <v>0</v>
      </c>
      <c r="BD365" s="49">
        <f ca="1">BD341*HM_ZB_Nsoko!CA_NOC_WI</f>
        <v>0</v>
      </c>
      <c r="BE365" s="49">
        <f ca="1">BE341*HM_ZB_Nsoko!CA_NOC_WI</f>
        <v>0</v>
      </c>
      <c r="BF365" s="49">
        <f ca="1">BF341*HM_ZB_Nsoko!CA_NOC_WI</f>
        <v>0</v>
      </c>
      <c r="BG365" s="49">
        <f ca="1">BG341*HM_ZB_Nsoko!CA_NOC_WI</f>
        <v>0</v>
      </c>
      <c r="BH365" s="49">
        <f ca="1">BH341*HM_ZB_Nsoko!CA_NOC_WI</f>
        <v>0</v>
      </c>
      <c r="BI365" s="49">
        <f ca="1">BI341*HM_ZB_Nsoko!CA_NOC_WI</f>
        <v>0</v>
      </c>
      <c r="BJ365" s="49">
        <f ca="1">BJ341*HM_ZB_Nsoko!CA_NOC_WI</f>
        <v>0</v>
      </c>
      <c r="BK365" s="49">
        <f ca="1">BK341*HM_ZB_Nsoko!CA_NOC_WI</f>
        <v>0</v>
      </c>
      <c r="BL365" s="49">
        <f ca="1">BL341*HM_ZB_Nsoko!CA_NOC_WI</f>
        <v>0</v>
      </c>
      <c r="BM365" s="49">
        <f ca="1">BM341*HM_ZB_Nsoko!CA_NOC_WI</f>
        <v>0</v>
      </c>
      <c r="BN365" s="49">
        <f ca="1">BN341*HM_ZB_Nsoko!CA_NOC_WI</f>
        <v>0</v>
      </c>
      <c r="BO365" s="49">
        <f ca="1">BO341*HM_ZB_Nsoko!CA_NOC_WI</f>
        <v>0</v>
      </c>
      <c r="BP365" s="49">
        <f ca="1">BP341*HM_ZB_Nsoko!CA_NOC_WI</f>
        <v>0</v>
      </c>
      <c r="BQ365" s="49">
        <f ca="1">BQ341*HM_ZB_Nsoko!CA_NOC_WI</f>
        <v>0</v>
      </c>
      <c r="BR365" s="49">
        <f ca="1">BR341*HM_ZB_Nsoko!CA_NOC_WI</f>
        <v>0</v>
      </c>
      <c r="BS365" s="49">
        <f ca="1">BS341*HM_ZB_Nsoko!CA_NOC_WI</f>
        <v>0</v>
      </c>
    </row>
    <row r="366" spans="3:71" outlineLevel="1" x14ac:dyDescent="0.2">
      <c r="D366" s="11" t="str">
        <f>HM_ZA_Nkossa!D355</f>
        <v>Total</v>
      </c>
      <c r="I366" s="30">
        <f t="shared" ca="1" si="97"/>
        <v>0</v>
      </c>
      <c r="J366" s="26" t="s">
        <v>148</v>
      </c>
      <c r="L366" s="49">
        <f ca="1">SUM(L364:L365)</f>
        <v>0</v>
      </c>
      <c r="M366" s="49">
        <f t="shared" ref="M366:BS366" ca="1" si="98">SUM(M364:M365)</f>
        <v>0</v>
      </c>
      <c r="N366" s="49">
        <f t="shared" ca="1" si="98"/>
        <v>0</v>
      </c>
      <c r="O366" s="49">
        <f t="shared" ca="1" si="98"/>
        <v>0</v>
      </c>
      <c r="P366" s="49">
        <f t="shared" ca="1" si="98"/>
        <v>0</v>
      </c>
      <c r="Q366" s="49">
        <f t="shared" ca="1" si="98"/>
        <v>0</v>
      </c>
      <c r="R366" s="49">
        <f t="shared" ca="1" si="98"/>
        <v>0</v>
      </c>
      <c r="S366" s="49">
        <f t="shared" ca="1" si="98"/>
        <v>0</v>
      </c>
      <c r="T366" s="49">
        <f t="shared" ca="1" si="98"/>
        <v>0</v>
      </c>
      <c r="U366" s="49">
        <f t="shared" ca="1" si="98"/>
        <v>0</v>
      </c>
      <c r="V366" s="49">
        <f t="shared" ca="1" si="98"/>
        <v>0</v>
      </c>
      <c r="W366" s="49">
        <f t="shared" ca="1" si="98"/>
        <v>0</v>
      </c>
      <c r="X366" s="49">
        <f t="shared" ca="1" si="98"/>
        <v>0</v>
      </c>
      <c r="Y366" s="49">
        <f t="shared" ca="1" si="98"/>
        <v>0</v>
      </c>
      <c r="Z366" s="49">
        <f t="shared" ca="1" si="98"/>
        <v>0</v>
      </c>
      <c r="AA366" s="49">
        <f t="shared" ca="1" si="98"/>
        <v>0</v>
      </c>
      <c r="AB366" s="49">
        <f t="shared" ca="1" si="98"/>
        <v>0</v>
      </c>
      <c r="AC366" s="49">
        <f t="shared" ca="1" si="98"/>
        <v>0</v>
      </c>
      <c r="AD366" s="49">
        <f t="shared" ca="1" si="98"/>
        <v>0</v>
      </c>
      <c r="AE366" s="49">
        <f t="shared" ca="1" si="98"/>
        <v>0</v>
      </c>
      <c r="AF366" s="49">
        <f t="shared" ca="1" si="98"/>
        <v>0</v>
      </c>
      <c r="AG366" s="49">
        <f t="shared" ca="1" si="98"/>
        <v>0</v>
      </c>
      <c r="AH366" s="49">
        <f t="shared" ca="1" si="98"/>
        <v>0</v>
      </c>
      <c r="AI366" s="49">
        <f t="shared" ca="1" si="98"/>
        <v>0</v>
      </c>
      <c r="AJ366" s="49">
        <f t="shared" ca="1" si="98"/>
        <v>0</v>
      </c>
      <c r="AK366" s="49">
        <f t="shared" ca="1" si="98"/>
        <v>0</v>
      </c>
      <c r="AL366" s="49">
        <f t="shared" ca="1" si="98"/>
        <v>0</v>
      </c>
      <c r="AM366" s="49">
        <f t="shared" ca="1" si="98"/>
        <v>0</v>
      </c>
      <c r="AN366" s="49">
        <f t="shared" ca="1" si="98"/>
        <v>0</v>
      </c>
      <c r="AO366" s="49">
        <f t="shared" ca="1" si="98"/>
        <v>0</v>
      </c>
      <c r="AP366" s="49">
        <f t="shared" ca="1" si="98"/>
        <v>0</v>
      </c>
      <c r="AQ366" s="49">
        <f t="shared" ca="1" si="98"/>
        <v>0</v>
      </c>
      <c r="AR366" s="49">
        <f t="shared" ca="1" si="98"/>
        <v>0</v>
      </c>
      <c r="AS366" s="49">
        <f t="shared" ca="1" si="98"/>
        <v>0</v>
      </c>
      <c r="AT366" s="49">
        <f t="shared" ca="1" si="98"/>
        <v>0</v>
      </c>
      <c r="AU366" s="49">
        <f t="shared" ca="1" si="98"/>
        <v>0</v>
      </c>
      <c r="AV366" s="49">
        <f t="shared" ca="1" si="98"/>
        <v>0</v>
      </c>
      <c r="AW366" s="49">
        <f t="shared" ca="1" si="98"/>
        <v>0</v>
      </c>
      <c r="AX366" s="49">
        <f t="shared" ca="1" si="98"/>
        <v>0</v>
      </c>
      <c r="AY366" s="49">
        <f t="shared" ca="1" si="98"/>
        <v>0</v>
      </c>
      <c r="AZ366" s="49">
        <f t="shared" ca="1" si="98"/>
        <v>0</v>
      </c>
      <c r="BA366" s="49">
        <f t="shared" ca="1" si="98"/>
        <v>0</v>
      </c>
      <c r="BB366" s="49">
        <f t="shared" ca="1" si="98"/>
        <v>0</v>
      </c>
      <c r="BC366" s="49">
        <f t="shared" ca="1" si="98"/>
        <v>0</v>
      </c>
      <c r="BD366" s="49">
        <f t="shared" ca="1" si="98"/>
        <v>0</v>
      </c>
      <c r="BE366" s="49">
        <f t="shared" ca="1" si="98"/>
        <v>0</v>
      </c>
      <c r="BF366" s="49">
        <f t="shared" ca="1" si="98"/>
        <v>0</v>
      </c>
      <c r="BG366" s="49">
        <f t="shared" ca="1" si="98"/>
        <v>0</v>
      </c>
      <c r="BH366" s="49">
        <f t="shared" ca="1" si="98"/>
        <v>0</v>
      </c>
      <c r="BI366" s="49">
        <f t="shared" ca="1" si="98"/>
        <v>0</v>
      </c>
      <c r="BJ366" s="49">
        <f t="shared" ca="1" si="98"/>
        <v>0</v>
      </c>
      <c r="BK366" s="49">
        <f t="shared" ca="1" si="98"/>
        <v>0</v>
      </c>
      <c r="BL366" s="49">
        <f t="shared" ca="1" si="98"/>
        <v>0</v>
      </c>
      <c r="BM366" s="49">
        <f t="shared" ca="1" si="98"/>
        <v>0</v>
      </c>
      <c r="BN366" s="49">
        <f t="shared" ca="1" si="98"/>
        <v>0</v>
      </c>
      <c r="BO366" s="49">
        <f t="shared" ca="1" si="98"/>
        <v>0</v>
      </c>
      <c r="BP366" s="49">
        <f t="shared" ca="1" si="98"/>
        <v>0</v>
      </c>
      <c r="BQ366" s="49">
        <f t="shared" ca="1" si="98"/>
        <v>0</v>
      </c>
      <c r="BR366" s="49">
        <f t="shared" ca="1" si="98"/>
        <v>0</v>
      </c>
      <c r="BS366" s="49">
        <f t="shared" ca="1" si="98"/>
        <v>0</v>
      </c>
    </row>
    <row r="367" spans="3:71" outlineLevel="1" x14ac:dyDescent="0.2">
      <c r="J367" s="26"/>
      <c r="L367" s="55"/>
      <c r="M367" s="55"/>
      <c r="N367" s="55"/>
      <c r="O367" s="55"/>
      <c r="P367" s="55"/>
      <c r="Q367" s="55"/>
      <c r="R367" s="55"/>
      <c r="S367" s="55"/>
      <c r="T367" s="55"/>
      <c r="U367" s="55"/>
      <c r="V367" s="55"/>
      <c r="W367" s="55"/>
      <c r="X367" s="55"/>
      <c r="Y367" s="55"/>
      <c r="Z367" s="55"/>
      <c r="AA367" s="55"/>
      <c r="AB367" s="55"/>
      <c r="AC367" s="55"/>
      <c r="AD367" s="55"/>
      <c r="AE367" s="55"/>
      <c r="AF367" s="55"/>
      <c r="AG367" s="55"/>
      <c r="AH367" s="55"/>
      <c r="AI367" s="55"/>
      <c r="AJ367" s="55"/>
      <c r="AK367" s="55"/>
      <c r="AL367" s="55"/>
      <c r="AM367" s="55"/>
      <c r="AN367" s="55"/>
      <c r="AO367" s="55"/>
      <c r="AP367" s="55"/>
      <c r="AQ367" s="55"/>
      <c r="AR367" s="55"/>
      <c r="AS367" s="55"/>
      <c r="AT367" s="55"/>
      <c r="AU367" s="55"/>
      <c r="AV367" s="55"/>
      <c r="AW367" s="55"/>
      <c r="AX367" s="55"/>
      <c r="AY367" s="55"/>
      <c r="AZ367" s="55"/>
      <c r="BA367" s="55"/>
      <c r="BB367" s="55"/>
      <c r="BC367" s="55"/>
      <c r="BD367" s="55"/>
      <c r="BE367" s="55"/>
      <c r="BF367" s="55"/>
      <c r="BG367" s="55"/>
      <c r="BH367" s="55"/>
      <c r="BI367" s="55"/>
      <c r="BJ367" s="55"/>
      <c r="BK367" s="55"/>
      <c r="BL367" s="55"/>
      <c r="BM367" s="55"/>
      <c r="BN367" s="55"/>
      <c r="BO367" s="55"/>
      <c r="BP367" s="55"/>
      <c r="BQ367" s="55"/>
      <c r="BR367" s="55"/>
      <c r="BS367" s="55"/>
    </row>
    <row r="368" spans="3:71" outlineLevel="1" x14ac:dyDescent="0.2">
      <c r="J368" s="26"/>
      <c r="L368" s="55"/>
      <c r="M368" s="55"/>
      <c r="N368" s="55"/>
      <c r="O368" s="55"/>
      <c r="P368" s="55"/>
      <c r="Q368" s="55"/>
      <c r="R368" s="55"/>
      <c r="S368" s="55"/>
      <c r="T368" s="55"/>
      <c r="U368" s="55"/>
      <c r="V368" s="55"/>
      <c r="W368" s="55"/>
      <c r="X368" s="55"/>
      <c r="Y368" s="55"/>
      <c r="Z368" s="55"/>
      <c r="AA368" s="55"/>
      <c r="AB368" s="55"/>
      <c r="AC368" s="55"/>
      <c r="AD368" s="55"/>
      <c r="AE368" s="55"/>
      <c r="AF368" s="55"/>
      <c r="AG368" s="55"/>
      <c r="AH368" s="55"/>
      <c r="AI368" s="55"/>
      <c r="AJ368" s="55"/>
      <c r="AK368" s="55"/>
      <c r="AL368" s="55"/>
      <c r="AM368" s="55"/>
      <c r="AN368" s="55"/>
      <c r="AO368" s="55"/>
      <c r="AP368" s="55"/>
      <c r="AQ368" s="55"/>
      <c r="AR368" s="55"/>
      <c r="AS368" s="55"/>
      <c r="AT368" s="55"/>
      <c r="AU368" s="55"/>
      <c r="AV368" s="55"/>
      <c r="AW368" s="55"/>
      <c r="AX368" s="55"/>
      <c r="AY368" s="55"/>
      <c r="AZ368" s="55"/>
      <c r="BA368" s="55"/>
      <c r="BB368" s="55"/>
      <c r="BC368" s="55"/>
      <c r="BD368" s="55"/>
      <c r="BE368" s="55"/>
      <c r="BF368" s="55"/>
      <c r="BG368" s="55"/>
      <c r="BH368" s="55"/>
      <c r="BI368" s="55"/>
      <c r="BJ368" s="55"/>
      <c r="BK368" s="55"/>
      <c r="BL368" s="55"/>
      <c r="BM368" s="55"/>
      <c r="BN368" s="55"/>
      <c r="BO368" s="55"/>
      <c r="BP368" s="55"/>
      <c r="BQ368" s="55"/>
      <c r="BR368" s="55"/>
      <c r="BS368" s="55"/>
    </row>
    <row r="369" spans="1:71" outlineLevel="1" x14ac:dyDescent="0.2">
      <c r="J369" s="26"/>
      <c r="L369" s="55"/>
      <c r="M369" s="55"/>
      <c r="N369" s="55"/>
      <c r="O369" s="55"/>
      <c r="P369" s="55"/>
      <c r="Q369" s="55"/>
      <c r="R369" s="55"/>
      <c r="S369" s="55"/>
      <c r="T369" s="55"/>
      <c r="U369" s="55"/>
      <c r="V369" s="55"/>
      <c r="W369" s="55"/>
      <c r="X369" s="55"/>
      <c r="Y369" s="55"/>
      <c r="Z369" s="55"/>
      <c r="AA369" s="55"/>
      <c r="AB369" s="55"/>
      <c r="AC369" s="55"/>
      <c r="AD369" s="55"/>
      <c r="AE369" s="55"/>
      <c r="AF369" s="55"/>
      <c r="AG369" s="55"/>
      <c r="AH369" s="55"/>
      <c r="AI369" s="55"/>
      <c r="AJ369" s="55"/>
      <c r="AK369" s="55"/>
      <c r="AL369" s="55"/>
      <c r="AM369" s="55"/>
      <c r="AN369" s="55"/>
      <c r="AO369" s="55"/>
      <c r="AP369" s="55"/>
      <c r="AQ369" s="55"/>
      <c r="AR369" s="55"/>
      <c r="AS369" s="55"/>
      <c r="AT369" s="55"/>
      <c r="AU369" s="55"/>
      <c r="AV369" s="55"/>
      <c r="AW369" s="55"/>
      <c r="AX369" s="55"/>
      <c r="AY369" s="55"/>
      <c r="AZ369" s="55"/>
      <c r="BA369" s="55"/>
      <c r="BB369" s="55"/>
      <c r="BC369" s="55"/>
      <c r="BD369" s="55"/>
      <c r="BE369" s="55"/>
      <c r="BF369" s="55"/>
      <c r="BG369" s="55"/>
      <c r="BH369" s="55"/>
      <c r="BI369" s="55"/>
      <c r="BJ369" s="55"/>
      <c r="BK369" s="55"/>
      <c r="BL369" s="55"/>
      <c r="BM369" s="55"/>
      <c r="BN369" s="55"/>
      <c r="BO369" s="55"/>
      <c r="BP369" s="55"/>
      <c r="BQ369" s="55"/>
      <c r="BR369" s="55"/>
      <c r="BS369" s="55"/>
    </row>
    <row r="370" spans="1:71" outlineLevel="1" x14ac:dyDescent="0.2">
      <c r="J370" s="26"/>
      <c r="L370" s="55"/>
      <c r="M370" s="55"/>
      <c r="N370" s="55"/>
      <c r="O370" s="55"/>
      <c r="P370" s="55"/>
      <c r="Q370" s="55"/>
      <c r="R370" s="55"/>
      <c r="S370" s="55"/>
      <c r="T370" s="55"/>
      <c r="U370" s="55"/>
      <c r="V370" s="55"/>
      <c r="W370" s="55"/>
      <c r="X370" s="55"/>
      <c r="Y370" s="55"/>
      <c r="Z370" s="55"/>
      <c r="AA370" s="55"/>
      <c r="AB370" s="55"/>
      <c r="AC370" s="55"/>
      <c r="AD370" s="55"/>
      <c r="AE370" s="55"/>
      <c r="AF370" s="55"/>
      <c r="AG370" s="55"/>
      <c r="AH370" s="55"/>
      <c r="AI370" s="55"/>
      <c r="AJ370" s="55"/>
      <c r="AK370" s="55"/>
      <c r="AL370" s="55"/>
      <c r="AM370" s="55"/>
      <c r="AN370" s="55"/>
      <c r="AO370" s="55"/>
      <c r="AP370" s="55"/>
      <c r="AQ370" s="55"/>
      <c r="AR370" s="55"/>
      <c r="AS370" s="55"/>
      <c r="AT370" s="55"/>
      <c r="AU370" s="55"/>
      <c r="AV370" s="55"/>
      <c r="AW370" s="55"/>
      <c r="AX370" s="55"/>
      <c r="AY370" s="55"/>
      <c r="AZ370" s="55"/>
      <c r="BA370" s="55"/>
      <c r="BB370" s="55"/>
      <c r="BC370" s="55"/>
      <c r="BD370" s="55"/>
      <c r="BE370" s="55"/>
      <c r="BF370" s="55"/>
      <c r="BG370" s="55"/>
      <c r="BH370" s="55"/>
      <c r="BI370" s="55"/>
      <c r="BJ370" s="55"/>
      <c r="BK370" s="55"/>
      <c r="BL370" s="55"/>
      <c r="BM370" s="55"/>
      <c r="BN370" s="55"/>
      <c r="BO370" s="55"/>
      <c r="BP370" s="55"/>
      <c r="BQ370" s="55"/>
      <c r="BR370" s="55"/>
      <c r="BS370" s="55"/>
    </row>
    <row r="371" spans="1:71" outlineLevel="1" x14ac:dyDescent="0.2">
      <c r="J371" s="26"/>
      <c r="L371" s="55"/>
      <c r="M371" s="55"/>
      <c r="N371" s="55"/>
      <c r="O371" s="55"/>
      <c r="P371" s="55"/>
      <c r="Q371" s="55"/>
      <c r="R371" s="55"/>
      <c r="S371" s="55"/>
      <c r="T371" s="55"/>
      <c r="U371" s="55"/>
      <c r="V371" s="55"/>
      <c r="W371" s="55"/>
      <c r="X371" s="55"/>
      <c r="Y371" s="55"/>
      <c r="Z371" s="55"/>
      <c r="AA371" s="55"/>
      <c r="AB371" s="55"/>
      <c r="AC371" s="55"/>
      <c r="AD371" s="55"/>
      <c r="AE371" s="55"/>
      <c r="AF371" s="55"/>
      <c r="AG371" s="55"/>
      <c r="AH371" s="55"/>
      <c r="AI371" s="55"/>
      <c r="AJ371" s="55"/>
      <c r="AK371" s="55"/>
      <c r="AL371" s="55"/>
      <c r="AM371" s="55"/>
      <c r="AN371" s="55"/>
      <c r="AO371" s="55"/>
      <c r="AP371" s="55"/>
      <c r="AQ371" s="55"/>
      <c r="AR371" s="55"/>
      <c r="AS371" s="55"/>
      <c r="AT371" s="55"/>
      <c r="AU371" s="55"/>
      <c r="AV371" s="55"/>
      <c r="AW371" s="55"/>
      <c r="AX371" s="55"/>
      <c r="AY371" s="55"/>
      <c r="AZ371" s="55"/>
      <c r="BA371" s="55"/>
      <c r="BB371" s="55"/>
      <c r="BC371" s="55"/>
      <c r="BD371" s="55"/>
      <c r="BE371" s="55"/>
      <c r="BF371" s="55"/>
      <c r="BG371" s="55"/>
      <c r="BH371" s="55"/>
      <c r="BI371" s="55"/>
      <c r="BJ371" s="55"/>
      <c r="BK371" s="55"/>
      <c r="BL371" s="55"/>
      <c r="BM371" s="55"/>
      <c r="BN371" s="55"/>
      <c r="BO371" s="55"/>
      <c r="BP371" s="55"/>
      <c r="BQ371" s="55"/>
      <c r="BR371" s="55"/>
      <c r="BS371" s="55"/>
    </row>
    <row r="372" spans="1:71" outlineLevel="1" x14ac:dyDescent="0.2">
      <c r="J372" s="26"/>
      <c r="L372" s="55"/>
      <c r="M372" s="55"/>
      <c r="N372" s="55"/>
      <c r="O372" s="55"/>
      <c r="P372" s="55"/>
      <c r="Q372" s="55"/>
      <c r="R372" s="55"/>
      <c r="S372" s="55"/>
      <c r="T372" s="55"/>
      <c r="U372" s="55"/>
      <c r="V372" s="55"/>
      <c r="W372" s="55"/>
      <c r="X372" s="55"/>
      <c r="Y372" s="55"/>
      <c r="Z372" s="55"/>
      <c r="AA372" s="55"/>
      <c r="AB372" s="55"/>
      <c r="AC372" s="55"/>
      <c r="AD372" s="55"/>
      <c r="AE372" s="55"/>
      <c r="AF372" s="55"/>
      <c r="AG372" s="55"/>
      <c r="AH372" s="55"/>
      <c r="AI372" s="55"/>
      <c r="AJ372" s="55"/>
      <c r="AK372" s="55"/>
      <c r="AL372" s="55"/>
      <c r="AM372" s="55"/>
      <c r="AN372" s="55"/>
      <c r="AO372" s="55"/>
      <c r="AP372" s="55"/>
      <c r="AQ372" s="55"/>
      <c r="AR372" s="55"/>
      <c r="AS372" s="55"/>
      <c r="AT372" s="55"/>
      <c r="AU372" s="55"/>
      <c r="AV372" s="55"/>
      <c r="AW372" s="55"/>
      <c r="AX372" s="55"/>
      <c r="AY372" s="55"/>
      <c r="AZ372" s="55"/>
      <c r="BA372" s="55"/>
      <c r="BB372" s="55"/>
      <c r="BC372" s="55"/>
      <c r="BD372" s="55"/>
      <c r="BE372" s="55"/>
      <c r="BF372" s="55"/>
      <c r="BG372" s="55"/>
      <c r="BH372" s="55"/>
      <c r="BI372" s="55"/>
      <c r="BJ372" s="55"/>
      <c r="BK372" s="55"/>
      <c r="BL372" s="55"/>
      <c r="BM372" s="55"/>
      <c r="BN372" s="55"/>
      <c r="BO372" s="55"/>
      <c r="BP372" s="55"/>
      <c r="BQ372" s="55"/>
      <c r="BR372" s="55"/>
      <c r="BS372" s="55"/>
    </row>
    <row r="373" spans="1:71" outlineLevel="1" x14ac:dyDescent="0.2">
      <c r="A373" s="45"/>
      <c r="B373" s="38" t="str">
        <f>HM_ZA_Nkossa!B362</f>
        <v>Calculs des intérêts portés</v>
      </c>
      <c r="C373" s="45"/>
      <c r="D373" s="45"/>
      <c r="E373" s="45"/>
      <c r="J373" s="26"/>
      <c r="L373" s="55"/>
      <c r="M373" s="55"/>
      <c r="N373" s="55"/>
      <c r="O373" s="55"/>
      <c r="P373" s="55"/>
      <c r="Q373" s="55"/>
      <c r="R373" s="55"/>
      <c r="S373" s="55"/>
      <c r="T373" s="55"/>
      <c r="U373" s="55"/>
      <c r="V373" s="55"/>
      <c r="W373" s="55"/>
      <c r="X373" s="55"/>
      <c r="Y373" s="55"/>
      <c r="Z373" s="55"/>
      <c r="AA373" s="55"/>
      <c r="AB373" s="55"/>
      <c r="AC373" s="55"/>
      <c r="AD373" s="55"/>
      <c r="AE373" s="55"/>
      <c r="AF373" s="55"/>
      <c r="AG373" s="55"/>
      <c r="AH373" s="55"/>
      <c r="AI373" s="55"/>
      <c r="AJ373" s="55"/>
      <c r="AK373" s="55"/>
      <c r="AL373" s="55"/>
      <c r="AM373" s="55"/>
      <c r="AN373" s="55"/>
      <c r="AO373" s="55"/>
      <c r="AP373" s="55"/>
      <c r="AQ373" s="55"/>
      <c r="AR373" s="55"/>
      <c r="AS373" s="55"/>
      <c r="AT373" s="55"/>
      <c r="AU373" s="55"/>
      <c r="AV373" s="55"/>
      <c r="AW373" s="55"/>
      <c r="AX373" s="55"/>
      <c r="AY373" s="55"/>
      <c r="AZ373" s="55"/>
      <c r="BA373" s="55"/>
      <c r="BB373" s="55"/>
      <c r="BC373" s="55"/>
      <c r="BD373" s="55"/>
      <c r="BE373" s="55"/>
      <c r="BF373" s="55"/>
      <c r="BG373" s="55"/>
      <c r="BH373" s="55"/>
      <c r="BI373" s="55"/>
      <c r="BJ373" s="55"/>
      <c r="BK373" s="55"/>
      <c r="BL373" s="55"/>
      <c r="BM373" s="55"/>
      <c r="BN373" s="55"/>
      <c r="BO373" s="55"/>
      <c r="BP373" s="55"/>
      <c r="BQ373" s="55"/>
      <c r="BR373" s="55"/>
      <c r="BS373" s="55"/>
    </row>
    <row r="374" spans="1:71" outlineLevel="1" x14ac:dyDescent="0.2">
      <c r="J374" s="26"/>
      <c r="L374" s="55"/>
      <c r="M374" s="55"/>
      <c r="N374" s="55"/>
      <c r="O374" s="55"/>
      <c r="P374" s="55"/>
      <c r="Q374" s="55"/>
      <c r="R374" s="55"/>
      <c r="S374" s="55"/>
      <c r="T374" s="55"/>
      <c r="U374" s="55"/>
      <c r="V374" s="55"/>
      <c r="W374" s="55"/>
      <c r="X374" s="55"/>
      <c r="Y374" s="55"/>
      <c r="Z374" s="55"/>
      <c r="AA374" s="55"/>
      <c r="AB374" s="55"/>
      <c r="AC374" s="55"/>
      <c r="AD374" s="55"/>
      <c r="AE374" s="55"/>
      <c r="AF374" s="55"/>
      <c r="AG374" s="55"/>
      <c r="AH374" s="55"/>
      <c r="AI374" s="55"/>
      <c r="AJ374" s="55"/>
      <c r="AK374" s="55"/>
      <c r="AL374" s="55"/>
      <c r="AM374" s="55"/>
      <c r="AN374" s="55"/>
      <c r="AO374" s="55"/>
      <c r="AP374" s="55"/>
      <c r="AQ374" s="55"/>
      <c r="AR374" s="55"/>
      <c r="AS374" s="55"/>
      <c r="AT374" s="55"/>
      <c r="AU374" s="55"/>
      <c r="AV374" s="55"/>
      <c r="AW374" s="55"/>
      <c r="AX374" s="55"/>
      <c r="AY374" s="55"/>
      <c r="AZ374" s="55"/>
      <c r="BA374" s="55"/>
      <c r="BB374" s="55"/>
      <c r="BC374" s="55"/>
      <c r="BD374" s="55"/>
      <c r="BE374" s="55"/>
      <c r="BF374" s="55"/>
      <c r="BG374" s="55"/>
      <c r="BH374" s="55"/>
      <c r="BI374" s="55"/>
      <c r="BJ374" s="55"/>
      <c r="BK374" s="55"/>
      <c r="BL374" s="55"/>
      <c r="BM374" s="55"/>
      <c r="BN374" s="55"/>
      <c r="BO374" s="55"/>
      <c r="BP374" s="55"/>
      <c r="BQ374" s="55"/>
      <c r="BR374" s="55"/>
      <c r="BS374" s="55"/>
    </row>
    <row r="375" spans="1:71" outlineLevel="1" x14ac:dyDescent="0.2">
      <c r="C375" s="11" t="str">
        <f>HM_ZA_Nkossa!C364</f>
        <v>Coûts portés compagnie nationale</v>
      </c>
      <c r="J375" s="26"/>
      <c r="L375" s="55"/>
      <c r="M375" s="55"/>
      <c r="N375" s="55"/>
      <c r="O375" s="55"/>
      <c r="P375" s="55"/>
      <c r="Q375" s="55"/>
      <c r="R375" s="55"/>
      <c r="S375" s="55"/>
      <c r="T375" s="55"/>
      <c r="U375" s="55"/>
      <c r="V375" s="55"/>
      <c r="W375" s="55"/>
      <c r="X375" s="55"/>
      <c r="Y375" s="55"/>
      <c r="Z375" s="55"/>
      <c r="AA375" s="55"/>
      <c r="AB375" s="55"/>
      <c r="AC375" s="55"/>
      <c r="AD375" s="55"/>
      <c r="AE375" s="55"/>
      <c r="AF375" s="55"/>
      <c r="AG375" s="55"/>
      <c r="AH375" s="55"/>
      <c r="AI375" s="55"/>
      <c r="AJ375" s="55"/>
      <c r="AK375" s="55"/>
      <c r="AL375" s="55"/>
      <c r="AM375" s="55"/>
      <c r="AN375" s="55"/>
      <c r="AO375" s="55"/>
      <c r="AP375" s="55"/>
      <c r="AQ375" s="55"/>
      <c r="AR375" s="55"/>
      <c r="AS375" s="55"/>
      <c r="AT375" s="55"/>
      <c r="AU375" s="55"/>
      <c r="AV375" s="55"/>
      <c r="AW375" s="55"/>
      <c r="AX375" s="55"/>
      <c r="AY375" s="55"/>
      <c r="AZ375" s="55"/>
      <c r="BA375" s="55"/>
      <c r="BB375" s="55"/>
      <c r="BC375" s="55"/>
      <c r="BD375" s="55"/>
      <c r="BE375" s="55"/>
      <c r="BF375" s="55"/>
      <c r="BG375" s="55"/>
      <c r="BH375" s="55"/>
      <c r="BI375" s="55"/>
      <c r="BJ375" s="55"/>
      <c r="BK375" s="55"/>
      <c r="BL375" s="55"/>
      <c r="BM375" s="55"/>
      <c r="BN375" s="55"/>
      <c r="BO375" s="55"/>
      <c r="BP375" s="55"/>
      <c r="BQ375" s="55"/>
      <c r="BR375" s="55"/>
      <c r="BS375" s="55"/>
    </row>
    <row r="376" spans="1:71" outlineLevel="1" x14ac:dyDescent="0.2">
      <c r="D376" t="str">
        <f>HM_ZA_Nkossa!D365</f>
        <v>Intérêt porté compagnie nationale - coûts exploration</v>
      </c>
      <c r="I376" s="30">
        <f t="shared" ref="I376:I379" ca="1" si="99">SUM($L376:$BS376)</f>
        <v>0</v>
      </c>
      <c r="J376" s="26" t="s">
        <v>148</v>
      </c>
      <c r="K376" s="7" t="s">
        <v>358</v>
      </c>
      <c r="L376" s="49">
        <f ca="1">(HM_ZB_Nsoko!CA_expex_nom*HM_ZB_Nsoko!NOC_CI_expex)*HM_ZB_Nsoko!CA_op_trig</f>
        <v>0</v>
      </c>
      <c r="M376" s="49">
        <f ca="1">(HM_ZB_Nsoko!CA_expex_nom*HM_ZB_Nsoko!NOC_CI_expex)*HM_ZB_Nsoko!CA_op_trig</f>
        <v>0</v>
      </c>
      <c r="N376" s="49">
        <f ca="1">(HM_ZB_Nsoko!CA_expex_nom*HM_ZB_Nsoko!NOC_CI_expex)*HM_ZB_Nsoko!CA_op_trig</f>
        <v>0</v>
      </c>
      <c r="O376" s="49">
        <f ca="1">(HM_ZB_Nsoko!CA_expex_nom*HM_ZB_Nsoko!NOC_CI_expex)*HM_ZB_Nsoko!CA_op_trig</f>
        <v>0</v>
      </c>
      <c r="P376" s="49">
        <f ca="1">(HM_ZB_Nsoko!CA_expex_nom*HM_ZB_Nsoko!NOC_CI_expex)*HM_ZB_Nsoko!CA_op_trig</f>
        <v>0</v>
      </c>
      <c r="Q376" s="49">
        <f ca="1">(HM_ZB_Nsoko!CA_expex_nom*HM_ZB_Nsoko!NOC_CI_expex)*HM_ZB_Nsoko!CA_op_trig</f>
        <v>0</v>
      </c>
      <c r="R376" s="49">
        <f ca="1">(HM_ZB_Nsoko!CA_expex_nom*HM_ZB_Nsoko!NOC_CI_expex)*HM_ZB_Nsoko!CA_op_trig</f>
        <v>0</v>
      </c>
      <c r="S376" s="49">
        <f ca="1">(HM_ZB_Nsoko!CA_expex_nom*HM_ZB_Nsoko!NOC_CI_expex)*HM_ZB_Nsoko!CA_op_trig</f>
        <v>0</v>
      </c>
      <c r="T376" s="49">
        <f ca="1">(HM_ZB_Nsoko!CA_expex_nom*HM_ZB_Nsoko!NOC_CI_expex)*HM_ZB_Nsoko!CA_op_trig</f>
        <v>0</v>
      </c>
      <c r="U376" s="49">
        <f ca="1">(HM_ZB_Nsoko!CA_expex_nom*HM_ZB_Nsoko!NOC_CI_expex)*HM_ZB_Nsoko!CA_op_trig</f>
        <v>0</v>
      </c>
      <c r="V376" s="49">
        <f ca="1">(HM_ZB_Nsoko!CA_expex_nom*HM_ZB_Nsoko!NOC_CI_expex)*HM_ZB_Nsoko!CA_op_trig</f>
        <v>0</v>
      </c>
      <c r="W376" s="49">
        <f ca="1">(HM_ZB_Nsoko!CA_expex_nom*HM_ZB_Nsoko!NOC_CI_expex)*HM_ZB_Nsoko!CA_op_trig</f>
        <v>0</v>
      </c>
      <c r="X376" s="49">
        <f ca="1">(HM_ZB_Nsoko!CA_expex_nom*HM_ZB_Nsoko!NOC_CI_expex)*HM_ZB_Nsoko!CA_op_trig</f>
        <v>0</v>
      </c>
      <c r="Y376" s="49">
        <f ca="1">(HM_ZB_Nsoko!CA_expex_nom*HM_ZB_Nsoko!NOC_CI_expex)*HM_ZB_Nsoko!CA_op_trig</f>
        <v>0</v>
      </c>
      <c r="Z376" s="49">
        <f ca="1">(HM_ZB_Nsoko!CA_expex_nom*HM_ZB_Nsoko!NOC_CI_expex)*HM_ZB_Nsoko!CA_op_trig</f>
        <v>0</v>
      </c>
      <c r="AA376" s="49">
        <f ca="1">(HM_ZB_Nsoko!CA_expex_nom*HM_ZB_Nsoko!NOC_CI_expex)*HM_ZB_Nsoko!CA_op_trig</f>
        <v>0</v>
      </c>
      <c r="AB376" s="49">
        <f ca="1">(HM_ZB_Nsoko!CA_expex_nom*HM_ZB_Nsoko!NOC_CI_expex)*HM_ZB_Nsoko!CA_op_trig</f>
        <v>0</v>
      </c>
      <c r="AC376" s="49">
        <f ca="1">(HM_ZB_Nsoko!CA_expex_nom*HM_ZB_Nsoko!NOC_CI_expex)*HM_ZB_Nsoko!CA_op_trig</f>
        <v>0</v>
      </c>
      <c r="AD376" s="49">
        <f ca="1">(HM_ZB_Nsoko!CA_expex_nom*HM_ZB_Nsoko!NOC_CI_expex)*HM_ZB_Nsoko!CA_op_trig</f>
        <v>0</v>
      </c>
      <c r="AE376" s="49">
        <f ca="1">(HM_ZB_Nsoko!CA_expex_nom*HM_ZB_Nsoko!NOC_CI_expex)*HM_ZB_Nsoko!CA_op_trig</f>
        <v>0</v>
      </c>
      <c r="AF376" s="49">
        <f ca="1">(HM_ZB_Nsoko!CA_expex_nom*HM_ZB_Nsoko!NOC_CI_expex)*HM_ZB_Nsoko!CA_op_trig</f>
        <v>0</v>
      </c>
      <c r="AG376" s="49">
        <f ca="1">(HM_ZB_Nsoko!CA_expex_nom*HM_ZB_Nsoko!NOC_CI_expex)*HM_ZB_Nsoko!CA_op_trig</f>
        <v>0</v>
      </c>
      <c r="AH376" s="49">
        <f ca="1">(HM_ZB_Nsoko!CA_expex_nom*HM_ZB_Nsoko!NOC_CI_expex)*HM_ZB_Nsoko!CA_op_trig</f>
        <v>0</v>
      </c>
      <c r="AI376" s="49">
        <f ca="1">(HM_ZB_Nsoko!CA_expex_nom*HM_ZB_Nsoko!NOC_CI_expex)*HM_ZB_Nsoko!CA_op_trig</f>
        <v>0</v>
      </c>
      <c r="AJ376" s="49">
        <f ca="1">(HM_ZB_Nsoko!CA_expex_nom*HM_ZB_Nsoko!NOC_CI_expex)*HM_ZB_Nsoko!CA_op_trig</f>
        <v>0</v>
      </c>
      <c r="AK376" s="49">
        <f ca="1">(HM_ZB_Nsoko!CA_expex_nom*HM_ZB_Nsoko!NOC_CI_expex)*HM_ZB_Nsoko!CA_op_trig</f>
        <v>0</v>
      </c>
      <c r="AL376" s="49">
        <f ca="1">(HM_ZB_Nsoko!CA_expex_nom*HM_ZB_Nsoko!NOC_CI_expex)*HM_ZB_Nsoko!CA_op_trig</f>
        <v>0</v>
      </c>
      <c r="AM376" s="49">
        <f ca="1">(HM_ZB_Nsoko!CA_expex_nom*HM_ZB_Nsoko!NOC_CI_expex)*HM_ZB_Nsoko!CA_op_trig</f>
        <v>0</v>
      </c>
      <c r="AN376" s="49">
        <f ca="1">(HM_ZB_Nsoko!CA_expex_nom*HM_ZB_Nsoko!NOC_CI_expex)*HM_ZB_Nsoko!CA_op_trig</f>
        <v>0</v>
      </c>
      <c r="AO376" s="49">
        <f ca="1">(HM_ZB_Nsoko!CA_expex_nom*HM_ZB_Nsoko!NOC_CI_expex)*HM_ZB_Nsoko!CA_op_trig</f>
        <v>0</v>
      </c>
      <c r="AP376" s="49">
        <f ca="1">(HM_ZB_Nsoko!CA_expex_nom*HM_ZB_Nsoko!NOC_CI_expex)*HM_ZB_Nsoko!CA_op_trig</f>
        <v>0</v>
      </c>
      <c r="AQ376" s="49">
        <f ca="1">(HM_ZB_Nsoko!CA_expex_nom*HM_ZB_Nsoko!NOC_CI_expex)*HM_ZB_Nsoko!CA_op_trig</f>
        <v>0</v>
      </c>
      <c r="AR376" s="49">
        <f ca="1">(HM_ZB_Nsoko!CA_expex_nom*HM_ZB_Nsoko!NOC_CI_expex)*HM_ZB_Nsoko!CA_op_trig</f>
        <v>0</v>
      </c>
      <c r="AS376" s="49">
        <f ca="1">(HM_ZB_Nsoko!CA_expex_nom*HM_ZB_Nsoko!NOC_CI_expex)*HM_ZB_Nsoko!CA_op_trig</f>
        <v>0</v>
      </c>
      <c r="AT376" s="49">
        <f ca="1">(HM_ZB_Nsoko!CA_expex_nom*HM_ZB_Nsoko!NOC_CI_expex)*HM_ZB_Nsoko!CA_op_trig</f>
        <v>0</v>
      </c>
      <c r="AU376" s="49">
        <f ca="1">(HM_ZB_Nsoko!CA_expex_nom*HM_ZB_Nsoko!NOC_CI_expex)*HM_ZB_Nsoko!CA_op_trig</f>
        <v>0</v>
      </c>
      <c r="AV376" s="49">
        <f ca="1">(HM_ZB_Nsoko!CA_expex_nom*HM_ZB_Nsoko!NOC_CI_expex)*HM_ZB_Nsoko!CA_op_trig</f>
        <v>0</v>
      </c>
      <c r="AW376" s="49">
        <f ca="1">(HM_ZB_Nsoko!CA_expex_nom*HM_ZB_Nsoko!NOC_CI_expex)*HM_ZB_Nsoko!CA_op_trig</f>
        <v>0</v>
      </c>
      <c r="AX376" s="49">
        <f ca="1">(HM_ZB_Nsoko!CA_expex_nom*HM_ZB_Nsoko!NOC_CI_expex)*HM_ZB_Nsoko!CA_op_trig</f>
        <v>0</v>
      </c>
      <c r="AY376" s="49">
        <f ca="1">(HM_ZB_Nsoko!CA_expex_nom*HM_ZB_Nsoko!NOC_CI_expex)*HM_ZB_Nsoko!CA_op_trig</f>
        <v>0</v>
      </c>
      <c r="AZ376" s="49">
        <f ca="1">(HM_ZB_Nsoko!CA_expex_nom*HM_ZB_Nsoko!NOC_CI_expex)*HM_ZB_Nsoko!CA_op_trig</f>
        <v>0</v>
      </c>
      <c r="BA376" s="49">
        <f ca="1">(HM_ZB_Nsoko!CA_expex_nom*HM_ZB_Nsoko!NOC_CI_expex)*HM_ZB_Nsoko!CA_op_trig</f>
        <v>0</v>
      </c>
      <c r="BB376" s="49">
        <f ca="1">(HM_ZB_Nsoko!CA_expex_nom*HM_ZB_Nsoko!NOC_CI_expex)*HM_ZB_Nsoko!CA_op_trig</f>
        <v>0</v>
      </c>
      <c r="BC376" s="49">
        <f ca="1">(HM_ZB_Nsoko!CA_expex_nom*HM_ZB_Nsoko!NOC_CI_expex)*HM_ZB_Nsoko!CA_op_trig</f>
        <v>0</v>
      </c>
      <c r="BD376" s="49">
        <f ca="1">(HM_ZB_Nsoko!CA_expex_nom*HM_ZB_Nsoko!NOC_CI_expex)*HM_ZB_Nsoko!CA_op_trig</f>
        <v>0</v>
      </c>
      <c r="BE376" s="49">
        <f ca="1">(HM_ZB_Nsoko!CA_expex_nom*HM_ZB_Nsoko!NOC_CI_expex)*HM_ZB_Nsoko!CA_op_trig</f>
        <v>0</v>
      </c>
      <c r="BF376" s="49">
        <f ca="1">(HM_ZB_Nsoko!CA_expex_nom*HM_ZB_Nsoko!NOC_CI_expex)*HM_ZB_Nsoko!CA_op_trig</f>
        <v>0</v>
      </c>
      <c r="BG376" s="49">
        <f ca="1">(HM_ZB_Nsoko!CA_expex_nom*HM_ZB_Nsoko!NOC_CI_expex)*HM_ZB_Nsoko!CA_op_trig</f>
        <v>0</v>
      </c>
      <c r="BH376" s="49">
        <f ca="1">(HM_ZB_Nsoko!CA_expex_nom*HM_ZB_Nsoko!NOC_CI_expex)*HM_ZB_Nsoko!CA_op_trig</f>
        <v>0</v>
      </c>
      <c r="BI376" s="49">
        <f ca="1">(HM_ZB_Nsoko!CA_expex_nom*HM_ZB_Nsoko!NOC_CI_expex)*HM_ZB_Nsoko!CA_op_trig</f>
        <v>0</v>
      </c>
      <c r="BJ376" s="49">
        <f ca="1">(HM_ZB_Nsoko!CA_expex_nom*HM_ZB_Nsoko!NOC_CI_expex)*HM_ZB_Nsoko!CA_op_trig</f>
        <v>0</v>
      </c>
      <c r="BK376" s="49">
        <f ca="1">(HM_ZB_Nsoko!CA_expex_nom*HM_ZB_Nsoko!NOC_CI_expex)*HM_ZB_Nsoko!CA_op_trig</f>
        <v>0</v>
      </c>
      <c r="BL376" s="49">
        <f ca="1">(HM_ZB_Nsoko!CA_expex_nom*HM_ZB_Nsoko!NOC_CI_expex)*HM_ZB_Nsoko!CA_op_trig</f>
        <v>0</v>
      </c>
      <c r="BM376" s="49">
        <f ca="1">(HM_ZB_Nsoko!CA_expex_nom*HM_ZB_Nsoko!NOC_CI_expex)*HM_ZB_Nsoko!CA_op_trig</f>
        <v>0</v>
      </c>
      <c r="BN376" s="49">
        <f ca="1">(HM_ZB_Nsoko!CA_expex_nom*HM_ZB_Nsoko!NOC_CI_expex)*HM_ZB_Nsoko!CA_op_trig</f>
        <v>0</v>
      </c>
      <c r="BO376" s="49">
        <f ca="1">(HM_ZB_Nsoko!CA_expex_nom*HM_ZB_Nsoko!NOC_CI_expex)*HM_ZB_Nsoko!CA_op_trig</f>
        <v>0</v>
      </c>
      <c r="BP376" s="49">
        <f ca="1">(HM_ZB_Nsoko!CA_expex_nom*HM_ZB_Nsoko!NOC_CI_expex)*HM_ZB_Nsoko!CA_op_trig</f>
        <v>0</v>
      </c>
      <c r="BQ376" s="49">
        <f ca="1">(HM_ZB_Nsoko!CA_expex_nom*HM_ZB_Nsoko!NOC_CI_expex)*HM_ZB_Nsoko!CA_op_trig</f>
        <v>0</v>
      </c>
      <c r="BR376" s="49">
        <f ca="1">(HM_ZB_Nsoko!CA_expex_nom*HM_ZB_Nsoko!NOC_CI_expex)*HM_ZB_Nsoko!CA_op_trig</f>
        <v>0</v>
      </c>
      <c r="BS376" s="49">
        <f ca="1">(HM_ZB_Nsoko!CA_expex_nom*HM_ZB_Nsoko!NOC_CI_expex)*HM_ZB_Nsoko!CA_op_trig</f>
        <v>0</v>
      </c>
    </row>
    <row r="377" spans="1:71" outlineLevel="1" x14ac:dyDescent="0.2">
      <c r="D377" t="str">
        <f>HM_ZA_Nkossa!D366</f>
        <v>Intérêt porté - Capex</v>
      </c>
      <c r="I377" s="30">
        <f t="shared" ca="1" si="99"/>
        <v>6.1300499999999998</v>
      </c>
      <c r="J377" s="26" t="s">
        <v>148</v>
      </c>
      <c r="K377" s="7" t="s">
        <v>359</v>
      </c>
      <c r="L377" s="49">
        <f ca="1">(HM_ZB_Nsoko!CA_devex_nom*HM_ZB_Nsoko!NOC_CI_devex)*(HM_ZB_Nsoko!CA_op_trig)</f>
        <v>0.12180000000000001</v>
      </c>
      <c r="M377" s="49">
        <f ca="1">(HM_ZB_Nsoko!CA_devex_nom*HM_ZB_Nsoko!NOC_CI_devex)*(HM_ZB_Nsoko!CA_op_trig)</f>
        <v>5.8426499999999999</v>
      </c>
      <c r="N377" s="49">
        <f ca="1">(HM_ZB_Nsoko!CA_devex_nom*HM_ZB_Nsoko!NOC_CI_devex)*(HM_ZB_Nsoko!CA_op_trig)</f>
        <v>0.10379999999999999</v>
      </c>
      <c r="O377" s="49">
        <f ca="1">(HM_ZB_Nsoko!CA_devex_nom*HM_ZB_Nsoko!NOC_CI_devex)*(HM_ZB_Nsoko!CA_op_trig)</f>
        <v>2.3400000000000001E-2</v>
      </c>
      <c r="P377" s="49">
        <f ca="1">(HM_ZB_Nsoko!CA_devex_nom*HM_ZB_Nsoko!NOC_CI_devex)*(HM_ZB_Nsoko!CA_op_trig)</f>
        <v>3.8399999999999997E-2</v>
      </c>
      <c r="Q377" s="49">
        <f ca="1">(HM_ZB_Nsoko!CA_devex_nom*HM_ZB_Nsoko!NOC_CI_devex)*(HM_ZB_Nsoko!CA_op_trig)</f>
        <v>0</v>
      </c>
      <c r="R377" s="49">
        <f ca="1">(HM_ZB_Nsoko!CA_devex_nom*HM_ZB_Nsoko!NOC_CI_devex)*(HM_ZB_Nsoko!CA_op_trig)</f>
        <v>0</v>
      </c>
      <c r="S377" s="49">
        <f ca="1">(HM_ZB_Nsoko!CA_devex_nom*HM_ZB_Nsoko!NOC_CI_devex)*(HM_ZB_Nsoko!CA_op_trig)</f>
        <v>0</v>
      </c>
      <c r="T377" s="49">
        <f ca="1">(HM_ZB_Nsoko!CA_devex_nom*HM_ZB_Nsoko!NOC_CI_devex)*(HM_ZB_Nsoko!CA_op_trig)</f>
        <v>0</v>
      </c>
      <c r="U377" s="49">
        <f ca="1">(HM_ZB_Nsoko!CA_devex_nom*HM_ZB_Nsoko!NOC_CI_devex)*(HM_ZB_Nsoko!CA_op_trig)</f>
        <v>0</v>
      </c>
      <c r="V377" s="49">
        <f ca="1">(HM_ZB_Nsoko!CA_devex_nom*HM_ZB_Nsoko!NOC_CI_devex)*(HM_ZB_Nsoko!CA_op_trig)</f>
        <v>0</v>
      </c>
      <c r="W377" s="49">
        <f ca="1">(HM_ZB_Nsoko!CA_devex_nom*HM_ZB_Nsoko!NOC_CI_devex)*(HM_ZB_Nsoko!CA_op_trig)</f>
        <v>0</v>
      </c>
      <c r="X377" s="49">
        <f ca="1">(HM_ZB_Nsoko!CA_devex_nom*HM_ZB_Nsoko!NOC_CI_devex)*(HM_ZB_Nsoko!CA_op_trig)</f>
        <v>0</v>
      </c>
      <c r="Y377" s="49">
        <f ca="1">(HM_ZB_Nsoko!CA_devex_nom*HM_ZB_Nsoko!NOC_CI_devex)*(HM_ZB_Nsoko!CA_op_trig)</f>
        <v>0</v>
      </c>
      <c r="Z377" s="49">
        <f ca="1">(HM_ZB_Nsoko!CA_devex_nom*HM_ZB_Nsoko!NOC_CI_devex)*(HM_ZB_Nsoko!CA_op_trig)</f>
        <v>0</v>
      </c>
      <c r="AA377" s="49">
        <f ca="1">(HM_ZB_Nsoko!CA_devex_nom*HM_ZB_Nsoko!NOC_CI_devex)*(HM_ZB_Nsoko!CA_op_trig)</f>
        <v>0</v>
      </c>
      <c r="AB377" s="49">
        <f ca="1">(HM_ZB_Nsoko!CA_devex_nom*HM_ZB_Nsoko!NOC_CI_devex)*(HM_ZB_Nsoko!CA_op_trig)</f>
        <v>0</v>
      </c>
      <c r="AC377" s="49">
        <f ca="1">(HM_ZB_Nsoko!CA_devex_nom*HM_ZB_Nsoko!NOC_CI_devex)*(HM_ZB_Nsoko!CA_op_trig)</f>
        <v>0</v>
      </c>
      <c r="AD377" s="49">
        <f ca="1">(HM_ZB_Nsoko!CA_devex_nom*HM_ZB_Nsoko!NOC_CI_devex)*(HM_ZB_Nsoko!CA_op_trig)</f>
        <v>0</v>
      </c>
      <c r="AE377" s="49">
        <f ca="1">(HM_ZB_Nsoko!CA_devex_nom*HM_ZB_Nsoko!NOC_CI_devex)*(HM_ZB_Nsoko!CA_op_trig)</f>
        <v>0</v>
      </c>
      <c r="AF377" s="49">
        <f ca="1">(HM_ZB_Nsoko!CA_devex_nom*HM_ZB_Nsoko!NOC_CI_devex)*(HM_ZB_Nsoko!CA_op_trig)</f>
        <v>0</v>
      </c>
      <c r="AG377" s="49">
        <f ca="1">(HM_ZB_Nsoko!CA_devex_nom*HM_ZB_Nsoko!NOC_CI_devex)*(HM_ZB_Nsoko!CA_op_trig)</f>
        <v>0</v>
      </c>
      <c r="AH377" s="49">
        <f ca="1">(HM_ZB_Nsoko!CA_devex_nom*HM_ZB_Nsoko!NOC_CI_devex)*(HM_ZB_Nsoko!CA_op_trig)</f>
        <v>0</v>
      </c>
      <c r="AI377" s="49">
        <f ca="1">(HM_ZB_Nsoko!CA_devex_nom*HM_ZB_Nsoko!NOC_CI_devex)*(HM_ZB_Nsoko!CA_op_trig)</f>
        <v>0</v>
      </c>
      <c r="AJ377" s="49">
        <f ca="1">(HM_ZB_Nsoko!CA_devex_nom*HM_ZB_Nsoko!NOC_CI_devex)*(HM_ZB_Nsoko!CA_op_trig)</f>
        <v>0</v>
      </c>
      <c r="AK377" s="49">
        <f ca="1">(HM_ZB_Nsoko!CA_devex_nom*HM_ZB_Nsoko!NOC_CI_devex)*(HM_ZB_Nsoko!CA_op_trig)</f>
        <v>0</v>
      </c>
      <c r="AL377" s="49">
        <f ca="1">(HM_ZB_Nsoko!CA_devex_nom*HM_ZB_Nsoko!NOC_CI_devex)*(HM_ZB_Nsoko!CA_op_trig)</f>
        <v>0</v>
      </c>
      <c r="AM377" s="49">
        <f ca="1">(HM_ZB_Nsoko!CA_devex_nom*HM_ZB_Nsoko!NOC_CI_devex)*(HM_ZB_Nsoko!CA_op_trig)</f>
        <v>0</v>
      </c>
      <c r="AN377" s="49">
        <f ca="1">(HM_ZB_Nsoko!CA_devex_nom*HM_ZB_Nsoko!NOC_CI_devex)*(HM_ZB_Nsoko!CA_op_trig)</f>
        <v>0</v>
      </c>
      <c r="AO377" s="49">
        <f ca="1">(HM_ZB_Nsoko!CA_devex_nom*HM_ZB_Nsoko!NOC_CI_devex)*(HM_ZB_Nsoko!CA_op_trig)</f>
        <v>0</v>
      </c>
      <c r="AP377" s="49">
        <f ca="1">(HM_ZB_Nsoko!CA_devex_nom*HM_ZB_Nsoko!NOC_CI_devex)*(HM_ZB_Nsoko!CA_op_trig)</f>
        <v>0</v>
      </c>
      <c r="AQ377" s="49">
        <f ca="1">(HM_ZB_Nsoko!CA_devex_nom*HM_ZB_Nsoko!NOC_CI_devex)*(HM_ZB_Nsoko!CA_op_trig)</f>
        <v>0</v>
      </c>
      <c r="AR377" s="49">
        <f ca="1">(HM_ZB_Nsoko!CA_devex_nom*HM_ZB_Nsoko!NOC_CI_devex)*(HM_ZB_Nsoko!CA_op_trig)</f>
        <v>0</v>
      </c>
      <c r="AS377" s="49">
        <f ca="1">(HM_ZB_Nsoko!CA_devex_nom*HM_ZB_Nsoko!NOC_CI_devex)*(HM_ZB_Nsoko!CA_op_trig)</f>
        <v>0</v>
      </c>
      <c r="AT377" s="49">
        <f ca="1">(HM_ZB_Nsoko!CA_devex_nom*HM_ZB_Nsoko!NOC_CI_devex)*(HM_ZB_Nsoko!CA_op_trig)</f>
        <v>0</v>
      </c>
      <c r="AU377" s="49">
        <f ca="1">(HM_ZB_Nsoko!CA_devex_nom*HM_ZB_Nsoko!NOC_CI_devex)*(HM_ZB_Nsoko!CA_op_trig)</f>
        <v>0</v>
      </c>
      <c r="AV377" s="49">
        <f ca="1">(HM_ZB_Nsoko!CA_devex_nom*HM_ZB_Nsoko!NOC_CI_devex)*(HM_ZB_Nsoko!CA_op_trig)</f>
        <v>0</v>
      </c>
      <c r="AW377" s="49">
        <f ca="1">(HM_ZB_Nsoko!CA_devex_nom*HM_ZB_Nsoko!NOC_CI_devex)*(HM_ZB_Nsoko!CA_op_trig)</f>
        <v>0</v>
      </c>
      <c r="AX377" s="49">
        <f ca="1">(HM_ZB_Nsoko!CA_devex_nom*HM_ZB_Nsoko!NOC_CI_devex)*(HM_ZB_Nsoko!CA_op_trig)</f>
        <v>0</v>
      </c>
      <c r="AY377" s="49">
        <f ca="1">(HM_ZB_Nsoko!CA_devex_nom*HM_ZB_Nsoko!NOC_CI_devex)*(HM_ZB_Nsoko!CA_op_trig)</f>
        <v>0</v>
      </c>
      <c r="AZ377" s="49">
        <f ca="1">(HM_ZB_Nsoko!CA_devex_nom*HM_ZB_Nsoko!NOC_CI_devex)*(HM_ZB_Nsoko!CA_op_trig)</f>
        <v>0</v>
      </c>
      <c r="BA377" s="49">
        <f ca="1">(HM_ZB_Nsoko!CA_devex_nom*HM_ZB_Nsoko!NOC_CI_devex)*(HM_ZB_Nsoko!CA_op_trig)</f>
        <v>0</v>
      </c>
      <c r="BB377" s="49">
        <f ca="1">(HM_ZB_Nsoko!CA_devex_nom*HM_ZB_Nsoko!NOC_CI_devex)*(HM_ZB_Nsoko!CA_op_trig)</f>
        <v>0</v>
      </c>
      <c r="BC377" s="49">
        <f ca="1">(HM_ZB_Nsoko!CA_devex_nom*HM_ZB_Nsoko!NOC_CI_devex)*(HM_ZB_Nsoko!CA_op_trig)</f>
        <v>0</v>
      </c>
      <c r="BD377" s="49">
        <f ca="1">(HM_ZB_Nsoko!CA_devex_nom*HM_ZB_Nsoko!NOC_CI_devex)*(HM_ZB_Nsoko!CA_op_trig)</f>
        <v>0</v>
      </c>
      <c r="BE377" s="49">
        <f ca="1">(HM_ZB_Nsoko!CA_devex_nom*HM_ZB_Nsoko!NOC_CI_devex)*(HM_ZB_Nsoko!CA_op_trig)</f>
        <v>0</v>
      </c>
      <c r="BF377" s="49">
        <f ca="1">(HM_ZB_Nsoko!CA_devex_nom*HM_ZB_Nsoko!NOC_CI_devex)*(HM_ZB_Nsoko!CA_op_trig)</f>
        <v>0</v>
      </c>
      <c r="BG377" s="49">
        <f ca="1">(HM_ZB_Nsoko!CA_devex_nom*HM_ZB_Nsoko!NOC_CI_devex)*(HM_ZB_Nsoko!CA_op_trig)</f>
        <v>0</v>
      </c>
      <c r="BH377" s="49">
        <f ca="1">(HM_ZB_Nsoko!CA_devex_nom*HM_ZB_Nsoko!NOC_CI_devex)*(HM_ZB_Nsoko!CA_op_trig)</f>
        <v>0</v>
      </c>
      <c r="BI377" s="49">
        <f ca="1">(HM_ZB_Nsoko!CA_devex_nom*HM_ZB_Nsoko!NOC_CI_devex)*(HM_ZB_Nsoko!CA_op_trig)</f>
        <v>0</v>
      </c>
      <c r="BJ377" s="49">
        <f ca="1">(HM_ZB_Nsoko!CA_devex_nom*HM_ZB_Nsoko!NOC_CI_devex)*(HM_ZB_Nsoko!CA_op_trig)</f>
        <v>0</v>
      </c>
      <c r="BK377" s="49">
        <f ca="1">(HM_ZB_Nsoko!CA_devex_nom*HM_ZB_Nsoko!NOC_CI_devex)*(HM_ZB_Nsoko!CA_op_trig)</f>
        <v>0</v>
      </c>
      <c r="BL377" s="49">
        <f ca="1">(HM_ZB_Nsoko!CA_devex_nom*HM_ZB_Nsoko!NOC_CI_devex)*(HM_ZB_Nsoko!CA_op_trig)</f>
        <v>0</v>
      </c>
      <c r="BM377" s="49">
        <f ca="1">(HM_ZB_Nsoko!CA_devex_nom*HM_ZB_Nsoko!NOC_CI_devex)*(HM_ZB_Nsoko!CA_op_trig)</f>
        <v>0</v>
      </c>
      <c r="BN377" s="49">
        <f ca="1">(HM_ZB_Nsoko!CA_devex_nom*HM_ZB_Nsoko!NOC_CI_devex)*(HM_ZB_Nsoko!CA_op_trig)</f>
        <v>0</v>
      </c>
      <c r="BO377" s="49">
        <f ca="1">(HM_ZB_Nsoko!CA_devex_nom*HM_ZB_Nsoko!NOC_CI_devex)*(HM_ZB_Nsoko!CA_op_trig)</f>
        <v>0</v>
      </c>
      <c r="BP377" s="49">
        <f ca="1">(HM_ZB_Nsoko!CA_devex_nom*HM_ZB_Nsoko!NOC_CI_devex)*(HM_ZB_Nsoko!CA_op_trig)</f>
        <v>0</v>
      </c>
      <c r="BQ377" s="49">
        <f ca="1">(HM_ZB_Nsoko!CA_devex_nom*HM_ZB_Nsoko!NOC_CI_devex)*(HM_ZB_Nsoko!CA_op_trig)</f>
        <v>0</v>
      </c>
      <c r="BR377" s="49">
        <f ca="1">(HM_ZB_Nsoko!CA_devex_nom*HM_ZB_Nsoko!NOC_CI_devex)*(HM_ZB_Nsoko!CA_op_trig)</f>
        <v>0</v>
      </c>
      <c r="BS377" s="49">
        <f ca="1">(HM_ZB_Nsoko!CA_devex_nom*HM_ZB_Nsoko!NOC_CI_devex)*(HM_ZB_Nsoko!CA_op_trig)</f>
        <v>0</v>
      </c>
    </row>
    <row r="378" spans="1:71" outlineLevel="1" x14ac:dyDescent="0.2">
      <c r="D378" t="str">
        <f>HM_ZA_Nkossa!D367</f>
        <v>Intérêt porté compagnie nationale - Opex</v>
      </c>
      <c r="I378" s="30">
        <f t="shared" ca="1" si="99"/>
        <v>0</v>
      </c>
      <c r="J378" s="26" t="s">
        <v>148</v>
      </c>
      <c r="K378" s="7" t="s">
        <v>360</v>
      </c>
      <c r="L378" s="49">
        <f ca="1">((HM_ZB_Nsoko!CA_varopex_nom+HM_ZB_Nsoko!CA_fixedopex_nom)*(HM_ZB_Nsoko!NOC_CI_opex))*(HM_ZB_Nsoko!CA_op_trig)</f>
        <v>0</v>
      </c>
      <c r="M378" s="49">
        <f ca="1">((HM_ZB_Nsoko!CA_varopex_nom+HM_ZB_Nsoko!CA_fixedopex_nom)*(HM_ZB_Nsoko!NOC_CI_opex))*(HM_ZB_Nsoko!CA_op_trig)</f>
        <v>0</v>
      </c>
      <c r="N378" s="49">
        <f ca="1">((HM_ZB_Nsoko!CA_varopex_nom+HM_ZB_Nsoko!CA_fixedopex_nom)*(HM_ZB_Nsoko!NOC_CI_opex))*(HM_ZB_Nsoko!CA_op_trig)</f>
        <v>0</v>
      </c>
      <c r="O378" s="49">
        <f ca="1">((HM_ZB_Nsoko!CA_varopex_nom+HM_ZB_Nsoko!CA_fixedopex_nom)*(HM_ZB_Nsoko!NOC_CI_opex))*(HM_ZB_Nsoko!CA_op_trig)</f>
        <v>0</v>
      </c>
      <c r="P378" s="49">
        <f ca="1">((HM_ZB_Nsoko!CA_varopex_nom+HM_ZB_Nsoko!CA_fixedopex_nom)*(HM_ZB_Nsoko!NOC_CI_opex))*(HM_ZB_Nsoko!CA_op_trig)</f>
        <v>0</v>
      </c>
      <c r="Q378" s="49">
        <f ca="1">((HM_ZB_Nsoko!CA_varopex_nom+HM_ZB_Nsoko!CA_fixedopex_nom)*(HM_ZB_Nsoko!NOC_CI_opex))*(HM_ZB_Nsoko!CA_op_trig)</f>
        <v>0</v>
      </c>
      <c r="R378" s="49">
        <f ca="1">((HM_ZB_Nsoko!CA_varopex_nom+HM_ZB_Nsoko!CA_fixedopex_nom)*(HM_ZB_Nsoko!NOC_CI_opex))*(HM_ZB_Nsoko!CA_op_trig)</f>
        <v>0</v>
      </c>
      <c r="S378" s="49">
        <f ca="1">((HM_ZB_Nsoko!CA_varopex_nom+HM_ZB_Nsoko!CA_fixedopex_nom)*(HM_ZB_Nsoko!NOC_CI_opex))*(HM_ZB_Nsoko!CA_op_trig)</f>
        <v>0</v>
      </c>
      <c r="T378" s="49">
        <f ca="1">((HM_ZB_Nsoko!CA_varopex_nom+HM_ZB_Nsoko!CA_fixedopex_nom)*(HM_ZB_Nsoko!NOC_CI_opex))*(HM_ZB_Nsoko!CA_op_trig)</f>
        <v>0</v>
      </c>
      <c r="U378" s="49">
        <f ca="1">((HM_ZB_Nsoko!CA_varopex_nom+HM_ZB_Nsoko!CA_fixedopex_nom)*(HM_ZB_Nsoko!NOC_CI_opex))*(HM_ZB_Nsoko!CA_op_trig)</f>
        <v>0</v>
      </c>
      <c r="V378" s="49">
        <f ca="1">((HM_ZB_Nsoko!CA_varopex_nom+HM_ZB_Nsoko!CA_fixedopex_nom)*(HM_ZB_Nsoko!NOC_CI_opex))*(HM_ZB_Nsoko!CA_op_trig)</f>
        <v>0</v>
      </c>
      <c r="W378" s="49">
        <f ca="1">((HM_ZB_Nsoko!CA_varopex_nom+HM_ZB_Nsoko!CA_fixedopex_nom)*(HM_ZB_Nsoko!NOC_CI_opex))*(HM_ZB_Nsoko!CA_op_trig)</f>
        <v>0</v>
      </c>
      <c r="X378" s="49">
        <f ca="1">((HM_ZB_Nsoko!CA_varopex_nom+HM_ZB_Nsoko!CA_fixedopex_nom)*(HM_ZB_Nsoko!NOC_CI_opex))*(HM_ZB_Nsoko!CA_op_trig)</f>
        <v>0</v>
      </c>
      <c r="Y378" s="49">
        <f ca="1">((HM_ZB_Nsoko!CA_varopex_nom+HM_ZB_Nsoko!CA_fixedopex_nom)*(HM_ZB_Nsoko!NOC_CI_opex))*(HM_ZB_Nsoko!CA_op_trig)</f>
        <v>0</v>
      </c>
      <c r="Z378" s="49">
        <f ca="1">((HM_ZB_Nsoko!CA_varopex_nom+HM_ZB_Nsoko!CA_fixedopex_nom)*(HM_ZB_Nsoko!NOC_CI_opex))*(HM_ZB_Nsoko!CA_op_trig)</f>
        <v>0</v>
      </c>
      <c r="AA378" s="49">
        <f ca="1">((HM_ZB_Nsoko!CA_varopex_nom+HM_ZB_Nsoko!CA_fixedopex_nom)*(HM_ZB_Nsoko!NOC_CI_opex))*(HM_ZB_Nsoko!CA_op_trig)</f>
        <v>0</v>
      </c>
      <c r="AB378" s="49">
        <f ca="1">((HM_ZB_Nsoko!CA_varopex_nom+HM_ZB_Nsoko!CA_fixedopex_nom)*(HM_ZB_Nsoko!NOC_CI_opex))*(HM_ZB_Nsoko!CA_op_trig)</f>
        <v>0</v>
      </c>
      <c r="AC378" s="49">
        <f ca="1">((HM_ZB_Nsoko!CA_varopex_nom+HM_ZB_Nsoko!CA_fixedopex_nom)*(HM_ZB_Nsoko!NOC_CI_opex))*(HM_ZB_Nsoko!CA_op_trig)</f>
        <v>0</v>
      </c>
      <c r="AD378" s="49">
        <f ca="1">((HM_ZB_Nsoko!CA_varopex_nom+HM_ZB_Nsoko!CA_fixedopex_nom)*(HM_ZB_Nsoko!NOC_CI_opex))*(HM_ZB_Nsoko!CA_op_trig)</f>
        <v>0</v>
      </c>
      <c r="AE378" s="49">
        <f ca="1">((HM_ZB_Nsoko!CA_varopex_nom+HM_ZB_Nsoko!CA_fixedopex_nom)*(HM_ZB_Nsoko!NOC_CI_opex))*(HM_ZB_Nsoko!CA_op_trig)</f>
        <v>0</v>
      </c>
      <c r="AF378" s="49">
        <f ca="1">((HM_ZB_Nsoko!CA_varopex_nom+HM_ZB_Nsoko!CA_fixedopex_nom)*(HM_ZB_Nsoko!NOC_CI_opex))*(HM_ZB_Nsoko!CA_op_trig)</f>
        <v>0</v>
      </c>
      <c r="AG378" s="49">
        <f ca="1">((HM_ZB_Nsoko!CA_varopex_nom+HM_ZB_Nsoko!CA_fixedopex_nom)*(HM_ZB_Nsoko!NOC_CI_opex))*(HM_ZB_Nsoko!CA_op_trig)</f>
        <v>0</v>
      </c>
      <c r="AH378" s="49">
        <f ca="1">((HM_ZB_Nsoko!CA_varopex_nom+HM_ZB_Nsoko!CA_fixedopex_nom)*(HM_ZB_Nsoko!NOC_CI_opex))*(HM_ZB_Nsoko!CA_op_trig)</f>
        <v>0</v>
      </c>
      <c r="AI378" s="49">
        <f ca="1">((HM_ZB_Nsoko!CA_varopex_nom+HM_ZB_Nsoko!CA_fixedopex_nom)*(HM_ZB_Nsoko!NOC_CI_opex))*(HM_ZB_Nsoko!CA_op_trig)</f>
        <v>0</v>
      </c>
      <c r="AJ378" s="49">
        <f ca="1">((HM_ZB_Nsoko!CA_varopex_nom+HM_ZB_Nsoko!CA_fixedopex_nom)*(HM_ZB_Nsoko!NOC_CI_opex))*(HM_ZB_Nsoko!CA_op_trig)</f>
        <v>0</v>
      </c>
      <c r="AK378" s="49">
        <f ca="1">((HM_ZB_Nsoko!CA_varopex_nom+HM_ZB_Nsoko!CA_fixedopex_nom)*(HM_ZB_Nsoko!NOC_CI_opex))*(HM_ZB_Nsoko!CA_op_trig)</f>
        <v>0</v>
      </c>
      <c r="AL378" s="49">
        <f ca="1">((HM_ZB_Nsoko!CA_varopex_nom+HM_ZB_Nsoko!CA_fixedopex_nom)*(HM_ZB_Nsoko!NOC_CI_opex))*(HM_ZB_Nsoko!CA_op_trig)</f>
        <v>0</v>
      </c>
      <c r="AM378" s="49">
        <f ca="1">((HM_ZB_Nsoko!CA_varopex_nom+HM_ZB_Nsoko!CA_fixedopex_nom)*(HM_ZB_Nsoko!NOC_CI_opex))*(HM_ZB_Nsoko!CA_op_trig)</f>
        <v>0</v>
      </c>
      <c r="AN378" s="49">
        <f ca="1">((HM_ZB_Nsoko!CA_varopex_nom+HM_ZB_Nsoko!CA_fixedopex_nom)*(HM_ZB_Nsoko!NOC_CI_opex))*(HM_ZB_Nsoko!CA_op_trig)</f>
        <v>0</v>
      </c>
      <c r="AO378" s="49">
        <f ca="1">((HM_ZB_Nsoko!CA_varopex_nom+HM_ZB_Nsoko!CA_fixedopex_nom)*(HM_ZB_Nsoko!NOC_CI_opex))*(HM_ZB_Nsoko!CA_op_trig)</f>
        <v>0</v>
      </c>
      <c r="AP378" s="49">
        <f ca="1">((HM_ZB_Nsoko!CA_varopex_nom+HM_ZB_Nsoko!CA_fixedopex_nom)*(HM_ZB_Nsoko!NOC_CI_opex))*(HM_ZB_Nsoko!CA_op_trig)</f>
        <v>0</v>
      </c>
      <c r="AQ378" s="49">
        <f ca="1">((HM_ZB_Nsoko!CA_varopex_nom+HM_ZB_Nsoko!CA_fixedopex_nom)*(HM_ZB_Nsoko!NOC_CI_opex))*(HM_ZB_Nsoko!CA_op_trig)</f>
        <v>0</v>
      </c>
      <c r="AR378" s="49">
        <f ca="1">((HM_ZB_Nsoko!CA_varopex_nom+HM_ZB_Nsoko!CA_fixedopex_nom)*(HM_ZB_Nsoko!NOC_CI_opex))*(HM_ZB_Nsoko!CA_op_trig)</f>
        <v>0</v>
      </c>
      <c r="AS378" s="49">
        <f ca="1">((HM_ZB_Nsoko!CA_varopex_nom+HM_ZB_Nsoko!CA_fixedopex_nom)*(HM_ZB_Nsoko!NOC_CI_opex))*(HM_ZB_Nsoko!CA_op_trig)</f>
        <v>0</v>
      </c>
      <c r="AT378" s="49">
        <f ca="1">((HM_ZB_Nsoko!CA_varopex_nom+HM_ZB_Nsoko!CA_fixedopex_nom)*(HM_ZB_Nsoko!NOC_CI_opex))*(HM_ZB_Nsoko!CA_op_trig)</f>
        <v>0</v>
      </c>
      <c r="AU378" s="49">
        <f ca="1">((HM_ZB_Nsoko!CA_varopex_nom+HM_ZB_Nsoko!CA_fixedopex_nom)*(HM_ZB_Nsoko!NOC_CI_opex))*(HM_ZB_Nsoko!CA_op_trig)</f>
        <v>0</v>
      </c>
      <c r="AV378" s="49">
        <f ca="1">((HM_ZB_Nsoko!CA_varopex_nom+HM_ZB_Nsoko!CA_fixedopex_nom)*(HM_ZB_Nsoko!NOC_CI_opex))*(HM_ZB_Nsoko!CA_op_trig)</f>
        <v>0</v>
      </c>
      <c r="AW378" s="49">
        <f ca="1">((HM_ZB_Nsoko!CA_varopex_nom+HM_ZB_Nsoko!CA_fixedopex_nom)*(HM_ZB_Nsoko!NOC_CI_opex))*(HM_ZB_Nsoko!CA_op_trig)</f>
        <v>0</v>
      </c>
      <c r="AX378" s="49">
        <f ca="1">((HM_ZB_Nsoko!CA_varopex_nom+HM_ZB_Nsoko!CA_fixedopex_nom)*(HM_ZB_Nsoko!NOC_CI_opex))*(HM_ZB_Nsoko!CA_op_trig)</f>
        <v>0</v>
      </c>
      <c r="AY378" s="49">
        <f ca="1">((HM_ZB_Nsoko!CA_varopex_nom+HM_ZB_Nsoko!CA_fixedopex_nom)*(HM_ZB_Nsoko!NOC_CI_opex))*(HM_ZB_Nsoko!CA_op_trig)</f>
        <v>0</v>
      </c>
      <c r="AZ378" s="49">
        <f ca="1">((HM_ZB_Nsoko!CA_varopex_nom+HM_ZB_Nsoko!CA_fixedopex_nom)*(HM_ZB_Nsoko!NOC_CI_opex))*(HM_ZB_Nsoko!CA_op_trig)</f>
        <v>0</v>
      </c>
      <c r="BA378" s="49">
        <f ca="1">((HM_ZB_Nsoko!CA_varopex_nom+HM_ZB_Nsoko!CA_fixedopex_nom)*(HM_ZB_Nsoko!NOC_CI_opex))*(HM_ZB_Nsoko!CA_op_trig)</f>
        <v>0</v>
      </c>
      <c r="BB378" s="49">
        <f ca="1">((HM_ZB_Nsoko!CA_varopex_nom+HM_ZB_Nsoko!CA_fixedopex_nom)*(HM_ZB_Nsoko!NOC_CI_opex))*(HM_ZB_Nsoko!CA_op_trig)</f>
        <v>0</v>
      </c>
      <c r="BC378" s="49">
        <f ca="1">((HM_ZB_Nsoko!CA_varopex_nom+HM_ZB_Nsoko!CA_fixedopex_nom)*(HM_ZB_Nsoko!NOC_CI_opex))*(HM_ZB_Nsoko!CA_op_trig)</f>
        <v>0</v>
      </c>
      <c r="BD378" s="49">
        <f ca="1">((HM_ZB_Nsoko!CA_varopex_nom+HM_ZB_Nsoko!CA_fixedopex_nom)*(HM_ZB_Nsoko!NOC_CI_opex))*(HM_ZB_Nsoko!CA_op_trig)</f>
        <v>0</v>
      </c>
      <c r="BE378" s="49">
        <f ca="1">((HM_ZB_Nsoko!CA_varopex_nom+HM_ZB_Nsoko!CA_fixedopex_nom)*(HM_ZB_Nsoko!NOC_CI_opex))*(HM_ZB_Nsoko!CA_op_trig)</f>
        <v>0</v>
      </c>
      <c r="BF378" s="49">
        <f ca="1">((HM_ZB_Nsoko!CA_varopex_nom+HM_ZB_Nsoko!CA_fixedopex_nom)*(HM_ZB_Nsoko!NOC_CI_opex))*(HM_ZB_Nsoko!CA_op_trig)</f>
        <v>0</v>
      </c>
      <c r="BG378" s="49">
        <f ca="1">((HM_ZB_Nsoko!CA_varopex_nom+HM_ZB_Nsoko!CA_fixedopex_nom)*(HM_ZB_Nsoko!NOC_CI_opex))*(HM_ZB_Nsoko!CA_op_trig)</f>
        <v>0</v>
      </c>
      <c r="BH378" s="49">
        <f ca="1">((HM_ZB_Nsoko!CA_varopex_nom+HM_ZB_Nsoko!CA_fixedopex_nom)*(HM_ZB_Nsoko!NOC_CI_opex))*(HM_ZB_Nsoko!CA_op_trig)</f>
        <v>0</v>
      </c>
      <c r="BI378" s="49">
        <f ca="1">((HM_ZB_Nsoko!CA_varopex_nom+HM_ZB_Nsoko!CA_fixedopex_nom)*(HM_ZB_Nsoko!NOC_CI_opex))*(HM_ZB_Nsoko!CA_op_trig)</f>
        <v>0</v>
      </c>
      <c r="BJ378" s="49">
        <f ca="1">((HM_ZB_Nsoko!CA_varopex_nom+HM_ZB_Nsoko!CA_fixedopex_nom)*(HM_ZB_Nsoko!NOC_CI_opex))*(HM_ZB_Nsoko!CA_op_trig)</f>
        <v>0</v>
      </c>
      <c r="BK378" s="49">
        <f ca="1">((HM_ZB_Nsoko!CA_varopex_nom+HM_ZB_Nsoko!CA_fixedopex_nom)*(HM_ZB_Nsoko!NOC_CI_opex))*(HM_ZB_Nsoko!CA_op_trig)</f>
        <v>0</v>
      </c>
      <c r="BL378" s="49">
        <f ca="1">((HM_ZB_Nsoko!CA_varopex_nom+HM_ZB_Nsoko!CA_fixedopex_nom)*(HM_ZB_Nsoko!NOC_CI_opex))*(HM_ZB_Nsoko!CA_op_trig)</f>
        <v>0</v>
      </c>
      <c r="BM378" s="49">
        <f ca="1">((HM_ZB_Nsoko!CA_varopex_nom+HM_ZB_Nsoko!CA_fixedopex_nom)*(HM_ZB_Nsoko!NOC_CI_opex))*(HM_ZB_Nsoko!CA_op_trig)</f>
        <v>0</v>
      </c>
      <c r="BN378" s="49">
        <f ca="1">((HM_ZB_Nsoko!CA_varopex_nom+HM_ZB_Nsoko!CA_fixedopex_nom)*(HM_ZB_Nsoko!NOC_CI_opex))*(HM_ZB_Nsoko!CA_op_trig)</f>
        <v>0</v>
      </c>
      <c r="BO378" s="49">
        <f ca="1">((HM_ZB_Nsoko!CA_varopex_nom+HM_ZB_Nsoko!CA_fixedopex_nom)*(HM_ZB_Nsoko!NOC_CI_opex))*(HM_ZB_Nsoko!CA_op_trig)</f>
        <v>0</v>
      </c>
      <c r="BP378" s="49">
        <f ca="1">((HM_ZB_Nsoko!CA_varopex_nom+HM_ZB_Nsoko!CA_fixedopex_nom)*(HM_ZB_Nsoko!NOC_CI_opex))*(HM_ZB_Nsoko!CA_op_trig)</f>
        <v>0</v>
      </c>
      <c r="BQ378" s="49">
        <f ca="1">((HM_ZB_Nsoko!CA_varopex_nom+HM_ZB_Nsoko!CA_fixedopex_nom)*(HM_ZB_Nsoko!NOC_CI_opex))*(HM_ZB_Nsoko!CA_op_trig)</f>
        <v>0</v>
      </c>
      <c r="BR378" s="49">
        <f ca="1">((HM_ZB_Nsoko!CA_varopex_nom+HM_ZB_Nsoko!CA_fixedopex_nom)*(HM_ZB_Nsoko!NOC_CI_opex))*(HM_ZB_Nsoko!CA_op_trig)</f>
        <v>0</v>
      </c>
      <c r="BS378" s="49">
        <f ca="1">((HM_ZB_Nsoko!CA_varopex_nom+HM_ZB_Nsoko!CA_fixedopex_nom)*(HM_ZB_Nsoko!NOC_CI_opex))*(HM_ZB_Nsoko!CA_op_trig)</f>
        <v>0</v>
      </c>
    </row>
    <row r="379" spans="1:71" outlineLevel="1" x14ac:dyDescent="0.2">
      <c r="D379" s="11" t="str">
        <f>HM_ZA_Nkossa!D368</f>
        <v>Total</v>
      </c>
      <c r="I379" s="30">
        <f t="shared" ca="1" si="99"/>
        <v>6.1300499999999998</v>
      </c>
      <c r="J379" s="26" t="s">
        <v>148</v>
      </c>
      <c r="L379" s="49">
        <f ca="1">SUM(L376:L378)</f>
        <v>0.12180000000000001</v>
      </c>
      <c r="M379" s="49">
        <f t="shared" ref="M379:BS379" ca="1" si="100">SUM(M376:M378)</f>
        <v>5.8426499999999999</v>
      </c>
      <c r="N379" s="49">
        <f t="shared" ca="1" si="100"/>
        <v>0.10379999999999999</v>
      </c>
      <c r="O379" s="49">
        <f t="shared" ca="1" si="100"/>
        <v>2.3400000000000001E-2</v>
      </c>
      <c r="P379" s="49">
        <f t="shared" ca="1" si="100"/>
        <v>3.8399999999999997E-2</v>
      </c>
      <c r="Q379" s="49">
        <f t="shared" ca="1" si="100"/>
        <v>0</v>
      </c>
      <c r="R379" s="49">
        <f t="shared" ca="1" si="100"/>
        <v>0</v>
      </c>
      <c r="S379" s="49">
        <f t="shared" ca="1" si="100"/>
        <v>0</v>
      </c>
      <c r="T379" s="49">
        <f t="shared" ca="1" si="100"/>
        <v>0</v>
      </c>
      <c r="U379" s="49">
        <f t="shared" ca="1" si="100"/>
        <v>0</v>
      </c>
      <c r="V379" s="49">
        <f t="shared" ca="1" si="100"/>
        <v>0</v>
      </c>
      <c r="W379" s="49">
        <f t="shared" ca="1" si="100"/>
        <v>0</v>
      </c>
      <c r="X379" s="49">
        <f t="shared" ca="1" si="100"/>
        <v>0</v>
      </c>
      <c r="Y379" s="49">
        <f t="shared" ca="1" si="100"/>
        <v>0</v>
      </c>
      <c r="Z379" s="49">
        <f t="shared" ca="1" si="100"/>
        <v>0</v>
      </c>
      <c r="AA379" s="49">
        <f t="shared" ca="1" si="100"/>
        <v>0</v>
      </c>
      <c r="AB379" s="49">
        <f t="shared" ca="1" si="100"/>
        <v>0</v>
      </c>
      <c r="AC379" s="49">
        <f t="shared" ca="1" si="100"/>
        <v>0</v>
      </c>
      <c r="AD379" s="49">
        <f t="shared" ca="1" si="100"/>
        <v>0</v>
      </c>
      <c r="AE379" s="49">
        <f t="shared" ca="1" si="100"/>
        <v>0</v>
      </c>
      <c r="AF379" s="49">
        <f t="shared" ca="1" si="100"/>
        <v>0</v>
      </c>
      <c r="AG379" s="49">
        <f t="shared" ca="1" si="100"/>
        <v>0</v>
      </c>
      <c r="AH379" s="49">
        <f t="shared" ca="1" si="100"/>
        <v>0</v>
      </c>
      <c r="AI379" s="49">
        <f t="shared" ca="1" si="100"/>
        <v>0</v>
      </c>
      <c r="AJ379" s="49">
        <f t="shared" ca="1" si="100"/>
        <v>0</v>
      </c>
      <c r="AK379" s="49">
        <f t="shared" ca="1" si="100"/>
        <v>0</v>
      </c>
      <c r="AL379" s="49">
        <f t="shared" ca="1" si="100"/>
        <v>0</v>
      </c>
      <c r="AM379" s="49">
        <f t="shared" ca="1" si="100"/>
        <v>0</v>
      </c>
      <c r="AN379" s="49">
        <f t="shared" ca="1" si="100"/>
        <v>0</v>
      </c>
      <c r="AO379" s="49">
        <f t="shared" ca="1" si="100"/>
        <v>0</v>
      </c>
      <c r="AP379" s="49">
        <f t="shared" ca="1" si="100"/>
        <v>0</v>
      </c>
      <c r="AQ379" s="49">
        <f t="shared" ca="1" si="100"/>
        <v>0</v>
      </c>
      <c r="AR379" s="49">
        <f t="shared" ca="1" si="100"/>
        <v>0</v>
      </c>
      <c r="AS379" s="49">
        <f t="shared" ca="1" si="100"/>
        <v>0</v>
      </c>
      <c r="AT379" s="49">
        <f t="shared" ca="1" si="100"/>
        <v>0</v>
      </c>
      <c r="AU379" s="49">
        <f t="shared" ca="1" si="100"/>
        <v>0</v>
      </c>
      <c r="AV379" s="49">
        <f t="shared" ca="1" si="100"/>
        <v>0</v>
      </c>
      <c r="AW379" s="49">
        <f t="shared" ca="1" si="100"/>
        <v>0</v>
      </c>
      <c r="AX379" s="49">
        <f t="shared" ca="1" si="100"/>
        <v>0</v>
      </c>
      <c r="AY379" s="49">
        <f t="shared" ca="1" si="100"/>
        <v>0</v>
      </c>
      <c r="AZ379" s="49">
        <f t="shared" ca="1" si="100"/>
        <v>0</v>
      </c>
      <c r="BA379" s="49">
        <f t="shared" ca="1" si="100"/>
        <v>0</v>
      </c>
      <c r="BB379" s="49">
        <f t="shared" ca="1" si="100"/>
        <v>0</v>
      </c>
      <c r="BC379" s="49">
        <f t="shared" ca="1" si="100"/>
        <v>0</v>
      </c>
      <c r="BD379" s="49">
        <f t="shared" ca="1" si="100"/>
        <v>0</v>
      </c>
      <c r="BE379" s="49">
        <f t="shared" ca="1" si="100"/>
        <v>0</v>
      </c>
      <c r="BF379" s="49">
        <f t="shared" ca="1" si="100"/>
        <v>0</v>
      </c>
      <c r="BG379" s="49">
        <f t="shared" ca="1" si="100"/>
        <v>0</v>
      </c>
      <c r="BH379" s="49">
        <f t="shared" ca="1" si="100"/>
        <v>0</v>
      </c>
      <c r="BI379" s="49">
        <f t="shared" ca="1" si="100"/>
        <v>0</v>
      </c>
      <c r="BJ379" s="49">
        <f t="shared" ca="1" si="100"/>
        <v>0</v>
      </c>
      <c r="BK379" s="49">
        <f t="shared" ca="1" si="100"/>
        <v>0</v>
      </c>
      <c r="BL379" s="49">
        <f t="shared" ca="1" si="100"/>
        <v>0</v>
      </c>
      <c r="BM379" s="49">
        <f t="shared" ca="1" si="100"/>
        <v>0</v>
      </c>
      <c r="BN379" s="49">
        <f t="shared" ca="1" si="100"/>
        <v>0</v>
      </c>
      <c r="BO379" s="49">
        <f t="shared" ca="1" si="100"/>
        <v>0</v>
      </c>
      <c r="BP379" s="49">
        <f t="shared" ca="1" si="100"/>
        <v>0</v>
      </c>
      <c r="BQ379" s="49">
        <f t="shared" ca="1" si="100"/>
        <v>0</v>
      </c>
      <c r="BR379" s="49">
        <f t="shared" ca="1" si="100"/>
        <v>0</v>
      </c>
      <c r="BS379" s="49">
        <f t="shared" ca="1" si="100"/>
        <v>0</v>
      </c>
    </row>
    <row r="380" spans="1:71" outlineLevel="1" x14ac:dyDescent="0.2">
      <c r="J380" s="26"/>
      <c r="L380" s="55"/>
      <c r="M380" s="55"/>
      <c r="N380" s="55"/>
      <c r="O380" s="55"/>
      <c r="P380" s="55"/>
      <c r="Q380" s="55"/>
      <c r="R380" s="55"/>
      <c r="S380" s="55"/>
      <c r="T380" s="55"/>
      <c r="U380" s="55"/>
      <c r="V380" s="55"/>
      <c r="W380" s="55"/>
      <c r="X380" s="55"/>
      <c r="Y380" s="55"/>
      <c r="Z380" s="55"/>
      <c r="AA380" s="55"/>
      <c r="AB380" s="55"/>
      <c r="AC380" s="55"/>
      <c r="AD380" s="55"/>
      <c r="AE380" s="55"/>
      <c r="AF380" s="55"/>
      <c r="AG380" s="55"/>
      <c r="AH380" s="55"/>
      <c r="AI380" s="55"/>
      <c r="AJ380" s="55"/>
      <c r="AK380" s="55"/>
      <c r="AL380" s="55"/>
      <c r="AM380" s="55"/>
      <c r="AN380" s="55"/>
      <c r="AO380" s="55"/>
      <c r="AP380" s="55"/>
      <c r="AQ380" s="55"/>
      <c r="AR380" s="55"/>
      <c r="AS380" s="55"/>
      <c r="AT380" s="55"/>
      <c r="AU380" s="55"/>
      <c r="AV380" s="55"/>
      <c r="AW380" s="55"/>
      <c r="AX380" s="55"/>
      <c r="AY380" s="55"/>
      <c r="AZ380" s="55"/>
      <c r="BA380" s="55"/>
      <c r="BB380" s="55"/>
      <c r="BC380" s="55"/>
      <c r="BD380" s="55"/>
      <c r="BE380" s="55"/>
      <c r="BF380" s="55"/>
      <c r="BG380" s="55"/>
      <c r="BH380" s="55"/>
      <c r="BI380" s="55"/>
      <c r="BJ380" s="55"/>
      <c r="BK380" s="55"/>
      <c r="BL380" s="55"/>
      <c r="BM380" s="55"/>
      <c r="BN380" s="55"/>
      <c r="BO380" s="55"/>
      <c r="BP380" s="55"/>
      <c r="BQ380" s="55"/>
      <c r="BR380" s="55"/>
      <c r="BS380" s="55"/>
    </row>
    <row r="381" spans="1:71" outlineLevel="1" x14ac:dyDescent="0.2">
      <c r="C381" s="11" t="str">
        <f>HM_ZA_Nkossa!C370</f>
        <v>Remboursement du portage compagnie nationale - Coûts exploration</v>
      </c>
      <c r="J381" s="26"/>
      <c r="L381" s="55"/>
      <c r="M381" s="55"/>
      <c r="N381" s="55"/>
      <c r="O381" s="55"/>
      <c r="P381" s="55"/>
      <c r="Q381" s="55"/>
      <c r="R381" s="55"/>
      <c r="S381" s="55"/>
      <c r="T381" s="55"/>
      <c r="U381" s="55"/>
      <c r="V381" s="55"/>
      <c r="W381" s="55"/>
      <c r="X381" s="55"/>
      <c r="Y381" s="55"/>
      <c r="Z381" s="55"/>
      <c r="AA381" s="55"/>
      <c r="AB381" s="55"/>
      <c r="AC381" s="55"/>
      <c r="AD381" s="55"/>
      <c r="AE381" s="55"/>
      <c r="AF381" s="55"/>
      <c r="AG381" s="55"/>
      <c r="AH381" s="55"/>
      <c r="AI381" s="55"/>
      <c r="AJ381" s="55"/>
      <c r="AK381" s="55"/>
      <c r="AL381" s="55"/>
      <c r="AM381" s="55"/>
      <c r="AN381" s="55"/>
      <c r="AO381" s="55"/>
      <c r="AP381" s="55"/>
      <c r="AQ381" s="55"/>
      <c r="AR381" s="55"/>
      <c r="AS381" s="55"/>
      <c r="AT381" s="55"/>
      <c r="AU381" s="55"/>
      <c r="AV381" s="55"/>
      <c r="AW381" s="55"/>
      <c r="AX381" s="55"/>
      <c r="AY381" s="55"/>
      <c r="AZ381" s="55"/>
      <c r="BA381" s="55"/>
      <c r="BB381" s="55"/>
      <c r="BC381" s="55"/>
      <c r="BD381" s="55"/>
      <c r="BE381" s="55"/>
      <c r="BF381" s="55"/>
      <c r="BG381" s="55"/>
      <c r="BH381" s="55"/>
      <c r="BI381" s="55"/>
      <c r="BJ381" s="55"/>
      <c r="BK381" s="55"/>
      <c r="BL381" s="55"/>
      <c r="BM381" s="55"/>
      <c r="BN381" s="55"/>
      <c r="BO381" s="55"/>
      <c r="BP381" s="55"/>
      <c r="BQ381" s="55"/>
      <c r="BR381" s="55"/>
      <c r="BS381" s="55"/>
    </row>
    <row r="382" spans="1:71" outlineLevel="1" x14ac:dyDescent="0.2">
      <c r="D382" t="str">
        <f>HM_ZA_Nkossa!D371</f>
        <v>Coûts portés Solde d'ouverture</v>
      </c>
      <c r="J382" s="26"/>
      <c r="L382" s="49">
        <f>K385</f>
        <v>0</v>
      </c>
      <c r="M382" s="49">
        <f t="shared" ref="M382:BS382" ca="1" si="101">L385</f>
        <v>0</v>
      </c>
      <c r="N382" s="49">
        <f t="shared" ca="1" si="101"/>
        <v>0</v>
      </c>
      <c r="O382" s="49">
        <f t="shared" ca="1" si="101"/>
        <v>0</v>
      </c>
      <c r="P382" s="49">
        <f t="shared" ca="1" si="101"/>
        <v>0</v>
      </c>
      <c r="Q382" s="49">
        <f t="shared" ca="1" si="101"/>
        <v>0</v>
      </c>
      <c r="R382" s="49">
        <f t="shared" ca="1" si="101"/>
        <v>0</v>
      </c>
      <c r="S382" s="49">
        <f t="shared" ca="1" si="101"/>
        <v>0</v>
      </c>
      <c r="T382" s="49">
        <f t="shared" ca="1" si="101"/>
        <v>0</v>
      </c>
      <c r="U382" s="49">
        <f t="shared" ca="1" si="101"/>
        <v>0</v>
      </c>
      <c r="V382" s="49">
        <f t="shared" ca="1" si="101"/>
        <v>0</v>
      </c>
      <c r="W382" s="49">
        <f t="shared" ca="1" si="101"/>
        <v>0</v>
      </c>
      <c r="X382" s="49">
        <f t="shared" ca="1" si="101"/>
        <v>0</v>
      </c>
      <c r="Y382" s="49">
        <f t="shared" ca="1" si="101"/>
        <v>0</v>
      </c>
      <c r="Z382" s="49">
        <f t="shared" ca="1" si="101"/>
        <v>0</v>
      </c>
      <c r="AA382" s="49">
        <f t="shared" ca="1" si="101"/>
        <v>0</v>
      </c>
      <c r="AB382" s="49">
        <f t="shared" ca="1" si="101"/>
        <v>0</v>
      </c>
      <c r="AC382" s="49">
        <f t="shared" ca="1" si="101"/>
        <v>0</v>
      </c>
      <c r="AD382" s="49">
        <f t="shared" ca="1" si="101"/>
        <v>0</v>
      </c>
      <c r="AE382" s="49">
        <f t="shared" ca="1" si="101"/>
        <v>0</v>
      </c>
      <c r="AF382" s="49">
        <f t="shared" ca="1" si="101"/>
        <v>0</v>
      </c>
      <c r="AG382" s="49">
        <f t="shared" ca="1" si="101"/>
        <v>0</v>
      </c>
      <c r="AH382" s="49">
        <f t="shared" ca="1" si="101"/>
        <v>0</v>
      </c>
      <c r="AI382" s="49">
        <f t="shared" ca="1" si="101"/>
        <v>0</v>
      </c>
      <c r="AJ382" s="49">
        <f t="shared" ca="1" si="101"/>
        <v>0</v>
      </c>
      <c r="AK382" s="49">
        <f t="shared" ca="1" si="101"/>
        <v>0</v>
      </c>
      <c r="AL382" s="49">
        <f t="shared" ca="1" si="101"/>
        <v>0</v>
      </c>
      <c r="AM382" s="49">
        <f t="shared" ca="1" si="101"/>
        <v>0</v>
      </c>
      <c r="AN382" s="49">
        <f t="shared" ca="1" si="101"/>
        <v>0</v>
      </c>
      <c r="AO382" s="49">
        <f t="shared" ca="1" si="101"/>
        <v>0</v>
      </c>
      <c r="AP382" s="49">
        <f t="shared" ca="1" si="101"/>
        <v>0</v>
      </c>
      <c r="AQ382" s="49">
        <f t="shared" ca="1" si="101"/>
        <v>0</v>
      </c>
      <c r="AR382" s="49">
        <f t="shared" ca="1" si="101"/>
        <v>0</v>
      </c>
      <c r="AS382" s="49">
        <f t="shared" ca="1" si="101"/>
        <v>0</v>
      </c>
      <c r="AT382" s="49">
        <f t="shared" ca="1" si="101"/>
        <v>0</v>
      </c>
      <c r="AU382" s="49">
        <f t="shared" ca="1" si="101"/>
        <v>0</v>
      </c>
      <c r="AV382" s="49">
        <f t="shared" ca="1" si="101"/>
        <v>0</v>
      </c>
      <c r="AW382" s="49">
        <f t="shared" ca="1" si="101"/>
        <v>0</v>
      </c>
      <c r="AX382" s="49">
        <f t="shared" ca="1" si="101"/>
        <v>0</v>
      </c>
      <c r="AY382" s="49">
        <f t="shared" ca="1" si="101"/>
        <v>0</v>
      </c>
      <c r="AZ382" s="49">
        <f t="shared" ca="1" si="101"/>
        <v>0</v>
      </c>
      <c r="BA382" s="49">
        <f t="shared" ca="1" si="101"/>
        <v>0</v>
      </c>
      <c r="BB382" s="49">
        <f t="shared" ca="1" si="101"/>
        <v>0</v>
      </c>
      <c r="BC382" s="49">
        <f t="shared" ca="1" si="101"/>
        <v>0</v>
      </c>
      <c r="BD382" s="49">
        <f t="shared" ca="1" si="101"/>
        <v>0</v>
      </c>
      <c r="BE382" s="49">
        <f t="shared" ca="1" si="101"/>
        <v>0</v>
      </c>
      <c r="BF382" s="49">
        <f t="shared" ca="1" si="101"/>
        <v>0</v>
      </c>
      <c r="BG382" s="49">
        <f t="shared" ca="1" si="101"/>
        <v>0</v>
      </c>
      <c r="BH382" s="49">
        <f t="shared" ca="1" si="101"/>
        <v>0</v>
      </c>
      <c r="BI382" s="49">
        <f t="shared" ca="1" si="101"/>
        <v>0</v>
      </c>
      <c r="BJ382" s="49">
        <f t="shared" ca="1" si="101"/>
        <v>0</v>
      </c>
      <c r="BK382" s="49">
        <f t="shared" ca="1" si="101"/>
        <v>0</v>
      </c>
      <c r="BL382" s="49">
        <f t="shared" ca="1" si="101"/>
        <v>0</v>
      </c>
      <c r="BM382" s="49">
        <f t="shared" ca="1" si="101"/>
        <v>0</v>
      </c>
      <c r="BN382" s="49">
        <f t="shared" ca="1" si="101"/>
        <v>0</v>
      </c>
      <c r="BO382" s="49">
        <f t="shared" ca="1" si="101"/>
        <v>0</v>
      </c>
      <c r="BP382" s="49">
        <f t="shared" ca="1" si="101"/>
        <v>0</v>
      </c>
      <c r="BQ382" s="49">
        <f t="shared" ca="1" si="101"/>
        <v>0</v>
      </c>
      <c r="BR382" s="49">
        <f t="shared" ca="1" si="101"/>
        <v>0</v>
      </c>
      <c r="BS382" s="49">
        <f t="shared" ca="1" si="101"/>
        <v>0</v>
      </c>
    </row>
    <row r="383" spans="1:71" outlineLevel="1" x14ac:dyDescent="0.2">
      <c r="D383" s="50" t="str">
        <f>HM_ZA_Nkossa!D372</f>
        <v>Coûts portés pour la période</v>
      </c>
      <c r="I383" s="30">
        <f t="shared" ref="I383:I384" ca="1" si="102">SUM($L383:$BS383)</f>
        <v>0</v>
      </c>
      <c r="J383" s="26" t="s">
        <v>148</v>
      </c>
      <c r="L383" s="49">
        <f ca="1">L376</f>
        <v>0</v>
      </c>
      <c r="M383" s="49">
        <f t="shared" ref="M383:BS383" ca="1" si="103">M376</f>
        <v>0</v>
      </c>
      <c r="N383" s="49">
        <f t="shared" ca="1" si="103"/>
        <v>0</v>
      </c>
      <c r="O383" s="49">
        <f t="shared" ca="1" si="103"/>
        <v>0</v>
      </c>
      <c r="P383" s="49">
        <f t="shared" ca="1" si="103"/>
        <v>0</v>
      </c>
      <c r="Q383" s="49">
        <f t="shared" ca="1" si="103"/>
        <v>0</v>
      </c>
      <c r="R383" s="49">
        <f t="shared" ca="1" si="103"/>
        <v>0</v>
      </c>
      <c r="S383" s="49">
        <f t="shared" ca="1" si="103"/>
        <v>0</v>
      </c>
      <c r="T383" s="49">
        <f t="shared" ca="1" si="103"/>
        <v>0</v>
      </c>
      <c r="U383" s="49">
        <f t="shared" ca="1" si="103"/>
        <v>0</v>
      </c>
      <c r="V383" s="49">
        <f t="shared" ca="1" si="103"/>
        <v>0</v>
      </c>
      <c r="W383" s="49">
        <f t="shared" ca="1" si="103"/>
        <v>0</v>
      </c>
      <c r="X383" s="49">
        <f t="shared" ca="1" si="103"/>
        <v>0</v>
      </c>
      <c r="Y383" s="49">
        <f t="shared" ca="1" si="103"/>
        <v>0</v>
      </c>
      <c r="Z383" s="49">
        <f t="shared" ca="1" si="103"/>
        <v>0</v>
      </c>
      <c r="AA383" s="49">
        <f t="shared" ca="1" si="103"/>
        <v>0</v>
      </c>
      <c r="AB383" s="49">
        <f t="shared" ca="1" si="103"/>
        <v>0</v>
      </c>
      <c r="AC383" s="49">
        <f t="shared" ca="1" si="103"/>
        <v>0</v>
      </c>
      <c r="AD383" s="49">
        <f t="shared" ca="1" si="103"/>
        <v>0</v>
      </c>
      <c r="AE383" s="49">
        <f t="shared" ca="1" si="103"/>
        <v>0</v>
      </c>
      <c r="AF383" s="49">
        <f t="shared" ca="1" si="103"/>
        <v>0</v>
      </c>
      <c r="AG383" s="49">
        <f t="shared" ca="1" si="103"/>
        <v>0</v>
      </c>
      <c r="AH383" s="49">
        <f t="shared" ca="1" si="103"/>
        <v>0</v>
      </c>
      <c r="AI383" s="49">
        <f t="shared" ca="1" si="103"/>
        <v>0</v>
      </c>
      <c r="AJ383" s="49">
        <f t="shared" ca="1" si="103"/>
        <v>0</v>
      </c>
      <c r="AK383" s="49">
        <f t="shared" ca="1" si="103"/>
        <v>0</v>
      </c>
      <c r="AL383" s="49">
        <f t="shared" ca="1" si="103"/>
        <v>0</v>
      </c>
      <c r="AM383" s="49">
        <f t="shared" ca="1" si="103"/>
        <v>0</v>
      </c>
      <c r="AN383" s="49">
        <f t="shared" ca="1" si="103"/>
        <v>0</v>
      </c>
      <c r="AO383" s="49">
        <f t="shared" ca="1" si="103"/>
        <v>0</v>
      </c>
      <c r="AP383" s="49">
        <f t="shared" ca="1" si="103"/>
        <v>0</v>
      </c>
      <c r="AQ383" s="49">
        <f t="shared" ca="1" si="103"/>
        <v>0</v>
      </c>
      <c r="AR383" s="49">
        <f t="shared" ca="1" si="103"/>
        <v>0</v>
      </c>
      <c r="AS383" s="49">
        <f t="shared" ca="1" si="103"/>
        <v>0</v>
      </c>
      <c r="AT383" s="49">
        <f t="shared" ca="1" si="103"/>
        <v>0</v>
      </c>
      <c r="AU383" s="49">
        <f t="shared" ca="1" si="103"/>
        <v>0</v>
      </c>
      <c r="AV383" s="49">
        <f t="shared" ca="1" si="103"/>
        <v>0</v>
      </c>
      <c r="AW383" s="49">
        <f t="shared" ca="1" si="103"/>
        <v>0</v>
      </c>
      <c r="AX383" s="49">
        <f t="shared" ca="1" si="103"/>
        <v>0</v>
      </c>
      <c r="AY383" s="49">
        <f t="shared" ca="1" si="103"/>
        <v>0</v>
      </c>
      <c r="AZ383" s="49">
        <f t="shared" ca="1" si="103"/>
        <v>0</v>
      </c>
      <c r="BA383" s="49">
        <f t="shared" ca="1" si="103"/>
        <v>0</v>
      </c>
      <c r="BB383" s="49">
        <f t="shared" ca="1" si="103"/>
        <v>0</v>
      </c>
      <c r="BC383" s="49">
        <f t="shared" ca="1" si="103"/>
        <v>0</v>
      </c>
      <c r="BD383" s="49">
        <f t="shared" ca="1" si="103"/>
        <v>0</v>
      </c>
      <c r="BE383" s="49">
        <f t="shared" ca="1" si="103"/>
        <v>0</v>
      </c>
      <c r="BF383" s="49">
        <f t="shared" ca="1" si="103"/>
        <v>0</v>
      </c>
      <c r="BG383" s="49">
        <f t="shared" ca="1" si="103"/>
        <v>0</v>
      </c>
      <c r="BH383" s="49">
        <f t="shared" ca="1" si="103"/>
        <v>0</v>
      </c>
      <c r="BI383" s="49">
        <f t="shared" ca="1" si="103"/>
        <v>0</v>
      </c>
      <c r="BJ383" s="49">
        <f t="shared" ca="1" si="103"/>
        <v>0</v>
      </c>
      <c r="BK383" s="49">
        <f t="shared" ca="1" si="103"/>
        <v>0</v>
      </c>
      <c r="BL383" s="49">
        <f t="shared" ca="1" si="103"/>
        <v>0</v>
      </c>
      <c r="BM383" s="49">
        <f t="shared" ca="1" si="103"/>
        <v>0</v>
      </c>
      <c r="BN383" s="49">
        <f t="shared" ca="1" si="103"/>
        <v>0</v>
      </c>
      <c r="BO383" s="49">
        <f t="shared" ca="1" si="103"/>
        <v>0</v>
      </c>
      <c r="BP383" s="49">
        <f t="shared" ca="1" si="103"/>
        <v>0</v>
      </c>
      <c r="BQ383" s="49">
        <f t="shared" ca="1" si="103"/>
        <v>0</v>
      </c>
      <c r="BR383" s="49">
        <f t="shared" ca="1" si="103"/>
        <v>0</v>
      </c>
      <c r="BS383" s="49">
        <f t="shared" ca="1" si="103"/>
        <v>0</v>
      </c>
    </row>
    <row r="384" spans="1:71" outlineLevel="1" x14ac:dyDescent="0.2">
      <c r="D384" s="50" t="str">
        <f>HM_ZA_Nkossa!D373</f>
        <v>Remboursement du portage</v>
      </c>
      <c r="I384" s="30">
        <f t="shared" ca="1" si="102"/>
        <v>0</v>
      </c>
      <c r="J384" s="26" t="s">
        <v>148</v>
      </c>
      <c r="L384" s="49">
        <f ca="1">-MIN(SUM(L382:L383),SUM(L$350,L$355)*HM_ZB_Nsoko!NOC_rpmt_max_perc)*HM_ZB_Nsoko!NOC_CI_expex_rpmt</f>
        <v>0</v>
      </c>
      <c r="M384" s="49">
        <f ca="1">-MIN(SUM(M382:M383),SUM(M$350,M$355)*HM_ZB_Nsoko!NOC_rpmt_max_perc)*HM_ZB_Nsoko!NOC_CI_expex_rpmt</f>
        <v>0</v>
      </c>
      <c r="N384" s="49">
        <f ca="1">-MIN(SUM(N382:N383),SUM(N$350,N$355)*HM_ZB_Nsoko!NOC_rpmt_max_perc)*HM_ZB_Nsoko!NOC_CI_expex_rpmt</f>
        <v>0</v>
      </c>
      <c r="O384" s="49">
        <f ca="1">-MIN(SUM(O382:O383),SUM(O$350,O$355)*HM_ZB_Nsoko!NOC_rpmt_max_perc)*HM_ZB_Nsoko!NOC_CI_expex_rpmt</f>
        <v>0</v>
      </c>
      <c r="P384" s="49">
        <f ca="1">-MIN(SUM(P382:P383),SUM(P$350,P$355)*HM_ZB_Nsoko!NOC_rpmt_max_perc)*HM_ZB_Nsoko!NOC_CI_expex_rpmt</f>
        <v>0</v>
      </c>
      <c r="Q384" s="49">
        <f ca="1">-MIN(SUM(Q382:Q383),SUM(Q$350,Q$355)*HM_ZB_Nsoko!NOC_rpmt_max_perc)*HM_ZB_Nsoko!NOC_CI_expex_rpmt</f>
        <v>0</v>
      </c>
      <c r="R384" s="49">
        <f ca="1">-MIN(SUM(R382:R383),SUM(R$350,R$355)*HM_ZB_Nsoko!NOC_rpmt_max_perc)*HM_ZB_Nsoko!NOC_CI_expex_rpmt</f>
        <v>0</v>
      </c>
      <c r="S384" s="49">
        <f ca="1">-MIN(SUM(S382:S383),SUM(S$350,S$355)*HM_ZB_Nsoko!NOC_rpmt_max_perc)*HM_ZB_Nsoko!NOC_CI_expex_rpmt</f>
        <v>0</v>
      </c>
      <c r="T384" s="49">
        <f ca="1">-MIN(SUM(T382:T383),SUM(T$350,T$355)*HM_ZB_Nsoko!NOC_rpmt_max_perc)*HM_ZB_Nsoko!NOC_CI_expex_rpmt</f>
        <v>0</v>
      </c>
      <c r="U384" s="49">
        <f ca="1">-MIN(SUM(U382:U383),SUM(U$350,U$355)*HM_ZB_Nsoko!NOC_rpmt_max_perc)*HM_ZB_Nsoko!NOC_CI_expex_rpmt</f>
        <v>0</v>
      </c>
      <c r="V384" s="49">
        <f ca="1">-MIN(SUM(V382:V383),SUM(V$350,V$355)*HM_ZB_Nsoko!NOC_rpmt_max_perc)*HM_ZB_Nsoko!NOC_CI_expex_rpmt</f>
        <v>0</v>
      </c>
      <c r="W384" s="49">
        <f ca="1">-MIN(SUM(W382:W383),SUM(W$350,W$355)*HM_ZB_Nsoko!NOC_rpmt_max_perc)*HM_ZB_Nsoko!NOC_CI_expex_rpmt</f>
        <v>0</v>
      </c>
      <c r="X384" s="49">
        <f ca="1">-MIN(SUM(X382:X383),SUM(X$350,X$355)*HM_ZB_Nsoko!NOC_rpmt_max_perc)*HM_ZB_Nsoko!NOC_CI_expex_rpmt</f>
        <v>0</v>
      </c>
      <c r="Y384" s="49">
        <f ca="1">-MIN(SUM(Y382:Y383),SUM(Y$350,Y$355)*HM_ZB_Nsoko!NOC_rpmt_max_perc)*HM_ZB_Nsoko!NOC_CI_expex_rpmt</f>
        <v>0</v>
      </c>
      <c r="Z384" s="49">
        <f ca="1">-MIN(SUM(Z382:Z383),SUM(Z$350,Z$355)*HM_ZB_Nsoko!NOC_rpmt_max_perc)*HM_ZB_Nsoko!NOC_CI_expex_rpmt</f>
        <v>0</v>
      </c>
      <c r="AA384" s="49">
        <f ca="1">-MIN(SUM(AA382:AA383),SUM(AA$350,AA$355)*HM_ZB_Nsoko!NOC_rpmt_max_perc)*HM_ZB_Nsoko!NOC_CI_expex_rpmt</f>
        <v>0</v>
      </c>
      <c r="AB384" s="49">
        <f ca="1">-MIN(SUM(AB382:AB383),SUM(AB$350,AB$355)*HM_ZB_Nsoko!NOC_rpmt_max_perc)*HM_ZB_Nsoko!NOC_CI_expex_rpmt</f>
        <v>0</v>
      </c>
      <c r="AC384" s="49">
        <f ca="1">-MIN(SUM(AC382:AC383),SUM(AC$350,AC$355)*HM_ZB_Nsoko!NOC_rpmt_max_perc)*HM_ZB_Nsoko!NOC_CI_expex_rpmt</f>
        <v>0</v>
      </c>
      <c r="AD384" s="49">
        <f ca="1">-MIN(SUM(AD382:AD383),SUM(AD$350,AD$355)*HM_ZB_Nsoko!NOC_rpmt_max_perc)*HM_ZB_Nsoko!NOC_CI_expex_rpmt</f>
        <v>0</v>
      </c>
      <c r="AE384" s="49">
        <f ca="1">-MIN(SUM(AE382:AE383),SUM(AE$350,AE$355)*HM_ZB_Nsoko!NOC_rpmt_max_perc)*HM_ZB_Nsoko!NOC_CI_expex_rpmt</f>
        <v>0</v>
      </c>
      <c r="AF384" s="49">
        <f ca="1">-MIN(SUM(AF382:AF383),SUM(AF$350,AF$355)*HM_ZB_Nsoko!NOC_rpmt_max_perc)*HM_ZB_Nsoko!NOC_CI_expex_rpmt</f>
        <v>0</v>
      </c>
      <c r="AG384" s="49">
        <f ca="1">-MIN(SUM(AG382:AG383),SUM(AG$350,AG$355)*HM_ZB_Nsoko!NOC_rpmt_max_perc)*HM_ZB_Nsoko!NOC_CI_expex_rpmt</f>
        <v>0</v>
      </c>
      <c r="AH384" s="49">
        <f ca="1">-MIN(SUM(AH382:AH383),SUM(AH$350,AH$355)*HM_ZB_Nsoko!NOC_rpmt_max_perc)*HM_ZB_Nsoko!NOC_CI_expex_rpmt</f>
        <v>0</v>
      </c>
      <c r="AI384" s="49">
        <f ca="1">-MIN(SUM(AI382:AI383),SUM(AI$350,AI$355)*HM_ZB_Nsoko!NOC_rpmt_max_perc)*HM_ZB_Nsoko!NOC_CI_expex_rpmt</f>
        <v>0</v>
      </c>
      <c r="AJ384" s="49">
        <f ca="1">-MIN(SUM(AJ382:AJ383),SUM(AJ$350,AJ$355)*HM_ZB_Nsoko!NOC_rpmt_max_perc)*HM_ZB_Nsoko!NOC_CI_expex_rpmt</f>
        <v>0</v>
      </c>
      <c r="AK384" s="49">
        <f ca="1">-MIN(SUM(AK382:AK383),SUM(AK$350,AK$355)*HM_ZB_Nsoko!NOC_rpmt_max_perc)*HM_ZB_Nsoko!NOC_CI_expex_rpmt</f>
        <v>0</v>
      </c>
      <c r="AL384" s="49">
        <f ca="1">-MIN(SUM(AL382:AL383),SUM(AL$350,AL$355)*HM_ZB_Nsoko!NOC_rpmt_max_perc)*HM_ZB_Nsoko!NOC_CI_expex_rpmt</f>
        <v>0</v>
      </c>
      <c r="AM384" s="49">
        <f ca="1">-MIN(SUM(AM382:AM383),SUM(AM$350,AM$355)*HM_ZB_Nsoko!NOC_rpmt_max_perc)*HM_ZB_Nsoko!NOC_CI_expex_rpmt</f>
        <v>0</v>
      </c>
      <c r="AN384" s="49">
        <f ca="1">-MIN(SUM(AN382:AN383),SUM(AN$350,AN$355)*HM_ZB_Nsoko!NOC_rpmt_max_perc)*HM_ZB_Nsoko!NOC_CI_expex_rpmt</f>
        <v>0</v>
      </c>
      <c r="AO384" s="49">
        <f ca="1">-MIN(SUM(AO382:AO383),SUM(AO$350,AO$355)*HM_ZB_Nsoko!NOC_rpmt_max_perc)*HM_ZB_Nsoko!NOC_CI_expex_rpmt</f>
        <v>0</v>
      </c>
      <c r="AP384" s="49">
        <f ca="1">-MIN(SUM(AP382:AP383),SUM(AP$350,AP$355)*HM_ZB_Nsoko!NOC_rpmt_max_perc)*HM_ZB_Nsoko!NOC_CI_expex_rpmt</f>
        <v>0</v>
      </c>
      <c r="AQ384" s="49">
        <f ca="1">-MIN(SUM(AQ382:AQ383),SUM(AQ$350,AQ$355)*HM_ZB_Nsoko!NOC_rpmt_max_perc)*HM_ZB_Nsoko!NOC_CI_expex_rpmt</f>
        <v>0</v>
      </c>
      <c r="AR384" s="49">
        <f ca="1">-MIN(SUM(AR382:AR383),SUM(AR$350,AR$355)*HM_ZB_Nsoko!NOC_rpmt_max_perc)*HM_ZB_Nsoko!NOC_CI_expex_rpmt</f>
        <v>0</v>
      </c>
      <c r="AS384" s="49">
        <f ca="1">-MIN(SUM(AS382:AS383),SUM(AS$350,AS$355)*HM_ZB_Nsoko!NOC_rpmt_max_perc)*HM_ZB_Nsoko!NOC_CI_expex_rpmt</f>
        <v>0</v>
      </c>
      <c r="AT384" s="49">
        <f ca="1">-MIN(SUM(AT382:AT383),SUM(AT$350,AT$355)*HM_ZB_Nsoko!NOC_rpmt_max_perc)*HM_ZB_Nsoko!NOC_CI_expex_rpmt</f>
        <v>0</v>
      </c>
      <c r="AU384" s="49">
        <f ca="1">-MIN(SUM(AU382:AU383),SUM(AU$350,AU$355)*HM_ZB_Nsoko!NOC_rpmt_max_perc)*HM_ZB_Nsoko!NOC_CI_expex_rpmt</f>
        <v>0</v>
      </c>
      <c r="AV384" s="49">
        <f ca="1">-MIN(SUM(AV382:AV383),SUM(AV$350,AV$355)*HM_ZB_Nsoko!NOC_rpmt_max_perc)*HM_ZB_Nsoko!NOC_CI_expex_rpmt</f>
        <v>0</v>
      </c>
      <c r="AW384" s="49">
        <f ca="1">-MIN(SUM(AW382:AW383),SUM(AW$350,AW$355)*HM_ZB_Nsoko!NOC_rpmt_max_perc)*HM_ZB_Nsoko!NOC_CI_expex_rpmt</f>
        <v>0</v>
      </c>
      <c r="AX384" s="49">
        <f ca="1">-MIN(SUM(AX382:AX383),SUM(AX$350,AX$355)*HM_ZB_Nsoko!NOC_rpmt_max_perc)*HM_ZB_Nsoko!NOC_CI_expex_rpmt</f>
        <v>0</v>
      </c>
      <c r="AY384" s="49">
        <f ca="1">-MIN(SUM(AY382:AY383),SUM(AY$350,AY$355)*HM_ZB_Nsoko!NOC_rpmt_max_perc)*HM_ZB_Nsoko!NOC_CI_expex_rpmt</f>
        <v>0</v>
      </c>
      <c r="AZ384" s="49">
        <f ca="1">-MIN(SUM(AZ382:AZ383),SUM(AZ$350,AZ$355)*HM_ZB_Nsoko!NOC_rpmt_max_perc)*HM_ZB_Nsoko!NOC_CI_expex_rpmt</f>
        <v>0</v>
      </c>
      <c r="BA384" s="49">
        <f ca="1">-MIN(SUM(BA382:BA383),SUM(BA$350,BA$355)*HM_ZB_Nsoko!NOC_rpmt_max_perc)*HM_ZB_Nsoko!NOC_CI_expex_rpmt</f>
        <v>0</v>
      </c>
      <c r="BB384" s="49">
        <f ca="1">-MIN(SUM(BB382:BB383),SUM(BB$350,BB$355)*HM_ZB_Nsoko!NOC_rpmt_max_perc)*HM_ZB_Nsoko!NOC_CI_expex_rpmt</f>
        <v>0</v>
      </c>
      <c r="BC384" s="49">
        <f ca="1">-MIN(SUM(BC382:BC383),SUM(BC$350,BC$355)*HM_ZB_Nsoko!NOC_rpmt_max_perc)*HM_ZB_Nsoko!NOC_CI_expex_rpmt</f>
        <v>0</v>
      </c>
      <c r="BD384" s="49">
        <f ca="1">-MIN(SUM(BD382:BD383),SUM(BD$350,BD$355)*HM_ZB_Nsoko!NOC_rpmt_max_perc)*HM_ZB_Nsoko!NOC_CI_expex_rpmt</f>
        <v>0</v>
      </c>
      <c r="BE384" s="49">
        <f ca="1">-MIN(SUM(BE382:BE383),SUM(BE$350,BE$355)*HM_ZB_Nsoko!NOC_rpmt_max_perc)*HM_ZB_Nsoko!NOC_CI_expex_rpmt</f>
        <v>0</v>
      </c>
      <c r="BF384" s="49">
        <f ca="1">-MIN(SUM(BF382:BF383),SUM(BF$350,BF$355)*HM_ZB_Nsoko!NOC_rpmt_max_perc)*HM_ZB_Nsoko!NOC_CI_expex_rpmt</f>
        <v>0</v>
      </c>
      <c r="BG384" s="49">
        <f ca="1">-MIN(SUM(BG382:BG383),SUM(BG$350,BG$355)*HM_ZB_Nsoko!NOC_rpmt_max_perc)*HM_ZB_Nsoko!NOC_CI_expex_rpmt</f>
        <v>0</v>
      </c>
      <c r="BH384" s="49">
        <f ca="1">-MIN(SUM(BH382:BH383),SUM(BH$350,BH$355)*HM_ZB_Nsoko!NOC_rpmt_max_perc)*HM_ZB_Nsoko!NOC_CI_expex_rpmt</f>
        <v>0</v>
      </c>
      <c r="BI384" s="49">
        <f ca="1">-MIN(SUM(BI382:BI383),SUM(BI$350,BI$355)*HM_ZB_Nsoko!NOC_rpmt_max_perc)*HM_ZB_Nsoko!NOC_CI_expex_rpmt</f>
        <v>0</v>
      </c>
      <c r="BJ384" s="49">
        <f ca="1">-MIN(SUM(BJ382:BJ383),SUM(BJ$350,BJ$355)*HM_ZB_Nsoko!NOC_rpmt_max_perc)*HM_ZB_Nsoko!NOC_CI_expex_rpmt</f>
        <v>0</v>
      </c>
      <c r="BK384" s="49">
        <f ca="1">-MIN(SUM(BK382:BK383),SUM(BK$350,BK$355)*HM_ZB_Nsoko!NOC_rpmt_max_perc)*HM_ZB_Nsoko!NOC_CI_expex_rpmt</f>
        <v>0</v>
      </c>
      <c r="BL384" s="49">
        <f ca="1">-MIN(SUM(BL382:BL383),SUM(BL$350,BL$355)*HM_ZB_Nsoko!NOC_rpmt_max_perc)*HM_ZB_Nsoko!NOC_CI_expex_rpmt</f>
        <v>0</v>
      </c>
      <c r="BM384" s="49">
        <f ca="1">-MIN(SUM(BM382:BM383),SUM(BM$350,BM$355)*HM_ZB_Nsoko!NOC_rpmt_max_perc)*HM_ZB_Nsoko!NOC_CI_expex_rpmt</f>
        <v>0</v>
      </c>
      <c r="BN384" s="49">
        <f ca="1">-MIN(SUM(BN382:BN383),SUM(BN$350,BN$355)*HM_ZB_Nsoko!NOC_rpmt_max_perc)*HM_ZB_Nsoko!NOC_CI_expex_rpmt</f>
        <v>0</v>
      </c>
      <c r="BO384" s="49">
        <f ca="1">-MIN(SUM(BO382:BO383),SUM(BO$350,BO$355)*HM_ZB_Nsoko!NOC_rpmt_max_perc)*HM_ZB_Nsoko!NOC_CI_expex_rpmt</f>
        <v>0</v>
      </c>
      <c r="BP384" s="49">
        <f ca="1">-MIN(SUM(BP382:BP383),SUM(BP$350,BP$355)*HM_ZB_Nsoko!NOC_rpmt_max_perc)*HM_ZB_Nsoko!NOC_CI_expex_rpmt</f>
        <v>0</v>
      </c>
      <c r="BQ384" s="49">
        <f ca="1">-MIN(SUM(BQ382:BQ383),SUM(BQ$350,BQ$355)*HM_ZB_Nsoko!NOC_rpmt_max_perc)*HM_ZB_Nsoko!NOC_CI_expex_rpmt</f>
        <v>0</v>
      </c>
      <c r="BR384" s="49">
        <f ca="1">-MIN(SUM(BR382:BR383),SUM(BR$350,BR$355)*HM_ZB_Nsoko!NOC_rpmt_max_perc)*HM_ZB_Nsoko!NOC_CI_expex_rpmt</f>
        <v>0</v>
      </c>
      <c r="BS384" s="49">
        <f ca="1">-MIN(SUM(BS382:BS383),SUM(BS$350,BS$355)*HM_ZB_Nsoko!NOC_rpmt_max_perc)*HM_ZB_Nsoko!NOC_CI_expex_rpmt</f>
        <v>0</v>
      </c>
    </row>
    <row r="385" spans="3:71" outlineLevel="1" x14ac:dyDescent="0.2">
      <c r="D385" t="str">
        <f>HM_ZA_Nkossa!D374</f>
        <v>Coûts de portage Solde de clôture</v>
      </c>
      <c r="J385" s="26"/>
      <c r="L385" s="49">
        <f ca="1">SUM(L382:L384)</f>
        <v>0</v>
      </c>
      <c r="M385" s="49">
        <f t="shared" ref="M385:BS385" ca="1" si="104">SUM(M382:M384)</f>
        <v>0</v>
      </c>
      <c r="N385" s="49">
        <f t="shared" ca="1" si="104"/>
        <v>0</v>
      </c>
      <c r="O385" s="49">
        <f t="shared" ca="1" si="104"/>
        <v>0</v>
      </c>
      <c r="P385" s="49">
        <f t="shared" ca="1" si="104"/>
        <v>0</v>
      </c>
      <c r="Q385" s="49">
        <f t="shared" ca="1" si="104"/>
        <v>0</v>
      </c>
      <c r="R385" s="49">
        <f t="shared" ca="1" si="104"/>
        <v>0</v>
      </c>
      <c r="S385" s="49">
        <f t="shared" ca="1" si="104"/>
        <v>0</v>
      </c>
      <c r="T385" s="49">
        <f t="shared" ca="1" si="104"/>
        <v>0</v>
      </c>
      <c r="U385" s="49">
        <f t="shared" ca="1" si="104"/>
        <v>0</v>
      </c>
      <c r="V385" s="49">
        <f t="shared" ca="1" si="104"/>
        <v>0</v>
      </c>
      <c r="W385" s="49">
        <f t="shared" ca="1" si="104"/>
        <v>0</v>
      </c>
      <c r="X385" s="49">
        <f t="shared" ca="1" si="104"/>
        <v>0</v>
      </c>
      <c r="Y385" s="49">
        <f t="shared" ca="1" si="104"/>
        <v>0</v>
      </c>
      <c r="Z385" s="49">
        <f t="shared" ca="1" si="104"/>
        <v>0</v>
      </c>
      <c r="AA385" s="49">
        <f t="shared" ca="1" si="104"/>
        <v>0</v>
      </c>
      <c r="AB385" s="49">
        <f t="shared" ca="1" si="104"/>
        <v>0</v>
      </c>
      <c r="AC385" s="49">
        <f t="shared" ca="1" si="104"/>
        <v>0</v>
      </c>
      <c r="AD385" s="49">
        <f t="shared" ca="1" si="104"/>
        <v>0</v>
      </c>
      <c r="AE385" s="49">
        <f t="shared" ca="1" si="104"/>
        <v>0</v>
      </c>
      <c r="AF385" s="49">
        <f t="shared" ca="1" si="104"/>
        <v>0</v>
      </c>
      <c r="AG385" s="49">
        <f t="shared" ca="1" si="104"/>
        <v>0</v>
      </c>
      <c r="AH385" s="49">
        <f t="shared" ca="1" si="104"/>
        <v>0</v>
      </c>
      <c r="AI385" s="49">
        <f t="shared" ca="1" si="104"/>
        <v>0</v>
      </c>
      <c r="AJ385" s="49">
        <f t="shared" ca="1" si="104"/>
        <v>0</v>
      </c>
      <c r="AK385" s="49">
        <f t="shared" ca="1" si="104"/>
        <v>0</v>
      </c>
      <c r="AL385" s="49">
        <f t="shared" ca="1" si="104"/>
        <v>0</v>
      </c>
      <c r="AM385" s="49">
        <f t="shared" ca="1" si="104"/>
        <v>0</v>
      </c>
      <c r="AN385" s="49">
        <f t="shared" ca="1" si="104"/>
        <v>0</v>
      </c>
      <c r="AO385" s="49">
        <f t="shared" ca="1" si="104"/>
        <v>0</v>
      </c>
      <c r="AP385" s="49">
        <f t="shared" ca="1" si="104"/>
        <v>0</v>
      </c>
      <c r="AQ385" s="49">
        <f t="shared" ca="1" si="104"/>
        <v>0</v>
      </c>
      <c r="AR385" s="49">
        <f t="shared" ca="1" si="104"/>
        <v>0</v>
      </c>
      <c r="AS385" s="49">
        <f t="shared" ca="1" si="104"/>
        <v>0</v>
      </c>
      <c r="AT385" s="49">
        <f t="shared" ca="1" si="104"/>
        <v>0</v>
      </c>
      <c r="AU385" s="49">
        <f t="shared" ca="1" si="104"/>
        <v>0</v>
      </c>
      <c r="AV385" s="49">
        <f t="shared" ca="1" si="104"/>
        <v>0</v>
      </c>
      <c r="AW385" s="49">
        <f t="shared" ca="1" si="104"/>
        <v>0</v>
      </c>
      <c r="AX385" s="49">
        <f t="shared" ca="1" si="104"/>
        <v>0</v>
      </c>
      <c r="AY385" s="49">
        <f t="shared" ca="1" si="104"/>
        <v>0</v>
      </c>
      <c r="AZ385" s="49">
        <f t="shared" ca="1" si="104"/>
        <v>0</v>
      </c>
      <c r="BA385" s="49">
        <f t="shared" ca="1" si="104"/>
        <v>0</v>
      </c>
      <c r="BB385" s="49">
        <f t="shared" ca="1" si="104"/>
        <v>0</v>
      </c>
      <c r="BC385" s="49">
        <f t="shared" ca="1" si="104"/>
        <v>0</v>
      </c>
      <c r="BD385" s="49">
        <f t="shared" ca="1" si="104"/>
        <v>0</v>
      </c>
      <c r="BE385" s="49">
        <f t="shared" ca="1" si="104"/>
        <v>0</v>
      </c>
      <c r="BF385" s="49">
        <f t="shared" ca="1" si="104"/>
        <v>0</v>
      </c>
      <c r="BG385" s="49">
        <f t="shared" ca="1" si="104"/>
        <v>0</v>
      </c>
      <c r="BH385" s="49">
        <f t="shared" ca="1" si="104"/>
        <v>0</v>
      </c>
      <c r="BI385" s="49">
        <f t="shared" ca="1" si="104"/>
        <v>0</v>
      </c>
      <c r="BJ385" s="49">
        <f t="shared" ca="1" si="104"/>
        <v>0</v>
      </c>
      <c r="BK385" s="49">
        <f t="shared" ca="1" si="104"/>
        <v>0</v>
      </c>
      <c r="BL385" s="49">
        <f t="shared" ca="1" si="104"/>
        <v>0</v>
      </c>
      <c r="BM385" s="49">
        <f t="shared" ca="1" si="104"/>
        <v>0</v>
      </c>
      <c r="BN385" s="49">
        <f t="shared" ca="1" si="104"/>
        <v>0</v>
      </c>
      <c r="BO385" s="49">
        <f t="shared" ca="1" si="104"/>
        <v>0</v>
      </c>
      <c r="BP385" s="49">
        <f t="shared" ca="1" si="104"/>
        <v>0</v>
      </c>
      <c r="BQ385" s="49">
        <f t="shared" ca="1" si="104"/>
        <v>0</v>
      </c>
      <c r="BR385" s="49">
        <f t="shared" ca="1" si="104"/>
        <v>0</v>
      </c>
      <c r="BS385" s="49">
        <f t="shared" ca="1" si="104"/>
        <v>0</v>
      </c>
    </row>
    <row r="386" spans="3:71" outlineLevel="1" x14ac:dyDescent="0.2">
      <c r="J386" s="26"/>
      <c r="L386" s="55"/>
      <c r="M386" s="55"/>
      <c r="N386" s="55"/>
      <c r="O386" s="55"/>
      <c r="P386" s="55"/>
      <c r="Q386" s="55"/>
      <c r="R386" s="55"/>
      <c r="S386" s="55"/>
      <c r="T386" s="55"/>
      <c r="U386" s="55"/>
      <c r="V386" s="55"/>
      <c r="W386" s="55"/>
      <c r="X386" s="55"/>
      <c r="Y386" s="55"/>
      <c r="Z386" s="55"/>
      <c r="AA386" s="55"/>
      <c r="AB386" s="55"/>
      <c r="AC386" s="55"/>
      <c r="AD386" s="55"/>
      <c r="AE386" s="55"/>
      <c r="AF386" s="55"/>
      <c r="AG386" s="55"/>
      <c r="AH386" s="55"/>
      <c r="AI386" s="55"/>
      <c r="AJ386" s="55"/>
      <c r="AK386" s="55"/>
      <c r="AL386" s="55"/>
      <c r="AM386" s="55"/>
      <c r="AN386" s="55"/>
      <c r="AO386" s="55"/>
      <c r="AP386" s="55"/>
      <c r="AQ386" s="55"/>
      <c r="AR386" s="55"/>
      <c r="AS386" s="55"/>
      <c r="AT386" s="55"/>
      <c r="AU386" s="55"/>
      <c r="AV386" s="55"/>
      <c r="AW386" s="55"/>
      <c r="AX386" s="55"/>
      <c r="AY386" s="55"/>
      <c r="AZ386" s="55"/>
      <c r="BA386" s="55"/>
      <c r="BB386" s="55"/>
      <c r="BC386" s="55"/>
      <c r="BD386" s="55"/>
      <c r="BE386" s="55"/>
      <c r="BF386" s="55"/>
      <c r="BG386" s="55"/>
      <c r="BH386" s="55"/>
      <c r="BI386" s="55"/>
      <c r="BJ386" s="55"/>
      <c r="BK386" s="55"/>
      <c r="BL386" s="55"/>
      <c r="BM386" s="55"/>
      <c r="BN386" s="55"/>
      <c r="BO386" s="55"/>
      <c r="BP386" s="55"/>
      <c r="BQ386" s="55"/>
      <c r="BR386" s="55"/>
      <c r="BS386" s="55"/>
    </row>
    <row r="387" spans="3:71" outlineLevel="1" x14ac:dyDescent="0.2">
      <c r="C387" s="11" t="str">
        <f>HM_ZA_Nkossa!C376</f>
        <v>Remboursement du portage Compagnie nationale - Capex</v>
      </c>
      <c r="J387" s="26"/>
      <c r="L387" s="55"/>
      <c r="M387" s="55"/>
      <c r="N387" s="55"/>
      <c r="O387" s="55"/>
      <c r="P387" s="55"/>
      <c r="Q387" s="55"/>
      <c r="R387" s="55"/>
      <c r="S387" s="55"/>
      <c r="T387" s="55"/>
      <c r="U387" s="55"/>
      <c r="V387" s="55"/>
      <c r="W387" s="55"/>
      <c r="X387" s="55"/>
      <c r="Y387" s="55"/>
      <c r="Z387" s="55"/>
      <c r="AA387" s="55"/>
      <c r="AB387" s="55"/>
      <c r="AC387" s="55"/>
      <c r="AD387" s="55"/>
      <c r="AE387" s="55"/>
      <c r="AF387" s="55"/>
      <c r="AG387" s="55"/>
      <c r="AH387" s="55"/>
      <c r="AI387" s="55"/>
      <c r="AJ387" s="55"/>
      <c r="AK387" s="55"/>
      <c r="AL387" s="55"/>
      <c r="AM387" s="55"/>
      <c r="AN387" s="55"/>
      <c r="AO387" s="55"/>
      <c r="AP387" s="55"/>
      <c r="AQ387" s="55"/>
      <c r="AR387" s="55"/>
      <c r="AS387" s="55"/>
      <c r="AT387" s="55"/>
      <c r="AU387" s="55"/>
      <c r="AV387" s="55"/>
      <c r="AW387" s="55"/>
      <c r="AX387" s="55"/>
      <c r="AY387" s="55"/>
      <c r="AZ387" s="55"/>
      <c r="BA387" s="55"/>
      <c r="BB387" s="55"/>
      <c r="BC387" s="55"/>
      <c r="BD387" s="55"/>
      <c r="BE387" s="55"/>
      <c r="BF387" s="55"/>
      <c r="BG387" s="55"/>
      <c r="BH387" s="55"/>
      <c r="BI387" s="55"/>
      <c r="BJ387" s="55"/>
      <c r="BK387" s="55"/>
      <c r="BL387" s="55"/>
      <c r="BM387" s="55"/>
      <c r="BN387" s="55"/>
      <c r="BO387" s="55"/>
      <c r="BP387" s="55"/>
      <c r="BQ387" s="55"/>
      <c r="BR387" s="55"/>
      <c r="BS387" s="55"/>
    </row>
    <row r="388" spans="3:71" outlineLevel="1" x14ac:dyDescent="0.2">
      <c r="D388" t="str">
        <f>HM_ZA_Nkossa!D377</f>
        <v>Coûts portés Solde d'ouverture</v>
      </c>
      <c r="J388" s="26"/>
      <c r="L388" s="49">
        <f>K391</f>
        <v>0</v>
      </c>
      <c r="M388" s="49">
        <f t="shared" ref="M388:BS388" ca="1" si="105">L391</f>
        <v>0</v>
      </c>
      <c r="N388" s="49">
        <f t="shared" ca="1" si="105"/>
        <v>2.596646414621437</v>
      </c>
      <c r="O388" s="49">
        <f t="shared" ca="1" si="105"/>
        <v>0</v>
      </c>
      <c r="P388" s="49">
        <f t="shared" ca="1" si="105"/>
        <v>0</v>
      </c>
      <c r="Q388" s="49">
        <f t="shared" ca="1" si="105"/>
        <v>0</v>
      </c>
      <c r="R388" s="49">
        <f t="shared" ca="1" si="105"/>
        <v>0</v>
      </c>
      <c r="S388" s="49">
        <f t="shared" ca="1" si="105"/>
        <v>0</v>
      </c>
      <c r="T388" s="49">
        <f t="shared" ca="1" si="105"/>
        <v>0</v>
      </c>
      <c r="U388" s="49">
        <f t="shared" ca="1" si="105"/>
        <v>0</v>
      </c>
      <c r="V388" s="49">
        <f t="shared" ca="1" si="105"/>
        <v>0</v>
      </c>
      <c r="W388" s="49">
        <f t="shared" ca="1" si="105"/>
        <v>0</v>
      </c>
      <c r="X388" s="49">
        <f t="shared" ca="1" si="105"/>
        <v>0</v>
      </c>
      <c r="Y388" s="49">
        <f t="shared" ca="1" si="105"/>
        <v>0</v>
      </c>
      <c r="Z388" s="49">
        <f t="shared" ca="1" si="105"/>
        <v>0</v>
      </c>
      <c r="AA388" s="49">
        <f t="shared" ca="1" si="105"/>
        <v>0</v>
      </c>
      <c r="AB388" s="49">
        <f t="shared" ca="1" si="105"/>
        <v>0</v>
      </c>
      <c r="AC388" s="49">
        <f t="shared" ca="1" si="105"/>
        <v>0</v>
      </c>
      <c r="AD388" s="49">
        <f t="shared" ca="1" si="105"/>
        <v>0</v>
      </c>
      <c r="AE388" s="49">
        <f t="shared" ca="1" si="105"/>
        <v>0</v>
      </c>
      <c r="AF388" s="49">
        <f t="shared" ca="1" si="105"/>
        <v>0</v>
      </c>
      <c r="AG388" s="49">
        <f t="shared" ca="1" si="105"/>
        <v>0</v>
      </c>
      <c r="AH388" s="49">
        <f t="shared" ca="1" si="105"/>
        <v>0</v>
      </c>
      <c r="AI388" s="49">
        <f t="shared" ca="1" si="105"/>
        <v>0</v>
      </c>
      <c r="AJ388" s="49">
        <f t="shared" ca="1" si="105"/>
        <v>0</v>
      </c>
      <c r="AK388" s="49">
        <f t="shared" ca="1" si="105"/>
        <v>0</v>
      </c>
      <c r="AL388" s="49">
        <f t="shared" ca="1" si="105"/>
        <v>0</v>
      </c>
      <c r="AM388" s="49">
        <f t="shared" ca="1" si="105"/>
        <v>0</v>
      </c>
      <c r="AN388" s="49">
        <f t="shared" ca="1" si="105"/>
        <v>0</v>
      </c>
      <c r="AO388" s="49">
        <f t="shared" ca="1" si="105"/>
        <v>0</v>
      </c>
      <c r="AP388" s="49">
        <f t="shared" ca="1" si="105"/>
        <v>0</v>
      </c>
      <c r="AQ388" s="49">
        <f t="shared" ca="1" si="105"/>
        <v>0</v>
      </c>
      <c r="AR388" s="49">
        <f t="shared" ca="1" si="105"/>
        <v>0</v>
      </c>
      <c r="AS388" s="49">
        <f t="shared" ca="1" si="105"/>
        <v>0</v>
      </c>
      <c r="AT388" s="49">
        <f t="shared" ca="1" si="105"/>
        <v>0</v>
      </c>
      <c r="AU388" s="49">
        <f t="shared" ca="1" si="105"/>
        <v>0</v>
      </c>
      <c r="AV388" s="49">
        <f t="shared" ca="1" si="105"/>
        <v>0</v>
      </c>
      <c r="AW388" s="49">
        <f t="shared" ca="1" si="105"/>
        <v>0</v>
      </c>
      <c r="AX388" s="49">
        <f t="shared" ca="1" si="105"/>
        <v>0</v>
      </c>
      <c r="AY388" s="49">
        <f t="shared" ca="1" si="105"/>
        <v>0</v>
      </c>
      <c r="AZ388" s="49">
        <f t="shared" ca="1" si="105"/>
        <v>0</v>
      </c>
      <c r="BA388" s="49">
        <f t="shared" ca="1" si="105"/>
        <v>0</v>
      </c>
      <c r="BB388" s="49">
        <f t="shared" ca="1" si="105"/>
        <v>0</v>
      </c>
      <c r="BC388" s="49">
        <f t="shared" ca="1" si="105"/>
        <v>0</v>
      </c>
      <c r="BD388" s="49">
        <f t="shared" ca="1" si="105"/>
        <v>0</v>
      </c>
      <c r="BE388" s="49">
        <f t="shared" ca="1" si="105"/>
        <v>0</v>
      </c>
      <c r="BF388" s="49">
        <f t="shared" ca="1" si="105"/>
        <v>0</v>
      </c>
      <c r="BG388" s="49">
        <f t="shared" ca="1" si="105"/>
        <v>0</v>
      </c>
      <c r="BH388" s="49">
        <f t="shared" ca="1" si="105"/>
        <v>0</v>
      </c>
      <c r="BI388" s="49">
        <f t="shared" ca="1" si="105"/>
        <v>0</v>
      </c>
      <c r="BJ388" s="49">
        <f t="shared" ca="1" si="105"/>
        <v>0</v>
      </c>
      <c r="BK388" s="49">
        <f t="shared" ca="1" si="105"/>
        <v>0</v>
      </c>
      <c r="BL388" s="49">
        <f t="shared" ca="1" si="105"/>
        <v>0</v>
      </c>
      <c r="BM388" s="49">
        <f t="shared" ca="1" si="105"/>
        <v>0</v>
      </c>
      <c r="BN388" s="49">
        <f t="shared" ca="1" si="105"/>
        <v>0</v>
      </c>
      <c r="BO388" s="49">
        <f t="shared" ca="1" si="105"/>
        <v>0</v>
      </c>
      <c r="BP388" s="49">
        <f t="shared" ca="1" si="105"/>
        <v>0</v>
      </c>
      <c r="BQ388" s="49">
        <f t="shared" ca="1" si="105"/>
        <v>0</v>
      </c>
      <c r="BR388" s="49">
        <f t="shared" ca="1" si="105"/>
        <v>0</v>
      </c>
      <c r="BS388" s="49">
        <f t="shared" ca="1" si="105"/>
        <v>0</v>
      </c>
    </row>
    <row r="389" spans="3:71" outlineLevel="1" x14ac:dyDescent="0.2">
      <c r="D389" s="50" t="str">
        <f>HM_ZA_Nkossa!D378</f>
        <v>Coûts portés pour la période</v>
      </c>
      <c r="I389" s="30">
        <f t="shared" ref="I389:I390" ca="1" si="106">SUM($L389:$BS389)</f>
        <v>6.1300499999999998</v>
      </c>
      <c r="J389" s="26" t="s">
        <v>148</v>
      </c>
      <c r="L389" s="49">
        <f ca="1">L377</f>
        <v>0.12180000000000001</v>
      </c>
      <c r="M389" s="49">
        <f t="shared" ref="M389:BS389" ca="1" si="107">M377</f>
        <v>5.8426499999999999</v>
      </c>
      <c r="N389" s="49">
        <f t="shared" ca="1" si="107"/>
        <v>0.10379999999999999</v>
      </c>
      <c r="O389" s="49">
        <f t="shared" ca="1" si="107"/>
        <v>2.3400000000000001E-2</v>
      </c>
      <c r="P389" s="49">
        <f t="shared" ca="1" si="107"/>
        <v>3.8399999999999997E-2</v>
      </c>
      <c r="Q389" s="49">
        <f t="shared" ca="1" si="107"/>
        <v>0</v>
      </c>
      <c r="R389" s="49">
        <f t="shared" ca="1" si="107"/>
        <v>0</v>
      </c>
      <c r="S389" s="49">
        <f t="shared" ca="1" si="107"/>
        <v>0</v>
      </c>
      <c r="T389" s="49">
        <f t="shared" ca="1" si="107"/>
        <v>0</v>
      </c>
      <c r="U389" s="49">
        <f t="shared" ca="1" si="107"/>
        <v>0</v>
      </c>
      <c r="V389" s="49">
        <f t="shared" ca="1" si="107"/>
        <v>0</v>
      </c>
      <c r="W389" s="49">
        <f t="shared" ca="1" si="107"/>
        <v>0</v>
      </c>
      <c r="X389" s="49">
        <f t="shared" ca="1" si="107"/>
        <v>0</v>
      </c>
      <c r="Y389" s="49">
        <f t="shared" ca="1" si="107"/>
        <v>0</v>
      </c>
      <c r="Z389" s="49">
        <f t="shared" ca="1" si="107"/>
        <v>0</v>
      </c>
      <c r="AA389" s="49">
        <f t="shared" ca="1" si="107"/>
        <v>0</v>
      </c>
      <c r="AB389" s="49">
        <f t="shared" ca="1" si="107"/>
        <v>0</v>
      </c>
      <c r="AC389" s="49">
        <f t="shared" ca="1" si="107"/>
        <v>0</v>
      </c>
      <c r="AD389" s="49">
        <f t="shared" ca="1" si="107"/>
        <v>0</v>
      </c>
      <c r="AE389" s="49">
        <f t="shared" ca="1" si="107"/>
        <v>0</v>
      </c>
      <c r="AF389" s="49">
        <f t="shared" ca="1" si="107"/>
        <v>0</v>
      </c>
      <c r="AG389" s="49">
        <f t="shared" ca="1" si="107"/>
        <v>0</v>
      </c>
      <c r="AH389" s="49">
        <f t="shared" ca="1" si="107"/>
        <v>0</v>
      </c>
      <c r="AI389" s="49">
        <f t="shared" ca="1" si="107"/>
        <v>0</v>
      </c>
      <c r="AJ389" s="49">
        <f t="shared" ca="1" si="107"/>
        <v>0</v>
      </c>
      <c r="AK389" s="49">
        <f t="shared" ca="1" si="107"/>
        <v>0</v>
      </c>
      <c r="AL389" s="49">
        <f t="shared" ca="1" si="107"/>
        <v>0</v>
      </c>
      <c r="AM389" s="49">
        <f t="shared" ca="1" si="107"/>
        <v>0</v>
      </c>
      <c r="AN389" s="49">
        <f t="shared" ca="1" si="107"/>
        <v>0</v>
      </c>
      <c r="AO389" s="49">
        <f t="shared" ca="1" si="107"/>
        <v>0</v>
      </c>
      <c r="AP389" s="49">
        <f t="shared" ca="1" si="107"/>
        <v>0</v>
      </c>
      <c r="AQ389" s="49">
        <f t="shared" ca="1" si="107"/>
        <v>0</v>
      </c>
      <c r="AR389" s="49">
        <f t="shared" ca="1" si="107"/>
        <v>0</v>
      </c>
      <c r="AS389" s="49">
        <f t="shared" ca="1" si="107"/>
        <v>0</v>
      </c>
      <c r="AT389" s="49">
        <f t="shared" ca="1" si="107"/>
        <v>0</v>
      </c>
      <c r="AU389" s="49">
        <f t="shared" ca="1" si="107"/>
        <v>0</v>
      </c>
      <c r="AV389" s="49">
        <f t="shared" ca="1" si="107"/>
        <v>0</v>
      </c>
      <c r="AW389" s="49">
        <f t="shared" ca="1" si="107"/>
        <v>0</v>
      </c>
      <c r="AX389" s="49">
        <f t="shared" ca="1" si="107"/>
        <v>0</v>
      </c>
      <c r="AY389" s="49">
        <f t="shared" ca="1" si="107"/>
        <v>0</v>
      </c>
      <c r="AZ389" s="49">
        <f t="shared" ca="1" si="107"/>
        <v>0</v>
      </c>
      <c r="BA389" s="49">
        <f t="shared" ca="1" si="107"/>
        <v>0</v>
      </c>
      <c r="BB389" s="49">
        <f t="shared" ca="1" si="107"/>
        <v>0</v>
      </c>
      <c r="BC389" s="49">
        <f t="shared" ca="1" si="107"/>
        <v>0</v>
      </c>
      <c r="BD389" s="49">
        <f t="shared" ca="1" si="107"/>
        <v>0</v>
      </c>
      <c r="BE389" s="49">
        <f t="shared" ca="1" si="107"/>
        <v>0</v>
      </c>
      <c r="BF389" s="49">
        <f t="shared" ca="1" si="107"/>
        <v>0</v>
      </c>
      <c r="BG389" s="49">
        <f t="shared" ca="1" si="107"/>
        <v>0</v>
      </c>
      <c r="BH389" s="49">
        <f t="shared" ca="1" si="107"/>
        <v>0</v>
      </c>
      <c r="BI389" s="49">
        <f t="shared" ca="1" si="107"/>
        <v>0</v>
      </c>
      <c r="BJ389" s="49">
        <f t="shared" ca="1" si="107"/>
        <v>0</v>
      </c>
      <c r="BK389" s="49">
        <f t="shared" ca="1" si="107"/>
        <v>0</v>
      </c>
      <c r="BL389" s="49">
        <f t="shared" ca="1" si="107"/>
        <v>0</v>
      </c>
      <c r="BM389" s="49">
        <f t="shared" ca="1" si="107"/>
        <v>0</v>
      </c>
      <c r="BN389" s="49">
        <f t="shared" ca="1" si="107"/>
        <v>0</v>
      </c>
      <c r="BO389" s="49">
        <f t="shared" ca="1" si="107"/>
        <v>0</v>
      </c>
      <c r="BP389" s="49">
        <f t="shared" ca="1" si="107"/>
        <v>0</v>
      </c>
      <c r="BQ389" s="49">
        <f t="shared" ca="1" si="107"/>
        <v>0</v>
      </c>
      <c r="BR389" s="49">
        <f t="shared" ca="1" si="107"/>
        <v>0</v>
      </c>
      <c r="BS389" s="49">
        <f t="shared" ca="1" si="107"/>
        <v>0</v>
      </c>
    </row>
    <row r="390" spans="3:71" outlineLevel="1" x14ac:dyDescent="0.2">
      <c r="D390" s="50" t="str">
        <f>HM_ZA_Nkossa!D379</f>
        <v>Remboursement du portage</v>
      </c>
      <c r="I390" s="30">
        <f t="shared" ca="1" si="106"/>
        <v>-6.1300499999999998</v>
      </c>
      <c r="J390" s="26" t="s">
        <v>148</v>
      </c>
      <c r="L390" s="49">
        <f ca="1">-MIN(SUM(L388:L389),SUM(L$350,L$355)*HM_ZB_Nsoko!NOC_rpmt_max_perc)*HM_ZB_Nsoko!NOC_CI_devex_rpmt</f>
        <v>-0.12180000000000001</v>
      </c>
      <c r="M390" s="49">
        <f ca="1">-MIN(SUM(M388:M389),SUM(M$350,M$355)*HM_ZB_Nsoko!NOC_rpmt_max_perc)*HM_ZB_Nsoko!NOC_CI_devex_rpmt</f>
        <v>-3.2460035853785629</v>
      </c>
      <c r="N390" s="49">
        <f ca="1">-MIN(SUM(N388:N389),SUM(N$350,N$355)*HM_ZB_Nsoko!NOC_rpmt_max_perc)*HM_ZB_Nsoko!NOC_CI_devex_rpmt</f>
        <v>-2.7004464146214371</v>
      </c>
      <c r="O390" s="49">
        <f ca="1">-MIN(SUM(O388:O389),SUM(O$350,O$355)*HM_ZB_Nsoko!NOC_rpmt_max_perc)*HM_ZB_Nsoko!NOC_CI_devex_rpmt</f>
        <v>-2.3400000000000001E-2</v>
      </c>
      <c r="P390" s="49">
        <f ca="1">-MIN(SUM(P388:P389),SUM(P$350,P$355)*HM_ZB_Nsoko!NOC_rpmt_max_perc)*HM_ZB_Nsoko!NOC_CI_devex_rpmt</f>
        <v>-3.8399999999999997E-2</v>
      </c>
      <c r="Q390" s="49">
        <f ca="1">-MIN(SUM(Q388:Q389),SUM(Q$350,Q$355)*HM_ZB_Nsoko!NOC_rpmt_max_perc)*HM_ZB_Nsoko!NOC_CI_devex_rpmt</f>
        <v>0</v>
      </c>
      <c r="R390" s="49">
        <f ca="1">-MIN(SUM(R388:R389),SUM(R$350,R$355)*HM_ZB_Nsoko!NOC_rpmt_max_perc)*HM_ZB_Nsoko!NOC_CI_devex_rpmt</f>
        <v>0</v>
      </c>
      <c r="S390" s="49">
        <f ca="1">-MIN(SUM(S388:S389),SUM(S$350,S$355)*HM_ZB_Nsoko!NOC_rpmt_max_perc)*HM_ZB_Nsoko!NOC_CI_devex_rpmt</f>
        <v>0</v>
      </c>
      <c r="T390" s="49">
        <f ca="1">-MIN(SUM(T388:T389),SUM(T$350,T$355)*HM_ZB_Nsoko!NOC_rpmt_max_perc)*HM_ZB_Nsoko!NOC_CI_devex_rpmt</f>
        <v>0</v>
      </c>
      <c r="U390" s="49">
        <f ca="1">-MIN(SUM(U388:U389),SUM(U$350,U$355)*HM_ZB_Nsoko!NOC_rpmt_max_perc)*HM_ZB_Nsoko!NOC_CI_devex_rpmt</f>
        <v>0</v>
      </c>
      <c r="V390" s="49">
        <f ca="1">-MIN(SUM(V388:V389),SUM(V$350,V$355)*HM_ZB_Nsoko!NOC_rpmt_max_perc)*HM_ZB_Nsoko!NOC_CI_devex_rpmt</f>
        <v>0</v>
      </c>
      <c r="W390" s="49">
        <f ca="1">-MIN(SUM(W388:W389),SUM(W$350,W$355)*HM_ZB_Nsoko!NOC_rpmt_max_perc)*HM_ZB_Nsoko!NOC_CI_devex_rpmt</f>
        <v>0</v>
      </c>
      <c r="X390" s="49">
        <f ca="1">-MIN(SUM(X388:X389),SUM(X$350,X$355)*HM_ZB_Nsoko!NOC_rpmt_max_perc)*HM_ZB_Nsoko!NOC_CI_devex_rpmt</f>
        <v>0</v>
      </c>
      <c r="Y390" s="49">
        <f ca="1">-MIN(SUM(Y388:Y389),SUM(Y$350,Y$355)*HM_ZB_Nsoko!NOC_rpmt_max_perc)*HM_ZB_Nsoko!NOC_CI_devex_rpmt</f>
        <v>0</v>
      </c>
      <c r="Z390" s="49">
        <f ca="1">-MIN(SUM(Z388:Z389),SUM(Z$350,Z$355)*HM_ZB_Nsoko!NOC_rpmt_max_perc)*HM_ZB_Nsoko!NOC_CI_devex_rpmt</f>
        <v>0</v>
      </c>
      <c r="AA390" s="49">
        <f ca="1">-MIN(SUM(AA388:AA389),SUM(AA$350,AA$355)*HM_ZB_Nsoko!NOC_rpmt_max_perc)*HM_ZB_Nsoko!NOC_CI_devex_rpmt</f>
        <v>0</v>
      </c>
      <c r="AB390" s="49">
        <f ca="1">-MIN(SUM(AB388:AB389),SUM(AB$350,AB$355)*HM_ZB_Nsoko!NOC_rpmt_max_perc)*HM_ZB_Nsoko!NOC_CI_devex_rpmt</f>
        <v>0</v>
      </c>
      <c r="AC390" s="49">
        <f ca="1">-MIN(SUM(AC388:AC389),SUM(AC$350,AC$355)*HM_ZB_Nsoko!NOC_rpmt_max_perc)*HM_ZB_Nsoko!NOC_CI_devex_rpmt</f>
        <v>0</v>
      </c>
      <c r="AD390" s="49">
        <f ca="1">-MIN(SUM(AD388:AD389),SUM(AD$350,AD$355)*HM_ZB_Nsoko!NOC_rpmt_max_perc)*HM_ZB_Nsoko!NOC_CI_devex_rpmt</f>
        <v>0</v>
      </c>
      <c r="AE390" s="49">
        <f ca="1">-MIN(SUM(AE388:AE389),SUM(AE$350,AE$355)*HM_ZB_Nsoko!NOC_rpmt_max_perc)*HM_ZB_Nsoko!NOC_CI_devex_rpmt</f>
        <v>0</v>
      </c>
      <c r="AF390" s="49">
        <f ca="1">-MIN(SUM(AF388:AF389),SUM(AF$350,AF$355)*HM_ZB_Nsoko!NOC_rpmt_max_perc)*HM_ZB_Nsoko!NOC_CI_devex_rpmt</f>
        <v>0</v>
      </c>
      <c r="AG390" s="49">
        <f ca="1">-MIN(SUM(AG388:AG389),SUM(AG$350,AG$355)*HM_ZB_Nsoko!NOC_rpmt_max_perc)*HM_ZB_Nsoko!NOC_CI_devex_rpmt</f>
        <v>0</v>
      </c>
      <c r="AH390" s="49">
        <f ca="1">-MIN(SUM(AH388:AH389),SUM(AH$350,AH$355)*HM_ZB_Nsoko!NOC_rpmt_max_perc)*HM_ZB_Nsoko!NOC_CI_devex_rpmt</f>
        <v>0</v>
      </c>
      <c r="AI390" s="49">
        <f ca="1">-MIN(SUM(AI388:AI389),SUM(AI$350,AI$355)*HM_ZB_Nsoko!NOC_rpmt_max_perc)*HM_ZB_Nsoko!NOC_CI_devex_rpmt</f>
        <v>0</v>
      </c>
      <c r="AJ390" s="49">
        <f ca="1">-MIN(SUM(AJ388:AJ389),SUM(AJ$350,AJ$355)*HM_ZB_Nsoko!NOC_rpmt_max_perc)*HM_ZB_Nsoko!NOC_CI_devex_rpmt</f>
        <v>0</v>
      </c>
      <c r="AK390" s="49">
        <f ca="1">-MIN(SUM(AK388:AK389),SUM(AK$350,AK$355)*HM_ZB_Nsoko!NOC_rpmt_max_perc)*HM_ZB_Nsoko!NOC_CI_devex_rpmt</f>
        <v>0</v>
      </c>
      <c r="AL390" s="49">
        <f ca="1">-MIN(SUM(AL388:AL389),SUM(AL$350,AL$355)*HM_ZB_Nsoko!NOC_rpmt_max_perc)*HM_ZB_Nsoko!NOC_CI_devex_rpmt</f>
        <v>0</v>
      </c>
      <c r="AM390" s="49">
        <f ca="1">-MIN(SUM(AM388:AM389),SUM(AM$350,AM$355)*HM_ZB_Nsoko!NOC_rpmt_max_perc)*HM_ZB_Nsoko!NOC_CI_devex_rpmt</f>
        <v>0</v>
      </c>
      <c r="AN390" s="49">
        <f ca="1">-MIN(SUM(AN388:AN389),SUM(AN$350,AN$355)*HM_ZB_Nsoko!NOC_rpmt_max_perc)*HM_ZB_Nsoko!NOC_CI_devex_rpmt</f>
        <v>0</v>
      </c>
      <c r="AO390" s="49">
        <f ca="1">-MIN(SUM(AO388:AO389),SUM(AO$350,AO$355)*HM_ZB_Nsoko!NOC_rpmt_max_perc)*HM_ZB_Nsoko!NOC_CI_devex_rpmt</f>
        <v>0</v>
      </c>
      <c r="AP390" s="49">
        <f ca="1">-MIN(SUM(AP388:AP389),SUM(AP$350,AP$355)*HM_ZB_Nsoko!NOC_rpmt_max_perc)*HM_ZB_Nsoko!NOC_CI_devex_rpmt</f>
        <v>0</v>
      </c>
      <c r="AQ390" s="49">
        <f ca="1">-MIN(SUM(AQ388:AQ389),SUM(AQ$350,AQ$355)*HM_ZB_Nsoko!NOC_rpmt_max_perc)*HM_ZB_Nsoko!NOC_CI_devex_rpmt</f>
        <v>0</v>
      </c>
      <c r="AR390" s="49">
        <f ca="1">-MIN(SUM(AR388:AR389),SUM(AR$350,AR$355)*HM_ZB_Nsoko!NOC_rpmt_max_perc)*HM_ZB_Nsoko!NOC_CI_devex_rpmt</f>
        <v>0</v>
      </c>
      <c r="AS390" s="49">
        <f ca="1">-MIN(SUM(AS388:AS389),SUM(AS$350,AS$355)*HM_ZB_Nsoko!NOC_rpmt_max_perc)*HM_ZB_Nsoko!NOC_CI_devex_rpmt</f>
        <v>0</v>
      </c>
      <c r="AT390" s="49">
        <f ca="1">-MIN(SUM(AT388:AT389),SUM(AT$350,AT$355)*HM_ZB_Nsoko!NOC_rpmt_max_perc)*HM_ZB_Nsoko!NOC_CI_devex_rpmt</f>
        <v>0</v>
      </c>
      <c r="AU390" s="49">
        <f ca="1">-MIN(SUM(AU388:AU389),SUM(AU$350,AU$355)*HM_ZB_Nsoko!NOC_rpmt_max_perc)*HM_ZB_Nsoko!NOC_CI_devex_rpmt</f>
        <v>0</v>
      </c>
      <c r="AV390" s="49">
        <f ca="1">-MIN(SUM(AV388:AV389),SUM(AV$350,AV$355)*HM_ZB_Nsoko!NOC_rpmt_max_perc)*HM_ZB_Nsoko!NOC_CI_devex_rpmt</f>
        <v>0</v>
      </c>
      <c r="AW390" s="49">
        <f ca="1">-MIN(SUM(AW388:AW389),SUM(AW$350,AW$355)*HM_ZB_Nsoko!NOC_rpmt_max_perc)*HM_ZB_Nsoko!NOC_CI_devex_rpmt</f>
        <v>0</v>
      </c>
      <c r="AX390" s="49">
        <f ca="1">-MIN(SUM(AX388:AX389),SUM(AX$350,AX$355)*HM_ZB_Nsoko!NOC_rpmt_max_perc)*HM_ZB_Nsoko!NOC_CI_devex_rpmt</f>
        <v>0</v>
      </c>
      <c r="AY390" s="49">
        <f ca="1">-MIN(SUM(AY388:AY389),SUM(AY$350,AY$355)*HM_ZB_Nsoko!NOC_rpmt_max_perc)*HM_ZB_Nsoko!NOC_CI_devex_rpmt</f>
        <v>0</v>
      </c>
      <c r="AZ390" s="49">
        <f ca="1">-MIN(SUM(AZ388:AZ389),SUM(AZ$350,AZ$355)*HM_ZB_Nsoko!NOC_rpmt_max_perc)*HM_ZB_Nsoko!NOC_CI_devex_rpmt</f>
        <v>0</v>
      </c>
      <c r="BA390" s="49">
        <f ca="1">-MIN(SUM(BA388:BA389),SUM(BA$350,BA$355)*HM_ZB_Nsoko!NOC_rpmt_max_perc)*HM_ZB_Nsoko!NOC_CI_devex_rpmt</f>
        <v>0</v>
      </c>
      <c r="BB390" s="49">
        <f ca="1">-MIN(SUM(BB388:BB389),SUM(BB$350,BB$355)*HM_ZB_Nsoko!NOC_rpmt_max_perc)*HM_ZB_Nsoko!NOC_CI_devex_rpmt</f>
        <v>0</v>
      </c>
      <c r="BC390" s="49">
        <f ca="1">-MIN(SUM(BC388:BC389),SUM(BC$350,BC$355)*HM_ZB_Nsoko!NOC_rpmt_max_perc)*HM_ZB_Nsoko!NOC_CI_devex_rpmt</f>
        <v>0</v>
      </c>
      <c r="BD390" s="49">
        <f ca="1">-MIN(SUM(BD388:BD389),SUM(BD$350,BD$355)*HM_ZB_Nsoko!NOC_rpmt_max_perc)*HM_ZB_Nsoko!NOC_CI_devex_rpmt</f>
        <v>0</v>
      </c>
      <c r="BE390" s="49">
        <f ca="1">-MIN(SUM(BE388:BE389),SUM(BE$350,BE$355)*HM_ZB_Nsoko!NOC_rpmt_max_perc)*HM_ZB_Nsoko!NOC_CI_devex_rpmt</f>
        <v>0</v>
      </c>
      <c r="BF390" s="49">
        <f ca="1">-MIN(SUM(BF388:BF389),SUM(BF$350,BF$355)*HM_ZB_Nsoko!NOC_rpmt_max_perc)*HM_ZB_Nsoko!NOC_CI_devex_rpmt</f>
        <v>0</v>
      </c>
      <c r="BG390" s="49">
        <f ca="1">-MIN(SUM(BG388:BG389),SUM(BG$350,BG$355)*HM_ZB_Nsoko!NOC_rpmt_max_perc)*HM_ZB_Nsoko!NOC_CI_devex_rpmt</f>
        <v>0</v>
      </c>
      <c r="BH390" s="49">
        <f ca="1">-MIN(SUM(BH388:BH389),SUM(BH$350,BH$355)*HM_ZB_Nsoko!NOC_rpmt_max_perc)*HM_ZB_Nsoko!NOC_CI_devex_rpmt</f>
        <v>0</v>
      </c>
      <c r="BI390" s="49">
        <f ca="1">-MIN(SUM(BI388:BI389),SUM(BI$350,BI$355)*HM_ZB_Nsoko!NOC_rpmt_max_perc)*HM_ZB_Nsoko!NOC_CI_devex_rpmt</f>
        <v>0</v>
      </c>
      <c r="BJ390" s="49">
        <f ca="1">-MIN(SUM(BJ388:BJ389),SUM(BJ$350,BJ$355)*HM_ZB_Nsoko!NOC_rpmt_max_perc)*HM_ZB_Nsoko!NOC_CI_devex_rpmt</f>
        <v>0</v>
      </c>
      <c r="BK390" s="49">
        <f ca="1">-MIN(SUM(BK388:BK389),SUM(BK$350,BK$355)*HM_ZB_Nsoko!NOC_rpmt_max_perc)*HM_ZB_Nsoko!NOC_CI_devex_rpmt</f>
        <v>0</v>
      </c>
      <c r="BL390" s="49">
        <f ca="1">-MIN(SUM(BL388:BL389),SUM(BL$350,BL$355)*HM_ZB_Nsoko!NOC_rpmt_max_perc)*HM_ZB_Nsoko!NOC_CI_devex_rpmt</f>
        <v>0</v>
      </c>
      <c r="BM390" s="49">
        <f ca="1">-MIN(SUM(BM388:BM389),SUM(BM$350,BM$355)*HM_ZB_Nsoko!NOC_rpmt_max_perc)*HM_ZB_Nsoko!NOC_CI_devex_rpmt</f>
        <v>0</v>
      </c>
      <c r="BN390" s="49">
        <f ca="1">-MIN(SUM(BN388:BN389),SUM(BN$350,BN$355)*HM_ZB_Nsoko!NOC_rpmt_max_perc)*HM_ZB_Nsoko!NOC_CI_devex_rpmt</f>
        <v>0</v>
      </c>
      <c r="BO390" s="49">
        <f ca="1">-MIN(SUM(BO388:BO389),SUM(BO$350,BO$355)*HM_ZB_Nsoko!NOC_rpmt_max_perc)*HM_ZB_Nsoko!NOC_CI_devex_rpmt</f>
        <v>0</v>
      </c>
      <c r="BP390" s="49">
        <f ca="1">-MIN(SUM(BP388:BP389),SUM(BP$350,BP$355)*HM_ZB_Nsoko!NOC_rpmt_max_perc)*HM_ZB_Nsoko!NOC_CI_devex_rpmt</f>
        <v>0</v>
      </c>
      <c r="BQ390" s="49">
        <f ca="1">-MIN(SUM(BQ388:BQ389),SUM(BQ$350,BQ$355)*HM_ZB_Nsoko!NOC_rpmt_max_perc)*HM_ZB_Nsoko!NOC_CI_devex_rpmt</f>
        <v>0</v>
      </c>
      <c r="BR390" s="49">
        <f ca="1">-MIN(SUM(BR388:BR389),SUM(BR$350,BR$355)*HM_ZB_Nsoko!NOC_rpmt_max_perc)*HM_ZB_Nsoko!NOC_CI_devex_rpmt</f>
        <v>0</v>
      </c>
      <c r="BS390" s="49">
        <f ca="1">-MIN(SUM(BS388:BS389),SUM(BS$350,BS$355)*HM_ZB_Nsoko!NOC_rpmt_max_perc)*HM_ZB_Nsoko!NOC_CI_devex_rpmt</f>
        <v>0</v>
      </c>
    </row>
    <row r="391" spans="3:71" outlineLevel="1" x14ac:dyDescent="0.2">
      <c r="D391" t="str">
        <f>HM_ZA_Nkossa!D380</f>
        <v>Coûts de portage Solde de clôture</v>
      </c>
      <c r="J391" s="26"/>
      <c r="L391" s="49">
        <f ca="1">SUM(L388:L390)</f>
        <v>0</v>
      </c>
      <c r="M391" s="49">
        <f t="shared" ref="M391:BS391" ca="1" si="108">SUM(M388:M390)</f>
        <v>2.596646414621437</v>
      </c>
      <c r="N391" s="49">
        <f t="shared" ca="1" si="108"/>
        <v>0</v>
      </c>
      <c r="O391" s="49">
        <f t="shared" ca="1" si="108"/>
        <v>0</v>
      </c>
      <c r="P391" s="49">
        <f t="shared" ca="1" si="108"/>
        <v>0</v>
      </c>
      <c r="Q391" s="49">
        <f t="shared" ca="1" si="108"/>
        <v>0</v>
      </c>
      <c r="R391" s="49">
        <f t="shared" ca="1" si="108"/>
        <v>0</v>
      </c>
      <c r="S391" s="49">
        <f t="shared" ca="1" si="108"/>
        <v>0</v>
      </c>
      <c r="T391" s="49">
        <f t="shared" ca="1" si="108"/>
        <v>0</v>
      </c>
      <c r="U391" s="49">
        <f t="shared" ca="1" si="108"/>
        <v>0</v>
      </c>
      <c r="V391" s="49">
        <f t="shared" ca="1" si="108"/>
        <v>0</v>
      </c>
      <c r="W391" s="49">
        <f t="shared" ca="1" si="108"/>
        <v>0</v>
      </c>
      <c r="X391" s="49">
        <f t="shared" ca="1" si="108"/>
        <v>0</v>
      </c>
      <c r="Y391" s="49">
        <f t="shared" ca="1" si="108"/>
        <v>0</v>
      </c>
      <c r="Z391" s="49">
        <f t="shared" ca="1" si="108"/>
        <v>0</v>
      </c>
      <c r="AA391" s="49">
        <f t="shared" ca="1" si="108"/>
        <v>0</v>
      </c>
      <c r="AB391" s="49">
        <f t="shared" ca="1" si="108"/>
        <v>0</v>
      </c>
      <c r="AC391" s="49">
        <f t="shared" ca="1" si="108"/>
        <v>0</v>
      </c>
      <c r="AD391" s="49">
        <f t="shared" ca="1" si="108"/>
        <v>0</v>
      </c>
      <c r="AE391" s="49">
        <f t="shared" ca="1" si="108"/>
        <v>0</v>
      </c>
      <c r="AF391" s="49">
        <f t="shared" ca="1" si="108"/>
        <v>0</v>
      </c>
      <c r="AG391" s="49">
        <f t="shared" ca="1" si="108"/>
        <v>0</v>
      </c>
      <c r="AH391" s="49">
        <f t="shared" ca="1" si="108"/>
        <v>0</v>
      </c>
      <c r="AI391" s="49">
        <f t="shared" ca="1" si="108"/>
        <v>0</v>
      </c>
      <c r="AJ391" s="49">
        <f t="shared" ca="1" si="108"/>
        <v>0</v>
      </c>
      <c r="AK391" s="49">
        <f t="shared" ca="1" si="108"/>
        <v>0</v>
      </c>
      <c r="AL391" s="49">
        <f t="shared" ca="1" si="108"/>
        <v>0</v>
      </c>
      <c r="AM391" s="49">
        <f t="shared" ca="1" si="108"/>
        <v>0</v>
      </c>
      <c r="AN391" s="49">
        <f t="shared" ca="1" si="108"/>
        <v>0</v>
      </c>
      <c r="AO391" s="49">
        <f t="shared" ca="1" si="108"/>
        <v>0</v>
      </c>
      <c r="AP391" s="49">
        <f t="shared" ca="1" si="108"/>
        <v>0</v>
      </c>
      <c r="AQ391" s="49">
        <f t="shared" ca="1" si="108"/>
        <v>0</v>
      </c>
      <c r="AR391" s="49">
        <f t="shared" ca="1" si="108"/>
        <v>0</v>
      </c>
      <c r="AS391" s="49">
        <f t="shared" ca="1" si="108"/>
        <v>0</v>
      </c>
      <c r="AT391" s="49">
        <f t="shared" ca="1" si="108"/>
        <v>0</v>
      </c>
      <c r="AU391" s="49">
        <f t="shared" ca="1" si="108"/>
        <v>0</v>
      </c>
      <c r="AV391" s="49">
        <f t="shared" ca="1" si="108"/>
        <v>0</v>
      </c>
      <c r="AW391" s="49">
        <f t="shared" ca="1" si="108"/>
        <v>0</v>
      </c>
      <c r="AX391" s="49">
        <f t="shared" ca="1" si="108"/>
        <v>0</v>
      </c>
      <c r="AY391" s="49">
        <f t="shared" ca="1" si="108"/>
        <v>0</v>
      </c>
      <c r="AZ391" s="49">
        <f t="shared" ca="1" si="108"/>
        <v>0</v>
      </c>
      <c r="BA391" s="49">
        <f t="shared" ca="1" si="108"/>
        <v>0</v>
      </c>
      <c r="BB391" s="49">
        <f t="shared" ca="1" si="108"/>
        <v>0</v>
      </c>
      <c r="BC391" s="49">
        <f t="shared" ca="1" si="108"/>
        <v>0</v>
      </c>
      <c r="BD391" s="49">
        <f t="shared" ca="1" si="108"/>
        <v>0</v>
      </c>
      <c r="BE391" s="49">
        <f t="shared" ca="1" si="108"/>
        <v>0</v>
      </c>
      <c r="BF391" s="49">
        <f t="shared" ca="1" si="108"/>
        <v>0</v>
      </c>
      <c r="BG391" s="49">
        <f t="shared" ca="1" si="108"/>
        <v>0</v>
      </c>
      <c r="BH391" s="49">
        <f t="shared" ca="1" si="108"/>
        <v>0</v>
      </c>
      <c r="BI391" s="49">
        <f t="shared" ca="1" si="108"/>
        <v>0</v>
      </c>
      <c r="BJ391" s="49">
        <f t="shared" ca="1" si="108"/>
        <v>0</v>
      </c>
      <c r="BK391" s="49">
        <f t="shared" ca="1" si="108"/>
        <v>0</v>
      </c>
      <c r="BL391" s="49">
        <f t="shared" ca="1" si="108"/>
        <v>0</v>
      </c>
      <c r="BM391" s="49">
        <f t="shared" ca="1" si="108"/>
        <v>0</v>
      </c>
      <c r="BN391" s="49">
        <f t="shared" ca="1" si="108"/>
        <v>0</v>
      </c>
      <c r="BO391" s="49">
        <f t="shared" ca="1" si="108"/>
        <v>0</v>
      </c>
      <c r="BP391" s="49">
        <f t="shared" ca="1" si="108"/>
        <v>0</v>
      </c>
      <c r="BQ391" s="49">
        <f t="shared" ca="1" si="108"/>
        <v>0</v>
      </c>
      <c r="BR391" s="49">
        <f t="shared" ca="1" si="108"/>
        <v>0</v>
      </c>
      <c r="BS391" s="49">
        <f t="shared" ca="1" si="108"/>
        <v>0</v>
      </c>
    </row>
    <row r="392" spans="3:71" outlineLevel="1" x14ac:dyDescent="0.2">
      <c r="J392" s="26"/>
      <c r="L392" s="55"/>
      <c r="M392" s="55"/>
      <c r="N392" s="55"/>
      <c r="O392" s="55"/>
      <c r="P392" s="55"/>
      <c r="Q392" s="55"/>
      <c r="R392" s="55"/>
      <c r="S392" s="55"/>
      <c r="T392" s="55"/>
      <c r="U392" s="55"/>
      <c r="V392" s="55"/>
      <c r="W392" s="55"/>
      <c r="X392" s="55"/>
      <c r="Y392" s="55"/>
      <c r="Z392" s="55"/>
      <c r="AA392" s="55"/>
      <c r="AB392" s="55"/>
      <c r="AC392" s="55"/>
      <c r="AD392" s="55"/>
      <c r="AE392" s="55"/>
      <c r="AF392" s="55"/>
      <c r="AG392" s="55"/>
      <c r="AH392" s="55"/>
      <c r="AI392" s="55"/>
      <c r="AJ392" s="55"/>
      <c r="AK392" s="55"/>
      <c r="AL392" s="55"/>
      <c r="AM392" s="55"/>
      <c r="AN392" s="55"/>
      <c r="AO392" s="55"/>
      <c r="AP392" s="55"/>
      <c r="AQ392" s="55"/>
      <c r="AR392" s="55"/>
      <c r="AS392" s="55"/>
      <c r="AT392" s="55"/>
      <c r="AU392" s="55"/>
      <c r="AV392" s="55"/>
      <c r="AW392" s="55"/>
      <c r="AX392" s="55"/>
      <c r="AY392" s="55"/>
      <c r="AZ392" s="55"/>
      <c r="BA392" s="55"/>
      <c r="BB392" s="55"/>
      <c r="BC392" s="55"/>
      <c r="BD392" s="55"/>
      <c r="BE392" s="55"/>
      <c r="BF392" s="55"/>
      <c r="BG392" s="55"/>
      <c r="BH392" s="55"/>
      <c r="BI392" s="55"/>
      <c r="BJ392" s="55"/>
      <c r="BK392" s="55"/>
      <c r="BL392" s="55"/>
      <c r="BM392" s="55"/>
      <c r="BN392" s="55"/>
      <c r="BO392" s="55"/>
      <c r="BP392" s="55"/>
      <c r="BQ392" s="55"/>
      <c r="BR392" s="55"/>
      <c r="BS392" s="55"/>
    </row>
    <row r="393" spans="3:71" outlineLevel="1" x14ac:dyDescent="0.2">
      <c r="C393" s="11" t="str">
        <f>HM_ZA_Nkossa!C382</f>
        <v>Remboursement du portage Compagnie nationale - Opex</v>
      </c>
      <c r="J393" s="26"/>
      <c r="L393" s="55"/>
      <c r="M393" s="55"/>
      <c r="N393" s="55"/>
      <c r="O393" s="55"/>
      <c r="P393" s="55"/>
      <c r="Q393" s="55"/>
      <c r="R393" s="55"/>
      <c r="S393" s="55"/>
      <c r="T393" s="55"/>
      <c r="U393" s="55"/>
      <c r="V393" s="55"/>
      <c r="W393" s="55"/>
      <c r="X393" s="55"/>
      <c r="Y393" s="55"/>
      <c r="Z393" s="55"/>
      <c r="AA393" s="55"/>
      <c r="AB393" s="55"/>
      <c r="AC393" s="55"/>
      <c r="AD393" s="55"/>
      <c r="AE393" s="55"/>
      <c r="AF393" s="55"/>
      <c r="AG393" s="55"/>
      <c r="AH393" s="55"/>
      <c r="AI393" s="55"/>
      <c r="AJ393" s="55"/>
      <c r="AK393" s="55"/>
      <c r="AL393" s="55"/>
      <c r="AM393" s="55"/>
      <c r="AN393" s="55"/>
      <c r="AO393" s="55"/>
      <c r="AP393" s="55"/>
      <c r="AQ393" s="55"/>
      <c r="AR393" s="55"/>
      <c r="AS393" s="55"/>
      <c r="AT393" s="55"/>
      <c r="AU393" s="55"/>
      <c r="AV393" s="55"/>
      <c r="AW393" s="55"/>
      <c r="AX393" s="55"/>
      <c r="AY393" s="55"/>
      <c r="AZ393" s="55"/>
      <c r="BA393" s="55"/>
      <c r="BB393" s="55"/>
      <c r="BC393" s="55"/>
      <c r="BD393" s="55"/>
      <c r="BE393" s="55"/>
      <c r="BF393" s="55"/>
      <c r="BG393" s="55"/>
      <c r="BH393" s="55"/>
      <c r="BI393" s="55"/>
      <c r="BJ393" s="55"/>
      <c r="BK393" s="55"/>
      <c r="BL393" s="55"/>
      <c r="BM393" s="55"/>
      <c r="BN393" s="55"/>
      <c r="BO393" s="55"/>
      <c r="BP393" s="55"/>
      <c r="BQ393" s="55"/>
      <c r="BR393" s="55"/>
      <c r="BS393" s="55"/>
    </row>
    <row r="394" spans="3:71" outlineLevel="1" x14ac:dyDescent="0.2">
      <c r="D394" t="str">
        <f>HM_ZA_Nkossa!D383</f>
        <v>Coûts portés Solde d'ouverture</v>
      </c>
      <c r="J394" s="26"/>
      <c r="L394" s="49">
        <f>K397</f>
        <v>0</v>
      </c>
      <c r="M394" s="49">
        <f t="shared" ref="M394:BS394" ca="1" si="109">L397</f>
        <v>0</v>
      </c>
      <c r="N394" s="49">
        <f t="shared" ca="1" si="109"/>
        <v>0</v>
      </c>
      <c r="O394" s="49">
        <f t="shared" ca="1" si="109"/>
        <v>0</v>
      </c>
      <c r="P394" s="49">
        <f t="shared" ca="1" si="109"/>
        <v>0</v>
      </c>
      <c r="Q394" s="49">
        <f t="shared" ca="1" si="109"/>
        <v>0</v>
      </c>
      <c r="R394" s="49">
        <f t="shared" ca="1" si="109"/>
        <v>0</v>
      </c>
      <c r="S394" s="49">
        <f t="shared" ca="1" si="109"/>
        <v>0</v>
      </c>
      <c r="T394" s="49">
        <f t="shared" ca="1" si="109"/>
        <v>0</v>
      </c>
      <c r="U394" s="49">
        <f t="shared" ca="1" si="109"/>
        <v>0</v>
      </c>
      <c r="V394" s="49">
        <f t="shared" ca="1" si="109"/>
        <v>0</v>
      </c>
      <c r="W394" s="49">
        <f t="shared" ca="1" si="109"/>
        <v>0</v>
      </c>
      <c r="X394" s="49">
        <f t="shared" ca="1" si="109"/>
        <v>0</v>
      </c>
      <c r="Y394" s="49">
        <f t="shared" ca="1" si="109"/>
        <v>0</v>
      </c>
      <c r="Z394" s="49">
        <f t="shared" ca="1" si="109"/>
        <v>0</v>
      </c>
      <c r="AA394" s="49">
        <f t="shared" ca="1" si="109"/>
        <v>0</v>
      </c>
      <c r="AB394" s="49">
        <f t="shared" ca="1" si="109"/>
        <v>0</v>
      </c>
      <c r="AC394" s="49">
        <f t="shared" ca="1" si="109"/>
        <v>0</v>
      </c>
      <c r="AD394" s="49">
        <f t="shared" ca="1" si="109"/>
        <v>0</v>
      </c>
      <c r="AE394" s="49">
        <f t="shared" ca="1" si="109"/>
        <v>0</v>
      </c>
      <c r="AF394" s="49">
        <f t="shared" ca="1" si="109"/>
        <v>0</v>
      </c>
      <c r="AG394" s="49">
        <f t="shared" ca="1" si="109"/>
        <v>0</v>
      </c>
      <c r="AH394" s="49">
        <f t="shared" ca="1" si="109"/>
        <v>0</v>
      </c>
      <c r="AI394" s="49">
        <f t="shared" ca="1" si="109"/>
        <v>0</v>
      </c>
      <c r="AJ394" s="49">
        <f t="shared" ca="1" si="109"/>
        <v>0</v>
      </c>
      <c r="AK394" s="49">
        <f t="shared" ca="1" si="109"/>
        <v>0</v>
      </c>
      <c r="AL394" s="49">
        <f t="shared" ca="1" si="109"/>
        <v>0</v>
      </c>
      <c r="AM394" s="49">
        <f t="shared" ca="1" si="109"/>
        <v>0</v>
      </c>
      <c r="AN394" s="49">
        <f t="shared" ca="1" si="109"/>
        <v>0</v>
      </c>
      <c r="AO394" s="49">
        <f t="shared" ca="1" si="109"/>
        <v>0</v>
      </c>
      <c r="AP394" s="49">
        <f t="shared" ca="1" si="109"/>
        <v>0</v>
      </c>
      <c r="AQ394" s="49">
        <f t="shared" ca="1" si="109"/>
        <v>0</v>
      </c>
      <c r="AR394" s="49">
        <f t="shared" ca="1" si="109"/>
        <v>0</v>
      </c>
      <c r="AS394" s="49">
        <f t="shared" ca="1" si="109"/>
        <v>0</v>
      </c>
      <c r="AT394" s="49">
        <f t="shared" ca="1" si="109"/>
        <v>0</v>
      </c>
      <c r="AU394" s="49">
        <f t="shared" ca="1" si="109"/>
        <v>0</v>
      </c>
      <c r="AV394" s="49">
        <f t="shared" ca="1" si="109"/>
        <v>0</v>
      </c>
      <c r="AW394" s="49">
        <f t="shared" ca="1" si="109"/>
        <v>0</v>
      </c>
      <c r="AX394" s="49">
        <f t="shared" ca="1" si="109"/>
        <v>0</v>
      </c>
      <c r="AY394" s="49">
        <f t="shared" ca="1" si="109"/>
        <v>0</v>
      </c>
      <c r="AZ394" s="49">
        <f t="shared" ca="1" si="109"/>
        <v>0</v>
      </c>
      <c r="BA394" s="49">
        <f t="shared" ca="1" si="109"/>
        <v>0</v>
      </c>
      <c r="BB394" s="49">
        <f t="shared" ca="1" si="109"/>
        <v>0</v>
      </c>
      <c r="BC394" s="49">
        <f t="shared" ca="1" si="109"/>
        <v>0</v>
      </c>
      <c r="BD394" s="49">
        <f t="shared" ca="1" si="109"/>
        <v>0</v>
      </c>
      <c r="BE394" s="49">
        <f t="shared" ca="1" si="109"/>
        <v>0</v>
      </c>
      <c r="BF394" s="49">
        <f t="shared" ca="1" si="109"/>
        <v>0</v>
      </c>
      <c r="BG394" s="49">
        <f t="shared" ca="1" si="109"/>
        <v>0</v>
      </c>
      <c r="BH394" s="49">
        <f t="shared" ca="1" si="109"/>
        <v>0</v>
      </c>
      <c r="BI394" s="49">
        <f t="shared" ca="1" si="109"/>
        <v>0</v>
      </c>
      <c r="BJ394" s="49">
        <f t="shared" ca="1" si="109"/>
        <v>0</v>
      </c>
      <c r="BK394" s="49">
        <f t="shared" ca="1" si="109"/>
        <v>0</v>
      </c>
      <c r="BL394" s="49">
        <f t="shared" ca="1" si="109"/>
        <v>0</v>
      </c>
      <c r="BM394" s="49">
        <f t="shared" ca="1" si="109"/>
        <v>0</v>
      </c>
      <c r="BN394" s="49">
        <f t="shared" ca="1" si="109"/>
        <v>0</v>
      </c>
      <c r="BO394" s="49">
        <f t="shared" ca="1" si="109"/>
        <v>0</v>
      </c>
      <c r="BP394" s="49">
        <f t="shared" ca="1" si="109"/>
        <v>0</v>
      </c>
      <c r="BQ394" s="49">
        <f t="shared" ca="1" si="109"/>
        <v>0</v>
      </c>
      <c r="BR394" s="49">
        <f t="shared" ca="1" si="109"/>
        <v>0</v>
      </c>
      <c r="BS394" s="49">
        <f t="shared" ca="1" si="109"/>
        <v>0</v>
      </c>
    </row>
    <row r="395" spans="3:71" outlineLevel="1" x14ac:dyDescent="0.2">
      <c r="D395" s="50" t="str">
        <f>HM_ZA_Nkossa!D384</f>
        <v>Coûts portés pour la période</v>
      </c>
      <c r="I395" s="30">
        <f t="shared" ref="I395:I396" ca="1" si="110">SUM($L395:$BS395)</f>
        <v>0</v>
      </c>
      <c r="J395" s="26" t="s">
        <v>148</v>
      </c>
      <c r="L395" s="49">
        <f ca="1">L378</f>
        <v>0</v>
      </c>
      <c r="M395" s="49">
        <f t="shared" ref="M395:BS395" ca="1" si="111">M378</f>
        <v>0</v>
      </c>
      <c r="N395" s="49">
        <f t="shared" ca="1" si="111"/>
        <v>0</v>
      </c>
      <c r="O395" s="49">
        <f t="shared" ca="1" si="111"/>
        <v>0</v>
      </c>
      <c r="P395" s="49">
        <f t="shared" ca="1" si="111"/>
        <v>0</v>
      </c>
      <c r="Q395" s="49">
        <f t="shared" ca="1" si="111"/>
        <v>0</v>
      </c>
      <c r="R395" s="49">
        <f t="shared" ca="1" si="111"/>
        <v>0</v>
      </c>
      <c r="S395" s="49">
        <f t="shared" ca="1" si="111"/>
        <v>0</v>
      </c>
      <c r="T395" s="49">
        <f t="shared" ca="1" si="111"/>
        <v>0</v>
      </c>
      <c r="U395" s="49">
        <f t="shared" ca="1" si="111"/>
        <v>0</v>
      </c>
      <c r="V395" s="49">
        <f t="shared" ca="1" si="111"/>
        <v>0</v>
      </c>
      <c r="W395" s="49">
        <f t="shared" ca="1" si="111"/>
        <v>0</v>
      </c>
      <c r="X395" s="49">
        <f t="shared" ca="1" si="111"/>
        <v>0</v>
      </c>
      <c r="Y395" s="49">
        <f t="shared" ca="1" si="111"/>
        <v>0</v>
      </c>
      <c r="Z395" s="49">
        <f t="shared" ca="1" si="111"/>
        <v>0</v>
      </c>
      <c r="AA395" s="49">
        <f t="shared" ca="1" si="111"/>
        <v>0</v>
      </c>
      <c r="AB395" s="49">
        <f t="shared" ca="1" si="111"/>
        <v>0</v>
      </c>
      <c r="AC395" s="49">
        <f t="shared" ca="1" si="111"/>
        <v>0</v>
      </c>
      <c r="AD395" s="49">
        <f t="shared" ca="1" si="111"/>
        <v>0</v>
      </c>
      <c r="AE395" s="49">
        <f t="shared" ca="1" si="111"/>
        <v>0</v>
      </c>
      <c r="AF395" s="49">
        <f t="shared" ca="1" si="111"/>
        <v>0</v>
      </c>
      <c r="AG395" s="49">
        <f t="shared" ca="1" si="111"/>
        <v>0</v>
      </c>
      <c r="AH395" s="49">
        <f t="shared" ca="1" si="111"/>
        <v>0</v>
      </c>
      <c r="AI395" s="49">
        <f t="shared" ca="1" si="111"/>
        <v>0</v>
      </c>
      <c r="AJ395" s="49">
        <f t="shared" ca="1" si="111"/>
        <v>0</v>
      </c>
      <c r="AK395" s="49">
        <f t="shared" ca="1" si="111"/>
        <v>0</v>
      </c>
      <c r="AL395" s="49">
        <f t="shared" ca="1" si="111"/>
        <v>0</v>
      </c>
      <c r="AM395" s="49">
        <f t="shared" ca="1" si="111"/>
        <v>0</v>
      </c>
      <c r="AN395" s="49">
        <f t="shared" ca="1" si="111"/>
        <v>0</v>
      </c>
      <c r="AO395" s="49">
        <f t="shared" ca="1" si="111"/>
        <v>0</v>
      </c>
      <c r="AP395" s="49">
        <f t="shared" ca="1" si="111"/>
        <v>0</v>
      </c>
      <c r="AQ395" s="49">
        <f t="shared" ca="1" si="111"/>
        <v>0</v>
      </c>
      <c r="AR395" s="49">
        <f t="shared" ca="1" si="111"/>
        <v>0</v>
      </c>
      <c r="AS395" s="49">
        <f t="shared" ca="1" si="111"/>
        <v>0</v>
      </c>
      <c r="AT395" s="49">
        <f t="shared" ca="1" si="111"/>
        <v>0</v>
      </c>
      <c r="AU395" s="49">
        <f t="shared" ca="1" si="111"/>
        <v>0</v>
      </c>
      <c r="AV395" s="49">
        <f t="shared" ca="1" si="111"/>
        <v>0</v>
      </c>
      <c r="AW395" s="49">
        <f t="shared" ca="1" si="111"/>
        <v>0</v>
      </c>
      <c r="AX395" s="49">
        <f t="shared" ca="1" si="111"/>
        <v>0</v>
      </c>
      <c r="AY395" s="49">
        <f t="shared" ca="1" si="111"/>
        <v>0</v>
      </c>
      <c r="AZ395" s="49">
        <f t="shared" ca="1" si="111"/>
        <v>0</v>
      </c>
      <c r="BA395" s="49">
        <f t="shared" ca="1" si="111"/>
        <v>0</v>
      </c>
      <c r="BB395" s="49">
        <f t="shared" ca="1" si="111"/>
        <v>0</v>
      </c>
      <c r="BC395" s="49">
        <f t="shared" ca="1" si="111"/>
        <v>0</v>
      </c>
      <c r="BD395" s="49">
        <f t="shared" ca="1" si="111"/>
        <v>0</v>
      </c>
      <c r="BE395" s="49">
        <f t="shared" ca="1" si="111"/>
        <v>0</v>
      </c>
      <c r="BF395" s="49">
        <f t="shared" ca="1" si="111"/>
        <v>0</v>
      </c>
      <c r="BG395" s="49">
        <f t="shared" ca="1" si="111"/>
        <v>0</v>
      </c>
      <c r="BH395" s="49">
        <f t="shared" ca="1" si="111"/>
        <v>0</v>
      </c>
      <c r="BI395" s="49">
        <f t="shared" ca="1" si="111"/>
        <v>0</v>
      </c>
      <c r="BJ395" s="49">
        <f t="shared" ca="1" si="111"/>
        <v>0</v>
      </c>
      <c r="BK395" s="49">
        <f t="shared" ca="1" si="111"/>
        <v>0</v>
      </c>
      <c r="BL395" s="49">
        <f t="shared" ca="1" si="111"/>
        <v>0</v>
      </c>
      <c r="BM395" s="49">
        <f t="shared" ca="1" si="111"/>
        <v>0</v>
      </c>
      <c r="BN395" s="49">
        <f t="shared" ca="1" si="111"/>
        <v>0</v>
      </c>
      <c r="BO395" s="49">
        <f t="shared" ca="1" si="111"/>
        <v>0</v>
      </c>
      <c r="BP395" s="49">
        <f t="shared" ca="1" si="111"/>
        <v>0</v>
      </c>
      <c r="BQ395" s="49">
        <f t="shared" ca="1" si="111"/>
        <v>0</v>
      </c>
      <c r="BR395" s="49">
        <f t="shared" ca="1" si="111"/>
        <v>0</v>
      </c>
      <c r="BS395" s="49">
        <f t="shared" ca="1" si="111"/>
        <v>0</v>
      </c>
    </row>
    <row r="396" spans="3:71" outlineLevel="1" x14ac:dyDescent="0.2">
      <c r="D396" s="50" t="str">
        <f>HM_ZA_Nkossa!D385</f>
        <v>Remboursement du portage</v>
      </c>
      <c r="I396" s="30">
        <f t="shared" ca="1" si="110"/>
        <v>0</v>
      </c>
      <c r="J396" s="26" t="s">
        <v>148</v>
      </c>
      <c r="L396" s="49">
        <f ca="1">-MIN(SUM(L394:L395),SUM(L$350,L$355)*HM_ZB_Nsoko!NOC_rpmt_max_perc)*HM_ZB_Nsoko!NOC_CI_opex_rpmt</f>
        <v>0</v>
      </c>
      <c r="M396" s="49">
        <f ca="1">-MIN(SUM(M394:M395),SUM(M$350,M$355)*HM_ZB_Nsoko!NOC_rpmt_max_perc)*HM_ZB_Nsoko!NOC_CI_opex_rpmt</f>
        <v>0</v>
      </c>
      <c r="N396" s="49">
        <f ca="1">-MIN(SUM(N394:N395),SUM(N$350,N$355)*HM_ZB_Nsoko!NOC_rpmt_max_perc)*HM_ZB_Nsoko!NOC_CI_opex_rpmt</f>
        <v>0</v>
      </c>
      <c r="O396" s="49">
        <f ca="1">-MIN(SUM(O394:O395),SUM(O$350,O$355)*HM_ZB_Nsoko!NOC_rpmt_max_perc)*HM_ZB_Nsoko!NOC_CI_opex_rpmt</f>
        <v>0</v>
      </c>
      <c r="P396" s="49">
        <f ca="1">-MIN(SUM(P394:P395),SUM(P$350,P$355)*HM_ZB_Nsoko!NOC_rpmt_max_perc)*HM_ZB_Nsoko!NOC_CI_opex_rpmt</f>
        <v>0</v>
      </c>
      <c r="Q396" s="49">
        <f ca="1">-MIN(SUM(Q394:Q395),SUM(Q$350,Q$355)*HM_ZB_Nsoko!NOC_rpmt_max_perc)*HM_ZB_Nsoko!NOC_CI_opex_rpmt</f>
        <v>0</v>
      </c>
      <c r="R396" s="49">
        <f ca="1">-MIN(SUM(R394:R395),SUM(R$350,R$355)*HM_ZB_Nsoko!NOC_rpmt_max_perc)*HM_ZB_Nsoko!NOC_CI_opex_rpmt</f>
        <v>0</v>
      </c>
      <c r="S396" s="49">
        <f ca="1">-MIN(SUM(S394:S395),SUM(S$350,S$355)*HM_ZB_Nsoko!NOC_rpmt_max_perc)*HM_ZB_Nsoko!NOC_CI_opex_rpmt</f>
        <v>0</v>
      </c>
      <c r="T396" s="49">
        <f ca="1">-MIN(SUM(T394:T395),SUM(T$350,T$355)*HM_ZB_Nsoko!NOC_rpmt_max_perc)*HM_ZB_Nsoko!NOC_CI_opex_rpmt</f>
        <v>0</v>
      </c>
      <c r="U396" s="49">
        <f ca="1">-MIN(SUM(U394:U395),SUM(U$350,U$355)*HM_ZB_Nsoko!NOC_rpmt_max_perc)*HM_ZB_Nsoko!NOC_CI_opex_rpmt</f>
        <v>0</v>
      </c>
      <c r="V396" s="49">
        <f ca="1">-MIN(SUM(V394:V395),SUM(V$350,V$355)*HM_ZB_Nsoko!NOC_rpmt_max_perc)*HM_ZB_Nsoko!NOC_CI_opex_rpmt</f>
        <v>0</v>
      </c>
      <c r="W396" s="49">
        <f ca="1">-MIN(SUM(W394:W395),SUM(W$350,W$355)*HM_ZB_Nsoko!NOC_rpmt_max_perc)*HM_ZB_Nsoko!NOC_CI_opex_rpmt</f>
        <v>0</v>
      </c>
      <c r="X396" s="49">
        <f ca="1">-MIN(SUM(X394:X395),SUM(X$350,X$355)*HM_ZB_Nsoko!NOC_rpmt_max_perc)*HM_ZB_Nsoko!NOC_CI_opex_rpmt</f>
        <v>0</v>
      </c>
      <c r="Y396" s="49">
        <f ca="1">-MIN(SUM(Y394:Y395),SUM(Y$350,Y$355)*HM_ZB_Nsoko!NOC_rpmt_max_perc)*HM_ZB_Nsoko!NOC_CI_opex_rpmt</f>
        <v>0</v>
      </c>
      <c r="Z396" s="49">
        <f ca="1">-MIN(SUM(Z394:Z395),SUM(Z$350,Z$355)*HM_ZB_Nsoko!NOC_rpmt_max_perc)*HM_ZB_Nsoko!NOC_CI_opex_rpmt</f>
        <v>0</v>
      </c>
      <c r="AA396" s="49">
        <f ca="1">-MIN(SUM(AA394:AA395),SUM(AA$350,AA$355)*HM_ZB_Nsoko!NOC_rpmt_max_perc)*HM_ZB_Nsoko!NOC_CI_opex_rpmt</f>
        <v>0</v>
      </c>
      <c r="AB396" s="49">
        <f ca="1">-MIN(SUM(AB394:AB395),SUM(AB$350,AB$355)*HM_ZB_Nsoko!NOC_rpmt_max_perc)*HM_ZB_Nsoko!NOC_CI_opex_rpmt</f>
        <v>0</v>
      </c>
      <c r="AC396" s="49">
        <f ca="1">-MIN(SUM(AC394:AC395),SUM(AC$350,AC$355)*HM_ZB_Nsoko!NOC_rpmt_max_perc)*HM_ZB_Nsoko!NOC_CI_opex_rpmt</f>
        <v>0</v>
      </c>
      <c r="AD396" s="49">
        <f ca="1">-MIN(SUM(AD394:AD395),SUM(AD$350,AD$355)*HM_ZB_Nsoko!NOC_rpmt_max_perc)*HM_ZB_Nsoko!NOC_CI_opex_rpmt</f>
        <v>0</v>
      </c>
      <c r="AE396" s="49">
        <f ca="1">-MIN(SUM(AE394:AE395),SUM(AE$350,AE$355)*HM_ZB_Nsoko!NOC_rpmt_max_perc)*HM_ZB_Nsoko!NOC_CI_opex_rpmt</f>
        <v>0</v>
      </c>
      <c r="AF396" s="49">
        <f ca="1">-MIN(SUM(AF394:AF395),SUM(AF$350,AF$355)*HM_ZB_Nsoko!NOC_rpmt_max_perc)*HM_ZB_Nsoko!NOC_CI_opex_rpmt</f>
        <v>0</v>
      </c>
      <c r="AG396" s="49">
        <f ca="1">-MIN(SUM(AG394:AG395),SUM(AG$350,AG$355)*HM_ZB_Nsoko!NOC_rpmt_max_perc)*HM_ZB_Nsoko!NOC_CI_opex_rpmt</f>
        <v>0</v>
      </c>
      <c r="AH396" s="49">
        <f ca="1">-MIN(SUM(AH394:AH395),SUM(AH$350,AH$355)*HM_ZB_Nsoko!NOC_rpmt_max_perc)*HM_ZB_Nsoko!NOC_CI_opex_rpmt</f>
        <v>0</v>
      </c>
      <c r="AI396" s="49">
        <f ca="1">-MIN(SUM(AI394:AI395),SUM(AI$350,AI$355)*HM_ZB_Nsoko!NOC_rpmt_max_perc)*HM_ZB_Nsoko!NOC_CI_opex_rpmt</f>
        <v>0</v>
      </c>
      <c r="AJ396" s="49">
        <f ca="1">-MIN(SUM(AJ394:AJ395),SUM(AJ$350,AJ$355)*HM_ZB_Nsoko!NOC_rpmt_max_perc)*HM_ZB_Nsoko!NOC_CI_opex_rpmt</f>
        <v>0</v>
      </c>
      <c r="AK396" s="49">
        <f ca="1">-MIN(SUM(AK394:AK395),SUM(AK$350,AK$355)*HM_ZB_Nsoko!NOC_rpmt_max_perc)*HM_ZB_Nsoko!NOC_CI_opex_rpmt</f>
        <v>0</v>
      </c>
      <c r="AL396" s="49">
        <f ca="1">-MIN(SUM(AL394:AL395),SUM(AL$350,AL$355)*HM_ZB_Nsoko!NOC_rpmt_max_perc)*HM_ZB_Nsoko!NOC_CI_opex_rpmt</f>
        <v>0</v>
      </c>
      <c r="AM396" s="49">
        <f ca="1">-MIN(SUM(AM394:AM395),SUM(AM$350,AM$355)*HM_ZB_Nsoko!NOC_rpmt_max_perc)*HM_ZB_Nsoko!NOC_CI_opex_rpmt</f>
        <v>0</v>
      </c>
      <c r="AN396" s="49">
        <f ca="1">-MIN(SUM(AN394:AN395),SUM(AN$350,AN$355)*HM_ZB_Nsoko!NOC_rpmt_max_perc)*HM_ZB_Nsoko!NOC_CI_opex_rpmt</f>
        <v>0</v>
      </c>
      <c r="AO396" s="49">
        <f ca="1">-MIN(SUM(AO394:AO395),SUM(AO$350,AO$355)*HM_ZB_Nsoko!NOC_rpmt_max_perc)*HM_ZB_Nsoko!NOC_CI_opex_rpmt</f>
        <v>0</v>
      </c>
      <c r="AP396" s="49">
        <f ca="1">-MIN(SUM(AP394:AP395),SUM(AP$350,AP$355)*HM_ZB_Nsoko!NOC_rpmt_max_perc)*HM_ZB_Nsoko!NOC_CI_opex_rpmt</f>
        <v>0</v>
      </c>
      <c r="AQ396" s="49">
        <f ca="1">-MIN(SUM(AQ394:AQ395),SUM(AQ$350,AQ$355)*HM_ZB_Nsoko!NOC_rpmt_max_perc)*HM_ZB_Nsoko!NOC_CI_opex_rpmt</f>
        <v>0</v>
      </c>
      <c r="AR396" s="49">
        <f ca="1">-MIN(SUM(AR394:AR395),SUM(AR$350,AR$355)*HM_ZB_Nsoko!NOC_rpmt_max_perc)*HM_ZB_Nsoko!NOC_CI_opex_rpmt</f>
        <v>0</v>
      </c>
      <c r="AS396" s="49">
        <f ca="1">-MIN(SUM(AS394:AS395),SUM(AS$350,AS$355)*HM_ZB_Nsoko!NOC_rpmt_max_perc)*HM_ZB_Nsoko!NOC_CI_opex_rpmt</f>
        <v>0</v>
      </c>
      <c r="AT396" s="49">
        <f ca="1">-MIN(SUM(AT394:AT395),SUM(AT$350,AT$355)*HM_ZB_Nsoko!NOC_rpmt_max_perc)*HM_ZB_Nsoko!NOC_CI_opex_rpmt</f>
        <v>0</v>
      </c>
      <c r="AU396" s="49">
        <f ca="1">-MIN(SUM(AU394:AU395),SUM(AU$350,AU$355)*HM_ZB_Nsoko!NOC_rpmt_max_perc)*HM_ZB_Nsoko!NOC_CI_opex_rpmt</f>
        <v>0</v>
      </c>
      <c r="AV396" s="49">
        <f ca="1">-MIN(SUM(AV394:AV395),SUM(AV$350,AV$355)*HM_ZB_Nsoko!NOC_rpmt_max_perc)*HM_ZB_Nsoko!NOC_CI_opex_rpmt</f>
        <v>0</v>
      </c>
      <c r="AW396" s="49">
        <f ca="1">-MIN(SUM(AW394:AW395),SUM(AW$350,AW$355)*HM_ZB_Nsoko!NOC_rpmt_max_perc)*HM_ZB_Nsoko!NOC_CI_opex_rpmt</f>
        <v>0</v>
      </c>
      <c r="AX396" s="49">
        <f ca="1">-MIN(SUM(AX394:AX395),SUM(AX$350,AX$355)*HM_ZB_Nsoko!NOC_rpmt_max_perc)*HM_ZB_Nsoko!NOC_CI_opex_rpmt</f>
        <v>0</v>
      </c>
      <c r="AY396" s="49">
        <f ca="1">-MIN(SUM(AY394:AY395),SUM(AY$350,AY$355)*HM_ZB_Nsoko!NOC_rpmt_max_perc)*HM_ZB_Nsoko!NOC_CI_opex_rpmt</f>
        <v>0</v>
      </c>
      <c r="AZ396" s="49">
        <f ca="1">-MIN(SUM(AZ394:AZ395),SUM(AZ$350,AZ$355)*HM_ZB_Nsoko!NOC_rpmt_max_perc)*HM_ZB_Nsoko!NOC_CI_opex_rpmt</f>
        <v>0</v>
      </c>
      <c r="BA396" s="49">
        <f ca="1">-MIN(SUM(BA394:BA395),SUM(BA$350,BA$355)*HM_ZB_Nsoko!NOC_rpmt_max_perc)*HM_ZB_Nsoko!NOC_CI_opex_rpmt</f>
        <v>0</v>
      </c>
      <c r="BB396" s="49">
        <f ca="1">-MIN(SUM(BB394:BB395),SUM(BB$350,BB$355)*HM_ZB_Nsoko!NOC_rpmt_max_perc)*HM_ZB_Nsoko!NOC_CI_opex_rpmt</f>
        <v>0</v>
      </c>
      <c r="BC396" s="49">
        <f ca="1">-MIN(SUM(BC394:BC395),SUM(BC$350,BC$355)*HM_ZB_Nsoko!NOC_rpmt_max_perc)*HM_ZB_Nsoko!NOC_CI_opex_rpmt</f>
        <v>0</v>
      </c>
      <c r="BD396" s="49">
        <f ca="1">-MIN(SUM(BD394:BD395),SUM(BD$350,BD$355)*HM_ZB_Nsoko!NOC_rpmt_max_perc)*HM_ZB_Nsoko!NOC_CI_opex_rpmt</f>
        <v>0</v>
      </c>
      <c r="BE396" s="49">
        <f ca="1">-MIN(SUM(BE394:BE395),SUM(BE$350,BE$355)*HM_ZB_Nsoko!NOC_rpmt_max_perc)*HM_ZB_Nsoko!NOC_CI_opex_rpmt</f>
        <v>0</v>
      </c>
      <c r="BF396" s="49">
        <f ca="1">-MIN(SUM(BF394:BF395),SUM(BF$350,BF$355)*HM_ZB_Nsoko!NOC_rpmt_max_perc)*HM_ZB_Nsoko!NOC_CI_opex_rpmt</f>
        <v>0</v>
      </c>
      <c r="BG396" s="49">
        <f ca="1">-MIN(SUM(BG394:BG395),SUM(BG$350,BG$355)*HM_ZB_Nsoko!NOC_rpmt_max_perc)*HM_ZB_Nsoko!NOC_CI_opex_rpmt</f>
        <v>0</v>
      </c>
      <c r="BH396" s="49">
        <f ca="1">-MIN(SUM(BH394:BH395),SUM(BH$350,BH$355)*HM_ZB_Nsoko!NOC_rpmt_max_perc)*HM_ZB_Nsoko!NOC_CI_opex_rpmt</f>
        <v>0</v>
      </c>
      <c r="BI396" s="49">
        <f ca="1">-MIN(SUM(BI394:BI395),SUM(BI$350,BI$355)*HM_ZB_Nsoko!NOC_rpmt_max_perc)*HM_ZB_Nsoko!NOC_CI_opex_rpmt</f>
        <v>0</v>
      </c>
      <c r="BJ396" s="49">
        <f ca="1">-MIN(SUM(BJ394:BJ395),SUM(BJ$350,BJ$355)*HM_ZB_Nsoko!NOC_rpmt_max_perc)*HM_ZB_Nsoko!NOC_CI_opex_rpmt</f>
        <v>0</v>
      </c>
      <c r="BK396" s="49">
        <f ca="1">-MIN(SUM(BK394:BK395),SUM(BK$350,BK$355)*HM_ZB_Nsoko!NOC_rpmt_max_perc)*HM_ZB_Nsoko!NOC_CI_opex_rpmt</f>
        <v>0</v>
      </c>
      <c r="BL396" s="49">
        <f ca="1">-MIN(SUM(BL394:BL395),SUM(BL$350,BL$355)*HM_ZB_Nsoko!NOC_rpmt_max_perc)*HM_ZB_Nsoko!NOC_CI_opex_rpmt</f>
        <v>0</v>
      </c>
      <c r="BM396" s="49">
        <f ca="1">-MIN(SUM(BM394:BM395),SUM(BM$350,BM$355)*HM_ZB_Nsoko!NOC_rpmt_max_perc)*HM_ZB_Nsoko!NOC_CI_opex_rpmt</f>
        <v>0</v>
      </c>
      <c r="BN396" s="49">
        <f ca="1">-MIN(SUM(BN394:BN395),SUM(BN$350,BN$355)*HM_ZB_Nsoko!NOC_rpmt_max_perc)*HM_ZB_Nsoko!NOC_CI_opex_rpmt</f>
        <v>0</v>
      </c>
      <c r="BO396" s="49">
        <f ca="1">-MIN(SUM(BO394:BO395),SUM(BO$350,BO$355)*HM_ZB_Nsoko!NOC_rpmt_max_perc)*HM_ZB_Nsoko!NOC_CI_opex_rpmt</f>
        <v>0</v>
      </c>
      <c r="BP396" s="49">
        <f ca="1">-MIN(SUM(BP394:BP395),SUM(BP$350,BP$355)*HM_ZB_Nsoko!NOC_rpmt_max_perc)*HM_ZB_Nsoko!NOC_CI_opex_rpmt</f>
        <v>0</v>
      </c>
      <c r="BQ396" s="49">
        <f ca="1">-MIN(SUM(BQ394:BQ395),SUM(BQ$350,BQ$355)*HM_ZB_Nsoko!NOC_rpmt_max_perc)*HM_ZB_Nsoko!NOC_CI_opex_rpmt</f>
        <v>0</v>
      </c>
      <c r="BR396" s="49">
        <f ca="1">-MIN(SUM(BR394:BR395),SUM(BR$350,BR$355)*HM_ZB_Nsoko!NOC_rpmt_max_perc)*HM_ZB_Nsoko!NOC_CI_opex_rpmt</f>
        <v>0</v>
      </c>
      <c r="BS396" s="49">
        <f ca="1">-MIN(SUM(BS394:BS395),SUM(BS$350,BS$355)*HM_ZB_Nsoko!NOC_rpmt_max_perc)*HM_ZB_Nsoko!NOC_CI_opex_rpmt</f>
        <v>0</v>
      </c>
    </row>
    <row r="397" spans="3:71" outlineLevel="1" x14ac:dyDescent="0.2">
      <c r="D397" t="str">
        <f>HM_ZA_Nkossa!D386</f>
        <v>Coûts de portage Solde de clôture</v>
      </c>
      <c r="J397" s="26"/>
      <c r="L397" s="49">
        <f ca="1">SUM(L394:L396)</f>
        <v>0</v>
      </c>
      <c r="M397" s="49">
        <f t="shared" ref="M397:BS397" ca="1" si="112">SUM(M394:M396)</f>
        <v>0</v>
      </c>
      <c r="N397" s="49">
        <f t="shared" ca="1" si="112"/>
        <v>0</v>
      </c>
      <c r="O397" s="49">
        <f t="shared" ca="1" si="112"/>
        <v>0</v>
      </c>
      <c r="P397" s="49">
        <f t="shared" ca="1" si="112"/>
        <v>0</v>
      </c>
      <c r="Q397" s="49">
        <f t="shared" ca="1" si="112"/>
        <v>0</v>
      </c>
      <c r="R397" s="49">
        <f t="shared" ca="1" si="112"/>
        <v>0</v>
      </c>
      <c r="S397" s="49">
        <f t="shared" ca="1" si="112"/>
        <v>0</v>
      </c>
      <c r="T397" s="49">
        <f t="shared" ca="1" si="112"/>
        <v>0</v>
      </c>
      <c r="U397" s="49">
        <f t="shared" ca="1" si="112"/>
        <v>0</v>
      </c>
      <c r="V397" s="49">
        <f t="shared" ca="1" si="112"/>
        <v>0</v>
      </c>
      <c r="W397" s="49">
        <f t="shared" ca="1" si="112"/>
        <v>0</v>
      </c>
      <c r="X397" s="49">
        <f t="shared" ca="1" si="112"/>
        <v>0</v>
      </c>
      <c r="Y397" s="49">
        <f t="shared" ca="1" si="112"/>
        <v>0</v>
      </c>
      <c r="Z397" s="49">
        <f t="shared" ca="1" si="112"/>
        <v>0</v>
      </c>
      <c r="AA397" s="49">
        <f t="shared" ca="1" si="112"/>
        <v>0</v>
      </c>
      <c r="AB397" s="49">
        <f t="shared" ca="1" si="112"/>
        <v>0</v>
      </c>
      <c r="AC397" s="49">
        <f t="shared" ca="1" si="112"/>
        <v>0</v>
      </c>
      <c r="AD397" s="49">
        <f t="shared" ca="1" si="112"/>
        <v>0</v>
      </c>
      <c r="AE397" s="49">
        <f t="shared" ca="1" si="112"/>
        <v>0</v>
      </c>
      <c r="AF397" s="49">
        <f t="shared" ca="1" si="112"/>
        <v>0</v>
      </c>
      <c r="AG397" s="49">
        <f t="shared" ca="1" si="112"/>
        <v>0</v>
      </c>
      <c r="AH397" s="49">
        <f t="shared" ca="1" si="112"/>
        <v>0</v>
      </c>
      <c r="AI397" s="49">
        <f t="shared" ca="1" si="112"/>
        <v>0</v>
      </c>
      <c r="AJ397" s="49">
        <f t="shared" ca="1" si="112"/>
        <v>0</v>
      </c>
      <c r="AK397" s="49">
        <f t="shared" ca="1" si="112"/>
        <v>0</v>
      </c>
      <c r="AL397" s="49">
        <f t="shared" ca="1" si="112"/>
        <v>0</v>
      </c>
      <c r="AM397" s="49">
        <f t="shared" ca="1" si="112"/>
        <v>0</v>
      </c>
      <c r="AN397" s="49">
        <f t="shared" ca="1" si="112"/>
        <v>0</v>
      </c>
      <c r="AO397" s="49">
        <f t="shared" ca="1" si="112"/>
        <v>0</v>
      </c>
      <c r="AP397" s="49">
        <f t="shared" ca="1" si="112"/>
        <v>0</v>
      </c>
      <c r="AQ397" s="49">
        <f t="shared" ca="1" si="112"/>
        <v>0</v>
      </c>
      <c r="AR397" s="49">
        <f t="shared" ca="1" si="112"/>
        <v>0</v>
      </c>
      <c r="AS397" s="49">
        <f t="shared" ca="1" si="112"/>
        <v>0</v>
      </c>
      <c r="AT397" s="49">
        <f t="shared" ca="1" si="112"/>
        <v>0</v>
      </c>
      <c r="AU397" s="49">
        <f t="shared" ca="1" si="112"/>
        <v>0</v>
      </c>
      <c r="AV397" s="49">
        <f t="shared" ca="1" si="112"/>
        <v>0</v>
      </c>
      <c r="AW397" s="49">
        <f t="shared" ca="1" si="112"/>
        <v>0</v>
      </c>
      <c r="AX397" s="49">
        <f t="shared" ca="1" si="112"/>
        <v>0</v>
      </c>
      <c r="AY397" s="49">
        <f t="shared" ca="1" si="112"/>
        <v>0</v>
      </c>
      <c r="AZ397" s="49">
        <f t="shared" ca="1" si="112"/>
        <v>0</v>
      </c>
      <c r="BA397" s="49">
        <f t="shared" ca="1" si="112"/>
        <v>0</v>
      </c>
      <c r="BB397" s="49">
        <f t="shared" ca="1" si="112"/>
        <v>0</v>
      </c>
      <c r="BC397" s="49">
        <f t="shared" ca="1" si="112"/>
        <v>0</v>
      </c>
      <c r="BD397" s="49">
        <f t="shared" ca="1" si="112"/>
        <v>0</v>
      </c>
      <c r="BE397" s="49">
        <f t="shared" ca="1" si="112"/>
        <v>0</v>
      </c>
      <c r="BF397" s="49">
        <f t="shared" ca="1" si="112"/>
        <v>0</v>
      </c>
      <c r="BG397" s="49">
        <f t="shared" ca="1" si="112"/>
        <v>0</v>
      </c>
      <c r="BH397" s="49">
        <f t="shared" ca="1" si="112"/>
        <v>0</v>
      </c>
      <c r="BI397" s="49">
        <f t="shared" ca="1" si="112"/>
        <v>0</v>
      </c>
      <c r="BJ397" s="49">
        <f t="shared" ca="1" si="112"/>
        <v>0</v>
      </c>
      <c r="BK397" s="49">
        <f t="shared" ca="1" si="112"/>
        <v>0</v>
      </c>
      <c r="BL397" s="49">
        <f t="shared" ca="1" si="112"/>
        <v>0</v>
      </c>
      <c r="BM397" s="49">
        <f t="shared" ca="1" si="112"/>
        <v>0</v>
      </c>
      <c r="BN397" s="49">
        <f t="shared" ca="1" si="112"/>
        <v>0</v>
      </c>
      <c r="BO397" s="49">
        <f t="shared" ca="1" si="112"/>
        <v>0</v>
      </c>
      <c r="BP397" s="49">
        <f t="shared" ca="1" si="112"/>
        <v>0</v>
      </c>
      <c r="BQ397" s="49">
        <f t="shared" ca="1" si="112"/>
        <v>0</v>
      </c>
      <c r="BR397" s="49">
        <f t="shared" ca="1" si="112"/>
        <v>0</v>
      </c>
      <c r="BS397" s="49">
        <f t="shared" ca="1" si="112"/>
        <v>0</v>
      </c>
    </row>
    <row r="398" spans="3:71" outlineLevel="1" x14ac:dyDescent="0.2">
      <c r="J398" s="26"/>
      <c r="L398" s="55"/>
      <c r="M398" s="55"/>
      <c r="N398" s="55"/>
      <c r="O398" s="55"/>
      <c r="P398" s="55"/>
      <c r="Q398" s="55"/>
      <c r="R398" s="55"/>
      <c r="S398" s="55"/>
      <c r="T398" s="55"/>
      <c r="U398" s="55"/>
      <c r="V398" s="55"/>
      <c r="W398" s="55"/>
      <c r="X398" s="55"/>
      <c r="Y398" s="55"/>
      <c r="Z398" s="55"/>
      <c r="AA398" s="55"/>
      <c r="AB398" s="55"/>
      <c r="AC398" s="55"/>
      <c r="AD398" s="55"/>
      <c r="AE398" s="55"/>
      <c r="AF398" s="55"/>
      <c r="AG398" s="55"/>
      <c r="AH398" s="55"/>
      <c r="AI398" s="55"/>
      <c r="AJ398" s="55"/>
      <c r="AK398" s="55"/>
      <c r="AL398" s="55"/>
      <c r="AM398" s="55"/>
      <c r="AN398" s="55"/>
      <c r="AO398" s="55"/>
      <c r="AP398" s="55"/>
      <c r="AQ398" s="55"/>
      <c r="AR398" s="55"/>
      <c r="AS398" s="55"/>
      <c r="AT398" s="55"/>
      <c r="AU398" s="55"/>
      <c r="AV398" s="55"/>
      <c r="AW398" s="55"/>
      <c r="AX398" s="55"/>
      <c r="AY398" s="55"/>
      <c r="AZ398" s="55"/>
      <c r="BA398" s="55"/>
      <c r="BB398" s="55"/>
      <c r="BC398" s="55"/>
      <c r="BD398" s="55"/>
      <c r="BE398" s="55"/>
      <c r="BF398" s="55"/>
      <c r="BG398" s="55"/>
      <c r="BH398" s="55"/>
      <c r="BI398" s="55"/>
      <c r="BJ398" s="55"/>
      <c r="BK398" s="55"/>
      <c r="BL398" s="55"/>
      <c r="BM398" s="55"/>
      <c r="BN398" s="55"/>
      <c r="BO398" s="55"/>
      <c r="BP398" s="55"/>
      <c r="BQ398" s="55"/>
      <c r="BR398" s="55"/>
      <c r="BS398" s="55"/>
    </row>
    <row r="399" spans="3:71" outlineLevel="1" x14ac:dyDescent="0.2">
      <c r="C399" t="str">
        <f>HM_ZA_Nkossa!C388</f>
        <v>Total coûts portés compagnie nationale</v>
      </c>
      <c r="I399" s="30">
        <f t="shared" ref="I399:I400" ca="1" si="113">SUM($L399:$BS399)</f>
        <v>6.1300499999999998</v>
      </c>
      <c r="J399" s="26" t="s">
        <v>148</v>
      </c>
      <c r="K399" s="7" t="s">
        <v>351</v>
      </c>
      <c r="L399" s="49">
        <f ca="1">L379</f>
        <v>0.12180000000000001</v>
      </c>
      <c r="M399" s="49">
        <f t="shared" ref="M399:BS399" ca="1" si="114">M379</f>
        <v>5.8426499999999999</v>
      </c>
      <c r="N399" s="49">
        <f t="shared" ca="1" si="114"/>
        <v>0.10379999999999999</v>
      </c>
      <c r="O399" s="49">
        <f t="shared" ca="1" si="114"/>
        <v>2.3400000000000001E-2</v>
      </c>
      <c r="P399" s="49">
        <f t="shared" ca="1" si="114"/>
        <v>3.8399999999999997E-2</v>
      </c>
      <c r="Q399" s="49">
        <f t="shared" ca="1" si="114"/>
        <v>0</v>
      </c>
      <c r="R399" s="49">
        <f t="shared" ca="1" si="114"/>
        <v>0</v>
      </c>
      <c r="S399" s="49">
        <f t="shared" ca="1" si="114"/>
        <v>0</v>
      </c>
      <c r="T399" s="49">
        <f t="shared" ca="1" si="114"/>
        <v>0</v>
      </c>
      <c r="U399" s="49">
        <f t="shared" ca="1" si="114"/>
        <v>0</v>
      </c>
      <c r="V399" s="49">
        <f t="shared" ca="1" si="114"/>
        <v>0</v>
      </c>
      <c r="W399" s="49">
        <f t="shared" ca="1" si="114"/>
        <v>0</v>
      </c>
      <c r="X399" s="49">
        <f t="shared" ca="1" si="114"/>
        <v>0</v>
      </c>
      <c r="Y399" s="49">
        <f t="shared" ca="1" si="114"/>
        <v>0</v>
      </c>
      <c r="Z399" s="49">
        <f t="shared" ca="1" si="114"/>
        <v>0</v>
      </c>
      <c r="AA399" s="49">
        <f t="shared" ca="1" si="114"/>
        <v>0</v>
      </c>
      <c r="AB399" s="49">
        <f t="shared" ca="1" si="114"/>
        <v>0</v>
      </c>
      <c r="AC399" s="49">
        <f t="shared" ca="1" si="114"/>
        <v>0</v>
      </c>
      <c r="AD399" s="49">
        <f t="shared" ca="1" si="114"/>
        <v>0</v>
      </c>
      <c r="AE399" s="49">
        <f t="shared" ca="1" si="114"/>
        <v>0</v>
      </c>
      <c r="AF399" s="49">
        <f t="shared" ca="1" si="114"/>
        <v>0</v>
      </c>
      <c r="AG399" s="49">
        <f t="shared" ca="1" si="114"/>
        <v>0</v>
      </c>
      <c r="AH399" s="49">
        <f t="shared" ca="1" si="114"/>
        <v>0</v>
      </c>
      <c r="AI399" s="49">
        <f t="shared" ca="1" si="114"/>
        <v>0</v>
      </c>
      <c r="AJ399" s="49">
        <f t="shared" ca="1" si="114"/>
        <v>0</v>
      </c>
      <c r="AK399" s="49">
        <f t="shared" ca="1" si="114"/>
        <v>0</v>
      </c>
      <c r="AL399" s="49">
        <f t="shared" ca="1" si="114"/>
        <v>0</v>
      </c>
      <c r="AM399" s="49">
        <f t="shared" ca="1" si="114"/>
        <v>0</v>
      </c>
      <c r="AN399" s="49">
        <f t="shared" ca="1" si="114"/>
        <v>0</v>
      </c>
      <c r="AO399" s="49">
        <f t="shared" ca="1" si="114"/>
        <v>0</v>
      </c>
      <c r="AP399" s="49">
        <f t="shared" ca="1" si="114"/>
        <v>0</v>
      </c>
      <c r="AQ399" s="49">
        <f t="shared" ca="1" si="114"/>
        <v>0</v>
      </c>
      <c r="AR399" s="49">
        <f t="shared" ca="1" si="114"/>
        <v>0</v>
      </c>
      <c r="AS399" s="49">
        <f t="shared" ca="1" si="114"/>
        <v>0</v>
      </c>
      <c r="AT399" s="49">
        <f t="shared" ca="1" si="114"/>
        <v>0</v>
      </c>
      <c r="AU399" s="49">
        <f t="shared" ca="1" si="114"/>
        <v>0</v>
      </c>
      <c r="AV399" s="49">
        <f t="shared" ca="1" si="114"/>
        <v>0</v>
      </c>
      <c r="AW399" s="49">
        <f t="shared" ca="1" si="114"/>
        <v>0</v>
      </c>
      <c r="AX399" s="49">
        <f t="shared" ca="1" si="114"/>
        <v>0</v>
      </c>
      <c r="AY399" s="49">
        <f t="shared" ca="1" si="114"/>
        <v>0</v>
      </c>
      <c r="AZ399" s="49">
        <f t="shared" ca="1" si="114"/>
        <v>0</v>
      </c>
      <c r="BA399" s="49">
        <f t="shared" ca="1" si="114"/>
        <v>0</v>
      </c>
      <c r="BB399" s="49">
        <f t="shared" ca="1" si="114"/>
        <v>0</v>
      </c>
      <c r="BC399" s="49">
        <f t="shared" ca="1" si="114"/>
        <v>0</v>
      </c>
      <c r="BD399" s="49">
        <f t="shared" ca="1" si="114"/>
        <v>0</v>
      </c>
      <c r="BE399" s="49">
        <f t="shared" ca="1" si="114"/>
        <v>0</v>
      </c>
      <c r="BF399" s="49">
        <f t="shared" ca="1" si="114"/>
        <v>0</v>
      </c>
      <c r="BG399" s="49">
        <f t="shared" ca="1" si="114"/>
        <v>0</v>
      </c>
      <c r="BH399" s="49">
        <f t="shared" ca="1" si="114"/>
        <v>0</v>
      </c>
      <c r="BI399" s="49">
        <f t="shared" ca="1" si="114"/>
        <v>0</v>
      </c>
      <c r="BJ399" s="49">
        <f t="shared" ca="1" si="114"/>
        <v>0</v>
      </c>
      <c r="BK399" s="49">
        <f t="shared" ca="1" si="114"/>
        <v>0</v>
      </c>
      <c r="BL399" s="49">
        <f t="shared" ca="1" si="114"/>
        <v>0</v>
      </c>
      <c r="BM399" s="49">
        <f t="shared" ca="1" si="114"/>
        <v>0</v>
      </c>
      <c r="BN399" s="49">
        <f t="shared" ca="1" si="114"/>
        <v>0</v>
      </c>
      <c r="BO399" s="49">
        <f t="shared" ca="1" si="114"/>
        <v>0</v>
      </c>
      <c r="BP399" s="49">
        <f t="shared" ca="1" si="114"/>
        <v>0</v>
      </c>
      <c r="BQ399" s="49">
        <f t="shared" ca="1" si="114"/>
        <v>0</v>
      </c>
      <c r="BR399" s="49">
        <f t="shared" ca="1" si="114"/>
        <v>0</v>
      </c>
      <c r="BS399" s="49">
        <f t="shared" ca="1" si="114"/>
        <v>0</v>
      </c>
    </row>
    <row r="400" spans="3:71" outlineLevel="1" x14ac:dyDescent="0.2">
      <c r="C400" t="str">
        <f>HM_ZA_Nkossa!C389</f>
        <v>Total Remboursement du portage</v>
      </c>
      <c r="I400" s="30">
        <f t="shared" ca="1" si="113"/>
        <v>-6.1300499999999998</v>
      </c>
      <c r="J400" s="26" t="s">
        <v>148</v>
      </c>
      <c r="K400" s="7" t="s">
        <v>352</v>
      </c>
      <c r="L400" s="49">
        <f ca="1">SUM(L384,L390,L396)</f>
        <v>-0.12180000000000001</v>
      </c>
      <c r="M400" s="49">
        <f t="shared" ref="M400:BS400" ca="1" si="115">SUM(M384,M390,M396)</f>
        <v>-3.2460035853785629</v>
      </c>
      <c r="N400" s="49">
        <f t="shared" ca="1" si="115"/>
        <v>-2.7004464146214371</v>
      </c>
      <c r="O400" s="49">
        <f t="shared" ca="1" si="115"/>
        <v>-2.3400000000000001E-2</v>
      </c>
      <c r="P400" s="49">
        <f t="shared" ca="1" si="115"/>
        <v>-3.8399999999999997E-2</v>
      </c>
      <c r="Q400" s="49">
        <f t="shared" ca="1" si="115"/>
        <v>0</v>
      </c>
      <c r="R400" s="49">
        <f t="shared" ca="1" si="115"/>
        <v>0</v>
      </c>
      <c r="S400" s="49">
        <f t="shared" ca="1" si="115"/>
        <v>0</v>
      </c>
      <c r="T400" s="49">
        <f t="shared" ca="1" si="115"/>
        <v>0</v>
      </c>
      <c r="U400" s="49">
        <f t="shared" ca="1" si="115"/>
        <v>0</v>
      </c>
      <c r="V400" s="49">
        <f t="shared" ca="1" si="115"/>
        <v>0</v>
      </c>
      <c r="W400" s="49">
        <f t="shared" ca="1" si="115"/>
        <v>0</v>
      </c>
      <c r="X400" s="49">
        <f t="shared" ca="1" si="115"/>
        <v>0</v>
      </c>
      <c r="Y400" s="49">
        <f t="shared" ca="1" si="115"/>
        <v>0</v>
      </c>
      <c r="Z400" s="49">
        <f t="shared" ca="1" si="115"/>
        <v>0</v>
      </c>
      <c r="AA400" s="49">
        <f t="shared" ca="1" si="115"/>
        <v>0</v>
      </c>
      <c r="AB400" s="49">
        <f t="shared" ca="1" si="115"/>
        <v>0</v>
      </c>
      <c r="AC400" s="49">
        <f t="shared" ca="1" si="115"/>
        <v>0</v>
      </c>
      <c r="AD400" s="49">
        <f t="shared" ca="1" si="115"/>
        <v>0</v>
      </c>
      <c r="AE400" s="49">
        <f t="shared" ca="1" si="115"/>
        <v>0</v>
      </c>
      <c r="AF400" s="49">
        <f t="shared" ca="1" si="115"/>
        <v>0</v>
      </c>
      <c r="AG400" s="49">
        <f t="shared" ca="1" si="115"/>
        <v>0</v>
      </c>
      <c r="AH400" s="49">
        <f t="shared" ca="1" si="115"/>
        <v>0</v>
      </c>
      <c r="AI400" s="49">
        <f t="shared" ca="1" si="115"/>
        <v>0</v>
      </c>
      <c r="AJ400" s="49">
        <f t="shared" ca="1" si="115"/>
        <v>0</v>
      </c>
      <c r="AK400" s="49">
        <f t="shared" ca="1" si="115"/>
        <v>0</v>
      </c>
      <c r="AL400" s="49">
        <f t="shared" ca="1" si="115"/>
        <v>0</v>
      </c>
      <c r="AM400" s="49">
        <f t="shared" ca="1" si="115"/>
        <v>0</v>
      </c>
      <c r="AN400" s="49">
        <f t="shared" ca="1" si="115"/>
        <v>0</v>
      </c>
      <c r="AO400" s="49">
        <f t="shared" ca="1" si="115"/>
        <v>0</v>
      </c>
      <c r="AP400" s="49">
        <f t="shared" ca="1" si="115"/>
        <v>0</v>
      </c>
      <c r="AQ400" s="49">
        <f t="shared" ca="1" si="115"/>
        <v>0</v>
      </c>
      <c r="AR400" s="49">
        <f t="shared" ca="1" si="115"/>
        <v>0</v>
      </c>
      <c r="AS400" s="49">
        <f t="shared" ca="1" si="115"/>
        <v>0</v>
      </c>
      <c r="AT400" s="49">
        <f t="shared" ca="1" si="115"/>
        <v>0</v>
      </c>
      <c r="AU400" s="49">
        <f t="shared" ca="1" si="115"/>
        <v>0</v>
      </c>
      <c r="AV400" s="49">
        <f t="shared" ca="1" si="115"/>
        <v>0</v>
      </c>
      <c r="AW400" s="49">
        <f t="shared" ca="1" si="115"/>
        <v>0</v>
      </c>
      <c r="AX400" s="49">
        <f t="shared" ca="1" si="115"/>
        <v>0</v>
      </c>
      <c r="AY400" s="49">
        <f t="shared" ca="1" si="115"/>
        <v>0</v>
      </c>
      <c r="AZ400" s="49">
        <f t="shared" ca="1" si="115"/>
        <v>0</v>
      </c>
      <c r="BA400" s="49">
        <f t="shared" ca="1" si="115"/>
        <v>0</v>
      </c>
      <c r="BB400" s="49">
        <f t="shared" ca="1" si="115"/>
        <v>0</v>
      </c>
      <c r="BC400" s="49">
        <f t="shared" ca="1" si="115"/>
        <v>0</v>
      </c>
      <c r="BD400" s="49">
        <f t="shared" ca="1" si="115"/>
        <v>0</v>
      </c>
      <c r="BE400" s="49">
        <f t="shared" ca="1" si="115"/>
        <v>0</v>
      </c>
      <c r="BF400" s="49">
        <f t="shared" ca="1" si="115"/>
        <v>0</v>
      </c>
      <c r="BG400" s="49">
        <f t="shared" ca="1" si="115"/>
        <v>0</v>
      </c>
      <c r="BH400" s="49">
        <f t="shared" ca="1" si="115"/>
        <v>0</v>
      </c>
      <c r="BI400" s="49">
        <f t="shared" ca="1" si="115"/>
        <v>0</v>
      </c>
      <c r="BJ400" s="49">
        <f t="shared" ca="1" si="115"/>
        <v>0</v>
      </c>
      <c r="BK400" s="49">
        <f t="shared" ca="1" si="115"/>
        <v>0</v>
      </c>
      <c r="BL400" s="49">
        <f t="shared" ca="1" si="115"/>
        <v>0</v>
      </c>
      <c r="BM400" s="49">
        <f t="shared" ca="1" si="115"/>
        <v>0</v>
      </c>
      <c r="BN400" s="49">
        <f t="shared" ca="1" si="115"/>
        <v>0</v>
      </c>
      <c r="BO400" s="49">
        <f t="shared" ca="1" si="115"/>
        <v>0</v>
      </c>
      <c r="BP400" s="49">
        <f t="shared" ca="1" si="115"/>
        <v>0</v>
      </c>
      <c r="BQ400" s="49">
        <f t="shared" ca="1" si="115"/>
        <v>0</v>
      </c>
      <c r="BR400" s="49">
        <f t="shared" ca="1" si="115"/>
        <v>0</v>
      </c>
      <c r="BS400" s="49">
        <f t="shared" ca="1" si="115"/>
        <v>0</v>
      </c>
    </row>
    <row r="401" spans="1:93" outlineLevel="1" x14ac:dyDescent="0.2">
      <c r="J401" s="26"/>
      <c r="L401" s="55"/>
      <c r="M401" s="55"/>
      <c r="N401" s="55"/>
      <c r="O401" s="55"/>
      <c r="P401" s="55"/>
      <c r="Q401" s="55"/>
      <c r="R401" s="55"/>
      <c r="S401" s="55"/>
      <c r="T401" s="55"/>
      <c r="U401" s="55"/>
      <c r="V401" s="55"/>
      <c r="W401" s="55"/>
      <c r="X401" s="55"/>
      <c r="Y401" s="55"/>
      <c r="Z401" s="55"/>
      <c r="AA401" s="55"/>
      <c r="AB401" s="55"/>
      <c r="AC401" s="55"/>
      <c r="AD401" s="55"/>
      <c r="AE401" s="55"/>
      <c r="AF401" s="55"/>
      <c r="AG401" s="55"/>
      <c r="AH401" s="55"/>
      <c r="AI401" s="55"/>
      <c r="AJ401" s="55"/>
      <c r="AK401" s="55"/>
      <c r="AL401" s="55"/>
      <c r="AM401" s="55"/>
      <c r="AN401" s="55"/>
      <c r="AO401" s="55"/>
      <c r="AP401" s="55"/>
      <c r="AQ401" s="55"/>
      <c r="AR401" s="55"/>
      <c r="AS401" s="55"/>
      <c r="AT401" s="55"/>
      <c r="AU401" s="55"/>
      <c r="AV401" s="55"/>
      <c r="AW401" s="55"/>
      <c r="AX401" s="55"/>
      <c r="AY401" s="55"/>
      <c r="AZ401" s="55"/>
      <c r="BA401" s="55"/>
      <c r="BB401" s="55"/>
      <c r="BC401" s="55"/>
      <c r="BD401" s="55"/>
      <c r="BE401" s="55"/>
      <c r="BF401" s="55"/>
      <c r="BG401" s="55"/>
      <c r="BH401" s="55"/>
      <c r="BI401" s="55"/>
      <c r="BJ401" s="55"/>
      <c r="BK401" s="55"/>
      <c r="BL401" s="55"/>
      <c r="BM401" s="55"/>
      <c r="BN401" s="55"/>
      <c r="BO401" s="55"/>
      <c r="BP401" s="55"/>
      <c r="BQ401" s="55"/>
      <c r="BR401" s="55"/>
      <c r="BS401" s="55"/>
    </row>
    <row r="402" spans="1:93" outlineLevel="1" x14ac:dyDescent="0.2">
      <c r="J402" s="26"/>
      <c r="L402" s="55"/>
      <c r="M402" s="55"/>
      <c r="N402" s="55"/>
      <c r="O402" s="55"/>
      <c r="P402" s="55"/>
      <c r="Q402" s="55"/>
      <c r="R402" s="55"/>
      <c r="S402" s="55"/>
      <c r="T402" s="55"/>
      <c r="U402" s="55"/>
      <c r="V402" s="55"/>
      <c r="W402" s="55"/>
      <c r="X402" s="55"/>
      <c r="Y402" s="55"/>
      <c r="Z402" s="55"/>
      <c r="AA402" s="55"/>
      <c r="AB402" s="55"/>
      <c r="AC402" s="55"/>
      <c r="AD402" s="55"/>
      <c r="AE402" s="55"/>
      <c r="AF402" s="55"/>
      <c r="AG402" s="55"/>
      <c r="AH402" s="55"/>
      <c r="AI402" s="55"/>
      <c r="AJ402" s="55"/>
      <c r="AK402" s="55"/>
      <c r="AL402" s="55"/>
      <c r="AM402" s="55"/>
      <c r="AN402" s="55"/>
      <c r="AO402" s="55"/>
      <c r="AP402" s="55"/>
      <c r="AQ402" s="55"/>
      <c r="AR402" s="55"/>
      <c r="AS402" s="55"/>
      <c r="AT402" s="55"/>
      <c r="AU402" s="55"/>
      <c r="AV402" s="55"/>
      <c r="AW402" s="55"/>
      <c r="AX402" s="55"/>
      <c r="AY402" s="55"/>
      <c r="AZ402" s="55"/>
      <c r="BA402" s="55"/>
      <c r="BB402" s="55"/>
      <c r="BC402" s="55"/>
      <c r="BD402" s="55"/>
      <c r="BE402" s="55"/>
      <c r="BF402" s="55"/>
      <c r="BG402" s="55"/>
      <c r="BH402" s="55"/>
      <c r="BI402" s="55"/>
      <c r="BJ402" s="55"/>
      <c r="BK402" s="55"/>
      <c r="BL402" s="55"/>
      <c r="BM402" s="55"/>
      <c r="BN402" s="55"/>
      <c r="BO402" s="55"/>
      <c r="BP402" s="55"/>
      <c r="BQ402" s="55"/>
      <c r="BR402" s="55"/>
      <c r="BS402" s="55"/>
    </row>
    <row r="403" spans="1:93" outlineLevel="1" x14ac:dyDescent="0.2">
      <c r="J403" s="26"/>
      <c r="L403" s="55"/>
      <c r="M403" s="55"/>
      <c r="N403" s="55"/>
      <c r="O403" s="55"/>
      <c r="P403" s="55"/>
      <c r="Q403" s="55"/>
      <c r="R403" s="55"/>
      <c r="S403" s="55"/>
      <c r="T403" s="55"/>
      <c r="U403" s="55"/>
      <c r="V403" s="55"/>
      <c r="W403" s="55"/>
      <c r="X403" s="55"/>
      <c r="Y403" s="55"/>
      <c r="Z403" s="55"/>
      <c r="AA403" s="55"/>
      <c r="AB403" s="55"/>
      <c r="AC403" s="55"/>
      <c r="AD403" s="55"/>
      <c r="AE403" s="55"/>
      <c r="AF403" s="55"/>
      <c r="AG403" s="55"/>
      <c r="AH403" s="55"/>
      <c r="AI403" s="55"/>
      <c r="AJ403" s="55"/>
      <c r="AK403" s="55"/>
      <c r="AL403" s="55"/>
      <c r="AM403" s="55"/>
      <c r="AN403" s="55"/>
      <c r="AO403" s="55"/>
      <c r="AP403" s="55"/>
      <c r="AQ403" s="55"/>
      <c r="AR403" s="55"/>
      <c r="AS403" s="55"/>
      <c r="AT403" s="55"/>
      <c r="AU403" s="55"/>
      <c r="AV403" s="55"/>
      <c r="AW403" s="55"/>
      <c r="AX403" s="55"/>
      <c r="AY403" s="55"/>
      <c r="AZ403" s="55"/>
      <c r="BA403" s="55"/>
      <c r="BB403" s="55"/>
      <c r="BC403" s="55"/>
      <c r="BD403" s="55"/>
      <c r="BE403" s="55"/>
      <c r="BF403" s="55"/>
      <c r="BG403" s="55"/>
      <c r="BH403" s="55"/>
      <c r="BI403" s="55"/>
      <c r="BJ403" s="55"/>
      <c r="BK403" s="55"/>
      <c r="BL403" s="55"/>
      <c r="BM403" s="55"/>
      <c r="BN403" s="55"/>
      <c r="BO403" s="55"/>
      <c r="BP403" s="55"/>
      <c r="BQ403" s="55"/>
      <c r="BR403" s="55"/>
      <c r="BS403" s="55"/>
    </row>
    <row r="404" spans="1:93" x14ac:dyDescent="0.2">
      <c r="J404" s="26"/>
      <c r="L404" s="55"/>
      <c r="M404" s="55"/>
      <c r="N404" s="55"/>
      <c r="O404" s="55"/>
      <c r="P404" s="55"/>
      <c r="Q404" s="55"/>
      <c r="R404" s="55"/>
      <c r="S404" s="55"/>
      <c r="T404" s="55"/>
      <c r="U404" s="55"/>
      <c r="V404" s="55"/>
      <c r="W404" s="55"/>
      <c r="X404" s="55"/>
      <c r="Y404" s="55"/>
      <c r="Z404" s="55"/>
      <c r="AA404" s="55"/>
      <c r="AB404" s="55"/>
      <c r="AC404" s="55"/>
      <c r="AD404" s="55"/>
      <c r="AE404" s="55"/>
      <c r="AF404" s="55"/>
      <c r="AG404" s="55"/>
      <c r="AH404" s="55"/>
      <c r="AI404" s="55"/>
      <c r="AJ404" s="55"/>
      <c r="AK404" s="55"/>
      <c r="AL404" s="55"/>
      <c r="AM404" s="55"/>
      <c r="AN404" s="55"/>
      <c r="AO404" s="55"/>
      <c r="AP404" s="55"/>
      <c r="AQ404" s="55"/>
      <c r="AR404" s="55"/>
      <c r="AS404" s="55"/>
      <c r="AT404" s="55"/>
      <c r="AU404" s="55"/>
      <c r="AV404" s="55"/>
      <c r="AW404" s="55"/>
      <c r="AX404" s="55"/>
      <c r="AY404" s="55"/>
      <c r="AZ404" s="55"/>
      <c r="BA404" s="55"/>
      <c r="BB404" s="55"/>
      <c r="BC404" s="55"/>
      <c r="BD404" s="55"/>
      <c r="BE404" s="55"/>
      <c r="BF404" s="55"/>
      <c r="BG404" s="55"/>
      <c r="BH404" s="55"/>
      <c r="BI404" s="55"/>
      <c r="BJ404" s="55"/>
      <c r="BK404" s="55"/>
      <c r="BL404" s="55"/>
      <c r="BM404" s="55"/>
      <c r="BN404" s="55"/>
      <c r="BO404" s="55"/>
      <c r="BP404" s="55"/>
      <c r="BQ404" s="55"/>
      <c r="BR404" s="55"/>
      <c r="BS404" s="55"/>
    </row>
    <row r="405" spans="1:93" ht="16" thickBot="1" x14ac:dyDescent="0.25">
      <c r="J405" s="26"/>
      <c r="L405" s="55"/>
      <c r="M405" s="55"/>
      <c r="N405" s="55"/>
      <c r="O405" s="55"/>
      <c r="P405" s="55"/>
      <c r="Q405" s="55"/>
      <c r="R405" s="55"/>
      <c r="S405" s="55"/>
      <c r="T405" s="55"/>
      <c r="U405" s="55"/>
      <c r="V405" s="55"/>
      <c r="W405" s="55"/>
      <c r="X405" s="55"/>
      <c r="Y405" s="55"/>
      <c r="Z405" s="55"/>
      <c r="AA405" s="55"/>
      <c r="AB405" s="55"/>
      <c r="AC405" s="55"/>
      <c r="AD405" s="55"/>
      <c r="AE405" s="55"/>
      <c r="AF405" s="55"/>
      <c r="AG405" s="55"/>
      <c r="AH405" s="55"/>
      <c r="AI405" s="55"/>
      <c r="AJ405" s="55"/>
      <c r="AK405" s="55"/>
      <c r="AL405" s="55"/>
      <c r="AM405" s="55"/>
      <c r="AN405" s="55"/>
      <c r="AO405" s="55"/>
      <c r="AP405" s="55"/>
      <c r="AQ405" s="55"/>
      <c r="AR405" s="55"/>
      <c r="AS405" s="55"/>
      <c r="AT405" s="55"/>
      <c r="AU405" s="55"/>
      <c r="AV405" s="55"/>
      <c r="AW405" s="55"/>
      <c r="AX405" s="55"/>
      <c r="AY405" s="55"/>
      <c r="AZ405" s="55"/>
      <c r="BA405" s="55"/>
      <c r="BB405" s="55"/>
      <c r="BC405" s="55"/>
      <c r="BD405" s="55"/>
      <c r="BE405" s="55"/>
      <c r="BF405" s="55"/>
      <c r="BG405" s="55"/>
      <c r="BH405" s="55"/>
      <c r="BI405" s="55"/>
      <c r="BJ405" s="55"/>
      <c r="BK405" s="55"/>
      <c r="BL405" s="55"/>
      <c r="BM405" s="55"/>
      <c r="BN405" s="55"/>
      <c r="BO405" s="55"/>
      <c r="BP405" s="55"/>
      <c r="BQ405" s="55"/>
      <c r="BR405" s="55"/>
      <c r="BS405" s="55"/>
    </row>
    <row r="406" spans="1:93" ht="22" thickBot="1" x14ac:dyDescent="0.25">
      <c r="A406" s="8"/>
      <c r="B406" s="221" t="str">
        <f>HM_ZA_Nkossa!B395</f>
        <v>Flux de trésorerie</v>
      </c>
      <c r="C406" s="222"/>
      <c r="D406" s="222"/>
      <c r="E406" s="223"/>
      <c r="F406" s="9"/>
      <c r="G406" s="9"/>
      <c r="H406" s="9"/>
      <c r="I406" s="9"/>
      <c r="J406" s="48"/>
      <c r="K406" s="10"/>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c r="AV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c r="BY406" s="9"/>
      <c r="BZ406" s="9"/>
      <c r="CA406" s="9"/>
      <c r="CB406" s="9"/>
      <c r="CC406" s="9"/>
      <c r="CD406" s="9"/>
      <c r="CE406" s="9"/>
      <c r="CF406" s="9"/>
      <c r="CG406" s="9"/>
      <c r="CH406" s="9"/>
      <c r="CI406" s="9"/>
      <c r="CJ406" s="9"/>
      <c r="CK406" s="9"/>
      <c r="CL406" s="9"/>
      <c r="CM406" s="9"/>
      <c r="CN406" s="9"/>
      <c r="CO406" s="9"/>
    </row>
    <row r="407" spans="1:93" outlineLevel="1" x14ac:dyDescent="0.2">
      <c r="J407" s="26"/>
      <c r="L407" s="55"/>
      <c r="M407" s="55"/>
      <c r="N407" s="55"/>
      <c r="O407" s="55"/>
      <c r="P407" s="55"/>
      <c r="Q407" s="55"/>
      <c r="R407" s="55"/>
      <c r="S407" s="55"/>
      <c r="T407" s="55"/>
      <c r="U407" s="55"/>
      <c r="V407" s="55"/>
      <c r="W407" s="55"/>
      <c r="X407" s="55"/>
      <c r="Y407" s="55"/>
      <c r="Z407" s="55"/>
      <c r="AA407" s="55"/>
      <c r="AB407" s="55"/>
      <c r="AC407" s="55"/>
      <c r="AD407" s="55"/>
      <c r="AE407" s="55"/>
      <c r="AF407" s="55"/>
      <c r="AG407" s="55"/>
      <c r="AH407" s="55"/>
      <c r="AI407" s="55"/>
      <c r="AJ407" s="55"/>
      <c r="AK407" s="55"/>
      <c r="AL407" s="55"/>
      <c r="AM407" s="55"/>
      <c r="AN407" s="55"/>
      <c r="AO407" s="55"/>
      <c r="AP407" s="55"/>
      <c r="AQ407" s="55"/>
      <c r="AR407" s="55"/>
      <c r="AS407" s="55"/>
      <c r="AT407" s="55"/>
      <c r="AU407" s="55"/>
      <c r="AV407" s="55"/>
      <c r="AW407" s="55"/>
      <c r="AX407" s="55"/>
      <c r="AY407" s="55"/>
      <c r="AZ407" s="55"/>
      <c r="BA407" s="55"/>
      <c r="BB407" s="55"/>
      <c r="BC407" s="55"/>
      <c r="BD407" s="55"/>
      <c r="BE407" s="55"/>
      <c r="BF407" s="55"/>
      <c r="BG407" s="55"/>
      <c r="BH407" s="55"/>
      <c r="BI407" s="55"/>
      <c r="BJ407" s="55"/>
      <c r="BK407" s="55"/>
      <c r="BL407" s="55"/>
      <c r="BM407" s="55"/>
      <c r="BN407" s="55"/>
      <c r="BO407" s="55"/>
      <c r="BP407" s="55"/>
      <c r="BQ407" s="55"/>
      <c r="BR407" s="55"/>
      <c r="BS407" s="55"/>
    </row>
    <row r="408" spans="1:93" outlineLevel="1" x14ac:dyDescent="0.2">
      <c r="A408" s="45"/>
      <c r="B408" s="38" t="str">
        <f>HM_ZA_Nkossa!B397</f>
        <v>Calculs de la période d'actualisation</v>
      </c>
      <c r="C408" s="45"/>
      <c r="D408" s="45"/>
      <c r="E408" s="45"/>
      <c r="J408" s="26"/>
      <c r="L408" s="55"/>
      <c r="M408" s="55"/>
      <c r="N408" s="55"/>
      <c r="O408" s="55"/>
      <c r="P408" s="55"/>
      <c r="Q408" s="55"/>
      <c r="R408" s="55"/>
      <c r="S408" s="55"/>
      <c r="T408" s="55"/>
      <c r="U408" s="55"/>
      <c r="V408" s="55"/>
      <c r="W408" s="55"/>
      <c r="X408" s="55"/>
      <c r="Y408" s="55"/>
      <c r="Z408" s="55"/>
      <c r="AA408" s="55"/>
      <c r="AB408" s="55"/>
      <c r="AC408" s="55"/>
      <c r="AD408" s="55"/>
      <c r="AE408" s="55"/>
      <c r="AF408" s="55"/>
      <c r="AG408" s="55"/>
      <c r="AH408" s="55"/>
      <c r="AI408" s="55"/>
      <c r="AJ408" s="55"/>
      <c r="AK408" s="55"/>
      <c r="AL408" s="55"/>
      <c r="AM408" s="55"/>
      <c r="AN408" s="55"/>
      <c r="AO408" s="55"/>
      <c r="AP408" s="55"/>
      <c r="AQ408" s="55"/>
      <c r="AR408" s="55"/>
      <c r="AS408" s="55"/>
      <c r="AT408" s="55"/>
      <c r="AU408" s="55"/>
      <c r="AV408" s="55"/>
      <c r="AW408" s="55"/>
      <c r="AX408" s="55"/>
      <c r="AY408" s="55"/>
      <c r="AZ408" s="55"/>
      <c r="BA408" s="55"/>
      <c r="BB408" s="55"/>
      <c r="BC408" s="55"/>
      <c r="BD408" s="55"/>
      <c r="BE408" s="55"/>
      <c r="BF408" s="55"/>
      <c r="BG408" s="55"/>
      <c r="BH408" s="55"/>
      <c r="BI408" s="55"/>
      <c r="BJ408" s="55"/>
      <c r="BK408" s="55"/>
      <c r="BL408" s="55"/>
      <c r="BM408" s="55"/>
      <c r="BN408" s="55"/>
      <c r="BO408" s="55"/>
      <c r="BP408" s="55"/>
      <c r="BQ408" s="55"/>
      <c r="BR408" s="55"/>
      <c r="BS408" s="55"/>
    </row>
    <row r="409" spans="1:93" outlineLevel="1" x14ac:dyDescent="0.2">
      <c r="J409" s="26"/>
      <c r="L409" s="55"/>
      <c r="M409" s="55"/>
      <c r="N409" s="55"/>
      <c r="O409" s="55"/>
      <c r="P409" s="55"/>
      <c r="Q409" s="55"/>
      <c r="R409" s="55"/>
      <c r="S409" s="55"/>
      <c r="T409" s="55"/>
      <c r="U409" s="55"/>
      <c r="V409" s="55"/>
      <c r="W409" s="55"/>
      <c r="X409" s="55"/>
      <c r="Y409" s="55"/>
      <c r="Z409" s="55"/>
      <c r="AA409" s="55"/>
      <c r="AB409" s="55"/>
      <c r="AC409" s="55"/>
      <c r="AD409" s="55"/>
      <c r="AE409" s="55"/>
      <c r="AF409" s="55"/>
      <c r="AG409" s="55"/>
      <c r="AH409" s="55"/>
      <c r="AI409" s="55"/>
      <c r="AJ409" s="55"/>
      <c r="AK409" s="55"/>
      <c r="AL409" s="55"/>
      <c r="AM409" s="55"/>
      <c r="AN409" s="55"/>
      <c r="AO409" s="55"/>
      <c r="AP409" s="55"/>
      <c r="AQ409" s="55"/>
      <c r="AR409" s="55"/>
      <c r="AS409" s="55"/>
      <c r="AT409" s="55"/>
      <c r="AU409" s="55"/>
      <c r="AV409" s="55"/>
      <c r="AW409" s="55"/>
      <c r="AX409" s="55"/>
      <c r="AY409" s="55"/>
      <c r="AZ409" s="55"/>
      <c r="BA409" s="55"/>
      <c r="BB409" s="55"/>
      <c r="BC409" s="55"/>
      <c r="BD409" s="55"/>
      <c r="BE409" s="55"/>
      <c r="BF409" s="55"/>
      <c r="BG409" s="55"/>
      <c r="BH409" s="55"/>
      <c r="BI409" s="55"/>
      <c r="BJ409" s="55"/>
      <c r="BK409" s="55"/>
      <c r="BL409" s="55"/>
      <c r="BM409" s="55"/>
      <c r="BN409" s="55"/>
      <c r="BO409" s="55"/>
      <c r="BP409" s="55"/>
      <c r="BQ409" s="55"/>
      <c r="BR409" s="55"/>
      <c r="BS409" s="55"/>
    </row>
    <row r="410" spans="1:93" outlineLevel="1" x14ac:dyDescent="0.2">
      <c r="C410" t="str">
        <f>HM_ZA_Nkossa!C399</f>
        <v>Période d'actualisation</v>
      </c>
      <c r="J410" s="26"/>
      <c r="L410" s="55"/>
      <c r="M410" s="55"/>
      <c r="N410" s="55"/>
      <c r="O410" s="55"/>
      <c r="P410" s="55"/>
      <c r="Q410" s="55"/>
      <c r="R410" s="55"/>
      <c r="S410" s="55"/>
      <c r="T410" s="55"/>
      <c r="U410" s="55"/>
      <c r="V410" s="55"/>
      <c r="W410" s="55"/>
      <c r="X410" s="55"/>
      <c r="Y410" s="55"/>
      <c r="Z410" s="55"/>
      <c r="AA410" s="55"/>
      <c r="AB410" s="55"/>
      <c r="AC410" s="55"/>
      <c r="AD410" s="55"/>
      <c r="AE410" s="55"/>
      <c r="AF410" s="55"/>
      <c r="AG410" s="55"/>
      <c r="AH410" s="55"/>
      <c r="AI410" s="55"/>
      <c r="AJ410" s="55"/>
      <c r="AK410" s="55"/>
      <c r="AL410" s="55"/>
      <c r="AM410" s="55"/>
      <c r="AN410" s="55"/>
      <c r="AO410" s="55"/>
      <c r="AP410" s="55"/>
      <c r="AQ410" s="55"/>
      <c r="AR410" s="55"/>
      <c r="AS410" s="55"/>
      <c r="AT410" s="55"/>
      <c r="AU410" s="55"/>
      <c r="AV410" s="55"/>
      <c r="AW410" s="55"/>
      <c r="AX410" s="55"/>
      <c r="AY410" s="55"/>
      <c r="AZ410" s="55"/>
      <c r="BA410" s="55"/>
      <c r="BB410" s="55"/>
      <c r="BC410" s="55"/>
      <c r="BD410" s="55"/>
      <c r="BE410" s="55"/>
      <c r="BF410" s="55"/>
      <c r="BG410" s="55"/>
      <c r="BH410" s="55"/>
      <c r="BI410" s="55"/>
      <c r="BJ410" s="55"/>
      <c r="BK410" s="55"/>
      <c r="BL410" s="55"/>
      <c r="BM410" s="55"/>
      <c r="BN410" s="55"/>
      <c r="BO410" s="55"/>
      <c r="BP410" s="55"/>
      <c r="BQ410" s="55"/>
      <c r="BR410" s="55"/>
      <c r="BS410" s="55"/>
    </row>
    <row r="411" spans="1:93" outlineLevel="1" x14ac:dyDescent="0.2">
      <c r="D411" t="str">
        <f>HM_ZA_Nkossa!D400</f>
        <v>Cycle complet</v>
      </c>
      <c r="G411" s="29">
        <f>YEAR(effective_date_Nsoko1999)</f>
        <v>1999</v>
      </c>
      <c r="J411" s="26"/>
      <c r="L411" s="49">
        <f t="shared" ref="L411:AQ411" si="116">MAX(L4-$G411+1-0.5,0)</f>
        <v>14.5</v>
      </c>
      <c r="M411" s="49">
        <f t="shared" si="116"/>
        <v>15.5</v>
      </c>
      <c r="N411" s="49">
        <f t="shared" si="116"/>
        <v>16.5</v>
      </c>
      <c r="O411" s="49">
        <f t="shared" si="116"/>
        <v>17.5</v>
      </c>
      <c r="P411" s="49">
        <f t="shared" si="116"/>
        <v>18.5</v>
      </c>
      <c r="Q411" s="49">
        <f t="shared" si="116"/>
        <v>19.5</v>
      </c>
      <c r="R411" s="49">
        <f t="shared" si="116"/>
        <v>20.5</v>
      </c>
      <c r="S411" s="49">
        <f t="shared" si="116"/>
        <v>21.5</v>
      </c>
      <c r="T411" s="49">
        <f t="shared" si="116"/>
        <v>22.5</v>
      </c>
      <c r="U411" s="49">
        <f t="shared" si="116"/>
        <v>23.5</v>
      </c>
      <c r="V411" s="49">
        <f t="shared" si="116"/>
        <v>24.5</v>
      </c>
      <c r="W411" s="49">
        <f t="shared" si="116"/>
        <v>25.5</v>
      </c>
      <c r="X411" s="49">
        <f t="shared" si="116"/>
        <v>26.5</v>
      </c>
      <c r="Y411" s="49">
        <f t="shared" si="116"/>
        <v>27.5</v>
      </c>
      <c r="Z411" s="49">
        <f t="shared" si="116"/>
        <v>28.5</v>
      </c>
      <c r="AA411" s="49">
        <f t="shared" si="116"/>
        <v>29.5</v>
      </c>
      <c r="AB411" s="49">
        <f t="shared" si="116"/>
        <v>30.5</v>
      </c>
      <c r="AC411" s="49">
        <f t="shared" si="116"/>
        <v>31.5</v>
      </c>
      <c r="AD411" s="49">
        <f t="shared" si="116"/>
        <v>32.5</v>
      </c>
      <c r="AE411" s="49">
        <f t="shared" si="116"/>
        <v>33.5</v>
      </c>
      <c r="AF411" s="49">
        <f t="shared" si="116"/>
        <v>34.5</v>
      </c>
      <c r="AG411" s="49">
        <f t="shared" si="116"/>
        <v>35.5</v>
      </c>
      <c r="AH411" s="49">
        <f t="shared" si="116"/>
        <v>36.5</v>
      </c>
      <c r="AI411" s="49">
        <f t="shared" si="116"/>
        <v>37.5</v>
      </c>
      <c r="AJ411" s="49">
        <f t="shared" si="116"/>
        <v>38.5</v>
      </c>
      <c r="AK411" s="49">
        <f t="shared" si="116"/>
        <v>39.5</v>
      </c>
      <c r="AL411" s="49">
        <f t="shared" si="116"/>
        <v>40.5</v>
      </c>
      <c r="AM411" s="49">
        <f t="shared" si="116"/>
        <v>41.5</v>
      </c>
      <c r="AN411" s="49">
        <f t="shared" si="116"/>
        <v>42.5</v>
      </c>
      <c r="AO411" s="49">
        <f t="shared" si="116"/>
        <v>43.5</v>
      </c>
      <c r="AP411" s="49">
        <f t="shared" si="116"/>
        <v>44.5</v>
      </c>
      <c r="AQ411" s="49">
        <f t="shared" si="116"/>
        <v>45.5</v>
      </c>
      <c r="AR411" s="49">
        <f t="shared" ref="AR411:BS411" si="117">MAX(AR4-$G411+1-0.5,0)</f>
        <v>46.5</v>
      </c>
      <c r="AS411" s="49">
        <f t="shared" si="117"/>
        <v>47.5</v>
      </c>
      <c r="AT411" s="49">
        <f t="shared" si="117"/>
        <v>48.5</v>
      </c>
      <c r="AU411" s="49">
        <f t="shared" si="117"/>
        <v>49.5</v>
      </c>
      <c r="AV411" s="49">
        <f t="shared" si="117"/>
        <v>50.5</v>
      </c>
      <c r="AW411" s="49">
        <f t="shared" si="117"/>
        <v>51.5</v>
      </c>
      <c r="AX411" s="49">
        <f t="shared" si="117"/>
        <v>52.5</v>
      </c>
      <c r="AY411" s="49">
        <f t="shared" si="117"/>
        <v>53.5</v>
      </c>
      <c r="AZ411" s="49">
        <f t="shared" si="117"/>
        <v>54.5</v>
      </c>
      <c r="BA411" s="49">
        <f t="shared" si="117"/>
        <v>55.5</v>
      </c>
      <c r="BB411" s="49">
        <f t="shared" si="117"/>
        <v>56.5</v>
      </c>
      <c r="BC411" s="49">
        <f t="shared" si="117"/>
        <v>57.5</v>
      </c>
      <c r="BD411" s="49">
        <f t="shared" si="117"/>
        <v>58.5</v>
      </c>
      <c r="BE411" s="49">
        <f t="shared" si="117"/>
        <v>59.5</v>
      </c>
      <c r="BF411" s="49">
        <f t="shared" si="117"/>
        <v>60.5</v>
      </c>
      <c r="BG411" s="49">
        <f t="shared" si="117"/>
        <v>61.5</v>
      </c>
      <c r="BH411" s="49">
        <f t="shared" si="117"/>
        <v>62.5</v>
      </c>
      <c r="BI411" s="49">
        <f t="shared" si="117"/>
        <v>63.5</v>
      </c>
      <c r="BJ411" s="49">
        <f t="shared" si="117"/>
        <v>64.5</v>
      </c>
      <c r="BK411" s="49">
        <f t="shared" si="117"/>
        <v>65.5</v>
      </c>
      <c r="BL411" s="49">
        <f t="shared" si="117"/>
        <v>66.5</v>
      </c>
      <c r="BM411" s="49">
        <f t="shared" si="117"/>
        <v>67.5</v>
      </c>
      <c r="BN411" s="49">
        <f t="shared" si="117"/>
        <v>68.5</v>
      </c>
      <c r="BO411" s="49">
        <f t="shared" si="117"/>
        <v>69.5</v>
      </c>
      <c r="BP411" s="49">
        <f t="shared" si="117"/>
        <v>70.5</v>
      </c>
      <c r="BQ411" s="49">
        <f t="shared" si="117"/>
        <v>71.5</v>
      </c>
      <c r="BR411" s="49">
        <f t="shared" si="117"/>
        <v>72.5</v>
      </c>
      <c r="BS411" s="49">
        <f t="shared" si="117"/>
        <v>73.5</v>
      </c>
    </row>
    <row r="412" spans="1:93" outlineLevel="1" x14ac:dyDescent="0.2">
      <c r="D412" t="str">
        <f>HM_ZA_Nkossa!D401</f>
        <v>Terme</v>
      </c>
      <c r="G412" s="29">
        <f>Current_year</f>
        <v>2021</v>
      </c>
      <c r="J412" s="26"/>
      <c r="L412" s="49">
        <f t="shared" ref="L412:AQ412" si="118">MAX(L4-$G412+1-0.5,0)</f>
        <v>0</v>
      </c>
      <c r="M412" s="49">
        <f t="shared" si="118"/>
        <v>0</v>
      </c>
      <c r="N412" s="49">
        <f t="shared" si="118"/>
        <v>0</v>
      </c>
      <c r="O412" s="49">
        <f t="shared" si="118"/>
        <v>0</v>
      </c>
      <c r="P412" s="49">
        <f t="shared" si="118"/>
        <v>0</v>
      </c>
      <c r="Q412" s="49">
        <f t="shared" si="118"/>
        <v>0</v>
      </c>
      <c r="R412" s="49">
        <f t="shared" si="118"/>
        <v>0</v>
      </c>
      <c r="S412" s="49">
        <f t="shared" si="118"/>
        <v>0</v>
      </c>
      <c r="T412" s="49">
        <f t="shared" si="118"/>
        <v>0.5</v>
      </c>
      <c r="U412" s="49">
        <f t="shared" si="118"/>
        <v>1.5</v>
      </c>
      <c r="V412" s="49">
        <f t="shared" si="118"/>
        <v>2.5</v>
      </c>
      <c r="W412" s="49">
        <f t="shared" si="118"/>
        <v>3.5</v>
      </c>
      <c r="X412" s="49">
        <f t="shared" si="118"/>
        <v>4.5</v>
      </c>
      <c r="Y412" s="49">
        <f t="shared" si="118"/>
        <v>5.5</v>
      </c>
      <c r="Z412" s="49">
        <f t="shared" si="118"/>
        <v>6.5</v>
      </c>
      <c r="AA412" s="49">
        <f t="shared" si="118"/>
        <v>7.5</v>
      </c>
      <c r="AB412" s="49">
        <f t="shared" si="118"/>
        <v>8.5</v>
      </c>
      <c r="AC412" s="49">
        <f t="shared" si="118"/>
        <v>9.5</v>
      </c>
      <c r="AD412" s="49">
        <f t="shared" si="118"/>
        <v>10.5</v>
      </c>
      <c r="AE412" s="49">
        <f t="shared" si="118"/>
        <v>11.5</v>
      </c>
      <c r="AF412" s="49">
        <f t="shared" si="118"/>
        <v>12.5</v>
      </c>
      <c r="AG412" s="49">
        <f t="shared" si="118"/>
        <v>13.5</v>
      </c>
      <c r="AH412" s="49">
        <f t="shared" si="118"/>
        <v>14.5</v>
      </c>
      <c r="AI412" s="49">
        <f t="shared" si="118"/>
        <v>15.5</v>
      </c>
      <c r="AJ412" s="49">
        <f t="shared" si="118"/>
        <v>16.5</v>
      </c>
      <c r="AK412" s="49">
        <f t="shared" si="118"/>
        <v>17.5</v>
      </c>
      <c r="AL412" s="49">
        <f t="shared" si="118"/>
        <v>18.5</v>
      </c>
      <c r="AM412" s="49">
        <f t="shared" si="118"/>
        <v>19.5</v>
      </c>
      <c r="AN412" s="49">
        <f t="shared" si="118"/>
        <v>20.5</v>
      </c>
      <c r="AO412" s="49">
        <f t="shared" si="118"/>
        <v>21.5</v>
      </c>
      <c r="AP412" s="49">
        <f t="shared" si="118"/>
        <v>22.5</v>
      </c>
      <c r="AQ412" s="49">
        <f t="shared" si="118"/>
        <v>23.5</v>
      </c>
      <c r="AR412" s="49">
        <f t="shared" ref="AR412:BS412" si="119">MAX(AR4-$G412+1-0.5,0)</f>
        <v>24.5</v>
      </c>
      <c r="AS412" s="49">
        <f t="shared" si="119"/>
        <v>25.5</v>
      </c>
      <c r="AT412" s="49">
        <f t="shared" si="119"/>
        <v>26.5</v>
      </c>
      <c r="AU412" s="49">
        <f t="shared" si="119"/>
        <v>27.5</v>
      </c>
      <c r="AV412" s="49">
        <f t="shared" si="119"/>
        <v>28.5</v>
      </c>
      <c r="AW412" s="49">
        <f t="shared" si="119"/>
        <v>29.5</v>
      </c>
      <c r="AX412" s="49">
        <f t="shared" si="119"/>
        <v>30.5</v>
      </c>
      <c r="AY412" s="49">
        <f t="shared" si="119"/>
        <v>31.5</v>
      </c>
      <c r="AZ412" s="49">
        <f t="shared" si="119"/>
        <v>32.5</v>
      </c>
      <c r="BA412" s="49">
        <f t="shared" si="119"/>
        <v>33.5</v>
      </c>
      <c r="BB412" s="49">
        <f t="shared" si="119"/>
        <v>34.5</v>
      </c>
      <c r="BC412" s="49">
        <f t="shared" si="119"/>
        <v>35.5</v>
      </c>
      <c r="BD412" s="49">
        <f t="shared" si="119"/>
        <v>36.5</v>
      </c>
      <c r="BE412" s="49">
        <f t="shared" si="119"/>
        <v>37.5</v>
      </c>
      <c r="BF412" s="49">
        <f t="shared" si="119"/>
        <v>38.5</v>
      </c>
      <c r="BG412" s="49">
        <f t="shared" si="119"/>
        <v>39.5</v>
      </c>
      <c r="BH412" s="49">
        <f t="shared" si="119"/>
        <v>40.5</v>
      </c>
      <c r="BI412" s="49">
        <f t="shared" si="119"/>
        <v>41.5</v>
      </c>
      <c r="BJ412" s="49">
        <f t="shared" si="119"/>
        <v>42.5</v>
      </c>
      <c r="BK412" s="49">
        <f t="shared" si="119"/>
        <v>43.5</v>
      </c>
      <c r="BL412" s="49">
        <f t="shared" si="119"/>
        <v>44.5</v>
      </c>
      <c r="BM412" s="49">
        <f t="shared" si="119"/>
        <v>45.5</v>
      </c>
      <c r="BN412" s="49">
        <f t="shared" si="119"/>
        <v>46.5</v>
      </c>
      <c r="BO412" s="49">
        <f t="shared" si="119"/>
        <v>47.5</v>
      </c>
      <c r="BP412" s="49">
        <f t="shared" si="119"/>
        <v>48.5</v>
      </c>
      <c r="BQ412" s="49">
        <f t="shared" si="119"/>
        <v>49.5</v>
      </c>
      <c r="BR412" s="49">
        <f t="shared" si="119"/>
        <v>50.5</v>
      </c>
      <c r="BS412" s="49">
        <f t="shared" si="119"/>
        <v>51.5</v>
      </c>
    </row>
    <row r="413" spans="1:93" outlineLevel="1" x14ac:dyDescent="0.2">
      <c r="C413" t="str">
        <f>HM_ZA_Nkossa!C402</f>
        <v>Facteur d'actualisation</v>
      </c>
      <c r="E413" s="59">
        <f>input_DiscRate_nom</f>
        <v>0.1</v>
      </c>
      <c r="J413" s="26"/>
      <c r="L413" s="55"/>
      <c r="M413" s="55"/>
      <c r="N413" s="55"/>
      <c r="O413" s="55"/>
      <c r="P413" s="55"/>
      <c r="Q413" s="55"/>
      <c r="R413" s="55"/>
      <c r="S413" s="55"/>
      <c r="T413" s="55"/>
      <c r="U413" s="55"/>
      <c r="V413" s="55"/>
      <c r="W413" s="55"/>
      <c r="X413" s="55"/>
      <c r="Y413" s="55"/>
      <c r="Z413" s="55"/>
      <c r="AA413" s="55"/>
      <c r="AB413" s="55"/>
      <c r="AC413" s="55"/>
      <c r="AD413" s="55"/>
      <c r="AE413" s="55"/>
      <c r="AF413" s="55"/>
      <c r="AG413" s="55"/>
      <c r="AH413" s="55"/>
      <c r="AI413" s="55"/>
      <c r="AJ413" s="55"/>
      <c r="AK413" s="55"/>
      <c r="AL413" s="55"/>
      <c r="AM413" s="55"/>
      <c r="AN413" s="55"/>
      <c r="AO413" s="55"/>
      <c r="AP413" s="55"/>
      <c r="AQ413" s="55"/>
      <c r="AR413" s="55"/>
      <c r="AS413" s="55"/>
      <c r="AT413" s="55"/>
      <c r="AU413" s="55"/>
      <c r="AV413" s="55"/>
      <c r="AW413" s="55"/>
      <c r="AX413" s="55"/>
      <c r="AY413" s="55"/>
      <c r="AZ413" s="55"/>
      <c r="BA413" s="55"/>
      <c r="BB413" s="55"/>
      <c r="BC413" s="55"/>
      <c r="BD413" s="55"/>
      <c r="BE413" s="55"/>
      <c r="BF413" s="55"/>
      <c r="BG413" s="55"/>
      <c r="BH413" s="55"/>
      <c r="BI413" s="55"/>
      <c r="BJ413" s="55"/>
      <c r="BK413" s="55"/>
      <c r="BL413" s="55"/>
      <c r="BM413" s="55"/>
      <c r="BN413" s="55"/>
      <c r="BO413" s="55"/>
      <c r="BP413" s="55"/>
      <c r="BQ413" s="55"/>
      <c r="BR413" s="55"/>
      <c r="BS413" s="55"/>
    </row>
    <row r="414" spans="1:93" outlineLevel="1" x14ac:dyDescent="0.2">
      <c r="D414" t="str">
        <f>HM_ZA_Nkossa!D403</f>
        <v>Cycle complet</v>
      </c>
      <c r="J414" s="26"/>
      <c r="K414" s="7" t="s">
        <v>282</v>
      </c>
      <c r="L414" s="49">
        <f t="shared" ref="L414:BS415" si="120">IF(L411=0,0,(1+input_DiscRate_nom)^-L411)</f>
        <v>0.25107649955996431</v>
      </c>
      <c r="M414" s="49">
        <f t="shared" si="120"/>
        <v>0.22825136323633116</v>
      </c>
      <c r="N414" s="49">
        <f t="shared" si="120"/>
        <v>0.20750123930575562</v>
      </c>
      <c r="O414" s="49">
        <f t="shared" si="120"/>
        <v>0.18863749027795962</v>
      </c>
      <c r="P414" s="49">
        <f t="shared" si="120"/>
        <v>0.17148862752541782</v>
      </c>
      <c r="Q414" s="49">
        <f t="shared" si="120"/>
        <v>0.15589875229583436</v>
      </c>
      <c r="R414" s="49">
        <f t="shared" si="120"/>
        <v>0.14172613845075852</v>
      </c>
      <c r="S414" s="49">
        <f t="shared" si="120"/>
        <v>0.1288419440461441</v>
      </c>
      <c r="T414" s="49">
        <f t="shared" si="120"/>
        <v>0.11712904004194918</v>
      </c>
      <c r="U414" s="49">
        <f t="shared" si="120"/>
        <v>0.10648094549268106</v>
      </c>
      <c r="V414" s="49">
        <f t="shared" si="120"/>
        <v>9.6800859538800965E-2</v>
      </c>
      <c r="W414" s="49">
        <f t="shared" si="120"/>
        <v>8.8000781398909919E-2</v>
      </c>
      <c r="X414" s="49">
        <f t="shared" si="120"/>
        <v>8.0000710362645402E-2</v>
      </c>
      <c r="Y414" s="49">
        <f t="shared" si="120"/>
        <v>7.272791851149582E-2</v>
      </c>
      <c r="Z414" s="49">
        <f t="shared" si="120"/>
        <v>6.6116289555905275E-2</v>
      </c>
      <c r="AA414" s="49">
        <f t="shared" si="120"/>
        <v>6.0105717778095702E-2</v>
      </c>
      <c r="AB414" s="49">
        <f t="shared" si="120"/>
        <v>5.4641561616450646E-2</v>
      </c>
      <c r="AC414" s="49">
        <f t="shared" si="120"/>
        <v>4.967414692404603E-2</v>
      </c>
      <c r="AD414" s="49">
        <f t="shared" si="120"/>
        <v>4.5158315385496389E-2</v>
      </c>
      <c r="AE414" s="49">
        <f t="shared" si="120"/>
        <v>4.1053013986814886E-2</v>
      </c>
      <c r="AF414" s="49">
        <f t="shared" si="120"/>
        <v>3.7320921806195353E-2</v>
      </c>
      <c r="AG414" s="49">
        <f t="shared" si="120"/>
        <v>3.3928110732904866E-2</v>
      </c>
      <c r="AH414" s="49">
        <f t="shared" si="120"/>
        <v>3.0843737029913505E-2</v>
      </c>
      <c r="AI414" s="49">
        <f t="shared" si="120"/>
        <v>2.8039760936285012E-2</v>
      </c>
      <c r="AJ414" s="49">
        <f t="shared" si="120"/>
        <v>2.5490691760259102E-2</v>
      </c>
      <c r="AK414" s="49">
        <f t="shared" si="120"/>
        <v>2.3173356145690084E-2</v>
      </c>
      <c r="AL414" s="49">
        <f t="shared" si="120"/>
        <v>2.1066687405172806E-2</v>
      </c>
      <c r="AM414" s="49">
        <f t="shared" si="120"/>
        <v>1.9151534004702545E-2</v>
      </c>
      <c r="AN414" s="49">
        <f t="shared" si="120"/>
        <v>1.7410485458820502E-2</v>
      </c>
      <c r="AO414" s="49">
        <f t="shared" si="120"/>
        <v>1.5827714053473173E-2</v>
      </c>
      <c r="AP414" s="49">
        <f t="shared" si="120"/>
        <v>1.4388830957702884E-2</v>
      </c>
      <c r="AQ414" s="49">
        <f t="shared" si="120"/>
        <v>1.3080755416093532E-2</v>
      </c>
      <c r="AR414" s="49">
        <f t="shared" si="120"/>
        <v>1.1891595832812305E-2</v>
      </c>
      <c r="AS414" s="49">
        <f t="shared" si="120"/>
        <v>1.0810541666193005E-2</v>
      </c>
      <c r="AT414" s="49">
        <f t="shared" si="120"/>
        <v>9.8277651510845412E-3</v>
      </c>
      <c r="AU414" s="49">
        <f t="shared" si="120"/>
        <v>8.9343319555314025E-3</v>
      </c>
      <c r="AV414" s="49">
        <f t="shared" si="120"/>
        <v>8.1221199595740041E-3</v>
      </c>
      <c r="AW414" s="49">
        <f t="shared" si="120"/>
        <v>7.3837454177945487E-3</v>
      </c>
      <c r="AX414" s="49">
        <f t="shared" si="120"/>
        <v>6.7124958343586817E-3</v>
      </c>
      <c r="AY414" s="49">
        <f t="shared" si="120"/>
        <v>6.1022689403260697E-3</v>
      </c>
      <c r="AZ414" s="49">
        <f t="shared" si="120"/>
        <v>5.5475172184782451E-3</v>
      </c>
      <c r="BA414" s="49">
        <f t="shared" si="120"/>
        <v>5.0431974713438599E-3</v>
      </c>
      <c r="BB414" s="49">
        <f t="shared" si="120"/>
        <v>4.5847249739489641E-3</v>
      </c>
      <c r="BC414" s="49">
        <f t="shared" si="120"/>
        <v>4.1679317944990591E-3</v>
      </c>
      <c r="BD414" s="49">
        <f t="shared" si="120"/>
        <v>3.7890289040900535E-3</v>
      </c>
      <c r="BE414" s="49">
        <f t="shared" si="120"/>
        <v>3.4445717309909553E-3</v>
      </c>
      <c r="BF414" s="49">
        <f t="shared" si="120"/>
        <v>3.1314288463554136E-3</v>
      </c>
      <c r="BG414" s="49">
        <f t="shared" si="120"/>
        <v>2.8467534966867404E-3</v>
      </c>
      <c r="BH414" s="49">
        <f t="shared" si="120"/>
        <v>2.5879577242606732E-3</v>
      </c>
      <c r="BI414" s="49">
        <f t="shared" si="120"/>
        <v>2.3526888402369758E-3</v>
      </c>
      <c r="BJ414" s="49">
        <f t="shared" si="120"/>
        <v>2.1388080365790673E-3</v>
      </c>
      <c r="BK414" s="49">
        <f t="shared" si="120"/>
        <v>1.9443709423446068E-3</v>
      </c>
      <c r="BL414" s="49">
        <f t="shared" si="120"/>
        <v>1.7676099475860063E-3</v>
      </c>
      <c r="BM414" s="49">
        <f t="shared" si="120"/>
        <v>1.6069181341690968E-3</v>
      </c>
      <c r="BN414" s="49">
        <f t="shared" si="120"/>
        <v>1.4608346674264518E-3</v>
      </c>
      <c r="BO414" s="49">
        <f t="shared" si="120"/>
        <v>1.3280315158422278E-3</v>
      </c>
      <c r="BP414" s="49">
        <f t="shared" si="120"/>
        <v>1.207301378038389E-3</v>
      </c>
      <c r="BQ414" s="49">
        <f t="shared" si="120"/>
        <v>1.0975467073076266E-3</v>
      </c>
      <c r="BR414" s="49">
        <f t="shared" si="120"/>
        <v>9.9776973391602422E-4</v>
      </c>
      <c r="BS414" s="49">
        <f t="shared" si="120"/>
        <v>9.0706339446911303E-4</v>
      </c>
    </row>
    <row r="415" spans="1:93" outlineLevel="1" x14ac:dyDescent="0.2">
      <c r="D415" t="str">
        <f>HM_ZA_Nkossa!D404</f>
        <v>Terme</v>
      </c>
      <c r="J415" s="26"/>
      <c r="K415" s="7" t="s">
        <v>281</v>
      </c>
      <c r="L415" s="49">
        <f t="shared" si="120"/>
        <v>0</v>
      </c>
      <c r="M415" s="49">
        <f t="shared" si="120"/>
        <v>0</v>
      </c>
      <c r="N415" s="49">
        <f t="shared" si="120"/>
        <v>0</v>
      </c>
      <c r="O415" s="49">
        <f t="shared" si="120"/>
        <v>0</v>
      </c>
      <c r="P415" s="49">
        <f t="shared" si="120"/>
        <v>0</v>
      </c>
      <c r="Q415" s="49">
        <f t="shared" si="120"/>
        <v>0</v>
      </c>
      <c r="R415" s="49">
        <f t="shared" si="120"/>
        <v>0</v>
      </c>
      <c r="S415" s="49">
        <f t="shared" si="120"/>
        <v>0</v>
      </c>
      <c r="T415" s="49">
        <f t="shared" si="120"/>
        <v>0.95346258924559224</v>
      </c>
      <c r="U415" s="49">
        <f t="shared" si="120"/>
        <v>0.86678417204144742</v>
      </c>
      <c r="V415" s="49">
        <f t="shared" si="120"/>
        <v>0.78798561094677033</v>
      </c>
      <c r="W415" s="49">
        <f t="shared" si="120"/>
        <v>0.71635055540615489</v>
      </c>
      <c r="X415" s="49">
        <f t="shared" si="120"/>
        <v>0.65122777764195883</v>
      </c>
      <c r="Y415" s="49">
        <f t="shared" si="120"/>
        <v>0.59202525240178083</v>
      </c>
      <c r="Z415" s="49">
        <f t="shared" si="120"/>
        <v>0.53820477491070973</v>
      </c>
      <c r="AA415" s="49">
        <f t="shared" si="120"/>
        <v>0.48927706810064514</v>
      </c>
      <c r="AB415" s="49">
        <f t="shared" si="120"/>
        <v>0.44479733463695009</v>
      </c>
      <c r="AC415" s="49">
        <f t="shared" si="120"/>
        <v>0.4043612133063183</v>
      </c>
      <c r="AD415" s="49">
        <f t="shared" si="120"/>
        <v>0.36760110300574383</v>
      </c>
      <c r="AE415" s="49">
        <f t="shared" si="120"/>
        <v>0.33418282091431251</v>
      </c>
      <c r="AF415" s="49">
        <f t="shared" si="120"/>
        <v>0.30380256446755688</v>
      </c>
      <c r="AG415" s="49">
        <f t="shared" si="120"/>
        <v>0.27618414951596076</v>
      </c>
      <c r="AH415" s="49">
        <f t="shared" si="120"/>
        <v>0.25107649955996431</v>
      </c>
      <c r="AI415" s="49">
        <f t="shared" si="120"/>
        <v>0.22825136323633116</v>
      </c>
      <c r="AJ415" s="49">
        <f t="shared" si="120"/>
        <v>0.20750123930575562</v>
      </c>
      <c r="AK415" s="49">
        <f t="shared" si="120"/>
        <v>0.18863749027795962</v>
      </c>
      <c r="AL415" s="49">
        <f t="shared" si="120"/>
        <v>0.17148862752541782</v>
      </c>
      <c r="AM415" s="49">
        <f t="shared" si="120"/>
        <v>0.15589875229583436</v>
      </c>
      <c r="AN415" s="49">
        <f t="shared" si="120"/>
        <v>0.14172613845075852</v>
      </c>
      <c r="AO415" s="49">
        <f t="shared" si="120"/>
        <v>0.1288419440461441</v>
      </c>
      <c r="AP415" s="49">
        <f t="shared" si="120"/>
        <v>0.11712904004194918</v>
      </c>
      <c r="AQ415" s="49">
        <f t="shared" si="120"/>
        <v>0.10648094549268106</v>
      </c>
      <c r="AR415" s="49">
        <f t="shared" si="120"/>
        <v>9.6800859538800965E-2</v>
      </c>
      <c r="AS415" s="49">
        <f t="shared" si="120"/>
        <v>8.8000781398909919E-2</v>
      </c>
      <c r="AT415" s="49">
        <f t="shared" si="120"/>
        <v>8.0000710362645402E-2</v>
      </c>
      <c r="AU415" s="49">
        <f t="shared" si="120"/>
        <v>7.272791851149582E-2</v>
      </c>
      <c r="AV415" s="49">
        <f t="shared" si="120"/>
        <v>6.6116289555905275E-2</v>
      </c>
      <c r="AW415" s="49">
        <f t="shared" si="120"/>
        <v>6.0105717778095702E-2</v>
      </c>
      <c r="AX415" s="49">
        <f t="shared" si="120"/>
        <v>5.4641561616450646E-2</v>
      </c>
      <c r="AY415" s="49">
        <f t="shared" si="120"/>
        <v>4.967414692404603E-2</v>
      </c>
      <c r="AZ415" s="49">
        <f t="shared" si="120"/>
        <v>4.5158315385496389E-2</v>
      </c>
      <c r="BA415" s="49">
        <f t="shared" si="120"/>
        <v>4.1053013986814886E-2</v>
      </c>
      <c r="BB415" s="49">
        <f t="shared" si="120"/>
        <v>3.7320921806195353E-2</v>
      </c>
      <c r="BC415" s="49">
        <f t="shared" si="120"/>
        <v>3.3928110732904866E-2</v>
      </c>
      <c r="BD415" s="49">
        <f t="shared" si="120"/>
        <v>3.0843737029913505E-2</v>
      </c>
      <c r="BE415" s="49">
        <f t="shared" si="120"/>
        <v>2.8039760936285012E-2</v>
      </c>
      <c r="BF415" s="49">
        <f t="shared" si="120"/>
        <v>2.5490691760259102E-2</v>
      </c>
      <c r="BG415" s="49">
        <f t="shared" si="120"/>
        <v>2.3173356145690084E-2</v>
      </c>
      <c r="BH415" s="49">
        <f t="shared" si="120"/>
        <v>2.1066687405172806E-2</v>
      </c>
      <c r="BI415" s="49">
        <f t="shared" si="120"/>
        <v>1.9151534004702545E-2</v>
      </c>
      <c r="BJ415" s="49">
        <f t="shared" si="120"/>
        <v>1.7410485458820502E-2</v>
      </c>
      <c r="BK415" s="49">
        <f t="shared" si="120"/>
        <v>1.5827714053473173E-2</v>
      </c>
      <c r="BL415" s="49">
        <f t="shared" si="120"/>
        <v>1.4388830957702884E-2</v>
      </c>
      <c r="BM415" s="49">
        <f t="shared" si="120"/>
        <v>1.3080755416093532E-2</v>
      </c>
      <c r="BN415" s="49">
        <f t="shared" si="120"/>
        <v>1.1891595832812305E-2</v>
      </c>
      <c r="BO415" s="49">
        <f t="shared" si="120"/>
        <v>1.0810541666193005E-2</v>
      </c>
      <c r="BP415" s="49">
        <f t="shared" si="120"/>
        <v>9.8277651510845412E-3</v>
      </c>
      <c r="BQ415" s="49">
        <f t="shared" si="120"/>
        <v>8.9343319555314025E-3</v>
      </c>
      <c r="BR415" s="49">
        <f t="shared" si="120"/>
        <v>8.1221199595740041E-3</v>
      </c>
      <c r="BS415" s="49">
        <f t="shared" si="120"/>
        <v>7.3837454177945487E-3</v>
      </c>
    </row>
    <row r="416" spans="1:93" outlineLevel="1" x14ac:dyDescent="0.2">
      <c r="J416" s="26"/>
      <c r="L416" s="55"/>
      <c r="M416" s="55"/>
      <c r="N416" s="55"/>
      <c r="O416" s="55"/>
      <c r="P416" s="55"/>
      <c r="Q416" s="55"/>
      <c r="R416" s="55"/>
      <c r="S416" s="55"/>
      <c r="T416" s="55"/>
      <c r="U416" s="55"/>
      <c r="V416" s="55"/>
      <c r="W416" s="55"/>
      <c r="X416" s="55"/>
      <c r="Y416" s="55"/>
      <c r="Z416" s="55"/>
      <c r="AA416" s="55"/>
      <c r="AB416" s="55"/>
      <c r="AC416" s="55"/>
      <c r="AD416" s="55"/>
      <c r="AE416" s="55"/>
      <c r="AF416" s="55"/>
      <c r="AG416" s="55"/>
      <c r="AH416" s="55"/>
      <c r="AI416" s="55"/>
      <c r="AJ416" s="55"/>
      <c r="AK416" s="55"/>
      <c r="AL416" s="55"/>
      <c r="AM416" s="55"/>
      <c r="AN416" s="55"/>
      <c r="AO416" s="55"/>
      <c r="AP416" s="55"/>
      <c r="AQ416" s="55"/>
      <c r="AR416" s="55"/>
      <c r="AS416" s="55"/>
      <c r="AT416" s="55"/>
      <c r="AU416" s="55"/>
      <c r="AV416" s="55"/>
      <c r="AW416" s="55"/>
      <c r="AX416" s="55"/>
      <c r="AY416" s="55"/>
      <c r="AZ416" s="55"/>
      <c r="BA416" s="55"/>
      <c r="BB416" s="55"/>
      <c r="BC416" s="55"/>
      <c r="BD416" s="55"/>
      <c r="BE416" s="55"/>
      <c r="BF416" s="55"/>
      <c r="BG416" s="55"/>
      <c r="BH416" s="55"/>
      <c r="BI416" s="55"/>
      <c r="BJ416" s="55"/>
      <c r="BK416" s="55"/>
      <c r="BL416" s="55"/>
      <c r="BM416" s="55"/>
      <c r="BN416" s="55"/>
      <c r="BO416" s="55"/>
      <c r="BP416" s="55"/>
      <c r="BQ416" s="55"/>
      <c r="BR416" s="55"/>
      <c r="BS416" s="55"/>
    </row>
    <row r="417" spans="1:71" outlineLevel="1" x14ac:dyDescent="0.2">
      <c r="J417" s="26"/>
      <c r="L417" s="55"/>
      <c r="M417" s="55"/>
      <c r="N417" s="55"/>
      <c r="O417" s="55"/>
      <c r="P417" s="55"/>
      <c r="Q417" s="55"/>
      <c r="R417" s="55"/>
      <c r="S417" s="55"/>
      <c r="T417" s="55"/>
      <c r="U417" s="55"/>
      <c r="V417" s="55"/>
      <c r="W417" s="55"/>
      <c r="X417" s="55"/>
      <c r="Y417" s="55"/>
      <c r="Z417" s="55"/>
      <c r="AA417" s="55"/>
      <c r="AB417" s="55"/>
      <c r="AC417" s="55"/>
      <c r="AD417" s="55"/>
      <c r="AE417" s="55"/>
      <c r="AF417" s="55"/>
      <c r="AG417" s="55"/>
      <c r="AH417" s="55"/>
      <c r="AI417" s="55"/>
      <c r="AJ417" s="55"/>
      <c r="AK417" s="55"/>
      <c r="AL417" s="55"/>
      <c r="AM417" s="55"/>
      <c r="AN417" s="55"/>
      <c r="AO417" s="55"/>
      <c r="AP417" s="55"/>
      <c r="AQ417" s="55"/>
      <c r="AR417" s="55"/>
      <c r="AS417" s="55"/>
      <c r="AT417" s="55"/>
      <c r="AU417" s="55"/>
      <c r="AV417" s="55"/>
      <c r="AW417" s="55"/>
      <c r="AX417" s="55"/>
      <c r="AY417" s="55"/>
      <c r="AZ417" s="55"/>
      <c r="BA417" s="55"/>
      <c r="BB417" s="55"/>
      <c r="BC417" s="55"/>
      <c r="BD417" s="55"/>
      <c r="BE417" s="55"/>
      <c r="BF417" s="55"/>
      <c r="BG417" s="55"/>
      <c r="BH417" s="55"/>
      <c r="BI417" s="55"/>
      <c r="BJ417" s="55"/>
      <c r="BK417" s="55"/>
      <c r="BL417" s="55"/>
      <c r="BM417" s="55"/>
      <c r="BN417" s="55"/>
      <c r="BO417" s="55"/>
      <c r="BP417" s="55"/>
      <c r="BQ417" s="55"/>
      <c r="BR417" s="55"/>
      <c r="BS417" s="55"/>
    </row>
    <row r="418" spans="1:71" outlineLevel="1" x14ac:dyDescent="0.2">
      <c r="A418" s="45"/>
      <c r="B418" s="38" t="str">
        <f>HM_ZA_Nkossa!B407</f>
        <v>Revenu divisible</v>
      </c>
      <c r="C418" s="45"/>
      <c r="D418" s="45"/>
      <c r="E418" s="45"/>
      <c r="J418" s="26"/>
      <c r="L418" s="55"/>
      <c r="M418" s="55"/>
      <c r="N418" s="55"/>
      <c r="O418" s="55"/>
      <c r="P418" s="55"/>
      <c r="Q418" s="55"/>
      <c r="R418" s="55"/>
      <c r="S418" s="55"/>
      <c r="T418" s="55"/>
      <c r="U418" s="55"/>
      <c r="V418" s="55"/>
      <c r="W418" s="55"/>
      <c r="X418" s="55"/>
      <c r="Y418" s="55"/>
      <c r="Z418" s="55"/>
      <c r="AA418" s="55"/>
      <c r="AB418" s="55"/>
      <c r="AC418" s="55"/>
      <c r="AD418" s="55"/>
      <c r="AE418" s="55"/>
      <c r="AF418" s="55"/>
      <c r="AG418" s="55"/>
      <c r="AH418" s="55"/>
      <c r="AI418" s="55"/>
      <c r="AJ418" s="55"/>
      <c r="AK418" s="55"/>
      <c r="AL418" s="55"/>
      <c r="AM418" s="55"/>
      <c r="AN418" s="55"/>
      <c r="AO418" s="55"/>
      <c r="AP418" s="55"/>
      <c r="AQ418" s="55"/>
      <c r="AR418" s="55"/>
      <c r="AS418" s="55"/>
      <c r="AT418" s="55"/>
      <c r="AU418" s="55"/>
      <c r="AV418" s="55"/>
      <c r="AW418" s="55"/>
      <c r="AX418" s="55"/>
      <c r="AY418" s="55"/>
      <c r="AZ418" s="55"/>
      <c r="BA418" s="55"/>
      <c r="BB418" s="55"/>
      <c r="BC418" s="55"/>
      <c r="BD418" s="55"/>
      <c r="BE418" s="55"/>
      <c r="BF418" s="55"/>
      <c r="BG418" s="55"/>
      <c r="BH418" s="55"/>
      <c r="BI418" s="55"/>
      <c r="BJ418" s="55"/>
      <c r="BK418" s="55"/>
      <c r="BL418" s="55"/>
      <c r="BM418" s="55"/>
      <c r="BN418" s="55"/>
      <c r="BO418" s="55"/>
      <c r="BP418" s="55"/>
      <c r="BQ418" s="55"/>
      <c r="BR418" s="55"/>
      <c r="BS418" s="55"/>
    </row>
    <row r="419" spans="1:71" outlineLevel="1" x14ac:dyDescent="0.2">
      <c r="J419" s="26"/>
      <c r="L419" s="55"/>
      <c r="M419" s="55"/>
      <c r="N419" s="55"/>
      <c r="O419" s="55"/>
      <c r="P419" s="55"/>
      <c r="Q419" s="55"/>
      <c r="R419" s="55"/>
      <c r="S419" s="55"/>
      <c r="T419" s="55"/>
      <c r="U419" s="55"/>
      <c r="V419" s="55"/>
      <c r="W419" s="55"/>
      <c r="X419" s="55"/>
      <c r="Y419" s="55"/>
      <c r="Z419" s="55"/>
      <c r="AA419" s="55"/>
      <c r="AB419" s="55"/>
      <c r="AC419" s="55"/>
      <c r="AD419" s="55"/>
      <c r="AE419" s="55"/>
      <c r="AF419" s="55"/>
      <c r="AG419" s="55"/>
      <c r="AH419" s="55"/>
      <c r="AI419" s="55"/>
      <c r="AJ419" s="55"/>
      <c r="AK419" s="55"/>
      <c r="AL419" s="55"/>
      <c r="AM419" s="55"/>
      <c r="AN419" s="55"/>
      <c r="AO419" s="55"/>
      <c r="AP419" s="55"/>
      <c r="AQ419" s="55"/>
      <c r="AR419" s="55"/>
      <c r="AS419" s="55"/>
      <c r="AT419" s="55"/>
      <c r="AU419" s="55"/>
      <c r="AV419" s="55"/>
      <c r="AW419" s="55"/>
      <c r="AX419" s="55"/>
      <c r="AY419" s="55"/>
      <c r="AZ419" s="55"/>
      <c r="BA419" s="55"/>
      <c r="BB419" s="55"/>
      <c r="BC419" s="55"/>
      <c r="BD419" s="55"/>
      <c r="BE419" s="55"/>
      <c r="BF419" s="55"/>
      <c r="BG419" s="55"/>
      <c r="BH419" s="55"/>
      <c r="BI419" s="55"/>
      <c r="BJ419" s="55"/>
      <c r="BK419" s="55"/>
      <c r="BL419" s="55"/>
      <c r="BM419" s="55"/>
      <c r="BN419" s="55"/>
      <c r="BO419" s="55"/>
      <c r="BP419" s="55"/>
      <c r="BQ419" s="55"/>
      <c r="BR419" s="55"/>
      <c r="BS419" s="55"/>
    </row>
    <row r="420" spans="1:71" outlineLevel="1" x14ac:dyDescent="0.2">
      <c r="C420" t="str">
        <f>HM_ZA_Nkossa!C409</f>
        <v>Revenus</v>
      </c>
      <c r="J420" s="26"/>
      <c r="L420" s="55"/>
      <c r="M420" s="55"/>
      <c r="N420" s="55"/>
      <c r="O420" s="55"/>
      <c r="P420" s="55"/>
      <c r="Q420" s="55"/>
      <c r="R420" s="55"/>
      <c r="S420" s="55"/>
      <c r="T420" s="55"/>
      <c r="U420" s="55"/>
      <c r="V420" s="55"/>
      <c r="W420" s="55"/>
      <c r="X420" s="55"/>
      <c r="Y420" s="55"/>
      <c r="Z420" s="55"/>
      <c r="AA420" s="55"/>
      <c r="AB420" s="55"/>
      <c r="AC420" s="55"/>
      <c r="AD420" s="55"/>
      <c r="AE420" s="55"/>
      <c r="AF420" s="55"/>
      <c r="AG420" s="55"/>
      <c r="AH420" s="55"/>
      <c r="AI420" s="55"/>
      <c r="AJ420" s="55"/>
      <c r="AK420" s="55"/>
      <c r="AL420" s="55"/>
      <c r="AM420" s="55"/>
      <c r="AN420" s="55"/>
      <c r="AO420" s="55"/>
      <c r="AP420" s="55"/>
      <c r="AQ420" s="55"/>
      <c r="AR420" s="55"/>
      <c r="AS420" s="55"/>
      <c r="AT420" s="55"/>
      <c r="AU420" s="55"/>
      <c r="AV420" s="55"/>
      <c r="AW420" s="55"/>
      <c r="AX420" s="55"/>
      <c r="AY420" s="55"/>
      <c r="AZ420" s="55"/>
      <c r="BA420" s="55"/>
      <c r="BB420" s="55"/>
      <c r="BC420" s="55"/>
      <c r="BD420" s="55"/>
      <c r="BE420" s="55"/>
      <c r="BF420" s="55"/>
      <c r="BG420" s="55"/>
      <c r="BH420" s="55"/>
      <c r="BI420" s="55"/>
      <c r="BJ420" s="55"/>
      <c r="BK420" s="55"/>
      <c r="BL420" s="55"/>
      <c r="BM420" s="55"/>
      <c r="BN420" s="55"/>
      <c r="BO420" s="55"/>
      <c r="BP420" s="55"/>
      <c r="BQ420" s="55"/>
      <c r="BR420" s="55"/>
      <c r="BS420" s="55"/>
    </row>
    <row r="421" spans="1:71" outlineLevel="1" x14ac:dyDescent="0.2">
      <c r="D421" t="str">
        <f>HM_ZA_Nkossa!D410</f>
        <v>Revenus pétroliers</v>
      </c>
      <c r="I421" s="30">
        <f t="shared" ref="I421:I423" ca="1" si="121">SUM($L421:$BS421)</f>
        <v>584.81941006574402</v>
      </c>
      <c r="J421" s="26" t="s">
        <v>148</v>
      </c>
      <c r="L421" s="49" cm="1">
        <f t="array" aca="1" ref="L421:BS421" ca="1">HM_ZB_Nsoko!CA_gross_rev_oil_fp</f>
        <v>83.933369292999998</v>
      </c>
      <c r="M421" s="49">
        <f ca="1"/>
        <v>84.237232210999991</v>
      </c>
      <c r="N421" s="49">
        <f ca="1"/>
        <v>48.479070684000007</v>
      </c>
      <c r="O421" s="49">
        <f ca="1"/>
        <v>33.069589979</v>
      </c>
      <c r="P421" s="49">
        <f ca="1"/>
        <v>39.805745783999996</v>
      </c>
      <c r="Q421" s="49">
        <f ca="1"/>
        <v>47.558781632999995</v>
      </c>
      <c r="R421" s="49">
        <f ca="1"/>
        <v>16.420027699999999</v>
      </c>
      <c r="S421" s="49">
        <f ca="1"/>
        <v>30.939643877469827</v>
      </c>
      <c r="T421" s="49">
        <f ca="1"/>
        <v>42.673548997278196</v>
      </c>
      <c r="U421" s="49">
        <f ca="1"/>
        <v>42.598874905548946</v>
      </c>
      <c r="V421" s="49">
        <f ca="1"/>
        <v>40.409292735403724</v>
      </c>
      <c r="W421" s="49">
        <f ca="1"/>
        <v>38.332255088803969</v>
      </c>
      <c r="X421" s="49">
        <f ca="1"/>
        <v>36.361977177239446</v>
      </c>
      <c r="Y421" s="49">
        <f ca="1"/>
        <v>0</v>
      </c>
      <c r="Z421" s="49">
        <f ca="1"/>
        <v>0</v>
      </c>
      <c r="AA421" s="49">
        <f ca="1"/>
        <v>0</v>
      </c>
      <c r="AB421" s="49">
        <f ca="1"/>
        <v>0</v>
      </c>
      <c r="AC421" s="49">
        <f ca="1"/>
        <v>0</v>
      </c>
      <c r="AD421" s="49">
        <f ca="1"/>
        <v>0</v>
      </c>
      <c r="AE421" s="49">
        <f ca="1"/>
        <v>0</v>
      </c>
      <c r="AF421" s="49">
        <f ca="1"/>
        <v>0</v>
      </c>
      <c r="AG421" s="49">
        <f ca="1"/>
        <v>0</v>
      </c>
      <c r="AH421" s="49">
        <f ca="1"/>
        <v>0</v>
      </c>
      <c r="AI421" s="49">
        <f ca="1"/>
        <v>0</v>
      </c>
      <c r="AJ421" s="49">
        <f ca="1"/>
        <v>0</v>
      </c>
      <c r="AK421" s="49">
        <f ca="1"/>
        <v>0</v>
      </c>
      <c r="AL421" s="49">
        <f ca="1"/>
        <v>0</v>
      </c>
      <c r="AM421" s="49">
        <f ca="1"/>
        <v>0</v>
      </c>
      <c r="AN421" s="49">
        <f ca="1"/>
        <v>0</v>
      </c>
      <c r="AO421" s="49">
        <f ca="1"/>
        <v>0</v>
      </c>
      <c r="AP421" s="49">
        <f ca="1"/>
        <v>0</v>
      </c>
      <c r="AQ421" s="49">
        <f ca="1"/>
        <v>0</v>
      </c>
      <c r="AR421" s="49">
        <f ca="1"/>
        <v>0</v>
      </c>
      <c r="AS421" s="49">
        <f ca="1"/>
        <v>0</v>
      </c>
      <c r="AT421" s="49">
        <f ca="1"/>
        <v>0</v>
      </c>
      <c r="AU421" s="49">
        <f ca="1"/>
        <v>0</v>
      </c>
      <c r="AV421" s="49">
        <f ca="1"/>
        <v>0</v>
      </c>
      <c r="AW421" s="49">
        <f ca="1"/>
        <v>0</v>
      </c>
      <c r="AX421" s="49">
        <f ca="1"/>
        <v>0</v>
      </c>
      <c r="AY421" s="49">
        <f ca="1"/>
        <v>0</v>
      </c>
      <c r="AZ421" s="49">
        <f ca="1"/>
        <v>0</v>
      </c>
      <c r="BA421" s="49">
        <f ca="1"/>
        <v>0</v>
      </c>
      <c r="BB421" s="49">
        <f ca="1"/>
        <v>0</v>
      </c>
      <c r="BC421" s="49">
        <f ca="1"/>
        <v>0</v>
      </c>
      <c r="BD421" s="49">
        <f ca="1"/>
        <v>0</v>
      </c>
      <c r="BE421" s="49">
        <f ca="1"/>
        <v>0</v>
      </c>
      <c r="BF421" s="49">
        <f ca="1"/>
        <v>0</v>
      </c>
      <c r="BG421" s="49">
        <f ca="1"/>
        <v>0</v>
      </c>
      <c r="BH421" s="49">
        <f ca="1"/>
        <v>0</v>
      </c>
      <c r="BI421" s="49">
        <f ca="1"/>
        <v>0</v>
      </c>
      <c r="BJ421" s="49">
        <f ca="1"/>
        <v>0</v>
      </c>
      <c r="BK421" s="49">
        <f ca="1"/>
        <v>0</v>
      </c>
      <c r="BL421" s="49">
        <f ca="1"/>
        <v>0</v>
      </c>
      <c r="BM421" s="49">
        <f ca="1"/>
        <v>0</v>
      </c>
      <c r="BN421" s="49">
        <f ca="1"/>
        <v>0</v>
      </c>
      <c r="BO421" s="49">
        <f ca="1"/>
        <v>0</v>
      </c>
      <c r="BP421" s="49">
        <f ca="1"/>
        <v>0</v>
      </c>
      <c r="BQ421" s="49">
        <f ca="1"/>
        <v>0</v>
      </c>
      <c r="BR421" s="49">
        <f ca="1"/>
        <v>0</v>
      </c>
      <c r="BS421" s="49">
        <f ca="1"/>
        <v>0</v>
      </c>
    </row>
    <row r="422" spans="1:71" outlineLevel="1" x14ac:dyDescent="0.2">
      <c r="D422" t="str">
        <f>HM_ZA_Nkossa!D411</f>
        <v>Revenus gaziers</v>
      </c>
      <c r="I422" s="30">
        <f t="shared" ca="1" si="121"/>
        <v>0</v>
      </c>
      <c r="J422" s="26" t="s">
        <v>148</v>
      </c>
      <c r="L422" s="49" cm="1">
        <f t="array" aca="1" ref="L422:BS422" ca="1">HM_ZB_Nsoko!CA_gross_rev_gas_fp</f>
        <v>0</v>
      </c>
      <c r="M422" s="49">
        <f ca="1"/>
        <v>0</v>
      </c>
      <c r="N422" s="49">
        <f ca="1"/>
        <v>0</v>
      </c>
      <c r="O422" s="49">
        <f ca="1"/>
        <v>0</v>
      </c>
      <c r="P422" s="49">
        <f ca="1"/>
        <v>0</v>
      </c>
      <c r="Q422" s="49">
        <f ca="1"/>
        <v>0</v>
      </c>
      <c r="R422" s="49">
        <f ca="1"/>
        <v>0</v>
      </c>
      <c r="S422" s="49">
        <f ca="1"/>
        <v>0</v>
      </c>
      <c r="T422" s="49">
        <f ca="1"/>
        <v>0</v>
      </c>
      <c r="U422" s="49">
        <f ca="1"/>
        <v>0</v>
      </c>
      <c r="V422" s="49">
        <f ca="1"/>
        <v>0</v>
      </c>
      <c r="W422" s="49">
        <f ca="1"/>
        <v>0</v>
      </c>
      <c r="X422" s="49">
        <f ca="1"/>
        <v>0</v>
      </c>
      <c r="Y422" s="49">
        <f ca="1"/>
        <v>0</v>
      </c>
      <c r="Z422" s="49">
        <f ca="1"/>
        <v>0</v>
      </c>
      <c r="AA422" s="49">
        <f ca="1"/>
        <v>0</v>
      </c>
      <c r="AB422" s="49">
        <f ca="1"/>
        <v>0</v>
      </c>
      <c r="AC422" s="49">
        <f ca="1"/>
        <v>0</v>
      </c>
      <c r="AD422" s="49">
        <f ca="1"/>
        <v>0</v>
      </c>
      <c r="AE422" s="49">
        <f ca="1"/>
        <v>0</v>
      </c>
      <c r="AF422" s="49">
        <f ca="1"/>
        <v>0</v>
      </c>
      <c r="AG422" s="49">
        <f ca="1"/>
        <v>0</v>
      </c>
      <c r="AH422" s="49">
        <f ca="1"/>
        <v>0</v>
      </c>
      <c r="AI422" s="49">
        <f ca="1"/>
        <v>0</v>
      </c>
      <c r="AJ422" s="49">
        <f ca="1"/>
        <v>0</v>
      </c>
      <c r="AK422" s="49">
        <f ca="1"/>
        <v>0</v>
      </c>
      <c r="AL422" s="49">
        <f ca="1"/>
        <v>0</v>
      </c>
      <c r="AM422" s="49">
        <f ca="1"/>
        <v>0</v>
      </c>
      <c r="AN422" s="49">
        <f ca="1"/>
        <v>0</v>
      </c>
      <c r="AO422" s="49">
        <f ca="1"/>
        <v>0</v>
      </c>
      <c r="AP422" s="49">
        <f ca="1"/>
        <v>0</v>
      </c>
      <c r="AQ422" s="49">
        <f ca="1"/>
        <v>0</v>
      </c>
      <c r="AR422" s="49">
        <f ca="1"/>
        <v>0</v>
      </c>
      <c r="AS422" s="49">
        <f ca="1"/>
        <v>0</v>
      </c>
      <c r="AT422" s="49">
        <f ca="1"/>
        <v>0</v>
      </c>
      <c r="AU422" s="49">
        <f ca="1"/>
        <v>0</v>
      </c>
      <c r="AV422" s="49">
        <f ca="1"/>
        <v>0</v>
      </c>
      <c r="AW422" s="49">
        <f ca="1"/>
        <v>0</v>
      </c>
      <c r="AX422" s="49">
        <f ca="1"/>
        <v>0</v>
      </c>
      <c r="AY422" s="49">
        <f ca="1"/>
        <v>0</v>
      </c>
      <c r="AZ422" s="49">
        <f ca="1"/>
        <v>0</v>
      </c>
      <c r="BA422" s="49">
        <f ca="1"/>
        <v>0</v>
      </c>
      <c r="BB422" s="49">
        <f ca="1"/>
        <v>0</v>
      </c>
      <c r="BC422" s="49">
        <f ca="1"/>
        <v>0</v>
      </c>
      <c r="BD422" s="49">
        <f ca="1"/>
        <v>0</v>
      </c>
      <c r="BE422" s="49">
        <f ca="1"/>
        <v>0</v>
      </c>
      <c r="BF422" s="49">
        <f ca="1"/>
        <v>0</v>
      </c>
      <c r="BG422" s="49">
        <f ca="1"/>
        <v>0</v>
      </c>
      <c r="BH422" s="49">
        <f ca="1"/>
        <v>0</v>
      </c>
      <c r="BI422" s="49">
        <f ca="1"/>
        <v>0</v>
      </c>
      <c r="BJ422" s="49">
        <f ca="1"/>
        <v>0</v>
      </c>
      <c r="BK422" s="49">
        <f ca="1"/>
        <v>0</v>
      </c>
      <c r="BL422" s="49">
        <f ca="1"/>
        <v>0</v>
      </c>
      <c r="BM422" s="49">
        <f ca="1"/>
        <v>0</v>
      </c>
      <c r="BN422" s="49">
        <f ca="1"/>
        <v>0</v>
      </c>
      <c r="BO422" s="49">
        <f ca="1"/>
        <v>0</v>
      </c>
      <c r="BP422" s="49">
        <f ca="1"/>
        <v>0</v>
      </c>
      <c r="BQ422" s="49">
        <f ca="1"/>
        <v>0</v>
      </c>
      <c r="BR422" s="49">
        <f ca="1"/>
        <v>0</v>
      </c>
      <c r="BS422" s="49">
        <f ca="1"/>
        <v>0</v>
      </c>
    </row>
    <row r="423" spans="1:71" outlineLevel="1" x14ac:dyDescent="0.2">
      <c r="D423" s="11" t="str">
        <f>HM_ZA_Nkossa!D412</f>
        <v>Total revenus bruts</v>
      </c>
      <c r="I423" s="30">
        <f t="shared" ca="1" si="121"/>
        <v>584.81941006574402</v>
      </c>
      <c r="J423" s="26" t="s">
        <v>148</v>
      </c>
      <c r="L423" s="49">
        <f ca="1">SUM(L421:L422)</f>
        <v>83.933369292999998</v>
      </c>
      <c r="M423" s="49">
        <f t="shared" ref="M423:BS423" ca="1" si="122">SUM(M421:M422)</f>
        <v>84.237232210999991</v>
      </c>
      <c r="N423" s="49">
        <f t="shared" ca="1" si="122"/>
        <v>48.479070684000007</v>
      </c>
      <c r="O423" s="49">
        <f t="shared" ca="1" si="122"/>
        <v>33.069589979</v>
      </c>
      <c r="P423" s="49">
        <f t="shared" ca="1" si="122"/>
        <v>39.805745783999996</v>
      </c>
      <c r="Q423" s="49">
        <f t="shared" ca="1" si="122"/>
        <v>47.558781632999995</v>
      </c>
      <c r="R423" s="49">
        <f t="shared" ca="1" si="122"/>
        <v>16.420027699999999</v>
      </c>
      <c r="S423" s="49">
        <f t="shared" ca="1" si="122"/>
        <v>30.939643877469827</v>
      </c>
      <c r="T423" s="49">
        <f t="shared" ca="1" si="122"/>
        <v>42.673548997278196</v>
      </c>
      <c r="U423" s="49">
        <f t="shared" ca="1" si="122"/>
        <v>42.598874905548946</v>
      </c>
      <c r="V423" s="49">
        <f t="shared" ca="1" si="122"/>
        <v>40.409292735403724</v>
      </c>
      <c r="W423" s="49">
        <f t="shared" ca="1" si="122"/>
        <v>38.332255088803969</v>
      </c>
      <c r="X423" s="49">
        <f t="shared" ca="1" si="122"/>
        <v>36.361977177239446</v>
      </c>
      <c r="Y423" s="49">
        <f t="shared" ca="1" si="122"/>
        <v>0</v>
      </c>
      <c r="Z423" s="49">
        <f t="shared" ca="1" si="122"/>
        <v>0</v>
      </c>
      <c r="AA423" s="49">
        <f t="shared" ca="1" si="122"/>
        <v>0</v>
      </c>
      <c r="AB423" s="49">
        <f t="shared" ca="1" si="122"/>
        <v>0</v>
      </c>
      <c r="AC423" s="49">
        <f t="shared" ca="1" si="122"/>
        <v>0</v>
      </c>
      <c r="AD423" s="49">
        <f t="shared" ca="1" si="122"/>
        <v>0</v>
      </c>
      <c r="AE423" s="49">
        <f t="shared" ca="1" si="122"/>
        <v>0</v>
      </c>
      <c r="AF423" s="49">
        <f t="shared" ca="1" si="122"/>
        <v>0</v>
      </c>
      <c r="AG423" s="49">
        <f t="shared" ca="1" si="122"/>
        <v>0</v>
      </c>
      <c r="AH423" s="49">
        <f t="shared" ca="1" si="122"/>
        <v>0</v>
      </c>
      <c r="AI423" s="49">
        <f t="shared" ca="1" si="122"/>
        <v>0</v>
      </c>
      <c r="AJ423" s="49">
        <f t="shared" ca="1" si="122"/>
        <v>0</v>
      </c>
      <c r="AK423" s="49">
        <f t="shared" ca="1" si="122"/>
        <v>0</v>
      </c>
      <c r="AL423" s="49">
        <f t="shared" ca="1" si="122"/>
        <v>0</v>
      </c>
      <c r="AM423" s="49">
        <f t="shared" ca="1" si="122"/>
        <v>0</v>
      </c>
      <c r="AN423" s="49">
        <f t="shared" ca="1" si="122"/>
        <v>0</v>
      </c>
      <c r="AO423" s="49">
        <f t="shared" ca="1" si="122"/>
        <v>0</v>
      </c>
      <c r="AP423" s="49">
        <f t="shared" ca="1" si="122"/>
        <v>0</v>
      </c>
      <c r="AQ423" s="49">
        <f t="shared" ca="1" si="122"/>
        <v>0</v>
      </c>
      <c r="AR423" s="49">
        <f t="shared" ca="1" si="122"/>
        <v>0</v>
      </c>
      <c r="AS423" s="49">
        <f t="shared" ca="1" si="122"/>
        <v>0</v>
      </c>
      <c r="AT423" s="49">
        <f t="shared" ca="1" si="122"/>
        <v>0</v>
      </c>
      <c r="AU423" s="49">
        <f t="shared" ca="1" si="122"/>
        <v>0</v>
      </c>
      <c r="AV423" s="49">
        <f t="shared" ca="1" si="122"/>
        <v>0</v>
      </c>
      <c r="AW423" s="49">
        <f t="shared" ca="1" si="122"/>
        <v>0</v>
      </c>
      <c r="AX423" s="49">
        <f t="shared" ca="1" si="122"/>
        <v>0</v>
      </c>
      <c r="AY423" s="49">
        <f t="shared" ca="1" si="122"/>
        <v>0</v>
      </c>
      <c r="AZ423" s="49">
        <f t="shared" ca="1" si="122"/>
        <v>0</v>
      </c>
      <c r="BA423" s="49">
        <f t="shared" ca="1" si="122"/>
        <v>0</v>
      </c>
      <c r="BB423" s="49">
        <f t="shared" ca="1" si="122"/>
        <v>0</v>
      </c>
      <c r="BC423" s="49">
        <f t="shared" ca="1" si="122"/>
        <v>0</v>
      </c>
      <c r="BD423" s="49">
        <f t="shared" ca="1" si="122"/>
        <v>0</v>
      </c>
      <c r="BE423" s="49">
        <f t="shared" ca="1" si="122"/>
        <v>0</v>
      </c>
      <c r="BF423" s="49">
        <f t="shared" ca="1" si="122"/>
        <v>0</v>
      </c>
      <c r="BG423" s="49">
        <f t="shared" ca="1" si="122"/>
        <v>0</v>
      </c>
      <c r="BH423" s="49">
        <f t="shared" ca="1" si="122"/>
        <v>0</v>
      </c>
      <c r="BI423" s="49">
        <f t="shared" ca="1" si="122"/>
        <v>0</v>
      </c>
      <c r="BJ423" s="49">
        <f t="shared" ca="1" si="122"/>
        <v>0</v>
      </c>
      <c r="BK423" s="49">
        <f t="shared" ca="1" si="122"/>
        <v>0</v>
      </c>
      <c r="BL423" s="49">
        <f t="shared" ca="1" si="122"/>
        <v>0</v>
      </c>
      <c r="BM423" s="49">
        <f t="shared" ca="1" si="122"/>
        <v>0</v>
      </c>
      <c r="BN423" s="49">
        <f t="shared" ca="1" si="122"/>
        <v>0</v>
      </c>
      <c r="BO423" s="49">
        <f t="shared" ca="1" si="122"/>
        <v>0</v>
      </c>
      <c r="BP423" s="49">
        <f t="shared" ca="1" si="122"/>
        <v>0</v>
      </c>
      <c r="BQ423" s="49">
        <f t="shared" ca="1" si="122"/>
        <v>0</v>
      </c>
      <c r="BR423" s="49">
        <f t="shared" ca="1" si="122"/>
        <v>0</v>
      </c>
      <c r="BS423" s="49">
        <f t="shared" ca="1" si="122"/>
        <v>0</v>
      </c>
    </row>
    <row r="424" spans="1:71" outlineLevel="1" x14ac:dyDescent="0.2">
      <c r="J424" s="26"/>
      <c r="L424" s="55"/>
      <c r="M424" s="55"/>
      <c r="N424" s="55"/>
      <c r="O424" s="55"/>
      <c r="P424" s="55"/>
      <c r="Q424" s="55"/>
      <c r="R424" s="55"/>
      <c r="S424" s="55"/>
      <c r="T424" s="55"/>
      <c r="U424" s="55"/>
      <c r="V424" s="55"/>
      <c r="W424" s="55"/>
      <c r="X424" s="55"/>
      <c r="Y424" s="55"/>
      <c r="Z424" s="55"/>
      <c r="AA424" s="55"/>
      <c r="AB424" s="55"/>
      <c r="AC424" s="55"/>
      <c r="AD424" s="55"/>
      <c r="AE424" s="55"/>
      <c r="AF424" s="55"/>
      <c r="AG424" s="55"/>
      <c r="AH424" s="55"/>
      <c r="AI424" s="55"/>
      <c r="AJ424" s="55"/>
      <c r="AK424" s="55"/>
      <c r="AL424" s="55"/>
      <c r="AM424" s="55"/>
      <c r="AN424" s="55"/>
      <c r="AO424" s="55"/>
      <c r="AP424" s="55"/>
      <c r="AQ424" s="55"/>
      <c r="AR424" s="55"/>
      <c r="AS424" s="55"/>
      <c r="AT424" s="55"/>
      <c r="AU424" s="55"/>
      <c r="AV424" s="55"/>
      <c r="AW424" s="55"/>
      <c r="AX424" s="55"/>
      <c r="AY424" s="55"/>
      <c r="AZ424" s="55"/>
      <c r="BA424" s="55"/>
      <c r="BB424" s="55"/>
      <c r="BC424" s="55"/>
      <c r="BD424" s="55"/>
      <c r="BE424" s="55"/>
      <c r="BF424" s="55"/>
      <c r="BG424" s="55"/>
      <c r="BH424" s="55"/>
      <c r="BI424" s="55"/>
      <c r="BJ424" s="55"/>
      <c r="BK424" s="55"/>
      <c r="BL424" s="55"/>
      <c r="BM424" s="55"/>
      <c r="BN424" s="55"/>
      <c r="BO424" s="55"/>
      <c r="BP424" s="55"/>
      <c r="BQ424" s="55"/>
      <c r="BR424" s="55"/>
      <c r="BS424" s="55"/>
    </row>
    <row r="425" spans="1:71" outlineLevel="1" x14ac:dyDescent="0.2">
      <c r="C425" t="str">
        <f>HM_ZA_Nkossa!C414</f>
        <v>Coûts d'exploitation</v>
      </c>
      <c r="J425" s="26"/>
      <c r="L425" s="55"/>
      <c r="M425" s="55"/>
      <c r="N425" s="55"/>
      <c r="O425" s="55"/>
      <c r="P425" s="55"/>
      <c r="Q425" s="55"/>
      <c r="R425" s="55"/>
      <c r="S425" s="55"/>
      <c r="T425" s="55"/>
      <c r="U425" s="55"/>
      <c r="V425" s="55"/>
      <c r="W425" s="55"/>
      <c r="X425" s="55"/>
      <c r="Y425" s="55"/>
      <c r="Z425" s="55"/>
      <c r="AA425" s="55"/>
      <c r="AB425" s="55"/>
      <c r="AC425" s="55"/>
      <c r="AD425" s="55"/>
      <c r="AE425" s="55"/>
      <c r="AF425" s="55"/>
      <c r="AG425" s="55"/>
      <c r="AH425" s="55"/>
      <c r="AI425" s="55"/>
      <c r="AJ425" s="55"/>
      <c r="AK425" s="55"/>
      <c r="AL425" s="55"/>
      <c r="AM425" s="55"/>
      <c r="AN425" s="55"/>
      <c r="AO425" s="55"/>
      <c r="AP425" s="55"/>
      <c r="AQ425" s="55"/>
      <c r="AR425" s="55"/>
      <c r="AS425" s="55"/>
      <c r="AT425" s="55"/>
      <c r="AU425" s="55"/>
      <c r="AV425" s="55"/>
      <c r="AW425" s="55"/>
      <c r="AX425" s="55"/>
      <c r="AY425" s="55"/>
      <c r="AZ425" s="55"/>
      <c r="BA425" s="55"/>
      <c r="BB425" s="55"/>
      <c r="BC425" s="55"/>
      <c r="BD425" s="55"/>
      <c r="BE425" s="55"/>
      <c r="BF425" s="55"/>
      <c r="BG425" s="55"/>
      <c r="BH425" s="55"/>
      <c r="BI425" s="55"/>
      <c r="BJ425" s="55"/>
      <c r="BK425" s="55"/>
      <c r="BL425" s="55"/>
      <c r="BM425" s="55"/>
      <c r="BN425" s="55"/>
      <c r="BO425" s="55"/>
      <c r="BP425" s="55"/>
      <c r="BQ425" s="55"/>
      <c r="BR425" s="55"/>
      <c r="BS425" s="55"/>
    </row>
    <row r="426" spans="1:71" outlineLevel="1" x14ac:dyDescent="0.2">
      <c r="D426" t="str">
        <f>HM_ZA_Nkossa!D415</f>
        <v>Opex fixes</v>
      </c>
      <c r="I426" s="30">
        <f t="shared" ref="I426:I428" ca="1" si="123">SUM($L426:$BS426)</f>
        <v>0</v>
      </c>
      <c r="J426" s="26" t="s">
        <v>148</v>
      </c>
      <c r="L426" s="49" cm="1">
        <f t="array" aca="1" ref="L426:BS426" ca="1">HM_ZB_Nsoko!CA_fixedopex_nom</f>
        <v>0</v>
      </c>
      <c r="M426" s="49">
        <f ca="1"/>
        <v>0</v>
      </c>
      <c r="N426" s="49">
        <f ca="1"/>
        <v>0</v>
      </c>
      <c r="O426" s="49">
        <f ca="1"/>
        <v>0</v>
      </c>
      <c r="P426" s="49">
        <f ca="1"/>
        <v>0</v>
      </c>
      <c r="Q426" s="49">
        <f ca="1"/>
        <v>0</v>
      </c>
      <c r="R426" s="49">
        <f ca="1"/>
        <v>0</v>
      </c>
      <c r="S426" s="49">
        <f ca="1"/>
        <v>0</v>
      </c>
      <c r="T426" s="49">
        <f ca="1"/>
        <v>0</v>
      </c>
      <c r="U426" s="49">
        <f ca="1"/>
        <v>0</v>
      </c>
      <c r="V426" s="49">
        <f ca="1"/>
        <v>0</v>
      </c>
      <c r="W426" s="49">
        <f ca="1"/>
        <v>0</v>
      </c>
      <c r="X426" s="49">
        <f ca="1"/>
        <v>0</v>
      </c>
      <c r="Y426" s="49">
        <f ca="1"/>
        <v>0</v>
      </c>
      <c r="Z426" s="49">
        <f ca="1"/>
        <v>0</v>
      </c>
      <c r="AA426" s="49">
        <f ca="1"/>
        <v>0</v>
      </c>
      <c r="AB426" s="49">
        <f ca="1"/>
        <v>0</v>
      </c>
      <c r="AC426" s="49">
        <f ca="1"/>
        <v>0</v>
      </c>
      <c r="AD426" s="49">
        <f ca="1"/>
        <v>0</v>
      </c>
      <c r="AE426" s="49">
        <f ca="1"/>
        <v>0</v>
      </c>
      <c r="AF426" s="49">
        <f ca="1"/>
        <v>0</v>
      </c>
      <c r="AG426" s="49">
        <f ca="1"/>
        <v>0</v>
      </c>
      <c r="AH426" s="49">
        <f ca="1"/>
        <v>0</v>
      </c>
      <c r="AI426" s="49">
        <f ca="1"/>
        <v>0</v>
      </c>
      <c r="AJ426" s="49">
        <f ca="1"/>
        <v>0</v>
      </c>
      <c r="AK426" s="49">
        <f ca="1"/>
        <v>0</v>
      </c>
      <c r="AL426" s="49">
        <f ca="1"/>
        <v>0</v>
      </c>
      <c r="AM426" s="49">
        <f ca="1"/>
        <v>0</v>
      </c>
      <c r="AN426" s="49">
        <f ca="1"/>
        <v>0</v>
      </c>
      <c r="AO426" s="49">
        <f ca="1"/>
        <v>0</v>
      </c>
      <c r="AP426" s="49">
        <f ca="1"/>
        <v>0</v>
      </c>
      <c r="AQ426" s="49">
        <f ca="1"/>
        <v>0</v>
      </c>
      <c r="AR426" s="49">
        <f ca="1"/>
        <v>0</v>
      </c>
      <c r="AS426" s="49">
        <f ca="1"/>
        <v>0</v>
      </c>
      <c r="AT426" s="49">
        <f ca="1"/>
        <v>0</v>
      </c>
      <c r="AU426" s="49">
        <f ca="1"/>
        <v>0</v>
      </c>
      <c r="AV426" s="49">
        <f ca="1"/>
        <v>0</v>
      </c>
      <c r="AW426" s="49">
        <f ca="1"/>
        <v>0</v>
      </c>
      <c r="AX426" s="49">
        <f ca="1"/>
        <v>0</v>
      </c>
      <c r="AY426" s="49">
        <f ca="1"/>
        <v>0</v>
      </c>
      <c r="AZ426" s="49">
        <f ca="1"/>
        <v>0</v>
      </c>
      <c r="BA426" s="49">
        <f ca="1"/>
        <v>0</v>
      </c>
      <c r="BB426" s="49">
        <f ca="1"/>
        <v>0</v>
      </c>
      <c r="BC426" s="49">
        <f ca="1"/>
        <v>0</v>
      </c>
      <c r="BD426" s="49">
        <f ca="1"/>
        <v>0</v>
      </c>
      <c r="BE426" s="49">
        <f ca="1"/>
        <v>0</v>
      </c>
      <c r="BF426" s="49">
        <f ca="1"/>
        <v>0</v>
      </c>
      <c r="BG426" s="49">
        <f ca="1"/>
        <v>0</v>
      </c>
      <c r="BH426" s="49">
        <f ca="1"/>
        <v>0</v>
      </c>
      <c r="BI426" s="49">
        <f ca="1"/>
        <v>0</v>
      </c>
      <c r="BJ426" s="49">
        <f ca="1"/>
        <v>0</v>
      </c>
      <c r="BK426" s="49">
        <f ca="1"/>
        <v>0</v>
      </c>
      <c r="BL426" s="49">
        <f ca="1"/>
        <v>0</v>
      </c>
      <c r="BM426" s="49">
        <f ca="1"/>
        <v>0</v>
      </c>
      <c r="BN426" s="49">
        <f ca="1"/>
        <v>0</v>
      </c>
      <c r="BO426" s="49">
        <f ca="1"/>
        <v>0</v>
      </c>
      <c r="BP426" s="49">
        <f ca="1"/>
        <v>0</v>
      </c>
      <c r="BQ426" s="49">
        <f ca="1"/>
        <v>0</v>
      </c>
      <c r="BR426" s="49">
        <f ca="1"/>
        <v>0</v>
      </c>
      <c r="BS426" s="49">
        <f ca="1"/>
        <v>0</v>
      </c>
    </row>
    <row r="427" spans="1:71" outlineLevel="1" x14ac:dyDescent="0.2">
      <c r="D427" t="str">
        <f>HM_ZA_Nkossa!D416</f>
        <v>Opex variables</v>
      </c>
      <c r="I427" s="30">
        <f t="shared" ca="1" si="123"/>
        <v>111.14358231999998</v>
      </c>
      <c r="J427" s="26" t="s">
        <v>148</v>
      </c>
      <c r="L427" s="49" cm="1">
        <f t="array" aca="1" ref="L427:BS427" ca="1">HM_ZB_Nsoko!CA_varopex_nom</f>
        <v>9.577</v>
      </c>
      <c r="M427" s="49">
        <f ca="1"/>
        <v>7.9459999999999997</v>
      </c>
      <c r="N427" s="49">
        <f ca="1"/>
        <v>7.3320000000000007</v>
      </c>
      <c r="O427" s="49">
        <f ca="1"/>
        <v>6.6769999999999996</v>
      </c>
      <c r="P427" s="49">
        <f ca="1"/>
        <v>7.2530000000000001</v>
      </c>
      <c r="Q427" s="49">
        <f ca="1"/>
        <v>7.3</v>
      </c>
      <c r="R427" s="49">
        <f ca="1"/>
        <v>4.5999999999999996</v>
      </c>
      <c r="S427" s="49">
        <f ca="1"/>
        <v>10</v>
      </c>
      <c r="T427" s="49">
        <f ca="1"/>
        <v>9.9</v>
      </c>
      <c r="U427" s="49">
        <f ca="1"/>
        <v>9.9960000000000004</v>
      </c>
      <c r="V427" s="49">
        <f ca="1"/>
        <v>10.09188</v>
      </c>
      <c r="W427" s="49">
        <f ca="1"/>
        <v>10.1875968</v>
      </c>
      <c r="X427" s="49">
        <f ca="1"/>
        <v>10.283105519999999</v>
      </c>
      <c r="Y427" s="49">
        <f ca="1"/>
        <v>0</v>
      </c>
      <c r="Z427" s="49">
        <f ca="1"/>
        <v>0</v>
      </c>
      <c r="AA427" s="49">
        <f ca="1"/>
        <v>0</v>
      </c>
      <c r="AB427" s="49">
        <f ca="1"/>
        <v>0</v>
      </c>
      <c r="AC427" s="49">
        <f ca="1"/>
        <v>0</v>
      </c>
      <c r="AD427" s="49">
        <f ca="1"/>
        <v>0</v>
      </c>
      <c r="AE427" s="49">
        <f ca="1"/>
        <v>0</v>
      </c>
      <c r="AF427" s="49">
        <f ca="1"/>
        <v>0</v>
      </c>
      <c r="AG427" s="49">
        <f ca="1"/>
        <v>0</v>
      </c>
      <c r="AH427" s="49">
        <f ca="1"/>
        <v>0</v>
      </c>
      <c r="AI427" s="49">
        <f ca="1"/>
        <v>0</v>
      </c>
      <c r="AJ427" s="49">
        <f ca="1"/>
        <v>0</v>
      </c>
      <c r="AK427" s="49">
        <f ca="1"/>
        <v>0</v>
      </c>
      <c r="AL427" s="49">
        <f ca="1"/>
        <v>0</v>
      </c>
      <c r="AM427" s="49">
        <f ca="1"/>
        <v>0</v>
      </c>
      <c r="AN427" s="49">
        <f ca="1"/>
        <v>0</v>
      </c>
      <c r="AO427" s="49">
        <f ca="1"/>
        <v>0</v>
      </c>
      <c r="AP427" s="49">
        <f ca="1"/>
        <v>0</v>
      </c>
      <c r="AQ427" s="49">
        <f ca="1"/>
        <v>0</v>
      </c>
      <c r="AR427" s="49">
        <f ca="1"/>
        <v>0</v>
      </c>
      <c r="AS427" s="49">
        <f ca="1"/>
        <v>0</v>
      </c>
      <c r="AT427" s="49">
        <f ca="1"/>
        <v>0</v>
      </c>
      <c r="AU427" s="49">
        <f ca="1"/>
        <v>0</v>
      </c>
      <c r="AV427" s="49">
        <f ca="1"/>
        <v>0</v>
      </c>
      <c r="AW427" s="49">
        <f ca="1"/>
        <v>0</v>
      </c>
      <c r="AX427" s="49">
        <f ca="1"/>
        <v>0</v>
      </c>
      <c r="AY427" s="49">
        <f ca="1"/>
        <v>0</v>
      </c>
      <c r="AZ427" s="49">
        <f ca="1"/>
        <v>0</v>
      </c>
      <c r="BA427" s="49">
        <f ca="1"/>
        <v>0</v>
      </c>
      <c r="BB427" s="49">
        <f ca="1"/>
        <v>0</v>
      </c>
      <c r="BC427" s="49">
        <f ca="1"/>
        <v>0</v>
      </c>
      <c r="BD427" s="49">
        <f ca="1"/>
        <v>0</v>
      </c>
      <c r="BE427" s="49">
        <f ca="1"/>
        <v>0</v>
      </c>
      <c r="BF427" s="49">
        <f ca="1"/>
        <v>0</v>
      </c>
      <c r="BG427" s="49">
        <f ca="1"/>
        <v>0</v>
      </c>
      <c r="BH427" s="49">
        <f ca="1"/>
        <v>0</v>
      </c>
      <c r="BI427" s="49">
        <f ca="1"/>
        <v>0</v>
      </c>
      <c r="BJ427" s="49">
        <f ca="1"/>
        <v>0</v>
      </c>
      <c r="BK427" s="49">
        <f ca="1"/>
        <v>0</v>
      </c>
      <c r="BL427" s="49">
        <f ca="1"/>
        <v>0</v>
      </c>
      <c r="BM427" s="49">
        <f ca="1"/>
        <v>0</v>
      </c>
      <c r="BN427" s="49">
        <f ca="1"/>
        <v>0</v>
      </c>
      <c r="BO427" s="49">
        <f ca="1"/>
        <v>0</v>
      </c>
      <c r="BP427" s="49">
        <f ca="1"/>
        <v>0</v>
      </c>
      <c r="BQ427" s="49">
        <f ca="1"/>
        <v>0</v>
      </c>
      <c r="BR427" s="49">
        <f ca="1"/>
        <v>0</v>
      </c>
      <c r="BS427" s="49">
        <f ca="1"/>
        <v>0</v>
      </c>
    </row>
    <row r="428" spans="1:71" outlineLevel="1" x14ac:dyDescent="0.2">
      <c r="D428" s="11" t="str">
        <f>HM_ZA_Nkossa!D417</f>
        <v>Total Opex</v>
      </c>
      <c r="I428" s="30">
        <f t="shared" ca="1" si="123"/>
        <v>111.14358231999998</v>
      </c>
      <c r="J428" s="26" t="s">
        <v>148</v>
      </c>
      <c r="L428" s="49">
        <f ca="1">SUM(L426:L427)</f>
        <v>9.577</v>
      </c>
      <c r="M428" s="49">
        <f t="shared" ref="M428:BS428" ca="1" si="124">SUM(M426:M427)</f>
        <v>7.9459999999999997</v>
      </c>
      <c r="N428" s="49">
        <f t="shared" ca="1" si="124"/>
        <v>7.3320000000000007</v>
      </c>
      <c r="O428" s="49">
        <f t="shared" ca="1" si="124"/>
        <v>6.6769999999999996</v>
      </c>
      <c r="P428" s="49">
        <f t="shared" ca="1" si="124"/>
        <v>7.2530000000000001</v>
      </c>
      <c r="Q428" s="49">
        <f t="shared" ca="1" si="124"/>
        <v>7.3</v>
      </c>
      <c r="R428" s="49">
        <f t="shared" ca="1" si="124"/>
        <v>4.5999999999999996</v>
      </c>
      <c r="S428" s="49">
        <f t="shared" ca="1" si="124"/>
        <v>10</v>
      </c>
      <c r="T428" s="49">
        <f t="shared" ca="1" si="124"/>
        <v>9.9</v>
      </c>
      <c r="U428" s="49">
        <f t="shared" ca="1" si="124"/>
        <v>9.9960000000000004</v>
      </c>
      <c r="V428" s="49">
        <f t="shared" ca="1" si="124"/>
        <v>10.09188</v>
      </c>
      <c r="W428" s="49">
        <f t="shared" ca="1" si="124"/>
        <v>10.1875968</v>
      </c>
      <c r="X428" s="49">
        <f t="shared" ca="1" si="124"/>
        <v>10.283105519999999</v>
      </c>
      <c r="Y428" s="49">
        <f t="shared" ca="1" si="124"/>
        <v>0</v>
      </c>
      <c r="Z428" s="49">
        <f t="shared" ca="1" si="124"/>
        <v>0</v>
      </c>
      <c r="AA428" s="49">
        <f t="shared" ca="1" si="124"/>
        <v>0</v>
      </c>
      <c r="AB428" s="49">
        <f t="shared" ca="1" si="124"/>
        <v>0</v>
      </c>
      <c r="AC428" s="49">
        <f t="shared" ca="1" si="124"/>
        <v>0</v>
      </c>
      <c r="AD428" s="49">
        <f t="shared" ca="1" si="124"/>
        <v>0</v>
      </c>
      <c r="AE428" s="49">
        <f t="shared" ca="1" si="124"/>
        <v>0</v>
      </c>
      <c r="AF428" s="49">
        <f t="shared" ca="1" si="124"/>
        <v>0</v>
      </c>
      <c r="AG428" s="49">
        <f t="shared" ca="1" si="124"/>
        <v>0</v>
      </c>
      <c r="AH428" s="49">
        <f t="shared" ca="1" si="124"/>
        <v>0</v>
      </c>
      <c r="AI428" s="49">
        <f t="shared" ca="1" si="124"/>
        <v>0</v>
      </c>
      <c r="AJ428" s="49">
        <f t="shared" ca="1" si="124"/>
        <v>0</v>
      </c>
      <c r="AK428" s="49">
        <f t="shared" ca="1" si="124"/>
        <v>0</v>
      </c>
      <c r="AL428" s="49">
        <f t="shared" ca="1" si="124"/>
        <v>0</v>
      </c>
      <c r="AM428" s="49">
        <f t="shared" ca="1" si="124"/>
        <v>0</v>
      </c>
      <c r="AN428" s="49">
        <f t="shared" ca="1" si="124"/>
        <v>0</v>
      </c>
      <c r="AO428" s="49">
        <f t="shared" ca="1" si="124"/>
        <v>0</v>
      </c>
      <c r="AP428" s="49">
        <f t="shared" ca="1" si="124"/>
        <v>0</v>
      </c>
      <c r="AQ428" s="49">
        <f t="shared" ca="1" si="124"/>
        <v>0</v>
      </c>
      <c r="AR428" s="49">
        <f t="shared" ca="1" si="124"/>
        <v>0</v>
      </c>
      <c r="AS428" s="49">
        <f t="shared" ca="1" si="124"/>
        <v>0</v>
      </c>
      <c r="AT428" s="49">
        <f t="shared" ca="1" si="124"/>
        <v>0</v>
      </c>
      <c r="AU428" s="49">
        <f t="shared" ca="1" si="124"/>
        <v>0</v>
      </c>
      <c r="AV428" s="49">
        <f t="shared" ca="1" si="124"/>
        <v>0</v>
      </c>
      <c r="AW428" s="49">
        <f t="shared" ca="1" si="124"/>
        <v>0</v>
      </c>
      <c r="AX428" s="49">
        <f t="shared" ca="1" si="124"/>
        <v>0</v>
      </c>
      <c r="AY428" s="49">
        <f t="shared" ca="1" si="124"/>
        <v>0</v>
      </c>
      <c r="AZ428" s="49">
        <f t="shared" ca="1" si="124"/>
        <v>0</v>
      </c>
      <c r="BA428" s="49">
        <f t="shared" ca="1" si="124"/>
        <v>0</v>
      </c>
      <c r="BB428" s="49">
        <f t="shared" ca="1" si="124"/>
        <v>0</v>
      </c>
      <c r="BC428" s="49">
        <f t="shared" ca="1" si="124"/>
        <v>0</v>
      </c>
      <c r="BD428" s="49">
        <f t="shared" ca="1" si="124"/>
        <v>0</v>
      </c>
      <c r="BE428" s="49">
        <f t="shared" ca="1" si="124"/>
        <v>0</v>
      </c>
      <c r="BF428" s="49">
        <f t="shared" ca="1" si="124"/>
        <v>0</v>
      </c>
      <c r="BG428" s="49">
        <f t="shared" ca="1" si="124"/>
        <v>0</v>
      </c>
      <c r="BH428" s="49">
        <f t="shared" ca="1" si="124"/>
        <v>0</v>
      </c>
      <c r="BI428" s="49">
        <f t="shared" ca="1" si="124"/>
        <v>0</v>
      </c>
      <c r="BJ428" s="49">
        <f t="shared" ca="1" si="124"/>
        <v>0</v>
      </c>
      <c r="BK428" s="49">
        <f t="shared" ca="1" si="124"/>
        <v>0</v>
      </c>
      <c r="BL428" s="49">
        <f t="shared" ca="1" si="124"/>
        <v>0</v>
      </c>
      <c r="BM428" s="49">
        <f t="shared" ca="1" si="124"/>
        <v>0</v>
      </c>
      <c r="BN428" s="49">
        <f t="shared" ca="1" si="124"/>
        <v>0</v>
      </c>
      <c r="BO428" s="49">
        <f t="shared" ca="1" si="124"/>
        <v>0</v>
      </c>
      <c r="BP428" s="49">
        <f t="shared" ca="1" si="124"/>
        <v>0</v>
      </c>
      <c r="BQ428" s="49">
        <f t="shared" ca="1" si="124"/>
        <v>0</v>
      </c>
      <c r="BR428" s="49">
        <f t="shared" ca="1" si="124"/>
        <v>0</v>
      </c>
      <c r="BS428" s="49">
        <f t="shared" ca="1" si="124"/>
        <v>0</v>
      </c>
    </row>
    <row r="429" spans="1:71" outlineLevel="1" x14ac:dyDescent="0.2">
      <c r="J429" s="26"/>
      <c r="L429" s="55"/>
      <c r="M429" s="55"/>
      <c r="N429" s="55"/>
      <c r="O429" s="55"/>
      <c r="P429" s="55"/>
      <c r="Q429" s="55"/>
      <c r="R429" s="55"/>
      <c r="S429" s="55"/>
      <c r="T429" s="55"/>
      <c r="U429" s="55"/>
      <c r="V429" s="55"/>
      <c r="W429" s="55"/>
      <c r="X429" s="55"/>
      <c r="Y429" s="55"/>
      <c r="Z429" s="55"/>
      <c r="AA429" s="55"/>
      <c r="AB429" s="55"/>
      <c r="AC429" s="55"/>
      <c r="AD429" s="55"/>
      <c r="AE429" s="55"/>
      <c r="AF429" s="55"/>
      <c r="AG429" s="55"/>
      <c r="AH429" s="55"/>
      <c r="AI429" s="55"/>
      <c r="AJ429" s="55"/>
      <c r="AK429" s="55"/>
      <c r="AL429" s="55"/>
      <c r="AM429" s="55"/>
      <c r="AN429" s="55"/>
      <c r="AO429" s="55"/>
      <c r="AP429" s="55"/>
      <c r="AQ429" s="55"/>
      <c r="AR429" s="55"/>
      <c r="AS429" s="55"/>
      <c r="AT429" s="55"/>
      <c r="AU429" s="55"/>
      <c r="AV429" s="55"/>
      <c r="AW429" s="55"/>
      <c r="AX429" s="55"/>
      <c r="AY429" s="55"/>
      <c r="AZ429" s="55"/>
      <c r="BA429" s="55"/>
      <c r="BB429" s="55"/>
      <c r="BC429" s="55"/>
      <c r="BD429" s="55"/>
      <c r="BE429" s="55"/>
      <c r="BF429" s="55"/>
      <c r="BG429" s="55"/>
      <c r="BH429" s="55"/>
      <c r="BI429" s="55"/>
      <c r="BJ429" s="55"/>
      <c r="BK429" s="55"/>
      <c r="BL429" s="55"/>
      <c r="BM429" s="55"/>
      <c r="BN429" s="55"/>
      <c r="BO429" s="55"/>
      <c r="BP429" s="55"/>
      <c r="BQ429" s="55"/>
      <c r="BR429" s="55"/>
      <c r="BS429" s="55"/>
    </row>
    <row r="430" spans="1:71" outlineLevel="1" x14ac:dyDescent="0.2">
      <c r="C430" t="str">
        <f>HM_ZA_Nkossa!C419</f>
        <v>Dépenses d'investissement</v>
      </c>
      <c r="J430" s="26"/>
      <c r="L430" s="55"/>
      <c r="M430" s="55"/>
      <c r="N430" s="55"/>
      <c r="O430" s="55"/>
      <c r="P430" s="55"/>
      <c r="Q430" s="55"/>
      <c r="R430" s="55"/>
      <c r="S430" s="55"/>
      <c r="T430" s="55"/>
      <c r="U430" s="55"/>
      <c r="V430" s="55"/>
      <c r="W430" s="55"/>
      <c r="X430" s="55"/>
      <c r="Y430" s="55"/>
      <c r="Z430" s="55"/>
      <c r="AA430" s="55"/>
      <c r="AB430" s="55"/>
      <c r="AC430" s="55"/>
      <c r="AD430" s="55"/>
      <c r="AE430" s="55"/>
      <c r="AF430" s="55"/>
      <c r="AG430" s="55"/>
      <c r="AH430" s="55"/>
      <c r="AI430" s="55"/>
      <c r="AJ430" s="55"/>
      <c r="AK430" s="55"/>
      <c r="AL430" s="55"/>
      <c r="AM430" s="55"/>
      <c r="AN430" s="55"/>
      <c r="AO430" s="55"/>
      <c r="AP430" s="55"/>
      <c r="AQ430" s="55"/>
      <c r="AR430" s="55"/>
      <c r="AS430" s="55"/>
      <c r="AT430" s="55"/>
      <c r="AU430" s="55"/>
      <c r="AV430" s="55"/>
      <c r="AW430" s="55"/>
      <c r="AX430" s="55"/>
      <c r="AY430" s="55"/>
      <c r="AZ430" s="55"/>
      <c r="BA430" s="55"/>
      <c r="BB430" s="55"/>
      <c r="BC430" s="55"/>
      <c r="BD430" s="55"/>
      <c r="BE430" s="55"/>
      <c r="BF430" s="55"/>
      <c r="BG430" s="55"/>
      <c r="BH430" s="55"/>
      <c r="BI430" s="55"/>
      <c r="BJ430" s="55"/>
      <c r="BK430" s="55"/>
      <c r="BL430" s="55"/>
      <c r="BM430" s="55"/>
      <c r="BN430" s="55"/>
      <c r="BO430" s="55"/>
      <c r="BP430" s="55"/>
      <c r="BQ430" s="55"/>
      <c r="BR430" s="55"/>
      <c r="BS430" s="55"/>
    </row>
    <row r="431" spans="1:71" outlineLevel="1" x14ac:dyDescent="0.2">
      <c r="D431" t="str">
        <f>HM_ZA_Nkossa!D420</f>
        <v>Exploration et évaluation</v>
      </c>
      <c r="I431" s="30">
        <f t="shared" ref="I431:I436" ca="1" si="125">SUM($L431:$BS431)</f>
        <v>0</v>
      </c>
      <c r="J431" s="26" t="s">
        <v>148</v>
      </c>
      <c r="L431" s="49" cm="1">
        <f t="array" aca="1" ref="L431:BS431" ca="1">HM_ZB_Nsoko!CA_expex_nom</f>
        <v>0</v>
      </c>
      <c r="M431" s="49">
        <f ca="1"/>
        <v>0</v>
      </c>
      <c r="N431" s="49">
        <f ca="1"/>
        <v>0</v>
      </c>
      <c r="O431" s="49">
        <f ca="1"/>
        <v>0</v>
      </c>
      <c r="P431" s="49">
        <f ca="1"/>
        <v>0</v>
      </c>
      <c r="Q431" s="49">
        <f ca="1"/>
        <v>0</v>
      </c>
      <c r="R431" s="49">
        <f ca="1"/>
        <v>0</v>
      </c>
      <c r="S431" s="49">
        <f ca="1"/>
        <v>0</v>
      </c>
      <c r="T431" s="49">
        <f ca="1"/>
        <v>0</v>
      </c>
      <c r="U431" s="49">
        <f ca="1"/>
        <v>0</v>
      </c>
      <c r="V431" s="49">
        <f ca="1"/>
        <v>0</v>
      </c>
      <c r="W431" s="49">
        <f ca="1"/>
        <v>0</v>
      </c>
      <c r="X431" s="49">
        <f ca="1"/>
        <v>0</v>
      </c>
      <c r="Y431" s="49">
        <f ca="1"/>
        <v>0</v>
      </c>
      <c r="Z431" s="49">
        <f ca="1"/>
        <v>0</v>
      </c>
      <c r="AA431" s="49">
        <f ca="1"/>
        <v>0</v>
      </c>
      <c r="AB431" s="49">
        <f ca="1"/>
        <v>0</v>
      </c>
      <c r="AC431" s="49">
        <f ca="1"/>
        <v>0</v>
      </c>
      <c r="AD431" s="49">
        <f ca="1"/>
        <v>0</v>
      </c>
      <c r="AE431" s="49">
        <f ca="1"/>
        <v>0</v>
      </c>
      <c r="AF431" s="49">
        <f ca="1"/>
        <v>0</v>
      </c>
      <c r="AG431" s="49">
        <f ca="1"/>
        <v>0</v>
      </c>
      <c r="AH431" s="49">
        <f ca="1"/>
        <v>0</v>
      </c>
      <c r="AI431" s="49">
        <f ca="1"/>
        <v>0</v>
      </c>
      <c r="AJ431" s="49">
        <f ca="1"/>
        <v>0</v>
      </c>
      <c r="AK431" s="49">
        <f ca="1"/>
        <v>0</v>
      </c>
      <c r="AL431" s="49">
        <f ca="1"/>
        <v>0</v>
      </c>
      <c r="AM431" s="49">
        <f ca="1"/>
        <v>0</v>
      </c>
      <c r="AN431" s="49">
        <f ca="1"/>
        <v>0</v>
      </c>
      <c r="AO431" s="49">
        <f ca="1"/>
        <v>0</v>
      </c>
      <c r="AP431" s="49">
        <f ca="1"/>
        <v>0</v>
      </c>
      <c r="AQ431" s="49">
        <f ca="1"/>
        <v>0</v>
      </c>
      <c r="AR431" s="49">
        <f ca="1"/>
        <v>0</v>
      </c>
      <c r="AS431" s="49">
        <f ca="1"/>
        <v>0</v>
      </c>
      <c r="AT431" s="49">
        <f ca="1"/>
        <v>0</v>
      </c>
      <c r="AU431" s="49">
        <f ca="1"/>
        <v>0</v>
      </c>
      <c r="AV431" s="49">
        <f ca="1"/>
        <v>0</v>
      </c>
      <c r="AW431" s="49">
        <f ca="1"/>
        <v>0</v>
      </c>
      <c r="AX431" s="49">
        <f ca="1"/>
        <v>0</v>
      </c>
      <c r="AY431" s="49">
        <f ca="1"/>
        <v>0</v>
      </c>
      <c r="AZ431" s="49">
        <f ca="1"/>
        <v>0</v>
      </c>
      <c r="BA431" s="49">
        <f ca="1"/>
        <v>0</v>
      </c>
      <c r="BB431" s="49">
        <f ca="1"/>
        <v>0</v>
      </c>
      <c r="BC431" s="49">
        <f ca="1"/>
        <v>0</v>
      </c>
      <c r="BD431" s="49">
        <f ca="1"/>
        <v>0</v>
      </c>
      <c r="BE431" s="49">
        <f ca="1"/>
        <v>0</v>
      </c>
      <c r="BF431" s="49">
        <f ca="1"/>
        <v>0</v>
      </c>
      <c r="BG431" s="49">
        <f ca="1"/>
        <v>0</v>
      </c>
      <c r="BH431" s="49">
        <f ca="1"/>
        <v>0</v>
      </c>
      <c r="BI431" s="49">
        <f ca="1"/>
        <v>0</v>
      </c>
      <c r="BJ431" s="49">
        <f ca="1"/>
        <v>0</v>
      </c>
      <c r="BK431" s="49">
        <f ca="1"/>
        <v>0</v>
      </c>
      <c r="BL431" s="49">
        <f ca="1"/>
        <v>0</v>
      </c>
      <c r="BM431" s="49">
        <f ca="1"/>
        <v>0</v>
      </c>
      <c r="BN431" s="49">
        <f ca="1"/>
        <v>0</v>
      </c>
      <c r="BO431" s="49">
        <f ca="1"/>
        <v>0</v>
      </c>
      <c r="BP431" s="49">
        <f ca="1"/>
        <v>0</v>
      </c>
      <c r="BQ431" s="49">
        <f ca="1"/>
        <v>0</v>
      </c>
      <c r="BR431" s="49">
        <f ca="1"/>
        <v>0</v>
      </c>
      <c r="BS431" s="49">
        <f ca="1"/>
        <v>0</v>
      </c>
    </row>
    <row r="432" spans="1:71" outlineLevel="1" x14ac:dyDescent="0.2">
      <c r="D432" t="str">
        <f>HM_ZA_Nkossa!D421</f>
        <v>Coûts de développement</v>
      </c>
      <c r="I432" s="30">
        <f t="shared" ca="1" si="125"/>
        <v>40.866999999999997</v>
      </c>
      <c r="J432" s="26" t="s">
        <v>148</v>
      </c>
      <c r="L432" s="49" cm="1">
        <f t="array" aca="1" ref="L432:BS432" ca="1">HM_ZB_Nsoko!CA_devex_nom</f>
        <v>0.81200000000000006</v>
      </c>
      <c r="M432" s="49">
        <f ca="1"/>
        <v>38.951000000000001</v>
      </c>
      <c r="N432" s="49">
        <f ca="1"/>
        <v>0.69199999999999995</v>
      </c>
      <c r="O432" s="49">
        <f ca="1"/>
        <v>0.156</v>
      </c>
      <c r="P432" s="49">
        <f ca="1"/>
        <v>0.25600000000000001</v>
      </c>
      <c r="Q432" s="49">
        <f ca="1"/>
        <v>0</v>
      </c>
      <c r="R432" s="49">
        <f ca="1"/>
        <v>0</v>
      </c>
      <c r="S432" s="49">
        <f ca="1"/>
        <v>0</v>
      </c>
      <c r="T432" s="49">
        <f ca="1"/>
        <v>0</v>
      </c>
      <c r="U432" s="49">
        <f ca="1"/>
        <v>0</v>
      </c>
      <c r="V432" s="49">
        <f ca="1"/>
        <v>0</v>
      </c>
      <c r="W432" s="49">
        <f ca="1"/>
        <v>0</v>
      </c>
      <c r="X432" s="49">
        <f ca="1"/>
        <v>0</v>
      </c>
      <c r="Y432" s="49">
        <f ca="1"/>
        <v>0</v>
      </c>
      <c r="Z432" s="49">
        <f ca="1"/>
        <v>0</v>
      </c>
      <c r="AA432" s="49">
        <f ca="1"/>
        <v>0</v>
      </c>
      <c r="AB432" s="49">
        <f ca="1"/>
        <v>0</v>
      </c>
      <c r="AC432" s="49">
        <f ca="1"/>
        <v>0</v>
      </c>
      <c r="AD432" s="49">
        <f ca="1"/>
        <v>0</v>
      </c>
      <c r="AE432" s="49">
        <f ca="1"/>
        <v>0</v>
      </c>
      <c r="AF432" s="49">
        <f ca="1"/>
        <v>0</v>
      </c>
      <c r="AG432" s="49">
        <f ca="1"/>
        <v>0</v>
      </c>
      <c r="AH432" s="49">
        <f ca="1"/>
        <v>0</v>
      </c>
      <c r="AI432" s="49">
        <f ca="1"/>
        <v>0</v>
      </c>
      <c r="AJ432" s="49">
        <f ca="1"/>
        <v>0</v>
      </c>
      <c r="AK432" s="49">
        <f ca="1"/>
        <v>0</v>
      </c>
      <c r="AL432" s="49">
        <f ca="1"/>
        <v>0</v>
      </c>
      <c r="AM432" s="49">
        <f ca="1"/>
        <v>0</v>
      </c>
      <c r="AN432" s="49">
        <f ca="1"/>
        <v>0</v>
      </c>
      <c r="AO432" s="49">
        <f ca="1"/>
        <v>0</v>
      </c>
      <c r="AP432" s="49">
        <f ca="1"/>
        <v>0</v>
      </c>
      <c r="AQ432" s="49">
        <f ca="1"/>
        <v>0</v>
      </c>
      <c r="AR432" s="49">
        <f ca="1"/>
        <v>0</v>
      </c>
      <c r="AS432" s="49">
        <f ca="1"/>
        <v>0</v>
      </c>
      <c r="AT432" s="49">
        <f ca="1"/>
        <v>0</v>
      </c>
      <c r="AU432" s="49">
        <f ca="1"/>
        <v>0</v>
      </c>
      <c r="AV432" s="49">
        <f ca="1"/>
        <v>0</v>
      </c>
      <c r="AW432" s="49">
        <f ca="1"/>
        <v>0</v>
      </c>
      <c r="AX432" s="49">
        <f ca="1"/>
        <v>0</v>
      </c>
      <c r="AY432" s="49">
        <f ca="1"/>
        <v>0</v>
      </c>
      <c r="AZ432" s="49">
        <f ca="1"/>
        <v>0</v>
      </c>
      <c r="BA432" s="49">
        <f ca="1"/>
        <v>0</v>
      </c>
      <c r="BB432" s="49">
        <f ca="1"/>
        <v>0</v>
      </c>
      <c r="BC432" s="49">
        <f ca="1"/>
        <v>0</v>
      </c>
      <c r="BD432" s="49">
        <f ca="1"/>
        <v>0</v>
      </c>
      <c r="BE432" s="49">
        <f ca="1"/>
        <v>0</v>
      </c>
      <c r="BF432" s="49">
        <f ca="1"/>
        <v>0</v>
      </c>
      <c r="BG432" s="49">
        <f ca="1"/>
        <v>0</v>
      </c>
      <c r="BH432" s="49">
        <f ca="1"/>
        <v>0</v>
      </c>
      <c r="BI432" s="49">
        <f ca="1"/>
        <v>0</v>
      </c>
      <c r="BJ432" s="49">
        <f ca="1"/>
        <v>0</v>
      </c>
      <c r="BK432" s="49">
        <f ca="1"/>
        <v>0</v>
      </c>
      <c r="BL432" s="49">
        <f ca="1"/>
        <v>0</v>
      </c>
      <c r="BM432" s="49">
        <f ca="1"/>
        <v>0</v>
      </c>
      <c r="BN432" s="49">
        <f ca="1"/>
        <v>0</v>
      </c>
      <c r="BO432" s="49">
        <f ca="1"/>
        <v>0</v>
      </c>
      <c r="BP432" s="49">
        <f ca="1"/>
        <v>0</v>
      </c>
      <c r="BQ432" s="49">
        <f ca="1"/>
        <v>0</v>
      </c>
      <c r="BR432" s="49">
        <f ca="1"/>
        <v>0</v>
      </c>
      <c r="BS432" s="49">
        <f ca="1"/>
        <v>0</v>
      </c>
    </row>
    <row r="433" spans="1:71" outlineLevel="1" x14ac:dyDescent="0.2">
      <c r="D433" t="str">
        <f>HM_ZA_Nkossa!D422</f>
        <v>Abandon</v>
      </c>
      <c r="I433" s="30">
        <f t="shared" ca="1" si="125"/>
        <v>37.902999999999999</v>
      </c>
      <c r="J433" s="26" t="s">
        <v>148</v>
      </c>
      <c r="L433" s="49" cm="1">
        <f t="array" aca="1" ref="L433:BS433" ca="1">HM_ZB_Nsoko!CA_decom_nom</f>
        <v>4.1470000000000002</v>
      </c>
      <c r="M433" s="49">
        <f ca="1"/>
        <v>4.7190000000000003</v>
      </c>
      <c r="N433" s="49">
        <f ca="1"/>
        <v>6.5110000000000001</v>
      </c>
      <c r="O433" s="49">
        <f ca="1"/>
        <v>7.0970000000000004</v>
      </c>
      <c r="P433" s="49">
        <f ca="1"/>
        <v>7.5179999999999998</v>
      </c>
      <c r="Q433" s="49">
        <f ca="1"/>
        <v>7.9109999999999996</v>
      </c>
      <c r="R433" s="49">
        <f ca="1"/>
        <v>0</v>
      </c>
      <c r="S433" s="49">
        <f ca="1"/>
        <v>0</v>
      </c>
      <c r="T433" s="49">
        <f ca="1"/>
        <v>0</v>
      </c>
      <c r="U433" s="49">
        <f ca="1"/>
        <v>0</v>
      </c>
      <c r="V433" s="49">
        <f ca="1"/>
        <v>0</v>
      </c>
      <c r="W433" s="49">
        <f ca="1"/>
        <v>0</v>
      </c>
      <c r="X433" s="49">
        <f ca="1"/>
        <v>0</v>
      </c>
      <c r="Y433" s="49">
        <f ca="1"/>
        <v>0</v>
      </c>
      <c r="Z433" s="49">
        <f ca="1"/>
        <v>0</v>
      </c>
      <c r="AA433" s="49">
        <f ca="1"/>
        <v>0</v>
      </c>
      <c r="AB433" s="49">
        <f ca="1"/>
        <v>0</v>
      </c>
      <c r="AC433" s="49">
        <f ca="1"/>
        <v>0</v>
      </c>
      <c r="AD433" s="49">
        <f ca="1"/>
        <v>0</v>
      </c>
      <c r="AE433" s="49">
        <f ca="1"/>
        <v>0</v>
      </c>
      <c r="AF433" s="49">
        <f ca="1"/>
        <v>0</v>
      </c>
      <c r="AG433" s="49">
        <f ca="1"/>
        <v>0</v>
      </c>
      <c r="AH433" s="49">
        <f ca="1"/>
        <v>0</v>
      </c>
      <c r="AI433" s="49">
        <f ca="1"/>
        <v>0</v>
      </c>
      <c r="AJ433" s="49">
        <f ca="1"/>
        <v>0</v>
      </c>
      <c r="AK433" s="49">
        <f ca="1"/>
        <v>0</v>
      </c>
      <c r="AL433" s="49">
        <f ca="1"/>
        <v>0</v>
      </c>
      <c r="AM433" s="49">
        <f ca="1"/>
        <v>0</v>
      </c>
      <c r="AN433" s="49">
        <f ca="1"/>
        <v>0</v>
      </c>
      <c r="AO433" s="49">
        <f ca="1"/>
        <v>0</v>
      </c>
      <c r="AP433" s="49">
        <f ca="1"/>
        <v>0</v>
      </c>
      <c r="AQ433" s="49">
        <f ca="1"/>
        <v>0</v>
      </c>
      <c r="AR433" s="49">
        <f ca="1"/>
        <v>0</v>
      </c>
      <c r="AS433" s="49">
        <f ca="1"/>
        <v>0</v>
      </c>
      <c r="AT433" s="49">
        <f ca="1"/>
        <v>0</v>
      </c>
      <c r="AU433" s="49">
        <f ca="1"/>
        <v>0</v>
      </c>
      <c r="AV433" s="49">
        <f ca="1"/>
        <v>0</v>
      </c>
      <c r="AW433" s="49">
        <f ca="1"/>
        <v>0</v>
      </c>
      <c r="AX433" s="49">
        <f ca="1"/>
        <v>0</v>
      </c>
      <c r="AY433" s="49">
        <f ca="1"/>
        <v>0</v>
      </c>
      <c r="AZ433" s="49">
        <f ca="1"/>
        <v>0</v>
      </c>
      <c r="BA433" s="49">
        <f ca="1"/>
        <v>0</v>
      </c>
      <c r="BB433" s="49">
        <f ca="1"/>
        <v>0</v>
      </c>
      <c r="BC433" s="49">
        <f ca="1"/>
        <v>0</v>
      </c>
      <c r="BD433" s="49">
        <f ca="1"/>
        <v>0</v>
      </c>
      <c r="BE433" s="49">
        <f ca="1"/>
        <v>0</v>
      </c>
      <c r="BF433" s="49">
        <f ca="1"/>
        <v>0</v>
      </c>
      <c r="BG433" s="49">
        <f ca="1"/>
        <v>0</v>
      </c>
      <c r="BH433" s="49">
        <f ca="1"/>
        <v>0</v>
      </c>
      <c r="BI433" s="49">
        <f ca="1"/>
        <v>0</v>
      </c>
      <c r="BJ433" s="49">
        <f ca="1"/>
        <v>0</v>
      </c>
      <c r="BK433" s="49">
        <f ca="1"/>
        <v>0</v>
      </c>
      <c r="BL433" s="49">
        <f ca="1"/>
        <v>0</v>
      </c>
      <c r="BM433" s="49">
        <f ca="1"/>
        <v>0</v>
      </c>
      <c r="BN433" s="49">
        <f ca="1"/>
        <v>0</v>
      </c>
      <c r="BO433" s="49">
        <f ca="1"/>
        <v>0</v>
      </c>
      <c r="BP433" s="49">
        <f ca="1"/>
        <v>0</v>
      </c>
      <c r="BQ433" s="49">
        <f ca="1"/>
        <v>0</v>
      </c>
      <c r="BR433" s="49">
        <f ca="1"/>
        <v>0</v>
      </c>
      <c r="BS433" s="49">
        <f ca="1"/>
        <v>0</v>
      </c>
    </row>
    <row r="434" spans="1:71" outlineLevel="1" x14ac:dyDescent="0.2">
      <c r="D434" s="11" t="str">
        <f>HM_ZA_Nkossa!D423</f>
        <v>Total Capex</v>
      </c>
      <c r="I434" s="30">
        <f t="shared" ca="1" si="125"/>
        <v>78.77000000000001</v>
      </c>
      <c r="J434" s="26" t="s">
        <v>148</v>
      </c>
      <c r="L434" s="49">
        <f ca="1">SUM(L431:L433)</f>
        <v>4.9590000000000005</v>
      </c>
      <c r="M434" s="49">
        <f t="shared" ref="M434:BS434" ca="1" si="126">SUM(M431:M433)</f>
        <v>43.67</v>
      </c>
      <c r="N434" s="49">
        <f t="shared" ca="1" si="126"/>
        <v>7.2030000000000003</v>
      </c>
      <c r="O434" s="49">
        <f t="shared" ca="1" si="126"/>
        <v>7.2530000000000001</v>
      </c>
      <c r="P434" s="49">
        <f t="shared" ca="1" si="126"/>
        <v>7.774</v>
      </c>
      <c r="Q434" s="49">
        <f t="shared" ca="1" si="126"/>
        <v>7.9109999999999996</v>
      </c>
      <c r="R434" s="49">
        <f t="shared" ca="1" si="126"/>
        <v>0</v>
      </c>
      <c r="S434" s="49">
        <f t="shared" ca="1" si="126"/>
        <v>0</v>
      </c>
      <c r="T434" s="49">
        <f t="shared" ca="1" si="126"/>
        <v>0</v>
      </c>
      <c r="U434" s="49">
        <f t="shared" ca="1" si="126"/>
        <v>0</v>
      </c>
      <c r="V434" s="49">
        <f t="shared" ca="1" si="126"/>
        <v>0</v>
      </c>
      <c r="W434" s="49">
        <f t="shared" ca="1" si="126"/>
        <v>0</v>
      </c>
      <c r="X434" s="49">
        <f t="shared" ca="1" si="126"/>
        <v>0</v>
      </c>
      <c r="Y434" s="49">
        <f t="shared" ca="1" si="126"/>
        <v>0</v>
      </c>
      <c r="Z434" s="49">
        <f t="shared" ca="1" si="126"/>
        <v>0</v>
      </c>
      <c r="AA434" s="49">
        <f t="shared" ca="1" si="126"/>
        <v>0</v>
      </c>
      <c r="AB434" s="49">
        <f t="shared" ca="1" si="126"/>
        <v>0</v>
      </c>
      <c r="AC434" s="49">
        <f t="shared" ca="1" si="126"/>
        <v>0</v>
      </c>
      <c r="AD434" s="49">
        <f t="shared" ca="1" si="126"/>
        <v>0</v>
      </c>
      <c r="AE434" s="49">
        <f t="shared" ca="1" si="126"/>
        <v>0</v>
      </c>
      <c r="AF434" s="49">
        <f t="shared" ca="1" si="126"/>
        <v>0</v>
      </c>
      <c r="AG434" s="49">
        <f t="shared" ca="1" si="126"/>
        <v>0</v>
      </c>
      <c r="AH434" s="49">
        <f t="shared" ca="1" si="126"/>
        <v>0</v>
      </c>
      <c r="AI434" s="49">
        <f t="shared" ca="1" si="126"/>
        <v>0</v>
      </c>
      <c r="AJ434" s="49">
        <f t="shared" ca="1" si="126"/>
        <v>0</v>
      </c>
      <c r="AK434" s="49">
        <f t="shared" ca="1" si="126"/>
        <v>0</v>
      </c>
      <c r="AL434" s="49">
        <f t="shared" ca="1" si="126"/>
        <v>0</v>
      </c>
      <c r="AM434" s="49">
        <f t="shared" ca="1" si="126"/>
        <v>0</v>
      </c>
      <c r="AN434" s="49">
        <f t="shared" ca="1" si="126"/>
        <v>0</v>
      </c>
      <c r="AO434" s="49">
        <f t="shared" ca="1" si="126"/>
        <v>0</v>
      </c>
      <c r="AP434" s="49">
        <f t="shared" ca="1" si="126"/>
        <v>0</v>
      </c>
      <c r="AQ434" s="49">
        <f t="shared" ca="1" si="126"/>
        <v>0</v>
      </c>
      <c r="AR434" s="49">
        <f t="shared" ca="1" si="126"/>
        <v>0</v>
      </c>
      <c r="AS434" s="49">
        <f t="shared" ca="1" si="126"/>
        <v>0</v>
      </c>
      <c r="AT434" s="49">
        <f t="shared" ca="1" si="126"/>
        <v>0</v>
      </c>
      <c r="AU434" s="49">
        <f t="shared" ca="1" si="126"/>
        <v>0</v>
      </c>
      <c r="AV434" s="49">
        <f t="shared" ca="1" si="126"/>
        <v>0</v>
      </c>
      <c r="AW434" s="49">
        <f t="shared" ca="1" si="126"/>
        <v>0</v>
      </c>
      <c r="AX434" s="49">
        <f t="shared" ca="1" si="126"/>
        <v>0</v>
      </c>
      <c r="AY434" s="49">
        <f t="shared" ca="1" si="126"/>
        <v>0</v>
      </c>
      <c r="AZ434" s="49">
        <f t="shared" ca="1" si="126"/>
        <v>0</v>
      </c>
      <c r="BA434" s="49">
        <f t="shared" ca="1" si="126"/>
        <v>0</v>
      </c>
      <c r="BB434" s="49">
        <f t="shared" ca="1" si="126"/>
        <v>0</v>
      </c>
      <c r="BC434" s="49">
        <f t="shared" ca="1" si="126"/>
        <v>0</v>
      </c>
      <c r="BD434" s="49">
        <f t="shared" ca="1" si="126"/>
        <v>0</v>
      </c>
      <c r="BE434" s="49">
        <f t="shared" ca="1" si="126"/>
        <v>0</v>
      </c>
      <c r="BF434" s="49">
        <f t="shared" ca="1" si="126"/>
        <v>0</v>
      </c>
      <c r="BG434" s="49">
        <f t="shared" ca="1" si="126"/>
        <v>0</v>
      </c>
      <c r="BH434" s="49">
        <f t="shared" ca="1" si="126"/>
        <v>0</v>
      </c>
      <c r="BI434" s="49">
        <f t="shared" ca="1" si="126"/>
        <v>0</v>
      </c>
      <c r="BJ434" s="49">
        <f t="shared" ca="1" si="126"/>
        <v>0</v>
      </c>
      <c r="BK434" s="49">
        <f t="shared" ca="1" si="126"/>
        <v>0</v>
      </c>
      <c r="BL434" s="49">
        <f t="shared" ca="1" si="126"/>
        <v>0</v>
      </c>
      <c r="BM434" s="49">
        <f t="shared" ca="1" si="126"/>
        <v>0</v>
      </c>
      <c r="BN434" s="49">
        <f t="shared" ca="1" si="126"/>
        <v>0</v>
      </c>
      <c r="BO434" s="49">
        <f t="shared" ca="1" si="126"/>
        <v>0</v>
      </c>
      <c r="BP434" s="49">
        <f t="shared" ca="1" si="126"/>
        <v>0</v>
      </c>
      <c r="BQ434" s="49">
        <f t="shared" ca="1" si="126"/>
        <v>0</v>
      </c>
      <c r="BR434" s="49">
        <f t="shared" ca="1" si="126"/>
        <v>0</v>
      </c>
      <c r="BS434" s="49">
        <f t="shared" ca="1" si="126"/>
        <v>0</v>
      </c>
    </row>
    <row r="435" spans="1:71" outlineLevel="1" x14ac:dyDescent="0.2">
      <c r="J435" s="26"/>
      <c r="L435" s="55"/>
      <c r="M435" s="55"/>
      <c r="N435" s="55"/>
      <c r="O435" s="55"/>
      <c r="P435" s="55"/>
      <c r="Q435" s="55"/>
      <c r="R435" s="55"/>
      <c r="S435" s="55"/>
      <c r="T435" s="55"/>
      <c r="U435" s="55"/>
      <c r="V435" s="55"/>
      <c r="W435" s="55"/>
      <c r="X435" s="55"/>
      <c r="Y435" s="55"/>
      <c r="Z435" s="55"/>
      <c r="AA435" s="55"/>
      <c r="AB435" s="55"/>
      <c r="AC435" s="55"/>
      <c r="AD435" s="55"/>
      <c r="AE435" s="55"/>
      <c r="AF435" s="55"/>
      <c r="AG435" s="55"/>
      <c r="AH435" s="55"/>
      <c r="AI435" s="55"/>
      <c r="AJ435" s="55"/>
      <c r="AK435" s="55"/>
      <c r="AL435" s="55"/>
      <c r="AM435" s="55"/>
      <c r="AN435" s="55"/>
      <c r="AO435" s="55"/>
      <c r="AP435" s="55"/>
      <c r="AQ435" s="55"/>
      <c r="AR435" s="55"/>
      <c r="AS435" s="55"/>
      <c r="AT435" s="55"/>
      <c r="AU435" s="55"/>
      <c r="AV435" s="55"/>
      <c r="AW435" s="55"/>
      <c r="AX435" s="55"/>
      <c r="AY435" s="55"/>
      <c r="AZ435" s="55"/>
      <c r="BA435" s="55"/>
      <c r="BB435" s="55"/>
      <c r="BC435" s="55"/>
      <c r="BD435" s="55"/>
      <c r="BE435" s="55"/>
      <c r="BF435" s="55"/>
      <c r="BG435" s="55"/>
      <c r="BH435" s="55"/>
      <c r="BI435" s="55"/>
      <c r="BJ435" s="55"/>
      <c r="BK435" s="55"/>
      <c r="BL435" s="55"/>
      <c r="BM435" s="55"/>
      <c r="BN435" s="55"/>
      <c r="BO435" s="55"/>
      <c r="BP435" s="55"/>
      <c r="BQ435" s="55"/>
      <c r="BR435" s="55"/>
      <c r="BS435" s="55"/>
    </row>
    <row r="436" spans="1:71" outlineLevel="1" x14ac:dyDescent="0.2">
      <c r="C436" s="11" t="str">
        <f>HM_ZA_Nkossa!C425</f>
        <v>Revenu divisible</v>
      </c>
      <c r="H436" s="71"/>
      <c r="I436" s="30">
        <f t="shared" ca="1" si="125"/>
        <v>394.90582774574409</v>
      </c>
      <c r="J436" s="26" t="s">
        <v>148</v>
      </c>
      <c r="L436" s="49">
        <f ca="1">L423-L428-L434</f>
        <v>69.397369292999997</v>
      </c>
      <c r="M436" s="49">
        <f t="shared" ref="M436:BS436" ca="1" si="127">M423-M428-M434</f>
        <v>32.621232210999992</v>
      </c>
      <c r="N436" s="49">
        <f t="shared" ca="1" si="127"/>
        <v>33.944070684000003</v>
      </c>
      <c r="O436" s="49">
        <f t="shared" ca="1" si="127"/>
        <v>19.139589979</v>
      </c>
      <c r="P436" s="49">
        <f t="shared" ca="1" si="127"/>
        <v>24.778745783999995</v>
      </c>
      <c r="Q436" s="49">
        <f t="shared" ca="1" si="127"/>
        <v>32.347781632999997</v>
      </c>
      <c r="R436" s="49">
        <f t="shared" ca="1" si="127"/>
        <v>11.820027699999999</v>
      </c>
      <c r="S436" s="49">
        <f t="shared" ca="1" si="127"/>
        <v>20.939643877469827</v>
      </c>
      <c r="T436" s="49">
        <f t="shared" ca="1" si="127"/>
        <v>32.773548997278198</v>
      </c>
      <c r="U436" s="49">
        <f t="shared" ca="1" si="127"/>
        <v>32.602874905548944</v>
      </c>
      <c r="V436" s="49">
        <f t="shared" ca="1" si="127"/>
        <v>30.317412735403725</v>
      </c>
      <c r="W436" s="49">
        <f t="shared" ca="1" si="127"/>
        <v>28.144658288803967</v>
      </c>
      <c r="X436" s="49">
        <f t="shared" ca="1" si="127"/>
        <v>26.078871657239446</v>
      </c>
      <c r="Y436" s="49">
        <f t="shared" ca="1" si="127"/>
        <v>0</v>
      </c>
      <c r="Z436" s="49">
        <f t="shared" ca="1" si="127"/>
        <v>0</v>
      </c>
      <c r="AA436" s="49">
        <f t="shared" ca="1" si="127"/>
        <v>0</v>
      </c>
      <c r="AB436" s="49">
        <f t="shared" ca="1" si="127"/>
        <v>0</v>
      </c>
      <c r="AC436" s="49">
        <f t="shared" ca="1" si="127"/>
        <v>0</v>
      </c>
      <c r="AD436" s="49">
        <f t="shared" ca="1" si="127"/>
        <v>0</v>
      </c>
      <c r="AE436" s="49">
        <f t="shared" ca="1" si="127"/>
        <v>0</v>
      </c>
      <c r="AF436" s="49">
        <f t="shared" ca="1" si="127"/>
        <v>0</v>
      </c>
      <c r="AG436" s="49">
        <f t="shared" ca="1" si="127"/>
        <v>0</v>
      </c>
      <c r="AH436" s="49">
        <f t="shared" ca="1" si="127"/>
        <v>0</v>
      </c>
      <c r="AI436" s="49">
        <f t="shared" ca="1" si="127"/>
        <v>0</v>
      </c>
      <c r="AJ436" s="49">
        <f t="shared" ca="1" si="127"/>
        <v>0</v>
      </c>
      <c r="AK436" s="49">
        <f t="shared" ca="1" si="127"/>
        <v>0</v>
      </c>
      <c r="AL436" s="49">
        <f t="shared" ca="1" si="127"/>
        <v>0</v>
      </c>
      <c r="AM436" s="49">
        <f t="shared" ca="1" si="127"/>
        <v>0</v>
      </c>
      <c r="AN436" s="49">
        <f t="shared" ca="1" si="127"/>
        <v>0</v>
      </c>
      <c r="AO436" s="49">
        <f t="shared" ca="1" si="127"/>
        <v>0</v>
      </c>
      <c r="AP436" s="49">
        <f t="shared" ca="1" si="127"/>
        <v>0</v>
      </c>
      <c r="AQ436" s="49">
        <f t="shared" ca="1" si="127"/>
        <v>0</v>
      </c>
      <c r="AR436" s="49">
        <f t="shared" ca="1" si="127"/>
        <v>0</v>
      </c>
      <c r="AS436" s="49">
        <f t="shared" ca="1" si="127"/>
        <v>0</v>
      </c>
      <c r="AT436" s="49">
        <f t="shared" ca="1" si="127"/>
        <v>0</v>
      </c>
      <c r="AU436" s="49">
        <f t="shared" ca="1" si="127"/>
        <v>0</v>
      </c>
      <c r="AV436" s="49">
        <f t="shared" ca="1" si="127"/>
        <v>0</v>
      </c>
      <c r="AW436" s="49">
        <f t="shared" ca="1" si="127"/>
        <v>0</v>
      </c>
      <c r="AX436" s="49">
        <f t="shared" ca="1" si="127"/>
        <v>0</v>
      </c>
      <c r="AY436" s="49">
        <f t="shared" ca="1" si="127"/>
        <v>0</v>
      </c>
      <c r="AZ436" s="49">
        <f t="shared" ca="1" si="127"/>
        <v>0</v>
      </c>
      <c r="BA436" s="49">
        <f t="shared" ca="1" si="127"/>
        <v>0</v>
      </c>
      <c r="BB436" s="49">
        <f t="shared" ca="1" si="127"/>
        <v>0</v>
      </c>
      <c r="BC436" s="49">
        <f t="shared" ca="1" si="127"/>
        <v>0</v>
      </c>
      <c r="BD436" s="49">
        <f t="shared" ca="1" si="127"/>
        <v>0</v>
      </c>
      <c r="BE436" s="49">
        <f t="shared" ca="1" si="127"/>
        <v>0</v>
      </c>
      <c r="BF436" s="49">
        <f t="shared" ca="1" si="127"/>
        <v>0</v>
      </c>
      <c r="BG436" s="49">
        <f t="shared" ca="1" si="127"/>
        <v>0</v>
      </c>
      <c r="BH436" s="49">
        <f t="shared" ca="1" si="127"/>
        <v>0</v>
      </c>
      <c r="BI436" s="49">
        <f t="shared" ca="1" si="127"/>
        <v>0</v>
      </c>
      <c r="BJ436" s="49">
        <f t="shared" ca="1" si="127"/>
        <v>0</v>
      </c>
      <c r="BK436" s="49">
        <f t="shared" ca="1" si="127"/>
        <v>0</v>
      </c>
      <c r="BL436" s="49">
        <f t="shared" ca="1" si="127"/>
        <v>0</v>
      </c>
      <c r="BM436" s="49">
        <f t="shared" ca="1" si="127"/>
        <v>0</v>
      </c>
      <c r="BN436" s="49">
        <f t="shared" ca="1" si="127"/>
        <v>0</v>
      </c>
      <c r="BO436" s="49">
        <f t="shared" ca="1" si="127"/>
        <v>0</v>
      </c>
      <c r="BP436" s="49">
        <f t="shared" ca="1" si="127"/>
        <v>0</v>
      </c>
      <c r="BQ436" s="49">
        <f t="shared" ca="1" si="127"/>
        <v>0</v>
      </c>
      <c r="BR436" s="49">
        <f t="shared" ca="1" si="127"/>
        <v>0</v>
      </c>
      <c r="BS436" s="49">
        <f t="shared" ca="1" si="127"/>
        <v>0</v>
      </c>
    </row>
    <row r="437" spans="1:71" outlineLevel="1" x14ac:dyDescent="0.2">
      <c r="H437" s="71"/>
      <c r="J437" s="26"/>
      <c r="L437" s="55"/>
      <c r="M437" s="55"/>
      <c r="N437" s="55"/>
      <c r="O437" s="55"/>
      <c r="P437" s="55"/>
      <c r="Q437" s="55"/>
      <c r="R437" s="55"/>
      <c r="S437" s="55"/>
      <c r="T437" s="55"/>
      <c r="U437" s="55"/>
      <c r="V437" s="55"/>
      <c r="W437" s="55"/>
      <c r="X437" s="55"/>
      <c r="Y437" s="55"/>
      <c r="Z437" s="55"/>
      <c r="AA437" s="55"/>
      <c r="AB437" s="55"/>
      <c r="AC437" s="55"/>
      <c r="AD437" s="55"/>
      <c r="AE437" s="55"/>
      <c r="AF437" s="55"/>
      <c r="AG437" s="55"/>
      <c r="AH437" s="55"/>
      <c r="AI437" s="55"/>
      <c r="AJ437" s="55"/>
      <c r="AK437" s="55"/>
      <c r="AL437" s="55"/>
      <c r="AM437" s="55"/>
      <c r="AN437" s="55"/>
      <c r="AO437" s="55"/>
      <c r="AP437" s="55"/>
      <c r="AQ437" s="55"/>
      <c r="AR437" s="55"/>
      <c r="AS437" s="55"/>
      <c r="AT437" s="55"/>
      <c r="AU437" s="55"/>
      <c r="AV437" s="55"/>
      <c r="AW437" s="55"/>
      <c r="AX437" s="55"/>
      <c r="AY437" s="55"/>
      <c r="AZ437" s="55"/>
      <c r="BA437" s="55"/>
      <c r="BB437" s="55"/>
      <c r="BC437" s="55"/>
      <c r="BD437" s="55"/>
      <c r="BE437" s="55"/>
      <c r="BF437" s="55"/>
      <c r="BG437" s="55"/>
      <c r="BH437" s="55"/>
      <c r="BI437" s="55"/>
      <c r="BJ437" s="55"/>
      <c r="BK437" s="55"/>
      <c r="BL437" s="55"/>
      <c r="BM437" s="55"/>
      <c r="BN437" s="55"/>
      <c r="BO437" s="55"/>
      <c r="BP437" s="55"/>
      <c r="BQ437" s="55"/>
      <c r="BR437" s="55"/>
      <c r="BS437" s="55"/>
    </row>
    <row r="438" spans="1:71" outlineLevel="1" x14ac:dyDescent="0.2">
      <c r="J438" s="26"/>
      <c r="L438" s="55"/>
      <c r="M438" s="55"/>
      <c r="N438" s="55"/>
      <c r="O438" s="55"/>
      <c r="P438" s="55"/>
      <c r="Q438" s="55"/>
      <c r="R438" s="55"/>
      <c r="S438" s="55"/>
      <c r="T438" s="55"/>
      <c r="U438" s="55"/>
      <c r="V438" s="55"/>
      <c r="W438" s="55"/>
      <c r="X438" s="55"/>
      <c r="Y438" s="55"/>
      <c r="Z438" s="55"/>
      <c r="AA438" s="55"/>
      <c r="AB438" s="55"/>
      <c r="AC438" s="55"/>
      <c r="AD438" s="55"/>
      <c r="AE438" s="55"/>
      <c r="AF438" s="55"/>
      <c r="AG438" s="55"/>
      <c r="AH438" s="55"/>
      <c r="AI438" s="55"/>
      <c r="AJ438" s="55"/>
      <c r="AK438" s="55"/>
      <c r="AL438" s="55"/>
      <c r="AM438" s="55"/>
      <c r="AN438" s="55"/>
      <c r="AO438" s="55"/>
      <c r="AP438" s="55"/>
      <c r="AQ438" s="55"/>
      <c r="AR438" s="55"/>
      <c r="AS438" s="55"/>
      <c r="AT438" s="55"/>
      <c r="AU438" s="55"/>
      <c r="AV438" s="55"/>
      <c r="AW438" s="55"/>
      <c r="AX438" s="55"/>
      <c r="AY438" s="55"/>
      <c r="AZ438" s="55"/>
      <c r="BA438" s="55"/>
      <c r="BB438" s="55"/>
      <c r="BC438" s="55"/>
      <c r="BD438" s="55"/>
      <c r="BE438" s="55"/>
      <c r="BF438" s="55"/>
      <c r="BG438" s="55"/>
      <c r="BH438" s="55"/>
      <c r="BI438" s="55"/>
      <c r="BJ438" s="55"/>
      <c r="BK438" s="55"/>
      <c r="BL438" s="55"/>
      <c r="BM438" s="55"/>
      <c r="BN438" s="55"/>
      <c r="BO438" s="55"/>
      <c r="BP438" s="55"/>
      <c r="BQ438" s="55"/>
      <c r="BR438" s="55"/>
      <c r="BS438" s="55"/>
    </row>
    <row r="439" spans="1:71" outlineLevel="1" x14ac:dyDescent="0.2">
      <c r="J439" s="26"/>
      <c r="L439" s="55"/>
      <c r="M439" s="55"/>
      <c r="N439" s="55"/>
      <c r="O439" s="55"/>
      <c r="P439" s="55"/>
      <c r="Q439" s="55"/>
      <c r="R439" s="55"/>
      <c r="S439" s="55"/>
      <c r="T439" s="55"/>
      <c r="U439" s="55"/>
      <c r="V439" s="55"/>
      <c r="W439" s="55"/>
      <c r="X439" s="55"/>
      <c r="Y439" s="55"/>
      <c r="Z439" s="55"/>
      <c r="AA439" s="55"/>
      <c r="AB439" s="55"/>
      <c r="AC439" s="55"/>
      <c r="AD439" s="55"/>
      <c r="AE439" s="55"/>
      <c r="AF439" s="55"/>
      <c r="AG439" s="55"/>
      <c r="AH439" s="55"/>
      <c r="AI439" s="55"/>
      <c r="AJ439" s="55"/>
      <c r="AK439" s="55"/>
      <c r="AL439" s="55"/>
      <c r="AM439" s="55"/>
      <c r="AN439" s="55"/>
      <c r="AO439" s="55"/>
      <c r="AP439" s="55"/>
      <c r="AQ439" s="55"/>
      <c r="AR439" s="55"/>
      <c r="AS439" s="55"/>
      <c r="AT439" s="55"/>
      <c r="AU439" s="55"/>
      <c r="AV439" s="55"/>
      <c r="AW439" s="55"/>
      <c r="AX439" s="55"/>
      <c r="AY439" s="55"/>
      <c r="AZ439" s="55"/>
      <c r="BA439" s="55"/>
      <c r="BB439" s="55"/>
      <c r="BC439" s="55"/>
      <c r="BD439" s="55"/>
      <c r="BE439" s="55"/>
      <c r="BF439" s="55"/>
      <c r="BG439" s="55"/>
      <c r="BH439" s="55"/>
      <c r="BI439" s="55"/>
      <c r="BJ439" s="55"/>
      <c r="BK439" s="55"/>
      <c r="BL439" s="55"/>
      <c r="BM439" s="55"/>
      <c r="BN439" s="55"/>
      <c r="BO439" s="55"/>
      <c r="BP439" s="55"/>
      <c r="BQ439" s="55"/>
      <c r="BR439" s="55"/>
      <c r="BS439" s="55"/>
    </row>
    <row r="440" spans="1:71" outlineLevel="1" x14ac:dyDescent="0.2">
      <c r="J440" s="26"/>
      <c r="L440" s="55"/>
      <c r="M440" s="55"/>
      <c r="N440" s="55"/>
      <c r="O440" s="55"/>
      <c r="P440" s="55"/>
      <c r="Q440" s="55"/>
      <c r="R440" s="55"/>
      <c r="S440" s="55"/>
      <c r="T440" s="55"/>
      <c r="U440" s="55"/>
      <c r="V440" s="55"/>
      <c r="W440" s="55"/>
      <c r="X440" s="55"/>
      <c r="Y440" s="55"/>
      <c r="Z440" s="55"/>
      <c r="AA440" s="55"/>
      <c r="AB440" s="55"/>
      <c r="AC440" s="55"/>
      <c r="AD440" s="55"/>
      <c r="AE440" s="55"/>
      <c r="AF440" s="55"/>
      <c r="AG440" s="55"/>
      <c r="AH440" s="55"/>
      <c r="AI440" s="55"/>
      <c r="AJ440" s="55"/>
      <c r="AK440" s="55"/>
      <c r="AL440" s="55"/>
      <c r="AM440" s="55"/>
      <c r="AN440" s="55"/>
      <c r="AO440" s="55"/>
      <c r="AP440" s="55"/>
      <c r="AQ440" s="55"/>
      <c r="AR440" s="55"/>
      <c r="AS440" s="55"/>
      <c r="AT440" s="55"/>
      <c r="AU440" s="55"/>
      <c r="AV440" s="55"/>
      <c r="AW440" s="55"/>
      <c r="AX440" s="55"/>
      <c r="AY440" s="55"/>
      <c r="AZ440" s="55"/>
      <c r="BA440" s="55"/>
      <c r="BB440" s="55"/>
      <c r="BC440" s="55"/>
      <c r="BD440" s="55"/>
      <c r="BE440" s="55"/>
      <c r="BF440" s="55"/>
      <c r="BG440" s="55"/>
      <c r="BH440" s="55"/>
      <c r="BI440" s="55"/>
      <c r="BJ440" s="55"/>
      <c r="BK440" s="55"/>
      <c r="BL440" s="55"/>
      <c r="BM440" s="55"/>
      <c r="BN440" s="55"/>
      <c r="BO440" s="55"/>
      <c r="BP440" s="55"/>
      <c r="BQ440" s="55"/>
      <c r="BR440" s="55"/>
      <c r="BS440" s="55"/>
    </row>
    <row r="441" spans="1:71" outlineLevel="1" x14ac:dyDescent="0.2">
      <c r="A441" s="45"/>
      <c r="B441" s="38" t="str">
        <f>HM_ZA_Nkossa!B430</f>
        <v>Flux de trésorerie Contracteur</v>
      </c>
      <c r="C441" s="45"/>
      <c r="D441" s="45"/>
      <c r="E441" s="45"/>
      <c r="J441" s="26"/>
      <c r="L441" s="55"/>
      <c r="M441" s="55"/>
      <c r="N441" s="55"/>
      <c r="O441" s="55"/>
      <c r="P441" s="55"/>
      <c r="Q441" s="55"/>
      <c r="R441" s="55"/>
      <c r="S441" s="55"/>
      <c r="T441" s="55"/>
      <c r="U441" s="55"/>
      <c r="V441" s="55"/>
      <c r="W441" s="55"/>
      <c r="X441" s="55"/>
      <c r="Y441" s="55"/>
      <c r="Z441" s="55"/>
      <c r="AA441" s="55"/>
      <c r="AB441" s="55"/>
      <c r="AC441" s="55"/>
      <c r="AD441" s="55"/>
      <c r="AE441" s="55"/>
      <c r="AF441" s="55"/>
      <c r="AG441" s="55"/>
      <c r="AH441" s="55"/>
      <c r="AI441" s="55"/>
      <c r="AJ441" s="55"/>
      <c r="AK441" s="55"/>
      <c r="AL441" s="55"/>
      <c r="AM441" s="55"/>
      <c r="AN441" s="55"/>
      <c r="AO441" s="55"/>
      <c r="AP441" s="55"/>
      <c r="AQ441" s="55"/>
      <c r="AR441" s="55"/>
      <c r="AS441" s="55"/>
      <c r="AT441" s="55"/>
      <c r="AU441" s="55"/>
      <c r="AV441" s="55"/>
      <c r="AW441" s="55"/>
      <c r="AX441" s="55"/>
      <c r="AY441" s="55"/>
      <c r="AZ441" s="55"/>
      <c r="BA441" s="55"/>
      <c r="BB441" s="55"/>
      <c r="BC441" s="55"/>
      <c r="BD441" s="55"/>
      <c r="BE441" s="55"/>
      <c r="BF441" s="55"/>
      <c r="BG441" s="55"/>
      <c r="BH441" s="55"/>
      <c r="BI441" s="55"/>
      <c r="BJ441" s="55"/>
      <c r="BK441" s="55"/>
      <c r="BL441" s="55"/>
      <c r="BM441" s="55"/>
      <c r="BN441" s="55"/>
      <c r="BO441" s="55"/>
      <c r="BP441" s="55"/>
      <c r="BQ441" s="55"/>
      <c r="BR441" s="55"/>
      <c r="BS441" s="55"/>
    </row>
    <row r="442" spans="1:71" outlineLevel="1" x14ac:dyDescent="0.2">
      <c r="J442" s="26"/>
      <c r="L442" s="55"/>
      <c r="M442" s="55"/>
      <c r="N442" s="55"/>
      <c r="O442" s="55"/>
      <c r="P442" s="55"/>
      <c r="Q442" s="55"/>
      <c r="R442" s="55"/>
      <c r="S442" s="55"/>
      <c r="T442" s="55"/>
      <c r="U442" s="55"/>
      <c r="V442" s="55"/>
      <c r="W442" s="55"/>
      <c r="X442" s="55"/>
      <c r="Y442" s="55"/>
      <c r="Z442" s="55"/>
      <c r="AA442" s="55"/>
      <c r="AB442" s="55"/>
      <c r="AC442" s="55"/>
      <c r="AD442" s="55"/>
      <c r="AE442" s="55"/>
      <c r="AF442" s="55"/>
      <c r="AG442" s="55"/>
      <c r="AH442" s="55"/>
      <c r="AI442" s="55"/>
      <c r="AJ442" s="55"/>
      <c r="AK442" s="55"/>
      <c r="AL442" s="55"/>
      <c r="AM442" s="55"/>
      <c r="AN442" s="55"/>
      <c r="AO442" s="55"/>
      <c r="AP442" s="55"/>
      <c r="AQ442" s="55"/>
      <c r="AR442" s="55"/>
      <c r="AS442" s="55"/>
      <c r="AT442" s="55"/>
      <c r="AU442" s="55"/>
      <c r="AV442" s="55"/>
      <c r="AW442" s="55"/>
      <c r="AX442" s="55"/>
      <c r="AY442" s="55"/>
      <c r="AZ442" s="55"/>
      <c r="BA442" s="55"/>
      <c r="BB442" s="55"/>
      <c r="BC442" s="55"/>
      <c r="BD442" s="55"/>
      <c r="BE442" s="55"/>
      <c r="BF442" s="55"/>
      <c r="BG442" s="55"/>
      <c r="BH442" s="55"/>
      <c r="BI442" s="55"/>
      <c r="BJ442" s="55"/>
      <c r="BK442" s="55"/>
      <c r="BL442" s="55"/>
      <c r="BM442" s="55"/>
      <c r="BN442" s="55"/>
      <c r="BO442" s="55"/>
      <c r="BP442" s="55"/>
      <c r="BQ442" s="55"/>
      <c r="BR442" s="55"/>
      <c r="BS442" s="55"/>
    </row>
    <row r="443" spans="1:71" outlineLevel="1" x14ac:dyDescent="0.2">
      <c r="C443" s="11" t="str">
        <f>HM_ZA_Nkossa!C432</f>
        <v>Revenus des droits</v>
      </c>
      <c r="J443" s="26"/>
      <c r="L443" s="55"/>
      <c r="M443" s="55"/>
      <c r="N443" s="55"/>
      <c r="O443" s="55"/>
      <c r="P443" s="55"/>
      <c r="Q443" s="55"/>
      <c r="R443" s="55"/>
      <c r="S443" s="55"/>
      <c r="T443" s="55"/>
      <c r="U443" s="55"/>
      <c r="V443" s="55"/>
      <c r="W443" s="55"/>
      <c r="X443" s="55"/>
      <c r="Y443" s="55"/>
      <c r="Z443" s="55"/>
      <c r="AA443" s="55"/>
      <c r="AB443" s="55"/>
      <c r="AC443" s="55"/>
      <c r="AD443" s="55"/>
      <c r="AE443" s="55"/>
      <c r="AF443" s="55"/>
      <c r="AG443" s="55"/>
      <c r="AH443" s="55"/>
      <c r="AI443" s="55"/>
      <c r="AJ443" s="55"/>
      <c r="AK443" s="55"/>
      <c r="AL443" s="55"/>
      <c r="AM443" s="55"/>
      <c r="AN443" s="55"/>
      <c r="AO443" s="55"/>
      <c r="AP443" s="55"/>
      <c r="AQ443" s="55"/>
      <c r="AR443" s="55"/>
      <c r="AS443" s="55"/>
      <c r="AT443" s="55"/>
      <c r="AU443" s="55"/>
      <c r="AV443" s="55"/>
      <c r="AW443" s="55"/>
      <c r="AX443" s="55"/>
      <c r="AY443" s="55"/>
      <c r="AZ443" s="55"/>
      <c r="BA443" s="55"/>
      <c r="BB443" s="55"/>
      <c r="BC443" s="55"/>
      <c r="BD443" s="55"/>
      <c r="BE443" s="55"/>
      <c r="BF443" s="55"/>
      <c r="BG443" s="55"/>
      <c r="BH443" s="55"/>
      <c r="BI443" s="55"/>
      <c r="BJ443" s="55"/>
      <c r="BK443" s="55"/>
      <c r="BL443" s="55"/>
      <c r="BM443" s="55"/>
      <c r="BN443" s="55"/>
      <c r="BO443" s="55"/>
      <c r="BP443" s="55"/>
      <c r="BQ443" s="55"/>
      <c r="BR443" s="55"/>
      <c r="BS443" s="55"/>
    </row>
    <row r="444" spans="1:71" outlineLevel="1" x14ac:dyDescent="0.2">
      <c r="D444" t="str">
        <f>HM_ZA_Nkossa!D433</f>
        <v>Revenus de droits pétroliers</v>
      </c>
      <c r="I444" s="30">
        <f t="shared" ref="I444:I450" ca="1" si="128">SUM($L444:$BS444)</f>
        <v>295.4341258218484</v>
      </c>
      <c r="J444" s="26" t="s">
        <v>148</v>
      </c>
      <c r="L444" s="49" cm="1">
        <f t="array" aca="1" ref="L444:BS444" ca="1">HM_ZB_Nsoko!CA_ent_rev_oil</f>
        <v>26.986879316915637</v>
      </c>
      <c r="M444" s="49">
        <f ca="1"/>
        <v>28.853365203365005</v>
      </c>
      <c r="N444" s="49">
        <f ca="1"/>
        <v>26.097115146897501</v>
      </c>
      <c r="O444" s="49">
        <f ca="1"/>
        <v>20.150212546559999</v>
      </c>
      <c r="P444" s="49">
        <f ca="1"/>
        <v>23.253948753177497</v>
      </c>
      <c r="Q444" s="49">
        <f ca="1"/>
        <v>20.953394305849997</v>
      </c>
      <c r="R444" s="49">
        <f ca="1"/>
        <v>8.9471387261999986</v>
      </c>
      <c r="S444" s="49">
        <f ca="1"/>
        <v>22.431241811165624</v>
      </c>
      <c r="T444" s="49">
        <f ca="1"/>
        <v>26.575452312454225</v>
      </c>
      <c r="U444" s="49">
        <f ca="1"/>
        <v>25.152041801294466</v>
      </c>
      <c r="V444" s="49">
        <f ca="1"/>
        <v>23.510249736190332</v>
      </c>
      <c r="W444" s="49">
        <f ca="1"/>
        <v>21.977274181388783</v>
      </c>
      <c r="X444" s="49">
        <f ca="1"/>
        <v>20.545811980389335</v>
      </c>
      <c r="Y444" s="49">
        <f ca="1"/>
        <v>0</v>
      </c>
      <c r="Z444" s="49">
        <f ca="1"/>
        <v>0</v>
      </c>
      <c r="AA444" s="49">
        <f ca="1"/>
        <v>0</v>
      </c>
      <c r="AB444" s="49">
        <f ca="1"/>
        <v>0</v>
      </c>
      <c r="AC444" s="49">
        <f ca="1"/>
        <v>0</v>
      </c>
      <c r="AD444" s="49">
        <f ca="1"/>
        <v>0</v>
      </c>
      <c r="AE444" s="49">
        <f ca="1"/>
        <v>0</v>
      </c>
      <c r="AF444" s="49">
        <f ca="1"/>
        <v>0</v>
      </c>
      <c r="AG444" s="49">
        <f ca="1"/>
        <v>0</v>
      </c>
      <c r="AH444" s="49">
        <f ca="1"/>
        <v>0</v>
      </c>
      <c r="AI444" s="49">
        <f ca="1"/>
        <v>0</v>
      </c>
      <c r="AJ444" s="49">
        <f ca="1"/>
        <v>0</v>
      </c>
      <c r="AK444" s="49">
        <f ca="1"/>
        <v>0</v>
      </c>
      <c r="AL444" s="49">
        <f ca="1"/>
        <v>0</v>
      </c>
      <c r="AM444" s="49">
        <f ca="1"/>
        <v>0</v>
      </c>
      <c r="AN444" s="49">
        <f ca="1"/>
        <v>0</v>
      </c>
      <c r="AO444" s="49">
        <f ca="1"/>
        <v>0</v>
      </c>
      <c r="AP444" s="49">
        <f ca="1"/>
        <v>0</v>
      </c>
      <c r="AQ444" s="49">
        <f ca="1"/>
        <v>0</v>
      </c>
      <c r="AR444" s="49">
        <f ca="1"/>
        <v>0</v>
      </c>
      <c r="AS444" s="49">
        <f ca="1"/>
        <v>0</v>
      </c>
      <c r="AT444" s="49">
        <f ca="1"/>
        <v>0</v>
      </c>
      <c r="AU444" s="49">
        <f ca="1"/>
        <v>0</v>
      </c>
      <c r="AV444" s="49">
        <f ca="1"/>
        <v>0</v>
      </c>
      <c r="AW444" s="49">
        <f ca="1"/>
        <v>0</v>
      </c>
      <c r="AX444" s="49">
        <f ca="1"/>
        <v>0</v>
      </c>
      <c r="AY444" s="49">
        <f ca="1"/>
        <v>0</v>
      </c>
      <c r="AZ444" s="49">
        <f ca="1"/>
        <v>0</v>
      </c>
      <c r="BA444" s="49">
        <f ca="1"/>
        <v>0</v>
      </c>
      <c r="BB444" s="49">
        <f ca="1"/>
        <v>0</v>
      </c>
      <c r="BC444" s="49">
        <f ca="1"/>
        <v>0</v>
      </c>
      <c r="BD444" s="49">
        <f ca="1"/>
        <v>0</v>
      </c>
      <c r="BE444" s="49">
        <f ca="1"/>
        <v>0</v>
      </c>
      <c r="BF444" s="49">
        <f ca="1"/>
        <v>0</v>
      </c>
      <c r="BG444" s="49">
        <f ca="1"/>
        <v>0</v>
      </c>
      <c r="BH444" s="49">
        <f ca="1"/>
        <v>0</v>
      </c>
      <c r="BI444" s="49">
        <f ca="1"/>
        <v>0</v>
      </c>
      <c r="BJ444" s="49">
        <f ca="1"/>
        <v>0</v>
      </c>
      <c r="BK444" s="49">
        <f ca="1"/>
        <v>0</v>
      </c>
      <c r="BL444" s="49">
        <f ca="1"/>
        <v>0</v>
      </c>
      <c r="BM444" s="49">
        <f ca="1"/>
        <v>0</v>
      </c>
      <c r="BN444" s="49">
        <f ca="1"/>
        <v>0</v>
      </c>
      <c r="BO444" s="49">
        <f ca="1"/>
        <v>0</v>
      </c>
      <c r="BP444" s="49">
        <f ca="1"/>
        <v>0</v>
      </c>
      <c r="BQ444" s="49">
        <f ca="1"/>
        <v>0</v>
      </c>
      <c r="BR444" s="49">
        <f ca="1"/>
        <v>0</v>
      </c>
      <c r="BS444" s="49">
        <f ca="1"/>
        <v>0</v>
      </c>
    </row>
    <row r="445" spans="1:71" outlineLevel="1" x14ac:dyDescent="0.2">
      <c r="D445" t="str">
        <f>HM_ZA_Nkossa!D434</f>
        <v>Revenus de droits gaziers</v>
      </c>
      <c r="I445" s="30">
        <f t="shared" ca="1" si="128"/>
        <v>0</v>
      </c>
      <c r="J445" s="26" t="s">
        <v>148</v>
      </c>
      <c r="L445" s="49" cm="1">
        <f t="array" aca="1" ref="L445:BS445" ca="1">HM_ZB_Nsoko!CA_ent_rev_gas</f>
        <v>0</v>
      </c>
      <c r="M445" s="49">
        <f ca="1"/>
        <v>0</v>
      </c>
      <c r="N445" s="49">
        <f ca="1"/>
        <v>0</v>
      </c>
      <c r="O445" s="49">
        <f ca="1"/>
        <v>0</v>
      </c>
      <c r="P445" s="49">
        <f ca="1"/>
        <v>0</v>
      </c>
      <c r="Q445" s="49">
        <f ca="1"/>
        <v>0</v>
      </c>
      <c r="R445" s="49">
        <f ca="1"/>
        <v>0</v>
      </c>
      <c r="S445" s="49">
        <f ca="1"/>
        <v>0</v>
      </c>
      <c r="T445" s="49">
        <f ca="1"/>
        <v>0</v>
      </c>
      <c r="U445" s="49">
        <f ca="1"/>
        <v>0</v>
      </c>
      <c r="V445" s="49">
        <f ca="1"/>
        <v>0</v>
      </c>
      <c r="W445" s="49">
        <f ca="1"/>
        <v>0</v>
      </c>
      <c r="X445" s="49">
        <f ca="1"/>
        <v>0</v>
      </c>
      <c r="Y445" s="49">
        <f ca="1"/>
        <v>0</v>
      </c>
      <c r="Z445" s="49">
        <f ca="1"/>
        <v>0</v>
      </c>
      <c r="AA445" s="49">
        <f ca="1"/>
        <v>0</v>
      </c>
      <c r="AB445" s="49">
        <f ca="1"/>
        <v>0</v>
      </c>
      <c r="AC445" s="49">
        <f ca="1"/>
        <v>0</v>
      </c>
      <c r="AD445" s="49">
        <f ca="1"/>
        <v>0</v>
      </c>
      <c r="AE445" s="49">
        <f ca="1"/>
        <v>0</v>
      </c>
      <c r="AF445" s="49">
        <f ca="1"/>
        <v>0</v>
      </c>
      <c r="AG445" s="49">
        <f ca="1"/>
        <v>0</v>
      </c>
      <c r="AH445" s="49">
        <f ca="1"/>
        <v>0</v>
      </c>
      <c r="AI445" s="49">
        <f ca="1"/>
        <v>0</v>
      </c>
      <c r="AJ445" s="49">
        <f ca="1"/>
        <v>0</v>
      </c>
      <c r="AK445" s="49">
        <f ca="1"/>
        <v>0</v>
      </c>
      <c r="AL445" s="49">
        <f ca="1"/>
        <v>0</v>
      </c>
      <c r="AM445" s="49">
        <f ca="1"/>
        <v>0</v>
      </c>
      <c r="AN445" s="49">
        <f ca="1"/>
        <v>0</v>
      </c>
      <c r="AO445" s="49">
        <f ca="1"/>
        <v>0</v>
      </c>
      <c r="AP445" s="49">
        <f ca="1"/>
        <v>0</v>
      </c>
      <c r="AQ445" s="49">
        <f ca="1"/>
        <v>0</v>
      </c>
      <c r="AR445" s="49">
        <f ca="1"/>
        <v>0</v>
      </c>
      <c r="AS445" s="49">
        <f ca="1"/>
        <v>0</v>
      </c>
      <c r="AT445" s="49">
        <f ca="1"/>
        <v>0</v>
      </c>
      <c r="AU445" s="49">
        <f ca="1"/>
        <v>0</v>
      </c>
      <c r="AV445" s="49">
        <f ca="1"/>
        <v>0</v>
      </c>
      <c r="AW445" s="49">
        <f ca="1"/>
        <v>0</v>
      </c>
      <c r="AX445" s="49">
        <f ca="1"/>
        <v>0</v>
      </c>
      <c r="AY445" s="49">
        <f ca="1"/>
        <v>0</v>
      </c>
      <c r="AZ445" s="49">
        <f ca="1"/>
        <v>0</v>
      </c>
      <c r="BA445" s="49">
        <f ca="1"/>
        <v>0</v>
      </c>
      <c r="BB445" s="49">
        <f ca="1"/>
        <v>0</v>
      </c>
      <c r="BC445" s="49">
        <f ca="1"/>
        <v>0</v>
      </c>
      <c r="BD445" s="49">
        <f ca="1"/>
        <v>0</v>
      </c>
      <c r="BE445" s="49">
        <f ca="1"/>
        <v>0</v>
      </c>
      <c r="BF445" s="49">
        <f ca="1"/>
        <v>0</v>
      </c>
      <c r="BG445" s="49">
        <f ca="1"/>
        <v>0</v>
      </c>
      <c r="BH445" s="49">
        <f ca="1"/>
        <v>0</v>
      </c>
      <c r="BI445" s="49">
        <f ca="1"/>
        <v>0</v>
      </c>
      <c r="BJ445" s="49">
        <f ca="1"/>
        <v>0</v>
      </c>
      <c r="BK445" s="49">
        <f ca="1"/>
        <v>0</v>
      </c>
      <c r="BL445" s="49">
        <f ca="1"/>
        <v>0</v>
      </c>
      <c r="BM445" s="49">
        <f ca="1"/>
        <v>0</v>
      </c>
      <c r="BN445" s="49">
        <f ca="1"/>
        <v>0</v>
      </c>
      <c r="BO445" s="49">
        <f ca="1"/>
        <v>0</v>
      </c>
      <c r="BP445" s="49">
        <f ca="1"/>
        <v>0</v>
      </c>
      <c r="BQ445" s="49">
        <f ca="1"/>
        <v>0</v>
      </c>
      <c r="BR445" s="49">
        <f ca="1"/>
        <v>0</v>
      </c>
      <c r="BS445" s="49">
        <f ca="1"/>
        <v>0</v>
      </c>
    </row>
    <row r="446" spans="1:71" outlineLevel="1" x14ac:dyDescent="0.2">
      <c r="D446" s="11" t="str">
        <f>HM_ZA_Nkossa!D435</f>
        <v>Total revenus des droits</v>
      </c>
      <c r="I446" s="30">
        <f t="shared" ca="1" si="128"/>
        <v>295.4341258218484</v>
      </c>
      <c r="J446" s="26" t="s">
        <v>148</v>
      </c>
      <c r="L446" s="49">
        <f ca="1">SUM(L444:L445)</f>
        <v>26.986879316915637</v>
      </c>
      <c r="M446" s="49">
        <f t="shared" ref="M446:BS446" ca="1" si="129">SUM(M444:M445)</f>
        <v>28.853365203365005</v>
      </c>
      <c r="N446" s="49">
        <f t="shared" ca="1" si="129"/>
        <v>26.097115146897501</v>
      </c>
      <c r="O446" s="49">
        <f t="shared" ca="1" si="129"/>
        <v>20.150212546559999</v>
      </c>
      <c r="P446" s="49">
        <f t="shared" ca="1" si="129"/>
        <v>23.253948753177497</v>
      </c>
      <c r="Q446" s="49">
        <f t="shared" ca="1" si="129"/>
        <v>20.953394305849997</v>
      </c>
      <c r="R446" s="49">
        <f t="shared" ca="1" si="129"/>
        <v>8.9471387261999986</v>
      </c>
      <c r="S446" s="49">
        <f t="shared" ca="1" si="129"/>
        <v>22.431241811165624</v>
      </c>
      <c r="T446" s="49">
        <f t="shared" ca="1" si="129"/>
        <v>26.575452312454225</v>
      </c>
      <c r="U446" s="49">
        <f t="shared" ca="1" si="129"/>
        <v>25.152041801294466</v>
      </c>
      <c r="V446" s="49">
        <f t="shared" ca="1" si="129"/>
        <v>23.510249736190332</v>
      </c>
      <c r="W446" s="49">
        <f t="shared" ca="1" si="129"/>
        <v>21.977274181388783</v>
      </c>
      <c r="X446" s="49">
        <f t="shared" ca="1" si="129"/>
        <v>20.545811980389335</v>
      </c>
      <c r="Y446" s="49">
        <f t="shared" ca="1" si="129"/>
        <v>0</v>
      </c>
      <c r="Z446" s="49">
        <f t="shared" ca="1" si="129"/>
        <v>0</v>
      </c>
      <c r="AA446" s="49">
        <f t="shared" ca="1" si="129"/>
        <v>0</v>
      </c>
      <c r="AB446" s="49">
        <f t="shared" ca="1" si="129"/>
        <v>0</v>
      </c>
      <c r="AC446" s="49">
        <f t="shared" ca="1" si="129"/>
        <v>0</v>
      </c>
      <c r="AD446" s="49">
        <f t="shared" ca="1" si="129"/>
        <v>0</v>
      </c>
      <c r="AE446" s="49">
        <f t="shared" ca="1" si="129"/>
        <v>0</v>
      </c>
      <c r="AF446" s="49">
        <f t="shared" ca="1" si="129"/>
        <v>0</v>
      </c>
      <c r="AG446" s="49">
        <f t="shared" ca="1" si="129"/>
        <v>0</v>
      </c>
      <c r="AH446" s="49">
        <f t="shared" ca="1" si="129"/>
        <v>0</v>
      </c>
      <c r="AI446" s="49">
        <f t="shared" ca="1" si="129"/>
        <v>0</v>
      </c>
      <c r="AJ446" s="49">
        <f t="shared" ca="1" si="129"/>
        <v>0</v>
      </c>
      <c r="AK446" s="49">
        <f t="shared" ca="1" si="129"/>
        <v>0</v>
      </c>
      <c r="AL446" s="49">
        <f t="shared" ca="1" si="129"/>
        <v>0</v>
      </c>
      <c r="AM446" s="49">
        <f t="shared" ca="1" si="129"/>
        <v>0</v>
      </c>
      <c r="AN446" s="49">
        <f t="shared" ca="1" si="129"/>
        <v>0</v>
      </c>
      <c r="AO446" s="49">
        <f t="shared" ca="1" si="129"/>
        <v>0</v>
      </c>
      <c r="AP446" s="49">
        <f t="shared" ca="1" si="129"/>
        <v>0</v>
      </c>
      <c r="AQ446" s="49">
        <f t="shared" ca="1" si="129"/>
        <v>0</v>
      </c>
      <c r="AR446" s="49">
        <f t="shared" ca="1" si="129"/>
        <v>0</v>
      </c>
      <c r="AS446" s="49">
        <f t="shared" ca="1" si="129"/>
        <v>0</v>
      </c>
      <c r="AT446" s="49">
        <f t="shared" ca="1" si="129"/>
        <v>0</v>
      </c>
      <c r="AU446" s="49">
        <f t="shared" ca="1" si="129"/>
        <v>0</v>
      </c>
      <c r="AV446" s="49">
        <f t="shared" ca="1" si="129"/>
        <v>0</v>
      </c>
      <c r="AW446" s="49">
        <f t="shared" ca="1" si="129"/>
        <v>0</v>
      </c>
      <c r="AX446" s="49">
        <f t="shared" ca="1" si="129"/>
        <v>0</v>
      </c>
      <c r="AY446" s="49">
        <f t="shared" ca="1" si="129"/>
        <v>0</v>
      </c>
      <c r="AZ446" s="49">
        <f t="shared" ca="1" si="129"/>
        <v>0</v>
      </c>
      <c r="BA446" s="49">
        <f t="shared" ca="1" si="129"/>
        <v>0</v>
      </c>
      <c r="BB446" s="49">
        <f t="shared" ca="1" si="129"/>
        <v>0</v>
      </c>
      <c r="BC446" s="49">
        <f t="shared" ca="1" si="129"/>
        <v>0</v>
      </c>
      <c r="BD446" s="49">
        <f t="shared" ca="1" si="129"/>
        <v>0</v>
      </c>
      <c r="BE446" s="49">
        <f t="shared" ca="1" si="129"/>
        <v>0</v>
      </c>
      <c r="BF446" s="49">
        <f t="shared" ca="1" si="129"/>
        <v>0</v>
      </c>
      <c r="BG446" s="49">
        <f t="shared" ca="1" si="129"/>
        <v>0</v>
      </c>
      <c r="BH446" s="49">
        <f t="shared" ca="1" si="129"/>
        <v>0</v>
      </c>
      <c r="BI446" s="49">
        <f t="shared" ca="1" si="129"/>
        <v>0</v>
      </c>
      <c r="BJ446" s="49">
        <f t="shared" ca="1" si="129"/>
        <v>0</v>
      </c>
      <c r="BK446" s="49">
        <f t="shared" ca="1" si="129"/>
        <v>0</v>
      </c>
      <c r="BL446" s="49">
        <f t="shared" ca="1" si="129"/>
        <v>0</v>
      </c>
      <c r="BM446" s="49">
        <f t="shared" ca="1" si="129"/>
        <v>0</v>
      </c>
      <c r="BN446" s="49">
        <f t="shared" ca="1" si="129"/>
        <v>0</v>
      </c>
      <c r="BO446" s="49">
        <f t="shared" ca="1" si="129"/>
        <v>0</v>
      </c>
      <c r="BP446" s="49">
        <f t="shared" ca="1" si="129"/>
        <v>0</v>
      </c>
      <c r="BQ446" s="49">
        <f t="shared" ca="1" si="129"/>
        <v>0</v>
      </c>
      <c r="BR446" s="49">
        <f t="shared" ca="1" si="129"/>
        <v>0</v>
      </c>
      <c r="BS446" s="49">
        <f t="shared" ca="1" si="129"/>
        <v>0</v>
      </c>
    </row>
    <row r="447" spans="1:71" outlineLevel="1" x14ac:dyDescent="0.2">
      <c r="J447" s="26"/>
      <c r="L447" s="55"/>
      <c r="M447" s="55"/>
      <c r="N447" s="55"/>
      <c r="O447" s="55"/>
      <c r="P447" s="55"/>
      <c r="Q447" s="55"/>
      <c r="R447" s="55"/>
      <c r="S447" s="55"/>
      <c r="T447" s="55"/>
      <c r="U447" s="55"/>
      <c r="V447" s="55"/>
      <c r="W447" s="55"/>
      <c r="X447" s="55"/>
      <c r="Y447" s="55"/>
      <c r="Z447" s="55"/>
      <c r="AA447" s="55"/>
      <c r="AB447" s="55"/>
      <c r="AC447" s="55"/>
      <c r="AD447" s="55"/>
      <c r="AE447" s="55"/>
      <c r="AF447" s="55"/>
      <c r="AG447" s="55"/>
      <c r="AH447" s="55"/>
      <c r="AI447" s="55"/>
      <c r="AJ447" s="55"/>
      <c r="AK447" s="55"/>
      <c r="AL447" s="55"/>
      <c r="AM447" s="55"/>
      <c r="AN447" s="55"/>
      <c r="AO447" s="55"/>
      <c r="AP447" s="55"/>
      <c r="AQ447" s="55"/>
      <c r="AR447" s="55"/>
      <c r="AS447" s="55"/>
      <c r="AT447" s="55"/>
      <c r="AU447" s="55"/>
      <c r="AV447" s="55"/>
      <c r="AW447" s="55"/>
      <c r="AX447" s="55"/>
      <c r="AY447" s="55"/>
      <c r="AZ447" s="55"/>
      <c r="BA447" s="55"/>
      <c r="BB447" s="55"/>
      <c r="BC447" s="55"/>
      <c r="BD447" s="55"/>
      <c r="BE447" s="55"/>
      <c r="BF447" s="55"/>
      <c r="BG447" s="55"/>
      <c r="BH447" s="55"/>
      <c r="BI447" s="55"/>
      <c r="BJ447" s="55"/>
      <c r="BK447" s="55"/>
      <c r="BL447" s="55"/>
      <c r="BM447" s="55"/>
      <c r="BN447" s="55"/>
      <c r="BO447" s="55"/>
      <c r="BP447" s="55"/>
      <c r="BQ447" s="55"/>
      <c r="BR447" s="55"/>
      <c r="BS447" s="55"/>
    </row>
    <row r="448" spans="1:71" outlineLevel="1" x14ac:dyDescent="0.2">
      <c r="C448" s="11" t="str">
        <f>HM_ZA_Nkossa!C437</f>
        <v>Coûts d'exploitation</v>
      </c>
      <c r="I448" s="30">
        <f t="shared" ca="1" si="128"/>
        <v>111.14358231999998</v>
      </c>
      <c r="J448" s="26" t="s">
        <v>148</v>
      </c>
      <c r="L448" s="49">
        <f ca="1">L428</f>
        <v>9.577</v>
      </c>
      <c r="M448" s="49">
        <f t="shared" ref="M448:BS448" ca="1" si="130">M428</f>
        <v>7.9459999999999997</v>
      </c>
      <c r="N448" s="49">
        <f t="shared" ca="1" si="130"/>
        <v>7.3320000000000007</v>
      </c>
      <c r="O448" s="49">
        <f t="shared" ca="1" si="130"/>
        <v>6.6769999999999996</v>
      </c>
      <c r="P448" s="49">
        <f t="shared" ca="1" si="130"/>
        <v>7.2530000000000001</v>
      </c>
      <c r="Q448" s="49">
        <f t="shared" ca="1" si="130"/>
        <v>7.3</v>
      </c>
      <c r="R448" s="49">
        <f t="shared" ca="1" si="130"/>
        <v>4.5999999999999996</v>
      </c>
      <c r="S448" s="49">
        <f t="shared" ca="1" si="130"/>
        <v>10</v>
      </c>
      <c r="T448" s="49">
        <f t="shared" ca="1" si="130"/>
        <v>9.9</v>
      </c>
      <c r="U448" s="49">
        <f t="shared" ca="1" si="130"/>
        <v>9.9960000000000004</v>
      </c>
      <c r="V448" s="49">
        <f t="shared" ca="1" si="130"/>
        <v>10.09188</v>
      </c>
      <c r="W448" s="49">
        <f t="shared" ca="1" si="130"/>
        <v>10.1875968</v>
      </c>
      <c r="X448" s="49">
        <f t="shared" ca="1" si="130"/>
        <v>10.283105519999999</v>
      </c>
      <c r="Y448" s="49">
        <f t="shared" ca="1" si="130"/>
        <v>0</v>
      </c>
      <c r="Z448" s="49">
        <f t="shared" ca="1" si="130"/>
        <v>0</v>
      </c>
      <c r="AA448" s="49">
        <f t="shared" ca="1" si="130"/>
        <v>0</v>
      </c>
      <c r="AB448" s="49">
        <f t="shared" ca="1" si="130"/>
        <v>0</v>
      </c>
      <c r="AC448" s="49">
        <f t="shared" ca="1" si="130"/>
        <v>0</v>
      </c>
      <c r="AD448" s="49">
        <f t="shared" ca="1" si="130"/>
        <v>0</v>
      </c>
      <c r="AE448" s="49">
        <f t="shared" ca="1" si="130"/>
        <v>0</v>
      </c>
      <c r="AF448" s="49">
        <f t="shared" ca="1" si="130"/>
        <v>0</v>
      </c>
      <c r="AG448" s="49">
        <f t="shared" ca="1" si="130"/>
        <v>0</v>
      </c>
      <c r="AH448" s="49">
        <f t="shared" ca="1" si="130"/>
        <v>0</v>
      </c>
      <c r="AI448" s="49">
        <f t="shared" ca="1" si="130"/>
        <v>0</v>
      </c>
      <c r="AJ448" s="49">
        <f t="shared" ca="1" si="130"/>
        <v>0</v>
      </c>
      <c r="AK448" s="49">
        <f t="shared" ca="1" si="130"/>
        <v>0</v>
      </c>
      <c r="AL448" s="49">
        <f t="shared" ca="1" si="130"/>
        <v>0</v>
      </c>
      <c r="AM448" s="49">
        <f t="shared" ca="1" si="130"/>
        <v>0</v>
      </c>
      <c r="AN448" s="49">
        <f t="shared" ca="1" si="130"/>
        <v>0</v>
      </c>
      <c r="AO448" s="49">
        <f t="shared" ca="1" si="130"/>
        <v>0</v>
      </c>
      <c r="AP448" s="49">
        <f t="shared" ca="1" si="130"/>
        <v>0</v>
      </c>
      <c r="AQ448" s="49">
        <f t="shared" ca="1" si="130"/>
        <v>0</v>
      </c>
      <c r="AR448" s="49">
        <f t="shared" ca="1" si="130"/>
        <v>0</v>
      </c>
      <c r="AS448" s="49">
        <f t="shared" ca="1" si="130"/>
        <v>0</v>
      </c>
      <c r="AT448" s="49">
        <f t="shared" ca="1" si="130"/>
        <v>0</v>
      </c>
      <c r="AU448" s="49">
        <f t="shared" ca="1" si="130"/>
        <v>0</v>
      </c>
      <c r="AV448" s="49">
        <f t="shared" ca="1" si="130"/>
        <v>0</v>
      </c>
      <c r="AW448" s="49">
        <f t="shared" ca="1" si="130"/>
        <v>0</v>
      </c>
      <c r="AX448" s="49">
        <f t="shared" ca="1" si="130"/>
        <v>0</v>
      </c>
      <c r="AY448" s="49">
        <f t="shared" ca="1" si="130"/>
        <v>0</v>
      </c>
      <c r="AZ448" s="49">
        <f t="shared" ca="1" si="130"/>
        <v>0</v>
      </c>
      <c r="BA448" s="49">
        <f t="shared" ca="1" si="130"/>
        <v>0</v>
      </c>
      <c r="BB448" s="49">
        <f t="shared" ca="1" si="130"/>
        <v>0</v>
      </c>
      <c r="BC448" s="49">
        <f t="shared" ca="1" si="130"/>
        <v>0</v>
      </c>
      <c r="BD448" s="49">
        <f t="shared" ca="1" si="130"/>
        <v>0</v>
      </c>
      <c r="BE448" s="49">
        <f t="shared" ca="1" si="130"/>
        <v>0</v>
      </c>
      <c r="BF448" s="49">
        <f t="shared" ca="1" si="130"/>
        <v>0</v>
      </c>
      <c r="BG448" s="49">
        <f t="shared" ca="1" si="130"/>
        <v>0</v>
      </c>
      <c r="BH448" s="49">
        <f t="shared" ca="1" si="130"/>
        <v>0</v>
      </c>
      <c r="BI448" s="49">
        <f t="shared" ca="1" si="130"/>
        <v>0</v>
      </c>
      <c r="BJ448" s="49">
        <f t="shared" ca="1" si="130"/>
        <v>0</v>
      </c>
      <c r="BK448" s="49">
        <f t="shared" ca="1" si="130"/>
        <v>0</v>
      </c>
      <c r="BL448" s="49">
        <f t="shared" ca="1" si="130"/>
        <v>0</v>
      </c>
      <c r="BM448" s="49">
        <f t="shared" ca="1" si="130"/>
        <v>0</v>
      </c>
      <c r="BN448" s="49">
        <f t="shared" ca="1" si="130"/>
        <v>0</v>
      </c>
      <c r="BO448" s="49">
        <f t="shared" ca="1" si="130"/>
        <v>0</v>
      </c>
      <c r="BP448" s="49">
        <f t="shared" ca="1" si="130"/>
        <v>0</v>
      </c>
      <c r="BQ448" s="49">
        <f t="shared" ca="1" si="130"/>
        <v>0</v>
      </c>
      <c r="BR448" s="49">
        <f t="shared" ca="1" si="130"/>
        <v>0</v>
      </c>
      <c r="BS448" s="49">
        <f t="shared" ca="1" si="130"/>
        <v>0</v>
      </c>
    </row>
    <row r="449" spans="3:71" outlineLevel="1" x14ac:dyDescent="0.2">
      <c r="J449" s="26"/>
      <c r="L449" s="55"/>
      <c r="M449" s="55"/>
      <c r="N449" s="55"/>
      <c r="O449" s="55"/>
      <c r="P449" s="55"/>
      <c r="Q449" s="55"/>
      <c r="R449" s="55"/>
      <c r="S449" s="55"/>
      <c r="T449" s="55"/>
      <c r="U449" s="55"/>
      <c r="V449" s="55"/>
      <c r="W449" s="55"/>
      <c r="X449" s="55"/>
      <c r="Y449" s="55"/>
      <c r="Z449" s="55"/>
      <c r="AA449" s="55"/>
      <c r="AB449" s="55"/>
      <c r="AC449" s="55"/>
      <c r="AD449" s="55"/>
      <c r="AE449" s="55"/>
      <c r="AF449" s="55"/>
      <c r="AG449" s="55"/>
      <c r="AH449" s="55"/>
      <c r="AI449" s="55"/>
      <c r="AJ449" s="55"/>
      <c r="AK449" s="55"/>
      <c r="AL449" s="55"/>
      <c r="AM449" s="55"/>
      <c r="AN449" s="55"/>
      <c r="AO449" s="55"/>
      <c r="AP449" s="55"/>
      <c r="AQ449" s="55"/>
      <c r="AR449" s="55"/>
      <c r="AS449" s="55"/>
      <c r="AT449" s="55"/>
      <c r="AU449" s="55"/>
      <c r="AV449" s="55"/>
      <c r="AW449" s="55"/>
      <c r="AX449" s="55"/>
      <c r="AY449" s="55"/>
      <c r="AZ449" s="55"/>
      <c r="BA449" s="55"/>
      <c r="BB449" s="55"/>
      <c r="BC449" s="55"/>
      <c r="BD449" s="55"/>
      <c r="BE449" s="55"/>
      <c r="BF449" s="55"/>
      <c r="BG449" s="55"/>
      <c r="BH449" s="55"/>
      <c r="BI449" s="55"/>
      <c r="BJ449" s="55"/>
      <c r="BK449" s="55"/>
      <c r="BL449" s="55"/>
      <c r="BM449" s="55"/>
      <c r="BN449" s="55"/>
      <c r="BO449" s="55"/>
      <c r="BP449" s="55"/>
      <c r="BQ449" s="55"/>
      <c r="BR449" s="55"/>
      <c r="BS449" s="55"/>
    </row>
    <row r="450" spans="3:71" outlineLevel="1" x14ac:dyDescent="0.2">
      <c r="C450" s="11" t="str">
        <f>HM_ZA_Nkossa!C439</f>
        <v>Bonus et frais</v>
      </c>
      <c r="I450" s="30">
        <f t="shared" ca="1" si="128"/>
        <v>5.8481941006574409</v>
      </c>
      <c r="J450" s="26" t="s">
        <v>148</v>
      </c>
      <c r="L450" s="49" cm="1">
        <f t="array" aca="1" ref="L450:BS450" ca="1">HM_ZB_Nsoko!CA_pid_fees</f>
        <v>0.83933369293000004</v>
      </c>
      <c r="M450" s="49">
        <f ca="1"/>
        <v>0.8423723221099999</v>
      </c>
      <c r="N450" s="49">
        <f ca="1"/>
        <v>0.48479070684000009</v>
      </c>
      <c r="O450" s="49">
        <f ca="1"/>
        <v>0.33069589979000003</v>
      </c>
      <c r="P450" s="49">
        <f ca="1"/>
        <v>0.39805745783999996</v>
      </c>
      <c r="Q450" s="49">
        <f ca="1"/>
        <v>0.47558781632999997</v>
      </c>
      <c r="R450" s="49">
        <f ca="1"/>
        <v>0.16420027699999998</v>
      </c>
      <c r="S450" s="49">
        <f ca="1"/>
        <v>0.3093964387746983</v>
      </c>
      <c r="T450" s="49">
        <f ca="1"/>
        <v>0.42673548997278199</v>
      </c>
      <c r="U450" s="49">
        <f ca="1"/>
        <v>0.42598874905548945</v>
      </c>
      <c r="V450" s="49">
        <f ca="1"/>
        <v>0.40409292735403723</v>
      </c>
      <c r="W450" s="49">
        <f ca="1"/>
        <v>0.38332255088803968</v>
      </c>
      <c r="X450" s="49">
        <f ca="1"/>
        <v>0.36361977177239446</v>
      </c>
      <c r="Y450" s="49">
        <f ca="1"/>
        <v>0</v>
      </c>
      <c r="Z450" s="49">
        <f ca="1"/>
        <v>0</v>
      </c>
      <c r="AA450" s="49">
        <f ca="1"/>
        <v>0</v>
      </c>
      <c r="AB450" s="49">
        <f ca="1"/>
        <v>0</v>
      </c>
      <c r="AC450" s="49">
        <f ca="1"/>
        <v>0</v>
      </c>
      <c r="AD450" s="49">
        <f ca="1"/>
        <v>0</v>
      </c>
      <c r="AE450" s="49">
        <f ca="1"/>
        <v>0</v>
      </c>
      <c r="AF450" s="49">
        <f ca="1"/>
        <v>0</v>
      </c>
      <c r="AG450" s="49">
        <f ca="1"/>
        <v>0</v>
      </c>
      <c r="AH450" s="49">
        <f ca="1"/>
        <v>0</v>
      </c>
      <c r="AI450" s="49">
        <f ca="1"/>
        <v>0</v>
      </c>
      <c r="AJ450" s="49">
        <f ca="1"/>
        <v>0</v>
      </c>
      <c r="AK450" s="49">
        <f ca="1"/>
        <v>0</v>
      </c>
      <c r="AL450" s="49">
        <f ca="1"/>
        <v>0</v>
      </c>
      <c r="AM450" s="49">
        <f ca="1"/>
        <v>0</v>
      </c>
      <c r="AN450" s="49">
        <f ca="1"/>
        <v>0</v>
      </c>
      <c r="AO450" s="49">
        <f ca="1"/>
        <v>0</v>
      </c>
      <c r="AP450" s="49">
        <f ca="1"/>
        <v>0</v>
      </c>
      <c r="AQ450" s="49">
        <f ca="1"/>
        <v>0</v>
      </c>
      <c r="AR450" s="49">
        <f ca="1"/>
        <v>0</v>
      </c>
      <c r="AS450" s="49">
        <f ca="1"/>
        <v>0</v>
      </c>
      <c r="AT450" s="49">
        <f ca="1"/>
        <v>0</v>
      </c>
      <c r="AU450" s="49">
        <f ca="1"/>
        <v>0</v>
      </c>
      <c r="AV450" s="49">
        <f ca="1"/>
        <v>0</v>
      </c>
      <c r="AW450" s="49">
        <f ca="1"/>
        <v>0</v>
      </c>
      <c r="AX450" s="49">
        <f ca="1"/>
        <v>0</v>
      </c>
      <c r="AY450" s="49">
        <f ca="1"/>
        <v>0</v>
      </c>
      <c r="AZ450" s="49">
        <f ca="1"/>
        <v>0</v>
      </c>
      <c r="BA450" s="49">
        <f ca="1"/>
        <v>0</v>
      </c>
      <c r="BB450" s="49">
        <f ca="1"/>
        <v>0</v>
      </c>
      <c r="BC450" s="49">
        <f ca="1"/>
        <v>0</v>
      </c>
      <c r="BD450" s="49">
        <f ca="1"/>
        <v>0</v>
      </c>
      <c r="BE450" s="49">
        <f ca="1"/>
        <v>0</v>
      </c>
      <c r="BF450" s="49">
        <f ca="1"/>
        <v>0</v>
      </c>
      <c r="BG450" s="49">
        <f ca="1"/>
        <v>0</v>
      </c>
      <c r="BH450" s="49">
        <f ca="1"/>
        <v>0</v>
      </c>
      <c r="BI450" s="49">
        <f ca="1"/>
        <v>0</v>
      </c>
      <c r="BJ450" s="49">
        <f ca="1"/>
        <v>0</v>
      </c>
      <c r="BK450" s="49">
        <f ca="1"/>
        <v>0</v>
      </c>
      <c r="BL450" s="49">
        <f ca="1"/>
        <v>0</v>
      </c>
      <c r="BM450" s="49">
        <f ca="1"/>
        <v>0</v>
      </c>
      <c r="BN450" s="49">
        <f ca="1"/>
        <v>0</v>
      </c>
      <c r="BO450" s="49">
        <f ca="1"/>
        <v>0</v>
      </c>
      <c r="BP450" s="49">
        <f ca="1"/>
        <v>0</v>
      </c>
      <c r="BQ450" s="49">
        <f ca="1"/>
        <v>0</v>
      </c>
      <c r="BR450" s="49">
        <f ca="1"/>
        <v>0</v>
      </c>
      <c r="BS450" s="49">
        <f ca="1"/>
        <v>0</v>
      </c>
    </row>
    <row r="451" spans="3:71" outlineLevel="1" x14ac:dyDescent="0.2">
      <c r="J451" s="26"/>
      <c r="L451" s="55"/>
      <c r="M451" s="55"/>
      <c r="N451" s="55"/>
      <c r="O451" s="55"/>
      <c r="P451" s="55"/>
      <c r="Q451" s="55"/>
      <c r="R451" s="55"/>
      <c r="S451" s="55"/>
      <c r="T451" s="55"/>
      <c r="U451" s="55"/>
      <c r="V451" s="55"/>
      <c r="W451" s="55"/>
      <c r="X451" s="55"/>
      <c r="Y451" s="55"/>
      <c r="Z451" s="55"/>
      <c r="AA451" s="55"/>
      <c r="AB451" s="55"/>
      <c r="AC451" s="55"/>
      <c r="AD451" s="55"/>
      <c r="AE451" s="55"/>
      <c r="AF451" s="55"/>
      <c r="AG451" s="55"/>
      <c r="AH451" s="55"/>
      <c r="AI451" s="55"/>
      <c r="AJ451" s="55"/>
      <c r="AK451" s="55"/>
      <c r="AL451" s="55"/>
      <c r="AM451" s="55"/>
      <c r="AN451" s="55"/>
      <c r="AO451" s="55"/>
      <c r="AP451" s="55"/>
      <c r="AQ451" s="55"/>
      <c r="AR451" s="55"/>
      <c r="AS451" s="55"/>
      <c r="AT451" s="55"/>
      <c r="AU451" s="55"/>
      <c r="AV451" s="55"/>
      <c r="AW451" s="55"/>
      <c r="AX451" s="55"/>
      <c r="AY451" s="55"/>
      <c r="AZ451" s="55"/>
      <c r="BA451" s="55"/>
      <c r="BB451" s="55"/>
      <c r="BC451" s="55"/>
      <c r="BD451" s="55"/>
      <c r="BE451" s="55"/>
      <c r="BF451" s="55"/>
      <c r="BG451" s="55"/>
      <c r="BH451" s="55"/>
      <c r="BI451" s="55"/>
      <c r="BJ451" s="55"/>
      <c r="BK451" s="55"/>
      <c r="BL451" s="55"/>
      <c r="BM451" s="55"/>
      <c r="BN451" s="55"/>
      <c r="BO451" s="55"/>
      <c r="BP451" s="55"/>
      <c r="BQ451" s="55"/>
      <c r="BR451" s="55"/>
      <c r="BS451" s="55"/>
    </row>
    <row r="452" spans="3:71" outlineLevel="1" x14ac:dyDescent="0.2">
      <c r="C452" s="11" t="str">
        <f>HM_ZA_Nkossa!C441</f>
        <v>Production et autres taxes</v>
      </c>
      <c r="I452" s="30">
        <f t="shared" ref="I452:I462" si="131">SUM($L452:$BS452)</f>
        <v>0</v>
      </c>
      <c r="J452" s="26" t="s">
        <v>148</v>
      </c>
      <c r="L452" s="49">
        <v>0</v>
      </c>
      <c r="M452" s="49">
        <v>0</v>
      </c>
      <c r="N452" s="49">
        <v>0</v>
      </c>
      <c r="O452" s="49">
        <v>0</v>
      </c>
      <c r="P452" s="49">
        <v>0</v>
      </c>
      <c r="Q452" s="49">
        <v>0</v>
      </c>
      <c r="R452" s="49">
        <v>0</v>
      </c>
      <c r="S452" s="49">
        <v>0</v>
      </c>
      <c r="T452" s="49">
        <v>0</v>
      </c>
      <c r="U452" s="49">
        <v>0</v>
      </c>
      <c r="V452" s="49">
        <v>0</v>
      </c>
      <c r="W452" s="49">
        <v>0</v>
      </c>
      <c r="X452" s="49">
        <v>0</v>
      </c>
      <c r="Y452" s="49">
        <v>0</v>
      </c>
      <c r="Z452" s="49">
        <v>0</v>
      </c>
      <c r="AA452" s="49">
        <v>0</v>
      </c>
      <c r="AB452" s="49">
        <v>0</v>
      </c>
      <c r="AC452" s="49">
        <v>0</v>
      </c>
      <c r="AD452" s="49">
        <v>0</v>
      </c>
      <c r="AE452" s="49">
        <v>0</v>
      </c>
      <c r="AF452" s="49">
        <v>0</v>
      </c>
      <c r="AG452" s="49">
        <v>0</v>
      </c>
      <c r="AH452" s="49">
        <v>0</v>
      </c>
      <c r="AI452" s="49">
        <v>0</v>
      </c>
      <c r="AJ452" s="49">
        <v>0</v>
      </c>
      <c r="AK452" s="49">
        <v>0</v>
      </c>
      <c r="AL452" s="49">
        <v>0</v>
      </c>
      <c r="AM452" s="49">
        <v>0</v>
      </c>
      <c r="AN452" s="49">
        <v>0</v>
      </c>
      <c r="AO452" s="49">
        <v>0</v>
      </c>
      <c r="AP452" s="49">
        <v>0</v>
      </c>
      <c r="AQ452" s="49">
        <v>0</v>
      </c>
      <c r="AR452" s="49">
        <v>0</v>
      </c>
      <c r="AS452" s="49">
        <v>0</v>
      </c>
      <c r="AT452" s="49">
        <v>0</v>
      </c>
      <c r="AU452" s="49">
        <v>0</v>
      </c>
      <c r="AV452" s="49">
        <v>0</v>
      </c>
      <c r="AW452" s="49">
        <v>0</v>
      </c>
      <c r="AX452" s="49">
        <v>0</v>
      </c>
      <c r="AY452" s="49">
        <v>0</v>
      </c>
      <c r="AZ452" s="49">
        <v>0</v>
      </c>
      <c r="BA452" s="49">
        <v>0</v>
      </c>
      <c r="BB452" s="49">
        <v>0</v>
      </c>
      <c r="BC452" s="49">
        <v>0</v>
      </c>
      <c r="BD452" s="49">
        <v>0</v>
      </c>
      <c r="BE452" s="49">
        <v>0</v>
      </c>
      <c r="BF452" s="49">
        <v>0</v>
      </c>
      <c r="BG452" s="49">
        <v>0</v>
      </c>
      <c r="BH452" s="49">
        <v>0</v>
      </c>
      <c r="BI452" s="49">
        <v>0</v>
      </c>
      <c r="BJ452" s="49">
        <v>0</v>
      </c>
      <c r="BK452" s="49">
        <v>0</v>
      </c>
      <c r="BL452" s="49">
        <v>0</v>
      </c>
      <c r="BM452" s="49">
        <v>0</v>
      </c>
      <c r="BN452" s="49">
        <v>0</v>
      </c>
      <c r="BO452" s="49">
        <v>0</v>
      </c>
      <c r="BP452" s="49">
        <v>0</v>
      </c>
      <c r="BQ452" s="49">
        <v>0</v>
      </c>
      <c r="BR452" s="49">
        <v>0</v>
      </c>
      <c r="BS452" s="49">
        <v>0</v>
      </c>
    </row>
    <row r="453" spans="3:71" outlineLevel="1" x14ac:dyDescent="0.2">
      <c r="J453" s="26"/>
      <c r="L453" s="55"/>
      <c r="M453" s="55"/>
      <c r="N453" s="55"/>
      <c r="O453" s="55"/>
      <c r="P453" s="55"/>
      <c r="Q453" s="55"/>
      <c r="R453" s="55"/>
      <c r="S453" s="55"/>
      <c r="T453" s="55"/>
      <c r="U453" s="55"/>
      <c r="V453" s="55"/>
      <c r="W453" s="55"/>
      <c r="X453" s="55"/>
      <c r="Y453" s="55"/>
      <c r="Z453" s="55"/>
      <c r="AA453" s="55"/>
      <c r="AB453" s="55"/>
      <c r="AC453" s="55"/>
      <c r="AD453" s="55"/>
      <c r="AE453" s="55"/>
      <c r="AF453" s="55"/>
      <c r="AG453" s="55"/>
      <c r="AH453" s="55"/>
      <c r="AI453" s="55"/>
      <c r="AJ453" s="55"/>
      <c r="AK453" s="55"/>
      <c r="AL453" s="55"/>
      <c r="AM453" s="55"/>
      <c r="AN453" s="55"/>
      <c r="AO453" s="55"/>
      <c r="AP453" s="55"/>
      <c r="AQ453" s="55"/>
      <c r="AR453" s="55"/>
      <c r="AS453" s="55"/>
      <c r="AT453" s="55"/>
      <c r="AU453" s="55"/>
      <c r="AV453" s="55"/>
      <c r="AW453" s="55"/>
      <c r="AX453" s="55"/>
      <c r="AY453" s="55"/>
      <c r="AZ453" s="55"/>
      <c r="BA453" s="55"/>
      <c r="BB453" s="55"/>
      <c r="BC453" s="55"/>
      <c r="BD453" s="55"/>
      <c r="BE453" s="55"/>
      <c r="BF453" s="55"/>
      <c r="BG453" s="55"/>
      <c r="BH453" s="55"/>
      <c r="BI453" s="55"/>
      <c r="BJ453" s="55"/>
      <c r="BK453" s="55"/>
      <c r="BL453" s="55"/>
      <c r="BM453" s="55"/>
      <c r="BN453" s="55"/>
      <c r="BO453" s="55"/>
      <c r="BP453" s="55"/>
      <c r="BQ453" s="55"/>
      <c r="BR453" s="55"/>
      <c r="BS453" s="55"/>
    </row>
    <row r="454" spans="3:71" outlineLevel="1" x14ac:dyDescent="0.2">
      <c r="C454" s="11" t="str">
        <f>HM_ZA_Nkossa!C443</f>
        <v>Capex hors abandon</v>
      </c>
      <c r="I454" s="30">
        <f t="shared" ca="1" si="131"/>
        <v>40.866999999999997</v>
      </c>
      <c r="J454" s="26" t="s">
        <v>148</v>
      </c>
      <c r="L454" s="49">
        <f ca="1">SUM(L431:L432)</f>
        <v>0.81200000000000006</v>
      </c>
      <c r="M454" s="49">
        <f t="shared" ref="M454:BS454" ca="1" si="132">SUM(M431:M432)</f>
        <v>38.951000000000001</v>
      </c>
      <c r="N454" s="49">
        <f t="shared" ca="1" si="132"/>
        <v>0.69199999999999995</v>
      </c>
      <c r="O454" s="49">
        <f t="shared" ca="1" si="132"/>
        <v>0.156</v>
      </c>
      <c r="P454" s="49">
        <f t="shared" ca="1" si="132"/>
        <v>0.25600000000000001</v>
      </c>
      <c r="Q454" s="49">
        <f t="shared" ca="1" si="132"/>
        <v>0</v>
      </c>
      <c r="R454" s="49">
        <f t="shared" ca="1" si="132"/>
        <v>0</v>
      </c>
      <c r="S454" s="49">
        <f t="shared" ca="1" si="132"/>
        <v>0</v>
      </c>
      <c r="T454" s="49">
        <f t="shared" ca="1" si="132"/>
        <v>0</v>
      </c>
      <c r="U454" s="49">
        <f t="shared" ca="1" si="132"/>
        <v>0</v>
      </c>
      <c r="V454" s="49">
        <f t="shared" ca="1" si="132"/>
        <v>0</v>
      </c>
      <c r="W454" s="49">
        <f t="shared" ca="1" si="132"/>
        <v>0</v>
      </c>
      <c r="X454" s="49">
        <f t="shared" ca="1" si="132"/>
        <v>0</v>
      </c>
      <c r="Y454" s="49">
        <f t="shared" ca="1" si="132"/>
        <v>0</v>
      </c>
      <c r="Z454" s="49">
        <f t="shared" ca="1" si="132"/>
        <v>0</v>
      </c>
      <c r="AA454" s="49">
        <f t="shared" ca="1" si="132"/>
        <v>0</v>
      </c>
      <c r="AB454" s="49">
        <f t="shared" ca="1" si="132"/>
        <v>0</v>
      </c>
      <c r="AC454" s="49">
        <f t="shared" ca="1" si="132"/>
        <v>0</v>
      </c>
      <c r="AD454" s="49">
        <f t="shared" ca="1" si="132"/>
        <v>0</v>
      </c>
      <c r="AE454" s="49">
        <f t="shared" ca="1" si="132"/>
        <v>0</v>
      </c>
      <c r="AF454" s="49">
        <f t="shared" ca="1" si="132"/>
        <v>0</v>
      </c>
      <c r="AG454" s="49">
        <f t="shared" ca="1" si="132"/>
        <v>0</v>
      </c>
      <c r="AH454" s="49">
        <f t="shared" ca="1" si="132"/>
        <v>0</v>
      </c>
      <c r="AI454" s="49">
        <f t="shared" ca="1" si="132"/>
        <v>0</v>
      </c>
      <c r="AJ454" s="49">
        <f t="shared" ca="1" si="132"/>
        <v>0</v>
      </c>
      <c r="AK454" s="49">
        <f t="shared" ca="1" si="132"/>
        <v>0</v>
      </c>
      <c r="AL454" s="49">
        <f t="shared" ca="1" si="132"/>
        <v>0</v>
      </c>
      <c r="AM454" s="49">
        <f t="shared" ca="1" si="132"/>
        <v>0</v>
      </c>
      <c r="AN454" s="49">
        <f t="shared" ca="1" si="132"/>
        <v>0</v>
      </c>
      <c r="AO454" s="49">
        <f t="shared" ca="1" si="132"/>
        <v>0</v>
      </c>
      <c r="AP454" s="49">
        <f t="shared" ca="1" si="132"/>
        <v>0</v>
      </c>
      <c r="AQ454" s="49">
        <f t="shared" ca="1" si="132"/>
        <v>0</v>
      </c>
      <c r="AR454" s="49">
        <f t="shared" ca="1" si="132"/>
        <v>0</v>
      </c>
      <c r="AS454" s="49">
        <f t="shared" ca="1" si="132"/>
        <v>0</v>
      </c>
      <c r="AT454" s="49">
        <f t="shared" ca="1" si="132"/>
        <v>0</v>
      </c>
      <c r="AU454" s="49">
        <f t="shared" ca="1" si="132"/>
        <v>0</v>
      </c>
      <c r="AV454" s="49">
        <f t="shared" ca="1" si="132"/>
        <v>0</v>
      </c>
      <c r="AW454" s="49">
        <f t="shared" ca="1" si="132"/>
        <v>0</v>
      </c>
      <c r="AX454" s="49">
        <f t="shared" ca="1" si="132"/>
        <v>0</v>
      </c>
      <c r="AY454" s="49">
        <f t="shared" ca="1" si="132"/>
        <v>0</v>
      </c>
      <c r="AZ454" s="49">
        <f t="shared" ca="1" si="132"/>
        <v>0</v>
      </c>
      <c r="BA454" s="49">
        <f t="shared" ca="1" si="132"/>
        <v>0</v>
      </c>
      <c r="BB454" s="49">
        <f t="shared" ca="1" si="132"/>
        <v>0</v>
      </c>
      <c r="BC454" s="49">
        <f t="shared" ca="1" si="132"/>
        <v>0</v>
      </c>
      <c r="BD454" s="49">
        <f t="shared" ca="1" si="132"/>
        <v>0</v>
      </c>
      <c r="BE454" s="49">
        <f t="shared" ca="1" si="132"/>
        <v>0</v>
      </c>
      <c r="BF454" s="49">
        <f t="shared" ca="1" si="132"/>
        <v>0</v>
      </c>
      <c r="BG454" s="49">
        <f t="shared" ca="1" si="132"/>
        <v>0</v>
      </c>
      <c r="BH454" s="49">
        <f t="shared" ca="1" si="132"/>
        <v>0</v>
      </c>
      <c r="BI454" s="49">
        <f t="shared" ca="1" si="132"/>
        <v>0</v>
      </c>
      <c r="BJ454" s="49">
        <f t="shared" ca="1" si="132"/>
        <v>0</v>
      </c>
      <c r="BK454" s="49">
        <f t="shared" ca="1" si="132"/>
        <v>0</v>
      </c>
      <c r="BL454" s="49">
        <f t="shared" ca="1" si="132"/>
        <v>0</v>
      </c>
      <c r="BM454" s="49">
        <f t="shared" ca="1" si="132"/>
        <v>0</v>
      </c>
      <c r="BN454" s="49">
        <f t="shared" ca="1" si="132"/>
        <v>0</v>
      </c>
      <c r="BO454" s="49">
        <f t="shared" ca="1" si="132"/>
        <v>0</v>
      </c>
      <c r="BP454" s="49">
        <f t="shared" ca="1" si="132"/>
        <v>0</v>
      </c>
      <c r="BQ454" s="49">
        <f t="shared" ca="1" si="132"/>
        <v>0</v>
      </c>
      <c r="BR454" s="49">
        <f t="shared" ca="1" si="132"/>
        <v>0</v>
      </c>
      <c r="BS454" s="49">
        <f t="shared" ca="1" si="132"/>
        <v>0</v>
      </c>
    </row>
    <row r="455" spans="3:71" outlineLevel="1" x14ac:dyDescent="0.2">
      <c r="J455" s="26"/>
      <c r="L455" s="55"/>
      <c r="M455" s="55"/>
      <c r="N455" s="55"/>
      <c r="O455" s="55"/>
      <c r="P455" s="55"/>
      <c r="Q455" s="55"/>
      <c r="R455" s="55"/>
      <c r="S455" s="55"/>
      <c r="T455" s="55"/>
      <c r="U455" s="55"/>
      <c r="V455" s="55"/>
      <c r="W455" s="55"/>
      <c r="X455" s="55"/>
      <c r="Y455" s="55"/>
      <c r="Z455" s="55"/>
      <c r="AA455" s="55"/>
      <c r="AB455" s="55"/>
      <c r="AC455" s="55"/>
      <c r="AD455" s="55"/>
      <c r="AE455" s="55"/>
      <c r="AF455" s="55"/>
      <c r="AG455" s="55"/>
      <c r="AH455" s="55"/>
      <c r="AI455" s="55"/>
      <c r="AJ455" s="55"/>
      <c r="AK455" s="55"/>
      <c r="AL455" s="55"/>
      <c r="AM455" s="55"/>
      <c r="AN455" s="55"/>
      <c r="AO455" s="55"/>
      <c r="AP455" s="55"/>
      <c r="AQ455" s="55"/>
      <c r="AR455" s="55"/>
      <c r="AS455" s="55"/>
      <c r="AT455" s="55"/>
      <c r="AU455" s="55"/>
      <c r="AV455" s="55"/>
      <c r="AW455" s="55"/>
      <c r="AX455" s="55"/>
      <c r="AY455" s="55"/>
      <c r="AZ455" s="55"/>
      <c r="BA455" s="55"/>
      <c r="BB455" s="55"/>
      <c r="BC455" s="55"/>
      <c r="BD455" s="55"/>
      <c r="BE455" s="55"/>
      <c r="BF455" s="55"/>
      <c r="BG455" s="55"/>
      <c r="BH455" s="55"/>
      <c r="BI455" s="55"/>
      <c r="BJ455" s="55"/>
      <c r="BK455" s="55"/>
      <c r="BL455" s="55"/>
      <c r="BM455" s="55"/>
      <c r="BN455" s="55"/>
      <c r="BO455" s="55"/>
      <c r="BP455" s="55"/>
      <c r="BQ455" s="55"/>
      <c r="BR455" s="55"/>
      <c r="BS455" s="55"/>
    </row>
    <row r="456" spans="3:71" outlineLevel="1" x14ac:dyDescent="0.2">
      <c r="C456" s="11" t="str">
        <f>HM_ZA_Nkossa!C445</f>
        <v>Abandon</v>
      </c>
      <c r="I456" s="30">
        <f t="shared" ca="1" si="131"/>
        <v>37.902999999999999</v>
      </c>
      <c r="J456" s="26" t="s">
        <v>148</v>
      </c>
      <c r="L456" s="49">
        <f ca="1">L433</f>
        <v>4.1470000000000002</v>
      </c>
      <c r="M456" s="49">
        <f t="shared" ref="M456:BS456" ca="1" si="133">M433</f>
        <v>4.7190000000000003</v>
      </c>
      <c r="N456" s="49">
        <f t="shared" ca="1" si="133"/>
        <v>6.5110000000000001</v>
      </c>
      <c r="O456" s="49">
        <f t="shared" ca="1" si="133"/>
        <v>7.0970000000000004</v>
      </c>
      <c r="P456" s="49">
        <f t="shared" ca="1" si="133"/>
        <v>7.5179999999999998</v>
      </c>
      <c r="Q456" s="49">
        <f t="shared" ca="1" si="133"/>
        <v>7.9109999999999996</v>
      </c>
      <c r="R456" s="49">
        <f t="shared" ca="1" si="133"/>
        <v>0</v>
      </c>
      <c r="S456" s="49">
        <f t="shared" ca="1" si="133"/>
        <v>0</v>
      </c>
      <c r="T456" s="49">
        <f t="shared" ca="1" si="133"/>
        <v>0</v>
      </c>
      <c r="U456" s="49">
        <f t="shared" ca="1" si="133"/>
        <v>0</v>
      </c>
      <c r="V456" s="49">
        <f t="shared" ca="1" si="133"/>
        <v>0</v>
      </c>
      <c r="W456" s="49">
        <f t="shared" ca="1" si="133"/>
        <v>0</v>
      </c>
      <c r="X456" s="49">
        <f t="shared" ca="1" si="133"/>
        <v>0</v>
      </c>
      <c r="Y456" s="49">
        <f t="shared" ca="1" si="133"/>
        <v>0</v>
      </c>
      <c r="Z456" s="49">
        <f t="shared" ca="1" si="133"/>
        <v>0</v>
      </c>
      <c r="AA456" s="49">
        <f t="shared" ca="1" si="133"/>
        <v>0</v>
      </c>
      <c r="AB456" s="49">
        <f t="shared" ca="1" si="133"/>
        <v>0</v>
      </c>
      <c r="AC456" s="49">
        <f t="shared" ca="1" si="133"/>
        <v>0</v>
      </c>
      <c r="AD456" s="49">
        <f t="shared" ca="1" si="133"/>
        <v>0</v>
      </c>
      <c r="AE456" s="49">
        <f t="shared" ca="1" si="133"/>
        <v>0</v>
      </c>
      <c r="AF456" s="49">
        <f t="shared" ca="1" si="133"/>
        <v>0</v>
      </c>
      <c r="AG456" s="49">
        <f t="shared" ca="1" si="133"/>
        <v>0</v>
      </c>
      <c r="AH456" s="49">
        <f t="shared" ca="1" si="133"/>
        <v>0</v>
      </c>
      <c r="AI456" s="49">
        <f t="shared" ca="1" si="133"/>
        <v>0</v>
      </c>
      <c r="AJ456" s="49">
        <f t="shared" ca="1" si="133"/>
        <v>0</v>
      </c>
      <c r="AK456" s="49">
        <f t="shared" ca="1" si="133"/>
        <v>0</v>
      </c>
      <c r="AL456" s="49">
        <f t="shared" ca="1" si="133"/>
        <v>0</v>
      </c>
      <c r="AM456" s="49">
        <f t="shared" ca="1" si="133"/>
        <v>0</v>
      </c>
      <c r="AN456" s="49">
        <f t="shared" ca="1" si="133"/>
        <v>0</v>
      </c>
      <c r="AO456" s="49">
        <f t="shared" ca="1" si="133"/>
        <v>0</v>
      </c>
      <c r="AP456" s="49">
        <f t="shared" ca="1" si="133"/>
        <v>0</v>
      </c>
      <c r="AQ456" s="49">
        <f t="shared" ca="1" si="133"/>
        <v>0</v>
      </c>
      <c r="AR456" s="49">
        <f t="shared" ca="1" si="133"/>
        <v>0</v>
      </c>
      <c r="AS456" s="49">
        <f t="shared" ca="1" si="133"/>
        <v>0</v>
      </c>
      <c r="AT456" s="49">
        <f t="shared" ca="1" si="133"/>
        <v>0</v>
      </c>
      <c r="AU456" s="49">
        <f t="shared" ca="1" si="133"/>
        <v>0</v>
      </c>
      <c r="AV456" s="49">
        <f t="shared" ca="1" si="133"/>
        <v>0</v>
      </c>
      <c r="AW456" s="49">
        <f t="shared" ca="1" si="133"/>
        <v>0</v>
      </c>
      <c r="AX456" s="49">
        <f t="shared" ca="1" si="133"/>
        <v>0</v>
      </c>
      <c r="AY456" s="49">
        <f t="shared" ca="1" si="133"/>
        <v>0</v>
      </c>
      <c r="AZ456" s="49">
        <f t="shared" ca="1" si="133"/>
        <v>0</v>
      </c>
      <c r="BA456" s="49">
        <f t="shared" ca="1" si="133"/>
        <v>0</v>
      </c>
      <c r="BB456" s="49">
        <f t="shared" ca="1" si="133"/>
        <v>0</v>
      </c>
      <c r="BC456" s="49">
        <f t="shared" ca="1" si="133"/>
        <v>0</v>
      </c>
      <c r="BD456" s="49">
        <f t="shared" ca="1" si="133"/>
        <v>0</v>
      </c>
      <c r="BE456" s="49">
        <f t="shared" ca="1" si="133"/>
        <v>0</v>
      </c>
      <c r="BF456" s="49">
        <f t="shared" ca="1" si="133"/>
        <v>0</v>
      </c>
      <c r="BG456" s="49">
        <f t="shared" ca="1" si="133"/>
        <v>0</v>
      </c>
      <c r="BH456" s="49">
        <f t="shared" ca="1" si="133"/>
        <v>0</v>
      </c>
      <c r="BI456" s="49">
        <f t="shared" ca="1" si="133"/>
        <v>0</v>
      </c>
      <c r="BJ456" s="49">
        <f t="shared" ca="1" si="133"/>
        <v>0</v>
      </c>
      <c r="BK456" s="49">
        <f t="shared" ca="1" si="133"/>
        <v>0</v>
      </c>
      <c r="BL456" s="49">
        <f t="shared" ca="1" si="133"/>
        <v>0</v>
      </c>
      <c r="BM456" s="49">
        <f t="shared" ca="1" si="133"/>
        <v>0</v>
      </c>
      <c r="BN456" s="49">
        <f t="shared" ca="1" si="133"/>
        <v>0</v>
      </c>
      <c r="BO456" s="49">
        <f t="shared" ca="1" si="133"/>
        <v>0</v>
      </c>
      <c r="BP456" s="49">
        <f t="shared" ca="1" si="133"/>
        <v>0</v>
      </c>
      <c r="BQ456" s="49">
        <f t="shared" ca="1" si="133"/>
        <v>0</v>
      </c>
      <c r="BR456" s="49">
        <f t="shared" ca="1" si="133"/>
        <v>0</v>
      </c>
      <c r="BS456" s="49">
        <f t="shared" ca="1" si="133"/>
        <v>0</v>
      </c>
    </row>
    <row r="457" spans="3:71" outlineLevel="1" x14ac:dyDescent="0.2">
      <c r="J457" s="26"/>
      <c r="L457" s="55"/>
      <c r="M457" s="55"/>
      <c r="N457" s="55"/>
      <c r="O457" s="55"/>
      <c r="P457" s="55"/>
      <c r="Q457" s="55"/>
      <c r="R457" s="55"/>
      <c r="S457" s="55"/>
      <c r="T457" s="55"/>
      <c r="U457" s="55"/>
      <c r="V457" s="55"/>
      <c r="W457" s="55"/>
      <c r="X457" s="55"/>
      <c r="Y457" s="55"/>
      <c r="Z457" s="55"/>
      <c r="AA457" s="55"/>
      <c r="AB457" s="55"/>
      <c r="AC457" s="55"/>
      <c r="AD457" s="55"/>
      <c r="AE457" s="55"/>
      <c r="AF457" s="55"/>
      <c r="AG457" s="55"/>
      <c r="AH457" s="55"/>
      <c r="AI457" s="55"/>
      <c r="AJ457" s="55"/>
      <c r="AK457" s="55"/>
      <c r="AL457" s="55"/>
      <c r="AM457" s="55"/>
      <c r="AN457" s="55"/>
      <c r="AO457" s="55"/>
      <c r="AP457" s="55"/>
      <c r="AQ457" s="55"/>
      <c r="AR457" s="55"/>
      <c r="AS457" s="55"/>
      <c r="AT457" s="55"/>
      <c r="AU457" s="55"/>
      <c r="AV457" s="55"/>
      <c r="AW457" s="55"/>
      <c r="AX457" s="55"/>
      <c r="AY457" s="55"/>
      <c r="AZ457" s="55"/>
      <c r="BA457" s="55"/>
      <c r="BB457" s="55"/>
      <c r="BC457" s="55"/>
      <c r="BD457" s="55"/>
      <c r="BE457" s="55"/>
      <c r="BF457" s="55"/>
      <c r="BG457" s="55"/>
      <c r="BH457" s="55"/>
      <c r="BI457" s="55"/>
      <c r="BJ457" s="55"/>
      <c r="BK457" s="55"/>
      <c r="BL457" s="55"/>
      <c r="BM457" s="55"/>
      <c r="BN457" s="55"/>
      <c r="BO457" s="55"/>
      <c r="BP457" s="55"/>
      <c r="BQ457" s="55"/>
      <c r="BR457" s="55"/>
      <c r="BS457" s="55"/>
    </row>
    <row r="458" spans="3:71" outlineLevel="1" x14ac:dyDescent="0.2">
      <c r="C458" s="11" t="str">
        <f>HM_ZA_Nkossa!C447</f>
        <v>Impôt sur le revenu</v>
      </c>
      <c r="I458" s="30">
        <f t="shared" si="131"/>
        <v>0</v>
      </c>
      <c r="J458" s="26" t="s">
        <v>148</v>
      </c>
      <c r="L458" s="49">
        <v>0</v>
      </c>
      <c r="M458" s="49">
        <v>0</v>
      </c>
      <c r="N458" s="49">
        <v>0</v>
      </c>
      <c r="O458" s="49">
        <v>0</v>
      </c>
      <c r="P458" s="49">
        <v>0</v>
      </c>
      <c r="Q458" s="49">
        <v>0</v>
      </c>
      <c r="R458" s="49">
        <v>0</v>
      </c>
      <c r="S458" s="49">
        <v>0</v>
      </c>
      <c r="T458" s="49">
        <v>0</v>
      </c>
      <c r="U458" s="49">
        <v>0</v>
      </c>
      <c r="V458" s="49">
        <v>0</v>
      </c>
      <c r="W458" s="49">
        <v>0</v>
      </c>
      <c r="X458" s="49">
        <v>0</v>
      </c>
      <c r="Y458" s="49">
        <v>0</v>
      </c>
      <c r="Z458" s="49">
        <v>0</v>
      </c>
      <c r="AA458" s="49">
        <v>0</v>
      </c>
      <c r="AB458" s="49">
        <v>0</v>
      </c>
      <c r="AC458" s="49">
        <v>0</v>
      </c>
      <c r="AD458" s="49">
        <v>0</v>
      </c>
      <c r="AE458" s="49">
        <v>0</v>
      </c>
      <c r="AF458" s="49">
        <v>0</v>
      </c>
      <c r="AG458" s="49">
        <v>0</v>
      </c>
      <c r="AH458" s="49">
        <v>0</v>
      </c>
      <c r="AI458" s="49">
        <v>0</v>
      </c>
      <c r="AJ458" s="49">
        <v>0</v>
      </c>
      <c r="AK458" s="49">
        <v>0</v>
      </c>
      <c r="AL458" s="49">
        <v>0</v>
      </c>
      <c r="AM458" s="49">
        <v>0</v>
      </c>
      <c r="AN458" s="49">
        <v>0</v>
      </c>
      <c r="AO458" s="49">
        <v>0</v>
      </c>
      <c r="AP458" s="49">
        <v>0</v>
      </c>
      <c r="AQ458" s="49">
        <v>0</v>
      </c>
      <c r="AR458" s="49">
        <v>0</v>
      </c>
      <c r="AS458" s="49">
        <v>0</v>
      </c>
      <c r="AT458" s="49">
        <v>0</v>
      </c>
      <c r="AU458" s="49">
        <v>0</v>
      </c>
      <c r="AV458" s="49">
        <v>0</v>
      </c>
      <c r="AW458" s="49">
        <v>0</v>
      </c>
      <c r="AX458" s="49">
        <v>0</v>
      </c>
      <c r="AY458" s="49">
        <v>0</v>
      </c>
      <c r="AZ458" s="49">
        <v>0</v>
      </c>
      <c r="BA458" s="49">
        <v>0</v>
      </c>
      <c r="BB458" s="49">
        <v>0</v>
      </c>
      <c r="BC458" s="49">
        <v>0</v>
      </c>
      <c r="BD458" s="49">
        <v>0</v>
      </c>
      <c r="BE458" s="49">
        <v>0</v>
      </c>
      <c r="BF458" s="49">
        <v>0</v>
      </c>
      <c r="BG458" s="49">
        <v>0</v>
      </c>
      <c r="BH458" s="49">
        <v>0</v>
      </c>
      <c r="BI458" s="49">
        <v>0</v>
      </c>
      <c r="BJ458" s="49">
        <v>0</v>
      </c>
      <c r="BK458" s="49">
        <v>0</v>
      </c>
      <c r="BL458" s="49">
        <v>0</v>
      </c>
      <c r="BM458" s="49">
        <v>0</v>
      </c>
      <c r="BN458" s="49">
        <v>0</v>
      </c>
      <c r="BO458" s="49">
        <v>0</v>
      </c>
      <c r="BP458" s="49">
        <v>0</v>
      </c>
      <c r="BQ458" s="49">
        <v>0</v>
      </c>
      <c r="BR458" s="49">
        <v>0</v>
      </c>
      <c r="BS458" s="49">
        <v>0</v>
      </c>
    </row>
    <row r="459" spans="3:71" outlineLevel="1" x14ac:dyDescent="0.2">
      <c r="J459" s="26"/>
      <c r="L459" s="55"/>
      <c r="M459" s="55"/>
      <c r="N459" s="55"/>
      <c r="O459" s="55"/>
      <c r="P459" s="55"/>
      <c r="Q459" s="55"/>
      <c r="R459" s="55"/>
      <c r="S459" s="55"/>
      <c r="T459" s="55"/>
      <c r="U459" s="55"/>
      <c r="V459" s="55"/>
      <c r="W459" s="55"/>
      <c r="X459" s="55"/>
      <c r="Y459" s="55"/>
      <c r="Z459" s="55"/>
      <c r="AA459" s="55"/>
      <c r="AB459" s="55"/>
      <c r="AC459" s="55"/>
      <c r="AD459" s="55"/>
      <c r="AE459" s="55"/>
      <c r="AF459" s="55"/>
      <c r="AG459" s="55"/>
      <c r="AH459" s="55"/>
      <c r="AI459" s="55"/>
      <c r="AJ459" s="55"/>
      <c r="AK459" s="55"/>
      <c r="AL459" s="55"/>
      <c r="AM459" s="55"/>
      <c r="AN459" s="55"/>
      <c r="AO459" s="55"/>
      <c r="AP459" s="55"/>
      <c r="AQ459" s="55"/>
      <c r="AR459" s="55"/>
      <c r="AS459" s="55"/>
      <c r="AT459" s="55"/>
      <c r="AU459" s="55"/>
      <c r="AV459" s="55"/>
      <c r="AW459" s="55"/>
      <c r="AX459" s="55"/>
      <c r="AY459" s="55"/>
      <c r="AZ459" s="55"/>
      <c r="BA459" s="55"/>
      <c r="BB459" s="55"/>
      <c r="BC459" s="55"/>
      <c r="BD459" s="55"/>
      <c r="BE459" s="55"/>
      <c r="BF459" s="55"/>
      <c r="BG459" s="55"/>
      <c r="BH459" s="55"/>
      <c r="BI459" s="55"/>
      <c r="BJ459" s="55"/>
      <c r="BK459" s="55"/>
      <c r="BL459" s="55"/>
      <c r="BM459" s="55"/>
      <c r="BN459" s="55"/>
      <c r="BO459" s="55"/>
      <c r="BP459" s="55"/>
      <c r="BQ459" s="55"/>
      <c r="BR459" s="55"/>
      <c r="BS459" s="55"/>
    </row>
    <row r="460" spans="3:71" outlineLevel="1" x14ac:dyDescent="0.2">
      <c r="C460" s="11" t="str">
        <f>HM_ZA_Nkossa!C449</f>
        <v>Impôts supplémentaires</v>
      </c>
      <c r="I460" s="30">
        <f t="shared" si="131"/>
        <v>0</v>
      </c>
      <c r="J460" s="26" t="s">
        <v>148</v>
      </c>
      <c r="L460" s="49">
        <v>0</v>
      </c>
      <c r="M460" s="49">
        <v>0</v>
      </c>
      <c r="N460" s="49">
        <v>0</v>
      </c>
      <c r="O460" s="49">
        <v>0</v>
      </c>
      <c r="P460" s="49">
        <v>0</v>
      </c>
      <c r="Q460" s="49">
        <v>0</v>
      </c>
      <c r="R460" s="49">
        <v>0</v>
      </c>
      <c r="S460" s="49">
        <v>0</v>
      </c>
      <c r="T460" s="49">
        <v>0</v>
      </c>
      <c r="U460" s="49">
        <v>0</v>
      </c>
      <c r="V460" s="49">
        <v>0</v>
      </c>
      <c r="W460" s="49">
        <v>0</v>
      </c>
      <c r="X460" s="49">
        <v>0</v>
      </c>
      <c r="Y460" s="49">
        <v>0</v>
      </c>
      <c r="Z460" s="49">
        <v>0</v>
      </c>
      <c r="AA460" s="49">
        <v>0</v>
      </c>
      <c r="AB460" s="49">
        <v>0</v>
      </c>
      <c r="AC460" s="49">
        <v>0</v>
      </c>
      <c r="AD460" s="49">
        <v>0</v>
      </c>
      <c r="AE460" s="49">
        <v>0</v>
      </c>
      <c r="AF460" s="49">
        <v>0</v>
      </c>
      <c r="AG460" s="49">
        <v>0</v>
      </c>
      <c r="AH460" s="49">
        <v>0</v>
      </c>
      <c r="AI460" s="49">
        <v>0</v>
      </c>
      <c r="AJ460" s="49">
        <v>0</v>
      </c>
      <c r="AK460" s="49">
        <v>0</v>
      </c>
      <c r="AL460" s="49">
        <v>0</v>
      </c>
      <c r="AM460" s="49">
        <v>0</v>
      </c>
      <c r="AN460" s="49">
        <v>0</v>
      </c>
      <c r="AO460" s="49">
        <v>0</v>
      </c>
      <c r="AP460" s="49">
        <v>0</v>
      </c>
      <c r="AQ460" s="49">
        <v>0</v>
      </c>
      <c r="AR460" s="49">
        <v>0</v>
      </c>
      <c r="AS460" s="49">
        <v>0</v>
      </c>
      <c r="AT460" s="49">
        <v>0</v>
      </c>
      <c r="AU460" s="49">
        <v>0</v>
      </c>
      <c r="AV460" s="49">
        <v>0</v>
      </c>
      <c r="AW460" s="49">
        <v>0</v>
      </c>
      <c r="AX460" s="49">
        <v>0</v>
      </c>
      <c r="AY460" s="49">
        <v>0</v>
      </c>
      <c r="AZ460" s="49">
        <v>0</v>
      </c>
      <c r="BA460" s="49">
        <v>0</v>
      </c>
      <c r="BB460" s="49">
        <v>0</v>
      </c>
      <c r="BC460" s="49">
        <v>0</v>
      </c>
      <c r="BD460" s="49">
        <v>0</v>
      </c>
      <c r="BE460" s="49">
        <v>0</v>
      </c>
      <c r="BF460" s="49">
        <v>0</v>
      </c>
      <c r="BG460" s="49">
        <v>0</v>
      </c>
      <c r="BH460" s="49">
        <v>0</v>
      </c>
      <c r="BI460" s="49">
        <v>0</v>
      </c>
      <c r="BJ460" s="49">
        <v>0</v>
      </c>
      <c r="BK460" s="49">
        <v>0</v>
      </c>
      <c r="BL460" s="49">
        <v>0</v>
      </c>
      <c r="BM460" s="49">
        <v>0</v>
      </c>
      <c r="BN460" s="49">
        <v>0</v>
      </c>
      <c r="BO460" s="49">
        <v>0</v>
      </c>
      <c r="BP460" s="49">
        <v>0</v>
      </c>
      <c r="BQ460" s="49">
        <v>0</v>
      </c>
      <c r="BR460" s="49">
        <v>0</v>
      </c>
      <c r="BS460" s="49">
        <v>0</v>
      </c>
    </row>
    <row r="461" spans="3:71" outlineLevel="1" x14ac:dyDescent="0.2">
      <c r="J461" s="26"/>
      <c r="L461" s="55"/>
      <c r="M461" s="55"/>
      <c r="N461" s="55"/>
      <c r="O461" s="55"/>
      <c r="P461" s="55"/>
      <c r="Q461" s="55"/>
      <c r="R461" s="55"/>
      <c r="S461" s="55"/>
      <c r="T461" s="55"/>
      <c r="U461" s="55"/>
      <c r="V461" s="55"/>
      <c r="W461" s="55"/>
      <c r="X461" s="55"/>
      <c r="Y461" s="55"/>
      <c r="Z461" s="55"/>
      <c r="AA461" s="55"/>
      <c r="AB461" s="55"/>
      <c r="AC461" s="55"/>
      <c r="AD461" s="55"/>
      <c r="AE461" s="55"/>
      <c r="AF461" s="55"/>
      <c r="AG461" s="55"/>
      <c r="AH461" s="55"/>
      <c r="AI461" s="55"/>
      <c r="AJ461" s="55"/>
      <c r="AK461" s="55"/>
      <c r="AL461" s="55"/>
      <c r="AM461" s="55"/>
      <c r="AN461" s="55"/>
      <c r="AO461" s="55"/>
      <c r="AP461" s="55"/>
      <c r="AQ461" s="55"/>
      <c r="AR461" s="55"/>
      <c r="AS461" s="55"/>
      <c r="AT461" s="55"/>
      <c r="AU461" s="55"/>
      <c r="AV461" s="55"/>
      <c r="AW461" s="55"/>
      <c r="AX461" s="55"/>
      <c r="AY461" s="55"/>
      <c r="AZ461" s="55"/>
      <c r="BA461" s="55"/>
      <c r="BB461" s="55"/>
      <c r="BC461" s="55"/>
      <c r="BD461" s="55"/>
      <c r="BE461" s="55"/>
      <c r="BF461" s="55"/>
      <c r="BG461" s="55"/>
      <c r="BH461" s="55"/>
      <c r="BI461" s="55"/>
      <c r="BJ461" s="55"/>
      <c r="BK461" s="55"/>
      <c r="BL461" s="55"/>
      <c r="BM461" s="55"/>
      <c r="BN461" s="55"/>
      <c r="BO461" s="55"/>
      <c r="BP461" s="55"/>
      <c r="BQ461" s="55"/>
      <c r="BR461" s="55"/>
      <c r="BS461" s="55"/>
    </row>
    <row r="462" spans="3:71" outlineLevel="1" x14ac:dyDescent="0.2">
      <c r="C462" s="11" t="str">
        <f>HM_ZA_Nkossa!C451</f>
        <v>Flux de trésorerie après impôts</v>
      </c>
      <c r="H462" s="71"/>
      <c r="I462" s="30">
        <f t="shared" ca="1" si="131"/>
        <v>99.672349401190957</v>
      </c>
      <c r="J462" s="26" t="s">
        <v>148</v>
      </c>
      <c r="K462" s="7" t="s">
        <v>581</v>
      </c>
      <c r="L462" s="49">
        <f ca="1">L446-L448-L450-L452-L454-L456-L458-L460</f>
        <v>11.611545623985634</v>
      </c>
      <c r="M462" s="49">
        <f t="shared" ref="M462:BS462" ca="1" si="134">M446-M448-M450-M452-M454-M456-M458-M460</f>
        <v>-23.605007118744997</v>
      </c>
      <c r="N462" s="49">
        <f t="shared" ca="1" si="134"/>
        <v>11.077324440057502</v>
      </c>
      <c r="O462" s="49">
        <f t="shared" ca="1" si="134"/>
        <v>5.8895166467699989</v>
      </c>
      <c r="P462" s="49">
        <f t="shared" ca="1" si="134"/>
        <v>7.8288912953374963</v>
      </c>
      <c r="Q462" s="49">
        <f t="shared" ca="1" si="134"/>
        <v>5.2668064895199969</v>
      </c>
      <c r="R462" s="49">
        <f t="shared" ca="1" si="134"/>
        <v>4.182938449199999</v>
      </c>
      <c r="S462" s="49">
        <f t="shared" ca="1" si="134"/>
        <v>12.121845372390926</v>
      </c>
      <c r="T462" s="49">
        <f t="shared" ca="1" si="134"/>
        <v>16.248716822481445</v>
      </c>
      <c r="U462" s="49">
        <f t="shared" ca="1" si="134"/>
        <v>14.730053052238976</v>
      </c>
      <c r="V462" s="49">
        <f t="shared" ca="1" si="134"/>
        <v>13.014276808836295</v>
      </c>
      <c r="W462" s="49">
        <f t="shared" ca="1" si="134"/>
        <v>11.406354830500744</v>
      </c>
      <c r="X462" s="49">
        <f t="shared" ca="1" si="134"/>
        <v>9.89908668861694</v>
      </c>
      <c r="Y462" s="49">
        <f t="shared" ca="1" si="134"/>
        <v>0</v>
      </c>
      <c r="Z462" s="49">
        <f t="shared" ca="1" si="134"/>
        <v>0</v>
      </c>
      <c r="AA462" s="49">
        <f t="shared" ca="1" si="134"/>
        <v>0</v>
      </c>
      <c r="AB462" s="49">
        <f t="shared" ca="1" si="134"/>
        <v>0</v>
      </c>
      <c r="AC462" s="49">
        <f t="shared" ca="1" si="134"/>
        <v>0</v>
      </c>
      <c r="AD462" s="49">
        <f t="shared" ca="1" si="134"/>
        <v>0</v>
      </c>
      <c r="AE462" s="49">
        <f t="shared" ca="1" si="134"/>
        <v>0</v>
      </c>
      <c r="AF462" s="49">
        <f t="shared" ca="1" si="134"/>
        <v>0</v>
      </c>
      <c r="AG462" s="49">
        <f t="shared" ca="1" si="134"/>
        <v>0</v>
      </c>
      <c r="AH462" s="49">
        <f t="shared" ca="1" si="134"/>
        <v>0</v>
      </c>
      <c r="AI462" s="49">
        <f t="shared" ca="1" si="134"/>
        <v>0</v>
      </c>
      <c r="AJ462" s="49">
        <f t="shared" ca="1" si="134"/>
        <v>0</v>
      </c>
      <c r="AK462" s="49">
        <f t="shared" ca="1" si="134"/>
        <v>0</v>
      </c>
      <c r="AL462" s="49">
        <f t="shared" ca="1" si="134"/>
        <v>0</v>
      </c>
      <c r="AM462" s="49">
        <f t="shared" ca="1" si="134"/>
        <v>0</v>
      </c>
      <c r="AN462" s="49">
        <f t="shared" ca="1" si="134"/>
        <v>0</v>
      </c>
      <c r="AO462" s="49">
        <f t="shared" ca="1" si="134"/>
        <v>0</v>
      </c>
      <c r="AP462" s="49">
        <f t="shared" ca="1" si="134"/>
        <v>0</v>
      </c>
      <c r="AQ462" s="49">
        <f t="shared" ca="1" si="134"/>
        <v>0</v>
      </c>
      <c r="AR462" s="49">
        <f t="shared" ca="1" si="134"/>
        <v>0</v>
      </c>
      <c r="AS462" s="49">
        <f t="shared" ca="1" si="134"/>
        <v>0</v>
      </c>
      <c r="AT462" s="49">
        <f t="shared" ca="1" si="134"/>
        <v>0</v>
      </c>
      <c r="AU462" s="49">
        <f t="shared" ca="1" si="134"/>
        <v>0</v>
      </c>
      <c r="AV462" s="49">
        <f t="shared" ca="1" si="134"/>
        <v>0</v>
      </c>
      <c r="AW462" s="49">
        <f t="shared" ca="1" si="134"/>
        <v>0</v>
      </c>
      <c r="AX462" s="49">
        <f t="shared" ca="1" si="134"/>
        <v>0</v>
      </c>
      <c r="AY462" s="49">
        <f t="shared" ca="1" si="134"/>
        <v>0</v>
      </c>
      <c r="AZ462" s="49">
        <f t="shared" ca="1" si="134"/>
        <v>0</v>
      </c>
      <c r="BA462" s="49">
        <f t="shared" ca="1" si="134"/>
        <v>0</v>
      </c>
      <c r="BB462" s="49">
        <f t="shared" ca="1" si="134"/>
        <v>0</v>
      </c>
      <c r="BC462" s="49">
        <f t="shared" ca="1" si="134"/>
        <v>0</v>
      </c>
      <c r="BD462" s="49">
        <f t="shared" ca="1" si="134"/>
        <v>0</v>
      </c>
      <c r="BE462" s="49">
        <f t="shared" ca="1" si="134"/>
        <v>0</v>
      </c>
      <c r="BF462" s="49">
        <f t="shared" ca="1" si="134"/>
        <v>0</v>
      </c>
      <c r="BG462" s="49">
        <f t="shared" ca="1" si="134"/>
        <v>0</v>
      </c>
      <c r="BH462" s="49">
        <f t="shared" ca="1" si="134"/>
        <v>0</v>
      </c>
      <c r="BI462" s="49">
        <f t="shared" ca="1" si="134"/>
        <v>0</v>
      </c>
      <c r="BJ462" s="49">
        <f t="shared" ca="1" si="134"/>
        <v>0</v>
      </c>
      <c r="BK462" s="49">
        <f t="shared" ca="1" si="134"/>
        <v>0</v>
      </c>
      <c r="BL462" s="49">
        <f t="shared" ca="1" si="134"/>
        <v>0</v>
      </c>
      <c r="BM462" s="49">
        <f t="shared" ca="1" si="134"/>
        <v>0</v>
      </c>
      <c r="BN462" s="49">
        <f t="shared" ca="1" si="134"/>
        <v>0</v>
      </c>
      <c r="BO462" s="49">
        <f t="shared" ca="1" si="134"/>
        <v>0</v>
      </c>
      <c r="BP462" s="49">
        <f t="shared" ca="1" si="134"/>
        <v>0</v>
      </c>
      <c r="BQ462" s="49">
        <f t="shared" ca="1" si="134"/>
        <v>0</v>
      </c>
      <c r="BR462" s="49">
        <f t="shared" ca="1" si="134"/>
        <v>0</v>
      </c>
      <c r="BS462" s="49">
        <f t="shared" ca="1" si="134"/>
        <v>0</v>
      </c>
    </row>
    <row r="463" spans="3:71" outlineLevel="1" x14ac:dyDescent="0.2">
      <c r="J463" s="26"/>
      <c r="L463" s="55"/>
      <c r="M463" s="55"/>
      <c r="N463" s="55"/>
      <c r="O463" s="55"/>
      <c r="P463" s="55"/>
      <c r="Q463" s="55"/>
      <c r="R463" s="55"/>
      <c r="S463" s="55"/>
      <c r="T463" s="55"/>
      <c r="U463" s="55"/>
      <c r="V463" s="55"/>
      <c r="W463" s="55"/>
      <c r="X463" s="55"/>
      <c r="Y463" s="55"/>
      <c r="Z463" s="55"/>
      <c r="AA463" s="55"/>
      <c r="AB463" s="55"/>
      <c r="AC463" s="55"/>
      <c r="AD463" s="55"/>
      <c r="AE463" s="55"/>
      <c r="AF463" s="55"/>
      <c r="AG463" s="55"/>
      <c r="AH463" s="55"/>
      <c r="AI463" s="55"/>
      <c r="AJ463" s="55"/>
      <c r="AK463" s="55"/>
      <c r="AL463" s="55"/>
      <c r="AM463" s="55"/>
      <c r="AN463" s="55"/>
      <c r="AO463" s="55"/>
      <c r="AP463" s="55"/>
      <c r="AQ463" s="55"/>
      <c r="AR463" s="55"/>
      <c r="AS463" s="55"/>
      <c r="AT463" s="55"/>
      <c r="AU463" s="55"/>
      <c r="AV463" s="55"/>
      <c r="AW463" s="55"/>
      <c r="AX463" s="55"/>
      <c r="AY463" s="55"/>
      <c r="AZ463" s="55"/>
      <c r="BA463" s="55"/>
      <c r="BB463" s="55"/>
      <c r="BC463" s="55"/>
      <c r="BD463" s="55"/>
      <c r="BE463" s="55"/>
      <c r="BF463" s="55"/>
      <c r="BG463" s="55"/>
      <c r="BH463" s="55"/>
      <c r="BI463" s="55"/>
      <c r="BJ463" s="55"/>
      <c r="BK463" s="55"/>
      <c r="BL463" s="55"/>
      <c r="BM463" s="55"/>
      <c r="BN463" s="55"/>
      <c r="BO463" s="55"/>
      <c r="BP463" s="55"/>
      <c r="BQ463" s="55"/>
      <c r="BR463" s="55"/>
      <c r="BS463" s="55"/>
    </row>
    <row r="464" spans="3:71" outlineLevel="1" x14ac:dyDescent="0.2">
      <c r="C464" s="11" t="str">
        <f>HM_ZA_Nkossa!C453</f>
        <v>Flux de trésorerie après impôts cumulé</v>
      </c>
      <c r="J464" s="26"/>
      <c r="L464" s="66">
        <f ca="1">(K464+L462)*HM_ZB_Nsoko!CA_op_trig</f>
        <v>11.611545623985634</v>
      </c>
      <c r="M464" s="66">
        <f ca="1">(L464+M462)*HM_ZB_Nsoko!CA_op_trig</f>
        <v>-11.993461494759362</v>
      </c>
      <c r="N464" s="66">
        <f ca="1">(M464+N462)*HM_ZB_Nsoko!CA_op_trig</f>
        <v>-0.91613705470185991</v>
      </c>
      <c r="O464" s="66">
        <f ca="1">(N464+O462)*HM_ZB_Nsoko!CA_op_trig</f>
        <v>4.973379592068139</v>
      </c>
      <c r="P464" s="66">
        <f ca="1">(O464+P462)*HM_ZB_Nsoko!CA_op_trig</f>
        <v>12.802270887405635</v>
      </c>
      <c r="Q464" s="66">
        <f ca="1">(P464+Q462)*HM_ZB_Nsoko!CA_op_trig</f>
        <v>18.069077376925634</v>
      </c>
      <c r="R464" s="66">
        <f ca="1">(Q464+R462)*HM_ZB_Nsoko!CA_op_trig</f>
        <v>22.252015826125632</v>
      </c>
      <c r="S464" s="66">
        <f ca="1">(R464+S462)*HM_ZB_Nsoko!CA_op_trig</f>
        <v>34.373861198516558</v>
      </c>
      <c r="T464" s="66">
        <f ca="1">(S464+T462)*HM_ZB_Nsoko!CA_op_trig</f>
        <v>50.622578020998006</v>
      </c>
      <c r="U464" s="66">
        <f ca="1">(T464+U462)*HM_ZB_Nsoko!CA_op_trig</f>
        <v>65.352631073236978</v>
      </c>
      <c r="V464" s="66">
        <f ca="1">(U464+V462)*HM_ZB_Nsoko!CA_op_trig</f>
        <v>78.366907882073278</v>
      </c>
      <c r="W464" s="66">
        <f ca="1">(V464+W462)*HM_ZB_Nsoko!CA_op_trig</f>
        <v>89.773262712574024</v>
      </c>
      <c r="X464" s="66">
        <f ca="1">(W464+X462)*HM_ZB_Nsoko!CA_op_trig</f>
        <v>99.672349401190957</v>
      </c>
      <c r="Y464" s="66">
        <f ca="1">(X464+Y462)*HM_ZB_Nsoko!CA_op_trig</f>
        <v>0</v>
      </c>
      <c r="Z464" s="66">
        <f ca="1">(Y464+Z462)*HM_ZB_Nsoko!CA_op_trig</f>
        <v>0</v>
      </c>
      <c r="AA464" s="66">
        <f ca="1">(Z464+AA462)*HM_ZB_Nsoko!CA_op_trig</f>
        <v>0</v>
      </c>
      <c r="AB464" s="66">
        <f ca="1">(AA464+AB462)*HM_ZB_Nsoko!CA_op_trig</f>
        <v>0</v>
      </c>
      <c r="AC464" s="66">
        <f ca="1">(AB464+AC462)*HM_ZB_Nsoko!CA_op_trig</f>
        <v>0</v>
      </c>
      <c r="AD464" s="66">
        <f ca="1">(AC464+AD462)*HM_ZB_Nsoko!CA_op_trig</f>
        <v>0</v>
      </c>
      <c r="AE464" s="66">
        <f ca="1">(AD464+AE462)*HM_ZB_Nsoko!CA_op_trig</f>
        <v>0</v>
      </c>
      <c r="AF464" s="66">
        <f ca="1">(AE464+AF462)*HM_ZB_Nsoko!CA_op_trig</f>
        <v>0</v>
      </c>
      <c r="AG464" s="66">
        <f ca="1">(AF464+AG462)*HM_ZB_Nsoko!CA_op_trig</f>
        <v>0</v>
      </c>
      <c r="AH464" s="66">
        <f ca="1">(AG464+AH462)*HM_ZB_Nsoko!CA_op_trig</f>
        <v>0</v>
      </c>
      <c r="AI464" s="66">
        <f ca="1">(AH464+AI462)*HM_ZB_Nsoko!CA_op_trig</f>
        <v>0</v>
      </c>
      <c r="AJ464" s="66">
        <f ca="1">(AI464+AJ462)*HM_ZB_Nsoko!CA_op_trig</f>
        <v>0</v>
      </c>
      <c r="AK464" s="66">
        <f ca="1">(AJ464+AK462)*HM_ZB_Nsoko!CA_op_trig</f>
        <v>0</v>
      </c>
      <c r="AL464" s="66">
        <f ca="1">(AK464+AL462)*HM_ZB_Nsoko!CA_op_trig</f>
        <v>0</v>
      </c>
      <c r="AM464" s="66">
        <f ca="1">(AL464+AM462)*HM_ZB_Nsoko!CA_op_trig</f>
        <v>0</v>
      </c>
      <c r="AN464" s="66">
        <f ca="1">(AM464+AN462)*HM_ZB_Nsoko!CA_op_trig</f>
        <v>0</v>
      </c>
      <c r="AO464" s="66">
        <f ca="1">(AN464+AO462)*HM_ZB_Nsoko!CA_op_trig</f>
        <v>0</v>
      </c>
      <c r="AP464" s="66">
        <f ca="1">(AO464+AP462)*HM_ZB_Nsoko!CA_op_trig</f>
        <v>0</v>
      </c>
      <c r="AQ464" s="66">
        <f ca="1">(AP464+AQ462)*HM_ZB_Nsoko!CA_op_trig</f>
        <v>0</v>
      </c>
      <c r="AR464" s="66">
        <f ca="1">(AQ464+AR462)*HM_ZB_Nsoko!CA_op_trig</f>
        <v>0</v>
      </c>
      <c r="AS464" s="66">
        <f ca="1">(AR464+AS462)*HM_ZB_Nsoko!CA_op_trig</f>
        <v>0</v>
      </c>
      <c r="AT464" s="66">
        <f ca="1">(AS464+AT462)*HM_ZB_Nsoko!CA_op_trig</f>
        <v>0</v>
      </c>
      <c r="AU464" s="66">
        <f ca="1">(AT464+AU462)*HM_ZB_Nsoko!CA_op_trig</f>
        <v>0</v>
      </c>
      <c r="AV464" s="66">
        <f ca="1">(AU464+AV462)*HM_ZB_Nsoko!CA_op_trig</f>
        <v>0</v>
      </c>
      <c r="AW464" s="66">
        <f ca="1">(AV464+AW462)*HM_ZB_Nsoko!CA_op_trig</f>
        <v>0</v>
      </c>
      <c r="AX464" s="66">
        <f ca="1">(AW464+AX462)*HM_ZB_Nsoko!CA_op_trig</f>
        <v>0</v>
      </c>
      <c r="AY464" s="66">
        <f ca="1">(AX464+AY462)*HM_ZB_Nsoko!CA_op_trig</f>
        <v>0</v>
      </c>
      <c r="AZ464" s="66">
        <f ca="1">(AY464+AZ462)*HM_ZB_Nsoko!CA_op_trig</f>
        <v>0</v>
      </c>
      <c r="BA464" s="66">
        <f ca="1">(AZ464+BA462)*HM_ZB_Nsoko!CA_op_trig</f>
        <v>0</v>
      </c>
      <c r="BB464" s="66">
        <f ca="1">(BA464+BB462)*HM_ZB_Nsoko!CA_op_trig</f>
        <v>0</v>
      </c>
      <c r="BC464" s="66">
        <f ca="1">(BB464+BC462)*HM_ZB_Nsoko!CA_op_trig</f>
        <v>0</v>
      </c>
      <c r="BD464" s="66">
        <f ca="1">(BC464+BD462)*HM_ZB_Nsoko!CA_op_trig</f>
        <v>0</v>
      </c>
      <c r="BE464" s="66">
        <f ca="1">(BD464+BE462)*HM_ZB_Nsoko!CA_op_trig</f>
        <v>0</v>
      </c>
      <c r="BF464" s="66">
        <f ca="1">(BE464+BF462)*HM_ZB_Nsoko!CA_op_trig</f>
        <v>0</v>
      </c>
      <c r="BG464" s="66">
        <f ca="1">(BF464+BG462)*HM_ZB_Nsoko!CA_op_trig</f>
        <v>0</v>
      </c>
      <c r="BH464" s="66">
        <f ca="1">(BG464+BH462)*HM_ZB_Nsoko!CA_op_trig</f>
        <v>0</v>
      </c>
      <c r="BI464" s="66">
        <f ca="1">(BH464+BI462)*HM_ZB_Nsoko!CA_op_trig</f>
        <v>0</v>
      </c>
      <c r="BJ464" s="66">
        <f ca="1">(BI464+BJ462)*HM_ZB_Nsoko!CA_op_trig</f>
        <v>0</v>
      </c>
      <c r="BK464" s="66">
        <f ca="1">(BJ464+BK462)*HM_ZB_Nsoko!CA_op_trig</f>
        <v>0</v>
      </c>
      <c r="BL464" s="66">
        <f ca="1">(BK464+BL462)*HM_ZB_Nsoko!CA_op_trig</f>
        <v>0</v>
      </c>
      <c r="BM464" s="66">
        <f ca="1">(BL464+BM462)*HM_ZB_Nsoko!CA_op_trig</f>
        <v>0</v>
      </c>
      <c r="BN464" s="66">
        <f ca="1">(BM464+BN462)*HM_ZB_Nsoko!CA_op_trig</f>
        <v>0</v>
      </c>
      <c r="BO464" s="66">
        <f ca="1">(BN464+BO462)*HM_ZB_Nsoko!CA_op_trig</f>
        <v>0</v>
      </c>
      <c r="BP464" s="66">
        <f ca="1">(BO464+BP462)*HM_ZB_Nsoko!CA_op_trig</f>
        <v>0</v>
      </c>
      <c r="BQ464" s="66">
        <f ca="1">(BP464+BQ462)*HM_ZB_Nsoko!CA_op_trig</f>
        <v>0</v>
      </c>
      <c r="BR464" s="66">
        <f ca="1">(BQ464+BR462)*HM_ZB_Nsoko!CA_op_trig</f>
        <v>0</v>
      </c>
      <c r="BS464" s="66">
        <f ca="1">(BR464+BS462)*HM_ZB_Nsoko!CA_op_trig</f>
        <v>0</v>
      </c>
    </row>
    <row r="465" spans="1:71" outlineLevel="1" x14ac:dyDescent="0.2">
      <c r="J465" s="26"/>
      <c r="L465" s="55"/>
      <c r="M465" s="55"/>
      <c r="N465" s="55"/>
      <c r="O465" s="55"/>
      <c r="P465" s="55"/>
      <c r="Q465" s="55"/>
      <c r="R465" s="55"/>
      <c r="S465" s="55"/>
      <c r="T465" s="55"/>
      <c r="U465" s="55"/>
      <c r="V465" s="55"/>
      <c r="W465" s="55"/>
      <c r="X465" s="55"/>
      <c r="Y465" s="55"/>
      <c r="Z465" s="55"/>
      <c r="AA465" s="55"/>
      <c r="AB465" s="55"/>
      <c r="AC465" s="55"/>
      <c r="AD465" s="55"/>
      <c r="AE465" s="55"/>
      <c r="AF465" s="55"/>
      <c r="AG465" s="55"/>
      <c r="AH465" s="55"/>
      <c r="AI465" s="55"/>
      <c r="AJ465" s="55"/>
      <c r="AK465" s="55"/>
      <c r="AL465" s="55"/>
      <c r="AM465" s="55"/>
      <c r="AN465" s="55"/>
      <c r="AO465" s="55"/>
      <c r="AP465" s="55"/>
      <c r="AQ465" s="55"/>
      <c r="AR465" s="55"/>
      <c r="AS465" s="55"/>
      <c r="AT465" s="55"/>
      <c r="AU465" s="55"/>
      <c r="AV465" s="55"/>
      <c r="AW465" s="55"/>
      <c r="AX465" s="55"/>
      <c r="AY465" s="55"/>
      <c r="AZ465" s="55"/>
      <c r="BA465" s="55"/>
      <c r="BB465" s="55"/>
      <c r="BC465" s="55"/>
      <c r="BD465" s="55"/>
      <c r="BE465" s="55"/>
      <c r="BF465" s="55"/>
      <c r="BG465" s="55"/>
      <c r="BH465" s="55"/>
      <c r="BI465" s="55"/>
      <c r="BJ465" s="55"/>
      <c r="BK465" s="55"/>
      <c r="BL465" s="55"/>
      <c r="BM465" s="55"/>
      <c r="BN465" s="55"/>
      <c r="BO465" s="55"/>
      <c r="BP465" s="55"/>
      <c r="BQ465" s="55"/>
      <c r="BR465" s="55"/>
      <c r="BS465" s="55"/>
    </row>
    <row r="466" spans="1:71" outlineLevel="1" x14ac:dyDescent="0.2">
      <c r="C466" s="11" t="str">
        <f>HM_ZA_Nkossa!C455</f>
        <v>VAN cycle complet</v>
      </c>
      <c r="G466" s="60"/>
      <c r="I466" s="63">
        <f ca="1">SUMPRODUCT(OA_cont_ATCF_Nsoko1999,HM_ZB_Nsoko!CA_disc_factor_fc)</f>
        <v>11.7825034508557</v>
      </c>
      <c r="J466" s="26" t="s">
        <v>148</v>
      </c>
      <c r="L466" s="55"/>
      <c r="M466" s="55"/>
      <c r="N466" s="55"/>
      <c r="O466" s="55"/>
      <c r="P466" s="55"/>
      <c r="Q466" s="55"/>
      <c r="R466" s="55"/>
      <c r="S466" s="55"/>
      <c r="T466" s="55"/>
      <c r="U466" s="55"/>
      <c r="V466" s="55"/>
      <c r="W466" s="55"/>
      <c r="X466" s="55"/>
      <c r="Y466" s="55"/>
      <c r="Z466" s="55"/>
      <c r="AA466" s="55"/>
      <c r="AB466" s="55"/>
      <c r="AC466" s="55"/>
      <c r="AD466" s="55"/>
      <c r="AE466" s="55"/>
      <c r="AF466" s="55"/>
      <c r="AG466" s="55"/>
      <c r="AH466" s="55"/>
      <c r="AI466" s="55"/>
      <c r="AJ466" s="55"/>
      <c r="AK466" s="55"/>
      <c r="AL466" s="55"/>
      <c r="AM466" s="55"/>
      <c r="AN466" s="55"/>
      <c r="AO466" s="55"/>
      <c r="AP466" s="55"/>
      <c r="AQ466" s="55"/>
      <c r="AR466" s="55"/>
      <c r="AS466" s="55"/>
      <c r="AT466" s="55"/>
      <c r="AU466" s="55"/>
      <c r="AV466" s="55"/>
      <c r="AW466" s="55"/>
      <c r="AX466" s="55"/>
      <c r="AY466" s="55"/>
      <c r="AZ466" s="55"/>
      <c r="BA466" s="55"/>
      <c r="BB466" s="55"/>
      <c r="BC466" s="55"/>
      <c r="BD466" s="55"/>
      <c r="BE466" s="55"/>
      <c r="BF466" s="55"/>
      <c r="BG466" s="55"/>
      <c r="BH466" s="55"/>
      <c r="BI466" s="55"/>
      <c r="BJ466" s="55"/>
      <c r="BK466" s="55"/>
      <c r="BL466" s="55"/>
      <c r="BM466" s="55"/>
      <c r="BN466" s="55"/>
      <c r="BO466" s="55"/>
      <c r="BP466" s="55"/>
      <c r="BQ466" s="55"/>
      <c r="BR466" s="55"/>
      <c r="BS466" s="55"/>
    </row>
    <row r="467" spans="1:71" outlineLevel="1" x14ac:dyDescent="0.2">
      <c r="C467" s="11" t="str">
        <f>HM_ZA_Nkossa!C456</f>
        <v>VAN à terme</v>
      </c>
      <c r="I467" s="63">
        <f ca="1">SUMPRODUCT(OA_cont_ATCF_Nsoko1999,HM_ZB_Nsoko!CA_disc_factor_pf)</f>
        <v>53.13289215763637</v>
      </c>
      <c r="J467" s="26" t="s">
        <v>148</v>
      </c>
      <c r="L467" s="55"/>
      <c r="M467" s="55"/>
      <c r="N467" s="55"/>
      <c r="O467" s="55"/>
      <c r="P467" s="55"/>
      <c r="Q467" s="55"/>
      <c r="R467" s="55"/>
      <c r="S467" s="55"/>
      <c r="T467" s="55"/>
      <c r="U467" s="55"/>
      <c r="V467" s="55"/>
      <c r="W467" s="55"/>
      <c r="X467" s="55"/>
      <c r="Y467" s="55"/>
      <c r="Z467" s="55"/>
      <c r="AA467" s="55"/>
      <c r="AB467" s="55"/>
      <c r="AC467" s="55"/>
      <c r="AD467" s="55"/>
      <c r="AE467" s="55"/>
      <c r="AF467" s="55"/>
      <c r="AG467" s="55"/>
      <c r="AH467" s="55"/>
      <c r="AI467" s="55"/>
      <c r="AJ467" s="55"/>
      <c r="AK467" s="55"/>
      <c r="AL467" s="55"/>
      <c r="AM467" s="55"/>
      <c r="AN467" s="55"/>
      <c r="AO467" s="55"/>
      <c r="AP467" s="55"/>
      <c r="AQ467" s="55"/>
      <c r="AR467" s="55"/>
      <c r="AS467" s="55"/>
      <c r="AT467" s="55"/>
      <c r="AU467" s="55"/>
      <c r="AV467" s="55"/>
      <c r="AW467" s="55"/>
      <c r="AX467" s="55"/>
      <c r="AY467" s="55"/>
      <c r="AZ467" s="55"/>
      <c r="BA467" s="55"/>
      <c r="BB467" s="55"/>
      <c r="BC467" s="55"/>
      <c r="BD467" s="55"/>
      <c r="BE467" s="55"/>
      <c r="BF467" s="55"/>
      <c r="BG467" s="55"/>
      <c r="BH467" s="55"/>
      <c r="BI467" s="55"/>
      <c r="BJ467" s="55"/>
      <c r="BK467" s="55"/>
      <c r="BL467" s="55"/>
      <c r="BM467" s="55"/>
      <c r="BN467" s="55"/>
      <c r="BO467" s="55"/>
      <c r="BP467" s="55"/>
      <c r="BQ467" s="55"/>
      <c r="BR467" s="55"/>
      <c r="BS467" s="55"/>
    </row>
    <row r="468" spans="1:71" outlineLevel="1" x14ac:dyDescent="0.2">
      <c r="I468" s="61"/>
      <c r="J468" s="26"/>
      <c r="L468" s="55"/>
      <c r="M468" s="55"/>
      <c r="N468" s="55"/>
      <c r="O468" s="55"/>
      <c r="P468" s="55"/>
      <c r="Q468" s="55"/>
      <c r="R468" s="55"/>
      <c r="S468" s="55"/>
      <c r="T468" s="55"/>
      <c r="U468" s="55"/>
      <c r="V468" s="55"/>
      <c r="W468" s="55"/>
      <c r="X468" s="55"/>
      <c r="Y468" s="55"/>
      <c r="Z468" s="55"/>
      <c r="AA468" s="55"/>
      <c r="AB468" s="55"/>
      <c r="AC468" s="55"/>
      <c r="AD468" s="55"/>
      <c r="AE468" s="55"/>
      <c r="AF468" s="55"/>
      <c r="AG468" s="55"/>
      <c r="AH468" s="55"/>
      <c r="AI468" s="55"/>
      <c r="AJ468" s="55"/>
      <c r="AK468" s="55"/>
      <c r="AL468" s="55"/>
      <c r="AM468" s="55"/>
      <c r="AN468" s="55"/>
      <c r="AO468" s="55"/>
      <c r="AP468" s="55"/>
      <c r="AQ468" s="55"/>
      <c r="AR468" s="55"/>
      <c r="AS468" s="55"/>
      <c r="AT468" s="55"/>
      <c r="AU468" s="55"/>
      <c r="AV468" s="55"/>
      <c r="AW468" s="55"/>
      <c r="AX468" s="55"/>
      <c r="AY468" s="55"/>
      <c r="AZ468" s="55"/>
      <c r="BA468" s="55"/>
      <c r="BB468" s="55"/>
      <c r="BC468" s="55"/>
      <c r="BD468" s="55"/>
      <c r="BE468" s="55"/>
      <c r="BF468" s="55"/>
      <c r="BG468" s="55"/>
      <c r="BH468" s="55"/>
      <c r="BI468" s="55"/>
      <c r="BJ468" s="55"/>
      <c r="BK468" s="55"/>
      <c r="BL468" s="55"/>
      <c r="BM468" s="55"/>
      <c r="BN468" s="55"/>
      <c r="BO468" s="55"/>
      <c r="BP468" s="55"/>
      <c r="BQ468" s="55"/>
      <c r="BR468" s="55"/>
      <c r="BS468" s="55"/>
    </row>
    <row r="469" spans="1:71" outlineLevel="1" x14ac:dyDescent="0.2">
      <c r="C469" s="11" t="str">
        <f>HM_ZA_Nkossa!C458</f>
        <v>TRI cycle complet</v>
      </c>
      <c r="I469" s="62" t="str">
        <f ca="1">IFERROR(IRR(INDEX(OA_cont_ATCF_Nsoko1999,1,MAX(1,$G$411-L4+1)):INDEX(OA_cont_ATCF_Nsoko1999,1,last_model_year)),"na")</f>
        <v>na</v>
      </c>
      <c r="J469" s="26" t="s">
        <v>90</v>
      </c>
      <c r="L469" s="55"/>
      <c r="M469" s="55"/>
      <c r="N469" s="55"/>
      <c r="O469" s="55"/>
      <c r="P469" s="55"/>
      <c r="Q469" s="55"/>
      <c r="R469" s="55"/>
      <c r="S469" s="55"/>
      <c r="T469" s="55"/>
      <c r="U469" s="55"/>
      <c r="V469" s="55"/>
      <c r="W469" s="55"/>
      <c r="X469" s="55"/>
      <c r="Y469" s="55"/>
      <c r="Z469" s="55"/>
      <c r="AA469" s="55"/>
      <c r="AB469" s="55"/>
      <c r="AC469" s="55"/>
      <c r="AD469" s="55"/>
      <c r="AE469" s="55"/>
      <c r="AF469" s="55"/>
      <c r="AG469" s="55"/>
      <c r="AH469" s="55"/>
      <c r="AI469" s="55"/>
      <c r="AJ469" s="55"/>
      <c r="AK469" s="55"/>
      <c r="AL469" s="55"/>
      <c r="AM469" s="55"/>
      <c r="AN469" s="55"/>
      <c r="AO469" s="55"/>
      <c r="AP469" s="55"/>
      <c r="AQ469" s="55"/>
      <c r="AR469" s="55"/>
      <c r="AS469" s="55"/>
      <c r="AT469" s="55"/>
      <c r="AU469" s="55"/>
      <c r="AV469" s="55"/>
      <c r="AW469" s="55"/>
      <c r="AX469" s="55"/>
      <c r="AY469" s="55"/>
      <c r="AZ469" s="55"/>
      <c r="BA469" s="55"/>
      <c r="BB469" s="55"/>
      <c r="BC469" s="55"/>
      <c r="BD469" s="55"/>
      <c r="BE469" s="55"/>
      <c r="BF469" s="55"/>
      <c r="BG469" s="55"/>
      <c r="BH469" s="55"/>
      <c r="BI469" s="55"/>
      <c r="BJ469" s="55"/>
      <c r="BK469" s="55"/>
      <c r="BL469" s="55"/>
      <c r="BM469" s="55"/>
      <c r="BN469" s="55"/>
      <c r="BO469" s="55"/>
      <c r="BP469" s="55"/>
      <c r="BQ469" s="55"/>
      <c r="BR469" s="55"/>
      <c r="BS469" s="55"/>
    </row>
    <row r="470" spans="1:71" outlineLevel="1" x14ac:dyDescent="0.2">
      <c r="C470" s="11" t="str">
        <f>HM_ZA_Nkossa!C459</f>
        <v>TRI à terme</v>
      </c>
      <c r="I470" s="62" t="str">
        <f ca="1">IFERROR(IRR(INDEX(OA_cont_ATCF_Nsoko1999,1,MAX(1,$G$412-L4+1)):INDEX(OA_cont_ATCF_Nsoko1999,1,last_model_year)),"na")</f>
        <v>na</v>
      </c>
      <c r="J470" s="26" t="s">
        <v>90</v>
      </c>
      <c r="L470" s="55"/>
      <c r="M470" s="55"/>
      <c r="N470" s="55"/>
      <c r="O470" s="55"/>
      <c r="P470" s="55"/>
      <c r="Q470" s="55"/>
      <c r="R470" s="55"/>
      <c r="S470" s="55"/>
      <c r="T470" s="55"/>
      <c r="U470" s="55"/>
      <c r="V470" s="55"/>
      <c r="W470" s="55"/>
      <c r="X470" s="55"/>
      <c r="Y470" s="55"/>
      <c r="Z470" s="55"/>
      <c r="AA470" s="55"/>
      <c r="AB470" s="55"/>
      <c r="AC470" s="55"/>
      <c r="AD470" s="55"/>
      <c r="AE470" s="55"/>
      <c r="AF470" s="55"/>
      <c r="AG470" s="55"/>
      <c r="AH470" s="55"/>
      <c r="AI470" s="55"/>
      <c r="AJ470" s="55"/>
      <c r="AK470" s="55"/>
      <c r="AL470" s="55"/>
      <c r="AM470" s="55"/>
      <c r="AN470" s="55"/>
      <c r="AO470" s="55"/>
      <c r="AP470" s="55"/>
      <c r="AQ470" s="55"/>
      <c r="AR470" s="55"/>
      <c r="AS470" s="55"/>
      <c r="AT470" s="55"/>
      <c r="AU470" s="55"/>
      <c r="AV470" s="55"/>
      <c r="AW470" s="55"/>
      <c r="AX470" s="55"/>
      <c r="AY470" s="55"/>
      <c r="AZ470" s="55"/>
      <c r="BA470" s="55"/>
      <c r="BB470" s="55"/>
      <c r="BC470" s="55"/>
      <c r="BD470" s="55"/>
      <c r="BE470" s="55"/>
      <c r="BF470" s="55"/>
      <c r="BG470" s="55"/>
      <c r="BH470" s="55"/>
      <c r="BI470" s="55"/>
      <c r="BJ470" s="55"/>
      <c r="BK470" s="55"/>
      <c r="BL470" s="55"/>
      <c r="BM470" s="55"/>
      <c r="BN470" s="55"/>
      <c r="BO470" s="55"/>
      <c r="BP470" s="55"/>
      <c r="BQ470" s="55"/>
      <c r="BR470" s="55"/>
      <c r="BS470" s="55"/>
    </row>
    <row r="471" spans="1:71" outlineLevel="1" x14ac:dyDescent="0.2">
      <c r="J471" s="26"/>
      <c r="L471" s="55"/>
      <c r="M471" s="55"/>
      <c r="N471" s="55"/>
      <c r="O471" s="55"/>
      <c r="P471" s="55"/>
      <c r="Q471" s="55"/>
      <c r="R471" s="55"/>
      <c r="S471" s="55"/>
      <c r="T471" s="55"/>
      <c r="U471" s="55"/>
      <c r="V471" s="55"/>
      <c r="W471" s="55"/>
      <c r="X471" s="55"/>
      <c r="Y471" s="55"/>
      <c r="Z471" s="55"/>
      <c r="AA471" s="55"/>
      <c r="AB471" s="55"/>
      <c r="AC471" s="55"/>
      <c r="AD471" s="55"/>
      <c r="AE471" s="55"/>
      <c r="AF471" s="55"/>
      <c r="AG471" s="55"/>
      <c r="AH471" s="55"/>
      <c r="AI471" s="55"/>
      <c r="AJ471" s="55"/>
      <c r="AK471" s="55"/>
      <c r="AL471" s="55"/>
      <c r="AM471" s="55"/>
      <c r="AN471" s="55"/>
      <c r="AO471" s="55"/>
      <c r="AP471" s="55"/>
      <c r="AQ471" s="55"/>
      <c r="AR471" s="55"/>
      <c r="AS471" s="55"/>
      <c r="AT471" s="55"/>
      <c r="AU471" s="55"/>
      <c r="AV471" s="55"/>
      <c r="AW471" s="55"/>
      <c r="AX471" s="55"/>
      <c r="AY471" s="55"/>
      <c r="AZ471" s="55"/>
      <c r="BA471" s="55"/>
      <c r="BB471" s="55"/>
      <c r="BC471" s="55"/>
      <c r="BD471" s="55"/>
      <c r="BE471" s="55"/>
      <c r="BF471" s="55"/>
      <c r="BG471" s="55"/>
      <c r="BH471" s="55"/>
      <c r="BI471" s="55"/>
      <c r="BJ471" s="55"/>
      <c r="BK471" s="55"/>
      <c r="BL471" s="55"/>
      <c r="BM471" s="55"/>
      <c r="BN471" s="55"/>
      <c r="BO471" s="55"/>
      <c r="BP471" s="55"/>
      <c r="BQ471" s="55"/>
      <c r="BR471" s="55"/>
      <c r="BS471" s="55"/>
    </row>
    <row r="472" spans="1:71" outlineLevel="1" x14ac:dyDescent="0.2">
      <c r="C472" s="11" t="str">
        <f>HM_ZA_Nkossa!C461</f>
        <v>Période de remboursement</v>
      </c>
      <c r="I472" s="67">
        <f ca="1">COUNTIF(L464:BS464,"&lt;0")+1</f>
        <v>3</v>
      </c>
      <c r="J472" s="26"/>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c r="BF472" s="7"/>
      <c r="BG472" s="7"/>
      <c r="BH472" s="7"/>
      <c r="BI472" s="7"/>
      <c r="BJ472" s="7"/>
      <c r="BK472" s="7"/>
      <c r="BL472" s="7"/>
      <c r="BM472" s="7"/>
      <c r="BN472" s="7"/>
      <c r="BO472" s="7"/>
      <c r="BP472" s="7"/>
      <c r="BQ472" s="7"/>
      <c r="BR472" s="7"/>
      <c r="BS472" s="7"/>
    </row>
    <row r="473" spans="1:71" outlineLevel="1" x14ac:dyDescent="0.2">
      <c r="J473" s="26"/>
      <c r="L473" s="55"/>
      <c r="M473" s="55"/>
      <c r="N473" s="55"/>
      <c r="O473" s="55"/>
      <c r="P473" s="55"/>
      <c r="Q473" s="55"/>
      <c r="R473" s="55"/>
      <c r="S473" s="55"/>
      <c r="T473" s="55"/>
      <c r="U473" s="55"/>
      <c r="V473" s="55"/>
      <c r="W473" s="55"/>
      <c r="X473" s="55"/>
      <c r="Y473" s="55"/>
      <c r="Z473" s="55"/>
      <c r="AA473" s="55"/>
      <c r="AB473" s="55"/>
      <c r="AC473" s="55"/>
      <c r="AD473" s="55"/>
      <c r="AE473" s="55"/>
      <c r="AF473" s="55"/>
      <c r="AG473" s="55"/>
      <c r="AH473" s="55"/>
      <c r="AI473" s="55"/>
      <c r="AJ473" s="55"/>
      <c r="AK473" s="55"/>
      <c r="AL473" s="55"/>
      <c r="AM473" s="55"/>
      <c r="AN473" s="55"/>
      <c r="AO473" s="55"/>
      <c r="AP473" s="55"/>
      <c r="AQ473" s="55"/>
      <c r="AR473" s="55"/>
      <c r="AS473" s="55"/>
      <c r="AT473" s="55"/>
      <c r="AU473" s="55"/>
      <c r="AV473" s="55"/>
      <c r="AW473" s="55"/>
      <c r="AX473" s="55"/>
      <c r="AY473" s="55"/>
      <c r="AZ473" s="55"/>
      <c r="BA473" s="55"/>
      <c r="BB473" s="55"/>
      <c r="BC473" s="55"/>
      <c r="BD473" s="55"/>
      <c r="BE473" s="55"/>
      <c r="BF473" s="55"/>
      <c r="BG473" s="55"/>
      <c r="BH473" s="55"/>
      <c r="BI473" s="55"/>
      <c r="BJ473" s="55"/>
      <c r="BK473" s="55"/>
      <c r="BL473" s="55"/>
      <c r="BM473" s="55"/>
      <c r="BN473" s="55"/>
      <c r="BO473" s="55"/>
      <c r="BP473" s="55"/>
      <c r="BQ473" s="55"/>
      <c r="BR473" s="55"/>
      <c r="BS473" s="55"/>
    </row>
    <row r="474" spans="1:71" outlineLevel="1" x14ac:dyDescent="0.2">
      <c r="J474" s="26"/>
      <c r="L474" s="55"/>
      <c r="M474" s="55"/>
      <c r="N474" s="55"/>
      <c r="O474" s="55"/>
      <c r="P474" s="55"/>
      <c r="Q474" s="55"/>
      <c r="R474" s="55"/>
      <c r="S474" s="55"/>
      <c r="T474" s="55"/>
      <c r="U474" s="55"/>
      <c r="V474" s="55"/>
      <c r="W474" s="55"/>
      <c r="X474" s="55"/>
      <c r="Y474" s="55"/>
      <c r="Z474" s="55"/>
      <c r="AA474" s="55"/>
      <c r="AB474" s="55"/>
      <c r="AC474" s="55"/>
      <c r="AD474" s="55"/>
      <c r="AE474" s="55"/>
      <c r="AF474" s="55"/>
      <c r="AG474" s="55"/>
      <c r="AH474" s="55"/>
      <c r="AI474" s="55"/>
      <c r="AJ474" s="55"/>
      <c r="AK474" s="55"/>
      <c r="AL474" s="55"/>
      <c r="AM474" s="55"/>
      <c r="AN474" s="55"/>
      <c r="AO474" s="55"/>
      <c r="AP474" s="55"/>
      <c r="AQ474" s="55"/>
      <c r="AR474" s="55"/>
      <c r="AS474" s="55"/>
      <c r="AT474" s="55"/>
      <c r="AU474" s="55"/>
      <c r="AV474" s="55"/>
      <c r="AW474" s="55"/>
      <c r="AX474" s="55"/>
      <c r="AY474" s="55"/>
      <c r="AZ474" s="55"/>
      <c r="BA474" s="55"/>
      <c r="BB474" s="55"/>
      <c r="BC474" s="55"/>
      <c r="BD474" s="55"/>
      <c r="BE474" s="55"/>
      <c r="BF474" s="55"/>
      <c r="BG474" s="55"/>
      <c r="BH474" s="55"/>
      <c r="BI474" s="55"/>
      <c r="BJ474" s="55"/>
      <c r="BK474" s="55"/>
      <c r="BL474" s="55"/>
      <c r="BM474" s="55"/>
      <c r="BN474" s="55"/>
      <c r="BO474" s="55"/>
      <c r="BP474" s="55"/>
      <c r="BQ474" s="55"/>
      <c r="BR474" s="55"/>
      <c r="BS474" s="55"/>
    </row>
    <row r="475" spans="1:71" outlineLevel="1" x14ac:dyDescent="0.2">
      <c r="J475" s="26"/>
      <c r="L475" s="55"/>
      <c r="M475" s="55"/>
      <c r="N475" s="55"/>
      <c r="O475" s="55"/>
      <c r="P475" s="55"/>
      <c r="Q475" s="55"/>
      <c r="R475" s="55"/>
      <c r="S475" s="55"/>
      <c r="T475" s="55"/>
      <c r="U475" s="55"/>
      <c r="V475" s="55"/>
      <c r="W475" s="55"/>
      <c r="X475" s="55"/>
      <c r="Y475" s="55"/>
      <c r="Z475" s="55"/>
      <c r="AA475" s="55"/>
      <c r="AB475" s="55"/>
      <c r="AC475" s="55"/>
      <c r="AD475" s="55"/>
      <c r="AE475" s="55"/>
      <c r="AF475" s="55"/>
      <c r="AG475" s="55"/>
      <c r="AH475" s="55"/>
      <c r="AI475" s="55"/>
      <c r="AJ475" s="55"/>
      <c r="AK475" s="55"/>
      <c r="AL475" s="55"/>
      <c r="AM475" s="55"/>
      <c r="AN475" s="55"/>
      <c r="AO475" s="55"/>
      <c r="AP475" s="55"/>
      <c r="AQ475" s="55"/>
      <c r="AR475" s="55"/>
      <c r="AS475" s="55"/>
      <c r="AT475" s="55"/>
      <c r="AU475" s="55"/>
      <c r="AV475" s="55"/>
      <c r="AW475" s="55"/>
      <c r="AX475" s="55"/>
      <c r="AY475" s="55"/>
      <c r="AZ475" s="55"/>
      <c r="BA475" s="55"/>
      <c r="BB475" s="55"/>
      <c r="BC475" s="55"/>
      <c r="BD475" s="55"/>
      <c r="BE475" s="55"/>
      <c r="BF475" s="55"/>
      <c r="BG475" s="55"/>
      <c r="BH475" s="55"/>
      <c r="BI475" s="55"/>
      <c r="BJ475" s="55"/>
      <c r="BK475" s="55"/>
      <c r="BL475" s="55"/>
      <c r="BM475" s="55"/>
      <c r="BN475" s="55"/>
      <c r="BO475" s="55"/>
      <c r="BP475" s="55"/>
      <c r="BQ475" s="55"/>
      <c r="BR475" s="55"/>
      <c r="BS475" s="55"/>
    </row>
    <row r="476" spans="1:71" outlineLevel="1" x14ac:dyDescent="0.2">
      <c r="A476" s="45"/>
      <c r="B476" s="38" t="str">
        <f>HM_ZA_Nkossa!B465</f>
        <v>Flux de trésorerie consortium compagnies pétrolières internationales</v>
      </c>
      <c r="C476" s="45"/>
      <c r="D476" s="45"/>
      <c r="E476" s="45"/>
      <c r="J476" s="26"/>
      <c r="L476" s="55"/>
      <c r="M476" s="55"/>
      <c r="N476" s="55"/>
      <c r="O476" s="55"/>
      <c r="P476" s="55"/>
      <c r="Q476" s="55"/>
      <c r="R476" s="55"/>
      <c r="S476" s="55"/>
      <c r="T476" s="55"/>
      <c r="U476" s="55"/>
      <c r="V476" s="55"/>
      <c r="W476" s="55"/>
      <c r="X476" s="55"/>
      <c r="Y476" s="55"/>
      <c r="Z476" s="55"/>
      <c r="AA476" s="55"/>
      <c r="AB476" s="55"/>
      <c r="AC476" s="55"/>
      <c r="AD476" s="55"/>
      <c r="AE476" s="55"/>
      <c r="AF476" s="55"/>
      <c r="AG476" s="55"/>
      <c r="AH476" s="55"/>
      <c r="AI476" s="55"/>
      <c r="AJ476" s="55"/>
      <c r="AK476" s="55"/>
      <c r="AL476" s="55"/>
      <c r="AM476" s="55"/>
      <c r="AN476" s="55"/>
      <c r="AO476" s="55"/>
      <c r="AP476" s="55"/>
      <c r="AQ476" s="55"/>
      <c r="AR476" s="55"/>
      <c r="AS476" s="55"/>
      <c r="AT476" s="55"/>
      <c r="AU476" s="55"/>
      <c r="AV476" s="55"/>
      <c r="AW476" s="55"/>
      <c r="AX476" s="55"/>
      <c r="AY476" s="55"/>
      <c r="AZ476" s="55"/>
      <c r="BA476" s="55"/>
      <c r="BB476" s="55"/>
      <c r="BC476" s="55"/>
      <c r="BD476" s="55"/>
      <c r="BE476" s="55"/>
      <c r="BF476" s="55"/>
      <c r="BG476" s="55"/>
      <c r="BH476" s="55"/>
      <c r="BI476" s="55"/>
      <c r="BJ476" s="55"/>
      <c r="BK476" s="55"/>
      <c r="BL476" s="55"/>
      <c r="BM476" s="55"/>
      <c r="BN476" s="55"/>
      <c r="BO476" s="55"/>
      <c r="BP476" s="55"/>
      <c r="BQ476" s="55"/>
      <c r="BR476" s="55"/>
      <c r="BS476" s="55"/>
    </row>
    <row r="477" spans="1:71" outlineLevel="1" x14ac:dyDescent="0.2">
      <c r="J477" s="26"/>
      <c r="L477" s="55"/>
      <c r="M477" s="55"/>
      <c r="N477" s="55"/>
      <c r="O477" s="55"/>
      <c r="P477" s="55"/>
      <c r="Q477" s="55"/>
      <c r="R477" s="55"/>
      <c r="S477" s="55"/>
      <c r="T477" s="55"/>
      <c r="U477" s="55"/>
      <c r="V477" s="55"/>
      <c r="W477" s="55"/>
      <c r="X477" s="55"/>
      <c r="Y477" s="55"/>
      <c r="Z477" s="55"/>
      <c r="AA477" s="55"/>
      <c r="AB477" s="55"/>
      <c r="AC477" s="55"/>
      <c r="AD477" s="55"/>
      <c r="AE477" s="55"/>
      <c r="AF477" s="55"/>
      <c r="AG477" s="55"/>
      <c r="AH477" s="55"/>
      <c r="AI477" s="55"/>
      <c r="AJ477" s="55"/>
      <c r="AK477" s="55"/>
      <c r="AL477" s="55"/>
      <c r="AM477" s="55"/>
      <c r="AN477" s="55"/>
      <c r="AO477" s="55"/>
      <c r="AP477" s="55"/>
      <c r="AQ477" s="55"/>
      <c r="AR477" s="55"/>
      <c r="AS477" s="55"/>
      <c r="AT477" s="55"/>
      <c r="AU477" s="55"/>
      <c r="AV477" s="55"/>
      <c r="AW477" s="55"/>
      <c r="AX477" s="55"/>
      <c r="AY477" s="55"/>
      <c r="AZ477" s="55"/>
      <c r="BA477" s="55"/>
      <c r="BB477" s="55"/>
      <c r="BC477" s="55"/>
      <c r="BD477" s="55"/>
      <c r="BE477" s="55"/>
      <c r="BF477" s="55"/>
      <c r="BG477" s="55"/>
      <c r="BH477" s="55"/>
      <c r="BI477" s="55"/>
      <c r="BJ477" s="55"/>
      <c r="BK477" s="55"/>
      <c r="BL477" s="55"/>
      <c r="BM477" s="55"/>
      <c r="BN477" s="55"/>
      <c r="BO477" s="55"/>
      <c r="BP477" s="55"/>
      <c r="BQ477" s="55"/>
      <c r="BR477" s="55"/>
      <c r="BS477" s="55"/>
    </row>
    <row r="478" spans="1:71" outlineLevel="1" x14ac:dyDescent="0.2">
      <c r="C478" s="11" t="str">
        <f>HM_ZA_Nkossa!C467</f>
        <v>Part Flux de trésorerie après impôts des compagnies pétrolières internationales</v>
      </c>
      <c r="I478" s="30">
        <f t="shared" ref="I478:I481" ca="1" si="135">SUM($L478:$BS478)</f>
        <v>84.721496991012316</v>
      </c>
      <c r="J478" s="26" t="s">
        <v>148</v>
      </c>
      <c r="L478" s="49" cm="1">
        <f t="array" aca="1" ref="L478:BS478" ca="1">OA_cont_ATCF_Nsoko1999*HM_ZB_Nsoko!CA_IOC_WI</f>
        <v>9.8698137803877888</v>
      </c>
      <c r="M478" s="49">
        <f ca="1"/>
        <v>-20.064256050933245</v>
      </c>
      <c r="N478" s="49">
        <f ca="1"/>
        <v>9.4157257740488767</v>
      </c>
      <c r="O478" s="49">
        <f ca="1"/>
        <v>5.0060891497544988</v>
      </c>
      <c r="P478" s="49">
        <f ca="1"/>
        <v>6.6545576010368714</v>
      </c>
      <c r="Q478" s="49">
        <f ca="1"/>
        <v>4.4767855160919972</v>
      </c>
      <c r="R478" s="49">
        <f ca="1"/>
        <v>3.555497681819999</v>
      </c>
      <c r="S478" s="49">
        <f ca="1"/>
        <v>10.303568566532286</v>
      </c>
      <c r="T478" s="49">
        <f ca="1"/>
        <v>13.811409299109227</v>
      </c>
      <c r="U478" s="49">
        <f ca="1"/>
        <v>12.520545094403129</v>
      </c>
      <c r="V478" s="49">
        <f ca="1"/>
        <v>11.06213528751085</v>
      </c>
      <c r="W478" s="49">
        <f ca="1"/>
        <v>9.6954016059256318</v>
      </c>
      <c r="X478" s="49">
        <f ca="1"/>
        <v>8.4142236853243979</v>
      </c>
      <c r="Y478" s="49">
        <f ca="1"/>
        <v>0</v>
      </c>
      <c r="Z478" s="49">
        <f ca="1"/>
        <v>0</v>
      </c>
      <c r="AA478" s="49">
        <f ca="1"/>
        <v>0</v>
      </c>
      <c r="AB478" s="49">
        <f ca="1"/>
        <v>0</v>
      </c>
      <c r="AC478" s="49">
        <f ca="1"/>
        <v>0</v>
      </c>
      <c r="AD478" s="49">
        <f ca="1"/>
        <v>0</v>
      </c>
      <c r="AE478" s="49">
        <f ca="1"/>
        <v>0</v>
      </c>
      <c r="AF478" s="49">
        <f ca="1"/>
        <v>0</v>
      </c>
      <c r="AG478" s="49">
        <f ca="1"/>
        <v>0</v>
      </c>
      <c r="AH478" s="49">
        <f ca="1"/>
        <v>0</v>
      </c>
      <c r="AI478" s="49">
        <f ca="1"/>
        <v>0</v>
      </c>
      <c r="AJ478" s="49">
        <f ca="1"/>
        <v>0</v>
      </c>
      <c r="AK478" s="49">
        <f ca="1"/>
        <v>0</v>
      </c>
      <c r="AL478" s="49">
        <f ca="1"/>
        <v>0</v>
      </c>
      <c r="AM478" s="49">
        <f ca="1"/>
        <v>0</v>
      </c>
      <c r="AN478" s="49">
        <f ca="1"/>
        <v>0</v>
      </c>
      <c r="AO478" s="49">
        <f ca="1"/>
        <v>0</v>
      </c>
      <c r="AP478" s="49">
        <f ca="1"/>
        <v>0</v>
      </c>
      <c r="AQ478" s="49">
        <f ca="1"/>
        <v>0</v>
      </c>
      <c r="AR478" s="49">
        <f ca="1"/>
        <v>0</v>
      </c>
      <c r="AS478" s="49">
        <f ca="1"/>
        <v>0</v>
      </c>
      <c r="AT478" s="49">
        <f ca="1"/>
        <v>0</v>
      </c>
      <c r="AU478" s="49">
        <f ca="1"/>
        <v>0</v>
      </c>
      <c r="AV478" s="49">
        <f ca="1"/>
        <v>0</v>
      </c>
      <c r="AW478" s="49">
        <f ca="1"/>
        <v>0</v>
      </c>
      <c r="AX478" s="49">
        <f ca="1"/>
        <v>0</v>
      </c>
      <c r="AY478" s="49">
        <f ca="1"/>
        <v>0</v>
      </c>
      <c r="AZ478" s="49">
        <f ca="1"/>
        <v>0</v>
      </c>
      <c r="BA478" s="49">
        <f ca="1"/>
        <v>0</v>
      </c>
      <c r="BB478" s="49">
        <f ca="1"/>
        <v>0</v>
      </c>
      <c r="BC478" s="49">
        <f ca="1"/>
        <v>0</v>
      </c>
      <c r="BD478" s="49">
        <f ca="1"/>
        <v>0</v>
      </c>
      <c r="BE478" s="49">
        <f ca="1"/>
        <v>0</v>
      </c>
      <c r="BF478" s="49">
        <f ca="1"/>
        <v>0</v>
      </c>
      <c r="BG478" s="49">
        <f ca="1"/>
        <v>0</v>
      </c>
      <c r="BH478" s="49">
        <f ca="1"/>
        <v>0</v>
      </c>
      <c r="BI478" s="49">
        <f ca="1"/>
        <v>0</v>
      </c>
      <c r="BJ478" s="49">
        <f ca="1"/>
        <v>0</v>
      </c>
      <c r="BK478" s="49">
        <f ca="1"/>
        <v>0</v>
      </c>
      <c r="BL478" s="49">
        <f ca="1"/>
        <v>0</v>
      </c>
      <c r="BM478" s="49">
        <f ca="1"/>
        <v>0</v>
      </c>
      <c r="BN478" s="49">
        <f ca="1"/>
        <v>0</v>
      </c>
      <c r="BO478" s="49">
        <f ca="1"/>
        <v>0</v>
      </c>
      <c r="BP478" s="49">
        <f ca="1"/>
        <v>0</v>
      </c>
      <c r="BQ478" s="49">
        <f ca="1"/>
        <v>0</v>
      </c>
      <c r="BR478" s="49">
        <f ca="1"/>
        <v>0</v>
      </c>
      <c r="BS478" s="49">
        <f ca="1"/>
        <v>0</v>
      </c>
    </row>
    <row r="479" spans="1:71" outlineLevel="1" x14ac:dyDescent="0.2">
      <c r="C479" s="11" t="str">
        <f>HM_ZA_Nkossa!C468</f>
        <v>Coûts portés</v>
      </c>
      <c r="I479" s="30">
        <f t="shared" ca="1" si="135"/>
        <v>-6.1300499999999998</v>
      </c>
      <c r="J479" s="26" t="s">
        <v>148</v>
      </c>
      <c r="L479" s="49" cm="1">
        <f t="array" aca="1" ref="L479:BS479" ca="1">-HM_ZB_Nsoko!CA_NOC_carried_costs</f>
        <v>-0.12180000000000001</v>
      </c>
      <c r="M479" s="49">
        <f ca="1"/>
        <v>-5.8426499999999999</v>
      </c>
      <c r="N479" s="49">
        <f ca="1"/>
        <v>-0.10379999999999999</v>
      </c>
      <c r="O479" s="49">
        <f ca="1"/>
        <v>-2.3400000000000001E-2</v>
      </c>
      <c r="P479" s="49">
        <f ca="1"/>
        <v>-3.8399999999999997E-2</v>
      </c>
      <c r="Q479" s="49">
        <f ca="1"/>
        <v>0</v>
      </c>
      <c r="R479" s="49">
        <f ca="1"/>
        <v>0</v>
      </c>
      <c r="S479" s="49">
        <f ca="1"/>
        <v>0</v>
      </c>
      <c r="T479" s="49">
        <f ca="1"/>
        <v>0</v>
      </c>
      <c r="U479" s="49">
        <f ca="1"/>
        <v>0</v>
      </c>
      <c r="V479" s="49">
        <f ca="1"/>
        <v>0</v>
      </c>
      <c r="W479" s="49">
        <f ca="1"/>
        <v>0</v>
      </c>
      <c r="X479" s="49">
        <f ca="1"/>
        <v>0</v>
      </c>
      <c r="Y479" s="49">
        <f ca="1"/>
        <v>0</v>
      </c>
      <c r="Z479" s="49">
        <f ca="1"/>
        <v>0</v>
      </c>
      <c r="AA479" s="49">
        <f ca="1"/>
        <v>0</v>
      </c>
      <c r="AB479" s="49">
        <f ca="1"/>
        <v>0</v>
      </c>
      <c r="AC479" s="49">
        <f ca="1"/>
        <v>0</v>
      </c>
      <c r="AD479" s="49">
        <f ca="1"/>
        <v>0</v>
      </c>
      <c r="AE479" s="49">
        <f ca="1"/>
        <v>0</v>
      </c>
      <c r="AF479" s="49">
        <f ca="1"/>
        <v>0</v>
      </c>
      <c r="AG479" s="49">
        <f ca="1"/>
        <v>0</v>
      </c>
      <c r="AH479" s="49">
        <f ca="1"/>
        <v>0</v>
      </c>
      <c r="AI479" s="49">
        <f ca="1"/>
        <v>0</v>
      </c>
      <c r="AJ479" s="49">
        <f ca="1"/>
        <v>0</v>
      </c>
      <c r="AK479" s="49">
        <f ca="1"/>
        <v>0</v>
      </c>
      <c r="AL479" s="49">
        <f ca="1"/>
        <v>0</v>
      </c>
      <c r="AM479" s="49">
        <f ca="1"/>
        <v>0</v>
      </c>
      <c r="AN479" s="49">
        <f ca="1"/>
        <v>0</v>
      </c>
      <c r="AO479" s="49">
        <f ca="1"/>
        <v>0</v>
      </c>
      <c r="AP479" s="49">
        <f ca="1"/>
        <v>0</v>
      </c>
      <c r="AQ479" s="49">
        <f ca="1"/>
        <v>0</v>
      </c>
      <c r="AR479" s="49">
        <f ca="1"/>
        <v>0</v>
      </c>
      <c r="AS479" s="49">
        <f ca="1"/>
        <v>0</v>
      </c>
      <c r="AT479" s="49">
        <f ca="1"/>
        <v>0</v>
      </c>
      <c r="AU479" s="49">
        <f ca="1"/>
        <v>0</v>
      </c>
      <c r="AV479" s="49">
        <f ca="1"/>
        <v>0</v>
      </c>
      <c r="AW479" s="49">
        <f ca="1"/>
        <v>0</v>
      </c>
      <c r="AX479" s="49">
        <f ca="1"/>
        <v>0</v>
      </c>
      <c r="AY479" s="49">
        <f ca="1"/>
        <v>0</v>
      </c>
      <c r="AZ479" s="49">
        <f ca="1"/>
        <v>0</v>
      </c>
      <c r="BA479" s="49">
        <f ca="1"/>
        <v>0</v>
      </c>
      <c r="BB479" s="49">
        <f ca="1"/>
        <v>0</v>
      </c>
      <c r="BC479" s="49">
        <f ca="1"/>
        <v>0</v>
      </c>
      <c r="BD479" s="49">
        <f ca="1"/>
        <v>0</v>
      </c>
      <c r="BE479" s="49">
        <f ca="1"/>
        <v>0</v>
      </c>
      <c r="BF479" s="49">
        <f ca="1"/>
        <v>0</v>
      </c>
      <c r="BG479" s="49">
        <f ca="1"/>
        <v>0</v>
      </c>
      <c r="BH479" s="49">
        <f ca="1"/>
        <v>0</v>
      </c>
      <c r="BI479" s="49">
        <f ca="1"/>
        <v>0</v>
      </c>
      <c r="BJ479" s="49">
        <f ca="1"/>
        <v>0</v>
      </c>
      <c r="BK479" s="49">
        <f ca="1"/>
        <v>0</v>
      </c>
      <c r="BL479" s="49">
        <f ca="1"/>
        <v>0</v>
      </c>
      <c r="BM479" s="49">
        <f ca="1"/>
        <v>0</v>
      </c>
      <c r="BN479" s="49">
        <f ca="1"/>
        <v>0</v>
      </c>
      <c r="BO479" s="49">
        <f ca="1"/>
        <v>0</v>
      </c>
      <c r="BP479" s="49">
        <f ca="1"/>
        <v>0</v>
      </c>
      <c r="BQ479" s="49">
        <f ca="1"/>
        <v>0</v>
      </c>
      <c r="BR479" s="49">
        <f ca="1"/>
        <v>0</v>
      </c>
      <c r="BS479" s="49">
        <f ca="1"/>
        <v>0</v>
      </c>
    </row>
    <row r="480" spans="1:71" outlineLevel="1" x14ac:dyDescent="0.2">
      <c r="C480" s="11" t="str">
        <f>HM_ZA_Nkossa!C469</f>
        <v>Remboursement du portage</v>
      </c>
      <c r="I480" s="30">
        <f t="shared" ca="1" si="135"/>
        <v>6.1300499999999998</v>
      </c>
      <c r="J480" s="26" t="s">
        <v>148</v>
      </c>
      <c r="L480" s="49" cm="1">
        <f t="array" aca="1" ref="L480:BS480" ca="1">-HM_ZB_Nsoko!CA_NOC_carry_payback</f>
        <v>0.12180000000000001</v>
      </c>
      <c r="M480" s="49">
        <f ca="1"/>
        <v>3.2460035853785629</v>
      </c>
      <c r="N480" s="49">
        <f ca="1"/>
        <v>2.7004464146214371</v>
      </c>
      <c r="O480" s="49">
        <f ca="1"/>
        <v>2.3400000000000001E-2</v>
      </c>
      <c r="P480" s="49">
        <f ca="1"/>
        <v>3.8399999999999997E-2</v>
      </c>
      <c r="Q480" s="49">
        <f ca="1"/>
        <v>0</v>
      </c>
      <c r="R480" s="49">
        <f ca="1"/>
        <v>0</v>
      </c>
      <c r="S480" s="49">
        <f ca="1"/>
        <v>0</v>
      </c>
      <c r="T480" s="49">
        <f ca="1"/>
        <v>0</v>
      </c>
      <c r="U480" s="49">
        <f ca="1"/>
        <v>0</v>
      </c>
      <c r="V480" s="49">
        <f ca="1"/>
        <v>0</v>
      </c>
      <c r="W480" s="49">
        <f ca="1"/>
        <v>0</v>
      </c>
      <c r="X480" s="49">
        <f ca="1"/>
        <v>0</v>
      </c>
      <c r="Y480" s="49">
        <f ca="1"/>
        <v>0</v>
      </c>
      <c r="Z480" s="49">
        <f ca="1"/>
        <v>0</v>
      </c>
      <c r="AA480" s="49">
        <f ca="1"/>
        <v>0</v>
      </c>
      <c r="AB480" s="49">
        <f ca="1"/>
        <v>0</v>
      </c>
      <c r="AC480" s="49">
        <f ca="1"/>
        <v>0</v>
      </c>
      <c r="AD480" s="49">
        <f ca="1"/>
        <v>0</v>
      </c>
      <c r="AE480" s="49">
        <f ca="1"/>
        <v>0</v>
      </c>
      <c r="AF480" s="49">
        <f ca="1"/>
        <v>0</v>
      </c>
      <c r="AG480" s="49">
        <f ca="1"/>
        <v>0</v>
      </c>
      <c r="AH480" s="49">
        <f ca="1"/>
        <v>0</v>
      </c>
      <c r="AI480" s="49">
        <f ca="1"/>
        <v>0</v>
      </c>
      <c r="AJ480" s="49">
        <f ca="1"/>
        <v>0</v>
      </c>
      <c r="AK480" s="49">
        <f ca="1"/>
        <v>0</v>
      </c>
      <c r="AL480" s="49">
        <f ca="1"/>
        <v>0</v>
      </c>
      <c r="AM480" s="49">
        <f ca="1"/>
        <v>0</v>
      </c>
      <c r="AN480" s="49">
        <f ca="1"/>
        <v>0</v>
      </c>
      <c r="AO480" s="49">
        <f ca="1"/>
        <v>0</v>
      </c>
      <c r="AP480" s="49">
        <f ca="1"/>
        <v>0</v>
      </c>
      <c r="AQ480" s="49">
        <f ca="1"/>
        <v>0</v>
      </c>
      <c r="AR480" s="49">
        <f ca="1"/>
        <v>0</v>
      </c>
      <c r="AS480" s="49">
        <f ca="1"/>
        <v>0</v>
      </c>
      <c r="AT480" s="49">
        <f ca="1"/>
        <v>0</v>
      </c>
      <c r="AU480" s="49">
        <f ca="1"/>
        <v>0</v>
      </c>
      <c r="AV480" s="49">
        <f ca="1"/>
        <v>0</v>
      </c>
      <c r="AW480" s="49">
        <f ca="1"/>
        <v>0</v>
      </c>
      <c r="AX480" s="49">
        <f ca="1"/>
        <v>0</v>
      </c>
      <c r="AY480" s="49">
        <f ca="1"/>
        <v>0</v>
      </c>
      <c r="AZ480" s="49">
        <f ca="1"/>
        <v>0</v>
      </c>
      <c r="BA480" s="49">
        <f ca="1"/>
        <v>0</v>
      </c>
      <c r="BB480" s="49">
        <f ca="1"/>
        <v>0</v>
      </c>
      <c r="BC480" s="49">
        <f ca="1"/>
        <v>0</v>
      </c>
      <c r="BD480" s="49">
        <f ca="1"/>
        <v>0</v>
      </c>
      <c r="BE480" s="49">
        <f ca="1"/>
        <v>0</v>
      </c>
      <c r="BF480" s="49">
        <f ca="1"/>
        <v>0</v>
      </c>
      <c r="BG480" s="49">
        <f ca="1"/>
        <v>0</v>
      </c>
      <c r="BH480" s="49">
        <f ca="1"/>
        <v>0</v>
      </c>
      <c r="BI480" s="49">
        <f ca="1"/>
        <v>0</v>
      </c>
      <c r="BJ480" s="49">
        <f ca="1"/>
        <v>0</v>
      </c>
      <c r="BK480" s="49">
        <f ca="1"/>
        <v>0</v>
      </c>
      <c r="BL480" s="49">
        <f ca="1"/>
        <v>0</v>
      </c>
      <c r="BM480" s="49">
        <f ca="1"/>
        <v>0</v>
      </c>
      <c r="BN480" s="49">
        <f ca="1"/>
        <v>0</v>
      </c>
      <c r="BO480" s="49">
        <f ca="1"/>
        <v>0</v>
      </c>
      <c r="BP480" s="49">
        <f ca="1"/>
        <v>0</v>
      </c>
      <c r="BQ480" s="49">
        <f ca="1"/>
        <v>0</v>
      </c>
      <c r="BR480" s="49">
        <f ca="1"/>
        <v>0</v>
      </c>
      <c r="BS480" s="49">
        <f ca="1"/>
        <v>0</v>
      </c>
    </row>
    <row r="481" spans="1:71" outlineLevel="1" x14ac:dyDescent="0.2">
      <c r="C481" s="11" t="str">
        <f>HM_ZA_Nkossa!C470</f>
        <v>Flux de trésorerie après impôts des compagnies pétrolières internationales</v>
      </c>
      <c r="H481" s="7" t="s">
        <v>583</v>
      </c>
      <c r="I481" s="30">
        <f t="shared" ca="1" si="135"/>
        <v>84.721496991012316</v>
      </c>
      <c r="J481" s="26" t="s">
        <v>148</v>
      </c>
      <c r="K481" s="7" t="s">
        <v>582</v>
      </c>
      <c r="L481" s="49">
        <f ca="1">SUM(L478:L480)</f>
        <v>9.8698137803877888</v>
      </c>
      <c r="M481" s="49">
        <f t="shared" ref="M481:BS481" ca="1" si="136">SUM(M478:M480)</f>
        <v>-22.660902465554681</v>
      </c>
      <c r="N481" s="49">
        <f t="shared" ca="1" si="136"/>
        <v>12.012372188670314</v>
      </c>
      <c r="O481" s="49">
        <f t="shared" ca="1" si="136"/>
        <v>5.0060891497544988</v>
      </c>
      <c r="P481" s="49">
        <f t="shared" ca="1" si="136"/>
        <v>6.6545576010368714</v>
      </c>
      <c r="Q481" s="49">
        <f t="shared" ca="1" si="136"/>
        <v>4.4767855160919972</v>
      </c>
      <c r="R481" s="49">
        <f t="shared" ca="1" si="136"/>
        <v>3.555497681819999</v>
      </c>
      <c r="S481" s="49">
        <f t="shared" ca="1" si="136"/>
        <v>10.303568566532286</v>
      </c>
      <c r="T481" s="49">
        <f t="shared" ca="1" si="136"/>
        <v>13.811409299109227</v>
      </c>
      <c r="U481" s="49">
        <f t="shared" ca="1" si="136"/>
        <v>12.520545094403129</v>
      </c>
      <c r="V481" s="49">
        <f t="shared" ca="1" si="136"/>
        <v>11.06213528751085</v>
      </c>
      <c r="W481" s="49">
        <f t="shared" ca="1" si="136"/>
        <v>9.6954016059256318</v>
      </c>
      <c r="X481" s="49">
        <f t="shared" ca="1" si="136"/>
        <v>8.4142236853243979</v>
      </c>
      <c r="Y481" s="49">
        <f t="shared" ca="1" si="136"/>
        <v>0</v>
      </c>
      <c r="Z481" s="49">
        <f t="shared" ca="1" si="136"/>
        <v>0</v>
      </c>
      <c r="AA481" s="49">
        <f t="shared" ca="1" si="136"/>
        <v>0</v>
      </c>
      <c r="AB481" s="49">
        <f t="shared" ca="1" si="136"/>
        <v>0</v>
      </c>
      <c r="AC481" s="49">
        <f t="shared" ca="1" si="136"/>
        <v>0</v>
      </c>
      <c r="AD481" s="49">
        <f t="shared" ca="1" si="136"/>
        <v>0</v>
      </c>
      <c r="AE481" s="49">
        <f t="shared" ca="1" si="136"/>
        <v>0</v>
      </c>
      <c r="AF481" s="49">
        <f t="shared" ca="1" si="136"/>
        <v>0</v>
      </c>
      <c r="AG481" s="49">
        <f t="shared" ca="1" si="136"/>
        <v>0</v>
      </c>
      <c r="AH481" s="49">
        <f t="shared" ca="1" si="136"/>
        <v>0</v>
      </c>
      <c r="AI481" s="49">
        <f t="shared" ca="1" si="136"/>
        <v>0</v>
      </c>
      <c r="AJ481" s="49">
        <f t="shared" ca="1" si="136"/>
        <v>0</v>
      </c>
      <c r="AK481" s="49">
        <f t="shared" ca="1" si="136"/>
        <v>0</v>
      </c>
      <c r="AL481" s="49">
        <f t="shared" ca="1" si="136"/>
        <v>0</v>
      </c>
      <c r="AM481" s="49">
        <f t="shared" ca="1" si="136"/>
        <v>0</v>
      </c>
      <c r="AN481" s="49">
        <f t="shared" ca="1" si="136"/>
        <v>0</v>
      </c>
      <c r="AO481" s="49">
        <f t="shared" ca="1" si="136"/>
        <v>0</v>
      </c>
      <c r="AP481" s="49">
        <f t="shared" ca="1" si="136"/>
        <v>0</v>
      </c>
      <c r="AQ481" s="49">
        <f t="shared" ca="1" si="136"/>
        <v>0</v>
      </c>
      <c r="AR481" s="49">
        <f t="shared" ca="1" si="136"/>
        <v>0</v>
      </c>
      <c r="AS481" s="49">
        <f t="shared" ca="1" si="136"/>
        <v>0</v>
      </c>
      <c r="AT481" s="49">
        <f t="shared" ca="1" si="136"/>
        <v>0</v>
      </c>
      <c r="AU481" s="49">
        <f t="shared" ca="1" si="136"/>
        <v>0</v>
      </c>
      <c r="AV481" s="49">
        <f t="shared" ca="1" si="136"/>
        <v>0</v>
      </c>
      <c r="AW481" s="49">
        <f t="shared" ca="1" si="136"/>
        <v>0</v>
      </c>
      <c r="AX481" s="49">
        <f t="shared" ca="1" si="136"/>
        <v>0</v>
      </c>
      <c r="AY481" s="49">
        <f t="shared" ca="1" si="136"/>
        <v>0</v>
      </c>
      <c r="AZ481" s="49">
        <f t="shared" ca="1" si="136"/>
        <v>0</v>
      </c>
      <c r="BA481" s="49">
        <f t="shared" ca="1" si="136"/>
        <v>0</v>
      </c>
      <c r="BB481" s="49">
        <f t="shared" ca="1" si="136"/>
        <v>0</v>
      </c>
      <c r="BC481" s="49">
        <f t="shared" ca="1" si="136"/>
        <v>0</v>
      </c>
      <c r="BD481" s="49">
        <f t="shared" ca="1" si="136"/>
        <v>0</v>
      </c>
      <c r="BE481" s="49">
        <f t="shared" ca="1" si="136"/>
        <v>0</v>
      </c>
      <c r="BF481" s="49">
        <f t="shared" ca="1" si="136"/>
        <v>0</v>
      </c>
      <c r="BG481" s="49">
        <f t="shared" ca="1" si="136"/>
        <v>0</v>
      </c>
      <c r="BH481" s="49">
        <f t="shared" ca="1" si="136"/>
        <v>0</v>
      </c>
      <c r="BI481" s="49">
        <f t="shared" ca="1" si="136"/>
        <v>0</v>
      </c>
      <c r="BJ481" s="49">
        <f t="shared" ca="1" si="136"/>
        <v>0</v>
      </c>
      <c r="BK481" s="49">
        <f t="shared" ca="1" si="136"/>
        <v>0</v>
      </c>
      <c r="BL481" s="49">
        <f t="shared" ca="1" si="136"/>
        <v>0</v>
      </c>
      <c r="BM481" s="49">
        <f t="shared" ca="1" si="136"/>
        <v>0</v>
      </c>
      <c r="BN481" s="49">
        <f t="shared" ca="1" si="136"/>
        <v>0</v>
      </c>
      <c r="BO481" s="49">
        <f t="shared" ca="1" si="136"/>
        <v>0</v>
      </c>
      <c r="BP481" s="49">
        <f t="shared" ca="1" si="136"/>
        <v>0</v>
      </c>
      <c r="BQ481" s="49">
        <f t="shared" ca="1" si="136"/>
        <v>0</v>
      </c>
      <c r="BR481" s="49">
        <f t="shared" ca="1" si="136"/>
        <v>0</v>
      </c>
      <c r="BS481" s="49">
        <f t="shared" ca="1" si="136"/>
        <v>0</v>
      </c>
    </row>
    <row r="482" spans="1:71" outlineLevel="1" x14ac:dyDescent="0.2">
      <c r="J482" s="26"/>
      <c r="L482" s="55"/>
      <c r="M482" s="55"/>
      <c r="N482" s="55"/>
      <c r="O482" s="55"/>
      <c r="P482" s="55"/>
      <c r="Q482" s="55"/>
      <c r="R482" s="55"/>
      <c r="S482" s="55"/>
      <c r="T482" s="55"/>
      <c r="U482" s="55"/>
      <c r="V482" s="55"/>
      <c r="W482" s="55"/>
      <c r="X482" s="55"/>
      <c r="Y482" s="55"/>
      <c r="Z482" s="55"/>
      <c r="AA482" s="55"/>
      <c r="AB482" s="55"/>
      <c r="AC482" s="55"/>
      <c r="AD482" s="55"/>
      <c r="AE482" s="55"/>
      <c r="AF482" s="55"/>
      <c r="AG482" s="55"/>
      <c r="AH482" s="55"/>
      <c r="AI482" s="55"/>
      <c r="AJ482" s="55"/>
      <c r="AK482" s="55"/>
      <c r="AL482" s="55"/>
      <c r="AM482" s="55"/>
      <c r="AN482" s="55"/>
      <c r="AO482" s="55"/>
      <c r="AP482" s="55"/>
      <c r="AQ482" s="55"/>
      <c r="AR482" s="55"/>
      <c r="AS482" s="55"/>
      <c r="AT482" s="55"/>
      <c r="AU482" s="55"/>
      <c r="AV482" s="55"/>
      <c r="AW482" s="55"/>
      <c r="AX482" s="55"/>
      <c r="AY482" s="55"/>
      <c r="AZ482" s="55"/>
      <c r="BA482" s="55"/>
      <c r="BB482" s="55"/>
      <c r="BC482" s="55"/>
      <c r="BD482" s="55"/>
      <c r="BE482" s="55"/>
      <c r="BF482" s="55"/>
      <c r="BG482" s="55"/>
      <c r="BH482" s="55"/>
      <c r="BI482" s="55"/>
      <c r="BJ482" s="55"/>
      <c r="BK482" s="55"/>
      <c r="BL482" s="55"/>
      <c r="BM482" s="55"/>
      <c r="BN482" s="55"/>
      <c r="BO482" s="55"/>
      <c r="BP482" s="55"/>
      <c r="BQ482" s="55"/>
      <c r="BR482" s="55"/>
      <c r="BS482" s="55"/>
    </row>
    <row r="483" spans="1:71" outlineLevel="1" x14ac:dyDescent="0.2">
      <c r="C483" s="11" t="str">
        <f>HM_ZA_Nkossa!C472</f>
        <v>Flux de trésorerie après impôts cumulé</v>
      </c>
      <c r="J483" s="26"/>
      <c r="L483" s="66">
        <f ca="1">(K483+L481)*HM_ZB_Nsoko!CA_op_trig</f>
        <v>9.8698137803877888</v>
      </c>
      <c r="M483" s="66">
        <f ca="1">(L483+M481)*HM_ZB_Nsoko!CA_op_trig</f>
        <v>-12.791088685166892</v>
      </c>
      <c r="N483" s="66">
        <f ca="1">(M483+N481)*HM_ZB_Nsoko!CA_op_trig</f>
        <v>-0.77871649649657826</v>
      </c>
      <c r="O483" s="66">
        <f ca="1">(N483+O481)*HM_ZB_Nsoko!CA_op_trig</f>
        <v>4.2273726532579206</v>
      </c>
      <c r="P483" s="66">
        <f ca="1">(O483+P481)*HM_ZB_Nsoko!CA_op_trig</f>
        <v>10.881930254294792</v>
      </c>
      <c r="Q483" s="66">
        <f ca="1">(P483+Q481)*HM_ZB_Nsoko!CA_op_trig</f>
        <v>15.358715770386789</v>
      </c>
      <c r="R483" s="66">
        <f ca="1">(Q483+R481)*HM_ZB_Nsoko!CA_op_trig</f>
        <v>18.914213452206788</v>
      </c>
      <c r="S483" s="66">
        <f ca="1">(R483+S481)*HM_ZB_Nsoko!CA_op_trig</f>
        <v>29.217782018739072</v>
      </c>
      <c r="T483" s="66">
        <f ca="1">(S483+T481)*HM_ZB_Nsoko!CA_op_trig</f>
        <v>43.029191317848301</v>
      </c>
      <c r="U483" s="66">
        <f ca="1">(T483+U481)*HM_ZB_Nsoko!CA_op_trig</f>
        <v>55.549736412251434</v>
      </c>
      <c r="V483" s="66">
        <f ca="1">(U483+V481)*HM_ZB_Nsoko!CA_op_trig</f>
        <v>66.61187169976229</v>
      </c>
      <c r="W483" s="66">
        <f ca="1">(V483+W481)*HM_ZB_Nsoko!CA_op_trig</f>
        <v>76.307273305687914</v>
      </c>
      <c r="X483" s="66">
        <f ca="1">(W483+X481)*HM_ZB_Nsoko!CA_op_trig</f>
        <v>84.721496991012316</v>
      </c>
      <c r="Y483" s="66">
        <f ca="1">(X483+Y481)*HM_ZB_Nsoko!CA_op_trig</f>
        <v>0</v>
      </c>
      <c r="Z483" s="66">
        <f ca="1">(Y483+Z481)*HM_ZB_Nsoko!CA_op_trig</f>
        <v>0</v>
      </c>
      <c r="AA483" s="66">
        <f ca="1">(Z483+AA481)*HM_ZB_Nsoko!CA_op_trig</f>
        <v>0</v>
      </c>
      <c r="AB483" s="66">
        <f ca="1">(AA483+AB481)*HM_ZB_Nsoko!CA_op_trig</f>
        <v>0</v>
      </c>
      <c r="AC483" s="66">
        <f ca="1">(AB483+AC481)*HM_ZB_Nsoko!CA_op_trig</f>
        <v>0</v>
      </c>
      <c r="AD483" s="66">
        <f ca="1">(AC483+AD481)*HM_ZB_Nsoko!CA_op_trig</f>
        <v>0</v>
      </c>
      <c r="AE483" s="66">
        <f ca="1">(AD483+AE481)*HM_ZB_Nsoko!CA_op_trig</f>
        <v>0</v>
      </c>
      <c r="AF483" s="66">
        <f ca="1">(AE483+AF481)*HM_ZB_Nsoko!CA_op_trig</f>
        <v>0</v>
      </c>
      <c r="AG483" s="66">
        <f ca="1">(AF483+AG481)*HM_ZB_Nsoko!CA_op_trig</f>
        <v>0</v>
      </c>
      <c r="AH483" s="66">
        <f ca="1">(AG483+AH481)*HM_ZB_Nsoko!CA_op_trig</f>
        <v>0</v>
      </c>
      <c r="AI483" s="66">
        <f ca="1">(AH483+AI481)*HM_ZB_Nsoko!CA_op_trig</f>
        <v>0</v>
      </c>
      <c r="AJ483" s="66">
        <f ca="1">(AI483+AJ481)*HM_ZB_Nsoko!CA_op_trig</f>
        <v>0</v>
      </c>
      <c r="AK483" s="66">
        <f ca="1">(AJ483+AK481)*HM_ZB_Nsoko!CA_op_trig</f>
        <v>0</v>
      </c>
      <c r="AL483" s="66">
        <f ca="1">(AK483+AL481)*HM_ZB_Nsoko!CA_op_trig</f>
        <v>0</v>
      </c>
      <c r="AM483" s="66">
        <f ca="1">(AL483+AM481)*HM_ZB_Nsoko!CA_op_trig</f>
        <v>0</v>
      </c>
      <c r="AN483" s="66">
        <f ca="1">(AM483+AN481)*HM_ZB_Nsoko!CA_op_trig</f>
        <v>0</v>
      </c>
      <c r="AO483" s="66">
        <f ca="1">(AN483+AO481)*HM_ZB_Nsoko!CA_op_trig</f>
        <v>0</v>
      </c>
      <c r="AP483" s="66">
        <f ca="1">(AO483+AP481)*HM_ZB_Nsoko!CA_op_trig</f>
        <v>0</v>
      </c>
      <c r="AQ483" s="66">
        <f ca="1">(AP483+AQ481)*HM_ZB_Nsoko!CA_op_trig</f>
        <v>0</v>
      </c>
      <c r="AR483" s="66">
        <f ca="1">(AQ483+AR481)*HM_ZB_Nsoko!CA_op_trig</f>
        <v>0</v>
      </c>
      <c r="AS483" s="66">
        <f ca="1">(AR483+AS481)*HM_ZB_Nsoko!CA_op_trig</f>
        <v>0</v>
      </c>
      <c r="AT483" s="66">
        <f ca="1">(AS483+AT481)*HM_ZB_Nsoko!CA_op_trig</f>
        <v>0</v>
      </c>
      <c r="AU483" s="66">
        <f ca="1">(AT483+AU481)*HM_ZB_Nsoko!CA_op_trig</f>
        <v>0</v>
      </c>
      <c r="AV483" s="66">
        <f ca="1">(AU483+AV481)*HM_ZB_Nsoko!CA_op_trig</f>
        <v>0</v>
      </c>
      <c r="AW483" s="66">
        <f ca="1">(AV483+AW481)*HM_ZB_Nsoko!CA_op_trig</f>
        <v>0</v>
      </c>
      <c r="AX483" s="66">
        <f ca="1">(AW483+AX481)*HM_ZB_Nsoko!CA_op_trig</f>
        <v>0</v>
      </c>
      <c r="AY483" s="66">
        <f ca="1">(AX483+AY481)*HM_ZB_Nsoko!CA_op_trig</f>
        <v>0</v>
      </c>
      <c r="AZ483" s="66">
        <f ca="1">(AY483+AZ481)*HM_ZB_Nsoko!CA_op_trig</f>
        <v>0</v>
      </c>
      <c r="BA483" s="66">
        <f ca="1">(AZ483+BA481)*HM_ZB_Nsoko!CA_op_trig</f>
        <v>0</v>
      </c>
      <c r="BB483" s="66">
        <f ca="1">(BA483+BB481)*HM_ZB_Nsoko!CA_op_trig</f>
        <v>0</v>
      </c>
      <c r="BC483" s="66">
        <f ca="1">(BB483+BC481)*HM_ZB_Nsoko!CA_op_trig</f>
        <v>0</v>
      </c>
      <c r="BD483" s="66">
        <f ca="1">(BC483+BD481)*HM_ZB_Nsoko!CA_op_trig</f>
        <v>0</v>
      </c>
      <c r="BE483" s="66">
        <f ca="1">(BD483+BE481)*HM_ZB_Nsoko!CA_op_trig</f>
        <v>0</v>
      </c>
      <c r="BF483" s="66">
        <f ca="1">(BE483+BF481)*HM_ZB_Nsoko!CA_op_trig</f>
        <v>0</v>
      </c>
      <c r="BG483" s="66">
        <f ca="1">(BF483+BG481)*HM_ZB_Nsoko!CA_op_trig</f>
        <v>0</v>
      </c>
      <c r="BH483" s="66">
        <f ca="1">(BG483+BH481)*HM_ZB_Nsoko!CA_op_trig</f>
        <v>0</v>
      </c>
      <c r="BI483" s="66">
        <f ca="1">(BH483+BI481)*HM_ZB_Nsoko!CA_op_trig</f>
        <v>0</v>
      </c>
      <c r="BJ483" s="66">
        <f ca="1">(BI483+BJ481)*HM_ZB_Nsoko!CA_op_trig</f>
        <v>0</v>
      </c>
      <c r="BK483" s="66">
        <f ca="1">(BJ483+BK481)*HM_ZB_Nsoko!CA_op_trig</f>
        <v>0</v>
      </c>
      <c r="BL483" s="66">
        <f ca="1">(BK483+BL481)*HM_ZB_Nsoko!CA_op_trig</f>
        <v>0</v>
      </c>
      <c r="BM483" s="66">
        <f ca="1">(BL483+BM481)*HM_ZB_Nsoko!CA_op_trig</f>
        <v>0</v>
      </c>
      <c r="BN483" s="66">
        <f ca="1">(BM483+BN481)*HM_ZB_Nsoko!CA_op_trig</f>
        <v>0</v>
      </c>
      <c r="BO483" s="66">
        <f ca="1">(BN483+BO481)*HM_ZB_Nsoko!CA_op_trig</f>
        <v>0</v>
      </c>
      <c r="BP483" s="66">
        <f ca="1">(BO483+BP481)*HM_ZB_Nsoko!CA_op_trig</f>
        <v>0</v>
      </c>
      <c r="BQ483" s="66">
        <f ca="1">(BP483+BQ481)*HM_ZB_Nsoko!CA_op_trig</f>
        <v>0</v>
      </c>
      <c r="BR483" s="66">
        <f ca="1">(BQ483+BR481)*HM_ZB_Nsoko!CA_op_trig</f>
        <v>0</v>
      </c>
      <c r="BS483" s="66">
        <f ca="1">(BR483+BS481)*HM_ZB_Nsoko!CA_op_trig</f>
        <v>0</v>
      </c>
    </row>
    <row r="484" spans="1:71" outlineLevel="1" x14ac:dyDescent="0.2">
      <c r="J484" s="26"/>
      <c r="L484" s="55"/>
      <c r="M484" s="55"/>
      <c r="N484" s="55"/>
      <c r="O484" s="55"/>
      <c r="P484" s="55"/>
      <c r="Q484" s="55"/>
      <c r="R484" s="55"/>
      <c r="S484" s="55"/>
      <c r="T484" s="55"/>
      <c r="U484" s="55"/>
      <c r="V484" s="55"/>
      <c r="W484" s="55"/>
      <c r="X484" s="55"/>
      <c r="Y484" s="55"/>
      <c r="Z484" s="55"/>
      <c r="AA484" s="55"/>
      <c r="AB484" s="55"/>
      <c r="AC484" s="55"/>
      <c r="AD484" s="55"/>
      <c r="AE484" s="55"/>
      <c r="AF484" s="55"/>
      <c r="AG484" s="55"/>
      <c r="AH484" s="55"/>
      <c r="AI484" s="55"/>
      <c r="AJ484" s="55"/>
      <c r="AK484" s="55"/>
      <c r="AL484" s="55"/>
      <c r="AM484" s="55"/>
      <c r="AN484" s="55"/>
      <c r="AO484" s="55"/>
      <c r="AP484" s="55"/>
      <c r="AQ484" s="55"/>
      <c r="AR484" s="55"/>
      <c r="AS484" s="55"/>
      <c r="AT484" s="55"/>
      <c r="AU484" s="55"/>
      <c r="AV484" s="55"/>
      <c r="AW484" s="55"/>
      <c r="AX484" s="55"/>
      <c r="AY484" s="55"/>
      <c r="AZ484" s="55"/>
      <c r="BA484" s="55"/>
      <c r="BB484" s="55"/>
      <c r="BC484" s="55"/>
      <c r="BD484" s="55"/>
      <c r="BE484" s="55"/>
      <c r="BF484" s="55"/>
      <c r="BG484" s="55"/>
      <c r="BH484" s="55"/>
      <c r="BI484" s="55"/>
      <c r="BJ484" s="55"/>
      <c r="BK484" s="55"/>
      <c r="BL484" s="55"/>
      <c r="BM484" s="55"/>
      <c r="BN484" s="55"/>
      <c r="BO484" s="55"/>
      <c r="BP484" s="55"/>
      <c r="BQ484" s="55"/>
      <c r="BR484" s="55"/>
      <c r="BS484" s="55"/>
    </row>
    <row r="485" spans="1:71" outlineLevel="1" x14ac:dyDescent="0.2">
      <c r="C485" s="11" t="str">
        <f>HM_ZA_Nkossa!C474</f>
        <v>VAN cycle complet</v>
      </c>
      <c r="G485" s="60"/>
      <c r="H485" s="7" t="s">
        <v>584</v>
      </c>
      <c r="I485" s="63">
        <f ca="1">SUMPRODUCT(OA_IOC_ATCF_Nsoko1999,HM_ZB_Nsoko!CA_disc_factor_fc)</f>
        <v>9.9612471983200663</v>
      </c>
      <c r="J485" s="26" t="s">
        <v>148</v>
      </c>
      <c r="L485" s="55"/>
      <c r="M485" s="55"/>
      <c r="N485" s="55"/>
      <c r="O485" s="55"/>
      <c r="P485" s="55"/>
      <c r="Q485" s="55"/>
      <c r="R485" s="55"/>
      <c r="S485" s="55"/>
      <c r="T485" s="55"/>
      <c r="U485" s="55"/>
      <c r="V485" s="55"/>
      <c r="W485" s="55"/>
      <c r="X485" s="55"/>
      <c r="Y485" s="55"/>
      <c r="Z485" s="55"/>
      <c r="AA485" s="55"/>
      <c r="AB485" s="55"/>
      <c r="AC485" s="55"/>
      <c r="AD485" s="55"/>
      <c r="AE485" s="55"/>
      <c r="AF485" s="55"/>
      <c r="AG485" s="55"/>
      <c r="AH485" s="55"/>
      <c r="AI485" s="55"/>
      <c r="AJ485" s="55"/>
      <c r="AK485" s="55"/>
      <c r="AL485" s="55"/>
      <c r="AM485" s="55"/>
      <c r="AN485" s="55"/>
      <c r="AO485" s="55"/>
      <c r="AP485" s="55"/>
      <c r="AQ485" s="55"/>
      <c r="AR485" s="55"/>
      <c r="AS485" s="55"/>
      <c r="AT485" s="55"/>
      <c r="AU485" s="55"/>
      <c r="AV485" s="55"/>
      <c r="AW485" s="55"/>
      <c r="AX485" s="55"/>
      <c r="AY485" s="55"/>
      <c r="AZ485" s="55"/>
      <c r="BA485" s="55"/>
      <c r="BB485" s="55"/>
      <c r="BC485" s="55"/>
      <c r="BD485" s="55"/>
      <c r="BE485" s="55"/>
      <c r="BF485" s="55"/>
      <c r="BG485" s="55"/>
      <c r="BH485" s="55"/>
      <c r="BI485" s="55"/>
      <c r="BJ485" s="55"/>
      <c r="BK485" s="55"/>
      <c r="BL485" s="55"/>
      <c r="BM485" s="55"/>
      <c r="BN485" s="55"/>
      <c r="BO485" s="55"/>
      <c r="BP485" s="55"/>
      <c r="BQ485" s="55"/>
      <c r="BR485" s="55"/>
      <c r="BS485" s="55"/>
    </row>
    <row r="486" spans="1:71" outlineLevel="1" x14ac:dyDescent="0.2">
      <c r="C486" s="11" t="str">
        <f>HM_ZA_Nkossa!C475</f>
        <v>VAN à terme</v>
      </c>
      <c r="I486" s="63">
        <f ca="1">SUMPRODUCT(OA_IOC_ATCF_Nsoko1999,HM_ZB_Nsoko!CA_disc_factor_pf)</f>
        <v>45.162958333990915</v>
      </c>
      <c r="J486" s="26" t="s">
        <v>148</v>
      </c>
      <c r="L486" s="55"/>
      <c r="M486" s="55"/>
      <c r="N486" s="55"/>
      <c r="O486" s="55"/>
      <c r="P486" s="55"/>
      <c r="Q486" s="55"/>
      <c r="R486" s="55"/>
      <c r="S486" s="55"/>
      <c r="T486" s="55"/>
      <c r="U486" s="55"/>
      <c r="V486" s="55"/>
      <c r="W486" s="55"/>
      <c r="X486" s="55"/>
      <c r="Y486" s="55"/>
      <c r="Z486" s="55"/>
      <c r="AA486" s="55"/>
      <c r="AB486" s="55"/>
      <c r="AC486" s="55"/>
      <c r="AD486" s="55"/>
      <c r="AE486" s="55"/>
      <c r="AF486" s="55"/>
      <c r="AG486" s="55"/>
      <c r="AH486" s="55"/>
      <c r="AI486" s="55"/>
      <c r="AJ486" s="55"/>
      <c r="AK486" s="55"/>
      <c r="AL486" s="55"/>
      <c r="AM486" s="55"/>
      <c r="AN486" s="55"/>
      <c r="AO486" s="55"/>
      <c r="AP486" s="55"/>
      <c r="AQ486" s="55"/>
      <c r="AR486" s="55"/>
      <c r="AS486" s="55"/>
      <c r="AT486" s="55"/>
      <c r="AU486" s="55"/>
      <c r="AV486" s="55"/>
      <c r="AW486" s="55"/>
      <c r="AX486" s="55"/>
      <c r="AY486" s="55"/>
      <c r="AZ486" s="55"/>
      <c r="BA486" s="55"/>
      <c r="BB486" s="55"/>
      <c r="BC486" s="55"/>
      <c r="BD486" s="55"/>
      <c r="BE486" s="55"/>
      <c r="BF486" s="55"/>
      <c r="BG486" s="55"/>
      <c r="BH486" s="55"/>
      <c r="BI486" s="55"/>
      <c r="BJ486" s="55"/>
      <c r="BK486" s="55"/>
      <c r="BL486" s="55"/>
      <c r="BM486" s="55"/>
      <c r="BN486" s="55"/>
      <c r="BO486" s="55"/>
      <c r="BP486" s="55"/>
      <c r="BQ486" s="55"/>
      <c r="BR486" s="55"/>
      <c r="BS486" s="55"/>
    </row>
    <row r="487" spans="1:71" outlineLevel="1" x14ac:dyDescent="0.2">
      <c r="I487" s="61"/>
      <c r="J487" s="26"/>
      <c r="L487" s="55"/>
      <c r="M487" s="55"/>
      <c r="N487" s="55"/>
      <c r="O487" s="55"/>
      <c r="P487" s="55"/>
      <c r="Q487" s="55"/>
      <c r="R487" s="55"/>
      <c r="S487" s="55"/>
      <c r="T487" s="55"/>
      <c r="U487" s="55"/>
      <c r="V487" s="55"/>
      <c r="W487" s="55"/>
      <c r="X487" s="55"/>
      <c r="Y487" s="55"/>
      <c r="Z487" s="55"/>
      <c r="AA487" s="55"/>
      <c r="AB487" s="55"/>
      <c r="AC487" s="55"/>
      <c r="AD487" s="55"/>
      <c r="AE487" s="55"/>
      <c r="AF487" s="55"/>
      <c r="AG487" s="55"/>
      <c r="AH487" s="55"/>
      <c r="AI487" s="55"/>
      <c r="AJ487" s="55"/>
      <c r="AK487" s="55"/>
      <c r="AL487" s="55"/>
      <c r="AM487" s="55"/>
      <c r="AN487" s="55"/>
      <c r="AO487" s="55"/>
      <c r="AP487" s="55"/>
      <c r="AQ487" s="55"/>
      <c r="AR487" s="55"/>
      <c r="AS487" s="55"/>
      <c r="AT487" s="55"/>
      <c r="AU487" s="55"/>
      <c r="AV487" s="55"/>
      <c r="AW487" s="55"/>
      <c r="AX487" s="55"/>
      <c r="AY487" s="55"/>
      <c r="AZ487" s="55"/>
      <c r="BA487" s="55"/>
      <c r="BB487" s="55"/>
      <c r="BC487" s="55"/>
      <c r="BD487" s="55"/>
      <c r="BE487" s="55"/>
      <c r="BF487" s="55"/>
      <c r="BG487" s="55"/>
      <c r="BH487" s="55"/>
      <c r="BI487" s="55"/>
      <c r="BJ487" s="55"/>
      <c r="BK487" s="55"/>
      <c r="BL487" s="55"/>
      <c r="BM487" s="55"/>
      <c r="BN487" s="55"/>
      <c r="BO487" s="55"/>
      <c r="BP487" s="55"/>
      <c r="BQ487" s="55"/>
      <c r="BR487" s="55"/>
      <c r="BS487" s="55"/>
    </row>
    <row r="488" spans="1:71" outlineLevel="1" x14ac:dyDescent="0.2">
      <c r="C488" s="11" t="str">
        <f>HM_ZA_Nkossa!C477</f>
        <v>TRI cycle complet</v>
      </c>
      <c r="H488" s="7" t="s">
        <v>585</v>
      </c>
      <c r="I488" s="62" t="str">
        <f ca="1">IFERROR(IRR(INDEX(OA_IOC_ATCF_Nsoko1999,1,MAX(1,$G$411-L4+1)):INDEX(OA_IOC_ATCF_Nsoko1999,1,last_model_year)),"na")</f>
        <v>na</v>
      </c>
      <c r="J488" s="26" t="s">
        <v>90</v>
      </c>
      <c r="L488" s="55"/>
      <c r="M488" s="55"/>
      <c r="N488" s="55"/>
      <c r="O488" s="55"/>
      <c r="P488" s="55"/>
      <c r="Q488" s="55"/>
      <c r="R488" s="55"/>
      <c r="S488" s="55"/>
      <c r="T488" s="55"/>
      <c r="U488" s="55"/>
      <c r="V488" s="55"/>
      <c r="W488" s="55"/>
      <c r="X488" s="55"/>
      <c r="Y488" s="55"/>
      <c r="Z488" s="55"/>
      <c r="AA488" s="55"/>
      <c r="AB488" s="55"/>
      <c r="AC488" s="55"/>
      <c r="AD488" s="55"/>
      <c r="AE488" s="55"/>
      <c r="AF488" s="55"/>
      <c r="AG488" s="55"/>
      <c r="AH488" s="55"/>
      <c r="AI488" s="55"/>
      <c r="AJ488" s="55"/>
      <c r="AK488" s="55"/>
      <c r="AL488" s="55"/>
      <c r="AM488" s="55"/>
      <c r="AN488" s="55"/>
      <c r="AO488" s="55"/>
      <c r="AP488" s="55"/>
      <c r="AQ488" s="55"/>
      <c r="AR488" s="55"/>
      <c r="AS488" s="55"/>
      <c r="AT488" s="55"/>
      <c r="AU488" s="55"/>
      <c r="AV488" s="55"/>
      <c r="AW488" s="55"/>
      <c r="AX488" s="55"/>
      <c r="AY488" s="55"/>
      <c r="AZ488" s="55"/>
      <c r="BA488" s="55"/>
      <c r="BB488" s="55"/>
      <c r="BC488" s="55"/>
      <c r="BD488" s="55"/>
      <c r="BE488" s="55"/>
      <c r="BF488" s="55"/>
      <c r="BG488" s="55"/>
      <c r="BH488" s="55"/>
      <c r="BI488" s="55"/>
      <c r="BJ488" s="55"/>
      <c r="BK488" s="55"/>
      <c r="BL488" s="55"/>
      <c r="BM488" s="55"/>
      <c r="BN488" s="55"/>
      <c r="BO488" s="55"/>
      <c r="BP488" s="55"/>
      <c r="BQ488" s="55"/>
      <c r="BR488" s="55"/>
      <c r="BS488" s="55"/>
    </row>
    <row r="489" spans="1:71" outlineLevel="1" x14ac:dyDescent="0.2">
      <c r="C489" s="11" t="str">
        <f>HM_ZA_Nkossa!C478</f>
        <v>TRI à terme</v>
      </c>
      <c r="I489" s="62" t="str">
        <f ca="1">IFERROR(IRR(INDEX(OA_IOC_ATCF_Nsoko1999,1,MAX(1,$G$412-L4+1)):INDEX(OA_IOC_ATCF_Nsoko1999,1,last_model_year)),"na")</f>
        <v>na</v>
      </c>
      <c r="J489" s="26" t="s">
        <v>90</v>
      </c>
      <c r="L489" s="55"/>
      <c r="M489" s="55"/>
      <c r="N489" s="55"/>
      <c r="O489" s="55"/>
      <c r="P489" s="55"/>
      <c r="Q489" s="55"/>
      <c r="R489" s="55"/>
      <c r="S489" s="55"/>
      <c r="T489" s="55"/>
      <c r="U489" s="55"/>
      <c r="V489" s="55"/>
      <c r="W489" s="55"/>
      <c r="X489" s="55"/>
      <c r="Y489" s="55"/>
      <c r="Z489" s="55"/>
      <c r="AA489" s="55"/>
      <c r="AB489" s="55"/>
      <c r="AC489" s="55"/>
      <c r="AD489" s="55"/>
      <c r="AE489" s="55"/>
      <c r="AF489" s="55"/>
      <c r="AG489" s="55"/>
      <c r="AH489" s="55"/>
      <c r="AI489" s="55"/>
      <c r="AJ489" s="55"/>
      <c r="AK489" s="55"/>
      <c r="AL489" s="55"/>
      <c r="AM489" s="55"/>
      <c r="AN489" s="55"/>
      <c r="AO489" s="55"/>
      <c r="AP489" s="55"/>
      <c r="AQ489" s="55"/>
      <c r="AR489" s="55"/>
      <c r="AS489" s="55"/>
      <c r="AT489" s="55"/>
      <c r="AU489" s="55"/>
      <c r="AV489" s="55"/>
      <c r="AW489" s="55"/>
      <c r="AX489" s="55"/>
      <c r="AY489" s="55"/>
      <c r="AZ489" s="55"/>
      <c r="BA489" s="55"/>
      <c r="BB489" s="55"/>
      <c r="BC489" s="55"/>
      <c r="BD489" s="55"/>
      <c r="BE489" s="55"/>
      <c r="BF489" s="55"/>
      <c r="BG489" s="55"/>
      <c r="BH489" s="55"/>
      <c r="BI489" s="55"/>
      <c r="BJ489" s="55"/>
      <c r="BK489" s="55"/>
      <c r="BL489" s="55"/>
      <c r="BM489" s="55"/>
      <c r="BN489" s="55"/>
      <c r="BO489" s="55"/>
      <c r="BP489" s="55"/>
      <c r="BQ489" s="55"/>
      <c r="BR489" s="55"/>
      <c r="BS489" s="55"/>
    </row>
    <row r="490" spans="1:71" outlineLevel="1" x14ac:dyDescent="0.2">
      <c r="J490" s="26"/>
      <c r="L490" s="55"/>
      <c r="M490" s="55"/>
      <c r="N490" s="55"/>
      <c r="O490" s="55"/>
      <c r="P490" s="55"/>
      <c r="Q490" s="55"/>
      <c r="R490" s="55"/>
      <c r="S490" s="55"/>
      <c r="T490" s="55"/>
      <c r="U490" s="55"/>
      <c r="V490" s="55"/>
      <c r="W490" s="55"/>
      <c r="X490" s="55"/>
      <c r="Y490" s="55"/>
      <c r="Z490" s="55"/>
      <c r="AA490" s="55"/>
      <c r="AB490" s="55"/>
      <c r="AC490" s="55"/>
      <c r="AD490" s="55"/>
      <c r="AE490" s="55"/>
      <c r="AF490" s="55"/>
      <c r="AG490" s="55"/>
      <c r="AH490" s="55"/>
      <c r="AI490" s="55"/>
      <c r="AJ490" s="55"/>
      <c r="AK490" s="55"/>
      <c r="AL490" s="55"/>
      <c r="AM490" s="55"/>
      <c r="AN490" s="55"/>
      <c r="AO490" s="55"/>
      <c r="AP490" s="55"/>
      <c r="AQ490" s="55"/>
      <c r="AR490" s="55"/>
      <c r="AS490" s="55"/>
      <c r="AT490" s="55"/>
      <c r="AU490" s="55"/>
      <c r="AV490" s="55"/>
      <c r="AW490" s="55"/>
      <c r="AX490" s="55"/>
      <c r="AY490" s="55"/>
      <c r="AZ490" s="55"/>
      <c r="BA490" s="55"/>
      <c r="BB490" s="55"/>
      <c r="BC490" s="55"/>
      <c r="BD490" s="55"/>
      <c r="BE490" s="55"/>
      <c r="BF490" s="55"/>
      <c r="BG490" s="55"/>
      <c r="BH490" s="55"/>
      <c r="BI490" s="55"/>
      <c r="BJ490" s="55"/>
      <c r="BK490" s="55"/>
      <c r="BL490" s="55"/>
      <c r="BM490" s="55"/>
      <c r="BN490" s="55"/>
      <c r="BO490" s="55"/>
      <c r="BP490" s="55"/>
      <c r="BQ490" s="55"/>
      <c r="BR490" s="55"/>
      <c r="BS490" s="55"/>
    </row>
    <row r="491" spans="1:71" outlineLevel="1" x14ac:dyDescent="0.2">
      <c r="C491" s="11" t="str">
        <f>HM_ZA_Nkossa!C480</f>
        <v>Période de remboursement</v>
      </c>
      <c r="H491" s="7" t="s">
        <v>586</v>
      </c>
      <c r="I491" s="67">
        <f ca="1">COUNTIF(L483:BS483,"&lt;0")+1</f>
        <v>3</v>
      </c>
      <c r="J491" s="26"/>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c r="BF491" s="7"/>
      <c r="BG491" s="7"/>
      <c r="BH491" s="7"/>
      <c r="BI491" s="7"/>
      <c r="BJ491" s="7"/>
      <c r="BK491" s="7"/>
      <c r="BL491" s="7"/>
      <c r="BM491" s="7"/>
      <c r="BN491" s="7"/>
      <c r="BO491" s="7"/>
      <c r="BP491" s="7"/>
      <c r="BQ491" s="7"/>
      <c r="BR491" s="7"/>
      <c r="BS491" s="7"/>
    </row>
    <row r="492" spans="1:71" outlineLevel="1" x14ac:dyDescent="0.2">
      <c r="J492" s="26"/>
      <c r="L492" s="55"/>
      <c r="M492" s="55"/>
      <c r="N492" s="55"/>
      <c r="O492" s="55"/>
      <c r="P492" s="55"/>
      <c r="Q492" s="55"/>
      <c r="R492" s="55"/>
      <c r="S492" s="55"/>
      <c r="T492" s="55"/>
      <c r="U492" s="55"/>
      <c r="V492" s="55"/>
      <c r="W492" s="55"/>
      <c r="X492" s="55"/>
      <c r="Y492" s="55"/>
      <c r="Z492" s="55"/>
      <c r="AA492" s="55"/>
      <c r="AB492" s="55"/>
      <c r="AC492" s="55"/>
      <c r="AD492" s="55"/>
      <c r="AE492" s="55"/>
      <c r="AF492" s="55"/>
      <c r="AG492" s="55"/>
      <c r="AH492" s="55"/>
      <c r="AI492" s="55"/>
      <c r="AJ492" s="55"/>
      <c r="AK492" s="55"/>
      <c r="AL492" s="55"/>
      <c r="AM492" s="55"/>
      <c r="AN492" s="55"/>
      <c r="AO492" s="55"/>
      <c r="AP492" s="55"/>
      <c r="AQ492" s="55"/>
      <c r="AR492" s="55"/>
      <c r="AS492" s="55"/>
      <c r="AT492" s="55"/>
      <c r="AU492" s="55"/>
      <c r="AV492" s="55"/>
      <c r="AW492" s="55"/>
      <c r="AX492" s="55"/>
      <c r="AY492" s="55"/>
      <c r="AZ492" s="55"/>
      <c r="BA492" s="55"/>
      <c r="BB492" s="55"/>
      <c r="BC492" s="55"/>
      <c r="BD492" s="55"/>
      <c r="BE492" s="55"/>
      <c r="BF492" s="55"/>
      <c r="BG492" s="55"/>
      <c r="BH492" s="55"/>
      <c r="BI492" s="55"/>
      <c r="BJ492" s="55"/>
      <c r="BK492" s="55"/>
      <c r="BL492" s="55"/>
      <c r="BM492" s="55"/>
      <c r="BN492" s="55"/>
      <c r="BO492" s="55"/>
      <c r="BP492" s="55"/>
      <c r="BQ492" s="55"/>
      <c r="BR492" s="55"/>
      <c r="BS492" s="55"/>
    </row>
    <row r="493" spans="1:71" outlineLevel="1" x14ac:dyDescent="0.2">
      <c r="J493" s="26"/>
      <c r="L493" s="55"/>
      <c r="M493" s="55"/>
      <c r="N493" s="55"/>
      <c r="O493" s="55"/>
      <c r="P493" s="55"/>
      <c r="Q493" s="55"/>
      <c r="R493" s="55"/>
      <c r="S493" s="55"/>
      <c r="T493" s="55"/>
      <c r="U493" s="55"/>
      <c r="V493" s="55"/>
      <c r="W493" s="55"/>
      <c r="X493" s="55"/>
      <c r="Y493" s="55"/>
      <c r="Z493" s="55"/>
      <c r="AA493" s="55"/>
      <c r="AB493" s="55"/>
      <c r="AC493" s="55"/>
      <c r="AD493" s="55"/>
      <c r="AE493" s="55"/>
      <c r="AF493" s="55"/>
      <c r="AG493" s="55"/>
      <c r="AH493" s="55"/>
      <c r="AI493" s="55"/>
      <c r="AJ493" s="55"/>
      <c r="AK493" s="55"/>
      <c r="AL493" s="55"/>
      <c r="AM493" s="55"/>
      <c r="AN493" s="55"/>
      <c r="AO493" s="55"/>
      <c r="AP493" s="55"/>
      <c r="AQ493" s="55"/>
      <c r="AR493" s="55"/>
      <c r="AS493" s="55"/>
      <c r="AT493" s="55"/>
      <c r="AU493" s="55"/>
      <c r="AV493" s="55"/>
      <c r="AW493" s="55"/>
      <c r="AX493" s="55"/>
      <c r="AY493" s="55"/>
      <c r="AZ493" s="55"/>
      <c r="BA493" s="55"/>
      <c r="BB493" s="55"/>
      <c r="BC493" s="55"/>
      <c r="BD493" s="55"/>
      <c r="BE493" s="55"/>
      <c r="BF493" s="55"/>
      <c r="BG493" s="55"/>
      <c r="BH493" s="55"/>
      <c r="BI493" s="55"/>
      <c r="BJ493" s="55"/>
      <c r="BK493" s="55"/>
      <c r="BL493" s="55"/>
      <c r="BM493" s="55"/>
      <c r="BN493" s="55"/>
      <c r="BO493" s="55"/>
      <c r="BP493" s="55"/>
      <c r="BQ493" s="55"/>
      <c r="BR493" s="55"/>
      <c r="BS493" s="55"/>
    </row>
    <row r="494" spans="1:71" outlineLevel="1" x14ac:dyDescent="0.2">
      <c r="A494" s="45"/>
      <c r="B494" s="38" t="str">
        <f>HM_ZA_Nkossa!B483</f>
        <v>Flux de trésorerie compagnie nationale</v>
      </c>
      <c r="C494" s="45"/>
      <c r="D494" s="45"/>
      <c r="E494" s="45"/>
      <c r="J494" s="26"/>
      <c r="L494" s="55"/>
      <c r="M494" s="55"/>
      <c r="N494" s="55"/>
      <c r="O494" s="55"/>
      <c r="P494" s="55"/>
      <c r="Q494" s="55"/>
      <c r="R494" s="55"/>
      <c r="S494" s="55"/>
      <c r="T494" s="55"/>
      <c r="U494" s="55"/>
      <c r="V494" s="55"/>
      <c r="W494" s="55"/>
      <c r="X494" s="55"/>
      <c r="Y494" s="55"/>
      <c r="Z494" s="55"/>
      <c r="AA494" s="55"/>
      <c r="AB494" s="55"/>
      <c r="AC494" s="55"/>
      <c r="AD494" s="55"/>
      <c r="AE494" s="55"/>
      <c r="AF494" s="55"/>
      <c r="AG494" s="55"/>
      <c r="AH494" s="55"/>
      <c r="AI494" s="55"/>
      <c r="AJ494" s="55"/>
      <c r="AK494" s="55"/>
      <c r="AL494" s="55"/>
      <c r="AM494" s="55"/>
      <c r="AN494" s="55"/>
      <c r="AO494" s="55"/>
      <c r="AP494" s="55"/>
      <c r="AQ494" s="55"/>
      <c r="AR494" s="55"/>
      <c r="AS494" s="55"/>
      <c r="AT494" s="55"/>
      <c r="AU494" s="55"/>
      <c r="AV494" s="55"/>
      <c r="AW494" s="55"/>
      <c r="AX494" s="55"/>
      <c r="AY494" s="55"/>
      <c r="AZ494" s="55"/>
      <c r="BA494" s="55"/>
      <c r="BB494" s="55"/>
      <c r="BC494" s="55"/>
      <c r="BD494" s="55"/>
      <c r="BE494" s="55"/>
      <c r="BF494" s="55"/>
      <c r="BG494" s="55"/>
      <c r="BH494" s="55"/>
      <c r="BI494" s="55"/>
      <c r="BJ494" s="55"/>
      <c r="BK494" s="55"/>
      <c r="BL494" s="55"/>
      <c r="BM494" s="55"/>
      <c r="BN494" s="55"/>
      <c r="BO494" s="55"/>
      <c r="BP494" s="55"/>
      <c r="BQ494" s="55"/>
      <c r="BR494" s="55"/>
      <c r="BS494" s="55"/>
    </row>
    <row r="495" spans="1:71" outlineLevel="1" x14ac:dyDescent="0.2">
      <c r="J495" s="26"/>
      <c r="L495" s="55"/>
      <c r="M495" s="55"/>
      <c r="N495" s="55"/>
      <c r="O495" s="55"/>
      <c r="P495" s="55"/>
      <c r="Q495" s="55"/>
      <c r="R495" s="55"/>
      <c r="S495" s="55"/>
      <c r="T495" s="55"/>
      <c r="U495" s="55"/>
      <c r="V495" s="55"/>
      <c r="W495" s="55"/>
      <c r="X495" s="55"/>
      <c r="Y495" s="55"/>
      <c r="Z495" s="55"/>
      <c r="AA495" s="55"/>
      <c r="AB495" s="55"/>
      <c r="AC495" s="55"/>
      <c r="AD495" s="55"/>
      <c r="AE495" s="55"/>
      <c r="AF495" s="55"/>
      <c r="AG495" s="55"/>
      <c r="AH495" s="55"/>
      <c r="AI495" s="55"/>
      <c r="AJ495" s="55"/>
      <c r="AK495" s="55"/>
      <c r="AL495" s="55"/>
      <c r="AM495" s="55"/>
      <c r="AN495" s="55"/>
      <c r="AO495" s="55"/>
      <c r="AP495" s="55"/>
      <c r="AQ495" s="55"/>
      <c r="AR495" s="55"/>
      <c r="AS495" s="55"/>
      <c r="AT495" s="55"/>
      <c r="AU495" s="55"/>
      <c r="AV495" s="55"/>
      <c r="AW495" s="55"/>
      <c r="AX495" s="55"/>
      <c r="AY495" s="55"/>
      <c r="AZ495" s="55"/>
      <c r="BA495" s="55"/>
      <c r="BB495" s="55"/>
      <c r="BC495" s="55"/>
      <c r="BD495" s="55"/>
      <c r="BE495" s="55"/>
      <c r="BF495" s="55"/>
      <c r="BG495" s="55"/>
      <c r="BH495" s="55"/>
      <c r="BI495" s="55"/>
      <c r="BJ495" s="55"/>
      <c r="BK495" s="55"/>
      <c r="BL495" s="55"/>
      <c r="BM495" s="55"/>
      <c r="BN495" s="55"/>
      <c r="BO495" s="55"/>
      <c r="BP495" s="55"/>
      <c r="BQ495" s="55"/>
      <c r="BR495" s="55"/>
      <c r="BS495" s="55"/>
    </row>
    <row r="496" spans="1:71" outlineLevel="1" x14ac:dyDescent="0.2">
      <c r="C496" s="11" t="str">
        <f>HM_ZA_Nkossa!C485</f>
        <v>Revenus des droits</v>
      </c>
      <c r="J496" s="26"/>
      <c r="L496" s="55"/>
      <c r="M496" s="55"/>
      <c r="N496" s="55"/>
      <c r="O496" s="55"/>
      <c r="P496" s="55"/>
      <c r="Q496" s="55"/>
      <c r="R496" s="55"/>
      <c r="S496" s="55"/>
      <c r="T496" s="55"/>
      <c r="U496" s="55"/>
      <c r="V496" s="55"/>
      <c r="W496" s="55"/>
      <c r="X496" s="55"/>
      <c r="Y496" s="55"/>
      <c r="Z496" s="55"/>
      <c r="AA496" s="55"/>
      <c r="AB496" s="55"/>
      <c r="AC496" s="55"/>
      <c r="AD496" s="55"/>
      <c r="AE496" s="55"/>
      <c r="AF496" s="55"/>
      <c r="AG496" s="55"/>
      <c r="AH496" s="55"/>
      <c r="AI496" s="55"/>
      <c r="AJ496" s="55"/>
      <c r="AK496" s="55"/>
      <c r="AL496" s="55"/>
      <c r="AM496" s="55"/>
      <c r="AN496" s="55"/>
      <c r="AO496" s="55"/>
      <c r="AP496" s="55"/>
      <c r="AQ496" s="55"/>
      <c r="AR496" s="55"/>
      <c r="AS496" s="55"/>
      <c r="AT496" s="55"/>
      <c r="AU496" s="55"/>
      <c r="AV496" s="55"/>
      <c r="AW496" s="55"/>
      <c r="AX496" s="55"/>
      <c r="AY496" s="55"/>
      <c r="AZ496" s="55"/>
      <c r="BA496" s="55"/>
      <c r="BB496" s="55"/>
      <c r="BC496" s="55"/>
      <c r="BD496" s="55"/>
      <c r="BE496" s="55"/>
      <c r="BF496" s="55"/>
      <c r="BG496" s="55"/>
      <c r="BH496" s="55"/>
      <c r="BI496" s="55"/>
      <c r="BJ496" s="55"/>
      <c r="BK496" s="55"/>
      <c r="BL496" s="55"/>
      <c r="BM496" s="55"/>
      <c r="BN496" s="55"/>
      <c r="BO496" s="55"/>
      <c r="BP496" s="55"/>
      <c r="BQ496" s="55"/>
      <c r="BR496" s="55"/>
      <c r="BS496" s="55"/>
    </row>
    <row r="497" spans="3:71" outlineLevel="1" x14ac:dyDescent="0.2">
      <c r="D497" t="str">
        <f>HM_ZA_Nkossa!D486</f>
        <v>Revenus des droits</v>
      </c>
      <c r="I497" s="30">
        <f t="shared" ref="I497:I503" ca="1" si="137">SUM($L497:$BS497)</f>
        <v>44.31511887327725</v>
      </c>
      <c r="J497" s="26" t="s">
        <v>148</v>
      </c>
      <c r="L497" s="49" cm="1">
        <f t="array" aca="1" ref="L497:BS497" ca="1">(HM_ZB_Nsoko!CA_ent_rev_gas+HM_ZB_Nsoko!CA_ent_rev_oil)*HM_ZB_Nsoko!CA_NOC_WI</f>
        <v>4.0480318975373457</v>
      </c>
      <c r="M497" s="49">
        <f ca="1"/>
        <v>4.3280047805047506</v>
      </c>
      <c r="N497" s="49">
        <f ca="1"/>
        <v>3.914567272034625</v>
      </c>
      <c r="O497" s="49">
        <f ca="1"/>
        <v>3.0225318819839999</v>
      </c>
      <c r="P497" s="49">
        <f ca="1"/>
        <v>3.4880923129766246</v>
      </c>
      <c r="Q497" s="49">
        <f ca="1"/>
        <v>3.1430091458774996</v>
      </c>
      <c r="R497" s="49">
        <f ca="1"/>
        <v>1.3420708089299997</v>
      </c>
      <c r="S497" s="49">
        <f ca="1"/>
        <v>3.3646862716748434</v>
      </c>
      <c r="T497" s="49">
        <f ca="1"/>
        <v>3.9863178468681335</v>
      </c>
      <c r="U497" s="49">
        <f ca="1"/>
        <v>3.7728062701941698</v>
      </c>
      <c r="V497" s="49">
        <f ca="1"/>
        <v>3.5265374604285498</v>
      </c>
      <c r="W497" s="49">
        <f ca="1"/>
        <v>3.2965911272083175</v>
      </c>
      <c r="X497" s="49">
        <f ca="1"/>
        <v>3.0818717970584002</v>
      </c>
      <c r="Y497" s="49">
        <f ca="1"/>
        <v>0</v>
      </c>
      <c r="Z497" s="49">
        <f ca="1"/>
        <v>0</v>
      </c>
      <c r="AA497" s="49">
        <f ca="1"/>
        <v>0</v>
      </c>
      <c r="AB497" s="49">
        <f ca="1"/>
        <v>0</v>
      </c>
      <c r="AC497" s="49">
        <f ca="1"/>
        <v>0</v>
      </c>
      <c r="AD497" s="49">
        <f ca="1"/>
        <v>0</v>
      </c>
      <c r="AE497" s="49">
        <f ca="1"/>
        <v>0</v>
      </c>
      <c r="AF497" s="49">
        <f ca="1"/>
        <v>0</v>
      </c>
      <c r="AG497" s="49">
        <f ca="1"/>
        <v>0</v>
      </c>
      <c r="AH497" s="49">
        <f ca="1"/>
        <v>0</v>
      </c>
      <c r="AI497" s="49">
        <f ca="1"/>
        <v>0</v>
      </c>
      <c r="AJ497" s="49">
        <f ca="1"/>
        <v>0</v>
      </c>
      <c r="AK497" s="49">
        <f ca="1"/>
        <v>0</v>
      </c>
      <c r="AL497" s="49">
        <f ca="1"/>
        <v>0</v>
      </c>
      <c r="AM497" s="49">
        <f ca="1"/>
        <v>0</v>
      </c>
      <c r="AN497" s="49">
        <f ca="1"/>
        <v>0</v>
      </c>
      <c r="AO497" s="49">
        <f ca="1"/>
        <v>0</v>
      </c>
      <c r="AP497" s="49">
        <f ca="1"/>
        <v>0</v>
      </c>
      <c r="AQ497" s="49">
        <f ca="1"/>
        <v>0</v>
      </c>
      <c r="AR497" s="49">
        <f ca="1"/>
        <v>0</v>
      </c>
      <c r="AS497" s="49">
        <f ca="1"/>
        <v>0</v>
      </c>
      <c r="AT497" s="49">
        <f ca="1"/>
        <v>0</v>
      </c>
      <c r="AU497" s="49">
        <f ca="1"/>
        <v>0</v>
      </c>
      <c r="AV497" s="49">
        <f ca="1"/>
        <v>0</v>
      </c>
      <c r="AW497" s="49">
        <f ca="1"/>
        <v>0</v>
      </c>
      <c r="AX497" s="49">
        <f ca="1"/>
        <v>0</v>
      </c>
      <c r="AY497" s="49">
        <f ca="1"/>
        <v>0</v>
      </c>
      <c r="AZ497" s="49">
        <f ca="1"/>
        <v>0</v>
      </c>
      <c r="BA497" s="49">
        <f ca="1"/>
        <v>0</v>
      </c>
      <c r="BB497" s="49">
        <f ca="1"/>
        <v>0</v>
      </c>
      <c r="BC497" s="49">
        <f ca="1"/>
        <v>0</v>
      </c>
      <c r="BD497" s="49">
        <f ca="1"/>
        <v>0</v>
      </c>
      <c r="BE497" s="49">
        <f ca="1"/>
        <v>0</v>
      </c>
      <c r="BF497" s="49">
        <f ca="1"/>
        <v>0</v>
      </c>
      <c r="BG497" s="49">
        <f ca="1"/>
        <v>0</v>
      </c>
      <c r="BH497" s="49">
        <f ca="1"/>
        <v>0</v>
      </c>
      <c r="BI497" s="49">
        <f ca="1"/>
        <v>0</v>
      </c>
      <c r="BJ497" s="49">
        <f ca="1"/>
        <v>0</v>
      </c>
      <c r="BK497" s="49">
        <f ca="1"/>
        <v>0</v>
      </c>
      <c r="BL497" s="49">
        <f ca="1"/>
        <v>0</v>
      </c>
      <c r="BM497" s="49">
        <f ca="1"/>
        <v>0</v>
      </c>
      <c r="BN497" s="49">
        <f ca="1"/>
        <v>0</v>
      </c>
      <c r="BO497" s="49">
        <f ca="1"/>
        <v>0</v>
      </c>
      <c r="BP497" s="49">
        <f ca="1"/>
        <v>0</v>
      </c>
      <c r="BQ497" s="49">
        <f ca="1"/>
        <v>0</v>
      </c>
      <c r="BR497" s="49">
        <f ca="1"/>
        <v>0</v>
      </c>
      <c r="BS497" s="49">
        <f ca="1"/>
        <v>0</v>
      </c>
    </row>
    <row r="498" spans="3:71" outlineLevel="1" x14ac:dyDescent="0.2">
      <c r="D498" t="str">
        <f>HM_ZA_Nkossa!D487</f>
        <v>Remboursement du portage</v>
      </c>
      <c r="I498" s="30">
        <f t="shared" ca="1" si="137"/>
        <v>-6.1300499999999998</v>
      </c>
      <c r="J498" s="26" t="s">
        <v>148</v>
      </c>
      <c r="L498" s="49" cm="1">
        <f t="array" aca="1" ref="L498:BS498" ca="1">HM_ZB_Nsoko!CA_NOC_carry_payback</f>
        <v>-0.12180000000000001</v>
      </c>
      <c r="M498" s="49">
        <f ca="1"/>
        <v>-3.2460035853785629</v>
      </c>
      <c r="N498" s="49">
        <f ca="1"/>
        <v>-2.7004464146214371</v>
      </c>
      <c r="O498" s="49">
        <f ca="1"/>
        <v>-2.3400000000000001E-2</v>
      </c>
      <c r="P498" s="49">
        <f ca="1"/>
        <v>-3.8399999999999997E-2</v>
      </c>
      <c r="Q498" s="49">
        <f ca="1"/>
        <v>0</v>
      </c>
      <c r="R498" s="49">
        <f ca="1"/>
        <v>0</v>
      </c>
      <c r="S498" s="49">
        <f ca="1"/>
        <v>0</v>
      </c>
      <c r="T498" s="49">
        <f ca="1"/>
        <v>0</v>
      </c>
      <c r="U498" s="49">
        <f ca="1"/>
        <v>0</v>
      </c>
      <c r="V498" s="49">
        <f ca="1"/>
        <v>0</v>
      </c>
      <c r="W498" s="49">
        <f ca="1"/>
        <v>0</v>
      </c>
      <c r="X498" s="49">
        <f ca="1"/>
        <v>0</v>
      </c>
      <c r="Y498" s="49">
        <f ca="1"/>
        <v>0</v>
      </c>
      <c r="Z498" s="49">
        <f ca="1"/>
        <v>0</v>
      </c>
      <c r="AA498" s="49">
        <f ca="1"/>
        <v>0</v>
      </c>
      <c r="AB498" s="49">
        <f ca="1"/>
        <v>0</v>
      </c>
      <c r="AC498" s="49">
        <f ca="1"/>
        <v>0</v>
      </c>
      <c r="AD498" s="49">
        <f ca="1"/>
        <v>0</v>
      </c>
      <c r="AE498" s="49">
        <f ca="1"/>
        <v>0</v>
      </c>
      <c r="AF498" s="49">
        <f ca="1"/>
        <v>0</v>
      </c>
      <c r="AG498" s="49">
        <f ca="1"/>
        <v>0</v>
      </c>
      <c r="AH498" s="49">
        <f ca="1"/>
        <v>0</v>
      </c>
      <c r="AI498" s="49">
        <f ca="1"/>
        <v>0</v>
      </c>
      <c r="AJ498" s="49">
        <f ca="1"/>
        <v>0</v>
      </c>
      <c r="AK498" s="49">
        <f ca="1"/>
        <v>0</v>
      </c>
      <c r="AL498" s="49">
        <f ca="1"/>
        <v>0</v>
      </c>
      <c r="AM498" s="49">
        <f ca="1"/>
        <v>0</v>
      </c>
      <c r="AN498" s="49">
        <f ca="1"/>
        <v>0</v>
      </c>
      <c r="AO498" s="49">
        <f ca="1"/>
        <v>0</v>
      </c>
      <c r="AP498" s="49">
        <f ca="1"/>
        <v>0</v>
      </c>
      <c r="AQ498" s="49">
        <f ca="1"/>
        <v>0</v>
      </c>
      <c r="AR498" s="49">
        <f ca="1"/>
        <v>0</v>
      </c>
      <c r="AS498" s="49">
        <f ca="1"/>
        <v>0</v>
      </c>
      <c r="AT498" s="49">
        <f ca="1"/>
        <v>0</v>
      </c>
      <c r="AU498" s="49">
        <f ca="1"/>
        <v>0</v>
      </c>
      <c r="AV498" s="49">
        <f ca="1"/>
        <v>0</v>
      </c>
      <c r="AW498" s="49">
        <f ca="1"/>
        <v>0</v>
      </c>
      <c r="AX498" s="49">
        <f ca="1"/>
        <v>0</v>
      </c>
      <c r="AY498" s="49">
        <f ca="1"/>
        <v>0</v>
      </c>
      <c r="AZ498" s="49">
        <f ca="1"/>
        <v>0</v>
      </c>
      <c r="BA498" s="49">
        <f ca="1"/>
        <v>0</v>
      </c>
      <c r="BB498" s="49">
        <f ca="1"/>
        <v>0</v>
      </c>
      <c r="BC498" s="49">
        <f ca="1"/>
        <v>0</v>
      </c>
      <c r="BD498" s="49">
        <f ca="1"/>
        <v>0</v>
      </c>
      <c r="BE498" s="49">
        <f ca="1"/>
        <v>0</v>
      </c>
      <c r="BF498" s="49">
        <f ca="1"/>
        <v>0</v>
      </c>
      <c r="BG498" s="49">
        <f ca="1"/>
        <v>0</v>
      </c>
      <c r="BH498" s="49">
        <f ca="1"/>
        <v>0</v>
      </c>
      <c r="BI498" s="49">
        <f ca="1"/>
        <v>0</v>
      </c>
      <c r="BJ498" s="49">
        <f ca="1"/>
        <v>0</v>
      </c>
      <c r="BK498" s="49">
        <f ca="1"/>
        <v>0</v>
      </c>
      <c r="BL498" s="49">
        <f ca="1"/>
        <v>0</v>
      </c>
      <c r="BM498" s="49">
        <f ca="1"/>
        <v>0</v>
      </c>
      <c r="BN498" s="49">
        <f ca="1"/>
        <v>0</v>
      </c>
      <c r="BO498" s="49">
        <f ca="1"/>
        <v>0</v>
      </c>
      <c r="BP498" s="49">
        <f ca="1"/>
        <v>0</v>
      </c>
      <c r="BQ498" s="49">
        <f ca="1"/>
        <v>0</v>
      </c>
      <c r="BR498" s="49">
        <f ca="1"/>
        <v>0</v>
      </c>
      <c r="BS498" s="49">
        <f ca="1"/>
        <v>0</v>
      </c>
    </row>
    <row r="499" spans="3:71" outlineLevel="1" x14ac:dyDescent="0.2">
      <c r="D499" s="11" t="str">
        <f>HM_ZA_Nkossa!D488</f>
        <v>Total revenus des droits</v>
      </c>
      <c r="I499" s="30">
        <f t="shared" ca="1" si="137"/>
        <v>38.18506887327726</v>
      </c>
      <c r="J499" s="26" t="s">
        <v>148</v>
      </c>
      <c r="L499" s="49">
        <f ca="1">SUM(L497:L498)</f>
        <v>3.9262318975373458</v>
      </c>
      <c r="M499" s="49">
        <f t="shared" ref="M499:BS499" ca="1" si="138">SUM(M497:M498)</f>
        <v>1.0820011951261876</v>
      </c>
      <c r="N499" s="49">
        <f t="shared" ca="1" si="138"/>
        <v>1.2141208574131879</v>
      </c>
      <c r="O499" s="49">
        <f t="shared" ca="1" si="138"/>
        <v>2.9991318819839998</v>
      </c>
      <c r="P499" s="49">
        <f t="shared" ca="1" si="138"/>
        <v>3.4496923129766244</v>
      </c>
      <c r="Q499" s="49">
        <f t="shared" ca="1" si="138"/>
        <v>3.1430091458774996</v>
      </c>
      <c r="R499" s="49">
        <f t="shared" ca="1" si="138"/>
        <v>1.3420708089299997</v>
      </c>
      <c r="S499" s="49">
        <f t="shared" ca="1" si="138"/>
        <v>3.3646862716748434</v>
      </c>
      <c r="T499" s="49">
        <f t="shared" ca="1" si="138"/>
        <v>3.9863178468681335</v>
      </c>
      <c r="U499" s="49">
        <f t="shared" ca="1" si="138"/>
        <v>3.7728062701941698</v>
      </c>
      <c r="V499" s="49">
        <f t="shared" ca="1" si="138"/>
        <v>3.5265374604285498</v>
      </c>
      <c r="W499" s="49">
        <f t="shared" ca="1" si="138"/>
        <v>3.2965911272083175</v>
      </c>
      <c r="X499" s="49">
        <f t="shared" ca="1" si="138"/>
        <v>3.0818717970584002</v>
      </c>
      <c r="Y499" s="49">
        <f t="shared" ca="1" si="138"/>
        <v>0</v>
      </c>
      <c r="Z499" s="49">
        <f t="shared" ca="1" si="138"/>
        <v>0</v>
      </c>
      <c r="AA499" s="49">
        <f t="shared" ca="1" si="138"/>
        <v>0</v>
      </c>
      <c r="AB499" s="49">
        <f t="shared" ca="1" si="138"/>
        <v>0</v>
      </c>
      <c r="AC499" s="49">
        <f t="shared" ca="1" si="138"/>
        <v>0</v>
      </c>
      <c r="AD499" s="49">
        <f t="shared" ca="1" si="138"/>
        <v>0</v>
      </c>
      <c r="AE499" s="49">
        <f t="shared" ca="1" si="138"/>
        <v>0</v>
      </c>
      <c r="AF499" s="49">
        <f t="shared" ca="1" si="138"/>
        <v>0</v>
      </c>
      <c r="AG499" s="49">
        <f t="shared" ca="1" si="138"/>
        <v>0</v>
      </c>
      <c r="AH499" s="49">
        <f t="shared" ca="1" si="138"/>
        <v>0</v>
      </c>
      <c r="AI499" s="49">
        <f t="shared" ca="1" si="138"/>
        <v>0</v>
      </c>
      <c r="AJ499" s="49">
        <f t="shared" ca="1" si="138"/>
        <v>0</v>
      </c>
      <c r="AK499" s="49">
        <f t="shared" ca="1" si="138"/>
        <v>0</v>
      </c>
      <c r="AL499" s="49">
        <f t="shared" ca="1" si="138"/>
        <v>0</v>
      </c>
      <c r="AM499" s="49">
        <f t="shared" ca="1" si="138"/>
        <v>0</v>
      </c>
      <c r="AN499" s="49">
        <f t="shared" ca="1" si="138"/>
        <v>0</v>
      </c>
      <c r="AO499" s="49">
        <f t="shared" ca="1" si="138"/>
        <v>0</v>
      </c>
      <c r="AP499" s="49">
        <f t="shared" ca="1" si="138"/>
        <v>0</v>
      </c>
      <c r="AQ499" s="49">
        <f t="shared" ca="1" si="138"/>
        <v>0</v>
      </c>
      <c r="AR499" s="49">
        <f t="shared" ca="1" si="138"/>
        <v>0</v>
      </c>
      <c r="AS499" s="49">
        <f t="shared" ca="1" si="138"/>
        <v>0</v>
      </c>
      <c r="AT499" s="49">
        <f t="shared" ca="1" si="138"/>
        <v>0</v>
      </c>
      <c r="AU499" s="49">
        <f t="shared" ca="1" si="138"/>
        <v>0</v>
      </c>
      <c r="AV499" s="49">
        <f t="shared" ca="1" si="138"/>
        <v>0</v>
      </c>
      <c r="AW499" s="49">
        <f t="shared" ca="1" si="138"/>
        <v>0</v>
      </c>
      <c r="AX499" s="49">
        <f t="shared" ca="1" si="138"/>
        <v>0</v>
      </c>
      <c r="AY499" s="49">
        <f t="shared" ca="1" si="138"/>
        <v>0</v>
      </c>
      <c r="AZ499" s="49">
        <f t="shared" ca="1" si="138"/>
        <v>0</v>
      </c>
      <c r="BA499" s="49">
        <f t="shared" ca="1" si="138"/>
        <v>0</v>
      </c>
      <c r="BB499" s="49">
        <f t="shared" ca="1" si="138"/>
        <v>0</v>
      </c>
      <c r="BC499" s="49">
        <f t="shared" ca="1" si="138"/>
        <v>0</v>
      </c>
      <c r="BD499" s="49">
        <f t="shared" ca="1" si="138"/>
        <v>0</v>
      </c>
      <c r="BE499" s="49">
        <f t="shared" ca="1" si="138"/>
        <v>0</v>
      </c>
      <c r="BF499" s="49">
        <f t="shared" ca="1" si="138"/>
        <v>0</v>
      </c>
      <c r="BG499" s="49">
        <f t="shared" ca="1" si="138"/>
        <v>0</v>
      </c>
      <c r="BH499" s="49">
        <f t="shared" ca="1" si="138"/>
        <v>0</v>
      </c>
      <c r="BI499" s="49">
        <f t="shared" ca="1" si="138"/>
        <v>0</v>
      </c>
      <c r="BJ499" s="49">
        <f t="shared" ca="1" si="138"/>
        <v>0</v>
      </c>
      <c r="BK499" s="49">
        <f t="shared" ca="1" si="138"/>
        <v>0</v>
      </c>
      <c r="BL499" s="49">
        <f t="shared" ca="1" si="138"/>
        <v>0</v>
      </c>
      <c r="BM499" s="49">
        <f t="shared" ca="1" si="138"/>
        <v>0</v>
      </c>
      <c r="BN499" s="49">
        <f t="shared" ca="1" si="138"/>
        <v>0</v>
      </c>
      <c r="BO499" s="49">
        <f t="shared" ca="1" si="138"/>
        <v>0</v>
      </c>
      <c r="BP499" s="49">
        <f t="shared" ca="1" si="138"/>
        <v>0</v>
      </c>
      <c r="BQ499" s="49">
        <f t="shared" ca="1" si="138"/>
        <v>0</v>
      </c>
      <c r="BR499" s="49">
        <f t="shared" ca="1" si="138"/>
        <v>0</v>
      </c>
      <c r="BS499" s="49">
        <f t="shared" ca="1" si="138"/>
        <v>0</v>
      </c>
    </row>
    <row r="500" spans="3:71" outlineLevel="1" x14ac:dyDescent="0.2">
      <c r="J500" s="26"/>
      <c r="L500" s="55"/>
      <c r="M500" s="55"/>
      <c r="N500" s="55"/>
      <c r="O500" s="55"/>
      <c r="P500" s="55"/>
      <c r="Q500" s="55"/>
      <c r="R500" s="55"/>
      <c r="S500" s="55"/>
      <c r="T500" s="55"/>
      <c r="U500" s="55"/>
      <c r="V500" s="55"/>
      <c r="W500" s="55"/>
      <c r="X500" s="55"/>
      <c r="Y500" s="55"/>
      <c r="Z500" s="55"/>
      <c r="AA500" s="55"/>
      <c r="AB500" s="55"/>
      <c r="AC500" s="55"/>
      <c r="AD500" s="55"/>
      <c r="AE500" s="55"/>
      <c r="AF500" s="55"/>
      <c r="AG500" s="55"/>
      <c r="AH500" s="55"/>
      <c r="AI500" s="55"/>
      <c r="AJ500" s="55"/>
      <c r="AK500" s="55"/>
      <c r="AL500" s="55"/>
      <c r="AM500" s="55"/>
      <c r="AN500" s="55"/>
      <c r="AO500" s="55"/>
      <c r="AP500" s="55"/>
      <c r="AQ500" s="55"/>
      <c r="AR500" s="55"/>
      <c r="AS500" s="55"/>
      <c r="AT500" s="55"/>
      <c r="AU500" s="55"/>
      <c r="AV500" s="55"/>
      <c r="AW500" s="55"/>
      <c r="AX500" s="55"/>
      <c r="AY500" s="55"/>
      <c r="AZ500" s="55"/>
      <c r="BA500" s="55"/>
      <c r="BB500" s="55"/>
      <c r="BC500" s="55"/>
      <c r="BD500" s="55"/>
      <c r="BE500" s="55"/>
      <c r="BF500" s="55"/>
      <c r="BG500" s="55"/>
      <c r="BH500" s="55"/>
      <c r="BI500" s="55"/>
      <c r="BJ500" s="55"/>
      <c r="BK500" s="55"/>
      <c r="BL500" s="55"/>
      <c r="BM500" s="55"/>
      <c r="BN500" s="55"/>
      <c r="BO500" s="55"/>
      <c r="BP500" s="55"/>
      <c r="BQ500" s="55"/>
      <c r="BR500" s="55"/>
      <c r="BS500" s="55"/>
    </row>
    <row r="501" spans="3:71" outlineLevel="1" x14ac:dyDescent="0.2">
      <c r="C501" s="11" t="str">
        <f>HM_ZA_Nkossa!C490</f>
        <v>Coûts d'exploitation</v>
      </c>
      <c r="I501" s="30">
        <f t="shared" ca="1" si="137"/>
        <v>16.671537348000001</v>
      </c>
      <c r="J501" s="26" t="s">
        <v>148</v>
      </c>
      <c r="L501" s="49">
        <f ca="1">(L448*HM_ZB_Nsoko!CA_NOC_WI)-HM_ZB_Nsoko!CA_NOC_CI_opex</f>
        <v>1.43655</v>
      </c>
      <c r="M501" s="49">
        <f ca="1">(M448*HM_ZB_Nsoko!CA_NOC_WI)-HM_ZB_Nsoko!CA_NOC_CI_opex</f>
        <v>1.1919</v>
      </c>
      <c r="N501" s="49">
        <f ca="1">(N448*HM_ZB_Nsoko!CA_NOC_WI)-HM_ZB_Nsoko!CA_NOC_CI_opex</f>
        <v>1.0998000000000001</v>
      </c>
      <c r="O501" s="49">
        <f ca="1">(O448*HM_ZB_Nsoko!CA_NOC_WI)-HM_ZB_Nsoko!CA_NOC_CI_opex</f>
        <v>1.0015499999999999</v>
      </c>
      <c r="P501" s="49">
        <f ca="1">(P448*HM_ZB_Nsoko!CA_NOC_WI)-HM_ZB_Nsoko!CA_NOC_CI_opex</f>
        <v>1.08795</v>
      </c>
      <c r="Q501" s="49">
        <f ca="1">(Q448*HM_ZB_Nsoko!CA_NOC_WI)-HM_ZB_Nsoko!CA_NOC_CI_opex</f>
        <v>1.095</v>
      </c>
      <c r="R501" s="49">
        <f ca="1">(R448*HM_ZB_Nsoko!CA_NOC_WI)-HM_ZB_Nsoko!CA_NOC_CI_opex</f>
        <v>0.69</v>
      </c>
      <c r="S501" s="49">
        <f ca="1">(S448*HM_ZB_Nsoko!CA_NOC_WI)-HM_ZB_Nsoko!CA_NOC_CI_opex</f>
        <v>1.5</v>
      </c>
      <c r="T501" s="49">
        <f ca="1">(T448*HM_ZB_Nsoko!CA_NOC_WI)-HM_ZB_Nsoko!CA_NOC_CI_opex</f>
        <v>1.4850000000000001</v>
      </c>
      <c r="U501" s="49">
        <f ca="1">(U448*HM_ZB_Nsoko!CA_NOC_WI)-HM_ZB_Nsoko!CA_NOC_CI_opex</f>
        <v>1.4994000000000001</v>
      </c>
      <c r="V501" s="49">
        <f ca="1">(V448*HM_ZB_Nsoko!CA_NOC_WI)-HM_ZB_Nsoko!CA_NOC_CI_opex</f>
        <v>1.513782</v>
      </c>
      <c r="W501" s="49">
        <f ca="1">(W448*HM_ZB_Nsoko!CA_NOC_WI)-HM_ZB_Nsoko!CA_NOC_CI_opex</f>
        <v>1.5281395199999999</v>
      </c>
      <c r="X501" s="49">
        <f ca="1">(X448*HM_ZB_Nsoko!CA_NOC_WI)-HM_ZB_Nsoko!CA_NOC_CI_opex</f>
        <v>1.5424658279999999</v>
      </c>
      <c r="Y501" s="49">
        <f ca="1">(Y448*HM_ZB_Nsoko!CA_NOC_WI)-HM_ZB_Nsoko!CA_NOC_CI_opex</f>
        <v>0</v>
      </c>
      <c r="Z501" s="49">
        <f ca="1">(Z448*HM_ZB_Nsoko!CA_NOC_WI)-HM_ZB_Nsoko!CA_NOC_CI_opex</f>
        <v>0</v>
      </c>
      <c r="AA501" s="49">
        <f ca="1">(AA448*HM_ZB_Nsoko!CA_NOC_WI)-HM_ZB_Nsoko!CA_NOC_CI_opex</f>
        <v>0</v>
      </c>
      <c r="AB501" s="49">
        <f ca="1">(AB448*HM_ZB_Nsoko!CA_NOC_WI)-HM_ZB_Nsoko!CA_NOC_CI_opex</f>
        <v>0</v>
      </c>
      <c r="AC501" s="49">
        <f ca="1">(AC448*HM_ZB_Nsoko!CA_NOC_WI)-HM_ZB_Nsoko!CA_NOC_CI_opex</f>
        <v>0</v>
      </c>
      <c r="AD501" s="49">
        <f ca="1">(AD448*HM_ZB_Nsoko!CA_NOC_WI)-HM_ZB_Nsoko!CA_NOC_CI_opex</f>
        <v>0</v>
      </c>
      <c r="AE501" s="49">
        <f ca="1">(AE448*HM_ZB_Nsoko!CA_NOC_WI)-HM_ZB_Nsoko!CA_NOC_CI_opex</f>
        <v>0</v>
      </c>
      <c r="AF501" s="49">
        <f ca="1">(AF448*HM_ZB_Nsoko!CA_NOC_WI)-HM_ZB_Nsoko!CA_NOC_CI_opex</f>
        <v>0</v>
      </c>
      <c r="AG501" s="49">
        <f ca="1">(AG448*HM_ZB_Nsoko!CA_NOC_WI)-HM_ZB_Nsoko!CA_NOC_CI_opex</f>
        <v>0</v>
      </c>
      <c r="AH501" s="49">
        <f ca="1">(AH448*HM_ZB_Nsoko!CA_NOC_WI)-HM_ZB_Nsoko!CA_NOC_CI_opex</f>
        <v>0</v>
      </c>
      <c r="AI501" s="49">
        <f ca="1">(AI448*HM_ZB_Nsoko!CA_NOC_WI)-HM_ZB_Nsoko!CA_NOC_CI_opex</f>
        <v>0</v>
      </c>
      <c r="AJ501" s="49">
        <f ca="1">(AJ448*HM_ZB_Nsoko!CA_NOC_WI)-HM_ZB_Nsoko!CA_NOC_CI_opex</f>
        <v>0</v>
      </c>
      <c r="AK501" s="49">
        <f ca="1">(AK448*HM_ZB_Nsoko!CA_NOC_WI)-HM_ZB_Nsoko!CA_NOC_CI_opex</f>
        <v>0</v>
      </c>
      <c r="AL501" s="49">
        <f ca="1">(AL448*HM_ZB_Nsoko!CA_NOC_WI)-HM_ZB_Nsoko!CA_NOC_CI_opex</f>
        <v>0</v>
      </c>
      <c r="AM501" s="49">
        <f ca="1">(AM448*HM_ZB_Nsoko!CA_NOC_WI)-HM_ZB_Nsoko!CA_NOC_CI_opex</f>
        <v>0</v>
      </c>
      <c r="AN501" s="49">
        <f ca="1">(AN448*HM_ZB_Nsoko!CA_NOC_WI)-HM_ZB_Nsoko!CA_NOC_CI_opex</f>
        <v>0</v>
      </c>
      <c r="AO501" s="49">
        <f ca="1">(AO448*HM_ZB_Nsoko!CA_NOC_WI)-HM_ZB_Nsoko!CA_NOC_CI_opex</f>
        <v>0</v>
      </c>
      <c r="AP501" s="49">
        <f ca="1">(AP448*HM_ZB_Nsoko!CA_NOC_WI)-HM_ZB_Nsoko!CA_NOC_CI_opex</f>
        <v>0</v>
      </c>
      <c r="AQ501" s="49">
        <f ca="1">(AQ448*HM_ZB_Nsoko!CA_NOC_WI)-HM_ZB_Nsoko!CA_NOC_CI_opex</f>
        <v>0</v>
      </c>
      <c r="AR501" s="49">
        <f ca="1">(AR448*HM_ZB_Nsoko!CA_NOC_WI)-HM_ZB_Nsoko!CA_NOC_CI_opex</f>
        <v>0</v>
      </c>
      <c r="AS501" s="49">
        <f ca="1">(AS448*HM_ZB_Nsoko!CA_NOC_WI)-HM_ZB_Nsoko!CA_NOC_CI_opex</f>
        <v>0</v>
      </c>
      <c r="AT501" s="49">
        <f ca="1">(AT448*HM_ZB_Nsoko!CA_NOC_WI)-HM_ZB_Nsoko!CA_NOC_CI_opex</f>
        <v>0</v>
      </c>
      <c r="AU501" s="49">
        <f ca="1">(AU448*HM_ZB_Nsoko!CA_NOC_WI)-HM_ZB_Nsoko!CA_NOC_CI_opex</f>
        <v>0</v>
      </c>
      <c r="AV501" s="49">
        <f ca="1">(AV448*HM_ZB_Nsoko!CA_NOC_WI)-HM_ZB_Nsoko!CA_NOC_CI_opex</f>
        <v>0</v>
      </c>
      <c r="AW501" s="49">
        <f ca="1">(AW448*HM_ZB_Nsoko!CA_NOC_WI)-HM_ZB_Nsoko!CA_NOC_CI_opex</f>
        <v>0</v>
      </c>
      <c r="AX501" s="49">
        <f ca="1">(AX448*HM_ZB_Nsoko!CA_NOC_WI)-HM_ZB_Nsoko!CA_NOC_CI_opex</f>
        <v>0</v>
      </c>
      <c r="AY501" s="49">
        <f ca="1">(AY448*HM_ZB_Nsoko!CA_NOC_WI)-HM_ZB_Nsoko!CA_NOC_CI_opex</f>
        <v>0</v>
      </c>
      <c r="AZ501" s="49">
        <f ca="1">(AZ448*HM_ZB_Nsoko!CA_NOC_WI)-HM_ZB_Nsoko!CA_NOC_CI_opex</f>
        <v>0</v>
      </c>
      <c r="BA501" s="49">
        <f ca="1">(BA448*HM_ZB_Nsoko!CA_NOC_WI)-HM_ZB_Nsoko!CA_NOC_CI_opex</f>
        <v>0</v>
      </c>
      <c r="BB501" s="49">
        <f ca="1">(BB448*HM_ZB_Nsoko!CA_NOC_WI)-HM_ZB_Nsoko!CA_NOC_CI_opex</f>
        <v>0</v>
      </c>
      <c r="BC501" s="49">
        <f ca="1">(BC448*HM_ZB_Nsoko!CA_NOC_WI)-HM_ZB_Nsoko!CA_NOC_CI_opex</f>
        <v>0</v>
      </c>
      <c r="BD501" s="49">
        <f ca="1">(BD448*HM_ZB_Nsoko!CA_NOC_WI)-HM_ZB_Nsoko!CA_NOC_CI_opex</f>
        <v>0</v>
      </c>
      <c r="BE501" s="49">
        <f ca="1">(BE448*HM_ZB_Nsoko!CA_NOC_WI)-HM_ZB_Nsoko!CA_NOC_CI_opex</f>
        <v>0</v>
      </c>
      <c r="BF501" s="49">
        <f ca="1">(BF448*HM_ZB_Nsoko!CA_NOC_WI)-HM_ZB_Nsoko!CA_NOC_CI_opex</f>
        <v>0</v>
      </c>
      <c r="BG501" s="49">
        <f ca="1">(BG448*HM_ZB_Nsoko!CA_NOC_WI)-HM_ZB_Nsoko!CA_NOC_CI_opex</f>
        <v>0</v>
      </c>
      <c r="BH501" s="49">
        <f ca="1">(BH448*HM_ZB_Nsoko!CA_NOC_WI)-HM_ZB_Nsoko!CA_NOC_CI_opex</f>
        <v>0</v>
      </c>
      <c r="BI501" s="49">
        <f ca="1">(BI448*HM_ZB_Nsoko!CA_NOC_WI)-HM_ZB_Nsoko!CA_NOC_CI_opex</f>
        <v>0</v>
      </c>
      <c r="BJ501" s="49">
        <f ca="1">(BJ448*HM_ZB_Nsoko!CA_NOC_WI)-HM_ZB_Nsoko!CA_NOC_CI_opex</f>
        <v>0</v>
      </c>
      <c r="BK501" s="49">
        <f ca="1">(BK448*HM_ZB_Nsoko!CA_NOC_WI)-HM_ZB_Nsoko!CA_NOC_CI_opex</f>
        <v>0</v>
      </c>
      <c r="BL501" s="49">
        <f ca="1">(BL448*HM_ZB_Nsoko!CA_NOC_WI)-HM_ZB_Nsoko!CA_NOC_CI_opex</f>
        <v>0</v>
      </c>
      <c r="BM501" s="49">
        <f ca="1">(BM448*HM_ZB_Nsoko!CA_NOC_WI)-HM_ZB_Nsoko!CA_NOC_CI_opex</f>
        <v>0</v>
      </c>
      <c r="BN501" s="49">
        <f ca="1">(BN448*HM_ZB_Nsoko!CA_NOC_WI)-HM_ZB_Nsoko!CA_NOC_CI_opex</f>
        <v>0</v>
      </c>
      <c r="BO501" s="49">
        <f ca="1">(BO448*HM_ZB_Nsoko!CA_NOC_WI)-HM_ZB_Nsoko!CA_NOC_CI_opex</f>
        <v>0</v>
      </c>
      <c r="BP501" s="49">
        <f ca="1">(BP448*HM_ZB_Nsoko!CA_NOC_WI)-HM_ZB_Nsoko!CA_NOC_CI_opex</f>
        <v>0</v>
      </c>
      <c r="BQ501" s="49">
        <f ca="1">(BQ448*HM_ZB_Nsoko!CA_NOC_WI)-HM_ZB_Nsoko!CA_NOC_CI_opex</f>
        <v>0</v>
      </c>
      <c r="BR501" s="49">
        <f ca="1">(BR448*HM_ZB_Nsoko!CA_NOC_WI)-HM_ZB_Nsoko!CA_NOC_CI_opex</f>
        <v>0</v>
      </c>
      <c r="BS501" s="49">
        <f ca="1">(BS448*HM_ZB_Nsoko!CA_NOC_WI)-HM_ZB_Nsoko!CA_NOC_CI_opex</f>
        <v>0</v>
      </c>
    </row>
    <row r="502" spans="3:71" outlineLevel="1" x14ac:dyDescent="0.2">
      <c r="J502" s="26"/>
      <c r="L502" s="55"/>
      <c r="M502" s="55"/>
      <c r="N502" s="55"/>
      <c r="O502" s="55"/>
      <c r="P502" s="55"/>
      <c r="Q502" s="55"/>
      <c r="R502" s="55"/>
      <c r="S502" s="55"/>
      <c r="T502" s="55"/>
      <c r="U502" s="55"/>
      <c r="V502" s="55"/>
      <c r="W502" s="55"/>
      <c r="X502" s="55"/>
      <c r="Y502" s="55"/>
      <c r="Z502" s="55"/>
      <c r="AA502" s="55"/>
      <c r="AB502" s="55"/>
      <c r="AC502" s="55"/>
      <c r="AD502" s="55"/>
      <c r="AE502" s="55"/>
      <c r="AF502" s="55"/>
      <c r="AG502" s="55"/>
      <c r="AH502" s="55"/>
      <c r="AI502" s="55"/>
      <c r="AJ502" s="55"/>
      <c r="AK502" s="55"/>
      <c r="AL502" s="55"/>
      <c r="AM502" s="55"/>
      <c r="AN502" s="55"/>
      <c r="AO502" s="55"/>
      <c r="AP502" s="55"/>
      <c r="AQ502" s="55"/>
      <c r="AR502" s="55"/>
      <c r="AS502" s="55"/>
      <c r="AT502" s="55"/>
      <c r="AU502" s="55"/>
      <c r="AV502" s="55"/>
      <c r="AW502" s="55"/>
      <c r="AX502" s="55"/>
      <c r="AY502" s="55"/>
      <c r="AZ502" s="55"/>
      <c r="BA502" s="55"/>
      <c r="BB502" s="55"/>
      <c r="BC502" s="55"/>
      <c r="BD502" s="55"/>
      <c r="BE502" s="55"/>
      <c r="BF502" s="55"/>
      <c r="BG502" s="55"/>
      <c r="BH502" s="55"/>
      <c r="BI502" s="55"/>
      <c r="BJ502" s="55"/>
      <c r="BK502" s="55"/>
      <c r="BL502" s="55"/>
      <c r="BM502" s="55"/>
      <c r="BN502" s="55"/>
      <c r="BO502" s="55"/>
      <c r="BP502" s="55"/>
      <c r="BQ502" s="55"/>
      <c r="BR502" s="55"/>
      <c r="BS502" s="55"/>
    </row>
    <row r="503" spans="3:71" outlineLevel="1" x14ac:dyDescent="0.2">
      <c r="C503" s="11" t="str">
        <f>HM_ZA_Nkossa!C492</f>
        <v>Bonus et frais</v>
      </c>
      <c r="I503" s="30">
        <f t="shared" ca="1" si="137"/>
        <v>0.87722911509861612</v>
      </c>
      <c r="J503" s="26" t="s">
        <v>148</v>
      </c>
      <c r="L503" s="49">
        <f ca="1">L450*HM_ZB_Nsoko!CA_NOC_WI</f>
        <v>0.12590005393949999</v>
      </c>
      <c r="M503" s="49">
        <f ca="1">M450*HM_ZB_Nsoko!CA_NOC_WI</f>
        <v>0.12635584831649999</v>
      </c>
      <c r="N503" s="49">
        <f ca="1">N450*HM_ZB_Nsoko!CA_NOC_WI</f>
        <v>7.2718606026000013E-2</v>
      </c>
      <c r="O503" s="49">
        <f ca="1">O450*HM_ZB_Nsoko!CA_NOC_WI</f>
        <v>4.9604384968500004E-2</v>
      </c>
      <c r="P503" s="49">
        <f ca="1">P450*HM_ZB_Nsoko!CA_NOC_WI</f>
        <v>5.970861867599999E-2</v>
      </c>
      <c r="Q503" s="49">
        <f ca="1">Q450*HM_ZB_Nsoko!CA_NOC_WI</f>
        <v>7.1338172449499998E-2</v>
      </c>
      <c r="R503" s="49">
        <f ca="1">R450*HM_ZB_Nsoko!CA_NOC_WI</f>
        <v>2.4630041549999995E-2</v>
      </c>
      <c r="S503" s="49">
        <f ca="1">S450*HM_ZB_Nsoko!CA_NOC_WI</f>
        <v>4.6409465816204747E-2</v>
      </c>
      <c r="T503" s="49">
        <f ca="1">T450*HM_ZB_Nsoko!CA_NOC_WI</f>
        <v>6.4010323495917301E-2</v>
      </c>
      <c r="U503" s="49">
        <f ca="1">U450*HM_ZB_Nsoko!CA_NOC_WI</f>
        <v>6.3898312358323411E-2</v>
      </c>
      <c r="V503" s="49">
        <f ca="1">V450*HM_ZB_Nsoko!CA_NOC_WI</f>
        <v>6.0613939103105585E-2</v>
      </c>
      <c r="W503" s="49">
        <f ca="1">W450*HM_ZB_Nsoko!CA_NOC_WI</f>
        <v>5.7498382633205947E-2</v>
      </c>
      <c r="X503" s="49">
        <f ca="1">X450*HM_ZB_Nsoko!CA_NOC_WI</f>
        <v>5.4542965765859167E-2</v>
      </c>
      <c r="Y503" s="49">
        <f ca="1">Y450*HM_ZB_Nsoko!CA_NOC_WI</f>
        <v>0</v>
      </c>
      <c r="Z503" s="49">
        <f ca="1">Z450*HM_ZB_Nsoko!CA_NOC_WI</f>
        <v>0</v>
      </c>
      <c r="AA503" s="49">
        <f ca="1">AA450*HM_ZB_Nsoko!CA_NOC_WI</f>
        <v>0</v>
      </c>
      <c r="AB503" s="49">
        <f ca="1">AB450*HM_ZB_Nsoko!CA_NOC_WI</f>
        <v>0</v>
      </c>
      <c r="AC503" s="49">
        <f ca="1">AC450*HM_ZB_Nsoko!CA_NOC_WI</f>
        <v>0</v>
      </c>
      <c r="AD503" s="49">
        <f ca="1">AD450*HM_ZB_Nsoko!CA_NOC_WI</f>
        <v>0</v>
      </c>
      <c r="AE503" s="49">
        <f ca="1">AE450*HM_ZB_Nsoko!CA_NOC_WI</f>
        <v>0</v>
      </c>
      <c r="AF503" s="49">
        <f ca="1">AF450*HM_ZB_Nsoko!CA_NOC_WI</f>
        <v>0</v>
      </c>
      <c r="AG503" s="49">
        <f ca="1">AG450*HM_ZB_Nsoko!CA_NOC_WI</f>
        <v>0</v>
      </c>
      <c r="AH503" s="49">
        <f ca="1">AH450*HM_ZB_Nsoko!CA_NOC_WI</f>
        <v>0</v>
      </c>
      <c r="AI503" s="49">
        <f ca="1">AI450*HM_ZB_Nsoko!CA_NOC_WI</f>
        <v>0</v>
      </c>
      <c r="AJ503" s="49">
        <f ca="1">AJ450*HM_ZB_Nsoko!CA_NOC_WI</f>
        <v>0</v>
      </c>
      <c r="AK503" s="49">
        <f ca="1">AK450*HM_ZB_Nsoko!CA_NOC_WI</f>
        <v>0</v>
      </c>
      <c r="AL503" s="49">
        <f ca="1">AL450*HM_ZB_Nsoko!CA_NOC_WI</f>
        <v>0</v>
      </c>
      <c r="AM503" s="49">
        <f ca="1">AM450*HM_ZB_Nsoko!CA_NOC_WI</f>
        <v>0</v>
      </c>
      <c r="AN503" s="49">
        <f ca="1">AN450*HM_ZB_Nsoko!CA_NOC_WI</f>
        <v>0</v>
      </c>
      <c r="AO503" s="49">
        <f ca="1">AO450*HM_ZB_Nsoko!CA_NOC_WI</f>
        <v>0</v>
      </c>
      <c r="AP503" s="49">
        <f ca="1">AP450*HM_ZB_Nsoko!CA_NOC_WI</f>
        <v>0</v>
      </c>
      <c r="AQ503" s="49">
        <f ca="1">AQ450*HM_ZB_Nsoko!CA_NOC_WI</f>
        <v>0</v>
      </c>
      <c r="AR503" s="49">
        <f ca="1">AR450*HM_ZB_Nsoko!CA_NOC_WI</f>
        <v>0</v>
      </c>
      <c r="AS503" s="49">
        <f ca="1">AS450*HM_ZB_Nsoko!CA_NOC_WI</f>
        <v>0</v>
      </c>
      <c r="AT503" s="49">
        <f ca="1">AT450*HM_ZB_Nsoko!CA_NOC_WI</f>
        <v>0</v>
      </c>
      <c r="AU503" s="49">
        <f ca="1">AU450*HM_ZB_Nsoko!CA_NOC_WI</f>
        <v>0</v>
      </c>
      <c r="AV503" s="49">
        <f ca="1">AV450*HM_ZB_Nsoko!CA_NOC_WI</f>
        <v>0</v>
      </c>
      <c r="AW503" s="49">
        <f ca="1">AW450*HM_ZB_Nsoko!CA_NOC_WI</f>
        <v>0</v>
      </c>
      <c r="AX503" s="49">
        <f ca="1">AX450*HM_ZB_Nsoko!CA_NOC_WI</f>
        <v>0</v>
      </c>
      <c r="AY503" s="49">
        <f ca="1">AY450*HM_ZB_Nsoko!CA_NOC_WI</f>
        <v>0</v>
      </c>
      <c r="AZ503" s="49">
        <f ca="1">AZ450*HM_ZB_Nsoko!CA_NOC_WI</f>
        <v>0</v>
      </c>
      <c r="BA503" s="49">
        <f ca="1">BA450*HM_ZB_Nsoko!CA_NOC_WI</f>
        <v>0</v>
      </c>
      <c r="BB503" s="49">
        <f ca="1">BB450*HM_ZB_Nsoko!CA_NOC_WI</f>
        <v>0</v>
      </c>
      <c r="BC503" s="49">
        <f ca="1">BC450*HM_ZB_Nsoko!CA_NOC_WI</f>
        <v>0</v>
      </c>
      <c r="BD503" s="49">
        <f ca="1">BD450*HM_ZB_Nsoko!CA_NOC_WI</f>
        <v>0</v>
      </c>
      <c r="BE503" s="49">
        <f ca="1">BE450*HM_ZB_Nsoko!CA_NOC_WI</f>
        <v>0</v>
      </c>
      <c r="BF503" s="49">
        <f ca="1">BF450*HM_ZB_Nsoko!CA_NOC_WI</f>
        <v>0</v>
      </c>
      <c r="BG503" s="49">
        <f ca="1">BG450*HM_ZB_Nsoko!CA_NOC_WI</f>
        <v>0</v>
      </c>
      <c r="BH503" s="49">
        <f ca="1">BH450*HM_ZB_Nsoko!CA_NOC_WI</f>
        <v>0</v>
      </c>
      <c r="BI503" s="49">
        <f ca="1">BI450*HM_ZB_Nsoko!CA_NOC_WI</f>
        <v>0</v>
      </c>
      <c r="BJ503" s="49">
        <f ca="1">BJ450*HM_ZB_Nsoko!CA_NOC_WI</f>
        <v>0</v>
      </c>
      <c r="BK503" s="49">
        <f ca="1">BK450*HM_ZB_Nsoko!CA_NOC_WI</f>
        <v>0</v>
      </c>
      <c r="BL503" s="49">
        <f ca="1">BL450*HM_ZB_Nsoko!CA_NOC_WI</f>
        <v>0</v>
      </c>
      <c r="BM503" s="49">
        <f ca="1">BM450*HM_ZB_Nsoko!CA_NOC_WI</f>
        <v>0</v>
      </c>
      <c r="BN503" s="49">
        <f ca="1">BN450*HM_ZB_Nsoko!CA_NOC_WI</f>
        <v>0</v>
      </c>
      <c r="BO503" s="49">
        <f ca="1">BO450*HM_ZB_Nsoko!CA_NOC_WI</f>
        <v>0</v>
      </c>
      <c r="BP503" s="49">
        <f ca="1">BP450*HM_ZB_Nsoko!CA_NOC_WI</f>
        <v>0</v>
      </c>
      <c r="BQ503" s="49">
        <f ca="1">BQ450*HM_ZB_Nsoko!CA_NOC_WI</f>
        <v>0</v>
      </c>
      <c r="BR503" s="49">
        <f ca="1">BR450*HM_ZB_Nsoko!CA_NOC_WI</f>
        <v>0</v>
      </c>
      <c r="BS503" s="49">
        <f ca="1">BS450*HM_ZB_Nsoko!CA_NOC_WI</f>
        <v>0</v>
      </c>
    </row>
    <row r="504" spans="3:71" outlineLevel="1" x14ac:dyDescent="0.2">
      <c r="J504" s="26"/>
      <c r="L504" s="55"/>
      <c r="M504" s="55"/>
      <c r="N504" s="55"/>
      <c r="O504" s="55"/>
      <c r="P504" s="55"/>
      <c r="Q504" s="55"/>
      <c r="R504" s="55"/>
      <c r="S504" s="55"/>
      <c r="T504" s="55"/>
      <c r="U504" s="55"/>
      <c r="V504" s="55"/>
      <c r="W504" s="55"/>
      <c r="X504" s="55"/>
      <c r="Y504" s="55"/>
      <c r="Z504" s="55"/>
      <c r="AA504" s="55"/>
      <c r="AB504" s="55"/>
      <c r="AC504" s="55"/>
      <c r="AD504" s="55"/>
      <c r="AE504" s="55"/>
      <c r="AF504" s="55"/>
      <c r="AG504" s="55"/>
      <c r="AH504" s="55"/>
      <c r="AI504" s="55"/>
      <c r="AJ504" s="55"/>
      <c r="AK504" s="55"/>
      <c r="AL504" s="55"/>
      <c r="AM504" s="55"/>
      <c r="AN504" s="55"/>
      <c r="AO504" s="55"/>
      <c r="AP504" s="55"/>
      <c r="AQ504" s="55"/>
      <c r="AR504" s="55"/>
      <c r="AS504" s="55"/>
      <c r="AT504" s="55"/>
      <c r="AU504" s="55"/>
      <c r="AV504" s="55"/>
      <c r="AW504" s="55"/>
      <c r="AX504" s="55"/>
      <c r="AY504" s="55"/>
      <c r="AZ504" s="55"/>
      <c r="BA504" s="55"/>
      <c r="BB504" s="55"/>
      <c r="BC504" s="55"/>
      <c r="BD504" s="55"/>
      <c r="BE504" s="55"/>
      <c r="BF504" s="55"/>
      <c r="BG504" s="55"/>
      <c r="BH504" s="55"/>
      <c r="BI504" s="55"/>
      <c r="BJ504" s="55"/>
      <c r="BK504" s="55"/>
      <c r="BL504" s="55"/>
      <c r="BM504" s="55"/>
      <c r="BN504" s="55"/>
      <c r="BO504" s="55"/>
      <c r="BP504" s="55"/>
      <c r="BQ504" s="55"/>
      <c r="BR504" s="55"/>
      <c r="BS504" s="55"/>
    </row>
    <row r="505" spans="3:71" outlineLevel="1" x14ac:dyDescent="0.2">
      <c r="C505" s="11" t="str">
        <f>HM_ZA_Nkossa!C494</f>
        <v>Production et autres taxes</v>
      </c>
      <c r="I505" s="30">
        <f t="shared" ref="I505:I513" ca="1" si="139">SUM($L505:$BS505)</f>
        <v>0</v>
      </c>
      <c r="J505" s="26" t="s">
        <v>148</v>
      </c>
      <c r="L505" s="49">
        <f ca="1">L452*HM_ZB_Nsoko!CA_NOC_WI</f>
        <v>0</v>
      </c>
      <c r="M505" s="49">
        <f ca="1">M452*HM_ZB_Nsoko!CA_NOC_WI</f>
        <v>0</v>
      </c>
      <c r="N505" s="49">
        <f ca="1">N452*HM_ZB_Nsoko!CA_NOC_WI</f>
        <v>0</v>
      </c>
      <c r="O505" s="49">
        <f ca="1">O452*HM_ZB_Nsoko!CA_NOC_WI</f>
        <v>0</v>
      </c>
      <c r="P505" s="49">
        <f ca="1">P452*HM_ZB_Nsoko!CA_NOC_WI</f>
        <v>0</v>
      </c>
      <c r="Q505" s="49">
        <f ca="1">Q452*HM_ZB_Nsoko!CA_NOC_WI</f>
        <v>0</v>
      </c>
      <c r="R505" s="49">
        <f ca="1">R452*HM_ZB_Nsoko!CA_NOC_WI</f>
        <v>0</v>
      </c>
      <c r="S505" s="49">
        <f ca="1">S452*HM_ZB_Nsoko!CA_NOC_WI</f>
        <v>0</v>
      </c>
      <c r="T505" s="49">
        <f ca="1">T452*HM_ZB_Nsoko!CA_NOC_WI</f>
        <v>0</v>
      </c>
      <c r="U505" s="49">
        <f ca="1">U452*HM_ZB_Nsoko!CA_NOC_WI</f>
        <v>0</v>
      </c>
      <c r="V505" s="49">
        <f ca="1">V452*HM_ZB_Nsoko!CA_NOC_WI</f>
        <v>0</v>
      </c>
      <c r="W505" s="49">
        <f ca="1">W452*HM_ZB_Nsoko!CA_NOC_WI</f>
        <v>0</v>
      </c>
      <c r="X505" s="49">
        <f ca="1">X452*HM_ZB_Nsoko!CA_NOC_WI</f>
        <v>0</v>
      </c>
      <c r="Y505" s="49">
        <f ca="1">Y452*HM_ZB_Nsoko!CA_NOC_WI</f>
        <v>0</v>
      </c>
      <c r="Z505" s="49">
        <f ca="1">Z452*HM_ZB_Nsoko!CA_NOC_WI</f>
        <v>0</v>
      </c>
      <c r="AA505" s="49">
        <f ca="1">AA452*HM_ZB_Nsoko!CA_NOC_WI</f>
        <v>0</v>
      </c>
      <c r="AB505" s="49">
        <f ca="1">AB452*HM_ZB_Nsoko!CA_NOC_WI</f>
        <v>0</v>
      </c>
      <c r="AC505" s="49">
        <f ca="1">AC452*HM_ZB_Nsoko!CA_NOC_WI</f>
        <v>0</v>
      </c>
      <c r="AD505" s="49">
        <f ca="1">AD452*HM_ZB_Nsoko!CA_NOC_WI</f>
        <v>0</v>
      </c>
      <c r="AE505" s="49">
        <f ca="1">AE452*HM_ZB_Nsoko!CA_NOC_WI</f>
        <v>0</v>
      </c>
      <c r="AF505" s="49">
        <f ca="1">AF452*HM_ZB_Nsoko!CA_NOC_WI</f>
        <v>0</v>
      </c>
      <c r="AG505" s="49">
        <f ca="1">AG452*HM_ZB_Nsoko!CA_NOC_WI</f>
        <v>0</v>
      </c>
      <c r="AH505" s="49">
        <f ca="1">AH452*HM_ZB_Nsoko!CA_NOC_WI</f>
        <v>0</v>
      </c>
      <c r="AI505" s="49">
        <f ca="1">AI452*HM_ZB_Nsoko!CA_NOC_WI</f>
        <v>0</v>
      </c>
      <c r="AJ505" s="49">
        <f ca="1">AJ452*HM_ZB_Nsoko!CA_NOC_WI</f>
        <v>0</v>
      </c>
      <c r="AK505" s="49">
        <f ca="1">AK452*HM_ZB_Nsoko!CA_NOC_WI</f>
        <v>0</v>
      </c>
      <c r="AL505" s="49">
        <f ca="1">AL452*HM_ZB_Nsoko!CA_NOC_WI</f>
        <v>0</v>
      </c>
      <c r="AM505" s="49">
        <f ca="1">AM452*HM_ZB_Nsoko!CA_NOC_WI</f>
        <v>0</v>
      </c>
      <c r="AN505" s="49">
        <f ca="1">AN452*HM_ZB_Nsoko!CA_NOC_WI</f>
        <v>0</v>
      </c>
      <c r="AO505" s="49">
        <f ca="1">AO452*HM_ZB_Nsoko!CA_NOC_WI</f>
        <v>0</v>
      </c>
      <c r="AP505" s="49">
        <f ca="1">AP452*HM_ZB_Nsoko!CA_NOC_WI</f>
        <v>0</v>
      </c>
      <c r="AQ505" s="49">
        <f ca="1">AQ452*HM_ZB_Nsoko!CA_NOC_WI</f>
        <v>0</v>
      </c>
      <c r="AR505" s="49">
        <f ca="1">AR452*HM_ZB_Nsoko!CA_NOC_WI</f>
        <v>0</v>
      </c>
      <c r="AS505" s="49">
        <f ca="1">AS452*HM_ZB_Nsoko!CA_NOC_WI</f>
        <v>0</v>
      </c>
      <c r="AT505" s="49">
        <f ca="1">AT452*HM_ZB_Nsoko!CA_NOC_WI</f>
        <v>0</v>
      </c>
      <c r="AU505" s="49">
        <f ca="1">AU452*HM_ZB_Nsoko!CA_NOC_WI</f>
        <v>0</v>
      </c>
      <c r="AV505" s="49">
        <f ca="1">AV452*HM_ZB_Nsoko!CA_NOC_WI</f>
        <v>0</v>
      </c>
      <c r="AW505" s="49">
        <f ca="1">AW452*HM_ZB_Nsoko!CA_NOC_WI</f>
        <v>0</v>
      </c>
      <c r="AX505" s="49">
        <f ca="1">AX452*HM_ZB_Nsoko!CA_NOC_WI</f>
        <v>0</v>
      </c>
      <c r="AY505" s="49">
        <f ca="1">AY452*HM_ZB_Nsoko!CA_NOC_WI</f>
        <v>0</v>
      </c>
      <c r="AZ505" s="49">
        <f ca="1">AZ452*HM_ZB_Nsoko!CA_NOC_WI</f>
        <v>0</v>
      </c>
      <c r="BA505" s="49">
        <f ca="1">BA452*HM_ZB_Nsoko!CA_NOC_WI</f>
        <v>0</v>
      </c>
      <c r="BB505" s="49">
        <f ca="1">BB452*HM_ZB_Nsoko!CA_NOC_WI</f>
        <v>0</v>
      </c>
      <c r="BC505" s="49">
        <f ca="1">BC452*HM_ZB_Nsoko!CA_NOC_WI</f>
        <v>0</v>
      </c>
      <c r="BD505" s="49">
        <f ca="1">BD452*HM_ZB_Nsoko!CA_NOC_WI</f>
        <v>0</v>
      </c>
      <c r="BE505" s="49">
        <f ca="1">BE452*HM_ZB_Nsoko!CA_NOC_WI</f>
        <v>0</v>
      </c>
      <c r="BF505" s="49">
        <f ca="1">BF452*HM_ZB_Nsoko!CA_NOC_WI</f>
        <v>0</v>
      </c>
      <c r="BG505" s="49">
        <f ca="1">BG452*HM_ZB_Nsoko!CA_NOC_WI</f>
        <v>0</v>
      </c>
      <c r="BH505" s="49">
        <f ca="1">BH452*HM_ZB_Nsoko!CA_NOC_WI</f>
        <v>0</v>
      </c>
      <c r="BI505" s="49">
        <f ca="1">BI452*HM_ZB_Nsoko!CA_NOC_WI</f>
        <v>0</v>
      </c>
      <c r="BJ505" s="49">
        <f ca="1">BJ452*HM_ZB_Nsoko!CA_NOC_WI</f>
        <v>0</v>
      </c>
      <c r="BK505" s="49">
        <f ca="1">BK452*HM_ZB_Nsoko!CA_NOC_WI</f>
        <v>0</v>
      </c>
      <c r="BL505" s="49">
        <f ca="1">BL452*HM_ZB_Nsoko!CA_NOC_WI</f>
        <v>0</v>
      </c>
      <c r="BM505" s="49">
        <f ca="1">BM452*HM_ZB_Nsoko!CA_NOC_WI</f>
        <v>0</v>
      </c>
      <c r="BN505" s="49">
        <f ca="1">BN452*HM_ZB_Nsoko!CA_NOC_WI</f>
        <v>0</v>
      </c>
      <c r="BO505" s="49">
        <f ca="1">BO452*HM_ZB_Nsoko!CA_NOC_WI</f>
        <v>0</v>
      </c>
      <c r="BP505" s="49">
        <f ca="1">BP452*HM_ZB_Nsoko!CA_NOC_WI</f>
        <v>0</v>
      </c>
      <c r="BQ505" s="49">
        <f ca="1">BQ452*HM_ZB_Nsoko!CA_NOC_WI</f>
        <v>0</v>
      </c>
      <c r="BR505" s="49">
        <f ca="1">BR452*HM_ZB_Nsoko!CA_NOC_WI</f>
        <v>0</v>
      </c>
      <c r="BS505" s="49">
        <f ca="1">BS452*HM_ZB_Nsoko!CA_NOC_WI</f>
        <v>0</v>
      </c>
    </row>
    <row r="506" spans="3:71" outlineLevel="1" x14ac:dyDescent="0.2">
      <c r="J506" s="26"/>
      <c r="L506" s="55"/>
      <c r="M506" s="55"/>
      <c r="N506" s="55"/>
      <c r="O506" s="55"/>
      <c r="P506" s="55"/>
      <c r="Q506" s="55"/>
      <c r="R506" s="55"/>
      <c r="S506" s="55"/>
      <c r="T506" s="55"/>
      <c r="U506" s="55"/>
      <c r="V506" s="55"/>
      <c r="W506" s="55"/>
      <c r="X506" s="55"/>
      <c r="Y506" s="55"/>
      <c r="Z506" s="55"/>
      <c r="AA506" s="55"/>
      <c r="AB506" s="55"/>
      <c r="AC506" s="55"/>
      <c r="AD506" s="55"/>
      <c r="AE506" s="55"/>
      <c r="AF506" s="55"/>
      <c r="AG506" s="55"/>
      <c r="AH506" s="55"/>
      <c r="AI506" s="55"/>
      <c r="AJ506" s="55"/>
      <c r="AK506" s="55"/>
      <c r="AL506" s="55"/>
      <c r="AM506" s="55"/>
      <c r="AN506" s="55"/>
      <c r="AO506" s="55"/>
      <c r="AP506" s="55"/>
      <c r="AQ506" s="55"/>
      <c r="AR506" s="55"/>
      <c r="AS506" s="55"/>
      <c r="AT506" s="55"/>
      <c r="AU506" s="55"/>
      <c r="AV506" s="55"/>
      <c r="AW506" s="55"/>
      <c r="AX506" s="55"/>
      <c r="AY506" s="55"/>
      <c r="AZ506" s="55"/>
      <c r="BA506" s="55"/>
      <c r="BB506" s="55"/>
      <c r="BC506" s="55"/>
      <c r="BD506" s="55"/>
      <c r="BE506" s="55"/>
      <c r="BF506" s="55"/>
      <c r="BG506" s="55"/>
      <c r="BH506" s="55"/>
      <c r="BI506" s="55"/>
      <c r="BJ506" s="55"/>
      <c r="BK506" s="55"/>
      <c r="BL506" s="55"/>
      <c r="BM506" s="55"/>
      <c r="BN506" s="55"/>
      <c r="BO506" s="55"/>
      <c r="BP506" s="55"/>
      <c r="BQ506" s="55"/>
      <c r="BR506" s="55"/>
      <c r="BS506" s="55"/>
    </row>
    <row r="507" spans="3:71" outlineLevel="1" x14ac:dyDescent="0.2">
      <c r="C507" s="11" t="str">
        <f>HM_ZA_Nkossa!C496</f>
        <v>Capex hors abandon</v>
      </c>
      <c r="I507" s="30">
        <f t="shared" ca="1" si="139"/>
        <v>0</v>
      </c>
      <c r="J507" s="26" t="s">
        <v>148</v>
      </c>
      <c r="L507" s="49">
        <f ca="1">L454*(HM_ZB_Nsoko!CA_NOC_WI)-(HM_ZB_Nsoko!CA_NOC_CI_devex+HM_ZB_Nsoko!CA_NOC_CI_expex)</f>
        <v>0</v>
      </c>
      <c r="M507" s="49">
        <f ca="1">M454*(HM_ZB_Nsoko!CA_NOC_WI)-(HM_ZB_Nsoko!CA_NOC_CI_devex+HM_ZB_Nsoko!CA_NOC_CI_expex)</f>
        <v>0</v>
      </c>
      <c r="N507" s="49">
        <f ca="1">N454*(HM_ZB_Nsoko!CA_NOC_WI)-(HM_ZB_Nsoko!CA_NOC_CI_devex+HM_ZB_Nsoko!CA_NOC_CI_expex)</f>
        <v>0</v>
      </c>
      <c r="O507" s="49">
        <f ca="1">O454*(HM_ZB_Nsoko!CA_NOC_WI)-(HM_ZB_Nsoko!CA_NOC_CI_devex+HM_ZB_Nsoko!CA_NOC_CI_expex)</f>
        <v>0</v>
      </c>
      <c r="P507" s="49">
        <f ca="1">P454*(HM_ZB_Nsoko!CA_NOC_WI)-(HM_ZB_Nsoko!CA_NOC_CI_devex+HM_ZB_Nsoko!CA_NOC_CI_expex)</f>
        <v>0</v>
      </c>
      <c r="Q507" s="49">
        <f ca="1">Q454*(HM_ZB_Nsoko!CA_NOC_WI)-(HM_ZB_Nsoko!CA_NOC_CI_devex+HM_ZB_Nsoko!CA_NOC_CI_expex)</f>
        <v>0</v>
      </c>
      <c r="R507" s="49">
        <f ca="1">R454*(HM_ZB_Nsoko!CA_NOC_WI)-(HM_ZB_Nsoko!CA_NOC_CI_devex+HM_ZB_Nsoko!CA_NOC_CI_expex)</f>
        <v>0</v>
      </c>
      <c r="S507" s="49">
        <f ca="1">S454*(HM_ZB_Nsoko!CA_NOC_WI)-(HM_ZB_Nsoko!CA_NOC_CI_devex+HM_ZB_Nsoko!CA_NOC_CI_expex)</f>
        <v>0</v>
      </c>
      <c r="T507" s="49">
        <f ca="1">T454*(HM_ZB_Nsoko!CA_NOC_WI)-(HM_ZB_Nsoko!CA_NOC_CI_devex+HM_ZB_Nsoko!CA_NOC_CI_expex)</f>
        <v>0</v>
      </c>
      <c r="U507" s="49">
        <f ca="1">U454*(HM_ZB_Nsoko!CA_NOC_WI)-(HM_ZB_Nsoko!CA_NOC_CI_devex+HM_ZB_Nsoko!CA_NOC_CI_expex)</f>
        <v>0</v>
      </c>
      <c r="V507" s="49">
        <f ca="1">V454*(HM_ZB_Nsoko!CA_NOC_WI)-(HM_ZB_Nsoko!CA_NOC_CI_devex+HM_ZB_Nsoko!CA_NOC_CI_expex)</f>
        <v>0</v>
      </c>
      <c r="W507" s="49">
        <f ca="1">W454*(HM_ZB_Nsoko!CA_NOC_WI)-(HM_ZB_Nsoko!CA_NOC_CI_devex+HM_ZB_Nsoko!CA_NOC_CI_expex)</f>
        <v>0</v>
      </c>
      <c r="X507" s="49">
        <f ca="1">X454*(HM_ZB_Nsoko!CA_NOC_WI)-(HM_ZB_Nsoko!CA_NOC_CI_devex+HM_ZB_Nsoko!CA_NOC_CI_expex)</f>
        <v>0</v>
      </c>
      <c r="Y507" s="49">
        <f ca="1">Y454*(HM_ZB_Nsoko!CA_NOC_WI)-(HM_ZB_Nsoko!CA_NOC_CI_devex+HM_ZB_Nsoko!CA_NOC_CI_expex)</f>
        <v>0</v>
      </c>
      <c r="Z507" s="49">
        <f ca="1">Z454*(HM_ZB_Nsoko!CA_NOC_WI)-(HM_ZB_Nsoko!CA_NOC_CI_devex+HM_ZB_Nsoko!CA_NOC_CI_expex)</f>
        <v>0</v>
      </c>
      <c r="AA507" s="49">
        <f ca="1">AA454*(HM_ZB_Nsoko!CA_NOC_WI)-(HM_ZB_Nsoko!CA_NOC_CI_devex+HM_ZB_Nsoko!CA_NOC_CI_expex)</f>
        <v>0</v>
      </c>
      <c r="AB507" s="49">
        <f ca="1">AB454*(HM_ZB_Nsoko!CA_NOC_WI)-(HM_ZB_Nsoko!CA_NOC_CI_devex+HM_ZB_Nsoko!CA_NOC_CI_expex)</f>
        <v>0</v>
      </c>
      <c r="AC507" s="49">
        <f ca="1">AC454*(HM_ZB_Nsoko!CA_NOC_WI)-(HM_ZB_Nsoko!CA_NOC_CI_devex+HM_ZB_Nsoko!CA_NOC_CI_expex)</f>
        <v>0</v>
      </c>
      <c r="AD507" s="49">
        <f ca="1">AD454*(HM_ZB_Nsoko!CA_NOC_WI)-(HM_ZB_Nsoko!CA_NOC_CI_devex+HM_ZB_Nsoko!CA_NOC_CI_expex)</f>
        <v>0</v>
      </c>
      <c r="AE507" s="49">
        <f ca="1">AE454*(HM_ZB_Nsoko!CA_NOC_WI)-(HM_ZB_Nsoko!CA_NOC_CI_devex+HM_ZB_Nsoko!CA_NOC_CI_expex)</f>
        <v>0</v>
      </c>
      <c r="AF507" s="49">
        <f ca="1">AF454*(HM_ZB_Nsoko!CA_NOC_WI)-(HM_ZB_Nsoko!CA_NOC_CI_devex+HM_ZB_Nsoko!CA_NOC_CI_expex)</f>
        <v>0</v>
      </c>
      <c r="AG507" s="49">
        <f ca="1">AG454*(HM_ZB_Nsoko!CA_NOC_WI)-(HM_ZB_Nsoko!CA_NOC_CI_devex+HM_ZB_Nsoko!CA_NOC_CI_expex)</f>
        <v>0</v>
      </c>
      <c r="AH507" s="49">
        <f ca="1">AH454*(HM_ZB_Nsoko!CA_NOC_WI)-(HM_ZB_Nsoko!CA_NOC_CI_devex+HM_ZB_Nsoko!CA_NOC_CI_expex)</f>
        <v>0</v>
      </c>
      <c r="AI507" s="49">
        <f ca="1">AI454*(HM_ZB_Nsoko!CA_NOC_WI)-(HM_ZB_Nsoko!CA_NOC_CI_devex+HM_ZB_Nsoko!CA_NOC_CI_expex)</f>
        <v>0</v>
      </c>
      <c r="AJ507" s="49">
        <f ca="1">AJ454*(HM_ZB_Nsoko!CA_NOC_WI)-(HM_ZB_Nsoko!CA_NOC_CI_devex+HM_ZB_Nsoko!CA_NOC_CI_expex)</f>
        <v>0</v>
      </c>
      <c r="AK507" s="49">
        <f ca="1">AK454*(HM_ZB_Nsoko!CA_NOC_WI)-(HM_ZB_Nsoko!CA_NOC_CI_devex+HM_ZB_Nsoko!CA_NOC_CI_expex)</f>
        <v>0</v>
      </c>
      <c r="AL507" s="49">
        <f ca="1">AL454*(HM_ZB_Nsoko!CA_NOC_WI)-(HM_ZB_Nsoko!CA_NOC_CI_devex+HM_ZB_Nsoko!CA_NOC_CI_expex)</f>
        <v>0</v>
      </c>
      <c r="AM507" s="49">
        <f ca="1">AM454*(HM_ZB_Nsoko!CA_NOC_WI)-(HM_ZB_Nsoko!CA_NOC_CI_devex+HM_ZB_Nsoko!CA_NOC_CI_expex)</f>
        <v>0</v>
      </c>
      <c r="AN507" s="49">
        <f ca="1">AN454*(HM_ZB_Nsoko!CA_NOC_WI)-(HM_ZB_Nsoko!CA_NOC_CI_devex+HM_ZB_Nsoko!CA_NOC_CI_expex)</f>
        <v>0</v>
      </c>
      <c r="AO507" s="49">
        <f ca="1">AO454*(HM_ZB_Nsoko!CA_NOC_WI)-(HM_ZB_Nsoko!CA_NOC_CI_devex+HM_ZB_Nsoko!CA_NOC_CI_expex)</f>
        <v>0</v>
      </c>
      <c r="AP507" s="49">
        <f ca="1">AP454*(HM_ZB_Nsoko!CA_NOC_WI)-(HM_ZB_Nsoko!CA_NOC_CI_devex+HM_ZB_Nsoko!CA_NOC_CI_expex)</f>
        <v>0</v>
      </c>
      <c r="AQ507" s="49">
        <f ca="1">AQ454*(HM_ZB_Nsoko!CA_NOC_WI)-(HM_ZB_Nsoko!CA_NOC_CI_devex+HM_ZB_Nsoko!CA_NOC_CI_expex)</f>
        <v>0</v>
      </c>
      <c r="AR507" s="49">
        <f ca="1">AR454*(HM_ZB_Nsoko!CA_NOC_WI)-(HM_ZB_Nsoko!CA_NOC_CI_devex+HM_ZB_Nsoko!CA_NOC_CI_expex)</f>
        <v>0</v>
      </c>
      <c r="AS507" s="49">
        <f ca="1">AS454*(HM_ZB_Nsoko!CA_NOC_WI)-(HM_ZB_Nsoko!CA_NOC_CI_devex+HM_ZB_Nsoko!CA_NOC_CI_expex)</f>
        <v>0</v>
      </c>
      <c r="AT507" s="49">
        <f ca="1">AT454*(HM_ZB_Nsoko!CA_NOC_WI)-(HM_ZB_Nsoko!CA_NOC_CI_devex+HM_ZB_Nsoko!CA_NOC_CI_expex)</f>
        <v>0</v>
      </c>
      <c r="AU507" s="49">
        <f ca="1">AU454*(HM_ZB_Nsoko!CA_NOC_WI)-(HM_ZB_Nsoko!CA_NOC_CI_devex+HM_ZB_Nsoko!CA_NOC_CI_expex)</f>
        <v>0</v>
      </c>
      <c r="AV507" s="49">
        <f ca="1">AV454*(HM_ZB_Nsoko!CA_NOC_WI)-(HM_ZB_Nsoko!CA_NOC_CI_devex+HM_ZB_Nsoko!CA_NOC_CI_expex)</f>
        <v>0</v>
      </c>
      <c r="AW507" s="49">
        <f ca="1">AW454*(HM_ZB_Nsoko!CA_NOC_WI)-(HM_ZB_Nsoko!CA_NOC_CI_devex+HM_ZB_Nsoko!CA_NOC_CI_expex)</f>
        <v>0</v>
      </c>
      <c r="AX507" s="49">
        <f ca="1">AX454*(HM_ZB_Nsoko!CA_NOC_WI)-(HM_ZB_Nsoko!CA_NOC_CI_devex+HM_ZB_Nsoko!CA_NOC_CI_expex)</f>
        <v>0</v>
      </c>
      <c r="AY507" s="49">
        <f ca="1">AY454*(HM_ZB_Nsoko!CA_NOC_WI)-(HM_ZB_Nsoko!CA_NOC_CI_devex+HM_ZB_Nsoko!CA_NOC_CI_expex)</f>
        <v>0</v>
      </c>
      <c r="AZ507" s="49">
        <f ca="1">AZ454*(HM_ZB_Nsoko!CA_NOC_WI)-(HM_ZB_Nsoko!CA_NOC_CI_devex+HM_ZB_Nsoko!CA_NOC_CI_expex)</f>
        <v>0</v>
      </c>
      <c r="BA507" s="49">
        <f ca="1">BA454*(HM_ZB_Nsoko!CA_NOC_WI)-(HM_ZB_Nsoko!CA_NOC_CI_devex+HM_ZB_Nsoko!CA_NOC_CI_expex)</f>
        <v>0</v>
      </c>
      <c r="BB507" s="49">
        <f ca="1">BB454*(HM_ZB_Nsoko!CA_NOC_WI)-(HM_ZB_Nsoko!CA_NOC_CI_devex+HM_ZB_Nsoko!CA_NOC_CI_expex)</f>
        <v>0</v>
      </c>
      <c r="BC507" s="49">
        <f ca="1">BC454*(HM_ZB_Nsoko!CA_NOC_WI)-(HM_ZB_Nsoko!CA_NOC_CI_devex+HM_ZB_Nsoko!CA_NOC_CI_expex)</f>
        <v>0</v>
      </c>
      <c r="BD507" s="49">
        <f ca="1">BD454*(HM_ZB_Nsoko!CA_NOC_WI)-(HM_ZB_Nsoko!CA_NOC_CI_devex+HM_ZB_Nsoko!CA_NOC_CI_expex)</f>
        <v>0</v>
      </c>
      <c r="BE507" s="49">
        <f ca="1">BE454*(HM_ZB_Nsoko!CA_NOC_WI)-(HM_ZB_Nsoko!CA_NOC_CI_devex+HM_ZB_Nsoko!CA_NOC_CI_expex)</f>
        <v>0</v>
      </c>
      <c r="BF507" s="49">
        <f ca="1">BF454*(HM_ZB_Nsoko!CA_NOC_WI)-(HM_ZB_Nsoko!CA_NOC_CI_devex+HM_ZB_Nsoko!CA_NOC_CI_expex)</f>
        <v>0</v>
      </c>
      <c r="BG507" s="49">
        <f ca="1">BG454*(HM_ZB_Nsoko!CA_NOC_WI)-(HM_ZB_Nsoko!CA_NOC_CI_devex+HM_ZB_Nsoko!CA_NOC_CI_expex)</f>
        <v>0</v>
      </c>
      <c r="BH507" s="49">
        <f ca="1">BH454*(HM_ZB_Nsoko!CA_NOC_WI)-(HM_ZB_Nsoko!CA_NOC_CI_devex+HM_ZB_Nsoko!CA_NOC_CI_expex)</f>
        <v>0</v>
      </c>
      <c r="BI507" s="49">
        <f ca="1">BI454*(HM_ZB_Nsoko!CA_NOC_WI)-(HM_ZB_Nsoko!CA_NOC_CI_devex+HM_ZB_Nsoko!CA_NOC_CI_expex)</f>
        <v>0</v>
      </c>
      <c r="BJ507" s="49">
        <f ca="1">BJ454*(HM_ZB_Nsoko!CA_NOC_WI)-(HM_ZB_Nsoko!CA_NOC_CI_devex+HM_ZB_Nsoko!CA_NOC_CI_expex)</f>
        <v>0</v>
      </c>
      <c r="BK507" s="49">
        <f ca="1">BK454*(HM_ZB_Nsoko!CA_NOC_WI)-(HM_ZB_Nsoko!CA_NOC_CI_devex+HM_ZB_Nsoko!CA_NOC_CI_expex)</f>
        <v>0</v>
      </c>
      <c r="BL507" s="49">
        <f ca="1">BL454*(HM_ZB_Nsoko!CA_NOC_WI)-(HM_ZB_Nsoko!CA_NOC_CI_devex+HM_ZB_Nsoko!CA_NOC_CI_expex)</f>
        <v>0</v>
      </c>
      <c r="BM507" s="49">
        <f ca="1">BM454*(HM_ZB_Nsoko!CA_NOC_WI)-(HM_ZB_Nsoko!CA_NOC_CI_devex+HM_ZB_Nsoko!CA_NOC_CI_expex)</f>
        <v>0</v>
      </c>
      <c r="BN507" s="49">
        <f ca="1">BN454*(HM_ZB_Nsoko!CA_NOC_WI)-(HM_ZB_Nsoko!CA_NOC_CI_devex+HM_ZB_Nsoko!CA_NOC_CI_expex)</f>
        <v>0</v>
      </c>
      <c r="BO507" s="49">
        <f ca="1">BO454*(HM_ZB_Nsoko!CA_NOC_WI)-(HM_ZB_Nsoko!CA_NOC_CI_devex+HM_ZB_Nsoko!CA_NOC_CI_expex)</f>
        <v>0</v>
      </c>
      <c r="BP507" s="49">
        <f ca="1">BP454*(HM_ZB_Nsoko!CA_NOC_WI)-(HM_ZB_Nsoko!CA_NOC_CI_devex+HM_ZB_Nsoko!CA_NOC_CI_expex)</f>
        <v>0</v>
      </c>
      <c r="BQ507" s="49">
        <f ca="1">BQ454*(HM_ZB_Nsoko!CA_NOC_WI)-(HM_ZB_Nsoko!CA_NOC_CI_devex+HM_ZB_Nsoko!CA_NOC_CI_expex)</f>
        <v>0</v>
      </c>
      <c r="BR507" s="49">
        <f ca="1">BR454*(HM_ZB_Nsoko!CA_NOC_WI)-(HM_ZB_Nsoko!CA_NOC_CI_devex+HM_ZB_Nsoko!CA_NOC_CI_expex)</f>
        <v>0</v>
      </c>
      <c r="BS507" s="49">
        <f ca="1">BS454*(HM_ZB_Nsoko!CA_NOC_WI)-(HM_ZB_Nsoko!CA_NOC_CI_devex+HM_ZB_Nsoko!CA_NOC_CI_expex)</f>
        <v>0</v>
      </c>
    </row>
    <row r="508" spans="3:71" outlineLevel="1" x14ac:dyDescent="0.2">
      <c r="J508" s="26"/>
      <c r="L508" s="55"/>
      <c r="M508" s="55"/>
      <c r="N508" s="55"/>
      <c r="O508" s="55"/>
      <c r="P508" s="55"/>
      <c r="Q508" s="55"/>
      <c r="R508" s="55"/>
      <c r="S508" s="55"/>
      <c r="T508" s="55"/>
      <c r="U508" s="55"/>
      <c r="V508" s="55"/>
      <c r="W508" s="55"/>
      <c r="X508" s="55"/>
      <c r="Y508" s="55"/>
      <c r="Z508" s="55"/>
      <c r="AA508" s="55"/>
      <c r="AB508" s="55"/>
      <c r="AC508" s="55"/>
      <c r="AD508" s="55"/>
      <c r="AE508" s="55"/>
      <c r="AF508" s="55"/>
      <c r="AG508" s="55"/>
      <c r="AH508" s="55"/>
      <c r="AI508" s="55"/>
      <c r="AJ508" s="55"/>
      <c r="AK508" s="55"/>
      <c r="AL508" s="55"/>
      <c r="AM508" s="55"/>
      <c r="AN508" s="55"/>
      <c r="AO508" s="55"/>
      <c r="AP508" s="55"/>
      <c r="AQ508" s="55"/>
      <c r="AR508" s="55"/>
      <c r="AS508" s="55"/>
      <c r="AT508" s="55"/>
      <c r="AU508" s="55"/>
      <c r="AV508" s="55"/>
      <c r="AW508" s="55"/>
      <c r="AX508" s="55"/>
      <c r="AY508" s="55"/>
      <c r="AZ508" s="55"/>
      <c r="BA508" s="55"/>
      <c r="BB508" s="55"/>
      <c r="BC508" s="55"/>
      <c r="BD508" s="55"/>
      <c r="BE508" s="55"/>
      <c r="BF508" s="55"/>
      <c r="BG508" s="55"/>
      <c r="BH508" s="55"/>
      <c r="BI508" s="55"/>
      <c r="BJ508" s="55"/>
      <c r="BK508" s="55"/>
      <c r="BL508" s="55"/>
      <c r="BM508" s="55"/>
      <c r="BN508" s="55"/>
      <c r="BO508" s="55"/>
      <c r="BP508" s="55"/>
      <c r="BQ508" s="55"/>
      <c r="BR508" s="55"/>
      <c r="BS508" s="55"/>
    </row>
    <row r="509" spans="3:71" outlineLevel="1" x14ac:dyDescent="0.2">
      <c r="C509" s="11" t="str">
        <f>HM_ZA_Nkossa!C498</f>
        <v>Abandon</v>
      </c>
      <c r="I509" s="30">
        <f t="shared" ca="1" si="139"/>
        <v>5.6854499999999994</v>
      </c>
      <c r="J509" s="26" t="s">
        <v>148</v>
      </c>
      <c r="L509" s="49">
        <f ca="1">L456*HM_ZB_Nsoko!CA_NOC_WI</f>
        <v>0.62204999999999999</v>
      </c>
      <c r="M509" s="49">
        <f ca="1">M456*HM_ZB_Nsoko!CA_NOC_WI</f>
        <v>0.70784999999999998</v>
      </c>
      <c r="N509" s="49">
        <f ca="1">N456*HM_ZB_Nsoko!CA_NOC_WI</f>
        <v>0.97665000000000002</v>
      </c>
      <c r="O509" s="49">
        <f ca="1">O456*HM_ZB_Nsoko!CA_NOC_WI</f>
        <v>1.0645500000000001</v>
      </c>
      <c r="P509" s="49">
        <f ca="1">P456*HM_ZB_Nsoko!CA_NOC_WI</f>
        <v>1.1276999999999999</v>
      </c>
      <c r="Q509" s="49">
        <f ca="1">Q456*HM_ZB_Nsoko!CA_NOC_WI</f>
        <v>1.18665</v>
      </c>
      <c r="R509" s="49">
        <f ca="1">R456*HM_ZB_Nsoko!CA_NOC_WI</f>
        <v>0</v>
      </c>
      <c r="S509" s="49">
        <f ca="1">S456*HM_ZB_Nsoko!CA_NOC_WI</f>
        <v>0</v>
      </c>
      <c r="T509" s="49">
        <f ca="1">T456*HM_ZB_Nsoko!CA_NOC_WI</f>
        <v>0</v>
      </c>
      <c r="U509" s="49">
        <f ca="1">U456*HM_ZB_Nsoko!CA_NOC_WI</f>
        <v>0</v>
      </c>
      <c r="V509" s="49">
        <f ca="1">V456*HM_ZB_Nsoko!CA_NOC_WI</f>
        <v>0</v>
      </c>
      <c r="W509" s="49">
        <f ca="1">W456*HM_ZB_Nsoko!CA_NOC_WI</f>
        <v>0</v>
      </c>
      <c r="X509" s="49">
        <f ca="1">X456*HM_ZB_Nsoko!CA_NOC_WI</f>
        <v>0</v>
      </c>
      <c r="Y509" s="49">
        <f ca="1">Y456*HM_ZB_Nsoko!CA_NOC_WI</f>
        <v>0</v>
      </c>
      <c r="Z509" s="49">
        <f ca="1">Z456*HM_ZB_Nsoko!CA_NOC_WI</f>
        <v>0</v>
      </c>
      <c r="AA509" s="49">
        <f ca="1">AA456*HM_ZB_Nsoko!CA_NOC_WI</f>
        <v>0</v>
      </c>
      <c r="AB509" s="49">
        <f ca="1">AB456*HM_ZB_Nsoko!CA_NOC_WI</f>
        <v>0</v>
      </c>
      <c r="AC509" s="49">
        <f ca="1">AC456*HM_ZB_Nsoko!CA_NOC_WI</f>
        <v>0</v>
      </c>
      <c r="AD509" s="49">
        <f ca="1">AD456*HM_ZB_Nsoko!CA_NOC_WI</f>
        <v>0</v>
      </c>
      <c r="AE509" s="49">
        <f ca="1">AE456*HM_ZB_Nsoko!CA_NOC_WI</f>
        <v>0</v>
      </c>
      <c r="AF509" s="49">
        <f ca="1">AF456*HM_ZB_Nsoko!CA_NOC_WI</f>
        <v>0</v>
      </c>
      <c r="AG509" s="49">
        <f ca="1">AG456*HM_ZB_Nsoko!CA_NOC_WI</f>
        <v>0</v>
      </c>
      <c r="AH509" s="49">
        <f ca="1">AH456*HM_ZB_Nsoko!CA_NOC_WI</f>
        <v>0</v>
      </c>
      <c r="AI509" s="49">
        <f ca="1">AI456*HM_ZB_Nsoko!CA_NOC_WI</f>
        <v>0</v>
      </c>
      <c r="AJ509" s="49">
        <f ca="1">AJ456*HM_ZB_Nsoko!CA_NOC_WI</f>
        <v>0</v>
      </c>
      <c r="AK509" s="49">
        <f ca="1">AK456*HM_ZB_Nsoko!CA_NOC_WI</f>
        <v>0</v>
      </c>
      <c r="AL509" s="49">
        <f ca="1">AL456*HM_ZB_Nsoko!CA_NOC_WI</f>
        <v>0</v>
      </c>
      <c r="AM509" s="49">
        <f ca="1">AM456*HM_ZB_Nsoko!CA_NOC_WI</f>
        <v>0</v>
      </c>
      <c r="AN509" s="49">
        <f ca="1">AN456*HM_ZB_Nsoko!CA_NOC_WI</f>
        <v>0</v>
      </c>
      <c r="AO509" s="49">
        <f ca="1">AO456*HM_ZB_Nsoko!CA_NOC_WI</f>
        <v>0</v>
      </c>
      <c r="AP509" s="49">
        <f ca="1">AP456*HM_ZB_Nsoko!CA_NOC_WI</f>
        <v>0</v>
      </c>
      <c r="AQ509" s="49">
        <f ca="1">AQ456*HM_ZB_Nsoko!CA_NOC_WI</f>
        <v>0</v>
      </c>
      <c r="AR509" s="49">
        <f ca="1">AR456*HM_ZB_Nsoko!CA_NOC_WI</f>
        <v>0</v>
      </c>
      <c r="AS509" s="49">
        <f ca="1">AS456*HM_ZB_Nsoko!CA_NOC_WI</f>
        <v>0</v>
      </c>
      <c r="AT509" s="49">
        <f ca="1">AT456*HM_ZB_Nsoko!CA_NOC_WI</f>
        <v>0</v>
      </c>
      <c r="AU509" s="49">
        <f ca="1">AU456*HM_ZB_Nsoko!CA_NOC_WI</f>
        <v>0</v>
      </c>
      <c r="AV509" s="49">
        <f ca="1">AV456*HM_ZB_Nsoko!CA_NOC_WI</f>
        <v>0</v>
      </c>
      <c r="AW509" s="49">
        <f ca="1">AW456*HM_ZB_Nsoko!CA_NOC_WI</f>
        <v>0</v>
      </c>
      <c r="AX509" s="49">
        <f ca="1">AX456*HM_ZB_Nsoko!CA_NOC_WI</f>
        <v>0</v>
      </c>
      <c r="AY509" s="49">
        <f ca="1">AY456*HM_ZB_Nsoko!CA_NOC_WI</f>
        <v>0</v>
      </c>
      <c r="AZ509" s="49">
        <f ca="1">AZ456*HM_ZB_Nsoko!CA_NOC_WI</f>
        <v>0</v>
      </c>
      <c r="BA509" s="49">
        <f ca="1">BA456*HM_ZB_Nsoko!CA_NOC_WI</f>
        <v>0</v>
      </c>
      <c r="BB509" s="49">
        <f ca="1">BB456*HM_ZB_Nsoko!CA_NOC_WI</f>
        <v>0</v>
      </c>
      <c r="BC509" s="49">
        <f ca="1">BC456*HM_ZB_Nsoko!CA_NOC_WI</f>
        <v>0</v>
      </c>
      <c r="BD509" s="49">
        <f ca="1">BD456*HM_ZB_Nsoko!CA_NOC_WI</f>
        <v>0</v>
      </c>
      <c r="BE509" s="49">
        <f ca="1">BE456*HM_ZB_Nsoko!CA_NOC_WI</f>
        <v>0</v>
      </c>
      <c r="BF509" s="49">
        <f ca="1">BF456*HM_ZB_Nsoko!CA_NOC_WI</f>
        <v>0</v>
      </c>
      <c r="BG509" s="49">
        <f ca="1">BG456*HM_ZB_Nsoko!CA_NOC_WI</f>
        <v>0</v>
      </c>
      <c r="BH509" s="49">
        <f ca="1">BH456*HM_ZB_Nsoko!CA_NOC_WI</f>
        <v>0</v>
      </c>
      <c r="BI509" s="49">
        <f ca="1">BI456*HM_ZB_Nsoko!CA_NOC_WI</f>
        <v>0</v>
      </c>
      <c r="BJ509" s="49">
        <f ca="1">BJ456*HM_ZB_Nsoko!CA_NOC_WI</f>
        <v>0</v>
      </c>
      <c r="BK509" s="49">
        <f ca="1">BK456*HM_ZB_Nsoko!CA_NOC_WI</f>
        <v>0</v>
      </c>
      <c r="BL509" s="49">
        <f ca="1">BL456*HM_ZB_Nsoko!CA_NOC_WI</f>
        <v>0</v>
      </c>
      <c r="BM509" s="49">
        <f ca="1">BM456*HM_ZB_Nsoko!CA_NOC_WI</f>
        <v>0</v>
      </c>
      <c r="BN509" s="49">
        <f ca="1">BN456*HM_ZB_Nsoko!CA_NOC_WI</f>
        <v>0</v>
      </c>
      <c r="BO509" s="49">
        <f ca="1">BO456*HM_ZB_Nsoko!CA_NOC_WI</f>
        <v>0</v>
      </c>
      <c r="BP509" s="49">
        <f ca="1">BP456*HM_ZB_Nsoko!CA_NOC_WI</f>
        <v>0</v>
      </c>
      <c r="BQ509" s="49">
        <f ca="1">BQ456*HM_ZB_Nsoko!CA_NOC_WI</f>
        <v>0</v>
      </c>
      <c r="BR509" s="49">
        <f ca="1">BR456*HM_ZB_Nsoko!CA_NOC_WI</f>
        <v>0</v>
      </c>
      <c r="BS509" s="49">
        <f ca="1">BS456*HM_ZB_Nsoko!CA_NOC_WI</f>
        <v>0</v>
      </c>
    </row>
    <row r="510" spans="3:71" outlineLevel="1" x14ac:dyDescent="0.2">
      <c r="J510" s="26"/>
      <c r="L510" s="55"/>
      <c r="M510" s="55"/>
      <c r="N510" s="55"/>
      <c r="O510" s="55"/>
      <c r="P510" s="55"/>
      <c r="Q510" s="55"/>
      <c r="R510" s="55"/>
      <c r="S510" s="55"/>
      <c r="T510" s="55"/>
      <c r="U510" s="55"/>
      <c r="V510" s="55"/>
      <c r="W510" s="55"/>
      <c r="X510" s="55"/>
      <c r="Y510" s="55"/>
      <c r="Z510" s="55"/>
      <c r="AA510" s="55"/>
      <c r="AB510" s="55"/>
      <c r="AC510" s="55"/>
      <c r="AD510" s="55"/>
      <c r="AE510" s="55"/>
      <c r="AF510" s="55"/>
      <c r="AG510" s="55"/>
      <c r="AH510" s="55"/>
      <c r="AI510" s="55"/>
      <c r="AJ510" s="55"/>
      <c r="AK510" s="55"/>
      <c r="AL510" s="55"/>
      <c r="AM510" s="55"/>
      <c r="AN510" s="55"/>
      <c r="AO510" s="55"/>
      <c r="AP510" s="55"/>
      <c r="AQ510" s="55"/>
      <c r="AR510" s="55"/>
      <c r="AS510" s="55"/>
      <c r="AT510" s="55"/>
      <c r="AU510" s="55"/>
      <c r="AV510" s="55"/>
      <c r="AW510" s="55"/>
      <c r="AX510" s="55"/>
      <c r="AY510" s="55"/>
      <c r="AZ510" s="55"/>
      <c r="BA510" s="55"/>
      <c r="BB510" s="55"/>
      <c r="BC510" s="55"/>
      <c r="BD510" s="55"/>
      <c r="BE510" s="55"/>
      <c r="BF510" s="55"/>
      <c r="BG510" s="55"/>
      <c r="BH510" s="55"/>
      <c r="BI510" s="55"/>
      <c r="BJ510" s="55"/>
      <c r="BK510" s="55"/>
      <c r="BL510" s="55"/>
      <c r="BM510" s="55"/>
      <c r="BN510" s="55"/>
      <c r="BO510" s="55"/>
      <c r="BP510" s="55"/>
      <c r="BQ510" s="55"/>
      <c r="BR510" s="55"/>
      <c r="BS510" s="55"/>
    </row>
    <row r="511" spans="3:71" outlineLevel="1" x14ac:dyDescent="0.2">
      <c r="C511" s="11" t="str">
        <f>HM_ZA_Nkossa!C500</f>
        <v>Impôt sur le revenu</v>
      </c>
      <c r="I511" s="30">
        <f t="shared" ca="1" si="139"/>
        <v>0</v>
      </c>
      <c r="J511" s="26" t="s">
        <v>148</v>
      </c>
      <c r="L511" s="49">
        <f ca="1">L458*HM_ZB_Nsoko!CA_NOC_WI</f>
        <v>0</v>
      </c>
      <c r="M511" s="49">
        <f ca="1">M458*HM_ZB_Nsoko!CA_NOC_WI</f>
        <v>0</v>
      </c>
      <c r="N511" s="49">
        <f ca="1">N458*HM_ZB_Nsoko!CA_NOC_WI</f>
        <v>0</v>
      </c>
      <c r="O511" s="49">
        <f ca="1">O458*HM_ZB_Nsoko!CA_NOC_WI</f>
        <v>0</v>
      </c>
      <c r="P511" s="49">
        <f ca="1">P458*HM_ZB_Nsoko!CA_NOC_WI</f>
        <v>0</v>
      </c>
      <c r="Q511" s="49">
        <f ca="1">Q458*HM_ZB_Nsoko!CA_NOC_WI</f>
        <v>0</v>
      </c>
      <c r="R511" s="49">
        <f ca="1">R458*HM_ZB_Nsoko!CA_NOC_WI</f>
        <v>0</v>
      </c>
      <c r="S511" s="49">
        <f ca="1">S458*HM_ZB_Nsoko!CA_NOC_WI</f>
        <v>0</v>
      </c>
      <c r="T511" s="49">
        <f ca="1">T458*HM_ZB_Nsoko!CA_NOC_WI</f>
        <v>0</v>
      </c>
      <c r="U511" s="49">
        <f ca="1">U458*HM_ZB_Nsoko!CA_NOC_WI</f>
        <v>0</v>
      </c>
      <c r="V511" s="49">
        <f ca="1">V458*HM_ZB_Nsoko!CA_NOC_WI</f>
        <v>0</v>
      </c>
      <c r="W511" s="49">
        <f ca="1">W458*HM_ZB_Nsoko!CA_NOC_WI</f>
        <v>0</v>
      </c>
      <c r="X511" s="49">
        <f ca="1">X458*HM_ZB_Nsoko!CA_NOC_WI</f>
        <v>0</v>
      </c>
      <c r="Y511" s="49">
        <f ca="1">Y458*HM_ZB_Nsoko!CA_NOC_WI</f>
        <v>0</v>
      </c>
      <c r="Z511" s="49">
        <f ca="1">Z458*HM_ZB_Nsoko!CA_NOC_WI</f>
        <v>0</v>
      </c>
      <c r="AA511" s="49">
        <f ca="1">AA458*HM_ZB_Nsoko!CA_NOC_WI</f>
        <v>0</v>
      </c>
      <c r="AB511" s="49">
        <f ca="1">AB458*HM_ZB_Nsoko!CA_NOC_WI</f>
        <v>0</v>
      </c>
      <c r="AC511" s="49">
        <f ca="1">AC458*HM_ZB_Nsoko!CA_NOC_WI</f>
        <v>0</v>
      </c>
      <c r="AD511" s="49">
        <f ca="1">AD458*HM_ZB_Nsoko!CA_NOC_WI</f>
        <v>0</v>
      </c>
      <c r="AE511" s="49">
        <f ca="1">AE458*HM_ZB_Nsoko!CA_NOC_WI</f>
        <v>0</v>
      </c>
      <c r="AF511" s="49">
        <f ca="1">AF458*HM_ZB_Nsoko!CA_NOC_WI</f>
        <v>0</v>
      </c>
      <c r="AG511" s="49">
        <f ca="1">AG458*HM_ZB_Nsoko!CA_NOC_WI</f>
        <v>0</v>
      </c>
      <c r="AH511" s="49">
        <f ca="1">AH458*HM_ZB_Nsoko!CA_NOC_WI</f>
        <v>0</v>
      </c>
      <c r="AI511" s="49">
        <f ca="1">AI458*HM_ZB_Nsoko!CA_NOC_WI</f>
        <v>0</v>
      </c>
      <c r="AJ511" s="49">
        <f ca="1">AJ458*HM_ZB_Nsoko!CA_NOC_WI</f>
        <v>0</v>
      </c>
      <c r="AK511" s="49">
        <f ca="1">AK458*HM_ZB_Nsoko!CA_NOC_WI</f>
        <v>0</v>
      </c>
      <c r="AL511" s="49">
        <f ca="1">AL458*HM_ZB_Nsoko!CA_NOC_WI</f>
        <v>0</v>
      </c>
      <c r="AM511" s="49">
        <f ca="1">AM458*HM_ZB_Nsoko!CA_NOC_WI</f>
        <v>0</v>
      </c>
      <c r="AN511" s="49">
        <f ca="1">AN458*HM_ZB_Nsoko!CA_NOC_WI</f>
        <v>0</v>
      </c>
      <c r="AO511" s="49">
        <f ca="1">AO458*HM_ZB_Nsoko!CA_NOC_WI</f>
        <v>0</v>
      </c>
      <c r="AP511" s="49">
        <f ca="1">AP458*HM_ZB_Nsoko!CA_NOC_WI</f>
        <v>0</v>
      </c>
      <c r="AQ511" s="49">
        <f ca="1">AQ458*HM_ZB_Nsoko!CA_NOC_WI</f>
        <v>0</v>
      </c>
      <c r="AR511" s="49">
        <f ca="1">AR458*HM_ZB_Nsoko!CA_NOC_WI</f>
        <v>0</v>
      </c>
      <c r="AS511" s="49">
        <f ca="1">AS458*HM_ZB_Nsoko!CA_NOC_WI</f>
        <v>0</v>
      </c>
      <c r="AT511" s="49">
        <f ca="1">AT458*HM_ZB_Nsoko!CA_NOC_WI</f>
        <v>0</v>
      </c>
      <c r="AU511" s="49">
        <f ca="1">AU458*HM_ZB_Nsoko!CA_NOC_WI</f>
        <v>0</v>
      </c>
      <c r="AV511" s="49">
        <f ca="1">AV458*HM_ZB_Nsoko!CA_NOC_WI</f>
        <v>0</v>
      </c>
      <c r="AW511" s="49">
        <f ca="1">AW458*HM_ZB_Nsoko!CA_NOC_WI</f>
        <v>0</v>
      </c>
      <c r="AX511" s="49">
        <f ca="1">AX458*HM_ZB_Nsoko!CA_NOC_WI</f>
        <v>0</v>
      </c>
      <c r="AY511" s="49">
        <f ca="1">AY458*HM_ZB_Nsoko!CA_NOC_WI</f>
        <v>0</v>
      </c>
      <c r="AZ511" s="49">
        <f ca="1">AZ458*HM_ZB_Nsoko!CA_NOC_WI</f>
        <v>0</v>
      </c>
      <c r="BA511" s="49">
        <f ca="1">BA458*HM_ZB_Nsoko!CA_NOC_WI</f>
        <v>0</v>
      </c>
      <c r="BB511" s="49">
        <f ca="1">BB458*HM_ZB_Nsoko!CA_NOC_WI</f>
        <v>0</v>
      </c>
      <c r="BC511" s="49">
        <f ca="1">BC458*HM_ZB_Nsoko!CA_NOC_WI</f>
        <v>0</v>
      </c>
      <c r="BD511" s="49">
        <f ca="1">BD458*HM_ZB_Nsoko!CA_NOC_WI</f>
        <v>0</v>
      </c>
      <c r="BE511" s="49">
        <f ca="1">BE458*HM_ZB_Nsoko!CA_NOC_WI</f>
        <v>0</v>
      </c>
      <c r="BF511" s="49">
        <f ca="1">BF458*HM_ZB_Nsoko!CA_NOC_WI</f>
        <v>0</v>
      </c>
      <c r="BG511" s="49">
        <f ca="1">BG458*HM_ZB_Nsoko!CA_NOC_WI</f>
        <v>0</v>
      </c>
      <c r="BH511" s="49">
        <f ca="1">BH458*HM_ZB_Nsoko!CA_NOC_WI</f>
        <v>0</v>
      </c>
      <c r="BI511" s="49">
        <f ca="1">BI458*HM_ZB_Nsoko!CA_NOC_WI</f>
        <v>0</v>
      </c>
      <c r="BJ511" s="49">
        <f ca="1">BJ458*HM_ZB_Nsoko!CA_NOC_WI</f>
        <v>0</v>
      </c>
      <c r="BK511" s="49">
        <f ca="1">BK458*HM_ZB_Nsoko!CA_NOC_WI</f>
        <v>0</v>
      </c>
      <c r="BL511" s="49">
        <f ca="1">BL458*HM_ZB_Nsoko!CA_NOC_WI</f>
        <v>0</v>
      </c>
      <c r="BM511" s="49">
        <f ca="1">BM458*HM_ZB_Nsoko!CA_NOC_WI</f>
        <v>0</v>
      </c>
      <c r="BN511" s="49">
        <f ca="1">BN458*HM_ZB_Nsoko!CA_NOC_WI</f>
        <v>0</v>
      </c>
      <c r="BO511" s="49">
        <f ca="1">BO458*HM_ZB_Nsoko!CA_NOC_WI</f>
        <v>0</v>
      </c>
      <c r="BP511" s="49">
        <f ca="1">BP458*HM_ZB_Nsoko!CA_NOC_WI</f>
        <v>0</v>
      </c>
      <c r="BQ511" s="49">
        <f ca="1">BQ458*HM_ZB_Nsoko!CA_NOC_WI</f>
        <v>0</v>
      </c>
      <c r="BR511" s="49">
        <f ca="1">BR458*HM_ZB_Nsoko!CA_NOC_WI</f>
        <v>0</v>
      </c>
      <c r="BS511" s="49">
        <f ca="1">BS458*HM_ZB_Nsoko!CA_NOC_WI</f>
        <v>0</v>
      </c>
    </row>
    <row r="512" spans="3:71" outlineLevel="1" x14ac:dyDescent="0.2">
      <c r="J512" s="26"/>
      <c r="L512" s="55"/>
      <c r="M512" s="55"/>
      <c r="N512" s="55"/>
      <c r="O512" s="55"/>
      <c r="P512" s="55"/>
      <c r="Q512" s="55"/>
      <c r="R512" s="55"/>
      <c r="S512" s="55"/>
      <c r="T512" s="55"/>
      <c r="U512" s="55"/>
      <c r="V512" s="55"/>
      <c r="W512" s="55"/>
      <c r="X512" s="55"/>
      <c r="Y512" s="55"/>
      <c r="Z512" s="55"/>
      <c r="AA512" s="55"/>
      <c r="AB512" s="55"/>
      <c r="AC512" s="55"/>
      <c r="AD512" s="55"/>
      <c r="AE512" s="55"/>
      <c r="AF512" s="55"/>
      <c r="AG512" s="55"/>
      <c r="AH512" s="55"/>
      <c r="AI512" s="55"/>
      <c r="AJ512" s="55"/>
      <c r="AK512" s="55"/>
      <c r="AL512" s="55"/>
      <c r="AM512" s="55"/>
      <c r="AN512" s="55"/>
      <c r="AO512" s="55"/>
      <c r="AP512" s="55"/>
      <c r="AQ512" s="55"/>
      <c r="AR512" s="55"/>
      <c r="AS512" s="55"/>
      <c r="AT512" s="55"/>
      <c r="AU512" s="55"/>
      <c r="AV512" s="55"/>
      <c r="AW512" s="55"/>
      <c r="AX512" s="55"/>
      <c r="AY512" s="55"/>
      <c r="AZ512" s="55"/>
      <c r="BA512" s="55"/>
      <c r="BB512" s="55"/>
      <c r="BC512" s="55"/>
      <c r="BD512" s="55"/>
      <c r="BE512" s="55"/>
      <c r="BF512" s="55"/>
      <c r="BG512" s="55"/>
      <c r="BH512" s="55"/>
      <c r="BI512" s="55"/>
      <c r="BJ512" s="55"/>
      <c r="BK512" s="55"/>
      <c r="BL512" s="55"/>
      <c r="BM512" s="55"/>
      <c r="BN512" s="55"/>
      <c r="BO512" s="55"/>
      <c r="BP512" s="55"/>
      <c r="BQ512" s="55"/>
      <c r="BR512" s="55"/>
      <c r="BS512" s="55"/>
    </row>
    <row r="513" spans="3:71" outlineLevel="1" x14ac:dyDescent="0.2">
      <c r="C513" s="11" t="str">
        <f>HM_ZA_Nkossa!C502</f>
        <v>Impôts supplémentaires</v>
      </c>
      <c r="I513" s="30">
        <f t="shared" ca="1" si="139"/>
        <v>0</v>
      </c>
      <c r="J513" s="26" t="s">
        <v>148</v>
      </c>
      <c r="L513" s="49">
        <f ca="1">L460*HM_ZB_Nsoko!CA_NOC_WI</f>
        <v>0</v>
      </c>
      <c r="M513" s="49">
        <f ca="1">M460*HM_ZB_Nsoko!CA_NOC_WI</f>
        <v>0</v>
      </c>
      <c r="N513" s="49">
        <f ca="1">N460*HM_ZB_Nsoko!CA_NOC_WI</f>
        <v>0</v>
      </c>
      <c r="O513" s="49">
        <f ca="1">O460*HM_ZB_Nsoko!CA_NOC_WI</f>
        <v>0</v>
      </c>
      <c r="P513" s="49">
        <f ca="1">P460*HM_ZB_Nsoko!CA_NOC_WI</f>
        <v>0</v>
      </c>
      <c r="Q513" s="49">
        <f ca="1">Q460*HM_ZB_Nsoko!CA_NOC_WI</f>
        <v>0</v>
      </c>
      <c r="R513" s="49">
        <f ca="1">R460*HM_ZB_Nsoko!CA_NOC_WI</f>
        <v>0</v>
      </c>
      <c r="S513" s="49">
        <f ca="1">S460*HM_ZB_Nsoko!CA_NOC_WI</f>
        <v>0</v>
      </c>
      <c r="T513" s="49">
        <f ca="1">T460*HM_ZB_Nsoko!CA_NOC_WI</f>
        <v>0</v>
      </c>
      <c r="U513" s="49">
        <f ca="1">U460*HM_ZB_Nsoko!CA_NOC_WI</f>
        <v>0</v>
      </c>
      <c r="V513" s="49">
        <f ca="1">V460*HM_ZB_Nsoko!CA_NOC_WI</f>
        <v>0</v>
      </c>
      <c r="W513" s="49">
        <f ca="1">W460*HM_ZB_Nsoko!CA_NOC_WI</f>
        <v>0</v>
      </c>
      <c r="X513" s="49">
        <f ca="1">X460*HM_ZB_Nsoko!CA_NOC_WI</f>
        <v>0</v>
      </c>
      <c r="Y513" s="49">
        <f ca="1">Y460*HM_ZB_Nsoko!CA_NOC_WI</f>
        <v>0</v>
      </c>
      <c r="Z513" s="49">
        <f ca="1">Z460*HM_ZB_Nsoko!CA_NOC_WI</f>
        <v>0</v>
      </c>
      <c r="AA513" s="49">
        <f ca="1">AA460*HM_ZB_Nsoko!CA_NOC_WI</f>
        <v>0</v>
      </c>
      <c r="AB513" s="49">
        <f ca="1">AB460*HM_ZB_Nsoko!CA_NOC_WI</f>
        <v>0</v>
      </c>
      <c r="AC513" s="49">
        <f ca="1">AC460*HM_ZB_Nsoko!CA_NOC_WI</f>
        <v>0</v>
      </c>
      <c r="AD513" s="49">
        <f ca="1">AD460*HM_ZB_Nsoko!CA_NOC_WI</f>
        <v>0</v>
      </c>
      <c r="AE513" s="49">
        <f ca="1">AE460*HM_ZB_Nsoko!CA_NOC_WI</f>
        <v>0</v>
      </c>
      <c r="AF513" s="49">
        <f ca="1">AF460*HM_ZB_Nsoko!CA_NOC_WI</f>
        <v>0</v>
      </c>
      <c r="AG513" s="49">
        <f ca="1">AG460*HM_ZB_Nsoko!CA_NOC_WI</f>
        <v>0</v>
      </c>
      <c r="AH513" s="49">
        <f ca="1">AH460*HM_ZB_Nsoko!CA_NOC_WI</f>
        <v>0</v>
      </c>
      <c r="AI513" s="49">
        <f ca="1">AI460*HM_ZB_Nsoko!CA_NOC_WI</f>
        <v>0</v>
      </c>
      <c r="AJ513" s="49">
        <f ca="1">AJ460*HM_ZB_Nsoko!CA_NOC_WI</f>
        <v>0</v>
      </c>
      <c r="AK513" s="49">
        <f ca="1">AK460*HM_ZB_Nsoko!CA_NOC_WI</f>
        <v>0</v>
      </c>
      <c r="AL513" s="49">
        <f ca="1">AL460*HM_ZB_Nsoko!CA_NOC_WI</f>
        <v>0</v>
      </c>
      <c r="AM513" s="49">
        <f ca="1">AM460*HM_ZB_Nsoko!CA_NOC_WI</f>
        <v>0</v>
      </c>
      <c r="AN513" s="49">
        <f ca="1">AN460*HM_ZB_Nsoko!CA_NOC_WI</f>
        <v>0</v>
      </c>
      <c r="AO513" s="49">
        <f ca="1">AO460*HM_ZB_Nsoko!CA_NOC_WI</f>
        <v>0</v>
      </c>
      <c r="AP513" s="49">
        <f ca="1">AP460*HM_ZB_Nsoko!CA_NOC_WI</f>
        <v>0</v>
      </c>
      <c r="AQ513" s="49">
        <f ca="1">AQ460*HM_ZB_Nsoko!CA_NOC_WI</f>
        <v>0</v>
      </c>
      <c r="AR513" s="49">
        <f ca="1">AR460*HM_ZB_Nsoko!CA_NOC_WI</f>
        <v>0</v>
      </c>
      <c r="AS513" s="49">
        <f ca="1">AS460*HM_ZB_Nsoko!CA_NOC_WI</f>
        <v>0</v>
      </c>
      <c r="AT513" s="49">
        <f ca="1">AT460*HM_ZB_Nsoko!CA_NOC_WI</f>
        <v>0</v>
      </c>
      <c r="AU513" s="49">
        <f ca="1">AU460*HM_ZB_Nsoko!CA_NOC_WI</f>
        <v>0</v>
      </c>
      <c r="AV513" s="49">
        <f ca="1">AV460*HM_ZB_Nsoko!CA_NOC_WI</f>
        <v>0</v>
      </c>
      <c r="AW513" s="49">
        <f ca="1">AW460*HM_ZB_Nsoko!CA_NOC_WI</f>
        <v>0</v>
      </c>
      <c r="AX513" s="49">
        <f ca="1">AX460*HM_ZB_Nsoko!CA_NOC_WI</f>
        <v>0</v>
      </c>
      <c r="AY513" s="49">
        <f ca="1">AY460*HM_ZB_Nsoko!CA_NOC_WI</f>
        <v>0</v>
      </c>
      <c r="AZ513" s="49">
        <f ca="1">AZ460*HM_ZB_Nsoko!CA_NOC_WI</f>
        <v>0</v>
      </c>
      <c r="BA513" s="49">
        <f ca="1">BA460*HM_ZB_Nsoko!CA_NOC_WI</f>
        <v>0</v>
      </c>
      <c r="BB513" s="49">
        <f ca="1">BB460*HM_ZB_Nsoko!CA_NOC_WI</f>
        <v>0</v>
      </c>
      <c r="BC513" s="49">
        <f ca="1">BC460*HM_ZB_Nsoko!CA_NOC_WI</f>
        <v>0</v>
      </c>
      <c r="BD513" s="49">
        <f ca="1">BD460*HM_ZB_Nsoko!CA_NOC_WI</f>
        <v>0</v>
      </c>
      <c r="BE513" s="49">
        <f ca="1">BE460*HM_ZB_Nsoko!CA_NOC_WI</f>
        <v>0</v>
      </c>
      <c r="BF513" s="49">
        <f ca="1">BF460*HM_ZB_Nsoko!CA_NOC_WI</f>
        <v>0</v>
      </c>
      <c r="BG513" s="49">
        <f ca="1">BG460*HM_ZB_Nsoko!CA_NOC_WI</f>
        <v>0</v>
      </c>
      <c r="BH513" s="49">
        <f ca="1">BH460*HM_ZB_Nsoko!CA_NOC_WI</f>
        <v>0</v>
      </c>
      <c r="BI513" s="49">
        <f ca="1">BI460*HM_ZB_Nsoko!CA_NOC_WI</f>
        <v>0</v>
      </c>
      <c r="BJ513" s="49">
        <f ca="1">BJ460*HM_ZB_Nsoko!CA_NOC_WI</f>
        <v>0</v>
      </c>
      <c r="BK513" s="49">
        <f ca="1">BK460*HM_ZB_Nsoko!CA_NOC_WI</f>
        <v>0</v>
      </c>
      <c r="BL513" s="49">
        <f ca="1">BL460*HM_ZB_Nsoko!CA_NOC_WI</f>
        <v>0</v>
      </c>
      <c r="BM513" s="49">
        <f ca="1">BM460*HM_ZB_Nsoko!CA_NOC_WI</f>
        <v>0</v>
      </c>
      <c r="BN513" s="49">
        <f ca="1">BN460*HM_ZB_Nsoko!CA_NOC_WI</f>
        <v>0</v>
      </c>
      <c r="BO513" s="49">
        <f ca="1">BO460*HM_ZB_Nsoko!CA_NOC_WI</f>
        <v>0</v>
      </c>
      <c r="BP513" s="49">
        <f ca="1">BP460*HM_ZB_Nsoko!CA_NOC_WI</f>
        <v>0</v>
      </c>
      <c r="BQ513" s="49">
        <f ca="1">BQ460*HM_ZB_Nsoko!CA_NOC_WI</f>
        <v>0</v>
      </c>
      <c r="BR513" s="49">
        <f ca="1">BR460*HM_ZB_Nsoko!CA_NOC_WI</f>
        <v>0</v>
      </c>
      <c r="BS513" s="49">
        <f ca="1">BS460*HM_ZB_Nsoko!CA_NOC_WI</f>
        <v>0</v>
      </c>
    </row>
    <row r="514" spans="3:71" outlineLevel="1" x14ac:dyDescent="0.2">
      <c r="J514" s="26"/>
      <c r="L514" s="55"/>
      <c r="M514" s="55"/>
      <c r="N514" s="55"/>
      <c r="O514" s="55"/>
      <c r="P514" s="55"/>
      <c r="Q514" s="55"/>
      <c r="R514" s="55"/>
      <c r="S514" s="55"/>
      <c r="T514" s="55"/>
      <c r="U514" s="55"/>
      <c r="V514" s="55"/>
      <c r="W514" s="55"/>
      <c r="X514" s="55"/>
      <c r="Y514" s="55"/>
      <c r="Z514" s="55"/>
      <c r="AA514" s="55"/>
      <c r="AB514" s="55"/>
      <c r="AC514" s="55"/>
      <c r="AD514" s="55"/>
      <c r="AE514" s="55"/>
      <c r="AF514" s="55"/>
      <c r="AG514" s="55"/>
      <c r="AH514" s="55"/>
      <c r="AI514" s="55"/>
      <c r="AJ514" s="55"/>
      <c r="AK514" s="55"/>
      <c r="AL514" s="55"/>
      <c r="AM514" s="55"/>
      <c r="AN514" s="55"/>
      <c r="AO514" s="55"/>
      <c r="AP514" s="55"/>
      <c r="AQ514" s="55"/>
      <c r="AR514" s="55"/>
      <c r="AS514" s="55"/>
      <c r="AT514" s="55"/>
      <c r="AU514" s="55"/>
      <c r="AV514" s="55"/>
      <c r="AW514" s="55"/>
      <c r="AX514" s="55"/>
      <c r="AY514" s="55"/>
      <c r="AZ514" s="55"/>
      <c r="BA514" s="55"/>
      <c r="BB514" s="55"/>
      <c r="BC514" s="55"/>
      <c r="BD514" s="55"/>
      <c r="BE514" s="55"/>
      <c r="BF514" s="55"/>
      <c r="BG514" s="55"/>
      <c r="BH514" s="55"/>
      <c r="BI514" s="55"/>
      <c r="BJ514" s="55"/>
      <c r="BK514" s="55"/>
      <c r="BL514" s="55"/>
      <c r="BM514" s="55"/>
      <c r="BN514" s="55"/>
      <c r="BO514" s="55"/>
      <c r="BP514" s="55"/>
      <c r="BQ514" s="55"/>
      <c r="BR514" s="55"/>
      <c r="BS514" s="55"/>
    </row>
    <row r="515" spans="3:71" outlineLevel="1" x14ac:dyDescent="0.2">
      <c r="C515" s="11" t="str">
        <f>HM_ZA_Nkossa!C504</f>
        <v>Flux de trésorerie après impôts</v>
      </c>
      <c r="F515" s="64" t="b">
        <f ca="1">ROUND(I515+I481-I462,2)=0</f>
        <v>1</v>
      </c>
      <c r="H515" s="7" t="s">
        <v>588</v>
      </c>
      <c r="I515" s="30">
        <f ca="1">SUM($L515:$BS515)</f>
        <v>14.950852410178644</v>
      </c>
      <c r="J515" s="26" t="s">
        <v>148</v>
      </c>
      <c r="K515" s="7" t="s">
        <v>587</v>
      </c>
      <c r="L515" s="49">
        <f ca="1">L499-L501-L503-L505-L507-L509-L511-L513</f>
        <v>1.7417318435978457</v>
      </c>
      <c r="M515" s="49">
        <f t="shared" ref="M515:BS515" ca="1" si="140">M499-M501-M503-M505-M507-M509-M511-M513</f>
        <v>-0.94410465319031234</v>
      </c>
      <c r="N515" s="49">
        <f t="shared" ca="1" si="140"/>
        <v>-0.93504774861281226</v>
      </c>
      <c r="O515" s="49">
        <f t="shared" ca="1" si="140"/>
        <v>0.88342749701549983</v>
      </c>
      <c r="P515" s="49">
        <f t="shared" ca="1" si="140"/>
        <v>1.1743336943006248</v>
      </c>
      <c r="Q515" s="49">
        <f t="shared" ca="1" si="140"/>
        <v>0.79002097342799993</v>
      </c>
      <c r="R515" s="49">
        <f t="shared" ca="1" si="140"/>
        <v>0.62744076737999976</v>
      </c>
      <c r="S515" s="49">
        <f t="shared" ca="1" si="140"/>
        <v>1.8182768058586387</v>
      </c>
      <c r="T515" s="49">
        <f t="shared" ca="1" si="140"/>
        <v>2.4373075233722159</v>
      </c>
      <c r="U515" s="49">
        <f t="shared" ca="1" si="140"/>
        <v>2.2095079578358465</v>
      </c>
      <c r="V515" s="49">
        <f t="shared" ca="1" si="140"/>
        <v>1.9521415213254443</v>
      </c>
      <c r="W515" s="49">
        <f t="shared" ca="1" si="140"/>
        <v>1.7109532245751118</v>
      </c>
      <c r="X515" s="49">
        <f t="shared" ca="1" si="140"/>
        <v>1.4848630032925412</v>
      </c>
      <c r="Y515" s="49">
        <f t="shared" ca="1" si="140"/>
        <v>0</v>
      </c>
      <c r="Z515" s="49">
        <f t="shared" ca="1" si="140"/>
        <v>0</v>
      </c>
      <c r="AA515" s="49">
        <f t="shared" ca="1" si="140"/>
        <v>0</v>
      </c>
      <c r="AB515" s="49">
        <f t="shared" ca="1" si="140"/>
        <v>0</v>
      </c>
      <c r="AC515" s="49">
        <f t="shared" ca="1" si="140"/>
        <v>0</v>
      </c>
      <c r="AD515" s="49">
        <f t="shared" ca="1" si="140"/>
        <v>0</v>
      </c>
      <c r="AE515" s="49">
        <f t="shared" ca="1" si="140"/>
        <v>0</v>
      </c>
      <c r="AF515" s="49">
        <f t="shared" ca="1" si="140"/>
        <v>0</v>
      </c>
      <c r="AG515" s="49">
        <f t="shared" ca="1" si="140"/>
        <v>0</v>
      </c>
      <c r="AH515" s="49">
        <f t="shared" ca="1" si="140"/>
        <v>0</v>
      </c>
      <c r="AI515" s="49">
        <f t="shared" ca="1" si="140"/>
        <v>0</v>
      </c>
      <c r="AJ515" s="49">
        <f t="shared" ca="1" si="140"/>
        <v>0</v>
      </c>
      <c r="AK515" s="49">
        <f t="shared" ca="1" si="140"/>
        <v>0</v>
      </c>
      <c r="AL515" s="49">
        <f t="shared" ca="1" si="140"/>
        <v>0</v>
      </c>
      <c r="AM515" s="49">
        <f t="shared" ca="1" si="140"/>
        <v>0</v>
      </c>
      <c r="AN515" s="49">
        <f t="shared" ca="1" si="140"/>
        <v>0</v>
      </c>
      <c r="AO515" s="49">
        <f t="shared" ca="1" si="140"/>
        <v>0</v>
      </c>
      <c r="AP515" s="49">
        <f t="shared" ca="1" si="140"/>
        <v>0</v>
      </c>
      <c r="AQ515" s="49">
        <f t="shared" ca="1" si="140"/>
        <v>0</v>
      </c>
      <c r="AR515" s="49">
        <f t="shared" ca="1" si="140"/>
        <v>0</v>
      </c>
      <c r="AS515" s="49">
        <f t="shared" ca="1" si="140"/>
        <v>0</v>
      </c>
      <c r="AT515" s="49">
        <f t="shared" ca="1" si="140"/>
        <v>0</v>
      </c>
      <c r="AU515" s="49">
        <f t="shared" ca="1" si="140"/>
        <v>0</v>
      </c>
      <c r="AV515" s="49">
        <f t="shared" ca="1" si="140"/>
        <v>0</v>
      </c>
      <c r="AW515" s="49">
        <f t="shared" ca="1" si="140"/>
        <v>0</v>
      </c>
      <c r="AX515" s="49">
        <f t="shared" ca="1" si="140"/>
        <v>0</v>
      </c>
      <c r="AY515" s="49">
        <f t="shared" ca="1" si="140"/>
        <v>0</v>
      </c>
      <c r="AZ515" s="49">
        <f t="shared" ca="1" si="140"/>
        <v>0</v>
      </c>
      <c r="BA515" s="49">
        <f t="shared" ca="1" si="140"/>
        <v>0</v>
      </c>
      <c r="BB515" s="49">
        <f t="shared" ca="1" si="140"/>
        <v>0</v>
      </c>
      <c r="BC515" s="49">
        <f t="shared" ca="1" si="140"/>
        <v>0</v>
      </c>
      <c r="BD515" s="49">
        <f t="shared" ca="1" si="140"/>
        <v>0</v>
      </c>
      <c r="BE515" s="49">
        <f t="shared" ca="1" si="140"/>
        <v>0</v>
      </c>
      <c r="BF515" s="49">
        <f t="shared" ca="1" si="140"/>
        <v>0</v>
      </c>
      <c r="BG515" s="49">
        <f t="shared" ca="1" si="140"/>
        <v>0</v>
      </c>
      <c r="BH515" s="49">
        <f t="shared" ca="1" si="140"/>
        <v>0</v>
      </c>
      <c r="BI515" s="49">
        <f t="shared" ca="1" si="140"/>
        <v>0</v>
      </c>
      <c r="BJ515" s="49">
        <f t="shared" ca="1" si="140"/>
        <v>0</v>
      </c>
      <c r="BK515" s="49">
        <f t="shared" ca="1" si="140"/>
        <v>0</v>
      </c>
      <c r="BL515" s="49">
        <f t="shared" ca="1" si="140"/>
        <v>0</v>
      </c>
      <c r="BM515" s="49">
        <f t="shared" ca="1" si="140"/>
        <v>0</v>
      </c>
      <c r="BN515" s="49">
        <f t="shared" ca="1" si="140"/>
        <v>0</v>
      </c>
      <c r="BO515" s="49">
        <f t="shared" ca="1" si="140"/>
        <v>0</v>
      </c>
      <c r="BP515" s="49">
        <f t="shared" ca="1" si="140"/>
        <v>0</v>
      </c>
      <c r="BQ515" s="49">
        <f t="shared" ca="1" si="140"/>
        <v>0</v>
      </c>
      <c r="BR515" s="49">
        <f t="shared" ca="1" si="140"/>
        <v>0</v>
      </c>
      <c r="BS515" s="49">
        <f t="shared" ca="1" si="140"/>
        <v>0</v>
      </c>
    </row>
    <row r="516" spans="3:71" outlineLevel="1" x14ac:dyDescent="0.2">
      <c r="J516" s="26"/>
      <c r="L516" s="55"/>
      <c r="M516" s="55"/>
      <c r="N516" s="55"/>
      <c r="O516" s="55"/>
      <c r="P516" s="55"/>
      <c r="Q516" s="55"/>
      <c r="R516" s="55"/>
      <c r="S516" s="55"/>
      <c r="T516" s="55"/>
      <c r="U516" s="55"/>
      <c r="V516" s="55"/>
      <c r="W516" s="55"/>
      <c r="X516" s="55"/>
      <c r="Y516" s="55"/>
      <c r="Z516" s="55"/>
      <c r="AA516" s="55"/>
      <c r="AB516" s="55"/>
      <c r="AC516" s="55"/>
      <c r="AD516" s="55"/>
      <c r="AE516" s="55"/>
      <c r="AF516" s="55"/>
      <c r="AG516" s="55"/>
      <c r="AH516" s="55"/>
      <c r="AI516" s="55"/>
      <c r="AJ516" s="55"/>
      <c r="AK516" s="55"/>
      <c r="AL516" s="55"/>
      <c r="AM516" s="55"/>
      <c r="AN516" s="55"/>
      <c r="AO516" s="55"/>
      <c r="AP516" s="55"/>
      <c r="AQ516" s="55"/>
      <c r="AR516" s="55"/>
      <c r="AS516" s="55"/>
      <c r="AT516" s="55"/>
      <c r="AU516" s="55"/>
      <c r="AV516" s="55"/>
      <c r="AW516" s="55"/>
      <c r="AX516" s="55"/>
      <c r="AY516" s="55"/>
      <c r="AZ516" s="55"/>
      <c r="BA516" s="55"/>
      <c r="BB516" s="55"/>
      <c r="BC516" s="55"/>
      <c r="BD516" s="55"/>
      <c r="BE516" s="55"/>
      <c r="BF516" s="55"/>
      <c r="BG516" s="55"/>
      <c r="BH516" s="55"/>
      <c r="BI516" s="55"/>
      <c r="BJ516" s="55"/>
      <c r="BK516" s="55"/>
      <c r="BL516" s="55"/>
      <c r="BM516" s="55"/>
      <c r="BN516" s="55"/>
      <c r="BO516" s="55"/>
      <c r="BP516" s="55"/>
      <c r="BQ516" s="55"/>
      <c r="BR516" s="55"/>
      <c r="BS516" s="55"/>
    </row>
    <row r="517" spans="3:71" outlineLevel="1" x14ac:dyDescent="0.2">
      <c r="C517" s="11" t="str">
        <f>HM_ZA_Nkossa!C506</f>
        <v>Flux de trésorerie après impôts cumulé</v>
      </c>
      <c r="J517" s="26"/>
      <c r="L517" s="66">
        <f t="shared" ref="L517:BS517" ca="1" si="141">(K517+L515)*CA_op_trig</f>
        <v>1.7417318435978457</v>
      </c>
      <c r="M517" s="66">
        <f t="shared" ca="1" si="141"/>
        <v>0.79762719040753338</v>
      </c>
      <c r="N517" s="66">
        <f t="shared" ca="1" si="141"/>
        <v>-0.13742055820527888</v>
      </c>
      <c r="O517" s="66">
        <f t="shared" ca="1" si="141"/>
        <v>0.74600693881022095</v>
      </c>
      <c r="P517" s="66">
        <f t="shared" ca="1" si="141"/>
        <v>1.9203406331108459</v>
      </c>
      <c r="Q517" s="66">
        <f t="shared" ca="1" si="141"/>
        <v>2.7103616065388456</v>
      </c>
      <c r="R517" s="66">
        <f t="shared" ca="1" si="141"/>
        <v>3.3378023739188452</v>
      </c>
      <c r="S517" s="66">
        <f t="shared" ca="1" si="141"/>
        <v>5.1560791797774836</v>
      </c>
      <c r="T517" s="66">
        <f t="shared" ca="1" si="141"/>
        <v>7.5933867031496991</v>
      </c>
      <c r="U517" s="66">
        <f t="shared" ca="1" si="141"/>
        <v>9.8028946609855456</v>
      </c>
      <c r="V517" s="66">
        <f t="shared" ca="1" si="141"/>
        <v>11.75503618231099</v>
      </c>
      <c r="W517" s="66">
        <f t="shared" ca="1" si="141"/>
        <v>13.465989406886102</v>
      </c>
      <c r="X517" s="66">
        <f t="shared" ca="1" si="141"/>
        <v>14.950852410178644</v>
      </c>
      <c r="Y517" s="66">
        <f t="shared" ca="1" si="141"/>
        <v>0</v>
      </c>
      <c r="Z517" s="66">
        <f t="shared" ca="1" si="141"/>
        <v>0</v>
      </c>
      <c r="AA517" s="66">
        <f t="shared" ca="1" si="141"/>
        <v>0</v>
      </c>
      <c r="AB517" s="66">
        <f t="shared" ca="1" si="141"/>
        <v>0</v>
      </c>
      <c r="AC517" s="66">
        <f t="shared" ca="1" si="141"/>
        <v>0</v>
      </c>
      <c r="AD517" s="66">
        <f t="shared" ca="1" si="141"/>
        <v>0</v>
      </c>
      <c r="AE517" s="66">
        <f t="shared" ca="1" si="141"/>
        <v>0</v>
      </c>
      <c r="AF517" s="66">
        <f t="shared" ca="1" si="141"/>
        <v>0</v>
      </c>
      <c r="AG517" s="66">
        <f t="shared" ca="1" si="141"/>
        <v>0</v>
      </c>
      <c r="AH517" s="66">
        <f t="shared" ca="1" si="141"/>
        <v>0</v>
      </c>
      <c r="AI517" s="66">
        <f t="shared" ca="1" si="141"/>
        <v>0</v>
      </c>
      <c r="AJ517" s="66">
        <f t="shared" ca="1" si="141"/>
        <v>0</v>
      </c>
      <c r="AK517" s="66">
        <f t="shared" ca="1" si="141"/>
        <v>0</v>
      </c>
      <c r="AL517" s="66">
        <f t="shared" ca="1" si="141"/>
        <v>0</v>
      </c>
      <c r="AM517" s="66">
        <f t="shared" ca="1" si="141"/>
        <v>0</v>
      </c>
      <c r="AN517" s="66">
        <f t="shared" ca="1" si="141"/>
        <v>0</v>
      </c>
      <c r="AO517" s="66">
        <f t="shared" ca="1" si="141"/>
        <v>0</v>
      </c>
      <c r="AP517" s="66">
        <f t="shared" ca="1" si="141"/>
        <v>0</v>
      </c>
      <c r="AQ517" s="66">
        <f t="shared" ca="1" si="141"/>
        <v>0</v>
      </c>
      <c r="AR517" s="66">
        <f t="shared" ca="1" si="141"/>
        <v>0</v>
      </c>
      <c r="AS517" s="66">
        <f t="shared" ca="1" si="141"/>
        <v>0</v>
      </c>
      <c r="AT517" s="66">
        <f t="shared" ca="1" si="141"/>
        <v>0</v>
      </c>
      <c r="AU517" s="66">
        <f t="shared" ca="1" si="141"/>
        <v>0</v>
      </c>
      <c r="AV517" s="66">
        <f t="shared" ca="1" si="141"/>
        <v>0</v>
      </c>
      <c r="AW517" s="66">
        <f t="shared" ca="1" si="141"/>
        <v>0</v>
      </c>
      <c r="AX517" s="66">
        <f t="shared" ca="1" si="141"/>
        <v>0</v>
      </c>
      <c r="AY517" s="66">
        <f t="shared" ca="1" si="141"/>
        <v>0</v>
      </c>
      <c r="AZ517" s="66">
        <f t="shared" ca="1" si="141"/>
        <v>0</v>
      </c>
      <c r="BA517" s="66">
        <f t="shared" ca="1" si="141"/>
        <v>0</v>
      </c>
      <c r="BB517" s="66">
        <f t="shared" ca="1" si="141"/>
        <v>0</v>
      </c>
      <c r="BC517" s="66">
        <f t="shared" ca="1" si="141"/>
        <v>0</v>
      </c>
      <c r="BD517" s="66">
        <f t="shared" ca="1" si="141"/>
        <v>0</v>
      </c>
      <c r="BE517" s="66">
        <f t="shared" ca="1" si="141"/>
        <v>0</v>
      </c>
      <c r="BF517" s="66">
        <f t="shared" ca="1" si="141"/>
        <v>0</v>
      </c>
      <c r="BG517" s="66">
        <f t="shared" ca="1" si="141"/>
        <v>0</v>
      </c>
      <c r="BH517" s="66">
        <f t="shared" ca="1" si="141"/>
        <v>0</v>
      </c>
      <c r="BI517" s="66">
        <f t="shared" ca="1" si="141"/>
        <v>0</v>
      </c>
      <c r="BJ517" s="66">
        <f t="shared" ca="1" si="141"/>
        <v>0</v>
      </c>
      <c r="BK517" s="66">
        <f t="shared" ca="1" si="141"/>
        <v>0</v>
      </c>
      <c r="BL517" s="66">
        <f t="shared" ca="1" si="141"/>
        <v>0</v>
      </c>
      <c r="BM517" s="66">
        <f t="shared" ca="1" si="141"/>
        <v>0</v>
      </c>
      <c r="BN517" s="66">
        <f t="shared" ca="1" si="141"/>
        <v>0</v>
      </c>
      <c r="BO517" s="66">
        <f t="shared" ca="1" si="141"/>
        <v>0</v>
      </c>
      <c r="BP517" s="66">
        <f t="shared" ca="1" si="141"/>
        <v>0</v>
      </c>
      <c r="BQ517" s="66">
        <f t="shared" ca="1" si="141"/>
        <v>0</v>
      </c>
      <c r="BR517" s="66">
        <f t="shared" ca="1" si="141"/>
        <v>0</v>
      </c>
      <c r="BS517" s="66">
        <f t="shared" ca="1" si="141"/>
        <v>0</v>
      </c>
    </row>
    <row r="518" spans="3:71" outlineLevel="1" x14ac:dyDescent="0.2">
      <c r="J518" s="26"/>
      <c r="L518" s="55"/>
      <c r="M518" s="55"/>
      <c r="N518" s="55"/>
      <c r="O518" s="55"/>
      <c r="P518" s="55"/>
      <c r="Q518" s="55"/>
      <c r="R518" s="55"/>
      <c r="S518" s="55"/>
      <c r="T518" s="55"/>
      <c r="U518" s="55"/>
      <c r="V518" s="55"/>
      <c r="W518" s="55"/>
      <c r="X518" s="55"/>
      <c r="Y518" s="55"/>
      <c r="Z518" s="55"/>
      <c r="AA518" s="55"/>
      <c r="AB518" s="55"/>
      <c r="AC518" s="55"/>
      <c r="AD518" s="55"/>
      <c r="AE518" s="55"/>
      <c r="AF518" s="55"/>
      <c r="AG518" s="55"/>
      <c r="AH518" s="55"/>
      <c r="AI518" s="55"/>
      <c r="AJ518" s="55"/>
      <c r="AK518" s="55"/>
      <c r="AL518" s="55"/>
      <c r="AM518" s="55"/>
      <c r="AN518" s="55"/>
      <c r="AO518" s="55"/>
      <c r="AP518" s="55"/>
      <c r="AQ518" s="55"/>
      <c r="AR518" s="55"/>
      <c r="AS518" s="55"/>
      <c r="AT518" s="55"/>
      <c r="AU518" s="55"/>
      <c r="AV518" s="55"/>
      <c r="AW518" s="55"/>
      <c r="AX518" s="55"/>
      <c r="AY518" s="55"/>
      <c r="AZ518" s="55"/>
      <c r="BA518" s="55"/>
      <c r="BB518" s="55"/>
      <c r="BC518" s="55"/>
      <c r="BD518" s="55"/>
      <c r="BE518" s="55"/>
      <c r="BF518" s="55"/>
      <c r="BG518" s="55"/>
      <c r="BH518" s="55"/>
      <c r="BI518" s="55"/>
      <c r="BJ518" s="55"/>
      <c r="BK518" s="55"/>
      <c r="BL518" s="55"/>
      <c r="BM518" s="55"/>
      <c r="BN518" s="55"/>
      <c r="BO518" s="55"/>
      <c r="BP518" s="55"/>
      <c r="BQ518" s="55"/>
      <c r="BR518" s="55"/>
      <c r="BS518" s="55"/>
    </row>
    <row r="519" spans="3:71" outlineLevel="1" x14ac:dyDescent="0.2">
      <c r="C519" s="11" t="str">
        <f>HM_ZA_Nkossa!C508</f>
        <v>VAN cycle complet</v>
      </c>
      <c r="G519" s="60"/>
      <c r="H519" s="7" t="s">
        <v>589</v>
      </c>
      <c r="I519" s="63">
        <f ca="1">SUMPRODUCT(OA_noc_ATCF_Nsoko1999,HM_ZB_Nsoko!CA_disc_factor_fc)</f>
        <v>1.8212562525356344</v>
      </c>
      <c r="J519" s="26" t="s">
        <v>148</v>
      </c>
      <c r="L519" s="55"/>
      <c r="M519" s="55"/>
      <c r="N519" s="55"/>
      <c r="O519" s="55"/>
      <c r="P519" s="55"/>
      <c r="Q519" s="55"/>
      <c r="R519" s="55"/>
      <c r="S519" s="55"/>
      <c r="T519" s="55"/>
      <c r="U519" s="55"/>
      <c r="V519" s="55"/>
      <c r="W519" s="55"/>
      <c r="X519" s="55"/>
      <c r="Y519" s="55"/>
      <c r="Z519" s="55"/>
      <c r="AA519" s="55"/>
      <c r="AB519" s="55"/>
      <c r="AC519" s="55"/>
      <c r="AD519" s="55"/>
      <c r="AE519" s="55"/>
      <c r="AF519" s="55"/>
      <c r="AG519" s="55"/>
      <c r="AH519" s="55"/>
      <c r="AI519" s="55"/>
      <c r="AJ519" s="55"/>
      <c r="AK519" s="55"/>
      <c r="AL519" s="55"/>
      <c r="AM519" s="55"/>
      <c r="AN519" s="55"/>
      <c r="AO519" s="55"/>
      <c r="AP519" s="55"/>
      <c r="AQ519" s="55"/>
      <c r="AR519" s="55"/>
      <c r="AS519" s="55"/>
      <c r="AT519" s="55"/>
      <c r="AU519" s="55"/>
      <c r="AV519" s="55"/>
      <c r="AW519" s="55"/>
      <c r="AX519" s="55"/>
      <c r="AY519" s="55"/>
      <c r="AZ519" s="55"/>
      <c r="BA519" s="55"/>
      <c r="BB519" s="55"/>
      <c r="BC519" s="55"/>
      <c r="BD519" s="55"/>
      <c r="BE519" s="55"/>
      <c r="BF519" s="55"/>
      <c r="BG519" s="55"/>
      <c r="BH519" s="55"/>
      <c r="BI519" s="55"/>
      <c r="BJ519" s="55"/>
      <c r="BK519" s="55"/>
      <c r="BL519" s="55"/>
      <c r="BM519" s="55"/>
      <c r="BN519" s="55"/>
      <c r="BO519" s="55"/>
      <c r="BP519" s="55"/>
      <c r="BQ519" s="55"/>
      <c r="BR519" s="55"/>
      <c r="BS519" s="55"/>
    </row>
    <row r="520" spans="3:71" outlineLevel="1" x14ac:dyDescent="0.2">
      <c r="C520" s="11" t="str">
        <f>HM_ZA_Nkossa!C509</f>
        <v>VAN à terme</v>
      </c>
      <c r="I520" s="63">
        <f ca="1">SUMPRODUCT(OA_noc_ATCF_HM1994,CA_disc_factor_pf)</f>
        <v>-61.163958688642346</v>
      </c>
      <c r="J520" s="26" t="s">
        <v>148</v>
      </c>
      <c r="L520" s="55"/>
      <c r="M520" s="55"/>
      <c r="N520" s="55"/>
      <c r="O520" s="55"/>
      <c r="P520" s="55"/>
      <c r="Q520" s="55"/>
      <c r="R520" s="55"/>
      <c r="S520" s="55"/>
      <c r="T520" s="55"/>
      <c r="U520" s="55"/>
      <c r="V520" s="55"/>
      <c r="W520" s="55"/>
      <c r="X520" s="55"/>
      <c r="Y520" s="55"/>
      <c r="Z520" s="55"/>
      <c r="AA520" s="55"/>
      <c r="AB520" s="55"/>
      <c r="AC520" s="55"/>
      <c r="AD520" s="55"/>
      <c r="AE520" s="55"/>
      <c r="AF520" s="55"/>
      <c r="AG520" s="55"/>
      <c r="AH520" s="55"/>
      <c r="AI520" s="55"/>
      <c r="AJ520" s="55"/>
      <c r="AK520" s="55"/>
      <c r="AL520" s="55"/>
      <c r="AM520" s="55"/>
      <c r="AN520" s="55"/>
      <c r="AO520" s="55"/>
      <c r="AP520" s="55"/>
      <c r="AQ520" s="55"/>
      <c r="AR520" s="55"/>
      <c r="AS520" s="55"/>
      <c r="AT520" s="55"/>
      <c r="AU520" s="55"/>
      <c r="AV520" s="55"/>
      <c r="AW520" s="55"/>
      <c r="AX520" s="55"/>
      <c r="AY520" s="55"/>
      <c r="AZ520" s="55"/>
      <c r="BA520" s="55"/>
      <c r="BB520" s="55"/>
      <c r="BC520" s="55"/>
      <c r="BD520" s="55"/>
      <c r="BE520" s="55"/>
      <c r="BF520" s="55"/>
      <c r="BG520" s="55"/>
      <c r="BH520" s="55"/>
      <c r="BI520" s="55"/>
      <c r="BJ520" s="55"/>
      <c r="BK520" s="55"/>
      <c r="BL520" s="55"/>
      <c r="BM520" s="55"/>
      <c r="BN520" s="55"/>
      <c r="BO520" s="55"/>
      <c r="BP520" s="55"/>
      <c r="BQ520" s="55"/>
      <c r="BR520" s="55"/>
      <c r="BS520" s="55"/>
    </row>
    <row r="521" spans="3:71" outlineLevel="1" x14ac:dyDescent="0.2">
      <c r="I521" s="61"/>
      <c r="J521" s="26"/>
      <c r="L521" s="55"/>
      <c r="M521" s="55"/>
      <c r="N521" s="55"/>
      <c r="O521" s="55"/>
      <c r="P521" s="55"/>
      <c r="Q521" s="55"/>
      <c r="R521" s="55"/>
      <c r="S521" s="55"/>
      <c r="T521" s="55"/>
      <c r="U521" s="55"/>
      <c r="V521" s="55"/>
      <c r="W521" s="55"/>
      <c r="X521" s="55"/>
      <c r="Y521" s="55"/>
      <c r="Z521" s="55"/>
      <c r="AA521" s="55"/>
      <c r="AB521" s="55"/>
      <c r="AC521" s="55"/>
      <c r="AD521" s="55"/>
      <c r="AE521" s="55"/>
      <c r="AF521" s="55"/>
      <c r="AG521" s="55"/>
      <c r="AH521" s="55"/>
      <c r="AI521" s="55"/>
      <c r="AJ521" s="55"/>
      <c r="AK521" s="55"/>
      <c r="AL521" s="55"/>
      <c r="AM521" s="55"/>
      <c r="AN521" s="55"/>
      <c r="AO521" s="55"/>
      <c r="AP521" s="55"/>
      <c r="AQ521" s="55"/>
      <c r="AR521" s="55"/>
      <c r="AS521" s="55"/>
      <c r="AT521" s="55"/>
      <c r="AU521" s="55"/>
      <c r="AV521" s="55"/>
      <c r="AW521" s="55"/>
      <c r="AX521" s="55"/>
      <c r="AY521" s="55"/>
      <c r="AZ521" s="55"/>
      <c r="BA521" s="55"/>
      <c r="BB521" s="55"/>
      <c r="BC521" s="55"/>
      <c r="BD521" s="55"/>
      <c r="BE521" s="55"/>
      <c r="BF521" s="55"/>
      <c r="BG521" s="55"/>
      <c r="BH521" s="55"/>
      <c r="BI521" s="55"/>
      <c r="BJ521" s="55"/>
      <c r="BK521" s="55"/>
      <c r="BL521" s="55"/>
      <c r="BM521" s="55"/>
      <c r="BN521" s="55"/>
      <c r="BO521" s="55"/>
      <c r="BP521" s="55"/>
      <c r="BQ521" s="55"/>
      <c r="BR521" s="55"/>
      <c r="BS521" s="55"/>
    </row>
    <row r="522" spans="3:71" outlineLevel="1" x14ac:dyDescent="0.2">
      <c r="C522" s="11" t="str">
        <f>HM_ZA_Nkossa!C511</f>
        <v>TRI cycle complet</v>
      </c>
      <c r="I522" s="62" t="str">
        <f ca="1">IFERROR(IRR(INDEX(OA_noc_ATCF_HM1994,1,MAX(1,$G$411-L4+1)):INDEX(OA_noc_ATCF_HM1994,1,last_model_year)),"na")</f>
        <v>na</v>
      </c>
      <c r="J522" s="26" t="s">
        <v>90</v>
      </c>
      <c r="L522" s="55"/>
      <c r="M522" s="55"/>
      <c r="N522" s="55"/>
      <c r="O522" s="55"/>
      <c r="P522" s="55"/>
      <c r="Q522" s="55"/>
      <c r="R522" s="55"/>
      <c r="S522" s="55"/>
      <c r="T522" s="55"/>
      <c r="U522" s="55"/>
      <c r="V522" s="55"/>
      <c r="W522" s="55"/>
      <c r="X522" s="55"/>
      <c r="Y522" s="55"/>
      <c r="Z522" s="55"/>
      <c r="AA522" s="55"/>
      <c r="AB522" s="55"/>
      <c r="AC522" s="55"/>
      <c r="AD522" s="55"/>
      <c r="AE522" s="55"/>
      <c r="AF522" s="55"/>
      <c r="AG522" s="55"/>
      <c r="AH522" s="55"/>
      <c r="AI522" s="55"/>
      <c r="AJ522" s="55"/>
      <c r="AK522" s="55"/>
      <c r="AL522" s="55"/>
      <c r="AM522" s="55"/>
      <c r="AN522" s="55"/>
      <c r="AO522" s="55"/>
      <c r="AP522" s="55"/>
      <c r="AQ522" s="55"/>
      <c r="AR522" s="55"/>
      <c r="AS522" s="55"/>
      <c r="AT522" s="55"/>
      <c r="AU522" s="55"/>
      <c r="AV522" s="55"/>
      <c r="AW522" s="55"/>
      <c r="AX522" s="55"/>
      <c r="AY522" s="55"/>
      <c r="AZ522" s="55"/>
      <c r="BA522" s="55"/>
      <c r="BB522" s="55"/>
      <c r="BC522" s="55"/>
      <c r="BD522" s="55"/>
      <c r="BE522" s="55"/>
      <c r="BF522" s="55"/>
      <c r="BG522" s="55"/>
      <c r="BH522" s="55"/>
      <c r="BI522" s="55"/>
      <c r="BJ522" s="55"/>
      <c r="BK522" s="55"/>
      <c r="BL522" s="55"/>
      <c r="BM522" s="55"/>
      <c r="BN522" s="55"/>
      <c r="BO522" s="55"/>
      <c r="BP522" s="55"/>
      <c r="BQ522" s="55"/>
      <c r="BR522" s="55"/>
      <c r="BS522" s="55"/>
    </row>
    <row r="523" spans="3:71" outlineLevel="1" x14ac:dyDescent="0.2">
      <c r="C523" s="11" t="str">
        <f>HM_ZA_Nkossa!C512</f>
        <v>TRI à terme</v>
      </c>
      <c r="I523" s="62" t="str">
        <f ca="1">IFERROR(IRR(INDEX(OA_noc_ATCF_HM1994,1,MAX(1,$G$412-L4+1)):INDEX(OA_noc_ATCF_HM1994,1,last_model_year)),"na")</f>
        <v>na</v>
      </c>
      <c r="J523" s="26" t="s">
        <v>90</v>
      </c>
      <c r="L523" s="55"/>
      <c r="M523" s="55"/>
      <c r="N523" s="55"/>
      <c r="O523" s="55"/>
      <c r="P523" s="55"/>
      <c r="Q523" s="55"/>
      <c r="R523" s="55"/>
      <c r="S523" s="55"/>
      <c r="T523" s="55"/>
      <c r="U523" s="55"/>
      <c r="V523" s="55"/>
      <c r="W523" s="55"/>
      <c r="X523" s="55"/>
      <c r="Y523" s="55"/>
      <c r="Z523" s="55"/>
      <c r="AA523" s="55"/>
      <c r="AB523" s="55"/>
      <c r="AC523" s="55"/>
      <c r="AD523" s="55"/>
      <c r="AE523" s="55"/>
      <c r="AF523" s="55"/>
      <c r="AG523" s="55"/>
      <c r="AH523" s="55"/>
      <c r="AI523" s="55"/>
      <c r="AJ523" s="55"/>
      <c r="AK523" s="55"/>
      <c r="AL523" s="55"/>
      <c r="AM523" s="55"/>
      <c r="AN523" s="55"/>
      <c r="AO523" s="55"/>
      <c r="AP523" s="55"/>
      <c r="AQ523" s="55"/>
      <c r="AR523" s="55"/>
      <c r="AS523" s="55"/>
      <c r="AT523" s="55"/>
      <c r="AU523" s="55"/>
      <c r="AV523" s="55"/>
      <c r="AW523" s="55"/>
      <c r="AX523" s="55"/>
      <c r="AY523" s="55"/>
      <c r="AZ523" s="55"/>
      <c r="BA523" s="55"/>
      <c r="BB523" s="55"/>
      <c r="BC523" s="55"/>
      <c r="BD523" s="55"/>
      <c r="BE523" s="55"/>
      <c r="BF523" s="55"/>
      <c r="BG523" s="55"/>
      <c r="BH523" s="55"/>
      <c r="BI523" s="55"/>
      <c r="BJ523" s="55"/>
      <c r="BK523" s="55"/>
      <c r="BL523" s="55"/>
      <c r="BM523" s="55"/>
      <c r="BN523" s="55"/>
      <c r="BO523" s="55"/>
      <c r="BP523" s="55"/>
      <c r="BQ523" s="55"/>
      <c r="BR523" s="55"/>
      <c r="BS523" s="55"/>
    </row>
    <row r="524" spans="3:71" outlineLevel="1" x14ac:dyDescent="0.2">
      <c r="J524" s="26"/>
      <c r="L524" s="55"/>
      <c r="M524" s="55"/>
      <c r="N524" s="55"/>
      <c r="O524" s="55"/>
      <c r="P524" s="55"/>
      <c r="Q524" s="55"/>
      <c r="R524" s="55"/>
      <c r="S524" s="55"/>
      <c r="T524" s="55"/>
      <c r="U524" s="55"/>
      <c r="V524" s="55"/>
      <c r="W524" s="55"/>
      <c r="X524" s="55"/>
      <c r="Y524" s="55"/>
      <c r="Z524" s="55"/>
      <c r="AA524" s="55"/>
      <c r="AB524" s="55"/>
      <c r="AC524" s="55"/>
      <c r="AD524" s="55"/>
      <c r="AE524" s="55"/>
      <c r="AF524" s="55"/>
      <c r="AG524" s="55"/>
      <c r="AH524" s="55"/>
      <c r="AI524" s="55"/>
      <c r="AJ524" s="55"/>
      <c r="AK524" s="55"/>
      <c r="AL524" s="55"/>
      <c r="AM524" s="55"/>
      <c r="AN524" s="55"/>
      <c r="AO524" s="55"/>
      <c r="AP524" s="55"/>
      <c r="AQ524" s="55"/>
      <c r="AR524" s="55"/>
      <c r="AS524" s="55"/>
      <c r="AT524" s="55"/>
      <c r="AU524" s="55"/>
      <c r="AV524" s="55"/>
      <c r="AW524" s="55"/>
      <c r="AX524" s="55"/>
      <c r="AY524" s="55"/>
      <c r="AZ524" s="55"/>
      <c r="BA524" s="55"/>
      <c r="BB524" s="55"/>
      <c r="BC524" s="55"/>
      <c r="BD524" s="55"/>
      <c r="BE524" s="55"/>
      <c r="BF524" s="55"/>
      <c r="BG524" s="55"/>
      <c r="BH524" s="55"/>
      <c r="BI524" s="55"/>
      <c r="BJ524" s="55"/>
      <c r="BK524" s="55"/>
      <c r="BL524" s="55"/>
      <c r="BM524" s="55"/>
      <c r="BN524" s="55"/>
      <c r="BO524" s="55"/>
      <c r="BP524" s="55"/>
      <c r="BQ524" s="55"/>
      <c r="BR524" s="55"/>
      <c r="BS524" s="55"/>
    </row>
    <row r="525" spans="3:71" outlineLevel="1" x14ac:dyDescent="0.2">
      <c r="C525" s="11" t="str">
        <f>HM_ZA_Nkossa!C514</f>
        <v>Période de remboursement</v>
      </c>
      <c r="I525" s="67">
        <f ca="1">COUNTIF(L517:BS517,"&lt;0")+1</f>
        <v>2</v>
      </c>
      <c r="J525" s="26"/>
      <c r="L525" s="55"/>
      <c r="M525" s="55"/>
      <c r="N525" s="55"/>
      <c r="O525" s="55"/>
      <c r="P525" s="55"/>
      <c r="Q525" s="55"/>
      <c r="R525" s="55"/>
      <c r="S525" s="55"/>
      <c r="T525" s="55"/>
      <c r="U525" s="55"/>
      <c r="V525" s="55"/>
      <c r="W525" s="55"/>
      <c r="X525" s="55"/>
      <c r="Y525" s="55"/>
      <c r="Z525" s="55"/>
      <c r="AA525" s="55"/>
      <c r="AB525" s="55"/>
      <c r="AC525" s="55"/>
      <c r="AD525" s="55"/>
      <c r="AE525" s="55"/>
      <c r="AF525" s="55"/>
      <c r="AG525" s="55"/>
      <c r="AH525" s="55"/>
      <c r="AI525" s="55"/>
      <c r="AJ525" s="55"/>
      <c r="AK525" s="55"/>
      <c r="AL525" s="55"/>
      <c r="AM525" s="55"/>
      <c r="AN525" s="55"/>
      <c r="AO525" s="55"/>
      <c r="AP525" s="55"/>
      <c r="AQ525" s="55"/>
      <c r="AR525" s="55"/>
      <c r="AS525" s="55"/>
      <c r="AT525" s="55"/>
      <c r="AU525" s="55"/>
      <c r="AV525" s="55"/>
      <c r="AW525" s="55"/>
      <c r="AX525" s="55"/>
      <c r="AY525" s="55"/>
      <c r="AZ525" s="55"/>
      <c r="BA525" s="55"/>
      <c r="BB525" s="55"/>
      <c r="BC525" s="55"/>
      <c r="BD525" s="55"/>
      <c r="BE525" s="55"/>
      <c r="BF525" s="55"/>
      <c r="BG525" s="55"/>
      <c r="BH525" s="55"/>
      <c r="BI525" s="55"/>
      <c r="BJ525" s="55"/>
      <c r="BK525" s="55"/>
      <c r="BL525" s="55"/>
      <c r="BM525" s="55"/>
      <c r="BN525" s="55"/>
      <c r="BO525" s="55"/>
      <c r="BP525" s="55"/>
      <c r="BQ525" s="55"/>
      <c r="BR525" s="55"/>
      <c r="BS525" s="55"/>
    </row>
    <row r="526" spans="3:71" outlineLevel="1" x14ac:dyDescent="0.2">
      <c r="J526" s="26"/>
      <c r="L526" s="55"/>
      <c r="M526" s="55"/>
      <c r="N526" s="55"/>
      <c r="O526" s="55"/>
      <c r="P526" s="55"/>
      <c r="Q526" s="55"/>
      <c r="R526" s="55"/>
      <c r="S526" s="55"/>
      <c r="T526" s="55"/>
      <c r="U526" s="55"/>
      <c r="V526" s="55"/>
      <c r="W526" s="55"/>
      <c r="X526" s="55"/>
      <c r="Y526" s="55"/>
      <c r="Z526" s="55"/>
      <c r="AA526" s="55"/>
      <c r="AB526" s="55"/>
      <c r="AC526" s="55"/>
      <c r="AD526" s="55"/>
      <c r="AE526" s="55"/>
      <c r="AF526" s="55"/>
      <c r="AG526" s="55"/>
      <c r="AH526" s="55"/>
      <c r="AI526" s="55"/>
      <c r="AJ526" s="55"/>
      <c r="AK526" s="55"/>
      <c r="AL526" s="55"/>
      <c r="AM526" s="55"/>
      <c r="AN526" s="55"/>
      <c r="AO526" s="55"/>
      <c r="AP526" s="55"/>
      <c r="AQ526" s="55"/>
      <c r="AR526" s="55"/>
      <c r="AS526" s="55"/>
      <c r="AT526" s="55"/>
      <c r="AU526" s="55"/>
      <c r="AV526" s="55"/>
      <c r="AW526" s="55"/>
      <c r="AX526" s="55"/>
      <c r="AY526" s="55"/>
      <c r="AZ526" s="55"/>
      <c r="BA526" s="55"/>
      <c r="BB526" s="55"/>
      <c r="BC526" s="55"/>
      <c r="BD526" s="55"/>
      <c r="BE526" s="55"/>
      <c r="BF526" s="55"/>
      <c r="BG526" s="55"/>
      <c r="BH526" s="55"/>
      <c r="BI526" s="55"/>
      <c r="BJ526" s="55"/>
      <c r="BK526" s="55"/>
      <c r="BL526" s="55"/>
      <c r="BM526" s="55"/>
      <c r="BN526" s="55"/>
      <c r="BO526" s="55"/>
      <c r="BP526" s="55"/>
      <c r="BQ526" s="55"/>
      <c r="BR526" s="55"/>
      <c r="BS526" s="55"/>
    </row>
    <row r="527" spans="3:71" outlineLevel="1" x14ac:dyDescent="0.2">
      <c r="J527" s="26"/>
      <c r="L527" s="55"/>
      <c r="M527" s="55"/>
      <c r="N527" s="55"/>
      <c r="O527" s="55"/>
      <c r="P527" s="55"/>
      <c r="Q527" s="55"/>
      <c r="R527" s="55"/>
      <c r="S527" s="55"/>
      <c r="T527" s="55"/>
      <c r="U527" s="55"/>
      <c r="V527" s="55"/>
      <c r="W527" s="55"/>
      <c r="X527" s="55"/>
      <c r="Y527" s="55"/>
      <c r="Z527" s="55"/>
      <c r="AA527" s="55"/>
      <c r="AB527" s="55"/>
      <c r="AC527" s="55"/>
      <c r="AD527" s="55"/>
      <c r="AE527" s="55"/>
      <c r="AF527" s="55"/>
      <c r="AG527" s="55"/>
      <c r="AH527" s="55"/>
      <c r="AI527" s="55"/>
      <c r="AJ527" s="55"/>
      <c r="AK527" s="55"/>
      <c r="AL527" s="55"/>
      <c r="AM527" s="55"/>
      <c r="AN527" s="55"/>
      <c r="AO527" s="55"/>
      <c r="AP527" s="55"/>
      <c r="AQ527" s="55"/>
      <c r="AR527" s="55"/>
      <c r="AS527" s="55"/>
      <c r="AT527" s="55"/>
      <c r="AU527" s="55"/>
      <c r="AV527" s="55"/>
      <c r="AW527" s="55"/>
      <c r="AX527" s="55"/>
      <c r="AY527" s="55"/>
      <c r="AZ527" s="55"/>
      <c r="BA527" s="55"/>
      <c r="BB527" s="55"/>
      <c r="BC527" s="55"/>
      <c r="BD527" s="55"/>
      <c r="BE527" s="55"/>
      <c r="BF527" s="55"/>
      <c r="BG527" s="55"/>
      <c r="BH527" s="55"/>
      <c r="BI527" s="55"/>
      <c r="BJ527" s="55"/>
      <c r="BK527" s="55"/>
      <c r="BL527" s="55"/>
      <c r="BM527" s="55"/>
      <c r="BN527" s="55"/>
      <c r="BO527" s="55"/>
      <c r="BP527" s="55"/>
      <c r="BQ527" s="55"/>
      <c r="BR527" s="55"/>
      <c r="BS527" s="55"/>
    </row>
    <row r="528" spans="3:71" outlineLevel="1" x14ac:dyDescent="0.2">
      <c r="J528" s="26"/>
      <c r="L528" s="55"/>
      <c r="M528" s="55"/>
      <c r="N528" s="55"/>
      <c r="O528" s="55"/>
      <c r="P528" s="55"/>
      <c r="Q528" s="55"/>
      <c r="R528" s="55"/>
      <c r="S528" s="55"/>
      <c r="T528" s="55"/>
      <c r="U528" s="55"/>
      <c r="V528" s="55"/>
      <c r="W528" s="55"/>
      <c r="X528" s="55"/>
      <c r="Y528" s="55"/>
      <c r="Z528" s="55"/>
      <c r="AA528" s="55"/>
      <c r="AB528" s="55"/>
      <c r="AC528" s="55"/>
      <c r="AD528" s="55"/>
      <c r="AE528" s="55"/>
      <c r="AF528" s="55"/>
      <c r="AG528" s="55"/>
      <c r="AH528" s="55"/>
      <c r="AI528" s="55"/>
      <c r="AJ528" s="55"/>
      <c r="AK528" s="55"/>
      <c r="AL528" s="55"/>
      <c r="AM528" s="55"/>
      <c r="AN528" s="55"/>
      <c r="AO528" s="55"/>
      <c r="AP528" s="55"/>
      <c r="AQ528" s="55"/>
      <c r="AR528" s="55"/>
      <c r="AS528" s="55"/>
      <c r="AT528" s="55"/>
      <c r="AU528" s="55"/>
      <c r="AV528" s="55"/>
      <c r="AW528" s="55"/>
      <c r="AX528" s="55"/>
      <c r="AY528" s="55"/>
      <c r="AZ528" s="55"/>
      <c r="BA528" s="55"/>
      <c r="BB528" s="55"/>
      <c r="BC528" s="55"/>
      <c r="BD528" s="55"/>
      <c r="BE528" s="55"/>
      <c r="BF528" s="55"/>
      <c r="BG528" s="55"/>
      <c r="BH528" s="55"/>
      <c r="BI528" s="55"/>
      <c r="BJ528" s="55"/>
      <c r="BK528" s="55"/>
      <c r="BL528" s="55"/>
      <c r="BM528" s="55"/>
      <c r="BN528" s="55"/>
      <c r="BO528" s="55"/>
      <c r="BP528" s="55"/>
      <c r="BQ528" s="55"/>
      <c r="BR528" s="55"/>
      <c r="BS528" s="55"/>
    </row>
    <row r="529" spans="1:71" outlineLevel="1" x14ac:dyDescent="0.2">
      <c r="J529" s="26"/>
      <c r="L529" s="55"/>
      <c r="M529" s="55"/>
      <c r="N529" s="55"/>
      <c r="O529" s="55"/>
      <c r="P529" s="55"/>
      <c r="Q529" s="55"/>
      <c r="R529" s="55"/>
      <c r="S529" s="55"/>
      <c r="T529" s="55"/>
      <c r="U529" s="55"/>
      <c r="V529" s="55"/>
      <c r="W529" s="55"/>
      <c r="X529" s="55"/>
      <c r="Y529" s="55"/>
      <c r="Z529" s="55"/>
      <c r="AA529" s="55"/>
      <c r="AB529" s="55"/>
      <c r="AC529" s="55"/>
      <c r="AD529" s="55"/>
      <c r="AE529" s="55"/>
      <c r="AF529" s="55"/>
      <c r="AG529" s="55"/>
      <c r="AH529" s="55"/>
      <c r="AI529" s="55"/>
      <c r="AJ529" s="55"/>
      <c r="AK529" s="55"/>
      <c r="AL529" s="55"/>
      <c r="AM529" s="55"/>
      <c r="AN529" s="55"/>
      <c r="AO529" s="55"/>
      <c r="AP529" s="55"/>
      <c r="AQ529" s="55"/>
      <c r="AR529" s="55"/>
      <c r="AS529" s="55"/>
      <c r="AT529" s="55"/>
      <c r="AU529" s="55"/>
      <c r="AV529" s="55"/>
      <c r="AW529" s="55"/>
      <c r="AX529" s="55"/>
      <c r="AY529" s="55"/>
      <c r="AZ529" s="55"/>
      <c r="BA529" s="55"/>
      <c r="BB529" s="55"/>
      <c r="BC529" s="55"/>
      <c r="BD529" s="55"/>
      <c r="BE529" s="55"/>
      <c r="BF529" s="55"/>
      <c r="BG529" s="55"/>
      <c r="BH529" s="55"/>
      <c r="BI529" s="55"/>
      <c r="BJ529" s="55"/>
      <c r="BK529" s="55"/>
      <c r="BL529" s="55"/>
      <c r="BM529" s="55"/>
      <c r="BN529" s="55"/>
      <c r="BO529" s="55"/>
      <c r="BP529" s="55"/>
      <c r="BQ529" s="55"/>
      <c r="BR529" s="55"/>
      <c r="BS529" s="55"/>
    </row>
    <row r="530" spans="1:71" outlineLevel="1" x14ac:dyDescent="0.2">
      <c r="J530" s="26"/>
      <c r="L530" s="55"/>
      <c r="M530" s="55"/>
      <c r="N530" s="55"/>
      <c r="O530" s="55"/>
      <c r="P530" s="55"/>
      <c r="Q530" s="55"/>
      <c r="R530" s="55"/>
      <c r="S530" s="55"/>
      <c r="T530" s="55"/>
      <c r="U530" s="55"/>
      <c r="V530" s="55"/>
      <c r="W530" s="55"/>
      <c r="X530" s="55"/>
      <c r="Y530" s="55"/>
      <c r="Z530" s="55"/>
      <c r="AA530" s="55"/>
      <c r="AB530" s="55"/>
      <c r="AC530" s="55"/>
      <c r="AD530" s="55"/>
      <c r="AE530" s="55"/>
      <c r="AF530" s="55"/>
      <c r="AG530" s="55"/>
      <c r="AH530" s="55"/>
      <c r="AI530" s="55"/>
      <c r="AJ530" s="55"/>
      <c r="AK530" s="55"/>
      <c r="AL530" s="55"/>
      <c r="AM530" s="55"/>
      <c r="AN530" s="55"/>
      <c r="AO530" s="55"/>
      <c r="AP530" s="55"/>
      <c r="AQ530" s="55"/>
      <c r="AR530" s="55"/>
      <c r="AS530" s="55"/>
      <c r="AT530" s="55"/>
      <c r="AU530" s="55"/>
      <c r="AV530" s="55"/>
      <c r="AW530" s="55"/>
      <c r="AX530" s="55"/>
      <c r="AY530" s="55"/>
      <c r="AZ530" s="55"/>
      <c r="BA530" s="55"/>
      <c r="BB530" s="55"/>
      <c r="BC530" s="55"/>
      <c r="BD530" s="55"/>
      <c r="BE530" s="55"/>
      <c r="BF530" s="55"/>
      <c r="BG530" s="55"/>
      <c r="BH530" s="55"/>
      <c r="BI530" s="55"/>
      <c r="BJ530" s="55"/>
      <c r="BK530" s="55"/>
      <c r="BL530" s="55"/>
      <c r="BM530" s="55"/>
      <c r="BN530" s="55"/>
      <c r="BO530" s="55"/>
      <c r="BP530" s="55"/>
      <c r="BQ530" s="55"/>
      <c r="BR530" s="55"/>
      <c r="BS530" s="55"/>
    </row>
    <row r="531" spans="1:71" outlineLevel="1" x14ac:dyDescent="0.2">
      <c r="A531" s="45"/>
      <c r="B531" s="38" t="str">
        <f>HM_ZA_Nkossa!B520</f>
        <v>Flux de trésorerie du Gouv.</v>
      </c>
      <c r="C531" s="45"/>
      <c r="D531" s="45"/>
      <c r="E531" s="45"/>
      <c r="J531" s="26"/>
      <c r="L531" s="55"/>
      <c r="M531" s="55"/>
      <c r="N531" s="55"/>
      <c r="O531" s="55"/>
      <c r="P531" s="55"/>
      <c r="Q531" s="55"/>
      <c r="R531" s="55"/>
      <c r="S531" s="55"/>
      <c r="T531" s="55"/>
      <c r="U531" s="55"/>
      <c r="V531" s="55"/>
      <c r="W531" s="55"/>
      <c r="X531" s="55"/>
      <c r="Y531" s="55"/>
      <c r="Z531" s="55"/>
      <c r="AA531" s="55"/>
      <c r="AB531" s="55"/>
      <c r="AC531" s="55"/>
      <c r="AD531" s="55"/>
      <c r="AE531" s="55"/>
      <c r="AF531" s="55"/>
      <c r="AG531" s="55"/>
      <c r="AH531" s="55"/>
      <c r="AI531" s="55"/>
      <c r="AJ531" s="55"/>
      <c r="AK531" s="55"/>
      <c r="AL531" s="55"/>
      <c r="AM531" s="55"/>
      <c r="AN531" s="55"/>
      <c r="AO531" s="55"/>
      <c r="AP531" s="55"/>
      <c r="AQ531" s="55"/>
      <c r="AR531" s="55"/>
      <c r="AS531" s="55"/>
      <c r="AT531" s="55"/>
      <c r="AU531" s="55"/>
      <c r="AV531" s="55"/>
      <c r="AW531" s="55"/>
      <c r="AX531" s="55"/>
      <c r="AY531" s="55"/>
      <c r="AZ531" s="55"/>
      <c r="BA531" s="55"/>
      <c r="BB531" s="55"/>
      <c r="BC531" s="55"/>
      <c r="BD531" s="55"/>
      <c r="BE531" s="55"/>
      <c r="BF531" s="55"/>
      <c r="BG531" s="55"/>
      <c r="BH531" s="55"/>
      <c r="BI531" s="55"/>
      <c r="BJ531" s="55"/>
      <c r="BK531" s="55"/>
      <c r="BL531" s="55"/>
      <c r="BM531" s="55"/>
      <c r="BN531" s="55"/>
      <c r="BO531" s="55"/>
      <c r="BP531" s="55"/>
      <c r="BQ531" s="55"/>
      <c r="BR531" s="55"/>
      <c r="BS531" s="55"/>
    </row>
    <row r="532" spans="1:71" outlineLevel="1" x14ac:dyDescent="0.2">
      <c r="J532" s="26"/>
      <c r="L532" s="55"/>
      <c r="M532" s="55"/>
      <c r="N532" s="55"/>
      <c r="O532" s="55"/>
      <c r="P532" s="55"/>
      <c r="Q532" s="55"/>
      <c r="R532" s="55"/>
      <c r="S532" s="55"/>
      <c r="T532" s="55"/>
      <c r="U532" s="55"/>
      <c r="V532" s="55"/>
      <c r="W532" s="55"/>
      <c r="X532" s="55"/>
      <c r="Y532" s="55"/>
      <c r="Z532" s="55"/>
      <c r="AA532" s="55"/>
      <c r="AB532" s="55"/>
      <c r="AC532" s="55"/>
      <c r="AD532" s="55"/>
      <c r="AE532" s="55"/>
      <c r="AF532" s="55"/>
      <c r="AG532" s="55"/>
      <c r="AH532" s="55"/>
      <c r="AI532" s="55"/>
      <c r="AJ532" s="55"/>
      <c r="AK532" s="55"/>
      <c r="AL532" s="55"/>
      <c r="AM532" s="55"/>
      <c r="AN532" s="55"/>
      <c r="AO532" s="55"/>
      <c r="AP532" s="55"/>
      <c r="AQ532" s="55"/>
      <c r="AR532" s="55"/>
      <c r="AS532" s="55"/>
      <c r="AT532" s="55"/>
      <c r="AU532" s="55"/>
      <c r="AV532" s="55"/>
      <c r="AW532" s="55"/>
      <c r="AX532" s="55"/>
      <c r="AY532" s="55"/>
      <c r="AZ532" s="55"/>
      <c r="BA532" s="55"/>
      <c r="BB532" s="55"/>
      <c r="BC532" s="55"/>
      <c r="BD532" s="55"/>
      <c r="BE532" s="55"/>
      <c r="BF532" s="55"/>
      <c r="BG532" s="55"/>
      <c r="BH532" s="55"/>
      <c r="BI532" s="55"/>
      <c r="BJ532" s="55"/>
      <c r="BK532" s="55"/>
      <c r="BL532" s="55"/>
      <c r="BM532" s="55"/>
      <c r="BN532" s="55"/>
      <c r="BO532" s="55"/>
      <c r="BP532" s="55"/>
      <c r="BQ532" s="55"/>
      <c r="BR532" s="55"/>
      <c r="BS532" s="55"/>
    </row>
    <row r="533" spans="1:71" outlineLevel="1" x14ac:dyDescent="0.2">
      <c r="C533" s="11" t="str">
        <f>HM_ZA_Nkossa!C522</f>
        <v>Revenus</v>
      </c>
      <c r="J533" s="26"/>
      <c r="L533" s="55"/>
      <c r="M533" s="55"/>
      <c r="N533" s="55"/>
      <c r="O533" s="55"/>
      <c r="P533" s="55"/>
      <c r="Q533" s="55"/>
      <c r="R533" s="55"/>
      <c r="S533" s="55"/>
      <c r="T533" s="55"/>
      <c r="U533" s="55"/>
      <c r="V533" s="55"/>
      <c r="W533" s="55"/>
      <c r="X533" s="55"/>
      <c r="Y533" s="55"/>
      <c r="Z533" s="55"/>
      <c r="AA533" s="55"/>
      <c r="AB533" s="55"/>
      <c r="AC533" s="55"/>
      <c r="AD533" s="55"/>
      <c r="AE533" s="55"/>
      <c r="AF533" s="55"/>
      <c r="AG533" s="55"/>
      <c r="AH533" s="55"/>
      <c r="AI533" s="55"/>
      <c r="AJ533" s="55"/>
      <c r="AK533" s="55"/>
      <c r="AL533" s="55"/>
      <c r="AM533" s="55"/>
      <c r="AN533" s="55"/>
      <c r="AO533" s="55"/>
      <c r="AP533" s="55"/>
      <c r="AQ533" s="55"/>
      <c r="AR533" s="55"/>
      <c r="AS533" s="55"/>
      <c r="AT533" s="55"/>
      <c r="AU533" s="55"/>
      <c r="AV533" s="55"/>
      <c r="AW533" s="55"/>
      <c r="AX533" s="55"/>
      <c r="AY533" s="55"/>
      <c r="AZ533" s="55"/>
      <c r="BA533" s="55"/>
      <c r="BB533" s="55"/>
      <c r="BC533" s="55"/>
      <c r="BD533" s="55"/>
      <c r="BE533" s="55"/>
      <c r="BF533" s="55"/>
      <c r="BG533" s="55"/>
      <c r="BH533" s="55"/>
      <c r="BI533" s="55"/>
      <c r="BJ533" s="55"/>
      <c r="BK533" s="55"/>
      <c r="BL533" s="55"/>
      <c r="BM533" s="55"/>
      <c r="BN533" s="55"/>
      <c r="BO533" s="55"/>
      <c r="BP533" s="55"/>
      <c r="BQ533" s="55"/>
      <c r="BR533" s="55"/>
      <c r="BS533" s="55"/>
    </row>
    <row r="534" spans="1:71" outlineLevel="1" x14ac:dyDescent="0.2">
      <c r="D534" t="str">
        <f>HM_ZA_Nkossa!D523</f>
        <v>Redevance</v>
      </c>
      <c r="H534" s="7" t="s">
        <v>590</v>
      </c>
      <c r="I534" s="30">
        <f t="shared" ref="I534:I549" ca="1" si="142">SUM($L534:$BS534)</f>
        <v>87.722911509861632</v>
      </c>
      <c r="J534" s="26" t="s">
        <v>148</v>
      </c>
      <c r="L534" s="49" cm="1">
        <f t="array" aca="1" ref="L534:BS534" ca="1">HM_ZB_Nsoko!CA_roy_total_fp</f>
        <v>12.590005393949999</v>
      </c>
      <c r="M534" s="49">
        <f ca="1"/>
        <v>12.635584831649998</v>
      </c>
      <c r="N534" s="49">
        <f ca="1"/>
        <v>7.2718606026000003</v>
      </c>
      <c r="O534" s="49">
        <f ca="1"/>
        <v>4.9604384968500002</v>
      </c>
      <c r="P534" s="49">
        <f ca="1"/>
        <v>5.9708618675999992</v>
      </c>
      <c r="Q534" s="49">
        <f ca="1"/>
        <v>7.1338172449499995</v>
      </c>
      <c r="R534" s="49">
        <f ca="1"/>
        <v>2.4630041549999997</v>
      </c>
      <c r="S534" s="49">
        <f ca="1"/>
        <v>4.640946581620474</v>
      </c>
      <c r="T534" s="49">
        <f ca="1"/>
        <v>6.4010323495917296</v>
      </c>
      <c r="U534" s="49">
        <f ca="1"/>
        <v>6.3898312358323421</v>
      </c>
      <c r="V534" s="49">
        <f ca="1"/>
        <v>6.0613939103105583</v>
      </c>
      <c r="W534" s="49">
        <f ca="1"/>
        <v>5.7498382633205951</v>
      </c>
      <c r="X534" s="49">
        <f ca="1"/>
        <v>5.454296576585917</v>
      </c>
      <c r="Y534" s="49">
        <f ca="1"/>
        <v>0</v>
      </c>
      <c r="Z534" s="49">
        <f ca="1"/>
        <v>0</v>
      </c>
      <c r="AA534" s="49">
        <f ca="1"/>
        <v>0</v>
      </c>
      <c r="AB534" s="49">
        <f ca="1"/>
        <v>0</v>
      </c>
      <c r="AC534" s="49">
        <f ca="1"/>
        <v>0</v>
      </c>
      <c r="AD534" s="49">
        <f ca="1"/>
        <v>0</v>
      </c>
      <c r="AE534" s="49">
        <f ca="1"/>
        <v>0</v>
      </c>
      <c r="AF534" s="49">
        <f ca="1"/>
        <v>0</v>
      </c>
      <c r="AG534" s="49">
        <f ca="1"/>
        <v>0</v>
      </c>
      <c r="AH534" s="49">
        <f ca="1"/>
        <v>0</v>
      </c>
      <c r="AI534" s="49">
        <f ca="1"/>
        <v>0</v>
      </c>
      <c r="AJ534" s="49">
        <f ca="1"/>
        <v>0</v>
      </c>
      <c r="AK534" s="49">
        <f ca="1"/>
        <v>0</v>
      </c>
      <c r="AL534" s="49">
        <f ca="1"/>
        <v>0</v>
      </c>
      <c r="AM534" s="49">
        <f ca="1"/>
        <v>0</v>
      </c>
      <c r="AN534" s="49">
        <f ca="1"/>
        <v>0</v>
      </c>
      <c r="AO534" s="49">
        <f ca="1"/>
        <v>0</v>
      </c>
      <c r="AP534" s="49">
        <f ca="1"/>
        <v>0</v>
      </c>
      <c r="AQ534" s="49">
        <f ca="1"/>
        <v>0</v>
      </c>
      <c r="AR534" s="49">
        <f ca="1"/>
        <v>0</v>
      </c>
      <c r="AS534" s="49">
        <f ca="1"/>
        <v>0</v>
      </c>
      <c r="AT534" s="49">
        <f ca="1"/>
        <v>0</v>
      </c>
      <c r="AU534" s="49">
        <f ca="1"/>
        <v>0</v>
      </c>
      <c r="AV534" s="49">
        <f ca="1"/>
        <v>0</v>
      </c>
      <c r="AW534" s="49">
        <f ca="1"/>
        <v>0</v>
      </c>
      <c r="AX534" s="49">
        <f ca="1"/>
        <v>0</v>
      </c>
      <c r="AY534" s="49">
        <f ca="1"/>
        <v>0</v>
      </c>
      <c r="AZ534" s="49">
        <f ca="1"/>
        <v>0</v>
      </c>
      <c r="BA534" s="49">
        <f ca="1"/>
        <v>0</v>
      </c>
      <c r="BB534" s="49">
        <f ca="1"/>
        <v>0</v>
      </c>
      <c r="BC534" s="49">
        <f ca="1"/>
        <v>0</v>
      </c>
      <c r="BD534" s="49">
        <f ca="1"/>
        <v>0</v>
      </c>
      <c r="BE534" s="49">
        <f ca="1"/>
        <v>0</v>
      </c>
      <c r="BF534" s="49">
        <f ca="1"/>
        <v>0</v>
      </c>
      <c r="BG534" s="49">
        <f ca="1"/>
        <v>0</v>
      </c>
      <c r="BH534" s="49">
        <f ca="1"/>
        <v>0</v>
      </c>
      <c r="BI534" s="49">
        <f ca="1"/>
        <v>0</v>
      </c>
      <c r="BJ534" s="49">
        <f ca="1"/>
        <v>0</v>
      </c>
      <c r="BK534" s="49">
        <f ca="1"/>
        <v>0</v>
      </c>
      <c r="BL534" s="49">
        <f ca="1"/>
        <v>0</v>
      </c>
      <c r="BM534" s="49">
        <f ca="1"/>
        <v>0</v>
      </c>
      <c r="BN534" s="49">
        <f ca="1"/>
        <v>0</v>
      </c>
      <c r="BO534" s="49">
        <f ca="1"/>
        <v>0</v>
      </c>
      <c r="BP534" s="49">
        <f ca="1"/>
        <v>0</v>
      </c>
      <c r="BQ534" s="49">
        <f ca="1"/>
        <v>0</v>
      </c>
      <c r="BR534" s="49">
        <f ca="1"/>
        <v>0</v>
      </c>
      <c r="BS534" s="49">
        <f ca="1"/>
        <v>0</v>
      </c>
    </row>
    <row r="535" spans="1:71" outlineLevel="1" x14ac:dyDescent="0.2">
      <c r="D535" t="str">
        <f>HM_ZA_Nkossa!D524</f>
        <v>Coûts PID</v>
      </c>
      <c r="H535" s="7" t="s">
        <v>591</v>
      </c>
      <c r="I535" s="30">
        <f t="shared" ca="1" si="142"/>
        <v>5.8481941006574409</v>
      </c>
      <c r="J535" s="26" t="s">
        <v>148</v>
      </c>
      <c r="L535" s="49" cm="1">
        <f t="array" aca="1" ref="L535:BS535" ca="1">HM_ZB_Nsoko!CA_pid_fees</f>
        <v>0.83933369293000004</v>
      </c>
      <c r="M535" s="49">
        <f ca="1"/>
        <v>0.8423723221099999</v>
      </c>
      <c r="N535" s="49">
        <f ca="1"/>
        <v>0.48479070684000009</v>
      </c>
      <c r="O535" s="49">
        <f ca="1"/>
        <v>0.33069589979000003</v>
      </c>
      <c r="P535" s="49">
        <f ca="1"/>
        <v>0.39805745783999996</v>
      </c>
      <c r="Q535" s="49">
        <f ca="1"/>
        <v>0.47558781632999997</v>
      </c>
      <c r="R535" s="49">
        <f ca="1"/>
        <v>0.16420027699999998</v>
      </c>
      <c r="S535" s="49">
        <f ca="1"/>
        <v>0.3093964387746983</v>
      </c>
      <c r="T535" s="49">
        <f ca="1"/>
        <v>0.42673548997278199</v>
      </c>
      <c r="U535" s="49">
        <f ca="1"/>
        <v>0.42598874905548945</v>
      </c>
      <c r="V535" s="49">
        <f ca="1"/>
        <v>0.40409292735403723</v>
      </c>
      <c r="W535" s="49">
        <f ca="1"/>
        <v>0.38332255088803968</v>
      </c>
      <c r="X535" s="49">
        <f ca="1"/>
        <v>0.36361977177239446</v>
      </c>
      <c r="Y535" s="49">
        <f ca="1"/>
        <v>0</v>
      </c>
      <c r="Z535" s="49">
        <f ca="1"/>
        <v>0</v>
      </c>
      <c r="AA535" s="49">
        <f ca="1"/>
        <v>0</v>
      </c>
      <c r="AB535" s="49">
        <f ca="1"/>
        <v>0</v>
      </c>
      <c r="AC535" s="49">
        <f ca="1"/>
        <v>0</v>
      </c>
      <c r="AD535" s="49">
        <f ca="1"/>
        <v>0</v>
      </c>
      <c r="AE535" s="49">
        <f ca="1"/>
        <v>0</v>
      </c>
      <c r="AF535" s="49">
        <f ca="1"/>
        <v>0</v>
      </c>
      <c r="AG535" s="49">
        <f ca="1"/>
        <v>0</v>
      </c>
      <c r="AH535" s="49">
        <f ca="1"/>
        <v>0</v>
      </c>
      <c r="AI535" s="49">
        <f ca="1"/>
        <v>0</v>
      </c>
      <c r="AJ535" s="49">
        <f ca="1"/>
        <v>0</v>
      </c>
      <c r="AK535" s="49">
        <f ca="1"/>
        <v>0</v>
      </c>
      <c r="AL535" s="49">
        <f ca="1"/>
        <v>0</v>
      </c>
      <c r="AM535" s="49">
        <f ca="1"/>
        <v>0</v>
      </c>
      <c r="AN535" s="49">
        <f ca="1"/>
        <v>0</v>
      </c>
      <c r="AO535" s="49">
        <f ca="1"/>
        <v>0</v>
      </c>
      <c r="AP535" s="49">
        <f ca="1"/>
        <v>0</v>
      </c>
      <c r="AQ535" s="49">
        <f ca="1"/>
        <v>0</v>
      </c>
      <c r="AR535" s="49">
        <f ca="1"/>
        <v>0</v>
      </c>
      <c r="AS535" s="49">
        <f ca="1"/>
        <v>0</v>
      </c>
      <c r="AT535" s="49">
        <f ca="1"/>
        <v>0</v>
      </c>
      <c r="AU535" s="49">
        <f ca="1"/>
        <v>0</v>
      </c>
      <c r="AV535" s="49">
        <f ca="1"/>
        <v>0</v>
      </c>
      <c r="AW535" s="49">
        <f ca="1"/>
        <v>0</v>
      </c>
      <c r="AX535" s="49">
        <f ca="1"/>
        <v>0</v>
      </c>
      <c r="AY535" s="49">
        <f ca="1"/>
        <v>0</v>
      </c>
      <c r="AZ535" s="49">
        <f ca="1"/>
        <v>0</v>
      </c>
      <c r="BA535" s="49">
        <f ca="1"/>
        <v>0</v>
      </c>
      <c r="BB535" s="49">
        <f ca="1"/>
        <v>0</v>
      </c>
      <c r="BC535" s="49">
        <f ca="1"/>
        <v>0</v>
      </c>
      <c r="BD535" s="49">
        <f ca="1"/>
        <v>0</v>
      </c>
      <c r="BE535" s="49">
        <f ca="1"/>
        <v>0</v>
      </c>
      <c r="BF535" s="49">
        <f ca="1"/>
        <v>0</v>
      </c>
      <c r="BG535" s="49">
        <f ca="1"/>
        <v>0</v>
      </c>
      <c r="BH535" s="49">
        <f ca="1"/>
        <v>0</v>
      </c>
      <c r="BI535" s="49">
        <f ca="1"/>
        <v>0</v>
      </c>
      <c r="BJ535" s="49">
        <f ca="1"/>
        <v>0</v>
      </c>
      <c r="BK535" s="49">
        <f ca="1"/>
        <v>0</v>
      </c>
      <c r="BL535" s="49">
        <f ca="1"/>
        <v>0</v>
      </c>
      <c r="BM535" s="49">
        <f ca="1"/>
        <v>0</v>
      </c>
      <c r="BN535" s="49">
        <f ca="1"/>
        <v>0</v>
      </c>
      <c r="BO535" s="49">
        <f ca="1"/>
        <v>0</v>
      </c>
      <c r="BP535" s="49">
        <f ca="1"/>
        <v>0</v>
      </c>
      <c r="BQ535" s="49">
        <f ca="1"/>
        <v>0</v>
      </c>
      <c r="BR535" s="49">
        <f ca="1"/>
        <v>0</v>
      </c>
      <c r="BS535" s="49">
        <f ca="1"/>
        <v>0</v>
      </c>
    </row>
    <row r="536" spans="1:71" outlineLevel="1" x14ac:dyDescent="0.2">
      <c r="D536" t="str">
        <f>HM_ZA_Nkossa!D525</f>
        <v>Excess Cost Oil</v>
      </c>
      <c r="H536" s="7" t="s">
        <v>592</v>
      </c>
      <c r="I536" s="30">
        <f t="shared" ca="1" si="142"/>
        <v>0</v>
      </c>
      <c r="J536" s="26" t="s">
        <v>148</v>
      </c>
      <c r="L536" s="49" cm="1">
        <f t="array" aca="1" ref="L536:BS536" ca="1">HM_ZB_Nsoko!CA_excess_CR_gov</f>
        <v>0</v>
      </c>
      <c r="M536" s="49">
        <f ca="1"/>
        <v>0</v>
      </c>
      <c r="N536" s="49">
        <f ca="1"/>
        <v>0</v>
      </c>
      <c r="O536" s="49">
        <f ca="1"/>
        <v>0</v>
      </c>
      <c r="P536" s="49">
        <f ca="1"/>
        <v>0</v>
      </c>
      <c r="Q536" s="49">
        <f ca="1"/>
        <v>0</v>
      </c>
      <c r="R536" s="49">
        <f ca="1"/>
        <v>0</v>
      </c>
      <c r="S536" s="49">
        <f ca="1"/>
        <v>0</v>
      </c>
      <c r="T536" s="49">
        <f ca="1"/>
        <v>0</v>
      </c>
      <c r="U536" s="49">
        <f ca="1"/>
        <v>0</v>
      </c>
      <c r="V536" s="49">
        <f ca="1"/>
        <v>0</v>
      </c>
      <c r="W536" s="49">
        <f ca="1"/>
        <v>0</v>
      </c>
      <c r="X536" s="49">
        <f ca="1"/>
        <v>0</v>
      </c>
      <c r="Y536" s="49">
        <f ca="1"/>
        <v>0</v>
      </c>
      <c r="Z536" s="49">
        <f ca="1"/>
        <v>0</v>
      </c>
      <c r="AA536" s="49">
        <f ca="1"/>
        <v>0</v>
      </c>
      <c r="AB536" s="49">
        <f ca="1"/>
        <v>0</v>
      </c>
      <c r="AC536" s="49">
        <f ca="1"/>
        <v>0</v>
      </c>
      <c r="AD536" s="49">
        <f ca="1"/>
        <v>0</v>
      </c>
      <c r="AE536" s="49">
        <f ca="1"/>
        <v>0</v>
      </c>
      <c r="AF536" s="49">
        <f ca="1"/>
        <v>0</v>
      </c>
      <c r="AG536" s="49">
        <f ca="1"/>
        <v>0</v>
      </c>
      <c r="AH536" s="49">
        <f ca="1"/>
        <v>0</v>
      </c>
      <c r="AI536" s="49">
        <f ca="1"/>
        <v>0</v>
      </c>
      <c r="AJ536" s="49">
        <f ca="1"/>
        <v>0</v>
      </c>
      <c r="AK536" s="49">
        <f ca="1"/>
        <v>0</v>
      </c>
      <c r="AL536" s="49">
        <f ca="1"/>
        <v>0</v>
      </c>
      <c r="AM536" s="49">
        <f ca="1"/>
        <v>0</v>
      </c>
      <c r="AN536" s="49">
        <f ca="1"/>
        <v>0</v>
      </c>
      <c r="AO536" s="49">
        <f ca="1"/>
        <v>0</v>
      </c>
      <c r="AP536" s="49">
        <f ca="1"/>
        <v>0</v>
      </c>
      <c r="AQ536" s="49">
        <f ca="1"/>
        <v>0</v>
      </c>
      <c r="AR536" s="49">
        <f ca="1"/>
        <v>0</v>
      </c>
      <c r="AS536" s="49">
        <f ca="1"/>
        <v>0</v>
      </c>
      <c r="AT536" s="49">
        <f ca="1"/>
        <v>0</v>
      </c>
      <c r="AU536" s="49">
        <f ca="1"/>
        <v>0</v>
      </c>
      <c r="AV536" s="49">
        <f ca="1"/>
        <v>0</v>
      </c>
      <c r="AW536" s="49">
        <f ca="1"/>
        <v>0</v>
      </c>
      <c r="AX536" s="49">
        <f ca="1"/>
        <v>0</v>
      </c>
      <c r="AY536" s="49">
        <f ca="1"/>
        <v>0</v>
      </c>
      <c r="AZ536" s="49">
        <f ca="1"/>
        <v>0</v>
      </c>
      <c r="BA536" s="49">
        <f ca="1"/>
        <v>0</v>
      </c>
      <c r="BB536" s="49">
        <f ca="1"/>
        <v>0</v>
      </c>
      <c r="BC536" s="49">
        <f ca="1"/>
        <v>0</v>
      </c>
      <c r="BD536" s="49">
        <f ca="1"/>
        <v>0</v>
      </c>
      <c r="BE536" s="49">
        <f ca="1"/>
        <v>0</v>
      </c>
      <c r="BF536" s="49">
        <f ca="1"/>
        <v>0</v>
      </c>
      <c r="BG536" s="49">
        <f ca="1"/>
        <v>0</v>
      </c>
      <c r="BH536" s="49">
        <f ca="1"/>
        <v>0</v>
      </c>
      <c r="BI536" s="49">
        <f ca="1"/>
        <v>0</v>
      </c>
      <c r="BJ536" s="49">
        <f ca="1"/>
        <v>0</v>
      </c>
      <c r="BK536" s="49">
        <f ca="1"/>
        <v>0</v>
      </c>
      <c r="BL536" s="49">
        <f ca="1"/>
        <v>0</v>
      </c>
      <c r="BM536" s="49">
        <f ca="1"/>
        <v>0</v>
      </c>
      <c r="BN536" s="49">
        <f ca="1"/>
        <v>0</v>
      </c>
      <c r="BO536" s="49">
        <f ca="1"/>
        <v>0</v>
      </c>
      <c r="BP536" s="49">
        <f ca="1"/>
        <v>0</v>
      </c>
      <c r="BQ536" s="49">
        <f ca="1"/>
        <v>0</v>
      </c>
      <c r="BR536" s="49">
        <f ca="1"/>
        <v>0</v>
      </c>
      <c r="BS536" s="49">
        <f ca="1"/>
        <v>0</v>
      </c>
    </row>
    <row r="537" spans="1:71" outlineLevel="1" x14ac:dyDescent="0.2">
      <c r="D537" t="str">
        <f>HM_ZA_Nkossa!D526</f>
        <v>Super Profit Oil</v>
      </c>
      <c r="H537" s="7" t="s">
        <v>593</v>
      </c>
      <c r="I537" s="30">
        <f t="shared" ca="1" si="142"/>
        <v>164.52898907239623</v>
      </c>
      <c r="J537" s="26" t="s">
        <v>148</v>
      </c>
      <c r="L537" s="49" cm="1">
        <f t="array" aca="1" ref="L537:BS537" ca="1">HM_ZB_Nsoko!CA_Spo_gov</f>
        <v>42.433015596474988</v>
      </c>
      <c r="M537" s="49">
        <f ca="1"/>
        <v>40.58153419109999</v>
      </c>
      <c r="N537" s="49">
        <f ca="1"/>
        <v>12.594979954900005</v>
      </c>
      <c r="O537" s="49">
        <f ca="1"/>
        <v>5.9295359248999997</v>
      </c>
      <c r="P537" s="49">
        <f ca="1"/>
        <v>8.2718587776999968</v>
      </c>
      <c r="Q537" s="49">
        <f ca="1"/>
        <v>17.625229827099997</v>
      </c>
      <c r="R537" s="49">
        <f ca="1"/>
        <v>3.6002903467999996</v>
      </c>
      <c r="S537" s="49">
        <f ca="1"/>
        <v>0</v>
      </c>
      <c r="T537" s="49">
        <f ca="1"/>
        <v>5.311320865044741</v>
      </c>
      <c r="U537" s="49">
        <f ca="1"/>
        <v>6.9782604411477678</v>
      </c>
      <c r="V537" s="49">
        <f ca="1"/>
        <v>7.0444195615376666</v>
      </c>
      <c r="W537" s="49">
        <f ca="1"/>
        <v>7.0774391836449846</v>
      </c>
      <c r="X537" s="49">
        <f ca="1"/>
        <v>7.0811044020460621</v>
      </c>
      <c r="Y537" s="49">
        <f ca="1"/>
        <v>0</v>
      </c>
      <c r="Z537" s="49">
        <f ca="1"/>
        <v>0</v>
      </c>
      <c r="AA537" s="49">
        <f ca="1"/>
        <v>0</v>
      </c>
      <c r="AB537" s="49">
        <f ca="1"/>
        <v>0</v>
      </c>
      <c r="AC537" s="49">
        <f ca="1"/>
        <v>0</v>
      </c>
      <c r="AD537" s="49">
        <f ca="1"/>
        <v>0</v>
      </c>
      <c r="AE537" s="49">
        <f ca="1"/>
        <v>0</v>
      </c>
      <c r="AF537" s="49">
        <f ca="1"/>
        <v>0</v>
      </c>
      <c r="AG537" s="49">
        <f ca="1"/>
        <v>0</v>
      </c>
      <c r="AH537" s="49">
        <f ca="1"/>
        <v>0</v>
      </c>
      <c r="AI537" s="49">
        <f ca="1"/>
        <v>0</v>
      </c>
      <c r="AJ537" s="49">
        <f ca="1"/>
        <v>0</v>
      </c>
      <c r="AK537" s="49">
        <f ca="1"/>
        <v>0</v>
      </c>
      <c r="AL537" s="49">
        <f ca="1"/>
        <v>0</v>
      </c>
      <c r="AM537" s="49">
        <f ca="1"/>
        <v>0</v>
      </c>
      <c r="AN537" s="49">
        <f ca="1"/>
        <v>0</v>
      </c>
      <c r="AO537" s="49">
        <f ca="1"/>
        <v>0</v>
      </c>
      <c r="AP537" s="49">
        <f ca="1"/>
        <v>0</v>
      </c>
      <c r="AQ537" s="49">
        <f ca="1"/>
        <v>0</v>
      </c>
      <c r="AR537" s="49">
        <f ca="1"/>
        <v>0</v>
      </c>
      <c r="AS537" s="49">
        <f ca="1"/>
        <v>0</v>
      </c>
      <c r="AT537" s="49">
        <f ca="1"/>
        <v>0</v>
      </c>
      <c r="AU537" s="49">
        <f ca="1"/>
        <v>0</v>
      </c>
      <c r="AV537" s="49">
        <f ca="1"/>
        <v>0</v>
      </c>
      <c r="AW537" s="49">
        <f ca="1"/>
        <v>0</v>
      </c>
      <c r="AX537" s="49">
        <f ca="1"/>
        <v>0</v>
      </c>
      <c r="AY537" s="49">
        <f ca="1"/>
        <v>0</v>
      </c>
      <c r="AZ537" s="49">
        <f ca="1"/>
        <v>0</v>
      </c>
      <c r="BA537" s="49">
        <f ca="1"/>
        <v>0</v>
      </c>
      <c r="BB537" s="49">
        <f ca="1"/>
        <v>0</v>
      </c>
      <c r="BC537" s="49">
        <f ca="1"/>
        <v>0</v>
      </c>
      <c r="BD537" s="49">
        <f ca="1"/>
        <v>0</v>
      </c>
      <c r="BE537" s="49">
        <f ca="1"/>
        <v>0</v>
      </c>
      <c r="BF537" s="49">
        <f ca="1"/>
        <v>0</v>
      </c>
      <c r="BG537" s="49">
        <f ca="1"/>
        <v>0</v>
      </c>
      <c r="BH537" s="49">
        <f ca="1"/>
        <v>0</v>
      </c>
      <c r="BI537" s="49">
        <f ca="1"/>
        <v>0</v>
      </c>
      <c r="BJ537" s="49">
        <f ca="1"/>
        <v>0</v>
      </c>
      <c r="BK537" s="49">
        <f ca="1"/>
        <v>0</v>
      </c>
      <c r="BL537" s="49">
        <f ca="1"/>
        <v>0</v>
      </c>
      <c r="BM537" s="49">
        <f ca="1"/>
        <v>0</v>
      </c>
      <c r="BN537" s="49">
        <f ca="1"/>
        <v>0</v>
      </c>
      <c r="BO537" s="49">
        <f ca="1"/>
        <v>0</v>
      </c>
      <c r="BP537" s="49">
        <f ca="1"/>
        <v>0</v>
      </c>
      <c r="BQ537" s="49">
        <f ca="1"/>
        <v>0</v>
      </c>
      <c r="BR537" s="49">
        <f ca="1"/>
        <v>0</v>
      </c>
      <c r="BS537" s="49">
        <f ca="1"/>
        <v>0</v>
      </c>
    </row>
    <row r="538" spans="1:71" outlineLevel="1" x14ac:dyDescent="0.2">
      <c r="D538" t="str">
        <f>HM_ZA_Nkossa!D527</f>
        <v>Profit Oil</v>
      </c>
      <c r="H538" s="7" t="s">
        <v>594</v>
      </c>
      <c r="I538" s="30">
        <f t="shared" ca="1" si="142"/>
        <v>37.133383661637886</v>
      </c>
      <c r="J538" s="26" t="s">
        <v>148</v>
      </c>
      <c r="L538" s="49" cm="1">
        <f t="array" aca="1" ref="L538:BS538" ca="1">HM_ZB_Nsoko!CA_PS_gov</f>
        <v>1.9234689856593792</v>
      </c>
      <c r="M538" s="49">
        <f ca="1"/>
        <v>2.1667479848850029</v>
      </c>
      <c r="N538" s="49">
        <f ca="1"/>
        <v>2.5151149796025001</v>
      </c>
      <c r="O538" s="49">
        <f ca="1"/>
        <v>2.0294030106900003</v>
      </c>
      <c r="P538" s="49">
        <f ca="1"/>
        <v>2.3090763855225003</v>
      </c>
      <c r="Q538" s="49">
        <f ca="1"/>
        <v>1.846340255099999</v>
      </c>
      <c r="R538" s="49">
        <f ca="1"/>
        <v>1.4095944719999998</v>
      </c>
      <c r="S538" s="49">
        <f ca="1"/>
        <v>3.8674554846837275</v>
      </c>
      <c r="T538" s="49">
        <f ca="1"/>
        <v>4.3857434701874993</v>
      </c>
      <c r="U538" s="49">
        <f ca="1"/>
        <v>4.0787414272743749</v>
      </c>
      <c r="V538" s="49">
        <f ca="1"/>
        <v>3.7932295273651695</v>
      </c>
      <c r="W538" s="49">
        <f ca="1"/>
        <v>3.5277034604496045</v>
      </c>
      <c r="X538" s="49">
        <f ca="1"/>
        <v>3.2807642182181338</v>
      </c>
      <c r="Y538" s="49">
        <f ca="1"/>
        <v>0</v>
      </c>
      <c r="Z538" s="49">
        <f ca="1"/>
        <v>0</v>
      </c>
      <c r="AA538" s="49">
        <f ca="1"/>
        <v>0</v>
      </c>
      <c r="AB538" s="49">
        <f ca="1"/>
        <v>0</v>
      </c>
      <c r="AC538" s="49">
        <f ca="1"/>
        <v>0</v>
      </c>
      <c r="AD538" s="49">
        <f ca="1"/>
        <v>0</v>
      </c>
      <c r="AE538" s="49">
        <f ca="1"/>
        <v>0</v>
      </c>
      <c r="AF538" s="49">
        <f ca="1"/>
        <v>0</v>
      </c>
      <c r="AG538" s="49">
        <f ca="1"/>
        <v>0</v>
      </c>
      <c r="AH538" s="49">
        <f ca="1"/>
        <v>0</v>
      </c>
      <c r="AI538" s="49">
        <f ca="1"/>
        <v>0</v>
      </c>
      <c r="AJ538" s="49">
        <f ca="1"/>
        <v>0</v>
      </c>
      <c r="AK538" s="49">
        <f ca="1"/>
        <v>0</v>
      </c>
      <c r="AL538" s="49">
        <f ca="1"/>
        <v>0</v>
      </c>
      <c r="AM538" s="49">
        <f ca="1"/>
        <v>0</v>
      </c>
      <c r="AN538" s="49">
        <f ca="1"/>
        <v>0</v>
      </c>
      <c r="AO538" s="49">
        <f ca="1"/>
        <v>0</v>
      </c>
      <c r="AP538" s="49">
        <f ca="1"/>
        <v>0</v>
      </c>
      <c r="AQ538" s="49">
        <f ca="1"/>
        <v>0</v>
      </c>
      <c r="AR538" s="49">
        <f ca="1"/>
        <v>0</v>
      </c>
      <c r="AS538" s="49">
        <f ca="1"/>
        <v>0</v>
      </c>
      <c r="AT538" s="49">
        <f ca="1"/>
        <v>0</v>
      </c>
      <c r="AU538" s="49">
        <f ca="1"/>
        <v>0</v>
      </c>
      <c r="AV538" s="49">
        <f ca="1"/>
        <v>0</v>
      </c>
      <c r="AW538" s="49">
        <f ca="1"/>
        <v>0</v>
      </c>
      <c r="AX538" s="49">
        <f ca="1"/>
        <v>0</v>
      </c>
      <c r="AY538" s="49">
        <f ca="1"/>
        <v>0</v>
      </c>
      <c r="AZ538" s="49">
        <f ca="1"/>
        <v>0</v>
      </c>
      <c r="BA538" s="49">
        <f ca="1"/>
        <v>0</v>
      </c>
      <c r="BB538" s="49">
        <f ca="1"/>
        <v>0</v>
      </c>
      <c r="BC538" s="49">
        <f ca="1"/>
        <v>0</v>
      </c>
      <c r="BD538" s="49">
        <f ca="1"/>
        <v>0</v>
      </c>
      <c r="BE538" s="49">
        <f ca="1"/>
        <v>0</v>
      </c>
      <c r="BF538" s="49">
        <f ca="1"/>
        <v>0</v>
      </c>
      <c r="BG538" s="49">
        <f ca="1"/>
        <v>0</v>
      </c>
      <c r="BH538" s="49">
        <f ca="1"/>
        <v>0</v>
      </c>
      <c r="BI538" s="49">
        <f ca="1"/>
        <v>0</v>
      </c>
      <c r="BJ538" s="49">
        <f ca="1"/>
        <v>0</v>
      </c>
      <c r="BK538" s="49">
        <f ca="1"/>
        <v>0</v>
      </c>
      <c r="BL538" s="49">
        <f ca="1"/>
        <v>0</v>
      </c>
      <c r="BM538" s="49">
        <f ca="1"/>
        <v>0</v>
      </c>
      <c r="BN538" s="49">
        <f ca="1"/>
        <v>0</v>
      </c>
      <c r="BO538" s="49">
        <f ca="1"/>
        <v>0</v>
      </c>
      <c r="BP538" s="49">
        <f ca="1"/>
        <v>0</v>
      </c>
      <c r="BQ538" s="49">
        <f ca="1"/>
        <v>0</v>
      </c>
      <c r="BR538" s="49">
        <f ca="1"/>
        <v>0</v>
      </c>
      <c r="BS538" s="49">
        <f ca="1"/>
        <v>0</v>
      </c>
    </row>
    <row r="539" spans="1:71" outlineLevel="1" x14ac:dyDescent="0.2">
      <c r="D539" t="str">
        <f>HM_ZA_Nkossa!D528</f>
        <v>Production et autres taxes</v>
      </c>
      <c r="I539" s="30">
        <f t="shared" si="142"/>
        <v>0</v>
      </c>
      <c r="J539" s="26" t="s">
        <v>148</v>
      </c>
      <c r="L539" s="49">
        <v>0</v>
      </c>
      <c r="M539" s="49">
        <v>0</v>
      </c>
      <c r="N539" s="49">
        <v>0</v>
      </c>
      <c r="O539" s="49">
        <v>0</v>
      </c>
      <c r="P539" s="49">
        <v>0</v>
      </c>
      <c r="Q539" s="49">
        <v>0</v>
      </c>
      <c r="R539" s="49">
        <v>0</v>
      </c>
      <c r="S539" s="49">
        <v>0</v>
      </c>
      <c r="T539" s="49">
        <v>0</v>
      </c>
      <c r="U539" s="49">
        <v>0</v>
      </c>
      <c r="V539" s="49">
        <v>0</v>
      </c>
      <c r="W539" s="49">
        <v>0</v>
      </c>
      <c r="X539" s="49">
        <v>0</v>
      </c>
      <c r="Y539" s="49">
        <v>0</v>
      </c>
      <c r="Z539" s="49">
        <v>0</v>
      </c>
      <c r="AA539" s="49">
        <v>0</v>
      </c>
      <c r="AB539" s="49">
        <v>0</v>
      </c>
      <c r="AC539" s="49">
        <v>0</v>
      </c>
      <c r="AD539" s="49">
        <v>0</v>
      </c>
      <c r="AE539" s="49">
        <v>0</v>
      </c>
      <c r="AF539" s="49">
        <v>0</v>
      </c>
      <c r="AG539" s="49">
        <v>0</v>
      </c>
      <c r="AH539" s="49">
        <v>0</v>
      </c>
      <c r="AI539" s="49">
        <v>0</v>
      </c>
      <c r="AJ539" s="49">
        <v>0</v>
      </c>
      <c r="AK539" s="49">
        <v>0</v>
      </c>
      <c r="AL539" s="49">
        <v>0</v>
      </c>
      <c r="AM539" s="49">
        <v>0</v>
      </c>
      <c r="AN539" s="49">
        <v>0</v>
      </c>
      <c r="AO539" s="49">
        <v>0</v>
      </c>
      <c r="AP539" s="49">
        <v>0</v>
      </c>
      <c r="AQ539" s="49">
        <v>0</v>
      </c>
      <c r="AR539" s="49">
        <v>0</v>
      </c>
      <c r="AS539" s="49">
        <v>0</v>
      </c>
      <c r="AT539" s="49">
        <v>0</v>
      </c>
      <c r="AU539" s="49">
        <v>0</v>
      </c>
      <c r="AV539" s="49">
        <v>0</v>
      </c>
      <c r="AW539" s="49">
        <v>0</v>
      </c>
      <c r="AX539" s="49">
        <v>0</v>
      </c>
      <c r="AY539" s="49">
        <v>0</v>
      </c>
      <c r="AZ539" s="49">
        <v>0</v>
      </c>
      <c r="BA539" s="49">
        <v>0</v>
      </c>
      <c r="BB539" s="49">
        <v>0</v>
      </c>
      <c r="BC539" s="49">
        <v>0</v>
      </c>
      <c r="BD539" s="49">
        <v>0</v>
      </c>
      <c r="BE539" s="49">
        <v>0</v>
      </c>
      <c r="BF539" s="49">
        <v>0</v>
      </c>
      <c r="BG539" s="49">
        <v>0</v>
      </c>
      <c r="BH539" s="49">
        <v>0</v>
      </c>
      <c r="BI539" s="49">
        <v>0</v>
      </c>
      <c r="BJ539" s="49">
        <v>0</v>
      </c>
      <c r="BK539" s="49">
        <v>0</v>
      </c>
      <c r="BL539" s="49">
        <v>0</v>
      </c>
      <c r="BM539" s="49">
        <v>0</v>
      </c>
      <c r="BN539" s="49">
        <v>0</v>
      </c>
      <c r="BO539" s="49">
        <v>0</v>
      </c>
      <c r="BP539" s="49">
        <v>0</v>
      </c>
      <c r="BQ539" s="49">
        <v>0</v>
      </c>
      <c r="BR539" s="49">
        <v>0</v>
      </c>
      <c r="BS539" s="49">
        <v>0</v>
      </c>
    </row>
    <row r="540" spans="1:71" outlineLevel="1" x14ac:dyDescent="0.2">
      <c r="D540" t="str">
        <f>HM_ZA_Nkossa!D529</f>
        <v>Impôt sur le revenu</v>
      </c>
      <c r="I540" s="30">
        <f t="shared" si="142"/>
        <v>0</v>
      </c>
      <c r="J540" s="26" t="s">
        <v>148</v>
      </c>
      <c r="L540" s="49">
        <v>0</v>
      </c>
      <c r="M540" s="49">
        <v>0</v>
      </c>
      <c r="N540" s="49">
        <v>0</v>
      </c>
      <c r="O540" s="49">
        <v>0</v>
      </c>
      <c r="P540" s="49">
        <v>0</v>
      </c>
      <c r="Q540" s="49">
        <v>0</v>
      </c>
      <c r="R540" s="49">
        <v>0</v>
      </c>
      <c r="S540" s="49">
        <v>0</v>
      </c>
      <c r="T540" s="49">
        <v>0</v>
      </c>
      <c r="U540" s="49">
        <v>0</v>
      </c>
      <c r="V540" s="49">
        <v>0</v>
      </c>
      <c r="W540" s="49">
        <v>0</v>
      </c>
      <c r="X540" s="49">
        <v>0</v>
      </c>
      <c r="Y540" s="49">
        <v>0</v>
      </c>
      <c r="Z540" s="49">
        <v>0</v>
      </c>
      <c r="AA540" s="49">
        <v>0</v>
      </c>
      <c r="AB540" s="49">
        <v>0</v>
      </c>
      <c r="AC540" s="49">
        <v>0</v>
      </c>
      <c r="AD540" s="49">
        <v>0</v>
      </c>
      <c r="AE540" s="49">
        <v>0</v>
      </c>
      <c r="AF540" s="49">
        <v>0</v>
      </c>
      <c r="AG540" s="49">
        <v>0</v>
      </c>
      <c r="AH540" s="49">
        <v>0</v>
      </c>
      <c r="AI540" s="49">
        <v>0</v>
      </c>
      <c r="AJ540" s="49">
        <v>0</v>
      </c>
      <c r="AK540" s="49">
        <v>0</v>
      </c>
      <c r="AL540" s="49">
        <v>0</v>
      </c>
      <c r="AM540" s="49">
        <v>0</v>
      </c>
      <c r="AN540" s="49">
        <v>0</v>
      </c>
      <c r="AO540" s="49">
        <v>0</v>
      </c>
      <c r="AP540" s="49">
        <v>0</v>
      </c>
      <c r="AQ540" s="49">
        <v>0</v>
      </c>
      <c r="AR540" s="49">
        <v>0</v>
      </c>
      <c r="AS540" s="49">
        <v>0</v>
      </c>
      <c r="AT540" s="49">
        <v>0</v>
      </c>
      <c r="AU540" s="49">
        <v>0</v>
      </c>
      <c r="AV540" s="49">
        <v>0</v>
      </c>
      <c r="AW540" s="49">
        <v>0</v>
      </c>
      <c r="AX540" s="49">
        <v>0</v>
      </c>
      <c r="AY540" s="49">
        <v>0</v>
      </c>
      <c r="AZ540" s="49">
        <v>0</v>
      </c>
      <c r="BA540" s="49">
        <v>0</v>
      </c>
      <c r="BB540" s="49">
        <v>0</v>
      </c>
      <c r="BC540" s="49">
        <v>0</v>
      </c>
      <c r="BD540" s="49">
        <v>0</v>
      </c>
      <c r="BE540" s="49">
        <v>0</v>
      </c>
      <c r="BF540" s="49">
        <v>0</v>
      </c>
      <c r="BG540" s="49">
        <v>0</v>
      </c>
      <c r="BH540" s="49">
        <v>0</v>
      </c>
      <c r="BI540" s="49">
        <v>0</v>
      </c>
      <c r="BJ540" s="49">
        <v>0</v>
      </c>
      <c r="BK540" s="49">
        <v>0</v>
      </c>
      <c r="BL540" s="49">
        <v>0</v>
      </c>
      <c r="BM540" s="49">
        <v>0</v>
      </c>
      <c r="BN540" s="49">
        <v>0</v>
      </c>
      <c r="BO540" s="49">
        <v>0</v>
      </c>
      <c r="BP540" s="49">
        <v>0</v>
      </c>
      <c r="BQ540" s="49">
        <v>0</v>
      </c>
      <c r="BR540" s="49">
        <v>0</v>
      </c>
      <c r="BS540" s="49">
        <v>0</v>
      </c>
    </row>
    <row r="541" spans="1:71" outlineLevel="1" x14ac:dyDescent="0.2">
      <c r="D541" t="str">
        <f>HM_ZA_Nkossa!D530</f>
        <v>Impôts supplémentaires</v>
      </c>
      <c r="I541" s="30">
        <f t="shared" si="142"/>
        <v>0</v>
      </c>
      <c r="J541" s="26" t="s">
        <v>148</v>
      </c>
      <c r="L541" s="49">
        <v>0</v>
      </c>
      <c r="M541" s="49">
        <v>0</v>
      </c>
      <c r="N541" s="49">
        <v>0</v>
      </c>
      <c r="O541" s="49">
        <v>0</v>
      </c>
      <c r="P541" s="49">
        <v>0</v>
      </c>
      <c r="Q541" s="49">
        <v>0</v>
      </c>
      <c r="R541" s="49">
        <v>0</v>
      </c>
      <c r="S541" s="49">
        <v>0</v>
      </c>
      <c r="T541" s="49">
        <v>0</v>
      </c>
      <c r="U541" s="49">
        <v>0</v>
      </c>
      <c r="V541" s="49">
        <v>0</v>
      </c>
      <c r="W541" s="49">
        <v>0</v>
      </c>
      <c r="X541" s="49">
        <v>0</v>
      </c>
      <c r="Y541" s="49">
        <v>0</v>
      </c>
      <c r="Z541" s="49">
        <v>0</v>
      </c>
      <c r="AA541" s="49">
        <v>0</v>
      </c>
      <c r="AB541" s="49">
        <v>0</v>
      </c>
      <c r="AC541" s="49">
        <v>0</v>
      </c>
      <c r="AD541" s="49">
        <v>0</v>
      </c>
      <c r="AE541" s="49">
        <v>0</v>
      </c>
      <c r="AF541" s="49">
        <v>0</v>
      </c>
      <c r="AG541" s="49">
        <v>0</v>
      </c>
      <c r="AH541" s="49">
        <v>0</v>
      </c>
      <c r="AI541" s="49">
        <v>0</v>
      </c>
      <c r="AJ541" s="49">
        <v>0</v>
      </c>
      <c r="AK541" s="49">
        <v>0</v>
      </c>
      <c r="AL541" s="49">
        <v>0</v>
      </c>
      <c r="AM541" s="49">
        <v>0</v>
      </c>
      <c r="AN541" s="49">
        <v>0</v>
      </c>
      <c r="AO541" s="49">
        <v>0</v>
      </c>
      <c r="AP541" s="49">
        <v>0</v>
      </c>
      <c r="AQ541" s="49">
        <v>0</v>
      </c>
      <c r="AR541" s="49">
        <v>0</v>
      </c>
      <c r="AS541" s="49">
        <v>0</v>
      </c>
      <c r="AT541" s="49">
        <v>0</v>
      </c>
      <c r="AU541" s="49">
        <v>0</v>
      </c>
      <c r="AV541" s="49">
        <v>0</v>
      </c>
      <c r="AW541" s="49">
        <v>0</v>
      </c>
      <c r="AX541" s="49">
        <v>0</v>
      </c>
      <c r="AY541" s="49">
        <v>0</v>
      </c>
      <c r="AZ541" s="49">
        <v>0</v>
      </c>
      <c r="BA541" s="49">
        <v>0</v>
      </c>
      <c r="BB541" s="49">
        <v>0</v>
      </c>
      <c r="BC541" s="49">
        <v>0</v>
      </c>
      <c r="BD541" s="49">
        <v>0</v>
      </c>
      <c r="BE541" s="49">
        <v>0</v>
      </c>
      <c r="BF541" s="49">
        <v>0</v>
      </c>
      <c r="BG541" s="49">
        <v>0</v>
      </c>
      <c r="BH541" s="49">
        <v>0</v>
      </c>
      <c r="BI541" s="49">
        <v>0</v>
      </c>
      <c r="BJ541" s="49">
        <v>0</v>
      </c>
      <c r="BK541" s="49">
        <v>0</v>
      </c>
      <c r="BL541" s="49">
        <v>0</v>
      </c>
      <c r="BM541" s="49">
        <v>0</v>
      </c>
      <c r="BN541" s="49">
        <v>0</v>
      </c>
      <c r="BO541" s="49">
        <v>0</v>
      </c>
      <c r="BP541" s="49">
        <v>0</v>
      </c>
      <c r="BQ541" s="49">
        <v>0</v>
      </c>
      <c r="BR541" s="49">
        <v>0</v>
      </c>
      <c r="BS541" s="49">
        <v>0</v>
      </c>
    </row>
    <row r="542" spans="1:71" outlineLevel="1" x14ac:dyDescent="0.2">
      <c r="C542" s="11" t="str">
        <f>HM_ZA_Nkossa!C531</f>
        <v>Coûts</v>
      </c>
      <c r="J542" s="26"/>
      <c r="L542" s="55"/>
      <c r="M542" s="55"/>
      <c r="N542" s="55"/>
      <c r="O542" s="55"/>
      <c r="P542" s="55"/>
      <c r="Q542" s="55"/>
      <c r="R542" s="55"/>
      <c r="S542" s="55"/>
      <c r="T542" s="55"/>
      <c r="U542" s="55"/>
      <c r="V542" s="55"/>
      <c r="W542" s="55"/>
      <c r="X542" s="55"/>
      <c r="Y542" s="55"/>
      <c r="Z542" s="55"/>
      <c r="AA542" s="55"/>
      <c r="AB542" s="55"/>
      <c r="AC542" s="55"/>
      <c r="AD542" s="55"/>
      <c r="AE542" s="55"/>
      <c r="AF542" s="55"/>
      <c r="AG542" s="55"/>
      <c r="AH542" s="55"/>
      <c r="AI542" s="55"/>
      <c r="AJ542" s="55"/>
      <c r="AK542" s="55"/>
      <c r="AL542" s="55"/>
      <c r="AM542" s="55"/>
      <c r="AN542" s="55"/>
      <c r="AO542" s="55"/>
      <c r="AP542" s="55"/>
      <c r="AQ542" s="55"/>
      <c r="AR542" s="55"/>
      <c r="AS542" s="55"/>
      <c r="AT542" s="55"/>
      <c r="AU542" s="55"/>
      <c r="AV542" s="55"/>
      <c r="AW542" s="55"/>
      <c r="AX542" s="55"/>
      <c r="AY542" s="55"/>
      <c r="AZ542" s="55"/>
      <c r="BA542" s="55"/>
      <c r="BB542" s="55"/>
      <c r="BC542" s="55"/>
      <c r="BD542" s="55"/>
      <c r="BE542" s="55"/>
      <c r="BF542" s="55"/>
      <c r="BG542" s="55"/>
      <c r="BH542" s="55"/>
      <c r="BI542" s="55"/>
      <c r="BJ542" s="55"/>
      <c r="BK542" s="55"/>
      <c r="BL542" s="55"/>
      <c r="BM542" s="55"/>
      <c r="BN542" s="55"/>
      <c r="BO542" s="55"/>
      <c r="BP542" s="55"/>
      <c r="BQ542" s="55"/>
      <c r="BR542" s="55"/>
      <c r="BS542" s="55"/>
    </row>
    <row r="543" spans="1:71" outlineLevel="1" x14ac:dyDescent="0.2">
      <c r="D543" t="str">
        <f>HM_ZA_Nkossa!D532</f>
        <v>Coûts de financement</v>
      </c>
      <c r="I543" s="30">
        <f t="shared" si="142"/>
        <v>0</v>
      </c>
      <c r="J543" s="26" t="s">
        <v>148</v>
      </c>
      <c r="L543" s="49">
        <v>0</v>
      </c>
      <c r="M543" s="49">
        <v>0</v>
      </c>
      <c r="N543" s="49">
        <v>0</v>
      </c>
      <c r="O543" s="49">
        <v>0</v>
      </c>
      <c r="P543" s="49">
        <v>0</v>
      </c>
      <c r="Q543" s="49">
        <v>0</v>
      </c>
      <c r="R543" s="49">
        <v>0</v>
      </c>
      <c r="S543" s="49">
        <v>0</v>
      </c>
      <c r="T543" s="49">
        <v>0</v>
      </c>
      <c r="U543" s="49">
        <v>0</v>
      </c>
      <c r="V543" s="49">
        <v>0</v>
      </c>
      <c r="W543" s="49">
        <v>0</v>
      </c>
      <c r="X543" s="49">
        <v>0</v>
      </c>
      <c r="Y543" s="49">
        <v>0</v>
      </c>
      <c r="Z543" s="49">
        <v>0</v>
      </c>
      <c r="AA543" s="49">
        <v>0</v>
      </c>
      <c r="AB543" s="49">
        <v>0</v>
      </c>
      <c r="AC543" s="49">
        <v>0</v>
      </c>
      <c r="AD543" s="49">
        <v>0</v>
      </c>
      <c r="AE543" s="49">
        <v>0</v>
      </c>
      <c r="AF543" s="49">
        <v>0</v>
      </c>
      <c r="AG543" s="49">
        <v>0</v>
      </c>
      <c r="AH543" s="49">
        <v>0</v>
      </c>
      <c r="AI543" s="49">
        <v>0</v>
      </c>
      <c r="AJ543" s="49">
        <v>0</v>
      </c>
      <c r="AK543" s="49">
        <v>0</v>
      </c>
      <c r="AL543" s="49">
        <v>0</v>
      </c>
      <c r="AM543" s="49">
        <v>0</v>
      </c>
      <c r="AN543" s="49">
        <v>0</v>
      </c>
      <c r="AO543" s="49">
        <v>0</v>
      </c>
      <c r="AP543" s="49">
        <v>0</v>
      </c>
      <c r="AQ543" s="49">
        <v>0</v>
      </c>
      <c r="AR543" s="49">
        <v>0</v>
      </c>
      <c r="AS543" s="49">
        <v>0</v>
      </c>
      <c r="AT543" s="49">
        <v>0</v>
      </c>
      <c r="AU543" s="49">
        <v>0</v>
      </c>
      <c r="AV543" s="49">
        <v>0</v>
      </c>
      <c r="AW543" s="49">
        <v>0</v>
      </c>
      <c r="AX543" s="49">
        <v>0</v>
      </c>
      <c r="AY543" s="49">
        <v>0</v>
      </c>
      <c r="AZ543" s="49">
        <v>0</v>
      </c>
      <c r="BA543" s="49">
        <v>0</v>
      </c>
      <c r="BB543" s="49">
        <v>0</v>
      </c>
      <c r="BC543" s="49">
        <v>0</v>
      </c>
      <c r="BD543" s="49">
        <v>0</v>
      </c>
      <c r="BE543" s="49">
        <v>0</v>
      </c>
      <c r="BF543" s="49">
        <v>0</v>
      </c>
      <c r="BG543" s="49">
        <v>0</v>
      </c>
      <c r="BH543" s="49">
        <v>0</v>
      </c>
      <c r="BI543" s="49">
        <v>0</v>
      </c>
      <c r="BJ543" s="49">
        <v>0</v>
      </c>
      <c r="BK543" s="49">
        <v>0</v>
      </c>
      <c r="BL543" s="49">
        <v>0</v>
      </c>
      <c r="BM543" s="49">
        <v>0</v>
      </c>
      <c r="BN543" s="49">
        <v>0</v>
      </c>
      <c r="BO543" s="49">
        <v>0</v>
      </c>
      <c r="BP543" s="49">
        <v>0</v>
      </c>
      <c r="BQ543" s="49">
        <v>0</v>
      </c>
      <c r="BR543" s="49">
        <v>0</v>
      </c>
      <c r="BS543" s="49">
        <v>0</v>
      </c>
    </row>
    <row r="544" spans="1:71" outlineLevel="1" x14ac:dyDescent="0.2">
      <c r="D544" t="str">
        <f>HM_ZA_Nkossa!D533</f>
        <v>Autres coûts</v>
      </c>
      <c r="I544" s="30">
        <f t="shared" si="142"/>
        <v>0</v>
      </c>
      <c r="J544" s="26" t="s">
        <v>148</v>
      </c>
      <c r="L544" s="49">
        <v>0</v>
      </c>
      <c r="M544" s="49">
        <v>0</v>
      </c>
      <c r="N544" s="49">
        <v>0</v>
      </c>
      <c r="O544" s="49">
        <v>0</v>
      </c>
      <c r="P544" s="49">
        <v>0</v>
      </c>
      <c r="Q544" s="49">
        <v>0</v>
      </c>
      <c r="R544" s="49">
        <v>0</v>
      </c>
      <c r="S544" s="49">
        <v>0</v>
      </c>
      <c r="T544" s="49">
        <v>0</v>
      </c>
      <c r="U544" s="49">
        <v>0</v>
      </c>
      <c r="V544" s="49">
        <v>0</v>
      </c>
      <c r="W544" s="49">
        <v>0</v>
      </c>
      <c r="X544" s="49">
        <v>0</v>
      </c>
      <c r="Y544" s="49">
        <v>0</v>
      </c>
      <c r="Z544" s="49">
        <v>0</v>
      </c>
      <c r="AA544" s="49">
        <v>0</v>
      </c>
      <c r="AB544" s="49">
        <v>0</v>
      </c>
      <c r="AC544" s="49">
        <v>0</v>
      </c>
      <c r="AD544" s="49">
        <v>0</v>
      </c>
      <c r="AE544" s="49">
        <v>0</v>
      </c>
      <c r="AF544" s="49">
        <v>0</v>
      </c>
      <c r="AG544" s="49">
        <v>0</v>
      </c>
      <c r="AH544" s="49">
        <v>0</v>
      </c>
      <c r="AI544" s="49">
        <v>0</v>
      </c>
      <c r="AJ544" s="49">
        <v>0</v>
      </c>
      <c r="AK544" s="49">
        <v>0</v>
      </c>
      <c r="AL544" s="49">
        <v>0</v>
      </c>
      <c r="AM544" s="49">
        <v>0</v>
      </c>
      <c r="AN544" s="49">
        <v>0</v>
      </c>
      <c r="AO544" s="49">
        <v>0</v>
      </c>
      <c r="AP544" s="49">
        <v>0</v>
      </c>
      <c r="AQ544" s="49">
        <v>0</v>
      </c>
      <c r="AR544" s="49">
        <v>0</v>
      </c>
      <c r="AS544" s="49">
        <v>0</v>
      </c>
      <c r="AT544" s="49">
        <v>0</v>
      </c>
      <c r="AU544" s="49">
        <v>0</v>
      </c>
      <c r="AV544" s="49">
        <v>0</v>
      </c>
      <c r="AW544" s="49">
        <v>0</v>
      </c>
      <c r="AX544" s="49">
        <v>0</v>
      </c>
      <c r="AY544" s="49">
        <v>0</v>
      </c>
      <c r="AZ544" s="49">
        <v>0</v>
      </c>
      <c r="BA544" s="49">
        <v>0</v>
      </c>
      <c r="BB544" s="49">
        <v>0</v>
      </c>
      <c r="BC544" s="49">
        <v>0</v>
      </c>
      <c r="BD544" s="49">
        <v>0</v>
      </c>
      <c r="BE544" s="49">
        <v>0</v>
      </c>
      <c r="BF544" s="49">
        <v>0</v>
      </c>
      <c r="BG544" s="49">
        <v>0</v>
      </c>
      <c r="BH544" s="49">
        <v>0</v>
      </c>
      <c r="BI544" s="49">
        <v>0</v>
      </c>
      <c r="BJ544" s="49">
        <v>0</v>
      </c>
      <c r="BK544" s="49">
        <v>0</v>
      </c>
      <c r="BL544" s="49">
        <v>0</v>
      </c>
      <c r="BM544" s="49">
        <v>0</v>
      </c>
      <c r="BN544" s="49">
        <v>0</v>
      </c>
      <c r="BO544" s="49">
        <v>0</v>
      </c>
      <c r="BP544" s="49">
        <v>0</v>
      </c>
      <c r="BQ544" s="49">
        <v>0</v>
      </c>
      <c r="BR544" s="49">
        <v>0</v>
      </c>
      <c r="BS544" s="49">
        <v>0</v>
      </c>
    </row>
    <row r="545" spans="3:71" outlineLevel="1" x14ac:dyDescent="0.2">
      <c r="J545" s="26"/>
      <c r="L545" s="55"/>
      <c r="M545" s="55"/>
      <c r="N545" s="55"/>
      <c r="O545" s="55"/>
      <c r="P545" s="55"/>
      <c r="Q545" s="55"/>
      <c r="R545" s="55"/>
      <c r="S545" s="55"/>
      <c r="T545" s="55"/>
      <c r="U545" s="55"/>
      <c r="V545" s="55"/>
      <c r="W545" s="55"/>
      <c r="X545" s="55"/>
      <c r="Y545" s="55"/>
      <c r="Z545" s="55"/>
      <c r="AA545" s="55"/>
      <c r="AB545" s="55"/>
      <c r="AC545" s="55"/>
      <c r="AD545" s="55"/>
      <c r="AE545" s="55"/>
      <c r="AF545" s="55"/>
      <c r="AG545" s="55"/>
      <c r="AH545" s="55"/>
      <c r="AI545" s="55"/>
      <c r="AJ545" s="55"/>
      <c r="AK545" s="55"/>
      <c r="AL545" s="55"/>
      <c r="AM545" s="55"/>
      <c r="AN545" s="55"/>
      <c r="AO545" s="55"/>
      <c r="AP545" s="55"/>
      <c r="AQ545" s="55"/>
      <c r="AR545" s="55"/>
      <c r="AS545" s="55"/>
      <c r="AT545" s="55"/>
      <c r="AU545" s="55"/>
      <c r="AV545" s="55"/>
      <c r="AW545" s="55"/>
      <c r="AX545" s="55"/>
      <c r="AY545" s="55"/>
      <c r="AZ545" s="55"/>
      <c r="BA545" s="55"/>
      <c r="BB545" s="55"/>
      <c r="BC545" s="55"/>
      <c r="BD545" s="55"/>
      <c r="BE545" s="55"/>
      <c r="BF545" s="55"/>
      <c r="BG545" s="55"/>
      <c r="BH545" s="55"/>
      <c r="BI545" s="55"/>
      <c r="BJ545" s="55"/>
      <c r="BK545" s="55"/>
      <c r="BL545" s="55"/>
      <c r="BM545" s="55"/>
      <c r="BN545" s="55"/>
      <c r="BO545" s="55"/>
      <c r="BP545" s="55"/>
      <c r="BQ545" s="55"/>
      <c r="BR545" s="55"/>
      <c r="BS545" s="55"/>
    </row>
    <row r="546" spans="3:71" outlineLevel="1" x14ac:dyDescent="0.2">
      <c r="C546" s="11" t="str">
        <f>HM_ZA_Nkossa!C535</f>
        <v>Total flux de trésorerie du Gouv.</v>
      </c>
      <c r="F546" s="64" t="b">
        <f ca="1">ROUND(SUM(I546,I462),2)=ROUND(I436,2)</f>
        <v>1</v>
      </c>
      <c r="H546" s="7" t="s">
        <v>596</v>
      </c>
      <c r="I546" s="30">
        <f t="shared" ca="1" si="142"/>
        <v>295.23347834455319</v>
      </c>
      <c r="J546" s="26" t="s">
        <v>148</v>
      </c>
      <c r="K546" s="7" t="s">
        <v>595</v>
      </c>
      <c r="L546" s="49">
        <f ca="1">SUM(L534:L541)-SUM(L543:L544)</f>
        <v>57.785823669014363</v>
      </c>
      <c r="M546" s="49">
        <f t="shared" ref="M546:BS546" ca="1" si="143">SUM(M534:M541)-SUM(M543:M544)</f>
        <v>56.226239329744999</v>
      </c>
      <c r="N546" s="49">
        <f t="shared" ca="1" si="143"/>
        <v>22.866746243942508</v>
      </c>
      <c r="O546" s="49">
        <f t="shared" ca="1" si="143"/>
        <v>13.25007333223</v>
      </c>
      <c r="P546" s="49">
        <f t="shared" ca="1" si="143"/>
        <v>16.949854488662496</v>
      </c>
      <c r="Q546" s="49">
        <f t="shared" ca="1" si="143"/>
        <v>27.080975143479996</v>
      </c>
      <c r="R546" s="49">
        <f t="shared" ca="1" si="143"/>
        <v>7.637089250799999</v>
      </c>
      <c r="S546" s="49">
        <f t="shared" ca="1" si="143"/>
        <v>8.8177985050788994</v>
      </c>
      <c r="T546" s="49">
        <f t="shared" ca="1" si="143"/>
        <v>16.524832174796753</v>
      </c>
      <c r="U546" s="49">
        <f t="shared" ca="1" si="143"/>
        <v>17.872821853309972</v>
      </c>
      <c r="V546" s="49">
        <f t="shared" ca="1" si="143"/>
        <v>17.303135926567432</v>
      </c>
      <c r="W546" s="49">
        <f t="shared" ca="1" si="143"/>
        <v>16.738303458303225</v>
      </c>
      <c r="X546" s="49">
        <f t="shared" ca="1" si="143"/>
        <v>16.179784968622506</v>
      </c>
      <c r="Y546" s="49">
        <f t="shared" ca="1" si="143"/>
        <v>0</v>
      </c>
      <c r="Z546" s="49">
        <f t="shared" ca="1" si="143"/>
        <v>0</v>
      </c>
      <c r="AA546" s="49">
        <f t="shared" ca="1" si="143"/>
        <v>0</v>
      </c>
      <c r="AB546" s="49">
        <f t="shared" ca="1" si="143"/>
        <v>0</v>
      </c>
      <c r="AC546" s="49">
        <f t="shared" ca="1" si="143"/>
        <v>0</v>
      </c>
      <c r="AD546" s="49">
        <f t="shared" ca="1" si="143"/>
        <v>0</v>
      </c>
      <c r="AE546" s="49">
        <f t="shared" ca="1" si="143"/>
        <v>0</v>
      </c>
      <c r="AF546" s="49">
        <f t="shared" ca="1" si="143"/>
        <v>0</v>
      </c>
      <c r="AG546" s="49">
        <f t="shared" ca="1" si="143"/>
        <v>0</v>
      </c>
      <c r="AH546" s="49">
        <f t="shared" ca="1" si="143"/>
        <v>0</v>
      </c>
      <c r="AI546" s="49">
        <f t="shared" ca="1" si="143"/>
        <v>0</v>
      </c>
      <c r="AJ546" s="49">
        <f t="shared" ca="1" si="143"/>
        <v>0</v>
      </c>
      <c r="AK546" s="49">
        <f t="shared" ca="1" si="143"/>
        <v>0</v>
      </c>
      <c r="AL546" s="49">
        <f t="shared" ca="1" si="143"/>
        <v>0</v>
      </c>
      <c r="AM546" s="49">
        <f t="shared" ca="1" si="143"/>
        <v>0</v>
      </c>
      <c r="AN546" s="49">
        <f t="shared" ca="1" si="143"/>
        <v>0</v>
      </c>
      <c r="AO546" s="49">
        <f t="shared" ca="1" si="143"/>
        <v>0</v>
      </c>
      <c r="AP546" s="49">
        <f t="shared" ca="1" si="143"/>
        <v>0</v>
      </c>
      <c r="AQ546" s="49">
        <f t="shared" ca="1" si="143"/>
        <v>0</v>
      </c>
      <c r="AR546" s="49">
        <f t="shared" ca="1" si="143"/>
        <v>0</v>
      </c>
      <c r="AS546" s="49">
        <f t="shared" ca="1" si="143"/>
        <v>0</v>
      </c>
      <c r="AT546" s="49">
        <f t="shared" ca="1" si="143"/>
        <v>0</v>
      </c>
      <c r="AU546" s="49">
        <f t="shared" ca="1" si="143"/>
        <v>0</v>
      </c>
      <c r="AV546" s="49">
        <f t="shared" ca="1" si="143"/>
        <v>0</v>
      </c>
      <c r="AW546" s="49">
        <f t="shared" ca="1" si="143"/>
        <v>0</v>
      </c>
      <c r="AX546" s="49">
        <f t="shared" ca="1" si="143"/>
        <v>0</v>
      </c>
      <c r="AY546" s="49">
        <f t="shared" ca="1" si="143"/>
        <v>0</v>
      </c>
      <c r="AZ546" s="49">
        <f t="shared" ca="1" si="143"/>
        <v>0</v>
      </c>
      <c r="BA546" s="49">
        <f t="shared" ca="1" si="143"/>
        <v>0</v>
      </c>
      <c r="BB546" s="49">
        <f t="shared" ca="1" si="143"/>
        <v>0</v>
      </c>
      <c r="BC546" s="49">
        <f t="shared" ca="1" si="143"/>
        <v>0</v>
      </c>
      <c r="BD546" s="49">
        <f t="shared" ca="1" si="143"/>
        <v>0</v>
      </c>
      <c r="BE546" s="49">
        <f t="shared" ca="1" si="143"/>
        <v>0</v>
      </c>
      <c r="BF546" s="49">
        <f t="shared" ca="1" si="143"/>
        <v>0</v>
      </c>
      <c r="BG546" s="49">
        <f t="shared" ca="1" si="143"/>
        <v>0</v>
      </c>
      <c r="BH546" s="49">
        <f t="shared" ca="1" si="143"/>
        <v>0</v>
      </c>
      <c r="BI546" s="49">
        <f t="shared" ca="1" si="143"/>
        <v>0</v>
      </c>
      <c r="BJ546" s="49">
        <f t="shared" ca="1" si="143"/>
        <v>0</v>
      </c>
      <c r="BK546" s="49">
        <f t="shared" ca="1" si="143"/>
        <v>0</v>
      </c>
      <c r="BL546" s="49">
        <f t="shared" ca="1" si="143"/>
        <v>0</v>
      </c>
      <c r="BM546" s="49">
        <f t="shared" ca="1" si="143"/>
        <v>0</v>
      </c>
      <c r="BN546" s="49">
        <f t="shared" ca="1" si="143"/>
        <v>0</v>
      </c>
      <c r="BO546" s="49">
        <f t="shared" ca="1" si="143"/>
        <v>0</v>
      </c>
      <c r="BP546" s="49">
        <f t="shared" ca="1" si="143"/>
        <v>0</v>
      </c>
      <c r="BQ546" s="49">
        <f t="shared" ca="1" si="143"/>
        <v>0</v>
      </c>
      <c r="BR546" s="49">
        <f t="shared" ca="1" si="143"/>
        <v>0</v>
      </c>
      <c r="BS546" s="49">
        <f t="shared" ca="1" si="143"/>
        <v>0</v>
      </c>
    </row>
    <row r="547" spans="3:71" outlineLevel="1" x14ac:dyDescent="0.2">
      <c r="J547" s="26"/>
      <c r="L547" s="55"/>
      <c r="M547" s="55"/>
      <c r="N547" s="55"/>
      <c r="O547" s="55"/>
      <c r="P547" s="55"/>
      <c r="Q547" s="55"/>
      <c r="R547" s="55"/>
      <c r="S547" s="55"/>
      <c r="T547" s="55"/>
      <c r="U547" s="55"/>
      <c r="V547" s="55"/>
      <c r="W547" s="55"/>
      <c r="X547" s="55"/>
      <c r="Y547" s="55"/>
      <c r="Z547" s="55"/>
      <c r="AA547" s="55"/>
      <c r="AB547" s="55"/>
      <c r="AC547" s="55"/>
      <c r="AD547" s="55"/>
      <c r="AE547" s="55"/>
      <c r="AF547" s="55"/>
      <c r="AG547" s="55"/>
      <c r="AH547" s="55"/>
      <c r="AI547" s="55"/>
      <c r="AJ547" s="55"/>
      <c r="AK547" s="55"/>
      <c r="AL547" s="55"/>
      <c r="AM547" s="55"/>
      <c r="AN547" s="55"/>
      <c r="AO547" s="55"/>
      <c r="AP547" s="55"/>
      <c r="AQ547" s="55"/>
      <c r="AR547" s="55"/>
      <c r="AS547" s="55"/>
      <c r="AT547" s="55"/>
      <c r="AU547" s="55"/>
      <c r="AV547" s="55"/>
      <c r="AW547" s="55"/>
      <c r="AX547" s="55"/>
      <c r="AY547" s="55"/>
      <c r="AZ547" s="55"/>
      <c r="BA547" s="55"/>
      <c r="BB547" s="55"/>
      <c r="BC547" s="55"/>
      <c r="BD547" s="55"/>
      <c r="BE547" s="55"/>
      <c r="BF547" s="55"/>
      <c r="BG547" s="55"/>
      <c r="BH547" s="55"/>
      <c r="BI547" s="55"/>
      <c r="BJ547" s="55"/>
      <c r="BK547" s="55"/>
      <c r="BL547" s="55"/>
      <c r="BM547" s="55"/>
      <c r="BN547" s="55"/>
      <c r="BO547" s="55"/>
      <c r="BP547" s="55"/>
      <c r="BQ547" s="55"/>
      <c r="BR547" s="55"/>
      <c r="BS547" s="55"/>
    </row>
    <row r="548" spans="3:71" outlineLevel="1" x14ac:dyDescent="0.2">
      <c r="C548" s="11" t="str">
        <f>HM_ZA_Nkossa!C537</f>
        <v>VAN cycle complet</v>
      </c>
      <c r="G548" s="60"/>
      <c r="H548" s="7" t="s">
        <v>597</v>
      </c>
      <c r="I548" s="65">
        <f t="shared" ca="1" si="142"/>
        <v>52.214781064618414</v>
      </c>
      <c r="J548" s="26" t="s">
        <v>148</v>
      </c>
      <c r="L548" s="49">
        <f ca="1">OA_gov_CF_Nsoko1999*HM_ZB_Nsoko!CA_disc_factor_fc</f>
        <v>14.508662331005459</v>
      </c>
      <c r="M548" s="49">
        <f ca="1">OA_gov_CF_Nsoko1999*HM_ZB_Nsoko!CA_disc_factor_fc</f>
        <v>12.833715776666516</v>
      </c>
      <c r="N548" s="49">
        <f ca="1">OA_gov_CF_Nsoko1999*HM_ZB_Nsoko!CA_disc_factor_fc</f>
        <v>4.7448781845083028</v>
      </c>
      <c r="O548" s="49">
        <f ca="1">OA_gov_CF_Nsoko1999*HM_ZB_Nsoko!CA_disc_factor_fc</f>
        <v>2.4994605793907887</v>
      </c>
      <c r="P548" s="49">
        <f ca="1">OA_gov_CF_Nsoko1999*HM_ZB_Nsoko!CA_disc_factor_fc</f>
        <v>2.9067072830162739</v>
      </c>
      <c r="Q548" s="49">
        <f ca="1">OA_gov_CF_Nsoko1999*HM_ZB_Nsoko!CA_disc_factor_fc</f>
        <v>4.221890235823035</v>
      </c>
      <c r="R548" s="49">
        <f ca="1">OA_gov_CF_Nsoko1999*HM_ZB_Nsoko!CA_disc_factor_fc</f>
        <v>1.0823751685196803</v>
      </c>
      <c r="S548" s="49">
        <f ca="1">OA_gov_CF_Nsoko1999*HM_ZB_Nsoko!CA_disc_factor_fc</f>
        <v>1.1361023016015486</v>
      </c>
      <c r="T548" s="49">
        <f ca="1">OA_gov_CF_Nsoko1999*HM_ZB_Nsoko!CA_disc_factor_fc</f>
        <v>1.9355377294882592</v>
      </c>
      <c r="U548" s="49">
        <f ca="1">OA_gov_CF_Nsoko1999*HM_ZB_Nsoko!CA_disc_factor_fc</f>
        <v>1.9031149695626979</v>
      </c>
      <c r="V548" s="49">
        <f ca="1">OA_gov_CF_Nsoko1999*HM_ZB_Nsoko!CA_disc_factor_fc</f>
        <v>1.6749584304084346</v>
      </c>
      <c r="W548" s="49">
        <f ca="1">OA_gov_CF_Nsoko1999*HM_ZB_Nsoko!CA_disc_factor_fc</f>
        <v>1.4729837836227599</v>
      </c>
      <c r="X548" s="49">
        <f ca="1">OA_gov_CF_Nsoko1999*HM_ZB_Nsoko!CA_disc_factor_fc</f>
        <v>1.2943942910046529</v>
      </c>
      <c r="Y548" s="49">
        <f ca="1">OA_gov_CF_Nsoko1999*HM_ZB_Nsoko!CA_disc_factor_fc</f>
        <v>0</v>
      </c>
      <c r="Z548" s="49">
        <f ca="1">OA_gov_CF_Nsoko1999*HM_ZB_Nsoko!CA_disc_factor_fc</f>
        <v>0</v>
      </c>
      <c r="AA548" s="49">
        <f ca="1">OA_gov_CF_Nsoko1999*HM_ZB_Nsoko!CA_disc_factor_fc</f>
        <v>0</v>
      </c>
      <c r="AB548" s="49">
        <f ca="1">OA_gov_CF_Nsoko1999*HM_ZB_Nsoko!CA_disc_factor_fc</f>
        <v>0</v>
      </c>
      <c r="AC548" s="49">
        <f ca="1">OA_gov_CF_Nsoko1999*HM_ZB_Nsoko!CA_disc_factor_fc</f>
        <v>0</v>
      </c>
      <c r="AD548" s="49">
        <f ca="1">OA_gov_CF_Nsoko1999*HM_ZB_Nsoko!CA_disc_factor_fc</f>
        <v>0</v>
      </c>
      <c r="AE548" s="49">
        <f ca="1">OA_gov_CF_Nsoko1999*HM_ZB_Nsoko!CA_disc_factor_fc</f>
        <v>0</v>
      </c>
      <c r="AF548" s="49">
        <f ca="1">OA_gov_CF_Nsoko1999*HM_ZB_Nsoko!CA_disc_factor_fc</f>
        <v>0</v>
      </c>
      <c r="AG548" s="49">
        <f ca="1">OA_gov_CF_Nsoko1999*HM_ZB_Nsoko!CA_disc_factor_fc</f>
        <v>0</v>
      </c>
      <c r="AH548" s="49">
        <f ca="1">OA_gov_CF_Nsoko1999*HM_ZB_Nsoko!CA_disc_factor_fc</f>
        <v>0</v>
      </c>
      <c r="AI548" s="49">
        <f ca="1">OA_gov_CF_Nsoko1999*HM_ZB_Nsoko!CA_disc_factor_fc</f>
        <v>0</v>
      </c>
      <c r="AJ548" s="49">
        <f ca="1">OA_gov_CF_Nsoko1999*HM_ZB_Nsoko!CA_disc_factor_fc</f>
        <v>0</v>
      </c>
      <c r="AK548" s="49">
        <f ca="1">OA_gov_CF_Nsoko1999*HM_ZB_Nsoko!CA_disc_factor_fc</f>
        <v>0</v>
      </c>
      <c r="AL548" s="49">
        <f ca="1">OA_gov_CF_Nsoko1999*HM_ZB_Nsoko!CA_disc_factor_fc</f>
        <v>0</v>
      </c>
      <c r="AM548" s="49">
        <f ca="1">OA_gov_CF_Nsoko1999*HM_ZB_Nsoko!CA_disc_factor_fc</f>
        <v>0</v>
      </c>
      <c r="AN548" s="49">
        <f ca="1">OA_gov_CF_Nsoko1999*HM_ZB_Nsoko!CA_disc_factor_fc</f>
        <v>0</v>
      </c>
      <c r="AO548" s="49">
        <f ca="1">OA_gov_CF_Nsoko1999*HM_ZB_Nsoko!CA_disc_factor_fc</f>
        <v>0</v>
      </c>
      <c r="AP548" s="49">
        <f ca="1">OA_gov_CF_Nsoko1999*HM_ZB_Nsoko!CA_disc_factor_fc</f>
        <v>0</v>
      </c>
      <c r="AQ548" s="49">
        <f ca="1">OA_gov_CF_Nsoko1999*HM_ZB_Nsoko!CA_disc_factor_fc</f>
        <v>0</v>
      </c>
      <c r="AR548" s="49">
        <f ca="1">OA_gov_CF_Nsoko1999*HM_ZB_Nsoko!CA_disc_factor_fc</f>
        <v>0</v>
      </c>
      <c r="AS548" s="49">
        <f ca="1">OA_gov_CF_Nsoko1999*HM_ZB_Nsoko!CA_disc_factor_fc</f>
        <v>0</v>
      </c>
      <c r="AT548" s="49">
        <f ca="1">OA_gov_CF_Nsoko1999*HM_ZB_Nsoko!CA_disc_factor_fc</f>
        <v>0</v>
      </c>
      <c r="AU548" s="49">
        <f ca="1">OA_gov_CF_Nsoko1999*HM_ZB_Nsoko!CA_disc_factor_fc</f>
        <v>0</v>
      </c>
      <c r="AV548" s="49">
        <f ca="1">OA_gov_CF_Nsoko1999*HM_ZB_Nsoko!CA_disc_factor_fc</f>
        <v>0</v>
      </c>
      <c r="AW548" s="49">
        <f ca="1">OA_gov_CF_Nsoko1999*HM_ZB_Nsoko!CA_disc_factor_fc</f>
        <v>0</v>
      </c>
      <c r="AX548" s="49">
        <f ca="1">OA_gov_CF_Nsoko1999*HM_ZB_Nsoko!CA_disc_factor_fc</f>
        <v>0</v>
      </c>
      <c r="AY548" s="49">
        <f ca="1">OA_gov_CF_Nsoko1999*HM_ZB_Nsoko!CA_disc_factor_fc</f>
        <v>0</v>
      </c>
      <c r="AZ548" s="49">
        <f ca="1">OA_gov_CF_Nsoko1999*HM_ZB_Nsoko!CA_disc_factor_fc</f>
        <v>0</v>
      </c>
      <c r="BA548" s="49">
        <f ca="1">OA_gov_CF_Nsoko1999*HM_ZB_Nsoko!CA_disc_factor_fc</f>
        <v>0</v>
      </c>
      <c r="BB548" s="49">
        <f ca="1">OA_gov_CF_Nsoko1999*HM_ZB_Nsoko!CA_disc_factor_fc</f>
        <v>0</v>
      </c>
      <c r="BC548" s="49">
        <f ca="1">OA_gov_CF_Nsoko1999*HM_ZB_Nsoko!CA_disc_factor_fc</f>
        <v>0</v>
      </c>
      <c r="BD548" s="49">
        <f ca="1">OA_gov_CF_Nsoko1999*HM_ZB_Nsoko!CA_disc_factor_fc</f>
        <v>0</v>
      </c>
      <c r="BE548" s="49">
        <f ca="1">OA_gov_CF_Nsoko1999*HM_ZB_Nsoko!CA_disc_factor_fc</f>
        <v>0</v>
      </c>
      <c r="BF548" s="49">
        <f ca="1">OA_gov_CF_Nsoko1999*HM_ZB_Nsoko!CA_disc_factor_fc</f>
        <v>0</v>
      </c>
      <c r="BG548" s="49">
        <f ca="1">OA_gov_CF_Nsoko1999*HM_ZB_Nsoko!CA_disc_factor_fc</f>
        <v>0</v>
      </c>
      <c r="BH548" s="49">
        <f ca="1">OA_gov_CF_Nsoko1999*HM_ZB_Nsoko!CA_disc_factor_fc</f>
        <v>0</v>
      </c>
      <c r="BI548" s="49">
        <f ca="1">OA_gov_CF_Nsoko1999*HM_ZB_Nsoko!CA_disc_factor_fc</f>
        <v>0</v>
      </c>
      <c r="BJ548" s="49">
        <f ca="1">OA_gov_CF_Nsoko1999*HM_ZB_Nsoko!CA_disc_factor_fc</f>
        <v>0</v>
      </c>
      <c r="BK548" s="49">
        <f ca="1">OA_gov_CF_Nsoko1999*HM_ZB_Nsoko!CA_disc_factor_fc</f>
        <v>0</v>
      </c>
      <c r="BL548" s="49">
        <f ca="1">OA_gov_CF_Nsoko1999*HM_ZB_Nsoko!CA_disc_factor_fc</f>
        <v>0</v>
      </c>
      <c r="BM548" s="49">
        <f ca="1">OA_gov_CF_Nsoko1999*HM_ZB_Nsoko!CA_disc_factor_fc</f>
        <v>0</v>
      </c>
      <c r="BN548" s="49">
        <f ca="1">OA_gov_CF_Nsoko1999*HM_ZB_Nsoko!CA_disc_factor_fc</f>
        <v>0</v>
      </c>
      <c r="BO548" s="49">
        <f ca="1">OA_gov_CF_Nsoko1999*HM_ZB_Nsoko!CA_disc_factor_fc</f>
        <v>0</v>
      </c>
      <c r="BP548" s="49">
        <f ca="1">OA_gov_CF_Nsoko1999*HM_ZB_Nsoko!CA_disc_factor_fc</f>
        <v>0</v>
      </c>
      <c r="BQ548" s="49">
        <f ca="1">OA_gov_CF_Nsoko1999*HM_ZB_Nsoko!CA_disc_factor_fc</f>
        <v>0</v>
      </c>
      <c r="BR548" s="49">
        <f ca="1">OA_gov_CF_Nsoko1999*HM_ZB_Nsoko!CA_disc_factor_fc</f>
        <v>0</v>
      </c>
      <c r="BS548" s="49">
        <f ca="1">OA_gov_CF_Nsoko1999*HM_ZB_Nsoko!CA_disc_factor_fc</f>
        <v>0</v>
      </c>
    </row>
    <row r="549" spans="3:71" outlineLevel="1" x14ac:dyDescent="0.2">
      <c r="C549" s="11" t="str">
        <f>HM_ZA_Nkossa!C538</f>
        <v>VAN à terme</v>
      </c>
      <c r="I549" s="65">
        <f t="shared" ca="1" si="142"/>
        <v>67.409528885540482</v>
      </c>
      <c r="J549" s="26" t="s">
        <v>148</v>
      </c>
      <c r="L549" s="49">
        <f ca="1">OA_gov_CF_Nsoko1999*HM_ZB_Nsoko!CA_disc_factor_pf</f>
        <v>0</v>
      </c>
      <c r="M549" s="49">
        <f ca="1">OA_gov_CF_Nsoko1999*HM_ZB_Nsoko!CA_disc_factor_pf</f>
        <v>0</v>
      </c>
      <c r="N549" s="49">
        <f ca="1">OA_gov_CF_Nsoko1999*HM_ZB_Nsoko!CA_disc_factor_pf</f>
        <v>0</v>
      </c>
      <c r="O549" s="49">
        <f ca="1">OA_gov_CF_Nsoko1999*HM_ZB_Nsoko!CA_disc_factor_pf</f>
        <v>0</v>
      </c>
      <c r="P549" s="49">
        <f ca="1">OA_gov_CF_Nsoko1999*HM_ZB_Nsoko!CA_disc_factor_pf</f>
        <v>0</v>
      </c>
      <c r="Q549" s="49">
        <f ca="1">OA_gov_CF_Nsoko1999*HM_ZB_Nsoko!CA_disc_factor_pf</f>
        <v>0</v>
      </c>
      <c r="R549" s="49">
        <f ca="1">OA_gov_CF_Nsoko1999*HM_ZB_Nsoko!CA_disc_factor_pf</f>
        <v>0</v>
      </c>
      <c r="S549" s="49">
        <f ca="1">OA_gov_CF_Nsoko1999*HM_ZB_Nsoko!CA_disc_factor_pf</f>
        <v>0</v>
      </c>
      <c r="T549" s="49">
        <f ca="1">OA_gov_CF_Nsoko1999*HM_ZB_Nsoko!CA_disc_factor_pf</f>
        <v>15.755809272230584</v>
      </c>
      <c r="U549" s="49">
        <f ca="1">OA_gov_CF_Nsoko1999*HM_ZB_Nsoko!CA_disc_factor_pf</f>
        <v>15.491879092165572</v>
      </c>
      <c r="V549" s="49">
        <f ca="1">OA_gov_CF_Nsoko1999*HM_ZB_Nsoko!CA_disc_factor_pf</f>
        <v>13.634622134391249</v>
      </c>
      <c r="W549" s="49">
        <f ca="1">OA_gov_CF_Nsoko1999*HM_ZB_Nsoko!CA_disc_factor_pf</f>
        <v>11.990492978912279</v>
      </c>
      <c r="X549" s="49">
        <f ca="1">OA_gov_CF_Nsoko1999*HM_ZB_Nsoko!CA_disc_factor_pf</f>
        <v>10.536725407840805</v>
      </c>
      <c r="Y549" s="49">
        <f ca="1">OA_gov_CF_Nsoko1999*HM_ZB_Nsoko!CA_disc_factor_pf</f>
        <v>0</v>
      </c>
      <c r="Z549" s="49">
        <f ca="1">OA_gov_CF_Nsoko1999*HM_ZB_Nsoko!CA_disc_factor_pf</f>
        <v>0</v>
      </c>
      <c r="AA549" s="49">
        <f ca="1">OA_gov_CF_Nsoko1999*HM_ZB_Nsoko!CA_disc_factor_pf</f>
        <v>0</v>
      </c>
      <c r="AB549" s="49">
        <f ca="1">OA_gov_CF_Nsoko1999*HM_ZB_Nsoko!CA_disc_factor_pf</f>
        <v>0</v>
      </c>
      <c r="AC549" s="49">
        <f ca="1">OA_gov_CF_Nsoko1999*HM_ZB_Nsoko!CA_disc_factor_pf</f>
        <v>0</v>
      </c>
      <c r="AD549" s="49">
        <f ca="1">OA_gov_CF_Nsoko1999*HM_ZB_Nsoko!CA_disc_factor_pf</f>
        <v>0</v>
      </c>
      <c r="AE549" s="49">
        <f ca="1">OA_gov_CF_Nsoko1999*HM_ZB_Nsoko!CA_disc_factor_pf</f>
        <v>0</v>
      </c>
      <c r="AF549" s="49">
        <f ca="1">OA_gov_CF_Nsoko1999*HM_ZB_Nsoko!CA_disc_factor_pf</f>
        <v>0</v>
      </c>
      <c r="AG549" s="49">
        <f ca="1">OA_gov_CF_Nsoko1999*HM_ZB_Nsoko!CA_disc_factor_pf</f>
        <v>0</v>
      </c>
      <c r="AH549" s="49">
        <f ca="1">OA_gov_CF_Nsoko1999*HM_ZB_Nsoko!CA_disc_factor_pf</f>
        <v>0</v>
      </c>
      <c r="AI549" s="49">
        <f ca="1">OA_gov_CF_Nsoko1999*HM_ZB_Nsoko!CA_disc_factor_pf</f>
        <v>0</v>
      </c>
      <c r="AJ549" s="49">
        <f ca="1">OA_gov_CF_Nsoko1999*HM_ZB_Nsoko!CA_disc_factor_pf</f>
        <v>0</v>
      </c>
      <c r="AK549" s="49">
        <f ca="1">OA_gov_CF_Nsoko1999*HM_ZB_Nsoko!CA_disc_factor_pf</f>
        <v>0</v>
      </c>
      <c r="AL549" s="49">
        <f ca="1">OA_gov_CF_Nsoko1999*HM_ZB_Nsoko!CA_disc_factor_pf</f>
        <v>0</v>
      </c>
      <c r="AM549" s="49">
        <f ca="1">OA_gov_CF_Nsoko1999*HM_ZB_Nsoko!CA_disc_factor_pf</f>
        <v>0</v>
      </c>
      <c r="AN549" s="49">
        <f ca="1">OA_gov_CF_Nsoko1999*HM_ZB_Nsoko!CA_disc_factor_pf</f>
        <v>0</v>
      </c>
      <c r="AO549" s="49">
        <f ca="1">OA_gov_CF_Nsoko1999*HM_ZB_Nsoko!CA_disc_factor_pf</f>
        <v>0</v>
      </c>
      <c r="AP549" s="49">
        <f ca="1">OA_gov_CF_Nsoko1999*HM_ZB_Nsoko!CA_disc_factor_pf</f>
        <v>0</v>
      </c>
      <c r="AQ549" s="49">
        <f ca="1">OA_gov_CF_Nsoko1999*HM_ZB_Nsoko!CA_disc_factor_pf</f>
        <v>0</v>
      </c>
      <c r="AR549" s="49">
        <f ca="1">OA_gov_CF_Nsoko1999*HM_ZB_Nsoko!CA_disc_factor_pf</f>
        <v>0</v>
      </c>
      <c r="AS549" s="49">
        <f ca="1">OA_gov_CF_Nsoko1999*HM_ZB_Nsoko!CA_disc_factor_pf</f>
        <v>0</v>
      </c>
      <c r="AT549" s="49">
        <f ca="1">OA_gov_CF_Nsoko1999*HM_ZB_Nsoko!CA_disc_factor_pf</f>
        <v>0</v>
      </c>
      <c r="AU549" s="49">
        <f ca="1">OA_gov_CF_Nsoko1999*HM_ZB_Nsoko!CA_disc_factor_pf</f>
        <v>0</v>
      </c>
      <c r="AV549" s="49">
        <f ca="1">OA_gov_CF_Nsoko1999*HM_ZB_Nsoko!CA_disc_factor_pf</f>
        <v>0</v>
      </c>
      <c r="AW549" s="49">
        <f ca="1">OA_gov_CF_Nsoko1999*HM_ZB_Nsoko!CA_disc_factor_pf</f>
        <v>0</v>
      </c>
      <c r="AX549" s="49">
        <f ca="1">OA_gov_CF_Nsoko1999*HM_ZB_Nsoko!CA_disc_factor_pf</f>
        <v>0</v>
      </c>
      <c r="AY549" s="49">
        <f ca="1">OA_gov_CF_Nsoko1999*HM_ZB_Nsoko!CA_disc_factor_pf</f>
        <v>0</v>
      </c>
      <c r="AZ549" s="49">
        <f ca="1">OA_gov_CF_Nsoko1999*HM_ZB_Nsoko!CA_disc_factor_pf</f>
        <v>0</v>
      </c>
      <c r="BA549" s="49">
        <f ca="1">OA_gov_CF_Nsoko1999*HM_ZB_Nsoko!CA_disc_factor_pf</f>
        <v>0</v>
      </c>
      <c r="BB549" s="49">
        <f ca="1">OA_gov_CF_Nsoko1999*HM_ZB_Nsoko!CA_disc_factor_pf</f>
        <v>0</v>
      </c>
      <c r="BC549" s="49">
        <f ca="1">OA_gov_CF_Nsoko1999*HM_ZB_Nsoko!CA_disc_factor_pf</f>
        <v>0</v>
      </c>
      <c r="BD549" s="49">
        <f ca="1">OA_gov_CF_Nsoko1999*HM_ZB_Nsoko!CA_disc_factor_pf</f>
        <v>0</v>
      </c>
      <c r="BE549" s="49">
        <f ca="1">OA_gov_CF_Nsoko1999*HM_ZB_Nsoko!CA_disc_factor_pf</f>
        <v>0</v>
      </c>
      <c r="BF549" s="49">
        <f ca="1">OA_gov_CF_Nsoko1999*HM_ZB_Nsoko!CA_disc_factor_pf</f>
        <v>0</v>
      </c>
      <c r="BG549" s="49">
        <f ca="1">OA_gov_CF_Nsoko1999*HM_ZB_Nsoko!CA_disc_factor_pf</f>
        <v>0</v>
      </c>
      <c r="BH549" s="49">
        <f ca="1">OA_gov_CF_Nsoko1999*HM_ZB_Nsoko!CA_disc_factor_pf</f>
        <v>0</v>
      </c>
      <c r="BI549" s="49">
        <f ca="1">OA_gov_CF_Nsoko1999*HM_ZB_Nsoko!CA_disc_factor_pf</f>
        <v>0</v>
      </c>
      <c r="BJ549" s="49">
        <f ca="1">OA_gov_CF_Nsoko1999*HM_ZB_Nsoko!CA_disc_factor_pf</f>
        <v>0</v>
      </c>
      <c r="BK549" s="49">
        <f ca="1">OA_gov_CF_Nsoko1999*HM_ZB_Nsoko!CA_disc_factor_pf</f>
        <v>0</v>
      </c>
      <c r="BL549" s="49">
        <f ca="1">OA_gov_CF_Nsoko1999*HM_ZB_Nsoko!CA_disc_factor_pf</f>
        <v>0</v>
      </c>
      <c r="BM549" s="49">
        <f ca="1">OA_gov_CF_Nsoko1999*HM_ZB_Nsoko!CA_disc_factor_pf</f>
        <v>0</v>
      </c>
      <c r="BN549" s="49">
        <f ca="1">OA_gov_CF_Nsoko1999*HM_ZB_Nsoko!CA_disc_factor_pf</f>
        <v>0</v>
      </c>
      <c r="BO549" s="49">
        <f ca="1">OA_gov_CF_Nsoko1999*HM_ZB_Nsoko!CA_disc_factor_pf</f>
        <v>0</v>
      </c>
      <c r="BP549" s="49">
        <f ca="1">OA_gov_CF_Nsoko1999*HM_ZB_Nsoko!CA_disc_factor_pf</f>
        <v>0</v>
      </c>
      <c r="BQ549" s="49">
        <f ca="1">OA_gov_CF_Nsoko1999*HM_ZB_Nsoko!CA_disc_factor_pf</f>
        <v>0</v>
      </c>
      <c r="BR549" s="49">
        <f ca="1">OA_gov_CF_Nsoko1999*HM_ZB_Nsoko!CA_disc_factor_pf</f>
        <v>0</v>
      </c>
      <c r="BS549" s="49">
        <f ca="1">OA_gov_CF_Nsoko1999*HM_ZB_Nsoko!CA_disc_factor_pf</f>
        <v>0</v>
      </c>
    </row>
    <row r="550" spans="3:71" outlineLevel="1" x14ac:dyDescent="0.2">
      <c r="I550" s="61"/>
      <c r="J550" s="26"/>
      <c r="L550" s="55"/>
      <c r="M550" s="55"/>
      <c r="N550" s="55"/>
      <c r="O550" s="55"/>
      <c r="P550" s="55"/>
      <c r="Q550" s="55"/>
      <c r="R550" s="55"/>
      <c r="S550" s="55"/>
      <c r="T550" s="55"/>
      <c r="U550" s="55"/>
      <c r="V550" s="55"/>
      <c r="W550" s="55"/>
      <c r="X550" s="55"/>
      <c r="Y550" s="55"/>
      <c r="Z550" s="55"/>
      <c r="AA550" s="55"/>
      <c r="AB550" s="55"/>
      <c r="AC550" s="55"/>
      <c r="AD550" s="55"/>
      <c r="AE550" s="55"/>
      <c r="AF550" s="55"/>
      <c r="AG550" s="55"/>
      <c r="AH550" s="55"/>
      <c r="AI550" s="55"/>
      <c r="AJ550" s="55"/>
      <c r="AK550" s="55"/>
      <c r="AL550" s="55"/>
      <c r="AM550" s="55"/>
      <c r="AN550" s="55"/>
      <c r="AO550" s="55"/>
      <c r="AP550" s="55"/>
      <c r="AQ550" s="55"/>
      <c r="AR550" s="55"/>
      <c r="AS550" s="55"/>
      <c r="AT550" s="55"/>
      <c r="AU550" s="55"/>
      <c r="AV550" s="55"/>
      <c r="AW550" s="55"/>
      <c r="AX550" s="55"/>
      <c r="AY550" s="55"/>
      <c r="AZ550" s="55"/>
      <c r="BA550" s="55"/>
      <c r="BB550" s="55"/>
      <c r="BC550" s="55"/>
      <c r="BD550" s="55"/>
      <c r="BE550" s="55"/>
      <c r="BF550" s="55"/>
      <c r="BG550" s="55"/>
      <c r="BH550" s="55"/>
      <c r="BI550" s="55"/>
      <c r="BJ550" s="55"/>
      <c r="BK550" s="55"/>
      <c r="BL550" s="55"/>
      <c r="BM550" s="55"/>
      <c r="BN550" s="55"/>
      <c r="BO550" s="55"/>
      <c r="BP550" s="55"/>
      <c r="BQ550" s="55"/>
      <c r="BR550" s="55"/>
      <c r="BS550" s="55"/>
    </row>
    <row r="551" spans="3:71" outlineLevel="1" x14ac:dyDescent="0.2">
      <c r="C551" s="11" t="str">
        <f>HM_ZA_Nkossa!C540</f>
        <v>TRI cycle complet</v>
      </c>
      <c r="I551" s="62" t="str">
        <f ca="1">IFERROR(IRR(INDEX(OA_gov_CF_Nsoko1999,1,MAX(1,$G$411-L4+1)):INDEX(OA_gov_CF_Nsoko1999,1,last_model_year)),"na")</f>
        <v>na</v>
      </c>
      <c r="J551" s="26" t="s">
        <v>90</v>
      </c>
      <c r="L551" s="55"/>
      <c r="M551" s="55"/>
      <c r="N551" s="55"/>
      <c r="O551" s="55"/>
      <c r="P551" s="55"/>
      <c r="Q551" s="55"/>
      <c r="R551" s="55"/>
      <c r="S551" s="55"/>
      <c r="T551" s="55"/>
      <c r="U551" s="55"/>
      <c r="V551" s="55"/>
      <c r="W551" s="55"/>
      <c r="X551" s="55"/>
      <c r="Y551" s="55"/>
      <c r="Z551" s="55"/>
      <c r="AA551" s="55"/>
      <c r="AB551" s="55"/>
      <c r="AC551" s="55"/>
      <c r="AD551" s="55"/>
      <c r="AE551" s="55"/>
      <c r="AF551" s="55"/>
      <c r="AG551" s="55"/>
      <c r="AH551" s="55"/>
      <c r="AI551" s="55"/>
      <c r="AJ551" s="55"/>
      <c r="AK551" s="55"/>
      <c r="AL551" s="55"/>
      <c r="AM551" s="55"/>
      <c r="AN551" s="55"/>
      <c r="AO551" s="55"/>
      <c r="AP551" s="55"/>
      <c r="AQ551" s="55"/>
      <c r="AR551" s="55"/>
      <c r="AS551" s="55"/>
      <c r="AT551" s="55"/>
      <c r="AU551" s="55"/>
      <c r="AV551" s="55"/>
      <c r="AW551" s="55"/>
      <c r="AX551" s="55"/>
      <c r="AY551" s="55"/>
      <c r="AZ551" s="55"/>
      <c r="BA551" s="55"/>
      <c r="BB551" s="55"/>
      <c r="BC551" s="55"/>
      <c r="BD551" s="55"/>
      <c r="BE551" s="55"/>
      <c r="BF551" s="55"/>
      <c r="BG551" s="55"/>
      <c r="BH551" s="55"/>
      <c r="BI551" s="55"/>
      <c r="BJ551" s="55"/>
      <c r="BK551" s="55"/>
      <c r="BL551" s="55"/>
      <c r="BM551" s="55"/>
      <c r="BN551" s="55"/>
      <c r="BO551" s="55"/>
      <c r="BP551" s="55"/>
      <c r="BQ551" s="55"/>
      <c r="BR551" s="55"/>
      <c r="BS551" s="55"/>
    </row>
    <row r="552" spans="3:71" outlineLevel="1" x14ac:dyDescent="0.2">
      <c r="C552" s="11" t="str">
        <f>HM_ZA_Nkossa!C541</f>
        <v>TRI à terme</v>
      </c>
      <c r="I552" s="62" t="str">
        <f ca="1">IFERROR(IRR(INDEX(OA_gov_CF_Nsoko1999,1,MAX(1,$G$412-L4+1)):INDEX(OA_gov_CF_Nsoko1999,1,last_model_year)),"na")</f>
        <v>na</v>
      </c>
      <c r="J552" s="26" t="s">
        <v>90</v>
      </c>
      <c r="L552" s="55"/>
      <c r="M552" s="55"/>
      <c r="N552" s="55"/>
      <c r="O552" s="55"/>
      <c r="P552" s="55"/>
      <c r="Q552" s="55"/>
      <c r="R552" s="55"/>
      <c r="S552" s="55"/>
      <c r="T552" s="55"/>
      <c r="U552" s="55"/>
      <c r="V552" s="55"/>
      <c r="W552" s="55"/>
      <c r="X552" s="55"/>
      <c r="Y552" s="55"/>
      <c r="Z552" s="55"/>
      <c r="AA552" s="55"/>
      <c r="AB552" s="55"/>
      <c r="AC552" s="55"/>
      <c r="AD552" s="55"/>
      <c r="AE552" s="55"/>
      <c r="AF552" s="55"/>
      <c r="AG552" s="55"/>
      <c r="AH552" s="55"/>
      <c r="AI552" s="55"/>
      <c r="AJ552" s="55"/>
      <c r="AK552" s="55"/>
      <c r="AL552" s="55"/>
      <c r="AM552" s="55"/>
      <c r="AN552" s="55"/>
      <c r="AO552" s="55"/>
      <c r="AP552" s="55"/>
      <c r="AQ552" s="55"/>
      <c r="AR552" s="55"/>
      <c r="AS552" s="55"/>
      <c r="AT552" s="55"/>
      <c r="AU552" s="55"/>
      <c r="AV552" s="55"/>
      <c r="AW552" s="55"/>
      <c r="AX552" s="55"/>
      <c r="AY552" s="55"/>
      <c r="AZ552" s="55"/>
      <c r="BA552" s="55"/>
      <c r="BB552" s="55"/>
      <c r="BC552" s="55"/>
      <c r="BD552" s="55"/>
      <c r="BE552" s="55"/>
      <c r="BF552" s="55"/>
      <c r="BG552" s="55"/>
      <c r="BH552" s="55"/>
      <c r="BI552" s="55"/>
      <c r="BJ552" s="55"/>
      <c r="BK552" s="55"/>
      <c r="BL552" s="55"/>
      <c r="BM552" s="55"/>
      <c r="BN552" s="55"/>
      <c r="BO552" s="55"/>
      <c r="BP552" s="55"/>
      <c r="BQ552" s="55"/>
      <c r="BR552" s="55"/>
      <c r="BS552" s="55"/>
    </row>
    <row r="553" spans="3:71" outlineLevel="1" x14ac:dyDescent="0.2">
      <c r="J553" s="26"/>
      <c r="L553" s="55"/>
      <c r="M553" s="55"/>
      <c r="N553" s="55"/>
      <c r="O553" s="55"/>
      <c r="P553" s="55"/>
      <c r="Q553" s="55"/>
      <c r="R553" s="55"/>
      <c r="S553" s="55"/>
      <c r="T553" s="55"/>
      <c r="U553" s="55"/>
      <c r="V553" s="55"/>
      <c r="W553" s="55"/>
      <c r="X553" s="55"/>
      <c r="Y553" s="55"/>
      <c r="Z553" s="55"/>
      <c r="AA553" s="55"/>
      <c r="AB553" s="55"/>
      <c r="AC553" s="55"/>
      <c r="AD553" s="55"/>
      <c r="AE553" s="55"/>
      <c r="AF553" s="55"/>
      <c r="AG553" s="55"/>
      <c r="AH553" s="55"/>
      <c r="AI553" s="55"/>
      <c r="AJ553" s="55"/>
      <c r="AK553" s="55"/>
      <c r="AL553" s="55"/>
      <c r="AM553" s="55"/>
      <c r="AN553" s="55"/>
      <c r="AO553" s="55"/>
      <c r="AP553" s="55"/>
      <c r="AQ553" s="55"/>
      <c r="AR553" s="55"/>
      <c r="AS553" s="55"/>
      <c r="AT553" s="55"/>
      <c r="AU553" s="55"/>
      <c r="AV553" s="55"/>
      <c r="AW553" s="55"/>
      <c r="AX553" s="55"/>
      <c r="AY553" s="55"/>
      <c r="AZ553" s="55"/>
      <c r="BA553" s="55"/>
      <c r="BB553" s="55"/>
      <c r="BC553" s="55"/>
      <c r="BD553" s="55"/>
      <c r="BE553" s="55"/>
      <c r="BF553" s="55"/>
      <c r="BG553" s="55"/>
      <c r="BH553" s="55"/>
      <c r="BI553" s="55"/>
      <c r="BJ553" s="55"/>
      <c r="BK553" s="55"/>
      <c r="BL553" s="55"/>
      <c r="BM553" s="55"/>
      <c r="BN553" s="55"/>
      <c r="BO553" s="55"/>
      <c r="BP553" s="55"/>
      <c r="BQ553" s="55"/>
      <c r="BR553" s="55"/>
      <c r="BS553" s="55"/>
    </row>
    <row r="554" spans="3:71" outlineLevel="1" x14ac:dyDescent="0.2">
      <c r="C554" s="11" t="str">
        <f>HM_ZA_Nkossa!C543</f>
        <v>Part nominale du Gouv. (%)</v>
      </c>
      <c r="H554" s="7" t="s">
        <v>598</v>
      </c>
      <c r="I554" s="62">
        <f ca="1">IFERROR(I546/I436,0)</f>
        <v>0.74760476448232138</v>
      </c>
      <c r="J554" s="26" t="s">
        <v>90</v>
      </c>
      <c r="L554" s="55"/>
      <c r="M554" s="55"/>
      <c r="N554" s="55"/>
      <c r="O554" s="55"/>
      <c r="P554" s="55"/>
      <c r="Q554" s="55"/>
      <c r="R554" s="55"/>
      <c r="S554" s="55"/>
      <c r="T554" s="55"/>
      <c r="U554" s="55"/>
      <c r="V554" s="55"/>
      <c r="W554" s="55"/>
      <c r="X554" s="55"/>
      <c r="Y554" s="55"/>
      <c r="Z554" s="55"/>
      <c r="AA554" s="55"/>
      <c r="AB554" s="55"/>
      <c r="AC554" s="55"/>
      <c r="AD554" s="55"/>
      <c r="AE554" s="55"/>
      <c r="AF554" s="55"/>
      <c r="AG554" s="55"/>
      <c r="AH554" s="55"/>
      <c r="AI554" s="55"/>
      <c r="AJ554" s="55"/>
      <c r="AK554" s="55"/>
      <c r="AL554" s="55"/>
      <c r="AM554" s="55"/>
      <c r="AN554" s="55"/>
      <c r="AO554" s="55"/>
      <c r="AP554" s="55"/>
      <c r="AQ554" s="55"/>
      <c r="AR554" s="55"/>
      <c r="AS554" s="55"/>
      <c r="AT554" s="55"/>
      <c r="AU554" s="55"/>
      <c r="AV554" s="55"/>
      <c r="AW554" s="55"/>
      <c r="AX554" s="55"/>
      <c r="AY554" s="55"/>
      <c r="AZ554" s="55"/>
      <c r="BA554" s="55"/>
      <c r="BB554" s="55"/>
      <c r="BC554" s="55"/>
      <c r="BD554" s="55"/>
      <c r="BE554" s="55"/>
      <c r="BF554" s="55"/>
      <c r="BG554" s="55"/>
      <c r="BH554" s="55"/>
      <c r="BI554" s="55"/>
      <c r="BJ554" s="55"/>
      <c r="BK554" s="55"/>
      <c r="BL554" s="55"/>
      <c r="BM554" s="55"/>
      <c r="BN554" s="55"/>
      <c r="BO554" s="55"/>
      <c r="BP554" s="55"/>
      <c r="BQ554" s="55"/>
      <c r="BR554" s="55"/>
      <c r="BS554" s="55"/>
    </row>
    <row r="555" spans="3:71" outlineLevel="1" x14ac:dyDescent="0.2">
      <c r="J555" s="26"/>
      <c r="L555" s="55"/>
      <c r="M555" s="55"/>
      <c r="N555" s="55"/>
      <c r="O555" s="55"/>
      <c r="P555" s="55"/>
      <c r="Q555" s="55"/>
      <c r="R555" s="55"/>
      <c r="S555" s="55"/>
      <c r="T555" s="55"/>
      <c r="U555" s="55"/>
      <c r="V555" s="55"/>
      <c r="W555" s="55"/>
      <c r="X555" s="55"/>
      <c r="Y555" s="55"/>
      <c r="Z555" s="55"/>
      <c r="AA555" s="55"/>
      <c r="AB555" s="55"/>
      <c r="AC555" s="55"/>
      <c r="AD555" s="55"/>
      <c r="AE555" s="55"/>
      <c r="AF555" s="55"/>
      <c r="AG555" s="55"/>
      <c r="AH555" s="55"/>
      <c r="AI555" s="55"/>
      <c r="AJ555" s="55"/>
      <c r="AK555" s="55"/>
      <c r="AL555" s="55"/>
      <c r="AM555" s="55"/>
      <c r="AN555" s="55"/>
      <c r="AO555" s="55"/>
      <c r="AP555" s="55"/>
      <c r="AQ555" s="55"/>
      <c r="AR555" s="55"/>
      <c r="AS555" s="55"/>
      <c r="AT555" s="55"/>
      <c r="AU555" s="55"/>
      <c r="AV555" s="55"/>
      <c r="AW555" s="55"/>
      <c r="AX555" s="55"/>
      <c r="AY555" s="55"/>
      <c r="AZ555" s="55"/>
      <c r="BA555" s="55"/>
      <c r="BB555" s="55"/>
      <c r="BC555" s="55"/>
      <c r="BD555" s="55"/>
      <c r="BE555" s="55"/>
      <c r="BF555" s="55"/>
      <c r="BG555" s="55"/>
      <c r="BH555" s="55"/>
      <c r="BI555" s="55"/>
      <c r="BJ555" s="55"/>
      <c r="BK555" s="55"/>
      <c r="BL555" s="55"/>
      <c r="BM555" s="55"/>
      <c r="BN555" s="55"/>
      <c r="BO555" s="55"/>
      <c r="BP555" s="55"/>
      <c r="BQ555" s="55"/>
      <c r="BR555" s="55"/>
      <c r="BS555" s="55"/>
    </row>
    <row r="556" spans="3:71" outlineLevel="1" x14ac:dyDescent="0.2">
      <c r="C556" s="11" t="str">
        <f>HM_ZA_Nkossa!C545</f>
        <v>Part nominale de l'État (%)</v>
      </c>
      <c r="H556" s="7" t="s">
        <v>599</v>
      </c>
      <c r="I556" s="62">
        <f ca="1">IFERROR(SUM(gov_CF_Nsoko1999,I515)/I436,0)</f>
        <v>0.7854640498099732</v>
      </c>
      <c r="J556" s="26"/>
      <c r="L556" s="55"/>
      <c r="M556" s="55"/>
      <c r="N556" s="55"/>
      <c r="O556" s="55"/>
      <c r="P556" s="55"/>
      <c r="Q556" s="55"/>
      <c r="R556" s="55"/>
      <c r="S556" s="55"/>
      <c r="T556" s="55"/>
      <c r="U556" s="55"/>
      <c r="V556" s="55"/>
      <c r="W556" s="55"/>
      <c r="X556" s="55"/>
      <c r="Y556" s="55"/>
      <c r="Z556" s="55"/>
      <c r="AA556" s="55"/>
      <c r="AB556" s="55"/>
      <c r="AC556" s="55"/>
      <c r="AD556" s="55"/>
      <c r="AE556" s="55"/>
      <c r="AF556" s="55"/>
      <c r="AG556" s="55"/>
      <c r="AH556" s="55"/>
      <c r="AI556" s="55"/>
      <c r="AJ556" s="55"/>
      <c r="AK556" s="55"/>
      <c r="AL556" s="55"/>
      <c r="AM556" s="55"/>
      <c r="AN556" s="55"/>
      <c r="AO556" s="55"/>
      <c r="AP556" s="55"/>
      <c r="AQ556" s="55"/>
      <c r="AR556" s="55"/>
      <c r="AS556" s="55"/>
      <c r="AT556" s="55"/>
      <c r="AU556" s="55"/>
      <c r="AV556" s="55"/>
      <c r="AW556" s="55"/>
      <c r="AX556" s="55"/>
      <c r="AY556" s="55"/>
      <c r="AZ556" s="55"/>
      <c r="BA556" s="55"/>
      <c r="BB556" s="55"/>
      <c r="BC556" s="55"/>
      <c r="BD556" s="55"/>
      <c r="BE556" s="55"/>
      <c r="BF556" s="55"/>
      <c r="BG556" s="55"/>
      <c r="BH556" s="55"/>
      <c r="BI556" s="55"/>
      <c r="BJ556" s="55"/>
      <c r="BK556" s="55"/>
      <c r="BL556" s="55"/>
      <c r="BM556" s="55"/>
      <c r="BN556" s="55"/>
      <c r="BO556" s="55"/>
      <c r="BP556" s="55"/>
      <c r="BQ556" s="55"/>
      <c r="BR556" s="55"/>
      <c r="BS556" s="55"/>
    </row>
    <row r="557" spans="3:71" outlineLevel="1" x14ac:dyDescent="0.2">
      <c r="J557" s="26"/>
      <c r="L557" s="55"/>
      <c r="M557" s="55"/>
      <c r="N557" s="55"/>
      <c r="O557" s="55"/>
      <c r="P557" s="55"/>
      <c r="Q557" s="55"/>
      <c r="R557" s="55"/>
      <c r="S557" s="55"/>
      <c r="T557" s="55"/>
      <c r="U557" s="55"/>
      <c r="V557" s="55"/>
      <c r="W557" s="55"/>
      <c r="X557" s="55"/>
      <c r="Y557" s="55"/>
      <c r="Z557" s="55"/>
      <c r="AA557" s="55"/>
      <c r="AB557" s="55"/>
      <c r="AC557" s="55"/>
      <c r="AD557" s="55"/>
      <c r="AE557" s="55"/>
      <c r="AF557" s="55"/>
      <c r="AG557" s="55"/>
      <c r="AH557" s="55"/>
      <c r="AI557" s="55"/>
      <c r="AJ557" s="55"/>
      <c r="AK557" s="55"/>
      <c r="AL557" s="55"/>
      <c r="AM557" s="55"/>
      <c r="AN557" s="55"/>
      <c r="AO557" s="55"/>
      <c r="AP557" s="55"/>
      <c r="AQ557" s="55"/>
      <c r="AR557" s="55"/>
      <c r="AS557" s="55"/>
      <c r="AT557" s="55"/>
      <c r="AU557" s="55"/>
      <c r="AV557" s="55"/>
      <c r="AW557" s="55"/>
      <c r="AX557" s="55"/>
      <c r="AY557" s="55"/>
      <c r="AZ557" s="55"/>
      <c r="BA557" s="55"/>
      <c r="BB557" s="55"/>
      <c r="BC557" s="55"/>
      <c r="BD557" s="55"/>
      <c r="BE557" s="55"/>
      <c r="BF557" s="55"/>
      <c r="BG557" s="55"/>
      <c r="BH557" s="55"/>
      <c r="BI557" s="55"/>
      <c r="BJ557" s="55"/>
      <c r="BK557" s="55"/>
      <c r="BL557" s="55"/>
      <c r="BM557" s="55"/>
      <c r="BN557" s="55"/>
      <c r="BO557" s="55"/>
      <c r="BP557" s="55"/>
      <c r="BQ557" s="55"/>
      <c r="BR557" s="55"/>
      <c r="BS557" s="55"/>
    </row>
    <row r="558" spans="3:71" outlineLevel="1" x14ac:dyDescent="0.2">
      <c r="C558" s="11" t="str">
        <f>HM_ZA_Nkossa!C547</f>
        <v>Annuité annuelle effective</v>
      </c>
      <c r="H558" s="7" t="s">
        <v>600</v>
      </c>
      <c r="I558" s="65">
        <f ca="1">(input_DiscRate_nom*$I$548)/(1-(1+input_DiscRate_nom)^-COUNTIF(HM_ZB_Nsoko!CA_op_trig,"&lt;&gt;0"))</f>
        <v>7.3507197971098606</v>
      </c>
      <c r="J558" s="26" t="s">
        <v>314</v>
      </c>
      <c r="L558" s="55"/>
      <c r="M558" s="55"/>
      <c r="N558" s="55"/>
      <c r="O558" s="55"/>
      <c r="P558" s="55"/>
      <c r="Q558" s="55"/>
      <c r="R558" s="55"/>
      <c r="S558" s="55"/>
      <c r="T558" s="55"/>
      <c r="U558" s="55"/>
      <c r="V558" s="55"/>
      <c r="W558" s="55"/>
      <c r="X558" s="55"/>
      <c r="Y558" s="55"/>
      <c r="Z558" s="55"/>
      <c r="AA558" s="55"/>
      <c r="AB558" s="55"/>
      <c r="AC558" s="55"/>
      <c r="AD558" s="55"/>
      <c r="AE558" s="55"/>
      <c r="AF558" s="55"/>
      <c r="AG558" s="55"/>
      <c r="AH558" s="55"/>
      <c r="AI558" s="55"/>
      <c r="AJ558" s="55"/>
      <c r="AK558" s="55"/>
      <c r="AL558" s="55"/>
      <c r="AM558" s="55"/>
      <c r="AN558" s="55"/>
      <c r="AO558" s="55"/>
      <c r="AP558" s="55"/>
      <c r="AQ558" s="55"/>
      <c r="AR558" s="55"/>
      <c r="AS558" s="55"/>
      <c r="AT558" s="55"/>
      <c r="AU558" s="55"/>
      <c r="AV558" s="55"/>
      <c r="AW558" s="55"/>
      <c r="AX558" s="55"/>
      <c r="AY558" s="55"/>
      <c r="AZ558" s="55"/>
      <c r="BA558" s="55"/>
      <c r="BB558" s="55"/>
      <c r="BC558" s="55"/>
      <c r="BD558" s="55"/>
      <c r="BE558" s="55"/>
      <c r="BF558" s="55"/>
      <c r="BG558" s="55"/>
      <c r="BH558" s="55"/>
      <c r="BI558" s="55"/>
      <c r="BJ558" s="55"/>
      <c r="BK558" s="55"/>
      <c r="BL558" s="55"/>
      <c r="BM558" s="55"/>
      <c r="BN558" s="55"/>
      <c r="BO558" s="55"/>
      <c r="BP558" s="55"/>
      <c r="BQ558" s="55"/>
      <c r="BR558" s="55"/>
      <c r="BS558" s="55"/>
    </row>
    <row r="559" spans="3:71" outlineLevel="1" x14ac:dyDescent="0.2">
      <c r="J559" s="26"/>
      <c r="L559" s="55"/>
      <c r="M559" s="55"/>
      <c r="N559" s="55"/>
      <c r="O559" s="55"/>
      <c r="P559" s="55"/>
      <c r="Q559" s="55"/>
      <c r="R559" s="55"/>
      <c r="S559" s="55"/>
      <c r="T559" s="55"/>
      <c r="U559" s="55"/>
      <c r="V559" s="55"/>
      <c r="W559" s="55"/>
      <c r="X559" s="55"/>
      <c r="Y559" s="55"/>
      <c r="Z559" s="55"/>
      <c r="AA559" s="55"/>
      <c r="AB559" s="55"/>
      <c r="AC559" s="55"/>
      <c r="AD559" s="55"/>
      <c r="AE559" s="55"/>
      <c r="AF559" s="55"/>
      <c r="AG559" s="55"/>
      <c r="AH559" s="55"/>
      <c r="AI559" s="55"/>
      <c r="AJ559" s="55"/>
      <c r="AK559" s="55"/>
      <c r="AL559" s="55"/>
      <c r="AM559" s="55"/>
      <c r="AN559" s="55"/>
      <c r="AO559" s="55"/>
      <c r="AP559" s="55"/>
      <c r="AQ559" s="55"/>
      <c r="AR559" s="55"/>
      <c r="AS559" s="55"/>
      <c r="AT559" s="55"/>
      <c r="AU559" s="55"/>
      <c r="AV559" s="55"/>
      <c r="AW559" s="55"/>
      <c r="AX559" s="55"/>
      <c r="AY559" s="55"/>
      <c r="AZ559" s="55"/>
      <c r="BA559" s="55"/>
      <c r="BB559" s="55"/>
      <c r="BC559" s="55"/>
      <c r="BD559" s="55"/>
      <c r="BE559" s="55"/>
      <c r="BF559" s="55"/>
      <c r="BG559" s="55"/>
      <c r="BH559" s="55"/>
      <c r="BI559" s="55"/>
      <c r="BJ559" s="55"/>
      <c r="BK559" s="55"/>
      <c r="BL559" s="55"/>
      <c r="BM559" s="55"/>
      <c r="BN559" s="55"/>
      <c r="BO559" s="55"/>
      <c r="BP559" s="55"/>
      <c r="BQ559" s="55"/>
      <c r="BR559" s="55"/>
      <c r="BS559" s="55"/>
    </row>
    <row r="560" spans="3:71" outlineLevel="1" x14ac:dyDescent="0.2">
      <c r="J560" s="26"/>
      <c r="L560" s="55"/>
      <c r="M560" s="55"/>
      <c r="N560" s="55"/>
      <c r="O560" s="55"/>
      <c r="P560" s="55"/>
      <c r="Q560" s="55"/>
      <c r="R560" s="55"/>
      <c r="S560" s="55"/>
      <c r="T560" s="55"/>
      <c r="U560" s="55"/>
      <c r="V560" s="55"/>
      <c r="W560" s="55"/>
      <c r="X560" s="55"/>
      <c r="Y560" s="55"/>
      <c r="Z560" s="55"/>
      <c r="AA560" s="55"/>
      <c r="AB560" s="55"/>
      <c r="AC560" s="55"/>
      <c r="AD560" s="55"/>
      <c r="AE560" s="55"/>
      <c r="AF560" s="55"/>
      <c r="AG560" s="55"/>
      <c r="AH560" s="55"/>
      <c r="AI560" s="55"/>
      <c r="AJ560" s="55"/>
      <c r="AK560" s="55"/>
      <c r="AL560" s="55"/>
      <c r="AM560" s="55"/>
      <c r="AN560" s="55"/>
      <c r="AO560" s="55"/>
      <c r="AP560" s="55"/>
      <c r="AQ560" s="55"/>
      <c r="AR560" s="55"/>
      <c r="AS560" s="55"/>
      <c r="AT560" s="55"/>
      <c r="AU560" s="55"/>
      <c r="AV560" s="55"/>
      <c r="AW560" s="55"/>
      <c r="AX560" s="55"/>
      <c r="AY560" s="55"/>
      <c r="AZ560" s="55"/>
      <c r="BA560" s="55"/>
      <c r="BB560" s="55"/>
      <c r="BC560" s="55"/>
      <c r="BD560" s="55"/>
      <c r="BE560" s="55"/>
      <c r="BF560" s="55"/>
      <c r="BG560" s="55"/>
      <c r="BH560" s="55"/>
      <c r="BI560" s="55"/>
      <c r="BJ560" s="55"/>
      <c r="BK560" s="55"/>
      <c r="BL560" s="55"/>
      <c r="BM560" s="55"/>
      <c r="BN560" s="55"/>
      <c r="BO560" s="55"/>
      <c r="BP560" s="55"/>
      <c r="BQ560" s="55"/>
      <c r="BR560" s="55"/>
      <c r="BS560" s="55"/>
    </row>
    <row r="561" spans="3:71" outlineLevel="1" x14ac:dyDescent="0.2">
      <c r="C561" s="11" t="str">
        <f>HM_ZA_Nkossa!C550</f>
        <v>Volumes</v>
      </c>
      <c r="J561" s="26"/>
      <c r="L561" s="55"/>
      <c r="M561" s="55"/>
      <c r="N561" s="55"/>
      <c r="O561" s="55"/>
      <c r="P561" s="55"/>
      <c r="Q561" s="55"/>
      <c r="R561" s="55"/>
      <c r="S561" s="55"/>
      <c r="T561" s="55"/>
      <c r="U561" s="55"/>
      <c r="V561" s="55"/>
      <c r="W561" s="55"/>
      <c r="X561" s="55"/>
      <c r="Y561" s="55"/>
      <c r="Z561" s="55"/>
      <c r="AA561" s="55"/>
      <c r="AB561" s="55"/>
      <c r="AC561" s="55"/>
      <c r="AD561" s="55"/>
      <c r="AE561" s="55"/>
      <c r="AF561" s="55"/>
      <c r="AG561" s="55"/>
      <c r="AH561" s="55"/>
      <c r="AI561" s="55"/>
      <c r="AJ561" s="55"/>
      <c r="AK561" s="55"/>
      <c r="AL561" s="55"/>
      <c r="AM561" s="55"/>
      <c r="AN561" s="55"/>
      <c r="AO561" s="55"/>
      <c r="AP561" s="55"/>
      <c r="AQ561" s="55"/>
      <c r="AR561" s="55"/>
      <c r="AS561" s="55"/>
      <c r="AT561" s="55"/>
      <c r="AU561" s="55"/>
      <c r="AV561" s="55"/>
      <c r="AW561" s="55"/>
      <c r="AX561" s="55"/>
      <c r="AY561" s="55"/>
      <c r="AZ561" s="55"/>
      <c r="BA561" s="55"/>
      <c r="BB561" s="55"/>
      <c r="BC561" s="55"/>
      <c r="BD561" s="55"/>
      <c r="BE561" s="55"/>
      <c r="BF561" s="55"/>
      <c r="BG561" s="55"/>
      <c r="BH561" s="55"/>
      <c r="BI561" s="55"/>
      <c r="BJ561" s="55"/>
      <c r="BK561" s="55"/>
      <c r="BL561" s="55"/>
      <c r="BM561" s="55"/>
      <c r="BN561" s="55"/>
      <c r="BO561" s="55"/>
      <c r="BP561" s="55"/>
      <c r="BQ561" s="55"/>
      <c r="BR561" s="55"/>
      <c r="BS561" s="55"/>
    </row>
    <row r="562" spans="3:71" outlineLevel="1" x14ac:dyDescent="0.2">
      <c r="D562" t="str">
        <f>HM_ZA_Nkossa!D551</f>
        <v>Redevance</v>
      </c>
      <c r="H562" s="7"/>
      <c r="I562" s="30">
        <f t="shared" ref="I562:I565" ca="1" si="144">SUM($L562:$BS562)</f>
        <v>1.3511182449745838</v>
      </c>
      <c r="J562" s="26" t="s">
        <v>692</v>
      </c>
      <c r="L562" s="49">
        <f ca="1">IFERROR((L534)/((HM_ZB_Nsoko!CA_FP_oil_nom*HM_ZB_Nsoko!CA_gross_prod_oil+HM_ZB_Nsoko!CA_FP_lpg_nom*HM_ZB_Nsoko!CA_gross_prod_lpg+HM_ZB_Nsoko!CA_FP_gas_nom*HM_ZB_Nsoko!CA_gross_prod_gas)/HM_ZB_Nsoko!CA_gross_prod_Total),0)</f>
        <v>0.11725549033209608</v>
      </c>
      <c r="M562" s="49">
        <f ca="1">IFERROR((M534)/((HM_ZB_Nsoko!CA_FP_oil_nom*HM_ZB_Nsoko!CA_gross_prod_oil+HM_ZB_Nsoko!CA_FP_lpg_nom*HM_ZB_Nsoko!CA_gross_prod_lpg+HM_ZB_Nsoko!CA_FP_gas_nom*HM_ZB_Nsoko!CA_gross_prod_gas)/HM_ZB_Nsoko!CA_gross_prod_Total),0)</f>
        <v>0.13176712587893263</v>
      </c>
      <c r="N562" s="49">
        <f ca="1">IFERROR((N534)/((HM_ZB_Nsoko!CA_FP_oil_nom*HM_ZB_Nsoko!CA_gross_prod_oil+HM_ZB_Nsoko!CA_FP_lpg_nom*HM_ZB_Nsoko!CA_gross_prod_lpg+HM_ZB_Nsoko!CA_FP_gas_nom*HM_ZB_Nsoko!CA_gross_prod_gas)/HM_ZB_Nsoko!CA_gross_prod_Total),0)</f>
        <v>0.14954485305776047</v>
      </c>
      <c r="O562" s="49">
        <f ca="1">IFERROR((O534)/((HM_ZB_Nsoko!CA_FP_oil_nom*HM_ZB_Nsoko!CA_gross_prod_oil+HM_ZB_Nsoko!CA_FP_lpg_nom*HM_ZB_Nsoko!CA_gross_prod_lpg+HM_ZB_Nsoko!CA_FP_gas_nom*HM_ZB_Nsoko!CA_gross_prod_gas)/HM_ZB_Nsoko!CA_gross_prod_Total),0)</f>
        <v>0.11759131053309119</v>
      </c>
      <c r="P562" s="49">
        <f ca="1">IFERROR((P534)/((HM_ZB_Nsoko!CA_FP_oil_nom*HM_ZB_Nsoko!CA_gross_prod_oil+HM_ZB_Nsoko!CA_FP_lpg_nom*HM_ZB_Nsoko!CA_gross_prod_lpg+HM_ZB_Nsoko!CA_FP_gas_nom*HM_ZB_Nsoko!CA_gross_prod_gas)/HM_ZB_Nsoko!CA_gross_prod_Total),0)</f>
        <v>0.11780250528339246</v>
      </c>
      <c r="Q562" s="49">
        <f ca="1">IFERROR((Q534)/((HM_ZB_Nsoko!CA_FP_oil_nom*HM_ZB_Nsoko!CA_gross_prod_oil+HM_ZB_Nsoko!CA_FP_lpg_nom*HM_ZB_Nsoko!CA_gross_prod_lpg+HM_ZB_Nsoko!CA_FP_gas_nom*HM_ZB_Nsoko!CA_gross_prod_gas)/HM_ZB_Nsoko!CA_gross_prod_Total),0)</f>
        <v>0.10484210634761465</v>
      </c>
      <c r="R562" s="49">
        <f ca="1">IFERROR((R534)/((HM_ZB_Nsoko!CA_FP_oil_nom*HM_ZB_Nsoko!CA_gross_prod_oil+HM_ZB_Nsoko!CA_FP_lpg_nom*HM_ZB_Nsoko!CA_gross_prod_lpg+HM_ZB_Nsoko!CA_FP_gas_nom*HM_ZB_Nsoko!CA_gross_prod_gas)/HM_ZB_Nsoko!CA_gross_prod_Total),0)</f>
        <v>4.1546006407821606E-2</v>
      </c>
      <c r="S562" s="49">
        <f ca="1">IFERROR((S534)/((HM_ZB_Nsoko!CA_FP_oil_nom*HM_ZB_Nsoko!CA_gross_prod_oil+HM_ZB_Nsoko!CA_FP_lpg_nom*HM_ZB_Nsoko!CA_gross_prod_lpg+HM_ZB_Nsoko!CA_FP_gas_nom*HM_ZB_Nsoko!CA_gross_prod_gas)/HM_ZB_Nsoko!CA_gross_prod_Total),0)</f>
        <v>0.11318047665</v>
      </c>
      <c r="T562" s="49">
        <f ca="1">IFERROR((T534)/((HM_ZB_Nsoko!CA_FP_oil_nom*HM_ZB_Nsoko!CA_gross_prod_oil+HM_ZB_Nsoko!CA_FP_lpg_nom*HM_ZB_Nsoko!CA_gross_prod_lpg+HM_ZB_Nsoko!CA_FP_gas_nom*HM_ZB_Nsoko!CA_gross_prod_gas)/HM_ZB_Nsoko!CA_gross_prod_Total),0)</f>
        <v>0.1052578432845</v>
      </c>
      <c r="U562" s="49">
        <f ca="1">IFERROR((U534)/((HM_ZB_Nsoko!CA_FP_oil_nom*HM_ZB_Nsoko!CA_gross_prod_oil+HM_ZB_Nsoko!CA_FP_lpg_nom*HM_ZB_Nsoko!CA_gross_prod_lpg+HM_ZB_Nsoko!CA_FP_gas_nom*HM_ZB_Nsoko!CA_gross_prod_gas)/HM_ZB_Nsoko!CA_gross_prod_Total),0)</f>
        <v>9.788979425458498E-2</v>
      </c>
      <c r="V562" s="49">
        <f ca="1">IFERROR((V534)/((HM_ZB_Nsoko!CA_FP_oil_nom*HM_ZB_Nsoko!CA_gross_prod_oil+HM_ZB_Nsoko!CA_FP_lpg_nom*HM_ZB_Nsoko!CA_gross_prod_lpg+HM_ZB_Nsoko!CA_FP_gas_nom*HM_ZB_Nsoko!CA_gross_prod_gas)/HM_ZB_Nsoko!CA_gross_prod_Total),0)</f>
        <v>9.1037508656764007E-2</v>
      </c>
      <c r="W562" s="49">
        <f ca="1">IFERROR((W534)/((HM_ZB_Nsoko!CA_FP_oil_nom*HM_ZB_Nsoko!CA_gross_prod_oil+HM_ZB_Nsoko!CA_FP_lpg_nom*HM_ZB_Nsoko!CA_gross_prod_lpg+HM_ZB_Nsoko!CA_FP_gas_nom*HM_ZB_Nsoko!CA_gross_prod_gas)/HM_ZB_Nsoko!CA_gross_prod_Total),0)</f>
        <v>8.4664883050790521E-2</v>
      </c>
      <c r="X562" s="49">
        <f ca="1">IFERROR((X534)/((HM_ZB_Nsoko!CA_FP_oil_nom*HM_ZB_Nsoko!CA_gross_prod_oil+HM_ZB_Nsoko!CA_FP_lpg_nom*HM_ZB_Nsoko!CA_gross_prod_lpg+HM_ZB_Nsoko!CA_FP_gas_nom*HM_ZB_Nsoko!CA_gross_prod_gas)/HM_ZB_Nsoko!CA_gross_prod_Total),0)</f>
        <v>7.8738341237235221E-2</v>
      </c>
      <c r="Y562" s="49">
        <f ca="1">IFERROR((Y534)/((HM_ZB_Nsoko!CA_FP_oil_nom*HM_ZB_Nsoko!CA_gross_prod_oil+HM_ZB_Nsoko!CA_FP_lpg_nom*HM_ZB_Nsoko!CA_gross_prod_lpg+HM_ZB_Nsoko!CA_FP_gas_nom*HM_ZB_Nsoko!CA_gross_prod_gas)/HM_ZB_Nsoko!CA_gross_prod_Total),0)</f>
        <v>0</v>
      </c>
      <c r="Z562" s="49">
        <f ca="1">IFERROR((Z534)/((HM_ZB_Nsoko!CA_FP_oil_nom*HM_ZB_Nsoko!CA_gross_prod_oil+HM_ZB_Nsoko!CA_FP_lpg_nom*HM_ZB_Nsoko!CA_gross_prod_lpg+HM_ZB_Nsoko!CA_FP_gas_nom*HM_ZB_Nsoko!CA_gross_prod_gas)/HM_ZB_Nsoko!CA_gross_prod_Total),0)</f>
        <v>0</v>
      </c>
      <c r="AA562" s="49">
        <f ca="1">IFERROR((AA534)/((HM_ZB_Nsoko!CA_FP_oil_nom*HM_ZB_Nsoko!CA_gross_prod_oil+HM_ZB_Nsoko!CA_FP_lpg_nom*HM_ZB_Nsoko!CA_gross_prod_lpg+HM_ZB_Nsoko!CA_FP_gas_nom*HM_ZB_Nsoko!CA_gross_prod_gas)/HM_ZB_Nsoko!CA_gross_prod_Total),0)</f>
        <v>0</v>
      </c>
      <c r="AB562" s="49">
        <f ca="1">IFERROR((AB534)/((HM_ZB_Nsoko!CA_FP_oil_nom*HM_ZB_Nsoko!CA_gross_prod_oil+HM_ZB_Nsoko!CA_FP_lpg_nom*HM_ZB_Nsoko!CA_gross_prod_lpg+HM_ZB_Nsoko!CA_FP_gas_nom*HM_ZB_Nsoko!CA_gross_prod_gas)/HM_ZB_Nsoko!CA_gross_prod_Total),0)</f>
        <v>0</v>
      </c>
      <c r="AC562" s="49">
        <f ca="1">IFERROR((AC534)/((HM_ZB_Nsoko!CA_FP_oil_nom*HM_ZB_Nsoko!CA_gross_prod_oil+HM_ZB_Nsoko!CA_FP_lpg_nom*HM_ZB_Nsoko!CA_gross_prod_lpg+HM_ZB_Nsoko!CA_FP_gas_nom*HM_ZB_Nsoko!CA_gross_prod_gas)/HM_ZB_Nsoko!CA_gross_prod_Total),0)</f>
        <v>0</v>
      </c>
      <c r="AD562" s="49">
        <f ca="1">IFERROR((AD534)/((HM_ZB_Nsoko!CA_FP_oil_nom*HM_ZB_Nsoko!CA_gross_prod_oil+HM_ZB_Nsoko!CA_FP_lpg_nom*HM_ZB_Nsoko!CA_gross_prod_lpg+HM_ZB_Nsoko!CA_FP_gas_nom*HM_ZB_Nsoko!CA_gross_prod_gas)/HM_ZB_Nsoko!CA_gross_prod_Total),0)</f>
        <v>0</v>
      </c>
      <c r="AE562" s="49">
        <f ca="1">IFERROR((AE534)/((HM_ZB_Nsoko!CA_FP_oil_nom*HM_ZB_Nsoko!CA_gross_prod_oil+HM_ZB_Nsoko!CA_FP_lpg_nom*HM_ZB_Nsoko!CA_gross_prod_lpg+HM_ZB_Nsoko!CA_FP_gas_nom*HM_ZB_Nsoko!CA_gross_prod_gas)/HM_ZB_Nsoko!CA_gross_prod_Total),0)</f>
        <v>0</v>
      </c>
      <c r="AF562" s="49">
        <f ca="1">IFERROR((AF534)/((HM_ZB_Nsoko!CA_FP_oil_nom*HM_ZB_Nsoko!CA_gross_prod_oil+HM_ZB_Nsoko!CA_FP_lpg_nom*HM_ZB_Nsoko!CA_gross_prod_lpg+HM_ZB_Nsoko!CA_FP_gas_nom*HM_ZB_Nsoko!CA_gross_prod_gas)/HM_ZB_Nsoko!CA_gross_prod_Total),0)</f>
        <v>0</v>
      </c>
      <c r="AG562" s="49">
        <f ca="1">IFERROR((AG534)/((HM_ZB_Nsoko!CA_FP_oil_nom*HM_ZB_Nsoko!CA_gross_prod_oil+HM_ZB_Nsoko!CA_FP_lpg_nom*HM_ZB_Nsoko!CA_gross_prod_lpg+HM_ZB_Nsoko!CA_FP_gas_nom*HM_ZB_Nsoko!CA_gross_prod_gas)/HM_ZB_Nsoko!CA_gross_prod_Total),0)</f>
        <v>0</v>
      </c>
      <c r="AH562" s="49">
        <f ca="1">IFERROR((AH534)/((HM_ZB_Nsoko!CA_FP_oil_nom*HM_ZB_Nsoko!CA_gross_prod_oil+HM_ZB_Nsoko!CA_FP_lpg_nom*HM_ZB_Nsoko!CA_gross_prod_lpg+HM_ZB_Nsoko!CA_FP_gas_nom*HM_ZB_Nsoko!CA_gross_prod_gas)/HM_ZB_Nsoko!CA_gross_prod_Total),0)</f>
        <v>0</v>
      </c>
      <c r="AI562" s="49">
        <f ca="1">IFERROR((AI534)/((HM_ZB_Nsoko!CA_FP_oil_nom*HM_ZB_Nsoko!CA_gross_prod_oil+HM_ZB_Nsoko!CA_FP_lpg_nom*HM_ZB_Nsoko!CA_gross_prod_lpg+HM_ZB_Nsoko!CA_FP_gas_nom*HM_ZB_Nsoko!CA_gross_prod_gas)/HM_ZB_Nsoko!CA_gross_prod_Total),0)</f>
        <v>0</v>
      </c>
      <c r="AJ562" s="49">
        <f ca="1">IFERROR((AJ534)/((HM_ZB_Nsoko!CA_FP_oil_nom*HM_ZB_Nsoko!CA_gross_prod_oil+HM_ZB_Nsoko!CA_FP_lpg_nom*HM_ZB_Nsoko!CA_gross_prod_lpg+HM_ZB_Nsoko!CA_FP_gas_nom*HM_ZB_Nsoko!CA_gross_prod_gas)/HM_ZB_Nsoko!CA_gross_prod_Total),0)</f>
        <v>0</v>
      </c>
      <c r="AK562" s="49">
        <f ca="1">IFERROR((AK534)/((HM_ZB_Nsoko!CA_FP_oil_nom*HM_ZB_Nsoko!CA_gross_prod_oil+HM_ZB_Nsoko!CA_FP_lpg_nom*HM_ZB_Nsoko!CA_gross_prod_lpg+HM_ZB_Nsoko!CA_FP_gas_nom*HM_ZB_Nsoko!CA_gross_prod_gas)/HM_ZB_Nsoko!CA_gross_prod_Total),0)</f>
        <v>0</v>
      </c>
      <c r="AL562" s="49">
        <f ca="1">IFERROR((AL534)/((HM_ZB_Nsoko!CA_FP_oil_nom*HM_ZB_Nsoko!CA_gross_prod_oil+HM_ZB_Nsoko!CA_FP_lpg_nom*HM_ZB_Nsoko!CA_gross_prod_lpg+HM_ZB_Nsoko!CA_FP_gas_nom*HM_ZB_Nsoko!CA_gross_prod_gas)/HM_ZB_Nsoko!CA_gross_prod_Total),0)</f>
        <v>0</v>
      </c>
      <c r="AM562" s="49">
        <f ca="1">IFERROR((AM534)/((HM_ZB_Nsoko!CA_FP_oil_nom*HM_ZB_Nsoko!CA_gross_prod_oil+HM_ZB_Nsoko!CA_FP_lpg_nom*HM_ZB_Nsoko!CA_gross_prod_lpg+HM_ZB_Nsoko!CA_FP_gas_nom*HM_ZB_Nsoko!CA_gross_prod_gas)/HM_ZB_Nsoko!CA_gross_prod_Total),0)</f>
        <v>0</v>
      </c>
      <c r="AN562" s="49">
        <f ca="1">IFERROR((AN534)/((HM_ZB_Nsoko!CA_FP_oil_nom*HM_ZB_Nsoko!CA_gross_prod_oil+HM_ZB_Nsoko!CA_FP_lpg_nom*HM_ZB_Nsoko!CA_gross_prod_lpg+HM_ZB_Nsoko!CA_FP_gas_nom*HM_ZB_Nsoko!CA_gross_prod_gas)/HM_ZB_Nsoko!CA_gross_prod_Total),0)</f>
        <v>0</v>
      </c>
      <c r="AO562" s="49">
        <f ca="1">IFERROR((AO534)/((HM_ZB_Nsoko!CA_FP_oil_nom*HM_ZB_Nsoko!CA_gross_prod_oil+HM_ZB_Nsoko!CA_FP_lpg_nom*HM_ZB_Nsoko!CA_gross_prod_lpg+HM_ZB_Nsoko!CA_FP_gas_nom*HM_ZB_Nsoko!CA_gross_prod_gas)/HM_ZB_Nsoko!CA_gross_prod_Total),0)</f>
        <v>0</v>
      </c>
      <c r="AP562" s="49">
        <f ca="1">IFERROR((AP534)/((HM_ZB_Nsoko!CA_FP_oil_nom*HM_ZB_Nsoko!CA_gross_prod_oil+HM_ZB_Nsoko!CA_FP_lpg_nom*HM_ZB_Nsoko!CA_gross_prod_lpg+HM_ZB_Nsoko!CA_FP_gas_nom*HM_ZB_Nsoko!CA_gross_prod_gas)/HM_ZB_Nsoko!CA_gross_prod_Total),0)</f>
        <v>0</v>
      </c>
      <c r="AQ562" s="49">
        <f ca="1">IFERROR((AQ534)/((HM_ZB_Nsoko!CA_FP_oil_nom*HM_ZB_Nsoko!CA_gross_prod_oil+HM_ZB_Nsoko!CA_FP_lpg_nom*HM_ZB_Nsoko!CA_gross_prod_lpg+HM_ZB_Nsoko!CA_FP_gas_nom*HM_ZB_Nsoko!CA_gross_prod_gas)/HM_ZB_Nsoko!CA_gross_prod_Total),0)</f>
        <v>0</v>
      </c>
      <c r="AR562" s="49">
        <f ca="1">IFERROR((AR534)/((HM_ZB_Nsoko!CA_FP_oil_nom*HM_ZB_Nsoko!CA_gross_prod_oil+HM_ZB_Nsoko!CA_FP_lpg_nom*HM_ZB_Nsoko!CA_gross_prod_lpg+HM_ZB_Nsoko!CA_FP_gas_nom*HM_ZB_Nsoko!CA_gross_prod_gas)/HM_ZB_Nsoko!CA_gross_prod_Total),0)</f>
        <v>0</v>
      </c>
      <c r="AS562" s="49">
        <f ca="1">IFERROR((AS534)/((HM_ZB_Nsoko!CA_FP_oil_nom*HM_ZB_Nsoko!CA_gross_prod_oil+HM_ZB_Nsoko!CA_FP_lpg_nom*HM_ZB_Nsoko!CA_gross_prod_lpg+HM_ZB_Nsoko!CA_FP_gas_nom*HM_ZB_Nsoko!CA_gross_prod_gas)/HM_ZB_Nsoko!CA_gross_prod_Total),0)</f>
        <v>0</v>
      </c>
      <c r="AT562" s="49">
        <f ca="1">IFERROR((AT534)/((HM_ZB_Nsoko!CA_FP_oil_nom*HM_ZB_Nsoko!CA_gross_prod_oil+HM_ZB_Nsoko!CA_FP_lpg_nom*HM_ZB_Nsoko!CA_gross_prod_lpg+HM_ZB_Nsoko!CA_FP_gas_nom*HM_ZB_Nsoko!CA_gross_prod_gas)/HM_ZB_Nsoko!CA_gross_prod_Total),0)</f>
        <v>0</v>
      </c>
      <c r="AU562" s="49">
        <f ca="1">IFERROR((AU534)/((HM_ZB_Nsoko!CA_FP_oil_nom*HM_ZB_Nsoko!CA_gross_prod_oil+HM_ZB_Nsoko!CA_FP_lpg_nom*HM_ZB_Nsoko!CA_gross_prod_lpg+HM_ZB_Nsoko!CA_FP_gas_nom*HM_ZB_Nsoko!CA_gross_prod_gas)/HM_ZB_Nsoko!CA_gross_prod_Total),0)</f>
        <v>0</v>
      </c>
      <c r="AV562" s="49">
        <f ca="1">IFERROR((AV534)/((HM_ZB_Nsoko!CA_FP_oil_nom*HM_ZB_Nsoko!CA_gross_prod_oil+HM_ZB_Nsoko!CA_FP_lpg_nom*HM_ZB_Nsoko!CA_gross_prod_lpg+HM_ZB_Nsoko!CA_FP_gas_nom*HM_ZB_Nsoko!CA_gross_prod_gas)/HM_ZB_Nsoko!CA_gross_prod_Total),0)</f>
        <v>0</v>
      </c>
      <c r="AW562" s="49">
        <f ca="1">IFERROR((AW534)/((HM_ZB_Nsoko!CA_FP_oil_nom*HM_ZB_Nsoko!CA_gross_prod_oil+HM_ZB_Nsoko!CA_FP_lpg_nom*HM_ZB_Nsoko!CA_gross_prod_lpg+HM_ZB_Nsoko!CA_FP_gas_nom*HM_ZB_Nsoko!CA_gross_prod_gas)/HM_ZB_Nsoko!CA_gross_prod_Total),0)</f>
        <v>0</v>
      </c>
      <c r="AX562" s="49">
        <f ca="1">IFERROR((AX534)/((HM_ZB_Nsoko!CA_FP_oil_nom*HM_ZB_Nsoko!CA_gross_prod_oil+HM_ZB_Nsoko!CA_FP_lpg_nom*HM_ZB_Nsoko!CA_gross_prod_lpg+HM_ZB_Nsoko!CA_FP_gas_nom*HM_ZB_Nsoko!CA_gross_prod_gas)/HM_ZB_Nsoko!CA_gross_prod_Total),0)</f>
        <v>0</v>
      </c>
      <c r="AY562" s="49">
        <f ca="1">IFERROR((AY534)/((HM_ZB_Nsoko!CA_FP_oil_nom*HM_ZB_Nsoko!CA_gross_prod_oil+HM_ZB_Nsoko!CA_FP_lpg_nom*HM_ZB_Nsoko!CA_gross_prod_lpg+HM_ZB_Nsoko!CA_FP_gas_nom*HM_ZB_Nsoko!CA_gross_prod_gas)/HM_ZB_Nsoko!CA_gross_prod_Total),0)</f>
        <v>0</v>
      </c>
      <c r="AZ562" s="49">
        <f ca="1">IFERROR((AZ534)/((HM_ZB_Nsoko!CA_FP_oil_nom*HM_ZB_Nsoko!CA_gross_prod_oil+HM_ZB_Nsoko!CA_FP_lpg_nom*HM_ZB_Nsoko!CA_gross_prod_lpg+HM_ZB_Nsoko!CA_FP_gas_nom*HM_ZB_Nsoko!CA_gross_prod_gas)/HM_ZB_Nsoko!CA_gross_prod_Total),0)</f>
        <v>0</v>
      </c>
      <c r="BA562" s="49">
        <f ca="1">IFERROR((BA534)/((HM_ZB_Nsoko!CA_FP_oil_nom*HM_ZB_Nsoko!CA_gross_prod_oil+HM_ZB_Nsoko!CA_FP_lpg_nom*HM_ZB_Nsoko!CA_gross_prod_lpg+HM_ZB_Nsoko!CA_FP_gas_nom*HM_ZB_Nsoko!CA_gross_prod_gas)/HM_ZB_Nsoko!CA_gross_prod_Total),0)</f>
        <v>0</v>
      </c>
      <c r="BB562" s="49">
        <f ca="1">IFERROR((BB534)/((HM_ZB_Nsoko!CA_FP_oil_nom*HM_ZB_Nsoko!CA_gross_prod_oil+HM_ZB_Nsoko!CA_FP_lpg_nom*HM_ZB_Nsoko!CA_gross_prod_lpg+HM_ZB_Nsoko!CA_FP_gas_nom*HM_ZB_Nsoko!CA_gross_prod_gas)/HM_ZB_Nsoko!CA_gross_prod_Total),0)</f>
        <v>0</v>
      </c>
      <c r="BC562" s="49">
        <f ca="1">IFERROR((BC534)/((HM_ZB_Nsoko!CA_FP_oil_nom*HM_ZB_Nsoko!CA_gross_prod_oil+HM_ZB_Nsoko!CA_FP_lpg_nom*HM_ZB_Nsoko!CA_gross_prod_lpg+HM_ZB_Nsoko!CA_FP_gas_nom*HM_ZB_Nsoko!CA_gross_prod_gas)/HM_ZB_Nsoko!CA_gross_prod_Total),0)</f>
        <v>0</v>
      </c>
      <c r="BD562" s="49">
        <f ca="1">IFERROR((BD534)/((HM_ZB_Nsoko!CA_FP_oil_nom*HM_ZB_Nsoko!CA_gross_prod_oil+HM_ZB_Nsoko!CA_FP_lpg_nom*HM_ZB_Nsoko!CA_gross_prod_lpg+HM_ZB_Nsoko!CA_FP_gas_nom*HM_ZB_Nsoko!CA_gross_prod_gas)/HM_ZB_Nsoko!CA_gross_prod_Total),0)</f>
        <v>0</v>
      </c>
      <c r="BE562" s="49">
        <f ca="1">IFERROR((BE534)/((HM_ZB_Nsoko!CA_FP_oil_nom*HM_ZB_Nsoko!CA_gross_prod_oil+HM_ZB_Nsoko!CA_FP_lpg_nom*HM_ZB_Nsoko!CA_gross_prod_lpg+HM_ZB_Nsoko!CA_FP_gas_nom*HM_ZB_Nsoko!CA_gross_prod_gas)/HM_ZB_Nsoko!CA_gross_prod_Total),0)</f>
        <v>0</v>
      </c>
      <c r="BF562" s="49">
        <f ca="1">IFERROR((BF534)/((HM_ZB_Nsoko!CA_FP_oil_nom*HM_ZB_Nsoko!CA_gross_prod_oil+HM_ZB_Nsoko!CA_FP_lpg_nom*HM_ZB_Nsoko!CA_gross_prod_lpg+HM_ZB_Nsoko!CA_FP_gas_nom*HM_ZB_Nsoko!CA_gross_prod_gas)/HM_ZB_Nsoko!CA_gross_prod_Total),0)</f>
        <v>0</v>
      </c>
      <c r="BG562" s="49">
        <f ca="1">IFERROR((BG534)/((HM_ZB_Nsoko!CA_FP_oil_nom*HM_ZB_Nsoko!CA_gross_prod_oil+HM_ZB_Nsoko!CA_FP_lpg_nom*HM_ZB_Nsoko!CA_gross_prod_lpg+HM_ZB_Nsoko!CA_FP_gas_nom*HM_ZB_Nsoko!CA_gross_prod_gas)/HM_ZB_Nsoko!CA_gross_prod_Total),0)</f>
        <v>0</v>
      </c>
      <c r="BH562" s="49">
        <f ca="1">IFERROR((BH534)/((HM_ZB_Nsoko!CA_FP_oil_nom*HM_ZB_Nsoko!CA_gross_prod_oil+HM_ZB_Nsoko!CA_FP_lpg_nom*HM_ZB_Nsoko!CA_gross_prod_lpg+HM_ZB_Nsoko!CA_FP_gas_nom*HM_ZB_Nsoko!CA_gross_prod_gas)/HM_ZB_Nsoko!CA_gross_prod_Total),0)</f>
        <v>0</v>
      </c>
      <c r="BI562" s="49">
        <f ca="1">IFERROR((BI534)/((HM_ZB_Nsoko!CA_FP_oil_nom*HM_ZB_Nsoko!CA_gross_prod_oil+HM_ZB_Nsoko!CA_FP_lpg_nom*HM_ZB_Nsoko!CA_gross_prod_lpg+HM_ZB_Nsoko!CA_FP_gas_nom*HM_ZB_Nsoko!CA_gross_prod_gas)/HM_ZB_Nsoko!CA_gross_prod_Total),0)</f>
        <v>0</v>
      </c>
      <c r="BJ562" s="49">
        <f ca="1">IFERROR((BJ534)/((HM_ZB_Nsoko!CA_FP_oil_nom*HM_ZB_Nsoko!CA_gross_prod_oil+HM_ZB_Nsoko!CA_FP_lpg_nom*HM_ZB_Nsoko!CA_gross_prod_lpg+HM_ZB_Nsoko!CA_FP_gas_nom*HM_ZB_Nsoko!CA_gross_prod_gas)/HM_ZB_Nsoko!CA_gross_prod_Total),0)</f>
        <v>0</v>
      </c>
      <c r="BK562" s="49">
        <f ca="1">IFERROR((BK534)/((HM_ZB_Nsoko!CA_FP_oil_nom*HM_ZB_Nsoko!CA_gross_prod_oil+HM_ZB_Nsoko!CA_FP_lpg_nom*HM_ZB_Nsoko!CA_gross_prod_lpg+HM_ZB_Nsoko!CA_FP_gas_nom*HM_ZB_Nsoko!CA_gross_prod_gas)/HM_ZB_Nsoko!CA_gross_prod_Total),0)</f>
        <v>0</v>
      </c>
      <c r="BL562" s="49">
        <f ca="1">IFERROR((BL534)/((HM_ZB_Nsoko!CA_FP_oil_nom*HM_ZB_Nsoko!CA_gross_prod_oil+HM_ZB_Nsoko!CA_FP_lpg_nom*HM_ZB_Nsoko!CA_gross_prod_lpg+HM_ZB_Nsoko!CA_FP_gas_nom*HM_ZB_Nsoko!CA_gross_prod_gas)/HM_ZB_Nsoko!CA_gross_prod_Total),0)</f>
        <v>0</v>
      </c>
      <c r="BM562" s="49">
        <f ca="1">IFERROR((BM534)/((HM_ZB_Nsoko!CA_FP_oil_nom*HM_ZB_Nsoko!CA_gross_prod_oil+HM_ZB_Nsoko!CA_FP_lpg_nom*HM_ZB_Nsoko!CA_gross_prod_lpg+HM_ZB_Nsoko!CA_FP_gas_nom*HM_ZB_Nsoko!CA_gross_prod_gas)/HM_ZB_Nsoko!CA_gross_prod_Total),0)</f>
        <v>0</v>
      </c>
      <c r="BN562" s="49">
        <f ca="1">IFERROR((BN534)/((HM_ZB_Nsoko!CA_FP_oil_nom*HM_ZB_Nsoko!CA_gross_prod_oil+HM_ZB_Nsoko!CA_FP_lpg_nom*HM_ZB_Nsoko!CA_gross_prod_lpg+HM_ZB_Nsoko!CA_FP_gas_nom*HM_ZB_Nsoko!CA_gross_prod_gas)/HM_ZB_Nsoko!CA_gross_prod_Total),0)</f>
        <v>0</v>
      </c>
      <c r="BO562" s="49">
        <f ca="1">IFERROR((BO534)/((HM_ZB_Nsoko!CA_FP_oil_nom*HM_ZB_Nsoko!CA_gross_prod_oil+HM_ZB_Nsoko!CA_FP_lpg_nom*HM_ZB_Nsoko!CA_gross_prod_lpg+HM_ZB_Nsoko!CA_FP_gas_nom*HM_ZB_Nsoko!CA_gross_prod_gas)/HM_ZB_Nsoko!CA_gross_prod_Total),0)</f>
        <v>0</v>
      </c>
      <c r="BP562" s="49">
        <f ca="1">IFERROR((BP534)/((HM_ZB_Nsoko!CA_FP_oil_nom*HM_ZB_Nsoko!CA_gross_prod_oil+HM_ZB_Nsoko!CA_FP_lpg_nom*HM_ZB_Nsoko!CA_gross_prod_lpg+HM_ZB_Nsoko!CA_FP_gas_nom*HM_ZB_Nsoko!CA_gross_prod_gas)/HM_ZB_Nsoko!CA_gross_prod_Total),0)</f>
        <v>0</v>
      </c>
      <c r="BQ562" s="49">
        <f ca="1">IFERROR((BQ534)/((HM_ZB_Nsoko!CA_FP_oil_nom*HM_ZB_Nsoko!CA_gross_prod_oil+HM_ZB_Nsoko!CA_FP_lpg_nom*HM_ZB_Nsoko!CA_gross_prod_lpg+HM_ZB_Nsoko!CA_FP_gas_nom*HM_ZB_Nsoko!CA_gross_prod_gas)/HM_ZB_Nsoko!CA_gross_prod_Total),0)</f>
        <v>0</v>
      </c>
      <c r="BR562" s="49">
        <f ca="1">IFERROR((BR534)/((HM_ZB_Nsoko!CA_FP_oil_nom*HM_ZB_Nsoko!CA_gross_prod_oil+HM_ZB_Nsoko!CA_FP_lpg_nom*HM_ZB_Nsoko!CA_gross_prod_lpg+HM_ZB_Nsoko!CA_FP_gas_nom*HM_ZB_Nsoko!CA_gross_prod_gas)/HM_ZB_Nsoko!CA_gross_prod_Total),0)</f>
        <v>0</v>
      </c>
      <c r="BS562" s="49">
        <f ca="1">IFERROR((BS534)/((HM_ZB_Nsoko!CA_FP_oil_nom*HM_ZB_Nsoko!CA_gross_prod_oil+HM_ZB_Nsoko!CA_FP_lpg_nom*HM_ZB_Nsoko!CA_gross_prod_lpg+HM_ZB_Nsoko!CA_FP_gas_nom*HM_ZB_Nsoko!CA_gross_prod_gas)/HM_ZB_Nsoko!CA_gross_prod_Total),0)</f>
        <v>0</v>
      </c>
    </row>
    <row r="563" spans="3:71" outlineLevel="1" x14ac:dyDescent="0.2">
      <c r="D563" t="str">
        <f>HM_ZA_Nkossa!D552</f>
        <v>Excess Cost Oil</v>
      </c>
      <c r="H563" s="7"/>
      <c r="I563" s="30">
        <f t="shared" ca="1" si="144"/>
        <v>0</v>
      </c>
      <c r="J563" s="26" t="s">
        <v>692</v>
      </c>
      <c r="L563" s="49">
        <f ca="1">IFERROR((L536)/((HM_ZB_Nsoko!CA_FP_oil_nom*HM_ZB_Nsoko!CA_gross_prod_oil+HM_ZB_Nsoko!CA_FP_lpg_nom*HM_ZB_Nsoko!CA_gross_prod_lpg+HM_ZB_Nsoko!CA_FP_gas_nom*HM_ZB_Nsoko!CA_gross_prod_gas)/HM_ZB_Nsoko!CA_gross_prod_Total),0)</f>
        <v>0</v>
      </c>
      <c r="M563" s="49">
        <f ca="1">IFERROR((M536)/((HM_ZB_Nsoko!CA_FP_oil_nom*HM_ZB_Nsoko!CA_gross_prod_oil+HM_ZB_Nsoko!CA_FP_lpg_nom*HM_ZB_Nsoko!CA_gross_prod_lpg+HM_ZB_Nsoko!CA_FP_gas_nom*HM_ZB_Nsoko!CA_gross_prod_gas)/HM_ZB_Nsoko!CA_gross_prod_Total),0)</f>
        <v>0</v>
      </c>
      <c r="N563" s="49">
        <f ca="1">IFERROR((N536)/((HM_ZB_Nsoko!CA_FP_oil_nom*HM_ZB_Nsoko!CA_gross_prod_oil+HM_ZB_Nsoko!CA_FP_lpg_nom*HM_ZB_Nsoko!CA_gross_prod_lpg+HM_ZB_Nsoko!CA_FP_gas_nom*HM_ZB_Nsoko!CA_gross_prod_gas)/HM_ZB_Nsoko!CA_gross_prod_Total),0)</f>
        <v>0</v>
      </c>
      <c r="O563" s="49">
        <f ca="1">IFERROR((O536)/((HM_ZB_Nsoko!CA_FP_oil_nom*HM_ZB_Nsoko!CA_gross_prod_oil+HM_ZB_Nsoko!CA_FP_lpg_nom*HM_ZB_Nsoko!CA_gross_prod_lpg+HM_ZB_Nsoko!CA_FP_gas_nom*HM_ZB_Nsoko!CA_gross_prod_gas)/HM_ZB_Nsoko!CA_gross_prod_Total),0)</f>
        <v>0</v>
      </c>
      <c r="P563" s="49">
        <f ca="1">IFERROR((P536)/((HM_ZB_Nsoko!CA_FP_oil_nom*HM_ZB_Nsoko!CA_gross_prod_oil+HM_ZB_Nsoko!CA_FP_lpg_nom*HM_ZB_Nsoko!CA_gross_prod_lpg+HM_ZB_Nsoko!CA_FP_gas_nom*HM_ZB_Nsoko!CA_gross_prod_gas)/HM_ZB_Nsoko!CA_gross_prod_Total),0)</f>
        <v>0</v>
      </c>
      <c r="Q563" s="49">
        <f ca="1">IFERROR((Q536)/((HM_ZB_Nsoko!CA_FP_oil_nom*HM_ZB_Nsoko!CA_gross_prod_oil+HM_ZB_Nsoko!CA_FP_lpg_nom*HM_ZB_Nsoko!CA_gross_prod_lpg+HM_ZB_Nsoko!CA_FP_gas_nom*HM_ZB_Nsoko!CA_gross_prod_gas)/HM_ZB_Nsoko!CA_gross_prod_Total),0)</f>
        <v>0</v>
      </c>
      <c r="R563" s="49">
        <f ca="1">IFERROR((R536)/((HM_ZB_Nsoko!CA_FP_oil_nom*HM_ZB_Nsoko!CA_gross_prod_oil+HM_ZB_Nsoko!CA_FP_lpg_nom*HM_ZB_Nsoko!CA_gross_prod_lpg+HM_ZB_Nsoko!CA_FP_gas_nom*HM_ZB_Nsoko!CA_gross_prod_gas)/HM_ZB_Nsoko!CA_gross_prod_Total),0)</f>
        <v>0</v>
      </c>
      <c r="S563" s="49">
        <f ca="1">IFERROR((S536)/((HM_ZB_Nsoko!CA_FP_oil_nom*HM_ZB_Nsoko!CA_gross_prod_oil+HM_ZB_Nsoko!CA_FP_lpg_nom*HM_ZB_Nsoko!CA_gross_prod_lpg+HM_ZB_Nsoko!CA_FP_gas_nom*HM_ZB_Nsoko!CA_gross_prod_gas)/HM_ZB_Nsoko!CA_gross_prod_Total),0)</f>
        <v>0</v>
      </c>
      <c r="T563" s="49">
        <f ca="1">IFERROR((T536)/((HM_ZB_Nsoko!CA_FP_oil_nom*HM_ZB_Nsoko!CA_gross_prod_oil+HM_ZB_Nsoko!CA_FP_lpg_nom*HM_ZB_Nsoko!CA_gross_prod_lpg+HM_ZB_Nsoko!CA_FP_gas_nom*HM_ZB_Nsoko!CA_gross_prod_gas)/HM_ZB_Nsoko!CA_gross_prod_Total),0)</f>
        <v>0</v>
      </c>
      <c r="U563" s="49">
        <f ca="1">IFERROR((U536)/((HM_ZB_Nsoko!CA_FP_oil_nom*HM_ZB_Nsoko!CA_gross_prod_oil+HM_ZB_Nsoko!CA_FP_lpg_nom*HM_ZB_Nsoko!CA_gross_prod_lpg+HM_ZB_Nsoko!CA_FP_gas_nom*HM_ZB_Nsoko!CA_gross_prod_gas)/HM_ZB_Nsoko!CA_gross_prod_Total),0)</f>
        <v>0</v>
      </c>
      <c r="V563" s="49">
        <f ca="1">IFERROR((V536)/((HM_ZB_Nsoko!CA_FP_oil_nom*HM_ZB_Nsoko!CA_gross_prod_oil+HM_ZB_Nsoko!CA_FP_lpg_nom*HM_ZB_Nsoko!CA_gross_prod_lpg+HM_ZB_Nsoko!CA_FP_gas_nom*HM_ZB_Nsoko!CA_gross_prod_gas)/HM_ZB_Nsoko!CA_gross_prod_Total),0)</f>
        <v>0</v>
      </c>
      <c r="W563" s="49">
        <f ca="1">IFERROR((W536)/((HM_ZB_Nsoko!CA_FP_oil_nom*HM_ZB_Nsoko!CA_gross_prod_oil+HM_ZB_Nsoko!CA_FP_lpg_nom*HM_ZB_Nsoko!CA_gross_prod_lpg+HM_ZB_Nsoko!CA_FP_gas_nom*HM_ZB_Nsoko!CA_gross_prod_gas)/HM_ZB_Nsoko!CA_gross_prod_Total),0)</f>
        <v>0</v>
      </c>
      <c r="X563" s="49">
        <f ca="1">IFERROR((X536)/((HM_ZB_Nsoko!CA_FP_oil_nom*HM_ZB_Nsoko!CA_gross_prod_oil+HM_ZB_Nsoko!CA_FP_lpg_nom*HM_ZB_Nsoko!CA_gross_prod_lpg+HM_ZB_Nsoko!CA_FP_gas_nom*HM_ZB_Nsoko!CA_gross_prod_gas)/HM_ZB_Nsoko!CA_gross_prod_Total),0)</f>
        <v>0</v>
      </c>
      <c r="Y563" s="49">
        <f ca="1">IFERROR((Y536)/((HM_ZB_Nsoko!CA_FP_oil_nom*HM_ZB_Nsoko!CA_gross_prod_oil+HM_ZB_Nsoko!CA_FP_lpg_nom*HM_ZB_Nsoko!CA_gross_prod_lpg+HM_ZB_Nsoko!CA_FP_gas_nom*HM_ZB_Nsoko!CA_gross_prod_gas)/HM_ZB_Nsoko!CA_gross_prod_Total),0)</f>
        <v>0</v>
      </c>
      <c r="Z563" s="49">
        <f ca="1">IFERROR((Z536)/((HM_ZB_Nsoko!CA_FP_oil_nom*HM_ZB_Nsoko!CA_gross_prod_oil+HM_ZB_Nsoko!CA_FP_lpg_nom*HM_ZB_Nsoko!CA_gross_prod_lpg+HM_ZB_Nsoko!CA_FP_gas_nom*HM_ZB_Nsoko!CA_gross_prod_gas)/HM_ZB_Nsoko!CA_gross_prod_Total),0)</f>
        <v>0</v>
      </c>
      <c r="AA563" s="49">
        <f ca="1">IFERROR((AA536)/((HM_ZB_Nsoko!CA_FP_oil_nom*HM_ZB_Nsoko!CA_gross_prod_oil+HM_ZB_Nsoko!CA_FP_lpg_nom*HM_ZB_Nsoko!CA_gross_prod_lpg+HM_ZB_Nsoko!CA_FP_gas_nom*HM_ZB_Nsoko!CA_gross_prod_gas)/HM_ZB_Nsoko!CA_gross_prod_Total),0)</f>
        <v>0</v>
      </c>
      <c r="AB563" s="49">
        <f ca="1">IFERROR((AB536)/((HM_ZB_Nsoko!CA_FP_oil_nom*HM_ZB_Nsoko!CA_gross_prod_oil+HM_ZB_Nsoko!CA_FP_lpg_nom*HM_ZB_Nsoko!CA_gross_prod_lpg+HM_ZB_Nsoko!CA_FP_gas_nom*HM_ZB_Nsoko!CA_gross_prod_gas)/HM_ZB_Nsoko!CA_gross_prod_Total),0)</f>
        <v>0</v>
      </c>
      <c r="AC563" s="49">
        <f ca="1">IFERROR((AC536)/((HM_ZB_Nsoko!CA_FP_oil_nom*HM_ZB_Nsoko!CA_gross_prod_oil+HM_ZB_Nsoko!CA_FP_lpg_nom*HM_ZB_Nsoko!CA_gross_prod_lpg+HM_ZB_Nsoko!CA_FP_gas_nom*HM_ZB_Nsoko!CA_gross_prod_gas)/HM_ZB_Nsoko!CA_gross_prod_Total),0)</f>
        <v>0</v>
      </c>
      <c r="AD563" s="49">
        <f ca="1">IFERROR((AD536)/((HM_ZB_Nsoko!CA_FP_oil_nom*HM_ZB_Nsoko!CA_gross_prod_oil+HM_ZB_Nsoko!CA_FP_lpg_nom*HM_ZB_Nsoko!CA_gross_prod_lpg+HM_ZB_Nsoko!CA_FP_gas_nom*HM_ZB_Nsoko!CA_gross_prod_gas)/HM_ZB_Nsoko!CA_gross_prod_Total),0)</f>
        <v>0</v>
      </c>
      <c r="AE563" s="49">
        <f ca="1">IFERROR((AE536)/((HM_ZB_Nsoko!CA_FP_oil_nom*HM_ZB_Nsoko!CA_gross_prod_oil+HM_ZB_Nsoko!CA_FP_lpg_nom*HM_ZB_Nsoko!CA_gross_prod_lpg+HM_ZB_Nsoko!CA_FP_gas_nom*HM_ZB_Nsoko!CA_gross_prod_gas)/HM_ZB_Nsoko!CA_gross_prod_Total),0)</f>
        <v>0</v>
      </c>
      <c r="AF563" s="49">
        <f ca="1">IFERROR((AF536)/((HM_ZB_Nsoko!CA_FP_oil_nom*HM_ZB_Nsoko!CA_gross_prod_oil+HM_ZB_Nsoko!CA_FP_lpg_nom*HM_ZB_Nsoko!CA_gross_prod_lpg+HM_ZB_Nsoko!CA_FP_gas_nom*HM_ZB_Nsoko!CA_gross_prod_gas)/HM_ZB_Nsoko!CA_gross_prod_Total),0)</f>
        <v>0</v>
      </c>
      <c r="AG563" s="49">
        <f ca="1">IFERROR((AG536)/((HM_ZB_Nsoko!CA_FP_oil_nom*HM_ZB_Nsoko!CA_gross_prod_oil+HM_ZB_Nsoko!CA_FP_lpg_nom*HM_ZB_Nsoko!CA_gross_prod_lpg+HM_ZB_Nsoko!CA_FP_gas_nom*HM_ZB_Nsoko!CA_gross_prod_gas)/HM_ZB_Nsoko!CA_gross_prod_Total),0)</f>
        <v>0</v>
      </c>
      <c r="AH563" s="49">
        <f ca="1">IFERROR((AH536)/((HM_ZB_Nsoko!CA_FP_oil_nom*HM_ZB_Nsoko!CA_gross_prod_oil+HM_ZB_Nsoko!CA_FP_lpg_nom*HM_ZB_Nsoko!CA_gross_prod_lpg+HM_ZB_Nsoko!CA_FP_gas_nom*HM_ZB_Nsoko!CA_gross_prod_gas)/HM_ZB_Nsoko!CA_gross_prod_Total),0)</f>
        <v>0</v>
      </c>
      <c r="AI563" s="49">
        <f ca="1">IFERROR((AI536)/((HM_ZB_Nsoko!CA_FP_oil_nom*HM_ZB_Nsoko!CA_gross_prod_oil+HM_ZB_Nsoko!CA_FP_lpg_nom*HM_ZB_Nsoko!CA_gross_prod_lpg+HM_ZB_Nsoko!CA_FP_gas_nom*HM_ZB_Nsoko!CA_gross_prod_gas)/HM_ZB_Nsoko!CA_gross_prod_Total),0)</f>
        <v>0</v>
      </c>
      <c r="AJ563" s="49">
        <f ca="1">IFERROR((AJ536)/((HM_ZB_Nsoko!CA_FP_oil_nom*HM_ZB_Nsoko!CA_gross_prod_oil+HM_ZB_Nsoko!CA_FP_lpg_nom*HM_ZB_Nsoko!CA_gross_prod_lpg+HM_ZB_Nsoko!CA_FP_gas_nom*HM_ZB_Nsoko!CA_gross_prod_gas)/HM_ZB_Nsoko!CA_gross_prod_Total),0)</f>
        <v>0</v>
      </c>
      <c r="AK563" s="49">
        <f ca="1">IFERROR((AK536)/((HM_ZB_Nsoko!CA_FP_oil_nom*HM_ZB_Nsoko!CA_gross_prod_oil+HM_ZB_Nsoko!CA_FP_lpg_nom*HM_ZB_Nsoko!CA_gross_prod_lpg+HM_ZB_Nsoko!CA_FP_gas_nom*HM_ZB_Nsoko!CA_gross_prod_gas)/HM_ZB_Nsoko!CA_gross_prod_Total),0)</f>
        <v>0</v>
      </c>
      <c r="AL563" s="49">
        <f ca="1">IFERROR((AL536)/((HM_ZB_Nsoko!CA_FP_oil_nom*HM_ZB_Nsoko!CA_gross_prod_oil+HM_ZB_Nsoko!CA_FP_lpg_nom*HM_ZB_Nsoko!CA_gross_prod_lpg+HM_ZB_Nsoko!CA_FP_gas_nom*HM_ZB_Nsoko!CA_gross_prod_gas)/HM_ZB_Nsoko!CA_gross_prod_Total),0)</f>
        <v>0</v>
      </c>
      <c r="AM563" s="49">
        <f ca="1">IFERROR((AM536)/((HM_ZB_Nsoko!CA_FP_oil_nom*HM_ZB_Nsoko!CA_gross_prod_oil+HM_ZB_Nsoko!CA_FP_lpg_nom*HM_ZB_Nsoko!CA_gross_prod_lpg+HM_ZB_Nsoko!CA_FP_gas_nom*HM_ZB_Nsoko!CA_gross_prod_gas)/HM_ZB_Nsoko!CA_gross_prod_Total),0)</f>
        <v>0</v>
      </c>
      <c r="AN563" s="49">
        <f ca="1">IFERROR((AN536)/((HM_ZB_Nsoko!CA_FP_oil_nom*HM_ZB_Nsoko!CA_gross_prod_oil+HM_ZB_Nsoko!CA_FP_lpg_nom*HM_ZB_Nsoko!CA_gross_prod_lpg+HM_ZB_Nsoko!CA_FP_gas_nom*HM_ZB_Nsoko!CA_gross_prod_gas)/HM_ZB_Nsoko!CA_gross_prod_Total),0)</f>
        <v>0</v>
      </c>
      <c r="AO563" s="49">
        <f ca="1">IFERROR((AO536)/((HM_ZB_Nsoko!CA_FP_oil_nom*HM_ZB_Nsoko!CA_gross_prod_oil+HM_ZB_Nsoko!CA_FP_lpg_nom*HM_ZB_Nsoko!CA_gross_prod_lpg+HM_ZB_Nsoko!CA_FP_gas_nom*HM_ZB_Nsoko!CA_gross_prod_gas)/HM_ZB_Nsoko!CA_gross_prod_Total),0)</f>
        <v>0</v>
      </c>
      <c r="AP563" s="49">
        <f ca="1">IFERROR((AP536)/((HM_ZB_Nsoko!CA_FP_oil_nom*HM_ZB_Nsoko!CA_gross_prod_oil+HM_ZB_Nsoko!CA_FP_lpg_nom*HM_ZB_Nsoko!CA_gross_prod_lpg+HM_ZB_Nsoko!CA_FP_gas_nom*HM_ZB_Nsoko!CA_gross_prod_gas)/HM_ZB_Nsoko!CA_gross_prod_Total),0)</f>
        <v>0</v>
      </c>
      <c r="AQ563" s="49">
        <f ca="1">IFERROR((AQ536)/((HM_ZB_Nsoko!CA_FP_oil_nom*HM_ZB_Nsoko!CA_gross_prod_oil+HM_ZB_Nsoko!CA_FP_lpg_nom*HM_ZB_Nsoko!CA_gross_prod_lpg+HM_ZB_Nsoko!CA_FP_gas_nom*HM_ZB_Nsoko!CA_gross_prod_gas)/HM_ZB_Nsoko!CA_gross_prod_Total),0)</f>
        <v>0</v>
      </c>
      <c r="AR563" s="49">
        <f ca="1">IFERROR((AR536)/((HM_ZB_Nsoko!CA_FP_oil_nom*HM_ZB_Nsoko!CA_gross_prod_oil+HM_ZB_Nsoko!CA_FP_lpg_nom*HM_ZB_Nsoko!CA_gross_prod_lpg+HM_ZB_Nsoko!CA_FP_gas_nom*HM_ZB_Nsoko!CA_gross_prod_gas)/HM_ZB_Nsoko!CA_gross_prod_Total),0)</f>
        <v>0</v>
      </c>
      <c r="AS563" s="49">
        <f ca="1">IFERROR((AS536)/((HM_ZB_Nsoko!CA_FP_oil_nom*HM_ZB_Nsoko!CA_gross_prod_oil+HM_ZB_Nsoko!CA_FP_lpg_nom*HM_ZB_Nsoko!CA_gross_prod_lpg+HM_ZB_Nsoko!CA_FP_gas_nom*HM_ZB_Nsoko!CA_gross_prod_gas)/HM_ZB_Nsoko!CA_gross_prod_Total),0)</f>
        <v>0</v>
      </c>
      <c r="AT563" s="49">
        <f ca="1">IFERROR((AT536)/((HM_ZB_Nsoko!CA_FP_oil_nom*HM_ZB_Nsoko!CA_gross_prod_oil+HM_ZB_Nsoko!CA_FP_lpg_nom*HM_ZB_Nsoko!CA_gross_prod_lpg+HM_ZB_Nsoko!CA_FP_gas_nom*HM_ZB_Nsoko!CA_gross_prod_gas)/HM_ZB_Nsoko!CA_gross_prod_Total),0)</f>
        <v>0</v>
      </c>
      <c r="AU563" s="49">
        <f ca="1">IFERROR((AU536)/((HM_ZB_Nsoko!CA_FP_oil_nom*HM_ZB_Nsoko!CA_gross_prod_oil+HM_ZB_Nsoko!CA_FP_lpg_nom*HM_ZB_Nsoko!CA_gross_prod_lpg+HM_ZB_Nsoko!CA_FP_gas_nom*HM_ZB_Nsoko!CA_gross_prod_gas)/HM_ZB_Nsoko!CA_gross_prod_Total),0)</f>
        <v>0</v>
      </c>
      <c r="AV563" s="49">
        <f ca="1">IFERROR((AV536)/((HM_ZB_Nsoko!CA_FP_oil_nom*HM_ZB_Nsoko!CA_gross_prod_oil+HM_ZB_Nsoko!CA_FP_lpg_nom*HM_ZB_Nsoko!CA_gross_prod_lpg+HM_ZB_Nsoko!CA_FP_gas_nom*HM_ZB_Nsoko!CA_gross_prod_gas)/HM_ZB_Nsoko!CA_gross_prod_Total),0)</f>
        <v>0</v>
      </c>
      <c r="AW563" s="49">
        <f ca="1">IFERROR((AW536)/((HM_ZB_Nsoko!CA_FP_oil_nom*HM_ZB_Nsoko!CA_gross_prod_oil+HM_ZB_Nsoko!CA_FP_lpg_nom*HM_ZB_Nsoko!CA_gross_prod_lpg+HM_ZB_Nsoko!CA_FP_gas_nom*HM_ZB_Nsoko!CA_gross_prod_gas)/HM_ZB_Nsoko!CA_gross_prod_Total),0)</f>
        <v>0</v>
      </c>
      <c r="AX563" s="49">
        <f ca="1">IFERROR((AX536)/((HM_ZB_Nsoko!CA_FP_oil_nom*HM_ZB_Nsoko!CA_gross_prod_oil+HM_ZB_Nsoko!CA_FP_lpg_nom*HM_ZB_Nsoko!CA_gross_prod_lpg+HM_ZB_Nsoko!CA_FP_gas_nom*HM_ZB_Nsoko!CA_gross_prod_gas)/HM_ZB_Nsoko!CA_gross_prod_Total),0)</f>
        <v>0</v>
      </c>
      <c r="AY563" s="49">
        <f ca="1">IFERROR((AY536)/((HM_ZB_Nsoko!CA_FP_oil_nom*HM_ZB_Nsoko!CA_gross_prod_oil+HM_ZB_Nsoko!CA_FP_lpg_nom*HM_ZB_Nsoko!CA_gross_prod_lpg+HM_ZB_Nsoko!CA_FP_gas_nom*HM_ZB_Nsoko!CA_gross_prod_gas)/HM_ZB_Nsoko!CA_gross_prod_Total),0)</f>
        <v>0</v>
      </c>
      <c r="AZ563" s="49">
        <f ca="1">IFERROR((AZ536)/((HM_ZB_Nsoko!CA_FP_oil_nom*HM_ZB_Nsoko!CA_gross_prod_oil+HM_ZB_Nsoko!CA_FP_lpg_nom*HM_ZB_Nsoko!CA_gross_prod_lpg+HM_ZB_Nsoko!CA_FP_gas_nom*HM_ZB_Nsoko!CA_gross_prod_gas)/HM_ZB_Nsoko!CA_gross_prod_Total),0)</f>
        <v>0</v>
      </c>
      <c r="BA563" s="49">
        <f ca="1">IFERROR((BA536)/((HM_ZB_Nsoko!CA_FP_oil_nom*HM_ZB_Nsoko!CA_gross_prod_oil+HM_ZB_Nsoko!CA_FP_lpg_nom*HM_ZB_Nsoko!CA_gross_prod_lpg+HM_ZB_Nsoko!CA_FP_gas_nom*HM_ZB_Nsoko!CA_gross_prod_gas)/HM_ZB_Nsoko!CA_gross_prod_Total),0)</f>
        <v>0</v>
      </c>
      <c r="BB563" s="49">
        <f ca="1">IFERROR((BB536)/((HM_ZB_Nsoko!CA_FP_oil_nom*HM_ZB_Nsoko!CA_gross_prod_oil+HM_ZB_Nsoko!CA_FP_lpg_nom*HM_ZB_Nsoko!CA_gross_prod_lpg+HM_ZB_Nsoko!CA_FP_gas_nom*HM_ZB_Nsoko!CA_gross_prod_gas)/HM_ZB_Nsoko!CA_gross_prod_Total),0)</f>
        <v>0</v>
      </c>
      <c r="BC563" s="49">
        <f ca="1">IFERROR((BC536)/((HM_ZB_Nsoko!CA_FP_oil_nom*HM_ZB_Nsoko!CA_gross_prod_oil+HM_ZB_Nsoko!CA_FP_lpg_nom*HM_ZB_Nsoko!CA_gross_prod_lpg+HM_ZB_Nsoko!CA_FP_gas_nom*HM_ZB_Nsoko!CA_gross_prod_gas)/HM_ZB_Nsoko!CA_gross_prod_Total),0)</f>
        <v>0</v>
      </c>
      <c r="BD563" s="49">
        <f ca="1">IFERROR((BD536)/((HM_ZB_Nsoko!CA_FP_oil_nom*HM_ZB_Nsoko!CA_gross_prod_oil+HM_ZB_Nsoko!CA_FP_lpg_nom*HM_ZB_Nsoko!CA_gross_prod_lpg+HM_ZB_Nsoko!CA_FP_gas_nom*HM_ZB_Nsoko!CA_gross_prod_gas)/HM_ZB_Nsoko!CA_gross_prod_Total),0)</f>
        <v>0</v>
      </c>
      <c r="BE563" s="49">
        <f ca="1">IFERROR((BE536)/((HM_ZB_Nsoko!CA_FP_oil_nom*HM_ZB_Nsoko!CA_gross_prod_oil+HM_ZB_Nsoko!CA_FP_lpg_nom*HM_ZB_Nsoko!CA_gross_prod_lpg+HM_ZB_Nsoko!CA_FP_gas_nom*HM_ZB_Nsoko!CA_gross_prod_gas)/HM_ZB_Nsoko!CA_gross_prod_Total),0)</f>
        <v>0</v>
      </c>
      <c r="BF563" s="49">
        <f ca="1">IFERROR((BF536)/((HM_ZB_Nsoko!CA_FP_oil_nom*HM_ZB_Nsoko!CA_gross_prod_oil+HM_ZB_Nsoko!CA_FP_lpg_nom*HM_ZB_Nsoko!CA_gross_prod_lpg+HM_ZB_Nsoko!CA_FP_gas_nom*HM_ZB_Nsoko!CA_gross_prod_gas)/HM_ZB_Nsoko!CA_gross_prod_Total),0)</f>
        <v>0</v>
      </c>
      <c r="BG563" s="49">
        <f ca="1">IFERROR((BG536)/((HM_ZB_Nsoko!CA_FP_oil_nom*HM_ZB_Nsoko!CA_gross_prod_oil+HM_ZB_Nsoko!CA_FP_lpg_nom*HM_ZB_Nsoko!CA_gross_prod_lpg+HM_ZB_Nsoko!CA_FP_gas_nom*HM_ZB_Nsoko!CA_gross_prod_gas)/HM_ZB_Nsoko!CA_gross_prod_Total),0)</f>
        <v>0</v>
      </c>
      <c r="BH563" s="49">
        <f ca="1">IFERROR((BH536)/((HM_ZB_Nsoko!CA_FP_oil_nom*HM_ZB_Nsoko!CA_gross_prod_oil+HM_ZB_Nsoko!CA_FP_lpg_nom*HM_ZB_Nsoko!CA_gross_prod_lpg+HM_ZB_Nsoko!CA_FP_gas_nom*HM_ZB_Nsoko!CA_gross_prod_gas)/HM_ZB_Nsoko!CA_gross_prod_Total),0)</f>
        <v>0</v>
      </c>
      <c r="BI563" s="49">
        <f ca="1">IFERROR((BI536)/((HM_ZB_Nsoko!CA_FP_oil_nom*HM_ZB_Nsoko!CA_gross_prod_oil+HM_ZB_Nsoko!CA_FP_lpg_nom*HM_ZB_Nsoko!CA_gross_prod_lpg+HM_ZB_Nsoko!CA_FP_gas_nom*HM_ZB_Nsoko!CA_gross_prod_gas)/HM_ZB_Nsoko!CA_gross_prod_Total),0)</f>
        <v>0</v>
      </c>
      <c r="BJ563" s="49">
        <f ca="1">IFERROR((BJ536)/((HM_ZB_Nsoko!CA_FP_oil_nom*HM_ZB_Nsoko!CA_gross_prod_oil+HM_ZB_Nsoko!CA_FP_lpg_nom*HM_ZB_Nsoko!CA_gross_prod_lpg+HM_ZB_Nsoko!CA_FP_gas_nom*HM_ZB_Nsoko!CA_gross_prod_gas)/HM_ZB_Nsoko!CA_gross_prod_Total),0)</f>
        <v>0</v>
      </c>
      <c r="BK563" s="49">
        <f ca="1">IFERROR((BK536)/((HM_ZB_Nsoko!CA_FP_oil_nom*HM_ZB_Nsoko!CA_gross_prod_oil+HM_ZB_Nsoko!CA_FP_lpg_nom*HM_ZB_Nsoko!CA_gross_prod_lpg+HM_ZB_Nsoko!CA_FP_gas_nom*HM_ZB_Nsoko!CA_gross_prod_gas)/HM_ZB_Nsoko!CA_gross_prod_Total),0)</f>
        <v>0</v>
      </c>
      <c r="BL563" s="49">
        <f ca="1">IFERROR((BL536)/((HM_ZB_Nsoko!CA_FP_oil_nom*HM_ZB_Nsoko!CA_gross_prod_oil+HM_ZB_Nsoko!CA_FP_lpg_nom*HM_ZB_Nsoko!CA_gross_prod_lpg+HM_ZB_Nsoko!CA_FP_gas_nom*HM_ZB_Nsoko!CA_gross_prod_gas)/HM_ZB_Nsoko!CA_gross_prod_Total),0)</f>
        <v>0</v>
      </c>
      <c r="BM563" s="49">
        <f ca="1">IFERROR((BM536)/((HM_ZB_Nsoko!CA_FP_oil_nom*HM_ZB_Nsoko!CA_gross_prod_oil+HM_ZB_Nsoko!CA_FP_lpg_nom*HM_ZB_Nsoko!CA_gross_prod_lpg+HM_ZB_Nsoko!CA_FP_gas_nom*HM_ZB_Nsoko!CA_gross_prod_gas)/HM_ZB_Nsoko!CA_gross_prod_Total),0)</f>
        <v>0</v>
      </c>
      <c r="BN563" s="49">
        <f ca="1">IFERROR((BN536)/((HM_ZB_Nsoko!CA_FP_oil_nom*HM_ZB_Nsoko!CA_gross_prod_oil+HM_ZB_Nsoko!CA_FP_lpg_nom*HM_ZB_Nsoko!CA_gross_prod_lpg+HM_ZB_Nsoko!CA_FP_gas_nom*HM_ZB_Nsoko!CA_gross_prod_gas)/HM_ZB_Nsoko!CA_gross_prod_Total),0)</f>
        <v>0</v>
      </c>
      <c r="BO563" s="49">
        <f ca="1">IFERROR((BO536)/((HM_ZB_Nsoko!CA_FP_oil_nom*HM_ZB_Nsoko!CA_gross_prod_oil+HM_ZB_Nsoko!CA_FP_lpg_nom*HM_ZB_Nsoko!CA_gross_prod_lpg+HM_ZB_Nsoko!CA_FP_gas_nom*HM_ZB_Nsoko!CA_gross_prod_gas)/HM_ZB_Nsoko!CA_gross_prod_Total),0)</f>
        <v>0</v>
      </c>
      <c r="BP563" s="49">
        <f ca="1">IFERROR((BP536)/((HM_ZB_Nsoko!CA_FP_oil_nom*HM_ZB_Nsoko!CA_gross_prod_oil+HM_ZB_Nsoko!CA_FP_lpg_nom*HM_ZB_Nsoko!CA_gross_prod_lpg+HM_ZB_Nsoko!CA_FP_gas_nom*HM_ZB_Nsoko!CA_gross_prod_gas)/HM_ZB_Nsoko!CA_gross_prod_Total),0)</f>
        <v>0</v>
      </c>
      <c r="BQ563" s="49">
        <f ca="1">IFERROR((BQ536)/((HM_ZB_Nsoko!CA_FP_oil_nom*HM_ZB_Nsoko!CA_gross_prod_oil+HM_ZB_Nsoko!CA_FP_lpg_nom*HM_ZB_Nsoko!CA_gross_prod_lpg+HM_ZB_Nsoko!CA_FP_gas_nom*HM_ZB_Nsoko!CA_gross_prod_gas)/HM_ZB_Nsoko!CA_gross_prod_Total),0)</f>
        <v>0</v>
      </c>
      <c r="BR563" s="49">
        <f ca="1">IFERROR((BR536)/((HM_ZB_Nsoko!CA_FP_oil_nom*HM_ZB_Nsoko!CA_gross_prod_oil+HM_ZB_Nsoko!CA_FP_lpg_nom*HM_ZB_Nsoko!CA_gross_prod_lpg+HM_ZB_Nsoko!CA_FP_gas_nom*HM_ZB_Nsoko!CA_gross_prod_gas)/HM_ZB_Nsoko!CA_gross_prod_Total),0)</f>
        <v>0</v>
      </c>
      <c r="BS563" s="49">
        <f ca="1">IFERROR((BS536)/((HM_ZB_Nsoko!CA_FP_oil_nom*HM_ZB_Nsoko!CA_gross_prod_oil+HM_ZB_Nsoko!CA_FP_lpg_nom*HM_ZB_Nsoko!CA_gross_prod_lpg+HM_ZB_Nsoko!CA_FP_gas_nom*HM_ZB_Nsoko!CA_gross_prod_gas)/HM_ZB_Nsoko!CA_gross_prod_Total),0)</f>
        <v>0</v>
      </c>
    </row>
    <row r="564" spans="3:71" outlineLevel="1" x14ac:dyDescent="0.2">
      <c r="D564" t="str">
        <f>HM_ZA_Nkossa!D553</f>
        <v>Super Profit Oil</v>
      </c>
      <c r="H564" s="7"/>
      <c r="I564" s="30">
        <f t="shared" ca="1" si="144"/>
        <v>2.2074084285020947</v>
      </c>
      <c r="J564" s="26" t="s">
        <v>692</v>
      </c>
      <c r="L564" s="49">
        <f ca="1">IFERROR((L537)/((HM_ZB_Nsoko!CA_FP_oil_nom*HM_ZB_Nsoko!CA_gross_prod_oil+HM_ZB_Nsoko!CA_FP_lpg_nom*HM_ZB_Nsoko!CA_gross_prod_lpg)/(HM_ZB_Nsoko!CA_gross_prod_oil+HM_ZB_Nsoko!CA_gross_prod_lpg)),0)</f>
        <v>0.3951947512607964</v>
      </c>
      <c r="M564" s="49">
        <f ca="1">IFERROR((M537)/((HM_ZB_Nsoko!CA_FP_oil_nom*HM_ZB_Nsoko!CA_gross_prod_oil+HM_ZB_Nsoko!CA_FP_lpg_nom*HM_ZB_Nsoko!CA_gross_prod_lpg)/(HM_ZB_Nsoko!CA_gross_prod_oil+HM_ZB_Nsoko!CA_gross_prod_lpg)),0)</f>
        <v>0.4231946677074076</v>
      </c>
      <c r="N564" s="49">
        <f ca="1">IFERROR((N537)/((HM_ZB_Nsoko!CA_FP_oil_nom*HM_ZB_Nsoko!CA_gross_prod_oil+HM_ZB_Nsoko!CA_FP_lpg_nom*HM_ZB_Nsoko!CA_gross_prod_lpg)/(HM_ZB_Nsoko!CA_gross_prod_oil+HM_ZB_Nsoko!CA_gross_prod_lpg)),0)</f>
        <v>0.25901409963050209</v>
      </c>
      <c r="O564" s="49">
        <f ca="1">IFERROR((O537)/((HM_ZB_Nsoko!CA_FP_oil_nom*HM_ZB_Nsoko!CA_gross_prod_oil+HM_ZB_Nsoko!CA_FP_lpg_nom*HM_ZB_Nsoko!CA_gross_prod_lpg)/(HM_ZB_Nsoko!CA_gross_prod_oil+HM_ZB_Nsoko!CA_gross_prod_lpg)),0)</f>
        <v>0.14056456918169921</v>
      </c>
      <c r="P564" s="49">
        <f ca="1">IFERROR((P537)/((HM_ZB_Nsoko!CA_FP_oil_nom*HM_ZB_Nsoko!CA_gross_prod_oil+HM_ZB_Nsoko!CA_FP_lpg_nom*HM_ZB_Nsoko!CA_gross_prod_lpg)/(HM_ZB_Nsoko!CA_gross_prod_oil+HM_ZB_Nsoko!CA_gross_prod_lpg)),0)</f>
        <v>0.16320017260006733</v>
      </c>
      <c r="Q564" s="49">
        <f ca="1">IFERROR((Q537)/((HM_ZB_Nsoko!CA_FP_oil_nom*HM_ZB_Nsoko!CA_gross_prod_oil+HM_ZB_Nsoko!CA_FP_lpg_nom*HM_ZB_Nsoko!CA_gross_prod_lpg)/(HM_ZB_Nsoko!CA_gross_prod_oil+HM_ZB_Nsoko!CA_gross_prod_lpg)),0)</f>
        <v>0.25902909431021165</v>
      </c>
      <c r="R564" s="49">
        <f ca="1">IFERROR((R537)/((HM_ZB_Nsoko!CA_FP_oil_nom*HM_ZB_Nsoko!CA_gross_prod_oil+HM_ZB_Nsoko!CA_FP_lpg_nom*HM_ZB_Nsoko!CA_gross_prod_lpg)/(HM_ZB_Nsoko!CA_gross_prod_oil+HM_ZB_Nsoko!CA_gross_prod_lpg)),0)</f>
        <v>6.0729774050328818E-2</v>
      </c>
      <c r="S564" s="49">
        <f ca="1">IFERROR((S537)/((HM_ZB_Nsoko!CA_FP_oil_nom*HM_ZB_Nsoko!CA_gross_prod_oil+HM_ZB_Nsoko!CA_FP_lpg_nom*HM_ZB_Nsoko!CA_gross_prod_lpg)/(HM_ZB_Nsoko!CA_gross_prod_oil+HM_ZB_Nsoko!CA_gross_prod_lpg)),0)</f>
        <v>0</v>
      </c>
      <c r="T564" s="49">
        <f ca="1">IFERROR((T537)/((HM_ZB_Nsoko!CA_FP_oil_nom*HM_ZB_Nsoko!CA_gross_prod_oil+HM_ZB_Nsoko!CA_FP_lpg_nom*HM_ZB_Nsoko!CA_gross_prod_lpg)/(HM_ZB_Nsoko!CA_gross_prod_oil+HM_ZB_Nsoko!CA_gross_prod_lpg)),0)</f>
        <v>8.7338752362692257E-2</v>
      </c>
      <c r="U564" s="49">
        <f ca="1">IFERROR((U537)/((HM_ZB_Nsoko!CA_FP_oil_nom*HM_ZB_Nsoko!CA_gross_prod_oil+HM_ZB_Nsoko!CA_FP_lpg_nom*HM_ZB_Nsoko!CA_gross_prod_lpg)/(HM_ZB_Nsoko!CA_gross_prod_oil+HM_ZB_Nsoko!CA_gross_prod_lpg)),0)</f>
        <v>0.10690430680050401</v>
      </c>
      <c r="V564" s="49">
        <f ca="1">IFERROR((V537)/((HM_ZB_Nsoko!CA_FP_oil_nom*HM_ZB_Nsoko!CA_gross_prod_oil+HM_ZB_Nsoko!CA_FP_lpg_nom*HM_ZB_Nsoko!CA_gross_prod_lpg)/(HM_ZB_Nsoko!CA_gross_prod_oil+HM_ZB_Nsoko!CA_gross_prod_lpg)),0)</f>
        <v>0.10580180339781042</v>
      </c>
      <c r="W564" s="49">
        <f ca="1">IFERROR((W537)/((HM_ZB_Nsoko!CA_FP_oil_nom*HM_ZB_Nsoko!CA_gross_prod_oil+HM_ZB_Nsoko!CA_FP_lpg_nom*HM_ZB_Nsoko!CA_gross_prod_lpg)/(HM_ZB_Nsoko!CA_gross_prod_oil+HM_ZB_Nsoko!CA_gross_prod_lpg)),0)</f>
        <v>0.10421346363859882</v>
      </c>
      <c r="X564" s="49">
        <f ca="1">IFERROR((X537)/((HM_ZB_Nsoko!CA_FP_oil_nom*HM_ZB_Nsoko!CA_gross_prod_oil+HM_ZB_Nsoko!CA_FP_lpg_nom*HM_ZB_Nsoko!CA_gross_prod_lpg)/(HM_ZB_Nsoko!CA_gross_prod_oil+HM_ZB_Nsoko!CA_gross_prod_lpg)),0)</f>
        <v>0.102222973561476</v>
      </c>
      <c r="Y564" s="49">
        <f ca="1">IFERROR((Y537)/((HM_ZB_Nsoko!CA_FP_oil_nom*HM_ZB_Nsoko!CA_gross_prod_oil+HM_ZB_Nsoko!CA_FP_lpg_nom*HM_ZB_Nsoko!CA_gross_prod_lpg)/(HM_ZB_Nsoko!CA_gross_prod_oil+HM_ZB_Nsoko!CA_gross_prod_lpg)),0)</f>
        <v>0</v>
      </c>
      <c r="Z564" s="49">
        <f ca="1">IFERROR((Z537)/((HM_ZB_Nsoko!CA_FP_oil_nom*HM_ZB_Nsoko!CA_gross_prod_oil+HM_ZB_Nsoko!CA_FP_lpg_nom*HM_ZB_Nsoko!CA_gross_prod_lpg)/(HM_ZB_Nsoko!CA_gross_prod_oil+HM_ZB_Nsoko!CA_gross_prod_lpg)),0)</f>
        <v>0</v>
      </c>
      <c r="AA564" s="49">
        <f ca="1">IFERROR((AA537)/((HM_ZB_Nsoko!CA_FP_oil_nom*HM_ZB_Nsoko!CA_gross_prod_oil+HM_ZB_Nsoko!CA_FP_lpg_nom*HM_ZB_Nsoko!CA_gross_prod_lpg)/(HM_ZB_Nsoko!CA_gross_prod_oil+HM_ZB_Nsoko!CA_gross_prod_lpg)),0)</f>
        <v>0</v>
      </c>
      <c r="AB564" s="49">
        <f ca="1">IFERROR((AB537)/((HM_ZB_Nsoko!CA_FP_oil_nom*HM_ZB_Nsoko!CA_gross_prod_oil+HM_ZB_Nsoko!CA_FP_lpg_nom*HM_ZB_Nsoko!CA_gross_prod_lpg)/(HM_ZB_Nsoko!CA_gross_prod_oil+HM_ZB_Nsoko!CA_gross_prod_lpg)),0)</f>
        <v>0</v>
      </c>
      <c r="AC564" s="49">
        <f ca="1">IFERROR((AC537)/((HM_ZB_Nsoko!CA_FP_oil_nom*HM_ZB_Nsoko!CA_gross_prod_oil+HM_ZB_Nsoko!CA_FP_lpg_nom*HM_ZB_Nsoko!CA_gross_prod_lpg)/(HM_ZB_Nsoko!CA_gross_prod_oil+HM_ZB_Nsoko!CA_gross_prod_lpg)),0)</f>
        <v>0</v>
      </c>
      <c r="AD564" s="49">
        <f ca="1">IFERROR((AD537)/((HM_ZB_Nsoko!CA_FP_oil_nom*HM_ZB_Nsoko!CA_gross_prod_oil+HM_ZB_Nsoko!CA_FP_lpg_nom*HM_ZB_Nsoko!CA_gross_prod_lpg)/(HM_ZB_Nsoko!CA_gross_prod_oil+HM_ZB_Nsoko!CA_gross_prod_lpg)),0)</f>
        <v>0</v>
      </c>
      <c r="AE564" s="49">
        <f ca="1">IFERROR((AE537)/((HM_ZB_Nsoko!CA_FP_oil_nom*HM_ZB_Nsoko!CA_gross_prod_oil+HM_ZB_Nsoko!CA_FP_lpg_nom*HM_ZB_Nsoko!CA_gross_prod_lpg)/(HM_ZB_Nsoko!CA_gross_prod_oil+HM_ZB_Nsoko!CA_gross_prod_lpg)),0)</f>
        <v>0</v>
      </c>
      <c r="AF564" s="49">
        <f ca="1">IFERROR((AF537)/((HM_ZB_Nsoko!CA_FP_oil_nom*HM_ZB_Nsoko!CA_gross_prod_oil+HM_ZB_Nsoko!CA_FP_lpg_nom*HM_ZB_Nsoko!CA_gross_prod_lpg)/(HM_ZB_Nsoko!CA_gross_prod_oil+HM_ZB_Nsoko!CA_gross_prod_lpg)),0)</f>
        <v>0</v>
      </c>
      <c r="AG564" s="49">
        <f ca="1">IFERROR((AG537)/((HM_ZB_Nsoko!CA_FP_oil_nom*HM_ZB_Nsoko!CA_gross_prod_oil+HM_ZB_Nsoko!CA_FP_lpg_nom*HM_ZB_Nsoko!CA_gross_prod_lpg)/(HM_ZB_Nsoko!CA_gross_prod_oil+HM_ZB_Nsoko!CA_gross_prod_lpg)),0)</f>
        <v>0</v>
      </c>
      <c r="AH564" s="49">
        <f ca="1">IFERROR((AH537)/((HM_ZB_Nsoko!CA_FP_oil_nom*HM_ZB_Nsoko!CA_gross_prod_oil+HM_ZB_Nsoko!CA_FP_lpg_nom*HM_ZB_Nsoko!CA_gross_prod_lpg)/(HM_ZB_Nsoko!CA_gross_prod_oil+HM_ZB_Nsoko!CA_gross_prod_lpg)),0)</f>
        <v>0</v>
      </c>
      <c r="AI564" s="49">
        <f ca="1">IFERROR((AI537)/((HM_ZB_Nsoko!CA_FP_oil_nom*HM_ZB_Nsoko!CA_gross_prod_oil+HM_ZB_Nsoko!CA_FP_lpg_nom*HM_ZB_Nsoko!CA_gross_prod_lpg)/(HM_ZB_Nsoko!CA_gross_prod_oil+HM_ZB_Nsoko!CA_gross_prod_lpg)),0)</f>
        <v>0</v>
      </c>
      <c r="AJ564" s="49">
        <f ca="1">IFERROR((AJ537)/((HM_ZB_Nsoko!CA_FP_oil_nom*HM_ZB_Nsoko!CA_gross_prod_oil+HM_ZB_Nsoko!CA_FP_lpg_nom*HM_ZB_Nsoko!CA_gross_prod_lpg)/(HM_ZB_Nsoko!CA_gross_prod_oil+HM_ZB_Nsoko!CA_gross_prod_lpg)),0)</f>
        <v>0</v>
      </c>
      <c r="AK564" s="49">
        <f ca="1">IFERROR((AK537)/((HM_ZB_Nsoko!CA_FP_oil_nom*HM_ZB_Nsoko!CA_gross_prod_oil+HM_ZB_Nsoko!CA_FP_lpg_nom*HM_ZB_Nsoko!CA_gross_prod_lpg)/(HM_ZB_Nsoko!CA_gross_prod_oil+HM_ZB_Nsoko!CA_gross_prod_lpg)),0)</f>
        <v>0</v>
      </c>
      <c r="AL564" s="49">
        <f ca="1">IFERROR((AL537)/((HM_ZB_Nsoko!CA_FP_oil_nom*HM_ZB_Nsoko!CA_gross_prod_oil+HM_ZB_Nsoko!CA_FP_lpg_nom*HM_ZB_Nsoko!CA_gross_prod_lpg)/(HM_ZB_Nsoko!CA_gross_prod_oil+HM_ZB_Nsoko!CA_gross_prod_lpg)),0)</f>
        <v>0</v>
      </c>
      <c r="AM564" s="49">
        <f ca="1">IFERROR((AM537)/((HM_ZB_Nsoko!CA_FP_oil_nom*HM_ZB_Nsoko!CA_gross_prod_oil+HM_ZB_Nsoko!CA_FP_lpg_nom*HM_ZB_Nsoko!CA_gross_prod_lpg)/(HM_ZB_Nsoko!CA_gross_prod_oil+HM_ZB_Nsoko!CA_gross_prod_lpg)),0)</f>
        <v>0</v>
      </c>
      <c r="AN564" s="49">
        <f ca="1">IFERROR((AN537)/((HM_ZB_Nsoko!CA_FP_oil_nom*HM_ZB_Nsoko!CA_gross_prod_oil+HM_ZB_Nsoko!CA_FP_lpg_nom*HM_ZB_Nsoko!CA_gross_prod_lpg)/(HM_ZB_Nsoko!CA_gross_prod_oil+HM_ZB_Nsoko!CA_gross_prod_lpg)),0)</f>
        <v>0</v>
      </c>
      <c r="AO564" s="49">
        <f ca="1">IFERROR((AO537)/((HM_ZB_Nsoko!CA_FP_oil_nom*HM_ZB_Nsoko!CA_gross_prod_oil+HM_ZB_Nsoko!CA_FP_lpg_nom*HM_ZB_Nsoko!CA_gross_prod_lpg)/(HM_ZB_Nsoko!CA_gross_prod_oil+HM_ZB_Nsoko!CA_gross_prod_lpg)),0)</f>
        <v>0</v>
      </c>
      <c r="AP564" s="49">
        <f ca="1">IFERROR((AP537)/((HM_ZB_Nsoko!CA_FP_oil_nom*HM_ZB_Nsoko!CA_gross_prod_oil+HM_ZB_Nsoko!CA_FP_lpg_nom*HM_ZB_Nsoko!CA_gross_prod_lpg)/(HM_ZB_Nsoko!CA_gross_prod_oil+HM_ZB_Nsoko!CA_gross_prod_lpg)),0)</f>
        <v>0</v>
      </c>
      <c r="AQ564" s="49">
        <f ca="1">IFERROR((AQ537)/((HM_ZB_Nsoko!CA_FP_oil_nom*HM_ZB_Nsoko!CA_gross_prod_oil+HM_ZB_Nsoko!CA_FP_lpg_nom*HM_ZB_Nsoko!CA_gross_prod_lpg)/(HM_ZB_Nsoko!CA_gross_prod_oil+HM_ZB_Nsoko!CA_gross_prod_lpg)),0)</f>
        <v>0</v>
      </c>
      <c r="AR564" s="49">
        <f ca="1">IFERROR((AR537)/((HM_ZB_Nsoko!CA_FP_oil_nom*HM_ZB_Nsoko!CA_gross_prod_oil+HM_ZB_Nsoko!CA_FP_lpg_nom*HM_ZB_Nsoko!CA_gross_prod_lpg)/(HM_ZB_Nsoko!CA_gross_prod_oil+HM_ZB_Nsoko!CA_gross_prod_lpg)),0)</f>
        <v>0</v>
      </c>
      <c r="AS564" s="49">
        <f ca="1">IFERROR((AS537)/((HM_ZB_Nsoko!CA_FP_oil_nom*HM_ZB_Nsoko!CA_gross_prod_oil+HM_ZB_Nsoko!CA_FP_lpg_nom*HM_ZB_Nsoko!CA_gross_prod_lpg)/(HM_ZB_Nsoko!CA_gross_prod_oil+HM_ZB_Nsoko!CA_gross_prod_lpg)),0)</f>
        <v>0</v>
      </c>
      <c r="AT564" s="49">
        <f ca="1">IFERROR((AT537)/((HM_ZB_Nsoko!CA_FP_oil_nom*HM_ZB_Nsoko!CA_gross_prod_oil+HM_ZB_Nsoko!CA_FP_lpg_nom*HM_ZB_Nsoko!CA_gross_prod_lpg)/(HM_ZB_Nsoko!CA_gross_prod_oil+HM_ZB_Nsoko!CA_gross_prod_lpg)),0)</f>
        <v>0</v>
      </c>
      <c r="AU564" s="49">
        <f ca="1">IFERROR((AU537)/((HM_ZB_Nsoko!CA_FP_oil_nom*HM_ZB_Nsoko!CA_gross_prod_oil+HM_ZB_Nsoko!CA_FP_lpg_nom*HM_ZB_Nsoko!CA_gross_prod_lpg)/(HM_ZB_Nsoko!CA_gross_prod_oil+HM_ZB_Nsoko!CA_gross_prod_lpg)),0)</f>
        <v>0</v>
      </c>
      <c r="AV564" s="49">
        <f ca="1">IFERROR((AV537)/((HM_ZB_Nsoko!CA_FP_oil_nom*HM_ZB_Nsoko!CA_gross_prod_oil+HM_ZB_Nsoko!CA_FP_lpg_nom*HM_ZB_Nsoko!CA_gross_prod_lpg)/(HM_ZB_Nsoko!CA_gross_prod_oil+HM_ZB_Nsoko!CA_gross_prod_lpg)),0)</f>
        <v>0</v>
      </c>
      <c r="AW564" s="49">
        <f ca="1">IFERROR((AW537)/((HM_ZB_Nsoko!CA_FP_oil_nom*HM_ZB_Nsoko!CA_gross_prod_oil+HM_ZB_Nsoko!CA_FP_lpg_nom*HM_ZB_Nsoko!CA_gross_prod_lpg)/(HM_ZB_Nsoko!CA_gross_prod_oil+HM_ZB_Nsoko!CA_gross_prod_lpg)),0)</f>
        <v>0</v>
      </c>
      <c r="AX564" s="49">
        <f ca="1">IFERROR((AX537)/((HM_ZB_Nsoko!CA_FP_oil_nom*HM_ZB_Nsoko!CA_gross_prod_oil+HM_ZB_Nsoko!CA_FP_lpg_nom*HM_ZB_Nsoko!CA_gross_prod_lpg)/(HM_ZB_Nsoko!CA_gross_prod_oil+HM_ZB_Nsoko!CA_gross_prod_lpg)),0)</f>
        <v>0</v>
      </c>
      <c r="AY564" s="49">
        <f ca="1">IFERROR((AY537)/((HM_ZB_Nsoko!CA_FP_oil_nom*HM_ZB_Nsoko!CA_gross_prod_oil+HM_ZB_Nsoko!CA_FP_lpg_nom*HM_ZB_Nsoko!CA_gross_prod_lpg)/(HM_ZB_Nsoko!CA_gross_prod_oil+HM_ZB_Nsoko!CA_gross_prod_lpg)),0)</f>
        <v>0</v>
      </c>
      <c r="AZ564" s="49">
        <f ca="1">IFERROR((AZ537)/((HM_ZB_Nsoko!CA_FP_oil_nom*HM_ZB_Nsoko!CA_gross_prod_oil+HM_ZB_Nsoko!CA_FP_lpg_nom*HM_ZB_Nsoko!CA_gross_prod_lpg)/(HM_ZB_Nsoko!CA_gross_prod_oil+HM_ZB_Nsoko!CA_gross_prod_lpg)),0)</f>
        <v>0</v>
      </c>
      <c r="BA564" s="49">
        <f ca="1">IFERROR((BA537)/((HM_ZB_Nsoko!CA_FP_oil_nom*HM_ZB_Nsoko!CA_gross_prod_oil+HM_ZB_Nsoko!CA_FP_lpg_nom*HM_ZB_Nsoko!CA_gross_prod_lpg)/(HM_ZB_Nsoko!CA_gross_prod_oil+HM_ZB_Nsoko!CA_gross_prod_lpg)),0)</f>
        <v>0</v>
      </c>
      <c r="BB564" s="49">
        <f ca="1">IFERROR((BB537)/((HM_ZB_Nsoko!CA_FP_oil_nom*HM_ZB_Nsoko!CA_gross_prod_oil+HM_ZB_Nsoko!CA_FP_lpg_nom*HM_ZB_Nsoko!CA_gross_prod_lpg)/(HM_ZB_Nsoko!CA_gross_prod_oil+HM_ZB_Nsoko!CA_gross_prod_lpg)),0)</f>
        <v>0</v>
      </c>
      <c r="BC564" s="49">
        <f ca="1">IFERROR((BC537)/((HM_ZB_Nsoko!CA_FP_oil_nom*HM_ZB_Nsoko!CA_gross_prod_oil+HM_ZB_Nsoko!CA_FP_lpg_nom*HM_ZB_Nsoko!CA_gross_prod_lpg)/(HM_ZB_Nsoko!CA_gross_prod_oil+HM_ZB_Nsoko!CA_gross_prod_lpg)),0)</f>
        <v>0</v>
      </c>
      <c r="BD564" s="49">
        <f ca="1">IFERROR((BD537)/((HM_ZB_Nsoko!CA_FP_oil_nom*HM_ZB_Nsoko!CA_gross_prod_oil+HM_ZB_Nsoko!CA_FP_lpg_nom*HM_ZB_Nsoko!CA_gross_prod_lpg)/(HM_ZB_Nsoko!CA_gross_prod_oil+HM_ZB_Nsoko!CA_gross_prod_lpg)),0)</f>
        <v>0</v>
      </c>
      <c r="BE564" s="49">
        <f ca="1">IFERROR((BE537)/((HM_ZB_Nsoko!CA_FP_oil_nom*HM_ZB_Nsoko!CA_gross_prod_oil+HM_ZB_Nsoko!CA_FP_lpg_nom*HM_ZB_Nsoko!CA_gross_prod_lpg)/(HM_ZB_Nsoko!CA_gross_prod_oil+HM_ZB_Nsoko!CA_gross_prod_lpg)),0)</f>
        <v>0</v>
      </c>
      <c r="BF564" s="49">
        <f ca="1">IFERROR((BF537)/((HM_ZB_Nsoko!CA_FP_oil_nom*HM_ZB_Nsoko!CA_gross_prod_oil+HM_ZB_Nsoko!CA_FP_lpg_nom*HM_ZB_Nsoko!CA_gross_prod_lpg)/(HM_ZB_Nsoko!CA_gross_prod_oil+HM_ZB_Nsoko!CA_gross_prod_lpg)),0)</f>
        <v>0</v>
      </c>
      <c r="BG564" s="49">
        <f ca="1">IFERROR((BG537)/((HM_ZB_Nsoko!CA_FP_oil_nom*HM_ZB_Nsoko!CA_gross_prod_oil+HM_ZB_Nsoko!CA_FP_lpg_nom*HM_ZB_Nsoko!CA_gross_prod_lpg)/(HM_ZB_Nsoko!CA_gross_prod_oil+HM_ZB_Nsoko!CA_gross_prod_lpg)),0)</f>
        <v>0</v>
      </c>
      <c r="BH564" s="49">
        <f ca="1">IFERROR((BH537)/((HM_ZB_Nsoko!CA_FP_oil_nom*HM_ZB_Nsoko!CA_gross_prod_oil+HM_ZB_Nsoko!CA_FP_lpg_nom*HM_ZB_Nsoko!CA_gross_prod_lpg)/(HM_ZB_Nsoko!CA_gross_prod_oil+HM_ZB_Nsoko!CA_gross_prod_lpg)),0)</f>
        <v>0</v>
      </c>
      <c r="BI564" s="49">
        <f ca="1">IFERROR((BI537)/((HM_ZB_Nsoko!CA_FP_oil_nom*HM_ZB_Nsoko!CA_gross_prod_oil+HM_ZB_Nsoko!CA_FP_lpg_nom*HM_ZB_Nsoko!CA_gross_prod_lpg)/(HM_ZB_Nsoko!CA_gross_prod_oil+HM_ZB_Nsoko!CA_gross_prod_lpg)),0)</f>
        <v>0</v>
      </c>
      <c r="BJ564" s="49">
        <f ca="1">IFERROR((BJ537)/((HM_ZB_Nsoko!CA_FP_oil_nom*HM_ZB_Nsoko!CA_gross_prod_oil+HM_ZB_Nsoko!CA_FP_lpg_nom*HM_ZB_Nsoko!CA_gross_prod_lpg)/(HM_ZB_Nsoko!CA_gross_prod_oil+HM_ZB_Nsoko!CA_gross_prod_lpg)),0)</f>
        <v>0</v>
      </c>
      <c r="BK564" s="49">
        <f ca="1">IFERROR((BK537)/((HM_ZB_Nsoko!CA_FP_oil_nom*HM_ZB_Nsoko!CA_gross_prod_oil+HM_ZB_Nsoko!CA_FP_lpg_nom*HM_ZB_Nsoko!CA_gross_prod_lpg)/(HM_ZB_Nsoko!CA_gross_prod_oil+HM_ZB_Nsoko!CA_gross_prod_lpg)),0)</f>
        <v>0</v>
      </c>
      <c r="BL564" s="49">
        <f ca="1">IFERROR((BL537)/((HM_ZB_Nsoko!CA_FP_oil_nom*HM_ZB_Nsoko!CA_gross_prod_oil+HM_ZB_Nsoko!CA_FP_lpg_nom*HM_ZB_Nsoko!CA_gross_prod_lpg)/(HM_ZB_Nsoko!CA_gross_prod_oil+HM_ZB_Nsoko!CA_gross_prod_lpg)),0)</f>
        <v>0</v>
      </c>
      <c r="BM564" s="49">
        <f ca="1">IFERROR((BM537)/((HM_ZB_Nsoko!CA_FP_oil_nom*HM_ZB_Nsoko!CA_gross_prod_oil+HM_ZB_Nsoko!CA_FP_lpg_nom*HM_ZB_Nsoko!CA_gross_prod_lpg)/(HM_ZB_Nsoko!CA_gross_prod_oil+HM_ZB_Nsoko!CA_gross_prod_lpg)),0)</f>
        <v>0</v>
      </c>
      <c r="BN564" s="49">
        <f ca="1">IFERROR((BN537)/((HM_ZB_Nsoko!CA_FP_oil_nom*HM_ZB_Nsoko!CA_gross_prod_oil+HM_ZB_Nsoko!CA_FP_lpg_nom*HM_ZB_Nsoko!CA_gross_prod_lpg)/(HM_ZB_Nsoko!CA_gross_prod_oil+HM_ZB_Nsoko!CA_gross_prod_lpg)),0)</f>
        <v>0</v>
      </c>
      <c r="BO564" s="49">
        <f ca="1">IFERROR((BO537)/((HM_ZB_Nsoko!CA_FP_oil_nom*HM_ZB_Nsoko!CA_gross_prod_oil+HM_ZB_Nsoko!CA_FP_lpg_nom*HM_ZB_Nsoko!CA_gross_prod_lpg)/(HM_ZB_Nsoko!CA_gross_prod_oil+HM_ZB_Nsoko!CA_gross_prod_lpg)),0)</f>
        <v>0</v>
      </c>
      <c r="BP564" s="49">
        <f ca="1">IFERROR((BP537)/((HM_ZB_Nsoko!CA_FP_oil_nom*HM_ZB_Nsoko!CA_gross_prod_oil+HM_ZB_Nsoko!CA_FP_lpg_nom*HM_ZB_Nsoko!CA_gross_prod_lpg)/(HM_ZB_Nsoko!CA_gross_prod_oil+HM_ZB_Nsoko!CA_gross_prod_lpg)),0)</f>
        <v>0</v>
      </c>
      <c r="BQ564" s="49">
        <f ca="1">IFERROR((BQ537)/((HM_ZB_Nsoko!CA_FP_oil_nom*HM_ZB_Nsoko!CA_gross_prod_oil+HM_ZB_Nsoko!CA_FP_lpg_nom*HM_ZB_Nsoko!CA_gross_prod_lpg)/(HM_ZB_Nsoko!CA_gross_prod_oil+HM_ZB_Nsoko!CA_gross_prod_lpg)),0)</f>
        <v>0</v>
      </c>
      <c r="BR564" s="49">
        <f ca="1">IFERROR((BR537)/((HM_ZB_Nsoko!CA_FP_oil_nom*HM_ZB_Nsoko!CA_gross_prod_oil+HM_ZB_Nsoko!CA_FP_lpg_nom*HM_ZB_Nsoko!CA_gross_prod_lpg)/(HM_ZB_Nsoko!CA_gross_prod_oil+HM_ZB_Nsoko!CA_gross_prod_lpg)),0)</f>
        <v>0</v>
      </c>
      <c r="BS564" s="49">
        <f ca="1">IFERROR((BS537)/((HM_ZB_Nsoko!CA_FP_oil_nom*HM_ZB_Nsoko!CA_gross_prod_oil+HM_ZB_Nsoko!CA_FP_lpg_nom*HM_ZB_Nsoko!CA_gross_prod_lpg)/(HM_ZB_Nsoko!CA_gross_prod_oil+HM_ZB_Nsoko!CA_gross_prod_lpg)),0)</f>
        <v>0</v>
      </c>
    </row>
    <row r="565" spans="3:71" outlineLevel="1" x14ac:dyDescent="0.2">
      <c r="D565" t="str">
        <f>HM_ZA_Nkossa!D554</f>
        <v>Profit Oil</v>
      </c>
      <c r="H565" s="7"/>
      <c r="I565" s="30">
        <f t="shared" ca="1" si="144"/>
        <v>0.6220075775417766</v>
      </c>
      <c r="J565" s="26" t="s">
        <v>692</v>
      </c>
      <c r="L565" s="49">
        <f ca="1">IFERROR((L538)/((HM_ZB_Nsoko!CA_FP_oil_nom*HM_ZB_Nsoko!CA_gross_prod_oil+HM_ZB_Nsoko!CA_FP_lpg_nom*HM_ZB_Nsoko!CA_gross_prod_lpg+HM_ZB_Nsoko!CA_FP_gas_nom*HM_ZB_Nsoko!CA_gross_prod_gas)/HM_ZB_Nsoko!CA_gross_prod_Total),0)</f>
        <v>1.7913995426916154E-2</v>
      </c>
      <c r="M565" s="49">
        <f ca="1">IFERROR((M538)/((HM_ZB_Nsoko!CA_FP_oil_nom*HM_ZB_Nsoko!CA_gross_prod_oil+HM_ZB_Nsoko!CA_FP_lpg_nom*HM_ZB_Nsoko!CA_gross_prod_lpg+HM_ZB_Nsoko!CA_FP_gas_nom*HM_ZB_Nsoko!CA_gross_prod_gas)/HM_ZB_Nsoko!CA_gross_prod_Total),0)</f>
        <v>2.2595404825039935E-2</v>
      </c>
      <c r="N565" s="49">
        <f ca="1">IFERROR((N538)/((HM_ZB_Nsoko!CA_FP_oil_nom*HM_ZB_Nsoko!CA_gross_prod_oil+HM_ZB_Nsoko!CA_FP_lpg_nom*HM_ZB_Nsoko!CA_gross_prod_lpg+HM_ZB_Nsoko!CA_FP_gas_nom*HM_ZB_Nsoko!CA_gross_prod_gas)/HM_ZB_Nsoko!CA_gross_prod_Total),0)</f>
        <v>5.172300743960194E-2</v>
      </c>
      <c r="O565" s="49">
        <f ca="1">IFERROR((O538)/((HM_ZB_Nsoko!CA_FP_oil_nom*HM_ZB_Nsoko!CA_gross_prod_oil+HM_ZB_Nsoko!CA_FP_lpg_nom*HM_ZB_Nsoko!CA_gross_prod_lpg+HM_ZB_Nsoko!CA_FP_gas_nom*HM_ZB_Nsoko!CA_gross_prod_gas)/HM_ZB_Nsoko!CA_gross_prod_Total),0)</f>
        <v>4.8108682282499891E-2</v>
      </c>
      <c r="P565" s="49">
        <f ca="1">IFERROR((P538)/((HM_ZB_Nsoko!CA_FP_oil_nom*HM_ZB_Nsoko!CA_gross_prod_oil+HM_ZB_Nsoko!CA_FP_lpg_nom*HM_ZB_Nsoko!CA_gross_prod_lpg+HM_ZB_Nsoko!CA_FP_gas_nom*HM_ZB_Nsoko!CA_gross_prod_gas)/HM_ZB_Nsoko!CA_gross_prod_Total),0)</f>
        <v>4.5557071849429358E-2</v>
      </c>
      <c r="Q565" s="49">
        <f ca="1">IFERROR((Q538)/((HM_ZB_Nsoko!CA_FP_oil_nom*HM_ZB_Nsoko!CA_gross_prod_oil+HM_ZB_Nsoko!CA_FP_lpg_nom*HM_ZB_Nsoko!CA_gross_prod_lpg+HM_ZB_Nsoko!CA_FP_gas_nom*HM_ZB_Nsoko!CA_gross_prod_gas)/HM_ZB_Nsoko!CA_gross_prod_Total),0)</f>
        <v>2.71347295189131E-2</v>
      </c>
      <c r="R565" s="49">
        <f ca="1">IFERROR((R538)/((HM_ZB_Nsoko!CA_FP_oil_nom*HM_ZB_Nsoko!CA_gross_prod_oil+HM_ZB_Nsoko!CA_FP_lpg_nom*HM_ZB_Nsoko!CA_gross_prod_lpg+HM_ZB_Nsoko!CA_FP_gas_nom*HM_ZB_Nsoko!CA_gross_prod_gas)/HM_ZB_Nsoko!CA_gross_prod_Total),0)</f>
        <v>2.3777069497530712E-2</v>
      </c>
      <c r="S565" s="49">
        <f ca="1">IFERROR((S538)/((HM_ZB_Nsoko!CA_FP_oil_nom*HM_ZB_Nsoko!CA_gross_prod_oil+HM_ZB_Nsoko!CA_FP_lpg_nom*HM_ZB_Nsoko!CA_gross_prod_lpg+HM_ZB_Nsoko!CA_FP_gas_nom*HM_ZB_Nsoko!CA_gross_prod_gas)/HM_ZB_Nsoko!CA_gross_prod_Total),0)</f>
        <v>9.4317063874999982E-2</v>
      </c>
      <c r="T565" s="49">
        <f ca="1">IFERROR((T538)/((HM_ZB_Nsoko!CA_FP_oil_nom*HM_ZB_Nsoko!CA_gross_prod_oil+HM_ZB_Nsoko!CA_FP_lpg_nom*HM_ZB_Nsoko!CA_gross_prod_lpg+HM_ZB_Nsoko!CA_FP_gas_nom*HM_ZB_Nsoko!CA_gross_prod_gas)/HM_ZB_Nsoko!CA_gross_prod_Total),0)</f>
        <v>7.2118663624697807E-2</v>
      </c>
      <c r="U565" s="49">
        <f ca="1">IFERROR((U538)/((HM_ZB_Nsoko!CA_FP_oil_nom*HM_ZB_Nsoko!CA_gross_prod_oil+HM_ZB_Nsoko!CA_FP_lpg_nom*HM_ZB_Nsoko!CA_gross_prod_lpg+HM_ZB_Nsoko!CA_FP_gas_nom*HM_ZB_Nsoko!CA_gross_prod_gas)/HM_ZB_Nsoko!CA_gross_prod_Total),0)</f>
        <v>6.2484773759683213E-2</v>
      </c>
      <c r="V565" s="49">
        <f ca="1">IFERROR((V538)/((HM_ZB_Nsoko!CA_FP_oil_nom*HM_ZB_Nsoko!CA_gross_prod_oil+HM_ZB_Nsoko!CA_FP_lpg_nom*HM_ZB_Nsoko!CA_gross_prod_lpg+HM_ZB_Nsoko!CA_FP_gas_nom*HM_ZB_Nsoko!CA_gross_prod_gas)/HM_ZB_Nsoko!CA_gross_prod_Total),0)</f>
        <v>5.697141136912294E-2</v>
      </c>
      <c r="W565" s="49">
        <f ca="1">IFERROR((W538)/((HM_ZB_Nsoko!CA_FP_oil_nom*HM_ZB_Nsoko!CA_gross_prod_oil+HM_ZB_Nsoko!CA_FP_lpg_nom*HM_ZB_Nsoko!CA_gross_prod_lpg+HM_ZB_Nsoko!CA_FP_gas_nom*HM_ZB_Nsoko!CA_gross_prod_gas)/HM_ZB_Nsoko!CA_gross_prod_Total),0)</f>
        <v>5.194452213067087E-2</v>
      </c>
      <c r="X565" s="49">
        <f ca="1">IFERROR((X538)/((HM_ZB_Nsoko!CA_FP_oil_nom*HM_ZB_Nsoko!CA_gross_prod_oil+HM_ZB_Nsoko!CA_FP_lpg_nom*HM_ZB_Nsoko!CA_gross_prod_lpg+HM_ZB_Nsoko!CA_FP_gas_nom*HM_ZB_Nsoko!CA_gross_prod_gas)/HM_ZB_Nsoko!CA_gross_prod_Total),0)</f>
        <v>4.7361181942670534E-2</v>
      </c>
      <c r="Y565" s="49">
        <f ca="1">IFERROR((Y538)/((HM_ZB_Nsoko!CA_FP_oil_nom*HM_ZB_Nsoko!CA_gross_prod_oil+HM_ZB_Nsoko!CA_FP_lpg_nom*HM_ZB_Nsoko!CA_gross_prod_lpg+HM_ZB_Nsoko!CA_FP_gas_nom*HM_ZB_Nsoko!CA_gross_prod_gas)/HM_ZB_Nsoko!CA_gross_prod_Total),0)</f>
        <v>0</v>
      </c>
      <c r="Z565" s="49">
        <f ca="1">IFERROR((Z538)/((HM_ZB_Nsoko!CA_FP_oil_nom*HM_ZB_Nsoko!CA_gross_prod_oil+HM_ZB_Nsoko!CA_FP_lpg_nom*HM_ZB_Nsoko!CA_gross_prod_lpg+HM_ZB_Nsoko!CA_FP_gas_nom*HM_ZB_Nsoko!CA_gross_prod_gas)/HM_ZB_Nsoko!CA_gross_prod_Total),0)</f>
        <v>0</v>
      </c>
      <c r="AA565" s="49">
        <f ca="1">IFERROR((AA538)/((HM_ZB_Nsoko!CA_FP_oil_nom*HM_ZB_Nsoko!CA_gross_prod_oil+HM_ZB_Nsoko!CA_FP_lpg_nom*HM_ZB_Nsoko!CA_gross_prod_lpg+HM_ZB_Nsoko!CA_FP_gas_nom*HM_ZB_Nsoko!CA_gross_prod_gas)/HM_ZB_Nsoko!CA_gross_prod_Total),0)</f>
        <v>0</v>
      </c>
      <c r="AB565" s="49">
        <f ca="1">IFERROR((AB538)/((HM_ZB_Nsoko!CA_FP_oil_nom*HM_ZB_Nsoko!CA_gross_prod_oil+HM_ZB_Nsoko!CA_FP_lpg_nom*HM_ZB_Nsoko!CA_gross_prod_lpg+HM_ZB_Nsoko!CA_FP_gas_nom*HM_ZB_Nsoko!CA_gross_prod_gas)/HM_ZB_Nsoko!CA_gross_prod_Total),0)</f>
        <v>0</v>
      </c>
      <c r="AC565" s="49">
        <f ca="1">IFERROR((AC538)/((HM_ZB_Nsoko!CA_FP_oil_nom*HM_ZB_Nsoko!CA_gross_prod_oil+HM_ZB_Nsoko!CA_FP_lpg_nom*HM_ZB_Nsoko!CA_gross_prod_lpg+HM_ZB_Nsoko!CA_FP_gas_nom*HM_ZB_Nsoko!CA_gross_prod_gas)/HM_ZB_Nsoko!CA_gross_prod_Total),0)</f>
        <v>0</v>
      </c>
      <c r="AD565" s="49">
        <f ca="1">IFERROR((AD538)/((HM_ZB_Nsoko!CA_FP_oil_nom*HM_ZB_Nsoko!CA_gross_prod_oil+HM_ZB_Nsoko!CA_FP_lpg_nom*HM_ZB_Nsoko!CA_gross_prod_lpg+HM_ZB_Nsoko!CA_FP_gas_nom*HM_ZB_Nsoko!CA_gross_prod_gas)/HM_ZB_Nsoko!CA_gross_prod_Total),0)</f>
        <v>0</v>
      </c>
      <c r="AE565" s="49">
        <f ca="1">IFERROR((AE538)/((HM_ZB_Nsoko!CA_FP_oil_nom*HM_ZB_Nsoko!CA_gross_prod_oil+HM_ZB_Nsoko!CA_FP_lpg_nom*HM_ZB_Nsoko!CA_gross_prod_lpg+HM_ZB_Nsoko!CA_FP_gas_nom*HM_ZB_Nsoko!CA_gross_prod_gas)/HM_ZB_Nsoko!CA_gross_prod_Total),0)</f>
        <v>0</v>
      </c>
      <c r="AF565" s="49">
        <f ca="1">IFERROR((AF538)/((HM_ZB_Nsoko!CA_FP_oil_nom*HM_ZB_Nsoko!CA_gross_prod_oil+HM_ZB_Nsoko!CA_FP_lpg_nom*HM_ZB_Nsoko!CA_gross_prod_lpg+HM_ZB_Nsoko!CA_FP_gas_nom*HM_ZB_Nsoko!CA_gross_prod_gas)/HM_ZB_Nsoko!CA_gross_prod_Total),0)</f>
        <v>0</v>
      </c>
      <c r="AG565" s="49">
        <f ca="1">IFERROR((AG538)/((HM_ZB_Nsoko!CA_FP_oil_nom*HM_ZB_Nsoko!CA_gross_prod_oil+HM_ZB_Nsoko!CA_FP_lpg_nom*HM_ZB_Nsoko!CA_gross_prod_lpg+HM_ZB_Nsoko!CA_FP_gas_nom*HM_ZB_Nsoko!CA_gross_prod_gas)/HM_ZB_Nsoko!CA_gross_prod_Total),0)</f>
        <v>0</v>
      </c>
      <c r="AH565" s="49">
        <f ca="1">IFERROR((AH538)/((HM_ZB_Nsoko!CA_FP_oil_nom*HM_ZB_Nsoko!CA_gross_prod_oil+HM_ZB_Nsoko!CA_FP_lpg_nom*HM_ZB_Nsoko!CA_gross_prod_lpg+HM_ZB_Nsoko!CA_FP_gas_nom*HM_ZB_Nsoko!CA_gross_prod_gas)/HM_ZB_Nsoko!CA_gross_prod_Total),0)</f>
        <v>0</v>
      </c>
      <c r="AI565" s="49">
        <f ca="1">IFERROR((AI538)/((HM_ZB_Nsoko!CA_FP_oil_nom*HM_ZB_Nsoko!CA_gross_prod_oil+HM_ZB_Nsoko!CA_FP_lpg_nom*HM_ZB_Nsoko!CA_gross_prod_lpg+HM_ZB_Nsoko!CA_FP_gas_nom*HM_ZB_Nsoko!CA_gross_prod_gas)/HM_ZB_Nsoko!CA_gross_prod_Total),0)</f>
        <v>0</v>
      </c>
      <c r="AJ565" s="49">
        <f ca="1">IFERROR((AJ538)/((HM_ZB_Nsoko!CA_FP_oil_nom*HM_ZB_Nsoko!CA_gross_prod_oil+HM_ZB_Nsoko!CA_FP_lpg_nom*HM_ZB_Nsoko!CA_gross_prod_lpg+HM_ZB_Nsoko!CA_FP_gas_nom*HM_ZB_Nsoko!CA_gross_prod_gas)/HM_ZB_Nsoko!CA_gross_prod_Total),0)</f>
        <v>0</v>
      </c>
      <c r="AK565" s="49">
        <f ca="1">IFERROR((AK538)/((HM_ZB_Nsoko!CA_FP_oil_nom*HM_ZB_Nsoko!CA_gross_prod_oil+HM_ZB_Nsoko!CA_FP_lpg_nom*HM_ZB_Nsoko!CA_gross_prod_lpg+HM_ZB_Nsoko!CA_FP_gas_nom*HM_ZB_Nsoko!CA_gross_prod_gas)/HM_ZB_Nsoko!CA_gross_prod_Total),0)</f>
        <v>0</v>
      </c>
      <c r="AL565" s="49">
        <f ca="1">IFERROR((AL538)/((HM_ZB_Nsoko!CA_FP_oil_nom*HM_ZB_Nsoko!CA_gross_prod_oil+HM_ZB_Nsoko!CA_FP_lpg_nom*HM_ZB_Nsoko!CA_gross_prod_lpg+HM_ZB_Nsoko!CA_FP_gas_nom*HM_ZB_Nsoko!CA_gross_prod_gas)/HM_ZB_Nsoko!CA_gross_prod_Total),0)</f>
        <v>0</v>
      </c>
      <c r="AM565" s="49">
        <f ca="1">IFERROR((AM538)/((HM_ZB_Nsoko!CA_FP_oil_nom*HM_ZB_Nsoko!CA_gross_prod_oil+HM_ZB_Nsoko!CA_FP_lpg_nom*HM_ZB_Nsoko!CA_gross_prod_lpg+HM_ZB_Nsoko!CA_FP_gas_nom*HM_ZB_Nsoko!CA_gross_prod_gas)/HM_ZB_Nsoko!CA_gross_prod_Total),0)</f>
        <v>0</v>
      </c>
      <c r="AN565" s="49">
        <f ca="1">IFERROR((AN538)/((HM_ZB_Nsoko!CA_FP_oil_nom*HM_ZB_Nsoko!CA_gross_prod_oil+HM_ZB_Nsoko!CA_FP_lpg_nom*HM_ZB_Nsoko!CA_gross_prod_lpg+HM_ZB_Nsoko!CA_FP_gas_nom*HM_ZB_Nsoko!CA_gross_prod_gas)/HM_ZB_Nsoko!CA_gross_prod_Total),0)</f>
        <v>0</v>
      </c>
      <c r="AO565" s="49">
        <f ca="1">IFERROR((AO538)/((HM_ZB_Nsoko!CA_FP_oil_nom*HM_ZB_Nsoko!CA_gross_prod_oil+HM_ZB_Nsoko!CA_FP_lpg_nom*HM_ZB_Nsoko!CA_gross_prod_lpg+HM_ZB_Nsoko!CA_FP_gas_nom*HM_ZB_Nsoko!CA_gross_prod_gas)/HM_ZB_Nsoko!CA_gross_prod_Total),0)</f>
        <v>0</v>
      </c>
      <c r="AP565" s="49">
        <f ca="1">IFERROR((AP538)/((HM_ZB_Nsoko!CA_FP_oil_nom*HM_ZB_Nsoko!CA_gross_prod_oil+HM_ZB_Nsoko!CA_FP_lpg_nom*HM_ZB_Nsoko!CA_gross_prod_lpg+HM_ZB_Nsoko!CA_FP_gas_nom*HM_ZB_Nsoko!CA_gross_prod_gas)/HM_ZB_Nsoko!CA_gross_prod_Total),0)</f>
        <v>0</v>
      </c>
      <c r="AQ565" s="49">
        <f ca="1">IFERROR((AQ538)/((HM_ZB_Nsoko!CA_FP_oil_nom*HM_ZB_Nsoko!CA_gross_prod_oil+HM_ZB_Nsoko!CA_FP_lpg_nom*HM_ZB_Nsoko!CA_gross_prod_lpg+HM_ZB_Nsoko!CA_FP_gas_nom*HM_ZB_Nsoko!CA_gross_prod_gas)/HM_ZB_Nsoko!CA_gross_prod_Total),0)</f>
        <v>0</v>
      </c>
      <c r="AR565" s="49">
        <f ca="1">IFERROR((AR538)/((HM_ZB_Nsoko!CA_FP_oil_nom*HM_ZB_Nsoko!CA_gross_prod_oil+HM_ZB_Nsoko!CA_FP_lpg_nom*HM_ZB_Nsoko!CA_gross_prod_lpg+HM_ZB_Nsoko!CA_FP_gas_nom*HM_ZB_Nsoko!CA_gross_prod_gas)/HM_ZB_Nsoko!CA_gross_prod_Total),0)</f>
        <v>0</v>
      </c>
      <c r="AS565" s="49">
        <f ca="1">IFERROR((AS538)/((HM_ZB_Nsoko!CA_FP_oil_nom*HM_ZB_Nsoko!CA_gross_prod_oil+HM_ZB_Nsoko!CA_FP_lpg_nom*HM_ZB_Nsoko!CA_gross_prod_lpg+HM_ZB_Nsoko!CA_FP_gas_nom*HM_ZB_Nsoko!CA_gross_prod_gas)/HM_ZB_Nsoko!CA_gross_prod_Total),0)</f>
        <v>0</v>
      </c>
      <c r="AT565" s="49">
        <f ca="1">IFERROR((AT538)/((HM_ZB_Nsoko!CA_FP_oil_nom*HM_ZB_Nsoko!CA_gross_prod_oil+HM_ZB_Nsoko!CA_FP_lpg_nom*HM_ZB_Nsoko!CA_gross_prod_lpg+HM_ZB_Nsoko!CA_FP_gas_nom*HM_ZB_Nsoko!CA_gross_prod_gas)/HM_ZB_Nsoko!CA_gross_prod_Total),0)</f>
        <v>0</v>
      </c>
      <c r="AU565" s="49">
        <f ca="1">IFERROR((AU538)/((HM_ZB_Nsoko!CA_FP_oil_nom*HM_ZB_Nsoko!CA_gross_prod_oil+HM_ZB_Nsoko!CA_FP_lpg_nom*HM_ZB_Nsoko!CA_gross_prod_lpg+HM_ZB_Nsoko!CA_FP_gas_nom*HM_ZB_Nsoko!CA_gross_prod_gas)/HM_ZB_Nsoko!CA_gross_prod_Total),0)</f>
        <v>0</v>
      </c>
      <c r="AV565" s="49">
        <f ca="1">IFERROR((AV538)/((HM_ZB_Nsoko!CA_FP_oil_nom*HM_ZB_Nsoko!CA_gross_prod_oil+HM_ZB_Nsoko!CA_FP_lpg_nom*HM_ZB_Nsoko!CA_gross_prod_lpg+HM_ZB_Nsoko!CA_FP_gas_nom*HM_ZB_Nsoko!CA_gross_prod_gas)/HM_ZB_Nsoko!CA_gross_prod_Total),0)</f>
        <v>0</v>
      </c>
      <c r="AW565" s="49">
        <f ca="1">IFERROR((AW538)/((HM_ZB_Nsoko!CA_FP_oil_nom*HM_ZB_Nsoko!CA_gross_prod_oil+HM_ZB_Nsoko!CA_FP_lpg_nom*HM_ZB_Nsoko!CA_gross_prod_lpg+HM_ZB_Nsoko!CA_FP_gas_nom*HM_ZB_Nsoko!CA_gross_prod_gas)/HM_ZB_Nsoko!CA_gross_prod_Total),0)</f>
        <v>0</v>
      </c>
      <c r="AX565" s="49">
        <f ca="1">IFERROR((AX538)/((HM_ZB_Nsoko!CA_FP_oil_nom*HM_ZB_Nsoko!CA_gross_prod_oil+HM_ZB_Nsoko!CA_FP_lpg_nom*HM_ZB_Nsoko!CA_gross_prod_lpg+HM_ZB_Nsoko!CA_FP_gas_nom*HM_ZB_Nsoko!CA_gross_prod_gas)/HM_ZB_Nsoko!CA_gross_prod_Total),0)</f>
        <v>0</v>
      </c>
      <c r="AY565" s="49">
        <f ca="1">IFERROR((AY538)/((HM_ZB_Nsoko!CA_FP_oil_nom*HM_ZB_Nsoko!CA_gross_prod_oil+HM_ZB_Nsoko!CA_FP_lpg_nom*HM_ZB_Nsoko!CA_gross_prod_lpg+HM_ZB_Nsoko!CA_FP_gas_nom*HM_ZB_Nsoko!CA_gross_prod_gas)/HM_ZB_Nsoko!CA_gross_prod_Total),0)</f>
        <v>0</v>
      </c>
      <c r="AZ565" s="49">
        <f ca="1">IFERROR((AZ538)/((HM_ZB_Nsoko!CA_FP_oil_nom*HM_ZB_Nsoko!CA_gross_prod_oil+HM_ZB_Nsoko!CA_FP_lpg_nom*HM_ZB_Nsoko!CA_gross_prod_lpg+HM_ZB_Nsoko!CA_FP_gas_nom*HM_ZB_Nsoko!CA_gross_prod_gas)/HM_ZB_Nsoko!CA_gross_prod_Total),0)</f>
        <v>0</v>
      </c>
      <c r="BA565" s="49">
        <f ca="1">IFERROR((BA538)/((HM_ZB_Nsoko!CA_FP_oil_nom*HM_ZB_Nsoko!CA_gross_prod_oil+HM_ZB_Nsoko!CA_FP_lpg_nom*HM_ZB_Nsoko!CA_gross_prod_lpg+HM_ZB_Nsoko!CA_FP_gas_nom*HM_ZB_Nsoko!CA_gross_prod_gas)/HM_ZB_Nsoko!CA_gross_prod_Total),0)</f>
        <v>0</v>
      </c>
      <c r="BB565" s="49">
        <f ca="1">IFERROR((BB538)/((HM_ZB_Nsoko!CA_FP_oil_nom*HM_ZB_Nsoko!CA_gross_prod_oil+HM_ZB_Nsoko!CA_FP_lpg_nom*HM_ZB_Nsoko!CA_gross_prod_lpg+HM_ZB_Nsoko!CA_FP_gas_nom*HM_ZB_Nsoko!CA_gross_prod_gas)/HM_ZB_Nsoko!CA_gross_prod_Total),0)</f>
        <v>0</v>
      </c>
      <c r="BC565" s="49">
        <f ca="1">IFERROR((BC538)/((HM_ZB_Nsoko!CA_FP_oil_nom*HM_ZB_Nsoko!CA_gross_prod_oil+HM_ZB_Nsoko!CA_FP_lpg_nom*HM_ZB_Nsoko!CA_gross_prod_lpg+HM_ZB_Nsoko!CA_FP_gas_nom*HM_ZB_Nsoko!CA_gross_prod_gas)/HM_ZB_Nsoko!CA_gross_prod_Total),0)</f>
        <v>0</v>
      </c>
      <c r="BD565" s="49">
        <f ca="1">IFERROR((BD538)/((HM_ZB_Nsoko!CA_FP_oil_nom*HM_ZB_Nsoko!CA_gross_prod_oil+HM_ZB_Nsoko!CA_FP_lpg_nom*HM_ZB_Nsoko!CA_gross_prod_lpg+HM_ZB_Nsoko!CA_FP_gas_nom*HM_ZB_Nsoko!CA_gross_prod_gas)/HM_ZB_Nsoko!CA_gross_prod_Total),0)</f>
        <v>0</v>
      </c>
      <c r="BE565" s="49">
        <f ca="1">IFERROR((BE538)/((HM_ZB_Nsoko!CA_FP_oil_nom*HM_ZB_Nsoko!CA_gross_prod_oil+HM_ZB_Nsoko!CA_FP_lpg_nom*HM_ZB_Nsoko!CA_gross_prod_lpg+HM_ZB_Nsoko!CA_FP_gas_nom*HM_ZB_Nsoko!CA_gross_prod_gas)/HM_ZB_Nsoko!CA_gross_prod_Total),0)</f>
        <v>0</v>
      </c>
      <c r="BF565" s="49">
        <f ca="1">IFERROR((BF538)/((HM_ZB_Nsoko!CA_FP_oil_nom*HM_ZB_Nsoko!CA_gross_prod_oil+HM_ZB_Nsoko!CA_FP_lpg_nom*HM_ZB_Nsoko!CA_gross_prod_lpg+HM_ZB_Nsoko!CA_FP_gas_nom*HM_ZB_Nsoko!CA_gross_prod_gas)/HM_ZB_Nsoko!CA_gross_prod_Total),0)</f>
        <v>0</v>
      </c>
      <c r="BG565" s="49">
        <f ca="1">IFERROR((BG538)/((HM_ZB_Nsoko!CA_FP_oil_nom*HM_ZB_Nsoko!CA_gross_prod_oil+HM_ZB_Nsoko!CA_FP_lpg_nom*HM_ZB_Nsoko!CA_gross_prod_lpg+HM_ZB_Nsoko!CA_FP_gas_nom*HM_ZB_Nsoko!CA_gross_prod_gas)/HM_ZB_Nsoko!CA_gross_prod_Total),0)</f>
        <v>0</v>
      </c>
      <c r="BH565" s="49">
        <f ca="1">IFERROR((BH538)/((HM_ZB_Nsoko!CA_FP_oil_nom*HM_ZB_Nsoko!CA_gross_prod_oil+HM_ZB_Nsoko!CA_FP_lpg_nom*HM_ZB_Nsoko!CA_gross_prod_lpg+HM_ZB_Nsoko!CA_FP_gas_nom*HM_ZB_Nsoko!CA_gross_prod_gas)/HM_ZB_Nsoko!CA_gross_prod_Total),0)</f>
        <v>0</v>
      </c>
      <c r="BI565" s="49">
        <f ca="1">IFERROR((BI538)/((HM_ZB_Nsoko!CA_FP_oil_nom*HM_ZB_Nsoko!CA_gross_prod_oil+HM_ZB_Nsoko!CA_FP_lpg_nom*HM_ZB_Nsoko!CA_gross_prod_lpg+HM_ZB_Nsoko!CA_FP_gas_nom*HM_ZB_Nsoko!CA_gross_prod_gas)/HM_ZB_Nsoko!CA_gross_prod_Total),0)</f>
        <v>0</v>
      </c>
      <c r="BJ565" s="49">
        <f ca="1">IFERROR((BJ538)/((HM_ZB_Nsoko!CA_FP_oil_nom*HM_ZB_Nsoko!CA_gross_prod_oil+HM_ZB_Nsoko!CA_FP_lpg_nom*HM_ZB_Nsoko!CA_gross_prod_lpg+HM_ZB_Nsoko!CA_FP_gas_nom*HM_ZB_Nsoko!CA_gross_prod_gas)/HM_ZB_Nsoko!CA_gross_prod_Total),0)</f>
        <v>0</v>
      </c>
      <c r="BK565" s="49">
        <f ca="1">IFERROR((BK538)/((HM_ZB_Nsoko!CA_FP_oil_nom*HM_ZB_Nsoko!CA_gross_prod_oil+HM_ZB_Nsoko!CA_FP_lpg_nom*HM_ZB_Nsoko!CA_gross_prod_lpg+HM_ZB_Nsoko!CA_FP_gas_nom*HM_ZB_Nsoko!CA_gross_prod_gas)/HM_ZB_Nsoko!CA_gross_prod_Total),0)</f>
        <v>0</v>
      </c>
      <c r="BL565" s="49">
        <f ca="1">IFERROR((BL538)/((HM_ZB_Nsoko!CA_FP_oil_nom*HM_ZB_Nsoko!CA_gross_prod_oil+HM_ZB_Nsoko!CA_FP_lpg_nom*HM_ZB_Nsoko!CA_gross_prod_lpg+HM_ZB_Nsoko!CA_FP_gas_nom*HM_ZB_Nsoko!CA_gross_prod_gas)/HM_ZB_Nsoko!CA_gross_prod_Total),0)</f>
        <v>0</v>
      </c>
      <c r="BM565" s="49">
        <f ca="1">IFERROR((BM538)/((HM_ZB_Nsoko!CA_FP_oil_nom*HM_ZB_Nsoko!CA_gross_prod_oil+HM_ZB_Nsoko!CA_FP_lpg_nom*HM_ZB_Nsoko!CA_gross_prod_lpg+HM_ZB_Nsoko!CA_FP_gas_nom*HM_ZB_Nsoko!CA_gross_prod_gas)/HM_ZB_Nsoko!CA_gross_prod_Total),0)</f>
        <v>0</v>
      </c>
      <c r="BN565" s="49">
        <f ca="1">IFERROR((BN538)/((HM_ZB_Nsoko!CA_FP_oil_nom*HM_ZB_Nsoko!CA_gross_prod_oil+HM_ZB_Nsoko!CA_FP_lpg_nom*HM_ZB_Nsoko!CA_gross_prod_lpg+HM_ZB_Nsoko!CA_FP_gas_nom*HM_ZB_Nsoko!CA_gross_prod_gas)/HM_ZB_Nsoko!CA_gross_prod_Total),0)</f>
        <v>0</v>
      </c>
      <c r="BO565" s="49">
        <f ca="1">IFERROR((BO538)/((HM_ZB_Nsoko!CA_FP_oil_nom*HM_ZB_Nsoko!CA_gross_prod_oil+HM_ZB_Nsoko!CA_FP_lpg_nom*HM_ZB_Nsoko!CA_gross_prod_lpg+HM_ZB_Nsoko!CA_FP_gas_nom*HM_ZB_Nsoko!CA_gross_prod_gas)/HM_ZB_Nsoko!CA_gross_prod_Total),0)</f>
        <v>0</v>
      </c>
      <c r="BP565" s="49">
        <f ca="1">IFERROR((BP538)/((HM_ZB_Nsoko!CA_FP_oil_nom*HM_ZB_Nsoko!CA_gross_prod_oil+HM_ZB_Nsoko!CA_FP_lpg_nom*HM_ZB_Nsoko!CA_gross_prod_lpg+HM_ZB_Nsoko!CA_FP_gas_nom*HM_ZB_Nsoko!CA_gross_prod_gas)/HM_ZB_Nsoko!CA_gross_prod_Total),0)</f>
        <v>0</v>
      </c>
      <c r="BQ565" s="49">
        <f ca="1">IFERROR((BQ538)/((HM_ZB_Nsoko!CA_FP_oil_nom*HM_ZB_Nsoko!CA_gross_prod_oil+HM_ZB_Nsoko!CA_FP_lpg_nom*HM_ZB_Nsoko!CA_gross_prod_lpg+HM_ZB_Nsoko!CA_FP_gas_nom*HM_ZB_Nsoko!CA_gross_prod_gas)/HM_ZB_Nsoko!CA_gross_prod_Total),0)</f>
        <v>0</v>
      </c>
      <c r="BR565" s="49">
        <f ca="1">IFERROR((BR538)/((HM_ZB_Nsoko!CA_FP_oil_nom*HM_ZB_Nsoko!CA_gross_prod_oil+HM_ZB_Nsoko!CA_FP_lpg_nom*HM_ZB_Nsoko!CA_gross_prod_lpg+HM_ZB_Nsoko!CA_FP_gas_nom*HM_ZB_Nsoko!CA_gross_prod_gas)/HM_ZB_Nsoko!CA_gross_prod_Total),0)</f>
        <v>0</v>
      </c>
      <c r="BS565" s="49">
        <f ca="1">IFERROR((BS538)/((HM_ZB_Nsoko!CA_FP_oil_nom*HM_ZB_Nsoko!CA_gross_prod_oil+HM_ZB_Nsoko!CA_FP_lpg_nom*HM_ZB_Nsoko!CA_gross_prod_lpg+HM_ZB_Nsoko!CA_FP_gas_nom*HM_ZB_Nsoko!CA_gross_prod_gas)/HM_ZB_Nsoko!CA_gross_prod_Total),0)</f>
        <v>0</v>
      </c>
    </row>
    <row r="566" spans="3:71" outlineLevel="1" x14ac:dyDescent="0.2">
      <c r="J566" s="26"/>
      <c r="L566" s="55"/>
      <c r="M566" s="55"/>
      <c r="N566" s="55"/>
      <c r="O566" s="55"/>
      <c r="P566" s="55"/>
      <c r="Q566" s="55"/>
      <c r="R566" s="55"/>
      <c r="S566" s="55"/>
      <c r="T566" s="55"/>
      <c r="U566" s="55"/>
      <c r="V566" s="55"/>
      <c r="W566" s="55"/>
      <c r="X566" s="55"/>
      <c r="Y566" s="55"/>
      <c r="Z566" s="55"/>
      <c r="AA566" s="55"/>
      <c r="AB566" s="55"/>
      <c r="AC566" s="55"/>
      <c r="AD566" s="55"/>
      <c r="AE566" s="55"/>
      <c r="AF566" s="55"/>
      <c r="AG566" s="55"/>
      <c r="AH566" s="55"/>
      <c r="AI566" s="55"/>
      <c r="AJ566" s="55"/>
      <c r="AK566" s="55"/>
      <c r="AL566" s="55"/>
      <c r="AM566" s="55"/>
      <c r="AN566" s="55"/>
      <c r="AO566" s="55"/>
      <c r="AP566" s="55"/>
      <c r="AQ566" s="55"/>
      <c r="AR566" s="55"/>
      <c r="AS566" s="55"/>
      <c r="AT566" s="55"/>
      <c r="AU566" s="55"/>
      <c r="AV566" s="55"/>
      <c r="AW566" s="55"/>
      <c r="AX566" s="55"/>
      <c r="AY566" s="55"/>
      <c r="AZ566" s="55"/>
      <c r="BA566" s="55"/>
      <c r="BB566" s="55"/>
      <c r="BC566" s="55"/>
      <c r="BD566" s="55"/>
      <c r="BE566" s="55"/>
      <c r="BF566" s="55"/>
      <c r="BG566" s="55"/>
      <c r="BH566" s="55"/>
      <c r="BI566" s="55"/>
      <c r="BJ566" s="55"/>
      <c r="BK566" s="55"/>
      <c r="BL566" s="55"/>
      <c r="BM566" s="55"/>
      <c r="BN566" s="55"/>
      <c r="BO566" s="55"/>
      <c r="BP566" s="55"/>
      <c r="BQ566" s="55"/>
      <c r="BR566" s="55"/>
      <c r="BS566" s="55"/>
    </row>
    <row r="567" spans="3:71" outlineLevel="1" x14ac:dyDescent="0.2">
      <c r="D567" t="str">
        <f>HM_ZA_Nkossa!D557</f>
        <v>Cost Oil Contracteur</v>
      </c>
      <c r="I567" s="30">
        <f t="shared" ref="I567:I572" ca="1" si="145">SUM($L567:$BS567)</f>
        <v>3.5124086126108254</v>
      </c>
      <c r="J567" s="26" t="s">
        <v>692</v>
      </c>
      <c r="L567" s="49">
        <f ca="1">IFERROR((L327)/((HM_ZB_Nsoko!CA_FP_oil_nom*HM_ZB_Nsoko!CA_gross_prod_oil+HM_ZB_Nsoko!CA_FP_lpg_nom*HM_ZB_Nsoko!CA_gross_prod_lpg+HM_ZB_Nsoko!CA_FP_gas_nom*HM_ZB_Nsoko!CA_gross_prod_gas)/HM_ZB_Nsoko!CA_gross_prod_Total),0)</f>
        <v>0.13028360310484446</v>
      </c>
      <c r="M567" s="49">
        <f ca="1">IFERROR((M327)/((HM_ZB_Nsoko!CA_FP_oil_nom*HM_ZB_Nsoko!CA_gross_prod_oil+HM_ZB_Nsoko!CA_FP_lpg_nom*HM_ZB_Nsoko!CA_gross_prod_lpg+HM_ZB_Nsoko!CA_FP_gas_nom*HM_ZB_Nsoko!CA_gross_prod_gas)/HM_ZB_Nsoko!CA_gross_prod_Total),0)</f>
        <v>0.16433021690938113</v>
      </c>
      <c r="N567" s="49">
        <f ca="1">IFERROR((N327)/((HM_ZB_Nsoko!CA_FP_oil_nom*HM_ZB_Nsoko!CA_gross_prod_oil+HM_ZB_Nsoko!CA_FP_lpg_nom*HM_ZB_Nsoko!CA_gross_prod_lpg+HM_ZB_Nsoko!CA_FP_gas_nom*HM_ZB_Nsoko!CA_gross_prod_gas)/HM_ZB_Nsoko!CA_gross_prod_Total),0)</f>
        <v>0.37616732683346865</v>
      </c>
      <c r="O567" s="49">
        <f ca="1">IFERROR((O327)/((HM_ZB_Nsoko!CA_FP_oil_nom*HM_ZB_Nsoko!CA_gross_prod_oil+HM_ZB_Nsoko!CA_FP_lpg_nom*HM_ZB_Nsoko!CA_gross_prod_lpg+HM_ZB_Nsoko!CA_FP_gas_nom*HM_ZB_Nsoko!CA_gross_prod_gas)/HM_ZB_Nsoko!CA_gross_prod_Total),0)</f>
        <v>0.34988132569090824</v>
      </c>
      <c r="P567" s="49">
        <f ca="1">IFERROR((P327)/((HM_ZB_Nsoko!CA_FP_oil_nom*HM_ZB_Nsoko!CA_gross_prod_oil+HM_ZB_Nsoko!CA_FP_lpg_nom*HM_ZB_Nsoko!CA_gross_prod_lpg+HM_ZB_Nsoko!CA_FP_gas_nom*HM_ZB_Nsoko!CA_gross_prod_gas)/HM_ZB_Nsoko!CA_gross_prod_Total),0)</f>
        <v>0.33132415890494077</v>
      </c>
      <c r="Q567" s="49">
        <f ca="1">IFERROR((Q327)/((HM_ZB_Nsoko!CA_FP_oil_nom*HM_ZB_Nsoko!CA_gross_prod_oil+HM_ZB_Nsoko!CA_FP_lpg_nom*HM_ZB_Nsoko!CA_gross_prod_lpg+HM_ZB_Nsoko!CA_FP_gas_nom*HM_ZB_Nsoko!CA_gross_prod_gas)/HM_ZB_Nsoko!CA_gross_prod_Total),0)</f>
        <v>0.19734348741027716</v>
      </c>
      <c r="R567" s="49">
        <f ca="1">IFERROR((R327)/((HM_ZB_Nsoko!CA_FP_oil_nom*HM_ZB_Nsoko!CA_gross_prod_oil+HM_ZB_Nsoko!CA_FP_lpg_nom*HM_ZB_Nsoko!CA_gross_prod_lpg+HM_ZB_Nsoko!CA_FP_gas_nom*HM_ZB_Nsoko!CA_gross_prod_gas)/HM_ZB_Nsoko!CA_gross_prod_Total),0)</f>
        <v>0.11412993358814744</v>
      </c>
      <c r="S567" s="49">
        <f ca="1">IFERROR((S327)/((HM_ZB_Nsoko!CA_FP_oil_nom*HM_ZB_Nsoko!CA_gross_prod_oil+HM_ZB_Nsoko!CA_FP_lpg_nom*HM_ZB_Nsoko!CA_gross_prod_lpg+HM_ZB_Nsoko!CA_FP_gas_nom*HM_ZB_Nsoko!CA_gross_prod_gas)/HM_ZB_Nsoko!CA_gross_prod_Total),0)</f>
        <v>0.4527219066</v>
      </c>
      <c r="T567" s="49">
        <f ca="1">IFERROR((T327)/((HM_ZB_Nsoko!CA_FP_oil_nom*HM_ZB_Nsoko!CA_gross_prod_oil+HM_ZB_Nsoko!CA_FP_lpg_nom*HM_ZB_Nsoko!CA_gross_prod_lpg+HM_ZB_Nsoko!CA_FP_gas_nom*HM_ZB_Nsoko!CA_gross_prod_gas)/HM_ZB_Nsoko!CA_gross_prod_Total),0)</f>
        <v>0.34616958539854942</v>
      </c>
      <c r="U567" s="49">
        <f ca="1">IFERROR((U327)/((HM_ZB_Nsoko!CA_FP_oil_nom*HM_ZB_Nsoko!CA_gross_prod_oil+HM_ZB_Nsoko!CA_FP_lpg_nom*HM_ZB_Nsoko!CA_gross_prod_lpg+HM_ZB_Nsoko!CA_FP_gas_nom*HM_ZB_Nsoko!CA_gross_prod_gas)/HM_ZB_Nsoko!CA_gross_prod_Total),0)</f>
        <v>0.29992691404647936</v>
      </c>
      <c r="V567" s="49">
        <f ca="1">IFERROR((V327)/((HM_ZB_Nsoko!CA_FP_oil_nom*HM_ZB_Nsoko!CA_gross_prod_oil+HM_ZB_Nsoko!CA_FP_lpg_nom*HM_ZB_Nsoko!CA_gross_prod_lpg+HM_ZB_Nsoko!CA_FP_gas_nom*HM_ZB_Nsoko!CA_gross_prod_gas)/HM_ZB_Nsoko!CA_gross_prod_Total),0)</f>
        <v>0.27346277457178997</v>
      </c>
      <c r="W567" s="49">
        <f ca="1">IFERROR((W327)/((HM_ZB_Nsoko!CA_FP_oil_nom*HM_ZB_Nsoko!CA_gross_prod_oil+HM_ZB_Nsoko!CA_FP_lpg_nom*HM_ZB_Nsoko!CA_gross_prod_lpg+HM_ZB_Nsoko!CA_FP_gas_nom*HM_ZB_Nsoko!CA_gross_prod_gas)/HM_ZB_Nsoko!CA_gross_prod_Total),0)</f>
        <v>0.24933370622722026</v>
      </c>
      <c r="X567" s="49">
        <f ca="1">IFERROR((X327)/((HM_ZB_Nsoko!CA_FP_oil_nom*HM_ZB_Nsoko!CA_gross_prod_oil+HM_ZB_Nsoko!CA_FP_lpg_nom*HM_ZB_Nsoko!CA_gross_prod_lpg+HM_ZB_Nsoko!CA_FP_gas_nom*HM_ZB_Nsoko!CA_gross_prod_gas)/HM_ZB_Nsoko!CA_gross_prod_Total),0)</f>
        <v>0.22733367332481855</v>
      </c>
      <c r="Y567" s="49">
        <f ca="1">IFERROR((Y327)/((HM_ZB_Nsoko!CA_FP_oil_nom*HM_ZB_Nsoko!CA_gross_prod_oil+HM_ZB_Nsoko!CA_FP_lpg_nom*HM_ZB_Nsoko!CA_gross_prod_lpg+HM_ZB_Nsoko!CA_FP_gas_nom*HM_ZB_Nsoko!CA_gross_prod_gas)/HM_ZB_Nsoko!CA_gross_prod_Total),0)</f>
        <v>0</v>
      </c>
      <c r="Z567" s="49">
        <f ca="1">IFERROR((Z327)/((HM_ZB_Nsoko!CA_FP_oil_nom*HM_ZB_Nsoko!CA_gross_prod_oil+HM_ZB_Nsoko!CA_FP_lpg_nom*HM_ZB_Nsoko!CA_gross_prod_lpg+HM_ZB_Nsoko!CA_FP_gas_nom*HM_ZB_Nsoko!CA_gross_prod_gas)/HM_ZB_Nsoko!CA_gross_prod_Total),0)</f>
        <v>0</v>
      </c>
      <c r="AA567" s="49">
        <f ca="1">IFERROR((AA327)/((HM_ZB_Nsoko!CA_FP_oil_nom*HM_ZB_Nsoko!CA_gross_prod_oil+HM_ZB_Nsoko!CA_FP_lpg_nom*HM_ZB_Nsoko!CA_gross_prod_lpg+HM_ZB_Nsoko!CA_FP_gas_nom*HM_ZB_Nsoko!CA_gross_prod_gas)/HM_ZB_Nsoko!CA_gross_prod_Total),0)</f>
        <v>0</v>
      </c>
      <c r="AB567" s="49">
        <f ca="1">IFERROR((AB327)/((HM_ZB_Nsoko!CA_FP_oil_nom*HM_ZB_Nsoko!CA_gross_prod_oil+HM_ZB_Nsoko!CA_FP_lpg_nom*HM_ZB_Nsoko!CA_gross_prod_lpg+HM_ZB_Nsoko!CA_FP_gas_nom*HM_ZB_Nsoko!CA_gross_prod_gas)/HM_ZB_Nsoko!CA_gross_prod_Total),0)</f>
        <v>0</v>
      </c>
      <c r="AC567" s="49">
        <f ca="1">IFERROR((AC327)/((HM_ZB_Nsoko!CA_FP_oil_nom*HM_ZB_Nsoko!CA_gross_prod_oil+HM_ZB_Nsoko!CA_FP_lpg_nom*HM_ZB_Nsoko!CA_gross_prod_lpg+HM_ZB_Nsoko!CA_FP_gas_nom*HM_ZB_Nsoko!CA_gross_prod_gas)/HM_ZB_Nsoko!CA_gross_prod_Total),0)</f>
        <v>0</v>
      </c>
      <c r="AD567" s="49">
        <f ca="1">IFERROR((AD327)/((HM_ZB_Nsoko!CA_FP_oil_nom*HM_ZB_Nsoko!CA_gross_prod_oil+HM_ZB_Nsoko!CA_FP_lpg_nom*HM_ZB_Nsoko!CA_gross_prod_lpg+HM_ZB_Nsoko!CA_FP_gas_nom*HM_ZB_Nsoko!CA_gross_prod_gas)/HM_ZB_Nsoko!CA_gross_prod_Total),0)</f>
        <v>0</v>
      </c>
      <c r="AE567" s="49">
        <f ca="1">IFERROR((AE327)/((HM_ZB_Nsoko!CA_FP_oil_nom*HM_ZB_Nsoko!CA_gross_prod_oil+HM_ZB_Nsoko!CA_FP_lpg_nom*HM_ZB_Nsoko!CA_gross_prod_lpg+HM_ZB_Nsoko!CA_FP_gas_nom*HM_ZB_Nsoko!CA_gross_prod_gas)/HM_ZB_Nsoko!CA_gross_prod_Total),0)</f>
        <v>0</v>
      </c>
      <c r="AF567" s="49">
        <f ca="1">IFERROR((AF327)/((HM_ZB_Nsoko!CA_FP_oil_nom*HM_ZB_Nsoko!CA_gross_prod_oil+HM_ZB_Nsoko!CA_FP_lpg_nom*HM_ZB_Nsoko!CA_gross_prod_lpg+HM_ZB_Nsoko!CA_FP_gas_nom*HM_ZB_Nsoko!CA_gross_prod_gas)/HM_ZB_Nsoko!CA_gross_prod_Total),0)</f>
        <v>0</v>
      </c>
      <c r="AG567" s="49">
        <f ca="1">IFERROR((AG327)/((HM_ZB_Nsoko!CA_FP_oil_nom*HM_ZB_Nsoko!CA_gross_prod_oil+HM_ZB_Nsoko!CA_FP_lpg_nom*HM_ZB_Nsoko!CA_gross_prod_lpg+HM_ZB_Nsoko!CA_FP_gas_nom*HM_ZB_Nsoko!CA_gross_prod_gas)/HM_ZB_Nsoko!CA_gross_prod_Total),0)</f>
        <v>0</v>
      </c>
      <c r="AH567" s="49">
        <f ca="1">IFERROR((AH327)/((HM_ZB_Nsoko!CA_FP_oil_nom*HM_ZB_Nsoko!CA_gross_prod_oil+HM_ZB_Nsoko!CA_FP_lpg_nom*HM_ZB_Nsoko!CA_gross_prod_lpg+HM_ZB_Nsoko!CA_FP_gas_nom*HM_ZB_Nsoko!CA_gross_prod_gas)/HM_ZB_Nsoko!CA_gross_prod_Total),0)</f>
        <v>0</v>
      </c>
      <c r="AI567" s="49">
        <f ca="1">IFERROR((AI327)/((HM_ZB_Nsoko!CA_FP_oil_nom*HM_ZB_Nsoko!CA_gross_prod_oil+HM_ZB_Nsoko!CA_FP_lpg_nom*HM_ZB_Nsoko!CA_gross_prod_lpg+HM_ZB_Nsoko!CA_FP_gas_nom*HM_ZB_Nsoko!CA_gross_prod_gas)/HM_ZB_Nsoko!CA_gross_prod_Total),0)</f>
        <v>0</v>
      </c>
      <c r="AJ567" s="49">
        <f ca="1">IFERROR((AJ327)/((HM_ZB_Nsoko!CA_FP_oil_nom*HM_ZB_Nsoko!CA_gross_prod_oil+HM_ZB_Nsoko!CA_FP_lpg_nom*HM_ZB_Nsoko!CA_gross_prod_lpg+HM_ZB_Nsoko!CA_FP_gas_nom*HM_ZB_Nsoko!CA_gross_prod_gas)/HM_ZB_Nsoko!CA_gross_prod_Total),0)</f>
        <v>0</v>
      </c>
      <c r="AK567" s="49">
        <f ca="1">IFERROR((AK327)/((HM_ZB_Nsoko!CA_FP_oil_nom*HM_ZB_Nsoko!CA_gross_prod_oil+HM_ZB_Nsoko!CA_FP_lpg_nom*HM_ZB_Nsoko!CA_gross_prod_lpg+HM_ZB_Nsoko!CA_FP_gas_nom*HM_ZB_Nsoko!CA_gross_prod_gas)/HM_ZB_Nsoko!CA_gross_prod_Total),0)</f>
        <v>0</v>
      </c>
      <c r="AL567" s="49">
        <f ca="1">IFERROR((AL327)/((HM_ZB_Nsoko!CA_FP_oil_nom*HM_ZB_Nsoko!CA_gross_prod_oil+HM_ZB_Nsoko!CA_FP_lpg_nom*HM_ZB_Nsoko!CA_gross_prod_lpg+HM_ZB_Nsoko!CA_FP_gas_nom*HM_ZB_Nsoko!CA_gross_prod_gas)/HM_ZB_Nsoko!CA_gross_prod_Total),0)</f>
        <v>0</v>
      </c>
      <c r="AM567" s="49">
        <f ca="1">IFERROR((AM327)/((HM_ZB_Nsoko!CA_FP_oil_nom*HM_ZB_Nsoko!CA_gross_prod_oil+HM_ZB_Nsoko!CA_FP_lpg_nom*HM_ZB_Nsoko!CA_gross_prod_lpg+HM_ZB_Nsoko!CA_FP_gas_nom*HM_ZB_Nsoko!CA_gross_prod_gas)/HM_ZB_Nsoko!CA_gross_prod_Total),0)</f>
        <v>0</v>
      </c>
      <c r="AN567" s="49">
        <f ca="1">IFERROR((AN327)/((HM_ZB_Nsoko!CA_FP_oil_nom*HM_ZB_Nsoko!CA_gross_prod_oil+HM_ZB_Nsoko!CA_FP_lpg_nom*HM_ZB_Nsoko!CA_gross_prod_lpg+HM_ZB_Nsoko!CA_FP_gas_nom*HM_ZB_Nsoko!CA_gross_prod_gas)/HM_ZB_Nsoko!CA_gross_prod_Total),0)</f>
        <v>0</v>
      </c>
      <c r="AO567" s="49">
        <f ca="1">IFERROR((AO327)/((HM_ZB_Nsoko!CA_FP_oil_nom*HM_ZB_Nsoko!CA_gross_prod_oil+HM_ZB_Nsoko!CA_FP_lpg_nom*HM_ZB_Nsoko!CA_gross_prod_lpg+HM_ZB_Nsoko!CA_FP_gas_nom*HM_ZB_Nsoko!CA_gross_prod_gas)/HM_ZB_Nsoko!CA_gross_prod_Total),0)</f>
        <v>0</v>
      </c>
      <c r="AP567" s="49">
        <f ca="1">IFERROR((AP327)/((HM_ZB_Nsoko!CA_FP_oil_nom*HM_ZB_Nsoko!CA_gross_prod_oil+HM_ZB_Nsoko!CA_FP_lpg_nom*HM_ZB_Nsoko!CA_gross_prod_lpg+HM_ZB_Nsoko!CA_FP_gas_nom*HM_ZB_Nsoko!CA_gross_prod_gas)/HM_ZB_Nsoko!CA_gross_prod_Total),0)</f>
        <v>0</v>
      </c>
      <c r="AQ567" s="49">
        <f ca="1">IFERROR((AQ327)/((HM_ZB_Nsoko!CA_FP_oil_nom*HM_ZB_Nsoko!CA_gross_prod_oil+HM_ZB_Nsoko!CA_FP_lpg_nom*HM_ZB_Nsoko!CA_gross_prod_lpg+HM_ZB_Nsoko!CA_FP_gas_nom*HM_ZB_Nsoko!CA_gross_prod_gas)/HM_ZB_Nsoko!CA_gross_prod_Total),0)</f>
        <v>0</v>
      </c>
      <c r="AR567" s="49">
        <f ca="1">IFERROR((AR327)/((HM_ZB_Nsoko!CA_FP_oil_nom*HM_ZB_Nsoko!CA_gross_prod_oil+HM_ZB_Nsoko!CA_FP_lpg_nom*HM_ZB_Nsoko!CA_gross_prod_lpg+HM_ZB_Nsoko!CA_FP_gas_nom*HM_ZB_Nsoko!CA_gross_prod_gas)/HM_ZB_Nsoko!CA_gross_prod_Total),0)</f>
        <v>0</v>
      </c>
      <c r="AS567" s="49">
        <f ca="1">IFERROR((AS327)/((HM_ZB_Nsoko!CA_FP_oil_nom*HM_ZB_Nsoko!CA_gross_prod_oil+HM_ZB_Nsoko!CA_FP_lpg_nom*HM_ZB_Nsoko!CA_gross_prod_lpg+HM_ZB_Nsoko!CA_FP_gas_nom*HM_ZB_Nsoko!CA_gross_prod_gas)/HM_ZB_Nsoko!CA_gross_prod_Total),0)</f>
        <v>0</v>
      </c>
      <c r="AT567" s="49">
        <f ca="1">IFERROR((AT327)/((HM_ZB_Nsoko!CA_FP_oil_nom*HM_ZB_Nsoko!CA_gross_prod_oil+HM_ZB_Nsoko!CA_FP_lpg_nom*HM_ZB_Nsoko!CA_gross_prod_lpg+HM_ZB_Nsoko!CA_FP_gas_nom*HM_ZB_Nsoko!CA_gross_prod_gas)/HM_ZB_Nsoko!CA_gross_prod_Total),0)</f>
        <v>0</v>
      </c>
      <c r="AU567" s="49">
        <f ca="1">IFERROR((AU327)/((HM_ZB_Nsoko!CA_FP_oil_nom*HM_ZB_Nsoko!CA_gross_prod_oil+HM_ZB_Nsoko!CA_FP_lpg_nom*HM_ZB_Nsoko!CA_gross_prod_lpg+HM_ZB_Nsoko!CA_FP_gas_nom*HM_ZB_Nsoko!CA_gross_prod_gas)/HM_ZB_Nsoko!CA_gross_prod_Total),0)</f>
        <v>0</v>
      </c>
      <c r="AV567" s="49">
        <f ca="1">IFERROR((AV327)/((HM_ZB_Nsoko!CA_FP_oil_nom*HM_ZB_Nsoko!CA_gross_prod_oil+HM_ZB_Nsoko!CA_FP_lpg_nom*HM_ZB_Nsoko!CA_gross_prod_lpg+HM_ZB_Nsoko!CA_FP_gas_nom*HM_ZB_Nsoko!CA_gross_prod_gas)/HM_ZB_Nsoko!CA_gross_prod_Total),0)</f>
        <v>0</v>
      </c>
      <c r="AW567" s="49">
        <f ca="1">IFERROR((AW327)/((HM_ZB_Nsoko!CA_FP_oil_nom*HM_ZB_Nsoko!CA_gross_prod_oil+HM_ZB_Nsoko!CA_FP_lpg_nom*HM_ZB_Nsoko!CA_gross_prod_lpg+HM_ZB_Nsoko!CA_FP_gas_nom*HM_ZB_Nsoko!CA_gross_prod_gas)/HM_ZB_Nsoko!CA_gross_prod_Total),0)</f>
        <v>0</v>
      </c>
      <c r="AX567" s="49">
        <f ca="1">IFERROR((AX327)/((HM_ZB_Nsoko!CA_FP_oil_nom*HM_ZB_Nsoko!CA_gross_prod_oil+HM_ZB_Nsoko!CA_FP_lpg_nom*HM_ZB_Nsoko!CA_gross_prod_lpg+HM_ZB_Nsoko!CA_FP_gas_nom*HM_ZB_Nsoko!CA_gross_prod_gas)/HM_ZB_Nsoko!CA_gross_prod_Total),0)</f>
        <v>0</v>
      </c>
      <c r="AY567" s="49">
        <f ca="1">IFERROR((AY327)/((HM_ZB_Nsoko!CA_FP_oil_nom*HM_ZB_Nsoko!CA_gross_prod_oil+HM_ZB_Nsoko!CA_FP_lpg_nom*HM_ZB_Nsoko!CA_gross_prod_lpg+HM_ZB_Nsoko!CA_FP_gas_nom*HM_ZB_Nsoko!CA_gross_prod_gas)/HM_ZB_Nsoko!CA_gross_prod_Total),0)</f>
        <v>0</v>
      </c>
      <c r="AZ567" s="49">
        <f ca="1">IFERROR((AZ327)/((HM_ZB_Nsoko!CA_FP_oil_nom*HM_ZB_Nsoko!CA_gross_prod_oil+HM_ZB_Nsoko!CA_FP_lpg_nom*HM_ZB_Nsoko!CA_gross_prod_lpg+HM_ZB_Nsoko!CA_FP_gas_nom*HM_ZB_Nsoko!CA_gross_prod_gas)/HM_ZB_Nsoko!CA_gross_prod_Total),0)</f>
        <v>0</v>
      </c>
      <c r="BA567" s="49">
        <f ca="1">IFERROR((BA327)/((HM_ZB_Nsoko!CA_FP_oil_nom*HM_ZB_Nsoko!CA_gross_prod_oil+HM_ZB_Nsoko!CA_FP_lpg_nom*HM_ZB_Nsoko!CA_gross_prod_lpg+HM_ZB_Nsoko!CA_FP_gas_nom*HM_ZB_Nsoko!CA_gross_prod_gas)/HM_ZB_Nsoko!CA_gross_prod_Total),0)</f>
        <v>0</v>
      </c>
      <c r="BB567" s="49">
        <f ca="1">IFERROR((BB327)/((HM_ZB_Nsoko!CA_FP_oil_nom*HM_ZB_Nsoko!CA_gross_prod_oil+HM_ZB_Nsoko!CA_FP_lpg_nom*HM_ZB_Nsoko!CA_gross_prod_lpg+HM_ZB_Nsoko!CA_FP_gas_nom*HM_ZB_Nsoko!CA_gross_prod_gas)/HM_ZB_Nsoko!CA_gross_prod_Total),0)</f>
        <v>0</v>
      </c>
      <c r="BC567" s="49">
        <f ca="1">IFERROR((BC327)/((HM_ZB_Nsoko!CA_FP_oil_nom*HM_ZB_Nsoko!CA_gross_prod_oil+HM_ZB_Nsoko!CA_FP_lpg_nom*HM_ZB_Nsoko!CA_gross_prod_lpg+HM_ZB_Nsoko!CA_FP_gas_nom*HM_ZB_Nsoko!CA_gross_prod_gas)/HM_ZB_Nsoko!CA_gross_prod_Total),0)</f>
        <v>0</v>
      </c>
      <c r="BD567" s="49">
        <f ca="1">IFERROR((BD327)/((HM_ZB_Nsoko!CA_FP_oil_nom*HM_ZB_Nsoko!CA_gross_prod_oil+HM_ZB_Nsoko!CA_FP_lpg_nom*HM_ZB_Nsoko!CA_gross_prod_lpg+HM_ZB_Nsoko!CA_FP_gas_nom*HM_ZB_Nsoko!CA_gross_prod_gas)/HM_ZB_Nsoko!CA_gross_prod_Total),0)</f>
        <v>0</v>
      </c>
      <c r="BE567" s="49">
        <f ca="1">IFERROR((BE327)/((HM_ZB_Nsoko!CA_FP_oil_nom*HM_ZB_Nsoko!CA_gross_prod_oil+HM_ZB_Nsoko!CA_FP_lpg_nom*HM_ZB_Nsoko!CA_gross_prod_lpg+HM_ZB_Nsoko!CA_FP_gas_nom*HM_ZB_Nsoko!CA_gross_prod_gas)/HM_ZB_Nsoko!CA_gross_prod_Total),0)</f>
        <v>0</v>
      </c>
      <c r="BF567" s="49">
        <f ca="1">IFERROR((BF327)/((HM_ZB_Nsoko!CA_FP_oil_nom*HM_ZB_Nsoko!CA_gross_prod_oil+HM_ZB_Nsoko!CA_FP_lpg_nom*HM_ZB_Nsoko!CA_gross_prod_lpg+HM_ZB_Nsoko!CA_FP_gas_nom*HM_ZB_Nsoko!CA_gross_prod_gas)/HM_ZB_Nsoko!CA_gross_prod_Total),0)</f>
        <v>0</v>
      </c>
      <c r="BG567" s="49">
        <f ca="1">IFERROR((BG327)/((HM_ZB_Nsoko!CA_FP_oil_nom*HM_ZB_Nsoko!CA_gross_prod_oil+HM_ZB_Nsoko!CA_FP_lpg_nom*HM_ZB_Nsoko!CA_gross_prod_lpg+HM_ZB_Nsoko!CA_FP_gas_nom*HM_ZB_Nsoko!CA_gross_prod_gas)/HM_ZB_Nsoko!CA_gross_prod_Total),0)</f>
        <v>0</v>
      </c>
      <c r="BH567" s="49">
        <f ca="1">IFERROR((BH327)/((HM_ZB_Nsoko!CA_FP_oil_nom*HM_ZB_Nsoko!CA_gross_prod_oil+HM_ZB_Nsoko!CA_FP_lpg_nom*HM_ZB_Nsoko!CA_gross_prod_lpg+HM_ZB_Nsoko!CA_FP_gas_nom*HM_ZB_Nsoko!CA_gross_prod_gas)/HM_ZB_Nsoko!CA_gross_prod_Total),0)</f>
        <v>0</v>
      </c>
      <c r="BI567" s="49">
        <f ca="1">IFERROR((BI327)/((HM_ZB_Nsoko!CA_FP_oil_nom*HM_ZB_Nsoko!CA_gross_prod_oil+HM_ZB_Nsoko!CA_FP_lpg_nom*HM_ZB_Nsoko!CA_gross_prod_lpg+HM_ZB_Nsoko!CA_FP_gas_nom*HM_ZB_Nsoko!CA_gross_prod_gas)/HM_ZB_Nsoko!CA_gross_prod_Total),0)</f>
        <v>0</v>
      </c>
      <c r="BJ567" s="49">
        <f ca="1">IFERROR((BJ327)/((HM_ZB_Nsoko!CA_FP_oil_nom*HM_ZB_Nsoko!CA_gross_prod_oil+HM_ZB_Nsoko!CA_FP_lpg_nom*HM_ZB_Nsoko!CA_gross_prod_lpg+HM_ZB_Nsoko!CA_FP_gas_nom*HM_ZB_Nsoko!CA_gross_prod_gas)/HM_ZB_Nsoko!CA_gross_prod_Total),0)</f>
        <v>0</v>
      </c>
      <c r="BK567" s="49">
        <f ca="1">IFERROR((BK327)/((HM_ZB_Nsoko!CA_FP_oil_nom*HM_ZB_Nsoko!CA_gross_prod_oil+HM_ZB_Nsoko!CA_FP_lpg_nom*HM_ZB_Nsoko!CA_gross_prod_lpg+HM_ZB_Nsoko!CA_FP_gas_nom*HM_ZB_Nsoko!CA_gross_prod_gas)/HM_ZB_Nsoko!CA_gross_prod_Total),0)</f>
        <v>0</v>
      </c>
      <c r="BL567" s="49">
        <f ca="1">IFERROR((BL327)/((HM_ZB_Nsoko!CA_FP_oil_nom*HM_ZB_Nsoko!CA_gross_prod_oil+HM_ZB_Nsoko!CA_FP_lpg_nom*HM_ZB_Nsoko!CA_gross_prod_lpg+HM_ZB_Nsoko!CA_FP_gas_nom*HM_ZB_Nsoko!CA_gross_prod_gas)/HM_ZB_Nsoko!CA_gross_prod_Total),0)</f>
        <v>0</v>
      </c>
      <c r="BM567" s="49">
        <f ca="1">IFERROR((BM327)/((HM_ZB_Nsoko!CA_FP_oil_nom*HM_ZB_Nsoko!CA_gross_prod_oil+HM_ZB_Nsoko!CA_FP_lpg_nom*HM_ZB_Nsoko!CA_gross_prod_lpg+HM_ZB_Nsoko!CA_FP_gas_nom*HM_ZB_Nsoko!CA_gross_prod_gas)/HM_ZB_Nsoko!CA_gross_prod_Total),0)</f>
        <v>0</v>
      </c>
      <c r="BN567" s="49">
        <f ca="1">IFERROR((BN327)/((HM_ZB_Nsoko!CA_FP_oil_nom*HM_ZB_Nsoko!CA_gross_prod_oil+HM_ZB_Nsoko!CA_FP_lpg_nom*HM_ZB_Nsoko!CA_gross_prod_lpg+HM_ZB_Nsoko!CA_FP_gas_nom*HM_ZB_Nsoko!CA_gross_prod_gas)/HM_ZB_Nsoko!CA_gross_prod_Total),0)</f>
        <v>0</v>
      </c>
      <c r="BO567" s="49">
        <f ca="1">IFERROR((BO327)/((HM_ZB_Nsoko!CA_FP_oil_nom*HM_ZB_Nsoko!CA_gross_prod_oil+HM_ZB_Nsoko!CA_FP_lpg_nom*HM_ZB_Nsoko!CA_gross_prod_lpg+HM_ZB_Nsoko!CA_FP_gas_nom*HM_ZB_Nsoko!CA_gross_prod_gas)/HM_ZB_Nsoko!CA_gross_prod_Total),0)</f>
        <v>0</v>
      </c>
      <c r="BP567" s="49">
        <f ca="1">IFERROR((BP327)/((HM_ZB_Nsoko!CA_FP_oil_nom*HM_ZB_Nsoko!CA_gross_prod_oil+HM_ZB_Nsoko!CA_FP_lpg_nom*HM_ZB_Nsoko!CA_gross_prod_lpg+HM_ZB_Nsoko!CA_FP_gas_nom*HM_ZB_Nsoko!CA_gross_prod_gas)/HM_ZB_Nsoko!CA_gross_prod_Total),0)</f>
        <v>0</v>
      </c>
      <c r="BQ567" s="49">
        <f ca="1">IFERROR((BQ327)/((HM_ZB_Nsoko!CA_FP_oil_nom*HM_ZB_Nsoko!CA_gross_prod_oil+HM_ZB_Nsoko!CA_FP_lpg_nom*HM_ZB_Nsoko!CA_gross_prod_lpg+HM_ZB_Nsoko!CA_FP_gas_nom*HM_ZB_Nsoko!CA_gross_prod_gas)/HM_ZB_Nsoko!CA_gross_prod_Total),0)</f>
        <v>0</v>
      </c>
      <c r="BR567" s="49">
        <f ca="1">IFERROR((BR327)/((HM_ZB_Nsoko!CA_FP_oil_nom*HM_ZB_Nsoko!CA_gross_prod_oil+HM_ZB_Nsoko!CA_FP_lpg_nom*HM_ZB_Nsoko!CA_gross_prod_lpg+HM_ZB_Nsoko!CA_FP_gas_nom*HM_ZB_Nsoko!CA_gross_prod_gas)/HM_ZB_Nsoko!CA_gross_prod_Total),0)</f>
        <v>0</v>
      </c>
      <c r="BS567" s="49">
        <f ca="1">IFERROR((BS327)/((HM_ZB_Nsoko!CA_FP_oil_nom*HM_ZB_Nsoko!CA_gross_prod_oil+HM_ZB_Nsoko!CA_FP_lpg_nom*HM_ZB_Nsoko!CA_gross_prod_lpg+HM_ZB_Nsoko!CA_FP_gas_nom*HM_ZB_Nsoko!CA_gross_prod_gas)/HM_ZB_Nsoko!CA_gross_prod_Total),0)</f>
        <v>0</v>
      </c>
    </row>
    <row r="568" spans="3:71" outlineLevel="1" x14ac:dyDescent="0.2">
      <c r="D568" t="str">
        <f>HM_ZA_Nkossa!D558</f>
        <v>Cost Gaz Contracteur</v>
      </c>
      <c r="I568" s="30"/>
      <c r="J568" s="26"/>
      <c r="L568" s="49"/>
      <c r="M568" s="49"/>
      <c r="N568" s="49"/>
      <c r="O568" s="49"/>
      <c r="P568" s="49"/>
      <c r="Q568" s="49"/>
      <c r="R568" s="49"/>
      <c r="S568" s="49"/>
      <c r="T568" s="49"/>
      <c r="U568" s="49"/>
      <c r="V568" s="49"/>
      <c r="W568" s="49"/>
      <c r="X568" s="49"/>
      <c r="Y568" s="49"/>
      <c r="Z568" s="49"/>
      <c r="AA568" s="49"/>
      <c r="AB568" s="49"/>
      <c r="AC568" s="49"/>
      <c r="AD568" s="49"/>
      <c r="AE568" s="49"/>
      <c r="AF568" s="49"/>
      <c r="AG568" s="49"/>
      <c r="AH568" s="49"/>
      <c r="AI568" s="49"/>
      <c r="AJ568" s="49"/>
      <c r="AK568" s="49"/>
      <c r="AL568" s="49"/>
      <c r="AM568" s="49"/>
      <c r="AN568" s="49"/>
      <c r="AO568" s="49"/>
      <c r="AP568" s="49"/>
      <c r="AQ568" s="49"/>
      <c r="AR568" s="49"/>
      <c r="AS568" s="49"/>
      <c r="AT568" s="49"/>
      <c r="AU568" s="49"/>
      <c r="AV568" s="49"/>
      <c r="AW568" s="49"/>
      <c r="AX568" s="49"/>
      <c r="AY568" s="49"/>
      <c r="AZ568" s="49"/>
      <c r="BA568" s="49"/>
      <c r="BB568" s="49"/>
      <c r="BC568" s="49"/>
      <c r="BD568" s="49"/>
      <c r="BE568" s="49"/>
      <c r="BF568" s="49"/>
      <c r="BG568" s="49"/>
      <c r="BH568" s="49"/>
      <c r="BI568" s="49"/>
      <c r="BJ568" s="49"/>
      <c r="BK568" s="49"/>
      <c r="BL568" s="49"/>
      <c r="BM568" s="49"/>
      <c r="BN568" s="49"/>
      <c r="BO568" s="49"/>
      <c r="BP568" s="49"/>
      <c r="BQ568" s="49"/>
      <c r="BR568" s="49"/>
      <c r="BS568" s="49"/>
    </row>
    <row r="569" spans="3:71" outlineLevel="1" x14ac:dyDescent="0.2">
      <c r="D569" t="str">
        <f>HM_ZA_Nkossa!D559</f>
        <v>Excess Cost Oil Contracteur</v>
      </c>
      <c r="I569" s="30">
        <f t="shared" ca="1" si="145"/>
        <v>0</v>
      </c>
      <c r="J569" s="26" t="s">
        <v>692</v>
      </c>
      <c r="L569" s="49">
        <f ca="1">IFERROR((L328)/((HM_ZB_Nsoko!CA_FP_oil_nom*HM_ZB_Nsoko!CA_gross_prod_oil+HM_ZB_Nsoko!CA_FP_lpg_nom*HM_ZB_Nsoko!CA_gross_prod_lpg+HM_ZB_Nsoko!CA_FP_gas_nom*HM_ZB_Nsoko!CA_gross_prod_gas)/HM_ZB_Nsoko!CA_gross_prod_Total),0)</f>
        <v>0</v>
      </c>
      <c r="M569" s="49">
        <f ca="1">IFERROR((M328)/((HM_ZB_Nsoko!CA_FP_oil_nom*HM_ZB_Nsoko!CA_gross_prod_oil+HM_ZB_Nsoko!CA_FP_lpg_nom*HM_ZB_Nsoko!CA_gross_prod_lpg+HM_ZB_Nsoko!CA_FP_gas_nom*HM_ZB_Nsoko!CA_gross_prod_gas)/HM_ZB_Nsoko!CA_gross_prod_Total),0)</f>
        <v>0</v>
      </c>
      <c r="N569" s="49">
        <f ca="1">IFERROR((N328)/((HM_ZB_Nsoko!CA_FP_oil_nom*HM_ZB_Nsoko!CA_gross_prod_oil+HM_ZB_Nsoko!CA_FP_lpg_nom*HM_ZB_Nsoko!CA_gross_prod_lpg+HM_ZB_Nsoko!CA_FP_gas_nom*HM_ZB_Nsoko!CA_gross_prod_gas)/HM_ZB_Nsoko!CA_gross_prod_Total),0)</f>
        <v>0</v>
      </c>
      <c r="O569" s="49">
        <f ca="1">IFERROR((O328)/((HM_ZB_Nsoko!CA_FP_oil_nom*HM_ZB_Nsoko!CA_gross_prod_oil+HM_ZB_Nsoko!CA_FP_lpg_nom*HM_ZB_Nsoko!CA_gross_prod_lpg+HM_ZB_Nsoko!CA_FP_gas_nom*HM_ZB_Nsoko!CA_gross_prod_gas)/HM_ZB_Nsoko!CA_gross_prod_Total),0)</f>
        <v>0</v>
      </c>
      <c r="P569" s="49">
        <f ca="1">IFERROR((P328)/((HM_ZB_Nsoko!CA_FP_oil_nom*HM_ZB_Nsoko!CA_gross_prod_oil+HM_ZB_Nsoko!CA_FP_lpg_nom*HM_ZB_Nsoko!CA_gross_prod_lpg+HM_ZB_Nsoko!CA_FP_gas_nom*HM_ZB_Nsoko!CA_gross_prod_gas)/HM_ZB_Nsoko!CA_gross_prod_Total),0)</f>
        <v>0</v>
      </c>
      <c r="Q569" s="49">
        <f ca="1">IFERROR((Q328)/((HM_ZB_Nsoko!CA_FP_oil_nom*HM_ZB_Nsoko!CA_gross_prod_oil+HM_ZB_Nsoko!CA_FP_lpg_nom*HM_ZB_Nsoko!CA_gross_prod_lpg+HM_ZB_Nsoko!CA_FP_gas_nom*HM_ZB_Nsoko!CA_gross_prod_gas)/HM_ZB_Nsoko!CA_gross_prod_Total),0)</f>
        <v>0</v>
      </c>
      <c r="R569" s="49">
        <f ca="1">IFERROR((R328)/((HM_ZB_Nsoko!CA_FP_oil_nom*HM_ZB_Nsoko!CA_gross_prod_oil+HM_ZB_Nsoko!CA_FP_lpg_nom*HM_ZB_Nsoko!CA_gross_prod_lpg+HM_ZB_Nsoko!CA_FP_gas_nom*HM_ZB_Nsoko!CA_gross_prod_gas)/HM_ZB_Nsoko!CA_gross_prod_Total),0)</f>
        <v>0</v>
      </c>
      <c r="S569" s="49">
        <f ca="1">IFERROR((S328)/((HM_ZB_Nsoko!CA_FP_oil_nom*HM_ZB_Nsoko!CA_gross_prod_oil+HM_ZB_Nsoko!CA_FP_lpg_nom*HM_ZB_Nsoko!CA_gross_prod_lpg+HM_ZB_Nsoko!CA_FP_gas_nom*HM_ZB_Nsoko!CA_gross_prod_gas)/HM_ZB_Nsoko!CA_gross_prod_Total),0)</f>
        <v>0</v>
      </c>
      <c r="T569" s="49">
        <f ca="1">IFERROR((T328)/((HM_ZB_Nsoko!CA_FP_oil_nom*HM_ZB_Nsoko!CA_gross_prod_oil+HM_ZB_Nsoko!CA_FP_lpg_nom*HM_ZB_Nsoko!CA_gross_prod_lpg+HM_ZB_Nsoko!CA_FP_gas_nom*HM_ZB_Nsoko!CA_gross_prod_gas)/HM_ZB_Nsoko!CA_gross_prod_Total),0)</f>
        <v>0</v>
      </c>
      <c r="U569" s="49">
        <f ca="1">IFERROR((U328)/((HM_ZB_Nsoko!CA_FP_oil_nom*HM_ZB_Nsoko!CA_gross_prod_oil+HM_ZB_Nsoko!CA_FP_lpg_nom*HM_ZB_Nsoko!CA_gross_prod_lpg+HM_ZB_Nsoko!CA_FP_gas_nom*HM_ZB_Nsoko!CA_gross_prod_gas)/HM_ZB_Nsoko!CA_gross_prod_Total),0)</f>
        <v>0</v>
      </c>
      <c r="V569" s="49">
        <f ca="1">IFERROR((V328)/((HM_ZB_Nsoko!CA_FP_oil_nom*HM_ZB_Nsoko!CA_gross_prod_oil+HM_ZB_Nsoko!CA_FP_lpg_nom*HM_ZB_Nsoko!CA_gross_prod_lpg+HM_ZB_Nsoko!CA_FP_gas_nom*HM_ZB_Nsoko!CA_gross_prod_gas)/HM_ZB_Nsoko!CA_gross_prod_Total),0)</f>
        <v>0</v>
      </c>
      <c r="W569" s="49">
        <f ca="1">IFERROR((W328)/((HM_ZB_Nsoko!CA_FP_oil_nom*HM_ZB_Nsoko!CA_gross_prod_oil+HM_ZB_Nsoko!CA_FP_lpg_nom*HM_ZB_Nsoko!CA_gross_prod_lpg+HM_ZB_Nsoko!CA_FP_gas_nom*HM_ZB_Nsoko!CA_gross_prod_gas)/HM_ZB_Nsoko!CA_gross_prod_Total),0)</f>
        <v>0</v>
      </c>
      <c r="X569" s="49">
        <f ca="1">IFERROR((X328)/((HM_ZB_Nsoko!CA_FP_oil_nom*HM_ZB_Nsoko!CA_gross_prod_oil+HM_ZB_Nsoko!CA_FP_lpg_nom*HM_ZB_Nsoko!CA_gross_prod_lpg+HM_ZB_Nsoko!CA_FP_gas_nom*HM_ZB_Nsoko!CA_gross_prod_gas)/HM_ZB_Nsoko!CA_gross_prod_Total),0)</f>
        <v>0</v>
      </c>
      <c r="Y569" s="49">
        <f ca="1">IFERROR((Y328)/((HM_ZB_Nsoko!CA_FP_oil_nom*HM_ZB_Nsoko!CA_gross_prod_oil+HM_ZB_Nsoko!CA_FP_lpg_nom*HM_ZB_Nsoko!CA_gross_prod_lpg+HM_ZB_Nsoko!CA_FP_gas_nom*HM_ZB_Nsoko!CA_gross_prod_gas)/HM_ZB_Nsoko!CA_gross_prod_Total),0)</f>
        <v>0</v>
      </c>
      <c r="Z569" s="49">
        <f ca="1">IFERROR((Z328)/((HM_ZB_Nsoko!CA_FP_oil_nom*HM_ZB_Nsoko!CA_gross_prod_oil+HM_ZB_Nsoko!CA_FP_lpg_nom*HM_ZB_Nsoko!CA_gross_prod_lpg+HM_ZB_Nsoko!CA_FP_gas_nom*HM_ZB_Nsoko!CA_gross_prod_gas)/HM_ZB_Nsoko!CA_gross_prod_Total),0)</f>
        <v>0</v>
      </c>
      <c r="AA569" s="49">
        <f ca="1">IFERROR((AA328)/((HM_ZB_Nsoko!CA_FP_oil_nom*HM_ZB_Nsoko!CA_gross_prod_oil+HM_ZB_Nsoko!CA_FP_lpg_nom*HM_ZB_Nsoko!CA_gross_prod_lpg+HM_ZB_Nsoko!CA_FP_gas_nom*HM_ZB_Nsoko!CA_gross_prod_gas)/HM_ZB_Nsoko!CA_gross_prod_Total),0)</f>
        <v>0</v>
      </c>
      <c r="AB569" s="49">
        <f ca="1">IFERROR((AB328)/((HM_ZB_Nsoko!CA_FP_oil_nom*HM_ZB_Nsoko!CA_gross_prod_oil+HM_ZB_Nsoko!CA_FP_lpg_nom*HM_ZB_Nsoko!CA_gross_prod_lpg+HM_ZB_Nsoko!CA_FP_gas_nom*HM_ZB_Nsoko!CA_gross_prod_gas)/HM_ZB_Nsoko!CA_gross_prod_Total),0)</f>
        <v>0</v>
      </c>
      <c r="AC569" s="49">
        <f ca="1">IFERROR((AC328)/((HM_ZB_Nsoko!CA_FP_oil_nom*HM_ZB_Nsoko!CA_gross_prod_oil+HM_ZB_Nsoko!CA_FP_lpg_nom*HM_ZB_Nsoko!CA_gross_prod_lpg+HM_ZB_Nsoko!CA_FP_gas_nom*HM_ZB_Nsoko!CA_gross_prod_gas)/HM_ZB_Nsoko!CA_gross_prod_Total),0)</f>
        <v>0</v>
      </c>
      <c r="AD569" s="49">
        <f ca="1">IFERROR((AD328)/((HM_ZB_Nsoko!CA_FP_oil_nom*HM_ZB_Nsoko!CA_gross_prod_oil+HM_ZB_Nsoko!CA_FP_lpg_nom*HM_ZB_Nsoko!CA_gross_prod_lpg+HM_ZB_Nsoko!CA_FP_gas_nom*HM_ZB_Nsoko!CA_gross_prod_gas)/HM_ZB_Nsoko!CA_gross_prod_Total),0)</f>
        <v>0</v>
      </c>
      <c r="AE569" s="49">
        <f ca="1">IFERROR((AE328)/((HM_ZB_Nsoko!CA_FP_oil_nom*HM_ZB_Nsoko!CA_gross_prod_oil+HM_ZB_Nsoko!CA_FP_lpg_nom*HM_ZB_Nsoko!CA_gross_prod_lpg+HM_ZB_Nsoko!CA_FP_gas_nom*HM_ZB_Nsoko!CA_gross_prod_gas)/HM_ZB_Nsoko!CA_gross_prod_Total),0)</f>
        <v>0</v>
      </c>
      <c r="AF569" s="49">
        <f ca="1">IFERROR((AF328)/((HM_ZB_Nsoko!CA_FP_oil_nom*HM_ZB_Nsoko!CA_gross_prod_oil+HM_ZB_Nsoko!CA_FP_lpg_nom*HM_ZB_Nsoko!CA_gross_prod_lpg+HM_ZB_Nsoko!CA_FP_gas_nom*HM_ZB_Nsoko!CA_gross_prod_gas)/HM_ZB_Nsoko!CA_gross_prod_Total),0)</f>
        <v>0</v>
      </c>
      <c r="AG569" s="49">
        <f ca="1">IFERROR((AG328)/((HM_ZB_Nsoko!CA_FP_oil_nom*HM_ZB_Nsoko!CA_gross_prod_oil+HM_ZB_Nsoko!CA_FP_lpg_nom*HM_ZB_Nsoko!CA_gross_prod_lpg+HM_ZB_Nsoko!CA_FP_gas_nom*HM_ZB_Nsoko!CA_gross_prod_gas)/HM_ZB_Nsoko!CA_gross_prod_Total),0)</f>
        <v>0</v>
      </c>
      <c r="AH569" s="49">
        <f ca="1">IFERROR((AH328)/((HM_ZB_Nsoko!CA_FP_oil_nom*HM_ZB_Nsoko!CA_gross_prod_oil+HM_ZB_Nsoko!CA_FP_lpg_nom*HM_ZB_Nsoko!CA_gross_prod_lpg+HM_ZB_Nsoko!CA_FP_gas_nom*HM_ZB_Nsoko!CA_gross_prod_gas)/HM_ZB_Nsoko!CA_gross_prod_Total),0)</f>
        <v>0</v>
      </c>
      <c r="AI569" s="49">
        <f ca="1">IFERROR((AI328)/((HM_ZB_Nsoko!CA_FP_oil_nom*HM_ZB_Nsoko!CA_gross_prod_oil+HM_ZB_Nsoko!CA_FP_lpg_nom*HM_ZB_Nsoko!CA_gross_prod_lpg+HM_ZB_Nsoko!CA_FP_gas_nom*HM_ZB_Nsoko!CA_gross_prod_gas)/HM_ZB_Nsoko!CA_gross_prod_Total),0)</f>
        <v>0</v>
      </c>
      <c r="AJ569" s="49">
        <f ca="1">IFERROR((AJ328)/((HM_ZB_Nsoko!CA_FP_oil_nom*HM_ZB_Nsoko!CA_gross_prod_oil+HM_ZB_Nsoko!CA_FP_lpg_nom*HM_ZB_Nsoko!CA_gross_prod_lpg+HM_ZB_Nsoko!CA_FP_gas_nom*HM_ZB_Nsoko!CA_gross_prod_gas)/HM_ZB_Nsoko!CA_gross_prod_Total),0)</f>
        <v>0</v>
      </c>
      <c r="AK569" s="49">
        <f ca="1">IFERROR((AK328)/((HM_ZB_Nsoko!CA_FP_oil_nom*HM_ZB_Nsoko!CA_gross_prod_oil+HM_ZB_Nsoko!CA_FP_lpg_nom*HM_ZB_Nsoko!CA_gross_prod_lpg+HM_ZB_Nsoko!CA_FP_gas_nom*HM_ZB_Nsoko!CA_gross_prod_gas)/HM_ZB_Nsoko!CA_gross_prod_Total),0)</f>
        <v>0</v>
      </c>
      <c r="AL569" s="49">
        <f ca="1">IFERROR((AL328)/((HM_ZB_Nsoko!CA_FP_oil_nom*HM_ZB_Nsoko!CA_gross_prod_oil+HM_ZB_Nsoko!CA_FP_lpg_nom*HM_ZB_Nsoko!CA_gross_prod_lpg+HM_ZB_Nsoko!CA_FP_gas_nom*HM_ZB_Nsoko!CA_gross_prod_gas)/HM_ZB_Nsoko!CA_gross_prod_Total),0)</f>
        <v>0</v>
      </c>
      <c r="AM569" s="49">
        <f ca="1">IFERROR((AM328)/((HM_ZB_Nsoko!CA_FP_oil_nom*HM_ZB_Nsoko!CA_gross_prod_oil+HM_ZB_Nsoko!CA_FP_lpg_nom*HM_ZB_Nsoko!CA_gross_prod_lpg+HM_ZB_Nsoko!CA_FP_gas_nom*HM_ZB_Nsoko!CA_gross_prod_gas)/HM_ZB_Nsoko!CA_gross_prod_Total),0)</f>
        <v>0</v>
      </c>
      <c r="AN569" s="49">
        <f ca="1">IFERROR((AN328)/((HM_ZB_Nsoko!CA_FP_oil_nom*HM_ZB_Nsoko!CA_gross_prod_oil+HM_ZB_Nsoko!CA_FP_lpg_nom*HM_ZB_Nsoko!CA_gross_prod_lpg+HM_ZB_Nsoko!CA_FP_gas_nom*HM_ZB_Nsoko!CA_gross_prod_gas)/HM_ZB_Nsoko!CA_gross_prod_Total),0)</f>
        <v>0</v>
      </c>
      <c r="AO569" s="49">
        <f ca="1">IFERROR((AO328)/((HM_ZB_Nsoko!CA_FP_oil_nom*HM_ZB_Nsoko!CA_gross_prod_oil+HM_ZB_Nsoko!CA_FP_lpg_nom*HM_ZB_Nsoko!CA_gross_prod_lpg+HM_ZB_Nsoko!CA_FP_gas_nom*HM_ZB_Nsoko!CA_gross_prod_gas)/HM_ZB_Nsoko!CA_gross_prod_Total),0)</f>
        <v>0</v>
      </c>
      <c r="AP569" s="49">
        <f ca="1">IFERROR((AP328)/((HM_ZB_Nsoko!CA_FP_oil_nom*HM_ZB_Nsoko!CA_gross_prod_oil+HM_ZB_Nsoko!CA_FP_lpg_nom*HM_ZB_Nsoko!CA_gross_prod_lpg+HM_ZB_Nsoko!CA_FP_gas_nom*HM_ZB_Nsoko!CA_gross_prod_gas)/HM_ZB_Nsoko!CA_gross_prod_Total),0)</f>
        <v>0</v>
      </c>
      <c r="AQ569" s="49">
        <f ca="1">IFERROR((AQ328)/((HM_ZB_Nsoko!CA_FP_oil_nom*HM_ZB_Nsoko!CA_gross_prod_oil+HM_ZB_Nsoko!CA_FP_lpg_nom*HM_ZB_Nsoko!CA_gross_prod_lpg+HM_ZB_Nsoko!CA_FP_gas_nom*HM_ZB_Nsoko!CA_gross_prod_gas)/HM_ZB_Nsoko!CA_gross_prod_Total),0)</f>
        <v>0</v>
      </c>
      <c r="AR569" s="49">
        <f ca="1">IFERROR((AR328)/((HM_ZB_Nsoko!CA_FP_oil_nom*HM_ZB_Nsoko!CA_gross_prod_oil+HM_ZB_Nsoko!CA_FP_lpg_nom*HM_ZB_Nsoko!CA_gross_prod_lpg+HM_ZB_Nsoko!CA_FP_gas_nom*HM_ZB_Nsoko!CA_gross_prod_gas)/HM_ZB_Nsoko!CA_gross_prod_Total),0)</f>
        <v>0</v>
      </c>
      <c r="AS569" s="49">
        <f ca="1">IFERROR((AS328)/((HM_ZB_Nsoko!CA_FP_oil_nom*HM_ZB_Nsoko!CA_gross_prod_oil+HM_ZB_Nsoko!CA_FP_lpg_nom*HM_ZB_Nsoko!CA_gross_prod_lpg+HM_ZB_Nsoko!CA_FP_gas_nom*HM_ZB_Nsoko!CA_gross_prod_gas)/HM_ZB_Nsoko!CA_gross_prod_Total),0)</f>
        <v>0</v>
      </c>
      <c r="AT569" s="49">
        <f ca="1">IFERROR((AT328)/((HM_ZB_Nsoko!CA_FP_oil_nom*HM_ZB_Nsoko!CA_gross_prod_oil+HM_ZB_Nsoko!CA_FP_lpg_nom*HM_ZB_Nsoko!CA_gross_prod_lpg+HM_ZB_Nsoko!CA_FP_gas_nom*HM_ZB_Nsoko!CA_gross_prod_gas)/HM_ZB_Nsoko!CA_gross_prod_Total),0)</f>
        <v>0</v>
      </c>
      <c r="AU569" s="49">
        <f ca="1">IFERROR((AU328)/((HM_ZB_Nsoko!CA_FP_oil_nom*HM_ZB_Nsoko!CA_gross_prod_oil+HM_ZB_Nsoko!CA_FP_lpg_nom*HM_ZB_Nsoko!CA_gross_prod_lpg+HM_ZB_Nsoko!CA_FP_gas_nom*HM_ZB_Nsoko!CA_gross_prod_gas)/HM_ZB_Nsoko!CA_gross_prod_Total),0)</f>
        <v>0</v>
      </c>
      <c r="AV569" s="49">
        <f ca="1">IFERROR((AV328)/((HM_ZB_Nsoko!CA_FP_oil_nom*HM_ZB_Nsoko!CA_gross_prod_oil+HM_ZB_Nsoko!CA_FP_lpg_nom*HM_ZB_Nsoko!CA_gross_prod_lpg+HM_ZB_Nsoko!CA_FP_gas_nom*HM_ZB_Nsoko!CA_gross_prod_gas)/HM_ZB_Nsoko!CA_gross_prod_Total),0)</f>
        <v>0</v>
      </c>
      <c r="AW569" s="49">
        <f ca="1">IFERROR((AW328)/((HM_ZB_Nsoko!CA_FP_oil_nom*HM_ZB_Nsoko!CA_gross_prod_oil+HM_ZB_Nsoko!CA_FP_lpg_nom*HM_ZB_Nsoko!CA_gross_prod_lpg+HM_ZB_Nsoko!CA_FP_gas_nom*HM_ZB_Nsoko!CA_gross_prod_gas)/HM_ZB_Nsoko!CA_gross_prod_Total),0)</f>
        <v>0</v>
      </c>
      <c r="AX569" s="49">
        <f ca="1">IFERROR((AX328)/((HM_ZB_Nsoko!CA_FP_oil_nom*HM_ZB_Nsoko!CA_gross_prod_oil+HM_ZB_Nsoko!CA_FP_lpg_nom*HM_ZB_Nsoko!CA_gross_prod_lpg+HM_ZB_Nsoko!CA_FP_gas_nom*HM_ZB_Nsoko!CA_gross_prod_gas)/HM_ZB_Nsoko!CA_gross_prod_Total),0)</f>
        <v>0</v>
      </c>
      <c r="AY569" s="49">
        <f ca="1">IFERROR((AY328)/((HM_ZB_Nsoko!CA_FP_oil_nom*HM_ZB_Nsoko!CA_gross_prod_oil+HM_ZB_Nsoko!CA_FP_lpg_nom*HM_ZB_Nsoko!CA_gross_prod_lpg+HM_ZB_Nsoko!CA_FP_gas_nom*HM_ZB_Nsoko!CA_gross_prod_gas)/HM_ZB_Nsoko!CA_gross_prod_Total),0)</f>
        <v>0</v>
      </c>
      <c r="AZ569" s="49">
        <f ca="1">IFERROR((AZ328)/((HM_ZB_Nsoko!CA_FP_oil_nom*HM_ZB_Nsoko!CA_gross_prod_oil+HM_ZB_Nsoko!CA_FP_lpg_nom*HM_ZB_Nsoko!CA_gross_prod_lpg+HM_ZB_Nsoko!CA_FP_gas_nom*HM_ZB_Nsoko!CA_gross_prod_gas)/HM_ZB_Nsoko!CA_gross_prod_Total),0)</f>
        <v>0</v>
      </c>
      <c r="BA569" s="49">
        <f ca="1">IFERROR((BA328)/((HM_ZB_Nsoko!CA_FP_oil_nom*HM_ZB_Nsoko!CA_gross_prod_oil+HM_ZB_Nsoko!CA_FP_lpg_nom*HM_ZB_Nsoko!CA_gross_prod_lpg+HM_ZB_Nsoko!CA_FP_gas_nom*HM_ZB_Nsoko!CA_gross_prod_gas)/HM_ZB_Nsoko!CA_gross_prod_Total),0)</f>
        <v>0</v>
      </c>
      <c r="BB569" s="49">
        <f ca="1">IFERROR((BB328)/((HM_ZB_Nsoko!CA_FP_oil_nom*HM_ZB_Nsoko!CA_gross_prod_oil+HM_ZB_Nsoko!CA_FP_lpg_nom*HM_ZB_Nsoko!CA_gross_prod_lpg+HM_ZB_Nsoko!CA_FP_gas_nom*HM_ZB_Nsoko!CA_gross_prod_gas)/HM_ZB_Nsoko!CA_gross_prod_Total),0)</f>
        <v>0</v>
      </c>
      <c r="BC569" s="49">
        <f ca="1">IFERROR((BC328)/((HM_ZB_Nsoko!CA_FP_oil_nom*HM_ZB_Nsoko!CA_gross_prod_oil+HM_ZB_Nsoko!CA_FP_lpg_nom*HM_ZB_Nsoko!CA_gross_prod_lpg+HM_ZB_Nsoko!CA_FP_gas_nom*HM_ZB_Nsoko!CA_gross_prod_gas)/HM_ZB_Nsoko!CA_gross_prod_Total),0)</f>
        <v>0</v>
      </c>
      <c r="BD569" s="49">
        <f ca="1">IFERROR((BD328)/((HM_ZB_Nsoko!CA_FP_oil_nom*HM_ZB_Nsoko!CA_gross_prod_oil+HM_ZB_Nsoko!CA_FP_lpg_nom*HM_ZB_Nsoko!CA_gross_prod_lpg+HM_ZB_Nsoko!CA_FP_gas_nom*HM_ZB_Nsoko!CA_gross_prod_gas)/HM_ZB_Nsoko!CA_gross_prod_Total),0)</f>
        <v>0</v>
      </c>
      <c r="BE569" s="49">
        <f ca="1">IFERROR((BE328)/((HM_ZB_Nsoko!CA_FP_oil_nom*HM_ZB_Nsoko!CA_gross_prod_oil+HM_ZB_Nsoko!CA_FP_lpg_nom*HM_ZB_Nsoko!CA_gross_prod_lpg+HM_ZB_Nsoko!CA_FP_gas_nom*HM_ZB_Nsoko!CA_gross_prod_gas)/HM_ZB_Nsoko!CA_gross_prod_Total),0)</f>
        <v>0</v>
      </c>
      <c r="BF569" s="49">
        <f ca="1">IFERROR((BF328)/((HM_ZB_Nsoko!CA_FP_oil_nom*HM_ZB_Nsoko!CA_gross_prod_oil+HM_ZB_Nsoko!CA_FP_lpg_nom*HM_ZB_Nsoko!CA_gross_prod_lpg+HM_ZB_Nsoko!CA_FP_gas_nom*HM_ZB_Nsoko!CA_gross_prod_gas)/HM_ZB_Nsoko!CA_gross_prod_Total),0)</f>
        <v>0</v>
      </c>
      <c r="BG569" s="49">
        <f ca="1">IFERROR((BG328)/((HM_ZB_Nsoko!CA_FP_oil_nom*HM_ZB_Nsoko!CA_gross_prod_oil+HM_ZB_Nsoko!CA_FP_lpg_nom*HM_ZB_Nsoko!CA_gross_prod_lpg+HM_ZB_Nsoko!CA_FP_gas_nom*HM_ZB_Nsoko!CA_gross_prod_gas)/HM_ZB_Nsoko!CA_gross_prod_Total),0)</f>
        <v>0</v>
      </c>
      <c r="BH569" s="49">
        <f ca="1">IFERROR((BH328)/((HM_ZB_Nsoko!CA_FP_oil_nom*HM_ZB_Nsoko!CA_gross_prod_oil+HM_ZB_Nsoko!CA_FP_lpg_nom*HM_ZB_Nsoko!CA_gross_prod_lpg+HM_ZB_Nsoko!CA_FP_gas_nom*HM_ZB_Nsoko!CA_gross_prod_gas)/HM_ZB_Nsoko!CA_gross_prod_Total),0)</f>
        <v>0</v>
      </c>
      <c r="BI569" s="49">
        <f ca="1">IFERROR((BI328)/((HM_ZB_Nsoko!CA_FP_oil_nom*HM_ZB_Nsoko!CA_gross_prod_oil+HM_ZB_Nsoko!CA_FP_lpg_nom*HM_ZB_Nsoko!CA_gross_prod_lpg+HM_ZB_Nsoko!CA_FP_gas_nom*HM_ZB_Nsoko!CA_gross_prod_gas)/HM_ZB_Nsoko!CA_gross_prod_Total),0)</f>
        <v>0</v>
      </c>
      <c r="BJ569" s="49">
        <f ca="1">IFERROR((BJ328)/((HM_ZB_Nsoko!CA_FP_oil_nom*HM_ZB_Nsoko!CA_gross_prod_oil+HM_ZB_Nsoko!CA_FP_lpg_nom*HM_ZB_Nsoko!CA_gross_prod_lpg+HM_ZB_Nsoko!CA_FP_gas_nom*HM_ZB_Nsoko!CA_gross_prod_gas)/HM_ZB_Nsoko!CA_gross_prod_Total),0)</f>
        <v>0</v>
      </c>
      <c r="BK569" s="49">
        <f ca="1">IFERROR((BK328)/((HM_ZB_Nsoko!CA_FP_oil_nom*HM_ZB_Nsoko!CA_gross_prod_oil+HM_ZB_Nsoko!CA_FP_lpg_nom*HM_ZB_Nsoko!CA_gross_prod_lpg+HM_ZB_Nsoko!CA_FP_gas_nom*HM_ZB_Nsoko!CA_gross_prod_gas)/HM_ZB_Nsoko!CA_gross_prod_Total),0)</f>
        <v>0</v>
      </c>
      <c r="BL569" s="49">
        <f ca="1">IFERROR((BL328)/((HM_ZB_Nsoko!CA_FP_oil_nom*HM_ZB_Nsoko!CA_gross_prod_oil+HM_ZB_Nsoko!CA_FP_lpg_nom*HM_ZB_Nsoko!CA_gross_prod_lpg+HM_ZB_Nsoko!CA_FP_gas_nom*HM_ZB_Nsoko!CA_gross_prod_gas)/HM_ZB_Nsoko!CA_gross_prod_Total),0)</f>
        <v>0</v>
      </c>
      <c r="BM569" s="49">
        <f ca="1">IFERROR((BM328)/((HM_ZB_Nsoko!CA_FP_oil_nom*HM_ZB_Nsoko!CA_gross_prod_oil+HM_ZB_Nsoko!CA_FP_lpg_nom*HM_ZB_Nsoko!CA_gross_prod_lpg+HM_ZB_Nsoko!CA_FP_gas_nom*HM_ZB_Nsoko!CA_gross_prod_gas)/HM_ZB_Nsoko!CA_gross_prod_Total),0)</f>
        <v>0</v>
      </c>
      <c r="BN569" s="49">
        <f ca="1">IFERROR((BN328)/((HM_ZB_Nsoko!CA_FP_oil_nom*HM_ZB_Nsoko!CA_gross_prod_oil+HM_ZB_Nsoko!CA_FP_lpg_nom*HM_ZB_Nsoko!CA_gross_prod_lpg+HM_ZB_Nsoko!CA_FP_gas_nom*HM_ZB_Nsoko!CA_gross_prod_gas)/HM_ZB_Nsoko!CA_gross_prod_Total),0)</f>
        <v>0</v>
      </c>
      <c r="BO569" s="49">
        <f ca="1">IFERROR((BO328)/((HM_ZB_Nsoko!CA_FP_oil_nom*HM_ZB_Nsoko!CA_gross_prod_oil+HM_ZB_Nsoko!CA_FP_lpg_nom*HM_ZB_Nsoko!CA_gross_prod_lpg+HM_ZB_Nsoko!CA_FP_gas_nom*HM_ZB_Nsoko!CA_gross_prod_gas)/HM_ZB_Nsoko!CA_gross_prod_Total),0)</f>
        <v>0</v>
      </c>
      <c r="BP569" s="49">
        <f ca="1">IFERROR((BP328)/((HM_ZB_Nsoko!CA_FP_oil_nom*HM_ZB_Nsoko!CA_gross_prod_oil+HM_ZB_Nsoko!CA_FP_lpg_nom*HM_ZB_Nsoko!CA_gross_prod_lpg+HM_ZB_Nsoko!CA_FP_gas_nom*HM_ZB_Nsoko!CA_gross_prod_gas)/HM_ZB_Nsoko!CA_gross_prod_Total),0)</f>
        <v>0</v>
      </c>
      <c r="BQ569" s="49">
        <f ca="1">IFERROR((BQ328)/((HM_ZB_Nsoko!CA_FP_oil_nom*HM_ZB_Nsoko!CA_gross_prod_oil+HM_ZB_Nsoko!CA_FP_lpg_nom*HM_ZB_Nsoko!CA_gross_prod_lpg+HM_ZB_Nsoko!CA_FP_gas_nom*HM_ZB_Nsoko!CA_gross_prod_gas)/HM_ZB_Nsoko!CA_gross_prod_Total),0)</f>
        <v>0</v>
      </c>
      <c r="BR569" s="49">
        <f ca="1">IFERROR((BR328)/((HM_ZB_Nsoko!CA_FP_oil_nom*HM_ZB_Nsoko!CA_gross_prod_oil+HM_ZB_Nsoko!CA_FP_lpg_nom*HM_ZB_Nsoko!CA_gross_prod_lpg+HM_ZB_Nsoko!CA_FP_gas_nom*HM_ZB_Nsoko!CA_gross_prod_gas)/HM_ZB_Nsoko!CA_gross_prod_Total),0)</f>
        <v>0</v>
      </c>
      <c r="BS569" s="49">
        <f ca="1">IFERROR((BS328)/((HM_ZB_Nsoko!CA_FP_oil_nom*HM_ZB_Nsoko!CA_gross_prod_oil+HM_ZB_Nsoko!CA_FP_lpg_nom*HM_ZB_Nsoko!CA_gross_prod_lpg+HM_ZB_Nsoko!CA_FP_gas_nom*HM_ZB_Nsoko!CA_gross_prod_gas)/HM_ZB_Nsoko!CA_gross_prod_Total),0)</f>
        <v>0</v>
      </c>
    </row>
    <row r="570" spans="3:71" outlineLevel="1" x14ac:dyDescent="0.2">
      <c r="D570" t="str">
        <f>HM_ZA_Nkossa!D560</f>
        <v>SPO Contracteur</v>
      </c>
      <c r="I570" s="30">
        <f t="shared" ca="1" si="145"/>
        <v>0.47301609182187776</v>
      </c>
      <c r="J570" s="26" t="s">
        <v>692</v>
      </c>
      <c r="L570" s="49">
        <f ca="1">IFERROR((L329)/((HM_ZB_Nsoko!CA_FP_oil_nom*HM_ZB_Nsoko!CA_gross_prod_oil+HM_ZB_Nsoko!CA_FP_lpg_nom*HM_ZB_Nsoko!CA_gross_prod_lpg)/(HM_ZB_Nsoko!CA_gross_prod_oil+HM_ZB_Nsoko!CA_gross_prod_lpg)),0)</f>
        <v>8.4684589555884995E-2</v>
      </c>
      <c r="M570" s="49">
        <f ca="1">IFERROR((M329)/((HM_ZB_Nsoko!CA_FP_oil_nom*HM_ZB_Nsoko!CA_gross_prod_oil+HM_ZB_Nsoko!CA_FP_lpg_nom*HM_ZB_Nsoko!CA_gross_prod_lpg)/(HM_ZB_Nsoko!CA_gross_prod_oil+HM_ZB_Nsoko!CA_gross_prod_lpg)),0)</f>
        <v>9.0684571651587387E-2</v>
      </c>
      <c r="N570" s="49">
        <f ca="1">IFERROR((N329)/((HM_ZB_Nsoko!CA_FP_oil_nom*HM_ZB_Nsoko!CA_gross_prod_oil+HM_ZB_Nsoko!CA_FP_lpg_nom*HM_ZB_Nsoko!CA_gross_prod_lpg)/(HM_ZB_Nsoko!CA_gross_prod_oil+HM_ZB_Nsoko!CA_gross_prod_lpg)),0)</f>
        <v>5.5503021349393375E-2</v>
      </c>
      <c r="O570" s="49">
        <f ca="1">IFERROR((O329)/((HM_ZB_Nsoko!CA_FP_oil_nom*HM_ZB_Nsoko!CA_gross_prod_oil+HM_ZB_Nsoko!CA_FP_lpg_nom*HM_ZB_Nsoko!CA_gross_prod_lpg)/(HM_ZB_Nsoko!CA_gross_prod_oil+HM_ZB_Nsoko!CA_gross_prod_lpg)),0)</f>
        <v>3.0120979110364151E-2</v>
      </c>
      <c r="P570" s="49">
        <f ca="1">IFERROR((P329)/((HM_ZB_Nsoko!CA_FP_oil_nom*HM_ZB_Nsoko!CA_gross_prod_oil+HM_ZB_Nsoko!CA_FP_lpg_nom*HM_ZB_Nsoko!CA_gross_prod_lpg)/(HM_ZB_Nsoko!CA_gross_prod_oil+HM_ZB_Nsoko!CA_gross_prod_lpg)),0)</f>
        <v>3.4971465557157279E-2</v>
      </c>
      <c r="Q570" s="49">
        <f ca="1">IFERROR((Q329)/((HM_ZB_Nsoko!CA_FP_oil_nom*HM_ZB_Nsoko!CA_gross_prod_oil+HM_ZB_Nsoko!CA_FP_lpg_nom*HM_ZB_Nsoko!CA_gross_prod_lpg)/(HM_ZB_Nsoko!CA_gross_prod_oil+HM_ZB_Nsoko!CA_gross_prod_lpg)),0)</f>
        <v>5.5506234495045388E-2</v>
      </c>
      <c r="R570" s="49">
        <f ca="1">IFERROR((R329)/((HM_ZB_Nsoko!CA_FP_oil_nom*HM_ZB_Nsoko!CA_gross_prod_oil+HM_ZB_Nsoko!CA_FP_lpg_nom*HM_ZB_Nsoko!CA_gross_prod_lpg)/(HM_ZB_Nsoko!CA_gross_prod_oil+HM_ZB_Nsoko!CA_gross_prod_lpg)),0)</f>
        <v>1.301352301078474E-2</v>
      </c>
      <c r="S570" s="49">
        <f ca="1">IFERROR((S329)/((HM_ZB_Nsoko!CA_FP_oil_nom*HM_ZB_Nsoko!CA_gross_prod_oil+HM_ZB_Nsoko!CA_FP_lpg_nom*HM_ZB_Nsoko!CA_gross_prod_lpg)/(HM_ZB_Nsoko!CA_gross_prod_oil+HM_ZB_Nsoko!CA_gross_prod_lpg)),0)</f>
        <v>0</v>
      </c>
      <c r="T570" s="49">
        <f ca="1">IFERROR((T329)/((HM_ZB_Nsoko!CA_FP_oil_nom*HM_ZB_Nsoko!CA_gross_prod_oil+HM_ZB_Nsoko!CA_FP_lpg_nom*HM_ZB_Nsoko!CA_gross_prod_lpg)/(HM_ZB_Nsoko!CA_gross_prod_oil+HM_ZB_Nsoko!CA_gross_prod_lpg)),0)</f>
        <v>1.8715446934862639E-2</v>
      </c>
      <c r="U570" s="49">
        <f ca="1">IFERROR((U329)/((HM_ZB_Nsoko!CA_FP_oil_nom*HM_ZB_Nsoko!CA_gross_prod_oil+HM_ZB_Nsoko!CA_FP_lpg_nom*HM_ZB_Nsoko!CA_gross_prod_lpg)/(HM_ZB_Nsoko!CA_gross_prod_oil+HM_ZB_Nsoko!CA_gross_prod_lpg)),0)</f>
        <v>2.2908065742965146E-2</v>
      </c>
      <c r="V570" s="49">
        <f ca="1">IFERROR((V329)/((HM_ZB_Nsoko!CA_FP_oil_nom*HM_ZB_Nsoko!CA_gross_prod_oil+HM_ZB_Nsoko!CA_FP_lpg_nom*HM_ZB_Nsoko!CA_gross_prod_lpg)/(HM_ZB_Nsoko!CA_gross_prod_oil+HM_ZB_Nsoko!CA_gross_prod_lpg)),0)</f>
        <v>2.2671815013816553E-2</v>
      </c>
      <c r="W570" s="49">
        <f ca="1">IFERROR((W329)/((HM_ZB_Nsoko!CA_FP_oil_nom*HM_ZB_Nsoko!CA_gross_prod_oil+HM_ZB_Nsoko!CA_FP_lpg_nom*HM_ZB_Nsoko!CA_gross_prod_lpg)/(HM_ZB_Nsoko!CA_gross_prod_oil+HM_ZB_Nsoko!CA_gross_prod_lpg)),0)</f>
        <v>2.2331456493985491E-2</v>
      </c>
      <c r="X570" s="49">
        <f ca="1">IFERROR((X329)/((HM_ZB_Nsoko!CA_FP_oil_nom*HM_ZB_Nsoko!CA_gross_prod_oil+HM_ZB_Nsoko!CA_FP_lpg_nom*HM_ZB_Nsoko!CA_gross_prod_lpg)/(HM_ZB_Nsoko!CA_gross_prod_oil+HM_ZB_Nsoko!CA_gross_prod_lpg)),0)</f>
        <v>2.1904922906030577E-2</v>
      </c>
      <c r="Y570" s="49">
        <f ca="1">IFERROR((Y329)/((HM_ZB_Nsoko!CA_FP_oil_nom*HM_ZB_Nsoko!CA_gross_prod_oil+HM_ZB_Nsoko!CA_FP_lpg_nom*HM_ZB_Nsoko!CA_gross_prod_lpg)/(HM_ZB_Nsoko!CA_gross_prod_oil+HM_ZB_Nsoko!CA_gross_prod_lpg)),0)</f>
        <v>0</v>
      </c>
      <c r="Z570" s="49">
        <f ca="1">IFERROR((Z329)/((HM_ZB_Nsoko!CA_FP_oil_nom*HM_ZB_Nsoko!CA_gross_prod_oil+HM_ZB_Nsoko!CA_FP_lpg_nom*HM_ZB_Nsoko!CA_gross_prod_lpg)/(HM_ZB_Nsoko!CA_gross_prod_oil+HM_ZB_Nsoko!CA_gross_prod_lpg)),0)</f>
        <v>0</v>
      </c>
      <c r="AA570" s="49">
        <f ca="1">IFERROR((AA329)/((HM_ZB_Nsoko!CA_FP_oil_nom*HM_ZB_Nsoko!CA_gross_prod_oil+HM_ZB_Nsoko!CA_FP_lpg_nom*HM_ZB_Nsoko!CA_gross_prod_lpg)/(HM_ZB_Nsoko!CA_gross_prod_oil+HM_ZB_Nsoko!CA_gross_prod_lpg)),0)</f>
        <v>0</v>
      </c>
      <c r="AB570" s="49">
        <f ca="1">IFERROR((AB329)/((HM_ZB_Nsoko!CA_FP_oil_nom*HM_ZB_Nsoko!CA_gross_prod_oil+HM_ZB_Nsoko!CA_FP_lpg_nom*HM_ZB_Nsoko!CA_gross_prod_lpg)/(HM_ZB_Nsoko!CA_gross_prod_oil+HM_ZB_Nsoko!CA_gross_prod_lpg)),0)</f>
        <v>0</v>
      </c>
      <c r="AC570" s="49">
        <f ca="1">IFERROR((AC329)/((HM_ZB_Nsoko!CA_FP_oil_nom*HM_ZB_Nsoko!CA_gross_prod_oil+HM_ZB_Nsoko!CA_FP_lpg_nom*HM_ZB_Nsoko!CA_gross_prod_lpg)/(HM_ZB_Nsoko!CA_gross_prod_oil+HM_ZB_Nsoko!CA_gross_prod_lpg)),0)</f>
        <v>0</v>
      </c>
      <c r="AD570" s="49">
        <f ca="1">IFERROR((AD329)/((HM_ZB_Nsoko!CA_FP_oil_nom*HM_ZB_Nsoko!CA_gross_prod_oil+HM_ZB_Nsoko!CA_FP_lpg_nom*HM_ZB_Nsoko!CA_gross_prod_lpg)/(HM_ZB_Nsoko!CA_gross_prod_oil+HM_ZB_Nsoko!CA_gross_prod_lpg)),0)</f>
        <v>0</v>
      </c>
      <c r="AE570" s="49">
        <f ca="1">IFERROR((AE329)/((HM_ZB_Nsoko!CA_FP_oil_nom*HM_ZB_Nsoko!CA_gross_prod_oil+HM_ZB_Nsoko!CA_FP_lpg_nom*HM_ZB_Nsoko!CA_gross_prod_lpg)/(HM_ZB_Nsoko!CA_gross_prod_oil+HM_ZB_Nsoko!CA_gross_prod_lpg)),0)</f>
        <v>0</v>
      </c>
      <c r="AF570" s="49">
        <f ca="1">IFERROR((AF329)/((HM_ZB_Nsoko!CA_FP_oil_nom*HM_ZB_Nsoko!CA_gross_prod_oil+HM_ZB_Nsoko!CA_FP_lpg_nom*HM_ZB_Nsoko!CA_gross_prod_lpg)/(HM_ZB_Nsoko!CA_gross_prod_oil+HM_ZB_Nsoko!CA_gross_prod_lpg)),0)</f>
        <v>0</v>
      </c>
      <c r="AG570" s="49">
        <f ca="1">IFERROR((AG329)/((HM_ZB_Nsoko!CA_FP_oil_nom*HM_ZB_Nsoko!CA_gross_prod_oil+HM_ZB_Nsoko!CA_FP_lpg_nom*HM_ZB_Nsoko!CA_gross_prod_lpg)/(HM_ZB_Nsoko!CA_gross_prod_oil+HM_ZB_Nsoko!CA_gross_prod_lpg)),0)</f>
        <v>0</v>
      </c>
      <c r="AH570" s="49">
        <f ca="1">IFERROR((AH329)/((HM_ZB_Nsoko!CA_FP_oil_nom*HM_ZB_Nsoko!CA_gross_prod_oil+HM_ZB_Nsoko!CA_FP_lpg_nom*HM_ZB_Nsoko!CA_gross_prod_lpg)/(HM_ZB_Nsoko!CA_gross_prod_oil+HM_ZB_Nsoko!CA_gross_prod_lpg)),0)</f>
        <v>0</v>
      </c>
      <c r="AI570" s="49">
        <f ca="1">IFERROR((AI329)/((HM_ZB_Nsoko!CA_FP_oil_nom*HM_ZB_Nsoko!CA_gross_prod_oil+HM_ZB_Nsoko!CA_FP_lpg_nom*HM_ZB_Nsoko!CA_gross_prod_lpg)/(HM_ZB_Nsoko!CA_gross_prod_oil+HM_ZB_Nsoko!CA_gross_prod_lpg)),0)</f>
        <v>0</v>
      </c>
      <c r="AJ570" s="49">
        <f ca="1">IFERROR((AJ329)/((HM_ZB_Nsoko!CA_FP_oil_nom*HM_ZB_Nsoko!CA_gross_prod_oil+HM_ZB_Nsoko!CA_FP_lpg_nom*HM_ZB_Nsoko!CA_gross_prod_lpg)/(HM_ZB_Nsoko!CA_gross_prod_oil+HM_ZB_Nsoko!CA_gross_prod_lpg)),0)</f>
        <v>0</v>
      </c>
      <c r="AK570" s="49">
        <f ca="1">IFERROR((AK329)/((HM_ZB_Nsoko!CA_FP_oil_nom*HM_ZB_Nsoko!CA_gross_prod_oil+HM_ZB_Nsoko!CA_FP_lpg_nom*HM_ZB_Nsoko!CA_gross_prod_lpg)/(HM_ZB_Nsoko!CA_gross_prod_oil+HM_ZB_Nsoko!CA_gross_prod_lpg)),0)</f>
        <v>0</v>
      </c>
      <c r="AL570" s="49">
        <f ca="1">IFERROR((AL329)/((HM_ZB_Nsoko!CA_FP_oil_nom*HM_ZB_Nsoko!CA_gross_prod_oil+HM_ZB_Nsoko!CA_FP_lpg_nom*HM_ZB_Nsoko!CA_gross_prod_lpg)/(HM_ZB_Nsoko!CA_gross_prod_oil+HM_ZB_Nsoko!CA_gross_prod_lpg)),0)</f>
        <v>0</v>
      </c>
      <c r="AM570" s="49">
        <f ca="1">IFERROR((AM329)/((HM_ZB_Nsoko!CA_FP_oil_nom*HM_ZB_Nsoko!CA_gross_prod_oil+HM_ZB_Nsoko!CA_FP_lpg_nom*HM_ZB_Nsoko!CA_gross_prod_lpg)/(HM_ZB_Nsoko!CA_gross_prod_oil+HM_ZB_Nsoko!CA_gross_prod_lpg)),0)</f>
        <v>0</v>
      </c>
      <c r="AN570" s="49">
        <f ca="1">IFERROR((AN329)/((HM_ZB_Nsoko!CA_FP_oil_nom*HM_ZB_Nsoko!CA_gross_prod_oil+HM_ZB_Nsoko!CA_FP_lpg_nom*HM_ZB_Nsoko!CA_gross_prod_lpg)/(HM_ZB_Nsoko!CA_gross_prod_oil+HM_ZB_Nsoko!CA_gross_prod_lpg)),0)</f>
        <v>0</v>
      </c>
      <c r="AO570" s="49">
        <f ca="1">IFERROR((AO329)/((HM_ZB_Nsoko!CA_FP_oil_nom*HM_ZB_Nsoko!CA_gross_prod_oil+HM_ZB_Nsoko!CA_FP_lpg_nom*HM_ZB_Nsoko!CA_gross_prod_lpg)/(HM_ZB_Nsoko!CA_gross_prod_oil+HM_ZB_Nsoko!CA_gross_prod_lpg)),0)</f>
        <v>0</v>
      </c>
      <c r="AP570" s="49">
        <f ca="1">IFERROR((AP329)/((HM_ZB_Nsoko!CA_FP_oil_nom*HM_ZB_Nsoko!CA_gross_prod_oil+HM_ZB_Nsoko!CA_FP_lpg_nom*HM_ZB_Nsoko!CA_gross_prod_lpg)/(HM_ZB_Nsoko!CA_gross_prod_oil+HM_ZB_Nsoko!CA_gross_prod_lpg)),0)</f>
        <v>0</v>
      </c>
      <c r="AQ570" s="49">
        <f ca="1">IFERROR((AQ329)/((HM_ZB_Nsoko!CA_FP_oil_nom*HM_ZB_Nsoko!CA_gross_prod_oil+HM_ZB_Nsoko!CA_FP_lpg_nom*HM_ZB_Nsoko!CA_gross_prod_lpg)/(HM_ZB_Nsoko!CA_gross_prod_oil+HM_ZB_Nsoko!CA_gross_prod_lpg)),0)</f>
        <v>0</v>
      </c>
      <c r="AR570" s="49">
        <f ca="1">IFERROR((AR329)/((HM_ZB_Nsoko!CA_FP_oil_nom*HM_ZB_Nsoko!CA_gross_prod_oil+HM_ZB_Nsoko!CA_FP_lpg_nom*HM_ZB_Nsoko!CA_gross_prod_lpg)/(HM_ZB_Nsoko!CA_gross_prod_oil+HM_ZB_Nsoko!CA_gross_prod_lpg)),0)</f>
        <v>0</v>
      </c>
      <c r="AS570" s="49">
        <f ca="1">IFERROR((AS329)/((HM_ZB_Nsoko!CA_FP_oil_nom*HM_ZB_Nsoko!CA_gross_prod_oil+HM_ZB_Nsoko!CA_FP_lpg_nom*HM_ZB_Nsoko!CA_gross_prod_lpg)/(HM_ZB_Nsoko!CA_gross_prod_oil+HM_ZB_Nsoko!CA_gross_prod_lpg)),0)</f>
        <v>0</v>
      </c>
      <c r="AT570" s="49">
        <f ca="1">IFERROR((AT329)/((HM_ZB_Nsoko!CA_FP_oil_nom*HM_ZB_Nsoko!CA_gross_prod_oil+HM_ZB_Nsoko!CA_FP_lpg_nom*HM_ZB_Nsoko!CA_gross_prod_lpg)/(HM_ZB_Nsoko!CA_gross_prod_oil+HM_ZB_Nsoko!CA_gross_prod_lpg)),0)</f>
        <v>0</v>
      </c>
      <c r="AU570" s="49">
        <f ca="1">IFERROR((AU329)/((HM_ZB_Nsoko!CA_FP_oil_nom*HM_ZB_Nsoko!CA_gross_prod_oil+HM_ZB_Nsoko!CA_FP_lpg_nom*HM_ZB_Nsoko!CA_gross_prod_lpg)/(HM_ZB_Nsoko!CA_gross_prod_oil+HM_ZB_Nsoko!CA_gross_prod_lpg)),0)</f>
        <v>0</v>
      </c>
      <c r="AV570" s="49">
        <f ca="1">IFERROR((AV329)/((HM_ZB_Nsoko!CA_FP_oil_nom*HM_ZB_Nsoko!CA_gross_prod_oil+HM_ZB_Nsoko!CA_FP_lpg_nom*HM_ZB_Nsoko!CA_gross_prod_lpg)/(HM_ZB_Nsoko!CA_gross_prod_oil+HM_ZB_Nsoko!CA_gross_prod_lpg)),0)</f>
        <v>0</v>
      </c>
      <c r="AW570" s="49">
        <f ca="1">IFERROR((AW329)/((HM_ZB_Nsoko!CA_FP_oil_nom*HM_ZB_Nsoko!CA_gross_prod_oil+HM_ZB_Nsoko!CA_FP_lpg_nom*HM_ZB_Nsoko!CA_gross_prod_lpg)/(HM_ZB_Nsoko!CA_gross_prod_oil+HM_ZB_Nsoko!CA_gross_prod_lpg)),0)</f>
        <v>0</v>
      </c>
      <c r="AX570" s="49">
        <f ca="1">IFERROR((AX329)/((HM_ZB_Nsoko!CA_FP_oil_nom*HM_ZB_Nsoko!CA_gross_prod_oil+HM_ZB_Nsoko!CA_FP_lpg_nom*HM_ZB_Nsoko!CA_gross_prod_lpg)/(HM_ZB_Nsoko!CA_gross_prod_oil+HM_ZB_Nsoko!CA_gross_prod_lpg)),0)</f>
        <v>0</v>
      </c>
      <c r="AY570" s="49">
        <f ca="1">IFERROR((AY329)/((HM_ZB_Nsoko!CA_FP_oil_nom*HM_ZB_Nsoko!CA_gross_prod_oil+HM_ZB_Nsoko!CA_FP_lpg_nom*HM_ZB_Nsoko!CA_gross_prod_lpg)/(HM_ZB_Nsoko!CA_gross_prod_oil+HM_ZB_Nsoko!CA_gross_prod_lpg)),0)</f>
        <v>0</v>
      </c>
      <c r="AZ570" s="49">
        <f ca="1">IFERROR((AZ329)/((HM_ZB_Nsoko!CA_FP_oil_nom*HM_ZB_Nsoko!CA_gross_prod_oil+HM_ZB_Nsoko!CA_FP_lpg_nom*HM_ZB_Nsoko!CA_gross_prod_lpg)/(HM_ZB_Nsoko!CA_gross_prod_oil+HM_ZB_Nsoko!CA_gross_prod_lpg)),0)</f>
        <v>0</v>
      </c>
      <c r="BA570" s="49">
        <f ca="1">IFERROR((BA329)/((HM_ZB_Nsoko!CA_FP_oil_nom*HM_ZB_Nsoko!CA_gross_prod_oil+HM_ZB_Nsoko!CA_FP_lpg_nom*HM_ZB_Nsoko!CA_gross_prod_lpg)/(HM_ZB_Nsoko!CA_gross_prod_oil+HM_ZB_Nsoko!CA_gross_prod_lpg)),0)</f>
        <v>0</v>
      </c>
      <c r="BB570" s="49">
        <f ca="1">IFERROR((BB329)/((HM_ZB_Nsoko!CA_FP_oil_nom*HM_ZB_Nsoko!CA_gross_prod_oil+HM_ZB_Nsoko!CA_FP_lpg_nom*HM_ZB_Nsoko!CA_gross_prod_lpg)/(HM_ZB_Nsoko!CA_gross_prod_oil+HM_ZB_Nsoko!CA_gross_prod_lpg)),0)</f>
        <v>0</v>
      </c>
      <c r="BC570" s="49">
        <f ca="1">IFERROR((BC329)/((HM_ZB_Nsoko!CA_FP_oil_nom*HM_ZB_Nsoko!CA_gross_prod_oil+HM_ZB_Nsoko!CA_FP_lpg_nom*HM_ZB_Nsoko!CA_gross_prod_lpg)/(HM_ZB_Nsoko!CA_gross_prod_oil+HM_ZB_Nsoko!CA_gross_prod_lpg)),0)</f>
        <v>0</v>
      </c>
      <c r="BD570" s="49">
        <f ca="1">IFERROR((BD329)/((HM_ZB_Nsoko!CA_FP_oil_nom*HM_ZB_Nsoko!CA_gross_prod_oil+HM_ZB_Nsoko!CA_FP_lpg_nom*HM_ZB_Nsoko!CA_gross_prod_lpg)/(HM_ZB_Nsoko!CA_gross_prod_oil+HM_ZB_Nsoko!CA_gross_prod_lpg)),0)</f>
        <v>0</v>
      </c>
      <c r="BE570" s="49">
        <f ca="1">IFERROR((BE329)/((HM_ZB_Nsoko!CA_FP_oil_nom*HM_ZB_Nsoko!CA_gross_prod_oil+HM_ZB_Nsoko!CA_FP_lpg_nom*HM_ZB_Nsoko!CA_gross_prod_lpg)/(HM_ZB_Nsoko!CA_gross_prod_oil+HM_ZB_Nsoko!CA_gross_prod_lpg)),0)</f>
        <v>0</v>
      </c>
      <c r="BF570" s="49">
        <f ca="1">IFERROR((BF329)/((HM_ZB_Nsoko!CA_FP_oil_nom*HM_ZB_Nsoko!CA_gross_prod_oil+HM_ZB_Nsoko!CA_FP_lpg_nom*HM_ZB_Nsoko!CA_gross_prod_lpg)/(HM_ZB_Nsoko!CA_gross_prod_oil+HM_ZB_Nsoko!CA_gross_prod_lpg)),0)</f>
        <v>0</v>
      </c>
      <c r="BG570" s="49">
        <f ca="1">IFERROR((BG329)/((HM_ZB_Nsoko!CA_FP_oil_nom*HM_ZB_Nsoko!CA_gross_prod_oil+HM_ZB_Nsoko!CA_FP_lpg_nom*HM_ZB_Nsoko!CA_gross_prod_lpg)/(HM_ZB_Nsoko!CA_gross_prod_oil+HM_ZB_Nsoko!CA_gross_prod_lpg)),0)</f>
        <v>0</v>
      </c>
      <c r="BH570" s="49">
        <f ca="1">IFERROR((BH329)/((HM_ZB_Nsoko!CA_FP_oil_nom*HM_ZB_Nsoko!CA_gross_prod_oil+HM_ZB_Nsoko!CA_FP_lpg_nom*HM_ZB_Nsoko!CA_gross_prod_lpg)/(HM_ZB_Nsoko!CA_gross_prod_oil+HM_ZB_Nsoko!CA_gross_prod_lpg)),0)</f>
        <v>0</v>
      </c>
      <c r="BI570" s="49">
        <f ca="1">IFERROR((BI329)/((HM_ZB_Nsoko!CA_FP_oil_nom*HM_ZB_Nsoko!CA_gross_prod_oil+HM_ZB_Nsoko!CA_FP_lpg_nom*HM_ZB_Nsoko!CA_gross_prod_lpg)/(HM_ZB_Nsoko!CA_gross_prod_oil+HM_ZB_Nsoko!CA_gross_prod_lpg)),0)</f>
        <v>0</v>
      </c>
      <c r="BJ570" s="49">
        <f ca="1">IFERROR((BJ329)/((HM_ZB_Nsoko!CA_FP_oil_nom*HM_ZB_Nsoko!CA_gross_prod_oil+HM_ZB_Nsoko!CA_FP_lpg_nom*HM_ZB_Nsoko!CA_gross_prod_lpg)/(HM_ZB_Nsoko!CA_gross_prod_oil+HM_ZB_Nsoko!CA_gross_prod_lpg)),0)</f>
        <v>0</v>
      </c>
      <c r="BK570" s="49">
        <f ca="1">IFERROR((BK329)/((HM_ZB_Nsoko!CA_FP_oil_nom*HM_ZB_Nsoko!CA_gross_prod_oil+HM_ZB_Nsoko!CA_FP_lpg_nom*HM_ZB_Nsoko!CA_gross_prod_lpg)/(HM_ZB_Nsoko!CA_gross_prod_oil+HM_ZB_Nsoko!CA_gross_prod_lpg)),0)</f>
        <v>0</v>
      </c>
      <c r="BL570" s="49">
        <f ca="1">IFERROR((BL329)/((HM_ZB_Nsoko!CA_FP_oil_nom*HM_ZB_Nsoko!CA_gross_prod_oil+HM_ZB_Nsoko!CA_FP_lpg_nom*HM_ZB_Nsoko!CA_gross_prod_lpg)/(HM_ZB_Nsoko!CA_gross_prod_oil+HM_ZB_Nsoko!CA_gross_prod_lpg)),0)</f>
        <v>0</v>
      </c>
      <c r="BM570" s="49">
        <f ca="1">IFERROR((BM329)/((HM_ZB_Nsoko!CA_FP_oil_nom*HM_ZB_Nsoko!CA_gross_prod_oil+HM_ZB_Nsoko!CA_FP_lpg_nom*HM_ZB_Nsoko!CA_gross_prod_lpg)/(HM_ZB_Nsoko!CA_gross_prod_oil+HM_ZB_Nsoko!CA_gross_prod_lpg)),0)</f>
        <v>0</v>
      </c>
      <c r="BN570" s="49">
        <f ca="1">IFERROR((BN329)/((HM_ZB_Nsoko!CA_FP_oil_nom*HM_ZB_Nsoko!CA_gross_prod_oil+HM_ZB_Nsoko!CA_FP_lpg_nom*HM_ZB_Nsoko!CA_gross_prod_lpg)/(HM_ZB_Nsoko!CA_gross_prod_oil+HM_ZB_Nsoko!CA_gross_prod_lpg)),0)</f>
        <v>0</v>
      </c>
      <c r="BO570" s="49">
        <f ca="1">IFERROR((BO329)/((HM_ZB_Nsoko!CA_FP_oil_nom*HM_ZB_Nsoko!CA_gross_prod_oil+HM_ZB_Nsoko!CA_FP_lpg_nom*HM_ZB_Nsoko!CA_gross_prod_lpg)/(HM_ZB_Nsoko!CA_gross_prod_oil+HM_ZB_Nsoko!CA_gross_prod_lpg)),0)</f>
        <v>0</v>
      </c>
      <c r="BP570" s="49">
        <f ca="1">IFERROR((BP329)/((HM_ZB_Nsoko!CA_FP_oil_nom*HM_ZB_Nsoko!CA_gross_prod_oil+HM_ZB_Nsoko!CA_FP_lpg_nom*HM_ZB_Nsoko!CA_gross_prod_lpg)/(HM_ZB_Nsoko!CA_gross_prod_oil+HM_ZB_Nsoko!CA_gross_prod_lpg)),0)</f>
        <v>0</v>
      </c>
      <c r="BQ570" s="49">
        <f ca="1">IFERROR((BQ329)/((HM_ZB_Nsoko!CA_FP_oil_nom*HM_ZB_Nsoko!CA_gross_prod_oil+HM_ZB_Nsoko!CA_FP_lpg_nom*HM_ZB_Nsoko!CA_gross_prod_lpg)/(HM_ZB_Nsoko!CA_gross_prod_oil+HM_ZB_Nsoko!CA_gross_prod_lpg)),0)</f>
        <v>0</v>
      </c>
      <c r="BR570" s="49">
        <f ca="1">IFERROR((BR329)/((HM_ZB_Nsoko!CA_FP_oil_nom*HM_ZB_Nsoko!CA_gross_prod_oil+HM_ZB_Nsoko!CA_FP_lpg_nom*HM_ZB_Nsoko!CA_gross_prod_lpg)/(HM_ZB_Nsoko!CA_gross_prod_oil+HM_ZB_Nsoko!CA_gross_prod_lpg)),0)</f>
        <v>0</v>
      </c>
      <c r="BS570" s="49">
        <f ca="1">IFERROR((BS329)/((HM_ZB_Nsoko!CA_FP_oil_nom*HM_ZB_Nsoko!CA_gross_prod_oil+HM_ZB_Nsoko!CA_FP_lpg_nom*HM_ZB_Nsoko!CA_gross_prod_lpg)/(HM_ZB_Nsoko!CA_gross_prod_oil+HM_ZB_Nsoko!CA_gross_prod_lpg)),0)</f>
        <v>0</v>
      </c>
    </row>
    <row r="571" spans="3:71" outlineLevel="1" x14ac:dyDescent="0.2">
      <c r="D571" t="str">
        <f>HM_ZA_Nkossa!D561</f>
        <v>Profit Oil Contracteur</v>
      </c>
      <c r="I571" s="30">
        <f t="shared" ca="1" si="145"/>
        <v>0.84149601104606764</v>
      </c>
      <c r="J571" s="26" t="s">
        <v>692</v>
      </c>
      <c r="L571" s="49">
        <f ca="1">IFERROR((L330)/((HM_ZB_Nsoko!CA_FP_oil_nom*HM_ZB_Nsoko!CA_gross_prod_oil+HM_ZB_Nsoko!CA_FP_lpg_nom*HM_ZB_Nsoko!CA_gross_prod_lpg+HM_ZB_Nsoko!CA_FP_gas_nom*HM_ZB_Nsoko!CA_gross_prod_gas)/HM_ZB_Nsoko!CA_gross_prod_Total),0)</f>
        <v>3.6370839200102485E-2</v>
      </c>
      <c r="M571" s="49">
        <f ca="1">IFERROR((M330)/((HM_ZB_Nsoko!CA_FP_oil_nom*HM_ZB_Nsoko!CA_gross_prod_oil+HM_ZB_Nsoko!CA_FP_lpg_nom*HM_ZB_Nsoko!CA_gross_prod_lpg+HM_ZB_Nsoko!CA_FP_gas_nom*HM_ZB_Nsoko!CA_gross_prod_gas)/HM_ZB_Nsoko!CA_gross_prod_Total),0)</f>
        <v>4.5875518887202267E-2</v>
      </c>
      <c r="N571" s="49">
        <f ca="1">IFERROR((N330)/((HM_ZB_Nsoko!CA_FP_oil_nom*HM_ZB_Nsoko!CA_gross_prod_oil+HM_ZB_Nsoko!CA_FP_lpg_nom*HM_ZB_Nsoko!CA_gross_prod_lpg+HM_ZB_Nsoko!CA_FP_gas_nom*HM_ZB_Nsoko!CA_gross_prod_gas)/HM_ZB_Nsoko!CA_gross_prod_Total),0)</f>
        <v>0.10501337874100997</v>
      </c>
      <c r="O571" s="49">
        <f ca="1">IFERROR((O330)/((HM_ZB_Nsoko!CA_FP_oil_nom*HM_ZB_Nsoko!CA_gross_prod_oil+HM_ZB_Nsoko!CA_FP_lpg_nom*HM_ZB_Nsoko!CA_gross_prod_lpg+HM_ZB_Nsoko!CA_FP_gas_nom*HM_ZB_Nsoko!CA_gross_prod_gas)/HM_ZB_Nsoko!CA_gross_prod_Total),0)</f>
        <v>9.7675203422045234E-2</v>
      </c>
      <c r="P571" s="49">
        <f ca="1">IFERROR((P330)/((HM_ZB_Nsoko!CA_FP_oil_nom*HM_ZB_Nsoko!CA_gross_prod_oil+HM_ZB_Nsoko!CA_FP_lpg_nom*HM_ZB_Nsoko!CA_gross_prod_lpg+HM_ZB_Nsoko!CA_FP_gas_nom*HM_ZB_Nsoko!CA_gross_prod_gas)/HM_ZB_Nsoko!CA_gross_prod_Total),0)</f>
        <v>9.2494661027629266E-2</v>
      </c>
      <c r="Q571" s="49">
        <f ca="1">IFERROR((Q330)/((HM_ZB_Nsoko!CA_FP_oil_nom*HM_ZB_Nsoko!CA_gross_prod_oil+HM_ZB_Nsoko!CA_FP_lpg_nom*HM_ZB_Nsoko!CA_gross_prod_lpg+HM_ZB_Nsoko!CA_FP_gas_nom*HM_ZB_Nsoko!CA_gross_prod_gas)/HM_ZB_Nsoko!CA_gross_prod_Total),0)</f>
        <v>5.5091723568702344E-2</v>
      </c>
      <c r="R571" s="49">
        <f ca="1">IFERROR((R330)/((HM_ZB_Nsoko!CA_FP_oil_nom*HM_ZB_Nsoko!CA_gross_prod_oil+HM_ZB_Nsoko!CA_FP_lpg_nom*HM_ZB_Nsoko!CA_gross_prod_lpg+HM_ZB_Nsoko!CA_FP_gas_nom*HM_ZB_Nsoko!CA_gross_prod_gas)/HM_ZB_Nsoko!CA_gross_prod_Total),0)</f>
        <v>2.3777069497530712E-2</v>
      </c>
      <c r="S571" s="49">
        <f ca="1">IFERROR((S330)/((HM_ZB_Nsoko!CA_FP_oil_nom*HM_ZB_Nsoko!CA_gross_prod_oil+HM_ZB_Nsoko!CA_FP_lpg_nom*HM_ZB_Nsoko!CA_gross_prod_lpg+HM_ZB_Nsoko!CA_FP_gas_nom*HM_ZB_Nsoko!CA_gross_prod_gas)/HM_ZB_Nsoko!CA_gross_prod_Total),0)</f>
        <v>9.4317063874999982E-2</v>
      </c>
      <c r="T571" s="49">
        <f ca="1">IFERROR((T330)/((HM_ZB_Nsoko!CA_FP_oil_nom*HM_ZB_Nsoko!CA_gross_prod_oil+HM_ZB_Nsoko!CA_FP_lpg_nom*HM_ZB_Nsoko!CA_gross_prod_lpg+HM_ZB_Nsoko!CA_FP_gas_nom*HM_ZB_Nsoko!CA_gross_prod_gas)/HM_ZB_Nsoko!CA_gross_prod_Total),0)</f>
        <v>7.2118663624697807E-2</v>
      </c>
      <c r="U571" s="49">
        <f ca="1">IFERROR((U330)/((HM_ZB_Nsoko!CA_FP_oil_nom*HM_ZB_Nsoko!CA_gross_prod_oil+HM_ZB_Nsoko!CA_FP_lpg_nom*HM_ZB_Nsoko!CA_gross_prod_lpg+HM_ZB_Nsoko!CA_FP_gas_nom*HM_ZB_Nsoko!CA_gross_prod_gas)/HM_ZB_Nsoko!CA_gross_prod_Total),0)</f>
        <v>6.2484773759683213E-2</v>
      </c>
      <c r="V571" s="49">
        <f ca="1">IFERROR((V330)/((HM_ZB_Nsoko!CA_FP_oil_nom*HM_ZB_Nsoko!CA_gross_prod_oil+HM_ZB_Nsoko!CA_FP_lpg_nom*HM_ZB_Nsoko!CA_gross_prod_lpg+HM_ZB_Nsoko!CA_FP_gas_nom*HM_ZB_Nsoko!CA_gross_prod_gas)/HM_ZB_Nsoko!CA_gross_prod_Total),0)</f>
        <v>5.697141136912294E-2</v>
      </c>
      <c r="W571" s="49">
        <f ca="1">IFERROR((W330)/((HM_ZB_Nsoko!CA_FP_oil_nom*HM_ZB_Nsoko!CA_gross_prod_oil+HM_ZB_Nsoko!CA_FP_lpg_nom*HM_ZB_Nsoko!CA_gross_prod_lpg+HM_ZB_Nsoko!CA_FP_gas_nom*HM_ZB_Nsoko!CA_gross_prod_gas)/HM_ZB_Nsoko!CA_gross_prod_Total),0)</f>
        <v>5.194452213067087E-2</v>
      </c>
      <c r="X571" s="49">
        <f ca="1">IFERROR((X330)/((HM_ZB_Nsoko!CA_FP_oil_nom*HM_ZB_Nsoko!CA_gross_prod_oil+HM_ZB_Nsoko!CA_FP_lpg_nom*HM_ZB_Nsoko!CA_gross_prod_lpg+HM_ZB_Nsoko!CA_FP_gas_nom*HM_ZB_Nsoko!CA_gross_prod_gas)/HM_ZB_Nsoko!CA_gross_prod_Total),0)</f>
        <v>4.7361181942670534E-2</v>
      </c>
      <c r="Y571" s="49">
        <f ca="1">IFERROR((Y330)/((HM_ZB_Nsoko!CA_FP_oil_nom*HM_ZB_Nsoko!CA_gross_prod_oil+HM_ZB_Nsoko!CA_FP_lpg_nom*HM_ZB_Nsoko!CA_gross_prod_lpg+HM_ZB_Nsoko!CA_FP_gas_nom*HM_ZB_Nsoko!CA_gross_prod_gas)/HM_ZB_Nsoko!CA_gross_prod_Total),0)</f>
        <v>0</v>
      </c>
      <c r="Z571" s="49">
        <f ca="1">IFERROR((Z330)/((HM_ZB_Nsoko!CA_FP_oil_nom*HM_ZB_Nsoko!CA_gross_prod_oil+HM_ZB_Nsoko!CA_FP_lpg_nom*HM_ZB_Nsoko!CA_gross_prod_lpg+HM_ZB_Nsoko!CA_FP_gas_nom*HM_ZB_Nsoko!CA_gross_prod_gas)/HM_ZB_Nsoko!CA_gross_prod_Total),0)</f>
        <v>0</v>
      </c>
      <c r="AA571" s="49">
        <f ca="1">IFERROR((AA330)/((HM_ZB_Nsoko!CA_FP_oil_nom*HM_ZB_Nsoko!CA_gross_prod_oil+HM_ZB_Nsoko!CA_FP_lpg_nom*HM_ZB_Nsoko!CA_gross_prod_lpg+HM_ZB_Nsoko!CA_FP_gas_nom*HM_ZB_Nsoko!CA_gross_prod_gas)/HM_ZB_Nsoko!CA_gross_prod_Total),0)</f>
        <v>0</v>
      </c>
      <c r="AB571" s="49">
        <f ca="1">IFERROR((AB330)/((HM_ZB_Nsoko!CA_FP_oil_nom*HM_ZB_Nsoko!CA_gross_prod_oil+HM_ZB_Nsoko!CA_FP_lpg_nom*HM_ZB_Nsoko!CA_gross_prod_lpg+HM_ZB_Nsoko!CA_FP_gas_nom*HM_ZB_Nsoko!CA_gross_prod_gas)/HM_ZB_Nsoko!CA_gross_prod_Total),0)</f>
        <v>0</v>
      </c>
      <c r="AC571" s="49">
        <f ca="1">IFERROR((AC330)/((HM_ZB_Nsoko!CA_FP_oil_nom*HM_ZB_Nsoko!CA_gross_prod_oil+HM_ZB_Nsoko!CA_FP_lpg_nom*HM_ZB_Nsoko!CA_gross_prod_lpg+HM_ZB_Nsoko!CA_FP_gas_nom*HM_ZB_Nsoko!CA_gross_prod_gas)/HM_ZB_Nsoko!CA_gross_prod_Total),0)</f>
        <v>0</v>
      </c>
      <c r="AD571" s="49">
        <f ca="1">IFERROR((AD330)/((HM_ZB_Nsoko!CA_FP_oil_nom*HM_ZB_Nsoko!CA_gross_prod_oil+HM_ZB_Nsoko!CA_FP_lpg_nom*HM_ZB_Nsoko!CA_gross_prod_lpg+HM_ZB_Nsoko!CA_FP_gas_nom*HM_ZB_Nsoko!CA_gross_prod_gas)/HM_ZB_Nsoko!CA_gross_prod_Total),0)</f>
        <v>0</v>
      </c>
      <c r="AE571" s="49">
        <f ca="1">IFERROR((AE330)/((HM_ZB_Nsoko!CA_FP_oil_nom*HM_ZB_Nsoko!CA_gross_prod_oil+HM_ZB_Nsoko!CA_FP_lpg_nom*HM_ZB_Nsoko!CA_gross_prod_lpg+HM_ZB_Nsoko!CA_FP_gas_nom*HM_ZB_Nsoko!CA_gross_prod_gas)/HM_ZB_Nsoko!CA_gross_prod_Total),0)</f>
        <v>0</v>
      </c>
      <c r="AF571" s="49">
        <f ca="1">IFERROR((AF330)/((HM_ZB_Nsoko!CA_FP_oil_nom*HM_ZB_Nsoko!CA_gross_prod_oil+HM_ZB_Nsoko!CA_FP_lpg_nom*HM_ZB_Nsoko!CA_gross_prod_lpg+HM_ZB_Nsoko!CA_FP_gas_nom*HM_ZB_Nsoko!CA_gross_prod_gas)/HM_ZB_Nsoko!CA_gross_prod_Total),0)</f>
        <v>0</v>
      </c>
      <c r="AG571" s="49">
        <f ca="1">IFERROR((AG330)/((HM_ZB_Nsoko!CA_FP_oil_nom*HM_ZB_Nsoko!CA_gross_prod_oil+HM_ZB_Nsoko!CA_FP_lpg_nom*HM_ZB_Nsoko!CA_gross_prod_lpg+HM_ZB_Nsoko!CA_FP_gas_nom*HM_ZB_Nsoko!CA_gross_prod_gas)/HM_ZB_Nsoko!CA_gross_prod_Total),0)</f>
        <v>0</v>
      </c>
      <c r="AH571" s="49">
        <f ca="1">IFERROR((AH330)/((HM_ZB_Nsoko!CA_FP_oil_nom*HM_ZB_Nsoko!CA_gross_prod_oil+HM_ZB_Nsoko!CA_FP_lpg_nom*HM_ZB_Nsoko!CA_gross_prod_lpg+HM_ZB_Nsoko!CA_FP_gas_nom*HM_ZB_Nsoko!CA_gross_prod_gas)/HM_ZB_Nsoko!CA_gross_prod_Total),0)</f>
        <v>0</v>
      </c>
      <c r="AI571" s="49">
        <f ca="1">IFERROR((AI330)/((HM_ZB_Nsoko!CA_FP_oil_nom*HM_ZB_Nsoko!CA_gross_prod_oil+HM_ZB_Nsoko!CA_FP_lpg_nom*HM_ZB_Nsoko!CA_gross_prod_lpg+HM_ZB_Nsoko!CA_FP_gas_nom*HM_ZB_Nsoko!CA_gross_prod_gas)/HM_ZB_Nsoko!CA_gross_prod_Total),0)</f>
        <v>0</v>
      </c>
      <c r="AJ571" s="49">
        <f ca="1">IFERROR((AJ330)/((HM_ZB_Nsoko!CA_FP_oil_nom*HM_ZB_Nsoko!CA_gross_prod_oil+HM_ZB_Nsoko!CA_FP_lpg_nom*HM_ZB_Nsoko!CA_gross_prod_lpg+HM_ZB_Nsoko!CA_FP_gas_nom*HM_ZB_Nsoko!CA_gross_prod_gas)/HM_ZB_Nsoko!CA_gross_prod_Total),0)</f>
        <v>0</v>
      </c>
      <c r="AK571" s="49">
        <f ca="1">IFERROR((AK330)/((HM_ZB_Nsoko!CA_FP_oil_nom*HM_ZB_Nsoko!CA_gross_prod_oil+HM_ZB_Nsoko!CA_FP_lpg_nom*HM_ZB_Nsoko!CA_gross_prod_lpg+HM_ZB_Nsoko!CA_FP_gas_nom*HM_ZB_Nsoko!CA_gross_prod_gas)/HM_ZB_Nsoko!CA_gross_prod_Total),0)</f>
        <v>0</v>
      </c>
      <c r="AL571" s="49">
        <f ca="1">IFERROR((AL330)/((HM_ZB_Nsoko!CA_FP_oil_nom*HM_ZB_Nsoko!CA_gross_prod_oil+HM_ZB_Nsoko!CA_FP_lpg_nom*HM_ZB_Nsoko!CA_gross_prod_lpg+HM_ZB_Nsoko!CA_FP_gas_nom*HM_ZB_Nsoko!CA_gross_prod_gas)/HM_ZB_Nsoko!CA_gross_prod_Total),0)</f>
        <v>0</v>
      </c>
      <c r="AM571" s="49">
        <f ca="1">IFERROR((AM330)/((HM_ZB_Nsoko!CA_FP_oil_nom*HM_ZB_Nsoko!CA_gross_prod_oil+HM_ZB_Nsoko!CA_FP_lpg_nom*HM_ZB_Nsoko!CA_gross_prod_lpg+HM_ZB_Nsoko!CA_FP_gas_nom*HM_ZB_Nsoko!CA_gross_prod_gas)/HM_ZB_Nsoko!CA_gross_prod_Total),0)</f>
        <v>0</v>
      </c>
      <c r="AN571" s="49">
        <f ca="1">IFERROR((AN330)/((HM_ZB_Nsoko!CA_FP_oil_nom*HM_ZB_Nsoko!CA_gross_prod_oil+HM_ZB_Nsoko!CA_FP_lpg_nom*HM_ZB_Nsoko!CA_gross_prod_lpg+HM_ZB_Nsoko!CA_FP_gas_nom*HM_ZB_Nsoko!CA_gross_prod_gas)/HM_ZB_Nsoko!CA_gross_prod_Total),0)</f>
        <v>0</v>
      </c>
      <c r="AO571" s="49">
        <f ca="1">IFERROR((AO330)/((HM_ZB_Nsoko!CA_FP_oil_nom*HM_ZB_Nsoko!CA_gross_prod_oil+HM_ZB_Nsoko!CA_FP_lpg_nom*HM_ZB_Nsoko!CA_gross_prod_lpg+HM_ZB_Nsoko!CA_FP_gas_nom*HM_ZB_Nsoko!CA_gross_prod_gas)/HM_ZB_Nsoko!CA_gross_prod_Total),0)</f>
        <v>0</v>
      </c>
      <c r="AP571" s="49">
        <f ca="1">IFERROR((AP330)/((HM_ZB_Nsoko!CA_FP_oil_nom*HM_ZB_Nsoko!CA_gross_prod_oil+HM_ZB_Nsoko!CA_FP_lpg_nom*HM_ZB_Nsoko!CA_gross_prod_lpg+HM_ZB_Nsoko!CA_FP_gas_nom*HM_ZB_Nsoko!CA_gross_prod_gas)/HM_ZB_Nsoko!CA_gross_prod_Total),0)</f>
        <v>0</v>
      </c>
      <c r="AQ571" s="49">
        <f ca="1">IFERROR((AQ330)/((HM_ZB_Nsoko!CA_FP_oil_nom*HM_ZB_Nsoko!CA_gross_prod_oil+HM_ZB_Nsoko!CA_FP_lpg_nom*HM_ZB_Nsoko!CA_gross_prod_lpg+HM_ZB_Nsoko!CA_FP_gas_nom*HM_ZB_Nsoko!CA_gross_prod_gas)/HM_ZB_Nsoko!CA_gross_prod_Total),0)</f>
        <v>0</v>
      </c>
      <c r="AR571" s="49">
        <f ca="1">IFERROR((AR330)/((HM_ZB_Nsoko!CA_FP_oil_nom*HM_ZB_Nsoko!CA_gross_prod_oil+HM_ZB_Nsoko!CA_FP_lpg_nom*HM_ZB_Nsoko!CA_gross_prod_lpg+HM_ZB_Nsoko!CA_FP_gas_nom*HM_ZB_Nsoko!CA_gross_prod_gas)/HM_ZB_Nsoko!CA_gross_prod_Total),0)</f>
        <v>0</v>
      </c>
      <c r="AS571" s="49">
        <f ca="1">IFERROR((AS330)/((HM_ZB_Nsoko!CA_FP_oil_nom*HM_ZB_Nsoko!CA_gross_prod_oil+HM_ZB_Nsoko!CA_FP_lpg_nom*HM_ZB_Nsoko!CA_gross_prod_lpg+HM_ZB_Nsoko!CA_FP_gas_nom*HM_ZB_Nsoko!CA_gross_prod_gas)/HM_ZB_Nsoko!CA_gross_prod_Total),0)</f>
        <v>0</v>
      </c>
      <c r="AT571" s="49">
        <f ca="1">IFERROR((AT330)/((HM_ZB_Nsoko!CA_FP_oil_nom*HM_ZB_Nsoko!CA_gross_prod_oil+HM_ZB_Nsoko!CA_FP_lpg_nom*HM_ZB_Nsoko!CA_gross_prod_lpg+HM_ZB_Nsoko!CA_FP_gas_nom*HM_ZB_Nsoko!CA_gross_prod_gas)/HM_ZB_Nsoko!CA_gross_prod_Total),0)</f>
        <v>0</v>
      </c>
      <c r="AU571" s="49">
        <f ca="1">IFERROR((AU330)/((HM_ZB_Nsoko!CA_FP_oil_nom*HM_ZB_Nsoko!CA_gross_prod_oil+HM_ZB_Nsoko!CA_FP_lpg_nom*HM_ZB_Nsoko!CA_gross_prod_lpg+HM_ZB_Nsoko!CA_FP_gas_nom*HM_ZB_Nsoko!CA_gross_prod_gas)/HM_ZB_Nsoko!CA_gross_prod_Total),0)</f>
        <v>0</v>
      </c>
      <c r="AV571" s="49">
        <f ca="1">IFERROR((AV330)/((HM_ZB_Nsoko!CA_FP_oil_nom*HM_ZB_Nsoko!CA_gross_prod_oil+HM_ZB_Nsoko!CA_FP_lpg_nom*HM_ZB_Nsoko!CA_gross_prod_lpg+HM_ZB_Nsoko!CA_FP_gas_nom*HM_ZB_Nsoko!CA_gross_prod_gas)/HM_ZB_Nsoko!CA_gross_prod_Total),0)</f>
        <v>0</v>
      </c>
      <c r="AW571" s="49">
        <f ca="1">IFERROR((AW330)/((HM_ZB_Nsoko!CA_FP_oil_nom*HM_ZB_Nsoko!CA_gross_prod_oil+HM_ZB_Nsoko!CA_FP_lpg_nom*HM_ZB_Nsoko!CA_gross_prod_lpg+HM_ZB_Nsoko!CA_FP_gas_nom*HM_ZB_Nsoko!CA_gross_prod_gas)/HM_ZB_Nsoko!CA_gross_prod_Total),0)</f>
        <v>0</v>
      </c>
      <c r="AX571" s="49">
        <f ca="1">IFERROR((AX330)/((HM_ZB_Nsoko!CA_FP_oil_nom*HM_ZB_Nsoko!CA_gross_prod_oil+HM_ZB_Nsoko!CA_FP_lpg_nom*HM_ZB_Nsoko!CA_gross_prod_lpg+HM_ZB_Nsoko!CA_FP_gas_nom*HM_ZB_Nsoko!CA_gross_prod_gas)/HM_ZB_Nsoko!CA_gross_prod_Total),0)</f>
        <v>0</v>
      </c>
      <c r="AY571" s="49">
        <f ca="1">IFERROR((AY330)/((HM_ZB_Nsoko!CA_FP_oil_nom*HM_ZB_Nsoko!CA_gross_prod_oil+HM_ZB_Nsoko!CA_FP_lpg_nom*HM_ZB_Nsoko!CA_gross_prod_lpg+HM_ZB_Nsoko!CA_FP_gas_nom*HM_ZB_Nsoko!CA_gross_prod_gas)/HM_ZB_Nsoko!CA_gross_prod_Total),0)</f>
        <v>0</v>
      </c>
      <c r="AZ571" s="49">
        <f ca="1">IFERROR((AZ330)/((HM_ZB_Nsoko!CA_FP_oil_nom*HM_ZB_Nsoko!CA_gross_prod_oil+HM_ZB_Nsoko!CA_FP_lpg_nom*HM_ZB_Nsoko!CA_gross_prod_lpg+HM_ZB_Nsoko!CA_FP_gas_nom*HM_ZB_Nsoko!CA_gross_prod_gas)/HM_ZB_Nsoko!CA_gross_prod_Total),0)</f>
        <v>0</v>
      </c>
      <c r="BA571" s="49">
        <f ca="1">IFERROR((BA330)/((HM_ZB_Nsoko!CA_FP_oil_nom*HM_ZB_Nsoko!CA_gross_prod_oil+HM_ZB_Nsoko!CA_FP_lpg_nom*HM_ZB_Nsoko!CA_gross_prod_lpg+HM_ZB_Nsoko!CA_FP_gas_nom*HM_ZB_Nsoko!CA_gross_prod_gas)/HM_ZB_Nsoko!CA_gross_prod_Total),0)</f>
        <v>0</v>
      </c>
      <c r="BB571" s="49">
        <f ca="1">IFERROR((BB330)/((HM_ZB_Nsoko!CA_FP_oil_nom*HM_ZB_Nsoko!CA_gross_prod_oil+HM_ZB_Nsoko!CA_FP_lpg_nom*HM_ZB_Nsoko!CA_gross_prod_lpg+HM_ZB_Nsoko!CA_FP_gas_nom*HM_ZB_Nsoko!CA_gross_prod_gas)/HM_ZB_Nsoko!CA_gross_prod_Total),0)</f>
        <v>0</v>
      </c>
      <c r="BC571" s="49">
        <f ca="1">IFERROR((BC330)/((HM_ZB_Nsoko!CA_FP_oil_nom*HM_ZB_Nsoko!CA_gross_prod_oil+HM_ZB_Nsoko!CA_FP_lpg_nom*HM_ZB_Nsoko!CA_gross_prod_lpg+HM_ZB_Nsoko!CA_FP_gas_nom*HM_ZB_Nsoko!CA_gross_prod_gas)/HM_ZB_Nsoko!CA_gross_prod_Total),0)</f>
        <v>0</v>
      </c>
      <c r="BD571" s="49">
        <f ca="1">IFERROR((BD330)/((HM_ZB_Nsoko!CA_FP_oil_nom*HM_ZB_Nsoko!CA_gross_prod_oil+HM_ZB_Nsoko!CA_FP_lpg_nom*HM_ZB_Nsoko!CA_gross_prod_lpg+HM_ZB_Nsoko!CA_FP_gas_nom*HM_ZB_Nsoko!CA_gross_prod_gas)/HM_ZB_Nsoko!CA_gross_prod_Total),0)</f>
        <v>0</v>
      </c>
      <c r="BE571" s="49">
        <f ca="1">IFERROR((BE330)/((HM_ZB_Nsoko!CA_FP_oil_nom*HM_ZB_Nsoko!CA_gross_prod_oil+HM_ZB_Nsoko!CA_FP_lpg_nom*HM_ZB_Nsoko!CA_gross_prod_lpg+HM_ZB_Nsoko!CA_FP_gas_nom*HM_ZB_Nsoko!CA_gross_prod_gas)/HM_ZB_Nsoko!CA_gross_prod_Total),0)</f>
        <v>0</v>
      </c>
      <c r="BF571" s="49">
        <f ca="1">IFERROR((BF330)/((HM_ZB_Nsoko!CA_FP_oil_nom*HM_ZB_Nsoko!CA_gross_prod_oil+HM_ZB_Nsoko!CA_FP_lpg_nom*HM_ZB_Nsoko!CA_gross_prod_lpg+HM_ZB_Nsoko!CA_FP_gas_nom*HM_ZB_Nsoko!CA_gross_prod_gas)/HM_ZB_Nsoko!CA_gross_prod_Total),0)</f>
        <v>0</v>
      </c>
      <c r="BG571" s="49">
        <f ca="1">IFERROR((BG330)/((HM_ZB_Nsoko!CA_FP_oil_nom*HM_ZB_Nsoko!CA_gross_prod_oil+HM_ZB_Nsoko!CA_FP_lpg_nom*HM_ZB_Nsoko!CA_gross_prod_lpg+HM_ZB_Nsoko!CA_FP_gas_nom*HM_ZB_Nsoko!CA_gross_prod_gas)/HM_ZB_Nsoko!CA_gross_prod_Total),0)</f>
        <v>0</v>
      </c>
      <c r="BH571" s="49">
        <f ca="1">IFERROR((BH330)/((HM_ZB_Nsoko!CA_FP_oil_nom*HM_ZB_Nsoko!CA_gross_prod_oil+HM_ZB_Nsoko!CA_FP_lpg_nom*HM_ZB_Nsoko!CA_gross_prod_lpg+HM_ZB_Nsoko!CA_FP_gas_nom*HM_ZB_Nsoko!CA_gross_prod_gas)/HM_ZB_Nsoko!CA_gross_prod_Total),0)</f>
        <v>0</v>
      </c>
      <c r="BI571" s="49">
        <f ca="1">IFERROR((BI330)/((HM_ZB_Nsoko!CA_FP_oil_nom*HM_ZB_Nsoko!CA_gross_prod_oil+HM_ZB_Nsoko!CA_FP_lpg_nom*HM_ZB_Nsoko!CA_gross_prod_lpg+HM_ZB_Nsoko!CA_FP_gas_nom*HM_ZB_Nsoko!CA_gross_prod_gas)/HM_ZB_Nsoko!CA_gross_prod_Total),0)</f>
        <v>0</v>
      </c>
      <c r="BJ571" s="49">
        <f ca="1">IFERROR((BJ330)/((HM_ZB_Nsoko!CA_FP_oil_nom*HM_ZB_Nsoko!CA_gross_prod_oil+HM_ZB_Nsoko!CA_FP_lpg_nom*HM_ZB_Nsoko!CA_gross_prod_lpg+HM_ZB_Nsoko!CA_FP_gas_nom*HM_ZB_Nsoko!CA_gross_prod_gas)/HM_ZB_Nsoko!CA_gross_prod_Total),0)</f>
        <v>0</v>
      </c>
      <c r="BK571" s="49">
        <f ca="1">IFERROR((BK330)/((HM_ZB_Nsoko!CA_FP_oil_nom*HM_ZB_Nsoko!CA_gross_prod_oil+HM_ZB_Nsoko!CA_FP_lpg_nom*HM_ZB_Nsoko!CA_gross_prod_lpg+HM_ZB_Nsoko!CA_FP_gas_nom*HM_ZB_Nsoko!CA_gross_prod_gas)/HM_ZB_Nsoko!CA_gross_prod_Total),0)</f>
        <v>0</v>
      </c>
      <c r="BL571" s="49">
        <f ca="1">IFERROR((BL330)/((HM_ZB_Nsoko!CA_FP_oil_nom*HM_ZB_Nsoko!CA_gross_prod_oil+HM_ZB_Nsoko!CA_FP_lpg_nom*HM_ZB_Nsoko!CA_gross_prod_lpg+HM_ZB_Nsoko!CA_FP_gas_nom*HM_ZB_Nsoko!CA_gross_prod_gas)/HM_ZB_Nsoko!CA_gross_prod_Total),0)</f>
        <v>0</v>
      </c>
      <c r="BM571" s="49">
        <f ca="1">IFERROR((BM330)/((HM_ZB_Nsoko!CA_FP_oil_nom*HM_ZB_Nsoko!CA_gross_prod_oil+HM_ZB_Nsoko!CA_FP_lpg_nom*HM_ZB_Nsoko!CA_gross_prod_lpg+HM_ZB_Nsoko!CA_FP_gas_nom*HM_ZB_Nsoko!CA_gross_prod_gas)/HM_ZB_Nsoko!CA_gross_prod_Total),0)</f>
        <v>0</v>
      </c>
      <c r="BN571" s="49">
        <f ca="1">IFERROR((BN330)/((HM_ZB_Nsoko!CA_FP_oil_nom*HM_ZB_Nsoko!CA_gross_prod_oil+HM_ZB_Nsoko!CA_FP_lpg_nom*HM_ZB_Nsoko!CA_gross_prod_lpg+HM_ZB_Nsoko!CA_FP_gas_nom*HM_ZB_Nsoko!CA_gross_prod_gas)/HM_ZB_Nsoko!CA_gross_prod_Total),0)</f>
        <v>0</v>
      </c>
      <c r="BO571" s="49">
        <f ca="1">IFERROR((BO330)/((HM_ZB_Nsoko!CA_FP_oil_nom*HM_ZB_Nsoko!CA_gross_prod_oil+HM_ZB_Nsoko!CA_FP_lpg_nom*HM_ZB_Nsoko!CA_gross_prod_lpg+HM_ZB_Nsoko!CA_FP_gas_nom*HM_ZB_Nsoko!CA_gross_prod_gas)/HM_ZB_Nsoko!CA_gross_prod_Total),0)</f>
        <v>0</v>
      </c>
      <c r="BP571" s="49">
        <f ca="1">IFERROR((BP330)/((HM_ZB_Nsoko!CA_FP_oil_nom*HM_ZB_Nsoko!CA_gross_prod_oil+HM_ZB_Nsoko!CA_FP_lpg_nom*HM_ZB_Nsoko!CA_gross_prod_lpg+HM_ZB_Nsoko!CA_FP_gas_nom*HM_ZB_Nsoko!CA_gross_prod_gas)/HM_ZB_Nsoko!CA_gross_prod_Total),0)</f>
        <v>0</v>
      </c>
      <c r="BQ571" s="49">
        <f ca="1">IFERROR((BQ330)/((HM_ZB_Nsoko!CA_FP_oil_nom*HM_ZB_Nsoko!CA_gross_prod_oil+HM_ZB_Nsoko!CA_FP_lpg_nom*HM_ZB_Nsoko!CA_gross_prod_lpg+HM_ZB_Nsoko!CA_FP_gas_nom*HM_ZB_Nsoko!CA_gross_prod_gas)/HM_ZB_Nsoko!CA_gross_prod_Total),0)</f>
        <v>0</v>
      </c>
      <c r="BR571" s="49">
        <f ca="1">IFERROR((BR330)/((HM_ZB_Nsoko!CA_FP_oil_nom*HM_ZB_Nsoko!CA_gross_prod_oil+HM_ZB_Nsoko!CA_FP_lpg_nom*HM_ZB_Nsoko!CA_gross_prod_lpg+HM_ZB_Nsoko!CA_FP_gas_nom*HM_ZB_Nsoko!CA_gross_prod_gas)/HM_ZB_Nsoko!CA_gross_prod_Total),0)</f>
        <v>0</v>
      </c>
      <c r="BS571" s="49">
        <f ca="1">IFERROR((BS330)/((HM_ZB_Nsoko!CA_FP_oil_nom*HM_ZB_Nsoko!CA_gross_prod_oil+HM_ZB_Nsoko!CA_FP_lpg_nom*HM_ZB_Nsoko!CA_gross_prod_lpg+HM_ZB_Nsoko!CA_FP_gas_nom*HM_ZB_Nsoko!CA_gross_prod_gas)/HM_ZB_Nsoko!CA_gross_prod_Total),0)</f>
        <v>0</v>
      </c>
    </row>
    <row r="572" spans="3:71" outlineLevel="1" x14ac:dyDescent="0.2">
      <c r="D572" t="str">
        <f>HM_ZA_Nkossa!D562</f>
        <v>Profit Gaz Contracteur</v>
      </c>
      <c r="I572" s="30">
        <f t="shared" si="145"/>
        <v>0</v>
      </c>
      <c r="J572" s="26" t="s">
        <v>692</v>
      </c>
      <c r="L572" s="49"/>
      <c r="M572" s="49"/>
      <c r="N572" s="49"/>
      <c r="O572" s="49"/>
      <c r="P572" s="49"/>
      <c r="Q572" s="49"/>
      <c r="R572" s="49"/>
      <c r="S572" s="49"/>
      <c r="T572" s="49"/>
      <c r="U572" s="49"/>
      <c r="V572" s="49"/>
      <c r="W572" s="49"/>
      <c r="X572" s="49"/>
      <c r="Y572" s="49"/>
      <c r="Z572" s="49"/>
      <c r="AA572" s="49"/>
      <c r="AB572" s="49"/>
      <c r="AC572" s="49"/>
      <c r="AD572" s="49"/>
      <c r="AE572" s="49"/>
      <c r="AF572" s="49"/>
      <c r="AG572" s="49"/>
      <c r="AH572" s="49"/>
      <c r="AI572" s="49"/>
      <c r="AJ572" s="49"/>
      <c r="AK572" s="49"/>
      <c r="AL572" s="49"/>
      <c r="AM572" s="49"/>
      <c r="AN572" s="49"/>
      <c r="AO572" s="49"/>
      <c r="AP572" s="49"/>
      <c r="AQ572" s="49"/>
      <c r="AR572" s="49"/>
      <c r="AS572" s="49"/>
      <c r="AT572" s="49"/>
      <c r="AU572" s="49"/>
      <c r="AV572" s="49"/>
      <c r="AW572" s="49"/>
      <c r="AX572" s="49"/>
      <c r="AY572" s="49"/>
      <c r="AZ572" s="49"/>
      <c r="BA572" s="49"/>
      <c r="BB572" s="49"/>
      <c r="BC572" s="49"/>
      <c r="BD572" s="49"/>
      <c r="BE572" s="49"/>
      <c r="BF572" s="49"/>
      <c r="BG572" s="49"/>
      <c r="BH572" s="49"/>
      <c r="BI572" s="49"/>
      <c r="BJ572" s="49"/>
      <c r="BK572" s="49"/>
      <c r="BL572" s="49"/>
      <c r="BM572" s="49"/>
      <c r="BN572" s="49"/>
      <c r="BO572" s="49"/>
      <c r="BP572" s="49"/>
      <c r="BQ572" s="49"/>
      <c r="BR572" s="49"/>
      <c r="BS572" s="49"/>
    </row>
    <row r="573" spans="3:71" outlineLevel="1" x14ac:dyDescent="0.2">
      <c r="J573" s="26"/>
      <c r="L573" s="55"/>
      <c r="M573" s="55"/>
      <c r="N573" s="55"/>
      <c r="O573" s="55"/>
      <c r="P573" s="55"/>
      <c r="Q573" s="55"/>
      <c r="R573" s="55"/>
      <c r="S573" s="55"/>
      <c r="T573" s="55"/>
      <c r="U573" s="55"/>
      <c r="V573" s="55"/>
      <c r="W573" s="55"/>
      <c r="X573" s="55"/>
      <c r="Y573" s="55"/>
      <c r="Z573" s="55"/>
      <c r="AA573" s="55"/>
      <c r="AB573" s="55"/>
      <c r="AC573" s="55"/>
      <c r="AD573" s="55"/>
      <c r="AE573" s="55"/>
      <c r="AF573" s="55"/>
      <c r="AG573" s="55"/>
      <c r="AH573" s="55"/>
      <c r="AI573" s="55"/>
      <c r="AJ573" s="55"/>
      <c r="AK573" s="55"/>
      <c r="AL573" s="55"/>
      <c r="AM573" s="55"/>
      <c r="AN573" s="55"/>
      <c r="AO573" s="55"/>
      <c r="AP573" s="55"/>
      <c r="AQ573" s="55"/>
      <c r="AR573" s="55"/>
      <c r="AS573" s="55"/>
      <c r="AT573" s="55"/>
      <c r="AU573" s="55"/>
      <c r="AV573" s="55"/>
      <c r="AW573" s="55"/>
      <c r="AX573" s="55"/>
      <c r="AY573" s="55"/>
      <c r="AZ573" s="55"/>
      <c r="BA573" s="55"/>
      <c r="BB573" s="55"/>
      <c r="BC573" s="55"/>
      <c r="BD573" s="55"/>
      <c r="BE573" s="55"/>
      <c r="BF573" s="55"/>
      <c r="BG573" s="55"/>
      <c r="BH573" s="55"/>
      <c r="BI573" s="55"/>
      <c r="BJ573" s="55"/>
      <c r="BK573" s="55"/>
      <c r="BL573" s="55"/>
      <c r="BM573" s="55"/>
      <c r="BN573" s="55"/>
      <c r="BO573" s="55"/>
      <c r="BP573" s="55"/>
      <c r="BQ573" s="55"/>
      <c r="BR573" s="55"/>
      <c r="BS573" s="55"/>
    </row>
    <row r="574" spans="3:71" outlineLevel="1" x14ac:dyDescent="0.2">
      <c r="J574" s="26"/>
      <c r="L574" s="55"/>
      <c r="M574" s="55"/>
      <c r="N574" s="55"/>
      <c r="O574" s="55"/>
      <c r="P574" s="55"/>
      <c r="Q574" s="55"/>
      <c r="R574" s="55"/>
      <c r="S574" s="55"/>
      <c r="T574" s="55"/>
      <c r="U574" s="55"/>
      <c r="V574" s="55"/>
      <c r="W574" s="55"/>
      <c r="X574" s="55"/>
      <c r="Y574" s="55"/>
      <c r="Z574" s="55"/>
      <c r="AA574" s="55"/>
      <c r="AB574" s="55"/>
      <c r="AC574" s="55"/>
      <c r="AD574" s="55"/>
      <c r="AE574" s="55"/>
      <c r="AF574" s="55"/>
      <c r="AG574" s="55"/>
      <c r="AH574" s="55"/>
      <c r="AI574" s="55"/>
      <c r="AJ574" s="55"/>
      <c r="AK574" s="55"/>
      <c r="AL574" s="55"/>
      <c r="AM574" s="55"/>
      <c r="AN574" s="55"/>
      <c r="AO574" s="55"/>
      <c r="AP574" s="55"/>
      <c r="AQ574" s="55"/>
      <c r="AR574" s="55"/>
      <c r="AS574" s="55"/>
      <c r="AT574" s="55"/>
      <c r="AU574" s="55"/>
      <c r="AV574" s="55"/>
      <c r="AW574" s="55"/>
      <c r="AX574" s="55"/>
      <c r="AY574" s="55"/>
      <c r="AZ574" s="55"/>
      <c r="BA574" s="55"/>
      <c r="BB574" s="55"/>
      <c r="BC574" s="55"/>
      <c r="BD574" s="55"/>
      <c r="BE574" s="55"/>
      <c r="BF574" s="55"/>
      <c r="BG574" s="55"/>
      <c r="BH574" s="55"/>
      <c r="BI574" s="55"/>
      <c r="BJ574" s="55"/>
      <c r="BK574" s="55"/>
      <c r="BL574" s="55"/>
      <c r="BM574" s="55"/>
      <c r="BN574" s="55"/>
      <c r="BO574" s="55"/>
      <c r="BP574" s="55"/>
      <c r="BQ574" s="55"/>
      <c r="BR574" s="55"/>
      <c r="BS574" s="55"/>
    </row>
    <row r="575" spans="3:71" outlineLevel="1" x14ac:dyDescent="0.2">
      <c r="J575" s="26"/>
      <c r="L575" s="55"/>
      <c r="M575" s="55"/>
      <c r="N575" s="55"/>
      <c r="O575" s="55"/>
      <c r="P575" s="55"/>
      <c r="Q575" s="55"/>
      <c r="R575" s="55"/>
      <c r="S575" s="55"/>
      <c r="T575" s="55"/>
      <c r="U575" s="55"/>
      <c r="V575" s="55"/>
      <c r="W575" s="55"/>
      <c r="X575" s="55"/>
      <c r="Y575" s="55"/>
      <c r="Z575" s="55"/>
      <c r="AA575" s="55"/>
      <c r="AB575" s="55"/>
      <c r="AC575" s="55"/>
      <c r="AD575" s="55"/>
      <c r="AE575" s="55"/>
      <c r="AF575" s="55"/>
      <c r="AG575" s="55"/>
      <c r="AH575" s="55"/>
      <c r="AI575" s="55"/>
      <c r="AJ575" s="55"/>
      <c r="AK575" s="55"/>
      <c r="AL575" s="55"/>
      <c r="AM575" s="55"/>
      <c r="AN575" s="55"/>
      <c r="AO575" s="55"/>
      <c r="AP575" s="55"/>
      <c r="AQ575" s="55"/>
      <c r="AR575" s="55"/>
      <c r="AS575" s="55"/>
      <c r="AT575" s="55"/>
      <c r="AU575" s="55"/>
      <c r="AV575" s="55"/>
      <c r="AW575" s="55"/>
      <c r="AX575" s="55"/>
      <c r="AY575" s="55"/>
      <c r="AZ575" s="55"/>
      <c r="BA575" s="55"/>
      <c r="BB575" s="55"/>
      <c r="BC575" s="55"/>
      <c r="BD575" s="55"/>
      <c r="BE575" s="55"/>
      <c r="BF575" s="55"/>
      <c r="BG575" s="55"/>
      <c r="BH575" s="55"/>
      <c r="BI575" s="55"/>
      <c r="BJ575" s="55"/>
      <c r="BK575" s="55"/>
      <c r="BL575" s="55"/>
      <c r="BM575" s="55"/>
      <c r="BN575" s="55"/>
      <c r="BO575" s="55"/>
      <c r="BP575" s="55"/>
      <c r="BQ575" s="55"/>
      <c r="BR575" s="55"/>
      <c r="BS575" s="55"/>
    </row>
    <row r="576" spans="3:71" x14ac:dyDescent="0.2">
      <c r="J576" s="26"/>
      <c r="L576" s="55"/>
      <c r="M576" s="55"/>
      <c r="N576" s="55"/>
      <c r="O576" s="55"/>
      <c r="P576" s="55"/>
      <c r="Q576" s="55"/>
      <c r="R576" s="55"/>
      <c r="S576" s="55"/>
      <c r="T576" s="55"/>
      <c r="U576" s="55"/>
      <c r="V576" s="55"/>
      <c r="W576" s="55"/>
      <c r="X576" s="55"/>
      <c r="Y576" s="55"/>
      <c r="Z576" s="55"/>
      <c r="AA576" s="55"/>
      <c r="AB576" s="55"/>
      <c r="AC576" s="55"/>
      <c r="AD576" s="55"/>
      <c r="AE576" s="55"/>
      <c r="AF576" s="55"/>
      <c r="AG576" s="55"/>
      <c r="AH576" s="55"/>
      <c r="AI576" s="55"/>
      <c r="AJ576" s="55"/>
      <c r="AK576" s="55"/>
      <c r="AL576" s="55"/>
      <c r="AM576" s="55"/>
      <c r="AN576" s="55"/>
      <c r="AO576" s="55"/>
      <c r="AP576" s="55"/>
      <c r="AQ576" s="55"/>
      <c r="AR576" s="55"/>
      <c r="AS576" s="55"/>
      <c r="AT576" s="55"/>
      <c r="AU576" s="55"/>
      <c r="AV576" s="55"/>
      <c r="AW576" s="55"/>
      <c r="AX576" s="55"/>
      <c r="AY576" s="55"/>
      <c r="AZ576" s="55"/>
      <c r="BA576" s="55"/>
      <c r="BB576" s="55"/>
      <c r="BC576" s="55"/>
      <c r="BD576" s="55"/>
      <c r="BE576" s="55"/>
      <c r="BF576" s="55"/>
      <c r="BG576" s="55"/>
      <c r="BH576" s="55"/>
      <c r="BI576" s="55"/>
      <c r="BJ576" s="55"/>
      <c r="BK576" s="55"/>
      <c r="BL576" s="55"/>
      <c r="BM576" s="55"/>
      <c r="BN576" s="55"/>
      <c r="BO576" s="55"/>
      <c r="BP576" s="55"/>
      <c r="BQ576" s="55"/>
      <c r="BR576" s="55"/>
      <c r="BS576" s="55"/>
    </row>
  </sheetData>
  <mergeCells count="4">
    <mergeCell ref="B7:E7"/>
    <mergeCell ref="B81:E81"/>
    <mergeCell ref="B120:E120"/>
    <mergeCell ref="B406:E406"/>
  </mergeCells>
  <pageMargins left="0.7" right="0.7" top="0.75" bottom="0.75" header="0.3" footer="0.3"/>
</worksheet>
</file>

<file path=xl/worksheets/sheet1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78194-AABB-4184-83F6-4780AEECAB85}">
  <sheetPr codeName="Sheet11"/>
  <dimension ref="A1:CP596"/>
  <sheetViews>
    <sheetView showGridLines="0" zoomScale="80" zoomScaleNormal="80" workbookViewId="0">
      <pane xSplit="11" ySplit="5" topLeftCell="L555" activePane="bottomRight" state="frozen"/>
      <selection activeCell="D42" sqref="D42"/>
      <selection pane="topRight" activeCell="D42" sqref="D42"/>
      <selection pane="bottomLeft" activeCell="D42" sqref="D42"/>
      <selection pane="bottomRight" activeCell="C26" sqref="C26"/>
    </sheetView>
  </sheetViews>
  <sheetFormatPr baseColWidth="10" defaultColWidth="0" defaultRowHeight="15" outlineLevelRow="1" x14ac:dyDescent="0.2"/>
  <cols>
    <col min="1" max="3" width="5.6640625" customWidth="1"/>
    <col min="4" max="10" width="14.6640625" customWidth="1"/>
    <col min="11" max="11" width="17.6640625" style="7" customWidth="1"/>
    <col min="12" max="93" width="9.1640625" customWidth="1"/>
    <col min="94" max="94" width="0" style="6" hidden="1" customWidth="1"/>
    <col min="95" max="16384" width="9.1640625" style="6" hidden="1"/>
  </cols>
  <sheetData>
    <row r="1" spans="1:93" s="5" customFormat="1" ht="20.25" customHeight="1" x14ac:dyDescent="0.2">
      <c r="A1" s="82" t="s">
        <v>766</v>
      </c>
      <c r="B1" s="82"/>
      <c r="C1" s="82"/>
      <c r="D1" s="82"/>
      <c r="E1" s="82"/>
      <c r="F1" s="82"/>
      <c r="G1" s="82"/>
      <c r="H1" s="82"/>
      <c r="I1" s="82"/>
      <c r="J1" s="82"/>
      <c r="K1" s="83"/>
      <c r="L1" s="82"/>
      <c r="M1" s="82"/>
      <c r="N1" s="82"/>
      <c r="O1" s="82"/>
      <c r="P1" s="82"/>
      <c r="Q1" s="82"/>
      <c r="R1" s="82"/>
      <c r="S1" s="82"/>
      <c r="T1" s="82"/>
      <c r="U1" s="82"/>
      <c r="V1" s="82"/>
      <c r="W1" s="82"/>
      <c r="X1" s="82"/>
      <c r="Y1" s="82"/>
      <c r="Z1" s="82"/>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row>
    <row r="2" spans="1:93" ht="9" customHeight="1" x14ac:dyDescent="0.2">
      <c r="A2" s="6"/>
      <c r="B2" s="6"/>
      <c r="C2" s="6"/>
      <c r="D2" s="6"/>
      <c r="E2" s="6"/>
      <c r="F2" s="6"/>
      <c r="G2" s="6"/>
      <c r="H2" s="6"/>
      <c r="I2" s="6"/>
      <c r="J2" s="6"/>
      <c r="K2" s="84"/>
      <c r="L2" s="6"/>
      <c r="M2" s="6"/>
      <c r="N2" s="6"/>
      <c r="O2" s="6"/>
      <c r="P2" s="6"/>
      <c r="Q2" s="6"/>
      <c r="R2" s="6"/>
      <c r="S2" s="6"/>
      <c r="T2" s="6"/>
      <c r="U2" s="6"/>
      <c r="V2" s="6"/>
      <c r="W2" s="6"/>
      <c r="X2" s="6"/>
      <c r="Y2" s="6"/>
      <c r="Z2" s="6"/>
    </row>
    <row r="3" spans="1:93" x14ac:dyDescent="0.2">
      <c r="A3" s="123" t="str">
        <f>CHOOSE(db_ML_selected,'Liste Traduction'!B438,'Liste Traduction'!C438)</f>
        <v>Note : 2013 et 2014 sont basés sur les stipulations de l'AM3-2005, 2015 et plus tard sur les stipulations de l'AM4 et AM6.</v>
      </c>
      <c r="L3" s="3">
        <f t="array" ref="L3:BS3">IA_Periods</f>
        <v>1</v>
      </c>
      <c r="M3" s="3">
        <v>2</v>
      </c>
      <c r="N3" s="3">
        <v>3</v>
      </c>
      <c r="O3" s="3">
        <v>4</v>
      </c>
      <c r="P3" s="3">
        <v>5</v>
      </c>
      <c r="Q3" s="3">
        <v>6</v>
      </c>
      <c r="R3" s="3">
        <v>7</v>
      </c>
      <c r="S3" s="3">
        <v>8</v>
      </c>
      <c r="T3" s="3">
        <v>9</v>
      </c>
      <c r="U3" s="3">
        <v>10</v>
      </c>
      <c r="V3" s="3">
        <v>11</v>
      </c>
      <c r="W3" s="3">
        <v>12</v>
      </c>
      <c r="X3" s="3">
        <v>13</v>
      </c>
      <c r="Y3" s="3">
        <v>14</v>
      </c>
      <c r="Z3" s="3">
        <v>15</v>
      </c>
      <c r="AA3" s="3">
        <v>16</v>
      </c>
      <c r="AB3" s="3">
        <v>17</v>
      </c>
      <c r="AC3" s="3">
        <v>18</v>
      </c>
      <c r="AD3" s="3">
        <v>19</v>
      </c>
      <c r="AE3" s="3">
        <v>20</v>
      </c>
      <c r="AF3" s="3">
        <v>21</v>
      </c>
      <c r="AG3" s="3">
        <v>22</v>
      </c>
      <c r="AH3" s="3">
        <v>23</v>
      </c>
      <c r="AI3" s="3">
        <v>24</v>
      </c>
      <c r="AJ3" s="3">
        <v>25</v>
      </c>
      <c r="AK3" s="3">
        <v>26</v>
      </c>
      <c r="AL3" s="3">
        <v>27</v>
      </c>
      <c r="AM3" s="3">
        <v>28</v>
      </c>
      <c r="AN3" s="3">
        <v>29</v>
      </c>
      <c r="AO3" s="3">
        <v>30</v>
      </c>
      <c r="AP3" s="3">
        <v>31</v>
      </c>
      <c r="AQ3" s="3">
        <v>32</v>
      </c>
      <c r="AR3" s="3">
        <v>33</v>
      </c>
      <c r="AS3" s="3">
        <v>34</v>
      </c>
      <c r="AT3" s="3">
        <v>35</v>
      </c>
      <c r="AU3" s="3">
        <v>36</v>
      </c>
      <c r="AV3" s="3">
        <v>37</v>
      </c>
      <c r="AW3" s="3">
        <v>38</v>
      </c>
      <c r="AX3" s="3">
        <v>39</v>
      </c>
      <c r="AY3" s="3">
        <v>40</v>
      </c>
      <c r="AZ3" s="3">
        <v>41</v>
      </c>
      <c r="BA3" s="3">
        <v>42</v>
      </c>
      <c r="BB3" s="3">
        <v>43</v>
      </c>
      <c r="BC3" s="3">
        <v>44</v>
      </c>
      <c r="BD3" s="3">
        <v>45</v>
      </c>
      <c r="BE3" s="3">
        <v>46</v>
      </c>
      <c r="BF3" s="3">
        <v>47</v>
      </c>
      <c r="BG3" s="3">
        <v>48</v>
      </c>
      <c r="BH3" s="3">
        <v>49</v>
      </c>
      <c r="BI3" s="3">
        <v>50</v>
      </c>
      <c r="BJ3" s="3">
        <v>51</v>
      </c>
      <c r="BK3" s="3">
        <v>52</v>
      </c>
      <c r="BL3" s="3">
        <v>53</v>
      </c>
      <c r="BM3" s="3">
        <v>54</v>
      </c>
      <c r="BN3" s="3">
        <v>55</v>
      </c>
      <c r="BO3" s="3">
        <v>56</v>
      </c>
      <c r="BP3" s="3">
        <v>57</v>
      </c>
      <c r="BQ3" s="3">
        <v>58</v>
      </c>
      <c r="BR3" s="3">
        <v>59</v>
      </c>
      <c r="BS3" s="3">
        <v>60</v>
      </c>
    </row>
    <row r="4" spans="1:93" x14ac:dyDescent="0.2">
      <c r="L4" s="4" cm="1">
        <f t="array" ref="L4:BS4">IA_Years</f>
        <v>2013</v>
      </c>
      <c r="M4">
        <v>2014</v>
      </c>
      <c r="N4">
        <v>2015</v>
      </c>
      <c r="O4">
        <v>2016</v>
      </c>
      <c r="P4">
        <v>2017</v>
      </c>
      <c r="Q4">
        <v>2018</v>
      </c>
      <c r="R4">
        <v>2019</v>
      </c>
      <c r="S4">
        <v>2020</v>
      </c>
      <c r="T4" s="76">
        <v>2021</v>
      </c>
      <c r="U4">
        <v>2022</v>
      </c>
      <c r="V4">
        <v>2023</v>
      </c>
      <c r="W4">
        <v>2024</v>
      </c>
      <c r="X4">
        <v>2025</v>
      </c>
      <c r="Y4">
        <v>2026</v>
      </c>
      <c r="Z4">
        <v>2027</v>
      </c>
      <c r="AA4">
        <v>2028</v>
      </c>
      <c r="AB4">
        <v>2029</v>
      </c>
      <c r="AC4">
        <v>2030</v>
      </c>
      <c r="AD4">
        <v>2031</v>
      </c>
      <c r="AE4">
        <v>2032</v>
      </c>
      <c r="AF4">
        <v>2033</v>
      </c>
      <c r="AG4">
        <v>2034</v>
      </c>
      <c r="AH4">
        <v>2035</v>
      </c>
      <c r="AI4">
        <v>2036</v>
      </c>
      <c r="AJ4">
        <v>2037</v>
      </c>
      <c r="AK4">
        <v>2038</v>
      </c>
      <c r="AL4">
        <v>2039</v>
      </c>
      <c r="AM4">
        <v>2040</v>
      </c>
      <c r="AN4">
        <v>2041</v>
      </c>
      <c r="AO4">
        <v>2042</v>
      </c>
      <c r="AP4">
        <v>2043</v>
      </c>
      <c r="AQ4">
        <v>2044</v>
      </c>
      <c r="AR4">
        <v>2045</v>
      </c>
      <c r="AS4">
        <v>2046</v>
      </c>
      <c r="AT4">
        <v>2047</v>
      </c>
      <c r="AU4">
        <v>2048</v>
      </c>
      <c r="AV4">
        <v>2049</v>
      </c>
      <c r="AW4">
        <v>2050</v>
      </c>
      <c r="AX4">
        <v>2051</v>
      </c>
      <c r="AY4">
        <v>2052</v>
      </c>
      <c r="AZ4">
        <v>2053</v>
      </c>
      <c r="BA4">
        <v>2054</v>
      </c>
      <c r="BB4">
        <v>2055</v>
      </c>
      <c r="BC4">
        <v>2056</v>
      </c>
      <c r="BD4">
        <v>2057</v>
      </c>
      <c r="BE4">
        <v>2058</v>
      </c>
      <c r="BF4">
        <v>2059</v>
      </c>
      <c r="BG4">
        <v>2060</v>
      </c>
      <c r="BH4">
        <v>2061</v>
      </c>
      <c r="BI4">
        <v>2062</v>
      </c>
      <c r="BJ4">
        <v>2063</v>
      </c>
      <c r="BK4">
        <v>2064</v>
      </c>
      <c r="BL4">
        <v>2065</v>
      </c>
      <c r="BM4">
        <v>2066</v>
      </c>
      <c r="BN4">
        <v>2067</v>
      </c>
      <c r="BO4">
        <v>2068</v>
      </c>
      <c r="BP4">
        <v>2069</v>
      </c>
      <c r="BQ4">
        <v>2070</v>
      </c>
      <c r="BR4">
        <v>2071</v>
      </c>
      <c r="BS4">
        <v>2072</v>
      </c>
    </row>
    <row r="5" spans="1:93" x14ac:dyDescent="0.2">
      <c r="L5" s="3">
        <f t="array" ref="L5:BS5">+IA_Days</f>
        <v>365</v>
      </c>
      <c r="M5" s="3">
        <v>365</v>
      </c>
      <c r="N5" s="3">
        <v>365</v>
      </c>
      <c r="O5" s="3">
        <v>366</v>
      </c>
      <c r="P5" s="3">
        <v>365</v>
      </c>
      <c r="Q5" s="3">
        <v>365</v>
      </c>
      <c r="R5" s="3">
        <v>365</v>
      </c>
      <c r="S5" s="3">
        <v>366</v>
      </c>
      <c r="T5" s="3">
        <v>365</v>
      </c>
      <c r="U5" s="3">
        <v>365</v>
      </c>
      <c r="V5" s="3">
        <v>365</v>
      </c>
      <c r="W5" s="3">
        <v>366</v>
      </c>
      <c r="X5" s="3">
        <v>365</v>
      </c>
      <c r="Y5" s="3">
        <v>365</v>
      </c>
      <c r="Z5" s="3">
        <v>365</v>
      </c>
      <c r="AA5" s="3">
        <v>366</v>
      </c>
      <c r="AB5" s="3">
        <v>365</v>
      </c>
      <c r="AC5" s="3">
        <v>365</v>
      </c>
      <c r="AD5" s="3">
        <v>365</v>
      </c>
      <c r="AE5" s="3">
        <v>366</v>
      </c>
      <c r="AF5" s="3">
        <v>365</v>
      </c>
      <c r="AG5" s="3">
        <v>365</v>
      </c>
      <c r="AH5" s="3">
        <v>365</v>
      </c>
      <c r="AI5" s="3">
        <v>366</v>
      </c>
      <c r="AJ5" s="3">
        <v>365</v>
      </c>
      <c r="AK5" s="3">
        <v>365</v>
      </c>
      <c r="AL5" s="3">
        <v>365</v>
      </c>
      <c r="AM5" s="3">
        <v>366</v>
      </c>
      <c r="AN5" s="3">
        <v>365</v>
      </c>
      <c r="AO5" s="3">
        <v>365</v>
      </c>
      <c r="AP5" s="3">
        <v>365</v>
      </c>
      <c r="AQ5" s="3">
        <v>366</v>
      </c>
      <c r="AR5" s="3">
        <v>365</v>
      </c>
      <c r="AS5" s="3">
        <v>365</v>
      </c>
      <c r="AT5" s="3">
        <v>365</v>
      </c>
      <c r="AU5" s="3">
        <v>366</v>
      </c>
      <c r="AV5" s="3">
        <v>365</v>
      </c>
      <c r="AW5" s="3">
        <v>365</v>
      </c>
      <c r="AX5" s="3">
        <v>365</v>
      </c>
      <c r="AY5" s="3">
        <v>366</v>
      </c>
      <c r="AZ5" s="3">
        <v>365</v>
      </c>
      <c r="BA5" s="3">
        <v>365</v>
      </c>
      <c r="BB5" s="3">
        <v>365</v>
      </c>
      <c r="BC5" s="3">
        <v>366</v>
      </c>
      <c r="BD5" s="3">
        <v>365</v>
      </c>
      <c r="BE5" s="3">
        <v>365</v>
      </c>
      <c r="BF5" s="3">
        <v>365</v>
      </c>
      <c r="BG5" s="3">
        <v>366</v>
      </c>
      <c r="BH5" s="3">
        <v>365</v>
      </c>
      <c r="BI5" s="3">
        <v>365</v>
      </c>
      <c r="BJ5" s="3">
        <v>365</v>
      </c>
      <c r="BK5" s="3">
        <v>366</v>
      </c>
      <c r="BL5" s="3">
        <v>365</v>
      </c>
      <c r="BM5" s="3">
        <v>365</v>
      </c>
      <c r="BN5" s="3">
        <v>365</v>
      </c>
      <c r="BO5" s="3">
        <v>366</v>
      </c>
      <c r="BP5" s="3">
        <v>365</v>
      </c>
      <c r="BQ5" s="3">
        <v>365</v>
      </c>
      <c r="BR5" s="3">
        <v>365</v>
      </c>
      <c r="BS5" s="3">
        <v>366</v>
      </c>
    </row>
    <row r="6" spans="1:93" ht="16" thickBot="1" x14ac:dyDescent="0.25"/>
    <row r="7" spans="1:93" ht="22" thickBot="1" x14ac:dyDescent="0.25">
      <c r="A7" s="8"/>
      <c r="B7" s="221" t="str">
        <f>HM_ZB_Nsoko!B7</f>
        <v>Modalités fiscales</v>
      </c>
      <c r="C7" s="222"/>
      <c r="D7" s="222"/>
      <c r="E7" s="223"/>
      <c r="F7" s="9"/>
      <c r="G7" s="9"/>
      <c r="H7" s="9"/>
      <c r="I7" s="9"/>
      <c r="J7" s="48"/>
      <c r="K7" s="10"/>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row>
    <row r="8" spans="1:93" outlineLevel="1" x14ac:dyDescent="0.2">
      <c r="J8" s="26"/>
    </row>
    <row r="9" spans="1:93" outlineLevel="1" x14ac:dyDescent="0.2">
      <c r="C9" s="11" t="s">
        <v>6</v>
      </c>
      <c r="J9" s="26"/>
    </row>
    <row r="10" spans="1:93" outlineLevel="1" x14ac:dyDescent="0.2">
      <c r="D10" t="str">
        <f>CHOOSE(db_ML_selected,'Liste Traduction'!B439,'Liste Traduction'!C439)</f>
        <v>Date d'entrée en vigueur CPP</v>
      </c>
      <c r="G10" s="36" t="d">
        <v>2012-01-01</v>
      </c>
      <c r="H10" s="16" t="s">
        <v>435</v>
      </c>
      <c r="J10" s="26"/>
    </row>
    <row r="11" spans="1:93" outlineLevel="1" x14ac:dyDescent="0.2">
      <c r="D11" t="str">
        <f>HM_ZB_Nsoko!D12</f>
        <v>Décalage date</v>
      </c>
      <c r="G11" s="40">
        <v>0</v>
      </c>
      <c r="H11" s="16" t="s">
        <v>436</v>
      </c>
      <c r="J11" s="26"/>
    </row>
    <row r="12" spans="1:93" outlineLevel="1" x14ac:dyDescent="0.2">
      <c r="J12" s="26"/>
    </row>
    <row r="13" spans="1:93" outlineLevel="1" x14ac:dyDescent="0.2">
      <c r="C13" s="11" t="str">
        <f>HM_ZB_Nsoko!C14</f>
        <v>Frais</v>
      </c>
      <c r="J13" s="26"/>
    </row>
    <row r="14" spans="1:93" outlineLevel="1" x14ac:dyDescent="0.2">
      <c r="D14" t="str">
        <f>HM_ZB_Nsoko!D15</f>
        <v>Coûts PID</v>
      </c>
      <c r="G14" s="21">
        <v>0.01</v>
      </c>
      <c r="H14" s="16" t="s">
        <v>68</v>
      </c>
      <c r="J14" s="26"/>
    </row>
    <row r="15" spans="1:93" outlineLevel="1" x14ac:dyDescent="0.2">
      <c r="J15" s="26"/>
    </row>
    <row r="16" spans="1:93" outlineLevel="1" x14ac:dyDescent="0.2">
      <c r="J16" s="26"/>
    </row>
    <row r="17" spans="3:15" outlineLevel="1" x14ac:dyDescent="0.2">
      <c r="C17" s="11" t="str">
        <f>HM_ZB_Nsoko!C18</f>
        <v>Redevance</v>
      </c>
      <c r="J17" s="26"/>
    </row>
    <row r="18" spans="3:15" outlineLevel="1" x14ac:dyDescent="0.2">
      <c r="J18" s="26"/>
    </row>
    <row r="19" spans="3:15" outlineLevel="1" x14ac:dyDescent="0.2">
      <c r="D19" t="str">
        <f>HM_ZB_Nsoko!D20</f>
        <v>Pétrole</v>
      </c>
      <c r="G19" s="21">
        <v>0.15</v>
      </c>
      <c r="H19" s="16" t="s">
        <v>72</v>
      </c>
      <c r="J19" s="26"/>
    </row>
    <row r="20" spans="3:15" outlineLevel="1" x14ac:dyDescent="0.2">
      <c r="D20" t="str">
        <f>HM_ZB_Nsoko!D21</f>
        <v>Gaz</v>
      </c>
      <c r="G20" s="21">
        <v>0.15</v>
      </c>
      <c r="H20" s="16" t="s">
        <v>73</v>
      </c>
      <c r="J20" s="26"/>
    </row>
    <row r="21" spans="3:15" outlineLevel="1" x14ac:dyDescent="0.2">
      <c r="J21" s="26"/>
    </row>
    <row r="22" spans="3:15" outlineLevel="1" x14ac:dyDescent="0.2">
      <c r="J22" s="26"/>
    </row>
    <row r="23" spans="3:15" outlineLevel="1" x14ac:dyDescent="0.2">
      <c r="C23" s="11" t="str">
        <f>HM_ZB_Nsoko!C24</f>
        <v>Récupération des coûts</v>
      </c>
      <c r="J23" s="26"/>
    </row>
    <row r="24" spans="3:15" outlineLevel="1" x14ac:dyDescent="0.2">
      <c r="J24" s="26"/>
    </row>
    <row r="25" spans="3:15" outlineLevel="1" x14ac:dyDescent="0.2">
      <c r="D25" t="str">
        <f>HM_ZB_Nsoko!D26</f>
        <v>Cost Stop</v>
      </c>
      <c r="F25" s="33" t="s">
        <v>86</v>
      </c>
      <c r="G25" s="33" t="s">
        <v>87</v>
      </c>
      <c r="H25" s="33" t="s">
        <v>76</v>
      </c>
      <c r="I25" s="33" t="s">
        <v>367</v>
      </c>
      <c r="J25" s="26"/>
      <c r="O25" s="6"/>
    </row>
    <row r="26" spans="3:15" outlineLevel="1" x14ac:dyDescent="0.2">
      <c r="C26" t="str">
        <f>CHOOSE(db_ML_selected,'Liste Traduction'!B440,'Liste Traduction'!C440)</f>
        <v>(% de la prod. brute @min entre PF ou PH)</v>
      </c>
      <c r="E26" s="47"/>
      <c r="F26" s="42" t="s">
        <v>88</v>
      </c>
      <c r="G26" s="42" t="s">
        <v>89</v>
      </c>
      <c r="H26" s="42" t="s">
        <v>90</v>
      </c>
      <c r="I26" s="42" t="s">
        <v>46</v>
      </c>
      <c r="J26" s="26"/>
      <c r="O26" s="6"/>
    </row>
    <row r="27" spans="3:15" outlineLevel="1" x14ac:dyDescent="0.2">
      <c r="D27" s="39"/>
      <c r="F27" s="19">
        <v>0</v>
      </c>
      <c r="G27" s="73">
        <f>F27*conv_BbltoMcf</f>
        <v>0</v>
      </c>
      <c r="H27" s="21">
        <v>0.7</v>
      </c>
      <c r="I27" s="43"/>
      <c r="J27" s="26"/>
      <c r="O27" s="33"/>
    </row>
    <row r="28" spans="3:15" outlineLevel="1" x14ac:dyDescent="0.2">
      <c r="D28" s="39"/>
      <c r="F28" s="19">
        <v>400</v>
      </c>
      <c r="G28" s="73">
        <f>F28*conv_BbltoMcf</f>
        <v>2400</v>
      </c>
      <c r="H28" s="21">
        <v>0.6</v>
      </c>
      <c r="I28" s="19">
        <v>80</v>
      </c>
      <c r="J28" s="26"/>
      <c r="O28" s="33"/>
    </row>
    <row r="29" spans="3:15" outlineLevel="1" x14ac:dyDescent="0.2">
      <c r="D29" s="39"/>
      <c r="F29" s="19">
        <v>600</v>
      </c>
      <c r="G29" s="73">
        <f>F29*conv_BbltoMcf</f>
        <v>3600</v>
      </c>
      <c r="H29" s="21">
        <v>0.5</v>
      </c>
      <c r="I29" s="19"/>
      <c r="J29" s="26"/>
      <c r="O29" s="33"/>
    </row>
    <row r="30" spans="3:15" outlineLevel="1" x14ac:dyDescent="0.2">
      <c r="F30" s="16" t="s">
        <v>419</v>
      </c>
      <c r="G30" s="16" t="s">
        <v>420</v>
      </c>
      <c r="H30" s="16" t="s">
        <v>421</v>
      </c>
      <c r="I30" s="16" t="s">
        <v>422</v>
      </c>
      <c r="J30" s="26"/>
      <c r="O30" s="33"/>
    </row>
    <row r="31" spans="3:15" outlineLevel="1" x14ac:dyDescent="0.2">
      <c r="F31" s="16"/>
      <c r="G31" s="16"/>
      <c r="J31" s="26"/>
      <c r="O31" s="33"/>
    </row>
    <row r="32" spans="3:15" outlineLevel="1" x14ac:dyDescent="0.2">
      <c r="J32" s="26"/>
    </row>
    <row r="33" spans="3:10" outlineLevel="1" x14ac:dyDescent="0.2">
      <c r="D33" t="str">
        <f>CHOOSE(db_ML_selected,'Liste Traduction'!B441,'Liste Traduction'!C441)</f>
        <v xml:space="preserve">Année de base d'inflation pour le Cost Stop </v>
      </c>
      <c r="G33" s="74">
        <v>2019</v>
      </c>
      <c r="H33" s="16" t="s">
        <v>463</v>
      </c>
      <c r="J33" s="26"/>
    </row>
    <row r="34" spans="3:10" outlineLevel="1" x14ac:dyDescent="0.2">
      <c r="J34" s="26"/>
    </row>
    <row r="35" spans="3:10" outlineLevel="1" x14ac:dyDescent="0.2">
      <c r="J35" s="26"/>
    </row>
    <row r="36" spans="3:10" outlineLevel="1" x14ac:dyDescent="0.2">
      <c r="J36" s="26"/>
    </row>
    <row r="37" spans="3:10" outlineLevel="1" x14ac:dyDescent="0.2">
      <c r="D37" t="str">
        <f>HM_ZA_Nkossa!D33</f>
        <v>Cost Oil garanti (COG)</v>
      </c>
      <c r="J37" s="26"/>
    </row>
    <row r="38" spans="3:10" outlineLevel="1" x14ac:dyDescent="0.2">
      <c r="D38" t="str">
        <f>HM_ZA_Nkossa!D34</f>
        <v>(% de la production brute @PF)</v>
      </c>
      <c r="F38" s="34" t="d">
        <f>effective_date_AM_4_AM_6</f>
        <v>2012-01-01</v>
      </c>
      <c r="G38" s="21">
        <v>0.4</v>
      </c>
      <c r="J38" s="26"/>
    </row>
    <row r="39" spans="3:10" outlineLevel="1" x14ac:dyDescent="0.2">
      <c r="F39" s="16" t="s">
        <v>83</v>
      </c>
      <c r="G39" s="16" t="s">
        <v>84</v>
      </c>
      <c r="J39" s="26"/>
    </row>
    <row r="40" spans="3:10" outlineLevel="1" x14ac:dyDescent="0.2">
      <c r="J40" s="26"/>
    </row>
    <row r="41" spans="3:10" outlineLevel="1" x14ac:dyDescent="0.2">
      <c r="J41" s="26"/>
    </row>
    <row r="42" spans="3:10" outlineLevel="1" x14ac:dyDescent="0.2">
      <c r="D42" t="str">
        <f>HM_ZA_Nkossa!D38</f>
        <v>Intérêts sur les coûts reportés</v>
      </c>
      <c r="G42" s="21">
        <v>0</v>
      </c>
      <c r="H42" s="16" t="s">
        <v>362</v>
      </c>
      <c r="J42" s="26"/>
    </row>
    <row r="43" spans="3:10" outlineLevel="1" x14ac:dyDescent="0.2">
      <c r="J43" s="26"/>
    </row>
    <row r="44" spans="3:10" outlineLevel="1" x14ac:dyDescent="0.2">
      <c r="J44" s="26"/>
    </row>
    <row r="45" spans="3:10" outlineLevel="1" x14ac:dyDescent="0.2">
      <c r="J45" s="26"/>
    </row>
    <row r="46" spans="3:10" outlineLevel="1" x14ac:dyDescent="0.2">
      <c r="C46" s="11" t="str">
        <f>HM_ZB_Nsoko!C36</f>
        <v>Excess Cost Oil (ECO)</v>
      </c>
      <c r="F46" s="33" t="s">
        <v>86</v>
      </c>
      <c r="G46" s="33" t="s">
        <v>87</v>
      </c>
      <c r="H46" s="33" t="s">
        <v>92</v>
      </c>
      <c r="I46" s="33" t="s">
        <v>93</v>
      </c>
      <c r="J46" s="26"/>
    </row>
    <row r="47" spans="3:10" outlineLevel="1" x14ac:dyDescent="0.2">
      <c r="F47" s="42" t="s">
        <v>88</v>
      </c>
      <c r="G47" s="42" t="s">
        <v>89</v>
      </c>
      <c r="H47" s="42" t="s">
        <v>90</v>
      </c>
      <c r="I47" s="42" t="s">
        <v>90</v>
      </c>
      <c r="J47" s="26"/>
    </row>
    <row r="48" spans="3:10" outlineLevel="1" x14ac:dyDescent="0.2">
      <c r="F48" s="19">
        <v>0</v>
      </c>
      <c r="G48" s="73">
        <f>F48*conv_BbltoMcf</f>
        <v>0</v>
      </c>
      <c r="H48" s="37">
        <v>0.3</v>
      </c>
      <c r="I48" s="41">
        <f>1-H48</f>
        <v>0.7</v>
      </c>
      <c r="J48" s="26"/>
    </row>
    <row r="49" spans="3:10" outlineLevel="1" x14ac:dyDescent="0.2">
      <c r="F49" s="19">
        <v>400</v>
      </c>
      <c r="G49" s="73">
        <f>F49*conv_BbltoMcf</f>
        <v>2400</v>
      </c>
      <c r="H49" s="21">
        <v>0.45</v>
      </c>
      <c r="I49" s="41">
        <f>1-H49</f>
        <v>0.55000000000000004</v>
      </c>
      <c r="J49" s="26"/>
    </row>
    <row r="50" spans="3:10" outlineLevel="1" x14ac:dyDescent="0.2">
      <c r="F50" s="19">
        <v>600</v>
      </c>
      <c r="G50" s="73">
        <f>F50*conv_BbltoMcf</f>
        <v>3600</v>
      </c>
      <c r="H50" s="21">
        <v>0.7</v>
      </c>
      <c r="I50" s="41">
        <f>1-H50</f>
        <v>0.30000000000000004</v>
      </c>
      <c r="J50" s="26"/>
    </row>
    <row r="51" spans="3:10" outlineLevel="1" x14ac:dyDescent="0.2">
      <c r="F51" s="16" t="s">
        <v>94</v>
      </c>
      <c r="G51" s="16" t="s">
        <v>95</v>
      </c>
      <c r="H51" s="16" t="s">
        <v>96</v>
      </c>
      <c r="I51" s="16" t="s">
        <v>97</v>
      </c>
      <c r="J51" s="26"/>
    </row>
    <row r="52" spans="3:10" outlineLevel="1" x14ac:dyDescent="0.2">
      <c r="J52" s="26"/>
    </row>
    <row r="53" spans="3:10" outlineLevel="1" x14ac:dyDescent="0.2">
      <c r="J53" s="26"/>
    </row>
    <row r="54" spans="3:10" outlineLevel="1" x14ac:dyDescent="0.2">
      <c r="C54" s="11" t="str">
        <f>HM_ZB_Nsoko!C52</f>
        <v>Super Profit Oil (SPO)</v>
      </c>
      <c r="F54" s="33" t="s">
        <v>86</v>
      </c>
      <c r="G54" s="33" t="s">
        <v>101</v>
      </c>
      <c r="H54" s="33" t="s">
        <v>102</v>
      </c>
      <c r="I54" s="33" t="s">
        <v>294</v>
      </c>
      <c r="J54" s="26"/>
    </row>
    <row r="55" spans="3:10" outlineLevel="1" x14ac:dyDescent="0.2">
      <c r="D55" t="s">
        <v>441</v>
      </c>
      <c r="F55" s="42" t="s">
        <v>88</v>
      </c>
      <c r="G55" s="42" t="s">
        <v>90</v>
      </c>
      <c r="H55" s="42" t="s">
        <v>90</v>
      </c>
      <c r="I55" s="42" t="s">
        <v>437</v>
      </c>
      <c r="J55" s="26"/>
    </row>
    <row r="56" spans="3:10" outlineLevel="1" x14ac:dyDescent="0.2">
      <c r="F56" s="19">
        <v>0</v>
      </c>
      <c r="G56" s="37">
        <v>0.66</v>
      </c>
      <c r="H56" s="41">
        <f>1-G56</f>
        <v>0.33999999999999997</v>
      </c>
      <c r="I56" t="s">
        <v>438</v>
      </c>
      <c r="J56" s="26"/>
    </row>
    <row r="57" spans="3:10" outlineLevel="1" x14ac:dyDescent="0.2">
      <c r="F57" s="19">
        <v>400</v>
      </c>
      <c r="G57" s="21">
        <v>0.66</v>
      </c>
      <c r="H57" s="41">
        <f>1-G57</f>
        <v>0.33999999999999997</v>
      </c>
      <c r="I57" t="s">
        <v>439</v>
      </c>
      <c r="J57" s="26"/>
    </row>
    <row r="58" spans="3:10" outlineLevel="1" x14ac:dyDescent="0.2">
      <c r="F58" s="19">
        <v>600</v>
      </c>
      <c r="G58" s="21">
        <v>0.66</v>
      </c>
      <c r="H58" s="41">
        <f>1-G58</f>
        <v>0.33999999999999997</v>
      </c>
      <c r="I58" t="s">
        <v>440</v>
      </c>
      <c r="J58" s="26"/>
    </row>
    <row r="59" spans="3:10" outlineLevel="1" x14ac:dyDescent="0.2">
      <c r="F59" s="16" t="s">
        <v>103</v>
      </c>
      <c r="G59" s="16" t="s">
        <v>104</v>
      </c>
      <c r="H59" s="16" t="s">
        <v>105</v>
      </c>
      <c r="J59" s="26"/>
    </row>
    <row r="60" spans="3:10" outlineLevel="1" x14ac:dyDescent="0.2">
      <c r="J60" s="26"/>
    </row>
    <row r="61" spans="3:10" outlineLevel="1" x14ac:dyDescent="0.2">
      <c r="D61" s="11" t="str">
        <f>CHOOSE(db_ML_selected,'Liste Traduction'!B442,'Liste Traduction'!C442)</f>
        <v>facteur b</v>
      </c>
      <c r="E61" t="s">
        <v>443</v>
      </c>
      <c r="J61" s="26"/>
    </row>
    <row r="62" spans="3:10" outlineLevel="1" x14ac:dyDescent="0.2">
      <c r="J62" s="26"/>
    </row>
    <row r="63" spans="3:10" outlineLevel="1" x14ac:dyDescent="0.2">
      <c r="J63" s="26"/>
    </row>
    <row r="64" spans="3:10" outlineLevel="1" x14ac:dyDescent="0.2">
      <c r="C64" s="11" t="str">
        <f>HM_ZB_Nsoko!C59</f>
        <v>Partage du profit</v>
      </c>
      <c r="F64" s="33" t="s">
        <v>86</v>
      </c>
      <c r="G64" s="33" t="s">
        <v>87</v>
      </c>
      <c r="H64" s="33" t="s">
        <v>377</v>
      </c>
      <c r="I64" s="33" t="s">
        <v>378</v>
      </c>
      <c r="J64" s="33" t="s">
        <v>367</v>
      </c>
    </row>
    <row r="65" spans="3:26" outlineLevel="1" x14ac:dyDescent="0.2">
      <c r="F65" s="42" t="s">
        <v>88</v>
      </c>
      <c r="G65" s="42" t="s">
        <v>89</v>
      </c>
      <c r="H65" s="42" t="s">
        <v>90</v>
      </c>
      <c r="I65" s="42" t="s">
        <v>90</v>
      </c>
      <c r="J65" s="42" t="s">
        <v>46</v>
      </c>
    </row>
    <row r="66" spans="3:26" outlineLevel="1" x14ac:dyDescent="0.2">
      <c r="F66" s="19">
        <v>0</v>
      </c>
      <c r="G66" s="40">
        <f>F66*conv_BbltoMcf</f>
        <v>0</v>
      </c>
      <c r="H66" s="37">
        <v>0.3</v>
      </c>
      <c r="I66" s="41">
        <f>1-H66</f>
        <v>0.7</v>
      </c>
      <c r="J66" s="43"/>
    </row>
    <row r="67" spans="3:26" outlineLevel="1" x14ac:dyDescent="0.2">
      <c r="F67" s="19">
        <v>400</v>
      </c>
      <c r="G67" s="40">
        <f>F67*conv_BbltoMcf</f>
        <v>2400</v>
      </c>
      <c r="H67" s="21">
        <v>0.42</v>
      </c>
      <c r="I67" s="41">
        <f>1-H67</f>
        <v>0.58000000000000007</v>
      </c>
      <c r="J67" s="19">
        <v>80</v>
      </c>
    </row>
    <row r="68" spans="3:26" outlineLevel="1" x14ac:dyDescent="0.2">
      <c r="F68" s="19">
        <v>600</v>
      </c>
      <c r="G68" s="40">
        <f>F68*conv_BbltoMcf</f>
        <v>3600</v>
      </c>
      <c r="H68" s="21">
        <v>0.5</v>
      </c>
      <c r="I68" s="41">
        <f>1-H68</f>
        <v>0.5</v>
      </c>
      <c r="J68" s="19"/>
    </row>
    <row r="69" spans="3:26" outlineLevel="1" x14ac:dyDescent="0.2">
      <c r="F69" s="16" t="s">
        <v>106</v>
      </c>
      <c r="G69" s="16" t="s">
        <v>108</v>
      </c>
      <c r="H69" s="16" t="s">
        <v>109</v>
      </c>
      <c r="I69" s="16" t="s">
        <v>110</v>
      </c>
      <c r="J69" s="16" t="s">
        <v>444</v>
      </c>
    </row>
    <row r="70" spans="3:26" outlineLevel="1" x14ac:dyDescent="0.2">
      <c r="F70" s="6"/>
      <c r="G70" s="6"/>
      <c r="H70" s="6"/>
      <c r="I70" s="6"/>
      <c r="J70" s="26"/>
    </row>
    <row r="71" spans="3:26" outlineLevel="1" x14ac:dyDescent="0.2">
      <c r="F71" s="6"/>
      <c r="G71" s="6"/>
      <c r="H71" s="6"/>
      <c r="I71" s="6"/>
      <c r="J71" s="26"/>
      <c r="Z71" s="6"/>
    </row>
    <row r="72" spans="3:26" outlineLevel="1" x14ac:dyDescent="0.2">
      <c r="D72" t="str">
        <f>CHOOSE(db_ML_selected,'Liste Traduction'!B443,'Liste Traduction'!C443)</f>
        <v>Condition spéciale</v>
      </c>
      <c r="F72" s="19">
        <v>400</v>
      </c>
      <c r="G72" s="40">
        <f>F72*conv_BbltoMcf</f>
        <v>2400</v>
      </c>
      <c r="H72" s="21">
        <v>0.35</v>
      </c>
      <c r="I72" s="41">
        <f>1-H72</f>
        <v>0.65</v>
      </c>
      <c r="J72" s="19" t="s">
        <v>446</v>
      </c>
      <c r="Z72" s="6"/>
    </row>
    <row r="73" spans="3:26" outlineLevel="1" x14ac:dyDescent="0.2">
      <c r="F73" s="6"/>
      <c r="G73" s="6"/>
      <c r="H73" s="16" t="s">
        <v>447</v>
      </c>
      <c r="I73" s="16" t="s">
        <v>448</v>
      </c>
      <c r="J73" s="26"/>
      <c r="Z73" s="6"/>
    </row>
    <row r="74" spans="3:26" outlineLevel="1" x14ac:dyDescent="0.2">
      <c r="J74" s="26"/>
    </row>
    <row r="75" spans="3:26" outlineLevel="1" x14ac:dyDescent="0.2">
      <c r="J75" s="26"/>
    </row>
    <row r="76" spans="3:26" outlineLevel="1" x14ac:dyDescent="0.2">
      <c r="C76" s="11" t="str">
        <f>HM_ZB_Nsoko!C74</f>
        <v>Prix fiscal spécifique</v>
      </c>
      <c r="F76" s="38" t="s">
        <v>75</v>
      </c>
      <c r="G76" s="42" t="s">
        <v>46</v>
      </c>
      <c r="J76" s="26"/>
    </row>
    <row r="77" spans="3:26" outlineLevel="1" x14ac:dyDescent="0.2">
      <c r="D77" t="str">
        <f>HM_ZB_Nsoko!D75</f>
        <v>Prix Haut (PH)</v>
      </c>
      <c r="F77" s="34" t="s">
        <v>449</v>
      </c>
      <c r="G77" s="43">
        <v>90</v>
      </c>
      <c r="H77" s="16" t="s">
        <v>452</v>
      </c>
      <c r="J77" s="26"/>
    </row>
    <row r="78" spans="3:26" outlineLevel="1" x14ac:dyDescent="0.2">
      <c r="F78" s="34" t="s">
        <v>450</v>
      </c>
      <c r="G78" s="43">
        <f>IF(alt_HP2_toggle="Yes", 89.13,50)</f>
        <v>50</v>
      </c>
      <c r="H78" s="16" t="s">
        <v>453</v>
      </c>
      <c r="J78" s="26"/>
    </row>
    <row r="79" spans="3:26" outlineLevel="1" x14ac:dyDescent="0.2">
      <c r="F79" s="16"/>
      <c r="G79" s="16"/>
      <c r="J79" s="26"/>
    </row>
    <row r="80" spans="3:26" outlineLevel="1" x14ac:dyDescent="0.2">
      <c r="D80" t="str">
        <f>CHOOSE(db_ML_selected,'Liste Traduction'!B444,'Liste Traduction'!C444)</f>
        <v>Appliquer PH alternatif pour la Période 2</v>
      </c>
      <c r="F80" s="16"/>
      <c r="G80" s="44" t="s">
        <v>777</v>
      </c>
      <c r="H80" s="16" t="s">
        <v>997</v>
      </c>
      <c r="J80" s="26"/>
    </row>
    <row r="81" spans="1:93" outlineLevel="1" x14ac:dyDescent="0.2">
      <c r="F81" s="16"/>
      <c r="G81" s="16"/>
      <c r="J81" s="26"/>
    </row>
    <row r="82" spans="1:93" outlineLevel="1" x14ac:dyDescent="0.2">
      <c r="D82" t="str">
        <f>CHOOSE(db_ML_selected,'Liste Traduction'!B445,'Liste Traduction'!C445)</f>
        <v>Période 1 = jusqu'à la récupération des capex</v>
      </c>
      <c r="F82" s="16"/>
      <c r="G82" s="16"/>
      <c r="J82" s="26"/>
    </row>
    <row r="83" spans="1:93" outlineLevel="1" x14ac:dyDescent="0.2">
      <c r="J83" s="26"/>
    </row>
    <row r="84" spans="1:93" outlineLevel="1" x14ac:dyDescent="0.2">
      <c r="J84" s="26"/>
    </row>
    <row r="85" spans="1:93" ht="16" thickBot="1" x14ac:dyDescent="0.25">
      <c r="J85" s="26"/>
    </row>
    <row r="86" spans="1:93" ht="22" thickBot="1" x14ac:dyDescent="0.25">
      <c r="A86" s="8"/>
      <c r="B86" s="221" t="str">
        <f>HM_ZB_Nsoko!B81</f>
        <v>Détails propriété</v>
      </c>
      <c r="C86" s="222"/>
      <c r="D86" s="222"/>
      <c r="E86" s="223"/>
      <c r="F86" s="9"/>
      <c r="G86" s="9"/>
      <c r="H86" s="9"/>
      <c r="I86" s="9"/>
      <c r="J86" s="48"/>
      <c r="K86" s="10"/>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row>
    <row r="87" spans="1:93" outlineLevel="1" x14ac:dyDescent="0.2">
      <c r="J87" s="26"/>
    </row>
    <row r="88" spans="1:93" outlineLevel="1" x14ac:dyDescent="0.2">
      <c r="C88" s="11" t="str">
        <f>HM_ZB_Nsoko!C83</f>
        <v>Participation de l'État</v>
      </c>
      <c r="J88" s="26"/>
    </row>
    <row r="89" spans="1:93" outlineLevel="1" x14ac:dyDescent="0.2">
      <c r="D89" t="str">
        <f>HM_ZB_Nsoko!D84</f>
        <v>Participation de la compagnie nationale (SNPC)</v>
      </c>
      <c r="G89" s="37">
        <v>0.15</v>
      </c>
      <c r="H89" s="16" t="s">
        <v>118</v>
      </c>
      <c r="J89" s="26"/>
    </row>
    <row r="90" spans="1:93" outlineLevel="1" x14ac:dyDescent="0.2">
      <c r="D90" t="str">
        <f>HM_ZB_Nsoko!D85</f>
        <v>Consortium compagnie pétrolières internationales</v>
      </c>
      <c r="G90" s="37">
        <v>0.85</v>
      </c>
      <c r="H90" s="16" t="s">
        <v>120</v>
      </c>
      <c r="J90" s="26"/>
    </row>
    <row r="91" spans="1:93" outlineLevel="1" x14ac:dyDescent="0.2">
      <c r="J91" s="26"/>
    </row>
    <row r="92" spans="1:93" outlineLevel="1" x14ac:dyDescent="0.2">
      <c r="D92" t="str">
        <f>HM_ZB_Nsoko!D87</f>
        <v>La compagnie nationale fait-elle partie du groupe contracteur ?</v>
      </c>
      <c r="G92" s="44">
        <v>0</v>
      </c>
      <c r="H92" s="16" t="s">
        <v>119</v>
      </c>
      <c r="J92" s="26"/>
    </row>
    <row r="93" spans="1:93" outlineLevel="1" x14ac:dyDescent="0.2">
      <c r="J93" s="26"/>
    </row>
    <row r="94" spans="1:93" outlineLevel="1" x14ac:dyDescent="0.2">
      <c r="J94" s="26"/>
    </row>
    <row r="95" spans="1:93" outlineLevel="1" x14ac:dyDescent="0.2">
      <c r="C95" s="11" t="str">
        <f>HM_ZB_Nsoko!C90</f>
        <v>Intérêt porté</v>
      </c>
      <c r="H95" s="38" t="str">
        <f>HM_ZB_Nsoko!H90</f>
        <v>Repayment</v>
      </c>
      <c r="J95" s="26"/>
    </row>
    <row r="96" spans="1:93" outlineLevel="1" x14ac:dyDescent="0.2">
      <c r="D96" t="str">
        <f>HM_ZB_Nsoko!D91</f>
        <v>Intérêt porté compagnie nationale - Exploration et évaluation</v>
      </c>
      <c r="F96" s="41">
        <f>HM_ZD_Moho!NOC_WI_perc</f>
        <v>0.15</v>
      </c>
      <c r="G96" s="16" t="s">
        <v>319</v>
      </c>
      <c r="H96" s="44">
        <v>0</v>
      </c>
      <c r="I96" s="16" t="s">
        <v>324</v>
      </c>
      <c r="J96" s="26"/>
    </row>
    <row r="97" spans="3:10" outlineLevel="1" x14ac:dyDescent="0.2">
      <c r="D97" t="str">
        <f>HM_ZB_Nsoko!D92</f>
        <v>Intérêt porté compagnie nationale  - Coûts développement</v>
      </c>
      <c r="F97" s="41">
        <f>HM_ZD_Moho!NOC_WI_perc</f>
        <v>0.15</v>
      </c>
      <c r="G97" s="16" t="s">
        <v>320</v>
      </c>
      <c r="H97" s="44">
        <v>1</v>
      </c>
      <c r="I97" s="16" t="s">
        <v>325</v>
      </c>
      <c r="J97" s="26"/>
    </row>
    <row r="98" spans="3:10" outlineLevel="1" x14ac:dyDescent="0.2">
      <c r="D98" t="str">
        <f>HM_ZB_Nsoko!D93</f>
        <v>Intérêt porté compagnie nationale - Opex</v>
      </c>
      <c r="F98" s="41"/>
      <c r="G98" s="16" t="s">
        <v>322</v>
      </c>
      <c r="H98" s="44">
        <v>0</v>
      </c>
      <c r="I98" s="16" t="s">
        <v>326</v>
      </c>
      <c r="J98" s="26"/>
    </row>
    <row r="99" spans="3:10" outlineLevel="1" x14ac:dyDescent="0.2">
      <c r="J99" s="26"/>
    </row>
    <row r="100" spans="3:10" outlineLevel="1" x14ac:dyDescent="0.2">
      <c r="J100" s="26"/>
    </row>
    <row r="101" spans="3:10" outlineLevel="1" x14ac:dyDescent="0.2">
      <c r="C101" s="11" t="str">
        <f>HM_ZB_Nsoko!C96</f>
        <v>Remboursement du portage</v>
      </c>
      <c r="G101" s="37">
        <v>0.75</v>
      </c>
      <c r="H101" s="16" t="s">
        <v>329</v>
      </c>
      <c r="J101" s="26"/>
    </row>
    <row r="102" spans="3:10" outlineLevel="1" x14ac:dyDescent="0.2">
      <c r="C102" t="str">
        <f>HM_ZB_Nsoko!C97</f>
        <v>(% des droits de l'État disponible pour le remboursement)</v>
      </c>
      <c r="J102" s="26"/>
    </row>
    <row r="103" spans="3:10" outlineLevel="1" x14ac:dyDescent="0.2">
      <c r="J103" s="26"/>
    </row>
    <row r="104" spans="3:10" outlineLevel="1" x14ac:dyDescent="0.2">
      <c r="J104" s="26"/>
    </row>
    <row r="105" spans="3:10" outlineLevel="1" x14ac:dyDescent="0.2">
      <c r="J105" s="26"/>
    </row>
    <row r="106" spans="3:10" outlineLevel="1" x14ac:dyDescent="0.2">
      <c r="J106" s="26"/>
    </row>
    <row r="107" spans="3:10" outlineLevel="1" x14ac:dyDescent="0.2">
      <c r="J107" s="26"/>
    </row>
    <row r="108" spans="3:10" outlineLevel="1" x14ac:dyDescent="0.2">
      <c r="J108" s="26"/>
    </row>
    <row r="109" spans="3:10" outlineLevel="1" x14ac:dyDescent="0.2">
      <c r="J109" s="26"/>
    </row>
    <row r="110" spans="3:10" outlineLevel="1" x14ac:dyDescent="0.2">
      <c r="J110" s="26"/>
    </row>
    <row r="111" spans="3:10" outlineLevel="1" x14ac:dyDescent="0.2">
      <c r="J111" s="26"/>
    </row>
    <row r="112" spans="3:10" outlineLevel="1" x14ac:dyDescent="0.2">
      <c r="J112" s="26"/>
    </row>
    <row r="113" spans="1:93" outlineLevel="1" x14ac:dyDescent="0.2">
      <c r="J113" s="26"/>
    </row>
    <row r="114" spans="1:93" outlineLevel="1" x14ac:dyDescent="0.2">
      <c r="J114" s="26"/>
    </row>
    <row r="115" spans="1:93" outlineLevel="1" x14ac:dyDescent="0.2">
      <c r="J115" s="26"/>
    </row>
    <row r="116" spans="1:93" outlineLevel="1" x14ac:dyDescent="0.2">
      <c r="J116" s="26"/>
    </row>
    <row r="117" spans="1:93" outlineLevel="1" x14ac:dyDescent="0.2">
      <c r="J117" s="26"/>
    </row>
    <row r="118" spans="1:93" outlineLevel="1" x14ac:dyDescent="0.2">
      <c r="J118" s="26"/>
    </row>
    <row r="119" spans="1:93" outlineLevel="1" x14ac:dyDescent="0.2">
      <c r="J119" s="26"/>
    </row>
    <row r="120" spans="1:93" outlineLevel="1" x14ac:dyDescent="0.2">
      <c r="J120" s="26"/>
    </row>
    <row r="121" spans="1:93" outlineLevel="1" x14ac:dyDescent="0.2">
      <c r="J121" s="26"/>
    </row>
    <row r="122" spans="1:93" outlineLevel="1" x14ac:dyDescent="0.2">
      <c r="J122" s="26"/>
    </row>
    <row r="123" spans="1:93" x14ac:dyDescent="0.2">
      <c r="J123" s="26"/>
    </row>
    <row r="124" spans="1:93" ht="16" thickBot="1" x14ac:dyDescent="0.25">
      <c r="J124" s="26"/>
    </row>
    <row r="125" spans="1:93" ht="22" thickBot="1" x14ac:dyDescent="0.25">
      <c r="A125" s="8"/>
      <c r="B125" s="221" t="str">
        <f>HM_ZB_Nsoko!B120</f>
        <v>Calculs</v>
      </c>
      <c r="C125" s="222"/>
      <c r="D125" s="222"/>
      <c r="E125" s="223"/>
      <c r="F125" s="9"/>
      <c r="G125" s="9"/>
      <c r="H125" s="9"/>
      <c r="I125" s="9"/>
      <c r="J125" s="48"/>
      <c r="K125" s="10"/>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row>
    <row r="126" spans="1:93" outlineLevel="1" x14ac:dyDescent="0.2">
      <c r="J126" s="26"/>
    </row>
    <row r="127" spans="1:93" outlineLevel="1" x14ac:dyDescent="0.2">
      <c r="A127" s="45"/>
      <c r="B127" s="38" t="str">
        <f>HM_ZB_Nsoko!B122</f>
        <v>Production et volumes</v>
      </c>
      <c r="C127" s="45"/>
      <c r="D127" s="45"/>
      <c r="E127" s="45"/>
      <c r="J127" s="26"/>
    </row>
    <row r="128" spans="1:93" outlineLevel="1" x14ac:dyDescent="0.2">
      <c r="J128" s="26"/>
    </row>
    <row r="129" spans="1:93" outlineLevel="1" x14ac:dyDescent="0.2">
      <c r="C129" s="11" t="str">
        <f>HM_ZB_Nsoko!C124</f>
        <v>Volumes Production brute</v>
      </c>
      <c r="J129" s="26"/>
    </row>
    <row r="130" spans="1:93" outlineLevel="1" x14ac:dyDescent="0.2">
      <c r="D130" t="str">
        <f>HM_ZB_Nsoko!D125</f>
        <v>Pétrole</v>
      </c>
      <c r="I130" s="30">
        <f ca="1">SUM($L130:$BS130)</f>
        <v>481.67150605728227</v>
      </c>
      <c r="J130" s="26" t="s">
        <v>42</v>
      </c>
      <c r="K130" s="7" t="s">
        <v>131</v>
      </c>
      <c r="L130" s="49">
        <f ca="1">HM_ZD_AM3_2005!L122</f>
        <v>19.447364196999999</v>
      </c>
      <c r="M130" s="49">
        <f ca="1">HM_ZD_AM3_2005!M122</f>
        <v>20.182617144999998</v>
      </c>
      <c r="N130" s="49">
        <f t="shared" ref="N130:AS130" ca="1" si="0">OFFSET(_xlfn.SINGLE(IA_prod_oil),4,)</f>
        <v>15.296483690999999</v>
      </c>
      <c r="O130" s="49">
        <f t="shared" ca="1" si="0"/>
        <v>17.000243239</v>
      </c>
      <c r="P130" s="49">
        <f t="shared" ca="1" si="0"/>
        <v>35.274046927000001</v>
      </c>
      <c r="Q130" s="49">
        <f t="shared" ca="1" si="0"/>
        <v>55.634612757999996</v>
      </c>
      <c r="R130" s="49">
        <f t="shared" ca="1" si="0"/>
        <v>56.357201902999996</v>
      </c>
      <c r="S130" s="49">
        <f t="shared" ca="1" si="0"/>
        <v>52.048200000000001</v>
      </c>
      <c r="T130" s="49">
        <f t="shared" ca="1" si="0"/>
        <v>48.404826</v>
      </c>
      <c r="U130" s="49">
        <f t="shared" ca="1" si="0"/>
        <v>45.016488179999996</v>
      </c>
      <c r="V130" s="49">
        <f t="shared" ca="1" si="0"/>
        <v>41.865334007399994</v>
      </c>
      <c r="W130" s="49">
        <f t="shared" ca="1" si="0"/>
        <v>38.934760626881989</v>
      </c>
      <c r="X130" s="49">
        <f t="shared" ca="1" si="0"/>
        <v>36.20932738300025</v>
      </c>
      <c r="Y130" s="49">
        <f t="shared" ca="1" si="0"/>
        <v>0</v>
      </c>
      <c r="Z130" s="49">
        <f t="shared" ca="1" si="0"/>
        <v>0</v>
      </c>
      <c r="AA130" s="49">
        <f t="shared" ca="1" si="0"/>
        <v>0</v>
      </c>
      <c r="AB130" s="49">
        <f t="shared" ca="1" si="0"/>
        <v>0</v>
      </c>
      <c r="AC130" s="49">
        <f t="shared" ca="1" si="0"/>
        <v>0</v>
      </c>
      <c r="AD130" s="49">
        <f t="shared" ca="1" si="0"/>
        <v>0</v>
      </c>
      <c r="AE130" s="49">
        <f t="shared" ca="1" si="0"/>
        <v>0</v>
      </c>
      <c r="AF130" s="49">
        <f t="shared" ca="1" si="0"/>
        <v>0</v>
      </c>
      <c r="AG130" s="49">
        <f t="shared" ca="1" si="0"/>
        <v>0</v>
      </c>
      <c r="AH130" s="49">
        <f t="shared" ca="1" si="0"/>
        <v>0</v>
      </c>
      <c r="AI130" s="49">
        <f t="shared" ca="1" si="0"/>
        <v>0</v>
      </c>
      <c r="AJ130" s="49">
        <f t="shared" ca="1" si="0"/>
        <v>0</v>
      </c>
      <c r="AK130" s="49">
        <f t="shared" ca="1" si="0"/>
        <v>0</v>
      </c>
      <c r="AL130" s="49">
        <f t="shared" ca="1" si="0"/>
        <v>0</v>
      </c>
      <c r="AM130" s="49">
        <f t="shared" ca="1" si="0"/>
        <v>0</v>
      </c>
      <c r="AN130" s="49">
        <f t="shared" ca="1" si="0"/>
        <v>0</v>
      </c>
      <c r="AO130" s="49">
        <f t="shared" ca="1" si="0"/>
        <v>0</v>
      </c>
      <c r="AP130" s="49">
        <f t="shared" ca="1" si="0"/>
        <v>0</v>
      </c>
      <c r="AQ130" s="49">
        <f t="shared" ca="1" si="0"/>
        <v>0</v>
      </c>
      <c r="AR130" s="49">
        <f t="shared" ca="1" si="0"/>
        <v>0</v>
      </c>
      <c r="AS130" s="49">
        <f t="shared" ca="1" si="0"/>
        <v>0</v>
      </c>
      <c r="AT130" s="49">
        <f t="shared" ref="AT130:BS130" ca="1" si="1">OFFSET(_xlfn.SINGLE(IA_prod_oil),4,)</f>
        <v>0</v>
      </c>
      <c r="AU130" s="49">
        <f t="shared" ca="1" si="1"/>
        <v>0</v>
      </c>
      <c r="AV130" s="49">
        <f t="shared" ca="1" si="1"/>
        <v>0</v>
      </c>
      <c r="AW130" s="49">
        <f t="shared" ca="1" si="1"/>
        <v>0</v>
      </c>
      <c r="AX130" s="49">
        <f t="shared" ca="1" si="1"/>
        <v>0</v>
      </c>
      <c r="AY130" s="49">
        <f t="shared" ca="1" si="1"/>
        <v>0</v>
      </c>
      <c r="AZ130" s="49">
        <f t="shared" ca="1" si="1"/>
        <v>0</v>
      </c>
      <c r="BA130" s="49">
        <f t="shared" ca="1" si="1"/>
        <v>0</v>
      </c>
      <c r="BB130" s="49">
        <f t="shared" ca="1" si="1"/>
        <v>0</v>
      </c>
      <c r="BC130" s="49">
        <f t="shared" ca="1" si="1"/>
        <v>0</v>
      </c>
      <c r="BD130" s="49">
        <f t="shared" ca="1" si="1"/>
        <v>0</v>
      </c>
      <c r="BE130" s="49">
        <f t="shared" ca="1" si="1"/>
        <v>0</v>
      </c>
      <c r="BF130" s="49">
        <f t="shared" ca="1" si="1"/>
        <v>0</v>
      </c>
      <c r="BG130" s="49">
        <f t="shared" ca="1" si="1"/>
        <v>0</v>
      </c>
      <c r="BH130" s="49">
        <f t="shared" ca="1" si="1"/>
        <v>0</v>
      </c>
      <c r="BI130" s="49">
        <f t="shared" ca="1" si="1"/>
        <v>0</v>
      </c>
      <c r="BJ130" s="49">
        <f t="shared" ca="1" si="1"/>
        <v>0</v>
      </c>
      <c r="BK130" s="49">
        <f t="shared" ca="1" si="1"/>
        <v>0</v>
      </c>
      <c r="BL130" s="49">
        <f t="shared" ca="1" si="1"/>
        <v>0</v>
      </c>
      <c r="BM130" s="49">
        <f t="shared" ca="1" si="1"/>
        <v>0</v>
      </c>
      <c r="BN130" s="49">
        <f t="shared" ca="1" si="1"/>
        <v>0</v>
      </c>
      <c r="BO130" s="49">
        <f t="shared" ca="1" si="1"/>
        <v>0</v>
      </c>
      <c r="BP130" s="49">
        <f t="shared" ca="1" si="1"/>
        <v>0</v>
      </c>
      <c r="BQ130" s="49">
        <f t="shared" ca="1" si="1"/>
        <v>0</v>
      </c>
      <c r="BR130" s="49">
        <f t="shared" ca="1" si="1"/>
        <v>0</v>
      </c>
      <c r="BS130" s="49">
        <f t="shared" ca="1" si="1"/>
        <v>0</v>
      </c>
    </row>
    <row r="131" spans="1:93" outlineLevel="1" x14ac:dyDescent="0.2">
      <c r="D131" t="str">
        <f>HM_ZB_Nsoko!D126</f>
        <v>GPL</v>
      </c>
      <c r="I131" s="30">
        <f ca="1">SUM($L131:$BS131)</f>
        <v>0</v>
      </c>
      <c r="J131" s="26" t="s">
        <v>42</v>
      </c>
      <c r="K131" s="7" t="s">
        <v>684</v>
      </c>
      <c r="L131" s="49">
        <f ca="1">HM_ZD_AM3_2005!L123</f>
        <v>0</v>
      </c>
      <c r="M131" s="49">
        <f ca="1">HM_ZD_AM3_2005!M123</f>
        <v>0</v>
      </c>
      <c r="N131" s="49">
        <f t="shared" ref="N131:AS131" ca="1" si="2">OFFSET(_xlfn.SINGLE(IA_prod_lpg),4,)</f>
        <v>0</v>
      </c>
      <c r="O131" s="49">
        <f t="shared" ca="1" si="2"/>
        <v>0</v>
      </c>
      <c r="P131" s="49">
        <f t="shared" ca="1" si="2"/>
        <v>0</v>
      </c>
      <c r="Q131" s="49">
        <f t="shared" ca="1" si="2"/>
        <v>0</v>
      </c>
      <c r="R131" s="49">
        <f t="shared" ca="1" si="2"/>
        <v>0</v>
      </c>
      <c r="S131" s="49">
        <f t="shared" ca="1" si="2"/>
        <v>0</v>
      </c>
      <c r="T131" s="49">
        <f t="shared" ca="1" si="2"/>
        <v>0</v>
      </c>
      <c r="U131" s="49">
        <f t="shared" ca="1" si="2"/>
        <v>0</v>
      </c>
      <c r="V131" s="49">
        <f t="shared" ca="1" si="2"/>
        <v>0</v>
      </c>
      <c r="W131" s="49">
        <f t="shared" ca="1" si="2"/>
        <v>0</v>
      </c>
      <c r="X131" s="49">
        <f t="shared" ca="1" si="2"/>
        <v>0</v>
      </c>
      <c r="Y131" s="49">
        <f t="shared" ca="1" si="2"/>
        <v>0</v>
      </c>
      <c r="Z131" s="49">
        <f t="shared" ca="1" si="2"/>
        <v>0</v>
      </c>
      <c r="AA131" s="49">
        <f t="shared" ca="1" si="2"/>
        <v>0</v>
      </c>
      <c r="AB131" s="49">
        <f t="shared" ca="1" si="2"/>
        <v>0</v>
      </c>
      <c r="AC131" s="49">
        <f t="shared" ca="1" si="2"/>
        <v>0</v>
      </c>
      <c r="AD131" s="49">
        <f t="shared" ca="1" si="2"/>
        <v>0</v>
      </c>
      <c r="AE131" s="49">
        <f t="shared" ca="1" si="2"/>
        <v>0</v>
      </c>
      <c r="AF131" s="49">
        <f t="shared" ca="1" si="2"/>
        <v>0</v>
      </c>
      <c r="AG131" s="49">
        <f t="shared" ca="1" si="2"/>
        <v>0</v>
      </c>
      <c r="AH131" s="49">
        <f t="shared" ca="1" si="2"/>
        <v>0</v>
      </c>
      <c r="AI131" s="49">
        <f t="shared" ca="1" si="2"/>
        <v>0</v>
      </c>
      <c r="AJ131" s="49">
        <f t="shared" ca="1" si="2"/>
        <v>0</v>
      </c>
      <c r="AK131" s="49">
        <f t="shared" ca="1" si="2"/>
        <v>0</v>
      </c>
      <c r="AL131" s="49">
        <f t="shared" ca="1" si="2"/>
        <v>0</v>
      </c>
      <c r="AM131" s="49">
        <f t="shared" ca="1" si="2"/>
        <v>0</v>
      </c>
      <c r="AN131" s="49">
        <f t="shared" ca="1" si="2"/>
        <v>0</v>
      </c>
      <c r="AO131" s="49">
        <f t="shared" ca="1" si="2"/>
        <v>0</v>
      </c>
      <c r="AP131" s="49">
        <f t="shared" ca="1" si="2"/>
        <v>0</v>
      </c>
      <c r="AQ131" s="49">
        <f t="shared" ca="1" si="2"/>
        <v>0</v>
      </c>
      <c r="AR131" s="49">
        <f t="shared" ca="1" si="2"/>
        <v>0</v>
      </c>
      <c r="AS131" s="49">
        <f t="shared" ca="1" si="2"/>
        <v>0</v>
      </c>
      <c r="AT131" s="49">
        <f t="shared" ref="AT131:BS131" ca="1" si="3">OFFSET(_xlfn.SINGLE(IA_prod_lpg),4,)</f>
        <v>0</v>
      </c>
      <c r="AU131" s="49">
        <f t="shared" ca="1" si="3"/>
        <v>0</v>
      </c>
      <c r="AV131" s="49">
        <f t="shared" ca="1" si="3"/>
        <v>0</v>
      </c>
      <c r="AW131" s="49">
        <f t="shared" ca="1" si="3"/>
        <v>0</v>
      </c>
      <c r="AX131" s="49">
        <f t="shared" ca="1" si="3"/>
        <v>0</v>
      </c>
      <c r="AY131" s="49">
        <f t="shared" ca="1" si="3"/>
        <v>0</v>
      </c>
      <c r="AZ131" s="49">
        <f t="shared" ca="1" si="3"/>
        <v>0</v>
      </c>
      <c r="BA131" s="49">
        <f t="shared" ca="1" si="3"/>
        <v>0</v>
      </c>
      <c r="BB131" s="49">
        <f t="shared" ca="1" si="3"/>
        <v>0</v>
      </c>
      <c r="BC131" s="49">
        <f t="shared" ca="1" si="3"/>
        <v>0</v>
      </c>
      <c r="BD131" s="49">
        <f t="shared" ca="1" si="3"/>
        <v>0</v>
      </c>
      <c r="BE131" s="49">
        <f t="shared" ca="1" si="3"/>
        <v>0</v>
      </c>
      <c r="BF131" s="49">
        <f t="shared" ca="1" si="3"/>
        <v>0</v>
      </c>
      <c r="BG131" s="49">
        <f t="shared" ca="1" si="3"/>
        <v>0</v>
      </c>
      <c r="BH131" s="49">
        <f t="shared" ca="1" si="3"/>
        <v>0</v>
      </c>
      <c r="BI131" s="49">
        <f t="shared" ca="1" si="3"/>
        <v>0</v>
      </c>
      <c r="BJ131" s="49">
        <f t="shared" ca="1" si="3"/>
        <v>0</v>
      </c>
      <c r="BK131" s="49">
        <f t="shared" ca="1" si="3"/>
        <v>0</v>
      </c>
      <c r="BL131" s="49">
        <f t="shared" ca="1" si="3"/>
        <v>0</v>
      </c>
      <c r="BM131" s="49">
        <f t="shared" ca="1" si="3"/>
        <v>0</v>
      </c>
      <c r="BN131" s="49">
        <f t="shared" ca="1" si="3"/>
        <v>0</v>
      </c>
      <c r="BO131" s="49">
        <f t="shared" ca="1" si="3"/>
        <v>0</v>
      </c>
      <c r="BP131" s="49">
        <f t="shared" ca="1" si="3"/>
        <v>0</v>
      </c>
      <c r="BQ131" s="49">
        <f t="shared" ca="1" si="3"/>
        <v>0</v>
      </c>
      <c r="BR131" s="49">
        <f t="shared" ca="1" si="3"/>
        <v>0</v>
      </c>
      <c r="BS131" s="49">
        <f t="shared" ca="1" si="3"/>
        <v>0</v>
      </c>
    </row>
    <row r="132" spans="1:93" outlineLevel="1" x14ac:dyDescent="0.2">
      <c r="D132" t="str">
        <f>HM_ZB_Nsoko!D127</f>
        <v>Gaz</v>
      </c>
      <c r="I132" s="46">
        <f ca="1">SUM($L132:$BS132)</f>
        <v>0</v>
      </c>
      <c r="J132" s="26" t="s">
        <v>653</v>
      </c>
      <c r="K132" s="7" t="s">
        <v>132</v>
      </c>
      <c r="L132" s="49">
        <f ca="1">HM_ZD_AM3_2005!L124</f>
        <v>0</v>
      </c>
      <c r="M132" s="49">
        <f ca="1">HM_ZD_AM3_2005!M124</f>
        <v>0</v>
      </c>
      <c r="N132" s="54">
        <f t="shared" ref="N132:AS132" ca="1" si="4">OFFSET(_xlfn.SINGLE(IA_prod_gas),4,)</f>
        <v>0</v>
      </c>
      <c r="O132" s="54">
        <f t="shared" ca="1" si="4"/>
        <v>0</v>
      </c>
      <c r="P132" s="54">
        <f t="shared" ca="1" si="4"/>
        <v>0</v>
      </c>
      <c r="Q132" s="54">
        <f t="shared" ca="1" si="4"/>
        <v>0</v>
      </c>
      <c r="R132" s="54">
        <f t="shared" ca="1" si="4"/>
        <v>0</v>
      </c>
      <c r="S132" s="54">
        <f t="shared" ca="1" si="4"/>
        <v>0</v>
      </c>
      <c r="T132" s="54">
        <f t="shared" ca="1" si="4"/>
        <v>0</v>
      </c>
      <c r="U132" s="54">
        <f t="shared" ca="1" si="4"/>
        <v>0</v>
      </c>
      <c r="V132" s="54">
        <f t="shared" ca="1" si="4"/>
        <v>0</v>
      </c>
      <c r="W132" s="54">
        <f t="shared" ca="1" si="4"/>
        <v>0</v>
      </c>
      <c r="X132" s="54">
        <f t="shared" ca="1" si="4"/>
        <v>0</v>
      </c>
      <c r="Y132" s="54">
        <f t="shared" ca="1" si="4"/>
        <v>0</v>
      </c>
      <c r="Z132" s="54">
        <f t="shared" ca="1" si="4"/>
        <v>0</v>
      </c>
      <c r="AA132" s="54">
        <f t="shared" ca="1" si="4"/>
        <v>0</v>
      </c>
      <c r="AB132" s="54">
        <f t="shared" ca="1" si="4"/>
        <v>0</v>
      </c>
      <c r="AC132" s="54">
        <f t="shared" ca="1" si="4"/>
        <v>0</v>
      </c>
      <c r="AD132" s="54">
        <f t="shared" ca="1" si="4"/>
        <v>0</v>
      </c>
      <c r="AE132" s="54">
        <f t="shared" ca="1" si="4"/>
        <v>0</v>
      </c>
      <c r="AF132" s="54">
        <f t="shared" ca="1" si="4"/>
        <v>0</v>
      </c>
      <c r="AG132" s="54">
        <f t="shared" ca="1" si="4"/>
        <v>0</v>
      </c>
      <c r="AH132" s="54">
        <f t="shared" ca="1" si="4"/>
        <v>0</v>
      </c>
      <c r="AI132" s="54">
        <f t="shared" ca="1" si="4"/>
        <v>0</v>
      </c>
      <c r="AJ132" s="54">
        <f t="shared" ca="1" si="4"/>
        <v>0</v>
      </c>
      <c r="AK132" s="54">
        <f t="shared" ca="1" si="4"/>
        <v>0</v>
      </c>
      <c r="AL132" s="54">
        <f t="shared" ca="1" si="4"/>
        <v>0</v>
      </c>
      <c r="AM132" s="54">
        <f t="shared" ca="1" si="4"/>
        <v>0</v>
      </c>
      <c r="AN132" s="54">
        <f t="shared" ca="1" si="4"/>
        <v>0</v>
      </c>
      <c r="AO132" s="54">
        <f t="shared" ca="1" si="4"/>
        <v>0</v>
      </c>
      <c r="AP132" s="54">
        <f t="shared" ca="1" si="4"/>
        <v>0</v>
      </c>
      <c r="AQ132" s="54">
        <f t="shared" ca="1" si="4"/>
        <v>0</v>
      </c>
      <c r="AR132" s="54">
        <f t="shared" ca="1" si="4"/>
        <v>0</v>
      </c>
      <c r="AS132" s="54">
        <f t="shared" ca="1" si="4"/>
        <v>0</v>
      </c>
      <c r="AT132" s="54">
        <f t="shared" ref="AT132:BS132" ca="1" si="5">OFFSET(_xlfn.SINGLE(IA_prod_gas),4,)</f>
        <v>0</v>
      </c>
      <c r="AU132" s="54">
        <f t="shared" ca="1" si="5"/>
        <v>0</v>
      </c>
      <c r="AV132" s="54">
        <f t="shared" ca="1" si="5"/>
        <v>0</v>
      </c>
      <c r="AW132" s="54">
        <f t="shared" ca="1" si="5"/>
        <v>0</v>
      </c>
      <c r="AX132" s="54">
        <f t="shared" ca="1" si="5"/>
        <v>0</v>
      </c>
      <c r="AY132" s="54">
        <f t="shared" ca="1" si="5"/>
        <v>0</v>
      </c>
      <c r="AZ132" s="54">
        <f t="shared" ca="1" si="5"/>
        <v>0</v>
      </c>
      <c r="BA132" s="54">
        <f t="shared" ca="1" si="5"/>
        <v>0</v>
      </c>
      <c r="BB132" s="54">
        <f t="shared" ca="1" si="5"/>
        <v>0</v>
      </c>
      <c r="BC132" s="54">
        <f t="shared" ca="1" si="5"/>
        <v>0</v>
      </c>
      <c r="BD132" s="54">
        <f t="shared" ca="1" si="5"/>
        <v>0</v>
      </c>
      <c r="BE132" s="54">
        <f t="shared" ca="1" si="5"/>
        <v>0</v>
      </c>
      <c r="BF132" s="54">
        <f t="shared" ca="1" si="5"/>
        <v>0</v>
      </c>
      <c r="BG132" s="54">
        <f t="shared" ca="1" si="5"/>
        <v>0</v>
      </c>
      <c r="BH132" s="54">
        <f t="shared" ca="1" si="5"/>
        <v>0</v>
      </c>
      <c r="BI132" s="54">
        <f t="shared" ca="1" si="5"/>
        <v>0</v>
      </c>
      <c r="BJ132" s="54">
        <f t="shared" ca="1" si="5"/>
        <v>0</v>
      </c>
      <c r="BK132" s="54">
        <f t="shared" ca="1" si="5"/>
        <v>0</v>
      </c>
      <c r="BL132" s="54">
        <f t="shared" ca="1" si="5"/>
        <v>0</v>
      </c>
      <c r="BM132" s="54">
        <f t="shared" ca="1" si="5"/>
        <v>0</v>
      </c>
      <c r="BN132" s="54">
        <f t="shared" ca="1" si="5"/>
        <v>0</v>
      </c>
      <c r="BO132" s="54">
        <f t="shared" ca="1" si="5"/>
        <v>0</v>
      </c>
      <c r="BP132" s="54">
        <f t="shared" ca="1" si="5"/>
        <v>0</v>
      </c>
      <c r="BQ132" s="54">
        <f t="shared" ca="1" si="5"/>
        <v>0</v>
      </c>
      <c r="BR132" s="54">
        <f t="shared" ca="1" si="5"/>
        <v>0</v>
      </c>
      <c r="BS132" s="54">
        <f t="shared" ca="1" si="5"/>
        <v>0</v>
      </c>
    </row>
    <row r="133" spans="1:93" outlineLevel="1" x14ac:dyDescent="0.2">
      <c r="A133" s="6"/>
      <c r="B133" s="6"/>
      <c r="C133" s="6"/>
      <c r="D133" s="47" t="str">
        <f>HM_ZB_Nsoko!D128</f>
        <v>Total</v>
      </c>
      <c r="E133" s="6"/>
      <c r="F133" s="6"/>
      <c r="G133" s="6"/>
      <c r="H133" s="6"/>
      <c r="I133" s="30">
        <f ca="1">SUM($L133:$BS133)</f>
        <v>481.67150605728227</v>
      </c>
      <c r="J133" s="26" t="s">
        <v>130</v>
      </c>
      <c r="K133" s="7" t="s">
        <v>133</v>
      </c>
      <c r="L133" s="49">
        <f t="shared" ref="L133" ca="1" si="6">SUM(L130,L131,L132/conv_CMtoBbls)</f>
        <v>19.447364196999999</v>
      </c>
      <c r="M133" s="49">
        <f t="shared" ref="M133" ca="1" si="7">SUM(M130,M131,M132/conv_CMtoBbls)</f>
        <v>20.182617144999998</v>
      </c>
      <c r="N133" s="49">
        <f t="shared" ref="N133" ca="1" si="8">SUM(N130,N131,N132/conv_CMtoBbls)</f>
        <v>15.296483690999999</v>
      </c>
      <c r="O133" s="49">
        <f t="shared" ref="O133" ca="1" si="9">SUM(O130,O131,O132/conv_CMtoBbls)</f>
        <v>17.000243239</v>
      </c>
      <c r="P133" s="49">
        <f t="shared" ref="P133" ca="1" si="10">SUM(P130,P131,P132/conv_CMtoBbls)</f>
        <v>35.274046927000001</v>
      </c>
      <c r="Q133" s="49">
        <f t="shared" ref="Q133" ca="1" si="11">SUM(Q130,Q131,Q132/conv_CMtoBbls)</f>
        <v>55.634612757999996</v>
      </c>
      <c r="R133" s="49">
        <f t="shared" ref="R133" ca="1" si="12">SUM(R130,R131,R132/conv_CMtoBbls)</f>
        <v>56.357201902999996</v>
      </c>
      <c r="S133" s="49">
        <f t="shared" ref="S133" ca="1" si="13">SUM(S130,S131,S132/conv_CMtoBbls)</f>
        <v>52.048200000000001</v>
      </c>
      <c r="T133" s="49">
        <f t="shared" ref="T133" ca="1" si="14">SUM(T130,T131,T132/conv_CMtoBbls)</f>
        <v>48.404826</v>
      </c>
      <c r="U133" s="49">
        <f t="shared" ref="U133" ca="1" si="15">SUM(U130,U131,U132/conv_CMtoBbls)</f>
        <v>45.016488179999996</v>
      </c>
      <c r="V133" s="49">
        <f t="shared" ref="V133" ca="1" si="16">SUM(V130,V131,V132/conv_CMtoBbls)</f>
        <v>41.865334007399994</v>
      </c>
      <c r="W133" s="49">
        <f t="shared" ref="W133" ca="1" si="17">SUM(W130,W131,W132/conv_CMtoBbls)</f>
        <v>38.934760626881989</v>
      </c>
      <c r="X133" s="49">
        <f t="shared" ref="X133" ca="1" si="18">SUM(X130,X131,X132/conv_CMtoBbls)</f>
        <v>36.20932738300025</v>
      </c>
      <c r="Y133" s="49">
        <f t="shared" ref="Y133" ca="1" si="19">SUM(Y130,Y131,Y132/conv_CMtoBbls)</f>
        <v>0</v>
      </c>
      <c r="Z133" s="49">
        <f t="shared" ref="Z133" ca="1" si="20">SUM(Z130,Z131,Z132/conv_CMtoBbls)</f>
        <v>0</v>
      </c>
      <c r="AA133" s="49">
        <f t="shared" ref="AA133" ca="1" si="21">SUM(AA130,AA131,AA132/conv_CMtoBbls)</f>
        <v>0</v>
      </c>
      <c r="AB133" s="49">
        <f t="shared" ref="AB133" ca="1" si="22">SUM(AB130,AB131,AB132/conv_CMtoBbls)</f>
        <v>0</v>
      </c>
      <c r="AC133" s="49">
        <f t="shared" ref="AC133" ca="1" si="23">SUM(AC130,AC131,AC132/conv_CMtoBbls)</f>
        <v>0</v>
      </c>
      <c r="AD133" s="49">
        <f t="shared" ref="AD133" ca="1" si="24">SUM(AD130,AD131,AD132/conv_CMtoBbls)</f>
        <v>0</v>
      </c>
      <c r="AE133" s="49">
        <f t="shared" ref="AE133" ca="1" si="25">SUM(AE130,AE131,AE132/conv_CMtoBbls)</f>
        <v>0</v>
      </c>
      <c r="AF133" s="49">
        <f t="shared" ref="AF133" ca="1" si="26">SUM(AF130,AF131,AF132/conv_CMtoBbls)</f>
        <v>0</v>
      </c>
      <c r="AG133" s="49">
        <f t="shared" ref="AG133" ca="1" si="27">SUM(AG130,AG131,AG132/conv_CMtoBbls)</f>
        <v>0</v>
      </c>
      <c r="AH133" s="49">
        <f t="shared" ref="AH133" ca="1" si="28">SUM(AH130,AH131,AH132/conv_CMtoBbls)</f>
        <v>0</v>
      </c>
      <c r="AI133" s="49">
        <f t="shared" ref="AI133" ca="1" si="29">SUM(AI130,AI131,AI132/conv_CMtoBbls)</f>
        <v>0</v>
      </c>
      <c r="AJ133" s="49">
        <f t="shared" ref="AJ133" ca="1" si="30">SUM(AJ130,AJ131,AJ132/conv_CMtoBbls)</f>
        <v>0</v>
      </c>
      <c r="AK133" s="49">
        <f t="shared" ref="AK133" ca="1" si="31">SUM(AK130,AK131,AK132/conv_CMtoBbls)</f>
        <v>0</v>
      </c>
      <c r="AL133" s="49">
        <f t="shared" ref="AL133" ca="1" si="32">SUM(AL130,AL131,AL132/conv_CMtoBbls)</f>
        <v>0</v>
      </c>
      <c r="AM133" s="49">
        <f t="shared" ref="AM133" ca="1" si="33">SUM(AM130,AM131,AM132/conv_CMtoBbls)</f>
        <v>0</v>
      </c>
      <c r="AN133" s="49">
        <f t="shared" ref="AN133" ca="1" si="34">SUM(AN130,AN131,AN132/conv_CMtoBbls)</f>
        <v>0</v>
      </c>
      <c r="AO133" s="49">
        <f t="shared" ref="AO133" ca="1" si="35">SUM(AO130,AO131,AO132/conv_CMtoBbls)</f>
        <v>0</v>
      </c>
      <c r="AP133" s="49">
        <f t="shared" ref="AP133" ca="1" si="36">SUM(AP130,AP131,AP132/conv_CMtoBbls)</f>
        <v>0</v>
      </c>
      <c r="AQ133" s="49">
        <f t="shared" ref="AQ133" ca="1" si="37">SUM(AQ130,AQ131,AQ132/conv_CMtoBbls)</f>
        <v>0</v>
      </c>
      <c r="AR133" s="49">
        <f t="shared" ref="AR133" ca="1" si="38">SUM(AR130,AR131,AR132/conv_CMtoBbls)</f>
        <v>0</v>
      </c>
      <c r="AS133" s="49">
        <f t="shared" ref="AS133" ca="1" si="39">SUM(AS130,AS131,AS132/conv_CMtoBbls)</f>
        <v>0</v>
      </c>
      <c r="AT133" s="49">
        <f t="shared" ref="AT133" ca="1" si="40">SUM(AT130,AT131,AT132/conv_CMtoBbls)</f>
        <v>0</v>
      </c>
      <c r="AU133" s="49">
        <f t="shared" ref="AU133" ca="1" si="41">SUM(AU130,AU131,AU132/conv_CMtoBbls)</f>
        <v>0</v>
      </c>
      <c r="AV133" s="49">
        <f t="shared" ref="AV133" ca="1" si="42">SUM(AV130,AV131,AV132/conv_CMtoBbls)</f>
        <v>0</v>
      </c>
      <c r="AW133" s="49">
        <f t="shared" ref="AW133" ca="1" si="43">SUM(AW130,AW131,AW132/conv_CMtoBbls)</f>
        <v>0</v>
      </c>
      <c r="AX133" s="49">
        <f t="shared" ref="AX133" ca="1" si="44">SUM(AX130,AX131,AX132/conv_CMtoBbls)</f>
        <v>0</v>
      </c>
      <c r="AY133" s="49">
        <f t="shared" ref="AY133" ca="1" si="45">SUM(AY130,AY131,AY132/conv_CMtoBbls)</f>
        <v>0</v>
      </c>
      <c r="AZ133" s="49">
        <f t="shared" ref="AZ133" ca="1" si="46">SUM(AZ130,AZ131,AZ132/conv_CMtoBbls)</f>
        <v>0</v>
      </c>
      <c r="BA133" s="49">
        <f t="shared" ref="BA133" ca="1" si="47">SUM(BA130,BA131,BA132/conv_CMtoBbls)</f>
        <v>0</v>
      </c>
      <c r="BB133" s="49">
        <f t="shared" ref="BB133" ca="1" si="48">SUM(BB130,BB131,BB132/conv_CMtoBbls)</f>
        <v>0</v>
      </c>
      <c r="BC133" s="49">
        <f t="shared" ref="BC133" ca="1" si="49">SUM(BC130,BC131,BC132/conv_CMtoBbls)</f>
        <v>0</v>
      </c>
      <c r="BD133" s="49">
        <f t="shared" ref="BD133" ca="1" si="50">SUM(BD130,BD131,BD132/conv_CMtoBbls)</f>
        <v>0</v>
      </c>
      <c r="BE133" s="49">
        <f t="shared" ref="BE133" ca="1" si="51">SUM(BE130,BE131,BE132/conv_CMtoBbls)</f>
        <v>0</v>
      </c>
      <c r="BF133" s="49">
        <f t="shared" ref="BF133" ca="1" si="52">SUM(BF130,BF131,BF132/conv_CMtoBbls)</f>
        <v>0</v>
      </c>
      <c r="BG133" s="49">
        <f t="shared" ref="BG133" ca="1" si="53">SUM(BG130,BG131,BG132/conv_CMtoBbls)</f>
        <v>0</v>
      </c>
      <c r="BH133" s="49">
        <f t="shared" ref="BH133" ca="1" si="54">SUM(BH130,BH131,BH132/conv_CMtoBbls)</f>
        <v>0</v>
      </c>
      <c r="BI133" s="49">
        <f t="shared" ref="BI133" ca="1" si="55">SUM(BI130,BI131,BI132/conv_CMtoBbls)</f>
        <v>0</v>
      </c>
      <c r="BJ133" s="49">
        <f t="shared" ref="BJ133" ca="1" si="56">SUM(BJ130,BJ131,BJ132/conv_CMtoBbls)</f>
        <v>0</v>
      </c>
      <c r="BK133" s="49">
        <f t="shared" ref="BK133" ca="1" si="57">SUM(BK130,BK131,BK132/conv_CMtoBbls)</f>
        <v>0</v>
      </c>
      <c r="BL133" s="49">
        <f t="shared" ref="BL133" ca="1" si="58">SUM(BL130,BL131,BL132/conv_CMtoBbls)</f>
        <v>0</v>
      </c>
      <c r="BM133" s="49">
        <f t="shared" ref="BM133" ca="1" si="59">SUM(BM130,BM131,BM132/conv_CMtoBbls)</f>
        <v>0</v>
      </c>
      <c r="BN133" s="49">
        <f t="shared" ref="BN133" ca="1" si="60">SUM(BN130,BN131,BN132/conv_CMtoBbls)</f>
        <v>0</v>
      </c>
      <c r="BO133" s="49">
        <f t="shared" ref="BO133" ca="1" si="61">SUM(BO130,BO131,BO132/conv_CMtoBbls)</f>
        <v>0</v>
      </c>
      <c r="BP133" s="49">
        <f t="shared" ref="BP133" ca="1" si="62">SUM(BP130,BP131,BP132/conv_CMtoBbls)</f>
        <v>0</v>
      </c>
      <c r="BQ133" s="49">
        <f t="shared" ref="BQ133" ca="1" si="63">SUM(BQ130,BQ131,BQ132/conv_CMtoBbls)</f>
        <v>0</v>
      </c>
      <c r="BR133" s="49">
        <f t="shared" ref="BR133" ca="1" si="64">SUM(BR130,BR131,BR132/conv_CMtoBbls)</f>
        <v>0</v>
      </c>
      <c r="BS133" s="49">
        <f t="shared" ref="BS133" ca="1" si="65">SUM(BS130,BS131,BS132/conv_CMtoBbls)</f>
        <v>0</v>
      </c>
      <c r="BT133" s="6"/>
      <c r="BU133" s="6"/>
      <c r="BV133" s="6"/>
      <c r="BW133" s="6"/>
      <c r="BX133" s="6"/>
      <c r="BY133" s="6"/>
      <c r="BZ133" s="6"/>
      <c r="CA133" s="6"/>
      <c r="CB133" s="6"/>
      <c r="CC133" s="6"/>
      <c r="CD133" s="6"/>
      <c r="CE133" s="6"/>
      <c r="CF133" s="6"/>
      <c r="CG133" s="6"/>
      <c r="CH133" s="6"/>
      <c r="CI133" s="6"/>
      <c r="CJ133" s="6"/>
      <c r="CK133" s="6"/>
      <c r="CL133" s="6"/>
      <c r="CM133" s="6"/>
      <c r="CN133" s="6"/>
      <c r="CO133" s="6"/>
    </row>
    <row r="134" spans="1:93" outlineLevel="1" x14ac:dyDescent="0.2">
      <c r="J134" s="26"/>
      <c r="L134" s="55"/>
      <c r="M134" s="55"/>
      <c r="N134" s="55"/>
      <c r="O134" s="55"/>
      <c r="P134" s="55"/>
      <c r="Q134" s="55"/>
      <c r="R134" s="55"/>
      <c r="S134" s="55"/>
      <c r="T134" s="55"/>
      <c r="U134" s="55"/>
      <c r="V134" s="55"/>
      <c r="W134" s="55"/>
      <c r="X134" s="55"/>
      <c r="Y134" s="55"/>
      <c r="Z134" s="55"/>
      <c r="AA134" s="55"/>
      <c r="AB134" s="55"/>
      <c r="AC134" s="55"/>
      <c r="AD134" s="55"/>
      <c r="AE134" s="55"/>
      <c r="AF134" s="55"/>
      <c r="AG134" s="55"/>
      <c r="AH134" s="55"/>
      <c r="AI134" s="55"/>
      <c r="AJ134" s="55"/>
      <c r="AK134" s="55"/>
      <c r="AL134" s="55"/>
      <c r="AM134" s="55"/>
      <c r="AN134" s="55"/>
      <c r="AO134" s="55"/>
      <c r="AP134" s="55"/>
      <c r="AQ134" s="55"/>
      <c r="AR134" s="55"/>
      <c r="AS134" s="55"/>
      <c r="AT134" s="55"/>
      <c r="AU134" s="55"/>
      <c r="AV134" s="55"/>
      <c r="AW134" s="55"/>
      <c r="AX134" s="55"/>
      <c r="AY134" s="55"/>
      <c r="AZ134" s="55"/>
      <c r="BA134" s="55"/>
      <c r="BB134" s="55"/>
      <c r="BC134" s="55"/>
      <c r="BD134" s="55"/>
      <c r="BE134" s="55"/>
      <c r="BF134" s="55"/>
      <c r="BG134" s="55"/>
      <c r="BH134" s="55"/>
      <c r="BI134" s="55"/>
      <c r="BJ134" s="55"/>
      <c r="BK134" s="55"/>
      <c r="BL134" s="55"/>
      <c r="BM134" s="55"/>
      <c r="BN134" s="55"/>
      <c r="BO134" s="55"/>
      <c r="BP134" s="55"/>
      <c r="BQ134" s="55"/>
      <c r="BR134" s="55"/>
      <c r="BS134" s="55"/>
    </row>
    <row r="135" spans="1:93" outlineLevel="1" x14ac:dyDescent="0.2">
      <c r="C135" s="11" t="str">
        <f>HM_ZB_Nsoko!C130</f>
        <v>Volumes de production brute cumulés</v>
      </c>
      <c r="J135" s="26"/>
      <c r="L135" s="55"/>
      <c r="M135" s="55"/>
      <c r="N135" s="55"/>
      <c r="O135" s="55"/>
      <c r="P135" s="55"/>
      <c r="Q135" s="55"/>
      <c r="R135" s="55"/>
      <c r="S135" s="55"/>
      <c r="T135" s="55"/>
      <c r="U135" s="55"/>
      <c r="V135" s="55"/>
      <c r="W135" s="55"/>
      <c r="X135" s="55"/>
      <c r="Y135" s="55"/>
      <c r="Z135" s="55"/>
      <c r="AA135" s="55"/>
      <c r="AB135" s="55"/>
      <c r="AC135" s="55"/>
      <c r="AD135" s="55"/>
      <c r="AE135" s="55"/>
      <c r="AF135" s="55"/>
      <c r="AG135" s="55"/>
      <c r="AH135" s="55"/>
      <c r="AI135" s="55"/>
      <c r="AJ135" s="55"/>
      <c r="AK135" s="55"/>
      <c r="AL135" s="55"/>
      <c r="AM135" s="55"/>
      <c r="AN135" s="55"/>
      <c r="AO135" s="55"/>
      <c r="AP135" s="55"/>
      <c r="AQ135" s="55"/>
      <c r="AR135" s="55"/>
      <c r="AS135" s="55"/>
      <c r="AT135" s="55"/>
      <c r="AU135" s="55"/>
      <c r="AV135" s="55"/>
      <c r="AW135" s="55"/>
      <c r="AX135" s="55"/>
      <c r="AY135" s="55"/>
      <c r="AZ135" s="55"/>
      <c r="BA135" s="55"/>
      <c r="BB135" s="55"/>
      <c r="BC135" s="55"/>
      <c r="BD135" s="55"/>
      <c r="BE135" s="55"/>
      <c r="BF135" s="55"/>
      <c r="BG135" s="55"/>
      <c r="BH135" s="55"/>
      <c r="BI135" s="55"/>
      <c r="BJ135" s="55"/>
      <c r="BK135" s="55"/>
      <c r="BL135" s="55"/>
      <c r="BM135" s="55"/>
      <c r="BN135" s="55"/>
      <c r="BO135" s="55"/>
      <c r="BP135" s="55"/>
      <c r="BQ135" s="55"/>
      <c r="BR135" s="55"/>
      <c r="BS135" s="55"/>
    </row>
    <row r="136" spans="1:93" outlineLevel="1" x14ac:dyDescent="0.2">
      <c r="D136" t="str">
        <f>HM_ZB_Nsoko!D131</f>
        <v>Pétrole</v>
      </c>
      <c r="J136" s="26" t="s">
        <v>42</v>
      </c>
      <c r="K136" s="7" t="s">
        <v>135</v>
      </c>
      <c r="L136" s="49">
        <f ca="1">HM_ZD_AM3_2005!L128</f>
        <v>219.44736419700001</v>
      </c>
      <c r="M136" s="49">
        <f ca="1">HM_ZD_AM3_2005!M128</f>
        <v>239.62998134200001</v>
      </c>
      <c r="N136" s="49">
        <f ca="1">SUM(M136)+HM_ZD_Moho!CA_gross_prod_oil</f>
        <v>254.926465033</v>
      </c>
      <c r="O136" s="49">
        <f ca="1">SUM(N136)+HM_ZD_Moho!CA_gross_prod_oil</f>
        <v>271.92670827199998</v>
      </c>
      <c r="P136" s="49">
        <f ca="1">SUM(O136)+HM_ZD_Moho!CA_gross_prod_oil</f>
        <v>307.20075519900001</v>
      </c>
      <c r="Q136" s="49">
        <f ca="1">SUM(P136)+HM_ZD_Moho!CA_gross_prod_oil</f>
        <v>362.83536795700002</v>
      </c>
      <c r="R136" s="49">
        <f ca="1">SUM(Q136)+HM_ZD_Moho!CA_gross_prod_oil</f>
        <v>419.19256985999999</v>
      </c>
      <c r="S136" s="49">
        <f ca="1">SUM(R136)+HM_ZD_Moho!CA_gross_prod_oil</f>
        <v>471.24076986</v>
      </c>
      <c r="T136" s="49">
        <f ca="1">SUM(S136)+HM_ZD_Moho!CA_gross_prod_oil</f>
        <v>519.64559585999996</v>
      </c>
      <c r="U136" s="49">
        <f ca="1">SUM(T136)+HM_ZD_Moho!CA_gross_prod_oil</f>
        <v>564.66208403999997</v>
      </c>
      <c r="V136" s="49">
        <f ca="1">SUM(U136)+HM_ZD_Moho!CA_gross_prod_oil</f>
        <v>606.52741804739992</v>
      </c>
      <c r="W136" s="49">
        <f ca="1">SUM(V136)+HM_ZD_Moho!CA_gross_prod_oil</f>
        <v>645.46217867428186</v>
      </c>
      <c r="X136" s="49">
        <f ca="1">SUM(W136)+HM_ZD_Moho!CA_gross_prod_oil</f>
        <v>681.67150605728216</v>
      </c>
      <c r="Y136" s="49">
        <f ca="1">SUM(X136)+HM_ZD_Moho!CA_gross_prod_oil</f>
        <v>681.67150605728216</v>
      </c>
      <c r="Z136" s="49">
        <f ca="1">SUM(Y136)+HM_ZD_Moho!CA_gross_prod_oil</f>
        <v>681.67150605728216</v>
      </c>
      <c r="AA136" s="49">
        <f ca="1">SUM(Z136)+HM_ZD_Moho!CA_gross_prod_oil</f>
        <v>681.67150605728216</v>
      </c>
      <c r="AB136" s="49">
        <f ca="1">SUM(AA136)+HM_ZD_Moho!CA_gross_prod_oil</f>
        <v>681.67150605728216</v>
      </c>
      <c r="AC136" s="49">
        <f ca="1">SUM(AB136)+HM_ZD_Moho!CA_gross_prod_oil</f>
        <v>681.67150605728216</v>
      </c>
      <c r="AD136" s="49">
        <f ca="1">SUM(AC136)+HM_ZD_Moho!CA_gross_prod_oil</f>
        <v>681.67150605728216</v>
      </c>
      <c r="AE136" s="49">
        <f ca="1">SUM(AD136)+HM_ZD_Moho!CA_gross_prod_oil</f>
        <v>681.67150605728216</v>
      </c>
      <c r="AF136" s="49">
        <f ca="1">SUM(AE136)+HM_ZD_Moho!CA_gross_prod_oil</f>
        <v>681.67150605728216</v>
      </c>
      <c r="AG136" s="49">
        <f ca="1">SUM(AF136)+HM_ZD_Moho!CA_gross_prod_oil</f>
        <v>681.67150605728216</v>
      </c>
      <c r="AH136" s="49">
        <f ca="1">SUM(AG136)+HM_ZD_Moho!CA_gross_prod_oil</f>
        <v>681.67150605728216</v>
      </c>
      <c r="AI136" s="49">
        <f ca="1">SUM(AH136)+HM_ZD_Moho!CA_gross_prod_oil</f>
        <v>681.67150605728216</v>
      </c>
      <c r="AJ136" s="49">
        <f ca="1">SUM(AI136)+HM_ZD_Moho!CA_gross_prod_oil</f>
        <v>681.67150605728216</v>
      </c>
      <c r="AK136" s="49">
        <f ca="1">SUM(AJ136)+HM_ZD_Moho!CA_gross_prod_oil</f>
        <v>681.67150605728216</v>
      </c>
      <c r="AL136" s="49">
        <f ca="1">SUM(AK136)+HM_ZD_Moho!CA_gross_prod_oil</f>
        <v>681.67150605728216</v>
      </c>
      <c r="AM136" s="49">
        <f ca="1">SUM(AL136)+HM_ZD_Moho!CA_gross_prod_oil</f>
        <v>681.67150605728216</v>
      </c>
      <c r="AN136" s="49">
        <f ca="1">SUM(AM136)+HM_ZD_Moho!CA_gross_prod_oil</f>
        <v>681.67150605728216</v>
      </c>
      <c r="AO136" s="49">
        <f ca="1">SUM(AN136)+HM_ZD_Moho!CA_gross_prod_oil</f>
        <v>681.67150605728216</v>
      </c>
      <c r="AP136" s="49">
        <f ca="1">SUM(AO136)+HM_ZD_Moho!CA_gross_prod_oil</f>
        <v>681.67150605728216</v>
      </c>
      <c r="AQ136" s="49">
        <f ca="1">SUM(AP136)+HM_ZD_Moho!CA_gross_prod_oil</f>
        <v>681.67150605728216</v>
      </c>
      <c r="AR136" s="49">
        <f ca="1">SUM(AQ136)+HM_ZD_Moho!CA_gross_prod_oil</f>
        <v>681.67150605728216</v>
      </c>
      <c r="AS136" s="49">
        <f ca="1">SUM(AR136)+HM_ZD_Moho!CA_gross_prod_oil</f>
        <v>681.67150605728216</v>
      </c>
      <c r="AT136" s="49">
        <f ca="1">SUM(AS136)+HM_ZD_Moho!CA_gross_prod_oil</f>
        <v>681.67150605728216</v>
      </c>
      <c r="AU136" s="49">
        <f ca="1">SUM(AT136)+HM_ZD_Moho!CA_gross_prod_oil</f>
        <v>681.67150605728216</v>
      </c>
      <c r="AV136" s="49">
        <f ca="1">SUM(AU136)+HM_ZD_Moho!CA_gross_prod_oil</f>
        <v>681.67150605728216</v>
      </c>
      <c r="AW136" s="49">
        <f ca="1">SUM(AV136)+HM_ZD_Moho!CA_gross_prod_oil</f>
        <v>681.67150605728216</v>
      </c>
      <c r="AX136" s="49">
        <f ca="1">SUM(AW136)+HM_ZD_Moho!CA_gross_prod_oil</f>
        <v>681.67150605728216</v>
      </c>
      <c r="AY136" s="49">
        <f ca="1">SUM(AX136)+HM_ZD_Moho!CA_gross_prod_oil</f>
        <v>681.67150605728216</v>
      </c>
      <c r="AZ136" s="49">
        <f ca="1">SUM(AY136)+HM_ZD_Moho!CA_gross_prod_oil</f>
        <v>681.67150605728216</v>
      </c>
      <c r="BA136" s="49">
        <f ca="1">SUM(AZ136)+HM_ZD_Moho!CA_gross_prod_oil</f>
        <v>681.67150605728216</v>
      </c>
      <c r="BB136" s="49">
        <f ca="1">SUM(BA136)+HM_ZD_Moho!CA_gross_prod_oil</f>
        <v>681.67150605728216</v>
      </c>
      <c r="BC136" s="49">
        <f ca="1">SUM(BB136)+HM_ZD_Moho!CA_gross_prod_oil</f>
        <v>681.67150605728216</v>
      </c>
      <c r="BD136" s="49">
        <f ca="1">SUM(BC136)+HM_ZD_Moho!CA_gross_prod_oil</f>
        <v>681.67150605728216</v>
      </c>
      <c r="BE136" s="49">
        <f ca="1">SUM(BD136)+HM_ZD_Moho!CA_gross_prod_oil</f>
        <v>681.67150605728216</v>
      </c>
      <c r="BF136" s="49">
        <f ca="1">SUM(BE136)+HM_ZD_Moho!CA_gross_prod_oil</f>
        <v>681.67150605728216</v>
      </c>
      <c r="BG136" s="49">
        <f ca="1">SUM(BF136)+HM_ZD_Moho!CA_gross_prod_oil</f>
        <v>681.67150605728216</v>
      </c>
      <c r="BH136" s="49">
        <f ca="1">SUM(BG136)+HM_ZD_Moho!CA_gross_prod_oil</f>
        <v>681.67150605728216</v>
      </c>
      <c r="BI136" s="49">
        <f ca="1">SUM(BH136)+HM_ZD_Moho!CA_gross_prod_oil</f>
        <v>681.67150605728216</v>
      </c>
      <c r="BJ136" s="49">
        <f ca="1">SUM(BI136)+HM_ZD_Moho!CA_gross_prod_oil</f>
        <v>681.67150605728216</v>
      </c>
      <c r="BK136" s="49">
        <f ca="1">SUM(BJ136)+HM_ZD_Moho!CA_gross_prod_oil</f>
        <v>681.67150605728216</v>
      </c>
      <c r="BL136" s="49">
        <f ca="1">SUM(BK136)+HM_ZD_Moho!CA_gross_prod_oil</f>
        <v>681.67150605728216</v>
      </c>
      <c r="BM136" s="49">
        <f ca="1">SUM(BL136)+HM_ZD_Moho!CA_gross_prod_oil</f>
        <v>681.67150605728216</v>
      </c>
      <c r="BN136" s="49">
        <f ca="1">SUM(BM136)+HM_ZD_Moho!CA_gross_prod_oil</f>
        <v>681.67150605728216</v>
      </c>
      <c r="BO136" s="49">
        <f ca="1">SUM(BN136)+HM_ZD_Moho!CA_gross_prod_oil</f>
        <v>681.67150605728216</v>
      </c>
      <c r="BP136" s="49">
        <f ca="1">SUM(BO136)+HM_ZD_Moho!CA_gross_prod_oil</f>
        <v>681.67150605728216</v>
      </c>
      <c r="BQ136" s="49">
        <f ca="1">SUM(BP136)+HM_ZD_Moho!CA_gross_prod_oil</f>
        <v>681.67150605728216</v>
      </c>
      <c r="BR136" s="49">
        <f ca="1">SUM(BQ136)+HM_ZD_Moho!CA_gross_prod_oil</f>
        <v>681.67150605728216</v>
      </c>
      <c r="BS136" s="49">
        <f ca="1">SUM(BR136)+HM_ZD_Moho!CA_gross_prod_oil</f>
        <v>681.67150605728216</v>
      </c>
    </row>
    <row r="137" spans="1:93" outlineLevel="1" x14ac:dyDescent="0.2">
      <c r="D137" t="str">
        <f>HM_ZB_Nsoko!D132</f>
        <v>GPL</v>
      </c>
      <c r="J137" s="26" t="s">
        <v>42</v>
      </c>
      <c r="K137" s="7" t="s">
        <v>686</v>
      </c>
      <c r="L137" s="49">
        <f ca="1">HM_ZD_AM3_2005!L129</f>
        <v>0</v>
      </c>
      <c r="M137" s="49">
        <f ca="1">HM_ZD_AM3_2005!M129</f>
        <v>0</v>
      </c>
      <c r="N137" s="49">
        <f ca="1">SUM(M137)+HM_ZD_Moho!CA_gross_prod_lpg</f>
        <v>0</v>
      </c>
      <c r="O137" s="49">
        <f ca="1">SUM(N137)+HM_ZD_Moho!CA_gross_prod_lpg</f>
        <v>0</v>
      </c>
      <c r="P137" s="49">
        <f ca="1">SUM(O137)+HM_ZD_Moho!CA_gross_prod_lpg</f>
        <v>0</v>
      </c>
      <c r="Q137" s="49">
        <f ca="1">SUM(P137)+HM_ZD_Moho!CA_gross_prod_lpg</f>
        <v>0</v>
      </c>
      <c r="R137" s="49">
        <f ca="1">SUM(Q137)+HM_ZD_Moho!CA_gross_prod_lpg</f>
        <v>0</v>
      </c>
      <c r="S137" s="49">
        <f ca="1">SUM(R137)+HM_ZD_Moho!CA_gross_prod_lpg</f>
        <v>0</v>
      </c>
      <c r="T137" s="49">
        <f ca="1">SUM(S137)+HM_ZD_Moho!CA_gross_prod_lpg</f>
        <v>0</v>
      </c>
      <c r="U137" s="49">
        <f ca="1">SUM(T137)+HM_ZD_Moho!CA_gross_prod_lpg</f>
        <v>0</v>
      </c>
      <c r="V137" s="49">
        <f ca="1">SUM(U137)+HM_ZD_Moho!CA_gross_prod_lpg</f>
        <v>0</v>
      </c>
      <c r="W137" s="49">
        <f ca="1">SUM(V137)+HM_ZD_Moho!CA_gross_prod_lpg</f>
        <v>0</v>
      </c>
      <c r="X137" s="49">
        <f ca="1">SUM(W137)+HM_ZD_Moho!CA_gross_prod_lpg</f>
        <v>0</v>
      </c>
      <c r="Y137" s="49">
        <f ca="1">SUM(X137)+HM_ZD_Moho!CA_gross_prod_lpg</f>
        <v>0</v>
      </c>
      <c r="Z137" s="49">
        <f ca="1">SUM(Y137)+HM_ZD_Moho!CA_gross_prod_lpg</f>
        <v>0</v>
      </c>
      <c r="AA137" s="49">
        <f ca="1">SUM(Z137)+HM_ZD_Moho!CA_gross_prod_lpg</f>
        <v>0</v>
      </c>
      <c r="AB137" s="49">
        <f ca="1">SUM(AA137)+HM_ZD_Moho!CA_gross_prod_lpg</f>
        <v>0</v>
      </c>
      <c r="AC137" s="49">
        <f ca="1">SUM(AB137)+HM_ZD_Moho!CA_gross_prod_lpg</f>
        <v>0</v>
      </c>
      <c r="AD137" s="49">
        <f ca="1">SUM(AC137)+HM_ZD_Moho!CA_gross_prod_lpg</f>
        <v>0</v>
      </c>
      <c r="AE137" s="49">
        <f ca="1">SUM(AD137)+HM_ZD_Moho!CA_gross_prod_lpg</f>
        <v>0</v>
      </c>
      <c r="AF137" s="49">
        <f ca="1">SUM(AE137)+HM_ZD_Moho!CA_gross_prod_lpg</f>
        <v>0</v>
      </c>
      <c r="AG137" s="49">
        <f ca="1">SUM(AF137)+HM_ZD_Moho!CA_gross_prod_lpg</f>
        <v>0</v>
      </c>
      <c r="AH137" s="49">
        <f ca="1">SUM(AG137)+HM_ZD_Moho!CA_gross_prod_lpg</f>
        <v>0</v>
      </c>
      <c r="AI137" s="49">
        <f ca="1">SUM(AH137)+HM_ZD_Moho!CA_gross_prod_lpg</f>
        <v>0</v>
      </c>
      <c r="AJ137" s="49">
        <f ca="1">SUM(AI137)+HM_ZD_Moho!CA_gross_prod_lpg</f>
        <v>0</v>
      </c>
      <c r="AK137" s="49">
        <f ca="1">SUM(AJ137)+HM_ZD_Moho!CA_gross_prod_lpg</f>
        <v>0</v>
      </c>
      <c r="AL137" s="49">
        <f ca="1">SUM(AK137)+HM_ZD_Moho!CA_gross_prod_lpg</f>
        <v>0</v>
      </c>
      <c r="AM137" s="49">
        <f ca="1">SUM(AL137)+HM_ZD_Moho!CA_gross_prod_lpg</f>
        <v>0</v>
      </c>
      <c r="AN137" s="49">
        <f ca="1">SUM(AM137)+HM_ZD_Moho!CA_gross_prod_lpg</f>
        <v>0</v>
      </c>
      <c r="AO137" s="49">
        <f ca="1">SUM(AN137)+HM_ZD_Moho!CA_gross_prod_lpg</f>
        <v>0</v>
      </c>
      <c r="AP137" s="49">
        <f ca="1">SUM(AO137)+HM_ZD_Moho!CA_gross_prod_lpg</f>
        <v>0</v>
      </c>
      <c r="AQ137" s="49">
        <f ca="1">SUM(AP137)+HM_ZD_Moho!CA_gross_prod_lpg</f>
        <v>0</v>
      </c>
      <c r="AR137" s="49">
        <f ca="1">SUM(AQ137)+HM_ZD_Moho!CA_gross_prod_lpg</f>
        <v>0</v>
      </c>
      <c r="AS137" s="49">
        <f ca="1">SUM(AR137)+HM_ZD_Moho!CA_gross_prod_lpg</f>
        <v>0</v>
      </c>
      <c r="AT137" s="49">
        <f ca="1">SUM(AS137)+HM_ZD_Moho!CA_gross_prod_lpg</f>
        <v>0</v>
      </c>
      <c r="AU137" s="49">
        <f ca="1">SUM(AT137)+HM_ZD_Moho!CA_gross_prod_lpg</f>
        <v>0</v>
      </c>
      <c r="AV137" s="49">
        <f ca="1">SUM(AU137)+HM_ZD_Moho!CA_gross_prod_lpg</f>
        <v>0</v>
      </c>
      <c r="AW137" s="49">
        <f ca="1">SUM(AV137)+HM_ZD_Moho!CA_gross_prod_lpg</f>
        <v>0</v>
      </c>
      <c r="AX137" s="49">
        <f ca="1">SUM(AW137)+HM_ZD_Moho!CA_gross_prod_lpg</f>
        <v>0</v>
      </c>
      <c r="AY137" s="49">
        <f ca="1">SUM(AX137)+HM_ZD_Moho!CA_gross_prod_lpg</f>
        <v>0</v>
      </c>
      <c r="AZ137" s="49">
        <f ca="1">SUM(AY137)+HM_ZD_Moho!CA_gross_prod_lpg</f>
        <v>0</v>
      </c>
      <c r="BA137" s="49">
        <f ca="1">SUM(AZ137)+HM_ZD_Moho!CA_gross_prod_lpg</f>
        <v>0</v>
      </c>
      <c r="BB137" s="49">
        <f ca="1">SUM(BA137)+HM_ZD_Moho!CA_gross_prod_lpg</f>
        <v>0</v>
      </c>
      <c r="BC137" s="49">
        <f ca="1">SUM(BB137)+HM_ZD_Moho!CA_gross_prod_lpg</f>
        <v>0</v>
      </c>
      <c r="BD137" s="49">
        <f ca="1">SUM(BC137)+HM_ZD_Moho!CA_gross_prod_lpg</f>
        <v>0</v>
      </c>
      <c r="BE137" s="49">
        <f ca="1">SUM(BD137)+HM_ZD_Moho!CA_gross_prod_lpg</f>
        <v>0</v>
      </c>
      <c r="BF137" s="49">
        <f ca="1">SUM(BE137)+HM_ZD_Moho!CA_gross_prod_lpg</f>
        <v>0</v>
      </c>
      <c r="BG137" s="49">
        <f ca="1">SUM(BF137)+HM_ZD_Moho!CA_gross_prod_lpg</f>
        <v>0</v>
      </c>
      <c r="BH137" s="49">
        <f ca="1">SUM(BG137)+HM_ZD_Moho!CA_gross_prod_lpg</f>
        <v>0</v>
      </c>
      <c r="BI137" s="49">
        <f ca="1">SUM(BH137)+HM_ZD_Moho!CA_gross_prod_lpg</f>
        <v>0</v>
      </c>
      <c r="BJ137" s="49">
        <f ca="1">SUM(BI137)+HM_ZD_Moho!CA_gross_prod_lpg</f>
        <v>0</v>
      </c>
      <c r="BK137" s="49">
        <f ca="1">SUM(BJ137)+HM_ZD_Moho!CA_gross_prod_lpg</f>
        <v>0</v>
      </c>
      <c r="BL137" s="49">
        <f ca="1">SUM(BK137)+HM_ZD_Moho!CA_gross_prod_lpg</f>
        <v>0</v>
      </c>
      <c r="BM137" s="49">
        <f ca="1">SUM(BL137)+HM_ZD_Moho!CA_gross_prod_lpg</f>
        <v>0</v>
      </c>
      <c r="BN137" s="49">
        <f ca="1">SUM(BM137)+HM_ZD_Moho!CA_gross_prod_lpg</f>
        <v>0</v>
      </c>
      <c r="BO137" s="49">
        <f ca="1">SUM(BN137)+HM_ZD_Moho!CA_gross_prod_lpg</f>
        <v>0</v>
      </c>
      <c r="BP137" s="49">
        <f ca="1">SUM(BO137)+HM_ZD_Moho!CA_gross_prod_lpg</f>
        <v>0</v>
      </c>
      <c r="BQ137" s="49">
        <f ca="1">SUM(BP137)+HM_ZD_Moho!CA_gross_prod_lpg</f>
        <v>0</v>
      </c>
      <c r="BR137" s="49">
        <f ca="1">SUM(BQ137)+HM_ZD_Moho!CA_gross_prod_lpg</f>
        <v>0</v>
      </c>
      <c r="BS137" s="49">
        <f ca="1">SUM(BR137)+HM_ZD_Moho!CA_gross_prod_lpg</f>
        <v>0</v>
      </c>
    </row>
    <row r="138" spans="1:93" outlineLevel="1" x14ac:dyDescent="0.2">
      <c r="D138" t="str">
        <f>HM_ZB_Nsoko!D133</f>
        <v>Gaz</v>
      </c>
      <c r="J138" s="26" t="s">
        <v>653</v>
      </c>
      <c r="K138" s="7" t="s">
        <v>136</v>
      </c>
      <c r="L138" s="49">
        <f ca="1">HM_ZD_AM3_2005!L130</f>
        <v>0</v>
      </c>
      <c r="M138" s="49">
        <f ca="1">HM_ZD_AM3_2005!M130</f>
        <v>0</v>
      </c>
      <c r="N138" s="49">
        <f ca="1">SUM(M138)+HM_ZD_Moho!CA_gross_prod_gas</f>
        <v>0</v>
      </c>
      <c r="O138" s="49">
        <f ca="1">SUM(N138)+HM_ZD_Moho!CA_gross_prod_gas</f>
        <v>0</v>
      </c>
      <c r="P138" s="49">
        <f ca="1">SUM(O138)+HM_ZD_Moho!CA_gross_prod_gas</f>
        <v>0</v>
      </c>
      <c r="Q138" s="49">
        <f ca="1">SUM(P138)+HM_ZD_Moho!CA_gross_prod_gas</f>
        <v>0</v>
      </c>
      <c r="R138" s="49">
        <f ca="1">SUM(Q138)+HM_ZD_Moho!CA_gross_prod_gas</f>
        <v>0</v>
      </c>
      <c r="S138" s="49">
        <f ca="1">SUM(R138)+HM_ZD_Moho!CA_gross_prod_gas</f>
        <v>0</v>
      </c>
      <c r="T138" s="49">
        <f ca="1">SUM(S138)+HM_ZD_Moho!CA_gross_prod_gas</f>
        <v>0</v>
      </c>
      <c r="U138" s="49">
        <f ca="1">SUM(T138)+HM_ZD_Moho!CA_gross_prod_gas</f>
        <v>0</v>
      </c>
      <c r="V138" s="49">
        <f ca="1">SUM(U138)+HM_ZD_Moho!CA_gross_prod_gas</f>
        <v>0</v>
      </c>
      <c r="W138" s="49">
        <f ca="1">SUM(V138)+HM_ZD_Moho!CA_gross_prod_gas</f>
        <v>0</v>
      </c>
      <c r="X138" s="49">
        <f ca="1">SUM(W138)+HM_ZD_Moho!CA_gross_prod_gas</f>
        <v>0</v>
      </c>
      <c r="Y138" s="49">
        <f ca="1">SUM(X138)+HM_ZD_Moho!CA_gross_prod_gas</f>
        <v>0</v>
      </c>
      <c r="Z138" s="49">
        <f ca="1">SUM(Y138)+HM_ZD_Moho!CA_gross_prod_gas</f>
        <v>0</v>
      </c>
      <c r="AA138" s="49">
        <f ca="1">SUM(Z138)+HM_ZD_Moho!CA_gross_prod_gas</f>
        <v>0</v>
      </c>
      <c r="AB138" s="49">
        <f ca="1">SUM(AA138)+HM_ZD_Moho!CA_gross_prod_gas</f>
        <v>0</v>
      </c>
      <c r="AC138" s="49">
        <f ca="1">SUM(AB138)+HM_ZD_Moho!CA_gross_prod_gas</f>
        <v>0</v>
      </c>
      <c r="AD138" s="49">
        <f ca="1">SUM(AC138)+HM_ZD_Moho!CA_gross_prod_gas</f>
        <v>0</v>
      </c>
      <c r="AE138" s="49">
        <f ca="1">SUM(AD138)+HM_ZD_Moho!CA_gross_prod_gas</f>
        <v>0</v>
      </c>
      <c r="AF138" s="49">
        <f ca="1">SUM(AE138)+HM_ZD_Moho!CA_gross_prod_gas</f>
        <v>0</v>
      </c>
      <c r="AG138" s="49">
        <f ca="1">SUM(AF138)+HM_ZD_Moho!CA_gross_prod_gas</f>
        <v>0</v>
      </c>
      <c r="AH138" s="49">
        <f ca="1">SUM(AG138)+HM_ZD_Moho!CA_gross_prod_gas</f>
        <v>0</v>
      </c>
      <c r="AI138" s="49">
        <f ca="1">SUM(AH138)+HM_ZD_Moho!CA_gross_prod_gas</f>
        <v>0</v>
      </c>
      <c r="AJ138" s="49">
        <f ca="1">SUM(AI138)+HM_ZD_Moho!CA_gross_prod_gas</f>
        <v>0</v>
      </c>
      <c r="AK138" s="49">
        <f ca="1">SUM(AJ138)+HM_ZD_Moho!CA_gross_prod_gas</f>
        <v>0</v>
      </c>
      <c r="AL138" s="49">
        <f ca="1">SUM(AK138)+HM_ZD_Moho!CA_gross_prod_gas</f>
        <v>0</v>
      </c>
      <c r="AM138" s="49">
        <f ca="1">SUM(AL138)+HM_ZD_Moho!CA_gross_prod_gas</f>
        <v>0</v>
      </c>
      <c r="AN138" s="49">
        <f ca="1">SUM(AM138)+HM_ZD_Moho!CA_gross_prod_gas</f>
        <v>0</v>
      </c>
      <c r="AO138" s="49">
        <f ca="1">SUM(AN138)+HM_ZD_Moho!CA_gross_prod_gas</f>
        <v>0</v>
      </c>
      <c r="AP138" s="49">
        <f ca="1">SUM(AO138)+HM_ZD_Moho!CA_gross_prod_gas</f>
        <v>0</v>
      </c>
      <c r="AQ138" s="49">
        <f ca="1">SUM(AP138)+HM_ZD_Moho!CA_gross_prod_gas</f>
        <v>0</v>
      </c>
      <c r="AR138" s="49">
        <f ca="1">SUM(AQ138)+HM_ZD_Moho!CA_gross_prod_gas</f>
        <v>0</v>
      </c>
      <c r="AS138" s="49">
        <f ca="1">SUM(AR138)+HM_ZD_Moho!CA_gross_prod_gas</f>
        <v>0</v>
      </c>
      <c r="AT138" s="49">
        <f ca="1">SUM(AS138)+HM_ZD_Moho!CA_gross_prod_gas</f>
        <v>0</v>
      </c>
      <c r="AU138" s="49">
        <f ca="1">SUM(AT138)+HM_ZD_Moho!CA_gross_prod_gas</f>
        <v>0</v>
      </c>
      <c r="AV138" s="49">
        <f ca="1">SUM(AU138)+HM_ZD_Moho!CA_gross_prod_gas</f>
        <v>0</v>
      </c>
      <c r="AW138" s="49">
        <f ca="1">SUM(AV138)+HM_ZD_Moho!CA_gross_prod_gas</f>
        <v>0</v>
      </c>
      <c r="AX138" s="49">
        <f ca="1">SUM(AW138)+HM_ZD_Moho!CA_gross_prod_gas</f>
        <v>0</v>
      </c>
      <c r="AY138" s="49">
        <f ca="1">SUM(AX138)+HM_ZD_Moho!CA_gross_prod_gas</f>
        <v>0</v>
      </c>
      <c r="AZ138" s="49">
        <f ca="1">SUM(AY138)+HM_ZD_Moho!CA_gross_prod_gas</f>
        <v>0</v>
      </c>
      <c r="BA138" s="49">
        <f ca="1">SUM(AZ138)+HM_ZD_Moho!CA_gross_prod_gas</f>
        <v>0</v>
      </c>
      <c r="BB138" s="49">
        <f ca="1">SUM(BA138)+HM_ZD_Moho!CA_gross_prod_gas</f>
        <v>0</v>
      </c>
      <c r="BC138" s="49">
        <f ca="1">SUM(BB138)+HM_ZD_Moho!CA_gross_prod_gas</f>
        <v>0</v>
      </c>
      <c r="BD138" s="49">
        <f ca="1">SUM(BC138)+HM_ZD_Moho!CA_gross_prod_gas</f>
        <v>0</v>
      </c>
      <c r="BE138" s="49">
        <f ca="1">SUM(BD138)+HM_ZD_Moho!CA_gross_prod_gas</f>
        <v>0</v>
      </c>
      <c r="BF138" s="49">
        <f ca="1">SUM(BE138)+HM_ZD_Moho!CA_gross_prod_gas</f>
        <v>0</v>
      </c>
      <c r="BG138" s="49">
        <f ca="1">SUM(BF138)+HM_ZD_Moho!CA_gross_prod_gas</f>
        <v>0</v>
      </c>
      <c r="BH138" s="49">
        <f ca="1">SUM(BG138)+HM_ZD_Moho!CA_gross_prod_gas</f>
        <v>0</v>
      </c>
      <c r="BI138" s="49">
        <f ca="1">SUM(BH138)+HM_ZD_Moho!CA_gross_prod_gas</f>
        <v>0</v>
      </c>
      <c r="BJ138" s="49">
        <f ca="1">SUM(BI138)+HM_ZD_Moho!CA_gross_prod_gas</f>
        <v>0</v>
      </c>
      <c r="BK138" s="49">
        <f ca="1">SUM(BJ138)+HM_ZD_Moho!CA_gross_prod_gas</f>
        <v>0</v>
      </c>
      <c r="BL138" s="49">
        <f ca="1">SUM(BK138)+HM_ZD_Moho!CA_gross_prod_gas</f>
        <v>0</v>
      </c>
      <c r="BM138" s="49">
        <f ca="1">SUM(BL138)+HM_ZD_Moho!CA_gross_prod_gas</f>
        <v>0</v>
      </c>
      <c r="BN138" s="49">
        <f ca="1">SUM(BM138)+HM_ZD_Moho!CA_gross_prod_gas</f>
        <v>0</v>
      </c>
      <c r="BO138" s="49">
        <f ca="1">SUM(BN138)+HM_ZD_Moho!CA_gross_prod_gas</f>
        <v>0</v>
      </c>
      <c r="BP138" s="49">
        <f ca="1">SUM(BO138)+HM_ZD_Moho!CA_gross_prod_gas</f>
        <v>0</v>
      </c>
      <c r="BQ138" s="49">
        <f ca="1">SUM(BP138)+HM_ZD_Moho!CA_gross_prod_gas</f>
        <v>0</v>
      </c>
      <c r="BR138" s="49">
        <f ca="1">SUM(BQ138)+HM_ZD_Moho!CA_gross_prod_gas</f>
        <v>0</v>
      </c>
      <c r="BS138" s="49">
        <f ca="1">SUM(BR138)+HM_ZD_Moho!CA_gross_prod_gas</f>
        <v>0</v>
      </c>
    </row>
    <row r="139" spans="1:93" outlineLevel="1" x14ac:dyDescent="0.2">
      <c r="D139" s="47" t="str">
        <f>HM_ZB_Nsoko!D134</f>
        <v>Total</v>
      </c>
      <c r="E139" s="6"/>
      <c r="F139" s="6"/>
      <c r="G139" s="6"/>
      <c r="H139" s="6"/>
      <c r="J139" s="26" t="s">
        <v>149</v>
      </c>
      <c r="K139" s="7" t="s">
        <v>137</v>
      </c>
      <c r="L139" s="49">
        <f t="shared" ref="L139" ca="1" si="66">SUM(L136,L137,L138/conv_CMtoBbls)</f>
        <v>219.44736419700001</v>
      </c>
      <c r="M139" s="49">
        <f t="shared" ref="M139" ca="1" si="67">SUM(M136,M137,M138/conv_CMtoBbls)</f>
        <v>239.62998134200001</v>
      </c>
      <c r="N139" s="49">
        <f t="shared" ref="N139" ca="1" si="68">SUM(N136,N137,N138/conv_CMtoBbls)</f>
        <v>254.926465033</v>
      </c>
      <c r="O139" s="49">
        <f t="shared" ref="O139" ca="1" si="69">SUM(O136,O137,O138/conv_CMtoBbls)</f>
        <v>271.92670827199998</v>
      </c>
      <c r="P139" s="49">
        <f t="shared" ref="P139" ca="1" si="70">SUM(P136,P137,P138/conv_CMtoBbls)</f>
        <v>307.20075519900001</v>
      </c>
      <c r="Q139" s="49">
        <f t="shared" ref="Q139" ca="1" si="71">SUM(Q136,Q137,Q138/conv_CMtoBbls)</f>
        <v>362.83536795700002</v>
      </c>
      <c r="R139" s="49">
        <f t="shared" ref="R139" ca="1" si="72">SUM(R136,R137,R138/conv_CMtoBbls)</f>
        <v>419.19256985999999</v>
      </c>
      <c r="S139" s="49">
        <f t="shared" ref="S139" ca="1" si="73">SUM(S136,S137,S138/conv_CMtoBbls)</f>
        <v>471.24076986</v>
      </c>
      <c r="T139" s="49">
        <f t="shared" ref="T139" ca="1" si="74">SUM(T136,T137,T138/conv_CMtoBbls)</f>
        <v>519.64559585999996</v>
      </c>
      <c r="U139" s="49">
        <f t="shared" ref="U139" ca="1" si="75">SUM(U136,U137,U138/conv_CMtoBbls)</f>
        <v>564.66208403999997</v>
      </c>
      <c r="V139" s="49">
        <f t="shared" ref="V139" ca="1" si="76">SUM(V136,V137,V138/conv_CMtoBbls)</f>
        <v>606.52741804739992</v>
      </c>
      <c r="W139" s="49">
        <f t="shared" ref="W139" ca="1" si="77">SUM(W136,W137,W138/conv_CMtoBbls)</f>
        <v>645.46217867428186</v>
      </c>
      <c r="X139" s="49">
        <f t="shared" ref="X139" ca="1" si="78">SUM(X136,X137,X138/conv_CMtoBbls)</f>
        <v>681.67150605728216</v>
      </c>
      <c r="Y139" s="49">
        <f t="shared" ref="Y139" ca="1" si="79">SUM(Y136,Y137,Y138/conv_CMtoBbls)</f>
        <v>681.67150605728216</v>
      </c>
      <c r="Z139" s="49">
        <f t="shared" ref="Z139" ca="1" si="80">SUM(Z136,Z137,Z138/conv_CMtoBbls)</f>
        <v>681.67150605728216</v>
      </c>
      <c r="AA139" s="49">
        <f t="shared" ref="AA139" ca="1" si="81">SUM(AA136,AA137,AA138/conv_CMtoBbls)</f>
        <v>681.67150605728216</v>
      </c>
      <c r="AB139" s="49">
        <f t="shared" ref="AB139" ca="1" si="82">SUM(AB136,AB137,AB138/conv_CMtoBbls)</f>
        <v>681.67150605728216</v>
      </c>
      <c r="AC139" s="49">
        <f t="shared" ref="AC139" ca="1" si="83">SUM(AC136,AC137,AC138/conv_CMtoBbls)</f>
        <v>681.67150605728216</v>
      </c>
      <c r="AD139" s="49">
        <f t="shared" ref="AD139" ca="1" si="84">SUM(AD136,AD137,AD138/conv_CMtoBbls)</f>
        <v>681.67150605728216</v>
      </c>
      <c r="AE139" s="49">
        <f t="shared" ref="AE139" ca="1" si="85">SUM(AE136,AE137,AE138/conv_CMtoBbls)</f>
        <v>681.67150605728216</v>
      </c>
      <c r="AF139" s="49">
        <f t="shared" ref="AF139" ca="1" si="86">SUM(AF136,AF137,AF138/conv_CMtoBbls)</f>
        <v>681.67150605728216</v>
      </c>
      <c r="AG139" s="49">
        <f t="shared" ref="AG139" ca="1" si="87">SUM(AG136,AG137,AG138/conv_CMtoBbls)</f>
        <v>681.67150605728216</v>
      </c>
      <c r="AH139" s="49">
        <f t="shared" ref="AH139" ca="1" si="88">SUM(AH136,AH137,AH138/conv_CMtoBbls)</f>
        <v>681.67150605728216</v>
      </c>
      <c r="AI139" s="49">
        <f t="shared" ref="AI139" ca="1" si="89">SUM(AI136,AI137,AI138/conv_CMtoBbls)</f>
        <v>681.67150605728216</v>
      </c>
      <c r="AJ139" s="49">
        <f t="shared" ref="AJ139" ca="1" si="90">SUM(AJ136,AJ137,AJ138/conv_CMtoBbls)</f>
        <v>681.67150605728216</v>
      </c>
      <c r="AK139" s="49">
        <f t="shared" ref="AK139" ca="1" si="91">SUM(AK136,AK137,AK138/conv_CMtoBbls)</f>
        <v>681.67150605728216</v>
      </c>
      <c r="AL139" s="49">
        <f t="shared" ref="AL139" ca="1" si="92">SUM(AL136,AL137,AL138/conv_CMtoBbls)</f>
        <v>681.67150605728216</v>
      </c>
      <c r="AM139" s="49">
        <f t="shared" ref="AM139" ca="1" si="93">SUM(AM136,AM137,AM138/conv_CMtoBbls)</f>
        <v>681.67150605728216</v>
      </c>
      <c r="AN139" s="49">
        <f t="shared" ref="AN139" ca="1" si="94">SUM(AN136,AN137,AN138/conv_CMtoBbls)</f>
        <v>681.67150605728216</v>
      </c>
      <c r="AO139" s="49">
        <f t="shared" ref="AO139" ca="1" si="95">SUM(AO136,AO137,AO138/conv_CMtoBbls)</f>
        <v>681.67150605728216</v>
      </c>
      <c r="AP139" s="49">
        <f t="shared" ref="AP139" ca="1" si="96">SUM(AP136,AP137,AP138/conv_CMtoBbls)</f>
        <v>681.67150605728216</v>
      </c>
      <c r="AQ139" s="49">
        <f t="shared" ref="AQ139" ca="1" si="97">SUM(AQ136,AQ137,AQ138/conv_CMtoBbls)</f>
        <v>681.67150605728216</v>
      </c>
      <c r="AR139" s="49">
        <f t="shared" ref="AR139" ca="1" si="98">SUM(AR136,AR137,AR138/conv_CMtoBbls)</f>
        <v>681.67150605728216</v>
      </c>
      <c r="AS139" s="49">
        <f t="shared" ref="AS139" ca="1" si="99">SUM(AS136,AS137,AS138/conv_CMtoBbls)</f>
        <v>681.67150605728216</v>
      </c>
      <c r="AT139" s="49">
        <f t="shared" ref="AT139" ca="1" si="100">SUM(AT136,AT137,AT138/conv_CMtoBbls)</f>
        <v>681.67150605728216</v>
      </c>
      <c r="AU139" s="49">
        <f t="shared" ref="AU139" ca="1" si="101">SUM(AU136,AU137,AU138/conv_CMtoBbls)</f>
        <v>681.67150605728216</v>
      </c>
      <c r="AV139" s="49">
        <f t="shared" ref="AV139" ca="1" si="102">SUM(AV136,AV137,AV138/conv_CMtoBbls)</f>
        <v>681.67150605728216</v>
      </c>
      <c r="AW139" s="49">
        <f t="shared" ref="AW139" ca="1" si="103">SUM(AW136,AW137,AW138/conv_CMtoBbls)</f>
        <v>681.67150605728216</v>
      </c>
      <c r="AX139" s="49">
        <f t="shared" ref="AX139" ca="1" si="104">SUM(AX136,AX137,AX138/conv_CMtoBbls)</f>
        <v>681.67150605728216</v>
      </c>
      <c r="AY139" s="49">
        <f t="shared" ref="AY139" ca="1" si="105">SUM(AY136,AY137,AY138/conv_CMtoBbls)</f>
        <v>681.67150605728216</v>
      </c>
      <c r="AZ139" s="49">
        <f t="shared" ref="AZ139" ca="1" si="106">SUM(AZ136,AZ137,AZ138/conv_CMtoBbls)</f>
        <v>681.67150605728216</v>
      </c>
      <c r="BA139" s="49">
        <f t="shared" ref="BA139" ca="1" si="107">SUM(BA136,BA137,BA138/conv_CMtoBbls)</f>
        <v>681.67150605728216</v>
      </c>
      <c r="BB139" s="49">
        <f t="shared" ref="BB139" ca="1" si="108">SUM(BB136,BB137,BB138/conv_CMtoBbls)</f>
        <v>681.67150605728216</v>
      </c>
      <c r="BC139" s="49">
        <f t="shared" ref="BC139" ca="1" si="109">SUM(BC136,BC137,BC138/conv_CMtoBbls)</f>
        <v>681.67150605728216</v>
      </c>
      <c r="BD139" s="49">
        <f t="shared" ref="BD139" ca="1" si="110">SUM(BD136,BD137,BD138/conv_CMtoBbls)</f>
        <v>681.67150605728216</v>
      </c>
      <c r="BE139" s="49">
        <f t="shared" ref="BE139" ca="1" si="111">SUM(BE136,BE137,BE138/conv_CMtoBbls)</f>
        <v>681.67150605728216</v>
      </c>
      <c r="BF139" s="49">
        <f t="shared" ref="BF139" ca="1" si="112">SUM(BF136,BF137,BF138/conv_CMtoBbls)</f>
        <v>681.67150605728216</v>
      </c>
      <c r="BG139" s="49">
        <f t="shared" ref="BG139" ca="1" si="113">SUM(BG136,BG137,BG138/conv_CMtoBbls)</f>
        <v>681.67150605728216</v>
      </c>
      <c r="BH139" s="49">
        <f t="shared" ref="BH139" ca="1" si="114">SUM(BH136,BH137,BH138/conv_CMtoBbls)</f>
        <v>681.67150605728216</v>
      </c>
      <c r="BI139" s="49">
        <f t="shared" ref="BI139" ca="1" si="115">SUM(BI136,BI137,BI138/conv_CMtoBbls)</f>
        <v>681.67150605728216</v>
      </c>
      <c r="BJ139" s="49">
        <f t="shared" ref="BJ139" ca="1" si="116">SUM(BJ136,BJ137,BJ138/conv_CMtoBbls)</f>
        <v>681.67150605728216</v>
      </c>
      <c r="BK139" s="49">
        <f t="shared" ref="BK139" ca="1" si="117">SUM(BK136,BK137,BK138/conv_CMtoBbls)</f>
        <v>681.67150605728216</v>
      </c>
      <c r="BL139" s="49">
        <f t="shared" ref="BL139" ca="1" si="118">SUM(BL136,BL137,BL138/conv_CMtoBbls)</f>
        <v>681.67150605728216</v>
      </c>
      <c r="BM139" s="49">
        <f t="shared" ref="BM139" ca="1" si="119">SUM(BM136,BM137,BM138/conv_CMtoBbls)</f>
        <v>681.67150605728216</v>
      </c>
      <c r="BN139" s="49">
        <f t="shared" ref="BN139" ca="1" si="120">SUM(BN136,BN137,BN138/conv_CMtoBbls)</f>
        <v>681.67150605728216</v>
      </c>
      <c r="BO139" s="49">
        <f t="shared" ref="BO139" ca="1" si="121">SUM(BO136,BO137,BO138/conv_CMtoBbls)</f>
        <v>681.67150605728216</v>
      </c>
      <c r="BP139" s="49">
        <f t="shared" ref="BP139" ca="1" si="122">SUM(BP136,BP137,BP138/conv_CMtoBbls)</f>
        <v>681.67150605728216</v>
      </c>
      <c r="BQ139" s="49">
        <f t="shared" ref="BQ139" ca="1" si="123">SUM(BQ136,BQ137,BQ138/conv_CMtoBbls)</f>
        <v>681.67150605728216</v>
      </c>
      <c r="BR139" s="49">
        <f t="shared" ref="BR139" ca="1" si="124">SUM(BR136,BR137,BR138/conv_CMtoBbls)</f>
        <v>681.67150605728216</v>
      </c>
      <c r="BS139" s="49">
        <f t="shared" ref="BS139" ca="1" si="125">SUM(BS136,BS137,BS138/conv_CMtoBbls)</f>
        <v>681.67150605728216</v>
      </c>
    </row>
    <row r="140" spans="1:93" outlineLevel="1" x14ac:dyDescent="0.2">
      <c r="J140" s="26"/>
      <c r="L140" s="55"/>
      <c r="M140" s="55"/>
      <c r="N140" s="55"/>
      <c r="O140" s="55"/>
      <c r="P140" s="55"/>
      <c r="Q140" s="55"/>
      <c r="R140" s="55"/>
      <c r="S140" s="55"/>
      <c r="T140" s="55"/>
      <c r="U140" s="55"/>
      <c r="V140" s="55"/>
      <c r="W140" s="55"/>
      <c r="X140" s="55"/>
      <c r="Y140" s="55"/>
      <c r="Z140" s="55"/>
      <c r="AA140" s="55"/>
      <c r="AB140" s="55"/>
      <c r="AC140" s="55"/>
      <c r="AD140" s="55"/>
      <c r="AE140" s="55"/>
      <c r="AF140" s="55"/>
      <c r="AG140" s="55"/>
      <c r="AH140" s="55"/>
      <c r="AI140" s="55"/>
      <c r="AJ140" s="55"/>
      <c r="AK140" s="55"/>
      <c r="AL140" s="55"/>
      <c r="AM140" s="55"/>
      <c r="AN140" s="55"/>
      <c r="AO140" s="55"/>
      <c r="AP140" s="55"/>
      <c r="AQ140" s="55"/>
      <c r="AR140" s="55"/>
      <c r="AS140" s="55"/>
      <c r="AT140" s="55"/>
      <c r="AU140" s="55"/>
      <c r="AV140" s="55"/>
      <c r="AW140" s="55"/>
      <c r="AX140" s="55"/>
      <c r="AY140" s="55"/>
      <c r="AZ140" s="55"/>
      <c r="BA140" s="55"/>
      <c r="BB140" s="55"/>
      <c r="BC140" s="55"/>
      <c r="BD140" s="55"/>
      <c r="BE140" s="55"/>
      <c r="BF140" s="55"/>
      <c r="BG140" s="55"/>
      <c r="BH140" s="55"/>
      <c r="BI140" s="55"/>
      <c r="BJ140" s="55"/>
      <c r="BK140" s="55"/>
      <c r="BL140" s="55"/>
      <c r="BM140" s="55"/>
      <c r="BN140" s="55"/>
      <c r="BO140" s="55"/>
      <c r="BP140" s="55"/>
      <c r="BQ140" s="55"/>
      <c r="BR140" s="55"/>
      <c r="BS140" s="55"/>
    </row>
    <row r="141" spans="1:93" outlineLevel="1" x14ac:dyDescent="0.2">
      <c r="C141" s="11" t="str">
        <f>HM_ZB_Nsoko!C136</f>
        <v>Volumes de ventes brutes</v>
      </c>
      <c r="J141" s="26"/>
    </row>
    <row r="142" spans="1:93" outlineLevel="1" x14ac:dyDescent="0.2">
      <c r="D142" t="str">
        <f>HM_ZB_Nsoko!D137</f>
        <v>Pétrole</v>
      </c>
      <c r="I142" s="30">
        <f ca="1">SUM($L142:$BS142)</f>
        <v>470.13540919728229</v>
      </c>
      <c r="J142" s="26" t="s">
        <v>42</v>
      </c>
      <c r="K142" s="7" t="s">
        <v>669</v>
      </c>
      <c r="L142" s="49">
        <f ca="1">HM_ZD_AM3_2005!L134</f>
        <v>18.11364</v>
      </c>
      <c r="M142" s="49">
        <f ca="1">HM_ZD_AM3_2005!M134</f>
        <v>18.917859</v>
      </c>
      <c r="N142" s="49">
        <f t="shared" ref="N142:AS142" ca="1" si="126">OFFSET(_xlfn.SINGLE(IA_sales_oil),4,)</f>
        <v>15.366923</v>
      </c>
      <c r="O142" s="49">
        <f t="shared" ca="1" si="126"/>
        <v>15.591395</v>
      </c>
      <c r="P142" s="49">
        <f t="shared" ca="1" si="126"/>
        <v>32.634275000000002</v>
      </c>
      <c r="Q142" s="49">
        <f t="shared" ca="1" si="126"/>
        <v>52.389181999999998</v>
      </c>
      <c r="R142" s="49">
        <f t="shared" ca="1" si="126"/>
        <v>54.643199000000003</v>
      </c>
      <c r="S142" s="49">
        <f t="shared" ca="1" si="126"/>
        <v>52.048200000000001</v>
      </c>
      <c r="T142" s="49">
        <f t="shared" ca="1" si="126"/>
        <v>48.404826</v>
      </c>
      <c r="U142" s="49">
        <f t="shared" ca="1" si="126"/>
        <v>45.016488179999996</v>
      </c>
      <c r="V142" s="49">
        <f t="shared" ca="1" si="126"/>
        <v>41.865334007399994</v>
      </c>
      <c r="W142" s="49">
        <f t="shared" ca="1" si="126"/>
        <v>38.934760626881989</v>
      </c>
      <c r="X142" s="49">
        <f t="shared" ca="1" si="126"/>
        <v>36.20932738300025</v>
      </c>
      <c r="Y142" s="49">
        <f t="shared" ca="1" si="126"/>
        <v>0</v>
      </c>
      <c r="Z142" s="49">
        <f t="shared" ca="1" si="126"/>
        <v>0</v>
      </c>
      <c r="AA142" s="49">
        <f t="shared" ca="1" si="126"/>
        <v>0</v>
      </c>
      <c r="AB142" s="49">
        <f t="shared" ca="1" si="126"/>
        <v>0</v>
      </c>
      <c r="AC142" s="49">
        <f t="shared" ca="1" si="126"/>
        <v>0</v>
      </c>
      <c r="AD142" s="49">
        <f t="shared" ca="1" si="126"/>
        <v>0</v>
      </c>
      <c r="AE142" s="49">
        <f t="shared" ca="1" si="126"/>
        <v>0</v>
      </c>
      <c r="AF142" s="49">
        <f t="shared" ca="1" si="126"/>
        <v>0</v>
      </c>
      <c r="AG142" s="49">
        <f t="shared" ca="1" si="126"/>
        <v>0</v>
      </c>
      <c r="AH142" s="49">
        <f t="shared" ca="1" si="126"/>
        <v>0</v>
      </c>
      <c r="AI142" s="49">
        <f t="shared" ca="1" si="126"/>
        <v>0</v>
      </c>
      <c r="AJ142" s="49">
        <f t="shared" ca="1" si="126"/>
        <v>0</v>
      </c>
      <c r="AK142" s="49">
        <f t="shared" ca="1" si="126"/>
        <v>0</v>
      </c>
      <c r="AL142" s="49">
        <f t="shared" ca="1" si="126"/>
        <v>0</v>
      </c>
      <c r="AM142" s="49">
        <f t="shared" ca="1" si="126"/>
        <v>0</v>
      </c>
      <c r="AN142" s="49">
        <f t="shared" ca="1" si="126"/>
        <v>0</v>
      </c>
      <c r="AO142" s="49">
        <f t="shared" ca="1" si="126"/>
        <v>0</v>
      </c>
      <c r="AP142" s="49">
        <f t="shared" ca="1" si="126"/>
        <v>0</v>
      </c>
      <c r="AQ142" s="49">
        <f t="shared" ca="1" si="126"/>
        <v>0</v>
      </c>
      <c r="AR142" s="49">
        <f t="shared" ca="1" si="126"/>
        <v>0</v>
      </c>
      <c r="AS142" s="49">
        <f t="shared" ca="1" si="126"/>
        <v>0</v>
      </c>
      <c r="AT142" s="49">
        <f t="shared" ref="AT142:BS142" ca="1" si="127">OFFSET(_xlfn.SINGLE(IA_sales_oil),4,)</f>
        <v>0</v>
      </c>
      <c r="AU142" s="49">
        <f t="shared" ca="1" si="127"/>
        <v>0</v>
      </c>
      <c r="AV142" s="49">
        <f t="shared" ca="1" si="127"/>
        <v>0</v>
      </c>
      <c r="AW142" s="49">
        <f t="shared" ca="1" si="127"/>
        <v>0</v>
      </c>
      <c r="AX142" s="49">
        <f t="shared" ca="1" si="127"/>
        <v>0</v>
      </c>
      <c r="AY142" s="49">
        <f t="shared" ca="1" si="127"/>
        <v>0</v>
      </c>
      <c r="AZ142" s="49">
        <f t="shared" ca="1" si="127"/>
        <v>0</v>
      </c>
      <c r="BA142" s="49">
        <f t="shared" ca="1" si="127"/>
        <v>0</v>
      </c>
      <c r="BB142" s="49">
        <f t="shared" ca="1" si="127"/>
        <v>0</v>
      </c>
      <c r="BC142" s="49">
        <f t="shared" ca="1" si="127"/>
        <v>0</v>
      </c>
      <c r="BD142" s="49">
        <f t="shared" ca="1" si="127"/>
        <v>0</v>
      </c>
      <c r="BE142" s="49">
        <f t="shared" ca="1" si="127"/>
        <v>0</v>
      </c>
      <c r="BF142" s="49">
        <f t="shared" ca="1" si="127"/>
        <v>0</v>
      </c>
      <c r="BG142" s="49">
        <f t="shared" ca="1" si="127"/>
        <v>0</v>
      </c>
      <c r="BH142" s="49">
        <f t="shared" ca="1" si="127"/>
        <v>0</v>
      </c>
      <c r="BI142" s="49">
        <f t="shared" ca="1" si="127"/>
        <v>0</v>
      </c>
      <c r="BJ142" s="49">
        <f t="shared" ca="1" si="127"/>
        <v>0</v>
      </c>
      <c r="BK142" s="49">
        <f t="shared" ca="1" si="127"/>
        <v>0</v>
      </c>
      <c r="BL142" s="49">
        <f t="shared" ca="1" si="127"/>
        <v>0</v>
      </c>
      <c r="BM142" s="49">
        <f t="shared" ca="1" si="127"/>
        <v>0</v>
      </c>
      <c r="BN142" s="49">
        <f t="shared" ca="1" si="127"/>
        <v>0</v>
      </c>
      <c r="BO142" s="49">
        <f t="shared" ca="1" si="127"/>
        <v>0</v>
      </c>
      <c r="BP142" s="49">
        <f t="shared" ca="1" si="127"/>
        <v>0</v>
      </c>
      <c r="BQ142" s="49">
        <f t="shared" ca="1" si="127"/>
        <v>0</v>
      </c>
      <c r="BR142" s="49">
        <f t="shared" ca="1" si="127"/>
        <v>0</v>
      </c>
      <c r="BS142" s="49">
        <f t="shared" ca="1" si="127"/>
        <v>0</v>
      </c>
    </row>
    <row r="143" spans="1:93" outlineLevel="1" x14ac:dyDescent="0.2">
      <c r="D143" t="str">
        <f>HM_ZB_Nsoko!D138</f>
        <v>GPL</v>
      </c>
      <c r="I143" s="30">
        <f ca="1">SUM($L143:$BS143)</f>
        <v>0</v>
      </c>
      <c r="J143" s="26" t="s">
        <v>42</v>
      </c>
      <c r="K143" s="7" t="s">
        <v>685</v>
      </c>
      <c r="L143" s="49">
        <f ca="1">HM_ZD_AM3_2005!L135</f>
        <v>0</v>
      </c>
      <c r="M143" s="49">
        <f ca="1">HM_ZD_AM3_2005!M135</f>
        <v>0</v>
      </c>
      <c r="N143" s="49">
        <f t="shared" ref="N143:AS143" ca="1" si="128">OFFSET(_xlfn.SINGLE(IA_sales_lpg),4,)</f>
        <v>0</v>
      </c>
      <c r="O143" s="49">
        <f t="shared" ca="1" si="128"/>
        <v>0</v>
      </c>
      <c r="P143" s="49">
        <f t="shared" ca="1" si="128"/>
        <v>0</v>
      </c>
      <c r="Q143" s="49">
        <f t="shared" ca="1" si="128"/>
        <v>0</v>
      </c>
      <c r="R143" s="49">
        <f t="shared" ca="1" si="128"/>
        <v>0</v>
      </c>
      <c r="S143" s="49">
        <f t="shared" ca="1" si="128"/>
        <v>0</v>
      </c>
      <c r="T143" s="49">
        <f t="shared" ca="1" si="128"/>
        <v>0</v>
      </c>
      <c r="U143" s="49">
        <f t="shared" ca="1" si="128"/>
        <v>0</v>
      </c>
      <c r="V143" s="49">
        <f t="shared" ca="1" si="128"/>
        <v>0</v>
      </c>
      <c r="W143" s="49">
        <f t="shared" ca="1" si="128"/>
        <v>0</v>
      </c>
      <c r="X143" s="49">
        <f t="shared" ca="1" si="128"/>
        <v>0</v>
      </c>
      <c r="Y143" s="49">
        <f t="shared" ca="1" si="128"/>
        <v>0</v>
      </c>
      <c r="Z143" s="49">
        <f t="shared" ca="1" si="128"/>
        <v>0</v>
      </c>
      <c r="AA143" s="49">
        <f t="shared" ca="1" si="128"/>
        <v>0</v>
      </c>
      <c r="AB143" s="49">
        <f t="shared" ca="1" si="128"/>
        <v>0</v>
      </c>
      <c r="AC143" s="49">
        <f t="shared" ca="1" si="128"/>
        <v>0</v>
      </c>
      <c r="AD143" s="49">
        <f t="shared" ca="1" si="128"/>
        <v>0</v>
      </c>
      <c r="AE143" s="49">
        <f t="shared" ca="1" si="128"/>
        <v>0</v>
      </c>
      <c r="AF143" s="49">
        <f t="shared" ca="1" si="128"/>
        <v>0</v>
      </c>
      <c r="AG143" s="49">
        <f t="shared" ca="1" si="128"/>
        <v>0</v>
      </c>
      <c r="AH143" s="49">
        <f t="shared" ca="1" si="128"/>
        <v>0</v>
      </c>
      <c r="AI143" s="49">
        <f t="shared" ca="1" si="128"/>
        <v>0</v>
      </c>
      <c r="AJ143" s="49">
        <f t="shared" ca="1" si="128"/>
        <v>0</v>
      </c>
      <c r="AK143" s="49">
        <f t="shared" ca="1" si="128"/>
        <v>0</v>
      </c>
      <c r="AL143" s="49">
        <f t="shared" ca="1" si="128"/>
        <v>0</v>
      </c>
      <c r="AM143" s="49">
        <f t="shared" ca="1" si="128"/>
        <v>0</v>
      </c>
      <c r="AN143" s="49">
        <f t="shared" ca="1" si="128"/>
        <v>0</v>
      </c>
      <c r="AO143" s="49">
        <f t="shared" ca="1" si="128"/>
        <v>0</v>
      </c>
      <c r="AP143" s="49">
        <f t="shared" ca="1" si="128"/>
        <v>0</v>
      </c>
      <c r="AQ143" s="49">
        <f t="shared" ca="1" si="128"/>
        <v>0</v>
      </c>
      <c r="AR143" s="49">
        <f t="shared" ca="1" si="128"/>
        <v>0</v>
      </c>
      <c r="AS143" s="49">
        <f t="shared" ca="1" si="128"/>
        <v>0</v>
      </c>
      <c r="AT143" s="49">
        <f t="shared" ref="AT143:BS143" ca="1" si="129">OFFSET(_xlfn.SINGLE(IA_sales_lpg),4,)</f>
        <v>0</v>
      </c>
      <c r="AU143" s="49">
        <f t="shared" ca="1" si="129"/>
        <v>0</v>
      </c>
      <c r="AV143" s="49">
        <f t="shared" ca="1" si="129"/>
        <v>0</v>
      </c>
      <c r="AW143" s="49">
        <f t="shared" ca="1" si="129"/>
        <v>0</v>
      </c>
      <c r="AX143" s="49">
        <f t="shared" ca="1" si="129"/>
        <v>0</v>
      </c>
      <c r="AY143" s="49">
        <f t="shared" ca="1" si="129"/>
        <v>0</v>
      </c>
      <c r="AZ143" s="49">
        <f t="shared" ca="1" si="129"/>
        <v>0</v>
      </c>
      <c r="BA143" s="49">
        <f t="shared" ca="1" si="129"/>
        <v>0</v>
      </c>
      <c r="BB143" s="49">
        <f t="shared" ca="1" si="129"/>
        <v>0</v>
      </c>
      <c r="BC143" s="49">
        <f t="shared" ca="1" si="129"/>
        <v>0</v>
      </c>
      <c r="BD143" s="49">
        <f t="shared" ca="1" si="129"/>
        <v>0</v>
      </c>
      <c r="BE143" s="49">
        <f t="shared" ca="1" si="129"/>
        <v>0</v>
      </c>
      <c r="BF143" s="49">
        <f t="shared" ca="1" si="129"/>
        <v>0</v>
      </c>
      <c r="BG143" s="49">
        <f t="shared" ca="1" si="129"/>
        <v>0</v>
      </c>
      <c r="BH143" s="49">
        <f t="shared" ca="1" si="129"/>
        <v>0</v>
      </c>
      <c r="BI143" s="49">
        <f t="shared" ca="1" si="129"/>
        <v>0</v>
      </c>
      <c r="BJ143" s="49">
        <f t="shared" ca="1" si="129"/>
        <v>0</v>
      </c>
      <c r="BK143" s="49">
        <f t="shared" ca="1" si="129"/>
        <v>0</v>
      </c>
      <c r="BL143" s="49">
        <f t="shared" ca="1" si="129"/>
        <v>0</v>
      </c>
      <c r="BM143" s="49">
        <f t="shared" ca="1" si="129"/>
        <v>0</v>
      </c>
      <c r="BN143" s="49">
        <f t="shared" ca="1" si="129"/>
        <v>0</v>
      </c>
      <c r="BO143" s="49">
        <f t="shared" ca="1" si="129"/>
        <v>0</v>
      </c>
      <c r="BP143" s="49">
        <f t="shared" ca="1" si="129"/>
        <v>0</v>
      </c>
      <c r="BQ143" s="49">
        <f t="shared" ca="1" si="129"/>
        <v>0</v>
      </c>
      <c r="BR143" s="49">
        <f t="shared" ca="1" si="129"/>
        <v>0</v>
      </c>
      <c r="BS143" s="49">
        <f t="shared" ca="1" si="129"/>
        <v>0</v>
      </c>
    </row>
    <row r="144" spans="1:93" outlineLevel="1" x14ac:dyDescent="0.2">
      <c r="D144" t="str">
        <f>HM_ZB_Nsoko!D139</f>
        <v>Gaz</v>
      </c>
      <c r="I144" s="46">
        <f ca="1">SUM($L144:$BS144)</f>
        <v>0</v>
      </c>
      <c r="J144" s="26" t="s">
        <v>653</v>
      </c>
      <c r="K144" s="7" t="s">
        <v>670</v>
      </c>
      <c r="L144" s="49">
        <f ca="1">HM_ZD_AM3_2005!L136</f>
        <v>0</v>
      </c>
      <c r="M144" s="49">
        <f ca="1">HM_ZD_AM3_2005!M136</f>
        <v>0</v>
      </c>
      <c r="N144" s="54">
        <f t="shared" ref="N144:AS144" ca="1" si="130">OFFSET(_xlfn.SINGLE(IA_sales_gas),4,)</f>
        <v>0</v>
      </c>
      <c r="O144" s="54">
        <f t="shared" ca="1" si="130"/>
        <v>0</v>
      </c>
      <c r="P144" s="54">
        <f t="shared" ca="1" si="130"/>
        <v>0</v>
      </c>
      <c r="Q144" s="54">
        <f t="shared" ca="1" si="130"/>
        <v>0</v>
      </c>
      <c r="R144" s="54">
        <f t="shared" ca="1" si="130"/>
        <v>0</v>
      </c>
      <c r="S144" s="54">
        <f t="shared" ca="1" si="130"/>
        <v>0</v>
      </c>
      <c r="T144" s="54">
        <f t="shared" ca="1" si="130"/>
        <v>0</v>
      </c>
      <c r="U144" s="54">
        <f t="shared" ca="1" si="130"/>
        <v>0</v>
      </c>
      <c r="V144" s="54">
        <f t="shared" ca="1" si="130"/>
        <v>0</v>
      </c>
      <c r="W144" s="54">
        <f t="shared" ca="1" si="130"/>
        <v>0</v>
      </c>
      <c r="X144" s="54">
        <f t="shared" ca="1" si="130"/>
        <v>0</v>
      </c>
      <c r="Y144" s="54">
        <f t="shared" ca="1" si="130"/>
        <v>0</v>
      </c>
      <c r="Z144" s="54">
        <f t="shared" ca="1" si="130"/>
        <v>0</v>
      </c>
      <c r="AA144" s="54">
        <f t="shared" ca="1" si="130"/>
        <v>0</v>
      </c>
      <c r="AB144" s="54">
        <f t="shared" ca="1" si="130"/>
        <v>0</v>
      </c>
      <c r="AC144" s="54">
        <f t="shared" ca="1" si="130"/>
        <v>0</v>
      </c>
      <c r="AD144" s="54">
        <f t="shared" ca="1" si="130"/>
        <v>0</v>
      </c>
      <c r="AE144" s="54">
        <f t="shared" ca="1" si="130"/>
        <v>0</v>
      </c>
      <c r="AF144" s="54">
        <f t="shared" ca="1" si="130"/>
        <v>0</v>
      </c>
      <c r="AG144" s="54">
        <f t="shared" ca="1" si="130"/>
        <v>0</v>
      </c>
      <c r="AH144" s="54">
        <f t="shared" ca="1" si="130"/>
        <v>0</v>
      </c>
      <c r="AI144" s="54">
        <f t="shared" ca="1" si="130"/>
        <v>0</v>
      </c>
      <c r="AJ144" s="54">
        <f t="shared" ca="1" si="130"/>
        <v>0</v>
      </c>
      <c r="AK144" s="54">
        <f t="shared" ca="1" si="130"/>
        <v>0</v>
      </c>
      <c r="AL144" s="54">
        <f t="shared" ca="1" si="130"/>
        <v>0</v>
      </c>
      <c r="AM144" s="54">
        <f t="shared" ca="1" si="130"/>
        <v>0</v>
      </c>
      <c r="AN144" s="54">
        <f t="shared" ca="1" si="130"/>
        <v>0</v>
      </c>
      <c r="AO144" s="54">
        <f t="shared" ca="1" si="130"/>
        <v>0</v>
      </c>
      <c r="AP144" s="54">
        <f t="shared" ca="1" si="130"/>
        <v>0</v>
      </c>
      <c r="AQ144" s="54">
        <f t="shared" ca="1" si="130"/>
        <v>0</v>
      </c>
      <c r="AR144" s="54">
        <f t="shared" ca="1" si="130"/>
        <v>0</v>
      </c>
      <c r="AS144" s="54">
        <f t="shared" ca="1" si="130"/>
        <v>0</v>
      </c>
      <c r="AT144" s="54">
        <f t="shared" ref="AT144:BS144" ca="1" si="131">OFFSET(_xlfn.SINGLE(IA_sales_gas),4,)</f>
        <v>0</v>
      </c>
      <c r="AU144" s="54">
        <f t="shared" ca="1" si="131"/>
        <v>0</v>
      </c>
      <c r="AV144" s="54">
        <f t="shared" ca="1" si="131"/>
        <v>0</v>
      </c>
      <c r="AW144" s="54">
        <f t="shared" ca="1" si="131"/>
        <v>0</v>
      </c>
      <c r="AX144" s="54">
        <f t="shared" ca="1" si="131"/>
        <v>0</v>
      </c>
      <c r="AY144" s="54">
        <f t="shared" ca="1" si="131"/>
        <v>0</v>
      </c>
      <c r="AZ144" s="54">
        <f t="shared" ca="1" si="131"/>
        <v>0</v>
      </c>
      <c r="BA144" s="54">
        <f t="shared" ca="1" si="131"/>
        <v>0</v>
      </c>
      <c r="BB144" s="54">
        <f t="shared" ca="1" si="131"/>
        <v>0</v>
      </c>
      <c r="BC144" s="54">
        <f t="shared" ca="1" si="131"/>
        <v>0</v>
      </c>
      <c r="BD144" s="54">
        <f t="shared" ca="1" si="131"/>
        <v>0</v>
      </c>
      <c r="BE144" s="54">
        <f t="shared" ca="1" si="131"/>
        <v>0</v>
      </c>
      <c r="BF144" s="54">
        <f t="shared" ca="1" si="131"/>
        <v>0</v>
      </c>
      <c r="BG144" s="54">
        <f t="shared" ca="1" si="131"/>
        <v>0</v>
      </c>
      <c r="BH144" s="54">
        <f t="shared" ca="1" si="131"/>
        <v>0</v>
      </c>
      <c r="BI144" s="54">
        <f t="shared" ca="1" si="131"/>
        <v>0</v>
      </c>
      <c r="BJ144" s="54">
        <f t="shared" ca="1" si="131"/>
        <v>0</v>
      </c>
      <c r="BK144" s="54">
        <f t="shared" ca="1" si="131"/>
        <v>0</v>
      </c>
      <c r="BL144" s="54">
        <f t="shared" ca="1" si="131"/>
        <v>0</v>
      </c>
      <c r="BM144" s="54">
        <f t="shared" ca="1" si="131"/>
        <v>0</v>
      </c>
      <c r="BN144" s="54">
        <f t="shared" ca="1" si="131"/>
        <v>0</v>
      </c>
      <c r="BO144" s="54">
        <f t="shared" ca="1" si="131"/>
        <v>0</v>
      </c>
      <c r="BP144" s="54">
        <f t="shared" ca="1" si="131"/>
        <v>0</v>
      </c>
      <c r="BQ144" s="54">
        <f t="shared" ca="1" si="131"/>
        <v>0</v>
      </c>
      <c r="BR144" s="54">
        <f t="shared" ca="1" si="131"/>
        <v>0</v>
      </c>
      <c r="BS144" s="54">
        <f t="shared" ca="1" si="131"/>
        <v>0</v>
      </c>
    </row>
    <row r="145" spans="1:93" outlineLevel="1" x14ac:dyDescent="0.2">
      <c r="A145" s="6"/>
      <c r="B145" s="6"/>
      <c r="C145" s="6"/>
      <c r="D145" s="47" t="str">
        <f>HM_ZB_Nsoko!D140</f>
        <v>Total</v>
      </c>
      <c r="E145" s="6"/>
      <c r="F145" s="6"/>
      <c r="G145" s="6"/>
      <c r="H145" s="6"/>
      <c r="I145" s="30">
        <f ca="1">SUM($L145:$BS145)</f>
        <v>470.13540919728229</v>
      </c>
      <c r="J145" s="26" t="s">
        <v>130</v>
      </c>
      <c r="K145" s="7" t="s">
        <v>671</v>
      </c>
      <c r="L145" s="49">
        <f t="shared" ref="L145:BS145" ca="1" si="132">SUM(L142,L143,L144/conv_CMtoBbls)</f>
        <v>18.11364</v>
      </c>
      <c r="M145" s="49">
        <f t="shared" ca="1" si="132"/>
        <v>18.917859</v>
      </c>
      <c r="N145" s="49">
        <f t="shared" ca="1" si="132"/>
        <v>15.366923</v>
      </c>
      <c r="O145" s="49">
        <f t="shared" ca="1" si="132"/>
        <v>15.591395</v>
      </c>
      <c r="P145" s="49">
        <f t="shared" ca="1" si="132"/>
        <v>32.634275000000002</v>
      </c>
      <c r="Q145" s="49">
        <f t="shared" ca="1" si="132"/>
        <v>52.389181999999998</v>
      </c>
      <c r="R145" s="49">
        <f t="shared" ca="1" si="132"/>
        <v>54.643199000000003</v>
      </c>
      <c r="S145" s="49">
        <f t="shared" ca="1" si="132"/>
        <v>52.048200000000001</v>
      </c>
      <c r="T145" s="49">
        <f t="shared" ca="1" si="132"/>
        <v>48.404826</v>
      </c>
      <c r="U145" s="49">
        <f t="shared" ca="1" si="132"/>
        <v>45.016488179999996</v>
      </c>
      <c r="V145" s="49">
        <f t="shared" ca="1" si="132"/>
        <v>41.865334007399994</v>
      </c>
      <c r="W145" s="49">
        <f t="shared" ca="1" si="132"/>
        <v>38.934760626881989</v>
      </c>
      <c r="X145" s="49">
        <f t="shared" ca="1" si="132"/>
        <v>36.20932738300025</v>
      </c>
      <c r="Y145" s="49">
        <f t="shared" ca="1" si="132"/>
        <v>0</v>
      </c>
      <c r="Z145" s="49">
        <f t="shared" ca="1" si="132"/>
        <v>0</v>
      </c>
      <c r="AA145" s="49">
        <f t="shared" ca="1" si="132"/>
        <v>0</v>
      </c>
      <c r="AB145" s="49">
        <f t="shared" ca="1" si="132"/>
        <v>0</v>
      </c>
      <c r="AC145" s="49">
        <f t="shared" ca="1" si="132"/>
        <v>0</v>
      </c>
      <c r="AD145" s="49">
        <f t="shared" ca="1" si="132"/>
        <v>0</v>
      </c>
      <c r="AE145" s="49">
        <f t="shared" ca="1" si="132"/>
        <v>0</v>
      </c>
      <c r="AF145" s="49">
        <f t="shared" ca="1" si="132"/>
        <v>0</v>
      </c>
      <c r="AG145" s="49">
        <f t="shared" ca="1" si="132"/>
        <v>0</v>
      </c>
      <c r="AH145" s="49">
        <f t="shared" ca="1" si="132"/>
        <v>0</v>
      </c>
      <c r="AI145" s="49">
        <f t="shared" ca="1" si="132"/>
        <v>0</v>
      </c>
      <c r="AJ145" s="49">
        <f t="shared" ca="1" si="132"/>
        <v>0</v>
      </c>
      <c r="AK145" s="49">
        <f t="shared" ca="1" si="132"/>
        <v>0</v>
      </c>
      <c r="AL145" s="49">
        <f t="shared" ca="1" si="132"/>
        <v>0</v>
      </c>
      <c r="AM145" s="49">
        <f t="shared" ca="1" si="132"/>
        <v>0</v>
      </c>
      <c r="AN145" s="49">
        <f t="shared" ca="1" si="132"/>
        <v>0</v>
      </c>
      <c r="AO145" s="49">
        <f t="shared" ca="1" si="132"/>
        <v>0</v>
      </c>
      <c r="AP145" s="49">
        <f t="shared" ca="1" si="132"/>
        <v>0</v>
      </c>
      <c r="AQ145" s="49">
        <f t="shared" ca="1" si="132"/>
        <v>0</v>
      </c>
      <c r="AR145" s="49">
        <f t="shared" ca="1" si="132"/>
        <v>0</v>
      </c>
      <c r="AS145" s="49">
        <f t="shared" ca="1" si="132"/>
        <v>0</v>
      </c>
      <c r="AT145" s="49">
        <f t="shared" ca="1" si="132"/>
        <v>0</v>
      </c>
      <c r="AU145" s="49">
        <f t="shared" ca="1" si="132"/>
        <v>0</v>
      </c>
      <c r="AV145" s="49">
        <f t="shared" ca="1" si="132"/>
        <v>0</v>
      </c>
      <c r="AW145" s="49">
        <f t="shared" ca="1" si="132"/>
        <v>0</v>
      </c>
      <c r="AX145" s="49">
        <f t="shared" ca="1" si="132"/>
        <v>0</v>
      </c>
      <c r="AY145" s="49">
        <f t="shared" ca="1" si="132"/>
        <v>0</v>
      </c>
      <c r="AZ145" s="49">
        <f t="shared" ca="1" si="132"/>
        <v>0</v>
      </c>
      <c r="BA145" s="49">
        <f t="shared" ca="1" si="132"/>
        <v>0</v>
      </c>
      <c r="BB145" s="49">
        <f t="shared" ca="1" si="132"/>
        <v>0</v>
      </c>
      <c r="BC145" s="49">
        <f t="shared" ca="1" si="132"/>
        <v>0</v>
      </c>
      <c r="BD145" s="49">
        <f t="shared" ca="1" si="132"/>
        <v>0</v>
      </c>
      <c r="BE145" s="49">
        <f t="shared" ca="1" si="132"/>
        <v>0</v>
      </c>
      <c r="BF145" s="49">
        <f t="shared" ca="1" si="132"/>
        <v>0</v>
      </c>
      <c r="BG145" s="49">
        <f t="shared" ca="1" si="132"/>
        <v>0</v>
      </c>
      <c r="BH145" s="49">
        <f t="shared" ca="1" si="132"/>
        <v>0</v>
      </c>
      <c r="BI145" s="49">
        <f t="shared" ca="1" si="132"/>
        <v>0</v>
      </c>
      <c r="BJ145" s="49">
        <f t="shared" ca="1" si="132"/>
        <v>0</v>
      </c>
      <c r="BK145" s="49">
        <f t="shared" ca="1" si="132"/>
        <v>0</v>
      </c>
      <c r="BL145" s="49">
        <f t="shared" ca="1" si="132"/>
        <v>0</v>
      </c>
      <c r="BM145" s="49">
        <f t="shared" ca="1" si="132"/>
        <v>0</v>
      </c>
      <c r="BN145" s="49">
        <f t="shared" ca="1" si="132"/>
        <v>0</v>
      </c>
      <c r="BO145" s="49">
        <f t="shared" ca="1" si="132"/>
        <v>0</v>
      </c>
      <c r="BP145" s="49">
        <f t="shared" ca="1" si="132"/>
        <v>0</v>
      </c>
      <c r="BQ145" s="49">
        <f t="shared" ca="1" si="132"/>
        <v>0</v>
      </c>
      <c r="BR145" s="49">
        <f t="shared" ca="1" si="132"/>
        <v>0</v>
      </c>
      <c r="BS145" s="49">
        <f t="shared" ca="1" si="132"/>
        <v>0</v>
      </c>
      <c r="BT145" s="6"/>
      <c r="BU145" s="6"/>
      <c r="BV145" s="6"/>
      <c r="BW145" s="6"/>
      <c r="BX145" s="6"/>
      <c r="BY145" s="6"/>
      <c r="BZ145" s="6"/>
      <c r="CA145" s="6"/>
      <c r="CB145" s="6"/>
      <c r="CC145" s="6"/>
      <c r="CD145" s="6"/>
      <c r="CE145" s="6"/>
      <c r="CF145" s="6"/>
      <c r="CG145" s="6"/>
      <c r="CH145" s="6"/>
      <c r="CI145" s="6"/>
      <c r="CJ145" s="6"/>
      <c r="CK145" s="6"/>
      <c r="CL145" s="6"/>
      <c r="CM145" s="6"/>
      <c r="CN145" s="6"/>
      <c r="CO145" s="6"/>
    </row>
    <row r="146" spans="1:93" outlineLevel="1" x14ac:dyDescent="0.2">
      <c r="J146" s="26"/>
      <c r="L146" s="55"/>
      <c r="M146" s="55"/>
      <c r="N146" s="55"/>
      <c r="O146" s="55"/>
      <c r="P146" s="55"/>
      <c r="Q146" s="55"/>
      <c r="R146" s="55"/>
      <c r="S146" s="55"/>
      <c r="T146" s="55"/>
      <c r="U146" s="55"/>
      <c r="V146" s="55"/>
      <c r="W146" s="55"/>
      <c r="X146" s="55"/>
      <c r="Y146" s="55"/>
      <c r="Z146" s="55"/>
      <c r="AA146" s="55"/>
      <c r="AB146" s="55"/>
      <c r="AC146" s="55"/>
      <c r="AD146" s="55"/>
      <c r="AE146" s="55"/>
      <c r="AF146" s="55"/>
      <c r="AG146" s="55"/>
      <c r="AH146" s="55"/>
      <c r="AI146" s="55"/>
      <c r="AJ146" s="55"/>
      <c r="AK146" s="55"/>
      <c r="AL146" s="55"/>
      <c r="AM146" s="55"/>
      <c r="AN146" s="55"/>
      <c r="AO146" s="55"/>
      <c r="AP146" s="55"/>
      <c r="AQ146" s="55"/>
      <c r="AR146" s="55"/>
      <c r="AS146" s="55"/>
      <c r="AT146" s="55"/>
      <c r="AU146" s="55"/>
      <c r="AV146" s="55"/>
      <c r="AW146" s="55"/>
      <c r="AX146" s="55"/>
      <c r="AY146" s="55"/>
      <c r="AZ146" s="55"/>
      <c r="BA146" s="55"/>
      <c r="BB146" s="55"/>
      <c r="BC146" s="55"/>
      <c r="BD146" s="55"/>
      <c r="BE146" s="55"/>
      <c r="BF146" s="55"/>
      <c r="BG146" s="55"/>
      <c r="BH146" s="55"/>
      <c r="BI146" s="55"/>
      <c r="BJ146" s="55"/>
      <c r="BK146" s="55"/>
      <c r="BL146" s="55"/>
      <c r="BM146" s="55"/>
      <c r="BN146" s="55"/>
      <c r="BO146" s="55"/>
      <c r="BP146" s="55"/>
      <c r="BQ146" s="55"/>
      <c r="BR146" s="55"/>
      <c r="BS146" s="55"/>
    </row>
    <row r="147" spans="1:93" outlineLevel="1" x14ac:dyDescent="0.2">
      <c r="C147" s="11" t="str">
        <f>HM_ZB_Nsoko!C142</f>
        <v>Volumes de ventes brutes cumulées</v>
      </c>
      <c r="J147" s="26"/>
      <c r="L147" s="55"/>
      <c r="M147" s="55"/>
      <c r="N147" s="55"/>
      <c r="O147" s="55"/>
      <c r="P147" s="55"/>
      <c r="Q147" s="55"/>
      <c r="R147" s="55"/>
      <c r="S147" s="55"/>
      <c r="T147" s="55"/>
      <c r="U147" s="55"/>
      <c r="V147" s="55"/>
      <c r="W147" s="55"/>
      <c r="X147" s="55"/>
      <c r="Y147" s="55"/>
      <c r="Z147" s="55"/>
      <c r="AA147" s="55"/>
      <c r="AB147" s="55"/>
      <c r="AC147" s="55"/>
      <c r="AD147" s="55"/>
      <c r="AE147" s="55"/>
      <c r="AF147" s="55"/>
      <c r="AG147" s="55"/>
      <c r="AH147" s="55"/>
      <c r="AI147" s="55"/>
      <c r="AJ147" s="55"/>
      <c r="AK147" s="55"/>
      <c r="AL147" s="55"/>
      <c r="AM147" s="55"/>
      <c r="AN147" s="55"/>
      <c r="AO147" s="55"/>
      <c r="AP147" s="55"/>
      <c r="AQ147" s="55"/>
      <c r="AR147" s="55"/>
      <c r="AS147" s="55"/>
      <c r="AT147" s="55"/>
      <c r="AU147" s="55"/>
      <c r="AV147" s="55"/>
      <c r="AW147" s="55"/>
      <c r="AX147" s="55"/>
      <c r="AY147" s="55"/>
      <c r="AZ147" s="55"/>
      <c r="BA147" s="55"/>
      <c r="BB147" s="55"/>
      <c r="BC147" s="55"/>
      <c r="BD147" s="55"/>
      <c r="BE147" s="55"/>
      <c r="BF147" s="55"/>
      <c r="BG147" s="55"/>
      <c r="BH147" s="55"/>
      <c r="BI147" s="55"/>
      <c r="BJ147" s="55"/>
      <c r="BK147" s="55"/>
      <c r="BL147" s="55"/>
      <c r="BM147" s="55"/>
      <c r="BN147" s="55"/>
      <c r="BO147" s="55"/>
      <c r="BP147" s="55"/>
      <c r="BQ147" s="55"/>
      <c r="BR147" s="55"/>
      <c r="BS147" s="55"/>
    </row>
    <row r="148" spans="1:93" outlineLevel="1" x14ac:dyDescent="0.2">
      <c r="D148" t="str">
        <f>HM_ZB_Nsoko!D143</f>
        <v>Pétrole</v>
      </c>
      <c r="J148" s="26" t="s">
        <v>42</v>
      </c>
      <c r="K148" s="7" t="s">
        <v>672</v>
      </c>
      <c r="L148" s="49">
        <f ca="1">HM_ZD_AM3_2005!L140</f>
        <v>218.11364</v>
      </c>
      <c r="M148" s="49">
        <f ca="1">HM_ZD_AM3_2005!M140</f>
        <v>223.93766300000001</v>
      </c>
      <c r="N148" s="49">
        <f ca="1">SUM(M148)+HM_ZD_Moho!CA_gross_sales_oil</f>
        <v>239.30458600000003</v>
      </c>
      <c r="O148" s="49">
        <f ca="1">SUM(N148)+HM_ZD_Moho!CA_gross_sales_oil</f>
        <v>254.89598100000003</v>
      </c>
      <c r="P148" s="49">
        <f ca="1">SUM(O148)+HM_ZD_Moho!CA_gross_sales_oil</f>
        <v>287.53025600000001</v>
      </c>
      <c r="Q148" s="49">
        <f ca="1">SUM(P148)+HM_ZD_Moho!CA_gross_sales_oil</f>
        <v>339.91943800000001</v>
      </c>
      <c r="R148" s="49">
        <f ca="1">SUM(Q148)+HM_ZD_Moho!CA_gross_sales_oil</f>
        <v>394.562637</v>
      </c>
      <c r="S148" s="49">
        <f ca="1">SUM(R148)+HM_ZD_Moho!CA_gross_sales_oil</f>
        <v>446.610837</v>
      </c>
      <c r="T148" s="49">
        <f ca="1">SUM(S148)+HM_ZD_Moho!CA_gross_sales_oil</f>
        <v>495.01566300000002</v>
      </c>
      <c r="U148" s="49">
        <f ca="1">SUM(T148)+HM_ZD_Moho!CA_gross_sales_oil</f>
        <v>540.03215118000003</v>
      </c>
      <c r="V148" s="49">
        <f ca="1">SUM(U148)+HM_ZD_Moho!CA_gross_sales_oil</f>
        <v>581.89748518739998</v>
      </c>
      <c r="W148" s="49">
        <f ca="1">SUM(V148)+HM_ZD_Moho!CA_gross_sales_oil</f>
        <v>620.83224581428192</v>
      </c>
      <c r="X148" s="49">
        <f ca="1">SUM(W148)+HM_ZD_Moho!CA_gross_sales_oil</f>
        <v>657.04157319728222</v>
      </c>
      <c r="Y148" s="49">
        <f ca="1">SUM(X148)+HM_ZD_Moho!CA_gross_sales_oil</f>
        <v>657.04157319728222</v>
      </c>
      <c r="Z148" s="49">
        <f ca="1">SUM(Y148)+HM_ZD_Moho!CA_gross_sales_oil</f>
        <v>657.04157319728222</v>
      </c>
      <c r="AA148" s="49">
        <f ca="1">SUM(Z148)+HM_ZD_Moho!CA_gross_sales_oil</f>
        <v>657.04157319728222</v>
      </c>
      <c r="AB148" s="49">
        <f ca="1">SUM(AA148)+HM_ZD_Moho!CA_gross_sales_oil</f>
        <v>657.04157319728222</v>
      </c>
      <c r="AC148" s="49">
        <f ca="1">SUM(AB148)+HM_ZD_Moho!CA_gross_sales_oil</f>
        <v>657.04157319728222</v>
      </c>
      <c r="AD148" s="49">
        <f ca="1">SUM(AC148)+HM_ZD_Moho!CA_gross_sales_oil</f>
        <v>657.04157319728222</v>
      </c>
      <c r="AE148" s="49">
        <f ca="1">SUM(AD148)+HM_ZD_Moho!CA_gross_sales_oil</f>
        <v>657.04157319728222</v>
      </c>
      <c r="AF148" s="49">
        <f ca="1">SUM(AE148)+HM_ZD_Moho!CA_gross_sales_oil</f>
        <v>657.04157319728222</v>
      </c>
      <c r="AG148" s="49">
        <f ca="1">SUM(AF148)+HM_ZD_Moho!CA_gross_sales_oil</f>
        <v>657.04157319728222</v>
      </c>
      <c r="AH148" s="49">
        <f ca="1">SUM(AG148)+HM_ZD_Moho!CA_gross_sales_oil</f>
        <v>657.04157319728222</v>
      </c>
      <c r="AI148" s="49">
        <f ca="1">SUM(AH148)+HM_ZD_Moho!CA_gross_sales_oil</f>
        <v>657.04157319728222</v>
      </c>
      <c r="AJ148" s="49">
        <f ca="1">SUM(AI148)+HM_ZD_Moho!CA_gross_sales_oil</f>
        <v>657.04157319728222</v>
      </c>
      <c r="AK148" s="49">
        <f ca="1">SUM(AJ148)+HM_ZD_Moho!CA_gross_sales_oil</f>
        <v>657.04157319728222</v>
      </c>
      <c r="AL148" s="49">
        <f ca="1">SUM(AK148)+HM_ZD_Moho!CA_gross_sales_oil</f>
        <v>657.04157319728222</v>
      </c>
      <c r="AM148" s="49">
        <f ca="1">SUM(AL148)+HM_ZD_Moho!CA_gross_sales_oil</f>
        <v>657.04157319728222</v>
      </c>
      <c r="AN148" s="49">
        <f ca="1">SUM(AM148)+HM_ZD_Moho!CA_gross_sales_oil</f>
        <v>657.04157319728222</v>
      </c>
      <c r="AO148" s="49">
        <f ca="1">SUM(AN148)+HM_ZD_Moho!CA_gross_sales_oil</f>
        <v>657.04157319728222</v>
      </c>
      <c r="AP148" s="49">
        <f ca="1">SUM(AO148)+HM_ZD_Moho!CA_gross_sales_oil</f>
        <v>657.04157319728222</v>
      </c>
      <c r="AQ148" s="49">
        <f ca="1">SUM(AP148)+HM_ZD_Moho!CA_gross_sales_oil</f>
        <v>657.04157319728222</v>
      </c>
      <c r="AR148" s="49">
        <f ca="1">SUM(AQ148)+HM_ZD_Moho!CA_gross_sales_oil</f>
        <v>657.04157319728222</v>
      </c>
      <c r="AS148" s="49">
        <f ca="1">SUM(AR148)+HM_ZD_Moho!CA_gross_sales_oil</f>
        <v>657.04157319728222</v>
      </c>
      <c r="AT148" s="49">
        <f ca="1">SUM(AS148)+HM_ZD_Moho!CA_gross_sales_oil</f>
        <v>657.04157319728222</v>
      </c>
      <c r="AU148" s="49">
        <f ca="1">SUM(AT148)+HM_ZD_Moho!CA_gross_sales_oil</f>
        <v>657.04157319728222</v>
      </c>
      <c r="AV148" s="49">
        <f ca="1">SUM(AU148)+HM_ZD_Moho!CA_gross_sales_oil</f>
        <v>657.04157319728222</v>
      </c>
      <c r="AW148" s="49">
        <f ca="1">SUM(AV148)+HM_ZD_Moho!CA_gross_sales_oil</f>
        <v>657.04157319728222</v>
      </c>
      <c r="AX148" s="49">
        <f ca="1">SUM(AW148)+HM_ZD_Moho!CA_gross_sales_oil</f>
        <v>657.04157319728222</v>
      </c>
      <c r="AY148" s="49">
        <f ca="1">SUM(AX148)+HM_ZD_Moho!CA_gross_sales_oil</f>
        <v>657.04157319728222</v>
      </c>
      <c r="AZ148" s="49">
        <f ca="1">SUM(AY148)+HM_ZD_Moho!CA_gross_sales_oil</f>
        <v>657.04157319728222</v>
      </c>
      <c r="BA148" s="49">
        <f ca="1">SUM(AZ148)+HM_ZD_Moho!CA_gross_sales_oil</f>
        <v>657.04157319728222</v>
      </c>
      <c r="BB148" s="49">
        <f ca="1">SUM(BA148)+HM_ZD_Moho!CA_gross_sales_oil</f>
        <v>657.04157319728222</v>
      </c>
      <c r="BC148" s="49">
        <f ca="1">SUM(BB148)+HM_ZD_Moho!CA_gross_sales_oil</f>
        <v>657.04157319728222</v>
      </c>
      <c r="BD148" s="49">
        <f ca="1">SUM(BC148)+HM_ZD_Moho!CA_gross_sales_oil</f>
        <v>657.04157319728222</v>
      </c>
      <c r="BE148" s="49">
        <f ca="1">SUM(BD148)+HM_ZD_Moho!CA_gross_sales_oil</f>
        <v>657.04157319728222</v>
      </c>
      <c r="BF148" s="49">
        <f ca="1">SUM(BE148)+HM_ZD_Moho!CA_gross_sales_oil</f>
        <v>657.04157319728222</v>
      </c>
      <c r="BG148" s="49">
        <f ca="1">SUM(BF148)+HM_ZD_Moho!CA_gross_sales_oil</f>
        <v>657.04157319728222</v>
      </c>
      <c r="BH148" s="49">
        <f ca="1">SUM(BG148)+HM_ZD_Moho!CA_gross_sales_oil</f>
        <v>657.04157319728222</v>
      </c>
      <c r="BI148" s="49">
        <f ca="1">SUM(BH148)+HM_ZD_Moho!CA_gross_sales_oil</f>
        <v>657.04157319728222</v>
      </c>
      <c r="BJ148" s="49">
        <f ca="1">SUM(BI148)+HM_ZD_Moho!CA_gross_sales_oil</f>
        <v>657.04157319728222</v>
      </c>
      <c r="BK148" s="49">
        <f ca="1">SUM(BJ148)+HM_ZD_Moho!CA_gross_sales_oil</f>
        <v>657.04157319728222</v>
      </c>
      <c r="BL148" s="49">
        <f ca="1">SUM(BK148)+HM_ZD_Moho!CA_gross_sales_oil</f>
        <v>657.04157319728222</v>
      </c>
      <c r="BM148" s="49">
        <f ca="1">SUM(BL148)+HM_ZD_Moho!CA_gross_sales_oil</f>
        <v>657.04157319728222</v>
      </c>
      <c r="BN148" s="49">
        <f ca="1">SUM(BM148)+HM_ZD_Moho!CA_gross_sales_oil</f>
        <v>657.04157319728222</v>
      </c>
      <c r="BO148" s="49">
        <f ca="1">SUM(BN148)+HM_ZD_Moho!CA_gross_sales_oil</f>
        <v>657.04157319728222</v>
      </c>
      <c r="BP148" s="49">
        <f ca="1">SUM(BO148)+HM_ZD_Moho!CA_gross_sales_oil</f>
        <v>657.04157319728222</v>
      </c>
      <c r="BQ148" s="49">
        <f ca="1">SUM(BP148)+HM_ZD_Moho!CA_gross_sales_oil</f>
        <v>657.04157319728222</v>
      </c>
      <c r="BR148" s="49">
        <f ca="1">SUM(BQ148)+HM_ZD_Moho!CA_gross_sales_oil</f>
        <v>657.04157319728222</v>
      </c>
      <c r="BS148" s="49">
        <f ca="1">SUM(BR148)+HM_ZD_Moho!CA_gross_sales_oil</f>
        <v>657.04157319728222</v>
      </c>
    </row>
    <row r="149" spans="1:93" outlineLevel="1" x14ac:dyDescent="0.2">
      <c r="D149" t="str">
        <f>HM_ZB_Nsoko!D144</f>
        <v>GPL</v>
      </c>
      <c r="J149" s="26" t="s">
        <v>42</v>
      </c>
      <c r="K149" s="7" t="s">
        <v>687</v>
      </c>
      <c r="L149" s="49">
        <f ca="1">HM_ZD_AM3_2005!L141</f>
        <v>0</v>
      </c>
      <c r="M149" s="49">
        <f ca="1">HM_ZD_AM3_2005!M141</f>
        <v>0</v>
      </c>
      <c r="N149" s="49">
        <f ca="1">SUM(M149)+HM_ZD_Moho!CA_gross_sales_lpg</f>
        <v>0</v>
      </c>
      <c r="O149" s="49">
        <f ca="1">SUM(N149)+HM_ZD_Moho!CA_gross_sales_lpg</f>
        <v>0</v>
      </c>
      <c r="P149" s="49">
        <f ca="1">SUM(O149)+HM_ZD_Moho!CA_gross_sales_lpg</f>
        <v>0</v>
      </c>
      <c r="Q149" s="49">
        <f ca="1">SUM(P149)+HM_ZD_Moho!CA_gross_sales_lpg</f>
        <v>0</v>
      </c>
      <c r="R149" s="49">
        <f ca="1">SUM(Q149)+HM_ZD_Moho!CA_gross_sales_lpg</f>
        <v>0</v>
      </c>
      <c r="S149" s="49">
        <f ca="1">SUM(R149)+HM_ZD_Moho!CA_gross_sales_lpg</f>
        <v>0</v>
      </c>
      <c r="T149" s="49">
        <f ca="1">SUM(S149)+HM_ZD_Moho!CA_gross_sales_lpg</f>
        <v>0</v>
      </c>
      <c r="U149" s="49">
        <f ca="1">SUM(T149)+HM_ZD_Moho!CA_gross_sales_lpg</f>
        <v>0</v>
      </c>
      <c r="V149" s="49">
        <f ca="1">SUM(U149)+HM_ZD_Moho!CA_gross_sales_lpg</f>
        <v>0</v>
      </c>
      <c r="W149" s="49">
        <f ca="1">SUM(V149)+HM_ZD_Moho!CA_gross_sales_lpg</f>
        <v>0</v>
      </c>
      <c r="X149" s="49">
        <f ca="1">SUM(W149)+HM_ZD_Moho!CA_gross_sales_lpg</f>
        <v>0</v>
      </c>
      <c r="Y149" s="49">
        <f ca="1">SUM(X149)+HM_ZD_Moho!CA_gross_sales_lpg</f>
        <v>0</v>
      </c>
      <c r="Z149" s="49">
        <f ca="1">SUM(Y149)+HM_ZD_Moho!CA_gross_sales_lpg</f>
        <v>0</v>
      </c>
      <c r="AA149" s="49">
        <f ca="1">SUM(Z149)+HM_ZD_Moho!CA_gross_sales_lpg</f>
        <v>0</v>
      </c>
      <c r="AB149" s="49">
        <f ca="1">SUM(AA149)+HM_ZD_Moho!CA_gross_sales_lpg</f>
        <v>0</v>
      </c>
      <c r="AC149" s="49">
        <f ca="1">SUM(AB149)+HM_ZD_Moho!CA_gross_sales_lpg</f>
        <v>0</v>
      </c>
      <c r="AD149" s="49">
        <f ca="1">SUM(AC149)+HM_ZD_Moho!CA_gross_sales_lpg</f>
        <v>0</v>
      </c>
      <c r="AE149" s="49">
        <f ca="1">SUM(AD149)+HM_ZD_Moho!CA_gross_sales_lpg</f>
        <v>0</v>
      </c>
      <c r="AF149" s="49">
        <f ca="1">SUM(AE149)+HM_ZD_Moho!CA_gross_sales_lpg</f>
        <v>0</v>
      </c>
      <c r="AG149" s="49">
        <f ca="1">SUM(AF149)+HM_ZD_Moho!CA_gross_sales_lpg</f>
        <v>0</v>
      </c>
      <c r="AH149" s="49">
        <f ca="1">SUM(AG149)+HM_ZD_Moho!CA_gross_sales_lpg</f>
        <v>0</v>
      </c>
      <c r="AI149" s="49">
        <f ca="1">SUM(AH149)+HM_ZD_Moho!CA_gross_sales_lpg</f>
        <v>0</v>
      </c>
      <c r="AJ149" s="49">
        <f ca="1">SUM(AI149)+HM_ZD_Moho!CA_gross_sales_lpg</f>
        <v>0</v>
      </c>
      <c r="AK149" s="49">
        <f ca="1">SUM(AJ149)+HM_ZD_Moho!CA_gross_sales_lpg</f>
        <v>0</v>
      </c>
      <c r="AL149" s="49">
        <f ca="1">SUM(AK149)+HM_ZD_Moho!CA_gross_sales_lpg</f>
        <v>0</v>
      </c>
      <c r="AM149" s="49">
        <f ca="1">SUM(AL149)+HM_ZD_Moho!CA_gross_sales_lpg</f>
        <v>0</v>
      </c>
      <c r="AN149" s="49">
        <f ca="1">SUM(AM149)+HM_ZD_Moho!CA_gross_sales_lpg</f>
        <v>0</v>
      </c>
      <c r="AO149" s="49">
        <f ca="1">SUM(AN149)+HM_ZD_Moho!CA_gross_sales_lpg</f>
        <v>0</v>
      </c>
      <c r="AP149" s="49">
        <f ca="1">SUM(AO149)+HM_ZD_Moho!CA_gross_sales_lpg</f>
        <v>0</v>
      </c>
      <c r="AQ149" s="49">
        <f ca="1">SUM(AP149)+HM_ZD_Moho!CA_gross_sales_lpg</f>
        <v>0</v>
      </c>
      <c r="AR149" s="49">
        <f ca="1">SUM(AQ149)+HM_ZD_Moho!CA_gross_sales_lpg</f>
        <v>0</v>
      </c>
      <c r="AS149" s="49">
        <f ca="1">SUM(AR149)+HM_ZD_Moho!CA_gross_sales_lpg</f>
        <v>0</v>
      </c>
      <c r="AT149" s="49">
        <f ca="1">SUM(AS149)+HM_ZD_Moho!CA_gross_sales_lpg</f>
        <v>0</v>
      </c>
      <c r="AU149" s="49">
        <f ca="1">SUM(AT149)+HM_ZD_Moho!CA_gross_sales_lpg</f>
        <v>0</v>
      </c>
      <c r="AV149" s="49">
        <f ca="1">SUM(AU149)+HM_ZD_Moho!CA_gross_sales_lpg</f>
        <v>0</v>
      </c>
      <c r="AW149" s="49">
        <f ca="1">SUM(AV149)+HM_ZD_Moho!CA_gross_sales_lpg</f>
        <v>0</v>
      </c>
      <c r="AX149" s="49">
        <f ca="1">SUM(AW149)+HM_ZD_Moho!CA_gross_sales_lpg</f>
        <v>0</v>
      </c>
      <c r="AY149" s="49">
        <f ca="1">SUM(AX149)+HM_ZD_Moho!CA_gross_sales_lpg</f>
        <v>0</v>
      </c>
      <c r="AZ149" s="49">
        <f ca="1">SUM(AY149)+HM_ZD_Moho!CA_gross_sales_lpg</f>
        <v>0</v>
      </c>
      <c r="BA149" s="49">
        <f ca="1">SUM(AZ149)+HM_ZD_Moho!CA_gross_sales_lpg</f>
        <v>0</v>
      </c>
      <c r="BB149" s="49">
        <f ca="1">SUM(BA149)+HM_ZD_Moho!CA_gross_sales_lpg</f>
        <v>0</v>
      </c>
      <c r="BC149" s="49">
        <f ca="1">SUM(BB149)+HM_ZD_Moho!CA_gross_sales_lpg</f>
        <v>0</v>
      </c>
      <c r="BD149" s="49">
        <f ca="1">SUM(BC149)+HM_ZD_Moho!CA_gross_sales_lpg</f>
        <v>0</v>
      </c>
      <c r="BE149" s="49">
        <f ca="1">SUM(BD149)+HM_ZD_Moho!CA_gross_sales_lpg</f>
        <v>0</v>
      </c>
      <c r="BF149" s="49">
        <f ca="1">SUM(BE149)+HM_ZD_Moho!CA_gross_sales_lpg</f>
        <v>0</v>
      </c>
      <c r="BG149" s="49">
        <f ca="1">SUM(BF149)+HM_ZD_Moho!CA_gross_sales_lpg</f>
        <v>0</v>
      </c>
      <c r="BH149" s="49">
        <f ca="1">SUM(BG149)+HM_ZD_Moho!CA_gross_sales_lpg</f>
        <v>0</v>
      </c>
      <c r="BI149" s="49">
        <f ca="1">SUM(BH149)+HM_ZD_Moho!CA_gross_sales_lpg</f>
        <v>0</v>
      </c>
      <c r="BJ149" s="49">
        <f ca="1">SUM(BI149)+HM_ZD_Moho!CA_gross_sales_lpg</f>
        <v>0</v>
      </c>
      <c r="BK149" s="49">
        <f ca="1">SUM(BJ149)+HM_ZD_Moho!CA_gross_sales_lpg</f>
        <v>0</v>
      </c>
      <c r="BL149" s="49">
        <f ca="1">SUM(BK149)+HM_ZD_Moho!CA_gross_sales_lpg</f>
        <v>0</v>
      </c>
      <c r="BM149" s="49">
        <f ca="1">SUM(BL149)+HM_ZD_Moho!CA_gross_sales_lpg</f>
        <v>0</v>
      </c>
      <c r="BN149" s="49">
        <f ca="1">SUM(BM149)+HM_ZD_Moho!CA_gross_sales_lpg</f>
        <v>0</v>
      </c>
      <c r="BO149" s="49">
        <f ca="1">SUM(BN149)+HM_ZD_Moho!CA_gross_sales_lpg</f>
        <v>0</v>
      </c>
      <c r="BP149" s="49">
        <f ca="1">SUM(BO149)+HM_ZD_Moho!CA_gross_sales_lpg</f>
        <v>0</v>
      </c>
      <c r="BQ149" s="49">
        <f ca="1">SUM(BP149)+HM_ZD_Moho!CA_gross_sales_lpg</f>
        <v>0</v>
      </c>
      <c r="BR149" s="49">
        <f ca="1">SUM(BQ149)+HM_ZD_Moho!CA_gross_sales_lpg</f>
        <v>0</v>
      </c>
      <c r="BS149" s="49">
        <f ca="1">SUM(BR149)+HM_ZD_Moho!CA_gross_sales_lpg</f>
        <v>0</v>
      </c>
    </row>
    <row r="150" spans="1:93" outlineLevel="1" x14ac:dyDescent="0.2">
      <c r="D150" t="str">
        <f>HM_ZB_Nsoko!D145</f>
        <v>Gaz</v>
      </c>
      <c r="J150" s="26" t="s">
        <v>653</v>
      </c>
      <c r="K150" s="7" t="s">
        <v>673</v>
      </c>
      <c r="L150" s="49">
        <f ca="1">HM_ZD_AM3_2005!L142</f>
        <v>0</v>
      </c>
      <c r="M150" s="49">
        <f ca="1">HM_ZD_AM3_2005!M142</f>
        <v>0</v>
      </c>
      <c r="N150" s="49">
        <f ca="1">SUM(M150)+HM_ZD_Moho!CA_gross_sales_gas</f>
        <v>0</v>
      </c>
      <c r="O150" s="49">
        <f ca="1">SUM(N150)+HM_ZD_Moho!CA_gross_sales_gas</f>
        <v>0</v>
      </c>
      <c r="P150" s="49">
        <f ca="1">SUM(O150)+HM_ZD_Moho!CA_gross_sales_gas</f>
        <v>0</v>
      </c>
      <c r="Q150" s="49">
        <f ca="1">SUM(P150)+HM_ZD_Moho!CA_gross_sales_gas</f>
        <v>0</v>
      </c>
      <c r="R150" s="49">
        <f ca="1">SUM(Q150)+HM_ZD_Moho!CA_gross_sales_gas</f>
        <v>0</v>
      </c>
      <c r="S150" s="49">
        <f ca="1">SUM(R150)+HM_ZD_Moho!CA_gross_sales_gas</f>
        <v>0</v>
      </c>
      <c r="T150" s="49">
        <f ca="1">SUM(S150)+HM_ZD_Moho!CA_gross_sales_gas</f>
        <v>0</v>
      </c>
      <c r="U150" s="49">
        <f ca="1">SUM(T150)+HM_ZD_Moho!CA_gross_sales_gas</f>
        <v>0</v>
      </c>
      <c r="V150" s="49">
        <f ca="1">SUM(U150)+HM_ZD_Moho!CA_gross_sales_gas</f>
        <v>0</v>
      </c>
      <c r="W150" s="49">
        <f ca="1">SUM(V150)+HM_ZD_Moho!CA_gross_sales_gas</f>
        <v>0</v>
      </c>
      <c r="X150" s="49">
        <f ca="1">SUM(W150)+HM_ZD_Moho!CA_gross_sales_gas</f>
        <v>0</v>
      </c>
      <c r="Y150" s="49">
        <f ca="1">SUM(X150)+HM_ZD_Moho!CA_gross_sales_gas</f>
        <v>0</v>
      </c>
      <c r="Z150" s="49">
        <f ca="1">SUM(Y150)+HM_ZD_Moho!CA_gross_sales_gas</f>
        <v>0</v>
      </c>
      <c r="AA150" s="49">
        <f ca="1">SUM(Z150)+HM_ZD_Moho!CA_gross_sales_gas</f>
        <v>0</v>
      </c>
      <c r="AB150" s="49">
        <f ca="1">SUM(AA150)+HM_ZD_Moho!CA_gross_sales_gas</f>
        <v>0</v>
      </c>
      <c r="AC150" s="49">
        <f ca="1">SUM(AB150)+HM_ZD_Moho!CA_gross_sales_gas</f>
        <v>0</v>
      </c>
      <c r="AD150" s="49">
        <f ca="1">SUM(AC150)+HM_ZD_Moho!CA_gross_sales_gas</f>
        <v>0</v>
      </c>
      <c r="AE150" s="49">
        <f ca="1">SUM(AD150)+HM_ZD_Moho!CA_gross_sales_gas</f>
        <v>0</v>
      </c>
      <c r="AF150" s="49">
        <f ca="1">SUM(AE150)+HM_ZD_Moho!CA_gross_sales_gas</f>
        <v>0</v>
      </c>
      <c r="AG150" s="49">
        <f ca="1">SUM(AF150)+HM_ZD_Moho!CA_gross_sales_gas</f>
        <v>0</v>
      </c>
      <c r="AH150" s="49">
        <f ca="1">SUM(AG150)+HM_ZD_Moho!CA_gross_sales_gas</f>
        <v>0</v>
      </c>
      <c r="AI150" s="49">
        <f ca="1">SUM(AH150)+HM_ZD_Moho!CA_gross_sales_gas</f>
        <v>0</v>
      </c>
      <c r="AJ150" s="49">
        <f ca="1">SUM(AI150)+HM_ZD_Moho!CA_gross_sales_gas</f>
        <v>0</v>
      </c>
      <c r="AK150" s="49">
        <f ca="1">SUM(AJ150)+HM_ZD_Moho!CA_gross_sales_gas</f>
        <v>0</v>
      </c>
      <c r="AL150" s="49">
        <f ca="1">SUM(AK150)+HM_ZD_Moho!CA_gross_sales_gas</f>
        <v>0</v>
      </c>
      <c r="AM150" s="49">
        <f ca="1">SUM(AL150)+HM_ZD_Moho!CA_gross_sales_gas</f>
        <v>0</v>
      </c>
      <c r="AN150" s="49">
        <f ca="1">SUM(AM150)+HM_ZD_Moho!CA_gross_sales_gas</f>
        <v>0</v>
      </c>
      <c r="AO150" s="49">
        <f ca="1">SUM(AN150)+HM_ZD_Moho!CA_gross_sales_gas</f>
        <v>0</v>
      </c>
      <c r="AP150" s="49">
        <f ca="1">SUM(AO150)+HM_ZD_Moho!CA_gross_sales_gas</f>
        <v>0</v>
      </c>
      <c r="AQ150" s="49">
        <f ca="1">SUM(AP150)+HM_ZD_Moho!CA_gross_sales_gas</f>
        <v>0</v>
      </c>
      <c r="AR150" s="49">
        <f ca="1">SUM(AQ150)+HM_ZD_Moho!CA_gross_sales_gas</f>
        <v>0</v>
      </c>
      <c r="AS150" s="49">
        <f ca="1">SUM(AR150)+HM_ZD_Moho!CA_gross_sales_gas</f>
        <v>0</v>
      </c>
      <c r="AT150" s="49">
        <f ca="1">SUM(AS150)+HM_ZD_Moho!CA_gross_sales_gas</f>
        <v>0</v>
      </c>
      <c r="AU150" s="49">
        <f ca="1">SUM(AT150)+HM_ZD_Moho!CA_gross_sales_gas</f>
        <v>0</v>
      </c>
      <c r="AV150" s="49">
        <f ca="1">SUM(AU150)+HM_ZD_Moho!CA_gross_sales_gas</f>
        <v>0</v>
      </c>
      <c r="AW150" s="49">
        <f ca="1">SUM(AV150)+HM_ZD_Moho!CA_gross_sales_gas</f>
        <v>0</v>
      </c>
      <c r="AX150" s="49">
        <f ca="1">SUM(AW150)+HM_ZD_Moho!CA_gross_sales_gas</f>
        <v>0</v>
      </c>
      <c r="AY150" s="49">
        <f ca="1">SUM(AX150)+HM_ZD_Moho!CA_gross_sales_gas</f>
        <v>0</v>
      </c>
      <c r="AZ150" s="49">
        <f ca="1">SUM(AY150)+HM_ZD_Moho!CA_gross_sales_gas</f>
        <v>0</v>
      </c>
      <c r="BA150" s="49">
        <f ca="1">SUM(AZ150)+HM_ZD_Moho!CA_gross_sales_gas</f>
        <v>0</v>
      </c>
      <c r="BB150" s="49">
        <f ca="1">SUM(BA150)+HM_ZD_Moho!CA_gross_sales_gas</f>
        <v>0</v>
      </c>
      <c r="BC150" s="49">
        <f ca="1">SUM(BB150)+HM_ZD_Moho!CA_gross_sales_gas</f>
        <v>0</v>
      </c>
      <c r="BD150" s="49">
        <f ca="1">SUM(BC150)+HM_ZD_Moho!CA_gross_sales_gas</f>
        <v>0</v>
      </c>
      <c r="BE150" s="49">
        <f ca="1">SUM(BD150)+HM_ZD_Moho!CA_gross_sales_gas</f>
        <v>0</v>
      </c>
      <c r="BF150" s="49">
        <f ca="1">SUM(BE150)+HM_ZD_Moho!CA_gross_sales_gas</f>
        <v>0</v>
      </c>
      <c r="BG150" s="49">
        <f ca="1">SUM(BF150)+HM_ZD_Moho!CA_gross_sales_gas</f>
        <v>0</v>
      </c>
      <c r="BH150" s="49">
        <f ca="1">SUM(BG150)+HM_ZD_Moho!CA_gross_sales_gas</f>
        <v>0</v>
      </c>
      <c r="BI150" s="49">
        <f ca="1">SUM(BH150)+HM_ZD_Moho!CA_gross_sales_gas</f>
        <v>0</v>
      </c>
      <c r="BJ150" s="49">
        <f ca="1">SUM(BI150)+HM_ZD_Moho!CA_gross_sales_gas</f>
        <v>0</v>
      </c>
      <c r="BK150" s="49">
        <f ca="1">SUM(BJ150)+HM_ZD_Moho!CA_gross_sales_gas</f>
        <v>0</v>
      </c>
      <c r="BL150" s="49">
        <f ca="1">SUM(BK150)+HM_ZD_Moho!CA_gross_sales_gas</f>
        <v>0</v>
      </c>
      <c r="BM150" s="49">
        <f ca="1">SUM(BL150)+HM_ZD_Moho!CA_gross_sales_gas</f>
        <v>0</v>
      </c>
      <c r="BN150" s="49">
        <f ca="1">SUM(BM150)+HM_ZD_Moho!CA_gross_sales_gas</f>
        <v>0</v>
      </c>
      <c r="BO150" s="49">
        <f ca="1">SUM(BN150)+HM_ZD_Moho!CA_gross_sales_gas</f>
        <v>0</v>
      </c>
      <c r="BP150" s="49">
        <f ca="1">SUM(BO150)+HM_ZD_Moho!CA_gross_sales_gas</f>
        <v>0</v>
      </c>
      <c r="BQ150" s="49">
        <f ca="1">SUM(BP150)+HM_ZD_Moho!CA_gross_sales_gas</f>
        <v>0</v>
      </c>
      <c r="BR150" s="49">
        <f ca="1">SUM(BQ150)+HM_ZD_Moho!CA_gross_sales_gas</f>
        <v>0</v>
      </c>
      <c r="BS150" s="49">
        <f ca="1">SUM(BR150)+HM_ZD_Moho!CA_gross_sales_gas</f>
        <v>0</v>
      </c>
    </row>
    <row r="151" spans="1:93" outlineLevel="1" x14ac:dyDescent="0.2">
      <c r="D151" s="47" t="str">
        <f>HM_ZB_Nsoko!D146</f>
        <v>Total</v>
      </c>
      <c r="E151" s="6"/>
      <c r="F151" s="6"/>
      <c r="G151" s="6"/>
      <c r="H151" s="6"/>
      <c r="I151" s="6"/>
      <c r="J151" s="26" t="s">
        <v>130</v>
      </c>
      <c r="K151" s="7" t="s">
        <v>674</v>
      </c>
      <c r="L151" s="49">
        <f t="shared" ref="L151:BS151" ca="1" si="133">SUM(L148,L149,L150/conv_CMtoBbls)</f>
        <v>218.11364</v>
      </c>
      <c r="M151" s="49">
        <f t="shared" ca="1" si="133"/>
        <v>223.93766300000001</v>
      </c>
      <c r="N151" s="49">
        <f t="shared" ca="1" si="133"/>
        <v>239.30458600000003</v>
      </c>
      <c r="O151" s="49">
        <f t="shared" ca="1" si="133"/>
        <v>254.89598100000003</v>
      </c>
      <c r="P151" s="49">
        <f t="shared" ca="1" si="133"/>
        <v>287.53025600000001</v>
      </c>
      <c r="Q151" s="49">
        <f t="shared" ca="1" si="133"/>
        <v>339.91943800000001</v>
      </c>
      <c r="R151" s="49">
        <f t="shared" ca="1" si="133"/>
        <v>394.562637</v>
      </c>
      <c r="S151" s="49">
        <f t="shared" ca="1" si="133"/>
        <v>446.610837</v>
      </c>
      <c r="T151" s="49">
        <f t="shared" ca="1" si="133"/>
        <v>495.01566300000002</v>
      </c>
      <c r="U151" s="49">
        <f t="shared" ca="1" si="133"/>
        <v>540.03215118000003</v>
      </c>
      <c r="V151" s="49">
        <f t="shared" ca="1" si="133"/>
        <v>581.89748518739998</v>
      </c>
      <c r="W151" s="49">
        <f t="shared" ca="1" si="133"/>
        <v>620.83224581428192</v>
      </c>
      <c r="X151" s="49">
        <f t="shared" ca="1" si="133"/>
        <v>657.04157319728222</v>
      </c>
      <c r="Y151" s="49">
        <f t="shared" ca="1" si="133"/>
        <v>657.04157319728222</v>
      </c>
      <c r="Z151" s="49">
        <f t="shared" ca="1" si="133"/>
        <v>657.04157319728222</v>
      </c>
      <c r="AA151" s="49">
        <f t="shared" ca="1" si="133"/>
        <v>657.04157319728222</v>
      </c>
      <c r="AB151" s="49">
        <f t="shared" ca="1" si="133"/>
        <v>657.04157319728222</v>
      </c>
      <c r="AC151" s="49">
        <f t="shared" ca="1" si="133"/>
        <v>657.04157319728222</v>
      </c>
      <c r="AD151" s="49">
        <f t="shared" ca="1" si="133"/>
        <v>657.04157319728222</v>
      </c>
      <c r="AE151" s="49">
        <f t="shared" ca="1" si="133"/>
        <v>657.04157319728222</v>
      </c>
      <c r="AF151" s="49">
        <f t="shared" ca="1" si="133"/>
        <v>657.04157319728222</v>
      </c>
      <c r="AG151" s="49">
        <f t="shared" ca="1" si="133"/>
        <v>657.04157319728222</v>
      </c>
      <c r="AH151" s="49">
        <f t="shared" ca="1" si="133"/>
        <v>657.04157319728222</v>
      </c>
      <c r="AI151" s="49">
        <f t="shared" ca="1" si="133"/>
        <v>657.04157319728222</v>
      </c>
      <c r="AJ151" s="49">
        <f t="shared" ca="1" si="133"/>
        <v>657.04157319728222</v>
      </c>
      <c r="AK151" s="49">
        <f t="shared" ca="1" si="133"/>
        <v>657.04157319728222</v>
      </c>
      <c r="AL151" s="49">
        <f t="shared" ca="1" si="133"/>
        <v>657.04157319728222</v>
      </c>
      <c r="AM151" s="49">
        <f t="shared" ca="1" si="133"/>
        <v>657.04157319728222</v>
      </c>
      <c r="AN151" s="49">
        <f t="shared" ca="1" si="133"/>
        <v>657.04157319728222</v>
      </c>
      <c r="AO151" s="49">
        <f t="shared" ca="1" si="133"/>
        <v>657.04157319728222</v>
      </c>
      <c r="AP151" s="49">
        <f t="shared" ca="1" si="133"/>
        <v>657.04157319728222</v>
      </c>
      <c r="AQ151" s="49">
        <f t="shared" ca="1" si="133"/>
        <v>657.04157319728222</v>
      </c>
      <c r="AR151" s="49">
        <f t="shared" ca="1" si="133"/>
        <v>657.04157319728222</v>
      </c>
      <c r="AS151" s="49">
        <f t="shared" ca="1" si="133"/>
        <v>657.04157319728222</v>
      </c>
      <c r="AT151" s="49">
        <f t="shared" ca="1" si="133"/>
        <v>657.04157319728222</v>
      </c>
      <c r="AU151" s="49">
        <f t="shared" ca="1" si="133"/>
        <v>657.04157319728222</v>
      </c>
      <c r="AV151" s="49">
        <f t="shared" ca="1" si="133"/>
        <v>657.04157319728222</v>
      </c>
      <c r="AW151" s="49">
        <f t="shared" ca="1" si="133"/>
        <v>657.04157319728222</v>
      </c>
      <c r="AX151" s="49">
        <f t="shared" ca="1" si="133"/>
        <v>657.04157319728222</v>
      </c>
      <c r="AY151" s="49">
        <f t="shared" ca="1" si="133"/>
        <v>657.04157319728222</v>
      </c>
      <c r="AZ151" s="49">
        <f t="shared" ca="1" si="133"/>
        <v>657.04157319728222</v>
      </c>
      <c r="BA151" s="49">
        <f t="shared" ca="1" si="133"/>
        <v>657.04157319728222</v>
      </c>
      <c r="BB151" s="49">
        <f t="shared" ca="1" si="133"/>
        <v>657.04157319728222</v>
      </c>
      <c r="BC151" s="49">
        <f t="shared" ca="1" si="133"/>
        <v>657.04157319728222</v>
      </c>
      <c r="BD151" s="49">
        <f t="shared" ca="1" si="133"/>
        <v>657.04157319728222</v>
      </c>
      <c r="BE151" s="49">
        <f t="shared" ca="1" si="133"/>
        <v>657.04157319728222</v>
      </c>
      <c r="BF151" s="49">
        <f t="shared" ca="1" si="133"/>
        <v>657.04157319728222</v>
      </c>
      <c r="BG151" s="49">
        <f t="shared" ca="1" si="133"/>
        <v>657.04157319728222</v>
      </c>
      <c r="BH151" s="49">
        <f t="shared" ca="1" si="133"/>
        <v>657.04157319728222</v>
      </c>
      <c r="BI151" s="49">
        <f t="shared" ca="1" si="133"/>
        <v>657.04157319728222</v>
      </c>
      <c r="BJ151" s="49">
        <f t="shared" ca="1" si="133"/>
        <v>657.04157319728222</v>
      </c>
      <c r="BK151" s="49">
        <f t="shared" ca="1" si="133"/>
        <v>657.04157319728222</v>
      </c>
      <c r="BL151" s="49">
        <f t="shared" ca="1" si="133"/>
        <v>657.04157319728222</v>
      </c>
      <c r="BM151" s="49">
        <f t="shared" ca="1" si="133"/>
        <v>657.04157319728222</v>
      </c>
      <c r="BN151" s="49">
        <f t="shared" ca="1" si="133"/>
        <v>657.04157319728222</v>
      </c>
      <c r="BO151" s="49">
        <f t="shared" ca="1" si="133"/>
        <v>657.04157319728222</v>
      </c>
      <c r="BP151" s="49">
        <f t="shared" ca="1" si="133"/>
        <v>657.04157319728222</v>
      </c>
      <c r="BQ151" s="49">
        <f t="shared" ca="1" si="133"/>
        <v>657.04157319728222</v>
      </c>
      <c r="BR151" s="49">
        <f t="shared" ca="1" si="133"/>
        <v>657.04157319728222</v>
      </c>
      <c r="BS151" s="49">
        <f t="shared" ca="1" si="133"/>
        <v>657.04157319728222</v>
      </c>
    </row>
    <row r="152" spans="1:93" outlineLevel="1" x14ac:dyDescent="0.2">
      <c r="J152" s="26"/>
      <c r="L152" s="55"/>
      <c r="M152" s="55"/>
      <c r="N152" s="55"/>
      <c r="O152" s="55"/>
      <c r="P152" s="55"/>
      <c r="Q152" s="55"/>
      <c r="R152" s="55"/>
      <c r="S152" s="55"/>
      <c r="T152" s="55"/>
      <c r="U152" s="55"/>
      <c r="V152" s="55"/>
      <c r="W152" s="55"/>
      <c r="X152" s="55"/>
      <c r="Y152" s="55"/>
      <c r="Z152" s="55"/>
      <c r="AA152" s="55"/>
      <c r="AB152" s="55"/>
      <c r="AC152" s="55"/>
      <c r="AD152" s="55"/>
      <c r="AE152" s="55"/>
      <c r="AF152" s="55"/>
      <c r="AG152" s="55"/>
      <c r="AH152" s="55"/>
      <c r="AI152" s="55"/>
      <c r="AJ152" s="55"/>
      <c r="AK152" s="55"/>
      <c r="AL152" s="55"/>
      <c r="AM152" s="55"/>
      <c r="AN152" s="55"/>
      <c r="AO152" s="55"/>
      <c r="AP152" s="55"/>
      <c r="AQ152" s="55"/>
      <c r="AR152" s="55"/>
      <c r="AS152" s="55"/>
      <c r="AT152" s="55"/>
      <c r="AU152" s="55"/>
      <c r="AV152" s="55"/>
      <c r="AW152" s="55"/>
      <c r="AX152" s="55"/>
      <c r="AY152" s="55"/>
      <c r="AZ152" s="55"/>
      <c r="BA152" s="55"/>
      <c r="BB152" s="55"/>
      <c r="BC152" s="55"/>
      <c r="BD152" s="55"/>
      <c r="BE152" s="55"/>
      <c r="BF152" s="55"/>
      <c r="BG152" s="55"/>
      <c r="BH152" s="55"/>
      <c r="BI152" s="55"/>
      <c r="BJ152" s="55"/>
      <c r="BK152" s="55"/>
      <c r="BL152" s="55"/>
      <c r="BM152" s="55"/>
      <c r="BN152" s="55"/>
      <c r="BO152" s="55"/>
      <c r="BP152" s="55"/>
      <c r="BQ152" s="55"/>
      <c r="BR152" s="55"/>
      <c r="BS152" s="55"/>
    </row>
    <row r="153" spans="1:93" outlineLevel="1" x14ac:dyDescent="0.2">
      <c r="J153" s="26"/>
      <c r="L153" s="55"/>
      <c r="M153" s="55"/>
      <c r="N153" s="55"/>
      <c r="O153" s="55"/>
      <c r="P153" s="55"/>
      <c r="Q153" s="55"/>
      <c r="R153" s="55"/>
      <c r="S153" s="55"/>
      <c r="T153" s="55"/>
      <c r="U153" s="55"/>
      <c r="V153" s="55"/>
      <c r="W153" s="55"/>
      <c r="X153" s="55"/>
      <c r="Y153" s="55"/>
      <c r="Z153" s="55"/>
      <c r="AA153" s="55"/>
      <c r="AB153" s="55"/>
      <c r="AC153" s="55"/>
      <c r="AD153" s="55"/>
      <c r="AE153" s="55"/>
      <c r="AF153" s="55"/>
      <c r="AG153" s="55"/>
      <c r="AH153" s="55"/>
      <c r="AI153" s="55"/>
      <c r="AJ153" s="55"/>
      <c r="AK153" s="55"/>
      <c r="AL153" s="55"/>
      <c r="AM153" s="55"/>
      <c r="AN153" s="55"/>
      <c r="AO153" s="55"/>
      <c r="AP153" s="55"/>
      <c r="AQ153" s="55"/>
      <c r="AR153" s="55"/>
      <c r="AS153" s="55"/>
      <c r="AT153" s="55"/>
      <c r="AU153" s="55"/>
      <c r="AV153" s="55"/>
      <c r="AW153" s="55"/>
      <c r="AX153" s="55"/>
      <c r="AY153" s="55"/>
      <c r="AZ153" s="55"/>
      <c r="BA153" s="55"/>
      <c r="BB153" s="55"/>
      <c r="BC153" s="55"/>
      <c r="BD153" s="55"/>
      <c r="BE153" s="55"/>
      <c r="BF153" s="55"/>
      <c r="BG153" s="55"/>
      <c r="BH153" s="55"/>
      <c r="BI153" s="55"/>
      <c r="BJ153" s="55"/>
      <c r="BK153" s="55"/>
      <c r="BL153" s="55"/>
      <c r="BM153" s="55"/>
      <c r="BN153" s="55"/>
      <c r="BO153" s="55"/>
      <c r="BP153" s="55"/>
      <c r="BQ153" s="55"/>
      <c r="BR153" s="55"/>
      <c r="BS153" s="55"/>
    </row>
    <row r="154" spans="1:93" outlineLevel="1" x14ac:dyDescent="0.2">
      <c r="A154" s="45"/>
      <c r="B154" s="38" t="str">
        <f>HM_ZB_Nsoko!B149</f>
        <v>Prix</v>
      </c>
      <c r="C154" s="45"/>
      <c r="D154" s="45"/>
      <c r="E154" s="45"/>
      <c r="J154" s="26"/>
      <c r="L154" s="55"/>
      <c r="M154" s="55"/>
      <c r="N154" s="55"/>
      <c r="O154" s="55"/>
      <c r="P154" s="55"/>
      <c r="Q154" s="55"/>
      <c r="R154" s="55"/>
      <c r="S154" s="55"/>
      <c r="T154" s="55"/>
      <c r="U154" s="55"/>
      <c r="V154" s="55"/>
      <c r="W154" s="55"/>
      <c r="X154" s="55"/>
      <c r="Y154" s="55"/>
      <c r="Z154" s="55"/>
      <c r="AA154" s="55"/>
      <c r="AB154" s="55"/>
      <c r="AC154" s="55"/>
      <c r="AD154" s="55"/>
      <c r="AE154" s="55"/>
      <c r="AF154" s="55"/>
      <c r="AG154" s="55"/>
      <c r="AH154" s="55"/>
      <c r="AI154" s="55"/>
      <c r="AJ154" s="55"/>
      <c r="AK154" s="55"/>
      <c r="AL154" s="55"/>
      <c r="AM154" s="55"/>
      <c r="AN154" s="55"/>
      <c r="AO154" s="55"/>
      <c r="AP154" s="55"/>
      <c r="AQ154" s="55"/>
      <c r="AR154" s="55"/>
      <c r="AS154" s="55"/>
      <c r="AT154" s="55"/>
      <c r="AU154" s="55"/>
      <c r="AV154" s="55"/>
      <c r="AW154" s="55"/>
      <c r="AX154" s="55"/>
      <c r="AY154" s="55"/>
      <c r="AZ154" s="55"/>
      <c r="BA154" s="55"/>
      <c r="BB154" s="55"/>
      <c r="BC154" s="55"/>
      <c r="BD154" s="55"/>
      <c r="BE154" s="55"/>
      <c r="BF154" s="55"/>
      <c r="BG154" s="55"/>
      <c r="BH154" s="55"/>
      <c r="BI154" s="55"/>
      <c r="BJ154" s="55"/>
      <c r="BK154" s="55"/>
      <c r="BL154" s="55"/>
      <c r="BM154" s="55"/>
      <c r="BN154" s="55"/>
      <c r="BO154" s="55"/>
      <c r="BP154" s="55"/>
      <c r="BQ154" s="55"/>
      <c r="BR154" s="55"/>
      <c r="BS154" s="55"/>
    </row>
    <row r="155" spans="1:93" outlineLevel="1" x14ac:dyDescent="0.2">
      <c r="J155" s="26"/>
      <c r="L155" s="55"/>
      <c r="M155" s="55"/>
      <c r="N155" s="55"/>
      <c r="O155" s="55"/>
      <c r="P155" s="55"/>
      <c r="Q155" s="55"/>
      <c r="R155" s="55"/>
      <c r="S155" s="55"/>
      <c r="T155" s="55"/>
      <c r="U155" s="55"/>
      <c r="V155" s="55"/>
      <c r="W155" s="55"/>
      <c r="X155" s="55"/>
      <c r="Y155" s="55"/>
      <c r="Z155" s="55"/>
      <c r="AA155" s="55"/>
      <c r="AB155" s="55"/>
      <c r="AC155" s="55"/>
      <c r="AD155" s="55"/>
      <c r="AE155" s="55"/>
      <c r="AF155" s="55"/>
      <c r="AG155" s="55"/>
      <c r="AH155" s="55"/>
      <c r="AI155" s="55"/>
      <c r="AJ155" s="55"/>
      <c r="AK155" s="55"/>
      <c r="AL155" s="55"/>
      <c r="AM155" s="55"/>
      <c r="AN155" s="55"/>
      <c r="AO155" s="55"/>
      <c r="AP155" s="55"/>
      <c r="AQ155" s="55"/>
      <c r="AR155" s="55"/>
      <c r="AS155" s="55"/>
      <c r="AT155" s="55"/>
      <c r="AU155" s="55"/>
      <c r="AV155" s="55"/>
      <c r="AW155" s="55"/>
      <c r="AX155" s="55"/>
      <c r="AY155" s="55"/>
      <c r="AZ155" s="55"/>
      <c r="BA155" s="55"/>
      <c r="BB155" s="55"/>
      <c r="BC155" s="55"/>
      <c r="BD155" s="55"/>
      <c r="BE155" s="55"/>
      <c r="BF155" s="55"/>
      <c r="BG155" s="55"/>
      <c r="BH155" s="55"/>
      <c r="BI155" s="55"/>
      <c r="BJ155" s="55"/>
      <c r="BK155" s="55"/>
      <c r="BL155" s="55"/>
      <c r="BM155" s="55"/>
      <c r="BN155" s="55"/>
      <c r="BO155" s="55"/>
      <c r="BP155" s="55"/>
      <c r="BQ155" s="55"/>
      <c r="BR155" s="55"/>
      <c r="BS155" s="55"/>
    </row>
    <row r="156" spans="1:93" outlineLevel="1" x14ac:dyDescent="0.2">
      <c r="C156" s="11" t="str">
        <f>HM_ZB_Nsoko!C151</f>
        <v>Prix du marché (PF)</v>
      </c>
      <c r="J156" s="26"/>
      <c r="L156" s="55"/>
      <c r="M156" s="55"/>
      <c r="N156" s="55"/>
      <c r="O156" s="55"/>
      <c r="P156" s="55"/>
      <c r="Q156" s="55"/>
      <c r="R156" s="55"/>
      <c r="S156" s="55"/>
      <c r="T156" s="55"/>
      <c r="U156" s="55"/>
      <c r="V156" s="55"/>
      <c r="W156" s="55"/>
      <c r="X156" s="55"/>
      <c r="Y156" s="55"/>
      <c r="Z156" s="55"/>
      <c r="AA156" s="55"/>
      <c r="AB156" s="55"/>
      <c r="AC156" s="55"/>
      <c r="AD156" s="55"/>
      <c r="AE156" s="55"/>
      <c r="AF156" s="55"/>
      <c r="AG156" s="55"/>
      <c r="AH156" s="55"/>
      <c r="AI156" s="55"/>
      <c r="AJ156" s="55"/>
      <c r="AK156" s="55"/>
      <c r="AL156" s="55"/>
      <c r="AM156" s="55"/>
      <c r="AN156" s="55"/>
      <c r="AO156" s="55"/>
      <c r="AP156" s="55"/>
      <c r="AQ156" s="55"/>
      <c r="AR156" s="55"/>
      <c r="AS156" s="55"/>
      <c r="AT156" s="55"/>
      <c r="AU156" s="55"/>
      <c r="AV156" s="55"/>
      <c r="AW156" s="55"/>
      <c r="AX156" s="55"/>
      <c r="AY156" s="55"/>
      <c r="AZ156" s="55"/>
      <c r="BA156" s="55"/>
      <c r="BB156" s="55"/>
      <c r="BC156" s="55"/>
      <c r="BD156" s="55"/>
      <c r="BE156" s="55"/>
      <c r="BF156" s="55"/>
      <c r="BG156" s="55"/>
      <c r="BH156" s="55"/>
      <c r="BI156" s="55"/>
      <c r="BJ156" s="55"/>
      <c r="BK156" s="55"/>
      <c r="BL156" s="55"/>
      <c r="BM156" s="55"/>
      <c r="BN156" s="55"/>
      <c r="BO156" s="55"/>
      <c r="BP156" s="55"/>
      <c r="BQ156" s="55"/>
      <c r="BR156" s="55"/>
      <c r="BS156" s="55"/>
    </row>
    <row r="157" spans="1:93" outlineLevel="1" x14ac:dyDescent="0.2">
      <c r="D157" t="str">
        <f>HM_ZB_Nsoko!D152</f>
        <v>Prix du pétrole (nominal)</v>
      </c>
      <c r="J157" s="26" t="s">
        <v>46</v>
      </c>
      <c r="K157" s="7" t="s">
        <v>141</v>
      </c>
      <c r="L157" s="49">
        <f ca="1">HM_ZD_AM3_2005!L149</f>
        <v>105.56594625304467</v>
      </c>
      <c r="M157" s="49">
        <f ca="1">HM_ZD_AM3_2005!M149</f>
        <v>96.087837772974183</v>
      </c>
      <c r="N157" s="49">
        <f t="shared" ref="N157:AS157" ca="1" si="134">OFFSET(_xlfn.SINGLE(IA_oilprice_nominal),4,)</f>
        <v>47.83306661001685</v>
      </c>
      <c r="O157" s="49">
        <f t="shared" ca="1" si="134"/>
        <v>40.514178138774625</v>
      </c>
      <c r="P157" s="49">
        <f t="shared" ca="1" si="134"/>
        <v>54.30988909203591</v>
      </c>
      <c r="Q157" s="49">
        <f t="shared" ca="1" si="134"/>
        <v>68.447232066727068</v>
      </c>
      <c r="R157" s="49">
        <f t="shared" ca="1" si="134"/>
        <v>64.497153078556039</v>
      </c>
      <c r="S157" s="49">
        <f t="shared" ca="1" si="134"/>
        <v>40.43</v>
      </c>
      <c r="T157" s="49">
        <f t="shared" ca="1" si="134"/>
        <v>66.5184</v>
      </c>
      <c r="U157" s="49">
        <f t="shared" ca="1" si="134"/>
        <v>71.400000000000006</v>
      </c>
      <c r="V157" s="49">
        <f t="shared" ca="1" si="134"/>
        <v>72.828000000000003</v>
      </c>
      <c r="W157" s="49">
        <f t="shared" ca="1" si="134"/>
        <v>74.284559999999999</v>
      </c>
      <c r="X157" s="49">
        <f t="shared" ca="1" si="134"/>
        <v>75.770251200000004</v>
      </c>
      <c r="Y157" s="49">
        <f t="shared" ca="1" si="134"/>
        <v>0</v>
      </c>
      <c r="Z157" s="49">
        <f t="shared" ca="1" si="134"/>
        <v>0</v>
      </c>
      <c r="AA157" s="49">
        <f t="shared" ca="1" si="134"/>
        <v>0</v>
      </c>
      <c r="AB157" s="49">
        <f t="shared" ca="1" si="134"/>
        <v>0</v>
      </c>
      <c r="AC157" s="49">
        <f t="shared" ca="1" si="134"/>
        <v>0</v>
      </c>
      <c r="AD157" s="49">
        <f t="shared" ca="1" si="134"/>
        <v>0</v>
      </c>
      <c r="AE157" s="49">
        <f t="shared" ca="1" si="134"/>
        <v>0</v>
      </c>
      <c r="AF157" s="49">
        <f t="shared" ca="1" si="134"/>
        <v>0</v>
      </c>
      <c r="AG157" s="49">
        <f t="shared" ca="1" si="134"/>
        <v>0</v>
      </c>
      <c r="AH157" s="49">
        <f t="shared" ca="1" si="134"/>
        <v>0</v>
      </c>
      <c r="AI157" s="49">
        <f t="shared" ca="1" si="134"/>
        <v>0</v>
      </c>
      <c r="AJ157" s="49">
        <f t="shared" ca="1" si="134"/>
        <v>0</v>
      </c>
      <c r="AK157" s="49">
        <f t="shared" ca="1" si="134"/>
        <v>0</v>
      </c>
      <c r="AL157" s="49">
        <f t="shared" ca="1" si="134"/>
        <v>0</v>
      </c>
      <c r="AM157" s="49">
        <f t="shared" ca="1" si="134"/>
        <v>0</v>
      </c>
      <c r="AN157" s="49">
        <f t="shared" ca="1" si="134"/>
        <v>0</v>
      </c>
      <c r="AO157" s="49">
        <f t="shared" ca="1" si="134"/>
        <v>0</v>
      </c>
      <c r="AP157" s="49">
        <f t="shared" ca="1" si="134"/>
        <v>0</v>
      </c>
      <c r="AQ157" s="49">
        <f t="shared" ca="1" si="134"/>
        <v>0</v>
      </c>
      <c r="AR157" s="49">
        <f t="shared" ca="1" si="134"/>
        <v>0</v>
      </c>
      <c r="AS157" s="49">
        <f t="shared" ca="1" si="134"/>
        <v>0</v>
      </c>
      <c r="AT157" s="49">
        <f t="shared" ref="AT157:BS157" ca="1" si="135">OFFSET(_xlfn.SINGLE(IA_oilprice_nominal),4,)</f>
        <v>0</v>
      </c>
      <c r="AU157" s="49">
        <f t="shared" ca="1" si="135"/>
        <v>0</v>
      </c>
      <c r="AV157" s="49">
        <f t="shared" ca="1" si="135"/>
        <v>0</v>
      </c>
      <c r="AW157" s="49">
        <f t="shared" ca="1" si="135"/>
        <v>0</v>
      </c>
      <c r="AX157" s="49">
        <f t="shared" ca="1" si="135"/>
        <v>0</v>
      </c>
      <c r="AY157" s="49">
        <f t="shared" ca="1" si="135"/>
        <v>0</v>
      </c>
      <c r="AZ157" s="49">
        <f t="shared" ca="1" si="135"/>
        <v>0</v>
      </c>
      <c r="BA157" s="49">
        <f t="shared" ca="1" si="135"/>
        <v>0</v>
      </c>
      <c r="BB157" s="49">
        <f t="shared" ca="1" si="135"/>
        <v>0</v>
      </c>
      <c r="BC157" s="49">
        <f t="shared" ca="1" si="135"/>
        <v>0</v>
      </c>
      <c r="BD157" s="49">
        <f t="shared" ca="1" si="135"/>
        <v>0</v>
      </c>
      <c r="BE157" s="49">
        <f t="shared" ca="1" si="135"/>
        <v>0</v>
      </c>
      <c r="BF157" s="49">
        <f t="shared" ca="1" si="135"/>
        <v>0</v>
      </c>
      <c r="BG157" s="49">
        <f t="shared" ca="1" si="135"/>
        <v>0</v>
      </c>
      <c r="BH157" s="49">
        <f t="shared" ca="1" si="135"/>
        <v>0</v>
      </c>
      <c r="BI157" s="49">
        <f t="shared" ca="1" si="135"/>
        <v>0</v>
      </c>
      <c r="BJ157" s="49">
        <f t="shared" ca="1" si="135"/>
        <v>0</v>
      </c>
      <c r="BK157" s="49">
        <f t="shared" ca="1" si="135"/>
        <v>0</v>
      </c>
      <c r="BL157" s="49">
        <f t="shared" ca="1" si="135"/>
        <v>0</v>
      </c>
      <c r="BM157" s="49">
        <f t="shared" ca="1" si="135"/>
        <v>0</v>
      </c>
      <c r="BN157" s="49">
        <f t="shared" ca="1" si="135"/>
        <v>0</v>
      </c>
      <c r="BO157" s="49">
        <f t="shared" ca="1" si="135"/>
        <v>0</v>
      </c>
      <c r="BP157" s="49">
        <f t="shared" ca="1" si="135"/>
        <v>0</v>
      </c>
      <c r="BQ157" s="49">
        <f t="shared" ca="1" si="135"/>
        <v>0</v>
      </c>
      <c r="BR157" s="49">
        <f t="shared" ca="1" si="135"/>
        <v>0</v>
      </c>
      <c r="BS157" s="49">
        <f t="shared" ca="1" si="135"/>
        <v>0</v>
      </c>
    </row>
    <row r="158" spans="1:93" outlineLevel="1" x14ac:dyDescent="0.2">
      <c r="J158" s="26"/>
      <c r="L158" s="55"/>
      <c r="M158" s="55"/>
      <c r="N158" s="55"/>
      <c r="O158" s="55"/>
      <c r="P158" s="55"/>
      <c r="Q158" s="55"/>
      <c r="R158" s="55"/>
      <c r="S158" s="55"/>
      <c r="T158" s="55"/>
      <c r="U158" s="55"/>
      <c r="V158" s="55"/>
      <c r="W158" s="55"/>
      <c r="X158" s="55"/>
      <c r="Y158" s="55"/>
      <c r="Z158" s="55"/>
      <c r="AA158" s="55"/>
      <c r="AB158" s="55"/>
      <c r="AC158" s="55"/>
      <c r="AD158" s="55"/>
      <c r="AE158" s="55"/>
      <c r="AF158" s="55"/>
      <c r="AG158" s="55"/>
      <c r="AH158" s="55"/>
      <c r="AI158" s="55"/>
      <c r="AJ158" s="55"/>
      <c r="AK158" s="55"/>
      <c r="AL158" s="55"/>
      <c r="AM158" s="55"/>
      <c r="AN158" s="55"/>
      <c r="AO158" s="55"/>
      <c r="AP158" s="55"/>
      <c r="AQ158" s="55"/>
      <c r="AR158" s="55"/>
      <c r="AS158" s="55"/>
      <c r="AT158" s="55"/>
      <c r="AU158" s="55"/>
      <c r="AV158" s="55"/>
      <c r="AW158" s="55"/>
      <c r="AX158" s="55"/>
      <c r="AY158" s="55"/>
      <c r="AZ158" s="55"/>
      <c r="BA158" s="55"/>
      <c r="BB158" s="55"/>
      <c r="BC158" s="55"/>
      <c r="BD158" s="55"/>
      <c r="BE158" s="55"/>
      <c r="BF158" s="55"/>
      <c r="BG158" s="55"/>
      <c r="BH158" s="55"/>
      <c r="BI158" s="55"/>
      <c r="BJ158" s="55"/>
      <c r="BK158" s="55"/>
      <c r="BL158" s="55"/>
      <c r="BM158" s="55"/>
      <c r="BN158" s="55"/>
      <c r="BO158" s="55"/>
      <c r="BP158" s="55"/>
      <c r="BQ158" s="55"/>
      <c r="BR158" s="55"/>
      <c r="BS158" s="55"/>
    </row>
    <row r="159" spans="1:93" outlineLevel="1" x14ac:dyDescent="0.2">
      <c r="D159" t="str">
        <f>HM_ZB_Nsoko!D154</f>
        <v>Prix du GPL (Nominal)</v>
      </c>
      <c r="J159" s="26" t="s">
        <v>46</v>
      </c>
      <c r="K159" s="7" t="s">
        <v>689</v>
      </c>
      <c r="L159" s="49">
        <f ca="1">HM_ZD_AM3_2005!L151</f>
        <v>0</v>
      </c>
      <c r="M159" s="49">
        <f ca="1">HM_ZD_AM3_2005!M151</f>
        <v>0</v>
      </c>
      <c r="N159" s="49">
        <f t="shared" ref="N159:AS159" ca="1" si="136">OFFSET(_xlfn.SINGLE(IA_lpgprice_nominal),4,)</f>
        <v>0</v>
      </c>
      <c r="O159" s="49">
        <f t="shared" ca="1" si="136"/>
        <v>0</v>
      </c>
      <c r="P159" s="49">
        <f t="shared" ca="1" si="136"/>
        <v>0</v>
      </c>
      <c r="Q159" s="49">
        <f t="shared" ca="1" si="136"/>
        <v>0</v>
      </c>
      <c r="R159" s="49">
        <f t="shared" ca="1" si="136"/>
        <v>0</v>
      </c>
      <c r="S159" s="49">
        <f t="shared" ca="1" si="136"/>
        <v>0</v>
      </c>
      <c r="T159" s="49">
        <f t="shared" ca="1" si="136"/>
        <v>0</v>
      </c>
      <c r="U159" s="49">
        <f t="shared" ca="1" si="136"/>
        <v>0</v>
      </c>
      <c r="V159" s="49">
        <f t="shared" ca="1" si="136"/>
        <v>0</v>
      </c>
      <c r="W159" s="49">
        <f t="shared" ca="1" si="136"/>
        <v>0</v>
      </c>
      <c r="X159" s="49">
        <f t="shared" ca="1" si="136"/>
        <v>0</v>
      </c>
      <c r="Y159" s="49">
        <f t="shared" ca="1" si="136"/>
        <v>0</v>
      </c>
      <c r="Z159" s="49">
        <f t="shared" ca="1" si="136"/>
        <v>0</v>
      </c>
      <c r="AA159" s="49">
        <f t="shared" ca="1" si="136"/>
        <v>0</v>
      </c>
      <c r="AB159" s="49">
        <f t="shared" ca="1" si="136"/>
        <v>0</v>
      </c>
      <c r="AC159" s="49">
        <f t="shared" ca="1" si="136"/>
        <v>0</v>
      </c>
      <c r="AD159" s="49">
        <f t="shared" ca="1" si="136"/>
        <v>0</v>
      </c>
      <c r="AE159" s="49">
        <f t="shared" ca="1" si="136"/>
        <v>0</v>
      </c>
      <c r="AF159" s="49">
        <f t="shared" ca="1" si="136"/>
        <v>0</v>
      </c>
      <c r="AG159" s="49">
        <f t="shared" ca="1" si="136"/>
        <v>0</v>
      </c>
      <c r="AH159" s="49">
        <f t="shared" ca="1" si="136"/>
        <v>0</v>
      </c>
      <c r="AI159" s="49">
        <f t="shared" ca="1" si="136"/>
        <v>0</v>
      </c>
      <c r="AJ159" s="49">
        <f t="shared" ca="1" si="136"/>
        <v>0</v>
      </c>
      <c r="AK159" s="49">
        <f t="shared" ca="1" si="136"/>
        <v>0</v>
      </c>
      <c r="AL159" s="49">
        <f t="shared" ca="1" si="136"/>
        <v>0</v>
      </c>
      <c r="AM159" s="49">
        <f t="shared" ca="1" si="136"/>
        <v>0</v>
      </c>
      <c r="AN159" s="49">
        <f t="shared" ca="1" si="136"/>
        <v>0</v>
      </c>
      <c r="AO159" s="49">
        <f t="shared" ca="1" si="136"/>
        <v>0</v>
      </c>
      <c r="AP159" s="49">
        <f t="shared" ca="1" si="136"/>
        <v>0</v>
      </c>
      <c r="AQ159" s="49">
        <f t="shared" ca="1" si="136"/>
        <v>0</v>
      </c>
      <c r="AR159" s="49">
        <f t="shared" ca="1" si="136"/>
        <v>0</v>
      </c>
      <c r="AS159" s="49">
        <f t="shared" ca="1" si="136"/>
        <v>0</v>
      </c>
      <c r="AT159" s="49">
        <f t="shared" ref="AT159:BS159" ca="1" si="137">OFFSET(_xlfn.SINGLE(IA_lpgprice_nominal),4,)</f>
        <v>0</v>
      </c>
      <c r="AU159" s="49">
        <f t="shared" ca="1" si="137"/>
        <v>0</v>
      </c>
      <c r="AV159" s="49">
        <f t="shared" ca="1" si="137"/>
        <v>0</v>
      </c>
      <c r="AW159" s="49">
        <f t="shared" ca="1" si="137"/>
        <v>0</v>
      </c>
      <c r="AX159" s="49">
        <f t="shared" ca="1" si="137"/>
        <v>0</v>
      </c>
      <c r="AY159" s="49">
        <f t="shared" ca="1" si="137"/>
        <v>0</v>
      </c>
      <c r="AZ159" s="49">
        <f t="shared" ca="1" si="137"/>
        <v>0</v>
      </c>
      <c r="BA159" s="49">
        <f t="shared" ca="1" si="137"/>
        <v>0</v>
      </c>
      <c r="BB159" s="49">
        <f t="shared" ca="1" si="137"/>
        <v>0</v>
      </c>
      <c r="BC159" s="49">
        <f t="shared" ca="1" si="137"/>
        <v>0</v>
      </c>
      <c r="BD159" s="49">
        <f t="shared" ca="1" si="137"/>
        <v>0</v>
      </c>
      <c r="BE159" s="49">
        <f t="shared" ca="1" si="137"/>
        <v>0</v>
      </c>
      <c r="BF159" s="49">
        <f t="shared" ca="1" si="137"/>
        <v>0</v>
      </c>
      <c r="BG159" s="49">
        <f t="shared" ca="1" si="137"/>
        <v>0</v>
      </c>
      <c r="BH159" s="49">
        <f t="shared" ca="1" si="137"/>
        <v>0</v>
      </c>
      <c r="BI159" s="49">
        <f t="shared" ca="1" si="137"/>
        <v>0</v>
      </c>
      <c r="BJ159" s="49">
        <f t="shared" ca="1" si="137"/>
        <v>0</v>
      </c>
      <c r="BK159" s="49">
        <f t="shared" ca="1" si="137"/>
        <v>0</v>
      </c>
      <c r="BL159" s="49">
        <f t="shared" ca="1" si="137"/>
        <v>0</v>
      </c>
      <c r="BM159" s="49">
        <f t="shared" ca="1" si="137"/>
        <v>0</v>
      </c>
      <c r="BN159" s="49">
        <f t="shared" ca="1" si="137"/>
        <v>0</v>
      </c>
      <c r="BO159" s="49">
        <f t="shared" ca="1" si="137"/>
        <v>0</v>
      </c>
      <c r="BP159" s="49">
        <f t="shared" ca="1" si="137"/>
        <v>0</v>
      </c>
      <c r="BQ159" s="49">
        <f t="shared" ca="1" si="137"/>
        <v>0</v>
      </c>
      <c r="BR159" s="49">
        <f t="shared" ca="1" si="137"/>
        <v>0</v>
      </c>
      <c r="BS159" s="49">
        <f t="shared" ca="1" si="137"/>
        <v>0</v>
      </c>
    </row>
    <row r="160" spans="1:93" outlineLevel="1" x14ac:dyDescent="0.2">
      <c r="J160" s="26"/>
      <c r="L160" s="55"/>
      <c r="M160" s="55"/>
      <c r="N160" s="55"/>
      <c r="O160" s="55"/>
      <c r="P160" s="55"/>
      <c r="Q160" s="55"/>
      <c r="R160" s="55"/>
      <c r="S160" s="55"/>
      <c r="T160" s="55"/>
      <c r="U160" s="55"/>
      <c r="V160" s="55"/>
      <c r="W160" s="55"/>
      <c r="X160" s="55"/>
      <c r="Y160" s="55"/>
      <c r="Z160" s="55"/>
      <c r="AA160" s="55"/>
      <c r="AB160" s="55"/>
      <c r="AC160" s="55"/>
      <c r="AD160" s="55"/>
      <c r="AE160" s="55"/>
      <c r="AF160" s="55"/>
      <c r="AG160" s="55"/>
      <c r="AH160" s="55"/>
      <c r="AI160" s="55"/>
      <c r="AJ160" s="55"/>
      <c r="AK160" s="55"/>
      <c r="AL160" s="55"/>
      <c r="AM160" s="55"/>
      <c r="AN160" s="55"/>
      <c r="AO160" s="55"/>
      <c r="AP160" s="55"/>
      <c r="AQ160" s="55"/>
      <c r="AR160" s="55"/>
      <c r="AS160" s="55"/>
      <c r="AT160" s="55"/>
      <c r="AU160" s="55"/>
      <c r="AV160" s="55"/>
      <c r="AW160" s="55"/>
      <c r="AX160" s="55"/>
      <c r="AY160" s="55"/>
      <c r="AZ160" s="55"/>
      <c r="BA160" s="55"/>
      <c r="BB160" s="55"/>
      <c r="BC160" s="55"/>
      <c r="BD160" s="55"/>
      <c r="BE160" s="55"/>
      <c r="BF160" s="55"/>
      <c r="BG160" s="55"/>
      <c r="BH160" s="55"/>
      <c r="BI160" s="55"/>
      <c r="BJ160" s="55"/>
      <c r="BK160" s="55"/>
      <c r="BL160" s="55"/>
      <c r="BM160" s="55"/>
      <c r="BN160" s="55"/>
      <c r="BO160" s="55"/>
      <c r="BP160" s="55"/>
      <c r="BQ160" s="55"/>
      <c r="BR160" s="55"/>
      <c r="BS160" s="55"/>
    </row>
    <row r="161" spans="1:71" outlineLevel="1" x14ac:dyDescent="0.2">
      <c r="D161" t="str">
        <f>HM_ZB_Nsoko!D156</f>
        <v>Prix du gaz (Nominal)</v>
      </c>
      <c r="J161" s="26" t="s">
        <v>47</v>
      </c>
      <c r="K161" s="7" t="s">
        <v>142</v>
      </c>
      <c r="L161" s="49">
        <f ca="1">HM_ZD_AM3_2005!L153</f>
        <v>0</v>
      </c>
      <c r="M161" s="49">
        <f ca="1">HM_ZD_AM3_2005!M153</f>
        <v>0</v>
      </c>
      <c r="N161" s="49">
        <f t="shared" ref="N161:AS161" ca="1" si="138">OFFSET(_xlfn.SINGLE(IA_gasprice_nominal),4,)</f>
        <v>0</v>
      </c>
      <c r="O161" s="49">
        <f t="shared" ca="1" si="138"/>
        <v>0</v>
      </c>
      <c r="P161" s="49">
        <f t="shared" ca="1" si="138"/>
        <v>0</v>
      </c>
      <c r="Q161" s="49">
        <f t="shared" ca="1" si="138"/>
        <v>0</v>
      </c>
      <c r="R161" s="49">
        <f t="shared" ca="1" si="138"/>
        <v>0</v>
      </c>
      <c r="S161" s="49">
        <f t="shared" ca="1" si="138"/>
        <v>0</v>
      </c>
      <c r="T161" s="49">
        <f t="shared" ca="1" si="138"/>
        <v>0</v>
      </c>
      <c r="U161" s="49">
        <f t="shared" ca="1" si="138"/>
        <v>0</v>
      </c>
      <c r="V161" s="49">
        <f t="shared" ca="1" si="138"/>
        <v>0</v>
      </c>
      <c r="W161" s="49">
        <f t="shared" ca="1" si="138"/>
        <v>0</v>
      </c>
      <c r="X161" s="49">
        <f t="shared" ca="1" si="138"/>
        <v>0</v>
      </c>
      <c r="Y161" s="49">
        <f t="shared" ca="1" si="138"/>
        <v>0</v>
      </c>
      <c r="Z161" s="49">
        <f t="shared" ca="1" si="138"/>
        <v>0</v>
      </c>
      <c r="AA161" s="49">
        <f t="shared" ca="1" si="138"/>
        <v>0</v>
      </c>
      <c r="AB161" s="49">
        <f t="shared" ca="1" si="138"/>
        <v>0</v>
      </c>
      <c r="AC161" s="49">
        <f t="shared" ca="1" si="138"/>
        <v>0</v>
      </c>
      <c r="AD161" s="49">
        <f t="shared" ca="1" si="138"/>
        <v>0</v>
      </c>
      <c r="AE161" s="49">
        <f t="shared" ca="1" si="138"/>
        <v>0</v>
      </c>
      <c r="AF161" s="49">
        <f t="shared" ca="1" si="138"/>
        <v>0</v>
      </c>
      <c r="AG161" s="49">
        <f t="shared" ca="1" si="138"/>
        <v>0</v>
      </c>
      <c r="AH161" s="49">
        <f t="shared" ca="1" si="138"/>
        <v>0</v>
      </c>
      <c r="AI161" s="49">
        <f t="shared" ca="1" si="138"/>
        <v>0</v>
      </c>
      <c r="AJ161" s="49">
        <f t="shared" ca="1" si="138"/>
        <v>0</v>
      </c>
      <c r="AK161" s="49">
        <f t="shared" ca="1" si="138"/>
        <v>0</v>
      </c>
      <c r="AL161" s="49">
        <f t="shared" ca="1" si="138"/>
        <v>0</v>
      </c>
      <c r="AM161" s="49">
        <f t="shared" ca="1" si="138"/>
        <v>0</v>
      </c>
      <c r="AN161" s="49">
        <f t="shared" ca="1" si="138"/>
        <v>0</v>
      </c>
      <c r="AO161" s="49">
        <f t="shared" ca="1" si="138"/>
        <v>0</v>
      </c>
      <c r="AP161" s="49">
        <f t="shared" ca="1" si="138"/>
        <v>0</v>
      </c>
      <c r="AQ161" s="49">
        <f t="shared" ca="1" si="138"/>
        <v>0</v>
      </c>
      <c r="AR161" s="49">
        <f t="shared" ca="1" si="138"/>
        <v>0</v>
      </c>
      <c r="AS161" s="49">
        <f t="shared" ca="1" si="138"/>
        <v>0</v>
      </c>
      <c r="AT161" s="49">
        <f t="shared" ref="AT161:BS161" ca="1" si="139">OFFSET(_xlfn.SINGLE(IA_gasprice_nominal),4,)</f>
        <v>0</v>
      </c>
      <c r="AU161" s="49">
        <f t="shared" ca="1" si="139"/>
        <v>0</v>
      </c>
      <c r="AV161" s="49">
        <f t="shared" ca="1" si="139"/>
        <v>0</v>
      </c>
      <c r="AW161" s="49">
        <f t="shared" ca="1" si="139"/>
        <v>0</v>
      </c>
      <c r="AX161" s="49">
        <f t="shared" ca="1" si="139"/>
        <v>0</v>
      </c>
      <c r="AY161" s="49">
        <f t="shared" ca="1" si="139"/>
        <v>0</v>
      </c>
      <c r="AZ161" s="49">
        <f t="shared" ca="1" si="139"/>
        <v>0</v>
      </c>
      <c r="BA161" s="49">
        <f t="shared" ca="1" si="139"/>
        <v>0</v>
      </c>
      <c r="BB161" s="49">
        <f t="shared" ca="1" si="139"/>
        <v>0</v>
      </c>
      <c r="BC161" s="49">
        <f t="shared" ca="1" si="139"/>
        <v>0</v>
      </c>
      <c r="BD161" s="49">
        <f t="shared" ca="1" si="139"/>
        <v>0</v>
      </c>
      <c r="BE161" s="49">
        <f t="shared" ca="1" si="139"/>
        <v>0</v>
      </c>
      <c r="BF161" s="49">
        <f t="shared" ca="1" si="139"/>
        <v>0</v>
      </c>
      <c r="BG161" s="49">
        <f t="shared" ca="1" si="139"/>
        <v>0</v>
      </c>
      <c r="BH161" s="49">
        <f t="shared" ca="1" si="139"/>
        <v>0</v>
      </c>
      <c r="BI161" s="49">
        <f t="shared" ca="1" si="139"/>
        <v>0</v>
      </c>
      <c r="BJ161" s="49">
        <f t="shared" ca="1" si="139"/>
        <v>0</v>
      </c>
      <c r="BK161" s="49">
        <f t="shared" ca="1" si="139"/>
        <v>0</v>
      </c>
      <c r="BL161" s="49">
        <f t="shared" ca="1" si="139"/>
        <v>0</v>
      </c>
      <c r="BM161" s="49">
        <f t="shared" ca="1" si="139"/>
        <v>0</v>
      </c>
      <c r="BN161" s="49">
        <f t="shared" ca="1" si="139"/>
        <v>0</v>
      </c>
      <c r="BO161" s="49">
        <f t="shared" ca="1" si="139"/>
        <v>0</v>
      </c>
      <c r="BP161" s="49">
        <f t="shared" ca="1" si="139"/>
        <v>0</v>
      </c>
      <c r="BQ161" s="49">
        <f t="shared" ca="1" si="139"/>
        <v>0</v>
      </c>
      <c r="BR161" s="49">
        <f t="shared" ca="1" si="139"/>
        <v>0</v>
      </c>
      <c r="BS161" s="49">
        <f t="shared" ca="1" si="139"/>
        <v>0</v>
      </c>
    </row>
    <row r="162" spans="1:71" outlineLevel="1" x14ac:dyDescent="0.2">
      <c r="J162" s="26"/>
      <c r="L162" s="55"/>
      <c r="M162" s="55"/>
      <c r="N162" s="55"/>
      <c r="O162" s="55"/>
      <c r="P162" s="55"/>
      <c r="Q162" s="55"/>
      <c r="R162" s="55"/>
      <c r="S162" s="55"/>
      <c r="T162" s="55"/>
      <c r="U162" s="55"/>
      <c r="V162" s="55"/>
      <c r="W162" s="55"/>
      <c r="X162" s="55"/>
      <c r="Y162" s="55"/>
      <c r="Z162" s="55"/>
      <c r="AA162" s="55"/>
      <c r="AB162" s="55"/>
      <c r="AC162" s="55"/>
      <c r="AD162" s="55"/>
      <c r="AE162" s="55"/>
      <c r="AF162" s="55"/>
      <c r="AG162" s="55"/>
      <c r="AH162" s="55"/>
      <c r="AI162" s="55"/>
      <c r="AJ162" s="55"/>
      <c r="AK162" s="55"/>
      <c r="AL162" s="55"/>
      <c r="AM162" s="55"/>
      <c r="AN162" s="55"/>
      <c r="AO162" s="55"/>
      <c r="AP162" s="55"/>
      <c r="AQ162" s="55"/>
      <c r="AR162" s="55"/>
      <c r="AS162" s="55"/>
      <c r="AT162" s="55"/>
      <c r="AU162" s="55"/>
      <c r="AV162" s="55"/>
      <c r="AW162" s="55"/>
      <c r="AX162" s="55"/>
      <c r="AY162" s="55"/>
      <c r="AZ162" s="55"/>
      <c r="BA162" s="55"/>
      <c r="BB162" s="55"/>
      <c r="BC162" s="55"/>
      <c r="BD162" s="55"/>
      <c r="BE162" s="55"/>
      <c r="BF162" s="55"/>
      <c r="BG162" s="55"/>
      <c r="BH162" s="55"/>
      <c r="BI162" s="55"/>
      <c r="BJ162" s="55"/>
      <c r="BK162" s="55"/>
      <c r="BL162" s="55"/>
      <c r="BM162" s="55"/>
      <c r="BN162" s="55"/>
      <c r="BO162" s="55"/>
      <c r="BP162" s="55"/>
      <c r="BQ162" s="55"/>
      <c r="BR162" s="55"/>
      <c r="BS162" s="55"/>
    </row>
    <row r="163" spans="1:71" outlineLevel="1" x14ac:dyDescent="0.2">
      <c r="C163" s="11" t="str">
        <f>HM_ZB_Nsoko!C158</f>
        <v>Prix Haut (PH)</v>
      </c>
      <c r="J163" s="26"/>
      <c r="L163" s="55"/>
      <c r="M163" s="55"/>
      <c r="N163" s="55"/>
      <c r="O163" s="55"/>
      <c r="P163" s="55"/>
      <c r="Q163" s="55"/>
      <c r="R163" s="55"/>
      <c r="S163" s="55"/>
      <c r="T163" s="55"/>
      <c r="U163" s="55"/>
      <c r="V163" s="55"/>
      <c r="W163" s="55"/>
      <c r="X163" s="55"/>
      <c r="Y163" s="55"/>
      <c r="Z163" s="55"/>
      <c r="AA163" s="55"/>
      <c r="AB163" s="55"/>
      <c r="AC163" s="55"/>
      <c r="AD163" s="55"/>
      <c r="AE163" s="55"/>
      <c r="AF163" s="55"/>
      <c r="AG163" s="55"/>
      <c r="AH163" s="55"/>
      <c r="AI163" s="55"/>
      <c r="AJ163" s="55"/>
      <c r="AK163" s="55"/>
      <c r="AL163" s="55"/>
      <c r="AM163" s="55"/>
      <c r="AN163" s="55"/>
      <c r="AO163" s="55"/>
      <c r="AP163" s="55"/>
      <c r="AQ163" s="55"/>
      <c r="AR163" s="55"/>
      <c r="AS163" s="55"/>
      <c r="AT163" s="55"/>
      <c r="AU163" s="55"/>
      <c r="AV163" s="55"/>
      <c r="AW163" s="55"/>
      <c r="AX163" s="55"/>
      <c r="AY163" s="55"/>
      <c r="AZ163" s="55"/>
      <c r="BA163" s="55"/>
      <c r="BB163" s="55"/>
      <c r="BC163" s="55"/>
      <c r="BD163" s="55"/>
      <c r="BE163" s="55"/>
      <c r="BF163" s="55"/>
      <c r="BG163" s="55"/>
      <c r="BH163" s="55"/>
      <c r="BI163" s="55"/>
      <c r="BJ163" s="55"/>
      <c r="BK163" s="55"/>
      <c r="BL163" s="55"/>
      <c r="BM163" s="55"/>
      <c r="BN163" s="55"/>
      <c r="BO163" s="55"/>
      <c r="BP163" s="55"/>
      <c r="BQ163" s="55"/>
      <c r="BR163" s="55"/>
      <c r="BS163" s="55"/>
    </row>
    <row r="164" spans="1:71" outlineLevel="1" x14ac:dyDescent="0.2">
      <c r="D164" t="str">
        <f>CHOOSE(db_ML_selected,'Liste Traduction'!B446,'Liste Traduction'!C446)</f>
        <v>Prix du pétrole (nominal) Période 1</v>
      </c>
      <c r="J164" s="26" t="s">
        <v>46</v>
      </c>
      <c r="K164" s="7" t="s">
        <v>455</v>
      </c>
      <c r="L164" s="49">
        <f ca="1">HM_ZD_AM3_2005!L156</f>
        <v>27.028749999999999</v>
      </c>
      <c r="M164" s="49">
        <f ca="1">HM_ZD_AM3_2005!M156</f>
        <v>27.382999999999999</v>
      </c>
      <c r="N164" s="49">
        <f ca="1">IF(N4&lt;=CS_HP_infl_baseyear+1,OFFSET(_xlfn.SINGLE(IA_historic_HP),4,),_xlfn.SINGLE(HP_1)*_xlfn.SINGLE(HM_ZD_Moho!CA_infl_index_HP))</f>
        <v>27.72325</v>
      </c>
      <c r="O164" s="49">
        <f ca="1">IF(O4&lt;=CS_HP_infl_baseyear+1,OFFSET(_xlfn.SINGLE(IA_historic_HP),4,),_xlfn.SINGLE(HP_1)*_xlfn.SINGLE(HM_ZD_Moho!CA_infl_index_HP))</f>
        <v>28.14725</v>
      </c>
      <c r="P164" s="49">
        <f ca="1">IF(P4&lt;=CS_HP_infl_baseyear+1,OFFSET(_xlfn.SINGLE(IA_historic_HP),4,),_xlfn.SINGLE(HP_1)*_xlfn.SINGLE(HM_ZD_Moho!CA_infl_index_HP))</f>
        <v>97.840500000000006</v>
      </c>
      <c r="Q164" s="49">
        <f ca="1">IF(Q4&lt;=CS_HP_infl_baseyear+1,OFFSET(_xlfn.SINGLE(IA_historic_HP),4,),_xlfn.SINGLE(HP_1)*_xlfn.SINGLE(HM_ZD_Moho!CA_infl_index_HP))</f>
        <v>100.089</v>
      </c>
      <c r="R164" s="49">
        <f ca="1">IF(R4&lt;=CS_HP_infl_baseyear+1,OFFSET(_xlfn.SINGLE(IA_historic_HP),4,),_xlfn.SINGLE(HP_1)*_xlfn.SINGLE(HM_ZD_Moho!CA_infl_index_HP))</f>
        <v>101.9695</v>
      </c>
      <c r="S164" s="49">
        <f ca="1">IF(S4&lt;=CS_HP_infl_baseyear+1,OFFSET(_xlfn.SINGLE(IA_historic_HP),4,),_xlfn.SINGLE(HP_1)*_xlfn.SINGLE(HM_ZD_Moho!CA_infl_index_HP))</f>
        <v>104.43</v>
      </c>
      <c r="T164" s="49">
        <f ca="1">IF(T4&lt;=CS_HP_infl_baseyear+1,OFFSET(_xlfn.SINGLE(IA_historic_HP),4,),_xlfn.SINGLE(HP_1)*_xlfn.SINGLE(HM_ZD_Moho!CA_infl_index_HP))</f>
        <v>107.55833117600798</v>
      </c>
      <c r="U164" s="49">
        <f ca="1">IF(U4&lt;=CS_HP_infl_baseyear+1,OFFSET(_xlfn.SINGLE(IA_historic_HP),4,),_xlfn.SINGLE(HP_1)*_xlfn.SINGLE(HM_ZD_Moho!CA_infl_index_HP))</f>
        <v>109.70949779952814</v>
      </c>
      <c r="V164" s="49">
        <f ca="1">IF(V4&lt;=CS_HP_infl_baseyear+1,OFFSET(_xlfn.SINGLE(IA_historic_HP),4,),_xlfn.SINGLE(HP_1)*_xlfn.SINGLE(HM_ZD_Moho!CA_infl_index_HP))</f>
        <v>111.90368775551867</v>
      </c>
      <c r="W164" s="49">
        <f ca="1">IF(W4&lt;=CS_HP_infl_baseyear+1,OFFSET(_xlfn.SINGLE(IA_historic_HP),4,),_xlfn.SINGLE(HP_1)*_xlfn.SINGLE(HM_ZD_Moho!CA_infl_index_HP))</f>
        <v>114.14176151062907</v>
      </c>
      <c r="X164" s="49">
        <f ca="1">IF(X4&lt;=CS_HP_infl_baseyear+1,OFFSET(_xlfn.SINGLE(IA_historic_HP),4,),_xlfn.SINGLE(HP_1)*_xlfn.SINGLE(HM_ZD_Moho!CA_infl_index_HP))</f>
        <v>116.42459674084165</v>
      </c>
      <c r="Y164" s="49">
        <f ca="1">IF(Y4&lt;=CS_HP_infl_baseyear+1,OFFSET(_xlfn.SINGLE(IA_historic_HP),4,),_xlfn.SINGLE(HP_1)*_xlfn.SINGLE(HM_ZD_Moho!CA_infl_index_HP))</f>
        <v>118.75308867565849</v>
      </c>
      <c r="Z164" s="49">
        <f ca="1">IF(Z4&lt;=CS_HP_infl_baseyear+1,OFFSET(_xlfn.SINGLE(IA_historic_HP),4,),_xlfn.SINGLE(HP_1)*_xlfn.SINGLE(HM_ZD_Moho!CA_infl_index_HP))</f>
        <v>121.12815044917163</v>
      </c>
      <c r="AA164" s="49">
        <f ca="1">IF(AA4&lt;=CS_HP_infl_baseyear+1,OFFSET(_xlfn.SINGLE(IA_historic_HP),4,),_xlfn.SINGLE(HP_1)*_xlfn.SINGLE(HM_ZD_Moho!CA_infl_index_HP))</f>
        <v>123.55071345815509</v>
      </c>
      <c r="AB164" s="49">
        <f ca="1">IF(AB4&lt;=CS_HP_infl_baseyear+1,OFFSET(_xlfn.SINGLE(IA_historic_HP),4,),_xlfn.SINGLE(HP_1)*_xlfn.SINGLE(HM_ZD_Moho!CA_infl_index_HP))</f>
        <v>126.02172772731819</v>
      </c>
      <c r="AC164" s="49">
        <f ca="1">IF(AC4&lt;=CS_HP_infl_baseyear+1,OFFSET(_xlfn.SINGLE(IA_historic_HP),4,),_xlfn.SINGLE(HP_1)*_xlfn.SINGLE(HM_ZD_Moho!CA_infl_index_HP))</f>
        <v>128.54216228186453</v>
      </c>
      <c r="AD164" s="49">
        <f ca="1">IF(AD4&lt;=CS_HP_infl_baseyear+1,OFFSET(_xlfn.SINGLE(IA_historic_HP),4,),_xlfn.SINGLE(HP_1)*_xlfn.SINGLE(HM_ZD_Moho!CA_infl_index_HP))</f>
        <v>131.11300552750183</v>
      </c>
      <c r="AE164" s="49">
        <f ca="1">IF(AE4&lt;=CS_HP_infl_baseyear+1,OFFSET(_xlfn.SINGLE(IA_historic_HP),4,),_xlfn.SINGLE(HP_1)*_xlfn.SINGLE(HM_ZD_Moho!CA_infl_index_HP))</f>
        <v>133.73526563805189</v>
      </c>
      <c r="AF164" s="49">
        <f ca="1">IF(AF4&lt;=CS_HP_infl_baseyear+1,OFFSET(_xlfn.SINGLE(IA_historic_HP),4,),_xlfn.SINGLE(HP_1)*_xlfn.SINGLE(HM_ZD_Moho!CA_infl_index_HP))</f>
        <v>136.40997095081292</v>
      </c>
      <c r="AG164" s="49">
        <f ca="1">IF(AG4&lt;=CS_HP_infl_baseyear+1,OFFSET(_xlfn.SINGLE(IA_historic_HP),4,),_xlfn.SINGLE(HP_1)*_xlfn.SINGLE(HM_ZD_Moho!CA_infl_index_HP))</f>
        <v>139.13817036982917</v>
      </c>
      <c r="AH164" s="49">
        <f ca="1">IF(AH4&lt;=CS_HP_infl_baseyear+1,OFFSET(_xlfn.SINGLE(IA_historic_HP),4,),_xlfn.SINGLE(HP_1)*_xlfn.SINGLE(HM_ZD_Moho!CA_infl_index_HP))</f>
        <v>141.92093377722574</v>
      </c>
      <c r="AI164" s="49">
        <f ca="1">IF(AI4&lt;=CS_HP_infl_baseyear+1,OFFSET(_xlfn.SINGLE(IA_historic_HP),4,),_xlfn.SINGLE(HP_1)*_xlfn.SINGLE(HM_ZD_Moho!CA_infl_index_HP))</f>
        <v>144.75935245277026</v>
      </c>
      <c r="AJ164" s="49">
        <f ca="1">IF(AJ4&lt;=CS_HP_infl_baseyear+1,OFFSET(_xlfn.SINGLE(IA_historic_HP),4,),_xlfn.SINGLE(HP_1)*_xlfn.SINGLE(HM_ZD_Moho!CA_infl_index_HP))</f>
        <v>147.65453950182567</v>
      </c>
      <c r="AK164" s="49">
        <f ca="1">IF(AK4&lt;=CS_HP_infl_baseyear+1,OFFSET(_xlfn.SINGLE(IA_historic_HP),4,),_xlfn.SINGLE(HP_1)*_xlfn.SINGLE(HM_ZD_Moho!CA_infl_index_HP))</f>
        <v>150.60763029186219</v>
      </c>
      <c r="AL164" s="49">
        <f ca="1">IF(AL4&lt;=CS_HP_infl_baseyear+1,OFFSET(_xlfn.SINGLE(IA_historic_HP),4,),_xlfn.SINGLE(HP_1)*_xlfn.SINGLE(HM_ZD_Moho!CA_infl_index_HP))</f>
        <v>153.61978289769939</v>
      </c>
      <c r="AM164" s="49">
        <f ca="1">IF(AM4&lt;=CS_HP_infl_baseyear+1,OFFSET(_xlfn.SINGLE(IA_historic_HP),4,),_xlfn.SINGLE(HP_1)*_xlfn.SINGLE(HM_ZD_Moho!CA_infl_index_HP))</f>
        <v>156.69217855565341</v>
      </c>
      <c r="AN164" s="49">
        <f ca="1">IF(AN4&lt;=CS_HP_infl_baseyear+1,OFFSET(_xlfn.SINGLE(IA_historic_HP),4,),_xlfn.SINGLE(HP_1)*_xlfn.SINGLE(HM_ZD_Moho!CA_infl_index_HP))</f>
        <v>159.82602212676647</v>
      </c>
      <c r="AO164" s="49">
        <f ca="1">IF(AO4&lt;=CS_HP_infl_baseyear+1,OFFSET(_xlfn.SINGLE(IA_historic_HP),4,),_xlfn.SINGLE(HP_1)*_xlfn.SINGLE(HM_ZD_Moho!CA_infl_index_HP))</f>
        <v>163.02254256930181</v>
      </c>
      <c r="AP164" s="49">
        <f ca="1">IF(AP4&lt;=CS_HP_infl_baseyear+1,OFFSET(_xlfn.SINGLE(IA_historic_HP),4,),_xlfn.SINGLE(HP_1)*_xlfn.SINGLE(HM_ZD_Moho!CA_infl_index_HP))</f>
        <v>166.2829934206878</v>
      </c>
      <c r="AQ164" s="49">
        <f ca="1">IF(AQ4&lt;=CS_HP_infl_baseyear+1,OFFSET(_xlfn.SINGLE(IA_historic_HP),4,),_xlfn.SINGLE(HP_1)*_xlfn.SINGLE(HM_ZD_Moho!CA_infl_index_HP))</f>
        <v>169.6086532891016</v>
      </c>
      <c r="AR164" s="49">
        <f ca="1">IF(AR4&lt;=CS_HP_infl_baseyear+1,OFFSET(_xlfn.SINGLE(IA_historic_HP),4,),_xlfn.SINGLE(HP_1)*_xlfn.SINGLE(HM_ZD_Moho!CA_infl_index_HP))</f>
        <v>173.00082635488366</v>
      </c>
      <c r="AS164" s="49">
        <f ca="1">IF(AS4&lt;=CS_HP_infl_baseyear+1,OFFSET(_xlfn.SINGLE(IA_historic_HP),4,),_xlfn.SINGLE(HP_1)*_xlfn.SINGLE(HM_ZD_Moho!CA_infl_index_HP))</f>
        <v>176.46084288198131</v>
      </c>
      <c r="AT164" s="49">
        <f ca="1">IF(AT4&lt;=CS_HP_infl_baseyear+1,OFFSET(_xlfn.SINGLE(IA_historic_HP),4,),_xlfn.SINGLE(HP_1)*_xlfn.SINGLE(HM_ZD_Moho!CA_infl_index_HP))</f>
        <v>179.99005973962093</v>
      </c>
      <c r="AU164" s="49">
        <f ca="1">IF(AU4&lt;=CS_HP_infl_baseyear+1,OFFSET(_xlfn.SINGLE(IA_historic_HP),4,),_xlfn.SINGLE(HP_1)*_xlfn.SINGLE(HM_ZD_Moho!CA_infl_index_HP))</f>
        <v>183.58986093441334</v>
      </c>
      <c r="AV164" s="49">
        <f ca="1">IF(AV4&lt;=CS_HP_infl_baseyear+1,OFFSET(_xlfn.SINGLE(IA_historic_HP),4,),_xlfn.SINGLE(HP_1)*_xlfn.SINGLE(HM_ZD_Moho!CA_infl_index_HP))</f>
        <v>187.26165815310162</v>
      </c>
      <c r="AW164" s="49">
        <f ca="1">IF(AW4&lt;=CS_HP_infl_baseyear+1,OFFSET(_xlfn.SINGLE(IA_historic_HP),4,),_xlfn.SINGLE(HP_1)*_xlfn.SINGLE(HM_ZD_Moho!CA_infl_index_HP))</f>
        <v>191.00689131616369</v>
      </c>
      <c r="AX164" s="49">
        <f ca="1">IF(AX4&lt;=CS_HP_infl_baseyear+1,OFFSET(_xlfn.SINGLE(IA_historic_HP),4,),_xlfn.SINGLE(HP_1)*_xlfn.SINGLE(HM_ZD_Moho!CA_infl_index_HP))</f>
        <v>194.82702914248688</v>
      </c>
      <c r="AY164" s="49">
        <f ca="1">IF(AY4&lt;=CS_HP_infl_baseyear+1,OFFSET(_xlfn.SINGLE(IA_historic_HP),4,),_xlfn.SINGLE(HP_1)*_xlfn.SINGLE(HM_ZD_Moho!CA_infl_index_HP))</f>
        <v>198.72356972533666</v>
      </c>
      <c r="AZ164" s="49">
        <f ca="1">IF(AZ4&lt;=CS_HP_infl_baseyear+1,OFFSET(_xlfn.SINGLE(IA_historic_HP),4,),_xlfn.SINGLE(HP_1)*_xlfn.SINGLE(HM_ZD_Moho!CA_infl_index_HP))</f>
        <v>202.6980411198434</v>
      </c>
      <c r="BA164" s="49">
        <f ca="1">IF(BA4&lt;=CS_HP_infl_baseyear+1,OFFSET(_xlfn.SINGLE(IA_historic_HP),4,),_xlfn.SINGLE(HP_1)*_xlfn.SINGLE(HM_ZD_Moho!CA_infl_index_HP))</f>
        <v>206.75200194224024</v>
      </c>
      <c r="BB164" s="49">
        <f ca="1">IF(BB4&lt;=CS_HP_infl_baseyear+1,OFFSET(_xlfn.SINGLE(IA_historic_HP),4,),_xlfn.SINGLE(HP_1)*_xlfn.SINGLE(HM_ZD_Moho!CA_infl_index_HP))</f>
        <v>210.88704198108505</v>
      </c>
      <c r="BC164" s="49">
        <f ca="1">IF(BC4&lt;=CS_HP_infl_baseyear+1,OFFSET(_xlfn.SINGLE(IA_historic_HP),4,),_xlfn.SINGLE(HP_1)*_xlfn.SINGLE(HM_ZD_Moho!CA_infl_index_HP))</f>
        <v>215.10478282070679</v>
      </c>
      <c r="BD164" s="49">
        <f ca="1">IF(BD4&lt;=CS_HP_infl_baseyear+1,OFFSET(_xlfn.SINGLE(IA_historic_HP),4,),_xlfn.SINGLE(HP_1)*_xlfn.SINGLE(HM_ZD_Moho!CA_infl_index_HP))</f>
        <v>219.4068784771209</v>
      </c>
      <c r="BE164" s="49">
        <f ca="1">IF(BE4&lt;=CS_HP_infl_baseyear+1,OFFSET(_xlfn.SINGLE(IA_historic_HP),4,),_xlfn.SINGLE(HP_1)*_xlfn.SINGLE(HM_ZD_Moho!CA_infl_index_HP))</f>
        <v>223.79501604666333</v>
      </c>
      <c r="BF164" s="49">
        <f ca="1">IF(BF4&lt;=CS_HP_infl_baseyear+1,OFFSET(_xlfn.SINGLE(IA_historic_HP),4,),_xlfn.SINGLE(HP_1)*_xlfn.SINGLE(HM_ZD_Moho!CA_infl_index_HP))</f>
        <v>228.27091636759653</v>
      </c>
      <c r="BG164" s="49">
        <f ca="1">IF(BG4&lt;=CS_HP_infl_baseyear+1,OFFSET(_xlfn.SINGLE(IA_historic_HP),4,),_xlfn.SINGLE(HP_1)*_xlfn.SINGLE(HM_ZD_Moho!CA_infl_index_HP))</f>
        <v>232.8363346949485</v>
      </c>
      <c r="BH164" s="49">
        <f ca="1">IF(BH4&lt;=CS_HP_infl_baseyear+1,OFFSET(_xlfn.SINGLE(IA_historic_HP),4,),_xlfn.SINGLE(HP_1)*_xlfn.SINGLE(HM_ZD_Moho!CA_infl_index_HP))</f>
        <v>237.49306138884748</v>
      </c>
      <c r="BI164" s="49">
        <f ca="1">IF(BI4&lt;=CS_HP_infl_baseyear+1,OFFSET(_xlfn.SINGLE(IA_historic_HP),4,),_xlfn.SINGLE(HP_1)*_xlfn.SINGLE(HM_ZD_Moho!CA_infl_index_HP))</f>
        <v>242.24292261662441</v>
      </c>
      <c r="BJ164" s="49">
        <f ca="1">IF(BJ4&lt;=CS_HP_infl_baseyear+1,OFFSET(_xlfn.SINGLE(IA_historic_HP),4,),_xlfn.SINGLE(HP_1)*_xlfn.SINGLE(HM_ZD_Moho!CA_infl_index_HP))</f>
        <v>247.08778106895687</v>
      </c>
      <c r="BK164" s="49">
        <f ca="1">IF(BK4&lt;=CS_HP_infl_baseyear+1,OFFSET(_xlfn.SINGLE(IA_historic_HP),4,),_xlfn.SINGLE(HP_1)*_xlfn.SINGLE(HM_ZD_Moho!CA_infl_index_HP))</f>
        <v>252.02953669033607</v>
      </c>
      <c r="BL164" s="49">
        <f ca="1">IF(BL4&lt;=CS_HP_infl_baseyear+1,OFFSET(_xlfn.SINGLE(IA_historic_HP),4,),_xlfn.SINGLE(HP_1)*_xlfn.SINGLE(HM_ZD_Moho!CA_infl_index_HP))</f>
        <v>257.07012742414275</v>
      </c>
      <c r="BM164" s="49">
        <f ca="1">IF(BM4&lt;=CS_HP_infl_baseyear+1,OFFSET(_xlfn.SINGLE(IA_historic_HP),4,),_xlfn.SINGLE(HP_1)*_xlfn.SINGLE(HM_ZD_Moho!CA_infl_index_HP))</f>
        <v>262.21152997262561</v>
      </c>
      <c r="BN164" s="49">
        <f ca="1">IF(BN4&lt;=CS_HP_infl_baseyear+1,OFFSET(_xlfn.SINGLE(IA_historic_HP),4,),_xlfn.SINGLE(HP_1)*_xlfn.SINGLE(HM_ZD_Moho!CA_infl_index_HP))</f>
        <v>267.45576057207808</v>
      </c>
      <c r="BO164" s="49">
        <f ca="1">IF(BO4&lt;=CS_HP_infl_baseyear+1,OFFSET(_xlfn.SINGLE(IA_historic_HP),4,),_xlfn.SINGLE(HP_1)*_xlfn.SINGLE(HM_ZD_Moho!CA_infl_index_HP))</f>
        <v>272.80487578351966</v>
      </c>
      <c r="BP164" s="49">
        <f ca="1">IF(BP4&lt;=CS_HP_infl_baseyear+1,OFFSET(_xlfn.SINGLE(IA_historic_HP),4,),_xlfn.SINGLE(HP_1)*_xlfn.SINGLE(HM_ZD_Moho!CA_infl_index_HP))</f>
        <v>278.26097329919003</v>
      </c>
      <c r="BQ164" s="49">
        <f ca="1">IF(BQ4&lt;=CS_HP_infl_baseyear+1,OFFSET(_xlfn.SINGLE(IA_historic_HP),4,),_xlfn.SINGLE(HP_1)*_xlfn.SINGLE(HM_ZD_Moho!CA_infl_index_HP))</f>
        <v>283.82619276517386</v>
      </c>
      <c r="BR164" s="49">
        <f ca="1">IF(BR4&lt;=CS_HP_infl_baseyear+1,OFFSET(_xlfn.SINGLE(IA_historic_HP),4,),_xlfn.SINGLE(HP_1)*_xlfn.SINGLE(HM_ZD_Moho!CA_infl_index_HP))</f>
        <v>289.50271662047732</v>
      </c>
      <c r="BS164" s="49">
        <f ca="1">IF(BS4&lt;=CS_HP_infl_baseyear+1,OFFSET(_xlfn.SINGLE(IA_historic_HP),4,),_xlfn.SINGLE(HP_1)*_xlfn.SINGLE(HM_ZD_Moho!CA_infl_index_HP))</f>
        <v>295.29277095288694</v>
      </c>
    </row>
    <row r="165" spans="1:71" outlineLevel="1" x14ac:dyDescent="0.2">
      <c r="J165" s="26"/>
      <c r="L165" s="55"/>
      <c r="M165" s="55"/>
      <c r="N165" s="55"/>
      <c r="O165" s="55"/>
      <c r="P165" s="55"/>
      <c r="Q165" s="55"/>
      <c r="R165" s="55"/>
      <c r="S165" s="55"/>
      <c r="T165" s="55"/>
      <c r="U165" s="55"/>
      <c r="V165" s="55"/>
      <c r="W165" s="55"/>
      <c r="X165" s="55"/>
      <c r="Y165" s="55"/>
      <c r="Z165" s="55"/>
      <c r="AA165" s="55"/>
      <c r="AB165" s="55"/>
      <c r="AC165" s="55"/>
      <c r="AD165" s="55"/>
      <c r="AE165" s="55"/>
      <c r="AF165" s="55"/>
      <c r="AG165" s="55"/>
      <c r="AH165" s="55"/>
      <c r="AI165" s="55"/>
      <c r="AJ165" s="55"/>
      <c r="AK165" s="55"/>
      <c r="AL165" s="55"/>
      <c r="AM165" s="55"/>
      <c r="AN165" s="55"/>
      <c r="AO165" s="55"/>
      <c r="AP165" s="55"/>
      <c r="AQ165" s="55"/>
      <c r="AR165" s="55"/>
      <c r="AS165" s="55"/>
      <c r="AT165" s="55"/>
      <c r="AU165" s="55"/>
      <c r="AV165" s="55"/>
      <c r="AW165" s="55"/>
      <c r="AX165" s="55"/>
      <c r="AY165" s="55"/>
      <c r="AZ165" s="55"/>
      <c r="BA165" s="55"/>
      <c r="BB165" s="55"/>
      <c r="BC165" s="55"/>
      <c r="BD165" s="55"/>
      <c r="BE165" s="55"/>
      <c r="BF165" s="55"/>
      <c r="BG165" s="55"/>
      <c r="BH165" s="55"/>
      <c r="BI165" s="55"/>
      <c r="BJ165" s="55"/>
      <c r="BK165" s="55"/>
      <c r="BL165" s="55"/>
      <c r="BM165" s="55"/>
      <c r="BN165" s="55"/>
      <c r="BO165" s="55"/>
      <c r="BP165" s="55"/>
      <c r="BQ165" s="55"/>
      <c r="BR165" s="55"/>
      <c r="BS165" s="55"/>
    </row>
    <row r="166" spans="1:71" outlineLevel="1" x14ac:dyDescent="0.2">
      <c r="D166" t="str">
        <f>CHOOSE(db_ML_selected,'Liste Traduction'!B452,'Liste Traduction'!C452)</f>
        <v>Revenus pétroliers (@ PH Période 2)</v>
      </c>
      <c r="J166" s="26" t="s">
        <v>46</v>
      </c>
      <c r="K166" s="7" t="s">
        <v>456</v>
      </c>
      <c r="L166" s="49">
        <f>_xlfn.SINGLE(HP_2)*_xlfn.SINGLE(HM_ZD_Moho!CA_infl_index_HP)</f>
        <v>51</v>
      </c>
      <c r="M166" s="49">
        <f>_xlfn.SINGLE(HP_2)*_xlfn.SINGLE(HM_ZD_Moho!CA_infl_index_HP)</f>
        <v>52.019999999999996</v>
      </c>
      <c r="N166" s="49">
        <f>_xlfn.SINGLE(HP_2)*_xlfn.SINGLE(HM_ZD_Moho!CA_infl_index_HP)</f>
        <v>53.060399999999994</v>
      </c>
      <c r="O166" s="49">
        <f>_xlfn.SINGLE(HP_2)*_xlfn.SINGLE(HM_ZD_Moho!CA_infl_index_HP)</f>
        <v>54.121608000000002</v>
      </c>
      <c r="P166" s="49">
        <f>_xlfn.SINGLE(HP_2)*_xlfn.SINGLE(HM_ZD_Moho!CA_infl_index_HP)</f>
        <v>55.204040159999998</v>
      </c>
      <c r="Q166" s="49">
        <f>_xlfn.SINGLE(HP_2)*_xlfn.SINGLE(HM_ZD_Moho!CA_infl_index_HP)</f>
        <v>56.308120963200004</v>
      </c>
      <c r="R166" s="49">
        <f>_xlfn.SINGLE(HP_2)*_xlfn.SINGLE(HM_ZD_Moho!CA_infl_index_HP)</f>
        <v>57.434283382463988</v>
      </c>
      <c r="S166" s="49">
        <f>_xlfn.SINGLE(HP_2)*_xlfn.SINGLE(HM_ZD_Moho!CA_infl_index_HP)</f>
        <v>58.582969050113277</v>
      </c>
      <c r="T166" s="49">
        <f>_xlfn.SINGLE(HP_2)*_xlfn.SINGLE(HM_ZD_Moho!CA_infl_index_HP)</f>
        <v>59.754628431115542</v>
      </c>
      <c r="U166" s="49">
        <f>_xlfn.SINGLE(HP_2)*_xlfn.SINGLE(HM_ZD_Moho!CA_infl_index_HP)</f>
        <v>60.949720999737856</v>
      </c>
      <c r="V166" s="49">
        <f>_xlfn.SINGLE(HP_2)*_xlfn.SINGLE(HM_ZD_Moho!CA_infl_index_HP)</f>
        <v>62.1687154197326</v>
      </c>
      <c r="W166" s="49">
        <f>_xlfn.SINGLE(HP_2)*_xlfn.SINGLE(HM_ZD_Moho!CA_infl_index_HP)</f>
        <v>63.412089728127263</v>
      </c>
      <c r="X166" s="49">
        <f>_xlfn.SINGLE(HP_2)*_xlfn.SINGLE(HM_ZD_Moho!CA_infl_index_HP)</f>
        <v>64.680331522689798</v>
      </c>
      <c r="Y166" s="49">
        <f>_xlfn.SINGLE(HP_2)*_xlfn.SINGLE(HM_ZD_Moho!CA_infl_index_HP)</f>
        <v>65.973938153143607</v>
      </c>
      <c r="Z166" s="49">
        <f>_xlfn.SINGLE(HP_2)*_xlfn.SINGLE(HM_ZD_Moho!CA_infl_index_HP)</f>
        <v>67.293416916206468</v>
      </c>
      <c r="AA166" s="49">
        <f>_xlfn.SINGLE(HP_2)*_xlfn.SINGLE(HM_ZD_Moho!CA_infl_index_HP)</f>
        <v>68.639285254530606</v>
      </c>
      <c r="AB166" s="49">
        <f>_xlfn.SINGLE(HP_2)*_xlfn.SINGLE(HM_ZD_Moho!CA_infl_index_HP)</f>
        <v>70.012070959621227</v>
      </c>
      <c r="AC166" s="49">
        <f>_xlfn.SINGLE(HP_2)*_xlfn.SINGLE(HM_ZD_Moho!CA_infl_index_HP)</f>
        <v>71.412312378813638</v>
      </c>
      <c r="AD166" s="49">
        <f>_xlfn.SINGLE(HP_2)*_xlfn.SINGLE(HM_ZD_Moho!CA_infl_index_HP)</f>
        <v>72.840558626389907</v>
      </c>
      <c r="AE166" s="49">
        <f>_xlfn.SINGLE(HP_2)*_xlfn.SINGLE(HM_ZD_Moho!CA_infl_index_HP)</f>
        <v>74.297369798917714</v>
      </c>
      <c r="AF166" s="49">
        <f>_xlfn.SINGLE(HP_2)*_xlfn.SINGLE(HM_ZD_Moho!CA_infl_index_HP)</f>
        <v>75.783317194896057</v>
      </c>
      <c r="AG166" s="49">
        <f>_xlfn.SINGLE(HP_2)*_xlfn.SINGLE(HM_ZD_Moho!CA_infl_index_HP)</f>
        <v>77.298983538793991</v>
      </c>
      <c r="AH166" s="49">
        <f>_xlfn.SINGLE(HP_2)*_xlfn.SINGLE(HM_ZD_Moho!CA_infl_index_HP)</f>
        <v>78.844963209569855</v>
      </c>
      <c r="AI166" s="49">
        <f>_xlfn.SINGLE(HP_2)*_xlfn.SINGLE(HM_ZD_Moho!CA_infl_index_HP)</f>
        <v>80.421862473761252</v>
      </c>
      <c r="AJ166" s="49">
        <f>_xlfn.SINGLE(HP_2)*_xlfn.SINGLE(HM_ZD_Moho!CA_infl_index_HP)</f>
        <v>82.030299723236482</v>
      </c>
      <c r="AK166" s="49">
        <f>_xlfn.SINGLE(HP_2)*_xlfn.SINGLE(HM_ZD_Moho!CA_infl_index_HP)</f>
        <v>83.670905717701217</v>
      </c>
      <c r="AL166" s="49">
        <f>_xlfn.SINGLE(HP_2)*_xlfn.SINGLE(HM_ZD_Moho!CA_infl_index_HP)</f>
        <v>85.344323832055224</v>
      </c>
      <c r="AM166" s="49">
        <f>_xlfn.SINGLE(HP_2)*_xlfn.SINGLE(HM_ZD_Moho!CA_infl_index_HP)</f>
        <v>87.051210308696341</v>
      </c>
      <c r="AN166" s="49">
        <f>_xlfn.SINGLE(HP_2)*_xlfn.SINGLE(HM_ZD_Moho!CA_infl_index_HP)</f>
        <v>88.792234514870259</v>
      </c>
      <c r="AO166" s="49">
        <f>_xlfn.SINGLE(HP_2)*_xlfn.SINGLE(HM_ZD_Moho!CA_infl_index_HP)</f>
        <v>90.568079205167678</v>
      </c>
      <c r="AP166" s="49">
        <f>_xlfn.SINGLE(HP_2)*_xlfn.SINGLE(HM_ZD_Moho!CA_infl_index_HP)</f>
        <v>92.379440789271001</v>
      </c>
      <c r="AQ166" s="49">
        <f>_xlfn.SINGLE(HP_2)*_xlfn.SINGLE(HM_ZD_Moho!CA_infl_index_HP)</f>
        <v>94.227029605056444</v>
      </c>
      <c r="AR166" s="49">
        <f>_xlfn.SINGLE(HP_2)*_xlfn.SINGLE(HM_ZD_Moho!CA_infl_index_HP)</f>
        <v>96.111570197157576</v>
      </c>
      <c r="AS166" s="49">
        <f>_xlfn.SINGLE(HP_2)*_xlfn.SINGLE(HM_ZD_Moho!CA_infl_index_HP)</f>
        <v>98.03380160110072</v>
      </c>
      <c r="AT166" s="49">
        <f>_xlfn.SINGLE(HP_2)*_xlfn.SINGLE(HM_ZD_Moho!CA_infl_index_HP)</f>
        <v>99.994477633122742</v>
      </c>
      <c r="AU166" s="49">
        <f>_xlfn.SINGLE(HP_2)*_xlfn.SINGLE(HM_ZD_Moho!CA_infl_index_HP)</f>
        <v>101.99436718578518</v>
      </c>
      <c r="AV166" s="49">
        <f>_xlfn.SINGLE(HP_2)*_xlfn.SINGLE(HM_ZD_Moho!CA_infl_index_HP)</f>
        <v>104.0342545295009</v>
      </c>
      <c r="AW166" s="49">
        <f>_xlfn.SINGLE(HP_2)*_xlfn.SINGLE(HM_ZD_Moho!CA_infl_index_HP)</f>
        <v>106.11493962009094</v>
      </c>
      <c r="AX166" s="49">
        <f>_xlfn.SINGLE(HP_2)*_xlfn.SINGLE(HM_ZD_Moho!CA_infl_index_HP)</f>
        <v>108.23723841249272</v>
      </c>
      <c r="AY166" s="49">
        <f>_xlfn.SINGLE(HP_2)*_xlfn.SINGLE(HM_ZD_Moho!CA_infl_index_HP)</f>
        <v>110.40198318074259</v>
      </c>
      <c r="AZ166" s="49">
        <f>_xlfn.SINGLE(HP_2)*_xlfn.SINGLE(HM_ZD_Moho!CA_infl_index_HP)</f>
        <v>112.61002284435745</v>
      </c>
      <c r="BA166" s="49">
        <f>_xlfn.SINGLE(HP_2)*_xlfn.SINGLE(HM_ZD_Moho!CA_infl_index_HP)</f>
        <v>114.86222330124458</v>
      </c>
      <c r="BB166" s="49">
        <f>_xlfn.SINGLE(HP_2)*_xlfn.SINGLE(HM_ZD_Moho!CA_infl_index_HP)</f>
        <v>117.15946776726946</v>
      </c>
      <c r="BC166" s="49">
        <f>_xlfn.SINGLE(HP_2)*_xlfn.SINGLE(HM_ZD_Moho!CA_infl_index_HP)</f>
        <v>119.50265712261488</v>
      </c>
      <c r="BD166" s="49">
        <f>_xlfn.SINGLE(HP_2)*_xlfn.SINGLE(HM_ZD_Moho!CA_infl_index_HP)</f>
        <v>121.89271026506717</v>
      </c>
      <c r="BE166" s="49">
        <f>_xlfn.SINGLE(HP_2)*_xlfn.SINGLE(HM_ZD_Moho!CA_infl_index_HP)</f>
        <v>124.33056447036851</v>
      </c>
      <c r="BF166" s="49">
        <f>_xlfn.SINGLE(HP_2)*_xlfn.SINGLE(HM_ZD_Moho!CA_infl_index_HP)</f>
        <v>126.81717575977585</v>
      </c>
      <c r="BG166" s="49">
        <f>_xlfn.SINGLE(HP_2)*_xlfn.SINGLE(HM_ZD_Moho!CA_infl_index_HP)</f>
        <v>129.35351927497138</v>
      </c>
      <c r="BH166" s="49">
        <f>_xlfn.SINGLE(HP_2)*_xlfn.SINGLE(HM_ZD_Moho!CA_infl_index_HP)</f>
        <v>131.94058966047081</v>
      </c>
      <c r="BI166" s="49">
        <f>_xlfn.SINGLE(HP_2)*_xlfn.SINGLE(HM_ZD_Moho!CA_infl_index_HP)</f>
        <v>134.57940145368025</v>
      </c>
      <c r="BJ166" s="49">
        <f>_xlfn.SINGLE(HP_2)*_xlfn.SINGLE(HM_ZD_Moho!CA_infl_index_HP)</f>
        <v>137.27098948275383</v>
      </c>
      <c r="BK166" s="49">
        <f>_xlfn.SINGLE(HP_2)*_xlfn.SINGLE(HM_ZD_Moho!CA_infl_index_HP)</f>
        <v>140.01640927240894</v>
      </c>
      <c r="BL166" s="49">
        <f>_xlfn.SINGLE(HP_2)*_xlfn.SINGLE(HM_ZD_Moho!CA_infl_index_HP)</f>
        <v>142.81673745785707</v>
      </c>
      <c r="BM166" s="49">
        <f>_xlfn.SINGLE(HP_2)*_xlfn.SINGLE(HM_ZD_Moho!CA_infl_index_HP)</f>
        <v>145.67307220701423</v>
      </c>
      <c r="BN166" s="49">
        <f>_xlfn.SINGLE(HP_2)*_xlfn.SINGLE(HM_ZD_Moho!CA_infl_index_HP)</f>
        <v>148.5865336511545</v>
      </c>
      <c r="BO166" s="49">
        <f>_xlfn.SINGLE(HP_2)*_xlfn.SINGLE(HM_ZD_Moho!CA_infl_index_HP)</f>
        <v>151.55826432417757</v>
      </c>
      <c r="BP166" s="49">
        <f>_xlfn.SINGLE(HP_2)*_xlfn.SINGLE(HM_ZD_Moho!CA_infl_index_HP)</f>
        <v>154.58942961066114</v>
      </c>
      <c r="BQ166" s="49">
        <f>_xlfn.SINGLE(HP_2)*_xlfn.SINGLE(HM_ZD_Moho!CA_infl_index_HP)</f>
        <v>157.68121820287436</v>
      </c>
      <c r="BR166" s="49">
        <f>_xlfn.SINGLE(HP_2)*_xlfn.SINGLE(HM_ZD_Moho!CA_infl_index_HP)</f>
        <v>160.83484256693183</v>
      </c>
      <c r="BS166" s="49">
        <f>_xlfn.SINGLE(HP_2)*_xlfn.SINGLE(HM_ZD_Moho!CA_infl_index_HP)</f>
        <v>164.05153941827052</v>
      </c>
    </row>
    <row r="167" spans="1:71" outlineLevel="1" x14ac:dyDescent="0.2">
      <c r="J167" s="26"/>
      <c r="L167" s="55"/>
      <c r="M167" s="55"/>
      <c r="N167" s="55"/>
      <c r="O167" s="55"/>
      <c r="P167" s="55"/>
      <c r="Q167" s="55"/>
      <c r="R167" s="55"/>
      <c r="S167" s="55"/>
      <c r="T167" s="55"/>
      <c r="U167" s="55"/>
      <c r="V167" s="55"/>
      <c r="W167" s="55"/>
      <c r="X167" s="55"/>
      <c r="Y167" s="55"/>
      <c r="Z167" s="55"/>
      <c r="AA167" s="55"/>
      <c r="AB167" s="55"/>
      <c r="AC167" s="55"/>
      <c r="AD167" s="55"/>
      <c r="AE167" s="55"/>
      <c r="AF167" s="55"/>
      <c r="AG167" s="55"/>
      <c r="AH167" s="55"/>
      <c r="AI167" s="55"/>
      <c r="AJ167" s="55"/>
      <c r="AK167" s="55"/>
      <c r="AL167" s="55"/>
      <c r="AM167" s="55"/>
      <c r="AN167" s="55"/>
      <c r="AO167" s="55"/>
      <c r="AP167" s="55"/>
      <c r="AQ167" s="55"/>
      <c r="AR167" s="55"/>
      <c r="AS167" s="55"/>
      <c r="AT167" s="55"/>
      <c r="AU167" s="55"/>
      <c r="AV167" s="55"/>
      <c r="AW167" s="55"/>
      <c r="AX167" s="55"/>
      <c r="AY167" s="55"/>
      <c r="AZ167" s="55"/>
      <c r="BA167" s="55"/>
      <c r="BB167" s="55"/>
      <c r="BC167" s="55"/>
      <c r="BD167" s="55"/>
      <c r="BE167" s="55"/>
      <c r="BF167" s="55"/>
      <c r="BG167" s="55"/>
      <c r="BH167" s="55"/>
      <c r="BI167" s="55"/>
      <c r="BJ167" s="55"/>
      <c r="BK167" s="55"/>
      <c r="BL167" s="55"/>
      <c r="BM167" s="55"/>
      <c r="BN167" s="55"/>
      <c r="BO167" s="55"/>
      <c r="BP167" s="55"/>
      <c r="BQ167" s="55"/>
      <c r="BR167" s="55"/>
      <c r="BS167" s="55"/>
    </row>
    <row r="168" spans="1:71" outlineLevel="1" x14ac:dyDescent="0.2">
      <c r="D168" t="str">
        <f>CHOOSE(db_ML_selected,'Liste Traduction'!B448,'Liste Traduction'!C448)</f>
        <v>Prix du pétrole (nominal) pour le Cost Stop</v>
      </c>
      <c r="J168" s="26" t="s">
        <v>46</v>
      </c>
      <c r="K168" s="7" t="s">
        <v>426</v>
      </c>
      <c r="L168" s="49">
        <f>IF(L$4&gt;=YEAR(effective_date_AM_4_AM_6),INDEX(FA_CS_HP,2)*[0]!CA_infl_index_HP_CS,0)</f>
        <v>80</v>
      </c>
      <c r="M168" s="49">
        <f>IF(M$4&gt;=YEAR(effective_date_AM_4_AM_6),INDEX(FA_CS_HP,2)*[0]!CA_infl_index_HP_CS,0)</f>
        <v>80</v>
      </c>
      <c r="N168" s="49">
        <f>IF(N$4&gt;=YEAR(effective_date_AM_4_AM_6),INDEX(FA_CS_HP,2)*[0]!CA_infl_index_HP_CS,0)</f>
        <v>80</v>
      </c>
      <c r="O168" s="49">
        <f>IF(O$4&gt;=YEAR(effective_date_AM_4_AM_6),INDEX(FA_CS_HP,2)*[0]!CA_infl_index_HP_CS,0)</f>
        <v>80</v>
      </c>
      <c r="P168" s="49">
        <f>IF(P$4&gt;=YEAR(effective_date_AM_4_AM_6),INDEX(FA_CS_HP,2)*[0]!CA_infl_index_HP_CS,0)</f>
        <v>80</v>
      </c>
      <c r="Q168" s="49">
        <f>IF(Q$4&gt;=YEAR(effective_date_AM_4_AM_6),INDEX(FA_CS_HP,2)*[0]!CA_infl_index_HP_CS,0)</f>
        <v>80</v>
      </c>
      <c r="R168" s="49">
        <f>IF(R$4&gt;=YEAR(effective_date_AM_4_AM_6),INDEX(FA_CS_HP,2)*[0]!CA_infl_index_HP_CS,0)</f>
        <v>80</v>
      </c>
      <c r="S168" s="49">
        <f>IF(S$4&gt;=YEAR(effective_date_AM_4_AM_6),INDEX(FA_CS_HP,2)*[0]!CA_infl_index_HP_CS,0)</f>
        <v>81.599999999999994</v>
      </c>
      <c r="T168" s="49">
        <f>IF(T$4&gt;=YEAR(effective_date_AM_4_AM_6),INDEX(FA_CS_HP,2)*[0]!CA_infl_index_HP_CS,0)</f>
        <v>83.231999999999999</v>
      </c>
      <c r="U168" s="49">
        <f>IF(U$4&gt;=YEAR(effective_date_AM_4_AM_6),INDEX(FA_CS_HP,2)*[0]!CA_infl_index_HP_CS,0)</f>
        <v>84.896639999999991</v>
      </c>
      <c r="V168" s="49">
        <f>IF(V$4&gt;=YEAR(effective_date_AM_4_AM_6),INDEX(FA_CS_HP,2)*[0]!CA_infl_index_HP_CS,0)</f>
        <v>86.594572799999995</v>
      </c>
      <c r="W168" s="49">
        <f>IF(W$4&gt;=YEAR(effective_date_AM_4_AM_6),INDEX(FA_CS_HP,2)*[0]!CA_infl_index_HP_CS,0)</f>
        <v>88.326464256000008</v>
      </c>
      <c r="X168" s="49">
        <f>IF(X$4&gt;=YEAR(effective_date_AM_4_AM_6),INDEX(FA_CS_HP,2)*[0]!CA_infl_index_HP_CS,0)</f>
        <v>90.092993541120009</v>
      </c>
      <c r="Y168" s="49">
        <f>IF(Y$4&gt;=YEAR(effective_date_AM_4_AM_6),INDEX(FA_CS_HP,2)*[0]!CA_infl_index_HP_CS,0)</f>
        <v>91.894853411942393</v>
      </c>
      <c r="Z168" s="49">
        <f>IF(Z$4&gt;=YEAR(effective_date_AM_4_AM_6),INDEX(FA_CS_HP,2)*[0]!CA_infl_index_HP_CS,0)</f>
        <v>93.732750480181238</v>
      </c>
      <c r="AA168" s="49">
        <f>IF(AA$4&gt;=YEAR(effective_date_AM_4_AM_6),INDEX(FA_CS_HP,2)*[0]!CA_infl_index_HP_CS,0)</f>
        <v>95.607405489784867</v>
      </c>
      <c r="AB168" s="49">
        <f>IF(AB$4&gt;=YEAR(effective_date_AM_4_AM_6),INDEX(FA_CS_HP,2)*[0]!CA_infl_index_HP_CS,0)</f>
        <v>97.519553599580576</v>
      </c>
      <c r="AC168" s="49">
        <f>IF(AC$4&gt;=YEAR(effective_date_AM_4_AM_6),INDEX(FA_CS_HP,2)*[0]!CA_infl_index_HP_CS,0)</f>
        <v>99.469944671572165</v>
      </c>
      <c r="AD168" s="49">
        <f>IF(AD$4&gt;=YEAR(effective_date_AM_4_AM_6),INDEX(FA_CS_HP,2)*[0]!CA_infl_index_HP_CS,0)</f>
        <v>101.45934356500362</v>
      </c>
      <c r="AE168" s="49">
        <f>IF(AE$4&gt;=YEAR(effective_date_AM_4_AM_6),INDEX(FA_CS_HP,2)*[0]!CA_infl_index_HP_CS,0)</f>
        <v>103.48853043630369</v>
      </c>
      <c r="AF168" s="49">
        <f>IF(AF$4&gt;=YEAR(effective_date_AM_4_AM_6),INDEX(FA_CS_HP,2)*[0]!CA_infl_index_HP_CS,0)</f>
        <v>105.55830104502976</v>
      </c>
      <c r="AG168" s="49">
        <f>IF(AG$4&gt;=YEAR(effective_date_AM_4_AM_6),INDEX(FA_CS_HP,2)*[0]!CA_infl_index_HP_CS,0)</f>
        <v>107.66946706593033</v>
      </c>
      <c r="AH168" s="49">
        <f>IF(AH$4&gt;=YEAR(effective_date_AM_4_AM_6),INDEX(FA_CS_HP,2)*[0]!CA_infl_index_HP_CS,0)</f>
        <v>109.82285640724896</v>
      </c>
      <c r="AI168" s="49">
        <f>IF(AI$4&gt;=YEAR(effective_date_AM_4_AM_6),INDEX(FA_CS_HP,2)*[0]!CA_infl_index_HP_CS,0)</f>
        <v>112.01931353539395</v>
      </c>
      <c r="AJ168" s="49">
        <f>IF(AJ$4&gt;=YEAR(effective_date_AM_4_AM_6),INDEX(FA_CS_HP,2)*[0]!CA_infl_index_HP_CS,0)</f>
        <v>114.25969980610182</v>
      </c>
      <c r="AK168" s="49">
        <f>IF(AK$4&gt;=YEAR(effective_date_AM_4_AM_6),INDEX(FA_CS_HP,2)*[0]!CA_infl_index_HP_CS,0)</f>
        <v>116.54489380222385</v>
      </c>
      <c r="AL168" s="49">
        <f>IF(AL$4&gt;=YEAR(effective_date_AM_4_AM_6),INDEX(FA_CS_HP,2)*[0]!CA_infl_index_HP_CS,0)</f>
        <v>118.87579167826834</v>
      </c>
      <c r="AM168" s="49">
        <f>IF(AM$4&gt;=YEAR(effective_date_AM_4_AM_6),INDEX(FA_CS_HP,2)*[0]!CA_infl_index_HP_CS,0)</f>
        <v>121.2533075118337</v>
      </c>
      <c r="AN168" s="49">
        <f>IF(AN$4&gt;=YEAR(effective_date_AM_4_AM_6),INDEX(FA_CS_HP,2)*[0]!CA_infl_index_HP_CS,0)</f>
        <v>123.67837366207038</v>
      </c>
      <c r="AO168" s="49">
        <f>IF(AO$4&gt;=YEAR(effective_date_AM_4_AM_6),INDEX(FA_CS_HP,2)*[0]!CA_infl_index_HP_CS,0)</f>
        <v>126.15194113531176</v>
      </c>
      <c r="AP168" s="49">
        <f>IF(AP$4&gt;=YEAR(effective_date_AM_4_AM_6),INDEX(FA_CS_HP,2)*[0]!CA_infl_index_HP_CS,0)</f>
        <v>128.67497995801801</v>
      </c>
      <c r="AQ168" s="49">
        <f>IF(AQ$4&gt;=YEAR(effective_date_AM_4_AM_6),INDEX(FA_CS_HP,2)*[0]!CA_infl_index_HP_CS,0)</f>
        <v>131.24847955717837</v>
      </c>
      <c r="AR168" s="49">
        <f>IF(AR$4&gt;=YEAR(effective_date_AM_4_AM_6),INDEX(FA_CS_HP,2)*[0]!CA_infl_index_HP_CS,0)</f>
        <v>133.87344914832195</v>
      </c>
      <c r="AS168" s="49">
        <f>IF(AS$4&gt;=YEAR(effective_date_AM_4_AM_6),INDEX(FA_CS_HP,2)*[0]!CA_infl_index_HP_CS,0)</f>
        <v>136.55091813128837</v>
      </c>
      <c r="AT168" s="49">
        <f>IF(AT$4&gt;=YEAR(effective_date_AM_4_AM_6),INDEX(FA_CS_HP,2)*[0]!CA_infl_index_HP_CS,0)</f>
        <v>139.28193649391415</v>
      </c>
      <c r="AU168" s="49">
        <f>IF(AU$4&gt;=YEAR(effective_date_AM_4_AM_6),INDEX(FA_CS_HP,2)*[0]!CA_infl_index_HP_CS,0)</f>
        <v>142.0675752237924</v>
      </c>
      <c r="AV168" s="49">
        <f>IF(AV$4&gt;=YEAR(effective_date_AM_4_AM_6),INDEX(FA_CS_HP,2)*[0]!CA_infl_index_HP_CS,0)</f>
        <v>144.90892672826828</v>
      </c>
      <c r="AW168" s="49">
        <f>IF(AW$4&gt;=YEAR(effective_date_AM_4_AM_6),INDEX(FA_CS_HP,2)*[0]!CA_infl_index_HP_CS,0)</f>
        <v>147.8071052628336</v>
      </c>
      <c r="AX168" s="49">
        <f>IF(AX$4&gt;=YEAR(effective_date_AM_4_AM_6),INDEX(FA_CS_HP,2)*[0]!CA_infl_index_HP_CS,0)</f>
        <v>150.7632473680903</v>
      </c>
      <c r="AY168" s="49">
        <f>IF(AY$4&gt;=YEAR(effective_date_AM_4_AM_6),INDEX(FA_CS_HP,2)*[0]!CA_infl_index_HP_CS,0)</f>
        <v>153.77851231545213</v>
      </c>
      <c r="AZ168" s="49">
        <f>IF(AZ$4&gt;=YEAR(effective_date_AM_4_AM_6),INDEX(FA_CS_HP,2)*[0]!CA_infl_index_HP_CS,0)</f>
        <v>156.85408256176115</v>
      </c>
      <c r="BA168" s="49">
        <f>IF(BA$4&gt;=YEAR(effective_date_AM_4_AM_6),INDEX(FA_CS_HP,2)*[0]!CA_infl_index_HP_CS,0)</f>
        <v>159.99116421299638</v>
      </c>
      <c r="BB168" s="49">
        <f>IF(BB$4&gt;=YEAR(effective_date_AM_4_AM_6),INDEX(FA_CS_HP,2)*[0]!CA_infl_index_HP_CS,0)</f>
        <v>163.19098749725629</v>
      </c>
      <c r="BC168" s="49">
        <f>IF(BC$4&gt;=YEAR(effective_date_AM_4_AM_6),INDEX(FA_CS_HP,2)*[0]!CA_infl_index_HP_CS,0)</f>
        <v>166.45480724720144</v>
      </c>
      <c r="BD168" s="49">
        <f>IF(BD$4&gt;=YEAR(effective_date_AM_4_AM_6),INDEX(FA_CS_HP,2)*[0]!CA_infl_index_HP_CS,0)</f>
        <v>169.78390339214548</v>
      </c>
      <c r="BE168" s="49">
        <f>IF(BE$4&gt;=YEAR(effective_date_AM_4_AM_6),INDEX(FA_CS_HP,2)*[0]!CA_infl_index_HP_CS,0)</f>
        <v>173.17958145998833</v>
      </c>
      <c r="BF168" s="49">
        <f>IF(BF$4&gt;=YEAR(effective_date_AM_4_AM_6),INDEX(FA_CS_HP,2)*[0]!CA_infl_index_HP_CS,0)</f>
        <v>176.64317308918814</v>
      </c>
      <c r="BG168" s="49">
        <f>IF(BG$4&gt;=YEAR(effective_date_AM_4_AM_6),INDEX(FA_CS_HP,2)*[0]!CA_infl_index_HP_CS,0)</f>
        <v>180.1760365509719</v>
      </c>
      <c r="BH168" s="49">
        <f>IF(BH$4&gt;=YEAR(effective_date_AM_4_AM_6),INDEX(FA_CS_HP,2)*[0]!CA_infl_index_HP_CS,0)</f>
        <v>183.77955728199134</v>
      </c>
      <c r="BI168" s="49">
        <f>IF(BI$4&gt;=YEAR(effective_date_AM_4_AM_6),INDEX(FA_CS_HP,2)*[0]!CA_infl_index_HP_CS,0)</f>
        <v>187.45514842763114</v>
      </c>
      <c r="BJ168" s="49">
        <f>IF(BJ$4&gt;=YEAR(effective_date_AM_4_AM_6),INDEX(FA_CS_HP,2)*[0]!CA_infl_index_HP_CS,0)</f>
        <v>191.20425139618379</v>
      </c>
      <c r="BK168" s="49">
        <f>IF(BK$4&gt;=YEAR(effective_date_AM_4_AM_6),INDEX(FA_CS_HP,2)*[0]!CA_infl_index_HP_CS,0)</f>
        <v>195.02833642410747</v>
      </c>
      <c r="BL168" s="49">
        <f>IF(BL$4&gt;=YEAR(effective_date_AM_4_AM_6),INDEX(FA_CS_HP,2)*[0]!CA_infl_index_HP_CS,0)</f>
        <v>198.92890315258964</v>
      </c>
      <c r="BM168" s="49">
        <f>IF(BM$4&gt;=YEAR(effective_date_AM_4_AM_6),INDEX(FA_CS_HP,2)*[0]!CA_infl_index_HP_CS,0)</f>
        <v>202.90748121564135</v>
      </c>
      <c r="BN168" s="49">
        <f>IF(BN$4&gt;=YEAR(effective_date_AM_4_AM_6),INDEX(FA_CS_HP,2)*[0]!CA_infl_index_HP_CS,0)</f>
        <v>206.9656308399542</v>
      </c>
      <c r="BO168" s="49">
        <f>IF(BO$4&gt;=YEAR(effective_date_AM_4_AM_6),INDEX(FA_CS_HP,2)*[0]!CA_infl_index_HP_CS,0)</f>
        <v>211.10494345675332</v>
      </c>
      <c r="BP168" s="49">
        <f>IF(BP$4&gt;=YEAR(effective_date_AM_4_AM_6),INDEX(FA_CS_HP,2)*[0]!CA_infl_index_HP_CS,0)</f>
        <v>215.32704232588839</v>
      </c>
      <c r="BQ168" s="49">
        <f>IF(BQ$4&gt;=YEAR(effective_date_AM_4_AM_6),INDEX(FA_CS_HP,2)*[0]!CA_infl_index_HP_CS,0)</f>
        <v>219.63358317240613</v>
      </c>
      <c r="BR168" s="49">
        <f>IF(BR$4&gt;=YEAR(effective_date_AM_4_AM_6),INDEX(FA_CS_HP,2)*[0]!CA_infl_index_HP_CS,0)</f>
        <v>224.02625483585427</v>
      </c>
      <c r="BS168" s="49">
        <f>IF(BS$4&gt;=YEAR(effective_date_AM_4_AM_6),INDEX(FA_CS_HP,2)*[0]!CA_infl_index_HP_CS,0)</f>
        <v>228.50677993257133</v>
      </c>
    </row>
    <row r="169" spans="1:71" outlineLevel="1" x14ac:dyDescent="0.2">
      <c r="J169" s="26"/>
      <c r="L169" s="55"/>
      <c r="M169" s="55"/>
      <c r="N169" s="55"/>
      <c r="O169" s="55"/>
      <c r="P169" s="55"/>
      <c r="Q169" s="55"/>
      <c r="R169" s="55"/>
      <c r="S169" s="55"/>
      <c r="T169" s="55"/>
      <c r="U169" s="55"/>
      <c r="V169" s="55"/>
      <c r="W169" s="55"/>
      <c r="X169" s="55"/>
      <c r="Y169" s="55"/>
      <c r="Z169" s="55"/>
      <c r="AA169" s="55"/>
      <c r="AB169" s="55"/>
      <c r="AC169" s="55"/>
      <c r="AD169" s="55"/>
      <c r="AE169" s="55"/>
      <c r="AF169" s="55"/>
      <c r="AG169" s="55"/>
      <c r="AH169" s="55"/>
      <c r="AI169" s="55"/>
      <c r="AJ169" s="55"/>
      <c r="AK169" s="55"/>
      <c r="AL169" s="55"/>
      <c r="AM169" s="55"/>
      <c r="AN169" s="55"/>
      <c r="AO169" s="55"/>
      <c r="AP169" s="55"/>
      <c r="AQ169" s="55"/>
      <c r="AR169" s="55"/>
      <c r="AS169" s="55"/>
      <c r="AT169" s="55"/>
      <c r="AU169" s="55"/>
      <c r="AV169" s="55"/>
      <c r="AW169" s="55"/>
      <c r="AX169" s="55"/>
      <c r="AY169" s="55"/>
      <c r="AZ169" s="55"/>
      <c r="BA169" s="55"/>
      <c r="BB169" s="55"/>
      <c r="BC169" s="55"/>
      <c r="BD169" s="55"/>
      <c r="BE169" s="55"/>
      <c r="BF169" s="55"/>
      <c r="BG169" s="55"/>
      <c r="BH169" s="55"/>
      <c r="BI169" s="55"/>
      <c r="BJ169" s="55"/>
      <c r="BK169" s="55"/>
      <c r="BL169" s="55"/>
      <c r="BM169" s="55"/>
      <c r="BN169" s="55"/>
      <c r="BO169" s="55"/>
      <c r="BP169" s="55"/>
      <c r="BQ169" s="55"/>
      <c r="BR169" s="55"/>
      <c r="BS169" s="55"/>
    </row>
    <row r="170" spans="1:71" outlineLevel="1" x14ac:dyDescent="0.2">
      <c r="D170" t="str">
        <f>CHOOSE(db_ML_selected,'Liste Traduction'!B449,'Liste Traduction'!C449)</f>
        <v>Indice d'inflation pour le PH</v>
      </c>
      <c r="J170" s="26"/>
      <c r="K170" s="7" t="s">
        <v>425</v>
      </c>
      <c r="L170" s="49">
        <f t="shared" ref="L170:AQ170" si="140">IF(L$4&lt;=YEAR(effective_date_AM_4_AM_6),1,(1+input_US_inflation_perc)^(L$4-YEAR(effective_date_AM_4_AM_6)))</f>
        <v>1.02</v>
      </c>
      <c r="M170" s="49">
        <f t="shared" si="140"/>
        <v>1.0404</v>
      </c>
      <c r="N170" s="49">
        <f t="shared" si="140"/>
        <v>1.0612079999999999</v>
      </c>
      <c r="O170" s="49">
        <f t="shared" si="140"/>
        <v>1.08243216</v>
      </c>
      <c r="P170" s="49">
        <f t="shared" si="140"/>
        <v>1.1040808032</v>
      </c>
      <c r="Q170" s="49">
        <f t="shared" si="140"/>
        <v>1.1261624192640001</v>
      </c>
      <c r="R170" s="49">
        <f t="shared" si="140"/>
        <v>1.1486856676492798</v>
      </c>
      <c r="S170" s="49">
        <f t="shared" si="140"/>
        <v>1.1716593810022655</v>
      </c>
      <c r="T170" s="49">
        <f t="shared" si="140"/>
        <v>1.1950925686223108</v>
      </c>
      <c r="U170" s="49">
        <f t="shared" si="140"/>
        <v>1.2189944199947571</v>
      </c>
      <c r="V170" s="49">
        <f t="shared" si="140"/>
        <v>1.243374308394652</v>
      </c>
      <c r="W170" s="49">
        <f t="shared" si="140"/>
        <v>1.2682417945625453</v>
      </c>
      <c r="X170" s="49">
        <f t="shared" si="140"/>
        <v>1.2936066304537961</v>
      </c>
      <c r="Y170" s="49">
        <f t="shared" si="140"/>
        <v>1.3194787630628722</v>
      </c>
      <c r="Z170" s="49">
        <f t="shared" si="140"/>
        <v>1.3458683383241292</v>
      </c>
      <c r="AA170" s="49">
        <f t="shared" si="140"/>
        <v>1.372785705090612</v>
      </c>
      <c r="AB170" s="49">
        <f t="shared" si="140"/>
        <v>1.4002414191924244</v>
      </c>
      <c r="AC170" s="49">
        <f t="shared" si="140"/>
        <v>1.4282462475762727</v>
      </c>
      <c r="AD170" s="49">
        <f t="shared" si="140"/>
        <v>1.4568111725277981</v>
      </c>
      <c r="AE170" s="49">
        <f t="shared" si="140"/>
        <v>1.4859473959783542</v>
      </c>
      <c r="AF170" s="49">
        <f t="shared" si="140"/>
        <v>1.5156663438979212</v>
      </c>
      <c r="AG170" s="49">
        <f t="shared" si="140"/>
        <v>1.5459796707758797</v>
      </c>
      <c r="AH170" s="49">
        <f t="shared" si="140"/>
        <v>1.576899264191397</v>
      </c>
      <c r="AI170" s="49">
        <f t="shared" si="140"/>
        <v>1.608437249475225</v>
      </c>
      <c r="AJ170" s="49">
        <f t="shared" si="140"/>
        <v>1.6406059944647295</v>
      </c>
      <c r="AK170" s="49">
        <f t="shared" si="140"/>
        <v>1.6734181143540243</v>
      </c>
      <c r="AL170" s="49">
        <f t="shared" si="140"/>
        <v>1.7068864766411045</v>
      </c>
      <c r="AM170" s="49">
        <f t="shared" si="140"/>
        <v>1.7410242061739269</v>
      </c>
      <c r="AN170" s="49">
        <f t="shared" si="140"/>
        <v>1.7758446902974052</v>
      </c>
      <c r="AO170" s="49">
        <f t="shared" si="140"/>
        <v>1.8113615841033535</v>
      </c>
      <c r="AP170" s="49">
        <f t="shared" si="140"/>
        <v>1.8475888157854201</v>
      </c>
      <c r="AQ170" s="49">
        <f t="shared" si="140"/>
        <v>1.8845405921011289</v>
      </c>
      <c r="AR170" s="49">
        <f t="shared" ref="AR170:BS170" si="141">IF(AR$4&lt;=YEAR(effective_date_AM_4_AM_6),1,(1+input_US_inflation_perc)^(AR$4-YEAR(effective_date_AM_4_AM_6)))</f>
        <v>1.9222314039431516</v>
      </c>
      <c r="AS170" s="49">
        <f t="shared" si="141"/>
        <v>1.9606760320220145</v>
      </c>
      <c r="AT170" s="49">
        <f t="shared" si="141"/>
        <v>1.9998895526624547</v>
      </c>
      <c r="AU170" s="49">
        <f t="shared" si="141"/>
        <v>2.0398873437157037</v>
      </c>
      <c r="AV170" s="49">
        <f t="shared" si="141"/>
        <v>2.080685090590018</v>
      </c>
      <c r="AW170" s="49">
        <f t="shared" si="141"/>
        <v>2.1222987924018186</v>
      </c>
      <c r="AX170" s="49">
        <f t="shared" si="141"/>
        <v>2.1647447682498542</v>
      </c>
      <c r="AY170" s="49">
        <f t="shared" si="141"/>
        <v>2.2080396636148518</v>
      </c>
      <c r="AZ170" s="49">
        <f t="shared" si="141"/>
        <v>2.2522004568871488</v>
      </c>
      <c r="BA170" s="49">
        <f t="shared" si="141"/>
        <v>2.2972444660248916</v>
      </c>
      <c r="BB170" s="49">
        <f t="shared" si="141"/>
        <v>2.3431893553453893</v>
      </c>
      <c r="BC170" s="49">
        <f t="shared" si="141"/>
        <v>2.3900531424522975</v>
      </c>
      <c r="BD170" s="49">
        <f t="shared" si="141"/>
        <v>2.4378542053013432</v>
      </c>
      <c r="BE170" s="49">
        <f t="shared" si="141"/>
        <v>2.4866112894073704</v>
      </c>
      <c r="BF170" s="49">
        <f t="shared" si="141"/>
        <v>2.5363435151955169</v>
      </c>
      <c r="BG170" s="49">
        <f t="shared" si="141"/>
        <v>2.5870703854994277</v>
      </c>
      <c r="BH170" s="49">
        <f t="shared" si="141"/>
        <v>2.6388117932094164</v>
      </c>
      <c r="BI170" s="49">
        <f t="shared" si="141"/>
        <v>2.6915880290736047</v>
      </c>
      <c r="BJ170" s="49">
        <f t="shared" si="141"/>
        <v>2.7454197896550765</v>
      </c>
      <c r="BK170" s="49">
        <f t="shared" si="141"/>
        <v>2.8003281854481785</v>
      </c>
      <c r="BL170" s="49">
        <f t="shared" si="141"/>
        <v>2.8563347491571416</v>
      </c>
      <c r="BM170" s="49">
        <f t="shared" si="141"/>
        <v>2.9134614441402849</v>
      </c>
      <c r="BN170" s="49">
        <f t="shared" si="141"/>
        <v>2.9717306730230897</v>
      </c>
      <c r="BO170" s="49">
        <f t="shared" si="141"/>
        <v>3.0311652864835517</v>
      </c>
      <c r="BP170" s="49">
        <f t="shared" si="141"/>
        <v>3.0917885922132227</v>
      </c>
      <c r="BQ170" s="49">
        <f t="shared" si="141"/>
        <v>3.1536243640574875</v>
      </c>
      <c r="BR170" s="49">
        <f t="shared" si="141"/>
        <v>3.2166968513386367</v>
      </c>
      <c r="BS170" s="49">
        <f t="shared" si="141"/>
        <v>3.2810307883654102</v>
      </c>
    </row>
    <row r="171" spans="1:71" outlineLevel="1" x14ac:dyDescent="0.2">
      <c r="J171" s="26"/>
      <c r="L171" s="55"/>
      <c r="M171" s="55"/>
      <c r="N171" s="55"/>
      <c r="O171" s="55"/>
      <c r="P171" s="55"/>
      <c r="Q171" s="55"/>
      <c r="R171" s="55"/>
      <c r="S171" s="55"/>
      <c r="T171" s="55"/>
      <c r="U171" s="55"/>
      <c r="V171" s="55"/>
      <c r="W171" s="55"/>
      <c r="X171" s="55"/>
      <c r="Y171" s="55"/>
      <c r="Z171" s="55"/>
      <c r="AA171" s="55"/>
      <c r="AB171" s="55"/>
      <c r="AC171" s="55"/>
      <c r="AD171" s="55"/>
      <c r="AE171" s="55"/>
      <c r="AF171" s="55"/>
      <c r="AG171" s="55"/>
      <c r="AH171" s="55"/>
      <c r="AI171" s="55"/>
      <c r="AJ171" s="55"/>
      <c r="AK171" s="55"/>
      <c r="AL171" s="55"/>
      <c r="AM171" s="55"/>
      <c r="AN171" s="55"/>
      <c r="AO171" s="55"/>
      <c r="AP171" s="55"/>
      <c r="AQ171" s="55"/>
      <c r="AR171" s="55"/>
      <c r="AS171" s="55"/>
      <c r="AT171" s="55"/>
      <c r="AU171" s="55"/>
      <c r="AV171" s="55"/>
      <c r="AW171" s="55"/>
      <c r="AX171" s="55"/>
      <c r="AY171" s="55"/>
      <c r="AZ171" s="55"/>
      <c r="BA171" s="55"/>
      <c r="BB171" s="55"/>
      <c r="BC171" s="55"/>
      <c r="BD171" s="55"/>
      <c r="BE171" s="55"/>
      <c r="BF171" s="55"/>
      <c r="BG171" s="55"/>
      <c r="BH171" s="55"/>
      <c r="BI171" s="55"/>
      <c r="BJ171" s="55"/>
      <c r="BK171" s="55"/>
      <c r="BL171" s="55"/>
      <c r="BM171" s="55"/>
      <c r="BN171" s="55"/>
      <c r="BO171" s="55"/>
      <c r="BP171" s="55"/>
      <c r="BQ171" s="55"/>
      <c r="BR171" s="55"/>
      <c r="BS171" s="55"/>
    </row>
    <row r="172" spans="1:71" outlineLevel="1" x14ac:dyDescent="0.2">
      <c r="D172" t="str">
        <f>CHOOSE(db_ML_selected,'Liste Traduction'!B450,'Liste Traduction'!C450)</f>
        <v>Indice d'inflation pour le PH pour le Cost Stop</v>
      </c>
      <c r="J172" s="26"/>
      <c r="K172" s="7" t="s">
        <v>461</v>
      </c>
      <c r="L172" s="49">
        <f t="shared" ref="L172:AQ172" si="142">IF(L$4&lt;=CS_HP_infl_baseyear,1,(1+input_US_inflation_perc)^(L$4-CS_HP_infl_baseyear))</f>
        <v>1</v>
      </c>
      <c r="M172" s="49">
        <f t="shared" si="142"/>
        <v>1</v>
      </c>
      <c r="N172" s="49">
        <f t="shared" si="142"/>
        <v>1</v>
      </c>
      <c r="O172" s="49">
        <f t="shared" si="142"/>
        <v>1</v>
      </c>
      <c r="P172" s="49">
        <f t="shared" si="142"/>
        <v>1</v>
      </c>
      <c r="Q172" s="49">
        <f t="shared" si="142"/>
        <v>1</v>
      </c>
      <c r="R172" s="49">
        <f t="shared" si="142"/>
        <v>1</v>
      </c>
      <c r="S172" s="49">
        <f t="shared" si="142"/>
        <v>1.02</v>
      </c>
      <c r="T172" s="49">
        <f t="shared" si="142"/>
        <v>1.0404</v>
      </c>
      <c r="U172" s="49">
        <f t="shared" si="142"/>
        <v>1.0612079999999999</v>
      </c>
      <c r="V172" s="49">
        <f t="shared" si="142"/>
        <v>1.08243216</v>
      </c>
      <c r="W172" s="49">
        <f t="shared" si="142"/>
        <v>1.1040808032</v>
      </c>
      <c r="X172" s="49">
        <f t="shared" si="142"/>
        <v>1.1261624192640001</v>
      </c>
      <c r="Y172" s="49">
        <f t="shared" si="142"/>
        <v>1.1486856676492798</v>
      </c>
      <c r="Z172" s="49">
        <f t="shared" si="142"/>
        <v>1.1716593810022655</v>
      </c>
      <c r="AA172" s="49">
        <f t="shared" si="142"/>
        <v>1.1950925686223108</v>
      </c>
      <c r="AB172" s="49">
        <f t="shared" si="142"/>
        <v>1.2189944199947571</v>
      </c>
      <c r="AC172" s="49">
        <f t="shared" si="142"/>
        <v>1.243374308394652</v>
      </c>
      <c r="AD172" s="49">
        <f t="shared" si="142"/>
        <v>1.2682417945625453</v>
      </c>
      <c r="AE172" s="49">
        <f t="shared" si="142"/>
        <v>1.2936066304537961</v>
      </c>
      <c r="AF172" s="49">
        <f t="shared" si="142"/>
        <v>1.3194787630628722</v>
      </c>
      <c r="AG172" s="49">
        <f t="shared" si="142"/>
        <v>1.3458683383241292</v>
      </c>
      <c r="AH172" s="49">
        <f t="shared" si="142"/>
        <v>1.372785705090612</v>
      </c>
      <c r="AI172" s="49">
        <f t="shared" si="142"/>
        <v>1.4002414191924244</v>
      </c>
      <c r="AJ172" s="49">
        <f t="shared" si="142"/>
        <v>1.4282462475762727</v>
      </c>
      <c r="AK172" s="49">
        <f t="shared" si="142"/>
        <v>1.4568111725277981</v>
      </c>
      <c r="AL172" s="49">
        <f t="shared" si="142"/>
        <v>1.4859473959783542</v>
      </c>
      <c r="AM172" s="49">
        <f t="shared" si="142"/>
        <v>1.5156663438979212</v>
      </c>
      <c r="AN172" s="49">
        <f t="shared" si="142"/>
        <v>1.5459796707758797</v>
      </c>
      <c r="AO172" s="49">
        <f t="shared" si="142"/>
        <v>1.576899264191397</v>
      </c>
      <c r="AP172" s="49">
        <f t="shared" si="142"/>
        <v>1.608437249475225</v>
      </c>
      <c r="AQ172" s="49">
        <f t="shared" si="142"/>
        <v>1.6406059944647295</v>
      </c>
      <c r="AR172" s="49">
        <f t="shared" ref="AR172:BS172" si="143">IF(AR$4&lt;=CS_HP_infl_baseyear,1,(1+input_US_inflation_perc)^(AR$4-CS_HP_infl_baseyear))</f>
        <v>1.6734181143540243</v>
      </c>
      <c r="AS172" s="49">
        <f t="shared" si="143"/>
        <v>1.7068864766411045</v>
      </c>
      <c r="AT172" s="49">
        <f t="shared" si="143"/>
        <v>1.7410242061739269</v>
      </c>
      <c r="AU172" s="49">
        <f t="shared" si="143"/>
        <v>1.7758446902974052</v>
      </c>
      <c r="AV172" s="49">
        <f t="shared" si="143"/>
        <v>1.8113615841033535</v>
      </c>
      <c r="AW172" s="49">
        <f t="shared" si="143"/>
        <v>1.8475888157854201</v>
      </c>
      <c r="AX172" s="49">
        <f t="shared" si="143"/>
        <v>1.8845405921011289</v>
      </c>
      <c r="AY172" s="49">
        <f t="shared" si="143"/>
        <v>1.9222314039431516</v>
      </c>
      <c r="AZ172" s="49">
        <f t="shared" si="143"/>
        <v>1.9606760320220145</v>
      </c>
      <c r="BA172" s="49">
        <f t="shared" si="143"/>
        <v>1.9998895526624547</v>
      </c>
      <c r="BB172" s="49">
        <f t="shared" si="143"/>
        <v>2.0398873437157037</v>
      </c>
      <c r="BC172" s="49">
        <f t="shared" si="143"/>
        <v>2.080685090590018</v>
      </c>
      <c r="BD172" s="49">
        <f t="shared" si="143"/>
        <v>2.1222987924018186</v>
      </c>
      <c r="BE172" s="49">
        <f t="shared" si="143"/>
        <v>2.1647447682498542</v>
      </c>
      <c r="BF172" s="49">
        <f t="shared" si="143"/>
        <v>2.2080396636148518</v>
      </c>
      <c r="BG172" s="49">
        <f t="shared" si="143"/>
        <v>2.2522004568871488</v>
      </c>
      <c r="BH172" s="49">
        <f t="shared" si="143"/>
        <v>2.2972444660248916</v>
      </c>
      <c r="BI172" s="49">
        <f t="shared" si="143"/>
        <v>2.3431893553453893</v>
      </c>
      <c r="BJ172" s="49">
        <f t="shared" si="143"/>
        <v>2.3900531424522975</v>
      </c>
      <c r="BK172" s="49">
        <f t="shared" si="143"/>
        <v>2.4378542053013432</v>
      </c>
      <c r="BL172" s="49">
        <f t="shared" si="143"/>
        <v>2.4866112894073704</v>
      </c>
      <c r="BM172" s="49">
        <f t="shared" si="143"/>
        <v>2.5363435151955169</v>
      </c>
      <c r="BN172" s="49">
        <f t="shared" si="143"/>
        <v>2.5870703854994277</v>
      </c>
      <c r="BO172" s="49">
        <f t="shared" si="143"/>
        <v>2.6388117932094164</v>
      </c>
      <c r="BP172" s="49">
        <f t="shared" si="143"/>
        <v>2.6915880290736047</v>
      </c>
      <c r="BQ172" s="49">
        <f t="shared" si="143"/>
        <v>2.7454197896550765</v>
      </c>
      <c r="BR172" s="49">
        <f t="shared" si="143"/>
        <v>2.8003281854481785</v>
      </c>
      <c r="BS172" s="49">
        <f t="shared" si="143"/>
        <v>2.8563347491571416</v>
      </c>
    </row>
    <row r="173" spans="1:71" outlineLevel="1" x14ac:dyDescent="0.2">
      <c r="J173" s="26"/>
      <c r="L173" s="55"/>
      <c r="M173" s="55"/>
      <c r="N173" s="55"/>
      <c r="O173" s="55"/>
      <c r="P173" s="55"/>
      <c r="Q173" s="55"/>
      <c r="R173" s="55"/>
      <c r="S173" s="55"/>
      <c r="T173" s="55"/>
      <c r="U173" s="55"/>
      <c r="V173" s="55"/>
      <c r="W173" s="55"/>
      <c r="X173" s="55"/>
      <c r="Y173" s="55"/>
      <c r="Z173" s="55"/>
      <c r="AA173" s="55"/>
      <c r="AB173" s="55"/>
      <c r="AC173" s="55"/>
      <c r="AD173" s="55"/>
      <c r="AE173" s="55"/>
      <c r="AF173" s="55"/>
      <c r="AG173" s="55"/>
      <c r="AH173" s="55"/>
      <c r="AI173" s="55"/>
      <c r="AJ173" s="55"/>
      <c r="AK173" s="55"/>
      <c r="AL173" s="55"/>
      <c r="AM173" s="55"/>
      <c r="AN173" s="55"/>
      <c r="AO173" s="55"/>
      <c r="AP173" s="55"/>
      <c r="AQ173" s="55"/>
      <c r="AR173" s="55"/>
      <c r="AS173" s="55"/>
      <c r="AT173" s="55"/>
      <c r="AU173" s="55"/>
      <c r="AV173" s="55"/>
      <c r="AW173" s="55"/>
      <c r="AX173" s="55"/>
      <c r="AY173" s="55"/>
      <c r="AZ173" s="55"/>
      <c r="BA173" s="55"/>
      <c r="BB173" s="55"/>
      <c r="BC173" s="55"/>
      <c r="BD173" s="55"/>
      <c r="BE173" s="55"/>
      <c r="BF173" s="55"/>
      <c r="BG173" s="55"/>
      <c r="BH173" s="55"/>
      <c r="BI173" s="55"/>
      <c r="BJ173" s="55"/>
      <c r="BK173" s="55"/>
      <c r="BL173" s="55"/>
      <c r="BM173" s="55"/>
      <c r="BN173" s="55"/>
      <c r="BO173" s="55"/>
      <c r="BP173" s="55"/>
      <c r="BQ173" s="55"/>
      <c r="BR173" s="55"/>
      <c r="BS173" s="55"/>
    </row>
    <row r="174" spans="1:71" outlineLevel="1" x14ac:dyDescent="0.2">
      <c r="D174" t="str">
        <f>HM_ZB_Nsoko!D167</f>
        <v>PH effectif</v>
      </c>
      <c r="J174" s="26" t="s">
        <v>46</v>
      </c>
      <c r="K174" s="7" t="s">
        <v>722</v>
      </c>
      <c r="L174" s="49">
        <f t="shared" ref="L174:AQ174" ca="1" si="144">CA_HP_oil_nom_period1*(CA_period_trig=1)+CA_HP_oil_nom_period2*(CA_period_trig=2)</f>
        <v>27.028749999999999</v>
      </c>
      <c r="M174" s="49">
        <f t="shared" ca="1" si="144"/>
        <v>27.382999999999999</v>
      </c>
      <c r="N174" s="49">
        <f t="shared" ca="1" si="144"/>
        <v>27.72325</v>
      </c>
      <c r="O174" s="49">
        <f t="shared" ca="1" si="144"/>
        <v>28.14725</v>
      </c>
      <c r="P174" s="49">
        <f t="shared" ca="1" si="144"/>
        <v>97.840500000000006</v>
      </c>
      <c r="Q174" s="49">
        <f t="shared" ca="1" si="144"/>
        <v>100.089</v>
      </c>
      <c r="R174" s="49">
        <f t="shared" ca="1" si="144"/>
        <v>101.9695</v>
      </c>
      <c r="S174" s="49">
        <f t="shared" ca="1" si="144"/>
        <v>104.43</v>
      </c>
      <c r="T174" s="49">
        <f t="shared" ca="1" si="144"/>
        <v>107.55833117600798</v>
      </c>
      <c r="U174" s="49">
        <f t="shared" ca="1" si="144"/>
        <v>109.70949779952814</v>
      </c>
      <c r="V174" s="49">
        <f t="shared" ca="1" si="144"/>
        <v>111.90368775551867</v>
      </c>
      <c r="W174" s="49">
        <f t="shared" ca="1" si="144"/>
        <v>63.412089728127263</v>
      </c>
      <c r="X174" s="49">
        <f t="shared" ca="1" si="144"/>
        <v>64.680331522689798</v>
      </c>
      <c r="Y174" s="49">
        <f t="shared" ca="1" si="144"/>
        <v>65.973938153143607</v>
      </c>
      <c r="Z174" s="49">
        <f t="shared" ca="1" si="144"/>
        <v>67.293416916206468</v>
      </c>
      <c r="AA174" s="49">
        <f t="shared" ca="1" si="144"/>
        <v>68.639285254530606</v>
      </c>
      <c r="AB174" s="49">
        <f t="shared" ca="1" si="144"/>
        <v>70.012070959621227</v>
      </c>
      <c r="AC174" s="49">
        <f t="shared" ca="1" si="144"/>
        <v>71.412312378813638</v>
      </c>
      <c r="AD174" s="49">
        <f t="shared" ca="1" si="144"/>
        <v>72.840558626389907</v>
      </c>
      <c r="AE174" s="49">
        <f t="shared" ca="1" si="144"/>
        <v>74.297369798917714</v>
      </c>
      <c r="AF174" s="49">
        <f t="shared" ca="1" si="144"/>
        <v>75.783317194896057</v>
      </c>
      <c r="AG174" s="49">
        <f t="shared" ca="1" si="144"/>
        <v>77.298983538793991</v>
      </c>
      <c r="AH174" s="49">
        <f t="shared" ca="1" si="144"/>
        <v>78.844963209569855</v>
      </c>
      <c r="AI174" s="49">
        <f t="shared" ca="1" si="144"/>
        <v>80.421862473761252</v>
      </c>
      <c r="AJ174" s="49">
        <f t="shared" ca="1" si="144"/>
        <v>82.030299723236482</v>
      </c>
      <c r="AK174" s="49">
        <f t="shared" ca="1" si="144"/>
        <v>83.670905717701217</v>
      </c>
      <c r="AL174" s="49">
        <f t="shared" ca="1" si="144"/>
        <v>85.344323832055224</v>
      </c>
      <c r="AM174" s="49">
        <f t="shared" ca="1" si="144"/>
        <v>87.051210308696341</v>
      </c>
      <c r="AN174" s="49">
        <f t="shared" ca="1" si="144"/>
        <v>88.792234514870259</v>
      </c>
      <c r="AO174" s="49">
        <f t="shared" ca="1" si="144"/>
        <v>90.568079205167678</v>
      </c>
      <c r="AP174" s="49">
        <f t="shared" ca="1" si="144"/>
        <v>92.379440789271001</v>
      </c>
      <c r="AQ174" s="49">
        <f t="shared" ca="1" si="144"/>
        <v>94.227029605056444</v>
      </c>
      <c r="AR174" s="49">
        <f t="shared" ref="AR174:BS174" ca="1" si="145">CA_HP_oil_nom_period1*(CA_period_trig=1)+CA_HP_oil_nom_period2*(CA_period_trig=2)</f>
        <v>96.111570197157576</v>
      </c>
      <c r="AS174" s="49">
        <f t="shared" ca="1" si="145"/>
        <v>98.03380160110072</v>
      </c>
      <c r="AT174" s="49">
        <f t="shared" ca="1" si="145"/>
        <v>99.994477633122742</v>
      </c>
      <c r="AU174" s="49">
        <f t="shared" ca="1" si="145"/>
        <v>101.99436718578518</v>
      </c>
      <c r="AV174" s="49">
        <f t="shared" ca="1" si="145"/>
        <v>104.0342545295009</v>
      </c>
      <c r="AW174" s="49">
        <f t="shared" ca="1" si="145"/>
        <v>106.11493962009094</v>
      </c>
      <c r="AX174" s="49">
        <f t="shared" ca="1" si="145"/>
        <v>108.23723841249272</v>
      </c>
      <c r="AY174" s="49">
        <f t="shared" ca="1" si="145"/>
        <v>110.40198318074259</v>
      </c>
      <c r="AZ174" s="49">
        <f t="shared" ca="1" si="145"/>
        <v>112.61002284435745</v>
      </c>
      <c r="BA174" s="49">
        <f t="shared" ca="1" si="145"/>
        <v>114.86222330124458</v>
      </c>
      <c r="BB174" s="49">
        <f t="shared" ca="1" si="145"/>
        <v>117.15946776726946</v>
      </c>
      <c r="BC174" s="49">
        <f t="shared" ca="1" si="145"/>
        <v>119.50265712261488</v>
      </c>
      <c r="BD174" s="49">
        <f t="shared" ca="1" si="145"/>
        <v>121.89271026506717</v>
      </c>
      <c r="BE174" s="49">
        <f t="shared" ca="1" si="145"/>
        <v>124.33056447036851</v>
      </c>
      <c r="BF174" s="49">
        <f t="shared" ca="1" si="145"/>
        <v>126.81717575977585</v>
      </c>
      <c r="BG174" s="49">
        <f t="shared" ca="1" si="145"/>
        <v>129.35351927497138</v>
      </c>
      <c r="BH174" s="49">
        <f t="shared" ca="1" si="145"/>
        <v>131.94058966047081</v>
      </c>
      <c r="BI174" s="49">
        <f t="shared" ca="1" si="145"/>
        <v>134.57940145368025</v>
      </c>
      <c r="BJ174" s="49">
        <f t="shared" ca="1" si="145"/>
        <v>137.27098948275383</v>
      </c>
      <c r="BK174" s="49">
        <f t="shared" ca="1" si="145"/>
        <v>140.01640927240894</v>
      </c>
      <c r="BL174" s="49">
        <f t="shared" ca="1" si="145"/>
        <v>142.81673745785707</v>
      </c>
      <c r="BM174" s="49">
        <f t="shared" ca="1" si="145"/>
        <v>145.67307220701423</v>
      </c>
      <c r="BN174" s="49">
        <f t="shared" ca="1" si="145"/>
        <v>148.5865336511545</v>
      </c>
      <c r="BO174" s="49">
        <f t="shared" ca="1" si="145"/>
        <v>151.55826432417757</v>
      </c>
      <c r="BP174" s="49">
        <f t="shared" ca="1" si="145"/>
        <v>154.58942961066114</v>
      </c>
      <c r="BQ174" s="49">
        <f t="shared" ca="1" si="145"/>
        <v>157.68121820287436</v>
      </c>
      <c r="BR174" s="49">
        <f t="shared" ca="1" si="145"/>
        <v>160.83484256693183</v>
      </c>
      <c r="BS174" s="49">
        <f t="shared" ca="1" si="145"/>
        <v>164.05153941827052</v>
      </c>
    </row>
    <row r="175" spans="1:71" outlineLevel="1" x14ac:dyDescent="0.2">
      <c r="A175" s="45"/>
      <c r="B175" s="38" t="str">
        <f>HM_ZB_Nsoko!B169</f>
        <v>Revenus</v>
      </c>
      <c r="C175" s="45"/>
      <c r="D175" s="45"/>
      <c r="E175" s="45"/>
      <c r="J175" s="26"/>
      <c r="L175" s="55"/>
      <c r="M175" s="55"/>
      <c r="N175" s="55"/>
      <c r="O175" s="55"/>
      <c r="P175" s="55"/>
      <c r="Q175" s="55"/>
      <c r="R175" s="55"/>
      <c r="S175" s="55"/>
      <c r="T175" s="55"/>
      <c r="U175" s="55"/>
      <c r="V175" s="55"/>
      <c r="W175" s="55"/>
      <c r="X175" s="55"/>
      <c r="Y175" s="55"/>
      <c r="Z175" s="55"/>
      <c r="AA175" s="55"/>
      <c r="AB175" s="55"/>
      <c r="AC175" s="55"/>
      <c r="AD175" s="55"/>
      <c r="AE175" s="55"/>
      <c r="AF175" s="55"/>
      <c r="AG175" s="55"/>
      <c r="AH175" s="55"/>
      <c r="AI175" s="55"/>
      <c r="AJ175" s="55"/>
      <c r="AK175" s="55"/>
      <c r="AL175" s="55"/>
      <c r="AM175" s="55"/>
      <c r="AN175" s="55"/>
      <c r="AO175" s="55"/>
      <c r="AP175" s="55"/>
      <c r="AQ175" s="55"/>
      <c r="AR175" s="55"/>
      <c r="AS175" s="55"/>
      <c r="AT175" s="55"/>
      <c r="AU175" s="55"/>
      <c r="AV175" s="55"/>
      <c r="AW175" s="55"/>
      <c r="AX175" s="55"/>
      <c r="AY175" s="55"/>
      <c r="AZ175" s="55"/>
      <c r="BA175" s="55"/>
      <c r="BB175" s="55"/>
      <c r="BC175" s="55"/>
      <c r="BD175" s="55"/>
      <c r="BE175" s="55"/>
      <c r="BF175" s="55"/>
      <c r="BG175" s="55"/>
      <c r="BH175" s="55"/>
      <c r="BI175" s="55"/>
      <c r="BJ175" s="55"/>
      <c r="BK175" s="55"/>
      <c r="BL175" s="55"/>
      <c r="BM175" s="55"/>
      <c r="BN175" s="55"/>
      <c r="BO175" s="55"/>
      <c r="BP175" s="55"/>
      <c r="BQ175" s="55"/>
      <c r="BR175" s="55"/>
      <c r="BS175" s="55"/>
    </row>
    <row r="176" spans="1:71" outlineLevel="1" x14ac:dyDescent="0.2">
      <c r="J176" s="26"/>
      <c r="L176" s="55"/>
      <c r="M176" s="55"/>
      <c r="N176" s="55"/>
      <c r="O176" s="55"/>
      <c r="P176" s="55"/>
      <c r="Q176" s="55"/>
      <c r="R176" s="55"/>
      <c r="S176" s="55"/>
      <c r="T176" s="55"/>
      <c r="U176" s="55"/>
      <c r="V176" s="55"/>
      <c r="W176" s="55"/>
      <c r="X176" s="55"/>
      <c r="Y176" s="55"/>
      <c r="Z176" s="55"/>
      <c r="AA176" s="55"/>
      <c r="AB176" s="55"/>
      <c r="AC176" s="55"/>
      <c r="AD176" s="55"/>
      <c r="AE176" s="55"/>
      <c r="AF176" s="55"/>
      <c r="AG176" s="55"/>
      <c r="AH176" s="55"/>
      <c r="AI176" s="55"/>
      <c r="AJ176" s="55"/>
      <c r="AK176" s="55"/>
      <c r="AL176" s="55"/>
      <c r="AM176" s="55"/>
      <c r="AN176" s="55"/>
      <c r="AO176" s="55"/>
      <c r="AP176" s="55"/>
      <c r="AQ176" s="55"/>
      <c r="AR176" s="55"/>
      <c r="AS176" s="55"/>
      <c r="AT176" s="55"/>
      <c r="AU176" s="55"/>
      <c r="AV176" s="55"/>
      <c r="AW176" s="55"/>
      <c r="AX176" s="55"/>
      <c r="AY176" s="55"/>
      <c r="AZ176" s="55"/>
      <c r="BA176" s="55"/>
      <c r="BB176" s="55"/>
      <c r="BC176" s="55"/>
      <c r="BD176" s="55"/>
      <c r="BE176" s="55"/>
      <c r="BF176" s="55"/>
      <c r="BG176" s="55"/>
      <c r="BH176" s="55"/>
      <c r="BI176" s="55"/>
      <c r="BJ176" s="55"/>
      <c r="BK176" s="55"/>
      <c r="BL176" s="55"/>
      <c r="BM176" s="55"/>
      <c r="BN176" s="55"/>
      <c r="BO176" s="55"/>
      <c r="BP176" s="55"/>
      <c r="BQ176" s="55"/>
      <c r="BR176" s="55"/>
      <c r="BS176" s="55"/>
    </row>
    <row r="177" spans="3:71" outlineLevel="1" x14ac:dyDescent="0.2">
      <c r="C177" s="11" t="str">
        <f>HM_ZB_Nsoko!C171</f>
        <v>Revenus bruts</v>
      </c>
      <c r="J177" s="26"/>
      <c r="L177" s="55"/>
      <c r="M177" s="55"/>
      <c r="N177" s="55"/>
      <c r="O177" s="55"/>
      <c r="P177" s="55"/>
      <c r="Q177" s="55"/>
      <c r="R177" s="55"/>
      <c r="S177" s="55"/>
      <c r="T177" s="55"/>
      <c r="U177" s="55"/>
      <c r="V177" s="55"/>
      <c r="W177" s="55"/>
      <c r="X177" s="55"/>
      <c r="Y177" s="55"/>
      <c r="Z177" s="55"/>
      <c r="AA177" s="55"/>
      <c r="AB177" s="55"/>
      <c r="AC177" s="55"/>
      <c r="AD177" s="55"/>
      <c r="AE177" s="55"/>
      <c r="AF177" s="55"/>
      <c r="AG177" s="55"/>
      <c r="AH177" s="55"/>
      <c r="AI177" s="55"/>
      <c r="AJ177" s="55"/>
      <c r="AK177" s="55"/>
      <c r="AL177" s="55"/>
      <c r="AM177" s="55"/>
      <c r="AN177" s="55"/>
      <c r="AO177" s="55"/>
      <c r="AP177" s="55"/>
      <c r="AQ177" s="55"/>
      <c r="AR177" s="55"/>
      <c r="AS177" s="55"/>
      <c r="AT177" s="55"/>
      <c r="AU177" s="55"/>
      <c r="AV177" s="55"/>
      <c r="AW177" s="55"/>
      <c r="AX177" s="55"/>
      <c r="AY177" s="55"/>
      <c r="AZ177" s="55"/>
      <c r="BA177" s="55"/>
      <c r="BB177" s="55"/>
      <c r="BC177" s="55"/>
      <c r="BD177" s="55"/>
      <c r="BE177" s="55"/>
      <c r="BF177" s="55"/>
      <c r="BG177" s="55"/>
      <c r="BH177" s="55"/>
      <c r="BI177" s="55"/>
      <c r="BJ177" s="55"/>
      <c r="BK177" s="55"/>
      <c r="BL177" s="55"/>
      <c r="BM177" s="55"/>
      <c r="BN177" s="55"/>
      <c r="BO177" s="55"/>
      <c r="BP177" s="55"/>
      <c r="BQ177" s="55"/>
      <c r="BR177" s="55"/>
      <c r="BS177" s="55"/>
    </row>
    <row r="178" spans="3:71" outlineLevel="1" x14ac:dyDescent="0.2">
      <c r="D178" t="str">
        <f>HM_ZB_Nsoko!D172</f>
        <v>Revenus pétroliers (@ PF)</v>
      </c>
      <c r="I178" s="30">
        <f ca="1">SUM($L178:$BS178)</f>
        <v>31202.375942204548</v>
      </c>
      <c r="J178" s="26" t="s">
        <v>148</v>
      </c>
      <c r="K178" s="7" t="s">
        <v>151</v>
      </c>
      <c r="L178" s="49">
        <f ca="1">HM_ZD_AM3_2005!L165</f>
        <v>1912.1835466870002</v>
      </c>
      <c r="M178" s="49">
        <f ca="1">HM_ZD_AM3_2005!M165</f>
        <v>1817.7761666039996</v>
      </c>
      <c r="N178" s="49">
        <f ca="1">(HM_ZD_Moho!CA_gross_sales_oil+HM_ZD_Moho!CA_gross_sales_lpg)*HM_ZD_Moho!CA_FP_oil_nom</f>
        <v>735.04705144999991</v>
      </c>
      <c r="O178" s="49">
        <f ca="1">(HM_ZD_Moho!CA_gross_sales_oil+HM_ZD_Moho!CA_gross_sales_lpg)*HM_ZD_Moho!CA_FP_oil_nom</f>
        <v>631.67255446199999</v>
      </c>
      <c r="P178" s="49">
        <f ca="1">(HM_ZD_Moho!CA_gross_sales_oil+HM_ZD_Moho!CA_gross_sales_lpg)*HM_ZD_Moho!CA_FP_oil_nom</f>
        <v>1772.3638558490004</v>
      </c>
      <c r="Q178" s="49">
        <f ca="1">(HM_ZD_Moho!CA_gross_sales_oil+HM_ZD_Moho!CA_gross_sales_lpg)*HM_ZD_Moho!CA_FP_oil_nom</f>
        <v>3585.8944981400005</v>
      </c>
      <c r="R178" s="49">
        <f ca="1">(HM_ZD_Moho!CA_gross_sales_oil+HM_ZD_Moho!CA_gross_sales_lpg)*HM_ZD_Moho!CA_FP_oil_nom</f>
        <v>3524.3307706050005</v>
      </c>
      <c r="S178" s="49">
        <f ca="1">(HM_ZD_Moho!CA_gross_sales_oil+HM_ZD_Moho!CA_gross_sales_lpg)*HM_ZD_Moho!CA_FP_oil_nom</f>
        <v>2104.3087260000002</v>
      </c>
      <c r="T178" s="49">
        <f ca="1">(HM_ZD_Moho!CA_gross_sales_oil+HM_ZD_Moho!CA_gross_sales_lpg)*HM_ZD_Moho!CA_FP_oil_nom</f>
        <v>3219.8115777983999</v>
      </c>
      <c r="U178" s="49">
        <f ca="1">(HM_ZD_Moho!CA_gross_sales_oil+HM_ZD_Moho!CA_gross_sales_lpg)*HM_ZD_Moho!CA_FP_oil_nom</f>
        <v>3214.1772560519998</v>
      </c>
      <c r="V178" s="49">
        <f ca="1">(HM_ZD_Moho!CA_gross_sales_oil+HM_ZD_Moho!CA_gross_sales_lpg)*HM_ZD_Moho!CA_FP_oil_nom</f>
        <v>3048.9685450909269</v>
      </c>
      <c r="W178" s="49">
        <f ca="1">(HM_ZD_Moho!CA_gross_sales_oil+HM_ZD_Moho!CA_gross_sales_lpg)*HM_ZD_Moho!CA_FP_oil_nom</f>
        <v>2892.2515618732527</v>
      </c>
      <c r="X178" s="49">
        <f ca="1">(HM_ZD_Moho!CA_gross_sales_oil+HM_ZD_Moho!CA_gross_sales_lpg)*HM_ZD_Moho!CA_FP_oil_nom</f>
        <v>2743.5898315929676</v>
      </c>
      <c r="Y178" s="49">
        <f ca="1">(HM_ZD_Moho!CA_gross_sales_oil+HM_ZD_Moho!CA_gross_sales_lpg)*HM_ZD_Moho!CA_FP_oil_nom</f>
        <v>0</v>
      </c>
      <c r="Z178" s="49">
        <f ca="1">(HM_ZD_Moho!CA_gross_sales_oil+HM_ZD_Moho!CA_gross_sales_lpg)*HM_ZD_Moho!CA_FP_oil_nom</f>
        <v>0</v>
      </c>
      <c r="AA178" s="49">
        <f ca="1">(HM_ZD_Moho!CA_gross_sales_oil+HM_ZD_Moho!CA_gross_sales_lpg)*HM_ZD_Moho!CA_FP_oil_nom</f>
        <v>0</v>
      </c>
      <c r="AB178" s="49">
        <f ca="1">(HM_ZD_Moho!CA_gross_sales_oil+HM_ZD_Moho!CA_gross_sales_lpg)*HM_ZD_Moho!CA_FP_oil_nom</f>
        <v>0</v>
      </c>
      <c r="AC178" s="49">
        <f ca="1">(HM_ZD_Moho!CA_gross_sales_oil+HM_ZD_Moho!CA_gross_sales_lpg)*HM_ZD_Moho!CA_FP_oil_nom</f>
        <v>0</v>
      </c>
      <c r="AD178" s="49">
        <f ca="1">(HM_ZD_Moho!CA_gross_sales_oil+HM_ZD_Moho!CA_gross_sales_lpg)*HM_ZD_Moho!CA_FP_oil_nom</f>
        <v>0</v>
      </c>
      <c r="AE178" s="49">
        <f ca="1">(HM_ZD_Moho!CA_gross_sales_oil+HM_ZD_Moho!CA_gross_sales_lpg)*HM_ZD_Moho!CA_FP_oil_nom</f>
        <v>0</v>
      </c>
      <c r="AF178" s="49">
        <f ca="1">(HM_ZD_Moho!CA_gross_sales_oil+HM_ZD_Moho!CA_gross_sales_lpg)*HM_ZD_Moho!CA_FP_oil_nom</f>
        <v>0</v>
      </c>
      <c r="AG178" s="49">
        <f ca="1">(HM_ZD_Moho!CA_gross_sales_oil+HM_ZD_Moho!CA_gross_sales_lpg)*HM_ZD_Moho!CA_FP_oil_nom</f>
        <v>0</v>
      </c>
      <c r="AH178" s="49">
        <f ca="1">(HM_ZD_Moho!CA_gross_sales_oil+HM_ZD_Moho!CA_gross_sales_lpg)*HM_ZD_Moho!CA_FP_oil_nom</f>
        <v>0</v>
      </c>
      <c r="AI178" s="49">
        <f ca="1">(HM_ZD_Moho!CA_gross_sales_oil+HM_ZD_Moho!CA_gross_sales_lpg)*HM_ZD_Moho!CA_FP_oil_nom</f>
        <v>0</v>
      </c>
      <c r="AJ178" s="49">
        <f ca="1">(HM_ZD_Moho!CA_gross_sales_oil+HM_ZD_Moho!CA_gross_sales_lpg)*HM_ZD_Moho!CA_FP_oil_nom</f>
        <v>0</v>
      </c>
      <c r="AK178" s="49">
        <f ca="1">(HM_ZD_Moho!CA_gross_sales_oil+HM_ZD_Moho!CA_gross_sales_lpg)*HM_ZD_Moho!CA_FP_oil_nom</f>
        <v>0</v>
      </c>
      <c r="AL178" s="49">
        <f ca="1">(HM_ZD_Moho!CA_gross_sales_oil+HM_ZD_Moho!CA_gross_sales_lpg)*HM_ZD_Moho!CA_FP_oil_nom</f>
        <v>0</v>
      </c>
      <c r="AM178" s="49">
        <f ca="1">(HM_ZD_Moho!CA_gross_sales_oil+HM_ZD_Moho!CA_gross_sales_lpg)*HM_ZD_Moho!CA_FP_oil_nom</f>
        <v>0</v>
      </c>
      <c r="AN178" s="49">
        <f ca="1">(HM_ZD_Moho!CA_gross_sales_oil+HM_ZD_Moho!CA_gross_sales_lpg)*HM_ZD_Moho!CA_FP_oil_nom</f>
        <v>0</v>
      </c>
      <c r="AO178" s="49">
        <f ca="1">(HM_ZD_Moho!CA_gross_sales_oil+HM_ZD_Moho!CA_gross_sales_lpg)*HM_ZD_Moho!CA_FP_oil_nom</f>
        <v>0</v>
      </c>
      <c r="AP178" s="49">
        <f ca="1">(HM_ZD_Moho!CA_gross_sales_oil+HM_ZD_Moho!CA_gross_sales_lpg)*HM_ZD_Moho!CA_FP_oil_nom</f>
        <v>0</v>
      </c>
      <c r="AQ178" s="49">
        <f ca="1">(HM_ZD_Moho!CA_gross_sales_oil+HM_ZD_Moho!CA_gross_sales_lpg)*HM_ZD_Moho!CA_FP_oil_nom</f>
        <v>0</v>
      </c>
      <c r="AR178" s="49">
        <f ca="1">(HM_ZD_Moho!CA_gross_sales_oil+HM_ZD_Moho!CA_gross_sales_lpg)*HM_ZD_Moho!CA_FP_oil_nom</f>
        <v>0</v>
      </c>
      <c r="AS178" s="49">
        <f ca="1">(HM_ZD_Moho!CA_gross_sales_oil+HM_ZD_Moho!CA_gross_sales_lpg)*HM_ZD_Moho!CA_FP_oil_nom</f>
        <v>0</v>
      </c>
      <c r="AT178" s="49">
        <f ca="1">(HM_ZD_Moho!CA_gross_sales_oil+HM_ZD_Moho!CA_gross_sales_lpg)*HM_ZD_Moho!CA_FP_oil_nom</f>
        <v>0</v>
      </c>
      <c r="AU178" s="49">
        <f ca="1">(HM_ZD_Moho!CA_gross_sales_oil+HM_ZD_Moho!CA_gross_sales_lpg)*HM_ZD_Moho!CA_FP_oil_nom</f>
        <v>0</v>
      </c>
      <c r="AV178" s="49">
        <f ca="1">(HM_ZD_Moho!CA_gross_sales_oil+HM_ZD_Moho!CA_gross_sales_lpg)*HM_ZD_Moho!CA_FP_oil_nom</f>
        <v>0</v>
      </c>
      <c r="AW178" s="49">
        <f ca="1">(HM_ZD_Moho!CA_gross_sales_oil+HM_ZD_Moho!CA_gross_sales_lpg)*HM_ZD_Moho!CA_FP_oil_nom</f>
        <v>0</v>
      </c>
      <c r="AX178" s="49">
        <f ca="1">(HM_ZD_Moho!CA_gross_sales_oil+HM_ZD_Moho!CA_gross_sales_lpg)*HM_ZD_Moho!CA_FP_oil_nom</f>
        <v>0</v>
      </c>
      <c r="AY178" s="49">
        <f ca="1">(HM_ZD_Moho!CA_gross_sales_oil+HM_ZD_Moho!CA_gross_sales_lpg)*HM_ZD_Moho!CA_FP_oil_nom</f>
        <v>0</v>
      </c>
      <c r="AZ178" s="49">
        <f ca="1">(HM_ZD_Moho!CA_gross_sales_oil+HM_ZD_Moho!CA_gross_sales_lpg)*HM_ZD_Moho!CA_FP_oil_nom</f>
        <v>0</v>
      </c>
      <c r="BA178" s="49">
        <f ca="1">(HM_ZD_Moho!CA_gross_sales_oil+HM_ZD_Moho!CA_gross_sales_lpg)*HM_ZD_Moho!CA_FP_oil_nom</f>
        <v>0</v>
      </c>
      <c r="BB178" s="49">
        <f ca="1">(HM_ZD_Moho!CA_gross_sales_oil+HM_ZD_Moho!CA_gross_sales_lpg)*HM_ZD_Moho!CA_FP_oil_nom</f>
        <v>0</v>
      </c>
      <c r="BC178" s="49">
        <f ca="1">(HM_ZD_Moho!CA_gross_sales_oil+HM_ZD_Moho!CA_gross_sales_lpg)*HM_ZD_Moho!CA_FP_oil_nom</f>
        <v>0</v>
      </c>
      <c r="BD178" s="49">
        <f ca="1">(HM_ZD_Moho!CA_gross_sales_oil+HM_ZD_Moho!CA_gross_sales_lpg)*HM_ZD_Moho!CA_FP_oil_nom</f>
        <v>0</v>
      </c>
      <c r="BE178" s="49">
        <f ca="1">(HM_ZD_Moho!CA_gross_sales_oil+HM_ZD_Moho!CA_gross_sales_lpg)*HM_ZD_Moho!CA_FP_oil_nom</f>
        <v>0</v>
      </c>
      <c r="BF178" s="49">
        <f ca="1">(HM_ZD_Moho!CA_gross_sales_oil+HM_ZD_Moho!CA_gross_sales_lpg)*HM_ZD_Moho!CA_FP_oil_nom</f>
        <v>0</v>
      </c>
      <c r="BG178" s="49">
        <f ca="1">(HM_ZD_Moho!CA_gross_sales_oil+HM_ZD_Moho!CA_gross_sales_lpg)*HM_ZD_Moho!CA_FP_oil_nom</f>
        <v>0</v>
      </c>
      <c r="BH178" s="49">
        <f ca="1">(HM_ZD_Moho!CA_gross_sales_oil+HM_ZD_Moho!CA_gross_sales_lpg)*HM_ZD_Moho!CA_FP_oil_nom</f>
        <v>0</v>
      </c>
      <c r="BI178" s="49">
        <f ca="1">(HM_ZD_Moho!CA_gross_sales_oil+HM_ZD_Moho!CA_gross_sales_lpg)*HM_ZD_Moho!CA_FP_oil_nom</f>
        <v>0</v>
      </c>
      <c r="BJ178" s="49">
        <f ca="1">(HM_ZD_Moho!CA_gross_sales_oil+HM_ZD_Moho!CA_gross_sales_lpg)*HM_ZD_Moho!CA_FP_oil_nom</f>
        <v>0</v>
      </c>
      <c r="BK178" s="49">
        <f ca="1">(HM_ZD_Moho!CA_gross_sales_oil+HM_ZD_Moho!CA_gross_sales_lpg)*HM_ZD_Moho!CA_FP_oil_nom</f>
        <v>0</v>
      </c>
      <c r="BL178" s="49">
        <f ca="1">(HM_ZD_Moho!CA_gross_sales_oil+HM_ZD_Moho!CA_gross_sales_lpg)*HM_ZD_Moho!CA_FP_oil_nom</f>
        <v>0</v>
      </c>
      <c r="BM178" s="49">
        <f ca="1">(HM_ZD_Moho!CA_gross_sales_oil+HM_ZD_Moho!CA_gross_sales_lpg)*HM_ZD_Moho!CA_FP_oil_nom</f>
        <v>0</v>
      </c>
      <c r="BN178" s="49">
        <f ca="1">(HM_ZD_Moho!CA_gross_sales_oil+HM_ZD_Moho!CA_gross_sales_lpg)*HM_ZD_Moho!CA_FP_oil_nom</f>
        <v>0</v>
      </c>
      <c r="BO178" s="49">
        <f ca="1">(HM_ZD_Moho!CA_gross_sales_oil+HM_ZD_Moho!CA_gross_sales_lpg)*HM_ZD_Moho!CA_FP_oil_nom</f>
        <v>0</v>
      </c>
      <c r="BP178" s="49">
        <f ca="1">(HM_ZD_Moho!CA_gross_sales_oil+HM_ZD_Moho!CA_gross_sales_lpg)*HM_ZD_Moho!CA_FP_oil_nom</f>
        <v>0</v>
      </c>
      <c r="BQ178" s="49">
        <f ca="1">(HM_ZD_Moho!CA_gross_sales_oil+HM_ZD_Moho!CA_gross_sales_lpg)*HM_ZD_Moho!CA_FP_oil_nom</f>
        <v>0</v>
      </c>
      <c r="BR178" s="49">
        <f ca="1">(HM_ZD_Moho!CA_gross_sales_oil+HM_ZD_Moho!CA_gross_sales_lpg)*HM_ZD_Moho!CA_FP_oil_nom</f>
        <v>0</v>
      </c>
      <c r="BS178" s="49">
        <f ca="1">(HM_ZD_Moho!CA_gross_sales_oil+HM_ZD_Moho!CA_gross_sales_lpg)*HM_ZD_Moho!CA_FP_oil_nom</f>
        <v>0</v>
      </c>
    </row>
    <row r="179" spans="3:71" outlineLevel="1" x14ac:dyDescent="0.2">
      <c r="D179" t="str">
        <f>HM_ZB_Nsoko!D173</f>
        <v>Revenus gaziers (@ PF)</v>
      </c>
      <c r="I179" s="30">
        <f ca="1">SUM($L179:$BS179)</f>
        <v>0</v>
      </c>
      <c r="J179" s="26" t="s">
        <v>148</v>
      </c>
      <c r="K179" s="7" t="s">
        <v>152</v>
      </c>
      <c r="L179" s="49">
        <f ca="1">HM_ZD_AM3_2005!L166</f>
        <v>0</v>
      </c>
      <c r="M179" s="49">
        <f ca="1">HM_ZD_AM3_2005!M166</f>
        <v>0</v>
      </c>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c r="AL179" s="49"/>
      <c r="AM179" s="49"/>
      <c r="AN179" s="49"/>
      <c r="AO179" s="49"/>
      <c r="AP179" s="49"/>
      <c r="AQ179" s="49"/>
      <c r="AR179" s="49"/>
      <c r="AS179" s="49"/>
      <c r="AT179" s="49"/>
      <c r="AU179" s="49"/>
      <c r="AV179" s="49"/>
      <c r="AW179" s="49"/>
      <c r="AX179" s="49"/>
      <c r="AY179" s="49"/>
      <c r="AZ179" s="49"/>
      <c r="BA179" s="49"/>
      <c r="BB179" s="49"/>
      <c r="BC179" s="49"/>
      <c r="BD179" s="49"/>
      <c r="BE179" s="49"/>
      <c r="BF179" s="49"/>
      <c r="BG179" s="49"/>
      <c r="BH179" s="49"/>
      <c r="BI179" s="49"/>
      <c r="BJ179" s="49"/>
      <c r="BK179" s="49"/>
      <c r="BL179" s="49"/>
      <c r="BM179" s="49"/>
      <c r="BN179" s="49"/>
      <c r="BO179" s="49"/>
      <c r="BP179" s="49"/>
      <c r="BQ179" s="49"/>
      <c r="BR179" s="49"/>
      <c r="BS179" s="49"/>
    </row>
    <row r="180" spans="3:71" outlineLevel="1" x14ac:dyDescent="0.2">
      <c r="D180" s="11" t="str">
        <f>HM_ZB_Nsoko!D174</f>
        <v>Revenu brut total (@ PF)</v>
      </c>
      <c r="I180" s="30">
        <f ca="1">SUM($L180:$BS180)</f>
        <v>31202.375942204548</v>
      </c>
      <c r="J180" s="26"/>
      <c r="K180" s="7" t="s">
        <v>153</v>
      </c>
      <c r="L180" s="49">
        <f ca="1">SUM(L178:L179)</f>
        <v>1912.1835466870002</v>
      </c>
      <c r="M180" s="49">
        <f t="shared" ref="M180:BS180" ca="1" si="146">SUM(M178:M179)</f>
        <v>1817.7761666039996</v>
      </c>
      <c r="N180" s="49">
        <f t="shared" ca="1" si="146"/>
        <v>735.04705144999991</v>
      </c>
      <c r="O180" s="49">
        <f t="shared" ca="1" si="146"/>
        <v>631.67255446199999</v>
      </c>
      <c r="P180" s="49">
        <f t="shared" ca="1" si="146"/>
        <v>1772.3638558490004</v>
      </c>
      <c r="Q180" s="49">
        <f t="shared" ca="1" si="146"/>
        <v>3585.8944981400005</v>
      </c>
      <c r="R180" s="49">
        <f t="shared" ca="1" si="146"/>
        <v>3524.3307706050005</v>
      </c>
      <c r="S180" s="49">
        <f t="shared" ca="1" si="146"/>
        <v>2104.3087260000002</v>
      </c>
      <c r="T180" s="49">
        <f t="shared" ca="1" si="146"/>
        <v>3219.8115777983999</v>
      </c>
      <c r="U180" s="49">
        <f t="shared" ca="1" si="146"/>
        <v>3214.1772560519998</v>
      </c>
      <c r="V180" s="49">
        <f t="shared" ca="1" si="146"/>
        <v>3048.9685450909269</v>
      </c>
      <c r="W180" s="49">
        <f t="shared" ca="1" si="146"/>
        <v>2892.2515618732527</v>
      </c>
      <c r="X180" s="49">
        <f t="shared" ca="1" si="146"/>
        <v>2743.5898315929676</v>
      </c>
      <c r="Y180" s="49">
        <f t="shared" ca="1" si="146"/>
        <v>0</v>
      </c>
      <c r="Z180" s="49">
        <f t="shared" ca="1" si="146"/>
        <v>0</v>
      </c>
      <c r="AA180" s="49">
        <f t="shared" ca="1" si="146"/>
        <v>0</v>
      </c>
      <c r="AB180" s="49">
        <f t="shared" ca="1" si="146"/>
        <v>0</v>
      </c>
      <c r="AC180" s="49">
        <f t="shared" ca="1" si="146"/>
        <v>0</v>
      </c>
      <c r="AD180" s="49">
        <f t="shared" ca="1" si="146"/>
        <v>0</v>
      </c>
      <c r="AE180" s="49">
        <f t="shared" ca="1" si="146"/>
        <v>0</v>
      </c>
      <c r="AF180" s="49">
        <f t="shared" ca="1" si="146"/>
        <v>0</v>
      </c>
      <c r="AG180" s="49">
        <f t="shared" ca="1" si="146"/>
        <v>0</v>
      </c>
      <c r="AH180" s="49">
        <f t="shared" ca="1" si="146"/>
        <v>0</v>
      </c>
      <c r="AI180" s="49">
        <f t="shared" ca="1" si="146"/>
        <v>0</v>
      </c>
      <c r="AJ180" s="49">
        <f t="shared" ca="1" si="146"/>
        <v>0</v>
      </c>
      <c r="AK180" s="49">
        <f t="shared" ca="1" si="146"/>
        <v>0</v>
      </c>
      <c r="AL180" s="49">
        <f t="shared" ca="1" si="146"/>
        <v>0</v>
      </c>
      <c r="AM180" s="49">
        <f t="shared" ca="1" si="146"/>
        <v>0</v>
      </c>
      <c r="AN180" s="49">
        <f t="shared" ca="1" si="146"/>
        <v>0</v>
      </c>
      <c r="AO180" s="49">
        <f t="shared" ca="1" si="146"/>
        <v>0</v>
      </c>
      <c r="AP180" s="49">
        <f t="shared" ca="1" si="146"/>
        <v>0</v>
      </c>
      <c r="AQ180" s="49">
        <f t="shared" ca="1" si="146"/>
        <v>0</v>
      </c>
      <c r="AR180" s="49">
        <f t="shared" ca="1" si="146"/>
        <v>0</v>
      </c>
      <c r="AS180" s="49">
        <f t="shared" ca="1" si="146"/>
        <v>0</v>
      </c>
      <c r="AT180" s="49">
        <f t="shared" ca="1" si="146"/>
        <v>0</v>
      </c>
      <c r="AU180" s="49">
        <f t="shared" ca="1" si="146"/>
        <v>0</v>
      </c>
      <c r="AV180" s="49">
        <f t="shared" ca="1" si="146"/>
        <v>0</v>
      </c>
      <c r="AW180" s="49">
        <f t="shared" ca="1" si="146"/>
        <v>0</v>
      </c>
      <c r="AX180" s="49">
        <f t="shared" ca="1" si="146"/>
        <v>0</v>
      </c>
      <c r="AY180" s="49">
        <f t="shared" ca="1" si="146"/>
        <v>0</v>
      </c>
      <c r="AZ180" s="49">
        <f t="shared" ca="1" si="146"/>
        <v>0</v>
      </c>
      <c r="BA180" s="49">
        <f t="shared" ca="1" si="146"/>
        <v>0</v>
      </c>
      <c r="BB180" s="49">
        <f t="shared" ca="1" si="146"/>
        <v>0</v>
      </c>
      <c r="BC180" s="49">
        <f t="shared" ca="1" si="146"/>
        <v>0</v>
      </c>
      <c r="BD180" s="49">
        <f t="shared" ca="1" si="146"/>
        <v>0</v>
      </c>
      <c r="BE180" s="49">
        <f t="shared" ca="1" si="146"/>
        <v>0</v>
      </c>
      <c r="BF180" s="49">
        <f t="shared" ca="1" si="146"/>
        <v>0</v>
      </c>
      <c r="BG180" s="49">
        <f t="shared" ca="1" si="146"/>
        <v>0</v>
      </c>
      <c r="BH180" s="49">
        <f t="shared" ca="1" si="146"/>
        <v>0</v>
      </c>
      <c r="BI180" s="49">
        <f t="shared" ca="1" si="146"/>
        <v>0</v>
      </c>
      <c r="BJ180" s="49">
        <f t="shared" ca="1" si="146"/>
        <v>0</v>
      </c>
      <c r="BK180" s="49">
        <f t="shared" ca="1" si="146"/>
        <v>0</v>
      </c>
      <c r="BL180" s="49">
        <f t="shared" ca="1" si="146"/>
        <v>0</v>
      </c>
      <c r="BM180" s="49">
        <f t="shared" ca="1" si="146"/>
        <v>0</v>
      </c>
      <c r="BN180" s="49">
        <f t="shared" ca="1" si="146"/>
        <v>0</v>
      </c>
      <c r="BO180" s="49">
        <f t="shared" ca="1" si="146"/>
        <v>0</v>
      </c>
      <c r="BP180" s="49">
        <f t="shared" ca="1" si="146"/>
        <v>0</v>
      </c>
      <c r="BQ180" s="49">
        <f t="shared" ca="1" si="146"/>
        <v>0</v>
      </c>
      <c r="BR180" s="49">
        <f t="shared" ca="1" si="146"/>
        <v>0</v>
      </c>
      <c r="BS180" s="49">
        <f t="shared" ca="1" si="146"/>
        <v>0</v>
      </c>
    </row>
    <row r="181" spans="3:71" outlineLevel="1" x14ac:dyDescent="0.2">
      <c r="J181" s="26"/>
      <c r="L181" s="55"/>
      <c r="M181" s="55"/>
      <c r="N181" s="55"/>
      <c r="O181" s="55"/>
      <c r="P181" s="55"/>
      <c r="Q181" s="55"/>
      <c r="R181" s="55"/>
      <c r="S181" s="55"/>
      <c r="T181" s="55"/>
      <c r="U181" s="55"/>
      <c r="V181" s="55"/>
      <c r="W181" s="55"/>
      <c r="X181" s="55"/>
      <c r="Y181" s="55"/>
      <c r="Z181" s="55"/>
      <c r="AA181" s="55"/>
      <c r="AB181" s="55"/>
      <c r="AC181" s="55"/>
      <c r="AD181" s="55"/>
      <c r="AE181" s="55"/>
      <c r="AF181" s="55"/>
      <c r="AG181" s="55"/>
      <c r="AH181" s="55"/>
      <c r="AI181" s="55"/>
      <c r="AJ181" s="55"/>
      <c r="AK181" s="55"/>
      <c r="AL181" s="55"/>
      <c r="AM181" s="55"/>
      <c r="AN181" s="55"/>
      <c r="AO181" s="55"/>
      <c r="AP181" s="55"/>
      <c r="AQ181" s="55"/>
      <c r="AR181" s="55"/>
      <c r="AS181" s="55"/>
      <c r="AT181" s="55"/>
      <c r="AU181" s="55"/>
      <c r="AV181" s="55"/>
      <c r="AW181" s="55"/>
      <c r="AX181" s="55"/>
      <c r="AY181" s="55"/>
      <c r="AZ181" s="55"/>
      <c r="BA181" s="55"/>
      <c r="BB181" s="55"/>
      <c r="BC181" s="55"/>
      <c r="BD181" s="55"/>
      <c r="BE181" s="55"/>
      <c r="BF181" s="55"/>
      <c r="BG181" s="55"/>
      <c r="BH181" s="55"/>
      <c r="BI181" s="55"/>
      <c r="BJ181" s="55"/>
      <c r="BK181" s="55"/>
      <c r="BL181" s="55"/>
      <c r="BM181" s="55"/>
      <c r="BN181" s="55"/>
      <c r="BO181" s="55"/>
      <c r="BP181" s="55"/>
      <c r="BQ181" s="55"/>
      <c r="BR181" s="55"/>
      <c r="BS181" s="55"/>
    </row>
    <row r="182" spans="3:71" outlineLevel="1" x14ac:dyDescent="0.2">
      <c r="J182" s="26"/>
      <c r="L182" s="55"/>
      <c r="M182" s="55"/>
      <c r="N182" s="55"/>
      <c r="O182" s="55"/>
      <c r="P182" s="55"/>
      <c r="Q182" s="55"/>
      <c r="R182" s="55"/>
      <c r="S182" s="55"/>
      <c r="T182" s="55"/>
      <c r="U182" s="55"/>
      <c r="V182" s="55"/>
      <c r="W182" s="55"/>
      <c r="X182" s="55"/>
      <c r="Y182" s="55"/>
      <c r="Z182" s="55"/>
      <c r="AA182" s="55"/>
      <c r="AB182" s="55"/>
      <c r="AC182" s="55"/>
      <c r="AD182" s="55"/>
      <c r="AE182" s="55"/>
      <c r="AF182" s="55"/>
      <c r="AG182" s="55"/>
      <c r="AH182" s="55"/>
      <c r="AI182" s="55"/>
      <c r="AJ182" s="55"/>
      <c r="AK182" s="55"/>
      <c r="AL182" s="55"/>
      <c r="AM182" s="55"/>
      <c r="AN182" s="55"/>
      <c r="AO182" s="55"/>
      <c r="AP182" s="55"/>
      <c r="AQ182" s="55"/>
      <c r="AR182" s="55"/>
      <c r="AS182" s="55"/>
      <c r="AT182" s="55"/>
      <c r="AU182" s="55"/>
      <c r="AV182" s="55"/>
      <c r="AW182" s="55"/>
      <c r="AX182" s="55"/>
      <c r="AY182" s="55"/>
      <c r="AZ182" s="55"/>
      <c r="BA182" s="55"/>
      <c r="BB182" s="55"/>
      <c r="BC182" s="55"/>
      <c r="BD182" s="55"/>
      <c r="BE182" s="55"/>
      <c r="BF182" s="55"/>
      <c r="BG182" s="55"/>
      <c r="BH182" s="55"/>
      <c r="BI182" s="55"/>
      <c r="BJ182" s="55"/>
      <c r="BK182" s="55"/>
      <c r="BL182" s="55"/>
      <c r="BM182" s="55"/>
      <c r="BN182" s="55"/>
      <c r="BO182" s="55"/>
      <c r="BP182" s="55"/>
      <c r="BQ182" s="55"/>
      <c r="BR182" s="55"/>
      <c r="BS182" s="55"/>
    </row>
    <row r="183" spans="3:71" outlineLevel="1" x14ac:dyDescent="0.2">
      <c r="D183" t="str">
        <f>CHOOSE(db_ML_selected,'Liste Traduction'!B451,'Liste Traduction'!C451)</f>
        <v>Revenus pétroliers (@ PH période 1)</v>
      </c>
      <c r="I183" s="30">
        <f ca="1">SUM($L183:$BS183)</f>
        <v>44806.06292955223</v>
      </c>
      <c r="J183" s="26" t="s">
        <v>148</v>
      </c>
      <c r="K183" s="7" t="s">
        <v>459</v>
      </c>
      <c r="L183" s="49">
        <f ca="1">HM_ZD_AM3_2005!L170</f>
        <v>489.58904715</v>
      </c>
      <c r="M183" s="49">
        <f ca="1">HM_ZD_AM3_2005!M170</f>
        <v>518.02773299699993</v>
      </c>
      <c r="N183" s="49">
        <f ca="1">(HM_ZD_Moho!CA_gross_sales_oil+HM_ZD_Moho!CA_gross_sales_lpg)*CA_HP_oil_nom_period1</f>
        <v>426.02104805975</v>
      </c>
      <c r="O183" s="49">
        <f ca="1">(HM_ZD_Moho!CA_gross_sales_oil+HM_ZD_Moho!CA_gross_sales_lpg)*CA_HP_oil_nom_period1</f>
        <v>438.85489291375001</v>
      </c>
      <c r="P183" s="49">
        <f ca="1">(HM_ZD_Moho!CA_gross_sales_oil+HM_ZD_Moho!CA_gross_sales_lpg)*CA_HP_oil_nom_period1</f>
        <v>3192.9537831375005</v>
      </c>
      <c r="Q183" s="49">
        <f ca="1">(HM_ZD_Moho!CA_gross_sales_oil+HM_ZD_Moho!CA_gross_sales_lpg)*CA_HP_oil_nom_period1</f>
        <v>5243.5808371980002</v>
      </c>
      <c r="R183" s="49">
        <f ca="1">(HM_ZD_Moho!CA_gross_sales_oil+HM_ZD_Moho!CA_gross_sales_lpg)*CA_HP_oil_nom_period1</f>
        <v>5571.9396804304997</v>
      </c>
      <c r="S183" s="49">
        <f ca="1">(HM_ZD_Moho!CA_gross_sales_oil+HM_ZD_Moho!CA_gross_sales_lpg)*CA_HP_oil_nom_period1</f>
        <v>5435.3935260000007</v>
      </c>
      <c r="T183" s="49">
        <f ca="1">(HM_ZD_Moho!CA_gross_sales_oil+HM_ZD_Moho!CA_gross_sales_lpg)*CA_HP_oil_nom_period1</f>
        <v>5206.3423054250416</v>
      </c>
      <c r="U183" s="49">
        <f ca="1">(HM_ZD_Moho!CA_gross_sales_oil+HM_ZD_Moho!CA_gross_sales_lpg)*CA_HP_oil_nom_period1</f>
        <v>4938.7363109261942</v>
      </c>
      <c r="V183" s="49">
        <f ca="1">(HM_ZD_Moho!CA_gross_sales_oil+HM_ZD_Moho!CA_gross_sales_lpg)*CA_HP_oil_nom_period1</f>
        <v>4684.8852645445859</v>
      </c>
      <c r="W183" s="49">
        <f ca="1">(HM_ZD_Moho!CA_gross_sales_oil+HM_ZD_Moho!CA_gross_sales_lpg)*CA_HP_oil_nom_period1</f>
        <v>4444.0821619469943</v>
      </c>
      <c r="X183" s="49">
        <f ca="1">(HM_ZD_Moho!CA_gross_sales_oil+HM_ZD_Moho!CA_gross_sales_lpg)*CA_HP_oil_nom_period1</f>
        <v>4215.6563388229197</v>
      </c>
      <c r="Y183" s="49">
        <f ca="1">(HM_ZD_Moho!CA_gross_sales_oil+HM_ZD_Moho!CA_gross_sales_lpg)*CA_HP_oil_nom_period1</f>
        <v>0</v>
      </c>
      <c r="Z183" s="49">
        <f ca="1">(HM_ZD_Moho!CA_gross_sales_oil+HM_ZD_Moho!CA_gross_sales_lpg)*CA_HP_oil_nom_period1</f>
        <v>0</v>
      </c>
      <c r="AA183" s="49">
        <f ca="1">(HM_ZD_Moho!CA_gross_sales_oil+HM_ZD_Moho!CA_gross_sales_lpg)*CA_HP_oil_nom_period1</f>
        <v>0</v>
      </c>
      <c r="AB183" s="49">
        <f ca="1">(HM_ZD_Moho!CA_gross_sales_oil+HM_ZD_Moho!CA_gross_sales_lpg)*CA_HP_oil_nom_period1</f>
        <v>0</v>
      </c>
      <c r="AC183" s="49">
        <f ca="1">(HM_ZD_Moho!CA_gross_sales_oil+HM_ZD_Moho!CA_gross_sales_lpg)*CA_HP_oil_nom_period1</f>
        <v>0</v>
      </c>
      <c r="AD183" s="49">
        <f ca="1">(HM_ZD_Moho!CA_gross_sales_oil+HM_ZD_Moho!CA_gross_sales_lpg)*CA_HP_oil_nom_period1</f>
        <v>0</v>
      </c>
      <c r="AE183" s="49">
        <f ca="1">(HM_ZD_Moho!CA_gross_sales_oil+HM_ZD_Moho!CA_gross_sales_lpg)*CA_HP_oil_nom_period1</f>
        <v>0</v>
      </c>
      <c r="AF183" s="49">
        <f ca="1">(HM_ZD_Moho!CA_gross_sales_oil+HM_ZD_Moho!CA_gross_sales_lpg)*CA_HP_oil_nom_period1</f>
        <v>0</v>
      </c>
      <c r="AG183" s="49">
        <f ca="1">(HM_ZD_Moho!CA_gross_sales_oil+HM_ZD_Moho!CA_gross_sales_lpg)*CA_HP_oil_nom_period1</f>
        <v>0</v>
      </c>
      <c r="AH183" s="49">
        <f ca="1">(HM_ZD_Moho!CA_gross_sales_oil+HM_ZD_Moho!CA_gross_sales_lpg)*CA_HP_oil_nom_period1</f>
        <v>0</v>
      </c>
      <c r="AI183" s="49">
        <f ca="1">(HM_ZD_Moho!CA_gross_sales_oil+HM_ZD_Moho!CA_gross_sales_lpg)*CA_HP_oil_nom_period1</f>
        <v>0</v>
      </c>
      <c r="AJ183" s="49">
        <f ca="1">(HM_ZD_Moho!CA_gross_sales_oil+HM_ZD_Moho!CA_gross_sales_lpg)*CA_HP_oil_nom_period1</f>
        <v>0</v>
      </c>
      <c r="AK183" s="49">
        <f ca="1">(HM_ZD_Moho!CA_gross_sales_oil+HM_ZD_Moho!CA_gross_sales_lpg)*CA_HP_oil_nom_period1</f>
        <v>0</v>
      </c>
      <c r="AL183" s="49">
        <f ca="1">(HM_ZD_Moho!CA_gross_sales_oil+HM_ZD_Moho!CA_gross_sales_lpg)*CA_HP_oil_nom_period1</f>
        <v>0</v>
      </c>
      <c r="AM183" s="49">
        <f ca="1">(HM_ZD_Moho!CA_gross_sales_oil+HM_ZD_Moho!CA_gross_sales_lpg)*CA_HP_oil_nom_period1</f>
        <v>0</v>
      </c>
      <c r="AN183" s="49">
        <f ca="1">(HM_ZD_Moho!CA_gross_sales_oil+HM_ZD_Moho!CA_gross_sales_lpg)*CA_HP_oil_nom_period1</f>
        <v>0</v>
      </c>
      <c r="AO183" s="49">
        <f ca="1">(HM_ZD_Moho!CA_gross_sales_oil+HM_ZD_Moho!CA_gross_sales_lpg)*CA_HP_oil_nom_period1</f>
        <v>0</v>
      </c>
      <c r="AP183" s="49">
        <f ca="1">(HM_ZD_Moho!CA_gross_sales_oil+HM_ZD_Moho!CA_gross_sales_lpg)*CA_HP_oil_nom_period1</f>
        <v>0</v>
      </c>
      <c r="AQ183" s="49">
        <f ca="1">(HM_ZD_Moho!CA_gross_sales_oil+HM_ZD_Moho!CA_gross_sales_lpg)*CA_HP_oil_nom_period1</f>
        <v>0</v>
      </c>
      <c r="AR183" s="49">
        <f ca="1">(HM_ZD_Moho!CA_gross_sales_oil+HM_ZD_Moho!CA_gross_sales_lpg)*CA_HP_oil_nom_period1</f>
        <v>0</v>
      </c>
      <c r="AS183" s="49">
        <f ca="1">(HM_ZD_Moho!CA_gross_sales_oil+HM_ZD_Moho!CA_gross_sales_lpg)*CA_HP_oil_nom_period1</f>
        <v>0</v>
      </c>
      <c r="AT183" s="49">
        <f ca="1">(HM_ZD_Moho!CA_gross_sales_oil+HM_ZD_Moho!CA_gross_sales_lpg)*CA_HP_oil_nom_period1</f>
        <v>0</v>
      </c>
      <c r="AU183" s="49">
        <f ca="1">(HM_ZD_Moho!CA_gross_sales_oil+HM_ZD_Moho!CA_gross_sales_lpg)*CA_HP_oil_nom_period1</f>
        <v>0</v>
      </c>
      <c r="AV183" s="49">
        <f ca="1">(HM_ZD_Moho!CA_gross_sales_oil+HM_ZD_Moho!CA_gross_sales_lpg)*CA_HP_oil_nom_period1</f>
        <v>0</v>
      </c>
      <c r="AW183" s="49">
        <f ca="1">(HM_ZD_Moho!CA_gross_sales_oil+HM_ZD_Moho!CA_gross_sales_lpg)*CA_HP_oil_nom_period1</f>
        <v>0</v>
      </c>
      <c r="AX183" s="49">
        <f ca="1">(HM_ZD_Moho!CA_gross_sales_oil+HM_ZD_Moho!CA_gross_sales_lpg)*CA_HP_oil_nom_period1</f>
        <v>0</v>
      </c>
      <c r="AY183" s="49">
        <f ca="1">(HM_ZD_Moho!CA_gross_sales_oil+HM_ZD_Moho!CA_gross_sales_lpg)*CA_HP_oil_nom_period1</f>
        <v>0</v>
      </c>
      <c r="AZ183" s="49">
        <f ca="1">(HM_ZD_Moho!CA_gross_sales_oil+HM_ZD_Moho!CA_gross_sales_lpg)*CA_HP_oil_nom_period1</f>
        <v>0</v>
      </c>
      <c r="BA183" s="49">
        <f ca="1">(HM_ZD_Moho!CA_gross_sales_oil+HM_ZD_Moho!CA_gross_sales_lpg)*CA_HP_oil_nom_period1</f>
        <v>0</v>
      </c>
      <c r="BB183" s="49">
        <f ca="1">(HM_ZD_Moho!CA_gross_sales_oil+HM_ZD_Moho!CA_gross_sales_lpg)*CA_HP_oil_nom_period1</f>
        <v>0</v>
      </c>
      <c r="BC183" s="49">
        <f ca="1">(HM_ZD_Moho!CA_gross_sales_oil+HM_ZD_Moho!CA_gross_sales_lpg)*CA_HP_oil_nom_period1</f>
        <v>0</v>
      </c>
      <c r="BD183" s="49">
        <f ca="1">(HM_ZD_Moho!CA_gross_sales_oil+HM_ZD_Moho!CA_gross_sales_lpg)*CA_HP_oil_nom_period1</f>
        <v>0</v>
      </c>
      <c r="BE183" s="49">
        <f ca="1">(HM_ZD_Moho!CA_gross_sales_oil+HM_ZD_Moho!CA_gross_sales_lpg)*CA_HP_oil_nom_period1</f>
        <v>0</v>
      </c>
      <c r="BF183" s="49">
        <f ca="1">(HM_ZD_Moho!CA_gross_sales_oil+HM_ZD_Moho!CA_gross_sales_lpg)*CA_HP_oil_nom_period1</f>
        <v>0</v>
      </c>
      <c r="BG183" s="49">
        <f ca="1">(HM_ZD_Moho!CA_gross_sales_oil+HM_ZD_Moho!CA_gross_sales_lpg)*CA_HP_oil_nom_period1</f>
        <v>0</v>
      </c>
      <c r="BH183" s="49">
        <f ca="1">(HM_ZD_Moho!CA_gross_sales_oil+HM_ZD_Moho!CA_gross_sales_lpg)*CA_HP_oil_nom_period1</f>
        <v>0</v>
      </c>
      <c r="BI183" s="49">
        <f ca="1">(HM_ZD_Moho!CA_gross_sales_oil+HM_ZD_Moho!CA_gross_sales_lpg)*CA_HP_oil_nom_period1</f>
        <v>0</v>
      </c>
      <c r="BJ183" s="49">
        <f ca="1">(HM_ZD_Moho!CA_gross_sales_oil+HM_ZD_Moho!CA_gross_sales_lpg)*CA_HP_oil_nom_period1</f>
        <v>0</v>
      </c>
      <c r="BK183" s="49">
        <f ca="1">(HM_ZD_Moho!CA_gross_sales_oil+HM_ZD_Moho!CA_gross_sales_lpg)*CA_HP_oil_nom_period1</f>
        <v>0</v>
      </c>
      <c r="BL183" s="49">
        <f ca="1">(HM_ZD_Moho!CA_gross_sales_oil+HM_ZD_Moho!CA_gross_sales_lpg)*CA_HP_oil_nom_period1</f>
        <v>0</v>
      </c>
      <c r="BM183" s="49">
        <f ca="1">(HM_ZD_Moho!CA_gross_sales_oil+HM_ZD_Moho!CA_gross_sales_lpg)*CA_HP_oil_nom_period1</f>
        <v>0</v>
      </c>
      <c r="BN183" s="49">
        <f ca="1">(HM_ZD_Moho!CA_gross_sales_oil+HM_ZD_Moho!CA_gross_sales_lpg)*CA_HP_oil_nom_period1</f>
        <v>0</v>
      </c>
      <c r="BO183" s="49">
        <f ca="1">(HM_ZD_Moho!CA_gross_sales_oil+HM_ZD_Moho!CA_gross_sales_lpg)*CA_HP_oil_nom_period1</f>
        <v>0</v>
      </c>
      <c r="BP183" s="49">
        <f ca="1">(HM_ZD_Moho!CA_gross_sales_oil+HM_ZD_Moho!CA_gross_sales_lpg)*CA_HP_oil_nom_period1</f>
        <v>0</v>
      </c>
      <c r="BQ183" s="49">
        <f ca="1">(HM_ZD_Moho!CA_gross_sales_oil+HM_ZD_Moho!CA_gross_sales_lpg)*CA_HP_oil_nom_period1</f>
        <v>0</v>
      </c>
      <c r="BR183" s="49">
        <f ca="1">(HM_ZD_Moho!CA_gross_sales_oil+HM_ZD_Moho!CA_gross_sales_lpg)*CA_HP_oil_nom_period1</f>
        <v>0</v>
      </c>
      <c r="BS183" s="49">
        <f ca="1">(HM_ZD_Moho!CA_gross_sales_oil+HM_ZD_Moho!CA_gross_sales_lpg)*CA_HP_oil_nom_period1</f>
        <v>0</v>
      </c>
    </row>
    <row r="184" spans="3:71" outlineLevel="1" x14ac:dyDescent="0.2">
      <c r="J184" s="26"/>
      <c r="L184" s="55"/>
      <c r="M184" s="55"/>
      <c r="N184" s="55"/>
      <c r="O184" s="55"/>
      <c r="P184" s="55"/>
      <c r="Q184" s="55"/>
      <c r="R184" s="55"/>
      <c r="S184" s="55"/>
      <c r="T184" s="55"/>
      <c r="U184" s="55"/>
      <c r="V184" s="55"/>
      <c r="W184" s="55"/>
      <c r="X184" s="55"/>
      <c r="Y184" s="55"/>
      <c r="Z184" s="55"/>
      <c r="AA184" s="55"/>
      <c r="AB184" s="55"/>
      <c r="AC184" s="55"/>
      <c r="AD184" s="55"/>
      <c r="AE184" s="55"/>
      <c r="AF184" s="55"/>
      <c r="AG184" s="55"/>
      <c r="AH184" s="55"/>
      <c r="AI184" s="55"/>
      <c r="AJ184" s="55"/>
      <c r="AK184" s="55"/>
      <c r="AL184" s="55"/>
      <c r="AM184" s="55"/>
      <c r="AN184" s="55"/>
      <c r="AO184" s="55"/>
      <c r="AP184" s="55"/>
      <c r="AQ184" s="55"/>
      <c r="AR184" s="55"/>
      <c r="AS184" s="55"/>
      <c r="AT184" s="55"/>
      <c r="AU184" s="55"/>
      <c r="AV184" s="55"/>
      <c r="AW184" s="55"/>
      <c r="AX184" s="55"/>
      <c r="AY184" s="55"/>
      <c r="AZ184" s="55"/>
      <c r="BA184" s="55"/>
      <c r="BB184" s="55"/>
      <c r="BC184" s="55"/>
      <c r="BD184" s="55"/>
      <c r="BE184" s="55"/>
      <c r="BF184" s="55"/>
      <c r="BG184" s="55"/>
      <c r="BH184" s="55"/>
      <c r="BI184" s="55"/>
      <c r="BJ184" s="55"/>
      <c r="BK184" s="55"/>
      <c r="BL184" s="55"/>
      <c r="BM184" s="55"/>
      <c r="BN184" s="55"/>
      <c r="BO184" s="55"/>
      <c r="BP184" s="55"/>
      <c r="BQ184" s="55"/>
      <c r="BR184" s="55"/>
      <c r="BS184" s="55"/>
    </row>
    <row r="185" spans="3:71" outlineLevel="1" x14ac:dyDescent="0.2">
      <c r="J185" s="26"/>
      <c r="L185" s="55"/>
      <c r="M185" s="55"/>
      <c r="N185" s="55"/>
      <c r="O185" s="55"/>
      <c r="P185" s="55"/>
      <c r="Q185" s="55"/>
      <c r="R185" s="55"/>
      <c r="S185" s="55"/>
      <c r="T185" s="55"/>
      <c r="U185" s="55"/>
      <c r="V185" s="55"/>
      <c r="W185" s="55"/>
      <c r="X185" s="55"/>
      <c r="Y185" s="55"/>
      <c r="Z185" s="55"/>
      <c r="AA185" s="55"/>
      <c r="AB185" s="55"/>
      <c r="AC185" s="55"/>
      <c r="AD185" s="55"/>
      <c r="AE185" s="55"/>
      <c r="AF185" s="55"/>
      <c r="AG185" s="55"/>
      <c r="AH185" s="55"/>
      <c r="AI185" s="55"/>
      <c r="AJ185" s="55"/>
      <c r="AK185" s="55"/>
      <c r="AL185" s="55"/>
      <c r="AM185" s="55"/>
      <c r="AN185" s="55"/>
      <c r="AO185" s="55"/>
      <c r="AP185" s="55"/>
      <c r="AQ185" s="55"/>
      <c r="AR185" s="55"/>
      <c r="AS185" s="55"/>
      <c r="AT185" s="55"/>
      <c r="AU185" s="55"/>
      <c r="AV185" s="55"/>
      <c r="AW185" s="55"/>
      <c r="AX185" s="55"/>
      <c r="AY185" s="55"/>
      <c r="AZ185" s="55"/>
      <c r="BA185" s="55"/>
      <c r="BB185" s="55"/>
      <c r="BC185" s="55"/>
      <c r="BD185" s="55"/>
      <c r="BE185" s="55"/>
      <c r="BF185" s="55"/>
      <c r="BG185" s="55"/>
      <c r="BH185" s="55"/>
      <c r="BI185" s="55"/>
      <c r="BJ185" s="55"/>
      <c r="BK185" s="55"/>
      <c r="BL185" s="55"/>
      <c r="BM185" s="55"/>
      <c r="BN185" s="55"/>
      <c r="BO185" s="55"/>
      <c r="BP185" s="55"/>
      <c r="BQ185" s="55"/>
      <c r="BR185" s="55"/>
      <c r="BS185" s="55"/>
    </row>
    <row r="186" spans="3:71" outlineLevel="1" x14ac:dyDescent="0.2">
      <c r="D186" t="str">
        <f>CHOOSE(db_ML_selected,'Liste Traduction'!B452,'Liste Traduction'!C452)</f>
        <v>Revenus pétroliers (@ PH Période 2)</v>
      </c>
      <c r="I186" s="30">
        <f ca="1">SUM($L186:$BS186)</f>
        <v>27555.95506208939</v>
      </c>
      <c r="J186" s="26" t="s">
        <v>148</v>
      </c>
      <c r="K186" s="7" t="s">
        <v>460</v>
      </c>
      <c r="L186" s="49">
        <f ca="1">(HM_ZD_Moho!CA_gross_sales_oil+HM_ZD_Moho!CA_gross_sales_lpg)*CA_HP_oil_nom_period2</f>
        <v>923.79564000000005</v>
      </c>
      <c r="M186" s="49">
        <f ca="1">(HM_ZD_Moho!CA_gross_sales_oil+HM_ZD_Moho!CA_gross_sales_lpg)*CA_HP_oil_nom_period2</f>
        <v>984.10702517999994</v>
      </c>
      <c r="N186" s="49">
        <f ca="1">(HM_ZD_Moho!CA_gross_sales_oil+HM_ZD_Moho!CA_gross_sales_lpg)*CA_HP_oil_nom_period2</f>
        <v>815.3750811491999</v>
      </c>
      <c r="O186" s="49">
        <f ca="1">(HM_ZD_Moho!CA_gross_sales_oil+HM_ZD_Moho!CA_gross_sales_lpg)*CA_HP_oil_nom_period2</f>
        <v>843.8313683631601</v>
      </c>
      <c r="P186" s="49">
        <f ca="1">(HM_ZD_Moho!CA_gross_sales_oil+HM_ZD_Moho!CA_gross_sales_lpg)*CA_HP_oil_nom_period2</f>
        <v>1801.543827692484</v>
      </c>
      <c r="Q186" s="49">
        <f ca="1">(HM_ZD_Moho!CA_gross_sales_oil+HM_ZD_Moho!CA_gross_sales_lpg)*CA_HP_oil_nom_period2</f>
        <v>2949.9363972191004</v>
      </c>
      <c r="R186" s="49">
        <f ca="1">(HM_ZD_Moho!CA_gross_sales_oil+HM_ZD_Moho!CA_gross_sales_lpg)*CA_HP_oil_nom_period2</f>
        <v>3138.3929762903731</v>
      </c>
      <c r="S186" s="49">
        <f ca="1">(HM_ZD_Moho!CA_gross_sales_oil+HM_ZD_Moho!CA_gross_sales_lpg)*CA_HP_oil_nom_period2</f>
        <v>3049.1380897141062</v>
      </c>
      <c r="T186" s="49">
        <f ca="1">(HM_ZD_Moho!CA_gross_sales_oil+HM_ZD_Moho!CA_gross_sales_lpg)*CA_HP_oil_nom_period2</f>
        <v>2892.4123919028007</v>
      </c>
      <c r="U186" s="49">
        <f ca="1">(HM_ZD_Moho!CA_gross_sales_oil+HM_ZD_Moho!CA_gross_sales_lpg)*CA_HP_oil_nom_period2</f>
        <v>2743.7423949589966</v>
      </c>
      <c r="V186" s="49">
        <f ca="1">(HM_ZD_Moho!CA_gross_sales_oil+HM_ZD_Moho!CA_gross_sales_lpg)*CA_HP_oil_nom_period2</f>
        <v>2602.7140358581037</v>
      </c>
      <c r="W186" s="49">
        <f ca="1">(HM_ZD_Moho!CA_gross_sales_oil+HM_ZD_Moho!CA_gross_sales_lpg)*CA_HP_oil_nom_period2</f>
        <v>2468.934534414997</v>
      </c>
      <c r="X186" s="49">
        <f ca="1">(HM_ZD_Moho!CA_gross_sales_oil+HM_ZD_Moho!CA_gross_sales_lpg)*CA_HP_oil_nom_period2</f>
        <v>2342.0312993460661</v>
      </c>
      <c r="Y186" s="49">
        <f ca="1">(HM_ZD_Moho!CA_gross_sales_oil+HM_ZD_Moho!CA_gross_sales_lpg)*CA_HP_oil_nom_period2</f>
        <v>0</v>
      </c>
      <c r="Z186" s="49">
        <f ca="1">(HM_ZD_Moho!CA_gross_sales_oil+HM_ZD_Moho!CA_gross_sales_lpg)*CA_HP_oil_nom_period2</f>
        <v>0</v>
      </c>
      <c r="AA186" s="49">
        <f ca="1">(HM_ZD_Moho!CA_gross_sales_oil+HM_ZD_Moho!CA_gross_sales_lpg)*CA_HP_oil_nom_period2</f>
        <v>0</v>
      </c>
      <c r="AB186" s="49">
        <f ca="1">(HM_ZD_Moho!CA_gross_sales_oil+HM_ZD_Moho!CA_gross_sales_lpg)*CA_HP_oil_nom_period2</f>
        <v>0</v>
      </c>
      <c r="AC186" s="49">
        <f ca="1">(HM_ZD_Moho!CA_gross_sales_oil+HM_ZD_Moho!CA_gross_sales_lpg)*CA_HP_oil_nom_period2</f>
        <v>0</v>
      </c>
      <c r="AD186" s="49">
        <f ca="1">(HM_ZD_Moho!CA_gross_sales_oil+HM_ZD_Moho!CA_gross_sales_lpg)*CA_HP_oil_nom_period2</f>
        <v>0</v>
      </c>
      <c r="AE186" s="49">
        <f ca="1">(HM_ZD_Moho!CA_gross_sales_oil+HM_ZD_Moho!CA_gross_sales_lpg)*CA_HP_oil_nom_period2</f>
        <v>0</v>
      </c>
      <c r="AF186" s="49">
        <f ca="1">(HM_ZD_Moho!CA_gross_sales_oil+HM_ZD_Moho!CA_gross_sales_lpg)*CA_HP_oil_nom_period2</f>
        <v>0</v>
      </c>
      <c r="AG186" s="49">
        <f ca="1">(HM_ZD_Moho!CA_gross_sales_oil+HM_ZD_Moho!CA_gross_sales_lpg)*CA_HP_oil_nom_period2</f>
        <v>0</v>
      </c>
      <c r="AH186" s="49">
        <f ca="1">(HM_ZD_Moho!CA_gross_sales_oil+HM_ZD_Moho!CA_gross_sales_lpg)*CA_HP_oil_nom_period2</f>
        <v>0</v>
      </c>
      <c r="AI186" s="49">
        <f ca="1">(HM_ZD_Moho!CA_gross_sales_oil+HM_ZD_Moho!CA_gross_sales_lpg)*CA_HP_oil_nom_period2</f>
        <v>0</v>
      </c>
      <c r="AJ186" s="49">
        <f ca="1">(HM_ZD_Moho!CA_gross_sales_oil+HM_ZD_Moho!CA_gross_sales_lpg)*CA_HP_oil_nom_period2</f>
        <v>0</v>
      </c>
      <c r="AK186" s="49">
        <f ca="1">(HM_ZD_Moho!CA_gross_sales_oil+HM_ZD_Moho!CA_gross_sales_lpg)*CA_HP_oil_nom_period2</f>
        <v>0</v>
      </c>
      <c r="AL186" s="49">
        <f ca="1">(HM_ZD_Moho!CA_gross_sales_oil+HM_ZD_Moho!CA_gross_sales_lpg)*CA_HP_oil_nom_period2</f>
        <v>0</v>
      </c>
      <c r="AM186" s="49">
        <f ca="1">(HM_ZD_Moho!CA_gross_sales_oil+HM_ZD_Moho!CA_gross_sales_lpg)*CA_HP_oil_nom_period2</f>
        <v>0</v>
      </c>
      <c r="AN186" s="49">
        <f ca="1">(HM_ZD_Moho!CA_gross_sales_oil+HM_ZD_Moho!CA_gross_sales_lpg)*CA_HP_oil_nom_period2</f>
        <v>0</v>
      </c>
      <c r="AO186" s="49">
        <f ca="1">(HM_ZD_Moho!CA_gross_sales_oil+HM_ZD_Moho!CA_gross_sales_lpg)*CA_HP_oil_nom_period2</f>
        <v>0</v>
      </c>
      <c r="AP186" s="49">
        <f ca="1">(HM_ZD_Moho!CA_gross_sales_oil+HM_ZD_Moho!CA_gross_sales_lpg)*CA_HP_oil_nom_period2</f>
        <v>0</v>
      </c>
      <c r="AQ186" s="49">
        <f ca="1">(HM_ZD_Moho!CA_gross_sales_oil+HM_ZD_Moho!CA_gross_sales_lpg)*CA_HP_oil_nom_period2</f>
        <v>0</v>
      </c>
      <c r="AR186" s="49">
        <f ca="1">(HM_ZD_Moho!CA_gross_sales_oil+HM_ZD_Moho!CA_gross_sales_lpg)*CA_HP_oil_nom_period2</f>
        <v>0</v>
      </c>
      <c r="AS186" s="49">
        <f ca="1">(HM_ZD_Moho!CA_gross_sales_oil+HM_ZD_Moho!CA_gross_sales_lpg)*CA_HP_oil_nom_period2</f>
        <v>0</v>
      </c>
      <c r="AT186" s="49">
        <f ca="1">(HM_ZD_Moho!CA_gross_sales_oil+HM_ZD_Moho!CA_gross_sales_lpg)*CA_HP_oil_nom_period2</f>
        <v>0</v>
      </c>
      <c r="AU186" s="49">
        <f ca="1">(HM_ZD_Moho!CA_gross_sales_oil+HM_ZD_Moho!CA_gross_sales_lpg)*CA_HP_oil_nom_period2</f>
        <v>0</v>
      </c>
      <c r="AV186" s="49">
        <f ca="1">(HM_ZD_Moho!CA_gross_sales_oil+HM_ZD_Moho!CA_gross_sales_lpg)*CA_HP_oil_nom_period2</f>
        <v>0</v>
      </c>
      <c r="AW186" s="49">
        <f ca="1">(HM_ZD_Moho!CA_gross_sales_oil+HM_ZD_Moho!CA_gross_sales_lpg)*CA_HP_oil_nom_period2</f>
        <v>0</v>
      </c>
      <c r="AX186" s="49">
        <f ca="1">(HM_ZD_Moho!CA_gross_sales_oil+HM_ZD_Moho!CA_gross_sales_lpg)*CA_HP_oil_nom_period2</f>
        <v>0</v>
      </c>
      <c r="AY186" s="49">
        <f ca="1">(HM_ZD_Moho!CA_gross_sales_oil+HM_ZD_Moho!CA_gross_sales_lpg)*CA_HP_oil_nom_period2</f>
        <v>0</v>
      </c>
      <c r="AZ186" s="49">
        <f ca="1">(HM_ZD_Moho!CA_gross_sales_oil+HM_ZD_Moho!CA_gross_sales_lpg)*CA_HP_oil_nom_period2</f>
        <v>0</v>
      </c>
      <c r="BA186" s="49">
        <f ca="1">(HM_ZD_Moho!CA_gross_sales_oil+HM_ZD_Moho!CA_gross_sales_lpg)*CA_HP_oil_nom_period2</f>
        <v>0</v>
      </c>
      <c r="BB186" s="49">
        <f ca="1">(HM_ZD_Moho!CA_gross_sales_oil+HM_ZD_Moho!CA_gross_sales_lpg)*CA_HP_oil_nom_period2</f>
        <v>0</v>
      </c>
      <c r="BC186" s="49">
        <f ca="1">(HM_ZD_Moho!CA_gross_sales_oil+HM_ZD_Moho!CA_gross_sales_lpg)*CA_HP_oil_nom_period2</f>
        <v>0</v>
      </c>
      <c r="BD186" s="49">
        <f ca="1">(HM_ZD_Moho!CA_gross_sales_oil+HM_ZD_Moho!CA_gross_sales_lpg)*CA_HP_oil_nom_period2</f>
        <v>0</v>
      </c>
      <c r="BE186" s="49">
        <f ca="1">(HM_ZD_Moho!CA_gross_sales_oil+HM_ZD_Moho!CA_gross_sales_lpg)*CA_HP_oil_nom_period2</f>
        <v>0</v>
      </c>
      <c r="BF186" s="49">
        <f ca="1">(HM_ZD_Moho!CA_gross_sales_oil+HM_ZD_Moho!CA_gross_sales_lpg)*CA_HP_oil_nom_period2</f>
        <v>0</v>
      </c>
      <c r="BG186" s="49">
        <f ca="1">(HM_ZD_Moho!CA_gross_sales_oil+HM_ZD_Moho!CA_gross_sales_lpg)*CA_HP_oil_nom_period2</f>
        <v>0</v>
      </c>
      <c r="BH186" s="49">
        <f ca="1">(HM_ZD_Moho!CA_gross_sales_oil+HM_ZD_Moho!CA_gross_sales_lpg)*CA_HP_oil_nom_period2</f>
        <v>0</v>
      </c>
      <c r="BI186" s="49">
        <f ca="1">(HM_ZD_Moho!CA_gross_sales_oil+HM_ZD_Moho!CA_gross_sales_lpg)*CA_HP_oil_nom_period2</f>
        <v>0</v>
      </c>
      <c r="BJ186" s="49">
        <f ca="1">(HM_ZD_Moho!CA_gross_sales_oil+HM_ZD_Moho!CA_gross_sales_lpg)*CA_HP_oil_nom_period2</f>
        <v>0</v>
      </c>
      <c r="BK186" s="49">
        <f ca="1">(HM_ZD_Moho!CA_gross_sales_oil+HM_ZD_Moho!CA_gross_sales_lpg)*CA_HP_oil_nom_period2</f>
        <v>0</v>
      </c>
      <c r="BL186" s="49">
        <f ca="1">(HM_ZD_Moho!CA_gross_sales_oil+HM_ZD_Moho!CA_gross_sales_lpg)*CA_HP_oil_nom_period2</f>
        <v>0</v>
      </c>
      <c r="BM186" s="49">
        <f ca="1">(HM_ZD_Moho!CA_gross_sales_oil+HM_ZD_Moho!CA_gross_sales_lpg)*CA_HP_oil_nom_period2</f>
        <v>0</v>
      </c>
      <c r="BN186" s="49">
        <f ca="1">(HM_ZD_Moho!CA_gross_sales_oil+HM_ZD_Moho!CA_gross_sales_lpg)*CA_HP_oil_nom_period2</f>
        <v>0</v>
      </c>
      <c r="BO186" s="49">
        <f ca="1">(HM_ZD_Moho!CA_gross_sales_oil+HM_ZD_Moho!CA_gross_sales_lpg)*CA_HP_oil_nom_period2</f>
        <v>0</v>
      </c>
      <c r="BP186" s="49">
        <f ca="1">(HM_ZD_Moho!CA_gross_sales_oil+HM_ZD_Moho!CA_gross_sales_lpg)*CA_HP_oil_nom_period2</f>
        <v>0</v>
      </c>
      <c r="BQ186" s="49">
        <f ca="1">(HM_ZD_Moho!CA_gross_sales_oil+HM_ZD_Moho!CA_gross_sales_lpg)*CA_HP_oil_nom_period2</f>
        <v>0</v>
      </c>
      <c r="BR186" s="49">
        <f ca="1">(HM_ZD_Moho!CA_gross_sales_oil+HM_ZD_Moho!CA_gross_sales_lpg)*CA_HP_oil_nom_period2</f>
        <v>0</v>
      </c>
      <c r="BS186" s="49">
        <f ca="1">(HM_ZD_Moho!CA_gross_sales_oil+HM_ZD_Moho!CA_gross_sales_lpg)*CA_HP_oil_nom_period2</f>
        <v>0</v>
      </c>
    </row>
    <row r="187" spans="3:71" outlineLevel="1" x14ac:dyDescent="0.2">
      <c r="J187" s="26"/>
      <c r="L187" s="55"/>
      <c r="M187" s="55"/>
      <c r="N187" s="55"/>
      <c r="O187" s="55"/>
      <c r="P187" s="55"/>
      <c r="Q187" s="55"/>
      <c r="R187" s="55"/>
      <c r="S187" s="55"/>
      <c r="T187" s="55"/>
      <c r="U187" s="55"/>
      <c r="V187" s="55"/>
      <c r="W187" s="55"/>
      <c r="X187" s="55"/>
      <c r="Y187" s="55"/>
      <c r="Z187" s="55"/>
      <c r="AA187" s="55"/>
      <c r="AB187" s="55"/>
      <c r="AC187" s="55"/>
      <c r="AD187" s="55"/>
      <c r="AE187" s="55"/>
      <c r="AF187" s="55"/>
      <c r="AG187" s="55"/>
      <c r="AH187" s="55"/>
      <c r="AI187" s="55"/>
      <c r="AJ187" s="55"/>
      <c r="AK187" s="55"/>
      <c r="AL187" s="55"/>
      <c r="AM187" s="55"/>
      <c r="AN187" s="55"/>
      <c r="AO187" s="55"/>
      <c r="AP187" s="55"/>
      <c r="AQ187" s="55"/>
      <c r="AR187" s="55"/>
      <c r="AS187" s="55"/>
      <c r="AT187" s="55"/>
      <c r="AU187" s="55"/>
      <c r="AV187" s="55"/>
      <c r="AW187" s="55"/>
      <c r="AX187" s="55"/>
      <c r="AY187" s="55"/>
      <c r="AZ187" s="55"/>
      <c r="BA187" s="55"/>
      <c r="BB187" s="55"/>
      <c r="BC187" s="55"/>
      <c r="BD187" s="55"/>
      <c r="BE187" s="55"/>
      <c r="BF187" s="55"/>
      <c r="BG187" s="55"/>
      <c r="BH187" s="55"/>
      <c r="BI187" s="55"/>
      <c r="BJ187" s="55"/>
      <c r="BK187" s="55"/>
      <c r="BL187" s="55"/>
      <c r="BM187" s="55"/>
      <c r="BN187" s="55"/>
      <c r="BO187" s="55"/>
      <c r="BP187" s="55"/>
      <c r="BQ187" s="55"/>
      <c r="BR187" s="55"/>
      <c r="BS187" s="55"/>
    </row>
    <row r="188" spans="3:71" outlineLevel="1" x14ac:dyDescent="0.2">
      <c r="D188" t="str">
        <f>HM_ZB_Nsoko!D181</f>
        <v>Différence de revenus pétroliers (PF-PH1)</v>
      </c>
      <c r="I188" s="30">
        <f ca="1">SUM($L188:$BS188)</f>
        <v>3224.1865980825</v>
      </c>
      <c r="J188" s="26" t="s">
        <v>148</v>
      </c>
      <c r="K188" s="7" t="s">
        <v>620</v>
      </c>
      <c r="L188" s="49">
        <f ca="1">HM_ZD_AM3_2005!L173</f>
        <v>1422.5944995370003</v>
      </c>
      <c r="M188" s="49">
        <f ca="1">HM_ZD_AM3_2005!M173</f>
        <v>1299.7484336069997</v>
      </c>
      <c r="N188" s="49">
        <f ca="1">MAX(HM_ZD_Moho!CA_gross_rev_oil_fp-CA_gross_rev_oil_hp1,0)</f>
        <v>309.02600339024991</v>
      </c>
      <c r="O188" s="49">
        <f ca="1">MAX(HM_ZD_Moho!CA_gross_rev_oil_fp-CA_gross_rev_oil_hp1,0)</f>
        <v>192.81766154824999</v>
      </c>
      <c r="P188" s="49">
        <f ca="1">MAX(HM_ZD_Moho!CA_gross_rev_oil_fp-CA_gross_rev_oil_hp1,0)</f>
        <v>0</v>
      </c>
      <c r="Q188" s="49">
        <f ca="1">MAX(HM_ZD_Moho!CA_gross_rev_oil_fp-CA_gross_rev_oil_hp1,0)</f>
        <v>0</v>
      </c>
      <c r="R188" s="49">
        <f ca="1">MAX(HM_ZD_Moho!CA_gross_rev_oil_fp-CA_gross_rev_oil_hp1,0)</f>
        <v>0</v>
      </c>
      <c r="S188" s="49">
        <f ca="1">MAX(HM_ZD_Moho!CA_gross_rev_oil_fp-CA_gross_rev_oil_hp1,0)</f>
        <v>0</v>
      </c>
      <c r="T188" s="49">
        <f ca="1">MAX(HM_ZD_Moho!CA_gross_rev_oil_fp-CA_gross_rev_oil_hp1,0)</f>
        <v>0</v>
      </c>
      <c r="U188" s="49">
        <f ca="1">MAX(HM_ZD_Moho!CA_gross_rev_oil_fp-CA_gross_rev_oil_hp1,0)</f>
        <v>0</v>
      </c>
      <c r="V188" s="49">
        <f ca="1">MAX(HM_ZD_Moho!CA_gross_rev_oil_fp-CA_gross_rev_oil_hp1,0)</f>
        <v>0</v>
      </c>
      <c r="W188" s="49">
        <f ca="1">MAX(HM_ZD_Moho!CA_gross_rev_oil_fp-CA_gross_rev_oil_hp1,0)</f>
        <v>0</v>
      </c>
      <c r="X188" s="49">
        <f ca="1">MAX(HM_ZD_Moho!CA_gross_rev_oil_fp-CA_gross_rev_oil_hp1,0)</f>
        <v>0</v>
      </c>
      <c r="Y188" s="49">
        <f ca="1">MAX(HM_ZD_Moho!CA_gross_rev_oil_fp-CA_gross_rev_oil_hp1,0)</f>
        <v>0</v>
      </c>
      <c r="Z188" s="49">
        <f ca="1">MAX(HM_ZD_Moho!CA_gross_rev_oil_fp-CA_gross_rev_oil_hp1,0)</f>
        <v>0</v>
      </c>
      <c r="AA188" s="49">
        <f ca="1">MAX(HM_ZD_Moho!CA_gross_rev_oil_fp-CA_gross_rev_oil_hp1,0)</f>
        <v>0</v>
      </c>
      <c r="AB188" s="49">
        <f ca="1">MAX(HM_ZD_Moho!CA_gross_rev_oil_fp-CA_gross_rev_oil_hp1,0)</f>
        <v>0</v>
      </c>
      <c r="AC188" s="49">
        <f ca="1">MAX(HM_ZD_Moho!CA_gross_rev_oil_fp-CA_gross_rev_oil_hp1,0)</f>
        <v>0</v>
      </c>
      <c r="AD188" s="49">
        <f ca="1">MAX(HM_ZD_Moho!CA_gross_rev_oil_fp-CA_gross_rev_oil_hp1,0)</f>
        <v>0</v>
      </c>
      <c r="AE188" s="49">
        <f ca="1">MAX(HM_ZD_Moho!CA_gross_rev_oil_fp-CA_gross_rev_oil_hp1,0)</f>
        <v>0</v>
      </c>
      <c r="AF188" s="49">
        <f ca="1">MAX(HM_ZD_Moho!CA_gross_rev_oil_fp-CA_gross_rev_oil_hp1,0)</f>
        <v>0</v>
      </c>
      <c r="AG188" s="49">
        <f ca="1">MAX(HM_ZD_Moho!CA_gross_rev_oil_fp-CA_gross_rev_oil_hp1,0)</f>
        <v>0</v>
      </c>
      <c r="AH188" s="49">
        <f ca="1">MAX(HM_ZD_Moho!CA_gross_rev_oil_fp-CA_gross_rev_oil_hp1,0)</f>
        <v>0</v>
      </c>
      <c r="AI188" s="49">
        <f ca="1">MAX(HM_ZD_Moho!CA_gross_rev_oil_fp-CA_gross_rev_oil_hp1,0)</f>
        <v>0</v>
      </c>
      <c r="AJ188" s="49">
        <f ca="1">MAX(HM_ZD_Moho!CA_gross_rev_oil_fp-CA_gross_rev_oil_hp1,0)</f>
        <v>0</v>
      </c>
      <c r="AK188" s="49">
        <f ca="1">MAX(HM_ZD_Moho!CA_gross_rev_oil_fp-CA_gross_rev_oil_hp1,0)</f>
        <v>0</v>
      </c>
      <c r="AL188" s="49">
        <f ca="1">MAX(HM_ZD_Moho!CA_gross_rev_oil_fp-CA_gross_rev_oil_hp1,0)</f>
        <v>0</v>
      </c>
      <c r="AM188" s="49">
        <f ca="1">MAX(HM_ZD_Moho!CA_gross_rev_oil_fp-CA_gross_rev_oil_hp1,0)</f>
        <v>0</v>
      </c>
      <c r="AN188" s="49">
        <f ca="1">MAX(HM_ZD_Moho!CA_gross_rev_oil_fp-CA_gross_rev_oil_hp1,0)</f>
        <v>0</v>
      </c>
      <c r="AO188" s="49">
        <f ca="1">MAX(HM_ZD_Moho!CA_gross_rev_oil_fp-CA_gross_rev_oil_hp1,0)</f>
        <v>0</v>
      </c>
      <c r="AP188" s="49">
        <f ca="1">MAX(HM_ZD_Moho!CA_gross_rev_oil_fp-CA_gross_rev_oil_hp1,0)</f>
        <v>0</v>
      </c>
      <c r="AQ188" s="49">
        <f ca="1">MAX(HM_ZD_Moho!CA_gross_rev_oil_fp-CA_gross_rev_oil_hp1,0)</f>
        <v>0</v>
      </c>
      <c r="AR188" s="49">
        <f ca="1">MAX(HM_ZD_Moho!CA_gross_rev_oil_fp-CA_gross_rev_oil_hp1,0)</f>
        <v>0</v>
      </c>
      <c r="AS188" s="49">
        <f ca="1">MAX(HM_ZD_Moho!CA_gross_rev_oil_fp-CA_gross_rev_oil_hp1,0)</f>
        <v>0</v>
      </c>
      <c r="AT188" s="49">
        <f ca="1">MAX(HM_ZD_Moho!CA_gross_rev_oil_fp-CA_gross_rev_oil_hp1,0)</f>
        <v>0</v>
      </c>
      <c r="AU188" s="49">
        <f ca="1">MAX(HM_ZD_Moho!CA_gross_rev_oil_fp-CA_gross_rev_oil_hp1,0)</f>
        <v>0</v>
      </c>
      <c r="AV188" s="49">
        <f ca="1">MAX(HM_ZD_Moho!CA_gross_rev_oil_fp-CA_gross_rev_oil_hp1,0)</f>
        <v>0</v>
      </c>
      <c r="AW188" s="49">
        <f ca="1">MAX(HM_ZD_Moho!CA_gross_rev_oil_fp-CA_gross_rev_oil_hp1,0)</f>
        <v>0</v>
      </c>
      <c r="AX188" s="49">
        <f ca="1">MAX(HM_ZD_Moho!CA_gross_rev_oil_fp-CA_gross_rev_oil_hp1,0)</f>
        <v>0</v>
      </c>
      <c r="AY188" s="49">
        <f ca="1">MAX(HM_ZD_Moho!CA_gross_rev_oil_fp-CA_gross_rev_oil_hp1,0)</f>
        <v>0</v>
      </c>
      <c r="AZ188" s="49">
        <f ca="1">MAX(HM_ZD_Moho!CA_gross_rev_oil_fp-CA_gross_rev_oil_hp1,0)</f>
        <v>0</v>
      </c>
      <c r="BA188" s="49">
        <f ca="1">MAX(HM_ZD_Moho!CA_gross_rev_oil_fp-CA_gross_rev_oil_hp1,0)</f>
        <v>0</v>
      </c>
      <c r="BB188" s="49">
        <f ca="1">MAX(HM_ZD_Moho!CA_gross_rev_oil_fp-CA_gross_rev_oil_hp1,0)</f>
        <v>0</v>
      </c>
      <c r="BC188" s="49">
        <f ca="1">MAX(HM_ZD_Moho!CA_gross_rev_oil_fp-CA_gross_rev_oil_hp1,0)</f>
        <v>0</v>
      </c>
      <c r="BD188" s="49">
        <f ca="1">MAX(HM_ZD_Moho!CA_gross_rev_oil_fp-CA_gross_rev_oil_hp1,0)</f>
        <v>0</v>
      </c>
      <c r="BE188" s="49">
        <f ca="1">MAX(HM_ZD_Moho!CA_gross_rev_oil_fp-CA_gross_rev_oil_hp1,0)</f>
        <v>0</v>
      </c>
      <c r="BF188" s="49">
        <f ca="1">MAX(HM_ZD_Moho!CA_gross_rev_oil_fp-CA_gross_rev_oil_hp1,0)</f>
        <v>0</v>
      </c>
      <c r="BG188" s="49">
        <f ca="1">MAX(HM_ZD_Moho!CA_gross_rev_oil_fp-CA_gross_rev_oil_hp1,0)</f>
        <v>0</v>
      </c>
      <c r="BH188" s="49">
        <f ca="1">MAX(HM_ZD_Moho!CA_gross_rev_oil_fp-CA_gross_rev_oil_hp1,0)</f>
        <v>0</v>
      </c>
      <c r="BI188" s="49">
        <f ca="1">MAX(HM_ZD_Moho!CA_gross_rev_oil_fp-CA_gross_rev_oil_hp1,0)</f>
        <v>0</v>
      </c>
      <c r="BJ188" s="49">
        <f ca="1">MAX(HM_ZD_Moho!CA_gross_rev_oil_fp-CA_gross_rev_oil_hp1,0)</f>
        <v>0</v>
      </c>
      <c r="BK188" s="49">
        <f ca="1">MAX(HM_ZD_Moho!CA_gross_rev_oil_fp-CA_gross_rev_oil_hp1,0)</f>
        <v>0</v>
      </c>
      <c r="BL188" s="49">
        <f ca="1">MAX(HM_ZD_Moho!CA_gross_rev_oil_fp-CA_gross_rev_oil_hp1,0)</f>
        <v>0</v>
      </c>
      <c r="BM188" s="49">
        <f ca="1">MAX(HM_ZD_Moho!CA_gross_rev_oil_fp-CA_gross_rev_oil_hp1,0)</f>
        <v>0</v>
      </c>
      <c r="BN188" s="49">
        <f ca="1">MAX(HM_ZD_Moho!CA_gross_rev_oil_fp-CA_gross_rev_oil_hp1,0)</f>
        <v>0</v>
      </c>
      <c r="BO188" s="49">
        <f ca="1">MAX(HM_ZD_Moho!CA_gross_rev_oil_fp-CA_gross_rev_oil_hp1,0)</f>
        <v>0</v>
      </c>
      <c r="BP188" s="49">
        <f ca="1">MAX(HM_ZD_Moho!CA_gross_rev_oil_fp-CA_gross_rev_oil_hp1,0)</f>
        <v>0</v>
      </c>
      <c r="BQ188" s="49">
        <f ca="1">MAX(HM_ZD_Moho!CA_gross_rev_oil_fp-CA_gross_rev_oil_hp1,0)</f>
        <v>0</v>
      </c>
      <c r="BR188" s="49">
        <f ca="1">MAX(HM_ZD_Moho!CA_gross_rev_oil_fp-CA_gross_rev_oil_hp1,0)</f>
        <v>0</v>
      </c>
      <c r="BS188" s="49">
        <f ca="1">MAX(HM_ZD_Moho!CA_gross_rev_oil_fp-CA_gross_rev_oil_hp1,0)</f>
        <v>0</v>
      </c>
    </row>
    <row r="189" spans="3:71" outlineLevel="1" x14ac:dyDescent="0.2">
      <c r="J189" s="26"/>
      <c r="L189" s="55"/>
      <c r="M189" s="55"/>
      <c r="N189" s="55"/>
      <c r="O189" s="55"/>
      <c r="P189" s="55"/>
      <c r="Q189" s="55"/>
      <c r="R189" s="55"/>
      <c r="S189" s="55"/>
      <c r="T189" s="55"/>
      <c r="U189" s="55"/>
      <c r="V189" s="55"/>
      <c r="W189" s="55"/>
      <c r="X189" s="55"/>
      <c r="Y189" s="55"/>
      <c r="Z189" s="55"/>
      <c r="AA189" s="55"/>
      <c r="AB189" s="55"/>
      <c r="AC189" s="55"/>
      <c r="AD189" s="55"/>
      <c r="AE189" s="55"/>
      <c r="AF189" s="55"/>
      <c r="AG189" s="55"/>
      <c r="AH189" s="55"/>
      <c r="AI189" s="55"/>
      <c r="AJ189" s="55"/>
      <c r="AK189" s="55"/>
      <c r="AL189" s="55"/>
      <c r="AM189" s="55"/>
      <c r="AN189" s="55"/>
      <c r="AO189" s="55"/>
      <c r="AP189" s="55"/>
      <c r="AQ189" s="55"/>
      <c r="AR189" s="55"/>
      <c r="AS189" s="55"/>
      <c r="AT189" s="55"/>
      <c r="AU189" s="55"/>
      <c r="AV189" s="55"/>
      <c r="AW189" s="55"/>
      <c r="AX189" s="55"/>
      <c r="AY189" s="55"/>
      <c r="AZ189" s="55"/>
      <c r="BA189" s="55"/>
      <c r="BB189" s="55"/>
      <c r="BC189" s="55"/>
      <c r="BD189" s="55"/>
      <c r="BE189" s="55"/>
      <c r="BF189" s="55"/>
      <c r="BG189" s="55"/>
      <c r="BH189" s="55"/>
      <c r="BI189" s="55"/>
      <c r="BJ189" s="55"/>
      <c r="BK189" s="55"/>
      <c r="BL189" s="55"/>
      <c r="BM189" s="55"/>
      <c r="BN189" s="55"/>
      <c r="BO189" s="55"/>
      <c r="BP189" s="55"/>
      <c r="BQ189" s="55"/>
      <c r="BR189" s="55"/>
      <c r="BS189" s="55"/>
    </row>
    <row r="190" spans="3:71" outlineLevel="1" x14ac:dyDescent="0.2">
      <c r="D190" t="str">
        <f>HM_ZB_Nsoko!D183</f>
        <v>Différence de revenus pétroliers (PF-PH2)</v>
      </c>
      <c r="I190" s="30">
        <f ca="1">SUM($L190:$BS190)</f>
        <v>4912.9170592731098</v>
      </c>
      <c r="J190" s="26" t="s">
        <v>148</v>
      </c>
      <c r="K190" s="7" t="s">
        <v>622</v>
      </c>
      <c r="L190" s="49">
        <f ca="1">MAX(HM_ZD_Moho!CA_gross_rev_oil_fp-CA_gross_rev_oil_hp2,0)</f>
        <v>988.38790668700017</v>
      </c>
      <c r="M190" s="49">
        <f ca="1">MAX(HM_ZD_Moho!CA_gross_rev_oil_fp-CA_gross_rev_oil_hp2,0)</f>
        <v>833.66914142399969</v>
      </c>
      <c r="N190" s="49">
        <f ca="1">MAX(HM_ZD_Moho!CA_gross_rev_oil_fp-CA_gross_rev_oil_hp2,0)</f>
        <v>0</v>
      </c>
      <c r="O190" s="49">
        <f ca="1">MAX(HM_ZD_Moho!CA_gross_rev_oil_fp-CA_gross_rev_oil_hp2,0)</f>
        <v>0</v>
      </c>
      <c r="P190" s="49">
        <f ca="1">MAX(HM_ZD_Moho!CA_gross_rev_oil_fp-CA_gross_rev_oil_hp2,0)</f>
        <v>0</v>
      </c>
      <c r="Q190" s="49">
        <f ca="1">MAX(HM_ZD_Moho!CA_gross_rev_oil_fp-CA_gross_rev_oil_hp2,0)</f>
        <v>635.95810092090005</v>
      </c>
      <c r="R190" s="49">
        <f ca="1">MAX(HM_ZD_Moho!CA_gross_rev_oil_fp-CA_gross_rev_oil_hp2,0)</f>
        <v>385.93779431462735</v>
      </c>
      <c r="S190" s="49">
        <f ca="1">MAX(HM_ZD_Moho!CA_gross_rev_oil_fp-CA_gross_rev_oil_hp2,0)</f>
        <v>0</v>
      </c>
      <c r="T190" s="49">
        <f ca="1">MAX(HM_ZD_Moho!CA_gross_rev_oil_fp-CA_gross_rev_oil_hp2,0)</f>
        <v>327.3991858955992</v>
      </c>
      <c r="U190" s="49">
        <f ca="1">MAX(HM_ZD_Moho!CA_gross_rev_oil_fp-CA_gross_rev_oil_hp2,0)</f>
        <v>470.43486109300329</v>
      </c>
      <c r="V190" s="49">
        <f ca="1">MAX(HM_ZD_Moho!CA_gross_rev_oil_fp-CA_gross_rev_oil_hp2,0)</f>
        <v>446.25450923282324</v>
      </c>
      <c r="W190" s="49">
        <f ca="1">MAX(HM_ZD_Moho!CA_gross_rev_oil_fp-CA_gross_rev_oil_hp2,0)</f>
        <v>423.31702745825578</v>
      </c>
      <c r="X190" s="49">
        <f ca="1">MAX(HM_ZD_Moho!CA_gross_rev_oil_fp-CA_gross_rev_oil_hp2,0)</f>
        <v>401.55853224690145</v>
      </c>
      <c r="Y190" s="49">
        <f ca="1">MAX(HM_ZD_Moho!CA_gross_rev_oil_fp-CA_gross_rev_oil_hp2,0)</f>
        <v>0</v>
      </c>
      <c r="Z190" s="49">
        <f ca="1">MAX(HM_ZD_Moho!CA_gross_rev_oil_fp-CA_gross_rev_oil_hp2,0)</f>
        <v>0</v>
      </c>
      <c r="AA190" s="49">
        <f ca="1">MAX(HM_ZD_Moho!CA_gross_rev_oil_fp-CA_gross_rev_oil_hp2,0)</f>
        <v>0</v>
      </c>
      <c r="AB190" s="49">
        <f ca="1">MAX(HM_ZD_Moho!CA_gross_rev_oil_fp-CA_gross_rev_oil_hp2,0)</f>
        <v>0</v>
      </c>
      <c r="AC190" s="49">
        <f ca="1">MAX(HM_ZD_Moho!CA_gross_rev_oil_fp-CA_gross_rev_oil_hp2,0)</f>
        <v>0</v>
      </c>
      <c r="AD190" s="49">
        <f ca="1">MAX(HM_ZD_Moho!CA_gross_rev_oil_fp-CA_gross_rev_oil_hp2,0)</f>
        <v>0</v>
      </c>
      <c r="AE190" s="49">
        <f ca="1">MAX(HM_ZD_Moho!CA_gross_rev_oil_fp-CA_gross_rev_oil_hp2,0)</f>
        <v>0</v>
      </c>
      <c r="AF190" s="49">
        <f ca="1">MAX(HM_ZD_Moho!CA_gross_rev_oil_fp-CA_gross_rev_oil_hp2,0)</f>
        <v>0</v>
      </c>
      <c r="AG190" s="49">
        <f ca="1">MAX(HM_ZD_Moho!CA_gross_rev_oil_fp-CA_gross_rev_oil_hp2,0)</f>
        <v>0</v>
      </c>
      <c r="AH190" s="49">
        <f ca="1">MAX(HM_ZD_Moho!CA_gross_rev_oil_fp-CA_gross_rev_oil_hp2,0)</f>
        <v>0</v>
      </c>
      <c r="AI190" s="49">
        <f ca="1">MAX(HM_ZD_Moho!CA_gross_rev_oil_fp-CA_gross_rev_oil_hp2,0)</f>
        <v>0</v>
      </c>
      <c r="AJ190" s="49">
        <f ca="1">MAX(HM_ZD_Moho!CA_gross_rev_oil_fp-CA_gross_rev_oil_hp2,0)</f>
        <v>0</v>
      </c>
      <c r="AK190" s="49">
        <f ca="1">MAX(HM_ZD_Moho!CA_gross_rev_oil_fp-CA_gross_rev_oil_hp2,0)</f>
        <v>0</v>
      </c>
      <c r="AL190" s="49">
        <f ca="1">MAX(HM_ZD_Moho!CA_gross_rev_oil_fp-CA_gross_rev_oil_hp2,0)</f>
        <v>0</v>
      </c>
      <c r="AM190" s="49">
        <f ca="1">MAX(HM_ZD_Moho!CA_gross_rev_oil_fp-CA_gross_rev_oil_hp2,0)</f>
        <v>0</v>
      </c>
      <c r="AN190" s="49">
        <f ca="1">MAX(HM_ZD_Moho!CA_gross_rev_oil_fp-CA_gross_rev_oil_hp2,0)</f>
        <v>0</v>
      </c>
      <c r="AO190" s="49">
        <f ca="1">MAX(HM_ZD_Moho!CA_gross_rev_oil_fp-CA_gross_rev_oil_hp2,0)</f>
        <v>0</v>
      </c>
      <c r="AP190" s="49">
        <f ca="1">MAX(HM_ZD_Moho!CA_gross_rev_oil_fp-CA_gross_rev_oil_hp2,0)</f>
        <v>0</v>
      </c>
      <c r="AQ190" s="49">
        <f ca="1">MAX(HM_ZD_Moho!CA_gross_rev_oil_fp-CA_gross_rev_oil_hp2,0)</f>
        <v>0</v>
      </c>
      <c r="AR190" s="49">
        <f ca="1">MAX(HM_ZD_Moho!CA_gross_rev_oil_fp-CA_gross_rev_oil_hp2,0)</f>
        <v>0</v>
      </c>
      <c r="AS190" s="49">
        <f ca="1">MAX(HM_ZD_Moho!CA_gross_rev_oil_fp-CA_gross_rev_oil_hp2,0)</f>
        <v>0</v>
      </c>
      <c r="AT190" s="49">
        <f ca="1">MAX(HM_ZD_Moho!CA_gross_rev_oil_fp-CA_gross_rev_oil_hp2,0)</f>
        <v>0</v>
      </c>
      <c r="AU190" s="49">
        <f ca="1">MAX(HM_ZD_Moho!CA_gross_rev_oil_fp-CA_gross_rev_oil_hp2,0)</f>
        <v>0</v>
      </c>
      <c r="AV190" s="49">
        <f ca="1">MAX(HM_ZD_Moho!CA_gross_rev_oil_fp-CA_gross_rev_oil_hp2,0)</f>
        <v>0</v>
      </c>
      <c r="AW190" s="49">
        <f ca="1">MAX(HM_ZD_Moho!CA_gross_rev_oil_fp-CA_gross_rev_oil_hp2,0)</f>
        <v>0</v>
      </c>
      <c r="AX190" s="49">
        <f ca="1">MAX(HM_ZD_Moho!CA_gross_rev_oil_fp-CA_gross_rev_oil_hp2,0)</f>
        <v>0</v>
      </c>
      <c r="AY190" s="49">
        <f ca="1">MAX(HM_ZD_Moho!CA_gross_rev_oil_fp-CA_gross_rev_oil_hp2,0)</f>
        <v>0</v>
      </c>
      <c r="AZ190" s="49">
        <f ca="1">MAX(HM_ZD_Moho!CA_gross_rev_oil_fp-CA_gross_rev_oil_hp2,0)</f>
        <v>0</v>
      </c>
      <c r="BA190" s="49">
        <f ca="1">MAX(HM_ZD_Moho!CA_gross_rev_oil_fp-CA_gross_rev_oil_hp2,0)</f>
        <v>0</v>
      </c>
      <c r="BB190" s="49">
        <f ca="1">MAX(HM_ZD_Moho!CA_gross_rev_oil_fp-CA_gross_rev_oil_hp2,0)</f>
        <v>0</v>
      </c>
      <c r="BC190" s="49">
        <f ca="1">MAX(HM_ZD_Moho!CA_gross_rev_oil_fp-CA_gross_rev_oil_hp2,0)</f>
        <v>0</v>
      </c>
      <c r="BD190" s="49">
        <f ca="1">MAX(HM_ZD_Moho!CA_gross_rev_oil_fp-CA_gross_rev_oil_hp2,0)</f>
        <v>0</v>
      </c>
      <c r="BE190" s="49">
        <f ca="1">MAX(HM_ZD_Moho!CA_gross_rev_oil_fp-CA_gross_rev_oil_hp2,0)</f>
        <v>0</v>
      </c>
      <c r="BF190" s="49">
        <f ca="1">MAX(HM_ZD_Moho!CA_gross_rev_oil_fp-CA_gross_rev_oil_hp2,0)</f>
        <v>0</v>
      </c>
      <c r="BG190" s="49">
        <f ca="1">MAX(HM_ZD_Moho!CA_gross_rev_oil_fp-CA_gross_rev_oil_hp2,0)</f>
        <v>0</v>
      </c>
      <c r="BH190" s="49">
        <f ca="1">MAX(HM_ZD_Moho!CA_gross_rev_oil_fp-CA_gross_rev_oil_hp2,0)</f>
        <v>0</v>
      </c>
      <c r="BI190" s="49">
        <f ca="1">MAX(HM_ZD_Moho!CA_gross_rev_oil_fp-CA_gross_rev_oil_hp2,0)</f>
        <v>0</v>
      </c>
      <c r="BJ190" s="49">
        <f ca="1">MAX(HM_ZD_Moho!CA_gross_rev_oil_fp-CA_gross_rev_oil_hp2,0)</f>
        <v>0</v>
      </c>
      <c r="BK190" s="49">
        <f ca="1">MAX(HM_ZD_Moho!CA_gross_rev_oil_fp-CA_gross_rev_oil_hp2,0)</f>
        <v>0</v>
      </c>
      <c r="BL190" s="49">
        <f ca="1">MAX(HM_ZD_Moho!CA_gross_rev_oil_fp-CA_gross_rev_oil_hp2,0)</f>
        <v>0</v>
      </c>
      <c r="BM190" s="49">
        <f ca="1">MAX(HM_ZD_Moho!CA_gross_rev_oil_fp-CA_gross_rev_oil_hp2,0)</f>
        <v>0</v>
      </c>
      <c r="BN190" s="49">
        <f ca="1">MAX(HM_ZD_Moho!CA_gross_rev_oil_fp-CA_gross_rev_oil_hp2,0)</f>
        <v>0</v>
      </c>
      <c r="BO190" s="49">
        <f ca="1">MAX(HM_ZD_Moho!CA_gross_rev_oil_fp-CA_gross_rev_oil_hp2,0)</f>
        <v>0</v>
      </c>
      <c r="BP190" s="49">
        <f ca="1">MAX(HM_ZD_Moho!CA_gross_rev_oil_fp-CA_gross_rev_oil_hp2,0)</f>
        <v>0</v>
      </c>
      <c r="BQ190" s="49">
        <f ca="1">MAX(HM_ZD_Moho!CA_gross_rev_oil_fp-CA_gross_rev_oil_hp2,0)</f>
        <v>0</v>
      </c>
      <c r="BR190" s="49">
        <f ca="1">MAX(HM_ZD_Moho!CA_gross_rev_oil_fp-CA_gross_rev_oil_hp2,0)</f>
        <v>0</v>
      </c>
      <c r="BS190" s="49">
        <f ca="1">MAX(HM_ZD_Moho!CA_gross_rev_oil_fp-CA_gross_rev_oil_hp2,0)</f>
        <v>0</v>
      </c>
    </row>
    <row r="191" spans="3:71" outlineLevel="1" x14ac:dyDescent="0.2">
      <c r="J191" s="26"/>
      <c r="L191" s="55"/>
      <c r="M191" s="55"/>
      <c r="N191" s="55"/>
      <c r="O191" s="55"/>
      <c r="P191" s="55"/>
      <c r="Q191" s="55"/>
      <c r="R191" s="55"/>
      <c r="S191" s="55"/>
      <c r="T191" s="55"/>
      <c r="U191" s="55"/>
      <c r="V191" s="55"/>
      <c r="W191" s="55"/>
      <c r="X191" s="55"/>
      <c r="Y191" s="55"/>
      <c r="Z191" s="55"/>
      <c r="AA191" s="55"/>
      <c r="AB191" s="55"/>
      <c r="AC191" s="55"/>
      <c r="AD191" s="55"/>
      <c r="AE191" s="55"/>
      <c r="AF191" s="55"/>
      <c r="AG191" s="55"/>
      <c r="AH191" s="55"/>
      <c r="AI191" s="55"/>
      <c r="AJ191" s="55"/>
      <c r="AK191" s="55"/>
      <c r="AL191" s="55"/>
      <c r="AM191" s="55"/>
      <c r="AN191" s="55"/>
      <c r="AO191" s="55"/>
      <c r="AP191" s="55"/>
      <c r="AQ191" s="55"/>
      <c r="AR191" s="55"/>
      <c r="AS191" s="55"/>
      <c r="AT191" s="55"/>
      <c r="AU191" s="55"/>
      <c r="AV191" s="55"/>
      <c r="AW191" s="55"/>
      <c r="AX191" s="55"/>
      <c r="AY191" s="55"/>
      <c r="AZ191" s="55"/>
      <c r="BA191" s="55"/>
      <c r="BB191" s="55"/>
      <c r="BC191" s="55"/>
      <c r="BD191" s="55"/>
      <c r="BE191" s="55"/>
      <c r="BF191" s="55"/>
      <c r="BG191" s="55"/>
      <c r="BH191" s="55"/>
      <c r="BI191" s="55"/>
      <c r="BJ191" s="55"/>
      <c r="BK191" s="55"/>
      <c r="BL191" s="55"/>
      <c r="BM191" s="55"/>
      <c r="BN191" s="55"/>
      <c r="BO191" s="55"/>
      <c r="BP191" s="55"/>
      <c r="BQ191" s="55"/>
      <c r="BR191" s="55"/>
      <c r="BS191" s="55"/>
    </row>
    <row r="192" spans="3:71" outlineLevel="1" x14ac:dyDescent="0.2">
      <c r="C192" s="11" t="str">
        <f>HM_ZB_Nsoko!C185</f>
        <v>Part du produit dans les revenus</v>
      </c>
      <c r="J192" s="26"/>
      <c r="L192" s="55"/>
      <c r="M192" s="55"/>
      <c r="N192" s="55"/>
      <c r="O192" s="55"/>
      <c r="P192" s="55"/>
      <c r="Q192" s="55"/>
      <c r="R192" s="55"/>
      <c r="S192" s="55"/>
      <c r="T192" s="55"/>
      <c r="U192" s="55"/>
      <c r="V192" s="55"/>
      <c r="W192" s="55"/>
      <c r="X192" s="55"/>
      <c r="Y192" s="55"/>
      <c r="Z192" s="55"/>
      <c r="AA192" s="55"/>
      <c r="AB192" s="55"/>
      <c r="AC192" s="55"/>
      <c r="AD192" s="55"/>
      <c r="AE192" s="55"/>
      <c r="AF192" s="55"/>
      <c r="AG192" s="55"/>
      <c r="AH192" s="55"/>
      <c r="AI192" s="55"/>
      <c r="AJ192" s="55"/>
      <c r="AK192" s="55"/>
      <c r="AL192" s="55"/>
      <c r="AM192" s="55"/>
      <c r="AN192" s="55"/>
      <c r="AO192" s="55"/>
      <c r="AP192" s="55"/>
      <c r="AQ192" s="55"/>
      <c r="AR192" s="55"/>
      <c r="AS192" s="55"/>
      <c r="AT192" s="55"/>
      <c r="AU192" s="55"/>
      <c r="AV192" s="55"/>
      <c r="AW192" s="55"/>
      <c r="AX192" s="55"/>
      <c r="AY192" s="55"/>
      <c r="AZ192" s="55"/>
      <c r="BA192" s="55"/>
      <c r="BB192" s="55"/>
      <c r="BC192" s="55"/>
      <c r="BD192" s="55"/>
      <c r="BE192" s="55"/>
      <c r="BF192" s="55"/>
      <c r="BG192" s="55"/>
      <c r="BH192" s="55"/>
      <c r="BI192" s="55"/>
      <c r="BJ192" s="55"/>
      <c r="BK192" s="55"/>
      <c r="BL192" s="55"/>
      <c r="BM192" s="55"/>
      <c r="BN192" s="55"/>
      <c r="BO192" s="55"/>
      <c r="BP192" s="55"/>
      <c r="BQ192" s="55"/>
      <c r="BR192" s="55"/>
      <c r="BS192" s="55"/>
    </row>
    <row r="193" spans="1:71" outlineLevel="1" x14ac:dyDescent="0.2">
      <c r="D193" t="str">
        <f>HM_ZB_Nsoko!D186</f>
        <v>Part du pétrole dans le revenu total</v>
      </c>
      <c r="I193" s="58">
        <f ca="1">IFERROR(I178/$I$180,0)</f>
        <v>1</v>
      </c>
      <c r="J193" s="26" t="s">
        <v>90</v>
      </c>
      <c r="K193" s="7" t="s">
        <v>231</v>
      </c>
      <c r="L193" s="53">
        <f ca="1">IFERROR(HM_ZD_Moho!CA_gross_rev_oil_fp/HM_ZD_Moho!CA_gross_rev_total_fp,0)</f>
        <v>1</v>
      </c>
      <c r="M193" s="53">
        <f ca="1">IFERROR(HM_ZD_Moho!CA_gross_rev_oil_fp/HM_ZD_Moho!CA_gross_rev_total_fp,0)</f>
        <v>1</v>
      </c>
      <c r="N193" s="53">
        <f ca="1">IFERROR(HM_ZD_Moho!CA_gross_rev_oil_fp/HM_ZD_Moho!CA_gross_rev_total_fp,0)</f>
        <v>1</v>
      </c>
      <c r="O193" s="53">
        <f ca="1">IFERROR(HM_ZD_Moho!CA_gross_rev_oil_fp/HM_ZD_Moho!CA_gross_rev_total_fp,0)</f>
        <v>1</v>
      </c>
      <c r="P193" s="53">
        <f ca="1">IFERROR(HM_ZD_Moho!CA_gross_rev_oil_fp/HM_ZD_Moho!CA_gross_rev_total_fp,0)</f>
        <v>1</v>
      </c>
      <c r="Q193" s="53">
        <f ca="1">IFERROR(HM_ZD_Moho!CA_gross_rev_oil_fp/HM_ZD_Moho!CA_gross_rev_total_fp,0)</f>
        <v>1</v>
      </c>
      <c r="R193" s="53">
        <f ca="1">IFERROR(HM_ZD_Moho!CA_gross_rev_oil_fp/HM_ZD_Moho!CA_gross_rev_total_fp,0)</f>
        <v>1</v>
      </c>
      <c r="S193" s="53">
        <f ca="1">IFERROR(HM_ZD_Moho!CA_gross_rev_oil_fp/HM_ZD_Moho!CA_gross_rev_total_fp,0)</f>
        <v>1</v>
      </c>
      <c r="T193" s="53">
        <f ca="1">IFERROR(HM_ZD_Moho!CA_gross_rev_oil_fp/HM_ZD_Moho!CA_gross_rev_total_fp,0)</f>
        <v>1</v>
      </c>
      <c r="U193" s="53">
        <f ca="1">IFERROR(HM_ZD_Moho!CA_gross_rev_oil_fp/HM_ZD_Moho!CA_gross_rev_total_fp,0)</f>
        <v>1</v>
      </c>
      <c r="V193" s="53">
        <f ca="1">IFERROR(HM_ZD_Moho!CA_gross_rev_oil_fp/HM_ZD_Moho!CA_gross_rev_total_fp,0)</f>
        <v>1</v>
      </c>
      <c r="W193" s="53">
        <f ca="1">IFERROR(HM_ZD_Moho!CA_gross_rev_oil_fp/HM_ZD_Moho!CA_gross_rev_total_fp,0)</f>
        <v>1</v>
      </c>
      <c r="X193" s="53">
        <f ca="1">IFERROR(HM_ZD_Moho!CA_gross_rev_oil_fp/HM_ZD_Moho!CA_gross_rev_total_fp,0)</f>
        <v>1</v>
      </c>
      <c r="Y193" s="53">
        <f ca="1">IFERROR(HM_ZD_Moho!CA_gross_rev_oil_fp/HM_ZD_Moho!CA_gross_rev_total_fp,0)</f>
        <v>0</v>
      </c>
      <c r="Z193" s="53">
        <f ca="1">IFERROR(HM_ZD_Moho!CA_gross_rev_oil_fp/HM_ZD_Moho!CA_gross_rev_total_fp,0)</f>
        <v>0</v>
      </c>
      <c r="AA193" s="53">
        <f ca="1">IFERROR(HM_ZD_Moho!CA_gross_rev_oil_fp/HM_ZD_Moho!CA_gross_rev_total_fp,0)</f>
        <v>0</v>
      </c>
      <c r="AB193" s="53">
        <f ca="1">IFERROR(HM_ZD_Moho!CA_gross_rev_oil_fp/HM_ZD_Moho!CA_gross_rev_total_fp,0)</f>
        <v>0</v>
      </c>
      <c r="AC193" s="53">
        <f ca="1">IFERROR(HM_ZD_Moho!CA_gross_rev_oil_fp/HM_ZD_Moho!CA_gross_rev_total_fp,0)</f>
        <v>0</v>
      </c>
      <c r="AD193" s="53">
        <f ca="1">IFERROR(HM_ZD_Moho!CA_gross_rev_oil_fp/HM_ZD_Moho!CA_gross_rev_total_fp,0)</f>
        <v>0</v>
      </c>
      <c r="AE193" s="53">
        <f ca="1">IFERROR(HM_ZD_Moho!CA_gross_rev_oil_fp/HM_ZD_Moho!CA_gross_rev_total_fp,0)</f>
        <v>0</v>
      </c>
      <c r="AF193" s="53">
        <f ca="1">IFERROR(HM_ZD_Moho!CA_gross_rev_oil_fp/HM_ZD_Moho!CA_gross_rev_total_fp,0)</f>
        <v>0</v>
      </c>
      <c r="AG193" s="53">
        <f ca="1">IFERROR(HM_ZD_Moho!CA_gross_rev_oil_fp/HM_ZD_Moho!CA_gross_rev_total_fp,0)</f>
        <v>0</v>
      </c>
      <c r="AH193" s="53">
        <f ca="1">IFERROR(HM_ZD_Moho!CA_gross_rev_oil_fp/HM_ZD_Moho!CA_gross_rev_total_fp,0)</f>
        <v>0</v>
      </c>
      <c r="AI193" s="53">
        <f ca="1">IFERROR(HM_ZD_Moho!CA_gross_rev_oil_fp/HM_ZD_Moho!CA_gross_rev_total_fp,0)</f>
        <v>0</v>
      </c>
      <c r="AJ193" s="53">
        <f ca="1">IFERROR(HM_ZD_Moho!CA_gross_rev_oil_fp/HM_ZD_Moho!CA_gross_rev_total_fp,0)</f>
        <v>0</v>
      </c>
      <c r="AK193" s="53">
        <f ca="1">IFERROR(HM_ZD_Moho!CA_gross_rev_oil_fp/HM_ZD_Moho!CA_gross_rev_total_fp,0)</f>
        <v>0</v>
      </c>
      <c r="AL193" s="53">
        <f ca="1">IFERROR(HM_ZD_Moho!CA_gross_rev_oil_fp/HM_ZD_Moho!CA_gross_rev_total_fp,0)</f>
        <v>0</v>
      </c>
      <c r="AM193" s="53">
        <f ca="1">IFERROR(HM_ZD_Moho!CA_gross_rev_oil_fp/HM_ZD_Moho!CA_gross_rev_total_fp,0)</f>
        <v>0</v>
      </c>
      <c r="AN193" s="53">
        <f ca="1">IFERROR(HM_ZD_Moho!CA_gross_rev_oil_fp/HM_ZD_Moho!CA_gross_rev_total_fp,0)</f>
        <v>0</v>
      </c>
      <c r="AO193" s="53">
        <f ca="1">IFERROR(HM_ZD_Moho!CA_gross_rev_oil_fp/HM_ZD_Moho!CA_gross_rev_total_fp,0)</f>
        <v>0</v>
      </c>
      <c r="AP193" s="53">
        <f ca="1">IFERROR(HM_ZD_Moho!CA_gross_rev_oil_fp/HM_ZD_Moho!CA_gross_rev_total_fp,0)</f>
        <v>0</v>
      </c>
      <c r="AQ193" s="53">
        <f ca="1">IFERROR(HM_ZD_Moho!CA_gross_rev_oil_fp/HM_ZD_Moho!CA_gross_rev_total_fp,0)</f>
        <v>0</v>
      </c>
      <c r="AR193" s="53">
        <f ca="1">IFERROR(HM_ZD_Moho!CA_gross_rev_oil_fp/HM_ZD_Moho!CA_gross_rev_total_fp,0)</f>
        <v>0</v>
      </c>
      <c r="AS193" s="53">
        <f ca="1">IFERROR(HM_ZD_Moho!CA_gross_rev_oil_fp/HM_ZD_Moho!CA_gross_rev_total_fp,0)</f>
        <v>0</v>
      </c>
      <c r="AT193" s="53">
        <f ca="1">IFERROR(HM_ZD_Moho!CA_gross_rev_oil_fp/HM_ZD_Moho!CA_gross_rev_total_fp,0)</f>
        <v>0</v>
      </c>
      <c r="AU193" s="53">
        <f ca="1">IFERROR(HM_ZD_Moho!CA_gross_rev_oil_fp/HM_ZD_Moho!CA_gross_rev_total_fp,0)</f>
        <v>0</v>
      </c>
      <c r="AV193" s="53">
        <f ca="1">IFERROR(HM_ZD_Moho!CA_gross_rev_oil_fp/HM_ZD_Moho!CA_gross_rev_total_fp,0)</f>
        <v>0</v>
      </c>
      <c r="AW193" s="53">
        <f ca="1">IFERROR(HM_ZD_Moho!CA_gross_rev_oil_fp/HM_ZD_Moho!CA_gross_rev_total_fp,0)</f>
        <v>0</v>
      </c>
      <c r="AX193" s="53">
        <f ca="1">IFERROR(HM_ZD_Moho!CA_gross_rev_oil_fp/HM_ZD_Moho!CA_gross_rev_total_fp,0)</f>
        <v>0</v>
      </c>
      <c r="AY193" s="53">
        <f ca="1">IFERROR(HM_ZD_Moho!CA_gross_rev_oil_fp/HM_ZD_Moho!CA_gross_rev_total_fp,0)</f>
        <v>0</v>
      </c>
      <c r="AZ193" s="53">
        <f ca="1">IFERROR(HM_ZD_Moho!CA_gross_rev_oil_fp/HM_ZD_Moho!CA_gross_rev_total_fp,0)</f>
        <v>0</v>
      </c>
      <c r="BA193" s="53">
        <f ca="1">IFERROR(HM_ZD_Moho!CA_gross_rev_oil_fp/HM_ZD_Moho!CA_gross_rev_total_fp,0)</f>
        <v>0</v>
      </c>
      <c r="BB193" s="53">
        <f ca="1">IFERROR(HM_ZD_Moho!CA_gross_rev_oil_fp/HM_ZD_Moho!CA_gross_rev_total_fp,0)</f>
        <v>0</v>
      </c>
      <c r="BC193" s="53">
        <f ca="1">IFERROR(HM_ZD_Moho!CA_gross_rev_oil_fp/HM_ZD_Moho!CA_gross_rev_total_fp,0)</f>
        <v>0</v>
      </c>
      <c r="BD193" s="53">
        <f ca="1">IFERROR(HM_ZD_Moho!CA_gross_rev_oil_fp/HM_ZD_Moho!CA_gross_rev_total_fp,0)</f>
        <v>0</v>
      </c>
      <c r="BE193" s="53">
        <f ca="1">IFERROR(HM_ZD_Moho!CA_gross_rev_oil_fp/HM_ZD_Moho!CA_gross_rev_total_fp,0)</f>
        <v>0</v>
      </c>
      <c r="BF193" s="53">
        <f ca="1">IFERROR(HM_ZD_Moho!CA_gross_rev_oil_fp/HM_ZD_Moho!CA_gross_rev_total_fp,0)</f>
        <v>0</v>
      </c>
      <c r="BG193" s="53">
        <f ca="1">IFERROR(HM_ZD_Moho!CA_gross_rev_oil_fp/HM_ZD_Moho!CA_gross_rev_total_fp,0)</f>
        <v>0</v>
      </c>
      <c r="BH193" s="53">
        <f ca="1">IFERROR(HM_ZD_Moho!CA_gross_rev_oil_fp/HM_ZD_Moho!CA_gross_rev_total_fp,0)</f>
        <v>0</v>
      </c>
      <c r="BI193" s="53">
        <f ca="1">IFERROR(HM_ZD_Moho!CA_gross_rev_oil_fp/HM_ZD_Moho!CA_gross_rev_total_fp,0)</f>
        <v>0</v>
      </c>
      <c r="BJ193" s="53">
        <f ca="1">IFERROR(HM_ZD_Moho!CA_gross_rev_oil_fp/HM_ZD_Moho!CA_gross_rev_total_fp,0)</f>
        <v>0</v>
      </c>
      <c r="BK193" s="53">
        <f ca="1">IFERROR(HM_ZD_Moho!CA_gross_rev_oil_fp/HM_ZD_Moho!CA_gross_rev_total_fp,0)</f>
        <v>0</v>
      </c>
      <c r="BL193" s="53">
        <f ca="1">IFERROR(HM_ZD_Moho!CA_gross_rev_oil_fp/HM_ZD_Moho!CA_gross_rev_total_fp,0)</f>
        <v>0</v>
      </c>
      <c r="BM193" s="53">
        <f ca="1">IFERROR(HM_ZD_Moho!CA_gross_rev_oil_fp/HM_ZD_Moho!CA_gross_rev_total_fp,0)</f>
        <v>0</v>
      </c>
      <c r="BN193" s="53">
        <f ca="1">IFERROR(HM_ZD_Moho!CA_gross_rev_oil_fp/HM_ZD_Moho!CA_gross_rev_total_fp,0)</f>
        <v>0</v>
      </c>
      <c r="BO193" s="53">
        <f ca="1">IFERROR(HM_ZD_Moho!CA_gross_rev_oil_fp/HM_ZD_Moho!CA_gross_rev_total_fp,0)</f>
        <v>0</v>
      </c>
      <c r="BP193" s="53">
        <f ca="1">IFERROR(HM_ZD_Moho!CA_gross_rev_oil_fp/HM_ZD_Moho!CA_gross_rev_total_fp,0)</f>
        <v>0</v>
      </c>
      <c r="BQ193" s="53">
        <f ca="1">IFERROR(HM_ZD_Moho!CA_gross_rev_oil_fp/HM_ZD_Moho!CA_gross_rev_total_fp,0)</f>
        <v>0</v>
      </c>
      <c r="BR193" s="53">
        <f ca="1">IFERROR(HM_ZD_Moho!CA_gross_rev_oil_fp/HM_ZD_Moho!CA_gross_rev_total_fp,0)</f>
        <v>0</v>
      </c>
      <c r="BS193" s="53">
        <f ca="1">IFERROR(HM_ZD_Moho!CA_gross_rev_oil_fp/HM_ZD_Moho!CA_gross_rev_total_fp,0)</f>
        <v>0</v>
      </c>
    </row>
    <row r="194" spans="1:71" outlineLevel="1" x14ac:dyDescent="0.2">
      <c r="D194" t="str">
        <f>HM_ZB_Nsoko!D187</f>
        <v>Part du gaz dans le revenu total</v>
      </c>
      <c r="I194" s="58">
        <f ca="1">IFERROR(I179/$I$180,0)</f>
        <v>0</v>
      </c>
      <c r="J194" s="26" t="s">
        <v>90</v>
      </c>
      <c r="K194" s="7" t="s">
        <v>232</v>
      </c>
      <c r="L194" s="53">
        <f ca="1">IFERROR(HM_ZD_Moho!CA_gross_rev_gas_fp/HM_ZD_Moho!CA_gross_rev_total_fp,0)</f>
        <v>0</v>
      </c>
      <c r="M194" s="53">
        <f ca="1">IFERROR(HM_ZD_Moho!CA_gross_rev_gas_fp/HM_ZD_Moho!CA_gross_rev_total_fp,0)</f>
        <v>0</v>
      </c>
      <c r="N194" s="53">
        <f ca="1">IFERROR(HM_ZD_Moho!CA_gross_rev_gas_fp/HM_ZD_Moho!CA_gross_rev_total_fp,0)</f>
        <v>0</v>
      </c>
      <c r="O194" s="53">
        <f ca="1">IFERROR(HM_ZD_Moho!CA_gross_rev_gas_fp/HM_ZD_Moho!CA_gross_rev_total_fp,0)</f>
        <v>0</v>
      </c>
      <c r="P194" s="53">
        <f ca="1">IFERROR(HM_ZD_Moho!CA_gross_rev_gas_fp/HM_ZD_Moho!CA_gross_rev_total_fp,0)</f>
        <v>0</v>
      </c>
      <c r="Q194" s="53">
        <f ca="1">IFERROR(HM_ZD_Moho!CA_gross_rev_gas_fp/HM_ZD_Moho!CA_gross_rev_total_fp,0)</f>
        <v>0</v>
      </c>
      <c r="R194" s="53">
        <f ca="1">IFERROR(HM_ZD_Moho!CA_gross_rev_gas_fp/HM_ZD_Moho!CA_gross_rev_total_fp,0)</f>
        <v>0</v>
      </c>
      <c r="S194" s="53">
        <f ca="1">IFERROR(HM_ZD_Moho!CA_gross_rev_gas_fp/HM_ZD_Moho!CA_gross_rev_total_fp,0)</f>
        <v>0</v>
      </c>
      <c r="T194" s="53">
        <f ca="1">IFERROR(HM_ZD_Moho!CA_gross_rev_gas_fp/HM_ZD_Moho!CA_gross_rev_total_fp,0)</f>
        <v>0</v>
      </c>
      <c r="U194" s="53">
        <f ca="1">IFERROR(HM_ZD_Moho!CA_gross_rev_gas_fp/HM_ZD_Moho!CA_gross_rev_total_fp,0)</f>
        <v>0</v>
      </c>
      <c r="V194" s="53">
        <f ca="1">IFERROR(HM_ZD_Moho!CA_gross_rev_gas_fp/HM_ZD_Moho!CA_gross_rev_total_fp,0)</f>
        <v>0</v>
      </c>
      <c r="W194" s="53">
        <f ca="1">IFERROR(HM_ZD_Moho!CA_gross_rev_gas_fp/HM_ZD_Moho!CA_gross_rev_total_fp,0)</f>
        <v>0</v>
      </c>
      <c r="X194" s="53">
        <f ca="1">IFERROR(HM_ZD_Moho!CA_gross_rev_gas_fp/HM_ZD_Moho!CA_gross_rev_total_fp,0)</f>
        <v>0</v>
      </c>
      <c r="Y194" s="53">
        <f ca="1">IFERROR(HM_ZD_Moho!CA_gross_rev_gas_fp/HM_ZD_Moho!CA_gross_rev_total_fp,0)</f>
        <v>0</v>
      </c>
      <c r="Z194" s="53">
        <f ca="1">IFERROR(HM_ZD_Moho!CA_gross_rev_gas_fp/HM_ZD_Moho!CA_gross_rev_total_fp,0)</f>
        <v>0</v>
      </c>
      <c r="AA194" s="53">
        <f ca="1">IFERROR(HM_ZD_Moho!CA_gross_rev_gas_fp/HM_ZD_Moho!CA_gross_rev_total_fp,0)</f>
        <v>0</v>
      </c>
      <c r="AB194" s="53">
        <f ca="1">IFERROR(HM_ZD_Moho!CA_gross_rev_gas_fp/HM_ZD_Moho!CA_gross_rev_total_fp,0)</f>
        <v>0</v>
      </c>
      <c r="AC194" s="53">
        <f ca="1">IFERROR(HM_ZD_Moho!CA_gross_rev_gas_fp/HM_ZD_Moho!CA_gross_rev_total_fp,0)</f>
        <v>0</v>
      </c>
      <c r="AD194" s="53">
        <f ca="1">IFERROR(HM_ZD_Moho!CA_gross_rev_gas_fp/HM_ZD_Moho!CA_gross_rev_total_fp,0)</f>
        <v>0</v>
      </c>
      <c r="AE194" s="53">
        <f ca="1">IFERROR(HM_ZD_Moho!CA_gross_rev_gas_fp/HM_ZD_Moho!CA_gross_rev_total_fp,0)</f>
        <v>0</v>
      </c>
      <c r="AF194" s="53">
        <f ca="1">IFERROR(HM_ZD_Moho!CA_gross_rev_gas_fp/HM_ZD_Moho!CA_gross_rev_total_fp,0)</f>
        <v>0</v>
      </c>
      <c r="AG194" s="53">
        <f ca="1">IFERROR(HM_ZD_Moho!CA_gross_rev_gas_fp/HM_ZD_Moho!CA_gross_rev_total_fp,0)</f>
        <v>0</v>
      </c>
      <c r="AH194" s="53">
        <f ca="1">IFERROR(HM_ZD_Moho!CA_gross_rev_gas_fp/HM_ZD_Moho!CA_gross_rev_total_fp,0)</f>
        <v>0</v>
      </c>
      <c r="AI194" s="53">
        <f ca="1">IFERROR(HM_ZD_Moho!CA_gross_rev_gas_fp/HM_ZD_Moho!CA_gross_rev_total_fp,0)</f>
        <v>0</v>
      </c>
      <c r="AJ194" s="53">
        <f ca="1">IFERROR(HM_ZD_Moho!CA_gross_rev_gas_fp/HM_ZD_Moho!CA_gross_rev_total_fp,0)</f>
        <v>0</v>
      </c>
      <c r="AK194" s="53">
        <f ca="1">IFERROR(HM_ZD_Moho!CA_gross_rev_gas_fp/HM_ZD_Moho!CA_gross_rev_total_fp,0)</f>
        <v>0</v>
      </c>
      <c r="AL194" s="53">
        <f ca="1">IFERROR(HM_ZD_Moho!CA_gross_rev_gas_fp/HM_ZD_Moho!CA_gross_rev_total_fp,0)</f>
        <v>0</v>
      </c>
      <c r="AM194" s="53">
        <f ca="1">IFERROR(HM_ZD_Moho!CA_gross_rev_gas_fp/HM_ZD_Moho!CA_gross_rev_total_fp,0)</f>
        <v>0</v>
      </c>
      <c r="AN194" s="53">
        <f ca="1">IFERROR(HM_ZD_Moho!CA_gross_rev_gas_fp/HM_ZD_Moho!CA_gross_rev_total_fp,0)</f>
        <v>0</v>
      </c>
      <c r="AO194" s="53">
        <f ca="1">IFERROR(HM_ZD_Moho!CA_gross_rev_gas_fp/HM_ZD_Moho!CA_gross_rev_total_fp,0)</f>
        <v>0</v>
      </c>
      <c r="AP194" s="53">
        <f ca="1">IFERROR(HM_ZD_Moho!CA_gross_rev_gas_fp/HM_ZD_Moho!CA_gross_rev_total_fp,0)</f>
        <v>0</v>
      </c>
      <c r="AQ194" s="53">
        <f ca="1">IFERROR(HM_ZD_Moho!CA_gross_rev_gas_fp/HM_ZD_Moho!CA_gross_rev_total_fp,0)</f>
        <v>0</v>
      </c>
      <c r="AR194" s="53">
        <f ca="1">IFERROR(HM_ZD_Moho!CA_gross_rev_gas_fp/HM_ZD_Moho!CA_gross_rev_total_fp,0)</f>
        <v>0</v>
      </c>
      <c r="AS194" s="53">
        <f ca="1">IFERROR(HM_ZD_Moho!CA_gross_rev_gas_fp/HM_ZD_Moho!CA_gross_rev_total_fp,0)</f>
        <v>0</v>
      </c>
      <c r="AT194" s="53">
        <f ca="1">IFERROR(HM_ZD_Moho!CA_gross_rev_gas_fp/HM_ZD_Moho!CA_gross_rev_total_fp,0)</f>
        <v>0</v>
      </c>
      <c r="AU194" s="53">
        <f ca="1">IFERROR(HM_ZD_Moho!CA_gross_rev_gas_fp/HM_ZD_Moho!CA_gross_rev_total_fp,0)</f>
        <v>0</v>
      </c>
      <c r="AV194" s="53">
        <f ca="1">IFERROR(HM_ZD_Moho!CA_gross_rev_gas_fp/HM_ZD_Moho!CA_gross_rev_total_fp,0)</f>
        <v>0</v>
      </c>
      <c r="AW194" s="53">
        <f ca="1">IFERROR(HM_ZD_Moho!CA_gross_rev_gas_fp/HM_ZD_Moho!CA_gross_rev_total_fp,0)</f>
        <v>0</v>
      </c>
      <c r="AX194" s="53">
        <f ca="1">IFERROR(HM_ZD_Moho!CA_gross_rev_gas_fp/HM_ZD_Moho!CA_gross_rev_total_fp,0)</f>
        <v>0</v>
      </c>
      <c r="AY194" s="53">
        <f ca="1">IFERROR(HM_ZD_Moho!CA_gross_rev_gas_fp/HM_ZD_Moho!CA_gross_rev_total_fp,0)</f>
        <v>0</v>
      </c>
      <c r="AZ194" s="53">
        <f ca="1">IFERROR(HM_ZD_Moho!CA_gross_rev_gas_fp/HM_ZD_Moho!CA_gross_rev_total_fp,0)</f>
        <v>0</v>
      </c>
      <c r="BA194" s="53">
        <f ca="1">IFERROR(HM_ZD_Moho!CA_gross_rev_gas_fp/HM_ZD_Moho!CA_gross_rev_total_fp,0)</f>
        <v>0</v>
      </c>
      <c r="BB194" s="53">
        <f ca="1">IFERROR(HM_ZD_Moho!CA_gross_rev_gas_fp/HM_ZD_Moho!CA_gross_rev_total_fp,0)</f>
        <v>0</v>
      </c>
      <c r="BC194" s="53">
        <f ca="1">IFERROR(HM_ZD_Moho!CA_gross_rev_gas_fp/HM_ZD_Moho!CA_gross_rev_total_fp,0)</f>
        <v>0</v>
      </c>
      <c r="BD194" s="53">
        <f ca="1">IFERROR(HM_ZD_Moho!CA_gross_rev_gas_fp/HM_ZD_Moho!CA_gross_rev_total_fp,0)</f>
        <v>0</v>
      </c>
      <c r="BE194" s="53">
        <f ca="1">IFERROR(HM_ZD_Moho!CA_gross_rev_gas_fp/HM_ZD_Moho!CA_gross_rev_total_fp,0)</f>
        <v>0</v>
      </c>
      <c r="BF194" s="53">
        <f ca="1">IFERROR(HM_ZD_Moho!CA_gross_rev_gas_fp/HM_ZD_Moho!CA_gross_rev_total_fp,0)</f>
        <v>0</v>
      </c>
      <c r="BG194" s="53">
        <f ca="1">IFERROR(HM_ZD_Moho!CA_gross_rev_gas_fp/HM_ZD_Moho!CA_gross_rev_total_fp,0)</f>
        <v>0</v>
      </c>
      <c r="BH194" s="53">
        <f ca="1">IFERROR(HM_ZD_Moho!CA_gross_rev_gas_fp/HM_ZD_Moho!CA_gross_rev_total_fp,0)</f>
        <v>0</v>
      </c>
      <c r="BI194" s="53">
        <f ca="1">IFERROR(HM_ZD_Moho!CA_gross_rev_gas_fp/HM_ZD_Moho!CA_gross_rev_total_fp,0)</f>
        <v>0</v>
      </c>
      <c r="BJ194" s="53">
        <f ca="1">IFERROR(HM_ZD_Moho!CA_gross_rev_gas_fp/HM_ZD_Moho!CA_gross_rev_total_fp,0)</f>
        <v>0</v>
      </c>
      <c r="BK194" s="53">
        <f ca="1">IFERROR(HM_ZD_Moho!CA_gross_rev_gas_fp/HM_ZD_Moho!CA_gross_rev_total_fp,0)</f>
        <v>0</v>
      </c>
      <c r="BL194" s="53">
        <f ca="1">IFERROR(HM_ZD_Moho!CA_gross_rev_gas_fp/HM_ZD_Moho!CA_gross_rev_total_fp,0)</f>
        <v>0</v>
      </c>
      <c r="BM194" s="53">
        <f ca="1">IFERROR(HM_ZD_Moho!CA_gross_rev_gas_fp/HM_ZD_Moho!CA_gross_rev_total_fp,0)</f>
        <v>0</v>
      </c>
      <c r="BN194" s="53">
        <f ca="1">IFERROR(HM_ZD_Moho!CA_gross_rev_gas_fp/HM_ZD_Moho!CA_gross_rev_total_fp,0)</f>
        <v>0</v>
      </c>
      <c r="BO194" s="53">
        <f ca="1">IFERROR(HM_ZD_Moho!CA_gross_rev_gas_fp/HM_ZD_Moho!CA_gross_rev_total_fp,0)</f>
        <v>0</v>
      </c>
      <c r="BP194" s="53">
        <f ca="1">IFERROR(HM_ZD_Moho!CA_gross_rev_gas_fp/HM_ZD_Moho!CA_gross_rev_total_fp,0)</f>
        <v>0</v>
      </c>
      <c r="BQ194" s="53">
        <f ca="1">IFERROR(HM_ZD_Moho!CA_gross_rev_gas_fp/HM_ZD_Moho!CA_gross_rev_total_fp,0)</f>
        <v>0</v>
      </c>
      <c r="BR194" s="53">
        <f ca="1">IFERROR(HM_ZD_Moho!CA_gross_rev_gas_fp/HM_ZD_Moho!CA_gross_rev_total_fp,0)</f>
        <v>0</v>
      </c>
      <c r="BS194" s="53">
        <f ca="1">IFERROR(HM_ZD_Moho!CA_gross_rev_gas_fp/HM_ZD_Moho!CA_gross_rev_total_fp,0)</f>
        <v>0</v>
      </c>
    </row>
    <row r="195" spans="1:71" outlineLevel="1" x14ac:dyDescent="0.2">
      <c r="J195" s="26"/>
      <c r="L195" s="55"/>
      <c r="M195" s="55"/>
      <c r="N195" s="55"/>
      <c r="O195" s="55"/>
      <c r="P195" s="55"/>
      <c r="Q195" s="55"/>
      <c r="R195" s="55"/>
      <c r="S195" s="55"/>
      <c r="T195" s="55"/>
      <c r="U195" s="55"/>
      <c r="V195" s="55"/>
      <c r="W195" s="55"/>
      <c r="X195" s="55"/>
      <c r="Y195" s="55"/>
      <c r="Z195" s="55"/>
      <c r="AA195" s="55"/>
      <c r="AB195" s="55"/>
      <c r="AC195" s="55"/>
      <c r="AD195" s="55"/>
      <c r="AE195" s="55"/>
      <c r="AF195" s="55"/>
      <c r="AG195" s="55"/>
      <c r="AH195" s="55"/>
      <c r="AI195" s="55"/>
      <c r="AJ195" s="55"/>
      <c r="AK195" s="55"/>
      <c r="AL195" s="55"/>
      <c r="AM195" s="55"/>
      <c r="AN195" s="55"/>
      <c r="AO195" s="55"/>
      <c r="AP195" s="55"/>
      <c r="AQ195" s="55"/>
      <c r="AR195" s="55"/>
      <c r="AS195" s="55"/>
      <c r="AT195" s="55"/>
      <c r="AU195" s="55"/>
      <c r="AV195" s="55"/>
      <c r="AW195" s="55"/>
      <c r="AX195" s="55"/>
      <c r="AY195" s="55"/>
      <c r="AZ195" s="55"/>
      <c r="BA195" s="55"/>
      <c r="BB195" s="55"/>
      <c r="BC195" s="55"/>
      <c r="BD195" s="55"/>
      <c r="BE195" s="55"/>
      <c r="BF195" s="55"/>
      <c r="BG195" s="55"/>
      <c r="BH195" s="55"/>
      <c r="BI195" s="55"/>
      <c r="BJ195" s="55"/>
      <c r="BK195" s="55"/>
      <c r="BL195" s="55"/>
      <c r="BM195" s="55"/>
      <c r="BN195" s="55"/>
      <c r="BO195" s="55"/>
      <c r="BP195" s="55"/>
      <c r="BQ195" s="55"/>
      <c r="BR195" s="55"/>
      <c r="BS195" s="55"/>
    </row>
    <row r="196" spans="1:71" outlineLevel="1" x14ac:dyDescent="0.2">
      <c r="J196" s="26"/>
      <c r="L196" s="55"/>
      <c r="M196" s="55"/>
      <c r="N196" s="55"/>
      <c r="O196" s="55"/>
      <c r="P196" s="55"/>
      <c r="Q196" s="55"/>
      <c r="R196" s="55"/>
      <c r="S196" s="55"/>
      <c r="T196" s="55"/>
      <c r="U196" s="55"/>
      <c r="V196" s="55"/>
      <c r="W196" s="55"/>
      <c r="X196" s="55"/>
      <c r="Y196" s="55"/>
      <c r="Z196" s="55"/>
      <c r="AA196" s="55"/>
      <c r="AB196" s="55"/>
      <c r="AC196" s="55"/>
      <c r="AD196" s="55"/>
      <c r="AE196" s="55"/>
      <c r="AF196" s="55"/>
      <c r="AG196" s="55"/>
      <c r="AH196" s="55"/>
      <c r="AI196" s="55"/>
      <c r="AJ196" s="55"/>
      <c r="AK196" s="55"/>
      <c r="AL196" s="55"/>
      <c r="AM196" s="55"/>
      <c r="AN196" s="55"/>
      <c r="AO196" s="55"/>
      <c r="AP196" s="55"/>
      <c r="AQ196" s="55"/>
      <c r="AR196" s="55"/>
      <c r="AS196" s="55"/>
      <c r="AT196" s="55"/>
      <c r="AU196" s="55"/>
      <c r="AV196" s="55"/>
      <c r="AW196" s="55"/>
      <c r="AX196" s="55"/>
      <c r="AY196" s="55"/>
      <c r="AZ196" s="55"/>
      <c r="BA196" s="55"/>
      <c r="BB196" s="55"/>
      <c r="BC196" s="55"/>
      <c r="BD196" s="55"/>
      <c r="BE196" s="55"/>
      <c r="BF196" s="55"/>
      <c r="BG196" s="55"/>
      <c r="BH196" s="55"/>
      <c r="BI196" s="55"/>
      <c r="BJ196" s="55"/>
      <c r="BK196" s="55"/>
      <c r="BL196" s="55"/>
      <c r="BM196" s="55"/>
      <c r="BN196" s="55"/>
      <c r="BO196" s="55"/>
      <c r="BP196" s="55"/>
      <c r="BQ196" s="55"/>
      <c r="BR196" s="55"/>
      <c r="BS196" s="55"/>
    </row>
    <row r="197" spans="1:71" outlineLevel="1" x14ac:dyDescent="0.2">
      <c r="J197" s="26"/>
      <c r="L197" s="55"/>
      <c r="M197" s="55"/>
      <c r="N197" s="55"/>
      <c r="O197" s="55"/>
      <c r="P197" s="55"/>
      <c r="Q197" s="55"/>
      <c r="R197" s="55"/>
      <c r="S197" s="55"/>
      <c r="T197" s="55"/>
      <c r="U197" s="55"/>
      <c r="V197" s="55"/>
      <c r="W197" s="55"/>
      <c r="X197" s="55"/>
      <c r="Y197" s="55"/>
      <c r="Z197" s="55"/>
      <c r="AA197" s="55"/>
      <c r="AB197" s="55"/>
      <c r="AC197" s="55"/>
      <c r="AD197" s="55"/>
      <c r="AE197" s="55"/>
      <c r="AF197" s="55"/>
      <c r="AG197" s="55"/>
      <c r="AH197" s="55"/>
      <c r="AI197" s="55"/>
      <c r="AJ197" s="55"/>
      <c r="AK197" s="55"/>
      <c r="AL197" s="55"/>
      <c r="AM197" s="55"/>
      <c r="AN197" s="55"/>
      <c r="AO197" s="55"/>
      <c r="AP197" s="55"/>
      <c r="AQ197" s="55"/>
      <c r="AR197" s="55"/>
      <c r="AS197" s="55"/>
      <c r="AT197" s="55"/>
      <c r="AU197" s="55"/>
      <c r="AV197" s="55"/>
      <c r="AW197" s="55"/>
      <c r="AX197" s="55"/>
      <c r="AY197" s="55"/>
      <c r="AZ197" s="55"/>
      <c r="BA197" s="55"/>
      <c r="BB197" s="55"/>
      <c r="BC197" s="55"/>
      <c r="BD197" s="55"/>
      <c r="BE197" s="55"/>
      <c r="BF197" s="55"/>
      <c r="BG197" s="55"/>
      <c r="BH197" s="55"/>
      <c r="BI197" s="55"/>
      <c r="BJ197" s="55"/>
      <c r="BK197" s="55"/>
      <c r="BL197" s="55"/>
      <c r="BM197" s="55"/>
      <c r="BN197" s="55"/>
      <c r="BO197" s="55"/>
      <c r="BP197" s="55"/>
      <c r="BQ197" s="55"/>
      <c r="BR197" s="55"/>
      <c r="BS197" s="55"/>
    </row>
    <row r="198" spans="1:71" outlineLevel="1" x14ac:dyDescent="0.2">
      <c r="A198" s="45"/>
      <c r="B198" s="38" t="str">
        <f>HM_ZB_Nsoko!B191</f>
        <v>Coûts d'exploitation</v>
      </c>
      <c r="C198" s="45"/>
      <c r="D198" s="45"/>
      <c r="E198" s="45"/>
      <c r="J198" s="26"/>
      <c r="L198" s="55"/>
      <c r="M198" s="55"/>
      <c r="N198" s="55"/>
      <c r="O198" s="55"/>
      <c r="P198" s="55"/>
      <c r="Q198" s="55"/>
      <c r="R198" s="55"/>
      <c r="S198" s="55"/>
      <c r="T198" s="55"/>
      <c r="U198" s="55"/>
      <c r="V198" s="55"/>
      <c r="W198" s="55"/>
      <c r="X198" s="55"/>
      <c r="Y198" s="55"/>
      <c r="Z198" s="55"/>
      <c r="AA198" s="55"/>
      <c r="AB198" s="55"/>
      <c r="AC198" s="55"/>
      <c r="AD198" s="55"/>
      <c r="AE198" s="55"/>
      <c r="AF198" s="55"/>
      <c r="AG198" s="55"/>
      <c r="AH198" s="55"/>
      <c r="AI198" s="55"/>
      <c r="AJ198" s="55"/>
      <c r="AK198" s="55"/>
      <c r="AL198" s="55"/>
      <c r="AM198" s="55"/>
      <c r="AN198" s="55"/>
      <c r="AO198" s="55"/>
      <c r="AP198" s="55"/>
      <c r="AQ198" s="55"/>
      <c r="AR198" s="55"/>
      <c r="AS198" s="55"/>
      <c r="AT198" s="55"/>
      <c r="AU198" s="55"/>
      <c r="AV198" s="55"/>
      <c r="AW198" s="55"/>
      <c r="AX198" s="55"/>
      <c r="AY198" s="55"/>
      <c r="AZ198" s="55"/>
      <c r="BA198" s="55"/>
      <c r="BB198" s="55"/>
      <c r="BC198" s="55"/>
      <c r="BD198" s="55"/>
      <c r="BE198" s="55"/>
      <c r="BF198" s="55"/>
      <c r="BG198" s="55"/>
      <c r="BH198" s="55"/>
      <c r="BI198" s="55"/>
      <c r="BJ198" s="55"/>
      <c r="BK198" s="55"/>
      <c r="BL198" s="55"/>
      <c r="BM198" s="55"/>
      <c r="BN198" s="55"/>
      <c r="BO198" s="55"/>
      <c r="BP198" s="55"/>
      <c r="BQ198" s="55"/>
      <c r="BR198" s="55"/>
      <c r="BS198" s="55"/>
    </row>
    <row r="199" spans="1:71" outlineLevel="1" x14ac:dyDescent="0.2">
      <c r="J199" s="26"/>
      <c r="L199" s="55"/>
      <c r="M199" s="55"/>
      <c r="N199" s="55"/>
      <c r="O199" s="55"/>
      <c r="P199" s="55"/>
      <c r="Q199" s="55"/>
      <c r="R199" s="55"/>
      <c r="S199" s="55"/>
      <c r="T199" s="55"/>
      <c r="U199" s="55"/>
      <c r="V199" s="55"/>
      <c r="W199" s="55"/>
      <c r="X199" s="55"/>
      <c r="Y199" s="55"/>
      <c r="Z199" s="55"/>
      <c r="AA199" s="55"/>
      <c r="AB199" s="55"/>
      <c r="AC199" s="55"/>
      <c r="AD199" s="55"/>
      <c r="AE199" s="55"/>
      <c r="AF199" s="55"/>
      <c r="AG199" s="55"/>
      <c r="AH199" s="55"/>
      <c r="AI199" s="55"/>
      <c r="AJ199" s="55"/>
      <c r="AK199" s="55"/>
      <c r="AL199" s="55"/>
      <c r="AM199" s="55"/>
      <c r="AN199" s="55"/>
      <c r="AO199" s="55"/>
      <c r="AP199" s="55"/>
      <c r="AQ199" s="55"/>
      <c r="AR199" s="55"/>
      <c r="AS199" s="55"/>
      <c r="AT199" s="55"/>
      <c r="AU199" s="55"/>
      <c r="AV199" s="55"/>
      <c r="AW199" s="55"/>
      <c r="AX199" s="55"/>
      <c r="AY199" s="55"/>
      <c r="AZ199" s="55"/>
      <c r="BA199" s="55"/>
      <c r="BB199" s="55"/>
      <c r="BC199" s="55"/>
      <c r="BD199" s="55"/>
      <c r="BE199" s="55"/>
      <c r="BF199" s="55"/>
      <c r="BG199" s="55"/>
      <c r="BH199" s="55"/>
      <c r="BI199" s="55"/>
      <c r="BJ199" s="55"/>
      <c r="BK199" s="55"/>
      <c r="BL199" s="55"/>
      <c r="BM199" s="55"/>
      <c r="BN199" s="55"/>
      <c r="BO199" s="55"/>
      <c r="BP199" s="55"/>
      <c r="BQ199" s="55"/>
      <c r="BR199" s="55"/>
      <c r="BS199" s="55"/>
    </row>
    <row r="200" spans="1:71" outlineLevel="1" x14ac:dyDescent="0.2">
      <c r="C200" s="11" t="str">
        <f>HM_ZB_Nsoko!C193</f>
        <v>Coûts variables</v>
      </c>
      <c r="J200" s="26"/>
      <c r="L200" s="55"/>
      <c r="M200" s="55"/>
      <c r="N200" s="55"/>
      <c r="O200" s="55"/>
      <c r="P200" s="55"/>
      <c r="Q200" s="55"/>
      <c r="R200" s="55"/>
      <c r="S200" s="55"/>
      <c r="T200" s="55"/>
      <c r="U200" s="55"/>
      <c r="V200" s="55"/>
      <c r="W200" s="55"/>
      <c r="X200" s="55"/>
      <c r="Y200" s="55"/>
      <c r="Z200" s="55"/>
      <c r="AA200" s="55"/>
      <c r="AB200" s="55"/>
      <c r="AC200" s="55"/>
      <c r="AD200" s="55"/>
      <c r="AE200" s="55"/>
      <c r="AF200" s="55"/>
      <c r="AG200" s="55"/>
      <c r="AH200" s="55"/>
      <c r="AI200" s="55"/>
      <c r="AJ200" s="55"/>
      <c r="AK200" s="55"/>
      <c r="AL200" s="55"/>
      <c r="AM200" s="55"/>
      <c r="AN200" s="55"/>
      <c r="AO200" s="55"/>
      <c r="AP200" s="55"/>
      <c r="AQ200" s="55"/>
      <c r="AR200" s="55"/>
      <c r="AS200" s="55"/>
      <c r="AT200" s="55"/>
      <c r="AU200" s="55"/>
      <c r="AV200" s="55"/>
      <c r="AW200" s="55"/>
      <c r="AX200" s="55"/>
      <c r="AY200" s="55"/>
      <c r="AZ200" s="55"/>
      <c r="BA200" s="55"/>
      <c r="BB200" s="55"/>
      <c r="BC200" s="55"/>
      <c r="BD200" s="55"/>
      <c r="BE200" s="55"/>
      <c r="BF200" s="55"/>
      <c r="BG200" s="55"/>
      <c r="BH200" s="55"/>
      <c r="BI200" s="55"/>
      <c r="BJ200" s="55"/>
      <c r="BK200" s="55"/>
      <c r="BL200" s="55"/>
      <c r="BM200" s="55"/>
      <c r="BN200" s="55"/>
      <c r="BO200" s="55"/>
      <c r="BP200" s="55"/>
      <c r="BQ200" s="55"/>
      <c r="BR200" s="55"/>
      <c r="BS200" s="55"/>
    </row>
    <row r="201" spans="1:71" outlineLevel="1" x14ac:dyDescent="0.2">
      <c r="D201" t="str">
        <f>HM_ZB_Nsoko!D194</f>
        <v>Opex variables (nominal)</v>
      </c>
      <c r="I201" s="30">
        <f ca="1">SUM($L201:$BS201)</f>
        <v>4275.8653539520001</v>
      </c>
      <c r="J201" s="26" t="s">
        <v>148</v>
      </c>
      <c r="K201" s="7" t="s">
        <v>159</v>
      </c>
      <c r="L201" s="49">
        <f ca="1">HM_ZD_AM3_2005!L184</f>
        <v>172.67099999999999</v>
      </c>
      <c r="M201" s="49">
        <f ca="1">HM_ZD_AM3_2005!M184</f>
        <v>220.01900000000001</v>
      </c>
      <c r="N201" s="49">
        <f t="shared" ref="N201:S201" ca="1" si="147">IF(N4&gt;=YEAR(effective_date_AM_4_AM_6),((OFFSET(_xlfn.SINGLE(IA_varopex_real),4,date_offset_AM_4_AM_6)+OFFSET(_xlfn.SINGLE(IA_othercosts_real),4,date_offset_AM_4_AM_6))*_xlfn.SINGLE(IA_esc_index)),0)</f>
        <v>282.71699999999998</v>
      </c>
      <c r="O201" s="49">
        <f t="shared" ca="1" si="147"/>
        <v>470.46699999999998</v>
      </c>
      <c r="P201" s="49">
        <f t="shared" ca="1" si="147"/>
        <v>868.58600000000001</v>
      </c>
      <c r="Q201" s="49">
        <f t="shared" ca="1" si="147"/>
        <v>248.2</v>
      </c>
      <c r="R201" s="49">
        <f t="shared" ca="1" si="147"/>
        <v>281.8</v>
      </c>
      <c r="S201" s="49">
        <f t="shared" ca="1" si="147"/>
        <v>286.3</v>
      </c>
      <c r="T201" s="49">
        <f t="shared" ref="T201:AY201" ca="1" si="148">IF(T4&gt;=YEAR(effective_date_AM_4_AM_6),((OFFSET(_xlfn.SINGLE(IA_varopex_real),4,date_offset_AM_4_AM_6)+OFFSET(_xlfn.SINGLE(IA_othercosts_real),4,date_offset_AM_4_AM_6))*_xlfn.SINGLE(IA_esc_index)),0)*(1+df_opex_sens)</f>
        <v>283.39999999999998</v>
      </c>
      <c r="U201" s="49">
        <f t="shared" ca="1" si="148"/>
        <v>286.21200000000005</v>
      </c>
      <c r="V201" s="49">
        <f t="shared" ca="1" si="148"/>
        <v>289.02312000000001</v>
      </c>
      <c r="W201" s="49">
        <f t="shared" ca="1" si="148"/>
        <v>291.8322</v>
      </c>
      <c r="X201" s="49">
        <f t="shared" ca="1" si="148"/>
        <v>294.638033952</v>
      </c>
      <c r="Y201" s="49">
        <f t="shared" ca="1" si="148"/>
        <v>0</v>
      </c>
      <c r="Z201" s="49">
        <f t="shared" ca="1" si="148"/>
        <v>0</v>
      </c>
      <c r="AA201" s="49">
        <f t="shared" ca="1" si="148"/>
        <v>0</v>
      </c>
      <c r="AB201" s="49">
        <f t="shared" ca="1" si="148"/>
        <v>0</v>
      </c>
      <c r="AC201" s="49">
        <f t="shared" ca="1" si="148"/>
        <v>0</v>
      </c>
      <c r="AD201" s="49">
        <f t="shared" ca="1" si="148"/>
        <v>0</v>
      </c>
      <c r="AE201" s="49">
        <f t="shared" ca="1" si="148"/>
        <v>0</v>
      </c>
      <c r="AF201" s="49">
        <f t="shared" ca="1" si="148"/>
        <v>0</v>
      </c>
      <c r="AG201" s="49">
        <f t="shared" ca="1" si="148"/>
        <v>0</v>
      </c>
      <c r="AH201" s="49">
        <f t="shared" ca="1" si="148"/>
        <v>0</v>
      </c>
      <c r="AI201" s="49">
        <f t="shared" ca="1" si="148"/>
        <v>0</v>
      </c>
      <c r="AJ201" s="49">
        <f t="shared" ca="1" si="148"/>
        <v>0</v>
      </c>
      <c r="AK201" s="49">
        <f t="shared" ca="1" si="148"/>
        <v>0</v>
      </c>
      <c r="AL201" s="49">
        <f t="shared" ca="1" si="148"/>
        <v>0</v>
      </c>
      <c r="AM201" s="49">
        <f t="shared" ca="1" si="148"/>
        <v>0</v>
      </c>
      <c r="AN201" s="49">
        <f t="shared" ca="1" si="148"/>
        <v>0</v>
      </c>
      <c r="AO201" s="49">
        <f t="shared" ca="1" si="148"/>
        <v>0</v>
      </c>
      <c r="AP201" s="49">
        <f t="shared" ca="1" si="148"/>
        <v>0</v>
      </c>
      <c r="AQ201" s="49">
        <f t="shared" ca="1" si="148"/>
        <v>0</v>
      </c>
      <c r="AR201" s="49">
        <f t="shared" ca="1" si="148"/>
        <v>0</v>
      </c>
      <c r="AS201" s="49">
        <f t="shared" ca="1" si="148"/>
        <v>0</v>
      </c>
      <c r="AT201" s="49">
        <f t="shared" ca="1" si="148"/>
        <v>0</v>
      </c>
      <c r="AU201" s="49">
        <f t="shared" ca="1" si="148"/>
        <v>0</v>
      </c>
      <c r="AV201" s="49">
        <f t="shared" ca="1" si="148"/>
        <v>0</v>
      </c>
      <c r="AW201" s="49">
        <f t="shared" ca="1" si="148"/>
        <v>0</v>
      </c>
      <c r="AX201" s="49">
        <f t="shared" ca="1" si="148"/>
        <v>0</v>
      </c>
      <c r="AY201" s="49">
        <f t="shared" ca="1" si="148"/>
        <v>0</v>
      </c>
      <c r="AZ201" s="49">
        <f t="shared" ref="AZ201:BS201" ca="1" si="149">IF(AZ4&gt;=YEAR(effective_date_AM_4_AM_6),((OFFSET(_xlfn.SINGLE(IA_varopex_real),4,date_offset_AM_4_AM_6)+OFFSET(_xlfn.SINGLE(IA_othercosts_real),4,date_offset_AM_4_AM_6))*_xlfn.SINGLE(IA_esc_index)),0)*(1+df_opex_sens)</f>
        <v>0</v>
      </c>
      <c r="BA201" s="49">
        <f t="shared" ca="1" si="149"/>
        <v>0</v>
      </c>
      <c r="BB201" s="49">
        <f t="shared" ca="1" si="149"/>
        <v>0</v>
      </c>
      <c r="BC201" s="49">
        <f t="shared" ca="1" si="149"/>
        <v>0</v>
      </c>
      <c r="BD201" s="49">
        <f t="shared" ca="1" si="149"/>
        <v>0</v>
      </c>
      <c r="BE201" s="49">
        <f t="shared" ca="1" si="149"/>
        <v>0</v>
      </c>
      <c r="BF201" s="49">
        <f t="shared" ca="1" si="149"/>
        <v>0</v>
      </c>
      <c r="BG201" s="49">
        <f t="shared" ca="1" si="149"/>
        <v>0</v>
      </c>
      <c r="BH201" s="49">
        <f t="shared" ca="1" si="149"/>
        <v>0</v>
      </c>
      <c r="BI201" s="49">
        <f t="shared" ca="1" si="149"/>
        <v>0</v>
      </c>
      <c r="BJ201" s="49">
        <f t="shared" ca="1" si="149"/>
        <v>0</v>
      </c>
      <c r="BK201" s="49">
        <f t="shared" ca="1" si="149"/>
        <v>0</v>
      </c>
      <c r="BL201" s="49">
        <f t="shared" ca="1" si="149"/>
        <v>0</v>
      </c>
      <c r="BM201" s="49">
        <f t="shared" ca="1" si="149"/>
        <v>0</v>
      </c>
      <c r="BN201" s="49">
        <f t="shared" ca="1" si="149"/>
        <v>0</v>
      </c>
      <c r="BO201" s="49">
        <f t="shared" ca="1" si="149"/>
        <v>0</v>
      </c>
      <c r="BP201" s="49">
        <f t="shared" ca="1" si="149"/>
        <v>0</v>
      </c>
      <c r="BQ201" s="49">
        <f t="shared" ca="1" si="149"/>
        <v>0</v>
      </c>
      <c r="BR201" s="49">
        <f t="shared" ca="1" si="149"/>
        <v>0</v>
      </c>
      <c r="BS201" s="49">
        <f t="shared" ca="1" si="149"/>
        <v>0</v>
      </c>
    </row>
    <row r="202" spans="1:71" outlineLevel="1" x14ac:dyDescent="0.2">
      <c r="J202" s="26"/>
      <c r="L202" s="55"/>
      <c r="M202" s="55"/>
      <c r="N202" s="55"/>
      <c r="O202" s="55"/>
      <c r="P202" s="55"/>
      <c r="Q202" s="55"/>
      <c r="R202" s="55"/>
      <c r="S202" s="55"/>
      <c r="T202" s="55"/>
      <c r="U202" s="55"/>
      <c r="V202" s="55"/>
      <c r="W202" s="55"/>
      <c r="X202" s="55"/>
      <c r="Y202" s="55"/>
      <c r="Z202" s="55"/>
      <c r="AA202" s="55"/>
      <c r="AB202" s="55"/>
      <c r="AC202" s="55"/>
      <c r="AD202" s="55"/>
      <c r="AE202" s="55"/>
      <c r="AF202" s="55"/>
      <c r="AG202" s="55"/>
      <c r="AH202" s="55"/>
      <c r="AI202" s="55"/>
      <c r="AJ202" s="55"/>
      <c r="AK202" s="55"/>
      <c r="AL202" s="55"/>
      <c r="AM202" s="55"/>
      <c r="AN202" s="55"/>
      <c r="AO202" s="55"/>
      <c r="AP202" s="55"/>
      <c r="AQ202" s="55"/>
      <c r="AR202" s="55"/>
      <c r="AS202" s="55"/>
      <c r="AT202" s="55"/>
      <c r="AU202" s="55"/>
      <c r="AV202" s="55"/>
      <c r="AW202" s="55"/>
      <c r="AX202" s="55"/>
      <c r="AY202" s="55"/>
      <c r="AZ202" s="55"/>
      <c r="BA202" s="55"/>
      <c r="BB202" s="55"/>
      <c r="BC202" s="55"/>
      <c r="BD202" s="55"/>
      <c r="BE202" s="55"/>
      <c r="BF202" s="55"/>
      <c r="BG202" s="55"/>
      <c r="BH202" s="55"/>
      <c r="BI202" s="55"/>
      <c r="BJ202" s="55"/>
      <c r="BK202" s="55"/>
      <c r="BL202" s="55"/>
      <c r="BM202" s="55"/>
      <c r="BN202" s="55"/>
      <c r="BO202" s="55"/>
      <c r="BP202" s="55"/>
      <c r="BQ202" s="55"/>
      <c r="BR202" s="55"/>
      <c r="BS202" s="55"/>
    </row>
    <row r="203" spans="1:71" outlineLevel="1" x14ac:dyDescent="0.2">
      <c r="C203" s="11" t="str">
        <f>HM_ZB_Nsoko!C196</f>
        <v>Coûts fixes</v>
      </c>
      <c r="J203" s="26"/>
      <c r="L203" s="55"/>
      <c r="M203" s="55"/>
      <c r="N203" s="55"/>
      <c r="O203" s="55"/>
      <c r="P203" s="55"/>
      <c r="Q203" s="55"/>
      <c r="R203" s="55"/>
      <c r="S203" s="55"/>
      <c r="T203" s="55"/>
      <c r="U203" s="55"/>
      <c r="V203" s="55"/>
      <c r="W203" s="55"/>
      <c r="X203" s="55"/>
      <c r="Y203" s="55"/>
      <c r="Z203" s="55"/>
      <c r="AA203" s="55"/>
      <c r="AB203" s="55"/>
      <c r="AC203" s="55"/>
      <c r="AD203" s="55"/>
      <c r="AE203" s="55"/>
      <c r="AF203" s="55"/>
      <c r="AG203" s="55"/>
      <c r="AH203" s="55"/>
      <c r="AI203" s="55"/>
      <c r="AJ203" s="55"/>
      <c r="AK203" s="55"/>
      <c r="AL203" s="55"/>
      <c r="AM203" s="55"/>
      <c r="AN203" s="55"/>
      <c r="AO203" s="55"/>
      <c r="AP203" s="55"/>
      <c r="AQ203" s="55"/>
      <c r="AR203" s="55"/>
      <c r="AS203" s="55"/>
      <c r="AT203" s="55"/>
      <c r="AU203" s="55"/>
      <c r="AV203" s="55"/>
      <c r="AW203" s="55"/>
      <c r="AX203" s="55"/>
      <c r="AY203" s="55"/>
      <c r="AZ203" s="55"/>
      <c r="BA203" s="55"/>
      <c r="BB203" s="55"/>
      <c r="BC203" s="55"/>
      <c r="BD203" s="55"/>
      <c r="BE203" s="55"/>
      <c r="BF203" s="55"/>
      <c r="BG203" s="55"/>
      <c r="BH203" s="55"/>
      <c r="BI203" s="55"/>
      <c r="BJ203" s="55"/>
      <c r="BK203" s="55"/>
      <c r="BL203" s="55"/>
      <c r="BM203" s="55"/>
      <c r="BN203" s="55"/>
      <c r="BO203" s="55"/>
      <c r="BP203" s="55"/>
      <c r="BQ203" s="55"/>
      <c r="BR203" s="55"/>
      <c r="BS203" s="55"/>
    </row>
    <row r="204" spans="1:71" outlineLevel="1" x14ac:dyDescent="0.2">
      <c r="D204" t="str">
        <f>HM_ZB_Nsoko!D197</f>
        <v>Opex fixes (nominal)</v>
      </c>
      <c r="I204" s="30">
        <f ca="1">SUM($L204:$BS204)</f>
        <v>0</v>
      </c>
      <c r="J204" s="26" t="s">
        <v>148</v>
      </c>
      <c r="K204" s="7" t="s">
        <v>164</v>
      </c>
      <c r="L204" s="49">
        <f ca="1">HM_ZD_AM3_2005!L187</f>
        <v>0</v>
      </c>
      <c r="M204" s="49">
        <f ca="1">HM_ZD_AM3_2005!M187</f>
        <v>0</v>
      </c>
      <c r="N204" s="49">
        <f t="shared" ref="N204:S204" ca="1" si="150">IF(N4&gt;=YEAR(effective_date_AM_4_AM_6),(OFFSET(_xlfn.SINGLE(IA_fixedopex_real),4,date_offset_AM_4_AM_6)*_xlfn.SINGLE(IA_esc_index)),0)</f>
        <v>0</v>
      </c>
      <c r="O204" s="49">
        <f t="shared" ca="1" si="150"/>
        <v>0</v>
      </c>
      <c r="P204" s="49">
        <f t="shared" ca="1" si="150"/>
        <v>0</v>
      </c>
      <c r="Q204" s="49">
        <f t="shared" ca="1" si="150"/>
        <v>0</v>
      </c>
      <c r="R204" s="49">
        <f t="shared" ca="1" si="150"/>
        <v>0</v>
      </c>
      <c r="S204" s="49">
        <f t="shared" ca="1" si="150"/>
        <v>0</v>
      </c>
      <c r="T204" s="49">
        <f t="shared" ref="T204:AY204" ca="1" si="151">IF(T4&gt;=YEAR(effective_date_AM_4_AM_6),(OFFSET(_xlfn.SINGLE(IA_fixedopex_real),4,date_offset_AM_4_AM_6)*_xlfn.SINGLE(IA_esc_index)),0)*(1+df_opex_sens)</f>
        <v>0</v>
      </c>
      <c r="U204" s="49">
        <f t="shared" ca="1" si="151"/>
        <v>0</v>
      </c>
      <c r="V204" s="49">
        <f t="shared" ca="1" si="151"/>
        <v>0</v>
      </c>
      <c r="W204" s="49">
        <f t="shared" ca="1" si="151"/>
        <v>0</v>
      </c>
      <c r="X204" s="49">
        <f t="shared" ca="1" si="151"/>
        <v>0</v>
      </c>
      <c r="Y204" s="49">
        <f t="shared" ca="1" si="151"/>
        <v>0</v>
      </c>
      <c r="Z204" s="49">
        <f t="shared" ca="1" si="151"/>
        <v>0</v>
      </c>
      <c r="AA204" s="49">
        <f t="shared" ca="1" si="151"/>
        <v>0</v>
      </c>
      <c r="AB204" s="49">
        <f t="shared" ca="1" si="151"/>
        <v>0</v>
      </c>
      <c r="AC204" s="49">
        <f t="shared" ca="1" si="151"/>
        <v>0</v>
      </c>
      <c r="AD204" s="49">
        <f t="shared" ca="1" si="151"/>
        <v>0</v>
      </c>
      <c r="AE204" s="49">
        <f t="shared" ca="1" si="151"/>
        <v>0</v>
      </c>
      <c r="AF204" s="49">
        <f t="shared" ca="1" si="151"/>
        <v>0</v>
      </c>
      <c r="AG204" s="49">
        <f t="shared" ca="1" si="151"/>
        <v>0</v>
      </c>
      <c r="AH204" s="49">
        <f t="shared" ca="1" si="151"/>
        <v>0</v>
      </c>
      <c r="AI204" s="49">
        <f t="shared" ca="1" si="151"/>
        <v>0</v>
      </c>
      <c r="AJ204" s="49">
        <f t="shared" ca="1" si="151"/>
        <v>0</v>
      </c>
      <c r="AK204" s="49">
        <f t="shared" ca="1" si="151"/>
        <v>0</v>
      </c>
      <c r="AL204" s="49">
        <f t="shared" ca="1" si="151"/>
        <v>0</v>
      </c>
      <c r="AM204" s="49">
        <f t="shared" ca="1" si="151"/>
        <v>0</v>
      </c>
      <c r="AN204" s="49">
        <f t="shared" ca="1" si="151"/>
        <v>0</v>
      </c>
      <c r="AO204" s="49">
        <f t="shared" ca="1" si="151"/>
        <v>0</v>
      </c>
      <c r="AP204" s="49">
        <f t="shared" ca="1" si="151"/>
        <v>0</v>
      </c>
      <c r="AQ204" s="49">
        <f t="shared" ca="1" si="151"/>
        <v>0</v>
      </c>
      <c r="AR204" s="49">
        <f t="shared" ca="1" si="151"/>
        <v>0</v>
      </c>
      <c r="AS204" s="49">
        <f t="shared" ca="1" si="151"/>
        <v>0</v>
      </c>
      <c r="AT204" s="49">
        <f t="shared" ca="1" si="151"/>
        <v>0</v>
      </c>
      <c r="AU204" s="49">
        <f t="shared" ca="1" si="151"/>
        <v>0</v>
      </c>
      <c r="AV204" s="49">
        <f t="shared" ca="1" si="151"/>
        <v>0</v>
      </c>
      <c r="AW204" s="49">
        <f t="shared" ca="1" si="151"/>
        <v>0</v>
      </c>
      <c r="AX204" s="49">
        <f t="shared" ca="1" si="151"/>
        <v>0</v>
      </c>
      <c r="AY204" s="49">
        <f t="shared" ca="1" si="151"/>
        <v>0</v>
      </c>
      <c r="AZ204" s="49">
        <f t="shared" ref="AZ204:BS204" ca="1" si="152">IF(AZ4&gt;=YEAR(effective_date_AM_4_AM_6),(OFFSET(_xlfn.SINGLE(IA_fixedopex_real),4,date_offset_AM_4_AM_6)*_xlfn.SINGLE(IA_esc_index)),0)*(1+df_opex_sens)</f>
        <v>0</v>
      </c>
      <c r="BA204" s="49">
        <f t="shared" ca="1" si="152"/>
        <v>0</v>
      </c>
      <c r="BB204" s="49">
        <f t="shared" ca="1" si="152"/>
        <v>0</v>
      </c>
      <c r="BC204" s="49">
        <f t="shared" ca="1" si="152"/>
        <v>0</v>
      </c>
      <c r="BD204" s="49">
        <f t="shared" ca="1" si="152"/>
        <v>0</v>
      </c>
      <c r="BE204" s="49">
        <f t="shared" ca="1" si="152"/>
        <v>0</v>
      </c>
      <c r="BF204" s="49">
        <f t="shared" ca="1" si="152"/>
        <v>0</v>
      </c>
      <c r="BG204" s="49">
        <f t="shared" ca="1" si="152"/>
        <v>0</v>
      </c>
      <c r="BH204" s="49">
        <f t="shared" ca="1" si="152"/>
        <v>0</v>
      </c>
      <c r="BI204" s="49">
        <f t="shared" ca="1" si="152"/>
        <v>0</v>
      </c>
      <c r="BJ204" s="49">
        <f t="shared" ca="1" si="152"/>
        <v>0</v>
      </c>
      <c r="BK204" s="49">
        <f t="shared" ca="1" si="152"/>
        <v>0</v>
      </c>
      <c r="BL204" s="49">
        <f t="shared" ca="1" si="152"/>
        <v>0</v>
      </c>
      <c r="BM204" s="49">
        <f t="shared" ca="1" si="152"/>
        <v>0</v>
      </c>
      <c r="BN204" s="49">
        <f t="shared" ca="1" si="152"/>
        <v>0</v>
      </c>
      <c r="BO204" s="49">
        <f t="shared" ca="1" si="152"/>
        <v>0</v>
      </c>
      <c r="BP204" s="49">
        <f t="shared" ca="1" si="152"/>
        <v>0</v>
      </c>
      <c r="BQ204" s="49">
        <f t="shared" ca="1" si="152"/>
        <v>0</v>
      </c>
      <c r="BR204" s="49">
        <f t="shared" ca="1" si="152"/>
        <v>0</v>
      </c>
      <c r="BS204" s="49">
        <f t="shared" ca="1" si="152"/>
        <v>0</v>
      </c>
    </row>
    <row r="205" spans="1:71" outlineLevel="1" x14ac:dyDescent="0.2">
      <c r="J205" s="26"/>
      <c r="L205" s="55"/>
      <c r="M205" s="55"/>
      <c r="N205" s="55"/>
      <c r="O205" s="55"/>
      <c r="P205" s="55"/>
      <c r="Q205" s="55"/>
      <c r="R205" s="55"/>
      <c r="S205" s="55"/>
      <c r="T205" s="55"/>
      <c r="U205" s="55"/>
      <c r="V205" s="55"/>
      <c r="W205" s="55"/>
      <c r="X205" s="55"/>
      <c r="Y205" s="55"/>
      <c r="Z205" s="55"/>
      <c r="AA205" s="55"/>
      <c r="AB205" s="55"/>
      <c r="AC205" s="55"/>
      <c r="AD205" s="55"/>
      <c r="AE205" s="55"/>
      <c r="AF205" s="55"/>
      <c r="AG205" s="55"/>
      <c r="AH205" s="55"/>
      <c r="AI205" s="55"/>
      <c r="AJ205" s="55"/>
      <c r="AK205" s="55"/>
      <c r="AL205" s="55"/>
      <c r="AM205" s="55"/>
      <c r="AN205" s="55"/>
      <c r="AO205" s="55"/>
      <c r="AP205" s="55"/>
      <c r="AQ205" s="55"/>
      <c r="AR205" s="55"/>
      <c r="AS205" s="55"/>
      <c r="AT205" s="55"/>
      <c r="AU205" s="55"/>
      <c r="AV205" s="55"/>
      <c r="AW205" s="55"/>
      <c r="AX205" s="55"/>
      <c r="AY205" s="55"/>
      <c r="AZ205" s="55"/>
      <c r="BA205" s="55"/>
      <c r="BB205" s="55"/>
      <c r="BC205" s="55"/>
      <c r="BD205" s="55"/>
      <c r="BE205" s="55"/>
      <c r="BF205" s="55"/>
      <c r="BG205" s="55"/>
      <c r="BH205" s="55"/>
      <c r="BI205" s="55"/>
      <c r="BJ205" s="55"/>
      <c r="BK205" s="55"/>
      <c r="BL205" s="55"/>
      <c r="BM205" s="55"/>
      <c r="BN205" s="55"/>
      <c r="BO205" s="55"/>
      <c r="BP205" s="55"/>
      <c r="BQ205" s="55"/>
      <c r="BR205" s="55"/>
      <c r="BS205" s="55"/>
    </row>
    <row r="206" spans="1:71" outlineLevel="1" x14ac:dyDescent="0.2">
      <c r="J206" s="26"/>
      <c r="L206" s="55"/>
      <c r="M206" s="55"/>
      <c r="N206" s="55"/>
      <c r="O206" s="55"/>
      <c r="P206" s="55"/>
      <c r="Q206" s="55"/>
      <c r="R206" s="55"/>
      <c r="S206" s="55"/>
      <c r="T206" s="55"/>
      <c r="U206" s="55"/>
      <c r="V206" s="55"/>
      <c r="W206" s="55"/>
      <c r="X206" s="55"/>
      <c r="Y206" s="55"/>
      <c r="Z206" s="55"/>
      <c r="AA206" s="55"/>
      <c r="AB206" s="55"/>
      <c r="AC206" s="55"/>
      <c r="AD206" s="55"/>
      <c r="AE206" s="55"/>
      <c r="AF206" s="55"/>
      <c r="AG206" s="55"/>
      <c r="AH206" s="55"/>
      <c r="AI206" s="55"/>
      <c r="AJ206" s="55"/>
      <c r="AK206" s="55"/>
      <c r="AL206" s="55"/>
      <c r="AM206" s="55"/>
      <c r="AN206" s="55"/>
      <c r="AO206" s="55"/>
      <c r="AP206" s="55"/>
      <c r="AQ206" s="55"/>
      <c r="AR206" s="55"/>
      <c r="AS206" s="55"/>
      <c r="AT206" s="55"/>
      <c r="AU206" s="55"/>
      <c r="AV206" s="55"/>
      <c r="AW206" s="55"/>
      <c r="AX206" s="55"/>
      <c r="AY206" s="55"/>
      <c r="AZ206" s="55"/>
      <c r="BA206" s="55"/>
      <c r="BB206" s="55"/>
      <c r="BC206" s="55"/>
      <c r="BD206" s="55"/>
      <c r="BE206" s="55"/>
      <c r="BF206" s="55"/>
      <c r="BG206" s="55"/>
      <c r="BH206" s="55"/>
      <c r="BI206" s="55"/>
      <c r="BJ206" s="55"/>
      <c r="BK206" s="55"/>
      <c r="BL206" s="55"/>
      <c r="BM206" s="55"/>
      <c r="BN206" s="55"/>
      <c r="BO206" s="55"/>
      <c r="BP206" s="55"/>
      <c r="BQ206" s="55"/>
      <c r="BR206" s="55"/>
      <c r="BS206" s="55"/>
    </row>
    <row r="207" spans="1:71" outlineLevel="1" x14ac:dyDescent="0.2">
      <c r="D207" s="11" t="str">
        <f>HM_ZB_Nsoko!D200</f>
        <v>Total Opex</v>
      </c>
      <c r="I207" s="30">
        <f ca="1">SUM($L207:$BS207)</f>
        <v>4275.8653539520001</v>
      </c>
      <c r="J207" s="26" t="s">
        <v>148</v>
      </c>
      <c r="K207" s="7" t="s">
        <v>166</v>
      </c>
      <c r="L207" s="49">
        <f ca="1">SUM(L204,L201)</f>
        <v>172.67099999999999</v>
      </c>
      <c r="M207" s="49">
        <f t="shared" ref="M207:BS207" ca="1" si="153">SUM(M204,M201)</f>
        <v>220.01900000000001</v>
      </c>
      <c r="N207" s="49">
        <f t="shared" ca="1" si="153"/>
        <v>282.71699999999998</v>
      </c>
      <c r="O207" s="49">
        <f t="shared" ca="1" si="153"/>
        <v>470.46699999999998</v>
      </c>
      <c r="P207" s="49">
        <f t="shared" ca="1" si="153"/>
        <v>868.58600000000001</v>
      </c>
      <c r="Q207" s="49">
        <f t="shared" ca="1" si="153"/>
        <v>248.2</v>
      </c>
      <c r="R207" s="49">
        <f t="shared" ca="1" si="153"/>
        <v>281.8</v>
      </c>
      <c r="S207" s="49">
        <f t="shared" ca="1" si="153"/>
        <v>286.3</v>
      </c>
      <c r="T207" s="49">
        <f t="shared" ca="1" si="153"/>
        <v>283.39999999999998</v>
      </c>
      <c r="U207" s="49">
        <f t="shared" ca="1" si="153"/>
        <v>286.21200000000005</v>
      </c>
      <c r="V207" s="49">
        <f t="shared" ca="1" si="153"/>
        <v>289.02312000000001</v>
      </c>
      <c r="W207" s="49">
        <f t="shared" ca="1" si="153"/>
        <v>291.8322</v>
      </c>
      <c r="X207" s="49">
        <f t="shared" ca="1" si="153"/>
        <v>294.638033952</v>
      </c>
      <c r="Y207" s="49">
        <f t="shared" ca="1" si="153"/>
        <v>0</v>
      </c>
      <c r="Z207" s="49">
        <f t="shared" ca="1" si="153"/>
        <v>0</v>
      </c>
      <c r="AA207" s="49">
        <f t="shared" ca="1" si="153"/>
        <v>0</v>
      </c>
      <c r="AB207" s="49">
        <f t="shared" ca="1" si="153"/>
        <v>0</v>
      </c>
      <c r="AC207" s="49">
        <f t="shared" ca="1" si="153"/>
        <v>0</v>
      </c>
      <c r="AD207" s="49">
        <f t="shared" ca="1" si="153"/>
        <v>0</v>
      </c>
      <c r="AE207" s="49">
        <f t="shared" ca="1" si="153"/>
        <v>0</v>
      </c>
      <c r="AF207" s="49">
        <f t="shared" ca="1" si="153"/>
        <v>0</v>
      </c>
      <c r="AG207" s="49">
        <f t="shared" ca="1" si="153"/>
        <v>0</v>
      </c>
      <c r="AH207" s="49">
        <f t="shared" ca="1" si="153"/>
        <v>0</v>
      </c>
      <c r="AI207" s="49">
        <f t="shared" ca="1" si="153"/>
        <v>0</v>
      </c>
      <c r="AJ207" s="49">
        <f t="shared" ca="1" si="153"/>
        <v>0</v>
      </c>
      <c r="AK207" s="49">
        <f t="shared" ca="1" si="153"/>
        <v>0</v>
      </c>
      <c r="AL207" s="49">
        <f t="shared" ca="1" si="153"/>
        <v>0</v>
      </c>
      <c r="AM207" s="49">
        <f t="shared" ca="1" si="153"/>
        <v>0</v>
      </c>
      <c r="AN207" s="49">
        <f t="shared" ca="1" si="153"/>
        <v>0</v>
      </c>
      <c r="AO207" s="49">
        <f t="shared" ca="1" si="153"/>
        <v>0</v>
      </c>
      <c r="AP207" s="49">
        <f t="shared" ca="1" si="153"/>
        <v>0</v>
      </c>
      <c r="AQ207" s="49">
        <f t="shared" ca="1" si="153"/>
        <v>0</v>
      </c>
      <c r="AR207" s="49">
        <f t="shared" ca="1" si="153"/>
        <v>0</v>
      </c>
      <c r="AS207" s="49">
        <f t="shared" ca="1" si="153"/>
        <v>0</v>
      </c>
      <c r="AT207" s="49">
        <f t="shared" ca="1" si="153"/>
        <v>0</v>
      </c>
      <c r="AU207" s="49">
        <f t="shared" ca="1" si="153"/>
        <v>0</v>
      </c>
      <c r="AV207" s="49">
        <f t="shared" ca="1" si="153"/>
        <v>0</v>
      </c>
      <c r="AW207" s="49">
        <f t="shared" ca="1" si="153"/>
        <v>0</v>
      </c>
      <c r="AX207" s="49">
        <f t="shared" ca="1" si="153"/>
        <v>0</v>
      </c>
      <c r="AY207" s="49">
        <f t="shared" ca="1" si="153"/>
        <v>0</v>
      </c>
      <c r="AZ207" s="49">
        <f t="shared" ca="1" si="153"/>
        <v>0</v>
      </c>
      <c r="BA207" s="49">
        <f t="shared" ca="1" si="153"/>
        <v>0</v>
      </c>
      <c r="BB207" s="49">
        <f t="shared" ca="1" si="153"/>
        <v>0</v>
      </c>
      <c r="BC207" s="49">
        <f t="shared" ca="1" si="153"/>
        <v>0</v>
      </c>
      <c r="BD207" s="49">
        <f t="shared" ca="1" si="153"/>
        <v>0</v>
      </c>
      <c r="BE207" s="49">
        <f t="shared" ca="1" si="153"/>
        <v>0</v>
      </c>
      <c r="BF207" s="49">
        <f t="shared" ca="1" si="153"/>
        <v>0</v>
      </c>
      <c r="BG207" s="49">
        <f t="shared" ca="1" si="153"/>
        <v>0</v>
      </c>
      <c r="BH207" s="49">
        <f t="shared" ca="1" si="153"/>
        <v>0</v>
      </c>
      <c r="BI207" s="49">
        <f t="shared" ca="1" si="153"/>
        <v>0</v>
      </c>
      <c r="BJ207" s="49">
        <f t="shared" ca="1" si="153"/>
        <v>0</v>
      </c>
      <c r="BK207" s="49">
        <f t="shared" ca="1" si="153"/>
        <v>0</v>
      </c>
      <c r="BL207" s="49">
        <f t="shared" ca="1" si="153"/>
        <v>0</v>
      </c>
      <c r="BM207" s="49">
        <f t="shared" ca="1" si="153"/>
        <v>0</v>
      </c>
      <c r="BN207" s="49">
        <f t="shared" ca="1" si="153"/>
        <v>0</v>
      </c>
      <c r="BO207" s="49">
        <f t="shared" ca="1" si="153"/>
        <v>0</v>
      </c>
      <c r="BP207" s="49">
        <f t="shared" ca="1" si="153"/>
        <v>0</v>
      </c>
      <c r="BQ207" s="49">
        <f t="shared" ca="1" si="153"/>
        <v>0</v>
      </c>
      <c r="BR207" s="49">
        <f t="shared" ca="1" si="153"/>
        <v>0</v>
      </c>
      <c r="BS207" s="49">
        <f t="shared" ca="1" si="153"/>
        <v>0</v>
      </c>
    </row>
    <row r="208" spans="1:71" outlineLevel="1" x14ac:dyDescent="0.2">
      <c r="J208" s="26"/>
      <c r="L208" s="55"/>
      <c r="M208" s="55"/>
      <c r="N208" s="55"/>
      <c r="O208" s="55"/>
      <c r="P208" s="55"/>
      <c r="Q208" s="55"/>
      <c r="R208" s="55"/>
      <c r="S208" s="55"/>
      <c r="T208" s="55"/>
      <c r="U208" s="55"/>
      <c r="V208" s="55"/>
      <c r="W208" s="55"/>
      <c r="X208" s="55"/>
      <c r="Y208" s="55"/>
      <c r="Z208" s="55"/>
      <c r="AA208" s="55"/>
      <c r="AB208" s="55"/>
      <c r="AC208" s="55"/>
      <c r="AD208" s="55"/>
      <c r="AE208" s="55"/>
      <c r="AF208" s="55"/>
      <c r="AG208" s="55"/>
      <c r="AH208" s="55"/>
      <c r="AI208" s="55"/>
      <c r="AJ208" s="55"/>
      <c r="AK208" s="55"/>
      <c r="AL208" s="55"/>
      <c r="AM208" s="55"/>
      <c r="AN208" s="55"/>
      <c r="AO208" s="55"/>
      <c r="AP208" s="55"/>
      <c r="AQ208" s="55"/>
      <c r="AR208" s="55"/>
      <c r="AS208" s="55"/>
      <c r="AT208" s="55"/>
      <c r="AU208" s="55"/>
      <c r="AV208" s="55"/>
      <c r="AW208" s="55"/>
      <c r="AX208" s="55"/>
      <c r="AY208" s="55"/>
      <c r="AZ208" s="55"/>
      <c r="BA208" s="55"/>
      <c r="BB208" s="55"/>
      <c r="BC208" s="55"/>
      <c r="BD208" s="55"/>
      <c r="BE208" s="55"/>
      <c r="BF208" s="55"/>
      <c r="BG208" s="55"/>
      <c r="BH208" s="55"/>
      <c r="BI208" s="55"/>
      <c r="BJ208" s="55"/>
      <c r="BK208" s="55"/>
      <c r="BL208" s="55"/>
      <c r="BM208" s="55"/>
      <c r="BN208" s="55"/>
      <c r="BO208" s="55"/>
      <c r="BP208" s="55"/>
      <c r="BQ208" s="55"/>
      <c r="BR208" s="55"/>
      <c r="BS208" s="55"/>
    </row>
    <row r="209" spans="1:71" outlineLevel="1" x14ac:dyDescent="0.2">
      <c r="J209" s="26"/>
      <c r="L209" s="55"/>
      <c r="M209" s="55"/>
      <c r="N209" s="55"/>
      <c r="O209" s="55"/>
      <c r="P209" s="55"/>
      <c r="Q209" s="55"/>
      <c r="R209" s="55"/>
      <c r="S209" s="55"/>
      <c r="T209" s="55"/>
      <c r="U209" s="55"/>
      <c r="V209" s="55"/>
      <c r="W209" s="55"/>
      <c r="X209" s="55"/>
      <c r="Y209" s="55"/>
      <c r="Z209" s="55"/>
      <c r="AA209" s="55"/>
      <c r="AB209" s="55"/>
      <c r="AC209" s="55"/>
      <c r="AD209" s="55"/>
      <c r="AE209" s="55"/>
      <c r="AF209" s="55"/>
      <c r="AG209" s="55"/>
      <c r="AH209" s="55"/>
      <c r="AI209" s="55"/>
      <c r="AJ209" s="55"/>
      <c r="AK209" s="55"/>
      <c r="AL209" s="55"/>
      <c r="AM209" s="55"/>
      <c r="AN209" s="55"/>
      <c r="AO209" s="55"/>
      <c r="AP209" s="55"/>
      <c r="AQ209" s="55"/>
      <c r="AR209" s="55"/>
      <c r="AS209" s="55"/>
      <c r="AT209" s="55"/>
      <c r="AU209" s="55"/>
      <c r="AV209" s="55"/>
      <c r="AW209" s="55"/>
      <c r="AX209" s="55"/>
      <c r="AY209" s="55"/>
      <c r="AZ209" s="55"/>
      <c r="BA209" s="55"/>
      <c r="BB209" s="55"/>
      <c r="BC209" s="55"/>
      <c r="BD209" s="55"/>
      <c r="BE209" s="55"/>
      <c r="BF209" s="55"/>
      <c r="BG209" s="55"/>
      <c r="BH209" s="55"/>
      <c r="BI209" s="55"/>
      <c r="BJ209" s="55"/>
      <c r="BK209" s="55"/>
      <c r="BL209" s="55"/>
      <c r="BM209" s="55"/>
      <c r="BN209" s="55"/>
      <c r="BO209" s="55"/>
      <c r="BP209" s="55"/>
      <c r="BQ209" s="55"/>
      <c r="BR209" s="55"/>
      <c r="BS209" s="55"/>
    </row>
    <row r="210" spans="1:71" outlineLevel="1" x14ac:dyDescent="0.2">
      <c r="A210" s="45"/>
      <c r="B210" s="38" t="str">
        <f>HM_ZB_Nsoko!B203</f>
        <v>Coûts de développement</v>
      </c>
      <c r="C210" s="45"/>
      <c r="D210" s="45"/>
      <c r="E210" s="45"/>
      <c r="J210" s="26"/>
      <c r="L210" s="55"/>
      <c r="M210" s="55"/>
      <c r="N210" s="55"/>
      <c r="O210" s="55"/>
      <c r="P210" s="55"/>
      <c r="Q210" s="55"/>
      <c r="R210" s="55"/>
      <c r="S210" s="55"/>
      <c r="T210" s="55"/>
      <c r="U210" s="55"/>
      <c r="V210" s="55"/>
      <c r="W210" s="55"/>
      <c r="X210" s="55"/>
      <c r="Y210" s="55"/>
      <c r="Z210" s="55"/>
      <c r="AA210" s="55"/>
      <c r="AB210" s="55"/>
      <c r="AC210" s="55"/>
      <c r="AD210" s="55"/>
      <c r="AE210" s="55"/>
      <c r="AF210" s="55"/>
      <c r="AG210" s="55"/>
      <c r="AH210" s="55"/>
      <c r="AI210" s="55"/>
      <c r="AJ210" s="55"/>
      <c r="AK210" s="55"/>
      <c r="AL210" s="55"/>
      <c r="AM210" s="55"/>
      <c r="AN210" s="55"/>
      <c r="AO210" s="55"/>
      <c r="AP210" s="55"/>
      <c r="AQ210" s="55"/>
      <c r="AR210" s="55"/>
      <c r="AS210" s="55"/>
      <c r="AT210" s="55"/>
      <c r="AU210" s="55"/>
      <c r="AV210" s="55"/>
      <c r="AW210" s="55"/>
      <c r="AX210" s="55"/>
      <c r="AY210" s="55"/>
      <c r="AZ210" s="55"/>
      <c r="BA210" s="55"/>
      <c r="BB210" s="55"/>
      <c r="BC210" s="55"/>
      <c r="BD210" s="55"/>
      <c r="BE210" s="55"/>
      <c r="BF210" s="55"/>
      <c r="BG210" s="55"/>
      <c r="BH210" s="55"/>
      <c r="BI210" s="55"/>
      <c r="BJ210" s="55"/>
      <c r="BK210" s="55"/>
      <c r="BL210" s="55"/>
      <c r="BM210" s="55"/>
      <c r="BN210" s="55"/>
      <c r="BO210" s="55"/>
      <c r="BP210" s="55"/>
      <c r="BQ210" s="55"/>
      <c r="BR210" s="55"/>
      <c r="BS210" s="55"/>
    </row>
    <row r="211" spans="1:71" outlineLevel="1" x14ac:dyDescent="0.2">
      <c r="J211" s="26"/>
      <c r="L211" s="55"/>
      <c r="M211" s="55"/>
      <c r="N211" s="55"/>
      <c r="O211" s="55"/>
      <c r="P211" s="55"/>
      <c r="Q211" s="55"/>
      <c r="R211" s="55"/>
      <c r="S211" s="55"/>
      <c r="T211" s="55"/>
      <c r="U211" s="55"/>
      <c r="V211" s="55"/>
      <c r="W211" s="55"/>
      <c r="X211" s="55"/>
      <c r="Y211" s="55"/>
      <c r="Z211" s="55"/>
      <c r="AA211" s="55"/>
      <c r="AB211" s="55"/>
      <c r="AC211" s="55"/>
      <c r="AD211" s="55"/>
      <c r="AE211" s="55"/>
      <c r="AF211" s="55"/>
      <c r="AG211" s="55"/>
      <c r="AH211" s="55"/>
      <c r="AI211" s="55"/>
      <c r="AJ211" s="55"/>
      <c r="AK211" s="55"/>
      <c r="AL211" s="55"/>
      <c r="AM211" s="55"/>
      <c r="AN211" s="55"/>
      <c r="AO211" s="55"/>
      <c r="AP211" s="55"/>
      <c r="AQ211" s="55"/>
      <c r="AR211" s="55"/>
      <c r="AS211" s="55"/>
      <c r="AT211" s="55"/>
      <c r="AU211" s="55"/>
      <c r="AV211" s="55"/>
      <c r="AW211" s="55"/>
      <c r="AX211" s="55"/>
      <c r="AY211" s="55"/>
      <c r="AZ211" s="55"/>
      <c r="BA211" s="55"/>
      <c r="BB211" s="55"/>
      <c r="BC211" s="55"/>
      <c r="BD211" s="55"/>
      <c r="BE211" s="55"/>
      <c r="BF211" s="55"/>
      <c r="BG211" s="55"/>
      <c r="BH211" s="55"/>
      <c r="BI211" s="55"/>
      <c r="BJ211" s="55"/>
      <c r="BK211" s="55"/>
      <c r="BL211" s="55"/>
      <c r="BM211" s="55"/>
      <c r="BN211" s="55"/>
      <c r="BO211" s="55"/>
      <c r="BP211" s="55"/>
      <c r="BQ211" s="55"/>
      <c r="BR211" s="55"/>
      <c r="BS211" s="55"/>
    </row>
    <row r="212" spans="1:71" outlineLevel="1" x14ac:dyDescent="0.2">
      <c r="C212" s="11" t="str">
        <f>HM_ZB_Nsoko!C205</f>
        <v>Coûts d'exploration et d'évaluation</v>
      </c>
      <c r="J212" s="26"/>
      <c r="L212" s="55"/>
      <c r="M212" s="55"/>
      <c r="N212" s="55"/>
      <c r="O212" s="55"/>
      <c r="P212" s="55"/>
      <c r="Q212" s="55"/>
      <c r="R212" s="55"/>
      <c r="S212" s="55"/>
      <c r="T212" s="55"/>
      <c r="U212" s="55"/>
      <c r="V212" s="55"/>
      <c r="W212" s="55"/>
      <c r="X212" s="55"/>
      <c r="Y212" s="55"/>
      <c r="Z212" s="55"/>
      <c r="AA212" s="55"/>
      <c r="AB212" s="55"/>
      <c r="AC212" s="55"/>
      <c r="AD212" s="55"/>
      <c r="AE212" s="55"/>
      <c r="AF212" s="55"/>
      <c r="AG212" s="55"/>
      <c r="AH212" s="55"/>
      <c r="AI212" s="55"/>
      <c r="AJ212" s="55"/>
      <c r="AK212" s="55"/>
      <c r="AL212" s="55"/>
      <c r="AM212" s="55"/>
      <c r="AN212" s="55"/>
      <c r="AO212" s="55"/>
      <c r="AP212" s="55"/>
      <c r="AQ212" s="55"/>
      <c r="AR212" s="55"/>
      <c r="AS212" s="55"/>
      <c r="AT212" s="55"/>
      <c r="AU212" s="55"/>
      <c r="AV212" s="55"/>
      <c r="AW212" s="55"/>
      <c r="AX212" s="55"/>
      <c r="AY212" s="55"/>
      <c r="AZ212" s="55"/>
      <c r="BA212" s="55"/>
      <c r="BB212" s="55"/>
      <c r="BC212" s="55"/>
      <c r="BD212" s="55"/>
      <c r="BE212" s="55"/>
      <c r="BF212" s="55"/>
      <c r="BG212" s="55"/>
      <c r="BH212" s="55"/>
      <c r="BI212" s="55"/>
      <c r="BJ212" s="55"/>
      <c r="BK212" s="55"/>
      <c r="BL212" s="55"/>
      <c r="BM212" s="55"/>
      <c r="BN212" s="55"/>
      <c r="BO212" s="55"/>
      <c r="BP212" s="55"/>
      <c r="BQ212" s="55"/>
      <c r="BR212" s="55"/>
      <c r="BS212" s="55"/>
    </row>
    <row r="213" spans="1:71" outlineLevel="1" x14ac:dyDescent="0.2">
      <c r="D213" t="str">
        <f>HM_ZB_Nsoko!D206</f>
        <v>Coûts Eploration récupérables (Nominal)</v>
      </c>
      <c r="I213" s="30">
        <f ca="1">SUM($L213:$BS213)</f>
        <v>0</v>
      </c>
      <c r="J213" s="26" t="s">
        <v>148</v>
      </c>
      <c r="K213" s="7" t="s">
        <v>171</v>
      </c>
      <c r="L213" s="49">
        <f ca="1">HM_ZD_AM3_2005!L196</f>
        <v>0</v>
      </c>
      <c r="M213" s="49">
        <f ca="1">HM_ZD_AM3_2005!M196</f>
        <v>0</v>
      </c>
      <c r="N213" s="49">
        <f t="shared" ref="N213:S213" ca="1" si="154">IF(N4&gt;=YEAR(effective_date_AM_4_AM_6),(OFFSET(_xlfn.SINGLE(IA_EandA_real),4,date_offset_AM_4_AM_6)*_xlfn.SINGLE(IA_esc_index)),0)</f>
        <v>0</v>
      </c>
      <c r="O213" s="49">
        <f t="shared" ca="1" si="154"/>
        <v>0</v>
      </c>
      <c r="P213" s="49">
        <f t="shared" ca="1" si="154"/>
        <v>0</v>
      </c>
      <c r="Q213" s="49">
        <f t="shared" ca="1" si="154"/>
        <v>0</v>
      </c>
      <c r="R213" s="49">
        <f t="shared" ca="1" si="154"/>
        <v>0</v>
      </c>
      <c r="S213" s="49">
        <f t="shared" ca="1" si="154"/>
        <v>0</v>
      </c>
      <c r="T213" s="49">
        <f t="shared" ref="T213:AY213" ca="1" si="155">IF(T4&gt;=YEAR(effective_date_AM_4_AM_6),(OFFSET(_xlfn.SINGLE(IA_EandA_real),4,date_offset_AM_4_AM_6)*_xlfn.SINGLE(IA_esc_index)),0)*(1+df_capex_sens)</f>
        <v>0</v>
      </c>
      <c r="U213" s="49">
        <f t="shared" ca="1" si="155"/>
        <v>0</v>
      </c>
      <c r="V213" s="49">
        <f t="shared" ca="1" si="155"/>
        <v>0</v>
      </c>
      <c r="W213" s="49">
        <f t="shared" ca="1" si="155"/>
        <v>0</v>
      </c>
      <c r="X213" s="49">
        <f t="shared" ca="1" si="155"/>
        <v>0</v>
      </c>
      <c r="Y213" s="49">
        <f t="shared" ca="1" si="155"/>
        <v>0</v>
      </c>
      <c r="Z213" s="49">
        <f t="shared" ca="1" si="155"/>
        <v>0</v>
      </c>
      <c r="AA213" s="49">
        <f t="shared" ca="1" si="155"/>
        <v>0</v>
      </c>
      <c r="AB213" s="49">
        <f t="shared" ca="1" si="155"/>
        <v>0</v>
      </c>
      <c r="AC213" s="49">
        <f t="shared" ca="1" si="155"/>
        <v>0</v>
      </c>
      <c r="AD213" s="49">
        <f t="shared" ca="1" si="155"/>
        <v>0</v>
      </c>
      <c r="AE213" s="49">
        <f t="shared" ca="1" si="155"/>
        <v>0</v>
      </c>
      <c r="AF213" s="49">
        <f t="shared" ca="1" si="155"/>
        <v>0</v>
      </c>
      <c r="AG213" s="49">
        <f t="shared" ca="1" si="155"/>
        <v>0</v>
      </c>
      <c r="AH213" s="49">
        <f t="shared" ca="1" si="155"/>
        <v>0</v>
      </c>
      <c r="AI213" s="49">
        <f t="shared" ca="1" si="155"/>
        <v>0</v>
      </c>
      <c r="AJ213" s="49">
        <f t="shared" ca="1" si="155"/>
        <v>0</v>
      </c>
      <c r="AK213" s="49">
        <f t="shared" ca="1" si="155"/>
        <v>0</v>
      </c>
      <c r="AL213" s="49">
        <f t="shared" ca="1" si="155"/>
        <v>0</v>
      </c>
      <c r="AM213" s="49">
        <f t="shared" ca="1" si="155"/>
        <v>0</v>
      </c>
      <c r="AN213" s="49">
        <f t="shared" ca="1" si="155"/>
        <v>0</v>
      </c>
      <c r="AO213" s="49">
        <f t="shared" ca="1" si="155"/>
        <v>0</v>
      </c>
      <c r="AP213" s="49">
        <f t="shared" ca="1" si="155"/>
        <v>0</v>
      </c>
      <c r="AQ213" s="49">
        <f t="shared" ca="1" si="155"/>
        <v>0</v>
      </c>
      <c r="AR213" s="49">
        <f t="shared" ca="1" si="155"/>
        <v>0</v>
      </c>
      <c r="AS213" s="49">
        <f t="shared" ca="1" si="155"/>
        <v>0</v>
      </c>
      <c r="AT213" s="49">
        <f t="shared" ca="1" si="155"/>
        <v>0</v>
      </c>
      <c r="AU213" s="49">
        <f t="shared" ca="1" si="155"/>
        <v>0</v>
      </c>
      <c r="AV213" s="49">
        <f t="shared" ca="1" si="155"/>
        <v>0</v>
      </c>
      <c r="AW213" s="49">
        <f t="shared" ca="1" si="155"/>
        <v>0</v>
      </c>
      <c r="AX213" s="49">
        <f t="shared" ca="1" si="155"/>
        <v>0</v>
      </c>
      <c r="AY213" s="49">
        <f t="shared" ca="1" si="155"/>
        <v>0</v>
      </c>
      <c r="AZ213" s="49">
        <f t="shared" ref="AZ213:BS213" ca="1" si="156">IF(AZ4&gt;=YEAR(effective_date_AM_4_AM_6),(OFFSET(_xlfn.SINGLE(IA_EandA_real),4,date_offset_AM_4_AM_6)*_xlfn.SINGLE(IA_esc_index)),0)*(1+df_capex_sens)</f>
        <v>0</v>
      </c>
      <c r="BA213" s="49">
        <f t="shared" ca="1" si="156"/>
        <v>0</v>
      </c>
      <c r="BB213" s="49">
        <f t="shared" ca="1" si="156"/>
        <v>0</v>
      </c>
      <c r="BC213" s="49">
        <f t="shared" ca="1" si="156"/>
        <v>0</v>
      </c>
      <c r="BD213" s="49">
        <f t="shared" ca="1" si="156"/>
        <v>0</v>
      </c>
      <c r="BE213" s="49">
        <f t="shared" ca="1" si="156"/>
        <v>0</v>
      </c>
      <c r="BF213" s="49">
        <f t="shared" ca="1" si="156"/>
        <v>0</v>
      </c>
      <c r="BG213" s="49">
        <f t="shared" ca="1" si="156"/>
        <v>0</v>
      </c>
      <c r="BH213" s="49">
        <f t="shared" ca="1" si="156"/>
        <v>0</v>
      </c>
      <c r="BI213" s="49">
        <f t="shared" ca="1" si="156"/>
        <v>0</v>
      </c>
      <c r="BJ213" s="49">
        <f t="shared" ca="1" si="156"/>
        <v>0</v>
      </c>
      <c r="BK213" s="49">
        <f t="shared" ca="1" si="156"/>
        <v>0</v>
      </c>
      <c r="BL213" s="49">
        <f t="shared" ca="1" si="156"/>
        <v>0</v>
      </c>
      <c r="BM213" s="49">
        <f t="shared" ca="1" si="156"/>
        <v>0</v>
      </c>
      <c r="BN213" s="49">
        <f t="shared" ca="1" si="156"/>
        <v>0</v>
      </c>
      <c r="BO213" s="49">
        <f t="shared" ca="1" si="156"/>
        <v>0</v>
      </c>
      <c r="BP213" s="49">
        <f t="shared" ca="1" si="156"/>
        <v>0</v>
      </c>
      <c r="BQ213" s="49">
        <f t="shared" ca="1" si="156"/>
        <v>0</v>
      </c>
      <c r="BR213" s="49">
        <f t="shared" ca="1" si="156"/>
        <v>0</v>
      </c>
      <c r="BS213" s="49">
        <f t="shared" ca="1" si="156"/>
        <v>0</v>
      </c>
    </row>
    <row r="214" spans="1:71" outlineLevel="1" x14ac:dyDescent="0.2">
      <c r="J214" s="26"/>
      <c r="L214" s="55"/>
      <c r="M214" s="55"/>
      <c r="N214" s="55"/>
      <c r="O214" s="55"/>
      <c r="P214" s="55"/>
      <c r="Q214" s="55"/>
      <c r="R214" s="55"/>
      <c r="S214" s="55"/>
      <c r="T214" s="55"/>
      <c r="U214" s="55"/>
      <c r="V214" s="55"/>
      <c r="W214" s="55"/>
      <c r="X214" s="55"/>
      <c r="Y214" s="55"/>
      <c r="Z214" s="55"/>
      <c r="AA214" s="55"/>
      <c r="AB214" s="55"/>
      <c r="AC214" s="55"/>
      <c r="AD214" s="55"/>
      <c r="AE214" s="55"/>
      <c r="AF214" s="55"/>
      <c r="AG214" s="55"/>
      <c r="AH214" s="55"/>
      <c r="AI214" s="55"/>
      <c r="AJ214" s="55"/>
      <c r="AK214" s="55"/>
      <c r="AL214" s="55"/>
      <c r="AM214" s="55"/>
      <c r="AN214" s="55"/>
      <c r="AO214" s="55"/>
      <c r="AP214" s="55"/>
      <c r="AQ214" s="55"/>
      <c r="AR214" s="55"/>
      <c r="AS214" s="55"/>
      <c r="AT214" s="55"/>
      <c r="AU214" s="55"/>
      <c r="AV214" s="55"/>
      <c r="AW214" s="55"/>
      <c r="AX214" s="55"/>
      <c r="AY214" s="55"/>
      <c r="AZ214" s="55"/>
      <c r="BA214" s="55"/>
      <c r="BB214" s="55"/>
      <c r="BC214" s="55"/>
      <c r="BD214" s="55"/>
      <c r="BE214" s="55"/>
      <c r="BF214" s="55"/>
      <c r="BG214" s="55"/>
      <c r="BH214" s="55"/>
      <c r="BI214" s="55"/>
      <c r="BJ214" s="55"/>
      <c r="BK214" s="55"/>
      <c r="BL214" s="55"/>
      <c r="BM214" s="55"/>
      <c r="BN214" s="55"/>
      <c r="BO214" s="55"/>
      <c r="BP214" s="55"/>
      <c r="BQ214" s="55"/>
      <c r="BR214" s="55"/>
      <c r="BS214" s="55"/>
    </row>
    <row r="215" spans="1:71" outlineLevel="1" x14ac:dyDescent="0.2">
      <c r="C215" s="11" t="str">
        <f>HM_ZB_Nsoko!C208</f>
        <v>Coûts de développement</v>
      </c>
      <c r="J215" s="26"/>
      <c r="L215" s="55"/>
      <c r="M215" s="55"/>
      <c r="N215" s="55"/>
      <c r="O215" s="55"/>
      <c r="P215" s="55"/>
      <c r="Q215" s="55"/>
      <c r="R215" s="55"/>
      <c r="S215" s="55"/>
      <c r="T215" s="55"/>
      <c r="U215" s="55"/>
      <c r="V215" s="55"/>
      <c r="W215" s="55"/>
      <c r="X215" s="55"/>
      <c r="Y215" s="55"/>
      <c r="Z215" s="55"/>
      <c r="AA215" s="55"/>
      <c r="AB215" s="55"/>
      <c r="AC215" s="55"/>
      <c r="AD215" s="55"/>
      <c r="AE215" s="55"/>
      <c r="AF215" s="55"/>
      <c r="AG215" s="55"/>
      <c r="AH215" s="55"/>
      <c r="AI215" s="55"/>
      <c r="AJ215" s="55"/>
      <c r="AK215" s="55"/>
      <c r="AL215" s="55"/>
      <c r="AM215" s="55"/>
      <c r="AN215" s="55"/>
      <c r="AO215" s="55"/>
      <c r="AP215" s="55"/>
      <c r="AQ215" s="55"/>
      <c r="AR215" s="55"/>
      <c r="AS215" s="55"/>
      <c r="AT215" s="55"/>
      <c r="AU215" s="55"/>
      <c r="AV215" s="55"/>
      <c r="AW215" s="55"/>
      <c r="AX215" s="55"/>
      <c r="AY215" s="55"/>
      <c r="AZ215" s="55"/>
      <c r="BA215" s="55"/>
      <c r="BB215" s="55"/>
      <c r="BC215" s="55"/>
      <c r="BD215" s="55"/>
      <c r="BE215" s="55"/>
      <c r="BF215" s="55"/>
      <c r="BG215" s="55"/>
      <c r="BH215" s="55"/>
      <c r="BI215" s="55"/>
      <c r="BJ215" s="55"/>
      <c r="BK215" s="55"/>
      <c r="BL215" s="55"/>
      <c r="BM215" s="55"/>
      <c r="BN215" s="55"/>
      <c r="BO215" s="55"/>
      <c r="BP215" s="55"/>
      <c r="BQ215" s="55"/>
      <c r="BR215" s="55"/>
      <c r="BS215" s="55"/>
    </row>
    <row r="216" spans="1:71" outlineLevel="1" x14ac:dyDescent="0.2">
      <c r="D216" t="str">
        <f>HM_ZB_Nsoko!D209</f>
        <v>Capex développement (nominal)</v>
      </c>
      <c r="I216" s="30">
        <f ca="1">SUM($L216:$BS216)</f>
        <v>10913.591</v>
      </c>
      <c r="J216" s="26" t="s">
        <v>148</v>
      </c>
      <c r="K216" s="7" t="s">
        <v>170</v>
      </c>
      <c r="L216" s="49">
        <f ca="1">HM_ZD_AM3_2005!L199</f>
        <v>1286.7819999999999</v>
      </c>
      <c r="M216" s="49">
        <f ca="1">HM_ZD_AM3_2005!M199</f>
        <v>2118.212</v>
      </c>
      <c r="N216" s="49">
        <f t="shared" ref="N216:S216" ca="1" si="157">IF(N4&gt;=YEAR(effective_date_AM_4_AM_6),(OFFSET(_xlfn.SINGLE(IA_devcapex_real),4,date_offset_AM_4_AM_6)*_xlfn.SINGLE(IA_esc_index)),0)</f>
        <v>3130.5740000000001</v>
      </c>
      <c r="O216" s="49">
        <f t="shared" ca="1" si="157"/>
        <v>2571.201</v>
      </c>
      <c r="P216" s="49">
        <f t="shared" ca="1" si="157"/>
        <v>1153.232</v>
      </c>
      <c r="Q216" s="49">
        <f t="shared" ca="1" si="157"/>
        <v>653.59</v>
      </c>
      <c r="R216" s="49">
        <f t="shared" ca="1" si="157"/>
        <v>0</v>
      </c>
      <c r="S216" s="49">
        <f t="shared" ca="1" si="157"/>
        <v>0</v>
      </c>
      <c r="T216" s="49">
        <f t="shared" ref="T216:AY216" ca="1" si="158">IF(T4&gt;=YEAR(effective_date_AM_4_AM_6),(OFFSET(_xlfn.SINGLE(IA_devcapex_real),4,date_offset_AM_4_AM_6)*_xlfn.SINGLE(IA_esc_index)),0)*(1+df_capex_sens)</f>
        <v>0</v>
      </c>
      <c r="U216" s="49">
        <f t="shared" ca="1" si="158"/>
        <v>0</v>
      </c>
      <c r="V216" s="49">
        <f t="shared" ca="1" si="158"/>
        <v>0</v>
      </c>
      <c r="W216" s="49">
        <f t="shared" ca="1" si="158"/>
        <v>0</v>
      </c>
      <c r="X216" s="49">
        <f t="shared" ca="1" si="158"/>
        <v>0</v>
      </c>
      <c r="Y216" s="49">
        <f t="shared" ca="1" si="158"/>
        <v>0</v>
      </c>
      <c r="Z216" s="49">
        <f t="shared" ca="1" si="158"/>
        <v>0</v>
      </c>
      <c r="AA216" s="49">
        <f t="shared" ca="1" si="158"/>
        <v>0</v>
      </c>
      <c r="AB216" s="49">
        <f t="shared" ca="1" si="158"/>
        <v>0</v>
      </c>
      <c r="AC216" s="49">
        <f t="shared" ca="1" si="158"/>
        <v>0</v>
      </c>
      <c r="AD216" s="49">
        <f t="shared" ca="1" si="158"/>
        <v>0</v>
      </c>
      <c r="AE216" s="49">
        <f t="shared" ca="1" si="158"/>
        <v>0</v>
      </c>
      <c r="AF216" s="49">
        <f t="shared" ca="1" si="158"/>
        <v>0</v>
      </c>
      <c r="AG216" s="49">
        <f t="shared" ca="1" si="158"/>
        <v>0</v>
      </c>
      <c r="AH216" s="49">
        <f t="shared" ca="1" si="158"/>
        <v>0</v>
      </c>
      <c r="AI216" s="49">
        <f t="shared" ca="1" si="158"/>
        <v>0</v>
      </c>
      <c r="AJ216" s="49">
        <f t="shared" ca="1" si="158"/>
        <v>0</v>
      </c>
      <c r="AK216" s="49">
        <f t="shared" ca="1" si="158"/>
        <v>0</v>
      </c>
      <c r="AL216" s="49">
        <f t="shared" ca="1" si="158"/>
        <v>0</v>
      </c>
      <c r="AM216" s="49">
        <f t="shared" ca="1" si="158"/>
        <v>0</v>
      </c>
      <c r="AN216" s="49">
        <f t="shared" ca="1" si="158"/>
        <v>0</v>
      </c>
      <c r="AO216" s="49">
        <f t="shared" ca="1" si="158"/>
        <v>0</v>
      </c>
      <c r="AP216" s="49">
        <f t="shared" ca="1" si="158"/>
        <v>0</v>
      </c>
      <c r="AQ216" s="49">
        <f t="shared" ca="1" si="158"/>
        <v>0</v>
      </c>
      <c r="AR216" s="49">
        <f t="shared" ca="1" si="158"/>
        <v>0</v>
      </c>
      <c r="AS216" s="49">
        <f t="shared" ca="1" si="158"/>
        <v>0</v>
      </c>
      <c r="AT216" s="49">
        <f t="shared" ca="1" si="158"/>
        <v>0</v>
      </c>
      <c r="AU216" s="49">
        <f t="shared" ca="1" si="158"/>
        <v>0</v>
      </c>
      <c r="AV216" s="49">
        <f t="shared" ca="1" si="158"/>
        <v>0</v>
      </c>
      <c r="AW216" s="49">
        <f t="shared" ca="1" si="158"/>
        <v>0</v>
      </c>
      <c r="AX216" s="49">
        <f t="shared" ca="1" si="158"/>
        <v>0</v>
      </c>
      <c r="AY216" s="49">
        <f t="shared" ca="1" si="158"/>
        <v>0</v>
      </c>
      <c r="AZ216" s="49">
        <f t="shared" ref="AZ216:BS216" ca="1" si="159">IF(AZ4&gt;=YEAR(effective_date_AM_4_AM_6),(OFFSET(_xlfn.SINGLE(IA_devcapex_real),4,date_offset_AM_4_AM_6)*_xlfn.SINGLE(IA_esc_index)),0)*(1+df_capex_sens)</f>
        <v>0</v>
      </c>
      <c r="BA216" s="49">
        <f t="shared" ca="1" si="159"/>
        <v>0</v>
      </c>
      <c r="BB216" s="49">
        <f t="shared" ca="1" si="159"/>
        <v>0</v>
      </c>
      <c r="BC216" s="49">
        <f t="shared" ca="1" si="159"/>
        <v>0</v>
      </c>
      <c r="BD216" s="49">
        <f t="shared" ca="1" si="159"/>
        <v>0</v>
      </c>
      <c r="BE216" s="49">
        <f t="shared" ca="1" si="159"/>
        <v>0</v>
      </c>
      <c r="BF216" s="49">
        <f t="shared" ca="1" si="159"/>
        <v>0</v>
      </c>
      <c r="BG216" s="49">
        <f t="shared" ca="1" si="159"/>
        <v>0</v>
      </c>
      <c r="BH216" s="49">
        <f t="shared" ca="1" si="159"/>
        <v>0</v>
      </c>
      <c r="BI216" s="49">
        <f t="shared" ca="1" si="159"/>
        <v>0</v>
      </c>
      <c r="BJ216" s="49">
        <f t="shared" ca="1" si="159"/>
        <v>0</v>
      </c>
      <c r="BK216" s="49">
        <f t="shared" ca="1" si="159"/>
        <v>0</v>
      </c>
      <c r="BL216" s="49">
        <f t="shared" ca="1" si="159"/>
        <v>0</v>
      </c>
      <c r="BM216" s="49">
        <f t="shared" ca="1" si="159"/>
        <v>0</v>
      </c>
      <c r="BN216" s="49">
        <f t="shared" ca="1" si="159"/>
        <v>0</v>
      </c>
      <c r="BO216" s="49">
        <f t="shared" ca="1" si="159"/>
        <v>0</v>
      </c>
      <c r="BP216" s="49">
        <f t="shared" ca="1" si="159"/>
        <v>0</v>
      </c>
      <c r="BQ216" s="49">
        <f t="shared" ca="1" si="159"/>
        <v>0</v>
      </c>
      <c r="BR216" s="49">
        <f t="shared" ca="1" si="159"/>
        <v>0</v>
      </c>
      <c r="BS216" s="49">
        <f t="shared" ca="1" si="159"/>
        <v>0</v>
      </c>
    </row>
    <row r="217" spans="1:71" outlineLevel="1" x14ac:dyDescent="0.2">
      <c r="J217" s="26"/>
      <c r="L217" s="55"/>
      <c r="M217" s="55"/>
      <c r="N217" s="55"/>
      <c r="O217" s="55"/>
      <c r="P217" s="55"/>
      <c r="Q217" s="55"/>
      <c r="R217" s="55"/>
      <c r="S217" s="55"/>
      <c r="T217" s="55"/>
      <c r="U217" s="55"/>
      <c r="V217" s="55"/>
      <c r="W217" s="55"/>
      <c r="X217" s="55"/>
      <c r="Y217" s="55"/>
      <c r="Z217" s="55"/>
      <c r="AA217" s="55"/>
      <c r="AB217" s="55"/>
      <c r="AC217" s="55"/>
      <c r="AD217" s="55"/>
      <c r="AE217" s="55"/>
      <c r="AF217" s="55"/>
      <c r="AG217" s="55"/>
      <c r="AH217" s="55"/>
      <c r="AI217" s="55"/>
      <c r="AJ217" s="55"/>
      <c r="AK217" s="55"/>
      <c r="AL217" s="55"/>
      <c r="AM217" s="55"/>
      <c r="AN217" s="55"/>
      <c r="AO217" s="55"/>
      <c r="AP217" s="55"/>
      <c r="AQ217" s="55"/>
      <c r="AR217" s="55"/>
      <c r="AS217" s="55"/>
      <c r="AT217" s="55"/>
      <c r="AU217" s="55"/>
      <c r="AV217" s="55"/>
      <c r="AW217" s="55"/>
      <c r="AX217" s="55"/>
      <c r="AY217" s="55"/>
      <c r="AZ217" s="55"/>
      <c r="BA217" s="55"/>
      <c r="BB217" s="55"/>
      <c r="BC217" s="55"/>
      <c r="BD217" s="55"/>
      <c r="BE217" s="55"/>
      <c r="BF217" s="55"/>
      <c r="BG217" s="55"/>
      <c r="BH217" s="55"/>
      <c r="BI217" s="55"/>
      <c r="BJ217" s="55"/>
      <c r="BK217" s="55"/>
      <c r="BL217" s="55"/>
      <c r="BM217" s="55"/>
      <c r="BN217" s="55"/>
      <c r="BO217" s="55"/>
      <c r="BP217" s="55"/>
      <c r="BQ217" s="55"/>
      <c r="BR217" s="55"/>
      <c r="BS217" s="55"/>
    </row>
    <row r="218" spans="1:71" outlineLevel="1" x14ac:dyDescent="0.2">
      <c r="C218" s="11" t="str">
        <f>HM_ZB_Nsoko!C211</f>
        <v>Coûts d'abandon</v>
      </c>
      <c r="J218" s="26"/>
      <c r="L218" s="55"/>
      <c r="M218" s="55"/>
      <c r="N218" s="55"/>
      <c r="O218" s="55"/>
      <c r="P218" s="55"/>
      <c r="Q218" s="55"/>
      <c r="R218" s="55"/>
      <c r="S218" s="55"/>
      <c r="T218" s="55"/>
      <c r="U218" s="55"/>
      <c r="V218" s="55"/>
      <c r="W218" s="55"/>
      <c r="X218" s="55"/>
      <c r="Y218" s="55"/>
      <c r="Z218" s="55"/>
      <c r="AA218" s="55"/>
      <c r="AB218" s="55"/>
      <c r="AC218" s="55"/>
      <c r="AD218" s="55"/>
      <c r="AE218" s="55"/>
      <c r="AF218" s="55"/>
      <c r="AG218" s="55"/>
      <c r="AH218" s="55"/>
      <c r="AI218" s="55"/>
      <c r="AJ218" s="55"/>
      <c r="AK218" s="55"/>
      <c r="AL218" s="55"/>
      <c r="AM218" s="55"/>
      <c r="AN218" s="55"/>
      <c r="AO218" s="55"/>
      <c r="AP218" s="55"/>
      <c r="AQ218" s="55"/>
      <c r="AR218" s="55"/>
      <c r="AS218" s="55"/>
      <c r="AT218" s="55"/>
      <c r="AU218" s="55"/>
      <c r="AV218" s="55"/>
      <c r="AW218" s="55"/>
      <c r="AX218" s="55"/>
      <c r="AY218" s="55"/>
      <c r="AZ218" s="55"/>
      <c r="BA218" s="55"/>
      <c r="BB218" s="55"/>
      <c r="BC218" s="55"/>
      <c r="BD218" s="55"/>
      <c r="BE218" s="55"/>
      <c r="BF218" s="55"/>
      <c r="BG218" s="55"/>
      <c r="BH218" s="55"/>
      <c r="BI218" s="55"/>
      <c r="BJ218" s="55"/>
      <c r="BK218" s="55"/>
      <c r="BL218" s="55"/>
      <c r="BM218" s="55"/>
      <c r="BN218" s="55"/>
      <c r="BO218" s="55"/>
      <c r="BP218" s="55"/>
      <c r="BQ218" s="55"/>
      <c r="BR218" s="55"/>
      <c r="BS218" s="55"/>
    </row>
    <row r="219" spans="1:71" outlineLevel="1" x14ac:dyDescent="0.2">
      <c r="D219" t="str">
        <f>HM_ZB_Nsoko!D212</f>
        <v>Abandon (nominal)</v>
      </c>
      <c r="I219" s="30">
        <f ca="1">SUM($L219:$BS219)</f>
        <v>0</v>
      </c>
      <c r="J219" s="26" t="s">
        <v>148</v>
      </c>
      <c r="K219" s="7" t="s">
        <v>172</v>
      </c>
      <c r="L219" s="49">
        <f ca="1">HM_ZD_AM3_2005!L202</f>
        <v>0</v>
      </c>
      <c r="M219" s="49">
        <f ca="1">HM_ZD_AM3_2005!M202</f>
        <v>0</v>
      </c>
      <c r="N219" s="49">
        <f t="shared" ref="N219:S219" ca="1" si="160">IF(N4&gt;=YEAR(effective_date_AM_4_AM_6),(OFFSET(_xlfn.SINGLE(IA_decom_real),4,date_offset_AM_4_AM_6)*_xlfn.SINGLE(IA_esc_index)),0)*decom_toggle</f>
        <v>0</v>
      </c>
      <c r="O219" s="49">
        <f t="shared" ca="1" si="160"/>
        <v>0</v>
      </c>
      <c r="P219" s="49">
        <f t="shared" ca="1" si="160"/>
        <v>0</v>
      </c>
      <c r="Q219" s="49">
        <f t="shared" ca="1" si="160"/>
        <v>0</v>
      </c>
      <c r="R219" s="49">
        <f t="shared" ca="1" si="160"/>
        <v>0</v>
      </c>
      <c r="S219" s="49">
        <f t="shared" ca="1" si="160"/>
        <v>0</v>
      </c>
      <c r="T219" s="49">
        <f t="shared" ref="T219:AY219" ca="1" si="161">IF(T4&gt;=YEAR(effective_date_AM_4_AM_6),(OFFSET(_xlfn.SINGLE(IA_decom_real),4,date_offset_AM_4_AM_6)*_xlfn.SINGLE(IA_esc_index)),0)*(1*(df_decom_switch="Yes"))*(1+df_capex_sens)</f>
        <v>0</v>
      </c>
      <c r="U219" s="49">
        <f t="shared" ca="1" si="161"/>
        <v>0</v>
      </c>
      <c r="V219" s="49">
        <f t="shared" ca="1" si="161"/>
        <v>0</v>
      </c>
      <c r="W219" s="49">
        <f t="shared" ca="1" si="161"/>
        <v>0</v>
      </c>
      <c r="X219" s="49">
        <f t="shared" ca="1" si="161"/>
        <v>0</v>
      </c>
      <c r="Y219" s="49">
        <f t="shared" ca="1" si="161"/>
        <v>0</v>
      </c>
      <c r="Z219" s="49">
        <f t="shared" ca="1" si="161"/>
        <v>0</v>
      </c>
      <c r="AA219" s="49">
        <f t="shared" ca="1" si="161"/>
        <v>0</v>
      </c>
      <c r="AB219" s="49">
        <f t="shared" ca="1" si="161"/>
        <v>0</v>
      </c>
      <c r="AC219" s="49">
        <f t="shared" ca="1" si="161"/>
        <v>0</v>
      </c>
      <c r="AD219" s="49">
        <f t="shared" ca="1" si="161"/>
        <v>0</v>
      </c>
      <c r="AE219" s="49">
        <f t="shared" ca="1" si="161"/>
        <v>0</v>
      </c>
      <c r="AF219" s="49">
        <f t="shared" ca="1" si="161"/>
        <v>0</v>
      </c>
      <c r="AG219" s="49">
        <f t="shared" ca="1" si="161"/>
        <v>0</v>
      </c>
      <c r="AH219" s="49">
        <f t="shared" ca="1" si="161"/>
        <v>0</v>
      </c>
      <c r="AI219" s="49">
        <f t="shared" ca="1" si="161"/>
        <v>0</v>
      </c>
      <c r="AJ219" s="49">
        <f t="shared" ca="1" si="161"/>
        <v>0</v>
      </c>
      <c r="AK219" s="49">
        <f t="shared" ca="1" si="161"/>
        <v>0</v>
      </c>
      <c r="AL219" s="49">
        <f t="shared" ca="1" si="161"/>
        <v>0</v>
      </c>
      <c r="AM219" s="49">
        <f t="shared" ca="1" si="161"/>
        <v>0</v>
      </c>
      <c r="AN219" s="49">
        <f t="shared" ca="1" si="161"/>
        <v>0</v>
      </c>
      <c r="AO219" s="49">
        <f t="shared" ca="1" si="161"/>
        <v>0</v>
      </c>
      <c r="AP219" s="49">
        <f t="shared" ca="1" si="161"/>
        <v>0</v>
      </c>
      <c r="AQ219" s="49">
        <f t="shared" ca="1" si="161"/>
        <v>0</v>
      </c>
      <c r="AR219" s="49">
        <f t="shared" ca="1" si="161"/>
        <v>0</v>
      </c>
      <c r="AS219" s="49">
        <f t="shared" ca="1" si="161"/>
        <v>0</v>
      </c>
      <c r="AT219" s="49">
        <f t="shared" ca="1" si="161"/>
        <v>0</v>
      </c>
      <c r="AU219" s="49">
        <f t="shared" ca="1" si="161"/>
        <v>0</v>
      </c>
      <c r="AV219" s="49">
        <f t="shared" ca="1" si="161"/>
        <v>0</v>
      </c>
      <c r="AW219" s="49">
        <f t="shared" ca="1" si="161"/>
        <v>0</v>
      </c>
      <c r="AX219" s="49">
        <f t="shared" ca="1" si="161"/>
        <v>0</v>
      </c>
      <c r="AY219" s="49">
        <f t="shared" ca="1" si="161"/>
        <v>0</v>
      </c>
      <c r="AZ219" s="49">
        <f t="shared" ref="AZ219:BS219" ca="1" si="162">IF(AZ4&gt;=YEAR(effective_date_AM_4_AM_6),(OFFSET(_xlfn.SINGLE(IA_decom_real),4,date_offset_AM_4_AM_6)*_xlfn.SINGLE(IA_esc_index)),0)*(1*(df_decom_switch="Yes"))*(1+df_capex_sens)</f>
        <v>0</v>
      </c>
      <c r="BA219" s="49">
        <f t="shared" ca="1" si="162"/>
        <v>0</v>
      </c>
      <c r="BB219" s="49">
        <f t="shared" ca="1" si="162"/>
        <v>0</v>
      </c>
      <c r="BC219" s="49">
        <f t="shared" ca="1" si="162"/>
        <v>0</v>
      </c>
      <c r="BD219" s="49">
        <f t="shared" ca="1" si="162"/>
        <v>0</v>
      </c>
      <c r="BE219" s="49">
        <f t="shared" ca="1" si="162"/>
        <v>0</v>
      </c>
      <c r="BF219" s="49">
        <f t="shared" ca="1" si="162"/>
        <v>0</v>
      </c>
      <c r="BG219" s="49">
        <f t="shared" ca="1" si="162"/>
        <v>0</v>
      </c>
      <c r="BH219" s="49">
        <f t="shared" ca="1" si="162"/>
        <v>0</v>
      </c>
      <c r="BI219" s="49">
        <f t="shared" ca="1" si="162"/>
        <v>0</v>
      </c>
      <c r="BJ219" s="49">
        <f t="shared" ca="1" si="162"/>
        <v>0</v>
      </c>
      <c r="BK219" s="49">
        <f t="shared" ca="1" si="162"/>
        <v>0</v>
      </c>
      <c r="BL219" s="49">
        <f t="shared" ca="1" si="162"/>
        <v>0</v>
      </c>
      <c r="BM219" s="49">
        <f t="shared" ca="1" si="162"/>
        <v>0</v>
      </c>
      <c r="BN219" s="49">
        <f t="shared" ca="1" si="162"/>
        <v>0</v>
      </c>
      <c r="BO219" s="49">
        <f t="shared" ca="1" si="162"/>
        <v>0</v>
      </c>
      <c r="BP219" s="49">
        <f t="shared" ca="1" si="162"/>
        <v>0</v>
      </c>
      <c r="BQ219" s="49">
        <f t="shared" ca="1" si="162"/>
        <v>0</v>
      </c>
      <c r="BR219" s="49">
        <f t="shared" ca="1" si="162"/>
        <v>0</v>
      </c>
      <c r="BS219" s="49">
        <f t="shared" ca="1" si="162"/>
        <v>0</v>
      </c>
    </row>
    <row r="220" spans="1:71" outlineLevel="1" x14ac:dyDescent="0.2">
      <c r="J220" s="26"/>
      <c r="L220" s="55"/>
      <c r="M220" s="55"/>
      <c r="N220" s="55"/>
      <c r="O220" s="55"/>
      <c r="P220" s="55"/>
      <c r="Q220" s="55"/>
      <c r="R220" s="55"/>
      <c r="S220" s="55"/>
      <c r="T220" s="55"/>
      <c r="U220" s="55"/>
      <c r="V220" s="55"/>
      <c r="W220" s="55"/>
      <c r="X220" s="55"/>
      <c r="Y220" s="55"/>
      <c r="Z220" s="55"/>
      <c r="AA220" s="55"/>
      <c r="AB220" s="55"/>
      <c r="AC220" s="55"/>
      <c r="AD220" s="55"/>
      <c r="AE220" s="55"/>
      <c r="AF220" s="55"/>
      <c r="AG220" s="55"/>
      <c r="AH220" s="55"/>
      <c r="AI220" s="55"/>
      <c r="AJ220" s="55"/>
      <c r="AK220" s="55"/>
      <c r="AL220" s="55"/>
      <c r="AM220" s="55"/>
      <c r="AN220" s="55"/>
      <c r="AO220" s="55"/>
      <c r="AP220" s="55"/>
      <c r="AQ220" s="55"/>
      <c r="AR220" s="55"/>
      <c r="AS220" s="55"/>
      <c r="AT220" s="55"/>
      <c r="AU220" s="55"/>
      <c r="AV220" s="55"/>
      <c r="AW220" s="55"/>
      <c r="AX220" s="55"/>
      <c r="AY220" s="55"/>
      <c r="AZ220" s="55"/>
      <c r="BA220" s="55"/>
      <c r="BB220" s="55"/>
      <c r="BC220" s="55"/>
      <c r="BD220" s="55"/>
      <c r="BE220" s="55"/>
      <c r="BF220" s="55"/>
      <c r="BG220" s="55"/>
      <c r="BH220" s="55"/>
      <c r="BI220" s="55"/>
      <c r="BJ220" s="55"/>
      <c r="BK220" s="55"/>
      <c r="BL220" s="55"/>
      <c r="BM220" s="55"/>
      <c r="BN220" s="55"/>
      <c r="BO220" s="55"/>
      <c r="BP220" s="55"/>
      <c r="BQ220" s="55"/>
      <c r="BR220" s="55"/>
      <c r="BS220" s="55"/>
    </row>
    <row r="221" spans="1:71" outlineLevel="1" x14ac:dyDescent="0.2">
      <c r="J221" s="26"/>
      <c r="L221" s="55"/>
      <c r="M221" s="55"/>
      <c r="N221" s="55"/>
      <c r="O221" s="55"/>
      <c r="P221" s="55"/>
      <c r="Q221" s="55"/>
      <c r="R221" s="55"/>
      <c r="S221" s="55"/>
      <c r="T221" s="55"/>
      <c r="U221" s="55"/>
      <c r="V221" s="55"/>
      <c r="W221" s="55"/>
      <c r="X221" s="55"/>
      <c r="Y221" s="55"/>
      <c r="Z221" s="55"/>
      <c r="AA221" s="55"/>
      <c r="AB221" s="55"/>
      <c r="AC221" s="55"/>
      <c r="AD221" s="55"/>
      <c r="AE221" s="55"/>
      <c r="AF221" s="55"/>
      <c r="AG221" s="55"/>
      <c r="AH221" s="55"/>
      <c r="AI221" s="55"/>
      <c r="AJ221" s="55"/>
      <c r="AK221" s="55"/>
      <c r="AL221" s="55"/>
      <c r="AM221" s="55"/>
      <c r="AN221" s="55"/>
      <c r="AO221" s="55"/>
      <c r="AP221" s="55"/>
      <c r="AQ221" s="55"/>
      <c r="AR221" s="55"/>
      <c r="AS221" s="55"/>
      <c r="AT221" s="55"/>
      <c r="AU221" s="55"/>
      <c r="AV221" s="55"/>
      <c r="AW221" s="55"/>
      <c r="AX221" s="55"/>
      <c r="AY221" s="55"/>
      <c r="AZ221" s="55"/>
      <c r="BA221" s="55"/>
      <c r="BB221" s="55"/>
      <c r="BC221" s="55"/>
      <c r="BD221" s="55"/>
      <c r="BE221" s="55"/>
      <c r="BF221" s="55"/>
      <c r="BG221" s="55"/>
      <c r="BH221" s="55"/>
      <c r="BI221" s="55"/>
      <c r="BJ221" s="55"/>
      <c r="BK221" s="55"/>
      <c r="BL221" s="55"/>
      <c r="BM221" s="55"/>
      <c r="BN221" s="55"/>
      <c r="BO221" s="55"/>
      <c r="BP221" s="55"/>
      <c r="BQ221" s="55"/>
      <c r="BR221" s="55"/>
      <c r="BS221" s="55"/>
    </row>
    <row r="222" spans="1:71" outlineLevel="1" x14ac:dyDescent="0.2">
      <c r="A222" s="45"/>
      <c r="B222" s="38" t="str">
        <f>HM_ZB_Nsoko!B215</f>
        <v>Calculs fiscaux</v>
      </c>
      <c r="C222" s="45"/>
      <c r="D222" s="45"/>
      <c r="E222" s="45"/>
      <c r="J222" s="26"/>
      <c r="L222" s="55"/>
      <c r="M222" s="55"/>
      <c r="N222" s="55"/>
      <c r="O222" s="55"/>
      <c r="P222" s="55"/>
      <c r="Q222" s="55"/>
      <c r="R222" s="55"/>
      <c r="S222" s="55"/>
      <c r="T222" s="55"/>
      <c r="U222" s="55"/>
      <c r="V222" s="55"/>
      <c r="W222" s="55"/>
      <c r="X222" s="55"/>
      <c r="Y222" s="55"/>
      <c r="Z222" s="55"/>
      <c r="AA222" s="55"/>
      <c r="AB222" s="55"/>
      <c r="AC222" s="55"/>
      <c r="AD222" s="55"/>
      <c r="AE222" s="55"/>
      <c r="AF222" s="55"/>
      <c r="AG222" s="55"/>
      <c r="AH222" s="55"/>
      <c r="AI222" s="55"/>
      <c r="AJ222" s="55"/>
      <c r="AK222" s="55"/>
      <c r="AL222" s="55"/>
      <c r="AM222" s="55"/>
      <c r="AN222" s="55"/>
      <c r="AO222" s="55"/>
      <c r="AP222" s="55"/>
      <c r="AQ222" s="55"/>
      <c r="AR222" s="55"/>
      <c r="AS222" s="55"/>
      <c r="AT222" s="55"/>
      <c r="AU222" s="55"/>
      <c r="AV222" s="55"/>
      <c r="AW222" s="55"/>
      <c r="AX222" s="55"/>
      <c r="AY222" s="55"/>
      <c r="AZ222" s="55"/>
      <c r="BA222" s="55"/>
      <c r="BB222" s="55"/>
      <c r="BC222" s="55"/>
      <c r="BD222" s="55"/>
      <c r="BE222" s="55"/>
      <c r="BF222" s="55"/>
      <c r="BG222" s="55"/>
      <c r="BH222" s="55"/>
      <c r="BI222" s="55"/>
      <c r="BJ222" s="55"/>
      <c r="BK222" s="55"/>
      <c r="BL222" s="55"/>
      <c r="BM222" s="55"/>
      <c r="BN222" s="55"/>
      <c r="BO222" s="55"/>
      <c r="BP222" s="55"/>
      <c r="BQ222" s="55"/>
      <c r="BR222" s="55"/>
      <c r="BS222" s="55"/>
    </row>
    <row r="223" spans="1:71" outlineLevel="1" x14ac:dyDescent="0.2">
      <c r="J223" s="26"/>
      <c r="L223" s="55"/>
      <c r="M223" s="55"/>
      <c r="N223" s="55"/>
      <c r="O223" s="55"/>
      <c r="P223" s="55"/>
      <c r="Q223" s="55"/>
      <c r="R223" s="55"/>
      <c r="S223" s="55"/>
      <c r="T223" s="55"/>
      <c r="U223" s="55"/>
      <c r="V223" s="55"/>
      <c r="W223" s="55"/>
      <c r="X223" s="55"/>
      <c r="Y223" s="55"/>
      <c r="Z223" s="55"/>
      <c r="AA223" s="55"/>
      <c r="AB223" s="55"/>
      <c r="AC223" s="55"/>
      <c r="AD223" s="55"/>
      <c r="AE223" s="55"/>
      <c r="AF223" s="55"/>
      <c r="AG223" s="55"/>
      <c r="AH223" s="55"/>
      <c r="AI223" s="55"/>
      <c r="AJ223" s="55"/>
      <c r="AK223" s="55"/>
      <c r="AL223" s="55"/>
      <c r="AM223" s="55"/>
      <c r="AN223" s="55"/>
      <c r="AO223" s="55"/>
      <c r="AP223" s="55"/>
      <c r="AQ223" s="55"/>
      <c r="AR223" s="55"/>
      <c r="AS223" s="55"/>
      <c r="AT223" s="55"/>
      <c r="AU223" s="55"/>
      <c r="AV223" s="55"/>
      <c r="AW223" s="55"/>
      <c r="AX223" s="55"/>
      <c r="AY223" s="55"/>
      <c r="AZ223" s="55"/>
      <c r="BA223" s="55"/>
      <c r="BB223" s="55"/>
      <c r="BC223" s="55"/>
      <c r="BD223" s="55"/>
      <c r="BE223" s="55"/>
      <c r="BF223" s="55"/>
      <c r="BG223" s="55"/>
      <c r="BH223" s="55"/>
      <c r="BI223" s="55"/>
      <c r="BJ223" s="55"/>
      <c r="BK223" s="55"/>
      <c r="BL223" s="55"/>
      <c r="BM223" s="55"/>
      <c r="BN223" s="55"/>
      <c r="BO223" s="55"/>
      <c r="BP223" s="55"/>
      <c r="BQ223" s="55"/>
      <c r="BR223" s="55"/>
      <c r="BS223" s="55"/>
    </row>
    <row r="224" spans="1:71" outlineLevel="1" x14ac:dyDescent="0.2">
      <c r="C224" s="11" t="str">
        <f>HM_ZB_Nsoko!C217</f>
        <v>Déclencheur exploitation</v>
      </c>
      <c r="J224" s="26"/>
      <c r="K224" s="7" t="s">
        <v>213</v>
      </c>
      <c r="L224" s="57">
        <f ca="1">1*(OR(HM_ZD_Moho!CA_opex_total_nom&gt;0,HM_ZD_Moho!CA_expex_nom&gt;0,HM_ZD_Moho!CA_devex_nom&gt;0,HM_ZD_Moho!CA_gross_prod_oil+HM_ZD_Moho!CA_gross_prod_gas&gt;0))</f>
        <v>1</v>
      </c>
      <c r="M224" s="57">
        <f ca="1">1*(OR(HM_ZD_Moho!CA_opex_total_nom&gt;0,HM_ZD_Moho!CA_expex_nom&gt;0,HM_ZD_Moho!CA_devex_nom&gt;0,HM_ZD_Moho!CA_gross_prod_oil+HM_ZD_Moho!CA_gross_prod_gas&gt;0))</f>
        <v>1</v>
      </c>
      <c r="N224" s="57">
        <f ca="1">1*(OR(HM_ZD_Moho!CA_opex_total_nom&gt;0,HM_ZD_Moho!CA_expex_nom&gt;0,HM_ZD_Moho!CA_devex_nom&gt;0,HM_ZD_Moho!CA_gross_prod_oil+HM_ZD_Moho!CA_gross_prod_gas&gt;0))</f>
        <v>1</v>
      </c>
      <c r="O224" s="57">
        <f ca="1">1*(OR(HM_ZD_Moho!CA_opex_total_nom&gt;0,HM_ZD_Moho!CA_expex_nom&gt;0,HM_ZD_Moho!CA_devex_nom&gt;0,HM_ZD_Moho!CA_gross_prod_oil+HM_ZD_Moho!CA_gross_prod_gas&gt;0))</f>
        <v>1</v>
      </c>
      <c r="P224" s="57">
        <f ca="1">1*(OR(HM_ZD_Moho!CA_opex_total_nom&gt;0,HM_ZD_Moho!CA_expex_nom&gt;0,HM_ZD_Moho!CA_devex_nom&gt;0,HM_ZD_Moho!CA_gross_prod_oil+HM_ZD_Moho!CA_gross_prod_gas&gt;0))</f>
        <v>1</v>
      </c>
      <c r="Q224" s="57">
        <f ca="1">1*(OR(HM_ZD_Moho!CA_opex_total_nom&gt;0,HM_ZD_Moho!CA_expex_nom&gt;0,HM_ZD_Moho!CA_devex_nom&gt;0,HM_ZD_Moho!CA_gross_prod_oil+HM_ZD_Moho!CA_gross_prod_gas&gt;0))</f>
        <v>1</v>
      </c>
      <c r="R224" s="57">
        <f ca="1">1*(OR(HM_ZD_Moho!CA_opex_total_nom&gt;0,HM_ZD_Moho!CA_expex_nom&gt;0,HM_ZD_Moho!CA_devex_nom&gt;0,HM_ZD_Moho!CA_gross_prod_oil+HM_ZD_Moho!CA_gross_prod_gas&gt;0))</f>
        <v>1</v>
      </c>
      <c r="S224" s="57">
        <f ca="1">1*(OR(HM_ZD_Moho!CA_opex_total_nom&gt;0,HM_ZD_Moho!CA_expex_nom&gt;0,HM_ZD_Moho!CA_devex_nom&gt;0,HM_ZD_Moho!CA_gross_prod_oil+HM_ZD_Moho!CA_gross_prod_gas&gt;0))</f>
        <v>1</v>
      </c>
      <c r="T224" s="57">
        <f ca="1">1*(OR(HM_ZD_Moho!CA_opex_total_nom&gt;0,HM_ZD_Moho!CA_expex_nom&gt;0,HM_ZD_Moho!CA_devex_nom&gt;0,HM_ZD_Moho!CA_gross_prod_oil+HM_ZD_Moho!CA_gross_prod_gas&gt;0))</f>
        <v>1</v>
      </c>
      <c r="U224" s="57">
        <f ca="1">1*(OR(HM_ZD_Moho!CA_opex_total_nom&gt;0,HM_ZD_Moho!CA_expex_nom&gt;0,HM_ZD_Moho!CA_devex_nom&gt;0,HM_ZD_Moho!CA_gross_prod_oil+HM_ZD_Moho!CA_gross_prod_gas&gt;0))</f>
        <v>1</v>
      </c>
      <c r="V224" s="57">
        <f ca="1">1*(OR(HM_ZD_Moho!CA_opex_total_nom&gt;0,HM_ZD_Moho!CA_expex_nom&gt;0,HM_ZD_Moho!CA_devex_nom&gt;0,HM_ZD_Moho!CA_gross_prod_oil+HM_ZD_Moho!CA_gross_prod_gas&gt;0))</f>
        <v>1</v>
      </c>
      <c r="W224" s="57">
        <f ca="1">1*(OR(HM_ZD_Moho!CA_opex_total_nom&gt;0,HM_ZD_Moho!CA_expex_nom&gt;0,HM_ZD_Moho!CA_devex_nom&gt;0,HM_ZD_Moho!CA_gross_prod_oil+HM_ZD_Moho!CA_gross_prod_gas&gt;0))</f>
        <v>1</v>
      </c>
      <c r="X224" s="57">
        <f ca="1">1*(OR(HM_ZD_Moho!CA_opex_total_nom&gt;0,HM_ZD_Moho!CA_expex_nom&gt;0,HM_ZD_Moho!CA_devex_nom&gt;0,HM_ZD_Moho!CA_gross_prod_oil+HM_ZD_Moho!CA_gross_prod_gas&gt;0))</f>
        <v>1</v>
      </c>
      <c r="Y224" s="57">
        <f ca="1">1*(OR(HM_ZD_Moho!CA_opex_total_nom&gt;0,HM_ZD_Moho!CA_expex_nom&gt;0,HM_ZD_Moho!CA_devex_nom&gt;0,HM_ZD_Moho!CA_gross_prod_oil+HM_ZD_Moho!CA_gross_prod_gas&gt;0))</f>
        <v>0</v>
      </c>
      <c r="Z224" s="57">
        <f ca="1">1*(OR(HM_ZD_Moho!CA_opex_total_nom&gt;0,HM_ZD_Moho!CA_expex_nom&gt;0,HM_ZD_Moho!CA_devex_nom&gt;0,HM_ZD_Moho!CA_gross_prod_oil+HM_ZD_Moho!CA_gross_prod_gas&gt;0))</f>
        <v>0</v>
      </c>
      <c r="AA224" s="57">
        <f ca="1">1*(OR(HM_ZD_Moho!CA_opex_total_nom&gt;0,HM_ZD_Moho!CA_expex_nom&gt;0,HM_ZD_Moho!CA_devex_nom&gt;0,HM_ZD_Moho!CA_gross_prod_oil+HM_ZD_Moho!CA_gross_prod_gas&gt;0))</f>
        <v>0</v>
      </c>
      <c r="AB224" s="57">
        <f ca="1">1*(OR(HM_ZD_Moho!CA_opex_total_nom&gt;0,HM_ZD_Moho!CA_expex_nom&gt;0,HM_ZD_Moho!CA_devex_nom&gt;0,HM_ZD_Moho!CA_gross_prod_oil+HM_ZD_Moho!CA_gross_prod_gas&gt;0))</f>
        <v>0</v>
      </c>
      <c r="AC224" s="57">
        <f ca="1">1*(OR(HM_ZD_Moho!CA_opex_total_nom&gt;0,HM_ZD_Moho!CA_expex_nom&gt;0,HM_ZD_Moho!CA_devex_nom&gt;0,HM_ZD_Moho!CA_gross_prod_oil+HM_ZD_Moho!CA_gross_prod_gas&gt;0))</f>
        <v>0</v>
      </c>
      <c r="AD224" s="57">
        <f ca="1">1*(OR(HM_ZD_Moho!CA_opex_total_nom&gt;0,HM_ZD_Moho!CA_expex_nom&gt;0,HM_ZD_Moho!CA_devex_nom&gt;0,HM_ZD_Moho!CA_gross_prod_oil+HM_ZD_Moho!CA_gross_prod_gas&gt;0))</f>
        <v>0</v>
      </c>
      <c r="AE224" s="57">
        <f ca="1">1*(OR(HM_ZD_Moho!CA_opex_total_nom&gt;0,HM_ZD_Moho!CA_expex_nom&gt;0,HM_ZD_Moho!CA_devex_nom&gt;0,HM_ZD_Moho!CA_gross_prod_oil+HM_ZD_Moho!CA_gross_prod_gas&gt;0))</f>
        <v>0</v>
      </c>
      <c r="AF224" s="57">
        <f ca="1">1*(OR(HM_ZD_Moho!CA_opex_total_nom&gt;0,HM_ZD_Moho!CA_expex_nom&gt;0,HM_ZD_Moho!CA_devex_nom&gt;0,HM_ZD_Moho!CA_gross_prod_oil+HM_ZD_Moho!CA_gross_prod_gas&gt;0))</f>
        <v>0</v>
      </c>
      <c r="AG224" s="57">
        <f ca="1">1*(OR(HM_ZD_Moho!CA_opex_total_nom&gt;0,HM_ZD_Moho!CA_expex_nom&gt;0,HM_ZD_Moho!CA_devex_nom&gt;0,HM_ZD_Moho!CA_gross_prod_oil+HM_ZD_Moho!CA_gross_prod_gas&gt;0))</f>
        <v>0</v>
      </c>
      <c r="AH224" s="57">
        <f ca="1">1*(OR(HM_ZD_Moho!CA_opex_total_nom&gt;0,HM_ZD_Moho!CA_expex_nom&gt;0,HM_ZD_Moho!CA_devex_nom&gt;0,HM_ZD_Moho!CA_gross_prod_oil+HM_ZD_Moho!CA_gross_prod_gas&gt;0))</f>
        <v>0</v>
      </c>
      <c r="AI224" s="57">
        <f ca="1">1*(OR(HM_ZD_Moho!CA_opex_total_nom&gt;0,HM_ZD_Moho!CA_expex_nom&gt;0,HM_ZD_Moho!CA_devex_nom&gt;0,HM_ZD_Moho!CA_gross_prod_oil+HM_ZD_Moho!CA_gross_prod_gas&gt;0))</f>
        <v>0</v>
      </c>
      <c r="AJ224" s="57">
        <f ca="1">1*(OR(HM_ZD_Moho!CA_opex_total_nom&gt;0,HM_ZD_Moho!CA_expex_nom&gt;0,HM_ZD_Moho!CA_devex_nom&gt;0,HM_ZD_Moho!CA_gross_prod_oil+HM_ZD_Moho!CA_gross_prod_gas&gt;0))</f>
        <v>0</v>
      </c>
      <c r="AK224" s="57">
        <f ca="1">1*(OR(HM_ZD_Moho!CA_opex_total_nom&gt;0,HM_ZD_Moho!CA_expex_nom&gt;0,HM_ZD_Moho!CA_devex_nom&gt;0,HM_ZD_Moho!CA_gross_prod_oil+HM_ZD_Moho!CA_gross_prod_gas&gt;0))</f>
        <v>0</v>
      </c>
      <c r="AL224" s="57">
        <f ca="1">1*(OR(HM_ZD_Moho!CA_opex_total_nom&gt;0,HM_ZD_Moho!CA_expex_nom&gt;0,HM_ZD_Moho!CA_devex_nom&gt;0,HM_ZD_Moho!CA_gross_prod_oil+HM_ZD_Moho!CA_gross_prod_gas&gt;0))</f>
        <v>0</v>
      </c>
      <c r="AM224" s="57">
        <f ca="1">1*(OR(HM_ZD_Moho!CA_opex_total_nom&gt;0,HM_ZD_Moho!CA_expex_nom&gt;0,HM_ZD_Moho!CA_devex_nom&gt;0,HM_ZD_Moho!CA_gross_prod_oil+HM_ZD_Moho!CA_gross_prod_gas&gt;0))</f>
        <v>0</v>
      </c>
      <c r="AN224" s="57">
        <f ca="1">1*(OR(HM_ZD_Moho!CA_opex_total_nom&gt;0,HM_ZD_Moho!CA_expex_nom&gt;0,HM_ZD_Moho!CA_devex_nom&gt;0,HM_ZD_Moho!CA_gross_prod_oil+HM_ZD_Moho!CA_gross_prod_gas&gt;0))</f>
        <v>0</v>
      </c>
      <c r="AO224" s="57">
        <f ca="1">1*(OR(HM_ZD_Moho!CA_opex_total_nom&gt;0,HM_ZD_Moho!CA_expex_nom&gt;0,HM_ZD_Moho!CA_devex_nom&gt;0,HM_ZD_Moho!CA_gross_prod_oil+HM_ZD_Moho!CA_gross_prod_gas&gt;0))</f>
        <v>0</v>
      </c>
      <c r="AP224" s="57">
        <f ca="1">1*(OR(HM_ZD_Moho!CA_opex_total_nom&gt;0,HM_ZD_Moho!CA_expex_nom&gt;0,HM_ZD_Moho!CA_devex_nom&gt;0,HM_ZD_Moho!CA_gross_prod_oil+HM_ZD_Moho!CA_gross_prod_gas&gt;0))</f>
        <v>0</v>
      </c>
      <c r="AQ224" s="57">
        <f ca="1">1*(OR(HM_ZD_Moho!CA_opex_total_nom&gt;0,HM_ZD_Moho!CA_expex_nom&gt;0,HM_ZD_Moho!CA_devex_nom&gt;0,HM_ZD_Moho!CA_gross_prod_oil+HM_ZD_Moho!CA_gross_prod_gas&gt;0))</f>
        <v>0</v>
      </c>
      <c r="AR224" s="57">
        <f ca="1">1*(OR(HM_ZD_Moho!CA_opex_total_nom&gt;0,HM_ZD_Moho!CA_expex_nom&gt;0,HM_ZD_Moho!CA_devex_nom&gt;0,HM_ZD_Moho!CA_gross_prod_oil+HM_ZD_Moho!CA_gross_prod_gas&gt;0))</f>
        <v>0</v>
      </c>
      <c r="AS224" s="57">
        <f ca="1">1*(OR(HM_ZD_Moho!CA_opex_total_nom&gt;0,HM_ZD_Moho!CA_expex_nom&gt;0,HM_ZD_Moho!CA_devex_nom&gt;0,HM_ZD_Moho!CA_gross_prod_oil+HM_ZD_Moho!CA_gross_prod_gas&gt;0))</f>
        <v>0</v>
      </c>
      <c r="AT224" s="57">
        <f ca="1">1*(OR(HM_ZD_Moho!CA_opex_total_nom&gt;0,HM_ZD_Moho!CA_expex_nom&gt;0,HM_ZD_Moho!CA_devex_nom&gt;0,HM_ZD_Moho!CA_gross_prod_oil+HM_ZD_Moho!CA_gross_prod_gas&gt;0))</f>
        <v>0</v>
      </c>
      <c r="AU224" s="57">
        <f ca="1">1*(OR(HM_ZD_Moho!CA_opex_total_nom&gt;0,HM_ZD_Moho!CA_expex_nom&gt;0,HM_ZD_Moho!CA_devex_nom&gt;0,HM_ZD_Moho!CA_gross_prod_oil+HM_ZD_Moho!CA_gross_prod_gas&gt;0))</f>
        <v>0</v>
      </c>
      <c r="AV224" s="57">
        <f ca="1">1*(OR(HM_ZD_Moho!CA_opex_total_nom&gt;0,HM_ZD_Moho!CA_expex_nom&gt;0,HM_ZD_Moho!CA_devex_nom&gt;0,HM_ZD_Moho!CA_gross_prod_oil+HM_ZD_Moho!CA_gross_prod_gas&gt;0))</f>
        <v>0</v>
      </c>
      <c r="AW224" s="57">
        <f ca="1">1*(OR(HM_ZD_Moho!CA_opex_total_nom&gt;0,HM_ZD_Moho!CA_expex_nom&gt;0,HM_ZD_Moho!CA_devex_nom&gt;0,HM_ZD_Moho!CA_gross_prod_oil+HM_ZD_Moho!CA_gross_prod_gas&gt;0))</f>
        <v>0</v>
      </c>
      <c r="AX224" s="57">
        <f ca="1">1*(OR(HM_ZD_Moho!CA_opex_total_nom&gt;0,HM_ZD_Moho!CA_expex_nom&gt;0,HM_ZD_Moho!CA_devex_nom&gt;0,HM_ZD_Moho!CA_gross_prod_oil+HM_ZD_Moho!CA_gross_prod_gas&gt;0))</f>
        <v>0</v>
      </c>
      <c r="AY224" s="57">
        <f ca="1">1*(OR(HM_ZD_Moho!CA_opex_total_nom&gt;0,HM_ZD_Moho!CA_expex_nom&gt;0,HM_ZD_Moho!CA_devex_nom&gt;0,HM_ZD_Moho!CA_gross_prod_oil+HM_ZD_Moho!CA_gross_prod_gas&gt;0))</f>
        <v>0</v>
      </c>
      <c r="AZ224" s="57">
        <f ca="1">1*(OR(HM_ZD_Moho!CA_opex_total_nom&gt;0,HM_ZD_Moho!CA_expex_nom&gt;0,HM_ZD_Moho!CA_devex_nom&gt;0,HM_ZD_Moho!CA_gross_prod_oil+HM_ZD_Moho!CA_gross_prod_gas&gt;0))</f>
        <v>0</v>
      </c>
      <c r="BA224" s="57">
        <f ca="1">1*(OR(HM_ZD_Moho!CA_opex_total_nom&gt;0,HM_ZD_Moho!CA_expex_nom&gt;0,HM_ZD_Moho!CA_devex_nom&gt;0,HM_ZD_Moho!CA_gross_prod_oil+HM_ZD_Moho!CA_gross_prod_gas&gt;0))</f>
        <v>0</v>
      </c>
      <c r="BB224" s="57">
        <f ca="1">1*(OR(HM_ZD_Moho!CA_opex_total_nom&gt;0,HM_ZD_Moho!CA_expex_nom&gt;0,HM_ZD_Moho!CA_devex_nom&gt;0,HM_ZD_Moho!CA_gross_prod_oil+HM_ZD_Moho!CA_gross_prod_gas&gt;0))</f>
        <v>0</v>
      </c>
      <c r="BC224" s="57">
        <f ca="1">1*(OR(HM_ZD_Moho!CA_opex_total_nom&gt;0,HM_ZD_Moho!CA_expex_nom&gt;0,HM_ZD_Moho!CA_devex_nom&gt;0,HM_ZD_Moho!CA_gross_prod_oil+HM_ZD_Moho!CA_gross_prod_gas&gt;0))</f>
        <v>0</v>
      </c>
      <c r="BD224" s="57">
        <f ca="1">1*(OR(HM_ZD_Moho!CA_opex_total_nom&gt;0,HM_ZD_Moho!CA_expex_nom&gt;0,HM_ZD_Moho!CA_devex_nom&gt;0,HM_ZD_Moho!CA_gross_prod_oil+HM_ZD_Moho!CA_gross_prod_gas&gt;0))</f>
        <v>0</v>
      </c>
      <c r="BE224" s="57">
        <f ca="1">1*(OR(HM_ZD_Moho!CA_opex_total_nom&gt;0,HM_ZD_Moho!CA_expex_nom&gt;0,HM_ZD_Moho!CA_devex_nom&gt;0,HM_ZD_Moho!CA_gross_prod_oil+HM_ZD_Moho!CA_gross_prod_gas&gt;0))</f>
        <v>0</v>
      </c>
      <c r="BF224" s="57">
        <f ca="1">1*(OR(HM_ZD_Moho!CA_opex_total_nom&gt;0,HM_ZD_Moho!CA_expex_nom&gt;0,HM_ZD_Moho!CA_devex_nom&gt;0,HM_ZD_Moho!CA_gross_prod_oil+HM_ZD_Moho!CA_gross_prod_gas&gt;0))</f>
        <v>0</v>
      </c>
      <c r="BG224" s="57">
        <f ca="1">1*(OR(HM_ZD_Moho!CA_opex_total_nom&gt;0,HM_ZD_Moho!CA_expex_nom&gt;0,HM_ZD_Moho!CA_devex_nom&gt;0,HM_ZD_Moho!CA_gross_prod_oil+HM_ZD_Moho!CA_gross_prod_gas&gt;0))</f>
        <v>0</v>
      </c>
      <c r="BH224" s="57">
        <f ca="1">1*(OR(HM_ZD_Moho!CA_opex_total_nom&gt;0,HM_ZD_Moho!CA_expex_nom&gt;0,HM_ZD_Moho!CA_devex_nom&gt;0,HM_ZD_Moho!CA_gross_prod_oil+HM_ZD_Moho!CA_gross_prod_gas&gt;0))</f>
        <v>0</v>
      </c>
      <c r="BI224" s="57">
        <f ca="1">1*(OR(HM_ZD_Moho!CA_opex_total_nom&gt;0,HM_ZD_Moho!CA_expex_nom&gt;0,HM_ZD_Moho!CA_devex_nom&gt;0,HM_ZD_Moho!CA_gross_prod_oil+HM_ZD_Moho!CA_gross_prod_gas&gt;0))</f>
        <v>0</v>
      </c>
      <c r="BJ224" s="57">
        <f ca="1">1*(OR(HM_ZD_Moho!CA_opex_total_nom&gt;0,HM_ZD_Moho!CA_expex_nom&gt;0,HM_ZD_Moho!CA_devex_nom&gt;0,HM_ZD_Moho!CA_gross_prod_oil+HM_ZD_Moho!CA_gross_prod_gas&gt;0))</f>
        <v>0</v>
      </c>
      <c r="BK224" s="57">
        <f ca="1">1*(OR(HM_ZD_Moho!CA_opex_total_nom&gt;0,HM_ZD_Moho!CA_expex_nom&gt;0,HM_ZD_Moho!CA_devex_nom&gt;0,HM_ZD_Moho!CA_gross_prod_oil+HM_ZD_Moho!CA_gross_prod_gas&gt;0))</f>
        <v>0</v>
      </c>
      <c r="BL224" s="57">
        <f ca="1">1*(OR(HM_ZD_Moho!CA_opex_total_nom&gt;0,HM_ZD_Moho!CA_expex_nom&gt;0,HM_ZD_Moho!CA_devex_nom&gt;0,HM_ZD_Moho!CA_gross_prod_oil+HM_ZD_Moho!CA_gross_prod_gas&gt;0))</f>
        <v>0</v>
      </c>
      <c r="BM224" s="57">
        <f ca="1">1*(OR(HM_ZD_Moho!CA_opex_total_nom&gt;0,HM_ZD_Moho!CA_expex_nom&gt;0,HM_ZD_Moho!CA_devex_nom&gt;0,HM_ZD_Moho!CA_gross_prod_oil+HM_ZD_Moho!CA_gross_prod_gas&gt;0))</f>
        <v>0</v>
      </c>
      <c r="BN224" s="57">
        <f ca="1">1*(OR(HM_ZD_Moho!CA_opex_total_nom&gt;0,HM_ZD_Moho!CA_expex_nom&gt;0,HM_ZD_Moho!CA_devex_nom&gt;0,HM_ZD_Moho!CA_gross_prod_oil+HM_ZD_Moho!CA_gross_prod_gas&gt;0))</f>
        <v>0</v>
      </c>
      <c r="BO224" s="57">
        <f ca="1">1*(OR(HM_ZD_Moho!CA_opex_total_nom&gt;0,HM_ZD_Moho!CA_expex_nom&gt;0,HM_ZD_Moho!CA_devex_nom&gt;0,HM_ZD_Moho!CA_gross_prod_oil+HM_ZD_Moho!CA_gross_prod_gas&gt;0))</f>
        <v>0</v>
      </c>
      <c r="BP224" s="57">
        <f ca="1">1*(OR(HM_ZD_Moho!CA_opex_total_nom&gt;0,HM_ZD_Moho!CA_expex_nom&gt;0,HM_ZD_Moho!CA_devex_nom&gt;0,HM_ZD_Moho!CA_gross_prod_oil+HM_ZD_Moho!CA_gross_prod_gas&gt;0))</f>
        <v>0</v>
      </c>
      <c r="BQ224" s="57">
        <f ca="1">1*(OR(HM_ZD_Moho!CA_opex_total_nom&gt;0,HM_ZD_Moho!CA_expex_nom&gt;0,HM_ZD_Moho!CA_devex_nom&gt;0,HM_ZD_Moho!CA_gross_prod_oil+HM_ZD_Moho!CA_gross_prod_gas&gt;0))</f>
        <v>0</v>
      </c>
      <c r="BR224" s="57">
        <f ca="1">1*(OR(HM_ZD_Moho!CA_opex_total_nom&gt;0,HM_ZD_Moho!CA_expex_nom&gt;0,HM_ZD_Moho!CA_devex_nom&gt;0,HM_ZD_Moho!CA_gross_prod_oil+HM_ZD_Moho!CA_gross_prod_gas&gt;0))</f>
        <v>0</v>
      </c>
      <c r="BS224" s="57">
        <f ca="1">1*(OR(HM_ZD_Moho!CA_opex_total_nom&gt;0,HM_ZD_Moho!CA_expex_nom&gt;0,HM_ZD_Moho!CA_devex_nom&gt;0,HM_ZD_Moho!CA_gross_prod_oil+HM_ZD_Moho!CA_gross_prod_gas&gt;0))</f>
        <v>0</v>
      </c>
    </row>
    <row r="225" spans="3:71" outlineLevel="1" x14ac:dyDescent="0.2">
      <c r="J225" s="26"/>
      <c r="L225" s="55"/>
      <c r="M225" s="55"/>
      <c r="N225" s="55"/>
      <c r="O225" s="55"/>
      <c r="P225" s="55"/>
      <c r="Q225" s="55"/>
      <c r="R225" s="55"/>
      <c r="S225" s="55"/>
      <c r="T225" s="55"/>
      <c r="U225" s="55"/>
      <c r="V225" s="55"/>
      <c r="W225" s="55"/>
      <c r="X225" s="55"/>
      <c r="Y225" s="55"/>
      <c r="Z225" s="55"/>
      <c r="AA225" s="55"/>
      <c r="AB225" s="55"/>
      <c r="AC225" s="55"/>
      <c r="AD225" s="55"/>
      <c r="AE225" s="55"/>
      <c r="AF225" s="55"/>
      <c r="AG225" s="55"/>
      <c r="AH225" s="55"/>
      <c r="AI225" s="55"/>
      <c r="AJ225" s="55"/>
      <c r="AK225" s="55"/>
      <c r="AL225" s="55"/>
      <c r="AM225" s="55"/>
      <c r="AN225" s="55"/>
      <c r="AO225" s="55"/>
      <c r="AP225" s="55"/>
      <c r="AQ225" s="55"/>
      <c r="AR225" s="55"/>
      <c r="AS225" s="55"/>
      <c r="AT225" s="55"/>
      <c r="AU225" s="55"/>
      <c r="AV225" s="55"/>
      <c r="AW225" s="55"/>
      <c r="AX225" s="55"/>
      <c r="AY225" s="55"/>
      <c r="AZ225" s="55"/>
      <c r="BA225" s="55"/>
      <c r="BB225" s="55"/>
      <c r="BC225" s="55"/>
      <c r="BD225" s="55"/>
      <c r="BE225" s="55"/>
      <c r="BF225" s="55"/>
      <c r="BG225" s="55"/>
      <c r="BH225" s="55"/>
      <c r="BI225" s="55"/>
      <c r="BJ225" s="55"/>
      <c r="BK225" s="55"/>
      <c r="BL225" s="55"/>
      <c r="BM225" s="55"/>
      <c r="BN225" s="55"/>
      <c r="BO225" s="55"/>
      <c r="BP225" s="55"/>
      <c r="BQ225" s="55"/>
      <c r="BR225" s="55"/>
      <c r="BS225" s="55"/>
    </row>
    <row r="226" spans="3:71" outlineLevel="1" x14ac:dyDescent="0.2">
      <c r="C226" s="11" t="str">
        <f>CHOOSE(db_ML_selected,'Liste Traduction'!B453,'Liste Traduction'!C453)</f>
        <v>Période Déclencheur pour le PH</v>
      </c>
      <c r="J226" s="26"/>
      <c r="K226" s="7" t="s">
        <v>466</v>
      </c>
      <c r="L226" s="57">
        <f ca="1">IF(-SUM(K$275:$K275)/$I$274&lt;100%,1,2)</f>
        <v>1</v>
      </c>
      <c r="M226" s="57">
        <f ca="1">IF(-SUM($K$275:L275)/$I$274&lt;100%,1,2)</f>
        <v>1</v>
      </c>
      <c r="N226" s="57">
        <f ca="1">IF(-SUM($K$275:M275)/$I$274&lt;100%,1,2)</f>
        <v>1</v>
      </c>
      <c r="O226" s="57">
        <f ca="1">IF(-SUM($K$275:N275)/$I$274&lt;100%,1,2)</f>
        <v>1</v>
      </c>
      <c r="P226" s="57">
        <f ca="1">IF(-SUM($K$275:O275)/$I$274&lt;100%,1,2)</f>
        <v>1</v>
      </c>
      <c r="Q226" s="57">
        <f ca="1">IF(-SUM($K$275:P275)/$I$274&lt;100%,1,2)</f>
        <v>1</v>
      </c>
      <c r="R226" s="57">
        <f ca="1">IF(-SUM($K$275:Q275)/$I$274&lt;100%,1,2)</f>
        <v>1</v>
      </c>
      <c r="S226" s="57">
        <f ca="1">IF(-SUM($K$275:R275)/$I$274&lt;100%,1,2)</f>
        <v>1</v>
      </c>
      <c r="T226" s="57">
        <f ca="1">IF(-SUM($K$275:S275)/$I$274&lt;100%,1,2)</f>
        <v>1</v>
      </c>
      <c r="U226" s="57">
        <f ca="1">IF(-SUM($K$275:T275)/$I$274&lt;100%,1,2)</f>
        <v>1</v>
      </c>
      <c r="V226" s="57">
        <f ca="1">IF(-SUM($K$275:U275)/$I$274&lt;100%,1,2)</f>
        <v>1</v>
      </c>
      <c r="W226" s="57">
        <f ca="1">IF(-SUM($K$275:V275)/$I$274&lt;100%,1,2)</f>
        <v>2</v>
      </c>
      <c r="X226" s="57">
        <f ca="1">IF(-SUM($K$275:W275)/$I$274&lt;100%,1,2)</f>
        <v>2</v>
      </c>
      <c r="Y226" s="57">
        <f ca="1">IF(-SUM($K$275:X275)/$I$274&lt;100%,1,2)</f>
        <v>2</v>
      </c>
      <c r="Z226" s="57">
        <f ca="1">IF(-SUM($K$275:Y275)/$I$274&lt;100%,1,2)</f>
        <v>2</v>
      </c>
      <c r="AA226" s="57">
        <f ca="1">IF(-SUM($K$275:Z275)/$I$274&lt;100%,1,2)</f>
        <v>2</v>
      </c>
      <c r="AB226" s="57">
        <f ca="1">IF(-SUM($K$275:AA275)/$I$274&lt;100%,1,2)</f>
        <v>2</v>
      </c>
      <c r="AC226" s="57">
        <f ca="1">IF(-SUM($K$275:AB275)/$I$274&lt;100%,1,2)</f>
        <v>2</v>
      </c>
      <c r="AD226" s="57">
        <f ca="1">IF(-SUM($K$275:AC275)/$I$274&lt;100%,1,2)</f>
        <v>2</v>
      </c>
      <c r="AE226" s="57">
        <f ca="1">IF(-SUM($K$275:AD275)/$I$274&lt;100%,1,2)</f>
        <v>2</v>
      </c>
      <c r="AF226" s="57">
        <f ca="1">IF(-SUM($K$275:AE275)/$I$274&lt;100%,1,2)</f>
        <v>2</v>
      </c>
      <c r="AG226" s="57">
        <f ca="1">IF(-SUM($K$275:AF275)/$I$274&lt;100%,1,2)</f>
        <v>2</v>
      </c>
      <c r="AH226" s="57">
        <f ca="1">IF(-SUM($K$275:AG275)/$I$274&lt;100%,1,2)</f>
        <v>2</v>
      </c>
      <c r="AI226" s="57">
        <f ca="1">IF(-SUM($K$275:AH275)/$I$274&lt;100%,1,2)</f>
        <v>2</v>
      </c>
      <c r="AJ226" s="57">
        <f ca="1">IF(-SUM($K$275:AI275)/$I$274&lt;100%,1,2)</f>
        <v>2</v>
      </c>
      <c r="AK226" s="57">
        <f ca="1">IF(-SUM($K$275:AJ275)/$I$274&lt;100%,1,2)</f>
        <v>2</v>
      </c>
      <c r="AL226" s="57">
        <f ca="1">IF(-SUM($K$275:AK275)/$I$274&lt;100%,1,2)</f>
        <v>2</v>
      </c>
      <c r="AM226" s="57">
        <f ca="1">IF(-SUM($K$275:AL275)/$I$274&lt;100%,1,2)</f>
        <v>2</v>
      </c>
      <c r="AN226" s="57">
        <f ca="1">IF(-SUM($K$275:AM275)/$I$274&lt;100%,1,2)</f>
        <v>2</v>
      </c>
      <c r="AO226" s="57">
        <f ca="1">IF(-SUM($K$275:AN275)/$I$274&lt;100%,1,2)</f>
        <v>2</v>
      </c>
      <c r="AP226" s="57">
        <f ca="1">IF(-SUM($K$275:AO275)/$I$274&lt;100%,1,2)</f>
        <v>2</v>
      </c>
      <c r="AQ226" s="57">
        <f ca="1">IF(-SUM($K$275:AP275)/$I$274&lt;100%,1,2)</f>
        <v>2</v>
      </c>
      <c r="AR226" s="57">
        <f ca="1">IF(-SUM($K$275:AQ275)/$I$274&lt;100%,1,2)</f>
        <v>2</v>
      </c>
      <c r="AS226" s="57">
        <f ca="1">IF(-SUM($K$275:AR275)/$I$274&lt;100%,1,2)</f>
        <v>2</v>
      </c>
      <c r="AT226" s="57">
        <f ca="1">IF(-SUM($K$275:AS275)/$I$274&lt;100%,1,2)</f>
        <v>2</v>
      </c>
      <c r="AU226" s="57">
        <f ca="1">IF(-SUM($K$275:AT275)/$I$274&lt;100%,1,2)</f>
        <v>2</v>
      </c>
      <c r="AV226" s="57">
        <f ca="1">IF(-SUM($K$275:AU275)/$I$274&lt;100%,1,2)</f>
        <v>2</v>
      </c>
      <c r="AW226" s="57">
        <f ca="1">IF(-SUM($K$275:AV275)/$I$274&lt;100%,1,2)</f>
        <v>2</v>
      </c>
      <c r="AX226" s="57">
        <f ca="1">IF(-SUM($K$275:AW275)/$I$274&lt;100%,1,2)</f>
        <v>2</v>
      </c>
      <c r="AY226" s="57">
        <f ca="1">IF(-SUM($K$275:AX275)/$I$274&lt;100%,1,2)</f>
        <v>2</v>
      </c>
      <c r="AZ226" s="57">
        <f ca="1">IF(-SUM($K$275:AY275)/$I$274&lt;100%,1,2)</f>
        <v>2</v>
      </c>
      <c r="BA226" s="57">
        <f ca="1">IF(-SUM($K$275:AZ275)/$I$274&lt;100%,1,2)</f>
        <v>2</v>
      </c>
      <c r="BB226" s="57">
        <f ca="1">IF(-SUM($K$275:BA275)/$I$274&lt;100%,1,2)</f>
        <v>2</v>
      </c>
      <c r="BC226" s="57">
        <f ca="1">IF(-SUM($K$275:BB275)/$I$274&lt;100%,1,2)</f>
        <v>2</v>
      </c>
      <c r="BD226" s="57">
        <f ca="1">IF(-SUM($K$275:BC275)/$I$274&lt;100%,1,2)</f>
        <v>2</v>
      </c>
      <c r="BE226" s="57">
        <f ca="1">IF(-SUM($K$275:BD275)/$I$274&lt;100%,1,2)</f>
        <v>2</v>
      </c>
      <c r="BF226" s="57">
        <f ca="1">IF(-SUM($K$275:BE275)/$I$274&lt;100%,1,2)</f>
        <v>2</v>
      </c>
      <c r="BG226" s="57">
        <f ca="1">IF(-SUM($K$275:BF275)/$I$274&lt;100%,1,2)</f>
        <v>2</v>
      </c>
      <c r="BH226" s="57">
        <f ca="1">IF(-SUM($K$275:BG275)/$I$274&lt;100%,1,2)</f>
        <v>2</v>
      </c>
      <c r="BI226" s="57">
        <f ca="1">IF(-SUM($K$275:BH275)/$I$274&lt;100%,1,2)</f>
        <v>2</v>
      </c>
      <c r="BJ226" s="57">
        <f ca="1">IF(-SUM($K$275:BI275)/$I$274&lt;100%,1,2)</f>
        <v>2</v>
      </c>
      <c r="BK226" s="57">
        <f ca="1">IF(-SUM($K$275:BJ275)/$I$274&lt;100%,1,2)</f>
        <v>2</v>
      </c>
      <c r="BL226" s="57">
        <f ca="1">IF(-SUM($K$275:BK275)/$I$274&lt;100%,1,2)</f>
        <v>2</v>
      </c>
      <c r="BM226" s="57">
        <f ca="1">IF(-SUM($K$275:BL275)/$I$274&lt;100%,1,2)</f>
        <v>2</v>
      </c>
      <c r="BN226" s="57">
        <f ca="1">IF(-SUM($K$275:BM275)/$I$274&lt;100%,1,2)</f>
        <v>2</v>
      </c>
      <c r="BO226" s="57">
        <f ca="1">IF(-SUM($K$275:BN275)/$I$274&lt;100%,1,2)</f>
        <v>2</v>
      </c>
      <c r="BP226" s="57">
        <f ca="1">IF(-SUM($K$275:BO275)/$I$274&lt;100%,1,2)</f>
        <v>2</v>
      </c>
      <c r="BQ226" s="57">
        <f ca="1">IF(-SUM($K$275:BP275)/$I$274&lt;100%,1,2)</f>
        <v>2</v>
      </c>
      <c r="BR226" s="57">
        <f ca="1">IF(-SUM($K$275:BQ275)/$I$274&lt;100%,1,2)</f>
        <v>2</v>
      </c>
      <c r="BS226" s="57">
        <f ca="1">IF(-SUM($K$275:BR275)/$I$274&lt;100%,1,2)</f>
        <v>2</v>
      </c>
    </row>
    <row r="227" spans="3:71" outlineLevel="1" x14ac:dyDescent="0.2">
      <c r="J227" s="26"/>
      <c r="L227" s="55"/>
      <c r="M227" s="55"/>
      <c r="N227" s="55"/>
      <c r="O227" s="55"/>
      <c r="P227" s="55"/>
      <c r="Q227" s="55"/>
      <c r="R227" s="55"/>
      <c r="S227" s="55"/>
      <c r="T227" s="55"/>
      <c r="U227" s="55"/>
      <c r="V227" s="55"/>
      <c r="W227" s="55"/>
      <c r="X227" s="55"/>
      <c r="Y227" s="55"/>
      <c r="Z227" s="55"/>
      <c r="AA227" s="55"/>
      <c r="AB227" s="55"/>
      <c r="AC227" s="55"/>
      <c r="AD227" s="55"/>
      <c r="AE227" s="55"/>
      <c r="AF227" s="55"/>
      <c r="AG227" s="55"/>
      <c r="AH227" s="55"/>
      <c r="AI227" s="55"/>
      <c r="AJ227" s="55"/>
      <c r="AK227" s="55"/>
      <c r="AL227" s="55"/>
      <c r="AM227" s="55"/>
      <c r="AN227" s="55"/>
      <c r="AO227" s="55"/>
      <c r="AP227" s="55"/>
      <c r="AQ227" s="55"/>
      <c r="AR227" s="55"/>
      <c r="AS227" s="55"/>
      <c r="AT227" s="55"/>
      <c r="AU227" s="55"/>
      <c r="AV227" s="55"/>
      <c r="AW227" s="55"/>
      <c r="AX227" s="55"/>
      <c r="AY227" s="55"/>
      <c r="AZ227" s="55"/>
      <c r="BA227" s="55"/>
      <c r="BB227" s="55"/>
      <c r="BC227" s="55"/>
      <c r="BD227" s="55"/>
      <c r="BE227" s="55"/>
      <c r="BF227" s="55"/>
      <c r="BG227" s="55"/>
      <c r="BH227" s="55"/>
      <c r="BI227" s="55"/>
      <c r="BJ227" s="55"/>
      <c r="BK227" s="55"/>
      <c r="BL227" s="55"/>
      <c r="BM227" s="55"/>
      <c r="BN227" s="55"/>
      <c r="BO227" s="55"/>
      <c r="BP227" s="55"/>
      <c r="BQ227" s="55"/>
      <c r="BR227" s="55"/>
      <c r="BS227" s="55"/>
    </row>
    <row r="228" spans="3:71" outlineLevel="1" x14ac:dyDescent="0.2">
      <c r="C228" s="11" t="str">
        <f>HM_ZB_Nsoko!C221</f>
        <v>Frais</v>
      </c>
      <c r="J228" s="26"/>
      <c r="L228" s="55"/>
      <c r="M228" s="55"/>
      <c r="N228" s="55"/>
      <c r="O228" s="55"/>
      <c r="P228" s="55"/>
      <c r="Q228" s="55"/>
      <c r="R228" s="55"/>
      <c r="S228" s="55"/>
      <c r="T228" s="55"/>
      <c r="U228" s="55"/>
      <c r="V228" s="55"/>
      <c r="W228" s="55"/>
      <c r="X228" s="55"/>
      <c r="Y228" s="55"/>
      <c r="Z228" s="55"/>
      <c r="AA228" s="55"/>
      <c r="AB228" s="55"/>
      <c r="AC228" s="55"/>
      <c r="AD228" s="55"/>
      <c r="AE228" s="55"/>
      <c r="AF228" s="55"/>
      <c r="AG228" s="55"/>
      <c r="AH228" s="55"/>
      <c r="AI228" s="55"/>
      <c r="AJ228" s="55"/>
      <c r="AK228" s="55"/>
      <c r="AL228" s="55"/>
      <c r="AM228" s="55"/>
      <c r="AN228" s="55"/>
      <c r="AO228" s="55"/>
      <c r="AP228" s="55"/>
      <c r="AQ228" s="55"/>
      <c r="AR228" s="55"/>
      <c r="AS228" s="55"/>
      <c r="AT228" s="55"/>
      <c r="AU228" s="55"/>
      <c r="AV228" s="55"/>
      <c r="AW228" s="55"/>
      <c r="AX228" s="55"/>
      <c r="AY228" s="55"/>
      <c r="AZ228" s="55"/>
      <c r="BA228" s="55"/>
      <c r="BB228" s="55"/>
      <c r="BC228" s="55"/>
      <c r="BD228" s="55"/>
      <c r="BE228" s="55"/>
      <c r="BF228" s="55"/>
      <c r="BG228" s="55"/>
      <c r="BH228" s="55"/>
      <c r="BI228" s="55"/>
      <c r="BJ228" s="55"/>
      <c r="BK228" s="55"/>
      <c r="BL228" s="55"/>
      <c r="BM228" s="55"/>
      <c r="BN228" s="55"/>
      <c r="BO228" s="55"/>
      <c r="BP228" s="55"/>
      <c r="BQ228" s="55"/>
      <c r="BR228" s="55"/>
      <c r="BS228" s="55"/>
    </row>
    <row r="229" spans="3:71" outlineLevel="1" x14ac:dyDescent="0.2">
      <c r="D229" t="str">
        <f>HM_ZB_Nsoko!D222</f>
        <v>Coûts PID</v>
      </c>
      <c r="I229" s="30">
        <f ca="1">SUM($L229:$BS229)</f>
        <v>312.02375942204549</v>
      </c>
      <c r="J229" s="26" t="s">
        <v>148</v>
      </c>
      <c r="K229" s="7" t="s">
        <v>174</v>
      </c>
      <c r="L229" s="49">
        <f ca="1">HM_ZD_AM3_2005!L210</f>
        <v>19.121835466870003</v>
      </c>
      <c r="M229" s="49">
        <f ca="1">HM_ZD_AM3_2005!M210</f>
        <v>18.177761666039995</v>
      </c>
      <c r="N229" s="49">
        <f ca="1">_xlfn.SINGLE(HM_ZD_Moho!CA_gross_rev_total_fp)*_xlfn.SINGLE(HM_ZD_Moho!fees_PID_perc)</f>
        <v>7.3504705144999996</v>
      </c>
      <c r="O229" s="49">
        <f ca="1">_xlfn.SINGLE(HM_ZD_Moho!CA_gross_rev_total_fp)*_xlfn.SINGLE(HM_ZD_Moho!fees_PID_perc)</f>
        <v>6.3167255446199997</v>
      </c>
      <c r="P229" s="49">
        <f ca="1">_xlfn.SINGLE(HM_ZD_Moho!CA_gross_rev_total_fp)*_xlfn.SINGLE(HM_ZD_Moho!fees_PID_perc)</f>
        <v>17.723638558490006</v>
      </c>
      <c r="Q229" s="49">
        <f ca="1">_xlfn.SINGLE(HM_ZD_Moho!CA_gross_rev_total_fp)*_xlfn.SINGLE(HM_ZD_Moho!fees_PID_perc)</f>
        <v>35.858944981400008</v>
      </c>
      <c r="R229" s="49">
        <f ca="1">_xlfn.SINGLE(HM_ZD_Moho!CA_gross_rev_total_fp)*_xlfn.SINGLE(HM_ZD_Moho!fees_PID_perc)</f>
        <v>35.243307706050004</v>
      </c>
      <c r="S229" s="49">
        <f ca="1">_xlfn.SINGLE(HM_ZD_Moho!CA_gross_rev_total_fp)*_xlfn.SINGLE(HM_ZD_Moho!fees_PID_perc)</f>
        <v>21.043087260000004</v>
      </c>
      <c r="T229" s="49">
        <f ca="1">_xlfn.SINGLE(HM_ZD_Moho!CA_gross_rev_total_fp)*_xlfn.SINGLE(HM_ZD_Moho!fees_PID_perc)</f>
        <v>32.198115777984</v>
      </c>
      <c r="U229" s="49">
        <f ca="1">_xlfn.SINGLE(HM_ZD_Moho!CA_gross_rev_total_fp)*_xlfn.SINGLE(HM_ZD_Moho!fees_PID_perc)</f>
        <v>32.141772560519996</v>
      </c>
      <c r="V229" s="49">
        <f ca="1">_xlfn.SINGLE(HM_ZD_Moho!CA_gross_rev_total_fp)*_xlfn.SINGLE(HM_ZD_Moho!fees_PID_perc)</f>
        <v>30.489685450909271</v>
      </c>
      <c r="W229" s="49">
        <f ca="1">_xlfn.SINGLE(HM_ZD_Moho!CA_gross_rev_total_fp)*_xlfn.SINGLE(HM_ZD_Moho!fees_PID_perc)</f>
        <v>28.922515618732529</v>
      </c>
      <c r="X229" s="49">
        <f ca="1">_xlfn.SINGLE(HM_ZD_Moho!CA_gross_rev_total_fp)*_xlfn.SINGLE(HM_ZD_Moho!fees_PID_perc)</f>
        <v>27.435898315929677</v>
      </c>
      <c r="Y229" s="49">
        <f ca="1">_xlfn.SINGLE(HM_ZD_Moho!CA_gross_rev_total_fp)*_xlfn.SINGLE(HM_ZD_Moho!fees_PID_perc)</f>
        <v>0</v>
      </c>
      <c r="Z229" s="49">
        <f ca="1">_xlfn.SINGLE(HM_ZD_Moho!CA_gross_rev_total_fp)*_xlfn.SINGLE(HM_ZD_Moho!fees_PID_perc)</f>
        <v>0</v>
      </c>
      <c r="AA229" s="49">
        <f ca="1">_xlfn.SINGLE(HM_ZD_Moho!CA_gross_rev_total_fp)*_xlfn.SINGLE(HM_ZD_Moho!fees_PID_perc)</f>
        <v>0</v>
      </c>
      <c r="AB229" s="49">
        <f ca="1">_xlfn.SINGLE(HM_ZD_Moho!CA_gross_rev_total_fp)*_xlfn.SINGLE(HM_ZD_Moho!fees_PID_perc)</f>
        <v>0</v>
      </c>
      <c r="AC229" s="49">
        <f ca="1">_xlfn.SINGLE(HM_ZD_Moho!CA_gross_rev_total_fp)*_xlfn.SINGLE(HM_ZD_Moho!fees_PID_perc)</f>
        <v>0</v>
      </c>
      <c r="AD229" s="49">
        <f ca="1">_xlfn.SINGLE(HM_ZD_Moho!CA_gross_rev_total_fp)*_xlfn.SINGLE(HM_ZD_Moho!fees_PID_perc)</f>
        <v>0</v>
      </c>
      <c r="AE229" s="49">
        <f ca="1">_xlfn.SINGLE(HM_ZD_Moho!CA_gross_rev_total_fp)*_xlfn.SINGLE(HM_ZD_Moho!fees_PID_perc)</f>
        <v>0</v>
      </c>
      <c r="AF229" s="49">
        <f ca="1">_xlfn.SINGLE(HM_ZD_Moho!CA_gross_rev_total_fp)*_xlfn.SINGLE(HM_ZD_Moho!fees_PID_perc)</f>
        <v>0</v>
      </c>
      <c r="AG229" s="49">
        <f ca="1">_xlfn.SINGLE(HM_ZD_Moho!CA_gross_rev_total_fp)*_xlfn.SINGLE(HM_ZD_Moho!fees_PID_perc)</f>
        <v>0</v>
      </c>
      <c r="AH229" s="49">
        <f ca="1">_xlfn.SINGLE(HM_ZD_Moho!CA_gross_rev_total_fp)*_xlfn.SINGLE(HM_ZD_Moho!fees_PID_perc)</f>
        <v>0</v>
      </c>
      <c r="AI229" s="49">
        <f ca="1">_xlfn.SINGLE(HM_ZD_Moho!CA_gross_rev_total_fp)*_xlfn.SINGLE(HM_ZD_Moho!fees_PID_perc)</f>
        <v>0</v>
      </c>
      <c r="AJ229" s="49">
        <f ca="1">_xlfn.SINGLE(HM_ZD_Moho!CA_gross_rev_total_fp)*_xlfn.SINGLE(HM_ZD_Moho!fees_PID_perc)</f>
        <v>0</v>
      </c>
      <c r="AK229" s="49">
        <f ca="1">_xlfn.SINGLE(HM_ZD_Moho!CA_gross_rev_total_fp)*_xlfn.SINGLE(HM_ZD_Moho!fees_PID_perc)</f>
        <v>0</v>
      </c>
      <c r="AL229" s="49">
        <f ca="1">_xlfn.SINGLE(HM_ZD_Moho!CA_gross_rev_total_fp)*_xlfn.SINGLE(HM_ZD_Moho!fees_PID_perc)</f>
        <v>0</v>
      </c>
      <c r="AM229" s="49">
        <f ca="1">_xlfn.SINGLE(HM_ZD_Moho!CA_gross_rev_total_fp)*_xlfn.SINGLE(HM_ZD_Moho!fees_PID_perc)</f>
        <v>0</v>
      </c>
      <c r="AN229" s="49">
        <f ca="1">_xlfn.SINGLE(HM_ZD_Moho!CA_gross_rev_total_fp)*_xlfn.SINGLE(HM_ZD_Moho!fees_PID_perc)</f>
        <v>0</v>
      </c>
      <c r="AO229" s="49">
        <f ca="1">_xlfn.SINGLE(HM_ZD_Moho!CA_gross_rev_total_fp)*_xlfn.SINGLE(HM_ZD_Moho!fees_PID_perc)</f>
        <v>0</v>
      </c>
      <c r="AP229" s="49">
        <f ca="1">_xlfn.SINGLE(HM_ZD_Moho!CA_gross_rev_total_fp)*_xlfn.SINGLE(HM_ZD_Moho!fees_PID_perc)</f>
        <v>0</v>
      </c>
      <c r="AQ229" s="49">
        <f ca="1">_xlfn.SINGLE(HM_ZD_Moho!CA_gross_rev_total_fp)*_xlfn.SINGLE(HM_ZD_Moho!fees_PID_perc)</f>
        <v>0</v>
      </c>
      <c r="AR229" s="49">
        <f ca="1">_xlfn.SINGLE(HM_ZD_Moho!CA_gross_rev_total_fp)*_xlfn.SINGLE(HM_ZD_Moho!fees_PID_perc)</f>
        <v>0</v>
      </c>
      <c r="AS229" s="49">
        <f ca="1">_xlfn.SINGLE(HM_ZD_Moho!CA_gross_rev_total_fp)*_xlfn.SINGLE(HM_ZD_Moho!fees_PID_perc)</f>
        <v>0</v>
      </c>
      <c r="AT229" s="49">
        <f ca="1">_xlfn.SINGLE(HM_ZD_Moho!CA_gross_rev_total_fp)*_xlfn.SINGLE(HM_ZD_Moho!fees_PID_perc)</f>
        <v>0</v>
      </c>
      <c r="AU229" s="49">
        <f ca="1">_xlfn.SINGLE(HM_ZD_Moho!CA_gross_rev_total_fp)*_xlfn.SINGLE(HM_ZD_Moho!fees_PID_perc)</f>
        <v>0</v>
      </c>
      <c r="AV229" s="49">
        <f ca="1">_xlfn.SINGLE(HM_ZD_Moho!CA_gross_rev_total_fp)*_xlfn.SINGLE(HM_ZD_Moho!fees_PID_perc)</f>
        <v>0</v>
      </c>
      <c r="AW229" s="49">
        <f ca="1">_xlfn.SINGLE(HM_ZD_Moho!CA_gross_rev_total_fp)*_xlfn.SINGLE(HM_ZD_Moho!fees_PID_perc)</f>
        <v>0</v>
      </c>
      <c r="AX229" s="49">
        <f ca="1">_xlfn.SINGLE(HM_ZD_Moho!CA_gross_rev_total_fp)*_xlfn.SINGLE(HM_ZD_Moho!fees_PID_perc)</f>
        <v>0</v>
      </c>
      <c r="AY229" s="49">
        <f ca="1">_xlfn.SINGLE(HM_ZD_Moho!CA_gross_rev_total_fp)*_xlfn.SINGLE(HM_ZD_Moho!fees_PID_perc)</f>
        <v>0</v>
      </c>
      <c r="AZ229" s="49">
        <f ca="1">_xlfn.SINGLE(HM_ZD_Moho!CA_gross_rev_total_fp)*_xlfn.SINGLE(HM_ZD_Moho!fees_PID_perc)</f>
        <v>0</v>
      </c>
      <c r="BA229" s="49">
        <f ca="1">_xlfn.SINGLE(HM_ZD_Moho!CA_gross_rev_total_fp)*_xlfn.SINGLE(HM_ZD_Moho!fees_PID_perc)</f>
        <v>0</v>
      </c>
      <c r="BB229" s="49">
        <f ca="1">_xlfn.SINGLE(HM_ZD_Moho!CA_gross_rev_total_fp)*_xlfn.SINGLE(HM_ZD_Moho!fees_PID_perc)</f>
        <v>0</v>
      </c>
      <c r="BC229" s="49">
        <f ca="1">_xlfn.SINGLE(HM_ZD_Moho!CA_gross_rev_total_fp)*_xlfn.SINGLE(HM_ZD_Moho!fees_PID_perc)</f>
        <v>0</v>
      </c>
      <c r="BD229" s="49">
        <f ca="1">_xlfn.SINGLE(HM_ZD_Moho!CA_gross_rev_total_fp)*_xlfn.SINGLE(HM_ZD_Moho!fees_PID_perc)</f>
        <v>0</v>
      </c>
      <c r="BE229" s="49">
        <f ca="1">_xlfn.SINGLE(HM_ZD_Moho!CA_gross_rev_total_fp)*_xlfn.SINGLE(HM_ZD_Moho!fees_PID_perc)</f>
        <v>0</v>
      </c>
      <c r="BF229" s="49">
        <f ca="1">_xlfn.SINGLE(HM_ZD_Moho!CA_gross_rev_total_fp)*_xlfn.SINGLE(HM_ZD_Moho!fees_PID_perc)</f>
        <v>0</v>
      </c>
      <c r="BG229" s="49">
        <f ca="1">_xlfn.SINGLE(HM_ZD_Moho!CA_gross_rev_total_fp)*_xlfn.SINGLE(HM_ZD_Moho!fees_PID_perc)</f>
        <v>0</v>
      </c>
      <c r="BH229" s="49">
        <f ca="1">_xlfn.SINGLE(HM_ZD_Moho!CA_gross_rev_total_fp)*_xlfn.SINGLE(HM_ZD_Moho!fees_PID_perc)</f>
        <v>0</v>
      </c>
      <c r="BI229" s="49">
        <f ca="1">_xlfn.SINGLE(HM_ZD_Moho!CA_gross_rev_total_fp)*_xlfn.SINGLE(HM_ZD_Moho!fees_PID_perc)</f>
        <v>0</v>
      </c>
      <c r="BJ229" s="49">
        <f ca="1">_xlfn.SINGLE(HM_ZD_Moho!CA_gross_rev_total_fp)*_xlfn.SINGLE(HM_ZD_Moho!fees_PID_perc)</f>
        <v>0</v>
      </c>
      <c r="BK229" s="49">
        <f ca="1">_xlfn.SINGLE(HM_ZD_Moho!CA_gross_rev_total_fp)*_xlfn.SINGLE(HM_ZD_Moho!fees_PID_perc)</f>
        <v>0</v>
      </c>
      <c r="BL229" s="49">
        <f ca="1">_xlfn.SINGLE(HM_ZD_Moho!CA_gross_rev_total_fp)*_xlfn.SINGLE(HM_ZD_Moho!fees_PID_perc)</f>
        <v>0</v>
      </c>
      <c r="BM229" s="49">
        <f ca="1">_xlfn.SINGLE(HM_ZD_Moho!CA_gross_rev_total_fp)*_xlfn.SINGLE(HM_ZD_Moho!fees_PID_perc)</f>
        <v>0</v>
      </c>
      <c r="BN229" s="49">
        <f ca="1">_xlfn.SINGLE(HM_ZD_Moho!CA_gross_rev_total_fp)*_xlfn.SINGLE(HM_ZD_Moho!fees_PID_perc)</f>
        <v>0</v>
      </c>
      <c r="BO229" s="49">
        <f ca="1">_xlfn.SINGLE(HM_ZD_Moho!CA_gross_rev_total_fp)*_xlfn.SINGLE(HM_ZD_Moho!fees_PID_perc)</f>
        <v>0</v>
      </c>
      <c r="BP229" s="49">
        <f ca="1">_xlfn.SINGLE(HM_ZD_Moho!CA_gross_rev_total_fp)*_xlfn.SINGLE(HM_ZD_Moho!fees_PID_perc)</f>
        <v>0</v>
      </c>
      <c r="BQ229" s="49">
        <f ca="1">_xlfn.SINGLE(HM_ZD_Moho!CA_gross_rev_total_fp)*_xlfn.SINGLE(HM_ZD_Moho!fees_PID_perc)</f>
        <v>0</v>
      </c>
      <c r="BR229" s="49">
        <f ca="1">_xlfn.SINGLE(HM_ZD_Moho!CA_gross_rev_total_fp)*_xlfn.SINGLE(HM_ZD_Moho!fees_PID_perc)</f>
        <v>0</v>
      </c>
      <c r="BS229" s="49">
        <f ca="1">_xlfn.SINGLE(HM_ZD_Moho!CA_gross_rev_total_fp)*_xlfn.SINGLE(HM_ZD_Moho!fees_PID_perc)</f>
        <v>0</v>
      </c>
    </row>
    <row r="230" spans="3:71" outlineLevel="1" x14ac:dyDescent="0.2">
      <c r="J230" s="26"/>
      <c r="L230" s="55"/>
      <c r="M230" s="55"/>
      <c r="N230" s="55"/>
      <c r="O230" s="55"/>
      <c r="P230" s="55"/>
      <c r="Q230" s="55"/>
      <c r="R230" s="55"/>
      <c r="S230" s="55"/>
      <c r="T230" s="55"/>
      <c r="U230" s="55"/>
      <c r="V230" s="55"/>
      <c r="W230" s="55"/>
      <c r="X230" s="55"/>
      <c r="Y230" s="55"/>
      <c r="Z230" s="55"/>
      <c r="AA230" s="55"/>
      <c r="AB230" s="55"/>
      <c r="AC230" s="55"/>
      <c r="AD230" s="55"/>
      <c r="AE230" s="55"/>
      <c r="AF230" s="55"/>
      <c r="AG230" s="55"/>
      <c r="AH230" s="55"/>
      <c r="AI230" s="55"/>
      <c r="AJ230" s="55"/>
      <c r="AK230" s="55"/>
      <c r="AL230" s="55"/>
      <c r="AM230" s="55"/>
      <c r="AN230" s="55"/>
      <c r="AO230" s="55"/>
      <c r="AP230" s="55"/>
      <c r="AQ230" s="55"/>
      <c r="AR230" s="55"/>
      <c r="AS230" s="55"/>
      <c r="AT230" s="55"/>
      <c r="AU230" s="55"/>
      <c r="AV230" s="55"/>
      <c r="AW230" s="55"/>
      <c r="AX230" s="55"/>
      <c r="AY230" s="55"/>
      <c r="AZ230" s="55"/>
      <c r="BA230" s="55"/>
      <c r="BB230" s="55"/>
      <c r="BC230" s="55"/>
      <c r="BD230" s="55"/>
      <c r="BE230" s="55"/>
      <c r="BF230" s="55"/>
      <c r="BG230" s="55"/>
      <c r="BH230" s="55"/>
      <c r="BI230" s="55"/>
      <c r="BJ230" s="55"/>
      <c r="BK230" s="55"/>
      <c r="BL230" s="55"/>
      <c r="BM230" s="55"/>
      <c r="BN230" s="55"/>
      <c r="BO230" s="55"/>
      <c r="BP230" s="55"/>
      <c r="BQ230" s="55"/>
      <c r="BR230" s="55"/>
      <c r="BS230" s="55"/>
    </row>
    <row r="231" spans="3:71" outlineLevel="1" x14ac:dyDescent="0.2">
      <c r="C231" s="11" t="str">
        <f>HM_ZB_Nsoko!C224</f>
        <v>Redevance</v>
      </c>
      <c r="J231" s="26"/>
      <c r="L231" s="55"/>
      <c r="M231" s="55"/>
      <c r="N231" s="55"/>
      <c r="O231" s="55"/>
      <c r="P231" s="55"/>
      <c r="Q231" s="55"/>
      <c r="R231" s="55"/>
      <c r="S231" s="55"/>
      <c r="T231" s="55"/>
      <c r="U231" s="55"/>
      <c r="V231" s="55"/>
      <c r="W231" s="55"/>
      <c r="X231" s="55"/>
      <c r="Y231" s="55"/>
      <c r="Z231" s="55"/>
      <c r="AA231" s="55"/>
      <c r="AB231" s="55"/>
      <c r="AC231" s="55"/>
      <c r="AD231" s="55"/>
      <c r="AE231" s="55"/>
      <c r="AF231" s="55"/>
      <c r="AG231" s="55"/>
      <c r="AH231" s="55"/>
      <c r="AI231" s="55"/>
      <c r="AJ231" s="55"/>
      <c r="AK231" s="55"/>
      <c r="AL231" s="55"/>
      <c r="AM231" s="55"/>
      <c r="AN231" s="55"/>
      <c r="AO231" s="55"/>
      <c r="AP231" s="55"/>
      <c r="AQ231" s="55"/>
      <c r="AR231" s="55"/>
      <c r="AS231" s="55"/>
      <c r="AT231" s="55"/>
      <c r="AU231" s="55"/>
      <c r="AV231" s="55"/>
      <c r="AW231" s="55"/>
      <c r="AX231" s="55"/>
      <c r="AY231" s="55"/>
      <c r="AZ231" s="55"/>
      <c r="BA231" s="55"/>
      <c r="BB231" s="55"/>
      <c r="BC231" s="55"/>
      <c r="BD231" s="55"/>
      <c r="BE231" s="55"/>
      <c r="BF231" s="55"/>
      <c r="BG231" s="55"/>
      <c r="BH231" s="55"/>
      <c r="BI231" s="55"/>
      <c r="BJ231" s="55"/>
      <c r="BK231" s="55"/>
      <c r="BL231" s="55"/>
      <c r="BM231" s="55"/>
      <c r="BN231" s="55"/>
      <c r="BO231" s="55"/>
      <c r="BP231" s="55"/>
      <c r="BQ231" s="55"/>
      <c r="BR231" s="55"/>
      <c r="BS231" s="55"/>
    </row>
    <row r="232" spans="3:71" outlineLevel="1" x14ac:dyDescent="0.2">
      <c r="D232" t="str">
        <f>HM_ZB_Nsoko!D225</f>
        <v>Redevance pétrolière</v>
      </c>
      <c r="I232" s="30">
        <f ca="1">SUM($L232:$BS232)</f>
        <v>4680.3563913306816</v>
      </c>
      <c r="J232" s="26" t="s">
        <v>148</v>
      </c>
      <c r="K232" s="7" t="s">
        <v>177</v>
      </c>
      <c r="L232" s="49">
        <f ca="1">HM_ZD_AM3_2005!L213</f>
        <v>286.82753200305001</v>
      </c>
      <c r="M232" s="49">
        <f ca="1">HM_ZD_AM3_2005!M213</f>
        <v>272.66642499059992</v>
      </c>
      <c r="N232" s="49">
        <f ca="1">_xlfn.SINGLE(HM_ZD_Moho!CA_gross_rev_oil_fp)*_xlfn.SINGLE(HM_ZD_Moho!royalty_rate_oil)</f>
        <v>110.25705771749999</v>
      </c>
      <c r="O232" s="49">
        <f ca="1">_xlfn.SINGLE(HM_ZD_Moho!CA_gross_rev_oil_fp)*_xlfn.SINGLE(HM_ZD_Moho!royalty_rate_oil)</f>
        <v>94.750883169299996</v>
      </c>
      <c r="P232" s="49">
        <f ca="1">_xlfn.SINGLE(HM_ZD_Moho!CA_gross_rev_oil_fp)*_xlfn.SINGLE(HM_ZD_Moho!royalty_rate_oil)</f>
        <v>265.85457837735004</v>
      </c>
      <c r="Q232" s="49">
        <f ca="1">_xlfn.SINGLE(HM_ZD_Moho!CA_gross_rev_oil_fp)*_xlfn.SINGLE(HM_ZD_Moho!royalty_rate_oil)</f>
        <v>537.88417472100002</v>
      </c>
      <c r="R232" s="49">
        <f ca="1">_xlfn.SINGLE(HM_ZD_Moho!CA_gross_rev_oil_fp)*_xlfn.SINGLE(HM_ZD_Moho!royalty_rate_oil)</f>
        <v>528.64961559075005</v>
      </c>
      <c r="S232" s="49">
        <f ca="1">_xlfn.SINGLE(HM_ZD_Moho!CA_gross_rev_oil_fp)*_xlfn.SINGLE(HM_ZD_Moho!royalty_rate_oil)</f>
        <v>315.64630890000001</v>
      </c>
      <c r="T232" s="49">
        <f ca="1">_xlfn.SINGLE(HM_ZD_Moho!CA_gross_rev_oil_fp)*_xlfn.SINGLE(HM_ZD_Moho!royalty_rate_oil)</f>
        <v>482.97173666975993</v>
      </c>
      <c r="U232" s="49">
        <f ca="1">_xlfn.SINGLE(HM_ZD_Moho!CA_gross_rev_oil_fp)*_xlfn.SINGLE(HM_ZD_Moho!royalty_rate_oil)</f>
        <v>482.12658840779994</v>
      </c>
      <c r="V232" s="49">
        <f ca="1">_xlfn.SINGLE(HM_ZD_Moho!CA_gross_rev_oil_fp)*_xlfn.SINGLE(HM_ZD_Moho!royalty_rate_oil)</f>
        <v>457.34528176363904</v>
      </c>
      <c r="W232" s="49">
        <f ca="1">_xlfn.SINGLE(HM_ZD_Moho!CA_gross_rev_oil_fp)*_xlfn.SINGLE(HM_ZD_Moho!royalty_rate_oil)</f>
        <v>433.83773428098789</v>
      </c>
      <c r="X232" s="49">
        <f ca="1">_xlfn.SINGLE(HM_ZD_Moho!CA_gross_rev_oil_fp)*_xlfn.SINGLE(HM_ZD_Moho!royalty_rate_oil)</f>
        <v>411.53847473894513</v>
      </c>
      <c r="Y232" s="49">
        <f ca="1">_xlfn.SINGLE(HM_ZD_Moho!CA_gross_rev_oil_fp)*_xlfn.SINGLE(HM_ZD_Moho!royalty_rate_oil)</f>
        <v>0</v>
      </c>
      <c r="Z232" s="49">
        <f ca="1">_xlfn.SINGLE(HM_ZD_Moho!CA_gross_rev_oil_fp)*_xlfn.SINGLE(HM_ZD_Moho!royalty_rate_oil)</f>
        <v>0</v>
      </c>
      <c r="AA232" s="49">
        <f ca="1">_xlfn.SINGLE(HM_ZD_Moho!CA_gross_rev_oil_fp)*_xlfn.SINGLE(HM_ZD_Moho!royalty_rate_oil)</f>
        <v>0</v>
      </c>
      <c r="AB232" s="49">
        <f ca="1">_xlfn.SINGLE(HM_ZD_Moho!CA_gross_rev_oil_fp)*_xlfn.SINGLE(HM_ZD_Moho!royalty_rate_oil)</f>
        <v>0</v>
      </c>
      <c r="AC232" s="49">
        <f ca="1">_xlfn.SINGLE(HM_ZD_Moho!CA_gross_rev_oil_fp)*_xlfn.SINGLE(HM_ZD_Moho!royalty_rate_oil)</f>
        <v>0</v>
      </c>
      <c r="AD232" s="49">
        <f ca="1">_xlfn.SINGLE(HM_ZD_Moho!CA_gross_rev_oil_fp)*_xlfn.SINGLE(HM_ZD_Moho!royalty_rate_oil)</f>
        <v>0</v>
      </c>
      <c r="AE232" s="49">
        <f ca="1">_xlfn.SINGLE(HM_ZD_Moho!CA_gross_rev_oil_fp)*_xlfn.SINGLE(HM_ZD_Moho!royalty_rate_oil)</f>
        <v>0</v>
      </c>
      <c r="AF232" s="49">
        <f ca="1">_xlfn.SINGLE(HM_ZD_Moho!CA_gross_rev_oil_fp)*_xlfn.SINGLE(HM_ZD_Moho!royalty_rate_oil)</f>
        <v>0</v>
      </c>
      <c r="AG232" s="49">
        <f ca="1">_xlfn.SINGLE(HM_ZD_Moho!CA_gross_rev_oil_fp)*_xlfn.SINGLE(HM_ZD_Moho!royalty_rate_oil)</f>
        <v>0</v>
      </c>
      <c r="AH232" s="49">
        <f ca="1">_xlfn.SINGLE(HM_ZD_Moho!CA_gross_rev_oil_fp)*_xlfn.SINGLE(HM_ZD_Moho!royalty_rate_oil)</f>
        <v>0</v>
      </c>
      <c r="AI232" s="49">
        <f ca="1">_xlfn.SINGLE(HM_ZD_Moho!CA_gross_rev_oil_fp)*_xlfn.SINGLE(HM_ZD_Moho!royalty_rate_oil)</f>
        <v>0</v>
      </c>
      <c r="AJ232" s="49">
        <f ca="1">_xlfn.SINGLE(HM_ZD_Moho!CA_gross_rev_oil_fp)*_xlfn.SINGLE(HM_ZD_Moho!royalty_rate_oil)</f>
        <v>0</v>
      </c>
      <c r="AK232" s="49">
        <f ca="1">_xlfn.SINGLE(HM_ZD_Moho!CA_gross_rev_oil_fp)*_xlfn.SINGLE(HM_ZD_Moho!royalty_rate_oil)</f>
        <v>0</v>
      </c>
      <c r="AL232" s="49">
        <f ca="1">_xlfn.SINGLE(HM_ZD_Moho!CA_gross_rev_oil_fp)*_xlfn.SINGLE(HM_ZD_Moho!royalty_rate_oil)</f>
        <v>0</v>
      </c>
      <c r="AM232" s="49">
        <f ca="1">_xlfn.SINGLE(HM_ZD_Moho!CA_gross_rev_oil_fp)*_xlfn.SINGLE(HM_ZD_Moho!royalty_rate_oil)</f>
        <v>0</v>
      </c>
      <c r="AN232" s="49">
        <f ca="1">_xlfn.SINGLE(HM_ZD_Moho!CA_gross_rev_oil_fp)*_xlfn.SINGLE(HM_ZD_Moho!royalty_rate_oil)</f>
        <v>0</v>
      </c>
      <c r="AO232" s="49">
        <f ca="1">_xlfn.SINGLE(HM_ZD_Moho!CA_gross_rev_oil_fp)*_xlfn.SINGLE(HM_ZD_Moho!royalty_rate_oil)</f>
        <v>0</v>
      </c>
      <c r="AP232" s="49">
        <f ca="1">_xlfn.SINGLE(HM_ZD_Moho!CA_gross_rev_oil_fp)*_xlfn.SINGLE(HM_ZD_Moho!royalty_rate_oil)</f>
        <v>0</v>
      </c>
      <c r="AQ232" s="49">
        <f ca="1">_xlfn.SINGLE(HM_ZD_Moho!CA_gross_rev_oil_fp)*_xlfn.SINGLE(HM_ZD_Moho!royalty_rate_oil)</f>
        <v>0</v>
      </c>
      <c r="AR232" s="49">
        <f ca="1">_xlfn.SINGLE(HM_ZD_Moho!CA_gross_rev_oil_fp)*_xlfn.SINGLE(HM_ZD_Moho!royalty_rate_oil)</f>
        <v>0</v>
      </c>
      <c r="AS232" s="49">
        <f ca="1">_xlfn.SINGLE(HM_ZD_Moho!CA_gross_rev_oil_fp)*_xlfn.SINGLE(HM_ZD_Moho!royalty_rate_oil)</f>
        <v>0</v>
      </c>
      <c r="AT232" s="49">
        <f ca="1">_xlfn.SINGLE(HM_ZD_Moho!CA_gross_rev_oil_fp)*_xlfn.SINGLE(HM_ZD_Moho!royalty_rate_oil)</f>
        <v>0</v>
      </c>
      <c r="AU232" s="49">
        <f ca="1">_xlfn.SINGLE(HM_ZD_Moho!CA_gross_rev_oil_fp)*_xlfn.SINGLE(HM_ZD_Moho!royalty_rate_oil)</f>
        <v>0</v>
      </c>
      <c r="AV232" s="49">
        <f ca="1">_xlfn.SINGLE(HM_ZD_Moho!CA_gross_rev_oil_fp)*_xlfn.SINGLE(HM_ZD_Moho!royalty_rate_oil)</f>
        <v>0</v>
      </c>
      <c r="AW232" s="49">
        <f ca="1">_xlfn.SINGLE(HM_ZD_Moho!CA_gross_rev_oil_fp)*_xlfn.SINGLE(HM_ZD_Moho!royalty_rate_oil)</f>
        <v>0</v>
      </c>
      <c r="AX232" s="49">
        <f ca="1">_xlfn.SINGLE(HM_ZD_Moho!CA_gross_rev_oil_fp)*_xlfn.SINGLE(HM_ZD_Moho!royalty_rate_oil)</f>
        <v>0</v>
      </c>
      <c r="AY232" s="49">
        <f ca="1">_xlfn.SINGLE(HM_ZD_Moho!CA_gross_rev_oil_fp)*_xlfn.SINGLE(HM_ZD_Moho!royalty_rate_oil)</f>
        <v>0</v>
      </c>
      <c r="AZ232" s="49">
        <f ca="1">_xlfn.SINGLE(HM_ZD_Moho!CA_gross_rev_oil_fp)*_xlfn.SINGLE(HM_ZD_Moho!royalty_rate_oil)</f>
        <v>0</v>
      </c>
      <c r="BA232" s="49">
        <f ca="1">_xlfn.SINGLE(HM_ZD_Moho!CA_gross_rev_oil_fp)*_xlfn.SINGLE(HM_ZD_Moho!royalty_rate_oil)</f>
        <v>0</v>
      </c>
      <c r="BB232" s="49">
        <f ca="1">_xlfn.SINGLE(HM_ZD_Moho!CA_gross_rev_oil_fp)*_xlfn.SINGLE(HM_ZD_Moho!royalty_rate_oil)</f>
        <v>0</v>
      </c>
      <c r="BC232" s="49">
        <f ca="1">_xlfn.SINGLE(HM_ZD_Moho!CA_gross_rev_oil_fp)*_xlfn.SINGLE(HM_ZD_Moho!royalty_rate_oil)</f>
        <v>0</v>
      </c>
      <c r="BD232" s="49">
        <f ca="1">_xlfn.SINGLE(HM_ZD_Moho!CA_gross_rev_oil_fp)*_xlfn.SINGLE(HM_ZD_Moho!royalty_rate_oil)</f>
        <v>0</v>
      </c>
      <c r="BE232" s="49">
        <f ca="1">_xlfn.SINGLE(HM_ZD_Moho!CA_gross_rev_oil_fp)*_xlfn.SINGLE(HM_ZD_Moho!royalty_rate_oil)</f>
        <v>0</v>
      </c>
      <c r="BF232" s="49">
        <f ca="1">_xlfn.SINGLE(HM_ZD_Moho!CA_gross_rev_oil_fp)*_xlfn.SINGLE(HM_ZD_Moho!royalty_rate_oil)</f>
        <v>0</v>
      </c>
      <c r="BG232" s="49">
        <f ca="1">_xlfn.SINGLE(HM_ZD_Moho!CA_gross_rev_oil_fp)*_xlfn.SINGLE(HM_ZD_Moho!royalty_rate_oil)</f>
        <v>0</v>
      </c>
      <c r="BH232" s="49">
        <f ca="1">_xlfn.SINGLE(HM_ZD_Moho!CA_gross_rev_oil_fp)*_xlfn.SINGLE(HM_ZD_Moho!royalty_rate_oil)</f>
        <v>0</v>
      </c>
      <c r="BI232" s="49">
        <f ca="1">_xlfn.SINGLE(HM_ZD_Moho!CA_gross_rev_oil_fp)*_xlfn.SINGLE(HM_ZD_Moho!royalty_rate_oil)</f>
        <v>0</v>
      </c>
      <c r="BJ232" s="49">
        <f ca="1">_xlfn.SINGLE(HM_ZD_Moho!CA_gross_rev_oil_fp)*_xlfn.SINGLE(HM_ZD_Moho!royalty_rate_oil)</f>
        <v>0</v>
      </c>
      <c r="BK232" s="49">
        <f ca="1">_xlfn.SINGLE(HM_ZD_Moho!CA_gross_rev_oil_fp)*_xlfn.SINGLE(HM_ZD_Moho!royalty_rate_oil)</f>
        <v>0</v>
      </c>
      <c r="BL232" s="49">
        <f ca="1">_xlfn.SINGLE(HM_ZD_Moho!CA_gross_rev_oil_fp)*_xlfn.SINGLE(HM_ZD_Moho!royalty_rate_oil)</f>
        <v>0</v>
      </c>
      <c r="BM232" s="49">
        <f ca="1">_xlfn.SINGLE(HM_ZD_Moho!CA_gross_rev_oil_fp)*_xlfn.SINGLE(HM_ZD_Moho!royalty_rate_oil)</f>
        <v>0</v>
      </c>
      <c r="BN232" s="49">
        <f ca="1">_xlfn.SINGLE(HM_ZD_Moho!CA_gross_rev_oil_fp)*_xlfn.SINGLE(HM_ZD_Moho!royalty_rate_oil)</f>
        <v>0</v>
      </c>
      <c r="BO232" s="49">
        <f ca="1">_xlfn.SINGLE(HM_ZD_Moho!CA_gross_rev_oil_fp)*_xlfn.SINGLE(HM_ZD_Moho!royalty_rate_oil)</f>
        <v>0</v>
      </c>
      <c r="BP232" s="49">
        <f ca="1">_xlfn.SINGLE(HM_ZD_Moho!CA_gross_rev_oil_fp)*_xlfn.SINGLE(HM_ZD_Moho!royalty_rate_oil)</f>
        <v>0</v>
      </c>
      <c r="BQ232" s="49">
        <f ca="1">_xlfn.SINGLE(HM_ZD_Moho!CA_gross_rev_oil_fp)*_xlfn.SINGLE(HM_ZD_Moho!royalty_rate_oil)</f>
        <v>0</v>
      </c>
      <c r="BR232" s="49">
        <f ca="1">_xlfn.SINGLE(HM_ZD_Moho!CA_gross_rev_oil_fp)*_xlfn.SINGLE(HM_ZD_Moho!royalty_rate_oil)</f>
        <v>0</v>
      </c>
      <c r="BS232" s="49">
        <f ca="1">_xlfn.SINGLE(HM_ZD_Moho!CA_gross_rev_oil_fp)*_xlfn.SINGLE(HM_ZD_Moho!royalty_rate_oil)</f>
        <v>0</v>
      </c>
    </row>
    <row r="233" spans="3:71" outlineLevel="1" x14ac:dyDescent="0.2">
      <c r="D233" t="str">
        <f>HM_ZB_Nsoko!D226</f>
        <v>Redevance gazière</v>
      </c>
      <c r="I233" s="30">
        <f ca="1">SUM($L233:$BS233)</f>
        <v>0</v>
      </c>
      <c r="J233" s="26" t="s">
        <v>148</v>
      </c>
      <c r="K233" s="7" t="s">
        <v>178</v>
      </c>
      <c r="L233" s="49">
        <f ca="1">HM_ZD_AM3_2005!L214</f>
        <v>0</v>
      </c>
      <c r="M233" s="49">
        <f ca="1">HM_ZD_AM3_2005!M214</f>
        <v>0</v>
      </c>
      <c r="N233" s="49">
        <f>_xlfn.SINGLE(HM_ZD_Moho!CA_gross_rev_gas_fp)*_xlfn.SINGLE(HM_ZD_Moho!royalty_rate_gas)</f>
        <v>0</v>
      </c>
      <c r="O233" s="49">
        <f>_xlfn.SINGLE(HM_ZD_Moho!CA_gross_rev_gas_fp)*_xlfn.SINGLE(HM_ZD_Moho!royalty_rate_gas)</f>
        <v>0</v>
      </c>
      <c r="P233" s="49">
        <f>_xlfn.SINGLE(HM_ZD_Moho!CA_gross_rev_gas_fp)*_xlfn.SINGLE(HM_ZD_Moho!royalty_rate_gas)</f>
        <v>0</v>
      </c>
      <c r="Q233" s="49">
        <f>_xlfn.SINGLE(HM_ZD_Moho!CA_gross_rev_gas_fp)*_xlfn.SINGLE(HM_ZD_Moho!royalty_rate_gas)</f>
        <v>0</v>
      </c>
      <c r="R233" s="49">
        <f>_xlfn.SINGLE(HM_ZD_Moho!CA_gross_rev_gas_fp)*_xlfn.SINGLE(HM_ZD_Moho!royalty_rate_gas)</f>
        <v>0</v>
      </c>
      <c r="S233" s="49">
        <f>_xlfn.SINGLE(HM_ZD_Moho!CA_gross_rev_gas_fp)*_xlfn.SINGLE(HM_ZD_Moho!royalty_rate_gas)</f>
        <v>0</v>
      </c>
      <c r="T233" s="49">
        <f>_xlfn.SINGLE(HM_ZD_Moho!CA_gross_rev_gas_fp)*_xlfn.SINGLE(HM_ZD_Moho!royalty_rate_gas)</f>
        <v>0</v>
      </c>
      <c r="U233" s="49">
        <f>_xlfn.SINGLE(HM_ZD_Moho!CA_gross_rev_gas_fp)*_xlfn.SINGLE(HM_ZD_Moho!royalty_rate_gas)</f>
        <v>0</v>
      </c>
      <c r="V233" s="49">
        <f>_xlfn.SINGLE(HM_ZD_Moho!CA_gross_rev_gas_fp)*_xlfn.SINGLE(HM_ZD_Moho!royalty_rate_gas)</f>
        <v>0</v>
      </c>
      <c r="W233" s="49">
        <f>_xlfn.SINGLE(HM_ZD_Moho!CA_gross_rev_gas_fp)*_xlfn.SINGLE(HM_ZD_Moho!royalty_rate_gas)</f>
        <v>0</v>
      </c>
      <c r="X233" s="49">
        <f>_xlfn.SINGLE(HM_ZD_Moho!CA_gross_rev_gas_fp)*_xlfn.SINGLE(HM_ZD_Moho!royalty_rate_gas)</f>
        <v>0</v>
      </c>
      <c r="Y233" s="49">
        <f>_xlfn.SINGLE(HM_ZD_Moho!CA_gross_rev_gas_fp)*_xlfn.SINGLE(HM_ZD_Moho!royalty_rate_gas)</f>
        <v>0</v>
      </c>
      <c r="Z233" s="49">
        <f>_xlfn.SINGLE(HM_ZD_Moho!CA_gross_rev_gas_fp)*_xlfn.SINGLE(HM_ZD_Moho!royalty_rate_gas)</f>
        <v>0</v>
      </c>
      <c r="AA233" s="49">
        <f>_xlfn.SINGLE(HM_ZD_Moho!CA_gross_rev_gas_fp)*_xlfn.SINGLE(HM_ZD_Moho!royalty_rate_gas)</f>
        <v>0</v>
      </c>
      <c r="AB233" s="49">
        <f>_xlfn.SINGLE(HM_ZD_Moho!CA_gross_rev_gas_fp)*_xlfn.SINGLE(HM_ZD_Moho!royalty_rate_gas)</f>
        <v>0</v>
      </c>
      <c r="AC233" s="49">
        <f>_xlfn.SINGLE(HM_ZD_Moho!CA_gross_rev_gas_fp)*_xlfn.SINGLE(HM_ZD_Moho!royalty_rate_gas)</f>
        <v>0</v>
      </c>
      <c r="AD233" s="49">
        <f>_xlfn.SINGLE(HM_ZD_Moho!CA_gross_rev_gas_fp)*_xlfn.SINGLE(HM_ZD_Moho!royalty_rate_gas)</f>
        <v>0</v>
      </c>
      <c r="AE233" s="49">
        <f>_xlfn.SINGLE(HM_ZD_Moho!CA_gross_rev_gas_fp)*_xlfn.SINGLE(HM_ZD_Moho!royalty_rate_gas)</f>
        <v>0</v>
      </c>
      <c r="AF233" s="49">
        <f>_xlfn.SINGLE(HM_ZD_Moho!CA_gross_rev_gas_fp)*_xlfn.SINGLE(HM_ZD_Moho!royalty_rate_gas)</f>
        <v>0</v>
      </c>
      <c r="AG233" s="49">
        <f>_xlfn.SINGLE(HM_ZD_Moho!CA_gross_rev_gas_fp)*_xlfn.SINGLE(HM_ZD_Moho!royalty_rate_gas)</f>
        <v>0</v>
      </c>
      <c r="AH233" s="49">
        <f>_xlfn.SINGLE(HM_ZD_Moho!CA_gross_rev_gas_fp)*_xlfn.SINGLE(HM_ZD_Moho!royalty_rate_gas)</f>
        <v>0</v>
      </c>
      <c r="AI233" s="49">
        <f>_xlfn.SINGLE(HM_ZD_Moho!CA_gross_rev_gas_fp)*_xlfn.SINGLE(HM_ZD_Moho!royalty_rate_gas)</f>
        <v>0</v>
      </c>
      <c r="AJ233" s="49">
        <f>_xlfn.SINGLE(HM_ZD_Moho!CA_gross_rev_gas_fp)*_xlfn.SINGLE(HM_ZD_Moho!royalty_rate_gas)</f>
        <v>0</v>
      </c>
      <c r="AK233" s="49">
        <f>_xlfn.SINGLE(HM_ZD_Moho!CA_gross_rev_gas_fp)*_xlfn.SINGLE(HM_ZD_Moho!royalty_rate_gas)</f>
        <v>0</v>
      </c>
      <c r="AL233" s="49">
        <f>_xlfn.SINGLE(HM_ZD_Moho!CA_gross_rev_gas_fp)*_xlfn.SINGLE(HM_ZD_Moho!royalty_rate_gas)</f>
        <v>0</v>
      </c>
      <c r="AM233" s="49">
        <f>_xlfn.SINGLE(HM_ZD_Moho!CA_gross_rev_gas_fp)*_xlfn.SINGLE(HM_ZD_Moho!royalty_rate_gas)</f>
        <v>0</v>
      </c>
      <c r="AN233" s="49">
        <f>_xlfn.SINGLE(HM_ZD_Moho!CA_gross_rev_gas_fp)*_xlfn.SINGLE(HM_ZD_Moho!royalty_rate_gas)</f>
        <v>0</v>
      </c>
      <c r="AO233" s="49">
        <f>_xlfn.SINGLE(HM_ZD_Moho!CA_gross_rev_gas_fp)*_xlfn.SINGLE(HM_ZD_Moho!royalty_rate_gas)</f>
        <v>0</v>
      </c>
      <c r="AP233" s="49">
        <f>_xlfn.SINGLE(HM_ZD_Moho!CA_gross_rev_gas_fp)*_xlfn.SINGLE(HM_ZD_Moho!royalty_rate_gas)</f>
        <v>0</v>
      </c>
      <c r="AQ233" s="49">
        <f>_xlfn.SINGLE(HM_ZD_Moho!CA_gross_rev_gas_fp)*_xlfn.SINGLE(HM_ZD_Moho!royalty_rate_gas)</f>
        <v>0</v>
      </c>
      <c r="AR233" s="49">
        <f>_xlfn.SINGLE(HM_ZD_Moho!CA_gross_rev_gas_fp)*_xlfn.SINGLE(HM_ZD_Moho!royalty_rate_gas)</f>
        <v>0</v>
      </c>
      <c r="AS233" s="49">
        <f>_xlfn.SINGLE(HM_ZD_Moho!CA_gross_rev_gas_fp)*_xlfn.SINGLE(HM_ZD_Moho!royalty_rate_gas)</f>
        <v>0</v>
      </c>
      <c r="AT233" s="49">
        <f>_xlfn.SINGLE(HM_ZD_Moho!CA_gross_rev_gas_fp)*_xlfn.SINGLE(HM_ZD_Moho!royalty_rate_gas)</f>
        <v>0</v>
      </c>
      <c r="AU233" s="49">
        <f>_xlfn.SINGLE(HM_ZD_Moho!CA_gross_rev_gas_fp)*_xlfn.SINGLE(HM_ZD_Moho!royalty_rate_gas)</f>
        <v>0</v>
      </c>
      <c r="AV233" s="49">
        <f>_xlfn.SINGLE(HM_ZD_Moho!CA_gross_rev_gas_fp)*_xlfn.SINGLE(HM_ZD_Moho!royalty_rate_gas)</f>
        <v>0</v>
      </c>
      <c r="AW233" s="49">
        <f>_xlfn.SINGLE(HM_ZD_Moho!CA_gross_rev_gas_fp)*_xlfn.SINGLE(HM_ZD_Moho!royalty_rate_gas)</f>
        <v>0</v>
      </c>
      <c r="AX233" s="49">
        <f>_xlfn.SINGLE(HM_ZD_Moho!CA_gross_rev_gas_fp)*_xlfn.SINGLE(HM_ZD_Moho!royalty_rate_gas)</f>
        <v>0</v>
      </c>
      <c r="AY233" s="49">
        <f>_xlfn.SINGLE(HM_ZD_Moho!CA_gross_rev_gas_fp)*_xlfn.SINGLE(HM_ZD_Moho!royalty_rate_gas)</f>
        <v>0</v>
      </c>
      <c r="AZ233" s="49">
        <f>_xlfn.SINGLE(HM_ZD_Moho!CA_gross_rev_gas_fp)*_xlfn.SINGLE(HM_ZD_Moho!royalty_rate_gas)</f>
        <v>0</v>
      </c>
      <c r="BA233" s="49">
        <f>_xlfn.SINGLE(HM_ZD_Moho!CA_gross_rev_gas_fp)*_xlfn.SINGLE(HM_ZD_Moho!royalty_rate_gas)</f>
        <v>0</v>
      </c>
      <c r="BB233" s="49">
        <f>_xlfn.SINGLE(HM_ZD_Moho!CA_gross_rev_gas_fp)*_xlfn.SINGLE(HM_ZD_Moho!royalty_rate_gas)</f>
        <v>0</v>
      </c>
      <c r="BC233" s="49">
        <f>_xlfn.SINGLE(HM_ZD_Moho!CA_gross_rev_gas_fp)*_xlfn.SINGLE(HM_ZD_Moho!royalty_rate_gas)</f>
        <v>0</v>
      </c>
      <c r="BD233" s="49">
        <f>_xlfn.SINGLE(HM_ZD_Moho!CA_gross_rev_gas_fp)*_xlfn.SINGLE(HM_ZD_Moho!royalty_rate_gas)</f>
        <v>0</v>
      </c>
      <c r="BE233" s="49">
        <f>_xlfn.SINGLE(HM_ZD_Moho!CA_gross_rev_gas_fp)*_xlfn.SINGLE(HM_ZD_Moho!royalty_rate_gas)</f>
        <v>0</v>
      </c>
      <c r="BF233" s="49">
        <f>_xlfn.SINGLE(HM_ZD_Moho!CA_gross_rev_gas_fp)*_xlfn.SINGLE(HM_ZD_Moho!royalty_rate_gas)</f>
        <v>0</v>
      </c>
      <c r="BG233" s="49">
        <f>_xlfn.SINGLE(HM_ZD_Moho!CA_gross_rev_gas_fp)*_xlfn.SINGLE(HM_ZD_Moho!royalty_rate_gas)</f>
        <v>0</v>
      </c>
      <c r="BH233" s="49">
        <f>_xlfn.SINGLE(HM_ZD_Moho!CA_gross_rev_gas_fp)*_xlfn.SINGLE(HM_ZD_Moho!royalty_rate_gas)</f>
        <v>0</v>
      </c>
      <c r="BI233" s="49">
        <f>_xlfn.SINGLE(HM_ZD_Moho!CA_gross_rev_gas_fp)*_xlfn.SINGLE(HM_ZD_Moho!royalty_rate_gas)</f>
        <v>0</v>
      </c>
      <c r="BJ233" s="49">
        <f>_xlfn.SINGLE(HM_ZD_Moho!CA_gross_rev_gas_fp)*_xlfn.SINGLE(HM_ZD_Moho!royalty_rate_gas)</f>
        <v>0</v>
      </c>
      <c r="BK233" s="49">
        <f>_xlfn.SINGLE(HM_ZD_Moho!CA_gross_rev_gas_fp)*_xlfn.SINGLE(HM_ZD_Moho!royalty_rate_gas)</f>
        <v>0</v>
      </c>
      <c r="BL233" s="49">
        <f>_xlfn.SINGLE(HM_ZD_Moho!CA_gross_rev_gas_fp)*_xlfn.SINGLE(HM_ZD_Moho!royalty_rate_gas)</f>
        <v>0</v>
      </c>
      <c r="BM233" s="49">
        <f>_xlfn.SINGLE(HM_ZD_Moho!CA_gross_rev_gas_fp)*_xlfn.SINGLE(HM_ZD_Moho!royalty_rate_gas)</f>
        <v>0</v>
      </c>
      <c r="BN233" s="49">
        <f>_xlfn.SINGLE(HM_ZD_Moho!CA_gross_rev_gas_fp)*_xlfn.SINGLE(HM_ZD_Moho!royalty_rate_gas)</f>
        <v>0</v>
      </c>
      <c r="BO233" s="49">
        <f>_xlfn.SINGLE(HM_ZD_Moho!CA_gross_rev_gas_fp)*_xlfn.SINGLE(HM_ZD_Moho!royalty_rate_gas)</f>
        <v>0</v>
      </c>
      <c r="BP233" s="49">
        <f>_xlfn.SINGLE(HM_ZD_Moho!CA_gross_rev_gas_fp)*_xlfn.SINGLE(HM_ZD_Moho!royalty_rate_gas)</f>
        <v>0</v>
      </c>
      <c r="BQ233" s="49">
        <f>_xlfn.SINGLE(HM_ZD_Moho!CA_gross_rev_gas_fp)*_xlfn.SINGLE(HM_ZD_Moho!royalty_rate_gas)</f>
        <v>0</v>
      </c>
      <c r="BR233" s="49">
        <f>_xlfn.SINGLE(HM_ZD_Moho!CA_gross_rev_gas_fp)*_xlfn.SINGLE(HM_ZD_Moho!royalty_rate_gas)</f>
        <v>0</v>
      </c>
      <c r="BS233" s="49">
        <f>_xlfn.SINGLE(HM_ZD_Moho!CA_gross_rev_gas_fp)*_xlfn.SINGLE(HM_ZD_Moho!royalty_rate_gas)</f>
        <v>0</v>
      </c>
    </row>
    <row r="234" spans="3:71" outlineLevel="1" x14ac:dyDescent="0.2">
      <c r="D234" s="11" t="str">
        <f>HM_ZB_Nsoko!D227</f>
        <v>Redevance totale</v>
      </c>
      <c r="I234" s="30">
        <f ca="1">SUM($L234:$BS234)</f>
        <v>4680.3563913306816</v>
      </c>
      <c r="J234" s="26" t="s">
        <v>148</v>
      </c>
      <c r="K234" s="7" t="s">
        <v>180</v>
      </c>
      <c r="L234" s="49">
        <f ca="1">SUM(L232:L233)</f>
        <v>286.82753200305001</v>
      </c>
      <c r="M234" s="49">
        <f t="shared" ref="M234:BS234" ca="1" si="163">SUM(M232:M233)</f>
        <v>272.66642499059992</v>
      </c>
      <c r="N234" s="49">
        <f t="shared" ca="1" si="163"/>
        <v>110.25705771749999</v>
      </c>
      <c r="O234" s="49">
        <f t="shared" ca="1" si="163"/>
        <v>94.750883169299996</v>
      </c>
      <c r="P234" s="49">
        <f t="shared" ca="1" si="163"/>
        <v>265.85457837735004</v>
      </c>
      <c r="Q234" s="49">
        <f t="shared" ca="1" si="163"/>
        <v>537.88417472100002</v>
      </c>
      <c r="R234" s="49">
        <f t="shared" ca="1" si="163"/>
        <v>528.64961559075005</v>
      </c>
      <c r="S234" s="49">
        <f t="shared" ca="1" si="163"/>
        <v>315.64630890000001</v>
      </c>
      <c r="T234" s="49">
        <f t="shared" ca="1" si="163"/>
        <v>482.97173666975993</v>
      </c>
      <c r="U234" s="49">
        <f t="shared" ca="1" si="163"/>
        <v>482.12658840779994</v>
      </c>
      <c r="V234" s="49">
        <f t="shared" ca="1" si="163"/>
        <v>457.34528176363904</v>
      </c>
      <c r="W234" s="49">
        <f t="shared" ca="1" si="163"/>
        <v>433.83773428098789</v>
      </c>
      <c r="X234" s="49">
        <f t="shared" ca="1" si="163"/>
        <v>411.53847473894513</v>
      </c>
      <c r="Y234" s="49">
        <f t="shared" ca="1" si="163"/>
        <v>0</v>
      </c>
      <c r="Z234" s="49">
        <f t="shared" ca="1" si="163"/>
        <v>0</v>
      </c>
      <c r="AA234" s="49">
        <f t="shared" ca="1" si="163"/>
        <v>0</v>
      </c>
      <c r="AB234" s="49">
        <f t="shared" ca="1" si="163"/>
        <v>0</v>
      </c>
      <c r="AC234" s="49">
        <f t="shared" ca="1" si="163"/>
        <v>0</v>
      </c>
      <c r="AD234" s="49">
        <f t="shared" ca="1" si="163"/>
        <v>0</v>
      </c>
      <c r="AE234" s="49">
        <f t="shared" ca="1" si="163"/>
        <v>0</v>
      </c>
      <c r="AF234" s="49">
        <f t="shared" ca="1" si="163"/>
        <v>0</v>
      </c>
      <c r="AG234" s="49">
        <f t="shared" ca="1" si="163"/>
        <v>0</v>
      </c>
      <c r="AH234" s="49">
        <f t="shared" ca="1" si="163"/>
        <v>0</v>
      </c>
      <c r="AI234" s="49">
        <f t="shared" ca="1" si="163"/>
        <v>0</v>
      </c>
      <c r="AJ234" s="49">
        <f t="shared" ca="1" si="163"/>
        <v>0</v>
      </c>
      <c r="AK234" s="49">
        <f t="shared" ca="1" si="163"/>
        <v>0</v>
      </c>
      <c r="AL234" s="49">
        <f t="shared" ca="1" si="163"/>
        <v>0</v>
      </c>
      <c r="AM234" s="49">
        <f t="shared" ca="1" si="163"/>
        <v>0</v>
      </c>
      <c r="AN234" s="49">
        <f t="shared" ca="1" si="163"/>
        <v>0</v>
      </c>
      <c r="AO234" s="49">
        <f t="shared" ca="1" si="163"/>
        <v>0</v>
      </c>
      <c r="AP234" s="49">
        <f t="shared" ca="1" si="163"/>
        <v>0</v>
      </c>
      <c r="AQ234" s="49">
        <f t="shared" ca="1" si="163"/>
        <v>0</v>
      </c>
      <c r="AR234" s="49">
        <f t="shared" ca="1" si="163"/>
        <v>0</v>
      </c>
      <c r="AS234" s="49">
        <f t="shared" ca="1" si="163"/>
        <v>0</v>
      </c>
      <c r="AT234" s="49">
        <f t="shared" ca="1" si="163"/>
        <v>0</v>
      </c>
      <c r="AU234" s="49">
        <f t="shared" ca="1" si="163"/>
        <v>0</v>
      </c>
      <c r="AV234" s="49">
        <f t="shared" ca="1" si="163"/>
        <v>0</v>
      </c>
      <c r="AW234" s="49">
        <f t="shared" ca="1" si="163"/>
        <v>0</v>
      </c>
      <c r="AX234" s="49">
        <f t="shared" ca="1" si="163"/>
        <v>0</v>
      </c>
      <c r="AY234" s="49">
        <f t="shared" ca="1" si="163"/>
        <v>0</v>
      </c>
      <c r="AZ234" s="49">
        <f t="shared" ca="1" si="163"/>
        <v>0</v>
      </c>
      <c r="BA234" s="49">
        <f t="shared" ca="1" si="163"/>
        <v>0</v>
      </c>
      <c r="BB234" s="49">
        <f t="shared" ca="1" si="163"/>
        <v>0</v>
      </c>
      <c r="BC234" s="49">
        <f t="shared" ca="1" si="163"/>
        <v>0</v>
      </c>
      <c r="BD234" s="49">
        <f t="shared" ca="1" si="163"/>
        <v>0</v>
      </c>
      <c r="BE234" s="49">
        <f t="shared" ca="1" si="163"/>
        <v>0</v>
      </c>
      <c r="BF234" s="49">
        <f t="shared" ca="1" si="163"/>
        <v>0</v>
      </c>
      <c r="BG234" s="49">
        <f t="shared" ca="1" si="163"/>
        <v>0</v>
      </c>
      <c r="BH234" s="49">
        <f t="shared" ca="1" si="163"/>
        <v>0</v>
      </c>
      <c r="BI234" s="49">
        <f t="shared" ca="1" si="163"/>
        <v>0</v>
      </c>
      <c r="BJ234" s="49">
        <f t="shared" ca="1" si="163"/>
        <v>0</v>
      </c>
      <c r="BK234" s="49">
        <f t="shared" ca="1" si="163"/>
        <v>0</v>
      </c>
      <c r="BL234" s="49">
        <f t="shared" ca="1" si="163"/>
        <v>0</v>
      </c>
      <c r="BM234" s="49">
        <f t="shared" ca="1" si="163"/>
        <v>0</v>
      </c>
      <c r="BN234" s="49">
        <f t="shared" ca="1" si="163"/>
        <v>0</v>
      </c>
      <c r="BO234" s="49">
        <f t="shared" ca="1" si="163"/>
        <v>0</v>
      </c>
      <c r="BP234" s="49">
        <f t="shared" ca="1" si="163"/>
        <v>0</v>
      </c>
      <c r="BQ234" s="49">
        <f t="shared" ca="1" si="163"/>
        <v>0</v>
      </c>
      <c r="BR234" s="49">
        <f t="shared" ca="1" si="163"/>
        <v>0</v>
      </c>
      <c r="BS234" s="49">
        <f t="shared" ca="1" si="163"/>
        <v>0</v>
      </c>
    </row>
    <row r="235" spans="3:71" outlineLevel="1" x14ac:dyDescent="0.2">
      <c r="J235" s="26"/>
      <c r="L235" s="55"/>
      <c r="M235" s="55"/>
      <c r="N235" s="55"/>
      <c r="O235" s="55"/>
      <c r="P235" s="55"/>
      <c r="Q235" s="55"/>
      <c r="R235" s="55"/>
      <c r="S235" s="55"/>
      <c r="T235" s="55"/>
      <c r="U235" s="55"/>
      <c r="V235" s="55"/>
      <c r="W235" s="55"/>
      <c r="X235" s="55"/>
      <c r="Y235" s="55"/>
      <c r="Z235" s="55"/>
      <c r="AA235" s="55"/>
      <c r="AB235" s="55"/>
      <c r="AC235" s="55"/>
      <c r="AD235" s="55"/>
      <c r="AE235" s="55"/>
      <c r="AF235" s="55"/>
      <c r="AG235" s="55"/>
      <c r="AH235" s="55"/>
      <c r="AI235" s="55"/>
      <c r="AJ235" s="55"/>
      <c r="AK235" s="55"/>
      <c r="AL235" s="55"/>
      <c r="AM235" s="55"/>
      <c r="AN235" s="55"/>
      <c r="AO235" s="55"/>
      <c r="AP235" s="55"/>
      <c r="AQ235" s="55"/>
      <c r="AR235" s="55"/>
      <c r="AS235" s="55"/>
      <c r="AT235" s="55"/>
      <c r="AU235" s="55"/>
      <c r="AV235" s="55"/>
      <c r="AW235" s="55"/>
      <c r="AX235" s="55"/>
      <c r="AY235" s="55"/>
      <c r="AZ235" s="55"/>
      <c r="BA235" s="55"/>
      <c r="BB235" s="55"/>
      <c r="BC235" s="55"/>
      <c r="BD235" s="55"/>
      <c r="BE235" s="55"/>
      <c r="BF235" s="55"/>
      <c r="BG235" s="55"/>
      <c r="BH235" s="55"/>
      <c r="BI235" s="55"/>
      <c r="BJ235" s="55"/>
      <c r="BK235" s="55"/>
      <c r="BL235" s="55"/>
      <c r="BM235" s="55"/>
      <c r="BN235" s="55"/>
      <c r="BO235" s="55"/>
      <c r="BP235" s="55"/>
      <c r="BQ235" s="55"/>
      <c r="BR235" s="55"/>
      <c r="BS235" s="55"/>
    </row>
    <row r="236" spans="3:71" outlineLevel="1" x14ac:dyDescent="0.2">
      <c r="J236" s="26"/>
      <c r="L236" s="55"/>
      <c r="M236" s="55"/>
      <c r="N236" s="55"/>
      <c r="O236" s="55"/>
      <c r="P236" s="55"/>
      <c r="Q236" s="55"/>
      <c r="R236" s="55"/>
      <c r="S236" s="55"/>
      <c r="T236" s="55"/>
      <c r="U236" s="55"/>
      <c r="V236" s="55"/>
      <c r="W236" s="55"/>
      <c r="X236" s="55"/>
      <c r="Y236" s="55"/>
      <c r="Z236" s="55"/>
      <c r="AA236" s="55"/>
      <c r="AB236" s="55"/>
      <c r="AC236" s="55"/>
      <c r="AD236" s="55"/>
      <c r="AE236" s="55"/>
      <c r="AF236" s="55"/>
      <c r="AG236" s="55"/>
      <c r="AH236" s="55"/>
      <c r="AI236" s="55"/>
      <c r="AJ236" s="55"/>
      <c r="AK236" s="55"/>
      <c r="AL236" s="55"/>
      <c r="AM236" s="55"/>
      <c r="AN236" s="55"/>
      <c r="AO236" s="55"/>
      <c r="AP236" s="55"/>
      <c r="AQ236" s="55"/>
      <c r="AR236" s="55"/>
      <c r="AS236" s="55"/>
      <c r="AT236" s="55"/>
      <c r="AU236" s="55"/>
      <c r="AV236" s="55"/>
      <c r="AW236" s="55"/>
      <c r="AX236" s="55"/>
      <c r="AY236" s="55"/>
      <c r="AZ236" s="55"/>
      <c r="BA236" s="55"/>
      <c r="BB236" s="55"/>
      <c r="BC236" s="55"/>
      <c r="BD236" s="55"/>
      <c r="BE236" s="55"/>
      <c r="BF236" s="55"/>
      <c r="BG236" s="55"/>
      <c r="BH236" s="55"/>
      <c r="BI236" s="55"/>
      <c r="BJ236" s="55"/>
      <c r="BK236" s="55"/>
      <c r="BL236" s="55"/>
      <c r="BM236" s="55"/>
      <c r="BN236" s="55"/>
      <c r="BO236" s="55"/>
      <c r="BP236" s="55"/>
      <c r="BQ236" s="55"/>
      <c r="BR236" s="55"/>
      <c r="BS236" s="55"/>
    </row>
    <row r="237" spans="3:71" outlineLevel="1" x14ac:dyDescent="0.2">
      <c r="C237" s="11" t="str">
        <f>HM_ZB_Nsoko!C230</f>
        <v>Récupération des coûts</v>
      </c>
      <c r="J237" s="26"/>
      <c r="L237" s="55"/>
      <c r="M237" s="55"/>
      <c r="N237" s="55"/>
      <c r="O237" s="55"/>
      <c r="P237" s="55"/>
      <c r="Q237" s="55"/>
      <c r="R237" s="55"/>
      <c r="S237" s="55"/>
      <c r="T237" s="55"/>
      <c r="U237" s="55"/>
      <c r="V237" s="55"/>
      <c r="W237" s="55"/>
      <c r="X237" s="55"/>
      <c r="Y237" s="55"/>
      <c r="Z237" s="55"/>
      <c r="AA237" s="55"/>
      <c r="AB237" s="55"/>
      <c r="AC237" s="55"/>
      <c r="AD237" s="55"/>
      <c r="AE237" s="55"/>
      <c r="AF237" s="55"/>
      <c r="AG237" s="55"/>
      <c r="AH237" s="55"/>
      <c r="AI237" s="55"/>
      <c r="AJ237" s="55"/>
      <c r="AK237" s="55"/>
      <c r="AL237" s="55"/>
      <c r="AM237" s="55"/>
      <c r="AN237" s="55"/>
      <c r="AO237" s="55"/>
      <c r="AP237" s="55"/>
      <c r="AQ237" s="55"/>
      <c r="AR237" s="55"/>
      <c r="AS237" s="55"/>
      <c r="AT237" s="55"/>
      <c r="AU237" s="55"/>
      <c r="AV237" s="55"/>
      <c r="AW237" s="55"/>
      <c r="AX237" s="55"/>
      <c r="AY237" s="55"/>
      <c r="AZ237" s="55"/>
      <c r="BA237" s="55"/>
      <c r="BB237" s="55"/>
      <c r="BC237" s="55"/>
      <c r="BD237" s="55"/>
      <c r="BE237" s="55"/>
      <c r="BF237" s="55"/>
      <c r="BG237" s="55"/>
      <c r="BH237" s="55"/>
      <c r="BI237" s="55"/>
      <c r="BJ237" s="55"/>
      <c r="BK237" s="55"/>
      <c r="BL237" s="55"/>
      <c r="BM237" s="55"/>
      <c r="BN237" s="55"/>
      <c r="BO237" s="55"/>
      <c r="BP237" s="55"/>
      <c r="BQ237" s="55"/>
      <c r="BR237" s="55"/>
      <c r="BS237" s="55"/>
    </row>
    <row r="238" spans="3:71" outlineLevel="1" x14ac:dyDescent="0.2">
      <c r="D238" s="11" t="str">
        <f>HM_ZB_Nsoko!D231</f>
        <v>Ensemble des coûts récupérables</v>
      </c>
      <c r="J238" s="26"/>
      <c r="L238" s="55"/>
      <c r="M238" s="55"/>
      <c r="N238" s="55"/>
      <c r="O238" s="55"/>
      <c r="P238" s="55"/>
      <c r="Q238" s="55"/>
      <c r="R238" s="55"/>
      <c r="S238" s="55"/>
      <c r="T238" s="55"/>
      <c r="U238" s="55"/>
      <c r="V238" s="55"/>
      <c r="W238" s="55"/>
      <c r="X238" s="55"/>
      <c r="Y238" s="55"/>
      <c r="Z238" s="55"/>
      <c r="AA238" s="55"/>
      <c r="AB238" s="55"/>
      <c r="AC238" s="55"/>
      <c r="AD238" s="55"/>
      <c r="AE238" s="55"/>
      <c r="AF238" s="55"/>
      <c r="AG238" s="55"/>
      <c r="AH238" s="55"/>
      <c r="AI238" s="55"/>
      <c r="AJ238" s="55"/>
      <c r="AK238" s="55"/>
      <c r="AL238" s="55"/>
      <c r="AM238" s="55"/>
      <c r="AN238" s="55"/>
      <c r="AO238" s="55"/>
      <c r="AP238" s="55"/>
      <c r="AQ238" s="55"/>
      <c r="AR238" s="55"/>
      <c r="AS238" s="55"/>
      <c r="AT238" s="55"/>
      <c r="AU238" s="55"/>
      <c r="AV238" s="55"/>
      <c r="AW238" s="55"/>
      <c r="AX238" s="55"/>
      <c r="AY238" s="55"/>
      <c r="AZ238" s="55"/>
      <c r="BA238" s="55"/>
      <c r="BB238" s="55"/>
      <c r="BC238" s="55"/>
      <c r="BD238" s="55"/>
      <c r="BE238" s="55"/>
      <c r="BF238" s="55"/>
      <c r="BG238" s="55"/>
      <c r="BH238" s="55"/>
      <c r="BI238" s="55"/>
      <c r="BJ238" s="55"/>
      <c r="BK238" s="55"/>
      <c r="BL238" s="55"/>
      <c r="BM238" s="55"/>
      <c r="BN238" s="55"/>
      <c r="BO238" s="55"/>
      <c r="BP238" s="55"/>
      <c r="BQ238" s="55"/>
      <c r="BR238" s="55"/>
      <c r="BS238" s="55"/>
    </row>
    <row r="239" spans="3:71" outlineLevel="1" x14ac:dyDescent="0.2">
      <c r="D239" s="50" t="str">
        <f>HM_ZB_Nsoko!D232</f>
        <v>Opex</v>
      </c>
      <c r="I239" s="30">
        <f ca="1">SUM($L239:$BS239)</f>
        <v>4275.8653539520001</v>
      </c>
      <c r="J239" s="26" t="s">
        <v>148</v>
      </c>
      <c r="K239" s="7" t="s">
        <v>196</v>
      </c>
      <c r="L239" s="49" cm="1">
        <f t="array" aca="1" ref="L239:BS239" ca="1">HM_ZD_Moho!CA_opex_total_nom</f>
        <v>172.67099999999999</v>
      </c>
      <c r="M239" s="49">
        <f ca="1"/>
        <v>220.01900000000001</v>
      </c>
      <c r="N239" s="49">
        <f ca="1"/>
        <v>282.71699999999998</v>
      </c>
      <c r="O239" s="49">
        <f ca="1"/>
        <v>470.46699999999998</v>
      </c>
      <c r="P239" s="49">
        <f ca="1"/>
        <v>868.58600000000001</v>
      </c>
      <c r="Q239" s="49">
        <f ca="1"/>
        <v>248.2</v>
      </c>
      <c r="R239" s="49">
        <f ca="1"/>
        <v>281.8</v>
      </c>
      <c r="S239" s="49">
        <f ca="1"/>
        <v>286.3</v>
      </c>
      <c r="T239" s="49">
        <f ca="1"/>
        <v>283.39999999999998</v>
      </c>
      <c r="U239" s="49">
        <f ca="1"/>
        <v>286.21200000000005</v>
      </c>
      <c r="V239" s="49">
        <f ca="1"/>
        <v>289.02312000000001</v>
      </c>
      <c r="W239" s="49">
        <f ca="1"/>
        <v>291.8322</v>
      </c>
      <c r="X239" s="49">
        <f ca="1"/>
        <v>294.638033952</v>
      </c>
      <c r="Y239" s="49">
        <f ca="1"/>
        <v>0</v>
      </c>
      <c r="Z239" s="49">
        <f ca="1"/>
        <v>0</v>
      </c>
      <c r="AA239" s="49">
        <f ca="1"/>
        <v>0</v>
      </c>
      <c r="AB239" s="49">
        <f ca="1"/>
        <v>0</v>
      </c>
      <c r="AC239" s="49">
        <f ca="1"/>
        <v>0</v>
      </c>
      <c r="AD239" s="49">
        <f ca="1"/>
        <v>0</v>
      </c>
      <c r="AE239" s="49">
        <f ca="1"/>
        <v>0</v>
      </c>
      <c r="AF239" s="49">
        <f ca="1"/>
        <v>0</v>
      </c>
      <c r="AG239" s="49">
        <f ca="1"/>
        <v>0</v>
      </c>
      <c r="AH239" s="49">
        <f ca="1"/>
        <v>0</v>
      </c>
      <c r="AI239" s="49">
        <f ca="1"/>
        <v>0</v>
      </c>
      <c r="AJ239" s="49">
        <f ca="1"/>
        <v>0</v>
      </c>
      <c r="AK239" s="49">
        <f ca="1"/>
        <v>0</v>
      </c>
      <c r="AL239" s="49">
        <f ca="1"/>
        <v>0</v>
      </c>
      <c r="AM239" s="49">
        <f ca="1"/>
        <v>0</v>
      </c>
      <c r="AN239" s="49">
        <f ca="1"/>
        <v>0</v>
      </c>
      <c r="AO239" s="49">
        <f ca="1"/>
        <v>0</v>
      </c>
      <c r="AP239" s="49">
        <f ca="1"/>
        <v>0</v>
      </c>
      <c r="AQ239" s="49">
        <f ca="1"/>
        <v>0</v>
      </c>
      <c r="AR239" s="49">
        <f ca="1"/>
        <v>0</v>
      </c>
      <c r="AS239" s="49">
        <f ca="1"/>
        <v>0</v>
      </c>
      <c r="AT239" s="49">
        <f ca="1"/>
        <v>0</v>
      </c>
      <c r="AU239" s="49">
        <f ca="1"/>
        <v>0</v>
      </c>
      <c r="AV239" s="49">
        <f ca="1"/>
        <v>0</v>
      </c>
      <c r="AW239" s="49">
        <f ca="1"/>
        <v>0</v>
      </c>
      <c r="AX239" s="49">
        <f ca="1"/>
        <v>0</v>
      </c>
      <c r="AY239" s="49">
        <f ca="1"/>
        <v>0</v>
      </c>
      <c r="AZ239" s="49">
        <f ca="1"/>
        <v>0</v>
      </c>
      <c r="BA239" s="49">
        <f ca="1"/>
        <v>0</v>
      </c>
      <c r="BB239" s="49">
        <f ca="1"/>
        <v>0</v>
      </c>
      <c r="BC239" s="49">
        <f ca="1"/>
        <v>0</v>
      </c>
      <c r="BD239" s="49">
        <f ca="1"/>
        <v>0</v>
      </c>
      <c r="BE239" s="49">
        <f ca="1"/>
        <v>0</v>
      </c>
      <c r="BF239" s="49">
        <f ca="1"/>
        <v>0</v>
      </c>
      <c r="BG239" s="49">
        <f ca="1"/>
        <v>0</v>
      </c>
      <c r="BH239" s="49">
        <f ca="1"/>
        <v>0</v>
      </c>
      <c r="BI239" s="49">
        <f ca="1"/>
        <v>0</v>
      </c>
      <c r="BJ239" s="49">
        <f ca="1"/>
        <v>0</v>
      </c>
      <c r="BK239" s="49">
        <f ca="1"/>
        <v>0</v>
      </c>
      <c r="BL239" s="49">
        <f ca="1"/>
        <v>0</v>
      </c>
      <c r="BM239" s="49">
        <f ca="1"/>
        <v>0</v>
      </c>
      <c r="BN239" s="49">
        <f ca="1"/>
        <v>0</v>
      </c>
      <c r="BO239" s="49">
        <f ca="1"/>
        <v>0</v>
      </c>
      <c r="BP239" s="49">
        <f ca="1"/>
        <v>0</v>
      </c>
      <c r="BQ239" s="49">
        <f ca="1"/>
        <v>0</v>
      </c>
      <c r="BR239" s="49">
        <f ca="1"/>
        <v>0</v>
      </c>
      <c r="BS239" s="49">
        <f ca="1"/>
        <v>0</v>
      </c>
    </row>
    <row r="240" spans="3:71" outlineLevel="1" x14ac:dyDescent="0.2">
      <c r="D240" s="50" t="str">
        <f>HM_ZB_Nsoko!D233</f>
        <v>Coûts PID</v>
      </c>
      <c r="I240" s="30">
        <f t="shared" ref="I240:I245" ca="1" si="164">SUM($L240:$BS240)</f>
        <v>312.02375942204549</v>
      </c>
      <c r="J240" s="26" t="s">
        <v>148</v>
      </c>
      <c r="K240" s="7" t="s">
        <v>197</v>
      </c>
      <c r="L240" s="49" cm="1">
        <f t="array" aca="1" ref="L240:BS240" ca="1">HM_ZD_Moho!CA_pid_fees</f>
        <v>19.121835466870003</v>
      </c>
      <c r="M240" s="49">
        <f ca="1"/>
        <v>18.177761666039995</v>
      </c>
      <c r="N240" s="49">
        <f ca="1"/>
        <v>7.3504705144999996</v>
      </c>
      <c r="O240" s="49">
        <f ca="1"/>
        <v>6.3167255446199997</v>
      </c>
      <c r="P240" s="49">
        <f ca="1"/>
        <v>17.723638558490006</v>
      </c>
      <c r="Q240" s="49">
        <f ca="1"/>
        <v>35.858944981400008</v>
      </c>
      <c r="R240" s="49">
        <f ca="1"/>
        <v>35.243307706050004</v>
      </c>
      <c r="S240" s="49">
        <f ca="1"/>
        <v>21.043087260000004</v>
      </c>
      <c r="T240" s="49">
        <f ca="1"/>
        <v>32.198115777984</v>
      </c>
      <c r="U240" s="49">
        <f ca="1"/>
        <v>32.141772560519996</v>
      </c>
      <c r="V240" s="49">
        <f ca="1"/>
        <v>30.489685450909271</v>
      </c>
      <c r="W240" s="49">
        <f ca="1"/>
        <v>28.922515618732529</v>
      </c>
      <c r="X240" s="49">
        <f ca="1"/>
        <v>27.435898315929677</v>
      </c>
      <c r="Y240" s="49">
        <f ca="1"/>
        <v>0</v>
      </c>
      <c r="Z240" s="49">
        <f ca="1"/>
        <v>0</v>
      </c>
      <c r="AA240" s="49">
        <f ca="1"/>
        <v>0</v>
      </c>
      <c r="AB240" s="49">
        <f ca="1"/>
        <v>0</v>
      </c>
      <c r="AC240" s="49">
        <f ca="1"/>
        <v>0</v>
      </c>
      <c r="AD240" s="49">
        <f ca="1"/>
        <v>0</v>
      </c>
      <c r="AE240" s="49">
        <f ca="1"/>
        <v>0</v>
      </c>
      <c r="AF240" s="49">
        <f ca="1"/>
        <v>0</v>
      </c>
      <c r="AG240" s="49">
        <f ca="1"/>
        <v>0</v>
      </c>
      <c r="AH240" s="49">
        <f ca="1"/>
        <v>0</v>
      </c>
      <c r="AI240" s="49">
        <f ca="1"/>
        <v>0</v>
      </c>
      <c r="AJ240" s="49">
        <f ca="1"/>
        <v>0</v>
      </c>
      <c r="AK240" s="49">
        <f ca="1"/>
        <v>0</v>
      </c>
      <c r="AL240" s="49">
        <f ca="1"/>
        <v>0</v>
      </c>
      <c r="AM240" s="49">
        <f ca="1"/>
        <v>0</v>
      </c>
      <c r="AN240" s="49">
        <f ca="1"/>
        <v>0</v>
      </c>
      <c r="AO240" s="49">
        <f ca="1"/>
        <v>0</v>
      </c>
      <c r="AP240" s="49">
        <f ca="1"/>
        <v>0</v>
      </c>
      <c r="AQ240" s="49">
        <f ca="1"/>
        <v>0</v>
      </c>
      <c r="AR240" s="49">
        <f ca="1"/>
        <v>0</v>
      </c>
      <c r="AS240" s="49">
        <f ca="1"/>
        <v>0</v>
      </c>
      <c r="AT240" s="49">
        <f ca="1"/>
        <v>0</v>
      </c>
      <c r="AU240" s="49">
        <f ca="1"/>
        <v>0</v>
      </c>
      <c r="AV240" s="49">
        <f ca="1"/>
        <v>0</v>
      </c>
      <c r="AW240" s="49">
        <f ca="1"/>
        <v>0</v>
      </c>
      <c r="AX240" s="49">
        <f ca="1"/>
        <v>0</v>
      </c>
      <c r="AY240" s="49">
        <f ca="1"/>
        <v>0</v>
      </c>
      <c r="AZ240" s="49">
        <f ca="1"/>
        <v>0</v>
      </c>
      <c r="BA240" s="49">
        <f ca="1"/>
        <v>0</v>
      </c>
      <c r="BB240" s="49">
        <f ca="1"/>
        <v>0</v>
      </c>
      <c r="BC240" s="49">
        <f ca="1"/>
        <v>0</v>
      </c>
      <c r="BD240" s="49">
        <f ca="1"/>
        <v>0</v>
      </c>
      <c r="BE240" s="49">
        <f ca="1"/>
        <v>0</v>
      </c>
      <c r="BF240" s="49">
        <f ca="1"/>
        <v>0</v>
      </c>
      <c r="BG240" s="49">
        <f ca="1"/>
        <v>0</v>
      </c>
      <c r="BH240" s="49">
        <f ca="1"/>
        <v>0</v>
      </c>
      <c r="BI240" s="49">
        <f ca="1"/>
        <v>0</v>
      </c>
      <c r="BJ240" s="49">
        <f ca="1"/>
        <v>0</v>
      </c>
      <c r="BK240" s="49">
        <f ca="1"/>
        <v>0</v>
      </c>
      <c r="BL240" s="49">
        <f ca="1"/>
        <v>0</v>
      </c>
      <c r="BM240" s="49">
        <f ca="1"/>
        <v>0</v>
      </c>
      <c r="BN240" s="49">
        <f ca="1"/>
        <v>0</v>
      </c>
      <c r="BO240" s="49">
        <f ca="1"/>
        <v>0</v>
      </c>
      <c r="BP240" s="49">
        <f ca="1"/>
        <v>0</v>
      </c>
      <c r="BQ240" s="49">
        <f ca="1"/>
        <v>0</v>
      </c>
      <c r="BR240" s="49">
        <f ca="1"/>
        <v>0</v>
      </c>
      <c r="BS240" s="49">
        <f ca="1"/>
        <v>0</v>
      </c>
    </row>
    <row r="241" spans="4:71" outlineLevel="1" x14ac:dyDescent="0.2">
      <c r="D241" s="50" t="str">
        <f>HM_ZB_Nsoko!D234</f>
        <v>Investissement-Développement</v>
      </c>
      <c r="I241" s="30">
        <f t="shared" ca="1" si="164"/>
        <v>10913.591</v>
      </c>
      <c r="J241" s="26" t="s">
        <v>148</v>
      </c>
      <c r="K241" s="7" t="s">
        <v>198</v>
      </c>
      <c r="L241" s="49" cm="1">
        <f t="array" aca="1" ref="L241:BS241" ca="1">HM_ZD_Moho!CA_devex_nom</f>
        <v>1286.7819999999999</v>
      </c>
      <c r="M241" s="49">
        <f ca="1"/>
        <v>2118.212</v>
      </c>
      <c r="N241" s="49">
        <f ca="1"/>
        <v>3130.5740000000001</v>
      </c>
      <c r="O241" s="49">
        <f ca="1"/>
        <v>2571.201</v>
      </c>
      <c r="P241" s="49">
        <f ca="1"/>
        <v>1153.232</v>
      </c>
      <c r="Q241" s="49">
        <f ca="1"/>
        <v>653.59</v>
      </c>
      <c r="R241" s="49">
        <f ca="1"/>
        <v>0</v>
      </c>
      <c r="S241" s="49">
        <f ca="1"/>
        <v>0</v>
      </c>
      <c r="T241" s="49">
        <f ca="1"/>
        <v>0</v>
      </c>
      <c r="U241" s="49">
        <f ca="1"/>
        <v>0</v>
      </c>
      <c r="V241" s="49">
        <f ca="1"/>
        <v>0</v>
      </c>
      <c r="W241" s="49">
        <f ca="1"/>
        <v>0</v>
      </c>
      <c r="X241" s="49">
        <f ca="1"/>
        <v>0</v>
      </c>
      <c r="Y241" s="49">
        <f ca="1"/>
        <v>0</v>
      </c>
      <c r="Z241" s="49">
        <f ca="1"/>
        <v>0</v>
      </c>
      <c r="AA241" s="49">
        <f ca="1"/>
        <v>0</v>
      </c>
      <c r="AB241" s="49">
        <f ca="1"/>
        <v>0</v>
      </c>
      <c r="AC241" s="49">
        <f ca="1"/>
        <v>0</v>
      </c>
      <c r="AD241" s="49">
        <f ca="1"/>
        <v>0</v>
      </c>
      <c r="AE241" s="49">
        <f ca="1"/>
        <v>0</v>
      </c>
      <c r="AF241" s="49">
        <f ca="1"/>
        <v>0</v>
      </c>
      <c r="AG241" s="49">
        <f ca="1"/>
        <v>0</v>
      </c>
      <c r="AH241" s="49">
        <f ca="1"/>
        <v>0</v>
      </c>
      <c r="AI241" s="49">
        <f ca="1"/>
        <v>0</v>
      </c>
      <c r="AJ241" s="49">
        <f ca="1"/>
        <v>0</v>
      </c>
      <c r="AK241" s="49">
        <f ca="1"/>
        <v>0</v>
      </c>
      <c r="AL241" s="49">
        <f ca="1"/>
        <v>0</v>
      </c>
      <c r="AM241" s="49">
        <f ca="1"/>
        <v>0</v>
      </c>
      <c r="AN241" s="49">
        <f ca="1"/>
        <v>0</v>
      </c>
      <c r="AO241" s="49">
        <f ca="1"/>
        <v>0</v>
      </c>
      <c r="AP241" s="49">
        <f ca="1"/>
        <v>0</v>
      </c>
      <c r="AQ241" s="49">
        <f ca="1"/>
        <v>0</v>
      </c>
      <c r="AR241" s="49">
        <f ca="1"/>
        <v>0</v>
      </c>
      <c r="AS241" s="49">
        <f ca="1"/>
        <v>0</v>
      </c>
      <c r="AT241" s="49">
        <f ca="1"/>
        <v>0</v>
      </c>
      <c r="AU241" s="49">
        <f ca="1"/>
        <v>0</v>
      </c>
      <c r="AV241" s="49">
        <f ca="1"/>
        <v>0</v>
      </c>
      <c r="AW241" s="49">
        <f ca="1"/>
        <v>0</v>
      </c>
      <c r="AX241" s="49">
        <f ca="1"/>
        <v>0</v>
      </c>
      <c r="AY241" s="49">
        <f ca="1"/>
        <v>0</v>
      </c>
      <c r="AZ241" s="49">
        <f ca="1"/>
        <v>0</v>
      </c>
      <c r="BA241" s="49">
        <f ca="1"/>
        <v>0</v>
      </c>
      <c r="BB241" s="49">
        <f ca="1"/>
        <v>0</v>
      </c>
      <c r="BC241" s="49">
        <f ca="1"/>
        <v>0</v>
      </c>
      <c r="BD241" s="49">
        <f ca="1"/>
        <v>0</v>
      </c>
      <c r="BE241" s="49">
        <f ca="1"/>
        <v>0</v>
      </c>
      <c r="BF241" s="49">
        <f ca="1"/>
        <v>0</v>
      </c>
      <c r="BG241" s="49">
        <f ca="1"/>
        <v>0</v>
      </c>
      <c r="BH241" s="49">
        <f ca="1"/>
        <v>0</v>
      </c>
      <c r="BI241" s="49">
        <f ca="1"/>
        <v>0</v>
      </c>
      <c r="BJ241" s="49">
        <f ca="1"/>
        <v>0</v>
      </c>
      <c r="BK241" s="49">
        <f ca="1"/>
        <v>0</v>
      </c>
      <c r="BL241" s="49">
        <f ca="1"/>
        <v>0</v>
      </c>
      <c r="BM241" s="49">
        <f ca="1"/>
        <v>0</v>
      </c>
      <c r="BN241" s="49">
        <f ca="1"/>
        <v>0</v>
      </c>
      <c r="BO241" s="49">
        <f ca="1"/>
        <v>0</v>
      </c>
      <c r="BP241" s="49">
        <f ca="1"/>
        <v>0</v>
      </c>
      <c r="BQ241" s="49">
        <f ca="1"/>
        <v>0</v>
      </c>
      <c r="BR241" s="49">
        <f ca="1"/>
        <v>0</v>
      </c>
      <c r="BS241" s="49">
        <f ca="1"/>
        <v>0</v>
      </c>
    </row>
    <row r="242" spans="4:71" outlineLevel="1" x14ac:dyDescent="0.2">
      <c r="D242" s="50" t="str">
        <f>HM_ZB_Nsoko!D235</f>
        <v>Investissement -Dépenses d'exploration</v>
      </c>
      <c r="I242" s="30">
        <f t="shared" ca="1" si="164"/>
        <v>0</v>
      </c>
      <c r="J242" s="26" t="s">
        <v>148</v>
      </c>
      <c r="K242" s="7" t="s">
        <v>199</v>
      </c>
      <c r="L242" s="49" cm="1">
        <f t="array" aca="1" ref="L242:BS242" ca="1">HM_ZD_Moho!CA_expex_nom*recov_EandA_toggle</f>
        <v>0</v>
      </c>
      <c r="M242" s="49">
        <f ca="1"/>
        <v>0</v>
      </c>
      <c r="N242" s="49">
        <f ca="1"/>
        <v>0</v>
      </c>
      <c r="O242" s="49">
        <f ca="1"/>
        <v>0</v>
      </c>
      <c r="P242" s="49">
        <f ca="1"/>
        <v>0</v>
      </c>
      <c r="Q242" s="49">
        <f ca="1"/>
        <v>0</v>
      </c>
      <c r="R242" s="49">
        <f ca="1"/>
        <v>0</v>
      </c>
      <c r="S242" s="49">
        <f ca="1"/>
        <v>0</v>
      </c>
      <c r="T242" s="49">
        <f ca="1"/>
        <v>0</v>
      </c>
      <c r="U242" s="49">
        <f ca="1"/>
        <v>0</v>
      </c>
      <c r="V242" s="49">
        <f ca="1"/>
        <v>0</v>
      </c>
      <c r="W242" s="49">
        <f ca="1"/>
        <v>0</v>
      </c>
      <c r="X242" s="49">
        <f ca="1"/>
        <v>0</v>
      </c>
      <c r="Y242" s="49">
        <f ca="1"/>
        <v>0</v>
      </c>
      <c r="Z242" s="49">
        <f ca="1"/>
        <v>0</v>
      </c>
      <c r="AA242" s="49">
        <f ca="1"/>
        <v>0</v>
      </c>
      <c r="AB242" s="49">
        <f ca="1"/>
        <v>0</v>
      </c>
      <c r="AC242" s="49">
        <f ca="1"/>
        <v>0</v>
      </c>
      <c r="AD242" s="49">
        <f ca="1"/>
        <v>0</v>
      </c>
      <c r="AE242" s="49">
        <f ca="1"/>
        <v>0</v>
      </c>
      <c r="AF242" s="49">
        <f ca="1"/>
        <v>0</v>
      </c>
      <c r="AG242" s="49">
        <f ca="1"/>
        <v>0</v>
      </c>
      <c r="AH242" s="49">
        <f ca="1"/>
        <v>0</v>
      </c>
      <c r="AI242" s="49">
        <f ca="1"/>
        <v>0</v>
      </c>
      <c r="AJ242" s="49">
        <f ca="1"/>
        <v>0</v>
      </c>
      <c r="AK242" s="49">
        <f ca="1"/>
        <v>0</v>
      </c>
      <c r="AL242" s="49">
        <f ca="1"/>
        <v>0</v>
      </c>
      <c r="AM242" s="49">
        <f ca="1"/>
        <v>0</v>
      </c>
      <c r="AN242" s="49">
        <f ca="1"/>
        <v>0</v>
      </c>
      <c r="AO242" s="49">
        <f ca="1"/>
        <v>0</v>
      </c>
      <c r="AP242" s="49">
        <f ca="1"/>
        <v>0</v>
      </c>
      <c r="AQ242" s="49">
        <f ca="1"/>
        <v>0</v>
      </c>
      <c r="AR242" s="49">
        <f ca="1"/>
        <v>0</v>
      </c>
      <c r="AS242" s="49">
        <f ca="1"/>
        <v>0</v>
      </c>
      <c r="AT242" s="49">
        <f ca="1"/>
        <v>0</v>
      </c>
      <c r="AU242" s="49">
        <f ca="1"/>
        <v>0</v>
      </c>
      <c r="AV242" s="49">
        <f ca="1"/>
        <v>0</v>
      </c>
      <c r="AW242" s="49">
        <f ca="1"/>
        <v>0</v>
      </c>
      <c r="AX242" s="49">
        <f ca="1"/>
        <v>0</v>
      </c>
      <c r="AY242" s="49">
        <f ca="1"/>
        <v>0</v>
      </c>
      <c r="AZ242" s="49">
        <f ca="1"/>
        <v>0</v>
      </c>
      <c r="BA242" s="49">
        <f ca="1"/>
        <v>0</v>
      </c>
      <c r="BB242" s="49">
        <f ca="1"/>
        <v>0</v>
      </c>
      <c r="BC242" s="49">
        <f ca="1"/>
        <v>0</v>
      </c>
      <c r="BD242" s="49">
        <f ca="1"/>
        <v>0</v>
      </c>
      <c r="BE242" s="49">
        <f ca="1"/>
        <v>0</v>
      </c>
      <c r="BF242" s="49">
        <f ca="1"/>
        <v>0</v>
      </c>
      <c r="BG242" s="49">
        <f ca="1"/>
        <v>0</v>
      </c>
      <c r="BH242" s="49">
        <f ca="1"/>
        <v>0</v>
      </c>
      <c r="BI242" s="49">
        <f ca="1"/>
        <v>0</v>
      </c>
      <c r="BJ242" s="49">
        <f ca="1"/>
        <v>0</v>
      </c>
      <c r="BK242" s="49">
        <f ca="1"/>
        <v>0</v>
      </c>
      <c r="BL242" s="49">
        <f ca="1"/>
        <v>0</v>
      </c>
      <c r="BM242" s="49">
        <f ca="1"/>
        <v>0</v>
      </c>
      <c r="BN242" s="49">
        <f ca="1"/>
        <v>0</v>
      </c>
      <c r="BO242" s="49">
        <f ca="1"/>
        <v>0</v>
      </c>
      <c r="BP242" s="49">
        <f ca="1"/>
        <v>0</v>
      </c>
      <c r="BQ242" s="49">
        <f ca="1"/>
        <v>0</v>
      </c>
      <c r="BR242" s="49">
        <f ca="1"/>
        <v>0</v>
      </c>
      <c r="BS242" s="49">
        <f ca="1"/>
        <v>0</v>
      </c>
    </row>
    <row r="243" spans="4:71" outlineLevel="1" x14ac:dyDescent="0.2">
      <c r="D243" s="50" t="str">
        <f>HM_ZB_Nsoko!D236</f>
        <v>Coûts d'abandon</v>
      </c>
      <c r="I243" s="30">
        <f t="shared" ca="1" si="164"/>
        <v>0</v>
      </c>
      <c r="J243" s="26" t="s">
        <v>148</v>
      </c>
      <c r="K243" s="7" t="s">
        <v>679</v>
      </c>
      <c r="L243" s="49">
        <f ca="1">HM_ZD_Moho!CA_decom_nom</f>
        <v>0</v>
      </c>
      <c r="M243" s="49">
        <f ca="1">HM_ZD_Moho!CA_decom_nom</f>
        <v>0</v>
      </c>
      <c r="N243" s="49">
        <f ca="1">HM_ZD_Moho!CA_decom_nom</f>
        <v>0</v>
      </c>
      <c r="O243" s="49">
        <f ca="1">HM_ZD_Moho!CA_decom_nom</f>
        <v>0</v>
      </c>
      <c r="P243" s="49">
        <f ca="1">HM_ZD_Moho!CA_decom_nom</f>
        <v>0</v>
      </c>
      <c r="Q243" s="49">
        <f ca="1">HM_ZD_Moho!CA_decom_nom</f>
        <v>0</v>
      </c>
      <c r="R243" s="49">
        <f ca="1">HM_ZD_Moho!CA_decom_nom</f>
        <v>0</v>
      </c>
      <c r="S243" s="49">
        <f ca="1">HM_ZD_Moho!CA_decom_nom</f>
        <v>0</v>
      </c>
      <c r="T243" s="49">
        <f ca="1">HM_ZD_Moho!CA_decom_nom</f>
        <v>0</v>
      </c>
      <c r="U243" s="49">
        <f ca="1">HM_ZD_Moho!CA_decom_nom</f>
        <v>0</v>
      </c>
      <c r="V243" s="49">
        <f ca="1">HM_ZD_Moho!CA_decom_nom</f>
        <v>0</v>
      </c>
      <c r="W243" s="49">
        <f ca="1">HM_ZD_Moho!CA_decom_nom</f>
        <v>0</v>
      </c>
      <c r="X243" s="49">
        <f ca="1">HM_ZD_Moho!CA_decom_nom</f>
        <v>0</v>
      </c>
      <c r="Y243" s="49">
        <f ca="1">HM_ZD_Moho!CA_decom_nom</f>
        <v>0</v>
      </c>
      <c r="Z243" s="49">
        <f ca="1">HM_ZD_Moho!CA_decom_nom</f>
        <v>0</v>
      </c>
      <c r="AA243" s="49">
        <f ca="1">HM_ZD_Moho!CA_decom_nom</f>
        <v>0</v>
      </c>
      <c r="AB243" s="49">
        <f ca="1">HM_ZD_Moho!CA_decom_nom</f>
        <v>0</v>
      </c>
      <c r="AC243" s="49">
        <f ca="1">HM_ZD_Moho!CA_decom_nom</f>
        <v>0</v>
      </c>
      <c r="AD243" s="49">
        <f ca="1">HM_ZD_Moho!CA_decom_nom</f>
        <v>0</v>
      </c>
      <c r="AE243" s="49">
        <f ca="1">HM_ZD_Moho!CA_decom_nom</f>
        <v>0</v>
      </c>
      <c r="AF243" s="49">
        <f ca="1">HM_ZD_Moho!CA_decom_nom</f>
        <v>0</v>
      </c>
      <c r="AG243" s="49">
        <f ca="1">HM_ZD_Moho!CA_decom_nom</f>
        <v>0</v>
      </c>
      <c r="AH243" s="49">
        <f ca="1">HM_ZD_Moho!CA_decom_nom</f>
        <v>0</v>
      </c>
      <c r="AI243" s="49">
        <f ca="1">HM_ZD_Moho!CA_decom_nom</f>
        <v>0</v>
      </c>
      <c r="AJ243" s="49">
        <f ca="1">HM_ZD_Moho!CA_decom_nom</f>
        <v>0</v>
      </c>
      <c r="AK243" s="49">
        <f ca="1">HM_ZD_Moho!CA_decom_nom</f>
        <v>0</v>
      </c>
      <c r="AL243" s="49">
        <f ca="1">HM_ZD_Moho!CA_decom_nom</f>
        <v>0</v>
      </c>
      <c r="AM243" s="49">
        <f ca="1">HM_ZD_Moho!CA_decom_nom</f>
        <v>0</v>
      </c>
      <c r="AN243" s="49">
        <f ca="1">HM_ZD_Moho!CA_decom_nom</f>
        <v>0</v>
      </c>
      <c r="AO243" s="49">
        <f ca="1">HM_ZD_Moho!CA_decom_nom</f>
        <v>0</v>
      </c>
      <c r="AP243" s="49">
        <f ca="1">HM_ZD_Moho!CA_decom_nom</f>
        <v>0</v>
      </c>
      <c r="AQ243" s="49">
        <f ca="1">HM_ZD_Moho!CA_decom_nom</f>
        <v>0</v>
      </c>
      <c r="AR243" s="49">
        <f ca="1">HM_ZD_Moho!CA_decom_nom</f>
        <v>0</v>
      </c>
      <c r="AS243" s="49">
        <f ca="1">HM_ZD_Moho!CA_decom_nom</f>
        <v>0</v>
      </c>
      <c r="AT243" s="49">
        <f ca="1">HM_ZD_Moho!CA_decom_nom</f>
        <v>0</v>
      </c>
      <c r="AU243" s="49">
        <f ca="1">HM_ZD_Moho!CA_decom_nom</f>
        <v>0</v>
      </c>
      <c r="AV243" s="49">
        <f ca="1">HM_ZD_Moho!CA_decom_nom</f>
        <v>0</v>
      </c>
      <c r="AW243" s="49">
        <f ca="1">HM_ZD_Moho!CA_decom_nom</f>
        <v>0</v>
      </c>
      <c r="AX243" s="49">
        <f ca="1">HM_ZD_Moho!CA_decom_nom</f>
        <v>0</v>
      </c>
      <c r="AY243" s="49">
        <f ca="1">HM_ZD_Moho!CA_decom_nom</f>
        <v>0</v>
      </c>
      <c r="AZ243" s="49">
        <f ca="1">HM_ZD_Moho!CA_decom_nom</f>
        <v>0</v>
      </c>
      <c r="BA243" s="49">
        <f ca="1">HM_ZD_Moho!CA_decom_nom</f>
        <v>0</v>
      </c>
      <c r="BB243" s="49">
        <f ca="1">HM_ZD_Moho!CA_decom_nom</f>
        <v>0</v>
      </c>
      <c r="BC243" s="49">
        <f ca="1">HM_ZD_Moho!CA_decom_nom</f>
        <v>0</v>
      </c>
      <c r="BD243" s="49">
        <f ca="1">HM_ZD_Moho!CA_decom_nom</f>
        <v>0</v>
      </c>
      <c r="BE243" s="49">
        <f ca="1">HM_ZD_Moho!CA_decom_nom</f>
        <v>0</v>
      </c>
      <c r="BF243" s="49">
        <f ca="1">HM_ZD_Moho!CA_decom_nom</f>
        <v>0</v>
      </c>
      <c r="BG243" s="49">
        <f ca="1">HM_ZD_Moho!CA_decom_nom</f>
        <v>0</v>
      </c>
      <c r="BH243" s="49">
        <f ca="1">HM_ZD_Moho!CA_decom_nom</f>
        <v>0</v>
      </c>
      <c r="BI243" s="49">
        <f ca="1">HM_ZD_Moho!CA_decom_nom</f>
        <v>0</v>
      </c>
      <c r="BJ243" s="49">
        <f ca="1">HM_ZD_Moho!CA_decom_nom</f>
        <v>0</v>
      </c>
      <c r="BK243" s="49">
        <f ca="1">HM_ZD_Moho!CA_decom_nom</f>
        <v>0</v>
      </c>
      <c r="BL243" s="49">
        <f ca="1">HM_ZD_Moho!CA_decom_nom</f>
        <v>0</v>
      </c>
      <c r="BM243" s="49">
        <f ca="1">HM_ZD_Moho!CA_decom_nom</f>
        <v>0</v>
      </c>
      <c r="BN243" s="49">
        <f ca="1">HM_ZD_Moho!CA_decom_nom</f>
        <v>0</v>
      </c>
      <c r="BO243" s="49">
        <f ca="1">HM_ZD_Moho!CA_decom_nom</f>
        <v>0</v>
      </c>
      <c r="BP243" s="49">
        <f ca="1">HM_ZD_Moho!CA_decom_nom</f>
        <v>0</v>
      </c>
      <c r="BQ243" s="49">
        <f ca="1">HM_ZD_Moho!CA_decom_nom</f>
        <v>0</v>
      </c>
      <c r="BR243" s="49">
        <f ca="1">HM_ZD_Moho!CA_decom_nom</f>
        <v>0</v>
      </c>
      <c r="BS243" s="49">
        <f ca="1">HM_ZD_Moho!CA_decom_nom</f>
        <v>0</v>
      </c>
    </row>
    <row r="244" spans="4:71" outlineLevel="1" x14ac:dyDescent="0.2">
      <c r="D244" s="50" t="str">
        <f>HM_ZB_Nsoko!D237</f>
        <v>Solde des coûts non récupérés</v>
      </c>
      <c r="I244" s="30">
        <f t="shared" ca="1" si="164"/>
        <v>3428.5025865500002</v>
      </c>
      <c r="J244" s="26" t="s">
        <v>148</v>
      </c>
      <c r="K244" s="7" t="s">
        <v>676</v>
      </c>
      <c r="L244" s="49">
        <f ca="1">OFFSET(_xlfn.SINGLE(IA_unrec_cost_bal_real),4,)</f>
        <v>3428.5025865500002</v>
      </c>
      <c r="M244" s="49"/>
      <c r="N244" s="49"/>
      <c r="O244" s="49"/>
      <c r="P244" s="49"/>
      <c r="Q244" s="49"/>
      <c r="R244" s="49"/>
      <c r="S244" s="49"/>
      <c r="T244" s="49"/>
      <c r="U244" s="49"/>
      <c r="V244" s="49"/>
      <c r="W244" s="49"/>
      <c r="X244" s="49"/>
      <c r="Y244" s="49"/>
      <c r="Z244" s="49"/>
      <c r="AA244" s="49"/>
      <c r="AB244" s="49"/>
      <c r="AC244" s="49"/>
      <c r="AD244" s="49"/>
      <c r="AE244" s="49"/>
      <c r="AF244" s="49"/>
      <c r="AG244" s="49"/>
      <c r="AH244" s="49"/>
      <c r="AI244" s="49"/>
      <c r="AJ244" s="49"/>
      <c r="AK244" s="49"/>
      <c r="AL244" s="49"/>
      <c r="AM244" s="49"/>
      <c r="AN244" s="49"/>
      <c r="AO244" s="49"/>
      <c r="AP244" s="49"/>
      <c r="AQ244" s="49"/>
      <c r="AR244" s="49"/>
      <c r="AS244" s="49"/>
      <c r="AT244" s="49"/>
      <c r="AU244" s="49"/>
      <c r="AV244" s="49"/>
      <c r="AW244" s="49"/>
      <c r="AX244" s="49"/>
      <c r="AY244" s="49"/>
      <c r="AZ244" s="49"/>
      <c r="BA244" s="49"/>
      <c r="BB244" s="49"/>
      <c r="BC244" s="49"/>
      <c r="BD244" s="49"/>
      <c r="BE244" s="49"/>
      <c r="BF244" s="49"/>
      <c r="BG244" s="49"/>
      <c r="BH244" s="49"/>
      <c r="BI244" s="49"/>
      <c r="BJ244" s="49"/>
      <c r="BK244" s="49"/>
      <c r="BL244" s="49"/>
      <c r="BM244" s="49"/>
      <c r="BN244" s="49"/>
      <c r="BO244" s="49"/>
      <c r="BP244" s="49"/>
      <c r="BQ244" s="49"/>
      <c r="BR244" s="49"/>
      <c r="BS244" s="49"/>
    </row>
    <row r="245" spans="4:71" outlineLevel="1" x14ac:dyDescent="0.2">
      <c r="D245" s="51" t="str">
        <f>HM_ZB_Nsoko!D238</f>
        <v>Total des coûts récupérables</v>
      </c>
      <c r="I245" s="30">
        <f t="shared" ca="1" si="164"/>
        <v>18929.982699924043</v>
      </c>
      <c r="J245" s="26" t="s">
        <v>148</v>
      </c>
      <c r="L245" s="49">
        <f ca="1">SUM(L239:L244)</f>
        <v>4907.0774220168696</v>
      </c>
      <c r="M245" s="49">
        <f t="shared" ref="M245:BS245" ca="1" si="165">SUM(M239:M244)</f>
        <v>2356.4087616660399</v>
      </c>
      <c r="N245" s="49">
        <f t="shared" ca="1" si="165"/>
        <v>3420.6414705144998</v>
      </c>
      <c r="O245" s="49">
        <f t="shared" ca="1" si="165"/>
        <v>3047.9847255446202</v>
      </c>
      <c r="P245" s="49">
        <f t="shared" ca="1" si="165"/>
        <v>2039.5416385584899</v>
      </c>
      <c r="Q245" s="49">
        <f t="shared" ca="1" si="165"/>
        <v>937.64894498140006</v>
      </c>
      <c r="R245" s="49">
        <f t="shared" ca="1" si="165"/>
        <v>317.04330770605003</v>
      </c>
      <c r="S245" s="49">
        <f t="shared" ca="1" si="165"/>
        <v>307.34308726</v>
      </c>
      <c r="T245" s="49">
        <f t="shared" ca="1" si="165"/>
        <v>315.59811577798399</v>
      </c>
      <c r="U245" s="49">
        <f t="shared" ca="1" si="165"/>
        <v>318.35377256052004</v>
      </c>
      <c r="V245" s="49">
        <f t="shared" ca="1" si="165"/>
        <v>319.5128054509093</v>
      </c>
      <c r="W245" s="49">
        <f t="shared" ca="1" si="165"/>
        <v>320.75471561873252</v>
      </c>
      <c r="X245" s="49">
        <f t="shared" ca="1" si="165"/>
        <v>322.07393226792965</v>
      </c>
      <c r="Y245" s="49">
        <f t="shared" ca="1" si="165"/>
        <v>0</v>
      </c>
      <c r="Z245" s="49">
        <f t="shared" ca="1" si="165"/>
        <v>0</v>
      </c>
      <c r="AA245" s="49">
        <f t="shared" ca="1" si="165"/>
        <v>0</v>
      </c>
      <c r="AB245" s="49">
        <f t="shared" ca="1" si="165"/>
        <v>0</v>
      </c>
      <c r="AC245" s="49">
        <f t="shared" ca="1" si="165"/>
        <v>0</v>
      </c>
      <c r="AD245" s="49">
        <f t="shared" ca="1" si="165"/>
        <v>0</v>
      </c>
      <c r="AE245" s="49">
        <f t="shared" ca="1" si="165"/>
        <v>0</v>
      </c>
      <c r="AF245" s="49">
        <f t="shared" ca="1" si="165"/>
        <v>0</v>
      </c>
      <c r="AG245" s="49">
        <f t="shared" ca="1" si="165"/>
        <v>0</v>
      </c>
      <c r="AH245" s="49">
        <f t="shared" ca="1" si="165"/>
        <v>0</v>
      </c>
      <c r="AI245" s="49">
        <f t="shared" ca="1" si="165"/>
        <v>0</v>
      </c>
      <c r="AJ245" s="49">
        <f t="shared" ca="1" si="165"/>
        <v>0</v>
      </c>
      <c r="AK245" s="49">
        <f t="shared" ca="1" si="165"/>
        <v>0</v>
      </c>
      <c r="AL245" s="49">
        <f t="shared" ca="1" si="165"/>
        <v>0</v>
      </c>
      <c r="AM245" s="49">
        <f t="shared" ca="1" si="165"/>
        <v>0</v>
      </c>
      <c r="AN245" s="49">
        <f t="shared" ca="1" si="165"/>
        <v>0</v>
      </c>
      <c r="AO245" s="49">
        <f t="shared" ca="1" si="165"/>
        <v>0</v>
      </c>
      <c r="AP245" s="49">
        <f t="shared" ca="1" si="165"/>
        <v>0</v>
      </c>
      <c r="AQ245" s="49">
        <f t="shared" ca="1" si="165"/>
        <v>0</v>
      </c>
      <c r="AR245" s="49">
        <f t="shared" ca="1" si="165"/>
        <v>0</v>
      </c>
      <c r="AS245" s="49">
        <f t="shared" ca="1" si="165"/>
        <v>0</v>
      </c>
      <c r="AT245" s="49">
        <f t="shared" ca="1" si="165"/>
        <v>0</v>
      </c>
      <c r="AU245" s="49">
        <f t="shared" ca="1" si="165"/>
        <v>0</v>
      </c>
      <c r="AV245" s="49">
        <f t="shared" ca="1" si="165"/>
        <v>0</v>
      </c>
      <c r="AW245" s="49">
        <f t="shared" ca="1" si="165"/>
        <v>0</v>
      </c>
      <c r="AX245" s="49">
        <f t="shared" ca="1" si="165"/>
        <v>0</v>
      </c>
      <c r="AY245" s="49">
        <f t="shared" ca="1" si="165"/>
        <v>0</v>
      </c>
      <c r="AZ245" s="49">
        <f t="shared" ca="1" si="165"/>
        <v>0</v>
      </c>
      <c r="BA245" s="49">
        <f t="shared" ca="1" si="165"/>
        <v>0</v>
      </c>
      <c r="BB245" s="49">
        <f t="shared" ca="1" si="165"/>
        <v>0</v>
      </c>
      <c r="BC245" s="49">
        <f t="shared" ca="1" si="165"/>
        <v>0</v>
      </c>
      <c r="BD245" s="49">
        <f t="shared" ca="1" si="165"/>
        <v>0</v>
      </c>
      <c r="BE245" s="49">
        <f t="shared" ca="1" si="165"/>
        <v>0</v>
      </c>
      <c r="BF245" s="49">
        <f t="shared" ca="1" si="165"/>
        <v>0</v>
      </c>
      <c r="BG245" s="49">
        <f t="shared" ca="1" si="165"/>
        <v>0</v>
      </c>
      <c r="BH245" s="49">
        <f t="shared" ca="1" si="165"/>
        <v>0</v>
      </c>
      <c r="BI245" s="49">
        <f t="shared" ca="1" si="165"/>
        <v>0</v>
      </c>
      <c r="BJ245" s="49">
        <f t="shared" ca="1" si="165"/>
        <v>0</v>
      </c>
      <c r="BK245" s="49">
        <f t="shared" ca="1" si="165"/>
        <v>0</v>
      </c>
      <c r="BL245" s="49">
        <f t="shared" ca="1" si="165"/>
        <v>0</v>
      </c>
      <c r="BM245" s="49">
        <f t="shared" ca="1" si="165"/>
        <v>0</v>
      </c>
      <c r="BN245" s="49">
        <f t="shared" ca="1" si="165"/>
        <v>0</v>
      </c>
      <c r="BO245" s="49">
        <f t="shared" ca="1" si="165"/>
        <v>0</v>
      </c>
      <c r="BP245" s="49">
        <f t="shared" ca="1" si="165"/>
        <v>0</v>
      </c>
      <c r="BQ245" s="49">
        <f t="shared" ca="1" si="165"/>
        <v>0</v>
      </c>
      <c r="BR245" s="49">
        <f t="shared" ca="1" si="165"/>
        <v>0</v>
      </c>
      <c r="BS245" s="49">
        <f t="shared" ca="1" si="165"/>
        <v>0</v>
      </c>
    </row>
    <row r="246" spans="4:71" outlineLevel="1" x14ac:dyDescent="0.2">
      <c r="J246" s="26"/>
      <c r="L246" s="55"/>
      <c r="M246" s="55"/>
      <c r="N246" s="55"/>
      <c r="O246" s="55"/>
      <c r="P246" s="55"/>
      <c r="Q246" s="55"/>
      <c r="R246" s="55"/>
      <c r="S246" s="55"/>
      <c r="T246" s="55"/>
      <c r="U246" s="55"/>
      <c r="V246" s="55"/>
      <c r="W246" s="55"/>
      <c r="X246" s="55"/>
      <c r="Y246" s="55"/>
      <c r="Z246" s="55"/>
      <c r="AA246" s="55"/>
      <c r="AB246" s="55"/>
      <c r="AC246" s="55"/>
      <c r="AD246" s="55"/>
      <c r="AE246" s="55"/>
      <c r="AF246" s="55"/>
      <c r="AG246" s="55"/>
      <c r="AH246" s="55"/>
      <c r="AI246" s="55"/>
      <c r="AJ246" s="55"/>
      <c r="AK246" s="55"/>
      <c r="AL246" s="55"/>
      <c r="AM246" s="55"/>
      <c r="AN246" s="55"/>
      <c r="AO246" s="55"/>
      <c r="AP246" s="55"/>
      <c r="AQ246" s="55"/>
      <c r="AR246" s="55"/>
      <c r="AS246" s="55"/>
      <c r="AT246" s="55"/>
      <c r="AU246" s="55"/>
      <c r="AV246" s="55"/>
      <c r="AW246" s="55"/>
      <c r="AX246" s="55"/>
      <c r="AY246" s="55"/>
      <c r="AZ246" s="55"/>
      <c r="BA246" s="55"/>
      <c r="BB246" s="55"/>
      <c r="BC246" s="55"/>
      <c r="BD246" s="55"/>
      <c r="BE246" s="55"/>
      <c r="BF246" s="55"/>
      <c r="BG246" s="55"/>
      <c r="BH246" s="55"/>
      <c r="BI246" s="55"/>
      <c r="BJ246" s="55"/>
      <c r="BK246" s="55"/>
      <c r="BL246" s="55"/>
      <c r="BM246" s="55"/>
      <c r="BN246" s="55"/>
      <c r="BO246" s="55"/>
      <c r="BP246" s="55"/>
      <c r="BQ246" s="55"/>
      <c r="BR246" s="55"/>
      <c r="BS246" s="55"/>
    </row>
    <row r="247" spans="4:71" outlineLevel="1" x14ac:dyDescent="0.2">
      <c r="D247" s="52" t="str">
        <f>HM_ZA_Nkossa!D231</f>
        <v>Cost Oil garanti</v>
      </c>
      <c r="I247" s="30">
        <f t="shared" ref="I247" ca="1" si="166">SUM($L247:$BS247)</f>
        <v>12480.950376881819</v>
      </c>
      <c r="J247" s="26" t="s">
        <v>148</v>
      </c>
      <c r="K247" s="7" t="s">
        <v>190</v>
      </c>
      <c r="L247" s="49">
        <f ca="1">IF(L4&gt;=YEAR(HM_ZD_Moho!GCO_date),HM_ZD_Moho!CA_gross_rev_total_fp*HM_ZD_Moho!GCO_perc,0)</f>
        <v>764.87341867480018</v>
      </c>
      <c r="M247" s="49">
        <f ca="1">IF(M4&gt;=YEAR(HM_ZD_Moho!GCO_date),HM_ZD_Moho!CA_gross_rev_total_fp*HM_ZD_Moho!GCO_perc,0)</f>
        <v>727.11046664159994</v>
      </c>
      <c r="N247" s="49">
        <f ca="1">IF(N4&gt;=YEAR(HM_ZD_Moho!GCO_date),HM_ZD_Moho!CA_gross_rev_total_fp*HM_ZD_Moho!GCO_perc,0)</f>
        <v>294.01882057999995</v>
      </c>
      <c r="O247" s="49">
        <f ca="1">IF(O4&gt;=YEAR(HM_ZD_Moho!GCO_date),HM_ZD_Moho!CA_gross_rev_total_fp*HM_ZD_Moho!GCO_perc,0)</f>
        <v>252.66902178480001</v>
      </c>
      <c r="P247" s="49">
        <f ca="1">IF(P4&gt;=YEAR(HM_ZD_Moho!GCO_date),HM_ZD_Moho!CA_gross_rev_total_fp*HM_ZD_Moho!GCO_perc,0)</f>
        <v>708.94554233960025</v>
      </c>
      <c r="Q247" s="49">
        <f ca="1">IF(Q4&gt;=YEAR(HM_ZD_Moho!GCO_date),HM_ZD_Moho!CA_gross_rev_total_fp*HM_ZD_Moho!GCO_perc,0)</f>
        <v>1434.3577992560004</v>
      </c>
      <c r="R247" s="49">
        <f ca="1">IF(R4&gt;=YEAR(HM_ZD_Moho!GCO_date),HM_ZD_Moho!CA_gross_rev_total_fp*HM_ZD_Moho!GCO_perc,0)</f>
        <v>1409.7323082420003</v>
      </c>
      <c r="S247" s="49">
        <f ca="1">IF(S4&gt;=YEAR(HM_ZD_Moho!GCO_date),HM_ZD_Moho!CA_gross_rev_total_fp*HM_ZD_Moho!GCO_perc,0)</f>
        <v>841.72349040000017</v>
      </c>
      <c r="T247" s="49">
        <f ca="1">IF(T4&gt;=YEAR(HM_ZD_Moho!GCO_date),HM_ZD_Moho!CA_gross_rev_total_fp*HM_ZD_Moho!GCO_perc,0)</f>
        <v>1287.9246311193601</v>
      </c>
      <c r="U247" s="49">
        <f ca="1">IF(U4&gt;=YEAR(HM_ZD_Moho!GCO_date),HM_ZD_Moho!CA_gross_rev_total_fp*HM_ZD_Moho!GCO_perc,0)</f>
        <v>1285.6709024208001</v>
      </c>
      <c r="V247" s="49">
        <f ca="1">IF(V4&gt;=YEAR(HM_ZD_Moho!GCO_date),HM_ZD_Moho!CA_gross_rev_total_fp*HM_ZD_Moho!GCO_perc,0)</f>
        <v>1219.5874180363708</v>
      </c>
      <c r="W247" s="49">
        <f ca="1">IF(W4&gt;=YEAR(HM_ZD_Moho!GCO_date),HM_ZD_Moho!CA_gross_rev_total_fp*HM_ZD_Moho!GCO_perc,0)</f>
        <v>1156.9006247493012</v>
      </c>
      <c r="X247" s="49">
        <f ca="1">IF(X4&gt;=YEAR(HM_ZD_Moho!GCO_date),HM_ZD_Moho!CA_gross_rev_total_fp*HM_ZD_Moho!GCO_perc,0)</f>
        <v>1097.4359326371871</v>
      </c>
      <c r="Y247" s="49">
        <f ca="1">IF(Y4&gt;=YEAR(HM_ZD_Moho!GCO_date),HM_ZD_Moho!CA_gross_rev_total_fp*HM_ZD_Moho!GCO_perc,0)</f>
        <v>0</v>
      </c>
      <c r="Z247" s="49">
        <f ca="1">IF(Z4&gt;=YEAR(HM_ZD_Moho!GCO_date),HM_ZD_Moho!CA_gross_rev_total_fp*HM_ZD_Moho!GCO_perc,0)</f>
        <v>0</v>
      </c>
      <c r="AA247" s="49">
        <f ca="1">IF(AA4&gt;=YEAR(HM_ZD_Moho!GCO_date),HM_ZD_Moho!CA_gross_rev_total_fp*HM_ZD_Moho!GCO_perc,0)</f>
        <v>0</v>
      </c>
      <c r="AB247" s="49">
        <f ca="1">IF(AB4&gt;=YEAR(HM_ZD_Moho!GCO_date),HM_ZD_Moho!CA_gross_rev_total_fp*HM_ZD_Moho!GCO_perc,0)</f>
        <v>0</v>
      </c>
      <c r="AC247" s="49">
        <f ca="1">IF(AC4&gt;=YEAR(HM_ZD_Moho!GCO_date),HM_ZD_Moho!CA_gross_rev_total_fp*HM_ZD_Moho!GCO_perc,0)</f>
        <v>0</v>
      </c>
      <c r="AD247" s="49">
        <f ca="1">IF(AD4&gt;=YEAR(HM_ZD_Moho!GCO_date),HM_ZD_Moho!CA_gross_rev_total_fp*HM_ZD_Moho!GCO_perc,0)</f>
        <v>0</v>
      </c>
      <c r="AE247" s="49">
        <f ca="1">IF(AE4&gt;=YEAR(HM_ZD_Moho!GCO_date),HM_ZD_Moho!CA_gross_rev_total_fp*HM_ZD_Moho!GCO_perc,0)</f>
        <v>0</v>
      </c>
      <c r="AF247" s="49">
        <f ca="1">IF(AF4&gt;=YEAR(HM_ZD_Moho!GCO_date),HM_ZD_Moho!CA_gross_rev_total_fp*HM_ZD_Moho!GCO_perc,0)</f>
        <v>0</v>
      </c>
      <c r="AG247" s="49">
        <f ca="1">IF(AG4&gt;=YEAR(HM_ZD_Moho!GCO_date),HM_ZD_Moho!CA_gross_rev_total_fp*HM_ZD_Moho!GCO_perc,0)</f>
        <v>0</v>
      </c>
      <c r="AH247" s="49">
        <f ca="1">IF(AH4&gt;=YEAR(HM_ZD_Moho!GCO_date),HM_ZD_Moho!CA_gross_rev_total_fp*HM_ZD_Moho!GCO_perc,0)</f>
        <v>0</v>
      </c>
      <c r="AI247" s="49">
        <f ca="1">IF(AI4&gt;=YEAR(HM_ZD_Moho!GCO_date),HM_ZD_Moho!CA_gross_rev_total_fp*HM_ZD_Moho!GCO_perc,0)</f>
        <v>0</v>
      </c>
      <c r="AJ247" s="49">
        <f ca="1">IF(AJ4&gt;=YEAR(HM_ZD_Moho!GCO_date),HM_ZD_Moho!CA_gross_rev_total_fp*HM_ZD_Moho!GCO_perc,0)</f>
        <v>0</v>
      </c>
      <c r="AK247" s="49">
        <f ca="1">IF(AK4&gt;=YEAR(HM_ZD_Moho!GCO_date),HM_ZD_Moho!CA_gross_rev_total_fp*HM_ZD_Moho!GCO_perc,0)</f>
        <v>0</v>
      </c>
      <c r="AL247" s="49">
        <f ca="1">IF(AL4&gt;=YEAR(HM_ZD_Moho!GCO_date),HM_ZD_Moho!CA_gross_rev_total_fp*HM_ZD_Moho!GCO_perc,0)</f>
        <v>0</v>
      </c>
      <c r="AM247" s="49">
        <f ca="1">IF(AM4&gt;=YEAR(HM_ZD_Moho!GCO_date),HM_ZD_Moho!CA_gross_rev_total_fp*HM_ZD_Moho!GCO_perc,0)</f>
        <v>0</v>
      </c>
      <c r="AN247" s="49">
        <f ca="1">IF(AN4&gt;=YEAR(HM_ZD_Moho!GCO_date),HM_ZD_Moho!CA_gross_rev_total_fp*HM_ZD_Moho!GCO_perc,0)</f>
        <v>0</v>
      </c>
      <c r="AO247" s="49">
        <f ca="1">IF(AO4&gt;=YEAR(HM_ZD_Moho!GCO_date),HM_ZD_Moho!CA_gross_rev_total_fp*HM_ZD_Moho!GCO_perc,0)</f>
        <v>0</v>
      </c>
      <c r="AP247" s="49">
        <f ca="1">IF(AP4&gt;=YEAR(HM_ZD_Moho!GCO_date),HM_ZD_Moho!CA_gross_rev_total_fp*HM_ZD_Moho!GCO_perc,0)</f>
        <v>0</v>
      </c>
      <c r="AQ247" s="49">
        <f ca="1">IF(AQ4&gt;=YEAR(HM_ZD_Moho!GCO_date),HM_ZD_Moho!CA_gross_rev_total_fp*HM_ZD_Moho!GCO_perc,0)</f>
        <v>0</v>
      </c>
      <c r="AR247" s="49">
        <f ca="1">IF(AR4&gt;=YEAR(HM_ZD_Moho!GCO_date),HM_ZD_Moho!CA_gross_rev_total_fp*HM_ZD_Moho!GCO_perc,0)</f>
        <v>0</v>
      </c>
      <c r="AS247" s="49">
        <f ca="1">IF(AS4&gt;=YEAR(HM_ZD_Moho!GCO_date),HM_ZD_Moho!CA_gross_rev_total_fp*HM_ZD_Moho!GCO_perc,0)</f>
        <v>0</v>
      </c>
      <c r="AT247" s="49">
        <f ca="1">IF(AT4&gt;=YEAR(HM_ZD_Moho!GCO_date),HM_ZD_Moho!CA_gross_rev_total_fp*HM_ZD_Moho!GCO_perc,0)</f>
        <v>0</v>
      </c>
      <c r="AU247" s="49">
        <f ca="1">IF(AU4&gt;=YEAR(HM_ZD_Moho!GCO_date),HM_ZD_Moho!CA_gross_rev_total_fp*HM_ZD_Moho!GCO_perc,0)</f>
        <v>0</v>
      </c>
      <c r="AV247" s="49">
        <f ca="1">IF(AV4&gt;=YEAR(HM_ZD_Moho!GCO_date),HM_ZD_Moho!CA_gross_rev_total_fp*HM_ZD_Moho!GCO_perc,0)</f>
        <v>0</v>
      </c>
      <c r="AW247" s="49">
        <f ca="1">IF(AW4&gt;=YEAR(HM_ZD_Moho!GCO_date),HM_ZD_Moho!CA_gross_rev_total_fp*HM_ZD_Moho!GCO_perc,0)</f>
        <v>0</v>
      </c>
      <c r="AX247" s="49">
        <f ca="1">IF(AX4&gt;=YEAR(HM_ZD_Moho!GCO_date),HM_ZD_Moho!CA_gross_rev_total_fp*HM_ZD_Moho!GCO_perc,0)</f>
        <v>0</v>
      </c>
      <c r="AY247" s="49">
        <f ca="1">IF(AY4&gt;=YEAR(HM_ZD_Moho!GCO_date),HM_ZD_Moho!CA_gross_rev_total_fp*HM_ZD_Moho!GCO_perc,0)</f>
        <v>0</v>
      </c>
      <c r="AZ247" s="49">
        <f ca="1">IF(AZ4&gt;=YEAR(HM_ZD_Moho!GCO_date),HM_ZD_Moho!CA_gross_rev_total_fp*HM_ZD_Moho!GCO_perc,0)</f>
        <v>0</v>
      </c>
      <c r="BA247" s="49">
        <f ca="1">IF(BA4&gt;=YEAR(HM_ZD_Moho!GCO_date),HM_ZD_Moho!CA_gross_rev_total_fp*HM_ZD_Moho!GCO_perc,0)</f>
        <v>0</v>
      </c>
      <c r="BB247" s="49">
        <f ca="1">IF(BB4&gt;=YEAR(HM_ZD_Moho!GCO_date),HM_ZD_Moho!CA_gross_rev_total_fp*HM_ZD_Moho!GCO_perc,0)</f>
        <v>0</v>
      </c>
      <c r="BC247" s="49">
        <f ca="1">IF(BC4&gt;=YEAR(HM_ZD_Moho!GCO_date),HM_ZD_Moho!CA_gross_rev_total_fp*HM_ZD_Moho!GCO_perc,0)</f>
        <v>0</v>
      </c>
      <c r="BD247" s="49">
        <f ca="1">IF(BD4&gt;=YEAR(HM_ZD_Moho!GCO_date),HM_ZD_Moho!CA_gross_rev_total_fp*HM_ZD_Moho!GCO_perc,0)</f>
        <v>0</v>
      </c>
      <c r="BE247" s="49">
        <f ca="1">IF(BE4&gt;=YEAR(HM_ZD_Moho!GCO_date),HM_ZD_Moho!CA_gross_rev_total_fp*HM_ZD_Moho!GCO_perc,0)</f>
        <v>0</v>
      </c>
      <c r="BF247" s="49">
        <f ca="1">IF(BF4&gt;=YEAR(HM_ZD_Moho!GCO_date),HM_ZD_Moho!CA_gross_rev_total_fp*HM_ZD_Moho!GCO_perc,0)</f>
        <v>0</v>
      </c>
      <c r="BG247" s="49">
        <f ca="1">IF(BG4&gt;=YEAR(HM_ZD_Moho!GCO_date),HM_ZD_Moho!CA_gross_rev_total_fp*HM_ZD_Moho!GCO_perc,0)</f>
        <v>0</v>
      </c>
      <c r="BH247" s="49">
        <f ca="1">IF(BH4&gt;=YEAR(HM_ZD_Moho!GCO_date),HM_ZD_Moho!CA_gross_rev_total_fp*HM_ZD_Moho!GCO_perc,0)</f>
        <v>0</v>
      </c>
      <c r="BI247" s="49">
        <f ca="1">IF(BI4&gt;=YEAR(HM_ZD_Moho!GCO_date),HM_ZD_Moho!CA_gross_rev_total_fp*HM_ZD_Moho!GCO_perc,0)</f>
        <v>0</v>
      </c>
      <c r="BJ247" s="49">
        <f ca="1">IF(BJ4&gt;=YEAR(HM_ZD_Moho!GCO_date),HM_ZD_Moho!CA_gross_rev_total_fp*HM_ZD_Moho!GCO_perc,0)</f>
        <v>0</v>
      </c>
      <c r="BK247" s="49">
        <f ca="1">IF(BK4&gt;=YEAR(HM_ZD_Moho!GCO_date),HM_ZD_Moho!CA_gross_rev_total_fp*HM_ZD_Moho!GCO_perc,0)</f>
        <v>0</v>
      </c>
      <c r="BL247" s="49">
        <f ca="1">IF(BL4&gt;=YEAR(HM_ZD_Moho!GCO_date),HM_ZD_Moho!CA_gross_rev_total_fp*HM_ZD_Moho!GCO_perc,0)</f>
        <v>0</v>
      </c>
      <c r="BM247" s="49">
        <f ca="1">IF(BM4&gt;=YEAR(HM_ZD_Moho!GCO_date),HM_ZD_Moho!CA_gross_rev_total_fp*HM_ZD_Moho!GCO_perc,0)</f>
        <v>0</v>
      </c>
      <c r="BN247" s="49">
        <f ca="1">IF(BN4&gt;=YEAR(HM_ZD_Moho!GCO_date),HM_ZD_Moho!CA_gross_rev_total_fp*HM_ZD_Moho!GCO_perc,0)</f>
        <v>0</v>
      </c>
      <c r="BO247" s="49">
        <f ca="1">IF(BO4&gt;=YEAR(HM_ZD_Moho!GCO_date),HM_ZD_Moho!CA_gross_rev_total_fp*HM_ZD_Moho!GCO_perc,0)</f>
        <v>0</v>
      </c>
      <c r="BP247" s="49">
        <f ca="1">IF(BP4&gt;=YEAR(HM_ZD_Moho!GCO_date),HM_ZD_Moho!CA_gross_rev_total_fp*HM_ZD_Moho!GCO_perc,0)</f>
        <v>0</v>
      </c>
      <c r="BQ247" s="49">
        <f ca="1">IF(BQ4&gt;=YEAR(HM_ZD_Moho!GCO_date),HM_ZD_Moho!CA_gross_rev_total_fp*HM_ZD_Moho!GCO_perc,0)</f>
        <v>0</v>
      </c>
      <c r="BR247" s="49">
        <f ca="1">IF(BR4&gt;=YEAR(HM_ZD_Moho!GCO_date),HM_ZD_Moho!CA_gross_rev_total_fp*HM_ZD_Moho!GCO_perc,0)</f>
        <v>0</v>
      </c>
      <c r="BS247" s="49">
        <f ca="1">IF(BS4&gt;=YEAR(HM_ZD_Moho!GCO_date),HM_ZD_Moho!CA_gross_rev_total_fp*HM_ZD_Moho!GCO_perc,0)</f>
        <v>0</v>
      </c>
    </row>
    <row r="248" spans="4:71" outlineLevel="1" x14ac:dyDescent="0.2">
      <c r="J248" s="26"/>
      <c r="L248" s="55"/>
      <c r="M248" s="55"/>
      <c r="N248" s="55"/>
      <c r="O248" s="55"/>
      <c r="P248" s="55"/>
      <c r="Q248" s="55"/>
      <c r="R248" s="55"/>
      <c r="S248" s="55"/>
      <c r="T248" s="55"/>
      <c r="U248" s="55"/>
      <c r="V248" s="55"/>
      <c r="W248" s="55"/>
      <c r="X248" s="55"/>
      <c r="Y248" s="55"/>
      <c r="Z248" s="55"/>
      <c r="AA248" s="55"/>
      <c r="AB248" s="55"/>
      <c r="AC248" s="55"/>
      <c r="AD248" s="55"/>
      <c r="AE248" s="55"/>
      <c r="AF248" s="55"/>
      <c r="AG248" s="55"/>
      <c r="AH248" s="55"/>
      <c r="AI248" s="55"/>
      <c r="AJ248" s="55"/>
      <c r="AK248" s="55"/>
      <c r="AL248" s="55"/>
      <c r="AM248" s="55"/>
      <c r="AN248" s="55"/>
      <c r="AO248" s="55"/>
      <c r="AP248" s="55"/>
      <c r="AQ248" s="55"/>
      <c r="AR248" s="55"/>
      <c r="AS248" s="55"/>
      <c r="AT248" s="55"/>
      <c r="AU248" s="55"/>
      <c r="AV248" s="55"/>
      <c r="AW248" s="55"/>
      <c r="AX248" s="55"/>
      <c r="AY248" s="55"/>
      <c r="AZ248" s="55"/>
      <c r="BA248" s="55"/>
      <c r="BB248" s="55"/>
      <c r="BC248" s="55"/>
      <c r="BD248" s="55"/>
      <c r="BE248" s="55"/>
      <c r="BF248" s="55"/>
      <c r="BG248" s="55"/>
      <c r="BH248" s="55"/>
      <c r="BI248" s="55"/>
      <c r="BJ248" s="55"/>
      <c r="BK248" s="55"/>
      <c r="BL248" s="55"/>
      <c r="BM248" s="55"/>
      <c r="BN248" s="55"/>
      <c r="BO248" s="55"/>
      <c r="BP248" s="55"/>
      <c r="BQ248" s="55"/>
      <c r="BR248" s="55"/>
      <c r="BS248" s="55"/>
    </row>
    <row r="249" spans="4:71" outlineLevel="1" x14ac:dyDescent="0.2">
      <c r="D249" t="str">
        <f>CHOOSE(db_ML_selected,'Liste Traduction'!B454,'Liste Traduction'!C454)</f>
        <v>Coûts cumulés à récupérer</v>
      </c>
      <c r="J249" s="26" t="s">
        <v>148</v>
      </c>
      <c r="L249" s="49">
        <f ca="1">SUM($L$245:L245)-SUM($K$291:K291)</f>
        <v>4907.0774220168696</v>
      </c>
      <c r="M249" s="49">
        <f ca="1">SUM($L$245:M245)-SUM($K$291:L291)</f>
        <v>6999.500410641911</v>
      </c>
      <c r="N249" s="49">
        <f ca="1">SUM($L$245:N245)-SUM($K$291:M291)</f>
        <v>10138.921400621106</v>
      </c>
      <c r="O249" s="49">
        <f ca="1">SUM($L$245:O245)-SUM($K$291:N291)</f>
        <v>12672.373190150725</v>
      </c>
      <c r="P249" s="49">
        <f ca="1">SUM($L$245:P245)-SUM($K$291:O291)</f>
        <v>14269.744040585816</v>
      </c>
      <c r="Q249" s="49">
        <f ca="1">SUM($L$245:Q245)-SUM($K$291:P291)</f>
        <v>13966.738286472915</v>
      </c>
      <c r="R249" s="49">
        <f ca="1">SUM($L$245:R245)-SUM($K$291:Q291)</f>
        <v>11773.655445480967</v>
      </c>
      <c r="S249" s="49">
        <f ca="1">SUM($L$245:S245)-SUM($K$291:R291)</f>
        <v>9613.9669933174664</v>
      </c>
      <c r="T249" s="49">
        <f ca="1">SUM($L$245:T245)-SUM($K$291:S291)</f>
        <v>8456.5490008954494</v>
      </c>
      <c r="U249" s="49">
        <f ca="1">SUM($L$245:U245)-SUM($K$291:T291)</f>
        <v>6521.0346689970902</v>
      </c>
      <c r="V249" s="49">
        <f ca="1">SUM($L$245:V245)-SUM($K$291:U291)</f>
        <v>4590.6233952115981</v>
      </c>
      <c r="W249" s="49">
        <f ca="1">SUM($L$245:W245)-SUM($K$291:V291)</f>
        <v>2777.1001292666806</v>
      </c>
      <c r="X249" s="49">
        <f ca="1">SUM($L$245:X245)-SUM($K$291:W291)</f>
        <v>1653.0482805979846</v>
      </c>
      <c r="Y249" s="49">
        <f ca="1">SUM($L$245:Y245)-SUM($K$291:X291)</f>
        <v>281.25336480150145</v>
      </c>
      <c r="Z249" s="49">
        <f ca="1">SUM($L$245:Z245)-SUM($K$291:Y291)</f>
        <v>281.25336480150145</v>
      </c>
      <c r="AA249" s="49">
        <f ca="1">SUM($L$245:AA245)-SUM($K$291:Z291)</f>
        <v>281.25336480150145</v>
      </c>
      <c r="AB249" s="49">
        <f ca="1">SUM($L$245:AB245)-SUM($K$291:AA291)</f>
        <v>281.25336480150145</v>
      </c>
      <c r="AC249" s="49">
        <f ca="1">SUM($L$245:AC245)-SUM($K$291:AB291)</f>
        <v>281.25336480150145</v>
      </c>
      <c r="AD249" s="49">
        <f ca="1">SUM($L$245:AD245)-SUM($K$291:AC291)</f>
        <v>281.25336480150145</v>
      </c>
      <c r="AE249" s="49">
        <f ca="1">SUM($L$245:AE245)-SUM($K$291:AD291)</f>
        <v>281.25336480150145</v>
      </c>
      <c r="AF249" s="49">
        <f ca="1">SUM($L$245:AF245)-SUM($K$291:AE291)</f>
        <v>281.25336480150145</v>
      </c>
      <c r="AG249" s="49">
        <f ca="1">SUM($L$245:AG245)-SUM($K$291:AF291)</f>
        <v>281.25336480150145</v>
      </c>
      <c r="AH249" s="49">
        <f ca="1">SUM($L$245:AH245)-SUM($K$291:AG291)</f>
        <v>281.25336480150145</v>
      </c>
      <c r="AI249" s="49">
        <f ca="1">SUM($L$245:AI245)-SUM($K$291:AH291)</f>
        <v>281.25336480150145</v>
      </c>
      <c r="AJ249" s="49">
        <f ca="1">SUM($L$245:AJ245)-SUM($K$291:AI291)</f>
        <v>281.25336480150145</v>
      </c>
      <c r="AK249" s="49">
        <f ca="1">SUM($L$245:AK245)-SUM($K$291:AJ291)</f>
        <v>281.25336480150145</v>
      </c>
      <c r="AL249" s="49">
        <f ca="1">SUM($L$245:AL245)-SUM($K$291:AK291)</f>
        <v>281.25336480150145</v>
      </c>
      <c r="AM249" s="49">
        <f ca="1">SUM($L$245:AM245)-SUM($K$291:AL291)</f>
        <v>281.25336480150145</v>
      </c>
      <c r="AN249" s="49">
        <f ca="1">SUM($L$245:AN245)-SUM($K$291:AM291)</f>
        <v>281.25336480150145</v>
      </c>
      <c r="AO249" s="49">
        <f ca="1">SUM($L$245:AO245)-SUM($K$291:AN291)</f>
        <v>281.25336480150145</v>
      </c>
      <c r="AP249" s="49">
        <f ca="1">SUM($L$245:AP245)-SUM($K$291:AO291)</f>
        <v>281.25336480150145</v>
      </c>
      <c r="AQ249" s="49">
        <f ca="1">SUM($L$245:AQ245)-SUM($K$291:AP291)</f>
        <v>281.25336480150145</v>
      </c>
      <c r="AR249" s="49">
        <f ca="1">SUM($L$245:AR245)-SUM($K$291:AQ291)</f>
        <v>281.25336480150145</v>
      </c>
      <c r="AS249" s="49">
        <f ca="1">SUM($L$245:AS245)-SUM($K$291:AR291)</f>
        <v>281.25336480150145</v>
      </c>
      <c r="AT249" s="49">
        <f ca="1">SUM($L$245:AT245)-SUM($K$291:AS291)</f>
        <v>281.25336480150145</v>
      </c>
      <c r="AU249" s="49">
        <f ca="1">SUM($L$245:AU245)-SUM($K$291:AT291)</f>
        <v>281.25336480150145</v>
      </c>
      <c r="AV249" s="49">
        <f ca="1">SUM($L$245:AV245)-SUM($K$291:AU291)</f>
        <v>281.25336480150145</v>
      </c>
      <c r="AW249" s="49">
        <f ca="1">SUM($L$245:AW245)-SUM($K$291:AV291)</f>
        <v>281.25336480150145</v>
      </c>
      <c r="AX249" s="49">
        <f ca="1">SUM($L$245:AX245)-SUM($K$291:AW291)</f>
        <v>281.25336480150145</v>
      </c>
      <c r="AY249" s="49">
        <f ca="1">SUM($L$245:AY245)-SUM($K$291:AX291)</f>
        <v>281.25336480150145</v>
      </c>
      <c r="AZ249" s="49">
        <f ca="1">SUM($L$245:AZ245)-SUM($K$291:AY291)</f>
        <v>281.25336480150145</v>
      </c>
      <c r="BA249" s="49">
        <f ca="1">SUM($L$245:BA245)-SUM($K$291:AZ291)</f>
        <v>281.25336480150145</v>
      </c>
      <c r="BB249" s="49">
        <f ca="1">SUM($L$245:BB245)-SUM($K$291:BA291)</f>
        <v>281.25336480150145</v>
      </c>
      <c r="BC249" s="49">
        <f ca="1">SUM($L$245:BC245)-SUM($K$291:BB291)</f>
        <v>281.25336480150145</v>
      </c>
      <c r="BD249" s="49">
        <f ca="1">SUM($L$245:BD245)-SUM($K$291:BC291)</f>
        <v>281.25336480150145</v>
      </c>
      <c r="BE249" s="49">
        <f ca="1">SUM($L$245:BE245)-SUM($K$291:BD291)</f>
        <v>281.25336480150145</v>
      </c>
      <c r="BF249" s="49">
        <f ca="1">SUM($L$245:BF245)-SUM($K$291:BE291)</f>
        <v>281.25336480150145</v>
      </c>
      <c r="BG249" s="49">
        <f ca="1">SUM($L$245:BG245)-SUM($K$291:BF291)</f>
        <v>281.25336480150145</v>
      </c>
      <c r="BH249" s="49">
        <f ca="1">SUM($L$245:BH245)-SUM($K$291:BG291)</f>
        <v>281.25336480150145</v>
      </c>
      <c r="BI249" s="49">
        <f ca="1">SUM($L$245:BI245)-SUM($K$291:BH291)</f>
        <v>281.25336480150145</v>
      </c>
      <c r="BJ249" s="49">
        <f ca="1">SUM($L$245:BJ245)-SUM($K$291:BI291)</f>
        <v>281.25336480150145</v>
      </c>
      <c r="BK249" s="49">
        <f ca="1">SUM($L$245:BK245)-SUM($K$291:BJ291)</f>
        <v>281.25336480150145</v>
      </c>
      <c r="BL249" s="49">
        <f ca="1">SUM($L$245:BL245)-SUM($K$291:BK291)</f>
        <v>281.25336480150145</v>
      </c>
      <c r="BM249" s="49">
        <f ca="1">SUM($L$245:BM245)-SUM($K$291:BL291)</f>
        <v>281.25336480150145</v>
      </c>
      <c r="BN249" s="49">
        <f ca="1">SUM($L$245:BN245)-SUM($K$291:BM291)</f>
        <v>281.25336480150145</v>
      </c>
      <c r="BO249" s="49">
        <f ca="1">SUM($L$245:BO245)-SUM($K$291:BN291)</f>
        <v>281.25336480150145</v>
      </c>
      <c r="BP249" s="49">
        <f ca="1">SUM($L$245:BP245)-SUM($K$291:BO291)</f>
        <v>281.25336480150145</v>
      </c>
      <c r="BQ249" s="49">
        <f ca="1">SUM($L$245:BQ245)-SUM($K$291:BP291)</f>
        <v>281.25336480150145</v>
      </c>
      <c r="BR249" s="49">
        <f ca="1">SUM($L$245:BR245)-SUM($K$291:BQ291)</f>
        <v>281.25336480150145</v>
      </c>
      <c r="BS249" s="49">
        <f ca="1">SUM($L$245:BS245)-SUM($K$291:BR291)</f>
        <v>281.25336480150145</v>
      </c>
    </row>
    <row r="250" spans="4:71" outlineLevel="1" x14ac:dyDescent="0.2">
      <c r="J250" s="26"/>
      <c r="L250" s="55"/>
      <c r="M250" s="55"/>
      <c r="N250" s="55"/>
      <c r="O250" s="55"/>
      <c r="P250" s="55"/>
      <c r="Q250" s="55"/>
      <c r="R250" s="55"/>
      <c r="S250" s="55"/>
      <c r="T250" s="55"/>
      <c r="U250" s="55"/>
      <c r="V250" s="55"/>
      <c r="W250" s="55"/>
      <c r="X250" s="55"/>
      <c r="Y250" s="55"/>
      <c r="Z250" s="55"/>
      <c r="AA250" s="55"/>
      <c r="AB250" s="55"/>
      <c r="AC250" s="55"/>
      <c r="AD250" s="55"/>
      <c r="AE250" s="55"/>
      <c r="AF250" s="55"/>
      <c r="AG250" s="55"/>
      <c r="AH250" s="55"/>
      <c r="AI250" s="55"/>
      <c r="AJ250" s="55"/>
      <c r="AK250" s="55"/>
      <c r="AL250" s="55"/>
      <c r="AM250" s="55"/>
      <c r="AN250" s="55"/>
      <c r="AO250" s="55"/>
      <c r="AP250" s="55"/>
      <c r="AQ250" s="55"/>
      <c r="AR250" s="55"/>
      <c r="AS250" s="55"/>
      <c r="AT250" s="55"/>
      <c r="AU250" s="55"/>
      <c r="AV250" s="55"/>
      <c r="AW250" s="55"/>
      <c r="AX250" s="55"/>
      <c r="AY250" s="55"/>
      <c r="AZ250" s="55"/>
      <c r="BA250" s="55"/>
      <c r="BB250" s="55"/>
      <c r="BC250" s="55"/>
      <c r="BD250" s="55"/>
      <c r="BE250" s="55"/>
      <c r="BF250" s="55"/>
      <c r="BG250" s="55"/>
      <c r="BH250" s="55"/>
      <c r="BI250" s="55"/>
      <c r="BJ250" s="55"/>
      <c r="BK250" s="55"/>
      <c r="BL250" s="55"/>
      <c r="BM250" s="55"/>
      <c r="BN250" s="55"/>
      <c r="BO250" s="55"/>
      <c r="BP250" s="55"/>
      <c r="BQ250" s="55"/>
      <c r="BR250" s="55"/>
      <c r="BS250" s="55"/>
    </row>
    <row r="251" spans="4:71" outlineLevel="1" x14ac:dyDescent="0.2">
      <c r="D251" s="35" t="str">
        <f>CHOOSE(db_ML_selected,'Liste Traduction'!B455,'Liste Traduction'!C455)</f>
        <v>Limite Cost stop</v>
      </c>
      <c r="J251" s="26" t="s">
        <v>90</v>
      </c>
      <c r="L251" s="49">
        <f ca="1">HM_ZD_AM3_2005!L228</f>
        <v>0.6</v>
      </c>
      <c r="M251" s="49">
        <f ca="1">HM_ZD_AM3_2005!M228</f>
        <v>0.6</v>
      </c>
      <c r="N251" s="49">
        <f ca="1">IF(HM_ZD_Moho!CA_cum_gross_sales_Total&lt;INDEX(HM_ZD_Moho!FA_CS_cumprod_oil,2),INDEX(HM_ZD_Moho!FA_CS_rate,1),
IF(HM_ZD_Moho!CA_cum_gross_sales_Total&gt;=INDEX(HM_ZD_Moho!FA_CS_cumprod_oil,3),INDEX(HM_ZD_Moho!FA_CS_rate,3),
IF(AND(HM_ZD_Moho!CA_cum_gross_sales_Total&lt;INDEX(HM_ZD_Moho!FA_CS_cumprod_oil,3),HM_ZD_Moho!CA_cum_gross_sales_Total&gt;=INDEX(HM_ZD_Moho!FA_CS_cumprod_oil,2),HM_ZD_Moho!CA_FP_oil_nom&lt;HM_ZD_Moho!CA_CS_HP_oil_nom),
INDEX(HM_ZD_Moho!FA_CS_rate,1),INDEX(HM_ZD_Moho!FA_CS_rate,2))))</f>
        <v>0.7</v>
      </c>
      <c r="O251" s="49">
        <f ca="1">IF(HM_ZD_Moho!CA_cum_gross_sales_Total&lt;INDEX(HM_ZD_Moho!FA_CS_cumprod_oil,2),INDEX(HM_ZD_Moho!FA_CS_rate,1),
IF(HM_ZD_Moho!CA_cum_gross_sales_Total&gt;=INDEX(HM_ZD_Moho!FA_CS_cumprod_oil,3),INDEX(HM_ZD_Moho!FA_CS_rate,3),
IF(AND(HM_ZD_Moho!CA_cum_gross_sales_Total&lt;INDEX(HM_ZD_Moho!FA_CS_cumprod_oil,3),HM_ZD_Moho!CA_cum_gross_sales_Total&gt;=INDEX(HM_ZD_Moho!FA_CS_cumprod_oil,2),HM_ZD_Moho!CA_FP_oil_nom&lt;HM_ZD_Moho!CA_CS_HP_oil_nom),
INDEX(HM_ZD_Moho!FA_CS_rate,1),INDEX(HM_ZD_Moho!FA_CS_rate,2))))</f>
        <v>0.7</v>
      </c>
      <c r="P251" s="49">
        <f ca="1">IF(HM_ZD_Moho!CA_cum_gross_sales_Total&lt;INDEX(HM_ZD_Moho!FA_CS_cumprod_oil,2),INDEX(HM_ZD_Moho!FA_CS_rate,1),
IF(HM_ZD_Moho!CA_cum_gross_sales_Total&gt;=INDEX(HM_ZD_Moho!FA_CS_cumprod_oil,3),INDEX(HM_ZD_Moho!FA_CS_rate,3),
IF(AND(HM_ZD_Moho!CA_cum_gross_sales_Total&lt;INDEX(HM_ZD_Moho!FA_CS_cumprod_oil,3),HM_ZD_Moho!CA_cum_gross_sales_Total&gt;=INDEX(HM_ZD_Moho!FA_CS_cumprod_oil,2),HM_ZD_Moho!CA_FP_oil_nom&lt;HM_ZD_Moho!CA_CS_HP_oil_nom),
INDEX(HM_ZD_Moho!FA_CS_rate,1),INDEX(HM_ZD_Moho!FA_CS_rate,2))))</f>
        <v>0.7</v>
      </c>
      <c r="Q251" s="49">
        <f ca="1">IF(HM_ZD_Moho!CA_cum_gross_sales_Total&lt;INDEX(HM_ZD_Moho!FA_CS_cumprod_oil,2),INDEX(HM_ZD_Moho!FA_CS_rate,1),
IF(HM_ZD_Moho!CA_cum_gross_sales_Total&gt;=INDEX(HM_ZD_Moho!FA_CS_cumprod_oil,3),INDEX(HM_ZD_Moho!FA_CS_rate,3),
IF(AND(HM_ZD_Moho!CA_cum_gross_sales_Total&lt;INDEX(HM_ZD_Moho!FA_CS_cumprod_oil,3),HM_ZD_Moho!CA_cum_gross_sales_Total&gt;=INDEX(HM_ZD_Moho!FA_CS_cumprod_oil,2),HM_ZD_Moho!CA_FP_oil_nom&lt;HM_ZD_Moho!CA_CS_HP_oil_nom),
INDEX(HM_ZD_Moho!FA_CS_rate,1),INDEX(HM_ZD_Moho!FA_CS_rate,2))))</f>
        <v>0.7</v>
      </c>
      <c r="R251" s="49">
        <f ca="1">IF(HM_ZD_Moho!CA_cum_gross_sales_Total&lt;INDEX(HM_ZD_Moho!FA_CS_cumprod_oil,2),INDEX(HM_ZD_Moho!FA_CS_rate,1),
IF(HM_ZD_Moho!CA_cum_gross_sales_Total&gt;=INDEX(HM_ZD_Moho!FA_CS_cumprod_oil,3),INDEX(HM_ZD_Moho!FA_CS_rate,3),
IF(AND(HM_ZD_Moho!CA_cum_gross_sales_Total&lt;INDEX(HM_ZD_Moho!FA_CS_cumprod_oil,3),HM_ZD_Moho!CA_cum_gross_sales_Total&gt;=INDEX(HM_ZD_Moho!FA_CS_cumprod_oil,2),HM_ZD_Moho!CA_FP_oil_nom&lt;HM_ZD_Moho!CA_CS_HP_oil_nom),
INDEX(HM_ZD_Moho!FA_CS_rate,1),INDEX(HM_ZD_Moho!FA_CS_rate,2))))</f>
        <v>0.7</v>
      </c>
      <c r="S251" s="49">
        <f ca="1">IF(HM_ZD_Moho!CA_cum_gross_sales_Total&lt;INDEX(HM_ZD_Moho!FA_CS_cumprod_oil,2),INDEX(HM_ZD_Moho!FA_CS_rate,1),
IF(HM_ZD_Moho!CA_cum_gross_sales_Total&gt;=INDEX(HM_ZD_Moho!FA_CS_cumprod_oil,3),INDEX(HM_ZD_Moho!FA_CS_rate,3),
IF(AND(HM_ZD_Moho!CA_cum_gross_sales_Total&lt;INDEX(HM_ZD_Moho!FA_CS_cumprod_oil,3),HM_ZD_Moho!CA_cum_gross_sales_Total&gt;=INDEX(HM_ZD_Moho!FA_CS_cumprod_oil,2),HM_ZD_Moho!CA_FP_oil_nom&lt;HM_ZD_Moho!CA_CS_HP_oil_nom),
INDEX(HM_ZD_Moho!FA_CS_rate,1),INDEX(HM_ZD_Moho!FA_CS_rate,2))))</f>
        <v>0.7</v>
      </c>
      <c r="T251" s="49">
        <f ca="1">IF(HM_ZD_Moho!CA_cum_gross_sales_Total&lt;INDEX(HM_ZD_Moho!FA_CS_cumprod_oil,2),INDEX(HM_ZD_Moho!FA_CS_rate,1),
IF(HM_ZD_Moho!CA_cum_gross_sales_Total&gt;=INDEX(HM_ZD_Moho!FA_CS_cumprod_oil,3),INDEX(HM_ZD_Moho!FA_CS_rate,3),
IF(AND(HM_ZD_Moho!CA_cum_gross_sales_Total&lt;INDEX(HM_ZD_Moho!FA_CS_cumprod_oil,3),HM_ZD_Moho!CA_cum_gross_sales_Total&gt;=INDEX(HM_ZD_Moho!FA_CS_cumprod_oil,2),HM_ZD_Moho!CA_FP_oil_nom&lt;HM_ZD_Moho!CA_CS_HP_oil_nom),
INDEX(HM_ZD_Moho!FA_CS_rate,1),INDEX(HM_ZD_Moho!FA_CS_rate,2))))</f>
        <v>0.7</v>
      </c>
      <c r="U251" s="49">
        <f ca="1">IF(HM_ZD_Moho!CA_cum_gross_sales_Total&lt;INDEX(HM_ZD_Moho!FA_CS_cumprod_oil,2),INDEX(HM_ZD_Moho!FA_CS_rate,1),
IF(HM_ZD_Moho!CA_cum_gross_sales_Total&gt;=INDEX(HM_ZD_Moho!FA_CS_cumprod_oil,3),INDEX(HM_ZD_Moho!FA_CS_rate,3),
IF(AND(HM_ZD_Moho!CA_cum_gross_sales_Total&lt;INDEX(HM_ZD_Moho!FA_CS_cumprod_oil,3),HM_ZD_Moho!CA_cum_gross_sales_Total&gt;=INDEX(HM_ZD_Moho!FA_CS_cumprod_oil,2),HM_ZD_Moho!CA_FP_oil_nom&lt;HM_ZD_Moho!CA_CS_HP_oil_nom),
INDEX(HM_ZD_Moho!FA_CS_rate,1),INDEX(HM_ZD_Moho!FA_CS_rate,2))))</f>
        <v>0.7</v>
      </c>
      <c r="V251" s="49">
        <f ca="1">IF(HM_ZD_Moho!CA_cum_gross_sales_Total&lt;INDEX(HM_ZD_Moho!FA_CS_cumprod_oil,2),INDEX(HM_ZD_Moho!FA_CS_rate,1),
IF(HM_ZD_Moho!CA_cum_gross_sales_Total&gt;=INDEX(HM_ZD_Moho!FA_CS_cumprod_oil,3),INDEX(HM_ZD_Moho!FA_CS_rate,3),
IF(AND(HM_ZD_Moho!CA_cum_gross_sales_Total&lt;INDEX(HM_ZD_Moho!FA_CS_cumprod_oil,3),HM_ZD_Moho!CA_cum_gross_sales_Total&gt;=INDEX(HM_ZD_Moho!FA_CS_cumprod_oil,2),HM_ZD_Moho!CA_FP_oil_nom&lt;HM_ZD_Moho!CA_CS_HP_oil_nom),
INDEX(HM_ZD_Moho!FA_CS_rate,1),INDEX(HM_ZD_Moho!FA_CS_rate,2))))</f>
        <v>0.7</v>
      </c>
      <c r="W251" s="49">
        <f ca="1">IF(HM_ZD_Moho!CA_cum_gross_sales_Total&lt;INDEX(HM_ZD_Moho!FA_CS_cumprod_oil,2),INDEX(HM_ZD_Moho!FA_CS_rate,1),
IF(HM_ZD_Moho!CA_cum_gross_sales_Total&gt;=INDEX(HM_ZD_Moho!FA_CS_cumprod_oil,3),INDEX(HM_ZD_Moho!FA_CS_rate,3),
IF(AND(HM_ZD_Moho!CA_cum_gross_sales_Total&lt;INDEX(HM_ZD_Moho!FA_CS_cumprod_oil,3),HM_ZD_Moho!CA_cum_gross_sales_Total&gt;=INDEX(HM_ZD_Moho!FA_CS_cumprod_oil,2),HM_ZD_Moho!CA_FP_oil_nom&lt;HM_ZD_Moho!CA_CS_HP_oil_nom),
INDEX(HM_ZD_Moho!FA_CS_rate,1),INDEX(HM_ZD_Moho!FA_CS_rate,2))))</f>
        <v>0.5</v>
      </c>
      <c r="X251" s="49">
        <f ca="1">IF(HM_ZD_Moho!CA_cum_gross_sales_Total&lt;INDEX(HM_ZD_Moho!FA_CS_cumprod_oil,2),INDEX(HM_ZD_Moho!FA_CS_rate,1),
IF(HM_ZD_Moho!CA_cum_gross_sales_Total&gt;=INDEX(HM_ZD_Moho!FA_CS_cumprod_oil,3),INDEX(HM_ZD_Moho!FA_CS_rate,3),
IF(AND(HM_ZD_Moho!CA_cum_gross_sales_Total&lt;INDEX(HM_ZD_Moho!FA_CS_cumprod_oil,3),HM_ZD_Moho!CA_cum_gross_sales_Total&gt;=INDEX(HM_ZD_Moho!FA_CS_cumprod_oil,2),HM_ZD_Moho!CA_FP_oil_nom&lt;HM_ZD_Moho!CA_CS_HP_oil_nom),
INDEX(HM_ZD_Moho!FA_CS_rate,1),INDEX(HM_ZD_Moho!FA_CS_rate,2))))</f>
        <v>0.5</v>
      </c>
      <c r="Y251" s="49">
        <f ca="1">IF(HM_ZD_Moho!CA_cum_gross_sales_Total&lt;INDEX(HM_ZD_Moho!FA_CS_cumprod_oil,2),INDEX(HM_ZD_Moho!FA_CS_rate,1),
IF(HM_ZD_Moho!CA_cum_gross_sales_Total&gt;=INDEX(HM_ZD_Moho!FA_CS_cumprod_oil,3),INDEX(HM_ZD_Moho!FA_CS_rate,3),
IF(AND(HM_ZD_Moho!CA_cum_gross_sales_Total&lt;INDEX(HM_ZD_Moho!FA_CS_cumprod_oil,3),HM_ZD_Moho!CA_cum_gross_sales_Total&gt;=INDEX(HM_ZD_Moho!FA_CS_cumprod_oil,2),HM_ZD_Moho!CA_FP_oil_nom&lt;HM_ZD_Moho!CA_CS_HP_oil_nom),
INDEX(HM_ZD_Moho!FA_CS_rate,1),INDEX(HM_ZD_Moho!FA_CS_rate,2))))</f>
        <v>0.5</v>
      </c>
      <c r="Z251" s="49">
        <f ca="1">IF(HM_ZD_Moho!CA_cum_gross_sales_Total&lt;INDEX(HM_ZD_Moho!FA_CS_cumprod_oil,2),INDEX(HM_ZD_Moho!FA_CS_rate,1),
IF(HM_ZD_Moho!CA_cum_gross_sales_Total&gt;=INDEX(HM_ZD_Moho!FA_CS_cumprod_oil,3),INDEX(HM_ZD_Moho!FA_CS_rate,3),
IF(AND(HM_ZD_Moho!CA_cum_gross_sales_Total&lt;INDEX(HM_ZD_Moho!FA_CS_cumprod_oil,3),HM_ZD_Moho!CA_cum_gross_sales_Total&gt;=INDEX(HM_ZD_Moho!FA_CS_cumprod_oil,2),HM_ZD_Moho!CA_FP_oil_nom&lt;HM_ZD_Moho!CA_CS_HP_oil_nom),
INDEX(HM_ZD_Moho!FA_CS_rate,1),INDEX(HM_ZD_Moho!FA_CS_rate,2))))</f>
        <v>0.5</v>
      </c>
      <c r="AA251" s="49">
        <f ca="1">IF(HM_ZD_Moho!CA_cum_gross_sales_Total&lt;INDEX(HM_ZD_Moho!FA_CS_cumprod_oil,2),INDEX(HM_ZD_Moho!FA_CS_rate,1),
IF(HM_ZD_Moho!CA_cum_gross_sales_Total&gt;=INDEX(HM_ZD_Moho!FA_CS_cumprod_oil,3),INDEX(HM_ZD_Moho!FA_CS_rate,3),
IF(AND(HM_ZD_Moho!CA_cum_gross_sales_Total&lt;INDEX(HM_ZD_Moho!FA_CS_cumprod_oil,3),HM_ZD_Moho!CA_cum_gross_sales_Total&gt;=INDEX(HM_ZD_Moho!FA_CS_cumprod_oil,2),HM_ZD_Moho!CA_FP_oil_nom&lt;HM_ZD_Moho!CA_CS_HP_oil_nom),
INDEX(HM_ZD_Moho!FA_CS_rate,1),INDEX(HM_ZD_Moho!FA_CS_rate,2))))</f>
        <v>0.5</v>
      </c>
      <c r="AB251" s="49">
        <f ca="1">IF(HM_ZD_Moho!CA_cum_gross_sales_Total&lt;INDEX(HM_ZD_Moho!FA_CS_cumprod_oil,2),INDEX(HM_ZD_Moho!FA_CS_rate,1),
IF(HM_ZD_Moho!CA_cum_gross_sales_Total&gt;=INDEX(HM_ZD_Moho!FA_CS_cumprod_oil,3),INDEX(HM_ZD_Moho!FA_CS_rate,3),
IF(AND(HM_ZD_Moho!CA_cum_gross_sales_Total&lt;INDEX(HM_ZD_Moho!FA_CS_cumprod_oil,3),HM_ZD_Moho!CA_cum_gross_sales_Total&gt;=INDEX(HM_ZD_Moho!FA_CS_cumprod_oil,2),HM_ZD_Moho!CA_FP_oil_nom&lt;HM_ZD_Moho!CA_CS_HP_oil_nom),
INDEX(HM_ZD_Moho!FA_CS_rate,1),INDEX(HM_ZD_Moho!FA_CS_rate,2))))</f>
        <v>0.5</v>
      </c>
      <c r="AC251" s="49">
        <f ca="1">IF(HM_ZD_Moho!CA_cum_gross_sales_Total&lt;INDEX(HM_ZD_Moho!FA_CS_cumprod_oil,2),INDEX(HM_ZD_Moho!FA_CS_rate,1),
IF(HM_ZD_Moho!CA_cum_gross_sales_Total&gt;=INDEX(HM_ZD_Moho!FA_CS_cumprod_oil,3),INDEX(HM_ZD_Moho!FA_CS_rate,3),
IF(AND(HM_ZD_Moho!CA_cum_gross_sales_Total&lt;INDEX(HM_ZD_Moho!FA_CS_cumprod_oil,3),HM_ZD_Moho!CA_cum_gross_sales_Total&gt;=INDEX(HM_ZD_Moho!FA_CS_cumprod_oil,2),HM_ZD_Moho!CA_FP_oil_nom&lt;HM_ZD_Moho!CA_CS_HP_oil_nom),
INDEX(HM_ZD_Moho!FA_CS_rate,1),INDEX(HM_ZD_Moho!FA_CS_rate,2))))</f>
        <v>0.5</v>
      </c>
      <c r="AD251" s="49">
        <f ca="1">IF(HM_ZD_Moho!CA_cum_gross_sales_Total&lt;INDEX(HM_ZD_Moho!FA_CS_cumprod_oil,2),INDEX(HM_ZD_Moho!FA_CS_rate,1),
IF(HM_ZD_Moho!CA_cum_gross_sales_Total&gt;=INDEX(HM_ZD_Moho!FA_CS_cumprod_oil,3),INDEX(HM_ZD_Moho!FA_CS_rate,3),
IF(AND(HM_ZD_Moho!CA_cum_gross_sales_Total&lt;INDEX(HM_ZD_Moho!FA_CS_cumprod_oil,3),HM_ZD_Moho!CA_cum_gross_sales_Total&gt;=INDEX(HM_ZD_Moho!FA_CS_cumprod_oil,2),HM_ZD_Moho!CA_FP_oil_nom&lt;HM_ZD_Moho!CA_CS_HP_oil_nom),
INDEX(HM_ZD_Moho!FA_CS_rate,1),INDEX(HM_ZD_Moho!FA_CS_rate,2))))</f>
        <v>0.5</v>
      </c>
      <c r="AE251" s="49">
        <f ca="1">IF(HM_ZD_Moho!CA_cum_gross_sales_Total&lt;INDEX(HM_ZD_Moho!FA_CS_cumprod_oil,2),INDEX(HM_ZD_Moho!FA_CS_rate,1),
IF(HM_ZD_Moho!CA_cum_gross_sales_Total&gt;=INDEX(HM_ZD_Moho!FA_CS_cumprod_oil,3),INDEX(HM_ZD_Moho!FA_CS_rate,3),
IF(AND(HM_ZD_Moho!CA_cum_gross_sales_Total&lt;INDEX(HM_ZD_Moho!FA_CS_cumprod_oil,3),HM_ZD_Moho!CA_cum_gross_sales_Total&gt;=INDEX(HM_ZD_Moho!FA_CS_cumprod_oil,2),HM_ZD_Moho!CA_FP_oil_nom&lt;HM_ZD_Moho!CA_CS_HP_oil_nom),
INDEX(HM_ZD_Moho!FA_CS_rate,1),INDEX(HM_ZD_Moho!FA_CS_rate,2))))</f>
        <v>0.5</v>
      </c>
      <c r="AF251" s="49">
        <f ca="1">IF(HM_ZD_Moho!CA_cum_gross_sales_Total&lt;INDEX(HM_ZD_Moho!FA_CS_cumprod_oil,2),INDEX(HM_ZD_Moho!FA_CS_rate,1),
IF(HM_ZD_Moho!CA_cum_gross_sales_Total&gt;=INDEX(HM_ZD_Moho!FA_CS_cumprod_oil,3),INDEX(HM_ZD_Moho!FA_CS_rate,3),
IF(AND(HM_ZD_Moho!CA_cum_gross_sales_Total&lt;INDEX(HM_ZD_Moho!FA_CS_cumprod_oil,3),HM_ZD_Moho!CA_cum_gross_sales_Total&gt;=INDEX(HM_ZD_Moho!FA_CS_cumprod_oil,2),HM_ZD_Moho!CA_FP_oil_nom&lt;HM_ZD_Moho!CA_CS_HP_oil_nom),
INDEX(HM_ZD_Moho!FA_CS_rate,1),INDEX(HM_ZD_Moho!FA_CS_rate,2))))</f>
        <v>0.5</v>
      </c>
      <c r="AG251" s="49">
        <f ca="1">IF(HM_ZD_Moho!CA_cum_gross_sales_Total&lt;INDEX(HM_ZD_Moho!FA_CS_cumprod_oil,2),INDEX(HM_ZD_Moho!FA_CS_rate,1),
IF(HM_ZD_Moho!CA_cum_gross_sales_Total&gt;=INDEX(HM_ZD_Moho!FA_CS_cumprod_oil,3),INDEX(HM_ZD_Moho!FA_CS_rate,3),
IF(AND(HM_ZD_Moho!CA_cum_gross_sales_Total&lt;INDEX(HM_ZD_Moho!FA_CS_cumprod_oil,3),HM_ZD_Moho!CA_cum_gross_sales_Total&gt;=INDEX(HM_ZD_Moho!FA_CS_cumprod_oil,2),HM_ZD_Moho!CA_FP_oil_nom&lt;HM_ZD_Moho!CA_CS_HP_oil_nom),
INDEX(HM_ZD_Moho!FA_CS_rate,1),INDEX(HM_ZD_Moho!FA_CS_rate,2))))</f>
        <v>0.5</v>
      </c>
      <c r="AH251" s="49">
        <f ca="1">IF(HM_ZD_Moho!CA_cum_gross_sales_Total&lt;INDEX(HM_ZD_Moho!FA_CS_cumprod_oil,2),INDEX(HM_ZD_Moho!FA_CS_rate,1),
IF(HM_ZD_Moho!CA_cum_gross_sales_Total&gt;=INDEX(HM_ZD_Moho!FA_CS_cumprod_oil,3),INDEX(HM_ZD_Moho!FA_CS_rate,3),
IF(AND(HM_ZD_Moho!CA_cum_gross_sales_Total&lt;INDEX(HM_ZD_Moho!FA_CS_cumprod_oil,3),HM_ZD_Moho!CA_cum_gross_sales_Total&gt;=INDEX(HM_ZD_Moho!FA_CS_cumprod_oil,2),HM_ZD_Moho!CA_FP_oil_nom&lt;HM_ZD_Moho!CA_CS_HP_oil_nom),
INDEX(HM_ZD_Moho!FA_CS_rate,1),INDEX(HM_ZD_Moho!FA_CS_rate,2))))</f>
        <v>0.5</v>
      </c>
      <c r="AI251" s="49">
        <f ca="1">IF(HM_ZD_Moho!CA_cum_gross_sales_Total&lt;INDEX(HM_ZD_Moho!FA_CS_cumprod_oil,2),INDEX(HM_ZD_Moho!FA_CS_rate,1),
IF(HM_ZD_Moho!CA_cum_gross_sales_Total&gt;=INDEX(HM_ZD_Moho!FA_CS_cumprod_oil,3),INDEX(HM_ZD_Moho!FA_CS_rate,3),
IF(AND(HM_ZD_Moho!CA_cum_gross_sales_Total&lt;INDEX(HM_ZD_Moho!FA_CS_cumprod_oil,3),HM_ZD_Moho!CA_cum_gross_sales_Total&gt;=INDEX(HM_ZD_Moho!FA_CS_cumprod_oil,2),HM_ZD_Moho!CA_FP_oil_nom&lt;HM_ZD_Moho!CA_CS_HP_oil_nom),
INDEX(HM_ZD_Moho!FA_CS_rate,1),INDEX(HM_ZD_Moho!FA_CS_rate,2))))</f>
        <v>0.5</v>
      </c>
      <c r="AJ251" s="49">
        <f ca="1">IF(HM_ZD_Moho!CA_cum_gross_sales_Total&lt;INDEX(HM_ZD_Moho!FA_CS_cumprod_oil,2),INDEX(HM_ZD_Moho!FA_CS_rate,1),
IF(HM_ZD_Moho!CA_cum_gross_sales_Total&gt;=INDEX(HM_ZD_Moho!FA_CS_cumprod_oil,3),INDEX(HM_ZD_Moho!FA_CS_rate,3),
IF(AND(HM_ZD_Moho!CA_cum_gross_sales_Total&lt;INDEX(HM_ZD_Moho!FA_CS_cumprod_oil,3),HM_ZD_Moho!CA_cum_gross_sales_Total&gt;=INDEX(HM_ZD_Moho!FA_CS_cumprod_oil,2),HM_ZD_Moho!CA_FP_oil_nom&lt;HM_ZD_Moho!CA_CS_HP_oil_nom),
INDEX(HM_ZD_Moho!FA_CS_rate,1),INDEX(HM_ZD_Moho!FA_CS_rate,2))))</f>
        <v>0.5</v>
      </c>
      <c r="AK251" s="49">
        <f ca="1">IF(HM_ZD_Moho!CA_cum_gross_sales_Total&lt;INDEX(HM_ZD_Moho!FA_CS_cumprod_oil,2),INDEX(HM_ZD_Moho!FA_CS_rate,1),
IF(HM_ZD_Moho!CA_cum_gross_sales_Total&gt;=INDEX(HM_ZD_Moho!FA_CS_cumprod_oil,3),INDEX(HM_ZD_Moho!FA_CS_rate,3),
IF(AND(HM_ZD_Moho!CA_cum_gross_sales_Total&lt;INDEX(HM_ZD_Moho!FA_CS_cumprod_oil,3),HM_ZD_Moho!CA_cum_gross_sales_Total&gt;=INDEX(HM_ZD_Moho!FA_CS_cumprod_oil,2),HM_ZD_Moho!CA_FP_oil_nom&lt;HM_ZD_Moho!CA_CS_HP_oil_nom),
INDEX(HM_ZD_Moho!FA_CS_rate,1),INDEX(HM_ZD_Moho!FA_CS_rate,2))))</f>
        <v>0.5</v>
      </c>
      <c r="AL251" s="49">
        <f ca="1">IF(HM_ZD_Moho!CA_cum_gross_sales_Total&lt;INDEX(HM_ZD_Moho!FA_CS_cumprod_oil,2),INDEX(HM_ZD_Moho!FA_CS_rate,1),
IF(HM_ZD_Moho!CA_cum_gross_sales_Total&gt;=INDEX(HM_ZD_Moho!FA_CS_cumprod_oil,3),INDEX(HM_ZD_Moho!FA_CS_rate,3),
IF(AND(HM_ZD_Moho!CA_cum_gross_sales_Total&lt;INDEX(HM_ZD_Moho!FA_CS_cumprod_oil,3),HM_ZD_Moho!CA_cum_gross_sales_Total&gt;=INDEX(HM_ZD_Moho!FA_CS_cumprod_oil,2),HM_ZD_Moho!CA_FP_oil_nom&lt;HM_ZD_Moho!CA_CS_HP_oil_nom),
INDEX(HM_ZD_Moho!FA_CS_rate,1),INDEX(HM_ZD_Moho!FA_CS_rate,2))))</f>
        <v>0.5</v>
      </c>
      <c r="AM251" s="49">
        <f ca="1">IF(HM_ZD_Moho!CA_cum_gross_sales_Total&lt;INDEX(HM_ZD_Moho!FA_CS_cumprod_oil,2),INDEX(HM_ZD_Moho!FA_CS_rate,1),
IF(HM_ZD_Moho!CA_cum_gross_sales_Total&gt;=INDEX(HM_ZD_Moho!FA_CS_cumprod_oil,3),INDEX(HM_ZD_Moho!FA_CS_rate,3),
IF(AND(HM_ZD_Moho!CA_cum_gross_sales_Total&lt;INDEX(HM_ZD_Moho!FA_CS_cumprod_oil,3),HM_ZD_Moho!CA_cum_gross_sales_Total&gt;=INDEX(HM_ZD_Moho!FA_CS_cumprod_oil,2),HM_ZD_Moho!CA_FP_oil_nom&lt;HM_ZD_Moho!CA_CS_HP_oil_nom),
INDEX(HM_ZD_Moho!FA_CS_rate,1),INDEX(HM_ZD_Moho!FA_CS_rate,2))))</f>
        <v>0.5</v>
      </c>
      <c r="AN251" s="49">
        <f ca="1">IF(HM_ZD_Moho!CA_cum_gross_sales_Total&lt;INDEX(HM_ZD_Moho!FA_CS_cumprod_oil,2),INDEX(HM_ZD_Moho!FA_CS_rate,1),
IF(HM_ZD_Moho!CA_cum_gross_sales_Total&gt;=INDEX(HM_ZD_Moho!FA_CS_cumprod_oil,3),INDEX(HM_ZD_Moho!FA_CS_rate,3),
IF(AND(HM_ZD_Moho!CA_cum_gross_sales_Total&lt;INDEX(HM_ZD_Moho!FA_CS_cumprod_oil,3),HM_ZD_Moho!CA_cum_gross_sales_Total&gt;=INDEX(HM_ZD_Moho!FA_CS_cumprod_oil,2),HM_ZD_Moho!CA_FP_oil_nom&lt;HM_ZD_Moho!CA_CS_HP_oil_nom),
INDEX(HM_ZD_Moho!FA_CS_rate,1),INDEX(HM_ZD_Moho!FA_CS_rate,2))))</f>
        <v>0.5</v>
      </c>
      <c r="AO251" s="49">
        <f ca="1">IF(HM_ZD_Moho!CA_cum_gross_sales_Total&lt;INDEX(HM_ZD_Moho!FA_CS_cumprod_oil,2),INDEX(HM_ZD_Moho!FA_CS_rate,1),
IF(HM_ZD_Moho!CA_cum_gross_sales_Total&gt;=INDEX(HM_ZD_Moho!FA_CS_cumprod_oil,3),INDEX(HM_ZD_Moho!FA_CS_rate,3),
IF(AND(HM_ZD_Moho!CA_cum_gross_sales_Total&lt;INDEX(HM_ZD_Moho!FA_CS_cumprod_oil,3),HM_ZD_Moho!CA_cum_gross_sales_Total&gt;=INDEX(HM_ZD_Moho!FA_CS_cumprod_oil,2),HM_ZD_Moho!CA_FP_oil_nom&lt;HM_ZD_Moho!CA_CS_HP_oil_nom),
INDEX(HM_ZD_Moho!FA_CS_rate,1),INDEX(HM_ZD_Moho!FA_CS_rate,2))))</f>
        <v>0.5</v>
      </c>
      <c r="AP251" s="49">
        <f ca="1">IF(HM_ZD_Moho!CA_cum_gross_sales_Total&lt;INDEX(HM_ZD_Moho!FA_CS_cumprod_oil,2),INDEX(HM_ZD_Moho!FA_CS_rate,1),
IF(HM_ZD_Moho!CA_cum_gross_sales_Total&gt;=INDEX(HM_ZD_Moho!FA_CS_cumprod_oil,3),INDEX(HM_ZD_Moho!FA_CS_rate,3),
IF(AND(HM_ZD_Moho!CA_cum_gross_sales_Total&lt;INDEX(HM_ZD_Moho!FA_CS_cumprod_oil,3),HM_ZD_Moho!CA_cum_gross_sales_Total&gt;=INDEX(HM_ZD_Moho!FA_CS_cumprod_oil,2),HM_ZD_Moho!CA_FP_oil_nom&lt;HM_ZD_Moho!CA_CS_HP_oil_nom),
INDEX(HM_ZD_Moho!FA_CS_rate,1),INDEX(HM_ZD_Moho!FA_CS_rate,2))))</f>
        <v>0.5</v>
      </c>
      <c r="AQ251" s="49">
        <f ca="1">IF(HM_ZD_Moho!CA_cum_gross_sales_Total&lt;INDEX(HM_ZD_Moho!FA_CS_cumprod_oil,2),INDEX(HM_ZD_Moho!FA_CS_rate,1),
IF(HM_ZD_Moho!CA_cum_gross_sales_Total&gt;=INDEX(HM_ZD_Moho!FA_CS_cumprod_oil,3),INDEX(HM_ZD_Moho!FA_CS_rate,3),
IF(AND(HM_ZD_Moho!CA_cum_gross_sales_Total&lt;INDEX(HM_ZD_Moho!FA_CS_cumprod_oil,3),HM_ZD_Moho!CA_cum_gross_sales_Total&gt;=INDEX(HM_ZD_Moho!FA_CS_cumprod_oil,2),HM_ZD_Moho!CA_FP_oil_nom&lt;HM_ZD_Moho!CA_CS_HP_oil_nom),
INDEX(HM_ZD_Moho!FA_CS_rate,1),INDEX(HM_ZD_Moho!FA_CS_rate,2))))</f>
        <v>0.5</v>
      </c>
      <c r="AR251" s="49">
        <f ca="1">IF(HM_ZD_Moho!CA_cum_gross_sales_Total&lt;INDEX(HM_ZD_Moho!FA_CS_cumprod_oil,2),INDEX(HM_ZD_Moho!FA_CS_rate,1),
IF(HM_ZD_Moho!CA_cum_gross_sales_Total&gt;=INDEX(HM_ZD_Moho!FA_CS_cumprod_oil,3),INDEX(HM_ZD_Moho!FA_CS_rate,3),
IF(AND(HM_ZD_Moho!CA_cum_gross_sales_Total&lt;INDEX(HM_ZD_Moho!FA_CS_cumprod_oil,3),HM_ZD_Moho!CA_cum_gross_sales_Total&gt;=INDEX(HM_ZD_Moho!FA_CS_cumprod_oil,2),HM_ZD_Moho!CA_FP_oil_nom&lt;HM_ZD_Moho!CA_CS_HP_oil_nom),
INDEX(HM_ZD_Moho!FA_CS_rate,1),INDEX(HM_ZD_Moho!FA_CS_rate,2))))</f>
        <v>0.5</v>
      </c>
      <c r="AS251" s="49">
        <f ca="1">IF(HM_ZD_Moho!CA_cum_gross_sales_Total&lt;INDEX(HM_ZD_Moho!FA_CS_cumprod_oil,2),INDEX(HM_ZD_Moho!FA_CS_rate,1),
IF(HM_ZD_Moho!CA_cum_gross_sales_Total&gt;=INDEX(HM_ZD_Moho!FA_CS_cumprod_oil,3),INDEX(HM_ZD_Moho!FA_CS_rate,3),
IF(AND(HM_ZD_Moho!CA_cum_gross_sales_Total&lt;INDEX(HM_ZD_Moho!FA_CS_cumprod_oil,3),HM_ZD_Moho!CA_cum_gross_sales_Total&gt;=INDEX(HM_ZD_Moho!FA_CS_cumprod_oil,2),HM_ZD_Moho!CA_FP_oil_nom&lt;HM_ZD_Moho!CA_CS_HP_oil_nom),
INDEX(HM_ZD_Moho!FA_CS_rate,1),INDEX(HM_ZD_Moho!FA_CS_rate,2))))</f>
        <v>0.5</v>
      </c>
      <c r="AT251" s="49">
        <f ca="1">IF(HM_ZD_Moho!CA_cum_gross_sales_Total&lt;INDEX(HM_ZD_Moho!FA_CS_cumprod_oil,2),INDEX(HM_ZD_Moho!FA_CS_rate,1),
IF(HM_ZD_Moho!CA_cum_gross_sales_Total&gt;=INDEX(HM_ZD_Moho!FA_CS_cumprod_oil,3),INDEX(HM_ZD_Moho!FA_CS_rate,3),
IF(AND(HM_ZD_Moho!CA_cum_gross_sales_Total&lt;INDEX(HM_ZD_Moho!FA_CS_cumprod_oil,3),HM_ZD_Moho!CA_cum_gross_sales_Total&gt;=INDEX(HM_ZD_Moho!FA_CS_cumprod_oil,2),HM_ZD_Moho!CA_FP_oil_nom&lt;HM_ZD_Moho!CA_CS_HP_oil_nom),
INDEX(HM_ZD_Moho!FA_CS_rate,1),INDEX(HM_ZD_Moho!FA_CS_rate,2))))</f>
        <v>0.5</v>
      </c>
      <c r="AU251" s="49">
        <f ca="1">IF(HM_ZD_Moho!CA_cum_gross_sales_Total&lt;INDEX(HM_ZD_Moho!FA_CS_cumprod_oil,2),INDEX(HM_ZD_Moho!FA_CS_rate,1),
IF(HM_ZD_Moho!CA_cum_gross_sales_Total&gt;=INDEX(HM_ZD_Moho!FA_CS_cumprod_oil,3),INDEX(HM_ZD_Moho!FA_CS_rate,3),
IF(AND(HM_ZD_Moho!CA_cum_gross_sales_Total&lt;INDEX(HM_ZD_Moho!FA_CS_cumprod_oil,3),HM_ZD_Moho!CA_cum_gross_sales_Total&gt;=INDEX(HM_ZD_Moho!FA_CS_cumprod_oil,2),HM_ZD_Moho!CA_FP_oil_nom&lt;HM_ZD_Moho!CA_CS_HP_oil_nom),
INDEX(HM_ZD_Moho!FA_CS_rate,1),INDEX(HM_ZD_Moho!FA_CS_rate,2))))</f>
        <v>0.5</v>
      </c>
      <c r="AV251" s="49">
        <f ca="1">IF(HM_ZD_Moho!CA_cum_gross_sales_Total&lt;INDEX(HM_ZD_Moho!FA_CS_cumprod_oil,2),INDEX(HM_ZD_Moho!FA_CS_rate,1),
IF(HM_ZD_Moho!CA_cum_gross_sales_Total&gt;=INDEX(HM_ZD_Moho!FA_CS_cumprod_oil,3),INDEX(HM_ZD_Moho!FA_CS_rate,3),
IF(AND(HM_ZD_Moho!CA_cum_gross_sales_Total&lt;INDEX(HM_ZD_Moho!FA_CS_cumprod_oil,3),HM_ZD_Moho!CA_cum_gross_sales_Total&gt;=INDEX(HM_ZD_Moho!FA_CS_cumprod_oil,2),HM_ZD_Moho!CA_FP_oil_nom&lt;HM_ZD_Moho!CA_CS_HP_oil_nom),
INDEX(HM_ZD_Moho!FA_CS_rate,1),INDEX(HM_ZD_Moho!FA_CS_rate,2))))</f>
        <v>0.5</v>
      </c>
      <c r="AW251" s="49">
        <f ca="1">IF(HM_ZD_Moho!CA_cum_gross_sales_Total&lt;INDEX(HM_ZD_Moho!FA_CS_cumprod_oil,2),INDEX(HM_ZD_Moho!FA_CS_rate,1),
IF(HM_ZD_Moho!CA_cum_gross_sales_Total&gt;=INDEX(HM_ZD_Moho!FA_CS_cumprod_oil,3),INDEX(HM_ZD_Moho!FA_CS_rate,3),
IF(AND(HM_ZD_Moho!CA_cum_gross_sales_Total&lt;INDEX(HM_ZD_Moho!FA_CS_cumprod_oil,3),HM_ZD_Moho!CA_cum_gross_sales_Total&gt;=INDEX(HM_ZD_Moho!FA_CS_cumprod_oil,2),HM_ZD_Moho!CA_FP_oil_nom&lt;HM_ZD_Moho!CA_CS_HP_oil_nom),
INDEX(HM_ZD_Moho!FA_CS_rate,1),INDEX(HM_ZD_Moho!FA_CS_rate,2))))</f>
        <v>0.5</v>
      </c>
      <c r="AX251" s="49">
        <f ca="1">IF(HM_ZD_Moho!CA_cum_gross_sales_Total&lt;INDEX(HM_ZD_Moho!FA_CS_cumprod_oil,2),INDEX(HM_ZD_Moho!FA_CS_rate,1),
IF(HM_ZD_Moho!CA_cum_gross_sales_Total&gt;=INDEX(HM_ZD_Moho!FA_CS_cumprod_oil,3),INDEX(HM_ZD_Moho!FA_CS_rate,3),
IF(AND(HM_ZD_Moho!CA_cum_gross_sales_Total&lt;INDEX(HM_ZD_Moho!FA_CS_cumprod_oil,3),HM_ZD_Moho!CA_cum_gross_sales_Total&gt;=INDEX(HM_ZD_Moho!FA_CS_cumprod_oil,2),HM_ZD_Moho!CA_FP_oil_nom&lt;HM_ZD_Moho!CA_CS_HP_oil_nom),
INDEX(HM_ZD_Moho!FA_CS_rate,1),INDEX(HM_ZD_Moho!FA_CS_rate,2))))</f>
        <v>0.5</v>
      </c>
      <c r="AY251" s="49">
        <f ca="1">IF(HM_ZD_Moho!CA_cum_gross_sales_Total&lt;INDEX(HM_ZD_Moho!FA_CS_cumprod_oil,2),INDEX(HM_ZD_Moho!FA_CS_rate,1),
IF(HM_ZD_Moho!CA_cum_gross_sales_Total&gt;=INDEX(HM_ZD_Moho!FA_CS_cumprod_oil,3),INDEX(HM_ZD_Moho!FA_CS_rate,3),
IF(AND(HM_ZD_Moho!CA_cum_gross_sales_Total&lt;INDEX(HM_ZD_Moho!FA_CS_cumprod_oil,3),HM_ZD_Moho!CA_cum_gross_sales_Total&gt;=INDEX(HM_ZD_Moho!FA_CS_cumprod_oil,2),HM_ZD_Moho!CA_FP_oil_nom&lt;HM_ZD_Moho!CA_CS_HP_oil_nom),
INDEX(HM_ZD_Moho!FA_CS_rate,1),INDEX(HM_ZD_Moho!FA_CS_rate,2))))</f>
        <v>0.5</v>
      </c>
      <c r="AZ251" s="49">
        <f ca="1">IF(HM_ZD_Moho!CA_cum_gross_sales_Total&lt;INDEX(HM_ZD_Moho!FA_CS_cumprod_oil,2),INDEX(HM_ZD_Moho!FA_CS_rate,1),
IF(HM_ZD_Moho!CA_cum_gross_sales_Total&gt;=INDEX(HM_ZD_Moho!FA_CS_cumprod_oil,3),INDEX(HM_ZD_Moho!FA_CS_rate,3),
IF(AND(HM_ZD_Moho!CA_cum_gross_sales_Total&lt;INDEX(HM_ZD_Moho!FA_CS_cumprod_oil,3),HM_ZD_Moho!CA_cum_gross_sales_Total&gt;=INDEX(HM_ZD_Moho!FA_CS_cumprod_oil,2),HM_ZD_Moho!CA_FP_oil_nom&lt;HM_ZD_Moho!CA_CS_HP_oil_nom),
INDEX(HM_ZD_Moho!FA_CS_rate,1),INDEX(HM_ZD_Moho!FA_CS_rate,2))))</f>
        <v>0.5</v>
      </c>
      <c r="BA251" s="49">
        <f ca="1">IF(HM_ZD_Moho!CA_cum_gross_sales_Total&lt;INDEX(HM_ZD_Moho!FA_CS_cumprod_oil,2),INDEX(HM_ZD_Moho!FA_CS_rate,1),
IF(HM_ZD_Moho!CA_cum_gross_sales_Total&gt;=INDEX(HM_ZD_Moho!FA_CS_cumprod_oil,3),INDEX(HM_ZD_Moho!FA_CS_rate,3),
IF(AND(HM_ZD_Moho!CA_cum_gross_sales_Total&lt;INDEX(HM_ZD_Moho!FA_CS_cumprod_oil,3),HM_ZD_Moho!CA_cum_gross_sales_Total&gt;=INDEX(HM_ZD_Moho!FA_CS_cumprod_oil,2),HM_ZD_Moho!CA_FP_oil_nom&lt;HM_ZD_Moho!CA_CS_HP_oil_nom),
INDEX(HM_ZD_Moho!FA_CS_rate,1),INDEX(HM_ZD_Moho!FA_CS_rate,2))))</f>
        <v>0.5</v>
      </c>
      <c r="BB251" s="49">
        <f ca="1">IF(HM_ZD_Moho!CA_cum_gross_sales_Total&lt;INDEX(HM_ZD_Moho!FA_CS_cumprod_oil,2),INDEX(HM_ZD_Moho!FA_CS_rate,1),
IF(HM_ZD_Moho!CA_cum_gross_sales_Total&gt;=INDEX(HM_ZD_Moho!FA_CS_cumprod_oil,3),INDEX(HM_ZD_Moho!FA_CS_rate,3),
IF(AND(HM_ZD_Moho!CA_cum_gross_sales_Total&lt;INDEX(HM_ZD_Moho!FA_CS_cumprod_oil,3),HM_ZD_Moho!CA_cum_gross_sales_Total&gt;=INDEX(HM_ZD_Moho!FA_CS_cumprod_oil,2),HM_ZD_Moho!CA_FP_oil_nom&lt;HM_ZD_Moho!CA_CS_HP_oil_nom),
INDEX(HM_ZD_Moho!FA_CS_rate,1),INDEX(HM_ZD_Moho!FA_CS_rate,2))))</f>
        <v>0.5</v>
      </c>
      <c r="BC251" s="49">
        <f ca="1">IF(HM_ZD_Moho!CA_cum_gross_sales_Total&lt;INDEX(HM_ZD_Moho!FA_CS_cumprod_oil,2),INDEX(HM_ZD_Moho!FA_CS_rate,1),
IF(HM_ZD_Moho!CA_cum_gross_sales_Total&gt;=INDEX(HM_ZD_Moho!FA_CS_cumprod_oil,3),INDEX(HM_ZD_Moho!FA_CS_rate,3),
IF(AND(HM_ZD_Moho!CA_cum_gross_sales_Total&lt;INDEX(HM_ZD_Moho!FA_CS_cumprod_oil,3),HM_ZD_Moho!CA_cum_gross_sales_Total&gt;=INDEX(HM_ZD_Moho!FA_CS_cumprod_oil,2),HM_ZD_Moho!CA_FP_oil_nom&lt;HM_ZD_Moho!CA_CS_HP_oil_nom),
INDEX(HM_ZD_Moho!FA_CS_rate,1),INDEX(HM_ZD_Moho!FA_CS_rate,2))))</f>
        <v>0.5</v>
      </c>
      <c r="BD251" s="49">
        <f ca="1">IF(HM_ZD_Moho!CA_cum_gross_sales_Total&lt;INDEX(HM_ZD_Moho!FA_CS_cumprod_oil,2),INDEX(HM_ZD_Moho!FA_CS_rate,1),
IF(HM_ZD_Moho!CA_cum_gross_sales_Total&gt;=INDEX(HM_ZD_Moho!FA_CS_cumprod_oil,3),INDEX(HM_ZD_Moho!FA_CS_rate,3),
IF(AND(HM_ZD_Moho!CA_cum_gross_sales_Total&lt;INDEX(HM_ZD_Moho!FA_CS_cumprod_oil,3),HM_ZD_Moho!CA_cum_gross_sales_Total&gt;=INDEX(HM_ZD_Moho!FA_CS_cumprod_oil,2),HM_ZD_Moho!CA_FP_oil_nom&lt;HM_ZD_Moho!CA_CS_HP_oil_nom),
INDEX(HM_ZD_Moho!FA_CS_rate,1),INDEX(HM_ZD_Moho!FA_CS_rate,2))))</f>
        <v>0.5</v>
      </c>
      <c r="BE251" s="49">
        <f ca="1">IF(HM_ZD_Moho!CA_cum_gross_sales_Total&lt;INDEX(HM_ZD_Moho!FA_CS_cumprod_oil,2),INDEX(HM_ZD_Moho!FA_CS_rate,1),
IF(HM_ZD_Moho!CA_cum_gross_sales_Total&gt;=INDEX(HM_ZD_Moho!FA_CS_cumprod_oil,3),INDEX(HM_ZD_Moho!FA_CS_rate,3),
IF(AND(HM_ZD_Moho!CA_cum_gross_sales_Total&lt;INDEX(HM_ZD_Moho!FA_CS_cumprod_oil,3),HM_ZD_Moho!CA_cum_gross_sales_Total&gt;=INDEX(HM_ZD_Moho!FA_CS_cumprod_oil,2),HM_ZD_Moho!CA_FP_oil_nom&lt;HM_ZD_Moho!CA_CS_HP_oil_nom),
INDEX(HM_ZD_Moho!FA_CS_rate,1),INDEX(HM_ZD_Moho!FA_CS_rate,2))))</f>
        <v>0.5</v>
      </c>
      <c r="BF251" s="49">
        <f ca="1">IF(HM_ZD_Moho!CA_cum_gross_sales_Total&lt;INDEX(HM_ZD_Moho!FA_CS_cumprod_oil,2),INDEX(HM_ZD_Moho!FA_CS_rate,1),
IF(HM_ZD_Moho!CA_cum_gross_sales_Total&gt;=INDEX(HM_ZD_Moho!FA_CS_cumprod_oil,3),INDEX(HM_ZD_Moho!FA_CS_rate,3),
IF(AND(HM_ZD_Moho!CA_cum_gross_sales_Total&lt;INDEX(HM_ZD_Moho!FA_CS_cumprod_oil,3),HM_ZD_Moho!CA_cum_gross_sales_Total&gt;=INDEX(HM_ZD_Moho!FA_CS_cumprod_oil,2),HM_ZD_Moho!CA_FP_oil_nom&lt;HM_ZD_Moho!CA_CS_HP_oil_nom),
INDEX(HM_ZD_Moho!FA_CS_rate,1),INDEX(HM_ZD_Moho!FA_CS_rate,2))))</f>
        <v>0.5</v>
      </c>
      <c r="BG251" s="49">
        <f ca="1">IF(HM_ZD_Moho!CA_cum_gross_sales_Total&lt;INDEX(HM_ZD_Moho!FA_CS_cumprod_oil,2),INDEX(HM_ZD_Moho!FA_CS_rate,1),
IF(HM_ZD_Moho!CA_cum_gross_sales_Total&gt;=INDEX(HM_ZD_Moho!FA_CS_cumprod_oil,3),INDEX(HM_ZD_Moho!FA_CS_rate,3),
IF(AND(HM_ZD_Moho!CA_cum_gross_sales_Total&lt;INDEX(HM_ZD_Moho!FA_CS_cumprod_oil,3),HM_ZD_Moho!CA_cum_gross_sales_Total&gt;=INDEX(HM_ZD_Moho!FA_CS_cumprod_oil,2),HM_ZD_Moho!CA_FP_oil_nom&lt;HM_ZD_Moho!CA_CS_HP_oil_nom),
INDEX(HM_ZD_Moho!FA_CS_rate,1),INDEX(HM_ZD_Moho!FA_CS_rate,2))))</f>
        <v>0.5</v>
      </c>
      <c r="BH251" s="49">
        <f ca="1">IF(HM_ZD_Moho!CA_cum_gross_sales_Total&lt;INDEX(HM_ZD_Moho!FA_CS_cumprod_oil,2),INDEX(HM_ZD_Moho!FA_CS_rate,1),
IF(HM_ZD_Moho!CA_cum_gross_sales_Total&gt;=INDEX(HM_ZD_Moho!FA_CS_cumprod_oil,3),INDEX(HM_ZD_Moho!FA_CS_rate,3),
IF(AND(HM_ZD_Moho!CA_cum_gross_sales_Total&lt;INDEX(HM_ZD_Moho!FA_CS_cumprod_oil,3),HM_ZD_Moho!CA_cum_gross_sales_Total&gt;=INDEX(HM_ZD_Moho!FA_CS_cumprod_oil,2),HM_ZD_Moho!CA_FP_oil_nom&lt;HM_ZD_Moho!CA_CS_HP_oil_nom),
INDEX(HM_ZD_Moho!FA_CS_rate,1),INDEX(HM_ZD_Moho!FA_CS_rate,2))))</f>
        <v>0.5</v>
      </c>
      <c r="BI251" s="49">
        <f ca="1">IF(HM_ZD_Moho!CA_cum_gross_sales_Total&lt;INDEX(HM_ZD_Moho!FA_CS_cumprod_oil,2),INDEX(HM_ZD_Moho!FA_CS_rate,1),
IF(HM_ZD_Moho!CA_cum_gross_sales_Total&gt;=INDEX(HM_ZD_Moho!FA_CS_cumprod_oil,3),INDEX(HM_ZD_Moho!FA_CS_rate,3),
IF(AND(HM_ZD_Moho!CA_cum_gross_sales_Total&lt;INDEX(HM_ZD_Moho!FA_CS_cumprod_oil,3),HM_ZD_Moho!CA_cum_gross_sales_Total&gt;=INDEX(HM_ZD_Moho!FA_CS_cumprod_oil,2),HM_ZD_Moho!CA_FP_oil_nom&lt;HM_ZD_Moho!CA_CS_HP_oil_nom),
INDEX(HM_ZD_Moho!FA_CS_rate,1),INDEX(HM_ZD_Moho!FA_CS_rate,2))))</f>
        <v>0.5</v>
      </c>
      <c r="BJ251" s="49">
        <f ca="1">IF(HM_ZD_Moho!CA_cum_gross_sales_Total&lt;INDEX(HM_ZD_Moho!FA_CS_cumprod_oil,2),INDEX(HM_ZD_Moho!FA_CS_rate,1),
IF(HM_ZD_Moho!CA_cum_gross_sales_Total&gt;=INDEX(HM_ZD_Moho!FA_CS_cumprod_oil,3),INDEX(HM_ZD_Moho!FA_CS_rate,3),
IF(AND(HM_ZD_Moho!CA_cum_gross_sales_Total&lt;INDEX(HM_ZD_Moho!FA_CS_cumprod_oil,3),HM_ZD_Moho!CA_cum_gross_sales_Total&gt;=INDEX(HM_ZD_Moho!FA_CS_cumprod_oil,2),HM_ZD_Moho!CA_FP_oil_nom&lt;HM_ZD_Moho!CA_CS_HP_oil_nom),
INDEX(HM_ZD_Moho!FA_CS_rate,1),INDEX(HM_ZD_Moho!FA_CS_rate,2))))</f>
        <v>0.5</v>
      </c>
      <c r="BK251" s="49">
        <f ca="1">IF(HM_ZD_Moho!CA_cum_gross_sales_Total&lt;INDEX(HM_ZD_Moho!FA_CS_cumprod_oil,2),INDEX(HM_ZD_Moho!FA_CS_rate,1),
IF(HM_ZD_Moho!CA_cum_gross_sales_Total&gt;=INDEX(HM_ZD_Moho!FA_CS_cumprod_oil,3),INDEX(HM_ZD_Moho!FA_CS_rate,3),
IF(AND(HM_ZD_Moho!CA_cum_gross_sales_Total&lt;INDEX(HM_ZD_Moho!FA_CS_cumprod_oil,3),HM_ZD_Moho!CA_cum_gross_sales_Total&gt;=INDEX(HM_ZD_Moho!FA_CS_cumprod_oil,2),HM_ZD_Moho!CA_FP_oil_nom&lt;HM_ZD_Moho!CA_CS_HP_oil_nom),
INDEX(HM_ZD_Moho!FA_CS_rate,1),INDEX(HM_ZD_Moho!FA_CS_rate,2))))</f>
        <v>0.5</v>
      </c>
      <c r="BL251" s="49">
        <f ca="1">IF(HM_ZD_Moho!CA_cum_gross_sales_Total&lt;INDEX(HM_ZD_Moho!FA_CS_cumprod_oil,2),INDEX(HM_ZD_Moho!FA_CS_rate,1),
IF(HM_ZD_Moho!CA_cum_gross_sales_Total&gt;=INDEX(HM_ZD_Moho!FA_CS_cumprod_oil,3),INDEX(HM_ZD_Moho!FA_CS_rate,3),
IF(AND(HM_ZD_Moho!CA_cum_gross_sales_Total&lt;INDEX(HM_ZD_Moho!FA_CS_cumprod_oil,3),HM_ZD_Moho!CA_cum_gross_sales_Total&gt;=INDEX(HM_ZD_Moho!FA_CS_cumprod_oil,2),HM_ZD_Moho!CA_FP_oil_nom&lt;HM_ZD_Moho!CA_CS_HP_oil_nom),
INDEX(HM_ZD_Moho!FA_CS_rate,1),INDEX(HM_ZD_Moho!FA_CS_rate,2))))</f>
        <v>0.5</v>
      </c>
      <c r="BM251" s="49">
        <f ca="1">IF(HM_ZD_Moho!CA_cum_gross_sales_Total&lt;INDEX(HM_ZD_Moho!FA_CS_cumprod_oil,2),INDEX(HM_ZD_Moho!FA_CS_rate,1),
IF(HM_ZD_Moho!CA_cum_gross_sales_Total&gt;=INDEX(HM_ZD_Moho!FA_CS_cumprod_oil,3),INDEX(HM_ZD_Moho!FA_CS_rate,3),
IF(AND(HM_ZD_Moho!CA_cum_gross_sales_Total&lt;INDEX(HM_ZD_Moho!FA_CS_cumprod_oil,3),HM_ZD_Moho!CA_cum_gross_sales_Total&gt;=INDEX(HM_ZD_Moho!FA_CS_cumprod_oil,2),HM_ZD_Moho!CA_FP_oil_nom&lt;HM_ZD_Moho!CA_CS_HP_oil_nom),
INDEX(HM_ZD_Moho!FA_CS_rate,1),INDEX(HM_ZD_Moho!FA_CS_rate,2))))</f>
        <v>0.5</v>
      </c>
      <c r="BN251" s="49">
        <f ca="1">IF(HM_ZD_Moho!CA_cum_gross_sales_Total&lt;INDEX(HM_ZD_Moho!FA_CS_cumprod_oil,2),INDEX(HM_ZD_Moho!FA_CS_rate,1),
IF(HM_ZD_Moho!CA_cum_gross_sales_Total&gt;=INDEX(HM_ZD_Moho!FA_CS_cumprod_oil,3),INDEX(HM_ZD_Moho!FA_CS_rate,3),
IF(AND(HM_ZD_Moho!CA_cum_gross_sales_Total&lt;INDEX(HM_ZD_Moho!FA_CS_cumprod_oil,3),HM_ZD_Moho!CA_cum_gross_sales_Total&gt;=INDEX(HM_ZD_Moho!FA_CS_cumprod_oil,2),HM_ZD_Moho!CA_FP_oil_nom&lt;HM_ZD_Moho!CA_CS_HP_oil_nom),
INDEX(HM_ZD_Moho!FA_CS_rate,1),INDEX(HM_ZD_Moho!FA_CS_rate,2))))</f>
        <v>0.5</v>
      </c>
      <c r="BO251" s="49">
        <f ca="1">IF(HM_ZD_Moho!CA_cum_gross_sales_Total&lt;INDEX(HM_ZD_Moho!FA_CS_cumprod_oil,2),INDEX(HM_ZD_Moho!FA_CS_rate,1),
IF(HM_ZD_Moho!CA_cum_gross_sales_Total&gt;=INDEX(HM_ZD_Moho!FA_CS_cumprod_oil,3),INDEX(HM_ZD_Moho!FA_CS_rate,3),
IF(AND(HM_ZD_Moho!CA_cum_gross_sales_Total&lt;INDEX(HM_ZD_Moho!FA_CS_cumprod_oil,3),HM_ZD_Moho!CA_cum_gross_sales_Total&gt;=INDEX(HM_ZD_Moho!FA_CS_cumprod_oil,2),HM_ZD_Moho!CA_FP_oil_nom&lt;HM_ZD_Moho!CA_CS_HP_oil_nom),
INDEX(HM_ZD_Moho!FA_CS_rate,1),INDEX(HM_ZD_Moho!FA_CS_rate,2))))</f>
        <v>0.5</v>
      </c>
      <c r="BP251" s="49">
        <f ca="1">IF(HM_ZD_Moho!CA_cum_gross_sales_Total&lt;INDEX(HM_ZD_Moho!FA_CS_cumprod_oil,2),INDEX(HM_ZD_Moho!FA_CS_rate,1),
IF(HM_ZD_Moho!CA_cum_gross_sales_Total&gt;=INDEX(HM_ZD_Moho!FA_CS_cumprod_oil,3),INDEX(HM_ZD_Moho!FA_CS_rate,3),
IF(AND(HM_ZD_Moho!CA_cum_gross_sales_Total&lt;INDEX(HM_ZD_Moho!FA_CS_cumprod_oil,3),HM_ZD_Moho!CA_cum_gross_sales_Total&gt;=INDEX(HM_ZD_Moho!FA_CS_cumprod_oil,2),HM_ZD_Moho!CA_FP_oil_nom&lt;HM_ZD_Moho!CA_CS_HP_oil_nom),
INDEX(HM_ZD_Moho!FA_CS_rate,1),INDEX(HM_ZD_Moho!FA_CS_rate,2))))</f>
        <v>0.5</v>
      </c>
      <c r="BQ251" s="49">
        <f ca="1">IF(HM_ZD_Moho!CA_cum_gross_sales_Total&lt;INDEX(HM_ZD_Moho!FA_CS_cumprod_oil,2),INDEX(HM_ZD_Moho!FA_CS_rate,1),
IF(HM_ZD_Moho!CA_cum_gross_sales_Total&gt;=INDEX(HM_ZD_Moho!FA_CS_cumprod_oil,3),INDEX(HM_ZD_Moho!FA_CS_rate,3),
IF(AND(HM_ZD_Moho!CA_cum_gross_sales_Total&lt;INDEX(HM_ZD_Moho!FA_CS_cumprod_oil,3),HM_ZD_Moho!CA_cum_gross_sales_Total&gt;=INDEX(HM_ZD_Moho!FA_CS_cumprod_oil,2),HM_ZD_Moho!CA_FP_oil_nom&lt;HM_ZD_Moho!CA_CS_HP_oil_nom),
INDEX(HM_ZD_Moho!FA_CS_rate,1),INDEX(HM_ZD_Moho!FA_CS_rate,2))))</f>
        <v>0.5</v>
      </c>
      <c r="BR251" s="49">
        <f ca="1">IF(HM_ZD_Moho!CA_cum_gross_sales_Total&lt;INDEX(HM_ZD_Moho!FA_CS_cumprod_oil,2),INDEX(HM_ZD_Moho!FA_CS_rate,1),
IF(HM_ZD_Moho!CA_cum_gross_sales_Total&gt;=INDEX(HM_ZD_Moho!FA_CS_cumprod_oil,3),INDEX(HM_ZD_Moho!FA_CS_rate,3),
IF(AND(HM_ZD_Moho!CA_cum_gross_sales_Total&lt;INDEX(HM_ZD_Moho!FA_CS_cumprod_oil,3),HM_ZD_Moho!CA_cum_gross_sales_Total&gt;=INDEX(HM_ZD_Moho!FA_CS_cumprod_oil,2),HM_ZD_Moho!CA_FP_oil_nom&lt;HM_ZD_Moho!CA_CS_HP_oil_nom),
INDEX(HM_ZD_Moho!FA_CS_rate,1),INDEX(HM_ZD_Moho!FA_CS_rate,2))))</f>
        <v>0.5</v>
      </c>
      <c r="BS251" s="49">
        <f ca="1">IF(HM_ZD_Moho!CA_cum_gross_sales_Total&lt;INDEX(HM_ZD_Moho!FA_CS_cumprod_oil,2),INDEX(HM_ZD_Moho!FA_CS_rate,1),
IF(HM_ZD_Moho!CA_cum_gross_sales_Total&gt;=INDEX(HM_ZD_Moho!FA_CS_cumprod_oil,3),INDEX(HM_ZD_Moho!FA_CS_rate,3),
IF(AND(HM_ZD_Moho!CA_cum_gross_sales_Total&lt;INDEX(HM_ZD_Moho!FA_CS_cumprod_oil,3),HM_ZD_Moho!CA_cum_gross_sales_Total&gt;=INDEX(HM_ZD_Moho!FA_CS_cumprod_oil,2),HM_ZD_Moho!CA_FP_oil_nom&lt;HM_ZD_Moho!CA_CS_HP_oil_nom),
INDEX(HM_ZD_Moho!FA_CS_rate,1),INDEX(HM_ZD_Moho!FA_CS_rate,2))))</f>
        <v>0.5</v>
      </c>
    </row>
    <row r="252" spans="4:71" outlineLevel="1" x14ac:dyDescent="0.2">
      <c r="J252" s="26"/>
      <c r="L252" s="55"/>
      <c r="M252" s="55"/>
      <c r="N252" s="55"/>
      <c r="O252" s="55"/>
      <c r="P252" s="55"/>
      <c r="Q252" s="55"/>
      <c r="R252" s="55"/>
      <c r="S252" s="55"/>
      <c r="T252" s="55"/>
      <c r="U252" s="55"/>
      <c r="V252" s="55"/>
      <c r="W252" s="55"/>
      <c r="X252" s="55"/>
      <c r="Y252" s="55"/>
      <c r="Z252" s="55"/>
      <c r="AA252" s="55"/>
      <c r="AB252" s="55"/>
      <c r="AC252" s="55"/>
      <c r="AD252" s="55"/>
      <c r="AE252" s="55"/>
      <c r="AF252" s="55"/>
      <c r="AG252" s="55"/>
      <c r="AH252" s="55"/>
      <c r="AI252" s="55"/>
      <c r="AJ252" s="55"/>
      <c r="AK252" s="55"/>
      <c r="AL252" s="55"/>
      <c r="AM252" s="55"/>
      <c r="AN252" s="55"/>
      <c r="AO252" s="55"/>
      <c r="AP252" s="55"/>
      <c r="AQ252" s="55"/>
      <c r="AR252" s="55"/>
      <c r="AS252" s="55"/>
      <c r="AT252" s="55"/>
      <c r="AU252" s="55"/>
      <c r="AV252" s="55"/>
      <c r="AW252" s="55"/>
      <c r="AX252" s="55"/>
      <c r="AY252" s="55"/>
      <c r="AZ252" s="55"/>
      <c r="BA252" s="55"/>
      <c r="BB252" s="55"/>
      <c r="BC252" s="55"/>
      <c r="BD252" s="55"/>
      <c r="BE252" s="55"/>
      <c r="BF252" s="55"/>
      <c r="BG252" s="55"/>
      <c r="BH252" s="55"/>
      <c r="BI252" s="55"/>
      <c r="BJ252" s="55"/>
      <c r="BK252" s="55"/>
      <c r="BL252" s="55"/>
      <c r="BM252" s="55"/>
      <c r="BN252" s="55"/>
      <c r="BO252" s="55"/>
      <c r="BP252" s="55"/>
      <c r="BQ252" s="55"/>
      <c r="BR252" s="55"/>
      <c r="BS252" s="55"/>
    </row>
    <row r="253" spans="4:71" outlineLevel="1" x14ac:dyDescent="0.2">
      <c r="D253" t="str">
        <f>CHOOSE(db_ML_selected,'Liste Traduction'!B456,'Liste Traduction'!C456)</f>
        <v>Revenus bruts évalués au PH</v>
      </c>
      <c r="I253" s="30">
        <f t="shared" ref="I253:I255" ca="1" si="167">SUM($L253:$BS253)</f>
        <v>40957.290262543385</v>
      </c>
      <c r="J253" s="26" t="s">
        <v>148</v>
      </c>
      <c r="L253" s="49">
        <f ca="1">((_xlfn.SINGLE(HM_ZD_Moho!CA_gross_sales_oil)+_xlfn.SINGLE(HM_ZD_Moho!CA_gross_sales_lpg))*IF(_xlfn.SINGLE(CA_period_trig)=1,_xlfn.SINGLE(CA_HP_oil_nom_period1),_xlfn.SINGLE(CA_HP_oil_nom_period2)))</f>
        <v>489.58904715</v>
      </c>
      <c r="M253" s="49">
        <f ca="1">((_xlfn.SINGLE(HM_ZD_Moho!CA_gross_sales_oil)+_xlfn.SINGLE(HM_ZD_Moho!CA_gross_sales_lpg))*IF(_xlfn.SINGLE(CA_period_trig)=1,_xlfn.SINGLE(CA_HP_oil_nom_period1),_xlfn.SINGLE(CA_HP_oil_nom_period2)))</f>
        <v>518.02773299699993</v>
      </c>
      <c r="N253" s="49">
        <f ca="1">((_xlfn.SINGLE(HM_ZD_Moho!CA_gross_sales_oil)+_xlfn.SINGLE(HM_ZD_Moho!CA_gross_sales_lpg))*IF(_xlfn.SINGLE(CA_period_trig)=1,_xlfn.SINGLE(CA_HP_oil_nom_period1),_xlfn.SINGLE(CA_HP_oil_nom_period2)))</f>
        <v>426.02104805975</v>
      </c>
      <c r="O253" s="49">
        <f ca="1">((_xlfn.SINGLE(HM_ZD_Moho!CA_gross_sales_oil)+_xlfn.SINGLE(HM_ZD_Moho!CA_gross_sales_lpg))*IF(_xlfn.SINGLE(CA_period_trig)=1,_xlfn.SINGLE(CA_HP_oil_nom_period1),_xlfn.SINGLE(CA_HP_oil_nom_period2)))</f>
        <v>438.85489291375001</v>
      </c>
      <c r="P253" s="49">
        <f ca="1">((_xlfn.SINGLE(HM_ZD_Moho!CA_gross_sales_oil)+_xlfn.SINGLE(HM_ZD_Moho!CA_gross_sales_lpg))*IF(_xlfn.SINGLE(CA_period_trig)=1,_xlfn.SINGLE(CA_HP_oil_nom_period1),_xlfn.SINGLE(CA_HP_oil_nom_period2)))</f>
        <v>3192.9537831375005</v>
      </c>
      <c r="Q253" s="49">
        <f ca="1">((_xlfn.SINGLE(HM_ZD_Moho!CA_gross_sales_oil)+_xlfn.SINGLE(HM_ZD_Moho!CA_gross_sales_lpg))*IF(_xlfn.SINGLE(CA_period_trig)=1,_xlfn.SINGLE(CA_HP_oil_nom_period1),_xlfn.SINGLE(CA_HP_oil_nom_period2)))</f>
        <v>5243.5808371980002</v>
      </c>
      <c r="R253" s="49">
        <f ca="1">((_xlfn.SINGLE(HM_ZD_Moho!CA_gross_sales_oil)+_xlfn.SINGLE(HM_ZD_Moho!CA_gross_sales_lpg))*IF(_xlfn.SINGLE(CA_period_trig)=1,_xlfn.SINGLE(CA_HP_oil_nom_period1),_xlfn.SINGLE(CA_HP_oil_nom_period2)))</f>
        <v>5571.9396804304997</v>
      </c>
      <c r="S253" s="49">
        <f ca="1">((_xlfn.SINGLE(HM_ZD_Moho!CA_gross_sales_oil)+_xlfn.SINGLE(HM_ZD_Moho!CA_gross_sales_lpg))*IF(_xlfn.SINGLE(CA_period_trig)=1,_xlfn.SINGLE(CA_HP_oil_nom_period1),_xlfn.SINGLE(CA_HP_oil_nom_period2)))</f>
        <v>5435.3935260000007</v>
      </c>
      <c r="T253" s="49">
        <f ca="1">((_xlfn.SINGLE(HM_ZD_Moho!CA_gross_sales_oil)+_xlfn.SINGLE(HM_ZD_Moho!CA_gross_sales_lpg))*IF(_xlfn.SINGLE(CA_period_trig)=1,_xlfn.SINGLE(CA_HP_oil_nom_period1),_xlfn.SINGLE(CA_HP_oil_nom_period2)))</f>
        <v>5206.3423054250416</v>
      </c>
      <c r="U253" s="49">
        <f ca="1">((_xlfn.SINGLE(HM_ZD_Moho!CA_gross_sales_oil)+_xlfn.SINGLE(HM_ZD_Moho!CA_gross_sales_lpg))*IF(_xlfn.SINGLE(CA_period_trig)=1,_xlfn.SINGLE(CA_HP_oil_nom_period1),_xlfn.SINGLE(CA_HP_oil_nom_period2)))</f>
        <v>4938.7363109261942</v>
      </c>
      <c r="V253" s="49">
        <f ca="1">((_xlfn.SINGLE(HM_ZD_Moho!CA_gross_sales_oil)+_xlfn.SINGLE(HM_ZD_Moho!CA_gross_sales_lpg))*IF(_xlfn.SINGLE(CA_period_trig)=1,_xlfn.SINGLE(CA_HP_oil_nom_period1),_xlfn.SINGLE(CA_HP_oil_nom_period2)))</f>
        <v>4684.8852645445859</v>
      </c>
      <c r="W253" s="49">
        <f ca="1">((_xlfn.SINGLE(HM_ZD_Moho!CA_gross_sales_oil)+_xlfn.SINGLE(HM_ZD_Moho!CA_gross_sales_lpg))*IF(_xlfn.SINGLE(CA_period_trig)=1,_xlfn.SINGLE(CA_HP_oil_nom_period1),_xlfn.SINGLE(CA_HP_oil_nom_period2)))</f>
        <v>2468.934534414997</v>
      </c>
      <c r="X253" s="49">
        <f ca="1">((_xlfn.SINGLE(HM_ZD_Moho!CA_gross_sales_oil)+_xlfn.SINGLE(HM_ZD_Moho!CA_gross_sales_lpg))*IF(_xlfn.SINGLE(CA_period_trig)=1,_xlfn.SINGLE(CA_HP_oil_nom_period1),_xlfn.SINGLE(CA_HP_oil_nom_period2)))</f>
        <v>2342.0312993460661</v>
      </c>
      <c r="Y253" s="49">
        <f ca="1">((_xlfn.SINGLE(HM_ZD_Moho!CA_gross_sales_oil)+_xlfn.SINGLE(HM_ZD_Moho!CA_gross_sales_lpg))*IF(_xlfn.SINGLE(CA_period_trig)=1,_xlfn.SINGLE(CA_HP_oil_nom_period1),_xlfn.SINGLE(CA_HP_oil_nom_period2)))</f>
        <v>0</v>
      </c>
      <c r="Z253" s="49">
        <f ca="1">((_xlfn.SINGLE(HM_ZD_Moho!CA_gross_sales_oil)+_xlfn.SINGLE(HM_ZD_Moho!CA_gross_sales_lpg))*IF(_xlfn.SINGLE(CA_period_trig)=1,_xlfn.SINGLE(CA_HP_oil_nom_period1),_xlfn.SINGLE(CA_HP_oil_nom_period2)))</f>
        <v>0</v>
      </c>
      <c r="AA253" s="49">
        <f ca="1">((_xlfn.SINGLE(HM_ZD_Moho!CA_gross_sales_oil)+_xlfn.SINGLE(HM_ZD_Moho!CA_gross_sales_lpg))*IF(_xlfn.SINGLE(CA_period_trig)=1,_xlfn.SINGLE(CA_HP_oil_nom_period1),_xlfn.SINGLE(CA_HP_oil_nom_period2)))</f>
        <v>0</v>
      </c>
      <c r="AB253" s="49">
        <f ca="1">((_xlfn.SINGLE(HM_ZD_Moho!CA_gross_sales_oil)+_xlfn.SINGLE(HM_ZD_Moho!CA_gross_sales_lpg))*IF(_xlfn.SINGLE(CA_period_trig)=1,_xlfn.SINGLE(CA_HP_oil_nom_period1),_xlfn.SINGLE(CA_HP_oil_nom_period2)))</f>
        <v>0</v>
      </c>
      <c r="AC253" s="49">
        <f ca="1">((_xlfn.SINGLE(HM_ZD_Moho!CA_gross_sales_oil)+_xlfn.SINGLE(HM_ZD_Moho!CA_gross_sales_lpg))*IF(_xlfn.SINGLE(CA_period_trig)=1,_xlfn.SINGLE(CA_HP_oil_nom_period1),_xlfn.SINGLE(CA_HP_oil_nom_period2)))</f>
        <v>0</v>
      </c>
      <c r="AD253" s="49">
        <f ca="1">((_xlfn.SINGLE(HM_ZD_Moho!CA_gross_sales_oil)+_xlfn.SINGLE(HM_ZD_Moho!CA_gross_sales_lpg))*IF(_xlfn.SINGLE(CA_period_trig)=1,_xlfn.SINGLE(CA_HP_oil_nom_period1),_xlfn.SINGLE(CA_HP_oil_nom_period2)))</f>
        <v>0</v>
      </c>
      <c r="AE253" s="49">
        <f ca="1">((_xlfn.SINGLE(HM_ZD_Moho!CA_gross_sales_oil)+_xlfn.SINGLE(HM_ZD_Moho!CA_gross_sales_lpg))*IF(_xlfn.SINGLE(CA_period_trig)=1,_xlfn.SINGLE(CA_HP_oil_nom_period1),_xlfn.SINGLE(CA_HP_oil_nom_period2)))</f>
        <v>0</v>
      </c>
      <c r="AF253" s="49">
        <f ca="1">((_xlfn.SINGLE(HM_ZD_Moho!CA_gross_sales_oil)+_xlfn.SINGLE(HM_ZD_Moho!CA_gross_sales_lpg))*IF(_xlfn.SINGLE(CA_period_trig)=1,_xlfn.SINGLE(CA_HP_oil_nom_period1),_xlfn.SINGLE(CA_HP_oil_nom_period2)))</f>
        <v>0</v>
      </c>
      <c r="AG253" s="49">
        <f ca="1">((_xlfn.SINGLE(HM_ZD_Moho!CA_gross_sales_oil)+_xlfn.SINGLE(HM_ZD_Moho!CA_gross_sales_lpg))*IF(_xlfn.SINGLE(CA_period_trig)=1,_xlfn.SINGLE(CA_HP_oil_nom_period1),_xlfn.SINGLE(CA_HP_oil_nom_period2)))</f>
        <v>0</v>
      </c>
      <c r="AH253" s="49">
        <f ca="1">((_xlfn.SINGLE(HM_ZD_Moho!CA_gross_sales_oil)+_xlfn.SINGLE(HM_ZD_Moho!CA_gross_sales_lpg))*IF(_xlfn.SINGLE(CA_period_trig)=1,_xlfn.SINGLE(CA_HP_oil_nom_period1),_xlfn.SINGLE(CA_HP_oil_nom_period2)))</f>
        <v>0</v>
      </c>
      <c r="AI253" s="49">
        <f ca="1">((_xlfn.SINGLE(HM_ZD_Moho!CA_gross_sales_oil)+_xlfn.SINGLE(HM_ZD_Moho!CA_gross_sales_lpg))*IF(_xlfn.SINGLE(CA_period_trig)=1,_xlfn.SINGLE(CA_HP_oil_nom_period1),_xlfn.SINGLE(CA_HP_oil_nom_period2)))</f>
        <v>0</v>
      </c>
      <c r="AJ253" s="49">
        <f ca="1">((_xlfn.SINGLE(HM_ZD_Moho!CA_gross_sales_oil)+_xlfn.SINGLE(HM_ZD_Moho!CA_gross_sales_lpg))*IF(_xlfn.SINGLE(CA_period_trig)=1,_xlfn.SINGLE(CA_HP_oil_nom_period1),_xlfn.SINGLE(CA_HP_oil_nom_period2)))</f>
        <v>0</v>
      </c>
      <c r="AK253" s="49">
        <f ca="1">((_xlfn.SINGLE(HM_ZD_Moho!CA_gross_sales_oil)+_xlfn.SINGLE(HM_ZD_Moho!CA_gross_sales_lpg))*IF(_xlfn.SINGLE(CA_period_trig)=1,_xlfn.SINGLE(CA_HP_oil_nom_period1),_xlfn.SINGLE(CA_HP_oil_nom_period2)))</f>
        <v>0</v>
      </c>
      <c r="AL253" s="49">
        <f ca="1">((_xlfn.SINGLE(HM_ZD_Moho!CA_gross_sales_oil)+_xlfn.SINGLE(HM_ZD_Moho!CA_gross_sales_lpg))*IF(_xlfn.SINGLE(CA_period_trig)=1,_xlfn.SINGLE(CA_HP_oil_nom_period1),_xlfn.SINGLE(CA_HP_oil_nom_period2)))</f>
        <v>0</v>
      </c>
      <c r="AM253" s="49">
        <f ca="1">((_xlfn.SINGLE(HM_ZD_Moho!CA_gross_sales_oil)+_xlfn.SINGLE(HM_ZD_Moho!CA_gross_sales_lpg))*IF(_xlfn.SINGLE(CA_period_trig)=1,_xlfn.SINGLE(CA_HP_oil_nom_period1),_xlfn.SINGLE(CA_HP_oil_nom_period2)))</f>
        <v>0</v>
      </c>
      <c r="AN253" s="49">
        <f ca="1">((_xlfn.SINGLE(HM_ZD_Moho!CA_gross_sales_oil)+_xlfn.SINGLE(HM_ZD_Moho!CA_gross_sales_lpg))*IF(_xlfn.SINGLE(CA_period_trig)=1,_xlfn.SINGLE(CA_HP_oil_nom_period1),_xlfn.SINGLE(CA_HP_oil_nom_period2)))</f>
        <v>0</v>
      </c>
      <c r="AO253" s="49">
        <f ca="1">((_xlfn.SINGLE(HM_ZD_Moho!CA_gross_sales_oil)+_xlfn.SINGLE(HM_ZD_Moho!CA_gross_sales_lpg))*IF(_xlfn.SINGLE(CA_period_trig)=1,_xlfn.SINGLE(CA_HP_oil_nom_period1),_xlfn.SINGLE(CA_HP_oil_nom_period2)))</f>
        <v>0</v>
      </c>
      <c r="AP253" s="49">
        <f ca="1">((_xlfn.SINGLE(HM_ZD_Moho!CA_gross_sales_oil)+_xlfn.SINGLE(HM_ZD_Moho!CA_gross_sales_lpg))*IF(_xlfn.SINGLE(CA_period_trig)=1,_xlfn.SINGLE(CA_HP_oil_nom_period1),_xlfn.SINGLE(CA_HP_oil_nom_period2)))</f>
        <v>0</v>
      </c>
      <c r="AQ253" s="49">
        <f ca="1">((_xlfn.SINGLE(HM_ZD_Moho!CA_gross_sales_oil)+_xlfn.SINGLE(HM_ZD_Moho!CA_gross_sales_lpg))*IF(_xlfn.SINGLE(CA_period_trig)=1,_xlfn.SINGLE(CA_HP_oil_nom_period1),_xlfn.SINGLE(CA_HP_oil_nom_period2)))</f>
        <v>0</v>
      </c>
      <c r="AR253" s="49">
        <f ca="1">((_xlfn.SINGLE(HM_ZD_Moho!CA_gross_sales_oil)+_xlfn.SINGLE(HM_ZD_Moho!CA_gross_sales_lpg))*IF(_xlfn.SINGLE(CA_period_trig)=1,_xlfn.SINGLE(CA_HP_oil_nom_period1),_xlfn.SINGLE(CA_HP_oil_nom_period2)))</f>
        <v>0</v>
      </c>
      <c r="AS253" s="49">
        <f ca="1">((_xlfn.SINGLE(HM_ZD_Moho!CA_gross_sales_oil)+_xlfn.SINGLE(HM_ZD_Moho!CA_gross_sales_lpg))*IF(_xlfn.SINGLE(CA_period_trig)=1,_xlfn.SINGLE(CA_HP_oil_nom_period1),_xlfn.SINGLE(CA_HP_oil_nom_period2)))</f>
        <v>0</v>
      </c>
      <c r="AT253" s="49">
        <f ca="1">((_xlfn.SINGLE(HM_ZD_Moho!CA_gross_sales_oil)+_xlfn.SINGLE(HM_ZD_Moho!CA_gross_sales_lpg))*IF(_xlfn.SINGLE(CA_period_trig)=1,_xlfn.SINGLE(CA_HP_oil_nom_period1),_xlfn.SINGLE(CA_HP_oil_nom_period2)))</f>
        <v>0</v>
      </c>
      <c r="AU253" s="49">
        <f ca="1">((_xlfn.SINGLE(HM_ZD_Moho!CA_gross_sales_oil)+_xlfn.SINGLE(HM_ZD_Moho!CA_gross_sales_lpg))*IF(_xlfn.SINGLE(CA_period_trig)=1,_xlfn.SINGLE(CA_HP_oil_nom_period1),_xlfn.SINGLE(CA_HP_oil_nom_period2)))</f>
        <v>0</v>
      </c>
      <c r="AV253" s="49">
        <f ca="1">((_xlfn.SINGLE(HM_ZD_Moho!CA_gross_sales_oil)+_xlfn.SINGLE(HM_ZD_Moho!CA_gross_sales_lpg))*IF(_xlfn.SINGLE(CA_period_trig)=1,_xlfn.SINGLE(CA_HP_oil_nom_period1),_xlfn.SINGLE(CA_HP_oil_nom_period2)))</f>
        <v>0</v>
      </c>
      <c r="AW253" s="49">
        <f ca="1">((_xlfn.SINGLE(HM_ZD_Moho!CA_gross_sales_oil)+_xlfn.SINGLE(HM_ZD_Moho!CA_gross_sales_lpg))*IF(_xlfn.SINGLE(CA_period_trig)=1,_xlfn.SINGLE(CA_HP_oil_nom_period1),_xlfn.SINGLE(CA_HP_oil_nom_period2)))</f>
        <v>0</v>
      </c>
      <c r="AX253" s="49">
        <f ca="1">((_xlfn.SINGLE(HM_ZD_Moho!CA_gross_sales_oil)+_xlfn.SINGLE(HM_ZD_Moho!CA_gross_sales_lpg))*IF(_xlfn.SINGLE(CA_period_trig)=1,_xlfn.SINGLE(CA_HP_oil_nom_period1),_xlfn.SINGLE(CA_HP_oil_nom_period2)))</f>
        <v>0</v>
      </c>
      <c r="AY253" s="49">
        <f ca="1">((_xlfn.SINGLE(HM_ZD_Moho!CA_gross_sales_oil)+_xlfn.SINGLE(HM_ZD_Moho!CA_gross_sales_lpg))*IF(_xlfn.SINGLE(CA_period_trig)=1,_xlfn.SINGLE(CA_HP_oil_nom_period1),_xlfn.SINGLE(CA_HP_oil_nom_period2)))</f>
        <v>0</v>
      </c>
      <c r="AZ253" s="49">
        <f ca="1">((_xlfn.SINGLE(HM_ZD_Moho!CA_gross_sales_oil)+_xlfn.SINGLE(HM_ZD_Moho!CA_gross_sales_lpg))*IF(_xlfn.SINGLE(CA_period_trig)=1,_xlfn.SINGLE(CA_HP_oil_nom_period1),_xlfn.SINGLE(CA_HP_oil_nom_period2)))</f>
        <v>0</v>
      </c>
      <c r="BA253" s="49">
        <f ca="1">((_xlfn.SINGLE(HM_ZD_Moho!CA_gross_sales_oil)+_xlfn.SINGLE(HM_ZD_Moho!CA_gross_sales_lpg))*IF(_xlfn.SINGLE(CA_period_trig)=1,_xlfn.SINGLE(CA_HP_oil_nom_period1),_xlfn.SINGLE(CA_HP_oil_nom_period2)))</f>
        <v>0</v>
      </c>
      <c r="BB253" s="49">
        <f ca="1">((_xlfn.SINGLE(HM_ZD_Moho!CA_gross_sales_oil)+_xlfn.SINGLE(HM_ZD_Moho!CA_gross_sales_lpg))*IF(_xlfn.SINGLE(CA_period_trig)=1,_xlfn.SINGLE(CA_HP_oil_nom_period1),_xlfn.SINGLE(CA_HP_oil_nom_period2)))</f>
        <v>0</v>
      </c>
      <c r="BC253" s="49">
        <f ca="1">((_xlfn.SINGLE(HM_ZD_Moho!CA_gross_sales_oil)+_xlfn.SINGLE(HM_ZD_Moho!CA_gross_sales_lpg))*IF(_xlfn.SINGLE(CA_period_trig)=1,_xlfn.SINGLE(CA_HP_oil_nom_period1),_xlfn.SINGLE(CA_HP_oil_nom_period2)))</f>
        <v>0</v>
      </c>
      <c r="BD253" s="49">
        <f ca="1">((_xlfn.SINGLE(HM_ZD_Moho!CA_gross_sales_oil)+_xlfn.SINGLE(HM_ZD_Moho!CA_gross_sales_lpg))*IF(_xlfn.SINGLE(CA_period_trig)=1,_xlfn.SINGLE(CA_HP_oil_nom_period1),_xlfn.SINGLE(CA_HP_oil_nom_period2)))</f>
        <v>0</v>
      </c>
      <c r="BE253" s="49">
        <f ca="1">((_xlfn.SINGLE(HM_ZD_Moho!CA_gross_sales_oil)+_xlfn.SINGLE(HM_ZD_Moho!CA_gross_sales_lpg))*IF(_xlfn.SINGLE(CA_period_trig)=1,_xlfn.SINGLE(CA_HP_oil_nom_period1),_xlfn.SINGLE(CA_HP_oil_nom_period2)))</f>
        <v>0</v>
      </c>
      <c r="BF253" s="49">
        <f ca="1">((_xlfn.SINGLE(HM_ZD_Moho!CA_gross_sales_oil)+_xlfn.SINGLE(HM_ZD_Moho!CA_gross_sales_lpg))*IF(_xlfn.SINGLE(CA_period_trig)=1,_xlfn.SINGLE(CA_HP_oil_nom_period1),_xlfn.SINGLE(CA_HP_oil_nom_period2)))</f>
        <v>0</v>
      </c>
      <c r="BG253" s="49">
        <f ca="1">((_xlfn.SINGLE(HM_ZD_Moho!CA_gross_sales_oil)+_xlfn.SINGLE(HM_ZD_Moho!CA_gross_sales_lpg))*IF(_xlfn.SINGLE(CA_period_trig)=1,_xlfn.SINGLE(CA_HP_oil_nom_period1),_xlfn.SINGLE(CA_HP_oil_nom_period2)))</f>
        <v>0</v>
      </c>
      <c r="BH253" s="49">
        <f ca="1">((_xlfn.SINGLE(HM_ZD_Moho!CA_gross_sales_oil)+_xlfn.SINGLE(HM_ZD_Moho!CA_gross_sales_lpg))*IF(_xlfn.SINGLE(CA_period_trig)=1,_xlfn.SINGLE(CA_HP_oil_nom_period1),_xlfn.SINGLE(CA_HP_oil_nom_period2)))</f>
        <v>0</v>
      </c>
      <c r="BI253" s="49">
        <f ca="1">((_xlfn.SINGLE(HM_ZD_Moho!CA_gross_sales_oil)+_xlfn.SINGLE(HM_ZD_Moho!CA_gross_sales_lpg))*IF(_xlfn.SINGLE(CA_period_trig)=1,_xlfn.SINGLE(CA_HP_oil_nom_period1),_xlfn.SINGLE(CA_HP_oil_nom_period2)))</f>
        <v>0</v>
      </c>
      <c r="BJ253" s="49">
        <f ca="1">((_xlfn.SINGLE(HM_ZD_Moho!CA_gross_sales_oil)+_xlfn.SINGLE(HM_ZD_Moho!CA_gross_sales_lpg))*IF(_xlfn.SINGLE(CA_period_trig)=1,_xlfn.SINGLE(CA_HP_oil_nom_period1),_xlfn.SINGLE(CA_HP_oil_nom_period2)))</f>
        <v>0</v>
      </c>
      <c r="BK253" s="49">
        <f ca="1">((_xlfn.SINGLE(HM_ZD_Moho!CA_gross_sales_oil)+_xlfn.SINGLE(HM_ZD_Moho!CA_gross_sales_lpg))*IF(_xlfn.SINGLE(CA_period_trig)=1,_xlfn.SINGLE(CA_HP_oil_nom_period1),_xlfn.SINGLE(CA_HP_oil_nom_period2)))</f>
        <v>0</v>
      </c>
      <c r="BL253" s="49">
        <f ca="1">((_xlfn.SINGLE(HM_ZD_Moho!CA_gross_sales_oil)+_xlfn.SINGLE(HM_ZD_Moho!CA_gross_sales_lpg))*IF(_xlfn.SINGLE(CA_period_trig)=1,_xlfn.SINGLE(CA_HP_oil_nom_period1),_xlfn.SINGLE(CA_HP_oil_nom_period2)))</f>
        <v>0</v>
      </c>
      <c r="BM253" s="49">
        <f ca="1">((_xlfn.SINGLE(HM_ZD_Moho!CA_gross_sales_oil)+_xlfn.SINGLE(HM_ZD_Moho!CA_gross_sales_lpg))*IF(_xlfn.SINGLE(CA_period_trig)=1,_xlfn.SINGLE(CA_HP_oil_nom_period1),_xlfn.SINGLE(CA_HP_oil_nom_period2)))</f>
        <v>0</v>
      </c>
      <c r="BN253" s="49">
        <f ca="1">((_xlfn.SINGLE(HM_ZD_Moho!CA_gross_sales_oil)+_xlfn.SINGLE(HM_ZD_Moho!CA_gross_sales_lpg))*IF(_xlfn.SINGLE(CA_period_trig)=1,_xlfn.SINGLE(CA_HP_oil_nom_period1),_xlfn.SINGLE(CA_HP_oil_nom_period2)))</f>
        <v>0</v>
      </c>
      <c r="BO253" s="49">
        <f ca="1">((_xlfn.SINGLE(HM_ZD_Moho!CA_gross_sales_oil)+_xlfn.SINGLE(HM_ZD_Moho!CA_gross_sales_lpg))*IF(_xlfn.SINGLE(CA_period_trig)=1,_xlfn.SINGLE(CA_HP_oil_nom_period1),_xlfn.SINGLE(CA_HP_oil_nom_period2)))</f>
        <v>0</v>
      </c>
      <c r="BP253" s="49">
        <f ca="1">((_xlfn.SINGLE(HM_ZD_Moho!CA_gross_sales_oil)+_xlfn.SINGLE(HM_ZD_Moho!CA_gross_sales_lpg))*IF(_xlfn.SINGLE(CA_period_trig)=1,_xlfn.SINGLE(CA_HP_oil_nom_period1),_xlfn.SINGLE(CA_HP_oil_nom_period2)))</f>
        <v>0</v>
      </c>
      <c r="BQ253" s="49">
        <f ca="1">((_xlfn.SINGLE(HM_ZD_Moho!CA_gross_sales_oil)+_xlfn.SINGLE(HM_ZD_Moho!CA_gross_sales_lpg))*IF(_xlfn.SINGLE(CA_period_trig)=1,_xlfn.SINGLE(CA_HP_oil_nom_period1),_xlfn.SINGLE(CA_HP_oil_nom_period2)))</f>
        <v>0</v>
      </c>
      <c r="BR253" s="49">
        <f ca="1">((_xlfn.SINGLE(HM_ZD_Moho!CA_gross_sales_oil)+_xlfn.SINGLE(HM_ZD_Moho!CA_gross_sales_lpg))*IF(_xlfn.SINGLE(CA_period_trig)=1,_xlfn.SINGLE(CA_HP_oil_nom_period1),_xlfn.SINGLE(CA_HP_oil_nom_period2)))</f>
        <v>0</v>
      </c>
      <c r="BS253" s="49">
        <f ca="1">((_xlfn.SINGLE(HM_ZD_Moho!CA_gross_sales_oil)+_xlfn.SINGLE(HM_ZD_Moho!CA_gross_sales_lpg))*IF(_xlfn.SINGLE(CA_period_trig)=1,_xlfn.SINGLE(CA_HP_oil_nom_period1),_xlfn.SINGLE(CA_HP_oil_nom_period2)))</f>
        <v>0</v>
      </c>
    </row>
    <row r="254" spans="4:71" outlineLevel="1" x14ac:dyDescent="0.2">
      <c r="J254" s="26"/>
      <c r="L254" s="55"/>
      <c r="M254" s="55"/>
      <c r="N254" s="55"/>
      <c r="O254" s="55"/>
      <c r="P254" s="55"/>
      <c r="Q254" s="55"/>
      <c r="R254" s="55"/>
      <c r="S254" s="55"/>
      <c r="T254" s="55"/>
      <c r="U254" s="55"/>
      <c r="V254" s="55"/>
      <c r="W254" s="55"/>
      <c r="X254" s="55"/>
      <c r="Y254" s="55"/>
      <c r="Z254" s="55"/>
      <c r="AA254" s="55"/>
      <c r="AB254" s="55"/>
      <c r="AC254" s="55"/>
      <c r="AD254" s="55"/>
      <c r="AE254" s="55"/>
      <c r="AF254" s="55"/>
      <c r="AG254" s="55"/>
      <c r="AH254" s="55"/>
      <c r="AI254" s="55"/>
      <c r="AJ254" s="55"/>
      <c r="AK254" s="55"/>
      <c r="AL254" s="55"/>
      <c r="AM254" s="55"/>
      <c r="AN254" s="55"/>
      <c r="AO254" s="55"/>
      <c r="AP254" s="55"/>
      <c r="AQ254" s="55"/>
      <c r="AR254" s="55"/>
      <c r="AS254" s="55"/>
      <c r="AT254" s="55"/>
      <c r="AU254" s="55"/>
      <c r="AV254" s="55"/>
      <c r="AW254" s="55"/>
      <c r="AX254" s="55"/>
      <c r="AY254" s="55"/>
      <c r="AZ254" s="55"/>
      <c r="BA254" s="55"/>
      <c r="BB254" s="55"/>
      <c r="BC254" s="55"/>
      <c r="BD254" s="55"/>
      <c r="BE254" s="55"/>
      <c r="BF254" s="55"/>
      <c r="BG254" s="55"/>
      <c r="BH254" s="55"/>
      <c r="BI254" s="55"/>
      <c r="BJ254" s="55"/>
      <c r="BK254" s="55"/>
      <c r="BL254" s="55"/>
      <c r="BM254" s="55"/>
      <c r="BN254" s="55"/>
      <c r="BO254" s="55"/>
      <c r="BP254" s="55"/>
      <c r="BQ254" s="55"/>
      <c r="BR254" s="55"/>
      <c r="BS254" s="55"/>
    </row>
    <row r="255" spans="4:71" outlineLevel="1" x14ac:dyDescent="0.2">
      <c r="D255" t="str">
        <f>CHOOSE(db_ML_selected,'Liste Traduction'!B457,'Liste Traduction'!C457)</f>
        <v>Revenus bruts évalués au PF</v>
      </c>
      <c r="I255" s="30">
        <f t="shared" ca="1" si="167"/>
        <v>31202.375942204548</v>
      </c>
      <c r="J255" s="26" t="s">
        <v>148</v>
      </c>
      <c r="L255" s="49" cm="1">
        <f t="array" aca="1" ref="L255:BS255" ca="1">CA_gross_rev_oil_fp</f>
        <v>1912.1835466870002</v>
      </c>
      <c r="M255" s="49">
        <f ca="1"/>
        <v>1817.7761666039996</v>
      </c>
      <c r="N255" s="49">
        <f ca="1"/>
        <v>735.04705144999991</v>
      </c>
      <c r="O255" s="49">
        <f ca="1"/>
        <v>631.67255446199999</v>
      </c>
      <c r="P255" s="49">
        <f ca="1"/>
        <v>1772.3638558490004</v>
      </c>
      <c r="Q255" s="49">
        <f ca="1"/>
        <v>3585.8944981400005</v>
      </c>
      <c r="R255" s="49">
        <f ca="1"/>
        <v>3524.3307706050005</v>
      </c>
      <c r="S255" s="49">
        <f ca="1"/>
        <v>2104.3087260000002</v>
      </c>
      <c r="T255" s="49">
        <f ca="1"/>
        <v>3219.8115777983999</v>
      </c>
      <c r="U255" s="49">
        <f ca="1"/>
        <v>3214.1772560519998</v>
      </c>
      <c r="V255" s="49">
        <f ca="1"/>
        <v>3048.9685450909269</v>
      </c>
      <c r="W255" s="49">
        <f ca="1"/>
        <v>2892.2515618732527</v>
      </c>
      <c r="X255" s="49">
        <f ca="1"/>
        <v>2743.5898315929676</v>
      </c>
      <c r="Y255" s="49">
        <f ca="1"/>
        <v>0</v>
      </c>
      <c r="Z255" s="49">
        <f ca="1"/>
        <v>0</v>
      </c>
      <c r="AA255" s="49">
        <f ca="1"/>
        <v>0</v>
      </c>
      <c r="AB255" s="49">
        <f ca="1"/>
        <v>0</v>
      </c>
      <c r="AC255" s="49">
        <f ca="1"/>
        <v>0</v>
      </c>
      <c r="AD255" s="49">
        <f ca="1"/>
        <v>0</v>
      </c>
      <c r="AE255" s="49">
        <f ca="1"/>
        <v>0</v>
      </c>
      <c r="AF255" s="49">
        <f ca="1"/>
        <v>0</v>
      </c>
      <c r="AG255" s="49">
        <f ca="1"/>
        <v>0</v>
      </c>
      <c r="AH255" s="49">
        <f ca="1"/>
        <v>0</v>
      </c>
      <c r="AI255" s="49">
        <f ca="1"/>
        <v>0</v>
      </c>
      <c r="AJ255" s="49">
        <f ca="1"/>
        <v>0</v>
      </c>
      <c r="AK255" s="49">
        <f ca="1"/>
        <v>0</v>
      </c>
      <c r="AL255" s="49">
        <f ca="1"/>
        <v>0</v>
      </c>
      <c r="AM255" s="49">
        <f ca="1"/>
        <v>0</v>
      </c>
      <c r="AN255" s="49">
        <f ca="1"/>
        <v>0</v>
      </c>
      <c r="AO255" s="49">
        <f ca="1"/>
        <v>0</v>
      </c>
      <c r="AP255" s="49">
        <f ca="1"/>
        <v>0</v>
      </c>
      <c r="AQ255" s="49">
        <f ca="1"/>
        <v>0</v>
      </c>
      <c r="AR255" s="49">
        <f ca="1"/>
        <v>0</v>
      </c>
      <c r="AS255" s="49">
        <f ca="1"/>
        <v>0</v>
      </c>
      <c r="AT255" s="49">
        <f ca="1"/>
        <v>0</v>
      </c>
      <c r="AU255" s="49">
        <f ca="1"/>
        <v>0</v>
      </c>
      <c r="AV255" s="49">
        <f ca="1"/>
        <v>0</v>
      </c>
      <c r="AW255" s="49">
        <f ca="1"/>
        <v>0</v>
      </c>
      <c r="AX255" s="49">
        <f ca="1"/>
        <v>0</v>
      </c>
      <c r="AY255" s="49">
        <f ca="1"/>
        <v>0</v>
      </c>
      <c r="AZ255" s="49">
        <f ca="1"/>
        <v>0</v>
      </c>
      <c r="BA255" s="49">
        <f ca="1"/>
        <v>0</v>
      </c>
      <c r="BB255" s="49">
        <f ca="1"/>
        <v>0</v>
      </c>
      <c r="BC255" s="49">
        <f ca="1"/>
        <v>0</v>
      </c>
      <c r="BD255" s="49">
        <f ca="1"/>
        <v>0</v>
      </c>
      <c r="BE255" s="49">
        <f ca="1"/>
        <v>0</v>
      </c>
      <c r="BF255" s="49">
        <f ca="1"/>
        <v>0</v>
      </c>
      <c r="BG255" s="49">
        <f ca="1"/>
        <v>0</v>
      </c>
      <c r="BH255" s="49">
        <f ca="1"/>
        <v>0</v>
      </c>
      <c r="BI255" s="49">
        <f ca="1"/>
        <v>0</v>
      </c>
      <c r="BJ255" s="49">
        <f ca="1"/>
        <v>0</v>
      </c>
      <c r="BK255" s="49">
        <f ca="1"/>
        <v>0</v>
      </c>
      <c r="BL255" s="49">
        <f ca="1"/>
        <v>0</v>
      </c>
      <c r="BM255" s="49">
        <f ca="1"/>
        <v>0</v>
      </c>
      <c r="BN255" s="49">
        <f ca="1"/>
        <v>0</v>
      </c>
      <c r="BO255" s="49">
        <f ca="1"/>
        <v>0</v>
      </c>
      <c r="BP255" s="49">
        <f ca="1"/>
        <v>0</v>
      </c>
      <c r="BQ255" s="49">
        <f ca="1"/>
        <v>0</v>
      </c>
      <c r="BR255" s="49">
        <f ca="1"/>
        <v>0</v>
      </c>
      <c r="BS255" s="49">
        <f ca="1"/>
        <v>0</v>
      </c>
    </row>
    <row r="256" spans="4:71" outlineLevel="1" x14ac:dyDescent="0.2">
      <c r="J256" s="26"/>
      <c r="L256" s="55"/>
      <c r="M256" s="55"/>
      <c r="N256" s="55"/>
      <c r="O256" s="55"/>
      <c r="P256" s="55"/>
      <c r="Q256" s="55"/>
      <c r="R256" s="55"/>
      <c r="S256" s="55"/>
      <c r="T256" s="55"/>
      <c r="U256" s="55"/>
      <c r="V256" s="55"/>
      <c r="W256" s="55"/>
      <c r="X256" s="55"/>
      <c r="Y256" s="55"/>
      <c r="Z256" s="55"/>
      <c r="AA256" s="55"/>
      <c r="AB256" s="55"/>
      <c r="AC256" s="55"/>
      <c r="AD256" s="55"/>
      <c r="AE256" s="55"/>
      <c r="AF256" s="55"/>
      <c r="AG256" s="55"/>
      <c r="AH256" s="55"/>
      <c r="AI256" s="55"/>
      <c r="AJ256" s="55"/>
      <c r="AK256" s="55"/>
      <c r="AL256" s="55"/>
      <c r="AM256" s="55"/>
      <c r="AN256" s="55"/>
      <c r="AO256" s="55"/>
      <c r="AP256" s="55"/>
      <c r="AQ256" s="55"/>
      <c r="AR256" s="55"/>
      <c r="AS256" s="55"/>
      <c r="AT256" s="55"/>
      <c r="AU256" s="55"/>
      <c r="AV256" s="55"/>
      <c r="AW256" s="55"/>
      <c r="AX256" s="55"/>
      <c r="AY256" s="55"/>
      <c r="AZ256" s="55"/>
      <c r="BA256" s="55"/>
      <c r="BB256" s="55"/>
      <c r="BC256" s="55"/>
      <c r="BD256" s="55"/>
      <c r="BE256" s="55"/>
      <c r="BF256" s="55"/>
      <c r="BG256" s="55"/>
      <c r="BH256" s="55"/>
      <c r="BI256" s="55"/>
      <c r="BJ256" s="55"/>
      <c r="BK256" s="55"/>
      <c r="BL256" s="55"/>
      <c r="BM256" s="55"/>
      <c r="BN256" s="55"/>
      <c r="BO256" s="55"/>
      <c r="BP256" s="55"/>
      <c r="BQ256" s="55"/>
      <c r="BR256" s="55"/>
      <c r="BS256" s="55"/>
    </row>
    <row r="257" spans="4:71" outlineLevel="1" x14ac:dyDescent="0.2">
      <c r="D257" s="11" t="str">
        <f>HM_ZB_Nsoko!D242</f>
        <v>Cost Stop</v>
      </c>
      <c r="I257" s="30">
        <f t="shared" ref="I257" ca="1" si="168">SUM($L257:$BS257)</f>
        <v>18648.729335122542</v>
      </c>
      <c r="J257" s="26" t="s">
        <v>148</v>
      </c>
      <c r="K257" s="7" t="s">
        <v>189</v>
      </c>
      <c r="L257" s="49">
        <f ca="1">HM_ZD_AM3_2005!L234</f>
        <v>263.98577304099854</v>
      </c>
      <c r="M257" s="49">
        <f ca="1">HM_ZD_AM3_2005!M234</f>
        <v>281.22048053530517</v>
      </c>
      <c r="N257" s="49">
        <f ca="1">IF(HM_ZD_Moho!CA_FP_oil_nom&lt;HM_ZD_Moho!CA_CS_HP_oil_nom,N251*N255,
MAX(N251*N253,MIN(HM_ZD_Moho!CA_gco,N249)))</f>
        <v>514.5329360149999</v>
      </c>
      <c r="O257" s="49">
        <f ca="1">IF(HM_ZD_Moho!CA_FP_oil_nom&lt;HM_ZD_Moho!CA_CS_HP_oil_nom,O251*O255,
MAX(O251*O253,MIN(HM_ZD_Moho!CA_gco,O249)))</f>
        <v>442.17078812339997</v>
      </c>
      <c r="P257" s="49">
        <f ca="1">IF(HM_ZD_Moho!CA_FP_oil_nom&lt;HM_ZD_Moho!CA_CS_HP_oil_nom,P251*P255,
MAX(P251*P253,MIN(HM_ZD_Moho!CA_gco,P249)))</f>
        <v>1240.6546990943002</v>
      </c>
      <c r="Q257" s="49">
        <f ca="1">IF(HM_ZD_Moho!CA_FP_oil_nom&lt;HM_ZD_Moho!CA_CS_HP_oil_nom,Q251*Q255,
MAX(Q251*Q253,MIN(HM_ZD_Moho!CA_gco,Q249)))</f>
        <v>2510.1261486980002</v>
      </c>
      <c r="R257" s="49">
        <f ca="1">IF(HM_ZD_Moho!CA_FP_oil_nom&lt;HM_ZD_Moho!CA_CS_HP_oil_nom,R251*R255,
MAX(R251*R253,MIN(HM_ZD_Moho!CA_gco,R249)))</f>
        <v>2467.0315394235004</v>
      </c>
      <c r="S257" s="49">
        <f ca="1">IF(HM_ZD_Moho!CA_FP_oil_nom&lt;HM_ZD_Moho!CA_CS_HP_oil_nom,S251*S255,
MAX(S251*S253,MIN(HM_ZD_Moho!CA_gco,S249)))</f>
        <v>1473.0161082</v>
      </c>
      <c r="T257" s="49">
        <f ca="1">IF(HM_ZD_Moho!CA_FP_oil_nom&lt;HM_ZD_Moho!CA_CS_HP_oil_nom,T251*T255,
MAX(T251*T253,MIN(HM_ZD_Moho!CA_gco,T249)))</f>
        <v>2253.8681044588798</v>
      </c>
      <c r="U257" s="49">
        <f ca="1">IF(HM_ZD_Moho!CA_FP_oil_nom&lt;HM_ZD_Moho!CA_CS_HP_oil_nom,U251*U255,
MAX(U251*U253,MIN(HM_ZD_Moho!CA_gco,U249)))</f>
        <v>2249.9240792363998</v>
      </c>
      <c r="V257" s="49">
        <f ca="1">IF(HM_ZD_Moho!CA_FP_oil_nom&lt;HM_ZD_Moho!CA_CS_HP_oil_nom,V251*V255,
MAX(V251*V253,MIN(HM_ZD_Moho!CA_gco,V249)))</f>
        <v>2134.2779815636486</v>
      </c>
      <c r="W257" s="49">
        <f ca="1">IF(HM_ZD_Moho!CA_FP_oil_nom&lt;HM_ZD_Moho!CA_CS_HP_oil_nom,W251*W255,
MAX(W251*W253,MIN(HM_ZD_Moho!CA_gco,W249)))</f>
        <v>1446.1257809366264</v>
      </c>
      <c r="X257" s="49">
        <f ca="1">IF(HM_ZD_Moho!CA_FP_oil_nom&lt;HM_ZD_Moho!CA_CS_HP_oil_nom,X251*X255,
MAX(X251*X253,MIN(HM_ZD_Moho!CA_gco,X249)))</f>
        <v>1371.7949157964838</v>
      </c>
      <c r="Y257" s="49">
        <f ca="1">IF(HM_ZD_Moho!CA_FP_oil_nom&lt;HM_ZD_Moho!CA_CS_HP_oil_nom,Y251*Y255,
MAX(Y251*Y253,MIN(HM_ZD_Moho!CA_gco,Y249)))</f>
        <v>0</v>
      </c>
      <c r="Z257" s="49">
        <f ca="1">IF(HM_ZD_Moho!CA_FP_oil_nom&lt;HM_ZD_Moho!CA_CS_HP_oil_nom,Z251*Z255,
MAX(Z251*Z253,MIN(HM_ZD_Moho!CA_gco,Z249)))</f>
        <v>0</v>
      </c>
      <c r="AA257" s="49">
        <f ca="1">IF(HM_ZD_Moho!CA_FP_oil_nom&lt;HM_ZD_Moho!CA_CS_HP_oil_nom,AA251*AA255,
MAX(AA251*AA253,MIN(HM_ZD_Moho!CA_gco,AA249)))</f>
        <v>0</v>
      </c>
      <c r="AB257" s="49">
        <f ca="1">IF(HM_ZD_Moho!CA_FP_oil_nom&lt;HM_ZD_Moho!CA_CS_HP_oil_nom,AB251*AB255,
MAX(AB251*AB253,MIN(HM_ZD_Moho!CA_gco,AB249)))</f>
        <v>0</v>
      </c>
      <c r="AC257" s="49">
        <f ca="1">IF(HM_ZD_Moho!CA_FP_oil_nom&lt;HM_ZD_Moho!CA_CS_HP_oil_nom,AC251*AC255,
MAX(AC251*AC253,MIN(HM_ZD_Moho!CA_gco,AC249)))</f>
        <v>0</v>
      </c>
      <c r="AD257" s="49">
        <f ca="1">IF(HM_ZD_Moho!CA_FP_oil_nom&lt;HM_ZD_Moho!CA_CS_HP_oil_nom,AD251*AD255,
MAX(AD251*AD253,MIN(HM_ZD_Moho!CA_gco,AD249)))</f>
        <v>0</v>
      </c>
      <c r="AE257" s="49">
        <f ca="1">IF(HM_ZD_Moho!CA_FP_oil_nom&lt;HM_ZD_Moho!CA_CS_HP_oil_nom,AE251*AE255,
MAX(AE251*AE253,MIN(HM_ZD_Moho!CA_gco,AE249)))</f>
        <v>0</v>
      </c>
      <c r="AF257" s="49">
        <f ca="1">IF(HM_ZD_Moho!CA_FP_oil_nom&lt;HM_ZD_Moho!CA_CS_HP_oil_nom,AF251*AF255,
MAX(AF251*AF253,MIN(HM_ZD_Moho!CA_gco,AF249)))</f>
        <v>0</v>
      </c>
      <c r="AG257" s="49">
        <f ca="1">IF(HM_ZD_Moho!CA_FP_oil_nom&lt;HM_ZD_Moho!CA_CS_HP_oil_nom,AG251*AG255,
MAX(AG251*AG253,MIN(HM_ZD_Moho!CA_gco,AG249)))</f>
        <v>0</v>
      </c>
      <c r="AH257" s="49">
        <f ca="1">IF(HM_ZD_Moho!CA_FP_oil_nom&lt;HM_ZD_Moho!CA_CS_HP_oil_nom,AH251*AH255,
MAX(AH251*AH253,MIN(HM_ZD_Moho!CA_gco,AH249)))</f>
        <v>0</v>
      </c>
      <c r="AI257" s="49">
        <f ca="1">IF(HM_ZD_Moho!CA_FP_oil_nom&lt;HM_ZD_Moho!CA_CS_HP_oil_nom,AI251*AI255,
MAX(AI251*AI253,MIN(HM_ZD_Moho!CA_gco,AI249)))</f>
        <v>0</v>
      </c>
      <c r="AJ257" s="49">
        <f ca="1">IF(HM_ZD_Moho!CA_FP_oil_nom&lt;HM_ZD_Moho!CA_CS_HP_oil_nom,AJ251*AJ255,
MAX(AJ251*AJ253,MIN(HM_ZD_Moho!CA_gco,AJ249)))</f>
        <v>0</v>
      </c>
      <c r="AK257" s="49">
        <f ca="1">IF(HM_ZD_Moho!CA_FP_oil_nom&lt;HM_ZD_Moho!CA_CS_HP_oil_nom,AK251*AK255,
MAX(AK251*AK253,MIN(HM_ZD_Moho!CA_gco,AK249)))</f>
        <v>0</v>
      </c>
      <c r="AL257" s="49">
        <f ca="1">IF(HM_ZD_Moho!CA_FP_oil_nom&lt;HM_ZD_Moho!CA_CS_HP_oil_nom,AL251*AL255,
MAX(AL251*AL253,MIN(HM_ZD_Moho!CA_gco,AL249)))</f>
        <v>0</v>
      </c>
      <c r="AM257" s="49">
        <f ca="1">IF(HM_ZD_Moho!CA_FP_oil_nom&lt;HM_ZD_Moho!CA_CS_HP_oil_nom,AM251*AM255,
MAX(AM251*AM253,MIN(HM_ZD_Moho!CA_gco,AM249)))</f>
        <v>0</v>
      </c>
      <c r="AN257" s="49">
        <f ca="1">IF(HM_ZD_Moho!CA_FP_oil_nom&lt;HM_ZD_Moho!CA_CS_HP_oil_nom,AN251*AN255,
MAX(AN251*AN253,MIN(HM_ZD_Moho!CA_gco,AN249)))</f>
        <v>0</v>
      </c>
      <c r="AO257" s="49">
        <f ca="1">IF(HM_ZD_Moho!CA_FP_oil_nom&lt;HM_ZD_Moho!CA_CS_HP_oil_nom,AO251*AO255,
MAX(AO251*AO253,MIN(HM_ZD_Moho!CA_gco,AO249)))</f>
        <v>0</v>
      </c>
      <c r="AP257" s="49">
        <f ca="1">IF(HM_ZD_Moho!CA_FP_oil_nom&lt;HM_ZD_Moho!CA_CS_HP_oil_nom,AP251*AP255,
MAX(AP251*AP253,MIN(HM_ZD_Moho!CA_gco,AP249)))</f>
        <v>0</v>
      </c>
      <c r="AQ257" s="49">
        <f ca="1">IF(HM_ZD_Moho!CA_FP_oil_nom&lt;HM_ZD_Moho!CA_CS_HP_oil_nom,AQ251*AQ255,
MAX(AQ251*AQ253,MIN(HM_ZD_Moho!CA_gco,AQ249)))</f>
        <v>0</v>
      </c>
      <c r="AR257" s="49">
        <f ca="1">IF(HM_ZD_Moho!CA_FP_oil_nom&lt;HM_ZD_Moho!CA_CS_HP_oil_nom,AR251*AR255,
MAX(AR251*AR253,MIN(HM_ZD_Moho!CA_gco,AR249)))</f>
        <v>0</v>
      </c>
      <c r="AS257" s="49">
        <f ca="1">IF(HM_ZD_Moho!CA_FP_oil_nom&lt;HM_ZD_Moho!CA_CS_HP_oil_nom,AS251*AS255,
MAX(AS251*AS253,MIN(HM_ZD_Moho!CA_gco,AS249)))</f>
        <v>0</v>
      </c>
      <c r="AT257" s="49">
        <f ca="1">IF(HM_ZD_Moho!CA_FP_oil_nom&lt;HM_ZD_Moho!CA_CS_HP_oil_nom,AT251*AT255,
MAX(AT251*AT253,MIN(HM_ZD_Moho!CA_gco,AT249)))</f>
        <v>0</v>
      </c>
      <c r="AU257" s="49">
        <f ca="1">IF(HM_ZD_Moho!CA_FP_oil_nom&lt;HM_ZD_Moho!CA_CS_HP_oil_nom,AU251*AU255,
MAX(AU251*AU253,MIN(HM_ZD_Moho!CA_gco,AU249)))</f>
        <v>0</v>
      </c>
      <c r="AV257" s="49">
        <f ca="1">IF(HM_ZD_Moho!CA_FP_oil_nom&lt;HM_ZD_Moho!CA_CS_HP_oil_nom,AV251*AV255,
MAX(AV251*AV253,MIN(HM_ZD_Moho!CA_gco,AV249)))</f>
        <v>0</v>
      </c>
      <c r="AW257" s="49">
        <f ca="1">IF(HM_ZD_Moho!CA_FP_oil_nom&lt;HM_ZD_Moho!CA_CS_HP_oil_nom,AW251*AW255,
MAX(AW251*AW253,MIN(HM_ZD_Moho!CA_gco,AW249)))</f>
        <v>0</v>
      </c>
      <c r="AX257" s="49">
        <f ca="1">IF(HM_ZD_Moho!CA_FP_oil_nom&lt;HM_ZD_Moho!CA_CS_HP_oil_nom,AX251*AX255,
MAX(AX251*AX253,MIN(HM_ZD_Moho!CA_gco,AX249)))</f>
        <v>0</v>
      </c>
      <c r="AY257" s="49">
        <f ca="1">IF(HM_ZD_Moho!CA_FP_oil_nom&lt;HM_ZD_Moho!CA_CS_HP_oil_nom,AY251*AY255,
MAX(AY251*AY253,MIN(HM_ZD_Moho!CA_gco,AY249)))</f>
        <v>0</v>
      </c>
      <c r="AZ257" s="49">
        <f ca="1">IF(HM_ZD_Moho!CA_FP_oil_nom&lt;HM_ZD_Moho!CA_CS_HP_oil_nom,AZ251*AZ255,
MAX(AZ251*AZ253,MIN(HM_ZD_Moho!CA_gco,AZ249)))</f>
        <v>0</v>
      </c>
      <c r="BA257" s="49">
        <f ca="1">IF(HM_ZD_Moho!CA_FP_oil_nom&lt;HM_ZD_Moho!CA_CS_HP_oil_nom,BA251*BA255,
MAX(BA251*BA253,MIN(HM_ZD_Moho!CA_gco,BA249)))</f>
        <v>0</v>
      </c>
      <c r="BB257" s="49">
        <f ca="1">IF(HM_ZD_Moho!CA_FP_oil_nom&lt;HM_ZD_Moho!CA_CS_HP_oil_nom,BB251*BB255,
MAX(BB251*BB253,MIN(HM_ZD_Moho!CA_gco,BB249)))</f>
        <v>0</v>
      </c>
      <c r="BC257" s="49">
        <f ca="1">IF(HM_ZD_Moho!CA_FP_oil_nom&lt;HM_ZD_Moho!CA_CS_HP_oil_nom,BC251*BC255,
MAX(BC251*BC253,MIN(HM_ZD_Moho!CA_gco,BC249)))</f>
        <v>0</v>
      </c>
      <c r="BD257" s="49">
        <f ca="1">IF(HM_ZD_Moho!CA_FP_oil_nom&lt;HM_ZD_Moho!CA_CS_HP_oil_nom,BD251*BD255,
MAX(BD251*BD253,MIN(HM_ZD_Moho!CA_gco,BD249)))</f>
        <v>0</v>
      </c>
      <c r="BE257" s="49">
        <f ca="1">IF(HM_ZD_Moho!CA_FP_oil_nom&lt;HM_ZD_Moho!CA_CS_HP_oil_nom,BE251*BE255,
MAX(BE251*BE253,MIN(HM_ZD_Moho!CA_gco,BE249)))</f>
        <v>0</v>
      </c>
      <c r="BF257" s="49">
        <f ca="1">IF(HM_ZD_Moho!CA_FP_oil_nom&lt;HM_ZD_Moho!CA_CS_HP_oil_nom,BF251*BF255,
MAX(BF251*BF253,MIN(HM_ZD_Moho!CA_gco,BF249)))</f>
        <v>0</v>
      </c>
      <c r="BG257" s="49">
        <f ca="1">IF(HM_ZD_Moho!CA_FP_oil_nom&lt;HM_ZD_Moho!CA_CS_HP_oil_nom,BG251*BG255,
MAX(BG251*BG253,MIN(HM_ZD_Moho!CA_gco,BG249)))</f>
        <v>0</v>
      </c>
      <c r="BH257" s="49">
        <f ca="1">IF(HM_ZD_Moho!CA_FP_oil_nom&lt;HM_ZD_Moho!CA_CS_HP_oil_nom,BH251*BH255,
MAX(BH251*BH253,MIN(HM_ZD_Moho!CA_gco,BH249)))</f>
        <v>0</v>
      </c>
      <c r="BI257" s="49">
        <f ca="1">IF(HM_ZD_Moho!CA_FP_oil_nom&lt;HM_ZD_Moho!CA_CS_HP_oil_nom,BI251*BI255,
MAX(BI251*BI253,MIN(HM_ZD_Moho!CA_gco,BI249)))</f>
        <v>0</v>
      </c>
      <c r="BJ257" s="49">
        <f ca="1">IF(HM_ZD_Moho!CA_FP_oil_nom&lt;HM_ZD_Moho!CA_CS_HP_oil_nom,BJ251*BJ255,
MAX(BJ251*BJ253,MIN(HM_ZD_Moho!CA_gco,BJ249)))</f>
        <v>0</v>
      </c>
      <c r="BK257" s="49">
        <f ca="1">IF(HM_ZD_Moho!CA_FP_oil_nom&lt;HM_ZD_Moho!CA_CS_HP_oil_nom,BK251*BK255,
MAX(BK251*BK253,MIN(HM_ZD_Moho!CA_gco,BK249)))</f>
        <v>0</v>
      </c>
      <c r="BL257" s="49">
        <f ca="1">IF(HM_ZD_Moho!CA_FP_oil_nom&lt;HM_ZD_Moho!CA_CS_HP_oil_nom,BL251*BL255,
MAX(BL251*BL253,MIN(HM_ZD_Moho!CA_gco,BL249)))</f>
        <v>0</v>
      </c>
      <c r="BM257" s="49">
        <f ca="1">IF(HM_ZD_Moho!CA_FP_oil_nom&lt;HM_ZD_Moho!CA_CS_HP_oil_nom,BM251*BM255,
MAX(BM251*BM253,MIN(HM_ZD_Moho!CA_gco,BM249)))</f>
        <v>0</v>
      </c>
      <c r="BN257" s="49">
        <f ca="1">IF(HM_ZD_Moho!CA_FP_oil_nom&lt;HM_ZD_Moho!CA_CS_HP_oil_nom,BN251*BN255,
MAX(BN251*BN253,MIN(HM_ZD_Moho!CA_gco,BN249)))</f>
        <v>0</v>
      </c>
      <c r="BO257" s="49">
        <f ca="1">IF(HM_ZD_Moho!CA_FP_oil_nom&lt;HM_ZD_Moho!CA_CS_HP_oil_nom,BO251*BO255,
MAX(BO251*BO253,MIN(HM_ZD_Moho!CA_gco,BO249)))</f>
        <v>0</v>
      </c>
      <c r="BP257" s="49">
        <f ca="1">IF(HM_ZD_Moho!CA_FP_oil_nom&lt;HM_ZD_Moho!CA_CS_HP_oil_nom,BP251*BP255,
MAX(BP251*BP253,MIN(HM_ZD_Moho!CA_gco,BP249)))</f>
        <v>0</v>
      </c>
      <c r="BQ257" s="49">
        <f ca="1">IF(HM_ZD_Moho!CA_FP_oil_nom&lt;HM_ZD_Moho!CA_CS_HP_oil_nom,BQ251*BQ255,
MAX(BQ251*BQ253,MIN(HM_ZD_Moho!CA_gco,BQ249)))</f>
        <v>0</v>
      </c>
      <c r="BR257" s="49">
        <f ca="1">IF(HM_ZD_Moho!CA_FP_oil_nom&lt;HM_ZD_Moho!CA_CS_HP_oil_nom,BR251*BR255,
MAX(BR251*BR253,MIN(HM_ZD_Moho!CA_gco,BR249)))</f>
        <v>0</v>
      </c>
      <c r="BS257" s="49">
        <f ca="1">IF(HM_ZD_Moho!CA_FP_oil_nom&lt;HM_ZD_Moho!CA_CS_HP_oil_nom,BS251*BS255,
MAX(BS251*BS253,MIN(HM_ZD_Moho!CA_gco,BS249)))</f>
        <v>0</v>
      </c>
    </row>
    <row r="258" spans="4:71" outlineLevel="1" x14ac:dyDescent="0.2">
      <c r="J258" s="26"/>
      <c r="L258" s="55"/>
      <c r="M258" s="55"/>
      <c r="N258" s="55"/>
      <c r="O258" s="55"/>
      <c r="P258" s="55"/>
      <c r="Q258" s="55"/>
      <c r="R258" s="55"/>
      <c r="S258" s="55"/>
      <c r="T258" s="55"/>
      <c r="U258" s="55"/>
      <c r="V258" s="55"/>
      <c r="W258" s="55"/>
      <c r="X258" s="55"/>
      <c r="Y258" s="55"/>
      <c r="Z258" s="55"/>
      <c r="AA258" s="55"/>
      <c r="AB258" s="55"/>
      <c r="AC258" s="55"/>
      <c r="AD258" s="55"/>
      <c r="AE258" s="55"/>
      <c r="AF258" s="55"/>
      <c r="AG258" s="55"/>
      <c r="AH258" s="55"/>
      <c r="AI258" s="55"/>
      <c r="AJ258" s="55"/>
      <c r="AK258" s="55"/>
      <c r="AL258" s="55"/>
      <c r="AM258" s="55"/>
      <c r="AN258" s="55"/>
      <c r="AO258" s="55"/>
      <c r="AP258" s="55"/>
      <c r="AQ258" s="55"/>
      <c r="AR258" s="55"/>
      <c r="AS258" s="55"/>
      <c r="AT258" s="55"/>
      <c r="AU258" s="55"/>
      <c r="AV258" s="55"/>
      <c r="AW258" s="55"/>
      <c r="AX258" s="55"/>
      <c r="AY258" s="55"/>
      <c r="AZ258" s="55"/>
      <c r="BA258" s="55"/>
      <c r="BB258" s="55"/>
      <c r="BC258" s="55"/>
      <c r="BD258" s="55"/>
      <c r="BE258" s="55"/>
      <c r="BF258" s="55"/>
      <c r="BG258" s="55"/>
      <c r="BH258" s="55"/>
      <c r="BI258" s="55"/>
      <c r="BJ258" s="55"/>
      <c r="BK258" s="55"/>
      <c r="BL258" s="55"/>
      <c r="BM258" s="55"/>
      <c r="BN258" s="55"/>
      <c r="BO258" s="55"/>
      <c r="BP258" s="55"/>
      <c r="BQ258" s="55"/>
      <c r="BR258" s="55"/>
      <c r="BS258" s="55"/>
    </row>
    <row r="259" spans="4:71" outlineLevel="1" x14ac:dyDescent="0.2">
      <c r="D259" s="11" t="str">
        <f>HM_ZB_Nsoko!D244</f>
        <v>Calendrier de récupération des coûts</v>
      </c>
      <c r="J259" s="26"/>
      <c r="L259" s="55"/>
      <c r="M259" s="55"/>
      <c r="N259" s="55"/>
      <c r="O259" s="55"/>
      <c r="P259" s="55"/>
      <c r="Q259" s="55"/>
      <c r="R259" s="55"/>
      <c r="S259" s="55"/>
      <c r="T259" s="55"/>
      <c r="U259" s="55"/>
      <c r="V259" s="55"/>
      <c r="W259" s="55"/>
      <c r="X259" s="55"/>
      <c r="Y259" s="55"/>
      <c r="Z259" s="55"/>
      <c r="AA259" s="55"/>
      <c r="AB259" s="55"/>
      <c r="AC259" s="55"/>
      <c r="AD259" s="55"/>
      <c r="AE259" s="55"/>
      <c r="AF259" s="55"/>
      <c r="AG259" s="55"/>
      <c r="AH259" s="55"/>
      <c r="AI259" s="55"/>
      <c r="AJ259" s="55"/>
      <c r="AK259" s="55"/>
      <c r="AL259" s="55"/>
      <c r="AM259" s="55"/>
      <c r="AN259" s="55"/>
      <c r="AO259" s="55"/>
      <c r="AP259" s="55"/>
      <c r="AQ259" s="55"/>
      <c r="AR259" s="55"/>
      <c r="AS259" s="55"/>
      <c r="AT259" s="55"/>
      <c r="AU259" s="55"/>
      <c r="AV259" s="55"/>
      <c r="AW259" s="55"/>
      <c r="AX259" s="55"/>
      <c r="AY259" s="55"/>
      <c r="AZ259" s="55"/>
      <c r="BA259" s="55"/>
      <c r="BB259" s="55"/>
      <c r="BC259" s="55"/>
      <c r="BD259" s="55"/>
      <c r="BE259" s="55"/>
      <c r="BF259" s="55"/>
      <c r="BG259" s="55"/>
      <c r="BH259" s="55"/>
      <c r="BI259" s="55"/>
      <c r="BJ259" s="55"/>
      <c r="BK259" s="55"/>
      <c r="BL259" s="55"/>
      <c r="BM259" s="55"/>
      <c r="BN259" s="55"/>
      <c r="BO259" s="55"/>
      <c r="BP259" s="55"/>
      <c r="BQ259" s="55"/>
      <c r="BR259" s="55"/>
      <c r="BS259" s="55"/>
    </row>
    <row r="260" spans="4:71" outlineLevel="1" x14ac:dyDescent="0.2">
      <c r="D260" s="51" t="str">
        <f>HM_ZB_Nsoko!D245</f>
        <v>Opex</v>
      </c>
      <c r="J260" s="26"/>
      <c r="L260" s="55"/>
      <c r="M260" s="55"/>
      <c r="N260" s="55"/>
      <c r="O260" s="55"/>
      <c r="P260" s="55"/>
      <c r="Q260" s="55"/>
      <c r="R260" s="55"/>
      <c r="S260" s="55"/>
      <c r="T260" s="55"/>
      <c r="U260" s="55"/>
      <c r="V260" s="55"/>
      <c r="W260" s="55"/>
      <c r="X260" s="55"/>
      <c r="Y260" s="55"/>
      <c r="Z260" s="55"/>
      <c r="AA260" s="55"/>
      <c r="AB260" s="55"/>
      <c r="AC260" s="55"/>
      <c r="AD260" s="55"/>
      <c r="AE260" s="55"/>
      <c r="AF260" s="55"/>
      <c r="AG260" s="55"/>
      <c r="AH260" s="55"/>
      <c r="AI260" s="55"/>
      <c r="AJ260" s="55"/>
      <c r="AK260" s="55"/>
      <c r="AL260" s="55"/>
      <c r="AM260" s="55"/>
      <c r="AN260" s="55"/>
      <c r="AO260" s="55"/>
      <c r="AP260" s="55"/>
      <c r="AQ260" s="55"/>
      <c r="AR260" s="55"/>
      <c r="AS260" s="55"/>
      <c r="AT260" s="55"/>
      <c r="AU260" s="55"/>
      <c r="AV260" s="55"/>
      <c r="AW260" s="55"/>
      <c r="AX260" s="55"/>
      <c r="AY260" s="55"/>
      <c r="AZ260" s="55"/>
      <c r="BA260" s="55"/>
      <c r="BB260" s="55"/>
      <c r="BC260" s="55"/>
      <c r="BD260" s="55"/>
      <c r="BE260" s="55"/>
      <c r="BF260" s="55"/>
      <c r="BG260" s="55"/>
      <c r="BH260" s="55"/>
      <c r="BI260" s="55"/>
      <c r="BJ260" s="55"/>
      <c r="BK260" s="55"/>
      <c r="BL260" s="55"/>
      <c r="BM260" s="55"/>
      <c r="BN260" s="55"/>
      <c r="BO260" s="55"/>
      <c r="BP260" s="55"/>
      <c r="BQ260" s="55"/>
      <c r="BR260" s="55"/>
      <c r="BS260" s="55"/>
    </row>
    <row r="261" spans="4:71" outlineLevel="1" x14ac:dyDescent="0.2">
      <c r="E261" t="str">
        <f>HM_ZB_Nsoko!E246</f>
        <v>Revenus disponibles pour la récupération</v>
      </c>
      <c r="I261" s="30">
        <f t="shared" ref="I261:I263" ca="1" si="169">SUM($L261:$BS261)</f>
        <v>18648.729335122542</v>
      </c>
      <c r="J261" s="26" t="s">
        <v>148</v>
      </c>
      <c r="L261" s="49">
        <f ca="1">HM_ZD_Moho!CA_cost_stop</f>
        <v>263.98577304099854</v>
      </c>
      <c r="M261" s="49">
        <f ca="1">HM_ZD_Moho!CA_cost_stop</f>
        <v>281.22048053530517</v>
      </c>
      <c r="N261" s="49">
        <f ca="1">HM_ZD_Moho!CA_cost_stop</f>
        <v>514.5329360149999</v>
      </c>
      <c r="O261" s="49">
        <f ca="1">HM_ZD_Moho!CA_cost_stop</f>
        <v>442.17078812339997</v>
      </c>
      <c r="P261" s="49">
        <f ca="1">HM_ZD_Moho!CA_cost_stop</f>
        <v>1240.6546990943002</v>
      </c>
      <c r="Q261" s="49">
        <f ca="1">HM_ZD_Moho!CA_cost_stop</f>
        <v>2510.1261486980002</v>
      </c>
      <c r="R261" s="49">
        <f ca="1">HM_ZD_Moho!CA_cost_stop</f>
        <v>2467.0315394235004</v>
      </c>
      <c r="S261" s="49">
        <f ca="1">HM_ZD_Moho!CA_cost_stop</f>
        <v>1473.0161082</v>
      </c>
      <c r="T261" s="49">
        <f ca="1">HM_ZD_Moho!CA_cost_stop</f>
        <v>2253.8681044588798</v>
      </c>
      <c r="U261" s="49">
        <f ca="1">HM_ZD_Moho!CA_cost_stop</f>
        <v>2249.9240792363998</v>
      </c>
      <c r="V261" s="49">
        <f ca="1">HM_ZD_Moho!CA_cost_stop</f>
        <v>2134.2779815636486</v>
      </c>
      <c r="W261" s="49">
        <f ca="1">HM_ZD_Moho!CA_cost_stop</f>
        <v>1446.1257809366264</v>
      </c>
      <c r="X261" s="49">
        <f ca="1">HM_ZD_Moho!CA_cost_stop</f>
        <v>1371.7949157964838</v>
      </c>
      <c r="Y261" s="49">
        <f ca="1">HM_ZD_Moho!CA_cost_stop</f>
        <v>0</v>
      </c>
      <c r="Z261" s="49">
        <f ca="1">HM_ZD_Moho!CA_cost_stop</f>
        <v>0</v>
      </c>
      <c r="AA261" s="49">
        <f ca="1">HM_ZD_Moho!CA_cost_stop</f>
        <v>0</v>
      </c>
      <c r="AB261" s="49">
        <f ca="1">HM_ZD_Moho!CA_cost_stop</f>
        <v>0</v>
      </c>
      <c r="AC261" s="49">
        <f ca="1">HM_ZD_Moho!CA_cost_stop</f>
        <v>0</v>
      </c>
      <c r="AD261" s="49">
        <f ca="1">HM_ZD_Moho!CA_cost_stop</f>
        <v>0</v>
      </c>
      <c r="AE261" s="49">
        <f ca="1">HM_ZD_Moho!CA_cost_stop</f>
        <v>0</v>
      </c>
      <c r="AF261" s="49">
        <f ca="1">HM_ZD_Moho!CA_cost_stop</f>
        <v>0</v>
      </c>
      <c r="AG261" s="49">
        <f ca="1">HM_ZD_Moho!CA_cost_stop</f>
        <v>0</v>
      </c>
      <c r="AH261" s="49">
        <f ca="1">HM_ZD_Moho!CA_cost_stop</f>
        <v>0</v>
      </c>
      <c r="AI261" s="49">
        <f ca="1">HM_ZD_Moho!CA_cost_stop</f>
        <v>0</v>
      </c>
      <c r="AJ261" s="49">
        <f ca="1">HM_ZD_Moho!CA_cost_stop</f>
        <v>0</v>
      </c>
      <c r="AK261" s="49">
        <f ca="1">HM_ZD_Moho!CA_cost_stop</f>
        <v>0</v>
      </c>
      <c r="AL261" s="49">
        <f ca="1">HM_ZD_Moho!CA_cost_stop</f>
        <v>0</v>
      </c>
      <c r="AM261" s="49">
        <f ca="1">HM_ZD_Moho!CA_cost_stop</f>
        <v>0</v>
      </c>
      <c r="AN261" s="49">
        <f ca="1">HM_ZD_Moho!CA_cost_stop</f>
        <v>0</v>
      </c>
      <c r="AO261" s="49">
        <f ca="1">HM_ZD_Moho!CA_cost_stop</f>
        <v>0</v>
      </c>
      <c r="AP261" s="49">
        <f ca="1">HM_ZD_Moho!CA_cost_stop</f>
        <v>0</v>
      </c>
      <c r="AQ261" s="49">
        <f ca="1">HM_ZD_Moho!CA_cost_stop</f>
        <v>0</v>
      </c>
      <c r="AR261" s="49">
        <f ca="1">HM_ZD_Moho!CA_cost_stop</f>
        <v>0</v>
      </c>
      <c r="AS261" s="49">
        <f ca="1">HM_ZD_Moho!CA_cost_stop</f>
        <v>0</v>
      </c>
      <c r="AT261" s="49">
        <f ca="1">HM_ZD_Moho!CA_cost_stop</f>
        <v>0</v>
      </c>
      <c r="AU261" s="49">
        <f ca="1">HM_ZD_Moho!CA_cost_stop</f>
        <v>0</v>
      </c>
      <c r="AV261" s="49">
        <f ca="1">HM_ZD_Moho!CA_cost_stop</f>
        <v>0</v>
      </c>
      <c r="AW261" s="49">
        <f ca="1">HM_ZD_Moho!CA_cost_stop</f>
        <v>0</v>
      </c>
      <c r="AX261" s="49">
        <f ca="1">HM_ZD_Moho!CA_cost_stop</f>
        <v>0</v>
      </c>
      <c r="AY261" s="49">
        <f ca="1">HM_ZD_Moho!CA_cost_stop</f>
        <v>0</v>
      </c>
      <c r="AZ261" s="49">
        <f ca="1">HM_ZD_Moho!CA_cost_stop</f>
        <v>0</v>
      </c>
      <c r="BA261" s="49">
        <f ca="1">HM_ZD_Moho!CA_cost_stop</f>
        <v>0</v>
      </c>
      <c r="BB261" s="49">
        <f ca="1">HM_ZD_Moho!CA_cost_stop</f>
        <v>0</v>
      </c>
      <c r="BC261" s="49">
        <f ca="1">HM_ZD_Moho!CA_cost_stop</f>
        <v>0</v>
      </c>
      <c r="BD261" s="49">
        <f ca="1">HM_ZD_Moho!CA_cost_stop</f>
        <v>0</v>
      </c>
      <c r="BE261" s="49">
        <f ca="1">HM_ZD_Moho!CA_cost_stop</f>
        <v>0</v>
      </c>
      <c r="BF261" s="49">
        <f ca="1">HM_ZD_Moho!CA_cost_stop</f>
        <v>0</v>
      </c>
      <c r="BG261" s="49">
        <f ca="1">HM_ZD_Moho!CA_cost_stop</f>
        <v>0</v>
      </c>
      <c r="BH261" s="49">
        <f ca="1">HM_ZD_Moho!CA_cost_stop</f>
        <v>0</v>
      </c>
      <c r="BI261" s="49">
        <f ca="1">HM_ZD_Moho!CA_cost_stop</f>
        <v>0</v>
      </c>
      <c r="BJ261" s="49">
        <f ca="1">HM_ZD_Moho!CA_cost_stop</f>
        <v>0</v>
      </c>
      <c r="BK261" s="49">
        <f ca="1">HM_ZD_Moho!CA_cost_stop</f>
        <v>0</v>
      </c>
      <c r="BL261" s="49">
        <f ca="1">HM_ZD_Moho!CA_cost_stop</f>
        <v>0</v>
      </c>
      <c r="BM261" s="49">
        <f ca="1">HM_ZD_Moho!CA_cost_stop</f>
        <v>0</v>
      </c>
      <c r="BN261" s="49">
        <f ca="1">HM_ZD_Moho!CA_cost_stop</f>
        <v>0</v>
      </c>
      <c r="BO261" s="49">
        <f ca="1">HM_ZD_Moho!CA_cost_stop</f>
        <v>0</v>
      </c>
      <c r="BP261" s="49">
        <f ca="1">HM_ZD_Moho!CA_cost_stop</f>
        <v>0</v>
      </c>
      <c r="BQ261" s="49">
        <f ca="1">HM_ZD_Moho!CA_cost_stop</f>
        <v>0</v>
      </c>
      <c r="BR261" s="49">
        <f ca="1">HM_ZD_Moho!CA_cost_stop</f>
        <v>0</v>
      </c>
      <c r="BS261" s="49">
        <f ca="1">HM_ZD_Moho!CA_cost_stop</f>
        <v>0</v>
      </c>
    </row>
    <row r="262" spans="4:71" outlineLevel="1" x14ac:dyDescent="0.2">
      <c r="E262" t="str">
        <f>HM_ZB_Nsoko!E247</f>
        <v>Opex cumulés à récupérer</v>
      </c>
      <c r="I262" s="30">
        <f ca="1">I239</f>
        <v>4275.8653539520001</v>
      </c>
      <c r="J262" s="26" t="s">
        <v>148</v>
      </c>
      <c r="L262" s="49">
        <f ca="1">HM_ZD_Moho!CA_opex_to_recover+(K264*(1+HM_ZD_Moho!int_rate_cf_costs))</f>
        <v>172.67099999999999</v>
      </c>
      <c r="M262" s="49">
        <f ca="1">HM_ZD_Moho!CA_opex_to_recover+(L264*(1+HM_ZD_Moho!int_rate_cf_costs))</f>
        <v>220.01900000000001</v>
      </c>
      <c r="N262" s="49">
        <f ca="1">HM_ZD_Moho!CA_opex_to_recover+(M264*(1+HM_ZD_Moho!int_rate_cf_costs))</f>
        <v>282.71699999999998</v>
      </c>
      <c r="O262" s="49">
        <f ca="1">HM_ZD_Moho!CA_opex_to_recover+(N264*(1+HM_ZD_Moho!int_rate_cf_costs))</f>
        <v>470.46699999999998</v>
      </c>
      <c r="P262" s="49">
        <f ca="1">HM_ZD_Moho!CA_opex_to_recover+(O264*(1+HM_ZD_Moho!int_rate_cf_costs))</f>
        <v>896.88221187659997</v>
      </c>
      <c r="Q262" s="49">
        <f ca="1">HM_ZD_Moho!CA_opex_to_recover+(P264*(1+HM_ZD_Moho!int_rate_cf_costs))</f>
        <v>248.2</v>
      </c>
      <c r="R262" s="49">
        <f ca="1">HM_ZD_Moho!CA_opex_to_recover+(Q264*(1+HM_ZD_Moho!int_rate_cf_costs))</f>
        <v>281.8</v>
      </c>
      <c r="S262" s="49">
        <f ca="1">HM_ZD_Moho!CA_opex_to_recover+(R264*(1+HM_ZD_Moho!int_rate_cf_costs))</f>
        <v>286.3</v>
      </c>
      <c r="T262" s="49">
        <f ca="1">HM_ZD_Moho!CA_opex_to_recover+(S264*(1+HM_ZD_Moho!int_rate_cf_costs))</f>
        <v>283.39999999999998</v>
      </c>
      <c r="U262" s="49">
        <f ca="1">HM_ZD_Moho!CA_opex_to_recover+(T264*(1+HM_ZD_Moho!int_rate_cf_costs))</f>
        <v>286.21200000000005</v>
      </c>
      <c r="V262" s="49">
        <f ca="1">HM_ZD_Moho!CA_opex_to_recover+(U264*(1+HM_ZD_Moho!int_rate_cf_costs))</f>
        <v>289.02312000000001</v>
      </c>
      <c r="W262" s="49">
        <f ca="1">HM_ZD_Moho!CA_opex_to_recover+(V264*(1+HM_ZD_Moho!int_rate_cf_costs))</f>
        <v>291.8322</v>
      </c>
      <c r="X262" s="49">
        <f ca="1">HM_ZD_Moho!CA_opex_to_recover+(W264*(1+HM_ZD_Moho!int_rate_cf_costs))</f>
        <v>294.638033952</v>
      </c>
      <c r="Y262" s="49">
        <f ca="1">HM_ZD_Moho!CA_opex_to_recover+(X264*(1+HM_ZD_Moho!int_rate_cf_costs))</f>
        <v>0</v>
      </c>
      <c r="Z262" s="49">
        <f ca="1">HM_ZD_Moho!CA_opex_to_recover+(Y264*(1+HM_ZD_Moho!int_rate_cf_costs))</f>
        <v>0</v>
      </c>
      <c r="AA262" s="49">
        <f ca="1">HM_ZD_Moho!CA_opex_to_recover+(Z264*(1+HM_ZD_Moho!int_rate_cf_costs))</f>
        <v>0</v>
      </c>
      <c r="AB262" s="49">
        <f ca="1">HM_ZD_Moho!CA_opex_to_recover+(AA264*(1+HM_ZD_Moho!int_rate_cf_costs))</f>
        <v>0</v>
      </c>
      <c r="AC262" s="49">
        <f ca="1">HM_ZD_Moho!CA_opex_to_recover+(AB264*(1+HM_ZD_Moho!int_rate_cf_costs))</f>
        <v>0</v>
      </c>
      <c r="AD262" s="49">
        <f ca="1">HM_ZD_Moho!CA_opex_to_recover+(AC264*(1+HM_ZD_Moho!int_rate_cf_costs))</f>
        <v>0</v>
      </c>
      <c r="AE262" s="49">
        <f ca="1">HM_ZD_Moho!CA_opex_to_recover+(AD264*(1+HM_ZD_Moho!int_rate_cf_costs))</f>
        <v>0</v>
      </c>
      <c r="AF262" s="49">
        <f ca="1">HM_ZD_Moho!CA_opex_to_recover+(AE264*(1+HM_ZD_Moho!int_rate_cf_costs))</f>
        <v>0</v>
      </c>
      <c r="AG262" s="49">
        <f ca="1">HM_ZD_Moho!CA_opex_to_recover+(AF264*(1+HM_ZD_Moho!int_rate_cf_costs))</f>
        <v>0</v>
      </c>
      <c r="AH262" s="49">
        <f ca="1">HM_ZD_Moho!CA_opex_to_recover+(AG264*(1+HM_ZD_Moho!int_rate_cf_costs))</f>
        <v>0</v>
      </c>
      <c r="AI262" s="49">
        <f ca="1">HM_ZD_Moho!CA_opex_to_recover+(AH264*(1+HM_ZD_Moho!int_rate_cf_costs))</f>
        <v>0</v>
      </c>
      <c r="AJ262" s="49">
        <f ca="1">HM_ZD_Moho!CA_opex_to_recover+(AI264*(1+HM_ZD_Moho!int_rate_cf_costs))</f>
        <v>0</v>
      </c>
      <c r="AK262" s="49">
        <f ca="1">HM_ZD_Moho!CA_opex_to_recover+(AJ264*(1+HM_ZD_Moho!int_rate_cf_costs))</f>
        <v>0</v>
      </c>
      <c r="AL262" s="49">
        <f ca="1">HM_ZD_Moho!CA_opex_to_recover+(AK264*(1+HM_ZD_Moho!int_rate_cf_costs))</f>
        <v>0</v>
      </c>
      <c r="AM262" s="49">
        <f ca="1">HM_ZD_Moho!CA_opex_to_recover+(AL264*(1+HM_ZD_Moho!int_rate_cf_costs))</f>
        <v>0</v>
      </c>
      <c r="AN262" s="49">
        <f ca="1">HM_ZD_Moho!CA_opex_to_recover+(AM264*(1+HM_ZD_Moho!int_rate_cf_costs))</f>
        <v>0</v>
      </c>
      <c r="AO262" s="49">
        <f ca="1">HM_ZD_Moho!CA_opex_to_recover+(AN264*(1+HM_ZD_Moho!int_rate_cf_costs))</f>
        <v>0</v>
      </c>
      <c r="AP262" s="49">
        <f ca="1">HM_ZD_Moho!CA_opex_to_recover+(AO264*(1+HM_ZD_Moho!int_rate_cf_costs))</f>
        <v>0</v>
      </c>
      <c r="AQ262" s="49">
        <f ca="1">HM_ZD_Moho!CA_opex_to_recover+(AP264*(1+HM_ZD_Moho!int_rate_cf_costs))</f>
        <v>0</v>
      </c>
      <c r="AR262" s="49">
        <f ca="1">HM_ZD_Moho!CA_opex_to_recover+(AQ264*(1+HM_ZD_Moho!int_rate_cf_costs))</f>
        <v>0</v>
      </c>
      <c r="AS262" s="49">
        <f ca="1">HM_ZD_Moho!CA_opex_to_recover+(AR264*(1+HM_ZD_Moho!int_rate_cf_costs))</f>
        <v>0</v>
      </c>
      <c r="AT262" s="49">
        <f ca="1">HM_ZD_Moho!CA_opex_to_recover+(AS264*(1+HM_ZD_Moho!int_rate_cf_costs))</f>
        <v>0</v>
      </c>
      <c r="AU262" s="49">
        <f ca="1">HM_ZD_Moho!CA_opex_to_recover+(AT264*(1+HM_ZD_Moho!int_rate_cf_costs))</f>
        <v>0</v>
      </c>
      <c r="AV262" s="49">
        <f ca="1">HM_ZD_Moho!CA_opex_to_recover+(AU264*(1+HM_ZD_Moho!int_rate_cf_costs))</f>
        <v>0</v>
      </c>
      <c r="AW262" s="49">
        <f ca="1">HM_ZD_Moho!CA_opex_to_recover+(AV264*(1+HM_ZD_Moho!int_rate_cf_costs))</f>
        <v>0</v>
      </c>
      <c r="AX262" s="49">
        <f ca="1">HM_ZD_Moho!CA_opex_to_recover+(AW264*(1+HM_ZD_Moho!int_rate_cf_costs))</f>
        <v>0</v>
      </c>
      <c r="AY262" s="49">
        <f ca="1">HM_ZD_Moho!CA_opex_to_recover+(AX264*(1+HM_ZD_Moho!int_rate_cf_costs))</f>
        <v>0</v>
      </c>
      <c r="AZ262" s="49">
        <f ca="1">HM_ZD_Moho!CA_opex_to_recover+(AY264*(1+HM_ZD_Moho!int_rate_cf_costs))</f>
        <v>0</v>
      </c>
      <c r="BA262" s="49">
        <f ca="1">HM_ZD_Moho!CA_opex_to_recover+(AZ264*(1+HM_ZD_Moho!int_rate_cf_costs))</f>
        <v>0</v>
      </c>
      <c r="BB262" s="49">
        <f ca="1">HM_ZD_Moho!CA_opex_to_recover+(BA264*(1+HM_ZD_Moho!int_rate_cf_costs))</f>
        <v>0</v>
      </c>
      <c r="BC262" s="49">
        <f ca="1">HM_ZD_Moho!CA_opex_to_recover+(BB264*(1+HM_ZD_Moho!int_rate_cf_costs))</f>
        <v>0</v>
      </c>
      <c r="BD262" s="49">
        <f ca="1">HM_ZD_Moho!CA_opex_to_recover+(BC264*(1+HM_ZD_Moho!int_rate_cf_costs))</f>
        <v>0</v>
      </c>
      <c r="BE262" s="49">
        <f ca="1">HM_ZD_Moho!CA_opex_to_recover+(BD264*(1+HM_ZD_Moho!int_rate_cf_costs))</f>
        <v>0</v>
      </c>
      <c r="BF262" s="49">
        <f ca="1">HM_ZD_Moho!CA_opex_to_recover+(BE264*(1+HM_ZD_Moho!int_rate_cf_costs))</f>
        <v>0</v>
      </c>
      <c r="BG262" s="49">
        <f ca="1">HM_ZD_Moho!CA_opex_to_recover+(BF264*(1+HM_ZD_Moho!int_rate_cf_costs))</f>
        <v>0</v>
      </c>
      <c r="BH262" s="49">
        <f ca="1">HM_ZD_Moho!CA_opex_to_recover+(BG264*(1+HM_ZD_Moho!int_rate_cf_costs))</f>
        <v>0</v>
      </c>
      <c r="BI262" s="49">
        <f ca="1">HM_ZD_Moho!CA_opex_to_recover+(BH264*(1+HM_ZD_Moho!int_rate_cf_costs))</f>
        <v>0</v>
      </c>
      <c r="BJ262" s="49">
        <f ca="1">HM_ZD_Moho!CA_opex_to_recover+(BI264*(1+HM_ZD_Moho!int_rate_cf_costs))</f>
        <v>0</v>
      </c>
      <c r="BK262" s="49">
        <f ca="1">HM_ZD_Moho!CA_opex_to_recover+(BJ264*(1+HM_ZD_Moho!int_rate_cf_costs))</f>
        <v>0</v>
      </c>
      <c r="BL262" s="49">
        <f ca="1">HM_ZD_Moho!CA_opex_to_recover+(BK264*(1+HM_ZD_Moho!int_rate_cf_costs))</f>
        <v>0</v>
      </c>
      <c r="BM262" s="49">
        <f ca="1">HM_ZD_Moho!CA_opex_to_recover+(BL264*(1+HM_ZD_Moho!int_rate_cf_costs))</f>
        <v>0</v>
      </c>
      <c r="BN262" s="49">
        <f ca="1">HM_ZD_Moho!CA_opex_to_recover+(BM264*(1+HM_ZD_Moho!int_rate_cf_costs))</f>
        <v>0</v>
      </c>
      <c r="BO262" s="49">
        <f ca="1">HM_ZD_Moho!CA_opex_to_recover+(BN264*(1+HM_ZD_Moho!int_rate_cf_costs))</f>
        <v>0</v>
      </c>
      <c r="BP262" s="49">
        <f ca="1">HM_ZD_Moho!CA_opex_to_recover+(BO264*(1+HM_ZD_Moho!int_rate_cf_costs))</f>
        <v>0</v>
      </c>
      <c r="BQ262" s="49">
        <f ca="1">HM_ZD_Moho!CA_opex_to_recover+(BP264*(1+HM_ZD_Moho!int_rate_cf_costs))</f>
        <v>0</v>
      </c>
      <c r="BR262" s="49">
        <f ca="1">HM_ZD_Moho!CA_opex_to_recover+(BQ264*(1+HM_ZD_Moho!int_rate_cf_costs))</f>
        <v>0</v>
      </c>
      <c r="BS262" s="49">
        <f ca="1">HM_ZD_Moho!CA_opex_to_recover+(BR264*(1+HM_ZD_Moho!int_rate_cf_costs))</f>
        <v>0</v>
      </c>
    </row>
    <row r="263" spans="4:71" outlineLevel="1" x14ac:dyDescent="0.2">
      <c r="E263" t="str">
        <f>HM_ZB_Nsoko!E248</f>
        <v>Opex récupérés</v>
      </c>
      <c r="H263" s="56" t="b">
        <f ca="1">ROUND(I263,2)=-ROUND(I262,2)</f>
        <v>1</v>
      </c>
      <c r="I263" s="30">
        <f t="shared" ca="1" si="169"/>
        <v>-4275.8653539520001</v>
      </c>
      <c r="J263" s="26" t="s">
        <v>148</v>
      </c>
      <c r="L263" s="49">
        <f ca="1">-MIN(L262,L261)</f>
        <v>-172.67099999999999</v>
      </c>
      <c r="M263" s="49">
        <f t="shared" ref="M263:BS263" ca="1" si="170">-MIN(M262,M261)</f>
        <v>-220.01900000000001</v>
      </c>
      <c r="N263" s="49">
        <f t="shared" ca="1" si="170"/>
        <v>-282.71699999999998</v>
      </c>
      <c r="O263" s="49">
        <f t="shared" ca="1" si="170"/>
        <v>-442.17078812339997</v>
      </c>
      <c r="P263" s="49">
        <f t="shared" ca="1" si="170"/>
        <v>-896.88221187659997</v>
      </c>
      <c r="Q263" s="49">
        <f t="shared" ca="1" si="170"/>
        <v>-248.2</v>
      </c>
      <c r="R263" s="49">
        <f t="shared" ca="1" si="170"/>
        <v>-281.8</v>
      </c>
      <c r="S263" s="49">
        <f t="shared" ca="1" si="170"/>
        <v>-286.3</v>
      </c>
      <c r="T263" s="49">
        <f t="shared" ca="1" si="170"/>
        <v>-283.39999999999998</v>
      </c>
      <c r="U263" s="49">
        <f t="shared" ca="1" si="170"/>
        <v>-286.21200000000005</v>
      </c>
      <c r="V263" s="49">
        <f t="shared" ca="1" si="170"/>
        <v>-289.02312000000001</v>
      </c>
      <c r="W263" s="49">
        <f t="shared" ca="1" si="170"/>
        <v>-291.8322</v>
      </c>
      <c r="X263" s="49">
        <f t="shared" ca="1" si="170"/>
        <v>-294.638033952</v>
      </c>
      <c r="Y263" s="49">
        <f t="shared" ca="1" si="170"/>
        <v>0</v>
      </c>
      <c r="Z263" s="49">
        <f t="shared" ca="1" si="170"/>
        <v>0</v>
      </c>
      <c r="AA263" s="49">
        <f t="shared" ca="1" si="170"/>
        <v>0</v>
      </c>
      <c r="AB263" s="49">
        <f t="shared" ca="1" si="170"/>
        <v>0</v>
      </c>
      <c r="AC263" s="49">
        <f t="shared" ca="1" si="170"/>
        <v>0</v>
      </c>
      <c r="AD263" s="49">
        <f t="shared" ca="1" si="170"/>
        <v>0</v>
      </c>
      <c r="AE263" s="49">
        <f t="shared" ca="1" si="170"/>
        <v>0</v>
      </c>
      <c r="AF263" s="49">
        <f t="shared" ca="1" si="170"/>
        <v>0</v>
      </c>
      <c r="AG263" s="49">
        <f t="shared" ca="1" si="170"/>
        <v>0</v>
      </c>
      <c r="AH263" s="49">
        <f t="shared" ca="1" si="170"/>
        <v>0</v>
      </c>
      <c r="AI263" s="49">
        <f t="shared" ca="1" si="170"/>
        <v>0</v>
      </c>
      <c r="AJ263" s="49">
        <f t="shared" ca="1" si="170"/>
        <v>0</v>
      </c>
      <c r="AK263" s="49">
        <f t="shared" ca="1" si="170"/>
        <v>0</v>
      </c>
      <c r="AL263" s="49">
        <f t="shared" ca="1" si="170"/>
        <v>0</v>
      </c>
      <c r="AM263" s="49">
        <f t="shared" ca="1" si="170"/>
        <v>0</v>
      </c>
      <c r="AN263" s="49">
        <f t="shared" ca="1" si="170"/>
        <v>0</v>
      </c>
      <c r="AO263" s="49">
        <f t="shared" ca="1" si="170"/>
        <v>0</v>
      </c>
      <c r="AP263" s="49">
        <f t="shared" ca="1" si="170"/>
        <v>0</v>
      </c>
      <c r="AQ263" s="49">
        <f t="shared" ca="1" si="170"/>
        <v>0</v>
      </c>
      <c r="AR263" s="49">
        <f t="shared" ca="1" si="170"/>
        <v>0</v>
      </c>
      <c r="AS263" s="49">
        <f t="shared" ca="1" si="170"/>
        <v>0</v>
      </c>
      <c r="AT263" s="49">
        <f t="shared" ca="1" si="170"/>
        <v>0</v>
      </c>
      <c r="AU263" s="49">
        <f t="shared" ca="1" si="170"/>
        <v>0</v>
      </c>
      <c r="AV263" s="49">
        <f t="shared" ca="1" si="170"/>
        <v>0</v>
      </c>
      <c r="AW263" s="49">
        <f t="shared" ca="1" si="170"/>
        <v>0</v>
      </c>
      <c r="AX263" s="49">
        <f t="shared" ca="1" si="170"/>
        <v>0</v>
      </c>
      <c r="AY263" s="49">
        <f t="shared" ca="1" si="170"/>
        <v>0</v>
      </c>
      <c r="AZ263" s="49">
        <f t="shared" ca="1" si="170"/>
        <v>0</v>
      </c>
      <c r="BA263" s="49">
        <f t="shared" ca="1" si="170"/>
        <v>0</v>
      </c>
      <c r="BB263" s="49">
        <f t="shared" ca="1" si="170"/>
        <v>0</v>
      </c>
      <c r="BC263" s="49">
        <f t="shared" ca="1" si="170"/>
        <v>0</v>
      </c>
      <c r="BD263" s="49">
        <f t="shared" ca="1" si="170"/>
        <v>0</v>
      </c>
      <c r="BE263" s="49">
        <f t="shared" ca="1" si="170"/>
        <v>0</v>
      </c>
      <c r="BF263" s="49">
        <f t="shared" ca="1" si="170"/>
        <v>0</v>
      </c>
      <c r="BG263" s="49">
        <f t="shared" ca="1" si="170"/>
        <v>0</v>
      </c>
      <c r="BH263" s="49">
        <f t="shared" ca="1" si="170"/>
        <v>0</v>
      </c>
      <c r="BI263" s="49">
        <f t="shared" ca="1" si="170"/>
        <v>0</v>
      </c>
      <c r="BJ263" s="49">
        <f t="shared" ca="1" si="170"/>
        <v>0</v>
      </c>
      <c r="BK263" s="49">
        <f t="shared" ca="1" si="170"/>
        <v>0</v>
      </c>
      <c r="BL263" s="49">
        <f t="shared" ca="1" si="170"/>
        <v>0</v>
      </c>
      <c r="BM263" s="49">
        <f t="shared" ca="1" si="170"/>
        <v>0</v>
      </c>
      <c r="BN263" s="49">
        <f t="shared" ca="1" si="170"/>
        <v>0</v>
      </c>
      <c r="BO263" s="49">
        <f t="shared" ca="1" si="170"/>
        <v>0</v>
      </c>
      <c r="BP263" s="49">
        <f t="shared" ca="1" si="170"/>
        <v>0</v>
      </c>
      <c r="BQ263" s="49">
        <f t="shared" ca="1" si="170"/>
        <v>0</v>
      </c>
      <c r="BR263" s="49">
        <f t="shared" ca="1" si="170"/>
        <v>0</v>
      </c>
      <c r="BS263" s="49">
        <f t="shared" ca="1" si="170"/>
        <v>0</v>
      </c>
    </row>
    <row r="264" spans="4:71" outlineLevel="1" x14ac:dyDescent="0.2">
      <c r="E264" t="str">
        <f>HM_ZB_Nsoko!E249</f>
        <v xml:space="preserve">Sous/(Sur)récupération </v>
      </c>
      <c r="J264" s="26"/>
      <c r="L264" s="49">
        <f ca="1">L262+L263</f>
        <v>0</v>
      </c>
      <c r="M264" s="49">
        <f t="shared" ref="M264:BS264" ca="1" si="171">M262+M263</f>
        <v>0</v>
      </c>
      <c r="N264" s="49">
        <f t="shared" ca="1" si="171"/>
        <v>0</v>
      </c>
      <c r="O264" s="49">
        <f t="shared" ca="1" si="171"/>
        <v>28.296211876600012</v>
      </c>
      <c r="P264" s="49">
        <f t="shared" ca="1" si="171"/>
        <v>0</v>
      </c>
      <c r="Q264" s="49">
        <f t="shared" ca="1" si="171"/>
        <v>0</v>
      </c>
      <c r="R264" s="49">
        <f t="shared" ca="1" si="171"/>
        <v>0</v>
      </c>
      <c r="S264" s="49">
        <f t="shared" ca="1" si="171"/>
        <v>0</v>
      </c>
      <c r="T264" s="49">
        <f t="shared" ca="1" si="171"/>
        <v>0</v>
      </c>
      <c r="U264" s="49">
        <f t="shared" ca="1" si="171"/>
        <v>0</v>
      </c>
      <c r="V264" s="49">
        <f t="shared" ca="1" si="171"/>
        <v>0</v>
      </c>
      <c r="W264" s="49">
        <f t="shared" ca="1" si="171"/>
        <v>0</v>
      </c>
      <c r="X264" s="49">
        <f t="shared" ca="1" si="171"/>
        <v>0</v>
      </c>
      <c r="Y264" s="49">
        <f t="shared" ca="1" si="171"/>
        <v>0</v>
      </c>
      <c r="Z264" s="49">
        <f t="shared" ca="1" si="171"/>
        <v>0</v>
      </c>
      <c r="AA264" s="49">
        <f t="shared" ca="1" si="171"/>
        <v>0</v>
      </c>
      <c r="AB264" s="49">
        <f t="shared" ca="1" si="171"/>
        <v>0</v>
      </c>
      <c r="AC264" s="49">
        <f t="shared" ca="1" si="171"/>
        <v>0</v>
      </c>
      <c r="AD264" s="49">
        <f t="shared" ca="1" si="171"/>
        <v>0</v>
      </c>
      <c r="AE264" s="49">
        <f t="shared" ca="1" si="171"/>
        <v>0</v>
      </c>
      <c r="AF264" s="49">
        <f t="shared" ca="1" si="171"/>
        <v>0</v>
      </c>
      <c r="AG264" s="49">
        <f t="shared" ca="1" si="171"/>
        <v>0</v>
      </c>
      <c r="AH264" s="49">
        <f t="shared" ca="1" si="171"/>
        <v>0</v>
      </c>
      <c r="AI264" s="49">
        <f t="shared" ca="1" si="171"/>
        <v>0</v>
      </c>
      <c r="AJ264" s="49">
        <f t="shared" ca="1" si="171"/>
        <v>0</v>
      </c>
      <c r="AK264" s="49">
        <f t="shared" ca="1" si="171"/>
        <v>0</v>
      </c>
      <c r="AL264" s="49">
        <f t="shared" ca="1" si="171"/>
        <v>0</v>
      </c>
      <c r="AM264" s="49">
        <f t="shared" ca="1" si="171"/>
        <v>0</v>
      </c>
      <c r="AN264" s="49">
        <f t="shared" ca="1" si="171"/>
        <v>0</v>
      </c>
      <c r="AO264" s="49">
        <f t="shared" ca="1" si="171"/>
        <v>0</v>
      </c>
      <c r="AP264" s="49">
        <f t="shared" ca="1" si="171"/>
        <v>0</v>
      </c>
      <c r="AQ264" s="49">
        <f t="shared" ca="1" si="171"/>
        <v>0</v>
      </c>
      <c r="AR264" s="49">
        <f t="shared" ca="1" si="171"/>
        <v>0</v>
      </c>
      <c r="AS264" s="49">
        <f t="shared" ca="1" si="171"/>
        <v>0</v>
      </c>
      <c r="AT264" s="49">
        <f t="shared" ca="1" si="171"/>
        <v>0</v>
      </c>
      <c r="AU264" s="49">
        <f t="shared" ca="1" si="171"/>
        <v>0</v>
      </c>
      <c r="AV264" s="49">
        <f t="shared" ca="1" si="171"/>
        <v>0</v>
      </c>
      <c r="AW264" s="49">
        <f t="shared" ca="1" si="171"/>
        <v>0</v>
      </c>
      <c r="AX264" s="49">
        <f t="shared" ca="1" si="171"/>
        <v>0</v>
      </c>
      <c r="AY264" s="49">
        <f t="shared" ca="1" si="171"/>
        <v>0</v>
      </c>
      <c r="AZ264" s="49">
        <f t="shared" ca="1" si="171"/>
        <v>0</v>
      </c>
      <c r="BA264" s="49">
        <f t="shared" ca="1" si="171"/>
        <v>0</v>
      </c>
      <c r="BB264" s="49">
        <f t="shared" ca="1" si="171"/>
        <v>0</v>
      </c>
      <c r="BC264" s="49">
        <f t="shared" ca="1" si="171"/>
        <v>0</v>
      </c>
      <c r="BD264" s="49">
        <f t="shared" ca="1" si="171"/>
        <v>0</v>
      </c>
      <c r="BE264" s="49">
        <f t="shared" ca="1" si="171"/>
        <v>0</v>
      </c>
      <c r="BF264" s="49">
        <f t="shared" ca="1" si="171"/>
        <v>0</v>
      </c>
      <c r="BG264" s="49">
        <f t="shared" ca="1" si="171"/>
        <v>0</v>
      </c>
      <c r="BH264" s="49">
        <f t="shared" ca="1" si="171"/>
        <v>0</v>
      </c>
      <c r="BI264" s="49">
        <f t="shared" ca="1" si="171"/>
        <v>0</v>
      </c>
      <c r="BJ264" s="49">
        <f t="shared" ca="1" si="171"/>
        <v>0</v>
      </c>
      <c r="BK264" s="49">
        <f t="shared" ca="1" si="171"/>
        <v>0</v>
      </c>
      <c r="BL264" s="49">
        <f t="shared" ca="1" si="171"/>
        <v>0</v>
      </c>
      <c r="BM264" s="49">
        <f t="shared" ca="1" si="171"/>
        <v>0</v>
      </c>
      <c r="BN264" s="49">
        <f t="shared" ca="1" si="171"/>
        <v>0</v>
      </c>
      <c r="BO264" s="49">
        <f t="shared" ca="1" si="171"/>
        <v>0</v>
      </c>
      <c r="BP264" s="49">
        <f t="shared" ca="1" si="171"/>
        <v>0</v>
      </c>
      <c r="BQ264" s="49">
        <f t="shared" ca="1" si="171"/>
        <v>0</v>
      </c>
      <c r="BR264" s="49">
        <f t="shared" ca="1" si="171"/>
        <v>0</v>
      </c>
      <c r="BS264" s="49">
        <f t="shared" ca="1" si="171"/>
        <v>0</v>
      </c>
    </row>
    <row r="265" spans="4:71" outlineLevel="1" x14ac:dyDescent="0.2">
      <c r="J265" s="26"/>
      <c r="L265" s="55"/>
      <c r="M265" s="55"/>
      <c r="N265" s="55"/>
      <c r="O265" s="55"/>
      <c r="P265" s="55"/>
      <c r="Q265" s="55"/>
      <c r="R265" s="55"/>
      <c r="S265" s="55"/>
      <c r="T265" s="55"/>
      <c r="U265" s="55"/>
      <c r="V265" s="55"/>
      <c r="W265" s="55"/>
      <c r="X265" s="55"/>
      <c r="Y265" s="55"/>
      <c r="Z265" s="55"/>
      <c r="AA265" s="55"/>
      <c r="AB265" s="55"/>
      <c r="AC265" s="55"/>
      <c r="AD265" s="55"/>
      <c r="AE265" s="55"/>
      <c r="AF265" s="55"/>
      <c r="AG265" s="55"/>
      <c r="AH265" s="55"/>
      <c r="AI265" s="55"/>
      <c r="AJ265" s="55"/>
      <c r="AK265" s="55"/>
      <c r="AL265" s="55"/>
      <c r="AM265" s="55"/>
      <c r="AN265" s="55"/>
      <c r="AO265" s="55"/>
      <c r="AP265" s="55"/>
      <c r="AQ265" s="55"/>
      <c r="AR265" s="55"/>
      <c r="AS265" s="55"/>
      <c r="AT265" s="55"/>
      <c r="AU265" s="55"/>
      <c r="AV265" s="55"/>
      <c r="AW265" s="55"/>
      <c r="AX265" s="55"/>
      <c r="AY265" s="55"/>
      <c r="AZ265" s="55"/>
      <c r="BA265" s="55"/>
      <c r="BB265" s="55"/>
      <c r="BC265" s="55"/>
      <c r="BD265" s="55"/>
      <c r="BE265" s="55"/>
      <c r="BF265" s="55"/>
      <c r="BG265" s="55"/>
      <c r="BH265" s="55"/>
      <c r="BI265" s="55"/>
      <c r="BJ265" s="55"/>
      <c r="BK265" s="55"/>
      <c r="BL265" s="55"/>
      <c r="BM265" s="55"/>
      <c r="BN265" s="55"/>
      <c r="BO265" s="55"/>
      <c r="BP265" s="55"/>
      <c r="BQ265" s="55"/>
      <c r="BR265" s="55"/>
      <c r="BS265" s="55"/>
    </row>
    <row r="266" spans="4:71" outlineLevel="1" x14ac:dyDescent="0.2">
      <c r="D266" s="51" t="str">
        <f>HM_ZB_Nsoko!D251</f>
        <v>Coûts PID</v>
      </c>
      <c r="J266" s="26"/>
      <c r="L266" s="55"/>
      <c r="M266" s="55"/>
      <c r="N266" s="55"/>
      <c r="O266" s="55"/>
      <c r="P266" s="55"/>
      <c r="Q266" s="55"/>
      <c r="R266" s="55"/>
      <c r="S266" s="55"/>
      <c r="T266" s="55"/>
      <c r="U266" s="55"/>
      <c r="V266" s="55"/>
      <c r="W266" s="55"/>
      <c r="X266" s="55"/>
      <c r="Y266" s="55"/>
      <c r="Z266" s="55"/>
      <c r="AA266" s="55"/>
      <c r="AB266" s="55"/>
      <c r="AC266" s="55"/>
      <c r="AD266" s="55"/>
      <c r="AE266" s="55"/>
      <c r="AF266" s="55"/>
      <c r="AG266" s="55"/>
      <c r="AH266" s="55"/>
      <c r="AI266" s="55"/>
      <c r="AJ266" s="55"/>
      <c r="AK266" s="55"/>
      <c r="AL266" s="55"/>
      <c r="AM266" s="55"/>
      <c r="AN266" s="55"/>
      <c r="AO266" s="55"/>
      <c r="AP266" s="55"/>
      <c r="AQ266" s="55"/>
      <c r="AR266" s="55"/>
      <c r="AS266" s="55"/>
      <c r="AT266" s="55"/>
      <c r="AU266" s="55"/>
      <c r="AV266" s="55"/>
      <c r="AW266" s="55"/>
      <c r="AX266" s="55"/>
      <c r="AY266" s="55"/>
      <c r="AZ266" s="55"/>
      <c r="BA266" s="55"/>
      <c r="BB266" s="55"/>
      <c r="BC266" s="55"/>
      <c r="BD266" s="55"/>
      <c r="BE266" s="55"/>
      <c r="BF266" s="55"/>
      <c r="BG266" s="55"/>
      <c r="BH266" s="55"/>
      <c r="BI266" s="55"/>
      <c r="BJ266" s="55"/>
      <c r="BK266" s="55"/>
      <c r="BL266" s="55"/>
      <c r="BM266" s="55"/>
      <c r="BN266" s="55"/>
      <c r="BO266" s="55"/>
      <c r="BP266" s="55"/>
      <c r="BQ266" s="55"/>
      <c r="BR266" s="55"/>
      <c r="BS266" s="55"/>
    </row>
    <row r="267" spans="4:71" outlineLevel="1" x14ac:dyDescent="0.2">
      <c r="E267" t="str">
        <f>HM_ZB_Nsoko!E252</f>
        <v>Revenus disponibles pour la récupération</v>
      </c>
      <c r="I267" s="30">
        <f t="shared" ref="I267:I269" ca="1" si="172">SUM($L267:$BS267)</f>
        <v>14372.863981170543</v>
      </c>
      <c r="J267" s="26" t="s">
        <v>148</v>
      </c>
      <c r="L267" s="49">
        <f ca="1">HM_ZD_Moho!CA_cost_stop+L263</f>
        <v>91.314773040998546</v>
      </c>
      <c r="M267" s="49">
        <f ca="1">HM_ZD_Moho!CA_cost_stop+M263</f>
        <v>61.201480535305166</v>
      </c>
      <c r="N267" s="49">
        <f ca="1">HM_ZD_Moho!CA_cost_stop+N263</f>
        <v>231.81593601499992</v>
      </c>
      <c r="O267" s="49">
        <f ca="1">HM_ZD_Moho!CA_cost_stop+O263</f>
        <v>0</v>
      </c>
      <c r="P267" s="49">
        <f ca="1">HM_ZD_Moho!CA_cost_stop+P263</f>
        <v>343.77248721770025</v>
      </c>
      <c r="Q267" s="49">
        <f ca="1">HM_ZD_Moho!CA_cost_stop+Q263</f>
        <v>2261.9261486980004</v>
      </c>
      <c r="R267" s="49">
        <f ca="1">HM_ZD_Moho!CA_cost_stop+R263</f>
        <v>2185.2315394235002</v>
      </c>
      <c r="S267" s="49">
        <f ca="1">HM_ZD_Moho!CA_cost_stop+S263</f>
        <v>1186.7161082</v>
      </c>
      <c r="T267" s="49">
        <f ca="1">HM_ZD_Moho!CA_cost_stop+T263</f>
        <v>1970.4681044588797</v>
      </c>
      <c r="U267" s="49">
        <f ca="1">HM_ZD_Moho!CA_cost_stop+U263</f>
        <v>1963.7120792363999</v>
      </c>
      <c r="V267" s="49">
        <f ca="1">HM_ZD_Moho!CA_cost_stop+V263</f>
        <v>1845.2548615636485</v>
      </c>
      <c r="W267" s="49">
        <f ca="1">HM_ZD_Moho!CA_cost_stop+W263</f>
        <v>1154.2935809366263</v>
      </c>
      <c r="X267" s="49">
        <f ca="1">HM_ZD_Moho!CA_cost_stop+X263</f>
        <v>1077.1568818444839</v>
      </c>
      <c r="Y267" s="49">
        <f ca="1">HM_ZD_Moho!CA_cost_stop+Y263</f>
        <v>0</v>
      </c>
      <c r="Z267" s="49">
        <f ca="1">HM_ZD_Moho!CA_cost_stop+Z263</f>
        <v>0</v>
      </c>
      <c r="AA267" s="49">
        <f ca="1">HM_ZD_Moho!CA_cost_stop+AA263</f>
        <v>0</v>
      </c>
      <c r="AB267" s="49">
        <f ca="1">HM_ZD_Moho!CA_cost_stop+AB263</f>
        <v>0</v>
      </c>
      <c r="AC267" s="49">
        <f ca="1">HM_ZD_Moho!CA_cost_stop+AC263</f>
        <v>0</v>
      </c>
      <c r="AD267" s="49">
        <f ca="1">HM_ZD_Moho!CA_cost_stop+AD263</f>
        <v>0</v>
      </c>
      <c r="AE267" s="49">
        <f ca="1">HM_ZD_Moho!CA_cost_stop+AE263</f>
        <v>0</v>
      </c>
      <c r="AF267" s="49">
        <f ca="1">HM_ZD_Moho!CA_cost_stop+AF263</f>
        <v>0</v>
      </c>
      <c r="AG267" s="49">
        <f ca="1">HM_ZD_Moho!CA_cost_stop+AG263</f>
        <v>0</v>
      </c>
      <c r="AH267" s="49">
        <f ca="1">HM_ZD_Moho!CA_cost_stop+AH263</f>
        <v>0</v>
      </c>
      <c r="AI267" s="49">
        <f ca="1">HM_ZD_Moho!CA_cost_stop+AI263</f>
        <v>0</v>
      </c>
      <c r="AJ267" s="49">
        <f ca="1">HM_ZD_Moho!CA_cost_stop+AJ263</f>
        <v>0</v>
      </c>
      <c r="AK267" s="49">
        <f ca="1">HM_ZD_Moho!CA_cost_stop+AK263</f>
        <v>0</v>
      </c>
      <c r="AL267" s="49">
        <f ca="1">HM_ZD_Moho!CA_cost_stop+AL263</f>
        <v>0</v>
      </c>
      <c r="AM267" s="49">
        <f ca="1">HM_ZD_Moho!CA_cost_stop+AM263</f>
        <v>0</v>
      </c>
      <c r="AN267" s="49">
        <f ca="1">HM_ZD_Moho!CA_cost_stop+AN263</f>
        <v>0</v>
      </c>
      <c r="AO267" s="49">
        <f ca="1">HM_ZD_Moho!CA_cost_stop+AO263</f>
        <v>0</v>
      </c>
      <c r="AP267" s="49">
        <f ca="1">HM_ZD_Moho!CA_cost_stop+AP263</f>
        <v>0</v>
      </c>
      <c r="AQ267" s="49">
        <f ca="1">HM_ZD_Moho!CA_cost_stop+AQ263</f>
        <v>0</v>
      </c>
      <c r="AR267" s="49">
        <f ca="1">HM_ZD_Moho!CA_cost_stop+AR263</f>
        <v>0</v>
      </c>
      <c r="AS267" s="49">
        <f ca="1">HM_ZD_Moho!CA_cost_stop+AS263</f>
        <v>0</v>
      </c>
      <c r="AT267" s="49">
        <f ca="1">HM_ZD_Moho!CA_cost_stop+AT263</f>
        <v>0</v>
      </c>
      <c r="AU267" s="49">
        <f ca="1">HM_ZD_Moho!CA_cost_stop+AU263</f>
        <v>0</v>
      </c>
      <c r="AV267" s="49">
        <f ca="1">HM_ZD_Moho!CA_cost_stop+AV263</f>
        <v>0</v>
      </c>
      <c r="AW267" s="49">
        <f ca="1">HM_ZD_Moho!CA_cost_stop+AW263</f>
        <v>0</v>
      </c>
      <c r="AX267" s="49">
        <f ca="1">HM_ZD_Moho!CA_cost_stop+AX263</f>
        <v>0</v>
      </c>
      <c r="AY267" s="49">
        <f ca="1">HM_ZD_Moho!CA_cost_stop+AY263</f>
        <v>0</v>
      </c>
      <c r="AZ267" s="49">
        <f ca="1">HM_ZD_Moho!CA_cost_stop+AZ263</f>
        <v>0</v>
      </c>
      <c r="BA267" s="49">
        <f ca="1">HM_ZD_Moho!CA_cost_stop+BA263</f>
        <v>0</v>
      </c>
      <c r="BB267" s="49">
        <f ca="1">HM_ZD_Moho!CA_cost_stop+BB263</f>
        <v>0</v>
      </c>
      <c r="BC267" s="49">
        <f ca="1">HM_ZD_Moho!CA_cost_stop+BC263</f>
        <v>0</v>
      </c>
      <c r="BD267" s="49">
        <f ca="1">HM_ZD_Moho!CA_cost_stop+BD263</f>
        <v>0</v>
      </c>
      <c r="BE267" s="49">
        <f ca="1">HM_ZD_Moho!CA_cost_stop+BE263</f>
        <v>0</v>
      </c>
      <c r="BF267" s="49">
        <f ca="1">HM_ZD_Moho!CA_cost_stop+BF263</f>
        <v>0</v>
      </c>
      <c r="BG267" s="49">
        <f ca="1">HM_ZD_Moho!CA_cost_stop+BG263</f>
        <v>0</v>
      </c>
      <c r="BH267" s="49">
        <f ca="1">HM_ZD_Moho!CA_cost_stop+BH263</f>
        <v>0</v>
      </c>
      <c r="BI267" s="49">
        <f ca="1">HM_ZD_Moho!CA_cost_stop+BI263</f>
        <v>0</v>
      </c>
      <c r="BJ267" s="49">
        <f ca="1">HM_ZD_Moho!CA_cost_stop+BJ263</f>
        <v>0</v>
      </c>
      <c r="BK267" s="49">
        <f ca="1">HM_ZD_Moho!CA_cost_stop+BK263</f>
        <v>0</v>
      </c>
      <c r="BL267" s="49">
        <f ca="1">HM_ZD_Moho!CA_cost_stop+BL263</f>
        <v>0</v>
      </c>
      <c r="BM267" s="49">
        <f ca="1">HM_ZD_Moho!CA_cost_stop+BM263</f>
        <v>0</v>
      </c>
      <c r="BN267" s="49">
        <f ca="1">HM_ZD_Moho!CA_cost_stop+BN263</f>
        <v>0</v>
      </c>
      <c r="BO267" s="49">
        <f ca="1">HM_ZD_Moho!CA_cost_stop+BO263</f>
        <v>0</v>
      </c>
      <c r="BP267" s="49">
        <f ca="1">HM_ZD_Moho!CA_cost_stop+BP263</f>
        <v>0</v>
      </c>
      <c r="BQ267" s="49">
        <f ca="1">HM_ZD_Moho!CA_cost_stop+BQ263</f>
        <v>0</v>
      </c>
      <c r="BR267" s="49">
        <f ca="1">HM_ZD_Moho!CA_cost_stop+BR263</f>
        <v>0</v>
      </c>
      <c r="BS267" s="49">
        <f ca="1">HM_ZD_Moho!CA_cost_stop+BS263</f>
        <v>0</v>
      </c>
    </row>
    <row r="268" spans="4:71" outlineLevel="1" x14ac:dyDescent="0.2">
      <c r="E268" t="str">
        <f>HM_ZB_Nsoko!E253</f>
        <v>PID cumulée à récupérer</v>
      </c>
      <c r="I268" s="30">
        <f ca="1">I240</f>
        <v>312.02375942204549</v>
      </c>
      <c r="J268" s="26" t="s">
        <v>148</v>
      </c>
      <c r="L268" s="49">
        <f ca="1">HM_ZD_Moho!CA_pid_to_recover+(K270*(1+HM_ZD_Moho!int_rate_cf_costs))</f>
        <v>19.121835466870003</v>
      </c>
      <c r="M268" s="49">
        <f ca="1">HM_ZD_Moho!CA_pid_to_recover+(L270*(1+HM_ZD_Moho!int_rate_cf_costs))</f>
        <v>18.177761666039995</v>
      </c>
      <c r="N268" s="49">
        <f ca="1">HM_ZD_Moho!CA_pid_to_recover+(M270*(1+HM_ZD_Moho!int_rate_cf_costs))</f>
        <v>7.3504705144999996</v>
      </c>
      <c r="O268" s="49">
        <f ca="1">HM_ZD_Moho!CA_pid_to_recover+(N270*(1+HM_ZD_Moho!int_rate_cf_costs))</f>
        <v>6.3167255446199997</v>
      </c>
      <c r="P268" s="49">
        <f ca="1">HM_ZD_Moho!CA_pid_to_recover+(O270*(1+HM_ZD_Moho!int_rate_cf_costs))</f>
        <v>24.040364103110004</v>
      </c>
      <c r="Q268" s="49">
        <f ca="1">HM_ZD_Moho!CA_pid_to_recover+(P270*(1+HM_ZD_Moho!int_rate_cf_costs))</f>
        <v>35.858944981400008</v>
      </c>
      <c r="R268" s="49">
        <f ca="1">HM_ZD_Moho!CA_pid_to_recover+(Q270*(1+HM_ZD_Moho!int_rate_cf_costs))</f>
        <v>35.243307706050004</v>
      </c>
      <c r="S268" s="49">
        <f ca="1">HM_ZD_Moho!CA_pid_to_recover+(R270*(1+HM_ZD_Moho!int_rate_cf_costs))</f>
        <v>21.043087260000004</v>
      </c>
      <c r="T268" s="49">
        <f ca="1">HM_ZD_Moho!CA_pid_to_recover+(S270*(1+HM_ZD_Moho!int_rate_cf_costs))</f>
        <v>32.198115777984</v>
      </c>
      <c r="U268" s="49">
        <f ca="1">HM_ZD_Moho!CA_pid_to_recover+(T270*(1+HM_ZD_Moho!int_rate_cf_costs))</f>
        <v>32.141772560519996</v>
      </c>
      <c r="V268" s="49">
        <f ca="1">HM_ZD_Moho!CA_pid_to_recover+(U270*(1+HM_ZD_Moho!int_rate_cf_costs))</f>
        <v>30.489685450909271</v>
      </c>
      <c r="W268" s="49">
        <f ca="1">HM_ZD_Moho!CA_pid_to_recover+(V270*(1+HM_ZD_Moho!int_rate_cf_costs))</f>
        <v>28.922515618732529</v>
      </c>
      <c r="X268" s="49">
        <f ca="1">HM_ZD_Moho!CA_pid_to_recover+(W270*(1+HM_ZD_Moho!int_rate_cf_costs))</f>
        <v>27.435898315929677</v>
      </c>
      <c r="Y268" s="49">
        <f ca="1">HM_ZD_Moho!CA_pid_to_recover+(X270*(1+HM_ZD_Moho!int_rate_cf_costs))</f>
        <v>0</v>
      </c>
      <c r="Z268" s="49">
        <f ca="1">HM_ZD_Moho!CA_pid_to_recover+(Y270*(1+HM_ZD_Moho!int_rate_cf_costs))</f>
        <v>0</v>
      </c>
      <c r="AA268" s="49">
        <f ca="1">HM_ZD_Moho!CA_pid_to_recover+(Z270*(1+HM_ZD_Moho!int_rate_cf_costs))</f>
        <v>0</v>
      </c>
      <c r="AB268" s="49">
        <f ca="1">HM_ZD_Moho!CA_pid_to_recover+(AA270*(1+HM_ZD_Moho!int_rate_cf_costs))</f>
        <v>0</v>
      </c>
      <c r="AC268" s="49">
        <f ca="1">HM_ZD_Moho!CA_pid_to_recover+(AB270*(1+HM_ZD_Moho!int_rate_cf_costs))</f>
        <v>0</v>
      </c>
      <c r="AD268" s="49">
        <f ca="1">HM_ZD_Moho!CA_pid_to_recover+(AC270*(1+HM_ZD_Moho!int_rate_cf_costs))</f>
        <v>0</v>
      </c>
      <c r="AE268" s="49">
        <f ca="1">HM_ZD_Moho!CA_pid_to_recover+(AD270*(1+HM_ZD_Moho!int_rate_cf_costs))</f>
        <v>0</v>
      </c>
      <c r="AF268" s="49">
        <f ca="1">HM_ZD_Moho!CA_pid_to_recover+(AE270*(1+HM_ZD_Moho!int_rate_cf_costs))</f>
        <v>0</v>
      </c>
      <c r="AG268" s="49">
        <f ca="1">HM_ZD_Moho!CA_pid_to_recover+(AF270*(1+HM_ZD_Moho!int_rate_cf_costs))</f>
        <v>0</v>
      </c>
      <c r="AH268" s="49">
        <f ca="1">HM_ZD_Moho!CA_pid_to_recover+(AG270*(1+HM_ZD_Moho!int_rate_cf_costs))</f>
        <v>0</v>
      </c>
      <c r="AI268" s="49">
        <f ca="1">HM_ZD_Moho!CA_pid_to_recover+(AH270*(1+HM_ZD_Moho!int_rate_cf_costs))</f>
        <v>0</v>
      </c>
      <c r="AJ268" s="49">
        <f ca="1">HM_ZD_Moho!CA_pid_to_recover+(AI270*(1+HM_ZD_Moho!int_rate_cf_costs))</f>
        <v>0</v>
      </c>
      <c r="AK268" s="49">
        <f ca="1">HM_ZD_Moho!CA_pid_to_recover+(AJ270*(1+HM_ZD_Moho!int_rate_cf_costs))</f>
        <v>0</v>
      </c>
      <c r="AL268" s="49">
        <f ca="1">HM_ZD_Moho!CA_pid_to_recover+(AK270*(1+HM_ZD_Moho!int_rate_cf_costs))</f>
        <v>0</v>
      </c>
      <c r="AM268" s="49">
        <f ca="1">HM_ZD_Moho!CA_pid_to_recover+(AL270*(1+HM_ZD_Moho!int_rate_cf_costs))</f>
        <v>0</v>
      </c>
      <c r="AN268" s="49">
        <f ca="1">HM_ZD_Moho!CA_pid_to_recover+(AM270*(1+HM_ZD_Moho!int_rate_cf_costs))</f>
        <v>0</v>
      </c>
      <c r="AO268" s="49">
        <f ca="1">HM_ZD_Moho!CA_pid_to_recover+(AN270*(1+HM_ZD_Moho!int_rate_cf_costs))</f>
        <v>0</v>
      </c>
      <c r="AP268" s="49">
        <f ca="1">HM_ZD_Moho!CA_pid_to_recover+(AO270*(1+HM_ZD_Moho!int_rate_cf_costs))</f>
        <v>0</v>
      </c>
      <c r="AQ268" s="49">
        <f ca="1">HM_ZD_Moho!CA_pid_to_recover+(AP270*(1+HM_ZD_Moho!int_rate_cf_costs))</f>
        <v>0</v>
      </c>
      <c r="AR268" s="49">
        <f ca="1">HM_ZD_Moho!CA_pid_to_recover+(AQ270*(1+HM_ZD_Moho!int_rate_cf_costs))</f>
        <v>0</v>
      </c>
      <c r="AS268" s="49">
        <f ca="1">HM_ZD_Moho!CA_pid_to_recover+(AR270*(1+HM_ZD_Moho!int_rate_cf_costs))</f>
        <v>0</v>
      </c>
      <c r="AT268" s="49">
        <f ca="1">HM_ZD_Moho!CA_pid_to_recover+(AS270*(1+HM_ZD_Moho!int_rate_cf_costs))</f>
        <v>0</v>
      </c>
      <c r="AU268" s="49">
        <f ca="1">HM_ZD_Moho!CA_pid_to_recover+(AT270*(1+HM_ZD_Moho!int_rate_cf_costs))</f>
        <v>0</v>
      </c>
      <c r="AV268" s="49">
        <f ca="1">HM_ZD_Moho!CA_pid_to_recover+(AU270*(1+HM_ZD_Moho!int_rate_cf_costs))</f>
        <v>0</v>
      </c>
      <c r="AW268" s="49">
        <f ca="1">HM_ZD_Moho!CA_pid_to_recover+(AV270*(1+HM_ZD_Moho!int_rate_cf_costs))</f>
        <v>0</v>
      </c>
      <c r="AX268" s="49">
        <f ca="1">HM_ZD_Moho!CA_pid_to_recover+(AW270*(1+HM_ZD_Moho!int_rate_cf_costs))</f>
        <v>0</v>
      </c>
      <c r="AY268" s="49">
        <f ca="1">HM_ZD_Moho!CA_pid_to_recover+(AX270*(1+HM_ZD_Moho!int_rate_cf_costs))</f>
        <v>0</v>
      </c>
      <c r="AZ268" s="49">
        <f ca="1">HM_ZD_Moho!CA_pid_to_recover+(AY270*(1+HM_ZD_Moho!int_rate_cf_costs))</f>
        <v>0</v>
      </c>
      <c r="BA268" s="49">
        <f ca="1">HM_ZD_Moho!CA_pid_to_recover+(AZ270*(1+HM_ZD_Moho!int_rate_cf_costs))</f>
        <v>0</v>
      </c>
      <c r="BB268" s="49">
        <f ca="1">HM_ZD_Moho!CA_pid_to_recover+(BA270*(1+HM_ZD_Moho!int_rate_cf_costs))</f>
        <v>0</v>
      </c>
      <c r="BC268" s="49">
        <f ca="1">HM_ZD_Moho!CA_pid_to_recover+(BB270*(1+HM_ZD_Moho!int_rate_cf_costs))</f>
        <v>0</v>
      </c>
      <c r="BD268" s="49">
        <f ca="1">HM_ZD_Moho!CA_pid_to_recover+(BC270*(1+HM_ZD_Moho!int_rate_cf_costs))</f>
        <v>0</v>
      </c>
      <c r="BE268" s="49">
        <f ca="1">HM_ZD_Moho!CA_pid_to_recover+(BD270*(1+HM_ZD_Moho!int_rate_cf_costs))</f>
        <v>0</v>
      </c>
      <c r="BF268" s="49">
        <f ca="1">HM_ZD_Moho!CA_pid_to_recover+(BE270*(1+HM_ZD_Moho!int_rate_cf_costs))</f>
        <v>0</v>
      </c>
      <c r="BG268" s="49">
        <f ca="1">HM_ZD_Moho!CA_pid_to_recover+(BF270*(1+HM_ZD_Moho!int_rate_cf_costs))</f>
        <v>0</v>
      </c>
      <c r="BH268" s="49">
        <f ca="1">HM_ZD_Moho!CA_pid_to_recover+(BG270*(1+HM_ZD_Moho!int_rate_cf_costs))</f>
        <v>0</v>
      </c>
      <c r="BI268" s="49">
        <f ca="1">HM_ZD_Moho!CA_pid_to_recover+(BH270*(1+HM_ZD_Moho!int_rate_cf_costs))</f>
        <v>0</v>
      </c>
      <c r="BJ268" s="49">
        <f ca="1">HM_ZD_Moho!CA_pid_to_recover+(BI270*(1+HM_ZD_Moho!int_rate_cf_costs))</f>
        <v>0</v>
      </c>
      <c r="BK268" s="49">
        <f ca="1">HM_ZD_Moho!CA_pid_to_recover+(BJ270*(1+HM_ZD_Moho!int_rate_cf_costs))</f>
        <v>0</v>
      </c>
      <c r="BL268" s="49">
        <f ca="1">HM_ZD_Moho!CA_pid_to_recover+(BK270*(1+HM_ZD_Moho!int_rate_cf_costs))</f>
        <v>0</v>
      </c>
      <c r="BM268" s="49">
        <f ca="1">HM_ZD_Moho!CA_pid_to_recover+(BL270*(1+HM_ZD_Moho!int_rate_cf_costs))</f>
        <v>0</v>
      </c>
      <c r="BN268" s="49">
        <f ca="1">HM_ZD_Moho!CA_pid_to_recover+(BM270*(1+HM_ZD_Moho!int_rate_cf_costs))</f>
        <v>0</v>
      </c>
      <c r="BO268" s="49">
        <f ca="1">HM_ZD_Moho!CA_pid_to_recover+(BN270*(1+HM_ZD_Moho!int_rate_cf_costs))</f>
        <v>0</v>
      </c>
      <c r="BP268" s="49">
        <f ca="1">HM_ZD_Moho!CA_pid_to_recover+(BO270*(1+HM_ZD_Moho!int_rate_cf_costs))</f>
        <v>0</v>
      </c>
      <c r="BQ268" s="49">
        <f ca="1">HM_ZD_Moho!CA_pid_to_recover+(BP270*(1+HM_ZD_Moho!int_rate_cf_costs))</f>
        <v>0</v>
      </c>
      <c r="BR268" s="49">
        <f ca="1">HM_ZD_Moho!CA_pid_to_recover+(BQ270*(1+HM_ZD_Moho!int_rate_cf_costs))</f>
        <v>0</v>
      </c>
      <c r="BS268" s="49">
        <f ca="1">HM_ZD_Moho!CA_pid_to_recover+(BR270*(1+HM_ZD_Moho!int_rate_cf_costs))</f>
        <v>0</v>
      </c>
    </row>
    <row r="269" spans="4:71" outlineLevel="1" x14ac:dyDescent="0.2">
      <c r="E269" t="str">
        <f>HM_ZB_Nsoko!E254</f>
        <v>PID récupérée</v>
      </c>
      <c r="H269" s="56" t="b">
        <f ca="1">ROUND(I269,2)=-ROUND(I268,2)</f>
        <v>1</v>
      </c>
      <c r="I269" s="30">
        <f t="shared" ca="1" si="172"/>
        <v>-312.02375942204549</v>
      </c>
      <c r="J269" s="26" t="s">
        <v>148</v>
      </c>
      <c r="L269" s="49">
        <f ca="1">-MIN(L268,L267)</f>
        <v>-19.121835466870003</v>
      </c>
      <c r="M269" s="49">
        <f t="shared" ref="M269:BS269" ca="1" si="173">-MIN(M268,M267)</f>
        <v>-18.177761666039995</v>
      </c>
      <c r="N269" s="49">
        <f t="shared" ca="1" si="173"/>
        <v>-7.3504705144999996</v>
      </c>
      <c r="O269" s="49">
        <f t="shared" ca="1" si="173"/>
        <v>0</v>
      </c>
      <c r="P269" s="49">
        <f t="shared" ca="1" si="173"/>
        <v>-24.040364103110004</v>
      </c>
      <c r="Q269" s="49">
        <f t="shared" ca="1" si="173"/>
        <v>-35.858944981400008</v>
      </c>
      <c r="R269" s="49">
        <f t="shared" ca="1" si="173"/>
        <v>-35.243307706050004</v>
      </c>
      <c r="S269" s="49">
        <f t="shared" ca="1" si="173"/>
        <v>-21.043087260000004</v>
      </c>
      <c r="T269" s="49">
        <f t="shared" ca="1" si="173"/>
        <v>-32.198115777984</v>
      </c>
      <c r="U269" s="49">
        <f t="shared" ca="1" si="173"/>
        <v>-32.141772560519996</v>
      </c>
      <c r="V269" s="49">
        <f t="shared" ca="1" si="173"/>
        <v>-30.489685450909271</v>
      </c>
      <c r="W269" s="49">
        <f t="shared" ca="1" si="173"/>
        <v>-28.922515618732529</v>
      </c>
      <c r="X269" s="49">
        <f t="shared" ca="1" si="173"/>
        <v>-27.435898315929677</v>
      </c>
      <c r="Y269" s="49">
        <f t="shared" ca="1" si="173"/>
        <v>0</v>
      </c>
      <c r="Z269" s="49">
        <f t="shared" ca="1" si="173"/>
        <v>0</v>
      </c>
      <c r="AA269" s="49">
        <f t="shared" ca="1" si="173"/>
        <v>0</v>
      </c>
      <c r="AB269" s="49">
        <f t="shared" ca="1" si="173"/>
        <v>0</v>
      </c>
      <c r="AC269" s="49">
        <f t="shared" ca="1" si="173"/>
        <v>0</v>
      </c>
      <c r="AD269" s="49">
        <f t="shared" ca="1" si="173"/>
        <v>0</v>
      </c>
      <c r="AE269" s="49">
        <f t="shared" ca="1" si="173"/>
        <v>0</v>
      </c>
      <c r="AF269" s="49">
        <f t="shared" ca="1" si="173"/>
        <v>0</v>
      </c>
      <c r="AG269" s="49">
        <f t="shared" ca="1" si="173"/>
        <v>0</v>
      </c>
      <c r="AH269" s="49">
        <f t="shared" ca="1" si="173"/>
        <v>0</v>
      </c>
      <c r="AI269" s="49">
        <f t="shared" ca="1" si="173"/>
        <v>0</v>
      </c>
      <c r="AJ269" s="49">
        <f t="shared" ca="1" si="173"/>
        <v>0</v>
      </c>
      <c r="AK269" s="49">
        <f t="shared" ca="1" si="173"/>
        <v>0</v>
      </c>
      <c r="AL269" s="49">
        <f t="shared" ca="1" si="173"/>
        <v>0</v>
      </c>
      <c r="AM269" s="49">
        <f t="shared" ca="1" si="173"/>
        <v>0</v>
      </c>
      <c r="AN269" s="49">
        <f t="shared" ca="1" si="173"/>
        <v>0</v>
      </c>
      <c r="AO269" s="49">
        <f t="shared" ca="1" si="173"/>
        <v>0</v>
      </c>
      <c r="AP269" s="49">
        <f t="shared" ca="1" si="173"/>
        <v>0</v>
      </c>
      <c r="AQ269" s="49">
        <f t="shared" ca="1" si="173"/>
        <v>0</v>
      </c>
      <c r="AR269" s="49">
        <f t="shared" ca="1" si="173"/>
        <v>0</v>
      </c>
      <c r="AS269" s="49">
        <f t="shared" ca="1" si="173"/>
        <v>0</v>
      </c>
      <c r="AT269" s="49">
        <f t="shared" ca="1" si="173"/>
        <v>0</v>
      </c>
      <c r="AU269" s="49">
        <f t="shared" ca="1" si="173"/>
        <v>0</v>
      </c>
      <c r="AV269" s="49">
        <f t="shared" ca="1" si="173"/>
        <v>0</v>
      </c>
      <c r="AW269" s="49">
        <f t="shared" ca="1" si="173"/>
        <v>0</v>
      </c>
      <c r="AX269" s="49">
        <f t="shared" ca="1" si="173"/>
        <v>0</v>
      </c>
      <c r="AY269" s="49">
        <f t="shared" ca="1" si="173"/>
        <v>0</v>
      </c>
      <c r="AZ269" s="49">
        <f t="shared" ca="1" si="173"/>
        <v>0</v>
      </c>
      <c r="BA269" s="49">
        <f t="shared" ca="1" si="173"/>
        <v>0</v>
      </c>
      <c r="BB269" s="49">
        <f t="shared" ca="1" si="173"/>
        <v>0</v>
      </c>
      <c r="BC269" s="49">
        <f t="shared" ca="1" si="173"/>
        <v>0</v>
      </c>
      <c r="BD269" s="49">
        <f t="shared" ca="1" si="173"/>
        <v>0</v>
      </c>
      <c r="BE269" s="49">
        <f t="shared" ca="1" si="173"/>
        <v>0</v>
      </c>
      <c r="BF269" s="49">
        <f t="shared" ca="1" si="173"/>
        <v>0</v>
      </c>
      <c r="BG269" s="49">
        <f t="shared" ca="1" si="173"/>
        <v>0</v>
      </c>
      <c r="BH269" s="49">
        <f t="shared" ca="1" si="173"/>
        <v>0</v>
      </c>
      <c r="BI269" s="49">
        <f t="shared" ca="1" si="173"/>
        <v>0</v>
      </c>
      <c r="BJ269" s="49">
        <f t="shared" ca="1" si="173"/>
        <v>0</v>
      </c>
      <c r="BK269" s="49">
        <f t="shared" ca="1" si="173"/>
        <v>0</v>
      </c>
      <c r="BL269" s="49">
        <f t="shared" ca="1" si="173"/>
        <v>0</v>
      </c>
      <c r="BM269" s="49">
        <f t="shared" ca="1" si="173"/>
        <v>0</v>
      </c>
      <c r="BN269" s="49">
        <f t="shared" ca="1" si="173"/>
        <v>0</v>
      </c>
      <c r="BO269" s="49">
        <f t="shared" ca="1" si="173"/>
        <v>0</v>
      </c>
      <c r="BP269" s="49">
        <f t="shared" ca="1" si="173"/>
        <v>0</v>
      </c>
      <c r="BQ269" s="49">
        <f t="shared" ca="1" si="173"/>
        <v>0</v>
      </c>
      <c r="BR269" s="49">
        <f t="shared" ca="1" si="173"/>
        <v>0</v>
      </c>
      <c r="BS269" s="49">
        <f t="shared" ca="1" si="173"/>
        <v>0</v>
      </c>
    </row>
    <row r="270" spans="4:71" outlineLevel="1" x14ac:dyDescent="0.2">
      <c r="E270" t="str">
        <f>HM_ZB_Nsoko!E255</f>
        <v xml:space="preserve">Sous/(Sur)récupération </v>
      </c>
      <c r="J270" s="26"/>
      <c r="L270" s="49">
        <f ca="1">L268+L269</f>
        <v>0</v>
      </c>
      <c r="M270" s="49">
        <f t="shared" ref="M270:BS270" ca="1" si="174">M268+M269</f>
        <v>0</v>
      </c>
      <c r="N270" s="49">
        <f t="shared" ca="1" si="174"/>
        <v>0</v>
      </c>
      <c r="O270" s="49">
        <f t="shared" ca="1" si="174"/>
        <v>6.3167255446199997</v>
      </c>
      <c r="P270" s="49">
        <f t="shared" ca="1" si="174"/>
        <v>0</v>
      </c>
      <c r="Q270" s="49">
        <f t="shared" ca="1" si="174"/>
        <v>0</v>
      </c>
      <c r="R270" s="49">
        <f t="shared" ca="1" si="174"/>
        <v>0</v>
      </c>
      <c r="S270" s="49">
        <f t="shared" ca="1" si="174"/>
        <v>0</v>
      </c>
      <c r="T270" s="49">
        <f t="shared" ca="1" si="174"/>
        <v>0</v>
      </c>
      <c r="U270" s="49">
        <f t="shared" ca="1" si="174"/>
        <v>0</v>
      </c>
      <c r="V270" s="49">
        <f t="shared" ca="1" si="174"/>
        <v>0</v>
      </c>
      <c r="W270" s="49">
        <f t="shared" ca="1" si="174"/>
        <v>0</v>
      </c>
      <c r="X270" s="49">
        <f t="shared" ca="1" si="174"/>
        <v>0</v>
      </c>
      <c r="Y270" s="49">
        <f t="shared" ca="1" si="174"/>
        <v>0</v>
      </c>
      <c r="Z270" s="49">
        <f t="shared" ca="1" si="174"/>
        <v>0</v>
      </c>
      <c r="AA270" s="49">
        <f t="shared" ca="1" si="174"/>
        <v>0</v>
      </c>
      <c r="AB270" s="49">
        <f t="shared" ca="1" si="174"/>
        <v>0</v>
      </c>
      <c r="AC270" s="49">
        <f t="shared" ca="1" si="174"/>
        <v>0</v>
      </c>
      <c r="AD270" s="49">
        <f t="shared" ca="1" si="174"/>
        <v>0</v>
      </c>
      <c r="AE270" s="49">
        <f t="shared" ca="1" si="174"/>
        <v>0</v>
      </c>
      <c r="AF270" s="49">
        <f t="shared" ca="1" si="174"/>
        <v>0</v>
      </c>
      <c r="AG270" s="49">
        <f t="shared" ca="1" si="174"/>
        <v>0</v>
      </c>
      <c r="AH270" s="49">
        <f t="shared" ca="1" si="174"/>
        <v>0</v>
      </c>
      <c r="AI270" s="49">
        <f t="shared" ca="1" si="174"/>
        <v>0</v>
      </c>
      <c r="AJ270" s="49">
        <f t="shared" ca="1" si="174"/>
        <v>0</v>
      </c>
      <c r="AK270" s="49">
        <f t="shared" ca="1" si="174"/>
        <v>0</v>
      </c>
      <c r="AL270" s="49">
        <f t="shared" ca="1" si="174"/>
        <v>0</v>
      </c>
      <c r="AM270" s="49">
        <f t="shared" ca="1" si="174"/>
        <v>0</v>
      </c>
      <c r="AN270" s="49">
        <f t="shared" ca="1" si="174"/>
        <v>0</v>
      </c>
      <c r="AO270" s="49">
        <f t="shared" ca="1" si="174"/>
        <v>0</v>
      </c>
      <c r="AP270" s="49">
        <f t="shared" ca="1" si="174"/>
        <v>0</v>
      </c>
      <c r="AQ270" s="49">
        <f t="shared" ca="1" si="174"/>
        <v>0</v>
      </c>
      <c r="AR270" s="49">
        <f t="shared" ca="1" si="174"/>
        <v>0</v>
      </c>
      <c r="AS270" s="49">
        <f t="shared" ca="1" si="174"/>
        <v>0</v>
      </c>
      <c r="AT270" s="49">
        <f t="shared" ca="1" si="174"/>
        <v>0</v>
      </c>
      <c r="AU270" s="49">
        <f t="shared" ca="1" si="174"/>
        <v>0</v>
      </c>
      <c r="AV270" s="49">
        <f t="shared" ca="1" si="174"/>
        <v>0</v>
      </c>
      <c r="AW270" s="49">
        <f t="shared" ca="1" si="174"/>
        <v>0</v>
      </c>
      <c r="AX270" s="49">
        <f t="shared" ca="1" si="174"/>
        <v>0</v>
      </c>
      <c r="AY270" s="49">
        <f t="shared" ca="1" si="174"/>
        <v>0</v>
      </c>
      <c r="AZ270" s="49">
        <f t="shared" ca="1" si="174"/>
        <v>0</v>
      </c>
      <c r="BA270" s="49">
        <f t="shared" ca="1" si="174"/>
        <v>0</v>
      </c>
      <c r="BB270" s="49">
        <f t="shared" ca="1" si="174"/>
        <v>0</v>
      </c>
      <c r="BC270" s="49">
        <f t="shared" ca="1" si="174"/>
        <v>0</v>
      </c>
      <c r="BD270" s="49">
        <f t="shared" ca="1" si="174"/>
        <v>0</v>
      </c>
      <c r="BE270" s="49">
        <f t="shared" ca="1" si="174"/>
        <v>0</v>
      </c>
      <c r="BF270" s="49">
        <f t="shared" ca="1" si="174"/>
        <v>0</v>
      </c>
      <c r="BG270" s="49">
        <f t="shared" ca="1" si="174"/>
        <v>0</v>
      </c>
      <c r="BH270" s="49">
        <f t="shared" ca="1" si="174"/>
        <v>0</v>
      </c>
      <c r="BI270" s="49">
        <f t="shared" ca="1" si="174"/>
        <v>0</v>
      </c>
      <c r="BJ270" s="49">
        <f t="shared" ca="1" si="174"/>
        <v>0</v>
      </c>
      <c r="BK270" s="49">
        <f t="shared" ca="1" si="174"/>
        <v>0</v>
      </c>
      <c r="BL270" s="49">
        <f t="shared" ca="1" si="174"/>
        <v>0</v>
      </c>
      <c r="BM270" s="49">
        <f t="shared" ca="1" si="174"/>
        <v>0</v>
      </c>
      <c r="BN270" s="49">
        <f t="shared" ca="1" si="174"/>
        <v>0</v>
      </c>
      <c r="BO270" s="49">
        <f t="shared" ca="1" si="174"/>
        <v>0</v>
      </c>
      <c r="BP270" s="49">
        <f t="shared" ca="1" si="174"/>
        <v>0</v>
      </c>
      <c r="BQ270" s="49">
        <f t="shared" ca="1" si="174"/>
        <v>0</v>
      </c>
      <c r="BR270" s="49">
        <f t="shared" ca="1" si="174"/>
        <v>0</v>
      </c>
      <c r="BS270" s="49">
        <f t="shared" ca="1" si="174"/>
        <v>0</v>
      </c>
    </row>
    <row r="271" spans="4:71" outlineLevel="1" x14ac:dyDescent="0.2">
      <c r="J271" s="26"/>
      <c r="L271" s="55"/>
      <c r="M271" s="55"/>
      <c r="N271" s="55"/>
      <c r="O271" s="55"/>
      <c r="P271" s="55"/>
      <c r="Q271" s="55"/>
      <c r="R271" s="55"/>
      <c r="S271" s="55"/>
      <c r="T271" s="55"/>
      <c r="U271" s="55"/>
      <c r="V271" s="55"/>
      <c r="W271" s="55"/>
      <c r="X271" s="55"/>
      <c r="Y271" s="55"/>
      <c r="Z271" s="55"/>
      <c r="AA271" s="55"/>
      <c r="AB271" s="55"/>
      <c r="AC271" s="55"/>
      <c r="AD271" s="55"/>
      <c r="AE271" s="55"/>
      <c r="AF271" s="55"/>
      <c r="AG271" s="55"/>
      <c r="AH271" s="55"/>
      <c r="AI271" s="55"/>
      <c r="AJ271" s="55"/>
      <c r="AK271" s="55"/>
      <c r="AL271" s="55"/>
      <c r="AM271" s="55"/>
      <c r="AN271" s="55"/>
      <c r="AO271" s="55"/>
      <c r="AP271" s="55"/>
      <c r="AQ271" s="55"/>
      <c r="AR271" s="55"/>
      <c r="AS271" s="55"/>
      <c r="AT271" s="55"/>
      <c r="AU271" s="55"/>
      <c r="AV271" s="55"/>
      <c r="AW271" s="55"/>
      <c r="AX271" s="55"/>
      <c r="AY271" s="55"/>
      <c r="AZ271" s="55"/>
      <c r="BA271" s="55"/>
      <c r="BB271" s="55"/>
      <c r="BC271" s="55"/>
      <c r="BD271" s="55"/>
      <c r="BE271" s="55"/>
      <c r="BF271" s="55"/>
      <c r="BG271" s="55"/>
      <c r="BH271" s="55"/>
      <c r="BI271" s="55"/>
      <c r="BJ271" s="55"/>
      <c r="BK271" s="55"/>
      <c r="BL271" s="55"/>
      <c r="BM271" s="55"/>
      <c r="BN271" s="55"/>
      <c r="BO271" s="55"/>
      <c r="BP271" s="55"/>
      <c r="BQ271" s="55"/>
      <c r="BR271" s="55"/>
      <c r="BS271" s="55"/>
    </row>
    <row r="272" spans="4:71" outlineLevel="1" x14ac:dyDescent="0.2">
      <c r="D272" s="51" t="str">
        <f>HM_ZB_Nsoko!D257</f>
        <v>Investissement-Développement</v>
      </c>
      <c r="J272" s="26"/>
      <c r="L272" s="55"/>
      <c r="M272" s="55"/>
      <c r="N272" s="55"/>
      <c r="O272" s="55"/>
      <c r="P272" s="55"/>
      <c r="Q272" s="55"/>
      <c r="R272" s="55"/>
      <c r="S272" s="55"/>
      <c r="T272" s="55"/>
      <c r="U272" s="55"/>
      <c r="V272" s="55"/>
      <c r="W272" s="55"/>
      <c r="X272" s="55"/>
      <c r="Y272" s="55"/>
      <c r="Z272" s="55"/>
      <c r="AA272" s="55"/>
      <c r="AB272" s="55"/>
      <c r="AC272" s="55"/>
      <c r="AD272" s="55"/>
      <c r="AE272" s="55"/>
      <c r="AF272" s="55"/>
      <c r="AG272" s="55"/>
      <c r="AH272" s="55"/>
      <c r="AI272" s="55"/>
      <c r="AJ272" s="55"/>
      <c r="AK272" s="55"/>
      <c r="AL272" s="55"/>
      <c r="AM272" s="55"/>
      <c r="AN272" s="55"/>
      <c r="AO272" s="55"/>
      <c r="AP272" s="55"/>
      <c r="AQ272" s="55"/>
      <c r="AR272" s="55"/>
      <c r="AS272" s="55"/>
      <c r="AT272" s="55"/>
      <c r="AU272" s="55"/>
      <c r="AV272" s="55"/>
      <c r="AW272" s="55"/>
      <c r="AX272" s="55"/>
      <c r="AY272" s="55"/>
      <c r="AZ272" s="55"/>
      <c r="BA272" s="55"/>
      <c r="BB272" s="55"/>
      <c r="BC272" s="55"/>
      <c r="BD272" s="55"/>
      <c r="BE272" s="55"/>
      <c r="BF272" s="55"/>
      <c r="BG272" s="55"/>
      <c r="BH272" s="55"/>
      <c r="BI272" s="55"/>
      <c r="BJ272" s="55"/>
      <c r="BK272" s="55"/>
      <c r="BL272" s="55"/>
      <c r="BM272" s="55"/>
      <c r="BN272" s="55"/>
      <c r="BO272" s="55"/>
      <c r="BP272" s="55"/>
      <c r="BQ272" s="55"/>
      <c r="BR272" s="55"/>
      <c r="BS272" s="55"/>
    </row>
    <row r="273" spans="4:71" outlineLevel="1" x14ac:dyDescent="0.2">
      <c r="E273" t="str">
        <f>HM_ZB_Nsoko!E258</f>
        <v>Revenus disponibles pour la récupération</v>
      </c>
      <c r="I273" s="30">
        <f t="shared" ref="I273:I275" ca="1" si="175">SUM($L273:$BS273)</f>
        <v>14060.840221748498</v>
      </c>
      <c r="J273" s="26" t="s">
        <v>148</v>
      </c>
      <c r="L273" s="49">
        <f ca="1">HM_ZD_Moho!CA_cost_stop+L263+L269</f>
        <v>72.192937574128536</v>
      </c>
      <c r="M273" s="49">
        <f ca="1">HM_ZD_Moho!CA_cost_stop+M263+M269</f>
        <v>43.023718869265167</v>
      </c>
      <c r="N273" s="49">
        <f ca="1">HM_ZD_Moho!CA_cost_stop+N263+N269</f>
        <v>224.46546550049993</v>
      </c>
      <c r="O273" s="49">
        <f ca="1">HM_ZD_Moho!CA_cost_stop+O263+O269</f>
        <v>0</v>
      </c>
      <c r="P273" s="49">
        <f ca="1">HM_ZD_Moho!CA_cost_stop+P263+P269</f>
        <v>319.73212311459025</v>
      </c>
      <c r="Q273" s="49">
        <f ca="1">HM_ZD_Moho!CA_cost_stop+Q263+Q269</f>
        <v>2226.0672037166005</v>
      </c>
      <c r="R273" s="49">
        <f ca="1">HM_ZD_Moho!CA_cost_stop+R263+R269</f>
        <v>2149.9882317174502</v>
      </c>
      <c r="S273" s="49">
        <f ca="1">HM_ZD_Moho!CA_cost_stop+S263+S269</f>
        <v>1165.67302094</v>
      </c>
      <c r="T273" s="49">
        <f ca="1">HM_ZD_Moho!CA_cost_stop+T263+T269</f>
        <v>1938.2699886808957</v>
      </c>
      <c r="U273" s="49">
        <f ca="1">HM_ZD_Moho!CA_cost_stop+U263+U269</f>
        <v>1931.5703066758799</v>
      </c>
      <c r="V273" s="49">
        <f ca="1">HM_ZD_Moho!CA_cost_stop+V263+V269</f>
        <v>1814.7651761127393</v>
      </c>
      <c r="W273" s="49">
        <f ca="1">HM_ZD_Moho!CA_cost_stop+W263+W269</f>
        <v>1125.3710653178937</v>
      </c>
      <c r="X273" s="49">
        <f ca="1">HM_ZD_Moho!CA_cost_stop+X263+X269</f>
        <v>1049.7209835285541</v>
      </c>
      <c r="Y273" s="49">
        <f ca="1">HM_ZD_Moho!CA_cost_stop+Y263+Y269</f>
        <v>0</v>
      </c>
      <c r="Z273" s="49">
        <f ca="1">HM_ZD_Moho!CA_cost_stop+Z263+Z269</f>
        <v>0</v>
      </c>
      <c r="AA273" s="49">
        <f ca="1">HM_ZD_Moho!CA_cost_stop+AA263+AA269</f>
        <v>0</v>
      </c>
      <c r="AB273" s="49">
        <f ca="1">HM_ZD_Moho!CA_cost_stop+AB263+AB269</f>
        <v>0</v>
      </c>
      <c r="AC273" s="49">
        <f ca="1">HM_ZD_Moho!CA_cost_stop+AC263+AC269</f>
        <v>0</v>
      </c>
      <c r="AD273" s="49">
        <f ca="1">HM_ZD_Moho!CA_cost_stop+AD263+AD269</f>
        <v>0</v>
      </c>
      <c r="AE273" s="49">
        <f ca="1">HM_ZD_Moho!CA_cost_stop+AE263+AE269</f>
        <v>0</v>
      </c>
      <c r="AF273" s="49">
        <f ca="1">HM_ZD_Moho!CA_cost_stop+AF263+AF269</f>
        <v>0</v>
      </c>
      <c r="AG273" s="49">
        <f ca="1">HM_ZD_Moho!CA_cost_stop+AG263+AG269</f>
        <v>0</v>
      </c>
      <c r="AH273" s="49">
        <f ca="1">HM_ZD_Moho!CA_cost_stop+AH263+AH269</f>
        <v>0</v>
      </c>
      <c r="AI273" s="49">
        <f ca="1">HM_ZD_Moho!CA_cost_stop+AI263+AI269</f>
        <v>0</v>
      </c>
      <c r="AJ273" s="49">
        <f ca="1">HM_ZD_Moho!CA_cost_stop+AJ263+AJ269</f>
        <v>0</v>
      </c>
      <c r="AK273" s="49">
        <f ca="1">HM_ZD_Moho!CA_cost_stop+AK263+AK269</f>
        <v>0</v>
      </c>
      <c r="AL273" s="49">
        <f ca="1">HM_ZD_Moho!CA_cost_stop+AL263+AL269</f>
        <v>0</v>
      </c>
      <c r="AM273" s="49">
        <f ca="1">HM_ZD_Moho!CA_cost_stop+AM263+AM269</f>
        <v>0</v>
      </c>
      <c r="AN273" s="49">
        <f ca="1">HM_ZD_Moho!CA_cost_stop+AN263+AN269</f>
        <v>0</v>
      </c>
      <c r="AO273" s="49">
        <f ca="1">HM_ZD_Moho!CA_cost_stop+AO263+AO269</f>
        <v>0</v>
      </c>
      <c r="AP273" s="49">
        <f ca="1">HM_ZD_Moho!CA_cost_stop+AP263+AP269</f>
        <v>0</v>
      </c>
      <c r="AQ273" s="49">
        <f ca="1">HM_ZD_Moho!CA_cost_stop+AQ263+AQ269</f>
        <v>0</v>
      </c>
      <c r="AR273" s="49">
        <f ca="1">HM_ZD_Moho!CA_cost_stop+AR263+AR269</f>
        <v>0</v>
      </c>
      <c r="AS273" s="49">
        <f ca="1">HM_ZD_Moho!CA_cost_stop+AS263+AS269</f>
        <v>0</v>
      </c>
      <c r="AT273" s="49">
        <f ca="1">HM_ZD_Moho!CA_cost_stop+AT263+AT269</f>
        <v>0</v>
      </c>
      <c r="AU273" s="49">
        <f ca="1">HM_ZD_Moho!CA_cost_stop+AU263+AU269</f>
        <v>0</v>
      </c>
      <c r="AV273" s="49">
        <f ca="1">HM_ZD_Moho!CA_cost_stop+AV263+AV269</f>
        <v>0</v>
      </c>
      <c r="AW273" s="49">
        <f ca="1">HM_ZD_Moho!CA_cost_stop+AW263+AW269</f>
        <v>0</v>
      </c>
      <c r="AX273" s="49">
        <f ca="1">HM_ZD_Moho!CA_cost_stop+AX263+AX269</f>
        <v>0</v>
      </c>
      <c r="AY273" s="49">
        <f ca="1">HM_ZD_Moho!CA_cost_stop+AY263+AY269</f>
        <v>0</v>
      </c>
      <c r="AZ273" s="49">
        <f ca="1">HM_ZD_Moho!CA_cost_stop+AZ263+AZ269</f>
        <v>0</v>
      </c>
      <c r="BA273" s="49">
        <f ca="1">HM_ZD_Moho!CA_cost_stop+BA263+BA269</f>
        <v>0</v>
      </c>
      <c r="BB273" s="49">
        <f ca="1">HM_ZD_Moho!CA_cost_stop+BB263+BB269</f>
        <v>0</v>
      </c>
      <c r="BC273" s="49">
        <f ca="1">HM_ZD_Moho!CA_cost_stop+BC263+BC269</f>
        <v>0</v>
      </c>
      <c r="BD273" s="49">
        <f ca="1">HM_ZD_Moho!CA_cost_stop+BD263+BD269</f>
        <v>0</v>
      </c>
      <c r="BE273" s="49">
        <f ca="1">HM_ZD_Moho!CA_cost_stop+BE263+BE269</f>
        <v>0</v>
      </c>
      <c r="BF273" s="49">
        <f ca="1">HM_ZD_Moho!CA_cost_stop+BF263+BF269</f>
        <v>0</v>
      </c>
      <c r="BG273" s="49">
        <f ca="1">HM_ZD_Moho!CA_cost_stop+BG263+BG269</f>
        <v>0</v>
      </c>
      <c r="BH273" s="49">
        <f ca="1">HM_ZD_Moho!CA_cost_stop+BH263+BH269</f>
        <v>0</v>
      </c>
      <c r="BI273" s="49">
        <f ca="1">HM_ZD_Moho!CA_cost_stop+BI263+BI269</f>
        <v>0</v>
      </c>
      <c r="BJ273" s="49">
        <f ca="1">HM_ZD_Moho!CA_cost_stop+BJ263+BJ269</f>
        <v>0</v>
      </c>
      <c r="BK273" s="49">
        <f ca="1">HM_ZD_Moho!CA_cost_stop+BK263+BK269</f>
        <v>0</v>
      </c>
      <c r="BL273" s="49">
        <f ca="1">HM_ZD_Moho!CA_cost_stop+BL263+BL269</f>
        <v>0</v>
      </c>
      <c r="BM273" s="49">
        <f ca="1">HM_ZD_Moho!CA_cost_stop+BM263+BM269</f>
        <v>0</v>
      </c>
      <c r="BN273" s="49">
        <f ca="1">HM_ZD_Moho!CA_cost_stop+BN263+BN269</f>
        <v>0</v>
      </c>
      <c r="BO273" s="49">
        <f ca="1">HM_ZD_Moho!CA_cost_stop+BO263+BO269</f>
        <v>0</v>
      </c>
      <c r="BP273" s="49">
        <f ca="1">HM_ZD_Moho!CA_cost_stop+BP263+BP269</f>
        <v>0</v>
      </c>
      <c r="BQ273" s="49">
        <f ca="1">HM_ZD_Moho!CA_cost_stop+BQ263+BQ269</f>
        <v>0</v>
      </c>
      <c r="BR273" s="49">
        <f ca="1">HM_ZD_Moho!CA_cost_stop+BR263+BR269</f>
        <v>0</v>
      </c>
      <c r="BS273" s="49">
        <f ca="1">HM_ZD_Moho!CA_cost_stop+BS263+BS269</f>
        <v>0</v>
      </c>
    </row>
    <row r="274" spans="4:71" outlineLevel="1" x14ac:dyDescent="0.2">
      <c r="E274" t="str">
        <f>HM_ZB_Nsoko!E259</f>
        <v>Capex cumulés à récupérer</v>
      </c>
      <c r="I274" s="30">
        <f ca="1">I241</f>
        <v>10913.591</v>
      </c>
      <c r="J274" s="26" t="s">
        <v>148</v>
      </c>
      <c r="L274" s="49">
        <f ca="1">(HM_ZD_Moho!CA_capex_to_recover+HM_ZD_Moho!CA_unrecov_costs_to_recover)+(K276*(1+HM_ZD_Moho!int_rate_cf_costs))</f>
        <v>4715.2845865500003</v>
      </c>
      <c r="M274" s="49">
        <f ca="1">(HM_ZD_Moho!CA_capex_to_recover+HM_ZD_Moho!CA_unrecov_costs_to_recover)+(L276*(1+HM_ZD_Moho!int_rate_cf_costs))</f>
        <v>6761.3036489758724</v>
      </c>
      <c r="N274" s="49">
        <f ca="1">(HM_ZD_Moho!CA_capex_to_recover+HM_ZD_Moho!CA_unrecov_costs_to_recover)+(M276*(1+HM_ZD_Moho!int_rate_cf_costs))</f>
        <v>9848.8539301066066</v>
      </c>
      <c r="O274" s="49">
        <f ca="1">(HM_ZD_Moho!CA_capex_to_recover+HM_ZD_Moho!CA_unrecov_costs_to_recover)+(N276*(1+HM_ZD_Moho!int_rate_cf_costs))</f>
        <v>12195.589464606106</v>
      </c>
      <c r="P274" s="49">
        <f ca="1">(HM_ZD_Moho!CA_capex_to_recover+HM_ZD_Moho!CA_unrecov_costs_to_recover)+(O276*(1+HM_ZD_Moho!int_rate_cf_costs))</f>
        <v>13348.821464606106</v>
      </c>
      <c r="Q274" s="49">
        <f ca="1">(HM_ZD_Moho!CA_capex_to_recover+HM_ZD_Moho!CA_unrecov_costs_to_recover)+(P276*(1+HM_ZD_Moho!int_rate_cf_costs))</f>
        <v>13682.679341491516</v>
      </c>
      <c r="R274" s="49">
        <f ca="1">(HM_ZD_Moho!CA_capex_to_recover+HM_ZD_Moho!CA_unrecov_costs_to_recover)+(Q276*(1+HM_ZD_Moho!int_rate_cf_costs))</f>
        <v>11456.612137774915</v>
      </c>
      <c r="S274" s="49">
        <f ca="1">(HM_ZD_Moho!CA_capex_to_recover+HM_ZD_Moho!CA_unrecov_costs_to_recover)+(R276*(1+HM_ZD_Moho!int_rate_cf_costs))</f>
        <v>9306.6239060574644</v>
      </c>
      <c r="T274" s="49">
        <f ca="1">(HM_ZD_Moho!CA_capex_to_recover+HM_ZD_Moho!CA_unrecov_costs_to_recover)+(S276*(1+HM_ZD_Moho!int_rate_cf_costs))</f>
        <v>8140.9508851174642</v>
      </c>
      <c r="U274" s="49">
        <f ca="1">(HM_ZD_Moho!CA_capex_to_recover+HM_ZD_Moho!CA_unrecov_costs_to_recover)+(T276*(1+HM_ZD_Moho!int_rate_cf_costs))</f>
        <v>6202.6808964365682</v>
      </c>
      <c r="V274" s="49">
        <f ca="1">(HM_ZD_Moho!CA_capex_to_recover+HM_ZD_Moho!CA_unrecov_costs_to_recover)+(U276*(1+HM_ZD_Moho!int_rate_cf_costs))</f>
        <v>4271.1105897606885</v>
      </c>
      <c r="W274" s="49">
        <f ca="1">(HM_ZD_Moho!CA_capex_to_recover+HM_ZD_Moho!CA_unrecov_costs_to_recover)+(V276*(1+HM_ZD_Moho!int_rate_cf_costs))</f>
        <v>2456.3454136479495</v>
      </c>
      <c r="X274" s="49">
        <f ca="1">(HM_ZD_Moho!CA_capex_to_recover+HM_ZD_Moho!CA_unrecov_costs_to_recover)+(W276*(1+HM_ZD_Moho!int_rate_cf_costs))</f>
        <v>1330.9743483300558</v>
      </c>
      <c r="Y274" s="49">
        <f ca="1">(HM_ZD_Moho!CA_capex_to_recover+HM_ZD_Moho!CA_unrecov_costs_to_recover)+(X276*(1+HM_ZD_Moho!int_rate_cf_costs))</f>
        <v>281.25336480150168</v>
      </c>
      <c r="Z274" s="49">
        <f ca="1">(HM_ZD_Moho!CA_capex_to_recover+HM_ZD_Moho!CA_unrecov_costs_to_recover)+(Y276*(1+HM_ZD_Moho!int_rate_cf_costs))</f>
        <v>281.25336480150168</v>
      </c>
      <c r="AA274" s="49">
        <f ca="1">(HM_ZD_Moho!CA_capex_to_recover+HM_ZD_Moho!CA_unrecov_costs_to_recover)+(Z276*(1+HM_ZD_Moho!int_rate_cf_costs))</f>
        <v>281.25336480150168</v>
      </c>
      <c r="AB274" s="49">
        <f ca="1">(HM_ZD_Moho!CA_capex_to_recover+HM_ZD_Moho!CA_unrecov_costs_to_recover)+(AA276*(1+HM_ZD_Moho!int_rate_cf_costs))</f>
        <v>281.25336480150168</v>
      </c>
      <c r="AC274" s="49">
        <f ca="1">(HM_ZD_Moho!CA_capex_to_recover+HM_ZD_Moho!CA_unrecov_costs_to_recover)+(AB276*(1+HM_ZD_Moho!int_rate_cf_costs))</f>
        <v>281.25336480150168</v>
      </c>
      <c r="AD274" s="49">
        <f ca="1">(HM_ZD_Moho!CA_capex_to_recover+HM_ZD_Moho!CA_unrecov_costs_to_recover)+(AC276*(1+HM_ZD_Moho!int_rate_cf_costs))</f>
        <v>281.25336480150168</v>
      </c>
      <c r="AE274" s="49">
        <f ca="1">(HM_ZD_Moho!CA_capex_to_recover+HM_ZD_Moho!CA_unrecov_costs_to_recover)+(AD276*(1+HM_ZD_Moho!int_rate_cf_costs))</f>
        <v>281.25336480150168</v>
      </c>
      <c r="AF274" s="49">
        <f ca="1">(HM_ZD_Moho!CA_capex_to_recover+HM_ZD_Moho!CA_unrecov_costs_to_recover)+(AE276*(1+HM_ZD_Moho!int_rate_cf_costs))</f>
        <v>281.25336480150168</v>
      </c>
      <c r="AG274" s="49">
        <f ca="1">(HM_ZD_Moho!CA_capex_to_recover+HM_ZD_Moho!CA_unrecov_costs_to_recover)+(AF276*(1+HM_ZD_Moho!int_rate_cf_costs))</f>
        <v>281.25336480150168</v>
      </c>
      <c r="AH274" s="49">
        <f ca="1">(HM_ZD_Moho!CA_capex_to_recover+HM_ZD_Moho!CA_unrecov_costs_to_recover)+(AG276*(1+HM_ZD_Moho!int_rate_cf_costs))</f>
        <v>281.25336480150168</v>
      </c>
      <c r="AI274" s="49">
        <f ca="1">(HM_ZD_Moho!CA_capex_to_recover+HM_ZD_Moho!CA_unrecov_costs_to_recover)+(AH276*(1+HM_ZD_Moho!int_rate_cf_costs))</f>
        <v>281.25336480150168</v>
      </c>
      <c r="AJ274" s="49">
        <f ca="1">(HM_ZD_Moho!CA_capex_to_recover+HM_ZD_Moho!CA_unrecov_costs_to_recover)+(AI276*(1+HM_ZD_Moho!int_rate_cf_costs))</f>
        <v>281.25336480150168</v>
      </c>
      <c r="AK274" s="49">
        <f ca="1">(HM_ZD_Moho!CA_capex_to_recover+HM_ZD_Moho!CA_unrecov_costs_to_recover)+(AJ276*(1+HM_ZD_Moho!int_rate_cf_costs))</f>
        <v>281.25336480150168</v>
      </c>
      <c r="AL274" s="49">
        <f ca="1">(HM_ZD_Moho!CA_capex_to_recover+HM_ZD_Moho!CA_unrecov_costs_to_recover)+(AK276*(1+HM_ZD_Moho!int_rate_cf_costs))</f>
        <v>281.25336480150168</v>
      </c>
      <c r="AM274" s="49">
        <f ca="1">(HM_ZD_Moho!CA_capex_to_recover+HM_ZD_Moho!CA_unrecov_costs_to_recover)+(AL276*(1+HM_ZD_Moho!int_rate_cf_costs))</f>
        <v>281.25336480150168</v>
      </c>
      <c r="AN274" s="49">
        <f ca="1">(HM_ZD_Moho!CA_capex_to_recover+HM_ZD_Moho!CA_unrecov_costs_to_recover)+(AM276*(1+HM_ZD_Moho!int_rate_cf_costs))</f>
        <v>281.25336480150168</v>
      </c>
      <c r="AO274" s="49">
        <f ca="1">(HM_ZD_Moho!CA_capex_to_recover+HM_ZD_Moho!CA_unrecov_costs_to_recover)+(AN276*(1+HM_ZD_Moho!int_rate_cf_costs))</f>
        <v>281.25336480150168</v>
      </c>
      <c r="AP274" s="49">
        <f ca="1">(HM_ZD_Moho!CA_capex_to_recover+HM_ZD_Moho!CA_unrecov_costs_to_recover)+(AO276*(1+HM_ZD_Moho!int_rate_cf_costs))</f>
        <v>281.25336480150168</v>
      </c>
      <c r="AQ274" s="49">
        <f ca="1">(HM_ZD_Moho!CA_capex_to_recover+HM_ZD_Moho!CA_unrecov_costs_to_recover)+(AP276*(1+HM_ZD_Moho!int_rate_cf_costs))</f>
        <v>281.25336480150168</v>
      </c>
      <c r="AR274" s="49">
        <f ca="1">(HM_ZD_Moho!CA_capex_to_recover+HM_ZD_Moho!CA_unrecov_costs_to_recover)+(AQ276*(1+HM_ZD_Moho!int_rate_cf_costs))</f>
        <v>281.25336480150168</v>
      </c>
      <c r="AS274" s="49">
        <f ca="1">(HM_ZD_Moho!CA_capex_to_recover+HM_ZD_Moho!CA_unrecov_costs_to_recover)+(AR276*(1+HM_ZD_Moho!int_rate_cf_costs))</f>
        <v>281.25336480150168</v>
      </c>
      <c r="AT274" s="49">
        <f ca="1">(HM_ZD_Moho!CA_capex_to_recover+HM_ZD_Moho!CA_unrecov_costs_to_recover)+(AS276*(1+HM_ZD_Moho!int_rate_cf_costs))</f>
        <v>281.25336480150168</v>
      </c>
      <c r="AU274" s="49">
        <f ca="1">(HM_ZD_Moho!CA_capex_to_recover+HM_ZD_Moho!CA_unrecov_costs_to_recover)+(AT276*(1+HM_ZD_Moho!int_rate_cf_costs))</f>
        <v>281.25336480150168</v>
      </c>
      <c r="AV274" s="49">
        <f ca="1">(HM_ZD_Moho!CA_capex_to_recover+HM_ZD_Moho!CA_unrecov_costs_to_recover)+(AU276*(1+HM_ZD_Moho!int_rate_cf_costs))</f>
        <v>281.25336480150168</v>
      </c>
      <c r="AW274" s="49">
        <f ca="1">(HM_ZD_Moho!CA_capex_to_recover+HM_ZD_Moho!CA_unrecov_costs_to_recover)+(AV276*(1+HM_ZD_Moho!int_rate_cf_costs))</f>
        <v>281.25336480150168</v>
      </c>
      <c r="AX274" s="49">
        <f ca="1">(HM_ZD_Moho!CA_capex_to_recover+HM_ZD_Moho!CA_unrecov_costs_to_recover)+(AW276*(1+HM_ZD_Moho!int_rate_cf_costs))</f>
        <v>281.25336480150168</v>
      </c>
      <c r="AY274" s="49">
        <f ca="1">(HM_ZD_Moho!CA_capex_to_recover+HM_ZD_Moho!CA_unrecov_costs_to_recover)+(AX276*(1+HM_ZD_Moho!int_rate_cf_costs))</f>
        <v>281.25336480150168</v>
      </c>
      <c r="AZ274" s="49">
        <f ca="1">(HM_ZD_Moho!CA_capex_to_recover+HM_ZD_Moho!CA_unrecov_costs_to_recover)+(AY276*(1+HM_ZD_Moho!int_rate_cf_costs))</f>
        <v>281.25336480150168</v>
      </c>
      <c r="BA274" s="49">
        <f ca="1">(HM_ZD_Moho!CA_capex_to_recover+HM_ZD_Moho!CA_unrecov_costs_to_recover)+(AZ276*(1+HM_ZD_Moho!int_rate_cf_costs))</f>
        <v>281.25336480150168</v>
      </c>
      <c r="BB274" s="49">
        <f ca="1">(HM_ZD_Moho!CA_capex_to_recover+HM_ZD_Moho!CA_unrecov_costs_to_recover)+(BA276*(1+HM_ZD_Moho!int_rate_cf_costs))</f>
        <v>281.25336480150168</v>
      </c>
      <c r="BC274" s="49">
        <f ca="1">(HM_ZD_Moho!CA_capex_to_recover+HM_ZD_Moho!CA_unrecov_costs_to_recover)+(BB276*(1+HM_ZD_Moho!int_rate_cf_costs))</f>
        <v>281.25336480150168</v>
      </c>
      <c r="BD274" s="49">
        <f ca="1">(HM_ZD_Moho!CA_capex_to_recover+HM_ZD_Moho!CA_unrecov_costs_to_recover)+(BC276*(1+HM_ZD_Moho!int_rate_cf_costs))</f>
        <v>281.25336480150168</v>
      </c>
      <c r="BE274" s="49">
        <f ca="1">(HM_ZD_Moho!CA_capex_to_recover+HM_ZD_Moho!CA_unrecov_costs_to_recover)+(BD276*(1+HM_ZD_Moho!int_rate_cf_costs))</f>
        <v>281.25336480150168</v>
      </c>
      <c r="BF274" s="49">
        <f ca="1">(HM_ZD_Moho!CA_capex_to_recover+HM_ZD_Moho!CA_unrecov_costs_to_recover)+(BE276*(1+HM_ZD_Moho!int_rate_cf_costs))</f>
        <v>281.25336480150168</v>
      </c>
      <c r="BG274" s="49">
        <f ca="1">(HM_ZD_Moho!CA_capex_to_recover+HM_ZD_Moho!CA_unrecov_costs_to_recover)+(BF276*(1+HM_ZD_Moho!int_rate_cf_costs))</f>
        <v>281.25336480150168</v>
      </c>
      <c r="BH274" s="49">
        <f ca="1">(HM_ZD_Moho!CA_capex_to_recover+HM_ZD_Moho!CA_unrecov_costs_to_recover)+(BG276*(1+HM_ZD_Moho!int_rate_cf_costs))</f>
        <v>281.25336480150168</v>
      </c>
      <c r="BI274" s="49">
        <f ca="1">(HM_ZD_Moho!CA_capex_to_recover+HM_ZD_Moho!CA_unrecov_costs_to_recover)+(BH276*(1+HM_ZD_Moho!int_rate_cf_costs))</f>
        <v>281.25336480150168</v>
      </c>
      <c r="BJ274" s="49">
        <f ca="1">(HM_ZD_Moho!CA_capex_to_recover+HM_ZD_Moho!CA_unrecov_costs_to_recover)+(BI276*(1+HM_ZD_Moho!int_rate_cf_costs))</f>
        <v>281.25336480150168</v>
      </c>
      <c r="BK274" s="49">
        <f ca="1">(HM_ZD_Moho!CA_capex_to_recover+HM_ZD_Moho!CA_unrecov_costs_to_recover)+(BJ276*(1+HM_ZD_Moho!int_rate_cf_costs))</f>
        <v>281.25336480150168</v>
      </c>
      <c r="BL274" s="49">
        <f ca="1">(HM_ZD_Moho!CA_capex_to_recover+HM_ZD_Moho!CA_unrecov_costs_to_recover)+(BK276*(1+HM_ZD_Moho!int_rate_cf_costs))</f>
        <v>281.25336480150168</v>
      </c>
      <c r="BM274" s="49">
        <f ca="1">(HM_ZD_Moho!CA_capex_to_recover+HM_ZD_Moho!CA_unrecov_costs_to_recover)+(BL276*(1+HM_ZD_Moho!int_rate_cf_costs))</f>
        <v>281.25336480150168</v>
      </c>
      <c r="BN274" s="49">
        <f ca="1">(HM_ZD_Moho!CA_capex_to_recover+HM_ZD_Moho!CA_unrecov_costs_to_recover)+(BM276*(1+HM_ZD_Moho!int_rate_cf_costs))</f>
        <v>281.25336480150168</v>
      </c>
      <c r="BO274" s="49">
        <f ca="1">(HM_ZD_Moho!CA_capex_to_recover+HM_ZD_Moho!CA_unrecov_costs_to_recover)+(BN276*(1+HM_ZD_Moho!int_rate_cf_costs))</f>
        <v>281.25336480150168</v>
      </c>
      <c r="BP274" s="49">
        <f ca="1">(HM_ZD_Moho!CA_capex_to_recover+HM_ZD_Moho!CA_unrecov_costs_to_recover)+(BO276*(1+HM_ZD_Moho!int_rate_cf_costs))</f>
        <v>281.25336480150168</v>
      </c>
      <c r="BQ274" s="49">
        <f ca="1">(HM_ZD_Moho!CA_capex_to_recover+HM_ZD_Moho!CA_unrecov_costs_to_recover)+(BP276*(1+HM_ZD_Moho!int_rate_cf_costs))</f>
        <v>281.25336480150168</v>
      </c>
      <c r="BR274" s="49">
        <f ca="1">(HM_ZD_Moho!CA_capex_to_recover+HM_ZD_Moho!CA_unrecov_costs_to_recover)+(BQ276*(1+HM_ZD_Moho!int_rate_cf_costs))</f>
        <v>281.25336480150168</v>
      </c>
      <c r="BS274" s="49">
        <f ca="1">(HM_ZD_Moho!CA_capex_to_recover+HM_ZD_Moho!CA_unrecov_costs_to_recover)+(BR276*(1+HM_ZD_Moho!int_rate_cf_costs))</f>
        <v>281.25336480150168</v>
      </c>
    </row>
    <row r="275" spans="4:71" outlineLevel="1" x14ac:dyDescent="0.2">
      <c r="E275" t="str">
        <f>HM_ZB_Nsoko!E260</f>
        <v>Capex récupérés</v>
      </c>
      <c r="H275" s="56" t="b">
        <f ca="1">ROUND(I275,2)=-ROUND(I274,2)</f>
        <v>0</v>
      </c>
      <c r="I275" s="30">
        <f t="shared" ca="1" si="175"/>
        <v>-14060.840221748498</v>
      </c>
      <c r="J275" s="26" t="s">
        <v>148</v>
      </c>
      <c r="L275" s="49">
        <f ca="1">-MIN(L274,L273)</f>
        <v>-72.192937574128536</v>
      </c>
      <c r="M275" s="49">
        <f t="shared" ref="M275:BS275" ca="1" si="176">-MIN(M274,M273)</f>
        <v>-43.023718869265167</v>
      </c>
      <c r="N275" s="49">
        <f t="shared" ca="1" si="176"/>
        <v>-224.46546550049993</v>
      </c>
      <c r="O275" s="49">
        <f t="shared" ca="1" si="176"/>
        <v>0</v>
      </c>
      <c r="P275" s="49">
        <f t="shared" ca="1" si="176"/>
        <v>-319.73212311459025</v>
      </c>
      <c r="Q275" s="49">
        <f t="shared" ca="1" si="176"/>
        <v>-2226.0672037166005</v>
      </c>
      <c r="R275" s="49">
        <f t="shared" ca="1" si="176"/>
        <v>-2149.9882317174502</v>
      </c>
      <c r="S275" s="49">
        <f t="shared" ca="1" si="176"/>
        <v>-1165.67302094</v>
      </c>
      <c r="T275" s="49">
        <f t="shared" ca="1" si="176"/>
        <v>-1938.2699886808957</v>
      </c>
      <c r="U275" s="49">
        <f t="shared" ca="1" si="176"/>
        <v>-1931.5703066758799</v>
      </c>
      <c r="V275" s="49">
        <f t="shared" ca="1" si="176"/>
        <v>-1814.7651761127393</v>
      </c>
      <c r="W275" s="49">
        <f t="shared" ca="1" si="176"/>
        <v>-1125.3710653178937</v>
      </c>
      <c r="X275" s="49">
        <f t="shared" ca="1" si="176"/>
        <v>-1049.7209835285541</v>
      </c>
      <c r="Y275" s="49">
        <f t="shared" ca="1" si="176"/>
        <v>0</v>
      </c>
      <c r="Z275" s="49">
        <f t="shared" ca="1" si="176"/>
        <v>0</v>
      </c>
      <c r="AA275" s="49">
        <f t="shared" ca="1" si="176"/>
        <v>0</v>
      </c>
      <c r="AB275" s="49">
        <f t="shared" ca="1" si="176"/>
        <v>0</v>
      </c>
      <c r="AC275" s="49">
        <f t="shared" ca="1" si="176"/>
        <v>0</v>
      </c>
      <c r="AD275" s="49">
        <f t="shared" ca="1" si="176"/>
        <v>0</v>
      </c>
      <c r="AE275" s="49">
        <f t="shared" ca="1" si="176"/>
        <v>0</v>
      </c>
      <c r="AF275" s="49">
        <f t="shared" ca="1" si="176"/>
        <v>0</v>
      </c>
      <c r="AG275" s="49">
        <f t="shared" ca="1" si="176"/>
        <v>0</v>
      </c>
      <c r="AH275" s="49">
        <f t="shared" ca="1" si="176"/>
        <v>0</v>
      </c>
      <c r="AI275" s="49">
        <f t="shared" ca="1" si="176"/>
        <v>0</v>
      </c>
      <c r="AJ275" s="49">
        <f t="shared" ca="1" si="176"/>
        <v>0</v>
      </c>
      <c r="AK275" s="49">
        <f t="shared" ca="1" si="176"/>
        <v>0</v>
      </c>
      <c r="AL275" s="49">
        <f t="shared" ca="1" si="176"/>
        <v>0</v>
      </c>
      <c r="AM275" s="49">
        <f t="shared" ca="1" si="176"/>
        <v>0</v>
      </c>
      <c r="AN275" s="49">
        <f t="shared" ca="1" si="176"/>
        <v>0</v>
      </c>
      <c r="AO275" s="49">
        <f t="shared" ca="1" si="176"/>
        <v>0</v>
      </c>
      <c r="AP275" s="49">
        <f t="shared" ca="1" si="176"/>
        <v>0</v>
      </c>
      <c r="AQ275" s="49">
        <f t="shared" ca="1" si="176"/>
        <v>0</v>
      </c>
      <c r="AR275" s="49">
        <f t="shared" ca="1" si="176"/>
        <v>0</v>
      </c>
      <c r="AS275" s="49">
        <f t="shared" ca="1" si="176"/>
        <v>0</v>
      </c>
      <c r="AT275" s="49">
        <f t="shared" ca="1" si="176"/>
        <v>0</v>
      </c>
      <c r="AU275" s="49">
        <f t="shared" ca="1" si="176"/>
        <v>0</v>
      </c>
      <c r="AV275" s="49">
        <f t="shared" ca="1" si="176"/>
        <v>0</v>
      </c>
      <c r="AW275" s="49">
        <f t="shared" ca="1" si="176"/>
        <v>0</v>
      </c>
      <c r="AX275" s="49">
        <f t="shared" ca="1" si="176"/>
        <v>0</v>
      </c>
      <c r="AY275" s="49">
        <f t="shared" ca="1" si="176"/>
        <v>0</v>
      </c>
      <c r="AZ275" s="49">
        <f t="shared" ca="1" si="176"/>
        <v>0</v>
      </c>
      <c r="BA275" s="49">
        <f t="shared" ca="1" si="176"/>
        <v>0</v>
      </c>
      <c r="BB275" s="49">
        <f t="shared" ca="1" si="176"/>
        <v>0</v>
      </c>
      <c r="BC275" s="49">
        <f t="shared" ca="1" si="176"/>
        <v>0</v>
      </c>
      <c r="BD275" s="49">
        <f t="shared" ca="1" si="176"/>
        <v>0</v>
      </c>
      <c r="BE275" s="49">
        <f t="shared" ca="1" si="176"/>
        <v>0</v>
      </c>
      <c r="BF275" s="49">
        <f t="shared" ca="1" si="176"/>
        <v>0</v>
      </c>
      <c r="BG275" s="49">
        <f t="shared" ca="1" si="176"/>
        <v>0</v>
      </c>
      <c r="BH275" s="49">
        <f t="shared" ca="1" si="176"/>
        <v>0</v>
      </c>
      <c r="BI275" s="49">
        <f t="shared" ca="1" si="176"/>
        <v>0</v>
      </c>
      <c r="BJ275" s="49">
        <f t="shared" ca="1" si="176"/>
        <v>0</v>
      </c>
      <c r="BK275" s="49">
        <f t="shared" ca="1" si="176"/>
        <v>0</v>
      </c>
      <c r="BL275" s="49">
        <f t="shared" ca="1" si="176"/>
        <v>0</v>
      </c>
      <c r="BM275" s="49">
        <f t="shared" ca="1" si="176"/>
        <v>0</v>
      </c>
      <c r="BN275" s="49">
        <f t="shared" ca="1" si="176"/>
        <v>0</v>
      </c>
      <c r="BO275" s="49">
        <f t="shared" ca="1" si="176"/>
        <v>0</v>
      </c>
      <c r="BP275" s="49">
        <f t="shared" ca="1" si="176"/>
        <v>0</v>
      </c>
      <c r="BQ275" s="49">
        <f t="shared" ca="1" si="176"/>
        <v>0</v>
      </c>
      <c r="BR275" s="49">
        <f t="shared" ca="1" si="176"/>
        <v>0</v>
      </c>
      <c r="BS275" s="49">
        <f t="shared" ca="1" si="176"/>
        <v>0</v>
      </c>
    </row>
    <row r="276" spans="4:71" outlineLevel="1" x14ac:dyDescent="0.2">
      <c r="E276" t="str">
        <f>HM_ZB_Nsoko!E261</f>
        <v xml:space="preserve">Sous/(Sur)récupération </v>
      </c>
      <c r="J276" s="26"/>
      <c r="L276" s="49">
        <f ca="1">L274+L275</f>
        <v>4643.091648975872</v>
      </c>
      <c r="M276" s="49">
        <f t="shared" ref="M276:BS276" ca="1" si="177">M274+M275</f>
        <v>6718.279930106607</v>
      </c>
      <c r="N276" s="49">
        <f t="shared" ca="1" si="177"/>
        <v>9624.3884646061069</v>
      </c>
      <c r="O276" s="49">
        <f t="shared" ca="1" si="177"/>
        <v>12195.589464606106</v>
      </c>
      <c r="P276" s="49">
        <f t="shared" ca="1" si="177"/>
        <v>13029.089341491515</v>
      </c>
      <c r="Q276" s="49">
        <f t="shared" ca="1" si="177"/>
        <v>11456.612137774915</v>
      </c>
      <c r="R276" s="49">
        <f t="shared" ca="1" si="177"/>
        <v>9306.6239060574644</v>
      </c>
      <c r="S276" s="49">
        <f t="shared" ca="1" si="177"/>
        <v>8140.9508851174642</v>
      </c>
      <c r="T276" s="49">
        <f t="shared" ca="1" si="177"/>
        <v>6202.6808964365682</v>
      </c>
      <c r="U276" s="49">
        <f t="shared" ca="1" si="177"/>
        <v>4271.1105897606885</v>
      </c>
      <c r="V276" s="49">
        <f t="shared" ca="1" si="177"/>
        <v>2456.3454136479495</v>
      </c>
      <c r="W276" s="49">
        <f t="shared" ca="1" si="177"/>
        <v>1330.9743483300558</v>
      </c>
      <c r="X276" s="49">
        <f t="shared" ca="1" si="177"/>
        <v>281.25336480150168</v>
      </c>
      <c r="Y276" s="49">
        <f t="shared" ca="1" si="177"/>
        <v>281.25336480150168</v>
      </c>
      <c r="Z276" s="49">
        <f t="shared" ca="1" si="177"/>
        <v>281.25336480150168</v>
      </c>
      <c r="AA276" s="49">
        <f t="shared" ca="1" si="177"/>
        <v>281.25336480150168</v>
      </c>
      <c r="AB276" s="49">
        <f t="shared" ca="1" si="177"/>
        <v>281.25336480150168</v>
      </c>
      <c r="AC276" s="49">
        <f t="shared" ca="1" si="177"/>
        <v>281.25336480150168</v>
      </c>
      <c r="AD276" s="49">
        <f t="shared" ca="1" si="177"/>
        <v>281.25336480150168</v>
      </c>
      <c r="AE276" s="49">
        <f t="shared" ca="1" si="177"/>
        <v>281.25336480150168</v>
      </c>
      <c r="AF276" s="49">
        <f t="shared" ca="1" si="177"/>
        <v>281.25336480150168</v>
      </c>
      <c r="AG276" s="49">
        <f t="shared" ca="1" si="177"/>
        <v>281.25336480150168</v>
      </c>
      <c r="AH276" s="49">
        <f t="shared" ca="1" si="177"/>
        <v>281.25336480150168</v>
      </c>
      <c r="AI276" s="49">
        <f t="shared" ca="1" si="177"/>
        <v>281.25336480150168</v>
      </c>
      <c r="AJ276" s="49">
        <f t="shared" ca="1" si="177"/>
        <v>281.25336480150168</v>
      </c>
      <c r="AK276" s="49">
        <f t="shared" ca="1" si="177"/>
        <v>281.25336480150168</v>
      </c>
      <c r="AL276" s="49">
        <f t="shared" ca="1" si="177"/>
        <v>281.25336480150168</v>
      </c>
      <c r="AM276" s="49">
        <f t="shared" ca="1" si="177"/>
        <v>281.25336480150168</v>
      </c>
      <c r="AN276" s="49">
        <f t="shared" ca="1" si="177"/>
        <v>281.25336480150168</v>
      </c>
      <c r="AO276" s="49">
        <f t="shared" ca="1" si="177"/>
        <v>281.25336480150168</v>
      </c>
      <c r="AP276" s="49">
        <f t="shared" ca="1" si="177"/>
        <v>281.25336480150168</v>
      </c>
      <c r="AQ276" s="49">
        <f t="shared" ca="1" si="177"/>
        <v>281.25336480150168</v>
      </c>
      <c r="AR276" s="49">
        <f t="shared" ca="1" si="177"/>
        <v>281.25336480150168</v>
      </c>
      <c r="AS276" s="49">
        <f t="shared" ca="1" si="177"/>
        <v>281.25336480150168</v>
      </c>
      <c r="AT276" s="49">
        <f t="shared" ca="1" si="177"/>
        <v>281.25336480150168</v>
      </c>
      <c r="AU276" s="49">
        <f t="shared" ca="1" si="177"/>
        <v>281.25336480150168</v>
      </c>
      <c r="AV276" s="49">
        <f t="shared" ca="1" si="177"/>
        <v>281.25336480150168</v>
      </c>
      <c r="AW276" s="49">
        <f t="shared" ca="1" si="177"/>
        <v>281.25336480150168</v>
      </c>
      <c r="AX276" s="49">
        <f t="shared" ca="1" si="177"/>
        <v>281.25336480150168</v>
      </c>
      <c r="AY276" s="49">
        <f t="shared" ca="1" si="177"/>
        <v>281.25336480150168</v>
      </c>
      <c r="AZ276" s="49">
        <f t="shared" ca="1" si="177"/>
        <v>281.25336480150168</v>
      </c>
      <c r="BA276" s="49">
        <f t="shared" ca="1" si="177"/>
        <v>281.25336480150168</v>
      </c>
      <c r="BB276" s="49">
        <f t="shared" ca="1" si="177"/>
        <v>281.25336480150168</v>
      </c>
      <c r="BC276" s="49">
        <f t="shared" ca="1" si="177"/>
        <v>281.25336480150168</v>
      </c>
      <c r="BD276" s="49">
        <f t="shared" ca="1" si="177"/>
        <v>281.25336480150168</v>
      </c>
      <c r="BE276" s="49">
        <f t="shared" ca="1" si="177"/>
        <v>281.25336480150168</v>
      </c>
      <c r="BF276" s="49">
        <f t="shared" ca="1" si="177"/>
        <v>281.25336480150168</v>
      </c>
      <c r="BG276" s="49">
        <f t="shared" ca="1" si="177"/>
        <v>281.25336480150168</v>
      </c>
      <c r="BH276" s="49">
        <f t="shared" ca="1" si="177"/>
        <v>281.25336480150168</v>
      </c>
      <c r="BI276" s="49">
        <f t="shared" ca="1" si="177"/>
        <v>281.25336480150168</v>
      </c>
      <c r="BJ276" s="49">
        <f t="shared" ca="1" si="177"/>
        <v>281.25336480150168</v>
      </c>
      <c r="BK276" s="49">
        <f t="shared" ca="1" si="177"/>
        <v>281.25336480150168</v>
      </c>
      <c r="BL276" s="49">
        <f t="shared" ca="1" si="177"/>
        <v>281.25336480150168</v>
      </c>
      <c r="BM276" s="49">
        <f t="shared" ca="1" si="177"/>
        <v>281.25336480150168</v>
      </c>
      <c r="BN276" s="49">
        <f t="shared" ca="1" si="177"/>
        <v>281.25336480150168</v>
      </c>
      <c r="BO276" s="49">
        <f t="shared" ca="1" si="177"/>
        <v>281.25336480150168</v>
      </c>
      <c r="BP276" s="49">
        <f t="shared" ca="1" si="177"/>
        <v>281.25336480150168</v>
      </c>
      <c r="BQ276" s="49">
        <f t="shared" ca="1" si="177"/>
        <v>281.25336480150168</v>
      </c>
      <c r="BR276" s="49">
        <f t="shared" ca="1" si="177"/>
        <v>281.25336480150168</v>
      </c>
      <c r="BS276" s="49">
        <f t="shared" ca="1" si="177"/>
        <v>281.25336480150168</v>
      </c>
    </row>
    <row r="277" spans="4:71" outlineLevel="1" x14ac:dyDescent="0.2">
      <c r="J277" s="26"/>
      <c r="L277" s="55"/>
      <c r="M277" s="55"/>
      <c r="N277" s="55"/>
      <c r="O277" s="55"/>
      <c r="P277" s="55"/>
      <c r="Q277" s="55"/>
      <c r="R277" s="55"/>
      <c r="S277" s="55"/>
      <c r="T277" s="55"/>
      <c r="U277" s="55"/>
      <c r="V277" s="55"/>
      <c r="W277" s="55"/>
      <c r="X277" s="55"/>
      <c r="Y277" s="55"/>
      <c r="Z277" s="55"/>
      <c r="AA277" s="55"/>
      <c r="AB277" s="55"/>
      <c r="AC277" s="55"/>
      <c r="AD277" s="55"/>
      <c r="AE277" s="55"/>
      <c r="AF277" s="55"/>
      <c r="AG277" s="55"/>
      <c r="AH277" s="55"/>
      <c r="AI277" s="55"/>
      <c r="AJ277" s="55"/>
      <c r="AK277" s="55"/>
      <c r="AL277" s="55"/>
      <c r="AM277" s="55"/>
      <c r="AN277" s="55"/>
      <c r="AO277" s="55"/>
      <c r="AP277" s="55"/>
      <c r="AQ277" s="55"/>
      <c r="AR277" s="55"/>
      <c r="AS277" s="55"/>
      <c r="AT277" s="55"/>
      <c r="AU277" s="55"/>
      <c r="AV277" s="55"/>
      <c r="AW277" s="55"/>
      <c r="AX277" s="55"/>
      <c r="AY277" s="55"/>
      <c r="AZ277" s="55"/>
      <c r="BA277" s="55"/>
      <c r="BB277" s="55"/>
      <c r="BC277" s="55"/>
      <c r="BD277" s="55"/>
      <c r="BE277" s="55"/>
      <c r="BF277" s="55"/>
      <c r="BG277" s="55"/>
      <c r="BH277" s="55"/>
      <c r="BI277" s="55"/>
      <c r="BJ277" s="55"/>
      <c r="BK277" s="55"/>
      <c r="BL277" s="55"/>
      <c r="BM277" s="55"/>
      <c r="BN277" s="55"/>
      <c r="BO277" s="55"/>
      <c r="BP277" s="55"/>
      <c r="BQ277" s="55"/>
      <c r="BR277" s="55"/>
      <c r="BS277" s="55"/>
    </row>
    <row r="278" spans="4:71" outlineLevel="1" x14ac:dyDescent="0.2">
      <c r="D278" s="51" t="str">
        <f>HM_ZB_Nsoko!D263</f>
        <v>Investissement -Dépenses d'exploration</v>
      </c>
      <c r="J278" s="26"/>
      <c r="L278" s="55"/>
      <c r="M278" s="55"/>
      <c r="N278" s="55"/>
      <c r="O278" s="55"/>
      <c r="P278" s="55"/>
      <c r="Q278" s="55"/>
      <c r="R278" s="55"/>
      <c r="S278" s="55"/>
      <c r="T278" s="55"/>
      <c r="U278" s="55"/>
      <c r="V278" s="55"/>
      <c r="W278" s="5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55"/>
      <c r="BR278" s="55"/>
      <c r="BS278" s="55"/>
    </row>
    <row r="279" spans="4:71" outlineLevel="1" x14ac:dyDescent="0.2">
      <c r="E279" t="str">
        <f>HM_ZB_Nsoko!E264</f>
        <v>Revenus disponibles pour la récupération</v>
      </c>
      <c r="I279" s="30">
        <f t="shared" ref="I279:I291" ca="1" si="178">SUM($L279:$BS279)</f>
        <v>0</v>
      </c>
      <c r="J279" s="26" t="s">
        <v>148</v>
      </c>
      <c r="L279" s="49">
        <f ca="1">MAX(HM_ZD_Moho!CA_cost_stop+L263+L269+L275,0)</f>
        <v>0</v>
      </c>
      <c r="M279" s="49">
        <f ca="1">MAX(HM_ZD_Moho!CA_cost_stop+M263+M269+M275,0)</f>
        <v>0</v>
      </c>
      <c r="N279" s="49">
        <f ca="1">MAX(HM_ZD_Moho!CA_cost_stop+N263+N269+N275,0)</f>
        <v>0</v>
      </c>
      <c r="O279" s="49">
        <f ca="1">MAX(HM_ZD_Moho!CA_cost_stop+O263+O269+O275,0)</f>
        <v>0</v>
      </c>
      <c r="P279" s="49">
        <f ca="1">MAX(HM_ZD_Moho!CA_cost_stop+P263+P269+P275,0)</f>
        <v>0</v>
      </c>
      <c r="Q279" s="49">
        <f ca="1">MAX(HM_ZD_Moho!CA_cost_stop+Q263+Q269+Q275,0)</f>
        <v>0</v>
      </c>
      <c r="R279" s="49">
        <f ca="1">MAX(HM_ZD_Moho!CA_cost_stop+R263+R269+R275,0)</f>
        <v>0</v>
      </c>
      <c r="S279" s="49">
        <f ca="1">MAX(HM_ZD_Moho!CA_cost_stop+S263+S269+S275,0)</f>
        <v>0</v>
      </c>
      <c r="T279" s="49">
        <f ca="1">MAX(HM_ZD_Moho!CA_cost_stop+T263+T269+T275,0)</f>
        <v>0</v>
      </c>
      <c r="U279" s="49">
        <f ca="1">MAX(HM_ZD_Moho!CA_cost_stop+U263+U269+U275,0)</f>
        <v>0</v>
      </c>
      <c r="V279" s="49">
        <f ca="1">MAX(HM_ZD_Moho!CA_cost_stop+V263+V269+V275,0)</f>
        <v>0</v>
      </c>
      <c r="W279" s="49">
        <f ca="1">MAX(HM_ZD_Moho!CA_cost_stop+W263+W269+W275,0)</f>
        <v>0</v>
      </c>
      <c r="X279" s="49">
        <f ca="1">MAX(HM_ZD_Moho!CA_cost_stop+X263+X269+X275,0)</f>
        <v>0</v>
      </c>
      <c r="Y279" s="49">
        <f ca="1">MAX(HM_ZD_Moho!CA_cost_stop+Y263+Y269+Y275,0)</f>
        <v>0</v>
      </c>
      <c r="Z279" s="49">
        <f ca="1">MAX(HM_ZD_Moho!CA_cost_stop+Z263+Z269+Z275,0)</f>
        <v>0</v>
      </c>
      <c r="AA279" s="49">
        <f ca="1">MAX(HM_ZD_Moho!CA_cost_stop+AA263+AA269+AA275,0)</f>
        <v>0</v>
      </c>
      <c r="AB279" s="49">
        <f ca="1">MAX(HM_ZD_Moho!CA_cost_stop+AB263+AB269+AB275,0)</f>
        <v>0</v>
      </c>
      <c r="AC279" s="49">
        <f ca="1">MAX(HM_ZD_Moho!CA_cost_stop+AC263+AC269+AC275,0)</f>
        <v>0</v>
      </c>
      <c r="AD279" s="49">
        <f ca="1">MAX(HM_ZD_Moho!CA_cost_stop+AD263+AD269+AD275,0)</f>
        <v>0</v>
      </c>
      <c r="AE279" s="49">
        <f ca="1">MAX(HM_ZD_Moho!CA_cost_stop+AE263+AE269+AE275,0)</f>
        <v>0</v>
      </c>
      <c r="AF279" s="49">
        <f ca="1">MAX(HM_ZD_Moho!CA_cost_stop+AF263+AF269+AF275,0)</f>
        <v>0</v>
      </c>
      <c r="AG279" s="49">
        <f ca="1">MAX(HM_ZD_Moho!CA_cost_stop+AG263+AG269+AG275,0)</f>
        <v>0</v>
      </c>
      <c r="AH279" s="49">
        <f ca="1">MAX(HM_ZD_Moho!CA_cost_stop+AH263+AH269+AH275,0)</f>
        <v>0</v>
      </c>
      <c r="AI279" s="49">
        <f ca="1">MAX(HM_ZD_Moho!CA_cost_stop+AI263+AI269+AI275,0)</f>
        <v>0</v>
      </c>
      <c r="AJ279" s="49">
        <f ca="1">MAX(HM_ZD_Moho!CA_cost_stop+AJ263+AJ269+AJ275,0)</f>
        <v>0</v>
      </c>
      <c r="AK279" s="49">
        <f ca="1">MAX(HM_ZD_Moho!CA_cost_stop+AK263+AK269+AK275,0)</f>
        <v>0</v>
      </c>
      <c r="AL279" s="49">
        <f ca="1">MAX(HM_ZD_Moho!CA_cost_stop+AL263+AL269+AL275,0)</f>
        <v>0</v>
      </c>
      <c r="AM279" s="49">
        <f ca="1">MAX(HM_ZD_Moho!CA_cost_stop+AM263+AM269+AM275,0)</f>
        <v>0</v>
      </c>
      <c r="AN279" s="49">
        <f ca="1">MAX(HM_ZD_Moho!CA_cost_stop+AN263+AN269+AN275,0)</f>
        <v>0</v>
      </c>
      <c r="AO279" s="49">
        <f ca="1">MAX(HM_ZD_Moho!CA_cost_stop+AO263+AO269+AO275,0)</f>
        <v>0</v>
      </c>
      <c r="AP279" s="49">
        <f ca="1">MAX(HM_ZD_Moho!CA_cost_stop+AP263+AP269+AP275,0)</f>
        <v>0</v>
      </c>
      <c r="AQ279" s="49">
        <f ca="1">MAX(HM_ZD_Moho!CA_cost_stop+AQ263+AQ269+AQ275,0)</f>
        <v>0</v>
      </c>
      <c r="AR279" s="49">
        <f ca="1">MAX(HM_ZD_Moho!CA_cost_stop+AR263+AR269+AR275,0)</f>
        <v>0</v>
      </c>
      <c r="AS279" s="49">
        <f ca="1">MAX(HM_ZD_Moho!CA_cost_stop+AS263+AS269+AS275,0)</f>
        <v>0</v>
      </c>
      <c r="AT279" s="49">
        <f ca="1">MAX(HM_ZD_Moho!CA_cost_stop+AT263+AT269+AT275,0)</f>
        <v>0</v>
      </c>
      <c r="AU279" s="49">
        <f ca="1">MAX(HM_ZD_Moho!CA_cost_stop+AU263+AU269+AU275,0)</f>
        <v>0</v>
      </c>
      <c r="AV279" s="49">
        <f ca="1">MAX(HM_ZD_Moho!CA_cost_stop+AV263+AV269+AV275,0)</f>
        <v>0</v>
      </c>
      <c r="AW279" s="49">
        <f ca="1">MAX(HM_ZD_Moho!CA_cost_stop+AW263+AW269+AW275,0)</f>
        <v>0</v>
      </c>
      <c r="AX279" s="49">
        <f ca="1">MAX(HM_ZD_Moho!CA_cost_stop+AX263+AX269+AX275,0)</f>
        <v>0</v>
      </c>
      <c r="AY279" s="49">
        <f ca="1">MAX(HM_ZD_Moho!CA_cost_stop+AY263+AY269+AY275,0)</f>
        <v>0</v>
      </c>
      <c r="AZ279" s="49">
        <f ca="1">MAX(HM_ZD_Moho!CA_cost_stop+AZ263+AZ269+AZ275,0)</f>
        <v>0</v>
      </c>
      <c r="BA279" s="49">
        <f ca="1">MAX(HM_ZD_Moho!CA_cost_stop+BA263+BA269+BA275,0)</f>
        <v>0</v>
      </c>
      <c r="BB279" s="49">
        <f ca="1">MAX(HM_ZD_Moho!CA_cost_stop+BB263+BB269+BB275,0)</f>
        <v>0</v>
      </c>
      <c r="BC279" s="49">
        <f ca="1">MAX(HM_ZD_Moho!CA_cost_stop+BC263+BC269+BC275,0)</f>
        <v>0</v>
      </c>
      <c r="BD279" s="49">
        <f ca="1">MAX(HM_ZD_Moho!CA_cost_stop+BD263+BD269+BD275,0)</f>
        <v>0</v>
      </c>
      <c r="BE279" s="49">
        <f ca="1">MAX(HM_ZD_Moho!CA_cost_stop+BE263+BE269+BE275,0)</f>
        <v>0</v>
      </c>
      <c r="BF279" s="49">
        <f ca="1">MAX(HM_ZD_Moho!CA_cost_stop+BF263+BF269+BF275,0)</f>
        <v>0</v>
      </c>
      <c r="BG279" s="49">
        <f ca="1">MAX(HM_ZD_Moho!CA_cost_stop+BG263+BG269+BG275,0)</f>
        <v>0</v>
      </c>
      <c r="BH279" s="49">
        <f ca="1">MAX(HM_ZD_Moho!CA_cost_stop+BH263+BH269+BH275,0)</f>
        <v>0</v>
      </c>
      <c r="BI279" s="49">
        <f ca="1">MAX(HM_ZD_Moho!CA_cost_stop+BI263+BI269+BI275,0)</f>
        <v>0</v>
      </c>
      <c r="BJ279" s="49">
        <f ca="1">MAX(HM_ZD_Moho!CA_cost_stop+BJ263+BJ269+BJ275,0)</f>
        <v>0</v>
      </c>
      <c r="BK279" s="49">
        <f ca="1">MAX(HM_ZD_Moho!CA_cost_stop+BK263+BK269+BK275,0)</f>
        <v>0</v>
      </c>
      <c r="BL279" s="49">
        <f ca="1">MAX(HM_ZD_Moho!CA_cost_stop+BL263+BL269+BL275,0)</f>
        <v>0</v>
      </c>
      <c r="BM279" s="49">
        <f ca="1">MAX(HM_ZD_Moho!CA_cost_stop+BM263+BM269+BM275,0)</f>
        <v>0</v>
      </c>
      <c r="BN279" s="49">
        <f ca="1">MAX(HM_ZD_Moho!CA_cost_stop+BN263+BN269+BN275,0)</f>
        <v>0</v>
      </c>
      <c r="BO279" s="49">
        <f ca="1">MAX(HM_ZD_Moho!CA_cost_stop+BO263+BO269+BO275,0)</f>
        <v>0</v>
      </c>
      <c r="BP279" s="49">
        <f ca="1">MAX(HM_ZD_Moho!CA_cost_stop+BP263+BP269+BP275,0)</f>
        <v>0</v>
      </c>
      <c r="BQ279" s="49">
        <f ca="1">MAX(HM_ZD_Moho!CA_cost_stop+BQ263+BQ269+BQ275,0)</f>
        <v>0</v>
      </c>
      <c r="BR279" s="49">
        <f ca="1">MAX(HM_ZD_Moho!CA_cost_stop+BR263+BR269+BR275,0)</f>
        <v>0</v>
      </c>
      <c r="BS279" s="49">
        <f ca="1">MAX(HM_ZD_Moho!CA_cost_stop+BS263+BS269+BS275,0)</f>
        <v>0</v>
      </c>
    </row>
    <row r="280" spans="4:71" outlineLevel="1" x14ac:dyDescent="0.2">
      <c r="E280" t="str">
        <f>HM_ZB_Nsoko!E265</f>
        <v>Coûts exploration cumulés à récupérer</v>
      </c>
      <c r="I280" s="30">
        <f ca="1">I242</f>
        <v>0</v>
      </c>
      <c r="J280" s="26" t="s">
        <v>148</v>
      </c>
      <c r="L280" s="49">
        <f ca="1">HM_ZD_Moho!CA_expex_to_recover+(K282*(1+HM_ZD_Moho!int_rate_cf_costs))</f>
        <v>0</v>
      </c>
      <c r="M280" s="49">
        <f ca="1">HM_ZD_Moho!CA_expex_to_recover+(L282*(1+HM_ZD_Moho!int_rate_cf_costs))</f>
        <v>0</v>
      </c>
      <c r="N280" s="49">
        <f ca="1">HM_ZD_Moho!CA_expex_to_recover+(M282*(1+HM_ZD_Moho!int_rate_cf_costs))</f>
        <v>0</v>
      </c>
      <c r="O280" s="49">
        <f ca="1">HM_ZD_Moho!CA_expex_to_recover+(N282*(1+HM_ZD_Moho!int_rate_cf_costs))</f>
        <v>0</v>
      </c>
      <c r="P280" s="49">
        <f ca="1">HM_ZD_Moho!CA_expex_to_recover+(O282*(1+HM_ZD_Moho!int_rate_cf_costs))</f>
        <v>0</v>
      </c>
      <c r="Q280" s="49">
        <f ca="1">HM_ZD_Moho!CA_expex_to_recover+(P282*(1+HM_ZD_Moho!int_rate_cf_costs))</f>
        <v>0</v>
      </c>
      <c r="R280" s="49">
        <f ca="1">HM_ZD_Moho!CA_expex_to_recover+(Q282*(1+HM_ZD_Moho!int_rate_cf_costs))</f>
        <v>0</v>
      </c>
      <c r="S280" s="49">
        <f ca="1">HM_ZD_Moho!CA_expex_to_recover+(R282*(1+HM_ZD_Moho!int_rate_cf_costs))</f>
        <v>0</v>
      </c>
      <c r="T280" s="49">
        <f ca="1">HM_ZD_Moho!CA_expex_to_recover+(S282*(1+HM_ZD_Moho!int_rate_cf_costs))</f>
        <v>0</v>
      </c>
      <c r="U280" s="49">
        <f ca="1">HM_ZD_Moho!CA_expex_to_recover+(T282*(1+HM_ZD_Moho!int_rate_cf_costs))</f>
        <v>0</v>
      </c>
      <c r="V280" s="49">
        <f ca="1">HM_ZD_Moho!CA_expex_to_recover+(U282*(1+HM_ZD_Moho!int_rate_cf_costs))</f>
        <v>0</v>
      </c>
      <c r="W280" s="49">
        <f ca="1">HM_ZD_Moho!CA_expex_to_recover+(V282*(1+HM_ZD_Moho!int_rate_cf_costs))</f>
        <v>0</v>
      </c>
      <c r="X280" s="49">
        <f ca="1">HM_ZD_Moho!CA_expex_to_recover+(W282*(1+HM_ZD_Moho!int_rate_cf_costs))</f>
        <v>0</v>
      </c>
      <c r="Y280" s="49">
        <f ca="1">HM_ZD_Moho!CA_expex_to_recover+(X282*(1+HM_ZD_Moho!int_rate_cf_costs))</f>
        <v>0</v>
      </c>
      <c r="Z280" s="49">
        <f ca="1">HM_ZD_Moho!CA_expex_to_recover+(Y282*(1+HM_ZD_Moho!int_rate_cf_costs))</f>
        <v>0</v>
      </c>
      <c r="AA280" s="49">
        <f ca="1">HM_ZD_Moho!CA_expex_to_recover+(Z282*(1+HM_ZD_Moho!int_rate_cf_costs))</f>
        <v>0</v>
      </c>
      <c r="AB280" s="49">
        <f ca="1">HM_ZD_Moho!CA_expex_to_recover+(AA282*(1+HM_ZD_Moho!int_rate_cf_costs))</f>
        <v>0</v>
      </c>
      <c r="AC280" s="49">
        <f ca="1">HM_ZD_Moho!CA_expex_to_recover+(AB282*(1+HM_ZD_Moho!int_rate_cf_costs))</f>
        <v>0</v>
      </c>
      <c r="AD280" s="49">
        <f ca="1">HM_ZD_Moho!CA_expex_to_recover+(AC282*(1+HM_ZD_Moho!int_rate_cf_costs))</f>
        <v>0</v>
      </c>
      <c r="AE280" s="49">
        <f ca="1">HM_ZD_Moho!CA_expex_to_recover+(AD282*(1+HM_ZD_Moho!int_rate_cf_costs))</f>
        <v>0</v>
      </c>
      <c r="AF280" s="49">
        <f ca="1">HM_ZD_Moho!CA_expex_to_recover+(AE282*(1+HM_ZD_Moho!int_rate_cf_costs))</f>
        <v>0</v>
      </c>
      <c r="AG280" s="49">
        <f ca="1">HM_ZD_Moho!CA_expex_to_recover+(AF282*(1+HM_ZD_Moho!int_rate_cf_costs))</f>
        <v>0</v>
      </c>
      <c r="AH280" s="49">
        <f ca="1">HM_ZD_Moho!CA_expex_to_recover+(AG282*(1+HM_ZD_Moho!int_rate_cf_costs))</f>
        <v>0</v>
      </c>
      <c r="AI280" s="49">
        <f ca="1">HM_ZD_Moho!CA_expex_to_recover+(AH282*(1+HM_ZD_Moho!int_rate_cf_costs))</f>
        <v>0</v>
      </c>
      <c r="AJ280" s="49">
        <f ca="1">HM_ZD_Moho!CA_expex_to_recover+(AI282*(1+HM_ZD_Moho!int_rate_cf_costs))</f>
        <v>0</v>
      </c>
      <c r="AK280" s="49">
        <f ca="1">HM_ZD_Moho!CA_expex_to_recover+(AJ282*(1+HM_ZD_Moho!int_rate_cf_costs))</f>
        <v>0</v>
      </c>
      <c r="AL280" s="49">
        <f ca="1">HM_ZD_Moho!CA_expex_to_recover+(AK282*(1+HM_ZD_Moho!int_rate_cf_costs))</f>
        <v>0</v>
      </c>
      <c r="AM280" s="49">
        <f ca="1">HM_ZD_Moho!CA_expex_to_recover+(AL282*(1+HM_ZD_Moho!int_rate_cf_costs))</f>
        <v>0</v>
      </c>
      <c r="AN280" s="49">
        <f ca="1">HM_ZD_Moho!CA_expex_to_recover+(AM282*(1+HM_ZD_Moho!int_rate_cf_costs))</f>
        <v>0</v>
      </c>
      <c r="AO280" s="49">
        <f ca="1">HM_ZD_Moho!CA_expex_to_recover+(AN282*(1+HM_ZD_Moho!int_rate_cf_costs))</f>
        <v>0</v>
      </c>
      <c r="AP280" s="49">
        <f ca="1">HM_ZD_Moho!CA_expex_to_recover+(AO282*(1+HM_ZD_Moho!int_rate_cf_costs))</f>
        <v>0</v>
      </c>
      <c r="AQ280" s="49">
        <f ca="1">HM_ZD_Moho!CA_expex_to_recover+(AP282*(1+HM_ZD_Moho!int_rate_cf_costs))</f>
        <v>0</v>
      </c>
      <c r="AR280" s="49">
        <f ca="1">HM_ZD_Moho!CA_expex_to_recover+(AQ282*(1+HM_ZD_Moho!int_rate_cf_costs))</f>
        <v>0</v>
      </c>
      <c r="AS280" s="49">
        <f ca="1">HM_ZD_Moho!CA_expex_to_recover+(AR282*(1+HM_ZD_Moho!int_rate_cf_costs))</f>
        <v>0</v>
      </c>
      <c r="AT280" s="49">
        <f ca="1">HM_ZD_Moho!CA_expex_to_recover+(AS282*(1+HM_ZD_Moho!int_rate_cf_costs))</f>
        <v>0</v>
      </c>
      <c r="AU280" s="49">
        <f ca="1">HM_ZD_Moho!CA_expex_to_recover+(AT282*(1+HM_ZD_Moho!int_rate_cf_costs))</f>
        <v>0</v>
      </c>
      <c r="AV280" s="49">
        <f ca="1">HM_ZD_Moho!CA_expex_to_recover+(AU282*(1+HM_ZD_Moho!int_rate_cf_costs))</f>
        <v>0</v>
      </c>
      <c r="AW280" s="49">
        <f ca="1">HM_ZD_Moho!CA_expex_to_recover+(AV282*(1+HM_ZD_Moho!int_rate_cf_costs))</f>
        <v>0</v>
      </c>
      <c r="AX280" s="49">
        <f ca="1">HM_ZD_Moho!CA_expex_to_recover+(AW282*(1+HM_ZD_Moho!int_rate_cf_costs))</f>
        <v>0</v>
      </c>
      <c r="AY280" s="49">
        <f ca="1">HM_ZD_Moho!CA_expex_to_recover+(AX282*(1+HM_ZD_Moho!int_rate_cf_costs))</f>
        <v>0</v>
      </c>
      <c r="AZ280" s="49">
        <f ca="1">HM_ZD_Moho!CA_expex_to_recover+(AY282*(1+HM_ZD_Moho!int_rate_cf_costs))</f>
        <v>0</v>
      </c>
      <c r="BA280" s="49">
        <f ca="1">HM_ZD_Moho!CA_expex_to_recover+(AZ282*(1+HM_ZD_Moho!int_rate_cf_costs))</f>
        <v>0</v>
      </c>
      <c r="BB280" s="49">
        <f ca="1">HM_ZD_Moho!CA_expex_to_recover+(BA282*(1+HM_ZD_Moho!int_rate_cf_costs))</f>
        <v>0</v>
      </c>
      <c r="BC280" s="49">
        <f ca="1">HM_ZD_Moho!CA_expex_to_recover+(BB282*(1+HM_ZD_Moho!int_rate_cf_costs))</f>
        <v>0</v>
      </c>
      <c r="BD280" s="49">
        <f ca="1">HM_ZD_Moho!CA_expex_to_recover+(BC282*(1+HM_ZD_Moho!int_rate_cf_costs))</f>
        <v>0</v>
      </c>
      <c r="BE280" s="49">
        <f ca="1">HM_ZD_Moho!CA_expex_to_recover+(BD282*(1+HM_ZD_Moho!int_rate_cf_costs))</f>
        <v>0</v>
      </c>
      <c r="BF280" s="49">
        <f ca="1">HM_ZD_Moho!CA_expex_to_recover+(BE282*(1+HM_ZD_Moho!int_rate_cf_costs))</f>
        <v>0</v>
      </c>
      <c r="BG280" s="49">
        <f ca="1">HM_ZD_Moho!CA_expex_to_recover+(BF282*(1+HM_ZD_Moho!int_rate_cf_costs))</f>
        <v>0</v>
      </c>
      <c r="BH280" s="49">
        <f ca="1">HM_ZD_Moho!CA_expex_to_recover+(BG282*(1+HM_ZD_Moho!int_rate_cf_costs))</f>
        <v>0</v>
      </c>
      <c r="BI280" s="49">
        <f ca="1">HM_ZD_Moho!CA_expex_to_recover+(BH282*(1+HM_ZD_Moho!int_rate_cf_costs))</f>
        <v>0</v>
      </c>
      <c r="BJ280" s="49">
        <f ca="1">HM_ZD_Moho!CA_expex_to_recover+(BI282*(1+HM_ZD_Moho!int_rate_cf_costs))</f>
        <v>0</v>
      </c>
      <c r="BK280" s="49">
        <f ca="1">HM_ZD_Moho!CA_expex_to_recover+(BJ282*(1+HM_ZD_Moho!int_rate_cf_costs))</f>
        <v>0</v>
      </c>
      <c r="BL280" s="49">
        <f ca="1">HM_ZD_Moho!CA_expex_to_recover+(BK282*(1+HM_ZD_Moho!int_rate_cf_costs))</f>
        <v>0</v>
      </c>
      <c r="BM280" s="49">
        <f ca="1">HM_ZD_Moho!CA_expex_to_recover+(BL282*(1+HM_ZD_Moho!int_rate_cf_costs))</f>
        <v>0</v>
      </c>
      <c r="BN280" s="49">
        <f ca="1">HM_ZD_Moho!CA_expex_to_recover+(BM282*(1+HM_ZD_Moho!int_rate_cf_costs))</f>
        <v>0</v>
      </c>
      <c r="BO280" s="49">
        <f ca="1">HM_ZD_Moho!CA_expex_to_recover+(BN282*(1+HM_ZD_Moho!int_rate_cf_costs))</f>
        <v>0</v>
      </c>
      <c r="BP280" s="49">
        <f ca="1">HM_ZD_Moho!CA_expex_to_recover+(BO282*(1+HM_ZD_Moho!int_rate_cf_costs))</f>
        <v>0</v>
      </c>
      <c r="BQ280" s="49">
        <f ca="1">HM_ZD_Moho!CA_expex_to_recover+(BP282*(1+HM_ZD_Moho!int_rate_cf_costs))</f>
        <v>0</v>
      </c>
      <c r="BR280" s="49">
        <f ca="1">HM_ZD_Moho!CA_expex_to_recover+(BQ282*(1+HM_ZD_Moho!int_rate_cf_costs))</f>
        <v>0</v>
      </c>
      <c r="BS280" s="49">
        <f ca="1">HM_ZD_Moho!CA_expex_to_recover+(BR282*(1+HM_ZD_Moho!int_rate_cf_costs))</f>
        <v>0</v>
      </c>
    </row>
    <row r="281" spans="4:71" outlineLevel="1" x14ac:dyDescent="0.2">
      <c r="E281" t="str">
        <f>HM_ZB_Nsoko!E266</f>
        <v>Coûts exploration récupérés</v>
      </c>
      <c r="H281" s="56" t="b">
        <f ca="1">ROUND(I281,2)=-ROUND(I280,2)</f>
        <v>1</v>
      </c>
      <c r="I281" s="30">
        <f t="shared" ca="1" si="178"/>
        <v>0</v>
      </c>
      <c r="J281" s="26" t="s">
        <v>148</v>
      </c>
      <c r="L281" s="49">
        <f ca="1">-MIN(L280,L279)</f>
        <v>0</v>
      </c>
      <c r="M281" s="49">
        <f t="shared" ref="M281:BS281" ca="1" si="179">-MIN(M280,M279)</f>
        <v>0</v>
      </c>
      <c r="N281" s="49">
        <f t="shared" ca="1" si="179"/>
        <v>0</v>
      </c>
      <c r="O281" s="49">
        <f t="shared" ca="1" si="179"/>
        <v>0</v>
      </c>
      <c r="P281" s="49">
        <f t="shared" ca="1" si="179"/>
        <v>0</v>
      </c>
      <c r="Q281" s="49">
        <f t="shared" ca="1" si="179"/>
        <v>0</v>
      </c>
      <c r="R281" s="49">
        <f t="shared" ca="1" si="179"/>
        <v>0</v>
      </c>
      <c r="S281" s="49">
        <f t="shared" ca="1" si="179"/>
        <v>0</v>
      </c>
      <c r="T281" s="49">
        <f t="shared" ca="1" si="179"/>
        <v>0</v>
      </c>
      <c r="U281" s="49">
        <f t="shared" ca="1" si="179"/>
        <v>0</v>
      </c>
      <c r="V281" s="49">
        <f t="shared" ca="1" si="179"/>
        <v>0</v>
      </c>
      <c r="W281" s="49">
        <f t="shared" ca="1" si="179"/>
        <v>0</v>
      </c>
      <c r="X281" s="49">
        <f t="shared" ca="1" si="179"/>
        <v>0</v>
      </c>
      <c r="Y281" s="49">
        <f t="shared" ca="1" si="179"/>
        <v>0</v>
      </c>
      <c r="Z281" s="49">
        <f t="shared" ca="1" si="179"/>
        <v>0</v>
      </c>
      <c r="AA281" s="49">
        <f t="shared" ca="1" si="179"/>
        <v>0</v>
      </c>
      <c r="AB281" s="49">
        <f t="shared" ca="1" si="179"/>
        <v>0</v>
      </c>
      <c r="AC281" s="49">
        <f t="shared" ca="1" si="179"/>
        <v>0</v>
      </c>
      <c r="AD281" s="49">
        <f t="shared" ca="1" si="179"/>
        <v>0</v>
      </c>
      <c r="AE281" s="49">
        <f t="shared" ca="1" si="179"/>
        <v>0</v>
      </c>
      <c r="AF281" s="49">
        <f t="shared" ca="1" si="179"/>
        <v>0</v>
      </c>
      <c r="AG281" s="49">
        <f t="shared" ca="1" si="179"/>
        <v>0</v>
      </c>
      <c r="AH281" s="49">
        <f t="shared" ca="1" si="179"/>
        <v>0</v>
      </c>
      <c r="AI281" s="49">
        <f t="shared" ca="1" si="179"/>
        <v>0</v>
      </c>
      <c r="AJ281" s="49">
        <f t="shared" ca="1" si="179"/>
        <v>0</v>
      </c>
      <c r="AK281" s="49">
        <f t="shared" ca="1" si="179"/>
        <v>0</v>
      </c>
      <c r="AL281" s="49">
        <f t="shared" ca="1" si="179"/>
        <v>0</v>
      </c>
      <c r="AM281" s="49">
        <f t="shared" ca="1" si="179"/>
        <v>0</v>
      </c>
      <c r="AN281" s="49">
        <f t="shared" ca="1" si="179"/>
        <v>0</v>
      </c>
      <c r="AO281" s="49">
        <f t="shared" ca="1" si="179"/>
        <v>0</v>
      </c>
      <c r="AP281" s="49">
        <f t="shared" ca="1" si="179"/>
        <v>0</v>
      </c>
      <c r="AQ281" s="49">
        <f t="shared" ca="1" si="179"/>
        <v>0</v>
      </c>
      <c r="AR281" s="49">
        <f t="shared" ca="1" si="179"/>
        <v>0</v>
      </c>
      <c r="AS281" s="49">
        <f t="shared" ca="1" si="179"/>
        <v>0</v>
      </c>
      <c r="AT281" s="49">
        <f t="shared" ca="1" si="179"/>
        <v>0</v>
      </c>
      <c r="AU281" s="49">
        <f t="shared" ca="1" si="179"/>
        <v>0</v>
      </c>
      <c r="AV281" s="49">
        <f t="shared" ca="1" si="179"/>
        <v>0</v>
      </c>
      <c r="AW281" s="49">
        <f t="shared" ca="1" si="179"/>
        <v>0</v>
      </c>
      <c r="AX281" s="49">
        <f t="shared" ca="1" si="179"/>
        <v>0</v>
      </c>
      <c r="AY281" s="49">
        <f t="shared" ca="1" si="179"/>
        <v>0</v>
      </c>
      <c r="AZ281" s="49">
        <f t="shared" ca="1" si="179"/>
        <v>0</v>
      </c>
      <c r="BA281" s="49">
        <f t="shared" ca="1" si="179"/>
        <v>0</v>
      </c>
      <c r="BB281" s="49">
        <f t="shared" ca="1" si="179"/>
        <v>0</v>
      </c>
      <c r="BC281" s="49">
        <f t="shared" ca="1" si="179"/>
        <v>0</v>
      </c>
      <c r="BD281" s="49">
        <f t="shared" ca="1" si="179"/>
        <v>0</v>
      </c>
      <c r="BE281" s="49">
        <f t="shared" ca="1" si="179"/>
        <v>0</v>
      </c>
      <c r="BF281" s="49">
        <f t="shared" ca="1" si="179"/>
        <v>0</v>
      </c>
      <c r="BG281" s="49">
        <f t="shared" ca="1" si="179"/>
        <v>0</v>
      </c>
      <c r="BH281" s="49">
        <f t="shared" ca="1" si="179"/>
        <v>0</v>
      </c>
      <c r="BI281" s="49">
        <f t="shared" ca="1" si="179"/>
        <v>0</v>
      </c>
      <c r="BJ281" s="49">
        <f t="shared" ca="1" si="179"/>
        <v>0</v>
      </c>
      <c r="BK281" s="49">
        <f t="shared" ca="1" si="179"/>
        <v>0</v>
      </c>
      <c r="BL281" s="49">
        <f t="shared" ca="1" si="179"/>
        <v>0</v>
      </c>
      <c r="BM281" s="49">
        <f t="shared" ca="1" si="179"/>
        <v>0</v>
      </c>
      <c r="BN281" s="49">
        <f t="shared" ca="1" si="179"/>
        <v>0</v>
      </c>
      <c r="BO281" s="49">
        <f t="shared" ca="1" si="179"/>
        <v>0</v>
      </c>
      <c r="BP281" s="49">
        <f t="shared" ca="1" si="179"/>
        <v>0</v>
      </c>
      <c r="BQ281" s="49">
        <f t="shared" ca="1" si="179"/>
        <v>0</v>
      </c>
      <c r="BR281" s="49">
        <f t="shared" ca="1" si="179"/>
        <v>0</v>
      </c>
      <c r="BS281" s="49">
        <f t="shared" ca="1" si="179"/>
        <v>0</v>
      </c>
    </row>
    <row r="282" spans="4:71" outlineLevel="1" x14ac:dyDescent="0.2">
      <c r="E282" t="str">
        <f>HM_ZB_Nsoko!E267</f>
        <v xml:space="preserve">Sous/(Sur)récupération </v>
      </c>
      <c r="J282" s="26"/>
      <c r="L282" s="49">
        <f ca="1">L280+L281</f>
        <v>0</v>
      </c>
      <c r="M282" s="49">
        <f t="shared" ref="M282:BS282" ca="1" si="180">M280+M281</f>
        <v>0</v>
      </c>
      <c r="N282" s="49">
        <f t="shared" ca="1" si="180"/>
        <v>0</v>
      </c>
      <c r="O282" s="49">
        <f t="shared" ca="1" si="180"/>
        <v>0</v>
      </c>
      <c r="P282" s="49">
        <f t="shared" ca="1" si="180"/>
        <v>0</v>
      </c>
      <c r="Q282" s="49">
        <f t="shared" ca="1" si="180"/>
        <v>0</v>
      </c>
      <c r="R282" s="49">
        <f t="shared" ca="1" si="180"/>
        <v>0</v>
      </c>
      <c r="S282" s="49">
        <f t="shared" ca="1" si="180"/>
        <v>0</v>
      </c>
      <c r="T282" s="49">
        <f t="shared" ca="1" si="180"/>
        <v>0</v>
      </c>
      <c r="U282" s="49">
        <f t="shared" ca="1" si="180"/>
        <v>0</v>
      </c>
      <c r="V282" s="49">
        <f t="shared" ca="1" si="180"/>
        <v>0</v>
      </c>
      <c r="W282" s="49">
        <f t="shared" ca="1" si="180"/>
        <v>0</v>
      </c>
      <c r="X282" s="49">
        <f t="shared" ca="1" si="180"/>
        <v>0</v>
      </c>
      <c r="Y282" s="49">
        <f t="shared" ca="1" si="180"/>
        <v>0</v>
      </c>
      <c r="Z282" s="49">
        <f t="shared" ca="1" si="180"/>
        <v>0</v>
      </c>
      <c r="AA282" s="49">
        <f t="shared" ca="1" si="180"/>
        <v>0</v>
      </c>
      <c r="AB282" s="49">
        <f t="shared" ca="1" si="180"/>
        <v>0</v>
      </c>
      <c r="AC282" s="49">
        <f t="shared" ca="1" si="180"/>
        <v>0</v>
      </c>
      <c r="AD282" s="49">
        <f t="shared" ca="1" si="180"/>
        <v>0</v>
      </c>
      <c r="AE282" s="49">
        <f t="shared" ca="1" si="180"/>
        <v>0</v>
      </c>
      <c r="AF282" s="49">
        <f t="shared" ca="1" si="180"/>
        <v>0</v>
      </c>
      <c r="AG282" s="49">
        <f t="shared" ca="1" si="180"/>
        <v>0</v>
      </c>
      <c r="AH282" s="49">
        <f t="shared" ca="1" si="180"/>
        <v>0</v>
      </c>
      <c r="AI282" s="49">
        <f t="shared" ca="1" si="180"/>
        <v>0</v>
      </c>
      <c r="AJ282" s="49">
        <f t="shared" ca="1" si="180"/>
        <v>0</v>
      </c>
      <c r="AK282" s="49">
        <f t="shared" ca="1" si="180"/>
        <v>0</v>
      </c>
      <c r="AL282" s="49">
        <f t="shared" ca="1" si="180"/>
        <v>0</v>
      </c>
      <c r="AM282" s="49">
        <f t="shared" ca="1" si="180"/>
        <v>0</v>
      </c>
      <c r="AN282" s="49">
        <f t="shared" ca="1" si="180"/>
        <v>0</v>
      </c>
      <c r="AO282" s="49">
        <f t="shared" ca="1" si="180"/>
        <v>0</v>
      </c>
      <c r="AP282" s="49">
        <f t="shared" ca="1" si="180"/>
        <v>0</v>
      </c>
      <c r="AQ282" s="49">
        <f t="shared" ca="1" si="180"/>
        <v>0</v>
      </c>
      <c r="AR282" s="49">
        <f t="shared" ca="1" si="180"/>
        <v>0</v>
      </c>
      <c r="AS282" s="49">
        <f t="shared" ca="1" si="180"/>
        <v>0</v>
      </c>
      <c r="AT282" s="49">
        <f t="shared" ca="1" si="180"/>
        <v>0</v>
      </c>
      <c r="AU282" s="49">
        <f t="shared" ca="1" si="180"/>
        <v>0</v>
      </c>
      <c r="AV282" s="49">
        <f t="shared" ca="1" si="180"/>
        <v>0</v>
      </c>
      <c r="AW282" s="49">
        <f t="shared" ca="1" si="180"/>
        <v>0</v>
      </c>
      <c r="AX282" s="49">
        <f t="shared" ca="1" si="180"/>
        <v>0</v>
      </c>
      <c r="AY282" s="49">
        <f t="shared" ca="1" si="180"/>
        <v>0</v>
      </c>
      <c r="AZ282" s="49">
        <f t="shared" ca="1" si="180"/>
        <v>0</v>
      </c>
      <c r="BA282" s="49">
        <f t="shared" ca="1" si="180"/>
        <v>0</v>
      </c>
      <c r="BB282" s="49">
        <f t="shared" ca="1" si="180"/>
        <v>0</v>
      </c>
      <c r="BC282" s="49">
        <f t="shared" ca="1" si="180"/>
        <v>0</v>
      </c>
      <c r="BD282" s="49">
        <f t="shared" ca="1" si="180"/>
        <v>0</v>
      </c>
      <c r="BE282" s="49">
        <f t="shared" ca="1" si="180"/>
        <v>0</v>
      </c>
      <c r="BF282" s="49">
        <f t="shared" ca="1" si="180"/>
        <v>0</v>
      </c>
      <c r="BG282" s="49">
        <f t="shared" ca="1" si="180"/>
        <v>0</v>
      </c>
      <c r="BH282" s="49">
        <f t="shared" ca="1" si="180"/>
        <v>0</v>
      </c>
      <c r="BI282" s="49">
        <f t="shared" ca="1" si="180"/>
        <v>0</v>
      </c>
      <c r="BJ282" s="49">
        <f t="shared" ca="1" si="180"/>
        <v>0</v>
      </c>
      <c r="BK282" s="49">
        <f t="shared" ca="1" si="180"/>
        <v>0</v>
      </c>
      <c r="BL282" s="49">
        <f t="shared" ca="1" si="180"/>
        <v>0</v>
      </c>
      <c r="BM282" s="49">
        <f t="shared" ca="1" si="180"/>
        <v>0</v>
      </c>
      <c r="BN282" s="49">
        <f t="shared" ca="1" si="180"/>
        <v>0</v>
      </c>
      <c r="BO282" s="49">
        <f t="shared" ca="1" si="180"/>
        <v>0</v>
      </c>
      <c r="BP282" s="49">
        <f t="shared" ca="1" si="180"/>
        <v>0</v>
      </c>
      <c r="BQ282" s="49">
        <f t="shared" ca="1" si="180"/>
        <v>0</v>
      </c>
      <c r="BR282" s="49">
        <f t="shared" ca="1" si="180"/>
        <v>0</v>
      </c>
      <c r="BS282" s="49">
        <f t="shared" ca="1" si="180"/>
        <v>0</v>
      </c>
    </row>
    <row r="283" spans="4:71" outlineLevel="1" x14ac:dyDescent="0.2">
      <c r="J283" s="26"/>
      <c r="L283" s="55"/>
      <c r="M283" s="55"/>
      <c r="N283" s="55"/>
      <c r="O283" s="55"/>
      <c r="P283" s="55"/>
      <c r="Q283" s="55"/>
      <c r="R283" s="55"/>
      <c r="S283" s="55"/>
      <c r="T283" s="55"/>
      <c r="U283" s="55"/>
      <c r="V283" s="55"/>
      <c r="W283" s="55"/>
      <c r="X283" s="55"/>
      <c r="Y283" s="55"/>
      <c r="Z283" s="55"/>
      <c r="AA283" s="55"/>
      <c r="AB283" s="55"/>
      <c r="AC283" s="55"/>
      <c r="AD283" s="55"/>
      <c r="AE283" s="55"/>
      <c r="AF283" s="55"/>
      <c r="AG283" s="55"/>
      <c r="AH283" s="55"/>
      <c r="AI283" s="55"/>
      <c r="AJ283" s="55"/>
      <c r="AK283" s="55"/>
      <c r="AL283" s="55"/>
      <c r="AM283" s="55"/>
      <c r="AN283" s="55"/>
      <c r="AO283" s="55"/>
      <c r="AP283" s="55"/>
      <c r="AQ283" s="55"/>
      <c r="AR283" s="55"/>
      <c r="AS283" s="55"/>
      <c r="AT283" s="55"/>
      <c r="AU283" s="55"/>
      <c r="AV283" s="55"/>
      <c r="AW283" s="55"/>
      <c r="AX283" s="55"/>
      <c r="AY283" s="55"/>
      <c r="AZ283" s="55"/>
      <c r="BA283" s="55"/>
      <c r="BB283" s="55"/>
      <c r="BC283" s="55"/>
      <c r="BD283" s="55"/>
      <c r="BE283" s="55"/>
      <c r="BF283" s="55"/>
      <c r="BG283" s="55"/>
      <c r="BH283" s="55"/>
      <c r="BI283" s="55"/>
      <c r="BJ283" s="55"/>
      <c r="BK283" s="55"/>
      <c r="BL283" s="55"/>
      <c r="BM283" s="55"/>
      <c r="BN283" s="55"/>
      <c r="BO283" s="55"/>
      <c r="BP283" s="55"/>
      <c r="BQ283" s="55"/>
      <c r="BR283" s="55"/>
      <c r="BS283" s="55"/>
    </row>
    <row r="284" spans="4:71" outlineLevel="1" x14ac:dyDescent="0.2">
      <c r="D284" s="51" t="str">
        <f>HM_ZB_Nsoko!D269</f>
        <v>Coûts d'abandon</v>
      </c>
      <c r="J284" s="26"/>
      <c r="L284" s="55"/>
      <c r="M284" s="55"/>
      <c r="N284" s="55"/>
      <c r="O284" s="55"/>
      <c r="P284" s="55"/>
      <c r="Q284" s="55"/>
      <c r="R284" s="55"/>
      <c r="S284" s="55"/>
      <c r="T284" s="55"/>
      <c r="U284" s="55"/>
      <c r="V284" s="55"/>
      <c r="W284" s="55"/>
      <c r="X284" s="55"/>
      <c r="Y284" s="55"/>
      <c r="Z284" s="55"/>
      <c r="AA284" s="55"/>
      <c r="AB284" s="55"/>
      <c r="AC284" s="55"/>
      <c r="AD284" s="55"/>
      <c r="AE284" s="55"/>
      <c r="AF284" s="55"/>
      <c r="AG284" s="55"/>
      <c r="AH284" s="55"/>
      <c r="AI284" s="55"/>
      <c r="AJ284" s="55"/>
      <c r="AK284" s="55"/>
      <c r="AL284" s="55"/>
      <c r="AM284" s="55"/>
      <c r="AN284" s="55"/>
      <c r="AO284" s="55"/>
      <c r="AP284" s="55"/>
      <c r="AQ284" s="55"/>
      <c r="AR284" s="55"/>
      <c r="AS284" s="55"/>
      <c r="AT284" s="55"/>
      <c r="AU284" s="55"/>
      <c r="AV284" s="55"/>
      <c r="AW284" s="55"/>
      <c r="AX284" s="55"/>
      <c r="AY284" s="55"/>
      <c r="AZ284" s="55"/>
      <c r="BA284" s="55"/>
      <c r="BB284" s="55"/>
      <c r="BC284" s="55"/>
      <c r="BD284" s="55"/>
      <c r="BE284" s="55"/>
      <c r="BF284" s="55"/>
      <c r="BG284" s="55"/>
      <c r="BH284" s="55"/>
      <c r="BI284" s="55"/>
      <c r="BJ284" s="55"/>
      <c r="BK284" s="55"/>
      <c r="BL284" s="55"/>
      <c r="BM284" s="55"/>
      <c r="BN284" s="55"/>
      <c r="BO284" s="55"/>
      <c r="BP284" s="55"/>
      <c r="BQ284" s="55"/>
      <c r="BR284" s="55"/>
      <c r="BS284" s="55"/>
    </row>
    <row r="285" spans="4:71" outlineLevel="1" x14ac:dyDescent="0.2">
      <c r="E285" t="str">
        <f>HM_ZB_Nsoko!E270</f>
        <v>Revenus disponibles pour la récupération</v>
      </c>
      <c r="I285" s="30">
        <f t="shared" ref="I285:I287" ca="1" si="181">SUM($L285:$BS285)</f>
        <v>0</v>
      </c>
      <c r="J285" s="26" t="s">
        <v>148</v>
      </c>
      <c r="L285" s="49">
        <f ca="1">MAX(HM_ZD_Moho!CA_cost_stop+L263+L269+L275+L281,0)</f>
        <v>0</v>
      </c>
      <c r="M285" s="49">
        <f ca="1">MAX(HM_ZD_Moho!CA_cost_stop+M263+M269+M275+M281,0)</f>
        <v>0</v>
      </c>
      <c r="N285" s="49">
        <f ca="1">MAX(HM_ZD_Moho!CA_cost_stop+N263+N269+N275+N281,0)</f>
        <v>0</v>
      </c>
      <c r="O285" s="49">
        <f ca="1">MAX(HM_ZD_Moho!CA_cost_stop+O263+O269+O275+O281,0)</f>
        <v>0</v>
      </c>
      <c r="P285" s="49">
        <f ca="1">MAX(HM_ZD_Moho!CA_cost_stop+P263+P269+P275+P281,0)</f>
        <v>0</v>
      </c>
      <c r="Q285" s="49">
        <f ca="1">MAX(HM_ZD_Moho!CA_cost_stop+Q263+Q269+Q275+Q281,0)</f>
        <v>0</v>
      </c>
      <c r="R285" s="49">
        <f ca="1">MAX(HM_ZD_Moho!CA_cost_stop+R263+R269+R275+R281,0)</f>
        <v>0</v>
      </c>
      <c r="S285" s="49">
        <f ca="1">MAX(HM_ZD_Moho!CA_cost_stop+S263+S269+S275+S281,0)</f>
        <v>0</v>
      </c>
      <c r="T285" s="49">
        <f ca="1">MAX(HM_ZD_Moho!CA_cost_stop+T263+T269+T275+T281,0)</f>
        <v>0</v>
      </c>
      <c r="U285" s="49">
        <f ca="1">MAX(HM_ZD_Moho!CA_cost_stop+U263+U269+U275+U281,0)</f>
        <v>0</v>
      </c>
      <c r="V285" s="49">
        <f ca="1">MAX(HM_ZD_Moho!CA_cost_stop+V263+V269+V275+V281,0)</f>
        <v>0</v>
      </c>
      <c r="W285" s="49">
        <f ca="1">MAX(HM_ZD_Moho!CA_cost_stop+W263+W269+W275+W281,0)</f>
        <v>0</v>
      </c>
      <c r="X285" s="49">
        <f ca="1">MAX(HM_ZD_Moho!CA_cost_stop+X263+X269+X275+X281,0)</f>
        <v>0</v>
      </c>
      <c r="Y285" s="49">
        <f ca="1">MAX(HM_ZD_Moho!CA_cost_stop+Y263+Y269+Y275+Y281,0)</f>
        <v>0</v>
      </c>
      <c r="Z285" s="49">
        <f ca="1">MAX(HM_ZD_Moho!CA_cost_stop+Z263+Z269+Z275+Z281,0)</f>
        <v>0</v>
      </c>
      <c r="AA285" s="49">
        <f ca="1">MAX(HM_ZD_Moho!CA_cost_stop+AA263+AA269+AA275+AA281,0)</f>
        <v>0</v>
      </c>
      <c r="AB285" s="49">
        <f ca="1">MAX(HM_ZD_Moho!CA_cost_stop+AB263+AB269+AB275+AB281,0)</f>
        <v>0</v>
      </c>
      <c r="AC285" s="49">
        <f ca="1">MAX(HM_ZD_Moho!CA_cost_stop+AC263+AC269+AC275+AC281,0)</f>
        <v>0</v>
      </c>
      <c r="AD285" s="49">
        <f ca="1">MAX(HM_ZD_Moho!CA_cost_stop+AD263+AD269+AD275+AD281,0)</f>
        <v>0</v>
      </c>
      <c r="AE285" s="49">
        <f ca="1">MAX(HM_ZD_Moho!CA_cost_stop+AE263+AE269+AE275+AE281,0)</f>
        <v>0</v>
      </c>
      <c r="AF285" s="49">
        <f ca="1">MAX(HM_ZD_Moho!CA_cost_stop+AF263+AF269+AF275+AF281,0)</f>
        <v>0</v>
      </c>
      <c r="AG285" s="49">
        <f ca="1">MAX(HM_ZD_Moho!CA_cost_stop+AG263+AG269+AG275+AG281,0)</f>
        <v>0</v>
      </c>
      <c r="AH285" s="49">
        <f ca="1">MAX(HM_ZD_Moho!CA_cost_stop+AH263+AH269+AH275+AH281,0)</f>
        <v>0</v>
      </c>
      <c r="AI285" s="49">
        <f ca="1">MAX(HM_ZD_Moho!CA_cost_stop+AI263+AI269+AI275+AI281,0)</f>
        <v>0</v>
      </c>
      <c r="AJ285" s="49">
        <f ca="1">MAX(HM_ZD_Moho!CA_cost_stop+AJ263+AJ269+AJ275+AJ281,0)</f>
        <v>0</v>
      </c>
      <c r="AK285" s="49">
        <f ca="1">MAX(HM_ZD_Moho!CA_cost_stop+AK263+AK269+AK275+AK281,0)</f>
        <v>0</v>
      </c>
      <c r="AL285" s="49">
        <f ca="1">MAX(HM_ZD_Moho!CA_cost_stop+AL263+AL269+AL275+AL281,0)</f>
        <v>0</v>
      </c>
      <c r="AM285" s="49">
        <f ca="1">MAX(HM_ZD_Moho!CA_cost_stop+AM263+AM269+AM275+AM281,0)</f>
        <v>0</v>
      </c>
      <c r="AN285" s="49">
        <f ca="1">MAX(HM_ZD_Moho!CA_cost_stop+AN263+AN269+AN275+AN281,0)</f>
        <v>0</v>
      </c>
      <c r="AO285" s="49">
        <f ca="1">MAX(HM_ZD_Moho!CA_cost_stop+AO263+AO269+AO275+AO281,0)</f>
        <v>0</v>
      </c>
      <c r="AP285" s="49">
        <f ca="1">MAX(HM_ZD_Moho!CA_cost_stop+AP263+AP269+AP275+AP281,0)</f>
        <v>0</v>
      </c>
      <c r="AQ285" s="49">
        <f ca="1">MAX(HM_ZD_Moho!CA_cost_stop+AQ263+AQ269+AQ275+AQ281,0)</f>
        <v>0</v>
      </c>
      <c r="AR285" s="49">
        <f ca="1">MAX(HM_ZD_Moho!CA_cost_stop+AR263+AR269+AR275+AR281,0)</f>
        <v>0</v>
      </c>
      <c r="AS285" s="49">
        <f ca="1">MAX(HM_ZD_Moho!CA_cost_stop+AS263+AS269+AS275+AS281,0)</f>
        <v>0</v>
      </c>
      <c r="AT285" s="49">
        <f ca="1">MAX(HM_ZD_Moho!CA_cost_stop+AT263+AT269+AT275+AT281,0)</f>
        <v>0</v>
      </c>
      <c r="AU285" s="49">
        <f ca="1">MAX(HM_ZD_Moho!CA_cost_stop+AU263+AU269+AU275+AU281,0)</f>
        <v>0</v>
      </c>
      <c r="AV285" s="49">
        <f ca="1">MAX(HM_ZD_Moho!CA_cost_stop+AV263+AV269+AV275+AV281,0)</f>
        <v>0</v>
      </c>
      <c r="AW285" s="49">
        <f ca="1">MAX(HM_ZD_Moho!CA_cost_stop+AW263+AW269+AW275+AW281,0)</f>
        <v>0</v>
      </c>
      <c r="AX285" s="49">
        <f ca="1">MAX(HM_ZD_Moho!CA_cost_stop+AX263+AX269+AX275+AX281,0)</f>
        <v>0</v>
      </c>
      <c r="AY285" s="49">
        <f ca="1">MAX(HM_ZD_Moho!CA_cost_stop+AY263+AY269+AY275+AY281,0)</f>
        <v>0</v>
      </c>
      <c r="AZ285" s="49">
        <f ca="1">MAX(HM_ZD_Moho!CA_cost_stop+AZ263+AZ269+AZ275+AZ281,0)</f>
        <v>0</v>
      </c>
      <c r="BA285" s="49">
        <f ca="1">MAX(HM_ZD_Moho!CA_cost_stop+BA263+BA269+BA275+BA281,0)</f>
        <v>0</v>
      </c>
      <c r="BB285" s="49">
        <f ca="1">MAX(HM_ZD_Moho!CA_cost_stop+BB263+BB269+BB275+BB281,0)</f>
        <v>0</v>
      </c>
      <c r="BC285" s="49">
        <f ca="1">MAX(HM_ZD_Moho!CA_cost_stop+BC263+BC269+BC275+BC281,0)</f>
        <v>0</v>
      </c>
      <c r="BD285" s="49">
        <f ca="1">MAX(HM_ZD_Moho!CA_cost_stop+BD263+BD269+BD275+BD281,0)</f>
        <v>0</v>
      </c>
      <c r="BE285" s="49">
        <f ca="1">MAX(HM_ZD_Moho!CA_cost_stop+BE263+BE269+BE275+BE281,0)</f>
        <v>0</v>
      </c>
      <c r="BF285" s="49">
        <f ca="1">MAX(HM_ZD_Moho!CA_cost_stop+BF263+BF269+BF275+BF281,0)</f>
        <v>0</v>
      </c>
      <c r="BG285" s="49">
        <f ca="1">MAX(HM_ZD_Moho!CA_cost_stop+BG263+BG269+BG275+BG281,0)</f>
        <v>0</v>
      </c>
      <c r="BH285" s="49">
        <f ca="1">MAX(HM_ZD_Moho!CA_cost_stop+BH263+BH269+BH275+BH281,0)</f>
        <v>0</v>
      </c>
      <c r="BI285" s="49">
        <f ca="1">MAX(HM_ZD_Moho!CA_cost_stop+BI263+BI269+BI275+BI281,0)</f>
        <v>0</v>
      </c>
      <c r="BJ285" s="49">
        <f ca="1">MAX(HM_ZD_Moho!CA_cost_stop+BJ263+BJ269+BJ275+BJ281,0)</f>
        <v>0</v>
      </c>
      <c r="BK285" s="49">
        <f ca="1">MAX(HM_ZD_Moho!CA_cost_stop+BK263+BK269+BK275+BK281,0)</f>
        <v>0</v>
      </c>
      <c r="BL285" s="49">
        <f ca="1">MAX(HM_ZD_Moho!CA_cost_stop+BL263+BL269+BL275+BL281,0)</f>
        <v>0</v>
      </c>
      <c r="BM285" s="49">
        <f ca="1">MAX(HM_ZD_Moho!CA_cost_stop+BM263+BM269+BM275+BM281,0)</f>
        <v>0</v>
      </c>
      <c r="BN285" s="49">
        <f ca="1">MAX(HM_ZD_Moho!CA_cost_stop+BN263+BN269+BN275+BN281,0)</f>
        <v>0</v>
      </c>
      <c r="BO285" s="49">
        <f ca="1">MAX(HM_ZD_Moho!CA_cost_stop+BO263+BO269+BO275+BO281,0)</f>
        <v>0</v>
      </c>
      <c r="BP285" s="49">
        <f ca="1">MAX(HM_ZD_Moho!CA_cost_stop+BP263+BP269+BP275+BP281,0)</f>
        <v>0</v>
      </c>
      <c r="BQ285" s="49">
        <f ca="1">MAX(HM_ZD_Moho!CA_cost_stop+BQ263+BQ269+BQ275+BQ281,0)</f>
        <v>0</v>
      </c>
      <c r="BR285" s="49">
        <f ca="1">MAX(HM_ZD_Moho!CA_cost_stop+BR263+BR269+BR275+BR281,0)</f>
        <v>0</v>
      </c>
      <c r="BS285" s="49">
        <f ca="1">MAX(HM_ZD_Moho!CA_cost_stop+BS263+BS269+BS275+BS281,0)</f>
        <v>0</v>
      </c>
    </row>
    <row r="286" spans="4:71" outlineLevel="1" x14ac:dyDescent="0.2">
      <c r="E286" t="str">
        <f>HM_ZB_Nsoko!E271</f>
        <v>Abandon cumulées à récupérer</v>
      </c>
      <c r="I286" s="30">
        <f ca="1">I243</f>
        <v>0</v>
      </c>
      <c r="J286" s="26" t="s">
        <v>148</v>
      </c>
      <c r="L286" s="49">
        <f ca="1">HM_ZD_Moho!CA_decom_to_recover+(K288*(1+int_rate_cf_costs))</f>
        <v>0</v>
      </c>
      <c r="M286" s="49">
        <f ca="1">HM_ZD_Moho!CA_decom_to_recover+(L288*(1+int_rate_cf_costs))</f>
        <v>0</v>
      </c>
      <c r="N286" s="49">
        <f ca="1">HM_ZD_Moho!CA_decom_to_recover+(M288*(1+int_rate_cf_costs))</f>
        <v>0</v>
      </c>
      <c r="O286" s="49">
        <f ca="1">HM_ZD_Moho!CA_decom_to_recover+(N288*(1+int_rate_cf_costs))</f>
        <v>0</v>
      </c>
      <c r="P286" s="49">
        <f ca="1">HM_ZD_Moho!CA_decom_to_recover+(O288*(1+int_rate_cf_costs))</f>
        <v>0</v>
      </c>
      <c r="Q286" s="49">
        <f ca="1">HM_ZD_Moho!CA_decom_to_recover+(P288*(1+int_rate_cf_costs))</f>
        <v>0</v>
      </c>
      <c r="R286" s="49">
        <f ca="1">HM_ZD_Moho!CA_decom_to_recover+(Q288*(1+int_rate_cf_costs))</f>
        <v>0</v>
      </c>
      <c r="S286" s="49">
        <f ca="1">HM_ZD_Moho!CA_decom_to_recover+(R288*(1+int_rate_cf_costs))</f>
        <v>0</v>
      </c>
      <c r="T286" s="49">
        <f ca="1">HM_ZD_Moho!CA_decom_to_recover+(S288*(1+int_rate_cf_costs))</f>
        <v>0</v>
      </c>
      <c r="U286" s="49">
        <f ca="1">HM_ZD_Moho!CA_decom_to_recover+(T288*(1+int_rate_cf_costs))</f>
        <v>0</v>
      </c>
      <c r="V286" s="49">
        <f ca="1">HM_ZD_Moho!CA_decom_to_recover+(U288*(1+int_rate_cf_costs))</f>
        <v>0</v>
      </c>
      <c r="W286" s="49">
        <f ca="1">HM_ZD_Moho!CA_decom_to_recover+(V288*(1+int_rate_cf_costs))</f>
        <v>0</v>
      </c>
      <c r="X286" s="49">
        <f ca="1">HM_ZD_Moho!CA_decom_to_recover+(W288*(1+int_rate_cf_costs))</f>
        <v>0</v>
      </c>
      <c r="Y286" s="49">
        <f ca="1">HM_ZD_Moho!CA_decom_to_recover+(X288*(1+int_rate_cf_costs))</f>
        <v>0</v>
      </c>
      <c r="Z286" s="49">
        <f ca="1">HM_ZD_Moho!CA_decom_to_recover+(Y288*(1+int_rate_cf_costs))</f>
        <v>0</v>
      </c>
      <c r="AA286" s="49">
        <f ca="1">HM_ZD_Moho!CA_decom_to_recover+(Z288*(1+int_rate_cf_costs))</f>
        <v>0</v>
      </c>
      <c r="AB286" s="49">
        <f ca="1">HM_ZD_Moho!CA_decom_to_recover+(AA288*(1+int_rate_cf_costs))</f>
        <v>0</v>
      </c>
      <c r="AC286" s="49">
        <f ca="1">HM_ZD_Moho!CA_decom_to_recover+(AB288*(1+int_rate_cf_costs))</f>
        <v>0</v>
      </c>
      <c r="AD286" s="49">
        <f ca="1">HM_ZD_Moho!CA_decom_to_recover+(AC288*(1+int_rate_cf_costs))</f>
        <v>0</v>
      </c>
      <c r="AE286" s="49">
        <f ca="1">HM_ZD_Moho!CA_decom_to_recover+(AD288*(1+int_rate_cf_costs))</f>
        <v>0</v>
      </c>
      <c r="AF286" s="49">
        <f ca="1">HM_ZD_Moho!CA_decom_to_recover+(AE288*(1+int_rate_cf_costs))</f>
        <v>0</v>
      </c>
      <c r="AG286" s="49">
        <f ca="1">HM_ZD_Moho!CA_decom_to_recover+(AF288*(1+int_rate_cf_costs))</f>
        <v>0</v>
      </c>
      <c r="AH286" s="49">
        <f ca="1">HM_ZD_Moho!CA_decom_to_recover+(AG288*(1+int_rate_cf_costs))</f>
        <v>0</v>
      </c>
      <c r="AI286" s="49">
        <f ca="1">HM_ZD_Moho!CA_decom_to_recover+(AH288*(1+int_rate_cf_costs))</f>
        <v>0</v>
      </c>
      <c r="AJ286" s="49">
        <f ca="1">HM_ZD_Moho!CA_decom_to_recover+(AI288*(1+int_rate_cf_costs))</f>
        <v>0</v>
      </c>
      <c r="AK286" s="49">
        <f ca="1">HM_ZD_Moho!CA_decom_to_recover+(AJ288*(1+int_rate_cf_costs))</f>
        <v>0</v>
      </c>
      <c r="AL286" s="49">
        <f ca="1">HM_ZD_Moho!CA_decom_to_recover+(AK288*(1+int_rate_cf_costs))</f>
        <v>0</v>
      </c>
      <c r="AM286" s="49">
        <f ca="1">HM_ZD_Moho!CA_decom_to_recover+(AL288*(1+int_rate_cf_costs))</f>
        <v>0</v>
      </c>
      <c r="AN286" s="49">
        <f ca="1">HM_ZD_Moho!CA_decom_to_recover+(AM288*(1+int_rate_cf_costs))</f>
        <v>0</v>
      </c>
      <c r="AO286" s="49">
        <f ca="1">HM_ZD_Moho!CA_decom_to_recover+(AN288*(1+int_rate_cf_costs))</f>
        <v>0</v>
      </c>
      <c r="AP286" s="49">
        <f ca="1">HM_ZD_Moho!CA_decom_to_recover+(AO288*(1+int_rate_cf_costs))</f>
        <v>0</v>
      </c>
      <c r="AQ286" s="49">
        <f ca="1">HM_ZD_Moho!CA_decom_to_recover+(AP288*(1+int_rate_cf_costs))</f>
        <v>0</v>
      </c>
      <c r="AR286" s="49">
        <f ca="1">HM_ZD_Moho!CA_decom_to_recover+(AQ288*(1+int_rate_cf_costs))</f>
        <v>0</v>
      </c>
      <c r="AS286" s="49">
        <f ca="1">HM_ZD_Moho!CA_decom_to_recover+(AR288*(1+int_rate_cf_costs))</f>
        <v>0</v>
      </c>
      <c r="AT286" s="49">
        <f ca="1">HM_ZD_Moho!CA_decom_to_recover+(AS288*(1+int_rate_cf_costs))</f>
        <v>0</v>
      </c>
      <c r="AU286" s="49">
        <f ca="1">HM_ZD_Moho!CA_decom_to_recover+(AT288*(1+int_rate_cf_costs))</f>
        <v>0</v>
      </c>
      <c r="AV286" s="49">
        <f ca="1">HM_ZD_Moho!CA_decom_to_recover+(AU288*(1+int_rate_cf_costs))</f>
        <v>0</v>
      </c>
      <c r="AW286" s="49">
        <f ca="1">HM_ZD_Moho!CA_decom_to_recover+(AV288*(1+int_rate_cf_costs))</f>
        <v>0</v>
      </c>
      <c r="AX286" s="49">
        <f ca="1">HM_ZD_Moho!CA_decom_to_recover+(AW288*(1+int_rate_cf_costs))</f>
        <v>0</v>
      </c>
      <c r="AY286" s="49">
        <f ca="1">HM_ZD_Moho!CA_decom_to_recover+(AX288*(1+int_rate_cf_costs))</f>
        <v>0</v>
      </c>
      <c r="AZ286" s="49">
        <f ca="1">HM_ZD_Moho!CA_decom_to_recover+(AY288*(1+int_rate_cf_costs))</f>
        <v>0</v>
      </c>
      <c r="BA286" s="49">
        <f ca="1">HM_ZD_Moho!CA_decom_to_recover+(AZ288*(1+int_rate_cf_costs))</f>
        <v>0</v>
      </c>
      <c r="BB286" s="49">
        <f ca="1">HM_ZD_Moho!CA_decom_to_recover+(BA288*(1+int_rate_cf_costs))</f>
        <v>0</v>
      </c>
      <c r="BC286" s="49">
        <f ca="1">HM_ZD_Moho!CA_decom_to_recover+(BB288*(1+int_rate_cf_costs))</f>
        <v>0</v>
      </c>
      <c r="BD286" s="49">
        <f ca="1">HM_ZD_Moho!CA_decom_to_recover+(BC288*(1+int_rate_cf_costs))</f>
        <v>0</v>
      </c>
      <c r="BE286" s="49">
        <f ca="1">HM_ZD_Moho!CA_decom_to_recover+(BD288*(1+int_rate_cf_costs))</f>
        <v>0</v>
      </c>
      <c r="BF286" s="49">
        <f ca="1">HM_ZD_Moho!CA_decom_to_recover+(BE288*(1+int_rate_cf_costs))</f>
        <v>0</v>
      </c>
      <c r="BG286" s="49">
        <f ca="1">HM_ZD_Moho!CA_decom_to_recover+(BF288*(1+int_rate_cf_costs))</f>
        <v>0</v>
      </c>
      <c r="BH286" s="49">
        <f ca="1">HM_ZD_Moho!CA_decom_to_recover+(BG288*(1+int_rate_cf_costs))</f>
        <v>0</v>
      </c>
      <c r="BI286" s="49">
        <f ca="1">HM_ZD_Moho!CA_decom_to_recover+(BH288*(1+int_rate_cf_costs))</f>
        <v>0</v>
      </c>
      <c r="BJ286" s="49">
        <f ca="1">HM_ZD_Moho!CA_decom_to_recover+(BI288*(1+int_rate_cf_costs))</f>
        <v>0</v>
      </c>
      <c r="BK286" s="49">
        <f ca="1">HM_ZD_Moho!CA_decom_to_recover+(BJ288*(1+int_rate_cf_costs))</f>
        <v>0</v>
      </c>
      <c r="BL286" s="49">
        <f ca="1">HM_ZD_Moho!CA_decom_to_recover+(BK288*(1+int_rate_cf_costs))</f>
        <v>0</v>
      </c>
      <c r="BM286" s="49">
        <f ca="1">HM_ZD_Moho!CA_decom_to_recover+(BL288*(1+int_rate_cf_costs))</f>
        <v>0</v>
      </c>
      <c r="BN286" s="49">
        <f ca="1">HM_ZD_Moho!CA_decom_to_recover+(BM288*(1+int_rate_cf_costs))</f>
        <v>0</v>
      </c>
      <c r="BO286" s="49">
        <f ca="1">HM_ZD_Moho!CA_decom_to_recover+(BN288*(1+int_rate_cf_costs))</f>
        <v>0</v>
      </c>
      <c r="BP286" s="49">
        <f ca="1">HM_ZD_Moho!CA_decom_to_recover+(BO288*(1+int_rate_cf_costs))</f>
        <v>0</v>
      </c>
      <c r="BQ286" s="49">
        <f ca="1">HM_ZD_Moho!CA_decom_to_recover+(BP288*(1+int_rate_cf_costs))</f>
        <v>0</v>
      </c>
      <c r="BR286" s="49">
        <f ca="1">HM_ZD_Moho!CA_decom_to_recover+(BQ288*(1+int_rate_cf_costs))</f>
        <v>0</v>
      </c>
      <c r="BS286" s="49">
        <f ca="1">HM_ZD_Moho!CA_decom_to_recover+(BR288*(1+int_rate_cf_costs))</f>
        <v>0</v>
      </c>
    </row>
    <row r="287" spans="4:71" outlineLevel="1" x14ac:dyDescent="0.2">
      <c r="E287" t="str">
        <f>HM_ZB_Nsoko!E272</f>
        <v>Abandon récupérées</v>
      </c>
      <c r="H287" s="56" t="b">
        <f ca="1">ROUND(I287,2)=-ROUND(I286,2)</f>
        <v>1</v>
      </c>
      <c r="I287" s="30">
        <f t="shared" ca="1" si="181"/>
        <v>0</v>
      </c>
      <c r="J287" s="26" t="s">
        <v>148</v>
      </c>
      <c r="L287" s="49">
        <f ca="1">-MIN(L286,L285)</f>
        <v>0</v>
      </c>
      <c r="M287" s="49">
        <f t="shared" ref="M287:BS287" ca="1" si="182">-MIN(M286,M285)</f>
        <v>0</v>
      </c>
      <c r="N287" s="49">
        <f t="shared" ca="1" si="182"/>
        <v>0</v>
      </c>
      <c r="O287" s="49">
        <f t="shared" ca="1" si="182"/>
        <v>0</v>
      </c>
      <c r="P287" s="49">
        <f t="shared" ca="1" si="182"/>
        <v>0</v>
      </c>
      <c r="Q287" s="49">
        <f t="shared" ca="1" si="182"/>
        <v>0</v>
      </c>
      <c r="R287" s="49">
        <f t="shared" ca="1" si="182"/>
        <v>0</v>
      </c>
      <c r="S287" s="49">
        <f t="shared" ca="1" si="182"/>
        <v>0</v>
      </c>
      <c r="T287" s="49">
        <f t="shared" ca="1" si="182"/>
        <v>0</v>
      </c>
      <c r="U287" s="49">
        <f t="shared" ca="1" si="182"/>
        <v>0</v>
      </c>
      <c r="V287" s="49">
        <f t="shared" ca="1" si="182"/>
        <v>0</v>
      </c>
      <c r="W287" s="49">
        <f t="shared" ca="1" si="182"/>
        <v>0</v>
      </c>
      <c r="X287" s="49">
        <f t="shared" ca="1" si="182"/>
        <v>0</v>
      </c>
      <c r="Y287" s="49">
        <f t="shared" ca="1" si="182"/>
        <v>0</v>
      </c>
      <c r="Z287" s="49">
        <f t="shared" ca="1" si="182"/>
        <v>0</v>
      </c>
      <c r="AA287" s="49">
        <f t="shared" ca="1" si="182"/>
        <v>0</v>
      </c>
      <c r="AB287" s="49">
        <f t="shared" ca="1" si="182"/>
        <v>0</v>
      </c>
      <c r="AC287" s="49">
        <f t="shared" ca="1" si="182"/>
        <v>0</v>
      </c>
      <c r="AD287" s="49">
        <f t="shared" ca="1" si="182"/>
        <v>0</v>
      </c>
      <c r="AE287" s="49">
        <f t="shared" ca="1" si="182"/>
        <v>0</v>
      </c>
      <c r="AF287" s="49">
        <f t="shared" ca="1" si="182"/>
        <v>0</v>
      </c>
      <c r="AG287" s="49">
        <f t="shared" ca="1" si="182"/>
        <v>0</v>
      </c>
      <c r="AH287" s="49">
        <f t="shared" ca="1" si="182"/>
        <v>0</v>
      </c>
      <c r="AI287" s="49">
        <f t="shared" ca="1" si="182"/>
        <v>0</v>
      </c>
      <c r="AJ287" s="49">
        <f t="shared" ca="1" si="182"/>
        <v>0</v>
      </c>
      <c r="AK287" s="49">
        <f t="shared" ca="1" si="182"/>
        <v>0</v>
      </c>
      <c r="AL287" s="49">
        <f t="shared" ca="1" si="182"/>
        <v>0</v>
      </c>
      <c r="AM287" s="49">
        <f t="shared" ca="1" si="182"/>
        <v>0</v>
      </c>
      <c r="AN287" s="49">
        <f t="shared" ca="1" si="182"/>
        <v>0</v>
      </c>
      <c r="AO287" s="49">
        <f t="shared" ca="1" si="182"/>
        <v>0</v>
      </c>
      <c r="AP287" s="49">
        <f t="shared" ca="1" si="182"/>
        <v>0</v>
      </c>
      <c r="AQ287" s="49">
        <f t="shared" ca="1" si="182"/>
        <v>0</v>
      </c>
      <c r="AR287" s="49">
        <f t="shared" ca="1" si="182"/>
        <v>0</v>
      </c>
      <c r="AS287" s="49">
        <f t="shared" ca="1" si="182"/>
        <v>0</v>
      </c>
      <c r="AT287" s="49">
        <f t="shared" ca="1" si="182"/>
        <v>0</v>
      </c>
      <c r="AU287" s="49">
        <f t="shared" ca="1" si="182"/>
        <v>0</v>
      </c>
      <c r="AV287" s="49">
        <f t="shared" ca="1" si="182"/>
        <v>0</v>
      </c>
      <c r="AW287" s="49">
        <f t="shared" ca="1" si="182"/>
        <v>0</v>
      </c>
      <c r="AX287" s="49">
        <f t="shared" ca="1" si="182"/>
        <v>0</v>
      </c>
      <c r="AY287" s="49">
        <f t="shared" ca="1" si="182"/>
        <v>0</v>
      </c>
      <c r="AZ287" s="49">
        <f t="shared" ca="1" si="182"/>
        <v>0</v>
      </c>
      <c r="BA287" s="49">
        <f t="shared" ca="1" si="182"/>
        <v>0</v>
      </c>
      <c r="BB287" s="49">
        <f t="shared" ca="1" si="182"/>
        <v>0</v>
      </c>
      <c r="BC287" s="49">
        <f t="shared" ca="1" si="182"/>
        <v>0</v>
      </c>
      <c r="BD287" s="49">
        <f t="shared" ca="1" si="182"/>
        <v>0</v>
      </c>
      <c r="BE287" s="49">
        <f t="shared" ca="1" si="182"/>
        <v>0</v>
      </c>
      <c r="BF287" s="49">
        <f t="shared" ca="1" si="182"/>
        <v>0</v>
      </c>
      <c r="BG287" s="49">
        <f t="shared" ca="1" si="182"/>
        <v>0</v>
      </c>
      <c r="BH287" s="49">
        <f t="shared" ca="1" si="182"/>
        <v>0</v>
      </c>
      <c r="BI287" s="49">
        <f t="shared" ca="1" si="182"/>
        <v>0</v>
      </c>
      <c r="BJ287" s="49">
        <f t="shared" ca="1" si="182"/>
        <v>0</v>
      </c>
      <c r="BK287" s="49">
        <f t="shared" ca="1" si="182"/>
        <v>0</v>
      </c>
      <c r="BL287" s="49">
        <f t="shared" ca="1" si="182"/>
        <v>0</v>
      </c>
      <c r="BM287" s="49">
        <f t="shared" ca="1" si="182"/>
        <v>0</v>
      </c>
      <c r="BN287" s="49">
        <f t="shared" ca="1" si="182"/>
        <v>0</v>
      </c>
      <c r="BO287" s="49">
        <f t="shared" ca="1" si="182"/>
        <v>0</v>
      </c>
      <c r="BP287" s="49">
        <f t="shared" ca="1" si="182"/>
        <v>0</v>
      </c>
      <c r="BQ287" s="49">
        <f t="shared" ca="1" si="182"/>
        <v>0</v>
      </c>
      <c r="BR287" s="49">
        <f t="shared" ca="1" si="182"/>
        <v>0</v>
      </c>
      <c r="BS287" s="49">
        <f t="shared" ca="1" si="182"/>
        <v>0</v>
      </c>
    </row>
    <row r="288" spans="4:71" outlineLevel="1" x14ac:dyDescent="0.2">
      <c r="E288" t="str">
        <f>HM_ZB_Nsoko!E273</f>
        <v xml:space="preserve">Sous/(Sur)récupération </v>
      </c>
      <c r="J288" s="26"/>
      <c r="L288" s="49">
        <f ca="1">L286+L287</f>
        <v>0</v>
      </c>
      <c r="M288" s="49">
        <f t="shared" ref="M288:BS288" ca="1" si="183">M286+M287</f>
        <v>0</v>
      </c>
      <c r="N288" s="49">
        <f t="shared" ca="1" si="183"/>
        <v>0</v>
      </c>
      <c r="O288" s="49">
        <f t="shared" ca="1" si="183"/>
        <v>0</v>
      </c>
      <c r="P288" s="49">
        <f t="shared" ca="1" si="183"/>
        <v>0</v>
      </c>
      <c r="Q288" s="49">
        <f t="shared" ca="1" si="183"/>
        <v>0</v>
      </c>
      <c r="R288" s="49">
        <f t="shared" ca="1" si="183"/>
        <v>0</v>
      </c>
      <c r="S288" s="49">
        <f t="shared" ca="1" si="183"/>
        <v>0</v>
      </c>
      <c r="T288" s="49">
        <f t="shared" ca="1" si="183"/>
        <v>0</v>
      </c>
      <c r="U288" s="49">
        <f t="shared" ca="1" si="183"/>
        <v>0</v>
      </c>
      <c r="V288" s="49">
        <f t="shared" ca="1" si="183"/>
        <v>0</v>
      </c>
      <c r="W288" s="49">
        <f t="shared" ca="1" si="183"/>
        <v>0</v>
      </c>
      <c r="X288" s="49">
        <f t="shared" ca="1" si="183"/>
        <v>0</v>
      </c>
      <c r="Y288" s="49">
        <f t="shared" ca="1" si="183"/>
        <v>0</v>
      </c>
      <c r="Z288" s="49">
        <f t="shared" ca="1" si="183"/>
        <v>0</v>
      </c>
      <c r="AA288" s="49">
        <f t="shared" ca="1" si="183"/>
        <v>0</v>
      </c>
      <c r="AB288" s="49">
        <f t="shared" ca="1" si="183"/>
        <v>0</v>
      </c>
      <c r="AC288" s="49">
        <f t="shared" ca="1" si="183"/>
        <v>0</v>
      </c>
      <c r="AD288" s="49">
        <f t="shared" ca="1" si="183"/>
        <v>0</v>
      </c>
      <c r="AE288" s="49">
        <f t="shared" ca="1" si="183"/>
        <v>0</v>
      </c>
      <c r="AF288" s="49">
        <f t="shared" ca="1" si="183"/>
        <v>0</v>
      </c>
      <c r="AG288" s="49">
        <f t="shared" ca="1" si="183"/>
        <v>0</v>
      </c>
      <c r="AH288" s="49">
        <f t="shared" ca="1" si="183"/>
        <v>0</v>
      </c>
      <c r="AI288" s="49">
        <f t="shared" ca="1" si="183"/>
        <v>0</v>
      </c>
      <c r="AJ288" s="49">
        <f t="shared" ca="1" si="183"/>
        <v>0</v>
      </c>
      <c r="AK288" s="49">
        <f t="shared" ca="1" si="183"/>
        <v>0</v>
      </c>
      <c r="AL288" s="49">
        <f t="shared" ca="1" si="183"/>
        <v>0</v>
      </c>
      <c r="AM288" s="49">
        <f t="shared" ca="1" si="183"/>
        <v>0</v>
      </c>
      <c r="AN288" s="49">
        <f t="shared" ca="1" si="183"/>
        <v>0</v>
      </c>
      <c r="AO288" s="49">
        <f t="shared" ca="1" si="183"/>
        <v>0</v>
      </c>
      <c r="AP288" s="49">
        <f t="shared" ca="1" si="183"/>
        <v>0</v>
      </c>
      <c r="AQ288" s="49">
        <f t="shared" ca="1" si="183"/>
        <v>0</v>
      </c>
      <c r="AR288" s="49">
        <f t="shared" ca="1" si="183"/>
        <v>0</v>
      </c>
      <c r="AS288" s="49">
        <f t="shared" ca="1" si="183"/>
        <v>0</v>
      </c>
      <c r="AT288" s="49">
        <f t="shared" ca="1" si="183"/>
        <v>0</v>
      </c>
      <c r="AU288" s="49">
        <f t="shared" ca="1" si="183"/>
        <v>0</v>
      </c>
      <c r="AV288" s="49">
        <f t="shared" ca="1" si="183"/>
        <v>0</v>
      </c>
      <c r="AW288" s="49">
        <f t="shared" ca="1" si="183"/>
        <v>0</v>
      </c>
      <c r="AX288" s="49">
        <f t="shared" ca="1" si="183"/>
        <v>0</v>
      </c>
      <c r="AY288" s="49">
        <f t="shared" ca="1" si="183"/>
        <v>0</v>
      </c>
      <c r="AZ288" s="49">
        <f t="shared" ca="1" si="183"/>
        <v>0</v>
      </c>
      <c r="BA288" s="49">
        <f t="shared" ca="1" si="183"/>
        <v>0</v>
      </c>
      <c r="BB288" s="49">
        <f t="shared" ca="1" si="183"/>
        <v>0</v>
      </c>
      <c r="BC288" s="49">
        <f t="shared" ca="1" si="183"/>
        <v>0</v>
      </c>
      <c r="BD288" s="49">
        <f t="shared" ca="1" si="183"/>
        <v>0</v>
      </c>
      <c r="BE288" s="49">
        <f t="shared" ca="1" si="183"/>
        <v>0</v>
      </c>
      <c r="BF288" s="49">
        <f t="shared" ca="1" si="183"/>
        <v>0</v>
      </c>
      <c r="BG288" s="49">
        <f t="shared" ca="1" si="183"/>
        <v>0</v>
      </c>
      <c r="BH288" s="49">
        <f t="shared" ca="1" si="183"/>
        <v>0</v>
      </c>
      <c r="BI288" s="49">
        <f t="shared" ca="1" si="183"/>
        <v>0</v>
      </c>
      <c r="BJ288" s="49">
        <f t="shared" ca="1" si="183"/>
        <v>0</v>
      </c>
      <c r="BK288" s="49">
        <f t="shared" ca="1" si="183"/>
        <v>0</v>
      </c>
      <c r="BL288" s="49">
        <f t="shared" ca="1" si="183"/>
        <v>0</v>
      </c>
      <c r="BM288" s="49">
        <f t="shared" ca="1" si="183"/>
        <v>0</v>
      </c>
      <c r="BN288" s="49">
        <f t="shared" ca="1" si="183"/>
        <v>0</v>
      </c>
      <c r="BO288" s="49">
        <f t="shared" ca="1" si="183"/>
        <v>0</v>
      </c>
      <c r="BP288" s="49">
        <f t="shared" ca="1" si="183"/>
        <v>0</v>
      </c>
      <c r="BQ288" s="49">
        <f t="shared" ca="1" si="183"/>
        <v>0</v>
      </c>
      <c r="BR288" s="49">
        <f t="shared" ca="1" si="183"/>
        <v>0</v>
      </c>
      <c r="BS288" s="49">
        <f t="shared" ca="1" si="183"/>
        <v>0</v>
      </c>
    </row>
    <row r="289" spans="3:71" outlineLevel="1" x14ac:dyDescent="0.2">
      <c r="J289" s="26"/>
      <c r="L289" s="55"/>
      <c r="M289" s="55"/>
      <c r="N289" s="55"/>
      <c r="O289" s="55"/>
      <c r="P289" s="55"/>
      <c r="Q289" s="55"/>
      <c r="R289" s="55"/>
      <c r="S289" s="55"/>
      <c r="T289" s="55"/>
      <c r="U289" s="55"/>
      <c r="V289" s="55"/>
      <c r="W289" s="55"/>
      <c r="X289" s="55"/>
      <c r="Y289" s="55"/>
      <c r="Z289" s="55"/>
      <c r="AA289" s="55"/>
      <c r="AB289" s="55"/>
      <c r="AC289" s="55"/>
      <c r="AD289" s="55"/>
      <c r="AE289" s="55"/>
      <c r="AF289" s="55"/>
      <c r="AG289" s="55"/>
      <c r="AH289" s="55"/>
      <c r="AI289" s="55"/>
      <c r="AJ289" s="55"/>
      <c r="AK289" s="55"/>
      <c r="AL289" s="55"/>
      <c r="AM289" s="55"/>
      <c r="AN289" s="55"/>
      <c r="AO289" s="55"/>
      <c r="AP289" s="55"/>
      <c r="AQ289" s="55"/>
      <c r="AR289" s="55"/>
      <c r="AS289" s="55"/>
      <c r="AT289" s="55"/>
      <c r="AU289" s="55"/>
      <c r="AV289" s="55"/>
      <c r="AW289" s="55"/>
      <c r="AX289" s="55"/>
      <c r="AY289" s="55"/>
      <c r="AZ289" s="55"/>
      <c r="BA289" s="55"/>
      <c r="BB289" s="55"/>
      <c r="BC289" s="55"/>
      <c r="BD289" s="55"/>
      <c r="BE289" s="55"/>
      <c r="BF289" s="55"/>
      <c r="BG289" s="55"/>
      <c r="BH289" s="55"/>
      <c r="BI289" s="55"/>
      <c r="BJ289" s="55"/>
      <c r="BK289" s="55"/>
      <c r="BL289" s="55"/>
      <c r="BM289" s="55"/>
      <c r="BN289" s="55"/>
      <c r="BO289" s="55"/>
      <c r="BP289" s="55"/>
      <c r="BQ289" s="55"/>
      <c r="BR289" s="55"/>
      <c r="BS289" s="55"/>
    </row>
    <row r="290" spans="3:71" outlineLevel="1" x14ac:dyDescent="0.2">
      <c r="J290" s="26"/>
      <c r="L290" s="55"/>
      <c r="M290" s="55"/>
      <c r="N290" s="55"/>
      <c r="O290" s="55"/>
      <c r="P290" s="55"/>
      <c r="Q290" s="55"/>
      <c r="R290" s="55"/>
      <c r="S290" s="55"/>
      <c r="T290" s="55"/>
      <c r="U290" s="55"/>
      <c r="V290" s="55"/>
      <c r="W290" s="55"/>
      <c r="X290" s="55"/>
      <c r="Y290" s="55"/>
      <c r="Z290" s="55"/>
      <c r="AA290" s="55"/>
      <c r="AB290" s="55"/>
      <c r="AC290" s="55"/>
      <c r="AD290" s="55"/>
      <c r="AE290" s="55"/>
      <c r="AF290" s="55"/>
      <c r="AG290" s="55"/>
      <c r="AH290" s="55"/>
      <c r="AI290" s="55"/>
      <c r="AJ290" s="55"/>
      <c r="AK290" s="55"/>
      <c r="AL290" s="55"/>
      <c r="AM290" s="55"/>
      <c r="AN290" s="55"/>
      <c r="AO290" s="55"/>
      <c r="AP290" s="55"/>
      <c r="AQ290" s="55"/>
      <c r="AR290" s="55"/>
      <c r="AS290" s="55"/>
      <c r="AT290" s="55"/>
      <c r="AU290" s="55"/>
      <c r="AV290" s="55"/>
      <c r="AW290" s="55"/>
      <c r="AX290" s="55"/>
      <c r="AY290" s="55"/>
      <c r="AZ290" s="55"/>
      <c r="BA290" s="55"/>
      <c r="BB290" s="55"/>
      <c r="BC290" s="55"/>
      <c r="BD290" s="55"/>
      <c r="BE290" s="55"/>
      <c r="BF290" s="55"/>
      <c r="BG290" s="55"/>
      <c r="BH290" s="55"/>
      <c r="BI290" s="55"/>
      <c r="BJ290" s="55"/>
      <c r="BK290" s="55"/>
      <c r="BL290" s="55"/>
      <c r="BM290" s="55"/>
      <c r="BN290" s="55"/>
      <c r="BO290" s="55"/>
      <c r="BP290" s="55"/>
      <c r="BQ290" s="55"/>
      <c r="BR290" s="55"/>
      <c r="BS290" s="55"/>
    </row>
    <row r="291" spans="3:71" outlineLevel="1" x14ac:dyDescent="0.2">
      <c r="D291" s="11" t="str">
        <f>HM_ZB_Nsoko!D276</f>
        <v>Coût total récupéré</v>
      </c>
      <c r="H291" s="56" t="b">
        <f ca="1">ROUND(I291,2)=ROUND(I245,2)</f>
        <v>0</v>
      </c>
      <c r="I291" s="30">
        <f t="shared" ca="1" si="178"/>
        <v>18648.729335122542</v>
      </c>
      <c r="J291" s="26" t="s">
        <v>148</v>
      </c>
      <c r="K291" s="7" t="s">
        <v>208</v>
      </c>
      <c r="L291" s="49">
        <f ca="1">-SUM(L287,L281,L275,L269,L263)</f>
        <v>263.98577304099854</v>
      </c>
      <c r="M291" s="49">
        <f t="shared" ref="M291:BS291" ca="1" si="184">-SUM(M287,M281,M275,M269,M263)</f>
        <v>281.22048053530517</v>
      </c>
      <c r="N291" s="49">
        <f t="shared" ca="1" si="184"/>
        <v>514.5329360149999</v>
      </c>
      <c r="O291" s="49">
        <f t="shared" ca="1" si="184"/>
        <v>442.17078812339997</v>
      </c>
      <c r="P291" s="49">
        <f t="shared" ca="1" si="184"/>
        <v>1240.6546990943002</v>
      </c>
      <c r="Q291" s="49">
        <f t="shared" ca="1" si="184"/>
        <v>2510.1261486980002</v>
      </c>
      <c r="R291" s="49">
        <f t="shared" ca="1" si="184"/>
        <v>2467.0315394235004</v>
      </c>
      <c r="S291" s="49">
        <f t="shared" ca="1" si="184"/>
        <v>1473.0161082</v>
      </c>
      <c r="T291" s="49">
        <f t="shared" ca="1" si="184"/>
        <v>2253.8681044588798</v>
      </c>
      <c r="U291" s="49">
        <f t="shared" ca="1" si="184"/>
        <v>2249.9240792363998</v>
      </c>
      <c r="V291" s="49">
        <f t="shared" ca="1" si="184"/>
        <v>2134.2779815636486</v>
      </c>
      <c r="W291" s="49">
        <f t="shared" ca="1" si="184"/>
        <v>1446.1257809366264</v>
      </c>
      <c r="X291" s="49">
        <f t="shared" ca="1" si="184"/>
        <v>1371.794915796484</v>
      </c>
      <c r="Y291" s="49">
        <f t="shared" ca="1" si="184"/>
        <v>0</v>
      </c>
      <c r="Z291" s="49">
        <f t="shared" ca="1" si="184"/>
        <v>0</v>
      </c>
      <c r="AA291" s="49">
        <f t="shared" ca="1" si="184"/>
        <v>0</v>
      </c>
      <c r="AB291" s="49">
        <f t="shared" ca="1" si="184"/>
        <v>0</v>
      </c>
      <c r="AC291" s="49">
        <f t="shared" ca="1" si="184"/>
        <v>0</v>
      </c>
      <c r="AD291" s="49">
        <f t="shared" ca="1" si="184"/>
        <v>0</v>
      </c>
      <c r="AE291" s="49">
        <f t="shared" ca="1" si="184"/>
        <v>0</v>
      </c>
      <c r="AF291" s="49">
        <f t="shared" ca="1" si="184"/>
        <v>0</v>
      </c>
      <c r="AG291" s="49">
        <f t="shared" ca="1" si="184"/>
        <v>0</v>
      </c>
      <c r="AH291" s="49">
        <f t="shared" ca="1" si="184"/>
        <v>0</v>
      </c>
      <c r="AI291" s="49">
        <f t="shared" ca="1" si="184"/>
        <v>0</v>
      </c>
      <c r="AJ291" s="49">
        <f t="shared" ca="1" si="184"/>
        <v>0</v>
      </c>
      <c r="AK291" s="49">
        <f t="shared" ca="1" si="184"/>
        <v>0</v>
      </c>
      <c r="AL291" s="49">
        <f t="shared" ca="1" si="184"/>
        <v>0</v>
      </c>
      <c r="AM291" s="49">
        <f t="shared" ca="1" si="184"/>
        <v>0</v>
      </c>
      <c r="AN291" s="49">
        <f t="shared" ca="1" si="184"/>
        <v>0</v>
      </c>
      <c r="AO291" s="49">
        <f t="shared" ca="1" si="184"/>
        <v>0</v>
      </c>
      <c r="AP291" s="49">
        <f t="shared" ca="1" si="184"/>
        <v>0</v>
      </c>
      <c r="AQ291" s="49">
        <f t="shared" ca="1" si="184"/>
        <v>0</v>
      </c>
      <c r="AR291" s="49">
        <f t="shared" ca="1" si="184"/>
        <v>0</v>
      </c>
      <c r="AS291" s="49">
        <f t="shared" ca="1" si="184"/>
        <v>0</v>
      </c>
      <c r="AT291" s="49">
        <f t="shared" ca="1" si="184"/>
        <v>0</v>
      </c>
      <c r="AU291" s="49">
        <f t="shared" ca="1" si="184"/>
        <v>0</v>
      </c>
      <c r="AV291" s="49">
        <f t="shared" ca="1" si="184"/>
        <v>0</v>
      </c>
      <c r="AW291" s="49">
        <f t="shared" ca="1" si="184"/>
        <v>0</v>
      </c>
      <c r="AX291" s="49">
        <f t="shared" ca="1" si="184"/>
        <v>0</v>
      </c>
      <c r="AY291" s="49">
        <f t="shared" ca="1" si="184"/>
        <v>0</v>
      </c>
      <c r="AZ291" s="49">
        <f t="shared" ca="1" si="184"/>
        <v>0</v>
      </c>
      <c r="BA291" s="49">
        <f t="shared" ca="1" si="184"/>
        <v>0</v>
      </c>
      <c r="BB291" s="49">
        <f t="shared" ca="1" si="184"/>
        <v>0</v>
      </c>
      <c r="BC291" s="49">
        <f t="shared" ca="1" si="184"/>
        <v>0</v>
      </c>
      <c r="BD291" s="49">
        <f t="shared" ca="1" si="184"/>
        <v>0</v>
      </c>
      <c r="BE291" s="49">
        <f t="shared" ca="1" si="184"/>
        <v>0</v>
      </c>
      <c r="BF291" s="49">
        <f t="shared" ca="1" si="184"/>
        <v>0</v>
      </c>
      <c r="BG291" s="49">
        <f t="shared" ca="1" si="184"/>
        <v>0</v>
      </c>
      <c r="BH291" s="49">
        <f t="shared" ca="1" si="184"/>
        <v>0</v>
      </c>
      <c r="BI291" s="49">
        <f t="shared" ca="1" si="184"/>
        <v>0</v>
      </c>
      <c r="BJ291" s="49">
        <f t="shared" ca="1" si="184"/>
        <v>0</v>
      </c>
      <c r="BK291" s="49">
        <f t="shared" ca="1" si="184"/>
        <v>0</v>
      </c>
      <c r="BL291" s="49">
        <f t="shared" ca="1" si="184"/>
        <v>0</v>
      </c>
      <c r="BM291" s="49">
        <f t="shared" ca="1" si="184"/>
        <v>0</v>
      </c>
      <c r="BN291" s="49">
        <f t="shared" ca="1" si="184"/>
        <v>0</v>
      </c>
      <c r="BO291" s="49">
        <f t="shared" ca="1" si="184"/>
        <v>0</v>
      </c>
      <c r="BP291" s="49">
        <f t="shared" ca="1" si="184"/>
        <v>0</v>
      </c>
      <c r="BQ291" s="49">
        <f t="shared" ca="1" si="184"/>
        <v>0</v>
      </c>
      <c r="BR291" s="49">
        <f t="shared" ca="1" si="184"/>
        <v>0</v>
      </c>
      <c r="BS291" s="49">
        <f t="shared" ca="1" si="184"/>
        <v>0</v>
      </c>
    </row>
    <row r="292" spans="3:71" outlineLevel="1" x14ac:dyDescent="0.2">
      <c r="J292" s="26"/>
      <c r="L292" s="55"/>
      <c r="M292" s="55"/>
      <c r="N292" s="55"/>
      <c r="O292" s="55"/>
      <c r="P292" s="55"/>
      <c r="Q292" s="55"/>
      <c r="R292" s="55"/>
      <c r="S292" s="55"/>
      <c r="T292" s="55"/>
      <c r="U292" s="55"/>
      <c r="V292" s="55"/>
      <c r="W292" s="55"/>
      <c r="X292" s="55"/>
      <c r="Y292" s="55"/>
      <c r="Z292" s="55"/>
      <c r="AA292" s="55"/>
      <c r="AB292" s="55"/>
      <c r="AC292" s="55"/>
      <c r="AD292" s="55"/>
      <c r="AE292" s="55"/>
      <c r="AF292" s="55"/>
      <c r="AG292" s="55"/>
      <c r="AH292" s="55"/>
      <c r="AI292" s="55"/>
      <c r="AJ292" s="55"/>
      <c r="AK292" s="55"/>
      <c r="AL292" s="55"/>
      <c r="AM292" s="55"/>
      <c r="AN292" s="55"/>
      <c r="AO292" s="55"/>
      <c r="AP292" s="55"/>
      <c r="AQ292" s="55"/>
      <c r="AR292" s="55"/>
      <c r="AS292" s="55"/>
      <c r="AT292" s="55"/>
      <c r="AU292" s="55"/>
      <c r="AV292" s="55"/>
      <c r="AW292" s="55"/>
      <c r="AX292" s="55"/>
      <c r="AY292" s="55"/>
      <c r="AZ292" s="55"/>
      <c r="BA292" s="55"/>
      <c r="BB292" s="55"/>
      <c r="BC292" s="55"/>
      <c r="BD292" s="55"/>
      <c r="BE292" s="55"/>
      <c r="BF292" s="55"/>
      <c r="BG292" s="55"/>
      <c r="BH292" s="55"/>
      <c r="BI292" s="55"/>
      <c r="BJ292" s="55"/>
      <c r="BK292" s="55"/>
      <c r="BL292" s="55"/>
      <c r="BM292" s="55"/>
      <c r="BN292" s="55"/>
      <c r="BO292" s="55"/>
      <c r="BP292" s="55"/>
      <c r="BQ292" s="55"/>
      <c r="BR292" s="55"/>
      <c r="BS292" s="55"/>
    </row>
    <row r="293" spans="3:71" outlineLevel="1" x14ac:dyDescent="0.2">
      <c r="C293" s="11" t="str">
        <f>HM_ZB_Nsoko!C278</f>
        <v>Excess Cost Oil (ECO)</v>
      </c>
      <c r="J293" s="26"/>
      <c r="L293" s="55"/>
      <c r="M293" s="55"/>
      <c r="N293" s="55"/>
      <c r="O293" s="55"/>
      <c r="P293" s="55"/>
      <c r="Q293" s="55"/>
      <c r="R293" s="55"/>
      <c r="S293" s="55"/>
      <c r="T293" s="55"/>
      <c r="U293" s="55"/>
      <c r="V293" s="55"/>
      <c r="W293" s="55"/>
      <c r="X293" s="55"/>
      <c r="Y293" s="55"/>
      <c r="Z293" s="55"/>
      <c r="AA293" s="55"/>
      <c r="AB293" s="55"/>
      <c r="AC293" s="55"/>
      <c r="AD293" s="55"/>
      <c r="AE293" s="55"/>
      <c r="AF293" s="55"/>
      <c r="AG293" s="55"/>
      <c r="AH293" s="55"/>
      <c r="AI293" s="55"/>
      <c r="AJ293" s="55"/>
      <c r="AK293" s="55"/>
      <c r="AL293" s="55"/>
      <c r="AM293" s="55"/>
      <c r="AN293" s="55"/>
      <c r="AO293" s="55"/>
      <c r="AP293" s="55"/>
      <c r="AQ293" s="55"/>
      <c r="AR293" s="55"/>
      <c r="AS293" s="55"/>
      <c r="AT293" s="55"/>
      <c r="AU293" s="55"/>
      <c r="AV293" s="55"/>
      <c r="AW293" s="55"/>
      <c r="AX293" s="55"/>
      <c r="AY293" s="55"/>
      <c r="AZ293" s="55"/>
      <c r="BA293" s="55"/>
      <c r="BB293" s="55"/>
      <c r="BC293" s="55"/>
      <c r="BD293" s="55"/>
      <c r="BE293" s="55"/>
      <c r="BF293" s="55"/>
      <c r="BG293" s="55"/>
      <c r="BH293" s="55"/>
      <c r="BI293" s="55"/>
      <c r="BJ293" s="55"/>
      <c r="BK293" s="55"/>
      <c r="BL293" s="55"/>
      <c r="BM293" s="55"/>
      <c r="BN293" s="55"/>
      <c r="BO293" s="55"/>
      <c r="BP293" s="55"/>
      <c r="BQ293" s="55"/>
      <c r="BR293" s="55"/>
      <c r="BS293" s="55"/>
    </row>
    <row r="294" spans="3:71" outlineLevel="1" x14ac:dyDescent="0.2">
      <c r="D294" t="str">
        <f>HM_ZB_Nsoko!D279</f>
        <v>Revenus disponibles pour le partage de l'Excess Cost oil</v>
      </c>
      <c r="I294" s="30">
        <f t="shared" ref="I294:I297" ca="1" si="185">SUM($L294:$BS294)</f>
        <v>0</v>
      </c>
      <c r="J294" s="26" t="s">
        <v>148</v>
      </c>
      <c r="K294" s="7" t="s">
        <v>210</v>
      </c>
      <c r="L294" s="49">
        <f ca="1">HM_ZD_AM3_2005!L271</f>
        <v>0</v>
      </c>
      <c r="M294" s="49">
        <f ca="1">HM_ZD_AM3_2005!M271</f>
        <v>0</v>
      </c>
      <c r="N294" s="49">
        <f ca="1">MAX(IF(HM_ZD_Moho!CA_FP_oil_nom&lt;HM_ZD_Moho!CA_CS_HP_oil_nom,N251*HM_ZD_Moho!CA_gross_rev_total_fp,N251*HM_ZD_Moho!CA_gross_rev_total_fp*(HM_ZD_Moho!CA_CS_HP_oil_nom/HM_ZD_Moho!CA_FP_oil_nom))
-HM_ZD_Moho!CA_cost_recovered_total-MAX(HM_ZD_Moho!CA_gco-HM_ZD_Moho!CA_cost_recovered_total,0),0)</f>
        <v>0</v>
      </c>
      <c r="O294" s="49">
        <f ca="1">MAX(IF(HM_ZD_Moho!CA_FP_oil_nom&lt;HM_ZD_Moho!CA_CS_HP_oil_nom,O251*HM_ZD_Moho!CA_gross_rev_total_fp,O251*HM_ZD_Moho!CA_gross_rev_total_fp*(HM_ZD_Moho!CA_CS_HP_oil_nom/HM_ZD_Moho!CA_FP_oil_nom))
-HM_ZD_Moho!CA_cost_recovered_total-MAX(HM_ZD_Moho!CA_gco-HM_ZD_Moho!CA_cost_recovered_total,0),0)</f>
        <v>0</v>
      </c>
      <c r="P294" s="49">
        <f ca="1">MAX(IF(HM_ZD_Moho!CA_FP_oil_nom&lt;HM_ZD_Moho!CA_CS_HP_oil_nom,P251*HM_ZD_Moho!CA_gross_rev_total_fp,P251*HM_ZD_Moho!CA_gross_rev_total_fp*(HM_ZD_Moho!CA_CS_HP_oil_nom/HM_ZD_Moho!CA_FP_oil_nom))
-HM_ZD_Moho!CA_cost_recovered_total-MAX(HM_ZD_Moho!CA_gco-HM_ZD_Moho!CA_cost_recovered_total,0),0)</f>
        <v>0</v>
      </c>
      <c r="Q294" s="49">
        <f ca="1">MAX(IF(HM_ZD_Moho!CA_FP_oil_nom&lt;HM_ZD_Moho!CA_CS_HP_oil_nom,Q251*HM_ZD_Moho!CA_gross_rev_total_fp,Q251*HM_ZD_Moho!CA_gross_rev_total_fp*(HM_ZD_Moho!CA_CS_HP_oil_nom/HM_ZD_Moho!CA_FP_oil_nom))
-HM_ZD_Moho!CA_cost_recovered_total-MAX(HM_ZD_Moho!CA_gco-HM_ZD_Moho!CA_cost_recovered_total,0),0)</f>
        <v>0</v>
      </c>
      <c r="R294" s="49">
        <f ca="1">MAX(IF(HM_ZD_Moho!CA_FP_oil_nom&lt;HM_ZD_Moho!CA_CS_HP_oil_nom,R251*HM_ZD_Moho!CA_gross_rev_total_fp,R251*HM_ZD_Moho!CA_gross_rev_total_fp*(HM_ZD_Moho!CA_CS_HP_oil_nom/HM_ZD_Moho!CA_FP_oil_nom))
-HM_ZD_Moho!CA_cost_recovered_total-MAX(HM_ZD_Moho!CA_gco-HM_ZD_Moho!CA_cost_recovered_total,0),0)</f>
        <v>0</v>
      </c>
      <c r="S294" s="49">
        <f ca="1">MAX(IF(HM_ZD_Moho!CA_FP_oil_nom&lt;HM_ZD_Moho!CA_CS_HP_oil_nom,S251*HM_ZD_Moho!CA_gross_rev_total_fp,S251*HM_ZD_Moho!CA_gross_rev_total_fp*(HM_ZD_Moho!CA_CS_HP_oil_nom/HM_ZD_Moho!CA_FP_oil_nom))
-HM_ZD_Moho!CA_cost_recovered_total-MAX(HM_ZD_Moho!CA_gco-HM_ZD_Moho!CA_cost_recovered_total,0),0)</f>
        <v>0</v>
      </c>
      <c r="T294" s="49">
        <f ca="1">MAX(IF(HM_ZD_Moho!CA_FP_oil_nom&lt;HM_ZD_Moho!CA_CS_HP_oil_nom,T251*HM_ZD_Moho!CA_gross_rev_total_fp,T251*HM_ZD_Moho!CA_gross_rev_total_fp*(HM_ZD_Moho!CA_CS_HP_oil_nom/HM_ZD_Moho!CA_FP_oil_nom))
-HM_ZD_Moho!CA_cost_recovered_total-MAX(HM_ZD_Moho!CA_gco-HM_ZD_Moho!CA_cost_recovered_total,0),0)</f>
        <v>0</v>
      </c>
      <c r="U294" s="49">
        <f ca="1">MAX(IF(HM_ZD_Moho!CA_FP_oil_nom&lt;HM_ZD_Moho!CA_CS_HP_oil_nom,U251*HM_ZD_Moho!CA_gross_rev_total_fp,U251*HM_ZD_Moho!CA_gross_rev_total_fp*(HM_ZD_Moho!CA_CS_HP_oil_nom/HM_ZD_Moho!CA_FP_oil_nom))
-HM_ZD_Moho!CA_cost_recovered_total-MAX(HM_ZD_Moho!CA_gco-HM_ZD_Moho!CA_cost_recovered_total,0),0)</f>
        <v>0</v>
      </c>
      <c r="V294" s="49">
        <f ca="1">MAX(IF(HM_ZD_Moho!CA_FP_oil_nom&lt;HM_ZD_Moho!CA_CS_HP_oil_nom,V251*HM_ZD_Moho!CA_gross_rev_total_fp,V251*HM_ZD_Moho!CA_gross_rev_total_fp*(HM_ZD_Moho!CA_CS_HP_oil_nom/HM_ZD_Moho!CA_FP_oil_nom))
-HM_ZD_Moho!CA_cost_recovered_total-MAX(HM_ZD_Moho!CA_gco-HM_ZD_Moho!CA_cost_recovered_total,0),0)</f>
        <v>0</v>
      </c>
      <c r="W294" s="49">
        <f ca="1">MAX(IF(HM_ZD_Moho!CA_FP_oil_nom&lt;HM_ZD_Moho!CA_CS_HP_oil_nom,W251*HM_ZD_Moho!CA_gross_rev_total_fp,W251*HM_ZD_Moho!CA_gross_rev_total_fp*(HM_ZD_Moho!CA_CS_HP_oil_nom/HM_ZD_Moho!CA_FP_oil_nom))
-HM_ZD_Moho!CA_cost_recovered_total-MAX(HM_ZD_Moho!CA_gco-HM_ZD_Moho!CA_cost_recovered_total,0),0)</f>
        <v>0</v>
      </c>
      <c r="X294" s="49">
        <f ca="1">MAX(IF(HM_ZD_Moho!CA_FP_oil_nom&lt;HM_ZD_Moho!CA_CS_HP_oil_nom,X251*HM_ZD_Moho!CA_gross_rev_total_fp,X251*HM_ZD_Moho!CA_gross_rev_total_fp*(HM_ZD_Moho!CA_CS_HP_oil_nom/HM_ZD_Moho!CA_FP_oil_nom))
-HM_ZD_Moho!CA_cost_recovered_total-MAX(HM_ZD_Moho!CA_gco-HM_ZD_Moho!CA_cost_recovered_total,0),0)</f>
        <v>0</v>
      </c>
      <c r="Y294" s="49">
        <f ca="1">MAX(IF(HM_ZD_Moho!CA_FP_oil_nom&lt;HM_ZD_Moho!CA_CS_HP_oil_nom,Y251*HM_ZD_Moho!CA_gross_rev_total_fp,Y251*HM_ZD_Moho!CA_gross_rev_total_fp*(HM_ZD_Moho!CA_CS_HP_oil_nom/HM_ZD_Moho!CA_FP_oil_nom))
-HM_ZD_Moho!CA_cost_recovered_total-MAX(HM_ZD_Moho!CA_gco-HM_ZD_Moho!CA_cost_recovered_total,0),0)</f>
        <v>0</v>
      </c>
      <c r="Z294" s="49">
        <f ca="1">MAX(IF(HM_ZD_Moho!CA_FP_oil_nom&lt;HM_ZD_Moho!CA_CS_HP_oil_nom,Z251*HM_ZD_Moho!CA_gross_rev_total_fp,Z251*HM_ZD_Moho!CA_gross_rev_total_fp*(HM_ZD_Moho!CA_CS_HP_oil_nom/HM_ZD_Moho!CA_FP_oil_nom))
-HM_ZD_Moho!CA_cost_recovered_total-MAX(HM_ZD_Moho!CA_gco-HM_ZD_Moho!CA_cost_recovered_total,0),0)</f>
        <v>0</v>
      </c>
      <c r="AA294" s="49">
        <f ca="1">MAX(IF(HM_ZD_Moho!CA_FP_oil_nom&lt;HM_ZD_Moho!CA_CS_HP_oil_nom,AA251*HM_ZD_Moho!CA_gross_rev_total_fp,AA251*HM_ZD_Moho!CA_gross_rev_total_fp*(HM_ZD_Moho!CA_CS_HP_oil_nom/HM_ZD_Moho!CA_FP_oil_nom))
-HM_ZD_Moho!CA_cost_recovered_total-MAX(HM_ZD_Moho!CA_gco-HM_ZD_Moho!CA_cost_recovered_total,0),0)</f>
        <v>0</v>
      </c>
      <c r="AB294" s="49">
        <f ca="1">MAX(IF(HM_ZD_Moho!CA_FP_oil_nom&lt;HM_ZD_Moho!CA_CS_HP_oil_nom,AB251*HM_ZD_Moho!CA_gross_rev_total_fp,AB251*HM_ZD_Moho!CA_gross_rev_total_fp*(HM_ZD_Moho!CA_CS_HP_oil_nom/HM_ZD_Moho!CA_FP_oil_nom))
-HM_ZD_Moho!CA_cost_recovered_total-MAX(HM_ZD_Moho!CA_gco-HM_ZD_Moho!CA_cost_recovered_total,0),0)</f>
        <v>0</v>
      </c>
      <c r="AC294" s="49">
        <f ca="1">MAX(IF(HM_ZD_Moho!CA_FP_oil_nom&lt;HM_ZD_Moho!CA_CS_HP_oil_nom,AC251*HM_ZD_Moho!CA_gross_rev_total_fp,AC251*HM_ZD_Moho!CA_gross_rev_total_fp*(HM_ZD_Moho!CA_CS_HP_oil_nom/HM_ZD_Moho!CA_FP_oil_nom))
-HM_ZD_Moho!CA_cost_recovered_total-MAX(HM_ZD_Moho!CA_gco-HM_ZD_Moho!CA_cost_recovered_total,0),0)</f>
        <v>0</v>
      </c>
      <c r="AD294" s="49">
        <f ca="1">MAX(IF(HM_ZD_Moho!CA_FP_oil_nom&lt;HM_ZD_Moho!CA_CS_HP_oil_nom,AD251*HM_ZD_Moho!CA_gross_rev_total_fp,AD251*HM_ZD_Moho!CA_gross_rev_total_fp*(HM_ZD_Moho!CA_CS_HP_oil_nom/HM_ZD_Moho!CA_FP_oil_nom))
-HM_ZD_Moho!CA_cost_recovered_total-MAX(HM_ZD_Moho!CA_gco-HM_ZD_Moho!CA_cost_recovered_total,0),0)</f>
        <v>0</v>
      </c>
      <c r="AE294" s="49">
        <f ca="1">MAX(IF(HM_ZD_Moho!CA_FP_oil_nom&lt;HM_ZD_Moho!CA_CS_HP_oil_nom,AE251*HM_ZD_Moho!CA_gross_rev_total_fp,AE251*HM_ZD_Moho!CA_gross_rev_total_fp*(HM_ZD_Moho!CA_CS_HP_oil_nom/HM_ZD_Moho!CA_FP_oil_nom))
-HM_ZD_Moho!CA_cost_recovered_total-MAX(HM_ZD_Moho!CA_gco-HM_ZD_Moho!CA_cost_recovered_total,0),0)</f>
        <v>0</v>
      </c>
      <c r="AF294" s="49">
        <f ca="1">MAX(IF(HM_ZD_Moho!CA_FP_oil_nom&lt;HM_ZD_Moho!CA_CS_HP_oil_nom,AF251*HM_ZD_Moho!CA_gross_rev_total_fp,AF251*HM_ZD_Moho!CA_gross_rev_total_fp*(HM_ZD_Moho!CA_CS_HP_oil_nom/HM_ZD_Moho!CA_FP_oil_nom))
-HM_ZD_Moho!CA_cost_recovered_total-MAX(HM_ZD_Moho!CA_gco-HM_ZD_Moho!CA_cost_recovered_total,0),0)</f>
        <v>0</v>
      </c>
      <c r="AG294" s="49">
        <f ca="1">MAX(IF(HM_ZD_Moho!CA_FP_oil_nom&lt;HM_ZD_Moho!CA_CS_HP_oil_nom,AG251*HM_ZD_Moho!CA_gross_rev_total_fp,AG251*HM_ZD_Moho!CA_gross_rev_total_fp*(HM_ZD_Moho!CA_CS_HP_oil_nom/HM_ZD_Moho!CA_FP_oil_nom))
-HM_ZD_Moho!CA_cost_recovered_total-MAX(HM_ZD_Moho!CA_gco-HM_ZD_Moho!CA_cost_recovered_total,0),0)</f>
        <v>0</v>
      </c>
      <c r="AH294" s="49">
        <f ca="1">MAX(IF(HM_ZD_Moho!CA_FP_oil_nom&lt;HM_ZD_Moho!CA_CS_HP_oil_nom,AH251*HM_ZD_Moho!CA_gross_rev_total_fp,AH251*HM_ZD_Moho!CA_gross_rev_total_fp*(HM_ZD_Moho!CA_CS_HP_oil_nom/HM_ZD_Moho!CA_FP_oil_nom))
-HM_ZD_Moho!CA_cost_recovered_total-MAX(HM_ZD_Moho!CA_gco-HM_ZD_Moho!CA_cost_recovered_total,0),0)</f>
        <v>0</v>
      </c>
      <c r="AI294" s="49">
        <f ca="1">MAX(IF(HM_ZD_Moho!CA_FP_oil_nom&lt;HM_ZD_Moho!CA_CS_HP_oil_nom,AI251*HM_ZD_Moho!CA_gross_rev_total_fp,AI251*HM_ZD_Moho!CA_gross_rev_total_fp*(HM_ZD_Moho!CA_CS_HP_oil_nom/HM_ZD_Moho!CA_FP_oil_nom))
-HM_ZD_Moho!CA_cost_recovered_total-MAX(HM_ZD_Moho!CA_gco-HM_ZD_Moho!CA_cost_recovered_total,0),0)</f>
        <v>0</v>
      </c>
      <c r="AJ294" s="49">
        <f ca="1">MAX(IF(HM_ZD_Moho!CA_FP_oil_nom&lt;HM_ZD_Moho!CA_CS_HP_oil_nom,AJ251*HM_ZD_Moho!CA_gross_rev_total_fp,AJ251*HM_ZD_Moho!CA_gross_rev_total_fp*(HM_ZD_Moho!CA_CS_HP_oil_nom/HM_ZD_Moho!CA_FP_oil_nom))
-HM_ZD_Moho!CA_cost_recovered_total-MAX(HM_ZD_Moho!CA_gco-HM_ZD_Moho!CA_cost_recovered_total,0),0)</f>
        <v>0</v>
      </c>
      <c r="AK294" s="49">
        <f ca="1">MAX(IF(HM_ZD_Moho!CA_FP_oil_nom&lt;HM_ZD_Moho!CA_CS_HP_oil_nom,AK251*HM_ZD_Moho!CA_gross_rev_total_fp,AK251*HM_ZD_Moho!CA_gross_rev_total_fp*(HM_ZD_Moho!CA_CS_HP_oil_nom/HM_ZD_Moho!CA_FP_oil_nom))
-HM_ZD_Moho!CA_cost_recovered_total-MAX(HM_ZD_Moho!CA_gco-HM_ZD_Moho!CA_cost_recovered_total,0),0)</f>
        <v>0</v>
      </c>
      <c r="AL294" s="49">
        <f ca="1">MAX(IF(HM_ZD_Moho!CA_FP_oil_nom&lt;HM_ZD_Moho!CA_CS_HP_oil_nom,AL251*HM_ZD_Moho!CA_gross_rev_total_fp,AL251*HM_ZD_Moho!CA_gross_rev_total_fp*(HM_ZD_Moho!CA_CS_HP_oil_nom/HM_ZD_Moho!CA_FP_oil_nom))
-HM_ZD_Moho!CA_cost_recovered_total-MAX(HM_ZD_Moho!CA_gco-HM_ZD_Moho!CA_cost_recovered_total,0),0)</f>
        <v>0</v>
      </c>
      <c r="AM294" s="49">
        <f ca="1">MAX(IF(HM_ZD_Moho!CA_FP_oil_nom&lt;HM_ZD_Moho!CA_CS_HP_oil_nom,AM251*HM_ZD_Moho!CA_gross_rev_total_fp,AM251*HM_ZD_Moho!CA_gross_rev_total_fp*(HM_ZD_Moho!CA_CS_HP_oil_nom/HM_ZD_Moho!CA_FP_oil_nom))
-HM_ZD_Moho!CA_cost_recovered_total-MAX(HM_ZD_Moho!CA_gco-HM_ZD_Moho!CA_cost_recovered_total,0),0)</f>
        <v>0</v>
      </c>
      <c r="AN294" s="49">
        <f ca="1">MAX(IF(HM_ZD_Moho!CA_FP_oil_nom&lt;HM_ZD_Moho!CA_CS_HP_oil_nom,AN251*HM_ZD_Moho!CA_gross_rev_total_fp,AN251*HM_ZD_Moho!CA_gross_rev_total_fp*(HM_ZD_Moho!CA_CS_HP_oil_nom/HM_ZD_Moho!CA_FP_oil_nom))
-HM_ZD_Moho!CA_cost_recovered_total-MAX(HM_ZD_Moho!CA_gco-HM_ZD_Moho!CA_cost_recovered_total,0),0)</f>
        <v>0</v>
      </c>
      <c r="AO294" s="49">
        <f ca="1">MAX(IF(HM_ZD_Moho!CA_FP_oil_nom&lt;HM_ZD_Moho!CA_CS_HP_oil_nom,AO251*HM_ZD_Moho!CA_gross_rev_total_fp,AO251*HM_ZD_Moho!CA_gross_rev_total_fp*(HM_ZD_Moho!CA_CS_HP_oil_nom/HM_ZD_Moho!CA_FP_oil_nom))
-HM_ZD_Moho!CA_cost_recovered_total-MAX(HM_ZD_Moho!CA_gco-HM_ZD_Moho!CA_cost_recovered_total,0),0)</f>
        <v>0</v>
      </c>
      <c r="AP294" s="49">
        <f ca="1">MAX(IF(HM_ZD_Moho!CA_FP_oil_nom&lt;HM_ZD_Moho!CA_CS_HP_oil_nom,AP251*HM_ZD_Moho!CA_gross_rev_total_fp,AP251*HM_ZD_Moho!CA_gross_rev_total_fp*(HM_ZD_Moho!CA_CS_HP_oil_nom/HM_ZD_Moho!CA_FP_oil_nom))
-HM_ZD_Moho!CA_cost_recovered_total-MAX(HM_ZD_Moho!CA_gco-HM_ZD_Moho!CA_cost_recovered_total,0),0)</f>
        <v>0</v>
      </c>
      <c r="AQ294" s="49">
        <f ca="1">MAX(IF(HM_ZD_Moho!CA_FP_oil_nom&lt;HM_ZD_Moho!CA_CS_HP_oil_nom,AQ251*HM_ZD_Moho!CA_gross_rev_total_fp,AQ251*HM_ZD_Moho!CA_gross_rev_total_fp*(HM_ZD_Moho!CA_CS_HP_oil_nom/HM_ZD_Moho!CA_FP_oil_nom))
-HM_ZD_Moho!CA_cost_recovered_total-MAX(HM_ZD_Moho!CA_gco-HM_ZD_Moho!CA_cost_recovered_total,0),0)</f>
        <v>0</v>
      </c>
      <c r="AR294" s="49">
        <f ca="1">MAX(IF(HM_ZD_Moho!CA_FP_oil_nom&lt;HM_ZD_Moho!CA_CS_HP_oil_nom,AR251*HM_ZD_Moho!CA_gross_rev_total_fp,AR251*HM_ZD_Moho!CA_gross_rev_total_fp*(HM_ZD_Moho!CA_CS_HP_oil_nom/HM_ZD_Moho!CA_FP_oil_nom))
-HM_ZD_Moho!CA_cost_recovered_total-MAX(HM_ZD_Moho!CA_gco-HM_ZD_Moho!CA_cost_recovered_total,0),0)</f>
        <v>0</v>
      </c>
      <c r="AS294" s="49">
        <f ca="1">MAX(IF(HM_ZD_Moho!CA_FP_oil_nom&lt;HM_ZD_Moho!CA_CS_HP_oil_nom,AS251*HM_ZD_Moho!CA_gross_rev_total_fp,AS251*HM_ZD_Moho!CA_gross_rev_total_fp*(HM_ZD_Moho!CA_CS_HP_oil_nom/HM_ZD_Moho!CA_FP_oil_nom))
-HM_ZD_Moho!CA_cost_recovered_total-MAX(HM_ZD_Moho!CA_gco-HM_ZD_Moho!CA_cost_recovered_total,0),0)</f>
        <v>0</v>
      </c>
      <c r="AT294" s="49">
        <f ca="1">MAX(IF(HM_ZD_Moho!CA_FP_oil_nom&lt;HM_ZD_Moho!CA_CS_HP_oil_nom,AT251*HM_ZD_Moho!CA_gross_rev_total_fp,AT251*HM_ZD_Moho!CA_gross_rev_total_fp*(HM_ZD_Moho!CA_CS_HP_oil_nom/HM_ZD_Moho!CA_FP_oil_nom))
-HM_ZD_Moho!CA_cost_recovered_total-MAX(HM_ZD_Moho!CA_gco-HM_ZD_Moho!CA_cost_recovered_total,0),0)</f>
        <v>0</v>
      </c>
      <c r="AU294" s="49">
        <f ca="1">MAX(IF(HM_ZD_Moho!CA_FP_oil_nom&lt;HM_ZD_Moho!CA_CS_HP_oil_nom,AU251*HM_ZD_Moho!CA_gross_rev_total_fp,AU251*HM_ZD_Moho!CA_gross_rev_total_fp*(HM_ZD_Moho!CA_CS_HP_oil_nom/HM_ZD_Moho!CA_FP_oil_nom))
-HM_ZD_Moho!CA_cost_recovered_total-MAX(HM_ZD_Moho!CA_gco-HM_ZD_Moho!CA_cost_recovered_total,0),0)</f>
        <v>0</v>
      </c>
      <c r="AV294" s="49">
        <f ca="1">MAX(IF(HM_ZD_Moho!CA_FP_oil_nom&lt;HM_ZD_Moho!CA_CS_HP_oil_nom,AV251*HM_ZD_Moho!CA_gross_rev_total_fp,AV251*HM_ZD_Moho!CA_gross_rev_total_fp*(HM_ZD_Moho!CA_CS_HP_oil_nom/HM_ZD_Moho!CA_FP_oil_nom))
-HM_ZD_Moho!CA_cost_recovered_total-MAX(HM_ZD_Moho!CA_gco-HM_ZD_Moho!CA_cost_recovered_total,0),0)</f>
        <v>0</v>
      </c>
      <c r="AW294" s="49">
        <f ca="1">MAX(IF(HM_ZD_Moho!CA_FP_oil_nom&lt;HM_ZD_Moho!CA_CS_HP_oil_nom,AW251*HM_ZD_Moho!CA_gross_rev_total_fp,AW251*HM_ZD_Moho!CA_gross_rev_total_fp*(HM_ZD_Moho!CA_CS_HP_oil_nom/HM_ZD_Moho!CA_FP_oil_nom))
-HM_ZD_Moho!CA_cost_recovered_total-MAX(HM_ZD_Moho!CA_gco-HM_ZD_Moho!CA_cost_recovered_total,0),0)</f>
        <v>0</v>
      </c>
      <c r="AX294" s="49">
        <f ca="1">MAX(IF(HM_ZD_Moho!CA_FP_oil_nom&lt;HM_ZD_Moho!CA_CS_HP_oil_nom,AX251*HM_ZD_Moho!CA_gross_rev_total_fp,AX251*HM_ZD_Moho!CA_gross_rev_total_fp*(HM_ZD_Moho!CA_CS_HP_oil_nom/HM_ZD_Moho!CA_FP_oil_nom))
-HM_ZD_Moho!CA_cost_recovered_total-MAX(HM_ZD_Moho!CA_gco-HM_ZD_Moho!CA_cost_recovered_total,0),0)</f>
        <v>0</v>
      </c>
      <c r="AY294" s="49">
        <f ca="1">MAX(IF(HM_ZD_Moho!CA_FP_oil_nom&lt;HM_ZD_Moho!CA_CS_HP_oil_nom,AY251*HM_ZD_Moho!CA_gross_rev_total_fp,AY251*HM_ZD_Moho!CA_gross_rev_total_fp*(HM_ZD_Moho!CA_CS_HP_oil_nom/HM_ZD_Moho!CA_FP_oil_nom))
-HM_ZD_Moho!CA_cost_recovered_total-MAX(HM_ZD_Moho!CA_gco-HM_ZD_Moho!CA_cost_recovered_total,0),0)</f>
        <v>0</v>
      </c>
      <c r="AZ294" s="49">
        <f ca="1">MAX(IF(HM_ZD_Moho!CA_FP_oil_nom&lt;HM_ZD_Moho!CA_CS_HP_oil_nom,AZ251*HM_ZD_Moho!CA_gross_rev_total_fp,AZ251*HM_ZD_Moho!CA_gross_rev_total_fp*(HM_ZD_Moho!CA_CS_HP_oil_nom/HM_ZD_Moho!CA_FP_oil_nom))
-HM_ZD_Moho!CA_cost_recovered_total-MAX(HM_ZD_Moho!CA_gco-HM_ZD_Moho!CA_cost_recovered_total,0),0)</f>
        <v>0</v>
      </c>
      <c r="BA294" s="49">
        <f ca="1">MAX(IF(HM_ZD_Moho!CA_FP_oil_nom&lt;HM_ZD_Moho!CA_CS_HP_oil_nom,BA251*HM_ZD_Moho!CA_gross_rev_total_fp,BA251*HM_ZD_Moho!CA_gross_rev_total_fp*(HM_ZD_Moho!CA_CS_HP_oil_nom/HM_ZD_Moho!CA_FP_oil_nom))
-HM_ZD_Moho!CA_cost_recovered_total-MAX(HM_ZD_Moho!CA_gco-HM_ZD_Moho!CA_cost_recovered_total,0),0)</f>
        <v>0</v>
      </c>
      <c r="BB294" s="49">
        <f ca="1">MAX(IF(HM_ZD_Moho!CA_FP_oil_nom&lt;HM_ZD_Moho!CA_CS_HP_oil_nom,BB251*HM_ZD_Moho!CA_gross_rev_total_fp,BB251*HM_ZD_Moho!CA_gross_rev_total_fp*(HM_ZD_Moho!CA_CS_HP_oil_nom/HM_ZD_Moho!CA_FP_oil_nom))
-HM_ZD_Moho!CA_cost_recovered_total-MAX(HM_ZD_Moho!CA_gco-HM_ZD_Moho!CA_cost_recovered_total,0),0)</f>
        <v>0</v>
      </c>
      <c r="BC294" s="49">
        <f ca="1">MAX(IF(HM_ZD_Moho!CA_FP_oil_nom&lt;HM_ZD_Moho!CA_CS_HP_oil_nom,BC251*HM_ZD_Moho!CA_gross_rev_total_fp,BC251*HM_ZD_Moho!CA_gross_rev_total_fp*(HM_ZD_Moho!CA_CS_HP_oil_nom/HM_ZD_Moho!CA_FP_oil_nom))
-HM_ZD_Moho!CA_cost_recovered_total-MAX(HM_ZD_Moho!CA_gco-HM_ZD_Moho!CA_cost_recovered_total,0),0)</f>
        <v>0</v>
      </c>
      <c r="BD294" s="49">
        <f ca="1">MAX(IF(HM_ZD_Moho!CA_FP_oil_nom&lt;HM_ZD_Moho!CA_CS_HP_oil_nom,BD251*HM_ZD_Moho!CA_gross_rev_total_fp,BD251*HM_ZD_Moho!CA_gross_rev_total_fp*(HM_ZD_Moho!CA_CS_HP_oil_nom/HM_ZD_Moho!CA_FP_oil_nom))
-HM_ZD_Moho!CA_cost_recovered_total-MAX(HM_ZD_Moho!CA_gco-HM_ZD_Moho!CA_cost_recovered_total,0),0)</f>
        <v>0</v>
      </c>
      <c r="BE294" s="49">
        <f ca="1">MAX(IF(HM_ZD_Moho!CA_FP_oil_nom&lt;HM_ZD_Moho!CA_CS_HP_oil_nom,BE251*HM_ZD_Moho!CA_gross_rev_total_fp,BE251*HM_ZD_Moho!CA_gross_rev_total_fp*(HM_ZD_Moho!CA_CS_HP_oil_nom/HM_ZD_Moho!CA_FP_oil_nom))
-HM_ZD_Moho!CA_cost_recovered_total-MAX(HM_ZD_Moho!CA_gco-HM_ZD_Moho!CA_cost_recovered_total,0),0)</f>
        <v>0</v>
      </c>
      <c r="BF294" s="49">
        <f ca="1">MAX(IF(HM_ZD_Moho!CA_FP_oil_nom&lt;HM_ZD_Moho!CA_CS_HP_oil_nom,BF251*HM_ZD_Moho!CA_gross_rev_total_fp,BF251*HM_ZD_Moho!CA_gross_rev_total_fp*(HM_ZD_Moho!CA_CS_HP_oil_nom/HM_ZD_Moho!CA_FP_oil_nom))
-HM_ZD_Moho!CA_cost_recovered_total-MAX(HM_ZD_Moho!CA_gco-HM_ZD_Moho!CA_cost_recovered_total,0),0)</f>
        <v>0</v>
      </c>
      <c r="BG294" s="49">
        <f ca="1">MAX(IF(HM_ZD_Moho!CA_FP_oil_nom&lt;HM_ZD_Moho!CA_CS_HP_oil_nom,BG251*HM_ZD_Moho!CA_gross_rev_total_fp,BG251*HM_ZD_Moho!CA_gross_rev_total_fp*(HM_ZD_Moho!CA_CS_HP_oil_nom/HM_ZD_Moho!CA_FP_oil_nom))
-HM_ZD_Moho!CA_cost_recovered_total-MAX(HM_ZD_Moho!CA_gco-HM_ZD_Moho!CA_cost_recovered_total,0),0)</f>
        <v>0</v>
      </c>
      <c r="BH294" s="49">
        <f ca="1">MAX(IF(HM_ZD_Moho!CA_FP_oil_nom&lt;HM_ZD_Moho!CA_CS_HP_oil_nom,BH251*HM_ZD_Moho!CA_gross_rev_total_fp,BH251*HM_ZD_Moho!CA_gross_rev_total_fp*(HM_ZD_Moho!CA_CS_HP_oil_nom/HM_ZD_Moho!CA_FP_oil_nom))
-HM_ZD_Moho!CA_cost_recovered_total-MAX(HM_ZD_Moho!CA_gco-HM_ZD_Moho!CA_cost_recovered_total,0),0)</f>
        <v>0</v>
      </c>
      <c r="BI294" s="49">
        <f ca="1">MAX(IF(HM_ZD_Moho!CA_FP_oil_nom&lt;HM_ZD_Moho!CA_CS_HP_oil_nom,BI251*HM_ZD_Moho!CA_gross_rev_total_fp,BI251*HM_ZD_Moho!CA_gross_rev_total_fp*(HM_ZD_Moho!CA_CS_HP_oil_nom/HM_ZD_Moho!CA_FP_oil_nom))
-HM_ZD_Moho!CA_cost_recovered_total-MAX(HM_ZD_Moho!CA_gco-HM_ZD_Moho!CA_cost_recovered_total,0),0)</f>
        <v>0</v>
      </c>
      <c r="BJ294" s="49">
        <f ca="1">MAX(IF(HM_ZD_Moho!CA_FP_oil_nom&lt;HM_ZD_Moho!CA_CS_HP_oil_nom,BJ251*HM_ZD_Moho!CA_gross_rev_total_fp,BJ251*HM_ZD_Moho!CA_gross_rev_total_fp*(HM_ZD_Moho!CA_CS_HP_oil_nom/HM_ZD_Moho!CA_FP_oil_nom))
-HM_ZD_Moho!CA_cost_recovered_total-MAX(HM_ZD_Moho!CA_gco-HM_ZD_Moho!CA_cost_recovered_total,0),0)</f>
        <v>0</v>
      </c>
      <c r="BK294" s="49">
        <f ca="1">MAX(IF(HM_ZD_Moho!CA_FP_oil_nom&lt;HM_ZD_Moho!CA_CS_HP_oil_nom,BK251*HM_ZD_Moho!CA_gross_rev_total_fp,BK251*HM_ZD_Moho!CA_gross_rev_total_fp*(HM_ZD_Moho!CA_CS_HP_oil_nom/HM_ZD_Moho!CA_FP_oil_nom))
-HM_ZD_Moho!CA_cost_recovered_total-MAX(HM_ZD_Moho!CA_gco-HM_ZD_Moho!CA_cost_recovered_total,0),0)</f>
        <v>0</v>
      </c>
      <c r="BL294" s="49">
        <f ca="1">MAX(IF(HM_ZD_Moho!CA_FP_oil_nom&lt;HM_ZD_Moho!CA_CS_HP_oil_nom,BL251*HM_ZD_Moho!CA_gross_rev_total_fp,BL251*HM_ZD_Moho!CA_gross_rev_total_fp*(HM_ZD_Moho!CA_CS_HP_oil_nom/HM_ZD_Moho!CA_FP_oil_nom))
-HM_ZD_Moho!CA_cost_recovered_total-MAX(HM_ZD_Moho!CA_gco-HM_ZD_Moho!CA_cost_recovered_total,0),0)</f>
        <v>0</v>
      </c>
      <c r="BM294" s="49">
        <f ca="1">MAX(IF(HM_ZD_Moho!CA_FP_oil_nom&lt;HM_ZD_Moho!CA_CS_HP_oil_nom,BM251*HM_ZD_Moho!CA_gross_rev_total_fp,BM251*HM_ZD_Moho!CA_gross_rev_total_fp*(HM_ZD_Moho!CA_CS_HP_oil_nom/HM_ZD_Moho!CA_FP_oil_nom))
-HM_ZD_Moho!CA_cost_recovered_total-MAX(HM_ZD_Moho!CA_gco-HM_ZD_Moho!CA_cost_recovered_total,0),0)</f>
        <v>0</v>
      </c>
      <c r="BN294" s="49">
        <f ca="1">MAX(IF(HM_ZD_Moho!CA_FP_oil_nom&lt;HM_ZD_Moho!CA_CS_HP_oil_nom,BN251*HM_ZD_Moho!CA_gross_rev_total_fp,BN251*HM_ZD_Moho!CA_gross_rev_total_fp*(HM_ZD_Moho!CA_CS_HP_oil_nom/HM_ZD_Moho!CA_FP_oil_nom))
-HM_ZD_Moho!CA_cost_recovered_total-MAX(HM_ZD_Moho!CA_gco-HM_ZD_Moho!CA_cost_recovered_total,0),0)</f>
        <v>0</v>
      </c>
      <c r="BO294" s="49">
        <f ca="1">MAX(IF(HM_ZD_Moho!CA_FP_oil_nom&lt;HM_ZD_Moho!CA_CS_HP_oil_nom,BO251*HM_ZD_Moho!CA_gross_rev_total_fp,BO251*HM_ZD_Moho!CA_gross_rev_total_fp*(HM_ZD_Moho!CA_CS_HP_oil_nom/HM_ZD_Moho!CA_FP_oil_nom))
-HM_ZD_Moho!CA_cost_recovered_total-MAX(HM_ZD_Moho!CA_gco-HM_ZD_Moho!CA_cost_recovered_total,0),0)</f>
        <v>0</v>
      </c>
      <c r="BP294" s="49">
        <f ca="1">MAX(IF(HM_ZD_Moho!CA_FP_oil_nom&lt;HM_ZD_Moho!CA_CS_HP_oil_nom,BP251*HM_ZD_Moho!CA_gross_rev_total_fp,BP251*HM_ZD_Moho!CA_gross_rev_total_fp*(HM_ZD_Moho!CA_CS_HP_oil_nom/HM_ZD_Moho!CA_FP_oil_nom))
-HM_ZD_Moho!CA_cost_recovered_total-MAX(HM_ZD_Moho!CA_gco-HM_ZD_Moho!CA_cost_recovered_total,0),0)</f>
        <v>0</v>
      </c>
      <c r="BQ294" s="49">
        <f ca="1">MAX(IF(HM_ZD_Moho!CA_FP_oil_nom&lt;HM_ZD_Moho!CA_CS_HP_oil_nom,BQ251*HM_ZD_Moho!CA_gross_rev_total_fp,BQ251*HM_ZD_Moho!CA_gross_rev_total_fp*(HM_ZD_Moho!CA_CS_HP_oil_nom/HM_ZD_Moho!CA_FP_oil_nom))
-HM_ZD_Moho!CA_cost_recovered_total-MAX(HM_ZD_Moho!CA_gco-HM_ZD_Moho!CA_cost_recovered_total,0),0)</f>
        <v>0</v>
      </c>
      <c r="BR294" s="49">
        <f ca="1">MAX(IF(HM_ZD_Moho!CA_FP_oil_nom&lt;HM_ZD_Moho!CA_CS_HP_oil_nom,BR251*HM_ZD_Moho!CA_gross_rev_total_fp,BR251*HM_ZD_Moho!CA_gross_rev_total_fp*(HM_ZD_Moho!CA_CS_HP_oil_nom/HM_ZD_Moho!CA_FP_oil_nom))
-HM_ZD_Moho!CA_cost_recovered_total-MAX(HM_ZD_Moho!CA_gco-HM_ZD_Moho!CA_cost_recovered_total,0),0)</f>
        <v>0</v>
      </c>
      <c r="BS294" s="49">
        <f ca="1">MAX(IF(HM_ZD_Moho!CA_FP_oil_nom&lt;HM_ZD_Moho!CA_CS_HP_oil_nom,BS251*HM_ZD_Moho!CA_gross_rev_total_fp,BS251*HM_ZD_Moho!CA_gross_rev_total_fp*(HM_ZD_Moho!CA_CS_HP_oil_nom/HM_ZD_Moho!CA_FP_oil_nom))
-HM_ZD_Moho!CA_cost_recovered_total-MAX(HM_ZD_Moho!CA_gco-HM_ZD_Moho!CA_cost_recovered_total,0),0)</f>
        <v>0</v>
      </c>
    </row>
    <row r="295" spans="3:71" outlineLevel="1" x14ac:dyDescent="0.2">
      <c r="J295" s="26"/>
      <c r="L295" s="55"/>
      <c r="M295" s="55"/>
      <c r="N295" s="55"/>
      <c r="O295" s="55"/>
      <c r="P295" s="55"/>
      <c r="Q295" s="55"/>
      <c r="R295" s="55"/>
      <c r="S295" s="55"/>
      <c r="T295" s="55"/>
      <c r="U295" s="55"/>
      <c r="V295" s="55"/>
      <c r="W295" s="55"/>
      <c r="X295" s="55"/>
      <c r="Y295" s="55"/>
      <c r="Z295" s="55"/>
      <c r="AA295" s="55"/>
      <c r="AB295" s="55"/>
      <c r="AC295" s="55"/>
      <c r="AD295" s="55"/>
      <c r="AE295" s="55"/>
      <c r="AF295" s="55"/>
      <c r="AG295" s="55"/>
      <c r="AH295" s="55"/>
      <c r="AI295" s="55"/>
      <c r="AJ295" s="55"/>
      <c r="AK295" s="55"/>
      <c r="AL295" s="55"/>
      <c r="AM295" s="55"/>
      <c r="AN295" s="55"/>
      <c r="AO295" s="55"/>
      <c r="AP295" s="55"/>
      <c r="AQ295" s="55"/>
      <c r="AR295" s="55"/>
      <c r="AS295" s="55"/>
      <c r="AT295" s="55"/>
      <c r="AU295" s="55"/>
      <c r="AV295" s="55"/>
      <c r="AW295" s="55"/>
      <c r="AX295" s="55"/>
      <c r="AY295" s="55"/>
      <c r="AZ295" s="55"/>
      <c r="BA295" s="55"/>
      <c r="BB295" s="55"/>
      <c r="BC295" s="55"/>
      <c r="BD295" s="55"/>
      <c r="BE295" s="55"/>
      <c r="BF295" s="55"/>
      <c r="BG295" s="55"/>
      <c r="BH295" s="55"/>
      <c r="BI295" s="55"/>
      <c r="BJ295" s="55"/>
      <c r="BK295" s="55"/>
      <c r="BL295" s="55"/>
      <c r="BM295" s="55"/>
      <c r="BN295" s="55"/>
      <c r="BO295" s="55"/>
      <c r="BP295" s="55"/>
      <c r="BQ295" s="55"/>
      <c r="BR295" s="55"/>
      <c r="BS295" s="55"/>
    </row>
    <row r="296" spans="3:71" outlineLevel="1" x14ac:dyDescent="0.2">
      <c r="D296" t="str">
        <f>HM_ZB_Nsoko!D285</f>
        <v>Part du Contracteur dans l'Excess Cost oil</v>
      </c>
      <c r="I296" s="30">
        <f t="shared" ca="1" si="185"/>
        <v>0</v>
      </c>
      <c r="J296" s="26" t="s">
        <v>148</v>
      </c>
      <c r="K296" s="7" t="s">
        <v>214</v>
      </c>
      <c r="L296" s="49">
        <f ca="1">HM_ZD_AM3_2005!L277</f>
        <v>0</v>
      </c>
      <c r="M296" s="49">
        <f ca="1">HM_ZD_AM3_2005!M277</f>
        <v>0</v>
      </c>
      <c r="N296" s="49">
        <f ca="1">INDEX(HM_ZD_Moho!FA_ECR_cont_rate,MATCH(HM_ZD_Moho!CA_gross_prod_oil,HM_ZD_Moho!FA_ECR_cumprod_oil,1))*HM_ZD_Moho!CA_excess_cost_recovery</f>
        <v>0</v>
      </c>
      <c r="O296" s="49">
        <f ca="1">INDEX(HM_ZD_Moho!FA_ECR_cont_rate,MATCH(HM_ZD_Moho!CA_gross_prod_oil,HM_ZD_Moho!FA_ECR_cumprod_oil,1))*HM_ZD_Moho!CA_excess_cost_recovery</f>
        <v>0</v>
      </c>
      <c r="P296" s="49">
        <f ca="1">INDEX(HM_ZD_Moho!FA_ECR_cont_rate,MATCH(HM_ZD_Moho!CA_gross_prod_oil,HM_ZD_Moho!FA_ECR_cumprod_oil,1))*HM_ZD_Moho!CA_excess_cost_recovery</f>
        <v>0</v>
      </c>
      <c r="Q296" s="49">
        <f ca="1">INDEX(HM_ZD_Moho!FA_ECR_cont_rate,MATCH(HM_ZD_Moho!CA_gross_prod_oil,HM_ZD_Moho!FA_ECR_cumprod_oil,1))*HM_ZD_Moho!CA_excess_cost_recovery</f>
        <v>0</v>
      </c>
      <c r="R296" s="49">
        <f ca="1">INDEX(HM_ZD_Moho!FA_ECR_cont_rate,MATCH(HM_ZD_Moho!CA_gross_prod_oil,HM_ZD_Moho!FA_ECR_cumprod_oil,1))*HM_ZD_Moho!CA_excess_cost_recovery</f>
        <v>0</v>
      </c>
      <c r="S296" s="49">
        <f ca="1">INDEX(HM_ZD_Moho!FA_ECR_cont_rate,MATCH(HM_ZD_Moho!CA_gross_prod_oil,HM_ZD_Moho!FA_ECR_cumprod_oil,1))*HM_ZD_Moho!CA_excess_cost_recovery</f>
        <v>0</v>
      </c>
      <c r="T296" s="49">
        <f ca="1">INDEX(HM_ZD_Moho!FA_ECR_cont_rate,MATCH(HM_ZD_Moho!CA_gross_prod_oil,HM_ZD_Moho!FA_ECR_cumprod_oil,1))*HM_ZD_Moho!CA_excess_cost_recovery</f>
        <v>0</v>
      </c>
      <c r="U296" s="49">
        <f ca="1">INDEX(HM_ZD_Moho!FA_ECR_cont_rate,MATCH(HM_ZD_Moho!CA_gross_prod_oil,HM_ZD_Moho!FA_ECR_cumprod_oil,1))*HM_ZD_Moho!CA_excess_cost_recovery</f>
        <v>0</v>
      </c>
      <c r="V296" s="49">
        <f ca="1">INDEX(HM_ZD_Moho!FA_ECR_cont_rate,MATCH(HM_ZD_Moho!CA_gross_prod_oil,HM_ZD_Moho!FA_ECR_cumprod_oil,1))*HM_ZD_Moho!CA_excess_cost_recovery</f>
        <v>0</v>
      </c>
      <c r="W296" s="49">
        <f ca="1">INDEX(HM_ZD_Moho!FA_ECR_cont_rate,MATCH(HM_ZD_Moho!CA_gross_prod_oil,HM_ZD_Moho!FA_ECR_cumprod_oil,1))*HM_ZD_Moho!CA_excess_cost_recovery</f>
        <v>0</v>
      </c>
      <c r="X296" s="49">
        <f ca="1">INDEX(HM_ZD_Moho!FA_ECR_cont_rate,MATCH(HM_ZD_Moho!CA_gross_prod_oil,HM_ZD_Moho!FA_ECR_cumprod_oil,1))*HM_ZD_Moho!CA_excess_cost_recovery</f>
        <v>0</v>
      </c>
      <c r="Y296" s="49">
        <f ca="1">INDEX(HM_ZD_Moho!FA_ECR_cont_rate,MATCH(HM_ZD_Moho!CA_gross_prod_oil,HM_ZD_Moho!FA_ECR_cumprod_oil,1))*HM_ZD_Moho!CA_excess_cost_recovery</f>
        <v>0</v>
      </c>
      <c r="Z296" s="49">
        <f ca="1">INDEX(HM_ZD_Moho!FA_ECR_cont_rate,MATCH(HM_ZD_Moho!CA_gross_prod_oil,HM_ZD_Moho!FA_ECR_cumprod_oil,1))*HM_ZD_Moho!CA_excess_cost_recovery</f>
        <v>0</v>
      </c>
      <c r="AA296" s="49">
        <f ca="1">INDEX(HM_ZD_Moho!FA_ECR_cont_rate,MATCH(HM_ZD_Moho!CA_gross_prod_oil,HM_ZD_Moho!FA_ECR_cumprod_oil,1))*HM_ZD_Moho!CA_excess_cost_recovery</f>
        <v>0</v>
      </c>
      <c r="AB296" s="49">
        <f ca="1">INDEX(HM_ZD_Moho!FA_ECR_cont_rate,MATCH(HM_ZD_Moho!CA_gross_prod_oil,HM_ZD_Moho!FA_ECR_cumprod_oil,1))*HM_ZD_Moho!CA_excess_cost_recovery</f>
        <v>0</v>
      </c>
      <c r="AC296" s="49">
        <f ca="1">INDEX(HM_ZD_Moho!FA_ECR_cont_rate,MATCH(HM_ZD_Moho!CA_gross_prod_oil,HM_ZD_Moho!FA_ECR_cumprod_oil,1))*HM_ZD_Moho!CA_excess_cost_recovery</f>
        <v>0</v>
      </c>
      <c r="AD296" s="49">
        <f ca="1">INDEX(HM_ZD_Moho!FA_ECR_cont_rate,MATCH(HM_ZD_Moho!CA_gross_prod_oil,HM_ZD_Moho!FA_ECR_cumprod_oil,1))*HM_ZD_Moho!CA_excess_cost_recovery</f>
        <v>0</v>
      </c>
      <c r="AE296" s="49">
        <f ca="1">INDEX(HM_ZD_Moho!FA_ECR_cont_rate,MATCH(HM_ZD_Moho!CA_gross_prod_oil,HM_ZD_Moho!FA_ECR_cumprod_oil,1))*HM_ZD_Moho!CA_excess_cost_recovery</f>
        <v>0</v>
      </c>
      <c r="AF296" s="49">
        <f ca="1">INDEX(HM_ZD_Moho!FA_ECR_cont_rate,MATCH(HM_ZD_Moho!CA_gross_prod_oil,HM_ZD_Moho!FA_ECR_cumprod_oil,1))*HM_ZD_Moho!CA_excess_cost_recovery</f>
        <v>0</v>
      </c>
      <c r="AG296" s="49">
        <f ca="1">INDEX(HM_ZD_Moho!FA_ECR_cont_rate,MATCH(HM_ZD_Moho!CA_gross_prod_oil,HM_ZD_Moho!FA_ECR_cumprod_oil,1))*HM_ZD_Moho!CA_excess_cost_recovery</f>
        <v>0</v>
      </c>
      <c r="AH296" s="49">
        <f ca="1">INDEX(HM_ZD_Moho!FA_ECR_cont_rate,MATCH(HM_ZD_Moho!CA_gross_prod_oil,HM_ZD_Moho!FA_ECR_cumprod_oil,1))*HM_ZD_Moho!CA_excess_cost_recovery</f>
        <v>0</v>
      </c>
      <c r="AI296" s="49">
        <f ca="1">INDEX(HM_ZD_Moho!FA_ECR_cont_rate,MATCH(HM_ZD_Moho!CA_gross_prod_oil,HM_ZD_Moho!FA_ECR_cumprod_oil,1))*HM_ZD_Moho!CA_excess_cost_recovery</f>
        <v>0</v>
      </c>
      <c r="AJ296" s="49">
        <f ca="1">INDEX(HM_ZD_Moho!FA_ECR_cont_rate,MATCH(HM_ZD_Moho!CA_gross_prod_oil,HM_ZD_Moho!FA_ECR_cumprod_oil,1))*HM_ZD_Moho!CA_excess_cost_recovery</f>
        <v>0</v>
      </c>
      <c r="AK296" s="49">
        <f ca="1">INDEX(HM_ZD_Moho!FA_ECR_cont_rate,MATCH(HM_ZD_Moho!CA_gross_prod_oil,HM_ZD_Moho!FA_ECR_cumprod_oil,1))*HM_ZD_Moho!CA_excess_cost_recovery</f>
        <v>0</v>
      </c>
      <c r="AL296" s="49">
        <f ca="1">INDEX(HM_ZD_Moho!FA_ECR_cont_rate,MATCH(HM_ZD_Moho!CA_gross_prod_oil,HM_ZD_Moho!FA_ECR_cumprod_oil,1))*HM_ZD_Moho!CA_excess_cost_recovery</f>
        <v>0</v>
      </c>
      <c r="AM296" s="49">
        <f ca="1">INDEX(HM_ZD_Moho!FA_ECR_cont_rate,MATCH(HM_ZD_Moho!CA_gross_prod_oil,HM_ZD_Moho!FA_ECR_cumprod_oil,1))*HM_ZD_Moho!CA_excess_cost_recovery</f>
        <v>0</v>
      </c>
      <c r="AN296" s="49">
        <f ca="1">INDEX(HM_ZD_Moho!FA_ECR_cont_rate,MATCH(HM_ZD_Moho!CA_gross_prod_oil,HM_ZD_Moho!FA_ECR_cumprod_oil,1))*HM_ZD_Moho!CA_excess_cost_recovery</f>
        <v>0</v>
      </c>
      <c r="AO296" s="49">
        <f ca="1">INDEX(HM_ZD_Moho!FA_ECR_cont_rate,MATCH(HM_ZD_Moho!CA_gross_prod_oil,HM_ZD_Moho!FA_ECR_cumprod_oil,1))*HM_ZD_Moho!CA_excess_cost_recovery</f>
        <v>0</v>
      </c>
      <c r="AP296" s="49">
        <f ca="1">INDEX(HM_ZD_Moho!FA_ECR_cont_rate,MATCH(HM_ZD_Moho!CA_gross_prod_oil,HM_ZD_Moho!FA_ECR_cumprod_oil,1))*HM_ZD_Moho!CA_excess_cost_recovery</f>
        <v>0</v>
      </c>
      <c r="AQ296" s="49">
        <f ca="1">INDEX(HM_ZD_Moho!FA_ECR_cont_rate,MATCH(HM_ZD_Moho!CA_gross_prod_oil,HM_ZD_Moho!FA_ECR_cumprod_oil,1))*HM_ZD_Moho!CA_excess_cost_recovery</f>
        <v>0</v>
      </c>
      <c r="AR296" s="49">
        <f ca="1">INDEX(HM_ZD_Moho!FA_ECR_cont_rate,MATCH(HM_ZD_Moho!CA_gross_prod_oil,HM_ZD_Moho!FA_ECR_cumprod_oil,1))*HM_ZD_Moho!CA_excess_cost_recovery</f>
        <v>0</v>
      </c>
      <c r="AS296" s="49">
        <f ca="1">INDEX(HM_ZD_Moho!FA_ECR_cont_rate,MATCH(HM_ZD_Moho!CA_gross_prod_oil,HM_ZD_Moho!FA_ECR_cumprod_oil,1))*HM_ZD_Moho!CA_excess_cost_recovery</f>
        <v>0</v>
      </c>
      <c r="AT296" s="49">
        <f ca="1">INDEX(HM_ZD_Moho!FA_ECR_cont_rate,MATCH(HM_ZD_Moho!CA_gross_prod_oil,HM_ZD_Moho!FA_ECR_cumprod_oil,1))*HM_ZD_Moho!CA_excess_cost_recovery</f>
        <v>0</v>
      </c>
      <c r="AU296" s="49">
        <f ca="1">INDEX(HM_ZD_Moho!FA_ECR_cont_rate,MATCH(HM_ZD_Moho!CA_gross_prod_oil,HM_ZD_Moho!FA_ECR_cumprod_oil,1))*HM_ZD_Moho!CA_excess_cost_recovery</f>
        <v>0</v>
      </c>
      <c r="AV296" s="49">
        <f ca="1">INDEX(HM_ZD_Moho!FA_ECR_cont_rate,MATCH(HM_ZD_Moho!CA_gross_prod_oil,HM_ZD_Moho!FA_ECR_cumprod_oil,1))*HM_ZD_Moho!CA_excess_cost_recovery</f>
        <v>0</v>
      </c>
      <c r="AW296" s="49">
        <f ca="1">INDEX(HM_ZD_Moho!FA_ECR_cont_rate,MATCH(HM_ZD_Moho!CA_gross_prod_oil,HM_ZD_Moho!FA_ECR_cumprod_oil,1))*HM_ZD_Moho!CA_excess_cost_recovery</f>
        <v>0</v>
      </c>
      <c r="AX296" s="49">
        <f ca="1">INDEX(HM_ZD_Moho!FA_ECR_cont_rate,MATCH(HM_ZD_Moho!CA_gross_prod_oil,HM_ZD_Moho!FA_ECR_cumprod_oil,1))*HM_ZD_Moho!CA_excess_cost_recovery</f>
        <v>0</v>
      </c>
      <c r="AY296" s="49">
        <f ca="1">INDEX(HM_ZD_Moho!FA_ECR_cont_rate,MATCH(HM_ZD_Moho!CA_gross_prod_oil,HM_ZD_Moho!FA_ECR_cumprod_oil,1))*HM_ZD_Moho!CA_excess_cost_recovery</f>
        <v>0</v>
      </c>
      <c r="AZ296" s="49">
        <f ca="1">INDEX(HM_ZD_Moho!FA_ECR_cont_rate,MATCH(HM_ZD_Moho!CA_gross_prod_oil,HM_ZD_Moho!FA_ECR_cumprod_oil,1))*HM_ZD_Moho!CA_excess_cost_recovery</f>
        <v>0</v>
      </c>
      <c r="BA296" s="49">
        <f ca="1">INDEX(HM_ZD_Moho!FA_ECR_cont_rate,MATCH(HM_ZD_Moho!CA_gross_prod_oil,HM_ZD_Moho!FA_ECR_cumprod_oil,1))*HM_ZD_Moho!CA_excess_cost_recovery</f>
        <v>0</v>
      </c>
      <c r="BB296" s="49">
        <f ca="1">INDEX(HM_ZD_Moho!FA_ECR_cont_rate,MATCH(HM_ZD_Moho!CA_gross_prod_oil,HM_ZD_Moho!FA_ECR_cumprod_oil,1))*HM_ZD_Moho!CA_excess_cost_recovery</f>
        <v>0</v>
      </c>
      <c r="BC296" s="49">
        <f ca="1">INDEX(HM_ZD_Moho!FA_ECR_cont_rate,MATCH(HM_ZD_Moho!CA_gross_prod_oil,HM_ZD_Moho!FA_ECR_cumprod_oil,1))*HM_ZD_Moho!CA_excess_cost_recovery</f>
        <v>0</v>
      </c>
      <c r="BD296" s="49">
        <f ca="1">INDEX(HM_ZD_Moho!FA_ECR_cont_rate,MATCH(HM_ZD_Moho!CA_gross_prod_oil,HM_ZD_Moho!FA_ECR_cumprod_oil,1))*HM_ZD_Moho!CA_excess_cost_recovery</f>
        <v>0</v>
      </c>
      <c r="BE296" s="49">
        <f ca="1">INDEX(HM_ZD_Moho!FA_ECR_cont_rate,MATCH(HM_ZD_Moho!CA_gross_prod_oil,HM_ZD_Moho!FA_ECR_cumprod_oil,1))*HM_ZD_Moho!CA_excess_cost_recovery</f>
        <v>0</v>
      </c>
      <c r="BF296" s="49">
        <f ca="1">INDEX(HM_ZD_Moho!FA_ECR_cont_rate,MATCH(HM_ZD_Moho!CA_gross_prod_oil,HM_ZD_Moho!FA_ECR_cumprod_oil,1))*HM_ZD_Moho!CA_excess_cost_recovery</f>
        <v>0</v>
      </c>
      <c r="BG296" s="49">
        <f ca="1">INDEX(HM_ZD_Moho!FA_ECR_cont_rate,MATCH(HM_ZD_Moho!CA_gross_prod_oil,HM_ZD_Moho!FA_ECR_cumprod_oil,1))*HM_ZD_Moho!CA_excess_cost_recovery</f>
        <v>0</v>
      </c>
      <c r="BH296" s="49">
        <f ca="1">INDEX(HM_ZD_Moho!FA_ECR_cont_rate,MATCH(HM_ZD_Moho!CA_gross_prod_oil,HM_ZD_Moho!FA_ECR_cumprod_oil,1))*HM_ZD_Moho!CA_excess_cost_recovery</f>
        <v>0</v>
      </c>
      <c r="BI296" s="49">
        <f ca="1">INDEX(HM_ZD_Moho!FA_ECR_cont_rate,MATCH(HM_ZD_Moho!CA_gross_prod_oil,HM_ZD_Moho!FA_ECR_cumprod_oil,1))*HM_ZD_Moho!CA_excess_cost_recovery</f>
        <v>0</v>
      </c>
      <c r="BJ296" s="49">
        <f ca="1">INDEX(HM_ZD_Moho!FA_ECR_cont_rate,MATCH(HM_ZD_Moho!CA_gross_prod_oil,HM_ZD_Moho!FA_ECR_cumprod_oil,1))*HM_ZD_Moho!CA_excess_cost_recovery</f>
        <v>0</v>
      </c>
      <c r="BK296" s="49">
        <f ca="1">INDEX(HM_ZD_Moho!FA_ECR_cont_rate,MATCH(HM_ZD_Moho!CA_gross_prod_oil,HM_ZD_Moho!FA_ECR_cumprod_oil,1))*HM_ZD_Moho!CA_excess_cost_recovery</f>
        <v>0</v>
      </c>
      <c r="BL296" s="49">
        <f ca="1">INDEX(HM_ZD_Moho!FA_ECR_cont_rate,MATCH(HM_ZD_Moho!CA_gross_prod_oil,HM_ZD_Moho!FA_ECR_cumprod_oil,1))*HM_ZD_Moho!CA_excess_cost_recovery</f>
        <v>0</v>
      </c>
      <c r="BM296" s="49">
        <f ca="1">INDEX(HM_ZD_Moho!FA_ECR_cont_rate,MATCH(HM_ZD_Moho!CA_gross_prod_oil,HM_ZD_Moho!FA_ECR_cumprod_oil,1))*HM_ZD_Moho!CA_excess_cost_recovery</f>
        <v>0</v>
      </c>
      <c r="BN296" s="49">
        <f ca="1">INDEX(HM_ZD_Moho!FA_ECR_cont_rate,MATCH(HM_ZD_Moho!CA_gross_prod_oil,HM_ZD_Moho!FA_ECR_cumprod_oil,1))*HM_ZD_Moho!CA_excess_cost_recovery</f>
        <v>0</v>
      </c>
      <c r="BO296" s="49">
        <f ca="1">INDEX(HM_ZD_Moho!FA_ECR_cont_rate,MATCH(HM_ZD_Moho!CA_gross_prod_oil,HM_ZD_Moho!FA_ECR_cumprod_oil,1))*HM_ZD_Moho!CA_excess_cost_recovery</f>
        <v>0</v>
      </c>
      <c r="BP296" s="49">
        <f ca="1">INDEX(HM_ZD_Moho!FA_ECR_cont_rate,MATCH(HM_ZD_Moho!CA_gross_prod_oil,HM_ZD_Moho!FA_ECR_cumprod_oil,1))*HM_ZD_Moho!CA_excess_cost_recovery</f>
        <v>0</v>
      </c>
      <c r="BQ296" s="49">
        <f ca="1">INDEX(HM_ZD_Moho!FA_ECR_cont_rate,MATCH(HM_ZD_Moho!CA_gross_prod_oil,HM_ZD_Moho!FA_ECR_cumprod_oil,1))*HM_ZD_Moho!CA_excess_cost_recovery</f>
        <v>0</v>
      </c>
      <c r="BR296" s="49">
        <f ca="1">INDEX(HM_ZD_Moho!FA_ECR_cont_rate,MATCH(HM_ZD_Moho!CA_gross_prod_oil,HM_ZD_Moho!FA_ECR_cumprod_oil,1))*HM_ZD_Moho!CA_excess_cost_recovery</f>
        <v>0</v>
      </c>
      <c r="BS296" s="49">
        <f ca="1">INDEX(HM_ZD_Moho!FA_ECR_cont_rate,MATCH(HM_ZD_Moho!CA_gross_prod_oil,HM_ZD_Moho!FA_ECR_cumprod_oil,1))*HM_ZD_Moho!CA_excess_cost_recovery</f>
        <v>0</v>
      </c>
    </row>
    <row r="297" spans="3:71" outlineLevel="1" x14ac:dyDescent="0.2">
      <c r="D297" t="str">
        <f>HM_ZB_Nsoko!D286</f>
        <v>Part du Gouv. dans l'Excess Cost oil</v>
      </c>
      <c r="I297" s="30">
        <f t="shared" ca="1" si="185"/>
        <v>0</v>
      </c>
      <c r="J297" s="26" t="s">
        <v>148</v>
      </c>
      <c r="K297" s="7" t="s">
        <v>216</v>
      </c>
      <c r="L297" s="49">
        <f ca="1">HM_ZD_AM3_2005!L278</f>
        <v>0</v>
      </c>
      <c r="M297" s="49">
        <f ca="1">HM_ZD_AM3_2005!M278</f>
        <v>0</v>
      </c>
      <c r="N297" s="49">
        <f ca="1">HM_ZD_Moho!CA_excess_cost_recovery-HM_ZD_Moho!CA_excess_CR_cont</f>
        <v>0</v>
      </c>
      <c r="O297" s="49">
        <f ca="1">HM_ZD_Moho!CA_excess_cost_recovery-HM_ZD_Moho!CA_excess_CR_cont</f>
        <v>0</v>
      </c>
      <c r="P297" s="49">
        <f ca="1">HM_ZD_Moho!CA_excess_cost_recovery-HM_ZD_Moho!CA_excess_CR_cont</f>
        <v>0</v>
      </c>
      <c r="Q297" s="49">
        <f ca="1">HM_ZD_Moho!CA_excess_cost_recovery-HM_ZD_Moho!CA_excess_CR_cont</f>
        <v>0</v>
      </c>
      <c r="R297" s="49">
        <f ca="1">HM_ZD_Moho!CA_excess_cost_recovery-HM_ZD_Moho!CA_excess_CR_cont</f>
        <v>0</v>
      </c>
      <c r="S297" s="49">
        <f ca="1">HM_ZD_Moho!CA_excess_cost_recovery-HM_ZD_Moho!CA_excess_CR_cont</f>
        <v>0</v>
      </c>
      <c r="T297" s="49">
        <f ca="1">HM_ZD_Moho!CA_excess_cost_recovery-HM_ZD_Moho!CA_excess_CR_cont</f>
        <v>0</v>
      </c>
      <c r="U297" s="49">
        <f ca="1">HM_ZD_Moho!CA_excess_cost_recovery-HM_ZD_Moho!CA_excess_CR_cont</f>
        <v>0</v>
      </c>
      <c r="V297" s="49">
        <f ca="1">HM_ZD_Moho!CA_excess_cost_recovery-HM_ZD_Moho!CA_excess_CR_cont</f>
        <v>0</v>
      </c>
      <c r="W297" s="49">
        <f ca="1">HM_ZD_Moho!CA_excess_cost_recovery-HM_ZD_Moho!CA_excess_CR_cont</f>
        <v>0</v>
      </c>
      <c r="X297" s="49">
        <f ca="1">HM_ZD_Moho!CA_excess_cost_recovery-HM_ZD_Moho!CA_excess_CR_cont</f>
        <v>0</v>
      </c>
      <c r="Y297" s="49">
        <f ca="1">HM_ZD_Moho!CA_excess_cost_recovery-HM_ZD_Moho!CA_excess_CR_cont</f>
        <v>0</v>
      </c>
      <c r="Z297" s="49">
        <f ca="1">HM_ZD_Moho!CA_excess_cost_recovery-HM_ZD_Moho!CA_excess_CR_cont</f>
        <v>0</v>
      </c>
      <c r="AA297" s="49">
        <f ca="1">HM_ZD_Moho!CA_excess_cost_recovery-HM_ZD_Moho!CA_excess_CR_cont</f>
        <v>0</v>
      </c>
      <c r="AB297" s="49">
        <f ca="1">HM_ZD_Moho!CA_excess_cost_recovery-HM_ZD_Moho!CA_excess_CR_cont</f>
        <v>0</v>
      </c>
      <c r="AC297" s="49">
        <f ca="1">HM_ZD_Moho!CA_excess_cost_recovery-HM_ZD_Moho!CA_excess_CR_cont</f>
        <v>0</v>
      </c>
      <c r="AD297" s="49">
        <f ca="1">HM_ZD_Moho!CA_excess_cost_recovery-HM_ZD_Moho!CA_excess_CR_cont</f>
        <v>0</v>
      </c>
      <c r="AE297" s="49">
        <f ca="1">HM_ZD_Moho!CA_excess_cost_recovery-HM_ZD_Moho!CA_excess_CR_cont</f>
        <v>0</v>
      </c>
      <c r="AF297" s="49">
        <f ca="1">HM_ZD_Moho!CA_excess_cost_recovery-HM_ZD_Moho!CA_excess_CR_cont</f>
        <v>0</v>
      </c>
      <c r="AG297" s="49">
        <f ca="1">HM_ZD_Moho!CA_excess_cost_recovery-HM_ZD_Moho!CA_excess_CR_cont</f>
        <v>0</v>
      </c>
      <c r="AH297" s="49">
        <f ca="1">HM_ZD_Moho!CA_excess_cost_recovery-HM_ZD_Moho!CA_excess_CR_cont</f>
        <v>0</v>
      </c>
      <c r="AI297" s="49">
        <f ca="1">HM_ZD_Moho!CA_excess_cost_recovery-HM_ZD_Moho!CA_excess_CR_cont</f>
        <v>0</v>
      </c>
      <c r="AJ297" s="49">
        <f ca="1">HM_ZD_Moho!CA_excess_cost_recovery-HM_ZD_Moho!CA_excess_CR_cont</f>
        <v>0</v>
      </c>
      <c r="AK297" s="49">
        <f ca="1">HM_ZD_Moho!CA_excess_cost_recovery-HM_ZD_Moho!CA_excess_CR_cont</f>
        <v>0</v>
      </c>
      <c r="AL297" s="49">
        <f ca="1">HM_ZD_Moho!CA_excess_cost_recovery-HM_ZD_Moho!CA_excess_CR_cont</f>
        <v>0</v>
      </c>
      <c r="AM297" s="49">
        <f ca="1">HM_ZD_Moho!CA_excess_cost_recovery-HM_ZD_Moho!CA_excess_CR_cont</f>
        <v>0</v>
      </c>
      <c r="AN297" s="49">
        <f ca="1">HM_ZD_Moho!CA_excess_cost_recovery-HM_ZD_Moho!CA_excess_CR_cont</f>
        <v>0</v>
      </c>
      <c r="AO297" s="49">
        <f ca="1">HM_ZD_Moho!CA_excess_cost_recovery-HM_ZD_Moho!CA_excess_CR_cont</f>
        <v>0</v>
      </c>
      <c r="AP297" s="49">
        <f ca="1">HM_ZD_Moho!CA_excess_cost_recovery-HM_ZD_Moho!CA_excess_CR_cont</f>
        <v>0</v>
      </c>
      <c r="AQ297" s="49">
        <f ca="1">HM_ZD_Moho!CA_excess_cost_recovery-HM_ZD_Moho!CA_excess_CR_cont</f>
        <v>0</v>
      </c>
      <c r="AR297" s="49">
        <f ca="1">HM_ZD_Moho!CA_excess_cost_recovery-HM_ZD_Moho!CA_excess_CR_cont</f>
        <v>0</v>
      </c>
      <c r="AS297" s="49">
        <f ca="1">HM_ZD_Moho!CA_excess_cost_recovery-HM_ZD_Moho!CA_excess_CR_cont</f>
        <v>0</v>
      </c>
      <c r="AT297" s="49">
        <f ca="1">HM_ZD_Moho!CA_excess_cost_recovery-HM_ZD_Moho!CA_excess_CR_cont</f>
        <v>0</v>
      </c>
      <c r="AU297" s="49">
        <f ca="1">HM_ZD_Moho!CA_excess_cost_recovery-HM_ZD_Moho!CA_excess_CR_cont</f>
        <v>0</v>
      </c>
      <c r="AV297" s="49">
        <f ca="1">HM_ZD_Moho!CA_excess_cost_recovery-HM_ZD_Moho!CA_excess_CR_cont</f>
        <v>0</v>
      </c>
      <c r="AW297" s="49">
        <f ca="1">HM_ZD_Moho!CA_excess_cost_recovery-HM_ZD_Moho!CA_excess_CR_cont</f>
        <v>0</v>
      </c>
      <c r="AX297" s="49">
        <f ca="1">HM_ZD_Moho!CA_excess_cost_recovery-HM_ZD_Moho!CA_excess_CR_cont</f>
        <v>0</v>
      </c>
      <c r="AY297" s="49">
        <f ca="1">HM_ZD_Moho!CA_excess_cost_recovery-HM_ZD_Moho!CA_excess_CR_cont</f>
        <v>0</v>
      </c>
      <c r="AZ297" s="49">
        <f ca="1">HM_ZD_Moho!CA_excess_cost_recovery-HM_ZD_Moho!CA_excess_CR_cont</f>
        <v>0</v>
      </c>
      <c r="BA297" s="49">
        <f ca="1">HM_ZD_Moho!CA_excess_cost_recovery-HM_ZD_Moho!CA_excess_CR_cont</f>
        <v>0</v>
      </c>
      <c r="BB297" s="49">
        <f ca="1">HM_ZD_Moho!CA_excess_cost_recovery-HM_ZD_Moho!CA_excess_CR_cont</f>
        <v>0</v>
      </c>
      <c r="BC297" s="49">
        <f ca="1">HM_ZD_Moho!CA_excess_cost_recovery-HM_ZD_Moho!CA_excess_CR_cont</f>
        <v>0</v>
      </c>
      <c r="BD297" s="49">
        <f ca="1">HM_ZD_Moho!CA_excess_cost_recovery-HM_ZD_Moho!CA_excess_CR_cont</f>
        <v>0</v>
      </c>
      <c r="BE297" s="49">
        <f ca="1">HM_ZD_Moho!CA_excess_cost_recovery-HM_ZD_Moho!CA_excess_CR_cont</f>
        <v>0</v>
      </c>
      <c r="BF297" s="49">
        <f ca="1">HM_ZD_Moho!CA_excess_cost_recovery-HM_ZD_Moho!CA_excess_CR_cont</f>
        <v>0</v>
      </c>
      <c r="BG297" s="49">
        <f ca="1">HM_ZD_Moho!CA_excess_cost_recovery-HM_ZD_Moho!CA_excess_CR_cont</f>
        <v>0</v>
      </c>
      <c r="BH297" s="49">
        <f ca="1">HM_ZD_Moho!CA_excess_cost_recovery-HM_ZD_Moho!CA_excess_CR_cont</f>
        <v>0</v>
      </c>
      <c r="BI297" s="49">
        <f ca="1">HM_ZD_Moho!CA_excess_cost_recovery-HM_ZD_Moho!CA_excess_CR_cont</f>
        <v>0</v>
      </c>
      <c r="BJ297" s="49">
        <f ca="1">HM_ZD_Moho!CA_excess_cost_recovery-HM_ZD_Moho!CA_excess_CR_cont</f>
        <v>0</v>
      </c>
      <c r="BK297" s="49">
        <f ca="1">HM_ZD_Moho!CA_excess_cost_recovery-HM_ZD_Moho!CA_excess_CR_cont</f>
        <v>0</v>
      </c>
      <c r="BL297" s="49">
        <f ca="1">HM_ZD_Moho!CA_excess_cost_recovery-HM_ZD_Moho!CA_excess_CR_cont</f>
        <v>0</v>
      </c>
      <c r="BM297" s="49">
        <f ca="1">HM_ZD_Moho!CA_excess_cost_recovery-HM_ZD_Moho!CA_excess_CR_cont</f>
        <v>0</v>
      </c>
      <c r="BN297" s="49">
        <f ca="1">HM_ZD_Moho!CA_excess_cost_recovery-HM_ZD_Moho!CA_excess_CR_cont</f>
        <v>0</v>
      </c>
      <c r="BO297" s="49">
        <f ca="1">HM_ZD_Moho!CA_excess_cost_recovery-HM_ZD_Moho!CA_excess_CR_cont</f>
        <v>0</v>
      </c>
      <c r="BP297" s="49">
        <f ca="1">HM_ZD_Moho!CA_excess_cost_recovery-HM_ZD_Moho!CA_excess_CR_cont</f>
        <v>0</v>
      </c>
      <c r="BQ297" s="49">
        <f ca="1">HM_ZD_Moho!CA_excess_cost_recovery-HM_ZD_Moho!CA_excess_CR_cont</f>
        <v>0</v>
      </c>
      <c r="BR297" s="49">
        <f ca="1">HM_ZD_Moho!CA_excess_cost_recovery-HM_ZD_Moho!CA_excess_CR_cont</f>
        <v>0</v>
      </c>
      <c r="BS297" s="49">
        <f ca="1">HM_ZD_Moho!CA_excess_cost_recovery-HM_ZD_Moho!CA_excess_CR_cont</f>
        <v>0</v>
      </c>
    </row>
    <row r="298" spans="3:71" outlineLevel="1" x14ac:dyDescent="0.2">
      <c r="J298" s="26"/>
      <c r="L298" s="55"/>
      <c r="M298" s="55"/>
      <c r="N298" s="55"/>
      <c r="O298" s="55"/>
      <c r="P298" s="55"/>
      <c r="Q298" s="55"/>
      <c r="R298" s="55"/>
      <c r="S298" s="55"/>
      <c r="T298" s="55"/>
      <c r="U298" s="55"/>
      <c r="V298" s="55"/>
      <c r="W298" s="55"/>
      <c r="X298" s="55"/>
      <c r="Y298" s="55"/>
      <c r="Z298" s="55"/>
      <c r="AA298" s="55"/>
      <c r="AB298" s="55"/>
      <c r="AC298" s="55"/>
      <c r="AD298" s="55"/>
      <c r="AE298" s="55"/>
      <c r="AF298" s="55"/>
      <c r="AG298" s="55"/>
      <c r="AH298" s="55"/>
      <c r="AI298" s="55"/>
      <c r="AJ298" s="55"/>
      <c r="AK298" s="55"/>
      <c r="AL298" s="55"/>
      <c r="AM298" s="55"/>
      <c r="AN298" s="55"/>
      <c r="AO298" s="55"/>
      <c r="AP298" s="55"/>
      <c r="AQ298" s="55"/>
      <c r="AR298" s="55"/>
      <c r="AS298" s="55"/>
      <c r="AT298" s="55"/>
      <c r="AU298" s="55"/>
      <c r="AV298" s="55"/>
      <c r="AW298" s="55"/>
      <c r="AX298" s="55"/>
      <c r="AY298" s="55"/>
      <c r="AZ298" s="55"/>
      <c r="BA298" s="55"/>
      <c r="BB298" s="55"/>
      <c r="BC298" s="55"/>
      <c r="BD298" s="55"/>
      <c r="BE298" s="55"/>
      <c r="BF298" s="55"/>
      <c r="BG298" s="55"/>
      <c r="BH298" s="55"/>
      <c r="BI298" s="55"/>
      <c r="BJ298" s="55"/>
      <c r="BK298" s="55"/>
      <c r="BL298" s="55"/>
      <c r="BM298" s="55"/>
      <c r="BN298" s="55"/>
      <c r="BO298" s="55"/>
      <c r="BP298" s="55"/>
      <c r="BQ298" s="55"/>
      <c r="BR298" s="55"/>
      <c r="BS298" s="55"/>
    </row>
    <row r="299" spans="3:71" outlineLevel="1" x14ac:dyDescent="0.2">
      <c r="J299" s="26"/>
      <c r="L299" s="55"/>
      <c r="M299" s="55"/>
      <c r="N299" s="55"/>
      <c r="O299" s="55"/>
      <c r="P299" s="55"/>
      <c r="Q299" s="55"/>
      <c r="R299" s="55"/>
      <c r="S299" s="55"/>
      <c r="T299" s="55"/>
      <c r="U299" s="55"/>
      <c r="V299" s="55"/>
      <c r="W299" s="55"/>
      <c r="X299" s="55"/>
      <c r="Y299" s="55"/>
      <c r="Z299" s="55"/>
      <c r="AA299" s="55"/>
      <c r="AB299" s="55"/>
      <c r="AC299" s="55"/>
      <c r="AD299" s="55"/>
      <c r="AE299" s="55"/>
      <c r="AF299" s="55"/>
      <c r="AG299" s="55"/>
      <c r="AH299" s="55"/>
      <c r="AI299" s="55"/>
      <c r="AJ299" s="55"/>
      <c r="AK299" s="55"/>
      <c r="AL299" s="55"/>
      <c r="AM299" s="55"/>
      <c r="AN299" s="55"/>
      <c r="AO299" s="55"/>
      <c r="AP299" s="55"/>
      <c r="AQ299" s="55"/>
      <c r="AR299" s="55"/>
      <c r="AS299" s="55"/>
      <c r="AT299" s="55"/>
      <c r="AU299" s="55"/>
      <c r="AV299" s="55"/>
      <c r="AW299" s="55"/>
      <c r="AX299" s="55"/>
      <c r="AY299" s="55"/>
      <c r="AZ299" s="55"/>
      <c r="BA299" s="55"/>
      <c r="BB299" s="55"/>
      <c r="BC299" s="55"/>
      <c r="BD299" s="55"/>
      <c r="BE299" s="55"/>
      <c r="BF299" s="55"/>
      <c r="BG299" s="55"/>
      <c r="BH299" s="55"/>
      <c r="BI299" s="55"/>
      <c r="BJ299" s="55"/>
      <c r="BK299" s="55"/>
      <c r="BL299" s="55"/>
      <c r="BM299" s="55"/>
      <c r="BN299" s="55"/>
      <c r="BO299" s="55"/>
      <c r="BP299" s="55"/>
      <c r="BQ299" s="55"/>
      <c r="BR299" s="55"/>
      <c r="BS299" s="55"/>
    </row>
    <row r="300" spans="3:71" outlineLevel="1" x14ac:dyDescent="0.2">
      <c r="C300" s="11" t="str">
        <f>HM_ZB_Nsoko!C289</f>
        <v>Super Profit Oil (SPO)</v>
      </c>
      <c r="J300" s="26"/>
      <c r="L300" s="55"/>
      <c r="M300" s="55"/>
      <c r="N300" s="55"/>
      <c r="O300" s="55"/>
      <c r="P300" s="55"/>
      <c r="Q300" s="55"/>
      <c r="R300" s="55"/>
      <c r="S300" s="55"/>
      <c r="T300" s="55"/>
      <c r="U300" s="55"/>
      <c r="V300" s="55"/>
      <c r="W300" s="55"/>
      <c r="X300" s="55"/>
      <c r="Y300" s="55"/>
      <c r="Z300" s="55"/>
      <c r="AA300" s="55"/>
      <c r="AB300" s="55"/>
      <c r="AC300" s="55"/>
      <c r="AD300" s="55"/>
      <c r="AE300" s="55"/>
      <c r="AF300" s="55"/>
      <c r="AG300" s="55"/>
      <c r="AH300" s="55"/>
      <c r="AI300" s="55"/>
      <c r="AJ300" s="55"/>
      <c r="AK300" s="55"/>
      <c r="AL300" s="55"/>
      <c r="AM300" s="55"/>
      <c r="AN300" s="55"/>
      <c r="AO300" s="55"/>
      <c r="AP300" s="55"/>
      <c r="AQ300" s="55"/>
      <c r="AR300" s="55"/>
      <c r="AS300" s="55"/>
      <c r="AT300" s="55"/>
      <c r="AU300" s="55"/>
      <c r="AV300" s="55"/>
      <c r="AW300" s="55"/>
      <c r="AX300" s="55"/>
      <c r="AY300" s="55"/>
      <c r="AZ300" s="55"/>
      <c r="BA300" s="55"/>
      <c r="BB300" s="55"/>
      <c r="BC300" s="55"/>
      <c r="BD300" s="55"/>
      <c r="BE300" s="55"/>
      <c r="BF300" s="55"/>
      <c r="BG300" s="55"/>
      <c r="BH300" s="55"/>
      <c r="BI300" s="55"/>
      <c r="BJ300" s="55"/>
      <c r="BK300" s="55"/>
      <c r="BL300" s="55"/>
      <c r="BM300" s="55"/>
      <c r="BN300" s="55"/>
      <c r="BO300" s="55"/>
      <c r="BP300" s="55"/>
      <c r="BQ300" s="55"/>
      <c r="BR300" s="55"/>
      <c r="BS300" s="55"/>
    </row>
    <row r="301" spans="3:71" outlineLevel="1" x14ac:dyDescent="0.2">
      <c r="J301" s="26"/>
      <c r="L301" s="55"/>
      <c r="M301" s="55"/>
      <c r="N301" s="55"/>
      <c r="O301" s="55"/>
      <c r="P301" s="55"/>
      <c r="Q301" s="55"/>
      <c r="R301" s="55"/>
      <c r="S301" s="55"/>
      <c r="T301" s="55"/>
      <c r="U301" s="55"/>
      <c r="V301" s="55"/>
      <c r="W301" s="55"/>
      <c r="X301" s="55"/>
      <c r="Y301" s="55"/>
      <c r="Z301" s="55"/>
      <c r="AA301" s="55"/>
      <c r="AB301" s="55"/>
      <c r="AC301" s="55"/>
      <c r="AD301" s="55"/>
      <c r="AE301" s="55"/>
      <c r="AF301" s="55"/>
      <c r="AG301" s="55"/>
      <c r="AH301" s="55"/>
      <c r="AI301" s="55"/>
      <c r="AJ301" s="55"/>
      <c r="AK301" s="55"/>
      <c r="AL301" s="55"/>
      <c r="AM301" s="55"/>
      <c r="AN301" s="55"/>
      <c r="AO301" s="55"/>
      <c r="AP301" s="55"/>
      <c r="AQ301" s="55"/>
      <c r="AR301" s="55"/>
      <c r="AS301" s="55"/>
      <c r="AT301" s="55"/>
      <c r="AU301" s="55"/>
      <c r="AV301" s="55"/>
      <c r="AW301" s="55"/>
      <c r="AX301" s="55"/>
      <c r="AY301" s="55"/>
      <c r="AZ301" s="55"/>
      <c r="BA301" s="55"/>
      <c r="BB301" s="55"/>
      <c r="BC301" s="55"/>
      <c r="BD301" s="55"/>
      <c r="BE301" s="55"/>
      <c r="BF301" s="55"/>
      <c r="BG301" s="55"/>
      <c r="BH301" s="55"/>
      <c r="BI301" s="55"/>
      <c r="BJ301" s="55"/>
      <c r="BK301" s="55"/>
      <c r="BL301" s="55"/>
      <c r="BM301" s="55"/>
      <c r="BN301" s="55"/>
      <c r="BO301" s="55"/>
      <c r="BP301" s="55"/>
      <c r="BQ301" s="55"/>
      <c r="BR301" s="55"/>
      <c r="BS301" s="55"/>
    </row>
    <row r="302" spans="3:71" outlineLevel="1" x14ac:dyDescent="0.2">
      <c r="D302" t="str">
        <f>CHOOSE(db_ML_selected,'Liste Traduction'!B458,'Liste Traduction'!C458)</f>
        <v>Facteur a</v>
      </c>
      <c r="J302" s="26"/>
      <c r="L302" s="55"/>
      <c r="M302" s="55"/>
      <c r="N302" s="55"/>
      <c r="O302" s="55"/>
      <c r="P302" s="55"/>
      <c r="Q302" s="55"/>
      <c r="R302" s="55"/>
      <c r="S302" s="55"/>
      <c r="T302" s="55"/>
      <c r="U302" s="55"/>
      <c r="V302" s="55"/>
      <c r="W302" s="55"/>
      <c r="X302" s="55"/>
      <c r="Y302" s="55"/>
      <c r="Z302" s="55"/>
      <c r="AA302" s="55"/>
      <c r="AB302" s="55"/>
      <c r="AC302" s="55"/>
      <c r="AD302" s="55"/>
      <c r="AE302" s="55"/>
      <c r="AF302" s="55"/>
      <c r="AG302" s="55"/>
      <c r="AH302" s="55"/>
      <c r="AI302" s="55"/>
      <c r="AJ302" s="55"/>
      <c r="AK302" s="55"/>
      <c r="AL302" s="55"/>
      <c r="AM302" s="55"/>
      <c r="AN302" s="55"/>
      <c r="AO302" s="55"/>
      <c r="AP302" s="55"/>
      <c r="AQ302" s="55"/>
      <c r="AR302" s="55"/>
      <c r="AS302" s="55"/>
      <c r="AT302" s="55"/>
      <c r="AU302" s="55"/>
      <c r="AV302" s="55"/>
      <c r="AW302" s="55"/>
      <c r="AX302" s="55"/>
      <c r="AY302" s="55"/>
      <c r="AZ302" s="55"/>
      <c r="BA302" s="55"/>
      <c r="BB302" s="55"/>
      <c r="BC302" s="55"/>
      <c r="BD302" s="55"/>
      <c r="BE302" s="55"/>
      <c r="BF302" s="55"/>
      <c r="BG302" s="55"/>
      <c r="BH302" s="55"/>
      <c r="BI302" s="55"/>
      <c r="BJ302" s="55"/>
      <c r="BK302" s="55"/>
      <c r="BL302" s="55"/>
      <c r="BM302" s="55"/>
      <c r="BN302" s="55"/>
      <c r="BO302" s="55"/>
      <c r="BP302" s="55"/>
      <c r="BQ302" s="55"/>
      <c r="BR302" s="55"/>
      <c r="BS302" s="55"/>
    </row>
    <row r="303" spans="3:71" outlineLevel="1" x14ac:dyDescent="0.2">
      <c r="D303" s="75" t="str">
        <f>CHOOSE(db_ML_selected,'Liste Traduction'!B459,'Liste Traduction'!C459)</f>
        <v>Revenus SPO - Tranche 1</v>
      </c>
      <c r="I303" s="30">
        <f t="shared" ref="I303" ca="1" si="186">SUM($L303:$BS303)</f>
        <v>351.29056545694993</v>
      </c>
      <c r="J303" s="26" t="s">
        <v>148</v>
      </c>
      <c r="L303" s="49">
        <f ca="1">HM_ZD_AM3_2005!L283</f>
        <v>0</v>
      </c>
      <c r="M303" s="49">
        <f ca="1">HM_ZD_AM3_2005!M283</f>
        <v>0</v>
      </c>
      <c r="N303" s="49">
        <f ca="1">IFERROR(IF((_xlfn.SINGLE(HM_ZD_Moho!CA_cum_gross_sales_oil)+_xlfn.SINGLE(HM_ZD_Moho!CA_gross_sales_lpg))&lt;INDEX(HM_ZD_Moho!FA_SPO_cumprod_oil,2),MAX(70%*_xlfn.SINGLE(HM_ZD_Moho!CA_gross_rev_oil_fp)*(1-(IF(_xlfn.SINGLE(CA_period_trig)=1,_xlfn.SINGLE(CA_HP_oil_nom_period1),_xlfn.SINGLE(CA_HP_oil_nom_period2))/_xlfn.SINGLE(HM_ZD_Moho!CA_FP_oil_nom))),0),0),0)</f>
        <v>216.31820237317493</v>
      </c>
      <c r="O303" s="49">
        <f ca="1">IFERROR(IF((_xlfn.SINGLE(HM_ZD_Moho!CA_cum_gross_sales_oil)+_xlfn.SINGLE(HM_ZD_Moho!CA_gross_sales_lpg))&lt;INDEX(HM_ZD_Moho!FA_SPO_cumprod_oil,2),MAX(70%*_xlfn.SINGLE(HM_ZD_Moho!CA_gross_rev_oil_fp)*(1-(IF(_xlfn.SINGLE(CA_period_trig)=1,_xlfn.SINGLE(CA_HP_oil_nom_period1),_xlfn.SINGLE(CA_HP_oil_nom_period2))/_xlfn.SINGLE(HM_ZD_Moho!CA_FP_oil_nom))),0),0),0)</f>
        <v>134.97236308377498</v>
      </c>
      <c r="P303" s="49">
        <f ca="1">IFERROR(IF((_xlfn.SINGLE(HM_ZD_Moho!CA_cum_gross_sales_oil)+_xlfn.SINGLE(HM_ZD_Moho!CA_gross_sales_lpg))&lt;INDEX(HM_ZD_Moho!FA_SPO_cumprod_oil,2),MAX(70%*_xlfn.SINGLE(HM_ZD_Moho!CA_gross_rev_oil_fp)*(1-(IF(_xlfn.SINGLE(CA_period_trig)=1,_xlfn.SINGLE(CA_HP_oil_nom_period1),_xlfn.SINGLE(CA_HP_oil_nom_period2))/_xlfn.SINGLE(HM_ZD_Moho!CA_FP_oil_nom))),0),0),0)</f>
        <v>0</v>
      </c>
      <c r="Q303" s="49">
        <f ca="1">IFERROR(IF((_xlfn.SINGLE(HM_ZD_Moho!CA_cum_gross_sales_oil)+_xlfn.SINGLE(HM_ZD_Moho!CA_gross_sales_lpg))&lt;INDEX(HM_ZD_Moho!FA_SPO_cumprod_oil,2),MAX(70%*_xlfn.SINGLE(HM_ZD_Moho!CA_gross_rev_oil_fp)*(1-(IF(_xlfn.SINGLE(CA_period_trig)=1,_xlfn.SINGLE(CA_HP_oil_nom_period1),_xlfn.SINGLE(CA_HP_oil_nom_period2))/_xlfn.SINGLE(HM_ZD_Moho!CA_FP_oil_nom))),0),0),0)</f>
        <v>0</v>
      </c>
      <c r="R303" s="49">
        <f ca="1">IFERROR(IF((_xlfn.SINGLE(HM_ZD_Moho!CA_cum_gross_sales_oil)+_xlfn.SINGLE(HM_ZD_Moho!CA_gross_sales_lpg))&lt;INDEX(HM_ZD_Moho!FA_SPO_cumprod_oil,2),MAX(70%*_xlfn.SINGLE(HM_ZD_Moho!CA_gross_rev_oil_fp)*(1-(IF(_xlfn.SINGLE(CA_period_trig)=1,_xlfn.SINGLE(CA_HP_oil_nom_period1),_xlfn.SINGLE(CA_HP_oil_nom_period2))/_xlfn.SINGLE(HM_ZD_Moho!CA_FP_oil_nom))),0),0),0)</f>
        <v>0</v>
      </c>
      <c r="S303" s="49">
        <f ca="1">IFERROR(IF((_xlfn.SINGLE(HM_ZD_Moho!CA_cum_gross_sales_oil)+_xlfn.SINGLE(HM_ZD_Moho!CA_gross_sales_lpg))&lt;INDEX(HM_ZD_Moho!FA_SPO_cumprod_oil,2),MAX(70%*_xlfn.SINGLE(HM_ZD_Moho!CA_gross_rev_oil_fp)*(1-(IF(_xlfn.SINGLE(CA_period_trig)=1,_xlfn.SINGLE(CA_HP_oil_nom_period1),_xlfn.SINGLE(CA_HP_oil_nom_period2))/_xlfn.SINGLE(HM_ZD_Moho!CA_FP_oil_nom))),0),0),0)</f>
        <v>0</v>
      </c>
      <c r="T303" s="49">
        <f ca="1">IFERROR(IF((_xlfn.SINGLE(HM_ZD_Moho!CA_cum_gross_sales_oil)+_xlfn.SINGLE(HM_ZD_Moho!CA_gross_sales_lpg))&lt;INDEX(HM_ZD_Moho!FA_SPO_cumprod_oil,2),MAX(70%*_xlfn.SINGLE(HM_ZD_Moho!CA_gross_rev_oil_fp)*(1-(IF(_xlfn.SINGLE(CA_period_trig)=1,_xlfn.SINGLE(CA_HP_oil_nom_period1),_xlfn.SINGLE(CA_HP_oil_nom_period2))/_xlfn.SINGLE(HM_ZD_Moho!CA_FP_oil_nom))),0),0),0)</f>
        <v>0</v>
      </c>
      <c r="U303" s="49">
        <f ca="1">IFERROR(IF((_xlfn.SINGLE(HM_ZD_Moho!CA_cum_gross_sales_oil)+_xlfn.SINGLE(HM_ZD_Moho!CA_gross_sales_lpg))&lt;INDEX(HM_ZD_Moho!FA_SPO_cumprod_oil,2),MAX(70%*_xlfn.SINGLE(HM_ZD_Moho!CA_gross_rev_oil_fp)*(1-(IF(_xlfn.SINGLE(CA_period_trig)=1,_xlfn.SINGLE(CA_HP_oil_nom_period1),_xlfn.SINGLE(CA_HP_oil_nom_period2))/_xlfn.SINGLE(HM_ZD_Moho!CA_FP_oil_nom))),0),0),0)</f>
        <v>0</v>
      </c>
      <c r="V303" s="49">
        <f ca="1">IFERROR(IF((_xlfn.SINGLE(HM_ZD_Moho!CA_cum_gross_sales_oil)+_xlfn.SINGLE(HM_ZD_Moho!CA_gross_sales_lpg))&lt;INDEX(HM_ZD_Moho!FA_SPO_cumprod_oil,2),MAX(70%*_xlfn.SINGLE(HM_ZD_Moho!CA_gross_rev_oil_fp)*(1-(IF(_xlfn.SINGLE(CA_period_trig)=1,_xlfn.SINGLE(CA_HP_oil_nom_period1),_xlfn.SINGLE(CA_HP_oil_nom_period2))/_xlfn.SINGLE(HM_ZD_Moho!CA_FP_oil_nom))),0),0),0)</f>
        <v>0</v>
      </c>
      <c r="W303" s="49">
        <f ca="1">IFERROR(IF((_xlfn.SINGLE(HM_ZD_Moho!CA_cum_gross_sales_oil)+_xlfn.SINGLE(HM_ZD_Moho!CA_gross_sales_lpg))&lt;INDEX(HM_ZD_Moho!FA_SPO_cumprod_oil,2),MAX(70%*_xlfn.SINGLE(HM_ZD_Moho!CA_gross_rev_oil_fp)*(1-(IF(_xlfn.SINGLE(CA_period_trig)=1,_xlfn.SINGLE(CA_HP_oil_nom_period1),_xlfn.SINGLE(CA_HP_oil_nom_period2))/_xlfn.SINGLE(HM_ZD_Moho!CA_FP_oil_nom))),0),0),0)</f>
        <v>0</v>
      </c>
      <c r="X303" s="49">
        <f ca="1">IFERROR(IF((_xlfn.SINGLE(HM_ZD_Moho!CA_cum_gross_sales_oil)+_xlfn.SINGLE(HM_ZD_Moho!CA_gross_sales_lpg))&lt;INDEX(HM_ZD_Moho!FA_SPO_cumprod_oil,2),MAX(70%*_xlfn.SINGLE(HM_ZD_Moho!CA_gross_rev_oil_fp)*(1-(IF(_xlfn.SINGLE(CA_period_trig)=1,_xlfn.SINGLE(CA_HP_oil_nom_period1),_xlfn.SINGLE(CA_HP_oil_nom_period2))/_xlfn.SINGLE(HM_ZD_Moho!CA_FP_oil_nom))),0),0),0)</f>
        <v>0</v>
      </c>
      <c r="Y303" s="49">
        <f ca="1">IFERROR(IF((_xlfn.SINGLE(HM_ZD_Moho!CA_cum_gross_sales_oil)+_xlfn.SINGLE(HM_ZD_Moho!CA_gross_sales_lpg))&lt;INDEX(HM_ZD_Moho!FA_SPO_cumprod_oil,2),MAX(70%*_xlfn.SINGLE(HM_ZD_Moho!CA_gross_rev_oil_fp)*(1-(IF(_xlfn.SINGLE(CA_period_trig)=1,_xlfn.SINGLE(CA_HP_oil_nom_period1),_xlfn.SINGLE(CA_HP_oil_nom_period2))/_xlfn.SINGLE(HM_ZD_Moho!CA_FP_oil_nom))),0),0),0)</f>
        <v>0</v>
      </c>
      <c r="Z303" s="49">
        <f ca="1">IFERROR(IF((_xlfn.SINGLE(HM_ZD_Moho!CA_cum_gross_sales_oil)+_xlfn.SINGLE(HM_ZD_Moho!CA_gross_sales_lpg))&lt;INDEX(HM_ZD_Moho!FA_SPO_cumprod_oil,2),MAX(70%*_xlfn.SINGLE(HM_ZD_Moho!CA_gross_rev_oil_fp)*(1-(IF(_xlfn.SINGLE(CA_period_trig)=1,_xlfn.SINGLE(CA_HP_oil_nom_period1),_xlfn.SINGLE(CA_HP_oil_nom_period2))/_xlfn.SINGLE(HM_ZD_Moho!CA_FP_oil_nom))),0),0),0)</f>
        <v>0</v>
      </c>
      <c r="AA303" s="49">
        <f ca="1">IFERROR(IF((_xlfn.SINGLE(HM_ZD_Moho!CA_cum_gross_sales_oil)+_xlfn.SINGLE(HM_ZD_Moho!CA_gross_sales_lpg))&lt;INDEX(HM_ZD_Moho!FA_SPO_cumprod_oil,2),MAX(70%*_xlfn.SINGLE(HM_ZD_Moho!CA_gross_rev_oil_fp)*(1-(IF(_xlfn.SINGLE(CA_period_trig)=1,_xlfn.SINGLE(CA_HP_oil_nom_period1),_xlfn.SINGLE(CA_HP_oil_nom_period2))/_xlfn.SINGLE(HM_ZD_Moho!CA_FP_oil_nom))),0),0),0)</f>
        <v>0</v>
      </c>
      <c r="AB303" s="49">
        <f ca="1">IFERROR(IF((_xlfn.SINGLE(HM_ZD_Moho!CA_cum_gross_sales_oil)+_xlfn.SINGLE(HM_ZD_Moho!CA_gross_sales_lpg))&lt;INDEX(HM_ZD_Moho!FA_SPO_cumprod_oil,2),MAX(70%*_xlfn.SINGLE(HM_ZD_Moho!CA_gross_rev_oil_fp)*(1-(IF(_xlfn.SINGLE(CA_period_trig)=1,_xlfn.SINGLE(CA_HP_oil_nom_period1),_xlfn.SINGLE(CA_HP_oil_nom_period2))/_xlfn.SINGLE(HM_ZD_Moho!CA_FP_oil_nom))),0),0),0)</f>
        <v>0</v>
      </c>
      <c r="AC303" s="49">
        <f ca="1">IFERROR(IF((_xlfn.SINGLE(HM_ZD_Moho!CA_cum_gross_sales_oil)+_xlfn.SINGLE(HM_ZD_Moho!CA_gross_sales_lpg))&lt;INDEX(HM_ZD_Moho!FA_SPO_cumprod_oil,2),MAX(70%*_xlfn.SINGLE(HM_ZD_Moho!CA_gross_rev_oil_fp)*(1-(IF(_xlfn.SINGLE(CA_period_trig)=1,_xlfn.SINGLE(CA_HP_oil_nom_period1),_xlfn.SINGLE(CA_HP_oil_nom_period2))/_xlfn.SINGLE(HM_ZD_Moho!CA_FP_oil_nom))),0),0),0)</f>
        <v>0</v>
      </c>
      <c r="AD303" s="49">
        <f ca="1">IFERROR(IF((_xlfn.SINGLE(HM_ZD_Moho!CA_cum_gross_sales_oil)+_xlfn.SINGLE(HM_ZD_Moho!CA_gross_sales_lpg))&lt;INDEX(HM_ZD_Moho!FA_SPO_cumprod_oil,2),MAX(70%*_xlfn.SINGLE(HM_ZD_Moho!CA_gross_rev_oil_fp)*(1-(IF(_xlfn.SINGLE(CA_period_trig)=1,_xlfn.SINGLE(CA_HP_oil_nom_period1),_xlfn.SINGLE(CA_HP_oil_nom_period2))/_xlfn.SINGLE(HM_ZD_Moho!CA_FP_oil_nom))),0),0),0)</f>
        <v>0</v>
      </c>
      <c r="AE303" s="49">
        <f ca="1">IFERROR(IF((_xlfn.SINGLE(HM_ZD_Moho!CA_cum_gross_sales_oil)+_xlfn.SINGLE(HM_ZD_Moho!CA_gross_sales_lpg))&lt;INDEX(HM_ZD_Moho!FA_SPO_cumprod_oil,2),MAX(70%*_xlfn.SINGLE(HM_ZD_Moho!CA_gross_rev_oil_fp)*(1-(IF(_xlfn.SINGLE(CA_period_trig)=1,_xlfn.SINGLE(CA_HP_oil_nom_period1),_xlfn.SINGLE(CA_HP_oil_nom_period2))/_xlfn.SINGLE(HM_ZD_Moho!CA_FP_oil_nom))),0),0),0)</f>
        <v>0</v>
      </c>
      <c r="AF303" s="49">
        <f ca="1">IFERROR(IF((_xlfn.SINGLE(HM_ZD_Moho!CA_cum_gross_sales_oil)+_xlfn.SINGLE(HM_ZD_Moho!CA_gross_sales_lpg))&lt;INDEX(HM_ZD_Moho!FA_SPO_cumprod_oil,2),MAX(70%*_xlfn.SINGLE(HM_ZD_Moho!CA_gross_rev_oil_fp)*(1-(IF(_xlfn.SINGLE(CA_period_trig)=1,_xlfn.SINGLE(CA_HP_oil_nom_period1),_xlfn.SINGLE(CA_HP_oil_nom_period2))/_xlfn.SINGLE(HM_ZD_Moho!CA_FP_oil_nom))),0),0),0)</f>
        <v>0</v>
      </c>
      <c r="AG303" s="49">
        <f ca="1">IFERROR(IF((_xlfn.SINGLE(HM_ZD_Moho!CA_cum_gross_sales_oil)+_xlfn.SINGLE(HM_ZD_Moho!CA_gross_sales_lpg))&lt;INDEX(HM_ZD_Moho!FA_SPO_cumprod_oil,2),MAX(70%*_xlfn.SINGLE(HM_ZD_Moho!CA_gross_rev_oil_fp)*(1-(IF(_xlfn.SINGLE(CA_period_trig)=1,_xlfn.SINGLE(CA_HP_oil_nom_period1),_xlfn.SINGLE(CA_HP_oil_nom_period2))/_xlfn.SINGLE(HM_ZD_Moho!CA_FP_oil_nom))),0),0),0)</f>
        <v>0</v>
      </c>
      <c r="AH303" s="49">
        <f ca="1">IFERROR(IF((_xlfn.SINGLE(HM_ZD_Moho!CA_cum_gross_sales_oil)+_xlfn.SINGLE(HM_ZD_Moho!CA_gross_sales_lpg))&lt;INDEX(HM_ZD_Moho!FA_SPO_cumprod_oil,2),MAX(70%*_xlfn.SINGLE(HM_ZD_Moho!CA_gross_rev_oil_fp)*(1-(IF(_xlfn.SINGLE(CA_period_trig)=1,_xlfn.SINGLE(CA_HP_oil_nom_period1),_xlfn.SINGLE(CA_HP_oil_nom_period2))/_xlfn.SINGLE(HM_ZD_Moho!CA_FP_oil_nom))),0),0),0)</f>
        <v>0</v>
      </c>
      <c r="AI303" s="49">
        <f ca="1">IFERROR(IF((_xlfn.SINGLE(HM_ZD_Moho!CA_cum_gross_sales_oil)+_xlfn.SINGLE(HM_ZD_Moho!CA_gross_sales_lpg))&lt;INDEX(HM_ZD_Moho!FA_SPO_cumprod_oil,2),MAX(70%*_xlfn.SINGLE(HM_ZD_Moho!CA_gross_rev_oil_fp)*(1-(IF(_xlfn.SINGLE(CA_period_trig)=1,_xlfn.SINGLE(CA_HP_oil_nom_period1),_xlfn.SINGLE(CA_HP_oil_nom_period2))/_xlfn.SINGLE(HM_ZD_Moho!CA_FP_oil_nom))),0),0),0)</f>
        <v>0</v>
      </c>
      <c r="AJ303" s="49">
        <f ca="1">IFERROR(IF((_xlfn.SINGLE(HM_ZD_Moho!CA_cum_gross_sales_oil)+_xlfn.SINGLE(HM_ZD_Moho!CA_gross_sales_lpg))&lt;INDEX(HM_ZD_Moho!FA_SPO_cumprod_oil,2),MAX(70%*_xlfn.SINGLE(HM_ZD_Moho!CA_gross_rev_oil_fp)*(1-(IF(_xlfn.SINGLE(CA_period_trig)=1,_xlfn.SINGLE(CA_HP_oil_nom_period1),_xlfn.SINGLE(CA_HP_oil_nom_period2))/_xlfn.SINGLE(HM_ZD_Moho!CA_FP_oil_nom))),0),0),0)</f>
        <v>0</v>
      </c>
      <c r="AK303" s="49">
        <f ca="1">IFERROR(IF((_xlfn.SINGLE(HM_ZD_Moho!CA_cum_gross_sales_oil)+_xlfn.SINGLE(HM_ZD_Moho!CA_gross_sales_lpg))&lt;INDEX(HM_ZD_Moho!FA_SPO_cumprod_oil,2),MAX(70%*_xlfn.SINGLE(HM_ZD_Moho!CA_gross_rev_oil_fp)*(1-(IF(_xlfn.SINGLE(CA_period_trig)=1,_xlfn.SINGLE(CA_HP_oil_nom_period1),_xlfn.SINGLE(CA_HP_oil_nom_period2))/_xlfn.SINGLE(HM_ZD_Moho!CA_FP_oil_nom))),0),0),0)</f>
        <v>0</v>
      </c>
      <c r="AL303" s="49">
        <f ca="1">IFERROR(IF((_xlfn.SINGLE(HM_ZD_Moho!CA_cum_gross_sales_oil)+_xlfn.SINGLE(HM_ZD_Moho!CA_gross_sales_lpg))&lt;INDEX(HM_ZD_Moho!FA_SPO_cumprod_oil,2),MAX(70%*_xlfn.SINGLE(HM_ZD_Moho!CA_gross_rev_oil_fp)*(1-(IF(_xlfn.SINGLE(CA_period_trig)=1,_xlfn.SINGLE(CA_HP_oil_nom_period1),_xlfn.SINGLE(CA_HP_oil_nom_period2))/_xlfn.SINGLE(HM_ZD_Moho!CA_FP_oil_nom))),0),0),0)</f>
        <v>0</v>
      </c>
      <c r="AM303" s="49">
        <f ca="1">IFERROR(IF((_xlfn.SINGLE(HM_ZD_Moho!CA_cum_gross_sales_oil)+_xlfn.SINGLE(HM_ZD_Moho!CA_gross_sales_lpg))&lt;INDEX(HM_ZD_Moho!FA_SPO_cumprod_oil,2),MAX(70%*_xlfn.SINGLE(HM_ZD_Moho!CA_gross_rev_oil_fp)*(1-(IF(_xlfn.SINGLE(CA_period_trig)=1,_xlfn.SINGLE(CA_HP_oil_nom_period1),_xlfn.SINGLE(CA_HP_oil_nom_period2))/_xlfn.SINGLE(HM_ZD_Moho!CA_FP_oil_nom))),0),0),0)</f>
        <v>0</v>
      </c>
      <c r="AN303" s="49">
        <f ca="1">IFERROR(IF((_xlfn.SINGLE(HM_ZD_Moho!CA_cum_gross_sales_oil)+_xlfn.SINGLE(HM_ZD_Moho!CA_gross_sales_lpg))&lt;INDEX(HM_ZD_Moho!FA_SPO_cumprod_oil,2),MAX(70%*_xlfn.SINGLE(HM_ZD_Moho!CA_gross_rev_oil_fp)*(1-(IF(_xlfn.SINGLE(CA_period_trig)=1,_xlfn.SINGLE(CA_HP_oil_nom_period1),_xlfn.SINGLE(CA_HP_oil_nom_period2))/_xlfn.SINGLE(HM_ZD_Moho!CA_FP_oil_nom))),0),0),0)</f>
        <v>0</v>
      </c>
      <c r="AO303" s="49">
        <f ca="1">IFERROR(IF((_xlfn.SINGLE(HM_ZD_Moho!CA_cum_gross_sales_oil)+_xlfn.SINGLE(HM_ZD_Moho!CA_gross_sales_lpg))&lt;INDEX(HM_ZD_Moho!FA_SPO_cumprod_oil,2),MAX(70%*_xlfn.SINGLE(HM_ZD_Moho!CA_gross_rev_oil_fp)*(1-(IF(_xlfn.SINGLE(CA_period_trig)=1,_xlfn.SINGLE(CA_HP_oil_nom_period1),_xlfn.SINGLE(CA_HP_oil_nom_period2))/_xlfn.SINGLE(HM_ZD_Moho!CA_FP_oil_nom))),0),0),0)</f>
        <v>0</v>
      </c>
      <c r="AP303" s="49">
        <f ca="1">IFERROR(IF((_xlfn.SINGLE(HM_ZD_Moho!CA_cum_gross_sales_oil)+_xlfn.SINGLE(HM_ZD_Moho!CA_gross_sales_lpg))&lt;INDEX(HM_ZD_Moho!FA_SPO_cumprod_oil,2),MAX(70%*_xlfn.SINGLE(HM_ZD_Moho!CA_gross_rev_oil_fp)*(1-(IF(_xlfn.SINGLE(CA_period_trig)=1,_xlfn.SINGLE(CA_HP_oil_nom_period1),_xlfn.SINGLE(CA_HP_oil_nom_period2))/_xlfn.SINGLE(HM_ZD_Moho!CA_FP_oil_nom))),0),0),0)</f>
        <v>0</v>
      </c>
      <c r="AQ303" s="49">
        <f ca="1">IFERROR(IF((_xlfn.SINGLE(HM_ZD_Moho!CA_cum_gross_sales_oil)+_xlfn.SINGLE(HM_ZD_Moho!CA_gross_sales_lpg))&lt;INDEX(HM_ZD_Moho!FA_SPO_cumprod_oil,2),MAX(70%*_xlfn.SINGLE(HM_ZD_Moho!CA_gross_rev_oil_fp)*(1-(IF(_xlfn.SINGLE(CA_period_trig)=1,_xlfn.SINGLE(CA_HP_oil_nom_period1),_xlfn.SINGLE(CA_HP_oil_nom_period2))/_xlfn.SINGLE(HM_ZD_Moho!CA_FP_oil_nom))),0),0),0)</f>
        <v>0</v>
      </c>
      <c r="AR303" s="49">
        <f ca="1">IFERROR(IF((_xlfn.SINGLE(HM_ZD_Moho!CA_cum_gross_sales_oil)+_xlfn.SINGLE(HM_ZD_Moho!CA_gross_sales_lpg))&lt;INDEX(HM_ZD_Moho!FA_SPO_cumprod_oil,2),MAX(70%*_xlfn.SINGLE(HM_ZD_Moho!CA_gross_rev_oil_fp)*(1-(IF(_xlfn.SINGLE(CA_period_trig)=1,_xlfn.SINGLE(CA_HP_oil_nom_period1),_xlfn.SINGLE(CA_HP_oil_nom_period2))/_xlfn.SINGLE(HM_ZD_Moho!CA_FP_oil_nom))),0),0),0)</f>
        <v>0</v>
      </c>
      <c r="AS303" s="49">
        <f ca="1">IFERROR(IF((_xlfn.SINGLE(HM_ZD_Moho!CA_cum_gross_sales_oil)+_xlfn.SINGLE(HM_ZD_Moho!CA_gross_sales_lpg))&lt;INDEX(HM_ZD_Moho!FA_SPO_cumprod_oil,2),MAX(70%*_xlfn.SINGLE(HM_ZD_Moho!CA_gross_rev_oil_fp)*(1-(IF(_xlfn.SINGLE(CA_period_trig)=1,_xlfn.SINGLE(CA_HP_oil_nom_period1),_xlfn.SINGLE(CA_HP_oil_nom_period2))/_xlfn.SINGLE(HM_ZD_Moho!CA_FP_oil_nom))),0),0),0)</f>
        <v>0</v>
      </c>
      <c r="AT303" s="49">
        <f ca="1">IFERROR(IF((_xlfn.SINGLE(HM_ZD_Moho!CA_cum_gross_sales_oil)+_xlfn.SINGLE(HM_ZD_Moho!CA_gross_sales_lpg))&lt;INDEX(HM_ZD_Moho!FA_SPO_cumprod_oil,2),MAX(70%*_xlfn.SINGLE(HM_ZD_Moho!CA_gross_rev_oil_fp)*(1-(IF(_xlfn.SINGLE(CA_period_trig)=1,_xlfn.SINGLE(CA_HP_oil_nom_period1),_xlfn.SINGLE(CA_HP_oil_nom_period2))/_xlfn.SINGLE(HM_ZD_Moho!CA_FP_oil_nom))),0),0),0)</f>
        <v>0</v>
      </c>
      <c r="AU303" s="49">
        <f ca="1">IFERROR(IF((_xlfn.SINGLE(HM_ZD_Moho!CA_cum_gross_sales_oil)+_xlfn.SINGLE(HM_ZD_Moho!CA_gross_sales_lpg))&lt;INDEX(HM_ZD_Moho!FA_SPO_cumprod_oil,2),MAX(70%*_xlfn.SINGLE(HM_ZD_Moho!CA_gross_rev_oil_fp)*(1-(IF(_xlfn.SINGLE(CA_period_trig)=1,_xlfn.SINGLE(CA_HP_oil_nom_period1),_xlfn.SINGLE(CA_HP_oil_nom_period2))/_xlfn.SINGLE(HM_ZD_Moho!CA_FP_oil_nom))),0),0),0)</f>
        <v>0</v>
      </c>
      <c r="AV303" s="49">
        <f ca="1">IFERROR(IF((_xlfn.SINGLE(HM_ZD_Moho!CA_cum_gross_sales_oil)+_xlfn.SINGLE(HM_ZD_Moho!CA_gross_sales_lpg))&lt;INDEX(HM_ZD_Moho!FA_SPO_cumprod_oil,2),MAX(70%*_xlfn.SINGLE(HM_ZD_Moho!CA_gross_rev_oil_fp)*(1-(IF(_xlfn.SINGLE(CA_period_trig)=1,_xlfn.SINGLE(CA_HP_oil_nom_period1),_xlfn.SINGLE(CA_HP_oil_nom_period2))/_xlfn.SINGLE(HM_ZD_Moho!CA_FP_oil_nom))),0),0),0)</f>
        <v>0</v>
      </c>
      <c r="AW303" s="49">
        <f ca="1">IFERROR(IF((_xlfn.SINGLE(HM_ZD_Moho!CA_cum_gross_sales_oil)+_xlfn.SINGLE(HM_ZD_Moho!CA_gross_sales_lpg))&lt;INDEX(HM_ZD_Moho!FA_SPO_cumprod_oil,2),MAX(70%*_xlfn.SINGLE(HM_ZD_Moho!CA_gross_rev_oil_fp)*(1-(IF(_xlfn.SINGLE(CA_period_trig)=1,_xlfn.SINGLE(CA_HP_oil_nom_period1),_xlfn.SINGLE(CA_HP_oil_nom_period2))/_xlfn.SINGLE(HM_ZD_Moho!CA_FP_oil_nom))),0),0),0)</f>
        <v>0</v>
      </c>
      <c r="AX303" s="49">
        <f ca="1">IFERROR(IF((_xlfn.SINGLE(HM_ZD_Moho!CA_cum_gross_sales_oil)+_xlfn.SINGLE(HM_ZD_Moho!CA_gross_sales_lpg))&lt;INDEX(HM_ZD_Moho!FA_SPO_cumprod_oil,2),MAX(70%*_xlfn.SINGLE(HM_ZD_Moho!CA_gross_rev_oil_fp)*(1-(IF(_xlfn.SINGLE(CA_period_trig)=1,_xlfn.SINGLE(CA_HP_oil_nom_period1),_xlfn.SINGLE(CA_HP_oil_nom_period2))/_xlfn.SINGLE(HM_ZD_Moho!CA_FP_oil_nom))),0),0),0)</f>
        <v>0</v>
      </c>
      <c r="AY303" s="49">
        <f ca="1">IFERROR(IF((_xlfn.SINGLE(HM_ZD_Moho!CA_cum_gross_sales_oil)+_xlfn.SINGLE(HM_ZD_Moho!CA_gross_sales_lpg))&lt;INDEX(HM_ZD_Moho!FA_SPO_cumprod_oil,2),MAX(70%*_xlfn.SINGLE(HM_ZD_Moho!CA_gross_rev_oil_fp)*(1-(IF(_xlfn.SINGLE(CA_period_trig)=1,_xlfn.SINGLE(CA_HP_oil_nom_period1),_xlfn.SINGLE(CA_HP_oil_nom_period2))/_xlfn.SINGLE(HM_ZD_Moho!CA_FP_oil_nom))),0),0),0)</f>
        <v>0</v>
      </c>
      <c r="AZ303" s="49">
        <f ca="1">IFERROR(IF((_xlfn.SINGLE(HM_ZD_Moho!CA_cum_gross_sales_oil)+_xlfn.SINGLE(HM_ZD_Moho!CA_gross_sales_lpg))&lt;INDEX(HM_ZD_Moho!FA_SPO_cumprod_oil,2),MAX(70%*_xlfn.SINGLE(HM_ZD_Moho!CA_gross_rev_oil_fp)*(1-(IF(_xlfn.SINGLE(CA_period_trig)=1,_xlfn.SINGLE(CA_HP_oil_nom_period1),_xlfn.SINGLE(CA_HP_oil_nom_period2))/_xlfn.SINGLE(HM_ZD_Moho!CA_FP_oil_nom))),0),0),0)</f>
        <v>0</v>
      </c>
      <c r="BA303" s="49">
        <f ca="1">IFERROR(IF((_xlfn.SINGLE(HM_ZD_Moho!CA_cum_gross_sales_oil)+_xlfn.SINGLE(HM_ZD_Moho!CA_gross_sales_lpg))&lt;INDEX(HM_ZD_Moho!FA_SPO_cumprod_oil,2),MAX(70%*_xlfn.SINGLE(HM_ZD_Moho!CA_gross_rev_oil_fp)*(1-(IF(_xlfn.SINGLE(CA_period_trig)=1,_xlfn.SINGLE(CA_HP_oil_nom_period1),_xlfn.SINGLE(CA_HP_oil_nom_period2))/_xlfn.SINGLE(HM_ZD_Moho!CA_FP_oil_nom))),0),0),0)</f>
        <v>0</v>
      </c>
      <c r="BB303" s="49">
        <f ca="1">IFERROR(IF((_xlfn.SINGLE(HM_ZD_Moho!CA_cum_gross_sales_oil)+_xlfn.SINGLE(HM_ZD_Moho!CA_gross_sales_lpg))&lt;INDEX(HM_ZD_Moho!FA_SPO_cumprod_oil,2),MAX(70%*_xlfn.SINGLE(HM_ZD_Moho!CA_gross_rev_oil_fp)*(1-(IF(_xlfn.SINGLE(CA_period_trig)=1,_xlfn.SINGLE(CA_HP_oil_nom_period1),_xlfn.SINGLE(CA_HP_oil_nom_period2))/_xlfn.SINGLE(HM_ZD_Moho!CA_FP_oil_nom))),0),0),0)</f>
        <v>0</v>
      </c>
      <c r="BC303" s="49">
        <f ca="1">IFERROR(IF((_xlfn.SINGLE(HM_ZD_Moho!CA_cum_gross_sales_oil)+_xlfn.SINGLE(HM_ZD_Moho!CA_gross_sales_lpg))&lt;INDEX(HM_ZD_Moho!FA_SPO_cumprod_oil,2),MAX(70%*_xlfn.SINGLE(HM_ZD_Moho!CA_gross_rev_oil_fp)*(1-(IF(_xlfn.SINGLE(CA_period_trig)=1,_xlfn.SINGLE(CA_HP_oil_nom_period1),_xlfn.SINGLE(CA_HP_oil_nom_period2))/_xlfn.SINGLE(HM_ZD_Moho!CA_FP_oil_nom))),0),0),0)</f>
        <v>0</v>
      </c>
      <c r="BD303" s="49">
        <f ca="1">IFERROR(IF((_xlfn.SINGLE(HM_ZD_Moho!CA_cum_gross_sales_oil)+_xlfn.SINGLE(HM_ZD_Moho!CA_gross_sales_lpg))&lt;INDEX(HM_ZD_Moho!FA_SPO_cumprod_oil,2),MAX(70%*_xlfn.SINGLE(HM_ZD_Moho!CA_gross_rev_oil_fp)*(1-(IF(_xlfn.SINGLE(CA_period_trig)=1,_xlfn.SINGLE(CA_HP_oil_nom_period1),_xlfn.SINGLE(CA_HP_oil_nom_period2))/_xlfn.SINGLE(HM_ZD_Moho!CA_FP_oil_nom))),0),0),0)</f>
        <v>0</v>
      </c>
      <c r="BE303" s="49">
        <f ca="1">IFERROR(IF((_xlfn.SINGLE(HM_ZD_Moho!CA_cum_gross_sales_oil)+_xlfn.SINGLE(HM_ZD_Moho!CA_gross_sales_lpg))&lt;INDEX(HM_ZD_Moho!FA_SPO_cumprod_oil,2),MAX(70%*_xlfn.SINGLE(HM_ZD_Moho!CA_gross_rev_oil_fp)*(1-(IF(_xlfn.SINGLE(CA_period_trig)=1,_xlfn.SINGLE(CA_HP_oil_nom_period1),_xlfn.SINGLE(CA_HP_oil_nom_period2))/_xlfn.SINGLE(HM_ZD_Moho!CA_FP_oil_nom))),0),0),0)</f>
        <v>0</v>
      </c>
      <c r="BF303" s="49">
        <f ca="1">IFERROR(IF((_xlfn.SINGLE(HM_ZD_Moho!CA_cum_gross_sales_oil)+_xlfn.SINGLE(HM_ZD_Moho!CA_gross_sales_lpg))&lt;INDEX(HM_ZD_Moho!FA_SPO_cumprod_oil,2),MAX(70%*_xlfn.SINGLE(HM_ZD_Moho!CA_gross_rev_oil_fp)*(1-(IF(_xlfn.SINGLE(CA_period_trig)=1,_xlfn.SINGLE(CA_HP_oil_nom_period1),_xlfn.SINGLE(CA_HP_oil_nom_period2))/_xlfn.SINGLE(HM_ZD_Moho!CA_FP_oil_nom))),0),0),0)</f>
        <v>0</v>
      </c>
      <c r="BG303" s="49">
        <f ca="1">IFERROR(IF((_xlfn.SINGLE(HM_ZD_Moho!CA_cum_gross_sales_oil)+_xlfn.SINGLE(HM_ZD_Moho!CA_gross_sales_lpg))&lt;INDEX(HM_ZD_Moho!FA_SPO_cumprod_oil,2),MAX(70%*_xlfn.SINGLE(HM_ZD_Moho!CA_gross_rev_oil_fp)*(1-(IF(_xlfn.SINGLE(CA_period_trig)=1,_xlfn.SINGLE(CA_HP_oil_nom_period1),_xlfn.SINGLE(CA_HP_oil_nom_period2))/_xlfn.SINGLE(HM_ZD_Moho!CA_FP_oil_nom))),0),0),0)</f>
        <v>0</v>
      </c>
      <c r="BH303" s="49">
        <f ca="1">IFERROR(IF((_xlfn.SINGLE(HM_ZD_Moho!CA_cum_gross_sales_oil)+_xlfn.SINGLE(HM_ZD_Moho!CA_gross_sales_lpg))&lt;INDEX(HM_ZD_Moho!FA_SPO_cumprod_oil,2),MAX(70%*_xlfn.SINGLE(HM_ZD_Moho!CA_gross_rev_oil_fp)*(1-(IF(_xlfn.SINGLE(CA_period_trig)=1,_xlfn.SINGLE(CA_HP_oil_nom_period1),_xlfn.SINGLE(CA_HP_oil_nom_period2))/_xlfn.SINGLE(HM_ZD_Moho!CA_FP_oil_nom))),0),0),0)</f>
        <v>0</v>
      </c>
      <c r="BI303" s="49">
        <f ca="1">IFERROR(IF((_xlfn.SINGLE(HM_ZD_Moho!CA_cum_gross_sales_oil)+_xlfn.SINGLE(HM_ZD_Moho!CA_gross_sales_lpg))&lt;INDEX(HM_ZD_Moho!FA_SPO_cumprod_oil,2),MAX(70%*_xlfn.SINGLE(HM_ZD_Moho!CA_gross_rev_oil_fp)*(1-(IF(_xlfn.SINGLE(CA_period_trig)=1,_xlfn.SINGLE(CA_HP_oil_nom_period1),_xlfn.SINGLE(CA_HP_oil_nom_period2))/_xlfn.SINGLE(HM_ZD_Moho!CA_FP_oil_nom))),0),0),0)</f>
        <v>0</v>
      </c>
      <c r="BJ303" s="49">
        <f ca="1">IFERROR(IF((_xlfn.SINGLE(HM_ZD_Moho!CA_cum_gross_sales_oil)+_xlfn.SINGLE(HM_ZD_Moho!CA_gross_sales_lpg))&lt;INDEX(HM_ZD_Moho!FA_SPO_cumprod_oil,2),MAX(70%*_xlfn.SINGLE(HM_ZD_Moho!CA_gross_rev_oil_fp)*(1-(IF(_xlfn.SINGLE(CA_period_trig)=1,_xlfn.SINGLE(CA_HP_oil_nom_period1),_xlfn.SINGLE(CA_HP_oil_nom_period2))/_xlfn.SINGLE(HM_ZD_Moho!CA_FP_oil_nom))),0),0),0)</f>
        <v>0</v>
      </c>
      <c r="BK303" s="49">
        <f ca="1">IFERROR(IF((_xlfn.SINGLE(HM_ZD_Moho!CA_cum_gross_sales_oil)+_xlfn.SINGLE(HM_ZD_Moho!CA_gross_sales_lpg))&lt;INDEX(HM_ZD_Moho!FA_SPO_cumprod_oil,2),MAX(70%*_xlfn.SINGLE(HM_ZD_Moho!CA_gross_rev_oil_fp)*(1-(IF(_xlfn.SINGLE(CA_period_trig)=1,_xlfn.SINGLE(CA_HP_oil_nom_period1),_xlfn.SINGLE(CA_HP_oil_nom_period2))/_xlfn.SINGLE(HM_ZD_Moho!CA_FP_oil_nom))),0),0),0)</f>
        <v>0</v>
      </c>
      <c r="BL303" s="49">
        <f ca="1">IFERROR(IF((_xlfn.SINGLE(HM_ZD_Moho!CA_cum_gross_sales_oil)+_xlfn.SINGLE(HM_ZD_Moho!CA_gross_sales_lpg))&lt;INDEX(HM_ZD_Moho!FA_SPO_cumprod_oil,2),MAX(70%*_xlfn.SINGLE(HM_ZD_Moho!CA_gross_rev_oil_fp)*(1-(IF(_xlfn.SINGLE(CA_period_trig)=1,_xlfn.SINGLE(CA_HP_oil_nom_period1),_xlfn.SINGLE(CA_HP_oil_nom_period2))/_xlfn.SINGLE(HM_ZD_Moho!CA_FP_oil_nom))),0),0),0)</f>
        <v>0</v>
      </c>
      <c r="BM303" s="49">
        <f ca="1">IFERROR(IF((_xlfn.SINGLE(HM_ZD_Moho!CA_cum_gross_sales_oil)+_xlfn.SINGLE(HM_ZD_Moho!CA_gross_sales_lpg))&lt;INDEX(HM_ZD_Moho!FA_SPO_cumprod_oil,2),MAX(70%*_xlfn.SINGLE(HM_ZD_Moho!CA_gross_rev_oil_fp)*(1-(IF(_xlfn.SINGLE(CA_period_trig)=1,_xlfn.SINGLE(CA_HP_oil_nom_period1),_xlfn.SINGLE(CA_HP_oil_nom_period2))/_xlfn.SINGLE(HM_ZD_Moho!CA_FP_oil_nom))),0),0),0)</f>
        <v>0</v>
      </c>
      <c r="BN303" s="49">
        <f ca="1">IFERROR(IF((_xlfn.SINGLE(HM_ZD_Moho!CA_cum_gross_sales_oil)+_xlfn.SINGLE(HM_ZD_Moho!CA_gross_sales_lpg))&lt;INDEX(HM_ZD_Moho!FA_SPO_cumprod_oil,2),MAX(70%*_xlfn.SINGLE(HM_ZD_Moho!CA_gross_rev_oil_fp)*(1-(IF(_xlfn.SINGLE(CA_period_trig)=1,_xlfn.SINGLE(CA_HP_oil_nom_period1),_xlfn.SINGLE(CA_HP_oil_nom_period2))/_xlfn.SINGLE(HM_ZD_Moho!CA_FP_oil_nom))),0),0),0)</f>
        <v>0</v>
      </c>
      <c r="BO303" s="49">
        <f ca="1">IFERROR(IF((_xlfn.SINGLE(HM_ZD_Moho!CA_cum_gross_sales_oil)+_xlfn.SINGLE(HM_ZD_Moho!CA_gross_sales_lpg))&lt;INDEX(HM_ZD_Moho!FA_SPO_cumprod_oil,2),MAX(70%*_xlfn.SINGLE(HM_ZD_Moho!CA_gross_rev_oil_fp)*(1-(IF(_xlfn.SINGLE(CA_period_trig)=1,_xlfn.SINGLE(CA_HP_oil_nom_period1),_xlfn.SINGLE(CA_HP_oil_nom_period2))/_xlfn.SINGLE(HM_ZD_Moho!CA_FP_oil_nom))),0),0),0)</f>
        <v>0</v>
      </c>
      <c r="BP303" s="49">
        <f ca="1">IFERROR(IF((_xlfn.SINGLE(HM_ZD_Moho!CA_cum_gross_sales_oil)+_xlfn.SINGLE(HM_ZD_Moho!CA_gross_sales_lpg))&lt;INDEX(HM_ZD_Moho!FA_SPO_cumprod_oil,2),MAX(70%*_xlfn.SINGLE(HM_ZD_Moho!CA_gross_rev_oil_fp)*(1-(IF(_xlfn.SINGLE(CA_period_trig)=1,_xlfn.SINGLE(CA_HP_oil_nom_period1),_xlfn.SINGLE(CA_HP_oil_nom_period2))/_xlfn.SINGLE(HM_ZD_Moho!CA_FP_oil_nom))),0),0),0)</f>
        <v>0</v>
      </c>
      <c r="BQ303" s="49">
        <f ca="1">IFERROR(IF((_xlfn.SINGLE(HM_ZD_Moho!CA_cum_gross_sales_oil)+_xlfn.SINGLE(HM_ZD_Moho!CA_gross_sales_lpg))&lt;INDEX(HM_ZD_Moho!FA_SPO_cumprod_oil,2),MAX(70%*_xlfn.SINGLE(HM_ZD_Moho!CA_gross_rev_oil_fp)*(1-(IF(_xlfn.SINGLE(CA_period_trig)=1,_xlfn.SINGLE(CA_HP_oil_nom_period1),_xlfn.SINGLE(CA_HP_oil_nom_period2))/_xlfn.SINGLE(HM_ZD_Moho!CA_FP_oil_nom))),0),0),0)</f>
        <v>0</v>
      </c>
      <c r="BR303" s="49">
        <f ca="1">IFERROR(IF((_xlfn.SINGLE(HM_ZD_Moho!CA_cum_gross_sales_oil)+_xlfn.SINGLE(HM_ZD_Moho!CA_gross_sales_lpg))&lt;INDEX(HM_ZD_Moho!FA_SPO_cumprod_oil,2),MAX(70%*_xlfn.SINGLE(HM_ZD_Moho!CA_gross_rev_oil_fp)*(1-(IF(_xlfn.SINGLE(CA_period_trig)=1,_xlfn.SINGLE(CA_HP_oil_nom_period1),_xlfn.SINGLE(CA_HP_oil_nom_period2))/_xlfn.SINGLE(HM_ZD_Moho!CA_FP_oil_nom))),0),0),0)</f>
        <v>0</v>
      </c>
      <c r="BS303" s="49">
        <f ca="1">IFERROR(IF((_xlfn.SINGLE(HM_ZD_Moho!CA_cum_gross_sales_oil)+_xlfn.SINGLE(HM_ZD_Moho!CA_gross_sales_lpg))&lt;INDEX(HM_ZD_Moho!FA_SPO_cumprod_oil,2),MAX(70%*_xlfn.SINGLE(HM_ZD_Moho!CA_gross_rev_oil_fp)*(1-(IF(_xlfn.SINGLE(CA_period_trig)=1,_xlfn.SINGLE(CA_HP_oil_nom_period1),_xlfn.SINGLE(CA_HP_oil_nom_period2))/_xlfn.SINGLE(HM_ZD_Moho!CA_FP_oil_nom))),0),0),0)</f>
        <v>0</v>
      </c>
    </row>
    <row r="304" spans="3:71" outlineLevel="1" x14ac:dyDescent="0.2">
      <c r="J304" s="26"/>
      <c r="L304" s="55"/>
      <c r="M304" s="55"/>
      <c r="N304" s="55"/>
      <c r="O304" s="55"/>
      <c r="P304" s="55"/>
      <c r="Q304" s="55"/>
      <c r="R304" s="55"/>
      <c r="S304" s="55"/>
      <c r="T304" s="55"/>
      <c r="U304" s="55"/>
      <c r="V304" s="55"/>
      <c r="W304" s="55"/>
      <c r="X304" s="55"/>
      <c r="Y304" s="55"/>
      <c r="Z304" s="55"/>
      <c r="AA304" s="55"/>
      <c r="AB304" s="55"/>
      <c r="AC304" s="55"/>
      <c r="AD304" s="55"/>
      <c r="AE304" s="55"/>
      <c r="AF304" s="55"/>
      <c r="AG304" s="55"/>
      <c r="AH304" s="55"/>
      <c r="AI304" s="55"/>
      <c r="AJ304" s="55"/>
      <c r="AK304" s="55"/>
      <c r="AL304" s="55"/>
      <c r="AM304" s="55"/>
      <c r="AN304" s="55"/>
      <c r="AO304" s="55"/>
      <c r="AP304" s="55"/>
      <c r="AQ304" s="55"/>
      <c r="AR304" s="55"/>
      <c r="AS304" s="55"/>
      <c r="AT304" s="55"/>
      <c r="AU304" s="55"/>
      <c r="AV304" s="55"/>
      <c r="AW304" s="55"/>
      <c r="AX304" s="55"/>
      <c r="AY304" s="55"/>
      <c r="AZ304" s="55"/>
      <c r="BA304" s="55"/>
      <c r="BB304" s="55"/>
      <c r="BC304" s="55"/>
      <c r="BD304" s="55"/>
      <c r="BE304" s="55"/>
      <c r="BF304" s="55"/>
      <c r="BG304" s="55"/>
      <c r="BH304" s="55"/>
      <c r="BI304" s="55"/>
      <c r="BJ304" s="55"/>
      <c r="BK304" s="55"/>
      <c r="BL304" s="55"/>
      <c r="BM304" s="55"/>
      <c r="BN304" s="55"/>
      <c r="BO304" s="55"/>
      <c r="BP304" s="55"/>
      <c r="BQ304" s="55"/>
      <c r="BR304" s="55"/>
      <c r="BS304" s="55"/>
    </row>
    <row r="305" spans="3:71" outlineLevel="1" x14ac:dyDescent="0.2">
      <c r="D305" s="75" t="str">
        <f>CHOOSE(db_ML_selected,'Liste Traduction'!B460,'Liste Traduction'!C460)</f>
        <v>Revenus SPO - Tranche 2</v>
      </c>
      <c r="I305" s="30">
        <f t="shared" ref="I305:I309" ca="1" si="187">SUM($L305:$BS305)</f>
        <v>0</v>
      </c>
      <c r="J305" s="26" t="s">
        <v>148</v>
      </c>
      <c r="L305" s="49">
        <f ca="1">HM_ZD_AM3_2005!L285</f>
        <v>0</v>
      </c>
      <c r="M305" s="49">
        <f ca="1">HM_ZD_AM3_2005!M285</f>
        <v>0</v>
      </c>
      <c r="N305" s="49">
        <f ca="1">IFERROR(IF( AND((_xlfn.SINGLE(HM_ZD_Moho!CA_cum_gross_sales_oil)+_xlfn.SINGLE(HM_ZD_Moho!CA_gross_sales_lpg))&gt;=INDEX(HM_ZD_Moho!FA_SPO_cumprod_oil,2),
(_xlfn.SINGLE(HM_ZD_Moho!CA_cum_gross_sales_oil)+_xlfn.SINGLE(HM_ZD_Moho!CA_gross_sales_lpg))&lt;INDEX(HM_ZD_Moho!FA_SPO_cumprod_oil,3)),
MAX(60%*_xlfn.SINGLE(HM_ZD_Moho!CA_gross_rev_oil_fp)*(1-(IF(_xlfn.SINGLE(CA_period_trig)=1,_xlfn.SINGLE(CA_HP_oil_nom_period1),_xlfn.SINGLE(CA_HP_oil_nom_period2))/_xlfn.SINGLE(HM_ZD_Moho!CA_FP_oil_nom))),0),0),0)</f>
        <v>0</v>
      </c>
      <c r="O305" s="49">
        <f ca="1">IFERROR(IF( AND((_xlfn.SINGLE(HM_ZD_Moho!CA_cum_gross_sales_oil)+_xlfn.SINGLE(HM_ZD_Moho!CA_gross_sales_lpg))&gt;=INDEX(HM_ZD_Moho!FA_SPO_cumprod_oil,2),
(_xlfn.SINGLE(HM_ZD_Moho!CA_cum_gross_sales_oil)+_xlfn.SINGLE(HM_ZD_Moho!CA_gross_sales_lpg))&lt;INDEX(HM_ZD_Moho!FA_SPO_cumprod_oil,3)),
MAX(60%*_xlfn.SINGLE(HM_ZD_Moho!CA_gross_rev_oil_fp)*(1-(IF(_xlfn.SINGLE(CA_period_trig)=1,_xlfn.SINGLE(CA_HP_oil_nom_period1),_xlfn.SINGLE(CA_HP_oil_nom_period2))/_xlfn.SINGLE(HM_ZD_Moho!CA_FP_oil_nom))),0),0),0)</f>
        <v>0</v>
      </c>
      <c r="P305" s="49">
        <f ca="1">IFERROR(IF( AND((_xlfn.SINGLE(HM_ZD_Moho!CA_cum_gross_sales_oil)+_xlfn.SINGLE(HM_ZD_Moho!CA_gross_sales_lpg))&gt;=INDEX(HM_ZD_Moho!FA_SPO_cumprod_oil,2),
(_xlfn.SINGLE(HM_ZD_Moho!CA_cum_gross_sales_oil)+_xlfn.SINGLE(HM_ZD_Moho!CA_gross_sales_lpg))&lt;INDEX(HM_ZD_Moho!FA_SPO_cumprod_oil,3)),
MAX(60%*_xlfn.SINGLE(HM_ZD_Moho!CA_gross_rev_oil_fp)*(1-(IF(_xlfn.SINGLE(CA_period_trig)=1,_xlfn.SINGLE(CA_HP_oil_nom_period1),_xlfn.SINGLE(CA_HP_oil_nom_period2))/_xlfn.SINGLE(HM_ZD_Moho!CA_FP_oil_nom))),0),0),0)</f>
        <v>0</v>
      </c>
      <c r="Q305" s="49">
        <f ca="1">IFERROR(IF( AND((_xlfn.SINGLE(HM_ZD_Moho!CA_cum_gross_sales_oil)+_xlfn.SINGLE(HM_ZD_Moho!CA_gross_sales_lpg))&gt;=INDEX(HM_ZD_Moho!FA_SPO_cumprod_oil,2),
(_xlfn.SINGLE(HM_ZD_Moho!CA_cum_gross_sales_oil)+_xlfn.SINGLE(HM_ZD_Moho!CA_gross_sales_lpg))&lt;INDEX(HM_ZD_Moho!FA_SPO_cumprod_oil,3)),
MAX(60%*_xlfn.SINGLE(HM_ZD_Moho!CA_gross_rev_oil_fp)*(1-(IF(_xlfn.SINGLE(CA_period_trig)=1,_xlfn.SINGLE(CA_HP_oil_nom_period1),_xlfn.SINGLE(CA_HP_oil_nom_period2))/_xlfn.SINGLE(HM_ZD_Moho!CA_FP_oil_nom))),0),0),0)</f>
        <v>0</v>
      </c>
      <c r="R305" s="49">
        <f ca="1">IFERROR(IF( AND((_xlfn.SINGLE(HM_ZD_Moho!CA_cum_gross_sales_oil)+_xlfn.SINGLE(HM_ZD_Moho!CA_gross_sales_lpg))&gt;=INDEX(HM_ZD_Moho!FA_SPO_cumprod_oil,2),
(_xlfn.SINGLE(HM_ZD_Moho!CA_cum_gross_sales_oil)+_xlfn.SINGLE(HM_ZD_Moho!CA_gross_sales_lpg))&lt;INDEX(HM_ZD_Moho!FA_SPO_cumprod_oil,3)),
MAX(60%*_xlfn.SINGLE(HM_ZD_Moho!CA_gross_rev_oil_fp)*(1-(IF(_xlfn.SINGLE(CA_period_trig)=1,_xlfn.SINGLE(CA_HP_oil_nom_period1),_xlfn.SINGLE(CA_HP_oil_nom_period2))/_xlfn.SINGLE(HM_ZD_Moho!CA_FP_oil_nom))),0),0),0)</f>
        <v>0</v>
      </c>
      <c r="S305" s="49">
        <f ca="1">IFERROR(IF( AND((_xlfn.SINGLE(HM_ZD_Moho!CA_cum_gross_sales_oil)+_xlfn.SINGLE(HM_ZD_Moho!CA_gross_sales_lpg))&gt;=INDEX(HM_ZD_Moho!FA_SPO_cumprod_oil,2),
(_xlfn.SINGLE(HM_ZD_Moho!CA_cum_gross_sales_oil)+_xlfn.SINGLE(HM_ZD_Moho!CA_gross_sales_lpg))&lt;INDEX(HM_ZD_Moho!FA_SPO_cumprod_oil,3)),
MAX(60%*_xlfn.SINGLE(HM_ZD_Moho!CA_gross_rev_oil_fp)*(1-(IF(_xlfn.SINGLE(CA_period_trig)=1,_xlfn.SINGLE(CA_HP_oil_nom_period1),_xlfn.SINGLE(CA_HP_oil_nom_period2))/_xlfn.SINGLE(HM_ZD_Moho!CA_FP_oil_nom))),0),0),0)</f>
        <v>0</v>
      </c>
      <c r="T305" s="49">
        <f ca="1">IFERROR(IF( AND((_xlfn.SINGLE(HM_ZD_Moho!CA_cum_gross_sales_oil)+_xlfn.SINGLE(HM_ZD_Moho!CA_gross_sales_lpg))&gt;=INDEX(HM_ZD_Moho!FA_SPO_cumprod_oil,2),
(_xlfn.SINGLE(HM_ZD_Moho!CA_cum_gross_sales_oil)+_xlfn.SINGLE(HM_ZD_Moho!CA_gross_sales_lpg))&lt;INDEX(HM_ZD_Moho!FA_SPO_cumprod_oil,3)),
MAX(60%*_xlfn.SINGLE(HM_ZD_Moho!CA_gross_rev_oil_fp)*(1-(IF(_xlfn.SINGLE(CA_period_trig)=1,_xlfn.SINGLE(CA_HP_oil_nom_period1),_xlfn.SINGLE(CA_HP_oil_nom_period2))/_xlfn.SINGLE(HM_ZD_Moho!CA_FP_oil_nom))),0),0),0)</f>
        <v>0</v>
      </c>
      <c r="U305" s="49">
        <f ca="1">IFERROR(IF( AND((_xlfn.SINGLE(HM_ZD_Moho!CA_cum_gross_sales_oil)+_xlfn.SINGLE(HM_ZD_Moho!CA_gross_sales_lpg))&gt;=INDEX(HM_ZD_Moho!FA_SPO_cumprod_oil,2),
(_xlfn.SINGLE(HM_ZD_Moho!CA_cum_gross_sales_oil)+_xlfn.SINGLE(HM_ZD_Moho!CA_gross_sales_lpg))&lt;INDEX(HM_ZD_Moho!FA_SPO_cumprod_oil,3)),
MAX(60%*_xlfn.SINGLE(HM_ZD_Moho!CA_gross_rev_oil_fp)*(1-(IF(_xlfn.SINGLE(CA_period_trig)=1,_xlfn.SINGLE(CA_HP_oil_nom_period1),_xlfn.SINGLE(CA_HP_oil_nom_period2))/_xlfn.SINGLE(HM_ZD_Moho!CA_FP_oil_nom))),0),0),0)</f>
        <v>0</v>
      </c>
      <c r="V305" s="49">
        <f ca="1">IFERROR(IF( AND((_xlfn.SINGLE(HM_ZD_Moho!CA_cum_gross_sales_oil)+_xlfn.SINGLE(HM_ZD_Moho!CA_gross_sales_lpg))&gt;=INDEX(HM_ZD_Moho!FA_SPO_cumprod_oil,2),
(_xlfn.SINGLE(HM_ZD_Moho!CA_cum_gross_sales_oil)+_xlfn.SINGLE(HM_ZD_Moho!CA_gross_sales_lpg))&lt;INDEX(HM_ZD_Moho!FA_SPO_cumprod_oil,3)),
MAX(60%*_xlfn.SINGLE(HM_ZD_Moho!CA_gross_rev_oil_fp)*(1-(IF(_xlfn.SINGLE(CA_period_trig)=1,_xlfn.SINGLE(CA_HP_oil_nom_period1),_xlfn.SINGLE(CA_HP_oil_nom_period2))/_xlfn.SINGLE(HM_ZD_Moho!CA_FP_oil_nom))),0),0),0)</f>
        <v>0</v>
      </c>
      <c r="W305" s="49">
        <f ca="1">IFERROR(IF( AND((_xlfn.SINGLE(HM_ZD_Moho!CA_cum_gross_sales_oil)+_xlfn.SINGLE(HM_ZD_Moho!CA_gross_sales_lpg))&gt;=INDEX(HM_ZD_Moho!FA_SPO_cumprod_oil,2),
(_xlfn.SINGLE(HM_ZD_Moho!CA_cum_gross_sales_oil)+_xlfn.SINGLE(HM_ZD_Moho!CA_gross_sales_lpg))&lt;INDEX(HM_ZD_Moho!FA_SPO_cumprod_oil,3)),
MAX(60%*_xlfn.SINGLE(HM_ZD_Moho!CA_gross_rev_oil_fp)*(1-(IF(_xlfn.SINGLE(CA_period_trig)=1,_xlfn.SINGLE(CA_HP_oil_nom_period1),_xlfn.SINGLE(CA_HP_oil_nom_period2))/_xlfn.SINGLE(HM_ZD_Moho!CA_FP_oil_nom))),0),0),0)</f>
        <v>0</v>
      </c>
      <c r="X305" s="49">
        <f ca="1">IFERROR(IF( AND((_xlfn.SINGLE(HM_ZD_Moho!CA_cum_gross_sales_oil)+_xlfn.SINGLE(HM_ZD_Moho!CA_gross_sales_lpg))&gt;=INDEX(HM_ZD_Moho!FA_SPO_cumprod_oil,2),
(_xlfn.SINGLE(HM_ZD_Moho!CA_cum_gross_sales_oil)+_xlfn.SINGLE(HM_ZD_Moho!CA_gross_sales_lpg))&lt;INDEX(HM_ZD_Moho!FA_SPO_cumprod_oil,3)),
MAX(60%*_xlfn.SINGLE(HM_ZD_Moho!CA_gross_rev_oil_fp)*(1-(IF(_xlfn.SINGLE(CA_period_trig)=1,_xlfn.SINGLE(CA_HP_oil_nom_period1),_xlfn.SINGLE(CA_HP_oil_nom_period2))/_xlfn.SINGLE(HM_ZD_Moho!CA_FP_oil_nom))),0),0),0)</f>
        <v>0</v>
      </c>
      <c r="Y305" s="49">
        <f ca="1">IFERROR(IF( AND((_xlfn.SINGLE(HM_ZD_Moho!CA_cum_gross_sales_oil)+_xlfn.SINGLE(HM_ZD_Moho!CA_gross_sales_lpg))&gt;=INDEX(HM_ZD_Moho!FA_SPO_cumprod_oil,2),
(_xlfn.SINGLE(HM_ZD_Moho!CA_cum_gross_sales_oil)+_xlfn.SINGLE(HM_ZD_Moho!CA_gross_sales_lpg))&lt;INDEX(HM_ZD_Moho!FA_SPO_cumprod_oil,3)),
MAX(60%*_xlfn.SINGLE(HM_ZD_Moho!CA_gross_rev_oil_fp)*(1-(IF(_xlfn.SINGLE(CA_period_trig)=1,_xlfn.SINGLE(CA_HP_oil_nom_period1),_xlfn.SINGLE(CA_HP_oil_nom_period2))/_xlfn.SINGLE(HM_ZD_Moho!CA_FP_oil_nom))),0),0),0)</f>
        <v>0</v>
      </c>
      <c r="Z305" s="49">
        <f ca="1">IFERROR(IF( AND((_xlfn.SINGLE(HM_ZD_Moho!CA_cum_gross_sales_oil)+_xlfn.SINGLE(HM_ZD_Moho!CA_gross_sales_lpg))&gt;=INDEX(HM_ZD_Moho!FA_SPO_cumprod_oil,2),
(_xlfn.SINGLE(HM_ZD_Moho!CA_cum_gross_sales_oil)+_xlfn.SINGLE(HM_ZD_Moho!CA_gross_sales_lpg))&lt;INDEX(HM_ZD_Moho!FA_SPO_cumprod_oil,3)),
MAX(60%*_xlfn.SINGLE(HM_ZD_Moho!CA_gross_rev_oil_fp)*(1-(IF(_xlfn.SINGLE(CA_period_trig)=1,_xlfn.SINGLE(CA_HP_oil_nom_period1),_xlfn.SINGLE(CA_HP_oil_nom_period2))/_xlfn.SINGLE(HM_ZD_Moho!CA_FP_oil_nom))),0),0),0)</f>
        <v>0</v>
      </c>
      <c r="AA305" s="49">
        <f ca="1">IFERROR(IF( AND((_xlfn.SINGLE(HM_ZD_Moho!CA_cum_gross_sales_oil)+_xlfn.SINGLE(HM_ZD_Moho!CA_gross_sales_lpg))&gt;=INDEX(HM_ZD_Moho!FA_SPO_cumprod_oil,2),
(_xlfn.SINGLE(HM_ZD_Moho!CA_cum_gross_sales_oil)+_xlfn.SINGLE(HM_ZD_Moho!CA_gross_sales_lpg))&lt;INDEX(HM_ZD_Moho!FA_SPO_cumprod_oil,3)),
MAX(60%*_xlfn.SINGLE(HM_ZD_Moho!CA_gross_rev_oil_fp)*(1-(IF(_xlfn.SINGLE(CA_period_trig)=1,_xlfn.SINGLE(CA_HP_oil_nom_period1),_xlfn.SINGLE(CA_HP_oil_nom_period2))/_xlfn.SINGLE(HM_ZD_Moho!CA_FP_oil_nom))),0),0),0)</f>
        <v>0</v>
      </c>
      <c r="AB305" s="49">
        <f ca="1">IFERROR(IF( AND((_xlfn.SINGLE(HM_ZD_Moho!CA_cum_gross_sales_oil)+_xlfn.SINGLE(HM_ZD_Moho!CA_gross_sales_lpg))&gt;=INDEX(HM_ZD_Moho!FA_SPO_cumprod_oil,2),
(_xlfn.SINGLE(HM_ZD_Moho!CA_cum_gross_sales_oil)+_xlfn.SINGLE(HM_ZD_Moho!CA_gross_sales_lpg))&lt;INDEX(HM_ZD_Moho!FA_SPO_cumprod_oil,3)),
MAX(60%*_xlfn.SINGLE(HM_ZD_Moho!CA_gross_rev_oil_fp)*(1-(IF(_xlfn.SINGLE(CA_period_trig)=1,_xlfn.SINGLE(CA_HP_oil_nom_period1),_xlfn.SINGLE(CA_HP_oil_nom_period2))/_xlfn.SINGLE(HM_ZD_Moho!CA_FP_oil_nom))),0),0),0)</f>
        <v>0</v>
      </c>
      <c r="AC305" s="49">
        <f ca="1">IFERROR(IF( AND((_xlfn.SINGLE(HM_ZD_Moho!CA_cum_gross_sales_oil)+_xlfn.SINGLE(HM_ZD_Moho!CA_gross_sales_lpg))&gt;=INDEX(HM_ZD_Moho!FA_SPO_cumprod_oil,2),
(_xlfn.SINGLE(HM_ZD_Moho!CA_cum_gross_sales_oil)+_xlfn.SINGLE(HM_ZD_Moho!CA_gross_sales_lpg))&lt;INDEX(HM_ZD_Moho!FA_SPO_cumprod_oil,3)),
MAX(60%*_xlfn.SINGLE(HM_ZD_Moho!CA_gross_rev_oil_fp)*(1-(IF(_xlfn.SINGLE(CA_period_trig)=1,_xlfn.SINGLE(CA_HP_oil_nom_period1),_xlfn.SINGLE(CA_HP_oil_nom_period2))/_xlfn.SINGLE(HM_ZD_Moho!CA_FP_oil_nom))),0),0),0)</f>
        <v>0</v>
      </c>
      <c r="AD305" s="49">
        <f ca="1">IFERROR(IF( AND((_xlfn.SINGLE(HM_ZD_Moho!CA_cum_gross_sales_oil)+_xlfn.SINGLE(HM_ZD_Moho!CA_gross_sales_lpg))&gt;=INDEX(HM_ZD_Moho!FA_SPO_cumprod_oil,2),
(_xlfn.SINGLE(HM_ZD_Moho!CA_cum_gross_sales_oil)+_xlfn.SINGLE(HM_ZD_Moho!CA_gross_sales_lpg))&lt;INDEX(HM_ZD_Moho!FA_SPO_cumprod_oil,3)),
MAX(60%*_xlfn.SINGLE(HM_ZD_Moho!CA_gross_rev_oil_fp)*(1-(IF(_xlfn.SINGLE(CA_period_trig)=1,_xlfn.SINGLE(CA_HP_oil_nom_period1),_xlfn.SINGLE(CA_HP_oil_nom_period2))/_xlfn.SINGLE(HM_ZD_Moho!CA_FP_oil_nom))),0),0),0)</f>
        <v>0</v>
      </c>
      <c r="AE305" s="49">
        <f ca="1">IFERROR(IF( AND((_xlfn.SINGLE(HM_ZD_Moho!CA_cum_gross_sales_oil)+_xlfn.SINGLE(HM_ZD_Moho!CA_gross_sales_lpg))&gt;=INDEX(HM_ZD_Moho!FA_SPO_cumprod_oil,2),
(_xlfn.SINGLE(HM_ZD_Moho!CA_cum_gross_sales_oil)+_xlfn.SINGLE(HM_ZD_Moho!CA_gross_sales_lpg))&lt;INDEX(HM_ZD_Moho!FA_SPO_cumprod_oil,3)),
MAX(60%*_xlfn.SINGLE(HM_ZD_Moho!CA_gross_rev_oil_fp)*(1-(IF(_xlfn.SINGLE(CA_period_trig)=1,_xlfn.SINGLE(CA_HP_oil_nom_period1),_xlfn.SINGLE(CA_HP_oil_nom_period2))/_xlfn.SINGLE(HM_ZD_Moho!CA_FP_oil_nom))),0),0),0)</f>
        <v>0</v>
      </c>
      <c r="AF305" s="49">
        <f ca="1">IFERROR(IF( AND((_xlfn.SINGLE(HM_ZD_Moho!CA_cum_gross_sales_oil)+_xlfn.SINGLE(HM_ZD_Moho!CA_gross_sales_lpg))&gt;=INDEX(HM_ZD_Moho!FA_SPO_cumprod_oil,2),
(_xlfn.SINGLE(HM_ZD_Moho!CA_cum_gross_sales_oil)+_xlfn.SINGLE(HM_ZD_Moho!CA_gross_sales_lpg))&lt;INDEX(HM_ZD_Moho!FA_SPO_cumprod_oil,3)),
MAX(60%*_xlfn.SINGLE(HM_ZD_Moho!CA_gross_rev_oil_fp)*(1-(IF(_xlfn.SINGLE(CA_period_trig)=1,_xlfn.SINGLE(CA_HP_oil_nom_period1),_xlfn.SINGLE(CA_HP_oil_nom_period2))/_xlfn.SINGLE(HM_ZD_Moho!CA_FP_oil_nom))),0),0),0)</f>
        <v>0</v>
      </c>
      <c r="AG305" s="49">
        <f ca="1">IFERROR(IF( AND((_xlfn.SINGLE(HM_ZD_Moho!CA_cum_gross_sales_oil)+_xlfn.SINGLE(HM_ZD_Moho!CA_gross_sales_lpg))&gt;=INDEX(HM_ZD_Moho!FA_SPO_cumprod_oil,2),
(_xlfn.SINGLE(HM_ZD_Moho!CA_cum_gross_sales_oil)+_xlfn.SINGLE(HM_ZD_Moho!CA_gross_sales_lpg))&lt;INDEX(HM_ZD_Moho!FA_SPO_cumprod_oil,3)),
MAX(60%*_xlfn.SINGLE(HM_ZD_Moho!CA_gross_rev_oil_fp)*(1-(IF(_xlfn.SINGLE(CA_period_trig)=1,_xlfn.SINGLE(CA_HP_oil_nom_period1),_xlfn.SINGLE(CA_HP_oil_nom_period2))/_xlfn.SINGLE(HM_ZD_Moho!CA_FP_oil_nom))),0),0),0)</f>
        <v>0</v>
      </c>
      <c r="AH305" s="49">
        <f ca="1">IFERROR(IF( AND((_xlfn.SINGLE(HM_ZD_Moho!CA_cum_gross_sales_oil)+_xlfn.SINGLE(HM_ZD_Moho!CA_gross_sales_lpg))&gt;=INDEX(HM_ZD_Moho!FA_SPO_cumprod_oil,2),
(_xlfn.SINGLE(HM_ZD_Moho!CA_cum_gross_sales_oil)+_xlfn.SINGLE(HM_ZD_Moho!CA_gross_sales_lpg))&lt;INDEX(HM_ZD_Moho!FA_SPO_cumprod_oil,3)),
MAX(60%*_xlfn.SINGLE(HM_ZD_Moho!CA_gross_rev_oil_fp)*(1-(IF(_xlfn.SINGLE(CA_period_trig)=1,_xlfn.SINGLE(CA_HP_oil_nom_period1),_xlfn.SINGLE(CA_HP_oil_nom_period2))/_xlfn.SINGLE(HM_ZD_Moho!CA_FP_oil_nom))),0),0),0)</f>
        <v>0</v>
      </c>
      <c r="AI305" s="49">
        <f ca="1">IFERROR(IF( AND((_xlfn.SINGLE(HM_ZD_Moho!CA_cum_gross_sales_oil)+_xlfn.SINGLE(HM_ZD_Moho!CA_gross_sales_lpg))&gt;=INDEX(HM_ZD_Moho!FA_SPO_cumprod_oil,2),
(_xlfn.SINGLE(HM_ZD_Moho!CA_cum_gross_sales_oil)+_xlfn.SINGLE(HM_ZD_Moho!CA_gross_sales_lpg))&lt;INDEX(HM_ZD_Moho!FA_SPO_cumprod_oil,3)),
MAX(60%*_xlfn.SINGLE(HM_ZD_Moho!CA_gross_rev_oil_fp)*(1-(IF(_xlfn.SINGLE(CA_period_trig)=1,_xlfn.SINGLE(CA_HP_oil_nom_period1),_xlfn.SINGLE(CA_HP_oil_nom_period2))/_xlfn.SINGLE(HM_ZD_Moho!CA_FP_oil_nom))),0),0),0)</f>
        <v>0</v>
      </c>
      <c r="AJ305" s="49">
        <f ca="1">IFERROR(IF( AND((_xlfn.SINGLE(HM_ZD_Moho!CA_cum_gross_sales_oil)+_xlfn.SINGLE(HM_ZD_Moho!CA_gross_sales_lpg))&gt;=INDEX(HM_ZD_Moho!FA_SPO_cumprod_oil,2),
(_xlfn.SINGLE(HM_ZD_Moho!CA_cum_gross_sales_oil)+_xlfn.SINGLE(HM_ZD_Moho!CA_gross_sales_lpg))&lt;INDEX(HM_ZD_Moho!FA_SPO_cumprod_oil,3)),
MAX(60%*_xlfn.SINGLE(HM_ZD_Moho!CA_gross_rev_oil_fp)*(1-(IF(_xlfn.SINGLE(CA_period_trig)=1,_xlfn.SINGLE(CA_HP_oil_nom_period1),_xlfn.SINGLE(CA_HP_oil_nom_period2))/_xlfn.SINGLE(HM_ZD_Moho!CA_FP_oil_nom))),0),0),0)</f>
        <v>0</v>
      </c>
      <c r="AK305" s="49">
        <f ca="1">IFERROR(IF( AND((_xlfn.SINGLE(HM_ZD_Moho!CA_cum_gross_sales_oil)+_xlfn.SINGLE(HM_ZD_Moho!CA_gross_sales_lpg))&gt;=INDEX(HM_ZD_Moho!FA_SPO_cumprod_oil,2),
(_xlfn.SINGLE(HM_ZD_Moho!CA_cum_gross_sales_oil)+_xlfn.SINGLE(HM_ZD_Moho!CA_gross_sales_lpg))&lt;INDEX(HM_ZD_Moho!FA_SPO_cumprod_oil,3)),
MAX(60%*_xlfn.SINGLE(HM_ZD_Moho!CA_gross_rev_oil_fp)*(1-(IF(_xlfn.SINGLE(CA_period_trig)=1,_xlfn.SINGLE(CA_HP_oil_nom_period1),_xlfn.SINGLE(CA_HP_oil_nom_period2))/_xlfn.SINGLE(HM_ZD_Moho!CA_FP_oil_nom))),0),0),0)</f>
        <v>0</v>
      </c>
      <c r="AL305" s="49">
        <f ca="1">IFERROR(IF( AND((_xlfn.SINGLE(HM_ZD_Moho!CA_cum_gross_sales_oil)+_xlfn.SINGLE(HM_ZD_Moho!CA_gross_sales_lpg))&gt;=INDEX(HM_ZD_Moho!FA_SPO_cumprod_oil,2),
(_xlfn.SINGLE(HM_ZD_Moho!CA_cum_gross_sales_oil)+_xlfn.SINGLE(HM_ZD_Moho!CA_gross_sales_lpg))&lt;INDEX(HM_ZD_Moho!FA_SPO_cumprod_oil,3)),
MAX(60%*_xlfn.SINGLE(HM_ZD_Moho!CA_gross_rev_oil_fp)*(1-(IF(_xlfn.SINGLE(CA_period_trig)=1,_xlfn.SINGLE(CA_HP_oil_nom_period1),_xlfn.SINGLE(CA_HP_oil_nom_period2))/_xlfn.SINGLE(HM_ZD_Moho!CA_FP_oil_nom))),0),0),0)</f>
        <v>0</v>
      </c>
      <c r="AM305" s="49">
        <f ca="1">IFERROR(IF( AND((_xlfn.SINGLE(HM_ZD_Moho!CA_cum_gross_sales_oil)+_xlfn.SINGLE(HM_ZD_Moho!CA_gross_sales_lpg))&gt;=INDEX(HM_ZD_Moho!FA_SPO_cumprod_oil,2),
(_xlfn.SINGLE(HM_ZD_Moho!CA_cum_gross_sales_oil)+_xlfn.SINGLE(HM_ZD_Moho!CA_gross_sales_lpg))&lt;INDEX(HM_ZD_Moho!FA_SPO_cumprod_oil,3)),
MAX(60%*_xlfn.SINGLE(HM_ZD_Moho!CA_gross_rev_oil_fp)*(1-(IF(_xlfn.SINGLE(CA_period_trig)=1,_xlfn.SINGLE(CA_HP_oil_nom_period1),_xlfn.SINGLE(CA_HP_oil_nom_period2))/_xlfn.SINGLE(HM_ZD_Moho!CA_FP_oil_nom))),0),0),0)</f>
        <v>0</v>
      </c>
      <c r="AN305" s="49">
        <f ca="1">IFERROR(IF( AND((_xlfn.SINGLE(HM_ZD_Moho!CA_cum_gross_sales_oil)+_xlfn.SINGLE(HM_ZD_Moho!CA_gross_sales_lpg))&gt;=INDEX(HM_ZD_Moho!FA_SPO_cumprod_oil,2),
(_xlfn.SINGLE(HM_ZD_Moho!CA_cum_gross_sales_oil)+_xlfn.SINGLE(HM_ZD_Moho!CA_gross_sales_lpg))&lt;INDEX(HM_ZD_Moho!FA_SPO_cumprod_oil,3)),
MAX(60%*_xlfn.SINGLE(HM_ZD_Moho!CA_gross_rev_oil_fp)*(1-(IF(_xlfn.SINGLE(CA_period_trig)=1,_xlfn.SINGLE(CA_HP_oil_nom_period1),_xlfn.SINGLE(CA_HP_oil_nom_period2))/_xlfn.SINGLE(HM_ZD_Moho!CA_FP_oil_nom))),0),0),0)</f>
        <v>0</v>
      </c>
      <c r="AO305" s="49">
        <f ca="1">IFERROR(IF( AND((_xlfn.SINGLE(HM_ZD_Moho!CA_cum_gross_sales_oil)+_xlfn.SINGLE(HM_ZD_Moho!CA_gross_sales_lpg))&gt;=INDEX(HM_ZD_Moho!FA_SPO_cumprod_oil,2),
(_xlfn.SINGLE(HM_ZD_Moho!CA_cum_gross_sales_oil)+_xlfn.SINGLE(HM_ZD_Moho!CA_gross_sales_lpg))&lt;INDEX(HM_ZD_Moho!FA_SPO_cumprod_oil,3)),
MAX(60%*_xlfn.SINGLE(HM_ZD_Moho!CA_gross_rev_oil_fp)*(1-(IF(_xlfn.SINGLE(CA_period_trig)=1,_xlfn.SINGLE(CA_HP_oil_nom_period1),_xlfn.SINGLE(CA_HP_oil_nom_period2))/_xlfn.SINGLE(HM_ZD_Moho!CA_FP_oil_nom))),0),0),0)</f>
        <v>0</v>
      </c>
      <c r="AP305" s="49">
        <f ca="1">IFERROR(IF( AND((_xlfn.SINGLE(HM_ZD_Moho!CA_cum_gross_sales_oil)+_xlfn.SINGLE(HM_ZD_Moho!CA_gross_sales_lpg))&gt;=INDEX(HM_ZD_Moho!FA_SPO_cumprod_oil,2),
(_xlfn.SINGLE(HM_ZD_Moho!CA_cum_gross_sales_oil)+_xlfn.SINGLE(HM_ZD_Moho!CA_gross_sales_lpg))&lt;INDEX(HM_ZD_Moho!FA_SPO_cumprod_oil,3)),
MAX(60%*_xlfn.SINGLE(HM_ZD_Moho!CA_gross_rev_oil_fp)*(1-(IF(_xlfn.SINGLE(CA_period_trig)=1,_xlfn.SINGLE(CA_HP_oil_nom_period1),_xlfn.SINGLE(CA_HP_oil_nom_period2))/_xlfn.SINGLE(HM_ZD_Moho!CA_FP_oil_nom))),0),0),0)</f>
        <v>0</v>
      </c>
      <c r="AQ305" s="49">
        <f ca="1">IFERROR(IF( AND((_xlfn.SINGLE(HM_ZD_Moho!CA_cum_gross_sales_oil)+_xlfn.SINGLE(HM_ZD_Moho!CA_gross_sales_lpg))&gt;=INDEX(HM_ZD_Moho!FA_SPO_cumprod_oil,2),
(_xlfn.SINGLE(HM_ZD_Moho!CA_cum_gross_sales_oil)+_xlfn.SINGLE(HM_ZD_Moho!CA_gross_sales_lpg))&lt;INDEX(HM_ZD_Moho!FA_SPO_cumprod_oil,3)),
MAX(60%*_xlfn.SINGLE(HM_ZD_Moho!CA_gross_rev_oil_fp)*(1-(IF(_xlfn.SINGLE(CA_period_trig)=1,_xlfn.SINGLE(CA_HP_oil_nom_period1),_xlfn.SINGLE(CA_HP_oil_nom_period2))/_xlfn.SINGLE(HM_ZD_Moho!CA_FP_oil_nom))),0),0),0)</f>
        <v>0</v>
      </c>
      <c r="AR305" s="49">
        <f ca="1">IFERROR(IF( AND((_xlfn.SINGLE(HM_ZD_Moho!CA_cum_gross_sales_oil)+_xlfn.SINGLE(HM_ZD_Moho!CA_gross_sales_lpg))&gt;=INDEX(HM_ZD_Moho!FA_SPO_cumprod_oil,2),
(_xlfn.SINGLE(HM_ZD_Moho!CA_cum_gross_sales_oil)+_xlfn.SINGLE(HM_ZD_Moho!CA_gross_sales_lpg))&lt;INDEX(HM_ZD_Moho!FA_SPO_cumprod_oil,3)),
MAX(60%*_xlfn.SINGLE(HM_ZD_Moho!CA_gross_rev_oil_fp)*(1-(IF(_xlfn.SINGLE(CA_period_trig)=1,_xlfn.SINGLE(CA_HP_oil_nom_period1),_xlfn.SINGLE(CA_HP_oil_nom_period2))/_xlfn.SINGLE(HM_ZD_Moho!CA_FP_oil_nom))),0),0),0)</f>
        <v>0</v>
      </c>
      <c r="AS305" s="49">
        <f ca="1">IFERROR(IF( AND((_xlfn.SINGLE(HM_ZD_Moho!CA_cum_gross_sales_oil)+_xlfn.SINGLE(HM_ZD_Moho!CA_gross_sales_lpg))&gt;=INDEX(HM_ZD_Moho!FA_SPO_cumprod_oil,2),
(_xlfn.SINGLE(HM_ZD_Moho!CA_cum_gross_sales_oil)+_xlfn.SINGLE(HM_ZD_Moho!CA_gross_sales_lpg))&lt;INDEX(HM_ZD_Moho!FA_SPO_cumprod_oil,3)),
MAX(60%*_xlfn.SINGLE(HM_ZD_Moho!CA_gross_rev_oil_fp)*(1-(IF(_xlfn.SINGLE(CA_period_trig)=1,_xlfn.SINGLE(CA_HP_oil_nom_period1),_xlfn.SINGLE(CA_HP_oil_nom_period2))/_xlfn.SINGLE(HM_ZD_Moho!CA_FP_oil_nom))),0),0),0)</f>
        <v>0</v>
      </c>
      <c r="AT305" s="49">
        <f ca="1">IFERROR(IF( AND((_xlfn.SINGLE(HM_ZD_Moho!CA_cum_gross_sales_oil)+_xlfn.SINGLE(HM_ZD_Moho!CA_gross_sales_lpg))&gt;=INDEX(HM_ZD_Moho!FA_SPO_cumprod_oil,2),
(_xlfn.SINGLE(HM_ZD_Moho!CA_cum_gross_sales_oil)+_xlfn.SINGLE(HM_ZD_Moho!CA_gross_sales_lpg))&lt;INDEX(HM_ZD_Moho!FA_SPO_cumprod_oil,3)),
MAX(60%*_xlfn.SINGLE(HM_ZD_Moho!CA_gross_rev_oil_fp)*(1-(IF(_xlfn.SINGLE(CA_period_trig)=1,_xlfn.SINGLE(CA_HP_oil_nom_period1),_xlfn.SINGLE(CA_HP_oil_nom_period2))/_xlfn.SINGLE(HM_ZD_Moho!CA_FP_oil_nom))),0),0),0)</f>
        <v>0</v>
      </c>
      <c r="AU305" s="49">
        <f ca="1">IFERROR(IF( AND((_xlfn.SINGLE(HM_ZD_Moho!CA_cum_gross_sales_oil)+_xlfn.SINGLE(HM_ZD_Moho!CA_gross_sales_lpg))&gt;=INDEX(HM_ZD_Moho!FA_SPO_cumprod_oil,2),
(_xlfn.SINGLE(HM_ZD_Moho!CA_cum_gross_sales_oil)+_xlfn.SINGLE(HM_ZD_Moho!CA_gross_sales_lpg))&lt;INDEX(HM_ZD_Moho!FA_SPO_cumprod_oil,3)),
MAX(60%*_xlfn.SINGLE(HM_ZD_Moho!CA_gross_rev_oil_fp)*(1-(IF(_xlfn.SINGLE(CA_period_trig)=1,_xlfn.SINGLE(CA_HP_oil_nom_period1),_xlfn.SINGLE(CA_HP_oil_nom_period2))/_xlfn.SINGLE(HM_ZD_Moho!CA_FP_oil_nom))),0),0),0)</f>
        <v>0</v>
      </c>
      <c r="AV305" s="49">
        <f ca="1">IFERROR(IF( AND((_xlfn.SINGLE(HM_ZD_Moho!CA_cum_gross_sales_oil)+_xlfn.SINGLE(HM_ZD_Moho!CA_gross_sales_lpg))&gt;=INDEX(HM_ZD_Moho!FA_SPO_cumprod_oil,2),
(_xlfn.SINGLE(HM_ZD_Moho!CA_cum_gross_sales_oil)+_xlfn.SINGLE(HM_ZD_Moho!CA_gross_sales_lpg))&lt;INDEX(HM_ZD_Moho!FA_SPO_cumprod_oil,3)),
MAX(60%*_xlfn.SINGLE(HM_ZD_Moho!CA_gross_rev_oil_fp)*(1-(IF(_xlfn.SINGLE(CA_period_trig)=1,_xlfn.SINGLE(CA_HP_oil_nom_period1),_xlfn.SINGLE(CA_HP_oil_nom_period2))/_xlfn.SINGLE(HM_ZD_Moho!CA_FP_oil_nom))),0),0),0)</f>
        <v>0</v>
      </c>
      <c r="AW305" s="49">
        <f ca="1">IFERROR(IF( AND((_xlfn.SINGLE(HM_ZD_Moho!CA_cum_gross_sales_oil)+_xlfn.SINGLE(HM_ZD_Moho!CA_gross_sales_lpg))&gt;=INDEX(HM_ZD_Moho!FA_SPO_cumprod_oil,2),
(_xlfn.SINGLE(HM_ZD_Moho!CA_cum_gross_sales_oil)+_xlfn.SINGLE(HM_ZD_Moho!CA_gross_sales_lpg))&lt;INDEX(HM_ZD_Moho!FA_SPO_cumprod_oil,3)),
MAX(60%*_xlfn.SINGLE(HM_ZD_Moho!CA_gross_rev_oil_fp)*(1-(IF(_xlfn.SINGLE(CA_period_trig)=1,_xlfn.SINGLE(CA_HP_oil_nom_period1),_xlfn.SINGLE(CA_HP_oil_nom_period2))/_xlfn.SINGLE(HM_ZD_Moho!CA_FP_oil_nom))),0),0),0)</f>
        <v>0</v>
      </c>
      <c r="AX305" s="49">
        <f ca="1">IFERROR(IF( AND((_xlfn.SINGLE(HM_ZD_Moho!CA_cum_gross_sales_oil)+_xlfn.SINGLE(HM_ZD_Moho!CA_gross_sales_lpg))&gt;=INDEX(HM_ZD_Moho!FA_SPO_cumprod_oil,2),
(_xlfn.SINGLE(HM_ZD_Moho!CA_cum_gross_sales_oil)+_xlfn.SINGLE(HM_ZD_Moho!CA_gross_sales_lpg))&lt;INDEX(HM_ZD_Moho!FA_SPO_cumprod_oil,3)),
MAX(60%*_xlfn.SINGLE(HM_ZD_Moho!CA_gross_rev_oil_fp)*(1-(IF(_xlfn.SINGLE(CA_period_trig)=1,_xlfn.SINGLE(CA_HP_oil_nom_period1),_xlfn.SINGLE(CA_HP_oil_nom_period2))/_xlfn.SINGLE(HM_ZD_Moho!CA_FP_oil_nom))),0),0),0)</f>
        <v>0</v>
      </c>
      <c r="AY305" s="49">
        <f ca="1">IFERROR(IF( AND((_xlfn.SINGLE(HM_ZD_Moho!CA_cum_gross_sales_oil)+_xlfn.SINGLE(HM_ZD_Moho!CA_gross_sales_lpg))&gt;=INDEX(HM_ZD_Moho!FA_SPO_cumprod_oil,2),
(_xlfn.SINGLE(HM_ZD_Moho!CA_cum_gross_sales_oil)+_xlfn.SINGLE(HM_ZD_Moho!CA_gross_sales_lpg))&lt;INDEX(HM_ZD_Moho!FA_SPO_cumprod_oil,3)),
MAX(60%*_xlfn.SINGLE(HM_ZD_Moho!CA_gross_rev_oil_fp)*(1-(IF(_xlfn.SINGLE(CA_period_trig)=1,_xlfn.SINGLE(CA_HP_oil_nom_period1),_xlfn.SINGLE(CA_HP_oil_nom_period2))/_xlfn.SINGLE(HM_ZD_Moho!CA_FP_oil_nom))),0),0),0)</f>
        <v>0</v>
      </c>
      <c r="AZ305" s="49">
        <f ca="1">IFERROR(IF( AND((_xlfn.SINGLE(HM_ZD_Moho!CA_cum_gross_sales_oil)+_xlfn.SINGLE(HM_ZD_Moho!CA_gross_sales_lpg))&gt;=INDEX(HM_ZD_Moho!FA_SPO_cumprod_oil,2),
(_xlfn.SINGLE(HM_ZD_Moho!CA_cum_gross_sales_oil)+_xlfn.SINGLE(HM_ZD_Moho!CA_gross_sales_lpg))&lt;INDEX(HM_ZD_Moho!FA_SPO_cumprod_oil,3)),
MAX(60%*_xlfn.SINGLE(HM_ZD_Moho!CA_gross_rev_oil_fp)*(1-(IF(_xlfn.SINGLE(CA_period_trig)=1,_xlfn.SINGLE(CA_HP_oil_nom_period1),_xlfn.SINGLE(CA_HP_oil_nom_period2))/_xlfn.SINGLE(HM_ZD_Moho!CA_FP_oil_nom))),0),0),0)</f>
        <v>0</v>
      </c>
      <c r="BA305" s="49">
        <f ca="1">IFERROR(IF( AND((_xlfn.SINGLE(HM_ZD_Moho!CA_cum_gross_sales_oil)+_xlfn.SINGLE(HM_ZD_Moho!CA_gross_sales_lpg))&gt;=INDEX(HM_ZD_Moho!FA_SPO_cumprod_oil,2),
(_xlfn.SINGLE(HM_ZD_Moho!CA_cum_gross_sales_oil)+_xlfn.SINGLE(HM_ZD_Moho!CA_gross_sales_lpg))&lt;INDEX(HM_ZD_Moho!FA_SPO_cumprod_oil,3)),
MAX(60%*_xlfn.SINGLE(HM_ZD_Moho!CA_gross_rev_oil_fp)*(1-(IF(_xlfn.SINGLE(CA_period_trig)=1,_xlfn.SINGLE(CA_HP_oil_nom_period1),_xlfn.SINGLE(CA_HP_oil_nom_period2))/_xlfn.SINGLE(HM_ZD_Moho!CA_FP_oil_nom))),0),0),0)</f>
        <v>0</v>
      </c>
      <c r="BB305" s="49">
        <f ca="1">IFERROR(IF( AND((_xlfn.SINGLE(HM_ZD_Moho!CA_cum_gross_sales_oil)+_xlfn.SINGLE(HM_ZD_Moho!CA_gross_sales_lpg))&gt;=INDEX(HM_ZD_Moho!FA_SPO_cumprod_oil,2),
(_xlfn.SINGLE(HM_ZD_Moho!CA_cum_gross_sales_oil)+_xlfn.SINGLE(HM_ZD_Moho!CA_gross_sales_lpg))&lt;INDEX(HM_ZD_Moho!FA_SPO_cumprod_oil,3)),
MAX(60%*_xlfn.SINGLE(HM_ZD_Moho!CA_gross_rev_oil_fp)*(1-(IF(_xlfn.SINGLE(CA_period_trig)=1,_xlfn.SINGLE(CA_HP_oil_nom_period1),_xlfn.SINGLE(CA_HP_oil_nom_period2))/_xlfn.SINGLE(HM_ZD_Moho!CA_FP_oil_nom))),0),0),0)</f>
        <v>0</v>
      </c>
      <c r="BC305" s="49">
        <f ca="1">IFERROR(IF( AND((_xlfn.SINGLE(HM_ZD_Moho!CA_cum_gross_sales_oil)+_xlfn.SINGLE(HM_ZD_Moho!CA_gross_sales_lpg))&gt;=INDEX(HM_ZD_Moho!FA_SPO_cumprod_oil,2),
(_xlfn.SINGLE(HM_ZD_Moho!CA_cum_gross_sales_oil)+_xlfn.SINGLE(HM_ZD_Moho!CA_gross_sales_lpg))&lt;INDEX(HM_ZD_Moho!FA_SPO_cumprod_oil,3)),
MAX(60%*_xlfn.SINGLE(HM_ZD_Moho!CA_gross_rev_oil_fp)*(1-(IF(_xlfn.SINGLE(CA_period_trig)=1,_xlfn.SINGLE(CA_HP_oil_nom_period1),_xlfn.SINGLE(CA_HP_oil_nom_period2))/_xlfn.SINGLE(HM_ZD_Moho!CA_FP_oil_nom))),0),0),0)</f>
        <v>0</v>
      </c>
      <c r="BD305" s="49">
        <f ca="1">IFERROR(IF( AND((_xlfn.SINGLE(HM_ZD_Moho!CA_cum_gross_sales_oil)+_xlfn.SINGLE(HM_ZD_Moho!CA_gross_sales_lpg))&gt;=INDEX(HM_ZD_Moho!FA_SPO_cumprod_oil,2),
(_xlfn.SINGLE(HM_ZD_Moho!CA_cum_gross_sales_oil)+_xlfn.SINGLE(HM_ZD_Moho!CA_gross_sales_lpg))&lt;INDEX(HM_ZD_Moho!FA_SPO_cumprod_oil,3)),
MAX(60%*_xlfn.SINGLE(HM_ZD_Moho!CA_gross_rev_oil_fp)*(1-(IF(_xlfn.SINGLE(CA_period_trig)=1,_xlfn.SINGLE(CA_HP_oil_nom_period1),_xlfn.SINGLE(CA_HP_oil_nom_period2))/_xlfn.SINGLE(HM_ZD_Moho!CA_FP_oil_nom))),0),0),0)</f>
        <v>0</v>
      </c>
      <c r="BE305" s="49">
        <f ca="1">IFERROR(IF( AND((_xlfn.SINGLE(HM_ZD_Moho!CA_cum_gross_sales_oil)+_xlfn.SINGLE(HM_ZD_Moho!CA_gross_sales_lpg))&gt;=INDEX(HM_ZD_Moho!FA_SPO_cumprod_oil,2),
(_xlfn.SINGLE(HM_ZD_Moho!CA_cum_gross_sales_oil)+_xlfn.SINGLE(HM_ZD_Moho!CA_gross_sales_lpg))&lt;INDEX(HM_ZD_Moho!FA_SPO_cumprod_oil,3)),
MAX(60%*_xlfn.SINGLE(HM_ZD_Moho!CA_gross_rev_oil_fp)*(1-(IF(_xlfn.SINGLE(CA_period_trig)=1,_xlfn.SINGLE(CA_HP_oil_nom_period1),_xlfn.SINGLE(CA_HP_oil_nom_period2))/_xlfn.SINGLE(HM_ZD_Moho!CA_FP_oil_nom))),0),0),0)</f>
        <v>0</v>
      </c>
      <c r="BF305" s="49">
        <f ca="1">IFERROR(IF( AND((_xlfn.SINGLE(HM_ZD_Moho!CA_cum_gross_sales_oil)+_xlfn.SINGLE(HM_ZD_Moho!CA_gross_sales_lpg))&gt;=INDEX(HM_ZD_Moho!FA_SPO_cumprod_oil,2),
(_xlfn.SINGLE(HM_ZD_Moho!CA_cum_gross_sales_oil)+_xlfn.SINGLE(HM_ZD_Moho!CA_gross_sales_lpg))&lt;INDEX(HM_ZD_Moho!FA_SPO_cumprod_oil,3)),
MAX(60%*_xlfn.SINGLE(HM_ZD_Moho!CA_gross_rev_oil_fp)*(1-(IF(_xlfn.SINGLE(CA_period_trig)=1,_xlfn.SINGLE(CA_HP_oil_nom_period1),_xlfn.SINGLE(CA_HP_oil_nom_period2))/_xlfn.SINGLE(HM_ZD_Moho!CA_FP_oil_nom))),0),0),0)</f>
        <v>0</v>
      </c>
      <c r="BG305" s="49">
        <f ca="1">IFERROR(IF( AND((_xlfn.SINGLE(HM_ZD_Moho!CA_cum_gross_sales_oil)+_xlfn.SINGLE(HM_ZD_Moho!CA_gross_sales_lpg))&gt;=INDEX(HM_ZD_Moho!FA_SPO_cumprod_oil,2),
(_xlfn.SINGLE(HM_ZD_Moho!CA_cum_gross_sales_oil)+_xlfn.SINGLE(HM_ZD_Moho!CA_gross_sales_lpg))&lt;INDEX(HM_ZD_Moho!FA_SPO_cumprod_oil,3)),
MAX(60%*_xlfn.SINGLE(HM_ZD_Moho!CA_gross_rev_oil_fp)*(1-(IF(_xlfn.SINGLE(CA_period_trig)=1,_xlfn.SINGLE(CA_HP_oil_nom_period1),_xlfn.SINGLE(CA_HP_oil_nom_period2))/_xlfn.SINGLE(HM_ZD_Moho!CA_FP_oil_nom))),0),0),0)</f>
        <v>0</v>
      </c>
      <c r="BH305" s="49">
        <f ca="1">IFERROR(IF( AND((_xlfn.SINGLE(HM_ZD_Moho!CA_cum_gross_sales_oil)+_xlfn.SINGLE(HM_ZD_Moho!CA_gross_sales_lpg))&gt;=INDEX(HM_ZD_Moho!FA_SPO_cumprod_oil,2),
(_xlfn.SINGLE(HM_ZD_Moho!CA_cum_gross_sales_oil)+_xlfn.SINGLE(HM_ZD_Moho!CA_gross_sales_lpg))&lt;INDEX(HM_ZD_Moho!FA_SPO_cumprod_oil,3)),
MAX(60%*_xlfn.SINGLE(HM_ZD_Moho!CA_gross_rev_oil_fp)*(1-(IF(_xlfn.SINGLE(CA_period_trig)=1,_xlfn.SINGLE(CA_HP_oil_nom_period1),_xlfn.SINGLE(CA_HP_oil_nom_period2))/_xlfn.SINGLE(HM_ZD_Moho!CA_FP_oil_nom))),0),0),0)</f>
        <v>0</v>
      </c>
      <c r="BI305" s="49">
        <f ca="1">IFERROR(IF( AND((_xlfn.SINGLE(HM_ZD_Moho!CA_cum_gross_sales_oil)+_xlfn.SINGLE(HM_ZD_Moho!CA_gross_sales_lpg))&gt;=INDEX(HM_ZD_Moho!FA_SPO_cumprod_oil,2),
(_xlfn.SINGLE(HM_ZD_Moho!CA_cum_gross_sales_oil)+_xlfn.SINGLE(HM_ZD_Moho!CA_gross_sales_lpg))&lt;INDEX(HM_ZD_Moho!FA_SPO_cumprod_oil,3)),
MAX(60%*_xlfn.SINGLE(HM_ZD_Moho!CA_gross_rev_oil_fp)*(1-(IF(_xlfn.SINGLE(CA_period_trig)=1,_xlfn.SINGLE(CA_HP_oil_nom_period1),_xlfn.SINGLE(CA_HP_oil_nom_period2))/_xlfn.SINGLE(HM_ZD_Moho!CA_FP_oil_nom))),0),0),0)</f>
        <v>0</v>
      </c>
      <c r="BJ305" s="49">
        <f ca="1">IFERROR(IF( AND((_xlfn.SINGLE(HM_ZD_Moho!CA_cum_gross_sales_oil)+_xlfn.SINGLE(HM_ZD_Moho!CA_gross_sales_lpg))&gt;=INDEX(HM_ZD_Moho!FA_SPO_cumprod_oil,2),
(_xlfn.SINGLE(HM_ZD_Moho!CA_cum_gross_sales_oil)+_xlfn.SINGLE(HM_ZD_Moho!CA_gross_sales_lpg))&lt;INDEX(HM_ZD_Moho!FA_SPO_cumprod_oil,3)),
MAX(60%*_xlfn.SINGLE(HM_ZD_Moho!CA_gross_rev_oil_fp)*(1-(IF(_xlfn.SINGLE(CA_period_trig)=1,_xlfn.SINGLE(CA_HP_oil_nom_period1),_xlfn.SINGLE(CA_HP_oil_nom_period2))/_xlfn.SINGLE(HM_ZD_Moho!CA_FP_oil_nom))),0),0),0)</f>
        <v>0</v>
      </c>
      <c r="BK305" s="49">
        <f ca="1">IFERROR(IF( AND((_xlfn.SINGLE(HM_ZD_Moho!CA_cum_gross_sales_oil)+_xlfn.SINGLE(HM_ZD_Moho!CA_gross_sales_lpg))&gt;=INDEX(HM_ZD_Moho!FA_SPO_cumprod_oil,2),
(_xlfn.SINGLE(HM_ZD_Moho!CA_cum_gross_sales_oil)+_xlfn.SINGLE(HM_ZD_Moho!CA_gross_sales_lpg))&lt;INDEX(HM_ZD_Moho!FA_SPO_cumprod_oil,3)),
MAX(60%*_xlfn.SINGLE(HM_ZD_Moho!CA_gross_rev_oil_fp)*(1-(IF(_xlfn.SINGLE(CA_period_trig)=1,_xlfn.SINGLE(CA_HP_oil_nom_period1),_xlfn.SINGLE(CA_HP_oil_nom_period2))/_xlfn.SINGLE(HM_ZD_Moho!CA_FP_oil_nom))),0),0),0)</f>
        <v>0</v>
      </c>
      <c r="BL305" s="49">
        <f ca="1">IFERROR(IF( AND((_xlfn.SINGLE(HM_ZD_Moho!CA_cum_gross_sales_oil)+_xlfn.SINGLE(HM_ZD_Moho!CA_gross_sales_lpg))&gt;=INDEX(HM_ZD_Moho!FA_SPO_cumprod_oil,2),
(_xlfn.SINGLE(HM_ZD_Moho!CA_cum_gross_sales_oil)+_xlfn.SINGLE(HM_ZD_Moho!CA_gross_sales_lpg))&lt;INDEX(HM_ZD_Moho!FA_SPO_cumprod_oil,3)),
MAX(60%*_xlfn.SINGLE(HM_ZD_Moho!CA_gross_rev_oil_fp)*(1-(IF(_xlfn.SINGLE(CA_period_trig)=1,_xlfn.SINGLE(CA_HP_oil_nom_period1),_xlfn.SINGLE(CA_HP_oil_nom_period2))/_xlfn.SINGLE(HM_ZD_Moho!CA_FP_oil_nom))),0),0),0)</f>
        <v>0</v>
      </c>
      <c r="BM305" s="49">
        <f ca="1">IFERROR(IF( AND((_xlfn.SINGLE(HM_ZD_Moho!CA_cum_gross_sales_oil)+_xlfn.SINGLE(HM_ZD_Moho!CA_gross_sales_lpg))&gt;=INDEX(HM_ZD_Moho!FA_SPO_cumprod_oil,2),
(_xlfn.SINGLE(HM_ZD_Moho!CA_cum_gross_sales_oil)+_xlfn.SINGLE(HM_ZD_Moho!CA_gross_sales_lpg))&lt;INDEX(HM_ZD_Moho!FA_SPO_cumprod_oil,3)),
MAX(60%*_xlfn.SINGLE(HM_ZD_Moho!CA_gross_rev_oil_fp)*(1-(IF(_xlfn.SINGLE(CA_period_trig)=1,_xlfn.SINGLE(CA_HP_oil_nom_period1),_xlfn.SINGLE(CA_HP_oil_nom_period2))/_xlfn.SINGLE(HM_ZD_Moho!CA_FP_oil_nom))),0),0),0)</f>
        <v>0</v>
      </c>
      <c r="BN305" s="49">
        <f ca="1">IFERROR(IF( AND((_xlfn.SINGLE(HM_ZD_Moho!CA_cum_gross_sales_oil)+_xlfn.SINGLE(HM_ZD_Moho!CA_gross_sales_lpg))&gt;=INDEX(HM_ZD_Moho!FA_SPO_cumprod_oil,2),
(_xlfn.SINGLE(HM_ZD_Moho!CA_cum_gross_sales_oil)+_xlfn.SINGLE(HM_ZD_Moho!CA_gross_sales_lpg))&lt;INDEX(HM_ZD_Moho!FA_SPO_cumprod_oil,3)),
MAX(60%*_xlfn.SINGLE(HM_ZD_Moho!CA_gross_rev_oil_fp)*(1-(IF(_xlfn.SINGLE(CA_period_trig)=1,_xlfn.SINGLE(CA_HP_oil_nom_period1),_xlfn.SINGLE(CA_HP_oil_nom_period2))/_xlfn.SINGLE(HM_ZD_Moho!CA_FP_oil_nom))),0),0),0)</f>
        <v>0</v>
      </c>
      <c r="BO305" s="49">
        <f ca="1">IFERROR(IF( AND((_xlfn.SINGLE(HM_ZD_Moho!CA_cum_gross_sales_oil)+_xlfn.SINGLE(HM_ZD_Moho!CA_gross_sales_lpg))&gt;=INDEX(HM_ZD_Moho!FA_SPO_cumprod_oil,2),
(_xlfn.SINGLE(HM_ZD_Moho!CA_cum_gross_sales_oil)+_xlfn.SINGLE(HM_ZD_Moho!CA_gross_sales_lpg))&lt;INDEX(HM_ZD_Moho!FA_SPO_cumprod_oil,3)),
MAX(60%*_xlfn.SINGLE(HM_ZD_Moho!CA_gross_rev_oil_fp)*(1-(IF(_xlfn.SINGLE(CA_period_trig)=1,_xlfn.SINGLE(CA_HP_oil_nom_period1),_xlfn.SINGLE(CA_HP_oil_nom_period2))/_xlfn.SINGLE(HM_ZD_Moho!CA_FP_oil_nom))),0),0),0)</f>
        <v>0</v>
      </c>
      <c r="BP305" s="49">
        <f ca="1">IFERROR(IF( AND((_xlfn.SINGLE(HM_ZD_Moho!CA_cum_gross_sales_oil)+_xlfn.SINGLE(HM_ZD_Moho!CA_gross_sales_lpg))&gt;=INDEX(HM_ZD_Moho!FA_SPO_cumprod_oil,2),
(_xlfn.SINGLE(HM_ZD_Moho!CA_cum_gross_sales_oil)+_xlfn.SINGLE(HM_ZD_Moho!CA_gross_sales_lpg))&lt;INDEX(HM_ZD_Moho!FA_SPO_cumprod_oil,3)),
MAX(60%*_xlfn.SINGLE(HM_ZD_Moho!CA_gross_rev_oil_fp)*(1-(IF(_xlfn.SINGLE(CA_period_trig)=1,_xlfn.SINGLE(CA_HP_oil_nom_period1),_xlfn.SINGLE(CA_HP_oil_nom_period2))/_xlfn.SINGLE(HM_ZD_Moho!CA_FP_oil_nom))),0),0),0)</f>
        <v>0</v>
      </c>
      <c r="BQ305" s="49">
        <f ca="1">IFERROR(IF( AND((_xlfn.SINGLE(HM_ZD_Moho!CA_cum_gross_sales_oil)+_xlfn.SINGLE(HM_ZD_Moho!CA_gross_sales_lpg))&gt;=INDEX(HM_ZD_Moho!FA_SPO_cumprod_oil,2),
(_xlfn.SINGLE(HM_ZD_Moho!CA_cum_gross_sales_oil)+_xlfn.SINGLE(HM_ZD_Moho!CA_gross_sales_lpg))&lt;INDEX(HM_ZD_Moho!FA_SPO_cumprod_oil,3)),
MAX(60%*_xlfn.SINGLE(HM_ZD_Moho!CA_gross_rev_oil_fp)*(1-(IF(_xlfn.SINGLE(CA_period_trig)=1,_xlfn.SINGLE(CA_HP_oil_nom_period1),_xlfn.SINGLE(CA_HP_oil_nom_period2))/_xlfn.SINGLE(HM_ZD_Moho!CA_FP_oil_nom))),0),0),0)</f>
        <v>0</v>
      </c>
      <c r="BR305" s="49">
        <f ca="1">IFERROR(IF( AND((_xlfn.SINGLE(HM_ZD_Moho!CA_cum_gross_sales_oil)+_xlfn.SINGLE(HM_ZD_Moho!CA_gross_sales_lpg))&gt;=INDEX(HM_ZD_Moho!FA_SPO_cumprod_oil,2),
(_xlfn.SINGLE(HM_ZD_Moho!CA_cum_gross_sales_oil)+_xlfn.SINGLE(HM_ZD_Moho!CA_gross_sales_lpg))&lt;INDEX(HM_ZD_Moho!FA_SPO_cumprod_oil,3)),
MAX(60%*_xlfn.SINGLE(HM_ZD_Moho!CA_gross_rev_oil_fp)*(1-(IF(_xlfn.SINGLE(CA_period_trig)=1,_xlfn.SINGLE(CA_HP_oil_nom_period1),_xlfn.SINGLE(CA_HP_oil_nom_period2))/_xlfn.SINGLE(HM_ZD_Moho!CA_FP_oil_nom))),0),0),0)</f>
        <v>0</v>
      </c>
      <c r="BS305" s="49">
        <f ca="1">IFERROR(IF( AND((_xlfn.SINGLE(HM_ZD_Moho!CA_cum_gross_sales_oil)+_xlfn.SINGLE(HM_ZD_Moho!CA_gross_sales_lpg))&gt;=INDEX(HM_ZD_Moho!FA_SPO_cumprod_oil,2),
(_xlfn.SINGLE(HM_ZD_Moho!CA_cum_gross_sales_oil)+_xlfn.SINGLE(HM_ZD_Moho!CA_gross_sales_lpg))&lt;INDEX(HM_ZD_Moho!FA_SPO_cumprod_oil,3)),
MAX(60%*_xlfn.SINGLE(HM_ZD_Moho!CA_gross_rev_oil_fp)*(1-(IF(_xlfn.SINGLE(CA_period_trig)=1,_xlfn.SINGLE(CA_HP_oil_nom_period1),_xlfn.SINGLE(CA_HP_oil_nom_period2))/_xlfn.SINGLE(HM_ZD_Moho!CA_FP_oil_nom))),0),0),0)</f>
        <v>0</v>
      </c>
    </row>
    <row r="306" spans="3:71" outlineLevel="1" x14ac:dyDescent="0.2">
      <c r="J306" s="26"/>
      <c r="L306" s="55"/>
      <c r="M306" s="55"/>
      <c r="N306" s="55"/>
      <c r="O306" s="55"/>
      <c r="P306" s="55"/>
      <c r="Q306" s="55"/>
      <c r="R306" s="55"/>
      <c r="S306" s="55"/>
      <c r="T306" s="55"/>
      <c r="U306" s="55"/>
      <c r="V306" s="55"/>
      <c r="W306" s="55"/>
      <c r="X306" s="55"/>
      <c r="Y306" s="55"/>
      <c r="Z306" s="55"/>
      <c r="AA306" s="55"/>
      <c r="AB306" s="55"/>
      <c r="AC306" s="55"/>
      <c r="AD306" s="55"/>
      <c r="AE306" s="55"/>
      <c r="AF306" s="55"/>
      <c r="AG306" s="55"/>
      <c r="AH306" s="55"/>
      <c r="AI306" s="55"/>
      <c r="AJ306" s="55"/>
      <c r="AK306" s="55"/>
      <c r="AL306" s="55"/>
      <c r="AM306" s="55"/>
      <c r="AN306" s="55"/>
      <c r="AO306" s="55"/>
      <c r="AP306" s="55"/>
      <c r="AQ306" s="55"/>
      <c r="AR306" s="55"/>
      <c r="AS306" s="55"/>
      <c r="AT306" s="55"/>
      <c r="AU306" s="55"/>
      <c r="AV306" s="55"/>
      <c r="AW306" s="55"/>
      <c r="AX306" s="55"/>
      <c r="AY306" s="55"/>
      <c r="AZ306" s="55"/>
      <c r="BA306" s="55"/>
      <c r="BB306" s="55"/>
      <c r="BC306" s="55"/>
      <c r="BD306" s="55"/>
      <c r="BE306" s="55"/>
      <c r="BF306" s="55"/>
      <c r="BG306" s="55"/>
      <c r="BH306" s="55"/>
      <c r="BI306" s="55"/>
      <c r="BJ306" s="55"/>
      <c r="BK306" s="55"/>
      <c r="BL306" s="55"/>
      <c r="BM306" s="55"/>
      <c r="BN306" s="55"/>
      <c r="BO306" s="55"/>
      <c r="BP306" s="55"/>
      <c r="BQ306" s="55"/>
      <c r="BR306" s="55"/>
      <c r="BS306" s="55"/>
    </row>
    <row r="307" spans="3:71" outlineLevel="1" x14ac:dyDescent="0.2">
      <c r="D307" s="75" t="str">
        <f>CHOOSE(db_ML_selected,'Liste Traduction'!B461,'Liste Traduction'!C461)</f>
        <v>Revenus SPO - Tranche 3</v>
      </c>
      <c r="I307" s="30">
        <f t="shared" ca="1" si="187"/>
        <v>3423.4871588933838</v>
      </c>
      <c r="J307" s="26" t="s">
        <v>148</v>
      </c>
      <c r="L307" s="49">
        <f ca="1">HM_ZD_AM3_2005!L287</f>
        <v>1422.5944995370003</v>
      </c>
      <c r="M307" s="49">
        <f ca="1">HM_ZD_AM3_2005!M287</f>
        <v>1299.7484336069997</v>
      </c>
      <c r="N307" s="49">
        <f ca="1">IFERROR(IF((_xlfn.SINGLE(HM_ZD_Moho!CA_cum_gross_sales_oil)+_xlfn.SINGLE(HM_ZD_Moho!CA_gross_sales_lpg))&gt;= INDEX(HM_ZD_Moho!FA_CS_cumprod_oil,3),MAX((1-HM_ZD_Moho!royalty_rate_oil)*_xlfn.SINGLE(HM_ZD_Moho!CA_gross_rev_oil_fp)*(1-(IF(_xlfn.SINGLE(CA_period_trig)=1,_xlfn.SINGLE(CA_HP_oil_nom_period1),_xlfn.SINGLE(CA_HP_oil_nom_period2))/_xlfn.SINGLE(HM_ZD_Moho!CA_FP_oil_nom))),0),0),0)</f>
        <v>0</v>
      </c>
      <c r="O307" s="49">
        <f ca="1">IFERROR(IF((_xlfn.SINGLE(HM_ZD_Moho!CA_cum_gross_sales_oil)+_xlfn.SINGLE(HM_ZD_Moho!CA_gross_sales_lpg))&gt;= INDEX(HM_ZD_Moho!FA_CS_cumprod_oil,3),MAX((1-HM_ZD_Moho!royalty_rate_oil)*_xlfn.SINGLE(HM_ZD_Moho!CA_gross_rev_oil_fp)*(1-(IF(_xlfn.SINGLE(CA_period_trig)=1,_xlfn.SINGLE(CA_HP_oil_nom_period1),_xlfn.SINGLE(CA_HP_oil_nom_period2))/_xlfn.SINGLE(HM_ZD_Moho!CA_FP_oil_nom))),0),0),0)</f>
        <v>0</v>
      </c>
      <c r="P307" s="49">
        <f ca="1">IFERROR(IF((_xlfn.SINGLE(HM_ZD_Moho!CA_cum_gross_sales_oil)+_xlfn.SINGLE(HM_ZD_Moho!CA_gross_sales_lpg))&gt;= INDEX(HM_ZD_Moho!FA_CS_cumprod_oil,3),MAX((1-HM_ZD_Moho!royalty_rate_oil)*_xlfn.SINGLE(HM_ZD_Moho!CA_gross_rev_oil_fp)*(1-(IF(_xlfn.SINGLE(CA_period_trig)=1,_xlfn.SINGLE(CA_HP_oil_nom_period1),_xlfn.SINGLE(CA_HP_oil_nom_period2))/_xlfn.SINGLE(HM_ZD_Moho!CA_FP_oil_nom))),0),0),0)</f>
        <v>0</v>
      </c>
      <c r="Q307" s="49">
        <f ca="1">IFERROR(IF((_xlfn.SINGLE(HM_ZD_Moho!CA_cum_gross_sales_oil)+_xlfn.SINGLE(HM_ZD_Moho!CA_gross_sales_lpg))&gt;= INDEX(HM_ZD_Moho!FA_CS_cumprod_oil,3),MAX((1-HM_ZD_Moho!royalty_rate_oil)*_xlfn.SINGLE(HM_ZD_Moho!CA_gross_rev_oil_fp)*(1-(IF(_xlfn.SINGLE(CA_period_trig)=1,_xlfn.SINGLE(CA_HP_oil_nom_period1),_xlfn.SINGLE(CA_HP_oil_nom_period2))/_xlfn.SINGLE(HM_ZD_Moho!CA_FP_oil_nom))),0),0),0)</f>
        <v>0</v>
      </c>
      <c r="R307" s="49">
        <f ca="1">IFERROR(IF((_xlfn.SINGLE(HM_ZD_Moho!CA_cum_gross_sales_oil)+_xlfn.SINGLE(HM_ZD_Moho!CA_gross_sales_lpg))&gt;= INDEX(HM_ZD_Moho!FA_CS_cumprod_oil,3),MAX((1-HM_ZD_Moho!royalty_rate_oil)*_xlfn.SINGLE(HM_ZD_Moho!CA_gross_rev_oil_fp)*(1-(IF(_xlfn.SINGLE(CA_period_trig)=1,_xlfn.SINGLE(CA_HP_oil_nom_period1),_xlfn.SINGLE(CA_HP_oil_nom_period2))/_xlfn.SINGLE(HM_ZD_Moho!CA_FP_oil_nom))),0),0),0)</f>
        <v>0</v>
      </c>
      <c r="S307" s="49">
        <f ca="1">IFERROR(IF((_xlfn.SINGLE(HM_ZD_Moho!CA_cum_gross_sales_oil)+_xlfn.SINGLE(HM_ZD_Moho!CA_gross_sales_lpg))&gt;= INDEX(HM_ZD_Moho!FA_CS_cumprod_oil,3),MAX((1-HM_ZD_Moho!royalty_rate_oil)*_xlfn.SINGLE(HM_ZD_Moho!CA_gross_rev_oil_fp)*(1-(IF(_xlfn.SINGLE(CA_period_trig)=1,_xlfn.SINGLE(CA_HP_oil_nom_period1),_xlfn.SINGLE(CA_HP_oil_nom_period2))/_xlfn.SINGLE(HM_ZD_Moho!CA_FP_oil_nom))),0),0),0)</f>
        <v>0</v>
      </c>
      <c r="T307" s="49">
        <f ca="1">IFERROR(IF((_xlfn.SINGLE(HM_ZD_Moho!CA_cum_gross_sales_oil)+_xlfn.SINGLE(HM_ZD_Moho!CA_gross_sales_lpg))&gt;= INDEX(HM_ZD_Moho!FA_CS_cumprod_oil,3),MAX((1-HM_ZD_Moho!royalty_rate_oil)*_xlfn.SINGLE(HM_ZD_Moho!CA_gross_rev_oil_fp)*(1-(IF(_xlfn.SINGLE(CA_period_trig)=1,_xlfn.SINGLE(CA_HP_oil_nom_period1),_xlfn.SINGLE(CA_HP_oil_nom_period2))/_xlfn.SINGLE(HM_ZD_Moho!CA_FP_oil_nom))),0),0),0)</f>
        <v>0</v>
      </c>
      <c r="U307" s="49">
        <f ca="1">IFERROR(IF((_xlfn.SINGLE(HM_ZD_Moho!CA_cum_gross_sales_oil)+_xlfn.SINGLE(HM_ZD_Moho!CA_gross_sales_lpg))&gt;= INDEX(HM_ZD_Moho!FA_CS_cumprod_oil,3),MAX((1-HM_ZD_Moho!royalty_rate_oil)*_xlfn.SINGLE(HM_ZD_Moho!CA_gross_rev_oil_fp)*(1-(IF(_xlfn.SINGLE(CA_period_trig)=1,_xlfn.SINGLE(CA_HP_oil_nom_period1),_xlfn.SINGLE(CA_HP_oil_nom_period2))/_xlfn.SINGLE(HM_ZD_Moho!CA_FP_oil_nom))),0),0),0)</f>
        <v>0</v>
      </c>
      <c r="V307" s="49">
        <f ca="1">IFERROR(IF((_xlfn.SINGLE(HM_ZD_Moho!CA_cum_gross_sales_oil)+_xlfn.SINGLE(HM_ZD_Moho!CA_gross_sales_lpg))&gt;= INDEX(HM_ZD_Moho!FA_CS_cumprod_oil,3),MAX((1-HM_ZD_Moho!royalty_rate_oil)*_xlfn.SINGLE(HM_ZD_Moho!CA_gross_rev_oil_fp)*(1-(IF(_xlfn.SINGLE(CA_period_trig)=1,_xlfn.SINGLE(CA_HP_oil_nom_period1),_xlfn.SINGLE(CA_HP_oil_nom_period2))/_xlfn.SINGLE(HM_ZD_Moho!CA_FP_oil_nom))),0),0),0)</f>
        <v>0</v>
      </c>
      <c r="W307" s="49">
        <f ca="1">IFERROR(IF((_xlfn.SINGLE(HM_ZD_Moho!CA_cum_gross_sales_oil)+_xlfn.SINGLE(HM_ZD_Moho!CA_gross_sales_lpg))&gt;= INDEX(HM_ZD_Moho!FA_CS_cumprod_oil,3),MAX((1-HM_ZD_Moho!royalty_rate_oil)*_xlfn.SINGLE(HM_ZD_Moho!CA_gross_rev_oil_fp)*(1-(IF(_xlfn.SINGLE(CA_period_trig)=1,_xlfn.SINGLE(CA_HP_oil_nom_period1),_xlfn.SINGLE(CA_HP_oil_nom_period2))/_xlfn.SINGLE(HM_ZD_Moho!CA_FP_oil_nom))),0),0),0)</f>
        <v>359.81947333951712</v>
      </c>
      <c r="X307" s="49">
        <f ca="1">IFERROR(IF((_xlfn.SINGLE(HM_ZD_Moho!CA_cum_gross_sales_oil)+_xlfn.SINGLE(HM_ZD_Moho!CA_gross_sales_lpg))&gt;= INDEX(HM_ZD_Moho!FA_CS_cumprod_oil,3),MAX((1-HM_ZD_Moho!royalty_rate_oil)*_xlfn.SINGLE(HM_ZD_Moho!CA_gross_rev_oil_fp)*(1-(IF(_xlfn.SINGLE(CA_period_trig)=1,_xlfn.SINGLE(CA_HP_oil_nom_period1),_xlfn.SINGLE(CA_HP_oil_nom_period2))/_xlfn.SINGLE(HM_ZD_Moho!CA_FP_oil_nom))),0),0),0)</f>
        <v>341.32475240986645</v>
      </c>
      <c r="Y307" s="49">
        <f ca="1">IFERROR(IF((_xlfn.SINGLE(HM_ZD_Moho!CA_cum_gross_sales_oil)+_xlfn.SINGLE(HM_ZD_Moho!CA_gross_sales_lpg))&gt;= INDEX(HM_ZD_Moho!FA_CS_cumprod_oil,3),MAX((1-HM_ZD_Moho!royalty_rate_oil)*_xlfn.SINGLE(HM_ZD_Moho!CA_gross_rev_oil_fp)*(1-(IF(_xlfn.SINGLE(CA_period_trig)=1,_xlfn.SINGLE(CA_HP_oil_nom_period1),_xlfn.SINGLE(CA_HP_oil_nom_period2))/_xlfn.SINGLE(HM_ZD_Moho!CA_FP_oil_nom))),0),0),0)</f>
        <v>0</v>
      </c>
      <c r="Z307" s="49">
        <f ca="1">IFERROR(IF((_xlfn.SINGLE(HM_ZD_Moho!CA_cum_gross_sales_oil)+_xlfn.SINGLE(HM_ZD_Moho!CA_gross_sales_lpg))&gt;= INDEX(HM_ZD_Moho!FA_CS_cumprod_oil,3),MAX((1-HM_ZD_Moho!royalty_rate_oil)*_xlfn.SINGLE(HM_ZD_Moho!CA_gross_rev_oil_fp)*(1-(IF(_xlfn.SINGLE(CA_period_trig)=1,_xlfn.SINGLE(CA_HP_oil_nom_period1),_xlfn.SINGLE(CA_HP_oil_nom_period2))/_xlfn.SINGLE(HM_ZD_Moho!CA_FP_oil_nom))),0),0),0)</f>
        <v>0</v>
      </c>
      <c r="AA307" s="49">
        <f ca="1">IFERROR(IF((_xlfn.SINGLE(HM_ZD_Moho!CA_cum_gross_sales_oil)+_xlfn.SINGLE(HM_ZD_Moho!CA_gross_sales_lpg))&gt;= INDEX(HM_ZD_Moho!FA_CS_cumprod_oil,3),MAX((1-HM_ZD_Moho!royalty_rate_oil)*_xlfn.SINGLE(HM_ZD_Moho!CA_gross_rev_oil_fp)*(1-(IF(_xlfn.SINGLE(CA_period_trig)=1,_xlfn.SINGLE(CA_HP_oil_nom_period1),_xlfn.SINGLE(CA_HP_oil_nom_period2))/_xlfn.SINGLE(HM_ZD_Moho!CA_FP_oil_nom))),0),0),0)</f>
        <v>0</v>
      </c>
      <c r="AB307" s="49">
        <f ca="1">IFERROR(IF((_xlfn.SINGLE(HM_ZD_Moho!CA_cum_gross_sales_oil)+_xlfn.SINGLE(HM_ZD_Moho!CA_gross_sales_lpg))&gt;= INDEX(HM_ZD_Moho!FA_CS_cumprod_oil,3),MAX((1-HM_ZD_Moho!royalty_rate_oil)*_xlfn.SINGLE(HM_ZD_Moho!CA_gross_rev_oil_fp)*(1-(IF(_xlfn.SINGLE(CA_period_trig)=1,_xlfn.SINGLE(CA_HP_oil_nom_period1),_xlfn.SINGLE(CA_HP_oil_nom_period2))/_xlfn.SINGLE(HM_ZD_Moho!CA_FP_oil_nom))),0),0),0)</f>
        <v>0</v>
      </c>
      <c r="AC307" s="49">
        <f ca="1">IFERROR(IF((_xlfn.SINGLE(HM_ZD_Moho!CA_cum_gross_sales_oil)+_xlfn.SINGLE(HM_ZD_Moho!CA_gross_sales_lpg))&gt;= INDEX(HM_ZD_Moho!FA_CS_cumprod_oil,3),MAX((1-HM_ZD_Moho!royalty_rate_oil)*_xlfn.SINGLE(HM_ZD_Moho!CA_gross_rev_oil_fp)*(1-(IF(_xlfn.SINGLE(CA_period_trig)=1,_xlfn.SINGLE(CA_HP_oil_nom_period1),_xlfn.SINGLE(CA_HP_oil_nom_period2))/_xlfn.SINGLE(HM_ZD_Moho!CA_FP_oil_nom))),0),0),0)</f>
        <v>0</v>
      </c>
      <c r="AD307" s="49">
        <f ca="1">IFERROR(IF((_xlfn.SINGLE(HM_ZD_Moho!CA_cum_gross_sales_oil)+_xlfn.SINGLE(HM_ZD_Moho!CA_gross_sales_lpg))&gt;= INDEX(HM_ZD_Moho!FA_CS_cumprod_oil,3),MAX((1-HM_ZD_Moho!royalty_rate_oil)*_xlfn.SINGLE(HM_ZD_Moho!CA_gross_rev_oil_fp)*(1-(IF(_xlfn.SINGLE(CA_period_trig)=1,_xlfn.SINGLE(CA_HP_oil_nom_period1),_xlfn.SINGLE(CA_HP_oil_nom_period2))/_xlfn.SINGLE(HM_ZD_Moho!CA_FP_oil_nom))),0),0),0)</f>
        <v>0</v>
      </c>
      <c r="AE307" s="49">
        <f ca="1">IFERROR(IF((_xlfn.SINGLE(HM_ZD_Moho!CA_cum_gross_sales_oil)+_xlfn.SINGLE(HM_ZD_Moho!CA_gross_sales_lpg))&gt;= INDEX(HM_ZD_Moho!FA_CS_cumprod_oil,3),MAX((1-HM_ZD_Moho!royalty_rate_oil)*_xlfn.SINGLE(HM_ZD_Moho!CA_gross_rev_oil_fp)*(1-(IF(_xlfn.SINGLE(CA_period_trig)=1,_xlfn.SINGLE(CA_HP_oil_nom_period1),_xlfn.SINGLE(CA_HP_oil_nom_period2))/_xlfn.SINGLE(HM_ZD_Moho!CA_FP_oil_nom))),0),0),0)</f>
        <v>0</v>
      </c>
      <c r="AF307" s="49">
        <f ca="1">IFERROR(IF((_xlfn.SINGLE(HM_ZD_Moho!CA_cum_gross_sales_oil)+_xlfn.SINGLE(HM_ZD_Moho!CA_gross_sales_lpg))&gt;= INDEX(HM_ZD_Moho!FA_CS_cumprod_oil,3),MAX((1-HM_ZD_Moho!royalty_rate_oil)*_xlfn.SINGLE(HM_ZD_Moho!CA_gross_rev_oil_fp)*(1-(IF(_xlfn.SINGLE(CA_period_trig)=1,_xlfn.SINGLE(CA_HP_oil_nom_period1),_xlfn.SINGLE(CA_HP_oil_nom_period2))/_xlfn.SINGLE(HM_ZD_Moho!CA_FP_oil_nom))),0),0),0)</f>
        <v>0</v>
      </c>
      <c r="AG307" s="49">
        <f ca="1">IFERROR(IF((_xlfn.SINGLE(HM_ZD_Moho!CA_cum_gross_sales_oil)+_xlfn.SINGLE(HM_ZD_Moho!CA_gross_sales_lpg))&gt;= INDEX(HM_ZD_Moho!FA_CS_cumprod_oil,3),MAX((1-HM_ZD_Moho!royalty_rate_oil)*_xlfn.SINGLE(HM_ZD_Moho!CA_gross_rev_oil_fp)*(1-(IF(_xlfn.SINGLE(CA_period_trig)=1,_xlfn.SINGLE(CA_HP_oil_nom_period1),_xlfn.SINGLE(CA_HP_oil_nom_period2))/_xlfn.SINGLE(HM_ZD_Moho!CA_FP_oil_nom))),0),0),0)</f>
        <v>0</v>
      </c>
      <c r="AH307" s="49">
        <f ca="1">IFERROR(IF((_xlfn.SINGLE(HM_ZD_Moho!CA_cum_gross_sales_oil)+_xlfn.SINGLE(HM_ZD_Moho!CA_gross_sales_lpg))&gt;= INDEX(HM_ZD_Moho!FA_CS_cumprod_oil,3),MAX((1-HM_ZD_Moho!royalty_rate_oil)*_xlfn.SINGLE(HM_ZD_Moho!CA_gross_rev_oil_fp)*(1-(IF(_xlfn.SINGLE(CA_period_trig)=1,_xlfn.SINGLE(CA_HP_oil_nom_period1),_xlfn.SINGLE(CA_HP_oil_nom_period2))/_xlfn.SINGLE(HM_ZD_Moho!CA_FP_oil_nom))),0),0),0)</f>
        <v>0</v>
      </c>
      <c r="AI307" s="49">
        <f ca="1">IFERROR(IF((_xlfn.SINGLE(HM_ZD_Moho!CA_cum_gross_sales_oil)+_xlfn.SINGLE(HM_ZD_Moho!CA_gross_sales_lpg))&gt;= INDEX(HM_ZD_Moho!FA_CS_cumprod_oil,3),MAX((1-HM_ZD_Moho!royalty_rate_oil)*_xlfn.SINGLE(HM_ZD_Moho!CA_gross_rev_oil_fp)*(1-(IF(_xlfn.SINGLE(CA_period_trig)=1,_xlfn.SINGLE(CA_HP_oil_nom_period1),_xlfn.SINGLE(CA_HP_oil_nom_period2))/_xlfn.SINGLE(HM_ZD_Moho!CA_FP_oil_nom))),0),0),0)</f>
        <v>0</v>
      </c>
      <c r="AJ307" s="49">
        <f ca="1">IFERROR(IF((_xlfn.SINGLE(HM_ZD_Moho!CA_cum_gross_sales_oil)+_xlfn.SINGLE(HM_ZD_Moho!CA_gross_sales_lpg))&gt;= INDEX(HM_ZD_Moho!FA_CS_cumprod_oil,3),MAX((1-HM_ZD_Moho!royalty_rate_oil)*_xlfn.SINGLE(HM_ZD_Moho!CA_gross_rev_oil_fp)*(1-(IF(_xlfn.SINGLE(CA_period_trig)=1,_xlfn.SINGLE(CA_HP_oil_nom_period1),_xlfn.SINGLE(CA_HP_oil_nom_period2))/_xlfn.SINGLE(HM_ZD_Moho!CA_FP_oil_nom))),0),0),0)</f>
        <v>0</v>
      </c>
      <c r="AK307" s="49">
        <f ca="1">IFERROR(IF((_xlfn.SINGLE(HM_ZD_Moho!CA_cum_gross_sales_oil)+_xlfn.SINGLE(HM_ZD_Moho!CA_gross_sales_lpg))&gt;= INDEX(HM_ZD_Moho!FA_CS_cumprod_oil,3),MAX((1-HM_ZD_Moho!royalty_rate_oil)*_xlfn.SINGLE(HM_ZD_Moho!CA_gross_rev_oil_fp)*(1-(IF(_xlfn.SINGLE(CA_period_trig)=1,_xlfn.SINGLE(CA_HP_oil_nom_period1),_xlfn.SINGLE(CA_HP_oil_nom_period2))/_xlfn.SINGLE(HM_ZD_Moho!CA_FP_oil_nom))),0),0),0)</f>
        <v>0</v>
      </c>
      <c r="AL307" s="49">
        <f ca="1">IFERROR(IF((_xlfn.SINGLE(HM_ZD_Moho!CA_cum_gross_sales_oil)+_xlfn.SINGLE(HM_ZD_Moho!CA_gross_sales_lpg))&gt;= INDEX(HM_ZD_Moho!FA_CS_cumprod_oil,3),MAX((1-HM_ZD_Moho!royalty_rate_oil)*_xlfn.SINGLE(HM_ZD_Moho!CA_gross_rev_oil_fp)*(1-(IF(_xlfn.SINGLE(CA_period_trig)=1,_xlfn.SINGLE(CA_HP_oil_nom_period1),_xlfn.SINGLE(CA_HP_oil_nom_period2))/_xlfn.SINGLE(HM_ZD_Moho!CA_FP_oil_nom))),0),0),0)</f>
        <v>0</v>
      </c>
      <c r="AM307" s="49">
        <f ca="1">IFERROR(IF((_xlfn.SINGLE(HM_ZD_Moho!CA_cum_gross_sales_oil)+_xlfn.SINGLE(HM_ZD_Moho!CA_gross_sales_lpg))&gt;= INDEX(HM_ZD_Moho!FA_CS_cumprod_oil,3),MAX((1-HM_ZD_Moho!royalty_rate_oil)*_xlfn.SINGLE(HM_ZD_Moho!CA_gross_rev_oil_fp)*(1-(IF(_xlfn.SINGLE(CA_period_trig)=1,_xlfn.SINGLE(CA_HP_oil_nom_period1),_xlfn.SINGLE(CA_HP_oil_nom_period2))/_xlfn.SINGLE(HM_ZD_Moho!CA_FP_oil_nom))),0),0),0)</f>
        <v>0</v>
      </c>
      <c r="AN307" s="49">
        <f ca="1">IFERROR(IF((_xlfn.SINGLE(HM_ZD_Moho!CA_cum_gross_sales_oil)+_xlfn.SINGLE(HM_ZD_Moho!CA_gross_sales_lpg))&gt;= INDEX(HM_ZD_Moho!FA_CS_cumprod_oil,3),MAX((1-HM_ZD_Moho!royalty_rate_oil)*_xlfn.SINGLE(HM_ZD_Moho!CA_gross_rev_oil_fp)*(1-(IF(_xlfn.SINGLE(CA_period_trig)=1,_xlfn.SINGLE(CA_HP_oil_nom_period1),_xlfn.SINGLE(CA_HP_oil_nom_period2))/_xlfn.SINGLE(HM_ZD_Moho!CA_FP_oil_nom))),0),0),0)</f>
        <v>0</v>
      </c>
      <c r="AO307" s="49">
        <f ca="1">IFERROR(IF((_xlfn.SINGLE(HM_ZD_Moho!CA_cum_gross_sales_oil)+_xlfn.SINGLE(HM_ZD_Moho!CA_gross_sales_lpg))&gt;= INDEX(HM_ZD_Moho!FA_CS_cumprod_oil,3),MAX((1-HM_ZD_Moho!royalty_rate_oil)*_xlfn.SINGLE(HM_ZD_Moho!CA_gross_rev_oil_fp)*(1-(IF(_xlfn.SINGLE(CA_period_trig)=1,_xlfn.SINGLE(CA_HP_oil_nom_period1),_xlfn.SINGLE(CA_HP_oil_nom_period2))/_xlfn.SINGLE(HM_ZD_Moho!CA_FP_oil_nom))),0),0),0)</f>
        <v>0</v>
      </c>
      <c r="AP307" s="49">
        <f ca="1">IFERROR(IF((_xlfn.SINGLE(HM_ZD_Moho!CA_cum_gross_sales_oil)+_xlfn.SINGLE(HM_ZD_Moho!CA_gross_sales_lpg))&gt;= INDEX(HM_ZD_Moho!FA_CS_cumprod_oil,3),MAX((1-HM_ZD_Moho!royalty_rate_oil)*_xlfn.SINGLE(HM_ZD_Moho!CA_gross_rev_oil_fp)*(1-(IF(_xlfn.SINGLE(CA_period_trig)=1,_xlfn.SINGLE(CA_HP_oil_nom_period1),_xlfn.SINGLE(CA_HP_oil_nom_period2))/_xlfn.SINGLE(HM_ZD_Moho!CA_FP_oil_nom))),0),0),0)</f>
        <v>0</v>
      </c>
      <c r="AQ307" s="49">
        <f ca="1">IFERROR(IF((_xlfn.SINGLE(HM_ZD_Moho!CA_cum_gross_sales_oil)+_xlfn.SINGLE(HM_ZD_Moho!CA_gross_sales_lpg))&gt;= INDEX(HM_ZD_Moho!FA_CS_cumprod_oil,3),MAX((1-HM_ZD_Moho!royalty_rate_oil)*_xlfn.SINGLE(HM_ZD_Moho!CA_gross_rev_oil_fp)*(1-(IF(_xlfn.SINGLE(CA_period_trig)=1,_xlfn.SINGLE(CA_HP_oil_nom_period1),_xlfn.SINGLE(CA_HP_oil_nom_period2))/_xlfn.SINGLE(HM_ZD_Moho!CA_FP_oil_nom))),0),0),0)</f>
        <v>0</v>
      </c>
      <c r="AR307" s="49">
        <f ca="1">IFERROR(IF((_xlfn.SINGLE(HM_ZD_Moho!CA_cum_gross_sales_oil)+_xlfn.SINGLE(HM_ZD_Moho!CA_gross_sales_lpg))&gt;= INDEX(HM_ZD_Moho!FA_CS_cumprod_oil,3),MAX((1-HM_ZD_Moho!royalty_rate_oil)*_xlfn.SINGLE(HM_ZD_Moho!CA_gross_rev_oil_fp)*(1-(IF(_xlfn.SINGLE(CA_period_trig)=1,_xlfn.SINGLE(CA_HP_oil_nom_period1),_xlfn.SINGLE(CA_HP_oil_nom_period2))/_xlfn.SINGLE(HM_ZD_Moho!CA_FP_oil_nom))),0),0),0)</f>
        <v>0</v>
      </c>
      <c r="AS307" s="49">
        <f ca="1">IFERROR(IF((_xlfn.SINGLE(HM_ZD_Moho!CA_cum_gross_sales_oil)+_xlfn.SINGLE(HM_ZD_Moho!CA_gross_sales_lpg))&gt;= INDEX(HM_ZD_Moho!FA_CS_cumprod_oil,3),MAX((1-HM_ZD_Moho!royalty_rate_oil)*_xlfn.SINGLE(HM_ZD_Moho!CA_gross_rev_oil_fp)*(1-(IF(_xlfn.SINGLE(CA_period_trig)=1,_xlfn.SINGLE(CA_HP_oil_nom_period1),_xlfn.SINGLE(CA_HP_oil_nom_period2))/_xlfn.SINGLE(HM_ZD_Moho!CA_FP_oil_nom))),0),0),0)</f>
        <v>0</v>
      </c>
      <c r="AT307" s="49">
        <f ca="1">IFERROR(IF((_xlfn.SINGLE(HM_ZD_Moho!CA_cum_gross_sales_oil)+_xlfn.SINGLE(HM_ZD_Moho!CA_gross_sales_lpg))&gt;= INDEX(HM_ZD_Moho!FA_CS_cumprod_oil,3),MAX((1-HM_ZD_Moho!royalty_rate_oil)*_xlfn.SINGLE(HM_ZD_Moho!CA_gross_rev_oil_fp)*(1-(IF(_xlfn.SINGLE(CA_period_trig)=1,_xlfn.SINGLE(CA_HP_oil_nom_period1),_xlfn.SINGLE(CA_HP_oil_nom_period2))/_xlfn.SINGLE(HM_ZD_Moho!CA_FP_oil_nom))),0),0),0)</f>
        <v>0</v>
      </c>
      <c r="AU307" s="49">
        <f ca="1">IFERROR(IF((_xlfn.SINGLE(HM_ZD_Moho!CA_cum_gross_sales_oil)+_xlfn.SINGLE(HM_ZD_Moho!CA_gross_sales_lpg))&gt;= INDEX(HM_ZD_Moho!FA_CS_cumprod_oil,3),MAX((1-HM_ZD_Moho!royalty_rate_oil)*_xlfn.SINGLE(HM_ZD_Moho!CA_gross_rev_oil_fp)*(1-(IF(_xlfn.SINGLE(CA_period_trig)=1,_xlfn.SINGLE(CA_HP_oil_nom_period1),_xlfn.SINGLE(CA_HP_oil_nom_period2))/_xlfn.SINGLE(HM_ZD_Moho!CA_FP_oil_nom))),0),0),0)</f>
        <v>0</v>
      </c>
      <c r="AV307" s="49">
        <f ca="1">IFERROR(IF((_xlfn.SINGLE(HM_ZD_Moho!CA_cum_gross_sales_oil)+_xlfn.SINGLE(HM_ZD_Moho!CA_gross_sales_lpg))&gt;= INDEX(HM_ZD_Moho!FA_CS_cumprod_oil,3),MAX((1-HM_ZD_Moho!royalty_rate_oil)*_xlfn.SINGLE(HM_ZD_Moho!CA_gross_rev_oil_fp)*(1-(IF(_xlfn.SINGLE(CA_period_trig)=1,_xlfn.SINGLE(CA_HP_oil_nom_period1),_xlfn.SINGLE(CA_HP_oil_nom_period2))/_xlfn.SINGLE(HM_ZD_Moho!CA_FP_oil_nom))),0),0),0)</f>
        <v>0</v>
      </c>
      <c r="AW307" s="49">
        <f ca="1">IFERROR(IF((_xlfn.SINGLE(HM_ZD_Moho!CA_cum_gross_sales_oil)+_xlfn.SINGLE(HM_ZD_Moho!CA_gross_sales_lpg))&gt;= INDEX(HM_ZD_Moho!FA_CS_cumprod_oil,3),MAX((1-HM_ZD_Moho!royalty_rate_oil)*_xlfn.SINGLE(HM_ZD_Moho!CA_gross_rev_oil_fp)*(1-(IF(_xlfn.SINGLE(CA_period_trig)=1,_xlfn.SINGLE(CA_HP_oil_nom_period1),_xlfn.SINGLE(CA_HP_oil_nom_period2))/_xlfn.SINGLE(HM_ZD_Moho!CA_FP_oil_nom))),0),0),0)</f>
        <v>0</v>
      </c>
      <c r="AX307" s="49">
        <f ca="1">IFERROR(IF((_xlfn.SINGLE(HM_ZD_Moho!CA_cum_gross_sales_oil)+_xlfn.SINGLE(HM_ZD_Moho!CA_gross_sales_lpg))&gt;= INDEX(HM_ZD_Moho!FA_CS_cumprod_oil,3),MAX((1-HM_ZD_Moho!royalty_rate_oil)*_xlfn.SINGLE(HM_ZD_Moho!CA_gross_rev_oil_fp)*(1-(IF(_xlfn.SINGLE(CA_period_trig)=1,_xlfn.SINGLE(CA_HP_oil_nom_period1),_xlfn.SINGLE(CA_HP_oil_nom_period2))/_xlfn.SINGLE(HM_ZD_Moho!CA_FP_oil_nom))),0),0),0)</f>
        <v>0</v>
      </c>
      <c r="AY307" s="49">
        <f ca="1">IFERROR(IF((_xlfn.SINGLE(HM_ZD_Moho!CA_cum_gross_sales_oil)+_xlfn.SINGLE(HM_ZD_Moho!CA_gross_sales_lpg))&gt;= INDEX(HM_ZD_Moho!FA_CS_cumprod_oil,3),MAX((1-HM_ZD_Moho!royalty_rate_oil)*_xlfn.SINGLE(HM_ZD_Moho!CA_gross_rev_oil_fp)*(1-(IF(_xlfn.SINGLE(CA_period_trig)=1,_xlfn.SINGLE(CA_HP_oil_nom_period1),_xlfn.SINGLE(CA_HP_oil_nom_period2))/_xlfn.SINGLE(HM_ZD_Moho!CA_FP_oil_nom))),0),0),0)</f>
        <v>0</v>
      </c>
      <c r="AZ307" s="49">
        <f ca="1">IFERROR(IF((_xlfn.SINGLE(HM_ZD_Moho!CA_cum_gross_sales_oil)+_xlfn.SINGLE(HM_ZD_Moho!CA_gross_sales_lpg))&gt;= INDEX(HM_ZD_Moho!FA_CS_cumprod_oil,3),MAX((1-HM_ZD_Moho!royalty_rate_oil)*_xlfn.SINGLE(HM_ZD_Moho!CA_gross_rev_oil_fp)*(1-(IF(_xlfn.SINGLE(CA_period_trig)=1,_xlfn.SINGLE(CA_HP_oil_nom_period1),_xlfn.SINGLE(CA_HP_oil_nom_period2))/_xlfn.SINGLE(HM_ZD_Moho!CA_FP_oil_nom))),0),0),0)</f>
        <v>0</v>
      </c>
      <c r="BA307" s="49">
        <f ca="1">IFERROR(IF((_xlfn.SINGLE(HM_ZD_Moho!CA_cum_gross_sales_oil)+_xlfn.SINGLE(HM_ZD_Moho!CA_gross_sales_lpg))&gt;= INDEX(HM_ZD_Moho!FA_CS_cumprod_oil,3),MAX((1-HM_ZD_Moho!royalty_rate_oil)*_xlfn.SINGLE(HM_ZD_Moho!CA_gross_rev_oil_fp)*(1-(IF(_xlfn.SINGLE(CA_period_trig)=1,_xlfn.SINGLE(CA_HP_oil_nom_period1),_xlfn.SINGLE(CA_HP_oil_nom_period2))/_xlfn.SINGLE(HM_ZD_Moho!CA_FP_oil_nom))),0),0),0)</f>
        <v>0</v>
      </c>
      <c r="BB307" s="49">
        <f ca="1">IFERROR(IF((_xlfn.SINGLE(HM_ZD_Moho!CA_cum_gross_sales_oil)+_xlfn.SINGLE(HM_ZD_Moho!CA_gross_sales_lpg))&gt;= INDEX(HM_ZD_Moho!FA_CS_cumprod_oil,3),MAX((1-HM_ZD_Moho!royalty_rate_oil)*_xlfn.SINGLE(HM_ZD_Moho!CA_gross_rev_oil_fp)*(1-(IF(_xlfn.SINGLE(CA_period_trig)=1,_xlfn.SINGLE(CA_HP_oil_nom_period1),_xlfn.SINGLE(CA_HP_oil_nom_period2))/_xlfn.SINGLE(HM_ZD_Moho!CA_FP_oil_nom))),0),0),0)</f>
        <v>0</v>
      </c>
      <c r="BC307" s="49">
        <f ca="1">IFERROR(IF((_xlfn.SINGLE(HM_ZD_Moho!CA_cum_gross_sales_oil)+_xlfn.SINGLE(HM_ZD_Moho!CA_gross_sales_lpg))&gt;= INDEX(HM_ZD_Moho!FA_CS_cumprod_oil,3),MAX((1-HM_ZD_Moho!royalty_rate_oil)*_xlfn.SINGLE(HM_ZD_Moho!CA_gross_rev_oil_fp)*(1-(IF(_xlfn.SINGLE(CA_period_trig)=1,_xlfn.SINGLE(CA_HP_oil_nom_period1),_xlfn.SINGLE(CA_HP_oil_nom_period2))/_xlfn.SINGLE(HM_ZD_Moho!CA_FP_oil_nom))),0),0),0)</f>
        <v>0</v>
      </c>
      <c r="BD307" s="49">
        <f ca="1">IFERROR(IF((_xlfn.SINGLE(HM_ZD_Moho!CA_cum_gross_sales_oil)+_xlfn.SINGLE(HM_ZD_Moho!CA_gross_sales_lpg))&gt;= INDEX(HM_ZD_Moho!FA_CS_cumprod_oil,3),MAX((1-HM_ZD_Moho!royalty_rate_oil)*_xlfn.SINGLE(HM_ZD_Moho!CA_gross_rev_oil_fp)*(1-(IF(_xlfn.SINGLE(CA_period_trig)=1,_xlfn.SINGLE(CA_HP_oil_nom_period1),_xlfn.SINGLE(CA_HP_oil_nom_period2))/_xlfn.SINGLE(HM_ZD_Moho!CA_FP_oil_nom))),0),0),0)</f>
        <v>0</v>
      </c>
      <c r="BE307" s="49">
        <f ca="1">IFERROR(IF((_xlfn.SINGLE(HM_ZD_Moho!CA_cum_gross_sales_oil)+_xlfn.SINGLE(HM_ZD_Moho!CA_gross_sales_lpg))&gt;= INDEX(HM_ZD_Moho!FA_CS_cumprod_oil,3),MAX((1-HM_ZD_Moho!royalty_rate_oil)*_xlfn.SINGLE(HM_ZD_Moho!CA_gross_rev_oil_fp)*(1-(IF(_xlfn.SINGLE(CA_period_trig)=1,_xlfn.SINGLE(CA_HP_oil_nom_period1),_xlfn.SINGLE(CA_HP_oil_nom_period2))/_xlfn.SINGLE(HM_ZD_Moho!CA_FP_oil_nom))),0),0),0)</f>
        <v>0</v>
      </c>
      <c r="BF307" s="49">
        <f ca="1">IFERROR(IF((_xlfn.SINGLE(HM_ZD_Moho!CA_cum_gross_sales_oil)+_xlfn.SINGLE(HM_ZD_Moho!CA_gross_sales_lpg))&gt;= INDEX(HM_ZD_Moho!FA_CS_cumprod_oil,3),MAX((1-HM_ZD_Moho!royalty_rate_oil)*_xlfn.SINGLE(HM_ZD_Moho!CA_gross_rev_oil_fp)*(1-(IF(_xlfn.SINGLE(CA_period_trig)=1,_xlfn.SINGLE(CA_HP_oil_nom_period1),_xlfn.SINGLE(CA_HP_oil_nom_period2))/_xlfn.SINGLE(HM_ZD_Moho!CA_FP_oil_nom))),0),0),0)</f>
        <v>0</v>
      </c>
      <c r="BG307" s="49">
        <f ca="1">IFERROR(IF((_xlfn.SINGLE(HM_ZD_Moho!CA_cum_gross_sales_oil)+_xlfn.SINGLE(HM_ZD_Moho!CA_gross_sales_lpg))&gt;= INDEX(HM_ZD_Moho!FA_CS_cumprod_oil,3),MAX((1-HM_ZD_Moho!royalty_rate_oil)*_xlfn.SINGLE(HM_ZD_Moho!CA_gross_rev_oil_fp)*(1-(IF(_xlfn.SINGLE(CA_period_trig)=1,_xlfn.SINGLE(CA_HP_oil_nom_period1),_xlfn.SINGLE(CA_HP_oil_nom_period2))/_xlfn.SINGLE(HM_ZD_Moho!CA_FP_oil_nom))),0),0),0)</f>
        <v>0</v>
      </c>
      <c r="BH307" s="49">
        <f ca="1">IFERROR(IF((_xlfn.SINGLE(HM_ZD_Moho!CA_cum_gross_sales_oil)+_xlfn.SINGLE(HM_ZD_Moho!CA_gross_sales_lpg))&gt;= INDEX(HM_ZD_Moho!FA_CS_cumprod_oil,3),MAX((1-HM_ZD_Moho!royalty_rate_oil)*_xlfn.SINGLE(HM_ZD_Moho!CA_gross_rev_oil_fp)*(1-(IF(_xlfn.SINGLE(CA_period_trig)=1,_xlfn.SINGLE(CA_HP_oil_nom_period1),_xlfn.SINGLE(CA_HP_oil_nom_period2))/_xlfn.SINGLE(HM_ZD_Moho!CA_FP_oil_nom))),0),0),0)</f>
        <v>0</v>
      </c>
      <c r="BI307" s="49">
        <f ca="1">IFERROR(IF((_xlfn.SINGLE(HM_ZD_Moho!CA_cum_gross_sales_oil)+_xlfn.SINGLE(HM_ZD_Moho!CA_gross_sales_lpg))&gt;= INDEX(HM_ZD_Moho!FA_CS_cumprod_oil,3),MAX((1-HM_ZD_Moho!royalty_rate_oil)*_xlfn.SINGLE(HM_ZD_Moho!CA_gross_rev_oil_fp)*(1-(IF(_xlfn.SINGLE(CA_period_trig)=1,_xlfn.SINGLE(CA_HP_oil_nom_period1),_xlfn.SINGLE(CA_HP_oil_nom_period2))/_xlfn.SINGLE(HM_ZD_Moho!CA_FP_oil_nom))),0),0),0)</f>
        <v>0</v>
      </c>
      <c r="BJ307" s="49">
        <f ca="1">IFERROR(IF((_xlfn.SINGLE(HM_ZD_Moho!CA_cum_gross_sales_oil)+_xlfn.SINGLE(HM_ZD_Moho!CA_gross_sales_lpg))&gt;= INDEX(HM_ZD_Moho!FA_CS_cumprod_oil,3),MAX((1-HM_ZD_Moho!royalty_rate_oil)*_xlfn.SINGLE(HM_ZD_Moho!CA_gross_rev_oil_fp)*(1-(IF(_xlfn.SINGLE(CA_period_trig)=1,_xlfn.SINGLE(CA_HP_oil_nom_period1),_xlfn.SINGLE(CA_HP_oil_nom_period2))/_xlfn.SINGLE(HM_ZD_Moho!CA_FP_oil_nom))),0),0),0)</f>
        <v>0</v>
      </c>
      <c r="BK307" s="49">
        <f ca="1">IFERROR(IF((_xlfn.SINGLE(HM_ZD_Moho!CA_cum_gross_sales_oil)+_xlfn.SINGLE(HM_ZD_Moho!CA_gross_sales_lpg))&gt;= INDEX(HM_ZD_Moho!FA_CS_cumprod_oil,3),MAX((1-HM_ZD_Moho!royalty_rate_oil)*_xlfn.SINGLE(HM_ZD_Moho!CA_gross_rev_oil_fp)*(1-(IF(_xlfn.SINGLE(CA_period_trig)=1,_xlfn.SINGLE(CA_HP_oil_nom_period1),_xlfn.SINGLE(CA_HP_oil_nom_period2))/_xlfn.SINGLE(HM_ZD_Moho!CA_FP_oil_nom))),0),0),0)</f>
        <v>0</v>
      </c>
      <c r="BL307" s="49">
        <f ca="1">IFERROR(IF((_xlfn.SINGLE(HM_ZD_Moho!CA_cum_gross_sales_oil)+_xlfn.SINGLE(HM_ZD_Moho!CA_gross_sales_lpg))&gt;= INDEX(HM_ZD_Moho!FA_CS_cumprod_oil,3),MAX((1-HM_ZD_Moho!royalty_rate_oil)*_xlfn.SINGLE(HM_ZD_Moho!CA_gross_rev_oil_fp)*(1-(IF(_xlfn.SINGLE(CA_period_trig)=1,_xlfn.SINGLE(CA_HP_oil_nom_period1),_xlfn.SINGLE(CA_HP_oil_nom_period2))/_xlfn.SINGLE(HM_ZD_Moho!CA_FP_oil_nom))),0),0),0)</f>
        <v>0</v>
      </c>
      <c r="BM307" s="49">
        <f ca="1">IFERROR(IF((_xlfn.SINGLE(HM_ZD_Moho!CA_cum_gross_sales_oil)+_xlfn.SINGLE(HM_ZD_Moho!CA_gross_sales_lpg))&gt;= INDEX(HM_ZD_Moho!FA_CS_cumprod_oil,3),MAX((1-HM_ZD_Moho!royalty_rate_oil)*_xlfn.SINGLE(HM_ZD_Moho!CA_gross_rev_oil_fp)*(1-(IF(_xlfn.SINGLE(CA_period_trig)=1,_xlfn.SINGLE(CA_HP_oil_nom_period1),_xlfn.SINGLE(CA_HP_oil_nom_period2))/_xlfn.SINGLE(HM_ZD_Moho!CA_FP_oil_nom))),0),0),0)</f>
        <v>0</v>
      </c>
      <c r="BN307" s="49">
        <f ca="1">IFERROR(IF((_xlfn.SINGLE(HM_ZD_Moho!CA_cum_gross_sales_oil)+_xlfn.SINGLE(HM_ZD_Moho!CA_gross_sales_lpg))&gt;= INDEX(HM_ZD_Moho!FA_CS_cumprod_oil,3),MAX((1-HM_ZD_Moho!royalty_rate_oil)*_xlfn.SINGLE(HM_ZD_Moho!CA_gross_rev_oil_fp)*(1-(IF(_xlfn.SINGLE(CA_period_trig)=1,_xlfn.SINGLE(CA_HP_oil_nom_period1),_xlfn.SINGLE(CA_HP_oil_nom_period2))/_xlfn.SINGLE(HM_ZD_Moho!CA_FP_oil_nom))),0),0),0)</f>
        <v>0</v>
      </c>
      <c r="BO307" s="49">
        <f ca="1">IFERROR(IF((_xlfn.SINGLE(HM_ZD_Moho!CA_cum_gross_sales_oil)+_xlfn.SINGLE(HM_ZD_Moho!CA_gross_sales_lpg))&gt;= INDEX(HM_ZD_Moho!FA_CS_cumprod_oil,3),MAX((1-HM_ZD_Moho!royalty_rate_oil)*_xlfn.SINGLE(HM_ZD_Moho!CA_gross_rev_oil_fp)*(1-(IF(_xlfn.SINGLE(CA_period_trig)=1,_xlfn.SINGLE(CA_HP_oil_nom_period1),_xlfn.SINGLE(CA_HP_oil_nom_period2))/_xlfn.SINGLE(HM_ZD_Moho!CA_FP_oil_nom))),0),0),0)</f>
        <v>0</v>
      </c>
      <c r="BP307" s="49">
        <f ca="1">IFERROR(IF((_xlfn.SINGLE(HM_ZD_Moho!CA_cum_gross_sales_oil)+_xlfn.SINGLE(HM_ZD_Moho!CA_gross_sales_lpg))&gt;= INDEX(HM_ZD_Moho!FA_CS_cumprod_oil,3),MAX((1-HM_ZD_Moho!royalty_rate_oil)*_xlfn.SINGLE(HM_ZD_Moho!CA_gross_rev_oil_fp)*(1-(IF(_xlfn.SINGLE(CA_period_trig)=1,_xlfn.SINGLE(CA_HP_oil_nom_period1),_xlfn.SINGLE(CA_HP_oil_nom_period2))/_xlfn.SINGLE(HM_ZD_Moho!CA_FP_oil_nom))),0),0),0)</f>
        <v>0</v>
      </c>
      <c r="BQ307" s="49">
        <f ca="1">IFERROR(IF((_xlfn.SINGLE(HM_ZD_Moho!CA_cum_gross_sales_oil)+_xlfn.SINGLE(HM_ZD_Moho!CA_gross_sales_lpg))&gt;= INDEX(HM_ZD_Moho!FA_CS_cumprod_oil,3),MAX((1-HM_ZD_Moho!royalty_rate_oil)*_xlfn.SINGLE(HM_ZD_Moho!CA_gross_rev_oil_fp)*(1-(IF(_xlfn.SINGLE(CA_period_trig)=1,_xlfn.SINGLE(CA_HP_oil_nom_period1),_xlfn.SINGLE(CA_HP_oil_nom_period2))/_xlfn.SINGLE(HM_ZD_Moho!CA_FP_oil_nom))),0),0),0)</f>
        <v>0</v>
      </c>
      <c r="BR307" s="49">
        <f ca="1">IFERROR(IF((_xlfn.SINGLE(HM_ZD_Moho!CA_cum_gross_sales_oil)+_xlfn.SINGLE(HM_ZD_Moho!CA_gross_sales_lpg))&gt;= INDEX(HM_ZD_Moho!FA_CS_cumprod_oil,3),MAX((1-HM_ZD_Moho!royalty_rate_oil)*_xlfn.SINGLE(HM_ZD_Moho!CA_gross_rev_oil_fp)*(1-(IF(_xlfn.SINGLE(CA_period_trig)=1,_xlfn.SINGLE(CA_HP_oil_nom_period1),_xlfn.SINGLE(CA_HP_oil_nom_period2))/_xlfn.SINGLE(HM_ZD_Moho!CA_FP_oil_nom))),0),0),0)</f>
        <v>0</v>
      </c>
      <c r="BS307" s="49">
        <f ca="1">IFERROR(IF((_xlfn.SINGLE(HM_ZD_Moho!CA_cum_gross_sales_oil)+_xlfn.SINGLE(HM_ZD_Moho!CA_gross_sales_lpg))&gt;= INDEX(HM_ZD_Moho!FA_CS_cumprod_oil,3),MAX((1-HM_ZD_Moho!royalty_rate_oil)*_xlfn.SINGLE(HM_ZD_Moho!CA_gross_rev_oil_fp)*(1-(IF(_xlfn.SINGLE(CA_period_trig)=1,_xlfn.SINGLE(CA_HP_oil_nom_period1),_xlfn.SINGLE(CA_HP_oil_nom_period2))/_xlfn.SINGLE(HM_ZD_Moho!CA_FP_oil_nom))),0),0),0)</f>
        <v>0</v>
      </c>
    </row>
    <row r="308" spans="3:71" outlineLevel="1" x14ac:dyDescent="0.2">
      <c r="J308" s="26"/>
      <c r="L308" s="55"/>
      <c r="M308" s="55"/>
      <c r="N308" s="55"/>
      <c r="O308" s="55"/>
      <c r="P308" s="55"/>
      <c r="Q308" s="55"/>
      <c r="R308" s="55"/>
      <c r="S308" s="55"/>
      <c r="T308" s="55"/>
      <c r="U308" s="55"/>
      <c r="V308" s="55"/>
      <c r="W308" s="55"/>
      <c r="X308" s="55"/>
      <c r="Y308" s="55"/>
      <c r="Z308" s="55"/>
      <c r="AA308" s="55"/>
      <c r="AB308" s="55"/>
      <c r="AC308" s="55"/>
      <c r="AD308" s="55"/>
      <c r="AE308" s="55"/>
      <c r="AF308" s="55"/>
      <c r="AG308" s="55"/>
      <c r="AH308" s="55"/>
      <c r="AI308" s="55"/>
      <c r="AJ308" s="55"/>
      <c r="AK308" s="55"/>
      <c r="AL308" s="55"/>
      <c r="AM308" s="55"/>
      <c r="AN308" s="55"/>
      <c r="AO308" s="55"/>
      <c r="AP308" s="55"/>
      <c r="AQ308" s="55"/>
      <c r="AR308" s="55"/>
      <c r="AS308" s="55"/>
      <c r="AT308" s="55"/>
      <c r="AU308" s="55"/>
      <c r="AV308" s="55"/>
      <c r="AW308" s="55"/>
      <c r="AX308" s="55"/>
      <c r="AY308" s="55"/>
      <c r="AZ308" s="55"/>
      <c r="BA308" s="55"/>
      <c r="BB308" s="55"/>
      <c r="BC308" s="55"/>
      <c r="BD308" s="55"/>
      <c r="BE308" s="55"/>
      <c r="BF308" s="55"/>
      <c r="BG308" s="55"/>
      <c r="BH308" s="55"/>
      <c r="BI308" s="55"/>
      <c r="BJ308" s="55"/>
      <c r="BK308" s="55"/>
      <c r="BL308" s="55"/>
      <c r="BM308" s="55"/>
      <c r="BN308" s="55"/>
      <c r="BO308" s="55"/>
      <c r="BP308" s="55"/>
      <c r="BQ308" s="55"/>
      <c r="BR308" s="55"/>
      <c r="BS308" s="55"/>
    </row>
    <row r="309" spans="3:71" outlineLevel="1" x14ac:dyDescent="0.2">
      <c r="D309" t="str">
        <f>D61</f>
        <v>facteur b</v>
      </c>
      <c r="I309" s="30">
        <f t="shared" ca="1" si="187"/>
        <v>763.72834530952878</v>
      </c>
      <c r="J309" s="26" t="s">
        <v>148</v>
      </c>
      <c r="L309" s="49">
        <f ca="1">IFERROR(MAX(_xlfn.SINGLE(HM_ZD_Moho!CA_cost_recovered_total)-L251*(IF(_xlfn.SINGLE(CA_period_trig)=1,_xlfn.SINGLE(CA_HP_oil_nom_period1),_xlfn.SINGLE(CA_HP_oil_nom_period2))/_xlfn.SINGLE(HM_ZD_Moho!CA_FP_oil_nom))*_xlfn.SINGLE(HM_ZD_Moho!CA_gross_rev_total_fp),0),0)</f>
        <v>0</v>
      </c>
      <c r="M309" s="49">
        <f ca="1">IFERROR(MAX(_xlfn.SINGLE(HM_ZD_Moho!CA_cost_recovered_total)-M251*(IF(_xlfn.SINGLE(CA_period_trig)=1,_xlfn.SINGLE(CA_HP_oil_nom_period1),_xlfn.SINGLE(CA_HP_oil_nom_period2))/_xlfn.SINGLE(HM_ZD_Moho!CA_FP_oil_nom))*_xlfn.SINGLE(HM_ZD_Moho!CA_gross_rev_total_fp),0),0)</f>
        <v>0</v>
      </c>
      <c r="N309" s="49">
        <f ca="1">IFERROR(MAX(_xlfn.SINGLE(HM_ZD_Moho!CA_cost_recovered_total)-N251*(IF(_xlfn.SINGLE(CA_period_trig)=1,_xlfn.SINGLE(CA_HP_oil_nom_period1),_xlfn.SINGLE(CA_HP_oil_nom_period2))/_xlfn.SINGLE(HM_ZD_Moho!CA_FP_oil_nom))*_xlfn.SINGLE(HM_ZD_Moho!CA_gross_rev_total_fp),0),0)</f>
        <v>216.31820237317493</v>
      </c>
      <c r="O309" s="49">
        <f ca="1">IFERROR(MAX(_xlfn.SINGLE(HM_ZD_Moho!CA_cost_recovered_total)-O251*(IF(_xlfn.SINGLE(CA_period_trig)=1,_xlfn.SINGLE(CA_HP_oil_nom_period1),_xlfn.SINGLE(CA_HP_oil_nom_period2))/_xlfn.SINGLE(HM_ZD_Moho!CA_FP_oil_nom))*_xlfn.SINGLE(HM_ZD_Moho!CA_gross_rev_total_fp),0),0)</f>
        <v>134.97236308377501</v>
      </c>
      <c r="P309" s="49">
        <f ca="1">IFERROR(MAX(_xlfn.SINGLE(HM_ZD_Moho!CA_cost_recovered_total)-P251*(IF(_xlfn.SINGLE(CA_period_trig)=1,_xlfn.SINGLE(CA_HP_oil_nom_period1),_xlfn.SINGLE(CA_HP_oil_nom_period2))/_xlfn.SINGLE(HM_ZD_Moho!CA_FP_oil_nom))*_xlfn.SINGLE(HM_ZD_Moho!CA_gross_rev_total_fp),0),0)</f>
        <v>0</v>
      </c>
      <c r="Q309" s="49">
        <f ca="1">IFERROR(MAX(_xlfn.SINGLE(HM_ZD_Moho!CA_cost_recovered_total)-Q251*(IF(_xlfn.SINGLE(CA_period_trig)=1,_xlfn.SINGLE(CA_HP_oil_nom_period1),_xlfn.SINGLE(CA_HP_oil_nom_period2))/_xlfn.SINGLE(HM_ZD_Moho!CA_FP_oil_nom))*_xlfn.SINGLE(HM_ZD_Moho!CA_gross_rev_total_fp),0),0)</f>
        <v>0</v>
      </c>
      <c r="R309" s="49">
        <f ca="1">IFERROR(MAX(_xlfn.SINGLE(HM_ZD_Moho!CA_cost_recovered_total)-R251*(IF(_xlfn.SINGLE(CA_period_trig)=1,_xlfn.SINGLE(CA_HP_oil_nom_period1),_xlfn.SINGLE(CA_HP_oil_nom_period2))/_xlfn.SINGLE(HM_ZD_Moho!CA_FP_oil_nom))*_xlfn.SINGLE(HM_ZD_Moho!CA_gross_rev_total_fp),0),0)</f>
        <v>0</v>
      </c>
      <c r="S309" s="49">
        <f ca="1">IFERROR(MAX(_xlfn.SINGLE(HM_ZD_Moho!CA_cost_recovered_total)-S251*(IF(_xlfn.SINGLE(CA_period_trig)=1,_xlfn.SINGLE(CA_HP_oil_nom_period1),_xlfn.SINGLE(CA_HP_oil_nom_period2))/_xlfn.SINGLE(HM_ZD_Moho!CA_FP_oil_nom))*_xlfn.SINGLE(HM_ZD_Moho!CA_gross_rev_total_fp),0),0)</f>
        <v>0</v>
      </c>
      <c r="T309" s="49">
        <f ca="1">IFERROR(MAX(_xlfn.SINGLE(HM_ZD_Moho!CA_cost_recovered_total)-T251*(IF(_xlfn.SINGLE(CA_period_trig)=1,_xlfn.SINGLE(CA_HP_oil_nom_period1),_xlfn.SINGLE(CA_HP_oil_nom_period2))/_xlfn.SINGLE(HM_ZD_Moho!CA_FP_oil_nom))*_xlfn.SINGLE(HM_ZD_Moho!CA_gross_rev_total_fp),0),0)</f>
        <v>0</v>
      </c>
      <c r="U309" s="49">
        <f ca="1">IFERROR(MAX(_xlfn.SINGLE(HM_ZD_Moho!CA_cost_recovered_total)-U251*(IF(_xlfn.SINGLE(CA_period_trig)=1,_xlfn.SINGLE(CA_HP_oil_nom_period1),_xlfn.SINGLE(CA_HP_oil_nom_period2))/_xlfn.SINGLE(HM_ZD_Moho!CA_FP_oil_nom))*_xlfn.SINGLE(HM_ZD_Moho!CA_gross_rev_total_fp),0),0)</f>
        <v>0</v>
      </c>
      <c r="V309" s="49">
        <f ca="1">IFERROR(MAX(_xlfn.SINGLE(HM_ZD_Moho!CA_cost_recovered_total)-V251*(IF(_xlfn.SINGLE(CA_period_trig)=1,_xlfn.SINGLE(CA_HP_oil_nom_period1),_xlfn.SINGLE(CA_HP_oil_nom_period2))/_xlfn.SINGLE(HM_ZD_Moho!CA_FP_oil_nom))*_xlfn.SINGLE(HM_ZD_Moho!CA_gross_rev_total_fp),0),0)</f>
        <v>0</v>
      </c>
      <c r="W309" s="49">
        <f ca="1">IFERROR(MAX(_xlfn.SINGLE(HM_ZD_Moho!CA_cost_recovered_total)-W251*(IF(_xlfn.SINGLE(CA_period_trig)=1,_xlfn.SINGLE(CA_HP_oil_nom_period1),_xlfn.SINGLE(CA_HP_oil_nom_period2))/_xlfn.SINGLE(HM_ZD_Moho!CA_FP_oil_nom))*_xlfn.SINGLE(HM_ZD_Moho!CA_gross_rev_total_fp),0),0)</f>
        <v>211.65851372912766</v>
      </c>
      <c r="X309" s="49">
        <f ca="1">IFERROR(MAX(_xlfn.SINGLE(HM_ZD_Moho!CA_cost_recovered_total)-X251*(IF(_xlfn.SINGLE(CA_period_trig)=1,_xlfn.SINGLE(CA_HP_oil_nom_period1),_xlfn.SINGLE(CA_HP_oil_nom_period2))/_xlfn.SINGLE(HM_ZD_Moho!CA_FP_oil_nom))*_xlfn.SINGLE(HM_ZD_Moho!CA_gross_rev_total_fp),0),0)</f>
        <v>200.77926612345118</v>
      </c>
      <c r="Y309" s="49">
        <f ca="1">IFERROR(MAX(_xlfn.SINGLE(HM_ZD_Moho!CA_cost_recovered_total)-Y251*(IF(_xlfn.SINGLE(CA_period_trig)=1,_xlfn.SINGLE(CA_HP_oil_nom_period1),_xlfn.SINGLE(CA_HP_oil_nom_period2))/_xlfn.SINGLE(HM_ZD_Moho!CA_FP_oil_nom))*_xlfn.SINGLE(HM_ZD_Moho!CA_gross_rev_total_fp),0),0)</f>
        <v>0</v>
      </c>
      <c r="Z309" s="49">
        <f ca="1">IFERROR(MAX(_xlfn.SINGLE(HM_ZD_Moho!CA_cost_recovered_total)-Z251*(IF(_xlfn.SINGLE(CA_period_trig)=1,_xlfn.SINGLE(CA_HP_oil_nom_period1),_xlfn.SINGLE(CA_HP_oil_nom_period2))/_xlfn.SINGLE(HM_ZD_Moho!CA_FP_oil_nom))*_xlfn.SINGLE(HM_ZD_Moho!CA_gross_rev_total_fp),0),0)</f>
        <v>0</v>
      </c>
      <c r="AA309" s="49">
        <f ca="1">IFERROR(MAX(_xlfn.SINGLE(HM_ZD_Moho!CA_cost_recovered_total)-AA251*(IF(_xlfn.SINGLE(CA_period_trig)=1,_xlfn.SINGLE(CA_HP_oil_nom_period1),_xlfn.SINGLE(CA_HP_oil_nom_period2))/_xlfn.SINGLE(HM_ZD_Moho!CA_FP_oil_nom))*_xlfn.SINGLE(HM_ZD_Moho!CA_gross_rev_total_fp),0),0)</f>
        <v>0</v>
      </c>
      <c r="AB309" s="49">
        <f ca="1">IFERROR(MAX(_xlfn.SINGLE(HM_ZD_Moho!CA_cost_recovered_total)-AB251*(IF(_xlfn.SINGLE(CA_period_trig)=1,_xlfn.SINGLE(CA_HP_oil_nom_period1),_xlfn.SINGLE(CA_HP_oil_nom_period2))/_xlfn.SINGLE(HM_ZD_Moho!CA_FP_oil_nom))*_xlfn.SINGLE(HM_ZD_Moho!CA_gross_rev_total_fp),0),0)</f>
        <v>0</v>
      </c>
      <c r="AC309" s="49">
        <f ca="1">IFERROR(MAX(_xlfn.SINGLE(HM_ZD_Moho!CA_cost_recovered_total)-AC251*(IF(_xlfn.SINGLE(CA_period_trig)=1,_xlfn.SINGLE(CA_HP_oil_nom_period1),_xlfn.SINGLE(CA_HP_oil_nom_period2))/_xlfn.SINGLE(HM_ZD_Moho!CA_FP_oil_nom))*_xlfn.SINGLE(HM_ZD_Moho!CA_gross_rev_total_fp),0),0)</f>
        <v>0</v>
      </c>
      <c r="AD309" s="49">
        <f ca="1">IFERROR(MAX(_xlfn.SINGLE(HM_ZD_Moho!CA_cost_recovered_total)-AD251*(IF(_xlfn.SINGLE(CA_period_trig)=1,_xlfn.SINGLE(CA_HP_oil_nom_period1),_xlfn.SINGLE(CA_HP_oil_nom_period2))/_xlfn.SINGLE(HM_ZD_Moho!CA_FP_oil_nom))*_xlfn.SINGLE(HM_ZD_Moho!CA_gross_rev_total_fp),0),0)</f>
        <v>0</v>
      </c>
      <c r="AE309" s="49">
        <f ca="1">IFERROR(MAX(_xlfn.SINGLE(HM_ZD_Moho!CA_cost_recovered_total)-AE251*(IF(_xlfn.SINGLE(CA_period_trig)=1,_xlfn.SINGLE(CA_HP_oil_nom_period1),_xlfn.SINGLE(CA_HP_oil_nom_period2))/_xlfn.SINGLE(HM_ZD_Moho!CA_FP_oil_nom))*_xlfn.SINGLE(HM_ZD_Moho!CA_gross_rev_total_fp),0),0)</f>
        <v>0</v>
      </c>
      <c r="AF309" s="49">
        <f ca="1">IFERROR(MAX(_xlfn.SINGLE(HM_ZD_Moho!CA_cost_recovered_total)-AF251*(IF(_xlfn.SINGLE(CA_period_trig)=1,_xlfn.SINGLE(CA_HP_oil_nom_period1),_xlfn.SINGLE(CA_HP_oil_nom_period2))/_xlfn.SINGLE(HM_ZD_Moho!CA_FP_oil_nom))*_xlfn.SINGLE(HM_ZD_Moho!CA_gross_rev_total_fp),0),0)</f>
        <v>0</v>
      </c>
      <c r="AG309" s="49">
        <f ca="1">IFERROR(MAX(_xlfn.SINGLE(HM_ZD_Moho!CA_cost_recovered_total)-AG251*(IF(_xlfn.SINGLE(CA_period_trig)=1,_xlfn.SINGLE(CA_HP_oil_nom_period1),_xlfn.SINGLE(CA_HP_oil_nom_period2))/_xlfn.SINGLE(HM_ZD_Moho!CA_FP_oil_nom))*_xlfn.SINGLE(HM_ZD_Moho!CA_gross_rev_total_fp),0),0)</f>
        <v>0</v>
      </c>
      <c r="AH309" s="49">
        <f ca="1">IFERROR(MAX(_xlfn.SINGLE(HM_ZD_Moho!CA_cost_recovered_total)-AH251*(IF(_xlfn.SINGLE(CA_period_trig)=1,_xlfn.SINGLE(CA_HP_oil_nom_period1),_xlfn.SINGLE(CA_HP_oil_nom_period2))/_xlfn.SINGLE(HM_ZD_Moho!CA_FP_oil_nom))*_xlfn.SINGLE(HM_ZD_Moho!CA_gross_rev_total_fp),0),0)</f>
        <v>0</v>
      </c>
      <c r="AI309" s="49">
        <f ca="1">IFERROR(MAX(_xlfn.SINGLE(HM_ZD_Moho!CA_cost_recovered_total)-AI251*(IF(_xlfn.SINGLE(CA_period_trig)=1,_xlfn.SINGLE(CA_HP_oil_nom_period1),_xlfn.SINGLE(CA_HP_oil_nom_period2))/_xlfn.SINGLE(HM_ZD_Moho!CA_FP_oil_nom))*_xlfn.SINGLE(HM_ZD_Moho!CA_gross_rev_total_fp),0),0)</f>
        <v>0</v>
      </c>
      <c r="AJ309" s="49">
        <f ca="1">IFERROR(MAX(_xlfn.SINGLE(HM_ZD_Moho!CA_cost_recovered_total)-AJ251*(IF(_xlfn.SINGLE(CA_period_trig)=1,_xlfn.SINGLE(CA_HP_oil_nom_period1),_xlfn.SINGLE(CA_HP_oil_nom_period2))/_xlfn.SINGLE(HM_ZD_Moho!CA_FP_oil_nom))*_xlfn.SINGLE(HM_ZD_Moho!CA_gross_rev_total_fp),0),0)</f>
        <v>0</v>
      </c>
      <c r="AK309" s="49">
        <f ca="1">IFERROR(MAX(_xlfn.SINGLE(HM_ZD_Moho!CA_cost_recovered_total)-AK251*(IF(_xlfn.SINGLE(CA_period_trig)=1,_xlfn.SINGLE(CA_HP_oil_nom_period1),_xlfn.SINGLE(CA_HP_oil_nom_period2))/_xlfn.SINGLE(HM_ZD_Moho!CA_FP_oil_nom))*_xlfn.SINGLE(HM_ZD_Moho!CA_gross_rev_total_fp),0),0)</f>
        <v>0</v>
      </c>
      <c r="AL309" s="49">
        <f ca="1">IFERROR(MAX(_xlfn.SINGLE(HM_ZD_Moho!CA_cost_recovered_total)-AL251*(IF(_xlfn.SINGLE(CA_period_trig)=1,_xlfn.SINGLE(CA_HP_oil_nom_period1),_xlfn.SINGLE(CA_HP_oil_nom_period2))/_xlfn.SINGLE(HM_ZD_Moho!CA_FP_oil_nom))*_xlfn.SINGLE(HM_ZD_Moho!CA_gross_rev_total_fp),0),0)</f>
        <v>0</v>
      </c>
      <c r="AM309" s="49">
        <f ca="1">IFERROR(MAX(_xlfn.SINGLE(HM_ZD_Moho!CA_cost_recovered_total)-AM251*(IF(_xlfn.SINGLE(CA_period_trig)=1,_xlfn.SINGLE(CA_HP_oil_nom_period1),_xlfn.SINGLE(CA_HP_oil_nom_period2))/_xlfn.SINGLE(HM_ZD_Moho!CA_FP_oil_nom))*_xlfn.SINGLE(HM_ZD_Moho!CA_gross_rev_total_fp),0),0)</f>
        <v>0</v>
      </c>
      <c r="AN309" s="49">
        <f ca="1">IFERROR(MAX(_xlfn.SINGLE(HM_ZD_Moho!CA_cost_recovered_total)-AN251*(IF(_xlfn.SINGLE(CA_period_trig)=1,_xlfn.SINGLE(CA_HP_oil_nom_period1),_xlfn.SINGLE(CA_HP_oil_nom_period2))/_xlfn.SINGLE(HM_ZD_Moho!CA_FP_oil_nom))*_xlfn.SINGLE(HM_ZD_Moho!CA_gross_rev_total_fp),0),0)</f>
        <v>0</v>
      </c>
      <c r="AO309" s="49">
        <f ca="1">IFERROR(MAX(_xlfn.SINGLE(HM_ZD_Moho!CA_cost_recovered_total)-AO251*(IF(_xlfn.SINGLE(CA_period_trig)=1,_xlfn.SINGLE(CA_HP_oil_nom_period1),_xlfn.SINGLE(CA_HP_oil_nom_period2))/_xlfn.SINGLE(HM_ZD_Moho!CA_FP_oil_nom))*_xlfn.SINGLE(HM_ZD_Moho!CA_gross_rev_total_fp),0),0)</f>
        <v>0</v>
      </c>
      <c r="AP309" s="49">
        <f ca="1">IFERROR(MAX(_xlfn.SINGLE(HM_ZD_Moho!CA_cost_recovered_total)-AP251*(IF(_xlfn.SINGLE(CA_period_trig)=1,_xlfn.SINGLE(CA_HP_oil_nom_period1),_xlfn.SINGLE(CA_HP_oil_nom_period2))/_xlfn.SINGLE(HM_ZD_Moho!CA_FP_oil_nom))*_xlfn.SINGLE(HM_ZD_Moho!CA_gross_rev_total_fp),0),0)</f>
        <v>0</v>
      </c>
      <c r="AQ309" s="49">
        <f ca="1">IFERROR(MAX(_xlfn.SINGLE(HM_ZD_Moho!CA_cost_recovered_total)-AQ251*(IF(_xlfn.SINGLE(CA_period_trig)=1,_xlfn.SINGLE(CA_HP_oil_nom_period1),_xlfn.SINGLE(CA_HP_oil_nom_period2))/_xlfn.SINGLE(HM_ZD_Moho!CA_FP_oil_nom))*_xlfn.SINGLE(HM_ZD_Moho!CA_gross_rev_total_fp),0),0)</f>
        <v>0</v>
      </c>
      <c r="AR309" s="49">
        <f ca="1">IFERROR(MAX(_xlfn.SINGLE(HM_ZD_Moho!CA_cost_recovered_total)-AR251*(IF(_xlfn.SINGLE(CA_period_trig)=1,_xlfn.SINGLE(CA_HP_oil_nom_period1),_xlfn.SINGLE(CA_HP_oil_nom_period2))/_xlfn.SINGLE(HM_ZD_Moho!CA_FP_oil_nom))*_xlfn.SINGLE(HM_ZD_Moho!CA_gross_rev_total_fp),0),0)</f>
        <v>0</v>
      </c>
      <c r="AS309" s="49">
        <f ca="1">IFERROR(MAX(_xlfn.SINGLE(HM_ZD_Moho!CA_cost_recovered_total)-AS251*(IF(_xlfn.SINGLE(CA_period_trig)=1,_xlfn.SINGLE(CA_HP_oil_nom_period1),_xlfn.SINGLE(CA_HP_oil_nom_period2))/_xlfn.SINGLE(HM_ZD_Moho!CA_FP_oil_nom))*_xlfn.SINGLE(HM_ZD_Moho!CA_gross_rev_total_fp),0),0)</f>
        <v>0</v>
      </c>
      <c r="AT309" s="49">
        <f ca="1">IFERROR(MAX(_xlfn.SINGLE(HM_ZD_Moho!CA_cost_recovered_total)-AT251*(IF(_xlfn.SINGLE(CA_period_trig)=1,_xlfn.SINGLE(CA_HP_oil_nom_period1),_xlfn.SINGLE(CA_HP_oil_nom_period2))/_xlfn.SINGLE(HM_ZD_Moho!CA_FP_oil_nom))*_xlfn.SINGLE(HM_ZD_Moho!CA_gross_rev_total_fp),0),0)</f>
        <v>0</v>
      </c>
      <c r="AU309" s="49">
        <f ca="1">IFERROR(MAX(_xlfn.SINGLE(HM_ZD_Moho!CA_cost_recovered_total)-AU251*(IF(_xlfn.SINGLE(CA_period_trig)=1,_xlfn.SINGLE(CA_HP_oil_nom_period1),_xlfn.SINGLE(CA_HP_oil_nom_period2))/_xlfn.SINGLE(HM_ZD_Moho!CA_FP_oil_nom))*_xlfn.SINGLE(HM_ZD_Moho!CA_gross_rev_total_fp),0),0)</f>
        <v>0</v>
      </c>
      <c r="AV309" s="49">
        <f ca="1">IFERROR(MAX(_xlfn.SINGLE(HM_ZD_Moho!CA_cost_recovered_total)-AV251*(IF(_xlfn.SINGLE(CA_period_trig)=1,_xlfn.SINGLE(CA_HP_oil_nom_period1),_xlfn.SINGLE(CA_HP_oil_nom_period2))/_xlfn.SINGLE(HM_ZD_Moho!CA_FP_oil_nom))*_xlfn.SINGLE(HM_ZD_Moho!CA_gross_rev_total_fp),0),0)</f>
        <v>0</v>
      </c>
      <c r="AW309" s="49">
        <f ca="1">IFERROR(MAX(_xlfn.SINGLE(HM_ZD_Moho!CA_cost_recovered_total)-AW251*(IF(_xlfn.SINGLE(CA_period_trig)=1,_xlfn.SINGLE(CA_HP_oil_nom_period1),_xlfn.SINGLE(CA_HP_oil_nom_period2))/_xlfn.SINGLE(HM_ZD_Moho!CA_FP_oil_nom))*_xlfn.SINGLE(HM_ZD_Moho!CA_gross_rev_total_fp),0),0)</f>
        <v>0</v>
      </c>
      <c r="AX309" s="49">
        <f ca="1">IFERROR(MAX(_xlfn.SINGLE(HM_ZD_Moho!CA_cost_recovered_total)-AX251*(IF(_xlfn.SINGLE(CA_period_trig)=1,_xlfn.SINGLE(CA_HP_oil_nom_period1),_xlfn.SINGLE(CA_HP_oil_nom_period2))/_xlfn.SINGLE(HM_ZD_Moho!CA_FP_oil_nom))*_xlfn.SINGLE(HM_ZD_Moho!CA_gross_rev_total_fp),0),0)</f>
        <v>0</v>
      </c>
      <c r="AY309" s="49">
        <f ca="1">IFERROR(MAX(_xlfn.SINGLE(HM_ZD_Moho!CA_cost_recovered_total)-AY251*(IF(_xlfn.SINGLE(CA_period_trig)=1,_xlfn.SINGLE(CA_HP_oil_nom_period1),_xlfn.SINGLE(CA_HP_oil_nom_period2))/_xlfn.SINGLE(HM_ZD_Moho!CA_FP_oil_nom))*_xlfn.SINGLE(HM_ZD_Moho!CA_gross_rev_total_fp),0),0)</f>
        <v>0</v>
      </c>
      <c r="AZ309" s="49">
        <f ca="1">IFERROR(MAX(_xlfn.SINGLE(HM_ZD_Moho!CA_cost_recovered_total)-AZ251*(IF(_xlfn.SINGLE(CA_period_trig)=1,_xlfn.SINGLE(CA_HP_oil_nom_period1),_xlfn.SINGLE(CA_HP_oil_nom_period2))/_xlfn.SINGLE(HM_ZD_Moho!CA_FP_oil_nom))*_xlfn.SINGLE(HM_ZD_Moho!CA_gross_rev_total_fp),0),0)</f>
        <v>0</v>
      </c>
      <c r="BA309" s="49">
        <f ca="1">IFERROR(MAX(_xlfn.SINGLE(HM_ZD_Moho!CA_cost_recovered_total)-BA251*(IF(_xlfn.SINGLE(CA_period_trig)=1,_xlfn.SINGLE(CA_HP_oil_nom_period1),_xlfn.SINGLE(CA_HP_oil_nom_period2))/_xlfn.SINGLE(HM_ZD_Moho!CA_FP_oil_nom))*_xlfn.SINGLE(HM_ZD_Moho!CA_gross_rev_total_fp),0),0)</f>
        <v>0</v>
      </c>
      <c r="BB309" s="49">
        <f ca="1">IFERROR(MAX(_xlfn.SINGLE(HM_ZD_Moho!CA_cost_recovered_total)-BB251*(IF(_xlfn.SINGLE(CA_period_trig)=1,_xlfn.SINGLE(CA_HP_oil_nom_period1),_xlfn.SINGLE(CA_HP_oil_nom_period2))/_xlfn.SINGLE(HM_ZD_Moho!CA_FP_oil_nom))*_xlfn.SINGLE(HM_ZD_Moho!CA_gross_rev_total_fp),0),0)</f>
        <v>0</v>
      </c>
      <c r="BC309" s="49">
        <f ca="1">IFERROR(MAX(_xlfn.SINGLE(HM_ZD_Moho!CA_cost_recovered_total)-BC251*(IF(_xlfn.SINGLE(CA_period_trig)=1,_xlfn.SINGLE(CA_HP_oil_nom_period1),_xlfn.SINGLE(CA_HP_oil_nom_period2))/_xlfn.SINGLE(HM_ZD_Moho!CA_FP_oil_nom))*_xlfn.SINGLE(HM_ZD_Moho!CA_gross_rev_total_fp),0),0)</f>
        <v>0</v>
      </c>
      <c r="BD309" s="49">
        <f ca="1">IFERROR(MAX(_xlfn.SINGLE(HM_ZD_Moho!CA_cost_recovered_total)-BD251*(IF(_xlfn.SINGLE(CA_period_trig)=1,_xlfn.SINGLE(CA_HP_oil_nom_period1),_xlfn.SINGLE(CA_HP_oil_nom_period2))/_xlfn.SINGLE(HM_ZD_Moho!CA_FP_oil_nom))*_xlfn.SINGLE(HM_ZD_Moho!CA_gross_rev_total_fp),0),0)</f>
        <v>0</v>
      </c>
      <c r="BE309" s="49">
        <f ca="1">IFERROR(MAX(_xlfn.SINGLE(HM_ZD_Moho!CA_cost_recovered_total)-BE251*(IF(_xlfn.SINGLE(CA_period_trig)=1,_xlfn.SINGLE(CA_HP_oil_nom_period1),_xlfn.SINGLE(CA_HP_oil_nom_period2))/_xlfn.SINGLE(HM_ZD_Moho!CA_FP_oil_nom))*_xlfn.SINGLE(HM_ZD_Moho!CA_gross_rev_total_fp),0),0)</f>
        <v>0</v>
      </c>
      <c r="BF309" s="49">
        <f ca="1">IFERROR(MAX(_xlfn.SINGLE(HM_ZD_Moho!CA_cost_recovered_total)-BF251*(IF(_xlfn.SINGLE(CA_period_trig)=1,_xlfn.SINGLE(CA_HP_oil_nom_period1),_xlfn.SINGLE(CA_HP_oil_nom_period2))/_xlfn.SINGLE(HM_ZD_Moho!CA_FP_oil_nom))*_xlfn.SINGLE(HM_ZD_Moho!CA_gross_rev_total_fp),0),0)</f>
        <v>0</v>
      </c>
      <c r="BG309" s="49">
        <f ca="1">IFERROR(MAX(_xlfn.SINGLE(HM_ZD_Moho!CA_cost_recovered_total)-BG251*(IF(_xlfn.SINGLE(CA_period_trig)=1,_xlfn.SINGLE(CA_HP_oil_nom_period1),_xlfn.SINGLE(CA_HP_oil_nom_period2))/_xlfn.SINGLE(HM_ZD_Moho!CA_FP_oil_nom))*_xlfn.SINGLE(HM_ZD_Moho!CA_gross_rev_total_fp),0),0)</f>
        <v>0</v>
      </c>
      <c r="BH309" s="49">
        <f ca="1">IFERROR(MAX(_xlfn.SINGLE(HM_ZD_Moho!CA_cost_recovered_total)-BH251*(IF(_xlfn.SINGLE(CA_period_trig)=1,_xlfn.SINGLE(CA_HP_oil_nom_period1),_xlfn.SINGLE(CA_HP_oil_nom_period2))/_xlfn.SINGLE(HM_ZD_Moho!CA_FP_oil_nom))*_xlfn.SINGLE(HM_ZD_Moho!CA_gross_rev_total_fp),0),0)</f>
        <v>0</v>
      </c>
      <c r="BI309" s="49">
        <f ca="1">IFERROR(MAX(_xlfn.SINGLE(HM_ZD_Moho!CA_cost_recovered_total)-BI251*(IF(_xlfn.SINGLE(CA_period_trig)=1,_xlfn.SINGLE(CA_HP_oil_nom_period1),_xlfn.SINGLE(CA_HP_oil_nom_period2))/_xlfn.SINGLE(HM_ZD_Moho!CA_FP_oil_nom))*_xlfn.SINGLE(HM_ZD_Moho!CA_gross_rev_total_fp),0),0)</f>
        <v>0</v>
      </c>
      <c r="BJ309" s="49">
        <f ca="1">IFERROR(MAX(_xlfn.SINGLE(HM_ZD_Moho!CA_cost_recovered_total)-BJ251*(IF(_xlfn.SINGLE(CA_period_trig)=1,_xlfn.SINGLE(CA_HP_oil_nom_period1),_xlfn.SINGLE(CA_HP_oil_nom_period2))/_xlfn.SINGLE(HM_ZD_Moho!CA_FP_oil_nom))*_xlfn.SINGLE(HM_ZD_Moho!CA_gross_rev_total_fp),0),0)</f>
        <v>0</v>
      </c>
      <c r="BK309" s="49">
        <f ca="1">IFERROR(MAX(_xlfn.SINGLE(HM_ZD_Moho!CA_cost_recovered_total)-BK251*(IF(_xlfn.SINGLE(CA_period_trig)=1,_xlfn.SINGLE(CA_HP_oil_nom_period1),_xlfn.SINGLE(CA_HP_oil_nom_period2))/_xlfn.SINGLE(HM_ZD_Moho!CA_FP_oil_nom))*_xlfn.SINGLE(HM_ZD_Moho!CA_gross_rev_total_fp),0),0)</f>
        <v>0</v>
      </c>
      <c r="BL309" s="49">
        <f ca="1">IFERROR(MAX(_xlfn.SINGLE(HM_ZD_Moho!CA_cost_recovered_total)-BL251*(IF(_xlfn.SINGLE(CA_period_trig)=1,_xlfn.SINGLE(CA_HP_oil_nom_period1),_xlfn.SINGLE(CA_HP_oil_nom_period2))/_xlfn.SINGLE(HM_ZD_Moho!CA_FP_oil_nom))*_xlfn.SINGLE(HM_ZD_Moho!CA_gross_rev_total_fp),0),0)</f>
        <v>0</v>
      </c>
      <c r="BM309" s="49">
        <f ca="1">IFERROR(MAX(_xlfn.SINGLE(HM_ZD_Moho!CA_cost_recovered_total)-BM251*(IF(_xlfn.SINGLE(CA_period_trig)=1,_xlfn.SINGLE(CA_HP_oil_nom_period1),_xlfn.SINGLE(CA_HP_oil_nom_period2))/_xlfn.SINGLE(HM_ZD_Moho!CA_FP_oil_nom))*_xlfn.SINGLE(HM_ZD_Moho!CA_gross_rev_total_fp),0),0)</f>
        <v>0</v>
      </c>
      <c r="BN309" s="49">
        <f ca="1">IFERROR(MAX(_xlfn.SINGLE(HM_ZD_Moho!CA_cost_recovered_total)-BN251*(IF(_xlfn.SINGLE(CA_period_trig)=1,_xlfn.SINGLE(CA_HP_oil_nom_period1),_xlfn.SINGLE(CA_HP_oil_nom_period2))/_xlfn.SINGLE(HM_ZD_Moho!CA_FP_oil_nom))*_xlfn.SINGLE(HM_ZD_Moho!CA_gross_rev_total_fp),0),0)</f>
        <v>0</v>
      </c>
      <c r="BO309" s="49">
        <f ca="1">IFERROR(MAX(_xlfn.SINGLE(HM_ZD_Moho!CA_cost_recovered_total)-BO251*(IF(_xlfn.SINGLE(CA_period_trig)=1,_xlfn.SINGLE(CA_HP_oil_nom_period1),_xlfn.SINGLE(CA_HP_oil_nom_period2))/_xlfn.SINGLE(HM_ZD_Moho!CA_FP_oil_nom))*_xlfn.SINGLE(HM_ZD_Moho!CA_gross_rev_total_fp),0),0)</f>
        <v>0</v>
      </c>
      <c r="BP309" s="49">
        <f ca="1">IFERROR(MAX(_xlfn.SINGLE(HM_ZD_Moho!CA_cost_recovered_total)-BP251*(IF(_xlfn.SINGLE(CA_period_trig)=1,_xlfn.SINGLE(CA_HP_oil_nom_period1),_xlfn.SINGLE(CA_HP_oil_nom_period2))/_xlfn.SINGLE(HM_ZD_Moho!CA_FP_oil_nom))*_xlfn.SINGLE(HM_ZD_Moho!CA_gross_rev_total_fp),0),0)</f>
        <v>0</v>
      </c>
      <c r="BQ309" s="49">
        <f ca="1">IFERROR(MAX(_xlfn.SINGLE(HM_ZD_Moho!CA_cost_recovered_total)-BQ251*(IF(_xlfn.SINGLE(CA_period_trig)=1,_xlfn.SINGLE(CA_HP_oil_nom_period1),_xlfn.SINGLE(CA_HP_oil_nom_period2))/_xlfn.SINGLE(HM_ZD_Moho!CA_FP_oil_nom))*_xlfn.SINGLE(HM_ZD_Moho!CA_gross_rev_total_fp),0),0)</f>
        <v>0</v>
      </c>
      <c r="BR309" s="49">
        <f ca="1">IFERROR(MAX(_xlfn.SINGLE(HM_ZD_Moho!CA_cost_recovered_total)-BR251*(IF(_xlfn.SINGLE(CA_period_trig)=1,_xlfn.SINGLE(CA_HP_oil_nom_period1),_xlfn.SINGLE(CA_HP_oil_nom_period2))/_xlfn.SINGLE(HM_ZD_Moho!CA_FP_oil_nom))*_xlfn.SINGLE(HM_ZD_Moho!CA_gross_rev_total_fp),0),0)</f>
        <v>0</v>
      </c>
      <c r="BS309" s="49">
        <f ca="1">IFERROR(MAX(_xlfn.SINGLE(HM_ZD_Moho!CA_cost_recovered_total)-BS251*(IF(_xlfn.SINGLE(CA_period_trig)=1,_xlfn.SINGLE(CA_HP_oil_nom_period1),_xlfn.SINGLE(CA_HP_oil_nom_period2))/_xlfn.SINGLE(HM_ZD_Moho!CA_FP_oil_nom))*_xlfn.SINGLE(HM_ZD_Moho!CA_gross_rev_total_fp),0),0)</f>
        <v>0</v>
      </c>
    </row>
    <row r="310" spans="3:71" outlineLevel="1" x14ac:dyDescent="0.2">
      <c r="J310" s="26"/>
      <c r="L310" s="55"/>
      <c r="M310" s="55"/>
      <c r="N310" s="55"/>
      <c r="O310" s="55"/>
      <c r="P310" s="55"/>
      <c r="Q310" s="55"/>
      <c r="R310" s="55"/>
      <c r="S310" s="55"/>
      <c r="T310" s="55"/>
      <c r="U310" s="55"/>
      <c r="V310" s="55"/>
      <c r="W310" s="55"/>
      <c r="X310" s="55"/>
      <c r="Y310" s="55"/>
      <c r="Z310" s="55"/>
      <c r="AA310" s="55"/>
      <c r="AB310" s="55"/>
      <c r="AC310" s="55"/>
      <c r="AD310" s="55"/>
      <c r="AE310" s="55"/>
      <c r="AF310" s="55"/>
      <c r="AG310" s="55"/>
      <c r="AH310" s="55"/>
      <c r="AI310" s="55"/>
      <c r="AJ310" s="55"/>
      <c r="AK310" s="55"/>
      <c r="AL310" s="55"/>
      <c r="AM310" s="55"/>
      <c r="AN310" s="55"/>
      <c r="AO310" s="55"/>
      <c r="AP310" s="55"/>
      <c r="AQ310" s="55"/>
      <c r="AR310" s="55"/>
      <c r="AS310" s="55"/>
      <c r="AT310" s="55"/>
      <c r="AU310" s="55"/>
      <c r="AV310" s="55"/>
      <c r="AW310" s="55"/>
      <c r="AX310" s="55"/>
      <c r="AY310" s="55"/>
      <c r="AZ310" s="55"/>
      <c r="BA310" s="55"/>
      <c r="BB310" s="55"/>
      <c r="BC310" s="55"/>
      <c r="BD310" s="55"/>
      <c r="BE310" s="55"/>
      <c r="BF310" s="55"/>
      <c r="BG310" s="55"/>
      <c r="BH310" s="55"/>
      <c r="BI310" s="55"/>
      <c r="BJ310" s="55"/>
      <c r="BK310" s="55"/>
      <c r="BL310" s="55"/>
      <c r="BM310" s="55"/>
      <c r="BN310" s="55"/>
      <c r="BO310" s="55"/>
      <c r="BP310" s="55"/>
      <c r="BQ310" s="55"/>
      <c r="BR310" s="55"/>
      <c r="BS310" s="55"/>
    </row>
    <row r="311" spans="3:71" outlineLevel="1" x14ac:dyDescent="0.2">
      <c r="D311" t="str">
        <f>HM_ZB_Nsoko!D299</f>
        <v>Revenus disponibles pour le SPO</v>
      </c>
      <c r="I311" s="30">
        <f t="shared" ref="I311:I316" ca="1" si="188">SUM($L311:$BS311)</f>
        <v>3011.049379040805</v>
      </c>
      <c r="J311" s="26" t="s">
        <v>148</v>
      </c>
      <c r="K311" s="7" t="s">
        <v>221</v>
      </c>
      <c r="L311" s="49">
        <f ca="1">HM_ZD_AM3_2005!L289</f>
        <v>1422.5944995370003</v>
      </c>
      <c r="M311" s="49">
        <f ca="1">HM_ZD_AM3_2005!M289</f>
        <v>1299.7484336069997</v>
      </c>
      <c r="N311" s="49">
        <f t="shared" ref="N311:BS311" ca="1" si="189">MAX(N303,N305,N307,0)-N309</f>
        <v>0</v>
      </c>
      <c r="O311" s="49">
        <f t="shared" ca="1" si="189"/>
        <v>0</v>
      </c>
      <c r="P311" s="49">
        <f t="shared" ca="1" si="189"/>
        <v>0</v>
      </c>
      <c r="Q311" s="49">
        <f t="shared" ca="1" si="189"/>
        <v>0</v>
      </c>
      <c r="R311" s="49">
        <f t="shared" ca="1" si="189"/>
        <v>0</v>
      </c>
      <c r="S311" s="49">
        <f t="shared" ca="1" si="189"/>
        <v>0</v>
      </c>
      <c r="T311" s="49">
        <f t="shared" ca="1" si="189"/>
        <v>0</v>
      </c>
      <c r="U311" s="49">
        <f t="shared" ca="1" si="189"/>
        <v>0</v>
      </c>
      <c r="V311" s="49">
        <f t="shared" ca="1" si="189"/>
        <v>0</v>
      </c>
      <c r="W311" s="49">
        <f t="shared" ca="1" si="189"/>
        <v>148.16095961038945</v>
      </c>
      <c r="X311" s="49">
        <f t="shared" ca="1" si="189"/>
        <v>140.54548628641527</v>
      </c>
      <c r="Y311" s="49">
        <f t="shared" ca="1" si="189"/>
        <v>0</v>
      </c>
      <c r="Z311" s="49">
        <f t="shared" ca="1" si="189"/>
        <v>0</v>
      </c>
      <c r="AA311" s="49">
        <f t="shared" ca="1" si="189"/>
        <v>0</v>
      </c>
      <c r="AB311" s="49">
        <f t="shared" ca="1" si="189"/>
        <v>0</v>
      </c>
      <c r="AC311" s="49">
        <f t="shared" ca="1" si="189"/>
        <v>0</v>
      </c>
      <c r="AD311" s="49">
        <f t="shared" ca="1" si="189"/>
        <v>0</v>
      </c>
      <c r="AE311" s="49">
        <f t="shared" ca="1" si="189"/>
        <v>0</v>
      </c>
      <c r="AF311" s="49">
        <f t="shared" ca="1" si="189"/>
        <v>0</v>
      </c>
      <c r="AG311" s="49">
        <f t="shared" ca="1" si="189"/>
        <v>0</v>
      </c>
      <c r="AH311" s="49">
        <f t="shared" ca="1" si="189"/>
        <v>0</v>
      </c>
      <c r="AI311" s="49">
        <f t="shared" ca="1" si="189"/>
        <v>0</v>
      </c>
      <c r="AJ311" s="49">
        <f t="shared" ca="1" si="189"/>
        <v>0</v>
      </c>
      <c r="AK311" s="49">
        <f t="shared" ca="1" si="189"/>
        <v>0</v>
      </c>
      <c r="AL311" s="49">
        <f t="shared" ca="1" si="189"/>
        <v>0</v>
      </c>
      <c r="AM311" s="49">
        <f t="shared" ca="1" si="189"/>
        <v>0</v>
      </c>
      <c r="AN311" s="49">
        <f t="shared" ca="1" si="189"/>
        <v>0</v>
      </c>
      <c r="AO311" s="49">
        <f t="shared" ca="1" si="189"/>
        <v>0</v>
      </c>
      <c r="AP311" s="49">
        <f t="shared" ca="1" si="189"/>
        <v>0</v>
      </c>
      <c r="AQ311" s="49">
        <f t="shared" ca="1" si="189"/>
        <v>0</v>
      </c>
      <c r="AR311" s="49">
        <f t="shared" ca="1" si="189"/>
        <v>0</v>
      </c>
      <c r="AS311" s="49">
        <f t="shared" ca="1" si="189"/>
        <v>0</v>
      </c>
      <c r="AT311" s="49">
        <f t="shared" ca="1" si="189"/>
        <v>0</v>
      </c>
      <c r="AU311" s="49">
        <f t="shared" ca="1" si="189"/>
        <v>0</v>
      </c>
      <c r="AV311" s="49">
        <f t="shared" ca="1" si="189"/>
        <v>0</v>
      </c>
      <c r="AW311" s="49">
        <f t="shared" ca="1" si="189"/>
        <v>0</v>
      </c>
      <c r="AX311" s="49">
        <f t="shared" ca="1" si="189"/>
        <v>0</v>
      </c>
      <c r="AY311" s="49">
        <f t="shared" ca="1" si="189"/>
        <v>0</v>
      </c>
      <c r="AZ311" s="49">
        <f t="shared" ca="1" si="189"/>
        <v>0</v>
      </c>
      <c r="BA311" s="49">
        <f t="shared" ca="1" si="189"/>
        <v>0</v>
      </c>
      <c r="BB311" s="49">
        <f t="shared" ca="1" si="189"/>
        <v>0</v>
      </c>
      <c r="BC311" s="49">
        <f t="shared" ca="1" si="189"/>
        <v>0</v>
      </c>
      <c r="BD311" s="49">
        <f t="shared" ca="1" si="189"/>
        <v>0</v>
      </c>
      <c r="BE311" s="49">
        <f t="shared" ca="1" si="189"/>
        <v>0</v>
      </c>
      <c r="BF311" s="49">
        <f t="shared" ca="1" si="189"/>
        <v>0</v>
      </c>
      <c r="BG311" s="49">
        <f t="shared" ca="1" si="189"/>
        <v>0</v>
      </c>
      <c r="BH311" s="49">
        <f t="shared" ca="1" si="189"/>
        <v>0</v>
      </c>
      <c r="BI311" s="49">
        <f t="shared" ca="1" si="189"/>
        <v>0</v>
      </c>
      <c r="BJ311" s="49">
        <f t="shared" ca="1" si="189"/>
        <v>0</v>
      </c>
      <c r="BK311" s="49">
        <f t="shared" ca="1" si="189"/>
        <v>0</v>
      </c>
      <c r="BL311" s="49">
        <f t="shared" ca="1" si="189"/>
        <v>0</v>
      </c>
      <c r="BM311" s="49">
        <f t="shared" ca="1" si="189"/>
        <v>0</v>
      </c>
      <c r="BN311" s="49">
        <f t="shared" ca="1" si="189"/>
        <v>0</v>
      </c>
      <c r="BO311" s="49">
        <f t="shared" ca="1" si="189"/>
        <v>0</v>
      </c>
      <c r="BP311" s="49">
        <f t="shared" ca="1" si="189"/>
        <v>0</v>
      </c>
      <c r="BQ311" s="49">
        <f t="shared" ca="1" si="189"/>
        <v>0</v>
      </c>
      <c r="BR311" s="49">
        <f t="shared" ca="1" si="189"/>
        <v>0</v>
      </c>
      <c r="BS311" s="49">
        <f t="shared" ca="1" si="189"/>
        <v>0</v>
      </c>
    </row>
    <row r="312" spans="3:71" outlineLevel="1" x14ac:dyDescent="0.2">
      <c r="J312" s="26"/>
      <c r="L312" s="55"/>
      <c r="M312" s="55"/>
      <c r="N312" s="55"/>
      <c r="O312" s="55"/>
      <c r="P312" s="55"/>
      <c r="Q312" s="55"/>
      <c r="R312" s="55"/>
      <c r="S312" s="55"/>
      <c r="T312" s="55"/>
      <c r="U312" s="55"/>
      <c r="V312" s="55"/>
      <c r="W312" s="55"/>
      <c r="X312" s="55"/>
      <c r="Y312" s="55"/>
      <c r="Z312" s="55"/>
      <c r="AA312" s="55"/>
      <c r="AB312" s="55"/>
      <c r="AC312" s="55"/>
      <c r="AD312" s="55"/>
      <c r="AE312" s="55"/>
      <c r="AF312" s="55"/>
      <c r="AG312" s="55"/>
      <c r="AH312" s="55"/>
      <c r="AI312" s="55"/>
      <c r="AJ312" s="55"/>
      <c r="AK312" s="55"/>
      <c r="AL312" s="55"/>
      <c r="AM312" s="55"/>
      <c r="AN312" s="55"/>
      <c r="AO312" s="55"/>
      <c r="AP312" s="55"/>
      <c r="AQ312" s="55"/>
      <c r="AR312" s="55"/>
      <c r="AS312" s="55"/>
      <c r="AT312" s="55"/>
      <c r="AU312" s="55"/>
      <c r="AV312" s="55"/>
      <c r="AW312" s="55"/>
      <c r="AX312" s="55"/>
      <c r="AY312" s="55"/>
      <c r="AZ312" s="55"/>
      <c r="BA312" s="55"/>
      <c r="BB312" s="55"/>
      <c r="BC312" s="55"/>
      <c r="BD312" s="55"/>
      <c r="BE312" s="55"/>
      <c r="BF312" s="55"/>
      <c r="BG312" s="55"/>
      <c r="BH312" s="55"/>
      <c r="BI312" s="55"/>
      <c r="BJ312" s="55"/>
      <c r="BK312" s="55"/>
      <c r="BL312" s="55"/>
      <c r="BM312" s="55"/>
      <c r="BN312" s="55"/>
      <c r="BO312" s="55"/>
      <c r="BP312" s="55"/>
      <c r="BQ312" s="55"/>
      <c r="BR312" s="55"/>
      <c r="BS312" s="55"/>
    </row>
    <row r="313" spans="3:71" outlineLevel="1" x14ac:dyDescent="0.2">
      <c r="D313" t="str">
        <f>HM_ZB_Nsoko!D295</f>
        <v>Redevance pétrolière - SPO</v>
      </c>
      <c r="I313" s="30">
        <f t="shared" ref="I313" ca="1" si="190">SUM($L313:$BS313)</f>
        <v>607.35932366814859</v>
      </c>
      <c r="J313" s="26" t="s">
        <v>148</v>
      </c>
      <c r="L313" s="49">
        <f ca="1">HM_ZD_AM3_2005!L291</f>
        <v>213.38917493055004</v>
      </c>
      <c r="M313" s="49">
        <f ca="1">HM_ZD_AM3_2005!M291</f>
        <v>194.96226504104996</v>
      </c>
      <c r="N313" s="49">
        <f ca="1">(IF(_xlfn.SINGLE(CA_period_trig)=1,_xlfn.SINGLE(HM_ZD_Moho!CA_gross_rev_oil_difference1),_xlfn.SINGLE(HM_ZD_Moho!CA_gross_rev_oil_difference2))*HM_ZD_Moho!royalty_rate_oil)</f>
        <v>46.353900508537485</v>
      </c>
      <c r="O313" s="49">
        <f ca="1">(IF(_xlfn.SINGLE(CA_period_trig)=1,_xlfn.SINGLE(HM_ZD_Moho!CA_gross_rev_oil_difference1),_xlfn.SINGLE(HM_ZD_Moho!CA_gross_rev_oil_difference2))*HM_ZD_Moho!royalty_rate_oil)</f>
        <v>28.922649232237497</v>
      </c>
      <c r="P313" s="49">
        <f ca="1">(IF(_xlfn.SINGLE(CA_period_trig)=1,_xlfn.SINGLE(HM_ZD_Moho!CA_gross_rev_oil_difference1),_xlfn.SINGLE(HM_ZD_Moho!CA_gross_rev_oil_difference2))*HM_ZD_Moho!royalty_rate_oil)</f>
        <v>0</v>
      </c>
      <c r="Q313" s="49">
        <f ca="1">(IF(_xlfn.SINGLE(CA_period_trig)=1,_xlfn.SINGLE(HM_ZD_Moho!CA_gross_rev_oil_difference1),_xlfn.SINGLE(HM_ZD_Moho!CA_gross_rev_oil_difference2))*HM_ZD_Moho!royalty_rate_oil)</f>
        <v>0</v>
      </c>
      <c r="R313" s="49">
        <f ca="1">(IF(_xlfn.SINGLE(CA_period_trig)=1,_xlfn.SINGLE(HM_ZD_Moho!CA_gross_rev_oil_difference1),_xlfn.SINGLE(HM_ZD_Moho!CA_gross_rev_oil_difference2))*HM_ZD_Moho!royalty_rate_oil)</f>
        <v>0</v>
      </c>
      <c r="S313" s="49">
        <f ca="1">(IF(_xlfn.SINGLE(CA_period_trig)=1,_xlfn.SINGLE(HM_ZD_Moho!CA_gross_rev_oil_difference1),_xlfn.SINGLE(HM_ZD_Moho!CA_gross_rev_oil_difference2))*HM_ZD_Moho!royalty_rate_oil)</f>
        <v>0</v>
      </c>
      <c r="T313" s="49">
        <f ca="1">(IF(_xlfn.SINGLE(CA_period_trig)=1,_xlfn.SINGLE(HM_ZD_Moho!CA_gross_rev_oil_difference1),_xlfn.SINGLE(HM_ZD_Moho!CA_gross_rev_oil_difference2))*HM_ZD_Moho!royalty_rate_oil)</f>
        <v>0</v>
      </c>
      <c r="U313" s="49">
        <f ca="1">(IF(_xlfn.SINGLE(CA_period_trig)=1,_xlfn.SINGLE(HM_ZD_Moho!CA_gross_rev_oil_difference1),_xlfn.SINGLE(HM_ZD_Moho!CA_gross_rev_oil_difference2))*HM_ZD_Moho!royalty_rate_oil)</f>
        <v>0</v>
      </c>
      <c r="V313" s="49">
        <f ca="1">(IF(_xlfn.SINGLE(CA_period_trig)=1,_xlfn.SINGLE(HM_ZD_Moho!CA_gross_rev_oil_difference1),_xlfn.SINGLE(HM_ZD_Moho!CA_gross_rev_oil_difference2))*HM_ZD_Moho!royalty_rate_oil)</f>
        <v>0</v>
      </c>
      <c r="W313" s="49">
        <f ca="1">(IF(_xlfn.SINGLE(CA_period_trig)=1,_xlfn.SINGLE(HM_ZD_Moho!CA_gross_rev_oil_difference1),_xlfn.SINGLE(HM_ZD_Moho!CA_gross_rev_oil_difference2))*HM_ZD_Moho!royalty_rate_oil)</f>
        <v>63.497554118738364</v>
      </c>
      <c r="X313" s="49">
        <f ca="1">(IF(_xlfn.SINGLE(CA_period_trig)=1,_xlfn.SINGLE(HM_ZD_Moho!CA_gross_rev_oil_difference1),_xlfn.SINGLE(HM_ZD_Moho!CA_gross_rev_oil_difference2))*HM_ZD_Moho!royalty_rate_oil)</f>
        <v>60.233779837035215</v>
      </c>
      <c r="Y313" s="49">
        <f ca="1">(IF(_xlfn.SINGLE(CA_period_trig)=1,_xlfn.SINGLE(HM_ZD_Moho!CA_gross_rev_oil_difference1),_xlfn.SINGLE(HM_ZD_Moho!CA_gross_rev_oil_difference2))*HM_ZD_Moho!royalty_rate_oil)</f>
        <v>0</v>
      </c>
      <c r="Z313" s="49">
        <f ca="1">(IF(_xlfn.SINGLE(CA_period_trig)=1,_xlfn.SINGLE(HM_ZD_Moho!CA_gross_rev_oil_difference1),_xlfn.SINGLE(HM_ZD_Moho!CA_gross_rev_oil_difference2))*HM_ZD_Moho!royalty_rate_oil)</f>
        <v>0</v>
      </c>
      <c r="AA313" s="49">
        <f ca="1">(IF(_xlfn.SINGLE(CA_period_trig)=1,_xlfn.SINGLE(HM_ZD_Moho!CA_gross_rev_oil_difference1),_xlfn.SINGLE(HM_ZD_Moho!CA_gross_rev_oil_difference2))*HM_ZD_Moho!royalty_rate_oil)</f>
        <v>0</v>
      </c>
      <c r="AB313" s="49">
        <f ca="1">(IF(_xlfn.SINGLE(CA_period_trig)=1,_xlfn.SINGLE(HM_ZD_Moho!CA_gross_rev_oil_difference1),_xlfn.SINGLE(HM_ZD_Moho!CA_gross_rev_oil_difference2))*HM_ZD_Moho!royalty_rate_oil)</f>
        <v>0</v>
      </c>
      <c r="AC313" s="49">
        <f ca="1">(IF(_xlfn.SINGLE(CA_period_trig)=1,_xlfn.SINGLE(HM_ZD_Moho!CA_gross_rev_oil_difference1),_xlfn.SINGLE(HM_ZD_Moho!CA_gross_rev_oil_difference2))*HM_ZD_Moho!royalty_rate_oil)</f>
        <v>0</v>
      </c>
      <c r="AD313" s="49">
        <f ca="1">(IF(_xlfn.SINGLE(CA_period_trig)=1,_xlfn.SINGLE(HM_ZD_Moho!CA_gross_rev_oil_difference1),_xlfn.SINGLE(HM_ZD_Moho!CA_gross_rev_oil_difference2))*HM_ZD_Moho!royalty_rate_oil)</f>
        <v>0</v>
      </c>
      <c r="AE313" s="49">
        <f ca="1">(IF(_xlfn.SINGLE(CA_period_trig)=1,_xlfn.SINGLE(HM_ZD_Moho!CA_gross_rev_oil_difference1),_xlfn.SINGLE(HM_ZD_Moho!CA_gross_rev_oil_difference2))*HM_ZD_Moho!royalty_rate_oil)</f>
        <v>0</v>
      </c>
      <c r="AF313" s="49">
        <f ca="1">(IF(_xlfn.SINGLE(CA_period_trig)=1,_xlfn.SINGLE(HM_ZD_Moho!CA_gross_rev_oil_difference1),_xlfn.SINGLE(HM_ZD_Moho!CA_gross_rev_oil_difference2))*HM_ZD_Moho!royalty_rate_oil)</f>
        <v>0</v>
      </c>
      <c r="AG313" s="49">
        <f ca="1">(IF(_xlfn.SINGLE(CA_period_trig)=1,_xlfn.SINGLE(HM_ZD_Moho!CA_gross_rev_oil_difference1),_xlfn.SINGLE(HM_ZD_Moho!CA_gross_rev_oil_difference2))*HM_ZD_Moho!royalty_rate_oil)</f>
        <v>0</v>
      </c>
      <c r="AH313" s="49">
        <f ca="1">(IF(_xlfn.SINGLE(CA_period_trig)=1,_xlfn.SINGLE(HM_ZD_Moho!CA_gross_rev_oil_difference1),_xlfn.SINGLE(HM_ZD_Moho!CA_gross_rev_oil_difference2))*HM_ZD_Moho!royalty_rate_oil)</f>
        <v>0</v>
      </c>
      <c r="AI313" s="49">
        <f ca="1">(IF(_xlfn.SINGLE(CA_period_trig)=1,_xlfn.SINGLE(HM_ZD_Moho!CA_gross_rev_oil_difference1),_xlfn.SINGLE(HM_ZD_Moho!CA_gross_rev_oil_difference2))*HM_ZD_Moho!royalty_rate_oil)</f>
        <v>0</v>
      </c>
      <c r="AJ313" s="49">
        <f ca="1">(IF(_xlfn.SINGLE(CA_period_trig)=1,_xlfn.SINGLE(HM_ZD_Moho!CA_gross_rev_oil_difference1),_xlfn.SINGLE(HM_ZD_Moho!CA_gross_rev_oil_difference2))*HM_ZD_Moho!royalty_rate_oil)</f>
        <v>0</v>
      </c>
      <c r="AK313" s="49">
        <f ca="1">(IF(_xlfn.SINGLE(CA_period_trig)=1,_xlfn.SINGLE(HM_ZD_Moho!CA_gross_rev_oil_difference1),_xlfn.SINGLE(HM_ZD_Moho!CA_gross_rev_oil_difference2))*HM_ZD_Moho!royalty_rate_oil)</f>
        <v>0</v>
      </c>
      <c r="AL313" s="49">
        <f ca="1">(IF(_xlfn.SINGLE(CA_period_trig)=1,_xlfn.SINGLE(HM_ZD_Moho!CA_gross_rev_oil_difference1),_xlfn.SINGLE(HM_ZD_Moho!CA_gross_rev_oil_difference2))*HM_ZD_Moho!royalty_rate_oil)</f>
        <v>0</v>
      </c>
      <c r="AM313" s="49">
        <f ca="1">(IF(_xlfn.SINGLE(CA_period_trig)=1,_xlfn.SINGLE(HM_ZD_Moho!CA_gross_rev_oil_difference1),_xlfn.SINGLE(HM_ZD_Moho!CA_gross_rev_oil_difference2))*HM_ZD_Moho!royalty_rate_oil)</f>
        <v>0</v>
      </c>
      <c r="AN313" s="49">
        <f ca="1">(IF(_xlfn.SINGLE(CA_period_trig)=1,_xlfn.SINGLE(HM_ZD_Moho!CA_gross_rev_oil_difference1),_xlfn.SINGLE(HM_ZD_Moho!CA_gross_rev_oil_difference2))*HM_ZD_Moho!royalty_rate_oil)</f>
        <v>0</v>
      </c>
      <c r="AO313" s="49">
        <f ca="1">(IF(_xlfn.SINGLE(CA_period_trig)=1,_xlfn.SINGLE(HM_ZD_Moho!CA_gross_rev_oil_difference1),_xlfn.SINGLE(HM_ZD_Moho!CA_gross_rev_oil_difference2))*HM_ZD_Moho!royalty_rate_oil)</f>
        <v>0</v>
      </c>
      <c r="AP313" s="49">
        <f ca="1">(IF(_xlfn.SINGLE(CA_period_trig)=1,_xlfn.SINGLE(HM_ZD_Moho!CA_gross_rev_oil_difference1),_xlfn.SINGLE(HM_ZD_Moho!CA_gross_rev_oil_difference2))*HM_ZD_Moho!royalty_rate_oil)</f>
        <v>0</v>
      </c>
      <c r="AQ313" s="49">
        <f ca="1">(IF(_xlfn.SINGLE(CA_period_trig)=1,_xlfn.SINGLE(HM_ZD_Moho!CA_gross_rev_oil_difference1),_xlfn.SINGLE(HM_ZD_Moho!CA_gross_rev_oil_difference2))*HM_ZD_Moho!royalty_rate_oil)</f>
        <v>0</v>
      </c>
      <c r="AR313" s="49">
        <f ca="1">(IF(_xlfn.SINGLE(CA_period_trig)=1,_xlfn.SINGLE(HM_ZD_Moho!CA_gross_rev_oil_difference1),_xlfn.SINGLE(HM_ZD_Moho!CA_gross_rev_oil_difference2))*HM_ZD_Moho!royalty_rate_oil)</f>
        <v>0</v>
      </c>
      <c r="AS313" s="49">
        <f ca="1">(IF(_xlfn.SINGLE(CA_period_trig)=1,_xlfn.SINGLE(HM_ZD_Moho!CA_gross_rev_oil_difference1),_xlfn.SINGLE(HM_ZD_Moho!CA_gross_rev_oil_difference2))*HM_ZD_Moho!royalty_rate_oil)</f>
        <v>0</v>
      </c>
      <c r="AT313" s="49">
        <f ca="1">(IF(_xlfn.SINGLE(CA_period_trig)=1,_xlfn.SINGLE(HM_ZD_Moho!CA_gross_rev_oil_difference1),_xlfn.SINGLE(HM_ZD_Moho!CA_gross_rev_oil_difference2))*HM_ZD_Moho!royalty_rate_oil)</f>
        <v>0</v>
      </c>
      <c r="AU313" s="49">
        <f ca="1">(IF(_xlfn.SINGLE(CA_period_trig)=1,_xlfn.SINGLE(HM_ZD_Moho!CA_gross_rev_oil_difference1),_xlfn.SINGLE(HM_ZD_Moho!CA_gross_rev_oil_difference2))*HM_ZD_Moho!royalty_rate_oil)</f>
        <v>0</v>
      </c>
      <c r="AV313" s="49">
        <f ca="1">(IF(_xlfn.SINGLE(CA_period_trig)=1,_xlfn.SINGLE(HM_ZD_Moho!CA_gross_rev_oil_difference1),_xlfn.SINGLE(HM_ZD_Moho!CA_gross_rev_oil_difference2))*HM_ZD_Moho!royalty_rate_oil)</f>
        <v>0</v>
      </c>
      <c r="AW313" s="49">
        <f ca="1">(IF(_xlfn.SINGLE(CA_period_trig)=1,_xlfn.SINGLE(HM_ZD_Moho!CA_gross_rev_oil_difference1),_xlfn.SINGLE(HM_ZD_Moho!CA_gross_rev_oil_difference2))*HM_ZD_Moho!royalty_rate_oil)</f>
        <v>0</v>
      </c>
      <c r="AX313" s="49">
        <f ca="1">(IF(_xlfn.SINGLE(CA_period_trig)=1,_xlfn.SINGLE(HM_ZD_Moho!CA_gross_rev_oil_difference1),_xlfn.SINGLE(HM_ZD_Moho!CA_gross_rev_oil_difference2))*HM_ZD_Moho!royalty_rate_oil)</f>
        <v>0</v>
      </c>
      <c r="AY313" s="49">
        <f ca="1">(IF(_xlfn.SINGLE(CA_period_trig)=1,_xlfn.SINGLE(HM_ZD_Moho!CA_gross_rev_oil_difference1),_xlfn.SINGLE(HM_ZD_Moho!CA_gross_rev_oil_difference2))*HM_ZD_Moho!royalty_rate_oil)</f>
        <v>0</v>
      </c>
      <c r="AZ313" s="49">
        <f ca="1">(IF(_xlfn.SINGLE(CA_period_trig)=1,_xlfn.SINGLE(HM_ZD_Moho!CA_gross_rev_oil_difference1),_xlfn.SINGLE(HM_ZD_Moho!CA_gross_rev_oil_difference2))*HM_ZD_Moho!royalty_rate_oil)</f>
        <v>0</v>
      </c>
      <c r="BA313" s="49">
        <f ca="1">(IF(_xlfn.SINGLE(CA_period_trig)=1,_xlfn.SINGLE(HM_ZD_Moho!CA_gross_rev_oil_difference1),_xlfn.SINGLE(HM_ZD_Moho!CA_gross_rev_oil_difference2))*HM_ZD_Moho!royalty_rate_oil)</f>
        <v>0</v>
      </c>
      <c r="BB313" s="49">
        <f ca="1">(IF(_xlfn.SINGLE(CA_period_trig)=1,_xlfn.SINGLE(HM_ZD_Moho!CA_gross_rev_oil_difference1),_xlfn.SINGLE(HM_ZD_Moho!CA_gross_rev_oil_difference2))*HM_ZD_Moho!royalty_rate_oil)</f>
        <v>0</v>
      </c>
      <c r="BC313" s="49">
        <f ca="1">(IF(_xlfn.SINGLE(CA_period_trig)=1,_xlfn.SINGLE(HM_ZD_Moho!CA_gross_rev_oil_difference1),_xlfn.SINGLE(HM_ZD_Moho!CA_gross_rev_oil_difference2))*HM_ZD_Moho!royalty_rate_oil)</f>
        <v>0</v>
      </c>
      <c r="BD313" s="49">
        <f ca="1">(IF(_xlfn.SINGLE(CA_period_trig)=1,_xlfn.SINGLE(HM_ZD_Moho!CA_gross_rev_oil_difference1),_xlfn.SINGLE(HM_ZD_Moho!CA_gross_rev_oil_difference2))*HM_ZD_Moho!royalty_rate_oil)</f>
        <v>0</v>
      </c>
      <c r="BE313" s="49">
        <f ca="1">(IF(_xlfn.SINGLE(CA_period_trig)=1,_xlfn.SINGLE(HM_ZD_Moho!CA_gross_rev_oil_difference1),_xlfn.SINGLE(HM_ZD_Moho!CA_gross_rev_oil_difference2))*HM_ZD_Moho!royalty_rate_oil)</f>
        <v>0</v>
      </c>
      <c r="BF313" s="49">
        <f ca="1">(IF(_xlfn.SINGLE(CA_period_trig)=1,_xlfn.SINGLE(HM_ZD_Moho!CA_gross_rev_oil_difference1),_xlfn.SINGLE(HM_ZD_Moho!CA_gross_rev_oil_difference2))*HM_ZD_Moho!royalty_rate_oil)</f>
        <v>0</v>
      </c>
      <c r="BG313" s="49">
        <f ca="1">(IF(_xlfn.SINGLE(CA_period_trig)=1,_xlfn.SINGLE(HM_ZD_Moho!CA_gross_rev_oil_difference1),_xlfn.SINGLE(HM_ZD_Moho!CA_gross_rev_oil_difference2))*HM_ZD_Moho!royalty_rate_oil)</f>
        <v>0</v>
      </c>
      <c r="BH313" s="49">
        <f ca="1">(IF(_xlfn.SINGLE(CA_period_trig)=1,_xlfn.SINGLE(HM_ZD_Moho!CA_gross_rev_oil_difference1),_xlfn.SINGLE(HM_ZD_Moho!CA_gross_rev_oil_difference2))*HM_ZD_Moho!royalty_rate_oil)</f>
        <v>0</v>
      </c>
      <c r="BI313" s="49">
        <f ca="1">(IF(_xlfn.SINGLE(CA_period_trig)=1,_xlfn.SINGLE(HM_ZD_Moho!CA_gross_rev_oil_difference1),_xlfn.SINGLE(HM_ZD_Moho!CA_gross_rev_oil_difference2))*HM_ZD_Moho!royalty_rate_oil)</f>
        <v>0</v>
      </c>
      <c r="BJ313" s="49">
        <f ca="1">(IF(_xlfn.SINGLE(CA_period_trig)=1,_xlfn.SINGLE(HM_ZD_Moho!CA_gross_rev_oil_difference1),_xlfn.SINGLE(HM_ZD_Moho!CA_gross_rev_oil_difference2))*HM_ZD_Moho!royalty_rate_oil)</f>
        <v>0</v>
      </c>
      <c r="BK313" s="49">
        <f ca="1">(IF(_xlfn.SINGLE(CA_period_trig)=1,_xlfn.SINGLE(HM_ZD_Moho!CA_gross_rev_oil_difference1),_xlfn.SINGLE(HM_ZD_Moho!CA_gross_rev_oil_difference2))*HM_ZD_Moho!royalty_rate_oil)</f>
        <v>0</v>
      </c>
      <c r="BL313" s="49">
        <f ca="1">(IF(_xlfn.SINGLE(CA_period_trig)=1,_xlfn.SINGLE(HM_ZD_Moho!CA_gross_rev_oil_difference1),_xlfn.SINGLE(HM_ZD_Moho!CA_gross_rev_oil_difference2))*HM_ZD_Moho!royalty_rate_oil)</f>
        <v>0</v>
      </c>
      <c r="BM313" s="49">
        <f ca="1">(IF(_xlfn.SINGLE(CA_period_trig)=1,_xlfn.SINGLE(HM_ZD_Moho!CA_gross_rev_oil_difference1),_xlfn.SINGLE(HM_ZD_Moho!CA_gross_rev_oil_difference2))*HM_ZD_Moho!royalty_rate_oil)</f>
        <v>0</v>
      </c>
      <c r="BN313" s="49">
        <f ca="1">(IF(_xlfn.SINGLE(CA_period_trig)=1,_xlfn.SINGLE(HM_ZD_Moho!CA_gross_rev_oil_difference1),_xlfn.SINGLE(HM_ZD_Moho!CA_gross_rev_oil_difference2))*HM_ZD_Moho!royalty_rate_oil)</f>
        <v>0</v>
      </c>
      <c r="BO313" s="49">
        <f ca="1">(IF(_xlfn.SINGLE(CA_period_trig)=1,_xlfn.SINGLE(HM_ZD_Moho!CA_gross_rev_oil_difference1),_xlfn.SINGLE(HM_ZD_Moho!CA_gross_rev_oil_difference2))*HM_ZD_Moho!royalty_rate_oil)</f>
        <v>0</v>
      </c>
      <c r="BP313" s="49">
        <f ca="1">(IF(_xlfn.SINGLE(CA_period_trig)=1,_xlfn.SINGLE(HM_ZD_Moho!CA_gross_rev_oil_difference1),_xlfn.SINGLE(HM_ZD_Moho!CA_gross_rev_oil_difference2))*HM_ZD_Moho!royalty_rate_oil)</f>
        <v>0</v>
      </c>
      <c r="BQ313" s="49">
        <f ca="1">(IF(_xlfn.SINGLE(CA_period_trig)=1,_xlfn.SINGLE(HM_ZD_Moho!CA_gross_rev_oil_difference1),_xlfn.SINGLE(HM_ZD_Moho!CA_gross_rev_oil_difference2))*HM_ZD_Moho!royalty_rate_oil)</f>
        <v>0</v>
      </c>
      <c r="BR313" s="49">
        <f ca="1">(IF(_xlfn.SINGLE(CA_period_trig)=1,_xlfn.SINGLE(HM_ZD_Moho!CA_gross_rev_oil_difference1),_xlfn.SINGLE(HM_ZD_Moho!CA_gross_rev_oil_difference2))*HM_ZD_Moho!royalty_rate_oil)</f>
        <v>0</v>
      </c>
      <c r="BS313" s="49">
        <f ca="1">(IF(_xlfn.SINGLE(CA_period_trig)=1,_xlfn.SINGLE(HM_ZD_Moho!CA_gross_rev_oil_difference1),_xlfn.SINGLE(HM_ZD_Moho!CA_gross_rev_oil_difference2))*HM_ZD_Moho!royalty_rate_oil)</f>
        <v>0</v>
      </c>
    </row>
    <row r="314" spans="3:71" outlineLevel="1" x14ac:dyDescent="0.2">
      <c r="J314" s="26"/>
      <c r="L314" s="55"/>
      <c r="M314" s="55"/>
      <c r="N314" s="55"/>
      <c r="O314" s="55"/>
      <c r="P314" s="55"/>
      <c r="Q314" s="55"/>
      <c r="R314" s="55"/>
      <c r="S314" s="55"/>
      <c r="T314" s="55"/>
      <c r="U314" s="55"/>
      <c r="V314" s="55"/>
      <c r="W314" s="55"/>
      <c r="X314" s="55"/>
      <c r="Y314" s="55"/>
      <c r="Z314" s="55"/>
      <c r="AA314" s="55"/>
      <c r="AB314" s="55"/>
      <c r="AC314" s="55"/>
      <c r="AD314" s="55"/>
      <c r="AE314" s="55"/>
      <c r="AF314" s="55"/>
      <c r="AG314" s="55"/>
      <c r="AH314" s="55"/>
      <c r="AI314" s="55"/>
      <c r="AJ314" s="55"/>
      <c r="AK314" s="55"/>
      <c r="AL314" s="55"/>
      <c r="AM314" s="55"/>
      <c r="AN314" s="55"/>
      <c r="AO314" s="55"/>
      <c r="AP314" s="55"/>
      <c r="AQ314" s="55"/>
      <c r="AR314" s="55"/>
      <c r="AS314" s="55"/>
      <c r="AT314" s="55"/>
      <c r="AU314" s="55"/>
      <c r="AV314" s="55"/>
      <c r="AW314" s="55"/>
      <c r="AX314" s="55"/>
      <c r="AY314" s="55"/>
      <c r="AZ314" s="55"/>
      <c r="BA314" s="55"/>
      <c r="BB314" s="55"/>
      <c r="BC314" s="55"/>
      <c r="BD314" s="55"/>
      <c r="BE314" s="55"/>
      <c r="BF314" s="55"/>
      <c r="BG314" s="55"/>
      <c r="BH314" s="55"/>
      <c r="BI314" s="55"/>
      <c r="BJ314" s="55"/>
      <c r="BK314" s="55"/>
      <c r="BL314" s="55"/>
      <c r="BM314" s="55"/>
      <c r="BN314" s="55"/>
      <c r="BO314" s="55"/>
      <c r="BP314" s="55"/>
      <c r="BQ314" s="55"/>
      <c r="BR314" s="55"/>
      <c r="BS314" s="55"/>
    </row>
    <row r="315" spans="3:71" outlineLevel="1" x14ac:dyDescent="0.2">
      <c r="D315" s="11" t="str">
        <f>HM_ZB_Nsoko!D301</f>
        <v>Part du Contracteur dans le SPO</v>
      </c>
      <c r="I315" s="30">
        <f t="shared" ca="1" si="188"/>
        <v>914.86307154811368</v>
      </c>
      <c r="J315" s="26" t="s">
        <v>148</v>
      </c>
      <c r="K315" s="7" t="s">
        <v>224</v>
      </c>
      <c r="L315" s="49">
        <f ca="1">HM_ZD_AM3_2005!L293</f>
        <v>426.7783498611002</v>
      </c>
      <c r="M315" s="49">
        <f ca="1">HM_ZD_AM3_2005!M293</f>
        <v>389.92453008209986</v>
      </c>
      <c r="N315" s="49">
        <f t="shared" ref="N315:BS315" ca="1" si="191">N311-N316</f>
        <v>0</v>
      </c>
      <c r="O315" s="49">
        <f t="shared" ca="1" si="191"/>
        <v>0</v>
      </c>
      <c r="P315" s="49">
        <f t="shared" ca="1" si="191"/>
        <v>0</v>
      </c>
      <c r="Q315" s="49">
        <f t="shared" ca="1" si="191"/>
        <v>0</v>
      </c>
      <c r="R315" s="49">
        <f t="shared" ca="1" si="191"/>
        <v>0</v>
      </c>
      <c r="S315" s="49">
        <f t="shared" ca="1" si="191"/>
        <v>0</v>
      </c>
      <c r="T315" s="49">
        <f t="shared" ca="1" si="191"/>
        <v>0</v>
      </c>
      <c r="U315" s="49">
        <f t="shared" ca="1" si="191"/>
        <v>0</v>
      </c>
      <c r="V315" s="49">
        <f t="shared" ca="1" si="191"/>
        <v>0</v>
      </c>
      <c r="W315" s="49">
        <f t="shared" ca="1" si="191"/>
        <v>50.374726267532409</v>
      </c>
      <c r="X315" s="49">
        <f t="shared" ca="1" si="191"/>
        <v>47.785465337381183</v>
      </c>
      <c r="Y315" s="49">
        <f t="shared" ca="1" si="191"/>
        <v>0</v>
      </c>
      <c r="Z315" s="49">
        <f t="shared" ca="1" si="191"/>
        <v>0</v>
      </c>
      <c r="AA315" s="49">
        <f t="shared" ca="1" si="191"/>
        <v>0</v>
      </c>
      <c r="AB315" s="49">
        <f t="shared" ca="1" si="191"/>
        <v>0</v>
      </c>
      <c r="AC315" s="49">
        <f t="shared" ca="1" si="191"/>
        <v>0</v>
      </c>
      <c r="AD315" s="49">
        <f t="shared" ca="1" si="191"/>
        <v>0</v>
      </c>
      <c r="AE315" s="49">
        <f t="shared" ca="1" si="191"/>
        <v>0</v>
      </c>
      <c r="AF315" s="49">
        <f t="shared" ca="1" si="191"/>
        <v>0</v>
      </c>
      <c r="AG315" s="49">
        <f t="shared" ca="1" si="191"/>
        <v>0</v>
      </c>
      <c r="AH315" s="49">
        <f t="shared" ca="1" si="191"/>
        <v>0</v>
      </c>
      <c r="AI315" s="49">
        <f t="shared" ca="1" si="191"/>
        <v>0</v>
      </c>
      <c r="AJ315" s="49">
        <f t="shared" ca="1" si="191"/>
        <v>0</v>
      </c>
      <c r="AK315" s="49">
        <f t="shared" ca="1" si="191"/>
        <v>0</v>
      </c>
      <c r="AL315" s="49">
        <f t="shared" ca="1" si="191"/>
        <v>0</v>
      </c>
      <c r="AM315" s="49">
        <f t="shared" ca="1" si="191"/>
        <v>0</v>
      </c>
      <c r="AN315" s="49">
        <f t="shared" ca="1" si="191"/>
        <v>0</v>
      </c>
      <c r="AO315" s="49">
        <f t="shared" ca="1" si="191"/>
        <v>0</v>
      </c>
      <c r="AP315" s="49">
        <f t="shared" ca="1" si="191"/>
        <v>0</v>
      </c>
      <c r="AQ315" s="49">
        <f t="shared" ca="1" si="191"/>
        <v>0</v>
      </c>
      <c r="AR315" s="49">
        <f t="shared" ca="1" si="191"/>
        <v>0</v>
      </c>
      <c r="AS315" s="49">
        <f t="shared" ca="1" si="191"/>
        <v>0</v>
      </c>
      <c r="AT315" s="49">
        <f t="shared" ca="1" si="191"/>
        <v>0</v>
      </c>
      <c r="AU315" s="49">
        <f t="shared" ca="1" si="191"/>
        <v>0</v>
      </c>
      <c r="AV315" s="49">
        <f t="shared" ca="1" si="191"/>
        <v>0</v>
      </c>
      <c r="AW315" s="49">
        <f t="shared" ca="1" si="191"/>
        <v>0</v>
      </c>
      <c r="AX315" s="49">
        <f t="shared" ca="1" si="191"/>
        <v>0</v>
      </c>
      <c r="AY315" s="49">
        <f t="shared" ca="1" si="191"/>
        <v>0</v>
      </c>
      <c r="AZ315" s="49">
        <f t="shared" ca="1" si="191"/>
        <v>0</v>
      </c>
      <c r="BA315" s="49">
        <f t="shared" ca="1" si="191"/>
        <v>0</v>
      </c>
      <c r="BB315" s="49">
        <f t="shared" ca="1" si="191"/>
        <v>0</v>
      </c>
      <c r="BC315" s="49">
        <f t="shared" ca="1" si="191"/>
        <v>0</v>
      </c>
      <c r="BD315" s="49">
        <f t="shared" ca="1" si="191"/>
        <v>0</v>
      </c>
      <c r="BE315" s="49">
        <f t="shared" ca="1" si="191"/>
        <v>0</v>
      </c>
      <c r="BF315" s="49">
        <f t="shared" ca="1" si="191"/>
        <v>0</v>
      </c>
      <c r="BG315" s="49">
        <f t="shared" ca="1" si="191"/>
        <v>0</v>
      </c>
      <c r="BH315" s="49">
        <f t="shared" ca="1" si="191"/>
        <v>0</v>
      </c>
      <c r="BI315" s="49">
        <f t="shared" ca="1" si="191"/>
        <v>0</v>
      </c>
      <c r="BJ315" s="49">
        <f t="shared" ca="1" si="191"/>
        <v>0</v>
      </c>
      <c r="BK315" s="49">
        <f t="shared" ca="1" si="191"/>
        <v>0</v>
      </c>
      <c r="BL315" s="49">
        <f t="shared" ca="1" si="191"/>
        <v>0</v>
      </c>
      <c r="BM315" s="49">
        <f t="shared" ca="1" si="191"/>
        <v>0</v>
      </c>
      <c r="BN315" s="49">
        <f t="shared" ca="1" si="191"/>
        <v>0</v>
      </c>
      <c r="BO315" s="49">
        <f t="shared" ca="1" si="191"/>
        <v>0</v>
      </c>
      <c r="BP315" s="49">
        <f t="shared" ca="1" si="191"/>
        <v>0</v>
      </c>
      <c r="BQ315" s="49">
        <f t="shared" ca="1" si="191"/>
        <v>0</v>
      </c>
      <c r="BR315" s="49">
        <f t="shared" ca="1" si="191"/>
        <v>0</v>
      </c>
      <c r="BS315" s="49">
        <f t="shared" ca="1" si="191"/>
        <v>0</v>
      </c>
    </row>
    <row r="316" spans="3:71" outlineLevel="1" x14ac:dyDescent="0.2">
      <c r="D316" s="11" t="str">
        <f>HM_ZB_Nsoko!D302</f>
        <v>Part du Gouv. dans le SPO</v>
      </c>
      <c r="I316" s="30">
        <f t="shared" ca="1" si="188"/>
        <v>2096.186307492691</v>
      </c>
      <c r="J316" s="26" t="s">
        <v>148</v>
      </c>
      <c r="K316" s="7" t="s">
        <v>225</v>
      </c>
      <c r="L316" s="49">
        <f ca="1">HM_ZD_AM3_2005!L294</f>
        <v>995.81614967590008</v>
      </c>
      <c r="M316" s="49">
        <f ca="1">HM_ZD_AM3_2005!M294</f>
        <v>909.82390352489983</v>
      </c>
      <c r="N316" s="49">
        <f ca="1">MAX(IF((HM_ZD_Moho!CA_cum_gross_sales_oil+HM_ZD_Moho!CA_gross_sales_lpg)&gt;=INDEX(HM_ZD_Moho!FA_SPO_cumprod_oil,3),HM_ZD_Moho!CA_rev_for_SPO*(INDEX(HM_ZD_Moho!FA_SPO_govt_rate,3)),
IF(AND((HM_ZD_Moho!CA_cum_gross_sales_oil+HM_ZD_Moho!CA_gross_sales_lpg)&lt;INDEX(HM_ZD_Moho!FA_SPO_cumprod_oil,3),
(HM_ZD_Moho!CA_cum_gross_sales_oil+HM_ZD_Moho!CA_gross_sales_lpg)&gt;=INDEX(HM_ZD_Moho!FA_SPO_cumprod_oil,2)),
(HM_ZD_Moho!CA_rev_for_SPO*(INDEX(HM_ZD_Moho!FA_SPO_govt_rate,2))-N313),(HM_ZD_Moho!CA_rev_for_SPO*(INDEX(HM_ZD_Moho!FA_SPO_govt_rate,1))-N313))),0)</f>
        <v>0</v>
      </c>
      <c r="O316" s="49">
        <f ca="1">MAX(IF((HM_ZD_Moho!CA_cum_gross_sales_oil+HM_ZD_Moho!CA_gross_sales_lpg)&gt;=INDEX(HM_ZD_Moho!FA_SPO_cumprod_oil,3),HM_ZD_Moho!CA_rev_for_SPO*(INDEX(HM_ZD_Moho!FA_SPO_govt_rate,3)),
IF(AND((HM_ZD_Moho!CA_cum_gross_sales_oil+HM_ZD_Moho!CA_gross_sales_lpg)&lt;INDEX(HM_ZD_Moho!FA_SPO_cumprod_oil,3),
(HM_ZD_Moho!CA_cum_gross_sales_oil+HM_ZD_Moho!CA_gross_sales_lpg)&gt;=INDEX(HM_ZD_Moho!FA_SPO_cumprod_oil,2)),
(HM_ZD_Moho!CA_rev_for_SPO*(INDEX(HM_ZD_Moho!FA_SPO_govt_rate,2))-O313),(HM_ZD_Moho!CA_rev_for_SPO*(INDEX(HM_ZD_Moho!FA_SPO_govt_rate,1))-O313))),0)</f>
        <v>0</v>
      </c>
      <c r="P316" s="49">
        <f ca="1">MAX(IF((HM_ZD_Moho!CA_cum_gross_sales_oil+HM_ZD_Moho!CA_gross_sales_lpg)&gt;=INDEX(HM_ZD_Moho!FA_SPO_cumprod_oil,3),HM_ZD_Moho!CA_rev_for_SPO*(INDEX(HM_ZD_Moho!FA_SPO_govt_rate,3)),
IF(AND((HM_ZD_Moho!CA_cum_gross_sales_oil+HM_ZD_Moho!CA_gross_sales_lpg)&lt;INDEX(HM_ZD_Moho!FA_SPO_cumprod_oil,3),
(HM_ZD_Moho!CA_cum_gross_sales_oil+HM_ZD_Moho!CA_gross_sales_lpg)&gt;=INDEX(HM_ZD_Moho!FA_SPO_cumprod_oil,2)),
(HM_ZD_Moho!CA_rev_for_SPO*(INDEX(HM_ZD_Moho!FA_SPO_govt_rate,2))-P313),(HM_ZD_Moho!CA_rev_for_SPO*(INDEX(HM_ZD_Moho!FA_SPO_govt_rate,1))-P313))),0)</f>
        <v>0</v>
      </c>
      <c r="Q316" s="49">
        <f ca="1">MAX(IF((HM_ZD_Moho!CA_cum_gross_sales_oil+HM_ZD_Moho!CA_gross_sales_lpg)&gt;=INDEX(HM_ZD_Moho!FA_SPO_cumprod_oil,3),HM_ZD_Moho!CA_rev_for_SPO*(INDEX(HM_ZD_Moho!FA_SPO_govt_rate,3)),
IF(AND((HM_ZD_Moho!CA_cum_gross_sales_oil+HM_ZD_Moho!CA_gross_sales_lpg)&lt;INDEX(HM_ZD_Moho!FA_SPO_cumprod_oil,3),
(HM_ZD_Moho!CA_cum_gross_sales_oil+HM_ZD_Moho!CA_gross_sales_lpg)&gt;=INDEX(HM_ZD_Moho!FA_SPO_cumprod_oil,2)),
(HM_ZD_Moho!CA_rev_for_SPO*(INDEX(HM_ZD_Moho!FA_SPO_govt_rate,2))-Q313),(HM_ZD_Moho!CA_rev_for_SPO*(INDEX(HM_ZD_Moho!FA_SPO_govt_rate,1))-Q313))),0)</f>
        <v>0</v>
      </c>
      <c r="R316" s="49">
        <f ca="1">MAX(IF((HM_ZD_Moho!CA_cum_gross_sales_oil+HM_ZD_Moho!CA_gross_sales_lpg)&gt;=INDEX(HM_ZD_Moho!FA_SPO_cumprod_oil,3),HM_ZD_Moho!CA_rev_for_SPO*(INDEX(HM_ZD_Moho!FA_SPO_govt_rate,3)),
IF(AND((HM_ZD_Moho!CA_cum_gross_sales_oil+HM_ZD_Moho!CA_gross_sales_lpg)&lt;INDEX(HM_ZD_Moho!FA_SPO_cumprod_oil,3),
(HM_ZD_Moho!CA_cum_gross_sales_oil+HM_ZD_Moho!CA_gross_sales_lpg)&gt;=INDEX(HM_ZD_Moho!FA_SPO_cumprod_oil,2)),
(HM_ZD_Moho!CA_rev_for_SPO*(INDEX(HM_ZD_Moho!FA_SPO_govt_rate,2))-R313),(HM_ZD_Moho!CA_rev_for_SPO*(INDEX(HM_ZD_Moho!FA_SPO_govt_rate,1))-R313))),0)</f>
        <v>0</v>
      </c>
      <c r="S316" s="49">
        <f ca="1">MAX(IF((HM_ZD_Moho!CA_cum_gross_sales_oil+HM_ZD_Moho!CA_gross_sales_lpg)&gt;=INDEX(HM_ZD_Moho!FA_SPO_cumprod_oil,3),HM_ZD_Moho!CA_rev_for_SPO*(INDEX(HM_ZD_Moho!FA_SPO_govt_rate,3)),
IF(AND((HM_ZD_Moho!CA_cum_gross_sales_oil+HM_ZD_Moho!CA_gross_sales_lpg)&lt;INDEX(HM_ZD_Moho!FA_SPO_cumprod_oil,3),
(HM_ZD_Moho!CA_cum_gross_sales_oil+HM_ZD_Moho!CA_gross_sales_lpg)&gt;=INDEX(HM_ZD_Moho!FA_SPO_cumprod_oil,2)),
(HM_ZD_Moho!CA_rev_for_SPO*(INDEX(HM_ZD_Moho!FA_SPO_govt_rate,2))-S313),(HM_ZD_Moho!CA_rev_for_SPO*(INDEX(HM_ZD_Moho!FA_SPO_govt_rate,1))-S313))),0)</f>
        <v>0</v>
      </c>
      <c r="T316" s="49">
        <f ca="1">MAX(IF((HM_ZD_Moho!CA_cum_gross_sales_oil+HM_ZD_Moho!CA_gross_sales_lpg)&gt;=INDEX(HM_ZD_Moho!FA_SPO_cumprod_oil,3),HM_ZD_Moho!CA_rev_for_SPO*(INDEX(HM_ZD_Moho!FA_SPO_govt_rate,3)),
IF(AND((HM_ZD_Moho!CA_cum_gross_sales_oil+HM_ZD_Moho!CA_gross_sales_lpg)&lt;INDEX(HM_ZD_Moho!FA_SPO_cumprod_oil,3),
(HM_ZD_Moho!CA_cum_gross_sales_oil+HM_ZD_Moho!CA_gross_sales_lpg)&gt;=INDEX(HM_ZD_Moho!FA_SPO_cumprod_oil,2)),
(HM_ZD_Moho!CA_rev_for_SPO*(INDEX(HM_ZD_Moho!FA_SPO_govt_rate,2))-T313),(HM_ZD_Moho!CA_rev_for_SPO*(INDEX(HM_ZD_Moho!FA_SPO_govt_rate,1))-T313))),0)</f>
        <v>0</v>
      </c>
      <c r="U316" s="49">
        <f ca="1">MAX(IF((HM_ZD_Moho!CA_cum_gross_sales_oil+HM_ZD_Moho!CA_gross_sales_lpg)&gt;=INDEX(HM_ZD_Moho!FA_SPO_cumprod_oil,3),HM_ZD_Moho!CA_rev_for_SPO*(INDEX(HM_ZD_Moho!FA_SPO_govt_rate,3)),
IF(AND((HM_ZD_Moho!CA_cum_gross_sales_oil+HM_ZD_Moho!CA_gross_sales_lpg)&lt;INDEX(HM_ZD_Moho!FA_SPO_cumprod_oil,3),
(HM_ZD_Moho!CA_cum_gross_sales_oil+HM_ZD_Moho!CA_gross_sales_lpg)&gt;=INDEX(HM_ZD_Moho!FA_SPO_cumprod_oil,2)),
(HM_ZD_Moho!CA_rev_for_SPO*(INDEX(HM_ZD_Moho!FA_SPO_govt_rate,2))-U313),(HM_ZD_Moho!CA_rev_for_SPO*(INDEX(HM_ZD_Moho!FA_SPO_govt_rate,1))-U313))),0)</f>
        <v>0</v>
      </c>
      <c r="V316" s="49">
        <f ca="1">MAX(IF((HM_ZD_Moho!CA_cum_gross_sales_oil+HM_ZD_Moho!CA_gross_sales_lpg)&gt;=INDEX(HM_ZD_Moho!FA_SPO_cumprod_oil,3),HM_ZD_Moho!CA_rev_for_SPO*(INDEX(HM_ZD_Moho!FA_SPO_govt_rate,3)),
IF(AND((HM_ZD_Moho!CA_cum_gross_sales_oil+HM_ZD_Moho!CA_gross_sales_lpg)&lt;INDEX(HM_ZD_Moho!FA_SPO_cumprod_oil,3),
(HM_ZD_Moho!CA_cum_gross_sales_oil+HM_ZD_Moho!CA_gross_sales_lpg)&gt;=INDEX(HM_ZD_Moho!FA_SPO_cumprod_oil,2)),
(HM_ZD_Moho!CA_rev_for_SPO*(INDEX(HM_ZD_Moho!FA_SPO_govt_rate,2))-V313),(HM_ZD_Moho!CA_rev_for_SPO*(INDEX(HM_ZD_Moho!FA_SPO_govt_rate,1))-V313))),0)</f>
        <v>0</v>
      </c>
      <c r="W316" s="49">
        <f ca="1">MAX(IF((HM_ZD_Moho!CA_cum_gross_sales_oil+HM_ZD_Moho!CA_gross_sales_lpg)&gt;=INDEX(HM_ZD_Moho!FA_SPO_cumprod_oil,3),HM_ZD_Moho!CA_rev_for_SPO*(INDEX(HM_ZD_Moho!FA_SPO_govt_rate,3)),
IF(AND((HM_ZD_Moho!CA_cum_gross_sales_oil+HM_ZD_Moho!CA_gross_sales_lpg)&lt;INDEX(HM_ZD_Moho!FA_SPO_cumprod_oil,3),
(HM_ZD_Moho!CA_cum_gross_sales_oil+HM_ZD_Moho!CA_gross_sales_lpg)&gt;=INDEX(HM_ZD_Moho!FA_SPO_cumprod_oil,2)),
(HM_ZD_Moho!CA_rev_for_SPO*(INDEX(HM_ZD_Moho!FA_SPO_govt_rate,2))-W313),(HM_ZD_Moho!CA_rev_for_SPO*(INDEX(HM_ZD_Moho!FA_SPO_govt_rate,1))-W313))),0)</f>
        <v>97.786233342857045</v>
      </c>
      <c r="X316" s="49">
        <f ca="1">MAX(IF((HM_ZD_Moho!CA_cum_gross_sales_oil+HM_ZD_Moho!CA_gross_sales_lpg)&gt;=INDEX(HM_ZD_Moho!FA_SPO_cumprod_oil,3),HM_ZD_Moho!CA_rev_for_SPO*(INDEX(HM_ZD_Moho!FA_SPO_govt_rate,3)),
IF(AND((HM_ZD_Moho!CA_cum_gross_sales_oil+HM_ZD_Moho!CA_gross_sales_lpg)&lt;INDEX(HM_ZD_Moho!FA_SPO_cumprod_oil,3),
(HM_ZD_Moho!CA_cum_gross_sales_oil+HM_ZD_Moho!CA_gross_sales_lpg)&gt;=INDEX(HM_ZD_Moho!FA_SPO_cumprod_oil,2)),
(HM_ZD_Moho!CA_rev_for_SPO*(INDEX(HM_ZD_Moho!FA_SPO_govt_rate,2))-X313),(HM_ZD_Moho!CA_rev_for_SPO*(INDEX(HM_ZD_Moho!FA_SPO_govt_rate,1))-X313))),0)</f>
        <v>92.760020949034086</v>
      </c>
      <c r="Y316" s="49">
        <f ca="1">MAX(IF((HM_ZD_Moho!CA_cum_gross_sales_oil+HM_ZD_Moho!CA_gross_sales_lpg)&gt;=INDEX(HM_ZD_Moho!FA_SPO_cumprod_oil,3),HM_ZD_Moho!CA_rev_for_SPO*(INDEX(HM_ZD_Moho!FA_SPO_govt_rate,3)),
IF(AND((HM_ZD_Moho!CA_cum_gross_sales_oil+HM_ZD_Moho!CA_gross_sales_lpg)&lt;INDEX(HM_ZD_Moho!FA_SPO_cumprod_oil,3),
(HM_ZD_Moho!CA_cum_gross_sales_oil+HM_ZD_Moho!CA_gross_sales_lpg)&gt;=INDEX(HM_ZD_Moho!FA_SPO_cumprod_oil,2)),
(HM_ZD_Moho!CA_rev_for_SPO*(INDEX(HM_ZD_Moho!FA_SPO_govt_rate,2))-Y313),(HM_ZD_Moho!CA_rev_for_SPO*(INDEX(HM_ZD_Moho!FA_SPO_govt_rate,1))-Y313))),0)</f>
        <v>0</v>
      </c>
      <c r="Z316" s="49">
        <f ca="1">MAX(IF((HM_ZD_Moho!CA_cum_gross_sales_oil+HM_ZD_Moho!CA_gross_sales_lpg)&gt;=INDEX(HM_ZD_Moho!FA_SPO_cumprod_oil,3),HM_ZD_Moho!CA_rev_for_SPO*(INDEX(HM_ZD_Moho!FA_SPO_govt_rate,3)),
IF(AND((HM_ZD_Moho!CA_cum_gross_sales_oil+HM_ZD_Moho!CA_gross_sales_lpg)&lt;INDEX(HM_ZD_Moho!FA_SPO_cumprod_oil,3),
(HM_ZD_Moho!CA_cum_gross_sales_oil+HM_ZD_Moho!CA_gross_sales_lpg)&gt;=INDEX(HM_ZD_Moho!FA_SPO_cumprod_oil,2)),
(HM_ZD_Moho!CA_rev_for_SPO*(INDEX(HM_ZD_Moho!FA_SPO_govt_rate,2))-Z313),(HM_ZD_Moho!CA_rev_for_SPO*(INDEX(HM_ZD_Moho!FA_SPO_govt_rate,1))-Z313))),0)</f>
        <v>0</v>
      </c>
      <c r="AA316" s="49">
        <f ca="1">MAX(IF((HM_ZD_Moho!CA_cum_gross_sales_oil+HM_ZD_Moho!CA_gross_sales_lpg)&gt;=INDEX(HM_ZD_Moho!FA_SPO_cumprod_oil,3),HM_ZD_Moho!CA_rev_for_SPO*(INDEX(HM_ZD_Moho!FA_SPO_govt_rate,3)),
IF(AND((HM_ZD_Moho!CA_cum_gross_sales_oil+HM_ZD_Moho!CA_gross_sales_lpg)&lt;INDEX(HM_ZD_Moho!FA_SPO_cumprod_oil,3),
(HM_ZD_Moho!CA_cum_gross_sales_oil+HM_ZD_Moho!CA_gross_sales_lpg)&gt;=INDEX(HM_ZD_Moho!FA_SPO_cumprod_oil,2)),
(HM_ZD_Moho!CA_rev_for_SPO*(INDEX(HM_ZD_Moho!FA_SPO_govt_rate,2))-AA313),(HM_ZD_Moho!CA_rev_for_SPO*(INDEX(HM_ZD_Moho!FA_SPO_govt_rate,1))-AA313))),0)</f>
        <v>0</v>
      </c>
      <c r="AB316" s="49">
        <f ca="1">MAX(IF((HM_ZD_Moho!CA_cum_gross_sales_oil+HM_ZD_Moho!CA_gross_sales_lpg)&gt;=INDEX(HM_ZD_Moho!FA_SPO_cumprod_oil,3),HM_ZD_Moho!CA_rev_for_SPO*(INDEX(HM_ZD_Moho!FA_SPO_govt_rate,3)),
IF(AND((HM_ZD_Moho!CA_cum_gross_sales_oil+HM_ZD_Moho!CA_gross_sales_lpg)&lt;INDEX(HM_ZD_Moho!FA_SPO_cumprod_oil,3),
(HM_ZD_Moho!CA_cum_gross_sales_oil+HM_ZD_Moho!CA_gross_sales_lpg)&gt;=INDEX(HM_ZD_Moho!FA_SPO_cumprod_oil,2)),
(HM_ZD_Moho!CA_rev_for_SPO*(INDEX(HM_ZD_Moho!FA_SPO_govt_rate,2))-AB313),(HM_ZD_Moho!CA_rev_for_SPO*(INDEX(HM_ZD_Moho!FA_SPO_govt_rate,1))-AB313))),0)</f>
        <v>0</v>
      </c>
      <c r="AC316" s="49">
        <f ca="1">MAX(IF((HM_ZD_Moho!CA_cum_gross_sales_oil+HM_ZD_Moho!CA_gross_sales_lpg)&gt;=INDEX(HM_ZD_Moho!FA_SPO_cumprod_oil,3),HM_ZD_Moho!CA_rev_for_SPO*(INDEX(HM_ZD_Moho!FA_SPO_govt_rate,3)),
IF(AND((HM_ZD_Moho!CA_cum_gross_sales_oil+HM_ZD_Moho!CA_gross_sales_lpg)&lt;INDEX(HM_ZD_Moho!FA_SPO_cumprod_oil,3),
(HM_ZD_Moho!CA_cum_gross_sales_oil+HM_ZD_Moho!CA_gross_sales_lpg)&gt;=INDEX(HM_ZD_Moho!FA_SPO_cumprod_oil,2)),
(HM_ZD_Moho!CA_rev_for_SPO*(INDEX(HM_ZD_Moho!FA_SPO_govt_rate,2))-AC313),(HM_ZD_Moho!CA_rev_for_SPO*(INDEX(HM_ZD_Moho!FA_SPO_govt_rate,1))-AC313))),0)</f>
        <v>0</v>
      </c>
      <c r="AD316" s="49">
        <f ca="1">MAX(IF((HM_ZD_Moho!CA_cum_gross_sales_oil+HM_ZD_Moho!CA_gross_sales_lpg)&gt;=INDEX(HM_ZD_Moho!FA_SPO_cumprod_oil,3),HM_ZD_Moho!CA_rev_for_SPO*(INDEX(HM_ZD_Moho!FA_SPO_govt_rate,3)),
IF(AND((HM_ZD_Moho!CA_cum_gross_sales_oil+HM_ZD_Moho!CA_gross_sales_lpg)&lt;INDEX(HM_ZD_Moho!FA_SPO_cumprod_oil,3),
(HM_ZD_Moho!CA_cum_gross_sales_oil+HM_ZD_Moho!CA_gross_sales_lpg)&gt;=INDEX(HM_ZD_Moho!FA_SPO_cumprod_oil,2)),
(HM_ZD_Moho!CA_rev_for_SPO*(INDEX(HM_ZD_Moho!FA_SPO_govt_rate,2))-AD313),(HM_ZD_Moho!CA_rev_for_SPO*(INDEX(HM_ZD_Moho!FA_SPO_govt_rate,1))-AD313))),0)</f>
        <v>0</v>
      </c>
      <c r="AE316" s="49">
        <f ca="1">MAX(IF((HM_ZD_Moho!CA_cum_gross_sales_oil+HM_ZD_Moho!CA_gross_sales_lpg)&gt;=INDEX(HM_ZD_Moho!FA_SPO_cumprod_oil,3),HM_ZD_Moho!CA_rev_for_SPO*(INDEX(HM_ZD_Moho!FA_SPO_govt_rate,3)),
IF(AND((HM_ZD_Moho!CA_cum_gross_sales_oil+HM_ZD_Moho!CA_gross_sales_lpg)&lt;INDEX(HM_ZD_Moho!FA_SPO_cumprod_oil,3),
(HM_ZD_Moho!CA_cum_gross_sales_oil+HM_ZD_Moho!CA_gross_sales_lpg)&gt;=INDEX(HM_ZD_Moho!FA_SPO_cumprod_oil,2)),
(HM_ZD_Moho!CA_rev_for_SPO*(INDEX(HM_ZD_Moho!FA_SPO_govt_rate,2))-AE313),(HM_ZD_Moho!CA_rev_for_SPO*(INDEX(HM_ZD_Moho!FA_SPO_govt_rate,1))-AE313))),0)</f>
        <v>0</v>
      </c>
      <c r="AF316" s="49">
        <f ca="1">MAX(IF((HM_ZD_Moho!CA_cum_gross_sales_oil+HM_ZD_Moho!CA_gross_sales_lpg)&gt;=INDEX(HM_ZD_Moho!FA_SPO_cumprod_oil,3),HM_ZD_Moho!CA_rev_for_SPO*(INDEX(HM_ZD_Moho!FA_SPO_govt_rate,3)),
IF(AND((HM_ZD_Moho!CA_cum_gross_sales_oil+HM_ZD_Moho!CA_gross_sales_lpg)&lt;INDEX(HM_ZD_Moho!FA_SPO_cumprod_oil,3),
(HM_ZD_Moho!CA_cum_gross_sales_oil+HM_ZD_Moho!CA_gross_sales_lpg)&gt;=INDEX(HM_ZD_Moho!FA_SPO_cumprod_oil,2)),
(HM_ZD_Moho!CA_rev_for_SPO*(INDEX(HM_ZD_Moho!FA_SPO_govt_rate,2))-AF313),(HM_ZD_Moho!CA_rev_for_SPO*(INDEX(HM_ZD_Moho!FA_SPO_govt_rate,1))-AF313))),0)</f>
        <v>0</v>
      </c>
      <c r="AG316" s="49">
        <f ca="1">MAX(IF((HM_ZD_Moho!CA_cum_gross_sales_oil+HM_ZD_Moho!CA_gross_sales_lpg)&gt;=INDEX(HM_ZD_Moho!FA_SPO_cumprod_oil,3),HM_ZD_Moho!CA_rev_for_SPO*(INDEX(HM_ZD_Moho!FA_SPO_govt_rate,3)),
IF(AND((HM_ZD_Moho!CA_cum_gross_sales_oil+HM_ZD_Moho!CA_gross_sales_lpg)&lt;INDEX(HM_ZD_Moho!FA_SPO_cumprod_oil,3),
(HM_ZD_Moho!CA_cum_gross_sales_oil+HM_ZD_Moho!CA_gross_sales_lpg)&gt;=INDEX(HM_ZD_Moho!FA_SPO_cumprod_oil,2)),
(HM_ZD_Moho!CA_rev_for_SPO*(INDEX(HM_ZD_Moho!FA_SPO_govt_rate,2))-AG313),(HM_ZD_Moho!CA_rev_for_SPO*(INDEX(HM_ZD_Moho!FA_SPO_govt_rate,1))-AG313))),0)</f>
        <v>0</v>
      </c>
      <c r="AH316" s="49">
        <f ca="1">MAX(IF((HM_ZD_Moho!CA_cum_gross_sales_oil+HM_ZD_Moho!CA_gross_sales_lpg)&gt;=INDEX(HM_ZD_Moho!FA_SPO_cumprod_oil,3),HM_ZD_Moho!CA_rev_for_SPO*(INDEX(HM_ZD_Moho!FA_SPO_govt_rate,3)),
IF(AND((HM_ZD_Moho!CA_cum_gross_sales_oil+HM_ZD_Moho!CA_gross_sales_lpg)&lt;INDEX(HM_ZD_Moho!FA_SPO_cumprod_oil,3),
(HM_ZD_Moho!CA_cum_gross_sales_oil+HM_ZD_Moho!CA_gross_sales_lpg)&gt;=INDEX(HM_ZD_Moho!FA_SPO_cumprod_oil,2)),
(HM_ZD_Moho!CA_rev_for_SPO*(INDEX(HM_ZD_Moho!FA_SPO_govt_rate,2))-AH313),(HM_ZD_Moho!CA_rev_for_SPO*(INDEX(HM_ZD_Moho!FA_SPO_govt_rate,1))-AH313))),0)</f>
        <v>0</v>
      </c>
      <c r="AI316" s="49">
        <f ca="1">MAX(IF((HM_ZD_Moho!CA_cum_gross_sales_oil+HM_ZD_Moho!CA_gross_sales_lpg)&gt;=INDEX(HM_ZD_Moho!FA_SPO_cumprod_oil,3),HM_ZD_Moho!CA_rev_for_SPO*(INDEX(HM_ZD_Moho!FA_SPO_govt_rate,3)),
IF(AND((HM_ZD_Moho!CA_cum_gross_sales_oil+HM_ZD_Moho!CA_gross_sales_lpg)&lt;INDEX(HM_ZD_Moho!FA_SPO_cumprod_oil,3),
(HM_ZD_Moho!CA_cum_gross_sales_oil+HM_ZD_Moho!CA_gross_sales_lpg)&gt;=INDEX(HM_ZD_Moho!FA_SPO_cumprod_oil,2)),
(HM_ZD_Moho!CA_rev_for_SPO*(INDEX(HM_ZD_Moho!FA_SPO_govt_rate,2))-AI313),(HM_ZD_Moho!CA_rev_for_SPO*(INDEX(HM_ZD_Moho!FA_SPO_govt_rate,1))-AI313))),0)</f>
        <v>0</v>
      </c>
      <c r="AJ316" s="49">
        <f ca="1">MAX(IF((HM_ZD_Moho!CA_cum_gross_sales_oil+HM_ZD_Moho!CA_gross_sales_lpg)&gt;=INDEX(HM_ZD_Moho!FA_SPO_cumprod_oil,3),HM_ZD_Moho!CA_rev_for_SPO*(INDEX(HM_ZD_Moho!FA_SPO_govt_rate,3)),
IF(AND((HM_ZD_Moho!CA_cum_gross_sales_oil+HM_ZD_Moho!CA_gross_sales_lpg)&lt;INDEX(HM_ZD_Moho!FA_SPO_cumprod_oil,3),
(HM_ZD_Moho!CA_cum_gross_sales_oil+HM_ZD_Moho!CA_gross_sales_lpg)&gt;=INDEX(HM_ZD_Moho!FA_SPO_cumprod_oil,2)),
(HM_ZD_Moho!CA_rev_for_SPO*(INDEX(HM_ZD_Moho!FA_SPO_govt_rate,2))-AJ313),(HM_ZD_Moho!CA_rev_for_SPO*(INDEX(HM_ZD_Moho!FA_SPO_govt_rate,1))-AJ313))),0)</f>
        <v>0</v>
      </c>
      <c r="AK316" s="49">
        <f ca="1">MAX(IF((HM_ZD_Moho!CA_cum_gross_sales_oil+HM_ZD_Moho!CA_gross_sales_lpg)&gt;=INDEX(HM_ZD_Moho!FA_SPO_cumprod_oil,3),HM_ZD_Moho!CA_rev_for_SPO*(INDEX(HM_ZD_Moho!FA_SPO_govt_rate,3)),
IF(AND((HM_ZD_Moho!CA_cum_gross_sales_oil+HM_ZD_Moho!CA_gross_sales_lpg)&lt;INDEX(HM_ZD_Moho!FA_SPO_cumprod_oil,3),
(HM_ZD_Moho!CA_cum_gross_sales_oil+HM_ZD_Moho!CA_gross_sales_lpg)&gt;=INDEX(HM_ZD_Moho!FA_SPO_cumprod_oil,2)),
(HM_ZD_Moho!CA_rev_for_SPO*(INDEX(HM_ZD_Moho!FA_SPO_govt_rate,2))-AK313),(HM_ZD_Moho!CA_rev_for_SPO*(INDEX(HM_ZD_Moho!FA_SPO_govt_rate,1))-AK313))),0)</f>
        <v>0</v>
      </c>
      <c r="AL316" s="49">
        <f ca="1">MAX(IF((HM_ZD_Moho!CA_cum_gross_sales_oil+HM_ZD_Moho!CA_gross_sales_lpg)&gt;=INDEX(HM_ZD_Moho!FA_SPO_cumprod_oil,3),HM_ZD_Moho!CA_rev_for_SPO*(INDEX(HM_ZD_Moho!FA_SPO_govt_rate,3)),
IF(AND((HM_ZD_Moho!CA_cum_gross_sales_oil+HM_ZD_Moho!CA_gross_sales_lpg)&lt;INDEX(HM_ZD_Moho!FA_SPO_cumprod_oil,3),
(HM_ZD_Moho!CA_cum_gross_sales_oil+HM_ZD_Moho!CA_gross_sales_lpg)&gt;=INDEX(HM_ZD_Moho!FA_SPO_cumprod_oil,2)),
(HM_ZD_Moho!CA_rev_for_SPO*(INDEX(HM_ZD_Moho!FA_SPO_govt_rate,2))-AL313),(HM_ZD_Moho!CA_rev_for_SPO*(INDEX(HM_ZD_Moho!FA_SPO_govt_rate,1))-AL313))),0)</f>
        <v>0</v>
      </c>
      <c r="AM316" s="49">
        <f ca="1">MAX(IF((HM_ZD_Moho!CA_cum_gross_sales_oil+HM_ZD_Moho!CA_gross_sales_lpg)&gt;=INDEX(HM_ZD_Moho!FA_SPO_cumprod_oil,3),HM_ZD_Moho!CA_rev_for_SPO*(INDEX(HM_ZD_Moho!FA_SPO_govt_rate,3)),
IF(AND((HM_ZD_Moho!CA_cum_gross_sales_oil+HM_ZD_Moho!CA_gross_sales_lpg)&lt;INDEX(HM_ZD_Moho!FA_SPO_cumprod_oil,3),
(HM_ZD_Moho!CA_cum_gross_sales_oil+HM_ZD_Moho!CA_gross_sales_lpg)&gt;=INDEX(HM_ZD_Moho!FA_SPO_cumprod_oil,2)),
(HM_ZD_Moho!CA_rev_for_SPO*(INDEX(HM_ZD_Moho!FA_SPO_govt_rate,2))-AM313),(HM_ZD_Moho!CA_rev_for_SPO*(INDEX(HM_ZD_Moho!FA_SPO_govt_rate,1))-AM313))),0)</f>
        <v>0</v>
      </c>
      <c r="AN316" s="49">
        <f ca="1">MAX(IF((HM_ZD_Moho!CA_cum_gross_sales_oil+HM_ZD_Moho!CA_gross_sales_lpg)&gt;=INDEX(HM_ZD_Moho!FA_SPO_cumprod_oil,3),HM_ZD_Moho!CA_rev_for_SPO*(INDEX(HM_ZD_Moho!FA_SPO_govt_rate,3)),
IF(AND((HM_ZD_Moho!CA_cum_gross_sales_oil+HM_ZD_Moho!CA_gross_sales_lpg)&lt;INDEX(HM_ZD_Moho!FA_SPO_cumprod_oil,3),
(HM_ZD_Moho!CA_cum_gross_sales_oil+HM_ZD_Moho!CA_gross_sales_lpg)&gt;=INDEX(HM_ZD_Moho!FA_SPO_cumprod_oil,2)),
(HM_ZD_Moho!CA_rev_for_SPO*(INDEX(HM_ZD_Moho!FA_SPO_govt_rate,2))-AN313),(HM_ZD_Moho!CA_rev_for_SPO*(INDEX(HM_ZD_Moho!FA_SPO_govt_rate,1))-AN313))),0)</f>
        <v>0</v>
      </c>
      <c r="AO316" s="49">
        <f ca="1">MAX(IF((HM_ZD_Moho!CA_cum_gross_sales_oil+HM_ZD_Moho!CA_gross_sales_lpg)&gt;=INDEX(HM_ZD_Moho!FA_SPO_cumprod_oil,3),HM_ZD_Moho!CA_rev_for_SPO*(INDEX(HM_ZD_Moho!FA_SPO_govt_rate,3)),
IF(AND((HM_ZD_Moho!CA_cum_gross_sales_oil+HM_ZD_Moho!CA_gross_sales_lpg)&lt;INDEX(HM_ZD_Moho!FA_SPO_cumprod_oil,3),
(HM_ZD_Moho!CA_cum_gross_sales_oil+HM_ZD_Moho!CA_gross_sales_lpg)&gt;=INDEX(HM_ZD_Moho!FA_SPO_cumprod_oil,2)),
(HM_ZD_Moho!CA_rev_for_SPO*(INDEX(HM_ZD_Moho!FA_SPO_govt_rate,2))-AO313),(HM_ZD_Moho!CA_rev_for_SPO*(INDEX(HM_ZD_Moho!FA_SPO_govt_rate,1))-AO313))),0)</f>
        <v>0</v>
      </c>
      <c r="AP316" s="49">
        <f ca="1">MAX(IF((HM_ZD_Moho!CA_cum_gross_sales_oil+HM_ZD_Moho!CA_gross_sales_lpg)&gt;=INDEX(HM_ZD_Moho!FA_SPO_cumprod_oil,3),HM_ZD_Moho!CA_rev_for_SPO*(INDEX(HM_ZD_Moho!FA_SPO_govt_rate,3)),
IF(AND((HM_ZD_Moho!CA_cum_gross_sales_oil+HM_ZD_Moho!CA_gross_sales_lpg)&lt;INDEX(HM_ZD_Moho!FA_SPO_cumprod_oil,3),
(HM_ZD_Moho!CA_cum_gross_sales_oil+HM_ZD_Moho!CA_gross_sales_lpg)&gt;=INDEX(HM_ZD_Moho!FA_SPO_cumprod_oil,2)),
(HM_ZD_Moho!CA_rev_for_SPO*(INDEX(HM_ZD_Moho!FA_SPO_govt_rate,2))-AP313),(HM_ZD_Moho!CA_rev_for_SPO*(INDEX(HM_ZD_Moho!FA_SPO_govt_rate,1))-AP313))),0)</f>
        <v>0</v>
      </c>
      <c r="AQ316" s="49">
        <f ca="1">MAX(IF((HM_ZD_Moho!CA_cum_gross_sales_oil+HM_ZD_Moho!CA_gross_sales_lpg)&gt;=INDEX(HM_ZD_Moho!FA_SPO_cumprod_oil,3),HM_ZD_Moho!CA_rev_for_SPO*(INDEX(HM_ZD_Moho!FA_SPO_govt_rate,3)),
IF(AND((HM_ZD_Moho!CA_cum_gross_sales_oil+HM_ZD_Moho!CA_gross_sales_lpg)&lt;INDEX(HM_ZD_Moho!FA_SPO_cumprod_oil,3),
(HM_ZD_Moho!CA_cum_gross_sales_oil+HM_ZD_Moho!CA_gross_sales_lpg)&gt;=INDEX(HM_ZD_Moho!FA_SPO_cumprod_oil,2)),
(HM_ZD_Moho!CA_rev_for_SPO*(INDEX(HM_ZD_Moho!FA_SPO_govt_rate,2))-AQ313),(HM_ZD_Moho!CA_rev_for_SPO*(INDEX(HM_ZD_Moho!FA_SPO_govt_rate,1))-AQ313))),0)</f>
        <v>0</v>
      </c>
      <c r="AR316" s="49">
        <f ca="1">MAX(IF((HM_ZD_Moho!CA_cum_gross_sales_oil+HM_ZD_Moho!CA_gross_sales_lpg)&gt;=INDEX(HM_ZD_Moho!FA_SPO_cumprod_oil,3),HM_ZD_Moho!CA_rev_for_SPO*(INDEX(HM_ZD_Moho!FA_SPO_govt_rate,3)),
IF(AND((HM_ZD_Moho!CA_cum_gross_sales_oil+HM_ZD_Moho!CA_gross_sales_lpg)&lt;INDEX(HM_ZD_Moho!FA_SPO_cumprod_oil,3),
(HM_ZD_Moho!CA_cum_gross_sales_oil+HM_ZD_Moho!CA_gross_sales_lpg)&gt;=INDEX(HM_ZD_Moho!FA_SPO_cumprod_oil,2)),
(HM_ZD_Moho!CA_rev_for_SPO*(INDEX(HM_ZD_Moho!FA_SPO_govt_rate,2))-AR313),(HM_ZD_Moho!CA_rev_for_SPO*(INDEX(HM_ZD_Moho!FA_SPO_govt_rate,1))-AR313))),0)</f>
        <v>0</v>
      </c>
      <c r="AS316" s="49">
        <f ca="1">MAX(IF((HM_ZD_Moho!CA_cum_gross_sales_oil+HM_ZD_Moho!CA_gross_sales_lpg)&gt;=INDEX(HM_ZD_Moho!FA_SPO_cumprod_oil,3),HM_ZD_Moho!CA_rev_for_SPO*(INDEX(HM_ZD_Moho!FA_SPO_govt_rate,3)),
IF(AND((HM_ZD_Moho!CA_cum_gross_sales_oil+HM_ZD_Moho!CA_gross_sales_lpg)&lt;INDEX(HM_ZD_Moho!FA_SPO_cumprod_oil,3),
(HM_ZD_Moho!CA_cum_gross_sales_oil+HM_ZD_Moho!CA_gross_sales_lpg)&gt;=INDEX(HM_ZD_Moho!FA_SPO_cumprod_oil,2)),
(HM_ZD_Moho!CA_rev_for_SPO*(INDEX(HM_ZD_Moho!FA_SPO_govt_rate,2))-AS313),(HM_ZD_Moho!CA_rev_for_SPO*(INDEX(HM_ZD_Moho!FA_SPO_govt_rate,1))-AS313))),0)</f>
        <v>0</v>
      </c>
      <c r="AT316" s="49">
        <f ca="1">MAX(IF((HM_ZD_Moho!CA_cum_gross_sales_oil+HM_ZD_Moho!CA_gross_sales_lpg)&gt;=INDEX(HM_ZD_Moho!FA_SPO_cumprod_oil,3),HM_ZD_Moho!CA_rev_for_SPO*(INDEX(HM_ZD_Moho!FA_SPO_govt_rate,3)),
IF(AND((HM_ZD_Moho!CA_cum_gross_sales_oil+HM_ZD_Moho!CA_gross_sales_lpg)&lt;INDEX(HM_ZD_Moho!FA_SPO_cumprod_oil,3),
(HM_ZD_Moho!CA_cum_gross_sales_oil+HM_ZD_Moho!CA_gross_sales_lpg)&gt;=INDEX(HM_ZD_Moho!FA_SPO_cumprod_oil,2)),
(HM_ZD_Moho!CA_rev_for_SPO*(INDEX(HM_ZD_Moho!FA_SPO_govt_rate,2))-AT313),(HM_ZD_Moho!CA_rev_for_SPO*(INDEX(HM_ZD_Moho!FA_SPO_govt_rate,1))-AT313))),0)</f>
        <v>0</v>
      </c>
      <c r="AU316" s="49">
        <f ca="1">MAX(IF((HM_ZD_Moho!CA_cum_gross_sales_oil+HM_ZD_Moho!CA_gross_sales_lpg)&gt;=INDEX(HM_ZD_Moho!FA_SPO_cumprod_oil,3),HM_ZD_Moho!CA_rev_for_SPO*(INDEX(HM_ZD_Moho!FA_SPO_govt_rate,3)),
IF(AND((HM_ZD_Moho!CA_cum_gross_sales_oil+HM_ZD_Moho!CA_gross_sales_lpg)&lt;INDEX(HM_ZD_Moho!FA_SPO_cumprod_oil,3),
(HM_ZD_Moho!CA_cum_gross_sales_oil+HM_ZD_Moho!CA_gross_sales_lpg)&gt;=INDEX(HM_ZD_Moho!FA_SPO_cumprod_oil,2)),
(HM_ZD_Moho!CA_rev_for_SPO*(INDEX(HM_ZD_Moho!FA_SPO_govt_rate,2))-AU313),(HM_ZD_Moho!CA_rev_for_SPO*(INDEX(HM_ZD_Moho!FA_SPO_govt_rate,1))-AU313))),0)</f>
        <v>0</v>
      </c>
      <c r="AV316" s="49">
        <f ca="1">MAX(IF((HM_ZD_Moho!CA_cum_gross_sales_oil+HM_ZD_Moho!CA_gross_sales_lpg)&gt;=INDEX(HM_ZD_Moho!FA_SPO_cumprod_oil,3),HM_ZD_Moho!CA_rev_for_SPO*(INDEX(HM_ZD_Moho!FA_SPO_govt_rate,3)),
IF(AND((HM_ZD_Moho!CA_cum_gross_sales_oil+HM_ZD_Moho!CA_gross_sales_lpg)&lt;INDEX(HM_ZD_Moho!FA_SPO_cumprod_oil,3),
(HM_ZD_Moho!CA_cum_gross_sales_oil+HM_ZD_Moho!CA_gross_sales_lpg)&gt;=INDEX(HM_ZD_Moho!FA_SPO_cumprod_oil,2)),
(HM_ZD_Moho!CA_rev_for_SPO*(INDEX(HM_ZD_Moho!FA_SPO_govt_rate,2))-AV313),(HM_ZD_Moho!CA_rev_for_SPO*(INDEX(HM_ZD_Moho!FA_SPO_govt_rate,1))-AV313))),0)</f>
        <v>0</v>
      </c>
      <c r="AW316" s="49">
        <f ca="1">MAX(IF((HM_ZD_Moho!CA_cum_gross_sales_oil+HM_ZD_Moho!CA_gross_sales_lpg)&gt;=INDEX(HM_ZD_Moho!FA_SPO_cumprod_oil,3),HM_ZD_Moho!CA_rev_for_SPO*(INDEX(HM_ZD_Moho!FA_SPO_govt_rate,3)),
IF(AND((HM_ZD_Moho!CA_cum_gross_sales_oil+HM_ZD_Moho!CA_gross_sales_lpg)&lt;INDEX(HM_ZD_Moho!FA_SPO_cumprod_oil,3),
(HM_ZD_Moho!CA_cum_gross_sales_oil+HM_ZD_Moho!CA_gross_sales_lpg)&gt;=INDEX(HM_ZD_Moho!FA_SPO_cumprod_oil,2)),
(HM_ZD_Moho!CA_rev_for_SPO*(INDEX(HM_ZD_Moho!FA_SPO_govt_rate,2))-AW313),(HM_ZD_Moho!CA_rev_for_SPO*(INDEX(HM_ZD_Moho!FA_SPO_govt_rate,1))-AW313))),0)</f>
        <v>0</v>
      </c>
      <c r="AX316" s="49">
        <f ca="1">MAX(IF((HM_ZD_Moho!CA_cum_gross_sales_oil+HM_ZD_Moho!CA_gross_sales_lpg)&gt;=INDEX(HM_ZD_Moho!FA_SPO_cumprod_oil,3),HM_ZD_Moho!CA_rev_for_SPO*(INDEX(HM_ZD_Moho!FA_SPO_govt_rate,3)),
IF(AND((HM_ZD_Moho!CA_cum_gross_sales_oil+HM_ZD_Moho!CA_gross_sales_lpg)&lt;INDEX(HM_ZD_Moho!FA_SPO_cumprod_oil,3),
(HM_ZD_Moho!CA_cum_gross_sales_oil+HM_ZD_Moho!CA_gross_sales_lpg)&gt;=INDEX(HM_ZD_Moho!FA_SPO_cumprod_oil,2)),
(HM_ZD_Moho!CA_rev_for_SPO*(INDEX(HM_ZD_Moho!FA_SPO_govt_rate,2))-AX313),(HM_ZD_Moho!CA_rev_for_SPO*(INDEX(HM_ZD_Moho!FA_SPO_govt_rate,1))-AX313))),0)</f>
        <v>0</v>
      </c>
      <c r="AY316" s="49">
        <f ca="1">MAX(IF((HM_ZD_Moho!CA_cum_gross_sales_oil+HM_ZD_Moho!CA_gross_sales_lpg)&gt;=INDEX(HM_ZD_Moho!FA_SPO_cumprod_oil,3),HM_ZD_Moho!CA_rev_for_SPO*(INDEX(HM_ZD_Moho!FA_SPO_govt_rate,3)),
IF(AND((HM_ZD_Moho!CA_cum_gross_sales_oil+HM_ZD_Moho!CA_gross_sales_lpg)&lt;INDEX(HM_ZD_Moho!FA_SPO_cumprod_oil,3),
(HM_ZD_Moho!CA_cum_gross_sales_oil+HM_ZD_Moho!CA_gross_sales_lpg)&gt;=INDEX(HM_ZD_Moho!FA_SPO_cumprod_oil,2)),
(HM_ZD_Moho!CA_rev_for_SPO*(INDEX(HM_ZD_Moho!FA_SPO_govt_rate,2))-AY313),(HM_ZD_Moho!CA_rev_for_SPO*(INDEX(HM_ZD_Moho!FA_SPO_govt_rate,1))-AY313))),0)</f>
        <v>0</v>
      </c>
      <c r="AZ316" s="49">
        <f ca="1">MAX(IF((HM_ZD_Moho!CA_cum_gross_sales_oil+HM_ZD_Moho!CA_gross_sales_lpg)&gt;=INDEX(HM_ZD_Moho!FA_SPO_cumprod_oil,3),HM_ZD_Moho!CA_rev_for_SPO*(INDEX(HM_ZD_Moho!FA_SPO_govt_rate,3)),
IF(AND((HM_ZD_Moho!CA_cum_gross_sales_oil+HM_ZD_Moho!CA_gross_sales_lpg)&lt;INDEX(HM_ZD_Moho!FA_SPO_cumprod_oil,3),
(HM_ZD_Moho!CA_cum_gross_sales_oil+HM_ZD_Moho!CA_gross_sales_lpg)&gt;=INDEX(HM_ZD_Moho!FA_SPO_cumprod_oil,2)),
(HM_ZD_Moho!CA_rev_for_SPO*(INDEX(HM_ZD_Moho!FA_SPO_govt_rate,2))-AZ313),(HM_ZD_Moho!CA_rev_for_SPO*(INDEX(HM_ZD_Moho!FA_SPO_govt_rate,1))-AZ313))),0)</f>
        <v>0</v>
      </c>
      <c r="BA316" s="49">
        <f ca="1">MAX(IF((HM_ZD_Moho!CA_cum_gross_sales_oil+HM_ZD_Moho!CA_gross_sales_lpg)&gt;=INDEX(HM_ZD_Moho!FA_SPO_cumprod_oil,3),HM_ZD_Moho!CA_rev_for_SPO*(INDEX(HM_ZD_Moho!FA_SPO_govt_rate,3)),
IF(AND((HM_ZD_Moho!CA_cum_gross_sales_oil+HM_ZD_Moho!CA_gross_sales_lpg)&lt;INDEX(HM_ZD_Moho!FA_SPO_cumprod_oil,3),
(HM_ZD_Moho!CA_cum_gross_sales_oil+HM_ZD_Moho!CA_gross_sales_lpg)&gt;=INDEX(HM_ZD_Moho!FA_SPO_cumprod_oil,2)),
(HM_ZD_Moho!CA_rev_for_SPO*(INDEX(HM_ZD_Moho!FA_SPO_govt_rate,2))-BA313),(HM_ZD_Moho!CA_rev_for_SPO*(INDEX(HM_ZD_Moho!FA_SPO_govt_rate,1))-BA313))),0)</f>
        <v>0</v>
      </c>
      <c r="BB316" s="49">
        <f ca="1">MAX(IF((HM_ZD_Moho!CA_cum_gross_sales_oil+HM_ZD_Moho!CA_gross_sales_lpg)&gt;=INDEX(HM_ZD_Moho!FA_SPO_cumprod_oil,3),HM_ZD_Moho!CA_rev_for_SPO*(INDEX(HM_ZD_Moho!FA_SPO_govt_rate,3)),
IF(AND((HM_ZD_Moho!CA_cum_gross_sales_oil+HM_ZD_Moho!CA_gross_sales_lpg)&lt;INDEX(HM_ZD_Moho!FA_SPO_cumprod_oil,3),
(HM_ZD_Moho!CA_cum_gross_sales_oil+HM_ZD_Moho!CA_gross_sales_lpg)&gt;=INDEX(HM_ZD_Moho!FA_SPO_cumprod_oil,2)),
(HM_ZD_Moho!CA_rev_for_SPO*(INDEX(HM_ZD_Moho!FA_SPO_govt_rate,2))-BB313),(HM_ZD_Moho!CA_rev_for_SPO*(INDEX(HM_ZD_Moho!FA_SPO_govt_rate,1))-BB313))),0)</f>
        <v>0</v>
      </c>
      <c r="BC316" s="49">
        <f ca="1">MAX(IF((HM_ZD_Moho!CA_cum_gross_sales_oil+HM_ZD_Moho!CA_gross_sales_lpg)&gt;=INDEX(HM_ZD_Moho!FA_SPO_cumprod_oil,3),HM_ZD_Moho!CA_rev_for_SPO*(INDEX(HM_ZD_Moho!FA_SPO_govt_rate,3)),
IF(AND((HM_ZD_Moho!CA_cum_gross_sales_oil+HM_ZD_Moho!CA_gross_sales_lpg)&lt;INDEX(HM_ZD_Moho!FA_SPO_cumprod_oil,3),
(HM_ZD_Moho!CA_cum_gross_sales_oil+HM_ZD_Moho!CA_gross_sales_lpg)&gt;=INDEX(HM_ZD_Moho!FA_SPO_cumprod_oil,2)),
(HM_ZD_Moho!CA_rev_for_SPO*(INDEX(HM_ZD_Moho!FA_SPO_govt_rate,2))-BC313),(HM_ZD_Moho!CA_rev_for_SPO*(INDEX(HM_ZD_Moho!FA_SPO_govt_rate,1))-BC313))),0)</f>
        <v>0</v>
      </c>
      <c r="BD316" s="49">
        <f ca="1">MAX(IF((HM_ZD_Moho!CA_cum_gross_sales_oil+HM_ZD_Moho!CA_gross_sales_lpg)&gt;=INDEX(HM_ZD_Moho!FA_SPO_cumprod_oil,3),HM_ZD_Moho!CA_rev_for_SPO*(INDEX(HM_ZD_Moho!FA_SPO_govt_rate,3)),
IF(AND((HM_ZD_Moho!CA_cum_gross_sales_oil+HM_ZD_Moho!CA_gross_sales_lpg)&lt;INDEX(HM_ZD_Moho!FA_SPO_cumprod_oil,3),
(HM_ZD_Moho!CA_cum_gross_sales_oil+HM_ZD_Moho!CA_gross_sales_lpg)&gt;=INDEX(HM_ZD_Moho!FA_SPO_cumprod_oil,2)),
(HM_ZD_Moho!CA_rev_for_SPO*(INDEX(HM_ZD_Moho!FA_SPO_govt_rate,2))-BD313),(HM_ZD_Moho!CA_rev_for_SPO*(INDEX(HM_ZD_Moho!FA_SPO_govt_rate,1))-BD313))),0)</f>
        <v>0</v>
      </c>
      <c r="BE316" s="49">
        <f ca="1">MAX(IF((HM_ZD_Moho!CA_cum_gross_sales_oil+HM_ZD_Moho!CA_gross_sales_lpg)&gt;=INDEX(HM_ZD_Moho!FA_SPO_cumprod_oil,3),HM_ZD_Moho!CA_rev_for_SPO*(INDEX(HM_ZD_Moho!FA_SPO_govt_rate,3)),
IF(AND((HM_ZD_Moho!CA_cum_gross_sales_oil+HM_ZD_Moho!CA_gross_sales_lpg)&lt;INDEX(HM_ZD_Moho!FA_SPO_cumprod_oil,3),
(HM_ZD_Moho!CA_cum_gross_sales_oil+HM_ZD_Moho!CA_gross_sales_lpg)&gt;=INDEX(HM_ZD_Moho!FA_SPO_cumprod_oil,2)),
(HM_ZD_Moho!CA_rev_for_SPO*(INDEX(HM_ZD_Moho!FA_SPO_govt_rate,2))-BE313),(HM_ZD_Moho!CA_rev_for_SPO*(INDEX(HM_ZD_Moho!FA_SPO_govt_rate,1))-BE313))),0)</f>
        <v>0</v>
      </c>
      <c r="BF316" s="49">
        <f ca="1">MAX(IF((HM_ZD_Moho!CA_cum_gross_sales_oil+HM_ZD_Moho!CA_gross_sales_lpg)&gt;=INDEX(HM_ZD_Moho!FA_SPO_cumprod_oil,3),HM_ZD_Moho!CA_rev_for_SPO*(INDEX(HM_ZD_Moho!FA_SPO_govt_rate,3)),
IF(AND((HM_ZD_Moho!CA_cum_gross_sales_oil+HM_ZD_Moho!CA_gross_sales_lpg)&lt;INDEX(HM_ZD_Moho!FA_SPO_cumprod_oil,3),
(HM_ZD_Moho!CA_cum_gross_sales_oil+HM_ZD_Moho!CA_gross_sales_lpg)&gt;=INDEX(HM_ZD_Moho!FA_SPO_cumprod_oil,2)),
(HM_ZD_Moho!CA_rev_for_SPO*(INDEX(HM_ZD_Moho!FA_SPO_govt_rate,2))-BF313),(HM_ZD_Moho!CA_rev_for_SPO*(INDEX(HM_ZD_Moho!FA_SPO_govt_rate,1))-BF313))),0)</f>
        <v>0</v>
      </c>
      <c r="BG316" s="49">
        <f ca="1">MAX(IF((HM_ZD_Moho!CA_cum_gross_sales_oil+HM_ZD_Moho!CA_gross_sales_lpg)&gt;=INDEX(HM_ZD_Moho!FA_SPO_cumprod_oil,3),HM_ZD_Moho!CA_rev_for_SPO*(INDEX(HM_ZD_Moho!FA_SPO_govt_rate,3)),
IF(AND((HM_ZD_Moho!CA_cum_gross_sales_oil+HM_ZD_Moho!CA_gross_sales_lpg)&lt;INDEX(HM_ZD_Moho!FA_SPO_cumprod_oil,3),
(HM_ZD_Moho!CA_cum_gross_sales_oil+HM_ZD_Moho!CA_gross_sales_lpg)&gt;=INDEX(HM_ZD_Moho!FA_SPO_cumprod_oil,2)),
(HM_ZD_Moho!CA_rev_for_SPO*(INDEX(HM_ZD_Moho!FA_SPO_govt_rate,2))-BG313),(HM_ZD_Moho!CA_rev_for_SPO*(INDEX(HM_ZD_Moho!FA_SPO_govt_rate,1))-BG313))),0)</f>
        <v>0</v>
      </c>
      <c r="BH316" s="49">
        <f ca="1">MAX(IF((HM_ZD_Moho!CA_cum_gross_sales_oil+HM_ZD_Moho!CA_gross_sales_lpg)&gt;=INDEX(HM_ZD_Moho!FA_SPO_cumprod_oil,3),HM_ZD_Moho!CA_rev_for_SPO*(INDEX(HM_ZD_Moho!FA_SPO_govt_rate,3)),
IF(AND((HM_ZD_Moho!CA_cum_gross_sales_oil+HM_ZD_Moho!CA_gross_sales_lpg)&lt;INDEX(HM_ZD_Moho!FA_SPO_cumprod_oil,3),
(HM_ZD_Moho!CA_cum_gross_sales_oil+HM_ZD_Moho!CA_gross_sales_lpg)&gt;=INDEX(HM_ZD_Moho!FA_SPO_cumprod_oil,2)),
(HM_ZD_Moho!CA_rev_for_SPO*(INDEX(HM_ZD_Moho!FA_SPO_govt_rate,2))-BH313),(HM_ZD_Moho!CA_rev_for_SPO*(INDEX(HM_ZD_Moho!FA_SPO_govt_rate,1))-BH313))),0)</f>
        <v>0</v>
      </c>
      <c r="BI316" s="49">
        <f ca="1">MAX(IF((HM_ZD_Moho!CA_cum_gross_sales_oil+HM_ZD_Moho!CA_gross_sales_lpg)&gt;=INDEX(HM_ZD_Moho!FA_SPO_cumprod_oil,3),HM_ZD_Moho!CA_rev_for_SPO*(INDEX(HM_ZD_Moho!FA_SPO_govt_rate,3)),
IF(AND((HM_ZD_Moho!CA_cum_gross_sales_oil+HM_ZD_Moho!CA_gross_sales_lpg)&lt;INDEX(HM_ZD_Moho!FA_SPO_cumprod_oil,3),
(HM_ZD_Moho!CA_cum_gross_sales_oil+HM_ZD_Moho!CA_gross_sales_lpg)&gt;=INDEX(HM_ZD_Moho!FA_SPO_cumprod_oil,2)),
(HM_ZD_Moho!CA_rev_for_SPO*(INDEX(HM_ZD_Moho!FA_SPO_govt_rate,2))-BI313),(HM_ZD_Moho!CA_rev_for_SPO*(INDEX(HM_ZD_Moho!FA_SPO_govt_rate,1))-BI313))),0)</f>
        <v>0</v>
      </c>
      <c r="BJ316" s="49">
        <f ca="1">MAX(IF((HM_ZD_Moho!CA_cum_gross_sales_oil+HM_ZD_Moho!CA_gross_sales_lpg)&gt;=INDEX(HM_ZD_Moho!FA_SPO_cumprod_oil,3),HM_ZD_Moho!CA_rev_for_SPO*(INDEX(HM_ZD_Moho!FA_SPO_govt_rate,3)),
IF(AND((HM_ZD_Moho!CA_cum_gross_sales_oil+HM_ZD_Moho!CA_gross_sales_lpg)&lt;INDEX(HM_ZD_Moho!FA_SPO_cumprod_oil,3),
(HM_ZD_Moho!CA_cum_gross_sales_oil+HM_ZD_Moho!CA_gross_sales_lpg)&gt;=INDEX(HM_ZD_Moho!FA_SPO_cumprod_oil,2)),
(HM_ZD_Moho!CA_rev_for_SPO*(INDEX(HM_ZD_Moho!FA_SPO_govt_rate,2))-BJ313),(HM_ZD_Moho!CA_rev_for_SPO*(INDEX(HM_ZD_Moho!FA_SPO_govt_rate,1))-BJ313))),0)</f>
        <v>0</v>
      </c>
      <c r="BK316" s="49">
        <f ca="1">MAX(IF((HM_ZD_Moho!CA_cum_gross_sales_oil+HM_ZD_Moho!CA_gross_sales_lpg)&gt;=INDEX(HM_ZD_Moho!FA_SPO_cumprod_oil,3),HM_ZD_Moho!CA_rev_for_SPO*(INDEX(HM_ZD_Moho!FA_SPO_govt_rate,3)),
IF(AND((HM_ZD_Moho!CA_cum_gross_sales_oil+HM_ZD_Moho!CA_gross_sales_lpg)&lt;INDEX(HM_ZD_Moho!FA_SPO_cumprod_oil,3),
(HM_ZD_Moho!CA_cum_gross_sales_oil+HM_ZD_Moho!CA_gross_sales_lpg)&gt;=INDEX(HM_ZD_Moho!FA_SPO_cumprod_oil,2)),
(HM_ZD_Moho!CA_rev_for_SPO*(INDEX(HM_ZD_Moho!FA_SPO_govt_rate,2))-BK313),(HM_ZD_Moho!CA_rev_for_SPO*(INDEX(HM_ZD_Moho!FA_SPO_govt_rate,1))-BK313))),0)</f>
        <v>0</v>
      </c>
      <c r="BL316" s="49">
        <f ca="1">MAX(IF((HM_ZD_Moho!CA_cum_gross_sales_oil+HM_ZD_Moho!CA_gross_sales_lpg)&gt;=INDEX(HM_ZD_Moho!FA_SPO_cumprod_oil,3),HM_ZD_Moho!CA_rev_for_SPO*(INDEX(HM_ZD_Moho!FA_SPO_govt_rate,3)),
IF(AND((HM_ZD_Moho!CA_cum_gross_sales_oil+HM_ZD_Moho!CA_gross_sales_lpg)&lt;INDEX(HM_ZD_Moho!FA_SPO_cumprod_oil,3),
(HM_ZD_Moho!CA_cum_gross_sales_oil+HM_ZD_Moho!CA_gross_sales_lpg)&gt;=INDEX(HM_ZD_Moho!FA_SPO_cumprod_oil,2)),
(HM_ZD_Moho!CA_rev_for_SPO*(INDEX(HM_ZD_Moho!FA_SPO_govt_rate,2))-BL313),(HM_ZD_Moho!CA_rev_for_SPO*(INDEX(HM_ZD_Moho!FA_SPO_govt_rate,1))-BL313))),0)</f>
        <v>0</v>
      </c>
      <c r="BM316" s="49">
        <f ca="1">MAX(IF((HM_ZD_Moho!CA_cum_gross_sales_oil+HM_ZD_Moho!CA_gross_sales_lpg)&gt;=INDEX(HM_ZD_Moho!FA_SPO_cumprod_oil,3),HM_ZD_Moho!CA_rev_for_SPO*(INDEX(HM_ZD_Moho!FA_SPO_govt_rate,3)),
IF(AND((HM_ZD_Moho!CA_cum_gross_sales_oil+HM_ZD_Moho!CA_gross_sales_lpg)&lt;INDEX(HM_ZD_Moho!FA_SPO_cumprod_oil,3),
(HM_ZD_Moho!CA_cum_gross_sales_oil+HM_ZD_Moho!CA_gross_sales_lpg)&gt;=INDEX(HM_ZD_Moho!FA_SPO_cumprod_oil,2)),
(HM_ZD_Moho!CA_rev_for_SPO*(INDEX(HM_ZD_Moho!FA_SPO_govt_rate,2))-BM313),(HM_ZD_Moho!CA_rev_for_SPO*(INDEX(HM_ZD_Moho!FA_SPO_govt_rate,1))-BM313))),0)</f>
        <v>0</v>
      </c>
      <c r="BN316" s="49">
        <f ca="1">MAX(IF((HM_ZD_Moho!CA_cum_gross_sales_oil+HM_ZD_Moho!CA_gross_sales_lpg)&gt;=INDEX(HM_ZD_Moho!FA_SPO_cumprod_oil,3),HM_ZD_Moho!CA_rev_for_SPO*(INDEX(HM_ZD_Moho!FA_SPO_govt_rate,3)),
IF(AND((HM_ZD_Moho!CA_cum_gross_sales_oil+HM_ZD_Moho!CA_gross_sales_lpg)&lt;INDEX(HM_ZD_Moho!FA_SPO_cumprod_oil,3),
(HM_ZD_Moho!CA_cum_gross_sales_oil+HM_ZD_Moho!CA_gross_sales_lpg)&gt;=INDEX(HM_ZD_Moho!FA_SPO_cumprod_oil,2)),
(HM_ZD_Moho!CA_rev_for_SPO*(INDEX(HM_ZD_Moho!FA_SPO_govt_rate,2))-BN313),(HM_ZD_Moho!CA_rev_for_SPO*(INDEX(HM_ZD_Moho!FA_SPO_govt_rate,1))-BN313))),0)</f>
        <v>0</v>
      </c>
      <c r="BO316" s="49">
        <f ca="1">MAX(IF((HM_ZD_Moho!CA_cum_gross_sales_oil+HM_ZD_Moho!CA_gross_sales_lpg)&gt;=INDEX(HM_ZD_Moho!FA_SPO_cumprod_oil,3),HM_ZD_Moho!CA_rev_for_SPO*(INDEX(HM_ZD_Moho!FA_SPO_govt_rate,3)),
IF(AND((HM_ZD_Moho!CA_cum_gross_sales_oil+HM_ZD_Moho!CA_gross_sales_lpg)&lt;INDEX(HM_ZD_Moho!FA_SPO_cumprod_oil,3),
(HM_ZD_Moho!CA_cum_gross_sales_oil+HM_ZD_Moho!CA_gross_sales_lpg)&gt;=INDEX(HM_ZD_Moho!FA_SPO_cumprod_oil,2)),
(HM_ZD_Moho!CA_rev_for_SPO*(INDEX(HM_ZD_Moho!FA_SPO_govt_rate,2))-BO313),(HM_ZD_Moho!CA_rev_for_SPO*(INDEX(HM_ZD_Moho!FA_SPO_govt_rate,1))-BO313))),0)</f>
        <v>0</v>
      </c>
      <c r="BP316" s="49">
        <f ca="1">MAX(IF((HM_ZD_Moho!CA_cum_gross_sales_oil+HM_ZD_Moho!CA_gross_sales_lpg)&gt;=INDEX(HM_ZD_Moho!FA_SPO_cumprod_oil,3),HM_ZD_Moho!CA_rev_for_SPO*(INDEX(HM_ZD_Moho!FA_SPO_govt_rate,3)),
IF(AND((HM_ZD_Moho!CA_cum_gross_sales_oil+HM_ZD_Moho!CA_gross_sales_lpg)&lt;INDEX(HM_ZD_Moho!FA_SPO_cumprod_oil,3),
(HM_ZD_Moho!CA_cum_gross_sales_oil+HM_ZD_Moho!CA_gross_sales_lpg)&gt;=INDEX(HM_ZD_Moho!FA_SPO_cumprod_oil,2)),
(HM_ZD_Moho!CA_rev_for_SPO*(INDEX(HM_ZD_Moho!FA_SPO_govt_rate,2))-BP313),(HM_ZD_Moho!CA_rev_for_SPO*(INDEX(HM_ZD_Moho!FA_SPO_govt_rate,1))-BP313))),0)</f>
        <v>0</v>
      </c>
      <c r="BQ316" s="49">
        <f ca="1">MAX(IF((HM_ZD_Moho!CA_cum_gross_sales_oil+HM_ZD_Moho!CA_gross_sales_lpg)&gt;=INDEX(HM_ZD_Moho!FA_SPO_cumprod_oil,3),HM_ZD_Moho!CA_rev_for_SPO*(INDEX(HM_ZD_Moho!FA_SPO_govt_rate,3)),
IF(AND((HM_ZD_Moho!CA_cum_gross_sales_oil+HM_ZD_Moho!CA_gross_sales_lpg)&lt;INDEX(HM_ZD_Moho!FA_SPO_cumprod_oil,3),
(HM_ZD_Moho!CA_cum_gross_sales_oil+HM_ZD_Moho!CA_gross_sales_lpg)&gt;=INDEX(HM_ZD_Moho!FA_SPO_cumprod_oil,2)),
(HM_ZD_Moho!CA_rev_for_SPO*(INDEX(HM_ZD_Moho!FA_SPO_govt_rate,2))-BQ313),(HM_ZD_Moho!CA_rev_for_SPO*(INDEX(HM_ZD_Moho!FA_SPO_govt_rate,1))-BQ313))),0)</f>
        <v>0</v>
      </c>
      <c r="BR316" s="49">
        <f ca="1">MAX(IF((HM_ZD_Moho!CA_cum_gross_sales_oil+HM_ZD_Moho!CA_gross_sales_lpg)&gt;=INDEX(HM_ZD_Moho!FA_SPO_cumprod_oil,3),HM_ZD_Moho!CA_rev_for_SPO*(INDEX(HM_ZD_Moho!FA_SPO_govt_rate,3)),
IF(AND((HM_ZD_Moho!CA_cum_gross_sales_oil+HM_ZD_Moho!CA_gross_sales_lpg)&lt;INDEX(HM_ZD_Moho!FA_SPO_cumprod_oil,3),
(HM_ZD_Moho!CA_cum_gross_sales_oil+HM_ZD_Moho!CA_gross_sales_lpg)&gt;=INDEX(HM_ZD_Moho!FA_SPO_cumprod_oil,2)),
(HM_ZD_Moho!CA_rev_for_SPO*(INDEX(HM_ZD_Moho!FA_SPO_govt_rate,2))-BR313),(HM_ZD_Moho!CA_rev_for_SPO*(INDEX(HM_ZD_Moho!FA_SPO_govt_rate,1))-BR313))),0)</f>
        <v>0</v>
      </c>
      <c r="BS316" s="49">
        <f ca="1">MAX(IF((HM_ZD_Moho!CA_cum_gross_sales_oil+HM_ZD_Moho!CA_gross_sales_lpg)&gt;=INDEX(HM_ZD_Moho!FA_SPO_cumprod_oil,3),HM_ZD_Moho!CA_rev_for_SPO*(INDEX(HM_ZD_Moho!FA_SPO_govt_rate,3)),
IF(AND((HM_ZD_Moho!CA_cum_gross_sales_oil+HM_ZD_Moho!CA_gross_sales_lpg)&lt;INDEX(HM_ZD_Moho!FA_SPO_cumprod_oil,3),
(HM_ZD_Moho!CA_cum_gross_sales_oil+HM_ZD_Moho!CA_gross_sales_lpg)&gt;=INDEX(HM_ZD_Moho!FA_SPO_cumprod_oil,2)),
(HM_ZD_Moho!CA_rev_for_SPO*(INDEX(HM_ZD_Moho!FA_SPO_govt_rate,2))-BS313),(HM_ZD_Moho!CA_rev_for_SPO*(INDEX(HM_ZD_Moho!FA_SPO_govt_rate,1))-BS313))),0)</f>
        <v>0</v>
      </c>
    </row>
    <row r="317" spans="3:71" outlineLevel="1" x14ac:dyDescent="0.2">
      <c r="J317" s="26"/>
      <c r="L317" s="55"/>
      <c r="M317" s="55"/>
      <c r="N317" s="55"/>
      <c r="O317" s="55"/>
      <c r="P317" s="55"/>
      <c r="Q317" s="55"/>
      <c r="R317" s="55"/>
      <c r="S317" s="55"/>
      <c r="T317" s="55"/>
      <c r="U317" s="55"/>
      <c r="V317" s="55"/>
      <c r="W317" s="55"/>
      <c r="X317" s="55"/>
      <c r="Y317" s="55"/>
      <c r="Z317" s="55"/>
      <c r="AA317" s="55"/>
      <c r="AB317" s="55"/>
      <c r="AC317" s="55"/>
      <c r="AD317" s="55"/>
      <c r="AE317" s="55"/>
      <c r="AF317" s="55"/>
      <c r="AG317" s="55"/>
      <c r="AH317" s="55"/>
      <c r="AI317" s="55"/>
      <c r="AJ317" s="55"/>
      <c r="AK317" s="55"/>
      <c r="AL317" s="55"/>
      <c r="AM317" s="55"/>
      <c r="AN317" s="55"/>
      <c r="AO317" s="55"/>
      <c r="AP317" s="55"/>
      <c r="AQ317" s="55"/>
      <c r="AR317" s="55"/>
      <c r="AS317" s="55"/>
      <c r="AT317" s="55"/>
      <c r="AU317" s="55"/>
      <c r="AV317" s="55"/>
      <c r="AW317" s="55"/>
      <c r="AX317" s="55"/>
      <c r="AY317" s="55"/>
      <c r="AZ317" s="55"/>
      <c r="BA317" s="55"/>
      <c r="BB317" s="55"/>
      <c r="BC317" s="55"/>
      <c r="BD317" s="55"/>
      <c r="BE317" s="55"/>
      <c r="BF317" s="55"/>
      <c r="BG317" s="55"/>
      <c r="BH317" s="55"/>
      <c r="BI317" s="55"/>
      <c r="BJ317" s="55"/>
      <c r="BK317" s="55"/>
      <c r="BL317" s="55"/>
      <c r="BM317" s="55"/>
      <c r="BN317" s="55"/>
      <c r="BO317" s="55"/>
      <c r="BP317" s="55"/>
      <c r="BQ317" s="55"/>
      <c r="BR317" s="55"/>
      <c r="BS317" s="55"/>
    </row>
    <row r="318" spans="3:71" outlineLevel="1" x14ac:dyDescent="0.2">
      <c r="J318" s="26"/>
      <c r="L318" s="55"/>
      <c r="M318" s="55"/>
      <c r="N318" s="55"/>
      <c r="O318" s="55"/>
      <c r="P318" s="55"/>
      <c r="Q318" s="55"/>
      <c r="R318" s="55"/>
      <c r="S318" s="55"/>
      <c r="T318" s="55"/>
      <c r="U318" s="55"/>
      <c r="V318" s="55"/>
      <c r="W318" s="55"/>
      <c r="X318" s="55"/>
      <c r="Y318" s="55"/>
      <c r="Z318" s="55"/>
      <c r="AA318" s="55"/>
      <c r="AB318" s="55"/>
      <c r="AC318" s="55"/>
      <c r="AD318" s="55"/>
      <c r="AE318" s="55"/>
      <c r="AF318" s="55"/>
      <c r="AG318" s="55"/>
      <c r="AH318" s="55"/>
      <c r="AI318" s="55"/>
      <c r="AJ318" s="55"/>
      <c r="AK318" s="55"/>
      <c r="AL318" s="55"/>
      <c r="AM318" s="55"/>
      <c r="AN318" s="55"/>
      <c r="AO318" s="55"/>
      <c r="AP318" s="55"/>
      <c r="AQ318" s="55"/>
      <c r="AR318" s="55"/>
      <c r="AS318" s="55"/>
      <c r="AT318" s="55"/>
      <c r="AU318" s="55"/>
      <c r="AV318" s="55"/>
      <c r="AW318" s="55"/>
      <c r="AX318" s="55"/>
      <c r="AY318" s="55"/>
      <c r="AZ318" s="55"/>
      <c r="BA318" s="55"/>
      <c r="BB318" s="55"/>
      <c r="BC318" s="55"/>
      <c r="BD318" s="55"/>
      <c r="BE318" s="55"/>
      <c r="BF318" s="55"/>
      <c r="BG318" s="55"/>
      <c r="BH318" s="55"/>
      <c r="BI318" s="55"/>
      <c r="BJ318" s="55"/>
      <c r="BK318" s="55"/>
      <c r="BL318" s="55"/>
      <c r="BM318" s="55"/>
      <c r="BN318" s="55"/>
      <c r="BO318" s="55"/>
      <c r="BP318" s="55"/>
      <c r="BQ318" s="55"/>
      <c r="BR318" s="55"/>
      <c r="BS318" s="55"/>
    </row>
    <row r="319" spans="3:71" outlineLevel="1" x14ac:dyDescent="0.2">
      <c r="C319" s="11" t="str">
        <f>HM_ZB_Nsoko!C305</f>
        <v>Partage du profit</v>
      </c>
      <c r="J319" s="26"/>
      <c r="L319" s="55"/>
      <c r="M319" s="55"/>
      <c r="N319" s="55"/>
      <c r="O319" s="55"/>
      <c r="P319" s="55"/>
      <c r="Q319" s="55"/>
      <c r="R319" s="55"/>
      <c r="S319" s="55"/>
      <c r="T319" s="55"/>
      <c r="U319" s="55"/>
      <c r="V319" s="55"/>
      <c r="W319" s="55"/>
      <c r="X319" s="55"/>
      <c r="Y319" s="55"/>
      <c r="Z319" s="55"/>
      <c r="AA319" s="55"/>
      <c r="AB319" s="55"/>
      <c r="AC319" s="55"/>
      <c r="AD319" s="55"/>
      <c r="AE319" s="55"/>
      <c r="AF319" s="55"/>
      <c r="AG319" s="55"/>
      <c r="AH319" s="55"/>
      <c r="AI319" s="55"/>
      <c r="AJ319" s="55"/>
      <c r="AK319" s="55"/>
      <c r="AL319" s="55"/>
      <c r="AM319" s="55"/>
      <c r="AN319" s="55"/>
      <c r="AO319" s="55"/>
      <c r="AP319" s="55"/>
      <c r="AQ319" s="55"/>
      <c r="AR319" s="55"/>
      <c r="AS319" s="55"/>
      <c r="AT319" s="55"/>
      <c r="AU319" s="55"/>
      <c r="AV319" s="55"/>
      <c r="AW319" s="55"/>
      <c r="AX319" s="55"/>
      <c r="AY319" s="55"/>
      <c r="AZ319" s="55"/>
      <c r="BA319" s="55"/>
      <c r="BB319" s="55"/>
      <c r="BC319" s="55"/>
      <c r="BD319" s="55"/>
      <c r="BE319" s="55"/>
      <c r="BF319" s="55"/>
      <c r="BG319" s="55"/>
      <c r="BH319" s="55"/>
      <c r="BI319" s="55"/>
      <c r="BJ319" s="55"/>
      <c r="BK319" s="55"/>
      <c r="BL319" s="55"/>
      <c r="BM319" s="55"/>
      <c r="BN319" s="55"/>
      <c r="BO319" s="55"/>
      <c r="BP319" s="55"/>
      <c r="BQ319" s="55"/>
      <c r="BR319" s="55"/>
      <c r="BS319" s="55"/>
    </row>
    <row r="320" spans="3:71" outlineLevel="1" x14ac:dyDescent="0.2">
      <c r="J320" s="26"/>
      <c r="L320" s="55"/>
      <c r="M320" s="55"/>
      <c r="N320" s="55"/>
      <c r="O320" s="55"/>
      <c r="P320" s="55"/>
      <c r="Q320" s="55"/>
      <c r="R320" s="55"/>
      <c r="S320" s="55"/>
      <c r="T320" s="55"/>
      <c r="U320" s="55"/>
      <c r="V320" s="55"/>
      <c r="W320" s="55"/>
      <c r="X320" s="55"/>
      <c r="Y320" s="55"/>
      <c r="Z320" s="55"/>
      <c r="AA320" s="55"/>
      <c r="AB320" s="55"/>
      <c r="AC320" s="55"/>
      <c r="AD320" s="55"/>
      <c r="AE320" s="55"/>
      <c r="AF320" s="55"/>
      <c r="AG320" s="55"/>
      <c r="AH320" s="55"/>
      <c r="AI320" s="55"/>
      <c r="AJ320" s="55"/>
      <c r="AK320" s="55"/>
      <c r="AL320" s="55"/>
      <c r="AM320" s="55"/>
      <c r="AN320" s="55"/>
      <c r="AO320" s="55"/>
      <c r="AP320" s="55"/>
      <c r="AQ320" s="55"/>
      <c r="AR320" s="55"/>
      <c r="AS320" s="55"/>
      <c r="AT320" s="55"/>
      <c r="AU320" s="55"/>
      <c r="AV320" s="55"/>
      <c r="AW320" s="55"/>
      <c r="AX320" s="55"/>
      <c r="AY320" s="55"/>
      <c r="AZ320" s="55"/>
      <c r="BA320" s="55"/>
      <c r="BB320" s="55"/>
      <c r="BC320" s="55"/>
      <c r="BD320" s="55"/>
      <c r="BE320" s="55"/>
      <c r="BF320" s="55"/>
      <c r="BG320" s="55"/>
      <c r="BH320" s="55"/>
      <c r="BI320" s="55"/>
      <c r="BJ320" s="55"/>
      <c r="BK320" s="55"/>
      <c r="BL320" s="55"/>
      <c r="BM320" s="55"/>
      <c r="BN320" s="55"/>
      <c r="BO320" s="55"/>
      <c r="BP320" s="55"/>
      <c r="BQ320" s="55"/>
      <c r="BR320" s="55"/>
      <c r="BS320" s="55"/>
    </row>
    <row r="321" spans="4:71" outlineLevel="1" x14ac:dyDescent="0.2">
      <c r="D321" s="11" t="str">
        <f>HM_ZB_Nsoko!D307</f>
        <v>Profit Oil</v>
      </c>
      <c r="J321" s="26"/>
      <c r="L321" s="55"/>
      <c r="M321" s="55"/>
      <c r="N321" s="55"/>
      <c r="O321" s="55"/>
      <c r="P321" s="55"/>
      <c r="Q321" s="55"/>
      <c r="R321" s="55"/>
      <c r="S321" s="55"/>
      <c r="T321" s="55"/>
      <c r="U321" s="55"/>
      <c r="V321" s="55"/>
      <c r="W321" s="55"/>
      <c r="X321" s="55"/>
      <c r="Y321" s="55"/>
      <c r="Z321" s="55"/>
      <c r="AA321" s="55"/>
      <c r="AB321" s="55"/>
      <c r="AC321" s="55"/>
      <c r="AD321" s="55"/>
      <c r="AE321" s="55"/>
      <c r="AF321" s="55"/>
      <c r="AG321" s="55"/>
      <c r="AH321" s="55"/>
      <c r="AI321" s="55"/>
      <c r="AJ321" s="55"/>
      <c r="AK321" s="55"/>
      <c r="AL321" s="55"/>
      <c r="AM321" s="55"/>
      <c r="AN321" s="55"/>
      <c r="AO321" s="55"/>
      <c r="AP321" s="55"/>
      <c r="AQ321" s="55"/>
      <c r="AR321" s="55"/>
      <c r="AS321" s="55"/>
      <c r="AT321" s="55"/>
      <c r="AU321" s="55"/>
      <c r="AV321" s="55"/>
      <c r="AW321" s="55"/>
      <c r="AX321" s="55"/>
      <c r="AY321" s="55"/>
      <c r="AZ321" s="55"/>
      <c r="BA321" s="55"/>
      <c r="BB321" s="55"/>
      <c r="BC321" s="55"/>
      <c r="BD321" s="55"/>
      <c r="BE321" s="55"/>
      <c r="BF321" s="55"/>
      <c r="BG321" s="55"/>
      <c r="BH321" s="55"/>
      <c r="BI321" s="55"/>
      <c r="BJ321" s="55"/>
      <c r="BK321" s="55"/>
      <c r="BL321" s="55"/>
      <c r="BM321" s="55"/>
      <c r="BN321" s="55"/>
      <c r="BO321" s="55"/>
      <c r="BP321" s="55"/>
      <c r="BQ321" s="55"/>
      <c r="BR321" s="55"/>
      <c r="BS321" s="55"/>
    </row>
    <row r="322" spans="4:71" outlineLevel="1" x14ac:dyDescent="0.2">
      <c r="D322" s="50" t="str">
        <f>HM_ZB_Nsoko!D308</f>
        <v>Revenus pétroliers pour le Partage du Profit</v>
      </c>
      <c r="I322" s="30">
        <f t="shared" ref="I322:I325" ca="1" si="192">SUM($L322:$BS322)</f>
        <v>4959.3242671334719</v>
      </c>
      <c r="J322" s="26" t="s">
        <v>148</v>
      </c>
      <c r="L322" s="49">
        <f ca="1">HM_ZD_AM3_2005!L300</f>
        <v>0</v>
      </c>
      <c r="M322" s="49">
        <f ca="1">HM_ZD_AM3_2005!M300</f>
        <v>0</v>
      </c>
      <c r="N322" s="49">
        <f ca="1">MAX(HM_ZD_Moho!CA_gross_rev_oil_fp-HM_ZD_Moho!CA_roy_oil_fp-(HM_ZD_Moho!CA_cost_recovered_total*HM_ZD_Moho!CA_rev_oil_perc)-(HM_ZD_Moho!CA_excess_cost_recovery*HM_ZD_Moho!CA_rev_oil_perc)-HM_ZD_Moho!CA_rev_for_SPO,0)</f>
        <v>110.25705771750006</v>
      </c>
      <c r="O322" s="49">
        <f ca="1">MAX(HM_ZD_Moho!CA_gross_rev_oil_fp-HM_ZD_Moho!CA_roy_oil_fp-(HM_ZD_Moho!CA_cost_recovered_total*HM_ZD_Moho!CA_rev_oil_perc)-(HM_ZD_Moho!CA_excess_cost_recovery*HM_ZD_Moho!CA_rev_oil_perc)-HM_ZD_Moho!CA_rev_for_SPO,0)</f>
        <v>94.750883169300039</v>
      </c>
      <c r="P322" s="49">
        <f ca="1">MAX(HM_ZD_Moho!CA_gross_rev_oil_fp-HM_ZD_Moho!CA_roy_oil_fp-(HM_ZD_Moho!CA_cost_recovered_total*HM_ZD_Moho!CA_rev_oil_perc)-(HM_ZD_Moho!CA_excess_cost_recovery*HM_ZD_Moho!CA_rev_oil_perc)-HM_ZD_Moho!CA_rev_for_SPO,0)</f>
        <v>265.85457837735021</v>
      </c>
      <c r="Q322" s="49">
        <f ca="1">MAX(HM_ZD_Moho!CA_gross_rev_oil_fp-HM_ZD_Moho!CA_roy_oil_fp-(HM_ZD_Moho!CA_cost_recovered_total*HM_ZD_Moho!CA_rev_oil_perc)-(HM_ZD_Moho!CA_excess_cost_recovery*HM_ZD_Moho!CA_rev_oil_perc)-HM_ZD_Moho!CA_rev_for_SPO,0)</f>
        <v>537.88417472100036</v>
      </c>
      <c r="R322" s="49">
        <f ca="1">MAX(HM_ZD_Moho!CA_gross_rev_oil_fp-HM_ZD_Moho!CA_roy_oil_fp-(HM_ZD_Moho!CA_cost_recovered_total*HM_ZD_Moho!CA_rev_oil_perc)-(HM_ZD_Moho!CA_excess_cost_recovery*HM_ZD_Moho!CA_rev_oil_perc)-HM_ZD_Moho!CA_rev_for_SPO,0)</f>
        <v>528.64961559074982</v>
      </c>
      <c r="S322" s="49">
        <f ca="1">MAX(HM_ZD_Moho!CA_gross_rev_oil_fp-HM_ZD_Moho!CA_roy_oil_fp-(HM_ZD_Moho!CA_cost_recovered_total*HM_ZD_Moho!CA_rev_oil_perc)-(HM_ZD_Moho!CA_excess_cost_recovery*HM_ZD_Moho!CA_rev_oil_perc)-HM_ZD_Moho!CA_rev_for_SPO,0)</f>
        <v>315.64630890000035</v>
      </c>
      <c r="T322" s="49">
        <f ca="1">MAX(HM_ZD_Moho!CA_gross_rev_oil_fp-HM_ZD_Moho!CA_roy_oil_fp-(HM_ZD_Moho!CA_cost_recovered_total*HM_ZD_Moho!CA_rev_oil_perc)-(HM_ZD_Moho!CA_excess_cost_recovery*HM_ZD_Moho!CA_rev_oil_perc)-HM_ZD_Moho!CA_rev_for_SPO,0)</f>
        <v>482.97173666976005</v>
      </c>
      <c r="U322" s="49">
        <f ca="1">MAX(HM_ZD_Moho!CA_gross_rev_oil_fp-HM_ZD_Moho!CA_roy_oil_fp-(HM_ZD_Moho!CA_cost_recovered_total*HM_ZD_Moho!CA_rev_oil_perc)-(HM_ZD_Moho!CA_excess_cost_recovery*HM_ZD_Moho!CA_rev_oil_perc)-HM_ZD_Moho!CA_rev_for_SPO,0)</f>
        <v>482.12658840780023</v>
      </c>
      <c r="V322" s="49">
        <f ca="1">MAX(HM_ZD_Moho!CA_gross_rev_oil_fp-HM_ZD_Moho!CA_roy_oil_fp-(HM_ZD_Moho!CA_cost_recovered_total*HM_ZD_Moho!CA_rev_oil_perc)-(HM_ZD_Moho!CA_excess_cost_recovery*HM_ZD_Moho!CA_rev_oil_perc)-HM_ZD_Moho!CA_rev_for_SPO,0)</f>
        <v>457.34528176363938</v>
      </c>
      <c r="W322" s="49">
        <f ca="1">MAX(HM_ZD_Moho!CA_gross_rev_oil_fp-HM_ZD_Moho!CA_roy_oil_fp-(HM_ZD_Moho!CA_cost_recovered_total*HM_ZD_Moho!CA_rev_oil_perc)-(HM_ZD_Moho!CA_excess_cost_recovery*HM_ZD_Moho!CA_rev_oil_perc)-HM_ZD_Moho!CA_rev_for_SPO,0)</f>
        <v>864.12708704524925</v>
      </c>
      <c r="X322" s="49">
        <f ca="1">MAX(HM_ZD_Moho!CA_gross_rev_oil_fp-HM_ZD_Moho!CA_roy_oil_fp-(HM_ZD_Moho!CA_cost_recovered_total*HM_ZD_Moho!CA_rev_oil_perc)-(HM_ZD_Moho!CA_excess_cost_recovery*HM_ZD_Moho!CA_rev_oil_perc)-HM_ZD_Moho!CA_rev_for_SPO,0)</f>
        <v>819.71095477112294</v>
      </c>
      <c r="Y322" s="49">
        <f ca="1">MAX(HM_ZD_Moho!CA_gross_rev_oil_fp-HM_ZD_Moho!CA_roy_oil_fp-(HM_ZD_Moho!CA_cost_recovered_total*HM_ZD_Moho!CA_rev_oil_perc)-(HM_ZD_Moho!CA_excess_cost_recovery*HM_ZD_Moho!CA_rev_oil_perc)-HM_ZD_Moho!CA_rev_for_SPO,0)</f>
        <v>0</v>
      </c>
      <c r="Z322" s="49">
        <f ca="1">MAX(HM_ZD_Moho!CA_gross_rev_oil_fp-HM_ZD_Moho!CA_roy_oil_fp-(HM_ZD_Moho!CA_cost_recovered_total*HM_ZD_Moho!CA_rev_oil_perc)-(HM_ZD_Moho!CA_excess_cost_recovery*HM_ZD_Moho!CA_rev_oil_perc)-HM_ZD_Moho!CA_rev_for_SPO,0)</f>
        <v>0</v>
      </c>
      <c r="AA322" s="49">
        <f ca="1">MAX(HM_ZD_Moho!CA_gross_rev_oil_fp-HM_ZD_Moho!CA_roy_oil_fp-(HM_ZD_Moho!CA_cost_recovered_total*HM_ZD_Moho!CA_rev_oil_perc)-(HM_ZD_Moho!CA_excess_cost_recovery*HM_ZD_Moho!CA_rev_oil_perc)-HM_ZD_Moho!CA_rev_for_SPO,0)</f>
        <v>0</v>
      </c>
      <c r="AB322" s="49">
        <f ca="1">MAX(HM_ZD_Moho!CA_gross_rev_oil_fp-HM_ZD_Moho!CA_roy_oil_fp-(HM_ZD_Moho!CA_cost_recovered_total*HM_ZD_Moho!CA_rev_oil_perc)-(HM_ZD_Moho!CA_excess_cost_recovery*HM_ZD_Moho!CA_rev_oil_perc)-HM_ZD_Moho!CA_rev_for_SPO,0)</f>
        <v>0</v>
      </c>
      <c r="AC322" s="49">
        <f ca="1">MAX(HM_ZD_Moho!CA_gross_rev_oil_fp-HM_ZD_Moho!CA_roy_oil_fp-(HM_ZD_Moho!CA_cost_recovered_total*HM_ZD_Moho!CA_rev_oil_perc)-(HM_ZD_Moho!CA_excess_cost_recovery*HM_ZD_Moho!CA_rev_oil_perc)-HM_ZD_Moho!CA_rev_for_SPO,0)</f>
        <v>0</v>
      </c>
      <c r="AD322" s="49">
        <f ca="1">MAX(HM_ZD_Moho!CA_gross_rev_oil_fp-HM_ZD_Moho!CA_roy_oil_fp-(HM_ZD_Moho!CA_cost_recovered_total*HM_ZD_Moho!CA_rev_oil_perc)-(HM_ZD_Moho!CA_excess_cost_recovery*HM_ZD_Moho!CA_rev_oil_perc)-HM_ZD_Moho!CA_rev_for_SPO,0)</f>
        <v>0</v>
      </c>
      <c r="AE322" s="49">
        <f ca="1">MAX(HM_ZD_Moho!CA_gross_rev_oil_fp-HM_ZD_Moho!CA_roy_oil_fp-(HM_ZD_Moho!CA_cost_recovered_total*HM_ZD_Moho!CA_rev_oil_perc)-(HM_ZD_Moho!CA_excess_cost_recovery*HM_ZD_Moho!CA_rev_oil_perc)-HM_ZD_Moho!CA_rev_for_SPO,0)</f>
        <v>0</v>
      </c>
      <c r="AF322" s="49">
        <f ca="1">MAX(HM_ZD_Moho!CA_gross_rev_oil_fp-HM_ZD_Moho!CA_roy_oil_fp-(HM_ZD_Moho!CA_cost_recovered_total*HM_ZD_Moho!CA_rev_oil_perc)-(HM_ZD_Moho!CA_excess_cost_recovery*HM_ZD_Moho!CA_rev_oil_perc)-HM_ZD_Moho!CA_rev_for_SPO,0)</f>
        <v>0</v>
      </c>
      <c r="AG322" s="49">
        <f ca="1">MAX(HM_ZD_Moho!CA_gross_rev_oil_fp-HM_ZD_Moho!CA_roy_oil_fp-(HM_ZD_Moho!CA_cost_recovered_total*HM_ZD_Moho!CA_rev_oil_perc)-(HM_ZD_Moho!CA_excess_cost_recovery*HM_ZD_Moho!CA_rev_oil_perc)-HM_ZD_Moho!CA_rev_for_SPO,0)</f>
        <v>0</v>
      </c>
      <c r="AH322" s="49">
        <f ca="1">MAX(HM_ZD_Moho!CA_gross_rev_oil_fp-HM_ZD_Moho!CA_roy_oil_fp-(HM_ZD_Moho!CA_cost_recovered_total*HM_ZD_Moho!CA_rev_oil_perc)-(HM_ZD_Moho!CA_excess_cost_recovery*HM_ZD_Moho!CA_rev_oil_perc)-HM_ZD_Moho!CA_rev_for_SPO,0)</f>
        <v>0</v>
      </c>
      <c r="AI322" s="49">
        <f ca="1">MAX(HM_ZD_Moho!CA_gross_rev_oil_fp-HM_ZD_Moho!CA_roy_oil_fp-(HM_ZD_Moho!CA_cost_recovered_total*HM_ZD_Moho!CA_rev_oil_perc)-(HM_ZD_Moho!CA_excess_cost_recovery*HM_ZD_Moho!CA_rev_oil_perc)-HM_ZD_Moho!CA_rev_for_SPO,0)</f>
        <v>0</v>
      </c>
      <c r="AJ322" s="49">
        <f ca="1">MAX(HM_ZD_Moho!CA_gross_rev_oil_fp-HM_ZD_Moho!CA_roy_oil_fp-(HM_ZD_Moho!CA_cost_recovered_total*HM_ZD_Moho!CA_rev_oil_perc)-(HM_ZD_Moho!CA_excess_cost_recovery*HM_ZD_Moho!CA_rev_oil_perc)-HM_ZD_Moho!CA_rev_for_SPO,0)</f>
        <v>0</v>
      </c>
      <c r="AK322" s="49">
        <f ca="1">MAX(HM_ZD_Moho!CA_gross_rev_oil_fp-HM_ZD_Moho!CA_roy_oil_fp-(HM_ZD_Moho!CA_cost_recovered_total*HM_ZD_Moho!CA_rev_oil_perc)-(HM_ZD_Moho!CA_excess_cost_recovery*HM_ZD_Moho!CA_rev_oil_perc)-HM_ZD_Moho!CA_rev_for_SPO,0)</f>
        <v>0</v>
      </c>
      <c r="AL322" s="49">
        <f ca="1">MAX(HM_ZD_Moho!CA_gross_rev_oil_fp-HM_ZD_Moho!CA_roy_oil_fp-(HM_ZD_Moho!CA_cost_recovered_total*HM_ZD_Moho!CA_rev_oil_perc)-(HM_ZD_Moho!CA_excess_cost_recovery*HM_ZD_Moho!CA_rev_oil_perc)-HM_ZD_Moho!CA_rev_for_SPO,0)</f>
        <v>0</v>
      </c>
      <c r="AM322" s="49">
        <f ca="1">MAX(HM_ZD_Moho!CA_gross_rev_oil_fp-HM_ZD_Moho!CA_roy_oil_fp-(HM_ZD_Moho!CA_cost_recovered_total*HM_ZD_Moho!CA_rev_oil_perc)-(HM_ZD_Moho!CA_excess_cost_recovery*HM_ZD_Moho!CA_rev_oil_perc)-HM_ZD_Moho!CA_rev_for_SPO,0)</f>
        <v>0</v>
      </c>
      <c r="AN322" s="49">
        <f ca="1">MAX(HM_ZD_Moho!CA_gross_rev_oil_fp-HM_ZD_Moho!CA_roy_oil_fp-(HM_ZD_Moho!CA_cost_recovered_total*HM_ZD_Moho!CA_rev_oil_perc)-(HM_ZD_Moho!CA_excess_cost_recovery*HM_ZD_Moho!CA_rev_oil_perc)-HM_ZD_Moho!CA_rev_for_SPO,0)</f>
        <v>0</v>
      </c>
      <c r="AO322" s="49">
        <f ca="1">MAX(HM_ZD_Moho!CA_gross_rev_oil_fp-HM_ZD_Moho!CA_roy_oil_fp-(HM_ZD_Moho!CA_cost_recovered_total*HM_ZD_Moho!CA_rev_oil_perc)-(HM_ZD_Moho!CA_excess_cost_recovery*HM_ZD_Moho!CA_rev_oil_perc)-HM_ZD_Moho!CA_rev_for_SPO,0)</f>
        <v>0</v>
      </c>
      <c r="AP322" s="49">
        <f ca="1">MAX(HM_ZD_Moho!CA_gross_rev_oil_fp-HM_ZD_Moho!CA_roy_oil_fp-(HM_ZD_Moho!CA_cost_recovered_total*HM_ZD_Moho!CA_rev_oil_perc)-(HM_ZD_Moho!CA_excess_cost_recovery*HM_ZD_Moho!CA_rev_oil_perc)-HM_ZD_Moho!CA_rev_for_SPO,0)</f>
        <v>0</v>
      </c>
      <c r="AQ322" s="49">
        <f ca="1">MAX(HM_ZD_Moho!CA_gross_rev_oil_fp-HM_ZD_Moho!CA_roy_oil_fp-(HM_ZD_Moho!CA_cost_recovered_total*HM_ZD_Moho!CA_rev_oil_perc)-(HM_ZD_Moho!CA_excess_cost_recovery*HM_ZD_Moho!CA_rev_oil_perc)-HM_ZD_Moho!CA_rev_for_SPO,0)</f>
        <v>0</v>
      </c>
      <c r="AR322" s="49">
        <f ca="1">MAX(HM_ZD_Moho!CA_gross_rev_oil_fp-HM_ZD_Moho!CA_roy_oil_fp-(HM_ZD_Moho!CA_cost_recovered_total*HM_ZD_Moho!CA_rev_oil_perc)-(HM_ZD_Moho!CA_excess_cost_recovery*HM_ZD_Moho!CA_rev_oil_perc)-HM_ZD_Moho!CA_rev_for_SPO,0)</f>
        <v>0</v>
      </c>
      <c r="AS322" s="49">
        <f ca="1">MAX(HM_ZD_Moho!CA_gross_rev_oil_fp-HM_ZD_Moho!CA_roy_oil_fp-(HM_ZD_Moho!CA_cost_recovered_total*HM_ZD_Moho!CA_rev_oil_perc)-(HM_ZD_Moho!CA_excess_cost_recovery*HM_ZD_Moho!CA_rev_oil_perc)-HM_ZD_Moho!CA_rev_for_SPO,0)</f>
        <v>0</v>
      </c>
      <c r="AT322" s="49">
        <f ca="1">MAX(HM_ZD_Moho!CA_gross_rev_oil_fp-HM_ZD_Moho!CA_roy_oil_fp-(HM_ZD_Moho!CA_cost_recovered_total*HM_ZD_Moho!CA_rev_oil_perc)-(HM_ZD_Moho!CA_excess_cost_recovery*HM_ZD_Moho!CA_rev_oil_perc)-HM_ZD_Moho!CA_rev_for_SPO,0)</f>
        <v>0</v>
      </c>
      <c r="AU322" s="49">
        <f ca="1">MAX(HM_ZD_Moho!CA_gross_rev_oil_fp-HM_ZD_Moho!CA_roy_oil_fp-(HM_ZD_Moho!CA_cost_recovered_total*HM_ZD_Moho!CA_rev_oil_perc)-(HM_ZD_Moho!CA_excess_cost_recovery*HM_ZD_Moho!CA_rev_oil_perc)-HM_ZD_Moho!CA_rev_for_SPO,0)</f>
        <v>0</v>
      </c>
      <c r="AV322" s="49">
        <f ca="1">MAX(HM_ZD_Moho!CA_gross_rev_oil_fp-HM_ZD_Moho!CA_roy_oil_fp-(HM_ZD_Moho!CA_cost_recovered_total*HM_ZD_Moho!CA_rev_oil_perc)-(HM_ZD_Moho!CA_excess_cost_recovery*HM_ZD_Moho!CA_rev_oil_perc)-HM_ZD_Moho!CA_rev_for_SPO,0)</f>
        <v>0</v>
      </c>
      <c r="AW322" s="49">
        <f ca="1">MAX(HM_ZD_Moho!CA_gross_rev_oil_fp-HM_ZD_Moho!CA_roy_oil_fp-(HM_ZD_Moho!CA_cost_recovered_total*HM_ZD_Moho!CA_rev_oil_perc)-(HM_ZD_Moho!CA_excess_cost_recovery*HM_ZD_Moho!CA_rev_oil_perc)-HM_ZD_Moho!CA_rev_for_SPO,0)</f>
        <v>0</v>
      </c>
      <c r="AX322" s="49">
        <f ca="1">MAX(HM_ZD_Moho!CA_gross_rev_oil_fp-HM_ZD_Moho!CA_roy_oil_fp-(HM_ZD_Moho!CA_cost_recovered_total*HM_ZD_Moho!CA_rev_oil_perc)-(HM_ZD_Moho!CA_excess_cost_recovery*HM_ZD_Moho!CA_rev_oil_perc)-HM_ZD_Moho!CA_rev_for_SPO,0)</f>
        <v>0</v>
      </c>
      <c r="AY322" s="49">
        <f ca="1">MAX(HM_ZD_Moho!CA_gross_rev_oil_fp-HM_ZD_Moho!CA_roy_oil_fp-(HM_ZD_Moho!CA_cost_recovered_total*HM_ZD_Moho!CA_rev_oil_perc)-(HM_ZD_Moho!CA_excess_cost_recovery*HM_ZD_Moho!CA_rev_oil_perc)-HM_ZD_Moho!CA_rev_for_SPO,0)</f>
        <v>0</v>
      </c>
      <c r="AZ322" s="49">
        <f ca="1">MAX(HM_ZD_Moho!CA_gross_rev_oil_fp-HM_ZD_Moho!CA_roy_oil_fp-(HM_ZD_Moho!CA_cost_recovered_total*HM_ZD_Moho!CA_rev_oil_perc)-(HM_ZD_Moho!CA_excess_cost_recovery*HM_ZD_Moho!CA_rev_oil_perc)-HM_ZD_Moho!CA_rev_for_SPO,0)</f>
        <v>0</v>
      </c>
      <c r="BA322" s="49">
        <f ca="1">MAX(HM_ZD_Moho!CA_gross_rev_oil_fp-HM_ZD_Moho!CA_roy_oil_fp-(HM_ZD_Moho!CA_cost_recovered_total*HM_ZD_Moho!CA_rev_oil_perc)-(HM_ZD_Moho!CA_excess_cost_recovery*HM_ZD_Moho!CA_rev_oil_perc)-HM_ZD_Moho!CA_rev_for_SPO,0)</f>
        <v>0</v>
      </c>
      <c r="BB322" s="49">
        <f ca="1">MAX(HM_ZD_Moho!CA_gross_rev_oil_fp-HM_ZD_Moho!CA_roy_oil_fp-(HM_ZD_Moho!CA_cost_recovered_total*HM_ZD_Moho!CA_rev_oil_perc)-(HM_ZD_Moho!CA_excess_cost_recovery*HM_ZD_Moho!CA_rev_oil_perc)-HM_ZD_Moho!CA_rev_for_SPO,0)</f>
        <v>0</v>
      </c>
      <c r="BC322" s="49">
        <f ca="1">MAX(HM_ZD_Moho!CA_gross_rev_oil_fp-HM_ZD_Moho!CA_roy_oil_fp-(HM_ZD_Moho!CA_cost_recovered_total*HM_ZD_Moho!CA_rev_oil_perc)-(HM_ZD_Moho!CA_excess_cost_recovery*HM_ZD_Moho!CA_rev_oil_perc)-HM_ZD_Moho!CA_rev_for_SPO,0)</f>
        <v>0</v>
      </c>
      <c r="BD322" s="49">
        <f ca="1">MAX(HM_ZD_Moho!CA_gross_rev_oil_fp-HM_ZD_Moho!CA_roy_oil_fp-(HM_ZD_Moho!CA_cost_recovered_total*HM_ZD_Moho!CA_rev_oil_perc)-(HM_ZD_Moho!CA_excess_cost_recovery*HM_ZD_Moho!CA_rev_oil_perc)-HM_ZD_Moho!CA_rev_for_SPO,0)</f>
        <v>0</v>
      </c>
      <c r="BE322" s="49">
        <f ca="1">MAX(HM_ZD_Moho!CA_gross_rev_oil_fp-HM_ZD_Moho!CA_roy_oil_fp-(HM_ZD_Moho!CA_cost_recovered_total*HM_ZD_Moho!CA_rev_oil_perc)-(HM_ZD_Moho!CA_excess_cost_recovery*HM_ZD_Moho!CA_rev_oil_perc)-HM_ZD_Moho!CA_rev_for_SPO,0)</f>
        <v>0</v>
      </c>
      <c r="BF322" s="49">
        <f ca="1">MAX(HM_ZD_Moho!CA_gross_rev_oil_fp-HM_ZD_Moho!CA_roy_oil_fp-(HM_ZD_Moho!CA_cost_recovered_total*HM_ZD_Moho!CA_rev_oil_perc)-(HM_ZD_Moho!CA_excess_cost_recovery*HM_ZD_Moho!CA_rev_oil_perc)-HM_ZD_Moho!CA_rev_for_SPO,0)</f>
        <v>0</v>
      </c>
      <c r="BG322" s="49">
        <f ca="1">MAX(HM_ZD_Moho!CA_gross_rev_oil_fp-HM_ZD_Moho!CA_roy_oil_fp-(HM_ZD_Moho!CA_cost_recovered_total*HM_ZD_Moho!CA_rev_oil_perc)-(HM_ZD_Moho!CA_excess_cost_recovery*HM_ZD_Moho!CA_rev_oil_perc)-HM_ZD_Moho!CA_rev_for_SPO,0)</f>
        <v>0</v>
      </c>
      <c r="BH322" s="49">
        <f ca="1">MAX(HM_ZD_Moho!CA_gross_rev_oil_fp-HM_ZD_Moho!CA_roy_oil_fp-(HM_ZD_Moho!CA_cost_recovered_total*HM_ZD_Moho!CA_rev_oil_perc)-(HM_ZD_Moho!CA_excess_cost_recovery*HM_ZD_Moho!CA_rev_oil_perc)-HM_ZD_Moho!CA_rev_for_SPO,0)</f>
        <v>0</v>
      </c>
      <c r="BI322" s="49">
        <f ca="1">MAX(HM_ZD_Moho!CA_gross_rev_oil_fp-HM_ZD_Moho!CA_roy_oil_fp-(HM_ZD_Moho!CA_cost_recovered_total*HM_ZD_Moho!CA_rev_oil_perc)-(HM_ZD_Moho!CA_excess_cost_recovery*HM_ZD_Moho!CA_rev_oil_perc)-HM_ZD_Moho!CA_rev_for_SPO,0)</f>
        <v>0</v>
      </c>
      <c r="BJ322" s="49">
        <f ca="1">MAX(HM_ZD_Moho!CA_gross_rev_oil_fp-HM_ZD_Moho!CA_roy_oil_fp-(HM_ZD_Moho!CA_cost_recovered_total*HM_ZD_Moho!CA_rev_oil_perc)-(HM_ZD_Moho!CA_excess_cost_recovery*HM_ZD_Moho!CA_rev_oil_perc)-HM_ZD_Moho!CA_rev_for_SPO,0)</f>
        <v>0</v>
      </c>
      <c r="BK322" s="49">
        <f ca="1">MAX(HM_ZD_Moho!CA_gross_rev_oil_fp-HM_ZD_Moho!CA_roy_oil_fp-(HM_ZD_Moho!CA_cost_recovered_total*HM_ZD_Moho!CA_rev_oil_perc)-(HM_ZD_Moho!CA_excess_cost_recovery*HM_ZD_Moho!CA_rev_oil_perc)-HM_ZD_Moho!CA_rev_for_SPO,0)</f>
        <v>0</v>
      </c>
      <c r="BL322" s="49">
        <f ca="1">MAX(HM_ZD_Moho!CA_gross_rev_oil_fp-HM_ZD_Moho!CA_roy_oil_fp-(HM_ZD_Moho!CA_cost_recovered_total*HM_ZD_Moho!CA_rev_oil_perc)-(HM_ZD_Moho!CA_excess_cost_recovery*HM_ZD_Moho!CA_rev_oil_perc)-HM_ZD_Moho!CA_rev_for_SPO,0)</f>
        <v>0</v>
      </c>
      <c r="BM322" s="49">
        <f ca="1">MAX(HM_ZD_Moho!CA_gross_rev_oil_fp-HM_ZD_Moho!CA_roy_oil_fp-(HM_ZD_Moho!CA_cost_recovered_total*HM_ZD_Moho!CA_rev_oil_perc)-(HM_ZD_Moho!CA_excess_cost_recovery*HM_ZD_Moho!CA_rev_oil_perc)-HM_ZD_Moho!CA_rev_for_SPO,0)</f>
        <v>0</v>
      </c>
      <c r="BN322" s="49">
        <f ca="1">MAX(HM_ZD_Moho!CA_gross_rev_oil_fp-HM_ZD_Moho!CA_roy_oil_fp-(HM_ZD_Moho!CA_cost_recovered_total*HM_ZD_Moho!CA_rev_oil_perc)-(HM_ZD_Moho!CA_excess_cost_recovery*HM_ZD_Moho!CA_rev_oil_perc)-HM_ZD_Moho!CA_rev_for_SPO,0)</f>
        <v>0</v>
      </c>
      <c r="BO322" s="49">
        <f ca="1">MAX(HM_ZD_Moho!CA_gross_rev_oil_fp-HM_ZD_Moho!CA_roy_oil_fp-(HM_ZD_Moho!CA_cost_recovered_total*HM_ZD_Moho!CA_rev_oil_perc)-(HM_ZD_Moho!CA_excess_cost_recovery*HM_ZD_Moho!CA_rev_oil_perc)-HM_ZD_Moho!CA_rev_for_SPO,0)</f>
        <v>0</v>
      </c>
      <c r="BP322" s="49">
        <f ca="1">MAX(HM_ZD_Moho!CA_gross_rev_oil_fp-HM_ZD_Moho!CA_roy_oil_fp-(HM_ZD_Moho!CA_cost_recovered_total*HM_ZD_Moho!CA_rev_oil_perc)-(HM_ZD_Moho!CA_excess_cost_recovery*HM_ZD_Moho!CA_rev_oil_perc)-HM_ZD_Moho!CA_rev_for_SPO,0)</f>
        <v>0</v>
      </c>
      <c r="BQ322" s="49">
        <f ca="1">MAX(HM_ZD_Moho!CA_gross_rev_oil_fp-HM_ZD_Moho!CA_roy_oil_fp-(HM_ZD_Moho!CA_cost_recovered_total*HM_ZD_Moho!CA_rev_oil_perc)-(HM_ZD_Moho!CA_excess_cost_recovery*HM_ZD_Moho!CA_rev_oil_perc)-HM_ZD_Moho!CA_rev_for_SPO,0)</f>
        <v>0</v>
      </c>
      <c r="BR322" s="49">
        <f ca="1">MAX(HM_ZD_Moho!CA_gross_rev_oil_fp-HM_ZD_Moho!CA_roy_oil_fp-(HM_ZD_Moho!CA_cost_recovered_total*HM_ZD_Moho!CA_rev_oil_perc)-(HM_ZD_Moho!CA_excess_cost_recovery*HM_ZD_Moho!CA_rev_oil_perc)-HM_ZD_Moho!CA_rev_for_SPO,0)</f>
        <v>0</v>
      </c>
      <c r="BS322" s="49">
        <f ca="1">MAX(HM_ZD_Moho!CA_gross_rev_oil_fp-HM_ZD_Moho!CA_roy_oil_fp-(HM_ZD_Moho!CA_cost_recovered_total*HM_ZD_Moho!CA_rev_oil_perc)-(HM_ZD_Moho!CA_excess_cost_recovery*HM_ZD_Moho!CA_rev_oil_perc)-HM_ZD_Moho!CA_rev_for_SPO,0)</f>
        <v>0</v>
      </c>
    </row>
    <row r="323" spans="4:71" outlineLevel="1" x14ac:dyDescent="0.2">
      <c r="D323" s="50" t="str">
        <f>HM_ZB_Nsoko!D309</f>
        <v>Partage du profit %</v>
      </c>
      <c r="J323" s="26"/>
      <c r="L323" s="53">
        <f ca="1">HM_ZD_AM3_2005!L301</f>
        <v>0.62</v>
      </c>
      <c r="M323" s="53">
        <f ca="1">HM_ZD_AM3_2005!M301</f>
        <v>0.62</v>
      </c>
      <c r="N323" s="53">
        <f ca="1">IF(AND(HM_ZD_Moho!CA_cum_gross_prod_oil&lt;INDEX(HM_ZD_Moho!FA_PS_cumprod_oil,3),HM_ZD_Moho!CA_cum_gross_prod_oil&gt;=INDEX(HM_ZD_Moho!FA_PS_cumprod_oil,2),HM_ZD_Moho!CA_FP_oil_nom&lt;HM_ZD_Moho!CA_CS_HP_oil_nom),FA_PS_cont_rate2,INDEX(HM_ZD_Moho!FA_PS_cont_rate,MATCH(HM_ZD_Moho!CA_cum_gross_prod_oil,HM_ZD_Moho!FA_PS_cumprod_oil,1)))*HM_ZD_Moho!CA_op_trig</f>
        <v>0.7</v>
      </c>
      <c r="O323" s="53">
        <f ca="1">IF(AND(HM_ZD_Moho!CA_cum_gross_prod_oil&lt;INDEX(HM_ZD_Moho!FA_PS_cumprod_oil,3),HM_ZD_Moho!CA_cum_gross_prod_oil&gt;=INDEX(HM_ZD_Moho!FA_PS_cumprod_oil,2),HM_ZD_Moho!CA_FP_oil_nom&lt;HM_ZD_Moho!CA_CS_HP_oil_nom),FA_PS_cont_rate2,INDEX(HM_ZD_Moho!FA_PS_cont_rate,MATCH(HM_ZD_Moho!CA_cum_gross_prod_oil,HM_ZD_Moho!FA_PS_cumprod_oil,1)))*HM_ZD_Moho!CA_op_trig</f>
        <v>0.7</v>
      </c>
      <c r="P323" s="53">
        <f ca="1">IF(AND(HM_ZD_Moho!CA_cum_gross_prod_oil&lt;INDEX(HM_ZD_Moho!FA_PS_cumprod_oil,3),HM_ZD_Moho!CA_cum_gross_prod_oil&gt;=INDEX(HM_ZD_Moho!FA_PS_cumprod_oil,2),HM_ZD_Moho!CA_FP_oil_nom&lt;HM_ZD_Moho!CA_CS_HP_oil_nom),FA_PS_cont_rate2,INDEX(HM_ZD_Moho!FA_PS_cont_rate,MATCH(HM_ZD_Moho!CA_cum_gross_prod_oil,HM_ZD_Moho!FA_PS_cumprod_oil,1)))*HM_ZD_Moho!CA_op_trig</f>
        <v>0.7</v>
      </c>
      <c r="Q323" s="53">
        <f ca="1">IF(AND(HM_ZD_Moho!CA_cum_gross_prod_oil&lt;INDEX(HM_ZD_Moho!FA_PS_cumprod_oil,3),HM_ZD_Moho!CA_cum_gross_prod_oil&gt;=INDEX(HM_ZD_Moho!FA_PS_cumprod_oil,2),HM_ZD_Moho!CA_FP_oil_nom&lt;HM_ZD_Moho!CA_CS_HP_oil_nom),FA_PS_cont_rate2,INDEX(HM_ZD_Moho!FA_PS_cont_rate,MATCH(HM_ZD_Moho!CA_cum_gross_prod_oil,HM_ZD_Moho!FA_PS_cumprod_oil,1)))*HM_ZD_Moho!CA_op_trig</f>
        <v>0.7</v>
      </c>
      <c r="R323" s="53">
        <f ca="1">IF(AND(HM_ZD_Moho!CA_cum_gross_prod_oil&lt;INDEX(HM_ZD_Moho!FA_PS_cumprod_oil,3),HM_ZD_Moho!CA_cum_gross_prod_oil&gt;=INDEX(HM_ZD_Moho!FA_PS_cumprod_oil,2),HM_ZD_Moho!CA_FP_oil_nom&lt;HM_ZD_Moho!CA_CS_HP_oil_nom),FA_PS_cont_rate2,INDEX(HM_ZD_Moho!FA_PS_cont_rate,MATCH(HM_ZD_Moho!CA_cum_gross_prod_oil,HM_ZD_Moho!FA_PS_cumprod_oil,1)))*HM_ZD_Moho!CA_op_trig</f>
        <v>0.65</v>
      </c>
      <c r="S323" s="53">
        <f ca="1">IF(AND(HM_ZD_Moho!CA_cum_gross_prod_oil&lt;INDEX(HM_ZD_Moho!FA_PS_cumprod_oil,3),HM_ZD_Moho!CA_cum_gross_prod_oil&gt;=INDEX(HM_ZD_Moho!FA_PS_cumprod_oil,2),HM_ZD_Moho!CA_FP_oil_nom&lt;HM_ZD_Moho!CA_CS_HP_oil_nom),FA_PS_cont_rate2,INDEX(HM_ZD_Moho!FA_PS_cont_rate,MATCH(HM_ZD_Moho!CA_cum_gross_prod_oil,HM_ZD_Moho!FA_PS_cumprod_oil,1)))*HM_ZD_Moho!CA_op_trig</f>
        <v>0.65</v>
      </c>
      <c r="T323" s="53">
        <f ca="1">IF(AND(HM_ZD_Moho!CA_cum_gross_prod_oil&lt;INDEX(HM_ZD_Moho!FA_PS_cumprod_oil,3),HM_ZD_Moho!CA_cum_gross_prod_oil&gt;=INDEX(HM_ZD_Moho!FA_PS_cumprod_oil,2),HM_ZD_Moho!CA_FP_oil_nom&lt;HM_ZD_Moho!CA_CS_HP_oil_nom),FA_PS_cont_rate2,INDEX(HM_ZD_Moho!FA_PS_cont_rate,MATCH(HM_ZD_Moho!CA_cum_gross_prod_oil,HM_ZD_Moho!FA_PS_cumprod_oil,1)))*HM_ZD_Moho!CA_op_trig</f>
        <v>0.65</v>
      </c>
      <c r="U323" s="53">
        <f ca="1">IF(AND(HM_ZD_Moho!CA_cum_gross_prod_oil&lt;INDEX(HM_ZD_Moho!FA_PS_cumprod_oil,3),HM_ZD_Moho!CA_cum_gross_prod_oil&gt;=INDEX(HM_ZD_Moho!FA_PS_cumprod_oil,2),HM_ZD_Moho!CA_FP_oil_nom&lt;HM_ZD_Moho!CA_CS_HP_oil_nom),FA_PS_cont_rate2,INDEX(HM_ZD_Moho!FA_PS_cont_rate,MATCH(HM_ZD_Moho!CA_cum_gross_prod_oil,HM_ZD_Moho!FA_PS_cumprod_oil,1)))*HM_ZD_Moho!CA_op_trig</f>
        <v>0.65</v>
      </c>
      <c r="V323" s="53">
        <f ca="1">IF(AND(HM_ZD_Moho!CA_cum_gross_prod_oil&lt;INDEX(HM_ZD_Moho!FA_PS_cumprod_oil,3),HM_ZD_Moho!CA_cum_gross_prod_oil&gt;=INDEX(HM_ZD_Moho!FA_PS_cumprod_oil,2),HM_ZD_Moho!CA_FP_oil_nom&lt;HM_ZD_Moho!CA_CS_HP_oil_nom),FA_PS_cont_rate2,INDEX(HM_ZD_Moho!FA_PS_cont_rate,MATCH(HM_ZD_Moho!CA_cum_gross_prod_oil,HM_ZD_Moho!FA_PS_cumprod_oil,1)))*HM_ZD_Moho!CA_op_trig</f>
        <v>0.5</v>
      </c>
      <c r="W323" s="53">
        <f ca="1">IF(AND(HM_ZD_Moho!CA_cum_gross_prod_oil&lt;INDEX(HM_ZD_Moho!FA_PS_cumprod_oil,3),HM_ZD_Moho!CA_cum_gross_prod_oil&gt;=INDEX(HM_ZD_Moho!FA_PS_cumprod_oil,2),HM_ZD_Moho!CA_FP_oil_nom&lt;HM_ZD_Moho!CA_CS_HP_oil_nom),FA_PS_cont_rate2,INDEX(HM_ZD_Moho!FA_PS_cont_rate,MATCH(HM_ZD_Moho!CA_cum_gross_prod_oil,HM_ZD_Moho!FA_PS_cumprod_oil,1)))*HM_ZD_Moho!CA_op_trig</f>
        <v>0.5</v>
      </c>
      <c r="X323" s="53">
        <f ca="1">IF(AND(HM_ZD_Moho!CA_cum_gross_prod_oil&lt;INDEX(HM_ZD_Moho!FA_PS_cumprod_oil,3),HM_ZD_Moho!CA_cum_gross_prod_oil&gt;=INDEX(HM_ZD_Moho!FA_PS_cumprod_oil,2),HM_ZD_Moho!CA_FP_oil_nom&lt;HM_ZD_Moho!CA_CS_HP_oil_nom),FA_PS_cont_rate2,INDEX(HM_ZD_Moho!FA_PS_cont_rate,MATCH(HM_ZD_Moho!CA_cum_gross_prod_oil,HM_ZD_Moho!FA_PS_cumprod_oil,1)))*HM_ZD_Moho!CA_op_trig</f>
        <v>0.5</v>
      </c>
      <c r="Y323" s="53">
        <f ca="1">IF(AND(HM_ZD_Moho!CA_cum_gross_prod_oil&lt;INDEX(HM_ZD_Moho!FA_PS_cumprod_oil,3),HM_ZD_Moho!CA_cum_gross_prod_oil&gt;=INDEX(HM_ZD_Moho!FA_PS_cumprod_oil,2),HM_ZD_Moho!CA_FP_oil_nom&lt;HM_ZD_Moho!CA_CS_HP_oil_nom),FA_PS_cont_rate2,INDEX(HM_ZD_Moho!FA_PS_cont_rate,MATCH(HM_ZD_Moho!CA_cum_gross_prod_oil,HM_ZD_Moho!FA_PS_cumprod_oil,1)))*HM_ZD_Moho!CA_op_trig</f>
        <v>0</v>
      </c>
      <c r="Z323" s="53">
        <f ca="1">IF(AND(HM_ZD_Moho!CA_cum_gross_prod_oil&lt;INDEX(HM_ZD_Moho!FA_PS_cumprod_oil,3),HM_ZD_Moho!CA_cum_gross_prod_oil&gt;=INDEX(HM_ZD_Moho!FA_PS_cumprod_oil,2),HM_ZD_Moho!CA_FP_oil_nom&lt;HM_ZD_Moho!CA_CS_HP_oil_nom),FA_PS_cont_rate2,INDEX(HM_ZD_Moho!FA_PS_cont_rate,MATCH(HM_ZD_Moho!CA_cum_gross_prod_oil,HM_ZD_Moho!FA_PS_cumprod_oil,1)))*HM_ZD_Moho!CA_op_trig</f>
        <v>0</v>
      </c>
      <c r="AA323" s="53">
        <f ca="1">IF(AND(HM_ZD_Moho!CA_cum_gross_prod_oil&lt;INDEX(HM_ZD_Moho!FA_PS_cumprod_oil,3),HM_ZD_Moho!CA_cum_gross_prod_oil&gt;=INDEX(HM_ZD_Moho!FA_PS_cumprod_oil,2),HM_ZD_Moho!CA_FP_oil_nom&lt;HM_ZD_Moho!CA_CS_HP_oil_nom),FA_PS_cont_rate2,INDEX(HM_ZD_Moho!FA_PS_cont_rate,MATCH(HM_ZD_Moho!CA_cum_gross_prod_oil,HM_ZD_Moho!FA_PS_cumprod_oil,1)))*HM_ZD_Moho!CA_op_trig</f>
        <v>0</v>
      </c>
      <c r="AB323" s="53">
        <f ca="1">IF(AND(HM_ZD_Moho!CA_cum_gross_prod_oil&lt;INDEX(HM_ZD_Moho!FA_PS_cumprod_oil,3),HM_ZD_Moho!CA_cum_gross_prod_oil&gt;=INDEX(HM_ZD_Moho!FA_PS_cumprod_oil,2),HM_ZD_Moho!CA_FP_oil_nom&lt;HM_ZD_Moho!CA_CS_HP_oil_nom),FA_PS_cont_rate2,INDEX(HM_ZD_Moho!FA_PS_cont_rate,MATCH(HM_ZD_Moho!CA_cum_gross_prod_oil,HM_ZD_Moho!FA_PS_cumprod_oil,1)))*HM_ZD_Moho!CA_op_trig</f>
        <v>0</v>
      </c>
      <c r="AC323" s="53">
        <f ca="1">IF(AND(HM_ZD_Moho!CA_cum_gross_prod_oil&lt;INDEX(HM_ZD_Moho!FA_PS_cumprod_oil,3),HM_ZD_Moho!CA_cum_gross_prod_oil&gt;=INDEX(HM_ZD_Moho!FA_PS_cumprod_oil,2),HM_ZD_Moho!CA_FP_oil_nom&lt;HM_ZD_Moho!CA_CS_HP_oil_nom),FA_PS_cont_rate2,INDEX(HM_ZD_Moho!FA_PS_cont_rate,MATCH(HM_ZD_Moho!CA_cum_gross_prod_oil,HM_ZD_Moho!FA_PS_cumprod_oil,1)))*HM_ZD_Moho!CA_op_trig</f>
        <v>0</v>
      </c>
      <c r="AD323" s="53">
        <f ca="1">IF(AND(HM_ZD_Moho!CA_cum_gross_prod_oil&lt;INDEX(HM_ZD_Moho!FA_PS_cumprod_oil,3),HM_ZD_Moho!CA_cum_gross_prod_oil&gt;=INDEX(HM_ZD_Moho!FA_PS_cumprod_oil,2),HM_ZD_Moho!CA_FP_oil_nom&lt;HM_ZD_Moho!CA_CS_HP_oil_nom),FA_PS_cont_rate2,INDEX(HM_ZD_Moho!FA_PS_cont_rate,MATCH(HM_ZD_Moho!CA_cum_gross_prod_oil,HM_ZD_Moho!FA_PS_cumprod_oil,1)))*HM_ZD_Moho!CA_op_trig</f>
        <v>0</v>
      </c>
      <c r="AE323" s="53">
        <f ca="1">IF(AND(HM_ZD_Moho!CA_cum_gross_prod_oil&lt;INDEX(HM_ZD_Moho!FA_PS_cumprod_oil,3),HM_ZD_Moho!CA_cum_gross_prod_oil&gt;=INDEX(HM_ZD_Moho!FA_PS_cumprod_oil,2),HM_ZD_Moho!CA_FP_oil_nom&lt;HM_ZD_Moho!CA_CS_HP_oil_nom),FA_PS_cont_rate2,INDEX(HM_ZD_Moho!FA_PS_cont_rate,MATCH(HM_ZD_Moho!CA_cum_gross_prod_oil,HM_ZD_Moho!FA_PS_cumprod_oil,1)))*HM_ZD_Moho!CA_op_trig</f>
        <v>0</v>
      </c>
      <c r="AF323" s="53">
        <f ca="1">IF(AND(HM_ZD_Moho!CA_cum_gross_prod_oil&lt;INDEX(HM_ZD_Moho!FA_PS_cumprod_oil,3),HM_ZD_Moho!CA_cum_gross_prod_oil&gt;=INDEX(HM_ZD_Moho!FA_PS_cumprod_oil,2),HM_ZD_Moho!CA_FP_oil_nom&lt;HM_ZD_Moho!CA_CS_HP_oil_nom),FA_PS_cont_rate2,INDEX(HM_ZD_Moho!FA_PS_cont_rate,MATCH(HM_ZD_Moho!CA_cum_gross_prod_oil,HM_ZD_Moho!FA_PS_cumprod_oil,1)))*HM_ZD_Moho!CA_op_trig</f>
        <v>0</v>
      </c>
      <c r="AG323" s="53">
        <f ca="1">IF(AND(HM_ZD_Moho!CA_cum_gross_prod_oil&lt;INDEX(HM_ZD_Moho!FA_PS_cumprod_oil,3),HM_ZD_Moho!CA_cum_gross_prod_oil&gt;=INDEX(HM_ZD_Moho!FA_PS_cumprod_oil,2),HM_ZD_Moho!CA_FP_oil_nom&lt;HM_ZD_Moho!CA_CS_HP_oil_nom),FA_PS_cont_rate2,INDEX(HM_ZD_Moho!FA_PS_cont_rate,MATCH(HM_ZD_Moho!CA_cum_gross_prod_oil,HM_ZD_Moho!FA_PS_cumprod_oil,1)))*HM_ZD_Moho!CA_op_trig</f>
        <v>0</v>
      </c>
      <c r="AH323" s="53">
        <f ca="1">IF(AND(HM_ZD_Moho!CA_cum_gross_prod_oil&lt;INDEX(HM_ZD_Moho!FA_PS_cumprod_oil,3),HM_ZD_Moho!CA_cum_gross_prod_oil&gt;=INDEX(HM_ZD_Moho!FA_PS_cumprod_oil,2),HM_ZD_Moho!CA_FP_oil_nom&lt;HM_ZD_Moho!CA_CS_HP_oil_nom),FA_PS_cont_rate2,INDEX(HM_ZD_Moho!FA_PS_cont_rate,MATCH(HM_ZD_Moho!CA_cum_gross_prod_oil,HM_ZD_Moho!FA_PS_cumprod_oil,1)))*HM_ZD_Moho!CA_op_trig</f>
        <v>0</v>
      </c>
      <c r="AI323" s="53">
        <f ca="1">IF(AND(HM_ZD_Moho!CA_cum_gross_prod_oil&lt;INDEX(HM_ZD_Moho!FA_PS_cumprod_oil,3),HM_ZD_Moho!CA_cum_gross_prod_oil&gt;=INDEX(HM_ZD_Moho!FA_PS_cumprod_oil,2),HM_ZD_Moho!CA_FP_oil_nom&lt;HM_ZD_Moho!CA_CS_HP_oil_nom),FA_PS_cont_rate2,INDEX(HM_ZD_Moho!FA_PS_cont_rate,MATCH(HM_ZD_Moho!CA_cum_gross_prod_oil,HM_ZD_Moho!FA_PS_cumprod_oil,1)))*HM_ZD_Moho!CA_op_trig</f>
        <v>0</v>
      </c>
      <c r="AJ323" s="53">
        <f ca="1">IF(AND(HM_ZD_Moho!CA_cum_gross_prod_oil&lt;INDEX(HM_ZD_Moho!FA_PS_cumprod_oil,3),HM_ZD_Moho!CA_cum_gross_prod_oil&gt;=INDEX(HM_ZD_Moho!FA_PS_cumprod_oil,2),HM_ZD_Moho!CA_FP_oil_nom&lt;HM_ZD_Moho!CA_CS_HP_oil_nom),FA_PS_cont_rate2,INDEX(HM_ZD_Moho!FA_PS_cont_rate,MATCH(HM_ZD_Moho!CA_cum_gross_prod_oil,HM_ZD_Moho!FA_PS_cumprod_oil,1)))*HM_ZD_Moho!CA_op_trig</f>
        <v>0</v>
      </c>
      <c r="AK323" s="53">
        <f ca="1">IF(AND(HM_ZD_Moho!CA_cum_gross_prod_oil&lt;INDEX(HM_ZD_Moho!FA_PS_cumprod_oil,3),HM_ZD_Moho!CA_cum_gross_prod_oil&gt;=INDEX(HM_ZD_Moho!FA_PS_cumprod_oil,2),HM_ZD_Moho!CA_FP_oil_nom&lt;HM_ZD_Moho!CA_CS_HP_oil_nom),FA_PS_cont_rate2,INDEX(HM_ZD_Moho!FA_PS_cont_rate,MATCH(HM_ZD_Moho!CA_cum_gross_prod_oil,HM_ZD_Moho!FA_PS_cumprod_oil,1)))*HM_ZD_Moho!CA_op_trig</f>
        <v>0</v>
      </c>
      <c r="AL323" s="53">
        <f ca="1">IF(AND(HM_ZD_Moho!CA_cum_gross_prod_oil&lt;INDEX(HM_ZD_Moho!FA_PS_cumprod_oil,3),HM_ZD_Moho!CA_cum_gross_prod_oil&gt;=INDEX(HM_ZD_Moho!FA_PS_cumprod_oil,2),HM_ZD_Moho!CA_FP_oil_nom&lt;HM_ZD_Moho!CA_CS_HP_oil_nom),FA_PS_cont_rate2,INDEX(HM_ZD_Moho!FA_PS_cont_rate,MATCH(HM_ZD_Moho!CA_cum_gross_prod_oil,HM_ZD_Moho!FA_PS_cumprod_oil,1)))*HM_ZD_Moho!CA_op_trig</f>
        <v>0</v>
      </c>
      <c r="AM323" s="53">
        <f ca="1">IF(AND(HM_ZD_Moho!CA_cum_gross_prod_oil&lt;INDEX(HM_ZD_Moho!FA_PS_cumprod_oil,3),HM_ZD_Moho!CA_cum_gross_prod_oil&gt;=INDEX(HM_ZD_Moho!FA_PS_cumprod_oil,2),HM_ZD_Moho!CA_FP_oil_nom&lt;HM_ZD_Moho!CA_CS_HP_oil_nom),FA_PS_cont_rate2,INDEX(HM_ZD_Moho!FA_PS_cont_rate,MATCH(HM_ZD_Moho!CA_cum_gross_prod_oil,HM_ZD_Moho!FA_PS_cumprod_oil,1)))*HM_ZD_Moho!CA_op_trig</f>
        <v>0</v>
      </c>
      <c r="AN323" s="53">
        <f ca="1">IF(AND(HM_ZD_Moho!CA_cum_gross_prod_oil&lt;INDEX(HM_ZD_Moho!FA_PS_cumprod_oil,3),HM_ZD_Moho!CA_cum_gross_prod_oil&gt;=INDEX(HM_ZD_Moho!FA_PS_cumprod_oil,2),HM_ZD_Moho!CA_FP_oil_nom&lt;HM_ZD_Moho!CA_CS_HP_oil_nom),FA_PS_cont_rate2,INDEX(HM_ZD_Moho!FA_PS_cont_rate,MATCH(HM_ZD_Moho!CA_cum_gross_prod_oil,HM_ZD_Moho!FA_PS_cumprod_oil,1)))*HM_ZD_Moho!CA_op_trig</f>
        <v>0</v>
      </c>
      <c r="AO323" s="53">
        <f ca="1">IF(AND(HM_ZD_Moho!CA_cum_gross_prod_oil&lt;INDEX(HM_ZD_Moho!FA_PS_cumprod_oil,3),HM_ZD_Moho!CA_cum_gross_prod_oil&gt;=INDEX(HM_ZD_Moho!FA_PS_cumprod_oil,2),HM_ZD_Moho!CA_FP_oil_nom&lt;HM_ZD_Moho!CA_CS_HP_oil_nom),FA_PS_cont_rate2,INDEX(HM_ZD_Moho!FA_PS_cont_rate,MATCH(HM_ZD_Moho!CA_cum_gross_prod_oil,HM_ZD_Moho!FA_PS_cumprod_oil,1)))*HM_ZD_Moho!CA_op_trig</f>
        <v>0</v>
      </c>
      <c r="AP323" s="53">
        <f ca="1">IF(AND(HM_ZD_Moho!CA_cum_gross_prod_oil&lt;INDEX(HM_ZD_Moho!FA_PS_cumprod_oil,3),HM_ZD_Moho!CA_cum_gross_prod_oil&gt;=INDEX(HM_ZD_Moho!FA_PS_cumprod_oil,2),HM_ZD_Moho!CA_FP_oil_nom&lt;HM_ZD_Moho!CA_CS_HP_oil_nom),FA_PS_cont_rate2,INDEX(HM_ZD_Moho!FA_PS_cont_rate,MATCH(HM_ZD_Moho!CA_cum_gross_prod_oil,HM_ZD_Moho!FA_PS_cumprod_oil,1)))*HM_ZD_Moho!CA_op_trig</f>
        <v>0</v>
      </c>
      <c r="AQ323" s="53">
        <f ca="1">IF(AND(HM_ZD_Moho!CA_cum_gross_prod_oil&lt;INDEX(HM_ZD_Moho!FA_PS_cumprod_oil,3),HM_ZD_Moho!CA_cum_gross_prod_oil&gt;=INDEX(HM_ZD_Moho!FA_PS_cumprod_oil,2),HM_ZD_Moho!CA_FP_oil_nom&lt;HM_ZD_Moho!CA_CS_HP_oil_nom),FA_PS_cont_rate2,INDEX(HM_ZD_Moho!FA_PS_cont_rate,MATCH(HM_ZD_Moho!CA_cum_gross_prod_oil,HM_ZD_Moho!FA_PS_cumprod_oil,1)))*HM_ZD_Moho!CA_op_trig</f>
        <v>0</v>
      </c>
      <c r="AR323" s="53">
        <f ca="1">IF(AND(HM_ZD_Moho!CA_cum_gross_prod_oil&lt;INDEX(HM_ZD_Moho!FA_PS_cumprod_oil,3),HM_ZD_Moho!CA_cum_gross_prod_oil&gt;=INDEX(HM_ZD_Moho!FA_PS_cumprod_oil,2),HM_ZD_Moho!CA_FP_oil_nom&lt;HM_ZD_Moho!CA_CS_HP_oil_nom),FA_PS_cont_rate2,INDEX(HM_ZD_Moho!FA_PS_cont_rate,MATCH(HM_ZD_Moho!CA_cum_gross_prod_oil,HM_ZD_Moho!FA_PS_cumprod_oil,1)))*HM_ZD_Moho!CA_op_trig</f>
        <v>0</v>
      </c>
      <c r="AS323" s="53">
        <f ca="1">IF(AND(HM_ZD_Moho!CA_cum_gross_prod_oil&lt;INDEX(HM_ZD_Moho!FA_PS_cumprod_oil,3),HM_ZD_Moho!CA_cum_gross_prod_oil&gt;=INDEX(HM_ZD_Moho!FA_PS_cumprod_oil,2),HM_ZD_Moho!CA_FP_oil_nom&lt;HM_ZD_Moho!CA_CS_HP_oil_nom),FA_PS_cont_rate2,INDEX(HM_ZD_Moho!FA_PS_cont_rate,MATCH(HM_ZD_Moho!CA_cum_gross_prod_oil,HM_ZD_Moho!FA_PS_cumprod_oil,1)))*HM_ZD_Moho!CA_op_trig</f>
        <v>0</v>
      </c>
      <c r="AT323" s="53">
        <f ca="1">IF(AND(HM_ZD_Moho!CA_cum_gross_prod_oil&lt;INDEX(HM_ZD_Moho!FA_PS_cumprod_oil,3),HM_ZD_Moho!CA_cum_gross_prod_oil&gt;=INDEX(HM_ZD_Moho!FA_PS_cumprod_oil,2),HM_ZD_Moho!CA_FP_oil_nom&lt;HM_ZD_Moho!CA_CS_HP_oil_nom),FA_PS_cont_rate2,INDEX(HM_ZD_Moho!FA_PS_cont_rate,MATCH(HM_ZD_Moho!CA_cum_gross_prod_oil,HM_ZD_Moho!FA_PS_cumprod_oil,1)))*HM_ZD_Moho!CA_op_trig</f>
        <v>0</v>
      </c>
      <c r="AU323" s="53">
        <f ca="1">IF(AND(HM_ZD_Moho!CA_cum_gross_prod_oil&lt;INDEX(HM_ZD_Moho!FA_PS_cumprod_oil,3),HM_ZD_Moho!CA_cum_gross_prod_oil&gt;=INDEX(HM_ZD_Moho!FA_PS_cumprod_oil,2),HM_ZD_Moho!CA_FP_oil_nom&lt;HM_ZD_Moho!CA_CS_HP_oil_nom),FA_PS_cont_rate2,INDEX(HM_ZD_Moho!FA_PS_cont_rate,MATCH(HM_ZD_Moho!CA_cum_gross_prod_oil,HM_ZD_Moho!FA_PS_cumprod_oil,1)))*HM_ZD_Moho!CA_op_trig</f>
        <v>0</v>
      </c>
      <c r="AV323" s="53">
        <f ca="1">IF(AND(HM_ZD_Moho!CA_cum_gross_prod_oil&lt;INDEX(HM_ZD_Moho!FA_PS_cumprod_oil,3),HM_ZD_Moho!CA_cum_gross_prod_oil&gt;=INDEX(HM_ZD_Moho!FA_PS_cumprod_oil,2),HM_ZD_Moho!CA_FP_oil_nom&lt;HM_ZD_Moho!CA_CS_HP_oil_nom),FA_PS_cont_rate2,INDEX(HM_ZD_Moho!FA_PS_cont_rate,MATCH(HM_ZD_Moho!CA_cum_gross_prod_oil,HM_ZD_Moho!FA_PS_cumprod_oil,1)))*HM_ZD_Moho!CA_op_trig</f>
        <v>0</v>
      </c>
      <c r="AW323" s="53">
        <f ca="1">IF(AND(HM_ZD_Moho!CA_cum_gross_prod_oil&lt;INDEX(HM_ZD_Moho!FA_PS_cumprod_oil,3),HM_ZD_Moho!CA_cum_gross_prod_oil&gt;=INDEX(HM_ZD_Moho!FA_PS_cumprod_oil,2),HM_ZD_Moho!CA_FP_oil_nom&lt;HM_ZD_Moho!CA_CS_HP_oil_nom),FA_PS_cont_rate2,INDEX(HM_ZD_Moho!FA_PS_cont_rate,MATCH(HM_ZD_Moho!CA_cum_gross_prod_oil,HM_ZD_Moho!FA_PS_cumprod_oil,1)))*HM_ZD_Moho!CA_op_trig</f>
        <v>0</v>
      </c>
      <c r="AX323" s="53">
        <f ca="1">IF(AND(HM_ZD_Moho!CA_cum_gross_prod_oil&lt;INDEX(HM_ZD_Moho!FA_PS_cumprod_oil,3),HM_ZD_Moho!CA_cum_gross_prod_oil&gt;=INDEX(HM_ZD_Moho!FA_PS_cumprod_oil,2),HM_ZD_Moho!CA_FP_oil_nom&lt;HM_ZD_Moho!CA_CS_HP_oil_nom),FA_PS_cont_rate2,INDEX(HM_ZD_Moho!FA_PS_cont_rate,MATCH(HM_ZD_Moho!CA_cum_gross_prod_oil,HM_ZD_Moho!FA_PS_cumprod_oil,1)))*HM_ZD_Moho!CA_op_trig</f>
        <v>0</v>
      </c>
      <c r="AY323" s="53">
        <f ca="1">IF(AND(HM_ZD_Moho!CA_cum_gross_prod_oil&lt;INDEX(HM_ZD_Moho!FA_PS_cumprod_oil,3),HM_ZD_Moho!CA_cum_gross_prod_oil&gt;=INDEX(HM_ZD_Moho!FA_PS_cumprod_oil,2),HM_ZD_Moho!CA_FP_oil_nom&lt;HM_ZD_Moho!CA_CS_HP_oil_nom),FA_PS_cont_rate2,INDEX(HM_ZD_Moho!FA_PS_cont_rate,MATCH(HM_ZD_Moho!CA_cum_gross_prod_oil,HM_ZD_Moho!FA_PS_cumprod_oil,1)))*HM_ZD_Moho!CA_op_trig</f>
        <v>0</v>
      </c>
      <c r="AZ323" s="53">
        <f ca="1">IF(AND(HM_ZD_Moho!CA_cum_gross_prod_oil&lt;INDEX(HM_ZD_Moho!FA_PS_cumprod_oil,3),HM_ZD_Moho!CA_cum_gross_prod_oil&gt;=INDEX(HM_ZD_Moho!FA_PS_cumprod_oil,2),HM_ZD_Moho!CA_FP_oil_nom&lt;HM_ZD_Moho!CA_CS_HP_oil_nom),FA_PS_cont_rate2,INDEX(HM_ZD_Moho!FA_PS_cont_rate,MATCH(HM_ZD_Moho!CA_cum_gross_prod_oil,HM_ZD_Moho!FA_PS_cumprod_oil,1)))*HM_ZD_Moho!CA_op_trig</f>
        <v>0</v>
      </c>
      <c r="BA323" s="53">
        <f ca="1">IF(AND(HM_ZD_Moho!CA_cum_gross_prod_oil&lt;INDEX(HM_ZD_Moho!FA_PS_cumprod_oil,3),HM_ZD_Moho!CA_cum_gross_prod_oil&gt;=INDEX(HM_ZD_Moho!FA_PS_cumprod_oil,2),HM_ZD_Moho!CA_FP_oil_nom&lt;HM_ZD_Moho!CA_CS_HP_oil_nom),FA_PS_cont_rate2,INDEX(HM_ZD_Moho!FA_PS_cont_rate,MATCH(HM_ZD_Moho!CA_cum_gross_prod_oil,HM_ZD_Moho!FA_PS_cumprod_oil,1)))*HM_ZD_Moho!CA_op_trig</f>
        <v>0</v>
      </c>
      <c r="BB323" s="53">
        <f ca="1">IF(AND(HM_ZD_Moho!CA_cum_gross_prod_oil&lt;INDEX(HM_ZD_Moho!FA_PS_cumprod_oil,3),HM_ZD_Moho!CA_cum_gross_prod_oil&gt;=INDEX(HM_ZD_Moho!FA_PS_cumprod_oil,2),HM_ZD_Moho!CA_FP_oil_nom&lt;HM_ZD_Moho!CA_CS_HP_oil_nom),FA_PS_cont_rate2,INDEX(HM_ZD_Moho!FA_PS_cont_rate,MATCH(HM_ZD_Moho!CA_cum_gross_prod_oil,HM_ZD_Moho!FA_PS_cumprod_oil,1)))*HM_ZD_Moho!CA_op_trig</f>
        <v>0</v>
      </c>
      <c r="BC323" s="53">
        <f ca="1">IF(AND(HM_ZD_Moho!CA_cum_gross_prod_oil&lt;INDEX(HM_ZD_Moho!FA_PS_cumprod_oil,3),HM_ZD_Moho!CA_cum_gross_prod_oil&gt;=INDEX(HM_ZD_Moho!FA_PS_cumprod_oil,2),HM_ZD_Moho!CA_FP_oil_nom&lt;HM_ZD_Moho!CA_CS_HP_oil_nom),FA_PS_cont_rate2,INDEX(HM_ZD_Moho!FA_PS_cont_rate,MATCH(HM_ZD_Moho!CA_cum_gross_prod_oil,HM_ZD_Moho!FA_PS_cumprod_oil,1)))*HM_ZD_Moho!CA_op_trig</f>
        <v>0</v>
      </c>
      <c r="BD323" s="53">
        <f ca="1">IF(AND(HM_ZD_Moho!CA_cum_gross_prod_oil&lt;INDEX(HM_ZD_Moho!FA_PS_cumprod_oil,3),HM_ZD_Moho!CA_cum_gross_prod_oil&gt;=INDEX(HM_ZD_Moho!FA_PS_cumprod_oil,2),HM_ZD_Moho!CA_FP_oil_nom&lt;HM_ZD_Moho!CA_CS_HP_oil_nom),FA_PS_cont_rate2,INDEX(HM_ZD_Moho!FA_PS_cont_rate,MATCH(HM_ZD_Moho!CA_cum_gross_prod_oil,HM_ZD_Moho!FA_PS_cumprod_oil,1)))*HM_ZD_Moho!CA_op_trig</f>
        <v>0</v>
      </c>
      <c r="BE323" s="53">
        <f ca="1">IF(AND(HM_ZD_Moho!CA_cum_gross_prod_oil&lt;INDEX(HM_ZD_Moho!FA_PS_cumprod_oil,3),HM_ZD_Moho!CA_cum_gross_prod_oil&gt;=INDEX(HM_ZD_Moho!FA_PS_cumprod_oil,2),HM_ZD_Moho!CA_FP_oil_nom&lt;HM_ZD_Moho!CA_CS_HP_oil_nom),FA_PS_cont_rate2,INDEX(HM_ZD_Moho!FA_PS_cont_rate,MATCH(HM_ZD_Moho!CA_cum_gross_prod_oil,HM_ZD_Moho!FA_PS_cumprod_oil,1)))*HM_ZD_Moho!CA_op_trig</f>
        <v>0</v>
      </c>
      <c r="BF323" s="53">
        <f ca="1">IF(AND(HM_ZD_Moho!CA_cum_gross_prod_oil&lt;INDEX(HM_ZD_Moho!FA_PS_cumprod_oil,3),HM_ZD_Moho!CA_cum_gross_prod_oil&gt;=INDEX(HM_ZD_Moho!FA_PS_cumprod_oil,2),HM_ZD_Moho!CA_FP_oil_nom&lt;HM_ZD_Moho!CA_CS_HP_oil_nom),FA_PS_cont_rate2,INDEX(HM_ZD_Moho!FA_PS_cont_rate,MATCH(HM_ZD_Moho!CA_cum_gross_prod_oil,HM_ZD_Moho!FA_PS_cumprod_oil,1)))*HM_ZD_Moho!CA_op_trig</f>
        <v>0</v>
      </c>
      <c r="BG323" s="53">
        <f ca="1">IF(AND(HM_ZD_Moho!CA_cum_gross_prod_oil&lt;INDEX(HM_ZD_Moho!FA_PS_cumprod_oil,3),HM_ZD_Moho!CA_cum_gross_prod_oil&gt;=INDEX(HM_ZD_Moho!FA_PS_cumprod_oil,2),HM_ZD_Moho!CA_FP_oil_nom&lt;HM_ZD_Moho!CA_CS_HP_oil_nom),FA_PS_cont_rate2,INDEX(HM_ZD_Moho!FA_PS_cont_rate,MATCH(HM_ZD_Moho!CA_cum_gross_prod_oil,HM_ZD_Moho!FA_PS_cumprod_oil,1)))*HM_ZD_Moho!CA_op_trig</f>
        <v>0</v>
      </c>
      <c r="BH323" s="53">
        <f ca="1">IF(AND(HM_ZD_Moho!CA_cum_gross_prod_oil&lt;INDEX(HM_ZD_Moho!FA_PS_cumprod_oil,3),HM_ZD_Moho!CA_cum_gross_prod_oil&gt;=INDEX(HM_ZD_Moho!FA_PS_cumprod_oil,2),HM_ZD_Moho!CA_FP_oil_nom&lt;HM_ZD_Moho!CA_CS_HP_oil_nom),FA_PS_cont_rate2,INDEX(HM_ZD_Moho!FA_PS_cont_rate,MATCH(HM_ZD_Moho!CA_cum_gross_prod_oil,HM_ZD_Moho!FA_PS_cumprod_oil,1)))*HM_ZD_Moho!CA_op_trig</f>
        <v>0</v>
      </c>
      <c r="BI323" s="53">
        <f ca="1">IF(AND(HM_ZD_Moho!CA_cum_gross_prod_oil&lt;INDEX(HM_ZD_Moho!FA_PS_cumprod_oil,3),HM_ZD_Moho!CA_cum_gross_prod_oil&gt;=INDEX(HM_ZD_Moho!FA_PS_cumprod_oil,2),HM_ZD_Moho!CA_FP_oil_nom&lt;HM_ZD_Moho!CA_CS_HP_oil_nom),FA_PS_cont_rate2,INDEX(HM_ZD_Moho!FA_PS_cont_rate,MATCH(HM_ZD_Moho!CA_cum_gross_prod_oil,HM_ZD_Moho!FA_PS_cumprod_oil,1)))*HM_ZD_Moho!CA_op_trig</f>
        <v>0</v>
      </c>
      <c r="BJ323" s="53">
        <f ca="1">IF(AND(HM_ZD_Moho!CA_cum_gross_prod_oil&lt;INDEX(HM_ZD_Moho!FA_PS_cumprod_oil,3),HM_ZD_Moho!CA_cum_gross_prod_oil&gt;=INDEX(HM_ZD_Moho!FA_PS_cumprod_oil,2),HM_ZD_Moho!CA_FP_oil_nom&lt;HM_ZD_Moho!CA_CS_HP_oil_nom),FA_PS_cont_rate2,INDEX(HM_ZD_Moho!FA_PS_cont_rate,MATCH(HM_ZD_Moho!CA_cum_gross_prod_oil,HM_ZD_Moho!FA_PS_cumprod_oil,1)))*HM_ZD_Moho!CA_op_trig</f>
        <v>0</v>
      </c>
      <c r="BK323" s="53">
        <f ca="1">IF(AND(HM_ZD_Moho!CA_cum_gross_prod_oil&lt;INDEX(HM_ZD_Moho!FA_PS_cumprod_oil,3),HM_ZD_Moho!CA_cum_gross_prod_oil&gt;=INDEX(HM_ZD_Moho!FA_PS_cumprod_oil,2),HM_ZD_Moho!CA_FP_oil_nom&lt;HM_ZD_Moho!CA_CS_HP_oil_nom),FA_PS_cont_rate2,INDEX(HM_ZD_Moho!FA_PS_cont_rate,MATCH(HM_ZD_Moho!CA_cum_gross_prod_oil,HM_ZD_Moho!FA_PS_cumprod_oil,1)))*HM_ZD_Moho!CA_op_trig</f>
        <v>0</v>
      </c>
      <c r="BL323" s="53">
        <f ca="1">IF(AND(HM_ZD_Moho!CA_cum_gross_prod_oil&lt;INDEX(HM_ZD_Moho!FA_PS_cumprod_oil,3),HM_ZD_Moho!CA_cum_gross_prod_oil&gt;=INDEX(HM_ZD_Moho!FA_PS_cumprod_oil,2),HM_ZD_Moho!CA_FP_oil_nom&lt;HM_ZD_Moho!CA_CS_HP_oil_nom),FA_PS_cont_rate2,INDEX(HM_ZD_Moho!FA_PS_cont_rate,MATCH(HM_ZD_Moho!CA_cum_gross_prod_oil,HM_ZD_Moho!FA_PS_cumprod_oil,1)))*HM_ZD_Moho!CA_op_trig</f>
        <v>0</v>
      </c>
      <c r="BM323" s="53">
        <f ca="1">IF(AND(HM_ZD_Moho!CA_cum_gross_prod_oil&lt;INDEX(HM_ZD_Moho!FA_PS_cumprod_oil,3),HM_ZD_Moho!CA_cum_gross_prod_oil&gt;=INDEX(HM_ZD_Moho!FA_PS_cumprod_oil,2),HM_ZD_Moho!CA_FP_oil_nom&lt;HM_ZD_Moho!CA_CS_HP_oil_nom),FA_PS_cont_rate2,INDEX(HM_ZD_Moho!FA_PS_cont_rate,MATCH(HM_ZD_Moho!CA_cum_gross_prod_oil,HM_ZD_Moho!FA_PS_cumprod_oil,1)))*HM_ZD_Moho!CA_op_trig</f>
        <v>0</v>
      </c>
      <c r="BN323" s="53">
        <f ca="1">IF(AND(HM_ZD_Moho!CA_cum_gross_prod_oil&lt;INDEX(HM_ZD_Moho!FA_PS_cumprod_oil,3),HM_ZD_Moho!CA_cum_gross_prod_oil&gt;=INDEX(HM_ZD_Moho!FA_PS_cumprod_oil,2),HM_ZD_Moho!CA_FP_oil_nom&lt;HM_ZD_Moho!CA_CS_HP_oil_nom),FA_PS_cont_rate2,INDEX(HM_ZD_Moho!FA_PS_cont_rate,MATCH(HM_ZD_Moho!CA_cum_gross_prod_oil,HM_ZD_Moho!FA_PS_cumprod_oil,1)))*HM_ZD_Moho!CA_op_trig</f>
        <v>0</v>
      </c>
      <c r="BO323" s="53">
        <f ca="1">IF(AND(HM_ZD_Moho!CA_cum_gross_prod_oil&lt;INDEX(HM_ZD_Moho!FA_PS_cumprod_oil,3),HM_ZD_Moho!CA_cum_gross_prod_oil&gt;=INDEX(HM_ZD_Moho!FA_PS_cumprod_oil,2),HM_ZD_Moho!CA_FP_oil_nom&lt;HM_ZD_Moho!CA_CS_HP_oil_nom),FA_PS_cont_rate2,INDEX(HM_ZD_Moho!FA_PS_cont_rate,MATCH(HM_ZD_Moho!CA_cum_gross_prod_oil,HM_ZD_Moho!FA_PS_cumprod_oil,1)))*HM_ZD_Moho!CA_op_trig</f>
        <v>0</v>
      </c>
      <c r="BP323" s="53">
        <f ca="1">IF(AND(HM_ZD_Moho!CA_cum_gross_prod_oil&lt;INDEX(HM_ZD_Moho!FA_PS_cumprod_oil,3),HM_ZD_Moho!CA_cum_gross_prod_oil&gt;=INDEX(HM_ZD_Moho!FA_PS_cumprod_oil,2),HM_ZD_Moho!CA_FP_oil_nom&lt;HM_ZD_Moho!CA_CS_HP_oil_nom),FA_PS_cont_rate2,INDEX(HM_ZD_Moho!FA_PS_cont_rate,MATCH(HM_ZD_Moho!CA_cum_gross_prod_oil,HM_ZD_Moho!FA_PS_cumprod_oil,1)))*HM_ZD_Moho!CA_op_trig</f>
        <v>0</v>
      </c>
      <c r="BQ323" s="53">
        <f ca="1">IF(AND(HM_ZD_Moho!CA_cum_gross_prod_oil&lt;INDEX(HM_ZD_Moho!FA_PS_cumprod_oil,3),HM_ZD_Moho!CA_cum_gross_prod_oil&gt;=INDEX(HM_ZD_Moho!FA_PS_cumprod_oil,2),HM_ZD_Moho!CA_FP_oil_nom&lt;HM_ZD_Moho!CA_CS_HP_oil_nom),FA_PS_cont_rate2,INDEX(HM_ZD_Moho!FA_PS_cont_rate,MATCH(HM_ZD_Moho!CA_cum_gross_prod_oil,HM_ZD_Moho!FA_PS_cumprod_oil,1)))*HM_ZD_Moho!CA_op_trig</f>
        <v>0</v>
      </c>
      <c r="BR323" s="53">
        <f ca="1">IF(AND(HM_ZD_Moho!CA_cum_gross_prod_oil&lt;INDEX(HM_ZD_Moho!FA_PS_cumprod_oil,3),HM_ZD_Moho!CA_cum_gross_prod_oil&gt;=INDEX(HM_ZD_Moho!FA_PS_cumprod_oil,2),HM_ZD_Moho!CA_FP_oil_nom&lt;HM_ZD_Moho!CA_CS_HP_oil_nom),FA_PS_cont_rate2,INDEX(HM_ZD_Moho!FA_PS_cont_rate,MATCH(HM_ZD_Moho!CA_cum_gross_prod_oil,HM_ZD_Moho!FA_PS_cumprod_oil,1)))*HM_ZD_Moho!CA_op_trig</f>
        <v>0</v>
      </c>
      <c r="BS323" s="53">
        <f ca="1">IF(AND(HM_ZD_Moho!CA_cum_gross_prod_oil&lt;INDEX(HM_ZD_Moho!FA_PS_cumprod_oil,3),HM_ZD_Moho!CA_cum_gross_prod_oil&gt;=INDEX(HM_ZD_Moho!FA_PS_cumprod_oil,2),HM_ZD_Moho!CA_FP_oil_nom&lt;HM_ZD_Moho!CA_CS_HP_oil_nom),FA_PS_cont_rate2,INDEX(HM_ZD_Moho!FA_PS_cont_rate,MATCH(HM_ZD_Moho!CA_cum_gross_prod_oil,HM_ZD_Moho!FA_PS_cumprod_oil,1)))*HM_ZD_Moho!CA_op_trig</f>
        <v>0</v>
      </c>
    </row>
    <row r="324" spans="4:71" outlineLevel="1" x14ac:dyDescent="0.2">
      <c r="D324" t="str">
        <f>HM_ZB_Nsoko!D310</f>
        <v>Part du Contracteur dans le Profit Oil</v>
      </c>
      <c r="I324" s="30">
        <f t="shared" ca="1" si="192"/>
        <v>2952.8206097990133</v>
      </c>
      <c r="J324" s="26" t="s">
        <v>148</v>
      </c>
      <c r="L324" s="49">
        <f ca="1">HM_ZD_AM3_2005!L302</f>
        <v>0</v>
      </c>
      <c r="M324" s="49">
        <f ca="1">HM_ZD_AM3_2005!M302</f>
        <v>0</v>
      </c>
      <c r="N324" s="49">
        <f t="shared" ref="N324:BS324" ca="1" si="193">N322*N323</f>
        <v>77.17994040225004</v>
      </c>
      <c r="O324" s="49">
        <f t="shared" ca="1" si="193"/>
        <v>66.32561821851003</v>
      </c>
      <c r="P324" s="49">
        <f t="shared" ca="1" si="193"/>
        <v>186.09820486414515</v>
      </c>
      <c r="Q324" s="49">
        <f t="shared" ca="1" si="193"/>
        <v>376.51892230470025</v>
      </c>
      <c r="R324" s="49">
        <f t="shared" ca="1" si="193"/>
        <v>343.62225013398739</v>
      </c>
      <c r="S324" s="49">
        <f t="shared" ca="1" si="193"/>
        <v>205.17010078500024</v>
      </c>
      <c r="T324" s="49">
        <f t="shared" ca="1" si="193"/>
        <v>313.93162883534404</v>
      </c>
      <c r="U324" s="49">
        <f t="shared" ca="1" si="193"/>
        <v>313.38228246507015</v>
      </c>
      <c r="V324" s="49">
        <f t="shared" ca="1" si="193"/>
        <v>228.67264088181969</v>
      </c>
      <c r="W324" s="49">
        <f t="shared" ca="1" si="193"/>
        <v>432.06354352262463</v>
      </c>
      <c r="X324" s="49">
        <f t="shared" ca="1" si="193"/>
        <v>409.85547738556147</v>
      </c>
      <c r="Y324" s="49">
        <f t="shared" ca="1" si="193"/>
        <v>0</v>
      </c>
      <c r="Z324" s="49">
        <f t="shared" ca="1" si="193"/>
        <v>0</v>
      </c>
      <c r="AA324" s="49">
        <f t="shared" ca="1" si="193"/>
        <v>0</v>
      </c>
      <c r="AB324" s="49">
        <f t="shared" ca="1" si="193"/>
        <v>0</v>
      </c>
      <c r="AC324" s="49">
        <f t="shared" ca="1" si="193"/>
        <v>0</v>
      </c>
      <c r="AD324" s="49">
        <f t="shared" ca="1" si="193"/>
        <v>0</v>
      </c>
      <c r="AE324" s="49">
        <f t="shared" ca="1" si="193"/>
        <v>0</v>
      </c>
      <c r="AF324" s="49">
        <f t="shared" ca="1" si="193"/>
        <v>0</v>
      </c>
      <c r="AG324" s="49">
        <f t="shared" ca="1" si="193"/>
        <v>0</v>
      </c>
      <c r="AH324" s="49">
        <f t="shared" ca="1" si="193"/>
        <v>0</v>
      </c>
      <c r="AI324" s="49">
        <f t="shared" ca="1" si="193"/>
        <v>0</v>
      </c>
      <c r="AJ324" s="49">
        <f t="shared" ca="1" si="193"/>
        <v>0</v>
      </c>
      <c r="AK324" s="49">
        <f t="shared" ca="1" si="193"/>
        <v>0</v>
      </c>
      <c r="AL324" s="49">
        <f t="shared" ca="1" si="193"/>
        <v>0</v>
      </c>
      <c r="AM324" s="49">
        <f t="shared" ca="1" si="193"/>
        <v>0</v>
      </c>
      <c r="AN324" s="49">
        <f t="shared" ca="1" si="193"/>
        <v>0</v>
      </c>
      <c r="AO324" s="49">
        <f t="shared" ca="1" si="193"/>
        <v>0</v>
      </c>
      <c r="AP324" s="49">
        <f t="shared" ca="1" si="193"/>
        <v>0</v>
      </c>
      <c r="AQ324" s="49">
        <f t="shared" ca="1" si="193"/>
        <v>0</v>
      </c>
      <c r="AR324" s="49">
        <f t="shared" ca="1" si="193"/>
        <v>0</v>
      </c>
      <c r="AS324" s="49">
        <f t="shared" ca="1" si="193"/>
        <v>0</v>
      </c>
      <c r="AT324" s="49">
        <f t="shared" ca="1" si="193"/>
        <v>0</v>
      </c>
      <c r="AU324" s="49">
        <f t="shared" ca="1" si="193"/>
        <v>0</v>
      </c>
      <c r="AV324" s="49">
        <f t="shared" ca="1" si="193"/>
        <v>0</v>
      </c>
      <c r="AW324" s="49">
        <f t="shared" ca="1" si="193"/>
        <v>0</v>
      </c>
      <c r="AX324" s="49">
        <f t="shared" ca="1" si="193"/>
        <v>0</v>
      </c>
      <c r="AY324" s="49">
        <f t="shared" ca="1" si="193"/>
        <v>0</v>
      </c>
      <c r="AZ324" s="49">
        <f t="shared" ca="1" si="193"/>
        <v>0</v>
      </c>
      <c r="BA324" s="49">
        <f t="shared" ca="1" si="193"/>
        <v>0</v>
      </c>
      <c r="BB324" s="49">
        <f t="shared" ca="1" si="193"/>
        <v>0</v>
      </c>
      <c r="BC324" s="49">
        <f t="shared" ca="1" si="193"/>
        <v>0</v>
      </c>
      <c r="BD324" s="49">
        <f t="shared" ca="1" si="193"/>
        <v>0</v>
      </c>
      <c r="BE324" s="49">
        <f t="shared" ca="1" si="193"/>
        <v>0</v>
      </c>
      <c r="BF324" s="49">
        <f t="shared" ca="1" si="193"/>
        <v>0</v>
      </c>
      <c r="BG324" s="49">
        <f t="shared" ca="1" si="193"/>
        <v>0</v>
      </c>
      <c r="BH324" s="49">
        <f t="shared" ca="1" si="193"/>
        <v>0</v>
      </c>
      <c r="BI324" s="49">
        <f t="shared" ca="1" si="193"/>
        <v>0</v>
      </c>
      <c r="BJ324" s="49">
        <f t="shared" ca="1" si="193"/>
        <v>0</v>
      </c>
      <c r="BK324" s="49">
        <f t="shared" ca="1" si="193"/>
        <v>0</v>
      </c>
      <c r="BL324" s="49">
        <f t="shared" ca="1" si="193"/>
        <v>0</v>
      </c>
      <c r="BM324" s="49">
        <f t="shared" ca="1" si="193"/>
        <v>0</v>
      </c>
      <c r="BN324" s="49">
        <f t="shared" ca="1" si="193"/>
        <v>0</v>
      </c>
      <c r="BO324" s="49">
        <f t="shared" ca="1" si="193"/>
        <v>0</v>
      </c>
      <c r="BP324" s="49">
        <f t="shared" ca="1" si="193"/>
        <v>0</v>
      </c>
      <c r="BQ324" s="49">
        <f t="shared" ca="1" si="193"/>
        <v>0</v>
      </c>
      <c r="BR324" s="49">
        <f t="shared" ca="1" si="193"/>
        <v>0</v>
      </c>
      <c r="BS324" s="49">
        <f t="shared" ca="1" si="193"/>
        <v>0</v>
      </c>
    </row>
    <row r="325" spans="4:71" outlineLevel="1" x14ac:dyDescent="0.2">
      <c r="D325" t="str">
        <f>HM_ZB_Nsoko!D311</f>
        <v>Part du Gouv. dans le Profit Oil</v>
      </c>
      <c r="I325" s="30">
        <f t="shared" ca="1" si="192"/>
        <v>2006.5036573344598</v>
      </c>
      <c r="J325" s="26" t="s">
        <v>148</v>
      </c>
      <c r="L325" s="49">
        <f ca="1">HM_ZD_AM3_2005!L303</f>
        <v>0</v>
      </c>
      <c r="M325" s="49">
        <f ca="1">HM_ZD_AM3_2005!M303</f>
        <v>0</v>
      </c>
      <c r="N325" s="49">
        <f t="shared" ref="N325:BS325" ca="1" si="194">N322-N324</f>
        <v>33.077117315250021</v>
      </c>
      <c r="O325" s="49">
        <f t="shared" ca="1" si="194"/>
        <v>28.425264950790009</v>
      </c>
      <c r="P325" s="49">
        <f t="shared" ca="1" si="194"/>
        <v>79.756373513205062</v>
      </c>
      <c r="Q325" s="49">
        <f t="shared" ca="1" si="194"/>
        <v>161.36525241630011</v>
      </c>
      <c r="R325" s="49">
        <f t="shared" ca="1" si="194"/>
        <v>185.02736545676242</v>
      </c>
      <c r="S325" s="49">
        <f t="shared" ca="1" si="194"/>
        <v>110.47620811500011</v>
      </c>
      <c r="T325" s="49">
        <f t="shared" ca="1" si="194"/>
        <v>169.04010783441601</v>
      </c>
      <c r="U325" s="49">
        <f t="shared" ca="1" si="194"/>
        <v>168.74430594273008</v>
      </c>
      <c r="V325" s="49">
        <f t="shared" ca="1" si="194"/>
        <v>228.67264088181969</v>
      </c>
      <c r="W325" s="49">
        <f t="shared" ca="1" si="194"/>
        <v>432.06354352262463</v>
      </c>
      <c r="X325" s="49">
        <f t="shared" ca="1" si="194"/>
        <v>409.85547738556147</v>
      </c>
      <c r="Y325" s="49">
        <f t="shared" ca="1" si="194"/>
        <v>0</v>
      </c>
      <c r="Z325" s="49">
        <f t="shared" ca="1" si="194"/>
        <v>0</v>
      </c>
      <c r="AA325" s="49">
        <f t="shared" ca="1" si="194"/>
        <v>0</v>
      </c>
      <c r="AB325" s="49">
        <f t="shared" ca="1" si="194"/>
        <v>0</v>
      </c>
      <c r="AC325" s="49">
        <f t="shared" ca="1" si="194"/>
        <v>0</v>
      </c>
      <c r="AD325" s="49">
        <f t="shared" ca="1" si="194"/>
        <v>0</v>
      </c>
      <c r="AE325" s="49">
        <f t="shared" ca="1" si="194"/>
        <v>0</v>
      </c>
      <c r="AF325" s="49">
        <f t="shared" ca="1" si="194"/>
        <v>0</v>
      </c>
      <c r="AG325" s="49">
        <f t="shared" ca="1" si="194"/>
        <v>0</v>
      </c>
      <c r="AH325" s="49">
        <f t="shared" ca="1" si="194"/>
        <v>0</v>
      </c>
      <c r="AI325" s="49">
        <f t="shared" ca="1" si="194"/>
        <v>0</v>
      </c>
      <c r="AJ325" s="49">
        <f t="shared" ca="1" si="194"/>
        <v>0</v>
      </c>
      <c r="AK325" s="49">
        <f t="shared" ca="1" si="194"/>
        <v>0</v>
      </c>
      <c r="AL325" s="49">
        <f t="shared" ca="1" si="194"/>
        <v>0</v>
      </c>
      <c r="AM325" s="49">
        <f t="shared" ca="1" si="194"/>
        <v>0</v>
      </c>
      <c r="AN325" s="49">
        <f t="shared" ca="1" si="194"/>
        <v>0</v>
      </c>
      <c r="AO325" s="49">
        <f t="shared" ca="1" si="194"/>
        <v>0</v>
      </c>
      <c r="AP325" s="49">
        <f t="shared" ca="1" si="194"/>
        <v>0</v>
      </c>
      <c r="AQ325" s="49">
        <f t="shared" ca="1" si="194"/>
        <v>0</v>
      </c>
      <c r="AR325" s="49">
        <f t="shared" ca="1" si="194"/>
        <v>0</v>
      </c>
      <c r="AS325" s="49">
        <f t="shared" ca="1" si="194"/>
        <v>0</v>
      </c>
      <c r="AT325" s="49">
        <f t="shared" ca="1" si="194"/>
        <v>0</v>
      </c>
      <c r="AU325" s="49">
        <f t="shared" ca="1" si="194"/>
        <v>0</v>
      </c>
      <c r="AV325" s="49">
        <f t="shared" ca="1" si="194"/>
        <v>0</v>
      </c>
      <c r="AW325" s="49">
        <f t="shared" ca="1" si="194"/>
        <v>0</v>
      </c>
      <c r="AX325" s="49">
        <f t="shared" ca="1" si="194"/>
        <v>0</v>
      </c>
      <c r="AY325" s="49">
        <f t="shared" ca="1" si="194"/>
        <v>0</v>
      </c>
      <c r="AZ325" s="49">
        <f t="shared" ca="1" si="194"/>
        <v>0</v>
      </c>
      <c r="BA325" s="49">
        <f t="shared" ca="1" si="194"/>
        <v>0</v>
      </c>
      <c r="BB325" s="49">
        <f t="shared" ca="1" si="194"/>
        <v>0</v>
      </c>
      <c r="BC325" s="49">
        <f t="shared" ca="1" si="194"/>
        <v>0</v>
      </c>
      <c r="BD325" s="49">
        <f t="shared" ca="1" si="194"/>
        <v>0</v>
      </c>
      <c r="BE325" s="49">
        <f t="shared" ca="1" si="194"/>
        <v>0</v>
      </c>
      <c r="BF325" s="49">
        <f t="shared" ca="1" si="194"/>
        <v>0</v>
      </c>
      <c r="BG325" s="49">
        <f t="shared" ca="1" si="194"/>
        <v>0</v>
      </c>
      <c r="BH325" s="49">
        <f t="shared" ca="1" si="194"/>
        <v>0</v>
      </c>
      <c r="BI325" s="49">
        <f t="shared" ca="1" si="194"/>
        <v>0</v>
      </c>
      <c r="BJ325" s="49">
        <f t="shared" ca="1" si="194"/>
        <v>0</v>
      </c>
      <c r="BK325" s="49">
        <f t="shared" ca="1" si="194"/>
        <v>0</v>
      </c>
      <c r="BL325" s="49">
        <f t="shared" ca="1" si="194"/>
        <v>0</v>
      </c>
      <c r="BM325" s="49">
        <f t="shared" ca="1" si="194"/>
        <v>0</v>
      </c>
      <c r="BN325" s="49">
        <f t="shared" ca="1" si="194"/>
        <v>0</v>
      </c>
      <c r="BO325" s="49">
        <f t="shared" ca="1" si="194"/>
        <v>0</v>
      </c>
      <c r="BP325" s="49">
        <f t="shared" ca="1" si="194"/>
        <v>0</v>
      </c>
      <c r="BQ325" s="49">
        <f t="shared" ca="1" si="194"/>
        <v>0</v>
      </c>
      <c r="BR325" s="49">
        <f t="shared" ca="1" si="194"/>
        <v>0</v>
      </c>
      <c r="BS325" s="49">
        <f t="shared" ca="1" si="194"/>
        <v>0</v>
      </c>
    </row>
    <row r="326" spans="4:71" outlineLevel="1" x14ac:dyDescent="0.2">
      <c r="J326" s="26"/>
      <c r="L326" s="55"/>
      <c r="M326" s="55"/>
      <c r="N326" s="55"/>
      <c r="O326" s="55"/>
      <c r="P326" s="55"/>
      <c r="Q326" s="55"/>
      <c r="R326" s="55"/>
      <c r="S326" s="55"/>
      <c r="T326" s="55"/>
      <c r="U326" s="55"/>
      <c r="V326" s="55"/>
      <c r="W326" s="55"/>
      <c r="X326" s="55"/>
      <c r="Y326" s="55"/>
      <c r="Z326" s="55"/>
      <c r="AA326" s="55"/>
      <c r="AB326" s="55"/>
      <c r="AC326" s="55"/>
      <c r="AD326" s="55"/>
      <c r="AE326" s="55"/>
      <c r="AF326" s="55"/>
      <c r="AG326" s="55"/>
      <c r="AH326" s="55"/>
      <c r="AI326" s="55"/>
      <c r="AJ326" s="55"/>
      <c r="AK326" s="55"/>
      <c r="AL326" s="55"/>
      <c r="AM326" s="55"/>
      <c r="AN326" s="55"/>
      <c r="AO326" s="55"/>
      <c r="AP326" s="55"/>
      <c r="AQ326" s="55"/>
      <c r="AR326" s="55"/>
      <c r="AS326" s="55"/>
      <c r="AT326" s="55"/>
      <c r="AU326" s="55"/>
      <c r="AV326" s="55"/>
      <c r="AW326" s="55"/>
      <c r="AX326" s="55"/>
      <c r="AY326" s="55"/>
      <c r="AZ326" s="55"/>
      <c r="BA326" s="55"/>
      <c r="BB326" s="55"/>
      <c r="BC326" s="55"/>
      <c r="BD326" s="55"/>
      <c r="BE326" s="55"/>
      <c r="BF326" s="55"/>
      <c r="BG326" s="55"/>
      <c r="BH326" s="55"/>
      <c r="BI326" s="55"/>
      <c r="BJ326" s="55"/>
      <c r="BK326" s="55"/>
      <c r="BL326" s="55"/>
      <c r="BM326" s="55"/>
      <c r="BN326" s="55"/>
      <c r="BO326" s="55"/>
      <c r="BP326" s="55"/>
      <c r="BQ326" s="55"/>
      <c r="BR326" s="55"/>
      <c r="BS326" s="55"/>
    </row>
    <row r="327" spans="4:71" outlineLevel="1" x14ac:dyDescent="0.2">
      <c r="D327" s="11" t="str">
        <f>HM_ZB_Nsoko!D313</f>
        <v>Profit Gaz</v>
      </c>
      <c r="J327" s="26"/>
      <c r="L327" s="55"/>
      <c r="M327" s="55"/>
      <c r="N327" s="55"/>
      <c r="O327" s="55"/>
      <c r="P327" s="55"/>
      <c r="Q327" s="55"/>
      <c r="R327" s="55"/>
      <c r="S327" s="55"/>
      <c r="T327" s="55"/>
      <c r="U327" s="55"/>
      <c r="V327" s="55"/>
      <c r="W327" s="55"/>
      <c r="X327" s="55"/>
      <c r="Y327" s="55"/>
      <c r="Z327" s="55"/>
      <c r="AA327" s="55"/>
      <c r="AB327" s="55"/>
      <c r="AC327" s="55"/>
      <c r="AD327" s="55"/>
      <c r="AE327" s="55"/>
      <c r="AF327" s="55"/>
      <c r="AG327" s="55"/>
      <c r="AH327" s="55"/>
      <c r="AI327" s="55"/>
      <c r="AJ327" s="55"/>
      <c r="AK327" s="55"/>
      <c r="AL327" s="55"/>
      <c r="AM327" s="55"/>
      <c r="AN327" s="55"/>
      <c r="AO327" s="55"/>
      <c r="AP327" s="55"/>
      <c r="AQ327" s="55"/>
      <c r="AR327" s="55"/>
      <c r="AS327" s="55"/>
      <c r="AT327" s="55"/>
      <c r="AU327" s="55"/>
      <c r="AV327" s="55"/>
      <c r="AW327" s="55"/>
      <c r="AX327" s="55"/>
      <c r="AY327" s="55"/>
      <c r="AZ327" s="55"/>
      <c r="BA327" s="55"/>
      <c r="BB327" s="55"/>
      <c r="BC327" s="55"/>
      <c r="BD327" s="55"/>
      <c r="BE327" s="55"/>
      <c r="BF327" s="55"/>
      <c r="BG327" s="55"/>
      <c r="BH327" s="55"/>
      <c r="BI327" s="55"/>
      <c r="BJ327" s="55"/>
      <c r="BK327" s="55"/>
      <c r="BL327" s="55"/>
      <c r="BM327" s="55"/>
      <c r="BN327" s="55"/>
      <c r="BO327" s="55"/>
      <c r="BP327" s="55"/>
      <c r="BQ327" s="55"/>
      <c r="BR327" s="55"/>
      <c r="BS327" s="55"/>
    </row>
    <row r="328" spans="4:71" outlineLevel="1" x14ac:dyDescent="0.2">
      <c r="D328" s="50" t="str">
        <f>HM_ZB_Nsoko!D314</f>
        <v>Revenus gaziers pour le Partage du Profit</v>
      </c>
      <c r="I328" s="30">
        <f t="shared" ref="I328:I334" ca="1" si="195">SUM($L328:$BS328)</f>
        <v>0</v>
      </c>
      <c r="J328" s="26" t="s">
        <v>148</v>
      </c>
      <c r="L328" s="49">
        <f ca="1">HM_ZD_AM3_2005!L306</f>
        <v>0</v>
      </c>
      <c r="M328" s="49">
        <f ca="1">HM_ZD_AM3_2005!M306</f>
        <v>0</v>
      </c>
      <c r="N328" s="49">
        <f ca="1">MAX(HM_ZD_Moho!CA_gross_rev_gas_fp-HM_ZD_Moho!CA_roy_gas_fp-(HM_ZD_Moho!CA_cost_recovered_total*HM_ZD_Moho!CA_rev_gas_perc)-(HM_ZD_Moho!CA_excess_cost_recovery*HM_ZD_Moho!CA_rev_gas_perc),0)</f>
        <v>0</v>
      </c>
      <c r="O328" s="49">
        <f ca="1">MAX(HM_ZD_Moho!CA_gross_rev_gas_fp-HM_ZD_Moho!CA_roy_gas_fp-(HM_ZD_Moho!CA_cost_recovered_total*HM_ZD_Moho!CA_rev_gas_perc)-(HM_ZD_Moho!CA_excess_cost_recovery*HM_ZD_Moho!CA_rev_gas_perc),0)</f>
        <v>0</v>
      </c>
      <c r="P328" s="49">
        <f ca="1">MAX(HM_ZD_Moho!CA_gross_rev_gas_fp-HM_ZD_Moho!CA_roy_gas_fp-(HM_ZD_Moho!CA_cost_recovered_total*HM_ZD_Moho!CA_rev_gas_perc)-(HM_ZD_Moho!CA_excess_cost_recovery*HM_ZD_Moho!CA_rev_gas_perc),0)</f>
        <v>0</v>
      </c>
      <c r="Q328" s="49">
        <f ca="1">MAX(HM_ZD_Moho!CA_gross_rev_gas_fp-HM_ZD_Moho!CA_roy_gas_fp-(HM_ZD_Moho!CA_cost_recovered_total*HM_ZD_Moho!CA_rev_gas_perc)-(HM_ZD_Moho!CA_excess_cost_recovery*HM_ZD_Moho!CA_rev_gas_perc),0)</f>
        <v>0</v>
      </c>
      <c r="R328" s="49">
        <f ca="1">MAX(HM_ZD_Moho!CA_gross_rev_gas_fp-HM_ZD_Moho!CA_roy_gas_fp-(HM_ZD_Moho!CA_cost_recovered_total*HM_ZD_Moho!CA_rev_gas_perc)-(HM_ZD_Moho!CA_excess_cost_recovery*HM_ZD_Moho!CA_rev_gas_perc),0)</f>
        <v>0</v>
      </c>
      <c r="S328" s="49">
        <f ca="1">MAX(HM_ZD_Moho!CA_gross_rev_gas_fp-HM_ZD_Moho!CA_roy_gas_fp-(HM_ZD_Moho!CA_cost_recovered_total*HM_ZD_Moho!CA_rev_gas_perc)-(HM_ZD_Moho!CA_excess_cost_recovery*HM_ZD_Moho!CA_rev_gas_perc),0)</f>
        <v>0</v>
      </c>
      <c r="T328" s="49">
        <f ca="1">MAX(HM_ZD_Moho!CA_gross_rev_gas_fp-HM_ZD_Moho!CA_roy_gas_fp-(HM_ZD_Moho!CA_cost_recovered_total*HM_ZD_Moho!CA_rev_gas_perc)-(HM_ZD_Moho!CA_excess_cost_recovery*HM_ZD_Moho!CA_rev_gas_perc),0)</f>
        <v>0</v>
      </c>
      <c r="U328" s="49">
        <f ca="1">MAX(HM_ZD_Moho!CA_gross_rev_gas_fp-HM_ZD_Moho!CA_roy_gas_fp-(HM_ZD_Moho!CA_cost_recovered_total*HM_ZD_Moho!CA_rev_gas_perc)-(HM_ZD_Moho!CA_excess_cost_recovery*HM_ZD_Moho!CA_rev_gas_perc),0)</f>
        <v>0</v>
      </c>
      <c r="V328" s="49">
        <f ca="1">MAX(HM_ZD_Moho!CA_gross_rev_gas_fp-HM_ZD_Moho!CA_roy_gas_fp-(HM_ZD_Moho!CA_cost_recovered_total*HM_ZD_Moho!CA_rev_gas_perc)-(HM_ZD_Moho!CA_excess_cost_recovery*HM_ZD_Moho!CA_rev_gas_perc),0)</f>
        <v>0</v>
      </c>
      <c r="W328" s="49">
        <f ca="1">MAX(HM_ZD_Moho!CA_gross_rev_gas_fp-HM_ZD_Moho!CA_roy_gas_fp-(HM_ZD_Moho!CA_cost_recovered_total*HM_ZD_Moho!CA_rev_gas_perc)-(HM_ZD_Moho!CA_excess_cost_recovery*HM_ZD_Moho!CA_rev_gas_perc),0)</f>
        <v>0</v>
      </c>
      <c r="X328" s="49">
        <f ca="1">MAX(HM_ZD_Moho!CA_gross_rev_gas_fp-HM_ZD_Moho!CA_roy_gas_fp-(HM_ZD_Moho!CA_cost_recovered_total*HM_ZD_Moho!CA_rev_gas_perc)-(HM_ZD_Moho!CA_excess_cost_recovery*HM_ZD_Moho!CA_rev_gas_perc),0)</f>
        <v>0</v>
      </c>
      <c r="Y328" s="49">
        <f ca="1">MAX(HM_ZD_Moho!CA_gross_rev_gas_fp-HM_ZD_Moho!CA_roy_gas_fp-(HM_ZD_Moho!CA_cost_recovered_total*HM_ZD_Moho!CA_rev_gas_perc)-(HM_ZD_Moho!CA_excess_cost_recovery*HM_ZD_Moho!CA_rev_gas_perc),0)</f>
        <v>0</v>
      </c>
      <c r="Z328" s="49">
        <f ca="1">MAX(HM_ZD_Moho!CA_gross_rev_gas_fp-HM_ZD_Moho!CA_roy_gas_fp-(HM_ZD_Moho!CA_cost_recovered_total*HM_ZD_Moho!CA_rev_gas_perc)-(HM_ZD_Moho!CA_excess_cost_recovery*HM_ZD_Moho!CA_rev_gas_perc),0)</f>
        <v>0</v>
      </c>
      <c r="AA328" s="49">
        <f ca="1">MAX(HM_ZD_Moho!CA_gross_rev_gas_fp-HM_ZD_Moho!CA_roy_gas_fp-(HM_ZD_Moho!CA_cost_recovered_total*HM_ZD_Moho!CA_rev_gas_perc)-(HM_ZD_Moho!CA_excess_cost_recovery*HM_ZD_Moho!CA_rev_gas_perc),0)</f>
        <v>0</v>
      </c>
      <c r="AB328" s="49">
        <f ca="1">MAX(HM_ZD_Moho!CA_gross_rev_gas_fp-HM_ZD_Moho!CA_roy_gas_fp-(HM_ZD_Moho!CA_cost_recovered_total*HM_ZD_Moho!CA_rev_gas_perc)-(HM_ZD_Moho!CA_excess_cost_recovery*HM_ZD_Moho!CA_rev_gas_perc),0)</f>
        <v>0</v>
      </c>
      <c r="AC328" s="49">
        <f ca="1">MAX(HM_ZD_Moho!CA_gross_rev_gas_fp-HM_ZD_Moho!CA_roy_gas_fp-(HM_ZD_Moho!CA_cost_recovered_total*HM_ZD_Moho!CA_rev_gas_perc)-(HM_ZD_Moho!CA_excess_cost_recovery*HM_ZD_Moho!CA_rev_gas_perc),0)</f>
        <v>0</v>
      </c>
      <c r="AD328" s="49">
        <f ca="1">MAX(HM_ZD_Moho!CA_gross_rev_gas_fp-HM_ZD_Moho!CA_roy_gas_fp-(HM_ZD_Moho!CA_cost_recovered_total*HM_ZD_Moho!CA_rev_gas_perc)-(HM_ZD_Moho!CA_excess_cost_recovery*HM_ZD_Moho!CA_rev_gas_perc),0)</f>
        <v>0</v>
      </c>
      <c r="AE328" s="49">
        <f ca="1">MAX(HM_ZD_Moho!CA_gross_rev_gas_fp-HM_ZD_Moho!CA_roy_gas_fp-(HM_ZD_Moho!CA_cost_recovered_total*HM_ZD_Moho!CA_rev_gas_perc)-(HM_ZD_Moho!CA_excess_cost_recovery*HM_ZD_Moho!CA_rev_gas_perc),0)</f>
        <v>0</v>
      </c>
      <c r="AF328" s="49">
        <f ca="1">MAX(HM_ZD_Moho!CA_gross_rev_gas_fp-HM_ZD_Moho!CA_roy_gas_fp-(HM_ZD_Moho!CA_cost_recovered_total*HM_ZD_Moho!CA_rev_gas_perc)-(HM_ZD_Moho!CA_excess_cost_recovery*HM_ZD_Moho!CA_rev_gas_perc),0)</f>
        <v>0</v>
      </c>
      <c r="AG328" s="49">
        <f ca="1">MAX(HM_ZD_Moho!CA_gross_rev_gas_fp-HM_ZD_Moho!CA_roy_gas_fp-(HM_ZD_Moho!CA_cost_recovered_total*HM_ZD_Moho!CA_rev_gas_perc)-(HM_ZD_Moho!CA_excess_cost_recovery*HM_ZD_Moho!CA_rev_gas_perc),0)</f>
        <v>0</v>
      </c>
      <c r="AH328" s="49">
        <f ca="1">MAX(HM_ZD_Moho!CA_gross_rev_gas_fp-HM_ZD_Moho!CA_roy_gas_fp-(HM_ZD_Moho!CA_cost_recovered_total*HM_ZD_Moho!CA_rev_gas_perc)-(HM_ZD_Moho!CA_excess_cost_recovery*HM_ZD_Moho!CA_rev_gas_perc),0)</f>
        <v>0</v>
      </c>
      <c r="AI328" s="49">
        <f ca="1">MAX(HM_ZD_Moho!CA_gross_rev_gas_fp-HM_ZD_Moho!CA_roy_gas_fp-(HM_ZD_Moho!CA_cost_recovered_total*HM_ZD_Moho!CA_rev_gas_perc)-(HM_ZD_Moho!CA_excess_cost_recovery*HM_ZD_Moho!CA_rev_gas_perc),0)</f>
        <v>0</v>
      </c>
      <c r="AJ328" s="49">
        <f ca="1">MAX(HM_ZD_Moho!CA_gross_rev_gas_fp-HM_ZD_Moho!CA_roy_gas_fp-(HM_ZD_Moho!CA_cost_recovered_total*HM_ZD_Moho!CA_rev_gas_perc)-(HM_ZD_Moho!CA_excess_cost_recovery*HM_ZD_Moho!CA_rev_gas_perc),0)</f>
        <v>0</v>
      </c>
      <c r="AK328" s="49">
        <f ca="1">MAX(HM_ZD_Moho!CA_gross_rev_gas_fp-HM_ZD_Moho!CA_roy_gas_fp-(HM_ZD_Moho!CA_cost_recovered_total*HM_ZD_Moho!CA_rev_gas_perc)-(HM_ZD_Moho!CA_excess_cost_recovery*HM_ZD_Moho!CA_rev_gas_perc),0)</f>
        <v>0</v>
      </c>
      <c r="AL328" s="49">
        <f ca="1">MAX(HM_ZD_Moho!CA_gross_rev_gas_fp-HM_ZD_Moho!CA_roy_gas_fp-(HM_ZD_Moho!CA_cost_recovered_total*HM_ZD_Moho!CA_rev_gas_perc)-(HM_ZD_Moho!CA_excess_cost_recovery*HM_ZD_Moho!CA_rev_gas_perc),0)</f>
        <v>0</v>
      </c>
      <c r="AM328" s="49">
        <f ca="1">MAX(HM_ZD_Moho!CA_gross_rev_gas_fp-HM_ZD_Moho!CA_roy_gas_fp-(HM_ZD_Moho!CA_cost_recovered_total*HM_ZD_Moho!CA_rev_gas_perc)-(HM_ZD_Moho!CA_excess_cost_recovery*HM_ZD_Moho!CA_rev_gas_perc),0)</f>
        <v>0</v>
      </c>
      <c r="AN328" s="49">
        <f ca="1">MAX(HM_ZD_Moho!CA_gross_rev_gas_fp-HM_ZD_Moho!CA_roy_gas_fp-(HM_ZD_Moho!CA_cost_recovered_total*HM_ZD_Moho!CA_rev_gas_perc)-(HM_ZD_Moho!CA_excess_cost_recovery*HM_ZD_Moho!CA_rev_gas_perc),0)</f>
        <v>0</v>
      </c>
      <c r="AO328" s="49">
        <f ca="1">MAX(HM_ZD_Moho!CA_gross_rev_gas_fp-HM_ZD_Moho!CA_roy_gas_fp-(HM_ZD_Moho!CA_cost_recovered_total*HM_ZD_Moho!CA_rev_gas_perc)-(HM_ZD_Moho!CA_excess_cost_recovery*HM_ZD_Moho!CA_rev_gas_perc),0)</f>
        <v>0</v>
      </c>
      <c r="AP328" s="49">
        <f ca="1">MAX(HM_ZD_Moho!CA_gross_rev_gas_fp-HM_ZD_Moho!CA_roy_gas_fp-(HM_ZD_Moho!CA_cost_recovered_total*HM_ZD_Moho!CA_rev_gas_perc)-(HM_ZD_Moho!CA_excess_cost_recovery*HM_ZD_Moho!CA_rev_gas_perc),0)</f>
        <v>0</v>
      </c>
      <c r="AQ328" s="49">
        <f ca="1">MAX(HM_ZD_Moho!CA_gross_rev_gas_fp-HM_ZD_Moho!CA_roy_gas_fp-(HM_ZD_Moho!CA_cost_recovered_total*HM_ZD_Moho!CA_rev_gas_perc)-(HM_ZD_Moho!CA_excess_cost_recovery*HM_ZD_Moho!CA_rev_gas_perc),0)</f>
        <v>0</v>
      </c>
      <c r="AR328" s="49">
        <f ca="1">MAX(HM_ZD_Moho!CA_gross_rev_gas_fp-HM_ZD_Moho!CA_roy_gas_fp-(HM_ZD_Moho!CA_cost_recovered_total*HM_ZD_Moho!CA_rev_gas_perc)-(HM_ZD_Moho!CA_excess_cost_recovery*HM_ZD_Moho!CA_rev_gas_perc),0)</f>
        <v>0</v>
      </c>
      <c r="AS328" s="49">
        <f ca="1">MAX(HM_ZD_Moho!CA_gross_rev_gas_fp-HM_ZD_Moho!CA_roy_gas_fp-(HM_ZD_Moho!CA_cost_recovered_total*HM_ZD_Moho!CA_rev_gas_perc)-(HM_ZD_Moho!CA_excess_cost_recovery*HM_ZD_Moho!CA_rev_gas_perc),0)</f>
        <v>0</v>
      </c>
      <c r="AT328" s="49">
        <f ca="1">MAX(HM_ZD_Moho!CA_gross_rev_gas_fp-HM_ZD_Moho!CA_roy_gas_fp-(HM_ZD_Moho!CA_cost_recovered_total*HM_ZD_Moho!CA_rev_gas_perc)-(HM_ZD_Moho!CA_excess_cost_recovery*HM_ZD_Moho!CA_rev_gas_perc),0)</f>
        <v>0</v>
      </c>
      <c r="AU328" s="49">
        <f ca="1">MAX(HM_ZD_Moho!CA_gross_rev_gas_fp-HM_ZD_Moho!CA_roy_gas_fp-(HM_ZD_Moho!CA_cost_recovered_total*HM_ZD_Moho!CA_rev_gas_perc)-(HM_ZD_Moho!CA_excess_cost_recovery*HM_ZD_Moho!CA_rev_gas_perc),0)</f>
        <v>0</v>
      </c>
      <c r="AV328" s="49">
        <f ca="1">MAX(HM_ZD_Moho!CA_gross_rev_gas_fp-HM_ZD_Moho!CA_roy_gas_fp-(HM_ZD_Moho!CA_cost_recovered_total*HM_ZD_Moho!CA_rev_gas_perc)-(HM_ZD_Moho!CA_excess_cost_recovery*HM_ZD_Moho!CA_rev_gas_perc),0)</f>
        <v>0</v>
      </c>
      <c r="AW328" s="49">
        <f ca="1">MAX(HM_ZD_Moho!CA_gross_rev_gas_fp-HM_ZD_Moho!CA_roy_gas_fp-(HM_ZD_Moho!CA_cost_recovered_total*HM_ZD_Moho!CA_rev_gas_perc)-(HM_ZD_Moho!CA_excess_cost_recovery*HM_ZD_Moho!CA_rev_gas_perc),0)</f>
        <v>0</v>
      </c>
      <c r="AX328" s="49">
        <f ca="1">MAX(HM_ZD_Moho!CA_gross_rev_gas_fp-HM_ZD_Moho!CA_roy_gas_fp-(HM_ZD_Moho!CA_cost_recovered_total*HM_ZD_Moho!CA_rev_gas_perc)-(HM_ZD_Moho!CA_excess_cost_recovery*HM_ZD_Moho!CA_rev_gas_perc),0)</f>
        <v>0</v>
      </c>
      <c r="AY328" s="49">
        <f ca="1">MAX(HM_ZD_Moho!CA_gross_rev_gas_fp-HM_ZD_Moho!CA_roy_gas_fp-(HM_ZD_Moho!CA_cost_recovered_total*HM_ZD_Moho!CA_rev_gas_perc)-(HM_ZD_Moho!CA_excess_cost_recovery*HM_ZD_Moho!CA_rev_gas_perc),0)</f>
        <v>0</v>
      </c>
      <c r="AZ328" s="49">
        <f ca="1">MAX(HM_ZD_Moho!CA_gross_rev_gas_fp-HM_ZD_Moho!CA_roy_gas_fp-(HM_ZD_Moho!CA_cost_recovered_total*HM_ZD_Moho!CA_rev_gas_perc)-(HM_ZD_Moho!CA_excess_cost_recovery*HM_ZD_Moho!CA_rev_gas_perc),0)</f>
        <v>0</v>
      </c>
      <c r="BA328" s="49">
        <f ca="1">MAX(HM_ZD_Moho!CA_gross_rev_gas_fp-HM_ZD_Moho!CA_roy_gas_fp-(HM_ZD_Moho!CA_cost_recovered_total*HM_ZD_Moho!CA_rev_gas_perc)-(HM_ZD_Moho!CA_excess_cost_recovery*HM_ZD_Moho!CA_rev_gas_perc),0)</f>
        <v>0</v>
      </c>
      <c r="BB328" s="49">
        <f ca="1">MAX(HM_ZD_Moho!CA_gross_rev_gas_fp-HM_ZD_Moho!CA_roy_gas_fp-(HM_ZD_Moho!CA_cost_recovered_total*HM_ZD_Moho!CA_rev_gas_perc)-(HM_ZD_Moho!CA_excess_cost_recovery*HM_ZD_Moho!CA_rev_gas_perc),0)</f>
        <v>0</v>
      </c>
      <c r="BC328" s="49">
        <f ca="1">MAX(HM_ZD_Moho!CA_gross_rev_gas_fp-HM_ZD_Moho!CA_roy_gas_fp-(HM_ZD_Moho!CA_cost_recovered_total*HM_ZD_Moho!CA_rev_gas_perc)-(HM_ZD_Moho!CA_excess_cost_recovery*HM_ZD_Moho!CA_rev_gas_perc),0)</f>
        <v>0</v>
      </c>
      <c r="BD328" s="49">
        <f ca="1">MAX(HM_ZD_Moho!CA_gross_rev_gas_fp-HM_ZD_Moho!CA_roy_gas_fp-(HM_ZD_Moho!CA_cost_recovered_total*HM_ZD_Moho!CA_rev_gas_perc)-(HM_ZD_Moho!CA_excess_cost_recovery*HM_ZD_Moho!CA_rev_gas_perc),0)</f>
        <v>0</v>
      </c>
      <c r="BE328" s="49">
        <f ca="1">MAX(HM_ZD_Moho!CA_gross_rev_gas_fp-HM_ZD_Moho!CA_roy_gas_fp-(HM_ZD_Moho!CA_cost_recovered_total*HM_ZD_Moho!CA_rev_gas_perc)-(HM_ZD_Moho!CA_excess_cost_recovery*HM_ZD_Moho!CA_rev_gas_perc),0)</f>
        <v>0</v>
      </c>
      <c r="BF328" s="49">
        <f ca="1">MAX(HM_ZD_Moho!CA_gross_rev_gas_fp-HM_ZD_Moho!CA_roy_gas_fp-(HM_ZD_Moho!CA_cost_recovered_total*HM_ZD_Moho!CA_rev_gas_perc)-(HM_ZD_Moho!CA_excess_cost_recovery*HM_ZD_Moho!CA_rev_gas_perc),0)</f>
        <v>0</v>
      </c>
      <c r="BG328" s="49">
        <f ca="1">MAX(HM_ZD_Moho!CA_gross_rev_gas_fp-HM_ZD_Moho!CA_roy_gas_fp-(HM_ZD_Moho!CA_cost_recovered_total*HM_ZD_Moho!CA_rev_gas_perc)-(HM_ZD_Moho!CA_excess_cost_recovery*HM_ZD_Moho!CA_rev_gas_perc),0)</f>
        <v>0</v>
      </c>
      <c r="BH328" s="49">
        <f ca="1">MAX(HM_ZD_Moho!CA_gross_rev_gas_fp-HM_ZD_Moho!CA_roy_gas_fp-(HM_ZD_Moho!CA_cost_recovered_total*HM_ZD_Moho!CA_rev_gas_perc)-(HM_ZD_Moho!CA_excess_cost_recovery*HM_ZD_Moho!CA_rev_gas_perc),0)</f>
        <v>0</v>
      </c>
      <c r="BI328" s="49">
        <f ca="1">MAX(HM_ZD_Moho!CA_gross_rev_gas_fp-HM_ZD_Moho!CA_roy_gas_fp-(HM_ZD_Moho!CA_cost_recovered_total*HM_ZD_Moho!CA_rev_gas_perc)-(HM_ZD_Moho!CA_excess_cost_recovery*HM_ZD_Moho!CA_rev_gas_perc),0)</f>
        <v>0</v>
      </c>
      <c r="BJ328" s="49">
        <f ca="1">MAX(HM_ZD_Moho!CA_gross_rev_gas_fp-HM_ZD_Moho!CA_roy_gas_fp-(HM_ZD_Moho!CA_cost_recovered_total*HM_ZD_Moho!CA_rev_gas_perc)-(HM_ZD_Moho!CA_excess_cost_recovery*HM_ZD_Moho!CA_rev_gas_perc),0)</f>
        <v>0</v>
      </c>
      <c r="BK328" s="49">
        <f ca="1">MAX(HM_ZD_Moho!CA_gross_rev_gas_fp-HM_ZD_Moho!CA_roy_gas_fp-(HM_ZD_Moho!CA_cost_recovered_total*HM_ZD_Moho!CA_rev_gas_perc)-(HM_ZD_Moho!CA_excess_cost_recovery*HM_ZD_Moho!CA_rev_gas_perc),0)</f>
        <v>0</v>
      </c>
      <c r="BL328" s="49">
        <f ca="1">MAX(HM_ZD_Moho!CA_gross_rev_gas_fp-HM_ZD_Moho!CA_roy_gas_fp-(HM_ZD_Moho!CA_cost_recovered_total*HM_ZD_Moho!CA_rev_gas_perc)-(HM_ZD_Moho!CA_excess_cost_recovery*HM_ZD_Moho!CA_rev_gas_perc),0)</f>
        <v>0</v>
      </c>
      <c r="BM328" s="49">
        <f ca="1">MAX(HM_ZD_Moho!CA_gross_rev_gas_fp-HM_ZD_Moho!CA_roy_gas_fp-(HM_ZD_Moho!CA_cost_recovered_total*HM_ZD_Moho!CA_rev_gas_perc)-(HM_ZD_Moho!CA_excess_cost_recovery*HM_ZD_Moho!CA_rev_gas_perc),0)</f>
        <v>0</v>
      </c>
      <c r="BN328" s="49">
        <f ca="1">MAX(HM_ZD_Moho!CA_gross_rev_gas_fp-HM_ZD_Moho!CA_roy_gas_fp-(HM_ZD_Moho!CA_cost_recovered_total*HM_ZD_Moho!CA_rev_gas_perc)-(HM_ZD_Moho!CA_excess_cost_recovery*HM_ZD_Moho!CA_rev_gas_perc),0)</f>
        <v>0</v>
      </c>
      <c r="BO328" s="49">
        <f ca="1">MAX(HM_ZD_Moho!CA_gross_rev_gas_fp-HM_ZD_Moho!CA_roy_gas_fp-(HM_ZD_Moho!CA_cost_recovered_total*HM_ZD_Moho!CA_rev_gas_perc)-(HM_ZD_Moho!CA_excess_cost_recovery*HM_ZD_Moho!CA_rev_gas_perc),0)</f>
        <v>0</v>
      </c>
      <c r="BP328" s="49">
        <f ca="1">MAX(HM_ZD_Moho!CA_gross_rev_gas_fp-HM_ZD_Moho!CA_roy_gas_fp-(HM_ZD_Moho!CA_cost_recovered_total*HM_ZD_Moho!CA_rev_gas_perc)-(HM_ZD_Moho!CA_excess_cost_recovery*HM_ZD_Moho!CA_rev_gas_perc),0)</f>
        <v>0</v>
      </c>
      <c r="BQ328" s="49">
        <f ca="1">MAX(HM_ZD_Moho!CA_gross_rev_gas_fp-HM_ZD_Moho!CA_roy_gas_fp-(HM_ZD_Moho!CA_cost_recovered_total*HM_ZD_Moho!CA_rev_gas_perc)-(HM_ZD_Moho!CA_excess_cost_recovery*HM_ZD_Moho!CA_rev_gas_perc),0)</f>
        <v>0</v>
      </c>
      <c r="BR328" s="49">
        <f ca="1">MAX(HM_ZD_Moho!CA_gross_rev_gas_fp-HM_ZD_Moho!CA_roy_gas_fp-(HM_ZD_Moho!CA_cost_recovered_total*HM_ZD_Moho!CA_rev_gas_perc)-(HM_ZD_Moho!CA_excess_cost_recovery*HM_ZD_Moho!CA_rev_gas_perc),0)</f>
        <v>0</v>
      </c>
      <c r="BS328" s="49">
        <f ca="1">MAX(HM_ZD_Moho!CA_gross_rev_gas_fp-HM_ZD_Moho!CA_roy_gas_fp-(HM_ZD_Moho!CA_cost_recovered_total*HM_ZD_Moho!CA_rev_gas_perc)-(HM_ZD_Moho!CA_excess_cost_recovery*HM_ZD_Moho!CA_rev_gas_perc),0)</f>
        <v>0</v>
      </c>
    </row>
    <row r="329" spans="4:71" outlineLevel="1" x14ac:dyDescent="0.2">
      <c r="D329" s="50" t="str">
        <f>HM_ZB_Nsoko!D315</f>
        <v>Partage du profit %</v>
      </c>
      <c r="J329" s="26"/>
      <c r="L329" s="53">
        <f ca="1">HM_ZD_AM3_2005!L307</f>
        <v>0.7</v>
      </c>
      <c r="M329" s="53">
        <f ca="1">HM_ZD_AM3_2005!M307</f>
        <v>0.7</v>
      </c>
      <c r="N329" s="53">
        <f ca="1">INDEX(HM_ZD_Moho!FA_PS_cont_rate,MATCH(HM_ZD_Moho!CA_cum_gross_prod_gas,HM_ZD_Moho!FA_PS_cumprod_gas,1))*HM_ZD_Moho!CA_op_trig</f>
        <v>0.7</v>
      </c>
      <c r="O329" s="53">
        <f ca="1">INDEX(HM_ZD_Moho!FA_PS_cont_rate,MATCH(HM_ZD_Moho!CA_cum_gross_prod_gas,HM_ZD_Moho!FA_PS_cumprod_gas,1))*HM_ZD_Moho!CA_op_trig</f>
        <v>0.7</v>
      </c>
      <c r="P329" s="53">
        <f ca="1">INDEX(HM_ZD_Moho!FA_PS_cont_rate,MATCH(HM_ZD_Moho!CA_cum_gross_prod_gas,HM_ZD_Moho!FA_PS_cumprod_gas,1))*HM_ZD_Moho!CA_op_trig</f>
        <v>0.7</v>
      </c>
      <c r="Q329" s="53">
        <f ca="1">INDEX(HM_ZD_Moho!FA_PS_cont_rate,MATCH(HM_ZD_Moho!CA_cum_gross_prod_gas,HM_ZD_Moho!FA_PS_cumprod_gas,1))*HM_ZD_Moho!CA_op_trig</f>
        <v>0.7</v>
      </c>
      <c r="R329" s="53">
        <f ca="1">INDEX(HM_ZD_Moho!FA_PS_cont_rate,MATCH(HM_ZD_Moho!CA_cum_gross_prod_gas,HM_ZD_Moho!FA_PS_cumprod_gas,1))*HM_ZD_Moho!CA_op_trig</f>
        <v>0.7</v>
      </c>
      <c r="S329" s="53">
        <f ca="1">INDEX(HM_ZD_Moho!FA_PS_cont_rate,MATCH(HM_ZD_Moho!CA_cum_gross_prod_gas,HM_ZD_Moho!FA_PS_cumprod_gas,1))*HM_ZD_Moho!CA_op_trig</f>
        <v>0.7</v>
      </c>
      <c r="T329" s="53">
        <f ca="1">INDEX(HM_ZD_Moho!FA_PS_cont_rate,MATCH(HM_ZD_Moho!CA_cum_gross_prod_gas,HM_ZD_Moho!FA_PS_cumprod_gas,1))*HM_ZD_Moho!CA_op_trig</f>
        <v>0.7</v>
      </c>
      <c r="U329" s="53">
        <f ca="1">INDEX(HM_ZD_Moho!FA_PS_cont_rate,MATCH(HM_ZD_Moho!CA_cum_gross_prod_gas,HM_ZD_Moho!FA_PS_cumprod_gas,1))*HM_ZD_Moho!CA_op_trig</f>
        <v>0.7</v>
      </c>
      <c r="V329" s="53">
        <f ca="1">INDEX(HM_ZD_Moho!FA_PS_cont_rate,MATCH(HM_ZD_Moho!CA_cum_gross_prod_gas,HM_ZD_Moho!FA_PS_cumprod_gas,1))*HM_ZD_Moho!CA_op_trig</f>
        <v>0.7</v>
      </c>
      <c r="W329" s="53">
        <f ca="1">INDEX(HM_ZD_Moho!FA_PS_cont_rate,MATCH(HM_ZD_Moho!CA_cum_gross_prod_gas,HM_ZD_Moho!FA_PS_cumprod_gas,1))*HM_ZD_Moho!CA_op_trig</f>
        <v>0.7</v>
      </c>
      <c r="X329" s="53">
        <f ca="1">INDEX(HM_ZD_Moho!FA_PS_cont_rate,MATCH(HM_ZD_Moho!CA_cum_gross_prod_gas,HM_ZD_Moho!FA_PS_cumprod_gas,1))*HM_ZD_Moho!CA_op_trig</f>
        <v>0.7</v>
      </c>
      <c r="Y329" s="53">
        <f ca="1">INDEX(HM_ZD_Moho!FA_PS_cont_rate,MATCH(HM_ZD_Moho!CA_cum_gross_prod_gas,HM_ZD_Moho!FA_PS_cumprod_gas,1))*HM_ZD_Moho!CA_op_trig</f>
        <v>0</v>
      </c>
      <c r="Z329" s="53">
        <f ca="1">INDEX(HM_ZD_Moho!FA_PS_cont_rate,MATCH(HM_ZD_Moho!CA_cum_gross_prod_gas,HM_ZD_Moho!FA_PS_cumprod_gas,1))*HM_ZD_Moho!CA_op_trig</f>
        <v>0</v>
      </c>
      <c r="AA329" s="53">
        <f ca="1">INDEX(HM_ZD_Moho!FA_PS_cont_rate,MATCH(HM_ZD_Moho!CA_cum_gross_prod_gas,HM_ZD_Moho!FA_PS_cumprod_gas,1))*HM_ZD_Moho!CA_op_trig</f>
        <v>0</v>
      </c>
      <c r="AB329" s="53">
        <f ca="1">INDEX(HM_ZD_Moho!FA_PS_cont_rate,MATCH(HM_ZD_Moho!CA_cum_gross_prod_gas,HM_ZD_Moho!FA_PS_cumprod_gas,1))*HM_ZD_Moho!CA_op_trig</f>
        <v>0</v>
      </c>
      <c r="AC329" s="53">
        <f ca="1">INDEX(HM_ZD_Moho!FA_PS_cont_rate,MATCH(HM_ZD_Moho!CA_cum_gross_prod_gas,HM_ZD_Moho!FA_PS_cumprod_gas,1))*HM_ZD_Moho!CA_op_trig</f>
        <v>0</v>
      </c>
      <c r="AD329" s="53">
        <f ca="1">INDEX(HM_ZD_Moho!FA_PS_cont_rate,MATCH(HM_ZD_Moho!CA_cum_gross_prod_gas,HM_ZD_Moho!FA_PS_cumprod_gas,1))*HM_ZD_Moho!CA_op_trig</f>
        <v>0</v>
      </c>
      <c r="AE329" s="53">
        <f ca="1">INDEX(HM_ZD_Moho!FA_PS_cont_rate,MATCH(HM_ZD_Moho!CA_cum_gross_prod_gas,HM_ZD_Moho!FA_PS_cumprod_gas,1))*HM_ZD_Moho!CA_op_trig</f>
        <v>0</v>
      </c>
      <c r="AF329" s="53">
        <f ca="1">INDEX(HM_ZD_Moho!FA_PS_cont_rate,MATCH(HM_ZD_Moho!CA_cum_gross_prod_gas,HM_ZD_Moho!FA_PS_cumprod_gas,1))*HM_ZD_Moho!CA_op_trig</f>
        <v>0</v>
      </c>
      <c r="AG329" s="53">
        <f ca="1">INDEX(HM_ZD_Moho!FA_PS_cont_rate,MATCH(HM_ZD_Moho!CA_cum_gross_prod_gas,HM_ZD_Moho!FA_PS_cumprod_gas,1))*HM_ZD_Moho!CA_op_trig</f>
        <v>0</v>
      </c>
      <c r="AH329" s="53">
        <f ca="1">INDEX(HM_ZD_Moho!FA_PS_cont_rate,MATCH(HM_ZD_Moho!CA_cum_gross_prod_gas,HM_ZD_Moho!FA_PS_cumprod_gas,1))*HM_ZD_Moho!CA_op_trig</f>
        <v>0</v>
      </c>
      <c r="AI329" s="53">
        <f ca="1">INDEX(HM_ZD_Moho!FA_PS_cont_rate,MATCH(HM_ZD_Moho!CA_cum_gross_prod_gas,HM_ZD_Moho!FA_PS_cumprod_gas,1))*HM_ZD_Moho!CA_op_trig</f>
        <v>0</v>
      </c>
      <c r="AJ329" s="53">
        <f ca="1">INDEX(HM_ZD_Moho!FA_PS_cont_rate,MATCH(HM_ZD_Moho!CA_cum_gross_prod_gas,HM_ZD_Moho!FA_PS_cumprod_gas,1))*HM_ZD_Moho!CA_op_trig</f>
        <v>0</v>
      </c>
      <c r="AK329" s="53">
        <f ca="1">INDEX(HM_ZD_Moho!FA_PS_cont_rate,MATCH(HM_ZD_Moho!CA_cum_gross_prod_gas,HM_ZD_Moho!FA_PS_cumprod_gas,1))*HM_ZD_Moho!CA_op_trig</f>
        <v>0</v>
      </c>
      <c r="AL329" s="53">
        <f ca="1">INDEX(HM_ZD_Moho!FA_PS_cont_rate,MATCH(HM_ZD_Moho!CA_cum_gross_prod_gas,HM_ZD_Moho!FA_PS_cumprod_gas,1))*HM_ZD_Moho!CA_op_trig</f>
        <v>0</v>
      </c>
      <c r="AM329" s="53">
        <f ca="1">INDEX(HM_ZD_Moho!FA_PS_cont_rate,MATCH(HM_ZD_Moho!CA_cum_gross_prod_gas,HM_ZD_Moho!FA_PS_cumprod_gas,1))*HM_ZD_Moho!CA_op_trig</f>
        <v>0</v>
      </c>
      <c r="AN329" s="53">
        <f ca="1">INDEX(HM_ZD_Moho!FA_PS_cont_rate,MATCH(HM_ZD_Moho!CA_cum_gross_prod_gas,HM_ZD_Moho!FA_PS_cumprod_gas,1))*HM_ZD_Moho!CA_op_trig</f>
        <v>0</v>
      </c>
      <c r="AO329" s="53">
        <f ca="1">INDEX(HM_ZD_Moho!FA_PS_cont_rate,MATCH(HM_ZD_Moho!CA_cum_gross_prod_gas,HM_ZD_Moho!FA_PS_cumprod_gas,1))*HM_ZD_Moho!CA_op_trig</f>
        <v>0</v>
      </c>
      <c r="AP329" s="53">
        <f ca="1">INDEX(HM_ZD_Moho!FA_PS_cont_rate,MATCH(HM_ZD_Moho!CA_cum_gross_prod_gas,HM_ZD_Moho!FA_PS_cumprod_gas,1))*HM_ZD_Moho!CA_op_trig</f>
        <v>0</v>
      </c>
      <c r="AQ329" s="53">
        <f ca="1">INDEX(HM_ZD_Moho!FA_PS_cont_rate,MATCH(HM_ZD_Moho!CA_cum_gross_prod_gas,HM_ZD_Moho!FA_PS_cumprod_gas,1))*HM_ZD_Moho!CA_op_trig</f>
        <v>0</v>
      </c>
      <c r="AR329" s="53">
        <f ca="1">INDEX(HM_ZD_Moho!FA_PS_cont_rate,MATCH(HM_ZD_Moho!CA_cum_gross_prod_gas,HM_ZD_Moho!FA_PS_cumprod_gas,1))*HM_ZD_Moho!CA_op_trig</f>
        <v>0</v>
      </c>
      <c r="AS329" s="53">
        <f ca="1">INDEX(HM_ZD_Moho!FA_PS_cont_rate,MATCH(HM_ZD_Moho!CA_cum_gross_prod_gas,HM_ZD_Moho!FA_PS_cumprod_gas,1))*HM_ZD_Moho!CA_op_trig</f>
        <v>0</v>
      </c>
      <c r="AT329" s="53">
        <f ca="1">INDEX(HM_ZD_Moho!FA_PS_cont_rate,MATCH(HM_ZD_Moho!CA_cum_gross_prod_gas,HM_ZD_Moho!FA_PS_cumprod_gas,1))*HM_ZD_Moho!CA_op_trig</f>
        <v>0</v>
      </c>
      <c r="AU329" s="53">
        <f ca="1">INDEX(HM_ZD_Moho!FA_PS_cont_rate,MATCH(HM_ZD_Moho!CA_cum_gross_prod_gas,HM_ZD_Moho!FA_PS_cumprod_gas,1))*HM_ZD_Moho!CA_op_trig</f>
        <v>0</v>
      </c>
      <c r="AV329" s="53">
        <f ca="1">INDEX(HM_ZD_Moho!FA_PS_cont_rate,MATCH(HM_ZD_Moho!CA_cum_gross_prod_gas,HM_ZD_Moho!FA_PS_cumprod_gas,1))*HM_ZD_Moho!CA_op_trig</f>
        <v>0</v>
      </c>
      <c r="AW329" s="53">
        <f ca="1">INDEX(HM_ZD_Moho!FA_PS_cont_rate,MATCH(HM_ZD_Moho!CA_cum_gross_prod_gas,HM_ZD_Moho!FA_PS_cumprod_gas,1))*HM_ZD_Moho!CA_op_trig</f>
        <v>0</v>
      </c>
      <c r="AX329" s="53">
        <f ca="1">INDEX(HM_ZD_Moho!FA_PS_cont_rate,MATCH(HM_ZD_Moho!CA_cum_gross_prod_gas,HM_ZD_Moho!FA_PS_cumprod_gas,1))*HM_ZD_Moho!CA_op_trig</f>
        <v>0</v>
      </c>
      <c r="AY329" s="53">
        <f ca="1">INDEX(HM_ZD_Moho!FA_PS_cont_rate,MATCH(HM_ZD_Moho!CA_cum_gross_prod_gas,HM_ZD_Moho!FA_PS_cumprod_gas,1))*HM_ZD_Moho!CA_op_trig</f>
        <v>0</v>
      </c>
      <c r="AZ329" s="53">
        <f ca="1">INDEX(HM_ZD_Moho!FA_PS_cont_rate,MATCH(HM_ZD_Moho!CA_cum_gross_prod_gas,HM_ZD_Moho!FA_PS_cumprod_gas,1))*HM_ZD_Moho!CA_op_trig</f>
        <v>0</v>
      </c>
      <c r="BA329" s="53">
        <f ca="1">INDEX(HM_ZD_Moho!FA_PS_cont_rate,MATCH(HM_ZD_Moho!CA_cum_gross_prod_gas,HM_ZD_Moho!FA_PS_cumprod_gas,1))*HM_ZD_Moho!CA_op_trig</f>
        <v>0</v>
      </c>
      <c r="BB329" s="53">
        <f ca="1">INDEX(HM_ZD_Moho!FA_PS_cont_rate,MATCH(HM_ZD_Moho!CA_cum_gross_prod_gas,HM_ZD_Moho!FA_PS_cumprod_gas,1))*HM_ZD_Moho!CA_op_trig</f>
        <v>0</v>
      </c>
      <c r="BC329" s="53">
        <f ca="1">INDEX(HM_ZD_Moho!FA_PS_cont_rate,MATCH(HM_ZD_Moho!CA_cum_gross_prod_gas,HM_ZD_Moho!FA_PS_cumprod_gas,1))*HM_ZD_Moho!CA_op_trig</f>
        <v>0</v>
      </c>
      <c r="BD329" s="53">
        <f ca="1">INDEX(HM_ZD_Moho!FA_PS_cont_rate,MATCH(HM_ZD_Moho!CA_cum_gross_prod_gas,HM_ZD_Moho!FA_PS_cumprod_gas,1))*HM_ZD_Moho!CA_op_trig</f>
        <v>0</v>
      </c>
      <c r="BE329" s="53">
        <f ca="1">INDEX(HM_ZD_Moho!FA_PS_cont_rate,MATCH(HM_ZD_Moho!CA_cum_gross_prod_gas,HM_ZD_Moho!FA_PS_cumprod_gas,1))*HM_ZD_Moho!CA_op_trig</f>
        <v>0</v>
      </c>
      <c r="BF329" s="53">
        <f ca="1">INDEX(HM_ZD_Moho!FA_PS_cont_rate,MATCH(HM_ZD_Moho!CA_cum_gross_prod_gas,HM_ZD_Moho!FA_PS_cumprod_gas,1))*HM_ZD_Moho!CA_op_trig</f>
        <v>0</v>
      </c>
      <c r="BG329" s="53">
        <f ca="1">INDEX(HM_ZD_Moho!FA_PS_cont_rate,MATCH(HM_ZD_Moho!CA_cum_gross_prod_gas,HM_ZD_Moho!FA_PS_cumprod_gas,1))*HM_ZD_Moho!CA_op_trig</f>
        <v>0</v>
      </c>
      <c r="BH329" s="53">
        <f ca="1">INDEX(HM_ZD_Moho!FA_PS_cont_rate,MATCH(HM_ZD_Moho!CA_cum_gross_prod_gas,HM_ZD_Moho!FA_PS_cumprod_gas,1))*HM_ZD_Moho!CA_op_trig</f>
        <v>0</v>
      </c>
      <c r="BI329" s="53">
        <f ca="1">INDEX(HM_ZD_Moho!FA_PS_cont_rate,MATCH(HM_ZD_Moho!CA_cum_gross_prod_gas,HM_ZD_Moho!FA_PS_cumprod_gas,1))*HM_ZD_Moho!CA_op_trig</f>
        <v>0</v>
      </c>
      <c r="BJ329" s="53">
        <f ca="1">INDEX(HM_ZD_Moho!FA_PS_cont_rate,MATCH(HM_ZD_Moho!CA_cum_gross_prod_gas,HM_ZD_Moho!FA_PS_cumprod_gas,1))*HM_ZD_Moho!CA_op_trig</f>
        <v>0</v>
      </c>
      <c r="BK329" s="53">
        <f ca="1">INDEX(HM_ZD_Moho!FA_PS_cont_rate,MATCH(HM_ZD_Moho!CA_cum_gross_prod_gas,HM_ZD_Moho!FA_PS_cumprod_gas,1))*HM_ZD_Moho!CA_op_trig</f>
        <v>0</v>
      </c>
      <c r="BL329" s="53">
        <f ca="1">INDEX(HM_ZD_Moho!FA_PS_cont_rate,MATCH(HM_ZD_Moho!CA_cum_gross_prod_gas,HM_ZD_Moho!FA_PS_cumprod_gas,1))*HM_ZD_Moho!CA_op_trig</f>
        <v>0</v>
      </c>
      <c r="BM329" s="53">
        <f ca="1">INDEX(HM_ZD_Moho!FA_PS_cont_rate,MATCH(HM_ZD_Moho!CA_cum_gross_prod_gas,HM_ZD_Moho!FA_PS_cumprod_gas,1))*HM_ZD_Moho!CA_op_trig</f>
        <v>0</v>
      </c>
      <c r="BN329" s="53">
        <f ca="1">INDEX(HM_ZD_Moho!FA_PS_cont_rate,MATCH(HM_ZD_Moho!CA_cum_gross_prod_gas,HM_ZD_Moho!FA_PS_cumprod_gas,1))*HM_ZD_Moho!CA_op_trig</f>
        <v>0</v>
      </c>
      <c r="BO329" s="53">
        <f ca="1">INDEX(HM_ZD_Moho!FA_PS_cont_rate,MATCH(HM_ZD_Moho!CA_cum_gross_prod_gas,HM_ZD_Moho!FA_PS_cumprod_gas,1))*HM_ZD_Moho!CA_op_trig</f>
        <v>0</v>
      </c>
      <c r="BP329" s="53">
        <f ca="1">INDEX(HM_ZD_Moho!FA_PS_cont_rate,MATCH(HM_ZD_Moho!CA_cum_gross_prod_gas,HM_ZD_Moho!FA_PS_cumprod_gas,1))*HM_ZD_Moho!CA_op_trig</f>
        <v>0</v>
      </c>
      <c r="BQ329" s="53">
        <f ca="1">INDEX(HM_ZD_Moho!FA_PS_cont_rate,MATCH(HM_ZD_Moho!CA_cum_gross_prod_gas,HM_ZD_Moho!FA_PS_cumprod_gas,1))*HM_ZD_Moho!CA_op_trig</f>
        <v>0</v>
      </c>
      <c r="BR329" s="53">
        <f ca="1">INDEX(HM_ZD_Moho!FA_PS_cont_rate,MATCH(HM_ZD_Moho!CA_cum_gross_prod_gas,HM_ZD_Moho!FA_PS_cumprod_gas,1))*HM_ZD_Moho!CA_op_trig</f>
        <v>0</v>
      </c>
      <c r="BS329" s="53">
        <f ca="1">INDEX(HM_ZD_Moho!FA_PS_cont_rate,MATCH(HM_ZD_Moho!CA_cum_gross_prod_gas,HM_ZD_Moho!FA_PS_cumprod_gas,1))*HM_ZD_Moho!CA_op_trig</f>
        <v>0</v>
      </c>
    </row>
    <row r="330" spans="4:71" outlineLevel="1" x14ac:dyDescent="0.2">
      <c r="D330" t="str">
        <f>HM_ZB_Nsoko!D316</f>
        <v>Part du Contracteur dans le Profit Oil</v>
      </c>
      <c r="I330" s="30">
        <f t="shared" ca="1" si="195"/>
        <v>0</v>
      </c>
      <c r="J330" s="26" t="s">
        <v>148</v>
      </c>
      <c r="L330" s="49">
        <f ca="1">HM_ZD_AM3_2005!L308</f>
        <v>0</v>
      </c>
      <c r="M330" s="49">
        <f ca="1">HM_ZD_AM3_2005!M308</f>
        <v>0</v>
      </c>
      <c r="N330" s="49">
        <f t="shared" ref="N330:BS330" ca="1" si="196">N328*N329</f>
        <v>0</v>
      </c>
      <c r="O330" s="49">
        <f t="shared" ca="1" si="196"/>
        <v>0</v>
      </c>
      <c r="P330" s="49">
        <f t="shared" ca="1" si="196"/>
        <v>0</v>
      </c>
      <c r="Q330" s="49">
        <f t="shared" ca="1" si="196"/>
        <v>0</v>
      </c>
      <c r="R330" s="49">
        <f t="shared" ca="1" si="196"/>
        <v>0</v>
      </c>
      <c r="S330" s="49">
        <f t="shared" ca="1" si="196"/>
        <v>0</v>
      </c>
      <c r="T330" s="49">
        <f t="shared" ca="1" si="196"/>
        <v>0</v>
      </c>
      <c r="U330" s="49">
        <f t="shared" ca="1" si="196"/>
        <v>0</v>
      </c>
      <c r="V330" s="49">
        <f t="shared" ca="1" si="196"/>
        <v>0</v>
      </c>
      <c r="W330" s="49">
        <f t="shared" ca="1" si="196"/>
        <v>0</v>
      </c>
      <c r="X330" s="49">
        <f t="shared" ca="1" si="196"/>
        <v>0</v>
      </c>
      <c r="Y330" s="49">
        <f t="shared" ca="1" si="196"/>
        <v>0</v>
      </c>
      <c r="Z330" s="49">
        <f t="shared" ca="1" si="196"/>
        <v>0</v>
      </c>
      <c r="AA330" s="49">
        <f t="shared" ca="1" si="196"/>
        <v>0</v>
      </c>
      <c r="AB330" s="49">
        <f t="shared" ca="1" si="196"/>
        <v>0</v>
      </c>
      <c r="AC330" s="49">
        <f t="shared" ca="1" si="196"/>
        <v>0</v>
      </c>
      <c r="AD330" s="49">
        <f t="shared" ca="1" si="196"/>
        <v>0</v>
      </c>
      <c r="AE330" s="49">
        <f t="shared" ca="1" si="196"/>
        <v>0</v>
      </c>
      <c r="AF330" s="49">
        <f t="shared" ca="1" si="196"/>
        <v>0</v>
      </c>
      <c r="AG330" s="49">
        <f t="shared" ca="1" si="196"/>
        <v>0</v>
      </c>
      <c r="AH330" s="49">
        <f t="shared" ca="1" si="196"/>
        <v>0</v>
      </c>
      <c r="AI330" s="49">
        <f t="shared" ca="1" si="196"/>
        <v>0</v>
      </c>
      <c r="AJ330" s="49">
        <f t="shared" ca="1" si="196"/>
        <v>0</v>
      </c>
      <c r="AK330" s="49">
        <f t="shared" ca="1" si="196"/>
        <v>0</v>
      </c>
      <c r="AL330" s="49">
        <f t="shared" ca="1" si="196"/>
        <v>0</v>
      </c>
      <c r="AM330" s="49">
        <f t="shared" ca="1" si="196"/>
        <v>0</v>
      </c>
      <c r="AN330" s="49">
        <f t="shared" ca="1" si="196"/>
        <v>0</v>
      </c>
      <c r="AO330" s="49">
        <f t="shared" ca="1" si="196"/>
        <v>0</v>
      </c>
      <c r="AP330" s="49">
        <f t="shared" ca="1" si="196"/>
        <v>0</v>
      </c>
      <c r="AQ330" s="49">
        <f t="shared" ca="1" si="196"/>
        <v>0</v>
      </c>
      <c r="AR330" s="49">
        <f t="shared" ca="1" si="196"/>
        <v>0</v>
      </c>
      <c r="AS330" s="49">
        <f t="shared" ca="1" si="196"/>
        <v>0</v>
      </c>
      <c r="AT330" s="49">
        <f t="shared" ca="1" si="196"/>
        <v>0</v>
      </c>
      <c r="AU330" s="49">
        <f t="shared" ca="1" si="196"/>
        <v>0</v>
      </c>
      <c r="AV330" s="49">
        <f t="shared" ca="1" si="196"/>
        <v>0</v>
      </c>
      <c r="AW330" s="49">
        <f t="shared" ca="1" si="196"/>
        <v>0</v>
      </c>
      <c r="AX330" s="49">
        <f t="shared" ca="1" si="196"/>
        <v>0</v>
      </c>
      <c r="AY330" s="49">
        <f t="shared" ca="1" si="196"/>
        <v>0</v>
      </c>
      <c r="AZ330" s="49">
        <f t="shared" ca="1" si="196"/>
        <v>0</v>
      </c>
      <c r="BA330" s="49">
        <f t="shared" ca="1" si="196"/>
        <v>0</v>
      </c>
      <c r="BB330" s="49">
        <f t="shared" ca="1" si="196"/>
        <v>0</v>
      </c>
      <c r="BC330" s="49">
        <f t="shared" ca="1" si="196"/>
        <v>0</v>
      </c>
      <c r="BD330" s="49">
        <f t="shared" ca="1" si="196"/>
        <v>0</v>
      </c>
      <c r="BE330" s="49">
        <f t="shared" ca="1" si="196"/>
        <v>0</v>
      </c>
      <c r="BF330" s="49">
        <f t="shared" ca="1" si="196"/>
        <v>0</v>
      </c>
      <c r="BG330" s="49">
        <f t="shared" ca="1" si="196"/>
        <v>0</v>
      </c>
      <c r="BH330" s="49">
        <f t="shared" ca="1" si="196"/>
        <v>0</v>
      </c>
      <c r="BI330" s="49">
        <f t="shared" ca="1" si="196"/>
        <v>0</v>
      </c>
      <c r="BJ330" s="49">
        <f t="shared" ca="1" si="196"/>
        <v>0</v>
      </c>
      <c r="BK330" s="49">
        <f t="shared" ca="1" si="196"/>
        <v>0</v>
      </c>
      <c r="BL330" s="49">
        <f t="shared" ca="1" si="196"/>
        <v>0</v>
      </c>
      <c r="BM330" s="49">
        <f t="shared" ca="1" si="196"/>
        <v>0</v>
      </c>
      <c r="BN330" s="49">
        <f t="shared" ca="1" si="196"/>
        <v>0</v>
      </c>
      <c r="BO330" s="49">
        <f t="shared" ca="1" si="196"/>
        <v>0</v>
      </c>
      <c r="BP330" s="49">
        <f t="shared" ca="1" si="196"/>
        <v>0</v>
      </c>
      <c r="BQ330" s="49">
        <f t="shared" ca="1" si="196"/>
        <v>0</v>
      </c>
      <c r="BR330" s="49">
        <f t="shared" ca="1" si="196"/>
        <v>0</v>
      </c>
      <c r="BS330" s="49">
        <f t="shared" ca="1" si="196"/>
        <v>0</v>
      </c>
    </row>
    <row r="331" spans="4:71" outlineLevel="1" x14ac:dyDescent="0.2">
      <c r="D331" t="str">
        <f>HM_ZB_Nsoko!D317</f>
        <v>Part du Gouv. dans le Profit Oil</v>
      </c>
      <c r="I331" s="30">
        <f t="shared" ca="1" si="195"/>
        <v>0</v>
      </c>
      <c r="J331" s="26" t="s">
        <v>148</v>
      </c>
      <c r="L331" s="49">
        <f ca="1">HM_ZD_AM3_2005!L309</f>
        <v>0</v>
      </c>
      <c r="M331" s="49">
        <f ca="1">HM_ZD_AM3_2005!M309</f>
        <v>0</v>
      </c>
      <c r="N331" s="49">
        <f t="shared" ref="N331:BS331" ca="1" si="197">N328-N330</f>
        <v>0</v>
      </c>
      <c r="O331" s="49">
        <f t="shared" ca="1" si="197"/>
        <v>0</v>
      </c>
      <c r="P331" s="49">
        <f t="shared" ca="1" si="197"/>
        <v>0</v>
      </c>
      <c r="Q331" s="49">
        <f t="shared" ca="1" si="197"/>
        <v>0</v>
      </c>
      <c r="R331" s="49">
        <f t="shared" ca="1" si="197"/>
        <v>0</v>
      </c>
      <c r="S331" s="49">
        <f t="shared" ca="1" si="197"/>
        <v>0</v>
      </c>
      <c r="T331" s="49">
        <f t="shared" ca="1" si="197"/>
        <v>0</v>
      </c>
      <c r="U331" s="49">
        <f t="shared" ca="1" si="197"/>
        <v>0</v>
      </c>
      <c r="V331" s="49">
        <f t="shared" ca="1" si="197"/>
        <v>0</v>
      </c>
      <c r="W331" s="49">
        <f t="shared" ca="1" si="197"/>
        <v>0</v>
      </c>
      <c r="X331" s="49">
        <f t="shared" ca="1" si="197"/>
        <v>0</v>
      </c>
      <c r="Y331" s="49">
        <f t="shared" ca="1" si="197"/>
        <v>0</v>
      </c>
      <c r="Z331" s="49">
        <f t="shared" ca="1" si="197"/>
        <v>0</v>
      </c>
      <c r="AA331" s="49">
        <f t="shared" ca="1" si="197"/>
        <v>0</v>
      </c>
      <c r="AB331" s="49">
        <f t="shared" ca="1" si="197"/>
        <v>0</v>
      </c>
      <c r="AC331" s="49">
        <f t="shared" ca="1" si="197"/>
        <v>0</v>
      </c>
      <c r="AD331" s="49">
        <f t="shared" ca="1" si="197"/>
        <v>0</v>
      </c>
      <c r="AE331" s="49">
        <f t="shared" ca="1" si="197"/>
        <v>0</v>
      </c>
      <c r="AF331" s="49">
        <f t="shared" ca="1" si="197"/>
        <v>0</v>
      </c>
      <c r="AG331" s="49">
        <f t="shared" ca="1" si="197"/>
        <v>0</v>
      </c>
      <c r="AH331" s="49">
        <f t="shared" ca="1" si="197"/>
        <v>0</v>
      </c>
      <c r="AI331" s="49">
        <f t="shared" ca="1" si="197"/>
        <v>0</v>
      </c>
      <c r="AJ331" s="49">
        <f t="shared" ca="1" si="197"/>
        <v>0</v>
      </c>
      <c r="AK331" s="49">
        <f t="shared" ca="1" si="197"/>
        <v>0</v>
      </c>
      <c r="AL331" s="49">
        <f t="shared" ca="1" si="197"/>
        <v>0</v>
      </c>
      <c r="AM331" s="49">
        <f t="shared" ca="1" si="197"/>
        <v>0</v>
      </c>
      <c r="AN331" s="49">
        <f t="shared" ca="1" si="197"/>
        <v>0</v>
      </c>
      <c r="AO331" s="49">
        <f t="shared" ca="1" si="197"/>
        <v>0</v>
      </c>
      <c r="AP331" s="49">
        <f t="shared" ca="1" si="197"/>
        <v>0</v>
      </c>
      <c r="AQ331" s="49">
        <f t="shared" ca="1" si="197"/>
        <v>0</v>
      </c>
      <c r="AR331" s="49">
        <f t="shared" ca="1" si="197"/>
        <v>0</v>
      </c>
      <c r="AS331" s="49">
        <f t="shared" ca="1" si="197"/>
        <v>0</v>
      </c>
      <c r="AT331" s="49">
        <f t="shared" ca="1" si="197"/>
        <v>0</v>
      </c>
      <c r="AU331" s="49">
        <f t="shared" ca="1" si="197"/>
        <v>0</v>
      </c>
      <c r="AV331" s="49">
        <f t="shared" ca="1" si="197"/>
        <v>0</v>
      </c>
      <c r="AW331" s="49">
        <f t="shared" ca="1" si="197"/>
        <v>0</v>
      </c>
      <c r="AX331" s="49">
        <f t="shared" ca="1" si="197"/>
        <v>0</v>
      </c>
      <c r="AY331" s="49">
        <f t="shared" ca="1" si="197"/>
        <v>0</v>
      </c>
      <c r="AZ331" s="49">
        <f t="shared" ca="1" si="197"/>
        <v>0</v>
      </c>
      <c r="BA331" s="49">
        <f t="shared" ca="1" si="197"/>
        <v>0</v>
      </c>
      <c r="BB331" s="49">
        <f t="shared" ca="1" si="197"/>
        <v>0</v>
      </c>
      <c r="BC331" s="49">
        <f t="shared" ca="1" si="197"/>
        <v>0</v>
      </c>
      <c r="BD331" s="49">
        <f t="shared" ca="1" si="197"/>
        <v>0</v>
      </c>
      <c r="BE331" s="49">
        <f t="shared" ca="1" si="197"/>
        <v>0</v>
      </c>
      <c r="BF331" s="49">
        <f t="shared" ca="1" si="197"/>
        <v>0</v>
      </c>
      <c r="BG331" s="49">
        <f t="shared" ca="1" si="197"/>
        <v>0</v>
      </c>
      <c r="BH331" s="49">
        <f t="shared" ca="1" si="197"/>
        <v>0</v>
      </c>
      <c r="BI331" s="49">
        <f t="shared" ca="1" si="197"/>
        <v>0</v>
      </c>
      <c r="BJ331" s="49">
        <f t="shared" ca="1" si="197"/>
        <v>0</v>
      </c>
      <c r="BK331" s="49">
        <f t="shared" ca="1" si="197"/>
        <v>0</v>
      </c>
      <c r="BL331" s="49">
        <f t="shared" ca="1" si="197"/>
        <v>0</v>
      </c>
      <c r="BM331" s="49">
        <f t="shared" ca="1" si="197"/>
        <v>0</v>
      </c>
      <c r="BN331" s="49">
        <f t="shared" ca="1" si="197"/>
        <v>0</v>
      </c>
      <c r="BO331" s="49">
        <f t="shared" ca="1" si="197"/>
        <v>0</v>
      </c>
      <c r="BP331" s="49">
        <f t="shared" ca="1" si="197"/>
        <v>0</v>
      </c>
      <c r="BQ331" s="49">
        <f t="shared" ca="1" si="197"/>
        <v>0</v>
      </c>
      <c r="BR331" s="49">
        <f t="shared" ca="1" si="197"/>
        <v>0</v>
      </c>
      <c r="BS331" s="49">
        <f t="shared" ca="1" si="197"/>
        <v>0</v>
      </c>
    </row>
    <row r="332" spans="4:71" outlineLevel="1" x14ac:dyDescent="0.2">
      <c r="J332" s="26"/>
      <c r="L332" s="55"/>
      <c r="M332" s="55"/>
      <c r="N332" s="55"/>
      <c r="O332" s="55"/>
      <c r="P332" s="55"/>
      <c r="Q332" s="55"/>
      <c r="R332" s="55"/>
      <c r="S332" s="55"/>
      <c r="T332" s="55"/>
      <c r="U332" s="55"/>
      <c r="V332" s="55"/>
      <c r="W332" s="55"/>
      <c r="X332" s="55"/>
      <c r="Y332" s="55"/>
      <c r="Z332" s="55"/>
      <c r="AA332" s="55"/>
      <c r="AB332" s="55"/>
      <c r="AC332" s="55"/>
      <c r="AD332" s="55"/>
      <c r="AE332" s="55"/>
      <c r="AF332" s="55"/>
      <c r="AG332" s="55"/>
      <c r="AH332" s="55"/>
      <c r="AI332" s="55"/>
      <c r="AJ332" s="55"/>
      <c r="AK332" s="55"/>
      <c r="AL332" s="55"/>
      <c r="AM332" s="55"/>
      <c r="AN332" s="55"/>
      <c r="AO332" s="55"/>
      <c r="AP332" s="55"/>
      <c r="AQ332" s="55"/>
      <c r="AR332" s="55"/>
      <c r="AS332" s="55"/>
      <c r="AT332" s="55"/>
      <c r="AU332" s="55"/>
      <c r="AV332" s="55"/>
      <c r="AW332" s="55"/>
      <c r="AX332" s="55"/>
      <c r="AY332" s="55"/>
      <c r="AZ332" s="55"/>
      <c r="BA332" s="55"/>
      <c r="BB332" s="55"/>
      <c r="BC332" s="55"/>
      <c r="BD332" s="55"/>
      <c r="BE332" s="55"/>
      <c r="BF332" s="55"/>
      <c r="BG332" s="55"/>
      <c r="BH332" s="55"/>
      <c r="BI332" s="55"/>
      <c r="BJ332" s="55"/>
      <c r="BK332" s="55"/>
      <c r="BL332" s="55"/>
      <c r="BM332" s="55"/>
      <c r="BN332" s="55"/>
      <c r="BO332" s="55"/>
      <c r="BP332" s="55"/>
      <c r="BQ332" s="55"/>
      <c r="BR332" s="55"/>
      <c r="BS332" s="55"/>
    </row>
    <row r="333" spans="4:71" outlineLevel="1" x14ac:dyDescent="0.2">
      <c r="D333" s="11" t="str">
        <f>HM_ZB_Nsoko!D319</f>
        <v>Total Part du Profit Contracteur</v>
      </c>
      <c r="I333" s="30">
        <f t="shared" ca="1" si="195"/>
        <v>2952.8206097990133</v>
      </c>
      <c r="J333" s="26" t="s">
        <v>148</v>
      </c>
      <c r="K333" s="7" t="s">
        <v>241</v>
      </c>
      <c r="L333" s="49">
        <f ca="1">HM_ZD_AM3_2005!L311</f>
        <v>0</v>
      </c>
      <c r="M333" s="49">
        <f ca="1">HM_ZD_AM3_2005!M311</f>
        <v>0</v>
      </c>
      <c r="N333" s="49">
        <f t="shared" ref="N333:BS334" ca="1" si="198">SUM(N324,N330)</f>
        <v>77.17994040225004</v>
      </c>
      <c r="O333" s="49">
        <f t="shared" ca="1" si="198"/>
        <v>66.32561821851003</v>
      </c>
      <c r="P333" s="49">
        <f t="shared" ca="1" si="198"/>
        <v>186.09820486414515</v>
      </c>
      <c r="Q333" s="49">
        <f t="shared" ca="1" si="198"/>
        <v>376.51892230470025</v>
      </c>
      <c r="R333" s="49">
        <f t="shared" ca="1" si="198"/>
        <v>343.62225013398739</v>
      </c>
      <c r="S333" s="49">
        <f t="shared" ca="1" si="198"/>
        <v>205.17010078500024</v>
      </c>
      <c r="T333" s="49">
        <f t="shared" ca="1" si="198"/>
        <v>313.93162883534404</v>
      </c>
      <c r="U333" s="49">
        <f t="shared" ca="1" si="198"/>
        <v>313.38228246507015</v>
      </c>
      <c r="V333" s="49">
        <f t="shared" ca="1" si="198"/>
        <v>228.67264088181969</v>
      </c>
      <c r="W333" s="49">
        <f t="shared" ca="1" si="198"/>
        <v>432.06354352262463</v>
      </c>
      <c r="X333" s="49">
        <f t="shared" ca="1" si="198"/>
        <v>409.85547738556147</v>
      </c>
      <c r="Y333" s="49">
        <f t="shared" ca="1" si="198"/>
        <v>0</v>
      </c>
      <c r="Z333" s="49">
        <f t="shared" ca="1" si="198"/>
        <v>0</v>
      </c>
      <c r="AA333" s="49">
        <f t="shared" ca="1" si="198"/>
        <v>0</v>
      </c>
      <c r="AB333" s="49">
        <f t="shared" ca="1" si="198"/>
        <v>0</v>
      </c>
      <c r="AC333" s="49">
        <f t="shared" ca="1" si="198"/>
        <v>0</v>
      </c>
      <c r="AD333" s="49">
        <f t="shared" ca="1" si="198"/>
        <v>0</v>
      </c>
      <c r="AE333" s="49">
        <f t="shared" ca="1" si="198"/>
        <v>0</v>
      </c>
      <c r="AF333" s="49">
        <f t="shared" ca="1" si="198"/>
        <v>0</v>
      </c>
      <c r="AG333" s="49">
        <f t="shared" ca="1" si="198"/>
        <v>0</v>
      </c>
      <c r="AH333" s="49">
        <f t="shared" ca="1" si="198"/>
        <v>0</v>
      </c>
      <c r="AI333" s="49">
        <f t="shared" ca="1" si="198"/>
        <v>0</v>
      </c>
      <c r="AJ333" s="49">
        <f t="shared" ca="1" si="198"/>
        <v>0</v>
      </c>
      <c r="AK333" s="49">
        <f t="shared" ca="1" si="198"/>
        <v>0</v>
      </c>
      <c r="AL333" s="49">
        <f t="shared" ca="1" si="198"/>
        <v>0</v>
      </c>
      <c r="AM333" s="49">
        <f t="shared" ca="1" si="198"/>
        <v>0</v>
      </c>
      <c r="AN333" s="49">
        <f t="shared" ca="1" si="198"/>
        <v>0</v>
      </c>
      <c r="AO333" s="49">
        <f t="shared" ca="1" si="198"/>
        <v>0</v>
      </c>
      <c r="AP333" s="49">
        <f t="shared" ca="1" si="198"/>
        <v>0</v>
      </c>
      <c r="AQ333" s="49">
        <f t="shared" ca="1" si="198"/>
        <v>0</v>
      </c>
      <c r="AR333" s="49">
        <f t="shared" ca="1" si="198"/>
        <v>0</v>
      </c>
      <c r="AS333" s="49">
        <f t="shared" ca="1" si="198"/>
        <v>0</v>
      </c>
      <c r="AT333" s="49">
        <f t="shared" ca="1" si="198"/>
        <v>0</v>
      </c>
      <c r="AU333" s="49">
        <f t="shared" ca="1" si="198"/>
        <v>0</v>
      </c>
      <c r="AV333" s="49">
        <f t="shared" ca="1" si="198"/>
        <v>0</v>
      </c>
      <c r="AW333" s="49">
        <f t="shared" ca="1" si="198"/>
        <v>0</v>
      </c>
      <c r="AX333" s="49">
        <f t="shared" ca="1" si="198"/>
        <v>0</v>
      </c>
      <c r="AY333" s="49">
        <f t="shared" ca="1" si="198"/>
        <v>0</v>
      </c>
      <c r="AZ333" s="49">
        <f t="shared" ca="1" si="198"/>
        <v>0</v>
      </c>
      <c r="BA333" s="49">
        <f t="shared" ca="1" si="198"/>
        <v>0</v>
      </c>
      <c r="BB333" s="49">
        <f t="shared" ca="1" si="198"/>
        <v>0</v>
      </c>
      <c r="BC333" s="49">
        <f t="shared" ca="1" si="198"/>
        <v>0</v>
      </c>
      <c r="BD333" s="49">
        <f t="shared" ca="1" si="198"/>
        <v>0</v>
      </c>
      <c r="BE333" s="49">
        <f t="shared" ca="1" si="198"/>
        <v>0</v>
      </c>
      <c r="BF333" s="49">
        <f t="shared" ca="1" si="198"/>
        <v>0</v>
      </c>
      <c r="BG333" s="49">
        <f t="shared" ca="1" si="198"/>
        <v>0</v>
      </c>
      <c r="BH333" s="49">
        <f t="shared" ca="1" si="198"/>
        <v>0</v>
      </c>
      <c r="BI333" s="49">
        <f t="shared" ca="1" si="198"/>
        <v>0</v>
      </c>
      <c r="BJ333" s="49">
        <f t="shared" ca="1" si="198"/>
        <v>0</v>
      </c>
      <c r="BK333" s="49">
        <f t="shared" ca="1" si="198"/>
        <v>0</v>
      </c>
      <c r="BL333" s="49">
        <f t="shared" ca="1" si="198"/>
        <v>0</v>
      </c>
      <c r="BM333" s="49">
        <f t="shared" ca="1" si="198"/>
        <v>0</v>
      </c>
      <c r="BN333" s="49">
        <f t="shared" ca="1" si="198"/>
        <v>0</v>
      </c>
      <c r="BO333" s="49">
        <f t="shared" ca="1" si="198"/>
        <v>0</v>
      </c>
      <c r="BP333" s="49">
        <f t="shared" ca="1" si="198"/>
        <v>0</v>
      </c>
      <c r="BQ333" s="49">
        <f t="shared" ca="1" si="198"/>
        <v>0</v>
      </c>
      <c r="BR333" s="49">
        <f t="shared" ca="1" si="198"/>
        <v>0</v>
      </c>
      <c r="BS333" s="49">
        <f t="shared" ca="1" si="198"/>
        <v>0</v>
      </c>
    </row>
    <row r="334" spans="4:71" outlineLevel="1" x14ac:dyDescent="0.2">
      <c r="D334" s="11" t="str">
        <f>HM_ZB_Nsoko!D320</f>
        <v>Total Part du Profit Gouv.</v>
      </c>
      <c r="I334" s="30">
        <f t="shared" ca="1" si="195"/>
        <v>2006.5036573344598</v>
      </c>
      <c r="J334" s="26" t="s">
        <v>148</v>
      </c>
      <c r="K334" s="7" t="s">
        <v>242</v>
      </c>
      <c r="L334" s="49">
        <f ca="1">HM_ZD_AM3_2005!L312</f>
        <v>0</v>
      </c>
      <c r="M334" s="49">
        <f ca="1">HM_ZD_AM3_2005!M312</f>
        <v>0</v>
      </c>
      <c r="N334" s="49">
        <f t="shared" ca="1" si="198"/>
        <v>33.077117315250021</v>
      </c>
      <c r="O334" s="49">
        <f t="shared" ca="1" si="198"/>
        <v>28.425264950790009</v>
      </c>
      <c r="P334" s="49">
        <f t="shared" ca="1" si="198"/>
        <v>79.756373513205062</v>
      </c>
      <c r="Q334" s="49">
        <f t="shared" ca="1" si="198"/>
        <v>161.36525241630011</v>
      </c>
      <c r="R334" s="49">
        <f t="shared" ca="1" si="198"/>
        <v>185.02736545676242</v>
      </c>
      <c r="S334" s="49">
        <f t="shared" ca="1" si="198"/>
        <v>110.47620811500011</v>
      </c>
      <c r="T334" s="49">
        <f t="shared" ca="1" si="198"/>
        <v>169.04010783441601</v>
      </c>
      <c r="U334" s="49">
        <f t="shared" ca="1" si="198"/>
        <v>168.74430594273008</v>
      </c>
      <c r="V334" s="49">
        <f t="shared" ca="1" si="198"/>
        <v>228.67264088181969</v>
      </c>
      <c r="W334" s="49">
        <f t="shared" ca="1" si="198"/>
        <v>432.06354352262463</v>
      </c>
      <c r="X334" s="49">
        <f t="shared" ca="1" si="198"/>
        <v>409.85547738556147</v>
      </c>
      <c r="Y334" s="49">
        <f t="shared" ca="1" si="198"/>
        <v>0</v>
      </c>
      <c r="Z334" s="49">
        <f t="shared" ca="1" si="198"/>
        <v>0</v>
      </c>
      <c r="AA334" s="49">
        <f t="shared" ca="1" si="198"/>
        <v>0</v>
      </c>
      <c r="AB334" s="49">
        <f t="shared" ca="1" si="198"/>
        <v>0</v>
      </c>
      <c r="AC334" s="49">
        <f t="shared" ca="1" si="198"/>
        <v>0</v>
      </c>
      <c r="AD334" s="49">
        <f t="shared" ca="1" si="198"/>
        <v>0</v>
      </c>
      <c r="AE334" s="49">
        <f t="shared" ca="1" si="198"/>
        <v>0</v>
      </c>
      <c r="AF334" s="49">
        <f t="shared" ca="1" si="198"/>
        <v>0</v>
      </c>
      <c r="AG334" s="49">
        <f t="shared" ca="1" si="198"/>
        <v>0</v>
      </c>
      <c r="AH334" s="49">
        <f t="shared" ca="1" si="198"/>
        <v>0</v>
      </c>
      <c r="AI334" s="49">
        <f t="shared" ca="1" si="198"/>
        <v>0</v>
      </c>
      <c r="AJ334" s="49">
        <f t="shared" ca="1" si="198"/>
        <v>0</v>
      </c>
      <c r="AK334" s="49">
        <f t="shared" ca="1" si="198"/>
        <v>0</v>
      </c>
      <c r="AL334" s="49">
        <f t="shared" ca="1" si="198"/>
        <v>0</v>
      </c>
      <c r="AM334" s="49">
        <f t="shared" ca="1" si="198"/>
        <v>0</v>
      </c>
      <c r="AN334" s="49">
        <f t="shared" ca="1" si="198"/>
        <v>0</v>
      </c>
      <c r="AO334" s="49">
        <f t="shared" ca="1" si="198"/>
        <v>0</v>
      </c>
      <c r="AP334" s="49">
        <f t="shared" ca="1" si="198"/>
        <v>0</v>
      </c>
      <c r="AQ334" s="49">
        <f t="shared" ca="1" si="198"/>
        <v>0</v>
      </c>
      <c r="AR334" s="49">
        <f t="shared" ca="1" si="198"/>
        <v>0</v>
      </c>
      <c r="AS334" s="49">
        <f t="shared" ca="1" si="198"/>
        <v>0</v>
      </c>
      <c r="AT334" s="49">
        <f t="shared" ca="1" si="198"/>
        <v>0</v>
      </c>
      <c r="AU334" s="49">
        <f t="shared" ca="1" si="198"/>
        <v>0</v>
      </c>
      <c r="AV334" s="49">
        <f t="shared" ca="1" si="198"/>
        <v>0</v>
      </c>
      <c r="AW334" s="49">
        <f t="shared" ca="1" si="198"/>
        <v>0</v>
      </c>
      <c r="AX334" s="49">
        <f t="shared" ca="1" si="198"/>
        <v>0</v>
      </c>
      <c r="AY334" s="49">
        <f t="shared" ca="1" si="198"/>
        <v>0</v>
      </c>
      <c r="AZ334" s="49">
        <f t="shared" ca="1" si="198"/>
        <v>0</v>
      </c>
      <c r="BA334" s="49">
        <f t="shared" ca="1" si="198"/>
        <v>0</v>
      </c>
      <c r="BB334" s="49">
        <f t="shared" ca="1" si="198"/>
        <v>0</v>
      </c>
      <c r="BC334" s="49">
        <f t="shared" ca="1" si="198"/>
        <v>0</v>
      </c>
      <c r="BD334" s="49">
        <f t="shared" ca="1" si="198"/>
        <v>0</v>
      </c>
      <c r="BE334" s="49">
        <f t="shared" ca="1" si="198"/>
        <v>0</v>
      </c>
      <c r="BF334" s="49">
        <f t="shared" ca="1" si="198"/>
        <v>0</v>
      </c>
      <c r="BG334" s="49">
        <f t="shared" ca="1" si="198"/>
        <v>0</v>
      </c>
      <c r="BH334" s="49">
        <f t="shared" ca="1" si="198"/>
        <v>0</v>
      </c>
      <c r="BI334" s="49">
        <f t="shared" ca="1" si="198"/>
        <v>0</v>
      </c>
      <c r="BJ334" s="49">
        <f t="shared" ca="1" si="198"/>
        <v>0</v>
      </c>
      <c r="BK334" s="49">
        <f t="shared" ca="1" si="198"/>
        <v>0</v>
      </c>
      <c r="BL334" s="49">
        <f t="shared" ca="1" si="198"/>
        <v>0</v>
      </c>
      <c r="BM334" s="49">
        <f t="shared" ca="1" si="198"/>
        <v>0</v>
      </c>
      <c r="BN334" s="49">
        <f t="shared" ca="1" si="198"/>
        <v>0</v>
      </c>
      <c r="BO334" s="49">
        <f t="shared" ca="1" si="198"/>
        <v>0</v>
      </c>
      <c r="BP334" s="49">
        <f t="shared" ca="1" si="198"/>
        <v>0</v>
      </c>
      <c r="BQ334" s="49">
        <f t="shared" ca="1" si="198"/>
        <v>0</v>
      </c>
      <c r="BR334" s="49">
        <f t="shared" ca="1" si="198"/>
        <v>0</v>
      </c>
      <c r="BS334" s="49">
        <f t="shared" ca="1" si="198"/>
        <v>0</v>
      </c>
    </row>
    <row r="335" spans="4:71" outlineLevel="1" x14ac:dyDescent="0.2">
      <c r="J335" s="26"/>
      <c r="L335" s="55"/>
      <c r="M335" s="55"/>
      <c r="N335" s="55"/>
      <c r="O335" s="55"/>
      <c r="P335" s="55"/>
      <c r="Q335" s="55"/>
      <c r="R335" s="55"/>
      <c r="S335" s="55"/>
      <c r="T335" s="55"/>
      <c r="U335" s="55"/>
      <c r="V335" s="55"/>
      <c r="W335" s="55"/>
      <c r="X335" s="55"/>
      <c r="Y335" s="55"/>
      <c r="Z335" s="55"/>
      <c r="AA335" s="55"/>
      <c r="AB335" s="55"/>
      <c r="AC335" s="55"/>
      <c r="AD335" s="55"/>
      <c r="AE335" s="55"/>
      <c r="AF335" s="55"/>
      <c r="AG335" s="55"/>
      <c r="AH335" s="55"/>
      <c r="AI335" s="55"/>
      <c r="AJ335" s="55"/>
      <c r="AK335" s="55"/>
      <c r="AL335" s="55"/>
      <c r="AM335" s="55"/>
      <c r="AN335" s="55"/>
      <c r="AO335" s="55"/>
      <c r="AP335" s="55"/>
      <c r="AQ335" s="55"/>
      <c r="AR335" s="55"/>
      <c r="AS335" s="55"/>
      <c r="AT335" s="55"/>
      <c r="AU335" s="55"/>
      <c r="AV335" s="55"/>
      <c r="AW335" s="55"/>
      <c r="AX335" s="55"/>
      <c r="AY335" s="55"/>
      <c r="AZ335" s="55"/>
      <c r="BA335" s="55"/>
      <c r="BB335" s="55"/>
      <c r="BC335" s="55"/>
      <c r="BD335" s="55"/>
      <c r="BE335" s="55"/>
      <c r="BF335" s="55"/>
      <c r="BG335" s="55"/>
      <c r="BH335" s="55"/>
      <c r="BI335" s="55"/>
      <c r="BJ335" s="55"/>
      <c r="BK335" s="55"/>
      <c r="BL335" s="55"/>
      <c r="BM335" s="55"/>
      <c r="BN335" s="55"/>
      <c r="BO335" s="55"/>
      <c r="BP335" s="55"/>
      <c r="BQ335" s="55"/>
      <c r="BR335" s="55"/>
      <c r="BS335" s="55"/>
    </row>
    <row r="336" spans="4:71" outlineLevel="1" x14ac:dyDescent="0.2">
      <c r="J336" s="26"/>
      <c r="L336" s="55"/>
      <c r="M336" s="55"/>
      <c r="N336" s="55"/>
      <c r="O336" s="55"/>
      <c r="P336" s="55"/>
      <c r="Q336" s="55"/>
      <c r="R336" s="55"/>
      <c r="S336" s="55"/>
      <c r="T336" s="55"/>
      <c r="U336" s="55"/>
      <c r="V336" s="55"/>
      <c r="W336" s="55"/>
      <c r="X336" s="55"/>
      <c r="Y336" s="55"/>
      <c r="Z336" s="55"/>
      <c r="AA336" s="55"/>
      <c r="AB336" s="55"/>
      <c r="AC336" s="55"/>
      <c r="AD336" s="55"/>
      <c r="AE336" s="55"/>
      <c r="AF336" s="55"/>
      <c r="AG336" s="55"/>
      <c r="AH336" s="55"/>
      <c r="AI336" s="55"/>
      <c r="AJ336" s="55"/>
      <c r="AK336" s="55"/>
      <c r="AL336" s="55"/>
      <c r="AM336" s="55"/>
      <c r="AN336" s="55"/>
      <c r="AO336" s="55"/>
      <c r="AP336" s="55"/>
      <c r="AQ336" s="55"/>
      <c r="AR336" s="55"/>
      <c r="AS336" s="55"/>
      <c r="AT336" s="55"/>
      <c r="AU336" s="55"/>
      <c r="AV336" s="55"/>
      <c r="AW336" s="55"/>
      <c r="AX336" s="55"/>
      <c r="AY336" s="55"/>
      <c r="AZ336" s="55"/>
      <c r="BA336" s="55"/>
      <c r="BB336" s="55"/>
      <c r="BC336" s="55"/>
      <c r="BD336" s="55"/>
      <c r="BE336" s="55"/>
      <c r="BF336" s="55"/>
      <c r="BG336" s="55"/>
      <c r="BH336" s="55"/>
      <c r="BI336" s="55"/>
      <c r="BJ336" s="55"/>
      <c r="BK336" s="55"/>
      <c r="BL336" s="55"/>
      <c r="BM336" s="55"/>
      <c r="BN336" s="55"/>
      <c r="BO336" s="55"/>
      <c r="BP336" s="55"/>
      <c r="BQ336" s="55"/>
      <c r="BR336" s="55"/>
      <c r="BS336" s="55"/>
    </row>
    <row r="337" spans="1:71" outlineLevel="1" x14ac:dyDescent="0.2">
      <c r="J337" s="26"/>
      <c r="L337" s="55"/>
      <c r="M337" s="55"/>
      <c r="N337" s="55"/>
      <c r="O337" s="55"/>
      <c r="P337" s="55"/>
      <c r="Q337" s="55"/>
      <c r="R337" s="55"/>
      <c r="S337" s="55"/>
      <c r="T337" s="55"/>
      <c r="U337" s="55"/>
      <c r="V337" s="55"/>
      <c r="W337" s="55"/>
      <c r="X337" s="55"/>
      <c r="Y337" s="55"/>
      <c r="Z337" s="55"/>
      <c r="AA337" s="55"/>
      <c r="AB337" s="55"/>
      <c r="AC337" s="55"/>
      <c r="AD337" s="55"/>
      <c r="AE337" s="55"/>
      <c r="AF337" s="55"/>
      <c r="AG337" s="55"/>
      <c r="AH337" s="55"/>
      <c r="AI337" s="55"/>
      <c r="AJ337" s="55"/>
      <c r="AK337" s="55"/>
      <c r="AL337" s="55"/>
      <c r="AM337" s="55"/>
      <c r="AN337" s="55"/>
      <c r="AO337" s="55"/>
      <c r="AP337" s="55"/>
      <c r="AQ337" s="55"/>
      <c r="AR337" s="55"/>
      <c r="AS337" s="55"/>
      <c r="AT337" s="55"/>
      <c r="AU337" s="55"/>
      <c r="AV337" s="55"/>
      <c r="AW337" s="55"/>
      <c r="AX337" s="55"/>
      <c r="AY337" s="55"/>
      <c r="AZ337" s="55"/>
      <c r="BA337" s="55"/>
      <c r="BB337" s="55"/>
      <c r="BC337" s="55"/>
      <c r="BD337" s="55"/>
      <c r="BE337" s="55"/>
      <c r="BF337" s="55"/>
      <c r="BG337" s="55"/>
      <c r="BH337" s="55"/>
      <c r="BI337" s="55"/>
      <c r="BJ337" s="55"/>
      <c r="BK337" s="55"/>
      <c r="BL337" s="55"/>
      <c r="BM337" s="55"/>
      <c r="BN337" s="55"/>
      <c r="BO337" s="55"/>
      <c r="BP337" s="55"/>
      <c r="BQ337" s="55"/>
      <c r="BR337" s="55"/>
      <c r="BS337" s="55"/>
    </row>
    <row r="338" spans="1:71" outlineLevel="1" x14ac:dyDescent="0.2">
      <c r="A338" s="45"/>
      <c r="B338" s="38" t="str">
        <f>HM_ZB_Nsoko!B324</f>
        <v>Calculs des droits</v>
      </c>
      <c r="C338" s="45"/>
      <c r="D338" s="45"/>
      <c r="E338" s="45"/>
      <c r="J338" s="26"/>
      <c r="L338" s="55"/>
      <c r="M338" s="55"/>
      <c r="N338" s="55"/>
      <c r="O338" s="55"/>
      <c r="P338" s="55"/>
      <c r="Q338" s="55"/>
      <c r="R338" s="55"/>
      <c r="S338" s="55"/>
      <c r="T338" s="55"/>
      <c r="U338" s="55"/>
      <c r="V338" s="55"/>
      <c r="W338" s="55"/>
      <c r="X338" s="55"/>
      <c r="Y338" s="55"/>
      <c r="Z338" s="55"/>
      <c r="AA338" s="55"/>
      <c r="AB338" s="55"/>
      <c r="AC338" s="55"/>
      <c r="AD338" s="55"/>
      <c r="AE338" s="55"/>
      <c r="AF338" s="55"/>
      <c r="AG338" s="55"/>
      <c r="AH338" s="55"/>
      <c r="AI338" s="55"/>
      <c r="AJ338" s="55"/>
      <c r="AK338" s="55"/>
      <c r="AL338" s="55"/>
      <c r="AM338" s="55"/>
      <c r="AN338" s="55"/>
      <c r="AO338" s="55"/>
      <c r="AP338" s="55"/>
      <c r="AQ338" s="55"/>
      <c r="AR338" s="55"/>
      <c r="AS338" s="55"/>
      <c r="AT338" s="55"/>
      <c r="AU338" s="55"/>
      <c r="AV338" s="55"/>
      <c r="AW338" s="55"/>
      <c r="AX338" s="55"/>
      <c r="AY338" s="55"/>
      <c r="AZ338" s="55"/>
      <c r="BA338" s="55"/>
      <c r="BB338" s="55"/>
      <c r="BC338" s="55"/>
      <c r="BD338" s="55"/>
      <c r="BE338" s="55"/>
      <c r="BF338" s="55"/>
      <c r="BG338" s="55"/>
      <c r="BH338" s="55"/>
      <c r="BI338" s="55"/>
      <c r="BJ338" s="55"/>
      <c r="BK338" s="55"/>
      <c r="BL338" s="55"/>
      <c r="BM338" s="55"/>
      <c r="BN338" s="55"/>
      <c r="BO338" s="55"/>
      <c r="BP338" s="55"/>
      <c r="BQ338" s="55"/>
      <c r="BR338" s="55"/>
      <c r="BS338" s="55"/>
    </row>
    <row r="339" spans="1:71" outlineLevel="1" x14ac:dyDescent="0.2">
      <c r="J339" s="26"/>
      <c r="L339" s="55"/>
      <c r="M339" s="55"/>
      <c r="N339" s="55"/>
      <c r="O339" s="55"/>
      <c r="P339" s="55"/>
      <c r="Q339" s="55"/>
      <c r="R339" s="55"/>
      <c r="S339" s="55"/>
      <c r="T339" s="55"/>
      <c r="U339" s="55"/>
      <c r="V339" s="55"/>
      <c r="W339" s="55"/>
      <c r="X339" s="55"/>
      <c r="Y339" s="55"/>
      <c r="Z339" s="55"/>
      <c r="AA339" s="55"/>
      <c r="AB339" s="55"/>
      <c r="AC339" s="55"/>
      <c r="AD339" s="55"/>
      <c r="AE339" s="55"/>
      <c r="AF339" s="55"/>
      <c r="AG339" s="55"/>
      <c r="AH339" s="55"/>
      <c r="AI339" s="55"/>
      <c r="AJ339" s="55"/>
      <c r="AK339" s="55"/>
      <c r="AL339" s="55"/>
      <c r="AM339" s="55"/>
      <c r="AN339" s="55"/>
      <c r="AO339" s="55"/>
      <c r="AP339" s="55"/>
      <c r="AQ339" s="55"/>
      <c r="AR339" s="55"/>
      <c r="AS339" s="55"/>
      <c r="AT339" s="55"/>
      <c r="AU339" s="55"/>
      <c r="AV339" s="55"/>
      <c r="AW339" s="55"/>
      <c r="AX339" s="55"/>
      <c r="AY339" s="55"/>
      <c r="AZ339" s="55"/>
      <c r="BA339" s="55"/>
      <c r="BB339" s="55"/>
      <c r="BC339" s="55"/>
      <c r="BD339" s="55"/>
      <c r="BE339" s="55"/>
      <c r="BF339" s="55"/>
      <c r="BG339" s="55"/>
      <c r="BH339" s="55"/>
      <c r="BI339" s="55"/>
      <c r="BJ339" s="55"/>
      <c r="BK339" s="55"/>
      <c r="BL339" s="55"/>
      <c r="BM339" s="55"/>
      <c r="BN339" s="55"/>
      <c r="BO339" s="55"/>
      <c r="BP339" s="55"/>
      <c r="BQ339" s="55"/>
      <c r="BR339" s="55"/>
      <c r="BS339" s="55"/>
    </row>
    <row r="340" spans="1:71" outlineLevel="1" x14ac:dyDescent="0.2">
      <c r="C340" s="11" t="str">
        <f>HM_ZB_Nsoko!C326</f>
        <v>Revenus des droits  - Pétrole</v>
      </c>
      <c r="J340" s="26"/>
      <c r="L340" s="55"/>
      <c r="M340" s="55"/>
      <c r="N340" s="55"/>
      <c r="O340" s="55"/>
      <c r="P340" s="55"/>
      <c r="Q340" s="55"/>
      <c r="R340" s="55"/>
      <c r="S340" s="55"/>
      <c r="T340" s="55"/>
      <c r="U340" s="55"/>
      <c r="V340" s="55"/>
      <c r="W340" s="55"/>
      <c r="X340" s="55"/>
      <c r="Y340" s="55"/>
      <c r="Z340" s="55"/>
      <c r="AA340" s="55"/>
      <c r="AB340" s="55"/>
      <c r="AC340" s="55"/>
      <c r="AD340" s="55"/>
      <c r="AE340" s="55"/>
      <c r="AF340" s="55"/>
      <c r="AG340" s="55"/>
      <c r="AH340" s="55"/>
      <c r="AI340" s="55"/>
      <c r="AJ340" s="55"/>
      <c r="AK340" s="55"/>
      <c r="AL340" s="55"/>
      <c r="AM340" s="55"/>
      <c r="AN340" s="55"/>
      <c r="AO340" s="55"/>
      <c r="AP340" s="55"/>
      <c r="AQ340" s="55"/>
      <c r="AR340" s="55"/>
      <c r="AS340" s="55"/>
      <c r="AT340" s="55"/>
      <c r="AU340" s="55"/>
      <c r="AV340" s="55"/>
      <c r="AW340" s="55"/>
      <c r="AX340" s="55"/>
      <c r="AY340" s="55"/>
      <c r="AZ340" s="55"/>
      <c r="BA340" s="55"/>
      <c r="BB340" s="55"/>
      <c r="BC340" s="55"/>
      <c r="BD340" s="55"/>
      <c r="BE340" s="55"/>
      <c r="BF340" s="55"/>
      <c r="BG340" s="55"/>
      <c r="BH340" s="55"/>
      <c r="BI340" s="55"/>
      <c r="BJ340" s="55"/>
      <c r="BK340" s="55"/>
      <c r="BL340" s="55"/>
      <c r="BM340" s="55"/>
      <c r="BN340" s="55"/>
      <c r="BO340" s="55"/>
      <c r="BP340" s="55"/>
      <c r="BQ340" s="55"/>
      <c r="BR340" s="55"/>
      <c r="BS340" s="55"/>
    </row>
    <row r="341" spans="1:71" outlineLevel="1" x14ac:dyDescent="0.2">
      <c r="D341" t="str">
        <f>HM_ZB_Nsoko!D327</f>
        <v>Cost Oil</v>
      </c>
      <c r="I341" s="30">
        <f t="shared" ref="I341:I345" ca="1" si="199">SUM($L341:$BS341)</f>
        <v>18648.729335122542</v>
      </c>
      <c r="J341" s="26" t="s">
        <v>148</v>
      </c>
      <c r="L341" s="49" cm="1">
        <f t="array" aca="1" ref="L341:BS341" ca="1">HM_ZD_Moho!CA_cost_recovered_total*HM_ZD_Moho!CA_rev_oil_perc</f>
        <v>263.98577304099854</v>
      </c>
      <c r="M341" s="49">
        <f ca="1"/>
        <v>281.22048053530517</v>
      </c>
      <c r="N341" s="49">
        <f ca="1"/>
        <v>514.5329360149999</v>
      </c>
      <c r="O341" s="49">
        <f ca="1"/>
        <v>442.17078812339997</v>
      </c>
      <c r="P341" s="49">
        <f ca="1"/>
        <v>1240.6546990943002</v>
      </c>
      <c r="Q341" s="49">
        <f ca="1"/>
        <v>2510.1261486980002</v>
      </c>
      <c r="R341" s="49">
        <f ca="1"/>
        <v>2467.0315394235004</v>
      </c>
      <c r="S341" s="49">
        <f ca="1"/>
        <v>1473.0161082</v>
      </c>
      <c r="T341" s="49">
        <f ca="1"/>
        <v>2253.8681044588798</v>
      </c>
      <c r="U341" s="49">
        <f ca="1"/>
        <v>2249.9240792363998</v>
      </c>
      <c r="V341" s="49">
        <f ca="1"/>
        <v>2134.2779815636486</v>
      </c>
      <c r="W341" s="49">
        <f ca="1"/>
        <v>1446.1257809366264</v>
      </c>
      <c r="X341" s="49">
        <f ca="1"/>
        <v>1371.794915796484</v>
      </c>
      <c r="Y341" s="49">
        <f ca="1"/>
        <v>0</v>
      </c>
      <c r="Z341" s="49">
        <f ca="1"/>
        <v>0</v>
      </c>
      <c r="AA341" s="49">
        <f ca="1"/>
        <v>0</v>
      </c>
      <c r="AB341" s="49">
        <f ca="1"/>
        <v>0</v>
      </c>
      <c r="AC341" s="49">
        <f ca="1"/>
        <v>0</v>
      </c>
      <c r="AD341" s="49">
        <f ca="1"/>
        <v>0</v>
      </c>
      <c r="AE341" s="49">
        <f ca="1"/>
        <v>0</v>
      </c>
      <c r="AF341" s="49">
        <f ca="1"/>
        <v>0</v>
      </c>
      <c r="AG341" s="49">
        <f ca="1"/>
        <v>0</v>
      </c>
      <c r="AH341" s="49">
        <f ca="1"/>
        <v>0</v>
      </c>
      <c r="AI341" s="49">
        <f ca="1"/>
        <v>0</v>
      </c>
      <c r="AJ341" s="49">
        <f ca="1"/>
        <v>0</v>
      </c>
      <c r="AK341" s="49">
        <f ca="1"/>
        <v>0</v>
      </c>
      <c r="AL341" s="49">
        <f ca="1"/>
        <v>0</v>
      </c>
      <c r="AM341" s="49">
        <f ca="1"/>
        <v>0</v>
      </c>
      <c r="AN341" s="49">
        <f ca="1"/>
        <v>0</v>
      </c>
      <c r="AO341" s="49">
        <f ca="1"/>
        <v>0</v>
      </c>
      <c r="AP341" s="49">
        <f ca="1"/>
        <v>0</v>
      </c>
      <c r="AQ341" s="49">
        <f ca="1"/>
        <v>0</v>
      </c>
      <c r="AR341" s="49">
        <f ca="1"/>
        <v>0</v>
      </c>
      <c r="AS341" s="49">
        <f ca="1"/>
        <v>0</v>
      </c>
      <c r="AT341" s="49">
        <f ca="1"/>
        <v>0</v>
      </c>
      <c r="AU341" s="49">
        <f ca="1"/>
        <v>0</v>
      </c>
      <c r="AV341" s="49">
        <f ca="1"/>
        <v>0</v>
      </c>
      <c r="AW341" s="49">
        <f ca="1"/>
        <v>0</v>
      </c>
      <c r="AX341" s="49">
        <f ca="1"/>
        <v>0</v>
      </c>
      <c r="AY341" s="49">
        <f ca="1"/>
        <v>0</v>
      </c>
      <c r="AZ341" s="49">
        <f ca="1"/>
        <v>0</v>
      </c>
      <c r="BA341" s="49">
        <f ca="1"/>
        <v>0</v>
      </c>
      <c r="BB341" s="49">
        <f ca="1"/>
        <v>0</v>
      </c>
      <c r="BC341" s="49">
        <f ca="1"/>
        <v>0</v>
      </c>
      <c r="BD341" s="49">
        <f ca="1"/>
        <v>0</v>
      </c>
      <c r="BE341" s="49">
        <f ca="1"/>
        <v>0</v>
      </c>
      <c r="BF341" s="49">
        <f ca="1"/>
        <v>0</v>
      </c>
      <c r="BG341" s="49">
        <f ca="1"/>
        <v>0</v>
      </c>
      <c r="BH341" s="49">
        <f ca="1"/>
        <v>0</v>
      </c>
      <c r="BI341" s="49">
        <f ca="1"/>
        <v>0</v>
      </c>
      <c r="BJ341" s="49">
        <f ca="1"/>
        <v>0</v>
      </c>
      <c r="BK341" s="49">
        <f ca="1"/>
        <v>0</v>
      </c>
      <c r="BL341" s="49">
        <f ca="1"/>
        <v>0</v>
      </c>
      <c r="BM341" s="49">
        <f ca="1"/>
        <v>0</v>
      </c>
      <c r="BN341" s="49">
        <f ca="1"/>
        <v>0</v>
      </c>
      <c r="BO341" s="49">
        <f ca="1"/>
        <v>0</v>
      </c>
      <c r="BP341" s="49">
        <f ca="1"/>
        <v>0</v>
      </c>
      <c r="BQ341" s="49">
        <f ca="1"/>
        <v>0</v>
      </c>
      <c r="BR341" s="49">
        <f ca="1"/>
        <v>0</v>
      </c>
      <c r="BS341" s="49">
        <f ca="1"/>
        <v>0</v>
      </c>
    </row>
    <row r="342" spans="1:71" outlineLevel="1" x14ac:dyDescent="0.2">
      <c r="D342" t="str">
        <f>HM_ZB_Nsoko!D328</f>
        <v>Excess Cost Oil</v>
      </c>
      <c r="I342" s="30">
        <f t="shared" ca="1" si="199"/>
        <v>0</v>
      </c>
      <c r="J342" s="26" t="s">
        <v>148</v>
      </c>
      <c r="L342" s="49" cm="1">
        <f t="array" aca="1" ref="L342:BS342" ca="1">HM_ZD_Moho!CA_excess_CR_cont*HM_ZD_Moho!CA_rev_oil_perc</f>
        <v>0</v>
      </c>
      <c r="M342" s="49">
        <f ca="1"/>
        <v>0</v>
      </c>
      <c r="N342" s="49">
        <f ca="1"/>
        <v>0</v>
      </c>
      <c r="O342" s="49">
        <f ca="1"/>
        <v>0</v>
      </c>
      <c r="P342" s="49">
        <f ca="1"/>
        <v>0</v>
      </c>
      <c r="Q342" s="49">
        <f ca="1"/>
        <v>0</v>
      </c>
      <c r="R342" s="49">
        <f ca="1"/>
        <v>0</v>
      </c>
      <c r="S342" s="49">
        <f ca="1"/>
        <v>0</v>
      </c>
      <c r="T342" s="49">
        <f ca="1"/>
        <v>0</v>
      </c>
      <c r="U342" s="49">
        <f ca="1"/>
        <v>0</v>
      </c>
      <c r="V342" s="49">
        <f ca="1"/>
        <v>0</v>
      </c>
      <c r="W342" s="49">
        <f ca="1"/>
        <v>0</v>
      </c>
      <c r="X342" s="49">
        <f ca="1"/>
        <v>0</v>
      </c>
      <c r="Y342" s="49">
        <f ca="1"/>
        <v>0</v>
      </c>
      <c r="Z342" s="49">
        <f ca="1"/>
        <v>0</v>
      </c>
      <c r="AA342" s="49">
        <f ca="1"/>
        <v>0</v>
      </c>
      <c r="AB342" s="49">
        <f ca="1"/>
        <v>0</v>
      </c>
      <c r="AC342" s="49">
        <f ca="1"/>
        <v>0</v>
      </c>
      <c r="AD342" s="49">
        <f ca="1"/>
        <v>0</v>
      </c>
      <c r="AE342" s="49">
        <f ca="1"/>
        <v>0</v>
      </c>
      <c r="AF342" s="49">
        <f ca="1"/>
        <v>0</v>
      </c>
      <c r="AG342" s="49">
        <f ca="1"/>
        <v>0</v>
      </c>
      <c r="AH342" s="49">
        <f ca="1"/>
        <v>0</v>
      </c>
      <c r="AI342" s="49">
        <f ca="1"/>
        <v>0</v>
      </c>
      <c r="AJ342" s="49">
        <f ca="1"/>
        <v>0</v>
      </c>
      <c r="AK342" s="49">
        <f ca="1"/>
        <v>0</v>
      </c>
      <c r="AL342" s="49">
        <f ca="1"/>
        <v>0</v>
      </c>
      <c r="AM342" s="49">
        <f ca="1"/>
        <v>0</v>
      </c>
      <c r="AN342" s="49">
        <f ca="1"/>
        <v>0</v>
      </c>
      <c r="AO342" s="49">
        <f ca="1"/>
        <v>0</v>
      </c>
      <c r="AP342" s="49">
        <f ca="1"/>
        <v>0</v>
      </c>
      <c r="AQ342" s="49">
        <f ca="1"/>
        <v>0</v>
      </c>
      <c r="AR342" s="49">
        <f ca="1"/>
        <v>0</v>
      </c>
      <c r="AS342" s="49">
        <f ca="1"/>
        <v>0</v>
      </c>
      <c r="AT342" s="49">
        <f ca="1"/>
        <v>0</v>
      </c>
      <c r="AU342" s="49">
        <f ca="1"/>
        <v>0</v>
      </c>
      <c r="AV342" s="49">
        <f ca="1"/>
        <v>0</v>
      </c>
      <c r="AW342" s="49">
        <f ca="1"/>
        <v>0</v>
      </c>
      <c r="AX342" s="49">
        <f ca="1"/>
        <v>0</v>
      </c>
      <c r="AY342" s="49">
        <f ca="1"/>
        <v>0</v>
      </c>
      <c r="AZ342" s="49">
        <f ca="1"/>
        <v>0</v>
      </c>
      <c r="BA342" s="49">
        <f ca="1"/>
        <v>0</v>
      </c>
      <c r="BB342" s="49">
        <f ca="1"/>
        <v>0</v>
      </c>
      <c r="BC342" s="49">
        <f ca="1"/>
        <v>0</v>
      </c>
      <c r="BD342" s="49">
        <f ca="1"/>
        <v>0</v>
      </c>
      <c r="BE342" s="49">
        <f ca="1"/>
        <v>0</v>
      </c>
      <c r="BF342" s="49">
        <f ca="1"/>
        <v>0</v>
      </c>
      <c r="BG342" s="49">
        <f ca="1"/>
        <v>0</v>
      </c>
      <c r="BH342" s="49">
        <f ca="1"/>
        <v>0</v>
      </c>
      <c r="BI342" s="49">
        <f ca="1"/>
        <v>0</v>
      </c>
      <c r="BJ342" s="49">
        <f ca="1"/>
        <v>0</v>
      </c>
      <c r="BK342" s="49">
        <f ca="1"/>
        <v>0</v>
      </c>
      <c r="BL342" s="49">
        <f ca="1"/>
        <v>0</v>
      </c>
      <c r="BM342" s="49">
        <f ca="1"/>
        <v>0</v>
      </c>
      <c r="BN342" s="49">
        <f ca="1"/>
        <v>0</v>
      </c>
      <c r="BO342" s="49">
        <f ca="1"/>
        <v>0</v>
      </c>
      <c r="BP342" s="49">
        <f ca="1"/>
        <v>0</v>
      </c>
      <c r="BQ342" s="49">
        <f ca="1"/>
        <v>0</v>
      </c>
      <c r="BR342" s="49">
        <f ca="1"/>
        <v>0</v>
      </c>
      <c r="BS342" s="49">
        <f ca="1"/>
        <v>0</v>
      </c>
    </row>
    <row r="343" spans="1:71" outlineLevel="1" x14ac:dyDescent="0.2">
      <c r="D343" t="str">
        <f>HM_ZB_Nsoko!D329</f>
        <v>Super Profit Oil</v>
      </c>
      <c r="I343" s="30">
        <f t="shared" ca="1" si="199"/>
        <v>914.86307154811368</v>
      </c>
      <c r="J343" s="26" t="s">
        <v>148</v>
      </c>
      <c r="L343" s="49" cm="1">
        <f t="array" aca="1" ref="L343:BS343" ca="1">HM_ZD_Moho!CA_SPO_cont</f>
        <v>426.7783498611002</v>
      </c>
      <c r="M343" s="49">
        <f ca="1"/>
        <v>389.92453008209986</v>
      </c>
      <c r="N343" s="49">
        <f ca="1"/>
        <v>0</v>
      </c>
      <c r="O343" s="49">
        <f ca="1"/>
        <v>0</v>
      </c>
      <c r="P343" s="49">
        <f ca="1"/>
        <v>0</v>
      </c>
      <c r="Q343" s="49">
        <f ca="1"/>
        <v>0</v>
      </c>
      <c r="R343" s="49">
        <f ca="1"/>
        <v>0</v>
      </c>
      <c r="S343" s="49">
        <f ca="1"/>
        <v>0</v>
      </c>
      <c r="T343" s="49">
        <f ca="1"/>
        <v>0</v>
      </c>
      <c r="U343" s="49">
        <f ca="1"/>
        <v>0</v>
      </c>
      <c r="V343" s="49">
        <f ca="1"/>
        <v>0</v>
      </c>
      <c r="W343" s="49">
        <f ca="1"/>
        <v>50.374726267532409</v>
      </c>
      <c r="X343" s="49">
        <f ca="1"/>
        <v>47.785465337381183</v>
      </c>
      <c r="Y343" s="49">
        <f ca="1"/>
        <v>0</v>
      </c>
      <c r="Z343" s="49">
        <f ca="1"/>
        <v>0</v>
      </c>
      <c r="AA343" s="49">
        <f ca="1"/>
        <v>0</v>
      </c>
      <c r="AB343" s="49">
        <f ca="1"/>
        <v>0</v>
      </c>
      <c r="AC343" s="49">
        <f ca="1"/>
        <v>0</v>
      </c>
      <c r="AD343" s="49">
        <f ca="1"/>
        <v>0</v>
      </c>
      <c r="AE343" s="49">
        <f ca="1"/>
        <v>0</v>
      </c>
      <c r="AF343" s="49">
        <f ca="1"/>
        <v>0</v>
      </c>
      <c r="AG343" s="49">
        <f ca="1"/>
        <v>0</v>
      </c>
      <c r="AH343" s="49">
        <f ca="1"/>
        <v>0</v>
      </c>
      <c r="AI343" s="49">
        <f ca="1"/>
        <v>0</v>
      </c>
      <c r="AJ343" s="49">
        <f ca="1"/>
        <v>0</v>
      </c>
      <c r="AK343" s="49">
        <f ca="1"/>
        <v>0</v>
      </c>
      <c r="AL343" s="49">
        <f ca="1"/>
        <v>0</v>
      </c>
      <c r="AM343" s="49">
        <f ca="1"/>
        <v>0</v>
      </c>
      <c r="AN343" s="49">
        <f ca="1"/>
        <v>0</v>
      </c>
      <c r="AO343" s="49">
        <f ca="1"/>
        <v>0</v>
      </c>
      <c r="AP343" s="49">
        <f ca="1"/>
        <v>0</v>
      </c>
      <c r="AQ343" s="49">
        <f ca="1"/>
        <v>0</v>
      </c>
      <c r="AR343" s="49">
        <f ca="1"/>
        <v>0</v>
      </c>
      <c r="AS343" s="49">
        <f ca="1"/>
        <v>0</v>
      </c>
      <c r="AT343" s="49">
        <f ca="1"/>
        <v>0</v>
      </c>
      <c r="AU343" s="49">
        <f ca="1"/>
        <v>0</v>
      </c>
      <c r="AV343" s="49">
        <f ca="1"/>
        <v>0</v>
      </c>
      <c r="AW343" s="49">
        <f ca="1"/>
        <v>0</v>
      </c>
      <c r="AX343" s="49">
        <f ca="1"/>
        <v>0</v>
      </c>
      <c r="AY343" s="49">
        <f ca="1"/>
        <v>0</v>
      </c>
      <c r="AZ343" s="49">
        <f ca="1"/>
        <v>0</v>
      </c>
      <c r="BA343" s="49">
        <f ca="1"/>
        <v>0</v>
      </c>
      <c r="BB343" s="49">
        <f ca="1"/>
        <v>0</v>
      </c>
      <c r="BC343" s="49">
        <f ca="1"/>
        <v>0</v>
      </c>
      <c r="BD343" s="49">
        <f ca="1"/>
        <v>0</v>
      </c>
      <c r="BE343" s="49">
        <f ca="1"/>
        <v>0</v>
      </c>
      <c r="BF343" s="49">
        <f ca="1"/>
        <v>0</v>
      </c>
      <c r="BG343" s="49">
        <f ca="1"/>
        <v>0</v>
      </c>
      <c r="BH343" s="49">
        <f ca="1"/>
        <v>0</v>
      </c>
      <c r="BI343" s="49">
        <f ca="1"/>
        <v>0</v>
      </c>
      <c r="BJ343" s="49">
        <f ca="1"/>
        <v>0</v>
      </c>
      <c r="BK343" s="49">
        <f ca="1"/>
        <v>0</v>
      </c>
      <c r="BL343" s="49">
        <f ca="1"/>
        <v>0</v>
      </c>
      <c r="BM343" s="49">
        <f ca="1"/>
        <v>0</v>
      </c>
      <c r="BN343" s="49">
        <f ca="1"/>
        <v>0</v>
      </c>
      <c r="BO343" s="49">
        <f ca="1"/>
        <v>0</v>
      </c>
      <c r="BP343" s="49">
        <f ca="1"/>
        <v>0</v>
      </c>
      <c r="BQ343" s="49">
        <f ca="1"/>
        <v>0</v>
      </c>
      <c r="BR343" s="49">
        <f ca="1"/>
        <v>0</v>
      </c>
      <c r="BS343" s="49">
        <f ca="1"/>
        <v>0</v>
      </c>
    </row>
    <row r="344" spans="1:71" outlineLevel="1" x14ac:dyDescent="0.2">
      <c r="D344" t="str">
        <f>HM_ZB_Nsoko!D330</f>
        <v>Profit Oil</v>
      </c>
      <c r="I344" s="30">
        <f t="shared" ca="1" si="199"/>
        <v>2952.8206097990133</v>
      </c>
      <c r="J344" s="26" t="s">
        <v>148</v>
      </c>
      <c r="L344" s="49" cm="1">
        <f t="array" aca="1" ref="L344:BS344" ca="1">HM_ZD_Moho!CA_PS_cont*HM_ZD_Moho!CA_rev_oil_perc</f>
        <v>0</v>
      </c>
      <c r="M344" s="49">
        <f ca="1"/>
        <v>0</v>
      </c>
      <c r="N344" s="49">
        <f ca="1"/>
        <v>77.17994040225004</v>
      </c>
      <c r="O344" s="49">
        <f ca="1"/>
        <v>66.32561821851003</v>
      </c>
      <c r="P344" s="49">
        <f ca="1"/>
        <v>186.09820486414515</v>
      </c>
      <c r="Q344" s="49">
        <f ca="1"/>
        <v>376.51892230470025</v>
      </c>
      <c r="R344" s="49">
        <f ca="1"/>
        <v>343.62225013398739</v>
      </c>
      <c r="S344" s="49">
        <f ca="1"/>
        <v>205.17010078500024</v>
      </c>
      <c r="T344" s="49">
        <f ca="1"/>
        <v>313.93162883534404</v>
      </c>
      <c r="U344" s="49">
        <f ca="1"/>
        <v>313.38228246507015</v>
      </c>
      <c r="V344" s="49">
        <f ca="1"/>
        <v>228.67264088181969</v>
      </c>
      <c r="W344" s="49">
        <f ca="1"/>
        <v>432.06354352262463</v>
      </c>
      <c r="X344" s="49">
        <f ca="1"/>
        <v>409.85547738556147</v>
      </c>
      <c r="Y344" s="49">
        <f ca="1"/>
        <v>0</v>
      </c>
      <c r="Z344" s="49">
        <f ca="1"/>
        <v>0</v>
      </c>
      <c r="AA344" s="49">
        <f ca="1"/>
        <v>0</v>
      </c>
      <c r="AB344" s="49">
        <f ca="1"/>
        <v>0</v>
      </c>
      <c r="AC344" s="49">
        <f ca="1"/>
        <v>0</v>
      </c>
      <c r="AD344" s="49">
        <f ca="1"/>
        <v>0</v>
      </c>
      <c r="AE344" s="49">
        <f ca="1"/>
        <v>0</v>
      </c>
      <c r="AF344" s="49">
        <f ca="1"/>
        <v>0</v>
      </c>
      <c r="AG344" s="49">
        <f ca="1"/>
        <v>0</v>
      </c>
      <c r="AH344" s="49">
        <f ca="1"/>
        <v>0</v>
      </c>
      <c r="AI344" s="49">
        <f ca="1"/>
        <v>0</v>
      </c>
      <c r="AJ344" s="49">
        <f ca="1"/>
        <v>0</v>
      </c>
      <c r="AK344" s="49">
        <f ca="1"/>
        <v>0</v>
      </c>
      <c r="AL344" s="49">
        <f ca="1"/>
        <v>0</v>
      </c>
      <c r="AM344" s="49">
        <f ca="1"/>
        <v>0</v>
      </c>
      <c r="AN344" s="49">
        <f ca="1"/>
        <v>0</v>
      </c>
      <c r="AO344" s="49">
        <f ca="1"/>
        <v>0</v>
      </c>
      <c r="AP344" s="49">
        <f ca="1"/>
        <v>0</v>
      </c>
      <c r="AQ344" s="49">
        <f ca="1"/>
        <v>0</v>
      </c>
      <c r="AR344" s="49">
        <f ca="1"/>
        <v>0</v>
      </c>
      <c r="AS344" s="49">
        <f ca="1"/>
        <v>0</v>
      </c>
      <c r="AT344" s="49">
        <f ca="1"/>
        <v>0</v>
      </c>
      <c r="AU344" s="49">
        <f ca="1"/>
        <v>0</v>
      </c>
      <c r="AV344" s="49">
        <f ca="1"/>
        <v>0</v>
      </c>
      <c r="AW344" s="49">
        <f ca="1"/>
        <v>0</v>
      </c>
      <c r="AX344" s="49">
        <f ca="1"/>
        <v>0</v>
      </c>
      <c r="AY344" s="49">
        <f ca="1"/>
        <v>0</v>
      </c>
      <c r="AZ344" s="49">
        <f ca="1"/>
        <v>0</v>
      </c>
      <c r="BA344" s="49">
        <f ca="1"/>
        <v>0</v>
      </c>
      <c r="BB344" s="49">
        <f ca="1"/>
        <v>0</v>
      </c>
      <c r="BC344" s="49">
        <f ca="1"/>
        <v>0</v>
      </c>
      <c r="BD344" s="49">
        <f ca="1"/>
        <v>0</v>
      </c>
      <c r="BE344" s="49">
        <f ca="1"/>
        <v>0</v>
      </c>
      <c r="BF344" s="49">
        <f ca="1"/>
        <v>0</v>
      </c>
      <c r="BG344" s="49">
        <f ca="1"/>
        <v>0</v>
      </c>
      <c r="BH344" s="49">
        <f ca="1"/>
        <v>0</v>
      </c>
      <c r="BI344" s="49">
        <f ca="1"/>
        <v>0</v>
      </c>
      <c r="BJ344" s="49">
        <f ca="1"/>
        <v>0</v>
      </c>
      <c r="BK344" s="49">
        <f ca="1"/>
        <v>0</v>
      </c>
      <c r="BL344" s="49">
        <f ca="1"/>
        <v>0</v>
      </c>
      <c r="BM344" s="49">
        <f ca="1"/>
        <v>0</v>
      </c>
      <c r="BN344" s="49">
        <f ca="1"/>
        <v>0</v>
      </c>
      <c r="BO344" s="49">
        <f ca="1"/>
        <v>0</v>
      </c>
      <c r="BP344" s="49">
        <f ca="1"/>
        <v>0</v>
      </c>
      <c r="BQ344" s="49">
        <f ca="1"/>
        <v>0</v>
      </c>
      <c r="BR344" s="49">
        <f ca="1"/>
        <v>0</v>
      </c>
      <c r="BS344" s="49">
        <f ca="1"/>
        <v>0</v>
      </c>
    </row>
    <row r="345" spans="1:71" outlineLevel="1" x14ac:dyDescent="0.2">
      <c r="D345" s="11" t="str">
        <f>HM_ZB_Nsoko!D331</f>
        <v>Total</v>
      </c>
      <c r="I345" s="30">
        <f t="shared" ca="1" si="199"/>
        <v>22516.413016469669</v>
      </c>
      <c r="J345" s="26" t="s">
        <v>148</v>
      </c>
      <c r="K345" s="7" t="s">
        <v>247</v>
      </c>
      <c r="L345" s="49">
        <f ca="1">SUM(L341:L344)</f>
        <v>690.76412290209873</v>
      </c>
      <c r="M345" s="49">
        <f t="shared" ref="M345:BS345" ca="1" si="200">SUM(M341:M344)</f>
        <v>671.14501061740498</v>
      </c>
      <c r="N345" s="49">
        <f t="shared" ca="1" si="200"/>
        <v>591.71287641724996</v>
      </c>
      <c r="O345" s="49">
        <f t="shared" ca="1" si="200"/>
        <v>508.49640634191002</v>
      </c>
      <c r="P345" s="49">
        <f t="shared" ca="1" si="200"/>
        <v>1426.7529039584454</v>
      </c>
      <c r="Q345" s="49">
        <f t="shared" ca="1" si="200"/>
        <v>2886.6450710027002</v>
      </c>
      <c r="R345" s="49">
        <f t="shared" ca="1" si="200"/>
        <v>2810.6537895574879</v>
      </c>
      <c r="S345" s="49">
        <f t="shared" ca="1" si="200"/>
        <v>1678.1862089850001</v>
      </c>
      <c r="T345" s="49">
        <f t="shared" ca="1" si="200"/>
        <v>2567.7997332942236</v>
      </c>
      <c r="U345" s="49">
        <f t="shared" ca="1" si="200"/>
        <v>2563.30636170147</v>
      </c>
      <c r="V345" s="49">
        <f t="shared" ca="1" si="200"/>
        <v>2362.9506224454681</v>
      </c>
      <c r="W345" s="49">
        <f t="shared" ca="1" si="200"/>
        <v>1928.5640507267835</v>
      </c>
      <c r="X345" s="49">
        <f t="shared" ca="1" si="200"/>
        <v>1829.4358585194266</v>
      </c>
      <c r="Y345" s="49">
        <f t="shared" ca="1" si="200"/>
        <v>0</v>
      </c>
      <c r="Z345" s="49">
        <f t="shared" ca="1" si="200"/>
        <v>0</v>
      </c>
      <c r="AA345" s="49">
        <f t="shared" ca="1" si="200"/>
        <v>0</v>
      </c>
      <c r="AB345" s="49">
        <f t="shared" ca="1" si="200"/>
        <v>0</v>
      </c>
      <c r="AC345" s="49">
        <f t="shared" ca="1" si="200"/>
        <v>0</v>
      </c>
      <c r="AD345" s="49">
        <f t="shared" ca="1" si="200"/>
        <v>0</v>
      </c>
      <c r="AE345" s="49">
        <f t="shared" ca="1" si="200"/>
        <v>0</v>
      </c>
      <c r="AF345" s="49">
        <f t="shared" ca="1" si="200"/>
        <v>0</v>
      </c>
      <c r="AG345" s="49">
        <f t="shared" ca="1" si="200"/>
        <v>0</v>
      </c>
      <c r="AH345" s="49">
        <f t="shared" ca="1" si="200"/>
        <v>0</v>
      </c>
      <c r="AI345" s="49">
        <f t="shared" ca="1" si="200"/>
        <v>0</v>
      </c>
      <c r="AJ345" s="49">
        <f t="shared" ca="1" si="200"/>
        <v>0</v>
      </c>
      <c r="AK345" s="49">
        <f t="shared" ca="1" si="200"/>
        <v>0</v>
      </c>
      <c r="AL345" s="49">
        <f t="shared" ca="1" si="200"/>
        <v>0</v>
      </c>
      <c r="AM345" s="49">
        <f t="shared" ca="1" si="200"/>
        <v>0</v>
      </c>
      <c r="AN345" s="49">
        <f t="shared" ca="1" si="200"/>
        <v>0</v>
      </c>
      <c r="AO345" s="49">
        <f t="shared" ca="1" si="200"/>
        <v>0</v>
      </c>
      <c r="AP345" s="49">
        <f t="shared" ca="1" si="200"/>
        <v>0</v>
      </c>
      <c r="AQ345" s="49">
        <f t="shared" ca="1" si="200"/>
        <v>0</v>
      </c>
      <c r="AR345" s="49">
        <f t="shared" ca="1" si="200"/>
        <v>0</v>
      </c>
      <c r="AS345" s="49">
        <f t="shared" ca="1" si="200"/>
        <v>0</v>
      </c>
      <c r="AT345" s="49">
        <f t="shared" ca="1" si="200"/>
        <v>0</v>
      </c>
      <c r="AU345" s="49">
        <f t="shared" ca="1" si="200"/>
        <v>0</v>
      </c>
      <c r="AV345" s="49">
        <f t="shared" ca="1" si="200"/>
        <v>0</v>
      </c>
      <c r="AW345" s="49">
        <f t="shared" ca="1" si="200"/>
        <v>0</v>
      </c>
      <c r="AX345" s="49">
        <f t="shared" ca="1" si="200"/>
        <v>0</v>
      </c>
      <c r="AY345" s="49">
        <f t="shared" ca="1" si="200"/>
        <v>0</v>
      </c>
      <c r="AZ345" s="49">
        <f t="shared" ca="1" si="200"/>
        <v>0</v>
      </c>
      <c r="BA345" s="49">
        <f t="shared" ca="1" si="200"/>
        <v>0</v>
      </c>
      <c r="BB345" s="49">
        <f t="shared" ca="1" si="200"/>
        <v>0</v>
      </c>
      <c r="BC345" s="49">
        <f t="shared" ca="1" si="200"/>
        <v>0</v>
      </c>
      <c r="BD345" s="49">
        <f t="shared" ca="1" si="200"/>
        <v>0</v>
      </c>
      <c r="BE345" s="49">
        <f t="shared" ca="1" si="200"/>
        <v>0</v>
      </c>
      <c r="BF345" s="49">
        <f t="shared" ca="1" si="200"/>
        <v>0</v>
      </c>
      <c r="BG345" s="49">
        <f t="shared" ca="1" si="200"/>
        <v>0</v>
      </c>
      <c r="BH345" s="49">
        <f t="shared" ca="1" si="200"/>
        <v>0</v>
      </c>
      <c r="BI345" s="49">
        <f t="shared" ca="1" si="200"/>
        <v>0</v>
      </c>
      <c r="BJ345" s="49">
        <f t="shared" ca="1" si="200"/>
        <v>0</v>
      </c>
      <c r="BK345" s="49">
        <f t="shared" ca="1" si="200"/>
        <v>0</v>
      </c>
      <c r="BL345" s="49">
        <f t="shared" ca="1" si="200"/>
        <v>0</v>
      </c>
      <c r="BM345" s="49">
        <f t="shared" ca="1" si="200"/>
        <v>0</v>
      </c>
      <c r="BN345" s="49">
        <f t="shared" ca="1" si="200"/>
        <v>0</v>
      </c>
      <c r="BO345" s="49">
        <f t="shared" ca="1" si="200"/>
        <v>0</v>
      </c>
      <c r="BP345" s="49">
        <f t="shared" ca="1" si="200"/>
        <v>0</v>
      </c>
      <c r="BQ345" s="49">
        <f t="shared" ca="1" si="200"/>
        <v>0</v>
      </c>
      <c r="BR345" s="49">
        <f t="shared" ca="1" si="200"/>
        <v>0</v>
      </c>
      <c r="BS345" s="49">
        <f t="shared" ca="1" si="200"/>
        <v>0</v>
      </c>
    </row>
    <row r="346" spans="1:71" outlineLevel="1" x14ac:dyDescent="0.2">
      <c r="J346" s="26"/>
      <c r="L346" s="55"/>
      <c r="M346" s="55"/>
      <c r="N346" s="55"/>
      <c r="O346" s="55"/>
      <c r="P346" s="55"/>
      <c r="Q346" s="55"/>
      <c r="R346" s="55"/>
      <c r="S346" s="55"/>
      <c r="T346" s="55"/>
      <c r="U346" s="55"/>
      <c r="V346" s="55"/>
      <c r="W346" s="55"/>
      <c r="X346" s="55"/>
      <c r="Y346" s="55"/>
      <c r="Z346" s="55"/>
      <c r="AA346" s="55"/>
      <c r="AB346" s="55"/>
      <c r="AC346" s="55"/>
      <c r="AD346" s="55"/>
      <c r="AE346" s="55"/>
      <c r="AF346" s="55"/>
      <c r="AG346" s="55"/>
      <c r="AH346" s="55"/>
      <c r="AI346" s="55"/>
      <c r="AJ346" s="55"/>
      <c r="AK346" s="55"/>
      <c r="AL346" s="55"/>
      <c r="AM346" s="55"/>
      <c r="AN346" s="55"/>
      <c r="AO346" s="55"/>
      <c r="AP346" s="55"/>
      <c r="AQ346" s="55"/>
      <c r="AR346" s="55"/>
      <c r="AS346" s="55"/>
      <c r="AT346" s="55"/>
      <c r="AU346" s="55"/>
      <c r="AV346" s="55"/>
      <c r="AW346" s="55"/>
      <c r="AX346" s="55"/>
      <c r="AY346" s="55"/>
      <c r="AZ346" s="55"/>
      <c r="BA346" s="55"/>
      <c r="BB346" s="55"/>
      <c r="BC346" s="55"/>
      <c r="BD346" s="55"/>
      <c r="BE346" s="55"/>
      <c r="BF346" s="55"/>
      <c r="BG346" s="55"/>
      <c r="BH346" s="55"/>
      <c r="BI346" s="55"/>
      <c r="BJ346" s="55"/>
      <c r="BK346" s="55"/>
      <c r="BL346" s="55"/>
      <c r="BM346" s="55"/>
      <c r="BN346" s="55"/>
      <c r="BO346" s="55"/>
      <c r="BP346" s="55"/>
      <c r="BQ346" s="55"/>
      <c r="BR346" s="55"/>
      <c r="BS346" s="55"/>
    </row>
    <row r="347" spans="1:71" outlineLevel="1" x14ac:dyDescent="0.2">
      <c r="C347" s="11" t="str">
        <f>HM_ZB_Nsoko!C333</f>
        <v>Revenus des droits - Gaz</v>
      </c>
      <c r="J347" s="26"/>
      <c r="L347" s="55"/>
      <c r="M347" s="55"/>
      <c r="N347" s="55"/>
      <c r="O347" s="55"/>
      <c r="P347" s="55"/>
      <c r="Q347" s="55"/>
      <c r="R347" s="55"/>
      <c r="S347" s="55"/>
      <c r="T347" s="55"/>
      <c r="U347" s="55"/>
      <c r="V347" s="55"/>
      <c r="W347" s="55"/>
      <c r="X347" s="55"/>
      <c r="Y347" s="55"/>
      <c r="Z347" s="55"/>
      <c r="AA347" s="55"/>
      <c r="AB347" s="55"/>
      <c r="AC347" s="55"/>
      <c r="AD347" s="55"/>
      <c r="AE347" s="55"/>
      <c r="AF347" s="55"/>
      <c r="AG347" s="55"/>
      <c r="AH347" s="55"/>
      <c r="AI347" s="55"/>
      <c r="AJ347" s="55"/>
      <c r="AK347" s="55"/>
      <c r="AL347" s="55"/>
      <c r="AM347" s="55"/>
      <c r="AN347" s="55"/>
      <c r="AO347" s="55"/>
      <c r="AP347" s="55"/>
      <c r="AQ347" s="55"/>
      <c r="AR347" s="55"/>
      <c r="AS347" s="55"/>
      <c r="AT347" s="55"/>
      <c r="AU347" s="55"/>
      <c r="AV347" s="55"/>
      <c r="AW347" s="55"/>
      <c r="AX347" s="55"/>
      <c r="AY347" s="55"/>
      <c r="AZ347" s="55"/>
      <c r="BA347" s="55"/>
      <c r="BB347" s="55"/>
      <c r="BC347" s="55"/>
      <c r="BD347" s="55"/>
      <c r="BE347" s="55"/>
      <c r="BF347" s="55"/>
      <c r="BG347" s="55"/>
      <c r="BH347" s="55"/>
      <c r="BI347" s="55"/>
      <c r="BJ347" s="55"/>
      <c r="BK347" s="55"/>
      <c r="BL347" s="55"/>
      <c r="BM347" s="55"/>
      <c r="BN347" s="55"/>
      <c r="BO347" s="55"/>
      <c r="BP347" s="55"/>
      <c r="BQ347" s="55"/>
      <c r="BR347" s="55"/>
      <c r="BS347" s="55"/>
    </row>
    <row r="348" spans="1:71" outlineLevel="1" x14ac:dyDescent="0.2">
      <c r="D348" t="str">
        <f>HM_ZB_Nsoko!D334</f>
        <v>Cost Gaz</v>
      </c>
      <c r="I348" s="30">
        <f t="shared" ref="I348:I351" ca="1" si="201">SUM($L348:$BS348)</f>
        <v>0</v>
      </c>
      <c r="J348" s="26" t="s">
        <v>148</v>
      </c>
      <c r="L348" s="49" cm="1">
        <f t="array" aca="1" ref="L348:BS348" ca="1">HM_ZD_Moho!CA_cost_recovered_total*HM_ZD_Moho!CA_rev_gas_perc</f>
        <v>0</v>
      </c>
      <c r="M348" s="49">
        <f ca="1"/>
        <v>0</v>
      </c>
      <c r="N348" s="49">
        <f ca="1"/>
        <v>0</v>
      </c>
      <c r="O348" s="49">
        <f ca="1"/>
        <v>0</v>
      </c>
      <c r="P348" s="49">
        <f ca="1"/>
        <v>0</v>
      </c>
      <c r="Q348" s="49">
        <f ca="1"/>
        <v>0</v>
      </c>
      <c r="R348" s="49">
        <f ca="1"/>
        <v>0</v>
      </c>
      <c r="S348" s="49">
        <f ca="1"/>
        <v>0</v>
      </c>
      <c r="T348" s="49">
        <f ca="1"/>
        <v>0</v>
      </c>
      <c r="U348" s="49">
        <f ca="1"/>
        <v>0</v>
      </c>
      <c r="V348" s="49">
        <f ca="1"/>
        <v>0</v>
      </c>
      <c r="W348" s="49">
        <f ca="1"/>
        <v>0</v>
      </c>
      <c r="X348" s="49">
        <f ca="1"/>
        <v>0</v>
      </c>
      <c r="Y348" s="49">
        <f ca="1"/>
        <v>0</v>
      </c>
      <c r="Z348" s="49">
        <f ca="1"/>
        <v>0</v>
      </c>
      <c r="AA348" s="49">
        <f ca="1"/>
        <v>0</v>
      </c>
      <c r="AB348" s="49">
        <f ca="1"/>
        <v>0</v>
      </c>
      <c r="AC348" s="49">
        <f ca="1"/>
        <v>0</v>
      </c>
      <c r="AD348" s="49">
        <f ca="1"/>
        <v>0</v>
      </c>
      <c r="AE348" s="49">
        <f ca="1"/>
        <v>0</v>
      </c>
      <c r="AF348" s="49">
        <f ca="1"/>
        <v>0</v>
      </c>
      <c r="AG348" s="49">
        <f ca="1"/>
        <v>0</v>
      </c>
      <c r="AH348" s="49">
        <f ca="1"/>
        <v>0</v>
      </c>
      <c r="AI348" s="49">
        <f ca="1"/>
        <v>0</v>
      </c>
      <c r="AJ348" s="49">
        <f ca="1"/>
        <v>0</v>
      </c>
      <c r="AK348" s="49">
        <f ca="1"/>
        <v>0</v>
      </c>
      <c r="AL348" s="49">
        <f ca="1"/>
        <v>0</v>
      </c>
      <c r="AM348" s="49">
        <f ca="1"/>
        <v>0</v>
      </c>
      <c r="AN348" s="49">
        <f ca="1"/>
        <v>0</v>
      </c>
      <c r="AO348" s="49">
        <f ca="1"/>
        <v>0</v>
      </c>
      <c r="AP348" s="49">
        <f ca="1"/>
        <v>0</v>
      </c>
      <c r="AQ348" s="49">
        <f ca="1"/>
        <v>0</v>
      </c>
      <c r="AR348" s="49">
        <f ca="1"/>
        <v>0</v>
      </c>
      <c r="AS348" s="49">
        <f ca="1"/>
        <v>0</v>
      </c>
      <c r="AT348" s="49">
        <f ca="1"/>
        <v>0</v>
      </c>
      <c r="AU348" s="49">
        <f ca="1"/>
        <v>0</v>
      </c>
      <c r="AV348" s="49">
        <f ca="1"/>
        <v>0</v>
      </c>
      <c r="AW348" s="49">
        <f ca="1"/>
        <v>0</v>
      </c>
      <c r="AX348" s="49">
        <f ca="1"/>
        <v>0</v>
      </c>
      <c r="AY348" s="49">
        <f ca="1"/>
        <v>0</v>
      </c>
      <c r="AZ348" s="49">
        <f ca="1"/>
        <v>0</v>
      </c>
      <c r="BA348" s="49">
        <f ca="1"/>
        <v>0</v>
      </c>
      <c r="BB348" s="49">
        <f ca="1"/>
        <v>0</v>
      </c>
      <c r="BC348" s="49">
        <f ca="1"/>
        <v>0</v>
      </c>
      <c r="BD348" s="49">
        <f ca="1"/>
        <v>0</v>
      </c>
      <c r="BE348" s="49">
        <f ca="1"/>
        <v>0</v>
      </c>
      <c r="BF348" s="49">
        <f ca="1"/>
        <v>0</v>
      </c>
      <c r="BG348" s="49">
        <f ca="1"/>
        <v>0</v>
      </c>
      <c r="BH348" s="49">
        <f ca="1"/>
        <v>0</v>
      </c>
      <c r="BI348" s="49">
        <f ca="1"/>
        <v>0</v>
      </c>
      <c r="BJ348" s="49">
        <f ca="1"/>
        <v>0</v>
      </c>
      <c r="BK348" s="49">
        <f ca="1"/>
        <v>0</v>
      </c>
      <c r="BL348" s="49">
        <f ca="1"/>
        <v>0</v>
      </c>
      <c r="BM348" s="49">
        <f ca="1"/>
        <v>0</v>
      </c>
      <c r="BN348" s="49">
        <f ca="1"/>
        <v>0</v>
      </c>
      <c r="BO348" s="49">
        <f ca="1"/>
        <v>0</v>
      </c>
      <c r="BP348" s="49">
        <f ca="1"/>
        <v>0</v>
      </c>
      <c r="BQ348" s="49">
        <f ca="1"/>
        <v>0</v>
      </c>
      <c r="BR348" s="49">
        <f ca="1"/>
        <v>0</v>
      </c>
      <c r="BS348" s="49">
        <f ca="1"/>
        <v>0</v>
      </c>
    </row>
    <row r="349" spans="1:71" outlineLevel="1" x14ac:dyDescent="0.2">
      <c r="D349" t="str">
        <f>HM_ZB_Nsoko!D335</f>
        <v>Excess Cost Gaz</v>
      </c>
      <c r="I349" s="30">
        <f t="shared" ca="1" si="201"/>
        <v>0</v>
      </c>
      <c r="J349" s="26" t="s">
        <v>148</v>
      </c>
      <c r="L349" s="49" cm="1">
        <f t="array" aca="1" ref="L349:BS349" ca="1">HM_ZD_Moho!CA_excess_CR_cont*HM_ZD_Moho!CA_rev_gas_perc</f>
        <v>0</v>
      </c>
      <c r="M349" s="49">
        <f ca="1"/>
        <v>0</v>
      </c>
      <c r="N349" s="49">
        <f ca="1"/>
        <v>0</v>
      </c>
      <c r="O349" s="49">
        <f ca="1"/>
        <v>0</v>
      </c>
      <c r="P349" s="49">
        <f ca="1"/>
        <v>0</v>
      </c>
      <c r="Q349" s="49">
        <f ca="1"/>
        <v>0</v>
      </c>
      <c r="R349" s="49">
        <f ca="1"/>
        <v>0</v>
      </c>
      <c r="S349" s="49">
        <f ca="1"/>
        <v>0</v>
      </c>
      <c r="T349" s="49">
        <f ca="1"/>
        <v>0</v>
      </c>
      <c r="U349" s="49">
        <f ca="1"/>
        <v>0</v>
      </c>
      <c r="V349" s="49">
        <f ca="1"/>
        <v>0</v>
      </c>
      <c r="W349" s="49">
        <f ca="1"/>
        <v>0</v>
      </c>
      <c r="X349" s="49">
        <f ca="1"/>
        <v>0</v>
      </c>
      <c r="Y349" s="49">
        <f ca="1"/>
        <v>0</v>
      </c>
      <c r="Z349" s="49">
        <f ca="1"/>
        <v>0</v>
      </c>
      <c r="AA349" s="49">
        <f ca="1"/>
        <v>0</v>
      </c>
      <c r="AB349" s="49">
        <f ca="1"/>
        <v>0</v>
      </c>
      <c r="AC349" s="49">
        <f ca="1"/>
        <v>0</v>
      </c>
      <c r="AD349" s="49">
        <f ca="1"/>
        <v>0</v>
      </c>
      <c r="AE349" s="49">
        <f ca="1"/>
        <v>0</v>
      </c>
      <c r="AF349" s="49">
        <f ca="1"/>
        <v>0</v>
      </c>
      <c r="AG349" s="49">
        <f ca="1"/>
        <v>0</v>
      </c>
      <c r="AH349" s="49">
        <f ca="1"/>
        <v>0</v>
      </c>
      <c r="AI349" s="49">
        <f ca="1"/>
        <v>0</v>
      </c>
      <c r="AJ349" s="49">
        <f ca="1"/>
        <v>0</v>
      </c>
      <c r="AK349" s="49">
        <f ca="1"/>
        <v>0</v>
      </c>
      <c r="AL349" s="49">
        <f ca="1"/>
        <v>0</v>
      </c>
      <c r="AM349" s="49">
        <f ca="1"/>
        <v>0</v>
      </c>
      <c r="AN349" s="49">
        <f ca="1"/>
        <v>0</v>
      </c>
      <c r="AO349" s="49">
        <f ca="1"/>
        <v>0</v>
      </c>
      <c r="AP349" s="49">
        <f ca="1"/>
        <v>0</v>
      </c>
      <c r="AQ349" s="49">
        <f ca="1"/>
        <v>0</v>
      </c>
      <c r="AR349" s="49">
        <f ca="1"/>
        <v>0</v>
      </c>
      <c r="AS349" s="49">
        <f ca="1"/>
        <v>0</v>
      </c>
      <c r="AT349" s="49">
        <f ca="1"/>
        <v>0</v>
      </c>
      <c r="AU349" s="49">
        <f ca="1"/>
        <v>0</v>
      </c>
      <c r="AV349" s="49">
        <f ca="1"/>
        <v>0</v>
      </c>
      <c r="AW349" s="49">
        <f ca="1"/>
        <v>0</v>
      </c>
      <c r="AX349" s="49">
        <f ca="1"/>
        <v>0</v>
      </c>
      <c r="AY349" s="49">
        <f ca="1"/>
        <v>0</v>
      </c>
      <c r="AZ349" s="49">
        <f ca="1"/>
        <v>0</v>
      </c>
      <c r="BA349" s="49">
        <f ca="1"/>
        <v>0</v>
      </c>
      <c r="BB349" s="49">
        <f ca="1"/>
        <v>0</v>
      </c>
      <c r="BC349" s="49">
        <f ca="1"/>
        <v>0</v>
      </c>
      <c r="BD349" s="49">
        <f ca="1"/>
        <v>0</v>
      </c>
      <c r="BE349" s="49">
        <f ca="1"/>
        <v>0</v>
      </c>
      <c r="BF349" s="49">
        <f ca="1"/>
        <v>0</v>
      </c>
      <c r="BG349" s="49">
        <f ca="1"/>
        <v>0</v>
      </c>
      <c r="BH349" s="49">
        <f ca="1"/>
        <v>0</v>
      </c>
      <c r="BI349" s="49">
        <f ca="1"/>
        <v>0</v>
      </c>
      <c r="BJ349" s="49">
        <f ca="1"/>
        <v>0</v>
      </c>
      <c r="BK349" s="49">
        <f ca="1"/>
        <v>0</v>
      </c>
      <c r="BL349" s="49">
        <f ca="1"/>
        <v>0</v>
      </c>
      <c r="BM349" s="49">
        <f ca="1"/>
        <v>0</v>
      </c>
      <c r="BN349" s="49">
        <f ca="1"/>
        <v>0</v>
      </c>
      <c r="BO349" s="49">
        <f ca="1"/>
        <v>0</v>
      </c>
      <c r="BP349" s="49">
        <f ca="1"/>
        <v>0</v>
      </c>
      <c r="BQ349" s="49">
        <f ca="1"/>
        <v>0</v>
      </c>
      <c r="BR349" s="49">
        <f ca="1"/>
        <v>0</v>
      </c>
      <c r="BS349" s="49">
        <f ca="1"/>
        <v>0</v>
      </c>
    </row>
    <row r="350" spans="1:71" outlineLevel="1" x14ac:dyDescent="0.2">
      <c r="D350" t="str">
        <f>HM_ZB_Nsoko!D336</f>
        <v>Profit Gaz</v>
      </c>
      <c r="I350" s="30">
        <f t="shared" ca="1" si="201"/>
        <v>0</v>
      </c>
      <c r="J350" s="26" t="s">
        <v>148</v>
      </c>
      <c r="L350" s="49" cm="1">
        <f t="array" aca="1" ref="L350:BS350" ca="1">HM_ZD_Moho!CA_PS_cont*HM_ZD_Moho!CA_rev_gas_perc</f>
        <v>0</v>
      </c>
      <c r="M350" s="49">
        <f ca="1"/>
        <v>0</v>
      </c>
      <c r="N350" s="49">
        <f ca="1"/>
        <v>0</v>
      </c>
      <c r="O350" s="49">
        <f ca="1"/>
        <v>0</v>
      </c>
      <c r="P350" s="49">
        <f ca="1"/>
        <v>0</v>
      </c>
      <c r="Q350" s="49">
        <f ca="1"/>
        <v>0</v>
      </c>
      <c r="R350" s="49">
        <f ca="1"/>
        <v>0</v>
      </c>
      <c r="S350" s="49">
        <f ca="1"/>
        <v>0</v>
      </c>
      <c r="T350" s="49">
        <f ca="1"/>
        <v>0</v>
      </c>
      <c r="U350" s="49">
        <f ca="1"/>
        <v>0</v>
      </c>
      <c r="V350" s="49">
        <f ca="1"/>
        <v>0</v>
      </c>
      <c r="W350" s="49">
        <f ca="1"/>
        <v>0</v>
      </c>
      <c r="X350" s="49">
        <f ca="1"/>
        <v>0</v>
      </c>
      <c r="Y350" s="49">
        <f ca="1"/>
        <v>0</v>
      </c>
      <c r="Z350" s="49">
        <f ca="1"/>
        <v>0</v>
      </c>
      <c r="AA350" s="49">
        <f ca="1"/>
        <v>0</v>
      </c>
      <c r="AB350" s="49">
        <f ca="1"/>
        <v>0</v>
      </c>
      <c r="AC350" s="49">
        <f ca="1"/>
        <v>0</v>
      </c>
      <c r="AD350" s="49">
        <f ca="1"/>
        <v>0</v>
      </c>
      <c r="AE350" s="49">
        <f ca="1"/>
        <v>0</v>
      </c>
      <c r="AF350" s="49">
        <f ca="1"/>
        <v>0</v>
      </c>
      <c r="AG350" s="49">
        <f ca="1"/>
        <v>0</v>
      </c>
      <c r="AH350" s="49">
        <f ca="1"/>
        <v>0</v>
      </c>
      <c r="AI350" s="49">
        <f ca="1"/>
        <v>0</v>
      </c>
      <c r="AJ350" s="49">
        <f ca="1"/>
        <v>0</v>
      </c>
      <c r="AK350" s="49">
        <f ca="1"/>
        <v>0</v>
      </c>
      <c r="AL350" s="49">
        <f ca="1"/>
        <v>0</v>
      </c>
      <c r="AM350" s="49">
        <f ca="1"/>
        <v>0</v>
      </c>
      <c r="AN350" s="49">
        <f ca="1"/>
        <v>0</v>
      </c>
      <c r="AO350" s="49">
        <f ca="1"/>
        <v>0</v>
      </c>
      <c r="AP350" s="49">
        <f ca="1"/>
        <v>0</v>
      </c>
      <c r="AQ350" s="49">
        <f ca="1"/>
        <v>0</v>
      </c>
      <c r="AR350" s="49">
        <f ca="1"/>
        <v>0</v>
      </c>
      <c r="AS350" s="49">
        <f ca="1"/>
        <v>0</v>
      </c>
      <c r="AT350" s="49">
        <f ca="1"/>
        <v>0</v>
      </c>
      <c r="AU350" s="49">
        <f ca="1"/>
        <v>0</v>
      </c>
      <c r="AV350" s="49">
        <f ca="1"/>
        <v>0</v>
      </c>
      <c r="AW350" s="49">
        <f ca="1"/>
        <v>0</v>
      </c>
      <c r="AX350" s="49">
        <f ca="1"/>
        <v>0</v>
      </c>
      <c r="AY350" s="49">
        <f ca="1"/>
        <v>0</v>
      </c>
      <c r="AZ350" s="49">
        <f ca="1"/>
        <v>0</v>
      </c>
      <c r="BA350" s="49">
        <f ca="1"/>
        <v>0</v>
      </c>
      <c r="BB350" s="49">
        <f ca="1"/>
        <v>0</v>
      </c>
      <c r="BC350" s="49">
        <f ca="1"/>
        <v>0</v>
      </c>
      <c r="BD350" s="49">
        <f ca="1"/>
        <v>0</v>
      </c>
      <c r="BE350" s="49">
        <f ca="1"/>
        <v>0</v>
      </c>
      <c r="BF350" s="49">
        <f ca="1"/>
        <v>0</v>
      </c>
      <c r="BG350" s="49">
        <f ca="1"/>
        <v>0</v>
      </c>
      <c r="BH350" s="49">
        <f ca="1"/>
        <v>0</v>
      </c>
      <c r="BI350" s="49">
        <f ca="1"/>
        <v>0</v>
      </c>
      <c r="BJ350" s="49">
        <f ca="1"/>
        <v>0</v>
      </c>
      <c r="BK350" s="49">
        <f ca="1"/>
        <v>0</v>
      </c>
      <c r="BL350" s="49">
        <f ca="1"/>
        <v>0</v>
      </c>
      <c r="BM350" s="49">
        <f ca="1"/>
        <v>0</v>
      </c>
      <c r="BN350" s="49">
        <f ca="1"/>
        <v>0</v>
      </c>
      <c r="BO350" s="49">
        <f ca="1"/>
        <v>0</v>
      </c>
      <c r="BP350" s="49">
        <f ca="1"/>
        <v>0</v>
      </c>
      <c r="BQ350" s="49">
        <f ca="1"/>
        <v>0</v>
      </c>
      <c r="BR350" s="49">
        <f ca="1"/>
        <v>0</v>
      </c>
      <c r="BS350" s="49">
        <f ca="1"/>
        <v>0</v>
      </c>
    </row>
    <row r="351" spans="1:71" outlineLevel="1" x14ac:dyDescent="0.2">
      <c r="D351" s="11" t="str">
        <f>HM_ZB_Nsoko!D337</f>
        <v>Total</v>
      </c>
      <c r="I351" s="30">
        <f t="shared" ca="1" si="201"/>
        <v>0</v>
      </c>
      <c r="J351" s="26" t="s">
        <v>148</v>
      </c>
      <c r="K351" s="7" t="s">
        <v>251</v>
      </c>
      <c r="L351" s="49">
        <f t="shared" ref="L351:AQ351" ca="1" si="202">SUM(L348:L350)</f>
        <v>0</v>
      </c>
      <c r="M351" s="49">
        <f t="shared" ca="1" si="202"/>
        <v>0</v>
      </c>
      <c r="N351" s="49">
        <f t="shared" ca="1" si="202"/>
        <v>0</v>
      </c>
      <c r="O351" s="49">
        <f t="shared" ca="1" si="202"/>
        <v>0</v>
      </c>
      <c r="P351" s="49">
        <f t="shared" ca="1" si="202"/>
        <v>0</v>
      </c>
      <c r="Q351" s="49">
        <f t="shared" ca="1" si="202"/>
        <v>0</v>
      </c>
      <c r="R351" s="49">
        <f t="shared" ca="1" si="202"/>
        <v>0</v>
      </c>
      <c r="S351" s="49">
        <f t="shared" ca="1" si="202"/>
        <v>0</v>
      </c>
      <c r="T351" s="49">
        <f t="shared" ca="1" si="202"/>
        <v>0</v>
      </c>
      <c r="U351" s="49">
        <f t="shared" ca="1" si="202"/>
        <v>0</v>
      </c>
      <c r="V351" s="49">
        <f t="shared" ca="1" si="202"/>
        <v>0</v>
      </c>
      <c r="W351" s="49">
        <f t="shared" ca="1" si="202"/>
        <v>0</v>
      </c>
      <c r="X351" s="49">
        <f t="shared" ca="1" si="202"/>
        <v>0</v>
      </c>
      <c r="Y351" s="49">
        <f t="shared" ca="1" si="202"/>
        <v>0</v>
      </c>
      <c r="Z351" s="49">
        <f t="shared" ca="1" si="202"/>
        <v>0</v>
      </c>
      <c r="AA351" s="49">
        <f t="shared" ca="1" si="202"/>
        <v>0</v>
      </c>
      <c r="AB351" s="49">
        <f t="shared" ca="1" si="202"/>
        <v>0</v>
      </c>
      <c r="AC351" s="49">
        <f t="shared" ca="1" si="202"/>
        <v>0</v>
      </c>
      <c r="AD351" s="49">
        <f t="shared" ca="1" si="202"/>
        <v>0</v>
      </c>
      <c r="AE351" s="49">
        <f t="shared" ca="1" si="202"/>
        <v>0</v>
      </c>
      <c r="AF351" s="49">
        <f t="shared" ca="1" si="202"/>
        <v>0</v>
      </c>
      <c r="AG351" s="49">
        <f t="shared" ca="1" si="202"/>
        <v>0</v>
      </c>
      <c r="AH351" s="49">
        <f t="shared" ca="1" si="202"/>
        <v>0</v>
      </c>
      <c r="AI351" s="49">
        <f t="shared" ca="1" si="202"/>
        <v>0</v>
      </c>
      <c r="AJ351" s="49">
        <f t="shared" ca="1" si="202"/>
        <v>0</v>
      </c>
      <c r="AK351" s="49">
        <f t="shared" ca="1" si="202"/>
        <v>0</v>
      </c>
      <c r="AL351" s="49">
        <f t="shared" ca="1" si="202"/>
        <v>0</v>
      </c>
      <c r="AM351" s="49">
        <f t="shared" ca="1" si="202"/>
        <v>0</v>
      </c>
      <c r="AN351" s="49">
        <f t="shared" ca="1" si="202"/>
        <v>0</v>
      </c>
      <c r="AO351" s="49">
        <f t="shared" ca="1" si="202"/>
        <v>0</v>
      </c>
      <c r="AP351" s="49">
        <f t="shared" ca="1" si="202"/>
        <v>0</v>
      </c>
      <c r="AQ351" s="49">
        <f t="shared" ca="1" si="202"/>
        <v>0</v>
      </c>
      <c r="AR351" s="49">
        <f t="shared" ref="AR351:BS351" ca="1" si="203">SUM(AR348:AR350)</f>
        <v>0</v>
      </c>
      <c r="AS351" s="49">
        <f t="shared" ca="1" si="203"/>
        <v>0</v>
      </c>
      <c r="AT351" s="49">
        <f t="shared" ca="1" si="203"/>
        <v>0</v>
      </c>
      <c r="AU351" s="49">
        <f t="shared" ca="1" si="203"/>
        <v>0</v>
      </c>
      <c r="AV351" s="49">
        <f t="shared" ca="1" si="203"/>
        <v>0</v>
      </c>
      <c r="AW351" s="49">
        <f t="shared" ca="1" si="203"/>
        <v>0</v>
      </c>
      <c r="AX351" s="49">
        <f t="shared" ca="1" si="203"/>
        <v>0</v>
      </c>
      <c r="AY351" s="49">
        <f t="shared" ca="1" si="203"/>
        <v>0</v>
      </c>
      <c r="AZ351" s="49">
        <f t="shared" ca="1" si="203"/>
        <v>0</v>
      </c>
      <c r="BA351" s="49">
        <f t="shared" ca="1" si="203"/>
        <v>0</v>
      </c>
      <c r="BB351" s="49">
        <f t="shared" ca="1" si="203"/>
        <v>0</v>
      </c>
      <c r="BC351" s="49">
        <f t="shared" ca="1" si="203"/>
        <v>0</v>
      </c>
      <c r="BD351" s="49">
        <f t="shared" ca="1" si="203"/>
        <v>0</v>
      </c>
      <c r="BE351" s="49">
        <f t="shared" ca="1" si="203"/>
        <v>0</v>
      </c>
      <c r="BF351" s="49">
        <f t="shared" ca="1" si="203"/>
        <v>0</v>
      </c>
      <c r="BG351" s="49">
        <f t="shared" ca="1" si="203"/>
        <v>0</v>
      </c>
      <c r="BH351" s="49">
        <f t="shared" ca="1" si="203"/>
        <v>0</v>
      </c>
      <c r="BI351" s="49">
        <f t="shared" ca="1" si="203"/>
        <v>0</v>
      </c>
      <c r="BJ351" s="49">
        <f t="shared" ca="1" si="203"/>
        <v>0</v>
      </c>
      <c r="BK351" s="49">
        <f t="shared" ca="1" si="203"/>
        <v>0</v>
      </c>
      <c r="BL351" s="49">
        <f t="shared" ca="1" si="203"/>
        <v>0</v>
      </c>
      <c r="BM351" s="49">
        <f t="shared" ca="1" si="203"/>
        <v>0</v>
      </c>
      <c r="BN351" s="49">
        <f t="shared" ca="1" si="203"/>
        <v>0</v>
      </c>
      <c r="BO351" s="49">
        <f t="shared" ca="1" si="203"/>
        <v>0</v>
      </c>
      <c r="BP351" s="49">
        <f t="shared" ca="1" si="203"/>
        <v>0</v>
      </c>
      <c r="BQ351" s="49">
        <f t="shared" ca="1" si="203"/>
        <v>0</v>
      </c>
      <c r="BR351" s="49">
        <f t="shared" ca="1" si="203"/>
        <v>0</v>
      </c>
      <c r="BS351" s="49">
        <f t="shared" ca="1" si="203"/>
        <v>0</v>
      </c>
    </row>
    <row r="352" spans="1:71" outlineLevel="1" x14ac:dyDescent="0.2">
      <c r="J352" s="26"/>
      <c r="L352" s="55"/>
      <c r="M352" s="55"/>
      <c r="N352" s="55"/>
      <c r="O352" s="55"/>
      <c r="P352" s="55"/>
      <c r="Q352" s="55"/>
      <c r="R352" s="55"/>
      <c r="S352" s="55"/>
      <c r="T352" s="55"/>
      <c r="U352" s="55"/>
      <c r="V352" s="55"/>
      <c r="W352" s="55"/>
      <c r="X352" s="55"/>
      <c r="Y352" s="55"/>
      <c r="Z352" s="55"/>
      <c r="AA352" s="55"/>
      <c r="AB352" s="55"/>
      <c r="AC352" s="55"/>
      <c r="AD352" s="55"/>
      <c r="AE352" s="55"/>
      <c r="AF352" s="55"/>
      <c r="AG352" s="55"/>
      <c r="AH352" s="55"/>
      <c r="AI352" s="55"/>
      <c r="AJ352" s="55"/>
      <c r="AK352" s="55"/>
      <c r="AL352" s="55"/>
      <c r="AM352" s="55"/>
      <c r="AN352" s="55"/>
      <c r="AO352" s="55"/>
      <c r="AP352" s="55"/>
      <c r="AQ352" s="55"/>
      <c r="AR352" s="55"/>
      <c r="AS352" s="55"/>
      <c r="AT352" s="55"/>
      <c r="AU352" s="55"/>
      <c r="AV352" s="55"/>
      <c r="AW352" s="55"/>
      <c r="AX352" s="55"/>
      <c r="AY352" s="55"/>
      <c r="AZ352" s="55"/>
      <c r="BA352" s="55"/>
      <c r="BB352" s="55"/>
      <c r="BC352" s="55"/>
      <c r="BD352" s="55"/>
      <c r="BE352" s="55"/>
      <c r="BF352" s="55"/>
      <c r="BG352" s="55"/>
      <c r="BH352" s="55"/>
      <c r="BI352" s="55"/>
      <c r="BJ352" s="55"/>
      <c r="BK352" s="55"/>
      <c r="BL352" s="55"/>
      <c r="BM352" s="55"/>
      <c r="BN352" s="55"/>
      <c r="BO352" s="55"/>
      <c r="BP352" s="55"/>
      <c r="BQ352" s="55"/>
      <c r="BR352" s="55"/>
      <c r="BS352" s="55"/>
    </row>
    <row r="353" spans="3:71" outlineLevel="1" x14ac:dyDescent="0.2">
      <c r="C353" s="11" t="str">
        <f>HM_ZB_Nsoko!C339</f>
        <v>Volumes de droits</v>
      </c>
      <c r="J353" s="26"/>
      <c r="L353" s="55"/>
      <c r="M353" s="55"/>
      <c r="N353" s="55"/>
      <c r="O353" s="55"/>
      <c r="P353" s="55"/>
      <c r="Q353" s="55"/>
      <c r="R353" s="55"/>
      <c r="S353" s="55"/>
      <c r="T353" s="55"/>
      <c r="U353" s="55"/>
      <c r="V353" s="55"/>
      <c r="W353" s="55"/>
      <c r="X353" s="55"/>
      <c r="Y353" s="55"/>
      <c r="Z353" s="55"/>
      <c r="AA353" s="55"/>
      <c r="AB353" s="55"/>
      <c r="AC353" s="55"/>
      <c r="AD353" s="55"/>
      <c r="AE353" s="55"/>
      <c r="AF353" s="55"/>
      <c r="AG353" s="55"/>
      <c r="AH353" s="55"/>
      <c r="AI353" s="55"/>
      <c r="AJ353" s="55"/>
      <c r="AK353" s="55"/>
      <c r="AL353" s="55"/>
      <c r="AM353" s="55"/>
      <c r="AN353" s="55"/>
      <c r="AO353" s="55"/>
      <c r="AP353" s="55"/>
      <c r="AQ353" s="55"/>
      <c r="AR353" s="55"/>
      <c r="AS353" s="55"/>
      <c r="AT353" s="55"/>
      <c r="AU353" s="55"/>
      <c r="AV353" s="55"/>
      <c r="AW353" s="55"/>
      <c r="AX353" s="55"/>
      <c r="AY353" s="55"/>
      <c r="AZ353" s="55"/>
      <c r="BA353" s="55"/>
      <c r="BB353" s="55"/>
      <c r="BC353" s="55"/>
      <c r="BD353" s="55"/>
      <c r="BE353" s="55"/>
      <c r="BF353" s="55"/>
      <c r="BG353" s="55"/>
      <c r="BH353" s="55"/>
      <c r="BI353" s="55"/>
      <c r="BJ353" s="55"/>
      <c r="BK353" s="55"/>
      <c r="BL353" s="55"/>
      <c r="BM353" s="55"/>
      <c r="BN353" s="55"/>
      <c r="BO353" s="55"/>
      <c r="BP353" s="55"/>
      <c r="BQ353" s="55"/>
      <c r="BR353" s="55"/>
      <c r="BS353" s="55"/>
    </row>
    <row r="354" spans="3:71" outlineLevel="1" x14ac:dyDescent="0.2">
      <c r="D354" t="str">
        <f>HM_ZB_Nsoko!D340</f>
        <v>Pétrole</v>
      </c>
      <c r="I354" s="30">
        <f t="shared" ref="I354:I356" ca="1" si="204">SUM($L354:$BS354)</f>
        <v>349.03534767578861</v>
      </c>
      <c r="J354" s="26" t="s">
        <v>88</v>
      </c>
      <c r="L354" s="49">
        <f ca="1">IFERROR(HM_ZD_Moho!CA_ent_rev_oil/HM_ZD_Moho!CA_FP_oil_nom,0)</f>
        <v>6.5434370402583886</v>
      </c>
      <c r="M354" s="49">
        <f ca="1">IFERROR(HM_ZD_Moho!CA_ent_rev_oil/HM_ZD_Moho!CA_FP_oil_nom,0)</f>
        <v>6.984703019367684</v>
      </c>
      <c r="N354" s="49">
        <f ca="1">IFERROR(HM_ZD_Moho!CA_ent_rev_oil/HM_ZD_Moho!CA_FP_oil_nom,0)</f>
        <v>12.370373015</v>
      </c>
      <c r="O354" s="49">
        <f ca="1">IFERROR(HM_ZD_Moho!CA_ent_rev_oil/HM_ZD_Moho!CA_FP_oil_nom,0)</f>
        <v>12.551072975</v>
      </c>
      <c r="P354" s="49">
        <f ca="1">IFERROR(HM_ZD_Moho!CA_ent_rev_oil/HM_ZD_Moho!CA_FP_oil_nom,0)</f>
        <v>26.270591375000002</v>
      </c>
      <c r="Q354" s="49">
        <f ca="1">IFERROR(HM_ZD_Moho!CA_ent_rev_oil/HM_ZD_Moho!CA_FP_oil_nom,0)</f>
        <v>42.173291509999999</v>
      </c>
      <c r="R354" s="49">
        <f ca="1">IFERROR(HM_ZD_Moho!CA_ent_rev_oil/HM_ZD_Moho!CA_FP_oil_nom,0)</f>
        <v>43.577951202500003</v>
      </c>
      <c r="S354" s="49">
        <f ca="1">IFERROR(HM_ZD_Moho!CA_ent_rev_oil/HM_ZD_Moho!CA_FP_oil_nom,0)</f>
        <v>41.508439500000001</v>
      </c>
      <c r="T354" s="49">
        <f ca="1">IFERROR(HM_ZD_Moho!CA_ent_rev_oil/HM_ZD_Moho!CA_FP_oil_nom,0)</f>
        <v>38.602848734999995</v>
      </c>
      <c r="U354" s="49">
        <f ca="1">IFERROR(HM_ZD_Moho!CA_ent_rev_oil/HM_ZD_Moho!CA_FP_oil_nom,0)</f>
        <v>35.900649323549999</v>
      </c>
      <c r="V354" s="49">
        <f ca="1">IFERROR(HM_ZD_Moho!CA_ent_rev_oil/HM_ZD_Moho!CA_FP_oil_nom,0)</f>
        <v>32.445633855734989</v>
      </c>
      <c r="W354" s="49">
        <f ca="1">IFERROR(HM_ZD_Moho!CA_ent_rev_oil/HM_ZD_Moho!CA_FP_oil_nom,0)</f>
        <v>25.961842551490964</v>
      </c>
      <c r="X354" s="49">
        <f ca="1">IFERROR(HM_ZD_Moho!CA_ent_rev_oil/HM_ZD_Moho!CA_FP_oil_nom,0)</f>
        <v>24.144513572886591</v>
      </c>
      <c r="Y354" s="49">
        <f ca="1">IFERROR(HM_ZD_Moho!CA_ent_rev_oil/HM_ZD_Moho!CA_FP_oil_nom,0)</f>
        <v>0</v>
      </c>
      <c r="Z354" s="49">
        <f ca="1">IFERROR(HM_ZD_Moho!CA_ent_rev_oil/HM_ZD_Moho!CA_FP_oil_nom,0)</f>
        <v>0</v>
      </c>
      <c r="AA354" s="49">
        <f ca="1">IFERROR(HM_ZD_Moho!CA_ent_rev_oil/HM_ZD_Moho!CA_FP_oil_nom,0)</f>
        <v>0</v>
      </c>
      <c r="AB354" s="49">
        <f ca="1">IFERROR(HM_ZD_Moho!CA_ent_rev_oil/HM_ZD_Moho!CA_FP_oil_nom,0)</f>
        <v>0</v>
      </c>
      <c r="AC354" s="49">
        <f ca="1">IFERROR(HM_ZD_Moho!CA_ent_rev_oil/HM_ZD_Moho!CA_FP_oil_nom,0)</f>
        <v>0</v>
      </c>
      <c r="AD354" s="49">
        <f ca="1">IFERROR(HM_ZD_Moho!CA_ent_rev_oil/HM_ZD_Moho!CA_FP_oil_nom,0)</f>
        <v>0</v>
      </c>
      <c r="AE354" s="49">
        <f ca="1">IFERROR(HM_ZD_Moho!CA_ent_rev_oil/HM_ZD_Moho!CA_FP_oil_nom,0)</f>
        <v>0</v>
      </c>
      <c r="AF354" s="49">
        <f ca="1">IFERROR(HM_ZD_Moho!CA_ent_rev_oil/HM_ZD_Moho!CA_FP_oil_nom,0)</f>
        <v>0</v>
      </c>
      <c r="AG354" s="49">
        <f ca="1">IFERROR(HM_ZD_Moho!CA_ent_rev_oil/HM_ZD_Moho!CA_FP_oil_nom,0)</f>
        <v>0</v>
      </c>
      <c r="AH354" s="49">
        <f ca="1">IFERROR(HM_ZD_Moho!CA_ent_rev_oil/HM_ZD_Moho!CA_FP_oil_nom,0)</f>
        <v>0</v>
      </c>
      <c r="AI354" s="49">
        <f ca="1">IFERROR(HM_ZD_Moho!CA_ent_rev_oil/HM_ZD_Moho!CA_FP_oil_nom,0)</f>
        <v>0</v>
      </c>
      <c r="AJ354" s="49">
        <f ca="1">IFERROR(HM_ZD_Moho!CA_ent_rev_oil/HM_ZD_Moho!CA_FP_oil_nom,0)</f>
        <v>0</v>
      </c>
      <c r="AK354" s="49">
        <f ca="1">IFERROR(HM_ZD_Moho!CA_ent_rev_oil/HM_ZD_Moho!CA_FP_oil_nom,0)</f>
        <v>0</v>
      </c>
      <c r="AL354" s="49">
        <f ca="1">IFERROR(HM_ZD_Moho!CA_ent_rev_oil/HM_ZD_Moho!CA_FP_oil_nom,0)</f>
        <v>0</v>
      </c>
      <c r="AM354" s="49">
        <f ca="1">IFERROR(HM_ZD_Moho!CA_ent_rev_oil/HM_ZD_Moho!CA_FP_oil_nom,0)</f>
        <v>0</v>
      </c>
      <c r="AN354" s="49">
        <f ca="1">IFERROR(HM_ZD_Moho!CA_ent_rev_oil/HM_ZD_Moho!CA_FP_oil_nom,0)</f>
        <v>0</v>
      </c>
      <c r="AO354" s="49">
        <f ca="1">IFERROR(HM_ZD_Moho!CA_ent_rev_oil/HM_ZD_Moho!CA_FP_oil_nom,0)</f>
        <v>0</v>
      </c>
      <c r="AP354" s="49">
        <f ca="1">IFERROR(HM_ZD_Moho!CA_ent_rev_oil/HM_ZD_Moho!CA_FP_oil_nom,0)</f>
        <v>0</v>
      </c>
      <c r="AQ354" s="49">
        <f ca="1">IFERROR(HM_ZD_Moho!CA_ent_rev_oil/HM_ZD_Moho!CA_FP_oil_nom,0)</f>
        <v>0</v>
      </c>
      <c r="AR354" s="49">
        <f ca="1">IFERROR(HM_ZD_Moho!CA_ent_rev_oil/HM_ZD_Moho!CA_FP_oil_nom,0)</f>
        <v>0</v>
      </c>
      <c r="AS354" s="49">
        <f ca="1">IFERROR(HM_ZD_Moho!CA_ent_rev_oil/HM_ZD_Moho!CA_FP_oil_nom,0)</f>
        <v>0</v>
      </c>
      <c r="AT354" s="49">
        <f ca="1">IFERROR(HM_ZD_Moho!CA_ent_rev_oil/HM_ZD_Moho!CA_FP_oil_nom,0)</f>
        <v>0</v>
      </c>
      <c r="AU354" s="49">
        <f ca="1">IFERROR(HM_ZD_Moho!CA_ent_rev_oil/HM_ZD_Moho!CA_FP_oil_nom,0)</f>
        <v>0</v>
      </c>
      <c r="AV354" s="49">
        <f ca="1">IFERROR(HM_ZD_Moho!CA_ent_rev_oil/HM_ZD_Moho!CA_FP_oil_nom,0)</f>
        <v>0</v>
      </c>
      <c r="AW354" s="49">
        <f ca="1">IFERROR(HM_ZD_Moho!CA_ent_rev_oil/HM_ZD_Moho!CA_FP_oil_nom,0)</f>
        <v>0</v>
      </c>
      <c r="AX354" s="49">
        <f ca="1">IFERROR(HM_ZD_Moho!CA_ent_rev_oil/HM_ZD_Moho!CA_FP_oil_nom,0)</f>
        <v>0</v>
      </c>
      <c r="AY354" s="49">
        <f ca="1">IFERROR(HM_ZD_Moho!CA_ent_rev_oil/HM_ZD_Moho!CA_FP_oil_nom,0)</f>
        <v>0</v>
      </c>
      <c r="AZ354" s="49">
        <f ca="1">IFERROR(HM_ZD_Moho!CA_ent_rev_oil/HM_ZD_Moho!CA_FP_oil_nom,0)</f>
        <v>0</v>
      </c>
      <c r="BA354" s="49">
        <f ca="1">IFERROR(HM_ZD_Moho!CA_ent_rev_oil/HM_ZD_Moho!CA_FP_oil_nom,0)</f>
        <v>0</v>
      </c>
      <c r="BB354" s="49">
        <f ca="1">IFERROR(HM_ZD_Moho!CA_ent_rev_oil/HM_ZD_Moho!CA_FP_oil_nom,0)</f>
        <v>0</v>
      </c>
      <c r="BC354" s="49">
        <f ca="1">IFERROR(HM_ZD_Moho!CA_ent_rev_oil/HM_ZD_Moho!CA_FP_oil_nom,0)</f>
        <v>0</v>
      </c>
      <c r="BD354" s="49">
        <f ca="1">IFERROR(HM_ZD_Moho!CA_ent_rev_oil/HM_ZD_Moho!CA_FP_oil_nom,0)</f>
        <v>0</v>
      </c>
      <c r="BE354" s="49">
        <f ca="1">IFERROR(HM_ZD_Moho!CA_ent_rev_oil/HM_ZD_Moho!CA_FP_oil_nom,0)</f>
        <v>0</v>
      </c>
      <c r="BF354" s="49">
        <f ca="1">IFERROR(HM_ZD_Moho!CA_ent_rev_oil/HM_ZD_Moho!CA_FP_oil_nom,0)</f>
        <v>0</v>
      </c>
      <c r="BG354" s="49">
        <f ca="1">IFERROR(HM_ZD_Moho!CA_ent_rev_oil/HM_ZD_Moho!CA_FP_oil_nom,0)</f>
        <v>0</v>
      </c>
      <c r="BH354" s="49">
        <f ca="1">IFERROR(HM_ZD_Moho!CA_ent_rev_oil/HM_ZD_Moho!CA_FP_oil_nom,0)</f>
        <v>0</v>
      </c>
      <c r="BI354" s="49">
        <f ca="1">IFERROR(HM_ZD_Moho!CA_ent_rev_oil/HM_ZD_Moho!CA_FP_oil_nom,0)</f>
        <v>0</v>
      </c>
      <c r="BJ354" s="49">
        <f ca="1">IFERROR(HM_ZD_Moho!CA_ent_rev_oil/HM_ZD_Moho!CA_FP_oil_nom,0)</f>
        <v>0</v>
      </c>
      <c r="BK354" s="49">
        <f ca="1">IFERROR(HM_ZD_Moho!CA_ent_rev_oil/HM_ZD_Moho!CA_FP_oil_nom,0)</f>
        <v>0</v>
      </c>
      <c r="BL354" s="49">
        <f ca="1">IFERROR(HM_ZD_Moho!CA_ent_rev_oil/HM_ZD_Moho!CA_FP_oil_nom,0)</f>
        <v>0</v>
      </c>
      <c r="BM354" s="49">
        <f ca="1">IFERROR(HM_ZD_Moho!CA_ent_rev_oil/HM_ZD_Moho!CA_FP_oil_nom,0)</f>
        <v>0</v>
      </c>
      <c r="BN354" s="49">
        <f ca="1">IFERROR(HM_ZD_Moho!CA_ent_rev_oil/HM_ZD_Moho!CA_FP_oil_nom,0)</f>
        <v>0</v>
      </c>
      <c r="BO354" s="49">
        <f ca="1">IFERROR(HM_ZD_Moho!CA_ent_rev_oil/HM_ZD_Moho!CA_FP_oil_nom,0)</f>
        <v>0</v>
      </c>
      <c r="BP354" s="49">
        <f ca="1">IFERROR(HM_ZD_Moho!CA_ent_rev_oil/HM_ZD_Moho!CA_FP_oil_nom,0)</f>
        <v>0</v>
      </c>
      <c r="BQ354" s="49">
        <f ca="1">IFERROR(HM_ZD_Moho!CA_ent_rev_oil/HM_ZD_Moho!CA_FP_oil_nom,0)</f>
        <v>0</v>
      </c>
      <c r="BR354" s="49">
        <f ca="1">IFERROR(HM_ZD_Moho!CA_ent_rev_oil/HM_ZD_Moho!CA_FP_oil_nom,0)</f>
        <v>0</v>
      </c>
      <c r="BS354" s="49">
        <f ca="1">IFERROR(HM_ZD_Moho!CA_ent_rev_oil/HM_ZD_Moho!CA_FP_oil_nom,0)</f>
        <v>0</v>
      </c>
    </row>
    <row r="355" spans="3:71" outlineLevel="1" x14ac:dyDescent="0.2">
      <c r="D355" t="str">
        <f>HM_ZB_Nsoko!D341</f>
        <v>Gaz</v>
      </c>
      <c r="I355" s="30">
        <f t="shared" ca="1" si="204"/>
        <v>0</v>
      </c>
      <c r="J355" s="26" t="s">
        <v>89</v>
      </c>
      <c r="L355" s="49">
        <f ca="1">IFERROR(HM_ZD_Moho!CA_ent_rev_gas/HM_ZD_Moho!CA_FP_gas_nom,0)</f>
        <v>0</v>
      </c>
      <c r="M355" s="49">
        <f ca="1">IFERROR(HM_ZD_Moho!CA_ent_rev_gas/HM_ZD_Moho!CA_FP_gas_nom,0)</f>
        <v>0</v>
      </c>
      <c r="N355" s="49">
        <f ca="1">IFERROR(HM_ZD_Moho!CA_ent_rev_gas/HM_ZD_Moho!CA_FP_gas_nom,0)</f>
        <v>0</v>
      </c>
      <c r="O355" s="49">
        <f ca="1">IFERROR(HM_ZD_Moho!CA_ent_rev_gas/HM_ZD_Moho!CA_FP_gas_nom,0)</f>
        <v>0</v>
      </c>
      <c r="P355" s="49">
        <f ca="1">IFERROR(HM_ZD_Moho!CA_ent_rev_gas/HM_ZD_Moho!CA_FP_gas_nom,0)</f>
        <v>0</v>
      </c>
      <c r="Q355" s="49">
        <f ca="1">IFERROR(HM_ZD_Moho!CA_ent_rev_gas/HM_ZD_Moho!CA_FP_gas_nom,0)</f>
        <v>0</v>
      </c>
      <c r="R355" s="49">
        <f ca="1">IFERROR(HM_ZD_Moho!CA_ent_rev_gas/HM_ZD_Moho!CA_FP_gas_nom,0)</f>
        <v>0</v>
      </c>
      <c r="S355" s="49">
        <f ca="1">IFERROR(HM_ZD_Moho!CA_ent_rev_gas/HM_ZD_Moho!CA_FP_gas_nom,0)</f>
        <v>0</v>
      </c>
      <c r="T355" s="49">
        <f ca="1">IFERROR(HM_ZD_Moho!CA_ent_rev_gas/HM_ZD_Moho!CA_FP_gas_nom,0)</f>
        <v>0</v>
      </c>
      <c r="U355" s="49">
        <f ca="1">IFERROR(HM_ZD_Moho!CA_ent_rev_gas/HM_ZD_Moho!CA_FP_gas_nom,0)</f>
        <v>0</v>
      </c>
      <c r="V355" s="49">
        <f ca="1">IFERROR(HM_ZD_Moho!CA_ent_rev_gas/HM_ZD_Moho!CA_FP_gas_nom,0)</f>
        <v>0</v>
      </c>
      <c r="W355" s="49">
        <f ca="1">IFERROR(HM_ZD_Moho!CA_ent_rev_gas/HM_ZD_Moho!CA_FP_gas_nom,0)</f>
        <v>0</v>
      </c>
      <c r="X355" s="49">
        <f ca="1">IFERROR(HM_ZD_Moho!CA_ent_rev_gas/HM_ZD_Moho!CA_FP_gas_nom,0)</f>
        <v>0</v>
      </c>
      <c r="Y355" s="49">
        <f ca="1">IFERROR(HM_ZD_Moho!CA_ent_rev_gas/HM_ZD_Moho!CA_FP_gas_nom,0)</f>
        <v>0</v>
      </c>
      <c r="Z355" s="49">
        <f ca="1">IFERROR(HM_ZD_Moho!CA_ent_rev_gas/HM_ZD_Moho!CA_FP_gas_nom,0)</f>
        <v>0</v>
      </c>
      <c r="AA355" s="49">
        <f ca="1">IFERROR(HM_ZD_Moho!CA_ent_rev_gas/HM_ZD_Moho!CA_FP_gas_nom,0)</f>
        <v>0</v>
      </c>
      <c r="AB355" s="49">
        <f ca="1">IFERROR(HM_ZD_Moho!CA_ent_rev_gas/HM_ZD_Moho!CA_FP_gas_nom,0)</f>
        <v>0</v>
      </c>
      <c r="AC355" s="49">
        <f ca="1">IFERROR(HM_ZD_Moho!CA_ent_rev_gas/HM_ZD_Moho!CA_FP_gas_nom,0)</f>
        <v>0</v>
      </c>
      <c r="AD355" s="49">
        <f ca="1">IFERROR(HM_ZD_Moho!CA_ent_rev_gas/HM_ZD_Moho!CA_FP_gas_nom,0)</f>
        <v>0</v>
      </c>
      <c r="AE355" s="49">
        <f ca="1">IFERROR(HM_ZD_Moho!CA_ent_rev_gas/HM_ZD_Moho!CA_FP_gas_nom,0)</f>
        <v>0</v>
      </c>
      <c r="AF355" s="49">
        <f ca="1">IFERROR(HM_ZD_Moho!CA_ent_rev_gas/HM_ZD_Moho!CA_FP_gas_nom,0)</f>
        <v>0</v>
      </c>
      <c r="AG355" s="49">
        <f ca="1">IFERROR(HM_ZD_Moho!CA_ent_rev_gas/HM_ZD_Moho!CA_FP_gas_nom,0)</f>
        <v>0</v>
      </c>
      <c r="AH355" s="49">
        <f ca="1">IFERROR(HM_ZD_Moho!CA_ent_rev_gas/HM_ZD_Moho!CA_FP_gas_nom,0)</f>
        <v>0</v>
      </c>
      <c r="AI355" s="49">
        <f ca="1">IFERROR(HM_ZD_Moho!CA_ent_rev_gas/HM_ZD_Moho!CA_FP_gas_nom,0)</f>
        <v>0</v>
      </c>
      <c r="AJ355" s="49">
        <f ca="1">IFERROR(HM_ZD_Moho!CA_ent_rev_gas/HM_ZD_Moho!CA_FP_gas_nom,0)</f>
        <v>0</v>
      </c>
      <c r="AK355" s="49">
        <f ca="1">IFERROR(HM_ZD_Moho!CA_ent_rev_gas/HM_ZD_Moho!CA_FP_gas_nom,0)</f>
        <v>0</v>
      </c>
      <c r="AL355" s="49">
        <f ca="1">IFERROR(HM_ZD_Moho!CA_ent_rev_gas/HM_ZD_Moho!CA_FP_gas_nom,0)</f>
        <v>0</v>
      </c>
      <c r="AM355" s="49">
        <f ca="1">IFERROR(HM_ZD_Moho!CA_ent_rev_gas/HM_ZD_Moho!CA_FP_gas_nom,0)</f>
        <v>0</v>
      </c>
      <c r="AN355" s="49">
        <f ca="1">IFERROR(HM_ZD_Moho!CA_ent_rev_gas/HM_ZD_Moho!CA_FP_gas_nom,0)</f>
        <v>0</v>
      </c>
      <c r="AO355" s="49">
        <f ca="1">IFERROR(HM_ZD_Moho!CA_ent_rev_gas/HM_ZD_Moho!CA_FP_gas_nom,0)</f>
        <v>0</v>
      </c>
      <c r="AP355" s="49">
        <f ca="1">IFERROR(HM_ZD_Moho!CA_ent_rev_gas/HM_ZD_Moho!CA_FP_gas_nom,0)</f>
        <v>0</v>
      </c>
      <c r="AQ355" s="49">
        <f ca="1">IFERROR(HM_ZD_Moho!CA_ent_rev_gas/HM_ZD_Moho!CA_FP_gas_nom,0)</f>
        <v>0</v>
      </c>
      <c r="AR355" s="49">
        <f ca="1">IFERROR(HM_ZD_Moho!CA_ent_rev_gas/HM_ZD_Moho!CA_FP_gas_nom,0)</f>
        <v>0</v>
      </c>
      <c r="AS355" s="49">
        <f ca="1">IFERROR(HM_ZD_Moho!CA_ent_rev_gas/HM_ZD_Moho!CA_FP_gas_nom,0)</f>
        <v>0</v>
      </c>
      <c r="AT355" s="49">
        <f ca="1">IFERROR(HM_ZD_Moho!CA_ent_rev_gas/HM_ZD_Moho!CA_FP_gas_nom,0)</f>
        <v>0</v>
      </c>
      <c r="AU355" s="49">
        <f ca="1">IFERROR(HM_ZD_Moho!CA_ent_rev_gas/HM_ZD_Moho!CA_FP_gas_nom,0)</f>
        <v>0</v>
      </c>
      <c r="AV355" s="49">
        <f ca="1">IFERROR(HM_ZD_Moho!CA_ent_rev_gas/HM_ZD_Moho!CA_FP_gas_nom,0)</f>
        <v>0</v>
      </c>
      <c r="AW355" s="49">
        <f ca="1">IFERROR(HM_ZD_Moho!CA_ent_rev_gas/HM_ZD_Moho!CA_FP_gas_nom,0)</f>
        <v>0</v>
      </c>
      <c r="AX355" s="49">
        <f ca="1">IFERROR(HM_ZD_Moho!CA_ent_rev_gas/HM_ZD_Moho!CA_FP_gas_nom,0)</f>
        <v>0</v>
      </c>
      <c r="AY355" s="49">
        <f ca="1">IFERROR(HM_ZD_Moho!CA_ent_rev_gas/HM_ZD_Moho!CA_FP_gas_nom,0)</f>
        <v>0</v>
      </c>
      <c r="AZ355" s="49">
        <f ca="1">IFERROR(HM_ZD_Moho!CA_ent_rev_gas/HM_ZD_Moho!CA_FP_gas_nom,0)</f>
        <v>0</v>
      </c>
      <c r="BA355" s="49">
        <f ca="1">IFERROR(HM_ZD_Moho!CA_ent_rev_gas/HM_ZD_Moho!CA_FP_gas_nom,0)</f>
        <v>0</v>
      </c>
      <c r="BB355" s="49">
        <f ca="1">IFERROR(HM_ZD_Moho!CA_ent_rev_gas/HM_ZD_Moho!CA_FP_gas_nom,0)</f>
        <v>0</v>
      </c>
      <c r="BC355" s="49">
        <f ca="1">IFERROR(HM_ZD_Moho!CA_ent_rev_gas/HM_ZD_Moho!CA_FP_gas_nom,0)</f>
        <v>0</v>
      </c>
      <c r="BD355" s="49">
        <f ca="1">IFERROR(HM_ZD_Moho!CA_ent_rev_gas/HM_ZD_Moho!CA_FP_gas_nom,0)</f>
        <v>0</v>
      </c>
      <c r="BE355" s="49">
        <f ca="1">IFERROR(HM_ZD_Moho!CA_ent_rev_gas/HM_ZD_Moho!CA_FP_gas_nom,0)</f>
        <v>0</v>
      </c>
      <c r="BF355" s="49">
        <f ca="1">IFERROR(HM_ZD_Moho!CA_ent_rev_gas/HM_ZD_Moho!CA_FP_gas_nom,0)</f>
        <v>0</v>
      </c>
      <c r="BG355" s="49">
        <f ca="1">IFERROR(HM_ZD_Moho!CA_ent_rev_gas/HM_ZD_Moho!CA_FP_gas_nom,0)</f>
        <v>0</v>
      </c>
      <c r="BH355" s="49">
        <f ca="1">IFERROR(HM_ZD_Moho!CA_ent_rev_gas/HM_ZD_Moho!CA_FP_gas_nom,0)</f>
        <v>0</v>
      </c>
      <c r="BI355" s="49">
        <f ca="1">IFERROR(HM_ZD_Moho!CA_ent_rev_gas/HM_ZD_Moho!CA_FP_gas_nom,0)</f>
        <v>0</v>
      </c>
      <c r="BJ355" s="49">
        <f ca="1">IFERROR(HM_ZD_Moho!CA_ent_rev_gas/HM_ZD_Moho!CA_FP_gas_nom,0)</f>
        <v>0</v>
      </c>
      <c r="BK355" s="49">
        <f ca="1">IFERROR(HM_ZD_Moho!CA_ent_rev_gas/HM_ZD_Moho!CA_FP_gas_nom,0)</f>
        <v>0</v>
      </c>
      <c r="BL355" s="49">
        <f ca="1">IFERROR(HM_ZD_Moho!CA_ent_rev_gas/HM_ZD_Moho!CA_FP_gas_nom,0)</f>
        <v>0</v>
      </c>
      <c r="BM355" s="49">
        <f ca="1">IFERROR(HM_ZD_Moho!CA_ent_rev_gas/HM_ZD_Moho!CA_FP_gas_nom,0)</f>
        <v>0</v>
      </c>
      <c r="BN355" s="49">
        <f ca="1">IFERROR(HM_ZD_Moho!CA_ent_rev_gas/HM_ZD_Moho!CA_FP_gas_nom,0)</f>
        <v>0</v>
      </c>
      <c r="BO355" s="49">
        <f ca="1">IFERROR(HM_ZD_Moho!CA_ent_rev_gas/HM_ZD_Moho!CA_FP_gas_nom,0)</f>
        <v>0</v>
      </c>
      <c r="BP355" s="49">
        <f ca="1">IFERROR(HM_ZD_Moho!CA_ent_rev_gas/HM_ZD_Moho!CA_FP_gas_nom,0)</f>
        <v>0</v>
      </c>
      <c r="BQ355" s="49">
        <f ca="1">IFERROR(HM_ZD_Moho!CA_ent_rev_gas/HM_ZD_Moho!CA_FP_gas_nom,0)</f>
        <v>0</v>
      </c>
      <c r="BR355" s="49">
        <f ca="1">IFERROR(HM_ZD_Moho!CA_ent_rev_gas/HM_ZD_Moho!CA_FP_gas_nom,0)</f>
        <v>0</v>
      </c>
      <c r="BS355" s="49">
        <f ca="1">IFERROR(HM_ZD_Moho!CA_ent_rev_gas/HM_ZD_Moho!CA_FP_gas_nom,0)</f>
        <v>0</v>
      </c>
    </row>
    <row r="356" spans="3:71" outlineLevel="1" x14ac:dyDescent="0.2">
      <c r="D356" s="11" t="str">
        <f>HM_ZB_Nsoko!D342</f>
        <v>Total</v>
      </c>
      <c r="I356" s="30">
        <f t="shared" ca="1" si="204"/>
        <v>349.03534767578861</v>
      </c>
      <c r="J356" s="26" t="s">
        <v>149</v>
      </c>
      <c r="K356" s="7" t="s">
        <v>253</v>
      </c>
      <c r="L356" s="49">
        <f t="shared" ref="L356:BS356" ca="1" si="205">L354+L355*conv_BbltoMcf</f>
        <v>6.5434370402583886</v>
      </c>
      <c r="M356" s="49">
        <f t="shared" ca="1" si="205"/>
        <v>6.984703019367684</v>
      </c>
      <c r="N356" s="49">
        <f t="shared" ca="1" si="205"/>
        <v>12.370373015</v>
      </c>
      <c r="O356" s="49">
        <f t="shared" ca="1" si="205"/>
        <v>12.551072975</v>
      </c>
      <c r="P356" s="49">
        <f t="shared" ca="1" si="205"/>
        <v>26.270591375000002</v>
      </c>
      <c r="Q356" s="49">
        <f t="shared" ca="1" si="205"/>
        <v>42.173291509999999</v>
      </c>
      <c r="R356" s="49">
        <f t="shared" ca="1" si="205"/>
        <v>43.577951202500003</v>
      </c>
      <c r="S356" s="49">
        <f t="shared" ca="1" si="205"/>
        <v>41.508439500000001</v>
      </c>
      <c r="T356" s="49">
        <f t="shared" ca="1" si="205"/>
        <v>38.602848734999995</v>
      </c>
      <c r="U356" s="49">
        <f t="shared" ca="1" si="205"/>
        <v>35.900649323549999</v>
      </c>
      <c r="V356" s="49">
        <f t="shared" ca="1" si="205"/>
        <v>32.445633855734989</v>
      </c>
      <c r="W356" s="49">
        <f t="shared" ca="1" si="205"/>
        <v>25.961842551490964</v>
      </c>
      <c r="X356" s="49">
        <f t="shared" ca="1" si="205"/>
        <v>24.144513572886591</v>
      </c>
      <c r="Y356" s="49">
        <f t="shared" ca="1" si="205"/>
        <v>0</v>
      </c>
      <c r="Z356" s="49">
        <f t="shared" ca="1" si="205"/>
        <v>0</v>
      </c>
      <c r="AA356" s="49">
        <f t="shared" ca="1" si="205"/>
        <v>0</v>
      </c>
      <c r="AB356" s="49">
        <f t="shared" ca="1" si="205"/>
        <v>0</v>
      </c>
      <c r="AC356" s="49">
        <f t="shared" ca="1" si="205"/>
        <v>0</v>
      </c>
      <c r="AD356" s="49">
        <f t="shared" ca="1" si="205"/>
        <v>0</v>
      </c>
      <c r="AE356" s="49">
        <f t="shared" ca="1" si="205"/>
        <v>0</v>
      </c>
      <c r="AF356" s="49">
        <f t="shared" ca="1" si="205"/>
        <v>0</v>
      </c>
      <c r="AG356" s="49">
        <f t="shared" ca="1" si="205"/>
        <v>0</v>
      </c>
      <c r="AH356" s="49">
        <f t="shared" ca="1" si="205"/>
        <v>0</v>
      </c>
      <c r="AI356" s="49">
        <f t="shared" ca="1" si="205"/>
        <v>0</v>
      </c>
      <c r="AJ356" s="49">
        <f t="shared" ca="1" si="205"/>
        <v>0</v>
      </c>
      <c r="AK356" s="49">
        <f t="shared" ca="1" si="205"/>
        <v>0</v>
      </c>
      <c r="AL356" s="49">
        <f t="shared" ca="1" si="205"/>
        <v>0</v>
      </c>
      <c r="AM356" s="49">
        <f t="shared" ca="1" si="205"/>
        <v>0</v>
      </c>
      <c r="AN356" s="49">
        <f t="shared" ca="1" si="205"/>
        <v>0</v>
      </c>
      <c r="AO356" s="49">
        <f t="shared" ca="1" si="205"/>
        <v>0</v>
      </c>
      <c r="AP356" s="49">
        <f t="shared" ca="1" si="205"/>
        <v>0</v>
      </c>
      <c r="AQ356" s="49">
        <f t="shared" ca="1" si="205"/>
        <v>0</v>
      </c>
      <c r="AR356" s="49">
        <f t="shared" ca="1" si="205"/>
        <v>0</v>
      </c>
      <c r="AS356" s="49">
        <f t="shared" ca="1" si="205"/>
        <v>0</v>
      </c>
      <c r="AT356" s="49">
        <f t="shared" ca="1" si="205"/>
        <v>0</v>
      </c>
      <c r="AU356" s="49">
        <f t="shared" ca="1" si="205"/>
        <v>0</v>
      </c>
      <c r="AV356" s="49">
        <f t="shared" ca="1" si="205"/>
        <v>0</v>
      </c>
      <c r="AW356" s="49">
        <f t="shared" ca="1" si="205"/>
        <v>0</v>
      </c>
      <c r="AX356" s="49">
        <f t="shared" ca="1" si="205"/>
        <v>0</v>
      </c>
      <c r="AY356" s="49">
        <f t="shared" ca="1" si="205"/>
        <v>0</v>
      </c>
      <c r="AZ356" s="49">
        <f t="shared" ca="1" si="205"/>
        <v>0</v>
      </c>
      <c r="BA356" s="49">
        <f t="shared" ca="1" si="205"/>
        <v>0</v>
      </c>
      <c r="BB356" s="49">
        <f t="shared" ca="1" si="205"/>
        <v>0</v>
      </c>
      <c r="BC356" s="49">
        <f t="shared" ca="1" si="205"/>
        <v>0</v>
      </c>
      <c r="BD356" s="49">
        <f t="shared" ca="1" si="205"/>
        <v>0</v>
      </c>
      <c r="BE356" s="49">
        <f t="shared" ca="1" si="205"/>
        <v>0</v>
      </c>
      <c r="BF356" s="49">
        <f t="shared" ca="1" si="205"/>
        <v>0</v>
      </c>
      <c r="BG356" s="49">
        <f t="shared" ca="1" si="205"/>
        <v>0</v>
      </c>
      <c r="BH356" s="49">
        <f t="shared" ca="1" si="205"/>
        <v>0</v>
      </c>
      <c r="BI356" s="49">
        <f t="shared" ca="1" si="205"/>
        <v>0</v>
      </c>
      <c r="BJ356" s="49">
        <f t="shared" ca="1" si="205"/>
        <v>0</v>
      </c>
      <c r="BK356" s="49">
        <f t="shared" ca="1" si="205"/>
        <v>0</v>
      </c>
      <c r="BL356" s="49">
        <f t="shared" ca="1" si="205"/>
        <v>0</v>
      </c>
      <c r="BM356" s="49">
        <f t="shared" ca="1" si="205"/>
        <v>0</v>
      </c>
      <c r="BN356" s="49">
        <f t="shared" ca="1" si="205"/>
        <v>0</v>
      </c>
      <c r="BO356" s="49">
        <f t="shared" ca="1" si="205"/>
        <v>0</v>
      </c>
      <c r="BP356" s="49">
        <f t="shared" ca="1" si="205"/>
        <v>0</v>
      </c>
      <c r="BQ356" s="49">
        <f t="shared" ca="1" si="205"/>
        <v>0</v>
      </c>
      <c r="BR356" s="49">
        <f t="shared" ca="1" si="205"/>
        <v>0</v>
      </c>
      <c r="BS356" s="49">
        <f t="shared" ca="1" si="205"/>
        <v>0</v>
      </c>
    </row>
    <row r="357" spans="3:71" outlineLevel="1" x14ac:dyDescent="0.2">
      <c r="J357" s="26"/>
      <c r="L357" s="55"/>
      <c r="M357" s="55"/>
      <c r="N357" s="55"/>
      <c r="O357" s="55"/>
      <c r="P357" s="55"/>
      <c r="Q357" s="55"/>
      <c r="R357" s="55"/>
      <c r="S357" s="55"/>
      <c r="T357" s="55"/>
      <c r="U357" s="55"/>
      <c r="V357" s="55"/>
      <c r="W357" s="55"/>
      <c r="X357" s="55"/>
      <c r="Y357" s="55"/>
      <c r="Z357" s="55"/>
      <c r="AA357" s="55"/>
      <c r="AB357" s="55"/>
      <c r="AC357" s="55"/>
      <c r="AD357" s="55"/>
      <c r="AE357" s="55"/>
      <c r="AF357" s="55"/>
      <c r="AG357" s="55"/>
      <c r="AH357" s="55"/>
      <c r="AI357" s="55"/>
      <c r="AJ357" s="55"/>
      <c r="AK357" s="55"/>
      <c r="AL357" s="55"/>
      <c r="AM357" s="55"/>
      <c r="AN357" s="55"/>
      <c r="AO357" s="55"/>
      <c r="AP357" s="55"/>
      <c r="AQ357" s="55"/>
      <c r="AR357" s="55"/>
      <c r="AS357" s="55"/>
      <c r="AT357" s="55"/>
      <c r="AU357" s="55"/>
      <c r="AV357" s="55"/>
      <c r="AW357" s="55"/>
      <c r="AX357" s="55"/>
      <c r="AY357" s="55"/>
      <c r="AZ357" s="55"/>
      <c r="BA357" s="55"/>
      <c r="BB357" s="55"/>
      <c r="BC357" s="55"/>
      <c r="BD357" s="55"/>
      <c r="BE357" s="55"/>
      <c r="BF357" s="55"/>
      <c r="BG357" s="55"/>
      <c r="BH357" s="55"/>
      <c r="BI357" s="55"/>
      <c r="BJ357" s="55"/>
      <c r="BK357" s="55"/>
      <c r="BL357" s="55"/>
      <c r="BM357" s="55"/>
      <c r="BN357" s="55"/>
      <c r="BO357" s="55"/>
      <c r="BP357" s="55"/>
      <c r="BQ357" s="55"/>
      <c r="BR357" s="55"/>
      <c r="BS357" s="55"/>
    </row>
    <row r="358" spans="3:71" outlineLevel="1" x14ac:dyDescent="0.2">
      <c r="C358" s="11" t="str">
        <f>HM_ZB_Nsoko!C344</f>
        <v>Participation</v>
      </c>
      <c r="J358" s="26"/>
      <c r="L358" s="55"/>
      <c r="M358" s="55"/>
      <c r="N358" s="55"/>
      <c r="O358" s="55"/>
      <c r="P358" s="55"/>
      <c r="Q358" s="55"/>
      <c r="R358" s="55"/>
      <c r="S358" s="55"/>
      <c r="T358" s="55"/>
      <c r="U358" s="55"/>
      <c r="V358" s="55"/>
      <c r="W358" s="55"/>
      <c r="X358" s="55"/>
      <c r="Y358" s="55"/>
      <c r="Z358" s="55"/>
      <c r="AA358" s="55"/>
      <c r="AB358" s="55"/>
      <c r="AC358" s="55"/>
      <c r="AD358" s="55"/>
      <c r="AE358" s="55"/>
      <c r="AF358" s="55"/>
      <c r="AG358" s="55"/>
      <c r="AH358" s="55"/>
      <c r="AI358" s="55"/>
      <c r="AJ358" s="55"/>
      <c r="AK358" s="55"/>
      <c r="AL358" s="55"/>
      <c r="AM358" s="55"/>
      <c r="AN358" s="55"/>
      <c r="AO358" s="55"/>
      <c r="AP358" s="55"/>
      <c r="AQ358" s="55"/>
      <c r="AR358" s="55"/>
      <c r="AS358" s="55"/>
      <c r="AT358" s="55"/>
      <c r="AU358" s="55"/>
      <c r="AV358" s="55"/>
      <c r="AW358" s="55"/>
      <c r="AX358" s="55"/>
      <c r="AY358" s="55"/>
      <c r="AZ358" s="55"/>
      <c r="BA358" s="55"/>
      <c r="BB358" s="55"/>
      <c r="BC358" s="55"/>
      <c r="BD358" s="55"/>
      <c r="BE358" s="55"/>
      <c r="BF358" s="55"/>
      <c r="BG358" s="55"/>
      <c r="BH358" s="55"/>
      <c r="BI358" s="55"/>
      <c r="BJ358" s="55"/>
      <c r="BK358" s="55"/>
      <c r="BL358" s="55"/>
      <c r="BM358" s="55"/>
      <c r="BN358" s="55"/>
      <c r="BO358" s="55"/>
      <c r="BP358" s="55"/>
      <c r="BQ358" s="55"/>
      <c r="BR358" s="55"/>
      <c r="BS358" s="55"/>
    </row>
    <row r="359" spans="3:71" outlineLevel="1" x14ac:dyDescent="0.2">
      <c r="D359" t="str">
        <f>HM_ZB_Nsoko!D345</f>
        <v>Consortium compagnie pétrolières internationales</v>
      </c>
      <c r="J359" s="26" t="s">
        <v>90</v>
      </c>
      <c r="K359" s="7" t="s">
        <v>340</v>
      </c>
      <c r="L359" s="53">
        <f ca="1">HM_ZD_Moho!IOC_WI_perc*HM_ZD_Moho!CA_op_trig</f>
        <v>0.85</v>
      </c>
      <c r="M359" s="53">
        <f ca="1">HM_ZD_Moho!IOC_WI_perc*HM_ZD_Moho!CA_op_trig</f>
        <v>0.85</v>
      </c>
      <c r="N359" s="53">
        <f ca="1">HM_ZD_Moho!IOC_WI_perc*HM_ZD_Moho!CA_op_trig</f>
        <v>0.85</v>
      </c>
      <c r="O359" s="53">
        <f ca="1">HM_ZD_Moho!IOC_WI_perc*HM_ZD_Moho!CA_op_trig</f>
        <v>0.85</v>
      </c>
      <c r="P359" s="53">
        <f ca="1">HM_ZD_Moho!IOC_WI_perc*HM_ZD_Moho!CA_op_trig</f>
        <v>0.85</v>
      </c>
      <c r="Q359" s="53">
        <f ca="1">HM_ZD_Moho!IOC_WI_perc*HM_ZD_Moho!CA_op_trig</f>
        <v>0.85</v>
      </c>
      <c r="R359" s="53">
        <f ca="1">HM_ZD_Moho!IOC_WI_perc*HM_ZD_Moho!CA_op_trig</f>
        <v>0.85</v>
      </c>
      <c r="S359" s="53">
        <f ca="1">HM_ZD_Moho!IOC_WI_perc*HM_ZD_Moho!CA_op_trig</f>
        <v>0.85</v>
      </c>
      <c r="T359" s="53">
        <f ca="1">HM_ZD_Moho!IOC_WI_perc*HM_ZD_Moho!CA_op_trig</f>
        <v>0.85</v>
      </c>
      <c r="U359" s="53">
        <f ca="1">HM_ZD_Moho!IOC_WI_perc*HM_ZD_Moho!CA_op_trig</f>
        <v>0.85</v>
      </c>
      <c r="V359" s="53">
        <f ca="1">HM_ZD_Moho!IOC_WI_perc*HM_ZD_Moho!CA_op_trig</f>
        <v>0.85</v>
      </c>
      <c r="W359" s="53">
        <f ca="1">HM_ZD_Moho!IOC_WI_perc*HM_ZD_Moho!CA_op_trig</f>
        <v>0.85</v>
      </c>
      <c r="X359" s="53">
        <f ca="1">HM_ZD_Moho!IOC_WI_perc*HM_ZD_Moho!CA_op_trig</f>
        <v>0.85</v>
      </c>
      <c r="Y359" s="53">
        <f ca="1">HM_ZD_Moho!IOC_WI_perc*HM_ZD_Moho!CA_op_trig</f>
        <v>0</v>
      </c>
      <c r="Z359" s="53">
        <f ca="1">HM_ZD_Moho!IOC_WI_perc*HM_ZD_Moho!CA_op_trig</f>
        <v>0</v>
      </c>
      <c r="AA359" s="53">
        <f ca="1">HM_ZD_Moho!IOC_WI_perc*HM_ZD_Moho!CA_op_trig</f>
        <v>0</v>
      </c>
      <c r="AB359" s="53">
        <f ca="1">HM_ZD_Moho!IOC_WI_perc*HM_ZD_Moho!CA_op_trig</f>
        <v>0</v>
      </c>
      <c r="AC359" s="53">
        <f ca="1">HM_ZD_Moho!IOC_WI_perc*HM_ZD_Moho!CA_op_trig</f>
        <v>0</v>
      </c>
      <c r="AD359" s="53">
        <f ca="1">HM_ZD_Moho!IOC_WI_perc*HM_ZD_Moho!CA_op_trig</f>
        <v>0</v>
      </c>
      <c r="AE359" s="53">
        <f ca="1">HM_ZD_Moho!IOC_WI_perc*HM_ZD_Moho!CA_op_trig</f>
        <v>0</v>
      </c>
      <c r="AF359" s="53">
        <f ca="1">HM_ZD_Moho!IOC_WI_perc*HM_ZD_Moho!CA_op_trig</f>
        <v>0</v>
      </c>
      <c r="AG359" s="53">
        <f ca="1">HM_ZD_Moho!IOC_WI_perc*HM_ZD_Moho!CA_op_trig</f>
        <v>0</v>
      </c>
      <c r="AH359" s="53">
        <f ca="1">HM_ZD_Moho!IOC_WI_perc*HM_ZD_Moho!CA_op_trig</f>
        <v>0</v>
      </c>
      <c r="AI359" s="53">
        <f ca="1">HM_ZD_Moho!IOC_WI_perc*HM_ZD_Moho!CA_op_trig</f>
        <v>0</v>
      </c>
      <c r="AJ359" s="53">
        <f ca="1">HM_ZD_Moho!IOC_WI_perc*HM_ZD_Moho!CA_op_trig</f>
        <v>0</v>
      </c>
      <c r="AK359" s="53">
        <f ca="1">HM_ZD_Moho!IOC_WI_perc*HM_ZD_Moho!CA_op_trig</f>
        <v>0</v>
      </c>
      <c r="AL359" s="53">
        <f ca="1">HM_ZD_Moho!IOC_WI_perc*HM_ZD_Moho!CA_op_trig</f>
        <v>0</v>
      </c>
      <c r="AM359" s="53">
        <f ca="1">HM_ZD_Moho!IOC_WI_perc*HM_ZD_Moho!CA_op_trig</f>
        <v>0</v>
      </c>
      <c r="AN359" s="53">
        <f ca="1">HM_ZD_Moho!IOC_WI_perc*HM_ZD_Moho!CA_op_trig</f>
        <v>0</v>
      </c>
      <c r="AO359" s="53">
        <f ca="1">HM_ZD_Moho!IOC_WI_perc*HM_ZD_Moho!CA_op_trig</f>
        <v>0</v>
      </c>
      <c r="AP359" s="53">
        <f ca="1">HM_ZD_Moho!IOC_WI_perc*HM_ZD_Moho!CA_op_trig</f>
        <v>0</v>
      </c>
      <c r="AQ359" s="53">
        <f ca="1">HM_ZD_Moho!IOC_WI_perc*HM_ZD_Moho!CA_op_trig</f>
        <v>0</v>
      </c>
      <c r="AR359" s="53">
        <f ca="1">HM_ZD_Moho!IOC_WI_perc*HM_ZD_Moho!CA_op_trig</f>
        <v>0</v>
      </c>
      <c r="AS359" s="53">
        <f ca="1">HM_ZD_Moho!IOC_WI_perc*HM_ZD_Moho!CA_op_trig</f>
        <v>0</v>
      </c>
      <c r="AT359" s="53">
        <f ca="1">HM_ZD_Moho!IOC_WI_perc*HM_ZD_Moho!CA_op_trig</f>
        <v>0</v>
      </c>
      <c r="AU359" s="53">
        <f ca="1">HM_ZD_Moho!IOC_WI_perc*HM_ZD_Moho!CA_op_trig</f>
        <v>0</v>
      </c>
      <c r="AV359" s="53">
        <f ca="1">HM_ZD_Moho!IOC_WI_perc*HM_ZD_Moho!CA_op_trig</f>
        <v>0</v>
      </c>
      <c r="AW359" s="53">
        <f ca="1">HM_ZD_Moho!IOC_WI_perc*HM_ZD_Moho!CA_op_trig</f>
        <v>0</v>
      </c>
      <c r="AX359" s="53">
        <f ca="1">HM_ZD_Moho!IOC_WI_perc*HM_ZD_Moho!CA_op_trig</f>
        <v>0</v>
      </c>
      <c r="AY359" s="53">
        <f ca="1">HM_ZD_Moho!IOC_WI_perc*HM_ZD_Moho!CA_op_trig</f>
        <v>0</v>
      </c>
      <c r="AZ359" s="53">
        <f ca="1">HM_ZD_Moho!IOC_WI_perc*HM_ZD_Moho!CA_op_trig</f>
        <v>0</v>
      </c>
      <c r="BA359" s="53">
        <f ca="1">HM_ZD_Moho!IOC_WI_perc*HM_ZD_Moho!CA_op_trig</f>
        <v>0</v>
      </c>
      <c r="BB359" s="53">
        <f ca="1">HM_ZD_Moho!IOC_WI_perc*HM_ZD_Moho!CA_op_trig</f>
        <v>0</v>
      </c>
      <c r="BC359" s="53">
        <f ca="1">HM_ZD_Moho!IOC_WI_perc*HM_ZD_Moho!CA_op_trig</f>
        <v>0</v>
      </c>
      <c r="BD359" s="53">
        <f ca="1">HM_ZD_Moho!IOC_WI_perc*HM_ZD_Moho!CA_op_trig</f>
        <v>0</v>
      </c>
      <c r="BE359" s="53">
        <f ca="1">HM_ZD_Moho!IOC_WI_perc*HM_ZD_Moho!CA_op_trig</f>
        <v>0</v>
      </c>
      <c r="BF359" s="53">
        <f ca="1">HM_ZD_Moho!IOC_WI_perc*HM_ZD_Moho!CA_op_trig</f>
        <v>0</v>
      </c>
      <c r="BG359" s="53">
        <f ca="1">HM_ZD_Moho!IOC_WI_perc*HM_ZD_Moho!CA_op_trig</f>
        <v>0</v>
      </c>
      <c r="BH359" s="53">
        <f ca="1">HM_ZD_Moho!IOC_WI_perc*HM_ZD_Moho!CA_op_trig</f>
        <v>0</v>
      </c>
      <c r="BI359" s="53">
        <f ca="1">HM_ZD_Moho!IOC_WI_perc*HM_ZD_Moho!CA_op_trig</f>
        <v>0</v>
      </c>
      <c r="BJ359" s="53">
        <f ca="1">HM_ZD_Moho!IOC_WI_perc*HM_ZD_Moho!CA_op_trig</f>
        <v>0</v>
      </c>
      <c r="BK359" s="53">
        <f ca="1">HM_ZD_Moho!IOC_WI_perc*HM_ZD_Moho!CA_op_trig</f>
        <v>0</v>
      </c>
      <c r="BL359" s="53">
        <f ca="1">HM_ZD_Moho!IOC_WI_perc*HM_ZD_Moho!CA_op_trig</f>
        <v>0</v>
      </c>
      <c r="BM359" s="53">
        <f ca="1">HM_ZD_Moho!IOC_WI_perc*HM_ZD_Moho!CA_op_trig</f>
        <v>0</v>
      </c>
      <c r="BN359" s="53">
        <f ca="1">HM_ZD_Moho!IOC_WI_perc*HM_ZD_Moho!CA_op_trig</f>
        <v>0</v>
      </c>
      <c r="BO359" s="53">
        <f ca="1">HM_ZD_Moho!IOC_WI_perc*HM_ZD_Moho!CA_op_trig</f>
        <v>0</v>
      </c>
      <c r="BP359" s="53">
        <f ca="1">HM_ZD_Moho!IOC_WI_perc*HM_ZD_Moho!CA_op_trig</f>
        <v>0</v>
      </c>
      <c r="BQ359" s="53">
        <f ca="1">HM_ZD_Moho!IOC_WI_perc*HM_ZD_Moho!CA_op_trig</f>
        <v>0</v>
      </c>
      <c r="BR359" s="53">
        <f ca="1">HM_ZD_Moho!IOC_WI_perc*HM_ZD_Moho!CA_op_trig</f>
        <v>0</v>
      </c>
      <c r="BS359" s="53">
        <f ca="1">HM_ZD_Moho!IOC_WI_perc*HM_ZD_Moho!CA_op_trig</f>
        <v>0</v>
      </c>
    </row>
    <row r="360" spans="3:71" outlineLevel="1" x14ac:dyDescent="0.2">
      <c r="D360" t="str">
        <f>HM_ZB_Nsoko!D346</f>
        <v>Participation compagnie nationale/État</v>
      </c>
      <c r="J360" s="26" t="s">
        <v>90</v>
      </c>
      <c r="K360" s="7" t="s">
        <v>341</v>
      </c>
      <c r="L360" s="53">
        <f ca="1">HM_ZD_Moho!NOC_WI_perc*HM_ZD_Moho!CA_op_trig</f>
        <v>0.15</v>
      </c>
      <c r="M360" s="53">
        <f ca="1">HM_ZD_Moho!NOC_WI_perc*HM_ZD_Moho!CA_op_trig</f>
        <v>0.15</v>
      </c>
      <c r="N360" s="53">
        <f ca="1">HM_ZD_Moho!NOC_WI_perc*HM_ZD_Moho!CA_op_trig</f>
        <v>0.15</v>
      </c>
      <c r="O360" s="53">
        <f ca="1">HM_ZD_Moho!NOC_WI_perc*HM_ZD_Moho!CA_op_trig</f>
        <v>0.15</v>
      </c>
      <c r="P360" s="53">
        <f ca="1">HM_ZD_Moho!NOC_WI_perc*HM_ZD_Moho!CA_op_trig</f>
        <v>0.15</v>
      </c>
      <c r="Q360" s="53">
        <f ca="1">HM_ZD_Moho!NOC_WI_perc*HM_ZD_Moho!CA_op_trig</f>
        <v>0.15</v>
      </c>
      <c r="R360" s="53">
        <f ca="1">HM_ZD_Moho!NOC_WI_perc*HM_ZD_Moho!CA_op_trig</f>
        <v>0.15</v>
      </c>
      <c r="S360" s="53">
        <f ca="1">HM_ZD_Moho!NOC_WI_perc*HM_ZD_Moho!CA_op_trig</f>
        <v>0.15</v>
      </c>
      <c r="T360" s="53">
        <f ca="1">HM_ZD_Moho!NOC_WI_perc*HM_ZD_Moho!CA_op_trig</f>
        <v>0.15</v>
      </c>
      <c r="U360" s="53">
        <f ca="1">HM_ZD_Moho!NOC_WI_perc*HM_ZD_Moho!CA_op_trig</f>
        <v>0.15</v>
      </c>
      <c r="V360" s="53">
        <f ca="1">HM_ZD_Moho!NOC_WI_perc*HM_ZD_Moho!CA_op_trig</f>
        <v>0.15</v>
      </c>
      <c r="W360" s="53">
        <f ca="1">HM_ZD_Moho!NOC_WI_perc*HM_ZD_Moho!CA_op_trig</f>
        <v>0.15</v>
      </c>
      <c r="X360" s="53">
        <f ca="1">HM_ZD_Moho!NOC_WI_perc*HM_ZD_Moho!CA_op_trig</f>
        <v>0.15</v>
      </c>
      <c r="Y360" s="53">
        <f ca="1">HM_ZD_Moho!NOC_WI_perc*HM_ZD_Moho!CA_op_trig</f>
        <v>0</v>
      </c>
      <c r="Z360" s="53">
        <f ca="1">HM_ZD_Moho!NOC_WI_perc*HM_ZD_Moho!CA_op_trig</f>
        <v>0</v>
      </c>
      <c r="AA360" s="53">
        <f ca="1">HM_ZD_Moho!NOC_WI_perc*HM_ZD_Moho!CA_op_trig</f>
        <v>0</v>
      </c>
      <c r="AB360" s="53">
        <f ca="1">HM_ZD_Moho!NOC_WI_perc*HM_ZD_Moho!CA_op_trig</f>
        <v>0</v>
      </c>
      <c r="AC360" s="53">
        <f ca="1">HM_ZD_Moho!NOC_WI_perc*HM_ZD_Moho!CA_op_trig</f>
        <v>0</v>
      </c>
      <c r="AD360" s="53">
        <f ca="1">HM_ZD_Moho!NOC_WI_perc*HM_ZD_Moho!CA_op_trig</f>
        <v>0</v>
      </c>
      <c r="AE360" s="53">
        <f ca="1">HM_ZD_Moho!NOC_WI_perc*HM_ZD_Moho!CA_op_trig</f>
        <v>0</v>
      </c>
      <c r="AF360" s="53">
        <f ca="1">HM_ZD_Moho!NOC_WI_perc*HM_ZD_Moho!CA_op_trig</f>
        <v>0</v>
      </c>
      <c r="AG360" s="53">
        <f ca="1">HM_ZD_Moho!NOC_WI_perc*HM_ZD_Moho!CA_op_trig</f>
        <v>0</v>
      </c>
      <c r="AH360" s="53">
        <f ca="1">HM_ZD_Moho!NOC_WI_perc*HM_ZD_Moho!CA_op_trig</f>
        <v>0</v>
      </c>
      <c r="AI360" s="53">
        <f ca="1">HM_ZD_Moho!NOC_WI_perc*HM_ZD_Moho!CA_op_trig</f>
        <v>0</v>
      </c>
      <c r="AJ360" s="53">
        <f ca="1">HM_ZD_Moho!NOC_WI_perc*HM_ZD_Moho!CA_op_trig</f>
        <v>0</v>
      </c>
      <c r="AK360" s="53">
        <f ca="1">HM_ZD_Moho!NOC_WI_perc*HM_ZD_Moho!CA_op_trig</f>
        <v>0</v>
      </c>
      <c r="AL360" s="53">
        <f ca="1">HM_ZD_Moho!NOC_WI_perc*HM_ZD_Moho!CA_op_trig</f>
        <v>0</v>
      </c>
      <c r="AM360" s="53">
        <f ca="1">HM_ZD_Moho!NOC_WI_perc*HM_ZD_Moho!CA_op_trig</f>
        <v>0</v>
      </c>
      <c r="AN360" s="53">
        <f ca="1">HM_ZD_Moho!NOC_WI_perc*HM_ZD_Moho!CA_op_trig</f>
        <v>0</v>
      </c>
      <c r="AO360" s="53">
        <f ca="1">HM_ZD_Moho!NOC_WI_perc*HM_ZD_Moho!CA_op_trig</f>
        <v>0</v>
      </c>
      <c r="AP360" s="53">
        <f ca="1">HM_ZD_Moho!NOC_WI_perc*HM_ZD_Moho!CA_op_trig</f>
        <v>0</v>
      </c>
      <c r="AQ360" s="53">
        <f ca="1">HM_ZD_Moho!NOC_WI_perc*HM_ZD_Moho!CA_op_trig</f>
        <v>0</v>
      </c>
      <c r="AR360" s="53">
        <f ca="1">HM_ZD_Moho!NOC_WI_perc*HM_ZD_Moho!CA_op_trig</f>
        <v>0</v>
      </c>
      <c r="AS360" s="53">
        <f ca="1">HM_ZD_Moho!NOC_WI_perc*HM_ZD_Moho!CA_op_trig</f>
        <v>0</v>
      </c>
      <c r="AT360" s="53">
        <f ca="1">HM_ZD_Moho!NOC_WI_perc*HM_ZD_Moho!CA_op_trig</f>
        <v>0</v>
      </c>
      <c r="AU360" s="53">
        <f ca="1">HM_ZD_Moho!NOC_WI_perc*HM_ZD_Moho!CA_op_trig</f>
        <v>0</v>
      </c>
      <c r="AV360" s="53">
        <f ca="1">HM_ZD_Moho!NOC_WI_perc*HM_ZD_Moho!CA_op_trig</f>
        <v>0</v>
      </c>
      <c r="AW360" s="53">
        <f ca="1">HM_ZD_Moho!NOC_WI_perc*HM_ZD_Moho!CA_op_trig</f>
        <v>0</v>
      </c>
      <c r="AX360" s="53">
        <f ca="1">HM_ZD_Moho!NOC_WI_perc*HM_ZD_Moho!CA_op_trig</f>
        <v>0</v>
      </c>
      <c r="AY360" s="53">
        <f ca="1">HM_ZD_Moho!NOC_WI_perc*HM_ZD_Moho!CA_op_trig</f>
        <v>0</v>
      </c>
      <c r="AZ360" s="53">
        <f ca="1">HM_ZD_Moho!NOC_WI_perc*HM_ZD_Moho!CA_op_trig</f>
        <v>0</v>
      </c>
      <c r="BA360" s="53">
        <f ca="1">HM_ZD_Moho!NOC_WI_perc*HM_ZD_Moho!CA_op_trig</f>
        <v>0</v>
      </c>
      <c r="BB360" s="53">
        <f ca="1">HM_ZD_Moho!NOC_WI_perc*HM_ZD_Moho!CA_op_trig</f>
        <v>0</v>
      </c>
      <c r="BC360" s="53">
        <f ca="1">HM_ZD_Moho!NOC_WI_perc*HM_ZD_Moho!CA_op_trig</f>
        <v>0</v>
      </c>
      <c r="BD360" s="53">
        <f ca="1">HM_ZD_Moho!NOC_WI_perc*HM_ZD_Moho!CA_op_trig</f>
        <v>0</v>
      </c>
      <c r="BE360" s="53">
        <f ca="1">HM_ZD_Moho!NOC_WI_perc*HM_ZD_Moho!CA_op_trig</f>
        <v>0</v>
      </c>
      <c r="BF360" s="53">
        <f ca="1">HM_ZD_Moho!NOC_WI_perc*HM_ZD_Moho!CA_op_trig</f>
        <v>0</v>
      </c>
      <c r="BG360" s="53">
        <f ca="1">HM_ZD_Moho!NOC_WI_perc*HM_ZD_Moho!CA_op_trig</f>
        <v>0</v>
      </c>
      <c r="BH360" s="53">
        <f ca="1">HM_ZD_Moho!NOC_WI_perc*HM_ZD_Moho!CA_op_trig</f>
        <v>0</v>
      </c>
      <c r="BI360" s="53">
        <f ca="1">HM_ZD_Moho!NOC_WI_perc*HM_ZD_Moho!CA_op_trig</f>
        <v>0</v>
      </c>
      <c r="BJ360" s="53">
        <f ca="1">HM_ZD_Moho!NOC_WI_perc*HM_ZD_Moho!CA_op_trig</f>
        <v>0</v>
      </c>
      <c r="BK360" s="53">
        <f ca="1">HM_ZD_Moho!NOC_WI_perc*HM_ZD_Moho!CA_op_trig</f>
        <v>0</v>
      </c>
      <c r="BL360" s="53">
        <f ca="1">HM_ZD_Moho!NOC_WI_perc*HM_ZD_Moho!CA_op_trig</f>
        <v>0</v>
      </c>
      <c r="BM360" s="53">
        <f ca="1">HM_ZD_Moho!NOC_WI_perc*HM_ZD_Moho!CA_op_trig</f>
        <v>0</v>
      </c>
      <c r="BN360" s="53">
        <f ca="1">HM_ZD_Moho!NOC_WI_perc*HM_ZD_Moho!CA_op_trig</f>
        <v>0</v>
      </c>
      <c r="BO360" s="53">
        <f ca="1">HM_ZD_Moho!NOC_WI_perc*HM_ZD_Moho!CA_op_trig</f>
        <v>0</v>
      </c>
      <c r="BP360" s="53">
        <f ca="1">HM_ZD_Moho!NOC_WI_perc*HM_ZD_Moho!CA_op_trig</f>
        <v>0</v>
      </c>
      <c r="BQ360" s="53">
        <f ca="1">HM_ZD_Moho!NOC_WI_perc*HM_ZD_Moho!CA_op_trig</f>
        <v>0</v>
      </c>
      <c r="BR360" s="53">
        <f ca="1">HM_ZD_Moho!NOC_WI_perc*HM_ZD_Moho!CA_op_trig</f>
        <v>0</v>
      </c>
      <c r="BS360" s="53">
        <f ca="1">HM_ZD_Moho!NOC_WI_perc*HM_ZD_Moho!CA_op_trig</f>
        <v>0</v>
      </c>
    </row>
    <row r="361" spans="3:71" outlineLevel="1" x14ac:dyDescent="0.2">
      <c r="J361" s="26"/>
      <c r="L361" s="55"/>
      <c r="M361" s="55"/>
      <c r="N361" s="55"/>
      <c r="O361" s="55"/>
      <c r="P361" s="55"/>
      <c r="Q361" s="55"/>
      <c r="R361" s="55"/>
      <c r="S361" s="55"/>
      <c r="T361" s="55"/>
      <c r="U361" s="55"/>
      <c r="V361" s="55"/>
      <c r="W361" s="55"/>
      <c r="X361" s="55"/>
      <c r="Y361" s="55"/>
      <c r="Z361" s="55"/>
      <c r="AA361" s="55"/>
      <c r="AB361" s="55"/>
      <c r="AC361" s="55"/>
      <c r="AD361" s="55"/>
      <c r="AE361" s="55"/>
      <c r="AF361" s="55"/>
      <c r="AG361" s="55"/>
      <c r="AH361" s="55"/>
      <c r="AI361" s="55"/>
      <c r="AJ361" s="55"/>
      <c r="AK361" s="55"/>
      <c r="AL361" s="55"/>
      <c r="AM361" s="55"/>
      <c r="AN361" s="55"/>
      <c r="AO361" s="55"/>
      <c r="AP361" s="55"/>
      <c r="AQ361" s="55"/>
      <c r="AR361" s="55"/>
      <c r="AS361" s="55"/>
      <c r="AT361" s="55"/>
      <c r="AU361" s="55"/>
      <c r="AV361" s="55"/>
      <c r="AW361" s="55"/>
      <c r="AX361" s="55"/>
      <c r="AY361" s="55"/>
      <c r="AZ361" s="55"/>
      <c r="BA361" s="55"/>
      <c r="BB361" s="55"/>
      <c r="BC361" s="55"/>
      <c r="BD361" s="55"/>
      <c r="BE361" s="55"/>
      <c r="BF361" s="55"/>
      <c r="BG361" s="55"/>
      <c r="BH361" s="55"/>
      <c r="BI361" s="55"/>
      <c r="BJ361" s="55"/>
      <c r="BK361" s="55"/>
      <c r="BL361" s="55"/>
      <c r="BM361" s="55"/>
      <c r="BN361" s="55"/>
      <c r="BO361" s="55"/>
      <c r="BP361" s="55"/>
      <c r="BQ361" s="55"/>
      <c r="BR361" s="55"/>
      <c r="BS361" s="55"/>
    </row>
    <row r="362" spans="3:71" outlineLevel="1" x14ac:dyDescent="0.2">
      <c r="C362" s="11" t="str">
        <f>HM_ZB_Nsoko!C348</f>
        <v>Revenus des droits selon participation -pétrole</v>
      </c>
      <c r="J362" s="26"/>
      <c r="L362" s="55"/>
      <c r="M362" s="55"/>
      <c r="N362" s="55"/>
      <c r="O362" s="55"/>
      <c r="P362" s="55"/>
      <c r="Q362" s="55"/>
      <c r="R362" s="55"/>
      <c r="S362" s="55"/>
      <c r="T362" s="55"/>
      <c r="U362" s="55"/>
      <c r="V362" s="55"/>
      <c r="W362" s="55"/>
      <c r="X362" s="55"/>
      <c r="Y362" s="55"/>
      <c r="Z362" s="55"/>
      <c r="AA362" s="55"/>
      <c r="AB362" s="55"/>
      <c r="AC362" s="55"/>
      <c r="AD362" s="55"/>
      <c r="AE362" s="55"/>
      <c r="AF362" s="55"/>
      <c r="AG362" s="55"/>
      <c r="AH362" s="55"/>
      <c r="AI362" s="55"/>
      <c r="AJ362" s="55"/>
      <c r="AK362" s="55"/>
      <c r="AL362" s="55"/>
      <c r="AM362" s="55"/>
      <c r="AN362" s="55"/>
      <c r="AO362" s="55"/>
      <c r="AP362" s="55"/>
      <c r="AQ362" s="55"/>
      <c r="AR362" s="55"/>
      <c r="AS362" s="55"/>
      <c r="AT362" s="55"/>
      <c r="AU362" s="55"/>
      <c r="AV362" s="55"/>
      <c r="AW362" s="55"/>
      <c r="AX362" s="55"/>
      <c r="AY362" s="55"/>
      <c r="AZ362" s="55"/>
      <c r="BA362" s="55"/>
      <c r="BB362" s="55"/>
      <c r="BC362" s="55"/>
      <c r="BD362" s="55"/>
      <c r="BE362" s="55"/>
      <c r="BF362" s="55"/>
      <c r="BG362" s="55"/>
      <c r="BH362" s="55"/>
      <c r="BI362" s="55"/>
      <c r="BJ362" s="55"/>
      <c r="BK362" s="55"/>
      <c r="BL362" s="55"/>
      <c r="BM362" s="55"/>
      <c r="BN362" s="55"/>
      <c r="BO362" s="55"/>
      <c r="BP362" s="55"/>
      <c r="BQ362" s="55"/>
      <c r="BR362" s="55"/>
      <c r="BS362" s="55"/>
    </row>
    <row r="363" spans="3:71" outlineLevel="1" x14ac:dyDescent="0.2">
      <c r="D363" t="str">
        <f>HM_ZB_Nsoko!D349</f>
        <v>Consortium compagnie pétrolières internationales</v>
      </c>
      <c r="I363" s="30">
        <f t="shared" ref="I363:I365" ca="1" si="206">SUM($L363:$BS363)</f>
        <v>19138.951063999219</v>
      </c>
      <c r="J363" s="26" t="s">
        <v>148</v>
      </c>
      <c r="L363" s="49">
        <f ca="1">HM_ZD_Moho!CA_ent_rev_oil*HM_ZD_Moho!CA_IOC_WI</f>
        <v>587.14950446678392</v>
      </c>
      <c r="M363" s="49">
        <f ca="1">HM_ZD_Moho!CA_ent_rev_oil*HM_ZD_Moho!CA_IOC_WI</f>
        <v>570.47325902479417</v>
      </c>
      <c r="N363" s="49">
        <f ca="1">HM_ZD_Moho!CA_ent_rev_oil*HM_ZD_Moho!CA_IOC_WI</f>
        <v>502.95594495466247</v>
      </c>
      <c r="O363" s="49">
        <f ca="1">HM_ZD_Moho!CA_ent_rev_oil*HM_ZD_Moho!CA_IOC_WI</f>
        <v>432.22194539062349</v>
      </c>
      <c r="P363" s="49">
        <f ca="1">HM_ZD_Moho!CA_ent_rev_oil*HM_ZD_Moho!CA_IOC_WI</f>
        <v>1212.7399683646786</v>
      </c>
      <c r="Q363" s="49">
        <f ca="1">HM_ZD_Moho!CA_ent_rev_oil*HM_ZD_Moho!CA_IOC_WI</f>
        <v>2453.6483103522951</v>
      </c>
      <c r="R363" s="49">
        <f ca="1">HM_ZD_Moho!CA_ent_rev_oil*HM_ZD_Moho!CA_IOC_WI</f>
        <v>2389.0557211238647</v>
      </c>
      <c r="S363" s="49">
        <f ca="1">HM_ZD_Moho!CA_ent_rev_oil*HM_ZD_Moho!CA_IOC_WI</f>
        <v>1426.4582776372501</v>
      </c>
      <c r="T363" s="49">
        <f ca="1">HM_ZD_Moho!CA_ent_rev_oil*HM_ZD_Moho!CA_IOC_WI</f>
        <v>2182.6297733000902</v>
      </c>
      <c r="U363" s="49">
        <f ca="1">HM_ZD_Moho!CA_ent_rev_oil*HM_ZD_Moho!CA_IOC_WI</f>
        <v>2178.8104074462494</v>
      </c>
      <c r="V363" s="49">
        <f ca="1">HM_ZD_Moho!CA_ent_rev_oil*HM_ZD_Moho!CA_IOC_WI</f>
        <v>2008.5080290786477</v>
      </c>
      <c r="W363" s="49">
        <f ca="1">HM_ZD_Moho!CA_ent_rev_oil*HM_ZD_Moho!CA_IOC_WI</f>
        <v>1639.279443117766</v>
      </c>
      <c r="X363" s="49">
        <f ca="1">HM_ZD_Moho!CA_ent_rev_oil*HM_ZD_Moho!CA_IOC_WI</f>
        <v>1555.0204797415126</v>
      </c>
      <c r="Y363" s="49">
        <f ca="1">HM_ZD_Moho!CA_ent_rev_oil*HM_ZD_Moho!CA_IOC_WI</f>
        <v>0</v>
      </c>
      <c r="Z363" s="49">
        <f ca="1">HM_ZD_Moho!CA_ent_rev_oil*HM_ZD_Moho!CA_IOC_WI</f>
        <v>0</v>
      </c>
      <c r="AA363" s="49">
        <f ca="1">HM_ZD_Moho!CA_ent_rev_oil*HM_ZD_Moho!CA_IOC_WI</f>
        <v>0</v>
      </c>
      <c r="AB363" s="49">
        <f ca="1">HM_ZD_Moho!CA_ent_rev_oil*HM_ZD_Moho!CA_IOC_WI</f>
        <v>0</v>
      </c>
      <c r="AC363" s="49">
        <f ca="1">HM_ZD_Moho!CA_ent_rev_oil*HM_ZD_Moho!CA_IOC_WI</f>
        <v>0</v>
      </c>
      <c r="AD363" s="49">
        <f ca="1">HM_ZD_Moho!CA_ent_rev_oil*HM_ZD_Moho!CA_IOC_WI</f>
        <v>0</v>
      </c>
      <c r="AE363" s="49">
        <f ca="1">HM_ZD_Moho!CA_ent_rev_oil*HM_ZD_Moho!CA_IOC_WI</f>
        <v>0</v>
      </c>
      <c r="AF363" s="49">
        <f ca="1">HM_ZD_Moho!CA_ent_rev_oil*HM_ZD_Moho!CA_IOC_WI</f>
        <v>0</v>
      </c>
      <c r="AG363" s="49">
        <f ca="1">HM_ZD_Moho!CA_ent_rev_oil*HM_ZD_Moho!CA_IOC_WI</f>
        <v>0</v>
      </c>
      <c r="AH363" s="49">
        <f ca="1">HM_ZD_Moho!CA_ent_rev_oil*HM_ZD_Moho!CA_IOC_WI</f>
        <v>0</v>
      </c>
      <c r="AI363" s="49">
        <f ca="1">HM_ZD_Moho!CA_ent_rev_oil*HM_ZD_Moho!CA_IOC_WI</f>
        <v>0</v>
      </c>
      <c r="AJ363" s="49">
        <f ca="1">HM_ZD_Moho!CA_ent_rev_oil*HM_ZD_Moho!CA_IOC_WI</f>
        <v>0</v>
      </c>
      <c r="AK363" s="49">
        <f ca="1">HM_ZD_Moho!CA_ent_rev_oil*HM_ZD_Moho!CA_IOC_WI</f>
        <v>0</v>
      </c>
      <c r="AL363" s="49">
        <f ca="1">HM_ZD_Moho!CA_ent_rev_oil*HM_ZD_Moho!CA_IOC_WI</f>
        <v>0</v>
      </c>
      <c r="AM363" s="49">
        <f ca="1">HM_ZD_Moho!CA_ent_rev_oil*HM_ZD_Moho!CA_IOC_WI</f>
        <v>0</v>
      </c>
      <c r="AN363" s="49">
        <f ca="1">HM_ZD_Moho!CA_ent_rev_oil*HM_ZD_Moho!CA_IOC_WI</f>
        <v>0</v>
      </c>
      <c r="AO363" s="49">
        <f ca="1">HM_ZD_Moho!CA_ent_rev_oil*HM_ZD_Moho!CA_IOC_WI</f>
        <v>0</v>
      </c>
      <c r="AP363" s="49">
        <f ca="1">HM_ZD_Moho!CA_ent_rev_oil*HM_ZD_Moho!CA_IOC_WI</f>
        <v>0</v>
      </c>
      <c r="AQ363" s="49">
        <f ca="1">HM_ZD_Moho!CA_ent_rev_oil*HM_ZD_Moho!CA_IOC_WI</f>
        <v>0</v>
      </c>
      <c r="AR363" s="49">
        <f ca="1">HM_ZD_Moho!CA_ent_rev_oil*HM_ZD_Moho!CA_IOC_WI</f>
        <v>0</v>
      </c>
      <c r="AS363" s="49">
        <f ca="1">HM_ZD_Moho!CA_ent_rev_oil*HM_ZD_Moho!CA_IOC_WI</f>
        <v>0</v>
      </c>
      <c r="AT363" s="49">
        <f ca="1">HM_ZD_Moho!CA_ent_rev_oil*HM_ZD_Moho!CA_IOC_WI</f>
        <v>0</v>
      </c>
      <c r="AU363" s="49">
        <f ca="1">HM_ZD_Moho!CA_ent_rev_oil*HM_ZD_Moho!CA_IOC_WI</f>
        <v>0</v>
      </c>
      <c r="AV363" s="49">
        <f ca="1">HM_ZD_Moho!CA_ent_rev_oil*HM_ZD_Moho!CA_IOC_WI</f>
        <v>0</v>
      </c>
      <c r="AW363" s="49">
        <f ca="1">HM_ZD_Moho!CA_ent_rev_oil*HM_ZD_Moho!CA_IOC_WI</f>
        <v>0</v>
      </c>
      <c r="AX363" s="49">
        <f ca="1">HM_ZD_Moho!CA_ent_rev_oil*HM_ZD_Moho!CA_IOC_WI</f>
        <v>0</v>
      </c>
      <c r="AY363" s="49">
        <f ca="1">HM_ZD_Moho!CA_ent_rev_oil*HM_ZD_Moho!CA_IOC_WI</f>
        <v>0</v>
      </c>
      <c r="AZ363" s="49">
        <f ca="1">HM_ZD_Moho!CA_ent_rev_oil*HM_ZD_Moho!CA_IOC_WI</f>
        <v>0</v>
      </c>
      <c r="BA363" s="49">
        <f ca="1">HM_ZD_Moho!CA_ent_rev_oil*HM_ZD_Moho!CA_IOC_WI</f>
        <v>0</v>
      </c>
      <c r="BB363" s="49">
        <f ca="1">HM_ZD_Moho!CA_ent_rev_oil*HM_ZD_Moho!CA_IOC_WI</f>
        <v>0</v>
      </c>
      <c r="BC363" s="49">
        <f ca="1">HM_ZD_Moho!CA_ent_rev_oil*HM_ZD_Moho!CA_IOC_WI</f>
        <v>0</v>
      </c>
      <c r="BD363" s="49">
        <f ca="1">HM_ZD_Moho!CA_ent_rev_oil*HM_ZD_Moho!CA_IOC_WI</f>
        <v>0</v>
      </c>
      <c r="BE363" s="49">
        <f ca="1">HM_ZD_Moho!CA_ent_rev_oil*HM_ZD_Moho!CA_IOC_WI</f>
        <v>0</v>
      </c>
      <c r="BF363" s="49">
        <f ca="1">HM_ZD_Moho!CA_ent_rev_oil*HM_ZD_Moho!CA_IOC_WI</f>
        <v>0</v>
      </c>
      <c r="BG363" s="49">
        <f ca="1">HM_ZD_Moho!CA_ent_rev_oil*HM_ZD_Moho!CA_IOC_WI</f>
        <v>0</v>
      </c>
      <c r="BH363" s="49">
        <f ca="1">HM_ZD_Moho!CA_ent_rev_oil*HM_ZD_Moho!CA_IOC_WI</f>
        <v>0</v>
      </c>
      <c r="BI363" s="49">
        <f ca="1">HM_ZD_Moho!CA_ent_rev_oil*HM_ZD_Moho!CA_IOC_WI</f>
        <v>0</v>
      </c>
      <c r="BJ363" s="49">
        <f ca="1">HM_ZD_Moho!CA_ent_rev_oil*HM_ZD_Moho!CA_IOC_WI</f>
        <v>0</v>
      </c>
      <c r="BK363" s="49">
        <f ca="1">HM_ZD_Moho!CA_ent_rev_oil*HM_ZD_Moho!CA_IOC_WI</f>
        <v>0</v>
      </c>
      <c r="BL363" s="49">
        <f ca="1">HM_ZD_Moho!CA_ent_rev_oil*HM_ZD_Moho!CA_IOC_WI</f>
        <v>0</v>
      </c>
      <c r="BM363" s="49">
        <f ca="1">HM_ZD_Moho!CA_ent_rev_oil*HM_ZD_Moho!CA_IOC_WI</f>
        <v>0</v>
      </c>
      <c r="BN363" s="49">
        <f ca="1">HM_ZD_Moho!CA_ent_rev_oil*HM_ZD_Moho!CA_IOC_WI</f>
        <v>0</v>
      </c>
      <c r="BO363" s="49">
        <f ca="1">HM_ZD_Moho!CA_ent_rev_oil*HM_ZD_Moho!CA_IOC_WI</f>
        <v>0</v>
      </c>
      <c r="BP363" s="49">
        <f ca="1">HM_ZD_Moho!CA_ent_rev_oil*HM_ZD_Moho!CA_IOC_WI</f>
        <v>0</v>
      </c>
      <c r="BQ363" s="49">
        <f ca="1">HM_ZD_Moho!CA_ent_rev_oil*HM_ZD_Moho!CA_IOC_WI</f>
        <v>0</v>
      </c>
      <c r="BR363" s="49">
        <f ca="1">HM_ZD_Moho!CA_ent_rev_oil*HM_ZD_Moho!CA_IOC_WI</f>
        <v>0</v>
      </c>
      <c r="BS363" s="49">
        <f ca="1">HM_ZD_Moho!CA_ent_rev_oil*HM_ZD_Moho!CA_IOC_WI</f>
        <v>0</v>
      </c>
    </row>
    <row r="364" spans="3:71" outlineLevel="1" x14ac:dyDescent="0.2">
      <c r="D364" t="str">
        <f>HM_ZB_Nsoko!D350</f>
        <v>Participation compagnie nationale/État</v>
      </c>
      <c r="I364" s="30">
        <f t="shared" ca="1" si="206"/>
        <v>3377.4619524704508</v>
      </c>
      <c r="J364" s="26" t="s">
        <v>148</v>
      </c>
      <c r="L364" s="49">
        <f ca="1">HM_ZD_Moho!CA_ent_rev_oil*HM_ZD_Moho!CA_NOC_WI</f>
        <v>103.61461843531481</v>
      </c>
      <c r="M364" s="49">
        <f ca="1">HM_ZD_Moho!CA_ent_rev_oil*HM_ZD_Moho!CA_NOC_WI</f>
        <v>100.67175159261075</v>
      </c>
      <c r="N364" s="49">
        <f ca="1">HM_ZD_Moho!CA_ent_rev_oil*HM_ZD_Moho!CA_NOC_WI</f>
        <v>88.756931462587488</v>
      </c>
      <c r="O364" s="49">
        <f ca="1">HM_ZD_Moho!CA_ent_rev_oil*HM_ZD_Moho!CA_NOC_WI</f>
        <v>76.2744609512865</v>
      </c>
      <c r="P364" s="49">
        <f ca="1">HM_ZD_Moho!CA_ent_rev_oil*HM_ZD_Moho!CA_NOC_WI</f>
        <v>214.0129355937668</v>
      </c>
      <c r="Q364" s="49">
        <f ca="1">HM_ZD_Moho!CA_ent_rev_oil*HM_ZD_Moho!CA_NOC_WI</f>
        <v>432.99676065040501</v>
      </c>
      <c r="R364" s="49">
        <f ca="1">HM_ZD_Moho!CA_ent_rev_oil*HM_ZD_Moho!CA_NOC_WI</f>
        <v>421.59806843362315</v>
      </c>
      <c r="S364" s="49">
        <f ca="1">HM_ZD_Moho!CA_ent_rev_oil*HM_ZD_Moho!CA_NOC_WI</f>
        <v>251.72793134775</v>
      </c>
      <c r="T364" s="49">
        <f ca="1">HM_ZD_Moho!CA_ent_rev_oil*HM_ZD_Moho!CA_NOC_WI</f>
        <v>385.16995999413354</v>
      </c>
      <c r="U364" s="49">
        <f ca="1">HM_ZD_Moho!CA_ent_rev_oil*HM_ZD_Moho!CA_NOC_WI</f>
        <v>384.49595425522051</v>
      </c>
      <c r="V364" s="49">
        <f ca="1">HM_ZD_Moho!CA_ent_rev_oil*HM_ZD_Moho!CA_NOC_WI</f>
        <v>354.44259336682018</v>
      </c>
      <c r="W364" s="49">
        <f ca="1">HM_ZD_Moho!CA_ent_rev_oil*HM_ZD_Moho!CA_NOC_WI</f>
        <v>289.28460760901754</v>
      </c>
      <c r="X364" s="49">
        <f ca="1">HM_ZD_Moho!CA_ent_rev_oil*HM_ZD_Moho!CA_NOC_WI</f>
        <v>274.41537877791399</v>
      </c>
      <c r="Y364" s="49">
        <f ca="1">HM_ZD_Moho!CA_ent_rev_oil*HM_ZD_Moho!CA_NOC_WI</f>
        <v>0</v>
      </c>
      <c r="Z364" s="49">
        <f ca="1">HM_ZD_Moho!CA_ent_rev_oil*HM_ZD_Moho!CA_NOC_WI</f>
        <v>0</v>
      </c>
      <c r="AA364" s="49">
        <f ca="1">HM_ZD_Moho!CA_ent_rev_oil*HM_ZD_Moho!CA_NOC_WI</f>
        <v>0</v>
      </c>
      <c r="AB364" s="49">
        <f ca="1">HM_ZD_Moho!CA_ent_rev_oil*HM_ZD_Moho!CA_NOC_WI</f>
        <v>0</v>
      </c>
      <c r="AC364" s="49">
        <f ca="1">HM_ZD_Moho!CA_ent_rev_oil*HM_ZD_Moho!CA_NOC_WI</f>
        <v>0</v>
      </c>
      <c r="AD364" s="49">
        <f ca="1">HM_ZD_Moho!CA_ent_rev_oil*HM_ZD_Moho!CA_NOC_WI</f>
        <v>0</v>
      </c>
      <c r="AE364" s="49">
        <f ca="1">HM_ZD_Moho!CA_ent_rev_oil*HM_ZD_Moho!CA_NOC_WI</f>
        <v>0</v>
      </c>
      <c r="AF364" s="49">
        <f ca="1">HM_ZD_Moho!CA_ent_rev_oil*HM_ZD_Moho!CA_NOC_WI</f>
        <v>0</v>
      </c>
      <c r="AG364" s="49">
        <f ca="1">HM_ZD_Moho!CA_ent_rev_oil*HM_ZD_Moho!CA_NOC_WI</f>
        <v>0</v>
      </c>
      <c r="AH364" s="49">
        <f ca="1">HM_ZD_Moho!CA_ent_rev_oil*HM_ZD_Moho!CA_NOC_WI</f>
        <v>0</v>
      </c>
      <c r="AI364" s="49">
        <f ca="1">HM_ZD_Moho!CA_ent_rev_oil*HM_ZD_Moho!CA_NOC_WI</f>
        <v>0</v>
      </c>
      <c r="AJ364" s="49">
        <f ca="1">HM_ZD_Moho!CA_ent_rev_oil*HM_ZD_Moho!CA_NOC_WI</f>
        <v>0</v>
      </c>
      <c r="AK364" s="49">
        <f ca="1">HM_ZD_Moho!CA_ent_rev_oil*HM_ZD_Moho!CA_NOC_WI</f>
        <v>0</v>
      </c>
      <c r="AL364" s="49">
        <f ca="1">HM_ZD_Moho!CA_ent_rev_oil*HM_ZD_Moho!CA_NOC_WI</f>
        <v>0</v>
      </c>
      <c r="AM364" s="49">
        <f ca="1">HM_ZD_Moho!CA_ent_rev_oil*HM_ZD_Moho!CA_NOC_WI</f>
        <v>0</v>
      </c>
      <c r="AN364" s="49">
        <f ca="1">HM_ZD_Moho!CA_ent_rev_oil*HM_ZD_Moho!CA_NOC_WI</f>
        <v>0</v>
      </c>
      <c r="AO364" s="49">
        <f ca="1">HM_ZD_Moho!CA_ent_rev_oil*HM_ZD_Moho!CA_NOC_WI</f>
        <v>0</v>
      </c>
      <c r="AP364" s="49">
        <f ca="1">HM_ZD_Moho!CA_ent_rev_oil*HM_ZD_Moho!CA_NOC_WI</f>
        <v>0</v>
      </c>
      <c r="AQ364" s="49">
        <f ca="1">HM_ZD_Moho!CA_ent_rev_oil*HM_ZD_Moho!CA_NOC_WI</f>
        <v>0</v>
      </c>
      <c r="AR364" s="49">
        <f ca="1">HM_ZD_Moho!CA_ent_rev_oil*HM_ZD_Moho!CA_NOC_WI</f>
        <v>0</v>
      </c>
      <c r="AS364" s="49">
        <f ca="1">HM_ZD_Moho!CA_ent_rev_oil*HM_ZD_Moho!CA_NOC_WI</f>
        <v>0</v>
      </c>
      <c r="AT364" s="49">
        <f ca="1">HM_ZD_Moho!CA_ent_rev_oil*HM_ZD_Moho!CA_NOC_WI</f>
        <v>0</v>
      </c>
      <c r="AU364" s="49">
        <f ca="1">HM_ZD_Moho!CA_ent_rev_oil*HM_ZD_Moho!CA_NOC_WI</f>
        <v>0</v>
      </c>
      <c r="AV364" s="49">
        <f ca="1">HM_ZD_Moho!CA_ent_rev_oil*HM_ZD_Moho!CA_NOC_WI</f>
        <v>0</v>
      </c>
      <c r="AW364" s="49">
        <f ca="1">HM_ZD_Moho!CA_ent_rev_oil*HM_ZD_Moho!CA_NOC_WI</f>
        <v>0</v>
      </c>
      <c r="AX364" s="49">
        <f ca="1">HM_ZD_Moho!CA_ent_rev_oil*HM_ZD_Moho!CA_NOC_WI</f>
        <v>0</v>
      </c>
      <c r="AY364" s="49">
        <f ca="1">HM_ZD_Moho!CA_ent_rev_oil*HM_ZD_Moho!CA_NOC_WI</f>
        <v>0</v>
      </c>
      <c r="AZ364" s="49">
        <f ca="1">HM_ZD_Moho!CA_ent_rev_oil*HM_ZD_Moho!CA_NOC_WI</f>
        <v>0</v>
      </c>
      <c r="BA364" s="49">
        <f ca="1">HM_ZD_Moho!CA_ent_rev_oil*HM_ZD_Moho!CA_NOC_WI</f>
        <v>0</v>
      </c>
      <c r="BB364" s="49">
        <f ca="1">HM_ZD_Moho!CA_ent_rev_oil*HM_ZD_Moho!CA_NOC_WI</f>
        <v>0</v>
      </c>
      <c r="BC364" s="49">
        <f ca="1">HM_ZD_Moho!CA_ent_rev_oil*HM_ZD_Moho!CA_NOC_WI</f>
        <v>0</v>
      </c>
      <c r="BD364" s="49">
        <f ca="1">HM_ZD_Moho!CA_ent_rev_oil*HM_ZD_Moho!CA_NOC_WI</f>
        <v>0</v>
      </c>
      <c r="BE364" s="49">
        <f ca="1">HM_ZD_Moho!CA_ent_rev_oil*HM_ZD_Moho!CA_NOC_WI</f>
        <v>0</v>
      </c>
      <c r="BF364" s="49">
        <f ca="1">HM_ZD_Moho!CA_ent_rev_oil*HM_ZD_Moho!CA_NOC_WI</f>
        <v>0</v>
      </c>
      <c r="BG364" s="49">
        <f ca="1">HM_ZD_Moho!CA_ent_rev_oil*HM_ZD_Moho!CA_NOC_WI</f>
        <v>0</v>
      </c>
      <c r="BH364" s="49">
        <f ca="1">HM_ZD_Moho!CA_ent_rev_oil*HM_ZD_Moho!CA_NOC_WI</f>
        <v>0</v>
      </c>
      <c r="BI364" s="49">
        <f ca="1">HM_ZD_Moho!CA_ent_rev_oil*HM_ZD_Moho!CA_NOC_WI</f>
        <v>0</v>
      </c>
      <c r="BJ364" s="49">
        <f ca="1">HM_ZD_Moho!CA_ent_rev_oil*HM_ZD_Moho!CA_NOC_WI</f>
        <v>0</v>
      </c>
      <c r="BK364" s="49">
        <f ca="1">HM_ZD_Moho!CA_ent_rev_oil*HM_ZD_Moho!CA_NOC_WI</f>
        <v>0</v>
      </c>
      <c r="BL364" s="49">
        <f ca="1">HM_ZD_Moho!CA_ent_rev_oil*HM_ZD_Moho!CA_NOC_WI</f>
        <v>0</v>
      </c>
      <c r="BM364" s="49">
        <f ca="1">HM_ZD_Moho!CA_ent_rev_oil*HM_ZD_Moho!CA_NOC_WI</f>
        <v>0</v>
      </c>
      <c r="BN364" s="49">
        <f ca="1">HM_ZD_Moho!CA_ent_rev_oil*HM_ZD_Moho!CA_NOC_WI</f>
        <v>0</v>
      </c>
      <c r="BO364" s="49">
        <f ca="1">HM_ZD_Moho!CA_ent_rev_oil*HM_ZD_Moho!CA_NOC_WI</f>
        <v>0</v>
      </c>
      <c r="BP364" s="49">
        <f ca="1">HM_ZD_Moho!CA_ent_rev_oil*HM_ZD_Moho!CA_NOC_WI</f>
        <v>0</v>
      </c>
      <c r="BQ364" s="49">
        <f ca="1">HM_ZD_Moho!CA_ent_rev_oil*HM_ZD_Moho!CA_NOC_WI</f>
        <v>0</v>
      </c>
      <c r="BR364" s="49">
        <f ca="1">HM_ZD_Moho!CA_ent_rev_oil*HM_ZD_Moho!CA_NOC_WI</f>
        <v>0</v>
      </c>
      <c r="BS364" s="49">
        <f ca="1">HM_ZD_Moho!CA_ent_rev_oil*HM_ZD_Moho!CA_NOC_WI</f>
        <v>0</v>
      </c>
    </row>
    <row r="365" spans="3:71" outlineLevel="1" x14ac:dyDescent="0.2">
      <c r="D365" s="11" t="str">
        <f>HM_ZB_Nsoko!D351</f>
        <v>Total</v>
      </c>
      <c r="I365" s="30">
        <f t="shared" ca="1" si="206"/>
        <v>22516.413016469669</v>
      </c>
      <c r="J365" s="26" t="s">
        <v>148</v>
      </c>
      <c r="L365" s="49">
        <f ca="1">SUM(L363:L364)</f>
        <v>690.76412290209873</v>
      </c>
      <c r="M365" s="49">
        <f t="shared" ref="M365:BS365" ca="1" si="207">SUM(M363:M364)</f>
        <v>671.14501061740498</v>
      </c>
      <c r="N365" s="49">
        <f t="shared" ca="1" si="207"/>
        <v>591.71287641724996</v>
      </c>
      <c r="O365" s="49">
        <f t="shared" ca="1" si="207"/>
        <v>508.49640634190996</v>
      </c>
      <c r="P365" s="49">
        <f t="shared" ca="1" si="207"/>
        <v>1426.7529039584454</v>
      </c>
      <c r="Q365" s="49">
        <f t="shared" ca="1" si="207"/>
        <v>2886.6450710027002</v>
      </c>
      <c r="R365" s="49">
        <f t="shared" ca="1" si="207"/>
        <v>2810.6537895574879</v>
      </c>
      <c r="S365" s="49">
        <f t="shared" ca="1" si="207"/>
        <v>1678.1862089850001</v>
      </c>
      <c r="T365" s="49">
        <f t="shared" ca="1" si="207"/>
        <v>2567.7997332942236</v>
      </c>
      <c r="U365" s="49">
        <f t="shared" ca="1" si="207"/>
        <v>2563.30636170147</v>
      </c>
      <c r="V365" s="49">
        <f t="shared" ca="1" si="207"/>
        <v>2362.9506224454681</v>
      </c>
      <c r="W365" s="49">
        <f t="shared" ca="1" si="207"/>
        <v>1928.5640507267835</v>
      </c>
      <c r="X365" s="49">
        <f t="shared" ca="1" si="207"/>
        <v>1829.4358585194266</v>
      </c>
      <c r="Y365" s="49">
        <f t="shared" ca="1" si="207"/>
        <v>0</v>
      </c>
      <c r="Z365" s="49">
        <f t="shared" ca="1" si="207"/>
        <v>0</v>
      </c>
      <c r="AA365" s="49">
        <f t="shared" ca="1" si="207"/>
        <v>0</v>
      </c>
      <c r="AB365" s="49">
        <f t="shared" ca="1" si="207"/>
        <v>0</v>
      </c>
      <c r="AC365" s="49">
        <f t="shared" ca="1" si="207"/>
        <v>0</v>
      </c>
      <c r="AD365" s="49">
        <f t="shared" ca="1" si="207"/>
        <v>0</v>
      </c>
      <c r="AE365" s="49">
        <f t="shared" ca="1" si="207"/>
        <v>0</v>
      </c>
      <c r="AF365" s="49">
        <f t="shared" ca="1" si="207"/>
        <v>0</v>
      </c>
      <c r="AG365" s="49">
        <f t="shared" ca="1" si="207"/>
        <v>0</v>
      </c>
      <c r="AH365" s="49">
        <f t="shared" ca="1" si="207"/>
        <v>0</v>
      </c>
      <c r="AI365" s="49">
        <f t="shared" ca="1" si="207"/>
        <v>0</v>
      </c>
      <c r="AJ365" s="49">
        <f t="shared" ca="1" si="207"/>
        <v>0</v>
      </c>
      <c r="AK365" s="49">
        <f t="shared" ca="1" si="207"/>
        <v>0</v>
      </c>
      <c r="AL365" s="49">
        <f t="shared" ca="1" si="207"/>
        <v>0</v>
      </c>
      <c r="AM365" s="49">
        <f t="shared" ca="1" si="207"/>
        <v>0</v>
      </c>
      <c r="AN365" s="49">
        <f t="shared" ca="1" si="207"/>
        <v>0</v>
      </c>
      <c r="AO365" s="49">
        <f t="shared" ca="1" si="207"/>
        <v>0</v>
      </c>
      <c r="AP365" s="49">
        <f t="shared" ca="1" si="207"/>
        <v>0</v>
      </c>
      <c r="AQ365" s="49">
        <f t="shared" ca="1" si="207"/>
        <v>0</v>
      </c>
      <c r="AR365" s="49">
        <f t="shared" ca="1" si="207"/>
        <v>0</v>
      </c>
      <c r="AS365" s="49">
        <f t="shared" ca="1" si="207"/>
        <v>0</v>
      </c>
      <c r="AT365" s="49">
        <f t="shared" ca="1" si="207"/>
        <v>0</v>
      </c>
      <c r="AU365" s="49">
        <f t="shared" ca="1" si="207"/>
        <v>0</v>
      </c>
      <c r="AV365" s="49">
        <f t="shared" ca="1" si="207"/>
        <v>0</v>
      </c>
      <c r="AW365" s="49">
        <f t="shared" ca="1" si="207"/>
        <v>0</v>
      </c>
      <c r="AX365" s="49">
        <f t="shared" ca="1" si="207"/>
        <v>0</v>
      </c>
      <c r="AY365" s="49">
        <f t="shared" ca="1" si="207"/>
        <v>0</v>
      </c>
      <c r="AZ365" s="49">
        <f t="shared" ca="1" si="207"/>
        <v>0</v>
      </c>
      <c r="BA365" s="49">
        <f t="shared" ca="1" si="207"/>
        <v>0</v>
      </c>
      <c r="BB365" s="49">
        <f t="shared" ca="1" si="207"/>
        <v>0</v>
      </c>
      <c r="BC365" s="49">
        <f t="shared" ca="1" si="207"/>
        <v>0</v>
      </c>
      <c r="BD365" s="49">
        <f t="shared" ca="1" si="207"/>
        <v>0</v>
      </c>
      <c r="BE365" s="49">
        <f t="shared" ca="1" si="207"/>
        <v>0</v>
      </c>
      <c r="BF365" s="49">
        <f t="shared" ca="1" si="207"/>
        <v>0</v>
      </c>
      <c r="BG365" s="49">
        <f t="shared" ca="1" si="207"/>
        <v>0</v>
      </c>
      <c r="BH365" s="49">
        <f t="shared" ca="1" si="207"/>
        <v>0</v>
      </c>
      <c r="BI365" s="49">
        <f t="shared" ca="1" si="207"/>
        <v>0</v>
      </c>
      <c r="BJ365" s="49">
        <f t="shared" ca="1" si="207"/>
        <v>0</v>
      </c>
      <c r="BK365" s="49">
        <f t="shared" ca="1" si="207"/>
        <v>0</v>
      </c>
      <c r="BL365" s="49">
        <f t="shared" ca="1" si="207"/>
        <v>0</v>
      </c>
      <c r="BM365" s="49">
        <f t="shared" ca="1" si="207"/>
        <v>0</v>
      </c>
      <c r="BN365" s="49">
        <f t="shared" ca="1" si="207"/>
        <v>0</v>
      </c>
      <c r="BO365" s="49">
        <f t="shared" ca="1" si="207"/>
        <v>0</v>
      </c>
      <c r="BP365" s="49">
        <f t="shared" ca="1" si="207"/>
        <v>0</v>
      </c>
      <c r="BQ365" s="49">
        <f t="shared" ca="1" si="207"/>
        <v>0</v>
      </c>
      <c r="BR365" s="49">
        <f t="shared" ca="1" si="207"/>
        <v>0</v>
      </c>
      <c r="BS365" s="49">
        <f t="shared" ca="1" si="207"/>
        <v>0</v>
      </c>
    </row>
    <row r="366" spans="3:71" outlineLevel="1" x14ac:dyDescent="0.2">
      <c r="J366" s="26"/>
      <c r="L366" s="55"/>
      <c r="M366" s="55"/>
      <c r="N366" s="55"/>
      <c r="O366" s="55"/>
      <c r="P366" s="55"/>
      <c r="Q366" s="55"/>
      <c r="R366" s="55"/>
      <c r="S366" s="55"/>
      <c r="T366" s="55"/>
      <c r="U366" s="55"/>
      <c r="V366" s="55"/>
      <c r="W366" s="55"/>
      <c r="X366" s="55"/>
      <c r="Y366" s="55"/>
      <c r="Z366" s="55"/>
      <c r="AA366" s="55"/>
      <c r="AB366" s="55"/>
      <c r="AC366" s="55"/>
      <c r="AD366" s="55"/>
      <c r="AE366" s="55"/>
      <c r="AF366" s="55"/>
      <c r="AG366" s="55"/>
      <c r="AH366" s="55"/>
      <c r="AI366" s="55"/>
      <c r="AJ366" s="55"/>
      <c r="AK366" s="55"/>
      <c r="AL366" s="55"/>
      <c r="AM366" s="55"/>
      <c r="AN366" s="55"/>
      <c r="AO366" s="55"/>
      <c r="AP366" s="55"/>
      <c r="AQ366" s="55"/>
      <c r="AR366" s="55"/>
      <c r="AS366" s="55"/>
      <c r="AT366" s="55"/>
      <c r="AU366" s="55"/>
      <c r="AV366" s="55"/>
      <c r="AW366" s="55"/>
      <c r="AX366" s="55"/>
      <c r="AY366" s="55"/>
      <c r="AZ366" s="55"/>
      <c r="BA366" s="55"/>
      <c r="BB366" s="55"/>
      <c r="BC366" s="55"/>
      <c r="BD366" s="55"/>
      <c r="BE366" s="55"/>
      <c r="BF366" s="55"/>
      <c r="BG366" s="55"/>
      <c r="BH366" s="55"/>
      <c r="BI366" s="55"/>
      <c r="BJ366" s="55"/>
      <c r="BK366" s="55"/>
      <c r="BL366" s="55"/>
      <c r="BM366" s="55"/>
      <c r="BN366" s="55"/>
      <c r="BO366" s="55"/>
      <c r="BP366" s="55"/>
      <c r="BQ366" s="55"/>
      <c r="BR366" s="55"/>
      <c r="BS366" s="55"/>
    </row>
    <row r="367" spans="3:71" outlineLevel="1" x14ac:dyDescent="0.2">
      <c r="C367" s="11" t="str">
        <f>HM_ZB_Nsoko!C353</f>
        <v>Revenus des droits selon participation -gaz</v>
      </c>
      <c r="J367" s="26"/>
      <c r="L367" s="55"/>
      <c r="M367" s="55"/>
      <c r="N367" s="55"/>
      <c r="O367" s="55"/>
      <c r="P367" s="55"/>
      <c r="Q367" s="55"/>
      <c r="R367" s="55"/>
      <c r="S367" s="55"/>
      <c r="T367" s="55"/>
      <c r="U367" s="55"/>
      <c r="V367" s="55"/>
      <c r="W367" s="55"/>
      <c r="X367" s="55"/>
      <c r="Y367" s="55"/>
      <c r="Z367" s="55"/>
      <c r="AA367" s="55"/>
      <c r="AB367" s="55"/>
      <c r="AC367" s="55"/>
      <c r="AD367" s="55"/>
      <c r="AE367" s="55"/>
      <c r="AF367" s="55"/>
      <c r="AG367" s="55"/>
      <c r="AH367" s="55"/>
      <c r="AI367" s="55"/>
      <c r="AJ367" s="55"/>
      <c r="AK367" s="55"/>
      <c r="AL367" s="55"/>
      <c r="AM367" s="55"/>
      <c r="AN367" s="55"/>
      <c r="AO367" s="55"/>
      <c r="AP367" s="55"/>
      <c r="AQ367" s="55"/>
      <c r="AR367" s="55"/>
      <c r="AS367" s="55"/>
      <c r="AT367" s="55"/>
      <c r="AU367" s="55"/>
      <c r="AV367" s="55"/>
      <c r="AW367" s="55"/>
      <c r="AX367" s="55"/>
      <c r="AY367" s="55"/>
      <c r="AZ367" s="55"/>
      <c r="BA367" s="55"/>
      <c r="BB367" s="55"/>
      <c r="BC367" s="55"/>
      <c r="BD367" s="55"/>
      <c r="BE367" s="55"/>
      <c r="BF367" s="55"/>
      <c r="BG367" s="55"/>
      <c r="BH367" s="55"/>
      <c r="BI367" s="55"/>
      <c r="BJ367" s="55"/>
      <c r="BK367" s="55"/>
      <c r="BL367" s="55"/>
      <c r="BM367" s="55"/>
      <c r="BN367" s="55"/>
      <c r="BO367" s="55"/>
      <c r="BP367" s="55"/>
      <c r="BQ367" s="55"/>
      <c r="BR367" s="55"/>
      <c r="BS367" s="55"/>
    </row>
    <row r="368" spans="3:71" outlineLevel="1" x14ac:dyDescent="0.2">
      <c r="D368" t="str">
        <f>HM_ZB_Nsoko!D354</f>
        <v>Consortium compagnie pétrolières internationales</v>
      </c>
      <c r="I368" s="30">
        <f t="shared" ref="I368:I370" ca="1" si="208">SUM($L368:$BS368)</f>
        <v>0</v>
      </c>
      <c r="J368" s="26" t="s">
        <v>148</v>
      </c>
      <c r="L368" s="49">
        <f ca="1">HM_ZD_Moho!CA_ent_rev_gas*HM_ZD_Moho!CA_IOC_WI</f>
        <v>0</v>
      </c>
      <c r="M368" s="49">
        <f ca="1">HM_ZD_Moho!CA_ent_rev_gas*HM_ZD_Moho!CA_IOC_WI</f>
        <v>0</v>
      </c>
      <c r="N368" s="49">
        <f ca="1">HM_ZD_Moho!CA_ent_rev_gas*HM_ZD_Moho!CA_IOC_WI</f>
        <v>0</v>
      </c>
      <c r="O368" s="49">
        <f ca="1">HM_ZD_Moho!CA_ent_rev_gas*HM_ZD_Moho!CA_IOC_WI</f>
        <v>0</v>
      </c>
      <c r="P368" s="49">
        <f ca="1">HM_ZD_Moho!CA_ent_rev_gas*HM_ZD_Moho!CA_IOC_WI</f>
        <v>0</v>
      </c>
      <c r="Q368" s="49">
        <f ca="1">HM_ZD_Moho!CA_ent_rev_gas*HM_ZD_Moho!CA_IOC_WI</f>
        <v>0</v>
      </c>
      <c r="R368" s="49">
        <f ca="1">HM_ZD_Moho!CA_ent_rev_gas*HM_ZD_Moho!CA_IOC_WI</f>
        <v>0</v>
      </c>
      <c r="S368" s="49">
        <f ca="1">HM_ZD_Moho!CA_ent_rev_gas*HM_ZD_Moho!CA_IOC_WI</f>
        <v>0</v>
      </c>
      <c r="T368" s="49">
        <f ca="1">HM_ZD_Moho!CA_ent_rev_gas*HM_ZD_Moho!CA_IOC_WI</f>
        <v>0</v>
      </c>
      <c r="U368" s="49">
        <f ca="1">HM_ZD_Moho!CA_ent_rev_gas*HM_ZD_Moho!CA_IOC_WI</f>
        <v>0</v>
      </c>
      <c r="V368" s="49">
        <f ca="1">HM_ZD_Moho!CA_ent_rev_gas*HM_ZD_Moho!CA_IOC_WI</f>
        <v>0</v>
      </c>
      <c r="W368" s="49">
        <f ca="1">HM_ZD_Moho!CA_ent_rev_gas*HM_ZD_Moho!CA_IOC_WI</f>
        <v>0</v>
      </c>
      <c r="X368" s="49">
        <f ca="1">HM_ZD_Moho!CA_ent_rev_gas*HM_ZD_Moho!CA_IOC_WI</f>
        <v>0</v>
      </c>
      <c r="Y368" s="49">
        <f ca="1">HM_ZD_Moho!CA_ent_rev_gas*HM_ZD_Moho!CA_IOC_WI</f>
        <v>0</v>
      </c>
      <c r="Z368" s="49">
        <f ca="1">HM_ZD_Moho!CA_ent_rev_gas*HM_ZD_Moho!CA_IOC_WI</f>
        <v>0</v>
      </c>
      <c r="AA368" s="49">
        <f ca="1">HM_ZD_Moho!CA_ent_rev_gas*HM_ZD_Moho!CA_IOC_WI</f>
        <v>0</v>
      </c>
      <c r="AB368" s="49">
        <f ca="1">HM_ZD_Moho!CA_ent_rev_gas*HM_ZD_Moho!CA_IOC_WI</f>
        <v>0</v>
      </c>
      <c r="AC368" s="49">
        <f ca="1">HM_ZD_Moho!CA_ent_rev_gas*HM_ZD_Moho!CA_IOC_WI</f>
        <v>0</v>
      </c>
      <c r="AD368" s="49">
        <f ca="1">HM_ZD_Moho!CA_ent_rev_gas*HM_ZD_Moho!CA_IOC_WI</f>
        <v>0</v>
      </c>
      <c r="AE368" s="49">
        <f ca="1">HM_ZD_Moho!CA_ent_rev_gas*HM_ZD_Moho!CA_IOC_WI</f>
        <v>0</v>
      </c>
      <c r="AF368" s="49">
        <f ca="1">HM_ZD_Moho!CA_ent_rev_gas*HM_ZD_Moho!CA_IOC_WI</f>
        <v>0</v>
      </c>
      <c r="AG368" s="49">
        <f ca="1">HM_ZD_Moho!CA_ent_rev_gas*HM_ZD_Moho!CA_IOC_WI</f>
        <v>0</v>
      </c>
      <c r="AH368" s="49">
        <f ca="1">HM_ZD_Moho!CA_ent_rev_gas*HM_ZD_Moho!CA_IOC_WI</f>
        <v>0</v>
      </c>
      <c r="AI368" s="49">
        <f ca="1">HM_ZD_Moho!CA_ent_rev_gas*HM_ZD_Moho!CA_IOC_WI</f>
        <v>0</v>
      </c>
      <c r="AJ368" s="49">
        <f ca="1">HM_ZD_Moho!CA_ent_rev_gas*HM_ZD_Moho!CA_IOC_WI</f>
        <v>0</v>
      </c>
      <c r="AK368" s="49">
        <f ca="1">HM_ZD_Moho!CA_ent_rev_gas*HM_ZD_Moho!CA_IOC_WI</f>
        <v>0</v>
      </c>
      <c r="AL368" s="49">
        <f ca="1">HM_ZD_Moho!CA_ent_rev_gas*HM_ZD_Moho!CA_IOC_WI</f>
        <v>0</v>
      </c>
      <c r="AM368" s="49">
        <f ca="1">HM_ZD_Moho!CA_ent_rev_gas*HM_ZD_Moho!CA_IOC_WI</f>
        <v>0</v>
      </c>
      <c r="AN368" s="49">
        <f ca="1">HM_ZD_Moho!CA_ent_rev_gas*HM_ZD_Moho!CA_IOC_WI</f>
        <v>0</v>
      </c>
      <c r="AO368" s="49">
        <f ca="1">HM_ZD_Moho!CA_ent_rev_gas*HM_ZD_Moho!CA_IOC_WI</f>
        <v>0</v>
      </c>
      <c r="AP368" s="49">
        <f ca="1">HM_ZD_Moho!CA_ent_rev_gas*HM_ZD_Moho!CA_IOC_WI</f>
        <v>0</v>
      </c>
      <c r="AQ368" s="49">
        <f ca="1">HM_ZD_Moho!CA_ent_rev_gas*HM_ZD_Moho!CA_IOC_WI</f>
        <v>0</v>
      </c>
      <c r="AR368" s="49">
        <f ca="1">HM_ZD_Moho!CA_ent_rev_gas*HM_ZD_Moho!CA_IOC_WI</f>
        <v>0</v>
      </c>
      <c r="AS368" s="49">
        <f ca="1">HM_ZD_Moho!CA_ent_rev_gas*HM_ZD_Moho!CA_IOC_WI</f>
        <v>0</v>
      </c>
      <c r="AT368" s="49">
        <f ca="1">HM_ZD_Moho!CA_ent_rev_gas*HM_ZD_Moho!CA_IOC_WI</f>
        <v>0</v>
      </c>
      <c r="AU368" s="49">
        <f ca="1">HM_ZD_Moho!CA_ent_rev_gas*HM_ZD_Moho!CA_IOC_WI</f>
        <v>0</v>
      </c>
      <c r="AV368" s="49">
        <f ca="1">HM_ZD_Moho!CA_ent_rev_gas*HM_ZD_Moho!CA_IOC_WI</f>
        <v>0</v>
      </c>
      <c r="AW368" s="49">
        <f ca="1">HM_ZD_Moho!CA_ent_rev_gas*HM_ZD_Moho!CA_IOC_WI</f>
        <v>0</v>
      </c>
      <c r="AX368" s="49">
        <f ca="1">HM_ZD_Moho!CA_ent_rev_gas*HM_ZD_Moho!CA_IOC_WI</f>
        <v>0</v>
      </c>
      <c r="AY368" s="49">
        <f ca="1">HM_ZD_Moho!CA_ent_rev_gas*HM_ZD_Moho!CA_IOC_WI</f>
        <v>0</v>
      </c>
      <c r="AZ368" s="49">
        <f ca="1">HM_ZD_Moho!CA_ent_rev_gas*HM_ZD_Moho!CA_IOC_WI</f>
        <v>0</v>
      </c>
      <c r="BA368" s="49">
        <f ca="1">HM_ZD_Moho!CA_ent_rev_gas*HM_ZD_Moho!CA_IOC_WI</f>
        <v>0</v>
      </c>
      <c r="BB368" s="49">
        <f ca="1">HM_ZD_Moho!CA_ent_rev_gas*HM_ZD_Moho!CA_IOC_WI</f>
        <v>0</v>
      </c>
      <c r="BC368" s="49">
        <f ca="1">HM_ZD_Moho!CA_ent_rev_gas*HM_ZD_Moho!CA_IOC_WI</f>
        <v>0</v>
      </c>
      <c r="BD368" s="49">
        <f ca="1">HM_ZD_Moho!CA_ent_rev_gas*HM_ZD_Moho!CA_IOC_WI</f>
        <v>0</v>
      </c>
      <c r="BE368" s="49">
        <f ca="1">HM_ZD_Moho!CA_ent_rev_gas*HM_ZD_Moho!CA_IOC_WI</f>
        <v>0</v>
      </c>
      <c r="BF368" s="49">
        <f ca="1">HM_ZD_Moho!CA_ent_rev_gas*HM_ZD_Moho!CA_IOC_WI</f>
        <v>0</v>
      </c>
      <c r="BG368" s="49">
        <f ca="1">HM_ZD_Moho!CA_ent_rev_gas*HM_ZD_Moho!CA_IOC_WI</f>
        <v>0</v>
      </c>
      <c r="BH368" s="49">
        <f ca="1">HM_ZD_Moho!CA_ent_rev_gas*HM_ZD_Moho!CA_IOC_WI</f>
        <v>0</v>
      </c>
      <c r="BI368" s="49">
        <f ca="1">HM_ZD_Moho!CA_ent_rev_gas*HM_ZD_Moho!CA_IOC_WI</f>
        <v>0</v>
      </c>
      <c r="BJ368" s="49">
        <f ca="1">HM_ZD_Moho!CA_ent_rev_gas*HM_ZD_Moho!CA_IOC_WI</f>
        <v>0</v>
      </c>
      <c r="BK368" s="49">
        <f ca="1">HM_ZD_Moho!CA_ent_rev_gas*HM_ZD_Moho!CA_IOC_WI</f>
        <v>0</v>
      </c>
      <c r="BL368" s="49">
        <f ca="1">HM_ZD_Moho!CA_ent_rev_gas*HM_ZD_Moho!CA_IOC_WI</f>
        <v>0</v>
      </c>
      <c r="BM368" s="49">
        <f ca="1">HM_ZD_Moho!CA_ent_rev_gas*HM_ZD_Moho!CA_IOC_WI</f>
        <v>0</v>
      </c>
      <c r="BN368" s="49">
        <f ca="1">HM_ZD_Moho!CA_ent_rev_gas*HM_ZD_Moho!CA_IOC_WI</f>
        <v>0</v>
      </c>
      <c r="BO368" s="49">
        <f ca="1">HM_ZD_Moho!CA_ent_rev_gas*HM_ZD_Moho!CA_IOC_WI</f>
        <v>0</v>
      </c>
      <c r="BP368" s="49">
        <f ca="1">HM_ZD_Moho!CA_ent_rev_gas*HM_ZD_Moho!CA_IOC_WI</f>
        <v>0</v>
      </c>
      <c r="BQ368" s="49">
        <f ca="1">HM_ZD_Moho!CA_ent_rev_gas*HM_ZD_Moho!CA_IOC_WI</f>
        <v>0</v>
      </c>
      <c r="BR368" s="49">
        <f ca="1">HM_ZD_Moho!CA_ent_rev_gas*HM_ZD_Moho!CA_IOC_WI</f>
        <v>0</v>
      </c>
      <c r="BS368" s="49">
        <f ca="1">HM_ZD_Moho!CA_ent_rev_gas*HM_ZD_Moho!CA_IOC_WI</f>
        <v>0</v>
      </c>
    </row>
    <row r="369" spans="3:71" outlineLevel="1" x14ac:dyDescent="0.2">
      <c r="D369" t="str">
        <f>HM_ZB_Nsoko!D355</f>
        <v>Participation compagnie nationale/État</v>
      </c>
      <c r="I369" s="30">
        <f t="shared" ca="1" si="208"/>
        <v>0</v>
      </c>
      <c r="J369" s="26" t="s">
        <v>148</v>
      </c>
      <c r="L369" s="49">
        <f ca="1">HM_ZD_Moho!CA_ent_rev_gas*HM_ZD_Moho!CA_NOC_WI</f>
        <v>0</v>
      </c>
      <c r="M369" s="49">
        <f ca="1">HM_ZD_Moho!CA_ent_rev_gas*HM_ZD_Moho!CA_NOC_WI</f>
        <v>0</v>
      </c>
      <c r="N369" s="49">
        <f ca="1">HM_ZD_Moho!CA_ent_rev_gas*HM_ZD_Moho!CA_NOC_WI</f>
        <v>0</v>
      </c>
      <c r="O369" s="49">
        <f ca="1">HM_ZD_Moho!CA_ent_rev_gas*HM_ZD_Moho!CA_NOC_WI</f>
        <v>0</v>
      </c>
      <c r="P369" s="49">
        <f ca="1">HM_ZD_Moho!CA_ent_rev_gas*HM_ZD_Moho!CA_NOC_WI</f>
        <v>0</v>
      </c>
      <c r="Q369" s="49">
        <f ca="1">HM_ZD_Moho!CA_ent_rev_gas*HM_ZD_Moho!CA_NOC_WI</f>
        <v>0</v>
      </c>
      <c r="R369" s="49">
        <f ca="1">HM_ZD_Moho!CA_ent_rev_gas*HM_ZD_Moho!CA_NOC_WI</f>
        <v>0</v>
      </c>
      <c r="S369" s="49">
        <f ca="1">HM_ZD_Moho!CA_ent_rev_gas*HM_ZD_Moho!CA_NOC_WI</f>
        <v>0</v>
      </c>
      <c r="T369" s="49">
        <f ca="1">HM_ZD_Moho!CA_ent_rev_gas*HM_ZD_Moho!CA_NOC_WI</f>
        <v>0</v>
      </c>
      <c r="U369" s="49">
        <f ca="1">HM_ZD_Moho!CA_ent_rev_gas*HM_ZD_Moho!CA_NOC_WI</f>
        <v>0</v>
      </c>
      <c r="V369" s="49">
        <f ca="1">HM_ZD_Moho!CA_ent_rev_gas*HM_ZD_Moho!CA_NOC_WI</f>
        <v>0</v>
      </c>
      <c r="W369" s="49">
        <f ca="1">HM_ZD_Moho!CA_ent_rev_gas*HM_ZD_Moho!CA_NOC_WI</f>
        <v>0</v>
      </c>
      <c r="X369" s="49">
        <f ca="1">HM_ZD_Moho!CA_ent_rev_gas*HM_ZD_Moho!CA_NOC_WI</f>
        <v>0</v>
      </c>
      <c r="Y369" s="49">
        <f ca="1">HM_ZD_Moho!CA_ent_rev_gas*HM_ZD_Moho!CA_NOC_WI</f>
        <v>0</v>
      </c>
      <c r="Z369" s="49">
        <f ca="1">HM_ZD_Moho!CA_ent_rev_gas*HM_ZD_Moho!CA_NOC_WI</f>
        <v>0</v>
      </c>
      <c r="AA369" s="49">
        <f ca="1">HM_ZD_Moho!CA_ent_rev_gas*HM_ZD_Moho!CA_NOC_WI</f>
        <v>0</v>
      </c>
      <c r="AB369" s="49">
        <f ca="1">HM_ZD_Moho!CA_ent_rev_gas*HM_ZD_Moho!CA_NOC_WI</f>
        <v>0</v>
      </c>
      <c r="AC369" s="49">
        <f ca="1">HM_ZD_Moho!CA_ent_rev_gas*HM_ZD_Moho!CA_NOC_WI</f>
        <v>0</v>
      </c>
      <c r="AD369" s="49">
        <f ca="1">HM_ZD_Moho!CA_ent_rev_gas*HM_ZD_Moho!CA_NOC_WI</f>
        <v>0</v>
      </c>
      <c r="AE369" s="49">
        <f ca="1">HM_ZD_Moho!CA_ent_rev_gas*HM_ZD_Moho!CA_NOC_WI</f>
        <v>0</v>
      </c>
      <c r="AF369" s="49">
        <f ca="1">HM_ZD_Moho!CA_ent_rev_gas*HM_ZD_Moho!CA_NOC_WI</f>
        <v>0</v>
      </c>
      <c r="AG369" s="49">
        <f ca="1">HM_ZD_Moho!CA_ent_rev_gas*HM_ZD_Moho!CA_NOC_WI</f>
        <v>0</v>
      </c>
      <c r="AH369" s="49">
        <f ca="1">HM_ZD_Moho!CA_ent_rev_gas*HM_ZD_Moho!CA_NOC_WI</f>
        <v>0</v>
      </c>
      <c r="AI369" s="49">
        <f ca="1">HM_ZD_Moho!CA_ent_rev_gas*HM_ZD_Moho!CA_NOC_WI</f>
        <v>0</v>
      </c>
      <c r="AJ369" s="49">
        <f ca="1">HM_ZD_Moho!CA_ent_rev_gas*HM_ZD_Moho!CA_NOC_WI</f>
        <v>0</v>
      </c>
      <c r="AK369" s="49">
        <f ca="1">HM_ZD_Moho!CA_ent_rev_gas*HM_ZD_Moho!CA_NOC_WI</f>
        <v>0</v>
      </c>
      <c r="AL369" s="49">
        <f ca="1">HM_ZD_Moho!CA_ent_rev_gas*HM_ZD_Moho!CA_NOC_WI</f>
        <v>0</v>
      </c>
      <c r="AM369" s="49">
        <f ca="1">HM_ZD_Moho!CA_ent_rev_gas*HM_ZD_Moho!CA_NOC_WI</f>
        <v>0</v>
      </c>
      <c r="AN369" s="49">
        <f ca="1">HM_ZD_Moho!CA_ent_rev_gas*HM_ZD_Moho!CA_NOC_WI</f>
        <v>0</v>
      </c>
      <c r="AO369" s="49">
        <f ca="1">HM_ZD_Moho!CA_ent_rev_gas*HM_ZD_Moho!CA_NOC_WI</f>
        <v>0</v>
      </c>
      <c r="AP369" s="49">
        <f ca="1">HM_ZD_Moho!CA_ent_rev_gas*HM_ZD_Moho!CA_NOC_WI</f>
        <v>0</v>
      </c>
      <c r="AQ369" s="49">
        <f ca="1">HM_ZD_Moho!CA_ent_rev_gas*HM_ZD_Moho!CA_NOC_WI</f>
        <v>0</v>
      </c>
      <c r="AR369" s="49">
        <f ca="1">HM_ZD_Moho!CA_ent_rev_gas*HM_ZD_Moho!CA_NOC_WI</f>
        <v>0</v>
      </c>
      <c r="AS369" s="49">
        <f ca="1">HM_ZD_Moho!CA_ent_rev_gas*HM_ZD_Moho!CA_NOC_WI</f>
        <v>0</v>
      </c>
      <c r="AT369" s="49">
        <f ca="1">HM_ZD_Moho!CA_ent_rev_gas*HM_ZD_Moho!CA_NOC_WI</f>
        <v>0</v>
      </c>
      <c r="AU369" s="49">
        <f ca="1">HM_ZD_Moho!CA_ent_rev_gas*HM_ZD_Moho!CA_NOC_WI</f>
        <v>0</v>
      </c>
      <c r="AV369" s="49">
        <f ca="1">HM_ZD_Moho!CA_ent_rev_gas*HM_ZD_Moho!CA_NOC_WI</f>
        <v>0</v>
      </c>
      <c r="AW369" s="49">
        <f ca="1">HM_ZD_Moho!CA_ent_rev_gas*HM_ZD_Moho!CA_NOC_WI</f>
        <v>0</v>
      </c>
      <c r="AX369" s="49">
        <f ca="1">HM_ZD_Moho!CA_ent_rev_gas*HM_ZD_Moho!CA_NOC_WI</f>
        <v>0</v>
      </c>
      <c r="AY369" s="49">
        <f ca="1">HM_ZD_Moho!CA_ent_rev_gas*HM_ZD_Moho!CA_NOC_WI</f>
        <v>0</v>
      </c>
      <c r="AZ369" s="49">
        <f ca="1">HM_ZD_Moho!CA_ent_rev_gas*HM_ZD_Moho!CA_NOC_WI</f>
        <v>0</v>
      </c>
      <c r="BA369" s="49">
        <f ca="1">HM_ZD_Moho!CA_ent_rev_gas*HM_ZD_Moho!CA_NOC_WI</f>
        <v>0</v>
      </c>
      <c r="BB369" s="49">
        <f ca="1">HM_ZD_Moho!CA_ent_rev_gas*HM_ZD_Moho!CA_NOC_WI</f>
        <v>0</v>
      </c>
      <c r="BC369" s="49">
        <f ca="1">HM_ZD_Moho!CA_ent_rev_gas*HM_ZD_Moho!CA_NOC_WI</f>
        <v>0</v>
      </c>
      <c r="BD369" s="49">
        <f ca="1">HM_ZD_Moho!CA_ent_rev_gas*HM_ZD_Moho!CA_NOC_WI</f>
        <v>0</v>
      </c>
      <c r="BE369" s="49">
        <f ca="1">HM_ZD_Moho!CA_ent_rev_gas*HM_ZD_Moho!CA_NOC_WI</f>
        <v>0</v>
      </c>
      <c r="BF369" s="49">
        <f ca="1">HM_ZD_Moho!CA_ent_rev_gas*HM_ZD_Moho!CA_NOC_WI</f>
        <v>0</v>
      </c>
      <c r="BG369" s="49">
        <f ca="1">HM_ZD_Moho!CA_ent_rev_gas*HM_ZD_Moho!CA_NOC_WI</f>
        <v>0</v>
      </c>
      <c r="BH369" s="49">
        <f ca="1">HM_ZD_Moho!CA_ent_rev_gas*HM_ZD_Moho!CA_NOC_WI</f>
        <v>0</v>
      </c>
      <c r="BI369" s="49">
        <f ca="1">HM_ZD_Moho!CA_ent_rev_gas*HM_ZD_Moho!CA_NOC_WI</f>
        <v>0</v>
      </c>
      <c r="BJ369" s="49">
        <f ca="1">HM_ZD_Moho!CA_ent_rev_gas*HM_ZD_Moho!CA_NOC_WI</f>
        <v>0</v>
      </c>
      <c r="BK369" s="49">
        <f ca="1">HM_ZD_Moho!CA_ent_rev_gas*HM_ZD_Moho!CA_NOC_WI</f>
        <v>0</v>
      </c>
      <c r="BL369" s="49">
        <f ca="1">HM_ZD_Moho!CA_ent_rev_gas*HM_ZD_Moho!CA_NOC_WI</f>
        <v>0</v>
      </c>
      <c r="BM369" s="49">
        <f ca="1">HM_ZD_Moho!CA_ent_rev_gas*HM_ZD_Moho!CA_NOC_WI</f>
        <v>0</v>
      </c>
      <c r="BN369" s="49">
        <f ca="1">HM_ZD_Moho!CA_ent_rev_gas*HM_ZD_Moho!CA_NOC_WI</f>
        <v>0</v>
      </c>
      <c r="BO369" s="49">
        <f ca="1">HM_ZD_Moho!CA_ent_rev_gas*HM_ZD_Moho!CA_NOC_WI</f>
        <v>0</v>
      </c>
      <c r="BP369" s="49">
        <f ca="1">HM_ZD_Moho!CA_ent_rev_gas*HM_ZD_Moho!CA_NOC_WI</f>
        <v>0</v>
      </c>
      <c r="BQ369" s="49">
        <f ca="1">HM_ZD_Moho!CA_ent_rev_gas*HM_ZD_Moho!CA_NOC_WI</f>
        <v>0</v>
      </c>
      <c r="BR369" s="49">
        <f ca="1">HM_ZD_Moho!CA_ent_rev_gas*HM_ZD_Moho!CA_NOC_WI</f>
        <v>0</v>
      </c>
      <c r="BS369" s="49">
        <f ca="1">HM_ZD_Moho!CA_ent_rev_gas*HM_ZD_Moho!CA_NOC_WI</f>
        <v>0</v>
      </c>
    </row>
    <row r="370" spans="3:71" outlineLevel="1" x14ac:dyDescent="0.2">
      <c r="D370" s="11" t="str">
        <f>HM_ZB_Nsoko!D356</f>
        <v>Total</v>
      </c>
      <c r="I370" s="30">
        <f t="shared" ca="1" si="208"/>
        <v>0</v>
      </c>
      <c r="J370" s="26" t="s">
        <v>148</v>
      </c>
      <c r="L370" s="49">
        <f ca="1">SUM(L368:L369)</f>
        <v>0</v>
      </c>
      <c r="M370" s="49">
        <f t="shared" ref="M370:BS370" ca="1" si="209">SUM(M368:M369)</f>
        <v>0</v>
      </c>
      <c r="N370" s="49">
        <f t="shared" ca="1" si="209"/>
        <v>0</v>
      </c>
      <c r="O370" s="49">
        <f t="shared" ca="1" si="209"/>
        <v>0</v>
      </c>
      <c r="P370" s="49">
        <f t="shared" ca="1" si="209"/>
        <v>0</v>
      </c>
      <c r="Q370" s="49">
        <f t="shared" ca="1" si="209"/>
        <v>0</v>
      </c>
      <c r="R370" s="49">
        <f t="shared" ca="1" si="209"/>
        <v>0</v>
      </c>
      <c r="S370" s="49">
        <f t="shared" ca="1" si="209"/>
        <v>0</v>
      </c>
      <c r="T370" s="49">
        <f t="shared" ca="1" si="209"/>
        <v>0</v>
      </c>
      <c r="U370" s="49">
        <f t="shared" ca="1" si="209"/>
        <v>0</v>
      </c>
      <c r="V370" s="49">
        <f t="shared" ca="1" si="209"/>
        <v>0</v>
      </c>
      <c r="W370" s="49">
        <f t="shared" ca="1" si="209"/>
        <v>0</v>
      </c>
      <c r="X370" s="49">
        <f t="shared" ca="1" si="209"/>
        <v>0</v>
      </c>
      <c r="Y370" s="49">
        <f t="shared" ca="1" si="209"/>
        <v>0</v>
      </c>
      <c r="Z370" s="49">
        <f t="shared" ca="1" si="209"/>
        <v>0</v>
      </c>
      <c r="AA370" s="49">
        <f t="shared" ca="1" si="209"/>
        <v>0</v>
      </c>
      <c r="AB370" s="49">
        <f t="shared" ca="1" si="209"/>
        <v>0</v>
      </c>
      <c r="AC370" s="49">
        <f t="shared" ca="1" si="209"/>
        <v>0</v>
      </c>
      <c r="AD370" s="49">
        <f t="shared" ca="1" si="209"/>
        <v>0</v>
      </c>
      <c r="AE370" s="49">
        <f t="shared" ca="1" si="209"/>
        <v>0</v>
      </c>
      <c r="AF370" s="49">
        <f t="shared" ca="1" si="209"/>
        <v>0</v>
      </c>
      <c r="AG370" s="49">
        <f t="shared" ca="1" si="209"/>
        <v>0</v>
      </c>
      <c r="AH370" s="49">
        <f t="shared" ca="1" si="209"/>
        <v>0</v>
      </c>
      <c r="AI370" s="49">
        <f t="shared" ca="1" si="209"/>
        <v>0</v>
      </c>
      <c r="AJ370" s="49">
        <f t="shared" ca="1" si="209"/>
        <v>0</v>
      </c>
      <c r="AK370" s="49">
        <f t="shared" ca="1" si="209"/>
        <v>0</v>
      </c>
      <c r="AL370" s="49">
        <f t="shared" ca="1" si="209"/>
        <v>0</v>
      </c>
      <c r="AM370" s="49">
        <f t="shared" ca="1" si="209"/>
        <v>0</v>
      </c>
      <c r="AN370" s="49">
        <f t="shared" ca="1" si="209"/>
        <v>0</v>
      </c>
      <c r="AO370" s="49">
        <f t="shared" ca="1" si="209"/>
        <v>0</v>
      </c>
      <c r="AP370" s="49">
        <f t="shared" ca="1" si="209"/>
        <v>0</v>
      </c>
      <c r="AQ370" s="49">
        <f t="shared" ca="1" si="209"/>
        <v>0</v>
      </c>
      <c r="AR370" s="49">
        <f t="shared" ca="1" si="209"/>
        <v>0</v>
      </c>
      <c r="AS370" s="49">
        <f t="shared" ca="1" si="209"/>
        <v>0</v>
      </c>
      <c r="AT370" s="49">
        <f t="shared" ca="1" si="209"/>
        <v>0</v>
      </c>
      <c r="AU370" s="49">
        <f t="shared" ca="1" si="209"/>
        <v>0</v>
      </c>
      <c r="AV370" s="49">
        <f t="shared" ca="1" si="209"/>
        <v>0</v>
      </c>
      <c r="AW370" s="49">
        <f t="shared" ca="1" si="209"/>
        <v>0</v>
      </c>
      <c r="AX370" s="49">
        <f t="shared" ca="1" si="209"/>
        <v>0</v>
      </c>
      <c r="AY370" s="49">
        <f t="shared" ca="1" si="209"/>
        <v>0</v>
      </c>
      <c r="AZ370" s="49">
        <f t="shared" ca="1" si="209"/>
        <v>0</v>
      </c>
      <c r="BA370" s="49">
        <f t="shared" ca="1" si="209"/>
        <v>0</v>
      </c>
      <c r="BB370" s="49">
        <f t="shared" ca="1" si="209"/>
        <v>0</v>
      </c>
      <c r="BC370" s="49">
        <f t="shared" ca="1" si="209"/>
        <v>0</v>
      </c>
      <c r="BD370" s="49">
        <f t="shared" ca="1" si="209"/>
        <v>0</v>
      </c>
      <c r="BE370" s="49">
        <f t="shared" ca="1" si="209"/>
        <v>0</v>
      </c>
      <c r="BF370" s="49">
        <f t="shared" ca="1" si="209"/>
        <v>0</v>
      </c>
      <c r="BG370" s="49">
        <f t="shared" ca="1" si="209"/>
        <v>0</v>
      </c>
      <c r="BH370" s="49">
        <f t="shared" ca="1" si="209"/>
        <v>0</v>
      </c>
      <c r="BI370" s="49">
        <f t="shared" ca="1" si="209"/>
        <v>0</v>
      </c>
      <c r="BJ370" s="49">
        <f t="shared" ca="1" si="209"/>
        <v>0</v>
      </c>
      <c r="BK370" s="49">
        <f t="shared" ca="1" si="209"/>
        <v>0</v>
      </c>
      <c r="BL370" s="49">
        <f t="shared" ca="1" si="209"/>
        <v>0</v>
      </c>
      <c r="BM370" s="49">
        <f t="shared" ca="1" si="209"/>
        <v>0</v>
      </c>
      <c r="BN370" s="49">
        <f t="shared" ca="1" si="209"/>
        <v>0</v>
      </c>
      <c r="BO370" s="49">
        <f t="shared" ca="1" si="209"/>
        <v>0</v>
      </c>
      <c r="BP370" s="49">
        <f t="shared" ca="1" si="209"/>
        <v>0</v>
      </c>
      <c r="BQ370" s="49">
        <f t="shared" ca="1" si="209"/>
        <v>0</v>
      </c>
      <c r="BR370" s="49">
        <f t="shared" ca="1" si="209"/>
        <v>0</v>
      </c>
      <c r="BS370" s="49">
        <f t="shared" ca="1" si="209"/>
        <v>0</v>
      </c>
    </row>
    <row r="371" spans="3:71" outlineLevel="1" x14ac:dyDescent="0.2">
      <c r="J371" s="26"/>
      <c r="L371" s="55"/>
      <c r="M371" s="55"/>
      <c r="N371" s="55"/>
      <c r="O371" s="55"/>
      <c r="P371" s="55"/>
      <c r="Q371" s="55"/>
      <c r="R371" s="55"/>
      <c r="S371" s="55"/>
      <c r="T371" s="55"/>
      <c r="U371" s="55"/>
      <c r="V371" s="55"/>
      <c r="W371" s="55"/>
      <c r="X371" s="55"/>
      <c r="Y371" s="55"/>
      <c r="Z371" s="55"/>
      <c r="AA371" s="55"/>
      <c r="AB371" s="55"/>
      <c r="AC371" s="55"/>
      <c r="AD371" s="55"/>
      <c r="AE371" s="55"/>
      <c r="AF371" s="55"/>
      <c r="AG371" s="55"/>
      <c r="AH371" s="55"/>
      <c r="AI371" s="55"/>
      <c r="AJ371" s="55"/>
      <c r="AK371" s="55"/>
      <c r="AL371" s="55"/>
      <c r="AM371" s="55"/>
      <c r="AN371" s="55"/>
      <c r="AO371" s="55"/>
      <c r="AP371" s="55"/>
      <c r="AQ371" s="55"/>
      <c r="AR371" s="55"/>
      <c r="AS371" s="55"/>
      <c r="AT371" s="55"/>
      <c r="AU371" s="55"/>
      <c r="AV371" s="55"/>
      <c r="AW371" s="55"/>
      <c r="AX371" s="55"/>
      <c r="AY371" s="55"/>
      <c r="AZ371" s="55"/>
      <c r="BA371" s="55"/>
      <c r="BB371" s="55"/>
      <c r="BC371" s="55"/>
      <c r="BD371" s="55"/>
      <c r="BE371" s="55"/>
      <c r="BF371" s="55"/>
      <c r="BG371" s="55"/>
      <c r="BH371" s="55"/>
      <c r="BI371" s="55"/>
      <c r="BJ371" s="55"/>
      <c r="BK371" s="55"/>
      <c r="BL371" s="55"/>
      <c r="BM371" s="55"/>
      <c r="BN371" s="55"/>
      <c r="BO371" s="55"/>
      <c r="BP371" s="55"/>
      <c r="BQ371" s="55"/>
      <c r="BR371" s="55"/>
      <c r="BS371" s="55"/>
    </row>
    <row r="372" spans="3:71" outlineLevel="1" x14ac:dyDescent="0.2">
      <c r="C372" s="11" t="str">
        <f>HM_ZB_Nsoko!C358</f>
        <v>Volumes de droits selon participation - Pétrole</v>
      </c>
      <c r="J372" s="26"/>
      <c r="L372" s="55"/>
      <c r="M372" s="55"/>
      <c r="N372" s="55"/>
      <c r="O372" s="55"/>
      <c r="P372" s="55"/>
      <c r="Q372" s="55"/>
      <c r="R372" s="55"/>
      <c r="S372" s="55"/>
      <c r="T372" s="55"/>
      <c r="U372" s="55"/>
      <c r="V372" s="55"/>
      <c r="W372" s="55"/>
      <c r="X372" s="55"/>
      <c r="Y372" s="55"/>
      <c r="Z372" s="55"/>
      <c r="AA372" s="55"/>
      <c r="AB372" s="55"/>
      <c r="AC372" s="55"/>
      <c r="AD372" s="55"/>
      <c r="AE372" s="55"/>
      <c r="AF372" s="55"/>
      <c r="AG372" s="55"/>
      <c r="AH372" s="55"/>
      <c r="AI372" s="55"/>
      <c r="AJ372" s="55"/>
      <c r="AK372" s="55"/>
      <c r="AL372" s="55"/>
      <c r="AM372" s="55"/>
      <c r="AN372" s="55"/>
      <c r="AO372" s="55"/>
      <c r="AP372" s="55"/>
      <c r="AQ372" s="55"/>
      <c r="AR372" s="55"/>
      <c r="AS372" s="55"/>
      <c r="AT372" s="55"/>
      <c r="AU372" s="55"/>
      <c r="AV372" s="55"/>
      <c r="AW372" s="55"/>
      <c r="AX372" s="55"/>
      <c r="AY372" s="55"/>
      <c r="AZ372" s="55"/>
      <c r="BA372" s="55"/>
      <c r="BB372" s="55"/>
      <c r="BC372" s="55"/>
      <c r="BD372" s="55"/>
      <c r="BE372" s="55"/>
      <c r="BF372" s="55"/>
      <c r="BG372" s="55"/>
      <c r="BH372" s="55"/>
      <c r="BI372" s="55"/>
      <c r="BJ372" s="55"/>
      <c r="BK372" s="55"/>
      <c r="BL372" s="55"/>
      <c r="BM372" s="55"/>
      <c r="BN372" s="55"/>
      <c r="BO372" s="55"/>
      <c r="BP372" s="55"/>
      <c r="BQ372" s="55"/>
      <c r="BR372" s="55"/>
      <c r="BS372" s="55"/>
    </row>
    <row r="373" spans="3:71" outlineLevel="1" x14ac:dyDescent="0.2">
      <c r="D373" t="str">
        <f>HM_ZB_Nsoko!D359</f>
        <v>Consortium compagnie pétrolières internationales</v>
      </c>
      <c r="I373" s="30">
        <f t="shared" ref="I373:I375" ca="1" si="210">SUM($L373:$BS373)</f>
        <v>296.68004552442034</v>
      </c>
      <c r="J373" s="26" t="s">
        <v>88</v>
      </c>
      <c r="L373" s="49">
        <f ca="1">L354*HM_ZD_Moho!CA_IOC_WI</f>
        <v>5.5619214842196305</v>
      </c>
      <c r="M373" s="49">
        <f ca="1">M354*HM_ZD_Moho!CA_IOC_WI</f>
        <v>5.936997566462531</v>
      </c>
      <c r="N373" s="49">
        <f ca="1">N354*HM_ZD_Moho!CA_IOC_WI</f>
        <v>10.51481706275</v>
      </c>
      <c r="O373" s="49">
        <f ca="1">O354*HM_ZD_Moho!CA_IOC_WI</f>
        <v>10.66841202875</v>
      </c>
      <c r="P373" s="49">
        <f ca="1">P354*HM_ZD_Moho!CA_IOC_WI</f>
        <v>22.330002668750002</v>
      </c>
      <c r="Q373" s="49">
        <f ca="1">Q354*HM_ZD_Moho!CA_IOC_WI</f>
        <v>35.847297783499997</v>
      </c>
      <c r="R373" s="49">
        <f ca="1">R354*HM_ZD_Moho!CA_IOC_WI</f>
        <v>37.041258522124998</v>
      </c>
      <c r="S373" s="49">
        <f ca="1">S354*HM_ZD_Moho!CA_IOC_WI</f>
        <v>35.282173575000002</v>
      </c>
      <c r="T373" s="49">
        <f ca="1">T354*HM_ZD_Moho!CA_IOC_WI</f>
        <v>32.812421424749992</v>
      </c>
      <c r="U373" s="49">
        <f ca="1">U354*HM_ZD_Moho!CA_IOC_WI</f>
        <v>30.515551925017498</v>
      </c>
      <c r="V373" s="49">
        <f ca="1">V354*HM_ZD_Moho!CA_IOC_WI</f>
        <v>27.57878877737474</v>
      </c>
      <c r="W373" s="49">
        <f ca="1">W354*HM_ZD_Moho!CA_IOC_WI</f>
        <v>22.067566168767318</v>
      </c>
      <c r="X373" s="49">
        <f ca="1">X354*HM_ZD_Moho!CA_IOC_WI</f>
        <v>20.522836536953601</v>
      </c>
      <c r="Y373" s="49">
        <f ca="1">Y354*HM_ZD_Moho!CA_IOC_WI</f>
        <v>0</v>
      </c>
      <c r="Z373" s="49">
        <f ca="1">Z354*HM_ZD_Moho!CA_IOC_WI</f>
        <v>0</v>
      </c>
      <c r="AA373" s="49">
        <f ca="1">AA354*HM_ZD_Moho!CA_IOC_WI</f>
        <v>0</v>
      </c>
      <c r="AB373" s="49">
        <f ca="1">AB354*HM_ZD_Moho!CA_IOC_WI</f>
        <v>0</v>
      </c>
      <c r="AC373" s="49">
        <f ca="1">AC354*HM_ZD_Moho!CA_IOC_WI</f>
        <v>0</v>
      </c>
      <c r="AD373" s="49">
        <f ca="1">AD354*HM_ZD_Moho!CA_IOC_WI</f>
        <v>0</v>
      </c>
      <c r="AE373" s="49">
        <f ca="1">AE354*HM_ZD_Moho!CA_IOC_WI</f>
        <v>0</v>
      </c>
      <c r="AF373" s="49">
        <f ca="1">AF354*HM_ZD_Moho!CA_IOC_WI</f>
        <v>0</v>
      </c>
      <c r="AG373" s="49">
        <f ca="1">AG354*HM_ZD_Moho!CA_IOC_WI</f>
        <v>0</v>
      </c>
      <c r="AH373" s="49">
        <f ca="1">AH354*HM_ZD_Moho!CA_IOC_WI</f>
        <v>0</v>
      </c>
      <c r="AI373" s="49">
        <f ca="1">AI354*HM_ZD_Moho!CA_IOC_WI</f>
        <v>0</v>
      </c>
      <c r="AJ373" s="49">
        <f ca="1">AJ354*HM_ZD_Moho!CA_IOC_WI</f>
        <v>0</v>
      </c>
      <c r="AK373" s="49">
        <f ca="1">AK354*HM_ZD_Moho!CA_IOC_WI</f>
        <v>0</v>
      </c>
      <c r="AL373" s="49">
        <f ca="1">AL354*HM_ZD_Moho!CA_IOC_WI</f>
        <v>0</v>
      </c>
      <c r="AM373" s="49">
        <f ca="1">AM354*HM_ZD_Moho!CA_IOC_WI</f>
        <v>0</v>
      </c>
      <c r="AN373" s="49">
        <f ca="1">AN354*HM_ZD_Moho!CA_IOC_WI</f>
        <v>0</v>
      </c>
      <c r="AO373" s="49">
        <f ca="1">AO354*HM_ZD_Moho!CA_IOC_WI</f>
        <v>0</v>
      </c>
      <c r="AP373" s="49">
        <f ca="1">AP354*HM_ZD_Moho!CA_IOC_WI</f>
        <v>0</v>
      </c>
      <c r="AQ373" s="49">
        <f ca="1">AQ354*HM_ZD_Moho!CA_IOC_WI</f>
        <v>0</v>
      </c>
      <c r="AR373" s="49">
        <f ca="1">AR354*HM_ZD_Moho!CA_IOC_WI</f>
        <v>0</v>
      </c>
      <c r="AS373" s="49">
        <f ca="1">AS354*HM_ZD_Moho!CA_IOC_WI</f>
        <v>0</v>
      </c>
      <c r="AT373" s="49">
        <f ca="1">AT354*HM_ZD_Moho!CA_IOC_WI</f>
        <v>0</v>
      </c>
      <c r="AU373" s="49">
        <f ca="1">AU354*HM_ZD_Moho!CA_IOC_WI</f>
        <v>0</v>
      </c>
      <c r="AV373" s="49">
        <f ca="1">AV354*HM_ZD_Moho!CA_IOC_WI</f>
        <v>0</v>
      </c>
      <c r="AW373" s="49">
        <f ca="1">AW354*HM_ZD_Moho!CA_IOC_WI</f>
        <v>0</v>
      </c>
      <c r="AX373" s="49">
        <f ca="1">AX354*HM_ZD_Moho!CA_IOC_WI</f>
        <v>0</v>
      </c>
      <c r="AY373" s="49">
        <f ca="1">AY354*HM_ZD_Moho!CA_IOC_WI</f>
        <v>0</v>
      </c>
      <c r="AZ373" s="49">
        <f ca="1">AZ354*HM_ZD_Moho!CA_IOC_WI</f>
        <v>0</v>
      </c>
      <c r="BA373" s="49">
        <f ca="1">BA354*HM_ZD_Moho!CA_IOC_WI</f>
        <v>0</v>
      </c>
      <c r="BB373" s="49">
        <f ca="1">BB354*HM_ZD_Moho!CA_IOC_WI</f>
        <v>0</v>
      </c>
      <c r="BC373" s="49">
        <f ca="1">BC354*HM_ZD_Moho!CA_IOC_WI</f>
        <v>0</v>
      </c>
      <c r="BD373" s="49">
        <f ca="1">BD354*HM_ZD_Moho!CA_IOC_WI</f>
        <v>0</v>
      </c>
      <c r="BE373" s="49">
        <f ca="1">BE354*HM_ZD_Moho!CA_IOC_WI</f>
        <v>0</v>
      </c>
      <c r="BF373" s="49">
        <f ca="1">BF354*HM_ZD_Moho!CA_IOC_WI</f>
        <v>0</v>
      </c>
      <c r="BG373" s="49">
        <f ca="1">BG354*HM_ZD_Moho!CA_IOC_WI</f>
        <v>0</v>
      </c>
      <c r="BH373" s="49">
        <f ca="1">BH354*HM_ZD_Moho!CA_IOC_WI</f>
        <v>0</v>
      </c>
      <c r="BI373" s="49">
        <f ca="1">BI354*HM_ZD_Moho!CA_IOC_WI</f>
        <v>0</v>
      </c>
      <c r="BJ373" s="49">
        <f ca="1">BJ354*HM_ZD_Moho!CA_IOC_WI</f>
        <v>0</v>
      </c>
      <c r="BK373" s="49">
        <f ca="1">BK354*HM_ZD_Moho!CA_IOC_WI</f>
        <v>0</v>
      </c>
      <c r="BL373" s="49">
        <f ca="1">BL354*HM_ZD_Moho!CA_IOC_WI</f>
        <v>0</v>
      </c>
      <c r="BM373" s="49">
        <f ca="1">BM354*HM_ZD_Moho!CA_IOC_WI</f>
        <v>0</v>
      </c>
      <c r="BN373" s="49">
        <f ca="1">BN354*HM_ZD_Moho!CA_IOC_WI</f>
        <v>0</v>
      </c>
      <c r="BO373" s="49">
        <f ca="1">BO354*HM_ZD_Moho!CA_IOC_WI</f>
        <v>0</v>
      </c>
      <c r="BP373" s="49">
        <f ca="1">BP354*HM_ZD_Moho!CA_IOC_WI</f>
        <v>0</v>
      </c>
      <c r="BQ373" s="49">
        <f ca="1">BQ354*HM_ZD_Moho!CA_IOC_WI</f>
        <v>0</v>
      </c>
      <c r="BR373" s="49">
        <f ca="1">BR354*HM_ZD_Moho!CA_IOC_WI</f>
        <v>0</v>
      </c>
      <c r="BS373" s="49">
        <f ca="1">BS354*HM_ZD_Moho!CA_IOC_WI</f>
        <v>0</v>
      </c>
    </row>
    <row r="374" spans="3:71" outlineLevel="1" x14ac:dyDescent="0.2">
      <c r="D374" t="str">
        <f>HM_ZB_Nsoko!D360</f>
        <v>Participation compagnie nationale/État</v>
      </c>
      <c r="I374" s="30">
        <f t="shared" ca="1" si="210"/>
        <v>52.355302151368299</v>
      </c>
      <c r="J374" s="26" t="s">
        <v>88</v>
      </c>
      <c r="L374" s="49">
        <f ca="1">L354*HM_ZD_Moho!CA_NOC_WI</f>
        <v>0.98151555603875829</v>
      </c>
      <c r="M374" s="49">
        <f ca="1">M354*HM_ZD_Moho!CA_NOC_WI</f>
        <v>1.0477054529051526</v>
      </c>
      <c r="N374" s="49">
        <f ca="1">N354*HM_ZD_Moho!CA_NOC_WI</f>
        <v>1.85555595225</v>
      </c>
      <c r="O374" s="49">
        <f ca="1">O354*HM_ZD_Moho!CA_NOC_WI</f>
        <v>1.8826609462499999</v>
      </c>
      <c r="P374" s="49">
        <f ca="1">P354*HM_ZD_Moho!CA_NOC_WI</f>
        <v>3.9405887062500002</v>
      </c>
      <c r="Q374" s="49">
        <f ca="1">Q354*HM_ZD_Moho!CA_NOC_WI</f>
        <v>6.3259937264999992</v>
      </c>
      <c r="R374" s="49">
        <f ca="1">R354*HM_ZD_Moho!CA_NOC_WI</f>
        <v>6.5366926803750003</v>
      </c>
      <c r="S374" s="49">
        <f ca="1">S354*HM_ZD_Moho!CA_NOC_WI</f>
        <v>6.2262659249999999</v>
      </c>
      <c r="T374" s="49">
        <f ca="1">T354*HM_ZD_Moho!CA_NOC_WI</f>
        <v>5.7904273102499992</v>
      </c>
      <c r="U374" s="49">
        <f ca="1">U354*HM_ZD_Moho!CA_NOC_WI</f>
        <v>5.3850973985324995</v>
      </c>
      <c r="V374" s="49">
        <f ca="1">V354*HM_ZD_Moho!CA_NOC_WI</f>
        <v>4.8668450783602486</v>
      </c>
      <c r="W374" s="49">
        <f ca="1">W354*HM_ZD_Moho!CA_NOC_WI</f>
        <v>3.8942763827236444</v>
      </c>
      <c r="X374" s="49">
        <f ca="1">X354*HM_ZD_Moho!CA_NOC_WI</f>
        <v>3.6216770359329886</v>
      </c>
      <c r="Y374" s="49">
        <f ca="1">Y354*HM_ZD_Moho!CA_NOC_WI</f>
        <v>0</v>
      </c>
      <c r="Z374" s="49">
        <f ca="1">Z354*HM_ZD_Moho!CA_NOC_WI</f>
        <v>0</v>
      </c>
      <c r="AA374" s="49">
        <f ca="1">AA354*HM_ZD_Moho!CA_NOC_WI</f>
        <v>0</v>
      </c>
      <c r="AB374" s="49">
        <f ca="1">AB354*HM_ZD_Moho!CA_NOC_WI</f>
        <v>0</v>
      </c>
      <c r="AC374" s="49">
        <f ca="1">AC354*HM_ZD_Moho!CA_NOC_WI</f>
        <v>0</v>
      </c>
      <c r="AD374" s="49">
        <f ca="1">AD354*HM_ZD_Moho!CA_NOC_WI</f>
        <v>0</v>
      </c>
      <c r="AE374" s="49">
        <f ca="1">AE354*HM_ZD_Moho!CA_NOC_WI</f>
        <v>0</v>
      </c>
      <c r="AF374" s="49">
        <f ca="1">AF354*HM_ZD_Moho!CA_NOC_WI</f>
        <v>0</v>
      </c>
      <c r="AG374" s="49">
        <f ca="1">AG354*HM_ZD_Moho!CA_NOC_WI</f>
        <v>0</v>
      </c>
      <c r="AH374" s="49">
        <f ca="1">AH354*HM_ZD_Moho!CA_NOC_WI</f>
        <v>0</v>
      </c>
      <c r="AI374" s="49">
        <f ca="1">AI354*HM_ZD_Moho!CA_NOC_WI</f>
        <v>0</v>
      </c>
      <c r="AJ374" s="49">
        <f ca="1">AJ354*HM_ZD_Moho!CA_NOC_WI</f>
        <v>0</v>
      </c>
      <c r="AK374" s="49">
        <f ca="1">AK354*HM_ZD_Moho!CA_NOC_WI</f>
        <v>0</v>
      </c>
      <c r="AL374" s="49">
        <f ca="1">AL354*HM_ZD_Moho!CA_NOC_WI</f>
        <v>0</v>
      </c>
      <c r="AM374" s="49">
        <f ca="1">AM354*HM_ZD_Moho!CA_NOC_WI</f>
        <v>0</v>
      </c>
      <c r="AN374" s="49">
        <f ca="1">AN354*HM_ZD_Moho!CA_NOC_WI</f>
        <v>0</v>
      </c>
      <c r="AO374" s="49">
        <f ca="1">AO354*HM_ZD_Moho!CA_NOC_WI</f>
        <v>0</v>
      </c>
      <c r="AP374" s="49">
        <f ca="1">AP354*HM_ZD_Moho!CA_NOC_WI</f>
        <v>0</v>
      </c>
      <c r="AQ374" s="49">
        <f ca="1">AQ354*HM_ZD_Moho!CA_NOC_WI</f>
        <v>0</v>
      </c>
      <c r="AR374" s="49">
        <f ca="1">AR354*HM_ZD_Moho!CA_NOC_WI</f>
        <v>0</v>
      </c>
      <c r="AS374" s="49">
        <f ca="1">AS354*HM_ZD_Moho!CA_NOC_WI</f>
        <v>0</v>
      </c>
      <c r="AT374" s="49">
        <f ca="1">AT354*HM_ZD_Moho!CA_NOC_WI</f>
        <v>0</v>
      </c>
      <c r="AU374" s="49">
        <f ca="1">AU354*HM_ZD_Moho!CA_NOC_WI</f>
        <v>0</v>
      </c>
      <c r="AV374" s="49">
        <f ca="1">AV354*HM_ZD_Moho!CA_NOC_WI</f>
        <v>0</v>
      </c>
      <c r="AW374" s="49">
        <f ca="1">AW354*HM_ZD_Moho!CA_NOC_WI</f>
        <v>0</v>
      </c>
      <c r="AX374" s="49">
        <f ca="1">AX354*HM_ZD_Moho!CA_NOC_WI</f>
        <v>0</v>
      </c>
      <c r="AY374" s="49">
        <f ca="1">AY354*HM_ZD_Moho!CA_NOC_WI</f>
        <v>0</v>
      </c>
      <c r="AZ374" s="49">
        <f ca="1">AZ354*HM_ZD_Moho!CA_NOC_WI</f>
        <v>0</v>
      </c>
      <c r="BA374" s="49">
        <f ca="1">BA354*HM_ZD_Moho!CA_NOC_WI</f>
        <v>0</v>
      </c>
      <c r="BB374" s="49">
        <f ca="1">BB354*HM_ZD_Moho!CA_NOC_WI</f>
        <v>0</v>
      </c>
      <c r="BC374" s="49">
        <f ca="1">BC354*HM_ZD_Moho!CA_NOC_WI</f>
        <v>0</v>
      </c>
      <c r="BD374" s="49">
        <f ca="1">BD354*HM_ZD_Moho!CA_NOC_WI</f>
        <v>0</v>
      </c>
      <c r="BE374" s="49">
        <f ca="1">BE354*HM_ZD_Moho!CA_NOC_WI</f>
        <v>0</v>
      </c>
      <c r="BF374" s="49">
        <f ca="1">BF354*HM_ZD_Moho!CA_NOC_WI</f>
        <v>0</v>
      </c>
      <c r="BG374" s="49">
        <f ca="1">BG354*HM_ZD_Moho!CA_NOC_WI</f>
        <v>0</v>
      </c>
      <c r="BH374" s="49">
        <f ca="1">BH354*HM_ZD_Moho!CA_NOC_WI</f>
        <v>0</v>
      </c>
      <c r="BI374" s="49">
        <f ca="1">BI354*HM_ZD_Moho!CA_NOC_WI</f>
        <v>0</v>
      </c>
      <c r="BJ374" s="49">
        <f ca="1">BJ354*HM_ZD_Moho!CA_NOC_WI</f>
        <v>0</v>
      </c>
      <c r="BK374" s="49">
        <f ca="1">BK354*HM_ZD_Moho!CA_NOC_WI</f>
        <v>0</v>
      </c>
      <c r="BL374" s="49">
        <f ca="1">BL354*HM_ZD_Moho!CA_NOC_WI</f>
        <v>0</v>
      </c>
      <c r="BM374" s="49">
        <f ca="1">BM354*HM_ZD_Moho!CA_NOC_WI</f>
        <v>0</v>
      </c>
      <c r="BN374" s="49">
        <f ca="1">BN354*HM_ZD_Moho!CA_NOC_WI</f>
        <v>0</v>
      </c>
      <c r="BO374" s="49">
        <f ca="1">BO354*HM_ZD_Moho!CA_NOC_WI</f>
        <v>0</v>
      </c>
      <c r="BP374" s="49">
        <f ca="1">BP354*HM_ZD_Moho!CA_NOC_WI</f>
        <v>0</v>
      </c>
      <c r="BQ374" s="49">
        <f ca="1">BQ354*HM_ZD_Moho!CA_NOC_WI</f>
        <v>0</v>
      </c>
      <c r="BR374" s="49">
        <f ca="1">BR354*HM_ZD_Moho!CA_NOC_WI</f>
        <v>0</v>
      </c>
      <c r="BS374" s="49">
        <f ca="1">BS354*HM_ZD_Moho!CA_NOC_WI</f>
        <v>0</v>
      </c>
    </row>
    <row r="375" spans="3:71" outlineLevel="1" x14ac:dyDescent="0.2">
      <c r="D375" s="11" t="str">
        <f>HM_ZB_Nsoko!D361</f>
        <v>Total</v>
      </c>
      <c r="I375" s="30">
        <f t="shared" ca="1" si="210"/>
        <v>349.03534767578861</v>
      </c>
      <c r="J375" s="26" t="s">
        <v>88</v>
      </c>
      <c r="L375" s="49">
        <f ca="1">SUM(L373:L374)</f>
        <v>6.5434370402583886</v>
      </c>
      <c r="M375" s="49">
        <f t="shared" ref="M375:BS375" ca="1" si="211">SUM(M373:M374)</f>
        <v>6.984703019367684</v>
      </c>
      <c r="N375" s="49">
        <f t="shared" ca="1" si="211"/>
        <v>12.370373015</v>
      </c>
      <c r="O375" s="49">
        <f t="shared" ca="1" si="211"/>
        <v>12.551072975</v>
      </c>
      <c r="P375" s="49">
        <f t="shared" ca="1" si="211"/>
        <v>26.270591375000002</v>
      </c>
      <c r="Q375" s="49">
        <f t="shared" ca="1" si="211"/>
        <v>42.173291509999999</v>
      </c>
      <c r="R375" s="49">
        <f t="shared" ca="1" si="211"/>
        <v>43.577951202499996</v>
      </c>
      <c r="S375" s="49">
        <f t="shared" ca="1" si="211"/>
        <v>41.508439500000001</v>
      </c>
      <c r="T375" s="49">
        <f t="shared" ca="1" si="211"/>
        <v>38.602848734999995</v>
      </c>
      <c r="U375" s="49">
        <f t="shared" ca="1" si="211"/>
        <v>35.900649323549999</v>
      </c>
      <c r="V375" s="49">
        <f t="shared" ca="1" si="211"/>
        <v>32.445633855734989</v>
      </c>
      <c r="W375" s="49">
        <f t="shared" ca="1" si="211"/>
        <v>25.96184255149096</v>
      </c>
      <c r="X375" s="49">
        <f t="shared" ca="1" si="211"/>
        <v>24.144513572886591</v>
      </c>
      <c r="Y375" s="49">
        <f t="shared" ca="1" si="211"/>
        <v>0</v>
      </c>
      <c r="Z375" s="49">
        <f t="shared" ca="1" si="211"/>
        <v>0</v>
      </c>
      <c r="AA375" s="49">
        <f t="shared" ca="1" si="211"/>
        <v>0</v>
      </c>
      <c r="AB375" s="49">
        <f t="shared" ca="1" si="211"/>
        <v>0</v>
      </c>
      <c r="AC375" s="49">
        <f t="shared" ca="1" si="211"/>
        <v>0</v>
      </c>
      <c r="AD375" s="49">
        <f t="shared" ca="1" si="211"/>
        <v>0</v>
      </c>
      <c r="AE375" s="49">
        <f t="shared" ca="1" si="211"/>
        <v>0</v>
      </c>
      <c r="AF375" s="49">
        <f t="shared" ca="1" si="211"/>
        <v>0</v>
      </c>
      <c r="AG375" s="49">
        <f t="shared" ca="1" si="211"/>
        <v>0</v>
      </c>
      <c r="AH375" s="49">
        <f t="shared" ca="1" si="211"/>
        <v>0</v>
      </c>
      <c r="AI375" s="49">
        <f t="shared" ca="1" si="211"/>
        <v>0</v>
      </c>
      <c r="AJ375" s="49">
        <f t="shared" ca="1" si="211"/>
        <v>0</v>
      </c>
      <c r="AK375" s="49">
        <f t="shared" ca="1" si="211"/>
        <v>0</v>
      </c>
      <c r="AL375" s="49">
        <f t="shared" ca="1" si="211"/>
        <v>0</v>
      </c>
      <c r="AM375" s="49">
        <f t="shared" ca="1" si="211"/>
        <v>0</v>
      </c>
      <c r="AN375" s="49">
        <f t="shared" ca="1" si="211"/>
        <v>0</v>
      </c>
      <c r="AO375" s="49">
        <f t="shared" ca="1" si="211"/>
        <v>0</v>
      </c>
      <c r="AP375" s="49">
        <f t="shared" ca="1" si="211"/>
        <v>0</v>
      </c>
      <c r="AQ375" s="49">
        <f t="shared" ca="1" si="211"/>
        <v>0</v>
      </c>
      <c r="AR375" s="49">
        <f t="shared" ca="1" si="211"/>
        <v>0</v>
      </c>
      <c r="AS375" s="49">
        <f t="shared" ca="1" si="211"/>
        <v>0</v>
      </c>
      <c r="AT375" s="49">
        <f t="shared" ca="1" si="211"/>
        <v>0</v>
      </c>
      <c r="AU375" s="49">
        <f t="shared" ca="1" si="211"/>
        <v>0</v>
      </c>
      <c r="AV375" s="49">
        <f t="shared" ca="1" si="211"/>
        <v>0</v>
      </c>
      <c r="AW375" s="49">
        <f t="shared" ca="1" si="211"/>
        <v>0</v>
      </c>
      <c r="AX375" s="49">
        <f t="shared" ca="1" si="211"/>
        <v>0</v>
      </c>
      <c r="AY375" s="49">
        <f t="shared" ca="1" si="211"/>
        <v>0</v>
      </c>
      <c r="AZ375" s="49">
        <f t="shared" ca="1" si="211"/>
        <v>0</v>
      </c>
      <c r="BA375" s="49">
        <f t="shared" ca="1" si="211"/>
        <v>0</v>
      </c>
      <c r="BB375" s="49">
        <f t="shared" ca="1" si="211"/>
        <v>0</v>
      </c>
      <c r="BC375" s="49">
        <f t="shared" ca="1" si="211"/>
        <v>0</v>
      </c>
      <c r="BD375" s="49">
        <f t="shared" ca="1" si="211"/>
        <v>0</v>
      </c>
      <c r="BE375" s="49">
        <f t="shared" ca="1" si="211"/>
        <v>0</v>
      </c>
      <c r="BF375" s="49">
        <f t="shared" ca="1" si="211"/>
        <v>0</v>
      </c>
      <c r="BG375" s="49">
        <f t="shared" ca="1" si="211"/>
        <v>0</v>
      </c>
      <c r="BH375" s="49">
        <f t="shared" ca="1" si="211"/>
        <v>0</v>
      </c>
      <c r="BI375" s="49">
        <f t="shared" ca="1" si="211"/>
        <v>0</v>
      </c>
      <c r="BJ375" s="49">
        <f t="shared" ca="1" si="211"/>
        <v>0</v>
      </c>
      <c r="BK375" s="49">
        <f t="shared" ca="1" si="211"/>
        <v>0</v>
      </c>
      <c r="BL375" s="49">
        <f t="shared" ca="1" si="211"/>
        <v>0</v>
      </c>
      <c r="BM375" s="49">
        <f t="shared" ca="1" si="211"/>
        <v>0</v>
      </c>
      <c r="BN375" s="49">
        <f t="shared" ca="1" si="211"/>
        <v>0</v>
      </c>
      <c r="BO375" s="49">
        <f t="shared" ca="1" si="211"/>
        <v>0</v>
      </c>
      <c r="BP375" s="49">
        <f t="shared" ca="1" si="211"/>
        <v>0</v>
      </c>
      <c r="BQ375" s="49">
        <f t="shared" ca="1" si="211"/>
        <v>0</v>
      </c>
      <c r="BR375" s="49">
        <f t="shared" ca="1" si="211"/>
        <v>0</v>
      </c>
      <c r="BS375" s="49">
        <f t="shared" ca="1" si="211"/>
        <v>0</v>
      </c>
    </row>
    <row r="376" spans="3:71" outlineLevel="1" x14ac:dyDescent="0.2">
      <c r="J376" s="26"/>
      <c r="L376" s="55"/>
      <c r="M376" s="55"/>
      <c r="N376" s="55"/>
      <c r="O376" s="55"/>
      <c r="P376" s="55"/>
      <c r="Q376" s="55"/>
      <c r="R376" s="55"/>
      <c r="S376" s="55"/>
      <c r="T376" s="55"/>
      <c r="U376" s="55"/>
      <c r="V376" s="55"/>
      <c r="W376" s="55"/>
      <c r="X376" s="55"/>
      <c r="Y376" s="55"/>
      <c r="Z376" s="55"/>
      <c r="AA376" s="55"/>
      <c r="AB376" s="55"/>
      <c r="AC376" s="55"/>
      <c r="AD376" s="55"/>
      <c r="AE376" s="55"/>
      <c r="AF376" s="55"/>
      <c r="AG376" s="55"/>
      <c r="AH376" s="55"/>
      <c r="AI376" s="55"/>
      <c r="AJ376" s="55"/>
      <c r="AK376" s="55"/>
      <c r="AL376" s="55"/>
      <c r="AM376" s="55"/>
      <c r="AN376" s="55"/>
      <c r="AO376" s="55"/>
      <c r="AP376" s="55"/>
      <c r="AQ376" s="55"/>
      <c r="AR376" s="55"/>
      <c r="AS376" s="55"/>
      <c r="AT376" s="55"/>
      <c r="AU376" s="55"/>
      <c r="AV376" s="55"/>
      <c r="AW376" s="55"/>
      <c r="AX376" s="55"/>
      <c r="AY376" s="55"/>
      <c r="AZ376" s="55"/>
      <c r="BA376" s="55"/>
      <c r="BB376" s="55"/>
      <c r="BC376" s="55"/>
      <c r="BD376" s="55"/>
      <c r="BE376" s="55"/>
      <c r="BF376" s="55"/>
      <c r="BG376" s="55"/>
      <c r="BH376" s="55"/>
      <c r="BI376" s="55"/>
      <c r="BJ376" s="55"/>
      <c r="BK376" s="55"/>
      <c r="BL376" s="55"/>
      <c r="BM376" s="55"/>
      <c r="BN376" s="55"/>
      <c r="BO376" s="55"/>
      <c r="BP376" s="55"/>
      <c r="BQ376" s="55"/>
      <c r="BR376" s="55"/>
      <c r="BS376" s="55"/>
    </row>
    <row r="377" spans="3:71" outlineLevel="1" x14ac:dyDescent="0.2">
      <c r="C377" s="11" t="str">
        <f>HM_ZB_Nsoko!C363</f>
        <v>Volumes de droits selon participation - Gaz</v>
      </c>
      <c r="J377" s="26"/>
      <c r="L377" s="55"/>
      <c r="M377" s="55"/>
      <c r="N377" s="55"/>
      <c r="O377" s="55"/>
      <c r="P377" s="55"/>
      <c r="Q377" s="55"/>
      <c r="R377" s="55"/>
      <c r="S377" s="55"/>
      <c r="T377" s="55"/>
      <c r="U377" s="55"/>
      <c r="V377" s="55"/>
      <c r="W377" s="55"/>
      <c r="X377" s="55"/>
      <c r="Y377" s="55"/>
      <c r="Z377" s="55"/>
      <c r="AA377" s="55"/>
      <c r="AB377" s="55"/>
      <c r="AC377" s="55"/>
      <c r="AD377" s="55"/>
      <c r="AE377" s="55"/>
      <c r="AF377" s="55"/>
      <c r="AG377" s="55"/>
      <c r="AH377" s="55"/>
      <c r="AI377" s="55"/>
      <c r="AJ377" s="55"/>
      <c r="AK377" s="55"/>
      <c r="AL377" s="55"/>
      <c r="AM377" s="55"/>
      <c r="AN377" s="55"/>
      <c r="AO377" s="55"/>
      <c r="AP377" s="55"/>
      <c r="AQ377" s="55"/>
      <c r="AR377" s="55"/>
      <c r="AS377" s="55"/>
      <c r="AT377" s="55"/>
      <c r="AU377" s="55"/>
      <c r="AV377" s="55"/>
      <c r="AW377" s="55"/>
      <c r="AX377" s="55"/>
      <c r="AY377" s="55"/>
      <c r="AZ377" s="55"/>
      <c r="BA377" s="55"/>
      <c r="BB377" s="55"/>
      <c r="BC377" s="55"/>
      <c r="BD377" s="55"/>
      <c r="BE377" s="55"/>
      <c r="BF377" s="55"/>
      <c r="BG377" s="55"/>
      <c r="BH377" s="55"/>
      <c r="BI377" s="55"/>
      <c r="BJ377" s="55"/>
      <c r="BK377" s="55"/>
      <c r="BL377" s="55"/>
      <c r="BM377" s="55"/>
      <c r="BN377" s="55"/>
      <c r="BO377" s="55"/>
      <c r="BP377" s="55"/>
      <c r="BQ377" s="55"/>
      <c r="BR377" s="55"/>
      <c r="BS377" s="55"/>
    </row>
    <row r="378" spans="3:71" outlineLevel="1" x14ac:dyDescent="0.2">
      <c r="D378" t="str">
        <f>HM_ZB_Nsoko!D364</f>
        <v>Consortium compagnie pétrolières internationales</v>
      </c>
      <c r="I378" s="30">
        <f t="shared" ref="I378:I380" ca="1" si="212">SUM($L378:$BS378)</f>
        <v>0</v>
      </c>
      <c r="J378" s="26" t="s">
        <v>148</v>
      </c>
      <c r="L378" s="49">
        <f ca="1">L355*HM_ZD_Moho!CA_IOC_WI</f>
        <v>0</v>
      </c>
      <c r="M378" s="49">
        <f ca="1">M355*HM_ZD_Moho!CA_IOC_WI</f>
        <v>0</v>
      </c>
      <c r="N378" s="49">
        <f ca="1">N355*HM_ZD_Moho!CA_IOC_WI</f>
        <v>0</v>
      </c>
      <c r="O378" s="49">
        <f ca="1">O355*HM_ZD_Moho!CA_IOC_WI</f>
        <v>0</v>
      </c>
      <c r="P378" s="49">
        <f ca="1">P355*HM_ZD_Moho!CA_IOC_WI</f>
        <v>0</v>
      </c>
      <c r="Q378" s="49">
        <f ca="1">Q355*HM_ZD_Moho!CA_IOC_WI</f>
        <v>0</v>
      </c>
      <c r="R378" s="49">
        <f ca="1">R355*HM_ZD_Moho!CA_IOC_WI</f>
        <v>0</v>
      </c>
      <c r="S378" s="49">
        <f ca="1">S355*HM_ZD_Moho!CA_IOC_WI</f>
        <v>0</v>
      </c>
      <c r="T378" s="49">
        <f ca="1">T355*HM_ZD_Moho!CA_IOC_WI</f>
        <v>0</v>
      </c>
      <c r="U378" s="49">
        <f ca="1">U355*HM_ZD_Moho!CA_IOC_WI</f>
        <v>0</v>
      </c>
      <c r="V378" s="49">
        <f ca="1">V355*HM_ZD_Moho!CA_IOC_WI</f>
        <v>0</v>
      </c>
      <c r="W378" s="49">
        <f ca="1">W355*HM_ZD_Moho!CA_IOC_WI</f>
        <v>0</v>
      </c>
      <c r="X378" s="49">
        <f ca="1">X355*HM_ZD_Moho!CA_IOC_WI</f>
        <v>0</v>
      </c>
      <c r="Y378" s="49">
        <f ca="1">Y355*HM_ZD_Moho!CA_IOC_WI</f>
        <v>0</v>
      </c>
      <c r="Z378" s="49">
        <f ca="1">Z355*HM_ZD_Moho!CA_IOC_WI</f>
        <v>0</v>
      </c>
      <c r="AA378" s="49">
        <f ca="1">AA355*HM_ZD_Moho!CA_IOC_WI</f>
        <v>0</v>
      </c>
      <c r="AB378" s="49">
        <f ca="1">AB355*HM_ZD_Moho!CA_IOC_WI</f>
        <v>0</v>
      </c>
      <c r="AC378" s="49">
        <f ca="1">AC355*HM_ZD_Moho!CA_IOC_WI</f>
        <v>0</v>
      </c>
      <c r="AD378" s="49">
        <f ca="1">AD355*HM_ZD_Moho!CA_IOC_WI</f>
        <v>0</v>
      </c>
      <c r="AE378" s="49">
        <f ca="1">AE355*HM_ZD_Moho!CA_IOC_WI</f>
        <v>0</v>
      </c>
      <c r="AF378" s="49">
        <f ca="1">AF355*HM_ZD_Moho!CA_IOC_WI</f>
        <v>0</v>
      </c>
      <c r="AG378" s="49">
        <f ca="1">AG355*HM_ZD_Moho!CA_IOC_WI</f>
        <v>0</v>
      </c>
      <c r="AH378" s="49">
        <f ca="1">AH355*HM_ZD_Moho!CA_IOC_WI</f>
        <v>0</v>
      </c>
      <c r="AI378" s="49">
        <f ca="1">AI355*HM_ZD_Moho!CA_IOC_WI</f>
        <v>0</v>
      </c>
      <c r="AJ378" s="49">
        <f ca="1">AJ355*HM_ZD_Moho!CA_IOC_WI</f>
        <v>0</v>
      </c>
      <c r="AK378" s="49">
        <f ca="1">AK355*HM_ZD_Moho!CA_IOC_WI</f>
        <v>0</v>
      </c>
      <c r="AL378" s="49">
        <f ca="1">AL355*HM_ZD_Moho!CA_IOC_WI</f>
        <v>0</v>
      </c>
      <c r="AM378" s="49">
        <f ca="1">AM355*HM_ZD_Moho!CA_IOC_WI</f>
        <v>0</v>
      </c>
      <c r="AN378" s="49">
        <f ca="1">AN355*HM_ZD_Moho!CA_IOC_WI</f>
        <v>0</v>
      </c>
      <c r="AO378" s="49">
        <f ca="1">AO355*HM_ZD_Moho!CA_IOC_WI</f>
        <v>0</v>
      </c>
      <c r="AP378" s="49">
        <f ca="1">AP355*HM_ZD_Moho!CA_IOC_WI</f>
        <v>0</v>
      </c>
      <c r="AQ378" s="49">
        <f ca="1">AQ355*HM_ZD_Moho!CA_IOC_WI</f>
        <v>0</v>
      </c>
      <c r="AR378" s="49">
        <f ca="1">AR355*HM_ZD_Moho!CA_IOC_WI</f>
        <v>0</v>
      </c>
      <c r="AS378" s="49">
        <f ca="1">AS355*HM_ZD_Moho!CA_IOC_WI</f>
        <v>0</v>
      </c>
      <c r="AT378" s="49">
        <f ca="1">AT355*HM_ZD_Moho!CA_IOC_WI</f>
        <v>0</v>
      </c>
      <c r="AU378" s="49">
        <f ca="1">AU355*HM_ZD_Moho!CA_IOC_WI</f>
        <v>0</v>
      </c>
      <c r="AV378" s="49">
        <f ca="1">AV355*HM_ZD_Moho!CA_IOC_WI</f>
        <v>0</v>
      </c>
      <c r="AW378" s="49">
        <f ca="1">AW355*HM_ZD_Moho!CA_IOC_WI</f>
        <v>0</v>
      </c>
      <c r="AX378" s="49">
        <f ca="1">AX355*HM_ZD_Moho!CA_IOC_WI</f>
        <v>0</v>
      </c>
      <c r="AY378" s="49">
        <f ca="1">AY355*HM_ZD_Moho!CA_IOC_WI</f>
        <v>0</v>
      </c>
      <c r="AZ378" s="49">
        <f ca="1">AZ355*HM_ZD_Moho!CA_IOC_WI</f>
        <v>0</v>
      </c>
      <c r="BA378" s="49">
        <f ca="1">BA355*HM_ZD_Moho!CA_IOC_WI</f>
        <v>0</v>
      </c>
      <c r="BB378" s="49">
        <f ca="1">BB355*HM_ZD_Moho!CA_IOC_WI</f>
        <v>0</v>
      </c>
      <c r="BC378" s="49">
        <f ca="1">BC355*HM_ZD_Moho!CA_IOC_WI</f>
        <v>0</v>
      </c>
      <c r="BD378" s="49">
        <f ca="1">BD355*HM_ZD_Moho!CA_IOC_WI</f>
        <v>0</v>
      </c>
      <c r="BE378" s="49">
        <f ca="1">BE355*HM_ZD_Moho!CA_IOC_WI</f>
        <v>0</v>
      </c>
      <c r="BF378" s="49">
        <f ca="1">BF355*HM_ZD_Moho!CA_IOC_WI</f>
        <v>0</v>
      </c>
      <c r="BG378" s="49">
        <f ca="1">BG355*HM_ZD_Moho!CA_IOC_WI</f>
        <v>0</v>
      </c>
      <c r="BH378" s="49">
        <f ca="1">BH355*HM_ZD_Moho!CA_IOC_WI</f>
        <v>0</v>
      </c>
      <c r="BI378" s="49">
        <f ca="1">BI355*HM_ZD_Moho!CA_IOC_WI</f>
        <v>0</v>
      </c>
      <c r="BJ378" s="49">
        <f ca="1">BJ355*HM_ZD_Moho!CA_IOC_WI</f>
        <v>0</v>
      </c>
      <c r="BK378" s="49">
        <f ca="1">BK355*HM_ZD_Moho!CA_IOC_WI</f>
        <v>0</v>
      </c>
      <c r="BL378" s="49">
        <f ca="1">BL355*HM_ZD_Moho!CA_IOC_WI</f>
        <v>0</v>
      </c>
      <c r="BM378" s="49">
        <f ca="1">BM355*HM_ZD_Moho!CA_IOC_WI</f>
        <v>0</v>
      </c>
      <c r="BN378" s="49">
        <f ca="1">BN355*HM_ZD_Moho!CA_IOC_WI</f>
        <v>0</v>
      </c>
      <c r="BO378" s="49">
        <f ca="1">BO355*HM_ZD_Moho!CA_IOC_WI</f>
        <v>0</v>
      </c>
      <c r="BP378" s="49">
        <f ca="1">BP355*HM_ZD_Moho!CA_IOC_WI</f>
        <v>0</v>
      </c>
      <c r="BQ378" s="49">
        <f ca="1">BQ355*HM_ZD_Moho!CA_IOC_WI</f>
        <v>0</v>
      </c>
      <c r="BR378" s="49">
        <f ca="1">BR355*HM_ZD_Moho!CA_IOC_WI</f>
        <v>0</v>
      </c>
      <c r="BS378" s="49">
        <f ca="1">BS355*HM_ZD_Moho!CA_IOC_WI</f>
        <v>0</v>
      </c>
    </row>
    <row r="379" spans="3:71" outlineLevel="1" x14ac:dyDescent="0.2">
      <c r="D379" t="str">
        <f>HM_ZB_Nsoko!D365</f>
        <v>Participation compagnie nationale/État</v>
      </c>
      <c r="I379" s="30">
        <f t="shared" ca="1" si="212"/>
        <v>0</v>
      </c>
      <c r="J379" s="26" t="s">
        <v>148</v>
      </c>
      <c r="L379" s="49">
        <f ca="1">L355*HM_ZD_Moho!CA_NOC_WI</f>
        <v>0</v>
      </c>
      <c r="M379" s="49">
        <f ca="1">M355*HM_ZD_Moho!CA_NOC_WI</f>
        <v>0</v>
      </c>
      <c r="N379" s="49">
        <f ca="1">N355*HM_ZD_Moho!CA_NOC_WI</f>
        <v>0</v>
      </c>
      <c r="O379" s="49">
        <f ca="1">O355*HM_ZD_Moho!CA_NOC_WI</f>
        <v>0</v>
      </c>
      <c r="P379" s="49">
        <f ca="1">P355*HM_ZD_Moho!CA_NOC_WI</f>
        <v>0</v>
      </c>
      <c r="Q379" s="49">
        <f ca="1">Q355*HM_ZD_Moho!CA_NOC_WI</f>
        <v>0</v>
      </c>
      <c r="R379" s="49">
        <f ca="1">R355*HM_ZD_Moho!CA_NOC_WI</f>
        <v>0</v>
      </c>
      <c r="S379" s="49">
        <f ca="1">S355*HM_ZD_Moho!CA_NOC_WI</f>
        <v>0</v>
      </c>
      <c r="T379" s="49">
        <f ca="1">T355*HM_ZD_Moho!CA_NOC_WI</f>
        <v>0</v>
      </c>
      <c r="U379" s="49">
        <f ca="1">U355*HM_ZD_Moho!CA_NOC_WI</f>
        <v>0</v>
      </c>
      <c r="V379" s="49">
        <f ca="1">V355*HM_ZD_Moho!CA_NOC_WI</f>
        <v>0</v>
      </c>
      <c r="W379" s="49">
        <f ca="1">W355*HM_ZD_Moho!CA_NOC_WI</f>
        <v>0</v>
      </c>
      <c r="X379" s="49">
        <f ca="1">X355*HM_ZD_Moho!CA_NOC_WI</f>
        <v>0</v>
      </c>
      <c r="Y379" s="49">
        <f ca="1">Y355*HM_ZD_Moho!CA_NOC_WI</f>
        <v>0</v>
      </c>
      <c r="Z379" s="49">
        <f ca="1">Z355*HM_ZD_Moho!CA_NOC_WI</f>
        <v>0</v>
      </c>
      <c r="AA379" s="49">
        <f ca="1">AA355*HM_ZD_Moho!CA_NOC_WI</f>
        <v>0</v>
      </c>
      <c r="AB379" s="49">
        <f ca="1">AB355*HM_ZD_Moho!CA_NOC_WI</f>
        <v>0</v>
      </c>
      <c r="AC379" s="49">
        <f ca="1">AC355*HM_ZD_Moho!CA_NOC_WI</f>
        <v>0</v>
      </c>
      <c r="AD379" s="49">
        <f ca="1">AD355*HM_ZD_Moho!CA_NOC_WI</f>
        <v>0</v>
      </c>
      <c r="AE379" s="49">
        <f ca="1">AE355*HM_ZD_Moho!CA_NOC_WI</f>
        <v>0</v>
      </c>
      <c r="AF379" s="49">
        <f ca="1">AF355*HM_ZD_Moho!CA_NOC_WI</f>
        <v>0</v>
      </c>
      <c r="AG379" s="49">
        <f ca="1">AG355*HM_ZD_Moho!CA_NOC_WI</f>
        <v>0</v>
      </c>
      <c r="AH379" s="49">
        <f ca="1">AH355*HM_ZD_Moho!CA_NOC_WI</f>
        <v>0</v>
      </c>
      <c r="AI379" s="49">
        <f ca="1">AI355*HM_ZD_Moho!CA_NOC_WI</f>
        <v>0</v>
      </c>
      <c r="AJ379" s="49">
        <f ca="1">AJ355*HM_ZD_Moho!CA_NOC_WI</f>
        <v>0</v>
      </c>
      <c r="AK379" s="49">
        <f ca="1">AK355*HM_ZD_Moho!CA_NOC_WI</f>
        <v>0</v>
      </c>
      <c r="AL379" s="49">
        <f ca="1">AL355*HM_ZD_Moho!CA_NOC_WI</f>
        <v>0</v>
      </c>
      <c r="AM379" s="49">
        <f ca="1">AM355*HM_ZD_Moho!CA_NOC_WI</f>
        <v>0</v>
      </c>
      <c r="AN379" s="49">
        <f ca="1">AN355*HM_ZD_Moho!CA_NOC_WI</f>
        <v>0</v>
      </c>
      <c r="AO379" s="49">
        <f ca="1">AO355*HM_ZD_Moho!CA_NOC_WI</f>
        <v>0</v>
      </c>
      <c r="AP379" s="49">
        <f ca="1">AP355*HM_ZD_Moho!CA_NOC_WI</f>
        <v>0</v>
      </c>
      <c r="AQ379" s="49">
        <f ca="1">AQ355*HM_ZD_Moho!CA_NOC_WI</f>
        <v>0</v>
      </c>
      <c r="AR379" s="49">
        <f ca="1">AR355*HM_ZD_Moho!CA_NOC_WI</f>
        <v>0</v>
      </c>
      <c r="AS379" s="49">
        <f ca="1">AS355*HM_ZD_Moho!CA_NOC_WI</f>
        <v>0</v>
      </c>
      <c r="AT379" s="49">
        <f ca="1">AT355*HM_ZD_Moho!CA_NOC_WI</f>
        <v>0</v>
      </c>
      <c r="AU379" s="49">
        <f ca="1">AU355*HM_ZD_Moho!CA_NOC_WI</f>
        <v>0</v>
      </c>
      <c r="AV379" s="49">
        <f ca="1">AV355*HM_ZD_Moho!CA_NOC_WI</f>
        <v>0</v>
      </c>
      <c r="AW379" s="49">
        <f ca="1">AW355*HM_ZD_Moho!CA_NOC_WI</f>
        <v>0</v>
      </c>
      <c r="AX379" s="49">
        <f ca="1">AX355*HM_ZD_Moho!CA_NOC_WI</f>
        <v>0</v>
      </c>
      <c r="AY379" s="49">
        <f ca="1">AY355*HM_ZD_Moho!CA_NOC_WI</f>
        <v>0</v>
      </c>
      <c r="AZ379" s="49">
        <f ca="1">AZ355*HM_ZD_Moho!CA_NOC_WI</f>
        <v>0</v>
      </c>
      <c r="BA379" s="49">
        <f ca="1">BA355*HM_ZD_Moho!CA_NOC_WI</f>
        <v>0</v>
      </c>
      <c r="BB379" s="49">
        <f ca="1">BB355*HM_ZD_Moho!CA_NOC_WI</f>
        <v>0</v>
      </c>
      <c r="BC379" s="49">
        <f ca="1">BC355*HM_ZD_Moho!CA_NOC_WI</f>
        <v>0</v>
      </c>
      <c r="BD379" s="49">
        <f ca="1">BD355*HM_ZD_Moho!CA_NOC_WI</f>
        <v>0</v>
      </c>
      <c r="BE379" s="49">
        <f ca="1">BE355*HM_ZD_Moho!CA_NOC_WI</f>
        <v>0</v>
      </c>
      <c r="BF379" s="49">
        <f ca="1">BF355*HM_ZD_Moho!CA_NOC_WI</f>
        <v>0</v>
      </c>
      <c r="BG379" s="49">
        <f ca="1">BG355*HM_ZD_Moho!CA_NOC_WI</f>
        <v>0</v>
      </c>
      <c r="BH379" s="49">
        <f ca="1">BH355*HM_ZD_Moho!CA_NOC_WI</f>
        <v>0</v>
      </c>
      <c r="BI379" s="49">
        <f ca="1">BI355*HM_ZD_Moho!CA_NOC_WI</f>
        <v>0</v>
      </c>
      <c r="BJ379" s="49">
        <f ca="1">BJ355*HM_ZD_Moho!CA_NOC_WI</f>
        <v>0</v>
      </c>
      <c r="BK379" s="49">
        <f ca="1">BK355*HM_ZD_Moho!CA_NOC_WI</f>
        <v>0</v>
      </c>
      <c r="BL379" s="49">
        <f ca="1">BL355*HM_ZD_Moho!CA_NOC_WI</f>
        <v>0</v>
      </c>
      <c r="BM379" s="49">
        <f ca="1">BM355*HM_ZD_Moho!CA_NOC_WI</f>
        <v>0</v>
      </c>
      <c r="BN379" s="49">
        <f ca="1">BN355*HM_ZD_Moho!CA_NOC_WI</f>
        <v>0</v>
      </c>
      <c r="BO379" s="49">
        <f ca="1">BO355*HM_ZD_Moho!CA_NOC_WI</f>
        <v>0</v>
      </c>
      <c r="BP379" s="49">
        <f ca="1">BP355*HM_ZD_Moho!CA_NOC_WI</f>
        <v>0</v>
      </c>
      <c r="BQ379" s="49">
        <f ca="1">BQ355*HM_ZD_Moho!CA_NOC_WI</f>
        <v>0</v>
      </c>
      <c r="BR379" s="49">
        <f ca="1">BR355*HM_ZD_Moho!CA_NOC_WI</f>
        <v>0</v>
      </c>
      <c r="BS379" s="49">
        <f ca="1">BS355*HM_ZD_Moho!CA_NOC_WI</f>
        <v>0</v>
      </c>
    </row>
    <row r="380" spans="3:71" outlineLevel="1" x14ac:dyDescent="0.2">
      <c r="D380" s="11" t="str">
        <f>HM_ZB_Nsoko!D366</f>
        <v>Total</v>
      </c>
      <c r="I380" s="30">
        <f t="shared" ca="1" si="212"/>
        <v>0</v>
      </c>
      <c r="J380" s="26" t="s">
        <v>148</v>
      </c>
      <c r="L380" s="49">
        <f ca="1">SUM(L378:L379)</f>
        <v>0</v>
      </c>
      <c r="M380" s="49">
        <f t="shared" ref="M380:BS380" ca="1" si="213">SUM(M378:M379)</f>
        <v>0</v>
      </c>
      <c r="N380" s="49">
        <f t="shared" ca="1" si="213"/>
        <v>0</v>
      </c>
      <c r="O380" s="49">
        <f t="shared" ca="1" si="213"/>
        <v>0</v>
      </c>
      <c r="P380" s="49">
        <f t="shared" ca="1" si="213"/>
        <v>0</v>
      </c>
      <c r="Q380" s="49">
        <f t="shared" ca="1" si="213"/>
        <v>0</v>
      </c>
      <c r="R380" s="49">
        <f t="shared" ca="1" si="213"/>
        <v>0</v>
      </c>
      <c r="S380" s="49">
        <f t="shared" ca="1" si="213"/>
        <v>0</v>
      </c>
      <c r="T380" s="49">
        <f t="shared" ca="1" si="213"/>
        <v>0</v>
      </c>
      <c r="U380" s="49">
        <f t="shared" ca="1" si="213"/>
        <v>0</v>
      </c>
      <c r="V380" s="49">
        <f t="shared" ca="1" si="213"/>
        <v>0</v>
      </c>
      <c r="W380" s="49">
        <f t="shared" ca="1" si="213"/>
        <v>0</v>
      </c>
      <c r="X380" s="49">
        <f t="shared" ca="1" si="213"/>
        <v>0</v>
      </c>
      <c r="Y380" s="49">
        <f t="shared" ca="1" si="213"/>
        <v>0</v>
      </c>
      <c r="Z380" s="49">
        <f t="shared" ca="1" si="213"/>
        <v>0</v>
      </c>
      <c r="AA380" s="49">
        <f t="shared" ca="1" si="213"/>
        <v>0</v>
      </c>
      <c r="AB380" s="49">
        <f t="shared" ca="1" si="213"/>
        <v>0</v>
      </c>
      <c r="AC380" s="49">
        <f t="shared" ca="1" si="213"/>
        <v>0</v>
      </c>
      <c r="AD380" s="49">
        <f t="shared" ca="1" si="213"/>
        <v>0</v>
      </c>
      <c r="AE380" s="49">
        <f t="shared" ca="1" si="213"/>
        <v>0</v>
      </c>
      <c r="AF380" s="49">
        <f t="shared" ca="1" si="213"/>
        <v>0</v>
      </c>
      <c r="AG380" s="49">
        <f t="shared" ca="1" si="213"/>
        <v>0</v>
      </c>
      <c r="AH380" s="49">
        <f t="shared" ca="1" si="213"/>
        <v>0</v>
      </c>
      <c r="AI380" s="49">
        <f t="shared" ca="1" si="213"/>
        <v>0</v>
      </c>
      <c r="AJ380" s="49">
        <f t="shared" ca="1" si="213"/>
        <v>0</v>
      </c>
      <c r="AK380" s="49">
        <f t="shared" ca="1" si="213"/>
        <v>0</v>
      </c>
      <c r="AL380" s="49">
        <f t="shared" ca="1" si="213"/>
        <v>0</v>
      </c>
      <c r="AM380" s="49">
        <f t="shared" ca="1" si="213"/>
        <v>0</v>
      </c>
      <c r="AN380" s="49">
        <f t="shared" ca="1" si="213"/>
        <v>0</v>
      </c>
      <c r="AO380" s="49">
        <f t="shared" ca="1" si="213"/>
        <v>0</v>
      </c>
      <c r="AP380" s="49">
        <f t="shared" ca="1" si="213"/>
        <v>0</v>
      </c>
      <c r="AQ380" s="49">
        <f t="shared" ca="1" si="213"/>
        <v>0</v>
      </c>
      <c r="AR380" s="49">
        <f t="shared" ca="1" si="213"/>
        <v>0</v>
      </c>
      <c r="AS380" s="49">
        <f t="shared" ca="1" si="213"/>
        <v>0</v>
      </c>
      <c r="AT380" s="49">
        <f t="shared" ca="1" si="213"/>
        <v>0</v>
      </c>
      <c r="AU380" s="49">
        <f t="shared" ca="1" si="213"/>
        <v>0</v>
      </c>
      <c r="AV380" s="49">
        <f t="shared" ca="1" si="213"/>
        <v>0</v>
      </c>
      <c r="AW380" s="49">
        <f t="shared" ca="1" si="213"/>
        <v>0</v>
      </c>
      <c r="AX380" s="49">
        <f t="shared" ca="1" si="213"/>
        <v>0</v>
      </c>
      <c r="AY380" s="49">
        <f t="shared" ca="1" si="213"/>
        <v>0</v>
      </c>
      <c r="AZ380" s="49">
        <f t="shared" ca="1" si="213"/>
        <v>0</v>
      </c>
      <c r="BA380" s="49">
        <f t="shared" ca="1" si="213"/>
        <v>0</v>
      </c>
      <c r="BB380" s="49">
        <f t="shared" ca="1" si="213"/>
        <v>0</v>
      </c>
      <c r="BC380" s="49">
        <f t="shared" ca="1" si="213"/>
        <v>0</v>
      </c>
      <c r="BD380" s="49">
        <f t="shared" ca="1" si="213"/>
        <v>0</v>
      </c>
      <c r="BE380" s="49">
        <f t="shared" ca="1" si="213"/>
        <v>0</v>
      </c>
      <c r="BF380" s="49">
        <f t="shared" ca="1" si="213"/>
        <v>0</v>
      </c>
      <c r="BG380" s="49">
        <f t="shared" ca="1" si="213"/>
        <v>0</v>
      </c>
      <c r="BH380" s="49">
        <f t="shared" ca="1" si="213"/>
        <v>0</v>
      </c>
      <c r="BI380" s="49">
        <f t="shared" ca="1" si="213"/>
        <v>0</v>
      </c>
      <c r="BJ380" s="49">
        <f t="shared" ca="1" si="213"/>
        <v>0</v>
      </c>
      <c r="BK380" s="49">
        <f t="shared" ca="1" si="213"/>
        <v>0</v>
      </c>
      <c r="BL380" s="49">
        <f t="shared" ca="1" si="213"/>
        <v>0</v>
      </c>
      <c r="BM380" s="49">
        <f t="shared" ca="1" si="213"/>
        <v>0</v>
      </c>
      <c r="BN380" s="49">
        <f t="shared" ca="1" si="213"/>
        <v>0</v>
      </c>
      <c r="BO380" s="49">
        <f t="shared" ca="1" si="213"/>
        <v>0</v>
      </c>
      <c r="BP380" s="49">
        <f t="shared" ca="1" si="213"/>
        <v>0</v>
      </c>
      <c r="BQ380" s="49">
        <f t="shared" ca="1" si="213"/>
        <v>0</v>
      </c>
      <c r="BR380" s="49">
        <f t="shared" ca="1" si="213"/>
        <v>0</v>
      </c>
      <c r="BS380" s="49">
        <f t="shared" ca="1" si="213"/>
        <v>0</v>
      </c>
    </row>
    <row r="381" spans="3:71" outlineLevel="1" x14ac:dyDescent="0.2">
      <c r="J381" s="26"/>
      <c r="L381" s="55"/>
      <c r="M381" s="55"/>
      <c r="N381" s="55"/>
      <c r="O381" s="55"/>
      <c r="P381" s="55"/>
      <c r="Q381" s="55"/>
      <c r="R381" s="55"/>
      <c r="S381" s="55"/>
      <c r="T381" s="55"/>
      <c r="U381" s="55"/>
      <c r="V381" s="55"/>
      <c r="W381" s="55"/>
      <c r="X381" s="55"/>
      <c r="Y381" s="55"/>
      <c r="Z381" s="55"/>
      <c r="AA381" s="55"/>
      <c r="AB381" s="55"/>
      <c r="AC381" s="55"/>
      <c r="AD381" s="55"/>
      <c r="AE381" s="55"/>
      <c r="AF381" s="55"/>
      <c r="AG381" s="55"/>
      <c r="AH381" s="55"/>
      <c r="AI381" s="55"/>
      <c r="AJ381" s="55"/>
      <c r="AK381" s="55"/>
      <c r="AL381" s="55"/>
      <c r="AM381" s="55"/>
      <c r="AN381" s="55"/>
      <c r="AO381" s="55"/>
      <c r="AP381" s="55"/>
      <c r="AQ381" s="55"/>
      <c r="AR381" s="55"/>
      <c r="AS381" s="55"/>
      <c r="AT381" s="55"/>
      <c r="AU381" s="55"/>
      <c r="AV381" s="55"/>
      <c r="AW381" s="55"/>
      <c r="AX381" s="55"/>
      <c r="AY381" s="55"/>
      <c r="AZ381" s="55"/>
      <c r="BA381" s="55"/>
      <c r="BB381" s="55"/>
      <c r="BC381" s="55"/>
      <c r="BD381" s="55"/>
      <c r="BE381" s="55"/>
      <c r="BF381" s="55"/>
      <c r="BG381" s="55"/>
      <c r="BH381" s="55"/>
      <c r="BI381" s="55"/>
      <c r="BJ381" s="55"/>
      <c r="BK381" s="55"/>
      <c r="BL381" s="55"/>
      <c r="BM381" s="55"/>
      <c r="BN381" s="55"/>
      <c r="BO381" s="55"/>
      <c r="BP381" s="55"/>
      <c r="BQ381" s="55"/>
      <c r="BR381" s="55"/>
      <c r="BS381" s="55"/>
    </row>
    <row r="382" spans="3:71" outlineLevel="1" x14ac:dyDescent="0.2">
      <c r="J382" s="26"/>
      <c r="L382" s="55"/>
      <c r="M382" s="55"/>
      <c r="N382" s="55"/>
      <c r="O382" s="55"/>
      <c r="P382" s="55"/>
      <c r="Q382" s="55"/>
      <c r="R382" s="55"/>
      <c r="S382" s="55"/>
      <c r="T382" s="55"/>
      <c r="U382" s="55"/>
      <c r="V382" s="55"/>
      <c r="W382" s="55"/>
      <c r="X382" s="55"/>
      <c r="Y382" s="55"/>
      <c r="Z382" s="55"/>
      <c r="AA382" s="55"/>
      <c r="AB382" s="55"/>
      <c r="AC382" s="55"/>
      <c r="AD382" s="55"/>
      <c r="AE382" s="55"/>
      <c r="AF382" s="55"/>
      <c r="AG382" s="55"/>
      <c r="AH382" s="55"/>
      <c r="AI382" s="55"/>
      <c r="AJ382" s="55"/>
      <c r="AK382" s="55"/>
      <c r="AL382" s="55"/>
      <c r="AM382" s="55"/>
      <c r="AN382" s="55"/>
      <c r="AO382" s="55"/>
      <c r="AP382" s="55"/>
      <c r="AQ382" s="55"/>
      <c r="AR382" s="55"/>
      <c r="AS382" s="55"/>
      <c r="AT382" s="55"/>
      <c r="AU382" s="55"/>
      <c r="AV382" s="55"/>
      <c r="AW382" s="55"/>
      <c r="AX382" s="55"/>
      <c r="AY382" s="55"/>
      <c r="AZ382" s="55"/>
      <c r="BA382" s="55"/>
      <c r="BB382" s="55"/>
      <c r="BC382" s="55"/>
      <c r="BD382" s="55"/>
      <c r="BE382" s="55"/>
      <c r="BF382" s="55"/>
      <c r="BG382" s="55"/>
      <c r="BH382" s="55"/>
      <c r="BI382" s="55"/>
      <c r="BJ382" s="55"/>
      <c r="BK382" s="55"/>
      <c r="BL382" s="55"/>
      <c r="BM382" s="55"/>
      <c r="BN382" s="55"/>
      <c r="BO382" s="55"/>
      <c r="BP382" s="55"/>
      <c r="BQ382" s="55"/>
      <c r="BR382" s="55"/>
      <c r="BS382" s="55"/>
    </row>
    <row r="383" spans="3:71" outlineLevel="1" x14ac:dyDescent="0.2">
      <c r="J383" s="26"/>
      <c r="L383" s="55"/>
      <c r="M383" s="55"/>
      <c r="N383" s="55"/>
      <c r="O383" s="55"/>
      <c r="P383" s="55"/>
      <c r="Q383" s="55"/>
      <c r="R383" s="55"/>
      <c r="S383" s="55"/>
      <c r="T383" s="55"/>
      <c r="U383" s="55"/>
      <c r="V383" s="55"/>
      <c r="W383" s="55"/>
      <c r="X383" s="55"/>
      <c r="Y383" s="55"/>
      <c r="Z383" s="55"/>
      <c r="AA383" s="55"/>
      <c r="AB383" s="55"/>
      <c r="AC383" s="55"/>
      <c r="AD383" s="55"/>
      <c r="AE383" s="55"/>
      <c r="AF383" s="55"/>
      <c r="AG383" s="55"/>
      <c r="AH383" s="55"/>
      <c r="AI383" s="55"/>
      <c r="AJ383" s="55"/>
      <c r="AK383" s="55"/>
      <c r="AL383" s="55"/>
      <c r="AM383" s="55"/>
      <c r="AN383" s="55"/>
      <c r="AO383" s="55"/>
      <c r="AP383" s="55"/>
      <c r="AQ383" s="55"/>
      <c r="AR383" s="55"/>
      <c r="AS383" s="55"/>
      <c r="AT383" s="55"/>
      <c r="AU383" s="55"/>
      <c r="AV383" s="55"/>
      <c r="AW383" s="55"/>
      <c r="AX383" s="55"/>
      <c r="AY383" s="55"/>
      <c r="AZ383" s="55"/>
      <c r="BA383" s="55"/>
      <c r="BB383" s="55"/>
      <c r="BC383" s="55"/>
      <c r="BD383" s="55"/>
      <c r="BE383" s="55"/>
      <c r="BF383" s="55"/>
      <c r="BG383" s="55"/>
      <c r="BH383" s="55"/>
      <c r="BI383" s="55"/>
      <c r="BJ383" s="55"/>
      <c r="BK383" s="55"/>
      <c r="BL383" s="55"/>
      <c r="BM383" s="55"/>
      <c r="BN383" s="55"/>
      <c r="BO383" s="55"/>
      <c r="BP383" s="55"/>
      <c r="BQ383" s="55"/>
      <c r="BR383" s="55"/>
      <c r="BS383" s="55"/>
    </row>
    <row r="384" spans="3:71" outlineLevel="1" x14ac:dyDescent="0.2">
      <c r="J384" s="26"/>
      <c r="L384" s="55"/>
      <c r="M384" s="55"/>
      <c r="N384" s="55"/>
      <c r="O384" s="55"/>
      <c r="P384" s="55"/>
      <c r="Q384" s="55"/>
      <c r="R384" s="55"/>
      <c r="S384" s="55"/>
      <c r="T384" s="55"/>
      <c r="U384" s="55"/>
      <c r="V384" s="55"/>
      <c r="W384" s="55"/>
      <c r="X384" s="55"/>
      <c r="Y384" s="55"/>
      <c r="Z384" s="55"/>
      <c r="AA384" s="55"/>
      <c r="AB384" s="55"/>
      <c r="AC384" s="55"/>
      <c r="AD384" s="55"/>
      <c r="AE384" s="55"/>
      <c r="AF384" s="55"/>
      <c r="AG384" s="55"/>
      <c r="AH384" s="55"/>
      <c r="AI384" s="55"/>
      <c r="AJ384" s="55"/>
      <c r="AK384" s="55"/>
      <c r="AL384" s="55"/>
      <c r="AM384" s="55"/>
      <c r="AN384" s="55"/>
      <c r="AO384" s="55"/>
      <c r="AP384" s="55"/>
      <c r="AQ384" s="55"/>
      <c r="AR384" s="55"/>
      <c r="AS384" s="55"/>
      <c r="AT384" s="55"/>
      <c r="AU384" s="55"/>
      <c r="AV384" s="55"/>
      <c r="AW384" s="55"/>
      <c r="AX384" s="55"/>
      <c r="AY384" s="55"/>
      <c r="AZ384" s="55"/>
      <c r="BA384" s="55"/>
      <c r="BB384" s="55"/>
      <c r="BC384" s="55"/>
      <c r="BD384" s="55"/>
      <c r="BE384" s="55"/>
      <c r="BF384" s="55"/>
      <c r="BG384" s="55"/>
      <c r="BH384" s="55"/>
      <c r="BI384" s="55"/>
      <c r="BJ384" s="55"/>
      <c r="BK384" s="55"/>
      <c r="BL384" s="55"/>
      <c r="BM384" s="55"/>
      <c r="BN384" s="55"/>
      <c r="BO384" s="55"/>
      <c r="BP384" s="55"/>
      <c r="BQ384" s="55"/>
      <c r="BR384" s="55"/>
      <c r="BS384" s="55"/>
    </row>
    <row r="385" spans="1:71" outlineLevel="1" x14ac:dyDescent="0.2">
      <c r="J385" s="26"/>
      <c r="L385" s="55"/>
      <c r="M385" s="55"/>
      <c r="N385" s="55"/>
      <c r="O385" s="55"/>
      <c r="P385" s="55"/>
      <c r="Q385" s="55"/>
      <c r="R385" s="55"/>
      <c r="S385" s="55"/>
      <c r="T385" s="55"/>
      <c r="U385" s="55"/>
      <c r="V385" s="55"/>
      <c r="W385" s="55"/>
      <c r="X385" s="55"/>
      <c r="Y385" s="55"/>
      <c r="Z385" s="55"/>
      <c r="AA385" s="55"/>
      <c r="AB385" s="55"/>
      <c r="AC385" s="55"/>
      <c r="AD385" s="55"/>
      <c r="AE385" s="55"/>
      <c r="AF385" s="55"/>
      <c r="AG385" s="55"/>
      <c r="AH385" s="55"/>
      <c r="AI385" s="55"/>
      <c r="AJ385" s="55"/>
      <c r="AK385" s="55"/>
      <c r="AL385" s="55"/>
      <c r="AM385" s="55"/>
      <c r="AN385" s="55"/>
      <c r="AO385" s="55"/>
      <c r="AP385" s="55"/>
      <c r="AQ385" s="55"/>
      <c r="AR385" s="55"/>
      <c r="AS385" s="55"/>
      <c r="AT385" s="55"/>
      <c r="AU385" s="55"/>
      <c r="AV385" s="55"/>
      <c r="AW385" s="55"/>
      <c r="AX385" s="55"/>
      <c r="AY385" s="55"/>
      <c r="AZ385" s="55"/>
      <c r="BA385" s="55"/>
      <c r="BB385" s="55"/>
      <c r="BC385" s="55"/>
      <c r="BD385" s="55"/>
      <c r="BE385" s="55"/>
      <c r="BF385" s="55"/>
      <c r="BG385" s="55"/>
      <c r="BH385" s="55"/>
      <c r="BI385" s="55"/>
      <c r="BJ385" s="55"/>
      <c r="BK385" s="55"/>
      <c r="BL385" s="55"/>
      <c r="BM385" s="55"/>
      <c r="BN385" s="55"/>
      <c r="BO385" s="55"/>
      <c r="BP385" s="55"/>
      <c r="BQ385" s="55"/>
      <c r="BR385" s="55"/>
      <c r="BS385" s="55"/>
    </row>
    <row r="386" spans="1:71" outlineLevel="1" x14ac:dyDescent="0.2">
      <c r="J386" s="26"/>
      <c r="L386" s="55"/>
      <c r="M386" s="55"/>
      <c r="N386" s="55"/>
      <c r="O386" s="55"/>
      <c r="P386" s="55"/>
      <c r="Q386" s="55"/>
      <c r="R386" s="55"/>
      <c r="S386" s="55"/>
      <c r="T386" s="55"/>
      <c r="U386" s="55"/>
      <c r="V386" s="55"/>
      <c r="W386" s="55"/>
      <c r="X386" s="55"/>
      <c r="Y386" s="55"/>
      <c r="Z386" s="55"/>
      <c r="AA386" s="55"/>
      <c r="AB386" s="55"/>
      <c r="AC386" s="55"/>
      <c r="AD386" s="55"/>
      <c r="AE386" s="55"/>
      <c r="AF386" s="55"/>
      <c r="AG386" s="55"/>
      <c r="AH386" s="55"/>
      <c r="AI386" s="55"/>
      <c r="AJ386" s="55"/>
      <c r="AK386" s="55"/>
      <c r="AL386" s="55"/>
      <c r="AM386" s="55"/>
      <c r="AN386" s="55"/>
      <c r="AO386" s="55"/>
      <c r="AP386" s="55"/>
      <c r="AQ386" s="55"/>
      <c r="AR386" s="55"/>
      <c r="AS386" s="55"/>
      <c r="AT386" s="55"/>
      <c r="AU386" s="55"/>
      <c r="AV386" s="55"/>
      <c r="AW386" s="55"/>
      <c r="AX386" s="55"/>
      <c r="AY386" s="55"/>
      <c r="AZ386" s="55"/>
      <c r="BA386" s="55"/>
      <c r="BB386" s="55"/>
      <c r="BC386" s="55"/>
      <c r="BD386" s="55"/>
      <c r="BE386" s="55"/>
      <c r="BF386" s="55"/>
      <c r="BG386" s="55"/>
      <c r="BH386" s="55"/>
      <c r="BI386" s="55"/>
      <c r="BJ386" s="55"/>
      <c r="BK386" s="55"/>
      <c r="BL386" s="55"/>
      <c r="BM386" s="55"/>
      <c r="BN386" s="55"/>
      <c r="BO386" s="55"/>
      <c r="BP386" s="55"/>
      <c r="BQ386" s="55"/>
      <c r="BR386" s="55"/>
      <c r="BS386" s="55"/>
    </row>
    <row r="387" spans="1:71" outlineLevel="1" x14ac:dyDescent="0.2">
      <c r="A387" s="45"/>
      <c r="B387" s="38" t="str">
        <f>HM_ZB_Nsoko!B373</f>
        <v>Calculs des intérêts portés</v>
      </c>
      <c r="C387" s="45"/>
      <c r="D387" s="45"/>
      <c r="E387" s="45"/>
      <c r="J387" s="26"/>
      <c r="L387" s="55"/>
      <c r="M387" s="55"/>
      <c r="N387" s="55"/>
      <c r="O387" s="55"/>
      <c r="P387" s="55"/>
      <c r="Q387" s="55"/>
      <c r="R387" s="55"/>
      <c r="S387" s="55"/>
      <c r="T387" s="55"/>
      <c r="U387" s="55"/>
      <c r="V387" s="55"/>
      <c r="W387" s="55"/>
      <c r="X387" s="55"/>
      <c r="Y387" s="55"/>
      <c r="Z387" s="55"/>
      <c r="AA387" s="55"/>
      <c r="AB387" s="55"/>
      <c r="AC387" s="55"/>
      <c r="AD387" s="55"/>
      <c r="AE387" s="55"/>
      <c r="AF387" s="55"/>
      <c r="AG387" s="55"/>
      <c r="AH387" s="55"/>
      <c r="AI387" s="55"/>
      <c r="AJ387" s="55"/>
      <c r="AK387" s="55"/>
      <c r="AL387" s="55"/>
      <c r="AM387" s="55"/>
      <c r="AN387" s="55"/>
      <c r="AO387" s="55"/>
      <c r="AP387" s="55"/>
      <c r="AQ387" s="55"/>
      <c r="AR387" s="55"/>
      <c r="AS387" s="55"/>
      <c r="AT387" s="55"/>
      <c r="AU387" s="55"/>
      <c r="AV387" s="55"/>
      <c r="AW387" s="55"/>
      <c r="AX387" s="55"/>
      <c r="AY387" s="55"/>
      <c r="AZ387" s="55"/>
      <c r="BA387" s="55"/>
      <c r="BB387" s="55"/>
      <c r="BC387" s="55"/>
      <c r="BD387" s="55"/>
      <c r="BE387" s="55"/>
      <c r="BF387" s="55"/>
      <c r="BG387" s="55"/>
      <c r="BH387" s="55"/>
      <c r="BI387" s="55"/>
      <c r="BJ387" s="55"/>
      <c r="BK387" s="55"/>
      <c r="BL387" s="55"/>
      <c r="BM387" s="55"/>
      <c r="BN387" s="55"/>
      <c r="BO387" s="55"/>
      <c r="BP387" s="55"/>
      <c r="BQ387" s="55"/>
      <c r="BR387" s="55"/>
      <c r="BS387" s="55"/>
    </row>
    <row r="388" spans="1:71" outlineLevel="1" x14ac:dyDescent="0.2">
      <c r="J388" s="26"/>
      <c r="L388" s="55"/>
      <c r="M388" s="55"/>
      <c r="N388" s="55"/>
      <c r="O388" s="55"/>
      <c r="P388" s="55"/>
      <c r="Q388" s="55"/>
      <c r="R388" s="55"/>
      <c r="S388" s="55"/>
      <c r="T388" s="55"/>
      <c r="U388" s="55"/>
      <c r="V388" s="55"/>
      <c r="W388" s="55"/>
      <c r="X388" s="55"/>
      <c r="Y388" s="55"/>
      <c r="Z388" s="55"/>
      <c r="AA388" s="55"/>
      <c r="AB388" s="55"/>
      <c r="AC388" s="55"/>
      <c r="AD388" s="55"/>
      <c r="AE388" s="55"/>
      <c r="AF388" s="55"/>
      <c r="AG388" s="55"/>
      <c r="AH388" s="55"/>
      <c r="AI388" s="55"/>
      <c r="AJ388" s="55"/>
      <c r="AK388" s="55"/>
      <c r="AL388" s="55"/>
      <c r="AM388" s="55"/>
      <c r="AN388" s="55"/>
      <c r="AO388" s="55"/>
      <c r="AP388" s="55"/>
      <c r="AQ388" s="55"/>
      <c r="AR388" s="55"/>
      <c r="AS388" s="55"/>
      <c r="AT388" s="55"/>
      <c r="AU388" s="55"/>
      <c r="AV388" s="55"/>
      <c r="AW388" s="55"/>
      <c r="AX388" s="55"/>
      <c r="AY388" s="55"/>
      <c r="AZ388" s="55"/>
      <c r="BA388" s="55"/>
      <c r="BB388" s="55"/>
      <c r="BC388" s="55"/>
      <c r="BD388" s="55"/>
      <c r="BE388" s="55"/>
      <c r="BF388" s="55"/>
      <c r="BG388" s="55"/>
      <c r="BH388" s="55"/>
      <c r="BI388" s="55"/>
      <c r="BJ388" s="55"/>
      <c r="BK388" s="55"/>
      <c r="BL388" s="55"/>
      <c r="BM388" s="55"/>
      <c r="BN388" s="55"/>
      <c r="BO388" s="55"/>
      <c r="BP388" s="55"/>
      <c r="BQ388" s="55"/>
      <c r="BR388" s="55"/>
      <c r="BS388" s="55"/>
    </row>
    <row r="389" spans="1:71" outlineLevel="1" x14ac:dyDescent="0.2">
      <c r="C389" s="11" t="str">
        <f>HM_ZB_Nsoko!C375</f>
        <v>Coûts portés compagnie nationale</v>
      </c>
      <c r="J389" s="26"/>
      <c r="L389" s="55"/>
      <c r="M389" s="55"/>
      <c r="N389" s="55"/>
      <c r="O389" s="55"/>
      <c r="P389" s="55"/>
      <c r="Q389" s="55"/>
      <c r="R389" s="55"/>
      <c r="S389" s="55"/>
      <c r="T389" s="55"/>
      <c r="U389" s="55"/>
      <c r="V389" s="55"/>
      <c r="W389" s="55"/>
      <c r="X389" s="55"/>
      <c r="Y389" s="55"/>
      <c r="Z389" s="55"/>
      <c r="AA389" s="55"/>
      <c r="AB389" s="55"/>
      <c r="AC389" s="55"/>
      <c r="AD389" s="55"/>
      <c r="AE389" s="55"/>
      <c r="AF389" s="55"/>
      <c r="AG389" s="55"/>
      <c r="AH389" s="55"/>
      <c r="AI389" s="55"/>
      <c r="AJ389" s="55"/>
      <c r="AK389" s="55"/>
      <c r="AL389" s="55"/>
      <c r="AM389" s="55"/>
      <c r="AN389" s="55"/>
      <c r="AO389" s="55"/>
      <c r="AP389" s="55"/>
      <c r="AQ389" s="55"/>
      <c r="AR389" s="55"/>
      <c r="AS389" s="55"/>
      <c r="AT389" s="55"/>
      <c r="AU389" s="55"/>
      <c r="AV389" s="55"/>
      <c r="AW389" s="55"/>
      <c r="AX389" s="55"/>
      <c r="AY389" s="55"/>
      <c r="AZ389" s="55"/>
      <c r="BA389" s="55"/>
      <c r="BB389" s="55"/>
      <c r="BC389" s="55"/>
      <c r="BD389" s="55"/>
      <c r="BE389" s="55"/>
      <c r="BF389" s="55"/>
      <c r="BG389" s="55"/>
      <c r="BH389" s="55"/>
      <c r="BI389" s="55"/>
      <c r="BJ389" s="55"/>
      <c r="BK389" s="55"/>
      <c r="BL389" s="55"/>
      <c r="BM389" s="55"/>
      <c r="BN389" s="55"/>
      <c r="BO389" s="55"/>
      <c r="BP389" s="55"/>
      <c r="BQ389" s="55"/>
      <c r="BR389" s="55"/>
      <c r="BS389" s="55"/>
    </row>
    <row r="390" spans="1:71" outlineLevel="1" x14ac:dyDescent="0.2">
      <c r="D390" t="str">
        <f>HM_ZB_Nsoko!D376</f>
        <v>Intérêt porté compagnie nationale - coûts exploration</v>
      </c>
      <c r="I390" s="30">
        <f t="shared" ref="I390:I393" ca="1" si="214">SUM($L390:$BS390)</f>
        <v>0</v>
      </c>
      <c r="J390" s="26" t="s">
        <v>148</v>
      </c>
      <c r="K390" s="7" t="s">
        <v>358</v>
      </c>
      <c r="L390" s="49">
        <f ca="1">(HM_ZD_Moho!CA_expex_nom*HM_ZD_Moho!NOC_CI_expex)*HM_ZD_Moho!CA_op_trig</f>
        <v>0</v>
      </c>
      <c r="M390" s="49">
        <f ca="1">(HM_ZD_Moho!CA_expex_nom*HM_ZD_Moho!NOC_CI_expex)*HM_ZD_Moho!CA_op_trig</f>
        <v>0</v>
      </c>
      <c r="N390" s="49">
        <f ca="1">(HM_ZD_Moho!CA_expex_nom*HM_ZD_Moho!NOC_CI_expex)*HM_ZD_Moho!CA_op_trig</f>
        <v>0</v>
      </c>
      <c r="O390" s="49">
        <f ca="1">(HM_ZD_Moho!CA_expex_nom*HM_ZD_Moho!NOC_CI_expex)*HM_ZD_Moho!CA_op_trig</f>
        <v>0</v>
      </c>
      <c r="P390" s="49">
        <f ca="1">(HM_ZD_Moho!CA_expex_nom*HM_ZD_Moho!NOC_CI_expex)*HM_ZD_Moho!CA_op_trig</f>
        <v>0</v>
      </c>
      <c r="Q390" s="49">
        <f ca="1">(HM_ZD_Moho!CA_expex_nom*HM_ZD_Moho!NOC_CI_expex)*HM_ZD_Moho!CA_op_trig</f>
        <v>0</v>
      </c>
      <c r="R390" s="49">
        <f ca="1">(HM_ZD_Moho!CA_expex_nom*HM_ZD_Moho!NOC_CI_expex)*HM_ZD_Moho!CA_op_trig</f>
        <v>0</v>
      </c>
      <c r="S390" s="49">
        <f ca="1">(HM_ZD_Moho!CA_expex_nom*HM_ZD_Moho!NOC_CI_expex)*HM_ZD_Moho!CA_op_trig</f>
        <v>0</v>
      </c>
      <c r="T390" s="49">
        <f ca="1">(HM_ZD_Moho!CA_expex_nom*HM_ZD_Moho!NOC_CI_expex)*HM_ZD_Moho!CA_op_trig</f>
        <v>0</v>
      </c>
      <c r="U390" s="49">
        <f ca="1">(HM_ZD_Moho!CA_expex_nom*HM_ZD_Moho!NOC_CI_expex)*HM_ZD_Moho!CA_op_trig</f>
        <v>0</v>
      </c>
      <c r="V390" s="49">
        <f ca="1">(HM_ZD_Moho!CA_expex_nom*HM_ZD_Moho!NOC_CI_expex)*HM_ZD_Moho!CA_op_trig</f>
        <v>0</v>
      </c>
      <c r="W390" s="49">
        <f ca="1">(HM_ZD_Moho!CA_expex_nom*HM_ZD_Moho!NOC_CI_expex)*HM_ZD_Moho!CA_op_trig</f>
        <v>0</v>
      </c>
      <c r="X390" s="49">
        <f ca="1">(HM_ZD_Moho!CA_expex_nom*HM_ZD_Moho!NOC_CI_expex)*HM_ZD_Moho!CA_op_trig</f>
        <v>0</v>
      </c>
      <c r="Y390" s="49">
        <f ca="1">(HM_ZD_Moho!CA_expex_nom*HM_ZD_Moho!NOC_CI_expex)*HM_ZD_Moho!CA_op_trig</f>
        <v>0</v>
      </c>
      <c r="Z390" s="49">
        <f ca="1">(HM_ZD_Moho!CA_expex_nom*HM_ZD_Moho!NOC_CI_expex)*HM_ZD_Moho!CA_op_trig</f>
        <v>0</v>
      </c>
      <c r="AA390" s="49">
        <f ca="1">(HM_ZD_Moho!CA_expex_nom*HM_ZD_Moho!NOC_CI_expex)*HM_ZD_Moho!CA_op_trig</f>
        <v>0</v>
      </c>
      <c r="AB390" s="49">
        <f ca="1">(HM_ZD_Moho!CA_expex_nom*HM_ZD_Moho!NOC_CI_expex)*HM_ZD_Moho!CA_op_trig</f>
        <v>0</v>
      </c>
      <c r="AC390" s="49">
        <f ca="1">(HM_ZD_Moho!CA_expex_nom*HM_ZD_Moho!NOC_CI_expex)*HM_ZD_Moho!CA_op_trig</f>
        <v>0</v>
      </c>
      <c r="AD390" s="49">
        <f ca="1">(HM_ZD_Moho!CA_expex_nom*HM_ZD_Moho!NOC_CI_expex)*HM_ZD_Moho!CA_op_trig</f>
        <v>0</v>
      </c>
      <c r="AE390" s="49">
        <f ca="1">(HM_ZD_Moho!CA_expex_nom*HM_ZD_Moho!NOC_CI_expex)*HM_ZD_Moho!CA_op_trig</f>
        <v>0</v>
      </c>
      <c r="AF390" s="49">
        <f ca="1">(HM_ZD_Moho!CA_expex_nom*HM_ZD_Moho!NOC_CI_expex)*HM_ZD_Moho!CA_op_trig</f>
        <v>0</v>
      </c>
      <c r="AG390" s="49">
        <f ca="1">(HM_ZD_Moho!CA_expex_nom*HM_ZD_Moho!NOC_CI_expex)*HM_ZD_Moho!CA_op_trig</f>
        <v>0</v>
      </c>
      <c r="AH390" s="49">
        <f ca="1">(HM_ZD_Moho!CA_expex_nom*HM_ZD_Moho!NOC_CI_expex)*HM_ZD_Moho!CA_op_trig</f>
        <v>0</v>
      </c>
      <c r="AI390" s="49">
        <f ca="1">(HM_ZD_Moho!CA_expex_nom*HM_ZD_Moho!NOC_CI_expex)*HM_ZD_Moho!CA_op_trig</f>
        <v>0</v>
      </c>
      <c r="AJ390" s="49">
        <f ca="1">(HM_ZD_Moho!CA_expex_nom*HM_ZD_Moho!NOC_CI_expex)*HM_ZD_Moho!CA_op_trig</f>
        <v>0</v>
      </c>
      <c r="AK390" s="49">
        <f ca="1">(HM_ZD_Moho!CA_expex_nom*HM_ZD_Moho!NOC_CI_expex)*HM_ZD_Moho!CA_op_trig</f>
        <v>0</v>
      </c>
      <c r="AL390" s="49">
        <f ca="1">(HM_ZD_Moho!CA_expex_nom*HM_ZD_Moho!NOC_CI_expex)*HM_ZD_Moho!CA_op_trig</f>
        <v>0</v>
      </c>
      <c r="AM390" s="49">
        <f ca="1">(HM_ZD_Moho!CA_expex_nom*HM_ZD_Moho!NOC_CI_expex)*HM_ZD_Moho!CA_op_trig</f>
        <v>0</v>
      </c>
      <c r="AN390" s="49">
        <f ca="1">(HM_ZD_Moho!CA_expex_nom*HM_ZD_Moho!NOC_CI_expex)*HM_ZD_Moho!CA_op_trig</f>
        <v>0</v>
      </c>
      <c r="AO390" s="49">
        <f ca="1">(HM_ZD_Moho!CA_expex_nom*HM_ZD_Moho!NOC_CI_expex)*HM_ZD_Moho!CA_op_trig</f>
        <v>0</v>
      </c>
      <c r="AP390" s="49">
        <f ca="1">(HM_ZD_Moho!CA_expex_nom*HM_ZD_Moho!NOC_CI_expex)*HM_ZD_Moho!CA_op_trig</f>
        <v>0</v>
      </c>
      <c r="AQ390" s="49">
        <f ca="1">(HM_ZD_Moho!CA_expex_nom*HM_ZD_Moho!NOC_CI_expex)*HM_ZD_Moho!CA_op_trig</f>
        <v>0</v>
      </c>
      <c r="AR390" s="49">
        <f ca="1">(HM_ZD_Moho!CA_expex_nom*HM_ZD_Moho!NOC_CI_expex)*HM_ZD_Moho!CA_op_trig</f>
        <v>0</v>
      </c>
      <c r="AS390" s="49">
        <f ca="1">(HM_ZD_Moho!CA_expex_nom*HM_ZD_Moho!NOC_CI_expex)*HM_ZD_Moho!CA_op_trig</f>
        <v>0</v>
      </c>
      <c r="AT390" s="49">
        <f ca="1">(HM_ZD_Moho!CA_expex_nom*HM_ZD_Moho!NOC_CI_expex)*HM_ZD_Moho!CA_op_trig</f>
        <v>0</v>
      </c>
      <c r="AU390" s="49">
        <f ca="1">(HM_ZD_Moho!CA_expex_nom*HM_ZD_Moho!NOC_CI_expex)*HM_ZD_Moho!CA_op_trig</f>
        <v>0</v>
      </c>
      <c r="AV390" s="49">
        <f ca="1">(HM_ZD_Moho!CA_expex_nom*HM_ZD_Moho!NOC_CI_expex)*HM_ZD_Moho!CA_op_trig</f>
        <v>0</v>
      </c>
      <c r="AW390" s="49">
        <f ca="1">(HM_ZD_Moho!CA_expex_nom*HM_ZD_Moho!NOC_CI_expex)*HM_ZD_Moho!CA_op_trig</f>
        <v>0</v>
      </c>
      <c r="AX390" s="49">
        <f ca="1">(HM_ZD_Moho!CA_expex_nom*HM_ZD_Moho!NOC_CI_expex)*HM_ZD_Moho!CA_op_trig</f>
        <v>0</v>
      </c>
      <c r="AY390" s="49">
        <f ca="1">(HM_ZD_Moho!CA_expex_nom*HM_ZD_Moho!NOC_CI_expex)*HM_ZD_Moho!CA_op_trig</f>
        <v>0</v>
      </c>
      <c r="AZ390" s="49">
        <f ca="1">(HM_ZD_Moho!CA_expex_nom*HM_ZD_Moho!NOC_CI_expex)*HM_ZD_Moho!CA_op_trig</f>
        <v>0</v>
      </c>
      <c r="BA390" s="49">
        <f ca="1">(HM_ZD_Moho!CA_expex_nom*HM_ZD_Moho!NOC_CI_expex)*HM_ZD_Moho!CA_op_trig</f>
        <v>0</v>
      </c>
      <c r="BB390" s="49">
        <f ca="1">(HM_ZD_Moho!CA_expex_nom*HM_ZD_Moho!NOC_CI_expex)*HM_ZD_Moho!CA_op_trig</f>
        <v>0</v>
      </c>
      <c r="BC390" s="49">
        <f ca="1">(HM_ZD_Moho!CA_expex_nom*HM_ZD_Moho!NOC_CI_expex)*HM_ZD_Moho!CA_op_trig</f>
        <v>0</v>
      </c>
      <c r="BD390" s="49">
        <f ca="1">(HM_ZD_Moho!CA_expex_nom*HM_ZD_Moho!NOC_CI_expex)*HM_ZD_Moho!CA_op_trig</f>
        <v>0</v>
      </c>
      <c r="BE390" s="49">
        <f ca="1">(HM_ZD_Moho!CA_expex_nom*HM_ZD_Moho!NOC_CI_expex)*HM_ZD_Moho!CA_op_trig</f>
        <v>0</v>
      </c>
      <c r="BF390" s="49">
        <f ca="1">(HM_ZD_Moho!CA_expex_nom*HM_ZD_Moho!NOC_CI_expex)*HM_ZD_Moho!CA_op_trig</f>
        <v>0</v>
      </c>
      <c r="BG390" s="49">
        <f ca="1">(HM_ZD_Moho!CA_expex_nom*HM_ZD_Moho!NOC_CI_expex)*HM_ZD_Moho!CA_op_trig</f>
        <v>0</v>
      </c>
      <c r="BH390" s="49">
        <f ca="1">(HM_ZD_Moho!CA_expex_nom*HM_ZD_Moho!NOC_CI_expex)*HM_ZD_Moho!CA_op_trig</f>
        <v>0</v>
      </c>
      <c r="BI390" s="49">
        <f ca="1">(HM_ZD_Moho!CA_expex_nom*HM_ZD_Moho!NOC_CI_expex)*HM_ZD_Moho!CA_op_trig</f>
        <v>0</v>
      </c>
      <c r="BJ390" s="49">
        <f ca="1">(HM_ZD_Moho!CA_expex_nom*HM_ZD_Moho!NOC_CI_expex)*HM_ZD_Moho!CA_op_trig</f>
        <v>0</v>
      </c>
      <c r="BK390" s="49">
        <f ca="1">(HM_ZD_Moho!CA_expex_nom*HM_ZD_Moho!NOC_CI_expex)*HM_ZD_Moho!CA_op_trig</f>
        <v>0</v>
      </c>
      <c r="BL390" s="49">
        <f ca="1">(HM_ZD_Moho!CA_expex_nom*HM_ZD_Moho!NOC_CI_expex)*HM_ZD_Moho!CA_op_trig</f>
        <v>0</v>
      </c>
      <c r="BM390" s="49">
        <f ca="1">(HM_ZD_Moho!CA_expex_nom*HM_ZD_Moho!NOC_CI_expex)*HM_ZD_Moho!CA_op_trig</f>
        <v>0</v>
      </c>
      <c r="BN390" s="49">
        <f ca="1">(HM_ZD_Moho!CA_expex_nom*HM_ZD_Moho!NOC_CI_expex)*HM_ZD_Moho!CA_op_trig</f>
        <v>0</v>
      </c>
      <c r="BO390" s="49">
        <f ca="1">(HM_ZD_Moho!CA_expex_nom*HM_ZD_Moho!NOC_CI_expex)*HM_ZD_Moho!CA_op_trig</f>
        <v>0</v>
      </c>
      <c r="BP390" s="49">
        <f ca="1">(HM_ZD_Moho!CA_expex_nom*HM_ZD_Moho!NOC_CI_expex)*HM_ZD_Moho!CA_op_trig</f>
        <v>0</v>
      </c>
      <c r="BQ390" s="49">
        <f ca="1">(HM_ZD_Moho!CA_expex_nom*HM_ZD_Moho!NOC_CI_expex)*HM_ZD_Moho!CA_op_trig</f>
        <v>0</v>
      </c>
      <c r="BR390" s="49">
        <f ca="1">(HM_ZD_Moho!CA_expex_nom*HM_ZD_Moho!NOC_CI_expex)*HM_ZD_Moho!CA_op_trig</f>
        <v>0</v>
      </c>
      <c r="BS390" s="49">
        <f ca="1">(HM_ZD_Moho!CA_expex_nom*HM_ZD_Moho!NOC_CI_expex)*HM_ZD_Moho!CA_op_trig</f>
        <v>0</v>
      </c>
    </row>
    <row r="391" spans="1:71" outlineLevel="1" x14ac:dyDescent="0.2">
      <c r="D391" t="str">
        <f>HM_ZB_Nsoko!D377</f>
        <v>Intérêt porté - Capex</v>
      </c>
      <c r="I391" s="30">
        <f t="shared" ca="1" si="214"/>
        <v>1637.03865</v>
      </c>
      <c r="J391" s="26" t="s">
        <v>148</v>
      </c>
      <c r="K391" s="7" t="s">
        <v>359</v>
      </c>
      <c r="L391" s="49">
        <f ca="1">(HM_ZD_Moho!CA_devex_nom*HM_ZD_Moho!NOC_CI_devex)*(HM_ZD_Moho!CA_op_trig)</f>
        <v>193.01729999999998</v>
      </c>
      <c r="M391" s="49">
        <f ca="1">(HM_ZD_Moho!CA_devex_nom*HM_ZD_Moho!NOC_CI_devex)*(HM_ZD_Moho!CA_op_trig)</f>
        <v>317.73179999999996</v>
      </c>
      <c r="N391" s="49">
        <f ca="1">(HM_ZD_Moho!CA_devex_nom*HM_ZD_Moho!NOC_CI_devex)*(HM_ZD_Moho!CA_op_trig)</f>
        <v>469.58609999999999</v>
      </c>
      <c r="O391" s="49">
        <f ca="1">(HM_ZD_Moho!CA_devex_nom*HM_ZD_Moho!NOC_CI_devex)*(HM_ZD_Moho!CA_op_trig)</f>
        <v>385.68014999999997</v>
      </c>
      <c r="P391" s="49">
        <f ca="1">(HM_ZD_Moho!CA_devex_nom*HM_ZD_Moho!NOC_CI_devex)*(HM_ZD_Moho!CA_op_trig)</f>
        <v>172.98479999999998</v>
      </c>
      <c r="Q391" s="49">
        <f ca="1">(HM_ZD_Moho!CA_devex_nom*HM_ZD_Moho!NOC_CI_devex)*(HM_ZD_Moho!CA_op_trig)</f>
        <v>98.038499999999999</v>
      </c>
      <c r="R391" s="49">
        <f ca="1">(HM_ZD_Moho!CA_devex_nom*HM_ZD_Moho!NOC_CI_devex)*(HM_ZD_Moho!CA_op_trig)</f>
        <v>0</v>
      </c>
      <c r="S391" s="49">
        <f ca="1">(HM_ZD_Moho!CA_devex_nom*HM_ZD_Moho!NOC_CI_devex)*(HM_ZD_Moho!CA_op_trig)</f>
        <v>0</v>
      </c>
      <c r="T391" s="49">
        <f ca="1">(HM_ZD_Moho!CA_devex_nom*HM_ZD_Moho!NOC_CI_devex)*(HM_ZD_Moho!CA_op_trig)</f>
        <v>0</v>
      </c>
      <c r="U391" s="49">
        <f ca="1">(HM_ZD_Moho!CA_devex_nom*HM_ZD_Moho!NOC_CI_devex)*(HM_ZD_Moho!CA_op_trig)</f>
        <v>0</v>
      </c>
      <c r="V391" s="49">
        <f ca="1">(HM_ZD_Moho!CA_devex_nom*HM_ZD_Moho!NOC_CI_devex)*(HM_ZD_Moho!CA_op_trig)</f>
        <v>0</v>
      </c>
      <c r="W391" s="49">
        <f ca="1">(HM_ZD_Moho!CA_devex_nom*HM_ZD_Moho!NOC_CI_devex)*(HM_ZD_Moho!CA_op_trig)</f>
        <v>0</v>
      </c>
      <c r="X391" s="49">
        <f ca="1">(HM_ZD_Moho!CA_devex_nom*HM_ZD_Moho!NOC_CI_devex)*(HM_ZD_Moho!CA_op_trig)</f>
        <v>0</v>
      </c>
      <c r="Y391" s="49">
        <f ca="1">(HM_ZD_Moho!CA_devex_nom*HM_ZD_Moho!NOC_CI_devex)*(HM_ZD_Moho!CA_op_trig)</f>
        <v>0</v>
      </c>
      <c r="Z391" s="49">
        <f ca="1">(HM_ZD_Moho!CA_devex_nom*HM_ZD_Moho!NOC_CI_devex)*(HM_ZD_Moho!CA_op_trig)</f>
        <v>0</v>
      </c>
      <c r="AA391" s="49">
        <f ca="1">(HM_ZD_Moho!CA_devex_nom*HM_ZD_Moho!NOC_CI_devex)*(HM_ZD_Moho!CA_op_trig)</f>
        <v>0</v>
      </c>
      <c r="AB391" s="49">
        <f ca="1">(HM_ZD_Moho!CA_devex_nom*HM_ZD_Moho!NOC_CI_devex)*(HM_ZD_Moho!CA_op_trig)</f>
        <v>0</v>
      </c>
      <c r="AC391" s="49">
        <f ca="1">(HM_ZD_Moho!CA_devex_nom*HM_ZD_Moho!NOC_CI_devex)*(HM_ZD_Moho!CA_op_trig)</f>
        <v>0</v>
      </c>
      <c r="AD391" s="49">
        <f ca="1">(HM_ZD_Moho!CA_devex_nom*HM_ZD_Moho!NOC_CI_devex)*(HM_ZD_Moho!CA_op_trig)</f>
        <v>0</v>
      </c>
      <c r="AE391" s="49">
        <f ca="1">(HM_ZD_Moho!CA_devex_nom*HM_ZD_Moho!NOC_CI_devex)*(HM_ZD_Moho!CA_op_trig)</f>
        <v>0</v>
      </c>
      <c r="AF391" s="49">
        <f ca="1">(HM_ZD_Moho!CA_devex_nom*HM_ZD_Moho!NOC_CI_devex)*(HM_ZD_Moho!CA_op_trig)</f>
        <v>0</v>
      </c>
      <c r="AG391" s="49">
        <f ca="1">(HM_ZD_Moho!CA_devex_nom*HM_ZD_Moho!NOC_CI_devex)*(HM_ZD_Moho!CA_op_trig)</f>
        <v>0</v>
      </c>
      <c r="AH391" s="49">
        <f ca="1">(HM_ZD_Moho!CA_devex_nom*HM_ZD_Moho!NOC_CI_devex)*(HM_ZD_Moho!CA_op_trig)</f>
        <v>0</v>
      </c>
      <c r="AI391" s="49">
        <f ca="1">(HM_ZD_Moho!CA_devex_nom*HM_ZD_Moho!NOC_CI_devex)*(HM_ZD_Moho!CA_op_trig)</f>
        <v>0</v>
      </c>
      <c r="AJ391" s="49">
        <f ca="1">(HM_ZD_Moho!CA_devex_nom*HM_ZD_Moho!NOC_CI_devex)*(HM_ZD_Moho!CA_op_trig)</f>
        <v>0</v>
      </c>
      <c r="AK391" s="49">
        <f ca="1">(HM_ZD_Moho!CA_devex_nom*HM_ZD_Moho!NOC_CI_devex)*(HM_ZD_Moho!CA_op_trig)</f>
        <v>0</v>
      </c>
      <c r="AL391" s="49">
        <f ca="1">(HM_ZD_Moho!CA_devex_nom*HM_ZD_Moho!NOC_CI_devex)*(HM_ZD_Moho!CA_op_trig)</f>
        <v>0</v>
      </c>
      <c r="AM391" s="49">
        <f ca="1">(HM_ZD_Moho!CA_devex_nom*HM_ZD_Moho!NOC_CI_devex)*(HM_ZD_Moho!CA_op_trig)</f>
        <v>0</v>
      </c>
      <c r="AN391" s="49">
        <f ca="1">(HM_ZD_Moho!CA_devex_nom*HM_ZD_Moho!NOC_CI_devex)*(HM_ZD_Moho!CA_op_trig)</f>
        <v>0</v>
      </c>
      <c r="AO391" s="49">
        <f ca="1">(HM_ZD_Moho!CA_devex_nom*HM_ZD_Moho!NOC_CI_devex)*(HM_ZD_Moho!CA_op_trig)</f>
        <v>0</v>
      </c>
      <c r="AP391" s="49">
        <f ca="1">(HM_ZD_Moho!CA_devex_nom*HM_ZD_Moho!NOC_CI_devex)*(HM_ZD_Moho!CA_op_trig)</f>
        <v>0</v>
      </c>
      <c r="AQ391" s="49">
        <f ca="1">(HM_ZD_Moho!CA_devex_nom*HM_ZD_Moho!NOC_CI_devex)*(HM_ZD_Moho!CA_op_trig)</f>
        <v>0</v>
      </c>
      <c r="AR391" s="49">
        <f ca="1">(HM_ZD_Moho!CA_devex_nom*HM_ZD_Moho!NOC_CI_devex)*(HM_ZD_Moho!CA_op_trig)</f>
        <v>0</v>
      </c>
      <c r="AS391" s="49">
        <f ca="1">(HM_ZD_Moho!CA_devex_nom*HM_ZD_Moho!NOC_CI_devex)*(HM_ZD_Moho!CA_op_trig)</f>
        <v>0</v>
      </c>
      <c r="AT391" s="49">
        <f ca="1">(HM_ZD_Moho!CA_devex_nom*HM_ZD_Moho!NOC_CI_devex)*(HM_ZD_Moho!CA_op_trig)</f>
        <v>0</v>
      </c>
      <c r="AU391" s="49">
        <f ca="1">(HM_ZD_Moho!CA_devex_nom*HM_ZD_Moho!NOC_CI_devex)*(HM_ZD_Moho!CA_op_trig)</f>
        <v>0</v>
      </c>
      <c r="AV391" s="49">
        <f ca="1">(HM_ZD_Moho!CA_devex_nom*HM_ZD_Moho!NOC_CI_devex)*(HM_ZD_Moho!CA_op_trig)</f>
        <v>0</v>
      </c>
      <c r="AW391" s="49">
        <f ca="1">(HM_ZD_Moho!CA_devex_nom*HM_ZD_Moho!NOC_CI_devex)*(HM_ZD_Moho!CA_op_trig)</f>
        <v>0</v>
      </c>
      <c r="AX391" s="49">
        <f ca="1">(HM_ZD_Moho!CA_devex_nom*HM_ZD_Moho!NOC_CI_devex)*(HM_ZD_Moho!CA_op_trig)</f>
        <v>0</v>
      </c>
      <c r="AY391" s="49">
        <f ca="1">(HM_ZD_Moho!CA_devex_nom*HM_ZD_Moho!NOC_CI_devex)*(HM_ZD_Moho!CA_op_trig)</f>
        <v>0</v>
      </c>
      <c r="AZ391" s="49">
        <f ca="1">(HM_ZD_Moho!CA_devex_nom*HM_ZD_Moho!NOC_CI_devex)*(HM_ZD_Moho!CA_op_trig)</f>
        <v>0</v>
      </c>
      <c r="BA391" s="49">
        <f ca="1">(HM_ZD_Moho!CA_devex_nom*HM_ZD_Moho!NOC_CI_devex)*(HM_ZD_Moho!CA_op_trig)</f>
        <v>0</v>
      </c>
      <c r="BB391" s="49">
        <f ca="1">(HM_ZD_Moho!CA_devex_nom*HM_ZD_Moho!NOC_CI_devex)*(HM_ZD_Moho!CA_op_trig)</f>
        <v>0</v>
      </c>
      <c r="BC391" s="49">
        <f ca="1">(HM_ZD_Moho!CA_devex_nom*HM_ZD_Moho!NOC_CI_devex)*(HM_ZD_Moho!CA_op_trig)</f>
        <v>0</v>
      </c>
      <c r="BD391" s="49">
        <f ca="1">(HM_ZD_Moho!CA_devex_nom*HM_ZD_Moho!NOC_CI_devex)*(HM_ZD_Moho!CA_op_trig)</f>
        <v>0</v>
      </c>
      <c r="BE391" s="49">
        <f ca="1">(HM_ZD_Moho!CA_devex_nom*HM_ZD_Moho!NOC_CI_devex)*(HM_ZD_Moho!CA_op_trig)</f>
        <v>0</v>
      </c>
      <c r="BF391" s="49">
        <f ca="1">(HM_ZD_Moho!CA_devex_nom*HM_ZD_Moho!NOC_CI_devex)*(HM_ZD_Moho!CA_op_trig)</f>
        <v>0</v>
      </c>
      <c r="BG391" s="49">
        <f ca="1">(HM_ZD_Moho!CA_devex_nom*HM_ZD_Moho!NOC_CI_devex)*(HM_ZD_Moho!CA_op_trig)</f>
        <v>0</v>
      </c>
      <c r="BH391" s="49">
        <f ca="1">(HM_ZD_Moho!CA_devex_nom*HM_ZD_Moho!NOC_CI_devex)*(HM_ZD_Moho!CA_op_trig)</f>
        <v>0</v>
      </c>
      <c r="BI391" s="49">
        <f ca="1">(HM_ZD_Moho!CA_devex_nom*HM_ZD_Moho!NOC_CI_devex)*(HM_ZD_Moho!CA_op_trig)</f>
        <v>0</v>
      </c>
      <c r="BJ391" s="49">
        <f ca="1">(HM_ZD_Moho!CA_devex_nom*HM_ZD_Moho!NOC_CI_devex)*(HM_ZD_Moho!CA_op_trig)</f>
        <v>0</v>
      </c>
      <c r="BK391" s="49">
        <f ca="1">(HM_ZD_Moho!CA_devex_nom*HM_ZD_Moho!NOC_CI_devex)*(HM_ZD_Moho!CA_op_trig)</f>
        <v>0</v>
      </c>
      <c r="BL391" s="49">
        <f ca="1">(HM_ZD_Moho!CA_devex_nom*HM_ZD_Moho!NOC_CI_devex)*(HM_ZD_Moho!CA_op_trig)</f>
        <v>0</v>
      </c>
      <c r="BM391" s="49">
        <f ca="1">(HM_ZD_Moho!CA_devex_nom*HM_ZD_Moho!NOC_CI_devex)*(HM_ZD_Moho!CA_op_trig)</f>
        <v>0</v>
      </c>
      <c r="BN391" s="49">
        <f ca="1">(HM_ZD_Moho!CA_devex_nom*HM_ZD_Moho!NOC_CI_devex)*(HM_ZD_Moho!CA_op_trig)</f>
        <v>0</v>
      </c>
      <c r="BO391" s="49">
        <f ca="1">(HM_ZD_Moho!CA_devex_nom*HM_ZD_Moho!NOC_CI_devex)*(HM_ZD_Moho!CA_op_trig)</f>
        <v>0</v>
      </c>
      <c r="BP391" s="49">
        <f ca="1">(HM_ZD_Moho!CA_devex_nom*HM_ZD_Moho!NOC_CI_devex)*(HM_ZD_Moho!CA_op_trig)</f>
        <v>0</v>
      </c>
      <c r="BQ391" s="49">
        <f ca="1">(HM_ZD_Moho!CA_devex_nom*HM_ZD_Moho!NOC_CI_devex)*(HM_ZD_Moho!CA_op_trig)</f>
        <v>0</v>
      </c>
      <c r="BR391" s="49">
        <f ca="1">(HM_ZD_Moho!CA_devex_nom*HM_ZD_Moho!NOC_CI_devex)*(HM_ZD_Moho!CA_op_trig)</f>
        <v>0</v>
      </c>
      <c r="BS391" s="49">
        <f ca="1">(HM_ZD_Moho!CA_devex_nom*HM_ZD_Moho!NOC_CI_devex)*(HM_ZD_Moho!CA_op_trig)</f>
        <v>0</v>
      </c>
    </row>
    <row r="392" spans="1:71" outlineLevel="1" x14ac:dyDescent="0.2">
      <c r="D392" t="str">
        <f>HM_ZB_Nsoko!D378</f>
        <v>Intérêt porté compagnie nationale - Opex</v>
      </c>
      <c r="I392" s="30">
        <f t="shared" ca="1" si="214"/>
        <v>0</v>
      </c>
      <c r="J392" s="26" t="s">
        <v>148</v>
      </c>
      <c r="K392" s="7" t="s">
        <v>360</v>
      </c>
      <c r="L392" s="49">
        <f ca="1">((HM_ZD_Moho!CA_varopex_nom+HM_ZD_Moho!CA_fixedopex_nom)*(HM_ZD_Moho!NOC_CI_opex))*(HM_ZD_Moho!CA_op_trig)</f>
        <v>0</v>
      </c>
      <c r="M392" s="49">
        <f ca="1">((HM_ZD_Moho!CA_varopex_nom+HM_ZD_Moho!CA_fixedopex_nom)*(HM_ZD_Moho!NOC_CI_opex))*(HM_ZD_Moho!CA_op_trig)</f>
        <v>0</v>
      </c>
      <c r="N392" s="49">
        <f ca="1">((HM_ZD_Moho!CA_varopex_nom+HM_ZD_Moho!CA_fixedopex_nom)*(HM_ZD_Moho!NOC_CI_opex))*(HM_ZD_Moho!CA_op_trig)</f>
        <v>0</v>
      </c>
      <c r="O392" s="49">
        <f ca="1">((HM_ZD_Moho!CA_varopex_nom+HM_ZD_Moho!CA_fixedopex_nom)*(HM_ZD_Moho!NOC_CI_opex))*(HM_ZD_Moho!CA_op_trig)</f>
        <v>0</v>
      </c>
      <c r="P392" s="49">
        <f ca="1">((HM_ZD_Moho!CA_varopex_nom+HM_ZD_Moho!CA_fixedopex_nom)*(HM_ZD_Moho!NOC_CI_opex))*(HM_ZD_Moho!CA_op_trig)</f>
        <v>0</v>
      </c>
      <c r="Q392" s="49">
        <f ca="1">((HM_ZD_Moho!CA_varopex_nom+HM_ZD_Moho!CA_fixedopex_nom)*(HM_ZD_Moho!NOC_CI_opex))*(HM_ZD_Moho!CA_op_trig)</f>
        <v>0</v>
      </c>
      <c r="R392" s="49">
        <f ca="1">((HM_ZD_Moho!CA_varopex_nom+HM_ZD_Moho!CA_fixedopex_nom)*(HM_ZD_Moho!NOC_CI_opex))*(HM_ZD_Moho!CA_op_trig)</f>
        <v>0</v>
      </c>
      <c r="S392" s="49">
        <f ca="1">((HM_ZD_Moho!CA_varopex_nom+HM_ZD_Moho!CA_fixedopex_nom)*(HM_ZD_Moho!NOC_CI_opex))*(HM_ZD_Moho!CA_op_trig)</f>
        <v>0</v>
      </c>
      <c r="T392" s="49">
        <f ca="1">((HM_ZD_Moho!CA_varopex_nom+HM_ZD_Moho!CA_fixedopex_nom)*(HM_ZD_Moho!NOC_CI_opex))*(HM_ZD_Moho!CA_op_trig)</f>
        <v>0</v>
      </c>
      <c r="U392" s="49">
        <f ca="1">((HM_ZD_Moho!CA_varopex_nom+HM_ZD_Moho!CA_fixedopex_nom)*(HM_ZD_Moho!NOC_CI_opex))*(HM_ZD_Moho!CA_op_trig)</f>
        <v>0</v>
      </c>
      <c r="V392" s="49">
        <f ca="1">((HM_ZD_Moho!CA_varopex_nom+HM_ZD_Moho!CA_fixedopex_nom)*(HM_ZD_Moho!NOC_CI_opex))*(HM_ZD_Moho!CA_op_trig)</f>
        <v>0</v>
      </c>
      <c r="W392" s="49">
        <f ca="1">((HM_ZD_Moho!CA_varopex_nom+HM_ZD_Moho!CA_fixedopex_nom)*(HM_ZD_Moho!NOC_CI_opex))*(HM_ZD_Moho!CA_op_trig)</f>
        <v>0</v>
      </c>
      <c r="X392" s="49">
        <f ca="1">((HM_ZD_Moho!CA_varopex_nom+HM_ZD_Moho!CA_fixedopex_nom)*(HM_ZD_Moho!NOC_CI_opex))*(HM_ZD_Moho!CA_op_trig)</f>
        <v>0</v>
      </c>
      <c r="Y392" s="49">
        <f ca="1">((HM_ZD_Moho!CA_varopex_nom+HM_ZD_Moho!CA_fixedopex_nom)*(HM_ZD_Moho!NOC_CI_opex))*(HM_ZD_Moho!CA_op_trig)</f>
        <v>0</v>
      </c>
      <c r="Z392" s="49">
        <f ca="1">((HM_ZD_Moho!CA_varopex_nom+HM_ZD_Moho!CA_fixedopex_nom)*(HM_ZD_Moho!NOC_CI_opex))*(HM_ZD_Moho!CA_op_trig)</f>
        <v>0</v>
      </c>
      <c r="AA392" s="49">
        <f ca="1">((HM_ZD_Moho!CA_varopex_nom+HM_ZD_Moho!CA_fixedopex_nom)*(HM_ZD_Moho!NOC_CI_opex))*(HM_ZD_Moho!CA_op_trig)</f>
        <v>0</v>
      </c>
      <c r="AB392" s="49">
        <f ca="1">((HM_ZD_Moho!CA_varopex_nom+HM_ZD_Moho!CA_fixedopex_nom)*(HM_ZD_Moho!NOC_CI_opex))*(HM_ZD_Moho!CA_op_trig)</f>
        <v>0</v>
      </c>
      <c r="AC392" s="49">
        <f ca="1">((HM_ZD_Moho!CA_varopex_nom+HM_ZD_Moho!CA_fixedopex_nom)*(HM_ZD_Moho!NOC_CI_opex))*(HM_ZD_Moho!CA_op_trig)</f>
        <v>0</v>
      </c>
      <c r="AD392" s="49">
        <f ca="1">((HM_ZD_Moho!CA_varopex_nom+HM_ZD_Moho!CA_fixedopex_nom)*(HM_ZD_Moho!NOC_CI_opex))*(HM_ZD_Moho!CA_op_trig)</f>
        <v>0</v>
      </c>
      <c r="AE392" s="49">
        <f ca="1">((HM_ZD_Moho!CA_varopex_nom+HM_ZD_Moho!CA_fixedopex_nom)*(HM_ZD_Moho!NOC_CI_opex))*(HM_ZD_Moho!CA_op_trig)</f>
        <v>0</v>
      </c>
      <c r="AF392" s="49">
        <f ca="1">((HM_ZD_Moho!CA_varopex_nom+HM_ZD_Moho!CA_fixedopex_nom)*(HM_ZD_Moho!NOC_CI_opex))*(HM_ZD_Moho!CA_op_trig)</f>
        <v>0</v>
      </c>
      <c r="AG392" s="49">
        <f ca="1">((HM_ZD_Moho!CA_varopex_nom+HM_ZD_Moho!CA_fixedopex_nom)*(HM_ZD_Moho!NOC_CI_opex))*(HM_ZD_Moho!CA_op_trig)</f>
        <v>0</v>
      </c>
      <c r="AH392" s="49">
        <f ca="1">((HM_ZD_Moho!CA_varopex_nom+HM_ZD_Moho!CA_fixedopex_nom)*(HM_ZD_Moho!NOC_CI_opex))*(HM_ZD_Moho!CA_op_trig)</f>
        <v>0</v>
      </c>
      <c r="AI392" s="49">
        <f ca="1">((HM_ZD_Moho!CA_varopex_nom+HM_ZD_Moho!CA_fixedopex_nom)*(HM_ZD_Moho!NOC_CI_opex))*(HM_ZD_Moho!CA_op_trig)</f>
        <v>0</v>
      </c>
      <c r="AJ392" s="49">
        <f ca="1">((HM_ZD_Moho!CA_varopex_nom+HM_ZD_Moho!CA_fixedopex_nom)*(HM_ZD_Moho!NOC_CI_opex))*(HM_ZD_Moho!CA_op_trig)</f>
        <v>0</v>
      </c>
      <c r="AK392" s="49">
        <f ca="1">((HM_ZD_Moho!CA_varopex_nom+HM_ZD_Moho!CA_fixedopex_nom)*(HM_ZD_Moho!NOC_CI_opex))*(HM_ZD_Moho!CA_op_trig)</f>
        <v>0</v>
      </c>
      <c r="AL392" s="49">
        <f ca="1">((HM_ZD_Moho!CA_varopex_nom+HM_ZD_Moho!CA_fixedopex_nom)*(HM_ZD_Moho!NOC_CI_opex))*(HM_ZD_Moho!CA_op_trig)</f>
        <v>0</v>
      </c>
      <c r="AM392" s="49">
        <f ca="1">((HM_ZD_Moho!CA_varopex_nom+HM_ZD_Moho!CA_fixedopex_nom)*(HM_ZD_Moho!NOC_CI_opex))*(HM_ZD_Moho!CA_op_trig)</f>
        <v>0</v>
      </c>
      <c r="AN392" s="49">
        <f ca="1">((HM_ZD_Moho!CA_varopex_nom+HM_ZD_Moho!CA_fixedopex_nom)*(HM_ZD_Moho!NOC_CI_opex))*(HM_ZD_Moho!CA_op_trig)</f>
        <v>0</v>
      </c>
      <c r="AO392" s="49">
        <f ca="1">((HM_ZD_Moho!CA_varopex_nom+HM_ZD_Moho!CA_fixedopex_nom)*(HM_ZD_Moho!NOC_CI_opex))*(HM_ZD_Moho!CA_op_trig)</f>
        <v>0</v>
      </c>
      <c r="AP392" s="49">
        <f ca="1">((HM_ZD_Moho!CA_varopex_nom+HM_ZD_Moho!CA_fixedopex_nom)*(HM_ZD_Moho!NOC_CI_opex))*(HM_ZD_Moho!CA_op_trig)</f>
        <v>0</v>
      </c>
      <c r="AQ392" s="49">
        <f ca="1">((HM_ZD_Moho!CA_varopex_nom+HM_ZD_Moho!CA_fixedopex_nom)*(HM_ZD_Moho!NOC_CI_opex))*(HM_ZD_Moho!CA_op_trig)</f>
        <v>0</v>
      </c>
      <c r="AR392" s="49">
        <f ca="1">((HM_ZD_Moho!CA_varopex_nom+HM_ZD_Moho!CA_fixedopex_nom)*(HM_ZD_Moho!NOC_CI_opex))*(HM_ZD_Moho!CA_op_trig)</f>
        <v>0</v>
      </c>
      <c r="AS392" s="49">
        <f ca="1">((HM_ZD_Moho!CA_varopex_nom+HM_ZD_Moho!CA_fixedopex_nom)*(HM_ZD_Moho!NOC_CI_opex))*(HM_ZD_Moho!CA_op_trig)</f>
        <v>0</v>
      </c>
      <c r="AT392" s="49">
        <f ca="1">((HM_ZD_Moho!CA_varopex_nom+HM_ZD_Moho!CA_fixedopex_nom)*(HM_ZD_Moho!NOC_CI_opex))*(HM_ZD_Moho!CA_op_trig)</f>
        <v>0</v>
      </c>
      <c r="AU392" s="49">
        <f ca="1">((HM_ZD_Moho!CA_varopex_nom+HM_ZD_Moho!CA_fixedopex_nom)*(HM_ZD_Moho!NOC_CI_opex))*(HM_ZD_Moho!CA_op_trig)</f>
        <v>0</v>
      </c>
      <c r="AV392" s="49">
        <f ca="1">((HM_ZD_Moho!CA_varopex_nom+HM_ZD_Moho!CA_fixedopex_nom)*(HM_ZD_Moho!NOC_CI_opex))*(HM_ZD_Moho!CA_op_trig)</f>
        <v>0</v>
      </c>
      <c r="AW392" s="49">
        <f ca="1">((HM_ZD_Moho!CA_varopex_nom+HM_ZD_Moho!CA_fixedopex_nom)*(HM_ZD_Moho!NOC_CI_opex))*(HM_ZD_Moho!CA_op_trig)</f>
        <v>0</v>
      </c>
      <c r="AX392" s="49">
        <f ca="1">((HM_ZD_Moho!CA_varopex_nom+HM_ZD_Moho!CA_fixedopex_nom)*(HM_ZD_Moho!NOC_CI_opex))*(HM_ZD_Moho!CA_op_trig)</f>
        <v>0</v>
      </c>
      <c r="AY392" s="49">
        <f ca="1">((HM_ZD_Moho!CA_varopex_nom+HM_ZD_Moho!CA_fixedopex_nom)*(HM_ZD_Moho!NOC_CI_opex))*(HM_ZD_Moho!CA_op_trig)</f>
        <v>0</v>
      </c>
      <c r="AZ392" s="49">
        <f ca="1">((HM_ZD_Moho!CA_varopex_nom+HM_ZD_Moho!CA_fixedopex_nom)*(HM_ZD_Moho!NOC_CI_opex))*(HM_ZD_Moho!CA_op_trig)</f>
        <v>0</v>
      </c>
      <c r="BA392" s="49">
        <f ca="1">((HM_ZD_Moho!CA_varopex_nom+HM_ZD_Moho!CA_fixedopex_nom)*(HM_ZD_Moho!NOC_CI_opex))*(HM_ZD_Moho!CA_op_trig)</f>
        <v>0</v>
      </c>
      <c r="BB392" s="49">
        <f ca="1">((HM_ZD_Moho!CA_varopex_nom+HM_ZD_Moho!CA_fixedopex_nom)*(HM_ZD_Moho!NOC_CI_opex))*(HM_ZD_Moho!CA_op_trig)</f>
        <v>0</v>
      </c>
      <c r="BC392" s="49">
        <f ca="1">((HM_ZD_Moho!CA_varopex_nom+HM_ZD_Moho!CA_fixedopex_nom)*(HM_ZD_Moho!NOC_CI_opex))*(HM_ZD_Moho!CA_op_trig)</f>
        <v>0</v>
      </c>
      <c r="BD392" s="49">
        <f ca="1">((HM_ZD_Moho!CA_varopex_nom+HM_ZD_Moho!CA_fixedopex_nom)*(HM_ZD_Moho!NOC_CI_opex))*(HM_ZD_Moho!CA_op_trig)</f>
        <v>0</v>
      </c>
      <c r="BE392" s="49">
        <f ca="1">((HM_ZD_Moho!CA_varopex_nom+HM_ZD_Moho!CA_fixedopex_nom)*(HM_ZD_Moho!NOC_CI_opex))*(HM_ZD_Moho!CA_op_trig)</f>
        <v>0</v>
      </c>
      <c r="BF392" s="49">
        <f ca="1">((HM_ZD_Moho!CA_varopex_nom+HM_ZD_Moho!CA_fixedopex_nom)*(HM_ZD_Moho!NOC_CI_opex))*(HM_ZD_Moho!CA_op_trig)</f>
        <v>0</v>
      </c>
      <c r="BG392" s="49">
        <f ca="1">((HM_ZD_Moho!CA_varopex_nom+HM_ZD_Moho!CA_fixedopex_nom)*(HM_ZD_Moho!NOC_CI_opex))*(HM_ZD_Moho!CA_op_trig)</f>
        <v>0</v>
      </c>
      <c r="BH392" s="49">
        <f ca="1">((HM_ZD_Moho!CA_varopex_nom+HM_ZD_Moho!CA_fixedopex_nom)*(HM_ZD_Moho!NOC_CI_opex))*(HM_ZD_Moho!CA_op_trig)</f>
        <v>0</v>
      </c>
      <c r="BI392" s="49">
        <f ca="1">((HM_ZD_Moho!CA_varopex_nom+HM_ZD_Moho!CA_fixedopex_nom)*(HM_ZD_Moho!NOC_CI_opex))*(HM_ZD_Moho!CA_op_trig)</f>
        <v>0</v>
      </c>
      <c r="BJ392" s="49">
        <f ca="1">((HM_ZD_Moho!CA_varopex_nom+HM_ZD_Moho!CA_fixedopex_nom)*(HM_ZD_Moho!NOC_CI_opex))*(HM_ZD_Moho!CA_op_trig)</f>
        <v>0</v>
      </c>
      <c r="BK392" s="49">
        <f ca="1">((HM_ZD_Moho!CA_varopex_nom+HM_ZD_Moho!CA_fixedopex_nom)*(HM_ZD_Moho!NOC_CI_opex))*(HM_ZD_Moho!CA_op_trig)</f>
        <v>0</v>
      </c>
      <c r="BL392" s="49">
        <f ca="1">((HM_ZD_Moho!CA_varopex_nom+HM_ZD_Moho!CA_fixedopex_nom)*(HM_ZD_Moho!NOC_CI_opex))*(HM_ZD_Moho!CA_op_trig)</f>
        <v>0</v>
      </c>
      <c r="BM392" s="49">
        <f ca="1">((HM_ZD_Moho!CA_varopex_nom+HM_ZD_Moho!CA_fixedopex_nom)*(HM_ZD_Moho!NOC_CI_opex))*(HM_ZD_Moho!CA_op_trig)</f>
        <v>0</v>
      </c>
      <c r="BN392" s="49">
        <f ca="1">((HM_ZD_Moho!CA_varopex_nom+HM_ZD_Moho!CA_fixedopex_nom)*(HM_ZD_Moho!NOC_CI_opex))*(HM_ZD_Moho!CA_op_trig)</f>
        <v>0</v>
      </c>
      <c r="BO392" s="49">
        <f ca="1">((HM_ZD_Moho!CA_varopex_nom+HM_ZD_Moho!CA_fixedopex_nom)*(HM_ZD_Moho!NOC_CI_opex))*(HM_ZD_Moho!CA_op_trig)</f>
        <v>0</v>
      </c>
      <c r="BP392" s="49">
        <f ca="1">((HM_ZD_Moho!CA_varopex_nom+HM_ZD_Moho!CA_fixedopex_nom)*(HM_ZD_Moho!NOC_CI_opex))*(HM_ZD_Moho!CA_op_trig)</f>
        <v>0</v>
      </c>
      <c r="BQ392" s="49">
        <f ca="1">((HM_ZD_Moho!CA_varopex_nom+HM_ZD_Moho!CA_fixedopex_nom)*(HM_ZD_Moho!NOC_CI_opex))*(HM_ZD_Moho!CA_op_trig)</f>
        <v>0</v>
      </c>
      <c r="BR392" s="49">
        <f ca="1">((HM_ZD_Moho!CA_varopex_nom+HM_ZD_Moho!CA_fixedopex_nom)*(HM_ZD_Moho!NOC_CI_opex))*(HM_ZD_Moho!CA_op_trig)</f>
        <v>0</v>
      </c>
      <c r="BS392" s="49">
        <f ca="1">((HM_ZD_Moho!CA_varopex_nom+HM_ZD_Moho!CA_fixedopex_nom)*(HM_ZD_Moho!NOC_CI_opex))*(HM_ZD_Moho!CA_op_trig)</f>
        <v>0</v>
      </c>
    </row>
    <row r="393" spans="1:71" outlineLevel="1" x14ac:dyDescent="0.2">
      <c r="D393" s="11" t="str">
        <f>HM_ZB_Nsoko!D379</f>
        <v>Total</v>
      </c>
      <c r="I393" s="30">
        <f t="shared" ca="1" si="214"/>
        <v>1637.03865</v>
      </c>
      <c r="J393" s="26" t="s">
        <v>148</v>
      </c>
      <c r="L393" s="49">
        <f ca="1">SUM(L390:L392)</f>
        <v>193.01729999999998</v>
      </c>
      <c r="M393" s="49">
        <f t="shared" ref="M393:BS393" ca="1" si="215">SUM(M390:M392)</f>
        <v>317.73179999999996</v>
      </c>
      <c r="N393" s="49">
        <f t="shared" ca="1" si="215"/>
        <v>469.58609999999999</v>
      </c>
      <c r="O393" s="49">
        <f t="shared" ca="1" si="215"/>
        <v>385.68014999999997</v>
      </c>
      <c r="P393" s="49">
        <f t="shared" ca="1" si="215"/>
        <v>172.98479999999998</v>
      </c>
      <c r="Q393" s="49">
        <f t="shared" ca="1" si="215"/>
        <v>98.038499999999999</v>
      </c>
      <c r="R393" s="49">
        <f t="shared" ca="1" si="215"/>
        <v>0</v>
      </c>
      <c r="S393" s="49">
        <f t="shared" ca="1" si="215"/>
        <v>0</v>
      </c>
      <c r="T393" s="49">
        <f t="shared" ca="1" si="215"/>
        <v>0</v>
      </c>
      <c r="U393" s="49">
        <f t="shared" ca="1" si="215"/>
        <v>0</v>
      </c>
      <c r="V393" s="49">
        <f t="shared" ca="1" si="215"/>
        <v>0</v>
      </c>
      <c r="W393" s="49">
        <f t="shared" ca="1" si="215"/>
        <v>0</v>
      </c>
      <c r="X393" s="49">
        <f t="shared" ca="1" si="215"/>
        <v>0</v>
      </c>
      <c r="Y393" s="49">
        <f t="shared" ca="1" si="215"/>
        <v>0</v>
      </c>
      <c r="Z393" s="49">
        <f t="shared" ca="1" si="215"/>
        <v>0</v>
      </c>
      <c r="AA393" s="49">
        <f t="shared" ca="1" si="215"/>
        <v>0</v>
      </c>
      <c r="AB393" s="49">
        <f t="shared" ca="1" si="215"/>
        <v>0</v>
      </c>
      <c r="AC393" s="49">
        <f t="shared" ca="1" si="215"/>
        <v>0</v>
      </c>
      <c r="AD393" s="49">
        <f t="shared" ca="1" si="215"/>
        <v>0</v>
      </c>
      <c r="AE393" s="49">
        <f t="shared" ca="1" si="215"/>
        <v>0</v>
      </c>
      <c r="AF393" s="49">
        <f t="shared" ca="1" si="215"/>
        <v>0</v>
      </c>
      <c r="AG393" s="49">
        <f t="shared" ca="1" si="215"/>
        <v>0</v>
      </c>
      <c r="AH393" s="49">
        <f t="shared" ca="1" si="215"/>
        <v>0</v>
      </c>
      <c r="AI393" s="49">
        <f t="shared" ca="1" si="215"/>
        <v>0</v>
      </c>
      <c r="AJ393" s="49">
        <f t="shared" ca="1" si="215"/>
        <v>0</v>
      </c>
      <c r="AK393" s="49">
        <f t="shared" ca="1" si="215"/>
        <v>0</v>
      </c>
      <c r="AL393" s="49">
        <f t="shared" ca="1" si="215"/>
        <v>0</v>
      </c>
      <c r="AM393" s="49">
        <f t="shared" ca="1" si="215"/>
        <v>0</v>
      </c>
      <c r="AN393" s="49">
        <f t="shared" ca="1" si="215"/>
        <v>0</v>
      </c>
      <c r="AO393" s="49">
        <f t="shared" ca="1" si="215"/>
        <v>0</v>
      </c>
      <c r="AP393" s="49">
        <f t="shared" ca="1" si="215"/>
        <v>0</v>
      </c>
      <c r="AQ393" s="49">
        <f t="shared" ca="1" si="215"/>
        <v>0</v>
      </c>
      <c r="AR393" s="49">
        <f t="shared" ca="1" si="215"/>
        <v>0</v>
      </c>
      <c r="AS393" s="49">
        <f t="shared" ca="1" si="215"/>
        <v>0</v>
      </c>
      <c r="AT393" s="49">
        <f t="shared" ca="1" si="215"/>
        <v>0</v>
      </c>
      <c r="AU393" s="49">
        <f t="shared" ca="1" si="215"/>
        <v>0</v>
      </c>
      <c r="AV393" s="49">
        <f t="shared" ca="1" si="215"/>
        <v>0</v>
      </c>
      <c r="AW393" s="49">
        <f t="shared" ca="1" si="215"/>
        <v>0</v>
      </c>
      <c r="AX393" s="49">
        <f t="shared" ca="1" si="215"/>
        <v>0</v>
      </c>
      <c r="AY393" s="49">
        <f t="shared" ca="1" si="215"/>
        <v>0</v>
      </c>
      <c r="AZ393" s="49">
        <f t="shared" ca="1" si="215"/>
        <v>0</v>
      </c>
      <c r="BA393" s="49">
        <f t="shared" ca="1" si="215"/>
        <v>0</v>
      </c>
      <c r="BB393" s="49">
        <f t="shared" ca="1" si="215"/>
        <v>0</v>
      </c>
      <c r="BC393" s="49">
        <f t="shared" ca="1" si="215"/>
        <v>0</v>
      </c>
      <c r="BD393" s="49">
        <f t="shared" ca="1" si="215"/>
        <v>0</v>
      </c>
      <c r="BE393" s="49">
        <f t="shared" ca="1" si="215"/>
        <v>0</v>
      </c>
      <c r="BF393" s="49">
        <f t="shared" ca="1" si="215"/>
        <v>0</v>
      </c>
      <c r="BG393" s="49">
        <f t="shared" ca="1" si="215"/>
        <v>0</v>
      </c>
      <c r="BH393" s="49">
        <f t="shared" ca="1" si="215"/>
        <v>0</v>
      </c>
      <c r="BI393" s="49">
        <f t="shared" ca="1" si="215"/>
        <v>0</v>
      </c>
      <c r="BJ393" s="49">
        <f t="shared" ca="1" si="215"/>
        <v>0</v>
      </c>
      <c r="BK393" s="49">
        <f t="shared" ca="1" si="215"/>
        <v>0</v>
      </c>
      <c r="BL393" s="49">
        <f t="shared" ca="1" si="215"/>
        <v>0</v>
      </c>
      <c r="BM393" s="49">
        <f t="shared" ca="1" si="215"/>
        <v>0</v>
      </c>
      <c r="BN393" s="49">
        <f t="shared" ca="1" si="215"/>
        <v>0</v>
      </c>
      <c r="BO393" s="49">
        <f t="shared" ca="1" si="215"/>
        <v>0</v>
      </c>
      <c r="BP393" s="49">
        <f t="shared" ca="1" si="215"/>
        <v>0</v>
      </c>
      <c r="BQ393" s="49">
        <f t="shared" ca="1" si="215"/>
        <v>0</v>
      </c>
      <c r="BR393" s="49">
        <f t="shared" ca="1" si="215"/>
        <v>0</v>
      </c>
      <c r="BS393" s="49">
        <f t="shared" ca="1" si="215"/>
        <v>0</v>
      </c>
    </row>
    <row r="394" spans="1:71" outlineLevel="1" x14ac:dyDescent="0.2">
      <c r="J394" s="26"/>
      <c r="L394" s="55"/>
      <c r="M394" s="55"/>
      <c r="N394" s="55"/>
      <c r="O394" s="55"/>
      <c r="P394" s="55"/>
      <c r="Q394" s="55"/>
      <c r="R394" s="55"/>
      <c r="S394" s="55"/>
      <c r="T394" s="55"/>
      <c r="U394" s="55"/>
      <c r="V394" s="55"/>
      <c r="W394" s="55"/>
      <c r="X394" s="55"/>
      <c r="Y394" s="55"/>
      <c r="Z394" s="55"/>
      <c r="AA394" s="55"/>
      <c r="AB394" s="55"/>
      <c r="AC394" s="55"/>
      <c r="AD394" s="55"/>
      <c r="AE394" s="55"/>
      <c r="AF394" s="55"/>
      <c r="AG394" s="55"/>
      <c r="AH394" s="55"/>
      <c r="AI394" s="55"/>
      <c r="AJ394" s="55"/>
      <c r="AK394" s="55"/>
      <c r="AL394" s="55"/>
      <c r="AM394" s="55"/>
      <c r="AN394" s="55"/>
      <c r="AO394" s="55"/>
      <c r="AP394" s="55"/>
      <c r="AQ394" s="55"/>
      <c r="AR394" s="55"/>
      <c r="AS394" s="55"/>
      <c r="AT394" s="55"/>
      <c r="AU394" s="55"/>
      <c r="AV394" s="55"/>
      <c r="AW394" s="55"/>
      <c r="AX394" s="55"/>
      <c r="AY394" s="55"/>
      <c r="AZ394" s="55"/>
      <c r="BA394" s="55"/>
      <c r="BB394" s="55"/>
      <c r="BC394" s="55"/>
      <c r="BD394" s="55"/>
      <c r="BE394" s="55"/>
      <c r="BF394" s="55"/>
      <c r="BG394" s="55"/>
      <c r="BH394" s="55"/>
      <c r="BI394" s="55"/>
      <c r="BJ394" s="55"/>
      <c r="BK394" s="55"/>
      <c r="BL394" s="55"/>
      <c r="BM394" s="55"/>
      <c r="BN394" s="55"/>
      <c r="BO394" s="55"/>
      <c r="BP394" s="55"/>
      <c r="BQ394" s="55"/>
      <c r="BR394" s="55"/>
      <c r="BS394" s="55"/>
    </row>
    <row r="395" spans="1:71" outlineLevel="1" x14ac:dyDescent="0.2">
      <c r="C395" s="11" t="str">
        <f>HM_ZB_Nsoko!C381</f>
        <v>Remboursement du portage compagnie nationale - Coûts exploration</v>
      </c>
      <c r="J395" s="26"/>
      <c r="L395" s="55"/>
      <c r="M395" s="55"/>
      <c r="N395" s="55"/>
      <c r="O395" s="55"/>
      <c r="P395" s="55"/>
      <c r="Q395" s="55"/>
      <c r="R395" s="55"/>
      <c r="S395" s="55"/>
      <c r="T395" s="55"/>
      <c r="U395" s="55"/>
      <c r="V395" s="55"/>
      <c r="W395" s="55"/>
      <c r="X395" s="55"/>
      <c r="Y395" s="55"/>
      <c r="Z395" s="55"/>
      <c r="AA395" s="55"/>
      <c r="AB395" s="55"/>
      <c r="AC395" s="55"/>
      <c r="AD395" s="55"/>
      <c r="AE395" s="55"/>
      <c r="AF395" s="55"/>
      <c r="AG395" s="55"/>
      <c r="AH395" s="55"/>
      <c r="AI395" s="55"/>
      <c r="AJ395" s="55"/>
      <c r="AK395" s="55"/>
      <c r="AL395" s="55"/>
      <c r="AM395" s="55"/>
      <c r="AN395" s="55"/>
      <c r="AO395" s="55"/>
      <c r="AP395" s="55"/>
      <c r="AQ395" s="55"/>
      <c r="AR395" s="55"/>
      <c r="AS395" s="55"/>
      <c r="AT395" s="55"/>
      <c r="AU395" s="55"/>
      <c r="AV395" s="55"/>
      <c r="AW395" s="55"/>
      <c r="AX395" s="55"/>
      <c r="AY395" s="55"/>
      <c r="AZ395" s="55"/>
      <c r="BA395" s="55"/>
      <c r="BB395" s="55"/>
      <c r="BC395" s="55"/>
      <c r="BD395" s="55"/>
      <c r="BE395" s="55"/>
      <c r="BF395" s="55"/>
      <c r="BG395" s="55"/>
      <c r="BH395" s="55"/>
      <c r="BI395" s="55"/>
      <c r="BJ395" s="55"/>
      <c r="BK395" s="55"/>
      <c r="BL395" s="55"/>
      <c r="BM395" s="55"/>
      <c r="BN395" s="55"/>
      <c r="BO395" s="55"/>
      <c r="BP395" s="55"/>
      <c r="BQ395" s="55"/>
      <c r="BR395" s="55"/>
      <c r="BS395" s="55"/>
    </row>
    <row r="396" spans="1:71" outlineLevel="1" x14ac:dyDescent="0.2">
      <c r="D396" t="str">
        <f>HM_ZB_Nsoko!D382</f>
        <v>Coûts portés Solde d'ouverture</v>
      </c>
      <c r="J396" s="26"/>
      <c r="L396" s="49">
        <f>K399</f>
        <v>0</v>
      </c>
      <c r="M396" s="49">
        <f t="shared" ref="M396:BS396" ca="1" si="216">L399</f>
        <v>0</v>
      </c>
      <c r="N396" s="49">
        <f t="shared" ca="1" si="216"/>
        <v>0</v>
      </c>
      <c r="O396" s="49">
        <f t="shared" ca="1" si="216"/>
        <v>0</v>
      </c>
      <c r="P396" s="49">
        <f t="shared" ca="1" si="216"/>
        <v>0</v>
      </c>
      <c r="Q396" s="49">
        <f t="shared" ca="1" si="216"/>
        <v>0</v>
      </c>
      <c r="R396" s="49">
        <f t="shared" ca="1" si="216"/>
        <v>0</v>
      </c>
      <c r="S396" s="49">
        <f t="shared" ca="1" si="216"/>
        <v>0</v>
      </c>
      <c r="T396" s="49">
        <f t="shared" ca="1" si="216"/>
        <v>0</v>
      </c>
      <c r="U396" s="49">
        <f t="shared" ca="1" si="216"/>
        <v>0</v>
      </c>
      <c r="V396" s="49">
        <f t="shared" ca="1" si="216"/>
        <v>0</v>
      </c>
      <c r="W396" s="49">
        <f t="shared" ca="1" si="216"/>
        <v>0</v>
      </c>
      <c r="X396" s="49">
        <f t="shared" ca="1" si="216"/>
        <v>0</v>
      </c>
      <c r="Y396" s="49">
        <f t="shared" ca="1" si="216"/>
        <v>0</v>
      </c>
      <c r="Z396" s="49">
        <f t="shared" ca="1" si="216"/>
        <v>0</v>
      </c>
      <c r="AA396" s="49">
        <f t="shared" ca="1" si="216"/>
        <v>0</v>
      </c>
      <c r="AB396" s="49">
        <f t="shared" ca="1" si="216"/>
        <v>0</v>
      </c>
      <c r="AC396" s="49">
        <f t="shared" ca="1" si="216"/>
        <v>0</v>
      </c>
      <c r="AD396" s="49">
        <f t="shared" ca="1" si="216"/>
        <v>0</v>
      </c>
      <c r="AE396" s="49">
        <f t="shared" ca="1" si="216"/>
        <v>0</v>
      </c>
      <c r="AF396" s="49">
        <f t="shared" ca="1" si="216"/>
        <v>0</v>
      </c>
      <c r="AG396" s="49">
        <f t="shared" ca="1" si="216"/>
        <v>0</v>
      </c>
      <c r="AH396" s="49">
        <f t="shared" ca="1" si="216"/>
        <v>0</v>
      </c>
      <c r="AI396" s="49">
        <f t="shared" ca="1" si="216"/>
        <v>0</v>
      </c>
      <c r="AJ396" s="49">
        <f t="shared" ca="1" si="216"/>
        <v>0</v>
      </c>
      <c r="AK396" s="49">
        <f t="shared" ca="1" si="216"/>
        <v>0</v>
      </c>
      <c r="AL396" s="49">
        <f t="shared" ca="1" si="216"/>
        <v>0</v>
      </c>
      <c r="AM396" s="49">
        <f t="shared" ca="1" si="216"/>
        <v>0</v>
      </c>
      <c r="AN396" s="49">
        <f t="shared" ca="1" si="216"/>
        <v>0</v>
      </c>
      <c r="AO396" s="49">
        <f t="shared" ca="1" si="216"/>
        <v>0</v>
      </c>
      <c r="AP396" s="49">
        <f t="shared" ca="1" si="216"/>
        <v>0</v>
      </c>
      <c r="AQ396" s="49">
        <f t="shared" ca="1" si="216"/>
        <v>0</v>
      </c>
      <c r="AR396" s="49">
        <f t="shared" ca="1" si="216"/>
        <v>0</v>
      </c>
      <c r="AS396" s="49">
        <f t="shared" ca="1" si="216"/>
        <v>0</v>
      </c>
      <c r="AT396" s="49">
        <f t="shared" ca="1" si="216"/>
        <v>0</v>
      </c>
      <c r="AU396" s="49">
        <f t="shared" ca="1" si="216"/>
        <v>0</v>
      </c>
      <c r="AV396" s="49">
        <f t="shared" ca="1" si="216"/>
        <v>0</v>
      </c>
      <c r="AW396" s="49">
        <f t="shared" ca="1" si="216"/>
        <v>0</v>
      </c>
      <c r="AX396" s="49">
        <f t="shared" ca="1" si="216"/>
        <v>0</v>
      </c>
      <c r="AY396" s="49">
        <f t="shared" ca="1" si="216"/>
        <v>0</v>
      </c>
      <c r="AZ396" s="49">
        <f t="shared" ca="1" si="216"/>
        <v>0</v>
      </c>
      <c r="BA396" s="49">
        <f t="shared" ca="1" si="216"/>
        <v>0</v>
      </c>
      <c r="BB396" s="49">
        <f t="shared" ca="1" si="216"/>
        <v>0</v>
      </c>
      <c r="BC396" s="49">
        <f t="shared" ca="1" si="216"/>
        <v>0</v>
      </c>
      <c r="BD396" s="49">
        <f t="shared" ca="1" si="216"/>
        <v>0</v>
      </c>
      <c r="BE396" s="49">
        <f t="shared" ca="1" si="216"/>
        <v>0</v>
      </c>
      <c r="BF396" s="49">
        <f t="shared" ca="1" si="216"/>
        <v>0</v>
      </c>
      <c r="BG396" s="49">
        <f t="shared" ca="1" si="216"/>
        <v>0</v>
      </c>
      <c r="BH396" s="49">
        <f t="shared" ca="1" si="216"/>
        <v>0</v>
      </c>
      <c r="BI396" s="49">
        <f t="shared" ca="1" si="216"/>
        <v>0</v>
      </c>
      <c r="BJ396" s="49">
        <f t="shared" ca="1" si="216"/>
        <v>0</v>
      </c>
      <c r="BK396" s="49">
        <f t="shared" ca="1" si="216"/>
        <v>0</v>
      </c>
      <c r="BL396" s="49">
        <f t="shared" ca="1" si="216"/>
        <v>0</v>
      </c>
      <c r="BM396" s="49">
        <f t="shared" ca="1" si="216"/>
        <v>0</v>
      </c>
      <c r="BN396" s="49">
        <f t="shared" ca="1" si="216"/>
        <v>0</v>
      </c>
      <c r="BO396" s="49">
        <f t="shared" ca="1" si="216"/>
        <v>0</v>
      </c>
      <c r="BP396" s="49">
        <f t="shared" ca="1" si="216"/>
        <v>0</v>
      </c>
      <c r="BQ396" s="49">
        <f t="shared" ca="1" si="216"/>
        <v>0</v>
      </c>
      <c r="BR396" s="49">
        <f t="shared" ca="1" si="216"/>
        <v>0</v>
      </c>
      <c r="BS396" s="49">
        <f t="shared" ca="1" si="216"/>
        <v>0</v>
      </c>
    </row>
    <row r="397" spans="1:71" outlineLevel="1" x14ac:dyDescent="0.2">
      <c r="D397" s="50" t="str">
        <f>HM_ZB_Nsoko!D383</f>
        <v>Coûts portés pour la période</v>
      </c>
      <c r="I397" s="30">
        <f t="shared" ref="I397:I398" ca="1" si="217">SUM($L397:$BS397)</f>
        <v>0</v>
      </c>
      <c r="J397" s="26" t="s">
        <v>148</v>
      </c>
      <c r="L397" s="49">
        <f ca="1">L390</f>
        <v>0</v>
      </c>
      <c r="M397" s="49">
        <f t="shared" ref="M397:BS397" ca="1" si="218">M390</f>
        <v>0</v>
      </c>
      <c r="N397" s="49">
        <f t="shared" ca="1" si="218"/>
        <v>0</v>
      </c>
      <c r="O397" s="49">
        <f t="shared" ca="1" si="218"/>
        <v>0</v>
      </c>
      <c r="P397" s="49">
        <f t="shared" ca="1" si="218"/>
        <v>0</v>
      </c>
      <c r="Q397" s="49">
        <f t="shared" ca="1" si="218"/>
        <v>0</v>
      </c>
      <c r="R397" s="49">
        <f t="shared" ca="1" si="218"/>
        <v>0</v>
      </c>
      <c r="S397" s="49">
        <f t="shared" ca="1" si="218"/>
        <v>0</v>
      </c>
      <c r="T397" s="49">
        <f t="shared" ca="1" si="218"/>
        <v>0</v>
      </c>
      <c r="U397" s="49">
        <f t="shared" ca="1" si="218"/>
        <v>0</v>
      </c>
      <c r="V397" s="49">
        <f t="shared" ca="1" si="218"/>
        <v>0</v>
      </c>
      <c r="W397" s="49">
        <f t="shared" ca="1" si="218"/>
        <v>0</v>
      </c>
      <c r="X397" s="49">
        <f t="shared" ca="1" si="218"/>
        <v>0</v>
      </c>
      <c r="Y397" s="49">
        <f t="shared" ca="1" si="218"/>
        <v>0</v>
      </c>
      <c r="Z397" s="49">
        <f t="shared" ca="1" si="218"/>
        <v>0</v>
      </c>
      <c r="AA397" s="49">
        <f t="shared" ca="1" si="218"/>
        <v>0</v>
      </c>
      <c r="AB397" s="49">
        <f t="shared" ca="1" si="218"/>
        <v>0</v>
      </c>
      <c r="AC397" s="49">
        <f t="shared" ca="1" si="218"/>
        <v>0</v>
      </c>
      <c r="AD397" s="49">
        <f t="shared" ca="1" si="218"/>
        <v>0</v>
      </c>
      <c r="AE397" s="49">
        <f t="shared" ca="1" si="218"/>
        <v>0</v>
      </c>
      <c r="AF397" s="49">
        <f t="shared" ca="1" si="218"/>
        <v>0</v>
      </c>
      <c r="AG397" s="49">
        <f t="shared" ca="1" si="218"/>
        <v>0</v>
      </c>
      <c r="AH397" s="49">
        <f t="shared" ca="1" si="218"/>
        <v>0</v>
      </c>
      <c r="AI397" s="49">
        <f t="shared" ca="1" si="218"/>
        <v>0</v>
      </c>
      <c r="AJ397" s="49">
        <f t="shared" ca="1" si="218"/>
        <v>0</v>
      </c>
      <c r="AK397" s="49">
        <f t="shared" ca="1" si="218"/>
        <v>0</v>
      </c>
      <c r="AL397" s="49">
        <f t="shared" ca="1" si="218"/>
        <v>0</v>
      </c>
      <c r="AM397" s="49">
        <f t="shared" ca="1" si="218"/>
        <v>0</v>
      </c>
      <c r="AN397" s="49">
        <f t="shared" ca="1" si="218"/>
        <v>0</v>
      </c>
      <c r="AO397" s="49">
        <f t="shared" ca="1" si="218"/>
        <v>0</v>
      </c>
      <c r="AP397" s="49">
        <f t="shared" ca="1" si="218"/>
        <v>0</v>
      </c>
      <c r="AQ397" s="49">
        <f t="shared" ca="1" si="218"/>
        <v>0</v>
      </c>
      <c r="AR397" s="49">
        <f t="shared" ca="1" si="218"/>
        <v>0</v>
      </c>
      <c r="AS397" s="49">
        <f t="shared" ca="1" si="218"/>
        <v>0</v>
      </c>
      <c r="AT397" s="49">
        <f t="shared" ca="1" si="218"/>
        <v>0</v>
      </c>
      <c r="AU397" s="49">
        <f t="shared" ca="1" si="218"/>
        <v>0</v>
      </c>
      <c r="AV397" s="49">
        <f t="shared" ca="1" si="218"/>
        <v>0</v>
      </c>
      <c r="AW397" s="49">
        <f t="shared" ca="1" si="218"/>
        <v>0</v>
      </c>
      <c r="AX397" s="49">
        <f t="shared" ca="1" si="218"/>
        <v>0</v>
      </c>
      <c r="AY397" s="49">
        <f t="shared" ca="1" si="218"/>
        <v>0</v>
      </c>
      <c r="AZ397" s="49">
        <f t="shared" ca="1" si="218"/>
        <v>0</v>
      </c>
      <c r="BA397" s="49">
        <f t="shared" ca="1" si="218"/>
        <v>0</v>
      </c>
      <c r="BB397" s="49">
        <f t="shared" ca="1" si="218"/>
        <v>0</v>
      </c>
      <c r="BC397" s="49">
        <f t="shared" ca="1" si="218"/>
        <v>0</v>
      </c>
      <c r="BD397" s="49">
        <f t="shared" ca="1" si="218"/>
        <v>0</v>
      </c>
      <c r="BE397" s="49">
        <f t="shared" ca="1" si="218"/>
        <v>0</v>
      </c>
      <c r="BF397" s="49">
        <f t="shared" ca="1" si="218"/>
        <v>0</v>
      </c>
      <c r="BG397" s="49">
        <f t="shared" ca="1" si="218"/>
        <v>0</v>
      </c>
      <c r="BH397" s="49">
        <f t="shared" ca="1" si="218"/>
        <v>0</v>
      </c>
      <c r="BI397" s="49">
        <f t="shared" ca="1" si="218"/>
        <v>0</v>
      </c>
      <c r="BJ397" s="49">
        <f t="shared" ca="1" si="218"/>
        <v>0</v>
      </c>
      <c r="BK397" s="49">
        <f t="shared" ca="1" si="218"/>
        <v>0</v>
      </c>
      <c r="BL397" s="49">
        <f t="shared" ca="1" si="218"/>
        <v>0</v>
      </c>
      <c r="BM397" s="49">
        <f t="shared" ca="1" si="218"/>
        <v>0</v>
      </c>
      <c r="BN397" s="49">
        <f t="shared" ca="1" si="218"/>
        <v>0</v>
      </c>
      <c r="BO397" s="49">
        <f t="shared" ca="1" si="218"/>
        <v>0</v>
      </c>
      <c r="BP397" s="49">
        <f t="shared" ca="1" si="218"/>
        <v>0</v>
      </c>
      <c r="BQ397" s="49">
        <f t="shared" ca="1" si="218"/>
        <v>0</v>
      </c>
      <c r="BR397" s="49">
        <f t="shared" ca="1" si="218"/>
        <v>0</v>
      </c>
      <c r="BS397" s="49">
        <f t="shared" ca="1" si="218"/>
        <v>0</v>
      </c>
    </row>
    <row r="398" spans="1:71" outlineLevel="1" x14ac:dyDescent="0.2">
      <c r="D398" s="50" t="str">
        <f>HM_ZB_Nsoko!D384</f>
        <v>Remboursement du portage</v>
      </c>
      <c r="I398" s="30">
        <f t="shared" ca="1" si="217"/>
        <v>0</v>
      </c>
      <c r="J398" s="26" t="s">
        <v>148</v>
      </c>
      <c r="L398" s="49">
        <f ca="1">-MIN(SUM(L396:L397),SUM(L$364,L$369)*HM_ZD_Moho!NOC_rpmt_max_perc)*HM_ZD_Moho!NOC_CI_expex_rpmt</f>
        <v>0</v>
      </c>
      <c r="M398" s="49">
        <f ca="1">-MIN(SUM(M396:M397),SUM(M$364,M$369)*HM_ZD_Moho!NOC_rpmt_max_perc)*HM_ZD_Moho!NOC_CI_expex_rpmt</f>
        <v>0</v>
      </c>
      <c r="N398" s="49">
        <f ca="1">-MIN(SUM(N396:N397),SUM(N$364,N$369)*HM_ZD_Moho!NOC_rpmt_max_perc)*HM_ZD_Moho!NOC_CI_expex_rpmt</f>
        <v>0</v>
      </c>
      <c r="O398" s="49">
        <f ca="1">-MIN(SUM(O396:O397),SUM(O$364,O$369)*HM_ZD_Moho!NOC_rpmt_max_perc)*HM_ZD_Moho!NOC_CI_expex_rpmt</f>
        <v>0</v>
      </c>
      <c r="P398" s="49">
        <f ca="1">-MIN(SUM(P396:P397),SUM(P$364,P$369)*HM_ZD_Moho!NOC_rpmt_max_perc)*HM_ZD_Moho!NOC_CI_expex_rpmt</f>
        <v>0</v>
      </c>
      <c r="Q398" s="49">
        <f ca="1">-MIN(SUM(Q396:Q397),SUM(Q$364,Q$369)*HM_ZD_Moho!NOC_rpmt_max_perc)*HM_ZD_Moho!NOC_CI_expex_rpmt</f>
        <v>0</v>
      </c>
      <c r="R398" s="49">
        <f ca="1">-MIN(SUM(R396:R397),SUM(R$364,R$369)*HM_ZD_Moho!NOC_rpmt_max_perc)*HM_ZD_Moho!NOC_CI_expex_rpmt</f>
        <v>0</v>
      </c>
      <c r="S398" s="49">
        <f ca="1">-MIN(SUM(S396:S397),SUM(S$364,S$369)*HM_ZD_Moho!NOC_rpmt_max_perc)*HM_ZD_Moho!NOC_CI_expex_rpmt</f>
        <v>0</v>
      </c>
      <c r="T398" s="49">
        <f ca="1">-MIN(SUM(T396:T397),SUM(T$364,T$369)*HM_ZD_Moho!NOC_rpmt_max_perc)*HM_ZD_Moho!NOC_CI_expex_rpmt</f>
        <v>0</v>
      </c>
      <c r="U398" s="49">
        <f ca="1">-MIN(SUM(U396:U397),SUM(U$364,U$369)*HM_ZD_Moho!NOC_rpmt_max_perc)*HM_ZD_Moho!NOC_CI_expex_rpmt</f>
        <v>0</v>
      </c>
      <c r="V398" s="49">
        <f ca="1">-MIN(SUM(V396:V397),SUM(V$364,V$369)*HM_ZD_Moho!NOC_rpmt_max_perc)*HM_ZD_Moho!NOC_CI_expex_rpmt</f>
        <v>0</v>
      </c>
      <c r="W398" s="49">
        <f ca="1">-MIN(SUM(W396:W397),SUM(W$364,W$369)*HM_ZD_Moho!NOC_rpmt_max_perc)*HM_ZD_Moho!NOC_CI_expex_rpmt</f>
        <v>0</v>
      </c>
      <c r="X398" s="49">
        <f ca="1">-MIN(SUM(X396:X397),SUM(X$364,X$369)*HM_ZD_Moho!NOC_rpmt_max_perc)*HM_ZD_Moho!NOC_CI_expex_rpmt</f>
        <v>0</v>
      </c>
      <c r="Y398" s="49">
        <f ca="1">-MIN(SUM(Y396:Y397),SUM(Y$364,Y$369)*HM_ZD_Moho!NOC_rpmt_max_perc)*HM_ZD_Moho!NOC_CI_expex_rpmt</f>
        <v>0</v>
      </c>
      <c r="Z398" s="49">
        <f ca="1">-MIN(SUM(Z396:Z397),SUM(Z$364,Z$369)*HM_ZD_Moho!NOC_rpmt_max_perc)*HM_ZD_Moho!NOC_CI_expex_rpmt</f>
        <v>0</v>
      </c>
      <c r="AA398" s="49">
        <f ca="1">-MIN(SUM(AA396:AA397),SUM(AA$364,AA$369)*HM_ZD_Moho!NOC_rpmt_max_perc)*HM_ZD_Moho!NOC_CI_expex_rpmt</f>
        <v>0</v>
      </c>
      <c r="AB398" s="49">
        <f ca="1">-MIN(SUM(AB396:AB397),SUM(AB$364,AB$369)*HM_ZD_Moho!NOC_rpmt_max_perc)*HM_ZD_Moho!NOC_CI_expex_rpmt</f>
        <v>0</v>
      </c>
      <c r="AC398" s="49">
        <f ca="1">-MIN(SUM(AC396:AC397),SUM(AC$364,AC$369)*HM_ZD_Moho!NOC_rpmt_max_perc)*HM_ZD_Moho!NOC_CI_expex_rpmt</f>
        <v>0</v>
      </c>
      <c r="AD398" s="49">
        <f ca="1">-MIN(SUM(AD396:AD397),SUM(AD$364,AD$369)*HM_ZD_Moho!NOC_rpmt_max_perc)*HM_ZD_Moho!NOC_CI_expex_rpmt</f>
        <v>0</v>
      </c>
      <c r="AE398" s="49">
        <f ca="1">-MIN(SUM(AE396:AE397),SUM(AE$364,AE$369)*HM_ZD_Moho!NOC_rpmt_max_perc)*HM_ZD_Moho!NOC_CI_expex_rpmt</f>
        <v>0</v>
      </c>
      <c r="AF398" s="49">
        <f ca="1">-MIN(SUM(AF396:AF397),SUM(AF$364,AF$369)*HM_ZD_Moho!NOC_rpmt_max_perc)*HM_ZD_Moho!NOC_CI_expex_rpmt</f>
        <v>0</v>
      </c>
      <c r="AG398" s="49">
        <f ca="1">-MIN(SUM(AG396:AG397),SUM(AG$364,AG$369)*HM_ZD_Moho!NOC_rpmt_max_perc)*HM_ZD_Moho!NOC_CI_expex_rpmt</f>
        <v>0</v>
      </c>
      <c r="AH398" s="49">
        <f ca="1">-MIN(SUM(AH396:AH397),SUM(AH$364,AH$369)*HM_ZD_Moho!NOC_rpmt_max_perc)*HM_ZD_Moho!NOC_CI_expex_rpmt</f>
        <v>0</v>
      </c>
      <c r="AI398" s="49">
        <f ca="1">-MIN(SUM(AI396:AI397),SUM(AI$364,AI$369)*HM_ZD_Moho!NOC_rpmt_max_perc)*HM_ZD_Moho!NOC_CI_expex_rpmt</f>
        <v>0</v>
      </c>
      <c r="AJ398" s="49">
        <f ca="1">-MIN(SUM(AJ396:AJ397),SUM(AJ$364,AJ$369)*HM_ZD_Moho!NOC_rpmt_max_perc)*HM_ZD_Moho!NOC_CI_expex_rpmt</f>
        <v>0</v>
      </c>
      <c r="AK398" s="49">
        <f ca="1">-MIN(SUM(AK396:AK397),SUM(AK$364,AK$369)*HM_ZD_Moho!NOC_rpmt_max_perc)*HM_ZD_Moho!NOC_CI_expex_rpmt</f>
        <v>0</v>
      </c>
      <c r="AL398" s="49">
        <f ca="1">-MIN(SUM(AL396:AL397),SUM(AL$364,AL$369)*HM_ZD_Moho!NOC_rpmt_max_perc)*HM_ZD_Moho!NOC_CI_expex_rpmt</f>
        <v>0</v>
      </c>
      <c r="AM398" s="49">
        <f ca="1">-MIN(SUM(AM396:AM397),SUM(AM$364,AM$369)*HM_ZD_Moho!NOC_rpmt_max_perc)*HM_ZD_Moho!NOC_CI_expex_rpmt</f>
        <v>0</v>
      </c>
      <c r="AN398" s="49">
        <f ca="1">-MIN(SUM(AN396:AN397),SUM(AN$364,AN$369)*HM_ZD_Moho!NOC_rpmt_max_perc)*HM_ZD_Moho!NOC_CI_expex_rpmt</f>
        <v>0</v>
      </c>
      <c r="AO398" s="49">
        <f ca="1">-MIN(SUM(AO396:AO397),SUM(AO$364,AO$369)*HM_ZD_Moho!NOC_rpmt_max_perc)*HM_ZD_Moho!NOC_CI_expex_rpmt</f>
        <v>0</v>
      </c>
      <c r="AP398" s="49">
        <f ca="1">-MIN(SUM(AP396:AP397),SUM(AP$364,AP$369)*HM_ZD_Moho!NOC_rpmt_max_perc)*HM_ZD_Moho!NOC_CI_expex_rpmt</f>
        <v>0</v>
      </c>
      <c r="AQ398" s="49">
        <f ca="1">-MIN(SUM(AQ396:AQ397),SUM(AQ$364,AQ$369)*HM_ZD_Moho!NOC_rpmt_max_perc)*HM_ZD_Moho!NOC_CI_expex_rpmt</f>
        <v>0</v>
      </c>
      <c r="AR398" s="49">
        <f ca="1">-MIN(SUM(AR396:AR397),SUM(AR$364,AR$369)*HM_ZD_Moho!NOC_rpmt_max_perc)*HM_ZD_Moho!NOC_CI_expex_rpmt</f>
        <v>0</v>
      </c>
      <c r="AS398" s="49">
        <f ca="1">-MIN(SUM(AS396:AS397),SUM(AS$364,AS$369)*HM_ZD_Moho!NOC_rpmt_max_perc)*HM_ZD_Moho!NOC_CI_expex_rpmt</f>
        <v>0</v>
      </c>
      <c r="AT398" s="49">
        <f ca="1">-MIN(SUM(AT396:AT397),SUM(AT$364,AT$369)*HM_ZD_Moho!NOC_rpmt_max_perc)*HM_ZD_Moho!NOC_CI_expex_rpmt</f>
        <v>0</v>
      </c>
      <c r="AU398" s="49">
        <f ca="1">-MIN(SUM(AU396:AU397),SUM(AU$364,AU$369)*HM_ZD_Moho!NOC_rpmt_max_perc)*HM_ZD_Moho!NOC_CI_expex_rpmt</f>
        <v>0</v>
      </c>
      <c r="AV398" s="49">
        <f ca="1">-MIN(SUM(AV396:AV397),SUM(AV$364,AV$369)*HM_ZD_Moho!NOC_rpmt_max_perc)*HM_ZD_Moho!NOC_CI_expex_rpmt</f>
        <v>0</v>
      </c>
      <c r="AW398" s="49">
        <f ca="1">-MIN(SUM(AW396:AW397),SUM(AW$364,AW$369)*HM_ZD_Moho!NOC_rpmt_max_perc)*HM_ZD_Moho!NOC_CI_expex_rpmt</f>
        <v>0</v>
      </c>
      <c r="AX398" s="49">
        <f ca="1">-MIN(SUM(AX396:AX397),SUM(AX$364,AX$369)*HM_ZD_Moho!NOC_rpmt_max_perc)*HM_ZD_Moho!NOC_CI_expex_rpmt</f>
        <v>0</v>
      </c>
      <c r="AY398" s="49">
        <f ca="1">-MIN(SUM(AY396:AY397),SUM(AY$364,AY$369)*HM_ZD_Moho!NOC_rpmt_max_perc)*HM_ZD_Moho!NOC_CI_expex_rpmt</f>
        <v>0</v>
      </c>
      <c r="AZ398" s="49">
        <f ca="1">-MIN(SUM(AZ396:AZ397),SUM(AZ$364,AZ$369)*HM_ZD_Moho!NOC_rpmt_max_perc)*HM_ZD_Moho!NOC_CI_expex_rpmt</f>
        <v>0</v>
      </c>
      <c r="BA398" s="49">
        <f ca="1">-MIN(SUM(BA396:BA397),SUM(BA$364,BA$369)*HM_ZD_Moho!NOC_rpmt_max_perc)*HM_ZD_Moho!NOC_CI_expex_rpmt</f>
        <v>0</v>
      </c>
      <c r="BB398" s="49">
        <f ca="1">-MIN(SUM(BB396:BB397),SUM(BB$364,BB$369)*HM_ZD_Moho!NOC_rpmt_max_perc)*HM_ZD_Moho!NOC_CI_expex_rpmt</f>
        <v>0</v>
      </c>
      <c r="BC398" s="49">
        <f ca="1">-MIN(SUM(BC396:BC397),SUM(BC$364,BC$369)*HM_ZD_Moho!NOC_rpmt_max_perc)*HM_ZD_Moho!NOC_CI_expex_rpmt</f>
        <v>0</v>
      </c>
      <c r="BD398" s="49">
        <f ca="1">-MIN(SUM(BD396:BD397),SUM(BD$364,BD$369)*HM_ZD_Moho!NOC_rpmt_max_perc)*HM_ZD_Moho!NOC_CI_expex_rpmt</f>
        <v>0</v>
      </c>
      <c r="BE398" s="49">
        <f ca="1">-MIN(SUM(BE396:BE397),SUM(BE$364,BE$369)*HM_ZD_Moho!NOC_rpmt_max_perc)*HM_ZD_Moho!NOC_CI_expex_rpmt</f>
        <v>0</v>
      </c>
      <c r="BF398" s="49">
        <f ca="1">-MIN(SUM(BF396:BF397),SUM(BF$364,BF$369)*HM_ZD_Moho!NOC_rpmt_max_perc)*HM_ZD_Moho!NOC_CI_expex_rpmt</f>
        <v>0</v>
      </c>
      <c r="BG398" s="49">
        <f ca="1">-MIN(SUM(BG396:BG397),SUM(BG$364,BG$369)*HM_ZD_Moho!NOC_rpmt_max_perc)*HM_ZD_Moho!NOC_CI_expex_rpmt</f>
        <v>0</v>
      </c>
      <c r="BH398" s="49">
        <f ca="1">-MIN(SUM(BH396:BH397),SUM(BH$364,BH$369)*HM_ZD_Moho!NOC_rpmt_max_perc)*HM_ZD_Moho!NOC_CI_expex_rpmt</f>
        <v>0</v>
      </c>
      <c r="BI398" s="49">
        <f ca="1">-MIN(SUM(BI396:BI397),SUM(BI$364,BI$369)*HM_ZD_Moho!NOC_rpmt_max_perc)*HM_ZD_Moho!NOC_CI_expex_rpmt</f>
        <v>0</v>
      </c>
      <c r="BJ398" s="49">
        <f ca="1">-MIN(SUM(BJ396:BJ397),SUM(BJ$364,BJ$369)*HM_ZD_Moho!NOC_rpmt_max_perc)*HM_ZD_Moho!NOC_CI_expex_rpmt</f>
        <v>0</v>
      </c>
      <c r="BK398" s="49">
        <f ca="1">-MIN(SUM(BK396:BK397),SUM(BK$364,BK$369)*HM_ZD_Moho!NOC_rpmt_max_perc)*HM_ZD_Moho!NOC_CI_expex_rpmt</f>
        <v>0</v>
      </c>
      <c r="BL398" s="49">
        <f ca="1">-MIN(SUM(BL396:BL397),SUM(BL$364,BL$369)*HM_ZD_Moho!NOC_rpmt_max_perc)*HM_ZD_Moho!NOC_CI_expex_rpmt</f>
        <v>0</v>
      </c>
      <c r="BM398" s="49">
        <f ca="1">-MIN(SUM(BM396:BM397),SUM(BM$364,BM$369)*HM_ZD_Moho!NOC_rpmt_max_perc)*HM_ZD_Moho!NOC_CI_expex_rpmt</f>
        <v>0</v>
      </c>
      <c r="BN398" s="49">
        <f ca="1">-MIN(SUM(BN396:BN397),SUM(BN$364,BN$369)*HM_ZD_Moho!NOC_rpmt_max_perc)*HM_ZD_Moho!NOC_CI_expex_rpmt</f>
        <v>0</v>
      </c>
      <c r="BO398" s="49">
        <f ca="1">-MIN(SUM(BO396:BO397),SUM(BO$364,BO$369)*HM_ZD_Moho!NOC_rpmt_max_perc)*HM_ZD_Moho!NOC_CI_expex_rpmt</f>
        <v>0</v>
      </c>
      <c r="BP398" s="49">
        <f ca="1">-MIN(SUM(BP396:BP397),SUM(BP$364,BP$369)*HM_ZD_Moho!NOC_rpmt_max_perc)*HM_ZD_Moho!NOC_CI_expex_rpmt</f>
        <v>0</v>
      </c>
      <c r="BQ398" s="49">
        <f ca="1">-MIN(SUM(BQ396:BQ397),SUM(BQ$364,BQ$369)*HM_ZD_Moho!NOC_rpmt_max_perc)*HM_ZD_Moho!NOC_CI_expex_rpmt</f>
        <v>0</v>
      </c>
      <c r="BR398" s="49">
        <f ca="1">-MIN(SUM(BR396:BR397),SUM(BR$364,BR$369)*HM_ZD_Moho!NOC_rpmt_max_perc)*HM_ZD_Moho!NOC_CI_expex_rpmt</f>
        <v>0</v>
      </c>
      <c r="BS398" s="49">
        <f ca="1">-MIN(SUM(BS396:BS397),SUM(BS$364,BS$369)*HM_ZD_Moho!NOC_rpmt_max_perc)*HM_ZD_Moho!NOC_CI_expex_rpmt</f>
        <v>0</v>
      </c>
    </row>
    <row r="399" spans="1:71" outlineLevel="1" x14ac:dyDescent="0.2">
      <c r="D399" t="str">
        <f>HM_ZB_Nsoko!D385</f>
        <v>Coûts de portage Solde de clôture</v>
      </c>
      <c r="J399" s="26"/>
      <c r="L399" s="49">
        <f ca="1">SUM(L396:L398)</f>
        <v>0</v>
      </c>
      <c r="M399" s="49">
        <f t="shared" ref="M399:BS399" ca="1" si="219">SUM(M396:M398)</f>
        <v>0</v>
      </c>
      <c r="N399" s="49">
        <f t="shared" ca="1" si="219"/>
        <v>0</v>
      </c>
      <c r="O399" s="49">
        <f t="shared" ca="1" si="219"/>
        <v>0</v>
      </c>
      <c r="P399" s="49">
        <f t="shared" ca="1" si="219"/>
        <v>0</v>
      </c>
      <c r="Q399" s="49">
        <f t="shared" ca="1" si="219"/>
        <v>0</v>
      </c>
      <c r="R399" s="49">
        <f t="shared" ca="1" si="219"/>
        <v>0</v>
      </c>
      <c r="S399" s="49">
        <f t="shared" ca="1" si="219"/>
        <v>0</v>
      </c>
      <c r="T399" s="49">
        <f t="shared" ca="1" si="219"/>
        <v>0</v>
      </c>
      <c r="U399" s="49">
        <f t="shared" ca="1" si="219"/>
        <v>0</v>
      </c>
      <c r="V399" s="49">
        <f t="shared" ca="1" si="219"/>
        <v>0</v>
      </c>
      <c r="W399" s="49">
        <f t="shared" ca="1" si="219"/>
        <v>0</v>
      </c>
      <c r="X399" s="49">
        <f t="shared" ca="1" si="219"/>
        <v>0</v>
      </c>
      <c r="Y399" s="49">
        <f t="shared" ca="1" si="219"/>
        <v>0</v>
      </c>
      <c r="Z399" s="49">
        <f t="shared" ca="1" si="219"/>
        <v>0</v>
      </c>
      <c r="AA399" s="49">
        <f t="shared" ca="1" si="219"/>
        <v>0</v>
      </c>
      <c r="AB399" s="49">
        <f t="shared" ca="1" si="219"/>
        <v>0</v>
      </c>
      <c r="AC399" s="49">
        <f t="shared" ca="1" si="219"/>
        <v>0</v>
      </c>
      <c r="AD399" s="49">
        <f t="shared" ca="1" si="219"/>
        <v>0</v>
      </c>
      <c r="AE399" s="49">
        <f t="shared" ca="1" si="219"/>
        <v>0</v>
      </c>
      <c r="AF399" s="49">
        <f t="shared" ca="1" si="219"/>
        <v>0</v>
      </c>
      <c r="AG399" s="49">
        <f t="shared" ca="1" si="219"/>
        <v>0</v>
      </c>
      <c r="AH399" s="49">
        <f t="shared" ca="1" si="219"/>
        <v>0</v>
      </c>
      <c r="AI399" s="49">
        <f t="shared" ca="1" si="219"/>
        <v>0</v>
      </c>
      <c r="AJ399" s="49">
        <f t="shared" ca="1" si="219"/>
        <v>0</v>
      </c>
      <c r="AK399" s="49">
        <f t="shared" ca="1" si="219"/>
        <v>0</v>
      </c>
      <c r="AL399" s="49">
        <f t="shared" ca="1" si="219"/>
        <v>0</v>
      </c>
      <c r="AM399" s="49">
        <f t="shared" ca="1" si="219"/>
        <v>0</v>
      </c>
      <c r="AN399" s="49">
        <f t="shared" ca="1" si="219"/>
        <v>0</v>
      </c>
      <c r="AO399" s="49">
        <f t="shared" ca="1" si="219"/>
        <v>0</v>
      </c>
      <c r="AP399" s="49">
        <f t="shared" ca="1" si="219"/>
        <v>0</v>
      </c>
      <c r="AQ399" s="49">
        <f t="shared" ca="1" si="219"/>
        <v>0</v>
      </c>
      <c r="AR399" s="49">
        <f t="shared" ca="1" si="219"/>
        <v>0</v>
      </c>
      <c r="AS399" s="49">
        <f t="shared" ca="1" si="219"/>
        <v>0</v>
      </c>
      <c r="AT399" s="49">
        <f t="shared" ca="1" si="219"/>
        <v>0</v>
      </c>
      <c r="AU399" s="49">
        <f t="shared" ca="1" si="219"/>
        <v>0</v>
      </c>
      <c r="AV399" s="49">
        <f t="shared" ca="1" si="219"/>
        <v>0</v>
      </c>
      <c r="AW399" s="49">
        <f t="shared" ca="1" si="219"/>
        <v>0</v>
      </c>
      <c r="AX399" s="49">
        <f t="shared" ca="1" si="219"/>
        <v>0</v>
      </c>
      <c r="AY399" s="49">
        <f t="shared" ca="1" si="219"/>
        <v>0</v>
      </c>
      <c r="AZ399" s="49">
        <f t="shared" ca="1" si="219"/>
        <v>0</v>
      </c>
      <c r="BA399" s="49">
        <f t="shared" ca="1" si="219"/>
        <v>0</v>
      </c>
      <c r="BB399" s="49">
        <f t="shared" ca="1" si="219"/>
        <v>0</v>
      </c>
      <c r="BC399" s="49">
        <f t="shared" ca="1" si="219"/>
        <v>0</v>
      </c>
      <c r="BD399" s="49">
        <f t="shared" ca="1" si="219"/>
        <v>0</v>
      </c>
      <c r="BE399" s="49">
        <f t="shared" ca="1" si="219"/>
        <v>0</v>
      </c>
      <c r="BF399" s="49">
        <f t="shared" ca="1" si="219"/>
        <v>0</v>
      </c>
      <c r="BG399" s="49">
        <f t="shared" ca="1" si="219"/>
        <v>0</v>
      </c>
      <c r="BH399" s="49">
        <f t="shared" ca="1" si="219"/>
        <v>0</v>
      </c>
      <c r="BI399" s="49">
        <f t="shared" ca="1" si="219"/>
        <v>0</v>
      </c>
      <c r="BJ399" s="49">
        <f t="shared" ca="1" si="219"/>
        <v>0</v>
      </c>
      <c r="BK399" s="49">
        <f t="shared" ca="1" si="219"/>
        <v>0</v>
      </c>
      <c r="BL399" s="49">
        <f t="shared" ca="1" si="219"/>
        <v>0</v>
      </c>
      <c r="BM399" s="49">
        <f t="shared" ca="1" si="219"/>
        <v>0</v>
      </c>
      <c r="BN399" s="49">
        <f t="shared" ca="1" si="219"/>
        <v>0</v>
      </c>
      <c r="BO399" s="49">
        <f t="shared" ca="1" si="219"/>
        <v>0</v>
      </c>
      <c r="BP399" s="49">
        <f t="shared" ca="1" si="219"/>
        <v>0</v>
      </c>
      <c r="BQ399" s="49">
        <f t="shared" ca="1" si="219"/>
        <v>0</v>
      </c>
      <c r="BR399" s="49">
        <f t="shared" ca="1" si="219"/>
        <v>0</v>
      </c>
      <c r="BS399" s="49">
        <f t="shared" ca="1" si="219"/>
        <v>0</v>
      </c>
    </row>
    <row r="400" spans="1:71" outlineLevel="1" x14ac:dyDescent="0.2">
      <c r="J400" s="26"/>
      <c r="L400" s="55"/>
      <c r="M400" s="55"/>
      <c r="N400" s="55"/>
      <c r="O400" s="55"/>
      <c r="P400" s="55"/>
      <c r="Q400" s="55"/>
      <c r="R400" s="55"/>
      <c r="S400" s="55"/>
      <c r="T400" s="55"/>
      <c r="U400" s="55"/>
      <c r="V400" s="55"/>
      <c r="W400" s="55"/>
      <c r="X400" s="55"/>
      <c r="Y400" s="55"/>
      <c r="Z400" s="55"/>
      <c r="AA400" s="55"/>
      <c r="AB400" s="55"/>
      <c r="AC400" s="55"/>
      <c r="AD400" s="55"/>
      <c r="AE400" s="55"/>
      <c r="AF400" s="55"/>
      <c r="AG400" s="55"/>
      <c r="AH400" s="55"/>
      <c r="AI400" s="55"/>
      <c r="AJ400" s="55"/>
      <c r="AK400" s="55"/>
      <c r="AL400" s="55"/>
      <c r="AM400" s="55"/>
      <c r="AN400" s="55"/>
      <c r="AO400" s="55"/>
      <c r="AP400" s="55"/>
      <c r="AQ400" s="55"/>
      <c r="AR400" s="55"/>
      <c r="AS400" s="55"/>
      <c r="AT400" s="55"/>
      <c r="AU400" s="55"/>
      <c r="AV400" s="55"/>
      <c r="AW400" s="55"/>
      <c r="AX400" s="55"/>
      <c r="AY400" s="55"/>
      <c r="AZ400" s="55"/>
      <c r="BA400" s="55"/>
      <c r="BB400" s="55"/>
      <c r="BC400" s="55"/>
      <c r="BD400" s="55"/>
      <c r="BE400" s="55"/>
      <c r="BF400" s="55"/>
      <c r="BG400" s="55"/>
      <c r="BH400" s="55"/>
      <c r="BI400" s="55"/>
      <c r="BJ400" s="55"/>
      <c r="BK400" s="55"/>
      <c r="BL400" s="55"/>
      <c r="BM400" s="55"/>
      <c r="BN400" s="55"/>
      <c r="BO400" s="55"/>
      <c r="BP400" s="55"/>
      <c r="BQ400" s="55"/>
      <c r="BR400" s="55"/>
      <c r="BS400" s="55"/>
    </row>
    <row r="401" spans="3:71" outlineLevel="1" x14ac:dyDescent="0.2">
      <c r="C401" s="11" t="str">
        <f>HM_ZB_Nsoko!C387</f>
        <v>Remboursement du portage Compagnie nationale - Capex</v>
      </c>
      <c r="J401" s="26"/>
      <c r="L401" s="55"/>
      <c r="M401" s="55"/>
      <c r="N401" s="55"/>
      <c r="O401" s="55"/>
      <c r="P401" s="55"/>
      <c r="Q401" s="55"/>
      <c r="R401" s="55"/>
      <c r="S401" s="55"/>
      <c r="T401" s="55"/>
      <c r="U401" s="55"/>
      <c r="V401" s="55"/>
      <c r="W401" s="55"/>
      <c r="X401" s="55"/>
      <c r="Y401" s="55"/>
      <c r="Z401" s="55"/>
      <c r="AA401" s="55"/>
      <c r="AB401" s="55"/>
      <c r="AC401" s="55"/>
      <c r="AD401" s="55"/>
      <c r="AE401" s="55"/>
      <c r="AF401" s="55"/>
      <c r="AG401" s="55"/>
      <c r="AH401" s="55"/>
      <c r="AI401" s="55"/>
      <c r="AJ401" s="55"/>
      <c r="AK401" s="55"/>
      <c r="AL401" s="55"/>
      <c r="AM401" s="55"/>
      <c r="AN401" s="55"/>
      <c r="AO401" s="55"/>
      <c r="AP401" s="55"/>
      <c r="AQ401" s="55"/>
      <c r="AR401" s="55"/>
      <c r="AS401" s="55"/>
      <c r="AT401" s="55"/>
      <c r="AU401" s="55"/>
      <c r="AV401" s="55"/>
      <c r="AW401" s="55"/>
      <c r="AX401" s="55"/>
      <c r="AY401" s="55"/>
      <c r="AZ401" s="55"/>
      <c r="BA401" s="55"/>
      <c r="BB401" s="55"/>
      <c r="BC401" s="55"/>
      <c r="BD401" s="55"/>
      <c r="BE401" s="55"/>
      <c r="BF401" s="55"/>
      <c r="BG401" s="55"/>
      <c r="BH401" s="55"/>
      <c r="BI401" s="55"/>
      <c r="BJ401" s="55"/>
      <c r="BK401" s="55"/>
      <c r="BL401" s="55"/>
      <c r="BM401" s="55"/>
      <c r="BN401" s="55"/>
      <c r="BO401" s="55"/>
      <c r="BP401" s="55"/>
      <c r="BQ401" s="55"/>
      <c r="BR401" s="55"/>
      <c r="BS401" s="55"/>
    </row>
    <row r="402" spans="3:71" outlineLevel="1" x14ac:dyDescent="0.2">
      <c r="D402" t="str">
        <f>HM_ZB_Nsoko!D388</f>
        <v>Coûts portés Solde d'ouverture</v>
      </c>
      <c r="J402" s="26"/>
      <c r="L402" s="49">
        <f>K405</f>
        <v>0</v>
      </c>
      <c r="M402" s="49">
        <f t="shared" ref="M402:BS402" ca="1" si="220">L405</f>
        <v>115.30633617351387</v>
      </c>
      <c r="N402" s="49">
        <f t="shared" ca="1" si="220"/>
        <v>357.53432247905579</v>
      </c>
      <c r="O402" s="49">
        <f t="shared" ca="1" si="220"/>
        <v>760.55272388211517</v>
      </c>
      <c r="P402" s="49">
        <f t="shared" ca="1" si="220"/>
        <v>1089.0270281686503</v>
      </c>
      <c r="Q402" s="49">
        <f t="shared" ca="1" si="220"/>
        <v>1101.5021264733252</v>
      </c>
      <c r="R402" s="49">
        <f t="shared" ca="1" si="220"/>
        <v>874.79305598552139</v>
      </c>
      <c r="S402" s="49">
        <f t="shared" ca="1" si="220"/>
        <v>558.59450466030398</v>
      </c>
      <c r="T402" s="49">
        <f t="shared" ca="1" si="220"/>
        <v>369.79855614949145</v>
      </c>
      <c r="U402" s="49">
        <f t="shared" ca="1" si="220"/>
        <v>80.921086153891281</v>
      </c>
      <c r="V402" s="49">
        <f t="shared" ca="1" si="220"/>
        <v>0</v>
      </c>
      <c r="W402" s="49">
        <f t="shared" ca="1" si="220"/>
        <v>0</v>
      </c>
      <c r="X402" s="49">
        <f t="shared" ca="1" si="220"/>
        <v>0</v>
      </c>
      <c r="Y402" s="49">
        <f t="shared" ca="1" si="220"/>
        <v>0</v>
      </c>
      <c r="Z402" s="49">
        <f t="shared" ca="1" si="220"/>
        <v>0</v>
      </c>
      <c r="AA402" s="49">
        <f t="shared" ca="1" si="220"/>
        <v>0</v>
      </c>
      <c r="AB402" s="49">
        <f t="shared" ca="1" si="220"/>
        <v>0</v>
      </c>
      <c r="AC402" s="49">
        <f t="shared" ca="1" si="220"/>
        <v>0</v>
      </c>
      <c r="AD402" s="49">
        <f t="shared" ca="1" si="220"/>
        <v>0</v>
      </c>
      <c r="AE402" s="49">
        <f t="shared" ca="1" si="220"/>
        <v>0</v>
      </c>
      <c r="AF402" s="49">
        <f t="shared" ca="1" si="220"/>
        <v>0</v>
      </c>
      <c r="AG402" s="49">
        <f t="shared" ca="1" si="220"/>
        <v>0</v>
      </c>
      <c r="AH402" s="49">
        <f t="shared" ca="1" si="220"/>
        <v>0</v>
      </c>
      <c r="AI402" s="49">
        <f t="shared" ca="1" si="220"/>
        <v>0</v>
      </c>
      <c r="AJ402" s="49">
        <f t="shared" ca="1" si="220"/>
        <v>0</v>
      </c>
      <c r="AK402" s="49">
        <f t="shared" ca="1" si="220"/>
        <v>0</v>
      </c>
      <c r="AL402" s="49">
        <f t="shared" ca="1" si="220"/>
        <v>0</v>
      </c>
      <c r="AM402" s="49">
        <f t="shared" ca="1" si="220"/>
        <v>0</v>
      </c>
      <c r="AN402" s="49">
        <f t="shared" ca="1" si="220"/>
        <v>0</v>
      </c>
      <c r="AO402" s="49">
        <f t="shared" ca="1" si="220"/>
        <v>0</v>
      </c>
      <c r="AP402" s="49">
        <f t="shared" ca="1" si="220"/>
        <v>0</v>
      </c>
      <c r="AQ402" s="49">
        <f t="shared" ca="1" si="220"/>
        <v>0</v>
      </c>
      <c r="AR402" s="49">
        <f t="shared" ca="1" si="220"/>
        <v>0</v>
      </c>
      <c r="AS402" s="49">
        <f t="shared" ca="1" si="220"/>
        <v>0</v>
      </c>
      <c r="AT402" s="49">
        <f t="shared" ca="1" si="220"/>
        <v>0</v>
      </c>
      <c r="AU402" s="49">
        <f t="shared" ca="1" si="220"/>
        <v>0</v>
      </c>
      <c r="AV402" s="49">
        <f t="shared" ca="1" si="220"/>
        <v>0</v>
      </c>
      <c r="AW402" s="49">
        <f t="shared" ca="1" si="220"/>
        <v>0</v>
      </c>
      <c r="AX402" s="49">
        <f t="shared" ca="1" si="220"/>
        <v>0</v>
      </c>
      <c r="AY402" s="49">
        <f t="shared" ca="1" si="220"/>
        <v>0</v>
      </c>
      <c r="AZ402" s="49">
        <f t="shared" ca="1" si="220"/>
        <v>0</v>
      </c>
      <c r="BA402" s="49">
        <f t="shared" ca="1" si="220"/>
        <v>0</v>
      </c>
      <c r="BB402" s="49">
        <f t="shared" ca="1" si="220"/>
        <v>0</v>
      </c>
      <c r="BC402" s="49">
        <f t="shared" ca="1" si="220"/>
        <v>0</v>
      </c>
      <c r="BD402" s="49">
        <f t="shared" ca="1" si="220"/>
        <v>0</v>
      </c>
      <c r="BE402" s="49">
        <f t="shared" ca="1" si="220"/>
        <v>0</v>
      </c>
      <c r="BF402" s="49">
        <f t="shared" ca="1" si="220"/>
        <v>0</v>
      </c>
      <c r="BG402" s="49">
        <f t="shared" ca="1" si="220"/>
        <v>0</v>
      </c>
      <c r="BH402" s="49">
        <f t="shared" ca="1" si="220"/>
        <v>0</v>
      </c>
      <c r="BI402" s="49">
        <f t="shared" ca="1" si="220"/>
        <v>0</v>
      </c>
      <c r="BJ402" s="49">
        <f t="shared" ca="1" si="220"/>
        <v>0</v>
      </c>
      <c r="BK402" s="49">
        <f t="shared" ca="1" si="220"/>
        <v>0</v>
      </c>
      <c r="BL402" s="49">
        <f t="shared" ca="1" si="220"/>
        <v>0</v>
      </c>
      <c r="BM402" s="49">
        <f t="shared" ca="1" si="220"/>
        <v>0</v>
      </c>
      <c r="BN402" s="49">
        <f t="shared" ca="1" si="220"/>
        <v>0</v>
      </c>
      <c r="BO402" s="49">
        <f t="shared" ca="1" si="220"/>
        <v>0</v>
      </c>
      <c r="BP402" s="49">
        <f t="shared" ca="1" si="220"/>
        <v>0</v>
      </c>
      <c r="BQ402" s="49">
        <f t="shared" ca="1" si="220"/>
        <v>0</v>
      </c>
      <c r="BR402" s="49">
        <f t="shared" ca="1" si="220"/>
        <v>0</v>
      </c>
      <c r="BS402" s="49">
        <f t="shared" ca="1" si="220"/>
        <v>0</v>
      </c>
    </row>
    <row r="403" spans="3:71" outlineLevel="1" x14ac:dyDescent="0.2">
      <c r="D403" s="50" t="str">
        <f>HM_ZB_Nsoko!D389</f>
        <v>Coûts portés pour la période</v>
      </c>
      <c r="I403" s="30">
        <f t="shared" ref="I403:I404" ca="1" si="221">SUM($L403:$BS403)</f>
        <v>1637.03865</v>
      </c>
      <c r="J403" s="26" t="s">
        <v>148</v>
      </c>
      <c r="L403" s="49">
        <f ca="1">L391</f>
        <v>193.01729999999998</v>
      </c>
      <c r="M403" s="49">
        <f t="shared" ref="M403:BS403" ca="1" si="222">M391</f>
        <v>317.73179999999996</v>
      </c>
      <c r="N403" s="49">
        <f t="shared" ca="1" si="222"/>
        <v>469.58609999999999</v>
      </c>
      <c r="O403" s="49">
        <f t="shared" ca="1" si="222"/>
        <v>385.68014999999997</v>
      </c>
      <c r="P403" s="49">
        <f t="shared" ca="1" si="222"/>
        <v>172.98479999999998</v>
      </c>
      <c r="Q403" s="49">
        <f t="shared" ca="1" si="222"/>
        <v>98.038499999999999</v>
      </c>
      <c r="R403" s="49">
        <f t="shared" ca="1" si="222"/>
        <v>0</v>
      </c>
      <c r="S403" s="49">
        <f t="shared" ca="1" si="222"/>
        <v>0</v>
      </c>
      <c r="T403" s="49">
        <f t="shared" ca="1" si="222"/>
        <v>0</v>
      </c>
      <c r="U403" s="49">
        <f t="shared" ca="1" si="222"/>
        <v>0</v>
      </c>
      <c r="V403" s="49">
        <f t="shared" ca="1" si="222"/>
        <v>0</v>
      </c>
      <c r="W403" s="49">
        <f t="shared" ca="1" si="222"/>
        <v>0</v>
      </c>
      <c r="X403" s="49">
        <f t="shared" ca="1" si="222"/>
        <v>0</v>
      </c>
      <c r="Y403" s="49">
        <f t="shared" ca="1" si="222"/>
        <v>0</v>
      </c>
      <c r="Z403" s="49">
        <f t="shared" ca="1" si="222"/>
        <v>0</v>
      </c>
      <c r="AA403" s="49">
        <f t="shared" ca="1" si="222"/>
        <v>0</v>
      </c>
      <c r="AB403" s="49">
        <f t="shared" ca="1" si="222"/>
        <v>0</v>
      </c>
      <c r="AC403" s="49">
        <f t="shared" ca="1" si="222"/>
        <v>0</v>
      </c>
      <c r="AD403" s="49">
        <f t="shared" ca="1" si="222"/>
        <v>0</v>
      </c>
      <c r="AE403" s="49">
        <f t="shared" ca="1" si="222"/>
        <v>0</v>
      </c>
      <c r="AF403" s="49">
        <f t="shared" ca="1" si="222"/>
        <v>0</v>
      </c>
      <c r="AG403" s="49">
        <f t="shared" ca="1" si="222"/>
        <v>0</v>
      </c>
      <c r="AH403" s="49">
        <f t="shared" ca="1" si="222"/>
        <v>0</v>
      </c>
      <c r="AI403" s="49">
        <f t="shared" ca="1" si="222"/>
        <v>0</v>
      </c>
      <c r="AJ403" s="49">
        <f t="shared" ca="1" si="222"/>
        <v>0</v>
      </c>
      <c r="AK403" s="49">
        <f t="shared" ca="1" si="222"/>
        <v>0</v>
      </c>
      <c r="AL403" s="49">
        <f t="shared" ca="1" si="222"/>
        <v>0</v>
      </c>
      <c r="AM403" s="49">
        <f t="shared" ca="1" si="222"/>
        <v>0</v>
      </c>
      <c r="AN403" s="49">
        <f t="shared" ca="1" si="222"/>
        <v>0</v>
      </c>
      <c r="AO403" s="49">
        <f t="shared" ca="1" si="222"/>
        <v>0</v>
      </c>
      <c r="AP403" s="49">
        <f t="shared" ca="1" si="222"/>
        <v>0</v>
      </c>
      <c r="AQ403" s="49">
        <f t="shared" ca="1" si="222"/>
        <v>0</v>
      </c>
      <c r="AR403" s="49">
        <f t="shared" ca="1" si="222"/>
        <v>0</v>
      </c>
      <c r="AS403" s="49">
        <f t="shared" ca="1" si="222"/>
        <v>0</v>
      </c>
      <c r="AT403" s="49">
        <f t="shared" ca="1" si="222"/>
        <v>0</v>
      </c>
      <c r="AU403" s="49">
        <f t="shared" ca="1" si="222"/>
        <v>0</v>
      </c>
      <c r="AV403" s="49">
        <f t="shared" ca="1" si="222"/>
        <v>0</v>
      </c>
      <c r="AW403" s="49">
        <f t="shared" ca="1" si="222"/>
        <v>0</v>
      </c>
      <c r="AX403" s="49">
        <f t="shared" ca="1" si="222"/>
        <v>0</v>
      </c>
      <c r="AY403" s="49">
        <f t="shared" ca="1" si="222"/>
        <v>0</v>
      </c>
      <c r="AZ403" s="49">
        <f t="shared" ca="1" si="222"/>
        <v>0</v>
      </c>
      <c r="BA403" s="49">
        <f t="shared" ca="1" si="222"/>
        <v>0</v>
      </c>
      <c r="BB403" s="49">
        <f t="shared" ca="1" si="222"/>
        <v>0</v>
      </c>
      <c r="BC403" s="49">
        <f t="shared" ca="1" si="222"/>
        <v>0</v>
      </c>
      <c r="BD403" s="49">
        <f t="shared" ca="1" si="222"/>
        <v>0</v>
      </c>
      <c r="BE403" s="49">
        <f t="shared" ca="1" si="222"/>
        <v>0</v>
      </c>
      <c r="BF403" s="49">
        <f t="shared" ca="1" si="222"/>
        <v>0</v>
      </c>
      <c r="BG403" s="49">
        <f t="shared" ca="1" si="222"/>
        <v>0</v>
      </c>
      <c r="BH403" s="49">
        <f t="shared" ca="1" si="222"/>
        <v>0</v>
      </c>
      <c r="BI403" s="49">
        <f t="shared" ca="1" si="222"/>
        <v>0</v>
      </c>
      <c r="BJ403" s="49">
        <f t="shared" ca="1" si="222"/>
        <v>0</v>
      </c>
      <c r="BK403" s="49">
        <f t="shared" ca="1" si="222"/>
        <v>0</v>
      </c>
      <c r="BL403" s="49">
        <f t="shared" ca="1" si="222"/>
        <v>0</v>
      </c>
      <c r="BM403" s="49">
        <f t="shared" ca="1" si="222"/>
        <v>0</v>
      </c>
      <c r="BN403" s="49">
        <f t="shared" ca="1" si="222"/>
        <v>0</v>
      </c>
      <c r="BO403" s="49">
        <f t="shared" ca="1" si="222"/>
        <v>0</v>
      </c>
      <c r="BP403" s="49">
        <f t="shared" ca="1" si="222"/>
        <v>0</v>
      </c>
      <c r="BQ403" s="49">
        <f t="shared" ca="1" si="222"/>
        <v>0</v>
      </c>
      <c r="BR403" s="49">
        <f t="shared" ca="1" si="222"/>
        <v>0</v>
      </c>
      <c r="BS403" s="49">
        <f t="shared" ca="1" si="222"/>
        <v>0</v>
      </c>
    </row>
    <row r="404" spans="3:71" outlineLevel="1" x14ac:dyDescent="0.2">
      <c r="D404" s="50" t="str">
        <f>HM_ZB_Nsoko!D390</f>
        <v>Remboursement du portage</v>
      </c>
      <c r="I404" s="30">
        <f t="shared" ca="1" si="221"/>
        <v>-1637.0386499999997</v>
      </c>
      <c r="J404" s="26" t="s">
        <v>148</v>
      </c>
      <c r="L404" s="49">
        <f ca="1">-MIN(SUM(L402:L403),SUM(L$364,L$369)*HM_ZD_Moho!NOC_rpmt_max_perc)*HM_ZD_Moho!NOC_CI_devex_rpmt</f>
        <v>-77.710963826486108</v>
      </c>
      <c r="M404" s="49">
        <f ca="1">-MIN(SUM(M402:M403),SUM(M$364,M$369)*HM_ZD_Moho!NOC_rpmt_max_perc)*HM_ZD_Moho!NOC_CI_devex_rpmt</f>
        <v>-75.50381369445806</v>
      </c>
      <c r="N404" s="49">
        <f ca="1">-MIN(SUM(N402:N403),SUM(N$364,N$369)*HM_ZD_Moho!NOC_rpmt_max_perc)*HM_ZD_Moho!NOC_CI_devex_rpmt</f>
        <v>-66.567698596940616</v>
      </c>
      <c r="O404" s="49">
        <f ca="1">-MIN(SUM(O402:O403),SUM(O$364,O$369)*HM_ZD_Moho!NOC_rpmt_max_perc)*HM_ZD_Moho!NOC_CI_devex_rpmt</f>
        <v>-57.205845713464875</v>
      </c>
      <c r="P404" s="49">
        <f ca="1">-MIN(SUM(P402:P403),SUM(P$364,P$369)*HM_ZD_Moho!NOC_rpmt_max_perc)*HM_ZD_Moho!NOC_CI_devex_rpmt</f>
        <v>-160.50970169532511</v>
      </c>
      <c r="Q404" s="49">
        <f ca="1">-MIN(SUM(Q402:Q403),SUM(Q$364,Q$369)*HM_ZD_Moho!NOC_rpmt_max_perc)*HM_ZD_Moho!NOC_CI_devex_rpmt</f>
        <v>-324.74757048780373</v>
      </c>
      <c r="R404" s="49">
        <f ca="1">-MIN(SUM(R402:R403),SUM(R$364,R$369)*HM_ZD_Moho!NOC_rpmt_max_perc)*HM_ZD_Moho!NOC_CI_devex_rpmt</f>
        <v>-316.19855132521735</v>
      </c>
      <c r="S404" s="49">
        <f ca="1">-MIN(SUM(S402:S403),SUM(S$364,S$369)*HM_ZD_Moho!NOC_rpmt_max_perc)*HM_ZD_Moho!NOC_CI_devex_rpmt</f>
        <v>-188.79594851081251</v>
      </c>
      <c r="T404" s="49">
        <f ca="1">-MIN(SUM(T402:T403),SUM(T$364,T$369)*HM_ZD_Moho!NOC_rpmt_max_perc)*HM_ZD_Moho!NOC_CI_devex_rpmt</f>
        <v>-288.87746999560017</v>
      </c>
      <c r="U404" s="49">
        <f ca="1">-MIN(SUM(U402:U403),SUM(U$364,U$369)*HM_ZD_Moho!NOC_rpmt_max_perc)*HM_ZD_Moho!NOC_CI_devex_rpmt</f>
        <v>-80.921086153891281</v>
      </c>
      <c r="V404" s="49">
        <f ca="1">-MIN(SUM(V402:V403),SUM(V$364,V$369)*HM_ZD_Moho!NOC_rpmt_max_perc)*HM_ZD_Moho!NOC_CI_devex_rpmt</f>
        <v>0</v>
      </c>
      <c r="W404" s="49">
        <f ca="1">-MIN(SUM(W402:W403),SUM(W$364,W$369)*HM_ZD_Moho!NOC_rpmt_max_perc)*HM_ZD_Moho!NOC_CI_devex_rpmt</f>
        <v>0</v>
      </c>
      <c r="X404" s="49">
        <f ca="1">-MIN(SUM(X402:X403),SUM(X$364,X$369)*HM_ZD_Moho!NOC_rpmt_max_perc)*HM_ZD_Moho!NOC_CI_devex_rpmt</f>
        <v>0</v>
      </c>
      <c r="Y404" s="49">
        <f ca="1">-MIN(SUM(Y402:Y403),SUM(Y$364,Y$369)*HM_ZD_Moho!NOC_rpmt_max_perc)*HM_ZD_Moho!NOC_CI_devex_rpmt</f>
        <v>0</v>
      </c>
      <c r="Z404" s="49">
        <f ca="1">-MIN(SUM(Z402:Z403),SUM(Z$364,Z$369)*HM_ZD_Moho!NOC_rpmt_max_perc)*HM_ZD_Moho!NOC_CI_devex_rpmt</f>
        <v>0</v>
      </c>
      <c r="AA404" s="49">
        <f ca="1">-MIN(SUM(AA402:AA403),SUM(AA$364,AA$369)*HM_ZD_Moho!NOC_rpmt_max_perc)*HM_ZD_Moho!NOC_CI_devex_rpmt</f>
        <v>0</v>
      </c>
      <c r="AB404" s="49">
        <f ca="1">-MIN(SUM(AB402:AB403),SUM(AB$364,AB$369)*HM_ZD_Moho!NOC_rpmt_max_perc)*HM_ZD_Moho!NOC_CI_devex_rpmt</f>
        <v>0</v>
      </c>
      <c r="AC404" s="49">
        <f ca="1">-MIN(SUM(AC402:AC403),SUM(AC$364,AC$369)*HM_ZD_Moho!NOC_rpmt_max_perc)*HM_ZD_Moho!NOC_CI_devex_rpmt</f>
        <v>0</v>
      </c>
      <c r="AD404" s="49">
        <f ca="1">-MIN(SUM(AD402:AD403),SUM(AD$364,AD$369)*HM_ZD_Moho!NOC_rpmt_max_perc)*HM_ZD_Moho!NOC_CI_devex_rpmt</f>
        <v>0</v>
      </c>
      <c r="AE404" s="49">
        <f ca="1">-MIN(SUM(AE402:AE403),SUM(AE$364,AE$369)*HM_ZD_Moho!NOC_rpmt_max_perc)*HM_ZD_Moho!NOC_CI_devex_rpmt</f>
        <v>0</v>
      </c>
      <c r="AF404" s="49">
        <f ca="1">-MIN(SUM(AF402:AF403),SUM(AF$364,AF$369)*HM_ZD_Moho!NOC_rpmt_max_perc)*HM_ZD_Moho!NOC_CI_devex_rpmt</f>
        <v>0</v>
      </c>
      <c r="AG404" s="49">
        <f ca="1">-MIN(SUM(AG402:AG403),SUM(AG$364,AG$369)*HM_ZD_Moho!NOC_rpmt_max_perc)*HM_ZD_Moho!NOC_CI_devex_rpmt</f>
        <v>0</v>
      </c>
      <c r="AH404" s="49">
        <f ca="1">-MIN(SUM(AH402:AH403),SUM(AH$364,AH$369)*HM_ZD_Moho!NOC_rpmt_max_perc)*HM_ZD_Moho!NOC_CI_devex_rpmt</f>
        <v>0</v>
      </c>
      <c r="AI404" s="49">
        <f ca="1">-MIN(SUM(AI402:AI403),SUM(AI$364,AI$369)*HM_ZD_Moho!NOC_rpmt_max_perc)*HM_ZD_Moho!NOC_CI_devex_rpmt</f>
        <v>0</v>
      </c>
      <c r="AJ404" s="49">
        <f ca="1">-MIN(SUM(AJ402:AJ403),SUM(AJ$364,AJ$369)*HM_ZD_Moho!NOC_rpmt_max_perc)*HM_ZD_Moho!NOC_CI_devex_rpmt</f>
        <v>0</v>
      </c>
      <c r="AK404" s="49">
        <f ca="1">-MIN(SUM(AK402:AK403),SUM(AK$364,AK$369)*HM_ZD_Moho!NOC_rpmt_max_perc)*HM_ZD_Moho!NOC_CI_devex_rpmt</f>
        <v>0</v>
      </c>
      <c r="AL404" s="49">
        <f ca="1">-MIN(SUM(AL402:AL403),SUM(AL$364,AL$369)*HM_ZD_Moho!NOC_rpmt_max_perc)*HM_ZD_Moho!NOC_CI_devex_rpmt</f>
        <v>0</v>
      </c>
      <c r="AM404" s="49">
        <f ca="1">-MIN(SUM(AM402:AM403),SUM(AM$364,AM$369)*HM_ZD_Moho!NOC_rpmt_max_perc)*HM_ZD_Moho!NOC_CI_devex_rpmt</f>
        <v>0</v>
      </c>
      <c r="AN404" s="49">
        <f ca="1">-MIN(SUM(AN402:AN403),SUM(AN$364,AN$369)*HM_ZD_Moho!NOC_rpmt_max_perc)*HM_ZD_Moho!NOC_CI_devex_rpmt</f>
        <v>0</v>
      </c>
      <c r="AO404" s="49">
        <f ca="1">-MIN(SUM(AO402:AO403),SUM(AO$364,AO$369)*HM_ZD_Moho!NOC_rpmt_max_perc)*HM_ZD_Moho!NOC_CI_devex_rpmt</f>
        <v>0</v>
      </c>
      <c r="AP404" s="49">
        <f ca="1">-MIN(SUM(AP402:AP403),SUM(AP$364,AP$369)*HM_ZD_Moho!NOC_rpmt_max_perc)*HM_ZD_Moho!NOC_CI_devex_rpmt</f>
        <v>0</v>
      </c>
      <c r="AQ404" s="49">
        <f ca="1">-MIN(SUM(AQ402:AQ403),SUM(AQ$364,AQ$369)*HM_ZD_Moho!NOC_rpmt_max_perc)*HM_ZD_Moho!NOC_CI_devex_rpmt</f>
        <v>0</v>
      </c>
      <c r="AR404" s="49">
        <f ca="1">-MIN(SUM(AR402:AR403),SUM(AR$364,AR$369)*HM_ZD_Moho!NOC_rpmt_max_perc)*HM_ZD_Moho!NOC_CI_devex_rpmt</f>
        <v>0</v>
      </c>
      <c r="AS404" s="49">
        <f ca="1">-MIN(SUM(AS402:AS403),SUM(AS$364,AS$369)*HM_ZD_Moho!NOC_rpmt_max_perc)*HM_ZD_Moho!NOC_CI_devex_rpmt</f>
        <v>0</v>
      </c>
      <c r="AT404" s="49">
        <f ca="1">-MIN(SUM(AT402:AT403),SUM(AT$364,AT$369)*HM_ZD_Moho!NOC_rpmt_max_perc)*HM_ZD_Moho!NOC_CI_devex_rpmt</f>
        <v>0</v>
      </c>
      <c r="AU404" s="49">
        <f ca="1">-MIN(SUM(AU402:AU403),SUM(AU$364,AU$369)*HM_ZD_Moho!NOC_rpmt_max_perc)*HM_ZD_Moho!NOC_CI_devex_rpmt</f>
        <v>0</v>
      </c>
      <c r="AV404" s="49">
        <f ca="1">-MIN(SUM(AV402:AV403),SUM(AV$364,AV$369)*HM_ZD_Moho!NOC_rpmt_max_perc)*HM_ZD_Moho!NOC_CI_devex_rpmt</f>
        <v>0</v>
      </c>
      <c r="AW404" s="49">
        <f ca="1">-MIN(SUM(AW402:AW403),SUM(AW$364,AW$369)*HM_ZD_Moho!NOC_rpmt_max_perc)*HM_ZD_Moho!NOC_CI_devex_rpmt</f>
        <v>0</v>
      </c>
      <c r="AX404" s="49">
        <f ca="1">-MIN(SUM(AX402:AX403),SUM(AX$364,AX$369)*HM_ZD_Moho!NOC_rpmt_max_perc)*HM_ZD_Moho!NOC_CI_devex_rpmt</f>
        <v>0</v>
      </c>
      <c r="AY404" s="49">
        <f ca="1">-MIN(SUM(AY402:AY403),SUM(AY$364,AY$369)*HM_ZD_Moho!NOC_rpmt_max_perc)*HM_ZD_Moho!NOC_CI_devex_rpmt</f>
        <v>0</v>
      </c>
      <c r="AZ404" s="49">
        <f ca="1">-MIN(SUM(AZ402:AZ403),SUM(AZ$364,AZ$369)*HM_ZD_Moho!NOC_rpmt_max_perc)*HM_ZD_Moho!NOC_CI_devex_rpmt</f>
        <v>0</v>
      </c>
      <c r="BA404" s="49">
        <f ca="1">-MIN(SUM(BA402:BA403),SUM(BA$364,BA$369)*HM_ZD_Moho!NOC_rpmt_max_perc)*HM_ZD_Moho!NOC_CI_devex_rpmt</f>
        <v>0</v>
      </c>
      <c r="BB404" s="49">
        <f ca="1">-MIN(SUM(BB402:BB403),SUM(BB$364,BB$369)*HM_ZD_Moho!NOC_rpmt_max_perc)*HM_ZD_Moho!NOC_CI_devex_rpmt</f>
        <v>0</v>
      </c>
      <c r="BC404" s="49">
        <f ca="1">-MIN(SUM(BC402:BC403),SUM(BC$364,BC$369)*HM_ZD_Moho!NOC_rpmt_max_perc)*HM_ZD_Moho!NOC_CI_devex_rpmt</f>
        <v>0</v>
      </c>
      <c r="BD404" s="49">
        <f ca="1">-MIN(SUM(BD402:BD403),SUM(BD$364,BD$369)*HM_ZD_Moho!NOC_rpmt_max_perc)*HM_ZD_Moho!NOC_CI_devex_rpmt</f>
        <v>0</v>
      </c>
      <c r="BE404" s="49">
        <f ca="1">-MIN(SUM(BE402:BE403),SUM(BE$364,BE$369)*HM_ZD_Moho!NOC_rpmt_max_perc)*HM_ZD_Moho!NOC_CI_devex_rpmt</f>
        <v>0</v>
      </c>
      <c r="BF404" s="49">
        <f ca="1">-MIN(SUM(BF402:BF403),SUM(BF$364,BF$369)*HM_ZD_Moho!NOC_rpmt_max_perc)*HM_ZD_Moho!NOC_CI_devex_rpmt</f>
        <v>0</v>
      </c>
      <c r="BG404" s="49">
        <f ca="1">-MIN(SUM(BG402:BG403),SUM(BG$364,BG$369)*HM_ZD_Moho!NOC_rpmt_max_perc)*HM_ZD_Moho!NOC_CI_devex_rpmt</f>
        <v>0</v>
      </c>
      <c r="BH404" s="49">
        <f ca="1">-MIN(SUM(BH402:BH403),SUM(BH$364,BH$369)*HM_ZD_Moho!NOC_rpmt_max_perc)*HM_ZD_Moho!NOC_CI_devex_rpmt</f>
        <v>0</v>
      </c>
      <c r="BI404" s="49">
        <f ca="1">-MIN(SUM(BI402:BI403),SUM(BI$364,BI$369)*HM_ZD_Moho!NOC_rpmt_max_perc)*HM_ZD_Moho!NOC_CI_devex_rpmt</f>
        <v>0</v>
      </c>
      <c r="BJ404" s="49">
        <f ca="1">-MIN(SUM(BJ402:BJ403),SUM(BJ$364,BJ$369)*HM_ZD_Moho!NOC_rpmt_max_perc)*HM_ZD_Moho!NOC_CI_devex_rpmt</f>
        <v>0</v>
      </c>
      <c r="BK404" s="49">
        <f ca="1">-MIN(SUM(BK402:BK403),SUM(BK$364,BK$369)*HM_ZD_Moho!NOC_rpmt_max_perc)*HM_ZD_Moho!NOC_CI_devex_rpmt</f>
        <v>0</v>
      </c>
      <c r="BL404" s="49">
        <f ca="1">-MIN(SUM(BL402:BL403),SUM(BL$364,BL$369)*HM_ZD_Moho!NOC_rpmt_max_perc)*HM_ZD_Moho!NOC_CI_devex_rpmt</f>
        <v>0</v>
      </c>
      <c r="BM404" s="49">
        <f ca="1">-MIN(SUM(BM402:BM403),SUM(BM$364,BM$369)*HM_ZD_Moho!NOC_rpmt_max_perc)*HM_ZD_Moho!NOC_CI_devex_rpmt</f>
        <v>0</v>
      </c>
      <c r="BN404" s="49">
        <f ca="1">-MIN(SUM(BN402:BN403),SUM(BN$364,BN$369)*HM_ZD_Moho!NOC_rpmt_max_perc)*HM_ZD_Moho!NOC_CI_devex_rpmt</f>
        <v>0</v>
      </c>
      <c r="BO404" s="49">
        <f ca="1">-MIN(SUM(BO402:BO403),SUM(BO$364,BO$369)*HM_ZD_Moho!NOC_rpmt_max_perc)*HM_ZD_Moho!NOC_CI_devex_rpmt</f>
        <v>0</v>
      </c>
      <c r="BP404" s="49">
        <f ca="1">-MIN(SUM(BP402:BP403),SUM(BP$364,BP$369)*HM_ZD_Moho!NOC_rpmt_max_perc)*HM_ZD_Moho!NOC_CI_devex_rpmt</f>
        <v>0</v>
      </c>
      <c r="BQ404" s="49">
        <f ca="1">-MIN(SUM(BQ402:BQ403),SUM(BQ$364,BQ$369)*HM_ZD_Moho!NOC_rpmt_max_perc)*HM_ZD_Moho!NOC_CI_devex_rpmt</f>
        <v>0</v>
      </c>
      <c r="BR404" s="49">
        <f ca="1">-MIN(SUM(BR402:BR403),SUM(BR$364,BR$369)*HM_ZD_Moho!NOC_rpmt_max_perc)*HM_ZD_Moho!NOC_CI_devex_rpmt</f>
        <v>0</v>
      </c>
      <c r="BS404" s="49">
        <f ca="1">-MIN(SUM(BS402:BS403),SUM(BS$364,BS$369)*HM_ZD_Moho!NOC_rpmt_max_perc)*HM_ZD_Moho!NOC_CI_devex_rpmt</f>
        <v>0</v>
      </c>
    </row>
    <row r="405" spans="3:71" outlineLevel="1" x14ac:dyDescent="0.2">
      <c r="D405" t="str">
        <f>HM_ZB_Nsoko!D391</f>
        <v>Coûts de portage Solde de clôture</v>
      </c>
      <c r="J405" s="26"/>
      <c r="L405" s="49">
        <f ca="1">SUM(L402:L404)</f>
        <v>115.30633617351387</v>
      </c>
      <c r="M405" s="49">
        <f t="shared" ref="M405:BS405" ca="1" si="223">SUM(M402:M404)</f>
        <v>357.53432247905579</v>
      </c>
      <c r="N405" s="49">
        <f t="shared" ca="1" si="223"/>
        <v>760.55272388211517</v>
      </c>
      <c r="O405" s="49">
        <f t="shared" ca="1" si="223"/>
        <v>1089.0270281686503</v>
      </c>
      <c r="P405" s="49">
        <f t="shared" ca="1" si="223"/>
        <v>1101.5021264733252</v>
      </c>
      <c r="Q405" s="49">
        <f t="shared" ca="1" si="223"/>
        <v>874.79305598552139</v>
      </c>
      <c r="R405" s="49">
        <f t="shared" ca="1" si="223"/>
        <v>558.59450466030398</v>
      </c>
      <c r="S405" s="49">
        <f t="shared" ca="1" si="223"/>
        <v>369.79855614949145</v>
      </c>
      <c r="T405" s="49">
        <f t="shared" ca="1" si="223"/>
        <v>80.921086153891281</v>
      </c>
      <c r="U405" s="49">
        <f t="shared" ca="1" si="223"/>
        <v>0</v>
      </c>
      <c r="V405" s="49">
        <f t="shared" ca="1" si="223"/>
        <v>0</v>
      </c>
      <c r="W405" s="49">
        <f t="shared" ca="1" si="223"/>
        <v>0</v>
      </c>
      <c r="X405" s="49">
        <f t="shared" ca="1" si="223"/>
        <v>0</v>
      </c>
      <c r="Y405" s="49">
        <f t="shared" ca="1" si="223"/>
        <v>0</v>
      </c>
      <c r="Z405" s="49">
        <f t="shared" ca="1" si="223"/>
        <v>0</v>
      </c>
      <c r="AA405" s="49">
        <f t="shared" ca="1" si="223"/>
        <v>0</v>
      </c>
      <c r="AB405" s="49">
        <f t="shared" ca="1" si="223"/>
        <v>0</v>
      </c>
      <c r="AC405" s="49">
        <f t="shared" ca="1" si="223"/>
        <v>0</v>
      </c>
      <c r="AD405" s="49">
        <f t="shared" ca="1" si="223"/>
        <v>0</v>
      </c>
      <c r="AE405" s="49">
        <f t="shared" ca="1" si="223"/>
        <v>0</v>
      </c>
      <c r="AF405" s="49">
        <f t="shared" ca="1" si="223"/>
        <v>0</v>
      </c>
      <c r="AG405" s="49">
        <f t="shared" ca="1" si="223"/>
        <v>0</v>
      </c>
      <c r="AH405" s="49">
        <f t="shared" ca="1" si="223"/>
        <v>0</v>
      </c>
      <c r="AI405" s="49">
        <f t="shared" ca="1" si="223"/>
        <v>0</v>
      </c>
      <c r="AJ405" s="49">
        <f t="shared" ca="1" si="223"/>
        <v>0</v>
      </c>
      <c r="AK405" s="49">
        <f t="shared" ca="1" si="223"/>
        <v>0</v>
      </c>
      <c r="AL405" s="49">
        <f t="shared" ca="1" si="223"/>
        <v>0</v>
      </c>
      <c r="AM405" s="49">
        <f t="shared" ca="1" si="223"/>
        <v>0</v>
      </c>
      <c r="AN405" s="49">
        <f t="shared" ca="1" si="223"/>
        <v>0</v>
      </c>
      <c r="AO405" s="49">
        <f t="shared" ca="1" si="223"/>
        <v>0</v>
      </c>
      <c r="AP405" s="49">
        <f t="shared" ca="1" si="223"/>
        <v>0</v>
      </c>
      <c r="AQ405" s="49">
        <f t="shared" ca="1" si="223"/>
        <v>0</v>
      </c>
      <c r="AR405" s="49">
        <f t="shared" ca="1" si="223"/>
        <v>0</v>
      </c>
      <c r="AS405" s="49">
        <f t="shared" ca="1" si="223"/>
        <v>0</v>
      </c>
      <c r="AT405" s="49">
        <f t="shared" ca="1" si="223"/>
        <v>0</v>
      </c>
      <c r="AU405" s="49">
        <f t="shared" ca="1" si="223"/>
        <v>0</v>
      </c>
      <c r="AV405" s="49">
        <f t="shared" ca="1" si="223"/>
        <v>0</v>
      </c>
      <c r="AW405" s="49">
        <f t="shared" ca="1" si="223"/>
        <v>0</v>
      </c>
      <c r="AX405" s="49">
        <f t="shared" ca="1" si="223"/>
        <v>0</v>
      </c>
      <c r="AY405" s="49">
        <f t="shared" ca="1" si="223"/>
        <v>0</v>
      </c>
      <c r="AZ405" s="49">
        <f t="shared" ca="1" si="223"/>
        <v>0</v>
      </c>
      <c r="BA405" s="49">
        <f t="shared" ca="1" si="223"/>
        <v>0</v>
      </c>
      <c r="BB405" s="49">
        <f t="shared" ca="1" si="223"/>
        <v>0</v>
      </c>
      <c r="BC405" s="49">
        <f t="shared" ca="1" si="223"/>
        <v>0</v>
      </c>
      <c r="BD405" s="49">
        <f t="shared" ca="1" si="223"/>
        <v>0</v>
      </c>
      <c r="BE405" s="49">
        <f t="shared" ca="1" si="223"/>
        <v>0</v>
      </c>
      <c r="BF405" s="49">
        <f t="shared" ca="1" si="223"/>
        <v>0</v>
      </c>
      <c r="BG405" s="49">
        <f t="shared" ca="1" si="223"/>
        <v>0</v>
      </c>
      <c r="BH405" s="49">
        <f t="shared" ca="1" si="223"/>
        <v>0</v>
      </c>
      <c r="BI405" s="49">
        <f t="shared" ca="1" si="223"/>
        <v>0</v>
      </c>
      <c r="BJ405" s="49">
        <f t="shared" ca="1" si="223"/>
        <v>0</v>
      </c>
      <c r="BK405" s="49">
        <f t="shared" ca="1" si="223"/>
        <v>0</v>
      </c>
      <c r="BL405" s="49">
        <f t="shared" ca="1" si="223"/>
        <v>0</v>
      </c>
      <c r="BM405" s="49">
        <f t="shared" ca="1" si="223"/>
        <v>0</v>
      </c>
      <c r="BN405" s="49">
        <f t="shared" ca="1" si="223"/>
        <v>0</v>
      </c>
      <c r="BO405" s="49">
        <f t="shared" ca="1" si="223"/>
        <v>0</v>
      </c>
      <c r="BP405" s="49">
        <f t="shared" ca="1" si="223"/>
        <v>0</v>
      </c>
      <c r="BQ405" s="49">
        <f t="shared" ca="1" si="223"/>
        <v>0</v>
      </c>
      <c r="BR405" s="49">
        <f t="shared" ca="1" si="223"/>
        <v>0</v>
      </c>
      <c r="BS405" s="49">
        <f t="shared" ca="1" si="223"/>
        <v>0</v>
      </c>
    </row>
    <row r="406" spans="3:71" outlineLevel="1" x14ac:dyDescent="0.2">
      <c r="J406" s="26"/>
      <c r="L406" s="55"/>
      <c r="M406" s="55"/>
      <c r="N406" s="55"/>
      <c r="O406" s="55"/>
      <c r="P406" s="55"/>
      <c r="Q406" s="55"/>
      <c r="R406" s="55"/>
      <c r="S406" s="55"/>
      <c r="T406" s="55"/>
      <c r="U406" s="55"/>
      <c r="V406" s="55"/>
      <c r="W406" s="55"/>
      <c r="X406" s="55"/>
      <c r="Y406" s="55"/>
      <c r="Z406" s="55"/>
      <c r="AA406" s="55"/>
      <c r="AB406" s="55"/>
      <c r="AC406" s="55"/>
      <c r="AD406" s="55"/>
      <c r="AE406" s="55"/>
      <c r="AF406" s="55"/>
      <c r="AG406" s="55"/>
      <c r="AH406" s="55"/>
      <c r="AI406" s="55"/>
      <c r="AJ406" s="55"/>
      <c r="AK406" s="55"/>
      <c r="AL406" s="55"/>
      <c r="AM406" s="55"/>
      <c r="AN406" s="55"/>
      <c r="AO406" s="55"/>
      <c r="AP406" s="55"/>
      <c r="AQ406" s="55"/>
      <c r="AR406" s="55"/>
      <c r="AS406" s="55"/>
      <c r="AT406" s="55"/>
      <c r="AU406" s="55"/>
      <c r="AV406" s="55"/>
      <c r="AW406" s="55"/>
      <c r="AX406" s="55"/>
      <c r="AY406" s="55"/>
      <c r="AZ406" s="55"/>
      <c r="BA406" s="55"/>
      <c r="BB406" s="55"/>
      <c r="BC406" s="55"/>
      <c r="BD406" s="55"/>
      <c r="BE406" s="55"/>
      <c r="BF406" s="55"/>
      <c r="BG406" s="55"/>
      <c r="BH406" s="55"/>
      <c r="BI406" s="55"/>
      <c r="BJ406" s="55"/>
      <c r="BK406" s="55"/>
      <c r="BL406" s="55"/>
      <c r="BM406" s="55"/>
      <c r="BN406" s="55"/>
      <c r="BO406" s="55"/>
      <c r="BP406" s="55"/>
      <c r="BQ406" s="55"/>
      <c r="BR406" s="55"/>
      <c r="BS406" s="55"/>
    </row>
    <row r="407" spans="3:71" outlineLevel="1" x14ac:dyDescent="0.2">
      <c r="C407" s="11" t="str">
        <f>HM_ZB_Nsoko!C393</f>
        <v>Remboursement du portage Compagnie nationale - Opex</v>
      </c>
      <c r="J407" s="26"/>
      <c r="L407" s="55"/>
      <c r="M407" s="55"/>
      <c r="N407" s="55"/>
      <c r="O407" s="55"/>
      <c r="P407" s="55"/>
      <c r="Q407" s="55"/>
      <c r="R407" s="55"/>
      <c r="S407" s="55"/>
      <c r="T407" s="55"/>
      <c r="U407" s="55"/>
      <c r="V407" s="55"/>
      <c r="W407" s="55"/>
      <c r="X407" s="55"/>
      <c r="Y407" s="55"/>
      <c r="Z407" s="55"/>
      <c r="AA407" s="55"/>
      <c r="AB407" s="55"/>
      <c r="AC407" s="55"/>
      <c r="AD407" s="55"/>
      <c r="AE407" s="55"/>
      <c r="AF407" s="55"/>
      <c r="AG407" s="55"/>
      <c r="AH407" s="55"/>
      <c r="AI407" s="55"/>
      <c r="AJ407" s="55"/>
      <c r="AK407" s="55"/>
      <c r="AL407" s="55"/>
      <c r="AM407" s="55"/>
      <c r="AN407" s="55"/>
      <c r="AO407" s="55"/>
      <c r="AP407" s="55"/>
      <c r="AQ407" s="55"/>
      <c r="AR407" s="55"/>
      <c r="AS407" s="55"/>
      <c r="AT407" s="55"/>
      <c r="AU407" s="55"/>
      <c r="AV407" s="55"/>
      <c r="AW407" s="55"/>
      <c r="AX407" s="55"/>
      <c r="AY407" s="55"/>
      <c r="AZ407" s="55"/>
      <c r="BA407" s="55"/>
      <c r="BB407" s="55"/>
      <c r="BC407" s="55"/>
      <c r="BD407" s="55"/>
      <c r="BE407" s="55"/>
      <c r="BF407" s="55"/>
      <c r="BG407" s="55"/>
      <c r="BH407" s="55"/>
      <c r="BI407" s="55"/>
      <c r="BJ407" s="55"/>
      <c r="BK407" s="55"/>
      <c r="BL407" s="55"/>
      <c r="BM407" s="55"/>
      <c r="BN407" s="55"/>
      <c r="BO407" s="55"/>
      <c r="BP407" s="55"/>
      <c r="BQ407" s="55"/>
      <c r="BR407" s="55"/>
      <c r="BS407" s="55"/>
    </row>
    <row r="408" spans="3:71" outlineLevel="1" x14ac:dyDescent="0.2">
      <c r="D408" t="str">
        <f>HM_ZB_Nsoko!D394</f>
        <v>Coûts portés Solde d'ouverture</v>
      </c>
      <c r="J408" s="26"/>
      <c r="L408" s="49">
        <f>K411</f>
        <v>0</v>
      </c>
      <c r="M408" s="49">
        <f t="shared" ref="M408:BS408" ca="1" si="224">L411</f>
        <v>0</v>
      </c>
      <c r="N408" s="49">
        <f t="shared" ca="1" si="224"/>
        <v>0</v>
      </c>
      <c r="O408" s="49">
        <f t="shared" ca="1" si="224"/>
        <v>0</v>
      </c>
      <c r="P408" s="49">
        <f t="shared" ca="1" si="224"/>
        <v>0</v>
      </c>
      <c r="Q408" s="49">
        <f t="shared" ca="1" si="224"/>
        <v>0</v>
      </c>
      <c r="R408" s="49">
        <f t="shared" ca="1" si="224"/>
        <v>0</v>
      </c>
      <c r="S408" s="49">
        <f t="shared" ca="1" si="224"/>
        <v>0</v>
      </c>
      <c r="T408" s="49">
        <f t="shared" ca="1" si="224"/>
        <v>0</v>
      </c>
      <c r="U408" s="49">
        <f t="shared" ca="1" si="224"/>
        <v>0</v>
      </c>
      <c r="V408" s="49">
        <f t="shared" ca="1" si="224"/>
        <v>0</v>
      </c>
      <c r="W408" s="49">
        <f t="shared" ca="1" si="224"/>
        <v>0</v>
      </c>
      <c r="X408" s="49">
        <f t="shared" ca="1" si="224"/>
        <v>0</v>
      </c>
      <c r="Y408" s="49">
        <f t="shared" ca="1" si="224"/>
        <v>0</v>
      </c>
      <c r="Z408" s="49">
        <f t="shared" ca="1" si="224"/>
        <v>0</v>
      </c>
      <c r="AA408" s="49">
        <f t="shared" ca="1" si="224"/>
        <v>0</v>
      </c>
      <c r="AB408" s="49">
        <f t="shared" ca="1" si="224"/>
        <v>0</v>
      </c>
      <c r="AC408" s="49">
        <f t="shared" ca="1" si="224"/>
        <v>0</v>
      </c>
      <c r="AD408" s="49">
        <f t="shared" ca="1" si="224"/>
        <v>0</v>
      </c>
      <c r="AE408" s="49">
        <f t="shared" ca="1" si="224"/>
        <v>0</v>
      </c>
      <c r="AF408" s="49">
        <f t="shared" ca="1" si="224"/>
        <v>0</v>
      </c>
      <c r="AG408" s="49">
        <f t="shared" ca="1" si="224"/>
        <v>0</v>
      </c>
      <c r="AH408" s="49">
        <f t="shared" ca="1" si="224"/>
        <v>0</v>
      </c>
      <c r="AI408" s="49">
        <f t="shared" ca="1" si="224"/>
        <v>0</v>
      </c>
      <c r="AJ408" s="49">
        <f t="shared" ca="1" si="224"/>
        <v>0</v>
      </c>
      <c r="AK408" s="49">
        <f t="shared" ca="1" si="224"/>
        <v>0</v>
      </c>
      <c r="AL408" s="49">
        <f t="shared" ca="1" si="224"/>
        <v>0</v>
      </c>
      <c r="AM408" s="49">
        <f t="shared" ca="1" si="224"/>
        <v>0</v>
      </c>
      <c r="AN408" s="49">
        <f t="shared" ca="1" si="224"/>
        <v>0</v>
      </c>
      <c r="AO408" s="49">
        <f t="shared" ca="1" si="224"/>
        <v>0</v>
      </c>
      <c r="AP408" s="49">
        <f t="shared" ca="1" si="224"/>
        <v>0</v>
      </c>
      <c r="AQ408" s="49">
        <f t="shared" ca="1" si="224"/>
        <v>0</v>
      </c>
      <c r="AR408" s="49">
        <f t="shared" ca="1" si="224"/>
        <v>0</v>
      </c>
      <c r="AS408" s="49">
        <f t="shared" ca="1" si="224"/>
        <v>0</v>
      </c>
      <c r="AT408" s="49">
        <f t="shared" ca="1" si="224"/>
        <v>0</v>
      </c>
      <c r="AU408" s="49">
        <f t="shared" ca="1" si="224"/>
        <v>0</v>
      </c>
      <c r="AV408" s="49">
        <f t="shared" ca="1" si="224"/>
        <v>0</v>
      </c>
      <c r="AW408" s="49">
        <f t="shared" ca="1" si="224"/>
        <v>0</v>
      </c>
      <c r="AX408" s="49">
        <f t="shared" ca="1" si="224"/>
        <v>0</v>
      </c>
      <c r="AY408" s="49">
        <f t="shared" ca="1" si="224"/>
        <v>0</v>
      </c>
      <c r="AZ408" s="49">
        <f t="shared" ca="1" si="224"/>
        <v>0</v>
      </c>
      <c r="BA408" s="49">
        <f t="shared" ca="1" si="224"/>
        <v>0</v>
      </c>
      <c r="BB408" s="49">
        <f t="shared" ca="1" si="224"/>
        <v>0</v>
      </c>
      <c r="BC408" s="49">
        <f t="shared" ca="1" si="224"/>
        <v>0</v>
      </c>
      <c r="BD408" s="49">
        <f t="shared" ca="1" si="224"/>
        <v>0</v>
      </c>
      <c r="BE408" s="49">
        <f t="shared" ca="1" si="224"/>
        <v>0</v>
      </c>
      <c r="BF408" s="49">
        <f t="shared" ca="1" si="224"/>
        <v>0</v>
      </c>
      <c r="BG408" s="49">
        <f t="shared" ca="1" si="224"/>
        <v>0</v>
      </c>
      <c r="BH408" s="49">
        <f t="shared" ca="1" si="224"/>
        <v>0</v>
      </c>
      <c r="BI408" s="49">
        <f t="shared" ca="1" si="224"/>
        <v>0</v>
      </c>
      <c r="BJ408" s="49">
        <f t="shared" ca="1" si="224"/>
        <v>0</v>
      </c>
      <c r="BK408" s="49">
        <f t="shared" ca="1" si="224"/>
        <v>0</v>
      </c>
      <c r="BL408" s="49">
        <f t="shared" ca="1" si="224"/>
        <v>0</v>
      </c>
      <c r="BM408" s="49">
        <f t="shared" ca="1" si="224"/>
        <v>0</v>
      </c>
      <c r="BN408" s="49">
        <f t="shared" ca="1" si="224"/>
        <v>0</v>
      </c>
      <c r="BO408" s="49">
        <f t="shared" ca="1" si="224"/>
        <v>0</v>
      </c>
      <c r="BP408" s="49">
        <f t="shared" ca="1" si="224"/>
        <v>0</v>
      </c>
      <c r="BQ408" s="49">
        <f t="shared" ca="1" si="224"/>
        <v>0</v>
      </c>
      <c r="BR408" s="49">
        <f t="shared" ca="1" si="224"/>
        <v>0</v>
      </c>
      <c r="BS408" s="49">
        <f t="shared" ca="1" si="224"/>
        <v>0</v>
      </c>
    </row>
    <row r="409" spans="3:71" outlineLevel="1" x14ac:dyDescent="0.2">
      <c r="D409" s="50" t="str">
        <f>HM_ZB_Nsoko!D395</f>
        <v>Coûts portés pour la période</v>
      </c>
      <c r="I409" s="30">
        <f t="shared" ref="I409:I410" ca="1" si="225">SUM($L409:$BS409)</f>
        <v>0</v>
      </c>
      <c r="J409" s="26" t="s">
        <v>148</v>
      </c>
      <c r="L409" s="49">
        <f ca="1">L392</f>
        <v>0</v>
      </c>
      <c r="M409" s="49">
        <f t="shared" ref="M409:BS409" ca="1" si="226">M392</f>
        <v>0</v>
      </c>
      <c r="N409" s="49">
        <f t="shared" ca="1" si="226"/>
        <v>0</v>
      </c>
      <c r="O409" s="49">
        <f t="shared" ca="1" si="226"/>
        <v>0</v>
      </c>
      <c r="P409" s="49">
        <f t="shared" ca="1" si="226"/>
        <v>0</v>
      </c>
      <c r="Q409" s="49">
        <f t="shared" ca="1" si="226"/>
        <v>0</v>
      </c>
      <c r="R409" s="49">
        <f t="shared" ca="1" si="226"/>
        <v>0</v>
      </c>
      <c r="S409" s="49">
        <f t="shared" ca="1" si="226"/>
        <v>0</v>
      </c>
      <c r="T409" s="49">
        <f t="shared" ca="1" si="226"/>
        <v>0</v>
      </c>
      <c r="U409" s="49">
        <f t="shared" ca="1" si="226"/>
        <v>0</v>
      </c>
      <c r="V409" s="49">
        <f t="shared" ca="1" si="226"/>
        <v>0</v>
      </c>
      <c r="W409" s="49">
        <f t="shared" ca="1" si="226"/>
        <v>0</v>
      </c>
      <c r="X409" s="49">
        <f t="shared" ca="1" si="226"/>
        <v>0</v>
      </c>
      <c r="Y409" s="49">
        <f t="shared" ca="1" si="226"/>
        <v>0</v>
      </c>
      <c r="Z409" s="49">
        <f t="shared" ca="1" si="226"/>
        <v>0</v>
      </c>
      <c r="AA409" s="49">
        <f t="shared" ca="1" si="226"/>
        <v>0</v>
      </c>
      <c r="AB409" s="49">
        <f t="shared" ca="1" si="226"/>
        <v>0</v>
      </c>
      <c r="AC409" s="49">
        <f t="shared" ca="1" si="226"/>
        <v>0</v>
      </c>
      <c r="AD409" s="49">
        <f t="shared" ca="1" si="226"/>
        <v>0</v>
      </c>
      <c r="AE409" s="49">
        <f t="shared" ca="1" si="226"/>
        <v>0</v>
      </c>
      <c r="AF409" s="49">
        <f t="shared" ca="1" si="226"/>
        <v>0</v>
      </c>
      <c r="AG409" s="49">
        <f t="shared" ca="1" si="226"/>
        <v>0</v>
      </c>
      <c r="AH409" s="49">
        <f t="shared" ca="1" si="226"/>
        <v>0</v>
      </c>
      <c r="AI409" s="49">
        <f t="shared" ca="1" si="226"/>
        <v>0</v>
      </c>
      <c r="AJ409" s="49">
        <f t="shared" ca="1" si="226"/>
        <v>0</v>
      </c>
      <c r="AK409" s="49">
        <f t="shared" ca="1" si="226"/>
        <v>0</v>
      </c>
      <c r="AL409" s="49">
        <f t="shared" ca="1" si="226"/>
        <v>0</v>
      </c>
      <c r="AM409" s="49">
        <f t="shared" ca="1" si="226"/>
        <v>0</v>
      </c>
      <c r="AN409" s="49">
        <f t="shared" ca="1" si="226"/>
        <v>0</v>
      </c>
      <c r="AO409" s="49">
        <f t="shared" ca="1" si="226"/>
        <v>0</v>
      </c>
      <c r="AP409" s="49">
        <f t="shared" ca="1" si="226"/>
        <v>0</v>
      </c>
      <c r="AQ409" s="49">
        <f t="shared" ca="1" si="226"/>
        <v>0</v>
      </c>
      <c r="AR409" s="49">
        <f t="shared" ca="1" si="226"/>
        <v>0</v>
      </c>
      <c r="AS409" s="49">
        <f t="shared" ca="1" si="226"/>
        <v>0</v>
      </c>
      <c r="AT409" s="49">
        <f t="shared" ca="1" si="226"/>
        <v>0</v>
      </c>
      <c r="AU409" s="49">
        <f t="shared" ca="1" si="226"/>
        <v>0</v>
      </c>
      <c r="AV409" s="49">
        <f t="shared" ca="1" si="226"/>
        <v>0</v>
      </c>
      <c r="AW409" s="49">
        <f t="shared" ca="1" si="226"/>
        <v>0</v>
      </c>
      <c r="AX409" s="49">
        <f t="shared" ca="1" si="226"/>
        <v>0</v>
      </c>
      <c r="AY409" s="49">
        <f t="shared" ca="1" si="226"/>
        <v>0</v>
      </c>
      <c r="AZ409" s="49">
        <f t="shared" ca="1" si="226"/>
        <v>0</v>
      </c>
      <c r="BA409" s="49">
        <f t="shared" ca="1" si="226"/>
        <v>0</v>
      </c>
      <c r="BB409" s="49">
        <f t="shared" ca="1" si="226"/>
        <v>0</v>
      </c>
      <c r="BC409" s="49">
        <f t="shared" ca="1" si="226"/>
        <v>0</v>
      </c>
      <c r="BD409" s="49">
        <f t="shared" ca="1" si="226"/>
        <v>0</v>
      </c>
      <c r="BE409" s="49">
        <f t="shared" ca="1" si="226"/>
        <v>0</v>
      </c>
      <c r="BF409" s="49">
        <f t="shared" ca="1" si="226"/>
        <v>0</v>
      </c>
      <c r="BG409" s="49">
        <f t="shared" ca="1" si="226"/>
        <v>0</v>
      </c>
      <c r="BH409" s="49">
        <f t="shared" ca="1" si="226"/>
        <v>0</v>
      </c>
      <c r="BI409" s="49">
        <f t="shared" ca="1" si="226"/>
        <v>0</v>
      </c>
      <c r="BJ409" s="49">
        <f t="shared" ca="1" si="226"/>
        <v>0</v>
      </c>
      <c r="BK409" s="49">
        <f t="shared" ca="1" si="226"/>
        <v>0</v>
      </c>
      <c r="BL409" s="49">
        <f t="shared" ca="1" si="226"/>
        <v>0</v>
      </c>
      <c r="BM409" s="49">
        <f t="shared" ca="1" si="226"/>
        <v>0</v>
      </c>
      <c r="BN409" s="49">
        <f t="shared" ca="1" si="226"/>
        <v>0</v>
      </c>
      <c r="BO409" s="49">
        <f t="shared" ca="1" si="226"/>
        <v>0</v>
      </c>
      <c r="BP409" s="49">
        <f t="shared" ca="1" si="226"/>
        <v>0</v>
      </c>
      <c r="BQ409" s="49">
        <f t="shared" ca="1" si="226"/>
        <v>0</v>
      </c>
      <c r="BR409" s="49">
        <f t="shared" ca="1" si="226"/>
        <v>0</v>
      </c>
      <c r="BS409" s="49">
        <f t="shared" ca="1" si="226"/>
        <v>0</v>
      </c>
    </row>
    <row r="410" spans="3:71" outlineLevel="1" x14ac:dyDescent="0.2">
      <c r="D410" s="50" t="str">
        <f>HM_ZB_Nsoko!D396</f>
        <v>Remboursement du portage</v>
      </c>
      <c r="I410" s="30">
        <f t="shared" ca="1" si="225"/>
        <v>0</v>
      </c>
      <c r="J410" s="26" t="s">
        <v>148</v>
      </c>
      <c r="L410" s="49">
        <f ca="1">-MIN(SUM(L408:L409),SUM(L$364,L$369)*HM_ZD_Moho!NOC_rpmt_max_perc)*HM_ZD_Moho!NOC_CI_opex_rpmt</f>
        <v>0</v>
      </c>
      <c r="M410" s="49">
        <f ca="1">-MIN(SUM(M408:M409),SUM(M$364,M$369)*HM_ZD_Moho!NOC_rpmt_max_perc)*HM_ZD_Moho!NOC_CI_opex_rpmt</f>
        <v>0</v>
      </c>
      <c r="N410" s="49">
        <f ca="1">-MIN(SUM(N408:N409),SUM(N$364,N$369)*HM_ZD_Moho!NOC_rpmt_max_perc)*HM_ZD_Moho!NOC_CI_opex_rpmt</f>
        <v>0</v>
      </c>
      <c r="O410" s="49">
        <f ca="1">-MIN(SUM(O408:O409),SUM(O$364,O$369)*HM_ZD_Moho!NOC_rpmt_max_perc)*HM_ZD_Moho!NOC_CI_opex_rpmt</f>
        <v>0</v>
      </c>
      <c r="P410" s="49">
        <f ca="1">-MIN(SUM(P408:P409),SUM(P$364,P$369)*HM_ZD_Moho!NOC_rpmt_max_perc)*HM_ZD_Moho!NOC_CI_opex_rpmt</f>
        <v>0</v>
      </c>
      <c r="Q410" s="49">
        <f ca="1">-MIN(SUM(Q408:Q409),SUM(Q$364,Q$369)*HM_ZD_Moho!NOC_rpmt_max_perc)*HM_ZD_Moho!NOC_CI_opex_rpmt</f>
        <v>0</v>
      </c>
      <c r="R410" s="49">
        <f ca="1">-MIN(SUM(R408:R409),SUM(R$364,R$369)*HM_ZD_Moho!NOC_rpmt_max_perc)*HM_ZD_Moho!NOC_CI_opex_rpmt</f>
        <v>0</v>
      </c>
      <c r="S410" s="49">
        <f ca="1">-MIN(SUM(S408:S409),SUM(S$364,S$369)*HM_ZD_Moho!NOC_rpmt_max_perc)*HM_ZD_Moho!NOC_CI_opex_rpmt</f>
        <v>0</v>
      </c>
      <c r="T410" s="49">
        <f ca="1">-MIN(SUM(T408:T409),SUM(T$364,T$369)*HM_ZD_Moho!NOC_rpmt_max_perc)*HM_ZD_Moho!NOC_CI_opex_rpmt</f>
        <v>0</v>
      </c>
      <c r="U410" s="49">
        <f ca="1">-MIN(SUM(U408:U409),SUM(U$364,U$369)*HM_ZD_Moho!NOC_rpmt_max_perc)*HM_ZD_Moho!NOC_CI_opex_rpmt</f>
        <v>0</v>
      </c>
      <c r="V410" s="49">
        <f ca="1">-MIN(SUM(V408:V409),SUM(V$364,V$369)*HM_ZD_Moho!NOC_rpmt_max_perc)*HM_ZD_Moho!NOC_CI_opex_rpmt</f>
        <v>0</v>
      </c>
      <c r="W410" s="49">
        <f ca="1">-MIN(SUM(W408:W409),SUM(W$364,W$369)*HM_ZD_Moho!NOC_rpmt_max_perc)*HM_ZD_Moho!NOC_CI_opex_rpmt</f>
        <v>0</v>
      </c>
      <c r="X410" s="49">
        <f ca="1">-MIN(SUM(X408:X409),SUM(X$364,X$369)*HM_ZD_Moho!NOC_rpmt_max_perc)*HM_ZD_Moho!NOC_CI_opex_rpmt</f>
        <v>0</v>
      </c>
      <c r="Y410" s="49">
        <f ca="1">-MIN(SUM(Y408:Y409),SUM(Y$364,Y$369)*HM_ZD_Moho!NOC_rpmt_max_perc)*HM_ZD_Moho!NOC_CI_opex_rpmt</f>
        <v>0</v>
      </c>
      <c r="Z410" s="49">
        <f ca="1">-MIN(SUM(Z408:Z409),SUM(Z$364,Z$369)*HM_ZD_Moho!NOC_rpmt_max_perc)*HM_ZD_Moho!NOC_CI_opex_rpmt</f>
        <v>0</v>
      </c>
      <c r="AA410" s="49">
        <f ca="1">-MIN(SUM(AA408:AA409),SUM(AA$364,AA$369)*HM_ZD_Moho!NOC_rpmt_max_perc)*HM_ZD_Moho!NOC_CI_opex_rpmt</f>
        <v>0</v>
      </c>
      <c r="AB410" s="49">
        <f ca="1">-MIN(SUM(AB408:AB409),SUM(AB$364,AB$369)*HM_ZD_Moho!NOC_rpmt_max_perc)*HM_ZD_Moho!NOC_CI_opex_rpmt</f>
        <v>0</v>
      </c>
      <c r="AC410" s="49">
        <f ca="1">-MIN(SUM(AC408:AC409),SUM(AC$364,AC$369)*HM_ZD_Moho!NOC_rpmt_max_perc)*HM_ZD_Moho!NOC_CI_opex_rpmt</f>
        <v>0</v>
      </c>
      <c r="AD410" s="49">
        <f ca="1">-MIN(SUM(AD408:AD409),SUM(AD$364,AD$369)*HM_ZD_Moho!NOC_rpmt_max_perc)*HM_ZD_Moho!NOC_CI_opex_rpmt</f>
        <v>0</v>
      </c>
      <c r="AE410" s="49">
        <f ca="1">-MIN(SUM(AE408:AE409),SUM(AE$364,AE$369)*HM_ZD_Moho!NOC_rpmt_max_perc)*HM_ZD_Moho!NOC_CI_opex_rpmt</f>
        <v>0</v>
      </c>
      <c r="AF410" s="49">
        <f ca="1">-MIN(SUM(AF408:AF409),SUM(AF$364,AF$369)*HM_ZD_Moho!NOC_rpmt_max_perc)*HM_ZD_Moho!NOC_CI_opex_rpmt</f>
        <v>0</v>
      </c>
      <c r="AG410" s="49">
        <f ca="1">-MIN(SUM(AG408:AG409),SUM(AG$364,AG$369)*HM_ZD_Moho!NOC_rpmt_max_perc)*HM_ZD_Moho!NOC_CI_opex_rpmt</f>
        <v>0</v>
      </c>
      <c r="AH410" s="49">
        <f ca="1">-MIN(SUM(AH408:AH409),SUM(AH$364,AH$369)*HM_ZD_Moho!NOC_rpmt_max_perc)*HM_ZD_Moho!NOC_CI_opex_rpmt</f>
        <v>0</v>
      </c>
      <c r="AI410" s="49">
        <f ca="1">-MIN(SUM(AI408:AI409),SUM(AI$364,AI$369)*HM_ZD_Moho!NOC_rpmt_max_perc)*HM_ZD_Moho!NOC_CI_opex_rpmt</f>
        <v>0</v>
      </c>
      <c r="AJ410" s="49">
        <f ca="1">-MIN(SUM(AJ408:AJ409),SUM(AJ$364,AJ$369)*HM_ZD_Moho!NOC_rpmt_max_perc)*HM_ZD_Moho!NOC_CI_opex_rpmt</f>
        <v>0</v>
      </c>
      <c r="AK410" s="49">
        <f ca="1">-MIN(SUM(AK408:AK409),SUM(AK$364,AK$369)*HM_ZD_Moho!NOC_rpmt_max_perc)*HM_ZD_Moho!NOC_CI_opex_rpmt</f>
        <v>0</v>
      </c>
      <c r="AL410" s="49">
        <f ca="1">-MIN(SUM(AL408:AL409),SUM(AL$364,AL$369)*HM_ZD_Moho!NOC_rpmt_max_perc)*HM_ZD_Moho!NOC_CI_opex_rpmt</f>
        <v>0</v>
      </c>
      <c r="AM410" s="49">
        <f ca="1">-MIN(SUM(AM408:AM409),SUM(AM$364,AM$369)*HM_ZD_Moho!NOC_rpmt_max_perc)*HM_ZD_Moho!NOC_CI_opex_rpmt</f>
        <v>0</v>
      </c>
      <c r="AN410" s="49">
        <f ca="1">-MIN(SUM(AN408:AN409),SUM(AN$364,AN$369)*HM_ZD_Moho!NOC_rpmt_max_perc)*HM_ZD_Moho!NOC_CI_opex_rpmt</f>
        <v>0</v>
      </c>
      <c r="AO410" s="49">
        <f ca="1">-MIN(SUM(AO408:AO409),SUM(AO$364,AO$369)*HM_ZD_Moho!NOC_rpmt_max_perc)*HM_ZD_Moho!NOC_CI_opex_rpmt</f>
        <v>0</v>
      </c>
      <c r="AP410" s="49">
        <f ca="1">-MIN(SUM(AP408:AP409),SUM(AP$364,AP$369)*HM_ZD_Moho!NOC_rpmt_max_perc)*HM_ZD_Moho!NOC_CI_opex_rpmt</f>
        <v>0</v>
      </c>
      <c r="AQ410" s="49">
        <f ca="1">-MIN(SUM(AQ408:AQ409),SUM(AQ$364,AQ$369)*HM_ZD_Moho!NOC_rpmt_max_perc)*HM_ZD_Moho!NOC_CI_opex_rpmt</f>
        <v>0</v>
      </c>
      <c r="AR410" s="49">
        <f ca="1">-MIN(SUM(AR408:AR409),SUM(AR$364,AR$369)*HM_ZD_Moho!NOC_rpmt_max_perc)*HM_ZD_Moho!NOC_CI_opex_rpmt</f>
        <v>0</v>
      </c>
      <c r="AS410" s="49">
        <f ca="1">-MIN(SUM(AS408:AS409),SUM(AS$364,AS$369)*HM_ZD_Moho!NOC_rpmt_max_perc)*HM_ZD_Moho!NOC_CI_opex_rpmt</f>
        <v>0</v>
      </c>
      <c r="AT410" s="49">
        <f ca="1">-MIN(SUM(AT408:AT409),SUM(AT$364,AT$369)*HM_ZD_Moho!NOC_rpmt_max_perc)*HM_ZD_Moho!NOC_CI_opex_rpmt</f>
        <v>0</v>
      </c>
      <c r="AU410" s="49">
        <f ca="1">-MIN(SUM(AU408:AU409),SUM(AU$364,AU$369)*HM_ZD_Moho!NOC_rpmt_max_perc)*HM_ZD_Moho!NOC_CI_opex_rpmt</f>
        <v>0</v>
      </c>
      <c r="AV410" s="49">
        <f ca="1">-MIN(SUM(AV408:AV409),SUM(AV$364,AV$369)*HM_ZD_Moho!NOC_rpmt_max_perc)*HM_ZD_Moho!NOC_CI_opex_rpmt</f>
        <v>0</v>
      </c>
      <c r="AW410" s="49">
        <f ca="1">-MIN(SUM(AW408:AW409),SUM(AW$364,AW$369)*HM_ZD_Moho!NOC_rpmt_max_perc)*HM_ZD_Moho!NOC_CI_opex_rpmt</f>
        <v>0</v>
      </c>
      <c r="AX410" s="49">
        <f ca="1">-MIN(SUM(AX408:AX409),SUM(AX$364,AX$369)*HM_ZD_Moho!NOC_rpmt_max_perc)*HM_ZD_Moho!NOC_CI_opex_rpmt</f>
        <v>0</v>
      </c>
      <c r="AY410" s="49">
        <f ca="1">-MIN(SUM(AY408:AY409),SUM(AY$364,AY$369)*HM_ZD_Moho!NOC_rpmt_max_perc)*HM_ZD_Moho!NOC_CI_opex_rpmt</f>
        <v>0</v>
      </c>
      <c r="AZ410" s="49">
        <f ca="1">-MIN(SUM(AZ408:AZ409),SUM(AZ$364,AZ$369)*HM_ZD_Moho!NOC_rpmt_max_perc)*HM_ZD_Moho!NOC_CI_opex_rpmt</f>
        <v>0</v>
      </c>
      <c r="BA410" s="49">
        <f ca="1">-MIN(SUM(BA408:BA409),SUM(BA$364,BA$369)*HM_ZD_Moho!NOC_rpmt_max_perc)*HM_ZD_Moho!NOC_CI_opex_rpmt</f>
        <v>0</v>
      </c>
      <c r="BB410" s="49">
        <f ca="1">-MIN(SUM(BB408:BB409),SUM(BB$364,BB$369)*HM_ZD_Moho!NOC_rpmt_max_perc)*HM_ZD_Moho!NOC_CI_opex_rpmt</f>
        <v>0</v>
      </c>
      <c r="BC410" s="49">
        <f ca="1">-MIN(SUM(BC408:BC409),SUM(BC$364,BC$369)*HM_ZD_Moho!NOC_rpmt_max_perc)*HM_ZD_Moho!NOC_CI_opex_rpmt</f>
        <v>0</v>
      </c>
      <c r="BD410" s="49">
        <f ca="1">-MIN(SUM(BD408:BD409),SUM(BD$364,BD$369)*HM_ZD_Moho!NOC_rpmt_max_perc)*HM_ZD_Moho!NOC_CI_opex_rpmt</f>
        <v>0</v>
      </c>
      <c r="BE410" s="49">
        <f ca="1">-MIN(SUM(BE408:BE409),SUM(BE$364,BE$369)*HM_ZD_Moho!NOC_rpmt_max_perc)*HM_ZD_Moho!NOC_CI_opex_rpmt</f>
        <v>0</v>
      </c>
      <c r="BF410" s="49">
        <f ca="1">-MIN(SUM(BF408:BF409),SUM(BF$364,BF$369)*HM_ZD_Moho!NOC_rpmt_max_perc)*HM_ZD_Moho!NOC_CI_opex_rpmt</f>
        <v>0</v>
      </c>
      <c r="BG410" s="49">
        <f ca="1">-MIN(SUM(BG408:BG409),SUM(BG$364,BG$369)*HM_ZD_Moho!NOC_rpmt_max_perc)*HM_ZD_Moho!NOC_CI_opex_rpmt</f>
        <v>0</v>
      </c>
      <c r="BH410" s="49">
        <f ca="1">-MIN(SUM(BH408:BH409),SUM(BH$364,BH$369)*HM_ZD_Moho!NOC_rpmt_max_perc)*HM_ZD_Moho!NOC_CI_opex_rpmt</f>
        <v>0</v>
      </c>
      <c r="BI410" s="49">
        <f ca="1">-MIN(SUM(BI408:BI409),SUM(BI$364,BI$369)*HM_ZD_Moho!NOC_rpmt_max_perc)*HM_ZD_Moho!NOC_CI_opex_rpmt</f>
        <v>0</v>
      </c>
      <c r="BJ410" s="49">
        <f ca="1">-MIN(SUM(BJ408:BJ409),SUM(BJ$364,BJ$369)*HM_ZD_Moho!NOC_rpmt_max_perc)*HM_ZD_Moho!NOC_CI_opex_rpmt</f>
        <v>0</v>
      </c>
      <c r="BK410" s="49">
        <f ca="1">-MIN(SUM(BK408:BK409),SUM(BK$364,BK$369)*HM_ZD_Moho!NOC_rpmt_max_perc)*HM_ZD_Moho!NOC_CI_opex_rpmt</f>
        <v>0</v>
      </c>
      <c r="BL410" s="49">
        <f ca="1">-MIN(SUM(BL408:BL409),SUM(BL$364,BL$369)*HM_ZD_Moho!NOC_rpmt_max_perc)*HM_ZD_Moho!NOC_CI_opex_rpmt</f>
        <v>0</v>
      </c>
      <c r="BM410" s="49">
        <f ca="1">-MIN(SUM(BM408:BM409),SUM(BM$364,BM$369)*HM_ZD_Moho!NOC_rpmt_max_perc)*HM_ZD_Moho!NOC_CI_opex_rpmt</f>
        <v>0</v>
      </c>
      <c r="BN410" s="49">
        <f ca="1">-MIN(SUM(BN408:BN409),SUM(BN$364,BN$369)*HM_ZD_Moho!NOC_rpmt_max_perc)*HM_ZD_Moho!NOC_CI_opex_rpmt</f>
        <v>0</v>
      </c>
      <c r="BO410" s="49">
        <f ca="1">-MIN(SUM(BO408:BO409),SUM(BO$364,BO$369)*HM_ZD_Moho!NOC_rpmt_max_perc)*HM_ZD_Moho!NOC_CI_opex_rpmt</f>
        <v>0</v>
      </c>
      <c r="BP410" s="49">
        <f ca="1">-MIN(SUM(BP408:BP409),SUM(BP$364,BP$369)*HM_ZD_Moho!NOC_rpmt_max_perc)*HM_ZD_Moho!NOC_CI_opex_rpmt</f>
        <v>0</v>
      </c>
      <c r="BQ410" s="49">
        <f ca="1">-MIN(SUM(BQ408:BQ409),SUM(BQ$364,BQ$369)*HM_ZD_Moho!NOC_rpmt_max_perc)*HM_ZD_Moho!NOC_CI_opex_rpmt</f>
        <v>0</v>
      </c>
      <c r="BR410" s="49">
        <f ca="1">-MIN(SUM(BR408:BR409),SUM(BR$364,BR$369)*HM_ZD_Moho!NOC_rpmt_max_perc)*HM_ZD_Moho!NOC_CI_opex_rpmt</f>
        <v>0</v>
      </c>
      <c r="BS410" s="49">
        <f ca="1">-MIN(SUM(BS408:BS409),SUM(BS$364,BS$369)*HM_ZD_Moho!NOC_rpmt_max_perc)*HM_ZD_Moho!NOC_CI_opex_rpmt</f>
        <v>0</v>
      </c>
    </row>
    <row r="411" spans="3:71" outlineLevel="1" x14ac:dyDescent="0.2">
      <c r="D411" t="str">
        <f>HM_ZB_Nsoko!D397</f>
        <v>Coûts de portage Solde de clôture</v>
      </c>
      <c r="J411" s="26"/>
      <c r="L411" s="49">
        <f ca="1">SUM(L408:L410)</f>
        <v>0</v>
      </c>
      <c r="M411" s="49">
        <f t="shared" ref="M411:BS411" ca="1" si="227">SUM(M408:M410)</f>
        <v>0</v>
      </c>
      <c r="N411" s="49">
        <f t="shared" ca="1" si="227"/>
        <v>0</v>
      </c>
      <c r="O411" s="49">
        <f t="shared" ca="1" si="227"/>
        <v>0</v>
      </c>
      <c r="P411" s="49">
        <f t="shared" ca="1" si="227"/>
        <v>0</v>
      </c>
      <c r="Q411" s="49">
        <f t="shared" ca="1" si="227"/>
        <v>0</v>
      </c>
      <c r="R411" s="49">
        <f t="shared" ca="1" si="227"/>
        <v>0</v>
      </c>
      <c r="S411" s="49">
        <f t="shared" ca="1" si="227"/>
        <v>0</v>
      </c>
      <c r="T411" s="49">
        <f t="shared" ca="1" si="227"/>
        <v>0</v>
      </c>
      <c r="U411" s="49">
        <f t="shared" ca="1" si="227"/>
        <v>0</v>
      </c>
      <c r="V411" s="49">
        <f t="shared" ca="1" si="227"/>
        <v>0</v>
      </c>
      <c r="W411" s="49">
        <f t="shared" ca="1" si="227"/>
        <v>0</v>
      </c>
      <c r="X411" s="49">
        <f t="shared" ca="1" si="227"/>
        <v>0</v>
      </c>
      <c r="Y411" s="49">
        <f t="shared" ca="1" si="227"/>
        <v>0</v>
      </c>
      <c r="Z411" s="49">
        <f t="shared" ca="1" si="227"/>
        <v>0</v>
      </c>
      <c r="AA411" s="49">
        <f t="shared" ca="1" si="227"/>
        <v>0</v>
      </c>
      <c r="AB411" s="49">
        <f t="shared" ca="1" si="227"/>
        <v>0</v>
      </c>
      <c r="AC411" s="49">
        <f t="shared" ca="1" si="227"/>
        <v>0</v>
      </c>
      <c r="AD411" s="49">
        <f t="shared" ca="1" si="227"/>
        <v>0</v>
      </c>
      <c r="AE411" s="49">
        <f t="shared" ca="1" si="227"/>
        <v>0</v>
      </c>
      <c r="AF411" s="49">
        <f t="shared" ca="1" si="227"/>
        <v>0</v>
      </c>
      <c r="AG411" s="49">
        <f t="shared" ca="1" si="227"/>
        <v>0</v>
      </c>
      <c r="AH411" s="49">
        <f t="shared" ca="1" si="227"/>
        <v>0</v>
      </c>
      <c r="AI411" s="49">
        <f t="shared" ca="1" si="227"/>
        <v>0</v>
      </c>
      <c r="AJ411" s="49">
        <f t="shared" ca="1" si="227"/>
        <v>0</v>
      </c>
      <c r="AK411" s="49">
        <f t="shared" ca="1" si="227"/>
        <v>0</v>
      </c>
      <c r="AL411" s="49">
        <f t="shared" ca="1" si="227"/>
        <v>0</v>
      </c>
      <c r="AM411" s="49">
        <f t="shared" ca="1" si="227"/>
        <v>0</v>
      </c>
      <c r="AN411" s="49">
        <f t="shared" ca="1" si="227"/>
        <v>0</v>
      </c>
      <c r="AO411" s="49">
        <f t="shared" ca="1" si="227"/>
        <v>0</v>
      </c>
      <c r="AP411" s="49">
        <f t="shared" ca="1" si="227"/>
        <v>0</v>
      </c>
      <c r="AQ411" s="49">
        <f t="shared" ca="1" si="227"/>
        <v>0</v>
      </c>
      <c r="AR411" s="49">
        <f t="shared" ca="1" si="227"/>
        <v>0</v>
      </c>
      <c r="AS411" s="49">
        <f t="shared" ca="1" si="227"/>
        <v>0</v>
      </c>
      <c r="AT411" s="49">
        <f t="shared" ca="1" si="227"/>
        <v>0</v>
      </c>
      <c r="AU411" s="49">
        <f t="shared" ca="1" si="227"/>
        <v>0</v>
      </c>
      <c r="AV411" s="49">
        <f t="shared" ca="1" si="227"/>
        <v>0</v>
      </c>
      <c r="AW411" s="49">
        <f t="shared" ca="1" si="227"/>
        <v>0</v>
      </c>
      <c r="AX411" s="49">
        <f t="shared" ca="1" si="227"/>
        <v>0</v>
      </c>
      <c r="AY411" s="49">
        <f t="shared" ca="1" si="227"/>
        <v>0</v>
      </c>
      <c r="AZ411" s="49">
        <f t="shared" ca="1" si="227"/>
        <v>0</v>
      </c>
      <c r="BA411" s="49">
        <f t="shared" ca="1" si="227"/>
        <v>0</v>
      </c>
      <c r="BB411" s="49">
        <f t="shared" ca="1" si="227"/>
        <v>0</v>
      </c>
      <c r="BC411" s="49">
        <f t="shared" ca="1" si="227"/>
        <v>0</v>
      </c>
      <c r="BD411" s="49">
        <f t="shared" ca="1" si="227"/>
        <v>0</v>
      </c>
      <c r="BE411" s="49">
        <f t="shared" ca="1" si="227"/>
        <v>0</v>
      </c>
      <c r="BF411" s="49">
        <f t="shared" ca="1" si="227"/>
        <v>0</v>
      </c>
      <c r="BG411" s="49">
        <f t="shared" ca="1" si="227"/>
        <v>0</v>
      </c>
      <c r="BH411" s="49">
        <f t="shared" ca="1" si="227"/>
        <v>0</v>
      </c>
      <c r="BI411" s="49">
        <f t="shared" ca="1" si="227"/>
        <v>0</v>
      </c>
      <c r="BJ411" s="49">
        <f t="shared" ca="1" si="227"/>
        <v>0</v>
      </c>
      <c r="BK411" s="49">
        <f t="shared" ca="1" si="227"/>
        <v>0</v>
      </c>
      <c r="BL411" s="49">
        <f t="shared" ca="1" si="227"/>
        <v>0</v>
      </c>
      <c r="BM411" s="49">
        <f t="shared" ca="1" si="227"/>
        <v>0</v>
      </c>
      <c r="BN411" s="49">
        <f t="shared" ca="1" si="227"/>
        <v>0</v>
      </c>
      <c r="BO411" s="49">
        <f t="shared" ca="1" si="227"/>
        <v>0</v>
      </c>
      <c r="BP411" s="49">
        <f t="shared" ca="1" si="227"/>
        <v>0</v>
      </c>
      <c r="BQ411" s="49">
        <f t="shared" ca="1" si="227"/>
        <v>0</v>
      </c>
      <c r="BR411" s="49">
        <f t="shared" ca="1" si="227"/>
        <v>0</v>
      </c>
      <c r="BS411" s="49">
        <f t="shared" ca="1" si="227"/>
        <v>0</v>
      </c>
    </row>
    <row r="412" spans="3:71" outlineLevel="1" x14ac:dyDescent="0.2">
      <c r="J412" s="26"/>
      <c r="L412" s="55"/>
      <c r="M412" s="55"/>
      <c r="N412" s="55"/>
      <c r="O412" s="55"/>
      <c r="P412" s="55"/>
      <c r="Q412" s="55"/>
      <c r="R412" s="55"/>
      <c r="S412" s="55"/>
      <c r="T412" s="55"/>
      <c r="U412" s="55"/>
      <c r="V412" s="55"/>
      <c r="W412" s="55"/>
      <c r="X412" s="55"/>
      <c r="Y412" s="55"/>
      <c r="Z412" s="55"/>
      <c r="AA412" s="55"/>
      <c r="AB412" s="55"/>
      <c r="AC412" s="55"/>
      <c r="AD412" s="55"/>
      <c r="AE412" s="55"/>
      <c r="AF412" s="55"/>
      <c r="AG412" s="55"/>
      <c r="AH412" s="55"/>
      <c r="AI412" s="55"/>
      <c r="AJ412" s="55"/>
      <c r="AK412" s="55"/>
      <c r="AL412" s="55"/>
      <c r="AM412" s="55"/>
      <c r="AN412" s="55"/>
      <c r="AO412" s="55"/>
      <c r="AP412" s="55"/>
      <c r="AQ412" s="55"/>
      <c r="AR412" s="55"/>
      <c r="AS412" s="55"/>
      <c r="AT412" s="55"/>
      <c r="AU412" s="55"/>
      <c r="AV412" s="55"/>
      <c r="AW412" s="55"/>
      <c r="AX412" s="55"/>
      <c r="AY412" s="55"/>
      <c r="AZ412" s="55"/>
      <c r="BA412" s="55"/>
      <c r="BB412" s="55"/>
      <c r="BC412" s="55"/>
      <c r="BD412" s="55"/>
      <c r="BE412" s="55"/>
      <c r="BF412" s="55"/>
      <c r="BG412" s="55"/>
      <c r="BH412" s="55"/>
      <c r="BI412" s="55"/>
      <c r="BJ412" s="55"/>
      <c r="BK412" s="55"/>
      <c r="BL412" s="55"/>
      <c r="BM412" s="55"/>
      <c r="BN412" s="55"/>
      <c r="BO412" s="55"/>
      <c r="BP412" s="55"/>
      <c r="BQ412" s="55"/>
      <c r="BR412" s="55"/>
      <c r="BS412" s="55"/>
    </row>
    <row r="413" spans="3:71" outlineLevel="1" x14ac:dyDescent="0.2">
      <c r="C413" t="str">
        <f>HM_ZB_Nsoko!C399</f>
        <v>Total coûts portés compagnie nationale</v>
      </c>
      <c r="I413" s="30">
        <f t="shared" ref="I413:I414" ca="1" si="228">SUM($L413:$BS413)</f>
        <v>1637.03865</v>
      </c>
      <c r="J413" s="26" t="s">
        <v>148</v>
      </c>
      <c r="K413" s="7" t="s">
        <v>351</v>
      </c>
      <c r="L413" s="49">
        <f ca="1">L393</f>
        <v>193.01729999999998</v>
      </c>
      <c r="M413" s="49">
        <f t="shared" ref="M413:BS413" ca="1" si="229">M393</f>
        <v>317.73179999999996</v>
      </c>
      <c r="N413" s="49">
        <f t="shared" ca="1" si="229"/>
        <v>469.58609999999999</v>
      </c>
      <c r="O413" s="49">
        <f t="shared" ca="1" si="229"/>
        <v>385.68014999999997</v>
      </c>
      <c r="P413" s="49">
        <f t="shared" ca="1" si="229"/>
        <v>172.98479999999998</v>
      </c>
      <c r="Q413" s="49">
        <f t="shared" ca="1" si="229"/>
        <v>98.038499999999999</v>
      </c>
      <c r="R413" s="49">
        <f t="shared" ca="1" si="229"/>
        <v>0</v>
      </c>
      <c r="S413" s="49">
        <f t="shared" ca="1" si="229"/>
        <v>0</v>
      </c>
      <c r="T413" s="49">
        <f t="shared" ca="1" si="229"/>
        <v>0</v>
      </c>
      <c r="U413" s="49">
        <f t="shared" ca="1" si="229"/>
        <v>0</v>
      </c>
      <c r="V413" s="49">
        <f t="shared" ca="1" si="229"/>
        <v>0</v>
      </c>
      <c r="W413" s="49">
        <f t="shared" ca="1" si="229"/>
        <v>0</v>
      </c>
      <c r="X413" s="49">
        <f t="shared" ca="1" si="229"/>
        <v>0</v>
      </c>
      <c r="Y413" s="49">
        <f t="shared" ca="1" si="229"/>
        <v>0</v>
      </c>
      <c r="Z413" s="49">
        <f t="shared" ca="1" si="229"/>
        <v>0</v>
      </c>
      <c r="AA413" s="49">
        <f t="shared" ca="1" si="229"/>
        <v>0</v>
      </c>
      <c r="AB413" s="49">
        <f t="shared" ca="1" si="229"/>
        <v>0</v>
      </c>
      <c r="AC413" s="49">
        <f t="shared" ca="1" si="229"/>
        <v>0</v>
      </c>
      <c r="AD413" s="49">
        <f t="shared" ca="1" si="229"/>
        <v>0</v>
      </c>
      <c r="AE413" s="49">
        <f t="shared" ca="1" si="229"/>
        <v>0</v>
      </c>
      <c r="AF413" s="49">
        <f t="shared" ca="1" si="229"/>
        <v>0</v>
      </c>
      <c r="AG413" s="49">
        <f t="shared" ca="1" si="229"/>
        <v>0</v>
      </c>
      <c r="AH413" s="49">
        <f t="shared" ca="1" si="229"/>
        <v>0</v>
      </c>
      <c r="AI413" s="49">
        <f t="shared" ca="1" si="229"/>
        <v>0</v>
      </c>
      <c r="AJ413" s="49">
        <f t="shared" ca="1" si="229"/>
        <v>0</v>
      </c>
      <c r="AK413" s="49">
        <f t="shared" ca="1" si="229"/>
        <v>0</v>
      </c>
      <c r="AL413" s="49">
        <f t="shared" ca="1" si="229"/>
        <v>0</v>
      </c>
      <c r="AM413" s="49">
        <f t="shared" ca="1" si="229"/>
        <v>0</v>
      </c>
      <c r="AN413" s="49">
        <f t="shared" ca="1" si="229"/>
        <v>0</v>
      </c>
      <c r="AO413" s="49">
        <f t="shared" ca="1" si="229"/>
        <v>0</v>
      </c>
      <c r="AP413" s="49">
        <f t="shared" ca="1" si="229"/>
        <v>0</v>
      </c>
      <c r="AQ413" s="49">
        <f t="shared" ca="1" si="229"/>
        <v>0</v>
      </c>
      <c r="AR413" s="49">
        <f t="shared" ca="1" si="229"/>
        <v>0</v>
      </c>
      <c r="AS413" s="49">
        <f t="shared" ca="1" si="229"/>
        <v>0</v>
      </c>
      <c r="AT413" s="49">
        <f t="shared" ca="1" si="229"/>
        <v>0</v>
      </c>
      <c r="AU413" s="49">
        <f t="shared" ca="1" si="229"/>
        <v>0</v>
      </c>
      <c r="AV413" s="49">
        <f t="shared" ca="1" si="229"/>
        <v>0</v>
      </c>
      <c r="AW413" s="49">
        <f t="shared" ca="1" si="229"/>
        <v>0</v>
      </c>
      <c r="AX413" s="49">
        <f t="shared" ca="1" si="229"/>
        <v>0</v>
      </c>
      <c r="AY413" s="49">
        <f t="shared" ca="1" si="229"/>
        <v>0</v>
      </c>
      <c r="AZ413" s="49">
        <f t="shared" ca="1" si="229"/>
        <v>0</v>
      </c>
      <c r="BA413" s="49">
        <f t="shared" ca="1" si="229"/>
        <v>0</v>
      </c>
      <c r="BB413" s="49">
        <f t="shared" ca="1" si="229"/>
        <v>0</v>
      </c>
      <c r="BC413" s="49">
        <f t="shared" ca="1" si="229"/>
        <v>0</v>
      </c>
      <c r="BD413" s="49">
        <f t="shared" ca="1" si="229"/>
        <v>0</v>
      </c>
      <c r="BE413" s="49">
        <f t="shared" ca="1" si="229"/>
        <v>0</v>
      </c>
      <c r="BF413" s="49">
        <f t="shared" ca="1" si="229"/>
        <v>0</v>
      </c>
      <c r="BG413" s="49">
        <f t="shared" ca="1" si="229"/>
        <v>0</v>
      </c>
      <c r="BH413" s="49">
        <f t="shared" ca="1" si="229"/>
        <v>0</v>
      </c>
      <c r="BI413" s="49">
        <f t="shared" ca="1" si="229"/>
        <v>0</v>
      </c>
      <c r="BJ413" s="49">
        <f t="shared" ca="1" si="229"/>
        <v>0</v>
      </c>
      <c r="BK413" s="49">
        <f t="shared" ca="1" si="229"/>
        <v>0</v>
      </c>
      <c r="BL413" s="49">
        <f t="shared" ca="1" si="229"/>
        <v>0</v>
      </c>
      <c r="BM413" s="49">
        <f t="shared" ca="1" si="229"/>
        <v>0</v>
      </c>
      <c r="BN413" s="49">
        <f t="shared" ca="1" si="229"/>
        <v>0</v>
      </c>
      <c r="BO413" s="49">
        <f t="shared" ca="1" si="229"/>
        <v>0</v>
      </c>
      <c r="BP413" s="49">
        <f t="shared" ca="1" si="229"/>
        <v>0</v>
      </c>
      <c r="BQ413" s="49">
        <f t="shared" ca="1" si="229"/>
        <v>0</v>
      </c>
      <c r="BR413" s="49">
        <f t="shared" ca="1" si="229"/>
        <v>0</v>
      </c>
      <c r="BS413" s="49">
        <f t="shared" ca="1" si="229"/>
        <v>0</v>
      </c>
    </row>
    <row r="414" spans="3:71" outlineLevel="1" x14ac:dyDescent="0.2">
      <c r="C414" t="str">
        <f>HM_ZB_Nsoko!C400</f>
        <v>Total Remboursement du portage</v>
      </c>
      <c r="I414" s="30">
        <f t="shared" ca="1" si="228"/>
        <v>-1637.0386499999997</v>
      </c>
      <c r="J414" s="26" t="s">
        <v>148</v>
      </c>
      <c r="K414" s="7" t="s">
        <v>352</v>
      </c>
      <c r="L414" s="49">
        <f ca="1">SUM(L398,L404,L410)</f>
        <v>-77.710963826486108</v>
      </c>
      <c r="M414" s="49">
        <f t="shared" ref="M414:BS414" ca="1" si="230">SUM(M398,M404,M410)</f>
        <v>-75.50381369445806</v>
      </c>
      <c r="N414" s="49">
        <f t="shared" ca="1" si="230"/>
        <v>-66.567698596940616</v>
      </c>
      <c r="O414" s="49">
        <f t="shared" ca="1" si="230"/>
        <v>-57.205845713464875</v>
      </c>
      <c r="P414" s="49">
        <f t="shared" ca="1" si="230"/>
        <v>-160.50970169532511</v>
      </c>
      <c r="Q414" s="49">
        <f t="shared" ca="1" si="230"/>
        <v>-324.74757048780373</v>
      </c>
      <c r="R414" s="49">
        <f t="shared" ca="1" si="230"/>
        <v>-316.19855132521735</v>
      </c>
      <c r="S414" s="49">
        <f t="shared" ca="1" si="230"/>
        <v>-188.79594851081251</v>
      </c>
      <c r="T414" s="49">
        <f t="shared" ca="1" si="230"/>
        <v>-288.87746999560017</v>
      </c>
      <c r="U414" s="49">
        <f t="shared" ca="1" si="230"/>
        <v>-80.921086153891281</v>
      </c>
      <c r="V414" s="49">
        <f t="shared" ca="1" si="230"/>
        <v>0</v>
      </c>
      <c r="W414" s="49">
        <f t="shared" ca="1" si="230"/>
        <v>0</v>
      </c>
      <c r="X414" s="49">
        <f t="shared" ca="1" si="230"/>
        <v>0</v>
      </c>
      <c r="Y414" s="49">
        <f t="shared" ca="1" si="230"/>
        <v>0</v>
      </c>
      <c r="Z414" s="49">
        <f t="shared" ca="1" si="230"/>
        <v>0</v>
      </c>
      <c r="AA414" s="49">
        <f t="shared" ca="1" si="230"/>
        <v>0</v>
      </c>
      <c r="AB414" s="49">
        <f t="shared" ca="1" si="230"/>
        <v>0</v>
      </c>
      <c r="AC414" s="49">
        <f t="shared" ca="1" si="230"/>
        <v>0</v>
      </c>
      <c r="AD414" s="49">
        <f t="shared" ca="1" si="230"/>
        <v>0</v>
      </c>
      <c r="AE414" s="49">
        <f t="shared" ca="1" si="230"/>
        <v>0</v>
      </c>
      <c r="AF414" s="49">
        <f t="shared" ca="1" si="230"/>
        <v>0</v>
      </c>
      <c r="AG414" s="49">
        <f t="shared" ca="1" si="230"/>
        <v>0</v>
      </c>
      <c r="AH414" s="49">
        <f t="shared" ca="1" si="230"/>
        <v>0</v>
      </c>
      <c r="AI414" s="49">
        <f t="shared" ca="1" si="230"/>
        <v>0</v>
      </c>
      <c r="AJ414" s="49">
        <f t="shared" ca="1" si="230"/>
        <v>0</v>
      </c>
      <c r="AK414" s="49">
        <f t="shared" ca="1" si="230"/>
        <v>0</v>
      </c>
      <c r="AL414" s="49">
        <f t="shared" ca="1" si="230"/>
        <v>0</v>
      </c>
      <c r="AM414" s="49">
        <f t="shared" ca="1" si="230"/>
        <v>0</v>
      </c>
      <c r="AN414" s="49">
        <f t="shared" ca="1" si="230"/>
        <v>0</v>
      </c>
      <c r="AO414" s="49">
        <f t="shared" ca="1" si="230"/>
        <v>0</v>
      </c>
      <c r="AP414" s="49">
        <f t="shared" ca="1" si="230"/>
        <v>0</v>
      </c>
      <c r="AQ414" s="49">
        <f t="shared" ca="1" si="230"/>
        <v>0</v>
      </c>
      <c r="AR414" s="49">
        <f t="shared" ca="1" si="230"/>
        <v>0</v>
      </c>
      <c r="AS414" s="49">
        <f t="shared" ca="1" si="230"/>
        <v>0</v>
      </c>
      <c r="AT414" s="49">
        <f t="shared" ca="1" si="230"/>
        <v>0</v>
      </c>
      <c r="AU414" s="49">
        <f t="shared" ca="1" si="230"/>
        <v>0</v>
      </c>
      <c r="AV414" s="49">
        <f t="shared" ca="1" si="230"/>
        <v>0</v>
      </c>
      <c r="AW414" s="49">
        <f t="shared" ca="1" si="230"/>
        <v>0</v>
      </c>
      <c r="AX414" s="49">
        <f t="shared" ca="1" si="230"/>
        <v>0</v>
      </c>
      <c r="AY414" s="49">
        <f t="shared" ca="1" si="230"/>
        <v>0</v>
      </c>
      <c r="AZ414" s="49">
        <f t="shared" ca="1" si="230"/>
        <v>0</v>
      </c>
      <c r="BA414" s="49">
        <f t="shared" ca="1" si="230"/>
        <v>0</v>
      </c>
      <c r="BB414" s="49">
        <f t="shared" ca="1" si="230"/>
        <v>0</v>
      </c>
      <c r="BC414" s="49">
        <f t="shared" ca="1" si="230"/>
        <v>0</v>
      </c>
      <c r="BD414" s="49">
        <f t="shared" ca="1" si="230"/>
        <v>0</v>
      </c>
      <c r="BE414" s="49">
        <f t="shared" ca="1" si="230"/>
        <v>0</v>
      </c>
      <c r="BF414" s="49">
        <f t="shared" ca="1" si="230"/>
        <v>0</v>
      </c>
      <c r="BG414" s="49">
        <f t="shared" ca="1" si="230"/>
        <v>0</v>
      </c>
      <c r="BH414" s="49">
        <f t="shared" ca="1" si="230"/>
        <v>0</v>
      </c>
      <c r="BI414" s="49">
        <f t="shared" ca="1" si="230"/>
        <v>0</v>
      </c>
      <c r="BJ414" s="49">
        <f t="shared" ca="1" si="230"/>
        <v>0</v>
      </c>
      <c r="BK414" s="49">
        <f t="shared" ca="1" si="230"/>
        <v>0</v>
      </c>
      <c r="BL414" s="49">
        <f t="shared" ca="1" si="230"/>
        <v>0</v>
      </c>
      <c r="BM414" s="49">
        <f t="shared" ca="1" si="230"/>
        <v>0</v>
      </c>
      <c r="BN414" s="49">
        <f t="shared" ca="1" si="230"/>
        <v>0</v>
      </c>
      <c r="BO414" s="49">
        <f t="shared" ca="1" si="230"/>
        <v>0</v>
      </c>
      <c r="BP414" s="49">
        <f t="shared" ca="1" si="230"/>
        <v>0</v>
      </c>
      <c r="BQ414" s="49">
        <f t="shared" ca="1" si="230"/>
        <v>0</v>
      </c>
      <c r="BR414" s="49">
        <f t="shared" ca="1" si="230"/>
        <v>0</v>
      </c>
      <c r="BS414" s="49">
        <f t="shared" ca="1" si="230"/>
        <v>0</v>
      </c>
    </row>
    <row r="415" spans="3:71" outlineLevel="1" x14ac:dyDescent="0.2">
      <c r="J415" s="26"/>
      <c r="L415" s="55"/>
      <c r="M415" s="55"/>
      <c r="N415" s="55"/>
      <c r="O415" s="55"/>
      <c r="P415" s="55"/>
      <c r="Q415" s="55"/>
      <c r="R415" s="55"/>
      <c r="S415" s="55"/>
      <c r="T415" s="55"/>
      <c r="U415" s="55"/>
      <c r="V415" s="55"/>
      <c r="W415" s="55"/>
      <c r="X415" s="55"/>
      <c r="Y415" s="55"/>
      <c r="Z415" s="55"/>
      <c r="AA415" s="55"/>
      <c r="AB415" s="55"/>
      <c r="AC415" s="55"/>
      <c r="AD415" s="55"/>
      <c r="AE415" s="55"/>
      <c r="AF415" s="55"/>
      <c r="AG415" s="55"/>
      <c r="AH415" s="55"/>
      <c r="AI415" s="55"/>
      <c r="AJ415" s="55"/>
      <c r="AK415" s="55"/>
      <c r="AL415" s="55"/>
      <c r="AM415" s="55"/>
      <c r="AN415" s="55"/>
      <c r="AO415" s="55"/>
      <c r="AP415" s="55"/>
      <c r="AQ415" s="55"/>
      <c r="AR415" s="55"/>
      <c r="AS415" s="55"/>
      <c r="AT415" s="55"/>
      <c r="AU415" s="55"/>
      <c r="AV415" s="55"/>
      <c r="AW415" s="55"/>
      <c r="AX415" s="55"/>
      <c r="AY415" s="55"/>
      <c r="AZ415" s="55"/>
      <c r="BA415" s="55"/>
      <c r="BB415" s="55"/>
      <c r="BC415" s="55"/>
      <c r="BD415" s="55"/>
      <c r="BE415" s="55"/>
      <c r="BF415" s="55"/>
      <c r="BG415" s="55"/>
      <c r="BH415" s="55"/>
      <c r="BI415" s="55"/>
      <c r="BJ415" s="55"/>
      <c r="BK415" s="55"/>
      <c r="BL415" s="55"/>
      <c r="BM415" s="55"/>
      <c r="BN415" s="55"/>
      <c r="BO415" s="55"/>
      <c r="BP415" s="55"/>
      <c r="BQ415" s="55"/>
      <c r="BR415" s="55"/>
      <c r="BS415" s="55"/>
    </row>
    <row r="416" spans="3:71" outlineLevel="1" x14ac:dyDescent="0.2">
      <c r="J416" s="26"/>
      <c r="L416" s="55"/>
      <c r="M416" s="55"/>
      <c r="N416" s="55"/>
      <c r="O416" s="55"/>
      <c r="P416" s="55"/>
      <c r="Q416" s="55"/>
      <c r="R416" s="55"/>
      <c r="S416" s="55"/>
      <c r="T416" s="55"/>
      <c r="U416" s="55"/>
      <c r="V416" s="55"/>
      <c r="W416" s="55"/>
      <c r="X416" s="55"/>
      <c r="Y416" s="55"/>
      <c r="Z416" s="55"/>
      <c r="AA416" s="55"/>
      <c r="AB416" s="55"/>
      <c r="AC416" s="55"/>
      <c r="AD416" s="55"/>
      <c r="AE416" s="55"/>
      <c r="AF416" s="55"/>
      <c r="AG416" s="55"/>
      <c r="AH416" s="55"/>
      <c r="AI416" s="55"/>
      <c r="AJ416" s="55"/>
      <c r="AK416" s="55"/>
      <c r="AL416" s="55"/>
      <c r="AM416" s="55"/>
      <c r="AN416" s="55"/>
      <c r="AO416" s="55"/>
      <c r="AP416" s="55"/>
      <c r="AQ416" s="55"/>
      <c r="AR416" s="55"/>
      <c r="AS416" s="55"/>
      <c r="AT416" s="55"/>
      <c r="AU416" s="55"/>
      <c r="AV416" s="55"/>
      <c r="AW416" s="55"/>
      <c r="AX416" s="55"/>
      <c r="AY416" s="55"/>
      <c r="AZ416" s="55"/>
      <c r="BA416" s="55"/>
      <c r="BB416" s="55"/>
      <c r="BC416" s="55"/>
      <c r="BD416" s="55"/>
      <c r="BE416" s="55"/>
      <c r="BF416" s="55"/>
      <c r="BG416" s="55"/>
      <c r="BH416" s="55"/>
      <c r="BI416" s="55"/>
      <c r="BJ416" s="55"/>
      <c r="BK416" s="55"/>
      <c r="BL416" s="55"/>
      <c r="BM416" s="55"/>
      <c r="BN416" s="55"/>
      <c r="BO416" s="55"/>
      <c r="BP416" s="55"/>
      <c r="BQ416" s="55"/>
      <c r="BR416" s="55"/>
      <c r="BS416" s="55"/>
    </row>
    <row r="417" spans="1:93" outlineLevel="1" x14ac:dyDescent="0.2">
      <c r="J417" s="26"/>
      <c r="L417" s="55"/>
      <c r="M417" s="55"/>
      <c r="N417" s="55"/>
      <c r="O417" s="55"/>
      <c r="P417" s="55"/>
      <c r="Q417" s="55"/>
      <c r="R417" s="55"/>
      <c r="S417" s="55"/>
      <c r="T417" s="55"/>
      <c r="U417" s="55"/>
      <c r="V417" s="55"/>
      <c r="W417" s="55"/>
      <c r="X417" s="55"/>
      <c r="Y417" s="55"/>
      <c r="Z417" s="55"/>
      <c r="AA417" s="55"/>
      <c r="AB417" s="55"/>
      <c r="AC417" s="55"/>
      <c r="AD417" s="55"/>
      <c r="AE417" s="55"/>
      <c r="AF417" s="55"/>
      <c r="AG417" s="55"/>
      <c r="AH417" s="55"/>
      <c r="AI417" s="55"/>
      <c r="AJ417" s="55"/>
      <c r="AK417" s="55"/>
      <c r="AL417" s="55"/>
      <c r="AM417" s="55"/>
      <c r="AN417" s="55"/>
      <c r="AO417" s="55"/>
      <c r="AP417" s="55"/>
      <c r="AQ417" s="55"/>
      <c r="AR417" s="55"/>
      <c r="AS417" s="55"/>
      <c r="AT417" s="55"/>
      <c r="AU417" s="55"/>
      <c r="AV417" s="55"/>
      <c r="AW417" s="55"/>
      <c r="AX417" s="55"/>
      <c r="AY417" s="55"/>
      <c r="AZ417" s="55"/>
      <c r="BA417" s="55"/>
      <c r="BB417" s="55"/>
      <c r="BC417" s="55"/>
      <c r="BD417" s="55"/>
      <c r="BE417" s="55"/>
      <c r="BF417" s="55"/>
      <c r="BG417" s="55"/>
      <c r="BH417" s="55"/>
      <c r="BI417" s="55"/>
      <c r="BJ417" s="55"/>
      <c r="BK417" s="55"/>
      <c r="BL417" s="55"/>
      <c r="BM417" s="55"/>
      <c r="BN417" s="55"/>
      <c r="BO417" s="55"/>
      <c r="BP417" s="55"/>
      <c r="BQ417" s="55"/>
      <c r="BR417" s="55"/>
      <c r="BS417" s="55"/>
    </row>
    <row r="418" spans="1:93" x14ac:dyDescent="0.2">
      <c r="J418" s="26"/>
      <c r="L418" s="55"/>
      <c r="M418" s="55"/>
      <c r="N418" s="55"/>
      <c r="O418" s="55"/>
      <c r="P418" s="55"/>
      <c r="Q418" s="55"/>
      <c r="R418" s="55"/>
      <c r="S418" s="55"/>
      <c r="T418" s="55"/>
      <c r="U418" s="55"/>
      <c r="V418" s="55"/>
      <c r="W418" s="55"/>
      <c r="X418" s="55"/>
      <c r="Y418" s="55"/>
      <c r="Z418" s="55"/>
      <c r="AA418" s="55"/>
      <c r="AB418" s="55"/>
      <c r="AC418" s="55"/>
      <c r="AD418" s="55"/>
      <c r="AE418" s="55"/>
      <c r="AF418" s="55"/>
      <c r="AG418" s="55"/>
      <c r="AH418" s="55"/>
      <c r="AI418" s="55"/>
      <c r="AJ418" s="55"/>
      <c r="AK418" s="55"/>
      <c r="AL418" s="55"/>
      <c r="AM418" s="55"/>
      <c r="AN418" s="55"/>
      <c r="AO418" s="55"/>
      <c r="AP418" s="55"/>
      <c r="AQ418" s="55"/>
      <c r="AR418" s="55"/>
      <c r="AS418" s="55"/>
      <c r="AT418" s="55"/>
      <c r="AU418" s="55"/>
      <c r="AV418" s="55"/>
      <c r="AW418" s="55"/>
      <c r="AX418" s="55"/>
      <c r="AY418" s="55"/>
      <c r="AZ418" s="55"/>
      <c r="BA418" s="55"/>
      <c r="BB418" s="55"/>
      <c r="BC418" s="55"/>
      <c r="BD418" s="55"/>
      <c r="BE418" s="55"/>
      <c r="BF418" s="55"/>
      <c r="BG418" s="55"/>
      <c r="BH418" s="55"/>
      <c r="BI418" s="55"/>
      <c r="BJ418" s="55"/>
      <c r="BK418" s="55"/>
      <c r="BL418" s="55"/>
      <c r="BM418" s="55"/>
      <c r="BN418" s="55"/>
      <c r="BO418" s="55"/>
      <c r="BP418" s="55"/>
      <c r="BQ418" s="55"/>
      <c r="BR418" s="55"/>
      <c r="BS418" s="55"/>
    </row>
    <row r="419" spans="1:93" ht="16" thickBot="1" x14ac:dyDescent="0.25">
      <c r="J419" s="26"/>
      <c r="L419" s="55"/>
      <c r="M419" s="55"/>
      <c r="N419" s="55"/>
      <c r="O419" s="55"/>
      <c r="P419" s="55"/>
      <c r="Q419" s="55"/>
      <c r="R419" s="55"/>
      <c r="S419" s="55"/>
      <c r="T419" s="55"/>
      <c r="U419" s="55"/>
      <c r="V419" s="55"/>
      <c r="W419" s="55"/>
      <c r="X419" s="55"/>
      <c r="Y419" s="55"/>
      <c r="Z419" s="55"/>
      <c r="AA419" s="55"/>
      <c r="AB419" s="55"/>
      <c r="AC419" s="55"/>
      <c r="AD419" s="55"/>
      <c r="AE419" s="55"/>
      <c r="AF419" s="55"/>
      <c r="AG419" s="55"/>
      <c r="AH419" s="55"/>
      <c r="AI419" s="55"/>
      <c r="AJ419" s="55"/>
      <c r="AK419" s="55"/>
      <c r="AL419" s="55"/>
      <c r="AM419" s="55"/>
      <c r="AN419" s="55"/>
      <c r="AO419" s="55"/>
      <c r="AP419" s="55"/>
      <c r="AQ419" s="55"/>
      <c r="AR419" s="55"/>
      <c r="AS419" s="55"/>
      <c r="AT419" s="55"/>
      <c r="AU419" s="55"/>
      <c r="AV419" s="55"/>
      <c r="AW419" s="55"/>
      <c r="AX419" s="55"/>
      <c r="AY419" s="55"/>
      <c r="AZ419" s="55"/>
      <c r="BA419" s="55"/>
      <c r="BB419" s="55"/>
      <c r="BC419" s="55"/>
      <c r="BD419" s="55"/>
      <c r="BE419" s="55"/>
      <c r="BF419" s="55"/>
      <c r="BG419" s="55"/>
      <c r="BH419" s="55"/>
      <c r="BI419" s="55"/>
      <c r="BJ419" s="55"/>
      <c r="BK419" s="55"/>
      <c r="BL419" s="55"/>
      <c r="BM419" s="55"/>
      <c r="BN419" s="55"/>
      <c r="BO419" s="55"/>
      <c r="BP419" s="55"/>
      <c r="BQ419" s="55"/>
      <c r="BR419" s="55"/>
      <c r="BS419" s="55"/>
    </row>
    <row r="420" spans="1:93" ht="22" thickBot="1" x14ac:dyDescent="0.25">
      <c r="A420" s="8"/>
      <c r="B420" s="221" t="str">
        <f>HM_ZB_Nsoko!B406</f>
        <v>Flux de trésorerie</v>
      </c>
      <c r="C420" s="222"/>
      <c r="D420" s="222"/>
      <c r="E420" s="223"/>
      <c r="F420" s="9"/>
      <c r="G420" s="9"/>
      <c r="H420" s="9"/>
      <c r="I420" s="9"/>
      <c r="J420" s="48"/>
      <c r="K420" s="10"/>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c r="AV420" s="9"/>
      <c r="AW420" s="9"/>
      <c r="AX420" s="9"/>
      <c r="AY420" s="9"/>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c r="BX420" s="9"/>
      <c r="BY420" s="9"/>
      <c r="BZ420" s="9"/>
      <c r="CA420" s="9"/>
      <c r="CB420" s="9"/>
      <c r="CC420" s="9"/>
      <c r="CD420" s="9"/>
      <c r="CE420" s="9"/>
      <c r="CF420" s="9"/>
      <c r="CG420" s="9"/>
      <c r="CH420" s="9"/>
      <c r="CI420" s="9"/>
      <c r="CJ420" s="9"/>
      <c r="CK420" s="9"/>
      <c r="CL420" s="9"/>
      <c r="CM420" s="9"/>
      <c r="CN420" s="9"/>
      <c r="CO420" s="9"/>
    </row>
    <row r="421" spans="1:93" outlineLevel="1" x14ac:dyDescent="0.2">
      <c r="J421" s="26"/>
      <c r="L421" s="55"/>
      <c r="M421" s="55"/>
      <c r="N421" s="55"/>
      <c r="O421" s="55"/>
      <c r="P421" s="55"/>
      <c r="Q421" s="55"/>
      <c r="R421" s="55"/>
      <c r="S421" s="55"/>
      <c r="T421" s="55"/>
      <c r="U421" s="55"/>
      <c r="V421" s="55"/>
      <c r="W421" s="55"/>
      <c r="X421" s="55"/>
      <c r="Y421" s="55"/>
      <c r="Z421" s="55"/>
      <c r="AA421" s="55"/>
      <c r="AB421" s="55"/>
      <c r="AC421" s="55"/>
      <c r="AD421" s="55"/>
      <c r="AE421" s="55"/>
      <c r="AF421" s="55"/>
      <c r="AG421" s="55"/>
      <c r="AH421" s="55"/>
      <c r="AI421" s="55"/>
      <c r="AJ421" s="55"/>
      <c r="AK421" s="55"/>
      <c r="AL421" s="55"/>
      <c r="AM421" s="55"/>
      <c r="AN421" s="55"/>
      <c r="AO421" s="55"/>
      <c r="AP421" s="55"/>
      <c r="AQ421" s="55"/>
      <c r="AR421" s="55"/>
      <c r="AS421" s="55"/>
      <c r="AT421" s="55"/>
      <c r="AU421" s="55"/>
      <c r="AV421" s="55"/>
      <c r="AW421" s="55"/>
      <c r="AX421" s="55"/>
      <c r="AY421" s="55"/>
      <c r="AZ421" s="55"/>
      <c r="BA421" s="55"/>
      <c r="BB421" s="55"/>
      <c r="BC421" s="55"/>
      <c r="BD421" s="55"/>
      <c r="BE421" s="55"/>
      <c r="BF421" s="55"/>
      <c r="BG421" s="55"/>
      <c r="BH421" s="55"/>
      <c r="BI421" s="55"/>
      <c r="BJ421" s="55"/>
      <c r="BK421" s="55"/>
      <c r="BL421" s="55"/>
      <c r="BM421" s="55"/>
      <c r="BN421" s="55"/>
      <c r="BO421" s="55"/>
      <c r="BP421" s="55"/>
      <c r="BQ421" s="55"/>
      <c r="BR421" s="55"/>
      <c r="BS421" s="55"/>
    </row>
    <row r="422" spans="1:93" outlineLevel="1" x14ac:dyDescent="0.2">
      <c r="A422" s="45"/>
      <c r="B422" s="38" t="str">
        <f>HM_ZB_Nsoko!B408</f>
        <v>Calculs de la période d'actualisation</v>
      </c>
      <c r="C422" s="45"/>
      <c r="D422" s="45"/>
      <c r="E422" s="45"/>
      <c r="J422" s="26"/>
      <c r="L422" s="55"/>
      <c r="M422" s="55"/>
      <c r="N422" s="55"/>
      <c r="O422" s="55"/>
      <c r="P422" s="55"/>
      <c r="Q422" s="55"/>
      <c r="R422" s="55"/>
      <c r="S422" s="55"/>
      <c r="T422" s="55"/>
      <c r="U422" s="55"/>
      <c r="V422" s="55"/>
      <c r="W422" s="55"/>
      <c r="X422" s="55"/>
      <c r="Y422" s="55"/>
      <c r="Z422" s="55"/>
      <c r="AA422" s="55"/>
      <c r="AB422" s="55"/>
      <c r="AC422" s="55"/>
      <c r="AD422" s="55"/>
      <c r="AE422" s="55"/>
      <c r="AF422" s="55"/>
      <c r="AG422" s="55"/>
      <c r="AH422" s="55"/>
      <c r="AI422" s="55"/>
      <c r="AJ422" s="55"/>
      <c r="AK422" s="55"/>
      <c r="AL422" s="55"/>
      <c r="AM422" s="55"/>
      <c r="AN422" s="55"/>
      <c r="AO422" s="55"/>
      <c r="AP422" s="55"/>
      <c r="AQ422" s="55"/>
      <c r="AR422" s="55"/>
      <c r="AS422" s="55"/>
      <c r="AT422" s="55"/>
      <c r="AU422" s="55"/>
      <c r="AV422" s="55"/>
      <c r="AW422" s="55"/>
      <c r="AX422" s="55"/>
      <c r="AY422" s="55"/>
      <c r="AZ422" s="55"/>
      <c r="BA422" s="55"/>
      <c r="BB422" s="55"/>
      <c r="BC422" s="55"/>
      <c r="BD422" s="55"/>
      <c r="BE422" s="55"/>
      <c r="BF422" s="55"/>
      <c r="BG422" s="55"/>
      <c r="BH422" s="55"/>
      <c r="BI422" s="55"/>
      <c r="BJ422" s="55"/>
      <c r="BK422" s="55"/>
      <c r="BL422" s="55"/>
      <c r="BM422" s="55"/>
      <c r="BN422" s="55"/>
      <c r="BO422" s="55"/>
      <c r="BP422" s="55"/>
      <c r="BQ422" s="55"/>
      <c r="BR422" s="55"/>
      <c r="BS422" s="55"/>
    </row>
    <row r="423" spans="1:93" outlineLevel="1" x14ac:dyDescent="0.2">
      <c r="J423" s="26"/>
      <c r="L423" s="55"/>
      <c r="M423" s="55"/>
      <c r="N423" s="55"/>
      <c r="O423" s="55"/>
      <c r="P423" s="55"/>
      <c r="Q423" s="55"/>
      <c r="R423" s="55"/>
      <c r="S423" s="55"/>
      <c r="T423" s="55"/>
      <c r="U423" s="55"/>
      <c r="V423" s="55"/>
      <c r="W423" s="55"/>
      <c r="X423" s="55"/>
      <c r="Y423" s="55"/>
      <c r="Z423" s="55"/>
      <c r="AA423" s="55"/>
      <c r="AB423" s="55"/>
      <c r="AC423" s="55"/>
      <c r="AD423" s="55"/>
      <c r="AE423" s="55"/>
      <c r="AF423" s="55"/>
      <c r="AG423" s="55"/>
      <c r="AH423" s="55"/>
      <c r="AI423" s="55"/>
      <c r="AJ423" s="55"/>
      <c r="AK423" s="55"/>
      <c r="AL423" s="55"/>
      <c r="AM423" s="55"/>
      <c r="AN423" s="55"/>
      <c r="AO423" s="55"/>
      <c r="AP423" s="55"/>
      <c r="AQ423" s="55"/>
      <c r="AR423" s="55"/>
      <c r="AS423" s="55"/>
      <c r="AT423" s="55"/>
      <c r="AU423" s="55"/>
      <c r="AV423" s="55"/>
      <c r="AW423" s="55"/>
      <c r="AX423" s="55"/>
      <c r="AY423" s="55"/>
      <c r="AZ423" s="55"/>
      <c r="BA423" s="55"/>
      <c r="BB423" s="55"/>
      <c r="BC423" s="55"/>
      <c r="BD423" s="55"/>
      <c r="BE423" s="55"/>
      <c r="BF423" s="55"/>
      <c r="BG423" s="55"/>
      <c r="BH423" s="55"/>
      <c r="BI423" s="55"/>
      <c r="BJ423" s="55"/>
      <c r="BK423" s="55"/>
      <c r="BL423" s="55"/>
      <c r="BM423" s="55"/>
      <c r="BN423" s="55"/>
      <c r="BO423" s="55"/>
      <c r="BP423" s="55"/>
      <c r="BQ423" s="55"/>
      <c r="BR423" s="55"/>
      <c r="BS423" s="55"/>
    </row>
    <row r="424" spans="1:93" outlineLevel="1" x14ac:dyDescent="0.2">
      <c r="C424" t="str">
        <f>HM_ZB_Nsoko!C410</f>
        <v>Période d'actualisation</v>
      </c>
      <c r="J424" s="26"/>
      <c r="L424" s="55"/>
      <c r="M424" s="55"/>
      <c r="N424" s="55"/>
      <c r="O424" s="55"/>
      <c r="P424" s="55"/>
      <c r="Q424" s="55"/>
      <c r="R424" s="55"/>
      <c r="S424" s="55"/>
      <c r="T424" s="55"/>
      <c r="U424" s="55"/>
      <c r="V424" s="55"/>
      <c r="W424" s="55"/>
      <c r="X424" s="55"/>
      <c r="Y424" s="55"/>
      <c r="Z424" s="55"/>
      <c r="AA424" s="55"/>
      <c r="AB424" s="55"/>
      <c r="AC424" s="55"/>
      <c r="AD424" s="55"/>
      <c r="AE424" s="55"/>
      <c r="AF424" s="55"/>
      <c r="AG424" s="55"/>
      <c r="AH424" s="55"/>
      <c r="AI424" s="55"/>
      <c r="AJ424" s="55"/>
      <c r="AK424" s="55"/>
      <c r="AL424" s="55"/>
      <c r="AM424" s="55"/>
      <c r="AN424" s="55"/>
      <c r="AO424" s="55"/>
      <c r="AP424" s="55"/>
      <c r="AQ424" s="55"/>
      <c r="AR424" s="55"/>
      <c r="AS424" s="55"/>
      <c r="AT424" s="55"/>
      <c r="AU424" s="55"/>
      <c r="AV424" s="55"/>
      <c r="AW424" s="55"/>
      <c r="AX424" s="55"/>
      <c r="AY424" s="55"/>
      <c r="AZ424" s="55"/>
      <c r="BA424" s="55"/>
      <c r="BB424" s="55"/>
      <c r="BC424" s="55"/>
      <c r="BD424" s="55"/>
      <c r="BE424" s="55"/>
      <c r="BF424" s="55"/>
      <c r="BG424" s="55"/>
      <c r="BH424" s="55"/>
      <c r="BI424" s="55"/>
      <c r="BJ424" s="55"/>
      <c r="BK424" s="55"/>
      <c r="BL424" s="55"/>
      <c r="BM424" s="55"/>
      <c r="BN424" s="55"/>
      <c r="BO424" s="55"/>
      <c r="BP424" s="55"/>
      <c r="BQ424" s="55"/>
      <c r="BR424" s="55"/>
      <c r="BS424" s="55"/>
    </row>
    <row r="425" spans="1:93" outlineLevel="1" x14ac:dyDescent="0.2">
      <c r="D425" t="str">
        <f>HM_ZB_Nsoko!D411</f>
        <v>Cycle complet</v>
      </c>
      <c r="G425" s="29">
        <f>YEAR(effective_date_AM_4_AM_6)</f>
        <v>2012</v>
      </c>
      <c r="J425" s="26"/>
      <c r="L425" s="49">
        <f t="shared" ref="L425:AQ425" si="231">MAX(L4-$G425+1-0.5,0)</f>
        <v>1.5</v>
      </c>
      <c r="M425" s="49">
        <f t="shared" si="231"/>
        <v>2.5</v>
      </c>
      <c r="N425" s="49">
        <f t="shared" si="231"/>
        <v>3.5</v>
      </c>
      <c r="O425" s="49">
        <f t="shared" si="231"/>
        <v>4.5</v>
      </c>
      <c r="P425" s="49">
        <f t="shared" si="231"/>
        <v>5.5</v>
      </c>
      <c r="Q425" s="49">
        <f t="shared" si="231"/>
        <v>6.5</v>
      </c>
      <c r="R425" s="49">
        <f t="shared" si="231"/>
        <v>7.5</v>
      </c>
      <c r="S425" s="49">
        <f t="shared" si="231"/>
        <v>8.5</v>
      </c>
      <c r="T425" s="49">
        <f t="shared" si="231"/>
        <v>9.5</v>
      </c>
      <c r="U425" s="49">
        <f t="shared" si="231"/>
        <v>10.5</v>
      </c>
      <c r="V425" s="49">
        <f t="shared" si="231"/>
        <v>11.5</v>
      </c>
      <c r="W425" s="49">
        <f t="shared" si="231"/>
        <v>12.5</v>
      </c>
      <c r="X425" s="49">
        <f t="shared" si="231"/>
        <v>13.5</v>
      </c>
      <c r="Y425" s="49">
        <f t="shared" si="231"/>
        <v>14.5</v>
      </c>
      <c r="Z425" s="49">
        <f t="shared" si="231"/>
        <v>15.5</v>
      </c>
      <c r="AA425" s="49">
        <f t="shared" si="231"/>
        <v>16.5</v>
      </c>
      <c r="AB425" s="49">
        <f t="shared" si="231"/>
        <v>17.5</v>
      </c>
      <c r="AC425" s="49">
        <f t="shared" si="231"/>
        <v>18.5</v>
      </c>
      <c r="AD425" s="49">
        <f t="shared" si="231"/>
        <v>19.5</v>
      </c>
      <c r="AE425" s="49">
        <f t="shared" si="231"/>
        <v>20.5</v>
      </c>
      <c r="AF425" s="49">
        <f t="shared" si="231"/>
        <v>21.5</v>
      </c>
      <c r="AG425" s="49">
        <f t="shared" si="231"/>
        <v>22.5</v>
      </c>
      <c r="AH425" s="49">
        <f t="shared" si="231"/>
        <v>23.5</v>
      </c>
      <c r="AI425" s="49">
        <f t="shared" si="231"/>
        <v>24.5</v>
      </c>
      <c r="AJ425" s="49">
        <f t="shared" si="231"/>
        <v>25.5</v>
      </c>
      <c r="AK425" s="49">
        <f t="shared" si="231"/>
        <v>26.5</v>
      </c>
      <c r="AL425" s="49">
        <f t="shared" si="231"/>
        <v>27.5</v>
      </c>
      <c r="AM425" s="49">
        <f t="shared" si="231"/>
        <v>28.5</v>
      </c>
      <c r="AN425" s="49">
        <f t="shared" si="231"/>
        <v>29.5</v>
      </c>
      <c r="AO425" s="49">
        <f t="shared" si="231"/>
        <v>30.5</v>
      </c>
      <c r="AP425" s="49">
        <f t="shared" si="231"/>
        <v>31.5</v>
      </c>
      <c r="AQ425" s="49">
        <f t="shared" si="231"/>
        <v>32.5</v>
      </c>
      <c r="AR425" s="49">
        <f t="shared" ref="AR425:BS425" si="232">MAX(AR4-$G425+1-0.5,0)</f>
        <v>33.5</v>
      </c>
      <c r="AS425" s="49">
        <f t="shared" si="232"/>
        <v>34.5</v>
      </c>
      <c r="AT425" s="49">
        <f t="shared" si="232"/>
        <v>35.5</v>
      </c>
      <c r="AU425" s="49">
        <f t="shared" si="232"/>
        <v>36.5</v>
      </c>
      <c r="AV425" s="49">
        <f t="shared" si="232"/>
        <v>37.5</v>
      </c>
      <c r="AW425" s="49">
        <f t="shared" si="232"/>
        <v>38.5</v>
      </c>
      <c r="AX425" s="49">
        <f t="shared" si="232"/>
        <v>39.5</v>
      </c>
      <c r="AY425" s="49">
        <f t="shared" si="232"/>
        <v>40.5</v>
      </c>
      <c r="AZ425" s="49">
        <f t="shared" si="232"/>
        <v>41.5</v>
      </c>
      <c r="BA425" s="49">
        <f t="shared" si="232"/>
        <v>42.5</v>
      </c>
      <c r="BB425" s="49">
        <f t="shared" si="232"/>
        <v>43.5</v>
      </c>
      <c r="BC425" s="49">
        <f t="shared" si="232"/>
        <v>44.5</v>
      </c>
      <c r="BD425" s="49">
        <f t="shared" si="232"/>
        <v>45.5</v>
      </c>
      <c r="BE425" s="49">
        <f t="shared" si="232"/>
        <v>46.5</v>
      </c>
      <c r="BF425" s="49">
        <f t="shared" si="232"/>
        <v>47.5</v>
      </c>
      <c r="BG425" s="49">
        <f t="shared" si="232"/>
        <v>48.5</v>
      </c>
      <c r="BH425" s="49">
        <f t="shared" si="232"/>
        <v>49.5</v>
      </c>
      <c r="BI425" s="49">
        <f t="shared" si="232"/>
        <v>50.5</v>
      </c>
      <c r="BJ425" s="49">
        <f t="shared" si="232"/>
        <v>51.5</v>
      </c>
      <c r="BK425" s="49">
        <f t="shared" si="232"/>
        <v>52.5</v>
      </c>
      <c r="BL425" s="49">
        <f t="shared" si="232"/>
        <v>53.5</v>
      </c>
      <c r="BM425" s="49">
        <f t="shared" si="232"/>
        <v>54.5</v>
      </c>
      <c r="BN425" s="49">
        <f t="shared" si="232"/>
        <v>55.5</v>
      </c>
      <c r="BO425" s="49">
        <f t="shared" si="232"/>
        <v>56.5</v>
      </c>
      <c r="BP425" s="49">
        <f t="shared" si="232"/>
        <v>57.5</v>
      </c>
      <c r="BQ425" s="49">
        <f t="shared" si="232"/>
        <v>58.5</v>
      </c>
      <c r="BR425" s="49">
        <f t="shared" si="232"/>
        <v>59.5</v>
      </c>
      <c r="BS425" s="49">
        <f t="shared" si="232"/>
        <v>60.5</v>
      </c>
    </row>
    <row r="426" spans="1:93" outlineLevel="1" x14ac:dyDescent="0.2">
      <c r="D426" t="str">
        <f>HM_ZB_Nsoko!D412</f>
        <v>Terme</v>
      </c>
      <c r="G426" s="29">
        <f>Current_year</f>
        <v>2021</v>
      </c>
      <c r="J426" s="26"/>
      <c r="L426" s="49">
        <f t="shared" ref="L426:AQ426" si="233">MAX(L4-$G426+1-0.5,0)</f>
        <v>0</v>
      </c>
      <c r="M426" s="49">
        <f t="shared" si="233"/>
        <v>0</v>
      </c>
      <c r="N426" s="49">
        <f t="shared" si="233"/>
        <v>0</v>
      </c>
      <c r="O426" s="49">
        <f t="shared" si="233"/>
        <v>0</v>
      </c>
      <c r="P426" s="49">
        <f t="shared" si="233"/>
        <v>0</v>
      </c>
      <c r="Q426" s="49">
        <f t="shared" si="233"/>
        <v>0</v>
      </c>
      <c r="R426" s="49">
        <f t="shared" si="233"/>
        <v>0</v>
      </c>
      <c r="S426" s="49">
        <f t="shared" si="233"/>
        <v>0</v>
      </c>
      <c r="T426" s="49">
        <f t="shared" si="233"/>
        <v>0.5</v>
      </c>
      <c r="U426" s="49">
        <f t="shared" si="233"/>
        <v>1.5</v>
      </c>
      <c r="V426" s="49">
        <f t="shared" si="233"/>
        <v>2.5</v>
      </c>
      <c r="W426" s="49">
        <f t="shared" si="233"/>
        <v>3.5</v>
      </c>
      <c r="X426" s="49">
        <f t="shared" si="233"/>
        <v>4.5</v>
      </c>
      <c r="Y426" s="49">
        <f t="shared" si="233"/>
        <v>5.5</v>
      </c>
      <c r="Z426" s="49">
        <f t="shared" si="233"/>
        <v>6.5</v>
      </c>
      <c r="AA426" s="49">
        <f t="shared" si="233"/>
        <v>7.5</v>
      </c>
      <c r="AB426" s="49">
        <f t="shared" si="233"/>
        <v>8.5</v>
      </c>
      <c r="AC426" s="49">
        <f t="shared" si="233"/>
        <v>9.5</v>
      </c>
      <c r="AD426" s="49">
        <f t="shared" si="233"/>
        <v>10.5</v>
      </c>
      <c r="AE426" s="49">
        <f t="shared" si="233"/>
        <v>11.5</v>
      </c>
      <c r="AF426" s="49">
        <f t="shared" si="233"/>
        <v>12.5</v>
      </c>
      <c r="AG426" s="49">
        <f t="shared" si="233"/>
        <v>13.5</v>
      </c>
      <c r="AH426" s="49">
        <f t="shared" si="233"/>
        <v>14.5</v>
      </c>
      <c r="AI426" s="49">
        <f t="shared" si="233"/>
        <v>15.5</v>
      </c>
      <c r="AJ426" s="49">
        <f t="shared" si="233"/>
        <v>16.5</v>
      </c>
      <c r="AK426" s="49">
        <f t="shared" si="233"/>
        <v>17.5</v>
      </c>
      <c r="AL426" s="49">
        <f t="shared" si="233"/>
        <v>18.5</v>
      </c>
      <c r="AM426" s="49">
        <f t="shared" si="233"/>
        <v>19.5</v>
      </c>
      <c r="AN426" s="49">
        <f t="shared" si="233"/>
        <v>20.5</v>
      </c>
      <c r="AO426" s="49">
        <f t="shared" si="233"/>
        <v>21.5</v>
      </c>
      <c r="AP426" s="49">
        <f t="shared" si="233"/>
        <v>22.5</v>
      </c>
      <c r="AQ426" s="49">
        <f t="shared" si="233"/>
        <v>23.5</v>
      </c>
      <c r="AR426" s="49">
        <f t="shared" ref="AR426:BS426" si="234">MAX(AR4-$G426+1-0.5,0)</f>
        <v>24.5</v>
      </c>
      <c r="AS426" s="49">
        <f t="shared" si="234"/>
        <v>25.5</v>
      </c>
      <c r="AT426" s="49">
        <f t="shared" si="234"/>
        <v>26.5</v>
      </c>
      <c r="AU426" s="49">
        <f t="shared" si="234"/>
        <v>27.5</v>
      </c>
      <c r="AV426" s="49">
        <f t="shared" si="234"/>
        <v>28.5</v>
      </c>
      <c r="AW426" s="49">
        <f t="shared" si="234"/>
        <v>29.5</v>
      </c>
      <c r="AX426" s="49">
        <f t="shared" si="234"/>
        <v>30.5</v>
      </c>
      <c r="AY426" s="49">
        <f t="shared" si="234"/>
        <v>31.5</v>
      </c>
      <c r="AZ426" s="49">
        <f t="shared" si="234"/>
        <v>32.5</v>
      </c>
      <c r="BA426" s="49">
        <f t="shared" si="234"/>
        <v>33.5</v>
      </c>
      <c r="BB426" s="49">
        <f t="shared" si="234"/>
        <v>34.5</v>
      </c>
      <c r="BC426" s="49">
        <f t="shared" si="234"/>
        <v>35.5</v>
      </c>
      <c r="BD426" s="49">
        <f t="shared" si="234"/>
        <v>36.5</v>
      </c>
      <c r="BE426" s="49">
        <f t="shared" si="234"/>
        <v>37.5</v>
      </c>
      <c r="BF426" s="49">
        <f t="shared" si="234"/>
        <v>38.5</v>
      </c>
      <c r="BG426" s="49">
        <f t="shared" si="234"/>
        <v>39.5</v>
      </c>
      <c r="BH426" s="49">
        <f t="shared" si="234"/>
        <v>40.5</v>
      </c>
      <c r="BI426" s="49">
        <f t="shared" si="234"/>
        <v>41.5</v>
      </c>
      <c r="BJ426" s="49">
        <f t="shared" si="234"/>
        <v>42.5</v>
      </c>
      <c r="BK426" s="49">
        <f t="shared" si="234"/>
        <v>43.5</v>
      </c>
      <c r="BL426" s="49">
        <f t="shared" si="234"/>
        <v>44.5</v>
      </c>
      <c r="BM426" s="49">
        <f t="shared" si="234"/>
        <v>45.5</v>
      </c>
      <c r="BN426" s="49">
        <f t="shared" si="234"/>
        <v>46.5</v>
      </c>
      <c r="BO426" s="49">
        <f t="shared" si="234"/>
        <v>47.5</v>
      </c>
      <c r="BP426" s="49">
        <f t="shared" si="234"/>
        <v>48.5</v>
      </c>
      <c r="BQ426" s="49">
        <f t="shared" si="234"/>
        <v>49.5</v>
      </c>
      <c r="BR426" s="49">
        <f t="shared" si="234"/>
        <v>50.5</v>
      </c>
      <c r="BS426" s="49">
        <f t="shared" si="234"/>
        <v>51.5</v>
      </c>
    </row>
    <row r="427" spans="1:93" outlineLevel="1" x14ac:dyDescent="0.2">
      <c r="C427" t="str">
        <f>HM_ZB_Nsoko!C413</f>
        <v>Facteur d'actualisation</v>
      </c>
      <c r="E427" s="59">
        <f>input_DiscRate_nom</f>
        <v>0.1</v>
      </c>
      <c r="J427" s="26"/>
      <c r="L427" s="55"/>
      <c r="M427" s="55"/>
      <c r="N427" s="55"/>
      <c r="O427" s="55"/>
      <c r="P427" s="55"/>
      <c r="Q427" s="55"/>
      <c r="R427" s="55"/>
      <c r="S427" s="55"/>
      <c r="T427" s="55"/>
      <c r="U427" s="55"/>
      <c r="V427" s="55"/>
      <c r="W427" s="55"/>
      <c r="X427" s="55"/>
      <c r="Y427" s="55"/>
      <c r="Z427" s="55"/>
      <c r="AA427" s="55"/>
      <c r="AB427" s="55"/>
      <c r="AC427" s="55"/>
      <c r="AD427" s="55"/>
      <c r="AE427" s="55"/>
      <c r="AF427" s="55"/>
      <c r="AG427" s="55"/>
      <c r="AH427" s="55"/>
      <c r="AI427" s="55"/>
      <c r="AJ427" s="55"/>
      <c r="AK427" s="55"/>
      <c r="AL427" s="55"/>
      <c r="AM427" s="55"/>
      <c r="AN427" s="55"/>
      <c r="AO427" s="55"/>
      <c r="AP427" s="55"/>
      <c r="AQ427" s="55"/>
      <c r="AR427" s="55"/>
      <c r="AS427" s="55"/>
      <c r="AT427" s="55"/>
      <c r="AU427" s="55"/>
      <c r="AV427" s="55"/>
      <c r="AW427" s="55"/>
      <c r="AX427" s="55"/>
      <c r="AY427" s="55"/>
      <c r="AZ427" s="55"/>
      <c r="BA427" s="55"/>
      <c r="BB427" s="55"/>
      <c r="BC427" s="55"/>
      <c r="BD427" s="55"/>
      <c r="BE427" s="55"/>
      <c r="BF427" s="55"/>
      <c r="BG427" s="55"/>
      <c r="BH427" s="55"/>
      <c r="BI427" s="55"/>
      <c r="BJ427" s="55"/>
      <c r="BK427" s="55"/>
      <c r="BL427" s="55"/>
      <c r="BM427" s="55"/>
      <c r="BN427" s="55"/>
      <c r="BO427" s="55"/>
      <c r="BP427" s="55"/>
      <c r="BQ427" s="55"/>
      <c r="BR427" s="55"/>
      <c r="BS427" s="55"/>
    </row>
    <row r="428" spans="1:93" outlineLevel="1" x14ac:dyDescent="0.2">
      <c r="D428" t="str">
        <f>HM_ZB_Nsoko!D414</f>
        <v>Cycle complet</v>
      </c>
      <c r="J428" s="26"/>
      <c r="K428" s="7" t="s">
        <v>282</v>
      </c>
      <c r="L428" s="49">
        <f>IF(L425=0,0,(1+input_DiscRate_nom)^-L425)</f>
        <v>0.86678417204144742</v>
      </c>
      <c r="M428" s="49">
        <f t="shared" ref="L428:BS429" si="235">IF(M425=0,0,(1+input_DiscRate_nom)^-M425)</f>
        <v>0.78798561094677033</v>
      </c>
      <c r="N428" s="49">
        <f t="shared" si="235"/>
        <v>0.71635055540615489</v>
      </c>
      <c r="O428" s="49">
        <f t="shared" si="235"/>
        <v>0.65122777764195883</v>
      </c>
      <c r="P428" s="49">
        <f t="shared" si="235"/>
        <v>0.59202525240178083</v>
      </c>
      <c r="Q428" s="49">
        <f t="shared" si="235"/>
        <v>0.53820477491070973</v>
      </c>
      <c r="R428" s="49">
        <f t="shared" si="235"/>
        <v>0.48927706810064514</v>
      </c>
      <c r="S428" s="49">
        <f t="shared" si="235"/>
        <v>0.44479733463695009</v>
      </c>
      <c r="T428" s="49">
        <f t="shared" si="235"/>
        <v>0.4043612133063183</v>
      </c>
      <c r="U428" s="49">
        <f t="shared" si="235"/>
        <v>0.36760110300574383</v>
      </c>
      <c r="V428" s="49">
        <f t="shared" si="235"/>
        <v>0.33418282091431251</v>
      </c>
      <c r="W428" s="49">
        <f t="shared" si="235"/>
        <v>0.30380256446755688</v>
      </c>
      <c r="X428" s="49">
        <f t="shared" si="235"/>
        <v>0.27618414951596076</v>
      </c>
      <c r="Y428" s="49">
        <f t="shared" si="235"/>
        <v>0.25107649955996431</v>
      </c>
      <c r="Z428" s="49">
        <f t="shared" si="235"/>
        <v>0.22825136323633116</v>
      </c>
      <c r="AA428" s="49">
        <f t="shared" si="235"/>
        <v>0.20750123930575562</v>
      </c>
      <c r="AB428" s="49">
        <f t="shared" si="235"/>
        <v>0.18863749027795962</v>
      </c>
      <c r="AC428" s="49">
        <f t="shared" si="235"/>
        <v>0.17148862752541782</v>
      </c>
      <c r="AD428" s="49">
        <f t="shared" si="235"/>
        <v>0.15589875229583436</v>
      </c>
      <c r="AE428" s="49">
        <f t="shared" si="235"/>
        <v>0.14172613845075852</v>
      </c>
      <c r="AF428" s="49">
        <f t="shared" si="235"/>
        <v>0.1288419440461441</v>
      </c>
      <c r="AG428" s="49">
        <f t="shared" si="235"/>
        <v>0.11712904004194918</v>
      </c>
      <c r="AH428" s="49">
        <f t="shared" si="235"/>
        <v>0.10648094549268106</v>
      </c>
      <c r="AI428" s="49">
        <f t="shared" si="235"/>
        <v>9.6800859538800965E-2</v>
      </c>
      <c r="AJ428" s="49">
        <f t="shared" si="235"/>
        <v>8.8000781398909919E-2</v>
      </c>
      <c r="AK428" s="49">
        <f t="shared" si="235"/>
        <v>8.0000710362645402E-2</v>
      </c>
      <c r="AL428" s="49">
        <f t="shared" si="235"/>
        <v>7.272791851149582E-2</v>
      </c>
      <c r="AM428" s="49">
        <f t="shared" si="235"/>
        <v>6.6116289555905275E-2</v>
      </c>
      <c r="AN428" s="49">
        <f t="shared" si="235"/>
        <v>6.0105717778095702E-2</v>
      </c>
      <c r="AO428" s="49">
        <f t="shared" si="235"/>
        <v>5.4641561616450646E-2</v>
      </c>
      <c r="AP428" s="49">
        <f t="shared" si="235"/>
        <v>4.967414692404603E-2</v>
      </c>
      <c r="AQ428" s="49">
        <f t="shared" si="235"/>
        <v>4.5158315385496389E-2</v>
      </c>
      <c r="AR428" s="49">
        <f t="shared" si="235"/>
        <v>4.1053013986814886E-2</v>
      </c>
      <c r="AS428" s="49">
        <f t="shared" si="235"/>
        <v>3.7320921806195353E-2</v>
      </c>
      <c r="AT428" s="49">
        <f t="shared" si="235"/>
        <v>3.3928110732904866E-2</v>
      </c>
      <c r="AU428" s="49">
        <f t="shared" si="235"/>
        <v>3.0843737029913505E-2</v>
      </c>
      <c r="AV428" s="49">
        <f t="shared" si="235"/>
        <v>2.8039760936285012E-2</v>
      </c>
      <c r="AW428" s="49">
        <f t="shared" si="235"/>
        <v>2.5490691760259102E-2</v>
      </c>
      <c r="AX428" s="49">
        <f t="shared" si="235"/>
        <v>2.3173356145690084E-2</v>
      </c>
      <c r="AY428" s="49">
        <f t="shared" si="235"/>
        <v>2.1066687405172806E-2</v>
      </c>
      <c r="AZ428" s="49">
        <f t="shared" si="235"/>
        <v>1.9151534004702545E-2</v>
      </c>
      <c r="BA428" s="49">
        <f t="shared" si="235"/>
        <v>1.7410485458820502E-2</v>
      </c>
      <c r="BB428" s="49">
        <f t="shared" si="235"/>
        <v>1.5827714053473173E-2</v>
      </c>
      <c r="BC428" s="49">
        <f t="shared" si="235"/>
        <v>1.4388830957702884E-2</v>
      </c>
      <c r="BD428" s="49">
        <f t="shared" si="235"/>
        <v>1.3080755416093532E-2</v>
      </c>
      <c r="BE428" s="49">
        <f t="shared" si="235"/>
        <v>1.1891595832812305E-2</v>
      </c>
      <c r="BF428" s="49">
        <f t="shared" si="235"/>
        <v>1.0810541666193005E-2</v>
      </c>
      <c r="BG428" s="49">
        <f t="shared" si="235"/>
        <v>9.8277651510845412E-3</v>
      </c>
      <c r="BH428" s="49">
        <f t="shared" si="235"/>
        <v>8.9343319555314025E-3</v>
      </c>
      <c r="BI428" s="49">
        <f t="shared" si="235"/>
        <v>8.1221199595740041E-3</v>
      </c>
      <c r="BJ428" s="49">
        <f t="shared" si="235"/>
        <v>7.3837454177945487E-3</v>
      </c>
      <c r="BK428" s="49">
        <f t="shared" si="235"/>
        <v>6.7124958343586817E-3</v>
      </c>
      <c r="BL428" s="49">
        <f t="shared" si="235"/>
        <v>6.1022689403260697E-3</v>
      </c>
      <c r="BM428" s="49">
        <f t="shared" si="235"/>
        <v>5.5475172184782451E-3</v>
      </c>
      <c r="BN428" s="49">
        <f t="shared" si="235"/>
        <v>5.0431974713438599E-3</v>
      </c>
      <c r="BO428" s="49">
        <f t="shared" si="235"/>
        <v>4.5847249739489641E-3</v>
      </c>
      <c r="BP428" s="49">
        <f t="shared" si="235"/>
        <v>4.1679317944990591E-3</v>
      </c>
      <c r="BQ428" s="49">
        <f t="shared" si="235"/>
        <v>3.7890289040900535E-3</v>
      </c>
      <c r="BR428" s="49">
        <f t="shared" si="235"/>
        <v>3.4445717309909553E-3</v>
      </c>
      <c r="BS428" s="49">
        <f t="shared" si="235"/>
        <v>3.1314288463554136E-3</v>
      </c>
    </row>
    <row r="429" spans="1:93" outlineLevel="1" x14ac:dyDescent="0.2">
      <c r="D429" t="str">
        <f>HM_ZB_Nsoko!D415</f>
        <v>Terme</v>
      </c>
      <c r="J429" s="26"/>
      <c r="K429" s="7" t="s">
        <v>281</v>
      </c>
      <c r="L429" s="49">
        <f t="shared" si="235"/>
        <v>0</v>
      </c>
      <c r="M429" s="49">
        <f t="shared" si="235"/>
        <v>0</v>
      </c>
      <c r="N429" s="49">
        <f t="shared" si="235"/>
        <v>0</v>
      </c>
      <c r="O429" s="49">
        <f t="shared" si="235"/>
        <v>0</v>
      </c>
      <c r="P429" s="49">
        <f t="shared" si="235"/>
        <v>0</v>
      </c>
      <c r="Q429" s="49">
        <f t="shared" si="235"/>
        <v>0</v>
      </c>
      <c r="R429" s="49">
        <f t="shared" si="235"/>
        <v>0</v>
      </c>
      <c r="S429" s="49">
        <f t="shared" si="235"/>
        <v>0</v>
      </c>
      <c r="T429" s="49">
        <f t="shared" si="235"/>
        <v>0.95346258924559224</v>
      </c>
      <c r="U429" s="49">
        <f t="shared" si="235"/>
        <v>0.86678417204144742</v>
      </c>
      <c r="V429" s="49">
        <f t="shared" si="235"/>
        <v>0.78798561094677033</v>
      </c>
      <c r="W429" s="49">
        <f t="shared" si="235"/>
        <v>0.71635055540615489</v>
      </c>
      <c r="X429" s="49">
        <f t="shared" si="235"/>
        <v>0.65122777764195883</v>
      </c>
      <c r="Y429" s="49">
        <f t="shared" si="235"/>
        <v>0.59202525240178083</v>
      </c>
      <c r="Z429" s="49">
        <f t="shared" si="235"/>
        <v>0.53820477491070973</v>
      </c>
      <c r="AA429" s="49">
        <f t="shared" si="235"/>
        <v>0.48927706810064514</v>
      </c>
      <c r="AB429" s="49">
        <f t="shared" si="235"/>
        <v>0.44479733463695009</v>
      </c>
      <c r="AC429" s="49">
        <f t="shared" si="235"/>
        <v>0.4043612133063183</v>
      </c>
      <c r="AD429" s="49">
        <f t="shared" si="235"/>
        <v>0.36760110300574383</v>
      </c>
      <c r="AE429" s="49">
        <f t="shared" si="235"/>
        <v>0.33418282091431251</v>
      </c>
      <c r="AF429" s="49">
        <f t="shared" si="235"/>
        <v>0.30380256446755688</v>
      </c>
      <c r="AG429" s="49">
        <f t="shared" si="235"/>
        <v>0.27618414951596076</v>
      </c>
      <c r="AH429" s="49">
        <f t="shared" si="235"/>
        <v>0.25107649955996431</v>
      </c>
      <c r="AI429" s="49">
        <f t="shared" si="235"/>
        <v>0.22825136323633116</v>
      </c>
      <c r="AJ429" s="49">
        <f t="shared" si="235"/>
        <v>0.20750123930575562</v>
      </c>
      <c r="AK429" s="49">
        <f t="shared" si="235"/>
        <v>0.18863749027795962</v>
      </c>
      <c r="AL429" s="49">
        <f t="shared" si="235"/>
        <v>0.17148862752541782</v>
      </c>
      <c r="AM429" s="49">
        <f t="shared" si="235"/>
        <v>0.15589875229583436</v>
      </c>
      <c r="AN429" s="49">
        <f t="shared" si="235"/>
        <v>0.14172613845075852</v>
      </c>
      <c r="AO429" s="49">
        <f t="shared" si="235"/>
        <v>0.1288419440461441</v>
      </c>
      <c r="AP429" s="49">
        <f t="shared" si="235"/>
        <v>0.11712904004194918</v>
      </c>
      <c r="AQ429" s="49">
        <f t="shared" si="235"/>
        <v>0.10648094549268106</v>
      </c>
      <c r="AR429" s="49">
        <f t="shared" si="235"/>
        <v>9.6800859538800965E-2</v>
      </c>
      <c r="AS429" s="49">
        <f t="shared" si="235"/>
        <v>8.8000781398909919E-2</v>
      </c>
      <c r="AT429" s="49">
        <f t="shared" si="235"/>
        <v>8.0000710362645402E-2</v>
      </c>
      <c r="AU429" s="49">
        <f t="shared" si="235"/>
        <v>7.272791851149582E-2</v>
      </c>
      <c r="AV429" s="49">
        <f t="shared" si="235"/>
        <v>6.6116289555905275E-2</v>
      </c>
      <c r="AW429" s="49">
        <f t="shared" si="235"/>
        <v>6.0105717778095702E-2</v>
      </c>
      <c r="AX429" s="49">
        <f t="shared" si="235"/>
        <v>5.4641561616450646E-2</v>
      </c>
      <c r="AY429" s="49">
        <f t="shared" si="235"/>
        <v>4.967414692404603E-2</v>
      </c>
      <c r="AZ429" s="49">
        <f t="shared" si="235"/>
        <v>4.5158315385496389E-2</v>
      </c>
      <c r="BA429" s="49">
        <f t="shared" si="235"/>
        <v>4.1053013986814886E-2</v>
      </c>
      <c r="BB429" s="49">
        <f t="shared" si="235"/>
        <v>3.7320921806195353E-2</v>
      </c>
      <c r="BC429" s="49">
        <f t="shared" si="235"/>
        <v>3.3928110732904866E-2</v>
      </c>
      <c r="BD429" s="49">
        <f t="shared" si="235"/>
        <v>3.0843737029913505E-2</v>
      </c>
      <c r="BE429" s="49">
        <f t="shared" si="235"/>
        <v>2.8039760936285012E-2</v>
      </c>
      <c r="BF429" s="49">
        <f t="shared" si="235"/>
        <v>2.5490691760259102E-2</v>
      </c>
      <c r="BG429" s="49">
        <f t="shared" si="235"/>
        <v>2.3173356145690084E-2</v>
      </c>
      <c r="BH429" s="49">
        <f t="shared" si="235"/>
        <v>2.1066687405172806E-2</v>
      </c>
      <c r="BI429" s="49">
        <f t="shared" si="235"/>
        <v>1.9151534004702545E-2</v>
      </c>
      <c r="BJ429" s="49">
        <f t="shared" si="235"/>
        <v>1.7410485458820502E-2</v>
      </c>
      <c r="BK429" s="49">
        <f t="shared" si="235"/>
        <v>1.5827714053473173E-2</v>
      </c>
      <c r="BL429" s="49">
        <f t="shared" si="235"/>
        <v>1.4388830957702884E-2</v>
      </c>
      <c r="BM429" s="49">
        <f t="shared" si="235"/>
        <v>1.3080755416093532E-2</v>
      </c>
      <c r="BN429" s="49">
        <f t="shared" si="235"/>
        <v>1.1891595832812305E-2</v>
      </c>
      <c r="BO429" s="49">
        <f t="shared" si="235"/>
        <v>1.0810541666193005E-2</v>
      </c>
      <c r="BP429" s="49">
        <f t="shared" si="235"/>
        <v>9.8277651510845412E-3</v>
      </c>
      <c r="BQ429" s="49">
        <f t="shared" si="235"/>
        <v>8.9343319555314025E-3</v>
      </c>
      <c r="BR429" s="49">
        <f t="shared" si="235"/>
        <v>8.1221199595740041E-3</v>
      </c>
      <c r="BS429" s="49">
        <f t="shared" si="235"/>
        <v>7.3837454177945487E-3</v>
      </c>
    </row>
    <row r="430" spans="1:93" outlineLevel="1" x14ac:dyDescent="0.2">
      <c r="J430" s="26"/>
      <c r="L430" s="55"/>
      <c r="M430" s="55"/>
      <c r="N430" s="55"/>
      <c r="O430" s="55"/>
      <c r="P430" s="55"/>
      <c r="Q430" s="55"/>
      <c r="R430" s="55"/>
      <c r="S430" s="55"/>
      <c r="T430" s="55"/>
      <c r="U430" s="55"/>
      <c r="V430" s="55"/>
      <c r="W430" s="55"/>
      <c r="X430" s="55"/>
      <c r="Y430" s="55"/>
      <c r="Z430" s="55"/>
      <c r="AA430" s="55"/>
      <c r="AB430" s="55"/>
      <c r="AC430" s="55"/>
      <c r="AD430" s="55"/>
      <c r="AE430" s="55"/>
      <c r="AF430" s="55"/>
      <c r="AG430" s="55"/>
      <c r="AH430" s="55"/>
      <c r="AI430" s="55"/>
      <c r="AJ430" s="55"/>
      <c r="AK430" s="55"/>
      <c r="AL430" s="55"/>
      <c r="AM430" s="55"/>
      <c r="AN430" s="55"/>
      <c r="AO430" s="55"/>
      <c r="AP430" s="55"/>
      <c r="AQ430" s="55"/>
      <c r="AR430" s="55"/>
      <c r="AS430" s="55"/>
      <c r="AT430" s="55"/>
      <c r="AU430" s="55"/>
      <c r="AV430" s="55"/>
      <c r="AW430" s="55"/>
      <c r="AX430" s="55"/>
      <c r="AY430" s="55"/>
      <c r="AZ430" s="55"/>
      <c r="BA430" s="55"/>
      <c r="BB430" s="55"/>
      <c r="BC430" s="55"/>
      <c r="BD430" s="55"/>
      <c r="BE430" s="55"/>
      <c r="BF430" s="55"/>
      <c r="BG430" s="55"/>
      <c r="BH430" s="55"/>
      <c r="BI430" s="55"/>
      <c r="BJ430" s="55"/>
      <c r="BK430" s="55"/>
      <c r="BL430" s="55"/>
      <c r="BM430" s="55"/>
      <c r="BN430" s="55"/>
      <c r="BO430" s="55"/>
      <c r="BP430" s="55"/>
      <c r="BQ430" s="55"/>
      <c r="BR430" s="55"/>
      <c r="BS430" s="55"/>
    </row>
    <row r="431" spans="1:93" outlineLevel="1" x14ac:dyDescent="0.2">
      <c r="J431" s="26"/>
      <c r="L431" s="55"/>
      <c r="M431" s="55"/>
      <c r="N431" s="55"/>
      <c r="O431" s="55"/>
      <c r="P431" s="55"/>
      <c r="Q431" s="55"/>
      <c r="R431" s="55"/>
      <c r="S431" s="55"/>
      <c r="T431" s="55"/>
      <c r="U431" s="55"/>
      <c r="V431" s="55"/>
      <c r="W431" s="55"/>
      <c r="X431" s="55"/>
      <c r="Y431" s="55"/>
      <c r="Z431" s="55"/>
      <c r="AA431" s="55"/>
      <c r="AB431" s="55"/>
      <c r="AC431" s="55"/>
      <c r="AD431" s="55"/>
      <c r="AE431" s="55"/>
      <c r="AF431" s="55"/>
      <c r="AG431" s="55"/>
      <c r="AH431" s="55"/>
      <c r="AI431" s="55"/>
      <c r="AJ431" s="55"/>
      <c r="AK431" s="55"/>
      <c r="AL431" s="55"/>
      <c r="AM431" s="55"/>
      <c r="AN431" s="55"/>
      <c r="AO431" s="55"/>
      <c r="AP431" s="55"/>
      <c r="AQ431" s="55"/>
      <c r="AR431" s="55"/>
      <c r="AS431" s="55"/>
      <c r="AT431" s="55"/>
      <c r="AU431" s="55"/>
      <c r="AV431" s="55"/>
      <c r="AW431" s="55"/>
      <c r="AX431" s="55"/>
      <c r="AY431" s="55"/>
      <c r="AZ431" s="55"/>
      <c r="BA431" s="55"/>
      <c r="BB431" s="55"/>
      <c r="BC431" s="55"/>
      <c r="BD431" s="55"/>
      <c r="BE431" s="55"/>
      <c r="BF431" s="55"/>
      <c r="BG431" s="55"/>
      <c r="BH431" s="55"/>
      <c r="BI431" s="55"/>
      <c r="BJ431" s="55"/>
      <c r="BK431" s="55"/>
      <c r="BL431" s="55"/>
      <c r="BM431" s="55"/>
      <c r="BN431" s="55"/>
      <c r="BO431" s="55"/>
      <c r="BP431" s="55"/>
      <c r="BQ431" s="55"/>
      <c r="BR431" s="55"/>
      <c r="BS431" s="55"/>
    </row>
    <row r="432" spans="1:93" outlineLevel="1" x14ac:dyDescent="0.2">
      <c r="A432" s="45"/>
      <c r="B432" s="38" t="str">
        <f>HM_ZB_Nsoko!B418</f>
        <v>Revenu divisible</v>
      </c>
      <c r="C432" s="45"/>
      <c r="D432" s="45"/>
      <c r="E432" s="45"/>
      <c r="J432" s="26"/>
      <c r="L432" s="55"/>
      <c r="M432" s="55"/>
      <c r="N432" s="55"/>
      <c r="O432" s="55"/>
      <c r="P432" s="55"/>
      <c r="Q432" s="55"/>
      <c r="R432" s="55"/>
      <c r="S432" s="55"/>
      <c r="T432" s="55"/>
      <c r="U432" s="55"/>
      <c r="V432" s="55"/>
      <c r="W432" s="55"/>
      <c r="X432" s="55"/>
      <c r="Y432" s="55"/>
      <c r="Z432" s="55"/>
      <c r="AA432" s="55"/>
      <c r="AB432" s="55"/>
      <c r="AC432" s="55"/>
      <c r="AD432" s="55"/>
      <c r="AE432" s="55"/>
      <c r="AF432" s="55"/>
      <c r="AG432" s="55"/>
      <c r="AH432" s="55"/>
      <c r="AI432" s="55"/>
      <c r="AJ432" s="55"/>
      <c r="AK432" s="55"/>
      <c r="AL432" s="55"/>
      <c r="AM432" s="55"/>
      <c r="AN432" s="55"/>
      <c r="AO432" s="55"/>
      <c r="AP432" s="55"/>
      <c r="AQ432" s="55"/>
      <c r="AR432" s="55"/>
      <c r="AS432" s="55"/>
      <c r="AT432" s="55"/>
      <c r="AU432" s="55"/>
      <c r="AV432" s="55"/>
      <c r="AW432" s="55"/>
      <c r="AX432" s="55"/>
      <c r="AY432" s="55"/>
      <c r="AZ432" s="55"/>
      <c r="BA432" s="55"/>
      <c r="BB432" s="55"/>
      <c r="BC432" s="55"/>
      <c r="BD432" s="55"/>
      <c r="BE432" s="55"/>
      <c r="BF432" s="55"/>
      <c r="BG432" s="55"/>
      <c r="BH432" s="55"/>
      <c r="BI432" s="55"/>
      <c r="BJ432" s="55"/>
      <c r="BK432" s="55"/>
      <c r="BL432" s="55"/>
      <c r="BM432" s="55"/>
      <c r="BN432" s="55"/>
      <c r="BO432" s="55"/>
      <c r="BP432" s="55"/>
      <c r="BQ432" s="55"/>
      <c r="BR432" s="55"/>
      <c r="BS432" s="55"/>
    </row>
    <row r="433" spans="3:71" outlineLevel="1" x14ac:dyDescent="0.2">
      <c r="J433" s="26"/>
      <c r="L433" s="55"/>
      <c r="M433" s="55"/>
      <c r="N433" s="55"/>
      <c r="O433" s="55"/>
      <c r="P433" s="55"/>
      <c r="Q433" s="55"/>
      <c r="R433" s="55"/>
      <c r="S433" s="55"/>
      <c r="T433" s="55"/>
      <c r="U433" s="55"/>
      <c r="V433" s="55"/>
      <c r="W433" s="55"/>
      <c r="X433" s="55"/>
      <c r="Y433" s="55"/>
      <c r="Z433" s="55"/>
      <c r="AA433" s="55"/>
      <c r="AB433" s="55"/>
      <c r="AC433" s="55"/>
      <c r="AD433" s="55"/>
      <c r="AE433" s="55"/>
      <c r="AF433" s="55"/>
      <c r="AG433" s="55"/>
      <c r="AH433" s="55"/>
      <c r="AI433" s="55"/>
      <c r="AJ433" s="55"/>
      <c r="AK433" s="55"/>
      <c r="AL433" s="55"/>
      <c r="AM433" s="55"/>
      <c r="AN433" s="55"/>
      <c r="AO433" s="55"/>
      <c r="AP433" s="55"/>
      <c r="AQ433" s="55"/>
      <c r="AR433" s="55"/>
      <c r="AS433" s="55"/>
      <c r="AT433" s="55"/>
      <c r="AU433" s="55"/>
      <c r="AV433" s="55"/>
      <c r="AW433" s="55"/>
      <c r="AX433" s="55"/>
      <c r="AY433" s="55"/>
      <c r="AZ433" s="55"/>
      <c r="BA433" s="55"/>
      <c r="BB433" s="55"/>
      <c r="BC433" s="55"/>
      <c r="BD433" s="55"/>
      <c r="BE433" s="55"/>
      <c r="BF433" s="55"/>
      <c r="BG433" s="55"/>
      <c r="BH433" s="55"/>
      <c r="BI433" s="55"/>
      <c r="BJ433" s="55"/>
      <c r="BK433" s="55"/>
      <c r="BL433" s="55"/>
      <c r="BM433" s="55"/>
      <c r="BN433" s="55"/>
      <c r="BO433" s="55"/>
      <c r="BP433" s="55"/>
      <c r="BQ433" s="55"/>
      <c r="BR433" s="55"/>
      <c r="BS433" s="55"/>
    </row>
    <row r="434" spans="3:71" outlineLevel="1" x14ac:dyDescent="0.2">
      <c r="C434" t="str">
        <f>HM_ZB_Nsoko!C420</f>
        <v>Revenus</v>
      </c>
      <c r="J434" s="26"/>
      <c r="L434" s="55"/>
      <c r="M434" s="55"/>
      <c r="N434" s="55"/>
      <c r="O434" s="55"/>
      <c r="P434" s="55"/>
      <c r="Q434" s="55"/>
      <c r="R434" s="55"/>
      <c r="S434" s="55"/>
      <c r="T434" s="55"/>
      <c r="U434" s="55"/>
      <c r="V434" s="55"/>
      <c r="W434" s="55"/>
      <c r="X434" s="55"/>
      <c r="Y434" s="55"/>
      <c r="Z434" s="55"/>
      <c r="AA434" s="55"/>
      <c r="AB434" s="55"/>
      <c r="AC434" s="55"/>
      <c r="AD434" s="55"/>
      <c r="AE434" s="55"/>
      <c r="AF434" s="55"/>
      <c r="AG434" s="55"/>
      <c r="AH434" s="55"/>
      <c r="AI434" s="55"/>
      <c r="AJ434" s="55"/>
      <c r="AK434" s="55"/>
      <c r="AL434" s="55"/>
      <c r="AM434" s="55"/>
      <c r="AN434" s="55"/>
      <c r="AO434" s="55"/>
      <c r="AP434" s="55"/>
      <c r="AQ434" s="55"/>
      <c r="AR434" s="55"/>
      <c r="AS434" s="55"/>
      <c r="AT434" s="55"/>
      <c r="AU434" s="55"/>
      <c r="AV434" s="55"/>
      <c r="AW434" s="55"/>
      <c r="AX434" s="55"/>
      <c r="AY434" s="55"/>
      <c r="AZ434" s="55"/>
      <c r="BA434" s="55"/>
      <c r="BB434" s="55"/>
      <c r="BC434" s="55"/>
      <c r="BD434" s="55"/>
      <c r="BE434" s="55"/>
      <c r="BF434" s="55"/>
      <c r="BG434" s="55"/>
      <c r="BH434" s="55"/>
      <c r="BI434" s="55"/>
      <c r="BJ434" s="55"/>
      <c r="BK434" s="55"/>
      <c r="BL434" s="55"/>
      <c r="BM434" s="55"/>
      <c r="BN434" s="55"/>
      <c r="BO434" s="55"/>
      <c r="BP434" s="55"/>
      <c r="BQ434" s="55"/>
      <c r="BR434" s="55"/>
      <c r="BS434" s="55"/>
    </row>
    <row r="435" spans="3:71" outlineLevel="1" x14ac:dyDescent="0.2">
      <c r="D435" t="str">
        <f>HM_ZB_Nsoko!D421</f>
        <v>Revenus pétroliers</v>
      </c>
      <c r="I435" s="30">
        <f t="shared" ref="I435:I437" ca="1" si="236">SUM($L435:$BS435)</f>
        <v>31202.375942204548</v>
      </c>
      <c r="J435" s="26" t="s">
        <v>148</v>
      </c>
      <c r="L435" s="49" cm="1">
        <f t="array" aca="1" ref="L435:BS435" ca="1">HM_ZD_Moho!CA_gross_rev_oil_fp</f>
        <v>1912.1835466870002</v>
      </c>
      <c r="M435" s="49">
        <f ca="1"/>
        <v>1817.7761666039996</v>
      </c>
      <c r="N435" s="49">
        <f ca="1"/>
        <v>735.04705144999991</v>
      </c>
      <c r="O435" s="49">
        <f ca="1"/>
        <v>631.67255446199999</v>
      </c>
      <c r="P435" s="49">
        <f ca="1"/>
        <v>1772.3638558490004</v>
      </c>
      <c r="Q435" s="49">
        <f ca="1"/>
        <v>3585.8944981400005</v>
      </c>
      <c r="R435" s="49">
        <f ca="1"/>
        <v>3524.3307706050005</v>
      </c>
      <c r="S435" s="49">
        <f ca="1"/>
        <v>2104.3087260000002</v>
      </c>
      <c r="T435" s="49">
        <f ca="1"/>
        <v>3219.8115777983999</v>
      </c>
      <c r="U435" s="49">
        <f ca="1"/>
        <v>3214.1772560519998</v>
      </c>
      <c r="V435" s="49">
        <f ca="1"/>
        <v>3048.9685450909269</v>
      </c>
      <c r="W435" s="49">
        <f ca="1"/>
        <v>2892.2515618732527</v>
      </c>
      <c r="X435" s="49">
        <f ca="1"/>
        <v>2743.5898315929676</v>
      </c>
      <c r="Y435" s="49">
        <f ca="1"/>
        <v>0</v>
      </c>
      <c r="Z435" s="49">
        <f ca="1"/>
        <v>0</v>
      </c>
      <c r="AA435" s="49">
        <f ca="1"/>
        <v>0</v>
      </c>
      <c r="AB435" s="49">
        <f ca="1"/>
        <v>0</v>
      </c>
      <c r="AC435" s="49">
        <f ca="1"/>
        <v>0</v>
      </c>
      <c r="AD435" s="49">
        <f ca="1"/>
        <v>0</v>
      </c>
      <c r="AE435" s="49">
        <f ca="1"/>
        <v>0</v>
      </c>
      <c r="AF435" s="49">
        <f ca="1"/>
        <v>0</v>
      </c>
      <c r="AG435" s="49">
        <f ca="1"/>
        <v>0</v>
      </c>
      <c r="AH435" s="49">
        <f ca="1"/>
        <v>0</v>
      </c>
      <c r="AI435" s="49">
        <f ca="1"/>
        <v>0</v>
      </c>
      <c r="AJ435" s="49">
        <f ca="1"/>
        <v>0</v>
      </c>
      <c r="AK435" s="49">
        <f ca="1"/>
        <v>0</v>
      </c>
      <c r="AL435" s="49">
        <f ca="1"/>
        <v>0</v>
      </c>
      <c r="AM435" s="49">
        <f ca="1"/>
        <v>0</v>
      </c>
      <c r="AN435" s="49">
        <f ca="1"/>
        <v>0</v>
      </c>
      <c r="AO435" s="49">
        <f ca="1"/>
        <v>0</v>
      </c>
      <c r="AP435" s="49">
        <f ca="1"/>
        <v>0</v>
      </c>
      <c r="AQ435" s="49">
        <f ca="1"/>
        <v>0</v>
      </c>
      <c r="AR435" s="49">
        <f ca="1"/>
        <v>0</v>
      </c>
      <c r="AS435" s="49">
        <f ca="1"/>
        <v>0</v>
      </c>
      <c r="AT435" s="49">
        <f ca="1"/>
        <v>0</v>
      </c>
      <c r="AU435" s="49">
        <f ca="1"/>
        <v>0</v>
      </c>
      <c r="AV435" s="49">
        <f ca="1"/>
        <v>0</v>
      </c>
      <c r="AW435" s="49">
        <f ca="1"/>
        <v>0</v>
      </c>
      <c r="AX435" s="49">
        <f ca="1"/>
        <v>0</v>
      </c>
      <c r="AY435" s="49">
        <f ca="1"/>
        <v>0</v>
      </c>
      <c r="AZ435" s="49">
        <f ca="1"/>
        <v>0</v>
      </c>
      <c r="BA435" s="49">
        <f ca="1"/>
        <v>0</v>
      </c>
      <c r="BB435" s="49">
        <f ca="1"/>
        <v>0</v>
      </c>
      <c r="BC435" s="49">
        <f ca="1"/>
        <v>0</v>
      </c>
      <c r="BD435" s="49">
        <f ca="1"/>
        <v>0</v>
      </c>
      <c r="BE435" s="49">
        <f ca="1"/>
        <v>0</v>
      </c>
      <c r="BF435" s="49">
        <f ca="1"/>
        <v>0</v>
      </c>
      <c r="BG435" s="49">
        <f ca="1"/>
        <v>0</v>
      </c>
      <c r="BH435" s="49">
        <f ca="1"/>
        <v>0</v>
      </c>
      <c r="BI435" s="49">
        <f ca="1"/>
        <v>0</v>
      </c>
      <c r="BJ435" s="49">
        <f ca="1"/>
        <v>0</v>
      </c>
      <c r="BK435" s="49">
        <f ca="1"/>
        <v>0</v>
      </c>
      <c r="BL435" s="49">
        <f ca="1"/>
        <v>0</v>
      </c>
      <c r="BM435" s="49">
        <f ca="1"/>
        <v>0</v>
      </c>
      <c r="BN435" s="49">
        <f ca="1"/>
        <v>0</v>
      </c>
      <c r="BO435" s="49">
        <f ca="1"/>
        <v>0</v>
      </c>
      <c r="BP435" s="49">
        <f ca="1"/>
        <v>0</v>
      </c>
      <c r="BQ435" s="49">
        <f ca="1"/>
        <v>0</v>
      </c>
      <c r="BR435" s="49">
        <f ca="1"/>
        <v>0</v>
      </c>
      <c r="BS435" s="49">
        <f ca="1"/>
        <v>0</v>
      </c>
    </row>
    <row r="436" spans="3:71" outlineLevel="1" x14ac:dyDescent="0.2">
      <c r="D436" t="str">
        <f>HM_ZB_Nsoko!D422</f>
        <v>Revenus gaziers</v>
      </c>
      <c r="I436" s="30">
        <f t="shared" ca="1" si="236"/>
        <v>0</v>
      </c>
      <c r="J436" s="26" t="s">
        <v>148</v>
      </c>
      <c r="L436" s="49" cm="1">
        <f t="array" aca="1" ref="L436:BS436" ca="1">HM_ZD_Moho!CA_gross_rev_gas_fp</f>
        <v>0</v>
      </c>
      <c r="M436" s="49">
        <f ca="1"/>
        <v>0</v>
      </c>
      <c r="N436" s="49">
        <f ca="1"/>
        <v>0</v>
      </c>
      <c r="O436" s="49">
        <f ca="1"/>
        <v>0</v>
      </c>
      <c r="P436" s="49">
        <f ca="1"/>
        <v>0</v>
      </c>
      <c r="Q436" s="49">
        <f ca="1"/>
        <v>0</v>
      </c>
      <c r="R436" s="49">
        <f ca="1"/>
        <v>0</v>
      </c>
      <c r="S436" s="49">
        <f ca="1"/>
        <v>0</v>
      </c>
      <c r="T436" s="49">
        <f ca="1"/>
        <v>0</v>
      </c>
      <c r="U436" s="49">
        <f ca="1"/>
        <v>0</v>
      </c>
      <c r="V436" s="49">
        <f ca="1"/>
        <v>0</v>
      </c>
      <c r="W436" s="49">
        <f ca="1"/>
        <v>0</v>
      </c>
      <c r="X436" s="49">
        <f ca="1"/>
        <v>0</v>
      </c>
      <c r="Y436" s="49">
        <f ca="1"/>
        <v>0</v>
      </c>
      <c r="Z436" s="49">
        <f ca="1"/>
        <v>0</v>
      </c>
      <c r="AA436" s="49">
        <f ca="1"/>
        <v>0</v>
      </c>
      <c r="AB436" s="49">
        <f ca="1"/>
        <v>0</v>
      </c>
      <c r="AC436" s="49">
        <f ca="1"/>
        <v>0</v>
      </c>
      <c r="AD436" s="49">
        <f ca="1"/>
        <v>0</v>
      </c>
      <c r="AE436" s="49">
        <f ca="1"/>
        <v>0</v>
      </c>
      <c r="AF436" s="49">
        <f ca="1"/>
        <v>0</v>
      </c>
      <c r="AG436" s="49">
        <f ca="1"/>
        <v>0</v>
      </c>
      <c r="AH436" s="49">
        <f ca="1"/>
        <v>0</v>
      </c>
      <c r="AI436" s="49">
        <f ca="1"/>
        <v>0</v>
      </c>
      <c r="AJ436" s="49">
        <f ca="1"/>
        <v>0</v>
      </c>
      <c r="AK436" s="49">
        <f ca="1"/>
        <v>0</v>
      </c>
      <c r="AL436" s="49">
        <f ca="1"/>
        <v>0</v>
      </c>
      <c r="AM436" s="49">
        <f ca="1"/>
        <v>0</v>
      </c>
      <c r="AN436" s="49">
        <f ca="1"/>
        <v>0</v>
      </c>
      <c r="AO436" s="49">
        <f ca="1"/>
        <v>0</v>
      </c>
      <c r="AP436" s="49">
        <f ca="1"/>
        <v>0</v>
      </c>
      <c r="AQ436" s="49">
        <f ca="1"/>
        <v>0</v>
      </c>
      <c r="AR436" s="49">
        <f ca="1"/>
        <v>0</v>
      </c>
      <c r="AS436" s="49">
        <f ca="1"/>
        <v>0</v>
      </c>
      <c r="AT436" s="49">
        <f ca="1"/>
        <v>0</v>
      </c>
      <c r="AU436" s="49">
        <f ca="1"/>
        <v>0</v>
      </c>
      <c r="AV436" s="49">
        <f ca="1"/>
        <v>0</v>
      </c>
      <c r="AW436" s="49">
        <f ca="1"/>
        <v>0</v>
      </c>
      <c r="AX436" s="49">
        <f ca="1"/>
        <v>0</v>
      </c>
      <c r="AY436" s="49">
        <f ca="1"/>
        <v>0</v>
      </c>
      <c r="AZ436" s="49">
        <f ca="1"/>
        <v>0</v>
      </c>
      <c r="BA436" s="49">
        <f ca="1"/>
        <v>0</v>
      </c>
      <c r="BB436" s="49">
        <f ca="1"/>
        <v>0</v>
      </c>
      <c r="BC436" s="49">
        <f ca="1"/>
        <v>0</v>
      </c>
      <c r="BD436" s="49">
        <f ca="1"/>
        <v>0</v>
      </c>
      <c r="BE436" s="49">
        <f ca="1"/>
        <v>0</v>
      </c>
      <c r="BF436" s="49">
        <f ca="1"/>
        <v>0</v>
      </c>
      <c r="BG436" s="49">
        <f ca="1"/>
        <v>0</v>
      </c>
      <c r="BH436" s="49">
        <f ca="1"/>
        <v>0</v>
      </c>
      <c r="BI436" s="49">
        <f ca="1"/>
        <v>0</v>
      </c>
      <c r="BJ436" s="49">
        <f ca="1"/>
        <v>0</v>
      </c>
      <c r="BK436" s="49">
        <f ca="1"/>
        <v>0</v>
      </c>
      <c r="BL436" s="49">
        <f ca="1"/>
        <v>0</v>
      </c>
      <c r="BM436" s="49">
        <f ca="1"/>
        <v>0</v>
      </c>
      <c r="BN436" s="49">
        <f ca="1"/>
        <v>0</v>
      </c>
      <c r="BO436" s="49">
        <f ca="1"/>
        <v>0</v>
      </c>
      <c r="BP436" s="49">
        <f ca="1"/>
        <v>0</v>
      </c>
      <c r="BQ436" s="49">
        <f ca="1"/>
        <v>0</v>
      </c>
      <c r="BR436" s="49">
        <f ca="1"/>
        <v>0</v>
      </c>
      <c r="BS436" s="49">
        <f ca="1"/>
        <v>0</v>
      </c>
    </row>
    <row r="437" spans="3:71" outlineLevel="1" x14ac:dyDescent="0.2">
      <c r="D437" s="11" t="str">
        <f>HM_ZB_Nsoko!D423</f>
        <v>Total revenus bruts</v>
      </c>
      <c r="I437" s="30">
        <f t="shared" ca="1" si="236"/>
        <v>31202.375942204548</v>
      </c>
      <c r="J437" s="26" t="s">
        <v>148</v>
      </c>
      <c r="L437" s="49">
        <f ca="1">SUM(L435:L436)</f>
        <v>1912.1835466870002</v>
      </c>
      <c r="M437" s="49">
        <f t="shared" ref="M437:BS437" ca="1" si="237">SUM(M435:M436)</f>
        <v>1817.7761666039996</v>
      </c>
      <c r="N437" s="49">
        <f t="shared" ca="1" si="237"/>
        <v>735.04705144999991</v>
      </c>
      <c r="O437" s="49">
        <f t="shared" ca="1" si="237"/>
        <v>631.67255446199999</v>
      </c>
      <c r="P437" s="49">
        <f t="shared" ca="1" si="237"/>
        <v>1772.3638558490004</v>
      </c>
      <c r="Q437" s="49">
        <f t="shared" ca="1" si="237"/>
        <v>3585.8944981400005</v>
      </c>
      <c r="R437" s="49">
        <f t="shared" ca="1" si="237"/>
        <v>3524.3307706050005</v>
      </c>
      <c r="S437" s="49">
        <f t="shared" ca="1" si="237"/>
        <v>2104.3087260000002</v>
      </c>
      <c r="T437" s="49">
        <f t="shared" ca="1" si="237"/>
        <v>3219.8115777983999</v>
      </c>
      <c r="U437" s="49">
        <f t="shared" ca="1" si="237"/>
        <v>3214.1772560519998</v>
      </c>
      <c r="V437" s="49">
        <f t="shared" ca="1" si="237"/>
        <v>3048.9685450909269</v>
      </c>
      <c r="W437" s="49">
        <f t="shared" ca="1" si="237"/>
        <v>2892.2515618732527</v>
      </c>
      <c r="X437" s="49">
        <f t="shared" ca="1" si="237"/>
        <v>2743.5898315929676</v>
      </c>
      <c r="Y437" s="49">
        <f t="shared" ca="1" si="237"/>
        <v>0</v>
      </c>
      <c r="Z437" s="49">
        <f t="shared" ca="1" si="237"/>
        <v>0</v>
      </c>
      <c r="AA437" s="49">
        <f t="shared" ca="1" si="237"/>
        <v>0</v>
      </c>
      <c r="AB437" s="49">
        <f t="shared" ca="1" si="237"/>
        <v>0</v>
      </c>
      <c r="AC437" s="49">
        <f t="shared" ca="1" si="237"/>
        <v>0</v>
      </c>
      <c r="AD437" s="49">
        <f t="shared" ca="1" si="237"/>
        <v>0</v>
      </c>
      <c r="AE437" s="49">
        <f t="shared" ca="1" si="237"/>
        <v>0</v>
      </c>
      <c r="AF437" s="49">
        <f t="shared" ca="1" si="237"/>
        <v>0</v>
      </c>
      <c r="AG437" s="49">
        <f t="shared" ca="1" si="237"/>
        <v>0</v>
      </c>
      <c r="AH437" s="49">
        <f t="shared" ca="1" si="237"/>
        <v>0</v>
      </c>
      <c r="AI437" s="49">
        <f t="shared" ca="1" si="237"/>
        <v>0</v>
      </c>
      <c r="AJ437" s="49">
        <f t="shared" ca="1" si="237"/>
        <v>0</v>
      </c>
      <c r="AK437" s="49">
        <f t="shared" ca="1" si="237"/>
        <v>0</v>
      </c>
      <c r="AL437" s="49">
        <f t="shared" ca="1" si="237"/>
        <v>0</v>
      </c>
      <c r="AM437" s="49">
        <f t="shared" ca="1" si="237"/>
        <v>0</v>
      </c>
      <c r="AN437" s="49">
        <f t="shared" ca="1" si="237"/>
        <v>0</v>
      </c>
      <c r="AO437" s="49">
        <f t="shared" ca="1" si="237"/>
        <v>0</v>
      </c>
      <c r="AP437" s="49">
        <f t="shared" ca="1" si="237"/>
        <v>0</v>
      </c>
      <c r="AQ437" s="49">
        <f t="shared" ca="1" si="237"/>
        <v>0</v>
      </c>
      <c r="AR437" s="49">
        <f t="shared" ca="1" si="237"/>
        <v>0</v>
      </c>
      <c r="AS437" s="49">
        <f t="shared" ca="1" si="237"/>
        <v>0</v>
      </c>
      <c r="AT437" s="49">
        <f t="shared" ca="1" si="237"/>
        <v>0</v>
      </c>
      <c r="AU437" s="49">
        <f t="shared" ca="1" si="237"/>
        <v>0</v>
      </c>
      <c r="AV437" s="49">
        <f t="shared" ca="1" si="237"/>
        <v>0</v>
      </c>
      <c r="AW437" s="49">
        <f t="shared" ca="1" si="237"/>
        <v>0</v>
      </c>
      <c r="AX437" s="49">
        <f t="shared" ca="1" si="237"/>
        <v>0</v>
      </c>
      <c r="AY437" s="49">
        <f t="shared" ca="1" si="237"/>
        <v>0</v>
      </c>
      <c r="AZ437" s="49">
        <f t="shared" ca="1" si="237"/>
        <v>0</v>
      </c>
      <c r="BA437" s="49">
        <f t="shared" ca="1" si="237"/>
        <v>0</v>
      </c>
      <c r="BB437" s="49">
        <f t="shared" ca="1" si="237"/>
        <v>0</v>
      </c>
      <c r="BC437" s="49">
        <f t="shared" ca="1" si="237"/>
        <v>0</v>
      </c>
      <c r="BD437" s="49">
        <f t="shared" ca="1" si="237"/>
        <v>0</v>
      </c>
      <c r="BE437" s="49">
        <f t="shared" ca="1" si="237"/>
        <v>0</v>
      </c>
      <c r="BF437" s="49">
        <f t="shared" ca="1" si="237"/>
        <v>0</v>
      </c>
      <c r="BG437" s="49">
        <f t="shared" ca="1" si="237"/>
        <v>0</v>
      </c>
      <c r="BH437" s="49">
        <f t="shared" ca="1" si="237"/>
        <v>0</v>
      </c>
      <c r="BI437" s="49">
        <f t="shared" ca="1" si="237"/>
        <v>0</v>
      </c>
      <c r="BJ437" s="49">
        <f t="shared" ca="1" si="237"/>
        <v>0</v>
      </c>
      <c r="BK437" s="49">
        <f t="shared" ca="1" si="237"/>
        <v>0</v>
      </c>
      <c r="BL437" s="49">
        <f t="shared" ca="1" si="237"/>
        <v>0</v>
      </c>
      <c r="BM437" s="49">
        <f t="shared" ca="1" si="237"/>
        <v>0</v>
      </c>
      <c r="BN437" s="49">
        <f t="shared" ca="1" si="237"/>
        <v>0</v>
      </c>
      <c r="BO437" s="49">
        <f t="shared" ca="1" si="237"/>
        <v>0</v>
      </c>
      <c r="BP437" s="49">
        <f t="shared" ca="1" si="237"/>
        <v>0</v>
      </c>
      <c r="BQ437" s="49">
        <f t="shared" ca="1" si="237"/>
        <v>0</v>
      </c>
      <c r="BR437" s="49">
        <f t="shared" ca="1" si="237"/>
        <v>0</v>
      </c>
      <c r="BS437" s="49">
        <f t="shared" ca="1" si="237"/>
        <v>0</v>
      </c>
    </row>
    <row r="438" spans="3:71" outlineLevel="1" x14ac:dyDescent="0.2">
      <c r="J438" s="26"/>
      <c r="L438" s="55"/>
      <c r="M438" s="55"/>
      <c r="N438" s="55"/>
      <c r="O438" s="55"/>
      <c r="P438" s="55"/>
      <c r="Q438" s="55"/>
      <c r="R438" s="55"/>
      <c r="S438" s="55"/>
      <c r="T438" s="55"/>
      <c r="U438" s="55"/>
      <c r="V438" s="55"/>
      <c r="W438" s="55"/>
      <c r="X438" s="55"/>
      <c r="Y438" s="55"/>
      <c r="Z438" s="55"/>
      <c r="AA438" s="55"/>
      <c r="AB438" s="55"/>
      <c r="AC438" s="55"/>
      <c r="AD438" s="55"/>
      <c r="AE438" s="55"/>
      <c r="AF438" s="55"/>
      <c r="AG438" s="55"/>
      <c r="AH438" s="55"/>
      <c r="AI438" s="55"/>
      <c r="AJ438" s="55"/>
      <c r="AK438" s="55"/>
      <c r="AL438" s="55"/>
      <c r="AM438" s="55"/>
      <c r="AN438" s="55"/>
      <c r="AO438" s="55"/>
      <c r="AP438" s="55"/>
      <c r="AQ438" s="55"/>
      <c r="AR438" s="55"/>
      <c r="AS438" s="55"/>
      <c r="AT438" s="55"/>
      <c r="AU438" s="55"/>
      <c r="AV438" s="55"/>
      <c r="AW438" s="55"/>
      <c r="AX438" s="55"/>
      <c r="AY438" s="55"/>
      <c r="AZ438" s="55"/>
      <c r="BA438" s="55"/>
      <c r="BB438" s="55"/>
      <c r="BC438" s="55"/>
      <c r="BD438" s="55"/>
      <c r="BE438" s="55"/>
      <c r="BF438" s="55"/>
      <c r="BG438" s="55"/>
      <c r="BH438" s="55"/>
      <c r="BI438" s="55"/>
      <c r="BJ438" s="55"/>
      <c r="BK438" s="55"/>
      <c r="BL438" s="55"/>
      <c r="BM438" s="55"/>
      <c r="BN438" s="55"/>
      <c r="BO438" s="55"/>
      <c r="BP438" s="55"/>
      <c r="BQ438" s="55"/>
      <c r="BR438" s="55"/>
      <c r="BS438" s="55"/>
    </row>
    <row r="439" spans="3:71" outlineLevel="1" x14ac:dyDescent="0.2">
      <c r="C439" t="str">
        <f>HM_ZB_Nsoko!C425</f>
        <v>Coûts d'exploitation</v>
      </c>
      <c r="J439" s="26"/>
      <c r="L439" s="55"/>
      <c r="M439" s="55"/>
      <c r="N439" s="55"/>
      <c r="O439" s="55"/>
      <c r="P439" s="55"/>
      <c r="Q439" s="55"/>
      <c r="R439" s="55"/>
      <c r="S439" s="55"/>
      <c r="T439" s="55"/>
      <c r="U439" s="55"/>
      <c r="V439" s="55"/>
      <c r="W439" s="55"/>
      <c r="X439" s="55"/>
      <c r="Y439" s="55"/>
      <c r="Z439" s="55"/>
      <c r="AA439" s="55"/>
      <c r="AB439" s="55"/>
      <c r="AC439" s="55"/>
      <c r="AD439" s="55"/>
      <c r="AE439" s="55"/>
      <c r="AF439" s="55"/>
      <c r="AG439" s="55"/>
      <c r="AH439" s="55"/>
      <c r="AI439" s="55"/>
      <c r="AJ439" s="55"/>
      <c r="AK439" s="55"/>
      <c r="AL439" s="55"/>
      <c r="AM439" s="55"/>
      <c r="AN439" s="55"/>
      <c r="AO439" s="55"/>
      <c r="AP439" s="55"/>
      <c r="AQ439" s="55"/>
      <c r="AR439" s="55"/>
      <c r="AS439" s="55"/>
      <c r="AT439" s="55"/>
      <c r="AU439" s="55"/>
      <c r="AV439" s="55"/>
      <c r="AW439" s="55"/>
      <c r="AX439" s="55"/>
      <c r="AY439" s="55"/>
      <c r="AZ439" s="55"/>
      <c r="BA439" s="55"/>
      <c r="BB439" s="55"/>
      <c r="BC439" s="55"/>
      <c r="BD439" s="55"/>
      <c r="BE439" s="55"/>
      <c r="BF439" s="55"/>
      <c r="BG439" s="55"/>
      <c r="BH439" s="55"/>
      <c r="BI439" s="55"/>
      <c r="BJ439" s="55"/>
      <c r="BK439" s="55"/>
      <c r="BL439" s="55"/>
      <c r="BM439" s="55"/>
      <c r="BN439" s="55"/>
      <c r="BO439" s="55"/>
      <c r="BP439" s="55"/>
      <c r="BQ439" s="55"/>
      <c r="BR439" s="55"/>
      <c r="BS439" s="55"/>
    </row>
    <row r="440" spans="3:71" outlineLevel="1" x14ac:dyDescent="0.2">
      <c r="D440" t="str">
        <f>HM_ZB_Nsoko!D426</f>
        <v>Opex fixes</v>
      </c>
      <c r="I440" s="30">
        <f t="shared" ref="I440:I442" ca="1" si="238">SUM($L440:$BS440)</f>
        <v>0</v>
      </c>
      <c r="J440" s="26" t="s">
        <v>148</v>
      </c>
      <c r="L440" s="49" cm="1">
        <f t="array" aca="1" ref="L440:BS440" ca="1">HM_ZD_Moho!CA_fixedopex_nom</f>
        <v>0</v>
      </c>
      <c r="M440" s="49">
        <f ca="1"/>
        <v>0</v>
      </c>
      <c r="N440" s="49">
        <f ca="1"/>
        <v>0</v>
      </c>
      <c r="O440" s="49">
        <f ca="1"/>
        <v>0</v>
      </c>
      <c r="P440" s="49">
        <f ca="1"/>
        <v>0</v>
      </c>
      <c r="Q440" s="49">
        <f ca="1"/>
        <v>0</v>
      </c>
      <c r="R440" s="49">
        <f ca="1"/>
        <v>0</v>
      </c>
      <c r="S440" s="49">
        <f ca="1"/>
        <v>0</v>
      </c>
      <c r="T440" s="49">
        <f ca="1"/>
        <v>0</v>
      </c>
      <c r="U440" s="49">
        <f ca="1"/>
        <v>0</v>
      </c>
      <c r="V440" s="49">
        <f ca="1"/>
        <v>0</v>
      </c>
      <c r="W440" s="49">
        <f ca="1"/>
        <v>0</v>
      </c>
      <c r="X440" s="49">
        <f ca="1"/>
        <v>0</v>
      </c>
      <c r="Y440" s="49">
        <f ca="1"/>
        <v>0</v>
      </c>
      <c r="Z440" s="49">
        <f ca="1"/>
        <v>0</v>
      </c>
      <c r="AA440" s="49">
        <f ca="1"/>
        <v>0</v>
      </c>
      <c r="AB440" s="49">
        <f ca="1"/>
        <v>0</v>
      </c>
      <c r="AC440" s="49">
        <f ca="1"/>
        <v>0</v>
      </c>
      <c r="AD440" s="49">
        <f ca="1"/>
        <v>0</v>
      </c>
      <c r="AE440" s="49">
        <f ca="1"/>
        <v>0</v>
      </c>
      <c r="AF440" s="49">
        <f ca="1"/>
        <v>0</v>
      </c>
      <c r="AG440" s="49">
        <f ca="1"/>
        <v>0</v>
      </c>
      <c r="AH440" s="49">
        <f ca="1"/>
        <v>0</v>
      </c>
      <c r="AI440" s="49">
        <f ca="1"/>
        <v>0</v>
      </c>
      <c r="AJ440" s="49">
        <f ca="1"/>
        <v>0</v>
      </c>
      <c r="AK440" s="49">
        <f ca="1"/>
        <v>0</v>
      </c>
      <c r="AL440" s="49">
        <f ca="1"/>
        <v>0</v>
      </c>
      <c r="AM440" s="49">
        <f ca="1"/>
        <v>0</v>
      </c>
      <c r="AN440" s="49">
        <f ca="1"/>
        <v>0</v>
      </c>
      <c r="AO440" s="49">
        <f ca="1"/>
        <v>0</v>
      </c>
      <c r="AP440" s="49">
        <f ca="1"/>
        <v>0</v>
      </c>
      <c r="AQ440" s="49">
        <f ca="1"/>
        <v>0</v>
      </c>
      <c r="AR440" s="49">
        <f ca="1"/>
        <v>0</v>
      </c>
      <c r="AS440" s="49">
        <f ca="1"/>
        <v>0</v>
      </c>
      <c r="AT440" s="49">
        <f ca="1"/>
        <v>0</v>
      </c>
      <c r="AU440" s="49">
        <f ca="1"/>
        <v>0</v>
      </c>
      <c r="AV440" s="49">
        <f ca="1"/>
        <v>0</v>
      </c>
      <c r="AW440" s="49">
        <f ca="1"/>
        <v>0</v>
      </c>
      <c r="AX440" s="49">
        <f ca="1"/>
        <v>0</v>
      </c>
      <c r="AY440" s="49">
        <f ca="1"/>
        <v>0</v>
      </c>
      <c r="AZ440" s="49">
        <f ca="1"/>
        <v>0</v>
      </c>
      <c r="BA440" s="49">
        <f ca="1"/>
        <v>0</v>
      </c>
      <c r="BB440" s="49">
        <f ca="1"/>
        <v>0</v>
      </c>
      <c r="BC440" s="49">
        <f ca="1"/>
        <v>0</v>
      </c>
      <c r="BD440" s="49">
        <f ca="1"/>
        <v>0</v>
      </c>
      <c r="BE440" s="49">
        <f ca="1"/>
        <v>0</v>
      </c>
      <c r="BF440" s="49">
        <f ca="1"/>
        <v>0</v>
      </c>
      <c r="BG440" s="49">
        <f ca="1"/>
        <v>0</v>
      </c>
      <c r="BH440" s="49">
        <f ca="1"/>
        <v>0</v>
      </c>
      <c r="BI440" s="49">
        <f ca="1"/>
        <v>0</v>
      </c>
      <c r="BJ440" s="49">
        <f ca="1"/>
        <v>0</v>
      </c>
      <c r="BK440" s="49">
        <f ca="1"/>
        <v>0</v>
      </c>
      <c r="BL440" s="49">
        <f ca="1"/>
        <v>0</v>
      </c>
      <c r="BM440" s="49">
        <f ca="1"/>
        <v>0</v>
      </c>
      <c r="BN440" s="49">
        <f ca="1"/>
        <v>0</v>
      </c>
      <c r="BO440" s="49">
        <f ca="1"/>
        <v>0</v>
      </c>
      <c r="BP440" s="49">
        <f ca="1"/>
        <v>0</v>
      </c>
      <c r="BQ440" s="49">
        <f ca="1"/>
        <v>0</v>
      </c>
      <c r="BR440" s="49">
        <f ca="1"/>
        <v>0</v>
      </c>
      <c r="BS440" s="49">
        <f ca="1"/>
        <v>0</v>
      </c>
    </row>
    <row r="441" spans="3:71" outlineLevel="1" x14ac:dyDescent="0.2">
      <c r="D441" t="str">
        <f>HM_ZB_Nsoko!D427</f>
        <v>Opex variables</v>
      </c>
      <c r="I441" s="30">
        <f t="shared" ca="1" si="238"/>
        <v>4275.8653539520001</v>
      </c>
      <c r="J441" s="26" t="s">
        <v>148</v>
      </c>
      <c r="L441" s="49" cm="1">
        <f t="array" aca="1" ref="L441:BS441" ca="1">HM_ZD_Moho!CA_varopex_nom</f>
        <v>172.67099999999999</v>
      </c>
      <c r="M441" s="49">
        <f ca="1"/>
        <v>220.01900000000001</v>
      </c>
      <c r="N441" s="49">
        <f ca="1"/>
        <v>282.71699999999998</v>
      </c>
      <c r="O441" s="49">
        <f ca="1"/>
        <v>470.46699999999998</v>
      </c>
      <c r="P441" s="49">
        <f ca="1"/>
        <v>868.58600000000001</v>
      </c>
      <c r="Q441" s="49">
        <f ca="1"/>
        <v>248.2</v>
      </c>
      <c r="R441" s="49">
        <f ca="1"/>
        <v>281.8</v>
      </c>
      <c r="S441" s="49">
        <f ca="1"/>
        <v>286.3</v>
      </c>
      <c r="T441" s="49">
        <f ca="1"/>
        <v>283.39999999999998</v>
      </c>
      <c r="U441" s="49">
        <f ca="1"/>
        <v>286.21200000000005</v>
      </c>
      <c r="V441" s="49">
        <f ca="1"/>
        <v>289.02312000000001</v>
      </c>
      <c r="W441" s="49">
        <f ca="1"/>
        <v>291.8322</v>
      </c>
      <c r="X441" s="49">
        <f ca="1"/>
        <v>294.638033952</v>
      </c>
      <c r="Y441" s="49">
        <f ca="1"/>
        <v>0</v>
      </c>
      <c r="Z441" s="49">
        <f ca="1"/>
        <v>0</v>
      </c>
      <c r="AA441" s="49">
        <f ca="1"/>
        <v>0</v>
      </c>
      <c r="AB441" s="49">
        <f ca="1"/>
        <v>0</v>
      </c>
      <c r="AC441" s="49">
        <f ca="1"/>
        <v>0</v>
      </c>
      <c r="AD441" s="49">
        <f ca="1"/>
        <v>0</v>
      </c>
      <c r="AE441" s="49">
        <f ca="1"/>
        <v>0</v>
      </c>
      <c r="AF441" s="49">
        <f ca="1"/>
        <v>0</v>
      </c>
      <c r="AG441" s="49">
        <f ca="1"/>
        <v>0</v>
      </c>
      <c r="AH441" s="49">
        <f ca="1"/>
        <v>0</v>
      </c>
      <c r="AI441" s="49">
        <f ca="1"/>
        <v>0</v>
      </c>
      <c r="AJ441" s="49">
        <f ca="1"/>
        <v>0</v>
      </c>
      <c r="AK441" s="49">
        <f ca="1"/>
        <v>0</v>
      </c>
      <c r="AL441" s="49">
        <f ca="1"/>
        <v>0</v>
      </c>
      <c r="AM441" s="49">
        <f ca="1"/>
        <v>0</v>
      </c>
      <c r="AN441" s="49">
        <f ca="1"/>
        <v>0</v>
      </c>
      <c r="AO441" s="49">
        <f ca="1"/>
        <v>0</v>
      </c>
      <c r="AP441" s="49">
        <f ca="1"/>
        <v>0</v>
      </c>
      <c r="AQ441" s="49">
        <f ca="1"/>
        <v>0</v>
      </c>
      <c r="AR441" s="49">
        <f ca="1"/>
        <v>0</v>
      </c>
      <c r="AS441" s="49">
        <f ca="1"/>
        <v>0</v>
      </c>
      <c r="AT441" s="49">
        <f ca="1"/>
        <v>0</v>
      </c>
      <c r="AU441" s="49">
        <f ca="1"/>
        <v>0</v>
      </c>
      <c r="AV441" s="49">
        <f ca="1"/>
        <v>0</v>
      </c>
      <c r="AW441" s="49">
        <f ca="1"/>
        <v>0</v>
      </c>
      <c r="AX441" s="49">
        <f ca="1"/>
        <v>0</v>
      </c>
      <c r="AY441" s="49">
        <f ca="1"/>
        <v>0</v>
      </c>
      <c r="AZ441" s="49">
        <f ca="1"/>
        <v>0</v>
      </c>
      <c r="BA441" s="49">
        <f ca="1"/>
        <v>0</v>
      </c>
      <c r="BB441" s="49">
        <f ca="1"/>
        <v>0</v>
      </c>
      <c r="BC441" s="49">
        <f ca="1"/>
        <v>0</v>
      </c>
      <c r="BD441" s="49">
        <f ca="1"/>
        <v>0</v>
      </c>
      <c r="BE441" s="49">
        <f ca="1"/>
        <v>0</v>
      </c>
      <c r="BF441" s="49">
        <f ca="1"/>
        <v>0</v>
      </c>
      <c r="BG441" s="49">
        <f ca="1"/>
        <v>0</v>
      </c>
      <c r="BH441" s="49">
        <f ca="1"/>
        <v>0</v>
      </c>
      <c r="BI441" s="49">
        <f ca="1"/>
        <v>0</v>
      </c>
      <c r="BJ441" s="49">
        <f ca="1"/>
        <v>0</v>
      </c>
      <c r="BK441" s="49">
        <f ca="1"/>
        <v>0</v>
      </c>
      <c r="BL441" s="49">
        <f ca="1"/>
        <v>0</v>
      </c>
      <c r="BM441" s="49">
        <f ca="1"/>
        <v>0</v>
      </c>
      <c r="BN441" s="49">
        <f ca="1"/>
        <v>0</v>
      </c>
      <c r="BO441" s="49">
        <f ca="1"/>
        <v>0</v>
      </c>
      <c r="BP441" s="49">
        <f ca="1"/>
        <v>0</v>
      </c>
      <c r="BQ441" s="49">
        <f ca="1"/>
        <v>0</v>
      </c>
      <c r="BR441" s="49">
        <f ca="1"/>
        <v>0</v>
      </c>
      <c r="BS441" s="49">
        <f ca="1"/>
        <v>0</v>
      </c>
    </row>
    <row r="442" spans="3:71" outlineLevel="1" x14ac:dyDescent="0.2">
      <c r="D442" s="11" t="str">
        <f>HM_ZB_Nsoko!D428</f>
        <v>Total Opex</v>
      </c>
      <c r="I442" s="30">
        <f t="shared" ca="1" si="238"/>
        <v>4275.8653539520001</v>
      </c>
      <c r="J442" s="26" t="s">
        <v>148</v>
      </c>
      <c r="L442" s="49">
        <f ca="1">SUM(L440:L441)</f>
        <v>172.67099999999999</v>
      </c>
      <c r="M442" s="49">
        <f t="shared" ref="M442:BS442" ca="1" si="239">SUM(M440:M441)</f>
        <v>220.01900000000001</v>
      </c>
      <c r="N442" s="49">
        <f t="shared" ca="1" si="239"/>
        <v>282.71699999999998</v>
      </c>
      <c r="O442" s="49">
        <f t="shared" ca="1" si="239"/>
        <v>470.46699999999998</v>
      </c>
      <c r="P442" s="49">
        <f t="shared" ca="1" si="239"/>
        <v>868.58600000000001</v>
      </c>
      <c r="Q442" s="49">
        <f t="shared" ca="1" si="239"/>
        <v>248.2</v>
      </c>
      <c r="R442" s="49">
        <f t="shared" ca="1" si="239"/>
        <v>281.8</v>
      </c>
      <c r="S442" s="49">
        <f t="shared" ca="1" si="239"/>
        <v>286.3</v>
      </c>
      <c r="T442" s="49">
        <f t="shared" ca="1" si="239"/>
        <v>283.39999999999998</v>
      </c>
      <c r="U442" s="49">
        <f t="shared" ca="1" si="239"/>
        <v>286.21200000000005</v>
      </c>
      <c r="V442" s="49">
        <f t="shared" ca="1" si="239"/>
        <v>289.02312000000001</v>
      </c>
      <c r="W442" s="49">
        <f t="shared" ca="1" si="239"/>
        <v>291.8322</v>
      </c>
      <c r="X442" s="49">
        <f t="shared" ca="1" si="239"/>
        <v>294.638033952</v>
      </c>
      <c r="Y442" s="49">
        <f t="shared" ca="1" si="239"/>
        <v>0</v>
      </c>
      <c r="Z442" s="49">
        <f t="shared" ca="1" si="239"/>
        <v>0</v>
      </c>
      <c r="AA442" s="49">
        <f t="shared" ca="1" si="239"/>
        <v>0</v>
      </c>
      <c r="AB442" s="49">
        <f t="shared" ca="1" si="239"/>
        <v>0</v>
      </c>
      <c r="AC442" s="49">
        <f t="shared" ca="1" si="239"/>
        <v>0</v>
      </c>
      <c r="AD442" s="49">
        <f t="shared" ca="1" si="239"/>
        <v>0</v>
      </c>
      <c r="AE442" s="49">
        <f t="shared" ca="1" si="239"/>
        <v>0</v>
      </c>
      <c r="AF442" s="49">
        <f t="shared" ca="1" si="239"/>
        <v>0</v>
      </c>
      <c r="AG442" s="49">
        <f t="shared" ca="1" si="239"/>
        <v>0</v>
      </c>
      <c r="AH442" s="49">
        <f t="shared" ca="1" si="239"/>
        <v>0</v>
      </c>
      <c r="AI442" s="49">
        <f t="shared" ca="1" si="239"/>
        <v>0</v>
      </c>
      <c r="AJ442" s="49">
        <f t="shared" ca="1" si="239"/>
        <v>0</v>
      </c>
      <c r="AK442" s="49">
        <f t="shared" ca="1" si="239"/>
        <v>0</v>
      </c>
      <c r="AL442" s="49">
        <f t="shared" ca="1" si="239"/>
        <v>0</v>
      </c>
      <c r="AM442" s="49">
        <f t="shared" ca="1" si="239"/>
        <v>0</v>
      </c>
      <c r="AN442" s="49">
        <f t="shared" ca="1" si="239"/>
        <v>0</v>
      </c>
      <c r="AO442" s="49">
        <f t="shared" ca="1" si="239"/>
        <v>0</v>
      </c>
      <c r="AP442" s="49">
        <f t="shared" ca="1" si="239"/>
        <v>0</v>
      </c>
      <c r="AQ442" s="49">
        <f t="shared" ca="1" si="239"/>
        <v>0</v>
      </c>
      <c r="AR442" s="49">
        <f t="shared" ca="1" si="239"/>
        <v>0</v>
      </c>
      <c r="AS442" s="49">
        <f t="shared" ca="1" si="239"/>
        <v>0</v>
      </c>
      <c r="AT442" s="49">
        <f t="shared" ca="1" si="239"/>
        <v>0</v>
      </c>
      <c r="AU442" s="49">
        <f t="shared" ca="1" si="239"/>
        <v>0</v>
      </c>
      <c r="AV442" s="49">
        <f t="shared" ca="1" si="239"/>
        <v>0</v>
      </c>
      <c r="AW442" s="49">
        <f t="shared" ca="1" si="239"/>
        <v>0</v>
      </c>
      <c r="AX442" s="49">
        <f t="shared" ca="1" si="239"/>
        <v>0</v>
      </c>
      <c r="AY442" s="49">
        <f t="shared" ca="1" si="239"/>
        <v>0</v>
      </c>
      <c r="AZ442" s="49">
        <f t="shared" ca="1" si="239"/>
        <v>0</v>
      </c>
      <c r="BA442" s="49">
        <f t="shared" ca="1" si="239"/>
        <v>0</v>
      </c>
      <c r="BB442" s="49">
        <f t="shared" ca="1" si="239"/>
        <v>0</v>
      </c>
      <c r="BC442" s="49">
        <f t="shared" ca="1" si="239"/>
        <v>0</v>
      </c>
      <c r="BD442" s="49">
        <f t="shared" ca="1" si="239"/>
        <v>0</v>
      </c>
      <c r="BE442" s="49">
        <f t="shared" ca="1" si="239"/>
        <v>0</v>
      </c>
      <c r="BF442" s="49">
        <f t="shared" ca="1" si="239"/>
        <v>0</v>
      </c>
      <c r="BG442" s="49">
        <f t="shared" ca="1" si="239"/>
        <v>0</v>
      </c>
      <c r="BH442" s="49">
        <f t="shared" ca="1" si="239"/>
        <v>0</v>
      </c>
      <c r="BI442" s="49">
        <f t="shared" ca="1" si="239"/>
        <v>0</v>
      </c>
      <c r="BJ442" s="49">
        <f t="shared" ca="1" si="239"/>
        <v>0</v>
      </c>
      <c r="BK442" s="49">
        <f t="shared" ca="1" si="239"/>
        <v>0</v>
      </c>
      <c r="BL442" s="49">
        <f t="shared" ca="1" si="239"/>
        <v>0</v>
      </c>
      <c r="BM442" s="49">
        <f t="shared" ca="1" si="239"/>
        <v>0</v>
      </c>
      <c r="BN442" s="49">
        <f t="shared" ca="1" si="239"/>
        <v>0</v>
      </c>
      <c r="BO442" s="49">
        <f t="shared" ca="1" si="239"/>
        <v>0</v>
      </c>
      <c r="BP442" s="49">
        <f t="shared" ca="1" si="239"/>
        <v>0</v>
      </c>
      <c r="BQ442" s="49">
        <f t="shared" ca="1" si="239"/>
        <v>0</v>
      </c>
      <c r="BR442" s="49">
        <f t="shared" ca="1" si="239"/>
        <v>0</v>
      </c>
      <c r="BS442" s="49">
        <f t="shared" ca="1" si="239"/>
        <v>0</v>
      </c>
    </row>
    <row r="443" spans="3:71" outlineLevel="1" x14ac:dyDescent="0.2">
      <c r="J443" s="26"/>
      <c r="L443" s="55"/>
      <c r="M443" s="55"/>
      <c r="N443" s="55"/>
      <c r="O443" s="55"/>
      <c r="P443" s="55"/>
      <c r="Q443" s="55"/>
      <c r="R443" s="55"/>
      <c r="S443" s="55"/>
      <c r="T443" s="55"/>
      <c r="U443" s="55"/>
      <c r="V443" s="55"/>
      <c r="W443" s="55"/>
      <c r="X443" s="55"/>
      <c r="Y443" s="55"/>
      <c r="Z443" s="55"/>
      <c r="AA443" s="55"/>
      <c r="AB443" s="55"/>
      <c r="AC443" s="55"/>
      <c r="AD443" s="55"/>
      <c r="AE443" s="55"/>
      <c r="AF443" s="55"/>
      <c r="AG443" s="55"/>
      <c r="AH443" s="55"/>
      <c r="AI443" s="55"/>
      <c r="AJ443" s="55"/>
      <c r="AK443" s="55"/>
      <c r="AL443" s="55"/>
      <c r="AM443" s="55"/>
      <c r="AN443" s="55"/>
      <c r="AO443" s="55"/>
      <c r="AP443" s="55"/>
      <c r="AQ443" s="55"/>
      <c r="AR443" s="55"/>
      <c r="AS443" s="55"/>
      <c r="AT443" s="55"/>
      <c r="AU443" s="55"/>
      <c r="AV443" s="55"/>
      <c r="AW443" s="55"/>
      <c r="AX443" s="55"/>
      <c r="AY443" s="55"/>
      <c r="AZ443" s="55"/>
      <c r="BA443" s="55"/>
      <c r="BB443" s="55"/>
      <c r="BC443" s="55"/>
      <c r="BD443" s="55"/>
      <c r="BE443" s="55"/>
      <c r="BF443" s="55"/>
      <c r="BG443" s="55"/>
      <c r="BH443" s="55"/>
      <c r="BI443" s="55"/>
      <c r="BJ443" s="55"/>
      <c r="BK443" s="55"/>
      <c r="BL443" s="55"/>
      <c r="BM443" s="55"/>
      <c r="BN443" s="55"/>
      <c r="BO443" s="55"/>
      <c r="BP443" s="55"/>
      <c r="BQ443" s="55"/>
      <c r="BR443" s="55"/>
      <c r="BS443" s="55"/>
    </row>
    <row r="444" spans="3:71" outlineLevel="1" x14ac:dyDescent="0.2">
      <c r="C444" t="str">
        <f>HM_ZB_Nsoko!C430</f>
        <v>Dépenses d'investissement</v>
      </c>
      <c r="J444" s="26"/>
      <c r="L444" s="55"/>
      <c r="M444" s="55"/>
      <c r="N444" s="55"/>
      <c r="O444" s="55"/>
      <c r="P444" s="55"/>
      <c r="Q444" s="55"/>
      <c r="R444" s="55"/>
      <c r="S444" s="55"/>
      <c r="T444" s="55"/>
      <c r="U444" s="55"/>
      <c r="V444" s="55"/>
      <c r="W444" s="55"/>
      <c r="X444" s="55"/>
      <c r="Y444" s="55"/>
      <c r="Z444" s="55"/>
      <c r="AA444" s="55"/>
      <c r="AB444" s="55"/>
      <c r="AC444" s="55"/>
      <c r="AD444" s="55"/>
      <c r="AE444" s="55"/>
      <c r="AF444" s="55"/>
      <c r="AG444" s="55"/>
      <c r="AH444" s="55"/>
      <c r="AI444" s="55"/>
      <c r="AJ444" s="55"/>
      <c r="AK444" s="55"/>
      <c r="AL444" s="55"/>
      <c r="AM444" s="55"/>
      <c r="AN444" s="55"/>
      <c r="AO444" s="55"/>
      <c r="AP444" s="55"/>
      <c r="AQ444" s="55"/>
      <c r="AR444" s="55"/>
      <c r="AS444" s="55"/>
      <c r="AT444" s="55"/>
      <c r="AU444" s="55"/>
      <c r="AV444" s="55"/>
      <c r="AW444" s="55"/>
      <c r="AX444" s="55"/>
      <c r="AY444" s="55"/>
      <c r="AZ444" s="55"/>
      <c r="BA444" s="55"/>
      <c r="BB444" s="55"/>
      <c r="BC444" s="55"/>
      <c r="BD444" s="55"/>
      <c r="BE444" s="55"/>
      <c r="BF444" s="55"/>
      <c r="BG444" s="55"/>
      <c r="BH444" s="55"/>
      <c r="BI444" s="55"/>
      <c r="BJ444" s="55"/>
      <c r="BK444" s="55"/>
      <c r="BL444" s="55"/>
      <c r="BM444" s="55"/>
      <c r="BN444" s="55"/>
      <c r="BO444" s="55"/>
      <c r="BP444" s="55"/>
      <c r="BQ444" s="55"/>
      <c r="BR444" s="55"/>
      <c r="BS444" s="55"/>
    </row>
    <row r="445" spans="3:71" outlineLevel="1" x14ac:dyDescent="0.2">
      <c r="D445" t="str">
        <f>HM_ZB_Nsoko!D431</f>
        <v>Exploration et évaluation</v>
      </c>
      <c r="I445" s="30">
        <f t="shared" ref="I445:I450" ca="1" si="240">SUM($L445:$BS445)</f>
        <v>0</v>
      </c>
      <c r="J445" s="26" t="s">
        <v>148</v>
      </c>
      <c r="L445" s="49" cm="1">
        <f t="array" aca="1" ref="L445:BS445" ca="1">HM_ZD_Moho!CA_expex_nom</f>
        <v>0</v>
      </c>
      <c r="M445" s="49">
        <f ca="1"/>
        <v>0</v>
      </c>
      <c r="N445" s="49">
        <f ca="1"/>
        <v>0</v>
      </c>
      <c r="O445" s="49">
        <f ca="1"/>
        <v>0</v>
      </c>
      <c r="P445" s="49">
        <f ca="1"/>
        <v>0</v>
      </c>
      <c r="Q445" s="49">
        <f ca="1"/>
        <v>0</v>
      </c>
      <c r="R445" s="49">
        <f ca="1"/>
        <v>0</v>
      </c>
      <c r="S445" s="49">
        <f ca="1"/>
        <v>0</v>
      </c>
      <c r="T445" s="49">
        <f ca="1"/>
        <v>0</v>
      </c>
      <c r="U445" s="49">
        <f ca="1"/>
        <v>0</v>
      </c>
      <c r="V445" s="49">
        <f ca="1"/>
        <v>0</v>
      </c>
      <c r="W445" s="49">
        <f ca="1"/>
        <v>0</v>
      </c>
      <c r="X445" s="49">
        <f ca="1"/>
        <v>0</v>
      </c>
      <c r="Y445" s="49">
        <f ca="1"/>
        <v>0</v>
      </c>
      <c r="Z445" s="49">
        <f ca="1"/>
        <v>0</v>
      </c>
      <c r="AA445" s="49">
        <f ca="1"/>
        <v>0</v>
      </c>
      <c r="AB445" s="49">
        <f ca="1"/>
        <v>0</v>
      </c>
      <c r="AC445" s="49">
        <f ca="1"/>
        <v>0</v>
      </c>
      <c r="AD445" s="49">
        <f ca="1"/>
        <v>0</v>
      </c>
      <c r="AE445" s="49">
        <f ca="1"/>
        <v>0</v>
      </c>
      <c r="AF445" s="49">
        <f ca="1"/>
        <v>0</v>
      </c>
      <c r="AG445" s="49">
        <f ca="1"/>
        <v>0</v>
      </c>
      <c r="AH445" s="49">
        <f ca="1"/>
        <v>0</v>
      </c>
      <c r="AI445" s="49">
        <f ca="1"/>
        <v>0</v>
      </c>
      <c r="AJ445" s="49">
        <f ca="1"/>
        <v>0</v>
      </c>
      <c r="AK445" s="49">
        <f ca="1"/>
        <v>0</v>
      </c>
      <c r="AL445" s="49">
        <f ca="1"/>
        <v>0</v>
      </c>
      <c r="AM445" s="49">
        <f ca="1"/>
        <v>0</v>
      </c>
      <c r="AN445" s="49">
        <f ca="1"/>
        <v>0</v>
      </c>
      <c r="AO445" s="49">
        <f ca="1"/>
        <v>0</v>
      </c>
      <c r="AP445" s="49">
        <f ca="1"/>
        <v>0</v>
      </c>
      <c r="AQ445" s="49">
        <f ca="1"/>
        <v>0</v>
      </c>
      <c r="AR445" s="49">
        <f ca="1"/>
        <v>0</v>
      </c>
      <c r="AS445" s="49">
        <f ca="1"/>
        <v>0</v>
      </c>
      <c r="AT445" s="49">
        <f ca="1"/>
        <v>0</v>
      </c>
      <c r="AU445" s="49">
        <f ca="1"/>
        <v>0</v>
      </c>
      <c r="AV445" s="49">
        <f ca="1"/>
        <v>0</v>
      </c>
      <c r="AW445" s="49">
        <f ca="1"/>
        <v>0</v>
      </c>
      <c r="AX445" s="49">
        <f ca="1"/>
        <v>0</v>
      </c>
      <c r="AY445" s="49">
        <f ca="1"/>
        <v>0</v>
      </c>
      <c r="AZ445" s="49">
        <f ca="1"/>
        <v>0</v>
      </c>
      <c r="BA445" s="49">
        <f ca="1"/>
        <v>0</v>
      </c>
      <c r="BB445" s="49">
        <f ca="1"/>
        <v>0</v>
      </c>
      <c r="BC445" s="49">
        <f ca="1"/>
        <v>0</v>
      </c>
      <c r="BD445" s="49">
        <f ca="1"/>
        <v>0</v>
      </c>
      <c r="BE445" s="49">
        <f ca="1"/>
        <v>0</v>
      </c>
      <c r="BF445" s="49">
        <f ca="1"/>
        <v>0</v>
      </c>
      <c r="BG445" s="49">
        <f ca="1"/>
        <v>0</v>
      </c>
      <c r="BH445" s="49">
        <f ca="1"/>
        <v>0</v>
      </c>
      <c r="BI445" s="49">
        <f ca="1"/>
        <v>0</v>
      </c>
      <c r="BJ445" s="49">
        <f ca="1"/>
        <v>0</v>
      </c>
      <c r="BK445" s="49">
        <f ca="1"/>
        <v>0</v>
      </c>
      <c r="BL445" s="49">
        <f ca="1"/>
        <v>0</v>
      </c>
      <c r="BM445" s="49">
        <f ca="1"/>
        <v>0</v>
      </c>
      <c r="BN445" s="49">
        <f ca="1"/>
        <v>0</v>
      </c>
      <c r="BO445" s="49">
        <f ca="1"/>
        <v>0</v>
      </c>
      <c r="BP445" s="49">
        <f ca="1"/>
        <v>0</v>
      </c>
      <c r="BQ445" s="49">
        <f ca="1"/>
        <v>0</v>
      </c>
      <c r="BR445" s="49">
        <f ca="1"/>
        <v>0</v>
      </c>
      <c r="BS445" s="49">
        <f ca="1"/>
        <v>0</v>
      </c>
    </row>
    <row r="446" spans="3:71" outlineLevel="1" x14ac:dyDescent="0.2">
      <c r="D446" t="str">
        <f>HM_ZB_Nsoko!D432</f>
        <v>Coûts de développement</v>
      </c>
      <c r="I446" s="30">
        <f t="shared" ca="1" si="240"/>
        <v>10913.591</v>
      </c>
      <c r="J446" s="26" t="s">
        <v>148</v>
      </c>
      <c r="L446" s="49" cm="1">
        <f t="array" aca="1" ref="L446:BS446" ca="1">HM_ZD_Moho!CA_devex_nom</f>
        <v>1286.7819999999999</v>
      </c>
      <c r="M446" s="49">
        <f ca="1"/>
        <v>2118.212</v>
      </c>
      <c r="N446" s="49">
        <f ca="1"/>
        <v>3130.5740000000001</v>
      </c>
      <c r="O446" s="49">
        <f ca="1"/>
        <v>2571.201</v>
      </c>
      <c r="P446" s="49">
        <f ca="1"/>
        <v>1153.232</v>
      </c>
      <c r="Q446" s="49">
        <f ca="1"/>
        <v>653.59</v>
      </c>
      <c r="R446" s="49">
        <f ca="1"/>
        <v>0</v>
      </c>
      <c r="S446" s="49">
        <f ca="1"/>
        <v>0</v>
      </c>
      <c r="T446" s="49">
        <f ca="1"/>
        <v>0</v>
      </c>
      <c r="U446" s="49">
        <f ca="1"/>
        <v>0</v>
      </c>
      <c r="V446" s="49">
        <f ca="1"/>
        <v>0</v>
      </c>
      <c r="W446" s="49">
        <f ca="1"/>
        <v>0</v>
      </c>
      <c r="X446" s="49">
        <f ca="1"/>
        <v>0</v>
      </c>
      <c r="Y446" s="49">
        <f ca="1"/>
        <v>0</v>
      </c>
      <c r="Z446" s="49">
        <f ca="1"/>
        <v>0</v>
      </c>
      <c r="AA446" s="49">
        <f ca="1"/>
        <v>0</v>
      </c>
      <c r="AB446" s="49">
        <f ca="1"/>
        <v>0</v>
      </c>
      <c r="AC446" s="49">
        <f ca="1"/>
        <v>0</v>
      </c>
      <c r="AD446" s="49">
        <f ca="1"/>
        <v>0</v>
      </c>
      <c r="AE446" s="49">
        <f ca="1"/>
        <v>0</v>
      </c>
      <c r="AF446" s="49">
        <f ca="1"/>
        <v>0</v>
      </c>
      <c r="AG446" s="49">
        <f ca="1"/>
        <v>0</v>
      </c>
      <c r="AH446" s="49">
        <f ca="1"/>
        <v>0</v>
      </c>
      <c r="AI446" s="49">
        <f ca="1"/>
        <v>0</v>
      </c>
      <c r="AJ446" s="49">
        <f ca="1"/>
        <v>0</v>
      </c>
      <c r="AK446" s="49">
        <f ca="1"/>
        <v>0</v>
      </c>
      <c r="AL446" s="49">
        <f ca="1"/>
        <v>0</v>
      </c>
      <c r="AM446" s="49">
        <f ca="1"/>
        <v>0</v>
      </c>
      <c r="AN446" s="49">
        <f ca="1"/>
        <v>0</v>
      </c>
      <c r="AO446" s="49">
        <f ca="1"/>
        <v>0</v>
      </c>
      <c r="AP446" s="49">
        <f ca="1"/>
        <v>0</v>
      </c>
      <c r="AQ446" s="49">
        <f ca="1"/>
        <v>0</v>
      </c>
      <c r="AR446" s="49">
        <f ca="1"/>
        <v>0</v>
      </c>
      <c r="AS446" s="49">
        <f ca="1"/>
        <v>0</v>
      </c>
      <c r="AT446" s="49">
        <f ca="1"/>
        <v>0</v>
      </c>
      <c r="AU446" s="49">
        <f ca="1"/>
        <v>0</v>
      </c>
      <c r="AV446" s="49">
        <f ca="1"/>
        <v>0</v>
      </c>
      <c r="AW446" s="49">
        <f ca="1"/>
        <v>0</v>
      </c>
      <c r="AX446" s="49">
        <f ca="1"/>
        <v>0</v>
      </c>
      <c r="AY446" s="49">
        <f ca="1"/>
        <v>0</v>
      </c>
      <c r="AZ446" s="49">
        <f ca="1"/>
        <v>0</v>
      </c>
      <c r="BA446" s="49">
        <f ca="1"/>
        <v>0</v>
      </c>
      <c r="BB446" s="49">
        <f ca="1"/>
        <v>0</v>
      </c>
      <c r="BC446" s="49">
        <f ca="1"/>
        <v>0</v>
      </c>
      <c r="BD446" s="49">
        <f ca="1"/>
        <v>0</v>
      </c>
      <c r="BE446" s="49">
        <f ca="1"/>
        <v>0</v>
      </c>
      <c r="BF446" s="49">
        <f ca="1"/>
        <v>0</v>
      </c>
      <c r="BG446" s="49">
        <f ca="1"/>
        <v>0</v>
      </c>
      <c r="BH446" s="49">
        <f ca="1"/>
        <v>0</v>
      </c>
      <c r="BI446" s="49">
        <f ca="1"/>
        <v>0</v>
      </c>
      <c r="BJ446" s="49">
        <f ca="1"/>
        <v>0</v>
      </c>
      <c r="BK446" s="49">
        <f ca="1"/>
        <v>0</v>
      </c>
      <c r="BL446" s="49">
        <f ca="1"/>
        <v>0</v>
      </c>
      <c r="BM446" s="49">
        <f ca="1"/>
        <v>0</v>
      </c>
      <c r="BN446" s="49">
        <f ca="1"/>
        <v>0</v>
      </c>
      <c r="BO446" s="49">
        <f ca="1"/>
        <v>0</v>
      </c>
      <c r="BP446" s="49">
        <f ca="1"/>
        <v>0</v>
      </c>
      <c r="BQ446" s="49">
        <f ca="1"/>
        <v>0</v>
      </c>
      <c r="BR446" s="49">
        <f ca="1"/>
        <v>0</v>
      </c>
      <c r="BS446" s="49">
        <f ca="1"/>
        <v>0</v>
      </c>
    </row>
    <row r="447" spans="3:71" outlineLevel="1" x14ac:dyDescent="0.2">
      <c r="D447" t="str">
        <f>HM_ZB_Nsoko!D433</f>
        <v>Abandon</v>
      </c>
      <c r="I447" s="30">
        <f t="shared" ca="1" si="240"/>
        <v>0</v>
      </c>
      <c r="J447" s="26" t="s">
        <v>148</v>
      </c>
      <c r="L447" s="49" cm="1">
        <f t="array" aca="1" ref="L447:BS447" ca="1">HM_ZD_Moho!CA_decom_nom</f>
        <v>0</v>
      </c>
      <c r="M447" s="49">
        <f ca="1"/>
        <v>0</v>
      </c>
      <c r="N447" s="49">
        <f ca="1"/>
        <v>0</v>
      </c>
      <c r="O447" s="49">
        <f ca="1"/>
        <v>0</v>
      </c>
      <c r="P447" s="49">
        <f ca="1"/>
        <v>0</v>
      </c>
      <c r="Q447" s="49">
        <f ca="1"/>
        <v>0</v>
      </c>
      <c r="R447" s="49">
        <f ca="1"/>
        <v>0</v>
      </c>
      <c r="S447" s="49">
        <f ca="1"/>
        <v>0</v>
      </c>
      <c r="T447" s="49">
        <f ca="1"/>
        <v>0</v>
      </c>
      <c r="U447" s="49">
        <f ca="1"/>
        <v>0</v>
      </c>
      <c r="V447" s="49">
        <f ca="1"/>
        <v>0</v>
      </c>
      <c r="W447" s="49">
        <f ca="1"/>
        <v>0</v>
      </c>
      <c r="X447" s="49">
        <f ca="1"/>
        <v>0</v>
      </c>
      <c r="Y447" s="49">
        <f ca="1"/>
        <v>0</v>
      </c>
      <c r="Z447" s="49">
        <f ca="1"/>
        <v>0</v>
      </c>
      <c r="AA447" s="49">
        <f ca="1"/>
        <v>0</v>
      </c>
      <c r="AB447" s="49">
        <f ca="1"/>
        <v>0</v>
      </c>
      <c r="AC447" s="49">
        <f ca="1"/>
        <v>0</v>
      </c>
      <c r="AD447" s="49">
        <f ca="1"/>
        <v>0</v>
      </c>
      <c r="AE447" s="49">
        <f ca="1"/>
        <v>0</v>
      </c>
      <c r="AF447" s="49">
        <f ca="1"/>
        <v>0</v>
      </c>
      <c r="AG447" s="49">
        <f ca="1"/>
        <v>0</v>
      </c>
      <c r="AH447" s="49">
        <f ca="1"/>
        <v>0</v>
      </c>
      <c r="AI447" s="49">
        <f ca="1"/>
        <v>0</v>
      </c>
      <c r="AJ447" s="49">
        <f ca="1"/>
        <v>0</v>
      </c>
      <c r="AK447" s="49">
        <f ca="1"/>
        <v>0</v>
      </c>
      <c r="AL447" s="49">
        <f ca="1"/>
        <v>0</v>
      </c>
      <c r="AM447" s="49">
        <f ca="1"/>
        <v>0</v>
      </c>
      <c r="AN447" s="49">
        <f ca="1"/>
        <v>0</v>
      </c>
      <c r="AO447" s="49">
        <f ca="1"/>
        <v>0</v>
      </c>
      <c r="AP447" s="49">
        <f ca="1"/>
        <v>0</v>
      </c>
      <c r="AQ447" s="49">
        <f ca="1"/>
        <v>0</v>
      </c>
      <c r="AR447" s="49">
        <f ca="1"/>
        <v>0</v>
      </c>
      <c r="AS447" s="49">
        <f ca="1"/>
        <v>0</v>
      </c>
      <c r="AT447" s="49">
        <f ca="1"/>
        <v>0</v>
      </c>
      <c r="AU447" s="49">
        <f ca="1"/>
        <v>0</v>
      </c>
      <c r="AV447" s="49">
        <f ca="1"/>
        <v>0</v>
      </c>
      <c r="AW447" s="49">
        <f ca="1"/>
        <v>0</v>
      </c>
      <c r="AX447" s="49">
        <f ca="1"/>
        <v>0</v>
      </c>
      <c r="AY447" s="49">
        <f ca="1"/>
        <v>0</v>
      </c>
      <c r="AZ447" s="49">
        <f ca="1"/>
        <v>0</v>
      </c>
      <c r="BA447" s="49">
        <f ca="1"/>
        <v>0</v>
      </c>
      <c r="BB447" s="49">
        <f ca="1"/>
        <v>0</v>
      </c>
      <c r="BC447" s="49">
        <f ca="1"/>
        <v>0</v>
      </c>
      <c r="BD447" s="49">
        <f ca="1"/>
        <v>0</v>
      </c>
      <c r="BE447" s="49">
        <f ca="1"/>
        <v>0</v>
      </c>
      <c r="BF447" s="49">
        <f ca="1"/>
        <v>0</v>
      </c>
      <c r="BG447" s="49">
        <f ca="1"/>
        <v>0</v>
      </c>
      <c r="BH447" s="49">
        <f ca="1"/>
        <v>0</v>
      </c>
      <c r="BI447" s="49">
        <f ca="1"/>
        <v>0</v>
      </c>
      <c r="BJ447" s="49">
        <f ca="1"/>
        <v>0</v>
      </c>
      <c r="BK447" s="49">
        <f ca="1"/>
        <v>0</v>
      </c>
      <c r="BL447" s="49">
        <f ca="1"/>
        <v>0</v>
      </c>
      <c r="BM447" s="49">
        <f ca="1"/>
        <v>0</v>
      </c>
      <c r="BN447" s="49">
        <f ca="1"/>
        <v>0</v>
      </c>
      <c r="BO447" s="49">
        <f ca="1"/>
        <v>0</v>
      </c>
      <c r="BP447" s="49">
        <f ca="1"/>
        <v>0</v>
      </c>
      <c r="BQ447" s="49">
        <f ca="1"/>
        <v>0</v>
      </c>
      <c r="BR447" s="49">
        <f ca="1"/>
        <v>0</v>
      </c>
      <c r="BS447" s="49">
        <f ca="1"/>
        <v>0</v>
      </c>
    </row>
    <row r="448" spans="3:71" outlineLevel="1" x14ac:dyDescent="0.2">
      <c r="D448" s="11" t="str">
        <f>HM_ZB_Nsoko!D434</f>
        <v>Total Capex</v>
      </c>
      <c r="I448" s="30">
        <f t="shared" ca="1" si="240"/>
        <v>10913.591</v>
      </c>
      <c r="J448" s="26" t="s">
        <v>148</v>
      </c>
      <c r="L448" s="49">
        <f ca="1">SUM(L445:L447)</f>
        <v>1286.7819999999999</v>
      </c>
      <c r="M448" s="49">
        <f t="shared" ref="M448:BS448" ca="1" si="241">SUM(M445:M447)</f>
        <v>2118.212</v>
      </c>
      <c r="N448" s="49">
        <f t="shared" ca="1" si="241"/>
        <v>3130.5740000000001</v>
      </c>
      <c r="O448" s="49">
        <f t="shared" ca="1" si="241"/>
        <v>2571.201</v>
      </c>
      <c r="P448" s="49">
        <f t="shared" ca="1" si="241"/>
        <v>1153.232</v>
      </c>
      <c r="Q448" s="49">
        <f t="shared" ca="1" si="241"/>
        <v>653.59</v>
      </c>
      <c r="R448" s="49">
        <f t="shared" ca="1" si="241"/>
        <v>0</v>
      </c>
      <c r="S448" s="49">
        <f t="shared" ca="1" si="241"/>
        <v>0</v>
      </c>
      <c r="T448" s="49">
        <f t="shared" ca="1" si="241"/>
        <v>0</v>
      </c>
      <c r="U448" s="49">
        <f t="shared" ca="1" si="241"/>
        <v>0</v>
      </c>
      <c r="V448" s="49">
        <f t="shared" ca="1" si="241"/>
        <v>0</v>
      </c>
      <c r="W448" s="49">
        <f t="shared" ca="1" si="241"/>
        <v>0</v>
      </c>
      <c r="X448" s="49">
        <f t="shared" ca="1" si="241"/>
        <v>0</v>
      </c>
      <c r="Y448" s="49">
        <f t="shared" ca="1" si="241"/>
        <v>0</v>
      </c>
      <c r="Z448" s="49">
        <f t="shared" ca="1" si="241"/>
        <v>0</v>
      </c>
      <c r="AA448" s="49">
        <f t="shared" ca="1" si="241"/>
        <v>0</v>
      </c>
      <c r="AB448" s="49">
        <f t="shared" ca="1" si="241"/>
        <v>0</v>
      </c>
      <c r="AC448" s="49">
        <f t="shared" ca="1" si="241"/>
        <v>0</v>
      </c>
      <c r="AD448" s="49">
        <f t="shared" ca="1" si="241"/>
        <v>0</v>
      </c>
      <c r="AE448" s="49">
        <f t="shared" ca="1" si="241"/>
        <v>0</v>
      </c>
      <c r="AF448" s="49">
        <f t="shared" ca="1" si="241"/>
        <v>0</v>
      </c>
      <c r="AG448" s="49">
        <f t="shared" ca="1" si="241"/>
        <v>0</v>
      </c>
      <c r="AH448" s="49">
        <f t="shared" ca="1" si="241"/>
        <v>0</v>
      </c>
      <c r="AI448" s="49">
        <f t="shared" ca="1" si="241"/>
        <v>0</v>
      </c>
      <c r="AJ448" s="49">
        <f t="shared" ca="1" si="241"/>
        <v>0</v>
      </c>
      <c r="AK448" s="49">
        <f t="shared" ca="1" si="241"/>
        <v>0</v>
      </c>
      <c r="AL448" s="49">
        <f t="shared" ca="1" si="241"/>
        <v>0</v>
      </c>
      <c r="AM448" s="49">
        <f t="shared" ca="1" si="241"/>
        <v>0</v>
      </c>
      <c r="AN448" s="49">
        <f t="shared" ca="1" si="241"/>
        <v>0</v>
      </c>
      <c r="AO448" s="49">
        <f t="shared" ca="1" si="241"/>
        <v>0</v>
      </c>
      <c r="AP448" s="49">
        <f t="shared" ca="1" si="241"/>
        <v>0</v>
      </c>
      <c r="AQ448" s="49">
        <f t="shared" ca="1" si="241"/>
        <v>0</v>
      </c>
      <c r="AR448" s="49">
        <f t="shared" ca="1" si="241"/>
        <v>0</v>
      </c>
      <c r="AS448" s="49">
        <f t="shared" ca="1" si="241"/>
        <v>0</v>
      </c>
      <c r="AT448" s="49">
        <f t="shared" ca="1" si="241"/>
        <v>0</v>
      </c>
      <c r="AU448" s="49">
        <f t="shared" ca="1" si="241"/>
        <v>0</v>
      </c>
      <c r="AV448" s="49">
        <f t="shared" ca="1" si="241"/>
        <v>0</v>
      </c>
      <c r="AW448" s="49">
        <f t="shared" ca="1" si="241"/>
        <v>0</v>
      </c>
      <c r="AX448" s="49">
        <f t="shared" ca="1" si="241"/>
        <v>0</v>
      </c>
      <c r="AY448" s="49">
        <f t="shared" ca="1" si="241"/>
        <v>0</v>
      </c>
      <c r="AZ448" s="49">
        <f t="shared" ca="1" si="241"/>
        <v>0</v>
      </c>
      <c r="BA448" s="49">
        <f t="shared" ca="1" si="241"/>
        <v>0</v>
      </c>
      <c r="BB448" s="49">
        <f t="shared" ca="1" si="241"/>
        <v>0</v>
      </c>
      <c r="BC448" s="49">
        <f t="shared" ca="1" si="241"/>
        <v>0</v>
      </c>
      <c r="BD448" s="49">
        <f t="shared" ca="1" si="241"/>
        <v>0</v>
      </c>
      <c r="BE448" s="49">
        <f t="shared" ca="1" si="241"/>
        <v>0</v>
      </c>
      <c r="BF448" s="49">
        <f t="shared" ca="1" si="241"/>
        <v>0</v>
      </c>
      <c r="BG448" s="49">
        <f t="shared" ca="1" si="241"/>
        <v>0</v>
      </c>
      <c r="BH448" s="49">
        <f t="shared" ca="1" si="241"/>
        <v>0</v>
      </c>
      <c r="BI448" s="49">
        <f t="shared" ca="1" si="241"/>
        <v>0</v>
      </c>
      <c r="BJ448" s="49">
        <f t="shared" ca="1" si="241"/>
        <v>0</v>
      </c>
      <c r="BK448" s="49">
        <f t="shared" ca="1" si="241"/>
        <v>0</v>
      </c>
      <c r="BL448" s="49">
        <f t="shared" ca="1" si="241"/>
        <v>0</v>
      </c>
      <c r="BM448" s="49">
        <f t="shared" ca="1" si="241"/>
        <v>0</v>
      </c>
      <c r="BN448" s="49">
        <f t="shared" ca="1" si="241"/>
        <v>0</v>
      </c>
      <c r="BO448" s="49">
        <f t="shared" ca="1" si="241"/>
        <v>0</v>
      </c>
      <c r="BP448" s="49">
        <f t="shared" ca="1" si="241"/>
        <v>0</v>
      </c>
      <c r="BQ448" s="49">
        <f t="shared" ca="1" si="241"/>
        <v>0</v>
      </c>
      <c r="BR448" s="49">
        <f t="shared" ca="1" si="241"/>
        <v>0</v>
      </c>
      <c r="BS448" s="49">
        <f t="shared" ca="1" si="241"/>
        <v>0</v>
      </c>
    </row>
    <row r="449" spans="1:71" outlineLevel="1" x14ac:dyDescent="0.2">
      <c r="J449" s="26"/>
      <c r="L449" s="55"/>
      <c r="M449" s="55"/>
      <c r="N449" s="55"/>
      <c r="O449" s="55"/>
      <c r="P449" s="55"/>
      <c r="Q449" s="55"/>
      <c r="R449" s="55"/>
      <c r="S449" s="55"/>
      <c r="T449" s="55"/>
      <c r="U449" s="55"/>
      <c r="V449" s="55"/>
      <c r="W449" s="55"/>
      <c r="X449" s="55"/>
      <c r="Y449" s="55"/>
      <c r="Z449" s="55"/>
      <c r="AA449" s="55"/>
      <c r="AB449" s="55"/>
      <c r="AC449" s="55"/>
      <c r="AD449" s="55"/>
      <c r="AE449" s="55"/>
      <c r="AF449" s="55"/>
      <c r="AG449" s="55"/>
      <c r="AH449" s="55"/>
      <c r="AI449" s="55"/>
      <c r="AJ449" s="55"/>
      <c r="AK449" s="55"/>
      <c r="AL449" s="55"/>
      <c r="AM449" s="55"/>
      <c r="AN449" s="55"/>
      <c r="AO449" s="55"/>
      <c r="AP449" s="55"/>
      <c r="AQ449" s="55"/>
      <c r="AR449" s="55"/>
      <c r="AS449" s="55"/>
      <c r="AT449" s="55"/>
      <c r="AU449" s="55"/>
      <c r="AV449" s="55"/>
      <c r="AW449" s="55"/>
      <c r="AX449" s="55"/>
      <c r="AY449" s="55"/>
      <c r="AZ449" s="55"/>
      <c r="BA449" s="55"/>
      <c r="BB449" s="55"/>
      <c r="BC449" s="55"/>
      <c r="BD449" s="55"/>
      <c r="BE449" s="55"/>
      <c r="BF449" s="55"/>
      <c r="BG449" s="55"/>
      <c r="BH449" s="55"/>
      <c r="BI449" s="55"/>
      <c r="BJ449" s="55"/>
      <c r="BK449" s="55"/>
      <c r="BL449" s="55"/>
      <c r="BM449" s="55"/>
      <c r="BN449" s="55"/>
      <c r="BO449" s="55"/>
      <c r="BP449" s="55"/>
      <c r="BQ449" s="55"/>
      <c r="BR449" s="55"/>
      <c r="BS449" s="55"/>
    </row>
    <row r="450" spans="1:71" outlineLevel="1" x14ac:dyDescent="0.2">
      <c r="C450" s="11" t="str">
        <f>HM_ZB_Nsoko!C436</f>
        <v>Revenu divisible</v>
      </c>
      <c r="F450" s="64"/>
      <c r="I450" s="30">
        <f t="shared" ca="1" si="240"/>
        <v>16012.919588252549</v>
      </c>
      <c r="J450" s="26" t="s">
        <v>148</v>
      </c>
      <c r="L450" s="49">
        <f ca="1">L437-L442-L448</f>
        <v>452.73054668700024</v>
      </c>
      <c r="M450" s="49">
        <f t="shared" ref="M450:BS450" ca="1" si="242">M437-M442-M448</f>
        <v>-520.45483339600037</v>
      </c>
      <c r="N450" s="49">
        <f t="shared" ca="1" si="242"/>
        <v>-2678.2439485499999</v>
      </c>
      <c r="O450" s="49">
        <f t="shared" ca="1" si="242"/>
        <v>-2409.9954455380002</v>
      </c>
      <c r="P450" s="49">
        <f t="shared" ca="1" si="242"/>
        <v>-249.45414415099958</v>
      </c>
      <c r="Q450" s="49">
        <f t="shared" ca="1" si="242"/>
        <v>2684.1044981400005</v>
      </c>
      <c r="R450" s="49">
        <f t="shared" ca="1" si="242"/>
        <v>3242.5307706050003</v>
      </c>
      <c r="S450" s="49">
        <f t="shared" ca="1" si="242"/>
        <v>1818.0087260000003</v>
      </c>
      <c r="T450" s="49">
        <f t="shared" ca="1" si="242"/>
        <v>2936.4115777983998</v>
      </c>
      <c r="U450" s="49">
        <f t="shared" ca="1" si="242"/>
        <v>2927.9652560519999</v>
      </c>
      <c r="V450" s="49">
        <f t="shared" ca="1" si="242"/>
        <v>2759.9454250909271</v>
      </c>
      <c r="W450" s="49">
        <f t="shared" ca="1" si="242"/>
        <v>2600.4193618732529</v>
      </c>
      <c r="X450" s="49">
        <f t="shared" ca="1" si="242"/>
        <v>2448.9517976409675</v>
      </c>
      <c r="Y450" s="49">
        <f t="shared" ca="1" si="242"/>
        <v>0</v>
      </c>
      <c r="Z450" s="49">
        <f t="shared" ca="1" si="242"/>
        <v>0</v>
      </c>
      <c r="AA450" s="49">
        <f t="shared" ca="1" si="242"/>
        <v>0</v>
      </c>
      <c r="AB450" s="49">
        <f t="shared" ca="1" si="242"/>
        <v>0</v>
      </c>
      <c r="AC450" s="49">
        <f t="shared" ca="1" si="242"/>
        <v>0</v>
      </c>
      <c r="AD450" s="49">
        <f t="shared" ca="1" si="242"/>
        <v>0</v>
      </c>
      <c r="AE450" s="49">
        <f t="shared" ca="1" si="242"/>
        <v>0</v>
      </c>
      <c r="AF450" s="49">
        <f t="shared" ca="1" si="242"/>
        <v>0</v>
      </c>
      <c r="AG450" s="49">
        <f t="shared" ca="1" si="242"/>
        <v>0</v>
      </c>
      <c r="AH450" s="49">
        <f t="shared" ca="1" si="242"/>
        <v>0</v>
      </c>
      <c r="AI450" s="49">
        <f t="shared" ca="1" si="242"/>
        <v>0</v>
      </c>
      <c r="AJ450" s="49">
        <f t="shared" ca="1" si="242"/>
        <v>0</v>
      </c>
      <c r="AK450" s="49">
        <f t="shared" ca="1" si="242"/>
        <v>0</v>
      </c>
      <c r="AL450" s="49">
        <f t="shared" ca="1" si="242"/>
        <v>0</v>
      </c>
      <c r="AM450" s="49">
        <f t="shared" ca="1" si="242"/>
        <v>0</v>
      </c>
      <c r="AN450" s="49">
        <f t="shared" ca="1" si="242"/>
        <v>0</v>
      </c>
      <c r="AO450" s="49">
        <f t="shared" ca="1" si="242"/>
        <v>0</v>
      </c>
      <c r="AP450" s="49">
        <f t="shared" ca="1" si="242"/>
        <v>0</v>
      </c>
      <c r="AQ450" s="49">
        <f t="shared" ca="1" si="242"/>
        <v>0</v>
      </c>
      <c r="AR450" s="49">
        <f t="shared" ca="1" si="242"/>
        <v>0</v>
      </c>
      <c r="AS450" s="49">
        <f t="shared" ca="1" si="242"/>
        <v>0</v>
      </c>
      <c r="AT450" s="49">
        <f t="shared" ca="1" si="242"/>
        <v>0</v>
      </c>
      <c r="AU450" s="49">
        <f t="shared" ca="1" si="242"/>
        <v>0</v>
      </c>
      <c r="AV450" s="49">
        <f t="shared" ca="1" si="242"/>
        <v>0</v>
      </c>
      <c r="AW450" s="49">
        <f t="shared" ca="1" si="242"/>
        <v>0</v>
      </c>
      <c r="AX450" s="49">
        <f t="shared" ca="1" si="242"/>
        <v>0</v>
      </c>
      <c r="AY450" s="49">
        <f t="shared" ca="1" si="242"/>
        <v>0</v>
      </c>
      <c r="AZ450" s="49">
        <f t="shared" ca="1" si="242"/>
        <v>0</v>
      </c>
      <c r="BA450" s="49">
        <f t="shared" ca="1" si="242"/>
        <v>0</v>
      </c>
      <c r="BB450" s="49">
        <f t="shared" ca="1" si="242"/>
        <v>0</v>
      </c>
      <c r="BC450" s="49">
        <f t="shared" ca="1" si="242"/>
        <v>0</v>
      </c>
      <c r="BD450" s="49">
        <f t="shared" ca="1" si="242"/>
        <v>0</v>
      </c>
      <c r="BE450" s="49">
        <f t="shared" ca="1" si="242"/>
        <v>0</v>
      </c>
      <c r="BF450" s="49">
        <f t="shared" ca="1" si="242"/>
        <v>0</v>
      </c>
      <c r="BG450" s="49">
        <f t="shared" ca="1" si="242"/>
        <v>0</v>
      </c>
      <c r="BH450" s="49">
        <f t="shared" ca="1" si="242"/>
        <v>0</v>
      </c>
      <c r="BI450" s="49">
        <f t="shared" ca="1" si="242"/>
        <v>0</v>
      </c>
      <c r="BJ450" s="49">
        <f t="shared" ca="1" si="242"/>
        <v>0</v>
      </c>
      <c r="BK450" s="49">
        <f t="shared" ca="1" si="242"/>
        <v>0</v>
      </c>
      <c r="BL450" s="49">
        <f t="shared" ca="1" si="242"/>
        <v>0</v>
      </c>
      <c r="BM450" s="49">
        <f t="shared" ca="1" si="242"/>
        <v>0</v>
      </c>
      <c r="BN450" s="49">
        <f t="shared" ca="1" si="242"/>
        <v>0</v>
      </c>
      <c r="BO450" s="49">
        <f t="shared" ca="1" si="242"/>
        <v>0</v>
      </c>
      <c r="BP450" s="49">
        <f t="shared" ca="1" si="242"/>
        <v>0</v>
      </c>
      <c r="BQ450" s="49">
        <f t="shared" ca="1" si="242"/>
        <v>0</v>
      </c>
      <c r="BR450" s="49">
        <f t="shared" ca="1" si="242"/>
        <v>0</v>
      </c>
      <c r="BS450" s="49">
        <f t="shared" ca="1" si="242"/>
        <v>0</v>
      </c>
    </row>
    <row r="451" spans="1:71" outlineLevel="1" x14ac:dyDescent="0.2">
      <c r="J451" s="26"/>
      <c r="L451" s="55"/>
      <c r="M451" s="55"/>
      <c r="N451" s="55"/>
      <c r="O451" s="55"/>
      <c r="P451" s="55"/>
      <c r="Q451" s="55"/>
      <c r="R451" s="55"/>
      <c r="S451" s="55"/>
      <c r="T451" s="55"/>
      <c r="U451" s="55"/>
      <c r="V451" s="55"/>
      <c r="W451" s="55"/>
      <c r="X451" s="55"/>
      <c r="Y451" s="55"/>
      <c r="Z451" s="55"/>
      <c r="AA451" s="55"/>
      <c r="AB451" s="55"/>
      <c r="AC451" s="55"/>
      <c r="AD451" s="55"/>
      <c r="AE451" s="55"/>
      <c r="AF451" s="55"/>
      <c r="AG451" s="55"/>
      <c r="AH451" s="55"/>
      <c r="AI451" s="55"/>
      <c r="AJ451" s="55"/>
      <c r="AK451" s="55"/>
      <c r="AL451" s="55"/>
      <c r="AM451" s="55"/>
      <c r="AN451" s="55"/>
      <c r="AO451" s="55"/>
      <c r="AP451" s="55"/>
      <c r="AQ451" s="55"/>
      <c r="AR451" s="55"/>
      <c r="AS451" s="55"/>
      <c r="AT451" s="55"/>
      <c r="AU451" s="55"/>
      <c r="AV451" s="55"/>
      <c r="AW451" s="55"/>
      <c r="AX451" s="55"/>
      <c r="AY451" s="55"/>
      <c r="AZ451" s="55"/>
      <c r="BA451" s="55"/>
      <c r="BB451" s="55"/>
      <c r="BC451" s="55"/>
      <c r="BD451" s="55"/>
      <c r="BE451" s="55"/>
      <c r="BF451" s="55"/>
      <c r="BG451" s="55"/>
      <c r="BH451" s="55"/>
      <c r="BI451" s="55"/>
      <c r="BJ451" s="55"/>
      <c r="BK451" s="55"/>
      <c r="BL451" s="55"/>
      <c r="BM451" s="55"/>
      <c r="BN451" s="55"/>
      <c r="BO451" s="55"/>
      <c r="BP451" s="55"/>
      <c r="BQ451" s="55"/>
      <c r="BR451" s="55"/>
      <c r="BS451" s="55"/>
    </row>
    <row r="452" spans="1:71" outlineLevel="1" x14ac:dyDescent="0.2">
      <c r="J452" s="26"/>
      <c r="L452" s="55"/>
      <c r="M452" s="55"/>
      <c r="N452" s="55"/>
      <c r="O452" s="55"/>
      <c r="P452" s="55"/>
      <c r="Q452" s="55"/>
      <c r="R452" s="55"/>
      <c r="S452" s="55"/>
      <c r="T452" s="55"/>
      <c r="U452" s="55"/>
      <c r="V452" s="55"/>
      <c r="W452" s="55"/>
      <c r="X452" s="55"/>
      <c r="Y452" s="55"/>
      <c r="Z452" s="55"/>
      <c r="AA452" s="55"/>
      <c r="AB452" s="55"/>
      <c r="AC452" s="55"/>
      <c r="AD452" s="55"/>
      <c r="AE452" s="55"/>
      <c r="AF452" s="55"/>
      <c r="AG452" s="55"/>
      <c r="AH452" s="55"/>
      <c r="AI452" s="55"/>
      <c r="AJ452" s="55"/>
      <c r="AK452" s="55"/>
      <c r="AL452" s="55"/>
      <c r="AM452" s="55"/>
      <c r="AN452" s="55"/>
      <c r="AO452" s="55"/>
      <c r="AP452" s="55"/>
      <c r="AQ452" s="55"/>
      <c r="AR452" s="55"/>
      <c r="AS452" s="55"/>
      <c r="AT452" s="55"/>
      <c r="AU452" s="55"/>
      <c r="AV452" s="55"/>
      <c r="AW452" s="55"/>
      <c r="AX452" s="55"/>
      <c r="AY452" s="55"/>
      <c r="AZ452" s="55"/>
      <c r="BA452" s="55"/>
      <c r="BB452" s="55"/>
      <c r="BC452" s="55"/>
      <c r="BD452" s="55"/>
      <c r="BE452" s="55"/>
      <c r="BF452" s="55"/>
      <c r="BG452" s="55"/>
      <c r="BH452" s="55"/>
      <c r="BI452" s="55"/>
      <c r="BJ452" s="55"/>
      <c r="BK452" s="55"/>
      <c r="BL452" s="55"/>
      <c r="BM452" s="55"/>
      <c r="BN452" s="55"/>
      <c r="BO452" s="55"/>
      <c r="BP452" s="55"/>
      <c r="BQ452" s="55"/>
      <c r="BR452" s="55"/>
      <c r="BS452" s="55"/>
    </row>
    <row r="453" spans="1:71" outlineLevel="1" x14ac:dyDescent="0.2">
      <c r="J453" s="26"/>
      <c r="L453" s="55"/>
      <c r="M453" s="55"/>
      <c r="N453" s="55"/>
      <c r="O453" s="55"/>
      <c r="P453" s="55"/>
      <c r="Q453" s="55"/>
      <c r="R453" s="55"/>
      <c r="S453" s="55"/>
      <c r="T453" s="55"/>
      <c r="U453" s="55"/>
      <c r="V453" s="55"/>
      <c r="W453" s="55"/>
      <c r="X453" s="55"/>
      <c r="Y453" s="55"/>
      <c r="Z453" s="55"/>
      <c r="AA453" s="55"/>
      <c r="AB453" s="55"/>
      <c r="AC453" s="55"/>
      <c r="AD453" s="55"/>
      <c r="AE453" s="55"/>
      <c r="AF453" s="55"/>
      <c r="AG453" s="55"/>
      <c r="AH453" s="55"/>
      <c r="AI453" s="55"/>
      <c r="AJ453" s="55"/>
      <c r="AK453" s="55"/>
      <c r="AL453" s="55"/>
      <c r="AM453" s="55"/>
      <c r="AN453" s="55"/>
      <c r="AO453" s="55"/>
      <c r="AP453" s="55"/>
      <c r="AQ453" s="55"/>
      <c r="AR453" s="55"/>
      <c r="AS453" s="55"/>
      <c r="AT453" s="55"/>
      <c r="AU453" s="55"/>
      <c r="AV453" s="55"/>
      <c r="AW453" s="55"/>
      <c r="AX453" s="55"/>
      <c r="AY453" s="55"/>
      <c r="AZ453" s="55"/>
      <c r="BA453" s="55"/>
      <c r="BB453" s="55"/>
      <c r="BC453" s="55"/>
      <c r="BD453" s="55"/>
      <c r="BE453" s="55"/>
      <c r="BF453" s="55"/>
      <c r="BG453" s="55"/>
      <c r="BH453" s="55"/>
      <c r="BI453" s="55"/>
      <c r="BJ453" s="55"/>
      <c r="BK453" s="55"/>
      <c r="BL453" s="55"/>
      <c r="BM453" s="55"/>
      <c r="BN453" s="55"/>
      <c r="BO453" s="55"/>
      <c r="BP453" s="55"/>
      <c r="BQ453" s="55"/>
      <c r="BR453" s="55"/>
      <c r="BS453" s="55"/>
    </row>
    <row r="454" spans="1:71" outlineLevel="1" x14ac:dyDescent="0.2">
      <c r="J454" s="26"/>
      <c r="L454" s="55"/>
      <c r="M454" s="55"/>
      <c r="N454" s="55"/>
      <c r="O454" s="55"/>
      <c r="P454" s="55"/>
      <c r="Q454" s="55"/>
      <c r="R454" s="55"/>
      <c r="S454" s="55"/>
      <c r="T454" s="55"/>
      <c r="U454" s="55"/>
      <c r="V454" s="55"/>
      <c r="W454" s="55"/>
      <c r="X454" s="55"/>
      <c r="Y454" s="55"/>
      <c r="Z454" s="55"/>
      <c r="AA454" s="55"/>
      <c r="AB454" s="55"/>
      <c r="AC454" s="55"/>
      <c r="AD454" s="55"/>
      <c r="AE454" s="55"/>
      <c r="AF454" s="55"/>
      <c r="AG454" s="55"/>
      <c r="AH454" s="55"/>
      <c r="AI454" s="55"/>
      <c r="AJ454" s="55"/>
      <c r="AK454" s="55"/>
      <c r="AL454" s="55"/>
      <c r="AM454" s="55"/>
      <c r="AN454" s="55"/>
      <c r="AO454" s="55"/>
      <c r="AP454" s="55"/>
      <c r="AQ454" s="55"/>
      <c r="AR454" s="55"/>
      <c r="AS454" s="55"/>
      <c r="AT454" s="55"/>
      <c r="AU454" s="55"/>
      <c r="AV454" s="55"/>
      <c r="AW454" s="55"/>
      <c r="AX454" s="55"/>
      <c r="AY454" s="55"/>
      <c r="AZ454" s="55"/>
      <c r="BA454" s="55"/>
      <c r="BB454" s="55"/>
      <c r="BC454" s="55"/>
      <c r="BD454" s="55"/>
      <c r="BE454" s="55"/>
      <c r="BF454" s="55"/>
      <c r="BG454" s="55"/>
      <c r="BH454" s="55"/>
      <c r="BI454" s="55"/>
      <c r="BJ454" s="55"/>
      <c r="BK454" s="55"/>
      <c r="BL454" s="55"/>
      <c r="BM454" s="55"/>
      <c r="BN454" s="55"/>
      <c r="BO454" s="55"/>
      <c r="BP454" s="55"/>
      <c r="BQ454" s="55"/>
      <c r="BR454" s="55"/>
      <c r="BS454" s="55"/>
    </row>
    <row r="455" spans="1:71" outlineLevel="1" x14ac:dyDescent="0.2">
      <c r="A455" s="45"/>
      <c r="B455" s="38" t="str">
        <f>HM_ZB_Nsoko!B441</f>
        <v>Flux de trésorerie Contracteur</v>
      </c>
      <c r="C455" s="45"/>
      <c r="D455" s="45"/>
      <c r="E455" s="45"/>
      <c r="J455" s="26"/>
      <c r="L455" s="55"/>
      <c r="M455" s="55"/>
      <c r="N455" s="55"/>
      <c r="O455" s="55"/>
      <c r="P455" s="55"/>
      <c r="Q455" s="55"/>
      <c r="R455" s="55"/>
      <c r="S455" s="55"/>
      <c r="T455" s="55"/>
      <c r="U455" s="55"/>
      <c r="V455" s="55"/>
      <c r="W455" s="55"/>
      <c r="X455" s="55"/>
      <c r="Y455" s="55"/>
      <c r="Z455" s="55"/>
      <c r="AA455" s="55"/>
      <c r="AB455" s="55"/>
      <c r="AC455" s="55"/>
      <c r="AD455" s="55"/>
      <c r="AE455" s="55"/>
      <c r="AF455" s="55"/>
      <c r="AG455" s="55"/>
      <c r="AH455" s="55"/>
      <c r="AI455" s="55"/>
      <c r="AJ455" s="55"/>
      <c r="AK455" s="55"/>
      <c r="AL455" s="55"/>
      <c r="AM455" s="55"/>
      <c r="AN455" s="55"/>
      <c r="AO455" s="55"/>
      <c r="AP455" s="55"/>
      <c r="AQ455" s="55"/>
      <c r="AR455" s="55"/>
      <c r="AS455" s="55"/>
      <c r="AT455" s="55"/>
      <c r="AU455" s="55"/>
      <c r="AV455" s="55"/>
      <c r="AW455" s="55"/>
      <c r="AX455" s="55"/>
      <c r="AY455" s="55"/>
      <c r="AZ455" s="55"/>
      <c r="BA455" s="55"/>
      <c r="BB455" s="55"/>
      <c r="BC455" s="55"/>
      <c r="BD455" s="55"/>
      <c r="BE455" s="55"/>
      <c r="BF455" s="55"/>
      <c r="BG455" s="55"/>
      <c r="BH455" s="55"/>
      <c r="BI455" s="55"/>
      <c r="BJ455" s="55"/>
      <c r="BK455" s="55"/>
      <c r="BL455" s="55"/>
      <c r="BM455" s="55"/>
      <c r="BN455" s="55"/>
      <c r="BO455" s="55"/>
      <c r="BP455" s="55"/>
      <c r="BQ455" s="55"/>
      <c r="BR455" s="55"/>
      <c r="BS455" s="55"/>
    </row>
    <row r="456" spans="1:71" outlineLevel="1" x14ac:dyDescent="0.2">
      <c r="J456" s="26"/>
      <c r="L456" s="55"/>
      <c r="M456" s="55"/>
      <c r="N456" s="55"/>
      <c r="O456" s="55"/>
      <c r="P456" s="55"/>
      <c r="Q456" s="55"/>
      <c r="R456" s="55"/>
      <c r="S456" s="55"/>
      <c r="T456" s="55"/>
      <c r="U456" s="55"/>
      <c r="V456" s="55"/>
      <c r="W456" s="55"/>
      <c r="X456" s="55"/>
      <c r="Y456" s="55"/>
      <c r="Z456" s="55"/>
      <c r="AA456" s="55"/>
      <c r="AB456" s="55"/>
      <c r="AC456" s="55"/>
      <c r="AD456" s="55"/>
      <c r="AE456" s="55"/>
      <c r="AF456" s="55"/>
      <c r="AG456" s="55"/>
      <c r="AH456" s="55"/>
      <c r="AI456" s="55"/>
      <c r="AJ456" s="55"/>
      <c r="AK456" s="55"/>
      <c r="AL456" s="55"/>
      <c r="AM456" s="55"/>
      <c r="AN456" s="55"/>
      <c r="AO456" s="55"/>
      <c r="AP456" s="55"/>
      <c r="AQ456" s="55"/>
      <c r="AR456" s="55"/>
      <c r="AS456" s="55"/>
      <c r="AT456" s="55"/>
      <c r="AU456" s="55"/>
      <c r="AV456" s="55"/>
      <c r="AW456" s="55"/>
      <c r="AX456" s="55"/>
      <c r="AY456" s="55"/>
      <c r="AZ456" s="55"/>
      <c r="BA456" s="55"/>
      <c r="BB456" s="55"/>
      <c r="BC456" s="55"/>
      <c r="BD456" s="55"/>
      <c r="BE456" s="55"/>
      <c r="BF456" s="55"/>
      <c r="BG456" s="55"/>
      <c r="BH456" s="55"/>
      <c r="BI456" s="55"/>
      <c r="BJ456" s="55"/>
      <c r="BK456" s="55"/>
      <c r="BL456" s="55"/>
      <c r="BM456" s="55"/>
      <c r="BN456" s="55"/>
      <c r="BO456" s="55"/>
      <c r="BP456" s="55"/>
      <c r="BQ456" s="55"/>
      <c r="BR456" s="55"/>
      <c r="BS456" s="55"/>
    </row>
    <row r="457" spans="1:71" outlineLevel="1" x14ac:dyDescent="0.2">
      <c r="C457" s="11" t="str">
        <f>HM_ZB_Nsoko!C443</f>
        <v>Revenus des droits</v>
      </c>
      <c r="J457" s="26"/>
      <c r="L457" s="55"/>
      <c r="M457" s="55"/>
      <c r="N457" s="55"/>
      <c r="O457" s="55"/>
      <c r="P457" s="55"/>
      <c r="Q457" s="55"/>
      <c r="R457" s="55"/>
      <c r="S457" s="55"/>
      <c r="T457" s="55"/>
      <c r="U457" s="55"/>
      <c r="V457" s="55"/>
      <c r="W457" s="55"/>
      <c r="X457" s="55"/>
      <c r="Y457" s="55"/>
      <c r="Z457" s="55"/>
      <c r="AA457" s="55"/>
      <c r="AB457" s="55"/>
      <c r="AC457" s="55"/>
      <c r="AD457" s="55"/>
      <c r="AE457" s="55"/>
      <c r="AF457" s="55"/>
      <c r="AG457" s="55"/>
      <c r="AH457" s="55"/>
      <c r="AI457" s="55"/>
      <c r="AJ457" s="55"/>
      <c r="AK457" s="55"/>
      <c r="AL457" s="55"/>
      <c r="AM457" s="55"/>
      <c r="AN457" s="55"/>
      <c r="AO457" s="55"/>
      <c r="AP457" s="55"/>
      <c r="AQ457" s="55"/>
      <c r="AR457" s="55"/>
      <c r="AS457" s="55"/>
      <c r="AT457" s="55"/>
      <c r="AU457" s="55"/>
      <c r="AV457" s="55"/>
      <c r="AW457" s="55"/>
      <c r="AX457" s="55"/>
      <c r="AY457" s="55"/>
      <c r="AZ457" s="55"/>
      <c r="BA457" s="55"/>
      <c r="BB457" s="55"/>
      <c r="BC457" s="55"/>
      <c r="BD457" s="55"/>
      <c r="BE457" s="55"/>
      <c r="BF457" s="55"/>
      <c r="BG457" s="55"/>
      <c r="BH457" s="55"/>
      <c r="BI457" s="55"/>
      <c r="BJ457" s="55"/>
      <c r="BK457" s="55"/>
      <c r="BL457" s="55"/>
      <c r="BM457" s="55"/>
      <c r="BN457" s="55"/>
      <c r="BO457" s="55"/>
      <c r="BP457" s="55"/>
      <c r="BQ457" s="55"/>
      <c r="BR457" s="55"/>
      <c r="BS457" s="55"/>
    </row>
    <row r="458" spans="1:71" outlineLevel="1" x14ac:dyDescent="0.2">
      <c r="D458" t="str">
        <f>HM_ZB_Nsoko!D444</f>
        <v>Revenus de droits pétroliers</v>
      </c>
      <c r="I458" s="30">
        <f t="shared" ref="I458:I464" ca="1" si="243">SUM($L458:$BS458)</f>
        <v>22516.413016469669</v>
      </c>
      <c r="J458" s="26" t="s">
        <v>148</v>
      </c>
      <c r="L458" s="49" cm="1">
        <f t="array" aca="1" ref="L458:BS458" ca="1">HM_ZD_Moho!CA_ent_rev_oil</f>
        <v>690.76412290209873</v>
      </c>
      <c r="M458" s="49">
        <f ca="1"/>
        <v>671.14501061740498</v>
      </c>
      <c r="N458" s="49">
        <f ca="1"/>
        <v>591.71287641724996</v>
      </c>
      <c r="O458" s="49">
        <f ca="1"/>
        <v>508.49640634191002</v>
      </c>
      <c r="P458" s="49">
        <f ca="1"/>
        <v>1426.7529039584454</v>
      </c>
      <c r="Q458" s="49">
        <f ca="1"/>
        <v>2886.6450710027002</v>
      </c>
      <c r="R458" s="49">
        <f ca="1"/>
        <v>2810.6537895574879</v>
      </c>
      <c r="S458" s="49">
        <f ca="1"/>
        <v>1678.1862089850001</v>
      </c>
      <c r="T458" s="49">
        <f ca="1"/>
        <v>2567.7997332942236</v>
      </c>
      <c r="U458" s="49">
        <f ca="1"/>
        <v>2563.30636170147</v>
      </c>
      <c r="V458" s="49">
        <f ca="1"/>
        <v>2362.9506224454681</v>
      </c>
      <c r="W458" s="49">
        <f ca="1"/>
        <v>1928.5640507267835</v>
      </c>
      <c r="X458" s="49">
        <f ca="1"/>
        <v>1829.4358585194266</v>
      </c>
      <c r="Y458" s="49">
        <f ca="1"/>
        <v>0</v>
      </c>
      <c r="Z458" s="49">
        <f ca="1"/>
        <v>0</v>
      </c>
      <c r="AA458" s="49">
        <f ca="1"/>
        <v>0</v>
      </c>
      <c r="AB458" s="49">
        <f ca="1"/>
        <v>0</v>
      </c>
      <c r="AC458" s="49">
        <f ca="1"/>
        <v>0</v>
      </c>
      <c r="AD458" s="49">
        <f ca="1"/>
        <v>0</v>
      </c>
      <c r="AE458" s="49">
        <f ca="1"/>
        <v>0</v>
      </c>
      <c r="AF458" s="49">
        <f ca="1"/>
        <v>0</v>
      </c>
      <c r="AG458" s="49">
        <f ca="1"/>
        <v>0</v>
      </c>
      <c r="AH458" s="49">
        <f ca="1"/>
        <v>0</v>
      </c>
      <c r="AI458" s="49">
        <f ca="1"/>
        <v>0</v>
      </c>
      <c r="AJ458" s="49">
        <f ca="1"/>
        <v>0</v>
      </c>
      <c r="AK458" s="49">
        <f ca="1"/>
        <v>0</v>
      </c>
      <c r="AL458" s="49">
        <f ca="1"/>
        <v>0</v>
      </c>
      <c r="AM458" s="49">
        <f ca="1"/>
        <v>0</v>
      </c>
      <c r="AN458" s="49">
        <f ca="1"/>
        <v>0</v>
      </c>
      <c r="AO458" s="49">
        <f ca="1"/>
        <v>0</v>
      </c>
      <c r="AP458" s="49">
        <f ca="1"/>
        <v>0</v>
      </c>
      <c r="AQ458" s="49">
        <f ca="1"/>
        <v>0</v>
      </c>
      <c r="AR458" s="49">
        <f ca="1"/>
        <v>0</v>
      </c>
      <c r="AS458" s="49">
        <f ca="1"/>
        <v>0</v>
      </c>
      <c r="AT458" s="49">
        <f ca="1"/>
        <v>0</v>
      </c>
      <c r="AU458" s="49">
        <f ca="1"/>
        <v>0</v>
      </c>
      <c r="AV458" s="49">
        <f ca="1"/>
        <v>0</v>
      </c>
      <c r="AW458" s="49">
        <f ca="1"/>
        <v>0</v>
      </c>
      <c r="AX458" s="49">
        <f ca="1"/>
        <v>0</v>
      </c>
      <c r="AY458" s="49">
        <f ca="1"/>
        <v>0</v>
      </c>
      <c r="AZ458" s="49">
        <f ca="1"/>
        <v>0</v>
      </c>
      <c r="BA458" s="49">
        <f ca="1"/>
        <v>0</v>
      </c>
      <c r="BB458" s="49">
        <f ca="1"/>
        <v>0</v>
      </c>
      <c r="BC458" s="49">
        <f ca="1"/>
        <v>0</v>
      </c>
      <c r="BD458" s="49">
        <f ca="1"/>
        <v>0</v>
      </c>
      <c r="BE458" s="49">
        <f ca="1"/>
        <v>0</v>
      </c>
      <c r="BF458" s="49">
        <f ca="1"/>
        <v>0</v>
      </c>
      <c r="BG458" s="49">
        <f ca="1"/>
        <v>0</v>
      </c>
      <c r="BH458" s="49">
        <f ca="1"/>
        <v>0</v>
      </c>
      <c r="BI458" s="49">
        <f ca="1"/>
        <v>0</v>
      </c>
      <c r="BJ458" s="49">
        <f ca="1"/>
        <v>0</v>
      </c>
      <c r="BK458" s="49">
        <f ca="1"/>
        <v>0</v>
      </c>
      <c r="BL458" s="49">
        <f ca="1"/>
        <v>0</v>
      </c>
      <c r="BM458" s="49">
        <f ca="1"/>
        <v>0</v>
      </c>
      <c r="BN458" s="49">
        <f ca="1"/>
        <v>0</v>
      </c>
      <c r="BO458" s="49">
        <f ca="1"/>
        <v>0</v>
      </c>
      <c r="BP458" s="49">
        <f ca="1"/>
        <v>0</v>
      </c>
      <c r="BQ458" s="49">
        <f ca="1"/>
        <v>0</v>
      </c>
      <c r="BR458" s="49">
        <f ca="1"/>
        <v>0</v>
      </c>
      <c r="BS458" s="49">
        <f ca="1"/>
        <v>0</v>
      </c>
    </row>
    <row r="459" spans="1:71" outlineLevel="1" x14ac:dyDescent="0.2">
      <c r="D459" t="str">
        <f>HM_ZB_Nsoko!D445</f>
        <v>Revenus de droits gaziers</v>
      </c>
      <c r="I459" s="30">
        <f t="shared" ca="1" si="243"/>
        <v>0</v>
      </c>
      <c r="J459" s="26" t="s">
        <v>148</v>
      </c>
      <c r="L459" s="49" cm="1">
        <f t="array" aca="1" ref="L459:BS459" ca="1">HM_ZD_Moho!CA_ent_rev_gas</f>
        <v>0</v>
      </c>
      <c r="M459" s="49">
        <f ca="1"/>
        <v>0</v>
      </c>
      <c r="N459" s="49">
        <f ca="1"/>
        <v>0</v>
      </c>
      <c r="O459" s="49">
        <f ca="1"/>
        <v>0</v>
      </c>
      <c r="P459" s="49">
        <f ca="1"/>
        <v>0</v>
      </c>
      <c r="Q459" s="49">
        <f ca="1"/>
        <v>0</v>
      </c>
      <c r="R459" s="49">
        <f ca="1"/>
        <v>0</v>
      </c>
      <c r="S459" s="49">
        <f ca="1"/>
        <v>0</v>
      </c>
      <c r="T459" s="49">
        <f ca="1"/>
        <v>0</v>
      </c>
      <c r="U459" s="49">
        <f ca="1"/>
        <v>0</v>
      </c>
      <c r="V459" s="49">
        <f ca="1"/>
        <v>0</v>
      </c>
      <c r="W459" s="49">
        <f ca="1"/>
        <v>0</v>
      </c>
      <c r="X459" s="49">
        <f ca="1"/>
        <v>0</v>
      </c>
      <c r="Y459" s="49">
        <f ca="1"/>
        <v>0</v>
      </c>
      <c r="Z459" s="49">
        <f ca="1"/>
        <v>0</v>
      </c>
      <c r="AA459" s="49">
        <f ca="1"/>
        <v>0</v>
      </c>
      <c r="AB459" s="49">
        <f ca="1"/>
        <v>0</v>
      </c>
      <c r="AC459" s="49">
        <f ca="1"/>
        <v>0</v>
      </c>
      <c r="AD459" s="49">
        <f ca="1"/>
        <v>0</v>
      </c>
      <c r="AE459" s="49">
        <f ca="1"/>
        <v>0</v>
      </c>
      <c r="AF459" s="49">
        <f ca="1"/>
        <v>0</v>
      </c>
      <c r="AG459" s="49">
        <f ca="1"/>
        <v>0</v>
      </c>
      <c r="AH459" s="49">
        <f ca="1"/>
        <v>0</v>
      </c>
      <c r="AI459" s="49">
        <f ca="1"/>
        <v>0</v>
      </c>
      <c r="AJ459" s="49">
        <f ca="1"/>
        <v>0</v>
      </c>
      <c r="AK459" s="49">
        <f ca="1"/>
        <v>0</v>
      </c>
      <c r="AL459" s="49">
        <f ca="1"/>
        <v>0</v>
      </c>
      <c r="AM459" s="49">
        <f ca="1"/>
        <v>0</v>
      </c>
      <c r="AN459" s="49">
        <f ca="1"/>
        <v>0</v>
      </c>
      <c r="AO459" s="49">
        <f ca="1"/>
        <v>0</v>
      </c>
      <c r="AP459" s="49">
        <f ca="1"/>
        <v>0</v>
      </c>
      <c r="AQ459" s="49">
        <f ca="1"/>
        <v>0</v>
      </c>
      <c r="AR459" s="49">
        <f ca="1"/>
        <v>0</v>
      </c>
      <c r="AS459" s="49">
        <f ca="1"/>
        <v>0</v>
      </c>
      <c r="AT459" s="49">
        <f ca="1"/>
        <v>0</v>
      </c>
      <c r="AU459" s="49">
        <f ca="1"/>
        <v>0</v>
      </c>
      <c r="AV459" s="49">
        <f ca="1"/>
        <v>0</v>
      </c>
      <c r="AW459" s="49">
        <f ca="1"/>
        <v>0</v>
      </c>
      <c r="AX459" s="49">
        <f ca="1"/>
        <v>0</v>
      </c>
      <c r="AY459" s="49">
        <f ca="1"/>
        <v>0</v>
      </c>
      <c r="AZ459" s="49">
        <f ca="1"/>
        <v>0</v>
      </c>
      <c r="BA459" s="49">
        <f ca="1"/>
        <v>0</v>
      </c>
      <c r="BB459" s="49">
        <f ca="1"/>
        <v>0</v>
      </c>
      <c r="BC459" s="49">
        <f ca="1"/>
        <v>0</v>
      </c>
      <c r="BD459" s="49">
        <f ca="1"/>
        <v>0</v>
      </c>
      <c r="BE459" s="49">
        <f ca="1"/>
        <v>0</v>
      </c>
      <c r="BF459" s="49">
        <f ca="1"/>
        <v>0</v>
      </c>
      <c r="BG459" s="49">
        <f ca="1"/>
        <v>0</v>
      </c>
      <c r="BH459" s="49">
        <f ca="1"/>
        <v>0</v>
      </c>
      <c r="BI459" s="49">
        <f ca="1"/>
        <v>0</v>
      </c>
      <c r="BJ459" s="49">
        <f ca="1"/>
        <v>0</v>
      </c>
      <c r="BK459" s="49">
        <f ca="1"/>
        <v>0</v>
      </c>
      <c r="BL459" s="49">
        <f ca="1"/>
        <v>0</v>
      </c>
      <c r="BM459" s="49">
        <f ca="1"/>
        <v>0</v>
      </c>
      <c r="BN459" s="49">
        <f ca="1"/>
        <v>0</v>
      </c>
      <c r="BO459" s="49">
        <f ca="1"/>
        <v>0</v>
      </c>
      <c r="BP459" s="49">
        <f ca="1"/>
        <v>0</v>
      </c>
      <c r="BQ459" s="49">
        <f ca="1"/>
        <v>0</v>
      </c>
      <c r="BR459" s="49">
        <f ca="1"/>
        <v>0</v>
      </c>
      <c r="BS459" s="49">
        <f ca="1"/>
        <v>0</v>
      </c>
    </row>
    <row r="460" spans="1:71" outlineLevel="1" x14ac:dyDescent="0.2">
      <c r="D460" s="11" t="str">
        <f>HM_ZB_Nsoko!D446</f>
        <v>Total revenus des droits</v>
      </c>
      <c r="I460" s="30">
        <f t="shared" ca="1" si="243"/>
        <v>22516.413016469669</v>
      </c>
      <c r="J460" s="26" t="s">
        <v>148</v>
      </c>
      <c r="L460" s="49">
        <f ca="1">SUM(L458:L459)</f>
        <v>690.76412290209873</v>
      </c>
      <c r="M460" s="49">
        <f t="shared" ref="M460:BS460" ca="1" si="244">SUM(M458:M459)</f>
        <v>671.14501061740498</v>
      </c>
      <c r="N460" s="49">
        <f t="shared" ca="1" si="244"/>
        <v>591.71287641724996</v>
      </c>
      <c r="O460" s="49">
        <f t="shared" ca="1" si="244"/>
        <v>508.49640634191002</v>
      </c>
      <c r="P460" s="49">
        <f t="shared" ca="1" si="244"/>
        <v>1426.7529039584454</v>
      </c>
      <c r="Q460" s="49">
        <f t="shared" ca="1" si="244"/>
        <v>2886.6450710027002</v>
      </c>
      <c r="R460" s="49">
        <f t="shared" ca="1" si="244"/>
        <v>2810.6537895574879</v>
      </c>
      <c r="S460" s="49">
        <f t="shared" ca="1" si="244"/>
        <v>1678.1862089850001</v>
      </c>
      <c r="T460" s="49">
        <f t="shared" ca="1" si="244"/>
        <v>2567.7997332942236</v>
      </c>
      <c r="U460" s="49">
        <f t="shared" ca="1" si="244"/>
        <v>2563.30636170147</v>
      </c>
      <c r="V460" s="49">
        <f t="shared" ca="1" si="244"/>
        <v>2362.9506224454681</v>
      </c>
      <c r="W460" s="49">
        <f t="shared" ca="1" si="244"/>
        <v>1928.5640507267835</v>
      </c>
      <c r="X460" s="49">
        <f t="shared" ca="1" si="244"/>
        <v>1829.4358585194266</v>
      </c>
      <c r="Y460" s="49">
        <f t="shared" ca="1" si="244"/>
        <v>0</v>
      </c>
      <c r="Z460" s="49">
        <f t="shared" ca="1" si="244"/>
        <v>0</v>
      </c>
      <c r="AA460" s="49">
        <f t="shared" ca="1" si="244"/>
        <v>0</v>
      </c>
      <c r="AB460" s="49">
        <f t="shared" ca="1" si="244"/>
        <v>0</v>
      </c>
      <c r="AC460" s="49">
        <f t="shared" ca="1" si="244"/>
        <v>0</v>
      </c>
      <c r="AD460" s="49">
        <f t="shared" ca="1" si="244"/>
        <v>0</v>
      </c>
      <c r="AE460" s="49">
        <f t="shared" ca="1" si="244"/>
        <v>0</v>
      </c>
      <c r="AF460" s="49">
        <f t="shared" ca="1" si="244"/>
        <v>0</v>
      </c>
      <c r="AG460" s="49">
        <f t="shared" ca="1" si="244"/>
        <v>0</v>
      </c>
      <c r="AH460" s="49">
        <f t="shared" ca="1" si="244"/>
        <v>0</v>
      </c>
      <c r="AI460" s="49">
        <f t="shared" ca="1" si="244"/>
        <v>0</v>
      </c>
      <c r="AJ460" s="49">
        <f t="shared" ca="1" si="244"/>
        <v>0</v>
      </c>
      <c r="AK460" s="49">
        <f t="shared" ca="1" si="244"/>
        <v>0</v>
      </c>
      <c r="AL460" s="49">
        <f t="shared" ca="1" si="244"/>
        <v>0</v>
      </c>
      <c r="AM460" s="49">
        <f t="shared" ca="1" si="244"/>
        <v>0</v>
      </c>
      <c r="AN460" s="49">
        <f t="shared" ca="1" si="244"/>
        <v>0</v>
      </c>
      <c r="AO460" s="49">
        <f t="shared" ca="1" si="244"/>
        <v>0</v>
      </c>
      <c r="AP460" s="49">
        <f t="shared" ca="1" si="244"/>
        <v>0</v>
      </c>
      <c r="AQ460" s="49">
        <f t="shared" ca="1" si="244"/>
        <v>0</v>
      </c>
      <c r="AR460" s="49">
        <f t="shared" ca="1" si="244"/>
        <v>0</v>
      </c>
      <c r="AS460" s="49">
        <f t="shared" ca="1" si="244"/>
        <v>0</v>
      </c>
      <c r="AT460" s="49">
        <f t="shared" ca="1" si="244"/>
        <v>0</v>
      </c>
      <c r="AU460" s="49">
        <f t="shared" ca="1" si="244"/>
        <v>0</v>
      </c>
      <c r="AV460" s="49">
        <f t="shared" ca="1" si="244"/>
        <v>0</v>
      </c>
      <c r="AW460" s="49">
        <f t="shared" ca="1" si="244"/>
        <v>0</v>
      </c>
      <c r="AX460" s="49">
        <f t="shared" ca="1" si="244"/>
        <v>0</v>
      </c>
      <c r="AY460" s="49">
        <f t="shared" ca="1" si="244"/>
        <v>0</v>
      </c>
      <c r="AZ460" s="49">
        <f t="shared" ca="1" si="244"/>
        <v>0</v>
      </c>
      <c r="BA460" s="49">
        <f t="shared" ca="1" si="244"/>
        <v>0</v>
      </c>
      <c r="BB460" s="49">
        <f t="shared" ca="1" si="244"/>
        <v>0</v>
      </c>
      <c r="BC460" s="49">
        <f t="shared" ca="1" si="244"/>
        <v>0</v>
      </c>
      <c r="BD460" s="49">
        <f t="shared" ca="1" si="244"/>
        <v>0</v>
      </c>
      <c r="BE460" s="49">
        <f t="shared" ca="1" si="244"/>
        <v>0</v>
      </c>
      <c r="BF460" s="49">
        <f t="shared" ca="1" si="244"/>
        <v>0</v>
      </c>
      <c r="BG460" s="49">
        <f t="shared" ca="1" si="244"/>
        <v>0</v>
      </c>
      <c r="BH460" s="49">
        <f t="shared" ca="1" si="244"/>
        <v>0</v>
      </c>
      <c r="BI460" s="49">
        <f t="shared" ca="1" si="244"/>
        <v>0</v>
      </c>
      <c r="BJ460" s="49">
        <f t="shared" ca="1" si="244"/>
        <v>0</v>
      </c>
      <c r="BK460" s="49">
        <f t="shared" ca="1" si="244"/>
        <v>0</v>
      </c>
      <c r="BL460" s="49">
        <f t="shared" ca="1" si="244"/>
        <v>0</v>
      </c>
      <c r="BM460" s="49">
        <f t="shared" ca="1" si="244"/>
        <v>0</v>
      </c>
      <c r="BN460" s="49">
        <f t="shared" ca="1" si="244"/>
        <v>0</v>
      </c>
      <c r="BO460" s="49">
        <f t="shared" ca="1" si="244"/>
        <v>0</v>
      </c>
      <c r="BP460" s="49">
        <f t="shared" ca="1" si="244"/>
        <v>0</v>
      </c>
      <c r="BQ460" s="49">
        <f t="shared" ca="1" si="244"/>
        <v>0</v>
      </c>
      <c r="BR460" s="49">
        <f t="shared" ca="1" si="244"/>
        <v>0</v>
      </c>
      <c r="BS460" s="49">
        <f t="shared" ca="1" si="244"/>
        <v>0</v>
      </c>
    </row>
    <row r="461" spans="1:71" outlineLevel="1" x14ac:dyDescent="0.2">
      <c r="J461" s="26"/>
      <c r="L461" s="55"/>
      <c r="M461" s="55"/>
      <c r="N461" s="55"/>
      <c r="O461" s="55"/>
      <c r="P461" s="55"/>
      <c r="Q461" s="55"/>
      <c r="R461" s="55"/>
      <c r="S461" s="55"/>
      <c r="T461" s="55"/>
      <c r="U461" s="55"/>
      <c r="V461" s="55"/>
      <c r="W461" s="55"/>
      <c r="X461" s="55"/>
      <c r="Y461" s="55"/>
      <c r="Z461" s="55"/>
      <c r="AA461" s="55"/>
      <c r="AB461" s="55"/>
      <c r="AC461" s="55"/>
      <c r="AD461" s="55"/>
      <c r="AE461" s="55"/>
      <c r="AF461" s="55"/>
      <c r="AG461" s="55"/>
      <c r="AH461" s="55"/>
      <c r="AI461" s="55"/>
      <c r="AJ461" s="55"/>
      <c r="AK461" s="55"/>
      <c r="AL461" s="55"/>
      <c r="AM461" s="55"/>
      <c r="AN461" s="55"/>
      <c r="AO461" s="55"/>
      <c r="AP461" s="55"/>
      <c r="AQ461" s="55"/>
      <c r="AR461" s="55"/>
      <c r="AS461" s="55"/>
      <c r="AT461" s="55"/>
      <c r="AU461" s="55"/>
      <c r="AV461" s="55"/>
      <c r="AW461" s="55"/>
      <c r="AX461" s="55"/>
      <c r="AY461" s="55"/>
      <c r="AZ461" s="55"/>
      <c r="BA461" s="55"/>
      <c r="BB461" s="55"/>
      <c r="BC461" s="55"/>
      <c r="BD461" s="55"/>
      <c r="BE461" s="55"/>
      <c r="BF461" s="55"/>
      <c r="BG461" s="55"/>
      <c r="BH461" s="55"/>
      <c r="BI461" s="55"/>
      <c r="BJ461" s="55"/>
      <c r="BK461" s="55"/>
      <c r="BL461" s="55"/>
      <c r="BM461" s="55"/>
      <c r="BN461" s="55"/>
      <c r="BO461" s="55"/>
      <c r="BP461" s="55"/>
      <c r="BQ461" s="55"/>
      <c r="BR461" s="55"/>
      <c r="BS461" s="55"/>
    </row>
    <row r="462" spans="1:71" outlineLevel="1" x14ac:dyDescent="0.2">
      <c r="C462" s="11" t="str">
        <f>HM_ZB_Nsoko!C448</f>
        <v>Coûts d'exploitation</v>
      </c>
      <c r="I462" s="30">
        <f t="shared" ca="1" si="243"/>
        <v>4275.8653539520001</v>
      </c>
      <c r="J462" s="26" t="s">
        <v>148</v>
      </c>
      <c r="L462" s="49">
        <f ca="1">L442</f>
        <v>172.67099999999999</v>
      </c>
      <c r="M462" s="49">
        <f t="shared" ref="M462:BS462" ca="1" si="245">M442</f>
        <v>220.01900000000001</v>
      </c>
      <c r="N462" s="49">
        <f t="shared" ca="1" si="245"/>
        <v>282.71699999999998</v>
      </c>
      <c r="O462" s="49">
        <f t="shared" ca="1" si="245"/>
        <v>470.46699999999998</v>
      </c>
      <c r="P462" s="49">
        <f t="shared" ca="1" si="245"/>
        <v>868.58600000000001</v>
      </c>
      <c r="Q462" s="49">
        <f t="shared" ca="1" si="245"/>
        <v>248.2</v>
      </c>
      <c r="R462" s="49">
        <f t="shared" ca="1" si="245"/>
        <v>281.8</v>
      </c>
      <c r="S462" s="49">
        <f t="shared" ca="1" si="245"/>
        <v>286.3</v>
      </c>
      <c r="T462" s="49">
        <f t="shared" ca="1" si="245"/>
        <v>283.39999999999998</v>
      </c>
      <c r="U462" s="49">
        <f t="shared" ca="1" si="245"/>
        <v>286.21200000000005</v>
      </c>
      <c r="V462" s="49">
        <f t="shared" ca="1" si="245"/>
        <v>289.02312000000001</v>
      </c>
      <c r="W462" s="49">
        <f t="shared" ca="1" si="245"/>
        <v>291.8322</v>
      </c>
      <c r="X462" s="49">
        <f t="shared" ca="1" si="245"/>
        <v>294.638033952</v>
      </c>
      <c r="Y462" s="49">
        <f t="shared" ca="1" si="245"/>
        <v>0</v>
      </c>
      <c r="Z462" s="49">
        <f t="shared" ca="1" si="245"/>
        <v>0</v>
      </c>
      <c r="AA462" s="49">
        <f t="shared" ca="1" si="245"/>
        <v>0</v>
      </c>
      <c r="AB462" s="49">
        <f t="shared" ca="1" si="245"/>
        <v>0</v>
      </c>
      <c r="AC462" s="49">
        <f t="shared" ca="1" si="245"/>
        <v>0</v>
      </c>
      <c r="AD462" s="49">
        <f t="shared" ca="1" si="245"/>
        <v>0</v>
      </c>
      <c r="AE462" s="49">
        <f t="shared" ca="1" si="245"/>
        <v>0</v>
      </c>
      <c r="AF462" s="49">
        <f t="shared" ca="1" si="245"/>
        <v>0</v>
      </c>
      <c r="AG462" s="49">
        <f t="shared" ca="1" si="245"/>
        <v>0</v>
      </c>
      <c r="AH462" s="49">
        <f t="shared" ca="1" si="245"/>
        <v>0</v>
      </c>
      <c r="AI462" s="49">
        <f t="shared" ca="1" si="245"/>
        <v>0</v>
      </c>
      <c r="AJ462" s="49">
        <f t="shared" ca="1" si="245"/>
        <v>0</v>
      </c>
      <c r="AK462" s="49">
        <f t="shared" ca="1" si="245"/>
        <v>0</v>
      </c>
      <c r="AL462" s="49">
        <f t="shared" ca="1" si="245"/>
        <v>0</v>
      </c>
      <c r="AM462" s="49">
        <f t="shared" ca="1" si="245"/>
        <v>0</v>
      </c>
      <c r="AN462" s="49">
        <f t="shared" ca="1" si="245"/>
        <v>0</v>
      </c>
      <c r="AO462" s="49">
        <f t="shared" ca="1" si="245"/>
        <v>0</v>
      </c>
      <c r="AP462" s="49">
        <f t="shared" ca="1" si="245"/>
        <v>0</v>
      </c>
      <c r="AQ462" s="49">
        <f t="shared" ca="1" si="245"/>
        <v>0</v>
      </c>
      <c r="AR462" s="49">
        <f t="shared" ca="1" si="245"/>
        <v>0</v>
      </c>
      <c r="AS462" s="49">
        <f t="shared" ca="1" si="245"/>
        <v>0</v>
      </c>
      <c r="AT462" s="49">
        <f t="shared" ca="1" si="245"/>
        <v>0</v>
      </c>
      <c r="AU462" s="49">
        <f t="shared" ca="1" si="245"/>
        <v>0</v>
      </c>
      <c r="AV462" s="49">
        <f t="shared" ca="1" si="245"/>
        <v>0</v>
      </c>
      <c r="AW462" s="49">
        <f t="shared" ca="1" si="245"/>
        <v>0</v>
      </c>
      <c r="AX462" s="49">
        <f t="shared" ca="1" si="245"/>
        <v>0</v>
      </c>
      <c r="AY462" s="49">
        <f t="shared" ca="1" si="245"/>
        <v>0</v>
      </c>
      <c r="AZ462" s="49">
        <f t="shared" ca="1" si="245"/>
        <v>0</v>
      </c>
      <c r="BA462" s="49">
        <f t="shared" ca="1" si="245"/>
        <v>0</v>
      </c>
      <c r="BB462" s="49">
        <f t="shared" ca="1" si="245"/>
        <v>0</v>
      </c>
      <c r="BC462" s="49">
        <f t="shared" ca="1" si="245"/>
        <v>0</v>
      </c>
      <c r="BD462" s="49">
        <f t="shared" ca="1" si="245"/>
        <v>0</v>
      </c>
      <c r="BE462" s="49">
        <f t="shared" ca="1" si="245"/>
        <v>0</v>
      </c>
      <c r="BF462" s="49">
        <f t="shared" ca="1" si="245"/>
        <v>0</v>
      </c>
      <c r="BG462" s="49">
        <f t="shared" ca="1" si="245"/>
        <v>0</v>
      </c>
      <c r="BH462" s="49">
        <f t="shared" ca="1" si="245"/>
        <v>0</v>
      </c>
      <c r="BI462" s="49">
        <f t="shared" ca="1" si="245"/>
        <v>0</v>
      </c>
      <c r="BJ462" s="49">
        <f t="shared" ca="1" si="245"/>
        <v>0</v>
      </c>
      <c r="BK462" s="49">
        <f t="shared" ca="1" si="245"/>
        <v>0</v>
      </c>
      <c r="BL462" s="49">
        <f t="shared" ca="1" si="245"/>
        <v>0</v>
      </c>
      <c r="BM462" s="49">
        <f t="shared" ca="1" si="245"/>
        <v>0</v>
      </c>
      <c r="BN462" s="49">
        <f t="shared" ca="1" si="245"/>
        <v>0</v>
      </c>
      <c r="BO462" s="49">
        <f t="shared" ca="1" si="245"/>
        <v>0</v>
      </c>
      <c r="BP462" s="49">
        <f t="shared" ca="1" si="245"/>
        <v>0</v>
      </c>
      <c r="BQ462" s="49">
        <f t="shared" ca="1" si="245"/>
        <v>0</v>
      </c>
      <c r="BR462" s="49">
        <f t="shared" ca="1" si="245"/>
        <v>0</v>
      </c>
      <c r="BS462" s="49">
        <f t="shared" ca="1" si="245"/>
        <v>0</v>
      </c>
    </row>
    <row r="463" spans="1:71" outlineLevel="1" x14ac:dyDescent="0.2">
      <c r="J463" s="26"/>
      <c r="L463" s="55"/>
      <c r="M463" s="55"/>
      <c r="N463" s="55"/>
      <c r="O463" s="55"/>
      <c r="P463" s="55"/>
      <c r="Q463" s="55"/>
      <c r="R463" s="55"/>
      <c r="S463" s="55"/>
      <c r="T463" s="55"/>
      <c r="U463" s="55"/>
      <c r="V463" s="55"/>
      <c r="W463" s="55"/>
      <c r="X463" s="55"/>
      <c r="Y463" s="55"/>
      <c r="Z463" s="55"/>
      <c r="AA463" s="55"/>
      <c r="AB463" s="55"/>
      <c r="AC463" s="55"/>
      <c r="AD463" s="55"/>
      <c r="AE463" s="55"/>
      <c r="AF463" s="55"/>
      <c r="AG463" s="55"/>
      <c r="AH463" s="55"/>
      <c r="AI463" s="55"/>
      <c r="AJ463" s="55"/>
      <c r="AK463" s="55"/>
      <c r="AL463" s="55"/>
      <c r="AM463" s="55"/>
      <c r="AN463" s="55"/>
      <c r="AO463" s="55"/>
      <c r="AP463" s="55"/>
      <c r="AQ463" s="55"/>
      <c r="AR463" s="55"/>
      <c r="AS463" s="55"/>
      <c r="AT463" s="55"/>
      <c r="AU463" s="55"/>
      <c r="AV463" s="55"/>
      <c r="AW463" s="55"/>
      <c r="AX463" s="55"/>
      <c r="AY463" s="55"/>
      <c r="AZ463" s="55"/>
      <c r="BA463" s="55"/>
      <c r="BB463" s="55"/>
      <c r="BC463" s="55"/>
      <c r="BD463" s="55"/>
      <c r="BE463" s="55"/>
      <c r="BF463" s="55"/>
      <c r="BG463" s="55"/>
      <c r="BH463" s="55"/>
      <c r="BI463" s="55"/>
      <c r="BJ463" s="55"/>
      <c r="BK463" s="55"/>
      <c r="BL463" s="55"/>
      <c r="BM463" s="55"/>
      <c r="BN463" s="55"/>
      <c r="BO463" s="55"/>
      <c r="BP463" s="55"/>
      <c r="BQ463" s="55"/>
      <c r="BR463" s="55"/>
      <c r="BS463" s="55"/>
    </row>
    <row r="464" spans="1:71" outlineLevel="1" x14ac:dyDescent="0.2">
      <c r="C464" s="11" t="str">
        <f>HM_ZB_Nsoko!C450</f>
        <v>Bonus et frais</v>
      </c>
      <c r="I464" s="30">
        <f t="shared" ca="1" si="243"/>
        <v>312.02375942204549</v>
      </c>
      <c r="J464" s="26" t="s">
        <v>148</v>
      </c>
      <c r="L464" s="49" cm="1">
        <f t="array" aca="1" ref="L464:BS464" ca="1">HM_ZD_Moho!CA_pid_fees</f>
        <v>19.121835466870003</v>
      </c>
      <c r="M464" s="49">
        <f ca="1"/>
        <v>18.177761666039995</v>
      </c>
      <c r="N464" s="49">
        <f ca="1"/>
        <v>7.3504705144999996</v>
      </c>
      <c r="O464" s="49">
        <f ca="1"/>
        <v>6.3167255446199997</v>
      </c>
      <c r="P464" s="49">
        <f ca="1"/>
        <v>17.723638558490006</v>
      </c>
      <c r="Q464" s="49">
        <f ca="1"/>
        <v>35.858944981400008</v>
      </c>
      <c r="R464" s="49">
        <f ca="1"/>
        <v>35.243307706050004</v>
      </c>
      <c r="S464" s="49">
        <f ca="1"/>
        <v>21.043087260000004</v>
      </c>
      <c r="T464" s="49">
        <f ca="1"/>
        <v>32.198115777984</v>
      </c>
      <c r="U464" s="49">
        <f ca="1"/>
        <v>32.141772560519996</v>
      </c>
      <c r="V464" s="49">
        <f ca="1"/>
        <v>30.489685450909271</v>
      </c>
      <c r="W464" s="49">
        <f ca="1"/>
        <v>28.922515618732529</v>
      </c>
      <c r="X464" s="49">
        <f ca="1"/>
        <v>27.435898315929677</v>
      </c>
      <c r="Y464" s="49">
        <f ca="1"/>
        <v>0</v>
      </c>
      <c r="Z464" s="49">
        <f ca="1"/>
        <v>0</v>
      </c>
      <c r="AA464" s="49">
        <f ca="1"/>
        <v>0</v>
      </c>
      <c r="AB464" s="49">
        <f ca="1"/>
        <v>0</v>
      </c>
      <c r="AC464" s="49">
        <f ca="1"/>
        <v>0</v>
      </c>
      <c r="AD464" s="49">
        <f ca="1"/>
        <v>0</v>
      </c>
      <c r="AE464" s="49">
        <f ca="1"/>
        <v>0</v>
      </c>
      <c r="AF464" s="49">
        <f ca="1"/>
        <v>0</v>
      </c>
      <c r="AG464" s="49">
        <f ca="1"/>
        <v>0</v>
      </c>
      <c r="AH464" s="49">
        <f ca="1"/>
        <v>0</v>
      </c>
      <c r="AI464" s="49">
        <f ca="1"/>
        <v>0</v>
      </c>
      <c r="AJ464" s="49">
        <f ca="1"/>
        <v>0</v>
      </c>
      <c r="AK464" s="49">
        <f ca="1"/>
        <v>0</v>
      </c>
      <c r="AL464" s="49">
        <f ca="1"/>
        <v>0</v>
      </c>
      <c r="AM464" s="49">
        <f ca="1"/>
        <v>0</v>
      </c>
      <c r="AN464" s="49">
        <f ca="1"/>
        <v>0</v>
      </c>
      <c r="AO464" s="49">
        <f ca="1"/>
        <v>0</v>
      </c>
      <c r="AP464" s="49">
        <f ca="1"/>
        <v>0</v>
      </c>
      <c r="AQ464" s="49">
        <f ca="1"/>
        <v>0</v>
      </c>
      <c r="AR464" s="49">
        <f ca="1"/>
        <v>0</v>
      </c>
      <c r="AS464" s="49">
        <f ca="1"/>
        <v>0</v>
      </c>
      <c r="AT464" s="49">
        <f ca="1"/>
        <v>0</v>
      </c>
      <c r="AU464" s="49">
        <f ca="1"/>
        <v>0</v>
      </c>
      <c r="AV464" s="49">
        <f ca="1"/>
        <v>0</v>
      </c>
      <c r="AW464" s="49">
        <f ca="1"/>
        <v>0</v>
      </c>
      <c r="AX464" s="49">
        <f ca="1"/>
        <v>0</v>
      </c>
      <c r="AY464" s="49">
        <f ca="1"/>
        <v>0</v>
      </c>
      <c r="AZ464" s="49">
        <f ca="1"/>
        <v>0</v>
      </c>
      <c r="BA464" s="49">
        <f ca="1"/>
        <v>0</v>
      </c>
      <c r="BB464" s="49">
        <f ca="1"/>
        <v>0</v>
      </c>
      <c r="BC464" s="49">
        <f ca="1"/>
        <v>0</v>
      </c>
      <c r="BD464" s="49">
        <f ca="1"/>
        <v>0</v>
      </c>
      <c r="BE464" s="49">
        <f ca="1"/>
        <v>0</v>
      </c>
      <c r="BF464" s="49">
        <f ca="1"/>
        <v>0</v>
      </c>
      <c r="BG464" s="49">
        <f ca="1"/>
        <v>0</v>
      </c>
      <c r="BH464" s="49">
        <f ca="1"/>
        <v>0</v>
      </c>
      <c r="BI464" s="49">
        <f ca="1"/>
        <v>0</v>
      </c>
      <c r="BJ464" s="49">
        <f ca="1"/>
        <v>0</v>
      </c>
      <c r="BK464" s="49">
        <f ca="1"/>
        <v>0</v>
      </c>
      <c r="BL464" s="49">
        <f ca="1"/>
        <v>0</v>
      </c>
      <c r="BM464" s="49">
        <f ca="1"/>
        <v>0</v>
      </c>
      <c r="BN464" s="49">
        <f ca="1"/>
        <v>0</v>
      </c>
      <c r="BO464" s="49">
        <f ca="1"/>
        <v>0</v>
      </c>
      <c r="BP464" s="49">
        <f ca="1"/>
        <v>0</v>
      </c>
      <c r="BQ464" s="49">
        <f ca="1"/>
        <v>0</v>
      </c>
      <c r="BR464" s="49">
        <f ca="1"/>
        <v>0</v>
      </c>
      <c r="BS464" s="49">
        <f ca="1"/>
        <v>0</v>
      </c>
    </row>
    <row r="465" spans="3:71" outlineLevel="1" x14ac:dyDescent="0.2">
      <c r="J465" s="26"/>
      <c r="L465" s="55"/>
      <c r="M465" s="55"/>
      <c r="N465" s="55"/>
      <c r="O465" s="55"/>
      <c r="P465" s="55"/>
      <c r="Q465" s="55"/>
      <c r="R465" s="55"/>
      <c r="S465" s="55"/>
      <c r="T465" s="55"/>
      <c r="U465" s="55"/>
      <c r="V465" s="55"/>
      <c r="W465" s="55"/>
      <c r="X465" s="55"/>
      <c r="Y465" s="55"/>
      <c r="Z465" s="55"/>
      <c r="AA465" s="55"/>
      <c r="AB465" s="55"/>
      <c r="AC465" s="55"/>
      <c r="AD465" s="55"/>
      <c r="AE465" s="55"/>
      <c r="AF465" s="55"/>
      <c r="AG465" s="55"/>
      <c r="AH465" s="55"/>
      <c r="AI465" s="55"/>
      <c r="AJ465" s="55"/>
      <c r="AK465" s="55"/>
      <c r="AL465" s="55"/>
      <c r="AM465" s="55"/>
      <c r="AN465" s="55"/>
      <c r="AO465" s="55"/>
      <c r="AP465" s="55"/>
      <c r="AQ465" s="55"/>
      <c r="AR465" s="55"/>
      <c r="AS465" s="55"/>
      <c r="AT465" s="55"/>
      <c r="AU465" s="55"/>
      <c r="AV465" s="55"/>
      <c r="AW465" s="55"/>
      <c r="AX465" s="55"/>
      <c r="AY465" s="55"/>
      <c r="AZ465" s="55"/>
      <c r="BA465" s="55"/>
      <c r="BB465" s="55"/>
      <c r="BC465" s="55"/>
      <c r="BD465" s="55"/>
      <c r="BE465" s="55"/>
      <c r="BF465" s="55"/>
      <c r="BG465" s="55"/>
      <c r="BH465" s="55"/>
      <c r="BI465" s="55"/>
      <c r="BJ465" s="55"/>
      <c r="BK465" s="55"/>
      <c r="BL465" s="55"/>
      <c r="BM465" s="55"/>
      <c r="BN465" s="55"/>
      <c r="BO465" s="55"/>
      <c r="BP465" s="55"/>
      <c r="BQ465" s="55"/>
      <c r="BR465" s="55"/>
      <c r="BS465" s="55"/>
    </row>
    <row r="466" spans="3:71" outlineLevel="1" x14ac:dyDescent="0.2">
      <c r="C466" s="11" t="str">
        <f>HM_ZB_Nsoko!C452</f>
        <v>Production et autres taxes</v>
      </c>
      <c r="I466" s="30">
        <f t="shared" ref="I466:I476" si="246">SUM($L466:$BS466)</f>
        <v>0</v>
      </c>
      <c r="J466" s="26" t="s">
        <v>148</v>
      </c>
      <c r="L466" s="49">
        <v>0</v>
      </c>
      <c r="M466" s="49">
        <v>0</v>
      </c>
      <c r="N466" s="49">
        <v>0</v>
      </c>
      <c r="O466" s="49">
        <v>0</v>
      </c>
      <c r="P466" s="49">
        <v>0</v>
      </c>
      <c r="Q466" s="49">
        <v>0</v>
      </c>
      <c r="R466" s="49">
        <v>0</v>
      </c>
      <c r="S466" s="49">
        <v>0</v>
      </c>
      <c r="T466" s="49">
        <v>0</v>
      </c>
      <c r="U466" s="49">
        <v>0</v>
      </c>
      <c r="V466" s="49">
        <v>0</v>
      </c>
      <c r="W466" s="49">
        <v>0</v>
      </c>
      <c r="X466" s="49">
        <v>0</v>
      </c>
      <c r="Y466" s="49">
        <v>0</v>
      </c>
      <c r="Z466" s="49">
        <v>0</v>
      </c>
      <c r="AA466" s="49">
        <v>0</v>
      </c>
      <c r="AB466" s="49">
        <v>0</v>
      </c>
      <c r="AC466" s="49">
        <v>0</v>
      </c>
      <c r="AD466" s="49">
        <v>0</v>
      </c>
      <c r="AE466" s="49">
        <v>0</v>
      </c>
      <c r="AF466" s="49">
        <v>0</v>
      </c>
      <c r="AG466" s="49">
        <v>0</v>
      </c>
      <c r="AH466" s="49">
        <v>0</v>
      </c>
      <c r="AI466" s="49">
        <v>0</v>
      </c>
      <c r="AJ466" s="49">
        <v>0</v>
      </c>
      <c r="AK466" s="49">
        <v>0</v>
      </c>
      <c r="AL466" s="49">
        <v>0</v>
      </c>
      <c r="AM466" s="49">
        <v>0</v>
      </c>
      <c r="AN466" s="49">
        <v>0</v>
      </c>
      <c r="AO466" s="49">
        <v>0</v>
      </c>
      <c r="AP466" s="49">
        <v>0</v>
      </c>
      <c r="AQ466" s="49">
        <v>0</v>
      </c>
      <c r="AR466" s="49">
        <v>0</v>
      </c>
      <c r="AS466" s="49">
        <v>0</v>
      </c>
      <c r="AT466" s="49">
        <v>0</v>
      </c>
      <c r="AU466" s="49">
        <v>0</v>
      </c>
      <c r="AV466" s="49">
        <v>0</v>
      </c>
      <c r="AW466" s="49">
        <v>0</v>
      </c>
      <c r="AX466" s="49">
        <v>0</v>
      </c>
      <c r="AY466" s="49">
        <v>0</v>
      </c>
      <c r="AZ466" s="49">
        <v>0</v>
      </c>
      <c r="BA466" s="49">
        <v>0</v>
      </c>
      <c r="BB466" s="49">
        <v>0</v>
      </c>
      <c r="BC466" s="49">
        <v>0</v>
      </c>
      <c r="BD466" s="49">
        <v>0</v>
      </c>
      <c r="BE466" s="49">
        <v>0</v>
      </c>
      <c r="BF466" s="49">
        <v>0</v>
      </c>
      <c r="BG466" s="49">
        <v>0</v>
      </c>
      <c r="BH466" s="49">
        <v>0</v>
      </c>
      <c r="BI466" s="49">
        <v>0</v>
      </c>
      <c r="BJ466" s="49">
        <v>0</v>
      </c>
      <c r="BK466" s="49">
        <v>0</v>
      </c>
      <c r="BL466" s="49">
        <v>0</v>
      </c>
      <c r="BM466" s="49">
        <v>0</v>
      </c>
      <c r="BN466" s="49">
        <v>0</v>
      </c>
      <c r="BO466" s="49">
        <v>0</v>
      </c>
      <c r="BP466" s="49">
        <v>0</v>
      </c>
      <c r="BQ466" s="49">
        <v>0</v>
      </c>
      <c r="BR466" s="49">
        <v>0</v>
      </c>
      <c r="BS466" s="49">
        <v>0</v>
      </c>
    </row>
    <row r="467" spans="3:71" outlineLevel="1" x14ac:dyDescent="0.2">
      <c r="J467" s="26"/>
      <c r="L467" s="55"/>
      <c r="M467" s="55"/>
      <c r="N467" s="55"/>
      <c r="O467" s="55"/>
      <c r="P467" s="55"/>
      <c r="Q467" s="55"/>
      <c r="R467" s="55"/>
      <c r="S467" s="55"/>
      <c r="T467" s="55"/>
      <c r="U467" s="55"/>
      <c r="V467" s="55"/>
      <c r="W467" s="55"/>
      <c r="X467" s="55"/>
      <c r="Y467" s="55"/>
      <c r="Z467" s="55"/>
      <c r="AA467" s="55"/>
      <c r="AB467" s="55"/>
      <c r="AC467" s="55"/>
      <c r="AD467" s="55"/>
      <c r="AE467" s="55"/>
      <c r="AF467" s="55"/>
      <c r="AG467" s="55"/>
      <c r="AH467" s="55"/>
      <c r="AI467" s="55"/>
      <c r="AJ467" s="55"/>
      <c r="AK467" s="55"/>
      <c r="AL467" s="55"/>
      <c r="AM467" s="55"/>
      <c r="AN467" s="55"/>
      <c r="AO467" s="55"/>
      <c r="AP467" s="55"/>
      <c r="AQ467" s="55"/>
      <c r="AR467" s="55"/>
      <c r="AS467" s="55"/>
      <c r="AT467" s="55"/>
      <c r="AU467" s="55"/>
      <c r="AV467" s="55"/>
      <c r="AW467" s="55"/>
      <c r="AX467" s="55"/>
      <c r="AY467" s="55"/>
      <c r="AZ467" s="55"/>
      <c r="BA467" s="55"/>
      <c r="BB467" s="55"/>
      <c r="BC467" s="55"/>
      <c r="BD467" s="55"/>
      <c r="BE467" s="55"/>
      <c r="BF467" s="55"/>
      <c r="BG467" s="55"/>
      <c r="BH467" s="55"/>
      <c r="BI467" s="55"/>
      <c r="BJ467" s="55"/>
      <c r="BK467" s="55"/>
      <c r="BL467" s="55"/>
      <c r="BM467" s="55"/>
      <c r="BN467" s="55"/>
      <c r="BO467" s="55"/>
      <c r="BP467" s="55"/>
      <c r="BQ467" s="55"/>
      <c r="BR467" s="55"/>
      <c r="BS467" s="55"/>
    </row>
    <row r="468" spans="3:71" outlineLevel="1" x14ac:dyDescent="0.2">
      <c r="C468" s="11" t="str">
        <f>HM_ZB_Nsoko!C454</f>
        <v>Capex hors abandon</v>
      </c>
      <c r="I468" s="30">
        <f t="shared" ca="1" si="246"/>
        <v>10913.591</v>
      </c>
      <c r="J468" s="26" t="s">
        <v>148</v>
      </c>
      <c r="L468" s="49">
        <f ca="1">SUM(L445:L446)</f>
        <v>1286.7819999999999</v>
      </c>
      <c r="M468" s="49">
        <f t="shared" ref="M468:BS468" ca="1" si="247">SUM(M445:M446)</f>
        <v>2118.212</v>
      </c>
      <c r="N468" s="49">
        <f t="shared" ca="1" si="247"/>
        <v>3130.5740000000001</v>
      </c>
      <c r="O468" s="49">
        <f t="shared" ca="1" si="247"/>
        <v>2571.201</v>
      </c>
      <c r="P468" s="49">
        <f t="shared" ca="1" si="247"/>
        <v>1153.232</v>
      </c>
      <c r="Q468" s="49">
        <f t="shared" ca="1" si="247"/>
        <v>653.59</v>
      </c>
      <c r="R468" s="49">
        <f t="shared" ca="1" si="247"/>
        <v>0</v>
      </c>
      <c r="S468" s="49">
        <f t="shared" ca="1" si="247"/>
        <v>0</v>
      </c>
      <c r="T468" s="49">
        <f t="shared" ca="1" si="247"/>
        <v>0</v>
      </c>
      <c r="U468" s="49">
        <f t="shared" ca="1" si="247"/>
        <v>0</v>
      </c>
      <c r="V468" s="49">
        <f t="shared" ca="1" si="247"/>
        <v>0</v>
      </c>
      <c r="W468" s="49">
        <f t="shared" ca="1" si="247"/>
        <v>0</v>
      </c>
      <c r="X468" s="49">
        <f t="shared" ca="1" si="247"/>
        <v>0</v>
      </c>
      <c r="Y468" s="49">
        <f t="shared" ca="1" si="247"/>
        <v>0</v>
      </c>
      <c r="Z468" s="49">
        <f t="shared" ca="1" si="247"/>
        <v>0</v>
      </c>
      <c r="AA468" s="49">
        <f t="shared" ca="1" si="247"/>
        <v>0</v>
      </c>
      <c r="AB468" s="49">
        <f t="shared" ca="1" si="247"/>
        <v>0</v>
      </c>
      <c r="AC468" s="49">
        <f t="shared" ca="1" si="247"/>
        <v>0</v>
      </c>
      <c r="AD468" s="49">
        <f t="shared" ca="1" si="247"/>
        <v>0</v>
      </c>
      <c r="AE468" s="49">
        <f t="shared" ca="1" si="247"/>
        <v>0</v>
      </c>
      <c r="AF468" s="49">
        <f t="shared" ca="1" si="247"/>
        <v>0</v>
      </c>
      <c r="AG468" s="49">
        <f t="shared" ca="1" si="247"/>
        <v>0</v>
      </c>
      <c r="AH468" s="49">
        <f t="shared" ca="1" si="247"/>
        <v>0</v>
      </c>
      <c r="AI468" s="49">
        <f t="shared" ca="1" si="247"/>
        <v>0</v>
      </c>
      <c r="AJ468" s="49">
        <f t="shared" ca="1" si="247"/>
        <v>0</v>
      </c>
      <c r="AK468" s="49">
        <f t="shared" ca="1" si="247"/>
        <v>0</v>
      </c>
      <c r="AL468" s="49">
        <f t="shared" ca="1" si="247"/>
        <v>0</v>
      </c>
      <c r="AM468" s="49">
        <f t="shared" ca="1" si="247"/>
        <v>0</v>
      </c>
      <c r="AN468" s="49">
        <f t="shared" ca="1" si="247"/>
        <v>0</v>
      </c>
      <c r="AO468" s="49">
        <f t="shared" ca="1" si="247"/>
        <v>0</v>
      </c>
      <c r="AP468" s="49">
        <f t="shared" ca="1" si="247"/>
        <v>0</v>
      </c>
      <c r="AQ468" s="49">
        <f t="shared" ca="1" si="247"/>
        <v>0</v>
      </c>
      <c r="AR468" s="49">
        <f t="shared" ca="1" si="247"/>
        <v>0</v>
      </c>
      <c r="AS468" s="49">
        <f t="shared" ca="1" si="247"/>
        <v>0</v>
      </c>
      <c r="AT468" s="49">
        <f t="shared" ca="1" si="247"/>
        <v>0</v>
      </c>
      <c r="AU468" s="49">
        <f t="shared" ca="1" si="247"/>
        <v>0</v>
      </c>
      <c r="AV468" s="49">
        <f t="shared" ca="1" si="247"/>
        <v>0</v>
      </c>
      <c r="AW468" s="49">
        <f t="shared" ca="1" si="247"/>
        <v>0</v>
      </c>
      <c r="AX468" s="49">
        <f t="shared" ca="1" si="247"/>
        <v>0</v>
      </c>
      <c r="AY468" s="49">
        <f t="shared" ca="1" si="247"/>
        <v>0</v>
      </c>
      <c r="AZ468" s="49">
        <f t="shared" ca="1" si="247"/>
        <v>0</v>
      </c>
      <c r="BA468" s="49">
        <f t="shared" ca="1" si="247"/>
        <v>0</v>
      </c>
      <c r="BB468" s="49">
        <f t="shared" ca="1" si="247"/>
        <v>0</v>
      </c>
      <c r="BC468" s="49">
        <f t="shared" ca="1" si="247"/>
        <v>0</v>
      </c>
      <c r="BD468" s="49">
        <f t="shared" ca="1" si="247"/>
        <v>0</v>
      </c>
      <c r="BE468" s="49">
        <f t="shared" ca="1" si="247"/>
        <v>0</v>
      </c>
      <c r="BF468" s="49">
        <f t="shared" ca="1" si="247"/>
        <v>0</v>
      </c>
      <c r="BG468" s="49">
        <f t="shared" ca="1" si="247"/>
        <v>0</v>
      </c>
      <c r="BH468" s="49">
        <f t="shared" ca="1" si="247"/>
        <v>0</v>
      </c>
      <c r="BI468" s="49">
        <f t="shared" ca="1" si="247"/>
        <v>0</v>
      </c>
      <c r="BJ468" s="49">
        <f t="shared" ca="1" si="247"/>
        <v>0</v>
      </c>
      <c r="BK468" s="49">
        <f t="shared" ca="1" si="247"/>
        <v>0</v>
      </c>
      <c r="BL468" s="49">
        <f t="shared" ca="1" si="247"/>
        <v>0</v>
      </c>
      <c r="BM468" s="49">
        <f t="shared" ca="1" si="247"/>
        <v>0</v>
      </c>
      <c r="BN468" s="49">
        <f t="shared" ca="1" si="247"/>
        <v>0</v>
      </c>
      <c r="BO468" s="49">
        <f t="shared" ca="1" si="247"/>
        <v>0</v>
      </c>
      <c r="BP468" s="49">
        <f t="shared" ca="1" si="247"/>
        <v>0</v>
      </c>
      <c r="BQ468" s="49">
        <f t="shared" ca="1" si="247"/>
        <v>0</v>
      </c>
      <c r="BR468" s="49">
        <f t="shared" ca="1" si="247"/>
        <v>0</v>
      </c>
      <c r="BS468" s="49">
        <f t="shared" ca="1" si="247"/>
        <v>0</v>
      </c>
    </row>
    <row r="469" spans="3:71" outlineLevel="1" x14ac:dyDescent="0.2">
      <c r="J469" s="26"/>
      <c r="L469" s="55"/>
      <c r="M469" s="55"/>
      <c r="N469" s="55"/>
      <c r="O469" s="55"/>
      <c r="P469" s="55"/>
      <c r="Q469" s="55"/>
      <c r="R469" s="55"/>
      <c r="S469" s="55"/>
      <c r="T469" s="55"/>
      <c r="U469" s="55"/>
      <c r="V469" s="55"/>
      <c r="W469" s="55"/>
      <c r="X469" s="55"/>
      <c r="Y469" s="55"/>
      <c r="Z469" s="55"/>
      <c r="AA469" s="55"/>
      <c r="AB469" s="55"/>
      <c r="AC469" s="55"/>
      <c r="AD469" s="55"/>
      <c r="AE469" s="55"/>
      <c r="AF469" s="55"/>
      <c r="AG469" s="55"/>
      <c r="AH469" s="55"/>
      <c r="AI469" s="55"/>
      <c r="AJ469" s="55"/>
      <c r="AK469" s="55"/>
      <c r="AL469" s="55"/>
      <c r="AM469" s="55"/>
      <c r="AN469" s="55"/>
      <c r="AO469" s="55"/>
      <c r="AP469" s="55"/>
      <c r="AQ469" s="55"/>
      <c r="AR469" s="55"/>
      <c r="AS469" s="55"/>
      <c r="AT469" s="55"/>
      <c r="AU469" s="55"/>
      <c r="AV469" s="55"/>
      <c r="AW469" s="55"/>
      <c r="AX469" s="55"/>
      <c r="AY469" s="55"/>
      <c r="AZ469" s="55"/>
      <c r="BA469" s="55"/>
      <c r="BB469" s="55"/>
      <c r="BC469" s="55"/>
      <c r="BD469" s="55"/>
      <c r="BE469" s="55"/>
      <c r="BF469" s="55"/>
      <c r="BG469" s="55"/>
      <c r="BH469" s="55"/>
      <c r="BI469" s="55"/>
      <c r="BJ469" s="55"/>
      <c r="BK469" s="55"/>
      <c r="BL469" s="55"/>
      <c r="BM469" s="55"/>
      <c r="BN469" s="55"/>
      <c r="BO469" s="55"/>
      <c r="BP469" s="55"/>
      <c r="BQ469" s="55"/>
      <c r="BR469" s="55"/>
      <c r="BS469" s="55"/>
    </row>
    <row r="470" spans="3:71" outlineLevel="1" x14ac:dyDescent="0.2">
      <c r="C470" s="11" t="str">
        <f>HM_ZB_Nsoko!C456</f>
        <v>Abandon</v>
      </c>
      <c r="I470" s="30">
        <f t="shared" ca="1" si="246"/>
        <v>0</v>
      </c>
      <c r="J470" s="26" t="s">
        <v>148</v>
      </c>
      <c r="L470" s="49">
        <f ca="1">L447</f>
        <v>0</v>
      </c>
      <c r="M470" s="49">
        <f t="shared" ref="M470:BS470" ca="1" si="248">M447</f>
        <v>0</v>
      </c>
      <c r="N470" s="49">
        <f t="shared" ca="1" si="248"/>
        <v>0</v>
      </c>
      <c r="O470" s="49">
        <f t="shared" ca="1" si="248"/>
        <v>0</v>
      </c>
      <c r="P470" s="49">
        <f t="shared" ca="1" si="248"/>
        <v>0</v>
      </c>
      <c r="Q470" s="49">
        <f t="shared" ca="1" si="248"/>
        <v>0</v>
      </c>
      <c r="R470" s="49">
        <f t="shared" ca="1" si="248"/>
        <v>0</v>
      </c>
      <c r="S470" s="49">
        <f t="shared" ca="1" si="248"/>
        <v>0</v>
      </c>
      <c r="T470" s="49">
        <f t="shared" ca="1" si="248"/>
        <v>0</v>
      </c>
      <c r="U470" s="49">
        <f t="shared" ca="1" si="248"/>
        <v>0</v>
      </c>
      <c r="V470" s="49">
        <f t="shared" ca="1" si="248"/>
        <v>0</v>
      </c>
      <c r="W470" s="49">
        <f t="shared" ca="1" si="248"/>
        <v>0</v>
      </c>
      <c r="X470" s="49">
        <f t="shared" ca="1" si="248"/>
        <v>0</v>
      </c>
      <c r="Y470" s="49">
        <f t="shared" ca="1" si="248"/>
        <v>0</v>
      </c>
      <c r="Z470" s="49">
        <f t="shared" ca="1" si="248"/>
        <v>0</v>
      </c>
      <c r="AA470" s="49">
        <f t="shared" ca="1" si="248"/>
        <v>0</v>
      </c>
      <c r="AB470" s="49">
        <f t="shared" ca="1" si="248"/>
        <v>0</v>
      </c>
      <c r="AC470" s="49">
        <f t="shared" ca="1" si="248"/>
        <v>0</v>
      </c>
      <c r="AD470" s="49">
        <f t="shared" ca="1" si="248"/>
        <v>0</v>
      </c>
      <c r="AE470" s="49">
        <f t="shared" ca="1" si="248"/>
        <v>0</v>
      </c>
      <c r="AF470" s="49">
        <f t="shared" ca="1" si="248"/>
        <v>0</v>
      </c>
      <c r="AG470" s="49">
        <f t="shared" ca="1" si="248"/>
        <v>0</v>
      </c>
      <c r="AH470" s="49">
        <f t="shared" ca="1" si="248"/>
        <v>0</v>
      </c>
      <c r="AI470" s="49">
        <f t="shared" ca="1" si="248"/>
        <v>0</v>
      </c>
      <c r="AJ470" s="49">
        <f t="shared" ca="1" si="248"/>
        <v>0</v>
      </c>
      <c r="AK470" s="49">
        <f t="shared" ca="1" si="248"/>
        <v>0</v>
      </c>
      <c r="AL470" s="49">
        <f t="shared" ca="1" si="248"/>
        <v>0</v>
      </c>
      <c r="AM470" s="49">
        <f t="shared" ca="1" si="248"/>
        <v>0</v>
      </c>
      <c r="AN470" s="49">
        <f t="shared" ca="1" si="248"/>
        <v>0</v>
      </c>
      <c r="AO470" s="49">
        <f t="shared" ca="1" si="248"/>
        <v>0</v>
      </c>
      <c r="AP470" s="49">
        <f t="shared" ca="1" si="248"/>
        <v>0</v>
      </c>
      <c r="AQ470" s="49">
        <f t="shared" ca="1" si="248"/>
        <v>0</v>
      </c>
      <c r="AR470" s="49">
        <f t="shared" ca="1" si="248"/>
        <v>0</v>
      </c>
      <c r="AS470" s="49">
        <f t="shared" ca="1" si="248"/>
        <v>0</v>
      </c>
      <c r="AT470" s="49">
        <f t="shared" ca="1" si="248"/>
        <v>0</v>
      </c>
      <c r="AU470" s="49">
        <f t="shared" ca="1" si="248"/>
        <v>0</v>
      </c>
      <c r="AV470" s="49">
        <f t="shared" ca="1" si="248"/>
        <v>0</v>
      </c>
      <c r="AW470" s="49">
        <f t="shared" ca="1" si="248"/>
        <v>0</v>
      </c>
      <c r="AX470" s="49">
        <f t="shared" ca="1" si="248"/>
        <v>0</v>
      </c>
      <c r="AY470" s="49">
        <f t="shared" ca="1" si="248"/>
        <v>0</v>
      </c>
      <c r="AZ470" s="49">
        <f t="shared" ca="1" si="248"/>
        <v>0</v>
      </c>
      <c r="BA470" s="49">
        <f t="shared" ca="1" si="248"/>
        <v>0</v>
      </c>
      <c r="BB470" s="49">
        <f t="shared" ca="1" si="248"/>
        <v>0</v>
      </c>
      <c r="BC470" s="49">
        <f t="shared" ca="1" si="248"/>
        <v>0</v>
      </c>
      <c r="BD470" s="49">
        <f t="shared" ca="1" si="248"/>
        <v>0</v>
      </c>
      <c r="BE470" s="49">
        <f t="shared" ca="1" si="248"/>
        <v>0</v>
      </c>
      <c r="BF470" s="49">
        <f t="shared" ca="1" si="248"/>
        <v>0</v>
      </c>
      <c r="BG470" s="49">
        <f t="shared" ca="1" si="248"/>
        <v>0</v>
      </c>
      <c r="BH470" s="49">
        <f t="shared" ca="1" si="248"/>
        <v>0</v>
      </c>
      <c r="BI470" s="49">
        <f t="shared" ca="1" si="248"/>
        <v>0</v>
      </c>
      <c r="BJ470" s="49">
        <f t="shared" ca="1" si="248"/>
        <v>0</v>
      </c>
      <c r="BK470" s="49">
        <f t="shared" ca="1" si="248"/>
        <v>0</v>
      </c>
      <c r="BL470" s="49">
        <f t="shared" ca="1" si="248"/>
        <v>0</v>
      </c>
      <c r="BM470" s="49">
        <f t="shared" ca="1" si="248"/>
        <v>0</v>
      </c>
      <c r="BN470" s="49">
        <f t="shared" ca="1" si="248"/>
        <v>0</v>
      </c>
      <c r="BO470" s="49">
        <f t="shared" ca="1" si="248"/>
        <v>0</v>
      </c>
      <c r="BP470" s="49">
        <f t="shared" ca="1" si="248"/>
        <v>0</v>
      </c>
      <c r="BQ470" s="49">
        <f t="shared" ca="1" si="248"/>
        <v>0</v>
      </c>
      <c r="BR470" s="49">
        <f t="shared" ca="1" si="248"/>
        <v>0</v>
      </c>
      <c r="BS470" s="49">
        <f t="shared" ca="1" si="248"/>
        <v>0</v>
      </c>
    </row>
    <row r="471" spans="3:71" outlineLevel="1" x14ac:dyDescent="0.2">
      <c r="J471" s="26"/>
      <c r="L471" s="55"/>
      <c r="M471" s="55"/>
      <c r="N471" s="55"/>
      <c r="O471" s="55"/>
      <c r="P471" s="55"/>
      <c r="Q471" s="55"/>
      <c r="R471" s="55"/>
      <c r="S471" s="55"/>
      <c r="T471" s="55"/>
      <c r="U471" s="55"/>
      <c r="V471" s="55"/>
      <c r="W471" s="55"/>
      <c r="X471" s="55"/>
      <c r="Y471" s="55"/>
      <c r="Z471" s="55"/>
      <c r="AA471" s="55"/>
      <c r="AB471" s="55"/>
      <c r="AC471" s="55"/>
      <c r="AD471" s="55"/>
      <c r="AE471" s="55"/>
      <c r="AF471" s="55"/>
      <c r="AG471" s="55"/>
      <c r="AH471" s="55"/>
      <c r="AI471" s="55"/>
      <c r="AJ471" s="55"/>
      <c r="AK471" s="55"/>
      <c r="AL471" s="55"/>
      <c r="AM471" s="55"/>
      <c r="AN471" s="55"/>
      <c r="AO471" s="55"/>
      <c r="AP471" s="55"/>
      <c r="AQ471" s="55"/>
      <c r="AR471" s="55"/>
      <c r="AS471" s="55"/>
      <c r="AT471" s="55"/>
      <c r="AU471" s="55"/>
      <c r="AV471" s="55"/>
      <c r="AW471" s="55"/>
      <c r="AX471" s="55"/>
      <c r="AY471" s="55"/>
      <c r="AZ471" s="55"/>
      <c r="BA471" s="55"/>
      <c r="BB471" s="55"/>
      <c r="BC471" s="55"/>
      <c r="BD471" s="55"/>
      <c r="BE471" s="55"/>
      <c r="BF471" s="55"/>
      <c r="BG471" s="55"/>
      <c r="BH471" s="55"/>
      <c r="BI471" s="55"/>
      <c r="BJ471" s="55"/>
      <c r="BK471" s="55"/>
      <c r="BL471" s="55"/>
      <c r="BM471" s="55"/>
      <c r="BN471" s="55"/>
      <c r="BO471" s="55"/>
      <c r="BP471" s="55"/>
      <c r="BQ471" s="55"/>
      <c r="BR471" s="55"/>
      <c r="BS471" s="55"/>
    </row>
    <row r="472" spans="3:71" outlineLevel="1" x14ac:dyDescent="0.2">
      <c r="C472" s="11" t="str">
        <f>HM_ZB_Nsoko!C458</f>
        <v>Impôt sur le revenu</v>
      </c>
      <c r="I472" s="30">
        <f t="shared" si="246"/>
        <v>0</v>
      </c>
      <c r="J472" s="26" t="s">
        <v>148</v>
      </c>
      <c r="L472" s="49">
        <v>0</v>
      </c>
      <c r="M472" s="49">
        <v>0</v>
      </c>
      <c r="N472" s="49">
        <v>0</v>
      </c>
      <c r="O472" s="49">
        <v>0</v>
      </c>
      <c r="P472" s="49">
        <v>0</v>
      </c>
      <c r="Q472" s="49">
        <v>0</v>
      </c>
      <c r="R472" s="49">
        <v>0</v>
      </c>
      <c r="S472" s="49">
        <v>0</v>
      </c>
      <c r="T472" s="49">
        <v>0</v>
      </c>
      <c r="U472" s="49">
        <v>0</v>
      </c>
      <c r="V472" s="49">
        <v>0</v>
      </c>
      <c r="W472" s="49">
        <v>0</v>
      </c>
      <c r="X472" s="49">
        <v>0</v>
      </c>
      <c r="Y472" s="49">
        <v>0</v>
      </c>
      <c r="Z472" s="49">
        <v>0</v>
      </c>
      <c r="AA472" s="49">
        <v>0</v>
      </c>
      <c r="AB472" s="49">
        <v>0</v>
      </c>
      <c r="AC472" s="49">
        <v>0</v>
      </c>
      <c r="AD472" s="49">
        <v>0</v>
      </c>
      <c r="AE472" s="49">
        <v>0</v>
      </c>
      <c r="AF472" s="49">
        <v>0</v>
      </c>
      <c r="AG472" s="49">
        <v>0</v>
      </c>
      <c r="AH472" s="49">
        <v>0</v>
      </c>
      <c r="AI472" s="49">
        <v>0</v>
      </c>
      <c r="AJ472" s="49">
        <v>0</v>
      </c>
      <c r="AK472" s="49">
        <v>0</v>
      </c>
      <c r="AL472" s="49">
        <v>0</v>
      </c>
      <c r="AM472" s="49">
        <v>0</v>
      </c>
      <c r="AN472" s="49">
        <v>0</v>
      </c>
      <c r="AO472" s="49">
        <v>0</v>
      </c>
      <c r="AP472" s="49">
        <v>0</v>
      </c>
      <c r="AQ472" s="49">
        <v>0</v>
      </c>
      <c r="AR472" s="49">
        <v>0</v>
      </c>
      <c r="AS472" s="49">
        <v>0</v>
      </c>
      <c r="AT472" s="49">
        <v>0</v>
      </c>
      <c r="AU472" s="49">
        <v>0</v>
      </c>
      <c r="AV472" s="49">
        <v>0</v>
      </c>
      <c r="AW472" s="49">
        <v>0</v>
      </c>
      <c r="AX472" s="49">
        <v>0</v>
      </c>
      <c r="AY472" s="49">
        <v>0</v>
      </c>
      <c r="AZ472" s="49">
        <v>0</v>
      </c>
      <c r="BA472" s="49">
        <v>0</v>
      </c>
      <c r="BB472" s="49">
        <v>0</v>
      </c>
      <c r="BC472" s="49">
        <v>0</v>
      </c>
      <c r="BD472" s="49">
        <v>0</v>
      </c>
      <c r="BE472" s="49">
        <v>0</v>
      </c>
      <c r="BF472" s="49">
        <v>0</v>
      </c>
      <c r="BG472" s="49">
        <v>0</v>
      </c>
      <c r="BH472" s="49">
        <v>0</v>
      </c>
      <c r="BI472" s="49">
        <v>0</v>
      </c>
      <c r="BJ472" s="49">
        <v>0</v>
      </c>
      <c r="BK472" s="49">
        <v>0</v>
      </c>
      <c r="BL472" s="49">
        <v>0</v>
      </c>
      <c r="BM472" s="49">
        <v>0</v>
      </c>
      <c r="BN472" s="49">
        <v>0</v>
      </c>
      <c r="BO472" s="49">
        <v>0</v>
      </c>
      <c r="BP472" s="49">
        <v>0</v>
      </c>
      <c r="BQ472" s="49">
        <v>0</v>
      </c>
      <c r="BR472" s="49">
        <v>0</v>
      </c>
      <c r="BS472" s="49">
        <v>0</v>
      </c>
    </row>
    <row r="473" spans="3:71" outlineLevel="1" x14ac:dyDescent="0.2">
      <c r="J473" s="26"/>
      <c r="L473" s="55"/>
      <c r="M473" s="55"/>
      <c r="N473" s="55"/>
      <c r="O473" s="55"/>
      <c r="P473" s="55"/>
      <c r="Q473" s="55"/>
      <c r="R473" s="55"/>
      <c r="S473" s="55"/>
      <c r="T473" s="55"/>
      <c r="U473" s="55"/>
      <c r="V473" s="55"/>
      <c r="W473" s="55"/>
      <c r="X473" s="55"/>
      <c r="Y473" s="55"/>
      <c r="Z473" s="55"/>
      <c r="AA473" s="55"/>
      <c r="AB473" s="55"/>
      <c r="AC473" s="55"/>
      <c r="AD473" s="55"/>
      <c r="AE473" s="55"/>
      <c r="AF473" s="55"/>
      <c r="AG473" s="55"/>
      <c r="AH473" s="55"/>
      <c r="AI473" s="55"/>
      <c r="AJ473" s="55"/>
      <c r="AK473" s="55"/>
      <c r="AL473" s="55"/>
      <c r="AM473" s="55"/>
      <c r="AN473" s="55"/>
      <c r="AO473" s="55"/>
      <c r="AP473" s="55"/>
      <c r="AQ473" s="55"/>
      <c r="AR473" s="55"/>
      <c r="AS473" s="55"/>
      <c r="AT473" s="55"/>
      <c r="AU473" s="55"/>
      <c r="AV473" s="55"/>
      <c r="AW473" s="55"/>
      <c r="AX473" s="55"/>
      <c r="AY473" s="55"/>
      <c r="AZ473" s="55"/>
      <c r="BA473" s="55"/>
      <c r="BB473" s="55"/>
      <c r="BC473" s="55"/>
      <c r="BD473" s="55"/>
      <c r="BE473" s="55"/>
      <c r="BF473" s="55"/>
      <c r="BG473" s="55"/>
      <c r="BH473" s="55"/>
      <c r="BI473" s="55"/>
      <c r="BJ473" s="55"/>
      <c r="BK473" s="55"/>
      <c r="BL473" s="55"/>
      <c r="BM473" s="55"/>
      <c r="BN473" s="55"/>
      <c r="BO473" s="55"/>
      <c r="BP473" s="55"/>
      <c r="BQ473" s="55"/>
      <c r="BR473" s="55"/>
      <c r="BS473" s="55"/>
    </row>
    <row r="474" spans="3:71" outlineLevel="1" x14ac:dyDescent="0.2">
      <c r="C474" s="11" t="str">
        <f>HM_ZB_Nsoko!C460</f>
        <v>Impôts supplémentaires</v>
      </c>
      <c r="I474" s="30">
        <f t="shared" si="246"/>
        <v>0</v>
      </c>
      <c r="J474" s="26" t="s">
        <v>148</v>
      </c>
      <c r="L474" s="49">
        <v>0</v>
      </c>
      <c r="M474" s="49">
        <v>0</v>
      </c>
      <c r="N474" s="49">
        <v>0</v>
      </c>
      <c r="O474" s="49">
        <v>0</v>
      </c>
      <c r="P474" s="49">
        <v>0</v>
      </c>
      <c r="Q474" s="49">
        <v>0</v>
      </c>
      <c r="R474" s="49">
        <v>0</v>
      </c>
      <c r="S474" s="49">
        <v>0</v>
      </c>
      <c r="T474" s="49">
        <v>0</v>
      </c>
      <c r="U474" s="49">
        <v>0</v>
      </c>
      <c r="V474" s="49">
        <v>0</v>
      </c>
      <c r="W474" s="49">
        <v>0</v>
      </c>
      <c r="X474" s="49">
        <v>0</v>
      </c>
      <c r="Y474" s="49">
        <v>0</v>
      </c>
      <c r="Z474" s="49">
        <v>0</v>
      </c>
      <c r="AA474" s="49">
        <v>0</v>
      </c>
      <c r="AB474" s="49">
        <v>0</v>
      </c>
      <c r="AC474" s="49">
        <v>0</v>
      </c>
      <c r="AD474" s="49">
        <v>0</v>
      </c>
      <c r="AE474" s="49">
        <v>0</v>
      </c>
      <c r="AF474" s="49">
        <v>0</v>
      </c>
      <c r="AG474" s="49">
        <v>0</v>
      </c>
      <c r="AH474" s="49">
        <v>0</v>
      </c>
      <c r="AI474" s="49">
        <v>0</v>
      </c>
      <c r="AJ474" s="49">
        <v>0</v>
      </c>
      <c r="AK474" s="49">
        <v>0</v>
      </c>
      <c r="AL474" s="49">
        <v>0</v>
      </c>
      <c r="AM474" s="49">
        <v>0</v>
      </c>
      <c r="AN474" s="49">
        <v>0</v>
      </c>
      <c r="AO474" s="49">
        <v>0</v>
      </c>
      <c r="AP474" s="49">
        <v>0</v>
      </c>
      <c r="AQ474" s="49">
        <v>0</v>
      </c>
      <c r="AR474" s="49">
        <v>0</v>
      </c>
      <c r="AS474" s="49">
        <v>0</v>
      </c>
      <c r="AT474" s="49">
        <v>0</v>
      </c>
      <c r="AU474" s="49">
        <v>0</v>
      </c>
      <c r="AV474" s="49">
        <v>0</v>
      </c>
      <c r="AW474" s="49">
        <v>0</v>
      </c>
      <c r="AX474" s="49">
        <v>0</v>
      </c>
      <c r="AY474" s="49">
        <v>0</v>
      </c>
      <c r="AZ474" s="49">
        <v>0</v>
      </c>
      <c r="BA474" s="49">
        <v>0</v>
      </c>
      <c r="BB474" s="49">
        <v>0</v>
      </c>
      <c r="BC474" s="49">
        <v>0</v>
      </c>
      <c r="BD474" s="49">
        <v>0</v>
      </c>
      <c r="BE474" s="49">
        <v>0</v>
      </c>
      <c r="BF474" s="49">
        <v>0</v>
      </c>
      <c r="BG474" s="49">
        <v>0</v>
      </c>
      <c r="BH474" s="49">
        <v>0</v>
      </c>
      <c r="BI474" s="49">
        <v>0</v>
      </c>
      <c r="BJ474" s="49">
        <v>0</v>
      </c>
      <c r="BK474" s="49">
        <v>0</v>
      </c>
      <c r="BL474" s="49">
        <v>0</v>
      </c>
      <c r="BM474" s="49">
        <v>0</v>
      </c>
      <c r="BN474" s="49">
        <v>0</v>
      </c>
      <c r="BO474" s="49">
        <v>0</v>
      </c>
      <c r="BP474" s="49">
        <v>0</v>
      </c>
      <c r="BQ474" s="49">
        <v>0</v>
      </c>
      <c r="BR474" s="49">
        <v>0</v>
      </c>
      <c r="BS474" s="49">
        <v>0</v>
      </c>
    </row>
    <row r="475" spans="3:71" outlineLevel="1" x14ac:dyDescent="0.2">
      <c r="J475" s="26"/>
      <c r="L475" s="55"/>
      <c r="M475" s="55"/>
      <c r="N475" s="55"/>
      <c r="O475" s="55"/>
      <c r="P475" s="55"/>
      <c r="Q475" s="55"/>
      <c r="R475" s="55"/>
      <c r="S475" s="55"/>
      <c r="T475" s="55"/>
      <c r="U475" s="55"/>
      <c r="V475" s="55"/>
      <c r="W475" s="55"/>
      <c r="X475" s="55"/>
      <c r="Y475" s="55"/>
      <c r="Z475" s="55"/>
      <c r="AA475" s="55"/>
      <c r="AB475" s="55"/>
      <c r="AC475" s="55"/>
      <c r="AD475" s="55"/>
      <c r="AE475" s="55"/>
      <c r="AF475" s="55"/>
      <c r="AG475" s="55"/>
      <c r="AH475" s="55"/>
      <c r="AI475" s="55"/>
      <c r="AJ475" s="55"/>
      <c r="AK475" s="55"/>
      <c r="AL475" s="55"/>
      <c r="AM475" s="55"/>
      <c r="AN475" s="55"/>
      <c r="AO475" s="55"/>
      <c r="AP475" s="55"/>
      <c r="AQ475" s="55"/>
      <c r="AR475" s="55"/>
      <c r="AS475" s="55"/>
      <c r="AT475" s="55"/>
      <c r="AU475" s="55"/>
      <c r="AV475" s="55"/>
      <c r="AW475" s="55"/>
      <c r="AX475" s="55"/>
      <c r="AY475" s="55"/>
      <c r="AZ475" s="55"/>
      <c r="BA475" s="55"/>
      <c r="BB475" s="55"/>
      <c r="BC475" s="55"/>
      <c r="BD475" s="55"/>
      <c r="BE475" s="55"/>
      <c r="BF475" s="55"/>
      <c r="BG475" s="55"/>
      <c r="BH475" s="55"/>
      <c r="BI475" s="55"/>
      <c r="BJ475" s="55"/>
      <c r="BK475" s="55"/>
      <c r="BL475" s="55"/>
      <c r="BM475" s="55"/>
      <c r="BN475" s="55"/>
      <c r="BO475" s="55"/>
      <c r="BP475" s="55"/>
      <c r="BQ475" s="55"/>
      <c r="BR475" s="55"/>
      <c r="BS475" s="55"/>
    </row>
    <row r="476" spans="3:71" outlineLevel="1" x14ac:dyDescent="0.2">
      <c r="C476" s="11" t="str">
        <f>HM_ZB_Nsoko!C462</f>
        <v>Flux de trésorerie après impôts</v>
      </c>
      <c r="I476" s="30">
        <f t="shared" ca="1" si="246"/>
        <v>7014.9329030956242</v>
      </c>
      <c r="J476" s="26" t="s">
        <v>148</v>
      </c>
      <c r="K476" s="7" t="s">
        <v>469</v>
      </c>
      <c r="L476" s="49">
        <f ca="1">L460-L462-L464-L466-L468-L470-L472-L474</f>
        <v>-787.81071256477117</v>
      </c>
      <c r="M476" s="49">
        <f t="shared" ref="M476:BS476" ca="1" si="249">M460-M462-M464-M466-M468-M470-M472-M474</f>
        <v>-1685.263751048635</v>
      </c>
      <c r="N476" s="49">
        <f t="shared" ca="1" si="249"/>
        <v>-2828.92859409725</v>
      </c>
      <c r="O476" s="49">
        <f t="shared" ca="1" si="249"/>
        <v>-2539.48831920271</v>
      </c>
      <c r="P476" s="49">
        <f t="shared" ca="1" si="249"/>
        <v>-612.78873460004468</v>
      </c>
      <c r="Q476" s="49">
        <f t="shared" ca="1" si="249"/>
        <v>1948.9961260213004</v>
      </c>
      <c r="R476" s="49">
        <f t="shared" ca="1" si="249"/>
        <v>2493.6104818514377</v>
      </c>
      <c r="S476" s="49">
        <f t="shared" ca="1" si="249"/>
        <v>1370.8431217250002</v>
      </c>
      <c r="T476" s="49">
        <f t="shared" ca="1" si="249"/>
        <v>2252.2016175162394</v>
      </c>
      <c r="U476" s="49">
        <f t="shared" ca="1" si="249"/>
        <v>2244.9525891409498</v>
      </c>
      <c r="V476" s="49">
        <f t="shared" ca="1" si="249"/>
        <v>2043.4378169945589</v>
      </c>
      <c r="W476" s="49">
        <f t="shared" ca="1" si="249"/>
        <v>1607.8093351080508</v>
      </c>
      <c r="X476" s="49">
        <f t="shared" ca="1" si="249"/>
        <v>1507.3619262514969</v>
      </c>
      <c r="Y476" s="49">
        <f t="shared" ca="1" si="249"/>
        <v>0</v>
      </c>
      <c r="Z476" s="49">
        <f t="shared" ca="1" si="249"/>
        <v>0</v>
      </c>
      <c r="AA476" s="49">
        <f t="shared" ca="1" si="249"/>
        <v>0</v>
      </c>
      <c r="AB476" s="49">
        <f t="shared" ca="1" si="249"/>
        <v>0</v>
      </c>
      <c r="AC476" s="49">
        <f t="shared" ca="1" si="249"/>
        <v>0</v>
      </c>
      <c r="AD476" s="49">
        <f t="shared" ca="1" si="249"/>
        <v>0</v>
      </c>
      <c r="AE476" s="49">
        <f t="shared" ca="1" si="249"/>
        <v>0</v>
      </c>
      <c r="AF476" s="49">
        <f t="shared" ca="1" si="249"/>
        <v>0</v>
      </c>
      <c r="AG476" s="49">
        <f t="shared" ca="1" si="249"/>
        <v>0</v>
      </c>
      <c r="AH476" s="49">
        <f t="shared" ca="1" si="249"/>
        <v>0</v>
      </c>
      <c r="AI476" s="49">
        <f t="shared" ca="1" si="249"/>
        <v>0</v>
      </c>
      <c r="AJ476" s="49">
        <f t="shared" ca="1" si="249"/>
        <v>0</v>
      </c>
      <c r="AK476" s="49">
        <f t="shared" ca="1" si="249"/>
        <v>0</v>
      </c>
      <c r="AL476" s="49">
        <f t="shared" ca="1" si="249"/>
        <v>0</v>
      </c>
      <c r="AM476" s="49">
        <f t="shared" ca="1" si="249"/>
        <v>0</v>
      </c>
      <c r="AN476" s="49">
        <f t="shared" ca="1" si="249"/>
        <v>0</v>
      </c>
      <c r="AO476" s="49">
        <f t="shared" ca="1" si="249"/>
        <v>0</v>
      </c>
      <c r="AP476" s="49">
        <f t="shared" ca="1" si="249"/>
        <v>0</v>
      </c>
      <c r="AQ476" s="49">
        <f t="shared" ca="1" si="249"/>
        <v>0</v>
      </c>
      <c r="AR476" s="49">
        <f t="shared" ca="1" si="249"/>
        <v>0</v>
      </c>
      <c r="AS476" s="49">
        <f t="shared" ca="1" si="249"/>
        <v>0</v>
      </c>
      <c r="AT476" s="49">
        <f t="shared" ca="1" si="249"/>
        <v>0</v>
      </c>
      <c r="AU476" s="49">
        <f t="shared" ca="1" si="249"/>
        <v>0</v>
      </c>
      <c r="AV476" s="49">
        <f t="shared" ca="1" si="249"/>
        <v>0</v>
      </c>
      <c r="AW476" s="49">
        <f t="shared" ca="1" si="249"/>
        <v>0</v>
      </c>
      <c r="AX476" s="49">
        <f t="shared" ca="1" si="249"/>
        <v>0</v>
      </c>
      <c r="AY476" s="49">
        <f t="shared" ca="1" si="249"/>
        <v>0</v>
      </c>
      <c r="AZ476" s="49">
        <f t="shared" ca="1" si="249"/>
        <v>0</v>
      </c>
      <c r="BA476" s="49">
        <f t="shared" ca="1" si="249"/>
        <v>0</v>
      </c>
      <c r="BB476" s="49">
        <f t="shared" ca="1" si="249"/>
        <v>0</v>
      </c>
      <c r="BC476" s="49">
        <f t="shared" ca="1" si="249"/>
        <v>0</v>
      </c>
      <c r="BD476" s="49">
        <f t="shared" ca="1" si="249"/>
        <v>0</v>
      </c>
      <c r="BE476" s="49">
        <f t="shared" ca="1" si="249"/>
        <v>0</v>
      </c>
      <c r="BF476" s="49">
        <f t="shared" ca="1" si="249"/>
        <v>0</v>
      </c>
      <c r="BG476" s="49">
        <f t="shared" ca="1" si="249"/>
        <v>0</v>
      </c>
      <c r="BH476" s="49">
        <f t="shared" ca="1" si="249"/>
        <v>0</v>
      </c>
      <c r="BI476" s="49">
        <f t="shared" ca="1" si="249"/>
        <v>0</v>
      </c>
      <c r="BJ476" s="49">
        <f t="shared" ca="1" si="249"/>
        <v>0</v>
      </c>
      <c r="BK476" s="49">
        <f t="shared" ca="1" si="249"/>
        <v>0</v>
      </c>
      <c r="BL476" s="49">
        <f t="shared" ca="1" si="249"/>
        <v>0</v>
      </c>
      <c r="BM476" s="49">
        <f t="shared" ca="1" si="249"/>
        <v>0</v>
      </c>
      <c r="BN476" s="49">
        <f t="shared" ca="1" si="249"/>
        <v>0</v>
      </c>
      <c r="BO476" s="49">
        <f t="shared" ca="1" si="249"/>
        <v>0</v>
      </c>
      <c r="BP476" s="49">
        <f t="shared" ca="1" si="249"/>
        <v>0</v>
      </c>
      <c r="BQ476" s="49">
        <f t="shared" ca="1" si="249"/>
        <v>0</v>
      </c>
      <c r="BR476" s="49">
        <f t="shared" ca="1" si="249"/>
        <v>0</v>
      </c>
      <c r="BS476" s="49">
        <f t="shared" ca="1" si="249"/>
        <v>0</v>
      </c>
    </row>
    <row r="477" spans="3:71" outlineLevel="1" x14ac:dyDescent="0.2">
      <c r="J477" s="26"/>
      <c r="L477" s="55"/>
      <c r="M477" s="55"/>
      <c r="N477" s="55"/>
      <c r="O477" s="55"/>
      <c r="P477" s="55"/>
      <c r="Q477" s="55"/>
      <c r="R477" s="55"/>
      <c r="S477" s="55"/>
      <c r="T477" s="55"/>
      <c r="U477" s="55"/>
      <c r="V477" s="55"/>
      <c r="W477" s="55"/>
      <c r="X477" s="55"/>
      <c r="Y477" s="55"/>
      <c r="Z477" s="55"/>
      <c r="AA477" s="55"/>
      <c r="AB477" s="55"/>
      <c r="AC477" s="55"/>
      <c r="AD477" s="55"/>
      <c r="AE477" s="55"/>
      <c r="AF477" s="55"/>
      <c r="AG477" s="55"/>
      <c r="AH477" s="55"/>
      <c r="AI477" s="55"/>
      <c r="AJ477" s="55"/>
      <c r="AK477" s="55"/>
      <c r="AL477" s="55"/>
      <c r="AM477" s="55"/>
      <c r="AN477" s="55"/>
      <c r="AO477" s="55"/>
      <c r="AP477" s="55"/>
      <c r="AQ477" s="55"/>
      <c r="AR477" s="55"/>
      <c r="AS477" s="55"/>
      <c r="AT477" s="55"/>
      <c r="AU477" s="55"/>
      <c r="AV477" s="55"/>
      <c r="AW477" s="55"/>
      <c r="AX477" s="55"/>
      <c r="AY477" s="55"/>
      <c r="AZ477" s="55"/>
      <c r="BA477" s="55"/>
      <c r="BB477" s="55"/>
      <c r="BC477" s="55"/>
      <c r="BD477" s="55"/>
      <c r="BE477" s="55"/>
      <c r="BF477" s="55"/>
      <c r="BG477" s="55"/>
      <c r="BH477" s="55"/>
      <c r="BI477" s="55"/>
      <c r="BJ477" s="55"/>
      <c r="BK477" s="55"/>
      <c r="BL477" s="55"/>
      <c r="BM477" s="55"/>
      <c r="BN477" s="55"/>
      <c r="BO477" s="55"/>
      <c r="BP477" s="55"/>
      <c r="BQ477" s="55"/>
      <c r="BR477" s="55"/>
      <c r="BS477" s="55"/>
    </row>
    <row r="478" spans="3:71" outlineLevel="1" x14ac:dyDescent="0.2">
      <c r="C478" s="11" t="str">
        <f>HM_ZB_Nsoko!C464</f>
        <v>Flux de trésorerie après impôts cumulé</v>
      </c>
      <c r="J478" s="26"/>
      <c r="L478" s="66">
        <f ca="1">(K478+L476)*HM_ZD_Moho!CA_op_trig</f>
        <v>-787.81071256477117</v>
      </c>
      <c r="M478" s="66">
        <f ca="1">(L478+M476)*HM_ZD_Moho!CA_op_trig</f>
        <v>-2473.0744636134059</v>
      </c>
      <c r="N478" s="66">
        <f ca="1">(M478+N476)*HM_ZD_Moho!CA_op_trig</f>
        <v>-5302.0030577106554</v>
      </c>
      <c r="O478" s="66">
        <f ca="1">(N478+O476)*HM_ZD_Moho!CA_op_trig</f>
        <v>-7841.4913769133655</v>
      </c>
      <c r="P478" s="66">
        <f ca="1">(O478+P476)*HM_ZD_Moho!CA_op_trig</f>
        <v>-8454.2801115134098</v>
      </c>
      <c r="Q478" s="66">
        <f ca="1">(P478+Q476)*HM_ZD_Moho!CA_op_trig</f>
        <v>-6505.2839854921094</v>
      </c>
      <c r="R478" s="66">
        <f ca="1">(Q478+R476)*HM_ZD_Moho!CA_op_trig</f>
        <v>-4011.6735036406717</v>
      </c>
      <c r="S478" s="66">
        <f ca="1">(R478+S476)*HM_ZD_Moho!CA_op_trig</f>
        <v>-2640.8303819156718</v>
      </c>
      <c r="T478" s="66">
        <f ca="1">(S478+T476)*HM_ZD_Moho!CA_op_trig</f>
        <v>-388.62876439943238</v>
      </c>
      <c r="U478" s="66">
        <f ca="1">(T478+U476)*HM_ZD_Moho!CA_op_trig</f>
        <v>1856.3238247415175</v>
      </c>
      <c r="V478" s="66">
        <f ca="1">(U478+V476)*HM_ZD_Moho!CA_op_trig</f>
        <v>3899.7616417360764</v>
      </c>
      <c r="W478" s="66">
        <f ca="1">(V478+W476)*HM_ZD_Moho!CA_op_trig</f>
        <v>5507.5709768441275</v>
      </c>
      <c r="X478" s="66">
        <f ca="1">(W478+X476)*HM_ZD_Moho!CA_op_trig</f>
        <v>7014.9329030956242</v>
      </c>
      <c r="Y478" s="66">
        <f ca="1">(X478+Y476)*HM_ZD_Moho!CA_op_trig</f>
        <v>0</v>
      </c>
      <c r="Z478" s="66">
        <f ca="1">(Y478+Z476)*HM_ZD_Moho!CA_op_trig</f>
        <v>0</v>
      </c>
      <c r="AA478" s="66">
        <f ca="1">(Z478+AA476)*HM_ZD_Moho!CA_op_trig</f>
        <v>0</v>
      </c>
      <c r="AB478" s="66">
        <f ca="1">(AA478+AB476)*HM_ZD_Moho!CA_op_trig</f>
        <v>0</v>
      </c>
      <c r="AC478" s="66">
        <f ca="1">(AB478+AC476)*HM_ZD_Moho!CA_op_trig</f>
        <v>0</v>
      </c>
      <c r="AD478" s="66">
        <f ca="1">(AC478+AD476)*HM_ZD_Moho!CA_op_trig</f>
        <v>0</v>
      </c>
      <c r="AE478" s="66">
        <f ca="1">(AD478+AE476)*HM_ZD_Moho!CA_op_trig</f>
        <v>0</v>
      </c>
      <c r="AF478" s="66">
        <f ca="1">(AE478+AF476)*HM_ZD_Moho!CA_op_trig</f>
        <v>0</v>
      </c>
      <c r="AG478" s="66">
        <f ca="1">(AF478+AG476)*HM_ZD_Moho!CA_op_trig</f>
        <v>0</v>
      </c>
      <c r="AH478" s="66">
        <f ca="1">(AG478+AH476)*HM_ZD_Moho!CA_op_trig</f>
        <v>0</v>
      </c>
      <c r="AI478" s="66">
        <f ca="1">(AH478+AI476)*HM_ZD_Moho!CA_op_trig</f>
        <v>0</v>
      </c>
      <c r="AJ478" s="66">
        <f ca="1">(AI478+AJ476)*HM_ZD_Moho!CA_op_trig</f>
        <v>0</v>
      </c>
      <c r="AK478" s="66">
        <f ca="1">(AJ478+AK476)*HM_ZD_Moho!CA_op_trig</f>
        <v>0</v>
      </c>
      <c r="AL478" s="66">
        <f ca="1">(AK478+AL476)*HM_ZD_Moho!CA_op_trig</f>
        <v>0</v>
      </c>
      <c r="AM478" s="66">
        <f ca="1">(AL478+AM476)*HM_ZD_Moho!CA_op_trig</f>
        <v>0</v>
      </c>
      <c r="AN478" s="66">
        <f ca="1">(AM478+AN476)*HM_ZD_Moho!CA_op_trig</f>
        <v>0</v>
      </c>
      <c r="AO478" s="66">
        <f ca="1">(AN478+AO476)*HM_ZD_Moho!CA_op_trig</f>
        <v>0</v>
      </c>
      <c r="AP478" s="66">
        <f ca="1">(AO478+AP476)*HM_ZD_Moho!CA_op_trig</f>
        <v>0</v>
      </c>
      <c r="AQ478" s="66">
        <f ca="1">(AP478+AQ476)*HM_ZD_Moho!CA_op_trig</f>
        <v>0</v>
      </c>
      <c r="AR478" s="66">
        <f ca="1">(AQ478+AR476)*HM_ZD_Moho!CA_op_trig</f>
        <v>0</v>
      </c>
      <c r="AS478" s="66">
        <f ca="1">(AR478+AS476)*HM_ZD_Moho!CA_op_trig</f>
        <v>0</v>
      </c>
      <c r="AT478" s="66">
        <f ca="1">(AS478+AT476)*HM_ZD_Moho!CA_op_trig</f>
        <v>0</v>
      </c>
      <c r="AU478" s="66">
        <f ca="1">(AT478+AU476)*HM_ZD_Moho!CA_op_trig</f>
        <v>0</v>
      </c>
      <c r="AV478" s="66">
        <f ca="1">(AU478+AV476)*HM_ZD_Moho!CA_op_trig</f>
        <v>0</v>
      </c>
      <c r="AW478" s="66">
        <f ca="1">(AV478+AW476)*HM_ZD_Moho!CA_op_trig</f>
        <v>0</v>
      </c>
      <c r="AX478" s="66">
        <f ca="1">(AW478+AX476)*HM_ZD_Moho!CA_op_trig</f>
        <v>0</v>
      </c>
      <c r="AY478" s="66">
        <f ca="1">(AX478+AY476)*HM_ZD_Moho!CA_op_trig</f>
        <v>0</v>
      </c>
      <c r="AZ478" s="66">
        <f ca="1">(AY478+AZ476)*HM_ZD_Moho!CA_op_trig</f>
        <v>0</v>
      </c>
      <c r="BA478" s="66">
        <f ca="1">(AZ478+BA476)*HM_ZD_Moho!CA_op_trig</f>
        <v>0</v>
      </c>
      <c r="BB478" s="66">
        <f ca="1">(BA478+BB476)*HM_ZD_Moho!CA_op_trig</f>
        <v>0</v>
      </c>
      <c r="BC478" s="66">
        <f ca="1">(BB478+BC476)*HM_ZD_Moho!CA_op_trig</f>
        <v>0</v>
      </c>
      <c r="BD478" s="66">
        <f ca="1">(BC478+BD476)*HM_ZD_Moho!CA_op_trig</f>
        <v>0</v>
      </c>
      <c r="BE478" s="66">
        <f ca="1">(BD478+BE476)*HM_ZD_Moho!CA_op_trig</f>
        <v>0</v>
      </c>
      <c r="BF478" s="66">
        <f ca="1">(BE478+BF476)*HM_ZD_Moho!CA_op_trig</f>
        <v>0</v>
      </c>
      <c r="BG478" s="66">
        <f ca="1">(BF478+BG476)*HM_ZD_Moho!CA_op_trig</f>
        <v>0</v>
      </c>
      <c r="BH478" s="66">
        <f ca="1">(BG478+BH476)*HM_ZD_Moho!CA_op_trig</f>
        <v>0</v>
      </c>
      <c r="BI478" s="66">
        <f ca="1">(BH478+BI476)*HM_ZD_Moho!CA_op_trig</f>
        <v>0</v>
      </c>
      <c r="BJ478" s="66">
        <f ca="1">(BI478+BJ476)*HM_ZD_Moho!CA_op_trig</f>
        <v>0</v>
      </c>
      <c r="BK478" s="66">
        <f ca="1">(BJ478+BK476)*HM_ZD_Moho!CA_op_trig</f>
        <v>0</v>
      </c>
      <c r="BL478" s="66">
        <f ca="1">(BK478+BL476)*HM_ZD_Moho!CA_op_trig</f>
        <v>0</v>
      </c>
      <c r="BM478" s="66">
        <f ca="1">(BL478+BM476)*HM_ZD_Moho!CA_op_trig</f>
        <v>0</v>
      </c>
      <c r="BN478" s="66">
        <f ca="1">(BM478+BN476)*HM_ZD_Moho!CA_op_trig</f>
        <v>0</v>
      </c>
      <c r="BO478" s="66">
        <f ca="1">(BN478+BO476)*HM_ZD_Moho!CA_op_trig</f>
        <v>0</v>
      </c>
      <c r="BP478" s="66">
        <f ca="1">(BO478+BP476)*HM_ZD_Moho!CA_op_trig</f>
        <v>0</v>
      </c>
      <c r="BQ478" s="66">
        <f ca="1">(BP478+BQ476)*HM_ZD_Moho!CA_op_trig</f>
        <v>0</v>
      </c>
      <c r="BR478" s="66">
        <f ca="1">(BQ478+BR476)*HM_ZD_Moho!CA_op_trig</f>
        <v>0</v>
      </c>
      <c r="BS478" s="66">
        <f ca="1">(BR478+BS476)*HM_ZD_Moho!CA_op_trig</f>
        <v>0</v>
      </c>
    </row>
    <row r="479" spans="3:71" outlineLevel="1" x14ac:dyDescent="0.2">
      <c r="J479" s="26"/>
      <c r="L479" s="55"/>
      <c r="M479" s="55"/>
      <c r="N479" s="55"/>
      <c r="O479" s="55"/>
      <c r="P479" s="55"/>
      <c r="Q479" s="55"/>
      <c r="R479" s="55"/>
      <c r="S479" s="55"/>
      <c r="T479" s="55"/>
      <c r="U479" s="55"/>
      <c r="V479" s="55"/>
      <c r="W479" s="55"/>
      <c r="X479" s="55"/>
      <c r="Y479" s="55"/>
      <c r="Z479" s="55"/>
      <c r="AA479" s="55"/>
      <c r="AB479" s="55"/>
      <c r="AC479" s="55"/>
      <c r="AD479" s="55"/>
      <c r="AE479" s="55"/>
      <c r="AF479" s="55"/>
      <c r="AG479" s="55"/>
      <c r="AH479" s="55"/>
      <c r="AI479" s="55"/>
      <c r="AJ479" s="55"/>
      <c r="AK479" s="55"/>
      <c r="AL479" s="55"/>
      <c r="AM479" s="55"/>
      <c r="AN479" s="55"/>
      <c r="AO479" s="55"/>
      <c r="AP479" s="55"/>
      <c r="AQ479" s="55"/>
      <c r="AR479" s="55"/>
      <c r="AS479" s="55"/>
      <c r="AT479" s="55"/>
      <c r="AU479" s="55"/>
      <c r="AV479" s="55"/>
      <c r="AW479" s="55"/>
      <c r="AX479" s="55"/>
      <c r="AY479" s="55"/>
      <c r="AZ479" s="55"/>
      <c r="BA479" s="55"/>
      <c r="BB479" s="55"/>
      <c r="BC479" s="55"/>
      <c r="BD479" s="55"/>
      <c r="BE479" s="55"/>
      <c r="BF479" s="55"/>
      <c r="BG479" s="55"/>
      <c r="BH479" s="55"/>
      <c r="BI479" s="55"/>
      <c r="BJ479" s="55"/>
      <c r="BK479" s="55"/>
      <c r="BL479" s="55"/>
      <c r="BM479" s="55"/>
      <c r="BN479" s="55"/>
      <c r="BO479" s="55"/>
      <c r="BP479" s="55"/>
      <c r="BQ479" s="55"/>
      <c r="BR479" s="55"/>
      <c r="BS479" s="55"/>
    </row>
    <row r="480" spans="3:71" outlineLevel="1" x14ac:dyDescent="0.2">
      <c r="C480" s="11" t="str">
        <f>HM_ZB_Nsoko!C466</f>
        <v>VAN cycle complet</v>
      </c>
      <c r="G480" s="60"/>
      <c r="I480" s="63">
        <f ca="1">SUMPRODUCT(OA_cont_ATCF_AM_4_AM_6,HM_ZD_Moho!CA_disc_factor_fc)</f>
        <v>148.46897306478235</v>
      </c>
      <c r="J480" s="26" t="s">
        <v>148</v>
      </c>
      <c r="L480" s="55"/>
      <c r="M480" s="55"/>
      <c r="N480" s="55"/>
      <c r="O480" s="55"/>
      <c r="P480" s="55"/>
      <c r="Q480" s="55"/>
      <c r="R480" s="55"/>
      <c r="S480" s="55"/>
      <c r="T480" s="55"/>
      <c r="U480" s="55"/>
      <c r="V480" s="55"/>
      <c r="W480" s="55"/>
      <c r="X480" s="55"/>
      <c r="Y480" s="55"/>
      <c r="Z480" s="55"/>
      <c r="AA480" s="55"/>
      <c r="AB480" s="55"/>
      <c r="AC480" s="55"/>
      <c r="AD480" s="55"/>
      <c r="AE480" s="55"/>
      <c r="AF480" s="55"/>
      <c r="AG480" s="55"/>
      <c r="AH480" s="55"/>
      <c r="AI480" s="55"/>
      <c r="AJ480" s="55"/>
      <c r="AK480" s="55"/>
      <c r="AL480" s="55"/>
      <c r="AM480" s="55"/>
      <c r="AN480" s="55"/>
      <c r="AO480" s="55"/>
      <c r="AP480" s="55"/>
      <c r="AQ480" s="55"/>
      <c r="AR480" s="55"/>
      <c r="AS480" s="55"/>
      <c r="AT480" s="55"/>
      <c r="AU480" s="55"/>
      <c r="AV480" s="55"/>
      <c r="AW480" s="55"/>
      <c r="AX480" s="55"/>
      <c r="AY480" s="55"/>
      <c r="AZ480" s="55"/>
      <c r="BA480" s="55"/>
      <c r="BB480" s="55"/>
      <c r="BC480" s="55"/>
      <c r="BD480" s="55"/>
      <c r="BE480" s="55"/>
      <c r="BF480" s="55"/>
      <c r="BG480" s="55"/>
      <c r="BH480" s="55"/>
      <c r="BI480" s="55"/>
      <c r="BJ480" s="55"/>
      <c r="BK480" s="55"/>
      <c r="BL480" s="55"/>
      <c r="BM480" s="55"/>
      <c r="BN480" s="55"/>
      <c r="BO480" s="55"/>
      <c r="BP480" s="55"/>
      <c r="BQ480" s="55"/>
      <c r="BR480" s="55"/>
      <c r="BS480" s="55"/>
    </row>
    <row r="481" spans="1:71" outlineLevel="1" x14ac:dyDescent="0.2">
      <c r="C481" s="11" t="str">
        <f>HM_ZB_Nsoko!C467</f>
        <v>VAN à terme</v>
      </c>
      <c r="I481" s="63">
        <f ca="1">SUMPRODUCT(OA_cont_ATCF_AM_4_AM_6,HM_ZD_Moho!CA_disc_factor_pf)</f>
        <v>7836.8700211738951</v>
      </c>
      <c r="J481" s="26" t="s">
        <v>148</v>
      </c>
      <c r="L481" s="55"/>
      <c r="M481" s="55"/>
      <c r="N481" s="55"/>
      <c r="O481" s="55"/>
      <c r="P481" s="55"/>
      <c r="Q481" s="55"/>
      <c r="R481" s="55"/>
      <c r="S481" s="55"/>
      <c r="T481" s="55"/>
      <c r="U481" s="55"/>
      <c r="V481" s="55"/>
      <c r="W481" s="55"/>
      <c r="X481" s="55"/>
      <c r="Y481" s="55"/>
      <c r="Z481" s="55"/>
      <c r="AA481" s="55"/>
      <c r="AB481" s="55"/>
      <c r="AC481" s="55"/>
      <c r="AD481" s="55"/>
      <c r="AE481" s="55"/>
      <c r="AF481" s="55"/>
      <c r="AG481" s="55"/>
      <c r="AH481" s="55"/>
      <c r="AI481" s="55"/>
      <c r="AJ481" s="55"/>
      <c r="AK481" s="55"/>
      <c r="AL481" s="55"/>
      <c r="AM481" s="55"/>
      <c r="AN481" s="55"/>
      <c r="AO481" s="55"/>
      <c r="AP481" s="55"/>
      <c r="AQ481" s="55"/>
      <c r="AR481" s="55"/>
      <c r="AS481" s="55"/>
      <c r="AT481" s="55"/>
      <c r="AU481" s="55"/>
      <c r="AV481" s="55"/>
      <c r="AW481" s="55"/>
      <c r="AX481" s="55"/>
      <c r="AY481" s="55"/>
      <c r="AZ481" s="55"/>
      <c r="BA481" s="55"/>
      <c r="BB481" s="55"/>
      <c r="BC481" s="55"/>
      <c r="BD481" s="55"/>
      <c r="BE481" s="55"/>
      <c r="BF481" s="55"/>
      <c r="BG481" s="55"/>
      <c r="BH481" s="55"/>
      <c r="BI481" s="55"/>
      <c r="BJ481" s="55"/>
      <c r="BK481" s="55"/>
      <c r="BL481" s="55"/>
      <c r="BM481" s="55"/>
      <c r="BN481" s="55"/>
      <c r="BO481" s="55"/>
      <c r="BP481" s="55"/>
      <c r="BQ481" s="55"/>
      <c r="BR481" s="55"/>
      <c r="BS481" s="55"/>
    </row>
    <row r="482" spans="1:71" outlineLevel="1" x14ac:dyDescent="0.2">
      <c r="I482" s="61"/>
      <c r="J482" s="26"/>
      <c r="L482" s="55"/>
      <c r="M482" s="55"/>
      <c r="N482" s="55"/>
      <c r="O482" s="55"/>
      <c r="P482" s="55"/>
      <c r="Q482" s="55"/>
      <c r="R482" s="55"/>
      <c r="S482" s="55"/>
      <c r="T482" s="55"/>
      <c r="U482" s="55"/>
      <c r="V482" s="55"/>
      <c r="W482" s="55"/>
      <c r="X482" s="55"/>
      <c r="Y482" s="55"/>
      <c r="Z482" s="55"/>
      <c r="AA482" s="55"/>
      <c r="AB482" s="55"/>
      <c r="AC482" s="55"/>
      <c r="AD482" s="55"/>
      <c r="AE482" s="55"/>
      <c r="AF482" s="55"/>
      <c r="AG482" s="55"/>
      <c r="AH482" s="55"/>
      <c r="AI482" s="55"/>
      <c r="AJ482" s="55"/>
      <c r="AK482" s="55"/>
      <c r="AL482" s="55"/>
      <c r="AM482" s="55"/>
      <c r="AN482" s="55"/>
      <c r="AO482" s="55"/>
      <c r="AP482" s="55"/>
      <c r="AQ482" s="55"/>
      <c r="AR482" s="55"/>
      <c r="AS482" s="55"/>
      <c r="AT482" s="55"/>
      <c r="AU482" s="55"/>
      <c r="AV482" s="55"/>
      <c r="AW482" s="55"/>
      <c r="AX482" s="55"/>
      <c r="AY482" s="55"/>
      <c r="AZ482" s="55"/>
      <c r="BA482" s="55"/>
      <c r="BB482" s="55"/>
      <c r="BC482" s="55"/>
      <c r="BD482" s="55"/>
      <c r="BE482" s="55"/>
      <c r="BF482" s="55"/>
      <c r="BG482" s="55"/>
      <c r="BH482" s="55"/>
      <c r="BI482" s="55"/>
      <c r="BJ482" s="55"/>
      <c r="BK482" s="55"/>
      <c r="BL482" s="55"/>
      <c r="BM482" s="55"/>
      <c r="BN482" s="55"/>
      <c r="BO482" s="55"/>
      <c r="BP482" s="55"/>
      <c r="BQ482" s="55"/>
      <c r="BR482" s="55"/>
      <c r="BS482" s="55"/>
    </row>
    <row r="483" spans="1:71" outlineLevel="1" x14ac:dyDescent="0.2">
      <c r="C483" s="11" t="str">
        <f>HM_ZB_Nsoko!C469</f>
        <v>TRI cycle complet</v>
      </c>
      <c r="I483" s="62">
        <f ca="1">IFERROR(IRR(INDEX(OA_cont_ATCF_AM_4_AM_6,1,MAX(1,$G$425-L4+1)):INDEX(OA_cont_ATCF_AM_4_AM_6,1,last_model_year)),"na")</f>
        <v>0.1045237799396197</v>
      </c>
      <c r="J483" s="26" t="s">
        <v>90</v>
      </c>
      <c r="L483" s="55"/>
      <c r="M483" s="55"/>
      <c r="N483" s="55"/>
      <c r="O483" s="55"/>
      <c r="P483" s="55"/>
      <c r="Q483" s="55"/>
      <c r="R483" s="55"/>
      <c r="S483" s="55"/>
      <c r="T483" s="55"/>
      <c r="U483" s="55"/>
      <c r="V483" s="55"/>
      <c r="W483" s="55"/>
      <c r="X483" s="55"/>
      <c r="Y483" s="55"/>
      <c r="Z483" s="55"/>
      <c r="AA483" s="55"/>
      <c r="AB483" s="55"/>
      <c r="AC483" s="55"/>
      <c r="AD483" s="55"/>
      <c r="AE483" s="55"/>
      <c r="AF483" s="55"/>
      <c r="AG483" s="55"/>
      <c r="AH483" s="55"/>
      <c r="AI483" s="55"/>
      <c r="AJ483" s="55"/>
      <c r="AK483" s="55"/>
      <c r="AL483" s="55"/>
      <c r="AM483" s="55"/>
      <c r="AN483" s="55"/>
      <c r="AO483" s="55"/>
      <c r="AP483" s="55"/>
      <c r="AQ483" s="55"/>
      <c r="AR483" s="55"/>
      <c r="AS483" s="55"/>
      <c r="AT483" s="55"/>
      <c r="AU483" s="55"/>
      <c r="AV483" s="55"/>
      <c r="AW483" s="55"/>
      <c r="AX483" s="55"/>
      <c r="AY483" s="55"/>
      <c r="AZ483" s="55"/>
      <c r="BA483" s="55"/>
      <c r="BB483" s="55"/>
      <c r="BC483" s="55"/>
      <c r="BD483" s="55"/>
      <c r="BE483" s="55"/>
      <c r="BF483" s="55"/>
      <c r="BG483" s="55"/>
      <c r="BH483" s="55"/>
      <c r="BI483" s="55"/>
      <c r="BJ483" s="55"/>
      <c r="BK483" s="55"/>
      <c r="BL483" s="55"/>
      <c r="BM483" s="55"/>
      <c r="BN483" s="55"/>
      <c r="BO483" s="55"/>
      <c r="BP483" s="55"/>
      <c r="BQ483" s="55"/>
      <c r="BR483" s="55"/>
      <c r="BS483" s="55"/>
    </row>
    <row r="484" spans="1:71" outlineLevel="1" x14ac:dyDescent="0.2">
      <c r="C484" s="11" t="str">
        <f>HM_ZB_Nsoko!C470</f>
        <v>TRI à terme</v>
      </c>
      <c r="I484" s="62" t="str">
        <f ca="1">IFERROR(IRR(INDEX(OA_cont_ATCF_AM_4_AM_6,1,MAX(1,$G$426-L4+1)):INDEX(OA_cont_ATCF_AM_4_AM_6,1,last_model_year)),"na")</f>
        <v>na</v>
      </c>
      <c r="J484" s="26" t="s">
        <v>90</v>
      </c>
      <c r="L484" s="55"/>
      <c r="M484" s="55"/>
      <c r="N484" s="55"/>
      <c r="O484" s="55"/>
      <c r="P484" s="55"/>
      <c r="Q484" s="55"/>
      <c r="R484" s="55"/>
      <c r="S484" s="55"/>
      <c r="T484" s="55"/>
      <c r="U484" s="55"/>
      <c r="V484" s="55"/>
      <c r="W484" s="55"/>
      <c r="X484" s="55"/>
      <c r="Y484" s="55"/>
      <c r="Z484" s="55"/>
      <c r="AA484" s="55"/>
      <c r="AB484" s="55"/>
      <c r="AC484" s="55"/>
      <c r="AD484" s="55"/>
      <c r="AE484" s="55"/>
      <c r="AF484" s="55"/>
      <c r="AG484" s="55"/>
      <c r="AH484" s="55"/>
      <c r="AI484" s="55"/>
      <c r="AJ484" s="55"/>
      <c r="AK484" s="55"/>
      <c r="AL484" s="55"/>
      <c r="AM484" s="55"/>
      <c r="AN484" s="55"/>
      <c r="AO484" s="55"/>
      <c r="AP484" s="55"/>
      <c r="AQ484" s="55"/>
      <c r="AR484" s="55"/>
      <c r="AS484" s="55"/>
      <c r="AT484" s="55"/>
      <c r="AU484" s="55"/>
      <c r="AV484" s="55"/>
      <c r="AW484" s="55"/>
      <c r="AX484" s="55"/>
      <c r="AY484" s="55"/>
      <c r="AZ484" s="55"/>
      <c r="BA484" s="55"/>
      <c r="BB484" s="55"/>
      <c r="BC484" s="55"/>
      <c r="BD484" s="55"/>
      <c r="BE484" s="55"/>
      <c r="BF484" s="55"/>
      <c r="BG484" s="55"/>
      <c r="BH484" s="55"/>
      <c r="BI484" s="55"/>
      <c r="BJ484" s="55"/>
      <c r="BK484" s="55"/>
      <c r="BL484" s="55"/>
      <c r="BM484" s="55"/>
      <c r="BN484" s="55"/>
      <c r="BO484" s="55"/>
      <c r="BP484" s="55"/>
      <c r="BQ484" s="55"/>
      <c r="BR484" s="55"/>
      <c r="BS484" s="55"/>
    </row>
    <row r="485" spans="1:71" outlineLevel="1" x14ac:dyDescent="0.2">
      <c r="J485" s="26"/>
      <c r="L485" s="55"/>
      <c r="M485" s="55"/>
      <c r="N485" s="55"/>
      <c r="O485" s="55"/>
      <c r="P485" s="55"/>
      <c r="Q485" s="55"/>
      <c r="R485" s="55"/>
      <c r="S485" s="55"/>
      <c r="T485" s="55"/>
      <c r="U485" s="55"/>
      <c r="V485" s="55"/>
      <c r="W485" s="55"/>
      <c r="X485" s="55"/>
      <c r="Y485" s="55"/>
      <c r="Z485" s="55"/>
      <c r="AA485" s="55"/>
      <c r="AB485" s="55"/>
      <c r="AC485" s="55"/>
      <c r="AD485" s="55"/>
      <c r="AE485" s="55"/>
      <c r="AF485" s="55"/>
      <c r="AG485" s="55"/>
      <c r="AH485" s="55"/>
      <c r="AI485" s="55"/>
      <c r="AJ485" s="55"/>
      <c r="AK485" s="55"/>
      <c r="AL485" s="55"/>
      <c r="AM485" s="55"/>
      <c r="AN485" s="55"/>
      <c r="AO485" s="55"/>
      <c r="AP485" s="55"/>
      <c r="AQ485" s="55"/>
      <c r="AR485" s="55"/>
      <c r="AS485" s="55"/>
      <c r="AT485" s="55"/>
      <c r="AU485" s="55"/>
      <c r="AV485" s="55"/>
      <c r="AW485" s="55"/>
      <c r="AX485" s="55"/>
      <c r="AY485" s="55"/>
      <c r="AZ485" s="55"/>
      <c r="BA485" s="55"/>
      <c r="BB485" s="55"/>
      <c r="BC485" s="55"/>
      <c r="BD485" s="55"/>
      <c r="BE485" s="55"/>
      <c r="BF485" s="55"/>
      <c r="BG485" s="55"/>
      <c r="BH485" s="55"/>
      <c r="BI485" s="55"/>
      <c r="BJ485" s="55"/>
      <c r="BK485" s="55"/>
      <c r="BL485" s="55"/>
      <c r="BM485" s="55"/>
      <c r="BN485" s="55"/>
      <c r="BO485" s="55"/>
      <c r="BP485" s="55"/>
      <c r="BQ485" s="55"/>
      <c r="BR485" s="55"/>
      <c r="BS485" s="55"/>
    </row>
    <row r="486" spans="1:71" outlineLevel="1" x14ac:dyDescent="0.2">
      <c r="C486" s="11" t="str">
        <f>HM_ZB_Nsoko!C472</f>
        <v>Période de remboursement</v>
      </c>
      <c r="I486" s="67">
        <f ca="1">COUNTIF(L478:BS478,"&lt;0")+1</f>
        <v>10</v>
      </c>
      <c r="J486" s="26"/>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c r="BF486" s="7"/>
      <c r="BG486" s="7"/>
      <c r="BH486" s="7"/>
      <c r="BI486" s="7"/>
      <c r="BJ486" s="7"/>
      <c r="BK486" s="7"/>
      <c r="BL486" s="7"/>
      <c r="BM486" s="7"/>
      <c r="BN486" s="7"/>
      <c r="BO486" s="7"/>
      <c r="BP486" s="7"/>
      <c r="BQ486" s="7"/>
      <c r="BR486" s="7"/>
      <c r="BS486" s="7"/>
    </row>
    <row r="487" spans="1:71" outlineLevel="1" x14ac:dyDescent="0.2">
      <c r="J487" s="26"/>
      <c r="L487" s="55"/>
      <c r="M487" s="55"/>
      <c r="N487" s="55"/>
      <c r="O487" s="55"/>
      <c r="P487" s="55"/>
      <c r="Q487" s="55"/>
      <c r="R487" s="55"/>
      <c r="S487" s="55"/>
      <c r="T487" s="55"/>
      <c r="U487" s="55"/>
      <c r="V487" s="55"/>
      <c r="W487" s="55"/>
      <c r="X487" s="55"/>
      <c r="Y487" s="55"/>
      <c r="Z487" s="55"/>
      <c r="AA487" s="55"/>
      <c r="AB487" s="55"/>
      <c r="AC487" s="55"/>
      <c r="AD487" s="55"/>
      <c r="AE487" s="55"/>
      <c r="AF487" s="55"/>
      <c r="AG487" s="55"/>
      <c r="AH487" s="55"/>
      <c r="AI487" s="55"/>
      <c r="AJ487" s="55"/>
      <c r="AK487" s="55"/>
      <c r="AL487" s="55"/>
      <c r="AM487" s="55"/>
      <c r="AN487" s="55"/>
      <c r="AO487" s="55"/>
      <c r="AP487" s="55"/>
      <c r="AQ487" s="55"/>
      <c r="AR487" s="55"/>
      <c r="AS487" s="55"/>
      <c r="AT487" s="55"/>
      <c r="AU487" s="55"/>
      <c r="AV487" s="55"/>
      <c r="AW487" s="55"/>
      <c r="AX487" s="55"/>
      <c r="AY487" s="55"/>
      <c r="AZ487" s="55"/>
      <c r="BA487" s="55"/>
      <c r="BB487" s="55"/>
      <c r="BC487" s="55"/>
      <c r="BD487" s="55"/>
      <c r="BE487" s="55"/>
      <c r="BF487" s="55"/>
      <c r="BG487" s="55"/>
      <c r="BH487" s="55"/>
      <c r="BI487" s="55"/>
      <c r="BJ487" s="55"/>
      <c r="BK487" s="55"/>
      <c r="BL487" s="55"/>
      <c r="BM487" s="55"/>
      <c r="BN487" s="55"/>
      <c r="BO487" s="55"/>
      <c r="BP487" s="55"/>
      <c r="BQ487" s="55"/>
      <c r="BR487" s="55"/>
      <c r="BS487" s="55"/>
    </row>
    <row r="488" spans="1:71" outlineLevel="1" x14ac:dyDescent="0.2">
      <c r="J488" s="26"/>
      <c r="L488" s="55"/>
      <c r="M488" s="55"/>
      <c r="N488" s="55"/>
      <c r="O488" s="55"/>
      <c r="P488" s="55"/>
      <c r="Q488" s="55"/>
      <c r="R488" s="55"/>
      <c r="S488" s="55"/>
      <c r="T488" s="55"/>
      <c r="U488" s="55"/>
      <c r="V488" s="55"/>
      <c r="W488" s="55"/>
      <c r="X488" s="55"/>
      <c r="Y488" s="55"/>
      <c r="Z488" s="55"/>
      <c r="AA488" s="55"/>
      <c r="AB488" s="55"/>
      <c r="AC488" s="55"/>
      <c r="AD488" s="55"/>
      <c r="AE488" s="55"/>
      <c r="AF488" s="55"/>
      <c r="AG488" s="55"/>
      <c r="AH488" s="55"/>
      <c r="AI488" s="55"/>
      <c r="AJ488" s="55"/>
      <c r="AK488" s="55"/>
      <c r="AL488" s="55"/>
      <c r="AM488" s="55"/>
      <c r="AN488" s="55"/>
      <c r="AO488" s="55"/>
      <c r="AP488" s="55"/>
      <c r="AQ488" s="55"/>
      <c r="AR488" s="55"/>
      <c r="AS488" s="55"/>
      <c r="AT488" s="55"/>
      <c r="AU488" s="55"/>
      <c r="AV488" s="55"/>
      <c r="AW488" s="55"/>
      <c r="AX488" s="55"/>
      <c r="AY488" s="55"/>
      <c r="AZ488" s="55"/>
      <c r="BA488" s="55"/>
      <c r="BB488" s="55"/>
      <c r="BC488" s="55"/>
      <c r="BD488" s="55"/>
      <c r="BE488" s="55"/>
      <c r="BF488" s="55"/>
      <c r="BG488" s="55"/>
      <c r="BH488" s="55"/>
      <c r="BI488" s="55"/>
      <c r="BJ488" s="55"/>
      <c r="BK488" s="55"/>
      <c r="BL488" s="55"/>
      <c r="BM488" s="55"/>
      <c r="BN488" s="55"/>
      <c r="BO488" s="55"/>
      <c r="BP488" s="55"/>
      <c r="BQ488" s="55"/>
      <c r="BR488" s="55"/>
      <c r="BS488" s="55"/>
    </row>
    <row r="489" spans="1:71" outlineLevel="1" x14ac:dyDescent="0.2">
      <c r="J489" s="26"/>
      <c r="L489" s="55"/>
      <c r="M489" s="55"/>
      <c r="N489" s="55"/>
      <c r="O489" s="55"/>
      <c r="P489" s="55"/>
      <c r="Q489" s="55"/>
      <c r="R489" s="55"/>
      <c r="S489" s="55"/>
      <c r="T489" s="55"/>
      <c r="U489" s="55"/>
      <c r="V489" s="55"/>
      <c r="W489" s="55"/>
      <c r="X489" s="55"/>
      <c r="Y489" s="55"/>
      <c r="Z489" s="55"/>
      <c r="AA489" s="55"/>
      <c r="AB489" s="55"/>
      <c r="AC489" s="55"/>
      <c r="AD489" s="55"/>
      <c r="AE489" s="55"/>
      <c r="AF489" s="55"/>
      <c r="AG489" s="55"/>
      <c r="AH489" s="55"/>
      <c r="AI489" s="55"/>
      <c r="AJ489" s="55"/>
      <c r="AK489" s="55"/>
      <c r="AL489" s="55"/>
      <c r="AM489" s="55"/>
      <c r="AN489" s="55"/>
      <c r="AO489" s="55"/>
      <c r="AP489" s="55"/>
      <c r="AQ489" s="55"/>
      <c r="AR489" s="55"/>
      <c r="AS489" s="55"/>
      <c r="AT489" s="55"/>
      <c r="AU489" s="55"/>
      <c r="AV489" s="55"/>
      <c r="AW489" s="55"/>
      <c r="AX489" s="55"/>
      <c r="AY489" s="55"/>
      <c r="AZ489" s="55"/>
      <c r="BA489" s="55"/>
      <c r="BB489" s="55"/>
      <c r="BC489" s="55"/>
      <c r="BD489" s="55"/>
      <c r="BE489" s="55"/>
      <c r="BF489" s="55"/>
      <c r="BG489" s="55"/>
      <c r="BH489" s="55"/>
      <c r="BI489" s="55"/>
      <c r="BJ489" s="55"/>
      <c r="BK489" s="55"/>
      <c r="BL489" s="55"/>
      <c r="BM489" s="55"/>
      <c r="BN489" s="55"/>
      <c r="BO489" s="55"/>
      <c r="BP489" s="55"/>
      <c r="BQ489" s="55"/>
      <c r="BR489" s="55"/>
      <c r="BS489" s="55"/>
    </row>
    <row r="490" spans="1:71" outlineLevel="1" x14ac:dyDescent="0.2">
      <c r="A490" s="45"/>
      <c r="B490" s="38" t="str">
        <f>HM_ZB_Nsoko!B476</f>
        <v>Flux de trésorerie consortium compagnies pétrolières internationales</v>
      </c>
      <c r="C490" s="45"/>
      <c r="D490" s="45"/>
      <c r="E490" s="45"/>
      <c r="J490" s="26"/>
      <c r="L490" s="55"/>
      <c r="M490" s="55"/>
      <c r="N490" s="55"/>
      <c r="O490" s="55"/>
      <c r="P490" s="55"/>
      <c r="Q490" s="55"/>
      <c r="R490" s="55"/>
      <c r="S490" s="55"/>
      <c r="T490" s="55"/>
      <c r="U490" s="55"/>
      <c r="V490" s="55"/>
      <c r="W490" s="55"/>
      <c r="X490" s="55"/>
      <c r="Y490" s="55"/>
      <c r="Z490" s="55"/>
      <c r="AA490" s="55"/>
      <c r="AB490" s="55"/>
      <c r="AC490" s="55"/>
      <c r="AD490" s="55"/>
      <c r="AE490" s="55"/>
      <c r="AF490" s="55"/>
      <c r="AG490" s="55"/>
      <c r="AH490" s="55"/>
      <c r="AI490" s="55"/>
      <c r="AJ490" s="55"/>
      <c r="AK490" s="55"/>
      <c r="AL490" s="55"/>
      <c r="AM490" s="55"/>
      <c r="AN490" s="55"/>
      <c r="AO490" s="55"/>
      <c r="AP490" s="55"/>
      <c r="AQ490" s="55"/>
      <c r="AR490" s="55"/>
      <c r="AS490" s="55"/>
      <c r="AT490" s="55"/>
      <c r="AU490" s="55"/>
      <c r="AV490" s="55"/>
      <c r="AW490" s="55"/>
      <c r="AX490" s="55"/>
      <c r="AY490" s="55"/>
      <c r="AZ490" s="55"/>
      <c r="BA490" s="55"/>
      <c r="BB490" s="55"/>
      <c r="BC490" s="55"/>
      <c r="BD490" s="55"/>
      <c r="BE490" s="55"/>
      <c r="BF490" s="55"/>
      <c r="BG490" s="55"/>
      <c r="BH490" s="55"/>
      <c r="BI490" s="55"/>
      <c r="BJ490" s="55"/>
      <c r="BK490" s="55"/>
      <c r="BL490" s="55"/>
      <c r="BM490" s="55"/>
      <c r="BN490" s="55"/>
      <c r="BO490" s="55"/>
      <c r="BP490" s="55"/>
      <c r="BQ490" s="55"/>
      <c r="BR490" s="55"/>
      <c r="BS490" s="55"/>
    </row>
    <row r="491" spans="1:71" outlineLevel="1" x14ac:dyDescent="0.2">
      <c r="J491" s="26"/>
      <c r="L491" s="55"/>
      <c r="M491" s="55"/>
      <c r="N491" s="55"/>
      <c r="O491" s="55"/>
      <c r="P491" s="55"/>
      <c r="Q491" s="55"/>
      <c r="R491" s="55"/>
      <c r="S491" s="55"/>
      <c r="T491" s="55"/>
      <c r="U491" s="55"/>
      <c r="V491" s="55"/>
      <c r="W491" s="55"/>
      <c r="X491" s="55"/>
      <c r="Y491" s="55"/>
      <c r="Z491" s="55"/>
      <c r="AA491" s="55"/>
      <c r="AB491" s="55"/>
      <c r="AC491" s="55"/>
      <c r="AD491" s="55"/>
      <c r="AE491" s="55"/>
      <c r="AF491" s="55"/>
      <c r="AG491" s="55"/>
      <c r="AH491" s="55"/>
      <c r="AI491" s="55"/>
      <c r="AJ491" s="55"/>
      <c r="AK491" s="55"/>
      <c r="AL491" s="55"/>
      <c r="AM491" s="55"/>
      <c r="AN491" s="55"/>
      <c r="AO491" s="55"/>
      <c r="AP491" s="55"/>
      <c r="AQ491" s="55"/>
      <c r="AR491" s="55"/>
      <c r="AS491" s="55"/>
      <c r="AT491" s="55"/>
      <c r="AU491" s="55"/>
      <c r="AV491" s="55"/>
      <c r="AW491" s="55"/>
      <c r="AX491" s="55"/>
      <c r="AY491" s="55"/>
      <c r="AZ491" s="55"/>
      <c r="BA491" s="55"/>
      <c r="BB491" s="55"/>
      <c r="BC491" s="55"/>
      <c r="BD491" s="55"/>
      <c r="BE491" s="55"/>
      <c r="BF491" s="55"/>
      <c r="BG491" s="55"/>
      <c r="BH491" s="55"/>
      <c r="BI491" s="55"/>
      <c r="BJ491" s="55"/>
      <c r="BK491" s="55"/>
      <c r="BL491" s="55"/>
      <c r="BM491" s="55"/>
      <c r="BN491" s="55"/>
      <c r="BO491" s="55"/>
      <c r="BP491" s="55"/>
      <c r="BQ491" s="55"/>
      <c r="BR491" s="55"/>
      <c r="BS491" s="55"/>
    </row>
    <row r="492" spans="1:71" outlineLevel="1" x14ac:dyDescent="0.2">
      <c r="C492" s="11" t="str">
        <f>HM_ZB_Nsoko!C478</f>
        <v>Part Flux de trésorerie après impôts des compagnies pétrolières internationales</v>
      </c>
      <c r="I492" s="30">
        <f t="shared" ref="I492:I495" ca="1" si="250">SUM($L492:$BS492)</f>
        <v>5962.6929676312793</v>
      </c>
      <c r="J492" s="26" t="s">
        <v>148</v>
      </c>
      <c r="L492" s="49" cm="1">
        <f t="array" aca="1" ref="L492:BS492" ca="1">OA_cont_ATCF_AM_4_AM_6*HM_ZD_Moho!CA_IOC_WI</f>
        <v>-669.63910568005542</v>
      </c>
      <c r="M492" s="49">
        <f ca="1"/>
        <v>-1432.4741883913396</v>
      </c>
      <c r="N492" s="49">
        <f ca="1"/>
        <v>-2404.5893049826623</v>
      </c>
      <c r="O492" s="49">
        <f ca="1"/>
        <v>-2158.5650713223035</v>
      </c>
      <c r="P492" s="49">
        <f ca="1"/>
        <v>-520.87042441003791</v>
      </c>
      <c r="Q492" s="49">
        <f ca="1"/>
        <v>1656.6467071181053</v>
      </c>
      <c r="R492" s="49">
        <f ca="1"/>
        <v>2119.5689095737221</v>
      </c>
      <c r="S492" s="49">
        <f ca="1"/>
        <v>1165.2166534662501</v>
      </c>
      <c r="T492" s="49">
        <f ca="1"/>
        <v>1914.3713748888033</v>
      </c>
      <c r="U492" s="49">
        <f ca="1"/>
        <v>1908.2097007698073</v>
      </c>
      <c r="V492" s="49">
        <f ca="1"/>
        <v>1736.9221444453751</v>
      </c>
      <c r="W492" s="49">
        <f ca="1"/>
        <v>1366.6379348418432</v>
      </c>
      <c r="X492" s="49">
        <f ca="1"/>
        <v>1281.2576373137724</v>
      </c>
      <c r="Y492" s="49">
        <f ca="1"/>
        <v>0</v>
      </c>
      <c r="Z492" s="49">
        <f ca="1"/>
        <v>0</v>
      </c>
      <c r="AA492" s="49">
        <f ca="1"/>
        <v>0</v>
      </c>
      <c r="AB492" s="49">
        <f ca="1"/>
        <v>0</v>
      </c>
      <c r="AC492" s="49">
        <f ca="1"/>
        <v>0</v>
      </c>
      <c r="AD492" s="49">
        <f ca="1"/>
        <v>0</v>
      </c>
      <c r="AE492" s="49">
        <f ca="1"/>
        <v>0</v>
      </c>
      <c r="AF492" s="49">
        <f ca="1"/>
        <v>0</v>
      </c>
      <c r="AG492" s="49">
        <f ca="1"/>
        <v>0</v>
      </c>
      <c r="AH492" s="49">
        <f ca="1"/>
        <v>0</v>
      </c>
      <c r="AI492" s="49">
        <f ca="1"/>
        <v>0</v>
      </c>
      <c r="AJ492" s="49">
        <f ca="1"/>
        <v>0</v>
      </c>
      <c r="AK492" s="49">
        <f ca="1"/>
        <v>0</v>
      </c>
      <c r="AL492" s="49">
        <f ca="1"/>
        <v>0</v>
      </c>
      <c r="AM492" s="49">
        <f ca="1"/>
        <v>0</v>
      </c>
      <c r="AN492" s="49">
        <f ca="1"/>
        <v>0</v>
      </c>
      <c r="AO492" s="49">
        <f ca="1"/>
        <v>0</v>
      </c>
      <c r="AP492" s="49">
        <f ca="1"/>
        <v>0</v>
      </c>
      <c r="AQ492" s="49">
        <f ca="1"/>
        <v>0</v>
      </c>
      <c r="AR492" s="49">
        <f ca="1"/>
        <v>0</v>
      </c>
      <c r="AS492" s="49">
        <f ca="1"/>
        <v>0</v>
      </c>
      <c r="AT492" s="49">
        <f ca="1"/>
        <v>0</v>
      </c>
      <c r="AU492" s="49">
        <f ca="1"/>
        <v>0</v>
      </c>
      <c r="AV492" s="49">
        <f ca="1"/>
        <v>0</v>
      </c>
      <c r="AW492" s="49">
        <f ca="1"/>
        <v>0</v>
      </c>
      <c r="AX492" s="49">
        <f ca="1"/>
        <v>0</v>
      </c>
      <c r="AY492" s="49">
        <f ca="1"/>
        <v>0</v>
      </c>
      <c r="AZ492" s="49">
        <f ca="1"/>
        <v>0</v>
      </c>
      <c r="BA492" s="49">
        <f ca="1"/>
        <v>0</v>
      </c>
      <c r="BB492" s="49">
        <f ca="1"/>
        <v>0</v>
      </c>
      <c r="BC492" s="49">
        <f ca="1"/>
        <v>0</v>
      </c>
      <c r="BD492" s="49">
        <f ca="1"/>
        <v>0</v>
      </c>
      <c r="BE492" s="49">
        <f ca="1"/>
        <v>0</v>
      </c>
      <c r="BF492" s="49">
        <f ca="1"/>
        <v>0</v>
      </c>
      <c r="BG492" s="49">
        <f ca="1"/>
        <v>0</v>
      </c>
      <c r="BH492" s="49">
        <f ca="1"/>
        <v>0</v>
      </c>
      <c r="BI492" s="49">
        <f ca="1"/>
        <v>0</v>
      </c>
      <c r="BJ492" s="49">
        <f ca="1"/>
        <v>0</v>
      </c>
      <c r="BK492" s="49">
        <f ca="1"/>
        <v>0</v>
      </c>
      <c r="BL492" s="49">
        <f ca="1"/>
        <v>0</v>
      </c>
      <c r="BM492" s="49">
        <f ca="1"/>
        <v>0</v>
      </c>
      <c r="BN492" s="49">
        <f ca="1"/>
        <v>0</v>
      </c>
      <c r="BO492" s="49">
        <f ca="1"/>
        <v>0</v>
      </c>
      <c r="BP492" s="49">
        <f ca="1"/>
        <v>0</v>
      </c>
      <c r="BQ492" s="49">
        <f ca="1"/>
        <v>0</v>
      </c>
      <c r="BR492" s="49">
        <f ca="1"/>
        <v>0</v>
      </c>
      <c r="BS492" s="49">
        <f ca="1"/>
        <v>0</v>
      </c>
    </row>
    <row r="493" spans="1:71" outlineLevel="1" x14ac:dyDescent="0.2">
      <c r="C493" s="11" t="str">
        <f>HM_ZB_Nsoko!C479</f>
        <v>Coûts portés</v>
      </c>
      <c r="I493" s="30">
        <f t="shared" ca="1" si="250"/>
        <v>-1637.03865</v>
      </c>
      <c r="J493" s="26" t="s">
        <v>148</v>
      </c>
      <c r="L493" s="49" cm="1">
        <f t="array" aca="1" ref="L493:BS493" ca="1">-HM_ZD_Moho!CA_NOC_carried_costs</f>
        <v>-193.01729999999998</v>
      </c>
      <c r="M493" s="49">
        <f ca="1"/>
        <v>-317.73179999999996</v>
      </c>
      <c r="N493" s="49">
        <f ca="1"/>
        <v>-469.58609999999999</v>
      </c>
      <c r="O493" s="49">
        <f ca="1"/>
        <v>-385.68014999999997</v>
      </c>
      <c r="P493" s="49">
        <f ca="1"/>
        <v>-172.98479999999998</v>
      </c>
      <c r="Q493" s="49">
        <f ca="1"/>
        <v>-98.038499999999999</v>
      </c>
      <c r="R493" s="49">
        <f ca="1"/>
        <v>0</v>
      </c>
      <c r="S493" s="49">
        <f ca="1"/>
        <v>0</v>
      </c>
      <c r="T493" s="49">
        <f ca="1"/>
        <v>0</v>
      </c>
      <c r="U493" s="49">
        <f ca="1"/>
        <v>0</v>
      </c>
      <c r="V493" s="49">
        <f ca="1"/>
        <v>0</v>
      </c>
      <c r="W493" s="49">
        <f ca="1"/>
        <v>0</v>
      </c>
      <c r="X493" s="49">
        <f ca="1"/>
        <v>0</v>
      </c>
      <c r="Y493" s="49">
        <f ca="1"/>
        <v>0</v>
      </c>
      <c r="Z493" s="49">
        <f ca="1"/>
        <v>0</v>
      </c>
      <c r="AA493" s="49">
        <f ca="1"/>
        <v>0</v>
      </c>
      <c r="AB493" s="49">
        <f ca="1"/>
        <v>0</v>
      </c>
      <c r="AC493" s="49">
        <f ca="1"/>
        <v>0</v>
      </c>
      <c r="AD493" s="49">
        <f ca="1"/>
        <v>0</v>
      </c>
      <c r="AE493" s="49">
        <f ca="1"/>
        <v>0</v>
      </c>
      <c r="AF493" s="49">
        <f ca="1"/>
        <v>0</v>
      </c>
      <c r="AG493" s="49">
        <f ca="1"/>
        <v>0</v>
      </c>
      <c r="AH493" s="49">
        <f ca="1"/>
        <v>0</v>
      </c>
      <c r="AI493" s="49">
        <f ca="1"/>
        <v>0</v>
      </c>
      <c r="AJ493" s="49">
        <f ca="1"/>
        <v>0</v>
      </c>
      <c r="AK493" s="49">
        <f ca="1"/>
        <v>0</v>
      </c>
      <c r="AL493" s="49">
        <f ca="1"/>
        <v>0</v>
      </c>
      <c r="AM493" s="49">
        <f ca="1"/>
        <v>0</v>
      </c>
      <c r="AN493" s="49">
        <f ca="1"/>
        <v>0</v>
      </c>
      <c r="AO493" s="49">
        <f ca="1"/>
        <v>0</v>
      </c>
      <c r="AP493" s="49">
        <f ca="1"/>
        <v>0</v>
      </c>
      <c r="AQ493" s="49">
        <f ca="1"/>
        <v>0</v>
      </c>
      <c r="AR493" s="49">
        <f ca="1"/>
        <v>0</v>
      </c>
      <c r="AS493" s="49">
        <f ca="1"/>
        <v>0</v>
      </c>
      <c r="AT493" s="49">
        <f ca="1"/>
        <v>0</v>
      </c>
      <c r="AU493" s="49">
        <f ca="1"/>
        <v>0</v>
      </c>
      <c r="AV493" s="49">
        <f ca="1"/>
        <v>0</v>
      </c>
      <c r="AW493" s="49">
        <f ca="1"/>
        <v>0</v>
      </c>
      <c r="AX493" s="49">
        <f ca="1"/>
        <v>0</v>
      </c>
      <c r="AY493" s="49">
        <f ca="1"/>
        <v>0</v>
      </c>
      <c r="AZ493" s="49">
        <f ca="1"/>
        <v>0</v>
      </c>
      <c r="BA493" s="49">
        <f ca="1"/>
        <v>0</v>
      </c>
      <c r="BB493" s="49">
        <f ca="1"/>
        <v>0</v>
      </c>
      <c r="BC493" s="49">
        <f ca="1"/>
        <v>0</v>
      </c>
      <c r="BD493" s="49">
        <f ca="1"/>
        <v>0</v>
      </c>
      <c r="BE493" s="49">
        <f ca="1"/>
        <v>0</v>
      </c>
      <c r="BF493" s="49">
        <f ca="1"/>
        <v>0</v>
      </c>
      <c r="BG493" s="49">
        <f ca="1"/>
        <v>0</v>
      </c>
      <c r="BH493" s="49">
        <f ca="1"/>
        <v>0</v>
      </c>
      <c r="BI493" s="49">
        <f ca="1"/>
        <v>0</v>
      </c>
      <c r="BJ493" s="49">
        <f ca="1"/>
        <v>0</v>
      </c>
      <c r="BK493" s="49">
        <f ca="1"/>
        <v>0</v>
      </c>
      <c r="BL493" s="49">
        <f ca="1"/>
        <v>0</v>
      </c>
      <c r="BM493" s="49">
        <f ca="1"/>
        <v>0</v>
      </c>
      <c r="BN493" s="49">
        <f ca="1"/>
        <v>0</v>
      </c>
      <c r="BO493" s="49">
        <f ca="1"/>
        <v>0</v>
      </c>
      <c r="BP493" s="49">
        <f ca="1"/>
        <v>0</v>
      </c>
      <c r="BQ493" s="49">
        <f ca="1"/>
        <v>0</v>
      </c>
      <c r="BR493" s="49">
        <f ca="1"/>
        <v>0</v>
      </c>
      <c r="BS493" s="49">
        <f ca="1"/>
        <v>0</v>
      </c>
    </row>
    <row r="494" spans="1:71" outlineLevel="1" x14ac:dyDescent="0.2">
      <c r="C494" s="11" t="str">
        <f>HM_ZB_Nsoko!C480</f>
        <v>Remboursement du portage</v>
      </c>
      <c r="I494" s="30">
        <f t="shared" ca="1" si="250"/>
        <v>1637.0386499999997</v>
      </c>
      <c r="J494" s="26" t="s">
        <v>148</v>
      </c>
      <c r="L494" s="49" cm="1">
        <f t="array" aca="1" ref="L494:BS494" ca="1">-HM_ZD_Moho!CA_NOC_carry_payback</f>
        <v>77.710963826486108</v>
      </c>
      <c r="M494" s="49">
        <f ca="1"/>
        <v>75.50381369445806</v>
      </c>
      <c r="N494" s="49">
        <f ca="1"/>
        <v>66.567698596940616</v>
      </c>
      <c r="O494" s="49">
        <f ca="1"/>
        <v>57.205845713464875</v>
      </c>
      <c r="P494" s="49">
        <f ca="1"/>
        <v>160.50970169532511</v>
      </c>
      <c r="Q494" s="49">
        <f ca="1"/>
        <v>324.74757048780373</v>
      </c>
      <c r="R494" s="49">
        <f ca="1"/>
        <v>316.19855132521735</v>
      </c>
      <c r="S494" s="49">
        <f ca="1"/>
        <v>188.79594851081251</v>
      </c>
      <c r="T494" s="49">
        <f ca="1"/>
        <v>288.87746999560017</v>
      </c>
      <c r="U494" s="49">
        <f ca="1"/>
        <v>80.921086153891281</v>
      </c>
      <c r="V494" s="49">
        <f ca="1"/>
        <v>0</v>
      </c>
      <c r="W494" s="49">
        <f ca="1"/>
        <v>0</v>
      </c>
      <c r="X494" s="49">
        <f ca="1"/>
        <v>0</v>
      </c>
      <c r="Y494" s="49">
        <f ca="1"/>
        <v>0</v>
      </c>
      <c r="Z494" s="49">
        <f ca="1"/>
        <v>0</v>
      </c>
      <c r="AA494" s="49">
        <f ca="1"/>
        <v>0</v>
      </c>
      <c r="AB494" s="49">
        <f ca="1"/>
        <v>0</v>
      </c>
      <c r="AC494" s="49">
        <f ca="1"/>
        <v>0</v>
      </c>
      <c r="AD494" s="49">
        <f ca="1"/>
        <v>0</v>
      </c>
      <c r="AE494" s="49">
        <f ca="1"/>
        <v>0</v>
      </c>
      <c r="AF494" s="49">
        <f ca="1"/>
        <v>0</v>
      </c>
      <c r="AG494" s="49">
        <f ca="1"/>
        <v>0</v>
      </c>
      <c r="AH494" s="49">
        <f ca="1"/>
        <v>0</v>
      </c>
      <c r="AI494" s="49">
        <f ca="1"/>
        <v>0</v>
      </c>
      <c r="AJ494" s="49">
        <f ca="1"/>
        <v>0</v>
      </c>
      <c r="AK494" s="49">
        <f ca="1"/>
        <v>0</v>
      </c>
      <c r="AL494" s="49">
        <f ca="1"/>
        <v>0</v>
      </c>
      <c r="AM494" s="49">
        <f ca="1"/>
        <v>0</v>
      </c>
      <c r="AN494" s="49">
        <f ca="1"/>
        <v>0</v>
      </c>
      <c r="AO494" s="49">
        <f ca="1"/>
        <v>0</v>
      </c>
      <c r="AP494" s="49">
        <f ca="1"/>
        <v>0</v>
      </c>
      <c r="AQ494" s="49">
        <f ca="1"/>
        <v>0</v>
      </c>
      <c r="AR494" s="49">
        <f ca="1"/>
        <v>0</v>
      </c>
      <c r="AS494" s="49">
        <f ca="1"/>
        <v>0</v>
      </c>
      <c r="AT494" s="49">
        <f ca="1"/>
        <v>0</v>
      </c>
      <c r="AU494" s="49">
        <f ca="1"/>
        <v>0</v>
      </c>
      <c r="AV494" s="49">
        <f ca="1"/>
        <v>0</v>
      </c>
      <c r="AW494" s="49">
        <f ca="1"/>
        <v>0</v>
      </c>
      <c r="AX494" s="49">
        <f ca="1"/>
        <v>0</v>
      </c>
      <c r="AY494" s="49">
        <f ca="1"/>
        <v>0</v>
      </c>
      <c r="AZ494" s="49">
        <f ca="1"/>
        <v>0</v>
      </c>
      <c r="BA494" s="49">
        <f ca="1"/>
        <v>0</v>
      </c>
      <c r="BB494" s="49">
        <f ca="1"/>
        <v>0</v>
      </c>
      <c r="BC494" s="49">
        <f ca="1"/>
        <v>0</v>
      </c>
      <c r="BD494" s="49">
        <f ca="1"/>
        <v>0</v>
      </c>
      <c r="BE494" s="49">
        <f ca="1"/>
        <v>0</v>
      </c>
      <c r="BF494" s="49">
        <f ca="1"/>
        <v>0</v>
      </c>
      <c r="BG494" s="49">
        <f ca="1"/>
        <v>0</v>
      </c>
      <c r="BH494" s="49">
        <f ca="1"/>
        <v>0</v>
      </c>
      <c r="BI494" s="49">
        <f ca="1"/>
        <v>0</v>
      </c>
      <c r="BJ494" s="49">
        <f ca="1"/>
        <v>0</v>
      </c>
      <c r="BK494" s="49">
        <f ca="1"/>
        <v>0</v>
      </c>
      <c r="BL494" s="49">
        <f ca="1"/>
        <v>0</v>
      </c>
      <c r="BM494" s="49">
        <f ca="1"/>
        <v>0</v>
      </c>
      <c r="BN494" s="49">
        <f ca="1"/>
        <v>0</v>
      </c>
      <c r="BO494" s="49">
        <f ca="1"/>
        <v>0</v>
      </c>
      <c r="BP494" s="49">
        <f ca="1"/>
        <v>0</v>
      </c>
      <c r="BQ494" s="49">
        <f ca="1"/>
        <v>0</v>
      </c>
      <c r="BR494" s="49">
        <f ca="1"/>
        <v>0</v>
      </c>
      <c r="BS494" s="49">
        <f ca="1"/>
        <v>0</v>
      </c>
    </row>
    <row r="495" spans="1:71" outlineLevel="1" x14ac:dyDescent="0.2">
      <c r="C495" s="11" t="str">
        <f>HM_ZB_Nsoko!C481</f>
        <v>Flux de trésorerie après impôts des compagnies pétrolières internationales</v>
      </c>
      <c r="H495" s="7" t="s">
        <v>494</v>
      </c>
      <c r="I495" s="30">
        <f t="shared" ca="1" si="250"/>
        <v>5962.6929676312811</v>
      </c>
      <c r="J495" s="26" t="s">
        <v>148</v>
      </c>
      <c r="K495" s="7" t="s">
        <v>470</v>
      </c>
      <c r="L495" s="49">
        <f ca="1">SUM(L492:L494)</f>
        <v>-784.94544185356926</v>
      </c>
      <c r="M495" s="49">
        <f t="shared" ref="M495:BS495" ca="1" si="251">SUM(M492:M494)</f>
        <v>-1674.7021746968815</v>
      </c>
      <c r="N495" s="49">
        <f t="shared" ca="1" si="251"/>
        <v>-2807.6077063857215</v>
      </c>
      <c r="O495" s="49">
        <f t="shared" ca="1" si="251"/>
        <v>-2487.0393756088388</v>
      </c>
      <c r="P495" s="49">
        <f t="shared" ca="1" si="251"/>
        <v>-533.34552271471273</v>
      </c>
      <c r="Q495" s="49">
        <f t="shared" ca="1" si="251"/>
        <v>1883.3557776059092</v>
      </c>
      <c r="R495" s="49">
        <f t="shared" ca="1" si="251"/>
        <v>2435.7674608989396</v>
      </c>
      <c r="S495" s="49">
        <f t="shared" ca="1" si="251"/>
        <v>1354.0126019770626</v>
      </c>
      <c r="T495" s="49">
        <f t="shared" ca="1" si="251"/>
        <v>2203.2488448844033</v>
      </c>
      <c r="U495" s="49">
        <f t="shared" ca="1" si="251"/>
        <v>1989.1307869236987</v>
      </c>
      <c r="V495" s="49">
        <f t="shared" ca="1" si="251"/>
        <v>1736.9221444453751</v>
      </c>
      <c r="W495" s="49">
        <f t="shared" ca="1" si="251"/>
        <v>1366.6379348418432</v>
      </c>
      <c r="X495" s="49">
        <f t="shared" ca="1" si="251"/>
        <v>1281.2576373137724</v>
      </c>
      <c r="Y495" s="49">
        <f t="shared" ca="1" si="251"/>
        <v>0</v>
      </c>
      <c r="Z495" s="49">
        <f t="shared" ca="1" si="251"/>
        <v>0</v>
      </c>
      <c r="AA495" s="49">
        <f t="shared" ca="1" si="251"/>
        <v>0</v>
      </c>
      <c r="AB495" s="49">
        <f t="shared" ca="1" si="251"/>
        <v>0</v>
      </c>
      <c r="AC495" s="49">
        <f t="shared" ca="1" si="251"/>
        <v>0</v>
      </c>
      <c r="AD495" s="49">
        <f t="shared" ca="1" si="251"/>
        <v>0</v>
      </c>
      <c r="AE495" s="49">
        <f t="shared" ca="1" si="251"/>
        <v>0</v>
      </c>
      <c r="AF495" s="49">
        <f t="shared" ca="1" si="251"/>
        <v>0</v>
      </c>
      <c r="AG495" s="49">
        <f t="shared" ca="1" si="251"/>
        <v>0</v>
      </c>
      <c r="AH495" s="49">
        <f t="shared" ca="1" si="251"/>
        <v>0</v>
      </c>
      <c r="AI495" s="49">
        <f t="shared" ca="1" si="251"/>
        <v>0</v>
      </c>
      <c r="AJ495" s="49">
        <f t="shared" ca="1" si="251"/>
        <v>0</v>
      </c>
      <c r="AK495" s="49">
        <f t="shared" ca="1" si="251"/>
        <v>0</v>
      </c>
      <c r="AL495" s="49">
        <f t="shared" ca="1" si="251"/>
        <v>0</v>
      </c>
      <c r="AM495" s="49">
        <f t="shared" ca="1" si="251"/>
        <v>0</v>
      </c>
      <c r="AN495" s="49">
        <f t="shared" ca="1" si="251"/>
        <v>0</v>
      </c>
      <c r="AO495" s="49">
        <f t="shared" ca="1" si="251"/>
        <v>0</v>
      </c>
      <c r="AP495" s="49">
        <f t="shared" ca="1" si="251"/>
        <v>0</v>
      </c>
      <c r="AQ495" s="49">
        <f t="shared" ca="1" si="251"/>
        <v>0</v>
      </c>
      <c r="AR495" s="49">
        <f t="shared" ca="1" si="251"/>
        <v>0</v>
      </c>
      <c r="AS495" s="49">
        <f t="shared" ca="1" si="251"/>
        <v>0</v>
      </c>
      <c r="AT495" s="49">
        <f t="shared" ca="1" si="251"/>
        <v>0</v>
      </c>
      <c r="AU495" s="49">
        <f t="shared" ca="1" si="251"/>
        <v>0</v>
      </c>
      <c r="AV495" s="49">
        <f t="shared" ca="1" si="251"/>
        <v>0</v>
      </c>
      <c r="AW495" s="49">
        <f t="shared" ca="1" si="251"/>
        <v>0</v>
      </c>
      <c r="AX495" s="49">
        <f t="shared" ca="1" si="251"/>
        <v>0</v>
      </c>
      <c r="AY495" s="49">
        <f t="shared" ca="1" si="251"/>
        <v>0</v>
      </c>
      <c r="AZ495" s="49">
        <f t="shared" ca="1" si="251"/>
        <v>0</v>
      </c>
      <c r="BA495" s="49">
        <f t="shared" ca="1" si="251"/>
        <v>0</v>
      </c>
      <c r="BB495" s="49">
        <f t="shared" ca="1" si="251"/>
        <v>0</v>
      </c>
      <c r="BC495" s="49">
        <f t="shared" ca="1" si="251"/>
        <v>0</v>
      </c>
      <c r="BD495" s="49">
        <f t="shared" ca="1" si="251"/>
        <v>0</v>
      </c>
      <c r="BE495" s="49">
        <f t="shared" ca="1" si="251"/>
        <v>0</v>
      </c>
      <c r="BF495" s="49">
        <f t="shared" ca="1" si="251"/>
        <v>0</v>
      </c>
      <c r="BG495" s="49">
        <f t="shared" ca="1" si="251"/>
        <v>0</v>
      </c>
      <c r="BH495" s="49">
        <f t="shared" ca="1" si="251"/>
        <v>0</v>
      </c>
      <c r="BI495" s="49">
        <f t="shared" ca="1" si="251"/>
        <v>0</v>
      </c>
      <c r="BJ495" s="49">
        <f t="shared" ca="1" si="251"/>
        <v>0</v>
      </c>
      <c r="BK495" s="49">
        <f t="shared" ca="1" si="251"/>
        <v>0</v>
      </c>
      <c r="BL495" s="49">
        <f t="shared" ca="1" si="251"/>
        <v>0</v>
      </c>
      <c r="BM495" s="49">
        <f t="shared" ca="1" si="251"/>
        <v>0</v>
      </c>
      <c r="BN495" s="49">
        <f t="shared" ca="1" si="251"/>
        <v>0</v>
      </c>
      <c r="BO495" s="49">
        <f t="shared" ca="1" si="251"/>
        <v>0</v>
      </c>
      <c r="BP495" s="49">
        <f t="shared" ca="1" si="251"/>
        <v>0</v>
      </c>
      <c r="BQ495" s="49">
        <f t="shared" ca="1" si="251"/>
        <v>0</v>
      </c>
      <c r="BR495" s="49">
        <f t="shared" ca="1" si="251"/>
        <v>0</v>
      </c>
      <c r="BS495" s="49">
        <f t="shared" ca="1" si="251"/>
        <v>0</v>
      </c>
    </row>
    <row r="496" spans="1:71" outlineLevel="1" x14ac:dyDescent="0.2">
      <c r="J496" s="26"/>
      <c r="L496" s="55"/>
      <c r="M496" s="55"/>
      <c r="N496" s="55"/>
      <c r="O496" s="55"/>
      <c r="P496" s="55"/>
      <c r="Q496" s="55"/>
      <c r="R496" s="55"/>
      <c r="S496" s="55"/>
      <c r="T496" s="55"/>
      <c r="U496" s="55"/>
      <c r="V496" s="55"/>
      <c r="W496" s="55"/>
      <c r="X496" s="55"/>
      <c r="Y496" s="55"/>
      <c r="Z496" s="55"/>
      <c r="AA496" s="55"/>
      <c r="AB496" s="55"/>
      <c r="AC496" s="55"/>
      <c r="AD496" s="55"/>
      <c r="AE496" s="55"/>
      <c r="AF496" s="55"/>
      <c r="AG496" s="55"/>
      <c r="AH496" s="55"/>
      <c r="AI496" s="55"/>
      <c r="AJ496" s="55"/>
      <c r="AK496" s="55"/>
      <c r="AL496" s="55"/>
      <c r="AM496" s="55"/>
      <c r="AN496" s="55"/>
      <c r="AO496" s="55"/>
      <c r="AP496" s="55"/>
      <c r="AQ496" s="55"/>
      <c r="AR496" s="55"/>
      <c r="AS496" s="55"/>
      <c r="AT496" s="55"/>
      <c r="AU496" s="55"/>
      <c r="AV496" s="55"/>
      <c r="AW496" s="55"/>
      <c r="AX496" s="55"/>
      <c r="AY496" s="55"/>
      <c r="AZ496" s="55"/>
      <c r="BA496" s="55"/>
      <c r="BB496" s="55"/>
      <c r="BC496" s="55"/>
      <c r="BD496" s="55"/>
      <c r="BE496" s="55"/>
      <c r="BF496" s="55"/>
      <c r="BG496" s="55"/>
      <c r="BH496" s="55"/>
      <c r="BI496" s="55"/>
      <c r="BJ496" s="55"/>
      <c r="BK496" s="55"/>
      <c r="BL496" s="55"/>
      <c r="BM496" s="55"/>
      <c r="BN496" s="55"/>
      <c r="BO496" s="55"/>
      <c r="BP496" s="55"/>
      <c r="BQ496" s="55"/>
      <c r="BR496" s="55"/>
      <c r="BS496" s="55"/>
    </row>
    <row r="497" spans="1:71" outlineLevel="1" x14ac:dyDescent="0.2">
      <c r="C497" s="11" t="str">
        <f>HM_ZB_Nsoko!C483</f>
        <v>Flux de trésorerie après impôts cumulé</v>
      </c>
      <c r="J497" s="26"/>
      <c r="L497" s="66">
        <f ca="1">(K497+L495)*HM_ZD_Moho!CA_op_trig</f>
        <v>-784.94544185356926</v>
      </c>
      <c r="M497" s="66">
        <f ca="1">(L497+M495)*HM_ZD_Moho!CA_op_trig</f>
        <v>-2459.6476165504509</v>
      </c>
      <c r="N497" s="66">
        <f ca="1">(M497+N495)*HM_ZD_Moho!CA_op_trig</f>
        <v>-5267.2553229361729</v>
      </c>
      <c r="O497" s="66">
        <f ca="1">(N497+O495)*HM_ZD_Moho!CA_op_trig</f>
        <v>-7754.2946985450117</v>
      </c>
      <c r="P497" s="66">
        <f ca="1">(O497+P495)*HM_ZD_Moho!CA_op_trig</f>
        <v>-8287.6402212597241</v>
      </c>
      <c r="Q497" s="66">
        <f ca="1">(P497+Q495)*HM_ZD_Moho!CA_op_trig</f>
        <v>-6404.2844436538144</v>
      </c>
      <c r="R497" s="66">
        <f ca="1">(Q497+R495)*HM_ZD_Moho!CA_op_trig</f>
        <v>-3968.5169827548748</v>
      </c>
      <c r="S497" s="66">
        <f ca="1">(R497+S495)*HM_ZD_Moho!CA_op_trig</f>
        <v>-2614.504380777812</v>
      </c>
      <c r="T497" s="66">
        <f ca="1">(S497+T495)*HM_ZD_Moho!CA_op_trig</f>
        <v>-411.25553589340871</v>
      </c>
      <c r="U497" s="66">
        <f ca="1">(T497+U495)*HM_ZD_Moho!CA_op_trig</f>
        <v>1577.87525103029</v>
      </c>
      <c r="V497" s="66">
        <f ca="1">(U497+V495)*HM_ZD_Moho!CA_op_trig</f>
        <v>3314.7973954756653</v>
      </c>
      <c r="W497" s="66">
        <f ca="1">(V497+W495)*HM_ZD_Moho!CA_op_trig</f>
        <v>4681.4353303175085</v>
      </c>
      <c r="X497" s="66">
        <f ca="1">(W497+X495)*HM_ZD_Moho!CA_op_trig</f>
        <v>5962.6929676312811</v>
      </c>
      <c r="Y497" s="66">
        <f ca="1">(X497+Y495)*HM_ZD_Moho!CA_op_trig</f>
        <v>0</v>
      </c>
      <c r="Z497" s="66">
        <f ca="1">(Y497+Z495)*HM_ZD_Moho!CA_op_trig</f>
        <v>0</v>
      </c>
      <c r="AA497" s="66">
        <f ca="1">(Z497+AA495)*HM_ZD_Moho!CA_op_trig</f>
        <v>0</v>
      </c>
      <c r="AB497" s="66">
        <f ca="1">(AA497+AB495)*HM_ZD_Moho!CA_op_trig</f>
        <v>0</v>
      </c>
      <c r="AC497" s="66">
        <f ca="1">(AB497+AC495)*HM_ZD_Moho!CA_op_trig</f>
        <v>0</v>
      </c>
      <c r="AD497" s="66">
        <f ca="1">(AC497+AD495)*HM_ZD_Moho!CA_op_trig</f>
        <v>0</v>
      </c>
      <c r="AE497" s="66">
        <f ca="1">(AD497+AE495)*HM_ZD_Moho!CA_op_trig</f>
        <v>0</v>
      </c>
      <c r="AF497" s="66">
        <f ca="1">(AE497+AF495)*HM_ZD_Moho!CA_op_trig</f>
        <v>0</v>
      </c>
      <c r="AG497" s="66">
        <f ca="1">(AF497+AG495)*HM_ZD_Moho!CA_op_trig</f>
        <v>0</v>
      </c>
      <c r="AH497" s="66">
        <f ca="1">(AG497+AH495)*HM_ZD_Moho!CA_op_trig</f>
        <v>0</v>
      </c>
      <c r="AI497" s="66">
        <f ca="1">(AH497+AI495)*HM_ZD_Moho!CA_op_trig</f>
        <v>0</v>
      </c>
      <c r="AJ497" s="66">
        <f ca="1">(AI497+AJ495)*HM_ZD_Moho!CA_op_trig</f>
        <v>0</v>
      </c>
      <c r="AK497" s="66">
        <f ca="1">(AJ497+AK495)*HM_ZD_Moho!CA_op_trig</f>
        <v>0</v>
      </c>
      <c r="AL497" s="66">
        <f ca="1">(AK497+AL495)*HM_ZD_Moho!CA_op_trig</f>
        <v>0</v>
      </c>
      <c r="AM497" s="66">
        <f ca="1">(AL497+AM495)*HM_ZD_Moho!CA_op_trig</f>
        <v>0</v>
      </c>
      <c r="AN497" s="66">
        <f ca="1">(AM497+AN495)*HM_ZD_Moho!CA_op_trig</f>
        <v>0</v>
      </c>
      <c r="AO497" s="66">
        <f ca="1">(AN497+AO495)*HM_ZD_Moho!CA_op_trig</f>
        <v>0</v>
      </c>
      <c r="AP497" s="66">
        <f ca="1">(AO497+AP495)*HM_ZD_Moho!CA_op_trig</f>
        <v>0</v>
      </c>
      <c r="AQ497" s="66">
        <f ca="1">(AP497+AQ495)*HM_ZD_Moho!CA_op_trig</f>
        <v>0</v>
      </c>
      <c r="AR497" s="66">
        <f ca="1">(AQ497+AR495)*HM_ZD_Moho!CA_op_trig</f>
        <v>0</v>
      </c>
      <c r="AS497" s="66">
        <f ca="1">(AR497+AS495)*HM_ZD_Moho!CA_op_trig</f>
        <v>0</v>
      </c>
      <c r="AT497" s="66">
        <f ca="1">(AS497+AT495)*HM_ZD_Moho!CA_op_trig</f>
        <v>0</v>
      </c>
      <c r="AU497" s="66">
        <f ca="1">(AT497+AU495)*HM_ZD_Moho!CA_op_trig</f>
        <v>0</v>
      </c>
      <c r="AV497" s="66">
        <f ca="1">(AU497+AV495)*HM_ZD_Moho!CA_op_trig</f>
        <v>0</v>
      </c>
      <c r="AW497" s="66">
        <f ca="1">(AV497+AW495)*HM_ZD_Moho!CA_op_trig</f>
        <v>0</v>
      </c>
      <c r="AX497" s="66">
        <f ca="1">(AW497+AX495)*HM_ZD_Moho!CA_op_trig</f>
        <v>0</v>
      </c>
      <c r="AY497" s="66">
        <f ca="1">(AX497+AY495)*HM_ZD_Moho!CA_op_trig</f>
        <v>0</v>
      </c>
      <c r="AZ497" s="66">
        <f ca="1">(AY497+AZ495)*HM_ZD_Moho!CA_op_trig</f>
        <v>0</v>
      </c>
      <c r="BA497" s="66">
        <f ca="1">(AZ497+BA495)*HM_ZD_Moho!CA_op_trig</f>
        <v>0</v>
      </c>
      <c r="BB497" s="66">
        <f ca="1">(BA497+BB495)*HM_ZD_Moho!CA_op_trig</f>
        <v>0</v>
      </c>
      <c r="BC497" s="66">
        <f ca="1">(BB497+BC495)*HM_ZD_Moho!CA_op_trig</f>
        <v>0</v>
      </c>
      <c r="BD497" s="66">
        <f ca="1">(BC497+BD495)*HM_ZD_Moho!CA_op_trig</f>
        <v>0</v>
      </c>
      <c r="BE497" s="66">
        <f ca="1">(BD497+BE495)*HM_ZD_Moho!CA_op_trig</f>
        <v>0</v>
      </c>
      <c r="BF497" s="66">
        <f ca="1">(BE497+BF495)*HM_ZD_Moho!CA_op_trig</f>
        <v>0</v>
      </c>
      <c r="BG497" s="66">
        <f ca="1">(BF497+BG495)*HM_ZD_Moho!CA_op_trig</f>
        <v>0</v>
      </c>
      <c r="BH497" s="66">
        <f ca="1">(BG497+BH495)*HM_ZD_Moho!CA_op_trig</f>
        <v>0</v>
      </c>
      <c r="BI497" s="66">
        <f ca="1">(BH497+BI495)*HM_ZD_Moho!CA_op_trig</f>
        <v>0</v>
      </c>
      <c r="BJ497" s="66">
        <f ca="1">(BI497+BJ495)*HM_ZD_Moho!CA_op_trig</f>
        <v>0</v>
      </c>
      <c r="BK497" s="66">
        <f ca="1">(BJ497+BK495)*HM_ZD_Moho!CA_op_trig</f>
        <v>0</v>
      </c>
      <c r="BL497" s="66">
        <f ca="1">(BK497+BL495)*HM_ZD_Moho!CA_op_trig</f>
        <v>0</v>
      </c>
      <c r="BM497" s="66">
        <f ca="1">(BL497+BM495)*HM_ZD_Moho!CA_op_trig</f>
        <v>0</v>
      </c>
      <c r="BN497" s="66">
        <f ca="1">(BM497+BN495)*HM_ZD_Moho!CA_op_trig</f>
        <v>0</v>
      </c>
      <c r="BO497" s="66">
        <f ca="1">(BN497+BO495)*HM_ZD_Moho!CA_op_trig</f>
        <v>0</v>
      </c>
      <c r="BP497" s="66">
        <f ca="1">(BO497+BP495)*HM_ZD_Moho!CA_op_trig</f>
        <v>0</v>
      </c>
      <c r="BQ497" s="66">
        <f ca="1">(BP497+BQ495)*HM_ZD_Moho!CA_op_trig</f>
        <v>0</v>
      </c>
      <c r="BR497" s="66">
        <f ca="1">(BQ497+BR495)*HM_ZD_Moho!CA_op_trig</f>
        <v>0</v>
      </c>
      <c r="BS497" s="66">
        <f ca="1">(BR497+BS495)*HM_ZD_Moho!CA_op_trig</f>
        <v>0</v>
      </c>
    </row>
    <row r="498" spans="1:71" outlineLevel="1" x14ac:dyDescent="0.2">
      <c r="J498" s="26"/>
      <c r="L498" s="55"/>
      <c r="M498" s="55"/>
      <c r="N498" s="55"/>
      <c r="O498" s="55"/>
      <c r="P498" s="55"/>
      <c r="Q498" s="55"/>
      <c r="R498" s="55"/>
      <c r="S498" s="55"/>
      <c r="T498" s="55"/>
      <c r="U498" s="55"/>
      <c r="V498" s="55"/>
      <c r="W498" s="55"/>
      <c r="X498" s="55"/>
      <c r="Y498" s="55"/>
      <c r="Z498" s="55"/>
      <c r="AA498" s="55"/>
      <c r="AB498" s="55"/>
      <c r="AC498" s="55"/>
      <c r="AD498" s="55"/>
      <c r="AE498" s="55"/>
      <c r="AF498" s="55"/>
      <c r="AG498" s="55"/>
      <c r="AH498" s="55"/>
      <c r="AI498" s="55"/>
      <c r="AJ498" s="55"/>
      <c r="AK498" s="55"/>
      <c r="AL498" s="55"/>
      <c r="AM498" s="55"/>
      <c r="AN498" s="55"/>
      <c r="AO498" s="55"/>
      <c r="AP498" s="55"/>
      <c r="AQ498" s="55"/>
      <c r="AR498" s="55"/>
      <c r="AS498" s="55"/>
      <c r="AT498" s="55"/>
      <c r="AU498" s="55"/>
      <c r="AV498" s="55"/>
      <c r="AW498" s="55"/>
      <c r="AX498" s="55"/>
      <c r="AY498" s="55"/>
      <c r="AZ498" s="55"/>
      <c r="BA498" s="55"/>
      <c r="BB498" s="55"/>
      <c r="BC498" s="55"/>
      <c r="BD498" s="55"/>
      <c r="BE498" s="55"/>
      <c r="BF498" s="55"/>
      <c r="BG498" s="55"/>
      <c r="BH498" s="55"/>
      <c r="BI498" s="55"/>
      <c r="BJ498" s="55"/>
      <c r="BK498" s="55"/>
      <c r="BL498" s="55"/>
      <c r="BM498" s="55"/>
      <c r="BN498" s="55"/>
      <c r="BO498" s="55"/>
      <c r="BP498" s="55"/>
      <c r="BQ498" s="55"/>
      <c r="BR498" s="55"/>
      <c r="BS498" s="55"/>
    </row>
    <row r="499" spans="1:71" outlineLevel="1" x14ac:dyDescent="0.2">
      <c r="C499" s="11" t="str">
        <f>HM_ZB_Nsoko!C485</f>
        <v>VAN cycle complet</v>
      </c>
      <c r="G499" s="60"/>
      <c r="H499" s="7" t="s">
        <v>495</v>
      </c>
      <c r="I499" s="63">
        <f ca="1">SUMPRODUCT(OA_IOC_ATCF_AM_4_AM_6,HM_ZD_Moho!CA_disc_factor_fc)</f>
        <v>-167.36080404224123</v>
      </c>
      <c r="J499" s="26" t="s">
        <v>148</v>
      </c>
      <c r="L499" s="55"/>
      <c r="M499" s="55"/>
      <c r="N499" s="55"/>
      <c r="O499" s="55"/>
      <c r="P499" s="55"/>
      <c r="Q499" s="55"/>
      <c r="R499" s="55"/>
      <c r="S499" s="55"/>
      <c r="T499" s="55"/>
      <c r="U499" s="55"/>
      <c r="V499" s="55"/>
      <c r="W499" s="55"/>
      <c r="X499" s="55"/>
      <c r="Y499" s="55"/>
      <c r="Z499" s="55"/>
      <c r="AA499" s="55"/>
      <c r="AB499" s="55"/>
      <c r="AC499" s="55"/>
      <c r="AD499" s="55"/>
      <c r="AE499" s="55"/>
      <c r="AF499" s="55"/>
      <c r="AG499" s="55"/>
      <c r="AH499" s="55"/>
      <c r="AI499" s="55"/>
      <c r="AJ499" s="55"/>
      <c r="AK499" s="55"/>
      <c r="AL499" s="55"/>
      <c r="AM499" s="55"/>
      <c r="AN499" s="55"/>
      <c r="AO499" s="55"/>
      <c r="AP499" s="55"/>
      <c r="AQ499" s="55"/>
      <c r="AR499" s="55"/>
      <c r="AS499" s="55"/>
      <c r="AT499" s="55"/>
      <c r="AU499" s="55"/>
      <c r="AV499" s="55"/>
      <c r="AW499" s="55"/>
      <c r="AX499" s="55"/>
      <c r="AY499" s="55"/>
      <c r="AZ499" s="55"/>
      <c r="BA499" s="55"/>
      <c r="BB499" s="55"/>
      <c r="BC499" s="55"/>
      <c r="BD499" s="55"/>
      <c r="BE499" s="55"/>
      <c r="BF499" s="55"/>
      <c r="BG499" s="55"/>
      <c r="BH499" s="55"/>
      <c r="BI499" s="55"/>
      <c r="BJ499" s="55"/>
      <c r="BK499" s="55"/>
      <c r="BL499" s="55"/>
      <c r="BM499" s="55"/>
      <c r="BN499" s="55"/>
      <c r="BO499" s="55"/>
      <c r="BP499" s="55"/>
      <c r="BQ499" s="55"/>
      <c r="BR499" s="55"/>
      <c r="BS499" s="55"/>
    </row>
    <row r="500" spans="1:71" outlineLevel="1" x14ac:dyDescent="0.2">
      <c r="C500" s="11" t="str">
        <f>HM_ZB_Nsoko!C486</f>
        <v>VAN à terme</v>
      </c>
      <c r="I500" s="63">
        <f ca="1">SUMPRODUCT(OA_IOC_ATCF_AM_4_AM_6,HM_ZD_Moho!CA_disc_factor_pf)</f>
        <v>7006.9144951771277</v>
      </c>
      <c r="J500" s="26" t="s">
        <v>148</v>
      </c>
      <c r="L500" s="55"/>
      <c r="M500" s="55"/>
      <c r="N500" s="55"/>
      <c r="O500" s="55"/>
      <c r="P500" s="55"/>
      <c r="Q500" s="55"/>
      <c r="R500" s="55"/>
      <c r="S500" s="55"/>
      <c r="T500" s="55"/>
      <c r="U500" s="55"/>
      <c r="V500" s="55"/>
      <c r="W500" s="55"/>
      <c r="X500" s="55"/>
      <c r="Y500" s="55"/>
      <c r="Z500" s="55"/>
      <c r="AA500" s="55"/>
      <c r="AB500" s="55"/>
      <c r="AC500" s="55"/>
      <c r="AD500" s="55"/>
      <c r="AE500" s="55"/>
      <c r="AF500" s="55"/>
      <c r="AG500" s="55"/>
      <c r="AH500" s="55"/>
      <c r="AI500" s="55"/>
      <c r="AJ500" s="55"/>
      <c r="AK500" s="55"/>
      <c r="AL500" s="55"/>
      <c r="AM500" s="55"/>
      <c r="AN500" s="55"/>
      <c r="AO500" s="55"/>
      <c r="AP500" s="55"/>
      <c r="AQ500" s="55"/>
      <c r="AR500" s="55"/>
      <c r="AS500" s="55"/>
      <c r="AT500" s="55"/>
      <c r="AU500" s="55"/>
      <c r="AV500" s="55"/>
      <c r="AW500" s="55"/>
      <c r="AX500" s="55"/>
      <c r="AY500" s="55"/>
      <c r="AZ500" s="55"/>
      <c r="BA500" s="55"/>
      <c r="BB500" s="55"/>
      <c r="BC500" s="55"/>
      <c r="BD500" s="55"/>
      <c r="BE500" s="55"/>
      <c r="BF500" s="55"/>
      <c r="BG500" s="55"/>
      <c r="BH500" s="55"/>
      <c r="BI500" s="55"/>
      <c r="BJ500" s="55"/>
      <c r="BK500" s="55"/>
      <c r="BL500" s="55"/>
      <c r="BM500" s="55"/>
      <c r="BN500" s="55"/>
      <c r="BO500" s="55"/>
      <c r="BP500" s="55"/>
      <c r="BQ500" s="55"/>
      <c r="BR500" s="55"/>
      <c r="BS500" s="55"/>
    </row>
    <row r="501" spans="1:71" outlineLevel="1" x14ac:dyDescent="0.2">
      <c r="I501" s="61"/>
      <c r="J501" s="26"/>
      <c r="L501" s="55"/>
      <c r="M501" s="55"/>
      <c r="N501" s="55"/>
      <c r="O501" s="55"/>
      <c r="P501" s="55"/>
      <c r="Q501" s="55"/>
      <c r="R501" s="55"/>
      <c r="S501" s="55"/>
      <c r="T501" s="55"/>
      <c r="U501" s="55"/>
      <c r="V501" s="55"/>
      <c r="W501" s="55"/>
      <c r="X501" s="55"/>
      <c r="Y501" s="55"/>
      <c r="Z501" s="55"/>
      <c r="AA501" s="55"/>
      <c r="AB501" s="55"/>
      <c r="AC501" s="55"/>
      <c r="AD501" s="55"/>
      <c r="AE501" s="55"/>
      <c r="AF501" s="55"/>
      <c r="AG501" s="55"/>
      <c r="AH501" s="55"/>
      <c r="AI501" s="55"/>
      <c r="AJ501" s="55"/>
      <c r="AK501" s="55"/>
      <c r="AL501" s="55"/>
      <c r="AM501" s="55"/>
      <c r="AN501" s="55"/>
      <c r="AO501" s="55"/>
      <c r="AP501" s="55"/>
      <c r="AQ501" s="55"/>
      <c r="AR501" s="55"/>
      <c r="AS501" s="55"/>
      <c r="AT501" s="55"/>
      <c r="AU501" s="55"/>
      <c r="AV501" s="55"/>
      <c r="AW501" s="55"/>
      <c r="AX501" s="55"/>
      <c r="AY501" s="55"/>
      <c r="AZ501" s="55"/>
      <c r="BA501" s="55"/>
      <c r="BB501" s="55"/>
      <c r="BC501" s="55"/>
      <c r="BD501" s="55"/>
      <c r="BE501" s="55"/>
      <c r="BF501" s="55"/>
      <c r="BG501" s="55"/>
      <c r="BH501" s="55"/>
      <c r="BI501" s="55"/>
      <c r="BJ501" s="55"/>
      <c r="BK501" s="55"/>
      <c r="BL501" s="55"/>
      <c r="BM501" s="55"/>
      <c r="BN501" s="55"/>
      <c r="BO501" s="55"/>
      <c r="BP501" s="55"/>
      <c r="BQ501" s="55"/>
      <c r="BR501" s="55"/>
      <c r="BS501" s="55"/>
    </row>
    <row r="502" spans="1:71" outlineLevel="1" x14ac:dyDescent="0.2">
      <c r="C502" s="11" t="str">
        <f>HM_ZB_Nsoko!C488</f>
        <v>TRI cycle complet</v>
      </c>
      <c r="H502" s="7" t="s">
        <v>496</v>
      </c>
      <c r="I502" s="62">
        <f ca="1">IFERROR(IRR(INDEX(OA_IOC_ATCF_AM_4_AM_6,1,MAX(1,$G$425-L4+1)):INDEX(OA_IOC_ATCF_AM_4_AM_6,1,last_model_year)),"na")</f>
        <v>9.462286010843024E-2</v>
      </c>
      <c r="J502" s="26" t="s">
        <v>90</v>
      </c>
      <c r="L502" s="55"/>
      <c r="M502" s="55"/>
      <c r="N502" s="55"/>
      <c r="O502" s="55"/>
      <c r="P502" s="55"/>
      <c r="Q502" s="55"/>
      <c r="R502" s="55"/>
      <c r="S502" s="55"/>
      <c r="T502" s="55"/>
      <c r="U502" s="55"/>
      <c r="V502" s="55"/>
      <c r="W502" s="55"/>
      <c r="X502" s="55"/>
      <c r="Y502" s="55"/>
      <c r="Z502" s="55"/>
      <c r="AA502" s="55"/>
      <c r="AB502" s="55"/>
      <c r="AC502" s="55"/>
      <c r="AD502" s="55"/>
      <c r="AE502" s="55"/>
      <c r="AF502" s="55"/>
      <c r="AG502" s="55"/>
      <c r="AH502" s="55"/>
      <c r="AI502" s="55"/>
      <c r="AJ502" s="55"/>
      <c r="AK502" s="55"/>
      <c r="AL502" s="55"/>
      <c r="AM502" s="55"/>
      <c r="AN502" s="55"/>
      <c r="AO502" s="55"/>
      <c r="AP502" s="55"/>
      <c r="AQ502" s="55"/>
      <c r="AR502" s="55"/>
      <c r="AS502" s="55"/>
      <c r="AT502" s="55"/>
      <c r="AU502" s="55"/>
      <c r="AV502" s="55"/>
      <c r="AW502" s="55"/>
      <c r="AX502" s="55"/>
      <c r="AY502" s="55"/>
      <c r="AZ502" s="55"/>
      <c r="BA502" s="55"/>
      <c r="BB502" s="55"/>
      <c r="BC502" s="55"/>
      <c r="BD502" s="55"/>
      <c r="BE502" s="55"/>
      <c r="BF502" s="55"/>
      <c r="BG502" s="55"/>
      <c r="BH502" s="55"/>
      <c r="BI502" s="55"/>
      <c r="BJ502" s="55"/>
      <c r="BK502" s="55"/>
      <c r="BL502" s="55"/>
      <c r="BM502" s="55"/>
      <c r="BN502" s="55"/>
      <c r="BO502" s="55"/>
      <c r="BP502" s="55"/>
      <c r="BQ502" s="55"/>
      <c r="BR502" s="55"/>
      <c r="BS502" s="55"/>
    </row>
    <row r="503" spans="1:71" outlineLevel="1" x14ac:dyDescent="0.2">
      <c r="C503" s="11" t="str">
        <f>HM_ZB_Nsoko!C489</f>
        <v>TRI à terme</v>
      </c>
      <c r="I503" s="62" t="str">
        <f ca="1">IFERROR(IRR(INDEX(OA_IOC_ATCF_AM_4_AM_6,1,MAX(1,$G$426-L4+1)):INDEX(OA_IOC_ATCF_AM_4_AM_6,1,last_model_year)),"na")</f>
        <v>na</v>
      </c>
      <c r="J503" s="26" t="s">
        <v>90</v>
      </c>
      <c r="L503" s="55"/>
      <c r="M503" s="55"/>
      <c r="N503" s="55"/>
      <c r="O503" s="55"/>
      <c r="P503" s="55"/>
      <c r="Q503" s="55"/>
      <c r="R503" s="55"/>
      <c r="S503" s="55"/>
      <c r="T503" s="55"/>
      <c r="U503" s="55"/>
      <c r="V503" s="55"/>
      <c r="W503" s="55"/>
      <c r="X503" s="55"/>
      <c r="Y503" s="55"/>
      <c r="Z503" s="55"/>
      <c r="AA503" s="55"/>
      <c r="AB503" s="55"/>
      <c r="AC503" s="55"/>
      <c r="AD503" s="55"/>
      <c r="AE503" s="55"/>
      <c r="AF503" s="55"/>
      <c r="AG503" s="55"/>
      <c r="AH503" s="55"/>
      <c r="AI503" s="55"/>
      <c r="AJ503" s="55"/>
      <c r="AK503" s="55"/>
      <c r="AL503" s="55"/>
      <c r="AM503" s="55"/>
      <c r="AN503" s="55"/>
      <c r="AO503" s="55"/>
      <c r="AP503" s="55"/>
      <c r="AQ503" s="55"/>
      <c r="AR503" s="55"/>
      <c r="AS503" s="55"/>
      <c r="AT503" s="55"/>
      <c r="AU503" s="55"/>
      <c r="AV503" s="55"/>
      <c r="AW503" s="55"/>
      <c r="AX503" s="55"/>
      <c r="AY503" s="55"/>
      <c r="AZ503" s="55"/>
      <c r="BA503" s="55"/>
      <c r="BB503" s="55"/>
      <c r="BC503" s="55"/>
      <c r="BD503" s="55"/>
      <c r="BE503" s="55"/>
      <c r="BF503" s="55"/>
      <c r="BG503" s="55"/>
      <c r="BH503" s="55"/>
      <c r="BI503" s="55"/>
      <c r="BJ503" s="55"/>
      <c r="BK503" s="55"/>
      <c r="BL503" s="55"/>
      <c r="BM503" s="55"/>
      <c r="BN503" s="55"/>
      <c r="BO503" s="55"/>
      <c r="BP503" s="55"/>
      <c r="BQ503" s="55"/>
      <c r="BR503" s="55"/>
      <c r="BS503" s="55"/>
    </row>
    <row r="504" spans="1:71" outlineLevel="1" x14ac:dyDescent="0.2">
      <c r="J504" s="26"/>
      <c r="L504" s="55"/>
      <c r="M504" s="55"/>
      <c r="N504" s="55"/>
      <c r="O504" s="55"/>
      <c r="P504" s="55"/>
      <c r="Q504" s="55"/>
      <c r="R504" s="55"/>
      <c r="S504" s="55"/>
      <c r="T504" s="55"/>
      <c r="U504" s="55"/>
      <c r="V504" s="55"/>
      <c r="W504" s="55"/>
      <c r="X504" s="55"/>
      <c r="Y504" s="55"/>
      <c r="Z504" s="55"/>
      <c r="AA504" s="55"/>
      <c r="AB504" s="55"/>
      <c r="AC504" s="55"/>
      <c r="AD504" s="55"/>
      <c r="AE504" s="55"/>
      <c r="AF504" s="55"/>
      <c r="AG504" s="55"/>
      <c r="AH504" s="55"/>
      <c r="AI504" s="55"/>
      <c r="AJ504" s="55"/>
      <c r="AK504" s="55"/>
      <c r="AL504" s="55"/>
      <c r="AM504" s="55"/>
      <c r="AN504" s="55"/>
      <c r="AO504" s="55"/>
      <c r="AP504" s="55"/>
      <c r="AQ504" s="55"/>
      <c r="AR504" s="55"/>
      <c r="AS504" s="55"/>
      <c r="AT504" s="55"/>
      <c r="AU504" s="55"/>
      <c r="AV504" s="55"/>
      <c r="AW504" s="55"/>
      <c r="AX504" s="55"/>
      <c r="AY504" s="55"/>
      <c r="AZ504" s="55"/>
      <c r="BA504" s="55"/>
      <c r="BB504" s="55"/>
      <c r="BC504" s="55"/>
      <c r="BD504" s="55"/>
      <c r="BE504" s="55"/>
      <c r="BF504" s="55"/>
      <c r="BG504" s="55"/>
      <c r="BH504" s="55"/>
      <c r="BI504" s="55"/>
      <c r="BJ504" s="55"/>
      <c r="BK504" s="55"/>
      <c r="BL504" s="55"/>
      <c r="BM504" s="55"/>
      <c r="BN504" s="55"/>
      <c r="BO504" s="55"/>
      <c r="BP504" s="55"/>
      <c r="BQ504" s="55"/>
      <c r="BR504" s="55"/>
      <c r="BS504" s="55"/>
    </row>
    <row r="505" spans="1:71" outlineLevel="1" x14ac:dyDescent="0.2">
      <c r="C505" s="11" t="str">
        <f>HM_ZB_Nsoko!C491</f>
        <v>Période de remboursement</v>
      </c>
      <c r="H505" s="7" t="s">
        <v>497</v>
      </c>
      <c r="I505" s="67">
        <f ca="1">COUNTIF(L497:BS497,"&lt;0")+1</f>
        <v>10</v>
      </c>
      <c r="J505" s="26"/>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c r="BF505" s="7"/>
      <c r="BG505" s="7"/>
      <c r="BH505" s="7"/>
      <c r="BI505" s="7"/>
      <c r="BJ505" s="7"/>
      <c r="BK505" s="7"/>
      <c r="BL505" s="7"/>
      <c r="BM505" s="7"/>
      <c r="BN505" s="7"/>
      <c r="BO505" s="7"/>
      <c r="BP505" s="7"/>
      <c r="BQ505" s="7"/>
      <c r="BR505" s="7"/>
      <c r="BS505" s="7"/>
    </row>
    <row r="506" spans="1:71" outlineLevel="1" x14ac:dyDescent="0.2">
      <c r="J506" s="26"/>
      <c r="L506" s="55"/>
      <c r="M506" s="55"/>
      <c r="N506" s="55"/>
      <c r="O506" s="55"/>
      <c r="P506" s="55"/>
      <c r="Q506" s="55"/>
      <c r="R506" s="55"/>
      <c r="S506" s="55"/>
      <c r="T506" s="55"/>
      <c r="U506" s="55"/>
      <c r="V506" s="55"/>
      <c r="W506" s="55"/>
      <c r="X506" s="55"/>
      <c r="Y506" s="55"/>
      <c r="Z506" s="55"/>
      <c r="AA506" s="55"/>
      <c r="AB506" s="55"/>
      <c r="AC506" s="55"/>
      <c r="AD506" s="55"/>
      <c r="AE506" s="55"/>
      <c r="AF506" s="55"/>
      <c r="AG506" s="55"/>
      <c r="AH506" s="55"/>
      <c r="AI506" s="55"/>
      <c r="AJ506" s="55"/>
      <c r="AK506" s="55"/>
      <c r="AL506" s="55"/>
      <c r="AM506" s="55"/>
      <c r="AN506" s="55"/>
      <c r="AO506" s="55"/>
      <c r="AP506" s="55"/>
      <c r="AQ506" s="55"/>
      <c r="AR506" s="55"/>
      <c r="AS506" s="55"/>
      <c r="AT506" s="55"/>
      <c r="AU506" s="55"/>
      <c r="AV506" s="55"/>
      <c r="AW506" s="55"/>
      <c r="AX506" s="55"/>
      <c r="AY506" s="55"/>
      <c r="AZ506" s="55"/>
      <c r="BA506" s="55"/>
      <c r="BB506" s="55"/>
      <c r="BC506" s="55"/>
      <c r="BD506" s="55"/>
      <c r="BE506" s="55"/>
      <c r="BF506" s="55"/>
      <c r="BG506" s="55"/>
      <c r="BH506" s="55"/>
      <c r="BI506" s="55"/>
      <c r="BJ506" s="55"/>
      <c r="BK506" s="55"/>
      <c r="BL506" s="55"/>
      <c r="BM506" s="55"/>
      <c r="BN506" s="55"/>
      <c r="BO506" s="55"/>
      <c r="BP506" s="55"/>
      <c r="BQ506" s="55"/>
      <c r="BR506" s="55"/>
      <c r="BS506" s="55"/>
    </row>
    <row r="507" spans="1:71" outlineLevel="1" x14ac:dyDescent="0.2">
      <c r="J507" s="26"/>
      <c r="L507" s="55"/>
      <c r="M507" s="55"/>
      <c r="N507" s="55"/>
      <c r="O507" s="55"/>
      <c r="P507" s="55"/>
      <c r="Q507" s="55"/>
      <c r="R507" s="55"/>
      <c r="S507" s="55"/>
      <c r="T507" s="55"/>
      <c r="U507" s="55"/>
      <c r="V507" s="55"/>
      <c r="W507" s="55"/>
      <c r="X507" s="55"/>
      <c r="Y507" s="55"/>
      <c r="Z507" s="55"/>
      <c r="AA507" s="55"/>
      <c r="AB507" s="55"/>
      <c r="AC507" s="55"/>
      <c r="AD507" s="55"/>
      <c r="AE507" s="55"/>
      <c r="AF507" s="55"/>
      <c r="AG507" s="55"/>
      <c r="AH507" s="55"/>
      <c r="AI507" s="55"/>
      <c r="AJ507" s="55"/>
      <c r="AK507" s="55"/>
      <c r="AL507" s="55"/>
      <c r="AM507" s="55"/>
      <c r="AN507" s="55"/>
      <c r="AO507" s="55"/>
      <c r="AP507" s="55"/>
      <c r="AQ507" s="55"/>
      <c r="AR507" s="55"/>
      <c r="AS507" s="55"/>
      <c r="AT507" s="55"/>
      <c r="AU507" s="55"/>
      <c r="AV507" s="55"/>
      <c r="AW507" s="55"/>
      <c r="AX507" s="55"/>
      <c r="AY507" s="55"/>
      <c r="AZ507" s="55"/>
      <c r="BA507" s="55"/>
      <c r="BB507" s="55"/>
      <c r="BC507" s="55"/>
      <c r="BD507" s="55"/>
      <c r="BE507" s="55"/>
      <c r="BF507" s="55"/>
      <c r="BG507" s="55"/>
      <c r="BH507" s="55"/>
      <c r="BI507" s="55"/>
      <c r="BJ507" s="55"/>
      <c r="BK507" s="55"/>
      <c r="BL507" s="55"/>
      <c r="BM507" s="55"/>
      <c r="BN507" s="55"/>
      <c r="BO507" s="55"/>
      <c r="BP507" s="55"/>
      <c r="BQ507" s="55"/>
      <c r="BR507" s="55"/>
      <c r="BS507" s="55"/>
    </row>
    <row r="508" spans="1:71" outlineLevel="1" x14ac:dyDescent="0.2">
      <c r="A508" s="45"/>
      <c r="B508" s="38" t="str">
        <f>HM_ZB_Nsoko!B494</f>
        <v>Flux de trésorerie compagnie nationale</v>
      </c>
      <c r="C508" s="45"/>
      <c r="D508" s="45"/>
      <c r="E508" s="45"/>
      <c r="J508" s="26"/>
      <c r="L508" s="55"/>
      <c r="M508" s="55"/>
      <c r="N508" s="55"/>
      <c r="O508" s="55"/>
      <c r="P508" s="55"/>
      <c r="Q508" s="55"/>
      <c r="R508" s="55"/>
      <c r="S508" s="55"/>
      <c r="T508" s="55"/>
      <c r="U508" s="55"/>
      <c r="V508" s="55"/>
      <c r="W508" s="55"/>
      <c r="X508" s="55"/>
      <c r="Y508" s="55"/>
      <c r="Z508" s="55"/>
      <c r="AA508" s="55"/>
      <c r="AB508" s="55"/>
      <c r="AC508" s="55"/>
      <c r="AD508" s="55"/>
      <c r="AE508" s="55"/>
      <c r="AF508" s="55"/>
      <c r="AG508" s="55"/>
      <c r="AH508" s="55"/>
      <c r="AI508" s="55"/>
      <c r="AJ508" s="55"/>
      <c r="AK508" s="55"/>
      <c r="AL508" s="55"/>
      <c r="AM508" s="55"/>
      <c r="AN508" s="55"/>
      <c r="AO508" s="55"/>
      <c r="AP508" s="55"/>
      <c r="AQ508" s="55"/>
      <c r="AR508" s="55"/>
      <c r="AS508" s="55"/>
      <c r="AT508" s="55"/>
      <c r="AU508" s="55"/>
      <c r="AV508" s="55"/>
      <c r="AW508" s="55"/>
      <c r="AX508" s="55"/>
      <c r="AY508" s="55"/>
      <c r="AZ508" s="55"/>
      <c r="BA508" s="55"/>
      <c r="BB508" s="55"/>
      <c r="BC508" s="55"/>
      <c r="BD508" s="55"/>
      <c r="BE508" s="55"/>
      <c r="BF508" s="55"/>
      <c r="BG508" s="55"/>
      <c r="BH508" s="55"/>
      <c r="BI508" s="55"/>
      <c r="BJ508" s="55"/>
      <c r="BK508" s="55"/>
      <c r="BL508" s="55"/>
      <c r="BM508" s="55"/>
      <c r="BN508" s="55"/>
      <c r="BO508" s="55"/>
      <c r="BP508" s="55"/>
      <c r="BQ508" s="55"/>
      <c r="BR508" s="55"/>
      <c r="BS508" s="55"/>
    </row>
    <row r="509" spans="1:71" outlineLevel="1" x14ac:dyDescent="0.2">
      <c r="J509" s="26"/>
      <c r="L509" s="55"/>
      <c r="M509" s="55"/>
      <c r="N509" s="55"/>
      <c r="O509" s="55"/>
      <c r="P509" s="55"/>
      <c r="Q509" s="55"/>
      <c r="R509" s="55"/>
      <c r="S509" s="55"/>
      <c r="T509" s="55"/>
      <c r="U509" s="55"/>
      <c r="V509" s="55"/>
      <c r="W509" s="55"/>
      <c r="X509" s="55"/>
      <c r="Y509" s="55"/>
      <c r="Z509" s="55"/>
      <c r="AA509" s="55"/>
      <c r="AB509" s="55"/>
      <c r="AC509" s="55"/>
      <c r="AD509" s="55"/>
      <c r="AE509" s="55"/>
      <c r="AF509" s="55"/>
      <c r="AG509" s="55"/>
      <c r="AH509" s="55"/>
      <c r="AI509" s="55"/>
      <c r="AJ509" s="55"/>
      <c r="AK509" s="55"/>
      <c r="AL509" s="55"/>
      <c r="AM509" s="55"/>
      <c r="AN509" s="55"/>
      <c r="AO509" s="55"/>
      <c r="AP509" s="55"/>
      <c r="AQ509" s="55"/>
      <c r="AR509" s="55"/>
      <c r="AS509" s="55"/>
      <c r="AT509" s="55"/>
      <c r="AU509" s="55"/>
      <c r="AV509" s="55"/>
      <c r="AW509" s="55"/>
      <c r="AX509" s="55"/>
      <c r="AY509" s="55"/>
      <c r="AZ509" s="55"/>
      <c r="BA509" s="55"/>
      <c r="BB509" s="55"/>
      <c r="BC509" s="55"/>
      <c r="BD509" s="55"/>
      <c r="BE509" s="55"/>
      <c r="BF509" s="55"/>
      <c r="BG509" s="55"/>
      <c r="BH509" s="55"/>
      <c r="BI509" s="55"/>
      <c r="BJ509" s="55"/>
      <c r="BK509" s="55"/>
      <c r="BL509" s="55"/>
      <c r="BM509" s="55"/>
      <c r="BN509" s="55"/>
      <c r="BO509" s="55"/>
      <c r="BP509" s="55"/>
      <c r="BQ509" s="55"/>
      <c r="BR509" s="55"/>
      <c r="BS509" s="55"/>
    </row>
    <row r="510" spans="1:71" outlineLevel="1" x14ac:dyDescent="0.2">
      <c r="C510" s="11" t="str">
        <f>HM_ZB_Nsoko!C496</f>
        <v>Revenus des droits</v>
      </c>
      <c r="J510" s="26"/>
      <c r="L510" s="55"/>
      <c r="M510" s="55"/>
      <c r="N510" s="55"/>
      <c r="O510" s="55"/>
      <c r="P510" s="55"/>
      <c r="Q510" s="55"/>
      <c r="R510" s="55"/>
      <c r="S510" s="55"/>
      <c r="T510" s="55"/>
      <c r="U510" s="55"/>
      <c r="V510" s="55"/>
      <c r="W510" s="55"/>
      <c r="X510" s="55"/>
      <c r="Y510" s="55"/>
      <c r="Z510" s="55"/>
      <c r="AA510" s="55"/>
      <c r="AB510" s="55"/>
      <c r="AC510" s="55"/>
      <c r="AD510" s="55"/>
      <c r="AE510" s="55"/>
      <c r="AF510" s="55"/>
      <c r="AG510" s="55"/>
      <c r="AH510" s="55"/>
      <c r="AI510" s="55"/>
      <c r="AJ510" s="55"/>
      <c r="AK510" s="55"/>
      <c r="AL510" s="55"/>
      <c r="AM510" s="55"/>
      <c r="AN510" s="55"/>
      <c r="AO510" s="55"/>
      <c r="AP510" s="55"/>
      <c r="AQ510" s="55"/>
      <c r="AR510" s="55"/>
      <c r="AS510" s="55"/>
      <c r="AT510" s="55"/>
      <c r="AU510" s="55"/>
      <c r="AV510" s="55"/>
      <c r="AW510" s="55"/>
      <c r="AX510" s="55"/>
      <c r="AY510" s="55"/>
      <c r="AZ510" s="55"/>
      <c r="BA510" s="55"/>
      <c r="BB510" s="55"/>
      <c r="BC510" s="55"/>
      <c r="BD510" s="55"/>
      <c r="BE510" s="55"/>
      <c r="BF510" s="55"/>
      <c r="BG510" s="55"/>
      <c r="BH510" s="55"/>
      <c r="BI510" s="55"/>
      <c r="BJ510" s="55"/>
      <c r="BK510" s="55"/>
      <c r="BL510" s="55"/>
      <c r="BM510" s="55"/>
      <c r="BN510" s="55"/>
      <c r="BO510" s="55"/>
      <c r="BP510" s="55"/>
      <c r="BQ510" s="55"/>
      <c r="BR510" s="55"/>
      <c r="BS510" s="55"/>
    </row>
    <row r="511" spans="1:71" outlineLevel="1" x14ac:dyDescent="0.2">
      <c r="D511" t="str">
        <f>HM_ZB_Nsoko!D497</f>
        <v>Revenus des droits</v>
      </c>
      <c r="I511" s="30">
        <f t="shared" ref="I511:I517" ca="1" si="252">SUM($L511:$BS511)</f>
        <v>3377.4619524704508</v>
      </c>
      <c r="J511" s="26" t="s">
        <v>148</v>
      </c>
      <c r="L511" s="49" cm="1">
        <f t="array" aca="1" ref="L511:BS511" ca="1">(HM_ZD_Moho!CA_ent_rev_gas+HM_ZD_Moho!CA_ent_rev_oil)*HM_ZD_Moho!CA_NOC_WI</f>
        <v>103.61461843531481</v>
      </c>
      <c r="M511" s="49">
        <f ca="1"/>
        <v>100.67175159261075</v>
      </c>
      <c r="N511" s="49">
        <f ca="1"/>
        <v>88.756931462587488</v>
      </c>
      <c r="O511" s="49">
        <f ca="1"/>
        <v>76.2744609512865</v>
      </c>
      <c r="P511" s="49">
        <f ca="1"/>
        <v>214.0129355937668</v>
      </c>
      <c r="Q511" s="49">
        <f ca="1"/>
        <v>432.99676065040501</v>
      </c>
      <c r="R511" s="49">
        <f ca="1"/>
        <v>421.59806843362315</v>
      </c>
      <c r="S511" s="49">
        <f ca="1"/>
        <v>251.72793134775</v>
      </c>
      <c r="T511" s="49">
        <f ca="1"/>
        <v>385.16995999413354</v>
      </c>
      <c r="U511" s="49">
        <f ca="1"/>
        <v>384.49595425522051</v>
      </c>
      <c r="V511" s="49">
        <f ca="1"/>
        <v>354.44259336682018</v>
      </c>
      <c r="W511" s="49">
        <f ca="1"/>
        <v>289.28460760901754</v>
      </c>
      <c r="X511" s="49">
        <f ca="1"/>
        <v>274.41537877791399</v>
      </c>
      <c r="Y511" s="49">
        <f ca="1"/>
        <v>0</v>
      </c>
      <c r="Z511" s="49">
        <f ca="1"/>
        <v>0</v>
      </c>
      <c r="AA511" s="49">
        <f ca="1"/>
        <v>0</v>
      </c>
      <c r="AB511" s="49">
        <f ca="1"/>
        <v>0</v>
      </c>
      <c r="AC511" s="49">
        <f ca="1"/>
        <v>0</v>
      </c>
      <c r="AD511" s="49">
        <f ca="1"/>
        <v>0</v>
      </c>
      <c r="AE511" s="49">
        <f ca="1"/>
        <v>0</v>
      </c>
      <c r="AF511" s="49">
        <f ca="1"/>
        <v>0</v>
      </c>
      <c r="AG511" s="49">
        <f ca="1"/>
        <v>0</v>
      </c>
      <c r="AH511" s="49">
        <f ca="1"/>
        <v>0</v>
      </c>
      <c r="AI511" s="49">
        <f ca="1"/>
        <v>0</v>
      </c>
      <c r="AJ511" s="49">
        <f ca="1"/>
        <v>0</v>
      </c>
      <c r="AK511" s="49">
        <f ca="1"/>
        <v>0</v>
      </c>
      <c r="AL511" s="49">
        <f ca="1"/>
        <v>0</v>
      </c>
      <c r="AM511" s="49">
        <f ca="1"/>
        <v>0</v>
      </c>
      <c r="AN511" s="49">
        <f ca="1"/>
        <v>0</v>
      </c>
      <c r="AO511" s="49">
        <f ca="1"/>
        <v>0</v>
      </c>
      <c r="AP511" s="49">
        <f ca="1"/>
        <v>0</v>
      </c>
      <c r="AQ511" s="49">
        <f ca="1"/>
        <v>0</v>
      </c>
      <c r="AR511" s="49">
        <f ca="1"/>
        <v>0</v>
      </c>
      <c r="AS511" s="49">
        <f ca="1"/>
        <v>0</v>
      </c>
      <c r="AT511" s="49">
        <f ca="1"/>
        <v>0</v>
      </c>
      <c r="AU511" s="49">
        <f ca="1"/>
        <v>0</v>
      </c>
      <c r="AV511" s="49">
        <f ca="1"/>
        <v>0</v>
      </c>
      <c r="AW511" s="49">
        <f ca="1"/>
        <v>0</v>
      </c>
      <c r="AX511" s="49">
        <f ca="1"/>
        <v>0</v>
      </c>
      <c r="AY511" s="49">
        <f ca="1"/>
        <v>0</v>
      </c>
      <c r="AZ511" s="49">
        <f ca="1"/>
        <v>0</v>
      </c>
      <c r="BA511" s="49">
        <f ca="1"/>
        <v>0</v>
      </c>
      <c r="BB511" s="49">
        <f ca="1"/>
        <v>0</v>
      </c>
      <c r="BC511" s="49">
        <f ca="1"/>
        <v>0</v>
      </c>
      <c r="BD511" s="49">
        <f ca="1"/>
        <v>0</v>
      </c>
      <c r="BE511" s="49">
        <f ca="1"/>
        <v>0</v>
      </c>
      <c r="BF511" s="49">
        <f ca="1"/>
        <v>0</v>
      </c>
      <c r="BG511" s="49">
        <f ca="1"/>
        <v>0</v>
      </c>
      <c r="BH511" s="49">
        <f ca="1"/>
        <v>0</v>
      </c>
      <c r="BI511" s="49">
        <f ca="1"/>
        <v>0</v>
      </c>
      <c r="BJ511" s="49">
        <f ca="1"/>
        <v>0</v>
      </c>
      <c r="BK511" s="49">
        <f ca="1"/>
        <v>0</v>
      </c>
      <c r="BL511" s="49">
        <f ca="1"/>
        <v>0</v>
      </c>
      <c r="BM511" s="49">
        <f ca="1"/>
        <v>0</v>
      </c>
      <c r="BN511" s="49">
        <f ca="1"/>
        <v>0</v>
      </c>
      <c r="BO511" s="49">
        <f ca="1"/>
        <v>0</v>
      </c>
      <c r="BP511" s="49">
        <f ca="1"/>
        <v>0</v>
      </c>
      <c r="BQ511" s="49">
        <f ca="1"/>
        <v>0</v>
      </c>
      <c r="BR511" s="49">
        <f ca="1"/>
        <v>0</v>
      </c>
      <c r="BS511" s="49">
        <f ca="1"/>
        <v>0</v>
      </c>
    </row>
    <row r="512" spans="1:71" outlineLevel="1" x14ac:dyDescent="0.2">
      <c r="D512" t="str">
        <f>HM_ZB_Nsoko!D498</f>
        <v>Remboursement du portage</v>
      </c>
      <c r="I512" s="30">
        <f t="shared" ca="1" si="252"/>
        <v>-1637.0386499999997</v>
      </c>
      <c r="J512" s="26" t="s">
        <v>148</v>
      </c>
      <c r="L512" s="49" cm="1">
        <f t="array" aca="1" ref="L512:BS512" ca="1">HM_ZD_Moho!CA_NOC_carry_payback</f>
        <v>-77.710963826486108</v>
      </c>
      <c r="M512" s="49">
        <f ca="1"/>
        <v>-75.50381369445806</v>
      </c>
      <c r="N512" s="49">
        <f ca="1"/>
        <v>-66.567698596940616</v>
      </c>
      <c r="O512" s="49">
        <f ca="1"/>
        <v>-57.205845713464875</v>
      </c>
      <c r="P512" s="49">
        <f ca="1"/>
        <v>-160.50970169532511</v>
      </c>
      <c r="Q512" s="49">
        <f ca="1"/>
        <v>-324.74757048780373</v>
      </c>
      <c r="R512" s="49">
        <f ca="1"/>
        <v>-316.19855132521735</v>
      </c>
      <c r="S512" s="49">
        <f ca="1"/>
        <v>-188.79594851081251</v>
      </c>
      <c r="T512" s="49">
        <f ca="1"/>
        <v>-288.87746999560017</v>
      </c>
      <c r="U512" s="49">
        <f ca="1"/>
        <v>-80.921086153891281</v>
      </c>
      <c r="V512" s="49">
        <f ca="1"/>
        <v>0</v>
      </c>
      <c r="W512" s="49">
        <f ca="1"/>
        <v>0</v>
      </c>
      <c r="X512" s="49">
        <f ca="1"/>
        <v>0</v>
      </c>
      <c r="Y512" s="49">
        <f ca="1"/>
        <v>0</v>
      </c>
      <c r="Z512" s="49">
        <f ca="1"/>
        <v>0</v>
      </c>
      <c r="AA512" s="49">
        <f ca="1"/>
        <v>0</v>
      </c>
      <c r="AB512" s="49">
        <f ca="1"/>
        <v>0</v>
      </c>
      <c r="AC512" s="49">
        <f ca="1"/>
        <v>0</v>
      </c>
      <c r="AD512" s="49">
        <f ca="1"/>
        <v>0</v>
      </c>
      <c r="AE512" s="49">
        <f ca="1"/>
        <v>0</v>
      </c>
      <c r="AF512" s="49">
        <f ca="1"/>
        <v>0</v>
      </c>
      <c r="AG512" s="49">
        <f ca="1"/>
        <v>0</v>
      </c>
      <c r="AH512" s="49">
        <f ca="1"/>
        <v>0</v>
      </c>
      <c r="AI512" s="49">
        <f ca="1"/>
        <v>0</v>
      </c>
      <c r="AJ512" s="49">
        <f ca="1"/>
        <v>0</v>
      </c>
      <c r="AK512" s="49">
        <f ca="1"/>
        <v>0</v>
      </c>
      <c r="AL512" s="49">
        <f ca="1"/>
        <v>0</v>
      </c>
      <c r="AM512" s="49">
        <f ca="1"/>
        <v>0</v>
      </c>
      <c r="AN512" s="49">
        <f ca="1"/>
        <v>0</v>
      </c>
      <c r="AO512" s="49">
        <f ca="1"/>
        <v>0</v>
      </c>
      <c r="AP512" s="49">
        <f ca="1"/>
        <v>0</v>
      </c>
      <c r="AQ512" s="49">
        <f ca="1"/>
        <v>0</v>
      </c>
      <c r="AR512" s="49">
        <f ca="1"/>
        <v>0</v>
      </c>
      <c r="AS512" s="49">
        <f ca="1"/>
        <v>0</v>
      </c>
      <c r="AT512" s="49">
        <f ca="1"/>
        <v>0</v>
      </c>
      <c r="AU512" s="49">
        <f ca="1"/>
        <v>0</v>
      </c>
      <c r="AV512" s="49">
        <f ca="1"/>
        <v>0</v>
      </c>
      <c r="AW512" s="49">
        <f ca="1"/>
        <v>0</v>
      </c>
      <c r="AX512" s="49">
        <f ca="1"/>
        <v>0</v>
      </c>
      <c r="AY512" s="49">
        <f ca="1"/>
        <v>0</v>
      </c>
      <c r="AZ512" s="49">
        <f ca="1"/>
        <v>0</v>
      </c>
      <c r="BA512" s="49">
        <f ca="1"/>
        <v>0</v>
      </c>
      <c r="BB512" s="49">
        <f ca="1"/>
        <v>0</v>
      </c>
      <c r="BC512" s="49">
        <f ca="1"/>
        <v>0</v>
      </c>
      <c r="BD512" s="49">
        <f ca="1"/>
        <v>0</v>
      </c>
      <c r="BE512" s="49">
        <f ca="1"/>
        <v>0</v>
      </c>
      <c r="BF512" s="49">
        <f ca="1"/>
        <v>0</v>
      </c>
      <c r="BG512" s="49">
        <f ca="1"/>
        <v>0</v>
      </c>
      <c r="BH512" s="49">
        <f ca="1"/>
        <v>0</v>
      </c>
      <c r="BI512" s="49">
        <f ca="1"/>
        <v>0</v>
      </c>
      <c r="BJ512" s="49">
        <f ca="1"/>
        <v>0</v>
      </c>
      <c r="BK512" s="49">
        <f ca="1"/>
        <v>0</v>
      </c>
      <c r="BL512" s="49">
        <f ca="1"/>
        <v>0</v>
      </c>
      <c r="BM512" s="49">
        <f ca="1"/>
        <v>0</v>
      </c>
      <c r="BN512" s="49">
        <f ca="1"/>
        <v>0</v>
      </c>
      <c r="BO512" s="49">
        <f ca="1"/>
        <v>0</v>
      </c>
      <c r="BP512" s="49">
        <f ca="1"/>
        <v>0</v>
      </c>
      <c r="BQ512" s="49">
        <f ca="1"/>
        <v>0</v>
      </c>
      <c r="BR512" s="49">
        <f ca="1"/>
        <v>0</v>
      </c>
      <c r="BS512" s="49">
        <f ca="1"/>
        <v>0</v>
      </c>
    </row>
    <row r="513" spans="3:71" outlineLevel="1" x14ac:dyDescent="0.2">
      <c r="D513" s="11" t="s">
        <v>270</v>
      </c>
      <c r="I513" s="30">
        <f t="shared" ca="1" si="252"/>
        <v>1740.4233024704504</v>
      </c>
      <c r="J513" s="26" t="s">
        <v>148</v>
      </c>
      <c r="L513" s="49">
        <f ca="1">SUM(L511:L512)</f>
        <v>25.903654608828703</v>
      </c>
      <c r="M513" s="49">
        <f t="shared" ref="M513:BS513" ca="1" si="253">SUM(M511:M512)</f>
        <v>25.167937898152687</v>
      </c>
      <c r="N513" s="49">
        <f t="shared" ca="1" si="253"/>
        <v>22.189232865646872</v>
      </c>
      <c r="O513" s="49">
        <f t="shared" ca="1" si="253"/>
        <v>19.068615237821625</v>
      </c>
      <c r="P513" s="49">
        <f t="shared" ca="1" si="253"/>
        <v>53.503233898441692</v>
      </c>
      <c r="Q513" s="49">
        <f t="shared" ca="1" si="253"/>
        <v>108.24919016260128</v>
      </c>
      <c r="R513" s="49">
        <f t="shared" ca="1" si="253"/>
        <v>105.3995171084058</v>
      </c>
      <c r="S513" s="49">
        <f t="shared" ca="1" si="253"/>
        <v>62.931982836937493</v>
      </c>
      <c r="T513" s="49">
        <f t="shared" ca="1" si="253"/>
        <v>96.29248999853337</v>
      </c>
      <c r="U513" s="49">
        <f t="shared" ca="1" si="253"/>
        <v>303.57486810132923</v>
      </c>
      <c r="V513" s="49">
        <f t="shared" ca="1" si="253"/>
        <v>354.44259336682018</v>
      </c>
      <c r="W513" s="49">
        <f t="shared" ca="1" si="253"/>
        <v>289.28460760901754</v>
      </c>
      <c r="X513" s="49">
        <f t="shared" ca="1" si="253"/>
        <v>274.41537877791399</v>
      </c>
      <c r="Y513" s="49">
        <f t="shared" ca="1" si="253"/>
        <v>0</v>
      </c>
      <c r="Z513" s="49">
        <f t="shared" ca="1" si="253"/>
        <v>0</v>
      </c>
      <c r="AA513" s="49">
        <f t="shared" ca="1" si="253"/>
        <v>0</v>
      </c>
      <c r="AB513" s="49">
        <f t="shared" ca="1" si="253"/>
        <v>0</v>
      </c>
      <c r="AC513" s="49">
        <f t="shared" ca="1" si="253"/>
        <v>0</v>
      </c>
      <c r="AD513" s="49">
        <f t="shared" ca="1" si="253"/>
        <v>0</v>
      </c>
      <c r="AE513" s="49">
        <f t="shared" ca="1" si="253"/>
        <v>0</v>
      </c>
      <c r="AF513" s="49">
        <f t="shared" ca="1" si="253"/>
        <v>0</v>
      </c>
      <c r="AG513" s="49">
        <f t="shared" ca="1" si="253"/>
        <v>0</v>
      </c>
      <c r="AH513" s="49">
        <f t="shared" ca="1" si="253"/>
        <v>0</v>
      </c>
      <c r="AI513" s="49">
        <f t="shared" ca="1" si="253"/>
        <v>0</v>
      </c>
      <c r="AJ513" s="49">
        <f t="shared" ca="1" si="253"/>
        <v>0</v>
      </c>
      <c r="AK513" s="49">
        <f t="shared" ca="1" si="253"/>
        <v>0</v>
      </c>
      <c r="AL513" s="49">
        <f t="shared" ca="1" si="253"/>
        <v>0</v>
      </c>
      <c r="AM513" s="49">
        <f t="shared" ca="1" si="253"/>
        <v>0</v>
      </c>
      <c r="AN513" s="49">
        <f t="shared" ca="1" si="253"/>
        <v>0</v>
      </c>
      <c r="AO513" s="49">
        <f t="shared" ca="1" si="253"/>
        <v>0</v>
      </c>
      <c r="AP513" s="49">
        <f t="shared" ca="1" si="253"/>
        <v>0</v>
      </c>
      <c r="AQ513" s="49">
        <f t="shared" ca="1" si="253"/>
        <v>0</v>
      </c>
      <c r="AR513" s="49">
        <f t="shared" ca="1" si="253"/>
        <v>0</v>
      </c>
      <c r="AS513" s="49">
        <f t="shared" ca="1" si="253"/>
        <v>0</v>
      </c>
      <c r="AT513" s="49">
        <f t="shared" ca="1" si="253"/>
        <v>0</v>
      </c>
      <c r="AU513" s="49">
        <f t="shared" ca="1" si="253"/>
        <v>0</v>
      </c>
      <c r="AV513" s="49">
        <f t="shared" ca="1" si="253"/>
        <v>0</v>
      </c>
      <c r="AW513" s="49">
        <f t="shared" ca="1" si="253"/>
        <v>0</v>
      </c>
      <c r="AX513" s="49">
        <f t="shared" ca="1" si="253"/>
        <v>0</v>
      </c>
      <c r="AY513" s="49">
        <f t="shared" ca="1" si="253"/>
        <v>0</v>
      </c>
      <c r="AZ513" s="49">
        <f t="shared" ca="1" si="253"/>
        <v>0</v>
      </c>
      <c r="BA513" s="49">
        <f t="shared" ca="1" si="253"/>
        <v>0</v>
      </c>
      <c r="BB513" s="49">
        <f t="shared" ca="1" si="253"/>
        <v>0</v>
      </c>
      <c r="BC513" s="49">
        <f t="shared" ca="1" si="253"/>
        <v>0</v>
      </c>
      <c r="BD513" s="49">
        <f t="shared" ca="1" si="253"/>
        <v>0</v>
      </c>
      <c r="BE513" s="49">
        <f t="shared" ca="1" si="253"/>
        <v>0</v>
      </c>
      <c r="BF513" s="49">
        <f t="shared" ca="1" si="253"/>
        <v>0</v>
      </c>
      <c r="BG513" s="49">
        <f t="shared" ca="1" si="253"/>
        <v>0</v>
      </c>
      <c r="BH513" s="49">
        <f t="shared" ca="1" si="253"/>
        <v>0</v>
      </c>
      <c r="BI513" s="49">
        <f t="shared" ca="1" si="253"/>
        <v>0</v>
      </c>
      <c r="BJ513" s="49">
        <f t="shared" ca="1" si="253"/>
        <v>0</v>
      </c>
      <c r="BK513" s="49">
        <f t="shared" ca="1" si="253"/>
        <v>0</v>
      </c>
      <c r="BL513" s="49">
        <f t="shared" ca="1" si="253"/>
        <v>0</v>
      </c>
      <c r="BM513" s="49">
        <f t="shared" ca="1" si="253"/>
        <v>0</v>
      </c>
      <c r="BN513" s="49">
        <f t="shared" ca="1" si="253"/>
        <v>0</v>
      </c>
      <c r="BO513" s="49">
        <f t="shared" ca="1" si="253"/>
        <v>0</v>
      </c>
      <c r="BP513" s="49">
        <f t="shared" ca="1" si="253"/>
        <v>0</v>
      </c>
      <c r="BQ513" s="49">
        <f t="shared" ca="1" si="253"/>
        <v>0</v>
      </c>
      <c r="BR513" s="49">
        <f t="shared" ca="1" si="253"/>
        <v>0</v>
      </c>
      <c r="BS513" s="49">
        <f t="shared" ca="1" si="253"/>
        <v>0</v>
      </c>
    </row>
    <row r="514" spans="3:71" outlineLevel="1" x14ac:dyDescent="0.2">
      <c r="J514" s="26"/>
      <c r="L514" s="55"/>
      <c r="M514" s="55"/>
      <c r="N514" s="55"/>
      <c r="O514" s="55"/>
      <c r="P514" s="55"/>
      <c r="Q514" s="55"/>
      <c r="R514" s="55"/>
      <c r="S514" s="55"/>
      <c r="T514" s="55"/>
      <c r="U514" s="55"/>
      <c r="V514" s="55"/>
      <c r="W514" s="55"/>
      <c r="X514" s="55"/>
      <c r="Y514" s="55"/>
      <c r="Z514" s="55"/>
      <c r="AA514" s="55"/>
      <c r="AB514" s="55"/>
      <c r="AC514" s="55"/>
      <c r="AD514" s="55"/>
      <c r="AE514" s="55"/>
      <c r="AF514" s="55"/>
      <c r="AG514" s="55"/>
      <c r="AH514" s="55"/>
      <c r="AI514" s="55"/>
      <c r="AJ514" s="55"/>
      <c r="AK514" s="55"/>
      <c r="AL514" s="55"/>
      <c r="AM514" s="55"/>
      <c r="AN514" s="55"/>
      <c r="AO514" s="55"/>
      <c r="AP514" s="55"/>
      <c r="AQ514" s="55"/>
      <c r="AR514" s="55"/>
      <c r="AS514" s="55"/>
      <c r="AT514" s="55"/>
      <c r="AU514" s="55"/>
      <c r="AV514" s="55"/>
      <c r="AW514" s="55"/>
      <c r="AX514" s="55"/>
      <c r="AY514" s="55"/>
      <c r="AZ514" s="55"/>
      <c r="BA514" s="55"/>
      <c r="BB514" s="55"/>
      <c r="BC514" s="55"/>
      <c r="BD514" s="55"/>
      <c r="BE514" s="55"/>
      <c r="BF514" s="55"/>
      <c r="BG514" s="55"/>
      <c r="BH514" s="55"/>
      <c r="BI514" s="55"/>
      <c r="BJ514" s="55"/>
      <c r="BK514" s="55"/>
      <c r="BL514" s="55"/>
      <c r="BM514" s="55"/>
      <c r="BN514" s="55"/>
      <c r="BO514" s="55"/>
      <c r="BP514" s="55"/>
      <c r="BQ514" s="55"/>
      <c r="BR514" s="55"/>
      <c r="BS514" s="55"/>
    </row>
    <row r="515" spans="3:71" outlineLevel="1" x14ac:dyDescent="0.2">
      <c r="C515" s="11" t="str">
        <f>HM_ZB_Nsoko!C501</f>
        <v>Coûts d'exploitation</v>
      </c>
      <c r="I515" s="30">
        <f t="shared" ca="1" si="252"/>
        <v>641.37980309279999</v>
      </c>
      <c r="J515" s="26" t="s">
        <v>148</v>
      </c>
      <c r="L515" s="49">
        <f ca="1">(L462*HM_ZD_Moho!CA_NOC_WI)-HM_ZD_Moho!CA_NOC_CI_opex</f>
        <v>25.900649999999999</v>
      </c>
      <c r="M515" s="49">
        <f ca="1">(M462*HM_ZD_Moho!CA_NOC_WI)-HM_ZD_Moho!CA_NOC_CI_opex</f>
        <v>33.002850000000002</v>
      </c>
      <c r="N515" s="49">
        <f ca="1">(N462*HM_ZD_Moho!CA_NOC_WI)-HM_ZD_Moho!CA_NOC_CI_opex</f>
        <v>42.407549999999993</v>
      </c>
      <c r="O515" s="49">
        <f ca="1">(O462*HM_ZD_Moho!CA_NOC_WI)-HM_ZD_Moho!CA_NOC_CI_opex</f>
        <v>70.570049999999995</v>
      </c>
      <c r="P515" s="49">
        <f ca="1">(P462*HM_ZD_Moho!CA_NOC_WI)-HM_ZD_Moho!CA_NOC_CI_opex</f>
        <v>130.28790000000001</v>
      </c>
      <c r="Q515" s="49">
        <f ca="1">(Q462*HM_ZD_Moho!CA_NOC_WI)-HM_ZD_Moho!CA_NOC_CI_opex</f>
        <v>37.229999999999997</v>
      </c>
      <c r="R515" s="49">
        <f ca="1">(R462*HM_ZD_Moho!CA_NOC_WI)-HM_ZD_Moho!CA_NOC_CI_opex</f>
        <v>42.27</v>
      </c>
      <c r="S515" s="49">
        <f ca="1">(S462*HM_ZD_Moho!CA_NOC_WI)-HM_ZD_Moho!CA_NOC_CI_opex</f>
        <v>42.945</v>
      </c>
      <c r="T515" s="49">
        <f ca="1">(T462*HM_ZD_Moho!CA_NOC_WI)-HM_ZD_Moho!CA_NOC_CI_opex</f>
        <v>42.51</v>
      </c>
      <c r="U515" s="49">
        <f ca="1">(U462*HM_ZD_Moho!CA_NOC_WI)-HM_ZD_Moho!CA_NOC_CI_opex</f>
        <v>42.931800000000003</v>
      </c>
      <c r="V515" s="49">
        <f ca="1">(V462*HM_ZD_Moho!CA_NOC_WI)-HM_ZD_Moho!CA_NOC_CI_opex</f>
        <v>43.353467999999999</v>
      </c>
      <c r="W515" s="49">
        <f ca="1">(W462*HM_ZD_Moho!CA_NOC_WI)-HM_ZD_Moho!CA_NOC_CI_opex</f>
        <v>43.774830000000001</v>
      </c>
      <c r="X515" s="49">
        <f ca="1">(X462*HM_ZD_Moho!CA_NOC_WI)-HM_ZD_Moho!CA_NOC_CI_opex</f>
        <v>44.195705092799997</v>
      </c>
      <c r="Y515" s="49">
        <f ca="1">(Y462*HM_ZD_Moho!CA_NOC_WI)-HM_ZD_Moho!CA_NOC_CI_opex</f>
        <v>0</v>
      </c>
      <c r="Z515" s="49">
        <f ca="1">(Z462*HM_ZD_Moho!CA_NOC_WI)-HM_ZD_Moho!CA_NOC_CI_opex</f>
        <v>0</v>
      </c>
      <c r="AA515" s="49">
        <f ca="1">(AA462*HM_ZD_Moho!CA_NOC_WI)-HM_ZD_Moho!CA_NOC_CI_opex</f>
        <v>0</v>
      </c>
      <c r="AB515" s="49">
        <f ca="1">(AB462*HM_ZD_Moho!CA_NOC_WI)-HM_ZD_Moho!CA_NOC_CI_opex</f>
        <v>0</v>
      </c>
      <c r="AC515" s="49">
        <f ca="1">(AC462*HM_ZD_Moho!CA_NOC_WI)-HM_ZD_Moho!CA_NOC_CI_opex</f>
        <v>0</v>
      </c>
      <c r="AD515" s="49">
        <f ca="1">(AD462*HM_ZD_Moho!CA_NOC_WI)-HM_ZD_Moho!CA_NOC_CI_opex</f>
        <v>0</v>
      </c>
      <c r="AE515" s="49">
        <f ca="1">(AE462*HM_ZD_Moho!CA_NOC_WI)-HM_ZD_Moho!CA_NOC_CI_opex</f>
        <v>0</v>
      </c>
      <c r="AF515" s="49">
        <f ca="1">(AF462*HM_ZD_Moho!CA_NOC_WI)-HM_ZD_Moho!CA_NOC_CI_opex</f>
        <v>0</v>
      </c>
      <c r="AG515" s="49">
        <f ca="1">(AG462*HM_ZD_Moho!CA_NOC_WI)-HM_ZD_Moho!CA_NOC_CI_opex</f>
        <v>0</v>
      </c>
      <c r="AH515" s="49">
        <f ca="1">(AH462*HM_ZD_Moho!CA_NOC_WI)-HM_ZD_Moho!CA_NOC_CI_opex</f>
        <v>0</v>
      </c>
      <c r="AI515" s="49">
        <f ca="1">(AI462*HM_ZD_Moho!CA_NOC_WI)-HM_ZD_Moho!CA_NOC_CI_opex</f>
        <v>0</v>
      </c>
      <c r="AJ515" s="49">
        <f ca="1">(AJ462*HM_ZD_Moho!CA_NOC_WI)-HM_ZD_Moho!CA_NOC_CI_opex</f>
        <v>0</v>
      </c>
      <c r="AK515" s="49">
        <f ca="1">(AK462*HM_ZD_Moho!CA_NOC_WI)-HM_ZD_Moho!CA_NOC_CI_opex</f>
        <v>0</v>
      </c>
      <c r="AL515" s="49">
        <f ca="1">(AL462*HM_ZD_Moho!CA_NOC_WI)-HM_ZD_Moho!CA_NOC_CI_opex</f>
        <v>0</v>
      </c>
      <c r="AM515" s="49">
        <f ca="1">(AM462*HM_ZD_Moho!CA_NOC_WI)-HM_ZD_Moho!CA_NOC_CI_opex</f>
        <v>0</v>
      </c>
      <c r="AN515" s="49">
        <f ca="1">(AN462*HM_ZD_Moho!CA_NOC_WI)-HM_ZD_Moho!CA_NOC_CI_opex</f>
        <v>0</v>
      </c>
      <c r="AO515" s="49">
        <f ca="1">(AO462*HM_ZD_Moho!CA_NOC_WI)-HM_ZD_Moho!CA_NOC_CI_opex</f>
        <v>0</v>
      </c>
      <c r="AP515" s="49">
        <f ca="1">(AP462*HM_ZD_Moho!CA_NOC_WI)-HM_ZD_Moho!CA_NOC_CI_opex</f>
        <v>0</v>
      </c>
      <c r="AQ515" s="49">
        <f ca="1">(AQ462*HM_ZD_Moho!CA_NOC_WI)-HM_ZD_Moho!CA_NOC_CI_opex</f>
        <v>0</v>
      </c>
      <c r="AR515" s="49">
        <f ca="1">(AR462*HM_ZD_Moho!CA_NOC_WI)-HM_ZD_Moho!CA_NOC_CI_opex</f>
        <v>0</v>
      </c>
      <c r="AS515" s="49">
        <f ca="1">(AS462*HM_ZD_Moho!CA_NOC_WI)-HM_ZD_Moho!CA_NOC_CI_opex</f>
        <v>0</v>
      </c>
      <c r="AT515" s="49">
        <f ca="1">(AT462*HM_ZD_Moho!CA_NOC_WI)-HM_ZD_Moho!CA_NOC_CI_opex</f>
        <v>0</v>
      </c>
      <c r="AU515" s="49">
        <f ca="1">(AU462*HM_ZD_Moho!CA_NOC_WI)-HM_ZD_Moho!CA_NOC_CI_opex</f>
        <v>0</v>
      </c>
      <c r="AV515" s="49">
        <f ca="1">(AV462*HM_ZD_Moho!CA_NOC_WI)-HM_ZD_Moho!CA_NOC_CI_opex</f>
        <v>0</v>
      </c>
      <c r="AW515" s="49">
        <f ca="1">(AW462*HM_ZD_Moho!CA_NOC_WI)-HM_ZD_Moho!CA_NOC_CI_opex</f>
        <v>0</v>
      </c>
      <c r="AX515" s="49">
        <f ca="1">(AX462*HM_ZD_Moho!CA_NOC_WI)-HM_ZD_Moho!CA_NOC_CI_opex</f>
        <v>0</v>
      </c>
      <c r="AY515" s="49">
        <f ca="1">(AY462*HM_ZD_Moho!CA_NOC_WI)-HM_ZD_Moho!CA_NOC_CI_opex</f>
        <v>0</v>
      </c>
      <c r="AZ515" s="49">
        <f ca="1">(AZ462*HM_ZD_Moho!CA_NOC_WI)-HM_ZD_Moho!CA_NOC_CI_opex</f>
        <v>0</v>
      </c>
      <c r="BA515" s="49">
        <f ca="1">(BA462*HM_ZD_Moho!CA_NOC_WI)-HM_ZD_Moho!CA_NOC_CI_opex</f>
        <v>0</v>
      </c>
      <c r="BB515" s="49">
        <f ca="1">(BB462*HM_ZD_Moho!CA_NOC_WI)-HM_ZD_Moho!CA_NOC_CI_opex</f>
        <v>0</v>
      </c>
      <c r="BC515" s="49">
        <f ca="1">(BC462*HM_ZD_Moho!CA_NOC_WI)-HM_ZD_Moho!CA_NOC_CI_opex</f>
        <v>0</v>
      </c>
      <c r="BD515" s="49">
        <f ca="1">(BD462*HM_ZD_Moho!CA_NOC_WI)-HM_ZD_Moho!CA_NOC_CI_opex</f>
        <v>0</v>
      </c>
      <c r="BE515" s="49">
        <f ca="1">(BE462*HM_ZD_Moho!CA_NOC_WI)-HM_ZD_Moho!CA_NOC_CI_opex</f>
        <v>0</v>
      </c>
      <c r="BF515" s="49">
        <f ca="1">(BF462*HM_ZD_Moho!CA_NOC_WI)-HM_ZD_Moho!CA_NOC_CI_opex</f>
        <v>0</v>
      </c>
      <c r="BG515" s="49">
        <f ca="1">(BG462*HM_ZD_Moho!CA_NOC_WI)-HM_ZD_Moho!CA_NOC_CI_opex</f>
        <v>0</v>
      </c>
      <c r="BH515" s="49">
        <f ca="1">(BH462*HM_ZD_Moho!CA_NOC_WI)-HM_ZD_Moho!CA_NOC_CI_opex</f>
        <v>0</v>
      </c>
      <c r="BI515" s="49">
        <f ca="1">(BI462*HM_ZD_Moho!CA_NOC_WI)-HM_ZD_Moho!CA_NOC_CI_opex</f>
        <v>0</v>
      </c>
      <c r="BJ515" s="49">
        <f ca="1">(BJ462*HM_ZD_Moho!CA_NOC_WI)-HM_ZD_Moho!CA_NOC_CI_opex</f>
        <v>0</v>
      </c>
      <c r="BK515" s="49">
        <f ca="1">(BK462*HM_ZD_Moho!CA_NOC_WI)-HM_ZD_Moho!CA_NOC_CI_opex</f>
        <v>0</v>
      </c>
      <c r="BL515" s="49">
        <f ca="1">(BL462*HM_ZD_Moho!CA_NOC_WI)-HM_ZD_Moho!CA_NOC_CI_opex</f>
        <v>0</v>
      </c>
      <c r="BM515" s="49">
        <f ca="1">(BM462*HM_ZD_Moho!CA_NOC_WI)-HM_ZD_Moho!CA_NOC_CI_opex</f>
        <v>0</v>
      </c>
      <c r="BN515" s="49">
        <f ca="1">(BN462*HM_ZD_Moho!CA_NOC_WI)-HM_ZD_Moho!CA_NOC_CI_opex</f>
        <v>0</v>
      </c>
      <c r="BO515" s="49">
        <f ca="1">(BO462*HM_ZD_Moho!CA_NOC_WI)-HM_ZD_Moho!CA_NOC_CI_opex</f>
        <v>0</v>
      </c>
      <c r="BP515" s="49">
        <f ca="1">(BP462*HM_ZD_Moho!CA_NOC_WI)-HM_ZD_Moho!CA_NOC_CI_opex</f>
        <v>0</v>
      </c>
      <c r="BQ515" s="49">
        <f ca="1">(BQ462*HM_ZD_Moho!CA_NOC_WI)-HM_ZD_Moho!CA_NOC_CI_opex</f>
        <v>0</v>
      </c>
      <c r="BR515" s="49">
        <f ca="1">(BR462*HM_ZD_Moho!CA_NOC_WI)-HM_ZD_Moho!CA_NOC_CI_opex</f>
        <v>0</v>
      </c>
      <c r="BS515" s="49">
        <f ca="1">(BS462*HM_ZD_Moho!CA_NOC_WI)-HM_ZD_Moho!CA_NOC_CI_opex</f>
        <v>0</v>
      </c>
    </row>
    <row r="516" spans="3:71" outlineLevel="1" x14ac:dyDescent="0.2">
      <c r="J516" s="26"/>
      <c r="L516" s="55"/>
      <c r="M516" s="55"/>
      <c r="N516" s="55"/>
      <c r="O516" s="55"/>
      <c r="P516" s="55"/>
      <c r="Q516" s="55"/>
      <c r="R516" s="55"/>
      <c r="S516" s="55"/>
      <c r="T516" s="55"/>
      <c r="U516" s="55"/>
      <c r="V516" s="55"/>
      <c r="W516" s="55"/>
      <c r="X516" s="55"/>
      <c r="Y516" s="55"/>
      <c r="Z516" s="55"/>
      <c r="AA516" s="55"/>
      <c r="AB516" s="55"/>
      <c r="AC516" s="55"/>
      <c r="AD516" s="55"/>
      <c r="AE516" s="55"/>
      <c r="AF516" s="55"/>
      <c r="AG516" s="55"/>
      <c r="AH516" s="55"/>
      <c r="AI516" s="55"/>
      <c r="AJ516" s="55"/>
      <c r="AK516" s="55"/>
      <c r="AL516" s="55"/>
      <c r="AM516" s="55"/>
      <c r="AN516" s="55"/>
      <c r="AO516" s="55"/>
      <c r="AP516" s="55"/>
      <c r="AQ516" s="55"/>
      <c r="AR516" s="55"/>
      <c r="AS516" s="55"/>
      <c r="AT516" s="55"/>
      <c r="AU516" s="55"/>
      <c r="AV516" s="55"/>
      <c r="AW516" s="55"/>
      <c r="AX516" s="55"/>
      <c r="AY516" s="55"/>
      <c r="AZ516" s="55"/>
      <c r="BA516" s="55"/>
      <c r="BB516" s="55"/>
      <c r="BC516" s="55"/>
      <c r="BD516" s="55"/>
      <c r="BE516" s="55"/>
      <c r="BF516" s="55"/>
      <c r="BG516" s="55"/>
      <c r="BH516" s="55"/>
      <c r="BI516" s="55"/>
      <c r="BJ516" s="55"/>
      <c r="BK516" s="55"/>
      <c r="BL516" s="55"/>
      <c r="BM516" s="55"/>
      <c r="BN516" s="55"/>
      <c r="BO516" s="55"/>
      <c r="BP516" s="55"/>
      <c r="BQ516" s="55"/>
      <c r="BR516" s="55"/>
      <c r="BS516" s="55"/>
    </row>
    <row r="517" spans="3:71" outlineLevel="1" x14ac:dyDescent="0.2">
      <c r="C517" s="11" t="str">
        <f>HM_ZB_Nsoko!C503</f>
        <v>Bonus et frais</v>
      </c>
      <c r="I517" s="30">
        <f t="shared" ca="1" si="252"/>
        <v>46.803563913306824</v>
      </c>
      <c r="J517" s="26" t="s">
        <v>148</v>
      </c>
      <c r="L517" s="49">
        <f ca="1">L464*HM_ZD_Moho!CA_NOC_WI</f>
        <v>2.8682753200305005</v>
      </c>
      <c r="M517" s="49">
        <f ca="1">M464*HM_ZD_Moho!CA_NOC_WI</f>
        <v>2.726664249905999</v>
      </c>
      <c r="N517" s="49">
        <f ca="1">N464*HM_ZD_Moho!CA_NOC_WI</f>
        <v>1.1025705771749998</v>
      </c>
      <c r="O517" s="49">
        <f ca="1">O464*HM_ZD_Moho!CA_NOC_WI</f>
        <v>0.94750883169299993</v>
      </c>
      <c r="P517" s="49">
        <f ca="1">P464*HM_ZD_Moho!CA_NOC_WI</f>
        <v>2.6585457837735009</v>
      </c>
      <c r="Q517" s="49">
        <f ca="1">Q464*HM_ZD_Moho!CA_NOC_WI</f>
        <v>5.378841747210001</v>
      </c>
      <c r="R517" s="49">
        <f ca="1">R464*HM_ZD_Moho!CA_NOC_WI</f>
        <v>5.2864961559075008</v>
      </c>
      <c r="S517" s="49">
        <f ca="1">S464*HM_ZD_Moho!CA_NOC_WI</f>
        <v>3.1564630890000003</v>
      </c>
      <c r="T517" s="49">
        <f ca="1">T464*HM_ZD_Moho!CA_NOC_WI</f>
        <v>4.8297173666975999</v>
      </c>
      <c r="U517" s="49">
        <f ca="1">U464*HM_ZD_Moho!CA_NOC_WI</f>
        <v>4.8212658840779996</v>
      </c>
      <c r="V517" s="49">
        <f ca="1">V464*HM_ZD_Moho!CA_NOC_WI</f>
        <v>4.5734528176363902</v>
      </c>
      <c r="W517" s="49">
        <f ca="1">W464*HM_ZD_Moho!CA_NOC_WI</f>
        <v>4.3383773428098795</v>
      </c>
      <c r="X517" s="49">
        <f ca="1">X464*HM_ZD_Moho!CA_NOC_WI</f>
        <v>4.1153847473894514</v>
      </c>
      <c r="Y517" s="49">
        <f ca="1">Y464*HM_ZD_Moho!CA_NOC_WI</f>
        <v>0</v>
      </c>
      <c r="Z517" s="49">
        <f ca="1">Z464*HM_ZD_Moho!CA_NOC_WI</f>
        <v>0</v>
      </c>
      <c r="AA517" s="49">
        <f ca="1">AA464*HM_ZD_Moho!CA_NOC_WI</f>
        <v>0</v>
      </c>
      <c r="AB517" s="49">
        <f ca="1">AB464*HM_ZD_Moho!CA_NOC_WI</f>
        <v>0</v>
      </c>
      <c r="AC517" s="49">
        <f ca="1">AC464*HM_ZD_Moho!CA_NOC_WI</f>
        <v>0</v>
      </c>
      <c r="AD517" s="49">
        <f ca="1">AD464*HM_ZD_Moho!CA_NOC_WI</f>
        <v>0</v>
      </c>
      <c r="AE517" s="49">
        <f ca="1">AE464*HM_ZD_Moho!CA_NOC_WI</f>
        <v>0</v>
      </c>
      <c r="AF517" s="49">
        <f ca="1">AF464*HM_ZD_Moho!CA_NOC_WI</f>
        <v>0</v>
      </c>
      <c r="AG517" s="49">
        <f ca="1">AG464*HM_ZD_Moho!CA_NOC_WI</f>
        <v>0</v>
      </c>
      <c r="AH517" s="49">
        <f ca="1">AH464*HM_ZD_Moho!CA_NOC_WI</f>
        <v>0</v>
      </c>
      <c r="AI517" s="49">
        <f ca="1">AI464*HM_ZD_Moho!CA_NOC_WI</f>
        <v>0</v>
      </c>
      <c r="AJ517" s="49">
        <f ca="1">AJ464*HM_ZD_Moho!CA_NOC_WI</f>
        <v>0</v>
      </c>
      <c r="AK517" s="49">
        <f ca="1">AK464*HM_ZD_Moho!CA_NOC_WI</f>
        <v>0</v>
      </c>
      <c r="AL517" s="49">
        <f ca="1">AL464*HM_ZD_Moho!CA_NOC_WI</f>
        <v>0</v>
      </c>
      <c r="AM517" s="49">
        <f ca="1">AM464*HM_ZD_Moho!CA_NOC_WI</f>
        <v>0</v>
      </c>
      <c r="AN517" s="49">
        <f ca="1">AN464*HM_ZD_Moho!CA_NOC_WI</f>
        <v>0</v>
      </c>
      <c r="AO517" s="49">
        <f ca="1">AO464*HM_ZD_Moho!CA_NOC_WI</f>
        <v>0</v>
      </c>
      <c r="AP517" s="49">
        <f ca="1">AP464*HM_ZD_Moho!CA_NOC_WI</f>
        <v>0</v>
      </c>
      <c r="AQ517" s="49">
        <f ca="1">AQ464*HM_ZD_Moho!CA_NOC_WI</f>
        <v>0</v>
      </c>
      <c r="AR517" s="49">
        <f ca="1">AR464*HM_ZD_Moho!CA_NOC_WI</f>
        <v>0</v>
      </c>
      <c r="AS517" s="49">
        <f ca="1">AS464*HM_ZD_Moho!CA_NOC_WI</f>
        <v>0</v>
      </c>
      <c r="AT517" s="49">
        <f ca="1">AT464*HM_ZD_Moho!CA_NOC_WI</f>
        <v>0</v>
      </c>
      <c r="AU517" s="49">
        <f ca="1">AU464*HM_ZD_Moho!CA_NOC_WI</f>
        <v>0</v>
      </c>
      <c r="AV517" s="49">
        <f ca="1">AV464*HM_ZD_Moho!CA_NOC_WI</f>
        <v>0</v>
      </c>
      <c r="AW517" s="49">
        <f ca="1">AW464*HM_ZD_Moho!CA_NOC_WI</f>
        <v>0</v>
      </c>
      <c r="AX517" s="49">
        <f ca="1">AX464*HM_ZD_Moho!CA_NOC_WI</f>
        <v>0</v>
      </c>
      <c r="AY517" s="49">
        <f ca="1">AY464*HM_ZD_Moho!CA_NOC_WI</f>
        <v>0</v>
      </c>
      <c r="AZ517" s="49">
        <f ca="1">AZ464*HM_ZD_Moho!CA_NOC_WI</f>
        <v>0</v>
      </c>
      <c r="BA517" s="49">
        <f ca="1">BA464*HM_ZD_Moho!CA_NOC_WI</f>
        <v>0</v>
      </c>
      <c r="BB517" s="49">
        <f ca="1">BB464*HM_ZD_Moho!CA_NOC_WI</f>
        <v>0</v>
      </c>
      <c r="BC517" s="49">
        <f ca="1">BC464*HM_ZD_Moho!CA_NOC_WI</f>
        <v>0</v>
      </c>
      <c r="BD517" s="49">
        <f ca="1">BD464*HM_ZD_Moho!CA_NOC_WI</f>
        <v>0</v>
      </c>
      <c r="BE517" s="49">
        <f ca="1">BE464*HM_ZD_Moho!CA_NOC_WI</f>
        <v>0</v>
      </c>
      <c r="BF517" s="49">
        <f ca="1">BF464*HM_ZD_Moho!CA_NOC_WI</f>
        <v>0</v>
      </c>
      <c r="BG517" s="49">
        <f ca="1">BG464*HM_ZD_Moho!CA_NOC_WI</f>
        <v>0</v>
      </c>
      <c r="BH517" s="49">
        <f ca="1">BH464*HM_ZD_Moho!CA_NOC_WI</f>
        <v>0</v>
      </c>
      <c r="BI517" s="49">
        <f ca="1">BI464*HM_ZD_Moho!CA_NOC_WI</f>
        <v>0</v>
      </c>
      <c r="BJ517" s="49">
        <f ca="1">BJ464*HM_ZD_Moho!CA_NOC_WI</f>
        <v>0</v>
      </c>
      <c r="BK517" s="49">
        <f ca="1">BK464*HM_ZD_Moho!CA_NOC_WI</f>
        <v>0</v>
      </c>
      <c r="BL517" s="49">
        <f ca="1">BL464*HM_ZD_Moho!CA_NOC_WI</f>
        <v>0</v>
      </c>
      <c r="BM517" s="49">
        <f ca="1">BM464*HM_ZD_Moho!CA_NOC_WI</f>
        <v>0</v>
      </c>
      <c r="BN517" s="49">
        <f ca="1">BN464*HM_ZD_Moho!CA_NOC_WI</f>
        <v>0</v>
      </c>
      <c r="BO517" s="49">
        <f ca="1">BO464*HM_ZD_Moho!CA_NOC_WI</f>
        <v>0</v>
      </c>
      <c r="BP517" s="49">
        <f ca="1">BP464*HM_ZD_Moho!CA_NOC_WI</f>
        <v>0</v>
      </c>
      <c r="BQ517" s="49">
        <f ca="1">BQ464*HM_ZD_Moho!CA_NOC_WI</f>
        <v>0</v>
      </c>
      <c r="BR517" s="49">
        <f ca="1">BR464*HM_ZD_Moho!CA_NOC_WI</f>
        <v>0</v>
      </c>
      <c r="BS517" s="49">
        <f ca="1">BS464*HM_ZD_Moho!CA_NOC_WI</f>
        <v>0</v>
      </c>
    </row>
    <row r="518" spans="3:71" outlineLevel="1" x14ac:dyDescent="0.2">
      <c r="J518" s="26"/>
      <c r="L518" s="55"/>
      <c r="M518" s="55"/>
      <c r="N518" s="55"/>
      <c r="O518" s="55"/>
      <c r="P518" s="55"/>
      <c r="Q518" s="55"/>
      <c r="R518" s="55"/>
      <c r="S518" s="55"/>
      <c r="T518" s="55"/>
      <c r="U518" s="55"/>
      <c r="V518" s="55"/>
      <c r="W518" s="55"/>
      <c r="X518" s="55"/>
      <c r="Y518" s="55"/>
      <c r="Z518" s="55"/>
      <c r="AA518" s="55"/>
      <c r="AB518" s="55"/>
      <c r="AC518" s="55"/>
      <c r="AD518" s="55"/>
      <c r="AE518" s="55"/>
      <c r="AF518" s="55"/>
      <c r="AG518" s="55"/>
      <c r="AH518" s="55"/>
      <c r="AI518" s="55"/>
      <c r="AJ518" s="55"/>
      <c r="AK518" s="55"/>
      <c r="AL518" s="55"/>
      <c r="AM518" s="55"/>
      <c r="AN518" s="55"/>
      <c r="AO518" s="55"/>
      <c r="AP518" s="55"/>
      <c r="AQ518" s="55"/>
      <c r="AR518" s="55"/>
      <c r="AS518" s="55"/>
      <c r="AT518" s="55"/>
      <c r="AU518" s="55"/>
      <c r="AV518" s="55"/>
      <c r="AW518" s="55"/>
      <c r="AX518" s="55"/>
      <c r="AY518" s="55"/>
      <c r="AZ518" s="55"/>
      <c r="BA518" s="55"/>
      <c r="BB518" s="55"/>
      <c r="BC518" s="55"/>
      <c r="BD518" s="55"/>
      <c r="BE518" s="55"/>
      <c r="BF518" s="55"/>
      <c r="BG518" s="55"/>
      <c r="BH518" s="55"/>
      <c r="BI518" s="55"/>
      <c r="BJ518" s="55"/>
      <c r="BK518" s="55"/>
      <c r="BL518" s="55"/>
      <c r="BM518" s="55"/>
      <c r="BN518" s="55"/>
      <c r="BO518" s="55"/>
      <c r="BP518" s="55"/>
      <c r="BQ518" s="55"/>
      <c r="BR518" s="55"/>
      <c r="BS518" s="55"/>
    </row>
    <row r="519" spans="3:71" outlineLevel="1" x14ac:dyDescent="0.2">
      <c r="C519" s="11" t="str">
        <f>HM_ZB_Nsoko!C505</f>
        <v>Production et autres taxes</v>
      </c>
      <c r="I519" s="30">
        <f t="shared" ref="I519:I529" ca="1" si="254">SUM($L519:$BS519)</f>
        <v>0</v>
      </c>
      <c r="J519" s="26" t="s">
        <v>148</v>
      </c>
      <c r="L519" s="49">
        <f ca="1">L466*HM_ZD_Moho!CA_NOC_WI</f>
        <v>0</v>
      </c>
      <c r="M519" s="49">
        <f ca="1">M466*HM_ZD_Moho!CA_NOC_WI</f>
        <v>0</v>
      </c>
      <c r="N519" s="49">
        <f ca="1">N466*HM_ZD_Moho!CA_NOC_WI</f>
        <v>0</v>
      </c>
      <c r="O519" s="49">
        <f ca="1">O466*HM_ZD_Moho!CA_NOC_WI</f>
        <v>0</v>
      </c>
      <c r="P519" s="49">
        <f ca="1">P466*HM_ZD_Moho!CA_NOC_WI</f>
        <v>0</v>
      </c>
      <c r="Q519" s="49">
        <f ca="1">Q466*HM_ZD_Moho!CA_NOC_WI</f>
        <v>0</v>
      </c>
      <c r="R519" s="49">
        <f ca="1">R466*HM_ZD_Moho!CA_NOC_WI</f>
        <v>0</v>
      </c>
      <c r="S519" s="49">
        <f ca="1">S466*HM_ZD_Moho!CA_NOC_WI</f>
        <v>0</v>
      </c>
      <c r="T519" s="49">
        <f ca="1">T466*HM_ZD_Moho!CA_NOC_WI</f>
        <v>0</v>
      </c>
      <c r="U519" s="49">
        <f ca="1">U466*HM_ZD_Moho!CA_NOC_WI</f>
        <v>0</v>
      </c>
      <c r="V519" s="49">
        <f ca="1">V466*HM_ZD_Moho!CA_NOC_WI</f>
        <v>0</v>
      </c>
      <c r="W519" s="49">
        <f ca="1">W466*HM_ZD_Moho!CA_NOC_WI</f>
        <v>0</v>
      </c>
      <c r="X519" s="49">
        <f ca="1">X466*HM_ZD_Moho!CA_NOC_WI</f>
        <v>0</v>
      </c>
      <c r="Y519" s="49">
        <f ca="1">Y466*HM_ZD_Moho!CA_NOC_WI</f>
        <v>0</v>
      </c>
      <c r="Z519" s="49">
        <f ca="1">Z466*HM_ZD_Moho!CA_NOC_WI</f>
        <v>0</v>
      </c>
      <c r="AA519" s="49">
        <f ca="1">AA466*HM_ZD_Moho!CA_NOC_WI</f>
        <v>0</v>
      </c>
      <c r="AB519" s="49">
        <f ca="1">AB466*HM_ZD_Moho!CA_NOC_WI</f>
        <v>0</v>
      </c>
      <c r="AC519" s="49">
        <f ca="1">AC466*HM_ZD_Moho!CA_NOC_WI</f>
        <v>0</v>
      </c>
      <c r="AD519" s="49">
        <f ca="1">AD466*HM_ZD_Moho!CA_NOC_WI</f>
        <v>0</v>
      </c>
      <c r="AE519" s="49">
        <f ca="1">AE466*HM_ZD_Moho!CA_NOC_WI</f>
        <v>0</v>
      </c>
      <c r="AF519" s="49">
        <f ca="1">AF466*HM_ZD_Moho!CA_NOC_WI</f>
        <v>0</v>
      </c>
      <c r="AG519" s="49">
        <f ca="1">AG466*HM_ZD_Moho!CA_NOC_WI</f>
        <v>0</v>
      </c>
      <c r="AH519" s="49">
        <f ca="1">AH466*HM_ZD_Moho!CA_NOC_WI</f>
        <v>0</v>
      </c>
      <c r="AI519" s="49">
        <f ca="1">AI466*HM_ZD_Moho!CA_NOC_WI</f>
        <v>0</v>
      </c>
      <c r="AJ519" s="49">
        <f ca="1">AJ466*HM_ZD_Moho!CA_NOC_WI</f>
        <v>0</v>
      </c>
      <c r="AK519" s="49">
        <f ca="1">AK466*HM_ZD_Moho!CA_NOC_WI</f>
        <v>0</v>
      </c>
      <c r="AL519" s="49">
        <f ca="1">AL466*HM_ZD_Moho!CA_NOC_WI</f>
        <v>0</v>
      </c>
      <c r="AM519" s="49">
        <f ca="1">AM466*HM_ZD_Moho!CA_NOC_WI</f>
        <v>0</v>
      </c>
      <c r="AN519" s="49">
        <f ca="1">AN466*HM_ZD_Moho!CA_NOC_WI</f>
        <v>0</v>
      </c>
      <c r="AO519" s="49">
        <f ca="1">AO466*HM_ZD_Moho!CA_NOC_WI</f>
        <v>0</v>
      </c>
      <c r="AP519" s="49">
        <f ca="1">AP466*HM_ZD_Moho!CA_NOC_WI</f>
        <v>0</v>
      </c>
      <c r="AQ519" s="49">
        <f ca="1">AQ466*HM_ZD_Moho!CA_NOC_WI</f>
        <v>0</v>
      </c>
      <c r="AR519" s="49">
        <f ca="1">AR466*HM_ZD_Moho!CA_NOC_WI</f>
        <v>0</v>
      </c>
      <c r="AS519" s="49">
        <f ca="1">AS466*HM_ZD_Moho!CA_NOC_WI</f>
        <v>0</v>
      </c>
      <c r="AT519" s="49">
        <f ca="1">AT466*HM_ZD_Moho!CA_NOC_WI</f>
        <v>0</v>
      </c>
      <c r="AU519" s="49">
        <f ca="1">AU466*HM_ZD_Moho!CA_NOC_WI</f>
        <v>0</v>
      </c>
      <c r="AV519" s="49">
        <f ca="1">AV466*HM_ZD_Moho!CA_NOC_WI</f>
        <v>0</v>
      </c>
      <c r="AW519" s="49">
        <f ca="1">AW466*HM_ZD_Moho!CA_NOC_WI</f>
        <v>0</v>
      </c>
      <c r="AX519" s="49">
        <f ca="1">AX466*HM_ZD_Moho!CA_NOC_WI</f>
        <v>0</v>
      </c>
      <c r="AY519" s="49">
        <f ca="1">AY466*HM_ZD_Moho!CA_NOC_WI</f>
        <v>0</v>
      </c>
      <c r="AZ519" s="49">
        <f ca="1">AZ466*HM_ZD_Moho!CA_NOC_WI</f>
        <v>0</v>
      </c>
      <c r="BA519" s="49">
        <f ca="1">BA466*HM_ZD_Moho!CA_NOC_WI</f>
        <v>0</v>
      </c>
      <c r="BB519" s="49">
        <f ca="1">BB466*HM_ZD_Moho!CA_NOC_WI</f>
        <v>0</v>
      </c>
      <c r="BC519" s="49">
        <f ca="1">BC466*HM_ZD_Moho!CA_NOC_WI</f>
        <v>0</v>
      </c>
      <c r="BD519" s="49">
        <f ca="1">BD466*HM_ZD_Moho!CA_NOC_WI</f>
        <v>0</v>
      </c>
      <c r="BE519" s="49">
        <f ca="1">BE466*HM_ZD_Moho!CA_NOC_WI</f>
        <v>0</v>
      </c>
      <c r="BF519" s="49">
        <f ca="1">BF466*HM_ZD_Moho!CA_NOC_WI</f>
        <v>0</v>
      </c>
      <c r="BG519" s="49">
        <f ca="1">BG466*HM_ZD_Moho!CA_NOC_WI</f>
        <v>0</v>
      </c>
      <c r="BH519" s="49">
        <f ca="1">BH466*HM_ZD_Moho!CA_NOC_WI</f>
        <v>0</v>
      </c>
      <c r="BI519" s="49">
        <f ca="1">BI466*HM_ZD_Moho!CA_NOC_WI</f>
        <v>0</v>
      </c>
      <c r="BJ519" s="49">
        <f ca="1">BJ466*HM_ZD_Moho!CA_NOC_WI</f>
        <v>0</v>
      </c>
      <c r="BK519" s="49">
        <f ca="1">BK466*HM_ZD_Moho!CA_NOC_WI</f>
        <v>0</v>
      </c>
      <c r="BL519" s="49">
        <f ca="1">BL466*HM_ZD_Moho!CA_NOC_WI</f>
        <v>0</v>
      </c>
      <c r="BM519" s="49">
        <f ca="1">BM466*HM_ZD_Moho!CA_NOC_WI</f>
        <v>0</v>
      </c>
      <c r="BN519" s="49">
        <f ca="1">BN466*HM_ZD_Moho!CA_NOC_WI</f>
        <v>0</v>
      </c>
      <c r="BO519" s="49">
        <f ca="1">BO466*HM_ZD_Moho!CA_NOC_WI</f>
        <v>0</v>
      </c>
      <c r="BP519" s="49">
        <f ca="1">BP466*HM_ZD_Moho!CA_NOC_WI</f>
        <v>0</v>
      </c>
      <c r="BQ519" s="49">
        <f ca="1">BQ466*HM_ZD_Moho!CA_NOC_WI</f>
        <v>0</v>
      </c>
      <c r="BR519" s="49">
        <f ca="1">BR466*HM_ZD_Moho!CA_NOC_WI</f>
        <v>0</v>
      </c>
      <c r="BS519" s="49">
        <f ca="1">BS466*HM_ZD_Moho!CA_NOC_WI</f>
        <v>0</v>
      </c>
    </row>
    <row r="520" spans="3:71" outlineLevel="1" x14ac:dyDescent="0.2">
      <c r="J520" s="26"/>
      <c r="L520" s="55"/>
      <c r="M520" s="55"/>
      <c r="N520" s="55"/>
      <c r="O520" s="55"/>
      <c r="P520" s="55"/>
      <c r="Q520" s="55"/>
      <c r="R520" s="55"/>
      <c r="S520" s="55"/>
      <c r="T520" s="55"/>
      <c r="U520" s="55"/>
      <c r="V520" s="55"/>
      <c r="W520" s="55"/>
      <c r="X520" s="55"/>
      <c r="Y520" s="55"/>
      <c r="Z520" s="55"/>
      <c r="AA520" s="55"/>
      <c r="AB520" s="55"/>
      <c r="AC520" s="55"/>
      <c r="AD520" s="55"/>
      <c r="AE520" s="55"/>
      <c r="AF520" s="55"/>
      <c r="AG520" s="55"/>
      <c r="AH520" s="55"/>
      <c r="AI520" s="55"/>
      <c r="AJ520" s="55"/>
      <c r="AK520" s="55"/>
      <c r="AL520" s="55"/>
      <c r="AM520" s="55"/>
      <c r="AN520" s="55"/>
      <c r="AO520" s="55"/>
      <c r="AP520" s="55"/>
      <c r="AQ520" s="55"/>
      <c r="AR520" s="55"/>
      <c r="AS520" s="55"/>
      <c r="AT520" s="55"/>
      <c r="AU520" s="55"/>
      <c r="AV520" s="55"/>
      <c r="AW520" s="55"/>
      <c r="AX520" s="55"/>
      <c r="AY520" s="55"/>
      <c r="AZ520" s="55"/>
      <c r="BA520" s="55"/>
      <c r="BB520" s="55"/>
      <c r="BC520" s="55"/>
      <c r="BD520" s="55"/>
      <c r="BE520" s="55"/>
      <c r="BF520" s="55"/>
      <c r="BG520" s="55"/>
      <c r="BH520" s="55"/>
      <c r="BI520" s="55"/>
      <c r="BJ520" s="55"/>
      <c r="BK520" s="55"/>
      <c r="BL520" s="55"/>
      <c r="BM520" s="55"/>
      <c r="BN520" s="55"/>
      <c r="BO520" s="55"/>
      <c r="BP520" s="55"/>
      <c r="BQ520" s="55"/>
      <c r="BR520" s="55"/>
      <c r="BS520" s="55"/>
    </row>
    <row r="521" spans="3:71" outlineLevel="1" x14ac:dyDescent="0.2">
      <c r="C521" s="11" t="str">
        <f>HM_ZB_Nsoko!C507</f>
        <v>Capex hors abandon</v>
      </c>
      <c r="I521" s="30">
        <f t="shared" ca="1" si="254"/>
        <v>0</v>
      </c>
      <c r="J521" s="26" t="s">
        <v>148</v>
      </c>
      <c r="L521" s="49">
        <f ca="1">L468*(HM_ZD_Moho!CA_NOC_WI)-(HM_ZD_Moho!CA_NOC_CI_devex+HM_ZD_Moho!CA_NOC_CI_expex)</f>
        <v>0</v>
      </c>
      <c r="M521" s="49">
        <f ca="1">M468*(HM_ZD_Moho!CA_NOC_WI)-(HM_ZD_Moho!CA_NOC_CI_devex+HM_ZD_Moho!CA_NOC_CI_expex)</f>
        <v>0</v>
      </c>
      <c r="N521" s="49">
        <f ca="1">N468*(HM_ZD_Moho!CA_NOC_WI)-(HM_ZD_Moho!CA_NOC_CI_devex+HM_ZD_Moho!CA_NOC_CI_expex)</f>
        <v>0</v>
      </c>
      <c r="O521" s="49">
        <f ca="1">O468*(HM_ZD_Moho!CA_NOC_WI)-(HM_ZD_Moho!CA_NOC_CI_devex+HM_ZD_Moho!CA_NOC_CI_expex)</f>
        <v>0</v>
      </c>
      <c r="P521" s="49">
        <f ca="1">P468*(HM_ZD_Moho!CA_NOC_WI)-(HM_ZD_Moho!CA_NOC_CI_devex+HM_ZD_Moho!CA_NOC_CI_expex)</f>
        <v>0</v>
      </c>
      <c r="Q521" s="49">
        <f ca="1">Q468*(HM_ZD_Moho!CA_NOC_WI)-(HM_ZD_Moho!CA_NOC_CI_devex+HM_ZD_Moho!CA_NOC_CI_expex)</f>
        <v>0</v>
      </c>
      <c r="R521" s="49">
        <f ca="1">R468*(HM_ZD_Moho!CA_NOC_WI)-(HM_ZD_Moho!CA_NOC_CI_devex+HM_ZD_Moho!CA_NOC_CI_expex)</f>
        <v>0</v>
      </c>
      <c r="S521" s="49">
        <f ca="1">S468*(HM_ZD_Moho!CA_NOC_WI)-(HM_ZD_Moho!CA_NOC_CI_devex+HM_ZD_Moho!CA_NOC_CI_expex)</f>
        <v>0</v>
      </c>
      <c r="T521" s="49">
        <f ca="1">T468*(HM_ZD_Moho!CA_NOC_WI)-(HM_ZD_Moho!CA_NOC_CI_devex+HM_ZD_Moho!CA_NOC_CI_expex)</f>
        <v>0</v>
      </c>
      <c r="U521" s="49">
        <f ca="1">U468*(HM_ZD_Moho!CA_NOC_WI)-(HM_ZD_Moho!CA_NOC_CI_devex+HM_ZD_Moho!CA_NOC_CI_expex)</f>
        <v>0</v>
      </c>
      <c r="V521" s="49">
        <f ca="1">V468*(HM_ZD_Moho!CA_NOC_WI)-(HM_ZD_Moho!CA_NOC_CI_devex+HM_ZD_Moho!CA_NOC_CI_expex)</f>
        <v>0</v>
      </c>
      <c r="W521" s="49">
        <f ca="1">W468*(HM_ZD_Moho!CA_NOC_WI)-(HM_ZD_Moho!CA_NOC_CI_devex+HM_ZD_Moho!CA_NOC_CI_expex)</f>
        <v>0</v>
      </c>
      <c r="X521" s="49">
        <f ca="1">X468*(HM_ZD_Moho!CA_NOC_WI)-(HM_ZD_Moho!CA_NOC_CI_devex+HM_ZD_Moho!CA_NOC_CI_expex)</f>
        <v>0</v>
      </c>
      <c r="Y521" s="49">
        <f ca="1">Y468*(HM_ZD_Moho!CA_NOC_WI)-(HM_ZD_Moho!CA_NOC_CI_devex+HM_ZD_Moho!CA_NOC_CI_expex)</f>
        <v>0</v>
      </c>
      <c r="Z521" s="49">
        <f ca="1">Z468*(HM_ZD_Moho!CA_NOC_WI)-(HM_ZD_Moho!CA_NOC_CI_devex+HM_ZD_Moho!CA_NOC_CI_expex)</f>
        <v>0</v>
      </c>
      <c r="AA521" s="49">
        <f ca="1">AA468*(HM_ZD_Moho!CA_NOC_WI)-(HM_ZD_Moho!CA_NOC_CI_devex+HM_ZD_Moho!CA_NOC_CI_expex)</f>
        <v>0</v>
      </c>
      <c r="AB521" s="49">
        <f ca="1">AB468*(HM_ZD_Moho!CA_NOC_WI)-(HM_ZD_Moho!CA_NOC_CI_devex+HM_ZD_Moho!CA_NOC_CI_expex)</f>
        <v>0</v>
      </c>
      <c r="AC521" s="49">
        <f ca="1">AC468*(HM_ZD_Moho!CA_NOC_WI)-(HM_ZD_Moho!CA_NOC_CI_devex+HM_ZD_Moho!CA_NOC_CI_expex)</f>
        <v>0</v>
      </c>
      <c r="AD521" s="49">
        <f ca="1">AD468*(HM_ZD_Moho!CA_NOC_WI)-(HM_ZD_Moho!CA_NOC_CI_devex+HM_ZD_Moho!CA_NOC_CI_expex)</f>
        <v>0</v>
      </c>
      <c r="AE521" s="49">
        <f ca="1">AE468*(HM_ZD_Moho!CA_NOC_WI)-(HM_ZD_Moho!CA_NOC_CI_devex+HM_ZD_Moho!CA_NOC_CI_expex)</f>
        <v>0</v>
      </c>
      <c r="AF521" s="49">
        <f ca="1">AF468*(HM_ZD_Moho!CA_NOC_WI)-(HM_ZD_Moho!CA_NOC_CI_devex+HM_ZD_Moho!CA_NOC_CI_expex)</f>
        <v>0</v>
      </c>
      <c r="AG521" s="49">
        <f ca="1">AG468*(HM_ZD_Moho!CA_NOC_WI)-(HM_ZD_Moho!CA_NOC_CI_devex+HM_ZD_Moho!CA_NOC_CI_expex)</f>
        <v>0</v>
      </c>
      <c r="AH521" s="49">
        <f ca="1">AH468*(HM_ZD_Moho!CA_NOC_WI)-(HM_ZD_Moho!CA_NOC_CI_devex+HM_ZD_Moho!CA_NOC_CI_expex)</f>
        <v>0</v>
      </c>
      <c r="AI521" s="49">
        <f ca="1">AI468*(HM_ZD_Moho!CA_NOC_WI)-(HM_ZD_Moho!CA_NOC_CI_devex+HM_ZD_Moho!CA_NOC_CI_expex)</f>
        <v>0</v>
      </c>
      <c r="AJ521" s="49">
        <f ca="1">AJ468*(HM_ZD_Moho!CA_NOC_WI)-(HM_ZD_Moho!CA_NOC_CI_devex+HM_ZD_Moho!CA_NOC_CI_expex)</f>
        <v>0</v>
      </c>
      <c r="AK521" s="49">
        <f ca="1">AK468*(HM_ZD_Moho!CA_NOC_WI)-(HM_ZD_Moho!CA_NOC_CI_devex+HM_ZD_Moho!CA_NOC_CI_expex)</f>
        <v>0</v>
      </c>
      <c r="AL521" s="49">
        <f ca="1">AL468*(HM_ZD_Moho!CA_NOC_WI)-(HM_ZD_Moho!CA_NOC_CI_devex+HM_ZD_Moho!CA_NOC_CI_expex)</f>
        <v>0</v>
      </c>
      <c r="AM521" s="49">
        <f ca="1">AM468*(HM_ZD_Moho!CA_NOC_WI)-(HM_ZD_Moho!CA_NOC_CI_devex+HM_ZD_Moho!CA_NOC_CI_expex)</f>
        <v>0</v>
      </c>
      <c r="AN521" s="49">
        <f ca="1">AN468*(HM_ZD_Moho!CA_NOC_WI)-(HM_ZD_Moho!CA_NOC_CI_devex+HM_ZD_Moho!CA_NOC_CI_expex)</f>
        <v>0</v>
      </c>
      <c r="AO521" s="49">
        <f ca="1">AO468*(HM_ZD_Moho!CA_NOC_WI)-(HM_ZD_Moho!CA_NOC_CI_devex+HM_ZD_Moho!CA_NOC_CI_expex)</f>
        <v>0</v>
      </c>
      <c r="AP521" s="49">
        <f ca="1">AP468*(HM_ZD_Moho!CA_NOC_WI)-(HM_ZD_Moho!CA_NOC_CI_devex+HM_ZD_Moho!CA_NOC_CI_expex)</f>
        <v>0</v>
      </c>
      <c r="AQ521" s="49">
        <f ca="1">AQ468*(HM_ZD_Moho!CA_NOC_WI)-(HM_ZD_Moho!CA_NOC_CI_devex+HM_ZD_Moho!CA_NOC_CI_expex)</f>
        <v>0</v>
      </c>
      <c r="AR521" s="49">
        <f ca="1">AR468*(HM_ZD_Moho!CA_NOC_WI)-(HM_ZD_Moho!CA_NOC_CI_devex+HM_ZD_Moho!CA_NOC_CI_expex)</f>
        <v>0</v>
      </c>
      <c r="AS521" s="49">
        <f ca="1">AS468*(HM_ZD_Moho!CA_NOC_WI)-(HM_ZD_Moho!CA_NOC_CI_devex+HM_ZD_Moho!CA_NOC_CI_expex)</f>
        <v>0</v>
      </c>
      <c r="AT521" s="49">
        <f ca="1">AT468*(HM_ZD_Moho!CA_NOC_WI)-(HM_ZD_Moho!CA_NOC_CI_devex+HM_ZD_Moho!CA_NOC_CI_expex)</f>
        <v>0</v>
      </c>
      <c r="AU521" s="49">
        <f ca="1">AU468*(HM_ZD_Moho!CA_NOC_WI)-(HM_ZD_Moho!CA_NOC_CI_devex+HM_ZD_Moho!CA_NOC_CI_expex)</f>
        <v>0</v>
      </c>
      <c r="AV521" s="49">
        <f ca="1">AV468*(HM_ZD_Moho!CA_NOC_WI)-(HM_ZD_Moho!CA_NOC_CI_devex+HM_ZD_Moho!CA_NOC_CI_expex)</f>
        <v>0</v>
      </c>
      <c r="AW521" s="49">
        <f ca="1">AW468*(HM_ZD_Moho!CA_NOC_WI)-(HM_ZD_Moho!CA_NOC_CI_devex+HM_ZD_Moho!CA_NOC_CI_expex)</f>
        <v>0</v>
      </c>
      <c r="AX521" s="49">
        <f ca="1">AX468*(HM_ZD_Moho!CA_NOC_WI)-(HM_ZD_Moho!CA_NOC_CI_devex+HM_ZD_Moho!CA_NOC_CI_expex)</f>
        <v>0</v>
      </c>
      <c r="AY521" s="49">
        <f ca="1">AY468*(HM_ZD_Moho!CA_NOC_WI)-(HM_ZD_Moho!CA_NOC_CI_devex+HM_ZD_Moho!CA_NOC_CI_expex)</f>
        <v>0</v>
      </c>
      <c r="AZ521" s="49">
        <f ca="1">AZ468*(HM_ZD_Moho!CA_NOC_WI)-(HM_ZD_Moho!CA_NOC_CI_devex+HM_ZD_Moho!CA_NOC_CI_expex)</f>
        <v>0</v>
      </c>
      <c r="BA521" s="49">
        <f ca="1">BA468*(HM_ZD_Moho!CA_NOC_WI)-(HM_ZD_Moho!CA_NOC_CI_devex+HM_ZD_Moho!CA_NOC_CI_expex)</f>
        <v>0</v>
      </c>
      <c r="BB521" s="49">
        <f ca="1">BB468*(HM_ZD_Moho!CA_NOC_WI)-(HM_ZD_Moho!CA_NOC_CI_devex+HM_ZD_Moho!CA_NOC_CI_expex)</f>
        <v>0</v>
      </c>
      <c r="BC521" s="49">
        <f ca="1">BC468*(HM_ZD_Moho!CA_NOC_WI)-(HM_ZD_Moho!CA_NOC_CI_devex+HM_ZD_Moho!CA_NOC_CI_expex)</f>
        <v>0</v>
      </c>
      <c r="BD521" s="49">
        <f ca="1">BD468*(HM_ZD_Moho!CA_NOC_WI)-(HM_ZD_Moho!CA_NOC_CI_devex+HM_ZD_Moho!CA_NOC_CI_expex)</f>
        <v>0</v>
      </c>
      <c r="BE521" s="49">
        <f ca="1">BE468*(HM_ZD_Moho!CA_NOC_WI)-(HM_ZD_Moho!CA_NOC_CI_devex+HM_ZD_Moho!CA_NOC_CI_expex)</f>
        <v>0</v>
      </c>
      <c r="BF521" s="49">
        <f ca="1">BF468*(HM_ZD_Moho!CA_NOC_WI)-(HM_ZD_Moho!CA_NOC_CI_devex+HM_ZD_Moho!CA_NOC_CI_expex)</f>
        <v>0</v>
      </c>
      <c r="BG521" s="49">
        <f ca="1">BG468*(HM_ZD_Moho!CA_NOC_WI)-(HM_ZD_Moho!CA_NOC_CI_devex+HM_ZD_Moho!CA_NOC_CI_expex)</f>
        <v>0</v>
      </c>
      <c r="BH521" s="49">
        <f ca="1">BH468*(HM_ZD_Moho!CA_NOC_WI)-(HM_ZD_Moho!CA_NOC_CI_devex+HM_ZD_Moho!CA_NOC_CI_expex)</f>
        <v>0</v>
      </c>
      <c r="BI521" s="49">
        <f ca="1">BI468*(HM_ZD_Moho!CA_NOC_WI)-(HM_ZD_Moho!CA_NOC_CI_devex+HM_ZD_Moho!CA_NOC_CI_expex)</f>
        <v>0</v>
      </c>
      <c r="BJ521" s="49">
        <f ca="1">BJ468*(HM_ZD_Moho!CA_NOC_WI)-(HM_ZD_Moho!CA_NOC_CI_devex+HM_ZD_Moho!CA_NOC_CI_expex)</f>
        <v>0</v>
      </c>
      <c r="BK521" s="49">
        <f ca="1">BK468*(HM_ZD_Moho!CA_NOC_WI)-(HM_ZD_Moho!CA_NOC_CI_devex+HM_ZD_Moho!CA_NOC_CI_expex)</f>
        <v>0</v>
      </c>
      <c r="BL521" s="49">
        <f ca="1">BL468*(HM_ZD_Moho!CA_NOC_WI)-(HM_ZD_Moho!CA_NOC_CI_devex+HM_ZD_Moho!CA_NOC_CI_expex)</f>
        <v>0</v>
      </c>
      <c r="BM521" s="49">
        <f ca="1">BM468*(HM_ZD_Moho!CA_NOC_WI)-(HM_ZD_Moho!CA_NOC_CI_devex+HM_ZD_Moho!CA_NOC_CI_expex)</f>
        <v>0</v>
      </c>
      <c r="BN521" s="49">
        <f ca="1">BN468*(HM_ZD_Moho!CA_NOC_WI)-(HM_ZD_Moho!CA_NOC_CI_devex+HM_ZD_Moho!CA_NOC_CI_expex)</f>
        <v>0</v>
      </c>
      <c r="BO521" s="49">
        <f ca="1">BO468*(HM_ZD_Moho!CA_NOC_WI)-(HM_ZD_Moho!CA_NOC_CI_devex+HM_ZD_Moho!CA_NOC_CI_expex)</f>
        <v>0</v>
      </c>
      <c r="BP521" s="49">
        <f ca="1">BP468*(HM_ZD_Moho!CA_NOC_WI)-(HM_ZD_Moho!CA_NOC_CI_devex+HM_ZD_Moho!CA_NOC_CI_expex)</f>
        <v>0</v>
      </c>
      <c r="BQ521" s="49">
        <f ca="1">BQ468*(HM_ZD_Moho!CA_NOC_WI)-(HM_ZD_Moho!CA_NOC_CI_devex+HM_ZD_Moho!CA_NOC_CI_expex)</f>
        <v>0</v>
      </c>
      <c r="BR521" s="49">
        <f ca="1">BR468*(HM_ZD_Moho!CA_NOC_WI)-(HM_ZD_Moho!CA_NOC_CI_devex+HM_ZD_Moho!CA_NOC_CI_expex)</f>
        <v>0</v>
      </c>
      <c r="BS521" s="49">
        <f ca="1">BS468*(HM_ZD_Moho!CA_NOC_WI)-(HM_ZD_Moho!CA_NOC_CI_devex+HM_ZD_Moho!CA_NOC_CI_expex)</f>
        <v>0</v>
      </c>
    </row>
    <row r="522" spans="3:71" outlineLevel="1" x14ac:dyDescent="0.2">
      <c r="J522" s="26"/>
      <c r="L522" s="55"/>
      <c r="M522" s="55"/>
      <c r="N522" s="55"/>
      <c r="O522" s="55"/>
      <c r="P522" s="55"/>
      <c r="Q522" s="55"/>
      <c r="R522" s="55"/>
      <c r="S522" s="55"/>
      <c r="T522" s="55"/>
      <c r="U522" s="55"/>
      <c r="V522" s="55"/>
      <c r="W522" s="55"/>
      <c r="X522" s="55"/>
      <c r="Y522" s="55"/>
      <c r="Z522" s="55"/>
      <c r="AA522" s="55"/>
      <c r="AB522" s="55"/>
      <c r="AC522" s="55"/>
      <c r="AD522" s="55"/>
      <c r="AE522" s="55"/>
      <c r="AF522" s="55"/>
      <c r="AG522" s="55"/>
      <c r="AH522" s="55"/>
      <c r="AI522" s="55"/>
      <c r="AJ522" s="55"/>
      <c r="AK522" s="55"/>
      <c r="AL522" s="55"/>
      <c r="AM522" s="55"/>
      <c r="AN522" s="55"/>
      <c r="AO522" s="55"/>
      <c r="AP522" s="55"/>
      <c r="AQ522" s="55"/>
      <c r="AR522" s="55"/>
      <c r="AS522" s="55"/>
      <c r="AT522" s="55"/>
      <c r="AU522" s="55"/>
      <c r="AV522" s="55"/>
      <c r="AW522" s="55"/>
      <c r="AX522" s="55"/>
      <c r="AY522" s="55"/>
      <c r="AZ522" s="55"/>
      <c r="BA522" s="55"/>
      <c r="BB522" s="55"/>
      <c r="BC522" s="55"/>
      <c r="BD522" s="55"/>
      <c r="BE522" s="55"/>
      <c r="BF522" s="55"/>
      <c r="BG522" s="55"/>
      <c r="BH522" s="55"/>
      <c r="BI522" s="55"/>
      <c r="BJ522" s="55"/>
      <c r="BK522" s="55"/>
      <c r="BL522" s="55"/>
      <c r="BM522" s="55"/>
      <c r="BN522" s="55"/>
      <c r="BO522" s="55"/>
      <c r="BP522" s="55"/>
      <c r="BQ522" s="55"/>
      <c r="BR522" s="55"/>
      <c r="BS522" s="55"/>
    </row>
    <row r="523" spans="3:71" outlineLevel="1" x14ac:dyDescent="0.2">
      <c r="C523" s="11" t="str">
        <f>HM_ZB_Nsoko!C509</f>
        <v>Abandon</v>
      </c>
      <c r="I523" s="30">
        <f t="shared" ca="1" si="254"/>
        <v>0</v>
      </c>
      <c r="J523" s="26" t="s">
        <v>148</v>
      </c>
      <c r="L523" s="49">
        <f ca="1">L470*HM_ZD_Moho!CA_NOC_WI</f>
        <v>0</v>
      </c>
      <c r="M523" s="49">
        <f ca="1">M470*HM_ZD_Moho!CA_NOC_WI</f>
        <v>0</v>
      </c>
      <c r="N523" s="49">
        <f ca="1">N470*HM_ZD_Moho!CA_NOC_WI</f>
        <v>0</v>
      </c>
      <c r="O523" s="49">
        <f ca="1">O470*HM_ZD_Moho!CA_NOC_WI</f>
        <v>0</v>
      </c>
      <c r="P523" s="49">
        <f ca="1">P470*HM_ZD_Moho!CA_NOC_WI</f>
        <v>0</v>
      </c>
      <c r="Q523" s="49">
        <f ca="1">Q470*HM_ZD_Moho!CA_NOC_WI</f>
        <v>0</v>
      </c>
      <c r="R523" s="49">
        <f ca="1">R470*HM_ZD_Moho!CA_NOC_WI</f>
        <v>0</v>
      </c>
      <c r="S523" s="49">
        <f ca="1">S470*HM_ZD_Moho!CA_NOC_WI</f>
        <v>0</v>
      </c>
      <c r="T523" s="49">
        <f ca="1">T470*HM_ZD_Moho!CA_NOC_WI</f>
        <v>0</v>
      </c>
      <c r="U523" s="49">
        <f ca="1">U470*HM_ZD_Moho!CA_NOC_WI</f>
        <v>0</v>
      </c>
      <c r="V523" s="49">
        <f ca="1">V470*HM_ZD_Moho!CA_NOC_WI</f>
        <v>0</v>
      </c>
      <c r="W523" s="49">
        <f ca="1">W470*HM_ZD_Moho!CA_NOC_WI</f>
        <v>0</v>
      </c>
      <c r="X523" s="49">
        <f ca="1">X470*HM_ZD_Moho!CA_NOC_WI</f>
        <v>0</v>
      </c>
      <c r="Y523" s="49">
        <f ca="1">Y470*HM_ZD_Moho!CA_NOC_WI</f>
        <v>0</v>
      </c>
      <c r="Z523" s="49">
        <f ca="1">Z470*HM_ZD_Moho!CA_NOC_WI</f>
        <v>0</v>
      </c>
      <c r="AA523" s="49">
        <f ca="1">AA470*HM_ZD_Moho!CA_NOC_WI</f>
        <v>0</v>
      </c>
      <c r="AB523" s="49">
        <f ca="1">AB470*HM_ZD_Moho!CA_NOC_WI</f>
        <v>0</v>
      </c>
      <c r="AC523" s="49">
        <f ca="1">AC470*HM_ZD_Moho!CA_NOC_WI</f>
        <v>0</v>
      </c>
      <c r="AD523" s="49">
        <f ca="1">AD470*HM_ZD_Moho!CA_NOC_WI</f>
        <v>0</v>
      </c>
      <c r="AE523" s="49">
        <f ca="1">AE470*HM_ZD_Moho!CA_NOC_WI</f>
        <v>0</v>
      </c>
      <c r="AF523" s="49">
        <f ca="1">AF470*HM_ZD_Moho!CA_NOC_WI</f>
        <v>0</v>
      </c>
      <c r="AG523" s="49">
        <f ca="1">AG470*HM_ZD_Moho!CA_NOC_WI</f>
        <v>0</v>
      </c>
      <c r="AH523" s="49">
        <f ca="1">AH470*HM_ZD_Moho!CA_NOC_WI</f>
        <v>0</v>
      </c>
      <c r="AI523" s="49">
        <f ca="1">AI470*HM_ZD_Moho!CA_NOC_WI</f>
        <v>0</v>
      </c>
      <c r="AJ523" s="49">
        <f ca="1">AJ470*HM_ZD_Moho!CA_NOC_WI</f>
        <v>0</v>
      </c>
      <c r="AK523" s="49">
        <f ca="1">AK470*HM_ZD_Moho!CA_NOC_WI</f>
        <v>0</v>
      </c>
      <c r="AL523" s="49">
        <f ca="1">AL470*HM_ZD_Moho!CA_NOC_WI</f>
        <v>0</v>
      </c>
      <c r="AM523" s="49">
        <f ca="1">AM470*HM_ZD_Moho!CA_NOC_WI</f>
        <v>0</v>
      </c>
      <c r="AN523" s="49">
        <f ca="1">AN470*HM_ZD_Moho!CA_NOC_WI</f>
        <v>0</v>
      </c>
      <c r="AO523" s="49">
        <f ca="1">AO470*HM_ZD_Moho!CA_NOC_WI</f>
        <v>0</v>
      </c>
      <c r="AP523" s="49">
        <f ca="1">AP470*HM_ZD_Moho!CA_NOC_WI</f>
        <v>0</v>
      </c>
      <c r="AQ523" s="49">
        <f ca="1">AQ470*HM_ZD_Moho!CA_NOC_WI</f>
        <v>0</v>
      </c>
      <c r="AR523" s="49">
        <f ca="1">AR470*HM_ZD_Moho!CA_NOC_WI</f>
        <v>0</v>
      </c>
      <c r="AS523" s="49">
        <f ca="1">AS470*HM_ZD_Moho!CA_NOC_WI</f>
        <v>0</v>
      </c>
      <c r="AT523" s="49">
        <f ca="1">AT470*HM_ZD_Moho!CA_NOC_WI</f>
        <v>0</v>
      </c>
      <c r="AU523" s="49">
        <f ca="1">AU470*HM_ZD_Moho!CA_NOC_WI</f>
        <v>0</v>
      </c>
      <c r="AV523" s="49">
        <f ca="1">AV470*HM_ZD_Moho!CA_NOC_WI</f>
        <v>0</v>
      </c>
      <c r="AW523" s="49">
        <f ca="1">AW470*HM_ZD_Moho!CA_NOC_WI</f>
        <v>0</v>
      </c>
      <c r="AX523" s="49">
        <f ca="1">AX470*HM_ZD_Moho!CA_NOC_WI</f>
        <v>0</v>
      </c>
      <c r="AY523" s="49">
        <f ca="1">AY470*HM_ZD_Moho!CA_NOC_WI</f>
        <v>0</v>
      </c>
      <c r="AZ523" s="49">
        <f ca="1">AZ470*HM_ZD_Moho!CA_NOC_WI</f>
        <v>0</v>
      </c>
      <c r="BA523" s="49">
        <f ca="1">BA470*HM_ZD_Moho!CA_NOC_WI</f>
        <v>0</v>
      </c>
      <c r="BB523" s="49">
        <f ca="1">BB470*HM_ZD_Moho!CA_NOC_WI</f>
        <v>0</v>
      </c>
      <c r="BC523" s="49">
        <f ca="1">BC470*HM_ZD_Moho!CA_NOC_WI</f>
        <v>0</v>
      </c>
      <c r="BD523" s="49">
        <f ca="1">BD470*HM_ZD_Moho!CA_NOC_WI</f>
        <v>0</v>
      </c>
      <c r="BE523" s="49">
        <f ca="1">BE470*HM_ZD_Moho!CA_NOC_WI</f>
        <v>0</v>
      </c>
      <c r="BF523" s="49">
        <f ca="1">BF470*HM_ZD_Moho!CA_NOC_WI</f>
        <v>0</v>
      </c>
      <c r="BG523" s="49">
        <f ca="1">BG470*HM_ZD_Moho!CA_NOC_WI</f>
        <v>0</v>
      </c>
      <c r="BH523" s="49">
        <f ca="1">BH470*HM_ZD_Moho!CA_NOC_WI</f>
        <v>0</v>
      </c>
      <c r="BI523" s="49">
        <f ca="1">BI470*HM_ZD_Moho!CA_NOC_WI</f>
        <v>0</v>
      </c>
      <c r="BJ523" s="49">
        <f ca="1">BJ470*HM_ZD_Moho!CA_NOC_WI</f>
        <v>0</v>
      </c>
      <c r="BK523" s="49">
        <f ca="1">BK470*HM_ZD_Moho!CA_NOC_WI</f>
        <v>0</v>
      </c>
      <c r="BL523" s="49">
        <f ca="1">BL470*HM_ZD_Moho!CA_NOC_WI</f>
        <v>0</v>
      </c>
      <c r="BM523" s="49">
        <f ca="1">BM470*HM_ZD_Moho!CA_NOC_WI</f>
        <v>0</v>
      </c>
      <c r="BN523" s="49">
        <f ca="1">BN470*HM_ZD_Moho!CA_NOC_WI</f>
        <v>0</v>
      </c>
      <c r="BO523" s="49">
        <f ca="1">BO470*HM_ZD_Moho!CA_NOC_WI</f>
        <v>0</v>
      </c>
      <c r="BP523" s="49">
        <f ca="1">BP470*HM_ZD_Moho!CA_NOC_WI</f>
        <v>0</v>
      </c>
      <c r="BQ523" s="49">
        <f ca="1">BQ470*HM_ZD_Moho!CA_NOC_WI</f>
        <v>0</v>
      </c>
      <c r="BR523" s="49">
        <f ca="1">BR470*HM_ZD_Moho!CA_NOC_WI</f>
        <v>0</v>
      </c>
      <c r="BS523" s="49">
        <f ca="1">BS470*HM_ZD_Moho!CA_NOC_WI</f>
        <v>0</v>
      </c>
    </row>
    <row r="524" spans="3:71" outlineLevel="1" x14ac:dyDescent="0.2">
      <c r="J524" s="26"/>
      <c r="L524" s="55"/>
      <c r="M524" s="55"/>
      <c r="N524" s="55"/>
      <c r="O524" s="55"/>
      <c r="P524" s="55"/>
      <c r="Q524" s="55"/>
      <c r="R524" s="55"/>
      <c r="S524" s="55"/>
      <c r="T524" s="55"/>
      <c r="U524" s="55"/>
      <c r="V524" s="55"/>
      <c r="W524" s="55"/>
      <c r="X524" s="55"/>
      <c r="Y524" s="55"/>
      <c r="Z524" s="55"/>
      <c r="AA524" s="55"/>
      <c r="AB524" s="55"/>
      <c r="AC524" s="55"/>
      <c r="AD524" s="55"/>
      <c r="AE524" s="55"/>
      <c r="AF524" s="55"/>
      <c r="AG524" s="55"/>
      <c r="AH524" s="55"/>
      <c r="AI524" s="55"/>
      <c r="AJ524" s="55"/>
      <c r="AK524" s="55"/>
      <c r="AL524" s="55"/>
      <c r="AM524" s="55"/>
      <c r="AN524" s="55"/>
      <c r="AO524" s="55"/>
      <c r="AP524" s="55"/>
      <c r="AQ524" s="55"/>
      <c r="AR524" s="55"/>
      <c r="AS524" s="55"/>
      <c r="AT524" s="55"/>
      <c r="AU524" s="55"/>
      <c r="AV524" s="55"/>
      <c r="AW524" s="55"/>
      <c r="AX524" s="55"/>
      <c r="AY524" s="55"/>
      <c r="AZ524" s="55"/>
      <c r="BA524" s="55"/>
      <c r="BB524" s="55"/>
      <c r="BC524" s="55"/>
      <c r="BD524" s="55"/>
      <c r="BE524" s="55"/>
      <c r="BF524" s="55"/>
      <c r="BG524" s="55"/>
      <c r="BH524" s="55"/>
      <c r="BI524" s="55"/>
      <c r="BJ524" s="55"/>
      <c r="BK524" s="55"/>
      <c r="BL524" s="55"/>
      <c r="BM524" s="55"/>
      <c r="BN524" s="55"/>
      <c r="BO524" s="55"/>
      <c r="BP524" s="55"/>
      <c r="BQ524" s="55"/>
      <c r="BR524" s="55"/>
      <c r="BS524" s="55"/>
    </row>
    <row r="525" spans="3:71" outlineLevel="1" x14ac:dyDescent="0.2">
      <c r="C525" s="11" t="str">
        <f>HM_ZB_Nsoko!C511</f>
        <v>Impôt sur le revenu</v>
      </c>
      <c r="I525" s="30">
        <f t="shared" ca="1" si="254"/>
        <v>0</v>
      </c>
      <c r="J525" s="26" t="s">
        <v>148</v>
      </c>
      <c r="L525" s="49">
        <f ca="1">L472*HM_ZD_Moho!CA_NOC_WI</f>
        <v>0</v>
      </c>
      <c r="M525" s="49">
        <f ca="1">M472*HM_ZD_Moho!CA_NOC_WI</f>
        <v>0</v>
      </c>
      <c r="N525" s="49">
        <f ca="1">N472*HM_ZD_Moho!CA_NOC_WI</f>
        <v>0</v>
      </c>
      <c r="O525" s="49">
        <f ca="1">O472*HM_ZD_Moho!CA_NOC_WI</f>
        <v>0</v>
      </c>
      <c r="P525" s="49">
        <f ca="1">P472*HM_ZD_Moho!CA_NOC_WI</f>
        <v>0</v>
      </c>
      <c r="Q525" s="49">
        <f ca="1">Q472*HM_ZD_Moho!CA_NOC_WI</f>
        <v>0</v>
      </c>
      <c r="R525" s="49">
        <f ca="1">R472*HM_ZD_Moho!CA_NOC_WI</f>
        <v>0</v>
      </c>
      <c r="S525" s="49">
        <f ca="1">S472*HM_ZD_Moho!CA_NOC_WI</f>
        <v>0</v>
      </c>
      <c r="T525" s="49">
        <f ca="1">T472*HM_ZD_Moho!CA_NOC_WI</f>
        <v>0</v>
      </c>
      <c r="U525" s="49">
        <f ca="1">U472*HM_ZD_Moho!CA_NOC_WI</f>
        <v>0</v>
      </c>
      <c r="V525" s="49">
        <f ca="1">V472*HM_ZD_Moho!CA_NOC_WI</f>
        <v>0</v>
      </c>
      <c r="W525" s="49">
        <f ca="1">W472*HM_ZD_Moho!CA_NOC_WI</f>
        <v>0</v>
      </c>
      <c r="X525" s="49">
        <f ca="1">X472*HM_ZD_Moho!CA_NOC_WI</f>
        <v>0</v>
      </c>
      <c r="Y525" s="49">
        <f ca="1">Y472*HM_ZD_Moho!CA_NOC_WI</f>
        <v>0</v>
      </c>
      <c r="Z525" s="49">
        <f ca="1">Z472*HM_ZD_Moho!CA_NOC_WI</f>
        <v>0</v>
      </c>
      <c r="AA525" s="49">
        <f ca="1">AA472*HM_ZD_Moho!CA_NOC_WI</f>
        <v>0</v>
      </c>
      <c r="AB525" s="49">
        <f ca="1">AB472*HM_ZD_Moho!CA_NOC_WI</f>
        <v>0</v>
      </c>
      <c r="AC525" s="49">
        <f ca="1">AC472*HM_ZD_Moho!CA_NOC_WI</f>
        <v>0</v>
      </c>
      <c r="AD525" s="49">
        <f ca="1">AD472*HM_ZD_Moho!CA_NOC_WI</f>
        <v>0</v>
      </c>
      <c r="AE525" s="49">
        <f ca="1">AE472*HM_ZD_Moho!CA_NOC_WI</f>
        <v>0</v>
      </c>
      <c r="AF525" s="49">
        <f ca="1">AF472*HM_ZD_Moho!CA_NOC_WI</f>
        <v>0</v>
      </c>
      <c r="AG525" s="49">
        <f ca="1">AG472*HM_ZD_Moho!CA_NOC_WI</f>
        <v>0</v>
      </c>
      <c r="AH525" s="49">
        <f ca="1">AH472*HM_ZD_Moho!CA_NOC_WI</f>
        <v>0</v>
      </c>
      <c r="AI525" s="49">
        <f ca="1">AI472*HM_ZD_Moho!CA_NOC_WI</f>
        <v>0</v>
      </c>
      <c r="AJ525" s="49">
        <f ca="1">AJ472*HM_ZD_Moho!CA_NOC_WI</f>
        <v>0</v>
      </c>
      <c r="AK525" s="49">
        <f ca="1">AK472*HM_ZD_Moho!CA_NOC_WI</f>
        <v>0</v>
      </c>
      <c r="AL525" s="49">
        <f ca="1">AL472*HM_ZD_Moho!CA_NOC_WI</f>
        <v>0</v>
      </c>
      <c r="AM525" s="49">
        <f ca="1">AM472*HM_ZD_Moho!CA_NOC_WI</f>
        <v>0</v>
      </c>
      <c r="AN525" s="49">
        <f ca="1">AN472*HM_ZD_Moho!CA_NOC_WI</f>
        <v>0</v>
      </c>
      <c r="AO525" s="49">
        <f ca="1">AO472*HM_ZD_Moho!CA_NOC_WI</f>
        <v>0</v>
      </c>
      <c r="AP525" s="49">
        <f ca="1">AP472*HM_ZD_Moho!CA_NOC_WI</f>
        <v>0</v>
      </c>
      <c r="AQ525" s="49">
        <f ca="1">AQ472*HM_ZD_Moho!CA_NOC_WI</f>
        <v>0</v>
      </c>
      <c r="AR525" s="49">
        <f ca="1">AR472*HM_ZD_Moho!CA_NOC_WI</f>
        <v>0</v>
      </c>
      <c r="AS525" s="49">
        <f ca="1">AS472*HM_ZD_Moho!CA_NOC_WI</f>
        <v>0</v>
      </c>
      <c r="AT525" s="49">
        <f ca="1">AT472*HM_ZD_Moho!CA_NOC_WI</f>
        <v>0</v>
      </c>
      <c r="AU525" s="49">
        <f ca="1">AU472*HM_ZD_Moho!CA_NOC_WI</f>
        <v>0</v>
      </c>
      <c r="AV525" s="49">
        <f ca="1">AV472*HM_ZD_Moho!CA_NOC_WI</f>
        <v>0</v>
      </c>
      <c r="AW525" s="49">
        <f ca="1">AW472*HM_ZD_Moho!CA_NOC_WI</f>
        <v>0</v>
      </c>
      <c r="AX525" s="49">
        <f ca="1">AX472*HM_ZD_Moho!CA_NOC_WI</f>
        <v>0</v>
      </c>
      <c r="AY525" s="49">
        <f ca="1">AY472*HM_ZD_Moho!CA_NOC_WI</f>
        <v>0</v>
      </c>
      <c r="AZ525" s="49">
        <f ca="1">AZ472*HM_ZD_Moho!CA_NOC_WI</f>
        <v>0</v>
      </c>
      <c r="BA525" s="49">
        <f ca="1">BA472*HM_ZD_Moho!CA_NOC_WI</f>
        <v>0</v>
      </c>
      <c r="BB525" s="49">
        <f ca="1">BB472*HM_ZD_Moho!CA_NOC_WI</f>
        <v>0</v>
      </c>
      <c r="BC525" s="49">
        <f ca="1">BC472*HM_ZD_Moho!CA_NOC_WI</f>
        <v>0</v>
      </c>
      <c r="BD525" s="49">
        <f ca="1">BD472*HM_ZD_Moho!CA_NOC_WI</f>
        <v>0</v>
      </c>
      <c r="BE525" s="49">
        <f ca="1">BE472*HM_ZD_Moho!CA_NOC_WI</f>
        <v>0</v>
      </c>
      <c r="BF525" s="49">
        <f ca="1">BF472*HM_ZD_Moho!CA_NOC_WI</f>
        <v>0</v>
      </c>
      <c r="BG525" s="49">
        <f ca="1">BG472*HM_ZD_Moho!CA_NOC_WI</f>
        <v>0</v>
      </c>
      <c r="BH525" s="49">
        <f ca="1">BH472*HM_ZD_Moho!CA_NOC_WI</f>
        <v>0</v>
      </c>
      <c r="BI525" s="49">
        <f ca="1">BI472*HM_ZD_Moho!CA_NOC_WI</f>
        <v>0</v>
      </c>
      <c r="BJ525" s="49">
        <f ca="1">BJ472*HM_ZD_Moho!CA_NOC_WI</f>
        <v>0</v>
      </c>
      <c r="BK525" s="49">
        <f ca="1">BK472*HM_ZD_Moho!CA_NOC_WI</f>
        <v>0</v>
      </c>
      <c r="BL525" s="49">
        <f ca="1">BL472*HM_ZD_Moho!CA_NOC_WI</f>
        <v>0</v>
      </c>
      <c r="BM525" s="49">
        <f ca="1">BM472*HM_ZD_Moho!CA_NOC_WI</f>
        <v>0</v>
      </c>
      <c r="BN525" s="49">
        <f ca="1">BN472*HM_ZD_Moho!CA_NOC_WI</f>
        <v>0</v>
      </c>
      <c r="BO525" s="49">
        <f ca="1">BO472*HM_ZD_Moho!CA_NOC_WI</f>
        <v>0</v>
      </c>
      <c r="BP525" s="49">
        <f ca="1">BP472*HM_ZD_Moho!CA_NOC_WI</f>
        <v>0</v>
      </c>
      <c r="BQ525" s="49">
        <f ca="1">BQ472*HM_ZD_Moho!CA_NOC_WI</f>
        <v>0</v>
      </c>
      <c r="BR525" s="49">
        <f ca="1">BR472*HM_ZD_Moho!CA_NOC_WI</f>
        <v>0</v>
      </c>
      <c r="BS525" s="49">
        <f ca="1">BS472*HM_ZD_Moho!CA_NOC_WI</f>
        <v>0</v>
      </c>
    </row>
    <row r="526" spans="3:71" outlineLevel="1" x14ac:dyDescent="0.2">
      <c r="J526" s="26"/>
      <c r="L526" s="55"/>
      <c r="M526" s="55"/>
      <c r="N526" s="55"/>
      <c r="O526" s="55"/>
      <c r="P526" s="55"/>
      <c r="Q526" s="55"/>
      <c r="R526" s="55"/>
      <c r="S526" s="55"/>
      <c r="T526" s="55"/>
      <c r="U526" s="55"/>
      <c r="V526" s="55"/>
      <c r="W526" s="55"/>
      <c r="X526" s="55"/>
      <c r="Y526" s="55"/>
      <c r="Z526" s="55"/>
      <c r="AA526" s="55"/>
      <c r="AB526" s="55"/>
      <c r="AC526" s="55"/>
      <c r="AD526" s="55"/>
      <c r="AE526" s="55"/>
      <c r="AF526" s="55"/>
      <c r="AG526" s="55"/>
      <c r="AH526" s="55"/>
      <c r="AI526" s="55"/>
      <c r="AJ526" s="55"/>
      <c r="AK526" s="55"/>
      <c r="AL526" s="55"/>
      <c r="AM526" s="55"/>
      <c r="AN526" s="55"/>
      <c r="AO526" s="55"/>
      <c r="AP526" s="55"/>
      <c r="AQ526" s="55"/>
      <c r="AR526" s="55"/>
      <c r="AS526" s="55"/>
      <c r="AT526" s="55"/>
      <c r="AU526" s="55"/>
      <c r="AV526" s="55"/>
      <c r="AW526" s="55"/>
      <c r="AX526" s="55"/>
      <c r="AY526" s="55"/>
      <c r="AZ526" s="55"/>
      <c r="BA526" s="55"/>
      <c r="BB526" s="55"/>
      <c r="BC526" s="55"/>
      <c r="BD526" s="55"/>
      <c r="BE526" s="55"/>
      <c r="BF526" s="55"/>
      <c r="BG526" s="55"/>
      <c r="BH526" s="55"/>
      <c r="BI526" s="55"/>
      <c r="BJ526" s="55"/>
      <c r="BK526" s="55"/>
      <c r="BL526" s="55"/>
      <c r="BM526" s="55"/>
      <c r="BN526" s="55"/>
      <c r="BO526" s="55"/>
      <c r="BP526" s="55"/>
      <c r="BQ526" s="55"/>
      <c r="BR526" s="55"/>
      <c r="BS526" s="55"/>
    </row>
    <row r="527" spans="3:71" outlineLevel="1" x14ac:dyDescent="0.2">
      <c r="C527" s="11" t="str">
        <f>HM_ZB_Nsoko!C513</f>
        <v>Impôts supplémentaires</v>
      </c>
      <c r="I527" s="30">
        <f t="shared" ca="1" si="254"/>
        <v>0</v>
      </c>
      <c r="J527" s="26" t="s">
        <v>148</v>
      </c>
      <c r="L527" s="49">
        <f ca="1">L474*HM_ZD_Moho!CA_NOC_WI</f>
        <v>0</v>
      </c>
      <c r="M527" s="49">
        <f ca="1">M474*HM_ZD_Moho!CA_NOC_WI</f>
        <v>0</v>
      </c>
      <c r="N527" s="49">
        <f ca="1">N474*HM_ZD_Moho!CA_NOC_WI</f>
        <v>0</v>
      </c>
      <c r="O527" s="49">
        <f ca="1">O474*HM_ZD_Moho!CA_NOC_WI</f>
        <v>0</v>
      </c>
      <c r="P527" s="49">
        <f ca="1">P474*HM_ZD_Moho!CA_NOC_WI</f>
        <v>0</v>
      </c>
      <c r="Q527" s="49">
        <f ca="1">Q474*HM_ZD_Moho!CA_NOC_WI</f>
        <v>0</v>
      </c>
      <c r="R527" s="49">
        <f ca="1">R474*HM_ZD_Moho!CA_NOC_WI</f>
        <v>0</v>
      </c>
      <c r="S527" s="49">
        <f ca="1">S474*HM_ZD_Moho!CA_NOC_WI</f>
        <v>0</v>
      </c>
      <c r="T527" s="49">
        <f ca="1">T474*HM_ZD_Moho!CA_NOC_WI</f>
        <v>0</v>
      </c>
      <c r="U527" s="49">
        <f ca="1">U474*HM_ZD_Moho!CA_NOC_WI</f>
        <v>0</v>
      </c>
      <c r="V527" s="49">
        <f ca="1">V474*HM_ZD_Moho!CA_NOC_WI</f>
        <v>0</v>
      </c>
      <c r="W527" s="49">
        <f ca="1">W474*HM_ZD_Moho!CA_NOC_WI</f>
        <v>0</v>
      </c>
      <c r="X527" s="49">
        <f ca="1">X474*HM_ZD_Moho!CA_NOC_WI</f>
        <v>0</v>
      </c>
      <c r="Y527" s="49">
        <f ca="1">Y474*HM_ZD_Moho!CA_NOC_WI</f>
        <v>0</v>
      </c>
      <c r="Z527" s="49">
        <f ca="1">Z474*HM_ZD_Moho!CA_NOC_WI</f>
        <v>0</v>
      </c>
      <c r="AA527" s="49">
        <f ca="1">AA474*HM_ZD_Moho!CA_NOC_WI</f>
        <v>0</v>
      </c>
      <c r="AB527" s="49">
        <f ca="1">AB474*HM_ZD_Moho!CA_NOC_WI</f>
        <v>0</v>
      </c>
      <c r="AC527" s="49">
        <f ca="1">AC474*HM_ZD_Moho!CA_NOC_WI</f>
        <v>0</v>
      </c>
      <c r="AD527" s="49">
        <f ca="1">AD474*HM_ZD_Moho!CA_NOC_WI</f>
        <v>0</v>
      </c>
      <c r="AE527" s="49">
        <f ca="1">AE474*HM_ZD_Moho!CA_NOC_WI</f>
        <v>0</v>
      </c>
      <c r="AF527" s="49">
        <f ca="1">AF474*HM_ZD_Moho!CA_NOC_WI</f>
        <v>0</v>
      </c>
      <c r="AG527" s="49">
        <f ca="1">AG474*HM_ZD_Moho!CA_NOC_WI</f>
        <v>0</v>
      </c>
      <c r="AH527" s="49">
        <f ca="1">AH474*HM_ZD_Moho!CA_NOC_WI</f>
        <v>0</v>
      </c>
      <c r="AI527" s="49">
        <f ca="1">AI474*HM_ZD_Moho!CA_NOC_WI</f>
        <v>0</v>
      </c>
      <c r="AJ527" s="49">
        <f ca="1">AJ474*HM_ZD_Moho!CA_NOC_WI</f>
        <v>0</v>
      </c>
      <c r="AK527" s="49">
        <f ca="1">AK474*HM_ZD_Moho!CA_NOC_WI</f>
        <v>0</v>
      </c>
      <c r="AL527" s="49">
        <f ca="1">AL474*HM_ZD_Moho!CA_NOC_WI</f>
        <v>0</v>
      </c>
      <c r="AM527" s="49">
        <f ca="1">AM474*HM_ZD_Moho!CA_NOC_WI</f>
        <v>0</v>
      </c>
      <c r="AN527" s="49">
        <f ca="1">AN474*HM_ZD_Moho!CA_NOC_WI</f>
        <v>0</v>
      </c>
      <c r="AO527" s="49">
        <f ca="1">AO474*HM_ZD_Moho!CA_NOC_WI</f>
        <v>0</v>
      </c>
      <c r="AP527" s="49">
        <f ca="1">AP474*HM_ZD_Moho!CA_NOC_WI</f>
        <v>0</v>
      </c>
      <c r="AQ527" s="49">
        <f ca="1">AQ474*HM_ZD_Moho!CA_NOC_WI</f>
        <v>0</v>
      </c>
      <c r="AR527" s="49">
        <f ca="1">AR474*HM_ZD_Moho!CA_NOC_WI</f>
        <v>0</v>
      </c>
      <c r="AS527" s="49">
        <f ca="1">AS474*HM_ZD_Moho!CA_NOC_WI</f>
        <v>0</v>
      </c>
      <c r="AT527" s="49">
        <f ca="1">AT474*HM_ZD_Moho!CA_NOC_WI</f>
        <v>0</v>
      </c>
      <c r="AU527" s="49">
        <f ca="1">AU474*HM_ZD_Moho!CA_NOC_WI</f>
        <v>0</v>
      </c>
      <c r="AV527" s="49">
        <f ca="1">AV474*HM_ZD_Moho!CA_NOC_WI</f>
        <v>0</v>
      </c>
      <c r="AW527" s="49">
        <f ca="1">AW474*HM_ZD_Moho!CA_NOC_WI</f>
        <v>0</v>
      </c>
      <c r="AX527" s="49">
        <f ca="1">AX474*HM_ZD_Moho!CA_NOC_WI</f>
        <v>0</v>
      </c>
      <c r="AY527" s="49">
        <f ca="1">AY474*HM_ZD_Moho!CA_NOC_WI</f>
        <v>0</v>
      </c>
      <c r="AZ527" s="49">
        <f ca="1">AZ474*HM_ZD_Moho!CA_NOC_WI</f>
        <v>0</v>
      </c>
      <c r="BA527" s="49">
        <f ca="1">BA474*HM_ZD_Moho!CA_NOC_WI</f>
        <v>0</v>
      </c>
      <c r="BB527" s="49">
        <f ca="1">BB474*HM_ZD_Moho!CA_NOC_WI</f>
        <v>0</v>
      </c>
      <c r="BC527" s="49">
        <f ca="1">BC474*HM_ZD_Moho!CA_NOC_WI</f>
        <v>0</v>
      </c>
      <c r="BD527" s="49">
        <f ca="1">BD474*HM_ZD_Moho!CA_NOC_WI</f>
        <v>0</v>
      </c>
      <c r="BE527" s="49">
        <f ca="1">BE474*HM_ZD_Moho!CA_NOC_WI</f>
        <v>0</v>
      </c>
      <c r="BF527" s="49">
        <f ca="1">BF474*HM_ZD_Moho!CA_NOC_WI</f>
        <v>0</v>
      </c>
      <c r="BG527" s="49">
        <f ca="1">BG474*HM_ZD_Moho!CA_NOC_WI</f>
        <v>0</v>
      </c>
      <c r="BH527" s="49">
        <f ca="1">BH474*HM_ZD_Moho!CA_NOC_WI</f>
        <v>0</v>
      </c>
      <c r="BI527" s="49">
        <f ca="1">BI474*HM_ZD_Moho!CA_NOC_WI</f>
        <v>0</v>
      </c>
      <c r="BJ527" s="49">
        <f ca="1">BJ474*HM_ZD_Moho!CA_NOC_WI</f>
        <v>0</v>
      </c>
      <c r="BK527" s="49">
        <f ca="1">BK474*HM_ZD_Moho!CA_NOC_WI</f>
        <v>0</v>
      </c>
      <c r="BL527" s="49">
        <f ca="1">BL474*HM_ZD_Moho!CA_NOC_WI</f>
        <v>0</v>
      </c>
      <c r="BM527" s="49">
        <f ca="1">BM474*HM_ZD_Moho!CA_NOC_WI</f>
        <v>0</v>
      </c>
      <c r="BN527" s="49">
        <f ca="1">BN474*HM_ZD_Moho!CA_NOC_WI</f>
        <v>0</v>
      </c>
      <c r="BO527" s="49">
        <f ca="1">BO474*HM_ZD_Moho!CA_NOC_WI</f>
        <v>0</v>
      </c>
      <c r="BP527" s="49">
        <f ca="1">BP474*HM_ZD_Moho!CA_NOC_WI</f>
        <v>0</v>
      </c>
      <c r="BQ527" s="49">
        <f ca="1">BQ474*HM_ZD_Moho!CA_NOC_WI</f>
        <v>0</v>
      </c>
      <c r="BR527" s="49">
        <f ca="1">BR474*HM_ZD_Moho!CA_NOC_WI</f>
        <v>0</v>
      </c>
      <c r="BS527" s="49">
        <f ca="1">BS474*HM_ZD_Moho!CA_NOC_WI</f>
        <v>0</v>
      </c>
    </row>
    <row r="528" spans="3:71" outlineLevel="1" x14ac:dyDescent="0.2">
      <c r="J528" s="26"/>
      <c r="L528" s="55"/>
      <c r="M528" s="55"/>
      <c r="N528" s="55"/>
      <c r="O528" s="55"/>
      <c r="P528" s="55"/>
      <c r="Q528" s="55"/>
      <c r="R528" s="55"/>
      <c r="S528" s="55"/>
      <c r="T528" s="55"/>
      <c r="U528" s="55"/>
      <c r="V528" s="55"/>
      <c r="W528" s="55"/>
      <c r="X528" s="55"/>
      <c r="Y528" s="55"/>
      <c r="Z528" s="55"/>
      <c r="AA528" s="55"/>
      <c r="AB528" s="55"/>
      <c r="AC528" s="55"/>
      <c r="AD528" s="55"/>
      <c r="AE528" s="55"/>
      <c r="AF528" s="55"/>
      <c r="AG528" s="55"/>
      <c r="AH528" s="55"/>
      <c r="AI528" s="55"/>
      <c r="AJ528" s="55"/>
      <c r="AK528" s="55"/>
      <c r="AL528" s="55"/>
      <c r="AM528" s="55"/>
      <c r="AN528" s="55"/>
      <c r="AO528" s="55"/>
      <c r="AP528" s="55"/>
      <c r="AQ528" s="55"/>
      <c r="AR528" s="55"/>
      <c r="AS528" s="55"/>
      <c r="AT528" s="55"/>
      <c r="AU528" s="55"/>
      <c r="AV528" s="55"/>
      <c r="AW528" s="55"/>
      <c r="AX528" s="55"/>
      <c r="AY528" s="55"/>
      <c r="AZ528" s="55"/>
      <c r="BA528" s="55"/>
      <c r="BB528" s="55"/>
      <c r="BC528" s="55"/>
      <c r="BD528" s="55"/>
      <c r="BE528" s="55"/>
      <c r="BF528" s="55"/>
      <c r="BG528" s="55"/>
      <c r="BH528" s="55"/>
      <c r="BI528" s="55"/>
      <c r="BJ528" s="55"/>
      <c r="BK528" s="55"/>
      <c r="BL528" s="55"/>
      <c r="BM528" s="55"/>
      <c r="BN528" s="55"/>
      <c r="BO528" s="55"/>
      <c r="BP528" s="55"/>
      <c r="BQ528" s="55"/>
      <c r="BR528" s="55"/>
      <c r="BS528" s="55"/>
    </row>
    <row r="529" spans="3:71" outlineLevel="1" x14ac:dyDescent="0.2">
      <c r="C529" s="11" t="str">
        <f>HM_ZB_Nsoko!C515</f>
        <v>Flux de trésorerie après impôts</v>
      </c>
      <c r="F529" s="64" t="b">
        <f ca="1">ROUND(I529+I495-I476,2)=0</f>
        <v>1</v>
      </c>
      <c r="H529" s="7" t="s">
        <v>492</v>
      </c>
      <c r="I529" s="30">
        <f t="shared" ca="1" si="254"/>
        <v>1052.2399354643437</v>
      </c>
      <c r="J529" s="26" t="s">
        <v>148</v>
      </c>
      <c r="K529" s="7" t="s">
        <v>471</v>
      </c>
      <c r="L529" s="49">
        <f ca="1">L513-L515-L517-L519-L521-L523-L525-L527</f>
        <v>-2.8652707112017968</v>
      </c>
      <c r="M529" s="49">
        <f t="shared" ref="M529:BS529" ca="1" si="255">M513-M515-M517-M519-M521-M523-M525-M527</f>
        <v>-10.561576351753315</v>
      </c>
      <c r="N529" s="49">
        <f t="shared" ca="1" si="255"/>
        <v>-21.320887711528123</v>
      </c>
      <c r="O529" s="49">
        <f t="shared" ca="1" si="255"/>
        <v>-52.44894359387137</v>
      </c>
      <c r="P529" s="49">
        <f t="shared" ca="1" si="255"/>
        <v>-79.44321188533182</v>
      </c>
      <c r="Q529" s="49">
        <f t="shared" ca="1" si="255"/>
        <v>65.640348415391287</v>
      </c>
      <c r="R529" s="49">
        <f t="shared" ca="1" si="255"/>
        <v>57.8430209524983</v>
      </c>
      <c r="S529" s="49">
        <f t="shared" ca="1" si="255"/>
        <v>16.830519747937494</v>
      </c>
      <c r="T529" s="49">
        <f t="shared" ca="1" si="255"/>
        <v>48.952772631835771</v>
      </c>
      <c r="U529" s="49">
        <f t="shared" ca="1" si="255"/>
        <v>255.82180221725122</v>
      </c>
      <c r="V529" s="49">
        <f t="shared" ca="1" si="255"/>
        <v>306.51567254918376</v>
      </c>
      <c r="W529" s="49">
        <f t="shared" ca="1" si="255"/>
        <v>241.17140026620766</v>
      </c>
      <c r="X529" s="49">
        <f t="shared" ca="1" si="255"/>
        <v>226.10428893772456</v>
      </c>
      <c r="Y529" s="49">
        <f t="shared" ca="1" si="255"/>
        <v>0</v>
      </c>
      <c r="Z529" s="49">
        <f t="shared" ca="1" si="255"/>
        <v>0</v>
      </c>
      <c r="AA529" s="49">
        <f t="shared" ca="1" si="255"/>
        <v>0</v>
      </c>
      <c r="AB529" s="49">
        <f t="shared" ca="1" si="255"/>
        <v>0</v>
      </c>
      <c r="AC529" s="49">
        <f t="shared" ca="1" si="255"/>
        <v>0</v>
      </c>
      <c r="AD529" s="49">
        <f t="shared" ca="1" si="255"/>
        <v>0</v>
      </c>
      <c r="AE529" s="49">
        <f t="shared" ca="1" si="255"/>
        <v>0</v>
      </c>
      <c r="AF529" s="49">
        <f t="shared" ca="1" si="255"/>
        <v>0</v>
      </c>
      <c r="AG529" s="49">
        <f t="shared" ca="1" si="255"/>
        <v>0</v>
      </c>
      <c r="AH529" s="49">
        <f t="shared" ca="1" si="255"/>
        <v>0</v>
      </c>
      <c r="AI529" s="49">
        <f t="shared" ca="1" si="255"/>
        <v>0</v>
      </c>
      <c r="AJ529" s="49">
        <f t="shared" ca="1" si="255"/>
        <v>0</v>
      </c>
      <c r="AK529" s="49">
        <f t="shared" ca="1" si="255"/>
        <v>0</v>
      </c>
      <c r="AL529" s="49">
        <f t="shared" ca="1" si="255"/>
        <v>0</v>
      </c>
      <c r="AM529" s="49">
        <f t="shared" ca="1" si="255"/>
        <v>0</v>
      </c>
      <c r="AN529" s="49">
        <f t="shared" ca="1" si="255"/>
        <v>0</v>
      </c>
      <c r="AO529" s="49">
        <f t="shared" ca="1" si="255"/>
        <v>0</v>
      </c>
      <c r="AP529" s="49">
        <f t="shared" ca="1" si="255"/>
        <v>0</v>
      </c>
      <c r="AQ529" s="49">
        <f t="shared" ca="1" si="255"/>
        <v>0</v>
      </c>
      <c r="AR529" s="49">
        <f t="shared" ca="1" si="255"/>
        <v>0</v>
      </c>
      <c r="AS529" s="49">
        <f t="shared" ca="1" si="255"/>
        <v>0</v>
      </c>
      <c r="AT529" s="49">
        <f t="shared" ca="1" si="255"/>
        <v>0</v>
      </c>
      <c r="AU529" s="49">
        <f t="shared" ca="1" si="255"/>
        <v>0</v>
      </c>
      <c r="AV529" s="49">
        <f t="shared" ca="1" si="255"/>
        <v>0</v>
      </c>
      <c r="AW529" s="49">
        <f t="shared" ca="1" si="255"/>
        <v>0</v>
      </c>
      <c r="AX529" s="49">
        <f t="shared" ca="1" si="255"/>
        <v>0</v>
      </c>
      <c r="AY529" s="49">
        <f t="shared" ca="1" si="255"/>
        <v>0</v>
      </c>
      <c r="AZ529" s="49">
        <f t="shared" ca="1" si="255"/>
        <v>0</v>
      </c>
      <c r="BA529" s="49">
        <f t="shared" ca="1" si="255"/>
        <v>0</v>
      </c>
      <c r="BB529" s="49">
        <f t="shared" ca="1" si="255"/>
        <v>0</v>
      </c>
      <c r="BC529" s="49">
        <f t="shared" ca="1" si="255"/>
        <v>0</v>
      </c>
      <c r="BD529" s="49">
        <f t="shared" ca="1" si="255"/>
        <v>0</v>
      </c>
      <c r="BE529" s="49">
        <f t="shared" ca="1" si="255"/>
        <v>0</v>
      </c>
      <c r="BF529" s="49">
        <f t="shared" ca="1" si="255"/>
        <v>0</v>
      </c>
      <c r="BG529" s="49">
        <f t="shared" ca="1" si="255"/>
        <v>0</v>
      </c>
      <c r="BH529" s="49">
        <f t="shared" ca="1" si="255"/>
        <v>0</v>
      </c>
      <c r="BI529" s="49">
        <f t="shared" ca="1" si="255"/>
        <v>0</v>
      </c>
      <c r="BJ529" s="49">
        <f t="shared" ca="1" si="255"/>
        <v>0</v>
      </c>
      <c r="BK529" s="49">
        <f t="shared" ca="1" si="255"/>
        <v>0</v>
      </c>
      <c r="BL529" s="49">
        <f t="shared" ca="1" si="255"/>
        <v>0</v>
      </c>
      <c r="BM529" s="49">
        <f t="shared" ca="1" si="255"/>
        <v>0</v>
      </c>
      <c r="BN529" s="49">
        <f t="shared" ca="1" si="255"/>
        <v>0</v>
      </c>
      <c r="BO529" s="49">
        <f t="shared" ca="1" si="255"/>
        <v>0</v>
      </c>
      <c r="BP529" s="49">
        <f t="shared" ca="1" si="255"/>
        <v>0</v>
      </c>
      <c r="BQ529" s="49">
        <f t="shared" ca="1" si="255"/>
        <v>0</v>
      </c>
      <c r="BR529" s="49">
        <f t="shared" ca="1" si="255"/>
        <v>0</v>
      </c>
      <c r="BS529" s="49">
        <f t="shared" ca="1" si="255"/>
        <v>0</v>
      </c>
    </row>
    <row r="530" spans="3:71" outlineLevel="1" x14ac:dyDescent="0.2">
      <c r="J530" s="26"/>
      <c r="L530" s="55"/>
      <c r="M530" s="55"/>
      <c r="N530" s="55"/>
      <c r="O530" s="55"/>
      <c r="P530" s="55"/>
      <c r="Q530" s="55"/>
      <c r="R530" s="55"/>
      <c r="S530" s="55"/>
      <c r="T530" s="55"/>
      <c r="U530" s="55"/>
      <c r="V530" s="55"/>
      <c r="W530" s="55"/>
      <c r="X530" s="55"/>
      <c r="Y530" s="55"/>
      <c r="Z530" s="55"/>
      <c r="AA530" s="55"/>
      <c r="AB530" s="55"/>
      <c r="AC530" s="55"/>
      <c r="AD530" s="55"/>
      <c r="AE530" s="55"/>
      <c r="AF530" s="55"/>
      <c r="AG530" s="55"/>
      <c r="AH530" s="55"/>
      <c r="AI530" s="55"/>
      <c r="AJ530" s="55"/>
      <c r="AK530" s="55"/>
      <c r="AL530" s="55"/>
      <c r="AM530" s="55"/>
      <c r="AN530" s="55"/>
      <c r="AO530" s="55"/>
      <c r="AP530" s="55"/>
      <c r="AQ530" s="55"/>
      <c r="AR530" s="55"/>
      <c r="AS530" s="55"/>
      <c r="AT530" s="55"/>
      <c r="AU530" s="55"/>
      <c r="AV530" s="55"/>
      <c r="AW530" s="55"/>
      <c r="AX530" s="55"/>
      <c r="AY530" s="55"/>
      <c r="AZ530" s="55"/>
      <c r="BA530" s="55"/>
      <c r="BB530" s="55"/>
      <c r="BC530" s="55"/>
      <c r="BD530" s="55"/>
      <c r="BE530" s="55"/>
      <c r="BF530" s="55"/>
      <c r="BG530" s="55"/>
      <c r="BH530" s="55"/>
      <c r="BI530" s="55"/>
      <c r="BJ530" s="55"/>
      <c r="BK530" s="55"/>
      <c r="BL530" s="55"/>
      <c r="BM530" s="55"/>
      <c r="BN530" s="55"/>
      <c r="BO530" s="55"/>
      <c r="BP530" s="55"/>
      <c r="BQ530" s="55"/>
      <c r="BR530" s="55"/>
      <c r="BS530" s="55"/>
    </row>
    <row r="531" spans="3:71" outlineLevel="1" x14ac:dyDescent="0.2">
      <c r="C531" s="11" t="str">
        <f>HM_ZB_Nsoko!C517</f>
        <v>Flux de trésorerie après impôts cumulé</v>
      </c>
      <c r="J531" s="26"/>
      <c r="L531" s="66">
        <f ca="1">(K531+L529)*HM_ZD_AM3_2005!CA_op_trig</f>
        <v>-2.8652707112017968</v>
      </c>
      <c r="M531" s="66">
        <f ca="1">(L531+M529)*HM_ZD_AM3_2005!CA_op_trig</f>
        <v>-13.426847062955112</v>
      </c>
      <c r="N531" s="66">
        <f ca="1">(M531+N529)*HM_ZD_AM3_2005!CA_op_trig</f>
        <v>0</v>
      </c>
      <c r="O531" s="66">
        <f ca="1">(N531+O529)*HM_ZD_AM3_2005!CA_op_trig</f>
        <v>0</v>
      </c>
      <c r="P531" s="66">
        <f ca="1">(O531+P529)*HM_ZD_AM3_2005!CA_op_trig</f>
        <v>0</v>
      </c>
      <c r="Q531" s="66">
        <f ca="1">(P531+Q529)*HM_ZD_AM3_2005!CA_op_trig</f>
        <v>0</v>
      </c>
      <c r="R531" s="66">
        <f ca="1">(Q531+R529)*HM_ZD_AM3_2005!CA_op_trig</f>
        <v>0</v>
      </c>
      <c r="S531" s="66">
        <f ca="1">(R531+S529)*HM_ZD_AM3_2005!CA_op_trig</f>
        <v>0</v>
      </c>
      <c r="T531" s="66">
        <f ca="1">(S531+T529)*HM_ZD_AM3_2005!CA_op_trig</f>
        <v>0</v>
      </c>
      <c r="U531" s="66">
        <f ca="1">(T531+U529)*HM_ZD_AM3_2005!CA_op_trig</f>
        <v>0</v>
      </c>
      <c r="V531" s="66">
        <f ca="1">(U531+V529)*HM_ZD_AM3_2005!CA_op_trig</f>
        <v>0</v>
      </c>
      <c r="W531" s="66">
        <f ca="1">(V531+W529)*HM_ZD_AM3_2005!CA_op_trig</f>
        <v>0</v>
      </c>
      <c r="X531" s="66">
        <f ca="1">(W531+X529)*HM_ZD_AM3_2005!CA_op_trig</f>
        <v>0</v>
      </c>
      <c r="Y531" s="66">
        <f ca="1">(X531+Y529)*HM_ZD_AM3_2005!CA_op_trig</f>
        <v>0</v>
      </c>
      <c r="Z531" s="66">
        <f ca="1">(Y531+Z529)*HM_ZD_AM3_2005!CA_op_trig</f>
        <v>0</v>
      </c>
      <c r="AA531" s="66">
        <f ca="1">(Z531+AA529)*HM_ZD_AM3_2005!CA_op_trig</f>
        <v>0</v>
      </c>
      <c r="AB531" s="66">
        <f ca="1">(AA531+AB529)*HM_ZD_AM3_2005!CA_op_trig</f>
        <v>0</v>
      </c>
      <c r="AC531" s="66">
        <f ca="1">(AB531+AC529)*HM_ZD_AM3_2005!CA_op_trig</f>
        <v>0</v>
      </c>
      <c r="AD531" s="66">
        <f ca="1">(AC531+AD529)*HM_ZD_AM3_2005!CA_op_trig</f>
        <v>0</v>
      </c>
      <c r="AE531" s="66">
        <f ca="1">(AD531+AE529)*HM_ZD_AM3_2005!CA_op_trig</f>
        <v>0</v>
      </c>
      <c r="AF531" s="66">
        <f ca="1">(AE531+AF529)*HM_ZD_AM3_2005!CA_op_trig</f>
        <v>0</v>
      </c>
      <c r="AG531" s="66">
        <f ca="1">(AF531+AG529)*HM_ZD_AM3_2005!CA_op_trig</f>
        <v>0</v>
      </c>
      <c r="AH531" s="66">
        <f ca="1">(AG531+AH529)*HM_ZD_AM3_2005!CA_op_trig</f>
        <v>0</v>
      </c>
      <c r="AI531" s="66">
        <f ca="1">(AH531+AI529)*HM_ZD_AM3_2005!CA_op_trig</f>
        <v>0</v>
      </c>
      <c r="AJ531" s="66">
        <f ca="1">(AI531+AJ529)*HM_ZD_AM3_2005!CA_op_trig</f>
        <v>0</v>
      </c>
      <c r="AK531" s="66">
        <f ca="1">(AJ531+AK529)*HM_ZD_AM3_2005!CA_op_trig</f>
        <v>0</v>
      </c>
      <c r="AL531" s="66">
        <f ca="1">(AK531+AL529)*HM_ZD_AM3_2005!CA_op_trig</f>
        <v>0</v>
      </c>
      <c r="AM531" s="66">
        <f ca="1">(AL531+AM529)*HM_ZD_AM3_2005!CA_op_trig</f>
        <v>0</v>
      </c>
      <c r="AN531" s="66">
        <f ca="1">(AM531+AN529)*HM_ZD_AM3_2005!CA_op_trig</f>
        <v>0</v>
      </c>
      <c r="AO531" s="66">
        <f ca="1">(AN531+AO529)*HM_ZD_AM3_2005!CA_op_trig</f>
        <v>0</v>
      </c>
      <c r="AP531" s="66">
        <f ca="1">(AO531+AP529)*HM_ZD_AM3_2005!CA_op_trig</f>
        <v>0</v>
      </c>
      <c r="AQ531" s="66">
        <f ca="1">(AP531+AQ529)*HM_ZD_AM3_2005!CA_op_trig</f>
        <v>0</v>
      </c>
      <c r="AR531" s="66">
        <f ca="1">(AQ531+AR529)*HM_ZD_AM3_2005!CA_op_trig</f>
        <v>0</v>
      </c>
      <c r="AS531" s="66">
        <f ca="1">(AR531+AS529)*HM_ZD_AM3_2005!CA_op_trig</f>
        <v>0</v>
      </c>
      <c r="AT531" s="66">
        <f ca="1">(AS531+AT529)*HM_ZD_AM3_2005!CA_op_trig</f>
        <v>0</v>
      </c>
      <c r="AU531" s="66">
        <f ca="1">(AT531+AU529)*HM_ZD_AM3_2005!CA_op_trig</f>
        <v>0</v>
      </c>
      <c r="AV531" s="66">
        <f ca="1">(AU531+AV529)*HM_ZD_AM3_2005!CA_op_trig</f>
        <v>0</v>
      </c>
      <c r="AW531" s="66">
        <f ca="1">(AV531+AW529)*HM_ZD_AM3_2005!CA_op_trig</f>
        <v>0</v>
      </c>
      <c r="AX531" s="66">
        <f ca="1">(AW531+AX529)*HM_ZD_AM3_2005!CA_op_trig</f>
        <v>0</v>
      </c>
      <c r="AY531" s="66">
        <f ca="1">(AX531+AY529)*HM_ZD_AM3_2005!CA_op_trig</f>
        <v>0</v>
      </c>
      <c r="AZ531" s="66">
        <f ca="1">(AY531+AZ529)*HM_ZD_AM3_2005!CA_op_trig</f>
        <v>0</v>
      </c>
      <c r="BA531" s="66">
        <f ca="1">(AZ531+BA529)*HM_ZD_AM3_2005!CA_op_trig</f>
        <v>0</v>
      </c>
      <c r="BB531" s="66">
        <f ca="1">(BA531+BB529)*HM_ZD_AM3_2005!CA_op_trig</f>
        <v>0</v>
      </c>
      <c r="BC531" s="66">
        <f ca="1">(BB531+BC529)*HM_ZD_AM3_2005!CA_op_trig</f>
        <v>0</v>
      </c>
      <c r="BD531" s="66">
        <f ca="1">(BC531+BD529)*HM_ZD_AM3_2005!CA_op_trig</f>
        <v>0</v>
      </c>
      <c r="BE531" s="66">
        <f ca="1">(BD531+BE529)*HM_ZD_AM3_2005!CA_op_trig</f>
        <v>0</v>
      </c>
      <c r="BF531" s="66">
        <f ca="1">(BE531+BF529)*HM_ZD_AM3_2005!CA_op_trig</f>
        <v>0</v>
      </c>
      <c r="BG531" s="66">
        <f ca="1">(BF531+BG529)*HM_ZD_AM3_2005!CA_op_trig</f>
        <v>0</v>
      </c>
      <c r="BH531" s="66">
        <f ca="1">(BG531+BH529)*HM_ZD_AM3_2005!CA_op_trig</f>
        <v>0</v>
      </c>
      <c r="BI531" s="66">
        <f ca="1">(BH531+BI529)*HM_ZD_AM3_2005!CA_op_trig</f>
        <v>0</v>
      </c>
      <c r="BJ531" s="66">
        <f ca="1">(BI531+BJ529)*HM_ZD_AM3_2005!CA_op_trig</f>
        <v>0</v>
      </c>
      <c r="BK531" s="66">
        <f ca="1">(BJ531+BK529)*HM_ZD_AM3_2005!CA_op_trig</f>
        <v>0</v>
      </c>
      <c r="BL531" s="66">
        <f ca="1">(BK531+BL529)*HM_ZD_AM3_2005!CA_op_trig</f>
        <v>0</v>
      </c>
      <c r="BM531" s="66">
        <f ca="1">(BL531+BM529)*HM_ZD_AM3_2005!CA_op_trig</f>
        <v>0</v>
      </c>
      <c r="BN531" s="66">
        <f ca="1">(BM531+BN529)*HM_ZD_AM3_2005!CA_op_trig</f>
        <v>0</v>
      </c>
      <c r="BO531" s="66">
        <f ca="1">(BN531+BO529)*HM_ZD_AM3_2005!CA_op_trig</f>
        <v>0</v>
      </c>
      <c r="BP531" s="66">
        <f ca="1">(BO531+BP529)*HM_ZD_AM3_2005!CA_op_trig</f>
        <v>0</v>
      </c>
      <c r="BQ531" s="66">
        <f ca="1">(BP531+BQ529)*HM_ZD_AM3_2005!CA_op_trig</f>
        <v>0</v>
      </c>
      <c r="BR531" s="66">
        <f ca="1">(BQ531+BR529)*HM_ZD_AM3_2005!CA_op_trig</f>
        <v>0</v>
      </c>
      <c r="BS531" s="66">
        <f ca="1">(BR531+BS529)*HM_ZD_AM3_2005!CA_op_trig</f>
        <v>0</v>
      </c>
    </row>
    <row r="532" spans="3:71" outlineLevel="1" x14ac:dyDescent="0.2">
      <c r="J532" s="26"/>
      <c r="L532" s="55"/>
      <c r="M532" s="55"/>
      <c r="N532" s="55"/>
      <c r="O532" s="55"/>
      <c r="P532" s="55"/>
      <c r="Q532" s="55"/>
      <c r="R532" s="55"/>
      <c r="S532" s="55"/>
      <c r="T532" s="55"/>
      <c r="U532" s="55"/>
      <c r="V532" s="55"/>
      <c r="W532" s="55"/>
      <c r="X532" s="55"/>
      <c r="Y532" s="55"/>
      <c r="Z532" s="55"/>
      <c r="AA532" s="55"/>
      <c r="AB532" s="55"/>
      <c r="AC532" s="55"/>
      <c r="AD532" s="55"/>
      <c r="AE532" s="55"/>
      <c r="AF532" s="55"/>
      <c r="AG532" s="55"/>
      <c r="AH532" s="55"/>
      <c r="AI532" s="55"/>
      <c r="AJ532" s="55"/>
      <c r="AK532" s="55"/>
      <c r="AL532" s="55"/>
      <c r="AM532" s="55"/>
      <c r="AN532" s="55"/>
      <c r="AO532" s="55"/>
      <c r="AP532" s="55"/>
      <c r="AQ532" s="55"/>
      <c r="AR532" s="55"/>
      <c r="AS532" s="55"/>
      <c r="AT532" s="55"/>
      <c r="AU532" s="55"/>
      <c r="AV532" s="55"/>
      <c r="AW532" s="55"/>
      <c r="AX532" s="55"/>
      <c r="AY532" s="55"/>
      <c r="AZ532" s="55"/>
      <c r="BA532" s="55"/>
      <c r="BB532" s="55"/>
      <c r="BC532" s="55"/>
      <c r="BD532" s="55"/>
      <c r="BE532" s="55"/>
      <c r="BF532" s="55"/>
      <c r="BG532" s="55"/>
      <c r="BH532" s="55"/>
      <c r="BI532" s="55"/>
      <c r="BJ532" s="55"/>
      <c r="BK532" s="55"/>
      <c r="BL532" s="55"/>
      <c r="BM532" s="55"/>
      <c r="BN532" s="55"/>
      <c r="BO532" s="55"/>
      <c r="BP532" s="55"/>
      <c r="BQ532" s="55"/>
      <c r="BR532" s="55"/>
      <c r="BS532" s="55"/>
    </row>
    <row r="533" spans="3:71" outlineLevel="1" x14ac:dyDescent="0.2">
      <c r="C533" s="11" t="str">
        <f>HM_ZB_Nsoko!C519</f>
        <v>VAN cycle complet</v>
      </c>
      <c r="G533" s="60"/>
      <c r="H533" s="7" t="s">
        <v>493</v>
      </c>
      <c r="I533" s="63">
        <f ca="1">SUMPRODUCT(OA_noc_ATCF_AM_4_AM_6,HM_ZD_Moho!CA_disc_factor_fc)</f>
        <v>315.82977710702471</v>
      </c>
      <c r="J533" s="26" t="s">
        <v>148</v>
      </c>
      <c r="L533" s="55"/>
      <c r="M533" s="55"/>
      <c r="N533" s="55"/>
      <c r="O533" s="55"/>
      <c r="P533" s="55"/>
      <c r="Q533" s="55"/>
      <c r="R533" s="55"/>
      <c r="S533" s="55"/>
      <c r="T533" s="55"/>
      <c r="U533" s="55"/>
      <c r="V533" s="55"/>
      <c r="W533" s="55"/>
      <c r="X533" s="55"/>
      <c r="Y533" s="55"/>
      <c r="Z533" s="55"/>
      <c r="AA533" s="55"/>
      <c r="AB533" s="55"/>
      <c r="AC533" s="55"/>
      <c r="AD533" s="55"/>
      <c r="AE533" s="55"/>
      <c r="AF533" s="55"/>
      <c r="AG533" s="55"/>
      <c r="AH533" s="55"/>
      <c r="AI533" s="55"/>
      <c r="AJ533" s="55"/>
      <c r="AK533" s="55"/>
      <c r="AL533" s="55"/>
      <c r="AM533" s="55"/>
      <c r="AN533" s="55"/>
      <c r="AO533" s="55"/>
      <c r="AP533" s="55"/>
      <c r="AQ533" s="55"/>
      <c r="AR533" s="55"/>
      <c r="AS533" s="55"/>
      <c r="AT533" s="55"/>
      <c r="AU533" s="55"/>
      <c r="AV533" s="55"/>
      <c r="AW533" s="55"/>
      <c r="AX533" s="55"/>
      <c r="AY533" s="55"/>
      <c r="AZ533" s="55"/>
      <c r="BA533" s="55"/>
      <c r="BB533" s="55"/>
      <c r="BC533" s="55"/>
      <c r="BD533" s="55"/>
      <c r="BE533" s="55"/>
      <c r="BF533" s="55"/>
      <c r="BG533" s="55"/>
      <c r="BH533" s="55"/>
      <c r="BI533" s="55"/>
      <c r="BJ533" s="55"/>
      <c r="BK533" s="55"/>
      <c r="BL533" s="55"/>
      <c r="BM533" s="55"/>
      <c r="BN533" s="55"/>
      <c r="BO533" s="55"/>
      <c r="BP533" s="55"/>
      <c r="BQ533" s="55"/>
      <c r="BR533" s="55"/>
      <c r="BS533" s="55"/>
    </row>
    <row r="534" spans="3:71" outlineLevel="1" x14ac:dyDescent="0.2">
      <c r="C534" s="11" t="str">
        <f>HM_ZB_Nsoko!C520</f>
        <v>VAN à terme</v>
      </c>
      <c r="I534" s="63">
        <f ca="1">SUMPRODUCT(OA_noc_ATCF_AM_4_AM_6,HM_ZD_Moho!CA_disc_factor_pf)</f>
        <v>829.95552599676842</v>
      </c>
      <c r="J534" s="26" t="s">
        <v>148</v>
      </c>
      <c r="L534" s="55"/>
      <c r="M534" s="55"/>
      <c r="N534" s="55"/>
      <c r="O534" s="55"/>
      <c r="P534" s="55"/>
      <c r="Q534" s="55"/>
      <c r="R534" s="55"/>
      <c r="S534" s="55"/>
      <c r="T534" s="55"/>
      <c r="U534" s="55"/>
      <c r="V534" s="55"/>
      <c r="W534" s="55"/>
      <c r="X534" s="55"/>
      <c r="Y534" s="55"/>
      <c r="Z534" s="55"/>
      <c r="AA534" s="55"/>
      <c r="AB534" s="55"/>
      <c r="AC534" s="55"/>
      <c r="AD534" s="55"/>
      <c r="AE534" s="55"/>
      <c r="AF534" s="55"/>
      <c r="AG534" s="55"/>
      <c r="AH534" s="55"/>
      <c r="AI534" s="55"/>
      <c r="AJ534" s="55"/>
      <c r="AK534" s="55"/>
      <c r="AL534" s="55"/>
      <c r="AM534" s="55"/>
      <c r="AN534" s="55"/>
      <c r="AO534" s="55"/>
      <c r="AP534" s="55"/>
      <c r="AQ534" s="55"/>
      <c r="AR534" s="55"/>
      <c r="AS534" s="55"/>
      <c r="AT534" s="55"/>
      <c r="AU534" s="55"/>
      <c r="AV534" s="55"/>
      <c r="AW534" s="55"/>
      <c r="AX534" s="55"/>
      <c r="AY534" s="55"/>
      <c r="AZ534" s="55"/>
      <c r="BA534" s="55"/>
      <c r="BB534" s="55"/>
      <c r="BC534" s="55"/>
      <c r="BD534" s="55"/>
      <c r="BE534" s="55"/>
      <c r="BF534" s="55"/>
      <c r="BG534" s="55"/>
      <c r="BH534" s="55"/>
      <c r="BI534" s="55"/>
      <c r="BJ534" s="55"/>
      <c r="BK534" s="55"/>
      <c r="BL534" s="55"/>
      <c r="BM534" s="55"/>
      <c r="BN534" s="55"/>
      <c r="BO534" s="55"/>
      <c r="BP534" s="55"/>
      <c r="BQ534" s="55"/>
      <c r="BR534" s="55"/>
      <c r="BS534" s="55"/>
    </row>
    <row r="535" spans="3:71" outlineLevel="1" x14ac:dyDescent="0.2">
      <c r="I535" s="61"/>
      <c r="J535" s="26"/>
      <c r="L535" s="55"/>
      <c r="M535" s="55"/>
      <c r="N535" s="55"/>
      <c r="O535" s="55"/>
      <c r="P535" s="55"/>
      <c r="Q535" s="55"/>
      <c r="R535" s="55"/>
      <c r="S535" s="55"/>
      <c r="T535" s="55"/>
      <c r="U535" s="55"/>
      <c r="V535" s="55"/>
      <c r="W535" s="55"/>
      <c r="X535" s="55"/>
      <c r="Y535" s="55"/>
      <c r="Z535" s="55"/>
      <c r="AA535" s="55"/>
      <c r="AB535" s="55"/>
      <c r="AC535" s="55"/>
      <c r="AD535" s="55"/>
      <c r="AE535" s="55"/>
      <c r="AF535" s="55"/>
      <c r="AG535" s="55"/>
      <c r="AH535" s="55"/>
      <c r="AI535" s="55"/>
      <c r="AJ535" s="55"/>
      <c r="AK535" s="55"/>
      <c r="AL535" s="55"/>
      <c r="AM535" s="55"/>
      <c r="AN535" s="55"/>
      <c r="AO535" s="55"/>
      <c r="AP535" s="55"/>
      <c r="AQ535" s="55"/>
      <c r="AR535" s="55"/>
      <c r="AS535" s="55"/>
      <c r="AT535" s="55"/>
      <c r="AU535" s="55"/>
      <c r="AV535" s="55"/>
      <c r="AW535" s="55"/>
      <c r="AX535" s="55"/>
      <c r="AY535" s="55"/>
      <c r="AZ535" s="55"/>
      <c r="BA535" s="55"/>
      <c r="BB535" s="55"/>
      <c r="BC535" s="55"/>
      <c r="BD535" s="55"/>
      <c r="BE535" s="55"/>
      <c r="BF535" s="55"/>
      <c r="BG535" s="55"/>
      <c r="BH535" s="55"/>
      <c r="BI535" s="55"/>
      <c r="BJ535" s="55"/>
      <c r="BK535" s="55"/>
      <c r="BL535" s="55"/>
      <c r="BM535" s="55"/>
      <c r="BN535" s="55"/>
      <c r="BO535" s="55"/>
      <c r="BP535" s="55"/>
      <c r="BQ535" s="55"/>
      <c r="BR535" s="55"/>
      <c r="BS535" s="55"/>
    </row>
    <row r="536" spans="3:71" outlineLevel="1" x14ac:dyDescent="0.2">
      <c r="C536" s="11" t="str">
        <f>HM_ZB_Nsoko!C522</f>
        <v>TRI cycle complet</v>
      </c>
      <c r="I536" s="62">
        <f ca="1">IFERROR(IRR(INDEX(OA_noc_ATCF_AM_4_AM_6,1,MAX(1,$G$425-L4+1)):INDEX(OA_noc_ATCF_AM_4_AM_6,1,last_model_year)),"na")</f>
        <v>0.38564675742877408</v>
      </c>
      <c r="J536" s="26" t="s">
        <v>90</v>
      </c>
      <c r="L536" s="55"/>
      <c r="M536" s="55"/>
      <c r="N536" s="55"/>
      <c r="O536" s="55"/>
      <c r="P536" s="55"/>
      <c r="Q536" s="55"/>
      <c r="R536" s="55"/>
      <c r="S536" s="55"/>
      <c r="T536" s="55"/>
      <c r="U536" s="55"/>
      <c r="V536" s="55"/>
      <c r="W536" s="55"/>
      <c r="X536" s="55"/>
      <c r="Y536" s="55"/>
      <c r="Z536" s="55"/>
      <c r="AA536" s="55"/>
      <c r="AB536" s="55"/>
      <c r="AC536" s="55"/>
      <c r="AD536" s="55"/>
      <c r="AE536" s="55"/>
      <c r="AF536" s="55"/>
      <c r="AG536" s="55"/>
      <c r="AH536" s="55"/>
      <c r="AI536" s="55"/>
      <c r="AJ536" s="55"/>
      <c r="AK536" s="55"/>
      <c r="AL536" s="55"/>
      <c r="AM536" s="55"/>
      <c r="AN536" s="55"/>
      <c r="AO536" s="55"/>
      <c r="AP536" s="55"/>
      <c r="AQ536" s="55"/>
      <c r="AR536" s="55"/>
      <c r="AS536" s="55"/>
      <c r="AT536" s="55"/>
      <c r="AU536" s="55"/>
      <c r="AV536" s="55"/>
      <c r="AW536" s="55"/>
      <c r="AX536" s="55"/>
      <c r="AY536" s="55"/>
      <c r="AZ536" s="55"/>
      <c r="BA536" s="55"/>
      <c r="BB536" s="55"/>
      <c r="BC536" s="55"/>
      <c r="BD536" s="55"/>
      <c r="BE536" s="55"/>
      <c r="BF536" s="55"/>
      <c r="BG536" s="55"/>
      <c r="BH536" s="55"/>
      <c r="BI536" s="55"/>
      <c r="BJ536" s="55"/>
      <c r="BK536" s="55"/>
      <c r="BL536" s="55"/>
      <c r="BM536" s="55"/>
      <c r="BN536" s="55"/>
      <c r="BO536" s="55"/>
      <c r="BP536" s="55"/>
      <c r="BQ536" s="55"/>
      <c r="BR536" s="55"/>
      <c r="BS536" s="55"/>
    </row>
    <row r="537" spans="3:71" outlineLevel="1" x14ac:dyDescent="0.2">
      <c r="C537" s="11" t="str">
        <f>HM_ZB_Nsoko!C523</f>
        <v>TRI à terme</v>
      </c>
      <c r="I537" s="62" t="str">
        <f ca="1">IFERROR(IRR(INDEX(OA_noc_ATCF_AM_4_AM_6,1,MAX(1,$G$426-L4+1)):INDEX(OA_noc_ATCF_AM_4_AM_6,1,last_model_year)),"na")</f>
        <v>na</v>
      </c>
      <c r="J537" s="26" t="s">
        <v>90</v>
      </c>
      <c r="L537" s="55"/>
      <c r="M537" s="55"/>
      <c r="N537" s="55"/>
      <c r="O537" s="55"/>
      <c r="P537" s="55"/>
      <c r="Q537" s="55"/>
      <c r="R537" s="55"/>
      <c r="S537" s="55"/>
      <c r="T537" s="55"/>
      <c r="U537" s="55"/>
      <c r="V537" s="55"/>
      <c r="W537" s="55"/>
      <c r="X537" s="55"/>
      <c r="Y537" s="55"/>
      <c r="Z537" s="55"/>
      <c r="AA537" s="55"/>
      <c r="AB537" s="55"/>
      <c r="AC537" s="55"/>
      <c r="AD537" s="55"/>
      <c r="AE537" s="55"/>
      <c r="AF537" s="55"/>
      <c r="AG537" s="55"/>
      <c r="AH537" s="55"/>
      <c r="AI537" s="55"/>
      <c r="AJ537" s="55"/>
      <c r="AK537" s="55"/>
      <c r="AL537" s="55"/>
      <c r="AM537" s="55"/>
      <c r="AN537" s="55"/>
      <c r="AO537" s="55"/>
      <c r="AP537" s="55"/>
      <c r="AQ537" s="55"/>
      <c r="AR537" s="55"/>
      <c r="AS537" s="55"/>
      <c r="AT537" s="55"/>
      <c r="AU537" s="55"/>
      <c r="AV537" s="55"/>
      <c r="AW537" s="55"/>
      <c r="AX537" s="55"/>
      <c r="AY537" s="55"/>
      <c r="AZ537" s="55"/>
      <c r="BA537" s="55"/>
      <c r="BB537" s="55"/>
      <c r="BC537" s="55"/>
      <c r="BD537" s="55"/>
      <c r="BE537" s="55"/>
      <c r="BF537" s="55"/>
      <c r="BG537" s="55"/>
      <c r="BH537" s="55"/>
      <c r="BI537" s="55"/>
      <c r="BJ537" s="55"/>
      <c r="BK537" s="55"/>
      <c r="BL537" s="55"/>
      <c r="BM537" s="55"/>
      <c r="BN537" s="55"/>
      <c r="BO537" s="55"/>
      <c r="BP537" s="55"/>
      <c r="BQ537" s="55"/>
      <c r="BR537" s="55"/>
      <c r="BS537" s="55"/>
    </row>
    <row r="538" spans="3:71" outlineLevel="1" x14ac:dyDescent="0.2">
      <c r="J538" s="26"/>
      <c r="L538" s="55"/>
      <c r="M538" s="55"/>
      <c r="N538" s="55"/>
      <c r="O538" s="55"/>
      <c r="P538" s="55"/>
      <c r="Q538" s="55"/>
      <c r="R538" s="55"/>
      <c r="S538" s="55"/>
      <c r="T538" s="55"/>
      <c r="U538" s="55"/>
      <c r="V538" s="55"/>
      <c r="W538" s="55"/>
      <c r="X538" s="55"/>
      <c r="Y538" s="55"/>
      <c r="Z538" s="55"/>
      <c r="AA538" s="55"/>
      <c r="AB538" s="55"/>
      <c r="AC538" s="55"/>
      <c r="AD538" s="55"/>
      <c r="AE538" s="55"/>
      <c r="AF538" s="55"/>
      <c r="AG538" s="55"/>
      <c r="AH538" s="55"/>
      <c r="AI538" s="55"/>
      <c r="AJ538" s="55"/>
      <c r="AK538" s="55"/>
      <c r="AL538" s="55"/>
      <c r="AM538" s="55"/>
      <c r="AN538" s="55"/>
      <c r="AO538" s="55"/>
      <c r="AP538" s="55"/>
      <c r="AQ538" s="55"/>
      <c r="AR538" s="55"/>
      <c r="AS538" s="55"/>
      <c r="AT538" s="55"/>
      <c r="AU538" s="55"/>
      <c r="AV538" s="55"/>
      <c r="AW538" s="55"/>
      <c r="AX538" s="55"/>
      <c r="AY538" s="55"/>
      <c r="AZ538" s="55"/>
      <c r="BA538" s="55"/>
      <c r="BB538" s="55"/>
      <c r="BC538" s="55"/>
      <c r="BD538" s="55"/>
      <c r="BE538" s="55"/>
      <c r="BF538" s="55"/>
      <c r="BG538" s="55"/>
      <c r="BH538" s="55"/>
      <c r="BI538" s="55"/>
      <c r="BJ538" s="55"/>
      <c r="BK538" s="55"/>
      <c r="BL538" s="55"/>
      <c r="BM538" s="55"/>
      <c r="BN538" s="55"/>
      <c r="BO538" s="55"/>
      <c r="BP538" s="55"/>
      <c r="BQ538" s="55"/>
      <c r="BR538" s="55"/>
      <c r="BS538" s="55"/>
    </row>
    <row r="539" spans="3:71" outlineLevel="1" x14ac:dyDescent="0.2">
      <c r="C539" s="11" t="str">
        <f>HM_ZB_Nsoko!C525</f>
        <v>Période de remboursement</v>
      </c>
      <c r="I539" s="67">
        <f ca="1">COUNTIF(L531:BS531,"&lt;0")+1</f>
        <v>3</v>
      </c>
      <c r="J539" s="26"/>
      <c r="L539" s="55"/>
      <c r="M539" s="55"/>
      <c r="N539" s="55"/>
      <c r="O539" s="55"/>
      <c r="P539" s="55"/>
      <c r="Q539" s="55"/>
      <c r="R539" s="55"/>
      <c r="S539" s="55"/>
      <c r="T539" s="55"/>
      <c r="U539" s="55"/>
      <c r="V539" s="55"/>
      <c r="W539" s="55"/>
      <c r="X539" s="55"/>
      <c r="Y539" s="55"/>
      <c r="Z539" s="55"/>
      <c r="AA539" s="55"/>
      <c r="AB539" s="55"/>
      <c r="AC539" s="55"/>
      <c r="AD539" s="55"/>
      <c r="AE539" s="55"/>
      <c r="AF539" s="55"/>
      <c r="AG539" s="55"/>
      <c r="AH539" s="55"/>
      <c r="AI539" s="55"/>
      <c r="AJ539" s="55"/>
      <c r="AK539" s="55"/>
      <c r="AL539" s="55"/>
      <c r="AM539" s="55"/>
      <c r="AN539" s="55"/>
      <c r="AO539" s="55"/>
      <c r="AP539" s="55"/>
      <c r="AQ539" s="55"/>
      <c r="AR539" s="55"/>
      <c r="AS539" s="55"/>
      <c r="AT539" s="55"/>
      <c r="AU539" s="55"/>
      <c r="AV539" s="55"/>
      <c r="AW539" s="55"/>
      <c r="AX539" s="55"/>
      <c r="AY539" s="55"/>
      <c r="AZ539" s="55"/>
      <c r="BA539" s="55"/>
      <c r="BB539" s="55"/>
      <c r="BC539" s="55"/>
      <c r="BD539" s="55"/>
      <c r="BE539" s="55"/>
      <c r="BF539" s="55"/>
      <c r="BG539" s="55"/>
      <c r="BH539" s="55"/>
      <c r="BI539" s="55"/>
      <c r="BJ539" s="55"/>
      <c r="BK539" s="55"/>
      <c r="BL539" s="55"/>
      <c r="BM539" s="55"/>
      <c r="BN539" s="55"/>
      <c r="BO539" s="55"/>
      <c r="BP539" s="55"/>
      <c r="BQ539" s="55"/>
      <c r="BR539" s="55"/>
      <c r="BS539" s="55"/>
    </row>
    <row r="540" spans="3:71" outlineLevel="1" x14ac:dyDescent="0.2">
      <c r="J540" s="26"/>
      <c r="L540" s="55"/>
      <c r="M540" s="55"/>
      <c r="N540" s="55"/>
      <c r="O540" s="55"/>
      <c r="P540" s="55"/>
      <c r="Q540" s="55"/>
      <c r="R540" s="55"/>
      <c r="S540" s="55"/>
      <c r="T540" s="55"/>
      <c r="U540" s="55"/>
      <c r="V540" s="55"/>
      <c r="W540" s="55"/>
      <c r="X540" s="55"/>
      <c r="Y540" s="55"/>
      <c r="Z540" s="55"/>
      <c r="AA540" s="55"/>
      <c r="AB540" s="55"/>
      <c r="AC540" s="55"/>
      <c r="AD540" s="55"/>
      <c r="AE540" s="55"/>
      <c r="AF540" s="55"/>
      <c r="AG540" s="55"/>
      <c r="AH540" s="55"/>
      <c r="AI540" s="55"/>
      <c r="AJ540" s="55"/>
      <c r="AK540" s="55"/>
      <c r="AL540" s="55"/>
      <c r="AM540" s="55"/>
      <c r="AN540" s="55"/>
      <c r="AO540" s="55"/>
      <c r="AP540" s="55"/>
      <c r="AQ540" s="55"/>
      <c r="AR540" s="55"/>
      <c r="AS540" s="55"/>
      <c r="AT540" s="55"/>
      <c r="AU540" s="55"/>
      <c r="AV540" s="55"/>
      <c r="AW540" s="55"/>
      <c r="AX540" s="55"/>
      <c r="AY540" s="55"/>
      <c r="AZ540" s="55"/>
      <c r="BA540" s="55"/>
      <c r="BB540" s="55"/>
      <c r="BC540" s="55"/>
      <c r="BD540" s="55"/>
      <c r="BE540" s="55"/>
      <c r="BF540" s="55"/>
      <c r="BG540" s="55"/>
      <c r="BH540" s="55"/>
      <c r="BI540" s="55"/>
      <c r="BJ540" s="55"/>
      <c r="BK540" s="55"/>
      <c r="BL540" s="55"/>
      <c r="BM540" s="55"/>
      <c r="BN540" s="55"/>
      <c r="BO540" s="55"/>
      <c r="BP540" s="55"/>
      <c r="BQ540" s="55"/>
      <c r="BR540" s="55"/>
      <c r="BS540" s="55"/>
    </row>
    <row r="541" spans="3:71" outlineLevel="1" x14ac:dyDescent="0.2">
      <c r="J541" s="26"/>
      <c r="L541" s="55"/>
      <c r="M541" s="55"/>
      <c r="N541" s="55"/>
      <c r="O541" s="55"/>
      <c r="P541" s="55"/>
      <c r="Q541" s="55"/>
      <c r="R541" s="55"/>
      <c r="S541" s="55"/>
      <c r="T541" s="55"/>
      <c r="U541" s="55"/>
      <c r="V541" s="55"/>
      <c r="W541" s="55"/>
      <c r="X541" s="55"/>
      <c r="Y541" s="55"/>
      <c r="Z541" s="55"/>
      <c r="AA541" s="55"/>
      <c r="AB541" s="55"/>
      <c r="AC541" s="55"/>
      <c r="AD541" s="55"/>
      <c r="AE541" s="55"/>
      <c r="AF541" s="55"/>
      <c r="AG541" s="55"/>
      <c r="AH541" s="55"/>
      <c r="AI541" s="55"/>
      <c r="AJ541" s="55"/>
      <c r="AK541" s="55"/>
      <c r="AL541" s="55"/>
      <c r="AM541" s="55"/>
      <c r="AN541" s="55"/>
      <c r="AO541" s="55"/>
      <c r="AP541" s="55"/>
      <c r="AQ541" s="55"/>
      <c r="AR541" s="55"/>
      <c r="AS541" s="55"/>
      <c r="AT541" s="55"/>
      <c r="AU541" s="55"/>
      <c r="AV541" s="55"/>
      <c r="AW541" s="55"/>
      <c r="AX541" s="55"/>
      <c r="AY541" s="55"/>
      <c r="AZ541" s="55"/>
      <c r="BA541" s="55"/>
      <c r="BB541" s="55"/>
      <c r="BC541" s="55"/>
      <c r="BD541" s="55"/>
      <c r="BE541" s="55"/>
      <c r="BF541" s="55"/>
      <c r="BG541" s="55"/>
      <c r="BH541" s="55"/>
      <c r="BI541" s="55"/>
      <c r="BJ541" s="55"/>
      <c r="BK541" s="55"/>
      <c r="BL541" s="55"/>
      <c r="BM541" s="55"/>
      <c r="BN541" s="55"/>
      <c r="BO541" s="55"/>
      <c r="BP541" s="55"/>
      <c r="BQ541" s="55"/>
      <c r="BR541" s="55"/>
      <c r="BS541" s="55"/>
    </row>
    <row r="542" spans="3:71" outlineLevel="1" x14ac:dyDescent="0.2">
      <c r="J542" s="26"/>
      <c r="L542" s="55"/>
      <c r="M542" s="55"/>
      <c r="N542" s="55"/>
      <c r="O542" s="55"/>
      <c r="P542" s="55"/>
      <c r="Q542" s="55"/>
      <c r="R542" s="55"/>
      <c r="S542" s="55"/>
      <c r="T542" s="55"/>
      <c r="U542" s="55"/>
      <c r="V542" s="55"/>
      <c r="W542" s="55"/>
      <c r="X542" s="55"/>
      <c r="Y542" s="55"/>
      <c r="Z542" s="55"/>
      <c r="AA542" s="55"/>
      <c r="AB542" s="55"/>
      <c r="AC542" s="55"/>
      <c r="AD542" s="55"/>
      <c r="AE542" s="55"/>
      <c r="AF542" s="55"/>
      <c r="AG542" s="55"/>
      <c r="AH542" s="55"/>
      <c r="AI542" s="55"/>
      <c r="AJ542" s="55"/>
      <c r="AK542" s="55"/>
      <c r="AL542" s="55"/>
      <c r="AM542" s="55"/>
      <c r="AN542" s="55"/>
      <c r="AO542" s="55"/>
      <c r="AP542" s="55"/>
      <c r="AQ542" s="55"/>
      <c r="AR542" s="55"/>
      <c r="AS542" s="55"/>
      <c r="AT542" s="55"/>
      <c r="AU542" s="55"/>
      <c r="AV542" s="55"/>
      <c r="AW542" s="55"/>
      <c r="AX542" s="55"/>
      <c r="AY542" s="55"/>
      <c r="AZ542" s="55"/>
      <c r="BA542" s="55"/>
      <c r="BB542" s="55"/>
      <c r="BC542" s="55"/>
      <c r="BD542" s="55"/>
      <c r="BE542" s="55"/>
      <c r="BF542" s="55"/>
      <c r="BG542" s="55"/>
      <c r="BH542" s="55"/>
      <c r="BI542" s="55"/>
      <c r="BJ542" s="55"/>
      <c r="BK542" s="55"/>
      <c r="BL542" s="55"/>
      <c r="BM542" s="55"/>
      <c r="BN542" s="55"/>
      <c r="BO542" s="55"/>
      <c r="BP542" s="55"/>
      <c r="BQ542" s="55"/>
      <c r="BR542" s="55"/>
      <c r="BS542" s="55"/>
    </row>
    <row r="543" spans="3:71" outlineLevel="1" x14ac:dyDescent="0.2">
      <c r="J543" s="26"/>
      <c r="L543" s="55"/>
      <c r="M543" s="55"/>
      <c r="N543" s="55"/>
      <c r="O543" s="55"/>
      <c r="P543" s="55"/>
      <c r="Q543" s="55"/>
      <c r="R543" s="55"/>
      <c r="S543" s="55"/>
      <c r="T543" s="55"/>
      <c r="U543" s="55"/>
      <c r="V543" s="55"/>
      <c r="W543" s="55"/>
      <c r="X543" s="55"/>
      <c r="Y543" s="55"/>
      <c r="Z543" s="55"/>
      <c r="AA543" s="55"/>
      <c r="AB543" s="55"/>
      <c r="AC543" s="55"/>
      <c r="AD543" s="55"/>
      <c r="AE543" s="55"/>
      <c r="AF543" s="55"/>
      <c r="AG543" s="55"/>
      <c r="AH543" s="55"/>
      <c r="AI543" s="55"/>
      <c r="AJ543" s="55"/>
      <c r="AK543" s="55"/>
      <c r="AL543" s="55"/>
      <c r="AM543" s="55"/>
      <c r="AN543" s="55"/>
      <c r="AO543" s="55"/>
      <c r="AP543" s="55"/>
      <c r="AQ543" s="55"/>
      <c r="AR543" s="55"/>
      <c r="AS543" s="55"/>
      <c r="AT543" s="55"/>
      <c r="AU543" s="55"/>
      <c r="AV543" s="55"/>
      <c r="AW543" s="55"/>
      <c r="AX543" s="55"/>
      <c r="AY543" s="55"/>
      <c r="AZ543" s="55"/>
      <c r="BA543" s="55"/>
      <c r="BB543" s="55"/>
      <c r="BC543" s="55"/>
      <c r="BD543" s="55"/>
      <c r="BE543" s="55"/>
      <c r="BF543" s="55"/>
      <c r="BG543" s="55"/>
      <c r="BH543" s="55"/>
      <c r="BI543" s="55"/>
      <c r="BJ543" s="55"/>
      <c r="BK543" s="55"/>
      <c r="BL543" s="55"/>
      <c r="BM543" s="55"/>
      <c r="BN543" s="55"/>
      <c r="BO543" s="55"/>
      <c r="BP543" s="55"/>
      <c r="BQ543" s="55"/>
      <c r="BR543" s="55"/>
      <c r="BS543" s="55"/>
    </row>
    <row r="544" spans="3:71" outlineLevel="1" x14ac:dyDescent="0.2">
      <c r="J544" s="26"/>
      <c r="L544" s="55"/>
      <c r="M544" s="55"/>
      <c r="N544" s="55"/>
      <c r="O544" s="55"/>
      <c r="P544" s="55"/>
      <c r="Q544" s="55"/>
      <c r="R544" s="55"/>
      <c r="S544" s="55"/>
      <c r="T544" s="55"/>
      <c r="U544" s="55"/>
      <c r="V544" s="55"/>
      <c r="W544" s="55"/>
      <c r="X544" s="55"/>
      <c r="Y544" s="55"/>
      <c r="Z544" s="55"/>
      <c r="AA544" s="55"/>
      <c r="AB544" s="55"/>
      <c r="AC544" s="55"/>
      <c r="AD544" s="55"/>
      <c r="AE544" s="55"/>
      <c r="AF544" s="55"/>
      <c r="AG544" s="55"/>
      <c r="AH544" s="55"/>
      <c r="AI544" s="55"/>
      <c r="AJ544" s="55"/>
      <c r="AK544" s="55"/>
      <c r="AL544" s="55"/>
      <c r="AM544" s="55"/>
      <c r="AN544" s="55"/>
      <c r="AO544" s="55"/>
      <c r="AP544" s="55"/>
      <c r="AQ544" s="55"/>
      <c r="AR544" s="55"/>
      <c r="AS544" s="55"/>
      <c r="AT544" s="55"/>
      <c r="AU544" s="55"/>
      <c r="AV544" s="55"/>
      <c r="AW544" s="55"/>
      <c r="AX544" s="55"/>
      <c r="AY544" s="55"/>
      <c r="AZ544" s="55"/>
      <c r="BA544" s="55"/>
      <c r="BB544" s="55"/>
      <c r="BC544" s="55"/>
      <c r="BD544" s="55"/>
      <c r="BE544" s="55"/>
      <c r="BF544" s="55"/>
      <c r="BG544" s="55"/>
      <c r="BH544" s="55"/>
      <c r="BI544" s="55"/>
      <c r="BJ544" s="55"/>
      <c r="BK544" s="55"/>
      <c r="BL544" s="55"/>
      <c r="BM544" s="55"/>
      <c r="BN544" s="55"/>
      <c r="BO544" s="55"/>
      <c r="BP544" s="55"/>
      <c r="BQ544" s="55"/>
      <c r="BR544" s="55"/>
      <c r="BS544" s="55"/>
    </row>
    <row r="545" spans="1:71" outlineLevel="1" x14ac:dyDescent="0.2">
      <c r="A545" s="45"/>
      <c r="B545" s="38" t="str">
        <f>HM_ZB_Nsoko!B531</f>
        <v>Flux de trésorerie du Gouv.</v>
      </c>
      <c r="C545" s="45"/>
      <c r="D545" s="45"/>
      <c r="E545" s="45"/>
      <c r="J545" s="26"/>
      <c r="L545" s="55"/>
      <c r="M545" s="55"/>
      <c r="N545" s="55"/>
      <c r="O545" s="55"/>
      <c r="P545" s="55"/>
      <c r="Q545" s="55"/>
      <c r="R545" s="55"/>
      <c r="S545" s="55"/>
      <c r="T545" s="55"/>
      <c r="U545" s="55"/>
      <c r="V545" s="55"/>
      <c r="W545" s="55"/>
      <c r="X545" s="55"/>
      <c r="Y545" s="55"/>
      <c r="Z545" s="55"/>
      <c r="AA545" s="55"/>
      <c r="AB545" s="55"/>
      <c r="AC545" s="55"/>
      <c r="AD545" s="55"/>
      <c r="AE545" s="55"/>
      <c r="AF545" s="55"/>
      <c r="AG545" s="55"/>
      <c r="AH545" s="55"/>
      <c r="AI545" s="55"/>
      <c r="AJ545" s="55"/>
      <c r="AK545" s="55"/>
      <c r="AL545" s="55"/>
      <c r="AM545" s="55"/>
      <c r="AN545" s="55"/>
      <c r="AO545" s="55"/>
      <c r="AP545" s="55"/>
      <c r="AQ545" s="55"/>
      <c r="AR545" s="55"/>
      <c r="AS545" s="55"/>
      <c r="AT545" s="55"/>
      <c r="AU545" s="55"/>
      <c r="AV545" s="55"/>
      <c r="AW545" s="55"/>
      <c r="AX545" s="55"/>
      <c r="AY545" s="55"/>
      <c r="AZ545" s="55"/>
      <c r="BA545" s="55"/>
      <c r="BB545" s="55"/>
      <c r="BC545" s="55"/>
      <c r="BD545" s="55"/>
      <c r="BE545" s="55"/>
      <c r="BF545" s="55"/>
      <c r="BG545" s="55"/>
      <c r="BH545" s="55"/>
      <c r="BI545" s="55"/>
      <c r="BJ545" s="55"/>
      <c r="BK545" s="55"/>
      <c r="BL545" s="55"/>
      <c r="BM545" s="55"/>
      <c r="BN545" s="55"/>
      <c r="BO545" s="55"/>
      <c r="BP545" s="55"/>
      <c r="BQ545" s="55"/>
      <c r="BR545" s="55"/>
      <c r="BS545" s="55"/>
    </row>
    <row r="546" spans="1:71" outlineLevel="1" x14ac:dyDescent="0.2">
      <c r="J546" s="26"/>
      <c r="L546" s="55"/>
      <c r="M546" s="55"/>
      <c r="N546" s="55"/>
      <c r="O546" s="55"/>
      <c r="P546" s="55"/>
      <c r="Q546" s="55"/>
      <c r="R546" s="55"/>
      <c r="S546" s="55"/>
      <c r="T546" s="55"/>
      <c r="U546" s="55"/>
      <c r="V546" s="55"/>
      <c r="W546" s="55"/>
      <c r="X546" s="55"/>
      <c r="Y546" s="55"/>
      <c r="Z546" s="55"/>
      <c r="AA546" s="55"/>
      <c r="AB546" s="55"/>
      <c r="AC546" s="55"/>
      <c r="AD546" s="55"/>
      <c r="AE546" s="55"/>
      <c r="AF546" s="55"/>
      <c r="AG546" s="55"/>
      <c r="AH546" s="55"/>
      <c r="AI546" s="55"/>
      <c r="AJ546" s="55"/>
      <c r="AK546" s="55"/>
      <c r="AL546" s="55"/>
      <c r="AM546" s="55"/>
      <c r="AN546" s="55"/>
      <c r="AO546" s="55"/>
      <c r="AP546" s="55"/>
      <c r="AQ546" s="55"/>
      <c r="AR546" s="55"/>
      <c r="AS546" s="55"/>
      <c r="AT546" s="55"/>
      <c r="AU546" s="55"/>
      <c r="AV546" s="55"/>
      <c r="AW546" s="55"/>
      <c r="AX546" s="55"/>
      <c r="AY546" s="55"/>
      <c r="AZ546" s="55"/>
      <c r="BA546" s="55"/>
      <c r="BB546" s="55"/>
      <c r="BC546" s="55"/>
      <c r="BD546" s="55"/>
      <c r="BE546" s="55"/>
      <c r="BF546" s="55"/>
      <c r="BG546" s="55"/>
      <c r="BH546" s="55"/>
      <c r="BI546" s="55"/>
      <c r="BJ546" s="55"/>
      <c r="BK546" s="55"/>
      <c r="BL546" s="55"/>
      <c r="BM546" s="55"/>
      <c r="BN546" s="55"/>
      <c r="BO546" s="55"/>
      <c r="BP546" s="55"/>
      <c r="BQ546" s="55"/>
      <c r="BR546" s="55"/>
      <c r="BS546" s="55"/>
    </row>
    <row r="547" spans="1:71" outlineLevel="1" x14ac:dyDescent="0.2">
      <c r="C547" s="11" t="str">
        <f>HM_ZB_Nsoko!C533</f>
        <v>Revenus</v>
      </c>
      <c r="J547" s="26"/>
      <c r="L547" s="55"/>
      <c r="M547" s="55"/>
      <c r="N547" s="55"/>
      <c r="O547" s="55"/>
      <c r="P547" s="55"/>
      <c r="Q547" s="55"/>
      <c r="R547" s="55"/>
      <c r="S547" s="55"/>
      <c r="T547" s="55"/>
      <c r="U547" s="55"/>
      <c r="V547" s="55"/>
      <c r="W547" s="55"/>
      <c r="X547" s="55"/>
      <c r="Y547" s="55"/>
      <c r="Z547" s="55"/>
      <c r="AA547" s="55"/>
      <c r="AB547" s="55"/>
      <c r="AC547" s="55"/>
      <c r="AD547" s="55"/>
      <c r="AE547" s="55"/>
      <c r="AF547" s="55"/>
      <c r="AG547" s="55"/>
      <c r="AH547" s="55"/>
      <c r="AI547" s="55"/>
      <c r="AJ547" s="55"/>
      <c r="AK547" s="55"/>
      <c r="AL547" s="55"/>
      <c r="AM547" s="55"/>
      <c r="AN547" s="55"/>
      <c r="AO547" s="55"/>
      <c r="AP547" s="55"/>
      <c r="AQ547" s="55"/>
      <c r="AR547" s="55"/>
      <c r="AS547" s="55"/>
      <c r="AT547" s="55"/>
      <c r="AU547" s="55"/>
      <c r="AV547" s="55"/>
      <c r="AW547" s="55"/>
      <c r="AX547" s="55"/>
      <c r="AY547" s="55"/>
      <c r="AZ547" s="55"/>
      <c r="BA547" s="55"/>
      <c r="BB547" s="55"/>
      <c r="BC547" s="55"/>
      <c r="BD547" s="55"/>
      <c r="BE547" s="55"/>
      <c r="BF547" s="55"/>
      <c r="BG547" s="55"/>
      <c r="BH547" s="55"/>
      <c r="BI547" s="55"/>
      <c r="BJ547" s="55"/>
      <c r="BK547" s="55"/>
      <c r="BL547" s="55"/>
      <c r="BM547" s="55"/>
      <c r="BN547" s="55"/>
      <c r="BO547" s="55"/>
      <c r="BP547" s="55"/>
      <c r="BQ547" s="55"/>
      <c r="BR547" s="55"/>
      <c r="BS547" s="55"/>
    </row>
    <row r="548" spans="1:71" outlineLevel="1" x14ac:dyDescent="0.2">
      <c r="D548" t="str">
        <f>HM_ZB_Nsoko!D534</f>
        <v>Redevance</v>
      </c>
      <c r="H548" s="7" t="s">
        <v>481</v>
      </c>
      <c r="I548" s="30">
        <f t="shared" ref="I548:I563" ca="1" si="256">SUM($L548:$BS548)</f>
        <v>4680.3563913306816</v>
      </c>
      <c r="J548" s="26" t="s">
        <v>148</v>
      </c>
      <c r="L548" s="49" cm="1">
        <f t="array" aca="1" ref="L548:BS548" ca="1">HM_ZD_Moho!CA_roy_total_fp</f>
        <v>286.82753200305001</v>
      </c>
      <c r="M548" s="49">
        <f ca="1"/>
        <v>272.66642499059992</v>
      </c>
      <c r="N548" s="49">
        <f ca="1"/>
        <v>110.25705771749999</v>
      </c>
      <c r="O548" s="49">
        <f ca="1"/>
        <v>94.750883169299996</v>
      </c>
      <c r="P548" s="49">
        <f ca="1"/>
        <v>265.85457837735004</v>
      </c>
      <c r="Q548" s="49">
        <f ca="1"/>
        <v>537.88417472100002</v>
      </c>
      <c r="R548" s="49">
        <f ca="1"/>
        <v>528.64961559075005</v>
      </c>
      <c r="S548" s="49">
        <f ca="1"/>
        <v>315.64630890000001</v>
      </c>
      <c r="T548" s="49">
        <f ca="1"/>
        <v>482.97173666975993</v>
      </c>
      <c r="U548" s="49">
        <f ca="1"/>
        <v>482.12658840779994</v>
      </c>
      <c r="V548" s="49">
        <f ca="1"/>
        <v>457.34528176363904</v>
      </c>
      <c r="W548" s="49">
        <f ca="1"/>
        <v>433.83773428098789</v>
      </c>
      <c r="X548" s="49">
        <f ca="1"/>
        <v>411.53847473894513</v>
      </c>
      <c r="Y548" s="49">
        <f ca="1"/>
        <v>0</v>
      </c>
      <c r="Z548" s="49">
        <f ca="1"/>
        <v>0</v>
      </c>
      <c r="AA548" s="49">
        <f ca="1"/>
        <v>0</v>
      </c>
      <c r="AB548" s="49">
        <f ca="1"/>
        <v>0</v>
      </c>
      <c r="AC548" s="49">
        <f ca="1"/>
        <v>0</v>
      </c>
      <c r="AD548" s="49">
        <f ca="1"/>
        <v>0</v>
      </c>
      <c r="AE548" s="49">
        <f ca="1"/>
        <v>0</v>
      </c>
      <c r="AF548" s="49">
        <f ca="1"/>
        <v>0</v>
      </c>
      <c r="AG548" s="49">
        <f ca="1"/>
        <v>0</v>
      </c>
      <c r="AH548" s="49">
        <f ca="1"/>
        <v>0</v>
      </c>
      <c r="AI548" s="49">
        <f ca="1"/>
        <v>0</v>
      </c>
      <c r="AJ548" s="49">
        <f ca="1"/>
        <v>0</v>
      </c>
      <c r="AK548" s="49">
        <f ca="1"/>
        <v>0</v>
      </c>
      <c r="AL548" s="49">
        <f ca="1"/>
        <v>0</v>
      </c>
      <c r="AM548" s="49">
        <f ca="1"/>
        <v>0</v>
      </c>
      <c r="AN548" s="49">
        <f ca="1"/>
        <v>0</v>
      </c>
      <c r="AO548" s="49">
        <f ca="1"/>
        <v>0</v>
      </c>
      <c r="AP548" s="49">
        <f ca="1"/>
        <v>0</v>
      </c>
      <c r="AQ548" s="49">
        <f ca="1"/>
        <v>0</v>
      </c>
      <c r="AR548" s="49">
        <f ca="1"/>
        <v>0</v>
      </c>
      <c r="AS548" s="49">
        <f ca="1"/>
        <v>0</v>
      </c>
      <c r="AT548" s="49">
        <f ca="1"/>
        <v>0</v>
      </c>
      <c r="AU548" s="49">
        <f ca="1"/>
        <v>0</v>
      </c>
      <c r="AV548" s="49">
        <f ca="1"/>
        <v>0</v>
      </c>
      <c r="AW548" s="49">
        <f ca="1"/>
        <v>0</v>
      </c>
      <c r="AX548" s="49">
        <f ca="1"/>
        <v>0</v>
      </c>
      <c r="AY548" s="49">
        <f ca="1"/>
        <v>0</v>
      </c>
      <c r="AZ548" s="49">
        <f ca="1"/>
        <v>0</v>
      </c>
      <c r="BA548" s="49">
        <f ca="1"/>
        <v>0</v>
      </c>
      <c r="BB548" s="49">
        <f ca="1"/>
        <v>0</v>
      </c>
      <c r="BC548" s="49">
        <f ca="1"/>
        <v>0</v>
      </c>
      <c r="BD548" s="49">
        <f ca="1"/>
        <v>0</v>
      </c>
      <c r="BE548" s="49">
        <f ca="1"/>
        <v>0</v>
      </c>
      <c r="BF548" s="49">
        <f ca="1"/>
        <v>0</v>
      </c>
      <c r="BG548" s="49">
        <f ca="1"/>
        <v>0</v>
      </c>
      <c r="BH548" s="49">
        <f ca="1"/>
        <v>0</v>
      </c>
      <c r="BI548" s="49">
        <f ca="1"/>
        <v>0</v>
      </c>
      <c r="BJ548" s="49">
        <f ca="1"/>
        <v>0</v>
      </c>
      <c r="BK548" s="49">
        <f ca="1"/>
        <v>0</v>
      </c>
      <c r="BL548" s="49">
        <f ca="1"/>
        <v>0</v>
      </c>
      <c r="BM548" s="49">
        <f ca="1"/>
        <v>0</v>
      </c>
      <c r="BN548" s="49">
        <f ca="1"/>
        <v>0</v>
      </c>
      <c r="BO548" s="49">
        <f ca="1"/>
        <v>0</v>
      </c>
      <c r="BP548" s="49">
        <f ca="1"/>
        <v>0</v>
      </c>
      <c r="BQ548" s="49">
        <f ca="1"/>
        <v>0</v>
      </c>
      <c r="BR548" s="49">
        <f ca="1"/>
        <v>0</v>
      </c>
      <c r="BS548" s="49">
        <f ca="1"/>
        <v>0</v>
      </c>
    </row>
    <row r="549" spans="1:71" outlineLevel="1" x14ac:dyDescent="0.2">
      <c r="D549" t="str">
        <f>HM_ZB_Nsoko!D535</f>
        <v>Coûts PID</v>
      </c>
      <c r="H549" s="7" t="s">
        <v>482</v>
      </c>
      <c r="I549" s="30">
        <f t="shared" ca="1" si="256"/>
        <v>312.02375942204549</v>
      </c>
      <c r="J549" s="26" t="s">
        <v>148</v>
      </c>
      <c r="L549" s="49" cm="1">
        <f t="array" aca="1" ref="L549:BS549" ca="1">HM_ZD_Moho!CA_pid_fees</f>
        <v>19.121835466870003</v>
      </c>
      <c r="M549" s="49">
        <f ca="1"/>
        <v>18.177761666039995</v>
      </c>
      <c r="N549" s="49">
        <f ca="1"/>
        <v>7.3504705144999996</v>
      </c>
      <c r="O549" s="49">
        <f ca="1"/>
        <v>6.3167255446199997</v>
      </c>
      <c r="P549" s="49">
        <f ca="1"/>
        <v>17.723638558490006</v>
      </c>
      <c r="Q549" s="49">
        <f ca="1"/>
        <v>35.858944981400008</v>
      </c>
      <c r="R549" s="49">
        <f ca="1"/>
        <v>35.243307706050004</v>
      </c>
      <c r="S549" s="49">
        <f ca="1"/>
        <v>21.043087260000004</v>
      </c>
      <c r="T549" s="49">
        <f ca="1"/>
        <v>32.198115777984</v>
      </c>
      <c r="U549" s="49">
        <f ca="1"/>
        <v>32.141772560519996</v>
      </c>
      <c r="V549" s="49">
        <f ca="1"/>
        <v>30.489685450909271</v>
      </c>
      <c r="W549" s="49">
        <f ca="1"/>
        <v>28.922515618732529</v>
      </c>
      <c r="X549" s="49">
        <f ca="1"/>
        <v>27.435898315929677</v>
      </c>
      <c r="Y549" s="49">
        <f ca="1"/>
        <v>0</v>
      </c>
      <c r="Z549" s="49">
        <f ca="1"/>
        <v>0</v>
      </c>
      <c r="AA549" s="49">
        <f ca="1"/>
        <v>0</v>
      </c>
      <c r="AB549" s="49">
        <f ca="1"/>
        <v>0</v>
      </c>
      <c r="AC549" s="49">
        <f ca="1"/>
        <v>0</v>
      </c>
      <c r="AD549" s="49">
        <f ca="1"/>
        <v>0</v>
      </c>
      <c r="AE549" s="49">
        <f ca="1"/>
        <v>0</v>
      </c>
      <c r="AF549" s="49">
        <f ca="1"/>
        <v>0</v>
      </c>
      <c r="AG549" s="49">
        <f ca="1"/>
        <v>0</v>
      </c>
      <c r="AH549" s="49">
        <f ca="1"/>
        <v>0</v>
      </c>
      <c r="AI549" s="49">
        <f ca="1"/>
        <v>0</v>
      </c>
      <c r="AJ549" s="49">
        <f ca="1"/>
        <v>0</v>
      </c>
      <c r="AK549" s="49">
        <f ca="1"/>
        <v>0</v>
      </c>
      <c r="AL549" s="49">
        <f ca="1"/>
        <v>0</v>
      </c>
      <c r="AM549" s="49">
        <f ca="1"/>
        <v>0</v>
      </c>
      <c r="AN549" s="49">
        <f ca="1"/>
        <v>0</v>
      </c>
      <c r="AO549" s="49">
        <f ca="1"/>
        <v>0</v>
      </c>
      <c r="AP549" s="49">
        <f ca="1"/>
        <v>0</v>
      </c>
      <c r="AQ549" s="49">
        <f ca="1"/>
        <v>0</v>
      </c>
      <c r="AR549" s="49">
        <f ca="1"/>
        <v>0</v>
      </c>
      <c r="AS549" s="49">
        <f ca="1"/>
        <v>0</v>
      </c>
      <c r="AT549" s="49">
        <f ca="1"/>
        <v>0</v>
      </c>
      <c r="AU549" s="49">
        <f ca="1"/>
        <v>0</v>
      </c>
      <c r="AV549" s="49">
        <f ca="1"/>
        <v>0</v>
      </c>
      <c r="AW549" s="49">
        <f ca="1"/>
        <v>0</v>
      </c>
      <c r="AX549" s="49">
        <f ca="1"/>
        <v>0</v>
      </c>
      <c r="AY549" s="49">
        <f ca="1"/>
        <v>0</v>
      </c>
      <c r="AZ549" s="49">
        <f ca="1"/>
        <v>0</v>
      </c>
      <c r="BA549" s="49">
        <f ca="1"/>
        <v>0</v>
      </c>
      <c r="BB549" s="49">
        <f ca="1"/>
        <v>0</v>
      </c>
      <c r="BC549" s="49">
        <f ca="1"/>
        <v>0</v>
      </c>
      <c r="BD549" s="49">
        <f ca="1"/>
        <v>0</v>
      </c>
      <c r="BE549" s="49">
        <f ca="1"/>
        <v>0</v>
      </c>
      <c r="BF549" s="49">
        <f ca="1"/>
        <v>0</v>
      </c>
      <c r="BG549" s="49">
        <f ca="1"/>
        <v>0</v>
      </c>
      <c r="BH549" s="49">
        <f ca="1"/>
        <v>0</v>
      </c>
      <c r="BI549" s="49">
        <f ca="1"/>
        <v>0</v>
      </c>
      <c r="BJ549" s="49">
        <f ca="1"/>
        <v>0</v>
      </c>
      <c r="BK549" s="49">
        <f ca="1"/>
        <v>0</v>
      </c>
      <c r="BL549" s="49">
        <f ca="1"/>
        <v>0</v>
      </c>
      <c r="BM549" s="49">
        <f ca="1"/>
        <v>0</v>
      </c>
      <c r="BN549" s="49">
        <f ca="1"/>
        <v>0</v>
      </c>
      <c r="BO549" s="49">
        <f ca="1"/>
        <v>0</v>
      </c>
      <c r="BP549" s="49">
        <f ca="1"/>
        <v>0</v>
      </c>
      <c r="BQ549" s="49">
        <f ca="1"/>
        <v>0</v>
      </c>
      <c r="BR549" s="49">
        <f ca="1"/>
        <v>0</v>
      </c>
      <c r="BS549" s="49">
        <f ca="1"/>
        <v>0</v>
      </c>
    </row>
    <row r="550" spans="1:71" outlineLevel="1" x14ac:dyDescent="0.2">
      <c r="D550" t="str">
        <f>HM_ZB_Nsoko!D536</f>
        <v>Excess Cost Oil</v>
      </c>
      <c r="H550" s="7" t="s">
        <v>483</v>
      </c>
      <c r="I550" s="30">
        <f t="shared" ca="1" si="256"/>
        <v>0</v>
      </c>
      <c r="J550" s="26" t="s">
        <v>148</v>
      </c>
      <c r="L550" s="49" cm="1">
        <f t="array" aca="1" ref="L550:BS550" ca="1">HM_ZD_Moho!CA_excess_CR_gov</f>
        <v>0</v>
      </c>
      <c r="M550" s="49">
        <f ca="1"/>
        <v>0</v>
      </c>
      <c r="N550" s="49">
        <f ca="1"/>
        <v>0</v>
      </c>
      <c r="O550" s="49">
        <f ca="1"/>
        <v>0</v>
      </c>
      <c r="P550" s="49">
        <f ca="1"/>
        <v>0</v>
      </c>
      <c r="Q550" s="49">
        <f ca="1"/>
        <v>0</v>
      </c>
      <c r="R550" s="49">
        <f ca="1"/>
        <v>0</v>
      </c>
      <c r="S550" s="49">
        <f ca="1"/>
        <v>0</v>
      </c>
      <c r="T550" s="49">
        <f ca="1"/>
        <v>0</v>
      </c>
      <c r="U550" s="49">
        <f ca="1"/>
        <v>0</v>
      </c>
      <c r="V550" s="49">
        <f ca="1"/>
        <v>0</v>
      </c>
      <c r="W550" s="49">
        <f ca="1"/>
        <v>0</v>
      </c>
      <c r="X550" s="49">
        <f ca="1"/>
        <v>0</v>
      </c>
      <c r="Y550" s="49">
        <f ca="1"/>
        <v>0</v>
      </c>
      <c r="Z550" s="49">
        <f ca="1"/>
        <v>0</v>
      </c>
      <c r="AA550" s="49">
        <f ca="1"/>
        <v>0</v>
      </c>
      <c r="AB550" s="49">
        <f ca="1"/>
        <v>0</v>
      </c>
      <c r="AC550" s="49">
        <f ca="1"/>
        <v>0</v>
      </c>
      <c r="AD550" s="49">
        <f ca="1"/>
        <v>0</v>
      </c>
      <c r="AE550" s="49">
        <f ca="1"/>
        <v>0</v>
      </c>
      <c r="AF550" s="49">
        <f ca="1"/>
        <v>0</v>
      </c>
      <c r="AG550" s="49">
        <f ca="1"/>
        <v>0</v>
      </c>
      <c r="AH550" s="49">
        <f ca="1"/>
        <v>0</v>
      </c>
      <c r="AI550" s="49">
        <f ca="1"/>
        <v>0</v>
      </c>
      <c r="AJ550" s="49">
        <f ca="1"/>
        <v>0</v>
      </c>
      <c r="AK550" s="49">
        <f ca="1"/>
        <v>0</v>
      </c>
      <c r="AL550" s="49">
        <f ca="1"/>
        <v>0</v>
      </c>
      <c r="AM550" s="49">
        <f ca="1"/>
        <v>0</v>
      </c>
      <c r="AN550" s="49">
        <f ca="1"/>
        <v>0</v>
      </c>
      <c r="AO550" s="49">
        <f ca="1"/>
        <v>0</v>
      </c>
      <c r="AP550" s="49">
        <f ca="1"/>
        <v>0</v>
      </c>
      <c r="AQ550" s="49">
        <f ca="1"/>
        <v>0</v>
      </c>
      <c r="AR550" s="49">
        <f ca="1"/>
        <v>0</v>
      </c>
      <c r="AS550" s="49">
        <f ca="1"/>
        <v>0</v>
      </c>
      <c r="AT550" s="49">
        <f ca="1"/>
        <v>0</v>
      </c>
      <c r="AU550" s="49">
        <f ca="1"/>
        <v>0</v>
      </c>
      <c r="AV550" s="49">
        <f ca="1"/>
        <v>0</v>
      </c>
      <c r="AW550" s="49">
        <f ca="1"/>
        <v>0</v>
      </c>
      <c r="AX550" s="49">
        <f ca="1"/>
        <v>0</v>
      </c>
      <c r="AY550" s="49">
        <f ca="1"/>
        <v>0</v>
      </c>
      <c r="AZ550" s="49">
        <f ca="1"/>
        <v>0</v>
      </c>
      <c r="BA550" s="49">
        <f ca="1"/>
        <v>0</v>
      </c>
      <c r="BB550" s="49">
        <f ca="1"/>
        <v>0</v>
      </c>
      <c r="BC550" s="49">
        <f ca="1"/>
        <v>0</v>
      </c>
      <c r="BD550" s="49">
        <f ca="1"/>
        <v>0</v>
      </c>
      <c r="BE550" s="49">
        <f ca="1"/>
        <v>0</v>
      </c>
      <c r="BF550" s="49">
        <f ca="1"/>
        <v>0</v>
      </c>
      <c r="BG550" s="49">
        <f ca="1"/>
        <v>0</v>
      </c>
      <c r="BH550" s="49">
        <f ca="1"/>
        <v>0</v>
      </c>
      <c r="BI550" s="49">
        <f ca="1"/>
        <v>0</v>
      </c>
      <c r="BJ550" s="49">
        <f ca="1"/>
        <v>0</v>
      </c>
      <c r="BK550" s="49">
        <f ca="1"/>
        <v>0</v>
      </c>
      <c r="BL550" s="49">
        <f ca="1"/>
        <v>0</v>
      </c>
      <c r="BM550" s="49">
        <f ca="1"/>
        <v>0</v>
      </c>
      <c r="BN550" s="49">
        <f ca="1"/>
        <v>0</v>
      </c>
      <c r="BO550" s="49">
        <f ca="1"/>
        <v>0</v>
      </c>
      <c r="BP550" s="49">
        <f ca="1"/>
        <v>0</v>
      </c>
      <c r="BQ550" s="49">
        <f ca="1"/>
        <v>0</v>
      </c>
      <c r="BR550" s="49">
        <f ca="1"/>
        <v>0</v>
      </c>
      <c r="BS550" s="49">
        <f ca="1"/>
        <v>0</v>
      </c>
    </row>
    <row r="551" spans="1:71" outlineLevel="1" x14ac:dyDescent="0.2">
      <c r="D551" t="str">
        <f>HM_ZB_Nsoko!D537</f>
        <v>Super Profit Oil</v>
      </c>
      <c r="H551" s="7" t="s">
        <v>484</v>
      </c>
      <c r="I551" s="30">
        <f t="shared" ca="1" si="256"/>
        <v>2096.186307492691</v>
      </c>
      <c r="J551" s="26" t="s">
        <v>148</v>
      </c>
      <c r="L551" s="49" cm="1">
        <f t="array" aca="1" ref="L551:BS551" ca="1">HM_ZD_Moho!CA_Spo_gov</f>
        <v>995.81614967590008</v>
      </c>
      <c r="M551" s="49">
        <f ca="1"/>
        <v>909.82390352489983</v>
      </c>
      <c r="N551" s="49">
        <f ca="1"/>
        <v>0</v>
      </c>
      <c r="O551" s="49">
        <f ca="1"/>
        <v>0</v>
      </c>
      <c r="P551" s="49">
        <f ca="1"/>
        <v>0</v>
      </c>
      <c r="Q551" s="49">
        <f ca="1"/>
        <v>0</v>
      </c>
      <c r="R551" s="49">
        <f ca="1"/>
        <v>0</v>
      </c>
      <c r="S551" s="49">
        <f ca="1"/>
        <v>0</v>
      </c>
      <c r="T551" s="49">
        <f ca="1"/>
        <v>0</v>
      </c>
      <c r="U551" s="49">
        <f ca="1"/>
        <v>0</v>
      </c>
      <c r="V551" s="49">
        <f ca="1"/>
        <v>0</v>
      </c>
      <c r="W551" s="49">
        <f ca="1"/>
        <v>97.786233342857045</v>
      </c>
      <c r="X551" s="49">
        <f ca="1"/>
        <v>92.760020949034086</v>
      </c>
      <c r="Y551" s="49">
        <f ca="1"/>
        <v>0</v>
      </c>
      <c r="Z551" s="49">
        <f ca="1"/>
        <v>0</v>
      </c>
      <c r="AA551" s="49">
        <f ca="1"/>
        <v>0</v>
      </c>
      <c r="AB551" s="49">
        <f ca="1"/>
        <v>0</v>
      </c>
      <c r="AC551" s="49">
        <f ca="1"/>
        <v>0</v>
      </c>
      <c r="AD551" s="49">
        <f ca="1"/>
        <v>0</v>
      </c>
      <c r="AE551" s="49">
        <f ca="1"/>
        <v>0</v>
      </c>
      <c r="AF551" s="49">
        <f ca="1"/>
        <v>0</v>
      </c>
      <c r="AG551" s="49">
        <f ca="1"/>
        <v>0</v>
      </c>
      <c r="AH551" s="49">
        <f ca="1"/>
        <v>0</v>
      </c>
      <c r="AI551" s="49">
        <f ca="1"/>
        <v>0</v>
      </c>
      <c r="AJ551" s="49">
        <f ca="1"/>
        <v>0</v>
      </c>
      <c r="AK551" s="49">
        <f ca="1"/>
        <v>0</v>
      </c>
      <c r="AL551" s="49">
        <f ca="1"/>
        <v>0</v>
      </c>
      <c r="AM551" s="49">
        <f ca="1"/>
        <v>0</v>
      </c>
      <c r="AN551" s="49">
        <f ca="1"/>
        <v>0</v>
      </c>
      <c r="AO551" s="49">
        <f ca="1"/>
        <v>0</v>
      </c>
      <c r="AP551" s="49">
        <f ca="1"/>
        <v>0</v>
      </c>
      <c r="AQ551" s="49">
        <f ca="1"/>
        <v>0</v>
      </c>
      <c r="AR551" s="49">
        <f ca="1"/>
        <v>0</v>
      </c>
      <c r="AS551" s="49">
        <f ca="1"/>
        <v>0</v>
      </c>
      <c r="AT551" s="49">
        <f ca="1"/>
        <v>0</v>
      </c>
      <c r="AU551" s="49">
        <f ca="1"/>
        <v>0</v>
      </c>
      <c r="AV551" s="49">
        <f ca="1"/>
        <v>0</v>
      </c>
      <c r="AW551" s="49">
        <f ca="1"/>
        <v>0</v>
      </c>
      <c r="AX551" s="49">
        <f ca="1"/>
        <v>0</v>
      </c>
      <c r="AY551" s="49">
        <f ca="1"/>
        <v>0</v>
      </c>
      <c r="AZ551" s="49">
        <f ca="1"/>
        <v>0</v>
      </c>
      <c r="BA551" s="49">
        <f ca="1"/>
        <v>0</v>
      </c>
      <c r="BB551" s="49">
        <f ca="1"/>
        <v>0</v>
      </c>
      <c r="BC551" s="49">
        <f ca="1"/>
        <v>0</v>
      </c>
      <c r="BD551" s="49">
        <f ca="1"/>
        <v>0</v>
      </c>
      <c r="BE551" s="49">
        <f ca="1"/>
        <v>0</v>
      </c>
      <c r="BF551" s="49">
        <f ca="1"/>
        <v>0</v>
      </c>
      <c r="BG551" s="49">
        <f ca="1"/>
        <v>0</v>
      </c>
      <c r="BH551" s="49">
        <f ca="1"/>
        <v>0</v>
      </c>
      <c r="BI551" s="49">
        <f ca="1"/>
        <v>0</v>
      </c>
      <c r="BJ551" s="49">
        <f ca="1"/>
        <v>0</v>
      </c>
      <c r="BK551" s="49">
        <f ca="1"/>
        <v>0</v>
      </c>
      <c r="BL551" s="49">
        <f ca="1"/>
        <v>0</v>
      </c>
      <c r="BM551" s="49">
        <f ca="1"/>
        <v>0</v>
      </c>
      <c r="BN551" s="49">
        <f ca="1"/>
        <v>0</v>
      </c>
      <c r="BO551" s="49">
        <f ca="1"/>
        <v>0</v>
      </c>
      <c r="BP551" s="49">
        <f ca="1"/>
        <v>0</v>
      </c>
      <c r="BQ551" s="49">
        <f ca="1"/>
        <v>0</v>
      </c>
      <c r="BR551" s="49">
        <f ca="1"/>
        <v>0</v>
      </c>
      <c r="BS551" s="49">
        <f ca="1"/>
        <v>0</v>
      </c>
    </row>
    <row r="552" spans="1:71" outlineLevel="1" x14ac:dyDescent="0.2">
      <c r="D552" t="str">
        <f>HM_ZB_Nsoko!D538</f>
        <v>Profit Oil</v>
      </c>
      <c r="H552" s="7" t="s">
        <v>485</v>
      </c>
      <c r="I552" s="30">
        <f t="shared" ca="1" si="256"/>
        <v>2006.5036573344598</v>
      </c>
      <c r="J552" s="26" t="s">
        <v>148</v>
      </c>
      <c r="L552" s="49" cm="1">
        <f t="array" aca="1" ref="L552:BS552" ca="1">HM_ZD_Moho!CA_PS_gov</f>
        <v>0</v>
      </c>
      <c r="M552" s="49">
        <f ca="1"/>
        <v>0</v>
      </c>
      <c r="N552" s="49">
        <f ca="1"/>
        <v>33.077117315250021</v>
      </c>
      <c r="O552" s="49">
        <f ca="1"/>
        <v>28.425264950790009</v>
      </c>
      <c r="P552" s="49">
        <f ca="1"/>
        <v>79.756373513205062</v>
      </c>
      <c r="Q552" s="49">
        <f ca="1"/>
        <v>161.36525241630011</v>
      </c>
      <c r="R552" s="49">
        <f ca="1"/>
        <v>185.02736545676242</v>
      </c>
      <c r="S552" s="49">
        <f ca="1"/>
        <v>110.47620811500011</v>
      </c>
      <c r="T552" s="49">
        <f ca="1"/>
        <v>169.04010783441601</v>
      </c>
      <c r="U552" s="49">
        <f ca="1"/>
        <v>168.74430594273008</v>
      </c>
      <c r="V552" s="49">
        <f ca="1"/>
        <v>228.67264088181969</v>
      </c>
      <c r="W552" s="49">
        <f ca="1"/>
        <v>432.06354352262463</v>
      </c>
      <c r="X552" s="49">
        <f ca="1"/>
        <v>409.85547738556147</v>
      </c>
      <c r="Y552" s="49">
        <f ca="1"/>
        <v>0</v>
      </c>
      <c r="Z552" s="49">
        <f ca="1"/>
        <v>0</v>
      </c>
      <c r="AA552" s="49">
        <f ca="1"/>
        <v>0</v>
      </c>
      <c r="AB552" s="49">
        <f ca="1"/>
        <v>0</v>
      </c>
      <c r="AC552" s="49">
        <f ca="1"/>
        <v>0</v>
      </c>
      <c r="AD552" s="49">
        <f ca="1"/>
        <v>0</v>
      </c>
      <c r="AE552" s="49">
        <f ca="1"/>
        <v>0</v>
      </c>
      <c r="AF552" s="49">
        <f ca="1"/>
        <v>0</v>
      </c>
      <c r="AG552" s="49">
        <f ca="1"/>
        <v>0</v>
      </c>
      <c r="AH552" s="49">
        <f ca="1"/>
        <v>0</v>
      </c>
      <c r="AI552" s="49">
        <f ca="1"/>
        <v>0</v>
      </c>
      <c r="AJ552" s="49">
        <f ca="1"/>
        <v>0</v>
      </c>
      <c r="AK552" s="49">
        <f ca="1"/>
        <v>0</v>
      </c>
      <c r="AL552" s="49">
        <f ca="1"/>
        <v>0</v>
      </c>
      <c r="AM552" s="49">
        <f ca="1"/>
        <v>0</v>
      </c>
      <c r="AN552" s="49">
        <f ca="1"/>
        <v>0</v>
      </c>
      <c r="AO552" s="49">
        <f ca="1"/>
        <v>0</v>
      </c>
      <c r="AP552" s="49">
        <f ca="1"/>
        <v>0</v>
      </c>
      <c r="AQ552" s="49">
        <f ca="1"/>
        <v>0</v>
      </c>
      <c r="AR552" s="49">
        <f ca="1"/>
        <v>0</v>
      </c>
      <c r="AS552" s="49">
        <f ca="1"/>
        <v>0</v>
      </c>
      <c r="AT552" s="49">
        <f ca="1"/>
        <v>0</v>
      </c>
      <c r="AU552" s="49">
        <f ca="1"/>
        <v>0</v>
      </c>
      <c r="AV552" s="49">
        <f ca="1"/>
        <v>0</v>
      </c>
      <c r="AW552" s="49">
        <f ca="1"/>
        <v>0</v>
      </c>
      <c r="AX552" s="49">
        <f ca="1"/>
        <v>0</v>
      </c>
      <c r="AY552" s="49">
        <f ca="1"/>
        <v>0</v>
      </c>
      <c r="AZ552" s="49">
        <f ca="1"/>
        <v>0</v>
      </c>
      <c r="BA552" s="49">
        <f ca="1"/>
        <v>0</v>
      </c>
      <c r="BB552" s="49">
        <f ca="1"/>
        <v>0</v>
      </c>
      <c r="BC552" s="49">
        <f ca="1"/>
        <v>0</v>
      </c>
      <c r="BD552" s="49">
        <f ca="1"/>
        <v>0</v>
      </c>
      <c r="BE552" s="49">
        <f ca="1"/>
        <v>0</v>
      </c>
      <c r="BF552" s="49">
        <f ca="1"/>
        <v>0</v>
      </c>
      <c r="BG552" s="49">
        <f ca="1"/>
        <v>0</v>
      </c>
      <c r="BH552" s="49">
        <f ca="1"/>
        <v>0</v>
      </c>
      <c r="BI552" s="49">
        <f ca="1"/>
        <v>0</v>
      </c>
      <c r="BJ552" s="49">
        <f ca="1"/>
        <v>0</v>
      </c>
      <c r="BK552" s="49">
        <f ca="1"/>
        <v>0</v>
      </c>
      <c r="BL552" s="49">
        <f ca="1"/>
        <v>0</v>
      </c>
      <c r="BM552" s="49">
        <f ca="1"/>
        <v>0</v>
      </c>
      <c r="BN552" s="49">
        <f ca="1"/>
        <v>0</v>
      </c>
      <c r="BO552" s="49">
        <f ca="1"/>
        <v>0</v>
      </c>
      <c r="BP552" s="49">
        <f ca="1"/>
        <v>0</v>
      </c>
      <c r="BQ552" s="49">
        <f ca="1"/>
        <v>0</v>
      </c>
      <c r="BR552" s="49">
        <f ca="1"/>
        <v>0</v>
      </c>
      <c r="BS552" s="49">
        <f ca="1"/>
        <v>0</v>
      </c>
    </row>
    <row r="553" spans="1:71" outlineLevel="1" x14ac:dyDescent="0.2">
      <c r="D553" t="str">
        <f>HM_ZB_Nsoko!D539</f>
        <v>Production et autres taxes</v>
      </c>
      <c r="I553" s="30">
        <f t="shared" si="256"/>
        <v>0</v>
      </c>
      <c r="J553" s="26" t="s">
        <v>148</v>
      </c>
      <c r="L553" s="49">
        <v>0</v>
      </c>
      <c r="M553" s="49">
        <v>0</v>
      </c>
      <c r="N553" s="49">
        <v>0</v>
      </c>
      <c r="O553" s="49">
        <v>0</v>
      </c>
      <c r="P553" s="49">
        <v>0</v>
      </c>
      <c r="Q553" s="49">
        <v>0</v>
      </c>
      <c r="R553" s="49">
        <v>0</v>
      </c>
      <c r="S553" s="49">
        <v>0</v>
      </c>
      <c r="T553" s="49">
        <v>0</v>
      </c>
      <c r="U553" s="49">
        <v>0</v>
      </c>
      <c r="V553" s="49">
        <v>0</v>
      </c>
      <c r="W553" s="49">
        <v>0</v>
      </c>
      <c r="X553" s="49">
        <v>0</v>
      </c>
      <c r="Y553" s="49">
        <v>0</v>
      </c>
      <c r="Z553" s="49">
        <v>0</v>
      </c>
      <c r="AA553" s="49">
        <v>0</v>
      </c>
      <c r="AB553" s="49">
        <v>0</v>
      </c>
      <c r="AC553" s="49">
        <v>0</v>
      </c>
      <c r="AD553" s="49">
        <v>0</v>
      </c>
      <c r="AE553" s="49">
        <v>0</v>
      </c>
      <c r="AF553" s="49">
        <v>0</v>
      </c>
      <c r="AG553" s="49">
        <v>0</v>
      </c>
      <c r="AH553" s="49">
        <v>0</v>
      </c>
      <c r="AI553" s="49">
        <v>0</v>
      </c>
      <c r="AJ553" s="49">
        <v>0</v>
      </c>
      <c r="AK553" s="49">
        <v>0</v>
      </c>
      <c r="AL553" s="49">
        <v>0</v>
      </c>
      <c r="AM553" s="49">
        <v>0</v>
      </c>
      <c r="AN553" s="49">
        <v>0</v>
      </c>
      <c r="AO553" s="49">
        <v>0</v>
      </c>
      <c r="AP553" s="49">
        <v>0</v>
      </c>
      <c r="AQ553" s="49">
        <v>0</v>
      </c>
      <c r="AR553" s="49">
        <v>0</v>
      </c>
      <c r="AS553" s="49">
        <v>0</v>
      </c>
      <c r="AT553" s="49">
        <v>0</v>
      </c>
      <c r="AU553" s="49">
        <v>0</v>
      </c>
      <c r="AV553" s="49">
        <v>0</v>
      </c>
      <c r="AW553" s="49">
        <v>0</v>
      </c>
      <c r="AX553" s="49">
        <v>0</v>
      </c>
      <c r="AY553" s="49">
        <v>0</v>
      </c>
      <c r="AZ553" s="49">
        <v>0</v>
      </c>
      <c r="BA553" s="49">
        <v>0</v>
      </c>
      <c r="BB553" s="49">
        <v>0</v>
      </c>
      <c r="BC553" s="49">
        <v>0</v>
      </c>
      <c r="BD553" s="49">
        <v>0</v>
      </c>
      <c r="BE553" s="49">
        <v>0</v>
      </c>
      <c r="BF553" s="49">
        <v>0</v>
      </c>
      <c r="BG553" s="49">
        <v>0</v>
      </c>
      <c r="BH553" s="49">
        <v>0</v>
      </c>
      <c r="BI553" s="49">
        <v>0</v>
      </c>
      <c r="BJ553" s="49">
        <v>0</v>
      </c>
      <c r="BK553" s="49">
        <v>0</v>
      </c>
      <c r="BL553" s="49">
        <v>0</v>
      </c>
      <c r="BM553" s="49">
        <v>0</v>
      </c>
      <c r="BN553" s="49">
        <v>0</v>
      </c>
      <c r="BO553" s="49">
        <v>0</v>
      </c>
      <c r="BP553" s="49">
        <v>0</v>
      </c>
      <c r="BQ553" s="49">
        <v>0</v>
      </c>
      <c r="BR553" s="49">
        <v>0</v>
      </c>
      <c r="BS553" s="49">
        <v>0</v>
      </c>
    </row>
    <row r="554" spans="1:71" outlineLevel="1" x14ac:dyDescent="0.2">
      <c r="D554" t="str">
        <f>HM_ZB_Nsoko!D540</f>
        <v>Impôt sur le revenu</v>
      </c>
      <c r="I554" s="30">
        <f t="shared" si="256"/>
        <v>0</v>
      </c>
      <c r="J554" s="26" t="s">
        <v>148</v>
      </c>
      <c r="L554" s="49">
        <v>0</v>
      </c>
      <c r="M554" s="49">
        <v>0</v>
      </c>
      <c r="N554" s="49">
        <v>0</v>
      </c>
      <c r="O554" s="49">
        <v>0</v>
      </c>
      <c r="P554" s="49">
        <v>0</v>
      </c>
      <c r="Q554" s="49">
        <v>0</v>
      </c>
      <c r="R554" s="49">
        <v>0</v>
      </c>
      <c r="S554" s="49">
        <v>0</v>
      </c>
      <c r="T554" s="49">
        <v>0</v>
      </c>
      <c r="U554" s="49">
        <v>0</v>
      </c>
      <c r="V554" s="49">
        <v>0</v>
      </c>
      <c r="W554" s="49">
        <v>0</v>
      </c>
      <c r="X554" s="49">
        <v>0</v>
      </c>
      <c r="Y554" s="49">
        <v>0</v>
      </c>
      <c r="Z554" s="49">
        <v>0</v>
      </c>
      <c r="AA554" s="49">
        <v>0</v>
      </c>
      <c r="AB554" s="49">
        <v>0</v>
      </c>
      <c r="AC554" s="49">
        <v>0</v>
      </c>
      <c r="AD554" s="49">
        <v>0</v>
      </c>
      <c r="AE554" s="49">
        <v>0</v>
      </c>
      <c r="AF554" s="49">
        <v>0</v>
      </c>
      <c r="AG554" s="49">
        <v>0</v>
      </c>
      <c r="AH554" s="49">
        <v>0</v>
      </c>
      <c r="AI554" s="49">
        <v>0</v>
      </c>
      <c r="AJ554" s="49">
        <v>0</v>
      </c>
      <c r="AK554" s="49">
        <v>0</v>
      </c>
      <c r="AL554" s="49">
        <v>0</v>
      </c>
      <c r="AM554" s="49">
        <v>0</v>
      </c>
      <c r="AN554" s="49">
        <v>0</v>
      </c>
      <c r="AO554" s="49">
        <v>0</v>
      </c>
      <c r="AP554" s="49">
        <v>0</v>
      </c>
      <c r="AQ554" s="49">
        <v>0</v>
      </c>
      <c r="AR554" s="49">
        <v>0</v>
      </c>
      <c r="AS554" s="49">
        <v>0</v>
      </c>
      <c r="AT554" s="49">
        <v>0</v>
      </c>
      <c r="AU554" s="49">
        <v>0</v>
      </c>
      <c r="AV554" s="49">
        <v>0</v>
      </c>
      <c r="AW554" s="49">
        <v>0</v>
      </c>
      <c r="AX554" s="49">
        <v>0</v>
      </c>
      <c r="AY554" s="49">
        <v>0</v>
      </c>
      <c r="AZ554" s="49">
        <v>0</v>
      </c>
      <c r="BA554" s="49">
        <v>0</v>
      </c>
      <c r="BB554" s="49">
        <v>0</v>
      </c>
      <c r="BC554" s="49">
        <v>0</v>
      </c>
      <c r="BD554" s="49">
        <v>0</v>
      </c>
      <c r="BE554" s="49">
        <v>0</v>
      </c>
      <c r="BF554" s="49">
        <v>0</v>
      </c>
      <c r="BG554" s="49">
        <v>0</v>
      </c>
      <c r="BH554" s="49">
        <v>0</v>
      </c>
      <c r="BI554" s="49">
        <v>0</v>
      </c>
      <c r="BJ554" s="49">
        <v>0</v>
      </c>
      <c r="BK554" s="49">
        <v>0</v>
      </c>
      <c r="BL554" s="49">
        <v>0</v>
      </c>
      <c r="BM554" s="49">
        <v>0</v>
      </c>
      <c r="BN554" s="49">
        <v>0</v>
      </c>
      <c r="BO554" s="49">
        <v>0</v>
      </c>
      <c r="BP554" s="49">
        <v>0</v>
      </c>
      <c r="BQ554" s="49">
        <v>0</v>
      </c>
      <c r="BR554" s="49">
        <v>0</v>
      </c>
      <c r="BS554" s="49">
        <v>0</v>
      </c>
    </row>
    <row r="555" spans="1:71" outlineLevel="1" x14ac:dyDescent="0.2">
      <c r="D555" t="str">
        <f>HM_ZB_Nsoko!D541</f>
        <v>Impôts supplémentaires</v>
      </c>
      <c r="I555" s="30">
        <f t="shared" si="256"/>
        <v>0</v>
      </c>
      <c r="J555" s="26" t="s">
        <v>148</v>
      </c>
      <c r="L555" s="49">
        <v>0</v>
      </c>
      <c r="M555" s="49">
        <v>0</v>
      </c>
      <c r="N555" s="49">
        <v>0</v>
      </c>
      <c r="O555" s="49">
        <v>0</v>
      </c>
      <c r="P555" s="49">
        <v>0</v>
      </c>
      <c r="Q555" s="49">
        <v>0</v>
      </c>
      <c r="R555" s="49">
        <v>0</v>
      </c>
      <c r="S555" s="49">
        <v>0</v>
      </c>
      <c r="T555" s="49">
        <v>0</v>
      </c>
      <c r="U555" s="49">
        <v>0</v>
      </c>
      <c r="V555" s="49">
        <v>0</v>
      </c>
      <c r="W555" s="49">
        <v>0</v>
      </c>
      <c r="X555" s="49">
        <v>0</v>
      </c>
      <c r="Y555" s="49">
        <v>0</v>
      </c>
      <c r="Z555" s="49">
        <v>0</v>
      </c>
      <c r="AA555" s="49">
        <v>0</v>
      </c>
      <c r="AB555" s="49">
        <v>0</v>
      </c>
      <c r="AC555" s="49">
        <v>0</v>
      </c>
      <c r="AD555" s="49">
        <v>0</v>
      </c>
      <c r="AE555" s="49">
        <v>0</v>
      </c>
      <c r="AF555" s="49">
        <v>0</v>
      </c>
      <c r="AG555" s="49">
        <v>0</v>
      </c>
      <c r="AH555" s="49">
        <v>0</v>
      </c>
      <c r="AI555" s="49">
        <v>0</v>
      </c>
      <c r="AJ555" s="49">
        <v>0</v>
      </c>
      <c r="AK555" s="49">
        <v>0</v>
      </c>
      <c r="AL555" s="49">
        <v>0</v>
      </c>
      <c r="AM555" s="49">
        <v>0</v>
      </c>
      <c r="AN555" s="49">
        <v>0</v>
      </c>
      <c r="AO555" s="49">
        <v>0</v>
      </c>
      <c r="AP555" s="49">
        <v>0</v>
      </c>
      <c r="AQ555" s="49">
        <v>0</v>
      </c>
      <c r="AR555" s="49">
        <v>0</v>
      </c>
      <c r="AS555" s="49">
        <v>0</v>
      </c>
      <c r="AT555" s="49">
        <v>0</v>
      </c>
      <c r="AU555" s="49">
        <v>0</v>
      </c>
      <c r="AV555" s="49">
        <v>0</v>
      </c>
      <c r="AW555" s="49">
        <v>0</v>
      </c>
      <c r="AX555" s="49">
        <v>0</v>
      </c>
      <c r="AY555" s="49">
        <v>0</v>
      </c>
      <c r="AZ555" s="49">
        <v>0</v>
      </c>
      <c r="BA555" s="49">
        <v>0</v>
      </c>
      <c r="BB555" s="49">
        <v>0</v>
      </c>
      <c r="BC555" s="49">
        <v>0</v>
      </c>
      <c r="BD555" s="49">
        <v>0</v>
      </c>
      <c r="BE555" s="49">
        <v>0</v>
      </c>
      <c r="BF555" s="49">
        <v>0</v>
      </c>
      <c r="BG555" s="49">
        <v>0</v>
      </c>
      <c r="BH555" s="49">
        <v>0</v>
      </c>
      <c r="BI555" s="49">
        <v>0</v>
      </c>
      <c r="BJ555" s="49">
        <v>0</v>
      </c>
      <c r="BK555" s="49">
        <v>0</v>
      </c>
      <c r="BL555" s="49">
        <v>0</v>
      </c>
      <c r="BM555" s="49">
        <v>0</v>
      </c>
      <c r="BN555" s="49">
        <v>0</v>
      </c>
      <c r="BO555" s="49">
        <v>0</v>
      </c>
      <c r="BP555" s="49">
        <v>0</v>
      </c>
      <c r="BQ555" s="49">
        <v>0</v>
      </c>
      <c r="BR555" s="49">
        <v>0</v>
      </c>
      <c r="BS555" s="49">
        <v>0</v>
      </c>
    </row>
    <row r="556" spans="1:71" outlineLevel="1" x14ac:dyDescent="0.2">
      <c r="C556" s="11" t="str">
        <f>HM_ZB_Nsoko!C542</f>
        <v>Coûts</v>
      </c>
      <c r="J556" s="26"/>
      <c r="L556" s="55"/>
      <c r="M556" s="55"/>
      <c r="N556" s="55"/>
      <c r="O556" s="55"/>
      <c r="P556" s="55"/>
      <c r="Q556" s="55"/>
      <c r="R556" s="55"/>
      <c r="S556" s="55"/>
      <c r="T556" s="55"/>
      <c r="U556" s="55"/>
      <c r="V556" s="55"/>
      <c r="W556" s="55"/>
      <c r="X556" s="55"/>
      <c r="Y556" s="55"/>
      <c r="Z556" s="55"/>
      <c r="AA556" s="55"/>
      <c r="AB556" s="55"/>
      <c r="AC556" s="55"/>
      <c r="AD556" s="55"/>
      <c r="AE556" s="55"/>
      <c r="AF556" s="55"/>
      <c r="AG556" s="55"/>
      <c r="AH556" s="55"/>
      <c r="AI556" s="55"/>
      <c r="AJ556" s="55"/>
      <c r="AK556" s="55"/>
      <c r="AL556" s="55"/>
      <c r="AM556" s="55"/>
      <c r="AN556" s="55"/>
      <c r="AO556" s="55"/>
      <c r="AP556" s="55"/>
      <c r="AQ556" s="55"/>
      <c r="AR556" s="55"/>
      <c r="AS556" s="55"/>
      <c r="AT556" s="55"/>
      <c r="AU556" s="55"/>
      <c r="AV556" s="55"/>
      <c r="AW556" s="55"/>
      <c r="AX556" s="55"/>
      <c r="AY556" s="55"/>
      <c r="AZ556" s="55"/>
      <c r="BA556" s="55"/>
      <c r="BB556" s="55"/>
      <c r="BC556" s="55"/>
      <c r="BD556" s="55"/>
      <c r="BE556" s="55"/>
      <c r="BF556" s="55"/>
      <c r="BG556" s="55"/>
      <c r="BH556" s="55"/>
      <c r="BI556" s="55"/>
      <c r="BJ556" s="55"/>
      <c r="BK556" s="55"/>
      <c r="BL556" s="55"/>
      <c r="BM556" s="55"/>
      <c r="BN556" s="55"/>
      <c r="BO556" s="55"/>
      <c r="BP556" s="55"/>
      <c r="BQ556" s="55"/>
      <c r="BR556" s="55"/>
      <c r="BS556" s="55"/>
    </row>
    <row r="557" spans="1:71" outlineLevel="1" x14ac:dyDescent="0.2">
      <c r="D557" t="str">
        <f>HM_ZB_Nsoko!D543</f>
        <v>Coûts de financement</v>
      </c>
      <c r="I557" s="30">
        <f t="shared" si="256"/>
        <v>0</v>
      </c>
      <c r="J557" s="26" t="s">
        <v>148</v>
      </c>
      <c r="L557" s="49">
        <v>0</v>
      </c>
      <c r="M557" s="49">
        <v>0</v>
      </c>
      <c r="N557" s="49">
        <v>0</v>
      </c>
      <c r="O557" s="49">
        <v>0</v>
      </c>
      <c r="P557" s="49">
        <v>0</v>
      </c>
      <c r="Q557" s="49">
        <v>0</v>
      </c>
      <c r="R557" s="49">
        <v>0</v>
      </c>
      <c r="S557" s="49">
        <v>0</v>
      </c>
      <c r="T557" s="49">
        <v>0</v>
      </c>
      <c r="U557" s="49">
        <v>0</v>
      </c>
      <c r="V557" s="49">
        <v>0</v>
      </c>
      <c r="W557" s="49">
        <v>0</v>
      </c>
      <c r="X557" s="49">
        <v>0</v>
      </c>
      <c r="Y557" s="49">
        <v>0</v>
      </c>
      <c r="Z557" s="49">
        <v>0</v>
      </c>
      <c r="AA557" s="49">
        <v>0</v>
      </c>
      <c r="AB557" s="49">
        <v>0</v>
      </c>
      <c r="AC557" s="49">
        <v>0</v>
      </c>
      <c r="AD557" s="49">
        <v>0</v>
      </c>
      <c r="AE557" s="49">
        <v>0</v>
      </c>
      <c r="AF557" s="49">
        <v>0</v>
      </c>
      <c r="AG557" s="49">
        <v>0</v>
      </c>
      <c r="AH557" s="49">
        <v>0</v>
      </c>
      <c r="AI557" s="49">
        <v>0</v>
      </c>
      <c r="AJ557" s="49">
        <v>0</v>
      </c>
      <c r="AK557" s="49">
        <v>0</v>
      </c>
      <c r="AL557" s="49">
        <v>0</v>
      </c>
      <c r="AM557" s="49">
        <v>0</v>
      </c>
      <c r="AN557" s="49">
        <v>0</v>
      </c>
      <c r="AO557" s="49">
        <v>0</v>
      </c>
      <c r="AP557" s="49">
        <v>0</v>
      </c>
      <c r="AQ557" s="49">
        <v>0</v>
      </c>
      <c r="AR557" s="49">
        <v>0</v>
      </c>
      <c r="AS557" s="49">
        <v>0</v>
      </c>
      <c r="AT557" s="49">
        <v>0</v>
      </c>
      <c r="AU557" s="49">
        <v>0</v>
      </c>
      <c r="AV557" s="49">
        <v>0</v>
      </c>
      <c r="AW557" s="49">
        <v>0</v>
      </c>
      <c r="AX557" s="49">
        <v>0</v>
      </c>
      <c r="AY557" s="49">
        <v>0</v>
      </c>
      <c r="AZ557" s="49">
        <v>0</v>
      </c>
      <c r="BA557" s="49">
        <v>0</v>
      </c>
      <c r="BB557" s="49">
        <v>0</v>
      </c>
      <c r="BC557" s="49">
        <v>0</v>
      </c>
      <c r="BD557" s="49">
        <v>0</v>
      </c>
      <c r="BE557" s="49">
        <v>0</v>
      </c>
      <c r="BF557" s="49">
        <v>0</v>
      </c>
      <c r="BG557" s="49">
        <v>0</v>
      </c>
      <c r="BH557" s="49">
        <v>0</v>
      </c>
      <c r="BI557" s="49">
        <v>0</v>
      </c>
      <c r="BJ557" s="49">
        <v>0</v>
      </c>
      <c r="BK557" s="49">
        <v>0</v>
      </c>
      <c r="BL557" s="49">
        <v>0</v>
      </c>
      <c r="BM557" s="49">
        <v>0</v>
      </c>
      <c r="BN557" s="49">
        <v>0</v>
      </c>
      <c r="BO557" s="49">
        <v>0</v>
      </c>
      <c r="BP557" s="49">
        <v>0</v>
      </c>
      <c r="BQ557" s="49">
        <v>0</v>
      </c>
      <c r="BR557" s="49">
        <v>0</v>
      </c>
      <c r="BS557" s="49">
        <v>0</v>
      </c>
    </row>
    <row r="558" spans="1:71" outlineLevel="1" x14ac:dyDescent="0.2">
      <c r="D558" t="str">
        <f>HM_ZB_Nsoko!D544</f>
        <v>Autres coûts</v>
      </c>
      <c r="I558" s="30">
        <f t="shared" si="256"/>
        <v>0</v>
      </c>
      <c r="J558" s="26" t="s">
        <v>148</v>
      </c>
      <c r="L558" s="49">
        <v>0</v>
      </c>
      <c r="M558" s="49">
        <v>0</v>
      </c>
      <c r="N558" s="49">
        <v>0</v>
      </c>
      <c r="O558" s="49">
        <v>0</v>
      </c>
      <c r="P558" s="49">
        <v>0</v>
      </c>
      <c r="Q558" s="49">
        <v>0</v>
      </c>
      <c r="R558" s="49">
        <v>0</v>
      </c>
      <c r="S558" s="49">
        <v>0</v>
      </c>
      <c r="T558" s="49">
        <v>0</v>
      </c>
      <c r="U558" s="49">
        <v>0</v>
      </c>
      <c r="V558" s="49">
        <v>0</v>
      </c>
      <c r="W558" s="49">
        <v>0</v>
      </c>
      <c r="X558" s="49">
        <v>0</v>
      </c>
      <c r="Y558" s="49">
        <v>0</v>
      </c>
      <c r="Z558" s="49">
        <v>0</v>
      </c>
      <c r="AA558" s="49">
        <v>0</v>
      </c>
      <c r="AB558" s="49">
        <v>0</v>
      </c>
      <c r="AC558" s="49">
        <v>0</v>
      </c>
      <c r="AD558" s="49">
        <v>0</v>
      </c>
      <c r="AE558" s="49">
        <v>0</v>
      </c>
      <c r="AF558" s="49">
        <v>0</v>
      </c>
      <c r="AG558" s="49">
        <v>0</v>
      </c>
      <c r="AH558" s="49">
        <v>0</v>
      </c>
      <c r="AI558" s="49">
        <v>0</v>
      </c>
      <c r="AJ558" s="49">
        <v>0</v>
      </c>
      <c r="AK558" s="49">
        <v>0</v>
      </c>
      <c r="AL558" s="49">
        <v>0</v>
      </c>
      <c r="AM558" s="49">
        <v>0</v>
      </c>
      <c r="AN558" s="49">
        <v>0</v>
      </c>
      <c r="AO558" s="49">
        <v>0</v>
      </c>
      <c r="AP558" s="49">
        <v>0</v>
      </c>
      <c r="AQ558" s="49">
        <v>0</v>
      </c>
      <c r="AR558" s="49">
        <v>0</v>
      </c>
      <c r="AS558" s="49">
        <v>0</v>
      </c>
      <c r="AT558" s="49">
        <v>0</v>
      </c>
      <c r="AU558" s="49">
        <v>0</v>
      </c>
      <c r="AV558" s="49">
        <v>0</v>
      </c>
      <c r="AW558" s="49">
        <v>0</v>
      </c>
      <c r="AX558" s="49">
        <v>0</v>
      </c>
      <c r="AY558" s="49">
        <v>0</v>
      </c>
      <c r="AZ558" s="49">
        <v>0</v>
      </c>
      <c r="BA558" s="49">
        <v>0</v>
      </c>
      <c r="BB558" s="49">
        <v>0</v>
      </c>
      <c r="BC558" s="49">
        <v>0</v>
      </c>
      <c r="BD558" s="49">
        <v>0</v>
      </c>
      <c r="BE558" s="49">
        <v>0</v>
      </c>
      <c r="BF558" s="49">
        <v>0</v>
      </c>
      <c r="BG558" s="49">
        <v>0</v>
      </c>
      <c r="BH558" s="49">
        <v>0</v>
      </c>
      <c r="BI558" s="49">
        <v>0</v>
      </c>
      <c r="BJ558" s="49">
        <v>0</v>
      </c>
      <c r="BK558" s="49">
        <v>0</v>
      </c>
      <c r="BL558" s="49">
        <v>0</v>
      </c>
      <c r="BM558" s="49">
        <v>0</v>
      </c>
      <c r="BN558" s="49">
        <v>0</v>
      </c>
      <c r="BO558" s="49">
        <v>0</v>
      </c>
      <c r="BP558" s="49">
        <v>0</v>
      </c>
      <c r="BQ558" s="49">
        <v>0</v>
      </c>
      <c r="BR558" s="49">
        <v>0</v>
      </c>
      <c r="BS558" s="49">
        <v>0</v>
      </c>
    </row>
    <row r="559" spans="1:71" outlineLevel="1" x14ac:dyDescent="0.2">
      <c r="J559" s="26"/>
      <c r="L559" s="55"/>
      <c r="M559" s="55"/>
      <c r="N559" s="55"/>
      <c r="O559" s="55"/>
      <c r="P559" s="55"/>
      <c r="Q559" s="55"/>
      <c r="R559" s="55"/>
      <c r="S559" s="55"/>
      <c r="T559" s="55"/>
      <c r="U559" s="55"/>
      <c r="V559" s="55"/>
      <c r="W559" s="55"/>
      <c r="X559" s="55"/>
      <c r="Y559" s="55"/>
      <c r="Z559" s="55"/>
      <c r="AA559" s="55"/>
      <c r="AB559" s="55"/>
      <c r="AC559" s="55"/>
      <c r="AD559" s="55"/>
      <c r="AE559" s="55"/>
      <c r="AF559" s="55"/>
      <c r="AG559" s="55"/>
      <c r="AH559" s="55"/>
      <c r="AI559" s="55"/>
      <c r="AJ559" s="55"/>
      <c r="AK559" s="55"/>
      <c r="AL559" s="55"/>
      <c r="AM559" s="55"/>
      <c r="AN559" s="55"/>
      <c r="AO559" s="55"/>
      <c r="AP559" s="55"/>
      <c r="AQ559" s="55"/>
      <c r="AR559" s="55"/>
      <c r="AS559" s="55"/>
      <c r="AT559" s="55"/>
      <c r="AU559" s="55"/>
      <c r="AV559" s="55"/>
      <c r="AW559" s="55"/>
      <c r="AX559" s="55"/>
      <c r="AY559" s="55"/>
      <c r="AZ559" s="55"/>
      <c r="BA559" s="55"/>
      <c r="BB559" s="55"/>
      <c r="BC559" s="55"/>
      <c r="BD559" s="55"/>
      <c r="BE559" s="55"/>
      <c r="BF559" s="55"/>
      <c r="BG559" s="55"/>
      <c r="BH559" s="55"/>
      <c r="BI559" s="55"/>
      <c r="BJ559" s="55"/>
      <c r="BK559" s="55"/>
      <c r="BL559" s="55"/>
      <c r="BM559" s="55"/>
      <c r="BN559" s="55"/>
      <c r="BO559" s="55"/>
      <c r="BP559" s="55"/>
      <c r="BQ559" s="55"/>
      <c r="BR559" s="55"/>
      <c r="BS559" s="55"/>
    </row>
    <row r="560" spans="1:71" outlineLevel="1" x14ac:dyDescent="0.2">
      <c r="C560" s="11" t="str">
        <f>HM_ZB_Nsoko!C546</f>
        <v>Total flux de trésorerie du Gouv.</v>
      </c>
      <c r="F560" s="64" t="b">
        <f ca="1">ROUND(SUM(I560,I476),2)=ROUND(I450,2)</f>
        <v>0</v>
      </c>
      <c r="H560" s="7" t="s">
        <v>486</v>
      </c>
      <c r="I560" s="30">
        <f t="shared" ca="1" si="256"/>
        <v>9095.0701155798797</v>
      </c>
      <c r="J560" s="26" t="s">
        <v>148</v>
      </c>
      <c r="K560" s="7" t="s">
        <v>472</v>
      </c>
      <c r="L560" s="49">
        <f ca="1">SUM(L548:L555)-SUM(L557:L558)</f>
        <v>1301.76551714582</v>
      </c>
      <c r="M560" s="49">
        <f t="shared" ref="M560:BS560" ca="1" si="257">SUM(M548:M555)-SUM(M557:M558)</f>
        <v>1200.6680901815398</v>
      </c>
      <c r="N560" s="49">
        <f t="shared" ca="1" si="257"/>
        <v>150.68464554725</v>
      </c>
      <c r="O560" s="49">
        <f t="shared" ca="1" si="257"/>
        <v>129.49287366471</v>
      </c>
      <c r="P560" s="49">
        <f t="shared" ca="1" si="257"/>
        <v>363.33459044904509</v>
      </c>
      <c r="Q560" s="49">
        <f t="shared" ca="1" si="257"/>
        <v>735.10837211870012</v>
      </c>
      <c r="R560" s="49">
        <f t="shared" ca="1" si="257"/>
        <v>748.92028875356255</v>
      </c>
      <c r="S560" s="49">
        <f t="shared" ca="1" si="257"/>
        <v>447.16560427500008</v>
      </c>
      <c r="T560" s="49">
        <f t="shared" ca="1" si="257"/>
        <v>684.20996028215995</v>
      </c>
      <c r="U560" s="49">
        <f t="shared" ca="1" si="257"/>
        <v>683.01266691105002</v>
      </c>
      <c r="V560" s="49">
        <f t="shared" ca="1" si="257"/>
        <v>716.50760809636802</v>
      </c>
      <c r="W560" s="49">
        <f t="shared" ca="1" si="257"/>
        <v>992.61002676520206</v>
      </c>
      <c r="X560" s="49">
        <f t="shared" ca="1" si="257"/>
        <v>941.58987138947043</v>
      </c>
      <c r="Y560" s="49">
        <f t="shared" ca="1" si="257"/>
        <v>0</v>
      </c>
      <c r="Z560" s="49">
        <f t="shared" ca="1" si="257"/>
        <v>0</v>
      </c>
      <c r="AA560" s="49">
        <f t="shared" ca="1" si="257"/>
        <v>0</v>
      </c>
      <c r="AB560" s="49">
        <f t="shared" ca="1" si="257"/>
        <v>0</v>
      </c>
      <c r="AC560" s="49">
        <f t="shared" ca="1" si="257"/>
        <v>0</v>
      </c>
      <c r="AD560" s="49">
        <f t="shared" ca="1" si="257"/>
        <v>0</v>
      </c>
      <c r="AE560" s="49">
        <f t="shared" ca="1" si="257"/>
        <v>0</v>
      </c>
      <c r="AF560" s="49">
        <f t="shared" ca="1" si="257"/>
        <v>0</v>
      </c>
      <c r="AG560" s="49">
        <f t="shared" ca="1" si="257"/>
        <v>0</v>
      </c>
      <c r="AH560" s="49">
        <f t="shared" ca="1" si="257"/>
        <v>0</v>
      </c>
      <c r="AI560" s="49">
        <f t="shared" ca="1" si="257"/>
        <v>0</v>
      </c>
      <c r="AJ560" s="49">
        <f t="shared" ca="1" si="257"/>
        <v>0</v>
      </c>
      <c r="AK560" s="49">
        <f t="shared" ca="1" si="257"/>
        <v>0</v>
      </c>
      <c r="AL560" s="49">
        <f t="shared" ca="1" si="257"/>
        <v>0</v>
      </c>
      <c r="AM560" s="49">
        <f t="shared" ca="1" si="257"/>
        <v>0</v>
      </c>
      <c r="AN560" s="49">
        <f t="shared" ca="1" si="257"/>
        <v>0</v>
      </c>
      <c r="AO560" s="49">
        <f t="shared" ca="1" si="257"/>
        <v>0</v>
      </c>
      <c r="AP560" s="49">
        <f t="shared" ca="1" si="257"/>
        <v>0</v>
      </c>
      <c r="AQ560" s="49">
        <f t="shared" ca="1" si="257"/>
        <v>0</v>
      </c>
      <c r="AR560" s="49">
        <f t="shared" ca="1" si="257"/>
        <v>0</v>
      </c>
      <c r="AS560" s="49">
        <f t="shared" ca="1" si="257"/>
        <v>0</v>
      </c>
      <c r="AT560" s="49">
        <f t="shared" ca="1" si="257"/>
        <v>0</v>
      </c>
      <c r="AU560" s="49">
        <f t="shared" ca="1" si="257"/>
        <v>0</v>
      </c>
      <c r="AV560" s="49">
        <f t="shared" ca="1" si="257"/>
        <v>0</v>
      </c>
      <c r="AW560" s="49">
        <f t="shared" ca="1" si="257"/>
        <v>0</v>
      </c>
      <c r="AX560" s="49">
        <f t="shared" ca="1" si="257"/>
        <v>0</v>
      </c>
      <c r="AY560" s="49">
        <f t="shared" ca="1" si="257"/>
        <v>0</v>
      </c>
      <c r="AZ560" s="49">
        <f t="shared" ca="1" si="257"/>
        <v>0</v>
      </c>
      <c r="BA560" s="49">
        <f t="shared" ca="1" si="257"/>
        <v>0</v>
      </c>
      <c r="BB560" s="49">
        <f t="shared" ca="1" si="257"/>
        <v>0</v>
      </c>
      <c r="BC560" s="49">
        <f t="shared" ca="1" si="257"/>
        <v>0</v>
      </c>
      <c r="BD560" s="49">
        <f t="shared" ca="1" si="257"/>
        <v>0</v>
      </c>
      <c r="BE560" s="49">
        <f t="shared" ca="1" si="257"/>
        <v>0</v>
      </c>
      <c r="BF560" s="49">
        <f t="shared" ca="1" si="257"/>
        <v>0</v>
      </c>
      <c r="BG560" s="49">
        <f t="shared" ca="1" si="257"/>
        <v>0</v>
      </c>
      <c r="BH560" s="49">
        <f t="shared" ca="1" si="257"/>
        <v>0</v>
      </c>
      <c r="BI560" s="49">
        <f t="shared" ca="1" si="257"/>
        <v>0</v>
      </c>
      <c r="BJ560" s="49">
        <f t="shared" ca="1" si="257"/>
        <v>0</v>
      </c>
      <c r="BK560" s="49">
        <f t="shared" ca="1" si="257"/>
        <v>0</v>
      </c>
      <c r="BL560" s="49">
        <f t="shared" ca="1" si="257"/>
        <v>0</v>
      </c>
      <c r="BM560" s="49">
        <f t="shared" ca="1" si="257"/>
        <v>0</v>
      </c>
      <c r="BN560" s="49">
        <f t="shared" ca="1" si="257"/>
        <v>0</v>
      </c>
      <c r="BO560" s="49">
        <f t="shared" ca="1" si="257"/>
        <v>0</v>
      </c>
      <c r="BP560" s="49">
        <f t="shared" ca="1" si="257"/>
        <v>0</v>
      </c>
      <c r="BQ560" s="49">
        <f t="shared" ca="1" si="257"/>
        <v>0</v>
      </c>
      <c r="BR560" s="49">
        <f t="shared" ca="1" si="257"/>
        <v>0</v>
      </c>
      <c r="BS560" s="49">
        <f t="shared" ca="1" si="257"/>
        <v>0</v>
      </c>
    </row>
    <row r="561" spans="3:71" outlineLevel="1" x14ac:dyDescent="0.2">
      <c r="J561" s="26"/>
      <c r="L561" s="55"/>
      <c r="M561" s="55"/>
      <c r="N561" s="55"/>
      <c r="O561" s="55"/>
      <c r="P561" s="55"/>
      <c r="Q561" s="55"/>
      <c r="R561" s="55"/>
      <c r="S561" s="55"/>
      <c r="T561" s="55"/>
      <c r="U561" s="55"/>
      <c r="V561" s="55"/>
      <c r="W561" s="55"/>
      <c r="X561" s="55"/>
      <c r="Y561" s="55"/>
      <c r="Z561" s="55"/>
      <c r="AA561" s="55"/>
      <c r="AB561" s="55"/>
      <c r="AC561" s="55"/>
      <c r="AD561" s="55"/>
      <c r="AE561" s="55"/>
      <c r="AF561" s="55"/>
      <c r="AG561" s="55"/>
      <c r="AH561" s="55"/>
      <c r="AI561" s="55"/>
      <c r="AJ561" s="55"/>
      <c r="AK561" s="55"/>
      <c r="AL561" s="55"/>
      <c r="AM561" s="55"/>
      <c r="AN561" s="55"/>
      <c r="AO561" s="55"/>
      <c r="AP561" s="55"/>
      <c r="AQ561" s="55"/>
      <c r="AR561" s="55"/>
      <c r="AS561" s="55"/>
      <c r="AT561" s="55"/>
      <c r="AU561" s="55"/>
      <c r="AV561" s="55"/>
      <c r="AW561" s="55"/>
      <c r="AX561" s="55"/>
      <c r="AY561" s="55"/>
      <c r="AZ561" s="55"/>
      <c r="BA561" s="55"/>
      <c r="BB561" s="55"/>
      <c r="BC561" s="55"/>
      <c r="BD561" s="55"/>
      <c r="BE561" s="55"/>
      <c r="BF561" s="55"/>
      <c r="BG561" s="55"/>
      <c r="BH561" s="55"/>
      <c r="BI561" s="55"/>
      <c r="BJ561" s="55"/>
      <c r="BK561" s="55"/>
      <c r="BL561" s="55"/>
      <c r="BM561" s="55"/>
      <c r="BN561" s="55"/>
      <c r="BO561" s="55"/>
      <c r="BP561" s="55"/>
      <c r="BQ561" s="55"/>
      <c r="BR561" s="55"/>
      <c r="BS561" s="55"/>
    </row>
    <row r="562" spans="3:71" outlineLevel="1" x14ac:dyDescent="0.2">
      <c r="C562" s="11" t="str">
        <f>HM_ZB_Nsoko!C548</f>
        <v>VAN cycle complet</v>
      </c>
      <c r="G562" s="60"/>
      <c r="H562" s="7" t="s">
        <v>487</v>
      </c>
      <c r="I562" s="65">
        <f t="shared" ca="1" si="256"/>
        <v>4771.5993736063128</v>
      </c>
      <c r="J562" s="26" t="s">
        <v>148</v>
      </c>
      <c r="L562" s="49">
        <f ca="1">OA_gov_CF_AM_4_AM_6*HM_ZD_Moho!CA_disc_factor_fc</f>
        <v>1128.3497459713462</v>
      </c>
      <c r="M562" s="49">
        <f ca="1">OA_gov_CF_AM_4_AM_6*HM_ZD_Moho!CA_disc_factor_fc</f>
        <v>946.10917858599259</v>
      </c>
      <c r="N562" s="49">
        <f ca="1">OA_gov_CF_AM_4_AM_6*HM_ZD_Moho!CA_disc_factor_fc</f>
        <v>107.94302952895212</v>
      </c>
      <c r="O562" s="49">
        <f ca="1">OA_gov_CF_AM_4_AM_6*HM_ZD_Moho!CA_disc_factor_fc</f>
        <v>84.329356337140027</v>
      </c>
      <c r="P562" s="49">
        <f ca="1">OA_gov_CF_AM_4_AM_6*HM_ZD_Moho!CA_disc_factor_fc</f>
        <v>215.1032526168936</v>
      </c>
      <c r="Q562" s="49">
        <f ca="1">OA_gov_CF_AM_4_AM_6*HM_ZD_Moho!CA_disc_factor_fc</f>
        <v>395.63883595112327</v>
      </c>
      <c r="R562" s="49">
        <f ca="1">OA_gov_CF_AM_4_AM_6*HM_ZD_Moho!CA_disc_factor_fc</f>
        <v>366.42952312243165</v>
      </c>
      <c r="S562" s="49">
        <f ca="1">OA_gov_CF_AM_4_AM_6*HM_ZD_Moho!CA_disc_factor_fc</f>
        <v>198.89806892284122</v>
      </c>
      <c r="T562" s="49">
        <f ca="1">OA_gov_CF_AM_4_AM_6*HM_ZD_Moho!CA_disc_factor_fc</f>
        <v>276.66796969596203</v>
      </c>
      <c r="U562" s="49">
        <f ca="1">OA_gov_CF_AM_4_AM_6*HM_ZD_Moho!CA_disc_factor_fc</f>
        <v>251.07620972339672</v>
      </c>
      <c r="V562" s="49">
        <f ca="1">OA_gov_CF_AM_4_AM_6*HM_ZD_Moho!CA_disc_factor_fc</f>
        <v>239.44453368021095</v>
      </c>
      <c r="W562" s="49">
        <f ca="1">OA_gov_CF_AM_4_AM_6*HM_ZD_Moho!CA_disc_factor_fc</f>
        <v>301.55747164747868</v>
      </c>
      <c r="X562" s="49">
        <f ca="1">OA_gov_CF_AM_4_AM_6*HM_ZD_Moho!CA_disc_factor_fc</f>
        <v>260.05219782254375</v>
      </c>
      <c r="Y562" s="49">
        <f ca="1">OA_gov_CF_AM_4_AM_6*HM_ZD_Moho!CA_disc_factor_fc</f>
        <v>0</v>
      </c>
      <c r="Z562" s="49">
        <f ca="1">OA_gov_CF_AM_4_AM_6*HM_ZD_Moho!CA_disc_factor_fc</f>
        <v>0</v>
      </c>
      <c r="AA562" s="49">
        <f ca="1">OA_gov_CF_AM_4_AM_6*HM_ZD_Moho!CA_disc_factor_fc</f>
        <v>0</v>
      </c>
      <c r="AB562" s="49">
        <f ca="1">OA_gov_CF_AM_4_AM_6*HM_ZD_Moho!CA_disc_factor_fc</f>
        <v>0</v>
      </c>
      <c r="AC562" s="49">
        <f ca="1">OA_gov_CF_AM_4_AM_6*HM_ZD_Moho!CA_disc_factor_fc</f>
        <v>0</v>
      </c>
      <c r="AD562" s="49">
        <f ca="1">OA_gov_CF_AM_4_AM_6*HM_ZD_Moho!CA_disc_factor_fc</f>
        <v>0</v>
      </c>
      <c r="AE562" s="49">
        <f ca="1">OA_gov_CF_AM_4_AM_6*HM_ZD_Moho!CA_disc_factor_fc</f>
        <v>0</v>
      </c>
      <c r="AF562" s="49">
        <f ca="1">OA_gov_CF_AM_4_AM_6*HM_ZD_Moho!CA_disc_factor_fc</f>
        <v>0</v>
      </c>
      <c r="AG562" s="49">
        <f ca="1">OA_gov_CF_AM_4_AM_6*HM_ZD_Moho!CA_disc_factor_fc</f>
        <v>0</v>
      </c>
      <c r="AH562" s="49">
        <f ca="1">OA_gov_CF_AM_4_AM_6*HM_ZD_Moho!CA_disc_factor_fc</f>
        <v>0</v>
      </c>
      <c r="AI562" s="49">
        <f ca="1">OA_gov_CF_AM_4_AM_6*HM_ZD_Moho!CA_disc_factor_fc</f>
        <v>0</v>
      </c>
      <c r="AJ562" s="49">
        <f ca="1">OA_gov_CF_AM_4_AM_6*HM_ZD_Moho!CA_disc_factor_fc</f>
        <v>0</v>
      </c>
      <c r="AK562" s="49">
        <f ca="1">OA_gov_CF_AM_4_AM_6*HM_ZD_Moho!CA_disc_factor_fc</f>
        <v>0</v>
      </c>
      <c r="AL562" s="49">
        <f ca="1">OA_gov_CF_AM_4_AM_6*HM_ZD_Moho!CA_disc_factor_fc</f>
        <v>0</v>
      </c>
      <c r="AM562" s="49">
        <f ca="1">OA_gov_CF_AM_4_AM_6*HM_ZD_Moho!CA_disc_factor_fc</f>
        <v>0</v>
      </c>
      <c r="AN562" s="49">
        <f ca="1">OA_gov_CF_AM_4_AM_6*HM_ZD_Moho!CA_disc_factor_fc</f>
        <v>0</v>
      </c>
      <c r="AO562" s="49">
        <f ca="1">OA_gov_CF_AM_4_AM_6*HM_ZD_Moho!CA_disc_factor_fc</f>
        <v>0</v>
      </c>
      <c r="AP562" s="49">
        <f ca="1">OA_gov_CF_AM_4_AM_6*HM_ZD_Moho!CA_disc_factor_fc</f>
        <v>0</v>
      </c>
      <c r="AQ562" s="49">
        <f ca="1">OA_gov_CF_AM_4_AM_6*HM_ZD_Moho!CA_disc_factor_fc</f>
        <v>0</v>
      </c>
      <c r="AR562" s="49">
        <f ca="1">OA_gov_CF_AM_4_AM_6*HM_ZD_Moho!CA_disc_factor_fc</f>
        <v>0</v>
      </c>
      <c r="AS562" s="49">
        <f ca="1">OA_gov_CF_AM_4_AM_6*HM_ZD_Moho!CA_disc_factor_fc</f>
        <v>0</v>
      </c>
      <c r="AT562" s="49">
        <f ca="1">OA_gov_CF_AM_4_AM_6*HM_ZD_Moho!CA_disc_factor_fc</f>
        <v>0</v>
      </c>
      <c r="AU562" s="49">
        <f ca="1">OA_gov_CF_AM_4_AM_6*HM_ZD_Moho!CA_disc_factor_fc</f>
        <v>0</v>
      </c>
      <c r="AV562" s="49">
        <f ca="1">OA_gov_CF_AM_4_AM_6*HM_ZD_Moho!CA_disc_factor_fc</f>
        <v>0</v>
      </c>
      <c r="AW562" s="49">
        <f ca="1">OA_gov_CF_AM_4_AM_6*HM_ZD_Moho!CA_disc_factor_fc</f>
        <v>0</v>
      </c>
      <c r="AX562" s="49">
        <f ca="1">OA_gov_CF_AM_4_AM_6*HM_ZD_Moho!CA_disc_factor_fc</f>
        <v>0</v>
      </c>
      <c r="AY562" s="49">
        <f ca="1">OA_gov_CF_AM_4_AM_6*HM_ZD_Moho!CA_disc_factor_fc</f>
        <v>0</v>
      </c>
      <c r="AZ562" s="49">
        <f ca="1">OA_gov_CF_AM_4_AM_6*HM_ZD_Moho!CA_disc_factor_fc</f>
        <v>0</v>
      </c>
      <c r="BA562" s="49">
        <f ca="1">OA_gov_CF_AM_4_AM_6*HM_ZD_Moho!CA_disc_factor_fc</f>
        <v>0</v>
      </c>
      <c r="BB562" s="49">
        <f ca="1">OA_gov_CF_AM_4_AM_6*HM_ZD_Moho!CA_disc_factor_fc</f>
        <v>0</v>
      </c>
      <c r="BC562" s="49">
        <f ca="1">OA_gov_CF_AM_4_AM_6*HM_ZD_Moho!CA_disc_factor_fc</f>
        <v>0</v>
      </c>
      <c r="BD562" s="49">
        <f ca="1">OA_gov_CF_AM_4_AM_6*HM_ZD_Moho!CA_disc_factor_fc</f>
        <v>0</v>
      </c>
      <c r="BE562" s="49">
        <f ca="1">OA_gov_CF_AM_4_AM_6*HM_ZD_Moho!CA_disc_factor_fc</f>
        <v>0</v>
      </c>
      <c r="BF562" s="49">
        <f ca="1">OA_gov_CF_AM_4_AM_6*HM_ZD_Moho!CA_disc_factor_fc</f>
        <v>0</v>
      </c>
      <c r="BG562" s="49">
        <f ca="1">OA_gov_CF_AM_4_AM_6*HM_ZD_Moho!CA_disc_factor_fc</f>
        <v>0</v>
      </c>
      <c r="BH562" s="49">
        <f ca="1">OA_gov_CF_AM_4_AM_6*HM_ZD_Moho!CA_disc_factor_fc</f>
        <v>0</v>
      </c>
      <c r="BI562" s="49">
        <f ca="1">OA_gov_CF_AM_4_AM_6*HM_ZD_Moho!CA_disc_factor_fc</f>
        <v>0</v>
      </c>
      <c r="BJ562" s="49">
        <f ca="1">OA_gov_CF_AM_4_AM_6*HM_ZD_Moho!CA_disc_factor_fc</f>
        <v>0</v>
      </c>
      <c r="BK562" s="49">
        <f ca="1">OA_gov_CF_AM_4_AM_6*HM_ZD_Moho!CA_disc_factor_fc</f>
        <v>0</v>
      </c>
      <c r="BL562" s="49">
        <f ca="1">OA_gov_CF_AM_4_AM_6*HM_ZD_Moho!CA_disc_factor_fc</f>
        <v>0</v>
      </c>
      <c r="BM562" s="49">
        <f ca="1">OA_gov_CF_AM_4_AM_6*HM_ZD_Moho!CA_disc_factor_fc</f>
        <v>0</v>
      </c>
      <c r="BN562" s="49">
        <f ca="1">OA_gov_CF_AM_4_AM_6*HM_ZD_Moho!CA_disc_factor_fc</f>
        <v>0</v>
      </c>
      <c r="BO562" s="49">
        <f ca="1">OA_gov_CF_AM_4_AM_6*HM_ZD_Moho!CA_disc_factor_fc</f>
        <v>0</v>
      </c>
      <c r="BP562" s="49">
        <f ca="1">OA_gov_CF_AM_4_AM_6*HM_ZD_Moho!CA_disc_factor_fc</f>
        <v>0</v>
      </c>
      <c r="BQ562" s="49">
        <f ca="1">OA_gov_CF_AM_4_AM_6*HM_ZD_Moho!CA_disc_factor_fc</f>
        <v>0</v>
      </c>
      <c r="BR562" s="49">
        <f ca="1">OA_gov_CF_AM_4_AM_6*HM_ZD_Moho!CA_disc_factor_fc</f>
        <v>0</v>
      </c>
      <c r="BS562" s="49">
        <f ca="1">OA_gov_CF_AM_4_AM_6*HM_ZD_Moho!CA_disc_factor_fc</f>
        <v>0</v>
      </c>
    </row>
    <row r="563" spans="3:71" outlineLevel="1" x14ac:dyDescent="0.2">
      <c r="C563" s="11" t="str">
        <f>HM_ZB_Nsoko!C549</f>
        <v>VAN à terme</v>
      </c>
      <c r="I563" s="65">
        <f t="shared" ca="1" si="256"/>
        <v>3133.2370779845069</v>
      </c>
      <c r="J563" s="26" t="s">
        <v>148</v>
      </c>
      <c r="L563" s="49">
        <f ca="1">OA_gov_CF_AM_4_AM_6*HM_ZD_Moho!CA_disc_factor_pf</f>
        <v>0</v>
      </c>
      <c r="M563" s="49">
        <f ca="1">OA_gov_CF_AM_4_AM_6*HM_ZD_Moho!CA_disc_factor_pf</f>
        <v>0</v>
      </c>
      <c r="N563" s="49">
        <f ca="1">OA_gov_CF_AM_4_AM_6*HM_ZD_Moho!CA_disc_factor_pf</f>
        <v>0</v>
      </c>
      <c r="O563" s="49">
        <f ca="1">OA_gov_CF_AM_4_AM_6*HM_ZD_Moho!CA_disc_factor_pf</f>
        <v>0</v>
      </c>
      <c r="P563" s="49">
        <f ca="1">OA_gov_CF_AM_4_AM_6*HM_ZD_Moho!CA_disc_factor_pf</f>
        <v>0</v>
      </c>
      <c r="Q563" s="49">
        <f ca="1">OA_gov_CF_AM_4_AM_6*HM_ZD_Moho!CA_disc_factor_pf</f>
        <v>0</v>
      </c>
      <c r="R563" s="49">
        <f ca="1">OA_gov_CF_AM_4_AM_6*HM_ZD_Moho!CA_disc_factor_pf</f>
        <v>0</v>
      </c>
      <c r="S563" s="49">
        <f ca="1">OA_gov_CF_AM_4_AM_6*HM_ZD_Moho!CA_disc_factor_pf</f>
        <v>0</v>
      </c>
      <c r="T563" s="49">
        <f ca="1">OA_gov_CF_AM_4_AM_6*HM_ZD_Moho!CA_disc_factor_pf</f>
        <v>652.36860031825211</v>
      </c>
      <c r="U563" s="49">
        <f ca="1">OA_gov_CF_AM_4_AM_6*HM_ZD_Moho!CA_disc_factor_pf</f>
        <v>592.02456898231537</v>
      </c>
      <c r="V563" s="49">
        <f ca="1">OA_gov_CF_AM_4_AM_6*HM_ZD_Moho!CA_disc_factor_pf</f>
        <v>564.59768531382565</v>
      </c>
      <c r="W563" s="49">
        <f ca="1">OA_gov_CF_AM_4_AM_6*HM_ZD_Moho!CA_disc_factor_pf</f>
        <v>711.0567439749708</v>
      </c>
      <c r="X563" s="49">
        <f ca="1">OA_gov_CF_AM_4_AM_6*HM_ZD_Moho!CA_disc_factor_pf</f>
        <v>613.18947939514271</v>
      </c>
      <c r="Y563" s="49">
        <f ca="1">OA_gov_CF_AM_4_AM_6*HM_ZD_Moho!CA_disc_factor_pf</f>
        <v>0</v>
      </c>
      <c r="Z563" s="49">
        <f ca="1">OA_gov_CF_AM_4_AM_6*HM_ZD_Moho!CA_disc_factor_pf</f>
        <v>0</v>
      </c>
      <c r="AA563" s="49">
        <f ca="1">OA_gov_CF_AM_4_AM_6*HM_ZD_Moho!CA_disc_factor_pf</f>
        <v>0</v>
      </c>
      <c r="AB563" s="49">
        <f ca="1">OA_gov_CF_AM_4_AM_6*HM_ZD_Moho!CA_disc_factor_pf</f>
        <v>0</v>
      </c>
      <c r="AC563" s="49">
        <f ca="1">OA_gov_CF_AM_4_AM_6*HM_ZD_Moho!CA_disc_factor_pf</f>
        <v>0</v>
      </c>
      <c r="AD563" s="49">
        <f ca="1">OA_gov_CF_AM_4_AM_6*HM_ZD_Moho!CA_disc_factor_pf</f>
        <v>0</v>
      </c>
      <c r="AE563" s="49">
        <f ca="1">OA_gov_CF_AM_4_AM_6*HM_ZD_Moho!CA_disc_factor_pf</f>
        <v>0</v>
      </c>
      <c r="AF563" s="49">
        <f ca="1">OA_gov_CF_AM_4_AM_6*HM_ZD_Moho!CA_disc_factor_pf</f>
        <v>0</v>
      </c>
      <c r="AG563" s="49">
        <f ca="1">OA_gov_CF_AM_4_AM_6*HM_ZD_Moho!CA_disc_factor_pf</f>
        <v>0</v>
      </c>
      <c r="AH563" s="49">
        <f ca="1">OA_gov_CF_AM_4_AM_6*HM_ZD_Moho!CA_disc_factor_pf</f>
        <v>0</v>
      </c>
      <c r="AI563" s="49">
        <f ca="1">OA_gov_CF_AM_4_AM_6*HM_ZD_Moho!CA_disc_factor_pf</f>
        <v>0</v>
      </c>
      <c r="AJ563" s="49">
        <f ca="1">OA_gov_CF_AM_4_AM_6*HM_ZD_Moho!CA_disc_factor_pf</f>
        <v>0</v>
      </c>
      <c r="AK563" s="49">
        <f ca="1">OA_gov_CF_AM_4_AM_6*HM_ZD_Moho!CA_disc_factor_pf</f>
        <v>0</v>
      </c>
      <c r="AL563" s="49">
        <f ca="1">OA_gov_CF_AM_4_AM_6*HM_ZD_Moho!CA_disc_factor_pf</f>
        <v>0</v>
      </c>
      <c r="AM563" s="49">
        <f ca="1">OA_gov_CF_AM_4_AM_6*HM_ZD_Moho!CA_disc_factor_pf</f>
        <v>0</v>
      </c>
      <c r="AN563" s="49">
        <f ca="1">OA_gov_CF_AM_4_AM_6*HM_ZD_Moho!CA_disc_factor_pf</f>
        <v>0</v>
      </c>
      <c r="AO563" s="49">
        <f ca="1">OA_gov_CF_AM_4_AM_6*HM_ZD_Moho!CA_disc_factor_pf</f>
        <v>0</v>
      </c>
      <c r="AP563" s="49">
        <f ca="1">OA_gov_CF_AM_4_AM_6*HM_ZD_Moho!CA_disc_factor_pf</f>
        <v>0</v>
      </c>
      <c r="AQ563" s="49">
        <f ca="1">OA_gov_CF_AM_4_AM_6*HM_ZD_Moho!CA_disc_factor_pf</f>
        <v>0</v>
      </c>
      <c r="AR563" s="49">
        <f ca="1">OA_gov_CF_AM_4_AM_6*HM_ZD_Moho!CA_disc_factor_pf</f>
        <v>0</v>
      </c>
      <c r="AS563" s="49">
        <f ca="1">OA_gov_CF_AM_4_AM_6*HM_ZD_Moho!CA_disc_factor_pf</f>
        <v>0</v>
      </c>
      <c r="AT563" s="49">
        <f ca="1">OA_gov_CF_AM_4_AM_6*HM_ZD_Moho!CA_disc_factor_pf</f>
        <v>0</v>
      </c>
      <c r="AU563" s="49">
        <f ca="1">OA_gov_CF_AM_4_AM_6*HM_ZD_Moho!CA_disc_factor_pf</f>
        <v>0</v>
      </c>
      <c r="AV563" s="49">
        <f ca="1">OA_gov_CF_AM_4_AM_6*HM_ZD_Moho!CA_disc_factor_pf</f>
        <v>0</v>
      </c>
      <c r="AW563" s="49">
        <f ca="1">OA_gov_CF_AM_4_AM_6*HM_ZD_Moho!CA_disc_factor_pf</f>
        <v>0</v>
      </c>
      <c r="AX563" s="49">
        <f ca="1">OA_gov_CF_AM_4_AM_6*HM_ZD_Moho!CA_disc_factor_pf</f>
        <v>0</v>
      </c>
      <c r="AY563" s="49">
        <f ca="1">OA_gov_CF_AM_4_AM_6*HM_ZD_Moho!CA_disc_factor_pf</f>
        <v>0</v>
      </c>
      <c r="AZ563" s="49">
        <f ca="1">OA_gov_CF_AM_4_AM_6*HM_ZD_Moho!CA_disc_factor_pf</f>
        <v>0</v>
      </c>
      <c r="BA563" s="49">
        <f ca="1">OA_gov_CF_AM_4_AM_6*HM_ZD_Moho!CA_disc_factor_pf</f>
        <v>0</v>
      </c>
      <c r="BB563" s="49">
        <f ca="1">OA_gov_CF_AM_4_AM_6*HM_ZD_Moho!CA_disc_factor_pf</f>
        <v>0</v>
      </c>
      <c r="BC563" s="49">
        <f ca="1">OA_gov_CF_AM_4_AM_6*HM_ZD_Moho!CA_disc_factor_pf</f>
        <v>0</v>
      </c>
      <c r="BD563" s="49">
        <f ca="1">OA_gov_CF_AM_4_AM_6*HM_ZD_Moho!CA_disc_factor_pf</f>
        <v>0</v>
      </c>
      <c r="BE563" s="49">
        <f ca="1">OA_gov_CF_AM_4_AM_6*HM_ZD_Moho!CA_disc_factor_pf</f>
        <v>0</v>
      </c>
      <c r="BF563" s="49">
        <f ca="1">OA_gov_CF_AM_4_AM_6*HM_ZD_Moho!CA_disc_factor_pf</f>
        <v>0</v>
      </c>
      <c r="BG563" s="49">
        <f ca="1">OA_gov_CF_AM_4_AM_6*HM_ZD_Moho!CA_disc_factor_pf</f>
        <v>0</v>
      </c>
      <c r="BH563" s="49">
        <f ca="1">OA_gov_CF_AM_4_AM_6*HM_ZD_Moho!CA_disc_factor_pf</f>
        <v>0</v>
      </c>
      <c r="BI563" s="49">
        <f ca="1">OA_gov_CF_AM_4_AM_6*HM_ZD_Moho!CA_disc_factor_pf</f>
        <v>0</v>
      </c>
      <c r="BJ563" s="49">
        <f ca="1">OA_gov_CF_AM_4_AM_6*HM_ZD_Moho!CA_disc_factor_pf</f>
        <v>0</v>
      </c>
      <c r="BK563" s="49">
        <f ca="1">OA_gov_CF_AM_4_AM_6*HM_ZD_Moho!CA_disc_factor_pf</f>
        <v>0</v>
      </c>
      <c r="BL563" s="49">
        <f ca="1">OA_gov_CF_AM_4_AM_6*HM_ZD_Moho!CA_disc_factor_pf</f>
        <v>0</v>
      </c>
      <c r="BM563" s="49">
        <f ca="1">OA_gov_CF_AM_4_AM_6*HM_ZD_Moho!CA_disc_factor_pf</f>
        <v>0</v>
      </c>
      <c r="BN563" s="49">
        <f ca="1">OA_gov_CF_AM_4_AM_6*HM_ZD_Moho!CA_disc_factor_pf</f>
        <v>0</v>
      </c>
      <c r="BO563" s="49">
        <f ca="1">OA_gov_CF_AM_4_AM_6*HM_ZD_Moho!CA_disc_factor_pf</f>
        <v>0</v>
      </c>
      <c r="BP563" s="49">
        <f ca="1">OA_gov_CF_AM_4_AM_6*HM_ZD_Moho!CA_disc_factor_pf</f>
        <v>0</v>
      </c>
      <c r="BQ563" s="49">
        <f ca="1">OA_gov_CF_AM_4_AM_6*HM_ZD_Moho!CA_disc_factor_pf</f>
        <v>0</v>
      </c>
      <c r="BR563" s="49">
        <f ca="1">OA_gov_CF_AM_4_AM_6*HM_ZD_Moho!CA_disc_factor_pf</f>
        <v>0</v>
      </c>
      <c r="BS563" s="49">
        <f ca="1">OA_gov_CF_AM_4_AM_6*HM_ZD_Moho!CA_disc_factor_pf</f>
        <v>0</v>
      </c>
    </row>
    <row r="564" spans="3:71" outlineLevel="1" x14ac:dyDescent="0.2">
      <c r="I564" s="61"/>
      <c r="J564" s="26"/>
      <c r="L564" s="55"/>
      <c r="M564" s="55"/>
      <c r="N564" s="55"/>
      <c r="O564" s="55"/>
      <c r="P564" s="55"/>
      <c r="Q564" s="55"/>
      <c r="R564" s="55"/>
      <c r="S564" s="55"/>
      <c r="T564" s="55"/>
      <c r="U564" s="55"/>
      <c r="V564" s="55"/>
      <c r="W564" s="55"/>
      <c r="X564" s="55"/>
      <c r="Y564" s="55"/>
      <c r="Z564" s="55"/>
      <c r="AA564" s="55"/>
      <c r="AB564" s="55"/>
      <c r="AC564" s="55"/>
      <c r="AD564" s="55"/>
      <c r="AE564" s="55"/>
      <c r="AF564" s="55"/>
      <c r="AG564" s="55"/>
      <c r="AH564" s="55"/>
      <c r="AI564" s="55"/>
      <c r="AJ564" s="55"/>
      <c r="AK564" s="55"/>
      <c r="AL564" s="55"/>
      <c r="AM564" s="55"/>
      <c r="AN564" s="55"/>
      <c r="AO564" s="55"/>
      <c r="AP564" s="55"/>
      <c r="AQ564" s="55"/>
      <c r="AR564" s="55"/>
      <c r="AS564" s="55"/>
      <c r="AT564" s="55"/>
      <c r="AU564" s="55"/>
      <c r="AV564" s="55"/>
      <c r="AW564" s="55"/>
      <c r="AX564" s="55"/>
      <c r="AY564" s="55"/>
      <c r="AZ564" s="55"/>
      <c r="BA564" s="55"/>
      <c r="BB564" s="55"/>
      <c r="BC564" s="55"/>
      <c r="BD564" s="55"/>
      <c r="BE564" s="55"/>
      <c r="BF564" s="55"/>
      <c r="BG564" s="55"/>
      <c r="BH564" s="55"/>
      <c r="BI564" s="55"/>
      <c r="BJ564" s="55"/>
      <c r="BK564" s="55"/>
      <c r="BL564" s="55"/>
      <c r="BM564" s="55"/>
      <c r="BN564" s="55"/>
      <c r="BO564" s="55"/>
      <c r="BP564" s="55"/>
      <c r="BQ564" s="55"/>
      <c r="BR564" s="55"/>
      <c r="BS564" s="55"/>
    </row>
    <row r="565" spans="3:71" outlineLevel="1" x14ac:dyDescent="0.2">
      <c r="C565" s="11" t="str">
        <f>HM_ZB_Nsoko!C551</f>
        <v>TRI cycle complet</v>
      </c>
      <c r="I565" s="62" t="str">
        <f ca="1">IFERROR(IRR(INDEX(OA_gov_CF_AM_4_AM_6,1,MAX(1,$G$425-L4+1)):INDEX(OA_gov_CF_AM_4_AM_6,1,last_model_year)),"na")</f>
        <v>na</v>
      </c>
      <c r="J565" s="26" t="s">
        <v>90</v>
      </c>
      <c r="L565" s="55"/>
      <c r="M565" s="55"/>
      <c r="N565" s="55"/>
      <c r="O565" s="55"/>
      <c r="P565" s="55"/>
      <c r="Q565" s="55"/>
      <c r="R565" s="55"/>
      <c r="S565" s="55"/>
      <c r="T565" s="55"/>
      <c r="U565" s="55"/>
      <c r="V565" s="55"/>
      <c r="W565" s="55"/>
      <c r="X565" s="55"/>
      <c r="Y565" s="55"/>
      <c r="Z565" s="55"/>
      <c r="AA565" s="55"/>
      <c r="AB565" s="55"/>
      <c r="AC565" s="55"/>
      <c r="AD565" s="55"/>
      <c r="AE565" s="55"/>
      <c r="AF565" s="55"/>
      <c r="AG565" s="55"/>
      <c r="AH565" s="55"/>
      <c r="AI565" s="55"/>
      <c r="AJ565" s="55"/>
      <c r="AK565" s="55"/>
      <c r="AL565" s="55"/>
      <c r="AM565" s="55"/>
      <c r="AN565" s="55"/>
      <c r="AO565" s="55"/>
      <c r="AP565" s="55"/>
      <c r="AQ565" s="55"/>
      <c r="AR565" s="55"/>
      <c r="AS565" s="55"/>
      <c r="AT565" s="55"/>
      <c r="AU565" s="55"/>
      <c r="AV565" s="55"/>
      <c r="AW565" s="55"/>
      <c r="AX565" s="55"/>
      <c r="AY565" s="55"/>
      <c r="AZ565" s="55"/>
      <c r="BA565" s="55"/>
      <c r="BB565" s="55"/>
      <c r="BC565" s="55"/>
      <c r="BD565" s="55"/>
      <c r="BE565" s="55"/>
      <c r="BF565" s="55"/>
      <c r="BG565" s="55"/>
      <c r="BH565" s="55"/>
      <c r="BI565" s="55"/>
      <c r="BJ565" s="55"/>
      <c r="BK565" s="55"/>
      <c r="BL565" s="55"/>
      <c r="BM565" s="55"/>
      <c r="BN565" s="55"/>
      <c r="BO565" s="55"/>
      <c r="BP565" s="55"/>
      <c r="BQ565" s="55"/>
      <c r="BR565" s="55"/>
      <c r="BS565" s="55"/>
    </row>
    <row r="566" spans="3:71" outlineLevel="1" x14ac:dyDescent="0.2">
      <c r="C566" s="11" t="str">
        <f>HM_ZB_Nsoko!C552</f>
        <v>TRI à terme</v>
      </c>
      <c r="I566" s="62" t="str">
        <f ca="1">IFERROR(IRR(INDEX(OA_gov_CF_AM_4_AM_6,1,MAX(1,$G$426-L4+1)):INDEX(OA_gov_CF_AM_4_AM_6,1,last_model_year)),"na")</f>
        <v>na</v>
      </c>
      <c r="J566" s="26" t="s">
        <v>90</v>
      </c>
      <c r="L566" s="55"/>
      <c r="M566" s="55"/>
      <c r="N566" s="55"/>
      <c r="O566" s="55"/>
      <c r="P566" s="55"/>
      <c r="Q566" s="55"/>
      <c r="R566" s="55"/>
      <c r="S566" s="55"/>
      <c r="T566" s="55"/>
      <c r="U566" s="55"/>
      <c r="V566" s="55"/>
      <c r="W566" s="55"/>
      <c r="X566" s="55"/>
      <c r="Y566" s="55"/>
      <c r="Z566" s="55"/>
      <c r="AA566" s="55"/>
      <c r="AB566" s="55"/>
      <c r="AC566" s="55"/>
      <c r="AD566" s="55"/>
      <c r="AE566" s="55"/>
      <c r="AF566" s="55"/>
      <c r="AG566" s="55"/>
      <c r="AH566" s="55"/>
      <c r="AI566" s="55"/>
      <c r="AJ566" s="55"/>
      <c r="AK566" s="55"/>
      <c r="AL566" s="55"/>
      <c r="AM566" s="55"/>
      <c r="AN566" s="55"/>
      <c r="AO566" s="55"/>
      <c r="AP566" s="55"/>
      <c r="AQ566" s="55"/>
      <c r="AR566" s="55"/>
      <c r="AS566" s="55"/>
      <c r="AT566" s="55"/>
      <c r="AU566" s="55"/>
      <c r="AV566" s="55"/>
      <c r="AW566" s="55"/>
      <c r="AX566" s="55"/>
      <c r="AY566" s="55"/>
      <c r="AZ566" s="55"/>
      <c r="BA566" s="55"/>
      <c r="BB566" s="55"/>
      <c r="BC566" s="55"/>
      <c r="BD566" s="55"/>
      <c r="BE566" s="55"/>
      <c r="BF566" s="55"/>
      <c r="BG566" s="55"/>
      <c r="BH566" s="55"/>
      <c r="BI566" s="55"/>
      <c r="BJ566" s="55"/>
      <c r="BK566" s="55"/>
      <c r="BL566" s="55"/>
      <c r="BM566" s="55"/>
      <c r="BN566" s="55"/>
      <c r="BO566" s="55"/>
      <c r="BP566" s="55"/>
      <c r="BQ566" s="55"/>
      <c r="BR566" s="55"/>
      <c r="BS566" s="55"/>
    </row>
    <row r="567" spans="3:71" outlineLevel="1" x14ac:dyDescent="0.2">
      <c r="J567" s="26"/>
      <c r="L567" s="55"/>
      <c r="M567" s="55"/>
      <c r="N567" s="55"/>
      <c r="O567" s="55"/>
      <c r="P567" s="55"/>
      <c r="Q567" s="55"/>
      <c r="R567" s="55"/>
      <c r="S567" s="55"/>
      <c r="T567" s="55"/>
      <c r="U567" s="55"/>
      <c r="V567" s="55"/>
      <c r="W567" s="55"/>
      <c r="X567" s="55"/>
      <c r="Y567" s="55"/>
      <c r="Z567" s="55"/>
      <c r="AA567" s="55"/>
      <c r="AB567" s="55"/>
      <c r="AC567" s="55"/>
      <c r="AD567" s="55"/>
      <c r="AE567" s="55"/>
      <c r="AF567" s="55"/>
      <c r="AG567" s="55"/>
      <c r="AH567" s="55"/>
      <c r="AI567" s="55"/>
      <c r="AJ567" s="55"/>
      <c r="AK567" s="55"/>
      <c r="AL567" s="55"/>
      <c r="AM567" s="55"/>
      <c r="AN567" s="55"/>
      <c r="AO567" s="55"/>
      <c r="AP567" s="55"/>
      <c r="AQ567" s="55"/>
      <c r="AR567" s="55"/>
      <c r="AS567" s="55"/>
      <c r="AT567" s="55"/>
      <c r="AU567" s="55"/>
      <c r="AV567" s="55"/>
      <c r="AW567" s="55"/>
      <c r="AX567" s="55"/>
      <c r="AY567" s="55"/>
      <c r="AZ567" s="55"/>
      <c r="BA567" s="55"/>
      <c r="BB567" s="55"/>
      <c r="BC567" s="55"/>
      <c r="BD567" s="55"/>
      <c r="BE567" s="55"/>
      <c r="BF567" s="55"/>
      <c r="BG567" s="55"/>
      <c r="BH567" s="55"/>
      <c r="BI567" s="55"/>
      <c r="BJ567" s="55"/>
      <c r="BK567" s="55"/>
      <c r="BL567" s="55"/>
      <c r="BM567" s="55"/>
      <c r="BN567" s="55"/>
      <c r="BO567" s="55"/>
      <c r="BP567" s="55"/>
      <c r="BQ567" s="55"/>
      <c r="BR567" s="55"/>
      <c r="BS567" s="55"/>
    </row>
    <row r="568" spans="3:71" outlineLevel="1" x14ac:dyDescent="0.2">
      <c r="C568" s="11" t="str">
        <f>HM_ZB_Nsoko!C554</f>
        <v>Part nominale du Gouv. (%)</v>
      </c>
      <c r="H568" s="7" t="s">
        <v>488</v>
      </c>
      <c r="I568" s="62">
        <f ca="1">IFERROR(I560/I450,0)</f>
        <v>0.56798325036567565</v>
      </c>
      <c r="J568" s="26" t="s">
        <v>90</v>
      </c>
      <c r="L568" s="55"/>
      <c r="M568" s="55"/>
      <c r="N568" s="55"/>
      <c r="O568" s="55"/>
      <c r="P568" s="55"/>
      <c r="Q568" s="55"/>
      <c r="R568" s="55"/>
      <c r="S568" s="55"/>
      <c r="T568" s="55"/>
      <c r="U568" s="55"/>
      <c r="V568" s="55"/>
      <c r="W568" s="55"/>
      <c r="X568" s="55"/>
      <c r="Y568" s="55"/>
      <c r="Z568" s="55"/>
      <c r="AA568" s="55"/>
      <c r="AB568" s="55"/>
      <c r="AC568" s="55"/>
      <c r="AD568" s="55"/>
      <c r="AE568" s="55"/>
      <c r="AF568" s="55"/>
      <c r="AG568" s="55"/>
      <c r="AH568" s="55"/>
      <c r="AI568" s="55"/>
      <c r="AJ568" s="55"/>
      <c r="AK568" s="55"/>
      <c r="AL568" s="55"/>
      <c r="AM568" s="55"/>
      <c r="AN568" s="55"/>
      <c r="AO568" s="55"/>
      <c r="AP568" s="55"/>
      <c r="AQ568" s="55"/>
      <c r="AR568" s="55"/>
      <c r="AS568" s="55"/>
      <c r="AT568" s="55"/>
      <c r="AU568" s="55"/>
      <c r="AV568" s="55"/>
      <c r="AW568" s="55"/>
      <c r="AX568" s="55"/>
      <c r="AY568" s="55"/>
      <c r="AZ568" s="55"/>
      <c r="BA568" s="55"/>
      <c r="BB568" s="55"/>
      <c r="BC568" s="55"/>
      <c r="BD568" s="55"/>
      <c r="BE568" s="55"/>
      <c r="BF568" s="55"/>
      <c r="BG568" s="55"/>
      <c r="BH568" s="55"/>
      <c r="BI568" s="55"/>
      <c r="BJ568" s="55"/>
      <c r="BK568" s="55"/>
      <c r="BL568" s="55"/>
      <c r="BM568" s="55"/>
      <c r="BN568" s="55"/>
      <c r="BO568" s="55"/>
      <c r="BP568" s="55"/>
      <c r="BQ568" s="55"/>
      <c r="BR568" s="55"/>
      <c r="BS568" s="55"/>
    </row>
    <row r="569" spans="3:71" outlineLevel="1" x14ac:dyDescent="0.2">
      <c r="J569" s="26"/>
      <c r="L569" s="55"/>
      <c r="M569" s="55"/>
      <c r="N569" s="55"/>
      <c r="O569" s="55"/>
      <c r="P569" s="55"/>
      <c r="Q569" s="55"/>
      <c r="R569" s="55"/>
      <c r="S569" s="55"/>
      <c r="T569" s="55"/>
      <c r="U569" s="55"/>
      <c r="V569" s="55"/>
      <c r="W569" s="55"/>
      <c r="X569" s="55"/>
      <c r="Y569" s="55"/>
      <c r="Z569" s="55"/>
      <c r="AA569" s="55"/>
      <c r="AB569" s="55"/>
      <c r="AC569" s="55"/>
      <c r="AD569" s="55"/>
      <c r="AE569" s="55"/>
      <c r="AF569" s="55"/>
      <c r="AG569" s="55"/>
      <c r="AH569" s="55"/>
      <c r="AI569" s="55"/>
      <c r="AJ569" s="55"/>
      <c r="AK569" s="55"/>
      <c r="AL569" s="55"/>
      <c r="AM569" s="55"/>
      <c r="AN569" s="55"/>
      <c r="AO569" s="55"/>
      <c r="AP569" s="55"/>
      <c r="AQ569" s="55"/>
      <c r="AR569" s="55"/>
      <c r="AS569" s="55"/>
      <c r="AT569" s="55"/>
      <c r="AU569" s="55"/>
      <c r="AV569" s="55"/>
      <c r="AW569" s="55"/>
      <c r="AX569" s="55"/>
      <c r="AY569" s="55"/>
      <c r="AZ569" s="55"/>
      <c r="BA569" s="55"/>
      <c r="BB569" s="55"/>
      <c r="BC569" s="55"/>
      <c r="BD569" s="55"/>
      <c r="BE569" s="55"/>
      <c r="BF569" s="55"/>
      <c r="BG569" s="55"/>
      <c r="BH569" s="55"/>
      <c r="BI569" s="55"/>
      <c r="BJ569" s="55"/>
      <c r="BK569" s="55"/>
      <c r="BL569" s="55"/>
      <c r="BM569" s="55"/>
      <c r="BN569" s="55"/>
      <c r="BO569" s="55"/>
      <c r="BP569" s="55"/>
      <c r="BQ569" s="55"/>
      <c r="BR569" s="55"/>
      <c r="BS569" s="55"/>
    </row>
    <row r="570" spans="3:71" outlineLevel="1" x14ac:dyDescent="0.2">
      <c r="C570" s="11" t="str">
        <f>HM_ZB_Nsoko!C556</f>
        <v>Part nominale de l'État (%)</v>
      </c>
      <c r="H570" s="7" t="s">
        <v>491</v>
      </c>
      <c r="I570" s="62">
        <f ca="1">IFERROR(SUM(gov_CF_AM_4_AM6,I529)/I450,0)</f>
        <v>0.63369518563551186</v>
      </c>
      <c r="J570" s="26"/>
      <c r="L570" s="55"/>
      <c r="M570" s="55"/>
      <c r="N570" s="55"/>
      <c r="O570" s="55"/>
      <c r="P570" s="55"/>
      <c r="Q570" s="55"/>
      <c r="R570" s="55"/>
      <c r="S570" s="55"/>
      <c r="T570" s="55"/>
      <c r="U570" s="55"/>
      <c r="V570" s="55"/>
      <c r="W570" s="55"/>
      <c r="X570" s="55"/>
      <c r="Y570" s="55"/>
      <c r="Z570" s="55"/>
      <c r="AA570" s="55"/>
      <c r="AB570" s="55"/>
      <c r="AC570" s="55"/>
      <c r="AD570" s="55"/>
      <c r="AE570" s="55"/>
      <c r="AF570" s="55"/>
      <c r="AG570" s="55"/>
      <c r="AH570" s="55"/>
      <c r="AI570" s="55"/>
      <c r="AJ570" s="55"/>
      <c r="AK570" s="55"/>
      <c r="AL570" s="55"/>
      <c r="AM570" s="55"/>
      <c r="AN570" s="55"/>
      <c r="AO570" s="55"/>
      <c r="AP570" s="55"/>
      <c r="AQ570" s="55"/>
      <c r="AR570" s="55"/>
      <c r="AS570" s="55"/>
      <c r="AT570" s="55"/>
      <c r="AU570" s="55"/>
      <c r="AV570" s="55"/>
      <c r="AW570" s="55"/>
      <c r="AX570" s="55"/>
      <c r="AY570" s="55"/>
      <c r="AZ570" s="55"/>
      <c r="BA570" s="55"/>
      <c r="BB570" s="55"/>
      <c r="BC570" s="55"/>
      <c r="BD570" s="55"/>
      <c r="BE570" s="55"/>
      <c r="BF570" s="55"/>
      <c r="BG570" s="55"/>
      <c r="BH570" s="55"/>
      <c r="BI570" s="55"/>
      <c r="BJ570" s="55"/>
      <c r="BK570" s="55"/>
      <c r="BL570" s="55"/>
      <c r="BM570" s="55"/>
      <c r="BN570" s="55"/>
      <c r="BO570" s="55"/>
      <c r="BP570" s="55"/>
      <c r="BQ570" s="55"/>
      <c r="BR570" s="55"/>
      <c r="BS570" s="55"/>
    </row>
    <row r="571" spans="3:71" outlineLevel="1" x14ac:dyDescent="0.2">
      <c r="J571" s="26"/>
      <c r="L571" s="55"/>
      <c r="M571" s="55"/>
      <c r="N571" s="55"/>
      <c r="O571" s="55"/>
      <c r="P571" s="55"/>
      <c r="Q571" s="55"/>
      <c r="R571" s="55"/>
      <c r="S571" s="55"/>
      <c r="T571" s="55"/>
      <c r="U571" s="55"/>
      <c r="V571" s="55"/>
      <c r="W571" s="55"/>
      <c r="X571" s="55"/>
      <c r="Y571" s="55"/>
      <c r="Z571" s="55"/>
      <c r="AA571" s="55"/>
      <c r="AB571" s="55"/>
      <c r="AC571" s="55"/>
      <c r="AD571" s="55"/>
      <c r="AE571" s="55"/>
      <c r="AF571" s="55"/>
      <c r="AG571" s="55"/>
      <c r="AH571" s="55"/>
      <c r="AI571" s="55"/>
      <c r="AJ571" s="55"/>
      <c r="AK571" s="55"/>
      <c r="AL571" s="55"/>
      <c r="AM571" s="55"/>
      <c r="AN571" s="55"/>
      <c r="AO571" s="55"/>
      <c r="AP571" s="55"/>
      <c r="AQ571" s="55"/>
      <c r="AR571" s="55"/>
      <c r="AS571" s="55"/>
      <c r="AT571" s="55"/>
      <c r="AU571" s="55"/>
      <c r="AV571" s="55"/>
      <c r="AW571" s="55"/>
      <c r="AX571" s="55"/>
      <c r="AY571" s="55"/>
      <c r="AZ571" s="55"/>
      <c r="BA571" s="55"/>
      <c r="BB571" s="55"/>
      <c r="BC571" s="55"/>
      <c r="BD571" s="55"/>
      <c r="BE571" s="55"/>
      <c r="BF571" s="55"/>
      <c r="BG571" s="55"/>
      <c r="BH571" s="55"/>
      <c r="BI571" s="55"/>
      <c r="BJ571" s="55"/>
      <c r="BK571" s="55"/>
      <c r="BL571" s="55"/>
      <c r="BM571" s="55"/>
      <c r="BN571" s="55"/>
      <c r="BO571" s="55"/>
      <c r="BP571" s="55"/>
      <c r="BQ571" s="55"/>
      <c r="BR571" s="55"/>
      <c r="BS571" s="55"/>
    </row>
    <row r="572" spans="3:71" outlineLevel="1" x14ac:dyDescent="0.2">
      <c r="C572" s="11" t="str">
        <f>HM_ZB_Nsoko!C558</f>
        <v>Annuité annuelle effective</v>
      </c>
      <c r="H572" s="7" t="s">
        <v>489</v>
      </c>
      <c r="I572" s="65">
        <f ca="1">(input_DiscRate_nom*$I$562)/(1-(1+input_DiscRate_nom)^-COUNTIF(HM_ZD_Moho!CA_op_trig,"&lt;&gt;0"))</f>
        <v>671.73871582528034</v>
      </c>
      <c r="J572" s="26" t="s">
        <v>314</v>
      </c>
      <c r="L572" s="55"/>
      <c r="M572" s="55"/>
      <c r="N572" s="55"/>
      <c r="O572" s="55"/>
      <c r="P572" s="55"/>
      <c r="Q572" s="55"/>
      <c r="R572" s="55"/>
      <c r="S572" s="55"/>
      <c r="T572" s="55"/>
      <c r="U572" s="55"/>
      <c r="V572" s="55"/>
      <c r="W572" s="55"/>
      <c r="X572" s="55"/>
      <c r="Y572" s="55"/>
      <c r="Z572" s="55"/>
      <c r="AA572" s="55"/>
      <c r="AB572" s="55"/>
      <c r="AC572" s="55"/>
      <c r="AD572" s="55"/>
      <c r="AE572" s="55"/>
      <c r="AF572" s="55"/>
      <c r="AG572" s="55"/>
      <c r="AH572" s="55"/>
      <c r="AI572" s="55"/>
      <c r="AJ572" s="55"/>
      <c r="AK572" s="55"/>
      <c r="AL572" s="55"/>
      <c r="AM572" s="55"/>
      <c r="AN572" s="55"/>
      <c r="AO572" s="55"/>
      <c r="AP572" s="55"/>
      <c r="AQ572" s="55"/>
      <c r="AR572" s="55"/>
      <c r="AS572" s="55"/>
      <c r="AT572" s="55"/>
      <c r="AU572" s="55"/>
      <c r="AV572" s="55"/>
      <c r="AW572" s="55"/>
      <c r="AX572" s="55"/>
      <c r="AY572" s="55"/>
      <c r="AZ572" s="55"/>
      <c r="BA572" s="55"/>
      <c r="BB572" s="55"/>
      <c r="BC572" s="55"/>
      <c r="BD572" s="55"/>
      <c r="BE572" s="55"/>
      <c r="BF572" s="55"/>
      <c r="BG572" s="55"/>
      <c r="BH572" s="55"/>
      <c r="BI572" s="55"/>
      <c r="BJ572" s="55"/>
      <c r="BK572" s="55"/>
      <c r="BL572" s="55"/>
      <c r="BM572" s="55"/>
      <c r="BN572" s="55"/>
      <c r="BO572" s="55"/>
      <c r="BP572" s="55"/>
      <c r="BQ572" s="55"/>
      <c r="BR572" s="55"/>
      <c r="BS572" s="55"/>
    </row>
    <row r="573" spans="3:71" outlineLevel="1" x14ac:dyDescent="0.2">
      <c r="J573" s="26"/>
      <c r="L573" s="55"/>
      <c r="M573" s="55"/>
      <c r="N573" s="55"/>
      <c r="O573" s="55"/>
      <c r="P573" s="55"/>
      <c r="Q573" s="55"/>
      <c r="R573" s="55"/>
      <c r="S573" s="55"/>
      <c r="T573" s="55"/>
      <c r="U573" s="55"/>
      <c r="V573" s="55"/>
      <c r="W573" s="55"/>
      <c r="X573" s="55"/>
      <c r="Y573" s="55"/>
      <c r="Z573" s="55"/>
      <c r="AA573" s="55"/>
      <c r="AB573" s="55"/>
      <c r="AC573" s="55"/>
      <c r="AD573" s="55"/>
      <c r="AE573" s="55"/>
      <c r="AF573" s="55"/>
      <c r="AG573" s="55"/>
      <c r="AH573" s="55"/>
      <c r="AI573" s="55"/>
      <c r="AJ573" s="55"/>
      <c r="AK573" s="55"/>
      <c r="AL573" s="55"/>
      <c r="AM573" s="55"/>
      <c r="AN573" s="55"/>
      <c r="AO573" s="55"/>
      <c r="AP573" s="55"/>
      <c r="AQ573" s="55"/>
      <c r="AR573" s="55"/>
      <c r="AS573" s="55"/>
      <c r="AT573" s="55"/>
      <c r="AU573" s="55"/>
      <c r="AV573" s="55"/>
      <c r="AW573" s="55"/>
      <c r="AX573" s="55"/>
      <c r="AY573" s="55"/>
      <c r="AZ573" s="55"/>
      <c r="BA573" s="55"/>
      <c r="BB573" s="55"/>
      <c r="BC573" s="55"/>
      <c r="BD573" s="55"/>
      <c r="BE573" s="55"/>
      <c r="BF573" s="55"/>
      <c r="BG573" s="55"/>
      <c r="BH573" s="55"/>
      <c r="BI573" s="55"/>
      <c r="BJ573" s="55"/>
      <c r="BK573" s="55"/>
      <c r="BL573" s="55"/>
      <c r="BM573" s="55"/>
      <c r="BN573" s="55"/>
      <c r="BO573" s="55"/>
      <c r="BP573" s="55"/>
      <c r="BQ573" s="55"/>
      <c r="BR573" s="55"/>
      <c r="BS573" s="55"/>
    </row>
    <row r="574" spans="3:71" outlineLevel="1" x14ac:dyDescent="0.2">
      <c r="J574" s="26"/>
      <c r="L574" s="55"/>
      <c r="M574" s="55"/>
      <c r="N574" s="55"/>
      <c r="O574" s="55"/>
      <c r="P574" s="55"/>
      <c r="Q574" s="55"/>
      <c r="R574" s="55"/>
      <c r="S574" s="55"/>
      <c r="T574" s="55"/>
      <c r="U574" s="55"/>
      <c r="V574" s="55"/>
      <c r="W574" s="55"/>
      <c r="X574" s="55"/>
      <c r="Y574" s="55"/>
      <c r="Z574" s="55"/>
      <c r="AA574" s="55"/>
      <c r="AB574" s="55"/>
      <c r="AC574" s="55"/>
      <c r="AD574" s="55"/>
      <c r="AE574" s="55"/>
      <c r="AF574" s="55"/>
      <c r="AG574" s="55"/>
      <c r="AH574" s="55"/>
      <c r="AI574" s="55"/>
      <c r="AJ574" s="55"/>
      <c r="AK574" s="55"/>
      <c r="AL574" s="55"/>
      <c r="AM574" s="55"/>
      <c r="AN574" s="55"/>
      <c r="AO574" s="55"/>
      <c r="AP574" s="55"/>
      <c r="AQ574" s="55"/>
      <c r="AR574" s="55"/>
      <c r="AS574" s="55"/>
      <c r="AT574" s="55"/>
      <c r="AU574" s="55"/>
      <c r="AV574" s="55"/>
      <c r="AW574" s="55"/>
      <c r="AX574" s="55"/>
      <c r="AY574" s="55"/>
      <c r="AZ574" s="55"/>
      <c r="BA574" s="55"/>
      <c r="BB574" s="55"/>
      <c r="BC574" s="55"/>
      <c r="BD574" s="55"/>
      <c r="BE574" s="55"/>
      <c r="BF574" s="55"/>
      <c r="BG574" s="55"/>
      <c r="BH574" s="55"/>
      <c r="BI574" s="55"/>
      <c r="BJ574" s="55"/>
      <c r="BK574" s="55"/>
      <c r="BL574" s="55"/>
      <c r="BM574" s="55"/>
      <c r="BN574" s="55"/>
      <c r="BO574" s="55"/>
      <c r="BP574" s="55"/>
      <c r="BQ574" s="55"/>
      <c r="BR574" s="55"/>
      <c r="BS574" s="55"/>
    </row>
    <row r="575" spans="3:71" outlineLevel="1" x14ac:dyDescent="0.2">
      <c r="C575" s="11" t="str">
        <f>HM_ZB_Nsoko!C561</f>
        <v>Volumes</v>
      </c>
      <c r="J575" s="26"/>
      <c r="L575" s="55"/>
      <c r="M575" s="55"/>
      <c r="N575" s="55"/>
      <c r="O575" s="55"/>
      <c r="P575" s="55"/>
      <c r="Q575" s="55"/>
      <c r="R575" s="55"/>
      <c r="S575" s="55"/>
      <c r="T575" s="55"/>
      <c r="U575" s="55"/>
      <c r="V575" s="55"/>
      <c r="W575" s="55"/>
      <c r="X575" s="55"/>
      <c r="Y575" s="55"/>
      <c r="Z575" s="55"/>
      <c r="AA575" s="55"/>
      <c r="AB575" s="55"/>
      <c r="AC575" s="55"/>
      <c r="AD575" s="55"/>
      <c r="AE575" s="55"/>
      <c r="AF575" s="55"/>
      <c r="AG575" s="55"/>
      <c r="AH575" s="55"/>
      <c r="AI575" s="55"/>
      <c r="AJ575" s="55"/>
      <c r="AK575" s="55"/>
      <c r="AL575" s="55"/>
      <c r="AM575" s="55"/>
      <c r="AN575" s="55"/>
      <c r="AO575" s="55"/>
      <c r="AP575" s="55"/>
      <c r="AQ575" s="55"/>
      <c r="AR575" s="55"/>
      <c r="AS575" s="55"/>
      <c r="AT575" s="55"/>
      <c r="AU575" s="55"/>
      <c r="AV575" s="55"/>
      <c r="AW575" s="55"/>
      <c r="AX575" s="55"/>
      <c r="AY575" s="55"/>
      <c r="AZ575" s="55"/>
      <c r="BA575" s="55"/>
      <c r="BB575" s="55"/>
      <c r="BC575" s="55"/>
      <c r="BD575" s="55"/>
      <c r="BE575" s="55"/>
      <c r="BF575" s="55"/>
      <c r="BG575" s="55"/>
      <c r="BH575" s="55"/>
      <c r="BI575" s="55"/>
      <c r="BJ575" s="55"/>
      <c r="BK575" s="55"/>
      <c r="BL575" s="55"/>
      <c r="BM575" s="55"/>
      <c r="BN575" s="55"/>
      <c r="BO575" s="55"/>
      <c r="BP575" s="55"/>
      <c r="BQ575" s="55"/>
      <c r="BR575" s="55"/>
      <c r="BS575" s="55"/>
    </row>
    <row r="576" spans="3:71" outlineLevel="1" x14ac:dyDescent="0.2">
      <c r="D576" t="str">
        <f>HM_ZB_Nsoko!D562</f>
        <v>Redevance</v>
      </c>
      <c r="H576" s="7"/>
      <c r="I576" s="30">
        <f t="shared" ref="I576:I579" ca="1" si="258">SUM($L576:$BS576)</f>
        <v>70.520311379592329</v>
      </c>
      <c r="J576" s="26" t="s">
        <v>692</v>
      </c>
      <c r="L576" s="49">
        <f ca="1">IFERROR((L548)/((HM_ZD_Moho!CA_FP_oil_nom*HM_ZD_Moho!CA_gross_prod_oil+HM_ZD_Moho!CA_FP_lpg_nom*HM_ZD_Moho!CA_gross_prod_lpg+HM_ZD_Moho!CA_FP_gas_nom*HM_ZD_Moho!CA_gross_prod_gas)/HM_ZD_Moho!CA_gross_prod_Total),0)</f>
        <v>2.7170459999999999</v>
      </c>
      <c r="M576" s="49">
        <f ca="1">IFERROR((M548)/((HM_ZD_Moho!CA_FP_oil_nom*HM_ZD_Moho!CA_gross_prod_oil+HM_ZD_Moho!CA_FP_lpg_nom*HM_ZD_Moho!CA_gross_prod_lpg+HM_ZD_Moho!CA_FP_gas_nom*HM_ZD_Moho!CA_gross_prod_gas)/HM_ZD_Moho!CA_gross_prod_Total),0)</f>
        <v>2.8376788499999996</v>
      </c>
      <c r="N576" s="49">
        <f ca="1">IFERROR((N548)/((HM_ZD_Moho!CA_FP_oil_nom*HM_ZD_Moho!CA_gross_prod_oil+HM_ZD_Moho!CA_FP_lpg_nom*HM_ZD_Moho!CA_gross_prod_lpg+HM_ZD_Moho!CA_FP_gas_nom*HM_ZD_Moho!CA_gross_prod_gas)/HM_ZD_Moho!CA_gross_prod_Total),0)</f>
        <v>2.3050384500000001</v>
      </c>
      <c r="O576" s="49">
        <f ca="1">IFERROR((O548)/((HM_ZD_Moho!CA_FP_oil_nom*HM_ZD_Moho!CA_gross_prod_oil+HM_ZD_Moho!CA_FP_lpg_nom*HM_ZD_Moho!CA_gross_prod_lpg+HM_ZD_Moho!CA_FP_gas_nom*HM_ZD_Moho!CA_gross_prod_gas)/HM_ZD_Moho!CA_gross_prod_Total),0)</f>
        <v>2.33870925</v>
      </c>
      <c r="P576" s="49">
        <f ca="1">IFERROR((P548)/((HM_ZD_Moho!CA_FP_oil_nom*HM_ZD_Moho!CA_gross_prod_oil+HM_ZD_Moho!CA_FP_lpg_nom*HM_ZD_Moho!CA_gross_prod_lpg+HM_ZD_Moho!CA_FP_gas_nom*HM_ZD_Moho!CA_gross_prod_gas)/HM_ZD_Moho!CA_gross_prod_Total),0)</f>
        <v>4.89514125</v>
      </c>
      <c r="Q576" s="49">
        <f ca="1">IFERROR((Q548)/((HM_ZD_Moho!CA_FP_oil_nom*HM_ZD_Moho!CA_gross_prod_oil+HM_ZD_Moho!CA_FP_lpg_nom*HM_ZD_Moho!CA_gross_prod_lpg+HM_ZD_Moho!CA_FP_gas_nom*HM_ZD_Moho!CA_gross_prod_gas)/HM_ZD_Moho!CA_gross_prod_Total),0)</f>
        <v>7.858377299999999</v>
      </c>
      <c r="R576" s="49">
        <f ca="1">IFERROR((R548)/((HM_ZD_Moho!CA_FP_oil_nom*HM_ZD_Moho!CA_gross_prod_oil+HM_ZD_Moho!CA_FP_lpg_nom*HM_ZD_Moho!CA_gross_prod_lpg+HM_ZD_Moho!CA_FP_gas_nom*HM_ZD_Moho!CA_gross_prod_gas)/HM_ZD_Moho!CA_gross_prod_Total),0)</f>
        <v>8.1964798499999993</v>
      </c>
      <c r="S576" s="49">
        <f ca="1">IFERROR((S548)/((HM_ZD_Moho!CA_FP_oil_nom*HM_ZD_Moho!CA_gross_prod_oil+HM_ZD_Moho!CA_FP_lpg_nom*HM_ZD_Moho!CA_gross_prod_lpg+HM_ZD_Moho!CA_FP_gas_nom*HM_ZD_Moho!CA_gross_prod_gas)/HM_ZD_Moho!CA_gross_prod_Total),0)</f>
        <v>7.8072300000000006</v>
      </c>
      <c r="T576" s="49">
        <f ca="1">IFERROR((T548)/((HM_ZD_Moho!CA_FP_oil_nom*HM_ZD_Moho!CA_gross_prod_oil+HM_ZD_Moho!CA_FP_lpg_nom*HM_ZD_Moho!CA_gross_prod_lpg+HM_ZD_Moho!CA_FP_gas_nom*HM_ZD_Moho!CA_gross_prod_gas)/HM_ZD_Moho!CA_gross_prod_Total),0)</f>
        <v>7.2607238999999995</v>
      </c>
      <c r="U576" s="49">
        <f ca="1">IFERROR((U548)/((HM_ZD_Moho!CA_FP_oil_nom*HM_ZD_Moho!CA_gross_prod_oil+HM_ZD_Moho!CA_FP_lpg_nom*HM_ZD_Moho!CA_gross_prod_lpg+HM_ZD_Moho!CA_FP_gas_nom*HM_ZD_Moho!CA_gross_prod_gas)/HM_ZD_Moho!CA_gross_prod_Total),0)</f>
        <v>6.7524732269999985</v>
      </c>
      <c r="V576" s="49">
        <f ca="1">IFERROR((V548)/((HM_ZD_Moho!CA_FP_oil_nom*HM_ZD_Moho!CA_gross_prod_oil+HM_ZD_Moho!CA_FP_lpg_nom*HM_ZD_Moho!CA_gross_prod_lpg+HM_ZD_Moho!CA_FP_gas_nom*HM_ZD_Moho!CA_gross_prod_gas)/HM_ZD_Moho!CA_gross_prod_Total),0)</f>
        <v>6.2798001011099993</v>
      </c>
      <c r="W576" s="49">
        <f ca="1">IFERROR((W548)/((HM_ZD_Moho!CA_FP_oil_nom*HM_ZD_Moho!CA_gross_prod_oil+HM_ZD_Moho!CA_FP_lpg_nom*HM_ZD_Moho!CA_gross_prod_lpg+HM_ZD_Moho!CA_FP_gas_nom*HM_ZD_Moho!CA_gross_prod_gas)/HM_ZD_Moho!CA_gross_prod_Total),0)</f>
        <v>5.840214094032298</v>
      </c>
      <c r="X576" s="49">
        <f ca="1">IFERROR((X548)/((HM_ZD_Moho!CA_FP_oil_nom*HM_ZD_Moho!CA_gross_prod_oil+HM_ZD_Moho!CA_FP_lpg_nom*HM_ZD_Moho!CA_gross_prod_lpg+HM_ZD_Moho!CA_FP_gas_nom*HM_ZD_Moho!CA_gross_prod_gas)/HM_ZD_Moho!CA_gross_prod_Total),0)</f>
        <v>5.4313991074500372</v>
      </c>
      <c r="Y576" s="49">
        <f ca="1">IFERROR((Y548)/((HM_ZD_Moho!CA_FP_oil_nom*HM_ZD_Moho!CA_gross_prod_oil+HM_ZD_Moho!CA_FP_lpg_nom*HM_ZD_Moho!CA_gross_prod_lpg+HM_ZD_Moho!CA_FP_gas_nom*HM_ZD_Moho!CA_gross_prod_gas)/HM_ZD_Moho!CA_gross_prod_Total),0)</f>
        <v>0</v>
      </c>
      <c r="Z576" s="49">
        <f ca="1">IFERROR((Z548)/((HM_ZD_Moho!CA_FP_oil_nom*HM_ZD_Moho!CA_gross_prod_oil+HM_ZD_Moho!CA_FP_lpg_nom*HM_ZD_Moho!CA_gross_prod_lpg+HM_ZD_Moho!CA_FP_gas_nom*HM_ZD_Moho!CA_gross_prod_gas)/HM_ZD_Moho!CA_gross_prod_Total),0)</f>
        <v>0</v>
      </c>
      <c r="AA576" s="49">
        <f ca="1">IFERROR((AA548)/((HM_ZD_Moho!CA_FP_oil_nom*HM_ZD_Moho!CA_gross_prod_oil+HM_ZD_Moho!CA_FP_lpg_nom*HM_ZD_Moho!CA_gross_prod_lpg+HM_ZD_Moho!CA_FP_gas_nom*HM_ZD_Moho!CA_gross_prod_gas)/HM_ZD_Moho!CA_gross_prod_Total),0)</f>
        <v>0</v>
      </c>
      <c r="AB576" s="49">
        <f ca="1">IFERROR((AB548)/((HM_ZD_Moho!CA_FP_oil_nom*HM_ZD_Moho!CA_gross_prod_oil+HM_ZD_Moho!CA_FP_lpg_nom*HM_ZD_Moho!CA_gross_prod_lpg+HM_ZD_Moho!CA_FP_gas_nom*HM_ZD_Moho!CA_gross_prod_gas)/HM_ZD_Moho!CA_gross_prod_Total),0)</f>
        <v>0</v>
      </c>
      <c r="AC576" s="49">
        <f ca="1">IFERROR((AC548)/((HM_ZD_Moho!CA_FP_oil_nom*HM_ZD_Moho!CA_gross_prod_oil+HM_ZD_Moho!CA_FP_lpg_nom*HM_ZD_Moho!CA_gross_prod_lpg+HM_ZD_Moho!CA_FP_gas_nom*HM_ZD_Moho!CA_gross_prod_gas)/HM_ZD_Moho!CA_gross_prod_Total),0)</f>
        <v>0</v>
      </c>
      <c r="AD576" s="49">
        <f ca="1">IFERROR((AD548)/((HM_ZD_Moho!CA_FP_oil_nom*HM_ZD_Moho!CA_gross_prod_oil+HM_ZD_Moho!CA_FP_lpg_nom*HM_ZD_Moho!CA_gross_prod_lpg+HM_ZD_Moho!CA_FP_gas_nom*HM_ZD_Moho!CA_gross_prod_gas)/HM_ZD_Moho!CA_gross_prod_Total),0)</f>
        <v>0</v>
      </c>
      <c r="AE576" s="49">
        <f ca="1">IFERROR((AE548)/((HM_ZD_Moho!CA_FP_oil_nom*HM_ZD_Moho!CA_gross_prod_oil+HM_ZD_Moho!CA_FP_lpg_nom*HM_ZD_Moho!CA_gross_prod_lpg+HM_ZD_Moho!CA_FP_gas_nom*HM_ZD_Moho!CA_gross_prod_gas)/HM_ZD_Moho!CA_gross_prod_Total),0)</f>
        <v>0</v>
      </c>
      <c r="AF576" s="49">
        <f ca="1">IFERROR((AF548)/((HM_ZD_Moho!CA_FP_oil_nom*HM_ZD_Moho!CA_gross_prod_oil+HM_ZD_Moho!CA_FP_lpg_nom*HM_ZD_Moho!CA_gross_prod_lpg+HM_ZD_Moho!CA_FP_gas_nom*HM_ZD_Moho!CA_gross_prod_gas)/HM_ZD_Moho!CA_gross_prod_Total),0)</f>
        <v>0</v>
      </c>
      <c r="AG576" s="49">
        <f ca="1">IFERROR((AG548)/((HM_ZD_Moho!CA_FP_oil_nom*HM_ZD_Moho!CA_gross_prod_oil+HM_ZD_Moho!CA_FP_lpg_nom*HM_ZD_Moho!CA_gross_prod_lpg+HM_ZD_Moho!CA_FP_gas_nom*HM_ZD_Moho!CA_gross_prod_gas)/HM_ZD_Moho!CA_gross_prod_Total),0)</f>
        <v>0</v>
      </c>
      <c r="AH576" s="49">
        <f ca="1">IFERROR((AH548)/((HM_ZD_Moho!CA_FP_oil_nom*HM_ZD_Moho!CA_gross_prod_oil+HM_ZD_Moho!CA_FP_lpg_nom*HM_ZD_Moho!CA_gross_prod_lpg+HM_ZD_Moho!CA_FP_gas_nom*HM_ZD_Moho!CA_gross_prod_gas)/HM_ZD_Moho!CA_gross_prod_Total),0)</f>
        <v>0</v>
      </c>
      <c r="AI576" s="49">
        <f ca="1">IFERROR((AI548)/((HM_ZD_Moho!CA_FP_oil_nom*HM_ZD_Moho!CA_gross_prod_oil+HM_ZD_Moho!CA_FP_lpg_nom*HM_ZD_Moho!CA_gross_prod_lpg+HM_ZD_Moho!CA_FP_gas_nom*HM_ZD_Moho!CA_gross_prod_gas)/HM_ZD_Moho!CA_gross_prod_Total),0)</f>
        <v>0</v>
      </c>
      <c r="AJ576" s="49">
        <f ca="1">IFERROR((AJ548)/((HM_ZD_Moho!CA_FP_oil_nom*HM_ZD_Moho!CA_gross_prod_oil+HM_ZD_Moho!CA_FP_lpg_nom*HM_ZD_Moho!CA_gross_prod_lpg+HM_ZD_Moho!CA_FP_gas_nom*HM_ZD_Moho!CA_gross_prod_gas)/HM_ZD_Moho!CA_gross_prod_Total),0)</f>
        <v>0</v>
      </c>
      <c r="AK576" s="49">
        <f ca="1">IFERROR((AK548)/((HM_ZD_Moho!CA_FP_oil_nom*HM_ZD_Moho!CA_gross_prod_oil+HM_ZD_Moho!CA_FP_lpg_nom*HM_ZD_Moho!CA_gross_prod_lpg+HM_ZD_Moho!CA_FP_gas_nom*HM_ZD_Moho!CA_gross_prod_gas)/HM_ZD_Moho!CA_gross_prod_Total),0)</f>
        <v>0</v>
      </c>
      <c r="AL576" s="49">
        <f ca="1">IFERROR((AL548)/((HM_ZD_Moho!CA_FP_oil_nom*HM_ZD_Moho!CA_gross_prod_oil+HM_ZD_Moho!CA_FP_lpg_nom*HM_ZD_Moho!CA_gross_prod_lpg+HM_ZD_Moho!CA_FP_gas_nom*HM_ZD_Moho!CA_gross_prod_gas)/HM_ZD_Moho!CA_gross_prod_Total),0)</f>
        <v>0</v>
      </c>
      <c r="AM576" s="49">
        <f ca="1">IFERROR((AM548)/((HM_ZD_Moho!CA_FP_oil_nom*HM_ZD_Moho!CA_gross_prod_oil+HM_ZD_Moho!CA_FP_lpg_nom*HM_ZD_Moho!CA_gross_prod_lpg+HM_ZD_Moho!CA_FP_gas_nom*HM_ZD_Moho!CA_gross_prod_gas)/HM_ZD_Moho!CA_gross_prod_Total),0)</f>
        <v>0</v>
      </c>
      <c r="AN576" s="49">
        <f ca="1">IFERROR((AN548)/((HM_ZD_Moho!CA_FP_oil_nom*HM_ZD_Moho!CA_gross_prod_oil+HM_ZD_Moho!CA_FP_lpg_nom*HM_ZD_Moho!CA_gross_prod_lpg+HM_ZD_Moho!CA_FP_gas_nom*HM_ZD_Moho!CA_gross_prod_gas)/HM_ZD_Moho!CA_gross_prod_Total),0)</f>
        <v>0</v>
      </c>
      <c r="AO576" s="49">
        <f ca="1">IFERROR((AO548)/((HM_ZD_Moho!CA_FP_oil_nom*HM_ZD_Moho!CA_gross_prod_oil+HM_ZD_Moho!CA_FP_lpg_nom*HM_ZD_Moho!CA_gross_prod_lpg+HM_ZD_Moho!CA_FP_gas_nom*HM_ZD_Moho!CA_gross_prod_gas)/HM_ZD_Moho!CA_gross_prod_Total),0)</f>
        <v>0</v>
      </c>
      <c r="AP576" s="49">
        <f ca="1">IFERROR((AP548)/((HM_ZD_Moho!CA_FP_oil_nom*HM_ZD_Moho!CA_gross_prod_oil+HM_ZD_Moho!CA_FP_lpg_nom*HM_ZD_Moho!CA_gross_prod_lpg+HM_ZD_Moho!CA_FP_gas_nom*HM_ZD_Moho!CA_gross_prod_gas)/HM_ZD_Moho!CA_gross_prod_Total),0)</f>
        <v>0</v>
      </c>
      <c r="AQ576" s="49">
        <f ca="1">IFERROR((AQ548)/((HM_ZD_Moho!CA_FP_oil_nom*HM_ZD_Moho!CA_gross_prod_oil+HM_ZD_Moho!CA_FP_lpg_nom*HM_ZD_Moho!CA_gross_prod_lpg+HM_ZD_Moho!CA_FP_gas_nom*HM_ZD_Moho!CA_gross_prod_gas)/HM_ZD_Moho!CA_gross_prod_Total),0)</f>
        <v>0</v>
      </c>
      <c r="AR576" s="49">
        <f ca="1">IFERROR((AR548)/((HM_ZD_Moho!CA_FP_oil_nom*HM_ZD_Moho!CA_gross_prod_oil+HM_ZD_Moho!CA_FP_lpg_nom*HM_ZD_Moho!CA_gross_prod_lpg+HM_ZD_Moho!CA_FP_gas_nom*HM_ZD_Moho!CA_gross_prod_gas)/HM_ZD_Moho!CA_gross_prod_Total),0)</f>
        <v>0</v>
      </c>
      <c r="AS576" s="49">
        <f ca="1">IFERROR((AS548)/((HM_ZD_Moho!CA_FP_oil_nom*HM_ZD_Moho!CA_gross_prod_oil+HM_ZD_Moho!CA_FP_lpg_nom*HM_ZD_Moho!CA_gross_prod_lpg+HM_ZD_Moho!CA_FP_gas_nom*HM_ZD_Moho!CA_gross_prod_gas)/HM_ZD_Moho!CA_gross_prod_Total),0)</f>
        <v>0</v>
      </c>
      <c r="AT576" s="49">
        <f ca="1">IFERROR((AT548)/((HM_ZD_Moho!CA_FP_oil_nom*HM_ZD_Moho!CA_gross_prod_oil+HM_ZD_Moho!CA_FP_lpg_nom*HM_ZD_Moho!CA_gross_prod_lpg+HM_ZD_Moho!CA_FP_gas_nom*HM_ZD_Moho!CA_gross_prod_gas)/HM_ZD_Moho!CA_gross_prod_Total),0)</f>
        <v>0</v>
      </c>
      <c r="AU576" s="49">
        <f ca="1">IFERROR((AU548)/((HM_ZD_Moho!CA_FP_oil_nom*HM_ZD_Moho!CA_gross_prod_oil+HM_ZD_Moho!CA_FP_lpg_nom*HM_ZD_Moho!CA_gross_prod_lpg+HM_ZD_Moho!CA_FP_gas_nom*HM_ZD_Moho!CA_gross_prod_gas)/HM_ZD_Moho!CA_gross_prod_Total),0)</f>
        <v>0</v>
      </c>
      <c r="AV576" s="49">
        <f ca="1">IFERROR((AV548)/((HM_ZD_Moho!CA_FP_oil_nom*HM_ZD_Moho!CA_gross_prod_oil+HM_ZD_Moho!CA_FP_lpg_nom*HM_ZD_Moho!CA_gross_prod_lpg+HM_ZD_Moho!CA_FP_gas_nom*HM_ZD_Moho!CA_gross_prod_gas)/HM_ZD_Moho!CA_gross_prod_Total),0)</f>
        <v>0</v>
      </c>
      <c r="AW576" s="49">
        <f ca="1">IFERROR((AW548)/((HM_ZD_Moho!CA_FP_oil_nom*HM_ZD_Moho!CA_gross_prod_oil+HM_ZD_Moho!CA_FP_lpg_nom*HM_ZD_Moho!CA_gross_prod_lpg+HM_ZD_Moho!CA_FP_gas_nom*HM_ZD_Moho!CA_gross_prod_gas)/HM_ZD_Moho!CA_gross_prod_Total),0)</f>
        <v>0</v>
      </c>
      <c r="AX576" s="49">
        <f ca="1">IFERROR((AX548)/((HM_ZD_Moho!CA_FP_oil_nom*HM_ZD_Moho!CA_gross_prod_oil+HM_ZD_Moho!CA_FP_lpg_nom*HM_ZD_Moho!CA_gross_prod_lpg+HM_ZD_Moho!CA_FP_gas_nom*HM_ZD_Moho!CA_gross_prod_gas)/HM_ZD_Moho!CA_gross_prod_Total),0)</f>
        <v>0</v>
      </c>
      <c r="AY576" s="49">
        <f ca="1">IFERROR((AY548)/((HM_ZD_Moho!CA_FP_oil_nom*HM_ZD_Moho!CA_gross_prod_oil+HM_ZD_Moho!CA_FP_lpg_nom*HM_ZD_Moho!CA_gross_prod_lpg+HM_ZD_Moho!CA_FP_gas_nom*HM_ZD_Moho!CA_gross_prod_gas)/HM_ZD_Moho!CA_gross_prod_Total),0)</f>
        <v>0</v>
      </c>
      <c r="AZ576" s="49">
        <f ca="1">IFERROR((AZ548)/((HM_ZD_Moho!CA_FP_oil_nom*HM_ZD_Moho!CA_gross_prod_oil+HM_ZD_Moho!CA_FP_lpg_nom*HM_ZD_Moho!CA_gross_prod_lpg+HM_ZD_Moho!CA_FP_gas_nom*HM_ZD_Moho!CA_gross_prod_gas)/HM_ZD_Moho!CA_gross_prod_Total),0)</f>
        <v>0</v>
      </c>
      <c r="BA576" s="49">
        <f ca="1">IFERROR((BA548)/((HM_ZD_Moho!CA_FP_oil_nom*HM_ZD_Moho!CA_gross_prod_oil+HM_ZD_Moho!CA_FP_lpg_nom*HM_ZD_Moho!CA_gross_prod_lpg+HM_ZD_Moho!CA_FP_gas_nom*HM_ZD_Moho!CA_gross_prod_gas)/HM_ZD_Moho!CA_gross_prod_Total),0)</f>
        <v>0</v>
      </c>
      <c r="BB576" s="49">
        <f ca="1">IFERROR((BB548)/((HM_ZD_Moho!CA_FP_oil_nom*HM_ZD_Moho!CA_gross_prod_oil+HM_ZD_Moho!CA_FP_lpg_nom*HM_ZD_Moho!CA_gross_prod_lpg+HM_ZD_Moho!CA_FP_gas_nom*HM_ZD_Moho!CA_gross_prod_gas)/HM_ZD_Moho!CA_gross_prod_Total),0)</f>
        <v>0</v>
      </c>
      <c r="BC576" s="49">
        <f ca="1">IFERROR((BC548)/((HM_ZD_Moho!CA_FP_oil_nom*HM_ZD_Moho!CA_gross_prod_oil+HM_ZD_Moho!CA_FP_lpg_nom*HM_ZD_Moho!CA_gross_prod_lpg+HM_ZD_Moho!CA_FP_gas_nom*HM_ZD_Moho!CA_gross_prod_gas)/HM_ZD_Moho!CA_gross_prod_Total),0)</f>
        <v>0</v>
      </c>
      <c r="BD576" s="49">
        <f ca="1">IFERROR((BD548)/((HM_ZD_Moho!CA_FP_oil_nom*HM_ZD_Moho!CA_gross_prod_oil+HM_ZD_Moho!CA_FP_lpg_nom*HM_ZD_Moho!CA_gross_prod_lpg+HM_ZD_Moho!CA_FP_gas_nom*HM_ZD_Moho!CA_gross_prod_gas)/HM_ZD_Moho!CA_gross_prod_Total),0)</f>
        <v>0</v>
      </c>
      <c r="BE576" s="49">
        <f ca="1">IFERROR((BE548)/((HM_ZD_Moho!CA_FP_oil_nom*HM_ZD_Moho!CA_gross_prod_oil+HM_ZD_Moho!CA_FP_lpg_nom*HM_ZD_Moho!CA_gross_prod_lpg+HM_ZD_Moho!CA_FP_gas_nom*HM_ZD_Moho!CA_gross_prod_gas)/HM_ZD_Moho!CA_gross_prod_Total),0)</f>
        <v>0</v>
      </c>
      <c r="BF576" s="49">
        <f ca="1">IFERROR((BF548)/((HM_ZD_Moho!CA_FP_oil_nom*HM_ZD_Moho!CA_gross_prod_oil+HM_ZD_Moho!CA_FP_lpg_nom*HM_ZD_Moho!CA_gross_prod_lpg+HM_ZD_Moho!CA_FP_gas_nom*HM_ZD_Moho!CA_gross_prod_gas)/HM_ZD_Moho!CA_gross_prod_Total),0)</f>
        <v>0</v>
      </c>
      <c r="BG576" s="49">
        <f ca="1">IFERROR((BG548)/((HM_ZD_Moho!CA_FP_oil_nom*HM_ZD_Moho!CA_gross_prod_oil+HM_ZD_Moho!CA_FP_lpg_nom*HM_ZD_Moho!CA_gross_prod_lpg+HM_ZD_Moho!CA_FP_gas_nom*HM_ZD_Moho!CA_gross_prod_gas)/HM_ZD_Moho!CA_gross_prod_Total),0)</f>
        <v>0</v>
      </c>
      <c r="BH576" s="49">
        <f ca="1">IFERROR((BH548)/((HM_ZD_Moho!CA_FP_oil_nom*HM_ZD_Moho!CA_gross_prod_oil+HM_ZD_Moho!CA_FP_lpg_nom*HM_ZD_Moho!CA_gross_prod_lpg+HM_ZD_Moho!CA_FP_gas_nom*HM_ZD_Moho!CA_gross_prod_gas)/HM_ZD_Moho!CA_gross_prod_Total),0)</f>
        <v>0</v>
      </c>
      <c r="BI576" s="49">
        <f ca="1">IFERROR((BI548)/((HM_ZD_Moho!CA_FP_oil_nom*HM_ZD_Moho!CA_gross_prod_oil+HM_ZD_Moho!CA_FP_lpg_nom*HM_ZD_Moho!CA_gross_prod_lpg+HM_ZD_Moho!CA_FP_gas_nom*HM_ZD_Moho!CA_gross_prod_gas)/HM_ZD_Moho!CA_gross_prod_Total),0)</f>
        <v>0</v>
      </c>
      <c r="BJ576" s="49">
        <f ca="1">IFERROR((BJ548)/((HM_ZD_Moho!CA_FP_oil_nom*HM_ZD_Moho!CA_gross_prod_oil+HM_ZD_Moho!CA_FP_lpg_nom*HM_ZD_Moho!CA_gross_prod_lpg+HM_ZD_Moho!CA_FP_gas_nom*HM_ZD_Moho!CA_gross_prod_gas)/HM_ZD_Moho!CA_gross_prod_Total),0)</f>
        <v>0</v>
      </c>
      <c r="BK576" s="49">
        <f ca="1">IFERROR((BK548)/((HM_ZD_Moho!CA_FP_oil_nom*HM_ZD_Moho!CA_gross_prod_oil+HM_ZD_Moho!CA_FP_lpg_nom*HM_ZD_Moho!CA_gross_prod_lpg+HM_ZD_Moho!CA_FP_gas_nom*HM_ZD_Moho!CA_gross_prod_gas)/HM_ZD_Moho!CA_gross_prod_Total),0)</f>
        <v>0</v>
      </c>
      <c r="BL576" s="49">
        <f ca="1">IFERROR((BL548)/((HM_ZD_Moho!CA_FP_oil_nom*HM_ZD_Moho!CA_gross_prod_oil+HM_ZD_Moho!CA_FP_lpg_nom*HM_ZD_Moho!CA_gross_prod_lpg+HM_ZD_Moho!CA_FP_gas_nom*HM_ZD_Moho!CA_gross_prod_gas)/HM_ZD_Moho!CA_gross_prod_Total),0)</f>
        <v>0</v>
      </c>
      <c r="BM576" s="49">
        <f ca="1">IFERROR((BM548)/((HM_ZD_Moho!CA_FP_oil_nom*HM_ZD_Moho!CA_gross_prod_oil+HM_ZD_Moho!CA_FP_lpg_nom*HM_ZD_Moho!CA_gross_prod_lpg+HM_ZD_Moho!CA_FP_gas_nom*HM_ZD_Moho!CA_gross_prod_gas)/HM_ZD_Moho!CA_gross_prod_Total),0)</f>
        <v>0</v>
      </c>
      <c r="BN576" s="49">
        <f ca="1">IFERROR((BN548)/((HM_ZD_Moho!CA_FP_oil_nom*HM_ZD_Moho!CA_gross_prod_oil+HM_ZD_Moho!CA_FP_lpg_nom*HM_ZD_Moho!CA_gross_prod_lpg+HM_ZD_Moho!CA_FP_gas_nom*HM_ZD_Moho!CA_gross_prod_gas)/HM_ZD_Moho!CA_gross_prod_Total),0)</f>
        <v>0</v>
      </c>
      <c r="BO576" s="49">
        <f ca="1">IFERROR((BO548)/((HM_ZD_Moho!CA_FP_oil_nom*HM_ZD_Moho!CA_gross_prod_oil+HM_ZD_Moho!CA_FP_lpg_nom*HM_ZD_Moho!CA_gross_prod_lpg+HM_ZD_Moho!CA_FP_gas_nom*HM_ZD_Moho!CA_gross_prod_gas)/HM_ZD_Moho!CA_gross_prod_Total),0)</f>
        <v>0</v>
      </c>
      <c r="BP576" s="49">
        <f ca="1">IFERROR((BP548)/((HM_ZD_Moho!CA_FP_oil_nom*HM_ZD_Moho!CA_gross_prod_oil+HM_ZD_Moho!CA_FP_lpg_nom*HM_ZD_Moho!CA_gross_prod_lpg+HM_ZD_Moho!CA_FP_gas_nom*HM_ZD_Moho!CA_gross_prod_gas)/HM_ZD_Moho!CA_gross_prod_Total),0)</f>
        <v>0</v>
      </c>
      <c r="BQ576" s="49">
        <f ca="1">IFERROR((BQ548)/((HM_ZD_Moho!CA_FP_oil_nom*HM_ZD_Moho!CA_gross_prod_oil+HM_ZD_Moho!CA_FP_lpg_nom*HM_ZD_Moho!CA_gross_prod_lpg+HM_ZD_Moho!CA_FP_gas_nom*HM_ZD_Moho!CA_gross_prod_gas)/HM_ZD_Moho!CA_gross_prod_Total),0)</f>
        <v>0</v>
      </c>
      <c r="BR576" s="49">
        <f ca="1">IFERROR((BR548)/((HM_ZD_Moho!CA_FP_oil_nom*HM_ZD_Moho!CA_gross_prod_oil+HM_ZD_Moho!CA_FP_lpg_nom*HM_ZD_Moho!CA_gross_prod_lpg+HM_ZD_Moho!CA_FP_gas_nom*HM_ZD_Moho!CA_gross_prod_gas)/HM_ZD_Moho!CA_gross_prod_Total),0)</f>
        <v>0</v>
      </c>
      <c r="BS576" s="49">
        <f ca="1">IFERROR((BS548)/((HM_ZD_Moho!CA_FP_oil_nom*HM_ZD_Moho!CA_gross_prod_oil+HM_ZD_Moho!CA_FP_lpg_nom*HM_ZD_Moho!CA_gross_prod_lpg+HM_ZD_Moho!CA_FP_gas_nom*HM_ZD_Moho!CA_gross_prod_gas)/HM_ZD_Moho!CA_gross_prod_Total),0)</f>
        <v>0</v>
      </c>
    </row>
    <row r="577" spans="4:71" outlineLevel="1" x14ac:dyDescent="0.2">
      <c r="D577" t="str">
        <f>HM_ZB_Nsoko!D563</f>
        <v>Excess Cost Oil</v>
      </c>
      <c r="H577" s="7"/>
      <c r="I577" s="30">
        <f t="shared" ca="1" si="258"/>
        <v>0</v>
      </c>
      <c r="J577" s="26" t="s">
        <v>692</v>
      </c>
      <c r="L577" s="49">
        <f ca="1">IFERROR((L550)/((HM_ZD_Moho!CA_FP_oil_nom*HM_ZD_Moho!CA_gross_prod_oil+HM_ZD_Moho!CA_FP_lpg_nom*HM_ZD_Moho!CA_gross_prod_lpg+HM_ZD_Moho!CA_FP_gas_nom*HM_ZD_Moho!CA_gross_prod_gas)/HM_ZD_Moho!CA_gross_prod_Total),0)</f>
        <v>0</v>
      </c>
      <c r="M577" s="49">
        <f ca="1">IFERROR((M550)/((HM_ZD_Moho!CA_FP_oil_nom*HM_ZD_Moho!CA_gross_prod_oil+HM_ZD_Moho!CA_FP_lpg_nom*HM_ZD_Moho!CA_gross_prod_lpg+HM_ZD_Moho!CA_FP_gas_nom*HM_ZD_Moho!CA_gross_prod_gas)/HM_ZD_Moho!CA_gross_prod_Total),0)</f>
        <v>0</v>
      </c>
      <c r="N577" s="49">
        <f ca="1">IFERROR((N550)/((HM_ZD_Moho!CA_FP_oil_nom*HM_ZD_Moho!CA_gross_prod_oil+HM_ZD_Moho!CA_FP_lpg_nom*HM_ZD_Moho!CA_gross_prod_lpg+HM_ZD_Moho!CA_FP_gas_nom*HM_ZD_Moho!CA_gross_prod_gas)/HM_ZD_Moho!CA_gross_prod_Total),0)</f>
        <v>0</v>
      </c>
      <c r="O577" s="49">
        <f ca="1">IFERROR((O550)/((HM_ZD_Moho!CA_FP_oil_nom*HM_ZD_Moho!CA_gross_prod_oil+HM_ZD_Moho!CA_FP_lpg_nom*HM_ZD_Moho!CA_gross_prod_lpg+HM_ZD_Moho!CA_FP_gas_nom*HM_ZD_Moho!CA_gross_prod_gas)/HM_ZD_Moho!CA_gross_prod_Total),0)</f>
        <v>0</v>
      </c>
      <c r="P577" s="49">
        <f ca="1">IFERROR((P550)/((HM_ZD_Moho!CA_FP_oil_nom*HM_ZD_Moho!CA_gross_prod_oil+HM_ZD_Moho!CA_FP_lpg_nom*HM_ZD_Moho!CA_gross_prod_lpg+HM_ZD_Moho!CA_FP_gas_nom*HM_ZD_Moho!CA_gross_prod_gas)/HM_ZD_Moho!CA_gross_prod_Total),0)</f>
        <v>0</v>
      </c>
      <c r="Q577" s="49">
        <f ca="1">IFERROR((Q550)/((HM_ZD_Moho!CA_FP_oil_nom*HM_ZD_Moho!CA_gross_prod_oil+HM_ZD_Moho!CA_FP_lpg_nom*HM_ZD_Moho!CA_gross_prod_lpg+HM_ZD_Moho!CA_FP_gas_nom*HM_ZD_Moho!CA_gross_prod_gas)/HM_ZD_Moho!CA_gross_prod_Total),0)</f>
        <v>0</v>
      </c>
      <c r="R577" s="49">
        <f ca="1">IFERROR((R550)/((HM_ZD_Moho!CA_FP_oil_nom*HM_ZD_Moho!CA_gross_prod_oil+HM_ZD_Moho!CA_FP_lpg_nom*HM_ZD_Moho!CA_gross_prod_lpg+HM_ZD_Moho!CA_FP_gas_nom*HM_ZD_Moho!CA_gross_prod_gas)/HM_ZD_Moho!CA_gross_prod_Total),0)</f>
        <v>0</v>
      </c>
      <c r="S577" s="49">
        <f ca="1">IFERROR((S550)/((HM_ZD_Moho!CA_FP_oil_nom*HM_ZD_Moho!CA_gross_prod_oil+HM_ZD_Moho!CA_FP_lpg_nom*HM_ZD_Moho!CA_gross_prod_lpg+HM_ZD_Moho!CA_FP_gas_nom*HM_ZD_Moho!CA_gross_prod_gas)/HM_ZD_Moho!CA_gross_prod_Total),0)</f>
        <v>0</v>
      </c>
      <c r="T577" s="49">
        <f ca="1">IFERROR((T550)/((HM_ZD_Moho!CA_FP_oil_nom*HM_ZD_Moho!CA_gross_prod_oil+HM_ZD_Moho!CA_FP_lpg_nom*HM_ZD_Moho!CA_gross_prod_lpg+HM_ZD_Moho!CA_FP_gas_nom*HM_ZD_Moho!CA_gross_prod_gas)/HM_ZD_Moho!CA_gross_prod_Total),0)</f>
        <v>0</v>
      </c>
      <c r="U577" s="49">
        <f ca="1">IFERROR((U550)/((HM_ZD_Moho!CA_FP_oil_nom*HM_ZD_Moho!CA_gross_prod_oil+HM_ZD_Moho!CA_FP_lpg_nom*HM_ZD_Moho!CA_gross_prod_lpg+HM_ZD_Moho!CA_FP_gas_nom*HM_ZD_Moho!CA_gross_prod_gas)/HM_ZD_Moho!CA_gross_prod_Total),0)</f>
        <v>0</v>
      </c>
      <c r="V577" s="49">
        <f ca="1">IFERROR((V550)/((HM_ZD_Moho!CA_FP_oil_nom*HM_ZD_Moho!CA_gross_prod_oil+HM_ZD_Moho!CA_FP_lpg_nom*HM_ZD_Moho!CA_gross_prod_lpg+HM_ZD_Moho!CA_FP_gas_nom*HM_ZD_Moho!CA_gross_prod_gas)/HM_ZD_Moho!CA_gross_prod_Total),0)</f>
        <v>0</v>
      </c>
      <c r="W577" s="49">
        <f ca="1">IFERROR((W550)/((HM_ZD_Moho!CA_FP_oil_nom*HM_ZD_Moho!CA_gross_prod_oil+HM_ZD_Moho!CA_FP_lpg_nom*HM_ZD_Moho!CA_gross_prod_lpg+HM_ZD_Moho!CA_FP_gas_nom*HM_ZD_Moho!CA_gross_prod_gas)/HM_ZD_Moho!CA_gross_prod_Total),0)</f>
        <v>0</v>
      </c>
      <c r="X577" s="49">
        <f ca="1">IFERROR((X550)/((HM_ZD_Moho!CA_FP_oil_nom*HM_ZD_Moho!CA_gross_prod_oil+HM_ZD_Moho!CA_FP_lpg_nom*HM_ZD_Moho!CA_gross_prod_lpg+HM_ZD_Moho!CA_FP_gas_nom*HM_ZD_Moho!CA_gross_prod_gas)/HM_ZD_Moho!CA_gross_prod_Total),0)</f>
        <v>0</v>
      </c>
      <c r="Y577" s="49">
        <f ca="1">IFERROR((Y550)/((HM_ZD_Moho!CA_FP_oil_nom*HM_ZD_Moho!CA_gross_prod_oil+HM_ZD_Moho!CA_FP_lpg_nom*HM_ZD_Moho!CA_gross_prod_lpg+HM_ZD_Moho!CA_FP_gas_nom*HM_ZD_Moho!CA_gross_prod_gas)/HM_ZD_Moho!CA_gross_prod_Total),0)</f>
        <v>0</v>
      </c>
      <c r="Z577" s="49">
        <f ca="1">IFERROR((Z550)/((HM_ZD_Moho!CA_FP_oil_nom*HM_ZD_Moho!CA_gross_prod_oil+HM_ZD_Moho!CA_FP_lpg_nom*HM_ZD_Moho!CA_gross_prod_lpg+HM_ZD_Moho!CA_FP_gas_nom*HM_ZD_Moho!CA_gross_prod_gas)/HM_ZD_Moho!CA_gross_prod_Total),0)</f>
        <v>0</v>
      </c>
      <c r="AA577" s="49">
        <f ca="1">IFERROR((AA550)/((HM_ZD_Moho!CA_FP_oil_nom*HM_ZD_Moho!CA_gross_prod_oil+HM_ZD_Moho!CA_FP_lpg_nom*HM_ZD_Moho!CA_gross_prod_lpg+HM_ZD_Moho!CA_FP_gas_nom*HM_ZD_Moho!CA_gross_prod_gas)/HM_ZD_Moho!CA_gross_prod_Total),0)</f>
        <v>0</v>
      </c>
      <c r="AB577" s="49">
        <f ca="1">IFERROR((AB550)/((HM_ZD_Moho!CA_FP_oil_nom*HM_ZD_Moho!CA_gross_prod_oil+HM_ZD_Moho!CA_FP_lpg_nom*HM_ZD_Moho!CA_gross_prod_lpg+HM_ZD_Moho!CA_FP_gas_nom*HM_ZD_Moho!CA_gross_prod_gas)/HM_ZD_Moho!CA_gross_prod_Total),0)</f>
        <v>0</v>
      </c>
      <c r="AC577" s="49">
        <f ca="1">IFERROR((AC550)/((HM_ZD_Moho!CA_FP_oil_nom*HM_ZD_Moho!CA_gross_prod_oil+HM_ZD_Moho!CA_FP_lpg_nom*HM_ZD_Moho!CA_gross_prod_lpg+HM_ZD_Moho!CA_FP_gas_nom*HM_ZD_Moho!CA_gross_prod_gas)/HM_ZD_Moho!CA_gross_prod_Total),0)</f>
        <v>0</v>
      </c>
      <c r="AD577" s="49">
        <f ca="1">IFERROR((AD550)/((HM_ZD_Moho!CA_FP_oil_nom*HM_ZD_Moho!CA_gross_prod_oil+HM_ZD_Moho!CA_FP_lpg_nom*HM_ZD_Moho!CA_gross_prod_lpg+HM_ZD_Moho!CA_FP_gas_nom*HM_ZD_Moho!CA_gross_prod_gas)/HM_ZD_Moho!CA_gross_prod_Total),0)</f>
        <v>0</v>
      </c>
      <c r="AE577" s="49">
        <f ca="1">IFERROR((AE550)/((HM_ZD_Moho!CA_FP_oil_nom*HM_ZD_Moho!CA_gross_prod_oil+HM_ZD_Moho!CA_FP_lpg_nom*HM_ZD_Moho!CA_gross_prod_lpg+HM_ZD_Moho!CA_FP_gas_nom*HM_ZD_Moho!CA_gross_prod_gas)/HM_ZD_Moho!CA_gross_prod_Total),0)</f>
        <v>0</v>
      </c>
      <c r="AF577" s="49">
        <f ca="1">IFERROR((AF550)/((HM_ZD_Moho!CA_FP_oil_nom*HM_ZD_Moho!CA_gross_prod_oil+HM_ZD_Moho!CA_FP_lpg_nom*HM_ZD_Moho!CA_gross_prod_lpg+HM_ZD_Moho!CA_FP_gas_nom*HM_ZD_Moho!CA_gross_prod_gas)/HM_ZD_Moho!CA_gross_prod_Total),0)</f>
        <v>0</v>
      </c>
      <c r="AG577" s="49">
        <f ca="1">IFERROR((AG550)/((HM_ZD_Moho!CA_FP_oil_nom*HM_ZD_Moho!CA_gross_prod_oil+HM_ZD_Moho!CA_FP_lpg_nom*HM_ZD_Moho!CA_gross_prod_lpg+HM_ZD_Moho!CA_FP_gas_nom*HM_ZD_Moho!CA_gross_prod_gas)/HM_ZD_Moho!CA_gross_prod_Total),0)</f>
        <v>0</v>
      </c>
      <c r="AH577" s="49">
        <f ca="1">IFERROR((AH550)/((HM_ZD_Moho!CA_FP_oil_nom*HM_ZD_Moho!CA_gross_prod_oil+HM_ZD_Moho!CA_FP_lpg_nom*HM_ZD_Moho!CA_gross_prod_lpg+HM_ZD_Moho!CA_FP_gas_nom*HM_ZD_Moho!CA_gross_prod_gas)/HM_ZD_Moho!CA_gross_prod_Total),0)</f>
        <v>0</v>
      </c>
      <c r="AI577" s="49">
        <f ca="1">IFERROR((AI550)/((HM_ZD_Moho!CA_FP_oil_nom*HM_ZD_Moho!CA_gross_prod_oil+HM_ZD_Moho!CA_FP_lpg_nom*HM_ZD_Moho!CA_gross_prod_lpg+HM_ZD_Moho!CA_FP_gas_nom*HM_ZD_Moho!CA_gross_prod_gas)/HM_ZD_Moho!CA_gross_prod_Total),0)</f>
        <v>0</v>
      </c>
      <c r="AJ577" s="49">
        <f ca="1">IFERROR((AJ550)/((HM_ZD_Moho!CA_FP_oil_nom*HM_ZD_Moho!CA_gross_prod_oil+HM_ZD_Moho!CA_FP_lpg_nom*HM_ZD_Moho!CA_gross_prod_lpg+HM_ZD_Moho!CA_FP_gas_nom*HM_ZD_Moho!CA_gross_prod_gas)/HM_ZD_Moho!CA_gross_prod_Total),0)</f>
        <v>0</v>
      </c>
      <c r="AK577" s="49">
        <f ca="1">IFERROR((AK550)/((HM_ZD_Moho!CA_FP_oil_nom*HM_ZD_Moho!CA_gross_prod_oil+HM_ZD_Moho!CA_FP_lpg_nom*HM_ZD_Moho!CA_gross_prod_lpg+HM_ZD_Moho!CA_FP_gas_nom*HM_ZD_Moho!CA_gross_prod_gas)/HM_ZD_Moho!CA_gross_prod_Total),0)</f>
        <v>0</v>
      </c>
      <c r="AL577" s="49">
        <f ca="1">IFERROR((AL550)/((HM_ZD_Moho!CA_FP_oil_nom*HM_ZD_Moho!CA_gross_prod_oil+HM_ZD_Moho!CA_FP_lpg_nom*HM_ZD_Moho!CA_gross_prod_lpg+HM_ZD_Moho!CA_FP_gas_nom*HM_ZD_Moho!CA_gross_prod_gas)/HM_ZD_Moho!CA_gross_prod_Total),0)</f>
        <v>0</v>
      </c>
      <c r="AM577" s="49">
        <f ca="1">IFERROR((AM550)/((HM_ZD_Moho!CA_FP_oil_nom*HM_ZD_Moho!CA_gross_prod_oil+HM_ZD_Moho!CA_FP_lpg_nom*HM_ZD_Moho!CA_gross_prod_lpg+HM_ZD_Moho!CA_FP_gas_nom*HM_ZD_Moho!CA_gross_prod_gas)/HM_ZD_Moho!CA_gross_prod_Total),0)</f>
        <v>0</v>
      </c>
      <c r="AN577" s="49">
        <f ca="1">IFERROR((AN550)/((HM_ZD_Moho!CA_FP_oil_nom*HM_ZD_Moho!CA_gross_prod_oil+HM_ZD_Moho!CA_FP_lpg_nom*HM_ZD_Moho!CA_gross_prod_lpg+HM_ZD_Moho!CA_FP_gas_nom*HM_ZD_Moho!CA_gross_prod_gas)/HM_ZD_Moho!CA_gross_prod_Total),0)</f>
        <v>0</v>
      </c>
      <c r="AO577" s="49">
        <f ca="1">IFERROR((AO550)/((HM_ZD_Moho!CA_FP_oil_nom*HM_ZD_Moho!CA_gross_prod_oil+HM_ZD_Moho!CA_FP_lpg_nom*HM_ZD_Moho!CA_gross_prod_lpg+HM_ZD_Moho!CA_FP_gas_nom*HM_ZD_Moho!CA_gross_prod_gas)/HM_ZD_Moho!CA_gross_prod_Total),0)</f>
        <v>0</v>
      </c>
      <c r="AP577" s="49">
        <f ca="1">IFERROR((AP550)/((HM_ZD_Moho!CA_FP_oil_nom*HM_ZD_Moho!CA_gross_prod_oil+HM_ZD_Moho!CA_FP_lpg_nom*HM_ZD_Moho!CA_gross_prod_lpg+HM_ZD_Moho!CA_FP_gas_nom*HM_ZD_Moho!CA_gross_prod_gas)/HM_ZD_Moho!CA_gross_prod_Total),0)</f>
        <v>0</v>
      </c>
      <c r="AQ577" s="49">
        <f ca="1">IFERROR((AQ550)/((HM_ZD_Moho!CA_FP_oil_nom*HM_ZD_Moho!CA_gross_prod_oil+HM_ZD_Moho!CA_FP_lpg_nom*HM_ZD_Moho!CA_gross_prod_lpg+HM_ZD_Moho!CA_FP_gas_nom*HM_ZD_Moho!CA_gross_prod_gas)/HM_ZD_Moho!CA_gross_prod_Total),0)</f>
        <v>0</v>
      </c>
      <c r="AR577" s="49">
        <f ca="1">IFERROR((AR550)/((HM_ZD_Moho!CA_FP_oil_nom*HM_ZD_Moho!CA_gross_prod_oil+HM_ZD_Moho!CA_FP_lpg_nom*HM_ZD_Moho!CA_gross_prod_lpg+HM_ZD_Moho!CA_FP_gas_nom*HM_ZD_Moho!CA_gross_prod_gas)/HM_ZD_Moho!CA_gross_prod_Total),0)</f>
        <v>0</v>
      </c>
      <c r="AS577" s="49">
        <f ca="1">IFERROR((AS550)/((HM_ZD_Moho!CA_FP_oil_nom*HM_ZD_Moho!CA_gross_prod_oil+HM_ZD_Moho!CA_FP_lpg_nom*HM_ZD_Moho!CA_gross_prod_lpg+HM_ZD_Moho!CA_FP_gas_nom*HM_ZD_Moho!CA_gross_prod_gas)/HM_ZD_Moho!CA_gross_prod_Total),0)</f>
        <v>0</v>
      </c>
      <c r="AT577" s="49">
        <f ca="1">IFERROR((AT550)/((HM_ZD_Moho!CA_FP_oil_nom*HM_ZD_Moho!CA_gross_prod_oil+HM_ZD_Moho!CA_FP_lpg_nom*HM_ZD_Moho!CA_gross_prod_lpg+HM_ZD_Moho!CA_FP_gas_nom*HM_ZD_Moho!CA_gross_prod_gas)/HM_ZD_Moho!CA_gross_prod_Total),0)</f>
        <v>0</v>
      </c>
      <c r="AU577" s="49">
        <f ca="1">IFERROR((AU550)/((HM_ZD_Moho!CA_FP_oil_nom*HM_ZD_Moho!CA_gross_prod_oil+HM_ZD_Moho!CA_FP_lpg_nom*HM_ZD_Moho!CA_gross_prod_lpg+HM_ZD_Moho!CA_FP_gas_nom*HM_ZD_Moho!CA_gross_prod_gas)/HM_ZD_Moho!CA_gross_prod_Total),0)</f>
        <v>0</v>
      </c>
      <c r="AV577" s="49">
        <f ca="1">IFERROR((AV550)/((HM_ZD_Moho!CA_FP_oil_nom*HM_ZD_Moho!CA_gross_prod_oil+HM_ZD_Moho!CA_FP_lpg_nom*HM_ZD_Moho!CA_gross_prod_lpg+HM_ZD_Moho!CA_FP_gas_nom*HM_ZD_Moho!CA_gross_prod_gas)/HM_ZD_Moho!CA_gross_prod_Total),0)</f>
        <v>0</v>
      </c>
      <c r="AW577" s="49">
        <f ca="1">IFERROR((AW550)/((HM_ZD_Moho!CA_FP_oil_nom*HM_ZD_Moho!CA_gross_prod_oil+HM_ZD_Moho!CA_FP_lpg_nom*HM_ZD_Moho!CA_gross_prod_lpg+HM_ZD_Moho!CA_FP_gas_nom*HM_ZD_Moho!CA_gross_prod_gas)/HM_ZD_Moho!CA_gross_prod_Total),0)</f>
        <v>0</v>
      </c>
      <c r="AX577" s="49">
        <f ca="1">IFERROR((AX550)/((HM_ZD_Moho!CA_FP_oil_nom*HM_ZD_Moho!CA_gross_prod_oil+HM_ZD_Moho!CA_FP_lpg_nom*HM_ZD_Moho!CA_gross_prod_lpg+HM_ZD_Moho!CA_FP_gas_nom*HM_ZD_Moho!CA_gross_prod_gas)/HM_ZD_Moho!CA_gross_prod_Total),0)</f>
        <v>0</v>
      </c>
      <c r="AY577" s="49">
        <f ca="1">IFERROR((AY550)/((HM_ZD_Moho!CA_FP_oil_nom*HM_ZD_Moho!CA_gross_prod_oil+HM_ZD_Moho!CA_FP_lpg_nom*HM_ZD_Moho!CA_gross_prod_lpg+HM_ZD_Moho!CA_FP_gas_nom*HM_ZD_Moho!CA_gross_prod_gas)/HM_ZD_Moho!CA_gross_prod_Total),0)</f>
        <v>0</v>
      </c>
      <c r="AZ577" s="49">
        <f ca="1">IFERROR((AZ550)/((HM_ZD_Moho!CA_FP_oil_nom*HM_ZD_Moho!CA_gross_prod_oil+HM_ZD_Moho!CA_FP_lpg_nom*HM_ZD_Moho!CA_gross_prod_lpg+HM_ZD_Moho!CA_FP_gas_nom*HM_ZD_Moho!CA_gross_prod_gas)/HM_ZD_Moho!CA_gross_prod_Total),0)</f>
        <v>0</v>
      </c>
      <c r="BA577" s="49">
        <f ca="1">IFERROR((BA550)/((HM_ZD_Moho!CA_FP_oil_nom*HM_ZD_Moho!CA_gross_prod_oil+HM_ZD_Moho!CA_FP_lpg_nom*HM_ZD_Moho!CA_gross_prod_lpg+HM_ZD_Moho!CA_FP_gas_nom*HM_ZD_Moho!CA_gross_prod_gas)/HM_ZD_Moho!CA_gross_prod_Total),0)</f>
        <v>0</v>
      </c>
      <c r="BB577" s="49">
        <f ca="1">IFERROR((BB550)/((HM_ZD_Moho!CA_FP_oil_nom*HM_ZD_Moho!CA_gross_prod_oil+HM_ZD_Moho!CA_FP_lpg_nom*HM_ZD_Moho!CA_gross_prod_lpg+HM_ZD_Moho!CA_FP_gas_nom*HM_ZD_Moho!CA_gross_prod_gas)/HM_ZD_Moho!CA_gross_prod_Total),0)</f>
        <v>0</v>
      </c>
      <c r="BC577" s="49">
        <f ca="1">IFERROR((BC550)/((HM_ZD_Moho!CA_FP_oil_nom*HM_ZD_Moho!CA_gross_prod_oil+HM_ZD_Moho!CA_FP_lpg_nom*HM_ZD_Moho!CA_gross_prod_lpg+HM_ZD_Moho!CA_FP_gas_nom*HM_ZD_Moho!CA_gross_prod_gas)/HM_ZD_Moho!CA_gross_prod_Total),0)</f>
        <v>0</v>
      </c>
      <c r="BD577" s="49">
        <f ca="1">IFERROR((BD550)/((HM_ZD_Moho!CA_FP_oil_nom*HM_ZD_Moho!CA_gross_prod_oil+HM_ZD_Moho!CA_FP_lpg_nom*HM_ZD_Moho!CA_gross_prod_lpg+HM_ZD_Moho!CA_FP_gas_nom*HM_ZD_Moho!CA_gross_prod_gas)/HM_ZD_Moho!CA_gross_prod_Total),0)</f>
        <v>0</v>
      </c>
      <c r="BE577" s="49">
        <f ca="1">IFERROR((BE550)/((HM_ZD_Moho!CA_FP_oil_nom*HM_ZD_Moho!CA_gross_prod_oil+HM_ZD_Moho!CA_FP_lpg_nom*HM_ZD_Moho!CA_gross_prod_lpg+HM_ZD_Moho!CA_FP_gas_nom*HM_ZD_Moho!CA_gross_prod_gas)/HM_ZD_Moho!CA_gross_prod_Total),0)</f>
        <v>0</v>
      </c>
      <c r="BF577" s="49">
        <f ca="1">IFERROR((BF550)/((HM_ZD_Moho!CA_FP_oil_nom*HM_ZD_Moho!CA_gross_prod_oil+HM_ZD_Moho!CA_FP_lpg_nom*HM_ZD_Moho!CA_gross_prod_lpg+HM_ZD_Moho!CA_FP_gas_nom*HM_ZD_Moho!CA_gross_prod_gas)/HM_ZD_Moho!CA_gross_prod_Total),0)</f>
        <v>0</v>
      </c>
      <c r="BG577" s="49">
        <f ca="1">IFERROR((BG550)/((HM_ZD_Moho!CA_FP_oil_nom*HM_ZD_Moho!CA_gross_prod_oil+HM_ZD_Moho!CA_FP_lpg_nom*HM_ZD_Moho!CA_gross_prod_lpg+HM_ZD_Moho!CA_FP_gas_nom*HM_ZD_Moho!CA_gross_prod_gas)/HM_ZD_Moho!CA_gross_prod_Total),0)</f>
        <v>0</v>
      </c>
      <c r="BH577" s="49">
        <f ca="1">IFERROR((BH550)/((HM_ZD_Moho!CA_FP_oil_nom*HM_ZD_Moho!CA_gross_prod_oil+HM_ZD_Moho!CA_FP_lpg_nom*HM_ZD_Moho!CA_gross_prod_lpg+HM_ZD_Moho!CA_FP_gas_nom*HM_ZD_Moho!CA_gross_prod_gas)/HM_ZD_Moho!CA_gross_prod_Total),0)</f>
        <v>0</v>
      </c>
      <c r="BI577" s="49">
        <f ca="1">IFERROR((BI550)/((HM_ZD_Moho!CA_FP_oil_nom*HM_ZD_Moho!CA_gross_prod_oil+HM_ZD_Moho!CA_FP_lpg_nom*HM_ZD_Moho!CA_gross_prod_lpg+HM_ZD_Moho!CA_FP_gas_nom*HM_ZD_Moho!CA_gross_prod_gas)/HM_ZD_Moho!CA_gross_prod_Total),0)</f>
        <v>0</v>
      </c>
      <c r="BJ577" s="49">
        <f ca="1">IFERROR((BJ550)/((HM_ZD_Moho!CA_FP_oil_nom*HM_ZD_Moho!CA_gross_prod_oil+HM_ZD_Moho!CA_FP_lpg_nom*HM_ZD_Moho!CA_gross_prod_lpg+HM_ZD_Moho!CA_FP_gas_nom*HM_ZD_Moho!CA_gross_prod_gas)/HM_ZD_Moho!CA_gross_prod_Total),0)</f>
        <v>0</v>
      </c>
      <c r="BK577" s="49">
        <f ca="1">IFERROR((BK550)/((HM_ZD_Moho!CA_FP_oil_nom*HM_ZD_Moho!CA_gross_prod_oil+HM_ZD_Moho!CA_FP_lpg_nom*HM_ZD_Moho!CA_gross_prod_lpg+HM_ZD_Moho!CA_FP_gas_nom*HM_ZD_Moho!CA_gross_prod_gas)/HM_ZD_Moho!CA_gross_prod_Total),0)</f>
        <v>0</v>
      </c>
      <c r="BL577" s="49">
        <f ca="1">IFERROR((BL550)/((HM_ZD_Moho!CA_FP_oil_nom*HM_ZD_Moho!CA_gross_prod_oil+HM_ZD_Moho!CA_FP_lpg_nom*HM_ZD_Moho!CA_gross_prod_lpg+HM_ZD_Moho!CA_FP_gas_nom*HM_ZD_Moho!CA_gross_prod_gas)/HM_ZD_Moho!CA_gross_prod_Total),0)</f>
        <v>0</v>
      </c>
      <c r="BM577" s="49">
        <f ca="1">IFERROR((BM550)/((HM_ZD_Moho!CA_FP_oil_nom*HM_ZD_Moho!CA_gross_prod_oil+HM_ZD_Moho!CA_FP_lpg_nom*HM_ZD_Moho!CA_gross_prod_lpg+HM_ZD_Moho!CA_FP_gas_nom*HM_ZD_Moho!CA_gross_prod_gas)/HM_ZD_Moho!CA_gross_prod_Total),0)</f>
        <v>0</v>
      </c>
      <c r="BN577" s="49">
        <f ca="1">IFERROR((BN550)/((HM_ZD_Moho!CA_FP_oil_nom*HM_ZD_Moho!CA_gross_prod_oil+HM_ZD_Moho!CA_FP_lpg_nom*HM_ZD_Moho!CA_gross_prod_lpg+HM_ZD_Moho!CA_FP_gas_nom*HM_ZD_Moho!CA_gross_prod_gas)/HM_ZD_Moho!CA_gross_prod_Total),0)</f>
        <v>0</v>
      </c>
      <c r="BO577" s="49">
        <f ca="1">IFERROR((BO550)/((HM_ZD_Moho!CA_FP_oil_nom*HM_ZD_Moho!CA_gross_prod_oil+HM_ZD_Moho!CA_FP_lpg_nom*HM_ZD_Moho!CA_gross_prod_lpg+HM_ZD_Moho!CA_FP_gas_nom*HM_ZD_Moho!CA_gross_prod_gas)/HM_ZD_Moho!CA_gross_prod_Total),0)</f>
        <v>0</v>
      </c>
      <c r="BP577" s="49">
        <f ca="1">IFERROR((BP550)/((HM_ZD_Moho!CA_FP_oil_nom*HM_ZD_Moho!CA_gross_prod_oil+HM_ZD_Moho!CA_FP_lpg_nom*HM_ZD_Moho!CA_gross_prod_lpg+HM_ZD_Moho!CA_FP_gas_nom*HM_ZD_Moho!CA_gross_prod_gas)/HM_ZD_Moho!CA_gross_prod_Total),0)</f>
        <v>0</v>
      </c>
      <c r="BQ577" s="49">
        <f ca="1">IFERROR((BQ550)/((HM_ZD_Moho!CA_FP_oil_nom*HM_ZD_Moho!CA_gross_prod_oil+HM_ZD_Moho!CA_FP_lpg_nom*HM_ZD_Moho!CA_gross_prod_lpg+HM_ZD_Moho!CA_FP_gas_nom*HM_ZD_Moho!CA_gross_prod_gas)/HM_ZD_Moho!CA_gross_prod_Total),0)</f>
        <v>0</v>
      </c>
      <c r="BR577" s="49">
        <f ca="1">IFERROR((BR550)/((HM_ZD_Moho!CA_FP_oil_nom*HM_ZD_Moho!CA_gross_prod_oil+HM_ZD_Moho!CA_FP_lpg_nom*HM_ZD_Moho!CA_gross_prod_lpg+HM_ZD_Moho!CA_FP_gas_nom*HM_ZD_Moho!CA_gross_prod_gas)/HM_ZD_Moho!CA_gross_prod_Total),0)</f>
        <v>0</v>
      </c>
      <c r="BS577" s="49">
        <f ca="1">IFERROR((BS550)/((HM_ZD_Moho!CA_FP_oil_nom*HM_ZD_Moho!CA_gross_prod_oil+HM_ZD_Moho!CA_FP_lpg_nom*HM_ZD_Moho!CA_gross_prod_lpg+HM_ZD_Moho!CA_FP_gas_nom*HM_ZD_Moho!CA_gross_prod_gas)/HM_ZD_Moho!CA_gross_prod_Total),0)</f>
        <v>0</v>
      </c>
    </row>
    <row r="578" spans="4:71" outlineLevel="1" x14ac:dyDescent="0.2">
      <c r="D578" t="str">
        <f>HM_ZB_Nsoko!D564</f>
        <v>Super Profit Oil</v>
      </c>
      <c r="H578" s="7"/>
      <c r="I578" s="30">
        <f t="shared" ca="1" si="258"/>
        <v>21.442388910250283</v>
      </c>
      <c r="J578" s="26" t="s">
        <v>692</v>
      </c>
      <c r="L578" s="49">
        <f ca="1">IFERROR((L551)/((HM_ZD_Moho!CA_FP_oil_nom*HM_ZD_Moho!CA_gross_prod_oil+HM_ZD_Moho!CA_FP_lpg_nom*HM_ZD_Moho!CA_gross_prod_lpg)/(HM_ZD_Moho!CA_gross_prod_oil+HM_ZD_Moho!CA_gross_prod_lpg)),0)</f>
        <v>9.4331191546268105</v>
      </c>
      <c r="M578" s="49">
        <f ca="1">IFERROR((M551)/((HM_ZD_Moho!CA_FP_oil_nom*HM_ZD_Moho!CA_gross_prod_oil+HM_ZD_Moho!CA_FP_lpg_nom*HM_ZD_Moho!CA_gross_prod_lpg)/(HM_ZD_Moho!CA_gross_prod_oil+HM_ZD_Moho!CA_gross_prod_lpg)),0)</f>
        <v>9.4686687161650163</v>
      </c>
      <c r="N578" s="49">
        <f ca="1">IFERROR((N551)/((HM_ZD_Moho!CA_FP_oil_nom*HM_ZD_Moho!CA_gross_prod_oil+HM_ZD_Moho!CA_FP_lpg_nom*HM_ZD_Moho!CA_gross_prod_lpg)/(HM_ZD_Moho!CA_gross_prod_oil+HM_ZD_Moho!CA_gross_prod_lpg)),0)</f>
        <v>0</v>
      </c>
      <c r="O578" s="49">
        <f ca="1">IFERROR((O551)/((HM_ZD_Moho!CA_FP_oil_nom*HM_ZD_Moho!CA_gross_prod_oil+HM_ZD_Moho!CA_FP_lpg_nom*HM_ZD_Moho!CA_gross_prod_lpg)/(HM_ZD_Moho!CA_gross_prod_oil+HM_ZD_Moho!CA_gross_prod_lpg)),0)</f>
        <v>0</v>
      </c>
      <c r="P578" s="49">
        <f ca="1">IFERROR((P551)/((HM_ZD_Moho!CA_FP_oil_nom*HM_ZD_Moho!CA_gross_prod_oil+HM_ZD_Moho!CA_FP_lpg_nom*HM_ZD_Moho!CA_gross_prod_lpg)/(HM_ZD_Moho!CA_gross_prod_oil+HM_ZD_Moho!CA_gross_prod_lpg)),0)</f>
        <v>0</v>
      </c>
      <c r="Q578" s="49">
        <f ca="1">IFERROR((Q551)/((HM_ZD_Moho!CA_FP_oil_nom*HM_ZD_Moho!CA_gross_prod_oil+HM_ZD_Moho!CA_FP_lpg_nom*HM_ZD_Moho!CA_gross_prod_lpg)/(HM_ZD_Moho!CA_gross_prod_oil+HM_ZD_Moho!CA_gross_prod_lpg)),0)</f>
        <v>0</v>
      </c>
      <c r="R578" s="49">
        <f ca="1">IFERROR((R551)/((HM_ZD_Moho!CA_FP_oil_nom*HM_ZD_Moho!CA_gross_prod_oil+HM_ZD_Moho!CA_FP_lpg_nom*HM_ZD_Moho!CA_gross_prod_lpg)/(HM_ZD_Moho!CA_gross_prod_oil+HM_ZD_Moho!CA_gross_prod_lpg)),0)</f>
        <v>0</v>
      </c>
      <c r="S578" s="49">
        <f ca="1">IFERROR((S551)/((HM_ZD_Moho!CA_FP_oil_nom*HM_ZD_Moho!CA_gross_prod_oil+HM_ZD_Moho!CA_FP_lpg_nom*HM_ZD_Moho!CA_gross_prod_lpg)/(HM_ZD_Moho!CA_gross_prod_oil+HM_ZD_Moho!CA_gross_prod_lpg)),0)</f>
        <v>0</v>
      </c>
      <c r="T578" s="49">
        <f ca="1">IFERROR((T551)/((HM_ZD_Moho!CA_FP_oil_nom*HM_ZD_Moho!CA_gross_prod_oil+HM_ZD_Moho!CA_FP_lpg_nom*HM_ZD_Moho!CA_gross_prod_lpg)/(HM_ZD_Moho!CA_gross_prod_oil+HM_ZD_Moho!CA_gross_prod_lpg)),0)</f>
        <v>0</v>
      </c>
      <c r="U578" s="49">
        <f ca="1">IFERROR((U551)/((HM_ZD_Moho!CA_FP_oil_nom*HM_ZD_Moho!CA_gross_prod_oil+HM_ZD_Moho!CA_FP_lpg_nom*HM_ZD_Moho!CA_gross_prod_lpg)/(HM_ZD_Moho!CA_gross_prod_oil+HM_ZD_Moho!CA_gross_prod_lpg)),0)</f>
        <v>0</v>
      </c>
      <c r="V578" s="49">
        <f ca="1">IFERROR((V551)/((HM_ZD_Moho!CA_FP_oil_nom*HM_ZD_Moho!CA_gross_prod_oil+HM_ZD_Moho!CA_FP_lpg_nom*HM_ZD_Moho!CA_gross_prod_lpg)/(HM_ZD_Moho!CA_gross_prod_oil+HM_ZD_Moho!CA_gross_prod_lpg)),0)</f>
        <v>0</v>
      </c>
      <c r="W578" s="49">
        <f ca="1">IFERROR((W551)/((HM_ZD_Moho!CA_FP_oil_nom*HM_ZD_Moho!CA_gross_prod_oil+HM_ZD_Moho!CA_FP_lpg_nom*HM_ZD_Moho!CA_gross_prod_lpg)/(HM_ZD_Moho!CA_gross_prod_oil+HM_ZD_Moho!CA_gross_prod_lpg)),0)</f>
        <v>1.3163735955743299</v>
      </c>
      <c r="X578" s="49">
        <f ca="1">IFERROR((X551)/((HM_ZD_Moho!CA_FP_oil_nom*HM_ZD_Moho!CA_gross_prod_oil+HM_ZD_Moho!CA_FP_lpg_nom*HM_ZD_Moho!CA_gross_prod_lpg)/(HM_ZD_Moho!CA_gross_prod_oil+HM_ZD_Moho!CA_gross_prod_lpg)),0)</f>
        <v>1.2242274438841254</v>
      </c>
      <c r="Y578" s="49">
        <f ca="1">IFERROR((Y551)/((HM_ZD_Moho!CA_FP_oil_nom*HM_ZD_Moho!CA_gross_prod_oil+HM_ZD_Moho!CA_FP_lpg_nom*HM_ZD_Moho!CA_gross_prod_lpg)/(HM_ZD_Moho!CA_gross_prod_oil+HM_ZD_Moho!CA_gross_prod_lpg)),0)</f>
        <v>0</v>
      </c>
      <c r="Z578" s="49">
        <f ca="1">IFERROR((Z551)/((HM_ZD_Moho!CA_FP_oil_nom*HM_ZD_Moho!CA_gross_prod_oil+HM_ZD_Moho!CA_FP_lpg_nom*HM_ZD_Moho!CA_gross_prod_lpg)/(HM_ZD_Moho!CA_gross_prod_oil+HM_ZD_Moho!CA_gross_prod_lpg)),0)</f>
        <v>0</v>
      </c>
      <c r="AA578" s="49">
        <f ca="1">IFERROR((AA551)/((HM_ZD_Moho!CA_FP_oil_nom*HM_ZD_Moho!CA_gross_prod_oil+HM_ZD_Moho!CA_FP_lpg_nom*HM_ZD_Moho!CA_gross_prod_lpg)/(HM_ZD_Moho!CA_gross_prod_oil+HM_ZD_Moho!CA_gross_prod_lpg)),0)</f>
        <v>0</v>
      </c>
      <c r="AB578" s="49">
        <f ca="1">IFERROR((AB551)/((HM_ZD_Moho!CA_FP_oil_nom*HM_ZD_Moho!CA_gross_prod_oil+HM_ZD_Moho!CA_FP_lpg_nom*HM_ZD_Moho!CA_gross_prod_lpg)/(HM_ZD_Moho!CA_gross_prod_oil+HM_ZD_Moho!CA_gross_prod_lpg)),0)</f>
        <v>0</v>
      </c>
      <c r="AC578" s="49">
        <f ca="1">IFERROR((AC551)/((HM_ZD_Moho!CA_FP_oil_nom*HM_ZD_Moho!CA_gross_prod_oil+HM_ZD_Moho!CA_FP_lpg_nom*HM_ZD_Moho!CA_gross_prod_lpg)/(HM_ZD_Moho!CA_gross_prod_oil+HM_ZD_Moho!CA_gross_prod_lpg)),0)</f>
        <v>0</v>
      </c>
      <c r="AD578" s="49">
        <f ca="1">IFERROR((AD551)/((HM_ZD_Moho!CA_FP_oil_nom*HM_ZD_Moho!CA_gross_prod_oil+HM_ZD_Moho!CA_FP_lpg_nom*HM_ZD_Moho!CA_gross_prod_lpg)/(HM_ZD_Moho!CA_gross_prod_oil+HM_ZD_Moho!CA_gross_prod_lpg)),0)</f>
        <v>0</v>
      </c>
      <c r="AE578" s="49">
        <f ca="1">IFERROR((AE551)/((HM_ZD_Moho!CA_FP_oil_nom*HM_ZD_Moho!CA_gross_prod_oil+HM_ZD_Moho!CA_FP_lpg_nom*HM_ZD_Moho!CA_gross_prod_lpg)/(HM_ZD_Moho!CA_gross_prod_oil+HM_ZD_Moho!CA_gross_prod_lpg)),0)</f>
        <v>0</v>
      </c>
      <c r="AF578" s="49">
        <f ca="1">IFERROR((AF551)/((HM_ZD_Moho!CA_FP_oil_nom*HM_ZD_Moho!CA_gross_prod_oil+HM_ZD_Moho!CA_FP_lpg_nom*HM_ZD_Moho!CA_gross_prod_lpg)/(HM_ZD_Moho!CA_gross_prod_oil+HM_ZD_Moho!CA_gross_prod_lpg)),0)</f>
        <v>0</v>
      </c>
      <c r="AG578" s="49">
        <f ca="1">IFERROR((AG551)/((HM_ZD_Moho!CA_FP_oil_nom*HM_ZD_Moho!CA_gross_prod_oil+HM_ZD_Moho!CA_FP_lpg_nom*HM_ZD_Moho!CA_gross_prod_lpg)/(HM_ZD_Moho!CA_gross_prod_oil+HM_ZD_Moho!CA_gross_prod_lpg)),0)</f>
        <v>0</v>
      </c>
      <c r="AH578" s="49">
        <f ca="1">IFERROR((AH551)/((HM_ZD_Moho!CA_FP_oil_nom*HM_ZD_Moho!CA_gross_prod_oil+HM_ZD_Moho!CA_FP_lpg_nom*HM_ZD_Moho!CA_gross_prod_lpg)/(HM_ZD_Moho!CA_gross_prod_oil+HM_ZD_Moho!CA_gross_prod_lpg)),0)</f>
        <v>0</v>
      </c>
      <c r="AI578" s="49">
        <f ca="1">IFERROR((AI551)/((HM_ZD_Moho!CA_FP_oil_nom*HM_ZD_Moho!CA_gross_prod_oil+HM_ZD_Moho!CA_FP_lpg_nom*HM_ZD_Moho!CA_gross_prod_lpg)/(HM_ZD_Moho!CA_gross_prod_oil+HM_ZD_Moho!CA_gross_prod_lpg)),0)</f>
        <v>0</v>
      </c>
      <c r="AJ578" s="49">
        <f ca="1">IFERROR((AJ551)/((HM_ZD_Moho!CA_FP_oil_nom*HM_ZD_Moho!CA_gross_prod_oil+HM_ZD_Moho!CA_FP_lpg_nom*HM_ZD_Moho!CA_gross_prod_lpg)/(HM_ZD_Moho!CA_gross_prod_oil+HM_ZD_Moho!CA_gross_prod_lpg)),0)</f>
        <v>0</v>
      </c>
      <c r="AK578" s="49">
        <f ca="1">IFERROR((AK551)/((HM_ZD_Moho!CA_FP_oil_nom*HM_ZD_Moho!CA_gross_prod_oil+HM_ZD_Moho!CA_FP_lpg_nom*HM_ZD_Moho!CA_gross_prod_lpg)/(HM_ZD_Moho!CA_gross_prod_oil+HM_ZD_Moho!CA_gross_prod_lpg)),0)</f>
        <v>0</v>
      </c>
      <c r="AL578" s="49">
        <f ca="1">IFERROR((AL551)/((HM_ZD_Moho!CA_FP_oil_nom*HM_ZD_Moho!CA_gross_prod_oil+HM_ZD_Moho!CA_FP_lpg_nom*HM_ZD_Moho!CA_gross_prod_lpg)/(HM_ZD_Moho!CA_gross_prod_oil+HM_ZD_Moho!CA_gross_prod_lpg)),0)</f>
        <v>0</v>
      </c>
      <c r="AM578" s="49">
        <f ca="1">IFERROR((AM551)/((HM_ZD_Moho!CA_FP_oil_nom*HM_ZD_Moho!CA_gross_prod_oil+HM_ZD_Moho!CA_FP_lpg_nom*HM_ZD_Moho!CA_gross_prod_lpg)/(HM_ZD_Moho!CA_gross_prod_oil+HM_ZD_Moho!CA_gross_prod_lpg)),0)</f>
        <v>0</v>
      </c>
      <c r="AN578" s="49">
        <f ca="1">IFERROR((AN551)/((HM_ZD_Moho!CA_FP_oil_nom*HM_ZD_Moho!CA_gross_prod_oil+HM_ZD_Moho!CA_FP_lpg_nom*HM_ZD_Moho!CA_gross_prod_lpg)/(HM_ZD_Moho!CA_gross_prod_oil+HM_ZD_Moho!CA_gross_prod_lpg)),0)</f>
        <v>0</v>
      </c>
      <c r="AO578" s="49">
        <f ca="1">IFERROR((AO551)/((HM_ZD_Moho!CA_FP_oil_nom*HM_ZD_Moho!CA_gross_prod_oil+HM_ZD_Moho!CA_FP_lpg_nom*HM_ZD_Moho!CA_gross_prod_lpg)/(HM_ZD_Moho!CA_gross_prod_oil+HM_ZD_Moho!CA_gross_prod_lpg)),0)</f>
        <v>0</v>
      </c>
      <c r="AP578" s="49">
        <f ca="1">IFERROR((AP551)/((HM_ZD_Moho!CA_FP_oil_nom*HM_ZD_Moho!CA_gross_prod_oil+HM_ZD_Moho!CA_FP_lpg_nom*HM_ZD_Moho!CA_gross_prod_lpg)/(HM_ZD_Moho!CA_gross_prod_oil+HM_ZD_Moho!CA_gross_prod_lpg)),0)</f>
        <v>0</v>
      </c>
      <c r="AQ578" s="49">
        <f ca="1">IFERROR((AQ551)/((HM_ZD_Moho!CA_FP_oil_nom*HM_ZD_Moho!CA_gross_prod_oil+HM_ZD_Moho!CA_FP_lpg_nom*HM_ZD_Moho!CA_gross_prod_lpg)/(HM_ZD_Moho!CA_gross_prod_oil+HM_ZD_Moho!CA_gross_prod_lpg)),0)</f>
        <v>0</v>
      </c>
      <c r="AR578" s="49">
        <f ca="1">IFERROR((AR551)/((HM_ZD_Moho!CA_FP_oil_nom*HM_ZD_Moho!CA_gross_prod_oil+HM_ZD_Moho!CA_FP_lpg_nom*HM_ZD_Moho!CA_gross_prod_lpg)/(HM_ZD_Moho!CA_gross_prod_oil+HM_ZD_Moho!CA_gross_prod_lpg)),0)</f>
        <v>0</v>
      </c>
      <c r="AS578" s="49">
        <f ca="1">IFERROR((AS551)/((HM_ZD_Moho!CA_FP_oil_nom*HM_ZD_Moho!CA_gross_prod_oil+HM_ZD_Moho!CA_FP_lpg_nom*HM_ZD_Moho!CA_gross_prod_lpg)/(HM_ZD_Moho!CA_gross_prod_oil+HM_ZD_Moho!CA_gross_prod_lpg)),0)</f>
        <v>0</v>
      </c>
      <c r="AT578" s="49">
        <f ca="1">IFERROR((AT551)/((HM_ZD_Moho!CA_FP_oil_nom*HM_ZD_Moho!CA_gross_prod_oil+HM_ZD_Moho!CA_FP_lpg_nom*HM_ZD_Moho!CA_gross_prod_lpg)/(HM_ZD_Moho!CA_gross_prod_oil+HM_ZD_Moho!CA_gross_prod_lpg)),0)</f>
        <v>0</v>
      </c>
      <c r="AU578" s="49">
        <f ca="1">IFERROR((AU551)/((HM_ZD_Moho!CA_FP_oil_nom*HM_ZD_Moho!CA_gross_prod_oil+HM_ZD_Moho!CA_FP_lpg_nom*HM_ZD_Moho!CA_gross_prod_lpg)/(HM_ZD_Moho!CA_gross_prod_oil+HM_ZD_Moho!CA_gross_prod_lpg)),0)</f>
        <v>0</v>
      </c>
      <c r="AV578" s="49">
        <f ca="1">IFERROR((AV551)/((HM_ZD_Moho!CA_FP_oil_nom*HM_ZD_Moho!CA_gross_prod_oil+HM_ZD_Moho!CA_FP_lpg_nom*HM_ZD_Moho!CA_gross_prod_lpg)/(HM_ZD_Moho!CA_gross_prod_oil+HM_ZD_Moho!CA_gross_prod_lpg)),0)</f>
        <v>0</v>
      </c>
      <c r="AW578" s="49">
        <f ca="1">IFERROR((AW551)/((HM_ZD_Moho!CA_FP_oil_nom*HM_ZD_Moho!CA_gross_prod_oil+HM_ZD_Moho!CA_FP_lpg_nom*HM_ZD_Moho!CA_gross_prod_lpg)/(HM_ZD_Moho!CA_gross_prod_oil+HM_ZD_Moho!CA_gross_prod_lpg)),0)</f>
        <v>0</v>
      </c>
      <c r="AX578" s="49">
        <f ca="1">IFERROR((AX551)/((HM_ZD_Moho!CA_FP_oil_nom*HM_ZD_Moho!CA_gross_prod_oil+HM_ZD_Moho!CA_FP_lpg_nom*HM_ZD_Moho!CA_gross_prod_lpg)/(HM_ZD_Moho!CA_gross_prod_oil+HM_ZD_Moho!CA_gross_prod_lpg)),0)</f>
        <v>0</v>
      </c>
      <c r="AY578" s="49">
        <f ca="1">IFERROR((AY551)/((HM_ZD_Moho!CA_FP_oil_nom*HM_ZD_Moho!CA_gross_prod_oil+HM_ZD_Moho!CA_FP_lpg_nom*HM_ZD_Moho!CA_gross_prod_lpg)/(HM_ZD_Moho!CA_gross_prod_oil+HM_ZD_Moho!CA_gross_prod_lpg)),0)</f>
        <v>0</v>
      </c>
      <c r="AZ578" s="49">
        <f ca="1">IFERROR((AZ551)/((HM_ZD_Moho!CA_FP_oil_nom*HM_ZD_Moho!CA_gross_prod_oil+HM_ZD_Moho!CA_FP_lpg_nom*HM_ZD_Moho!CA_gross_prod_lpg)/(HM_ZD_Moho!CA_gross_prod_oil+HM_ZD_Moho!CA_gross_prod_lpg)),0)</f>
        <v>0</v>
      </c>
      <c r="BA578" s="49">
        <f ca="1">IFERROR((BA551)/((HM_ZD_Moho!CA_FP_oil_nom*HM_ZD_Moho!CA_gross_prod_oil+HM_ZD_Moho!CA_FP_lpg_nom*HM_ZD_Moho!CA_gross_prod_lpg)/(HM_ZD_Moho!CA_gross_prod_oil+HM_ZD_Moho!CA_gross_prod_lpg)),0)</f>
        <v>0</v>
      </c>
      <c r="BB578" s="49">
        <f ca="1">IFERROR((BB551)/((HM_ZD_Moho!CA_FP_oil_nom*HM_ZD_Moho!CA_gross_prod_oil+HM_ZD_Moho!CA_FP_lpg_nom*HM_ZD_Moho!CA_gross_prod_lpg)/(HM_ZD_Moho!CA_gross_prod_oil+HM_ZD_Moho!CA_gross_prod_lpg)),0)</f>
        <v>0</v>
      </c>
      <c r="BC578" s="49">
        <f ca="1">IFERROR((BC551)/((HM_ZD_Moho!CA_FP_oil_nom*HM_ZD_Moho!CA_gross_prod_oil+HM_ZD_Moho!CA_FP_lpg_nom*HM_ZD_Moho!CA_gross_prod_lpg)/(HM_ZD_Moho!CA_gross_prod_oil+HM_ZD_Moho!CA_gross_prod_lpg)),0)</f>
        <v>0</v>
      </c>
      <c r="BD578" s="49">
        <f ca="1">IFERROR((BD551)/((HM_ZD_Moho!CA_FP_oil_nom*HM_ZD_Moho!CA_gross_prod_oil+HM_ZD_Moho!CA_FP_lpg_nom*HM_ZD_Moho!CA_gross_prod_lpg)/(HM_ZD_Moho!CA_gross_prod_oil+HM_ZD_Moho!CA_gross_prod_lpg)),0)</f>
        <v>0</v>
      </c>
      <c r="BE578" s="49">
        <f ca="1">IFERROR((BE551)/((HM_ZD_Moho!CA_FP_oil_nom*HM_ZD_Moho!CA_gross_prod_oil+HM_ZD_Moho!CA_FP_lpg_nom*HM_ZD_Moho!CA_gross_prod_lpg)/(HM_ZD_Moho!CA_gross_prod_oil+HM_ZD_Moho!CA_gross_prod_lpg)),0)</f>
        <v>0</v>
      </c>
      <c r="BF578" s="49">
        <f ca="1">IFERROR((BF551)/((HM_ZD_Moho!CA_FP_oil_nom*HM_ZD_Moho!CA_gross_prod_oil+HM_ZD_Moho!CA_FP_lpg_nom*HM_ZD_Moho!CA_gross_prod_lpg)/(HM_ZD_Moho!CA_gross_prod_oil+HM_ZD_Moho!CA_gross_prod_lpg)),0)</f>
        <v>0</v>
      </c>
      <c r="BG578" s="49">
        <f ca="1">IFERROR((BG551)/((HM_ZD_Moho!CA_FP_oil_nom*HM_ZD_Moho!CA_gross_prod_oil+HM_ZD_Moho!CA_FP_lpg_nom*HM_ZD_Moho!CA_gross_prod_lpg)/(HM_ZD_Moho!CA_gross_prod_oil+HM_ZD_Moho!CA_gross_prod_lpg)),0)</f>
        <v>0</v>
      </c>
      <c r="BH578" s="49">
        <f ca="1">IFERROR((BH551)/((HM_ZD_Moho!CA_FP_oil_nom*HM_ZD_Moho!CA_gross_prod_oil+HM_ZD_Moho!CA_FP_lpg_nom*HM_ZD_Moho!CA_gross_prod_lpg)/(HM_ZD_Moho!CA_gross_prod_oil+HM_ZD_Moho!CA_gross_prod_lpg)),0)</f>
        <v>0</v>
      </c>
      <c r="BI578" s="49">
        <f ca="1">IFERROR((BI551)/((HM_ZD_Moho!CA_FP_oil_nom*HM_ZD_Moho!CA_gross_prod_oil+HM_ZD_Moho!CA_FP_lpg_nom*HM_ZD_Moho!CA_gross_prod_lpg)/(HM_ZD_Moho!CA_gross_prod_oil+HM_ZD_Moho!CA_gross_prod_lpg)),0)</f>
        <v>0</v>
      </c>
      <c r="BJ578" s="49">
        <f ca="1">IFERROR((BJ551)/((HM_ZD_Moho!CA_FP_oil_nom*HM_ZD_Moho!CA_gross_prod_oil+HM_ZD_Moho!CA_FP_lpg_nom*HM_ZD_Moho!CA_gross_prod_lpg)/(HM_ZD_Moho!CA_gross_prod_oil+HM_ZD_Moho!CA_gross_prod_lpg)),0)</f>
        <v>0</v>
      </c>
      <c r="BK578" s="49">
        <f ca="1">IFERROR((BK551)/((HM_ZD_Moho!CA_FP_oil_nom*HM_ZD_Moho!CA_gross_prod_oil+HM_ZD_Moho!CA_FP_lpg_nom*HM_ZD_Moho!CA_gross_prod_lpg)/(HM_ZD_Moho!CA_gross_prod_oil+HM_ZD_Moho!CA_gross_prod_lpg)),0)</f>
        <v>0</v>
      </c>
      <c r="BL578" s="49">
        <f ca="1">IFERROR((BL551)/((HM_ZD_Moho!CA_FP_oil_nom*HM_ZD_Moho!CA_gross_prod_oil+HM_ZD_Moho!CA_FP_lpg_nom*HM_ZD_Moho!CA_gross_prod_lpg)/(HM_ZD_Moho!CA_gross_prod_oil+HM_ZD_Moho!CA_gross_prod_lpg)),0)</f>
        <v>0</v>
      </c>
      <c r="BM578" s="49">
        <f ca="1">IFERROR((BM551)/((HM_ZD_Moho!CA_FP_oil_nom*HM_ZD_Moho!CA_gross_prod_oil+HM_ZD_Moho!CA_FP_lpg_nom*HM_ZD_Moho!CA_gross_prod_lpg)/(HM_ZD_Moho!CA_gross_prod_oil+HM_ZD_Moho!CA_gross_prod_lpg)),0)</f>
        <v>0</v>
      </c>
      <c r="BN578" s="49">
        <f ca="1">IFERROR((BN551)/((HM_ZD_Moho!CA_FP_oil_nom*HM_ZD_Moho!CA_gross_prod_oil+HM_ZD_Moho!CA_FP_lpg_nom*HM_ZD_Moho!CA_gross_prod_lpg)/(HM_ZD_Moho!CA_gross_prod_oil+HM_ZD_Moho!CA_gross_prod_lpg)),0)</f>
        <v>0</v>
      </c>
      <c r="BO578" s="49">
        <f ca="1">IFERROR((BO551)/((HM_ZD_Moho!CA_FP_oil_nom*HM_ZD_Moho!CA_gross_prod_oil+HM_ZD_Moho!CA_FP_lpg_nom*HM_ZD_Moho!CA_gross_prod_lpg)/(HM_ZD_Moho!CA_gross_prod_oil+HM_ZD_Moho!CA_gross_prod_lpg)),0)</f>
        <v>0</v>
      </c>
      <c r="BP578" s="49">
        <f ca="1">IFERROR((BP551)/((HM_ZD_Moho!CA_FP_oil_nom*HM_ZD_Moho!CA_gross_prod_oil+HM_ZD_Moho!CA_FP_lpg_nom*HM_ZD_Moho!CA_gross_prod_lpg)/(HM_ZD_Moho!CA_gross_prod_oil+HM_ZD_Moho!CA_gross_prod_lpg)),0)</f>
        <v>0</v>
      </c>
      <c r="BQ578" s="49">
        <f ca="1">IFERROR((BQ551)/((HM_ZD_Moho!CA_FP_oil_nom*HM_ZD_Moho!CA_gross_prod_oil+HM_ZD_Moho!CA_FP_lpg_nom*HM_ZD_Moho!CA_gross_prod_lpg)/(HM_ZD_Moho!CA_gross_prod_oil+HM_ZD_Moho!CA_gross_prod_lpg)),0)</f>
        <v>0</v>
      </c>
      <c r="BR578" s="49">
        <f ca="1">IFERROR((BR551)/((HM_ZD_Moho!CA_FP_oil_nom*HM_ZD_Moho!CA_gross_prod_oil+HM_ZD_Moho!CA_FP_lpg_nom*HM_ZD_Moho!CA_gross_prod_lpg)/(HM_ZD_Moho!CA_gross_prod_oil+HM_ZD_Moho!CA_gross_prod_lpg)),0)</f>
        <v>0</v>
      </c>
      <c r="BS578" s="49">
        <f ca="1">IFERROR((BS551)/((HM_ZD_Moho!CA_FP_oil_nom*HM_ZD_Moho!CA_gross_prod_oil+HM_ZD_Moho!CA_FP_lpg_nom*HM_ZD_Moho!CA_gross_prod_lpg)/(HM_ZD_Moho!CA_gross_prod_oil+HM_ZD_Moho!CA_gross_prod_lpg)),0)</f>
        <v>0</v>
      </c>
    </row>
    <row r="579" spans="4:71" outlineLevel="1" x14ac:dyDescent="0.2">
      <c r="D579" t="str">
        <f>HM_ZB_Nsoko!D565</f>
        <v>Profit Oil</v>
      </c>
      <c r="H579" s="7"/>
      <c r="I579" s="30">
        <f t="shared" ca="1" si="258"/>
        <v>30.090515012068906</v>
      </c>
      <c r="J579" s="26" t="s">
        <v>692</v>
      </c>
      <c r="L579" s="49">
        <f ca="1">IFERROR((L552)/((HM_ZD_Moho!CA_FP_oil_nom*HM_ZD_Moho!CA_gross_prod_oil+HM_ZD_Moho!CA_FP_lpg_nom*HM_ZD_Moho!CA_gross_prod_lpg+HM_ZD_Moho!CA_FP_gas_nom*HM_ZD_Moho!CA_gross_prod_gas)/HM_ZD_Moho!CA_gross_prod_Total),0)</f>
        <v>0</v>
      </c>
      <c r="M579" s="49">
        <f ca="1">IFERROR((M552)/((HM_ZD_Moho!CA_FP_oil_nom*HM_ZD_Moho!CA_gross_prod_oil+HM_ZD_Moho!CA_FP_lpg_nom*HM_ZD_Moho!CA_gross_prod_lpg+HM_ZD_Moho!CA_FP_gas_nom*HM_ZD_Moho!CA_gross_prod_gas)/HM_ZD_Moho!CA_gross_prod_Total),0)</f>
        <v>0</v>
      </c>
      <c r="N579" s="49">
        <f ca="1">IFERROR((N552)/((HM_ZD_Moho!CA_FP_oil_nom*HM_ZD_Moho!CA_gross_prod_oil+HM_ZD_Moho!CA_FP_lpg_nom*HM_ZD_Moho!CA_gross_prod_lpg+HM_ZD_Moho!CA_FP_gas_nom*HM_ZD_Moho!CA_gross_prod_gas)/HM_ZD_Moho!CA_gross_prod_Total),0)</f>
        <v>0.69151153500000051</v>
      </c>
      <c r="O579" s="49">
        <f ca="1">IFERROR((O552)/((HM_ZD_Moho!CA_FP_oil_nom*HM_ZD_Moho!CA_gross_prod_oil+HM_ZD_Moho!CA_FP_lpg_nom*HM_ZD_Moho!CA_gross_prod_lpg+HM_ZD_Moho!CA_FP_gas_nom*HM_ZD_Moho!CA_gross_prod_gas)/HM_ZD_Moho!CA_gross_prod_Total),0)</f>
        <v>0.70161277500000019</v>
      </c>
      <c r="P579" s="49">
        <f ca="1">IFERROR((P552)/((HM_ZD_Moho!CA_FP_oil_nom*HM_ZD_Moho!CA_gross_prod_oil+HM_ZD_Moho!CA_FP_lpg_nom*HM_ZD_Moho!CA_gross_prod_lpg+HM_ZD_Moho!CA_FP_gas_nom*HM_ZD_Moho!CA_gross_prod_gas)/HM_ZD_Moho!CA_gross_prod_Total),0)</f>
        <v>1.4685423750000011</v>
      </c>
      <c r="Q579" s="49">
        <f ca="1">IFERROR((Q552)/((HM_ZD_Moho!CA_FP_oil_nom*HM_ZD_Moho!CA_gross_prod_oil+HM_ZD_Moho!CA_FP_lpg_nom*HM_ZD_Moho!CA_gross_prod_lpg+HM_ZD_Moho!CA_FP_gas_nom*HM_ZD_Moho!CA_gross_prod_gas)/HM_ZD_Moho!CA_gross_prod_Total),0)</f>
        <v>2.3575131900000015</v>
      </c>
      <c r="R579" s="49">
        <f ca="1">IFERROR((R552)/((HM_ZD_Moho!CA_FP_oil_nom*HM_ZD_Moho!CA_gross_prod_oil+HM_ZD_Moho!CA_FP_lpg_nom*HM_ZD_Moho!CA_gross_prod_lpg+HM_ZD_Moho!CA_FP_gas_nom*HM_ZD_Moho!CA_gross_prod_gas)/HM_ZD_Moho!CA_gross_prod_Total),0)</f>
        <v>2.8687679474999985</v>
      </c>
      <c r="S579" s="49">
        <f ca="1">IFERROR((S552)/((HM_ZD_Moho!CA_FP_oil_nom*HM_ZD_Moho!CA_gross_prod_oil+HM_ZD_Moho!CA_FP_lpg_nom*HM_ZD_Moho!CA_gross_prod_lpg+HM_ZD_Moho!CA_FP_gas_nom*HM_ZD_Moho!CA_gross_prod_gas)/HM_ZD_Moho!CA_gross_prod_Total),0)</f>
        <v>2.7325305000000024</v>
      </c>
      <c r="T579" s="49">
        <f ca="1">IFERROR((T552)/((HM_ZD_Moho!CA_FP_oil_nom*HM_ZD_Moho!CA_gross_prod_oil+HM_ZD_Moho!CA_FP_lpg_nom*HM_ZD_Moho!CA_gross_prod_lpg+HM_ZD_Moho!CA_FP_gas_nom*HM_ZD_Moho!CA_gross_prod_gas)/HM_ZD_Moho!CA_gross_prod_Total),0)</f>
        <v>2.5412533650000002</v>
      </c>
      <c r="U579" s="49">
        <f ca="1">IFERROR((U552)/((HM_ZD_Moho!CA_FP_oil_nom*HM_ZD_Moho!CA_gross_prod_oil+HM_ZD_Moho!CA_FP_lpg_nom*HM_ZD_Moho!CA_gross_prod_lpg+HM_ZD_Moho!CA_FP_gas_nom*HM_ZD_Moho!CA_gross_prod_gas)/HM_ZD_Moho!CA_gross_prod_Total),0)</f>
        <v>2.3633656294500009</v>
      </c>
      <c r="V579" s="49">
        <f ca="1">IFERROR((V552)/((HM_ZD_Moho!CA_FP_oil_nom*HM_ZD_Moho!CA_gross_prod_oil+HM_ZD_Moho!CA_FP_lpg_nom*HM_ZD_Moho!CA_gross_prod_lpg+HM_ZD_Moho!CA_FP_gas_nom*HM_ZD_Moho!CA_gross_prod_gas)/HM_ZD_Moho!CA_gross_prod_Total),0)</f>
        <v>3.1399000505550019</v>
      </c>
      <c r="W579" s="49">
        <f ca="1">IFERROR((W552)/((HM_ZD_Moho!CA_FP_oil_nom*HM_ZD_Moho!CA_gross_prod_oil+HM_ZD_Moho!CA_FP_lpg_nom*HM_ZD_Moho!CA_gross_prod_lpg+HM_ZD_Moho!CA_FP_gas_nom*HM_ZD_Moho!CA_gross_prod_gas)/HM_ZD_Moho!CA_gross_prod_Total),0)</f>
        <v>5.8163303857844033</v>
      </c>
      <c r="X579" s="49">
        <f ca="1">IFERROR((X552)/((HM_ZD_Moho!CA_FP_oil_nom*HM_ZD_Moho!CA_gross_prod_oil+HM_ZD_Moho!CA_FP_lpg_nom*HM_ZD_Moho!CA_gross_prod_lpg+HM_ZD_Moho!CA_FP_gas_nom*HM_ZD_Moho!CA_gross_prod_gas)/HM_ZD_Moho!CA_gross_prod_Total),0)</f>
        <v>5.4091872587794914</v>
      </c>
      <c r="Y579" s="49">
        <f ca="1">IFERROR((Y552)/((HM_ZD_Moho!CA_FP_oil_nom*HM_ZD_Moho!CA_gross_prod_oil+HM_ZD_Moho!CA_FP_lpg_nom*HM_ZD_Moho!CA_gross_prod_lpg+HM_ZD_Moho!CA_FP_gas_nom*HM_ZD_Moho!CA_gross_prod_gas)/HM_ZD_Moho!CA_gross_prod_Total),0)</f>
        <v>0</v>
      </c>
      <c r="Z579" s="49">
        <f ca="1">IFERROR((Z552)/((HM_ZD_Moho!CA_FP_oil_nom*HM_ZD_Moho!CA_gross_prod_oil+HM_ZD_Moho!CA_FP_lpg_nom*HM_ZD_Moho!CA_gross_prod_lpg+HM_ZD_Moho!CA_FP_gas_nom*HM_ZD_Moho!CA_gross_prod_gas)/HM_ZD_Moho!CA_gross_prod_Total),0)</f>
        <v>0</v>
      </c>
      <c r="AA579" s="49">
        <f ca="1">IFERROR((AA552)/((HM_ZD_Moho!CA_FP_oil_nom*HM_ZD_Moho!CA_gross_prod_oil+HM_ZD_Moho!CA_FP_lpg_nom*HM_ZD_Moho!CA_gross_prod_lpg+HM_ZD_Moho!CA_FP_gas_nom*HM_ZD_Moho!CA_gross_prod_gas)/HM_ZD_Moho!CA_gross_prod_Total),0)</f>
        <v>0</v>
      </c>
      <c r="AB579" s="49">
        <f ca="1">IFERROR((AB552)/((HM_ZD_Moho!CA_FP_oil_nom*HM_ZD_Moho!CA_gross_prod_oil+HM_ZD_Moho!CA_FP_lpg_nom*HM_ZD_Moho!CA_gross_prod_lpg+HM_ZD_Moho!CA_FP_gas_nom*HM_ZD_Moho!CA_gross_prod_gas)/HM_ZD_Moho!CA_gross_prod_Total),0)</f>
        <v>0</v>
      </c>
      <c r="AC579" s="49">
        <f ca="1">IFERROR((AC552)/((HM_ZD_Moho!CA_FP_oil_nom*HM_ZD_Moho!CA_gross_prod_oil+HM_ZD_Moho!CA_FP_lpg_nom*HM_ZD_Moho!CA_gross_prod_lpg+HM_ZD_Moho!CA_FP_gas_nom*HM_ZD_Moho!CA_gross_prod_gas)/HM_ZD_Moho!CA_gross_prod_Total),0)</f>
        <v>0</v>
      </c>
      <c r="AD579" s="49">
        <f ca="1">IFERROR((AD552)/((HM_ZD_Moho!CA_FP_oil_nom*HM_ZD_Moho!CA_gross_prod_oil+HM_ZD_Moho!CA_FP_lpg_nom*HM_ZD_Moho!CA_gross_prod_lpg+HM_ZD_Moho!CA_FP_gas_nom*HM_ZD_Moho!CA_gross_prod_gas)/HM_ZD_Moho!CA_gross_prod_Total),0)</f>
        <v>0</v>
      </c>
      <c r="AE579" s="49">
        <f ca="1">IFERROR((AE552)/((HM_ZD_Moho!CA_FP_oil_nom*HM_ZD_Moho!CA_gross_prod_oil+HM_ZD_Moho!CA_FP_lpg_nom*HM_ZD_Moho!CA_gross_prod_lpg+HM_ZD_Moho!CA_FP_gas_nom*HM_ZD_Moho!CA_gross_prod_gas)/HM_ZD_Moho!CA_gross_prod_Total),0)</f>
        <v>0</v>
      </c>
      <c r="AF579" s="49">
        <f ca="1">IFERROR((AF552)/((HM_ZD_Moho!CA_FP_oil_nom*HM_ZD_Moho!CA_gross_prod_oil+HM_ZD_Moho!CA_FP_lpg_nom*HM_ZD_Moho!CA_gross_prod_lpg+HM_ZD_Moho!CA_FP_gas_nom*HM_ZD_Moho!CA_gross_prod_gas)/HM_ZD_Moho!CA_gross_prod_Total),0)</f>
        <v>0</v>
      </c>
      <c r="AG579" s="49">
        <f ca="1">IFERROR((AG552)/((HM_ZD_Moho!CA_FP_oil_nom*HM_ZD_Moho!CA_gross_prod_oil+HM_ZD_Moho!CA_FP_lpg_nom*HM_ZD_Moho!CA_gross_prod_lpg+HM_ZD_Moho!CA_FP_gas_nom*HM_ZD_Moho!CA_gross_prod_gas)/HM_ZD_Moho!CA_gross_prod_Total),0)</f>
        <v>0</v>
      </c>
      <c r="AH579" s="49">
        <f ca="1">IFERROR((AH552)/((HM_ZD_Moho!CA_FP_oil_nom*HM_ZD_Moho!CA_gross_prod_oil+HM_ZD_Moho!CA_FP_lpg_nom*HM_ZD_Moho!CA_gross_prod_lpg+HM_ZD_Moho!CA_FP_gas_nom*HM_ZD_Moho!CA_gross_prod_gas)/HM_ZD_Moho!CA_gross_prod_Total),0)</f>
        <v>0</v>
      </c>
      <c r="AI579" s="49">
        <f ca="1">IFERROR((AI552)/((HM_ZD_Moho!CA_FP_oil_nom*HM_ZD_Moho!CA_gross_prod_oil+HM_ZD_Moho!CA_FP_lpg_nom*HM_ZD_Moho!CA_gross_prod_lpg+HM_ZD_Moho!CA_FP_gas_nom*HM_ZD_Moho!CA_gross_prod_gas)/HM_ZD_Moho!CA_gross_prod_Total),0)</f>
        <v>0</v>
      </c>
      <c r="AJ579" s="49">
        <f ca="1">IFERROR((AJ552)/((HM_ZD_Moho!CA_FP_oil_nom*HM_ZD_Moho!CA_gross_prod_oil+HM_ZD_Moho!CA_FP_lpg_nom*HM_ZD_Moho!CA_gross_prod_lpg+HM_ZD_Moho!CA_FP_gas_nom*HM_ZD_Moho!CA_gross_prod_gas)/HM_ZD_Moho!CA_gross_prod_Total),0)</f>
        <v>0</v>
      </c>
      <c r="AK579" s="49">
        <f ca="1">IFERROR((AK552)/((HM_ZD_Moho!CA_FP_oil_nom*HM_ZD_Moho!CA_gross_prod_oil+HM_ZD_Moho!CA_FP_lpg_nom*HM_ZD_Moho!CA_gross_prod_lpg+HM_ZD_Moho!CA_FP_gas_nom*HM_ZD_Moho!CA_gross_prod_gas)/HM_ZD_Moho!CA_gross_prod_Total),0)</f>
        <v>0</v>
      </c>
      <c r="AL579" s="49">
        <f ca="1">IFERROR((AL552)/((HM_ZD_Moho!CA_FP_oil_nom*HM_ZD_Moho!CA_gross_prod_oil+HM_ZD_Moho!CA_FP_lpg_nom*HM_ZD_Moho!CA_gross_prod_lpg+HM_ZD_Moho!CA_FP_gas_nom*HM_ZD_Moho!CA_gross_prod_gas)/HM_ZD_Moho!CA_gross_prod_Total),0)</f>
        <v>0</v>
      </c>
      <c r="AM579" s="49">
        <f ca="1">IFERROR((AM552)/((HM_ZD_Moho!CA_FP_oil_nom*HM_ZD_Moho!CA_gross_prod_oil+HM_ZD_Moho!CA_FP_lpg_nom*HM_ZD_Moho!CA_gross_prod_lpg+HM_ZD_Moho!CA_FP_gas_nom*HM_ZD_Moho!CA_gross_prod_gas)/HM_ZD_Moho!CA_gross_prod_Total),0)</f>
        <v>0</v>
      </c>
      <c r="AN579" s="49">
        <f ca="1">IFERROR((AN552)/((HM_ZD_Moho!CA_FP_oil_nom*HM_ZD_Moho!CA_gross_prod_oil+HM_ZD_Moho!CA_FP_lpg_nom*HM_ZD_Moho!CA_gross_prod_lpg+HM_ZD_Moho!CA_FP_gas_nom*HM_ZD_Moho!CA_gross_prod_gas)/HM_ZD_Moho!CA_gross_prod_Total),0)</f>
        <v>0</v>
      </c>
      <c r="AO579" s="49">
        <f ca="1">IFERROR((AO552)/((HM_ZD_Moho!CA_FP_oil_nom*HM_ZD_Moho!CA_gross_prod_oil+HM_ZD_Moho!CA_FP_lpg_nom*HM_ZD_Moho!CA_gross_prod_lpg+HM_ZD_Moho!CA_FP_gas_nom*HM_ZD_Moho!CA_gross_prod_gas)/HM_ZD_Moho!CA_gross_prod_Total),0)</f>
        <v>0</v>
      </c>
      <c r="AP579" s="49">
        <f ca="1">IFERROR((AP552)/((HM_ZD_Moho!CA_FP_oil_nom*HM_ZD_Moho!CA_gross_prod_oil+HM_ZD_Moho!CA_FP_lpg_nom*HM_ZD_Moho!CA_gross_prod_lpg+HM_ZD_Moho!CA_FP_gas_nom*HM_ZD_Moho!CA_gross_prod_gas)/HM_ZD_Moho!CA_gross_prod_Total),0)</f>
        <v>0</v>
      </c>
      <c r="AQ579" s="49">
        <f ca="1">IFERROR((AQ552)/((HM_ZD_Moho!CA_FP_oil_nom*HM_ZD_Moho!CA_gross_prod_oil+HM_ZD_Moho!CA_FP_lpg_nom*HM_ZD_Moho!CA_gross_prod_lpg+HM_ZD_Moho!CA_FP_gas_nom*HM_ZD_Moho!CA_gross_prod_gas)/HM_ZD_Moho!CA_gross_prod_Total),0)</f>
        <v>0</v>
      </c>
      <c r="AR579" s="49">
        <f ca="1">IFERROR((AR552)/((HM_ZD_Moho!CA_FP_oil_nom*HM_ZD_Moho!CA_gross_prod_oil+HM_ZD_Moho!CA_FP_lpg_nom*HM_ZD_Moho!CA_gross_prod_lpg+HM_ZD_Moho!CA_FP_gas_nom*HM_ZD_Moho!CA_gross_prod_gas)/HM_ZD_Moho!CA_gross_prod_Total),0)</f>
        <v>0</v>
      </c>
      <c r="AS579" s="49">
        <f ca="1">IFERROR((AS552)/((HM_ZD_Moho!CA_FP_oil_nom*HM_ZD_Moho!CA_gross_prod_oil+HM_ZD_Moho!CA_FP_lpg_nom*HM_ZD_Moho!CA_gross_prod_lpg+HM_ZD_Moho!CA_FP_gas_nom*HM_ZD_Moho!CA_gross_prod_gas)/HM_ZD_Moho!CA_gross_prod_Total),0)</f>
        <v>0</v>
      </c>
      <c r="AT579" s="49">
        <f ca="1">IFERROR((AT552)/((HM_ZD_Moho!CA_FP_oil_nom*HM_ZD_Moho!CA_gross_prod_oil+HM_ZD_Moho!CA_FP_lpg_nom*HM_ZD_Moho!CA_gross_prod_lpg+HM_ZD_Moho!CA_FP_gas_nom*HM_ZD_Moho!CA_gross_prod_gas)/HM_ZD_Moho!CA_gross_prod_Total),0)</f>
        <v>0</v>
      </c>
      <c r="AU579" s="49">
        <f ca="1">IFERROR((AU552)/((HM_ZD_Moho!CA_FP_oil_nom*HM_ZD_Moho!CA_gross_prod_oil+HM_ZD_Moho!CA_FP_lpg_nom*HM_ZD_Moho!CA_gross_prod_lpg+HM_ZD_Moho!CA_FP_gas_nom*HM_ZD_Moho!CA_gross_prod_gas)/HM_ZD_Moho!CA_gross_prod_Total),0)</f>
        <v>0</v>
      </c>
      <c r="AV579" s="49">
        <f ca="1">IFERROR((AV552)/((HM_ZD_Moho!CA_FP_oil_nom*HM_ZD_Moho!CA_gross_prod_oil+HM_ZD_Moho!CA_FP_lpg_nom*HM_ZD_Moho!CA_gross_prod_lpg+HM_ZD_Moho!CA_FP_gas_nom*HM_ZD_Moho!CA_gross_prod_gas)/HM_ZD_Moho!CA_gross_prod_Total),0)</f>
        <v>0</v>
      </c>
      <c r="AW579" s="49">
        <f ca="1">IFERROR((AW552)/((HM_ZD_Moho!CA_FP_oil_nom*HM_ZD_Moho!CA_gross_prod_oil+HM_ZD_Moho!CA_FP_lpg_nom*HM_ZD_Moho!CA_gross_prod_lpg+HM_ZD_Moho!CA_FP_gas_nom*HM_ZD_Moho!CA_gross_prod_gas)/HM_ZD_Moho!CA_gross_prod_Total),0)</f>
        <v>0</v>
      </c>
      <c r="AX579" s="49">
        <f ca="1">IFERROR((AX552)/((HM_ZD_Moho!CA_FP_oil_nom*HM_ZD_Moho!CA_gross_prod_oil+HM_ZD_Moho!CA_FP_lpg_nom*HM_ZD_Moho!CA_gross_prod_lpg+HM_ZD_Moho!CA_FP_gas_nom*HM_ZD_Moho!CA_gross_prod_gas)/HM_ZD_Moho!CA_gross_prod_Total),0)</f>
        <v>0</v>
      </c>
      <c r="AY579" s="49">
        <f ca="1">IFERROR((AY552)/((HM_ZD_Moho!CA_FP_oil_nom*HM_ZD_Moho!CA_gross_prod_oil+HM_ZD_Moho!CA_FP_lpg_nom*HM_ZD_Moho!CA_gross_prod_lpg+HM_ZD_Moho!CA_FP_gas_nom*HM_ZD_Moho!CA_gross_prod_gas)/HM_ZD_Moho!CA_gross_prod_Total),0)</f>
        <v>0</v>
      </c>
      <c r="AZ579" s="49">
        <f ca="1">IFERROR((AZ552)/((HM_ZD_Moho!CA_FP_oil_nom*HM_ZD_Moho!CA_gross_prod_oil+HM_ZD_Moho!CA_FP_lpg_nom*HM_ZD_Moho!CA_gross_prod_lpg+HM_ZD_Moho!CA_FP_gas_nom*HM_ZD_Moho!CA_gross_prod_gas)/HM_ZD_Moho!CA_gross_prod_Total),0)</f>
        <v>0</v>
      </c>
      <c r="BA579" s="49">
        <f ca="1">IFERROR((BA552)/((HM_ZD_Moho!CA_FP_oil_nom*HM_ZD_Moho!CA_gross_prod_oil+HM_ZD_Moho!CA_FP_lpg_nom*HM_ZD_Moho!CA_gross_prod_lpg+HM_ZD_Moho!CA_FP_gas_nom*HM_ZD_Moho!CA_gross_prod_gas)/HM_ZD_Moho!CA_gross_prod_Total),0)</f>
        <v>0</v>
      </c>
      <c r="BB579" s="49">
        <f ca="1">IFERROR((BB552)/((HM_ZD_Moho!CA_FP_oil_nom*HM_ZD_Moho!CA_gross_prod_oil+HM_ZD_Moho!CA_FP_lpg_nom*HM_ZD_Moho!CA_gross_prod_lpg+HM_ZD_Moho!CA_FP_gas_nom*HM_ZD_Moho!CA_gross_prod_gas)/HM_ZD_Moho!CA_gross_prod_Total),0)</f>
        <v>0</v>
      </c>
      <c r="BC579" s="49">
        <f ca="1">IFERROR((BC552)/((HM_ZD_Moho!CA_FP_oil_nom*HM_ZD_Moho!CA_gross_prod_oil+HM_ZD_Moho!CA_FP_lpg_nom*HM_ZD_Moho!CA_gross_prod_lpg+HM_ZD_Moho!CA_FP_gas_nom*HM_ZD_Moho!CA_gross_prod_gas)/HM_ZD_Moho!CA_gross_prod_Total),0)</f>
        <v>0</v>
      </c>
      <c r="BD579" s="49">
        <f ca="1">IFERROR((BD552)/((HM_ZD_Moho!CA_FP_oil_nom*HM_ZD_Moho!CA_gross_prod_oil+HM_ZD_Moho!CA_FP_lpg_nom*HM_ZD_Moho!CA_gross_prod_lpg+HM_ZD_Moho!CA_FP_gas_nom*HM_ZD_Moho!CA_gross_prod_gas)/HM_ZD_Moho!CA_gross_prod_Total),0)</f>
        <v>0</v>
      </c>
      <c r="BE579" s="49">
        <f ca="1">IFERROR((BE552)/((HM_ZD_Moho!CA_FP_oil_nom*HM_ZD_Moho!CA_gross_prod_oil+HM_ZD_Moho!CA_FP_lpg_nom*HM_ZD_Moho!CA_gross_prod_lpg+HM_ZD_Moho!CA_FP_gas_nom*HM_ZD_Moho!CA_gross_prod_gas)/HM_ZD_Moho!CA_gross_prod_Total),0)</f>
        <v>0</v>
      </c>
      <c r="BF579" s="49">
        <f ca="1">IFERROR((BF552)/((HM_ZD_Moho!CA_FP_oil_nom*HM_ZD_Moho!CA_gross_prod_oil+HM_ZD_Moho!CA_FP_lpg_nom*HM_ZD_Moho!CA_gross_prod_lpg+HM_ZD_Moho!CA_FP_gas_nom*HM_ZD_Moho!CA_gross_prod_gas)/HM_ZD_Moho!CA_gross_prod_Total),0)</f>
        <v>0</v>
      </c>
      <c r="BG579" s="49">
        <f ca="1">IFERROR((BG552)/((HM_ZD_Moho!CA_FP_oil_nom*HM_ZD_Moho!CA_gross_prod_oil+HM_ZD_Moho!CA_FP_lpg_nom*HM_ZD_Moho!CA_gross_prod_lpg+HM_ZD_Moho!CA_FP_gas_nom*HM_ZD_Moho!CA_gross_prod_gas)/HM_ZD_Moho!CA_gross_prod_Total),0)</f>
        <v>0</v>
      </c>
      <c r="BH579" s="49">
        <f ca="1">IFERROR((BH552)/((HM_ZD_Moho!CA_FP_oil_nom*HM_ZD_Moho!CA_gross_prod_oil+HM_ZD_Moho!CA_FP_lpg_nom*HM_ZD_Moho!CA_gross_prod_lpg+HM_ZD_Moho!CA_FP_gas_nom*HM_ZD_Moho!CA_gross_prod_gas)/HM_ZD_Moho!CA_gross_prod_Total),0)</f>
        <v>0</v>
      </c>
      <c r="BI579" s="49">
        <f ca="1">IFERROR((BI552)/((HM_ZD_Moho!CA_FP_oil_nom*HM_ZD_Moho!CA_gross_prod_oil+HM_ZD_Moho!CA_FP_lpg_nom*HM_ZD_Moho!CA_gross_prod_lpg+HM_ZD_Moho!CA_FP_gas_nom*HM_ZD_Moho!CA_gross_prod_gas)/HM_ZD_Moho!CA_gross_prod_Total),0)</f>
        <v>0</v>
      </c>
      <c r="BJ579" s="49">
        <f ca="1">IFERROR((BJ552)/((HM_ZD_Moho!CA_FP_oil_nom*HM_ZD_Moho!CA_gross_prod_oil+HM_ZD_Moho!CA_FP_lpg_nom*HM_ZD_Moho!CA_gross_prod_lpg+HM_ZD_Moho!CA_FP_gas_nom*HM_ZD_Moho!CA_gross_prod_gas)/HM_ZD_Moho!CA_gross_prod_Total),0)</f>
        <v>0</v>
      </c>
      <c r="BK579" s="49">
        <f ca="1">IFERROR((BK552)/((HM_ZD_Moho!CA_FP_oil_nom*HM_ZD_Moho!CA_gross_prod_oil+HM_ZD_Moho!CA_FP_lpg_nom*HM_ZD_Moho!CA_gross_prod_lpg+HM_ZD_Moho!CA_FP_gas_nom*HM_ZD_Moho!CA_gross_prod_gas)/HM_ZD_Moho!CA_gross_prod_Total),0)</f>
        <v>0</v>
      </c>
      <c r="BL579" s="49">
        <f ca="1">IFERROR((BL552)/((HM_ZD_Moho!CA_FP_oil_nom*HM_ZD_Moho!CA_gross_prod_oil+HM_ZD_Moho!CA_FP_lpg_nom*HM_ZD_Moho!CA_gross_prod_lpg+HM_ZD_Moho!CA_FP_gas_nom*HM_ZD_Moho!CA_gross_prod_gas)/HM_ZD_Moho!CA_gross_prod_Total),0)</f>
        <v>0</v>
      </c>
      <c r="BM579" s="49">
        <f ca="1">IFERROR((BM552)/((HM_ZD_Moho!CA_FP_oil_nom*HM_ZD_Moho!CA_gross_prod_oil+HM_ZD_Moho!CA_FP_lpg_nom*HM_ZD_Moho!CA_gross_prod_lpg+HM_ZD_Moho!CA_FP_gas_nom*HM_ZD_Moho!CA_gross_prod_gas)/HM_ZD_Moho!CA_gross_prod_Total),0)</f>
        <v>0</v>
      </c>
      <c r="BN579" s="49">
        <f ca="1">IFERROR((BN552)/((HM_ZD_Moho!CA_FP_oil_nom*HM_ZD_Moho!CA_gross_prod_oil+HM_ZD_Moho!CA_FP_lpg_nom*HM_ZD_Moho!CA_gross_prod_lpg+HM_ZD_Moho!CA_FP_gas_nom*HM_ZD_Moho!CA_gross_prod_gas)/HM_ZD_Moho!CA_gross_prod_Total),0)</f>
        <v>0</v>
      </c>
      <c r="BO579" s="49">
        <f ca="1">IFERROR((BO552)/((HM_ZD_Moho!CA_FP_oil_nom*HM_ZD_Moho!CA_gross_prod_oil+HM_ZD_Moho!CA_FP_lpg_nom*HM_ZD_Moho!CA_gross_prod_lpg+HM_ZD_Moho!CA_FP_gas_nom*HM_ZD_Moho!CA_gross_prod_gas)/HM_ZD_Moho!CA_gross_prod_Total),0)</f>
        <v>0</v>
      </c>
      <c r="BP579" s="49">
        <f ca="1">IFERROR((BP552)/((HM_ZD_Moho!CA_FP_oil_nom*HM_ZD_Moho!CA_gross_prod_oil+HM_ZD_Moho!CA_FP_lpg_nom*HM_ZD_Moho!CA_gross_prod_lpg+HM_ZD_Moho!CA_FP_gas_nom*HM_ZD_Moho!CA_gross_prod_gas)/HM_ZD_Moho!CA_gross_prod_Total),0)</f>
        <v>0</v>
      </c>
      <c r="BQ579" s="49">
        <f ca="1">IFERROR((BQ552)/((HM_ZD_Moho!CA_FP_oil_nom*HM_ZD_Moho!CA_gross_prod_oil+HM_ZD_Moho!CA_FP_lpg_nom*HM_ZD_Moho!CA_gross_prod_lpg+HM_ZD_Moho!CA_FP_gas_nom*HM_ZD_Moho!CA_gross_prod_gas)/HM_ZD_Moho!CA_gross_prod_Total),0)</f>
        <v>0</v>
      </c>
      <c r="BR579" s="49">
        <f ca="1">IFERROR((BR552)/((HM_ZD_Moho!CA_FP_oil_nom*HM_ZD_Moho!CA_gross_prod_oil+HM_ZD_Moho!CA_FP_lpg_nom*HM_ZD_Moho!CA_gross_prod_lpg+HM_ZD_Moho!CA_FP_gas_nom*HM_ZD_Moho!CA_gross_prod_gas)/HM_ZD_Moho!CA_gross_prod_Total),0)</f>
        <v>0</v>
      </c>
      <c r="BS579" s="49">
        <f ca="1">IFERROR((BS552)/((HM_ZD_Moho!CA_FP_oil_nom*HM_ZD_Moho!CA_gross_prod_oil+HM_ZD_Moho!CA_FP_lpg_nom*HM_ZD_Moho!CA_gross_prod_lpg+HM_ZD_Moho!CA_FP_gas_nom*HM_ZD_Moho!CA_gross_prod_gas)/HM_ZD_Moho!CA_gross_prod_Total),0)</f>
        <v>0</v>
      </c>
    </row>
    <row r="580" spans="4:71" outlineLevel="1" x14ac:dyDescent="0.2">
      <c r="J580" s="26"/>
      <c r="L580" s="55"/>
      <c r="M580" s="55"/>
      <c r="N580" s="55"/>
      <c r="O580" s="55"/>
      <c r="P580" s="55"/>
      <c r="Q580" s="55"/>
      <c r="R580" s="55"/>
      <c r="S580" s="55"/>
      <c r="T580" s="55"/>
      <c r="U580" s="55"/>
      <c r="V580" s="55"/>
      <c r="W580" s="55"/>
      <c r="X580" s="55"/>
      <c r="Y580" s="55"/>
      <c r="Z580" s="55"/>
      <c r="AA580" s="55"/>
      <c r="AB580" s="55"/>
      <c r="AC580" s="55"/>
      <c r="AD580" s="55"/>
      <c r="AE580" s="55"/>
      <c r="AF580" s="55"/>
      <c r="AG580" s="55"/>
      <c r="AH580" s="55"/>
      <c r="AI580" s="55"/>
      <c r="AJ580" s="55"/>
      <c r="AK580" s="55"/>
      <c r="AL580" s="55"/>
      <c r="AM580" s="55"/>
      <c r="AN580" s="55"/>
      <c r="AO580" s="55"/>
      <c r="AP580" s="55"/>
      <c r="AQ580" s="55"/>
      <c r="AR580" s="55"/>
      <c r="AS580" s="55"/>
      <c r="AT580" s="55"/>
      <c r="AU580" s="55"/>
      <c r="AV580" s="55"/>
      <c r="AW580" s="55"/>
      <c r="AX580" s="55"/>
      <c r="AY580" s="55"/>
      <c r="AZ580" s="55"/>
      <c r="BA580" s="55"/>
      <c r="BB580" s="55"/>
      <c r="BC580" s="55"/>
      <c r="BD580" s="55"/>
      <c r="BE580" s="55"/>
      <c r="BF580" s="55"/>
      <c r="BG580" s="55"/>
      <c r="BH580" s="55"/>
      <c r="BI580" s="55"/>
      <c r="BJ580" s="55"/>
      <c r="BK580" s="55"/>
      <c r="BL580" s="55"/>
      <c r="BM580" s="55"/>
      <c r="BN580" s="55"/>
      <c r="BO580" s="55"/>
      <c r="BP580" s="55"/>
      <c r="BQ580" s="55"/>
      <c r="BR580" s="55"/>
      <c r="BS580" s="55"/>
    </row>
    <row r="581" spans="4:71" outlineLevel="1" x14ac:dyDescent="0.2">
      <c r="D581" t="str">
        <f>HM_ZB_Nsoko!D567</f>
        <v>Cost Oil Contracteur</v>
      </c>
      <c r="I581" s="30">
        <f t="shared" ref="I581:I586" ca="1" si="259">SUM($L581:$BS581)</f>
        <v>293.57129336540783</v>
      </c>
      <c r="J581" s="26" t="s">
        <v>692</v>
      </c>
      <c r="L581" s="49">
        <f ca="1">IFERROR((L341)/((HM_ZD_Moho!CA_FP_oil_nom*HM_ZD_Moho!CA_gross_prod_oil+HM_ZD_Moho!CA_FP_lpg_nom*HM_ZD_Moho!CA_gross_prod_lpg+HM_ZD_Moho!CA_FP_gas_nom*HM_ZD_Moho!CA_gross_prod_gas)/HM_ZD_Moho!CA_gross_prod_Total),0)</f>
        <v>2.5006716882754678</v>
      </c>
      <c r="M581" s="49">
        <f ca="1">IFERROR((M341)/((HM_ZD_Moho!CA_FP_oil_nom*HM_ZD_Moho!CA_gross_prod_oil+HM_ZD_Moho!CA_FP_lpg_nom*HM_ZD_Moho!CA_gross_prod_lpg+HM_ZD_Moho!CA_FP_gas_nom*HM_ZD_Moho!CA_gross_prod_gas)/HM_ZD_Moho!CA_gross_prod_Total),0)</f>
        <v>2.9267021410112495</v>
      </c>
      <c r="N581" s="49">
        <f ca="1">IFERROR((N341)/((HM_ZD_Moho!CA_FP_oil_nom*HM_ZD_Moho!CA_gross_prod_oil+HM_ZD_Moho!CA_FP_lpg_nom*HM_ZD_Moho!CA_gross_prod_lpg+HM_ZD_Moho!CA_FP_gas_nom*HM_ZD_Moho!CA_gross_prod_gas)/HM_ZD_Moho!CA_gross_prod_Total),0)</f>
        <v>10.756846099999999</v>
      </c>
      <c r="O581" s="49">
        <f ca="1">IFERROR((O341)/((HM_ZD_Moho!CA_FP_oil_nom*HM_ZD_Moho!CA_gross_prod_oil+HM_ZD_Moho!CA_FP_lpg_nom*HM_ZD_Moho!CA_gross_prod_lpg+HM_ZD_Moho!CA_FP_gas_nom*HM_ZD_Moho!CA_gross_prod_gas)/HM_ZD_Moho!CA_gross_prod_Total),0)</f>
        <v>10.913976499999999</v>
      </c>
      <c r="P581" s="49">
        <f ca="1">IFERROR((P341)/((HM_ZD_Moho!CA_FP_oil_nom*HM_ZD_Moho!CA_gross_prod_oil+HM_ZD_Moho!CA_FP_lpg_nom*HM_ZD_Moho!CA_gross_prod_lpg+HM_ZD_Moho!CA_FP_gas_nom*HM_ZD_Moho!CA_gross_prod_gas)/HM_ZD_Moho!CA_gross_prod_Total),0)</f>
        <v>22.843992500000002</v>
      </c>
      <c r="Q581" s="49">
        <f ca="1">IFERROR((Q341)/((HM_ZD_Moho!CA_FP_oil_nom*HM_ZD_Moho!CA_gross_prod_oil+HM_ZD_Moho!CA_FP_lpg_nom*HM_ZD_Moho!CA_gross_prod_lpg+HM_ZD_Moho!CA_FP_gas_nom*HM_ZD_Moho!CA_gross_prod_gas)/HM_ZD_Moho!CA_gross_prod_Total),0)</f>
        <v>36.672427399999997</v>
      </c>
      <c r="R581" s="49">
        <f ca="1">IFERROR((R341)/((HM_ZD_Moho!CA_FP_oil_nom*HM_ZD_Moho!CA_gross_prod_oil+HM_ZD_Moho!CA_FP_lpg_nom*HM_ZD_Moho!CA_gross_prod_lpg+HM_ZD_Moho!CA_FP_gas_nom*HM_ZD_Moho!CA_gross_prod_gas)/HM_ZD_Moho!CA_gross_prod_Total),0)</f>
        <v>38.250239300000004</v>
      </c>
      <c r="S581" s="49">
        <f ca="1">IFERROR((S341)/((HM_ZD_Moho!CA_FP_oil_nom*HM_ZD_Moho!CA_gross_prod_oil+HM_ZD_Moho!CA_FP_lpg_nom*HM_ZD_Moho!CA_gross_prod_lpg+HM_ZD_Moho!CA_FP_gas_nom*HM_ZD_Moho!CA_gross_prod_gas)/HM_ZD_Moho!CA_gross_prod_Total),0)</f>
        <v>36.43374</v>
      </c>
      <c r="T581" s="49">
        <f ca="1">IFERROR((T341)/((HM_ZD_Moho!CA_FP_oil_nom*HM_ZD_Moho!CA_gross_prod_oil+HM_ZD_Moho!CA_FP_lpg_nom*HM_ZD_Moho!CA_gross_prod_lpg+HM_ZD_Moho!CA_FP_gas_nom*HM_ZD_Moho!CA_gross_prod_gas)/HM_ZD_Moho!CA_gross_prod_Total),0)</f>
        <v>33.883378199999996</v>
      </c>
      <c r="U581" s="49">
        <f ca="1">IFERROR((U341)/((HM_ZD_Moho!CA_FP_oil_nom*HM_ZD_Moho!CA_gross_prod_oil+HM_ZD_Moho!CA_FP_lpg_nom*HM_ZD_Moho!CA_gross_prod_lpg+HM_ZD_Moho!CA_FP_gas_nom*HM_ZD_Moho!CA_gross_prod_gas)/HM_ZD_Moho!CA_gross_prod_Total),0)</f>
        <v>31.511541725999994</v>
      </c>
      <c r="V581" s="49">
        <f ca="1">IFERROR((V341)/((HM_ZD_Moho!CA_FP_oil_nom*HM_ZD_Moho!CA_gross_prod_oil+HM_ZD_Moho!CA_FP_lpg_nom*HM_ZD_Moho!CA_gross_prod_lpg+HM_ZD_Moho!CA_FP_gas_nom*HM_ZD_Moho!CA_gross_prod_gas)/HM_ZD_Moho!CA_gross_prod_Total),0)</f>
        <v>29.305733805179994</v>
      </c>
      <c r="W581" s="49">
        <f ca="1">IFERROR((W341)/((HM_ZD_Moho!CA_FP_oil_nom*HM_ZD_Moho!CA_gross_prod_oil+HM_ZD_Moho!CA_FP_lpg_nom*HM_ZD_Moho!CA_gross_prod_lpg+HM_ZD_Moho!CA_FP_gas_nom*HM_ZD_Moho!CA_gross_prod_gas)/HM_ZD_Moho!CA_gross_prod_Total),0)</f>
        <v>19.467380313440994</v>
      </c>
      <c r="X581" s="49">
        <f ca="1">IFERROR((X341)/((HM_ZD_Moho!CA_FP_oil_nom*HM_ZD_Moho!CA_gross_prod_oil+HM_ZD_Moho!CA_FP_lpg_nom*HM_ZD_Moho!CA_gross_prod_lpg+HM_ZD_Moho!CA_FP_gas_nom*HM_ZD_Moho!CA_gross_prod_gas)/HM_ZD_Moho!CA_gross_prod_Total),0)</f>
        <v>18.104663691500129</v>
      </c>
      <c r="Y581" s="49">
        <f ca="1">IFERROR((Y341)/((HM_ZD_Moho!CA_FP_oil_nom*HM_ZD_Moho!CA_gross_prod_oil+HM_ZD_Moho!CA_FP_lpg_nom*HM_ZD_Moho!CA_gross_prod_lpg+HM_ZD_Moho!CA_FP_gas_nom*HM_ZD_Moho!CA_gross_prod_gas)/HM_ZD_Moho!CA_gross_prod_Total),0)</f>
        <v>0</v>
      </c>
      <c r="Z581" s="49">
        <f ca="1">IFERROR((Z341)/((HM_ZD_Moho!CA_FP_oil_nom*HM_ZD_Moho!CA_gross_prod_oil+HM_ZD_Moho!CA_FP_lpg_nom*HM_ZD_Moho!CA_gross_prod_lpg+HM_ZD_Moho!CA_FP_gas_nom*HM_ZD_Moho!CA_gross_prod_gas)/HM_ZD_Moho!CA_gross_prod_Total),0)</f>
        <v>0</v>
      </c>
      <c r="AA581" s="49">
        <f ca="1">IFERROR((AA341)/((HM_ZD_Moho!CA_FP_oil_nom*HM_ZD_Moho!CA_gross_prod_oil+HM_ZD_Moho!CA_FP_lpg_nom*HM_ZD_Moho!CA_gross_prod_lpg+HM_ZD_Moho!CA_FP_gas_nom*HM_ZD_Moho!CA_gross_prod_gas)/HM_ZD_Moho!CA_gross_prod_Total),0)</f>
        <v>0</v>
      </c>
      <c r="AB581" s="49">
        <f ca="1">IFERROR((AB341)/((HM_ZD_Moho!CA_FP_oil_nom*HM_ZD_Moho!CA_gross_prod_oil+HM_ZD_Moho!CA_FP_lpg_nom*HM_ZD_Moho!CA_gross_prod_lpg+HM_ZD_Moho!CA_FP_gas_nom*HM_ZD_Moho!CA_gross_prod_gas)/HM_ZD_Moho!CA_gross_prod_Total),0)</f>
        <v>0</v>
      </c>
      <c r="AC581" s="49">
        <f ca="1">IFERROR((AC341)/((HM_ZD_Moho!CA_FP_oil_nom*HM_ZD_Moho!CA_gross_prod_oil+HM_ZD_Moho!CA_FP_lpg_nom*HM_ZD_Moho!CA_gross_prod_lpg+HM_ZD_Moho!CA_FP_gas_nom*HM_ZD_Moho!CA_gross_prod_gas)/HM_ZD_Moho!CA_gross_prod_Total),0)</f>
        <v>0</v>
      </c>
      <c r="AD581" s="49">
        <f ca="1">IFERROR((AD341)/((HM_ZD_Moho!CA_FP_oil_nom*HM_ZD_Moho!CA_gross_prod_oil+HM_ZD_Moho!CA_FP_lpg_nom*HM_ZD_Moho!CA_gross_prod_lpg+HM_ZD_Moho!CA_FP_gas_nom*HM_ZD_Moho!CA_gross_prod_gas)/HM_ZD_Moho!CA_gross_prod_Total),0)</f>
        <v>0</v>
      </c>
      <c r="AE581" s="49">
        <f ca="1">IFERROR((AE341)/((HM_ZD_Moho!CA_FP_oil_nom*HM_ZD_Moho!CA_gross_prod_oil+HM_ZD_Moho!CA_FP_lpg_nom*HM_ZD_Moho!CA_gross_prod_lpg+HM_ZD_Moho!CA_FP_gas_nom*HM_ZD_Moho!CA_gross_prod_gas)/HM_ZD_Moho!CA_gross_prod_Total),0)</f>
        <v>0</v>
      </c>
      <c r="AF581" s="49">
        <f ca="1">IFERROR((AF341)/((HM_ZD_Moho!CA_FP_oil_nom*HM_ZD_Moho!CA_gross_prod_oil+HM_ZD_Moho!CA_FP_lpg_nom*HM_ZD_Moho!CA_gross_prod_lpg+HM_ZD_Moho!CA_FP_gas_nom*HM_ZD_Moho!CA_gross_prod_gas)/HM_ZD_Moho!CA_gross_prod_Total),0)</f>
        <v>0</v>
      </c>
      <c r="AG581" s="49">
        <f ca="1">IFERROR((AG341)/((HM_ZD_Moho!CA_FP_oil_nom*HM_ZD_Moho!CA_gross_prod_oil+HM_ZD_Moho!CA_FP_lpg_nom*HM_ZD_Moho!CA_gross_prod_lpg+HM_ZD_Moho!CA_FP_gas_nom*HM_ZD_Moho!CA_gross_prod_gas)/HM_ZD_Moho!CA_gross_prod_Total),0)</f>
        <v>0</v>
      </c>
      <c r="AH581" s="49">
        <f ca="1">IFERROR((AH341)/((HM_ZD_Moho!CA_FP_oil_nom*HM_ZD_Moho!CA_gross_prod_oil+HM_ZD_Moho!CA_FP_lpg_nom*HM_ZD_Moho!CA_gross_prod_lpg+HM_ZD_Moho!CA_FP_gas_nom*HM_ZD_Moho!CA_gross_prod_gas)/HM_ZD_Moho!CA_gross_prod_Total),0)</f>
        <v>0</v>
      </c>
      <c r="AI581" s="49">
        <f ca="1">IFERROR((AI341)/((HM_ZD_Moho!CA_FP_oil_nom*HM_ZD_Moho!CA_gross_prod_oil+HM_ZD_Moho!CA_FP_lpg_nom*HM_ZD_Moho!CA_gross_prod_lpg+HM_ZD_Moho!CA_FP_gas_nom*HM_ZD_Moho!CA_gross_prod_gas)/HM_ZD_Moho!CA_gross_prod_Total),0)</f>
        <v>0</v>
      </c>
      <c r="AJ581" s="49">
        <f ca="1">IFERROR((AJ341)/((HM_ZD_Moho!CA_FP_oil_nom*HM_ZD_Moho!CA_gross_prod_oil+HM_ZD_Moho!CA_FP_lpg_nom*HM_ZD_Moho!CA_gross_prod_lpg+HM_ZD_Moho!CA_FP_gas_nom*HM_ZD_Moho!CA_gross_prod_gas)/HM_ZD_Moho!CA_gross_prod_Total),0)</f>
        <v>0</v>
      </c>
      <c r="AK581" s="49">
        <f ca="1">IFERROR((AK341)/((HM_ZD_Moho!CA_FP_oil_nom*HM_ZD_Moho!CA_gross_prod_oil+HM_ZD_Moho!CA_FP_lpg_nom*HM_ZD_Moho!CA_gross_prod_lpg+HM_ZD_Moho!CA_FP_gas_nom*HM_ZD_Moho!CA_gross_prod_gas)/HM_ZD_Moho!CA_gross_prod_Total),0)</f>
        <v>0</v>
      </c>
      <c r="AL581" s="49">
        <f ca="1">IFERROR((AL341)/((HM_ZD_Moho!CA_FP_oil_nom*HM_ZD_Moho!CA_gross_prod_oil+HM_ZD_Moho!CA_FP_lpg_nom*HM_ZD_Moho!CA_gross_prod_lpg+HM_ZD_Moho!CA_FP_gas_nom*HM_ZD_Moho!CA_gross_prod_gas)/HM_ZD_Moho!CA_gross_prod_Total),0)</f>
        <v>0</v>
      </c>
      <c r="AM581" s="49">
        <f ca="1">IFERROR((AM341)/((HM_ZD_Moho!CA_FP_oil_nom*HM_ZD_Moho!CA_gross_prod_oil+HM_ZD_Moho!CA_FP_lpg_nom*HM_ZD_Moho!CA_gross_prod_lpg+HM_ZD_Moho!CA_FP_gas_nom*HM_ZD_Moho!CA_gross_prod_gas)/HM_ZD_Moho!CA_gross_prod_Total),0)</f>
        <v>0</v>
      </c>
      <c r="AN581" s="49">
        <f ca="1">IFERROR((AN341)/((HM_ZD_Moho!CA_FP_oil_nom*HM_ZD_Moho!CA_gross_prod_oil+HM_ZD_Moho!CA_FP_lpg_nom*HM_ZD_Moho!CA_gross_prod_lpg+HM_ZD_Moho!CA_FP_gas_nom*HM_ZD_Moho!CA_gross_prod_gas)/HM_ZD_Moho!CA_gross_prod_Total),0)</f>
        <v>0</v>
      </c>
      <c r="AO581" s="49">
        <f ca="1">IFERROR((AO341)/((HM_ZD_Moho!CA_FP_oil_nom*HM_ZD_Moho!CA_gross_prod_oil+HM_ZD_Moho!CA_FP_lpg_nom*HM_ZD_Moho!CA_gross_prod_lpg+HM_ZD_Moho!CA_FP_gas_nom*HM_ZD_Moho!CA_gross_prod_gas)/HM_ZD_Moho!CA_gross_prod_Total),0)</f>
        <v>0</v>
      </c>
      <c r="AP581" s="49">
        <f ca="1">IFERROR((AP341)/((HM_ZD_Moho!CA_FP_oil_nom*HM_ZD_Moho!CA_gross_prod_oil+HM_ZD_Moho!CA_FP_lpg_nom*HM_ZD_Moho!CA_gross_prod_lpg+HM_ZD_Moho!CA_FP_gas_nom*HM_ZD_Moho!CA_gross_prod_gas)/HM_ZD_Moho!CA_gross_prod_Total),0)</f>
        <v>0</v>
      </c>
      <c r="AQ581" s="49">
        <f ca="1">IFERROR((AQ341)/((HM_ZD_Moho!CA_FP_oil_nom*HM_ZD_Moho!CA_gross_prod_oil+HM_ZD_Moho!CA_FP_lpg_nom*HM_ZD_Moho!CA_gross_prod_lpg+HM_ZD_Moho!CA_FP_gas_nom*HM_ZD_Moho!CA_gross_prod_gas)/HM_ZD_Moho!CA_gross_prod_Total),0)</f>
        <v>0</v>
      </c>
      <c r="AR581" s="49">
        <f ca="1">IFERROR((AR341)/((HM_ZD_Moho!CA_FP_oil_nom*HM_ZD_Moho!CA_gross_prod_oil+HM_ZD_Moho!CA_FP_lpg_nom*HM_ZD_Moho!CA_gross_prod_lpg+HM_ZD_Moho!CA_FP_gas_nom*HM_ZD_Moho!CA_gross_prod_gas)/HM_ZD_Moho!CA_gross_prod_Total),0)</f>
        <v>0</v>
      </c>
      <c r="AS581" s="49">
        <f ca="1">IFERROR((AS341)/((HM_ZD_Moho!CA_FP_oil_nom*HM_ZD_Moho!CA_gross_prod_oil+HM_ZD_Moho!CA_FP_lpg_nom*HM_ZD_Moho!CA_gross_prod_lpg+HM_ZD_Moho!CA_FP_gas_nom*HM_ZD_Moho!CA_gross_prod_gas)/HM_ZD_Moho!CA_gross_prod_Total),0)</f>
        <v>0</v>
      </c>
      <c r="AT581" s="49">
        <f ca="1">IFERROR((AT341)/((HM_ZD_Moho!CA_FP_oil_nom*HM_ZD_Moho!CA_gross_prod_oil+HM_ZD_Moho!CA_FP_lpg_nom*HM_ZD_Moho!CA_gross_prod_lpg+HM_ZD_Moho!CA_FP_gas_nom*HM_ZD_Moho!CA_gross_prod_gas)/HM_ZD_Moho!CA_gross_prod_Total),0)</f>
        <v>0</v>
      </c>
      <c r="AU581" s="49">
        <f ca="1">IFERROR((AU341)/((HM_ZD_Moho!CA_FP_oil_nom*HM_ZD_Moho!CA_gross_prod_oil+HM_ZD_Moho!CA_FP_lpg_nom*HM_ZD_Moho!CA_gross_prod_lpg+HM_ZD_Moho!CA_FP_gas_nom*HM_ZD_Moho!CA_gross_prod_gas)/HM_ZD_Moho!CA_gross_prod_Total),0)</f>
        <v>0</v>
      </c>
      <c r="AV581" s="49">
        <f ca="1">IFERROR((AV341)/((HM_ZD_Moho!CA_FP_oil_nom*HM_ZD_Moho!CA_gross_prod_oil+HM_ZD_Moho!CA_FP_lpg_nom*HM_ZD_Moho!CA_gross_prod_lpg+HM_ZD_Moho!CA_FP_gas_nom*HM_ZD_Moho!CA_gross_prod_gas)/HM_ZD_Moho!CA_gross_prod_Total),0)</f>
        <v>0</v>
      </c>
      <c r="AW581" s="49">
        <f ca="1">IFERROR((AW341)/((HM_ZD_Moho!CA_FP_oil_nom*HM_ZD_Moho!CA_gross_prod_oil+HM_ZD_Moho!CA_FP_lpg_nom*HM_ZD_Moho!CA_gross_prod_lpg+HM_ZD_Moho!CA_FP_gas_nom*HM_ZD_Moho!CA_gross_prod_gas)/HM_ZD_Moho!CA_gross_prod_Total),0)</f>
        <v>0</v>
      </c>
      <c r="AX581" s="49">
        <f ca="1">IFERROR((AX341)/((HM_ZD_Moho!CA_FP_oil_nom*HM_ZD_Moho!CA_gross_prod_oil+HM_ZD_Moho!CA_FP_lpg_nom*HM_ZD_Moho!CA_gross_prod_lpg+HM_ZD_Moho!CA_FP_gas_nom*HM_ZD_Moho!CA_gross_prod_gas)/HM_ZD_Moho!CA_gross_prod_Total),0)</f>
        <v>0</v>
      </c>
      <c r="AY581" s="49">
        <f ca="1">IFERROR((AY341)/((HM_ZD_Moho!CA_FP_oil_nom*HM_ZD_Moho!CA_gross_prod_oil+HM_ZD_Moho!CA_FP_lpg_nom*HM_ZD_Moho!CA_gross_prod_lpg+HM_ZD_Moho!CA_FP_gas_nom*HM_ZD_Moho!CA_gross_prod_gas)/HM_ZD_Moho!CA_gross_prod_Total),0)</f>
        <v>0</v>
      </c>
      <c r="AZ581" s="49">
        <f ca="1">IFERROR((AZ341)/((HM_ZD_Moho!CA_FP_oil_nom*HM_ZD_Moho!CA_gross_prod_oil+HM_ZD_Moho!CA_FP_lpg_nom*HM_ZD_Moho!CA_gross_prod_lpg+HM_ZD_Moho!CA_FP_gas_nom*HM_ZD_Moho!CA_gross_prod_gas)/HM_ZD_Moho!CA_gross_prod_Total),0)</f>
        <v>0</v>
      </c>
      <c r="BA581" s="49">
        <f ca="1">IFERROR((BA341)/((HM_ZD_Moho!CA_FP_oil_nom*HM_ZD_Moho!CA_gross_prod_oil+HM_ZD_Moho!CA_FP_lpg_nom*HM_ZD_Moho!CA_gross_prod_lpg+HM_ZD_Moho!CA_FP_gas_nom*HM_ZD_Moho!CA_gross_prod_gas)/HM_ZD_Moho!CA_gross_prod_Total),0)</f>
        <v>0</v>
      </c>
      <c r="BB581" s="49">
        <f ca="1">IFERROR((BB341)/((HM_ZD_Moho!CA_FP_oil_nom*HM_ZD_Moho!CA_gross_prod_oil+HM_ZD_Moho!CA_FP_lpg_nom*HM_ZD_Moho!CA_gross_prod_lpg+HM_ZD_Moho!CA_FP_gas_nom*HM_ZD_Moho!CA_gross_prod_gas)/HM_ZD_Moho!CA_gross_prod_Total),0)</f>
        <v>0</v>
      </c>
      <c r="BC581" s="49">
        <f ca="1">IFERROR((BC341)/((HM_ZD_Moho!CA_FP_oil_nom*HM_ZD_Moho!CA_gross_prod_oil+HM_ZD_Moho!CA_FP_lpg_nom*HM_ZD_Moho!CA_gross_prod_lpg+HM_ZD_Moho!CA_FP_gas_nom*HM_ZD_Moho!CA_gross_prod_gas)/HM_ZD_Moho!CA_gross_prod_Total),0)</f>
        <v>0</v>
      </c>
      <c r="BD581" s="49">
        <f ca="1">IFERROR((BD341)/((HM_ZD_Moho!CA_FP_oil_nom*HM_ZD_Moho!CA_gross_prod_oil+HM_ZD_Moho!CA_FP_lpg_nom*HM_ZD_Moho!CA_gross_prod_lpg+HM_ZD_Moho!CA_FP_gas_nom*HM_ZD_Moho!CA_gross_prod_gas)/HM_ZD_Moho!CA_gross_prod_Total),0)</f>
        <v>0</v>
      </c>
      <c r="BE581" s="49">
        <f ca="1">IFERROR((BE341)/((HM_ZD_Moho!CA_FP_oil_nom*HM_ZD_Moho!CA_gross_prod_oil+HM_ZD_Moho!CA_FP_lpg_nom*HM_ZD_Moho!CA_gross_prod_lpg+HM_ZD_Moho!CA_FP_gas_nom*HM_ZD_Moho!CA_gross_prod_gas)/HM_ZD_Moho!CA_gross_prod_Total),0)</f>
        <v>0</v>
      </c>
      <c r="BF581" s="49">
        <f ca="1">IFERROR((BF341)/((HM_ZD_Moho!CA_FP_oil_nom*HM_ZD_Moho!CA_gross_prod_oil+HM_ZD_Moho!CA_FP_lpg_nom*HM_ZD_Moho!CA_gross_prod_lpg+HM_ZD_Moho!CA_FP_gas_nom*HM_ZD_Moho!CA_gross_prod_gas)/HM_ZD_Moho!CA_gross_prod_Total),0)</f>
        <v>0</v>
      </c>
      <c r="BG581" s="49">
        <f ca="1">IFERROR((BG341)/((HM_ZD_Moho!CA_FP_oil_nom*HM_ZD_Moho!CA_gross_prod_oil+HM_ZD_Moho!CA_FP_lpg_nom*HM_ZD_Moho!CA_gross_prod_lpg+HM_ZD_Moho!CA_FP_gas_nom*HM_ZD_Moho!CA_gross_prod_gas)/HM_ZD_Moho!CA_gross_prod_Total),0)</f>
        <v>0</v>
      </c>
      <c r="BH581" s="49">
        <f ca="1">IFERROR((BH341)/((HM_ZD_Moho!CA_FP_oil_nom*HM_ZD_Moho!CA_gross_prod_oil+HM_ZD_Moho!CA_FP_lpg_nom*HM_ZD_Moho!CA_gross_prod_lpg+HM_ZD_Moho!CA_FP_gas_nom*HM_ZD_Moho!CA_gross_prod_gas)/HM_ZD_Moho!CA_gross_prod_Total),0)</f>
        <v>0</v>
      </c>
      <c r="BI581" s="49">
        <f ca="1">IFERROR((BI341)/((HM_ZD_Moho!CA_FP_oil_nom*HM_ZD_Moho!CA_gross_prod_oil+HM_ZD_Moho!CA_FP_lpg_nom*HM_ZD_Moho!CA_gross_prod_lpg+HM_ZD_Moho!CA_FP_gas_nom*HM_ZD_Moho!CA_gross_prod_gas)/HM_ZD_Moho!CA_gross_prod_Total),0)</f>
        <v>0</v>
      </c>
      <c r="BJ581" s="49">
        <f ca="1">IFERROR((BJ341)/((HM_ZD_Moho!CA_FP_oil_nom*HM_ZD_Moho!CA_gross_prod_oil+HM_ZD_Moho!CA_FP_lpg_nom*HM_ZD_Moho!CA_gross_prod_lpg+HM_ZD_Moho!CA_FP_gas_nom*HM_ZD_Moho!CA_gross_prod_gas)/HM_ZD_Moho!CA_gross_prod_Total),0)</f>
        <v>0</v>
      </c>
      <c r="BK581" s="49">
        <f ca="1">IFERROR((BK341)/((HM_ZD_Moho!CA_FP_oil_nom*HM_ZD_Moho!CA_gross_prod_oil+HM_ZD_Moho!CA_FP_lpg_nom*HM_ZD_Moho!CA_gross_prod_lpg+HM_ZD_Moho!CA_FP_gas_nom*HM_ZD_Moho!CA_gross_prod_gas)/HM_ZD_Moho!CA_gross_prod_Total),0)</f>
        <v>0</v>
      </c>
      <c r="BL581" s="49">
        <f ca="1">IFERROR((BL341)/((HM_ZD_Moho!CA_FP_oil_nom*HM_ZD_Moho!CA_gross_prod_oil+HM_ZD_Moho!CA_FP_lpg_nom*HM_ZD_Moho!CA_gross_prod_lpg+HM_ZD_Moho!CA_FP_gas_nom*HM_ZD_Moho!CA_gross_prod_gas)/HM_ZD_Moho!CA_gross_prod_Total),0)</f>
        <v>0</v>
      </c>
      <c r="BM581" s="49">
        <f ca="1">IFERROR((BM341)/((HM_ZD_Moho!CA_FP_oil_nom*HM_ZD_Moho!CA_gross_prod_oil+HM_ZD_Moho!CA_FP_lpg_nom*HM_ZD_Moho!CA_gross_prod_lpg+HM_ZD_Moho!CA_FP_gas_nom*HM_ZD_Moho!CA_gross_prod_gas)/HM_ZD_Moho!CA_gross_prod_Total),0)</f>
        <v>0</v>
      </c>
      <c r="BN581" s="49">
        <f ca="1">IFERROR((BN341)/((HM_ZD_Moho!CA_FP_oil_nom*HM_ZD_Moho!CA_gross_prod_oil+HM_ZD_Moho!CA_FP_lpg_nom*HM_ZD_Moho!CA_gross_prod_lpg+HM_ZD_Moho!CA_FP_gas_nom*HM_ZD_Moho!CA_gross_prod_gas)/HM_ZD_Moho!CA_gross_prod_Total),0)</f>
        <v>0</v>
      </c>
      <c r="BO581" s="49">
        <f ca="1">IFERROR((BO341)/((HM_ZD_Moho!CA_FP_oil_nom*HM_ZD_Moho!CA_gross_prod_oil+HM_ZD_Moho!CA_FP_lpg_nom*HM_ZD_Moho!CA_gross_prod_lpg+HM_ZD_Moho!CA_FP_gas_nom*HM_ZD_Moho!CA_gross_prod_gas)/HM_ZD_Moho!CA_gross_prod_Total),0)</f>
        <v>0</v>
      </c>
      <c r="BP581" s="49">
        <f ca="1">IFERROR((BP341)/((HM_ZD_Moho!CA_FP_oil_nom*HM_ZD_Moho!CA_gross_prod_oil+HM_ZD_Moho!CA_FP_lpg_nom*HM_ZD_Moho!CA_gross_prod_lpg+HM_ZD_Moho!CA_FP_gas_nom*HM_ZD_Moho!CA_gross_prod_gas)/HM_ZD_Moho!CA_gross_prod_Total),0)</f>
        <v>0</v>
      </c>
      <c r="BQ581" s="49">
        <f ca="1">IFERROR((BQ341)/((HM_ZD_Moho!CA_FP_oil_nom*HM_ZD_Moho!CA_gross_prod_oil+HM_ZD_Moho!CA_FP_lpg_nom*HM_ZD_Moho!CA_gross_prod_lpg+HM_ZD_Moho!CA_FP_gas_nom*HM_ZD_Moho!CA_gross_prod_gas)/HM_ZD_Moho!CA_gross_prod_Total),0)</f>
        <v>0</v>
      </c>
      <c r="BR581" s="49">
        <f ca="1">IFERROR((BR341)/((HM_ZD_Moho!CA_FP_oil_nom*HM_ZD_Moho!CA_gross_prod_oil+HM_ZD_Moho!CA_FP_lpg_nom*HM_ZD_Moho!CA_gross_prod_lpg+HM_ZD_Moho!CA_FP_gas_nom*HM_ZD_Moho!CA_gross_prod_gas)/HM_ZD_Moho!CA_gross_prod_Total),0)</f>
        <v>0</v>
      </c>
      <c r="BS581" s="49">
        <f ca="1">IFERROR((BS341)/((HM_ZD_Moho!CA_FP_oil_nom*HM_ZD_Moho!CA_gross_prod_oil+HM_ZD_Moho!CA_FP_lpg_nom*HM_ZD_Moho!CA_gross_prod_lpg+HM_ZD_Moho!CA_FP_gas_nom*HM_ZD_Moho!CA_gross_prod_gas)/HM_ZD_Moho!CA_gross_prod_Total),0)</f>
        <v>0</v>
      </c>
    </row>
    <row r="582" spans="4:71" outlineLevel="1" x14ac:dyDescent="0.2">
      <c r="D582" t="str">
        <f>HM_ZB_Nsoko!D568</f>
        <v>Cost Gaz Contracteur</v>
      </c>
      <c r="I582" s="30"/>
      <c r="J582" s="26"/>
      <c r="L582" s="49"/>
      <c r="M582" s="49"/>
      <c r="N582" s="49"/>
      <c r="O582" s="49"/>
      <c r="P582" s="49"/>
      <c r="Q582" s="49"/>
      <c r="R582" s="49"/>
      <c r="S582" s="49"/>
      <c r="T582" s="49"/>
      <c r="U582" s="49"/>
      <c r="V582" s="49"/>
      <c r="W582" s="49"/>
      <c r="X582" s="49"/>
      <c r="Y582" s="49"/>
      <c r="Z582" s="49"/>
      <c r="AA582" s="49"/>
      <c r="AB582" s="49"/>
      <c r="AC582" s="49"/>
      <c r="AD582" s="49"/>
      <c r="AE582" s="49"/>
      <c r="AF582" s="49"/>
      <c r="AG582" s="49"/>
      <c r="AH582" s="49"/>
      <c r="AI582" s="49"/>
      <c r="AJ582" s="49"/>
      <c r="AK582" s="49"/>
      <c r="AL582" s="49"/>
      <c r="AM582" s="49"/>
      <c r="AN582" s="49"/>
      <c r="AO582" s="49"/>
      <c r="AP582" s="49"/>
      <c r="AQ582" s="49"/>
      <c r="AR582" s="49"/>
      <c r="AS582" s="49"/>
      <c r="AT582" s="49"/>
      <c r="AU582" s="49"/>
      <c r="AV582" s="49"/>
      <c r="AW582" s="49"/>
      <c r="AX582" s="49"/>
      <c r="AY582" s="49"/>
      <c r="AZ582" s="49"/>
      <c r="BA582" s="49"/>
      <c r="BB582" s="49"/>
      <c r="BC582" s="49"/>
      <c r="BD582" s="49"/>
      <c r="BE582" s="49"/>
      <c r="BF582" s="49"/>
      <c r="BG582" s="49"/>
      <c r="BH582" s="49"/>
      <c r="BI582" s="49"/>
      <c r="BJ582" s="49"/>
      <c r="BK582" s="49"/>
      <c r="BL582" s="49"/>
      <c r="BM582" s="49"/>
      <c r="BN582" s="49"/>
      <c r="BO582" s="49"/>
      <c r="BP582" s="49"/>
      <c r="BQ582" s="49"/>
      <c r="BR582" s="49"/>
      <c r="BS582" s="49"/>
    </row>
    <row r="583" spans="4:71" outlineLevel="1" x14ac:dyDescent="0.2">
      <c r="D583" t="str">
        <f>HM_ZB_Nsoko!D569</f>
        <v>Excess Cost Oil Contracteur</v>
      </c>
      <c r="I583" s="30">
        <f t="shared" ca="1" si="259"/>
        <v>0</v>
      </c>
      <c r="J583" s="26" t="s">
        <v>692</v>
      </c>
      <c r="L583" s="49">
        <f ca="1">IFERROR((L342)/((HM_ZD_Moho!CA_FP_oil_nom*HM_ZD_Moho!CA_gross_prod_oil+HM_ZD_Moho!CA_FP_lpg_nom*HM_ZD_Moho!CA_gross_prod_lpg+HM_ZD_Moho!CA_FP_gas_nom*HM_ZD_Moho!CA_gross_prod_gas)/HM_ZD_Moho!CA_gross_prod_Total),0)</f>
        <v>0</v>
      </c>
      <c r="M583" s="49">
        <f ca="1">IFERROR((M342)/((HM_ZD_Moho!CA_FP_oil_nom*HM_ZD_Moho!CA_gross_prod_oil+HM_ZD_Moho!CA_FP_lpg_nom*HM_ZD_Moho!CA_gross_prod_lpg+HM_ZD_Moho!CA_FP_gas_nom*HM_ZD_Moho!CA_gross_prod_gas)/HM_ZD_Moho!CA_gross_prod_Total),0)</f>
        <v>0</v>
      </c>
      <c r="N583" s="49">
        <f ca="1">IFERROR((N342)/((HM_ZD_Moho!CA_FP_oil_nom*HM_ZD_Moho!CA_gross_prod_oil+HM_ZD_Moho!CA_FP_lpg_nom*HM_ZD_Moho!CA_gross_prod_lpg+HM_ZD_Moho!CA_FP_gas_nom*HM_ZD_Moho!CA_gross_prod_gas)/HM_ZD_Moho!CA_gross_prod_Total),0)</f>
        <v>0</v>
      </c>
      <c r="O583" s="49">
        <f ca="1">IFERROR((O342)/((HM_ZD_Moho!CA_FP_oil_nom*HM_ZD_Moho!CA_gross_prod_oil+HM_ZD_Moho!CA_FP_lpg_nom*HM_ZD_Moho!CA_gross_prod_lpg+HM_ZD_Moho!CA_FP_gas_nom*HM_ZD_Moho!CA_gross_prod_gas)/HM_ZD_Moho!CA_gross_prod_Total),0)</f>
        <v>0</v>
      </c>
      <c r="P583" s="49">
        <f ca="1">IFERROR((P342)/((HM_ZD_Moho!CA_FP_oil_nom*HM_ZD_Moho!CA_gross_prod_oil+HM_ZD_Moho!CA_FP_lpg_nom*HM_ZD_Moho!CA_gross_prod_lpg+HM_ZD_Moho!CA_FP_gas_nom*HM_ZD_Moho!CA_gross_prod_gas)/HM_ZD_Moho!CA_gross_prod_Total),0)</f>
        <v>0</v>
      </c>
      <c r="Q583" s="49">
        <f ca="1">IFERROR((Q342)/((HM_ZD_Moho!CA_FP_oil_nom*HM_ZD_Moho!CA_gross_prod_oil+HM_ZD_Moho!CA_FP_lpg_nom*HM_ZD_Moho!CA_gross_prod_lpg+HM_ZD_Moho!CA_FP_gas_nom*HM_ZD_Moho!CA_gross_prod_gas)/HM_ZD_Moho!CA_gross_prod_Total),0)</f>
        <v>0</v>
      </c>
      <c r="R583" s="49">
        <f ca="1">IFERROR((R342)/((HM_ZD_Moho!CA_FP_oil_nom*HM_ZD_Moho!CA_gross_prod_oil+HM_ZD_Moho!CA_FP_lpg_nom*HM_ZD_Moho!CA_gross_prod_lpg+HM_ZD_Moho!CA_FP_gas_nom*HM_ZD_Moho!CA_gross_prod_gas)/HM_ZD_Moho!CA_gross_prod_Total),0)</f>
        <v>0</v>
      </c>
      <c r="S583" s="49">
        <f ca="1">IFERROR((S342)/((HM_ZD_Moho!CA_FP_oil_nom*HM_ZD_Moho!CA_gross_prod_oil+HM_ZD_Moho!CA_FP_lpg_nom*HM_ZD_Moho!CA_gross_prod_lpg+HM_ZD_Moho!CA_FP_gas_nom*HM_ZD_Moho!CA_gross_prod_gas)/HM_ZD_Moho!CA_gross_prod_Total),0)</f>
        <v>0</v>
      </c>
      <c r="T583" s="49">
        <f ca="1">IFERROR((T342)/((HM_ZD_Moho!CA_FP_oil_nom*HM_ZD_Moho!CA_gross_prod_oil+HM_ZD_Moho!CA_FP_lpg_nom*HM_ZD_Moho!CA_gross_prod_lpg+HM_ZD_Moho!CA_FP_gas_nom*HM_ZD_Moho!CA_gross_prod_gas)/HM_ZD_Moho!CA_gross_prod_Total),0)</f>
        <v>0</v>
      </c>
      <c r="U583" s="49">
        <f ca="1">IFERROR((U342)/((HM_ZD_Moho!CA_FP_oil_nom*HM_ZD_Moho!CA_gross_prod_oil+HM_ZD_Moho!CA_FP_lpg_nom*HM_ZD_Moho!CA_gross_prod_lpg+HM_ZD_Moho!CA_FP_gas_nom*HM_ZD_Moho!CA_gross_prod_gas)/HM_ZD_Moho!CA_gross_prod_Total),0)</f>
        <v>0</v>
      </c>
      <c r="V583" s="49">
        <f ca="1">IFERROR((V342)/((HM_ZD_Moho!CA_FP_oil_nom*HM_ZD_Moho!CA_gross_prod_oil+HM_ZD_Moho!CA_FP_lpg_nom*HM_ZD_Moho!CA_gross_prod_lpg+HM_ZD_Moho!CA_FP_gas_nom*HM_ZD_Moho!CA_gross_prod_gas)/HM_ZD_Moho!CA_gross_prod_Total),0)</f>
        <v>0</v>
      </c>
      <c r="W583" s="49">
        <f ca="1">IFERROR((W342)/((HM_ZD_Moho!CA_FP_oil_nom*HM_ZD_Moho!CA_gross_prod_oil+HM_ZD_Moho!CA_FP_lpg_nom*HM_ZD_Moho!CA_gross_prod_lpg+HM_ZD_Moho!CA_FP_gas_nom*HM_ZD_Moho!CA_gross_prod_gas)/HM_ZD_Moho!CA_gross_prod_Total),0)</f>
        <v>0</v>
      </c>
      <c r="X583" s="49">
        <f ca="1">IFERROR((X342)/((HM_ZD_Moho!CA_FP_oil_nom*HM_ZD_Moho!CA_gross_prod_oil+HM_ZD_Moho!CA_FP_lpg_nom*HM_ZD_Moho!CA_gross_prod_lpg+HM_ZD_Moho!CA_FP_gas_nom*HM_ZD_Moho!CA_gross_prod_gas)/HM_ZD_Moho!CA_gross_prod_Total),0)</f>
        <v>0</v>
      </c>
      <c r="Y583" s="49">
        <f ca="1">IFERROR((Y342)/((HM_ZD_Moho!CA_FP_oil_nom*HM_ZD_Moho!CA_gross_prod_oil+HM_ZD_Moho!CA_FP_lpg_nom*HM_ZD_Moho!CA_gross_prod_lpg+HM_ZD_Moho!CA_FP_gas_nom*HM_ZD_Moho!CA_gross_prod_gas)/HM_ZD_Moho!CA_gross_prod_Total),0)</f>
        <v>0</v>
      </c>
      <c r="Z583" s="49">
        <f ca="1">IFERROR((Z342)/((HM_ZD_Moho!CA_FP_oil_nom*HM_ZD_Moho!CA_gross_prod_oil+HM_ZD_Moho!CA_FP_lpg_nom*HM_ZD_Moho!CA_gross_prod_lpg+HM_ZD_Moho!CA_FP_gas_nom*HM_ZD_Moho!CA_gross_prod_gas)/HM_ZD_Moho!CA_gross_prod_Total),0)</f>
        <v>0</v>
      </c>
      <c r="AA583" s="49">
        <f ca="1">IFERROR((AA342)/((HM_ZD_Moho!CA_FP_oil_nom*HM_ZD_Moho!CA_gross_prod_oil+HM_ZD_Moho!CA_FP_lpg_nom*HM_ZD_Moho!CA_gross_prod_lpg+HM_ZD_Moho!CA_FP_gas_nom*HM_ZD_Moho!CA_gross_prod_gas)/HM_ZD_Moho!CA_gross_prod_Total),0)</f>
        <v>0</v>
      </c>
      <c r="AB583" s="49">
        <f ca="1">IFERROR((AB342)/((HM_ZD_Moho!CA_FP_oil_nom*HM_ZD_Moho!CA_gross_prod_oil+HM_ZD_Moho!CA_FP_lpg_nom*HM_ZD_Moho!CA_gross_prod_lpg+HM_ZD_Moho!CA_FP_gas_nom*HM_ZD_Moho!CA_gross_prod_gas)/HM_ZD_Moho!CA_gross_prod_Total),0)</f>
        <v>0</v>
      </c>
      <c r="AC583" s="49">
        <f ca="1">IFERROR((AC342)/((HM_ZD_Moho!CA_FP_oil_nom*HM_ZD_Moho!CA_gross_prod_oil+HM_ZD_Moho!CA_FP_lpg_nom*HM_ZD_Moho!CA_gross_prod_lpg+HM_ZD_Moho!CA_FP_gas_nom*HM_ZD_Moho!CA_gross_prod_gas)/HM_ZD_Moho!CA_gross_prod_Total),0)</f>
        <v>0</v>
      </c>
      <c r="AD583" s="49">
        <f ca="1">IFERROR((AD342)/((HM_ZD_Moho!CA_FP_oil_nom*HM_ZD_Moho!CA_gross_prod_oil+HM_ZD_Moho!CA_FP_lpg_nom*HM_ZD_Moho!CA_gross_prod_lpg+HM_ZD_Moho!CA_FP_gas_nom*HM_ZD_Moho!CA_gross_prod_gas)/HM_ZD_Moho!CA_gross_prod_Total),0)</f>
        <v>0</v>
      </c>
      <c r="AE583" s="49">
        <f ca="1">IFERROR((AE342)/((HM_ZD_Moho!CA_FP_oil_nom*HM_ZD_Moho!CA_gross_prod_oil+HM_ZD_Moho!CA_FP_lpg_nom*HM_ZD_Moho!CA_gross_prod_lpg+HM_ZD_Moho!CA_FP_gas_nom*HM_ZD_Moho!CA_gross_prod_gas)/HM_ZD_Moho!CA_gross_prod_Total),0)</f>
        <v>0</v>
      </c>
      <c r="AF583" s="49">
        <f ca="1">IFERROR((AF342)/((HM_ZD_Moho!CA_FP_oil_nom*HM_ZD_Moho!CA_gross_prod_oil+HM_ZD_Moho!CA_FP_lpg_nom*HM_ZD_Moho!CA_gross_prod_lpg+HM_ZD_Moho!CA_FP_gas_nom*HM_ZD_Moho!CA_gross_prod_gas)/HM_ZD_Moho!CA_gross_prod_Total),0)</f>
        <v>0</v>
      </c>
      <c r="AG583" s="49">
        <f ca="1">IFERROR((AG342)/((HM_ZD_Moho!CA_FP_oil_nom*HM_ZD_Moho!CA_gross_prod_oil+HM_ZD_Moho!CA_FP_lpg_nom*HM_ZD_Moho!CA_gross_prod_lpg+HM_ZD_Moho!CA_FP_gas_nom*HM_ZD_Moho!CA_gross_prod_gas)/HM_ZD_Moho!CA_gross_prod_Total),0)</f>
        <v>0</v>
      </c>
      <c r="AH583" s="49">
        <f ca="1">IFERROR((AH342)/((HM_ZD_Moho!CA_FP_oil_nom*HM_ZD_Moho!CA_gross_prod_oil+HM_ZD_Moho!CA_FP_lpg_nom*HM_ZD_Moho!CA_gross_prod_lpg+HM_ZD_Moho!CA_FP_gas_nom*HM_ZD_Moho!CA_gross_prod_gas)/HM_ZD_Moho!CA_gross_prod_Total),0)</f>
        <v>0</v>
      </c>
      <c r="AI583" s="49">
        <f ca="1">IFERROR((AI342)/((HM_ZD_Moho!CA_FP_oil_nom*HM_ZD_Moho!CA_gross_prod_oil+HM_ZD_Moho!CA_FP_lpg_nom*HM_ZD_Moho!CA_gross_prod_lpg+HM_ZD_Moho!CA_FP_gas_nom*HM_ZD_Moho!CA_gross_prod_gas)/HM_ZD_Moho!CA_gross_prod_Total),0)</f>
        <v>0</v>
      </c>
      <c r="AJ583" s="49">
        <f ca="1">IFERROR((AJ342)/((HM_ZD_Moho!CA_FP_oil_nom*HM_ZD_Moho!CA_gross_prod_oil+HM_ZD_Moho!CA_FP_lpg_nom*HM_ZD_Moho!CA_gross_prod_lpg+HM_ZD_Moho!CA_FP_gas_nom*HM_ZD_Moho!CA_gross_prod_gas)/HM_ZD_Moho!CA_gross_prod_Total),0)</f>
        <v>0</v>
      </c>
      <c r="AK583" s="49">
        <f ca="1">IFERROR((AK342)/((HM_ZD_Moho!CA_FP_oil_nom*HM_ZD_Moho!CA_gross_prod_oil+HM_ZD_Moho!CA_FP_lpg_nom*HM_ZD_Moho!CA_gross_prod_lpg+HM_ZD_Moho!CA_FP_gas_nom*HM_ZD_Moho!CA_gross_prod_gas)/HM_ZD_Moho!CA_gross_prod_Total),0)</f>
        <v>0</v>
      </c>
      <c r="AL583" s="49">
        <f ca="1">IFERROR((AL342)/((HM_ZD_Moho!CA_FP_oil_nom*HM_ZD_Moho!CA_gross_prod_oil+HM_ZD_Moho!CA_FP_lpg_nom*HM_ZD_Moho!CA_gross_prod_lpg+HM_ZD_Moho!CA_FP_gas_nom*HM_ZD_Moho!CA_gross_prod_gas)/HM_ZD_Moho!CA_gross_prod_Total),0)</f>
        <v>0</v>
      </c>
      <c r="AM583" s="49">
        <f ca="1">IFERROR((AM342)/((HM_ZD_Moho!CA_FP_oil_nom*HM_ZD_Moho!CA_gross_prod_oil+HM_ZD_Moho!CA_FP_lpg_nom*HM_ZD_Moho!CA_gross_prod_lpg+HM_ZD_Moho!CA_FP_gas_nom*HM_ZD_Moho!CA_gross_prod_gas)/HM_ZD_Moho!CA_gross_prod_Total),0)</f>
        <v>0</v>
      </c>
      <c r="AN583" s="49">
        <f ca="1">IFERROR((AN342)/((HM_ZD_Moho!CA_FP_oil_nom*HM_ZD_Moho!CA_gross_prod_oil+HM_ZD_Moho!CA_FP_lpg_nom*HM_ZD_Moho!CA_gross_prod_lpg+HM_ZD_Moho!CA_FP_gas_nom*HM_ZD_Moho!CA_gross_prod_gas)/HM_ZD_Moho!CA_gross_prod_Total),0)</f>
        <v>0</v>
      </c>
      <c r="AO583" s="49">
        <f ca="1">IFERROR((AO342)/((HM_ZD_Moho!CA_FP_oil_nom*HM_ZD_Moho!CA_gross_prod_oil+HM_ZD_Moho!CA_FP_lpg_nom*HM_ZD_Moho!CA_gross_prod_lpg+HM_ZD_Moho!CA_FP_gas_nom*HM_ZD_Moho!CA_gross_prod_gas)/HM_ZD_Moho!CA_gross_prod_Total),0)</f>
        <v>0</v>
      </c>
      <c r="AP583" s="49">
        <f ca="1">IFERROR((AP342)/((HM_ZD_Moho!CA_FP_oil_nom*HM_ZD_Moho!CA_gross_prod_oil+HM_ZD_Moho!CA_FP_lpg_nom*HM_ZD_Moho!CA_gross_prod_lpg+HM_ZD_Moho!CA_FP_gas_nom*HM_ZD_Moho!CA_gross_prod_gas)/HM_ZD_Moho!CA_gross_prod_Total),0)</f>
        <v>0</v>
      </c>
      <c r="AQ583" s="49">
        <f ca="1">IFERROR((AQ342)/((HM_ZD_Moho!CA_FP_oil_nom*HM_ZD_Moho!CA_gross_prod_oil+HM_ZD_Moho!CA_FP_lpg_nom*HM_ZD_Moho!CA_gross_prod_lpg+HM_ZD_Moho!CA_FP_gas_nom*HM_ZD_Moho!CA_gross_prod_gas)/HM_ZD_Moho!CA_gross_prod_Total),0)</f>
        <v>0</v>
      </c>
      <c r="AR583" s="49">
        <f ca="1">IFERROR((AR342)/((HM_ZD_Moho!CA_FP_oil_nom*HM_ZD_Moho!CA_gross_prod_oil+HM_ZD_Moho!CA_FP_lpg_nom*HM_ZD_Moho!CA_gross_prod_lpg+HM_ZD_Moho!CA_FP_gas_nom*HM_ZD_Moho!CA_gross_prod_gas)/HM_ZD_Moho!CA_gross_prod_Total),0)</f>
        <v>0</v>
      </c>
      <c r="AS583" s="49">
        <f ca="1">IFERROR((AS342)/((HM_ZD_Moho!CA_FP_oil_nom*HM_ZD_Moho!CA_gross_prod_oil+HM_ZD_Moho!CA_FP_lpg_nom*HM_ZD_Moho!CA_gross_prod_lpg+HM_ZD_Moho!CA_FP_gas_nom*HM_ZD_Moho!CA_gross_prod_gas)/HM_ZD_Moho!CA_gross_prod_Total),0)</f>
        <v>0</v>
      </c>
      <c r="AT583" s="49">
        <f ca="1">IFERROR((AT342)/((HM_ZD_Moho!CA_FP_oil_nom*HM_ZD_Moho!CA_gross_prod_oil+HM_ZD_Moho!CA_FP_lpg_nom*HM_ZD_Moho!CA_gross_prod_lpg+HM_ZD_Moho!CA_FP_gas_nom*HM_ZD_Moho!CA_gross_prod_gas)/HM_ZD_Moho!CA_gross_prod_Total),0)</f>
        <v>0</v>
      </c>
      <c r="AU583" s="49">
        <f ca="1">IFERROR((AU342)/((HM_ZD_Moho!CA_FP_oil_nom*HM_ZD_Moho!CA_gross_prod_oil+HM_ZD_Moho!CA_FP_lpg_nom*HM_ZD_Moho!CA_gross_prod_lpg+HM_ZD_Moho!CA_FP_gas_nom*HM_ZD_Moho!CA_gross_prod_gas)/HM_ZD_Moho!CA_gross_prod_Total),0)</f>
        <v>0</v>
      </c>
      <c r="AV583" s="49">
        <f ca="1">IFERROR((AV342)/((HM_ZD_Moho!CA_FP_oil_nom*HM_ZD_Moho!CA_gross_prod_oil+HM_ZD_Moho!CA_FP_lpg_nom*HM_ZD_Moho!CA_gross_prod_lpg+HM_ZD_Moho!CA_FP_gas_nom*HM_ZD_Moho!CA_gross_prod_gas)/HM_ZD_Moho!CA_gross_prod_Total),0)</f>
        <v>0</v>
      </c>
      <c r="AW583" s="49">
        <f ca="1">IFERROR((AW342)/((HM_ZD_Moho!CA_FP_oil_nom*HM_ZD_Moho!CA_gross_prod_oil+HM_ZD_Moho!CA_FP_lpg_nom*HM_ZD_Moho!CA_gross_prod_lpg+HM_ZD_Moho!CA_FP_gas_nom*HM_ZD_Moho!CA_gross_prod_gas)/HM_ZD_Moho!CA_gross_prod_Total),0)</f>
        <v>0</v>
      </c>
      <c r="AX583" s="49">
        <f ca="1">IFERROR((AX342)/((HM_ZD_Moho!CA_FP_oil_nom*HM_ZD_Moho!CA_gross_prod_oil+HM_ZD_Moho!CA_FP_lpg_nom*HM_ZD_Moho!CA_gross_prod_lpg+HM_ZD_Moho!CA_FP_gas_nom*HM_ZD_Moho!CA_gross_prod_gas)/HM_ZD_Moho!CA_gross_prod_Total),0)</f>
        <v>0</v>
      </c>
      <c r="AY583" s="49">
        <f ca="1">IFERROR((AY342)/((HM_ZD_Moho!CA_FP_oil_nom*HM_ZD_Moho!CA_gross_prod_oil+HM_ZD_Moho!CA_FP_lpg_nom*HM_ZD_Moho!CA_gross_prod_lpg+HM_ZD_Moho!CA_FP_gas_nom*HM_ZD_Moho!CA_gross_prod_gas)/HM_ZD_Moho!CA_gross_prod_Total),0)</f>
        <v>0</v>
      </c>
      <c r="AZ583" s="49">
        <f ca="1">IFERROR((AZ342)/((HM_ZD_Moho!CA_FP_oil_nom*HM_ZD_Moho!CA_gross_prod_oil+HM_ZD_Moho!CA_FP_lpg_nom*HM_ZD_Moho!CA_gross_prod_lpg+HM_ZD_Moho!CA_FP_gas_nom*HM_ZD_Moho!CA_gross_prod_gas)/HM_ZD_Moho!CA_gross_prod_Total),0)</f>
        <v>0</v>
      </c>
      <c r="BA583" s="49">
        <f ca="1">IFERROR((BA342)/((HM_ZD_Moho!CA_FP_oil_nom*HM_ZD_Moho!CA_gross_prod_oil+HM_ZD_Moho!CA_FP_lpg_nom*HM_ZD_Moho!CA_gross_prod_lpg+HM_ZD_Moho!CA_FP_gas_nom*HM_ZD_Moho!CA_gross_prod_gas)/HM_ZD_Moho!CA_gross_prod_Total),0)</f>
        <v>0</v>
      </c>
      <c r="BB583" s="49">
        <f ca="1">IFERROR((BB342)/((HM_ZD_Moho!CA_FP_oil_nom*HM_ZD_Moho!CA_gross_prod_oil+HM_ZD_Moho!CA_FP_lpg_nom*HM_ZD_Moho!CA_gross_prod_lpg+HM_ZD_Moho!CA_FP_gas_nom*HM_ZD_Moho!CA_gross_prod_gas)/HM_ZD_Moho!CA_gross_prod_Total),0)</f>
        <v>0</v>
      </c>
      <c r="BC583" s="49">
        <f ca="1">IFERROR((BC342)/((HM_ZD_Moho!CA_FP_oil_nom*HM_ZD_Moho!CA_gross_prod_oil+HM_ZD_Moho!CA_FP_lpg_nom*HM_ZD_Moho!CA_gross_prod_lpg+HM_ZD_Moho!CA_FP_gas_nom*HM_ZD_Moho!CA_gross_prod_gas)/HM_ZD_Moho!CA_gross_prod_Total),0)</f>
        <v>0</v>
      </c>
      <c r="BD583" s="49">
        <f ca="1">IFERROR((BD342)/((HM_ZD_Moho!CA_FP_oil_nom*HM_ZD_Moho!CA_gross_prod_oil+HM_ZD_Moho!CA_FP_lpg_nom*HM_ZD_Moho!CA_gross_prod_lpg+HM_ZD_Moho!CA_FP_gas_nom*HM_ZD_Moho!CA_gross_prod_gas)/HM_ZD_Moho!CA_gross_prod_Total),0)</f>
        <v>0</v>
      </c>
      <c r="BE583" s="49">
        <f ca="1">IFERROR((BE342)/((HM_ZD_Moho!CA_FP_oil_nom*HM_ZD_Moho!CA_gross_prod_oil+HM_ZD_Moho!CA_FP_lpg_nom*HM_ZD_Moho!CA_gross_prod_lpg+HM_ZD_Moho!CA_FP_gas_nom*HM_ZD_Moho!CA_gross_prod_gas)/HM_ZD_Moho!CA_gross_prod_Total),0)</f>
        <v>0</v>
      </c>
      <c r="BF583" s="49">
        <f ca="1">IFERROR((BF342)/((HM_ZD_Moho!CA_FP_oil_nom*HM_ZD_Moho!CA_gross_prod_oil+HM_ZD_Moho!CA_FP_lpg_nom*HM_ZD_Moho!CA_gross_prod_lpg+HM_ZD_Moho!CA_FP_gas_nom*HM_ZD_Moho!CA_gross_prod_gas)/HM_ZD_Moho!CA_gross_prod_Total),0)</f>
        <v>0</v>
      </c>
      <c r="BG583" s="49">
        <f ca="1">IFERROR((BG342)/((HM_ZD_Moho!CA_FP_oil_nom*HM_ZD_Moho!CA_gross_prod_oil+HM_ZD_Moho!CA_FP_lpg_nom*HM_ZD_Moho!CA_gross_prod_lpg+HM_ZD_Moho!CA_FP_gas_nom*HM_ZD_Moho!CA_gross_prod_gas)/HM_ZD_Moho!CA_gross_prod_Total),0)</f>
        <v>0</v>
      </c>
      <c r="BH583" s="49">
        <f ca="1">IFERROR((BH342)/((HM_ZD_Moho!CA_FP_oil_nom*HM_ZD_Moho!CA_gross_prod_oil+HM_ZD_Moho!CA_FP_lpg_nom*HM_ZD_Moho!CA_gross_prod_lpg+HM_ZD_Moho!CA_FP_gas_nom*HM_ZD_Moho!CA_gross_prod_gas)/HM_ZD_Moho!CA_gross_prod_Total),0)</f>
        <v>0</v>
      </c>
      <c r="BI583" s="49">
        <f ca="1">IFERROR((BI342)/((HM_ZD_Moho!CA_FP_oil_nom*HM_ZD_Moho!CA_gross_prod_oil+HM_ZD_Moho!CA_FP_lpg_nom*HM_ZD_Moho!CA_gross_prod_lpg+HM_ZD_Moho!CA_FP_gas_nom*HM_ZD_Moho!CA_gross_prod_gas)/HM_ZD_Moho!CA_gross_prod_Total),0)</f>
        <v>0</v>
      </c>
      <c r="BJ583" s="49">
        <f ca="1">IFERROR((BJ342)/((HM_ZD_Moho!CA_FP_oil_nom*HM_ZD_Moho!CA_gross_prod_oil+HM_ZD_Moho!CA_FP_lpg_nom*HM_ZD_Moho!CA_gross_prod_lpg+HM_ZD_Moho!CA_FP_gas_nom*HM_ZD_Moho!CA_gross_prod_gas)/HM_ZD_Moho!CA_gross_prod_Total),0)</f>
        <v>0</v>
      </c>
      <c r="BK583" s="49">
        <f ca="1">IFERROR((BK342)/((HM_ZD_Moho!CA_FP_oil_nom*HM_ZD_Moho!CA_gross_prod_oil+HM_ZD_Moho!CA_FP_lpg_nom*HM_ZD_Moho!CA_gross_prod_lpg+HM_ZD_Moho!CA_FP_gas_nom*HM_ZD_Moho!CA_gross_prod_gas)/HM_ZD_Moho!CA_gross_prod_Total),0)</f>
        <v>0</v>
      </c>
      <c r="BL583" s="49">
        <f ca="1">IFERROR((BL342)/((HM_ZD_Moho!CA_FP_oil_nom*HM_ZD_Moho!CA_gross_prod_oil+HM_ZD_Moho!CA_FP_lpg_nom*HM_ZD_Moho!CA_gross_prod_lpg+HM_ZD_Moho!CA_FP_gas_nom*HM_ZD_Moho!CA_gross_prod_gas)/HM_ZD_Moho!CA_gross_prod_Total),0)</f>
        <v>0</v>
      </c>
      <c r="BM583" s="49">
        <f ca="1">IFERROR((BM342)/((HM_ZD_Moho!CA_FP_oil_nom*HM_ZD_Moho!CA_gross_prod_oil+HM_ZD_Moho!CA_FP_lpg_nom*HM_ZD_Moho!CA_gross_prod_lpg+HM_ZD_Moho!CA_FP_gas_nom*HM_ZD_Moho!CA_gross_prod_gas)/HM_ZD_Moho!CA_gross_prod_Total),0)</f>
        <v>0</v>
      </c>
      <c r="BN583" s="49">
        <f ca="1">IFERROR((BN342)/((HM_ZD_Moho!CA_FP_oil_nom*HM_ZD_Moho!CA_gross_prod_oil+HM_ZD_Moho!CA_FP_lpg_nom*HM_ZD_Moho!CA_gross_prod_lpg+HM_ZD_Moho!CA_FP_gas_nom*HM_ZD_Moho!CA_gross_prod_gas)/HM_ZD_Moho!CA_gross_prod_Total),0)</f>
        <v>0</v>
      </c>
      <c r="BO583" s="49">
        <f ca="1">IFERROR((BO342)/((HM_ZD_Moho!CA_FP_oil_nom*HM_ZD_Moho!CA_gross_prod_oil+HM_ZD_Moho!CA_FP_lpg_nom*HM_ZD_Moho!CA_gross_prod_lpg+HM_ZD_Moho!CA_FP_gas_nom*HM_ZD_Moho!CA_gross_prod_gas)/HM_ZD_Moho!CA_gross_prod_Total),0)</f>
        <v>0</v>
      </c>
      <c r="BP583" s="49">
        <f ca="1">IFERROR((BP342)/((HM_ZD_Moho!CA_FP_oil_nom*HM_ZD_Moho!CA_gross_prod_oil+HM_ZD_Moho!CA_FP_lpg_nom*HM_ZD_Moho!CA_gross_prod_lpg+HM_ZD_Moho!CA_FP_gas_nom*HM_ZD_Moho!CA_gross_prod_gas)/HM_ZD_Moho!CA_gross_prod_Total),0)</f>
        <v>0</v>
      </c>
      <c r="BQ583" s="49">
        <f ca="1">IFERROR((BQ342)/((HM_ZD_Moho!CA_FP_oil_nom*HM_ZD_Moho!CA_gross_prod_oil+HM_ZD_Moho!CA_FP_lpg_nom*HM_ZD_Moho!CA_gross_prod_lpg+HM_ZD_Moho!CA_FP_gas_nom*HM_ZD_Moho!CA_gross_prod_gas)/HM_ZD_Moho!CA_gross_prod_Total),0)</f>
        <v>0</v>
      </c>
      <c r="BR583" s="49">
        <f ca="1">IFERROR((BR342)/((HM_ZD_Moho!CA_FP_oil_nom*HM_ZD_Moho!CA_gross_prod_oil+HM_ZD_Moho!CA_FP_lpg_nom*HM_ZD_Moho!CA_gross_prod_lpg+HM_ZD_Moho!CA_FP_gas_nom*HM_ZD_Moho!CA_gross_prod_gas)/HM_ZD_Moho!CA_gross_prod_Total),0)</f>
        <v>0</v>
      </c>
      <c r="BS583" s="49">
        <f ca="1">IFERROR((BS342)/((HM_ZD_Moho!CA_FP_oil_nom*HM_ZD_Moho!CA_gross_prod_oil+HM_ZD_Moho!CA_FP_lpg_nom*HM_ZD_Moho!CA_gross_prod_lpg+HM_ZD_Moho!CA_FP_gas_nom*HM_ZD_Moho!CA_gross_prod_gas)/HM_ZD_Moho!CA_gross_prod_Total),0)</f>
        <v>0</v>
      </c>
    </row>
    <row r="584" spans="4:71" outlineLevel="1" x14ac:dyDescent="0.2">
      <c r="D584" t="str">
        <f>HM_ZB_Nsoko!D570</f>
        <v>SPO Contracteur</v>
      </c>
      <c r="I584" s="30">
        <f t="shared" ca="1" si="259"/>
        <v>9.4095607052118915</v>
      </c>
      <c r="J584" s="26" t="s">
        <v>692</v>
      </c>
      <c r="L584" s="49">
        <f ca="1">IFERROR((L343)/((HM_ZD_Moho!CA_FP_oil_nom*HM_ZD_Moho!CA_gross_prod_oil+HM_ZD_Moho!CA_FP_lpg_nom*HM_ZD_Moho!CA_gross_prod_lpg)/(HM_ZD_Moho!CA_gross_prod_oil+HM_ZD_Moho!CA_gross_prod_lpg)),0)</f>
        <v>4.0427653519829203</v>
      </c>
      <c r="M584" s="49">
        <f ca="1">IFERROR((M343)/((HM_ZD_Moho!CA_FP_oil_nom*HM_ZD_Moho!CA_gross_prod_oil+HM_ZD_Moho!CA_FP_lpg_nom*HM_ZD_Moho!CA_gross_prod_lpg)/(HM_ZD_Moho!CA_gross_prod_oil+HM_ZD_Moho!CA_gross_prod_lpg)),0)</f>
        <v>4.0580008783564345</v>
      </c>
      <c r="N584" s="49">
        <f ca="1">IFERROR((N343)/((HM_ZD_Moho!CA_FP_oil_nom*HM_ZD_Moho!CA_gross_prod_oil+HM_ZD_Moho!CA_FP_lpg_nom*HM_ZD_Moho!CA_gross_prod_lpg)/(HM_ZD_Moho!CA_gross_prod_oil+HM_ZD_Moho!CA_gross_prod_lpg)),0)</f>
        <v>0</v>
      </c>
      <c r="O584" s="49">
        <f ca="1">IFERROR((O343)/((HM_ZD_Moho!CA_FP_oil_nom*HM_ZD_Moho!CA_gross_prod_oil+HM_ZD_Moho!CA_FP_lpg_nom*HM_ZD_Moho!CA_gross_prod_lpg)/(HM_ZD_Moho!CA_gross_prod_oil+HM_ZD_Moho!CA_gross_prod_lpg)),0)</f>
        <v>0</v>
      </c>
      <c r="P584" s="49">
        <f ca="1">IFERROR((P343)/((HM_ZD_Moho!CA_FP_oil_nom*HM_ZD_Moho!CA_gross_prod_oil+HM_ZD_Moho!CA_FP_lpg_nom*HM_ZD_Moho!CA_gross_prod_lpg)/(HM_ZD_Moho!CA_gross_prod_oil+HM_ZD_Moho!CA_gross_prod_lpg)),0)</f>
        <v>0</v>
      </c>
      <c r="Q584" s="49">
        <f ca="1">IFERROR((Q343)/((HM_ZD_Moho!CA_FP_oil_nom*HM_ZD_Moho!CA_gross_prod_oil+HM_ZD_Moho!CA_FP_lpg_nom*HM_ZD_Moho!CA_gross_prod_lpg)/(HM_ZD_Moho!CA_gross_prod_oil+HM_ZD_Moho!CA_gross_prod_lpg)),0)</f>
        <v>0</v>
      </c>
      <c r="R584" s="49">
        <f ca="1">IFERROR((R343)/((HM_ZD_Moho!CA_FP_oil_nom*HM_ZD_Moho!CA_gross_prod_oil+HM_ZD_Moho!CA_FP_lpg_nom*HM_ZD_Moho!CA_gross_prod_lpg)/(HM_ZD_Moho!CA_gross_prod_oil+HM_ZD_Moho!CA_gross_prod_lpg)),0)</f>
        <v>0</v>
      </c>
      <c r="S584" s="49">
        <f ca="1">IFERROR((S343)/((HM_ZD_Moho!CA_FP_oil_nom*HM_ZD_Moho!CA_gross_prod_oil+HM_ZD_Moho!CA_FP_lpg_nom*HM_ZD_Moho!CA_gross_prod_lpg)/(HM_ZD_Moho!CA_gross_prod_oil+HM_ZD_Moho!CA_gross_prod_lpg)),0)</f>
        <v>0</v>
      </c>
      <c r="T584" s="49">
        <f ca="1">IFERROR((T343)/((HM_ZD_Moho!CA_FP_oil_nom*HM_ZD_Moho!CA_gross_prod_oil+HM_ZD_Moho!CA_FP_lpg_nom*HM_ZD_Moho!CA_gross_prod_lpg)/(HM_ZD_Moho!CA_gross_prod_oil+HM_ZD_Moho!CA_gross_prod_lpg)),0)</f>
        <v>0</v>
      </c>
      <c r="U584" s="49">
        <f ca="1">IFERROR((U343)/((HM_ZD_Moho!CA_FP_oil_nom*HM_ZD_Moho!CA_gross_prod_oil+HM_ZD_Moho!CA_FP_lpg_nom*HM_ZD_Moho!CA_gross_prod_lpg)/(HM_ZD_Moho!CA_gross_prod_oil+HM_ZD_Moho!CA_gross_prod_lpg)),0)</f>
        <v>0</v>
      </c>
      <c r="V584" s="49">
        <f ca="1">IFERROR((V343)/((HM_ZD_Moho!CA_FP_oil_nom*HM_ZD_Moho!CA_gross_prod_oil+HM_ZD_Moho!CA_FP_lpg_nom*HM_ZD_Moho!CA_gross_prod_lpg)/(HM_ZD_Moho!CA_gross_prod_oil+HM_ZD_Moho!CA_gross_prod_lpg)),0)</f>
        <v>0</v>
      </c>
      <c r="W584" s="49">
        <f ca="1">IFERROR((W343)/((HM_ZD_Moho!CA_FP_oil_nom*HM_ZD_Moho!CA_gross_prod_oil+HM_ZD_Moho!CA_FP_lpg_nom*HM_ZD_Moho!CA_gross_prod_lpg)/(HM_ZD_Moho!CA_gross_prod_oil+HM_ZD_Moho!CA_gross_prod_lpg)),0)</f>
        <v>0.67813185226556383</v>
      </c>
      <c r="X584" s="49">
        <f ca="1">IFERROR((X343)/((HM_ZD_Moho!CA_FP_oil_nom*HM_ZD_Moho!CA_gross_prod_oil+HM_ZD_Moho!CA_FP_lpg_nom*HM_ZD_Moho!CA_gross_prod_lpg)/(HM_ZD_Moho!CA_gross_prod_oil+HM_ZD_Moho!CA_gross_prod_lpg)),0)</f>
        <v>0.63066262260697348</v>
      </c>
      <c r="Y584" s="49">
        <f ca="1">IFERROR((Y343)/((HM_ZD_Moho!CA_FP_oil_nom*HM_ZD_Moho!CA_gross_prod_oil+HM_ZD_Moho!CA_FP_lpg_nom*HM_ZD_Moho!CA_gross_prod_lpg)/(HM_ZD_Moho!CA_gross_prod_oil+HM_ZD_Moho!CA_gross_prod_lpg)),0)</f>
        <v>0</v>
      </c>
      <c r="Z584" s="49">
        <f ca="1">IFERROR((Z343)/((HM_ZD_Moho!CA_FP_oil_nom*HM_ZD_Moho!CA_gross_prod_oil+HM_ZD_Moho!CA_FP_lpg_nom*HM_ZD_Moho!CA_gross_prod_lpg)/(HM_ZD_Moho!CA_gross_prod_oil+HM_ZD_Moho!CA_gross_prod_lpg)),0)</f>
        <v>0</v>
      </c>
      <c r="AA584" s="49">
        <f ca="1">IFERROR((AA343)/((HM_ZD_Moho!CA_FP_oil_nom*HM_ZD_Moho!CA_gross_prod_oil+HM_ZD_Moho!CA_FP_lpg_nom*HM_ZD_Moho!CA_gross_prod_lpg)/(HM_ZD_Moho!CA_gross_prod_oil+HM_ZD_Moho!CA_gross_prod_lpg)),0)</f>
        <v>0</v>
      </c>
      <c r="AB584" s="49">
        <f ca="1">IFERROR((AB343)/((HM_ZD_Moho!CA_FP_oil_nom*HM_ZD_Moho!CA_gross_prod_oil+HM_ZD_Moho!CA_FP_lpg_nom*HM_ZD_Moho!CA_gross_prod_lpg)/(HM_ZD_Moho!CA_gross_prod_oil+HM_ZD_Moho!CA_gross_prod_lpg)),0)</f>
        <v>0</v>
      </c>
      <c r="AC584" s="49">
        <f ca="1">IFERROR((AC343)/((HM_ZD_Moho!CA_FP_oil_nom*HM_ZD_Moho!CA_gross_prod_oil+HM_ZD_Moho!CA_FP_lpg_nom*HM_ZD_Moho!CA_gross_prod_lpg)/(HM_ZD_Moho!CA_gross_prod_oil+HM_ZD_Moho!CA_gross_prod_lpg)),0)</f>
        <v>0</v>
      </c>
      <c r="AD584" s="49">
        <f ca="1">IFERROR((AD343)/((HM_ZD_Moho!CA_FP_oil_nom*HM_ZD_Moho!CA_gross_prod_oil+HM_ZD_Moho!CA_FP_lpg_nom*HM_ZD_Moho!CA_gross_prod_lpg)/(HM_ZD_Moho!CA_gross_prod_oil+HM_ZD_Moho!CA_gross_prod_lpg)),0)</f>
        <v>0</v>
      </c>
      <c r="AE584" s="49">
        <f ca="1">IFERROR((AE343)/((HM_ZD_Moho!CA_FP_oil_nom*HM_ZD_Moho!CA_gross_prod_oil+HM_ZD_Moho!CA_FP_lpg_nom*HM_ZD_Moho!CA_gross_prod_lpg)/(HM_ZD_Moho!CA_gross_prod_oil+HM_ZD_Moho!CA_gross_prod_lpg)),0)</f>
        <v>0</v>
      </c>
      <c r="AF584" s="49">
        <f ca="1">IFERROR((AF343)/((HM_ZD_Moho!CA_FP_oil_nom*HM_ZD_Moho!CA_gross_prod_oil+HM_ZD_Moho!CA_FP_lpg_nom*HM_ZD_Moho!CA_gross_prod_lpg)/(HM_ZD_Moho!CA_gross_prod_oil+HM_ZD_Moho!CA_gross_prod_lpg)),0)</f>
        <v>0</v>
      </c>
      <c r="AG584" s="49">
        <f ca="1">IFERROR((AG343)/((HM_ZD_Moho!CA_FP_oil_nom*HM_ZD_Moho!CA_gross_prod_oil+HM_ZD_Moho!CA_FP_lpg_nom*HM_ZD_Moho!CA_gross_prod_lpg)/(HM_ZD_Moho!CA_gross_prod_oil+HM_ZD_Moho!CA_gross_prod_lpg)),0)</f>
        <v>0</v>
      </c>
      <c r="AH584" s="49">
        <f ca="1">IFERROR((AH343)/((HM_ZD_Moho!CA_FP_oil_nom*HM_ZD_Moho!CA_gross_prod_oil+HM_ZD_Moho!CA_FP_lpg_nom*HM_ZD_Moho!CA_gross_prod_lpg)/(HM_ZD_Moho!CA_gross_prod_oil+HM_ZD_Moho!CA_gross_prod_lpg)),0)</f>
        <v>0</v>
      </c>
      <c r="AI584" s="49">
        <f ca="1">IFERROR((AI343)/((HM_ZD_Moho!CA_FP_oil_nom*HM_ZD_Moho!CA_gross_prod_oil+HM_ZD_Moho!CA_FP_lpg_nom*HM_ZD_Moho!CA_gross_prod_lpg)/(HM_ZD_Moho!CA_gross_prod_oil+HM_ZD_Moho!CA_gross_prod_lpg)),0)</f>
        <v>0</v>
      </c>
      <c r="AJ584" s="49">
        <f ca="1">IFERROR((AJ343)/((HM_ZD_Moho!CA_FP_oil_nom*HM_ZD_Moho!CA_gross_prod_oil+HM_ZD_Moho!CA_FP_lpg_nom*HM_ZD_Moho!CA_gross_prod_lpg)/(HM_ZD_Moho!CA_gross_prod_oil+HM_ZD_Moho!CA_gross_prod_lpg)),0)</f>
        <v>0</v>
      </c>
      <c r="AK584" s="49">
        <f ca="1">IFERROR((AK343)/((HM_ZD_Moho!CA_FP_oil_nom*HM_ZD_Moho!CA_gross_prod_oil+HM_ZD_Moho!CA_FP_lpg_nom*HM_ZD_Moho!CA_gross_prod_lpg)/(HM_ZD_Moho!CA_gross_prod_oil+HM_ZD_Moho!CA_gross_prod_lpg)),0)</f>
        <v>0</v>
      </c>
      <c r="AL584" s="49">
        <f ca="1">IFERROR((AL343)/((HM_ZD_Moho!CA_FP_oil_nom*HM_ZD_Moho!CA_gross_prod_oil+HM_ZD_Moho!CA_FP_lpg_nom*HM_ZD_Moho!CA_gross_prod_lpg)/(HM_ZD_Moho!CA_gross_prod_oil+HM_ZD_Moho!CA_gross_prod_lpg)),0)</f>
        <v>0</v>
      </c>
      <c r="AM584" s="49">
        <f ca="1">IFERROR((AM343)/((HM_ZD_Moho!CA_FP_oil_nom*HM_ZD_Moho!CA_gross_prod_oil+HM_ZD_Moho!CA_FP_lpg_nom*HM_ZD_Moho!CA_gross_prod_lpg)/(HM_ZD_Moho!CA_gross_prod_oil+HM_ZD_Moho!CA_gross_prod_lpg)),0)</f>
        <v>0</v>
      </c>
      <c r="AN584" s="49">
        <f ca="1">IFERROR((AN343)/((HM_ZD_Moho!CA_FP_oil_nom*HM_ZD_Moho!CA_gross_prod_oil+HM_ZD_Moho!CA_FP_lpg_nom*HM_ZD_Moho!CA_gross_prod_lpg)/(HM_ZD_Moho!CA_gross_prod_oil+HM_ZD_Moho!CA_gross_prod_lpg)),0)</f>
        <v>0</v>
      </c>
      <c r="AO584" s="49">
        <f ca="1">IFERROR((AO343)/((HM_ZD_Moho!CA_FP_oil_nom*HM_ZD_Moho!CA_gross_prod_oil+HM_ZD_Moho!CA_FP_lpg_nom*HM_ZD_Moho!CA_gross_prod_lpg)/(HM_ZD_Moho!CA_gross_prod_oil+HM_ZD_Moho!CA_gross_prod_lpg)),0)</f>
        <v>0</v>
      </c>
      <c r="AP584" s="49">
        <f ca="1">IFERROR((AP343)/((HM_ZD_Moho!CA_FP_oil_nom*HM_ZD_Moho!CA_gross_prod_oil+HM_ZD_Moho!CA_FP_lpg_nom*HM_ZD_Moho!CA_gross_prod_lpg)/(HM_ZD_Moho!CA_gross_prod_oil+HM_ZD_Moho!CA_gross_prod_lpg)),0)</f>
        <v>0</v>
      </c>
      <c r="AQ584" s="49">
        <f ca="1">IFERROR((AQ343)/((HM_ZD_Moho!CA_FP_oil_nom*HM_ZD_Moho!CA_gross_prod_oil+HM_ZD_Moho!CA_FP_lpg_nom*HM_ZD_Moho!CA_gross_prod_lpg)/(HM_ZD_Moho!CA_gross_prod_oil+HM_ZD_Moho!CA_gross_prod_lpg)),0)</f>
        <v>0</v>
      </c>
      <c r="AR584" s="49">
        <f ca="1">IFERROR((AR343)/((HM_ZD_Moho!CA_FP_oil_nom*HM_ZD_Moho!CA_gross_prod_oil+HM_ZD_Moho!CA_FP_lpg_nom*HM_ZD_Moho!CA_gross_prod_lpg)/(HM_ZD_Moho!CA_gross_prod_oil+HM_ZD_Moho!CA_gross_prod_lpg)),0)</f>
        <v>0</v>
      </c>
      <c r="AS584" s="49">
        <f ca="1">IFERROR((AS343)/((HM_ZD_Moho!CA_FP_oil_nom*HM_ZD_Moho!CA_gross_prod_oil+HM_ZD_Moho!CA_FP_lpg_nom*HM_ZD_Moho!CA_gross_prod_lpg)/(HM_ZD_Moho!CA_gross_prod_oil+HM_ZD_Moho!CA_gross_prod_lpg)),0)</f>
        <v>0</v>
      </c>
      <c r="AT584" s="49">
        <f ca="1">IFERROR((AT343)/((HM_ZD_Moho!CA_FP_oil_nom*HM_ZD_Moho!CA_gross_prod_oil+HM_ZD_Moho!CA_FP_lpg_nom*HM_ZD_Moho!CA_gross_prod_lpg)/(HM_ZD_Moho!CA_gross_prod_oil+HM_ZD_Moho!CA_gross_prod_lpg)),0)</f>
        <v>0</v>
      </c>
      <c r="AU584" s="49">
        <f ca="1">IFERROR((AU343)/((HM_ZD_Moho!CA_FP_oil_nom*HM_ZD_Moho!CA_gross_prod_oil+HM_ZD_Moho!CA_FP_lpg_nom*HM_ZD_Moho!CA_gross_prod_lpg)/(HM_ZD_Moho!CA_gross_prod_oil+HM_ZD_Moho!CA_gross_prod_lpg)),0)</f>
        <v>0</v>
      </c>
      <c r="AV584" s="49">
        <f ca="1">IFERROR((AV343)/((HM_ZD_Moho!CA_FP_oil_nom*HM_ZD_Moho!CA_gross_prod_oil+HM_ZD_Moho!CA_FP_lpg_nom*HM_ZD_Moho!CA_gross_prod_lpg)/(HM_ZD_Moho!CA_gross_prod_oil+HM_ZD_Moho!CA_gross_prod_lpg)),0)</f>
        <v>0</v>
      </c>
      <c r="AW584" s="49">
        <f ca="1">IFERROR((AW343)/((HM_ZD_Moho!CA_FP_oil_nom*HM_ZD_Moho!CA_gross_prod_oil+HM_ZD_Moho!CA_FP_lpg_nom*HM_ZD_Moho!CA_gross_prod_lpg)/(HM_ZD_Moho!CA_gross_prod_oil+HM_ZD_Moho!CA_gross_prod_lpg)),0)</f>
        <v>0</v>
      </c>
      <c r="AX584" s="49">
        <f ca="1">IFERROR((AX343)/((HM_ZD_Moho!CA_FP_oil_nom*HM_ZD_Moho!CA_gross_prod_oil+HM_ZD_Moho!CA_FP_lpg_nom*HM_ZD_Moho!CA_gross_prod_lpg)/(HM_ZD_Moho!CA_gross_prod_oil+HM_ZD_Moho!CA_gross_prod_lpg)),0)</f>
        <v>0</v>
      </c>
      <c r="AY584" s="49">
        <f ca="1">IFERROR((AY343)/((HM_ZD_Moho!CA_FP_oil_nom*HM_ZD_Moho!CA_gross_prod_oil+HM_ZD_Moho!CA_FP_lpg_nom*HM_ZD_Moho!CA_gross_prod_lpg)/(HM_ZD_Moho!CA_gross_prod_oil+HM_ZD_Moho!CA_gross_prod_lpg)),0)</f>
        <v>0</v>
      </c>
      <c r="AZ584" s="49">
        <f ca="1">IFERROR((AZ343)/((HM_ZD_Moho!CA_FP_oil_nom*HM_ZD_Moho!CA_gross_prod_oil+HM_ZD_Moho!CA_FP_lpg_nom*HM_ZD_Moho!CA_gross_prod_lpg)/(HM_ZD_Moho!CA_gross_prod_oil+HM_ZD_Moho!CA_gross_prod_lpg)),0)</f>
        <v>0</v>
      </c>
      <c r="BA584" s="49">
        <f ca="1">IFERROR((BA343)/((HM_ZD_Moho!CA_FP_oil_nom*HM_ZD_Moho!CA_gross_prod_oil+HM_ZD_Moho!CA_FP_lpg_nom*HM_ZD_Moho!CA_gross_prod_lpg)/(HM_ZD_Moho!CA_gross_prod_oil+HM_ZD_Moho!CA_gross_prod_lpg)),0)</f>
        <v>0</v>
      </c>
      <c r="BB584" s="49">
        <f ca="1">IFERROR((BB343)/((HM_ZD_Moho!CA_FP_oil_nom*HM_ZD_Moho!CA_gross_prod_oil+HM_ZD_Moho!CA_FP_lpg_nom*HM_ZD_Moho!CA_gross_prod_lpg)/(HM_ZD_Moho!CA_gross_prod_oil+HM_ZD_Moho!CA_gross_prod_lpg)),0)</f>
        <v>0</v>
      </c>
      <c r="BC584" s="49">
        <f ca="1">IFERROR((BC343)/((HM_ZD_Moho!CA_FP_oil_nom*HM_ZD_Moho!CA_gross_prod_oil+HM_ZD_Moho!CA_FP_lpg_nom*HM_ZD_Moho!CA_gross_prod_lpg)/(HM_ZD_Moho!CA_gross_prod_oil+HM_ZD_Moho!CA_gross_prod_lpg)),0)</f>
        <v>0</v>
      </c>
      <c r="BD584" s="49">
        <f ca="1">IFERROR((BD343)/((HM_ZD_Moho!CA_FP_oil_nom*HM_ZD_Moho!CA_gross_prod_oil+HM_ZD_Moho!CA_FP_lpg_nom*HM_ZD_Moho!CA_gross_prod_lpg)/(HM_ZD_Moho!CA_gross_prod_oil+HM_ZD_Moho!CA_gross_prod_lpg)),0)</f>
        <v>0</v>
      </c>
      <c r="BE584" s="49">
        <f ca="1">IFERROR((BE343)/((HM_ZD_Moho!CA_FP_oil_nom*HM_ZD_Moho!CA_gross_prod_oil+HM_ZD_Moho!CA_FP_lpg_nom*HM_ZD_Moho!CA_gross_prod_lpg)/(HM_ZD_Moho!CA_gross_prod_oil+HM_ZD_Moho!CA_gross_prod_lpg)),0)</f>
        <v>0</v>
      </c>
      <c r="BF584" s="49">
        <f ca="1">IFERROR((BF343)/((HM_ZD_Moho!CA_FP_oil_nom*HM_ZD_Moho!CA_gross_prod_oil+HM_ZD_Moho!CA_FP_lpg_nom*HM_ZD_Moho!CA_gross_prod_lpg)/(HM_ZD_Moho!CA_gross_prod_oil+HM_ZD_Moho!CA_gross_prod_lpg)),0)</f>
        <v>0</v>
      </c>
      <c r="BG584" s="49">
        <f ca="1">IFERROR((BG343)/((HM_ZD_Moho!CA_FP_oil_nom*HM_ZD_Moho!CA_gross_prod_oil+HM_ZD_Moho!CA_FP_lpg_nom*HM_ZD_Moho!CA_gross_prod_lpg)/(HM_ZD_Moho!CA_gross_prod_oil+HM_ZD_Moho!CA_gross_prod_lpg)),0)</f>
        <v>0</v>
      </c>
      <c r="BH584" s="49">
        <f ca="1">IFERROR((BH343)/((HM_ZD_Moho!CA_FP_oil_nom*HM_ZD_Moho!CA_gross_prod_oil+HM_ZD_Moho!CA_FP_lpg_nom*HM_ZD_Moho!CA_gross_prod_lpg)/(HM_ZD_Moho!CA_gross_prod_oil+HM_ZD_Moho!CA_gross_prod_lpg)),0)</f>
        <v>0</v>
      </c>
      <c r="BI584" s="49">
        <f ca="1">IFERROR((BI343)/((HM_ZD_Moho!CA_FP_oil_nom*HM_ZD_Moho!CA_gross_prod_oil+HM_ZD_Moho!CA_FP_lpg_nom*HM_ZD_Moho!CA_gross_prod_lpg)/(HM_ZD_Moho!CA_gross_prod_oil+HM_ZD_Moho!CA_gross_prod_lpg)),0)</f>
        <v>0</v>
      </c>
      <c r="BJ584" s="49">
        <f ca="1">IFERROR((BJ343)/((HM_ZD_Moho!CA_FP_oil_nom*HM_ZD_Moho!CA_gross_prod_oil+HM_ZD_Moho!CA_FP_lpg_nom*HM_ZD_Moho!CA_gross_prod_lpg)/(HM_ZD_Moho!CA_gross_prod_oil+HM_ZD_Moho!CA_gross_prod_lpg)),0)</f>
        <v>0</v>
      </c>
      <c r="BK584" s="49">
        <f ca="1">IFERROR((BK343)/((HM_ZD_Moho!CA_FP_oil_nom*HM_ZD_Moho!CA_gross_prod_oil+HM_ZD_Moho!CA_FP_lpg_nom*HM_ZD_Moho!CA_gross_prod_lpg)/(HM_ZD_Moho!CA_gross_prod_oil+HM_ZD_Moho!CA_gross_prod_lpg)),0)</f>
        <v>0</v>
      </c>
      <c r="BL584" s="49">
        <f ca="1">IFERROR((BL343)/((HM_ZD_Moho!CA_FP_oil_nom*HM_ZD_Moho!CA_gross_prod_oil+HM_ZD_Moho!CA_FP_lpg_nom*HM_ZD_Moho!CA_gross_prod_lpg)/(HM_ZD_Moho!CA_gross_prod_oil+HM_ZD_Moho!CA_gross_prod_lpg)),0)</f>
        <v>0</v>
      </c>
      <c r="BM584" s="49">
        <f ca="1">IFERROR((BM343)/((HM_ZD_Moho!CA_FP_oil_nom*HM_ZD_Moho!CA_gross_prod_oil+HM_ZD_Moho!CA_FP_lpg_nom*HM_ZD_Moho!CA_gross_prod_lpg)/(HM_ZD_Moho!CA_gross_prod_oil+HM_ZD_Moho!CA_gross_prod_lpg)),0)</f>
        <v>0</v>
      </c>
      <c r="BN584" s="49">
        <f ca="1">IFERROR((BN343)/((HM_ZD_Moho!CA_FP_oil_nom*HM_ZD_Moho!CA_gross_prod_oil+HM_ZD_Moho!CA_FP_lpg_nom*HM_ZD_Moho!CA_gross_prod_lpg)/(HM_ZD_Moho!CA_gross_prod_oil+HM_ZD_Moho!CA_gross_prod_lpg)),0)</f>
        <v>0</v>
      </c>
      <c r="BO584" s="49">
        <f ca="1">IFERROR((BO343)/((HM_ZD_Moho!CA_FP_oil_nom*HM_ZD_Moho!CA_gross_prod_oil+HM_ZD_Moho!CA_FP_lpg_nom*HM_ZD_Moho!CA_gross_prod_lpg)/(HM_ZD_Moho!CA_gross_prod_oil+HM_ZD_Moho!CA_gross_prod_lpg)),0)</f>
        <v>0</v>
      </c>
      <c r="BP584" s="49">
        <f ca="1">IFERROR((BP343)/((HM_ZD_Moho!CA_FP_oil_nom*HM_ZD_Moho!CA_gross_prod_oil+HM_ZD_Moho!CA_FP_lpg_nom*HM_ZD_Moho!CA_gross_prod_lpg)/(HM_ZD_Moho!CA_gross_prod_oil+HM_ZD_Moho!CA_gross_prod_lpg)),0)</f>
        <v>0</v>
      </c>
      <c r="BQ584" s="49">
        <f ca="1">IFERROR((BQ343)/((HM_ZD_Moho!CA_FP_oil_nom*HM_ZD_Moho!CA_gross_prod_oil+HM_ZD_Moho!CA_FP_lpg_nom*HM_ZD_Moho!CA_gross_prod_lpg)/(HM_ZD_Moho!CA_gross_prod_oil+HM_ZD_Moho!CA_gross_prod_lpg)),0)</f>
        <v>0</v>
      </c>
      <c r="BR584" s="49">
        <f ca="1">IFERROR((BR343)/((HM_ZD_Moho!CA_FP_oil_nom*HM_ZD_Moho!CA_gross_prod_oil+HM_ZD_Moho!CA_FP_lpg_nom*HM_ZD_Moho!CA_gross_prod_lpg)/(HM_ZD_Moho!CA_gross_prod_oil+HM_ZD_Moho!CA_gross_prod_lpg)),0)</f>
        <v>0</v>
      </c>
      <c r="BS584" s="49">
        <f ca="1">IFERROR((BS343)/((HM_ZD_Moho!CA_FP_oil_nom*HM_ZD_Moho!CA_gross_prod_oil+HM_ZD_Moho!CA_FP_lpg_nom*HM_ZD_Moho!CA_gross_prod_lpg)/(HM_ZD_Moho!CA_gross_prod_oil+HM_ZD_Moho!CA_gross_prod_lpg)),0)</f>
        <v>0</v>
      </c>
    </row>
    <row r="585" spans="4:71" outlineLevel="1" x14ac:dyDescent="0.2">
      <c r="D585" t="str">
        <f>HM_ZB_Nsoko!D571</f>
        <v>Profit Oil Contracteur</v>
      </c>
      <c r="I585" s="30">
        <f t="shared" ca="1" si="259"/>
        <v>46.054493605168908</v>
      </c>
      <c r="J585" s="26" t="s">
        <v>692</v>
      </c>
      <c r="L585" s="49">
        <f ca="1">IFERROR((L344)/((HM_ZD_Moho!CA_FP_oil_nom*HM_ZD_Moho!CA_gross_prod_oil+HM_ZD_Moho!CA_FP_lpg_nom*HM_ZD_Moho!CA_gross_prod_lpg+HM_ZD_Moho!CA_FP_gas_nom*HM_ZD_Moho!CA_gross_prod_gas)/HM_ZD_Moho!CA_gross_prod_Total),0)</f>
        <v>0</v>
      </c>
      <c r="M585" s="49">
        <f ca="1">IFERROR((M344)/((HM_ZD_Moho!CA_FP_oil_nom*HM_ZD_Moho!CA_gross_prod_oil+HM_ZD_Moho!CA_FP_lpg_nom*HM_ZD_Moho!CA_gross_prod_lpg+HM_ZD_Moho!CA_FP_gas_nom*HM_ZD_Moho!CA_gross_prod_gas)/HM_ZD_Moho!CA_gross_prod_Total),0)</f>
        <v>0</v>
      </c>
      <c r="N585" s="49">
        <f ca="1">IFERROR((N344)/((HM_ZD_Moho!CA_FP_oil_nom*HM_ZD_Moho!CA_gross_prod_oil+HM_ZD_Moho!CA_FP_lpg_nom*HM_ZD_Moho!CA_gross_prod_lpg+HM_ZD_Moho!CA_FP_gas_nom*HM_ZD_Moho!CA_gross_prod_gas)/HM_ZD_Moho!CA_gross_prod_Total),0)</f>
        <v>1.6135269150000009</v>
      </c>
      <c r="O585" s="49">
        <f ca="1">IFERROR((O344)/((HM_ZD_Moho!CA_FP_oil_nom*HM_ZD_Moho!CA_gross_prod_oil+HM_ZD_Moho!CA_FP_lpg_nom*HM_ZD_Moho!CA_gross_prod_lpg+HM_ZD_Moho!CA_FP_gas_nom*HM_ZD_Moho!CA_gross_prod_gas)/HM_ZD_Moho!CA_gross_prod_Total),0)</f>
        <v>1.6370964750000008</v>
      </c>
      <c r="P585" s="49">
        <f ca="1">IFERROR((P344)/((HM_ZD_Moho!CA_FP_oil_nom*HM_ZD_Moho!CA_gross_prod_oil+HM_ZD_Moho!CA_FP_lpg_nom*HM_ZD_Moho!CA_gross_prod_lpg+HM_ZD_Moho!CA_FP_gas_nom*HM_ZD_Moho!CA_gross_prod_gas)/HM_ZD_Moho!CA_gross_prod_Total),0)</f>
        <v>3.4265988750000025</v>
      </c>
      <c r="Q585" s="49">
        <f ca="1">IFERROR((Q344)/((HM_ZD_Moho!CA_FP_oil_nom*HM_ZD_Moho!CA_gross_prod_oil+HM_ZD_Moho!CA_FP_lpg_nom*HM_ZD_Moho!CA_gross_prod_lpg+HM_ZD_Moho!CA_FP_gas_nom*HM_ZD_Moho!CA_gross_prod_gas)/HM_ZD_Moho!CA_gross_prod_Total),0)</f>
        <v>5.5008641100000029</v>
      </c>
      <c r="R585" s="49">
        <f ca="1">IFERROR((R344)/((HM_ZD_Moho!CA_FP_oil_nom*HM_ZD_Moho!CA_gross_prod_oil+HM_ZD_Moho!CA_FP_lpg_nom*HM_ZD_Moho!CA_gross_prod_lpg+HM_ZD_Moho!CA_FP_gas_nom*HM_ZD_Moho!CA_gross_prod_gas)/HM_ZD_Moho!CA_gross_prod_Total),0)</f>
        <v>5.3277119024999982</v>
      </c>
      <c r="S585" s="49">
        <f ca="1">IFERROR((S344)/((HM_ZD_Moho!CA_FP_oil_nom*HM_ZD_Moho!CA_gross_prod_oil+HM_ZD_Moho!CA_FP_lpg_nom*HM_ZD_Moho!CA_gross_prod_lpg+HM_ZD_Moho!CA_FP_gas_nom*HM_ZD_Moho!CA_gross_prod_gas)/HM_ZD_Moho!CA_gross_prod_Total),0)</f>
        <v>5.0746995000000057</v>
      </c>
      <c r="T585" s="49">
        <f ca="1">IFERROR((T344)/((HM_ZD_Moho!CA_FP_oil_nom*HM_ZD_Moho!CA_gross_prod_oil+HM_ZD_Moho!CA_FP_lpg_nom*HM_ZD_Moho!CA_gross_prod_lpg+HM_ZD_Moho!CA_FP_gas_nom*HM_ZD_Moho!CA_gross_prod_gas)/HM_ZD_Moho!CA_gross_prod_Total),0)</f>
        <v>4.719470535000001</v>
      </c>
      <c r="U585" s="49">
        <f ca="1">IFERROR((U344)/((HM_ZD_Moho!CA_FP_oil_nom*HM_ZD_Moho!CA_gross_prod_oil+HM_ZD_Moho!CA_FP_lpg_nom*HM_ZD_Moho!CA_gross_prod_lpg+HM_ZD_Moho!CA_FP_gas_nom*HM_ZD_Moho!CA_gross_prod_gas)/HM_ZD_Moho!CA_gross_prod_Total),0)</f>
        <v>4.3891075975500016</v>
      </c>
      <c r="V585" s="49">
        <f ca="1">IFERROR((V344)/((HM_ZD_Moho!CA_FP_oil_nom*HM_ZD_Moho!CA_gross_prod_oil+HM_ZD_Moho!CA_FP_lpg_nom*HM_ZD_Moho!CA_gross_prod_lpg+HM_ZD_Moho!CA_FP_gas_nom*HM_ZD_Moho!CA_gross_prod_gas)/HM_ZD_Moho!CA_gross_prod_Total),0)</f>
        <v>3.1399000505550019</v>
      </c>
      <c r="W585" s="49">
        <f ca="1">IFERROR((W344)/((HM_ZD_Moho!CA_FP_oil_nom*HM_ZD_Moho!CA_gross_prod_oil+HM_ZD_Moho!CA_FP_lpg_nom*HM_ZD_Moho!CA_gross_prod_lpg+HM_ZD_Moho!CA_FP_gas_nom*HM_ZD_Moho!CA_gross_prod_gas)/HM_ZD_Moho!CA_gross_prod_Total),0)</f>
        <v>5.8163303857844033</v>
      </c>
      <c r="X585" s="49">
        <f ca="1">IFERROR((X344)/((HM_ZD_Moho!CA_FP_oil_nom*HM_ZD_Moho!CA_gross_prod_oil+HM_ZD_Moho!CA_FP_lpg_nom*HM_ZD_Moho!CA_gross_prod_lpg+HM_ZD_Moho!CA_FP_gas_nom*HM_ZD_Moho!CA_gross_prod_gas)/HM_ZD_Moho!CA_gross_prod_Total),0)</f>
        <v>5.4091872587794914</v>
      </c>
      <c r="Y585" s="49">
        <f ca="1">IFERROR((Y344)/((HM_ZD_Moho!CA_FP_oil_nom*HM_ZD_Moho!CA_gross_prod_oil+HM_ZD_Moho!CA_FP_lpg_nom*HM_ZD_Moho!CA_gross_prod_lpg+HM_ZD_Moho!CA_FP_gas_nom*HM_ZD_Moho!CA_gross_prod_gas)/HM_ZD_Moho!CA_gross_prod_Total),0)</f>
        <v>0</v>
      </c>
      <c r="Z585" s="49">
        <f ca="1">IFERROR((Z344)/((HM_ZD_Moho!CA_FP_oil_nom*HM_ZD_Moho!CA_gross_prod_oil+HM_ZD_Moho!CA_FP_lpg_nom*HM_ZD_Moho!CA_gross_prod_lpg+HM_ZD_Moho!CA_FP_gas_nom*HM_ZD_Moho!CA_gross_prod_gas)/HM_ZD_Moho!CA_gross_prod_Total),0)</f>
        <v>0</v>
      </c>
      <c r="AA585" s="49">
        <f ca="1">IFERROR((AA344)/((HM_ZD_Moho!CA_FP_oil_nom*HM_ZD_Moho!CA_gross_prod_oil+HM_ZD_Moho!CA_FP_lpg_nom*HM_ZD_Moho!CA_gross_prod_lpg+HM_ZD_Moho!CA_FP_gas_nom*HM_ZD_Moho!CA_gross_prod_gas)/HM_ZD_Moho!CA_gross_prod_Total),0)</f>
        <v>0</v>
      </c>
      <c r="AB585" s="49">
        <f ca="1">IFERROR((AB344)/((HM_ZD_Moho!CA_FP_oil_nom*HM_ZD_Moho!CA_gross_prod_oil+HM_ZD_Moho!CA_FP_lpg_nom*HM_ZD_Moho!CA_gross_prod_lpg+HM_ZD_Moho!CA_FP_gas_nom*HM_ZD_Moho!CA_gross_prod_gas)/HM_ZD_Moho!CA_gross_prod_Total),0)</f>
        <v>0</v>
      </c>
      <c r="AC585" s="49">
        <f ca="1">IFERROR((AC344)/((HM_ZD_Moho!CA_FP_oil_nom*HM_ZD_Moho!CA_gross_prod_oil+HM_ZD_Moho!CA_FP_lpg_nom*HM_ZD_Moho!CA_gross_prod_lpg+HM_ZD_Moho!CA_FP_gas_nom*HM_ZD_Moho!CA_gross_prod_gas)/HM_ZD_Moho!CA_gross_prod_Total),0)</f>
        <v>0</v>
      </c>
      <c r="AD585" s="49">
        <f ca="1">IFERROR((AD344)/((HM_ZD_Moho!CA_FP_oil_nom*HM_ZD_Moho!CA_gross_prod_oil+HM_ZD_Moho!CA_FP_lpg_nom*HM_ZD_Moho!CA_gross_prod_lpg+HM_ZD_Moho!CA_FP_gas_nom*HM_ZD_Moho!CA_gross_prod_gas)/HM_ZD_Moho!CA_gross_prod_Total),0)</f>
        <v>0</v>
      </c>
      <c r="AE585" s="49">
        <f ca="1">IFERROR((AE344)/((HM_ZD_Moho!CA_FP_oil_nom*HM_ZD_Moho!CA_gross_prod_oil+HM_ZD_Moho!CA_FP_lpg_nom*HM_ZD_Moho!CA_gross_prod_lpg+HM_ZD_Moho!CA_FP_gas_nom*HM_ZD_Moho!CA_gross_prod_gas)/HM_ZD_Moho!CA_gross_prod_Total),0)</f>
        <v>0</v>
      </c>
      <c r="AF585" s="49">
        <f ca="1">IFERROR((AF344)/((HM_ZD_Moho!CA_FP_oil_nom*HM_ZD_Moho!CA_gross_prod_oil+HM_ZD_Moho!CA_FP_lpg_nom*HM_ZD_Moho!CA_gross_prod_lpg+HM_ZD_Moho!CA_FP_gas_nom*HM_ZD_Moho!CA_gross_prod_gas)/HM_ZD_Moho!CA_gross_prod_Total),0)</f>
        <v>0</v>
      </c>
      <c r="AG585" s="49">
        <f ca="1">IFERROR((AG344)/((HM_ZD_Moho!CA_FP_oil_nom*HM_ZD_Moho!CA_gross_prod_oil+HM_ZD_Moho!CA_FP_lpg_nom*HM_ZD_Moho!CA_gross_prod_lpg+HM_ZD_Moho!CA_FP_gas_nom*HM_ZD_Moho!CA_gross_prod_gas)/HM_ZD_Moho!CA_gross_prod_Total),0)</f>
        <v>0</v>
      </c>
      <c r="AH585" s="49">
        <f ca="1">IFERROR((AH344)/((HM_ZD_Moho!CA_FP_oil_nom*HM_ZD_Moho!CA_gross_prod_oil+HM_ZD_Moho!CA_FP_lpg_nom*HM_ZD_Moho!CA_gross_prod_lpg+HM_ZD_Moho!CA_FP_gas_nom*HM_ZD_Moho!CA_gross_prod_gas)/HM_ZD_Moho!CA_gross_prod_Total),0)</f>
        <v>0</v>
      </c>
      <c r="AI585" s="49">
        <f ca="1">IFERROR((AI344)/((HM_ZD_Moho!CA_FP_oil_nom*HM_ZD_Moho!CA_gross_prod_oil+HM_ZD_Moho!CA_FP_lpg_nom*HM_ZD_Moho!CA_gross_prod_lpg+HM_ZD_Moho!CA_FP_gas_nom*HM_ZD_Moho!CA_gross_prod_gas)/HM_ZD_Moho!CA_gross_prod_Total),0)</f>
        <v>0</v>
      </c>
      <c r="AJ585" s="49">
        <f ca="1">IFERROR((AJ344)/((HM_ZD_Moho!CA_FP_oil_nom*HM_ZD_Moho!CA_gross_prod_oil+HM_ZD_Moho!CA_FP_lpg_nom*HM_ZD_Moho!CA_gross_prod_lpg+HM_ZD_Moho!CA_FP_gas_nom*HM_ZD_Moho!CA_gross_prod_gas)/HM_ZD_Moho!CA_gross_prod_Total),0)</f>
        <v>0</v>
      </c>
      <c r="AK585" s="49">
        <f ca="1">IFERROR((AK344)/((HM_ZD_Moho!CA_FP_oil_nom*HM_ZD_Moho!CA_gross_prod_oil+HM_ZD_Moho!CA_FP_lpg_nom*HM_ZD_Moho!CA_gross_prod_lpg+HM_ZD_Moho!CA_FP_gas_nom*HM_ZD_Moho!CA_gross_prod_gas)/HM_ZD_Moho!CA_gross_prod_Total),0)</f>
        <v>0</v>
      </c>
      <c r="AL585" s="49">
        <f ca="1">IFERROR((AL344)/((HM_ZD_Moho!CA_FP_oil_nom*HM_ZD_Moho!CA_gross_prod_oil+HM_ZD_Moho!CA_FP_lpg_nom*HM_ZD_Moho!CA_gross_prod_lpg+HM_ZD_Moho!CA_FP_gas_nom*HM_ZD_Moho!CA_gross_prod_gas)/HM_ZD_Moho!CA_gross_prod_Total),0)</f>
        <v>0</v>
      </c>
      <c r="AM585" s="49">
        <f ca="1">IFERROR((AM344)/((HM_ZD_Moho!CA_FP_oil_nom*HM_ZD_Moho!CA_gross_prod_oil+HM_ZD_Moho!CA_FP_lpg_nom*HM_ZD_Moho!CA_gross_prod_lpg+HM_ZD_Moho!CA_FP_gas_nom*HM_ZD_Moho!CA_gross_prod_gas)/HM_ZD_Moho!CA_gross_prod_Total),0)</f>
        <v>0</v>
      </c>
      <c r="AN585" s="49">
        <f ca="1">IFERROR((AN344)/((HM_ZD_Moho!CA_FP_oil_nom*HM_ZD_Moho!CA_gross_prod_oil+HM_ZD_Moho!CA_FP_lpg_nom*HM_ZD_Moho!CA_gross_prod_lpg+HM_ZD_Moho!CA_FP_gas_nom*HM_ZD_Moho!CA_gross_prod_gas)/HM_ZD_Moho!CA_gross_prod_Total),0)</f>
        <v>0</v>
      </c>
      <c r="AO585" s="49">
        <f ca="1">IFERROR((AO344)/((HM_ZD_Moho!CA_FP_oil_nom*HM_ZD_Moho!CA_gross_prod_oil+HM_ZD_Moho!CA_FP_lpg_nom*HM_ZD_Moho!CA_gross_prod_lpg+HM_ZD_Moho!CA_FP_gas_nom*HM_ZD_Moho!CA_gross_prod_gas)/HM_ZD_Moho!CA_gross_prod_Total),0)</f>
        <v>0</v>
      </c>
      <c r="AP585" s="49">
        <f ca="1">IFERROR((AP344)/((HM_ZD_Moho!CA_FP_oil_nom*HM_ZD_Moho!CA_gross_prod_oil+HM_ZD_Moho!CA_FP_lpg_nom*HM_ZD_Moho!CA_gross_prod_lpg+HM_ZD_Moho!CA_FP_gas_nom*HM_ZD_Moho!CA_gross_prod_gas)/HM_ZD_Moho!CA_gross_prod_Total),0)</f>
        <v>0</v>
      </c>
      <c r="AQ585" s="49">
        <f ca="1">IFERROR((AQ344)/((HM_ZD_Moho!CA_FP_oil_nom*HM_ZD_Moho!CA_gross_prod_oil+HM_ZD_Moho!CA_FP_lpg_nom*HM_ZD_Moho!CA_gross_prod_lpg+HM_ZD_Moho!CA_FP_gas_nom*HM_ZD_Moho!CA_gross_prod_gas)/HM_ZD_Moho!CA_gross_prod_Total),0)</f>
        <v>0</v>
      </c>
      <c r="AR585" s="49">
        <f ca="1">IFERROR((AR344)/((HM_ZD_Moho!CA_FP_oil_nom*HM_ZD_Moho!CA_gross_prod_oil+HM_ZD_Moho!CA_FP_lpg_nom*HM_ZD_Moho!CA_gross_prod_lpg+HM_ZD_Moho!CA_FP_gas_nom*HM_ZD_Moho!CA_gross_prod_gas)/HM_ZD_Moho!CA_gross_prod_Total),0)</f>
        <v>0</v>
      </c>
      <c r="AS585" s="49">
        <f ca="1">IFERROR((AS344)/((HM_ZD_Moho!CA_FP_oil_nom*HM_ZD_Moho!CA_gross_prod_oil+HM_ZD_Moho!CA_FP_lpg_nom*HM_ZD_Moho!CA_gross_prod_lpg+HM_ZD_Moho!CA_FP_gas_nom*HM_ZD_Moho!CA_gross_prod_gas)/HM_ZD_Moho!CA_gross_prod_Total),0)</f>
        <v>0</v>
      </c>
      <c r="AT585" s="49">
        <f ca="1">IFERROR((AT344)/((HM_ZD_Moho!CA_FP_oil_nom*HM_ZD_Moho!CA_gross_prod_oil+HM_ZD_Moho!CA_FP_lpg_nom*HM_ZD_Moho!CA_gross_prod_lpg+HM_ZD_Moho!CA_FP_gas_nom*HM_ZD_Moho!CA_gross_prod_gas)/HM_ZD_Moho!CA_gross_prod_Total),0)</f>
        <v>0</v>
      </c>
      <c r="AU585" s="49">
        <f ca="1">IFERROR((AU344)/((HM_ZD_Moho!CA_FP_oil_nom*HM_ZD_Moho!CA_gross_prod_oil+HM_ZD_Moho!CA_FP_lpg_nom*HM_ZD_Moho!CA_gross_prod_lpg+HM_ZD_Moho!CA_FP_gas_nom*HM_ZD_Moho!CA_gross_prod_gas)/HM_ZD_Moho!CA_gross_prod_Total),0)</f>
        <v>0</v>
      </c>
      <c r="AV585" s="49">
        <f ca="1">IFERROR((AV344)/((HM_ZD_Moho!CA_FP_oil_nom*HM_ZD_Moho!CA_gross_prod_oil+HM_ZD_Moho!CA_FP_lpg_nom*HM_ZD_Moho!CA_gross_prod_lpg+HM_ZD_Moho!CA_FP_gas_nom*HM_ZD_Moho!CA_gross_prod_gas)/HM_ZD_Moho!CA_gross_prod_Total),0)</f>
        <v>0</v>
      </c>
      <c r="AW585" s="49">
        <f ca="1">IFERROR((AW344)/((HM_ZD_Moho!CA_FP_oil_nom*HM_ZD_Moho!CA_gross_prod_oil+HM_ZD_Moho!CA_FP_lpg_nom*HM_ZD_Moho!CA_gross_prod_lpg+HM_ZD_Moho!CA_FP_gas_nom*HM_ZD_Moho!CA_gross_prod_gas)/HM_ZD_Moho!CA_gross_prod_Total),0)</f>
        <v>0</v>
      </c>
      <c r="AX585" s="49">
        <f ca="1">IFERROR((AX344)/((HM_ZD_Moho!CA_FP_oil_nom*HM_ZD_Moho!CA_gross_prod_oil+HM_ZD_Moho!CA_FP_lpg_nom*HM_ZD_Moho!CA_gross_prod_lpg+HM_ZD_Moho!CA_FP_gas_nom*HM_ZD_Moho!CA_gross_prod_gas)/HM_ZD_Moho!CA_gross_prod_Total),0)</f>
        <v>0</v>
      </c>
      <c r="AY585" s="49">
        <f ca="1">IFERROR((AY344)/((HM_ZD_Moho!CA_FP_oil_nom*HM_ZD_Moho!CA_gross_prod_oil+HM_ZD_Moho!CA_FP_lpg_nom*HM_ZD_Moho!CA_gross_prod_lpg+HM_ZD_Moho!CA_FP_gas_nom*HM_ZD_Moho!CA_gross_prod_gas)/HM_ZD_Moho!CA_gross_prod_Total),0)</f>
        <v>0</v>
      </c>
      <c r="AZ585" s="49">
        <f ca="1">IFERROR((AZ344)/((HM_ZD_Moho!CA_FP_oil_nom*HM_ZD_Moho!CA_gross_prod_oil+HM_ZD_Moho!CA_FP_lpg_nom*HM_ZD_Moho!CA_gross_prod_lpg+HM_ZD_Moho!CA_FP_gas_nom*HM_ZD_Moho!CA_gross_prod_gas)/HM_ZD_Moho!CA_gross_prod_Total),0)</f>
        <v>0</v>
      </c>
      <c r="BA585" s="49">
        <f ca="1">IFERROR((BA344)/((HM_ZD_Moho!CA_FP_oil_nom*HM_ZD_Moho!CA_gross_prod_oil+HM_ZD_Moho!CA_FP_lpg_nom*HM_ZD_Moho!CA_gross_prod_lpg+HM_ZD_Moho!CA_FP_gas_nom*HM_ZD_Moho!CA_gross_prod_gas)/HM_ZD_Moho!CA_gross_prod_Total),0)</f>
        <v>0</v>
      </c>
      <c r="BB585" s="49">
        <f ca="1">IFERROR((BB344)/((HM_ZD_Moho!CA_FP_oil_nom*HM_ZD_Moho!CA_gross_prod_oil+HM_ZD_Moho!CA_FP_lpg_nom*HM_ZD_Moho!CA_gross_prod_lpg+HM_ZD_Moho!CA_FP_gas_nom*HM_ZD_Moho!CA_gross_prod_gas)/HM_ZD_Moho!CA_gross_prod_Total),0)</f>
        <v>0</v>
      </c>
      <c r="BC585" s="49">
        <f ca="1">IFERROR((BC344)/((HM_ZD_Moho!CA_FP_oil_nom*HM_ZD_Moho!CA_gross_prod_oil+HM_ZD_Moho!CA_FP_lpg_nom*HM_ZD_Moho!CA_gross_prod_lpg+HM_ZD_Moho!CA_FP_gas_nom*HM_ZD_Moho!CA_gross_prod_gas)/HM_ZD_Moho!CA_gross_prod_Total),0)</f>
        <v>0</v>
      </c>
      <c r="BD585" s="49">
        <f ca="1">IFERROR((BD344)/((HM_ZD_Moho!CA_FP_oil_nom*HM_ZD_Moho!CA_gross_prod_oil+HM_ZD_Moho!CA_FP_lpg_nom*HM_ZD_Moho!CA_gross_prod_lpg+HM_ZD_Moho!CA_FP_gas_nom*HM_ZD_Moho!CA_gross_prod_gas)/HM_ZD_Moho!CA_gross_prod_Total),0)</f>
        <v>0</v>
      </c>
      <c r="BE585" s="49">
        <f ca="1">IFERROR((BE344)/((HM_ZD_Moho!CA_FP_oil_nom*HM_ZD_Moho!CA_gross_prod_oil+HM_ZD_Moho!CA_FP_lpg_nom*HM_ZD_Moho!CA_gross_prod_lpg+HM_ZD_Moho!CA_FP_gas_nom*HM_ZD_Moho!CA_gross_prod_gas)/HM_ZD_Moho!CA_gross_prod_Total),0)</f>
        <v>0</v>
      </c>
      <c r="BF585" s="49">
        <f ca="1">IFERROR((BF344)/((HM_ZD_Moho!CA_FP_oil_nom*HM_ZD_Moho!CA_gross_prod_oil+HM_ZD_Moho!CA_FP_lpg_nom*HM_ZD_Moho!CA_gross_prod_lpg+HM_ZD_Moho!CA_FP_gas_nom*HM_ZD_Moho!CA_gross_prod_gas)/HM_ZD_Moho!CA_gross_prod_Total),0)</f>
        <v>0</v>
      </c>
      <c r="BG585" s="49">
        <f ca="1">IFERROR((BG344)/((HM_ZD_Moho!CA_FP_oil_nom*HM_ZD_Moho!CA_gross_prod_oil+HM_ZD_Moho!CA_FP_lpg_nom*HM_ZD_Moho!CA_gross_prod_lpg+HM_ZD_Moho!CA_FP_gas_nom*HM_ZD_Moho!CA_gross_prod_gas)/HM_ZD_Moho!CA_gross_prod_Total),0)</f>
        <v>0</v>
      </c>
      <c r="BH585" s="49">
        <f ca="1">IFERROR((BH344)/((HM_ZD_Moho!CA_FP_oil_nom*HM_ZD_Moho!CA_gross_prod_oil+HM_ZD_Moho!CA_FP_lpg_nom*HM_ZD_Moho!CA_gross_prod_lpg+HM_ZD_Moho!CA_FP_gas_nom*HM_ZD_Moho!CA_gross_prod_gas)/HM_ZD_Moho!CA_gross_prod_Total),0)</f>
        <v>0</v>
      </c>
      <c r="BI585" s="49">
        <f ca="1">IFERROR((BI344)/((HM_ZD_Moho!CA_FP_oil_nom*HM_ZD_Moho!CA_gross_prod_oil+HM_ZD_Moho!CA_FP_lpg_nom*HM_ZD_Moho!CA_gross_prod_lpg+HM_ZD_Moho!CA_FP_gas_nom*HM_ZD_Moho!CA_gross_prod_gas)/HM_ZD_Moho!CA_gross_prod_Total),0)</f>
        <v>0</v>
      </c>
      <c r="BJ585" s="49">
        <f ca="1">IFERROR((BJ344)/((HM_ZD_Moho!CA_FP_oil_nom*HM_ZD_Moho!CA_gross_prod_oil+HM_ZD_Moho!CA_FP_lpg_nom*HM_ZD_Moho!CA_gross_prod_lpg+HM_ZD_Moho!CA_FP_gas_nom*HM_ZD_Moho!CA_gross_prod_gas)/HM_ZD_Moho!CA_gross_prod_Total),0)</f>
        <v>0</v>
      </c>
      <c r="BK585" s="49">
        <f ca="1">IFERROR((BK344)/((HM_ZD_Moho!CA_FP_oil_nom*HM_ZD_Moho!CA_gross_prod_oil+HM_ZD_Moho!CA_FP_lpg_nom*HM_ZD_Moho!CA_gross_prod_lpg+HM_ZD_Moho!CA_FP_gas_nom*HM_ZD_Moho!CA_gross_prod_gas)/HM_ZD_Moho!CA_gross_prod_Total),0)</f>
        <v>0</v>
      </c>
      <c r="BL585" s="49">
        <f ca="1">IFERROR((BL344)/((HM_ZD_Moho!CA_FP_oil_nom*HM_ZD_Moho!CA_gross_prod_oil+HM_ZD_Moho!CA_FP_lpg_nom*HM_ZD_Moho!CA_gross_prod_lpg+HM_ZD_Moho!CA_FP_gas_nom*HM_ZD_Moho!CA_gross_prod_gas)/HM_ZD_Moho!CA_gross_prod_Total),0)</f>
        <v>0</v>
      </c>
      <c r="BM585" s="49">
        <f ca="1">IFERROR((BM344)/((HM_ZD_Moho!CA_FP_oil_nom*HM_ZD_Moho!CA_gross_prod_oil+HM_ZD_Moho!CA_FP_lpg_nom*HM_ZD_Moho!CA_gross_prod_lpg+HM_ZD_Moho!CA_FP_gas_nom*HM_ZD_Moho!CA_gross_prod_gas)/HM_ZD_Moho!CA_gross_prod_Total),0)</f>
        <v>0</v>
      </c>
      <c r="BN585" s="49">
        <f ca="1">IFERROR((BN344)/((HM_ZD_Moho!CA_FP_oil_nom*HM_ZD_Moho!CA_gross_prod_oil+HM_ZD_Moho!CA_FP_lpg_nom*HM_ZD_Moho!CA_gross_prod_lpg+HM_ZD_Moho!CA_FP_gas_nom*HM_ZD_Moho!CA_gross_prod_gas)/HM_ZD_Moho!CA_gross_prod_Total),0)</f>
        <v>0</v>
      </c>
      <c r="BO585" s="49">
        <f ca="1">IFERROR((BO344)/((HM_ZD_Moho!CA_FP_oil_nom*HM_ZD_Moho!CA_gross_prod_oil+HM_ZD_Moho!CA_FP_lpg_nom*HM_ZD_Moho!CA_gross_prod_lpg+HM_ZD_Moho!CA_FP_gas_nom*HM_ZD_Moho!CA_gross_prod_gas)/HM_ZD_Moho!CA_gross_prod_Total),0)</f>
        <v>0</v>
      </c>
      <c r="BP585" s="49">
        <f ca="1">IFERROR((BP344)/((HM_ZD_Moho!CA_FP_oil_nom*HM_ZD_Moho!CA_gross_prod_oil+HM_ZD_Moho!CA_FP_lpg_nom*HM_ZD_Moho!CA_gross_prod_lpg+HM_ZD_Moho!CA_FP_gas_nom*HM_ZD_Moho!CA_gross_prod_gas)/HM_ZD_Moho!CA_gross_prod_Total),0)</f>
        <v>0</v>
      </c>
      <c r="BQ585" s="49">
        <f ca="1">IFERROR((BQ344)/((HM_ZD_Moho!CA_FP_oil_nom*HM_ZD_Moho!CA_gross_prod_oil+HM_ZD_Moho!CA_FP_lpg_nom*HM_ZD_Moho!CA_gross_prod_lpg+HM_ZD_Moho!CA_FP_gas_nom*HM_ZD_Moho!CA_gross_prod_gas)/HM_ZD_Moho!CA_gross_prod_Total),0)</f>
        <v>0</v>
      </c>
      <c r="BR585" s="49">
        <f ca="1">IFERROR((BR344)/((HM_ZD_Moho!CA_FP_oil_nom*HM_ZD_Moho!CA_gross_prod_oil+HM_ZD_Moho!CA_FP_lpg_nom*HM_ZD_Moho!CA_gross_prod_lpg+HM_ZD_Moho!CA_FP_gas_nom*HM_ZD_Moho!CA_gross_prod_gas)/HM_ZD_Moho!CA_gross_prod_Total),0)</f>
        <v>0</v>
      </c>
      <c r="BS585" s="49">
        <f ca="1">IFERROR((BS344)/((HM_ZD_Moho!CA_FP_oil_nom*HM_ZD_Moho!CA_gross_prod_oil+HM_ZD_Moho!CA_FP_lpg_nom*HM_ZD_Moho!CA_gross_prod_lpg+HM_ZD_Moho!CA_FP_gas_nom*HM_ZD_Moho!CA_gross_prod_gas)/HM_ZD_Moho!CA_gross_prod_Total),0)</f>
        <v>0</v>
      </c>
    </row>
    <row r="586" spans="4:71" outlineLevel="1" x14ac:dyDescent="0.2">
      <c r="D586" t="str">
        <f>HM_ZB_Nsoko!D572</f>
        <v>Profit Gaz Contracteur</v>
      </c>
      <c r="I586" s="30">
        <f t="shared" si="259"/>
        <v>0</v>
      </c>
      <c r="J586" s="26" t="s">
        <v>692</v>
      </c>
      <c r="L586" s="49"/>
      <c r="M586" s="49"/>
      <c r="N586" s="49"/>
      <c r="O586" s="49"/>
      <c r="P586" s="49"/>
      <c r="Q586" s="49"/>
      <c r="R586" s="49"/>
      <c r="S586" s="49"/>
      <c r="T586" s="49"/>
      <c r="U586" s="49"/>
      <c r="V586" s="49"/>
      <c r="W586" s="49"/>
      <c r="X586" s="49"/>
      <c r="Y586" s="49"/>
      <c r="Z586" s="49"/>
      <c r="AA586" s="49"/>
      <c r="AB586" s="49"/>
      <c r="AC586" s="49"/>
      <c r="AD586" s="49"/>
      <c r="AE586" s="49"/>
      <c r="AF586" s="49"/>
      <c r="AG586" s="49"/>
      <c r="AH586" s="49"/>
      <c r="AI586" s="49"/>
      <c r="AJ586" s="49"/>
      <c r="AK586" s="49"/>
      <c r="AL586" s="49"/>
      <c r="AM586" s="49"/>
      <c r="AN586" s="49"/>
      <c r="AO586" s="49"/>
      <c r="AP586" s="49"/>
      <c r="AQ586" s="49"/>
      <c r="AR586" s="49"/>
      <c r="AS586" s="49"/>
      <c r="AT586" s="49"/>
      <c r="AU586" s="49"/>
      <c r="AV586" s="49"/>
      <c r="AW586" s="49"/>
      <c r="AX586" s="49"/>
      <c r="AY586" s="49"/>
      <c r="AZ586" s="49"/>
      <c r="BA586" s="49"/>
      <c r="BB586" s="49"/>
      <c r="BC586" s="49"/>
      <c r="BD586" s="49"/>
      <c r="BE586" s="49"/>
      <c r="BF586" s="49"/>
      <c r="BG586" s="49"/>
      <c r="BH586" s="49"/>
      <c r="BI586" s="49"/>
      <c r="BJ586" s="49"/>
      <c r="BK586" s="49"/>
      <c r="BL586" s="49"/>
      <c r="BM586" s="49"/>
      <c r="BN586" s="49"/>
      <c r="BO586" s="49"/>
      <c r="BP586" s="49"/>
      <c r="BQ586" s="49"/>
      <c r="BR586" s="49"/>
      <c r="BS586" s="49"/>
    </row>
    <row r="587" spans="4:71" outlineLevel="1" x14ac:dyDescent="0.2">
      <c r="J587" s="26"/>
      <c r="L587" s="55"/>
      <c r="M587" s="55"/>
      <c r="N587" s="55"/>
      <c r="O587" s="55"/>
      <c r="P587" s="55"/>
      <c r="Q587" s="55"/>
      <c r="R587" s="55"/>
      <c r="S587" s="55"/>
      <c r="T587" s="55"/>
      <c r="U587" s="55"/>
      <c r="V587" s="55"/>
      <c r="W587" s="55"/>
      <c r="X587" s="55"/>
      <c r="Y587" s="55"/>
      <c r="Z587" s="55"/>
      <c r="AA587" s="55"/>
      <c r="AB587" s="55"/>
      <c r="AC587" s="55"/>
      <c r="AD587" s="55"/>
      <c r="AE587" s="55"/>
      <c r="AF587" s="55"/>
      <c r="AG587" s="55"/>
      <c r="AH587" s="55"/>
      <c r="AI587" s="55"/>
      <c r="AJ587" s="55"/>
      <c r="AK587" s="55"/>
      <c r="AL587" s="55"/>
      <c r="AM587" s="55"/>
      <c r="AN587" s="55"/>
      <c r="AO587" s="55"/>
      <c r="AP587" s="55"/>
      <c r="AQ587" s="55"/>
      <c r="AR587" s="55"/>
      <c r="AS587" s="55"/>
      <c r="AT587" s="55"/>
      <c r="AU587" s="55"/>
      <c r="AV587" s="55"/>
      <c r="AW587" s="55"/>
      <c r="AX587" s="55"/>
      <c r="AY587" s="55"/>
      <c r="AZ587" s="55"/>
      <c r="BA587" s="55"/>
      <c r="BB587" s="55"/>
      <c r="BC587" s="55"/>
      <c r="BD587" s="55"/>
      <c r="BE587" s="55"/>
      <c r="BF587" s="55"/>
      <c r="BG587" s="55"/>
      <c r="BH587" s="55"/>
      <c r="BI587" s="55"/>
      <c r="BJ587" s="55"/>
      <c r="BK587" s="55"/>
      <c r="BL587" s="55"/>
      <c r="BM587" s="55"/>
      <c r="BN587" s="55"/>
      <c r="BO587" s="55"/>
      <c r="BP587" s="55"/>
      <c r="BQ587" s="55"/>
      <c r="BR587" s="55"/>
      <c r="BS587" s="55"/>
    </row>
    <row r="588" spans="4:71" outlineLevel="1" x14ac:dyDescent="0.2">
      <c r="J588" s="26"/>
      <c r="L588" s="55"/>
      <c r="M588" s="55"/>
      <c r="N588" s="55"/>
      <c r="O588" s="55"/>
      <c r="P588" s="55"/>
      <c r="Q588" s="55"/>
      <c r="R588" s="55"/>
      <c r="S588" s="55"/>
      <c r="T588" s="55"/>
      <c r="U588" s="55"/>
      <c r="V588" s="55"/>
      <c r="W588" s="55"/>
      <c r="X588" s="55"/>
      <c r="Y588" s="55"/>
      <c r="Z588" s="55"/>
      <c r="AA588" s="55"/>
      <c r="AB588" s="55"/>
      <c r="AC588" s="55"/>
      <c r="AD588" s="55"/>
      <c r="AE588" s="55"/>
      <c r="AF588" s="55"/>
      <c r="AG588" s="55"/>
      <c r="AH588" s="55"/>
      <c r="AI588" s="55"/>
      <c r="AJ588" s="55"/>
      <c r="AK588" s="55"/>
      <c r="AL588" s="55"/>
      <c r="AM588" s="55"/>
      <c r="AN588" s="55"/>
      <c r="AO588" s="55"/>
      <c r="AP588" s="55"/>
      <c r="AQ588" s="55"/>
      <c r="AR588" s="55"/>
      <c r="AS588" s="55"/>
      <c r="AT588" s="55"/>
      <c r="AU588" s="55"/>
      <c r="AV588" s="55"/>
      <c r="AW588" s="55"/>
      <c r="AX588" s="55"/>
      <c r="AY588" s="55"/>
      <c r="AZ588" s="55"/>
      <c r="BA588" s="55"/>
      <c r="BB588" s="55"/>
      <c r="BC588" s="55"/>
      <c r="BD588" s="55"/>
      <c r="BE588" s="55"/>
      <c r="BF588" s="55"/>
      <c r="BG588" s="55"/>
      <c r="BH588" s="55"/>
      <c r="BI588" s="55"/>
      <c r="BJ588" s="55"/>
      <c r="BK588" s="55"/>
      <c r="BL588" s="55"/>
      <c r="BM588" s="55"/>
      <c r="BN588" s="55"/>
      <c r="BO588" s="55"/>
      <c r="BP588" s="55"/>
      <c r="BQ588" s="55"/>
      <c r="BR588" s="55"/>
      <c r="BS588" s="55"/>
    </row>
    <row r="589" spans="4:71" outlineLevel="1" x14ac:dyDescent="0.2">
      <c r="J589" s="26"/>
      <c r="L589" s="55"/>
      <c r="M589" s="55"/>
      <c r="N589" s="55"/>
      <c r="O589" s="55"/>
      <c r="P589" s="55"/>
      <c r="Q589" s="55"/>
      <c r="R589" s="55"/>
      <c r="S589" s="55"/>
      <c r="T589" s="55"/>
      <c r="U589" s="55"/>
      <c r="V589" s="55"/>
      <c r="W589" s="55"/>
      <c r="X589" s="55"/>
      <c r="Y589" s="55"/>
      <c r="Z589" s="55"/>
      <c r="AA589" s="55"/>
      <c r="AB589" s="55"/>
      <c r="AC589" s="55"/>
      <c r="AD589" s="55"/>
      <c r="AE589" s="55"/>
      <c r="AF589" s="55"/>
      <c r="AG589" s="55"/>
      <c r="AH589" s="55"/>
      <c r="AI589" s="55"/>
      <c r="AJ589" s="55"/>
      <c r="AK589" s="55"/>
      <c r="AL589" s="55"/>
      <c r="AM589" s="55"/>
      <c r="AN589" s="55"/>
      <c r="AO589" s="55"/>
      <c r="AP589" s="55"/>
      <c r="AQ589" s="55"/>
      <c r="AR589" s="55"/>
      <c r="AS589" s="55"/>
      <c r="AT589" s="55"/>
      <c r="AU589" s="55"/>
      <c r="AV589" s="55"/>
      <c r="AW589" s="55"/>
      <c r="AX589" s="55"/>
      <c r="AY589" s="55"/>
      <c r="AZ589" s="55"/>
      <c r="BA589" s="55"/>
      <c r="BB589" s="55"/>
      <c r="BC589" s="55"/>
      <c r="BD589" s="55"/>
      <c r="BE589" s="55"/>
      <c r="BF589" s="55"/>
      <c r="BG589" s="55"/>
      <c r="BH589" s="55"/>
      <c r="BI589" s="55"/>
      <c r="BJ589" s="55"/>
      <c r="BK589" s="55"/>
      <c r="BL589" s="55"/>
      <c r="BM589" s="55"/>
      <c r="BN589" s="55"/>
      <c r="BO589" s="55"/>
      <c r="BP589" s="55"/>
      <c r="BQ589" s="55"/>
      <c r="BR589" s="55"/>
      <c r="BS589" s="55"/>
    </row>
    <row r="590" spans="4:71" outlineLevel="1" x14ac:dyDescent="0.2">
      <c r="J590" s="26"/>
      <c r="L590" s="55"/>
      <c r="M590" s="55"/>
      <c r="N590" s="55"/>
      <c r="O590" s="55"/>
      <c r="P590" s="55"/>
      <c r="Q590" s="55"/>
      <c r="R590" s="55"/>
      <c r="S590" s="55"/>
      <c r="T590" s="55"/>
      <c r="U590" s="55"/>
      <c r="V590" s="55"/>
      <c r="W590" s="55"/>
      <c r="X590" s="55"/>
      <c r="Y590" s="55"/>
      <c r="Z590" s="55"/>
      <c r="AA590" s="55"/>
      <c r="AB590" s="55"/>
      <c r="AC590" s="55"/>
      <c r="AD590" s="55"/>
      <c r="AE590" s="55"/>
      <c r="AF590" s="55"/>
      <c r="AG590" s="55"/>
      <c r="AH590" s="55"/>
      <c r="AI590" s="55"/>
      <c r="AJ590" s="55"/>
      <c r="AK590" s="55"/>
      <c r="AL590" s="55"/>
      <c r="AM590" s="55"/>
      <c r="AN590" s="55"/>
      <c r="AO590" s="55"/>
      <c r="AP590" s="55"/>
      <c r="AQ590" s="55"/>
      <c r="AR590" s="55"/>
      <c r="AS590" s="55"/>
      <c r="AT590" s="55"/>
      <c r="AU590" s="55"/>
      <c r="AV590" s="55"/>
      <c r="AW590" s="55"/>
      <c r="AX590" s="55"/>
      <c r="AY590" s="55"/>
      <c r="AZ590" s="55"/>
      <c r="BA590" s="55"/>
      <c r="BB590" s="55"/>
      <c r="BC590" s="55"/>
      <c r="BD590" s="55"/>
      <c r="BE590" s="55"/>
      <c r="BF590" s="55"/>
      <c r="BG590" s="55"/>
      <c r="BH590" s="55"/>
      <c r="BI590" s="55"/>
      <c r="BJ590" s="55"/>
      <c r="BK590" s="55"/>
      <c r="BL590" s="55"/>
      <c r="BM590" s="55"/>
      <c r="BN590" s="55"/>
      <c r="BO590" s="55"/>
      <c r="BP590" s="55"/>
      <c r="BQ590" s="55"/>
      <c r="BR590" s="55"/>
      <c r="BS590" s="55"/>
    </row>
    <row r="591" spans="4:71" outlineLevel="1" x14ac:dyDescent="0.2">
      <c r="J591" s="26"/>
      <c r="L591" s="55"/>
      <c r="M591" s="55"/>
      <c r="N591" s="55"/>
      <c r="O591" s="55"/>
      <c r="P591" s="55"/>
      <c r="Q591" s="55"/>
      <c r="R591" s="55"/>
      <c r="S591" s="55"/>
      <c r="T591" s="55"/>
      <c r="U591" s="55"/>
      <c r="V591" s="55"/>
      <c r="W591" s="55"/>
      <c r="X591" s="55"/>
      <c r="Y591" s="55"/>
      <c r="Z591" s="55"/>
      <c r="AA591" s="55"/>
      <c r="AB591" s="55"/>
      <c r="AC591" s="55"/>
      <c r="AD591" s="55"/>
      <c r="AE591" s="55"/>
      <c r="AF591" s="55"/>
      <c r="AG591" s="55"/>
      <c r="AH591" s="55"/>
      <c r="AI591" s="55"/>
      <c r="AJ591" s="55"/>
      <c r="AK591" s="55"/>
      <c r="AL591" s="55"/>
      <c r="AM591" s="55"/>
      <c r="AN591" s="55"/>
      <c r="AO591" s="55"/>
      <c r="AP591" s="55"/>
      <c r="AQ591" s="55"/>
      <c r="AR591" s="55"/>
      <c r="AS591" s="55"/>
      <c r="AT591" s="55"/>
      <c r="AU591" s="55"/>
      <c r="AV591" s="55"/>
      <c r="AW591" s="55"/>
      <c r="AX591" s="55"/>
      <c r="AY591" s="55"/>
      <c r="AZ591" s="55"/>
      <c r="BA591" s="55"/>
      <c r="BB591" s="55"/>
      <c r="BC591" s="55"/>
      <c r="BD591" s="55"/>
      <c r="BE591" s="55"/>
      <c r="BF591" s="55"/>
      <c r="BG591" s="55"/>
      <c r="BH591" s="55"/>
      <c r="BI591" s="55"/>
      <c r="BJ591" s="55"/>
      <c r="BK591" s="55"/>
      <c r="BL591" s="55"/>
      <c r="BM591" s="55"/>
      <c r="BN591" s="55"/>
      <c r="BO591" s="55"/>
      <c r="BP591" s="55"/>
      <c r="BQ591" s="55"/>
      <c r="BR591" s="55"/>
      <c r="BS591" s="55"/>
    </row>
    <row r="592" spans="4:71" outlineLevel="1" x14ac:dyDescent="0.2">
      <c r="J592" s="26"/>
      <c r="L592" s="55"/>
      <c r="M592" s="55"/>
      <c r="N592" s="55"/>
      <c r="O592" s="55"/>
      <c r="P592" s="55"/>
      <c r="Q592" s="55"/>
      <c r="R592" s="55"/>
      <c r="S592" s="55"/>
      <c r="T592" s="55"/>
      <c r="U592" s="55"/>
      <c r="V592" s="55"/>
      <c r="W592" s="55"/>
      <c r="X592" s="55"/>
      <c r="Y592" s="55"/>
      <c r="Z592" s="55"/>
      <c r="AA592" s="55"/>
      <c r="AB592" s="55"/>
      <c r="AC592" s="55"/>
      <c r="AD592" s="55"/>
      <c r="AE592" s="55"/>
      <c r="AF592" s="55"/>
      <c r="AG592" s="55"/>
      <c r="AH592" s="55"/>
      <c r="AI592" s="55"/>
      <c r="AJ592" s="55"/>
      <c r="AK592" s="55"/>
      <c r="AL592" s="55"/>
      <c r="AM592" s="55"/>
      <c r="AN592" s="55"/>
      <c r="AO592" s="55"/>
      <c r="AP592" s="55"/>
      <c r="AQ592" s="55"/>
      <c r="AR592" s="55"/>
      <c r="AS592" s="55"/>
      <c r="AT592" s="55"/>
      <c r="AU592" s="55"/>
      <c r="AV592" s="55"/>
      <c r="AW592" s="55"/>
      <c r="AX592" s="55"/>
      <c r="AY592" s="55"/>
      <c r="AZ592" s="55"/>
      <c r="BA592" s="55"/>
      <c r="BB592" s="55"/>
      <c r="BC592" s="55"/>
      <c r="BD592" s="55"/>
      <c r="BE592" s="55"/>
      <c r="BF592" s="55"/>
      <c r="BG592" s="55"/>
      <c r="BH592" s="55"/>
      <c r="BI592" s="55"/>
      <c r="BJ592" s="55"/>
      <c r="BK592" s="55"/>
      <c r="BL592" s="55"/>
      <c r="BM592" s="55"/>
      <c r="BN592" s="55"/>
      <c r="BO592" s="55"/>
      <c r="BP592" s="55"/>
      <c r="BQ592" s="55"/>
      <c r="BR592" s="55"/>
      <c r="BS592" s="55"/>
    </row>
    <row r="593" spans="10:71" outlineLevel="1" x14ac:dyDescent="0.2">
      <c r="J593" s="26"/>
      <c r="L593" s="55"/>
      <c r="M593" s="55"/>
      <c r="N593" s="55"/>
      <c r="O593" s="55"/>
      <c r="P593" s="55"/>
      <c r="Q593" s="55"/>
      <c r="R593" s="55"/>
      <c r="S593" s="55"/>
      <c r="T593" s="55"/>
      <c r="U593" s="55"/>
      <c r="V593" s="55"/>
      <c r="W593" s="55"/>
      <c r="X593" s="55"/>
      <c r="Y593" s="55"/>
      <c r="Z593" s="55"/>
      <c r="AA593" s="55"/>
      <c r="AB593" s="55"/>
      <c r="AC593" s="55"/>
      <c r="AD593" s="55"/>
      <c r="AE593" s="55"/>
      <c r="AF593" s="55"/>
      <c r="AG593" s="55"/>
      <c r="AH593" s="55"/>
      <c r="AI593" s="55"/>
      <c r="AJ593" s="55"/>
      <c r="AK593" s="55"/>
      <c r="AL593" s="55"/>
      <c r="AM593" s="55"/>
      <c r="AN593" s="55"/>
      <c r="AO593" s="55"/>
      <c r="AP593" s="55"/>
      <c r="AQ593" s="55"/>
      <c r="AR593" s="55"/>
      <c r="AS593" s="55"/>
      <c r="AT593" s="55"/>
      <c r="AU593" s="55"/>
      <c r="AV593" s="55"/>
      <c r="AW593" s="55"/>
      <c r="AX593" s="55"/>
      <c r="AY593" s="55"/>
      <c r="AZ593" s="55"/>
      <c r="BA593" s="55"/>
      <c r="BB593" s="55"/>
      <c r="BC593" s="55"/>
      <c r="BD593" s="55"/>
      <c r="BE593" s="55"/>
      <c r="BF593" s="55"/>
      <c r="BG593" s="55"/>
      <c r="BH593" s="55"/>
      <c r="BI593" s="55"/>
      <c r="BJ593" s="55"/>
      <c r="BK593" s="55"/>
      <c r="BL593" s="55"/>
      <c r="BM593" s="55"/>
      <c r="BN593" s="55"/>
      <c r="BO593" s="55"/>
      <c r="BP593" s="55"/>
      <c r="BQ593" s="55"/>
      <c r="BR593" s="55"/>
      <c r="BS593" s="55"/>
    </row>
    <row r="594" spans="10:71" outlineLevel="1" x14ac:dyDescent="0.2">
      <c r="J594" s="26"/>
      <c r="L594" s="55"/>
      <c r="M594" s="55"/>
      <c r="N594" s="55"/>
      <c r="O594" s="55"/>
      <c r="P594" s="55"/>
      <c r="Q594" s="55"/>
      <c r="R594" s="55"/>
      <c r="S594" s="55"/>
      <c r="T594" s="55"/>
      <c r="U594" s="55"/>
      <c r="V594" s="55"/>
      <c r="W594" s="55"/>
      <c r="X594" s="55"/>
      <c r="Y594" s="55"/>
      <c r="Z594" s="55"/>
      <c r="AA594" s="55"/>
      <c r="AB594" s="55"/>
      <c r="AC594" s="55"/>
      <c r="AD594" s="55"/>
      <c r="AE594" s="55"/>
      <c r="AF594" s="55"/>
      <c r="AG594" s="55"/>
      <c r="AH594" s="55"/>
      <c r="AI594" s="55"/>
      <c r="AJ594" s="55"/>
      <c r="AK594" s="55"/>
      <c r="AL594" s="55"/>
      <c r="AM594" s="55"/>
      <c r="AN594" s="55"/>
      <c r="AO594" s="55"/>
      <c r="AP594" s="55"/>
      <c r="AQ594" s="55"/>
      <c r="AR594" s="55"/>
      <c r="AS594" s="55"/>
      <c r="AT594" s="55"/>
      <c r="AU594" s="55"/>
      <c r="AV594" s="55"/>
      <c r="AW594" s="55"/>
      <c r="AX594" s="55"/>
      <c r="AY594" s="55"/>
      <c r="AZ594" s="55"/>
      <c r="BA594" s="55"/>
      <c r="BB594" s="55"/>
      <c r="BC594" s="55"/>
      <c r="BD594" s="55"/>
      <c r="BE594" s="55"/>
      <c r="BF594" s="55"/>
      <c r="BG594" s="55"/>
      <c r="BH594" s="55"/>
      <c r="BI594" s="55"/>
      <c r="BJ594" s="55"/>
      <c r="BK594" s="55"/>
      <c r="BL594" s="55"/>
      <c r="BM594" s="55"/>
      <c r="BN594" s="55"/>
      <c r="BO594" s="55"/>
      <c r="BP594" s="55"/>
      <c r="BQ594" s="55"/>
      <c r="BR594" s="55"/>
      <c r="BS594" s="55"/>
    </row>
    <row r="595" spans="10:71" outlineLevel="1" x14ac:dyDescent="0.2">
      <c r="J595" s="26"/>
      <c r="L595" s="55"/>
      <c r="M595" s="55"/>
      <c r="N595" s="55"/>
      <c r="O595" s="55"/>
      <c r="P595" s="55"/>
      <c r="Q595" s="55"/>
      <c r="R595" s="55"/>
      <c r="S595" s="55"/>
      <c r="T595" s="55"/>
      <c r="U595" s="55"/>
      <c r="V595" s="55"/>
      <c r="W595" s="55"/>
      <c r="X595" s="55"/>
      <c r="Y595" s="55"/>
      <c r="Z595" s="55"/>
      <c r="AA595" s="55"/>
      <c r="AB595" s="55"/>
      <c r="AC595" s="55"/>
      <c r="AD595" s="55"/>
      <c r="AE595" s="55"/>
      <c r="AF595" s="55"/>
      <c r="AG595" s="55"/>
      <c r="AH595" s="55"/>
      <c r="AI595" s="55"/>
      <c r="AJ595" s="55"/>
      <c r="AK595" s="55"/>
      <c r="AL595" s="55"/>
      <c r="AM595" s="55"/>
      <c r="AN595" s="55"/>
      <c r="AO595" s="55"/>
      <c r="AP595" s="55"/>
      <c r="AQ595" s="55"/>
      <c r="AR595" s="55"/>
      <c r="AS595" s="55"/>
      <c r="AT595" s="55"/>
      <c r="AU595" s="55"/>
      <c r="AV595" s="55"/>
      <c r="AW595" s="55"/>
      <c r="AX595" s="55"/>
      <c r="AY595" s="55"/>
      <c r="AZ595" s="55"/>
      <c r="BA595" s="55"/>
      <c r="BB595" s="55"/>
      <c r="BC595" s="55"/>
      <c r="BD595" s="55"/>
      <c r="BE595" s="55"/>
      <c r="BF595" s="55"/>
      <c r="BG595" s="55"/>
      <c r="BH595" s="55"/>
      <c r="BI595" s="55"/>
      <c r="BJ595" s="55"/>
      <c r="BK595" s="55"/>
      <c r="BL595" s="55"/>
      <c r="BM595" s="55"/>
      <c r="BN595" s="55"/>
      <c r="BO595" s="55"/>
      <c r="BP595" s="55"/>
      <c r="BQ595" s="55"/>
      <c r="BR595" s="55"/>
      <c r="BS595" s="55"/>
    </row>
    <row r="596" spans="10:71" x14ac:dyDescent="0.2">
      <c r="J596" s="26"/>
      <c r="L596" s="55"/>
      <c r="M596" s="55"/>
      <c r="N596" s="55"/>
      <c r="O596" s="55"/>
      <c r="P596" s="55"/>
      <c r="Q596" s="55"/>
      <c r="R596" s="55"/>
      <c r="S596" s="55"/>
      <c r="T596" s="55"/>
      <c r="U596" s="55"/>
      <c r="V596" s="55"/>
      <c r="W596" s="55"/>
      <c r="X596" s="55"/>
      <c r="Y596" s="55"/>
      <c r="Z596" s="55"/>
      <c r="AA596" s="55"/>
      <c r="AB596" s="55"/>
      <c r="AC596" s="55"/>
      <c r="AD596" s="55"/>
      <c r="AE596" s="55"/>
      <c r="AF596" s="55"/>
      <c r="AG596" s="55"/>
      <c r="AH596" s="55"/>
      <c r="AI596" s="55"/>
      <c r="AJ596" s="55"/>
      <c r="AK596" s="55"/>
      <c r="AL596" s="55"/>
      <c r="AM596" s="55"/>
      <c r="AN596" s="55"/>
      <c r="AO596" s="55"/>
      <c r="AP596" s="55"/>
      <c r="AQ596" s="55"/>
      <c r="AR596" s="55"/>
      <c r="AS596" s="55"/>
      <c r="AT596" s="55"/>
      <c r="AU596" s="55"/>
      <c r="AV596" s="55"/>
      <c r="AW596" s="55"/>
      <c r="AX596" s="55"/>
      <c r="AY596" s="55"/>
      <c r="AZ596" s="55"/>
      <c r="BA596" s="55"/>
      <c r="BB596" s="55"/>
      <c r="BC596" s="55"/>
      <c r="BD596" s="55"/>
      <c r="BE596" s="55"/>
      <c r="BF596" s="55"/>
      <c r="BG596" s="55"/>
      <c r="BH596" s="55"/>
      <c r="BI596" s="55"/>
      <c r="BJ596" s="55"/>
      <c r="BK596" s="55"/>
      <c r="BL596" s="55"/>
      <c r="BM596" s="55"/>
      <c r="BN596" s="55"/>
      <c r="BO596" s="55"/>
      <c r="BP596" s="55"/>
      <c r="BQ596" s="55"/>
      <c r="BR596" s="55"/>
      <c r="BS596" s="55"/>
    </row>
  </sheetData>
  <mergeCells count="4">
    <mergeCell ref="B7:E7"/>
    <mergeCell ref="B86:E86"/>
    <mergeCell ref="B125:E125"/>
    <mergeCell ref="B420:E420"/>
  </mergeCells>
  <dataValidations count="1">
    <dataValidation type="list" allowBlank="1" showInputMessage="1" showErrorMessage="1" sqref="G80" xr:uid="{CBCB50FE-8C59-4B7C-B048-98946D4F7A53}">
      <formula1>"Yes, No"</formula1>
    </dataValidation>
  </dataValidations>
  <pageMargins left="0.7" right="0.7" top="0.75" bottom="0.75" header="0.3" footer="0.3"/>
</worksheet>
</file>

<file path=xl/worksheets/sheet1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2DDC3-DF80-41BA-8ADD-8EE1407E9D6C}">
  <sheetPr codeName="Sheet12"/>
  <dimension ref="A1:CP562"/>
  <sheetViews>
    <sheetView showGridLines="0" zoomScale="80" zoomScaleNormal="80" workbookViewId="0">
      <pane xSplit="11" ySplit="5" topLeftCell="L520" activePane="bottomRight" state="frozen"/>
      <selection activeCell="D42" sqref="D42"/>
      <selection pane="topRight" activeCell="D42" sqref="D42"/>
      <selection pane="bottomLeft" activeCell="D42" sqref="D42"/>
      <selection pane="bottomRight" activeCell="D574" sqref="D574"/>
    </sheetView>
  </sheetViews>
  <sheetFormatPr baseColWidth="10" defaultColWidth="0" defaultRowHeight="15" outlineLevelRow="1" x14ac:dyDescent="0.2"/>
  <cols>
    <col min="1" max="3" width="5.6640625" customWidth="1"/>
    <col min="4" max="10" width="14.6640625" customWidth="1"/>
    <col min="11" max="11" width="17.6640625" style="7" customWidth="1"/>
    <col min="12" max="93" width="9.1640625" customWidth="1"/>
    <col min="94" max="94" width="0" style="6" hidden="1" customWidth="1"/>
    <col min="95" max="16384" width="9.1640625" style="6" hidden="1"/>
  </cols>
  <sheetData>
    <row r="1" spans="1:93" s="5" customFormat="1" ht="20.25" customHeight="1" x14ac:dyDescent="0.2">
      <c r="A1" s="82" t="s">
        <v>387</v>
      </c>
      <c r="B1" s="82"/>
      <c r="C1" s="82"/>
      <c r="D1" s="82"/>
      <c r="E1" s="82"/>
      <c r="F1" s="82"/>
      <c r="G1" s="82"/>
      <c r="H1" s="82"/>
      <c r="I1" s="82"/>
      <c r="J1" s="82"/>
      <c r="K1" s="83"/>
      <c r="L1" s="82"/>
      <c r="M1" s="82"/>
      <c r="N1" s="82"/>
      <c r="O1" s="82"/>
      <c r="P1" s="82"/>
      <c r="Q1" s="82"/>
      <c r="R1" s="82"/>
      <c r="S1" s="82"/>
      <c r="T1" s="82"/>
      <c r="U1" s="82"/>
      <c r="V1" s="82"/>
      <c r="W1" s="82"/>
      <c r="X1" s="82"/>
      <c r="Y1" s="82"/>
      <c r="Z1" s="82"/>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row>
    <row r="2" spans="1:93" ht="9" customHeight="1" x14ac:dyDescent="0.2">
      <c r="A2" s="6"/>
      <c r="B2" s="6"/>
      <c r="C2" s="6"/>
      <c r="D2" s="6"/>
      <c r="E2" s="6"/>
      <c r="F2" s="6"/>
      <c r="G2" s="6"/>
      <c r="H2" s="6"/>
      <c r="I2" s="6"/>
      <c r="J2" s="6"/>
      <c r="K2" s="84"/>
      <c r="L2" s="6"/>
      <c r="M2" s="6"/>
      <c r="N2" s="6"/>
      <c r="O2" s="6"/>
      <c r="P2" s="6"/>
      <c r="Q2" s="6"/>
      <c r="R2" s="6"/>
      <c r="S2" s="6"/>
      <c r="T2" s="6"/>
      <c r="U2" s="6"/>
      <c r="V2" s="6"/>
      <c r="W2" s="6"/>
      <c r="X2" s="6"/>
      <c r="Y2" s="6"/>
      <c r="Z2" s="6"/>
    </row>
    <row r="3" spans="1:93" x14ac:dyDescent="0.2">
      <c r="L3" s="3">
        <f t="array" ref="L3:BS3">IA_Periods</f>
        <v>1</v>
      </c>
      <c r="M3" s="3">
        <v>2</v>
      </c>
      <c r="N3" s="3">
        <v>3</v>
      </c>
      <c r="O3" s="3">
        <v>4</v>
      </c>
      <c r="P3" s="3">
        <v>5</v>
      </c>
      <c r="Q3" s="3">
        <v>6</v>
      </c>
      <c r="R3" s="3">
        <v>7</v>
      </c>
      <c r="S3" s="3">
        <v>8</v>
      </c>
      <c r="T3" s="3">
        <v>9</v>
      </c>
      <c r="U3" s="3">
        <v>10</v>
      </c>
      <c r="V3" s="3">
        <v>11</v>
      </c>
      <c r="W3" s="3">
        <v>12</v>
      </c>
      <c r="X3" s="3">
        <v>13</v>
      </c>
      <c r="Y3" s="3">
        <v>14</v>
      </c>
      <c r="Z3" s="3">
        <v>15</v>
      </c>
      <c r="AA3" s="3">
        <v>16</v>
      </c>
      <c r="AB3" s="3">
        <v>17</v>
      </c>
      <c r="AC3" s="3">
        <v>18</v>
      </c>
      <c r="AD3" s="3">
        <v>19</v>
      </c>
      <c r="AE3" s="3">
        <v>20</v>
      </c>
      <c r="AF3" s="3">
        <v>21</v>
      </c>
      <c r="AG3" s="3">
        <v>22</v>
      </c>
      <c r="AH3" s="3">
        <v>23</v>
      </c>
      <c r="AI3" s="3">
        <v>24</v>
      </c>
      <c r="AJ3" s="3">
        <v>25</v>
      </c>
      <c r="AK3" s="3">
        <v>26</v>
      </c>
      <c r="AL3" s="3">
        <v>27</v>
      </c>
      <c r="AM3" s="3">
        <v>28</v>
      </c>
      <c r="AN3" s="3">
        <v>29</v>
      </c>
      <c r="AO3" s="3">
        <v>30</v>
      </c>
      <c r="AP3" s="3">
        <v>31</v>
      </c>
      <c r="AQ3" s="3">
        <v>32</v>
      </c>
      <c r="AR3" s="3">
        <v>33</v>
      </c>
      <c r="AS3" s="3">
        <v>34</v>
      </c>
      <c r="AT3" s="3">
        <v>35</v>
      </c>
      <c r="AU3" s="3">
        <v>36</v>
      </c>
      <c r="AV3" s="3">
        <v>37</v>
      </c>
      <c r="AW3" s="3">
        <v>38</v>
      </c>
      <c r="AX3" s="3">
        <v>39</v>
      </c>
      <c r="AY3" s="3">
        <v>40</v>
      </c>
      <c r="AZ3" s="3">
        <v>41</v>
      </c>
      <c r="BA3" s="3">
        <v>42</v>
      </c>
      <c r="BB3" s="3">
        <v>43</v>
      </c>
      <c r="BC3" s="3">
        <v>44</v>
      </c>
      <c r="BD3" s="3">
        <v>45</v>
      </c>
      <c r="BE3" s="3">
        <v>46</v>
      </c>
      <c r="BF3" s="3">
        <v>47</v>
      </c>
      <c r="BG3" s="3">
        <v>48</v>
      </c>
      <c r="BH3" s="3">
        <v>49</v>
      </c>
      <c r="BI3" s="3">
        <v>50</v>
      </c>
      <c r="BJ3" s="3">
        <v>51</v>
      </c>
      <c r="BK3" s="3">
        <v>52</v>
      </c>
      <c r="BL3" s="3">
        <v>53</v>
      </c>
      <c r="BM3" s="3">
        <v>54</v>
      </c>
      <c r="BN3" s="3">
        <v>55</v>
      </c>
      <c r="BO3" s="3">
        <v>56</v>
      </c>
      <c r="BP3" s="3">
        <v>57</v>
      </c>
      <c r="BQ3" s="3">
        <v>58</v>
      </c>
      <c r="BR3" s="3">
        <v>59</v>
      </c>
      <c r="BS3" s="3">
        <v>60</v>
      </c>
    </row>
    <row r="4" spans="1:93" x14ac:dyDescent="0.2">
      <c r="L4" s="4" cm="1">
        <f t="array" ref="L4:BS4">IA_Years</f>
        <v>2013</v>
      </c>
      <c r="M4">
        <v>2014</v>
      </c>
      <c r="N4">
        <v>2015</v>
      </c>
      <c r="O4">
        <v>2016</v>
      </c>
      <c r="P4">
        <v>2017</v>
      </c>
      <c r="Q4">
        <v>2018</v>
      </c>
      <c r="R4">
        <v>2019</v>
      </c>
      <c r="S4">
        <v>2020</v>
      </c>
      <c r="T4" s="76">
        <v>2021</v>
      </c>
      <c r="U4">
        <v>2022</v>
      </c>
      <c r="V4">
        <v>2023</v>
      </c>
      <c r="W4">
        <v>2024</v>
      </c>
      <c r="X4">
        <v>2025</v>
      </c>
      <c r="Y4">
        <v>2026</v>
      </c>
      <c r="Z4">
        <v>2027</v>
      </c>
      <c r="AA4">
        <v>2028</v>
      </c>
      <c r="AB4">
        <v>2029</v>
      </c>
      <c r="AC4">
        <v>2030</v>
      </c>
      <c r="AD4">
        <v>2031</v>
      </c>
      <c r="AE4">
        <v>2032</v>
      </c>
      <c r="AF4">
        <v>2033</v>
      </c>
      <c r="AG4">
        <v>2034</v>
      </c>
      <c r="AH4">
        <v>2035</v>
      </c>
      <c r="AI4">
        <v>2036</v>
      </c>
      <c r="AJ4">
        <v>2037</v>
      </c>
      <c r="AK4">
        <v>2038</v>
      </c>
      <c r="AL4">
        <v>2039</v>
      </c>
      <c r="AM4">
        <v>2040</v>
      </c>
      <c r="AN4">
        <v>2041</v>
      </c>
      <c r="AO4">
        <v>2042</v>
      </c>
      <c r="AP4">
        <v>2043</v>
      </c>
      <c r="AQ4">
        <v>2044</v>
      </c>
      <c r="AR4">
        <v>2045</v>
      </c>
      <c r="AS4">
        <v>2046</v>
      </c>
      <c r="AT4">
        <v>2047</v>
      </c>
      <c r="AU4">
        <v>2048</v>
      </c>
      <c r="AV4">
        <v>2049</v>
      </c>
      <c r="AW4">
        <v>2050</v>
      </c>
      <c r="AX4">
        <v>2051</v>
      </c>
      <c r="AY4">
        <v>2052</v>
      </c>
      <c r="AZ4">
        <v>2053</v>
      </c>
      <c r="BA4">
        <v>2054</v>
      </c>
      <c r="BB4">
        <v>2055</v>
      </c>
      <c r="BC4">
        <v>2056</v>
      </c>
      <c r="BD4">
        <v>2057</v>
      </c>
      <c r="BE4">
        <v>2058</v>
      </c>
      <c r="BF4">
        <v>2059</v>
      </c>
      <c r="BG4">
        <v>2060</v>
      </c>
      <c r="BH4">
        <v>2061</v>
      </c>
      <c r="BI4">
        <v>2062</v>
      </c>
      <c r="BJ4">
        <v>2063</v>
      </c>
      <c r="BK4">
        <v>2064</v>
      </c>
      <c r="BL4">
        <v>2065</v>
      </c>
      <c r="BM4">
        <v>2066</v>
      </c>
      <c r="BN4">
        <v>2067</v>
      </c>
      <c r="BO4">
        <v>2068</v>
      </c>
      <c r="BP4">
        <v>2069</v>
      </c>
      <c r="BQ4">
        <v>2070</v>
      </c>
      <c r="BR4">
        <v>2071</v>
      </c>
      <c r="BS4">
        <v>2072</v>
      </c>
    </row>
    <row r="5" spans="1:93" x14ac:dyDescent="0.2">
      <c r="L5" s="3">
        <f t="array" ref="L5:BS5">+IA_Days</f>
        <v>365</v>
      </c>
      <c r="M5" s="3">
        <v>365</v>
      </c>
      <c r="N5" s="3">
        <v>365</v>
      </c>
      <c r="O5" s="3">
        <v>366</v>
      </c>
      <c r="P5" s="3">
        <v>365</v>
      </c>
      <c r="Q5" s="3">
        <v>365</v>
      </c>
      <c r="R5" s="3">
        <v>365</v>
      </c>
      <c r="S5" s="3">
        <v>366</v>
      </c>
      <c r="T5" s="3">
        <v>365</v>
      </c>
      <c r="U5" s="3">
        <v>365</v>
      </c>
      <c r="V5" s="3">
        <v>365</v>
      </c>
      <c r="W5" s="3">
        <v>366</v>
      </c>
      <c r="X5" s="3">
        <v>365</v>
      </c>
      <c r="Y5" s="3">
        <v>365</v>
      </c>
      <c r="Z5" s="3">
        <v>365</v>
      </c>
      <c r="AA5" s="3">
        <v>366</v>
      </c>
      <c r="AB5" s="3">
        <v>365</v>
      </c>
      <c r="AC5" s="3">
        <v>365</v>
      </c>
      <c r="AD5" s="3">
        <v>365</v>
      </c>
      <c r="AE5" s="3">
        <v>366</v>
      </c>
      <c r="AF5" s="3">
        <v>365</v>
      </c>
      <c r="AG5" s="3">
        <v>365</v>
      </c>
      <c r="AH5" s="3">
        <v>365</v>
      </c>
      <c r="AI5" s="3">
        <v>366</v>
      </c>
      <c r="AJ5" s="3">
        <v>365</v>
      </c>
      <c r="AK5" s="3">
        <v>365</v>
      </c>
      <c r="AL5" s="3">
        <v>365</v>
      </c>
      <c r="AM5" s="3">
        <v>366</v>
      </c>
      <c r="AN5" s="3">
        <v>365</v>
      </c>
      <c r="AO5" s="3">
        <v>365</v>
      </c>
      <c r="AP5" s="3">
        <v>365</v>
      </c>
      <c r="AQ5" s="3">
        <v>366</v>
      </c>
      <c r="AR5" s="3">
        <v>365</v>
      </c>
      <c r="AS5" s="3">
        <v>365</v>
      </c>
      <c r="AT5" s="3">
        <v>365</v>
      </c>
      <c r="AU5" s="3">
        <v>366</v>
      </c>
      <c r="AV5" s="3">
        <v>365</v>
      </c>
      <c r="AW5" s="3">
        <v>365</v>
      </c>
      <c r="AX5" s="3">
        <v>365</v>
      </c>
      <c r="AY5" s="3">
        <v>366</v>
      </c>
      <c r="AZ5" s="3">
        <v>365</v>
      </c>
      <c r="BA5" s="3">
        <v>365</v>
      </c>
      <c r="BB5" s="3">
        <v>365</v>
      </c>
      <c r="BC5" s="3">
        <v>366</v>
      </c>
      <c r="BD5" s="3">
        <v>365</v>
      </c>
      <c r="BE5" s="3">
        <v>365</v>
      </c>
      <c r="BF5" s="3">
        <v>365</v>
      </c>
      <c r="BG5" s="3">
        <v>366</v>
      </c>
      <c r="BH5" s="3">
        <v>365</v>
      </c>
      <c r="BI5" s="3">
        <v>365</v>
      </c>
      <c r="BJ5" s="3">
        <v>365</v>
      </c>
      <c r="BK5" s="3">
        <v>366</v>
      </c>
      <c r="BL5" s="3">
        <v>365</v>
      </c>
      <c r="BM5" s="3">
        <v>365</v>
      </c>
      <c r="BN5" s="3">
        <v>365</v>
      </c>
      <c r="BO5" s="3">
        <v>366</v>
      </c>
      <c r="BP5" s="3">
        <v>365</v>
      </c>
      <c r="BQ5" s="3">
        <v>365</v>
      </c>
      <c r="BR5" s="3">
        <v>365</v>
      </c>
      <c r="BS5" s="3">
        <v>366</v>
      </c>
    </row>
    <row r="6" spans="1:93" ht="16" thickBot="1" x14ac:dyDescent="0.25"/>
    <row r="7" spans="1:93" ht="22" thickBot="1" x14ac:dyDescent="0.25">
      <c r="A7" s="8"/>
      <c r="B7" s="221" t="str">
        <f>HM_ZD_Moho!B7</f>
        <v>Modalités fiscales</v>
      </c>
      <c r="C7" s="222"/>
      <c r="D7" s="222"/>
      <c r="E7" s="223"/>
      <c r="F7" s="9"/>
      <c r="G7" s="9"/>
      <c r="H7" s="9"/>
      <c r="I7" s="9"/>
      <c r="J7" s="48"/>
      <c r="K7" s="10"/>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row>
    <row r="8" spans="1:93" outlineLevel="1" x14ac:dyDescent="0.2">
      <c r="J8" s="26"/>
    </row>
    <row r="9" spans="1:93" outlineLevel="1" x14ac:dyDescent="0.2">
      <c r="C9" s="11" t="s">
        <v>6</v>
      </c>
      <c r="J9" s="26"/>
    </row>
    <row r="10" spans="1:93" outlineLevel="1" x14ac:dyDescent="0.2">
      <c r="D10" t="str">
        <f>CHOOSE(db_ML_selected,'Liste Traduction'!B462,'Liste Traduction'!C462)</f>
        <v>Date d'entrée en vigueur CPP KLL II</v>
      </c>
      <c r="G10" s="36" t="d">
        <v>2020-01-01</v>
      </c>
      <c r="H10" s="16" t="s">
        <v>388</v>
      </c>
      <c r="J10" s="26"/>
    </row>
    <row r="11" spans="1:93" outlineLevel="1" x14ac:dyDescent="0.2">
      <c r="D11" t="str">
        <f>CHOOSE(db_ML_selected,'Liste Traduction'!B463,'Liste Traduction'!C463)</f>
        <v>Date d'entrée en vigueur CPP PNGF 2008</v>
      </c>
      <c r="G11" s="36" t="d">
        <v>2010-01-01</v>
      </c>
      <c r="H11" s="16" t="s">
        <v>708</v>
      </c>
      <c r="J11" s="26"/>
    </row>
    <row r="12" spans="1:93" outlineLevel="1" x14ac:dyDescent="0.2">
      <c r="D12" t="str">
        <f>HM_ZD_Moho!D11</f>
        <v>Décalage date</v>
      </c>
      <c r="G12" s="40">
        <v>0</v>
      </c>
      <c r="H12" s="16" t="s">
        <v>389</v>
      </c>
      <c r="J12" s="26"/>
    </row>
    <row r="13" spans="1:93" outlineLevel="1" x14ac:dyDescent="0.2">
      <c r="J13" s="26"/>
    </row>
    <row r="14" spans="1:93" outlineLevel="1" x14ac:dyDescent="0.2">
      <c r="C14" s="11" t="str">
        <f>HM_ZD_Moho!C13</f>
        <v>Frais</v>
      </c>
      <c r="J14" s="26"/>
    </row>
    <row r="15" spans="1:93" outlineLevel="1" x14ac:dyDescent="0.2">
      <c r="D15" t="str">
        <f>HM_ZD_Moho!D14</f>
        <v>Coûts PID</v>
      </c>
      <c r="G15" s="21">
        <v>0.01</v>
      </c>
      <c r="H15" s="16" t="s">
        <v>68</v>
      </c>
      <c r="J15" s="26"/>
    </row>
    <row r="16" spans="1:93" outlineLevel="1" x14ac:dyDescent="0.2">
      <c r="J16" s="26"/>
    </row>
    <row r="17" spans="3:10" outlineLevel="1" x14ac:dyDescent="0.2">
      <c r="J17" s="26"/>
    </row>
    <row r="18" spans="3:10" outlineLevel="1" x14ac:dyDescent="0.2">
      <c r="C18" s="11" t="str">
        <f>HM_ZD_Moho!C17</f>
        <v>Redevance</v>
      </c>
      <c r="J18" s="26"/>
    </row>
    <row r="19" spans="3:10" outlineLevel="1" x14ac:dyDescent="0.2">
      <c r="J19" s="26"/>
    </row>
    <row r="20" spans="3:10" outlineLevel="1" x14ac:dyDescent="0.2">
      <c r="D20" t="str">
        <f>HM_ZD_Moho!D19</f>
        <v>Pétrole</v>
      </c>
      <c r="G20" s="21">
        <v>0.15</v>
      </c>
      <c r="H20" s="16" t="s">
        <v>72</v>
      </c>
      <c r="J20" s="26"/>
    </row>
    <row r="21" spans="3:10" outlineLevel="1" x14ac:dyDescent="0.2">
      <c r="D21" t="str">
        <f>HM_ZD_Moho!D20</f>
        <v>Gaz</v>
      </c>
      <c r="G21" s="21">
        <v>0.15</v>
      </c>
      <c r="H21" s="16" t="s">
        <v>73</v>
      </c>
      <c r="J21" s="26"/>
    </row>
    <row r="22" spans="3:10" outlineLevel="1" x14ac:dyDescent="0.2">
      <c r="J22" s="26"/>
    </row>
    <row r="23" spans="3:10" outlineLevel="1" x14ac:dyDescent="0.2">
      <c r="J23" s="26"/>
    </row>
    <row r="24" spans="3:10" outlineLevel="1" x14ac:dyDescent="0.2">
      <c r="C24" s="11" t="str">
        <f>HM_ZD_Moho!C23</f>
        <v>Récupération des coûts</v>
      </c>
      <c r="J24" s="26"/>
    </row>
    <row r="25" spans="3:10" outlineLevel="1" x14ac:dyDescent="0.2">
      <c r="J25" s="26"/>
    </row>
    <row r="26" spans="3:10" outlineLevel="1" x14ac:dyDescent="0.2">
      <c r="D26" t="str">
        <f>HM_ZD_Moho!D25</f>
        <v>Cost Stop</v>
      </c>
      <c r="F26" s="38" t="s">
        <v>75</v>
      </c>
      <c r="G26" s="38" t="s">
        <v>77</v>
      </c>
      <c r="J26" s="26"/>
    </row>
    <row r="27" spans="3:10" outlineLevel="1" x14ac:dyDescent="0.2">
      <c r="C27" t="str">
        <f>HM_ZD_Moho!C26</f>
        <v>(% de la prod. brute @min entre PF ou PH)</v>
      </c>
      <c r="F27" s="34" t="d">
        <v>2020-01-01</v>
      </c>
      <c r="G27" s="21">
        <v>0.5</v>
      </c>
      <c r="J27" s="26"/>
    </row>
    <row r="28" spans="3:10" outlineLevel="1" x14ac:dyDescent="0.2">
      <c r="D28" s="39"/>
      <c r="F28" s="16" t="s">
        <v>390</v>
      </c>
      <c r="G28" s="16" t="s">
        <v>372</v>
      </c>
      <c r="J28" s="26"/>
    </row>
    <row r="29" spans="3:10" outlineLevel="1" x14ac:dyDescent="0.2">
      <c r="F29" s="6"/>
      <c r="G29" s="6"/>
      <c r="J29" s="26"/>
    </row>
    <row r="30" spans="3:10" outlineLevel="1" x14ac:dyDescent="0.2">
      <c r="D30" t="s">
        <v>709</v>
      </c>
      <c r="E30" s="11"/>
      <c r="F30" s="87" t="s">
        <v>710</v>
      </c>
      <c r="J30" s="26"/>
    </row>
    <row r="31" spans="3:10" outlineLevel="1" x14ac:dyDescent="0.2">
      <c r="F31" s="6"/>
      <c r="G31" s="6"/>
      <c r="J31" s="26"/>
    </row>
    <row r="32" spans="3:10" outlineLevel="1" x14ac:dyDescent="0.2">
      <c r="D32" t="str">
        <f>HM_ZD_Moho!D37</f>
        <v>Cost Oil garanti (COG)</v>
      </c>
      <c r="J32" s="26"/>
    </row>
    <row r="33" spans="3:10" outlineLevel="1" x14ac:dyDescent="0.2">
      <c r="D33" t="str">
        <f>HM_ZD_Moho!D38</f>
        <v>(% de la production brute @PF)</v>
      </c>
      <c r="F33" s="34" t="d">
        <f>F27</f>
        <v>2020-01-01</v>
      </c>
      <c r="G33" s="21">
        <v>0.25</v>
      </c>
      <c r="J33" s="26"/>
    </row>
    <row r="34" spans="3:10" outlineLevel="1" x14ac:dyDescent="0.2">
      <c r="F34" s="16" t="s">
        <v>83</v>
      </c>
      <c r="G34" s="16" t="s">
        <v>84</v>
      </c>
      <c r="J34" s="26"/>
    </row>
    <row r="35" spans="3:10" outlineLevel="1" x14ac:dyDescent="0.2">
      <c r="J35" s="26"/>
    </row>
    <row r="36" spans="3:10" outlineLevel="1" x14ac:dyDescent="0.2">
      <c r="D36" t="str">
        <f>HM_ZD_Moho!D42</f>
        <v>Intérêts sur les coûts reportés</v>
      </c>
      <c r="G36" s="21">
        <v>0</v>
      </c>
      <c r="H36" s="16" t="s">
        <v>362</v>
      </c>
      <c r="J36" s="26"/>
    </row>
    <row r="37" spans="3:10" outlineLevel="1" x14ac:dyDescent="0.2">
      <c r="J37" s="26"/>
    </row>
    <row r="38" spans="3:10" outlineLevel="1" x14ac:dyDescent="0.2">
      <c r="J38" s="26"/>
    </row>
    <row r="39" spans="3:10" outlineLevel="1" x14ac:dyDescent="0.2">
      <c r="J39" s="26"/>
    </row>
    <row r="40" spans="3:10" outlineLevel="1" x14ac:dyDescent="0.2">
      <c r="C40" s="11" t="str">
        <f>HM_ZD_Moho!C46</f>
        <v>Excess Cost Oil (ECO)</v>
      </c>
      <c r="F40" s="33" t="s">
        <v>92</v>
      </c>
      <c r="G40" s="33" t="s">
        <v>93</v>
      </c>
      <c r="H40" s="33"/>
      <c r="I40" s="33"/>
      <c r="J40" s="26"/>
    </row>
    <row r="41" spans="3:10" outlineLevel="1" x14ac:dyDescent="0.2">
      <c r="F41" s="42" t="s">
        <v>90</v>
      </c>
      <c r="G41" s="42" t="s">
        <v>90</v>
      </c>
      <c r="H41" s="33"/>
      <c r="I41" s="33"/>
      <c r="J41" s="26"/>
    </row>
    <row r="42" spans="3:10" outlineLevel="1" x14ac:dyDescent="0.2">
      <c r="F42" s="37">
        <v>0.5</v>
      </c>
      <c r="G42" s="41">
        <f>1-F42</f>
        <v>0.5</v>
      </c>
      <c r="H42" s="33"/>
      <c r="I42" s="33"/>
      <c r="J42" s="26"/>
    </row>
    <row r="43" spans="3:10" outlineLevel="1" x14ac:dyDescent="0.2">
      <c r="F43" s="16" t="s">
        <v>373</v>
      </c>
      <c r="G43" s="16" t="s">
        <v>374</v>
      </c>
      <c r="H43" s="33"/>
      <c r="I43" s="33"/>
      <c r="J43" s="26"/>
    </row>
    <row r="44" spans="3:10" outlineLevel="1" x14ac:dyDescent="0.2">
      <c r="F44" s="33"/>
      <c r="G44" s="33"/>
      <c r="H44" s="33"/>
      <c r="I44" s="33"/>
      <c r="J44" s="26"/>
    </row>
    <row r="45" spans="3:10" outlineLevel="1" x14ac:dyDescent="0.2">
      <c r="J45" s="26"/>
    </row>
    <row r="46" spans="3:10" outlineLevel="1" x14ac:dyDescent="0.2">
      <c r="C46" s="11" t="str">
        <f>HM_ZA_Nkossa!C49</f>
        <v>Super Profit Oil (SPO)</v>
      </c>
      <c r="F46" s="33" t="s">
        <v>101</v>
      </c>
      <c r="G46" s="33" t="s">
        <v>102</v>
      </c>
      <c r="H46" s="6"/>
      <c r="J46" s="26"/>
    </row>
    <row r="47" spans="3:10" outlineLevel="1" x14ac:dyDescent="0.2">
      <c r="D47" t="str">
        <f>HM_ZA_Nkossa!D50</f>
        <v>(applicable si PF&gt;PH)</v>
      </c>
      <c r="F47" s="42" t="s">
        <v>90</v>
      </c>
      <c r="G47" s="42" t="s">
        <v>90</v>
      </c>
      <c r="H47" s="6"/>
      <c r="J47" s="26"/>
    </row>
    <row r="48" spans="3:10" outlineLevel="1" x14ac:dyDescent="0.2">
      <c r="F48" s="37">
        <v>0.66</v>
      </c>
      <c r="G48" s="41">
        <f>1-F48</f>
        <v>0.33999999999999997</v>
      </c>
      <c r="H48" s="6"/>
      <c r="J48" s="26"/>
    </row>
    <row r="49" spans="3:10" outlineLevel="1" x14ac:dyDescent="0.2">
      <c r="F49" s="16" t="s">
        <v>375</v>
      </c>
      <c r="G49" s="16" t="s">
        <v>376</v>
      </c>
      <c r="H49" s="6"/>
      <c r="J49" s="26"/>
    </row>
    <row r="50" spans="3:10" outlineLevel="1" x14ac:dyDescent="0.2">
      <c r="F50" s="6"/>
      <c r="G50" s="6"/>
      <c r="H50" s="6"/>
      <c r="J50" s="26"/>
    </row>
    <row r="51" spans="3:10" outlineLevel="1" x14ac:dyDescent="0.2">
      <c r="J51" s="26"/>
    </row>
    <row r="52" spans="3:10" outlineLevel="1" x14ac:dyDescent="0.2">
      <c r="J52" s="26"/>
    </row>
    <row r="53" spans="3:10" outlineLevel="1" x14ac:dyDescent="0.2">
      <c r="C53" s="11" t="str">
        <f>HM_ZD_Moho!C64</f>
        <v>Partage du profit</v>
      </c>
      <c r="F53" s="47" t="s">
        <v>75</v>
      </c>
      <c r="G53" s="33" t="s">
        <v>377</v>
      </c>
      <c r="H53" s="33" t="s">
        <v>378</v>
      </c>
      <c r="J53" s="26"/>
    </row>
    <row r="54" spans="3:10" outlineLevel="1" x14ac:dyDescent="0.2">
      <c r="F54" s="81" t="s">
        <v>606</v>
      </c>
      <c r="G54" s="42" t="s">
        <v>90</v>
      </c>
      <c r="H54" s="42" t="s">
        <v>90</v>
      </c>
      <c r="J54" s="26"/>
    </row>
    <row r="55" spans="3:10" outlineLevel="1" x14ac:dyDescent="0.2">
      <c r="F55" s="88">
        <v>2010</v>
      </c>
      <c r="G55" s="37">
        <v>0.35</v>
      </c>
      <c r="H55" s="41">
        <f>1-G55</f>
        <v>0.65</v>
      </c>
      <c r="J55" s="26"/>
    </row>
    <row r="56" spans="3:10" outlineLevel="1" x14ac:dyDescent="0.2">
      <c r="F56" s="88">
        <v>2020</v>
      </c>
      <c r="G56" s="37">
        <v>0.5</v>
      </c>
      <c r="H56" s="41">
        <f>1-G56</f>
        <v>0.5</v>
      </c>
      <c r="J56" s="26"/>
    </row>
    <row r="57" spans="3:10" outlineLevel="1" x14ac:dyDescent="0.2">
      <c r="G57" s="16" t="s">
        <v>109</v>
      </c>
      <c r="H57" s="16" t="s">
        <v>110</v>
      </c>
      <c r="J57" s="26"/>
    </row>
    <row r="58" spans="3:10" outlineLevel="1" x14ac:dyDescent="0.2">
      <c r="J58" s="26"/>
    </row>
    <row r="59" spans="3:10" outlineLevel="1" x14ac:dyDescent="0.2">
      <c r="J59" s="26"/>
    </row>
    <row r="60" spans="3:10" outlineLevel="1" x14ac:dyDescent="0.2">
      <c r="C60" s="11" t="str">
        <f>HM_ZD_Moho!C76</f>
        <v>Prix fiscal spécifique</v>
      </c>
      <c r="F60" s="38" t="s">
        <v>75</v>
      </c>
      <c r="G60" s="42" t="s">
        <v>46</v>
      </c>
      <c r="J60" s="26"/>
    </row>
    <row r="61" spans="3:10" outlineLevel="1" x14ac:dyDescent="0.2">
      <c r="D61" t="str">
        <f>HM_ZD_Moho!D77</f>
        <v>Prix Haut (PH)</v>
      </c>
      <c r="F61" s="36" t="d">
        <v>2010-01-01</v>
      </c>
      <c r="G61" s="43">
        <v>35</v>
      </c>
      <c r="J61" s="26"/>
    </row>
    <row r="62" spans="3:10" outlineLevel="1" x14ac:dyDescent="0.2">
      <c r="F62" s="36" t="d">
        <v>2020-01-01</v>
      </c>
      <c r="G62" s="43">
        <v>50</v>
      </c>
      <c r="J62" s="26"/>
    </row>
    <row r="63" spans="3:10" outlineLevel="1" x14ac:dyDescent="0.2">
      <c r="F63" s="16" t="s">
        <v>112</v>
      </c>
      <c r="G63" s="16" t="s">
        <v>113</v>
      </c>
      <c r="J63" s="26"/>
    </row>
    <row r="64" spans="3:10" outlineLevel="1" x14ac:dyDescent="0.2">
      <c r="J64" s="26"/>
    </row>
    <row r="65" spans="1:93" outlineLevel="1" x14ac:dyDescent="0.2">
      <c r="J65" s="26"/>
    </row>
    <row r="66" spans="1:93" ht="16" thickBot="1" x14ac:dyDescent="0.25">
      <c r="J66" s="26"/>
    </row>
    <row r="67" spans="1:93" ht="22" thickBot="1" x14ac:dyDescent="0.25">
      <c r="A67" s="8"/>
      <c r="B67" s="221" t="str">
        <f>HM_ZD_Moho!B86</f>
        <v>Détails propriété</v>
      </c>
      <c r="C67" s="222"/>
      <c r="D67" s="222"/>
      <c r="E67" s="223"/>
      <c r="F67" s="9"/>
      <c r="G67" s="9"/>
      <c r="H67" s="9"/>
      <c r="I67" s="9"/>
      <c r="J67" s="48"/>
      <c r="K67" s="10"/>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row>
    <row r="68" spans="1:93" outlineLevel="1" x14ac:dyDescent="0.2">
      <c r="J68" s="26"/>
    </row>
    <row r="69" spans="1:93" outlineLevel="1" x14ac:dyDescent="0.2">
      <c r="C69" s="11" t="str">
        <f>HM_ZD_Moho!C88</f>
        <v>Participation de l'État</v>
      </c>
      <c r="J69" s="26"/>
    </row>
    <row r="70" spans="1:93" outlineLevel="1" x14ac:dyDescent="0.2">
      <c r="D70" t="str">
        <f>HM_ZD_Moho!D89</f>
        <v>Participation de la compagnie nationale (SNPC)</v>
      </c>
      <c r="G70" s="37">
        <v>0.2</v>
      </c>
      <c r="H70" s="16" t="s">
        <v>118</v>
      </c>
      <c r="J70" s="26"/>
    </row>
    <row r="71" spans="1:93" outlineLevel="1" x14ac:dyDescent="0.2">
      <c r="D71" t="str">
        <f>HM_ZD_Moho!D90</f>
        <v>Consortium compagnie pétrolières internationales</v>
      </c>
      <c r="G71" s="37">
        <v>0.8</v>
      </c>
      <c r="H71" s="16" t="s">
        <v>120</v>
      </c>
      <c r="J71" s="26"/>
    </row>
    <row r="72" spans="1:93" outlineLevel="1" x14ac:dyDescent="0.2">
      <c r="J72" s="26"/>
    </row>
    <row r="73" spans="1:93" outlineLevel="1" x14ac:dyDescent="0.2">
      <c r="D73" t="str">
        <f>HM_ZD_Moho!D92</f>
        <v>La compagnie nationale fait-elle partie du groupe contracteur ?</v>
      </c>
      <c r="G73" s="44">
        <v>0</v>
      </c>
      <c r="H73" s="16" t="s">
        <v>119</v>
      </c>
      <c r="J73" s="26"/>
    </row>
    <row r="74" spans="1:93" outlineLevel="1" x14ac:dyDescent="0.2">
      <c r="J74" s="26"/>
    </row>
    <row r="75" spans="1:93" outlineLevel="1" x14ac:dyDescent="0.2">
      <c r="J75" s="26"/>
    </row>
    <row r="76" spans="1:93" outlineLevel="1" x14ac:dyDescent="0.2">
      <c r="C76" s="11" t="str">
        <f>HM_ZD_Moho!C95</f>
        <v>Intérêt porté</v>
      </c>
      <c r="H76" s="38" t="str">
        <f>HM_ZD_Moho!H95</f>
        <v>Repayment</v>
      </c>
      <c r="J76" s="26"/>
    </row>
    <row r="77" spans="1:93" outlineLevel="1" x14ac:dyDescent="0.2">
      <c r="D77" t="str">
        <f>HM_ZD_Moho!D96</f>
        <v>Intérêt porté compagnie nationale - Exploration et évaluation</v>
      </c>
      <c r="F77" s="41">
        <f>NOC_WI_perc</f>
        <v>0.2</v>
      </c>
      <c r="G77" s="16" t="s">
        <v>319</v>
      </c>
      <c r="H77" s="44">
        <v>0</v>
      </c>
      <c r="I77" s="16" t="s">
        <v>324</v>
      </c>
      <c r="J77" s="26"/>
    </row>
    <row r="78" spans="1:93" outlineLevel="1" x14ac:dyDescent="0.2">
      <c r="D78" t="str">
        <f>HM_ZD_Moho!D97</f>
        <v>Intérêt porté compagnie nationale  - Coûts développement</v>
      </c>
      <c r="F78" s="41">
        <f>NOC_WI_perc</f>
        <v>0.2</v>
      </c>
      <c r="G78" s="16" t="s">
        <v>320</v>
      </c>
      <c r="H78" s="44">
        <v>1</v>
      </c>
      <c r="I78" s="16" t="s">
        <v>325</v>
      </c>
      <c r="J78" s="26"/>
    </row>
    <row r="79" spans="1:93" outlineLevel="1" x14ac:dyDescent="0.2">
      <c r="D79" t="str">
        <f>HM_ZD_Moho!D98</f>
        <v>Intérêt porté compagnie nationale - Opex</v>
      </c>
      <c r="F79" s="41"/>
      <c r="G79" s="16" t="s">
        <v>322</v>
      </c>
      <c r="H79" s="44">
        <v>0</v>
      </c>
      <c r="I79" s="16" t="s">
        <v>326</v>
      </c>
      <c r="J79" s="26"/>
    </row>
    <row r="80" spans="1:93" outlineLevel="1" x14ac:dyDescent="0.2">
      <c r="J80" s="26"/>
    </row>
    <row r="81" spans="3:10" outlineLevel="1" x14ac:dyDescent="0.2">
      <c r="J81" s="26"/>
    </row>
    <row r="82" spans="3:10" outlineLevel="1" x14ac:dyDescent="0.2">
      <c r="C82" s="11" t="str">
        <f>HM_ZD_Moho!C101</f>
        <v>Remboursement du portage</v>
      </c>
      <c r="G82" s="37">
        <v>0.75</v>
      </c>
      <c r="H82" s="16" t="s">
        <v>329</v>
      </c>
      <c r="J82" s="26"/>
    </row>
    <row r="83" spans="3:10" outlineLevel="1" x14ac:dyDescent="0.2">
      <c r="C83" t="str">
        <f>HM_ZD_Moho!C102</f>
        <v>(% des droits de l'État disponible pour le remboursement)</v>
      </c>
      <c r="J83" s="26"/>
    </row>
    <row r="84" spans="3:10" outlineLevel="1" x14ac:dyDescent="0.2">
      <c r="J84" s="26"/>
    </row>
    <row r="85" spans="3:10" outlineLevel="1" x14ac:dyDescent="0.2">
      <c r="J85" s="26"/>
    </row>
    <row r="86" spans="3:10" outlineLevel="1" x14ac:dyDescent="0.2">
      <c r="J86" s="26"/>
    </row>
    <row r="87" spans="3:10" outlineLevel="1" x14ac:dyDescent="0.2">
      <c r="J87" s="26"/>
    </row>
    <row r="88" spans="3:10" outlineLevel="1" x14ac:dyDescent="0.2">
      <c r="J88" s="26"/>
    </row>
    <row r="89" spans="3:10" outlineLevel="1" x14ac:dyDescent="0.2">
      <c r="J89" s="26"/>
    </row>
    <row r="90" spans="3:10" outlineLevel="1" x14ac:dyDescent="0.2">
      <c r="J90" s="26"/>
    </row>
    <row r="91" spans="3:10" outlineLevel="1" x14ac:dyDescent="0.2">
      <c r="J91" s="26"/>
    </row>
    <row r="92" spans="3:10" outlineLevel="1" x14ac:dyDescent="0.2">
      <c r="J92" s="26"/>
    </row>
    <row r="93" spans="3:10" outlineLevel="1" x14ac:dyDescent="0.2">
      <c r="J93" s="26"/>
    </row>
    <row r="94" spans="3:10" outlineLevel="1" x14ac:dyDescent="0.2">
      <c r="J94" s="26"/>
    </row>
    <row r="95" spans="3:10" outlineLevel="1" x14ac:dyDescent="0.2">
      <c r="J95" s="26"/>
    </row>
    <row r="96" spans="3:10" outlineLevel="1" x14ac:dyDescent="0.2">
      <c r="J96" s="26"/>
    </row>
    <row r="97" spans="1:93" outlineLevel="1" x14ac:dyDescent="0.2">
      <c r="J97" s="26"/>
    </row>
    <row r="98" spans="1:93" outlineLevel="1" x14ac:dyDescent="0.2">
      <c r="J98" s="26"/>
    </row>
    <row r="99" spans="1:93" outlineLevel="1" x14ac:dyDescent="0.2">
      <c r="J99" s="26"/>
    </row>
    <row r="100" spans="1:93" outlineLevel="1" x14ac:dyDescent="0.2">
      <c r="J100" s="26"/>
    </row>
    <row r="101" spans="1:93" outlineLevel="1" x14ac:dyDescent="0.2">
      <c r="J101" s="26"/>
    </row>
    <row r="102" spans="1:93" outlineLevel="1" x14ac:dyDescent="0.2">
      <c r="J102" s="26"/>
    </row>
    <row r="103" spans="1:93" outlineLevel="1" x14ac:dyDescent="0.2">
      <c r="J103" s="26"/>
    </row>
    <row r="104" spans="1:93" x14ac:dyDescent="0.2">
      <c r="J104" s="26"/>
    </row>
    <row r="105" spans="1:93" ht="16" thickBot="1" x14ac:dyDescent="0.25">
      <c r="J105" s="26"/>
    </row>
    <row r="106" spans="1:93" ht="22" thickBot="1" x14ac:dyDescent="0.25">
      <c r="A106" s="8"/>
      <c r="B106" s="221" t="str">
        <f>HM_ZD_Moho!B125</f>
        <v>Calculs</v>
      </c>
      <c r="C106" s="222"/>
      <c r="D106" s="222"/>
      <c r="E106" s="223"/>
      <c r="F106" s="9"/>
      <c r="G106" s="9"/>
      <c r="H106" s="9"/>
      <c r="I106" s="9"/>
      <c r="J106" s="48"/>
      <c r="K106" s="10"/>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row>
    <row r="107" spans="1:93" outlineLevel="1" x14ac:dyDescent="0.2">
      <c r="J107" s="26"/>
    </row>
    <row r="108" spans="1:93" outlineLevel="1" x14ac:dyDescent="0.2">
      <c r="A108" s="45"/>
      <c r="B108" s="38" t="str">
        <f>HM_ZD_Moho!B127</f>
        <v>Production et volumes</v>
      </c>
      <c r="C108" s="45"/>
      <c r="D108" s="45"/>
      <c r="E108" s="45"/>
      <c r="J108" s="26"/>
    </row>
    <row r="109" spans="1:93" outlineLevel="1" x14ac:dyDescent="0.2">
      <c r="J109" s="26"/>
    </row>
    <row r="110" spans="1:93" outlineLevel="1" x14ac:dyDescent="0.2">
      <c r="C110" s="11" t="str">
        <f>HM_ZD_Moho!C129</f>
        <v>Volumes Production brute</v>
      </c>
      <c r="J110" s="26"/>
    </row>
    <row r="111" spans="1:93" outlineLevel="1" x14ac:dyDescent="0.2">
      <c r="D111" t="str">
        <f>HM_ZD_Moho!D130</f>
        <v>Pétrole</v>
      </c>
      <c r="I111" s="30">
        <f ca="1">SUM($L111:$BS111)</f>
        <v>71.724921133307959</v>
      </c>
      <c r="J111" s="26" t="s">
        <v>42</v>
      </c>
      <c r="K111" s="7" t="s">
        <v>131</v>
      </c>
      <c r="L111" s="49">
        <f t="shared" ref="L111:AQ111" ca="1" si="0">OFFSET(_xlfn.SINGLE(IA_prod_oil),5,)</f>
        <v>5.6457433560000005</v>
      </c>
      <c r="M111" s="49">
        <f t="shared" ca="1" si="0"/>
        <v>6.2603597030000007</v>
      </c>
      <c r="N111" s="49">
        <f t="shared" ca="1" si="0"/>
        <v>7.0605919999999998</v>
      </c>
      <c r="O111" s="49">
        <f t="shared" ca="1" si="0"/>
        <v>6.1390520000000004</v>
      </c>
      <c r="P111" s="49">
        <f t="shared" ca="1" si="0"/>
        <v>5.6774719999999999</v>
      </c>
      <c r="Q111" s="49">
        <f t="shared" ca="1" si="0"/>
        <v>6.4023830000000004</v>
      </c>
      <c r="R111" s="49">
        <f t="shared" ca="1" si="0"/>
        <v>6.4856289530000009</v>
      </c>
      <c r="S111" s="49">
        <f t="shared" ca="1" si="0"/>
        <v>5.5629</v>
      </c>
      <c r="T111" s="49">
        <f t="shared" ca="1" si="0"/>
        <v>5.1734969999999993</v>
      </c>
      <c r="U111" s="49">
        <f t="shared" ca="1" si="0"/>
        <v>4.811352209999999</v>
      </c>
      <c r="V111" s="49">
        <f t="shared" ca="1" si="0"/>
        <v>4.4745575552999988</v>
      </c>
      <c r="W111" s="49">
        <f t="shared" ca="1" si="0"/>
        <v>4.1613385264289988</v>
      </c>
      <c r="X111" s="49">
        <f t="shared" ca="1" si="0"/>
        <v>3.8700448295789687</v>
      </c>
      <c r="Y111" s="49">
        <f t="shared" ca="1" si="0"/>
        <v>0</v>
      </c>
      <c r="Z111" s="49">
        <f t="shared" ca="1" si="0"/>
        <v>0</v>
      </c>
      <c r="AA111" s="49">
        <f t="shared" ca="1" si="0"/>
        <v>0</v>
      </c>
      <c r="AB111" s="49">
        <f t="shared" ca="1" si="0"/>
        <v>0</v>
      </c>
      <c r="AC111" s="49">
        <f t="shared" ca="1" si="0"/>
        <v>0</v>
      </c>
      <c r="AD111" s="49">
        <f t="shared" ca="1" si="0"/>
        <v>0</v>
      </c>
      <c r="AE111" s="49">
        <f t="shared" ca="1" si="0"/>
        <v>0</v>
      </c>
      <c r="AF111" s="49">
        <f t="shared" ca="1" si="0"/>
        <v>0</v>
      </c>
      <c r="AG111" s="49">
        <f t="shared" ca="1" si="0"/>
        <v>0</v>
      </c>
      <c r="AH111" s="49">
        <f t="shared" ca="1" si="0"/>
        <v>0</v>
      </c>
      <c r="AI111" s="49">
        <f t="shared" ca="1" si="0"/>
        <v>0</v>
      </c>
      <c r="AJ111" s="49">
        <f t="shared" ca="1" si="0"/>
        <v>0</v>
      </c>
      <c r="AK111" s="49">
        <f t="shared" ca="1" si="0"/>
        <v>0</v>
      </c>
      <c r="AL111" s="49">
        <f t="shared" ca="1" si="0"/>
        <v>0</v>
      </c>
      <c r="AM111" s="49">
        <f t="shared" ca="1" si="0"/>
        <v>0</v>
      </c>
      <c r="AN111" s="49">
        <f t="shared" ca="1" si="0"/>
        <v>0</v>
      </c>
      <c r="AO111" s="49">
        <f t="shared" ca="1" si="0"/>
        <v>0</v>
      </c>
      <c r="AP111" s="49">
        <f t="shared" ca="1" si="0"/>
        <v>0</v>
      </c>
      <c r="AQ111" s="49">
        <f t="shared" ca="1" si="0"/>
        <v>0</v>
      </c>
      <c r="AR111" s="49">
        <f t="shared" ref="AR111:BS111" ca="1" si="1">OFFSET(_xlfn.SINGLE(IA_prod_oil),5,)</f>
        <v>0</v>
      </c>
      <c r="AS111" s="49">
        <f t="shared" ca="1" si="1"/>
        <v>0</v>
      </c>
      <c r="AT111" s="49">
        <f t="shared" ca="1" si="1"/>
        <v>0</v>
      </c>
      <c r="AU111" s="49">
        <f t="shared" ca="1" si="1"/>
        <v>0</v>
      </c>
      <c r="AV111" s="49">
        <f t="shared" ca="1" si="1"/>
        <v>0</v>
      </c>
      <c r="AW111" s="49">
        <f t="shared" ca="1" si="1"/>
        <v>0</v>
      </c>
      <c r="AX111" s="49">
        <f t="shared" ca="1" si="1"/>
        <v>0</v>
      </c>
      <c r="AY111" s="49">
        <f t="shared" ca="1" si="1"/>
        <v>0</v>
      </c>
      <c r="AZ111" s="49">
        <f t="shared" ca="1" si="1"/>
        <v>0</v>
      </c>
      <c r="BA111" s="49">
        <f t="shared" ca="1" si="1"/>
        <v>0</v>
      </c>
      <c r="BB111" s="49">
        <f t="shared" ca="1" si="1"/>
        <v>0</v>
      </c>
      <c r="BC111" s="49">
        <f t="shared" ca="1" si="1"/>
        <v>0</v>
      </c>
      <c r="BD111" s="49">
        <f t="shared" ca="1" si="1"/>
        <v>0</v>
      </c>
      <c r="BE111" s="49">
        <f t="shared" ca="1" si="1"/>
        <v>0</v>
      </c>
      <c r="BF111" s="49">
        <f t="shared" ca="1" si="1"/>
        <v>0</v>
      </c>
      <c r="BG111" s="49">
        <f t="shared" ca="1" si="1"/>
        <v>0</v>
      </c>
      <c r="BH111" s="49">
        <f t="shared" ca="1" si="1"/>
        <v>0</v>
      </c>
      <c r="BI111" s="49">
        <f t="shared" ca="1" si="1"/>
        <v>0</v>
      </c>
      <c r="BJ111" s="49">
        <f t="shared" ca="1" si="1"/>
        <v>0</v>
      </c>
      <c r="BK111" s="49">
        <f t="shared" ca="1" si="1"/>
        <v>0</v>
      </c>
      <c r="BL111" s="49">
        <f t="shared" ca="1" si="1"/>
        <v>0</v>
      </c>
      <c r="BM111" s="49">
        <f t="shared" ca="1" si="1"/>
        <v>0</v>
      </c>
      <c r="BN111" s="49">
        <f t="shared" ca="1" si="1"/>
        <v>0</v>
      </c>
      <c r="BO111" s="49">
        <f t="shared" ca="1" si="1"/>
        <v>0</v>
      </c>
      <c r="BP111" s="49">
        <f t="shared" ca="1" si="1"/>
        <v>0</v>
      </c>
      <c r="BQ111" s="49">
        <f t="shared" ca="1" si="1"/>
        <v>0</v>
      </c>
      <c r="BR111" s="49">
        <f t="shared" ca="1" si="1"/>
        <v>0</v>
      </c>
      <c r="BS111" s="49">
        <f t="shared" ca="1" si="1"/>
        <v>0</v>
      </c>
    </row>
    <row r="112" spans="1:93" outlineLevel="1" x14ac:dyDescent="0.2">
      <c r="D112" t="str">
        <f>HM_ZD_Moho!D131</f>
        <v>GPL</v>
      </c>
      <c r="I112" s="30">
        <f ca="1">SUM($L112:$BS112)</f>
        <v>3.8000057000037999E-5</v>
      </c>
      <c r="J112" s="26" t="s">
        <v>42</v>
      </c>
      <c r="K112" s="7" t="s">
        <v>684</v>
      </c>
      <c r="L112" s="49">
        <f t="shared" ref="L112:AQ112" ca="1" si="2">OFFSET(_xlfn.SINGLE(IA_prod_lpg),5,)</f>
        <v>0</v>
      </c>
      <c r="M112" s="49">
        <f t="shared" ca="1" si="2"/>
        <v>0</v>
      </c>
      <c r="N112" s="49">
        <f t="shared" ca="1" si="2"/>
        <v>0</v>
      </c>
      <c r="O112" s="49">
        <f t="shared" ca="1" si="2"/>
        <v>1.9000000000000002E-11</v>
      </c>
      <c r="P112" s="49">
        <f t="shared" ca="1" si="2"/>
        <v>3.8000000000000002E-5</v>
      </c>
      <c r="Q112" s="49">
        <f t="shared" ca="1" si="2"/>
        <v>3.8000000000000004E-11</v>
      </c>
      <c r="R112" s="49">
        <f t="shared" ca="1" si="2"/>
        <v>3.8000000000000007E-17</v>
      </c>
      <c r="S112" s="49">
        <f t="shared" ca="1" si="2"/>
        <v>0</v>
      </c>
      <c r="T112" s="49">
        <f t="shared" ca="1" si="2"/>
        <v>0</v>
      </c>
      <c r="U112" s="49">
        <f t="shared" ca="1" si="2"/>
        <v>0</v>
      </c>
      <c r="V112" s="49">
        <f t="shared" ca="1" si="2"/>
        <v>0</v>
      </c>
      <c r="W112" s="49">
        <f t="shared" ca="1" si="2"/>
        <v>0</v>
      </c>
      <c r="X112" s="49">
        <f t="shared" ca="1" si="2"/>
        <v>0</v>
      </c>
      <c r="Y112" s="49">
        <f t="shared" ca="1" si="2"/>
        <v>0</v>
      </c>
      <c r="Z112" s="49">
        <f t="shared" ca="1" si="2"/>
        <v>0</v>
      </c>
      <c r="AA112" s="49">
        <f t="shared" ca="1" si="2"/>
        <v>0</v>
      </c>
      <c r="AB112" s="49">
        <f t="shared" ca="1" si="2"/>
        <v>0</v>
      </c>
      <c r="AC112" s="49">
        <f t="shared" ca="1" si="2"/>
        <v>0</v>
      </c>
      <c r="AD112" s="49">
        <f t="shared" ca="1" si="2"/>
        <v>0</v>
      </c>
      <c r="AE112" s="49">
        <f t="shared" ca="1" si="2"/>
        <v>0</v>
      </c>
      <c r="AF112" s="49">
        <f t="shared" ca="1" si="2"/>
        <v>0</v>
      </c>
      <c r="AG112" s="49">
        <f t="shared" ca="1" si="2"/>
        <v>0</v>
      </c>
      <c r="AH112" s="49">
        <f t="shared" ca="1" si="2"/>
        <v>0</v>
      </c>
      <c r="AI112" s="49">
        <f t="shared" ca="1" si="2"/>
        <v>0</v>
      </c>
      <c r="AJ112" s="49">
        <f t="shared" ca="1" si="2"/>
        <v>0</v>
      </c>
      <c r="AK112" s="49">
        <f t="shared" ca="1" si="2"/>
        <v>0</v>
      </c>
      <c r="AL112" s="49">
        <f t="shared" ca="1" si="2"/>
        <v>0</v>
      </c>
      <c r="AM112" s="49">
        <f t="shared" ca="1" si="2"/>
        <v>0</v>
      </c>
      <c r="AN112" s="49">
        <f t="shared" ca="1" si="2"/>
        <v>0</v>
      </c>
      <c r="AO112" s="49">
        <f t="shared" ca="1" si="2"/>
        <v>0</v>
      </c>
      <c r="AP112" s="49">
        <f t="shared" ca="1" si="2"/>
        <v>0</v>
      </c>
      <c r="AQ112" s="49">
        <f t="shared" ca="1" si="2"/>
        <v>0</v>
      </c>
      <c r="AR112" s="49">
        <f t="shared" ref="AR112:BS112" ca="1" si="3">OFFSET(_xlfn.SINGLE(IA_prod_lpg),5,)</f>
        <v>0</v>
      </c>
      <c r="AS112" s="49">
        <f t="shared" ca="1" si="3"/>
        <v>0</v>
      </c>
      <c r="AT112" s="49">
        <f t="shared" ca="1" si="3"/>
        <v>0</v>
      </c>
      <c r="AU112" s="49">
        <f t="shared" ca="1" si="3"/>
        <v>0</v>
      </c>
      <c r="AV112" s="49">
        <f t="shared" ca="1" si="3"/>
        <v>0</v>
      </c>
      <c r="AW112" s="49">
        <f t="shared" ca="1" si="3"/>
        <v>0</v>
      </c>
      <c r="AX112" s="49">
        <f t="shared" ca="1" si="3"/>
        <v>0</v>
      </c>
      <c r="AY112" s="49">
        <f t="shared" ca="1" si="3"/>
        <v>0</v>
      </c>
      <c r="AZ112" s="49">
        <f t="shared" ca="1" si="3"/>
        <v>0</v>
      </c>
      <c r="BA112" s="49">
        <f t="shared" ca="1" si="3"/>
        <v>0</v>
      </c>
      <c r="BB112" s="49">
        <f t="shared" ca="1" si="3"/>
        <v>0</v>
      </c>
      <c r="BC112" s="49">
        <f t="shared" ca="1" si="3"/>
        <v>0</v>
      </c>
      <c r="BD112" s="49">
        <f t="shared" ca="1" si="3"/>
        <v>0</v>
      </c>
      <c r="BE112" s="49">
        <f t="shared" ca="1" si="3"/>
        <v>0</v>
      </c>
      <c r="BF112" s="49">
        <f t="shared" ca="1" si="3"/>
        <v>0</v>
      </c>
      <c r="BG112" s="49">
        <f t="shared" ca="1" si="3"/>
        <v>0</v>
      </c>
      <c r="BH112" s="49">
        <f t="shared" ca="1" si="3"/>
        <v>0</v>
      </c>
      <c r="BI112" s="49">
        <f t="shared" ca="1" si="3"/>
        <v>0</v>
      </c>
      <c r="BJ112" s="49">
        <f t="shared" ca="1" si="3"/>
        <v>0</v>
      </c>
      <c r="BK112" s="49">
        <f t="shared" ca="1" si="3"/>
        <v>0</v>
      </c>
      <c r="BL112" s="49">
        <f t="shared" ca="1" si="3"/>
        <v>0</v>
      </c>
      <c r="BM112" s="49">
        <f t="shared" ca="1" si="3"/>
        <v>0</v>
      </c>
      <c r="BN112" s="49">
        <f t="shared" ca="1" si="3"/>
        <v>0</v>
      </c>
      <c r="BO112" s="49">
        <f t="shared" ca="1" si="3"/>
        <v>0</v>
      </c>
      <c r="BP112" s="49">
        <f t="shared" ca="1" si="3"/>
        <v>0</v>
      </c>
      <c r="BQ112" s="49">
        <f t="shared" ca="1" si="3"/>
        <v>0</v>
      </c>
      <c r="BR112" s="49">
        <f t="shared" ca="1" si="3"/>
        <v>0</v>
      </c>
      <c r="BS112" s="49">
        <f t="shared" ca="1" si="3"/>
        <v>0</v>
      </c>
    </row>
    <row r="113" spans="1:93" outlineLevel="1" x14ac:dyDescent="0.2">
      <c r="D113" t="str">
        <f>HM_ZD_Moho!D132</f>
        <v>Gaz</v>
      </c>
      <c r="I113" s="46">
        <f ca="1">SUM($L113:$BS113)</f>
        <v>0</v>
      </c>
      <c r="J113" s="26" t="s">
        <v>653</v>
      </c>
      <c r="K113" s="7" t="s">
        <v>132</v>
      </c>
      <c r="L113" s="54">
        <f t="shared" ref="L113:AQ113" ca="1" si="4">OFFSET(_xlfn.SINGLE(IA_prod_gas),5,)</f>
        <v>0</v>
      </c>
      <c r="M113" s="54">
        <f t="shared" ca="1" si="4"/>
        <v>0</v>
      </c>
      <c r="N113" s="54">
        <f t="shared" ca="1" si="4"/>
        <v>0</v>
      </c>
      <c r="O113" s="54">
        <f t="shared" ca="1" si="4"/>
        <v>0</v>
      </c>
      <c r="P113" s="54">
        <f t="shared" ca="1" si="4"/>
        <v>0</v>
      </c>
      <c r="Q113" s="54">
        <f t="shared" ca="1" si="4"/>
        <v>0</v>
      </c>
      <c r="R113" s="54">
        <f t="shared" ca="1" si="4"/>
        <v>0</v>
      </c>
      <c r="S113" s="54">
        <f t="shared" ca="1" si="4"/>
        <v>0</v>
      </c>
      <c r="T113" s="54">
        <f t="shared" ca="1" si="4"/>
        <v>0</v>
      </c>
      <c r="U113" s="54">
        <f t="shared" ca="1" si="4"/>
        <v>0</v>
      </c>
      <c r="V113" s="54">
        <f t="shared" ca="1" si="4"/>
        <v>0</v>
      </c>
      <c r="W113" s="54">
        <f t="shared" ca="1" si="4"/>
        <v>0</v>
      </c>
      <c r="X113" s="54">
        <f t="shared" ca="1" si="4"/>
        <v>0</v>
      </c>
      <c r="Y113" s="54">
        <f t="shared" ca="1" si="4"/>
        <v>0</v>
      </c>
      <c r="Z113" s="54">
        <f t="shared" ca="1" si="4"/>
        <v>0</v>
      </c>
      <c r="AA113" s="54">
        <f t="shared" ca="1" si="4"/>
        <v>0</v>
      </c>
      <c r="AB113" s="54">
        <f t="shared" ca="1" si="4"/>
        <v>0</v>
      </c>
      <c r="AC113" s="54">
        <f t="shared" ca="1" si="4"/>
        <v>0</v>
      </c>
      <c r="AD113" s="54">
        <f t="shared" ca="1" si="4"/>
        <v>0</v>
      </c>
      <c r="AE113" s="54">
        <f t="shared" ca="1" si="4"/>
        <v>0</v>
      </c>
      <c r="AF113" s="54">
        <f t="shared" ca="1" si="4"/>
        <v>0</v>
      </c>
      <c r="AG113" s="54">
        <f t="shared" ca="1" si="4"/>
        <v>0</v>
      </c>
      <c r="AH113" s="54">
        <f t="shared" ca="1" si="4"/>
        <v>0</v>
      </c>
      <c r="AI113" s="54">
        <f t="shared" ca="1" si="4"/>
        <v>0</v>
      </c>
      <c r="AJ113" s="54">
        <f t="shared" ca="1" si="4"/>
        <v>0</v>
      </c>
      <c r="AK113" s="54">
        <f t="shared" ca="1" si="4"/>
        <v>0</v>
      </c>
      <c r="AL113" s="54">
        <f t="shared" ca="1" si="4"/>
        <v>0</v>
      </c>
      <c r="AM113" s="54">
        <f t="shared" ca="1" si="4"/>
        <v>0</v>
      </c>
      <c r="AN113" s="54">
        <f t="shared" ca="1" si="4"/>
        <v>0</v>
      </c>
      <c r="AO113" s="54">
        <f t="shared" ca="1" si="4"/>
        <v>0</v>
      </c>
      <c r="AP113" s="54">
        <f t="shared" ca="1" si="4"/>
        <v>0</v>
      </c>
      <c r="AQ113" s="54">
        <f t="shared" ca="1" si="4"/>
        <v>0</v>
      </c>
      <c r="AR113" s="54">
        <f t="shared" ref="AR113:BS113" ca="1" si="5">OFFSET(_xlfn.SINGLE(IA_prod_gas),5,)</f>
        <v>0</v>
      </c>
      <c r="AS113" s="54">
        <f t="shared" ca="1" si="5"/>
        <v>0</v>
      </c>
      <c r="AT113" s="54">
        <f t="shared" ca="1" si="5"/>
        <v>0</v>
      </c>
      <c r="AU113" s="54">
        <f t="shared" ca="1" si="5"/>
        <v>0</v>
      </c>
      <c r="AV113" s="54">
        <f t="shared" ca="1" si="5"/>
        <v>0</v>
      </c>
      <c r="AW113" s="54">
        <f t="shared" ca="1" si="5"/>
        <v>0</v>
      </c>
      <c r="AX113" s="54">
        <f t="shared" ca="1" si="5"/>
        <v>0</v>
      </c>
      <c r="AY113" s="54">
        <f t="shared" ca="1" si="5"/>
        <v>0</v>
      </c>
      <c r="AZ113" s="54">
        <f t="shared" ca="1" si="5"/>
        <v>0</v>
      </c>
      <c r="BA113" s="54">
        <f t="shared" ca="1" si="5"/>
        <v>0</v>
      </c>
      <c r="BB113" s="54">
        <f t="shared" ca="1" si="5"/>
        <v>0</v>
      </c>
      <c r="BC113" s="54">
        <f t="shared" ca="1" si="5"/>
        <v>0</v>
      </c>
      <c r="BD113" s="54">
        <f t="shared" ca="1" si="5"/>
        <v>0</v>
      </c>
      <c r="BE113" s="54">
        <f t="shared" ca="1" si="5"/>
        <v>0</v>
      </c>
      <c r="BF113" s="54">
        <f t="shared" ca="1" si="5"/>
        <v>0</v>
      </c>
      <c r="BG113" s="54">
        <f t="shared" ca="1" si="5"/>
        <v>0</v>
      </c>
      <c r="BH113" s="54">
        <f t="shared" ca="1" si="5"/>
        <v>0</v>
      </c>
      <c r="BI113" s="54">
        <f t="shared" ca="1" si="5"/>
        <v>0</v>
      </c>
      <c r="BJ113" s="54">
        <f t="shared" ca="1" si="5"/>
        <v>0</v>
      </c>
      <c r="BK113" s="54">
        <f t="shared" ca="1" si="5"/>
        <v>0</v>
      </c>
      <c r="BL113" s="54">
        <f t="shared" ca="1" si="5"/>
        <v>0</v>
      </c>
      <c r="BM113" s="54">
        <f t="shared" ca="1" si="5"/>
        <v>0</v>
      </c>
      <c r="BN113" s="54">
        <f t="shared" ca="1" si="5"/>
        <v>0</v>
      </c>
      <c r="BO113" s="54">
        <f t="shared" ca="1" si="5"/>
        <v>0</v>
      </c>
      <c r="BP113" s="54">
        <f t="shared" ca="1" si="5"/>
        <v>0</v>
      </c>
      <c r="BQ113" s="54">
        <f t="shared" ca="1" si="5"/>
        <v>0</v>
      </c>
      <c r="BR113" s="54">
        <f t="shared" ca="1" si="5"/>
        <v>0</v>
      </c>
      <c r="BS113" s="54">
        <f t="shared" ca="1" si="5"/>
        <v>0</v>
      </c>
    </row>
    <row r="114" spans="1:93" outlineLevel="1" x14ac:dyDescent="0.2">
      <c r="A114" s="6"/>
      <c r="B114" s="6"/>
      <c r="C114" s="6"/>
      <c r="D114" s="47" t="str">
        <f>HM_ZD_Moho!D133</f>
        <v>Total</v>
      </c>
      <c r="E114" s="6"/>
      <c r="F114" s="6"/>
      <c r="G114" s="6"/>
      <c r="H114" s="6"/>
      <c r="I114" s="30">
        <f ca="1">SUM($L114:$BS114)</f>
        <v>71.724959133364962</v>
      </c>
      <c r="J114" s="26" t="s">
        <v>130</v>
      </c>
      <c r="K114" s="7" t="s">
        <v>133</v>
      </c>
      <c r="L114" s="49">
        <f t="shared" ref="L114:AQ114" ca="1" si="6">SUM(L111,L112,L113/conv_CMtoBbls)</f>
        <v>5.6457433560000005</v>
      </c>
      <c r="M114" s="49">
        <f t="shared" ca="1" si="6"/>
        <v>6.2603597030000007</v>
      </c>
      <c r="N114" s="49">
        <f t="shared" ca="1" si="6"/>
        <v>7.0605919999999998</v>
      </c>
      <c r="O114" s="49">
        <f t="shared" ca="1" si="6"/>
        <v>6.1390520000190003</v>
      </c>
      <c r="P114" s="49">
        <f t="shared" ca="1" si="6"/>
        <v>5.6775099999999998</v>
      </c>
      <c r="Q114" s="49">
        <f t="shared" ca="1" si="6"/>
        <v>6.4023830000380002</v>
      </c>
      <c r="R114" s="49">
        <f t="shared" ca="1" si="6"/>
        <v>6.4856289530000009</v>
      </c>
      <c r="S114" s="49">
        <f t="shared" ca="1" si="6"/>
        <v>5.5629</v>
      </c>
      <c r="T114" s="49">
        <f t="shared" ca="1" si="6"/>
        <v>5.1734969999999993</v>
      </c>
      <c r="U114" s="49">
        <f t="shared" ca="1" si="6"/>
        <v>4.811352209999999</v>
      </c>
      <c r="V114" s="49">
        <f t="shared" ca="1" si="6"/>
        <v>4.4745575552999988</v>
      </c>
      <c r="W114" s="49">
        <f t="shared" ca="1" si="6"/>
        <v>4.1613385264289988</v>
      </c>
      <c r="X114" s="49">
        <f t="shared" ca="1" si="6"/>
        <v>3.8700448295789687</v>
      </c>
      <c r="Y114" s="49">
        <f t="shared" ca="1" si="6"/>
        <v>0</v>
      </c>
      <c r="Z114" s="49">
        <f t="shared" ca="1" si="6"/>
        <v>0</v>
      </c>
      <c r="AA114" s="49">
        <f t="shared" ca="1" si="6"/>
        <v>0</v>
      </c>
      <c r="AB114" s="49">
        <f t="shared" ca="1" si="6"/>
        <v>0</v>
      </c>
      <c r="AC114" s="49">
        <f t="shared" ca="1" si="6"/>
        <v>0</v>
      </c>
      <c r="AD114" s="49">
        <f t="shared" ca="1" si="6"/>
        <v>0</v>
      </c>
      <c r="AE114" s="49">
        <f t="shared" ca="1" si="6"/>
        <v>0</v>
      </c>
      <c r="AF114" s="49">
        <f t="shared" ca="1" si="6"/>
        <v>0</v>
      </c>
      <c r="AG114" s="49">
        <f t="shared" ca="1" si="6"/>
        <v>0</v>
      </c>
      <c r="AH114" s="49">
        <f t="shared" ca="1" si="6"/>
        <v>0</v>
      </c>
      <c r="AI114" s="49">
        <f t="shared" ca="1" si="6"/>
        <v>0</v>
      </c>
      <c r="AJ114" s="49">
        <f t="shared" ca="1" si="6"/>
        <v>0</v>
      </c>
      <c r="AK114" s="49">
        <f t="shared" ca="1" si="6"/>
        <v>0</v>
      </c>
      <c r="AL114" s="49">
        <f t="shared" ca="1" si="6"/>
        <v>0</v>
      </c>
      <c r="AM114" s="49">
        <f t="shared" ca="1" si="6"/>
        <v>0</v>
      </c>
      <c r="AN114" s="49">
        <f t="shared" ca="1" si="6"/>
        <v>0</v>
      </c>
      <c r="AO114" s="49">
        <f t="shared" ca="1" si="6"/>
        <v>0</v>
      </c>
      <c r="AP114" s="49">
        <f t="shared" ca="1" si="6"/>
        <v>0</v>
      </c>
      <c r="AQ114" s="49">
        <f t="shared" ca="1" si="6"/>
        <v>0</v>
      </c>
      <c r="AR114" s="49">
        <f t="shared" ref="AR114:BS114" ca="1" si="7">SUM(AR111,AR112,AR113/conv_CMtoBbls)</f>
        <v>0</v>
      </c>
      <c r="AS114" s="49">
        <f t="shared" ca="1" si="7"/>
        <v>0</v>
      </c>
      <c r="AT114" s="49">
        <f t="shared" ca="1" si="7"/>
        <v>0</v>
      </c>
      <c r="AU114" s="49">
        <f t="shared" ca="1" si="7"/>
        <v>0</v>
      </c>
      <c r="AV114" s="49">
        <f t="shared" ca="1" si="7"/>
        <v>0</v>
      </c>
      <c r="AW114" s="49">
        <f t="shared" ca="1" si="7"/>
        <v>0</v>
      </c>
      <c r="AX114" s="49">
        <f t="shared" ca="1" si="7"/>
        <v>0</v>
      </c>
      <c r="AY114" s="49">
        <f t="shared" ca="1" si="7"/>
        <v>0</v>
      </c>
      <c r="AZ114" s="49">
        <f t="shared" ca="1" si="7"/>
        <v>0</v>
      </c>
      <c r="BA114" s="49">
        <f t="shared" ca="1" si="7"/>
        <v>0</v>
      </c>
      <c r="BB114" s="49">
        <f t="shared" ca="1" si="7"/>
        <v>0</v>
      </c>
      <c r="BC114" s="49">
        <f t="shared" ca="1" si="7"/>
        <v>0</v>
      </c>
      <c r="BD114" s="49">
        <f t="shared" ca="1" si="7"/>
        <v>0</v>
      </c>
      <c r="BE114" s="49">
        <f t="shared" ca="1" si="7"/>
        <v>0</v>
      </c>
      <c r="BF114" s="49">
        <f t="shared" ca="1" si="7"/>
        <v>0</v>
      </c>
      <c r="BG114" s="49">
        <f t="shared" ca="1" si="7"/>
        <v>0</v>
      </c>
      <c r="BH114" s="49">
        <f t="shared" ca="1" si="7"/>
        <v>0</v>
      </c>
      <c r="BI114" s="49">
        <f t="shared" ca="1" si="7"/>
        <v>0</v>
      </c>
      <c r="BJ114" s="49">
        <f t="shared" ca="1" si="7"/>
        <v>0</v>
      </c>
      <c r="BK114" s="49">
        <f t="shared" ca="1" si="7"/>
        <v>0</v>
      </c>
      <c r="BL114" s="49">
        <f t="shared" ca="1" si="7"/>
        <v>0</v>
      </c>
      <c r="BM114" s="49">
        <f t="shared" ca="1" si="7"/>
        <v>0</v>
      </c>
      <c r="BN114" s="49">
        <f t="shared" ca="1" si="7"/>
        <v>0</v>
      </c>
      <c r="BO114" s="49">
        <f t="shared" ca="1" si="7"/>
        <v>0</v>
      </c>
      <c r="BP114" s="49">
        <f t="shared" ca="1" si="7"/>
        <v>0</v>
      </c>
      <c r="BQ114" s="49">
        <f t="shared" ca="1" si="7"/>
        <v>0</v>
      </c>
      <c r="BR114" s="49">
        <f t="shared" ca="1" si="7"/>
        <v>0</v>
      </c>
      <c r="BS114" s="49">
        <f t="shared" ca="1" si="7"/>
        <v>0</v>
      </c>
      <c r="BT114" s="6"/>
      <c r="BU114" s="6"/>
      <c r="BV114" s="6"/>
      <c r="BW114" s="6"/>
      <c r="BX114" s="6"/>
      <c r="BY114" s="6"/>
      <c r="BZ114" s="6"/>
      <c r="CA114" s="6"/>
      <c r="CB114" s="6"/>
      <c r="CC114" s="6"/>
      <c r="CD114" s="6"/>
      <c r="CE114" s="6"/>
      <c r="CF114" s="6"/>
      <c r="CG114" s="6"/>
      <c r="CH114" s="6"/>
      <c r="CI114" s="6"/>
      <c r="CJ114" s="6"/>
      <c r="CK114" s="6"/>
      <c r="CL114" s="6"/>
      <c r="CM114" s="6"/>
      <c r="CN114" s="6"/>
      <c r="CO114" s="6"/>
    </row>
    <row r="115" spans="1:93" outlineLevel="1" x14ac:dyDescent="0.2">
      <c r="J115" s="26"/>
      <c r="L115" s="55"/>
      <c r="M115" s="55"/>
      <c r="N115" s="55"/>
      <c r="O115" s="55"/>
      <c r="P115" s="55"/>
      <c r="Q115" s="55"/>
      <c r="R115" s="55"/>
      <c r="S115" s="55"/>
      <c r="T115" s="55"/>
      <c r="U115" s="55"/>
      <c r="V115" s="55"/>
      <c r="W115" s="55"/>
      <c r="X115" s="55"/>
      <c r="Y115" s="55"/>
      <c r="Z115" s="55"/>
      <c r="AA115" s="55"/>
      <c r="AB115" s="55"/>
      <c r="AC115" s="55"/>
      <c r="AD115" s="55"/>
      <c r="AE115" s="55"/>
      <c r="AF115" s="55"/>
      <c r="AG115" s="55"/>
      <c r="AH115" s="55"/>
      <c r="AI115" s="55"/>
      <c r="AJ115" s="55"/>
      <c r="AK115" s="55"/>
      <c r="AL115" s="55"/>
      <c r="AM115" s="55"/>
      <c r="AN115" s="55"/>
      <c r="AO115" s="55"/>
      <c r="AP115" s="55"/>
      <c r="AQ115" s="55"/>
      <c r="AR115" s="55"/>
      <c r="AS115" s="55"/>
      <c r="AT115" s="55"/>
      <c r="AU115" s="55"/>
      <c r="AV115" s="55"/>
      <c r="AW115" s="55"/>
      <c r="AX115" s="55"/>
      <c r="AY115" s="55"/>
      <c r="AZ115" s="55"/>
      <c r="BA115" s="55"/>
      <c r="BB115" s="55"/>
      <c r="BC115" s="55"/>
      <c r="BD115" s="55"/>
      <c r="BE115" s="55"/>
      <c r="BF115" s="55"/>
      <c r="BG115" s="55"/>
      <c r="BH115" s="55"/>
      <c r="BI115" s="55"/>
      <c r="BJ115" s="55"/>
      <c r="BK115" s="55"/>
      <c r="BL115" s="55"/>
      <c r="BM115" s="55"/>
      <c r="BN115" s="55"/>
      <c r="BO115" s="55"/>
      <c r="BP115" s="55"/>
      <c r="BQ115" s="55"/>
      <c r="BR115" s="55"/>
      <c r="BS115" s="55"/>
    </row>
    <row r="116" spans="1:93" outlineLevel="1" x14ac:dyDescent="0.2">
      <c r="C116" s="11" t="str">
        <f>HM_ZD_Moho!C135</f>
        <v>Volumes de production brute cumulés</v>
      </c>
      <c r="J116" s="26"/>
      <c r="L116" s="55"/>
      <c r="M116" s="55"/>
      <c r="N116" s="55"/>
      <c r="O116" s="55"/>
      <c r="P116" s="55"/>
      <c r="Q116" s="55"/>
      <c r="R116" s="55"/>
      <c r="S116" s="55"/>
      <c r="T116" s="55"/>
      <c r="U116" s="55"/>
      <c r="V116" s="55"/>
      <c r="W116" s="55"/>
      <c r="X116" s="55"/>
      <c r="Y116" s="55"/>
      <c r="Z116" s="55"/>
      <c r="AA116" s="55"/>
      <c r="AB116" s="55"/>
      <c r="AC116" s="55"/>
      <c r="AD116" s="55"/>
      <c r="AE116" s="55"/>
      <c r="AF116" s="55"/>
      <c r="AG116" s="55"/>
      <c r="AH116" s="55"/>
      <c r="AI116" s="55"/>
      <c r="AJ116" s="55"/>
      <c r="AK116" s="55"/>
      <c r="AL116" s="55"/>
      <c r="AM116" s="55"/>
      <c r="AN116" s="55"/>
      <c r="AO116" s="55"/>
      <c r="AP116" s="55"/>
      <c r="AQ116" s="55"/>
      <c r="AR116" s="55"/>
      <c r="AS116" s="55"/>
      <c r="AT116" s="55"/>
      <c r="AU116" s="55"/>
      <c r="AV116" s="55"/>
      <c r="AW116" s="55"/>
      <c r="AX116" s="55"/>
      <c r="AY116" s="55"/>
      <c r="AZ116" s="55"/>
      <c r="BA116" s="55"/>
      <c r="BB116" s="55"/>
      <c r="BC116" s="55"/>
      <c r="BD116" s="55"/>
      <c r="BE116" s="55"/>
      <c r="BF116" s="55"/>
      <c r="BG116" s="55"/>
      <c r="BH116" s="55"/>
      <c r="BI116" s="55"/>
      <c r="BJ116" s="55"/>
      <c r="BK116" s="55"/>
      <c r="BL116" s="55"/>
      <c r="BM116" s="55"/>
      <c r="BN116" s="55"/>
      <c r="BO116" s="55"/>
      <c r="BP116" s="55"/>
      <c r="BQ116" s="55"/>
      <c r="BR116" s="55"/>
      <c r="BS116" s="55"/>
    </row>
    <row r="117" spans="1:93" outlineLevel="1" x14ac:dyDescent="0.2">
      <c r="D117" t="str">
        <f>HM_ZD_Moho!D136</f>
        <v>Pétrole</v>
      </c>
      <c r="J117" s="26" t="s">
        <v>42</v>
      </c>
      <c r="K117" s="7" t="s">
        <v>135</v>
      </c>
      <c r="L117" s="49">
        <f ca="1">SUM(K117)+KLL_II_2020!CA_gross_prod_oil</f>
        <v>5.6457433560000005</v>
      </c>
      <c r="M117" s="49">
        <f ca="1">SUM(L117)+KLL_II_2020!CA_gross_prod_oil</f>
        <v>11.906103059000001</v>
      </c>
      <c r="N117" s="49">
        <f ca="1">SUM(M117)+KLL_II_2020!CA_gross_prod_oil</f>
        <v>18.966695059000003</v>
      </c>
      <c r="O117" s="49">
        <f ca="1">SUM(N117)+KLL_II_2020!CA_gross_prod_oil</f>
        <v>25.105747059000002</v>
      </c>
      <c r="P117" s="49">
        <f ca="1">SUM(O117)+KLL_II_2020!CA_gross_prod_oil</f>
        <v>30.783219059000004</v>
      </c>
      <c r="Q117" s="49">
        <f ca="1">SUM(P117)+KLL_II_2020!CA_gross_prod_oil</f>
        <v>37.185602059000004</v>
      </c>
      <c r="R117" s="49">
        <f ca="1">SUM(Q117)+KLL_II_2020!CA_gross_prod_oil</f>
        <v>43.671231012000007</v>
      </c>
      <c r="S117" s="49">
        <f ca="1">SUM(R117)+KLL_II_2020!CA_gross_prod_oil</f>
        <v>49.234131012000006</v>
      </c>
      <c r="T117" s="49">
        <f ca="1">SUM(S117)+KLL_II_2020!CA_gross_prod_oil</f>
        <v>54.407628012000004</v>
      </c>
      <c r="U117" s="49">
        <f ca="1">SUM(T117)+KLL_II_2020!CA_gross_prod_oil</f>
        <v>59.218980221999999</v>
      </c>
      <c r="V117" s="49">
        <f ca="1">SUM(U117)+KLL_II_2020!CA_gross_prod_oil</f>
        <v>63.693537777299994</v>
      </c>
      <c r="W117" s="49">
        <f ca="1">SUM(V117)+KLL_II_2020!CA_gross_prod_oil</f>
        <v>67.854876303728986</v>
      </c>
      <c r="X117" s="49">
        <f ca="1">SUM(W117)+KLL_II_2020!CA_gross_prod_oil</f>
        <v>71.724921133307959</v>
      </c>
      <c r="Y117" s="49">
        <f ca="1">SUM(X117)+KLL_II_2020!CA_gross_prod_oil</f>
        <v>71.724921133307959</v>
      </c>
      <c r="Z117" s="49">
        <f ca="1">SUM(Y117)+KLL_II_2020!CA_gross_prod_oil</f>
        <v>71.724921133307959</v>
      </c>
      <c r="AA117" s="49">
        <f ca="1">SUM(Z117)+KLL_II_2020!CA_gross_prod_oil</f>
        <v>71.724921133307959</v>
      </c>
      <c r="AB117" s="49">
        <f ca="1">SUM(AA117)+KLL_II_2020!CA_gross_prod_oil</f>
        <v>71.724921133307959</v>
      </c>
      <c r="AC117" s="49">
        <f ca="1">SUM(AB117)+KLL_II_2020!CA_gross_prod_oil</f>
        <v>71.724921133307959</v>
      </c>
      <c r="AD117" s="49">
        <f ca="1">SUM(AC117)+KLL_II_2020!CA_gross_prod_oil</f>
        <v>71.724921133307959</v>
      </c>
      <c r="AE117" s="49">
        <f ca="1">SUM(AD117)+KLL_II_2020!CA_gross_prod_oil</f>
        <v>71.724921133307959</v>
      </c>
      <c r="AF117" s="49">
        <f ca="1">SUM(AE117)+KLL_II_2020!CA_gross_prod_oil</f>
        <v>71.724921133307959</v>
      </c>
      <c r="AG117" s="49">
        <f ca="1">SUM(AF117)+KLL_II_2020!CA_gross_prod_oil</f>
        <v>71.724921133307959</v>
      </c>
      <c r="AH117" s="49">
        <f ca="1">SUM(AG117)+KLL_II_2020!CA_gross_prod_oil</f>
        <v>71.724921133307959</v>
      </c>
      <c r="AI117" s="49">
        <f ca="1">SUM(AH117)+KLL_II_2020!CA_gross_prod_oil</f>
        <v>71.724921133307959</v>
      </c>
      <c r="AJ117" s="49">
        <f ca="1">SUM(AI117)+KLL_II_2020!CA_gross_prod_oil</f>
        <v>71.724921133307959</v>
      </c>
      <c r="AK117" s="49">
        <f ca="1">SUM(AJ117)+KLL_II_2020!CA_gross_prod_oil</f>
        <v>71.724921133307959</v>
      </c>
      <c r="AL117" s="49">
        <f ca="1">SUM(AK117)+KLL_II_2020!CA_gross_prod_oil</f>
        <v>71.724921133307959</v>
      </c>
      <c r="AM117" s="49">
        <f ca="1">SUM(AL117)+KLL_II_2020!CA_gross_prod_oil</f>
        <v>71.724921133307959</v>
      </c>
      <c r="AN117" s="49">
        <f ca="1">SUM(AM117)+KLL_II_2020!CA_gross_prod_oil</f>
        <v>71.724921133307959</v>
      </c>
      <c r="AO117" s="49">
        <f ca="1">SUM(AN117)+KLL_II_2020!CA_gross_prod_oil</f>
        <v>71.724921133307959</v>
      </c>
      <c r="AP117" s="49">
        <f ca="1">SUM(AO117)+KLL_II_2020!CA_gross_prod_oil</f>
        <v>71.724921133307959</v>
      </c>
      <c r="AQ117" s="49">
        <f ca="1">SUM(AP117)+KLL_II_2020!CA_gross_prod_oil</f>
        <v>71.724921133307959</v>
      </c>
      <c r="AR117" s="49">
        <f ca="1">SUM(AQ117)+KLL_II_2020!CA_gross_prod_oil</f>
        <v>71.724921133307959</v>
      </c>
      <c r="AS117" s="49">
        <f ca="1">SUM(AR117)+KLL_II_2020!CA_gross_prod_oil</f>
        <v>71.724921133307959</v>
      </c>
      <c r="AT117" s="49">
        <f ca="1">SUM(AS117)+KLL_II_2020!CA_gross_prod_oil</f>
        <v>71.724921133307959</v>
      </c>
      <c r="AU117" s="49">
        <f ca="1">SUM(AT117)+KLL_II_2020!CA_gross_prod_oil</f>
        <v>71.724921133307959</v>
      </c>
      <c r="AV117" s="49">
        <f ca="1">SUM(AU117)+KLL_II_2020!CA_gross_prod_oil</f>
        <v>71.724921133307959</v>
      </c>
      <c r="AW117" s="49">
        <f ca="1">SUM(AV117)+KLL_II_2020!CA_gross_prod_oil</f>
        <v>71.724921133307959</v>
      </c>
      <c r="AX117" s="49">
        <f ca="1">SUM(AW117)+KLL_II_2020!CA_gross_prod_oil</f>
        <v>71.724921133307959</v>
      </c>
      <c r="AY117" s="49">
        <f ca="1">SUM(AX117)+KLL_II_2020!CA_gross_prod_oil</f>
        <v>71.724921133307959</v>
      </c>
      <c r="AZ117" s="49">
        <f ca="1">SUM(AY117)+KLL_II_2020!CA_gross_prod_oil</f>
        <v>71.724921133307959</v>
      </c>
      <c r="BA117" s="49">
        <f ca="1">SUM(AZ117)+KLL_II_2020!CA_gross_prod_oil</f>
        <v>71.724921133307959</v>
      </c>
      <c r="BB117" s="49">
        <f ca="1">SUM(BA117)+KLL_II_2020!CA_gross_prod_oil</f>
        <v>71.724921133307959</v>
      </c>
      <c r="BC117" s="49">
        <f ca="1">SUM(BB117)+KLL_II_2020!CA_gross_prod_oil</f>
        <v>71.724921133307959</v>
      </c>
      <c r="BD117" s="49">
        <f ca="1">SUM(BC117)+KLL_II_2020!CA_gross_prod_oil</f>
        <v>71.724921133307959</v>
      </c>
      <c r="BE117" s="49">
        <f ca="1">SUM(BD117)+KLL_II_2020!CA_gross_prod_oil</f>
        <v>71.724921133307959</v>
      </c>
      <c r="BF117" s="49">
        <f ca="1">SUM(BE117)+KLL_II_2020!CA_gross_prod_oil</f>
        <v>71.724921133307959</v>
      </c>
      <c r="BG117" s="49">
        <f ca="1">SUM(BF117)+KLL_II_2020!CA_gross_prod_oil</f>
        <v>71.724921133307959</v>
      </c>
      <c r="BH117" s="49">
        <f ca="1">SUM(BG117)+KLL_II_2020!CA_gross_prod_oil</f>
        <v>71.724921133307959</v>
      </c>
      <c r="BI117" s="49">
        <f ca="1">SUM(BH117)+KLL_II_2020!CA_gross_prod_oil</f>
        <v>71.724921133307959</v>
      </c>
      <c r="BJ117" s="49">
        <f ca="1">SUM(BI117)+KLL_II_2020!CA_gross_prod_oil</f>
        <v>71.724921133307959</v>
      </c>
      <c r="BK117" s="49">
        <f ca="1">SUM(BJ117)+KLL_II_2020!CA_gross_prod_oil</f>
        <v>71.724921133307959</v>
      </c>
      <c r="BL117" s="49">
        <f ca="1">SUM(BK117)+KLL_II_2020!CA_gross_prod_oil</f>
        <v>71.724921133307959</v>
      </c>
      <c r="BM117" s="49">
        <f ca="1">SUM(BL117)+KLL_II_2020!CA_gross_prod_oil</f>
        <v>71.724921133307959</v>
      </c>
      <c r="BN117" s="49">
        <f ca="1">SUM(BM117)+KLL_II_2020!CA_gross_prod_oil</f>
        <v>71.724921133307959</v>
      </c>
      <c r="BO117" s="49">
        <f ca="1">SUM(BN117)+KLL_II_2020!CA_gross_prod_oil</f>
        <v>71.724921133307959</v>
      </c>
      <c r="BP117" s="49">
        <f ca="1">SUM(BO117)+KLL_II_2020!CA_gross_prod_oil</f>
        <v>71.724921133307959</v>
      </c>
      <c r="BQ117" s="49">
        <f ca="1">SUM(BP117)+KLL_II_2020!CA_gross_prod_oil</f>
        <v>71.724921133307959</v>
      </c>
      <c r="BR117" s="49">
        <f ca="1">SUM(BQ117)+KLL_II_2020!CA_gross_prod_oil</f>
        <v>71.724921133307959</v>
      </c>
      <c r="BS117" s="49">
        <f ca="1">SUM(BR117)+KLL_II_2020!CA_gross_prod_oil</f>
        <v>71.724921133307959</v>
      </c>
    </row>
    <row r="118" spans="1:93" outlineLevel="1" x14ac:dyDescent="0.2">
      <c r="D118" t="str">
        <f>HM_ZD_Moho!D137</f>
        <v>GPL</v>
      </c>
      <c r="J118" s="26" t="s">
        <v>42</v>
      </c>
      <c r="K118" s="7" t="s">
        <v>686</v>
      </c>
      <c r="L118" s="49">
        <f ca="1">SUM(K118)+KLL_II_2020!CA_gross_prod_lpg</f>
        <v>0</v>
      </c>
      <c r="M118" s="49">
        <f ca="1">SUM(L118)+KLL_II_2020!CA_gross_prod_lpg</f>
        <v>0</v>
      </c>
      <c r="N118" s="49">
        <f ca="1">SUM(M118)+KLL_II_2020!CA_gross_prod_lpg</f>
        <v>0</v>
      </c>
      <c r="O118" s="49">
        <f ca="1">SUM(N118)+KLL_II_2020!CA_gross_prod_lpg</f>
        <v>1.9000000000000002E-11</v>
      </c>
      <c r="P118" s="49">
        <f ca="1">SUM(O118)+KLL_II_2020!CA_gross_prod_lpg</f>
        <v>3.8000019000000001E-5</v>
      </c>
      <c r="Q118" s="49">
        <f ca="1">SUM(P118)+KLL_II_2020!CA_gross_prod_lpg</f>
        <v>3.8000056999999998E-5</v>
      </c>
      <c r="R118" s="49">
        <f ca="1">SUM(Q118)+KLL_II_2020!CA_gross_prod_lpg</f>
        <v>3.8000057000037999E-5</v>
      </c>
      <c r="S118" s="49">
        <f ca="1">SUM(R118)+KLL_II_2020!CA_gross_prod_lpg</f>
        <v>3.8000057000037999E-5</v>
      </c>
      <c r="T118" s="49">
        <f ca="1">SUM(S118)+KLL_II_2020!CA_gross_prod_lpg</f>
        <v>3.8000057000037999E-5</v>
      </c>
      <c r="U118" s="49">
        <f ca="1">SUM(T118)+KLL_II_2020!CA_gross_prod_lpg</f>
        <v>3.8000057000037999E-5</v>
      </c>
      <c r="V118" s="49">
        <f ca="1">SUM(U118)+KLL_II_2020!CA_gross_prod_lpg</f>
        <v>3.8000057000037999E-5</v>
      </c>
      <c r="W118" s="49">
        <f ca="1">SUM(V118)+KLL_II_2020!CA_gross_prod_lpg</f>
        <v>3.8000057000037999E-5</v>
      </c>
      <c r="X118" s="49">
        <f ca="1">SUM(W118)+KLL_II_2020!CA_gross_prod_lpg</f>
        <v>3.8000057000037999E-5</v>
      </c>
      <c r="Y118" s="49">
        <f ca="1">SUM(X118)+KLL_II_2020!CA_gross_prod_lpg</f>
        <v>3.8000057000037999E-5</v>
      </c>
      <c r="Z118" s="49">
        <f ca="1">SUM(Y118)+KLL_II_2020!CA_gross_prod_lpg</f>
        <v>3.8000057000037999E-5</v>
      </c>
      <c r="AA118" s="49">
        <f ca="1">SUM(Z118)+KLL_II_2020!CA_gross_prod_lpg</f>
        <v>3.8000057000037999E-5</v>
      </c>
      <c r="AB118" s="49">
        <f ca="1">SUM(AA118)+KLL_II_2020!CA_gross_prod_lpg</f>
        <v>3.8000057000037999E-5</v>
      </c>
      <c r="AC118" s="49">
        <f ca="1">SUM(AB118)+KLL_II_2020!CA_gross_prod_lpg</f>
        <v>3.8000057000037999E-5</v>
      </c>
      <c r="AD118" s="49">
        <f ca="1">SUM(AC118)+KLL_II_2020!CA_gross_prod_lpg</f>
        <v>3.8000057000037999E-5</v>
      </c>
      <c r="AE118" s="49">
        <f ca="1">SUM(AD118)+KLL_II_2020!CA_gross_prod_lpg</f>
        <v>3.8000057000037999E-5</v>
      </c>
      <c r="AF118" s="49">
        <f ca="1">SUM(AE118)+KLL_II_2020!CA_gross_prod_lpg</f>
        <v>3.8000057000037999E-5</v>
      </c>
      <c r="AG118" s="49">
        <f ca="1">SUM(AF118)+KLL_II_2020!CA_gross_prod_lpg</f>
        <v>3.8000057000037999E-5</v>
      </c>
      <c r="AH118" s="49">
        <f ca="1">SUM(AG118)+KLL_II_2020!CA_gross_prod_lpg</f>
        <v>3.8000057000037999E-5</v>
      </c>
      <c r="AI118" s="49">
        <f ca="1">SUM(AH118)+KLL_II_2020!CA_gross_prod_lpg</f>
        <v>3.8000057000037999E-5</v>
      </c>
      <c r="AJ118" s="49">
        <f ca="1">SUM(AI118)+KLL_II_2020!CA_gross_prod_lpg</f>
        <v>3.8000057000037999E-5</v>
      </c>
      <c r="AK118" s="49">
        <f ca="1">SUM(AJ118)+KLL_II_2020!CA_gross_prod_lpg</f>
        <v>3.8000057000037999E-5</v>
      </c>
      <c r="AL118" s="49">
        <f ca="1">SUM(AK118)+KLL_II_2020!CA_gross_prod_lpg</f>
        <v>3.8000057000037999E-5</v>
      </c>
      <c r="AM118" s="49">
        <f ca="1">SUM(AL118)+KLL_II_2020!CA_gross_prod_lpg</f>
        <v>3.8000057000037999E-5</v>
      </c>
      <c r="AN118" s="49">
        <f ca="1">SUM(AM118)+KLL_II_2020!CA_gross_prod_lpg</f>
        <v>3.8000057000037999E-5</v>
      </c>
      <c r="AO118" s="49">
        <f ca="1">SUM(AN118)+KLL_II_2020!CA_gross_prod_lpg</f>
        <v>3.8000057000037999E-5</v>
      </c>
      <c r="AP118" s="49">
        <f ca="1">SUM(AO118)+KLL_II_2020!CA_gross_prod_lpg</f>
        <v>3.8000057000037999E-5</v>
      </c>
      <c r="AQ118" s="49">
        <f ca="1">SUM(AP118)+KLL_II_2020!CA_gross_prod_lpg</f>
        <v>3.8000057000037999E-5</v>
      </c>
      <c r="AR118" s="49">
        <f ca="1">SUM(AQ118)+KLL_II_2020!CA_gross_prod_lpg</f>
        <v>3.8000057000037999E-5</v>
      </c>
      <c r="AS118" s="49">
        <f ca="1">SUM(AR118)+KLL_II_2020!CA_gross_prod_lpg</f>
        <v>3.8000057000037999E-5</v>
      </c>
      <c r="AT118" s="49">
        <f ca="1">SUM(AS118)+KLL_II_2020!CA_gross_prod_lpg</f>
        <v>3.8000057000037999E-5</v>
      </c>
      <c r="AU118" s="49">
        <f ca="1">SUM(AT118)+KLL_II_2020!CA_gross_prod_lpg</f>
        <v>3.8000057000037999E-5</v>
      </c>
      <c r="AV118" s="49">
        <f ca="1">SUM(AU118)+KLL_II_2020!CA_gross_prod_lpg</f>
        <v>3.8000057000037999E-5</v>
      </c>
      <c r="AW118" s="49">
        <f ca="1">SUM(AV118)+KLL_II_2020!CA_gross_prod_lpg</f>
        <v>3.8000057000037999E-5</v>
      </c>
      <c r="AX118" s="49">
        <f ca="1">SUM(AW118)+KLL_II_2020!CA_gross_prod_lpg</f>
        <v>3.8000057000037999E-5</v>
      </c>
      <c r="AY118" s="49">
        <f ca="1">SUM(AX118)+KLL_II_2020!CA_gross_prod_lpg</f>
        <v>3.8000057000037999E-5</v>
      </c>
      <c r="AZ118" s="49">
        <f ca="1">SUM(AY118)+KLL_II_2020!CA_gross_prod_lpg</f>
        <v>3.8000057000037999E-5</v>
      </c>
      <c r="BA118" s="49">
        <f ca="1">SUM(AZ118)+KLL_II_2020!CA_gross_prod_lpg</f>
        <v>3.8000057000037999E-5</v>
      </c>
      <c r="BB118" s="49">
        <f ca="1">SUM(BA118)+KLL_II_2020!CA_gross_prod_lpg</f>
        <v>3.8000057000037999E-5</v>
      </c>
      <c r="BC118" s="49">
        <f ca="1">SUM(BB118)+KLL_II_2020!CA_gross_prod_lpg</f>
        <v>3.8000057000037999E-5</v>
      </c>
      <c r="BD118" s="49">
        <f ca="1">SUM(BC118)+KLL_II_2020!CA_gross_prod_lpg</f>
        <v>3.8000057000037999E-5</v>
      </c>
      <c r="BE118" s="49">
        <f ca="1">SUM(BD118)+KLL_II_2020!CA_gross_prod_lpg</f>
        <v>3.8000057000037999E-5</v>
      </c>
      <c r="BF118" s="49">
        <f ca="1">SUM(BE118)+KLL_II_2020!CA_gross_prod_lpg</f>
        <v>3.8000057000037999E-5</v>
      </c>
      <c r="BG118" s="49">
        <f ca="1">SUM(BF118)+KLL_II_2020!CA_gross_prod_lpg</f>
        <v>3.8000057000037999E-5</v>
      </c>
      <c r="BH118" s="49">
        <f ca="1">SUM(BG118)+KLL_II_2020!CA_gross_prod_lpg</f>
        <v>3.8000057000037999E-5</v>
      </c>
      <c r="BI118" s="49">
        <f ca="1">SUM(BH118)+KLL_II_2020!CA_gross_prod_lpg</f>
        <v>3.8000057000037999E-5</v>
      </c>
      <c r="BJ118" s="49">
        <f ca="1">SUM(BI118)+KLL_II_2020!CA_gross_prod_lpg</f>
        <v>3.8000057000037999E-5</v>
      </c>
      <c r="BK118" s="49">
        <f ca="1">SUM(BJ118)+KLL_II_2020!CA_gross_prod_lpg</f>
        <v>3.8000057000037999E-5</v>
      </c>
      <c r="BL118" s="49">
        <f ca="1">SUM(BK118)+KLL_II_2020!CA_gross_prod_lpg</f>
        <v>3.8000057000037999E-5</v>
      </c>
      <c r="BM118" s="49">
        <f ca="1">SUM(BL118)+KLL_II_2020!CA_gross_prod_lpg</f>
        <v>3.8000057000037999E-5</v>
      </c>
      <c r="BN118" s="49">
        <f ca="1">SUM(BM118)+KLL_II_2020!CA_gross_prod_lpg</f>
        <v>3.8000057000037999E-5</v>
      </c>
      <c r="BO118" s="49">
        <f ca="1">SUM(BN118)+KLL_II_2020!CA_gross_prod_lpg</f>
        <v>3.8000057000037999E-5</v>
      </c>
      <c r="BP118" s="49">
        <f ca="1">SUM(BO118)+KLL_II_2020!CA_gross_prod_lpg</f>
        <v>3.8000057000037999E-5</v>
      </c>
      <c r="BQ118" s="49">
        <f ca="1">SUM(BP118)+KLL_II_2020!CA_gross_prod_lpg</f>
        <v>3.8000057000037999E-5</v>
      </c>
      <c r="BR118" s="49">
        <f ca="1">SUM(BQ118)+KLL_II_2020!CA_gross_prod_lpg</f>
        <v>3.8000057000037999E-5</v>
      </c>
      <c r="BS118" s="49">
        <f ca="1">SUM(BR118)+KLL_II_2020!CA_gross_prod_lpg</f>
        <v>3.8000057000037999E-5</v>
      </c>
    </row>
    <row r="119" spans="1:93" outlineLevel="1" x14ac:dyDescent="0.2">
      <c r="D119" t="str">
        <f>HM_ZD_Moho!D138</f>
        <v>Gaz</v>
      </c>
      <c r="J119" s="26" t="s">
        <v>653</v>
      </c>
      <c r="K119" s="7" t="s">
        <v>136</v>
      </c>
      <c r="L119" s="49">
        <f ca="1">SUM(K119)+KLL_II_2020!CA_gross_prod_gas</f>
        <v>0</v>
      </c>
      <c r="M119" s="49">
        <f ca="1">SUM(L119)+KLL_II_2020!CA_gross_prod_gas</f>
        <v>0</v>
      </c>
      <c r="N119" s="49">
        <f ca="1">SUM(M119)+KLL_II_2020!CA_gross_prod_gas</f>
        <v>0</v>
      </c>
      <c r="O119" s="49">
        <f ca="1">SUM(N119)+KLL_II_2020!CA_gross_prod_gas</f>
        <v>0</v>
      </c>
      <c r="P119" s="49">
        <f ca="1">SUM(O119)+KLL_II_2020!CA_gross_prod_gas</f>
        <v>0</v>
      </c>
      <c r="Q119" s="49">
        <f ca="1">SUM(P119)+KLL_II_2020!CA_gross_prod_gas</f>
        <v>0</v>
      </c>
      <c r="R119" s="49">
        <f ca="1">SUM(Q119)+KLL_II_2020!CA_gross_prod_gas</f>
        <v>0</v>
      </c>
      <c r="S119" s="49">
        <f ca="1">SUM(R119)+KLL_II_2020!CA_gross_prod_gas</f>
        <v>0</v>
      </c>
      <c r="T119" s="49">
        <f ca="1">SUM(S119)+KLL_II_2020!CA_gross_prod_gas</f>
        <v>0</v>
      </c>
      <c r="U119" s="49">
        <f ca="1">SUM(T119)+KLL_II_2020!CA_gross_prod_gas</f>
        <v>0</v>
      </c>
      <c r="V119" s="49">
        <f ca="1">SUM(U119)+KLL_II_2020!CA_gross_prod_gas</f>
        <v>0</v>
      </c>
      <c r="W119" s="49">
        <f ca="1">SUM(V119)+KLL_II_2020!CA_gross_prod_gas</f>
        <v>0</v>
      </c>
      <c r="X119" s="49">
        <f ca="1">SUM(W119)+KLL_II_2020!CA_gross_prod_gas</f>
        <v>0</v>
      </c>
      <c r="Y119" s="49">
        <f ca="1">SUM(X119)+KLL_II_2020!CA_gross_prod_gas</f>
        <v>0</v>
      </c>
      <c r="Z119" s="49">
        <f ca="1">SUM(Y119)+KLL_II_2020!CA_gross_prod_gas</f>
        <v>0</v>
      </c>
      <c r="AA119" s="49">
        <f ca="1">SUM(Z119)+KLL_II_2020!CA_gross_prod_gas</f>
        <v>0</v>
      </c>
      <c r="AB119" s="49">
        <f ca="1">SUM(AA119)+KLL_II_2020!CA_gross_prod_gas</f>
        <v>0</v>
      </c>
      <c r="AC119" s="49">
        <f ca="1">SUM(AB119)+KLL_II_2020!CA_gross_prod_gas</f>
        <v>0</v>
      </c>
      <c r="AD119" s="49">
        <f ca="1">SUM(AC119)+KLL_II_2020!CA_gross_prod_gas</f>
        <v>0</v>
      </c>
      <c r="AE119" s="49">
        <f ca="1">SUM(AD119)+KLL_II_2020!CA_gross_prod_gas</f>
        <v>0</v>
      </c>
      <c r="AF119" s="49">
        <f ca="1">SUM(AE119)+KLL_II_2020!CA_gross_prod_gas</f>
        <v>0</v>
      </c>
      <c r="AG119" s="49">
        <f ca="1">SUM(AF119)+KLL_II_2020!CA_gross_prod_gas</f>
        <v>0</v>
      </c>
      <c r="AH119" s="49">
        <f ca="1">SUM(AG119)+KLL_II_2020!CA_gross_prod_gas</f>
        <v>0</v>
      </c>
      <c r="AI119" s="49">
        <f ca="1">SUM(AH119)+KLL_II_2020!CA_gross_prod_gas</f>
        <v>0</v>
      </c>
      <c r="AJ119" s="49">
        <f ca="1">SUM(AI119)+KLL_II_2020!CA_gross_prod_gas</f>
        <v>0</v>
      </c>
      <c r="AK119" s="49">
        <f ca="1">SUM(AJ119)+KLL_II_2020!CA_gross_prod_gas</f>
        <v>0</v>
      </c>
      <c r="AL119" s="49">
        <f ca="1">SUM(AK119)+KLL_II_2020!CA_gross_prod_gas</f>
        <v>0</v>
      </c>
      <c r="AM119" s="49">
        <f ca="1">SUM(AL119)+KLL_II_2020!CA_gross_prod_gas</f>
        <v>0</v>
      </c>
      <c r="AN119" s="49">
        <f ca="1">SUM(AM119)+KLL_II_2020!CA_gross_prod_gas</f>
        <v>0</v>
      </c>
      <c r="AO119" s="49">
        <f ca="1">SUM(AN119)+KLL_II_2020!CA_gross_prod_gas</f>
        <v>0</v>
      </c>
      <c r="AP119" s="49">
        <f ca="1">SUM(AO119)+KLL_II_2020!CA_gross_prod_gas</f>
        <v>0</v>
      </c>
      <c r="AQ119" s="49">
        <f ca="1">SUM(AP119)+KLL_II_2020!CA_gross_prod_gas</f>
        <v>0</v>
      </c>
      <c r="AR119" s="49">
        <f ca="1">SUM(AQ119)+KLL_II_2020!CA_gross_prod_gas</f>
        <v>0</v>
      </c>
      <c r="AS119" s="49">
        <f ca="1">SUM(AR119)+KLL_II_2020!CA_gross_prod_gas</f>
        <v>0</v>
      </c>
      <c r="AT119" s="49">
        <f ca="1">SUM(AS119)+KLL_II_2020!CA_gross_prod_gas</f>
        <v>0</v>
      </c>
      <c r="AU119" s="49">
        <f ca="1">SUM(AT119)+KLL_II_2020!CA_gross_prod_gas</f>
        <v>0</v>
      </c>
      <c r="AV119" s="49">
        <f ca="1">SUM(AU119)+KLL_II_2020!CA_gross_prod_gas</f>
        <v>0</v>
      </c>
      <c r="AW119" s="49">
        <f ca="1">SUM(AV119)+KLL_II_2020!CA_gross_prod_gas</f>
        <v>0</v>
      </c>
      <c r="AX119" s="49">
        <f ca="1">SUM(AW119)+KLL_II_2020!CA_gross_prod_gas</f>
        <v>0</v>
      </c>
      <c r="AY119" s="49">
        <f ca="1">SUM(AX119)+KLL_II_2020!CA_gross_prod_gas</f>
        <v>0</v>
      </c>
      <c r="AZ119" s="49">
        <f ca="1">SUM(AY119)+KLL_II_2020!CA_gross_prod_gas</f>
        <v>0</v>
      </c>
      <c r="BA119" s="49">
        <f ca="1">SUM(AZ119)+KLL_II_2020!CA_gross_prod_gas</f>
        <v>0</v>
      </c>
      <c r="BB119" s="49">
        <f ca="1">SUM(BA119)+KLL_II_2020!CA_gross_prod_gas</f>
        <v>0</v>
      </c>
      <c r="BC119" s="49">
        <f ca="1">SUM(BB119)+KLL_II_2020!CA_gross_prod_gas</f>
        <v>0</v>
      </c>
      <c r="BD119" s="49">
        <f ca="1">SUM(BC119)+KLL_II_2020!CA_gross_prod_gas</f>
        <v>0</v>
      </c>
      <c r="BE119" s="49">
        <f ca="1">SUM(BD119)+KLL_II_2020!CA_gross_prod_gas</f>
        <v>0</v>
      </c>
      <c r="BF119" s="49">
        <f ca="1">SUM(BE119)+KLL_II_2020!CA_gross_prod_gas</f>
        <v>0</v>
      </c>
      <c r="BG119" s="49">
        <f ca="1">SUM(BF119)+KLL_II_2020!CA_gross_prod_gas</f>
        <v>0</v>
      </c>
      <c r="BH119" s="49">
        <f ca="1">SUM(BG119)+KLL_II_2020!CA_gross_prod_gas</f>
        <v>0</v>
      </c>
      <c r="BI119" s="49">
        <f ca="1">SUM(BH119)+KLL_II_2020!CA_gross_prod_gas</f>
        <v>0</v>
      </c>
      <c r="BJ119" s="49">
        <f ca="1">SUM(BI119)+KLL_II_2020!CA_gross_prod_gas</f>
        <v>0</v>
      </c>
      <c r="BK119" s="49">
        <f ca="1">SUM(BJ119)+KLL_II_2020!CA_gross_prod_gas</f>
        <v>0</v>
      </c>
      <c r="BL119" s="49">
        <f ca="1">SUM(BK119)+KLL_II_2020!CA_gross_prod_gas</f>
        <v>0</v>
      </c>
      <c r="BM119" s="49">
        <f ca="1">SUM(BL119)+KLL_II_2020!CA_gross_prod_gas</f>
        <v>0</v>
      </c>
      <c r="BN119" s="49">
        <f ca="1">SUM(BM119)+KLL_II_2020!CA_gross_prod_gas</f>
        <v>0</v>
      </c>
      <c r="BO119" s="49">
        <f ca="1">SUM(BN119)+KLL_II_2020!CA_gross_prod_gas</f>
        <v>0</v>
      </c>
      <c r="BP119" s="49">
        <f ca="1">SUM(BO119)+KLL_II_2020!CA_gross_prod_gas</f>
        <v>0</v>
      </c>
      <c r="BQ119" s="49">
        <f ca="1">SUM(BP119)+KLL_II_2020!CA_gross_prod_gas</f>
        <v>0</v>
      </c>
      <c r="BR119" s="49">
        <f ca="1">SUM(BQ119)+KLL_II_2020!CA_gross_prod_gas</f>
        <v>0</v>
      </c>
      <c r="BS119" s="49">
        <f ca="1">SUM(BR119)+KLL_II_2020!CA_gross_prod_gas</f>
        <v>0</v>
      </c>
    </row>
    <row r="120" spans="1:93" outlineLevel="1" x14ac:dyDescent="0.2">
      <c r="D120" s="47" t="str">
        <f>HM_ZD_Moho!D139</f>
        <v>Total</v>
      </c>
      <c r="E120" s="6"/>
      <c r="F120" s="6"/>
      <c r="G120" s="6"/>
      <c r="H120" s="6"/>
      <c r="I120" s="6"/>
      <c r="J120" s="26" t="s">
        <v>130</v>
      </c>
      <c r="K120" s="7" t="s">
        <v>137</v>
      </c>
      <c r="L120" s="49">
        <f t="shared" ref="L120:AQ120" ca="1" si="8">SUM(L117,L118,L119/conv_CMtoBbls)</f>
        <v>5.6457433560000005</v>
      </c>
      <c r="M120" s="49">
        <f t="shared" ca="1" si="8"/>
        <v>11.906103059000001</v>
      </c>
      <c r="N120" s="49">
        <f t="shared" ca="1" si="8"/>
        <v>18.966695059000003</v>
      </c>
      <c r="O120" s="49">
        <f t="shared" ca="1" si="8"/>
        <v>25.105747059019002</v>
      </c>
      <c r="P120" s="49">
        <f t="shared" ca="1" si="8"/>
        <v>30.783257059019004</v>
      </c>
      <c r="Q120" s="49">
        <f t="shared" ca="1" si="8"/>
        <v>37.185640059057008</v>
      </c>
      <c r="R120" s="49">
        <f t="shared" ca="1" si="8"/>
        <v>43.67126901205701</v>
      </c>
      <c r="S120" s="49">
        <f t="shared" ca="1" si="8"/>
        <v>49.234169012057009</v>
      </c>
      <c r="T120" s="49">
        <f t="shared" ca="1" si="8"/>
        <v>54.407666012057007</v>
      </c>
      <c r="U120" s="49">
        <f t="shared" ca="1" si="8"/>
        <v>59.219018222057002</v>
      </c>
      <c r="V120" s="49">
        <f t="shared" ca="1" si="8"/>
        <v>63.693575777356997</v>
      </c>
      <c r="W120" s="49">
        <f t="shared" ca="1" si="8"/>
        <v>67.854914303785989</v>
      </c>
      <c r="X120" s="49">
        <f t="shared" ca="1" si="8"/>
        <v>71.724959133364962</v>
      </c>
      <c r="Y120" s="49">
        <f t="shared" ca="1" si="8"/>
        <v>71.724959133364962</v>
      </c>
      <c r="Z120" s="49">
        <f t="shared" ca="1" si="8"/>
        <v>71.724959133364962</v>
      </c>
      <c r="AA120" s="49">
        <f t="shared" ca="1" si="8"/>
        <v>71.724959133364962</v>
      </c>
      <c r="AB120" s="49">
        <f t="shared" ca="1" si="8"/>
        <v>71.724959133364962</v>
      </c>
      <c r="AC120" s="49">
        <f t="shared" ca="1" si="8"/>
        <v>71.724959133364962</v>
      </c>
      <c r="AD120" s="49">
        <f t="shared" ca="1" si="8"/>
        <v>71.724959133364962</v>
      </c>
      <c r="AE120" s="49">
        <f t="shared" ca="1" si="8"/>
        <v>71.724959133364962</v>
      </c>
      <c r="AF120" s="49">
        <f t="shared" ca="1" si="8"/>
        <v>71.724959133364962</v>
      </c>
      <c r="AG120" s="49">
        <f t="shared" ca="1" si="8"/>
        <v>71.724959133364962</v>
      </c>
      <c r="AH120" s="49">
        <f t="shared" ca="1" si="8"/>
        <v>71.724959133364962</v>
      </c>
      <c r="AI120" s="49">
        <f t="shared" ca="1" si="8"/>
        <v>71.724959133364962</v>
      </c>
      <c r="AJ120" s="49">
        <f t="shared" ca="1" si="8"/>
        <v>71.724959133364962</v>
      </c>
      <c r="AK120" s="49">
        <f t="shared" ca="1" si="8"/>
        <v>71.724959133364962</v>
      </c>
      <c r="AL120" s="49">
        <f t="shared" ca="1" si="8"/>
        <v>71.724959133364962</v>
      </c>
      <c r="AM120" s="49">
        <f t="shared" ca="1" si="8"/>
        <v>71.724959133364962</v>
      </c>
      <c r="AN120" s="49">
        <f t="shared" ca="1" si="8"/>
        <v>71.724959133364962</v>
      </c>
      <c r="AO120" s="49">
        <f t="shared" ca="1" si="8"/>
        <v>71.724959133364962</v>
      </c>
      <c r="AP120" s="49">
        <f t="shared" ca="1" si="8"/>
        <v>71.724959133364962</v>
      </c>
      <c r="AQ120" s="49">
        <f t="shared" ca="1" si="8"/>
        <v>71.724959133364962</v>
      </c>
      <c r="AR120" s="49">
        <f t="shared" ref="AR120:BS120" ca="1" si="9">SUM(AR117,AR118,AR119/conv_CMtoBbls)</f>
        <v>71.724959133364962</v>
      </c>
      <c r="AS120" s="49">
        <f t="shared" ca="1" si="9"/>
        <v>71.724959133364962</v>
      </c>
      <c r="AT120" s="49">
        <f t="shared" ca="1" si="9"/>
        <v>71.724959133364962</v>
      </c>
      <c r="AU120" s="49">
        <f t="shared" ca="1" si="9"/>
        <v>71.724959133364962</v>
      </c>
      <c r="AV120" s="49">
        <f t="shared" ca="1" si="9"/>
        <v>71.724959133364962</v>
      </c>
      <c r="AW120" s="49">
        <f t="shared" ca="1" si="9"/>
        <v>71.724959133364962</v>
      </c>
      <c r="AX120" s="49">
        <f t="shared" ca="1" si="9"/>
        <v>71.724959133364962</v>
      </c>
      <c r="AY120" s="49">
        <f t="shared" ca="1" si="9"/>
        <v>71.724959133364962</v>
      </c>
      <c r="AZ120" s="49">
        <f t="shared" ca="1" si="9"/>
        <v>71.724959133364962</v>
      </c>
      <c r="BA120" s="49">
        <f t="shared" ca="1" si="9"/>
        <v>71.724959133364962</v>
      </c>
      <c r="BB120" s="49">
        <f t="shared" ca="1" si="9"/>
        <v>71.724959133364962</v>
      </c>
      <c r="BC120" s="49">
        <f t="shared" ca="1" si="9"/>
        <v>71.724959133364962</v>
      </c>
      <c r="BD120" s="49">
        <f t="shared" ca="1" si="9"/>
        <v>71.724959133364962</v>
      </c>
      <c r="BE120" s="49">
        <f t="shared" ca="1" si="9"/>
        <v>71.724959133364962</v>
      </c>
      <c r="BF120" s="49">
        <f t="shared" ca="1" si="9"/>
        <v>71.724959133364962</v>
      </c>
      <c r="BG120" s="49">
        <f t="shared" ca="1" si="9"/>
        <v>71.724959133364962</v>
      </c>
      <c r="BH120" s="49">
        <f t="shared" ca="1" si="9"/>
        <v>71.724959133364962</v>
      </c>
      <c r="BI120" s="49">
        <f t="shared" ca="1" si="9"/>
        <v>71.724959133364962</v>
      </c>
      <c r="BJ120" s="49">
        <f t="shared" ca="1" si="9"/>
        <v>71.724959133364962</v>
      </c>
      <c r="BK120" s="49">
        <f t="shared" ca="1" si="9"/>
        <v>71.724959133364962</v>
      </c>
      <c r="BL120" s="49">
        <f t="shared" ca="1" si="9"/>
        <v>71.724959133364962</v>
      </c>
      <c r="BM120" s="49">
        <f t="shared" ca="1" si="9"/>
        <v>71.724959133364962</v>
      </c>
      <c r="BN120" s="49">
        <f t="shared" ca="1" si="9"/>
        <v>71.724959133364962</v>
      </c>
      <c r="BO120" s="49">
        <f t="shared" ca="1" si="9"/>
        <v>71.724959133364962</v>
      </c>
      <c r="BP120" s="49">
        <f t="shared" ca="1" si="9"/>
        <v>71.724959133364962</v>
      </c>
      <c r="BQ120" s="49">
        <f t="shared" ca="1" si="9"/>
        <v>71.724959133364962</v>
      </c>
      <c r="BR120" s="49">
        <f t="shared" ca="1" si="9"/>
        <v>71.724959133364962</v>
      </c>
      <c r="BS120" s="49">
        <f t="shared" ca="1" si="9"/>
        <v>71.724959133364962</v>
      </c>
    </row>
    <row r="121" spans="1:93" outlineLevel="1" x14ac:dyDescent="0.2">
      <c r="J121" s="26"/>
      <c r="L121" s="55"/>
      <c r="M121" s="55"/>
      <c r="N121" s="55"/>
      <c r="O121" s="55"/>
      <c r="P121" s="55"/>
      <c r="Q121" s="55"/>
      <c r="R121" s="55"/>
      <c r="S121" s="55"/>
      <c r="T121" s="55"/>
      <c r="U121" s="55"/>
      <c r="V121" s="55"/>
      <c r="W121" s="55"/>
      <c r="X121" s="55"/>
      <c r="Y121" s="55"/>
      <c r="Z121" s="55"/>
      <c r="AA121" s="55"/>
      <c r="AB121" s="55"/>
      <c r="AC121" s="55"/>
      <c r="AD121" s="55"/>
      <c r="AE121" s="55"/>
      <c r="AF121" s="55"/>
      <c r="AG121" s="55"/>
      <c r="AH121" s="55"/>
      <c r="AI121" s="55"/>
      <c r="AJ121" s="55"/>
      <c r="AK121" s="55"/>
      <c r="AL121" s="55"/>
      <c r="AM121" s="55"/>
      <c r="AN121" s="55"/>
      <c r="AO121" s="55"/>
      <c r="AP121" s="55"/>
      <c r="AQ121" s="55"/>
      <c r="AR121" s="55"/>
      <c r="AS121" s="55"/>
      <c r="AT121" s="55"/>
      <c r="AU121" s="55"/>
      <c r="AV121" s="55"/>
      <c r="AW121" s="55"/>
      <c r="AX121" s="55"/>
      <c r="AY121" s="55"/>
      <c r="AZ121" s="55"/>
      <c r="BA121" s="55"/>
      <c r="BB121" s="55"/>
      <c r="BC121" s="55"/>
      <c r="BD121" s="55"/>
      <c r="BE121" s="55"/>
      <c r="BF121" s="55"/>
      <c r="BG121" s="55"/>
      <c r="BH121" s="55"/>
      <c r="BI121" s="55"/>
      <c r="BJ121" s="55"/>
      <c r="BK121" s="55"/>
      <c r="BL121" s="55"/>
      <c r="BM121" s="55"/>
      <c r="BN121" s="55"/>
      <c r="BO121" s="55"/>
      <c r="BP121" s="55"/>
      <c r="BQ121" s="55"/>
      <c r="BR121" s="55"/>
      <c r="BS121" s="55"/>
    </row>
    <row r="122" spans="1:93" outlineLevel="1" x14ac:dyDescent="0.2">
      <c r="C122" s="11" t="str">
        <f>HM_ZD_Moho!C141</f>
        <v>Volumes de ventes brutes</v>
      </c>
      <c r="J122" s="26"/>
    </row>
    <row r="123" spans="1:93" outlineLevel="1" x14ac:dyDescent="0.2">
      <c r="D123" t="str">
        <f>HM_ZD_Moho!D142</f>
        <v>Pétrole</v>
      </c>
      <c r="I123" s="30">
        <f ca="1">SUM($L123:$BS123)</f>
        <v>68.533596121307966</v>
      </c>
      <c r="J123" s="26" t="s">
        <v>42</v>
      </c>
      <c r="K123" s="7" t="s">
        <v>669</v>
      </c>
      <c r="L123" s="49">
        <f t="shared" ref="L123:AQ123" ca="1" si="10">OFFSET(_xlfn.SINGLE(IA_sales_oil),5,)</f>
        <v>4.7299800000000003</v>
      </c>
      <c r="M123" s="49">
        <f t="shared" ca="1" si="10"/>
        <v>5.8240230000000004</v>
      </c>
      <c r="N123" s="49">
        <f t="shared" ca="1" si="10"/>
        <v>5.9972070000000004</v>
      </c>
      <c r="O123" s="49">
        <f t="shared" ca="1" si="10"/>
        <v>6.1850569999999996</v>
      </c>
      <c r="P123" s="49">
        <f t="shared" ca="1" si="10"/>
        <v>5.5616960000000004</v>
      </c>
      <c r="Q123" s="49">
        <f t="shared" ca="1" si="10"/>
        <v>5.9897720000000003</v>
      </c>
      <c r="R123" s="49">
        <f t="shared" ca="1" si="10"/>
        <v>6.1921710000000001</v>
      </c>
      <c r="S123" s="49">
        <f t="shared" ca="1" si="10"/>
        <v>5.5629</v>
      </c>
      <c r="T123" s="49">
        <f t="shared" ca="1" si="10"/>
        <v>5.1734969999999993</v>
      </c>
      <c r="U123" s="49">
        <f t="shared" ca="1" si="10"/>
        <v>4.811352209999999</v>
      </c>
      <c r="V123" s="49">
        <f t="shared" ca="1" si="10"/>
        <v>4.4745575552999988</v>
      </c>
      <c r="W123" s="49">
        <f t="shared" ca="1" si="10"/>
        <v>4.1613385264289988</v>
      </c>
      <c r="X123" s="49">
        <f t="shared" ca="1" si="10"/>
        <v>3.8700448295789687</v>
      </c>
      <c r="Y123" s="49">
        <f t="shared" ca="1" si="10"/>
        <v>0</v>
      </c>
      <c r="Z123" s="49">
        <f t="shared" ca="1" si="10"/>
        <v>0</v>
      </c>
      <c r="AA123" s="49">
        <f t="shared" ca="1" si="10"/>
        <v>0</v>
      </c>
      <c r="AB123" s="49">
        <f t="shared" ca="1" si="10"/>
        <v>0</v>
      </c>
      <c r="AC123" s="49">
        <f t="shared" ca="1" si="10"/>
        <v>0</v>
      </c>
      <c r="AD123" s="49">
        <f t="shared" ca="1" si="10"/>
        <v>0</v>
      </c>
      <c r="AE123" s="49">
        <f t="shared" ca="1" si="10"/>
        <v>0</v>
      </c>
      <c r="AF123" s="49">
        <f t="shared" ca="1" si="10"/>
        <v>0</v>
      </c>
      <c r="AG123" s="49">
        <f t="shared" ca="1" si="10"/>
        <v>0</v>
      </c>
      <c r="AH123" s="49">
        <f t="shared" ca="1" si="10"/>
        <v>0</v>
      </c>
      <c r="AI123" s="49">
        <f t="shared" ca="1" si="10"/>
        <v>0</v>
      </c>
      <c r="AJ123" s="49">
        <f t="shared" ca="1" si="10"/>
        <v>0</v>
      </c>
      <c r="AK123" s="49">
        <f t="shared" ca="1" si="10"/>
        <v>0</v>
      </c>
      <c r="AL123" s="49">
        <f t="shared" ca="1" si="10"/>
        <v>0</v>
      </c>
      <c r="AM123" s="49">
        <f t="shared" ca="1" si="10"/>
        <v>0</v>
      </c>
      <c r="AN123" s="49">
        <f t="shared" ca="1" si="10"/>
        <v>0</v>
      </c>
      <c r="AO123" s="49">
        <f t="shared" ca="1" si="10"/>
        <v>0</v>
      </c>
      <c r="AP123" s="49">
        <f t="shared" ca="1" si="10"/>
        <v>0</v>
      </c>
      <c r="AQ123" s="49">
        <f t="shared" ca="1" si="10"/>
        <v>0</v>
      </c>
      <c r="AR123" s="49">
        <f t="shared" ref="AR123:BS123" ca="1" si="11">OFFSET(_xlfn.SINGLE(IA_sales_oil),5,)</f>
        <v>0</v>
      </c>
      <c r="AS123" s="49">
        <f t="shared" ca="1" si="11"/>
        <v>0</v>
      </c>
      <c r="AT123" s="49">
        <f t="shared" ca="1" si="11"/>
        <v>0</v>
      </c>
      <c r="AU123" s="49">
        <f t="shared" ca="1" si="11"/>
        <v>0</v>
      </c>
      <c r="AV123" s="49">
        <f t="shared" ca="1" si="11"/>
        <v>0</v>
      </c>
      <c r="AW123" s="49">
        <f t="shared" ca="1" si="11"/>
        <v>0</v>
      </c>
      <c r="AX123" s="49">
        <f t="shared" ca="1" si="11"/>
        <v>0</v>
      </c>
      <c r="AY123" s="49">
        <f t="shared" ca="1" si="11"/>
        <v>0</v>
      </c>
      <c r="AZ123" s="49">
        <f t="shared" ca="1" si="11"/>
        <v>0</v>
      </c>
      <c r="BA123" s="49">
        <f t="shared" ca="1" si="11"/>
        <v>0</v>
      </c>
      <c r="BB123" s="49">
        <f t="shared" ca="1" si="11"/>
        <v>0</v>
      </c>
      <c r="BC123" s="49">
        <f t="shared" ca="1" si="11"/>
        <v>0</v>
      </c>
      <c r="BD123" s="49">
        <f t="shared" ca="1" si="11"/>
        <v>0</v>
      </c>
      <c r="BE123" s="49">
        <f t="shared" ca="1" si="11"/>
        <v>0</v>
      </c>
      <c r="BF123" s="49">
        <f t="shared" ca="1" si="11"/>
        <v>0</v>
      </c>
      <c r="BG123" s="49">
        <f t="shared" ca="1" si="11"/>
        <v>0</v>
      </c>
      <c r="BH123" s="49">
        <f t="shared" ca="1" si="11"/>
        <v>0</v>
      </c>
      <c r="BI123" s="49">
        <f t="shared" ca="1" si="11"/>
        <v>0</v>
      </c>
      <c r="BJ123" s="49">
        <f t="shared" ca="1" si="11"/>
        <v>0</v>
      </c>
      <c r="BK123" s="49">
        <f t="shared" ca="1" si="11"/>
        <v>0</v>
      </c>
      <c r="BL123" s="49">
        <f t="shared" ca="1" si="11"/>
        <v>0</v>
      </c>
      <c r="BM123" s="49">
        <f t="shared" ca="1" si="11"/>
        <v>0</v>
      </c>
      <c r="BN123" s="49">
        <f t="shared" ca="1" si="11"/>
        <v>0</v>
      </c>
      <c r="BO123" s="49">
        <f t="shared" ca="1" si="11"/>
        <v>0</v>
      </c>
      <c r="BP123" s="49">
        <f t="shared" ca="1" si="11"/>
        <v>0</v>
      </c>
      <c r="BQ123" s="49">
        <f t="shared" ca="1" si="11"/>
        <v>0</v>
      </c>
      <c r="BR123" s="49">
        <f t="shared" ca="1" si="11"/>
        <v>0</v>
      </c>
      <c r="BS123" s="49">
        <f t="shared" ca="1" si="11"/>
        <v>0</v>
      </c>
    </row>
    <row r="124" spans="1:93" outlineLevel="1" x14ac:dyDescent="0.2">
      <c r="D124" t="str">
        <f>HM_ZD_Moho!D143</f>
        <v>GPL</v>
      </c>
      <c r="I124" s="30">
        <f ca="1">SUM($L124:$BS124)</f>
        <v>0</v>
      </c>
      <c r="J124" s="26" t="s">
        <v>42</v>
      </c>
      <c r="K124" s="7" t="s">
        <v>685</v>
      </c>
      <c r="L124" s="49">
        <f t="shared" ref="L124:AQ124" ca="1" si="12">OFFSET(_xlfn.SINGLE(IA_sales_lpg),5,)</f>
        <v>0</v>
      </c>
      <c r="M124" s="49">
        <f t="shared" ca="1" si="12"/>
        <v>0</v>
      </c>
      <c r="N124" s="49">
        <f t="shared" ca="1" si="12"/>
        <v>0</v>
      </c>
      <c r="O124" s="49">
        <f t="shared" ca="1" si="12"/>
        <v>0</v>
      </c>
      <c r="P124" s="49">
        <f t="shared" ca="1" si="12"/>
        <v>0</v>
      </c>
      <c r="Q124" s="49">
        <f t="shared" ca="1" si="12"/>
        <v>0</v>
      </c>
      <c r="R124" s="49">
        <f t="shared" ca="1" si="12"/>
        <v>0</v>
      </c>
      <c r="S124" s="49">
        <f t="shared" ca="1" si="12"/>
        <v>0</v>
      </c>
      <c r="T124" s="49">
        <f t="shared" ca="1" si="12"/>
        <v>0</v>
      </c>
      <c r="U124" s="49">
        <f t="shared" ca="1" si="12"/>
        <v>0</v>
      </c>
      <c r="V124" s="49">
        <f t="shared" ca="1" si="12"/>
        <v>0</v>
      </c>
      <c r="W124" s="49">
        <f t="shared" ca="1" si="12"/>
        <v>0</v>
      </c>
      <c r="X124" s="49">
        <f t="shared" ca="1" si="12"/>
        <v>0</v>
      </c>
      <c r="Y124" s="49">
        <f t="shared" ca="1" si="12"/>
        <v>0</v>
      </c>
      <c r="Z124" s="49">
        <f t="shared" ca="1" si="12"/>
        <v>0</v>
      </c>
      <c r="AA124" s="49">
        <f t="shared" ca="1" si="12"/>
        <v>0</v>
      </c>
      <c r="AB124" s="49">
        <f t="shared" ca="1" si="12"/>
        <v>0</v>
      </c>
      <c r="AC124" s="49">
        <f t="shared" ca="1" si="12"/>
        <v>0</v>
      </c>
      <c r="AD124" s="49">
        <f t="shared" ca="1" si="12"/>
        <v>0</v>
      </c>
      <c r="AE124" s="49">
        <f t="shared" ca="1" si="12"/>
        <v>0</v>
      </c>
      <c r="AF124" s="49">
        <f t="shared" ca="1" si="12"/>
        <v>0</v>
      </c>
      <c r="AG124" s="49">
        <f t="shared" ca="1" si="12"/>
        <v>0</v>
      </c>
      <c r="AH124" s="49">
        <f t="shared" ca="1" si="12"/>
        <v>0</v>
      </c>
      <c r="AI124" s="49">
        <f t="shared" ca="1" si="12"/>
        <v>0</v>
      </c>
      <c r="AJ124" s="49">
        <f t="shared" ca="1" si="12"/>
        <v>0</v>
      </c>
      <c r="AK124" s="49">
        <f t="shared" ca="1" si="12"/>
        <v>0</v>
      </c>
      <c r="AL124" s="49">
        <f t="shared" ca="1" si="12"/>
        <v>0</v>
      </c>
      <c r="AM124" s="49">
        <f t="shared" ca="1" si="12"/>
        <v>0</v>
      </c>
      <c r="AN124" s="49">
        <f t="shared" ca="1" si="12"/>
        <v>0</v>
      </c>
      <c r="AO124" s="49">
        <f t="shared" ca="1" si="12"/>
        <v>0</v>
      </c>
      <c r="AP124" s="49">
        <f t="shared" ca="1" si="12"/>
        <v>0</v>
      </c>
      <c r="AQ124" s="49">
        <f t="shared" ca="1" si="12"/>
        <v>0</v>
      </c>
      <c r="AR124" s="49">
        <f t="shared" ref="AR124:BS124" ca="1" si="13">OFFSET(_xlfn.SINGLE(IA_sales_lpg),5,)</f>
        <v>0</v>
      </c>
      <c r="AS124" s="49">
        <f t="shared" ca="1" si="13"/>
        <v>0</v>
      </c>
      <c r="AT124" s="49">
        <f t="shared" ca="1" si="13"/>
        <v>0</v>
      </c>
      <c r="AU124" s="49">
        <f t="shared" ca="1" si="13"/>
        <v>0</v>
      </c>
      <c r="AV124" s="49">
        <f t="shared" ca="1" si="13"/>
        <v>0</v>
      </c>
      <c r="AW124" s="49">
        <f t="shared" ca="1" si="13"/>
        <v>0</v>
      </c>
      <c r="AX124" s="49">
        <f t="shared" ca="1" si="13"/>
        <v>0</v>
      </c>
      <c r="AY124" s="49">
        <f t="shared" ca="1" si="13"/>
        <v>0</v>
      </c>
      <c r="AZ124" s="49">
        <f t="shared" ca="1" si="13"/>
        <v>0</v>
      </c>
      <c r="BA124" s="49">
        <f t="shared" ca="1" si="13"/>
        <v>0</v>
      </c>
      <c r="BB124" s="49">
        <f t="shared" ca="1" si="13"/>
        <v>0</v>
      </c>
      <c r="BC124" s="49">
        <f t="shared" ca="1" si="13"/>
        <v>0</v>
      </c>
      <c r="BD124" s="49">
        <f t="shared" ca="1" si="13"/>
        <v>0</v>
      </c>
      <c r="BE124" s="49">
        <f t="shared" ca="1" si="13"/>
        <v>0</v>
      </c>
      <c r="BF124" s="49">
        <f t="shared" ca="1" si="13"/>
        <v>0</v>
      </c>
      <c r="BG124" s="49">
        <f t="shared" ca="1" si="13"/>
        <v>0</v>
      </c>
      <c r="BH124" s="49">
        <f t="shared" ca="1" si="13"/>
        <v>0</v>
      </c>
      <c r="BI124" s="49">
        <f t="shared" ca="1" si="13"/>
        <v>0</v>
      </c>
      <c r="BJ124" s="49">
        <f t="shared" ca="1" si="13"/>
        <v>0</v>
      </c>
      <c r="BK124" s="49">
        <f t="shared" ca="1" si="13"/>
        <v>0</v>
      </c>
      <c r="BL124" s="49">
        <f t="shared" ca="1" si="13"/>
        <v>0</v>
      </c>
      <c r="BM124" s="49">
        <f t="shared" ca="1" si="13"/>
        <v>0</v>
      </c>
      <c r="BN124" s="49">
        <f t="shared" ca="1" si="13"/>
        <v>0</v>
      </c>
      <c r="BO124" s="49">
        <f t="shared" ca="1" si="13"/>
        <v>0</v>
      </c>
      <c r="BP124" s="49">
        <f t="shared" ca="1" si="13"/>
        <v>0</v>
      </c>
      <c r="BQ124" s="49">
        <f t="shared" ca="1" si="13"/>
        <v>0</v>
      </c>
      <c r="BR124" s="49">
        <f t="shared" ca="1" si="13"/>
        <v>0</v>
      </c>
      <c r="BS124" s="49">
        <f t="shared" ca="1" si="13"/>
        <v>0</v>
      </c>
    </row>
    <row r="125" spans="1:93" outlineLevel="1" x14ac:dyDescent="0.2">
      <c r="D125" t="str">
        <f>HM_ZD_Moho!D144</f>
        <v>Gaz</v>
      </c>
      <c r="I125" s="46">
        <f ca="1">SUM($L125:$BS125)</f>
        <v>0</v>
      </c>
      <c r="J125" s="26" t="s">
        <v>653</v>
      </c>
      <c r="K125" s="7" t="s">
        <v>670</v>
      </c>
      <c r="L125" s="54">
        <f t="shared" ref="L125:AQ125" ca="1" si="14">OFFSET(_xlfn.SINGLE(IA_sales_gas),5,)</f>
        <v>0</v>
      </c>
      <c r="M125" s="54">
        <f t="shared" ca="1" si="14"/>
        <v>0</v>
      </c>
      <c r="N125" s="54">
        <f t="shared" ca="1" si="14"/>
        <v>0</v>
      </c>
      <c r="O125" s="54">
        <f t="shared" ca="1" si="14"/>
        <v>0</v>
      </c>
      <c r="P125" s="54">
        <f t="shared" ca="1" si="14"/>
        <v>0</v>
      </c>
      <c r="Q125" s="54">
        <f t="shared" ca="1" si="14"/>
        <v>0</v>
      </c>
      <c r="R125" s="54">
        <f t="shared" ca="1" si="14"/>
        <v>0</v>
      </c>
      <c r="S125" s="54">
        <f t="shared" ca="1" si="14"/>
        <v>0</v>
      </c>
      <c r="T125" s="54">
        <f t="shared" ca="1" si="14"/>
        <v>0</v>
      </c>
      <c r="U125" s="54">
        <f t="shared" ca="1" si="14"/>
        <v>0</v>
      </c>
      <c r="V125" s="54">
        <f t="shared" ca="1" si="14"/>
        <v>0</v>
      </c>
      <c r="W125" s="54">
        <f t="shared" ca="1" si="14"/>
        <v>0</v>
      </c>
      <c r="X125" s="54">
        <f t="shared" ca="1" si="14"/>
        <v>0</v>
      </c>
      <c r="Y125" s="54">
        <f t="shared" ca="1" si="14"/>
        <v>0</v>
      </c>
      <c r="Z125" s="54">
        <f t="shared" ca="1" si="14"/>
        <v>0</v>
      </c>
      <c r="AA125" s="54">
        <f t="shared" ca="1" si="14"/>
        <v>0</v>
      </c>
      <c r="AB125" s="54">
        <f t="shared" ca="1" si="14"/>
        <v>0</v>
      </c>
      <c r="AC125" s="54">
        <f t="shared" ca="1" si="14"/>
        <v>0</v>
      </c>
      <c r="AD125" s="54">
        <f t="shared" ca="1" si="14"/>
        <v>0</v>
      </c>
      <c r="AE125" s="54">
        <f t="shared" ca="1" si="14"/>
        <v>0</v>
      </c>
      <c r="AF125" s="54">
        <f t="shared" ca="1" si="14"/>
        <v>0</v>
      </c>
      <c r="AG125" s="54">
        <f t="shared" ca="1" si="14"/>
        <v>0</v>
      </c>
      <c r="AH125" s="54">
        <f t="shared" ca="1" si="14"/>
        <v>0</v>
      </c>
      <c r="AI125" s="54">
        <f t="shared" ca="1" si="14"/>
        <v>0</v>
      </c>
      <c r="AJ125" s="54">
        <f t="shared" ca="1" si="14"/>
        <v>0</v>
      </c>
      <c r="AK125" s="54">
        <f t="shared" ca="1" si="14"/>
        <v>0</v>
      </c>
      <c r="AL125" s="54">
        <f t="shared" ca="1" si="14"/>
        <v>0</v>
      </c>
      <c r="AM125" s="54">
        <f t="shared" ca="1" si="14"/>
        <v>0</v>
      </c>
      <c r="AN125" s="54">
        <f t="shared" ca="1" si="14"/>
        <v>0</v>
      </c>
      <c r="AO125" s="54">
        <f t="shared" ca="1" si="14"/>
        <v>0</v>
      </c>
      <c r="AP125" s="54">
        <f t="shared" ca="1" si="14"/>
        <v>0</v>
      </c>
      <c r="AQ125" s="54">
        <f t="shared" ca="1" si="14"/>
        <v>0</v>
      </c>
      <c r="AR125" s="54">
        <f t="shared" ref="AR125:BS125" ca="1" si="15">OFFSET(_xlfn.SINGLE(IA_sales_gas),5,)</f>
        <v>0</v>
      </c>
      <c r="AS125" s="54">
        <f t="shared" ca="1" si="15"/>
        <v>0</v>
      </c>
      <c r="AT125" s="54">
        <f t="shared" ca="1" si="15"/>
        <v>0</v>
      </c>
      <c r="AU125" s="54">
        <f t="shared" ca="1" si="15"/>
        <v>0</v>
      </c>
      <c r="AV125" s="54">
        <f t="shared" ca="1" si="15"/>
        <v>0</v>
      </c>
      <c r="AW125" s="54">
        <f t="shared" ca="1" si="15"/>
        <v>0</v>
      </c>
      <c r="AX125" s="54">
        <f t="shared" ca="1" si="15"/>
        <v>0</v>
      </c>
      <c r="AY125" s="54">
        <f t="shared" ca="1" si="15"/>
        <v>0</v>
      </c>
      <c r="AZ125" s="54">
        <f t="shared" ca="1" si="15"/>
        <v>0</v>
      </c>
      <c r="BA125" s="54">
        <f t="shared" ca="1" si="15"/>
        <v>0</v>
      </c>
      <c r="BB125" s="54">
        <f t="shared" ca="1" si="15"/>
        <v>0</v>
      </c>
      <c r="BC125" s="54">
        <f t="shared" ca="1" si="15"/>
        <v>0</v>
      </c>
      <c r="BD125" s="54">
        <f t="shared" ca="1" si="15"/>
        <v>0</v>
      </c>
      <c r="BE125" s="54">
        <f t="shared" ca="1" si="15"/>
        <v>0</v>
      </c>
      <c r="BF125" s="54">
        <f t="shared" ca="1" si="15"/>
        <v>0</v>
      </c>
      <c r="BG125" s="54">
        <f t="shared" ca="1" si="15"/>
        <v>0</v>
      </c>
      <c r="BH125" s="54">
        <f t="shared" ca="1" si="15"/>
        <v>0</v>
      </c>
      <c r="BI125" s="54">
        <f t="shared" ca="1" si="15"/>
        <v>0</v>
      </c>
      <c r="BJ125" s="54">
        <f t="shared" ca="1" si="15"/>
        <v>0</v>
      </c>
      <c r="BK125" s="54">
        <f t="shared" ca="1" si="15"/>
        <v>0</v>
      </c>
      <c r="BL125" s="54">
        <f t="shared" ca="1" si="15"/>
        <v>0</v>
      </c>
      <c r="BM125" s="54">
        <f t="shared" ca="1" si="15"/>
        <v>0</v>
      </c>
      <c r="BN125" s="54">
        <f t="shared" ca="1" si="15"/>
        <v>0</v>
      </c>
      <c r="BO125" s="54">
        <f t="shared" ca="1" si="15"/>
        <v>0</v>
      </c>
      <c r="BP125" s="54">
        <f t="shared" ca="1" si="15"/>
        <v>0</v>
      </c>
      <c r="BQ125" s="54">
        <f t="shared" ca="1" si="15"/>
        <v>0</v>
      </c>
      <c r="BR125" s="54">
        <f t="shared" ca="1" si="15"/>
        <v>0</v>
      </c>
      <c r="BS125" s="54">
        <f t="shared" ca="1" si="15"/>
        <v>0</v>
      </c>
    </row>
    <row r="126" spans="1:93" outlineLevel="1" x14ac:dyDescent="0.2">
      <c r="A126" s="6"/>
      <c r="B126" s="6"/>
      <c r="C126" s="6"/>
      <c r="D126" s="47" t="str">
        <f>HM_ZD_Moho!D145</f>
        <v>Total</v>
      </c>
      <c r="E126" s="6"/>
      <c r="F126" s="6"/>
      <c r="G126" s="6"/>
      <c r="H126" s="6"/>
      <c r="I126" s="30">
        <f ca="1">SUM($L126:$BS126)</f>
        <v>68.533596121307966</v>
      </c>
      <c r="J126" s="26" t="s">
        <v>130</v>
      </c>
      <c r="K126" s="7" t="s">
        <v>671</v>
      </c>
      <c r="L126" s="49">
        <f t="shared" ref="L126:AQ126" ca="1" si="16">SUM(L123,L124,L125/conv_CMtoBbls)</f>
        <v>4.7299800000000003</v>
      </c>
      <c r="M126" s="49">
        <f t="shared" ca="1" si="16"/>
        <v>5.8240230000000004</v>
      </c>
      <c r="N126" s="49">
        <f t="shared" ca="1" si="16"/>
        <v>5.9972070000000004</v>
      </c>
      <c r="O126" s="49">
        <f t="shared" ca="1" si="16"/>
        <v>6.1850569999999996</v>
      </c>
      <c r="P126" s="49">
        <f t="shared" ca="1" si="16"/>
        <v>5.5616960000000004</v>
      </c>
      <c r="Q126" s="49">
        <f t="shared" ca="1" si="16"/>
        <v>5.9897720000000003</v>
      </c>
      <c r="R126" s="49">
        <f t="shared" ca="1" si="16"/>
        <v>6.1921710000000001</v>
      </c>
      <c r="S126" s="49">
        <f t="shared" ca="1" si="16"/>
        <v>5.5629</v>
      </c>
      <c r="T126" s="49">
        <f t="shared" ca="1" si="16"/>
        <v>5.1734969999999993</v>
      </c>
      <c r="U126" s="49">
        <f t="shared" ca="1" si="16"/>
        <v>4.811352209999999</v>
      </c>
      <c r="V126" s="49">
        <f t="shared" ca="1" si="16"/>
        <v>4.4745575552999988</v>
      </c>
      <c r="W126" s="49">
        <f t="shared" ca="1" si="16"/>
        <v>4.1613385264289988</v>
      </c>
      <c r="X126" s="49">
        <f t="shared" ca="1" si="16"/>
        <v>3.8700448295789687</v>
      </c>
      <c r="Y126" s="49">
        <f t="shared" ca="1" si="16"/>
        <v>0</v>
      </c>
      <c r="Z126" s="49">
        <f t="shared" ca="1" si="16"/>
        <v>0</v>
      </c>
      <c r="AA126" s="49">
        <f t="shared" ca="1" si="16"/>
        <v>0</v>
      </c>
      <c r="AB126" s="49">
        <f t="shared" ca="1" si="16"/>
        <v>0</v>
      </c>
      <c r="AC126" s="49">
        <f t="shared" ca="1" si="16"/>
        <v>0</v>
      </c>
      <c r="AD126" s="49">
        <f t="shared" ca="1" si="16"/>
        <v>0</v>
      </c>
      <c r="AE126" s="49">
        <f t="shared" ca="1" si="16"/>
        <v>0</v>
      </c>
      <c r="AF126" s="49">
        <f t="shared" ca="1" si="16"/>
        <v>0</v>
      </c>
      <c r="AG126" s="49">
        <f t="shared" ca="1" si="16"/>
        <v>0</v>
      </c>
      <c r="AH126" s="49">
        <f t="shared" ca="1" si="16"/>
        <v>0</v>
      </c>
      <c r="AI126" s="49">
        <f t="shared" ca="1" si="16"/>
        <v>0</v>
      </c>
      <c r="AJ126" s="49">
        <f t="shared" ca="1" si="16"/>
        <v>0</v>
      </c>
      <c r="AK126" s="49">
        <f t="shared" ca="1" si="16"/>
        <v>0</v>
      </c>
      <c r="AL126" s="49">
        <f t="shared" ca="1" si="16"/>
        <v>0</v>
      </c>
      <c r="AM126" s="49">
        <f t="shared" ca="1" si="16"/>
        <v>0</v>
      </c>
      <c r="AN126" s="49">
        <f t="shared" ca="1" si="16"/>
        <v>0</v>
      </c>
      <c r="AO126" s="49">
        <f t="shared" ca="1" si="16"/>
        <v>0</v>
      </c>
      <c r="AP126" s="49">
        <f t="shared" ca="1" si="16"/>
        <v>0</v>
      </c>
      <c r="AQ126" s="49">
        <f t="shared" ca="1" si="16"/>
        <v>0</v>
      </c>
      <c r="AR126" s="49">
        <f t="shared" ref="AR126:BS126" ca="1" si="17">SUM(AR123,AR124,AR125/conv_CMtoBbls)</f>
        <v>0</v>
      </c>
      <c r="AS126" s="49">
        <f t="shared" ca="1" si="17"/>
        <v>0</v>
      </c>
      <c r="AT126" s="49">
        <f t="shared" ca="1" si="17"/>
        <v>0</v>
      </c>
      <c r="AU126" s="49">
        <f t="shared" ca="1" si="17"/>
        <v>0</v>
      </c>
      <c r="AV126" s="49">
        <f t="shared" ca="1" si="17"/>
        <v>0</v>
      </c>
      <c r="AW126" s="49">
        <f t="shared" ca="1" si="17"/>
        <v>0</v>
      </c>
      <c r="AX126" s="49">
        <f t="shared" ca="1" si="17"/>
        <v>0</v>
      </c>
      <c r="AY126" s="49">
        <f t="shared" ca="1" si="17"/>
        <v>0</v>
      </c>
      <c r="AZ126" s="49">
        <f t="shared" ca="1" si="17"/>
        <v>0</v>
      </c>
      <c r="BA126" s="49">
        <f t="shared" ca="1" si="17"/>
        <v>0</v>
      </c>
      <c r="BB126" s="49">
        <f t="shared" ca="1" si="17"/>
        <v>0</v>
      </c>
      <c r="BC126" s="49">
        <f t="shared" ca="1" si="17"/>
        <v>0</v>
      </c>
      <c r="BD126" s="49">
        <f t="shared" ca="1" si="17"/>
        <v>0</v>
      </c>
      <c r="BE126" s="49">
        <f t="shared" ca="1" si="17"/>
        <v>0</v>
      </c>
      <c r="BF126" s="49">
        <f t="shared" ca="1" si="17"/>
        <v>0</v>
      </c>
      <c r="BG126" s="49">
        <f t="shared" ca="1" si="17"/>
        <v>0</v>
      </c>
      <c r="BH126" s="49">
        <f t="shared" ca="1" si="17"/>
        <v>0</v>
      </c>
      <c r="BI126" s="49">
        <f t="shared" ca="1" si="17"/>
        <v>0</v>
      </c>
      <c r="BJ126" s="49">
        <f t="shared" ca="1" si="17"/>
        <v>0</v>
      </c>
      <c r="BK126" s="49">
        <f t="shared" ca="1" si="17"/>
        <v>0</v>
      </c>
      <c r="BL126" s="49">
        <f t="shared" ca="1" si="17"/>
        <v>0</v>
      </c>
      <c r="BM126" s="49">
        <f t="shared" ca="1" si="17"/>
        <v>0</v>
      </c>
      <c r="BN126" s="49">
        <f t="shared" ca="1" si="17"/>
        <v>0</v>
      </c>
      <c r="BO126" s="49">
        <f t="shared" ca="1" si="17"/>
        <v>0</v>
      </c>
      <c r="BP126" s="49">
        <f t="shared" ca="1" si="17"/>
        <v>0</v>
      </c>
      <c r="BQ126" s="49">
        <f t="shared" ca="1" si="17"/>
        <v>0</v>
      </c>
      <c r="BR126" s="49">
        <f t="shared" ca="1" si="17"/>
        <v>0</v>
      </c>
      <c r="BS126" s="49">
        <f t="shared" ca="1" si="17"/>
        <v>0</v>
      </c>
      <c r="BT126" s="6"/>
      <c r="BU126" s="6"/>
      <c r="BV126" s="6"/>
      <c r="BW126" s="6"/>
      <c r="BX126" s="6"/>
      <c r="BY126" s="6"/>
      <c r="BZ126" s="6"/>
      <c r="CA126" s="6"/>
      <c r="CB126" s="6"/>
      <c r="CC126" s="6"/>
      <c r="CD126" s="6"/>
      <c r="CE126" s="6"/>
      <c r="CF126" s="6"/>
      <c r="CG126" s="6"/>
      <c r="CH126" s="6"/>
      <c r="CI126" s="6"/>
      <c r="CJ126" s="6"/>
      <c r="CK126" s="6"/>
      <c r="CL126" s="6"/>
      <c r="CM126" s="6"/>
      <c r="CN126" s="6"/>
      <c r="CO126" s="6"/>
    </row>
    <row r="127" spans="1:93" outlineLevel="1" x14ac:dyDescent="0.2">
      <c r="J127" s="26"/>
      <c r="L127" s="55"/>
      <c r="M127" s="55"/>
      <c r="N127" s="55"/>
      <c r="O127" s="55"/>
      <c r="P127" s="55"/>
      <c r="Q127" s="55"/>
      <c r="R127" s="55"/>
      <c r="S127" s="55"/>
      <c r="T127" s="55"/>
      <c r="U127" s="55"/>
      <c r="V127" s="55"/>
      <c r="W127" s="55"/>
      <c r="X127" s="55"/>
      <c r="Y127" s="55"/>
      <c r="Z127" s="55"/>
      <c r="AA127" s="55"/>
      <c r="AB127" s="55"/>
      <c r="AC127" s="55"/>
      <c r="AD127" s="55"/>
      <c r="AE127" s="55"/>
      <c r="AF127" s="55"/>
      <c r="AG127" s="55"/>
      <c r="AH127" s="55"/>
      <c r="AI127" s="55"/>
      <c r="AJ127" s="55"/>
      <c r="AK127" s="55"/>
      <c r="AL127" s="55"/>
      <c r="AM127" s="55"/>
      <c r="AN127" s="55"/>
      <c r="AO127" s="55"/>
      <c r="AP127" s="55"/>
      <c r="AQ127" s="55"/>
      <c r="AR127" s="55"/>
      <c r="AS127" s="55"/>
      <c r="AT127" s="55"/>
      <c r="AU127" s="55"/>
      <c r="AV127" s="55"/>
      <c r="AW127" s="55"/>
      <c r="AX127" s="55"/>
      <c r="AY127" s="55"/>
      <c r="AZ127" s="55"/>
      <c r="BA127" s="55"/>
      <c r="BB127" s="55"/>
      <c r="BC127" s="55"/>
      <c r="BD127" s="55"/>
      <c r="BE127" s="55"/>
      <c r="BF127" s="55"/>
      <c r="BG127" s="55"/>
      <c r="BH127" s="55"/>
      <c r="BI127" s="55"/>
      <c r="BJ127" s="55"/>
      <c r="BK127" s="55"/>
      <c r="BL127" s="55"/>
      <c r="BM127" s="55"/>
      <c r="BN127" s="55"/>
      <c r="BO127" s="55"/>
      <c r="BP127" s="55"/>
      <c r="BQ127" s="55"/>
      <c r="BR127" s="55"/>
      <c r="BS127" s="55"/>
    </row>
    <row r="128" spans="1:93" outlineLevel="1" x14ac:dyDescent="0.2">
      <c r="C128" s="11" t="str">
        <f>HM_ZD_Moho!C147</f>
        <v>Volumes de ventes brutes cumulées</v>
      </c>
      <c r="J128" s="26"/>
      <c r="L128" s="55"/>
      <c r="M128" s="55"/>
      <c r="N128" s="55"/>
      <c r="O128" s="55"/>
      <c r="P128" s="55"/>
      <c r="Q128" s="55"/>
      <c r="R128" s="55"/>
      <c r="S128" s="55"/>
      <c r="T128" s="55"/>
      <c r="U128" s="55"/>
      <c r="V128" s="55"/>
      <c r="W128" s="55"/>
      <c r="X128" s="55"/>
      <c r="Y128" s="55"/>
      <c r="Z128" s="55"/>
      <c r="AA128" s="55"/>
      <c r="AB128" s="55"/>
      <c r="AC128" s="55"/>
      <c r="AD128" s="55"/>
      <c r="AE128" s="55"/>
      <c r="AF128" s="55"/>
      <c r="AG128" s="55"/>
      <c r="AH128" s="55"/>
      <c r="AI128" s="55"/>
      <c r="AJ128" s="55"/>
      <c r="AK128" s="55"/>
      <c r="AL128" s="55"/>
      <c r="AM128" s="55"/>
      <c r="AN128" s="55"/>
      <c r="AO128" s="55"/>
      <c r="AP128" s="55"/>
      <c r="AQ128" s="55"/>
      <c r="AR128" s="55"/>
      <c r="AS128" s="55"/>
      <c r="AT128" s="55"/>
      <c r="AU128" s="55"/>
      <c r="AV128" s="55"/>
      <c r="AW128" s="55"/>
      <c r="AX128" s="55"/>
      <c r="AY128" s="55"/>
      <c r="AZ128" s="55"/>
      <c r="BA128" s="55"/>
      <c r="BB128" s="55"/>
      <c r="BC128" s="55"/>
      <c r="BD128" s="55"/>
      <c r="BE128" s="55"/>
      <c r="BF128" s="55"/>
      <c r="BG128" s="55"/>
      <c r="BH128" s="55"/>
      <c r="BI128" s="55"/>
      <c r="BJ128" s="55"/>
      <c r="BK128" s="55"/>
      <c r="BL128" s="55"/>
      <c r="BM128" s="55"/>
      <c r="BN128" s="55"/>
      <c r="BO128" s="55"/>
      <c r="BP128" s="55"/>
      <c r="BQ128" s="55"/>
      <c r="BR128" s="55"/>
      <c r="BS128" s="55"/>
    </row>
    <row r="129" spans="1:71" outlineLevel="1" x14ac:dyDescent="0.2">
      <c r="D129" t="str">
        <f>HM_ZD_Moho!D148</f>
        <v>Pétrole</v>
      </c>
      <c r="K129" s="7" t="s">
        <v>672</v>
      </c>
      <c r="L129" s="49">
        <f ca="1">SUM(K129)+KLL_II_2020!CA_gross_sales_oil</f>
        <v>4.7299800000000003</v>
      </c>
      <c r="M129" s="49">
        <f ca="1">SUM(L129)+KLL_II_2020!CA_gross_sales_oil</f>
        <v>10.554003000000002</v>
      </c>
      <c r="N129" s="49">
        <f ca="1">SUM(M129)+KLL_II_2020!CA_gross_sales_oil</f>
        <v>16.551210000000001</v>
      </c>
      <c r="O129" s="49">
        <f ca="1">SUM(N129)+KLL_II_2020!CA_gross_sales_oil</f>
        <v>22.736267000000002</v>
      </c>
      <c r="P129" s="49">
        <f ca="1">SUM(O129)+KLL_II_2020!CA_gross_sales_oil</f>
        <v>28.297963000000003</v>
      </c>
      <c r="Q129" s="49">
        <f ca="1">SUM(P129)+KLL_II_2020!CA_gross_sales_oil</f>
        <v>34.287735000000005</v>
      </c>
      <c r="R129" s="49">
        <f ca="1">SUM(Q129)+KLL_II_2020!CA_gross_sales_oil</f>
        <v>40.479906000000007</v>
      </c>
      <c r="S129" s="49">
        <f ca="1">SUM(R129)+KLL_II_2020!CA_gross_sales_oil</f>
        <v>46.042806000000006</v>
      </c>
      <c r="T129" s="49">
        <f ca="1">SUM(S129)+KLL_II_2020!CA_gross_sales_oil</f>
        <v>51.216303000000003</v>
      </c>
      <c r="U129" s="49">
        <f ca="1">SUM(T129)+KLL_II_2020!CA_gross_sales_oil</f>
        <v>56.027655210000006</v>
      </c>
      <c r="V129" s="49">
        <f ca="1">SUM(U129)+KLL_II_2020!CA_gross_sales_oil</f>
        <v>60.502212765300001</v>
      </c>
      <c r="W129" s="49">
        <f ca="1">SUM(V129)+KLL_II_2020!CA_gross_sales_oil</f>
        <v>64.663551291728993</v>
      </c>
      <c r="X129" s="49">
        <f ca="1">SUM(W129)+KLL_II_2020!CA_gross_sales_oil</f>
        <v>68.533596121307966</v>
      </c>
      <c r="Y129" s="49">
        <f ca="1">SUM(X129)+KLL_II_2020!CA_gross_sales_oil</f>
        <v>68.533596121307966</v>
      </c>
      <c r="Z129" s="49">
        <f ca="1">SUM(Y129)+KLL_II_2020!CA_gross_sales_oil</f>
        <v>68.533596121307966</v>
      </c>
      <c r="AA129" s="49">
        <f ca="1">SUM(Z129)+KLL_II_2020!CA_gross_sales_oil</f>
        <v>68.533596121307966</v>
      </c>
      <c r="AB129" s="49">
        <f ca="1">SUM(AA129)+KLL_II_2020!CA_gross_sales_oil</f>
        <v>68.533596121307966</v>
      </c>
      <c r="AC129" s="49">
        <f ca="1">SUM(AB129)+KLL_II_2020!CA_gross_sales_oil</f>
        <v>68.533596121307966</v>
      </c>
      <c r="AD129" s="49">
        <f ca="1">SUM(AC129)+KLL_II_2020!CA_gross_sales_oil</f>
        <v>68.533596121307966</v>
      </c>
      <c r="AE129" s="49">
        <f ca="1">SUM(AD129)+KLL_II_2020!CA_gross_sales_oil</f>
        <v>68.533596121307966</v>
      </c>
      <c r="AF129" s="49">
        <f ca="1">SUM(AE129)+KLL_II_2020!CA_gross_sales_oil</f>
        <v>68.533596121307966</v>
      </c>
      <c r="AG129" s="49">
        <f ca="1">SUM(AF129)+KLL_II_2020!CA_gross_sales_oil</f>
        <v>68.533596121307966</v>
      </c>
      <c r="AH129" s="49">
        <f ca="1">SUM(AG129)+KLL_II_2020!CA_gross_sales_oil</f>
        <v>68.533596121307966</v>
      </c>
      <c r="AI129" s="49">
        <f ca="1">SUM(AH129)+KLL_II_2020!CA_gross_sales_oil</f>
        <v>68.533596121307966</v>
      </c>
      <c r="AJ129" s="49">
        <f ca="1">SUM(AI129)+KLL_II_2020!CA_gross_sales_oil</f>
        <v>68.533596121307966</v>
      </c>
      <c r="AK129" s="49">
        <f ca="1">SUM(AJ129)+KLL_II_2020!CA_gross_sales_oil</f>
        <v>68.533596121307966</v>
      </c>
      <c r="AL129" s="49">
        <f ca="1">SUM(AK129)+KLL_II_2020!CA_gross_sales_oil</f>
        <v>68.533596121307966</v>
      </c>
      <c r="AM129" s="49">
        <f ca="1">SUM(AL129)+KLL_II_2020!CA_gross_sales_oil</f>
        <v>68.533596121307966</v>
      </c>
      <c r="AN129" s="49">
        <f ca="1">SUM(AM129)+KLL_II_2020!CA_gross_sales_oil</f>
        <v>68.533596121307966</v>
      </c>
      <c r="AO129" s="49">
        <f ca="1">SUM(AN129)+KLL_II_2020!CA_gross_sales_oil</f>
        <v>68.533596121307966</v>
      </c>
      <c r="AP129" s="49">
        <f ca="1">SUM(AO129)+KLL_II_2020!CA_gross_sales_oil</f>
        <v>68.533596121307966</v>
      </c>
      <c r="AQ129" s="49">
        <f ca="1">SUM(AP129)+KLL_II_2020!CA_gross_sales_oil</f>
        <v>68.533596121307966</v>
      </c>
      <c r="AR129" s="49">
        <f ca="1">SUM(AQ129)+KLL_II_2020!CA_gross_sales_oil</f>
        <v>68.533596121307966</v>
      </c>
      <c r="AS129" s="49">
        <f ca="1">SUM(AR129)+KLL_II_2020!CA_gross_sales_oil</f>
        <v>68.533596121307966</v>
      </c>
      <c r="AT129" s="49">
        <f ca="1">SUM(AS129)+KLL_II_2020!CA_gross_sales_oil</f>
        <v>68.533596121307966</v>
      </c>
      <c r="AU129" s="49">
        <f ca="1">SUM(AT129)+KLL_II_2020!CA_gross_sales_oil</f>
        <v>68.533596121307966</v>
      </c>
      <c r="AV129" s="49">
        <f ca="1">SUM(AU129)+KLL_II_2020!CA_gross_sales_oil</f>
        <v>68.533596121307966</v>
      </c>
      <c r="AW129" s="49">
        <f ca="1">SUM(AV129)+KLL_II_2020!CA_gross_sales_oil</f>
        <v>68.533596121307966</v>
      </c>
      <c r="AX129" s="49">
        <f ca="1">SUM(AW129)+KLL_II_2020!CA_gross_sales_oil</f>
        <v>68.533596121307966</v>
      </c>
      <c r="AY129" s="49">
        <f ca="1">SUM(AX129)+KLL_II_2020!CA_gross_sales_oil</f>
        <v>68.533596121307966</v>
      </c>
      <c r="AZ129" s="49">
        <f ca="1">SUM(AY129)+KLL_II_2020!CA_gross_sales_oil</f>
        <v>68.533596121307966</v>
      </c>
      <c r="BA129" s="49">
        <f ca="1">SUM(AZ129)+KLL_II_2020!CA_gross_sales_oil</f>
        <v>68.533596121307966</v>
      </c>
      <c r="BB129" s="49">
        <f ca="1">SUM(BA129)+KLL_II_2020!CA_gross_sales_oil</f>
        <v>68.533596121307966</v>
      </c>
      <c r="BC129" s="49">
        <f ca="1">SUM(BB129)+KLL_II_2020!CA_gross_sales_oil</f>
        <v>68.533596121307966</v>
      </c>
      <c r="BD129" s="49">
        <f ca="1">SUM(BC129)+KLL_II_2020!CA_gross_sales_oil</f>
        <v>68.533596121307966</v>
      </c>
      <c r="BE129" s="49">
        <f ca="1">SUM(BD129)+KLL_II_2020!CA_gross_sales_oil</f>
        <v>68.533596121307966</v>
      </c>
      <c r="BF129" s="49">
        <f ca="1">SUM(BE129)+KLL_II_2020!CA_gross_sales_oil</f>
        <v>68.533596121307966</v>
      </c>
      <c r="BG129" s="49">
        <f ca="1">SUM(BF129)+KLL_II_2020!CA_gross_sales_oil</f>
        <v>68.533596121307966</v>
      </c>
      <c r="BH129" s="49">
        <f ca="1">SUM(BG129)+KLL_II_2020!CA_gross_sales_oil</f>
        <v>68.533596121307966</v>
      </c>
      <c r="BI129" s="49">
        <f ca="1">SUM(BH129)+KLL_II_2020!CA_gross_sales_oil</f>
        <v>68.533596121307966</v>
      </c>
      <c r="BJ129" s="49">
        <f ca="1">SUM(BI129)+KLL_II_2020!CA_gross_sales_oil</f>
        <v>68.533596121307966</v>
      </c>
      <c r="BK129" s="49">
        <f ca="1">SUM(BJ129)+KLL_II_2020!CA_gross_sales_oil</f>
        <v>68.533596121307966</v>
      </c>
      <c r="BL129" s="49">
        <f ca="1">SUM(BK129)+KLL_II_2020!CA_gross_sales_oil</f>
        <v>68.533596121307966</v>
      </c>
      <c r="BM129" s="49">
        <f ca="1">SUM(BL129)+KLL_II_2020!CA_gross_sales_oil</f>
        <v>68.533596121307966</v>
      </c>
      <c r="BN129" s="49">
        <f ca="1">SUM(BM129)+KLL_II_2020!CA_gross_sales_oil</f>
        <v>68.533596121307966</v>
      </c>
      <c r="BO129" s="49">
        <f ca="1">SUM(BN129)+KLL_II_2020!CA_gross_sales_oil</f>
        <v>68.533596121307966</v>
      </c>
      <c r="BP129" s="49">
        <f ca="1">SUM(BO129)+KLL_II_2020!CA_gross_sales_oil</f>
        <v>68.533596121307966</v>
      </c>
      <c r="BQ129" s="49">
        <f ca="1">SUM(BP129)+KLL_II_2020!CA_gross_sales_oil</f>
        <v>68.533596121307966</v>
      </c>
      <c r="BR129" s="49">
        <f ca="1">SUM(BQ129)+KLL_II_2020!CA_gross_sales_oil</f>
        <v>68.533596121307966</v>
      </c>
      <c r="BS129" s="49">
        <f ca="1">SUM(BR129)+KLL_II_2020!CA_gross_sales_oil</f>
        <v>68.533596121307966</v>
      </c>
    </row>
    <row r="130" spans="1:71" outlineLevel="1" x14ac:dyDescent="0.2">
      <c r="D130" t="str">
        <f>HM_ZD_Moho!D149</f>
        <v>GPL</v>
      </c>
      <c r="K130" s="7" t="s">
        <v>687</v>
      </c>
      <c r="L130" s="49">
        <f ca="1">SUM(K130)+KLL_II_2020!CA_gross_sales_lpg</f>
        <v>0</v>
      </c>
      <c r="M130" s="49">
        <f ca="1">SUM(L130)+KLL_II_2020!CA_gross_sales_lpg</f>
        <v>0</v>
      </c>
      <c r="N130" s="49">
        <f ca="1">SUM(M130)+KLL_II_2020!CA_gross_sales_lpg</f>
        <v>0</v>
      </c>
      <c r="O130" s="49">
        <f ca="1">SUM(N130)+KLL_II_2020!CA_gross_sales_lpg</f>
        <v>0</v>
      </c>
      <c r="P130" s="49">
        <f ca="1">SUM(O130)+KLL_II_2020!CA_gross_sales_lpg</f>
        <v>0</v>
      </c>
      <c r="Q130" s="49">
        <f ca="1">SUM(P130)+KLL_II_2020!CA_gross_sales_lpg</f>
        <v>0</v>
      </c>
      <c r="R130" s="49">
        <f ca="1">SUM(Q130)+KLL_II_2020!CA_gross_sales_lpg</f>
        <v>0</v>
      </c>
      <c r="S130" s="49">
        <f ca="1">SUM(R130)+KLL_II_2020!CA_gross_sales_lpg</f>
        <v>0</v>
      </c>
      <c r="T130" s="49">
        <f ca="1">SUM(S130)+KLL_II_2020!CA_gross_sales_lpg</f>
        <v>0</v>
      </c>
      <c r="U130" s="49">
        <f ca="1">SUM(T130)+KLL_II_2020!CA_gross_sales_lpg</f>
        <v>0</v>
      </c>
      <c r="V130" s="49">
        <f ca="1">SUM(U130)+KLL_II_2020!CA_gross_sales_lpg</f>
        <v>0</v>
      </c>
      <c r="W130" s="49">
        <f ca="1">SUM(V130)+KLL_II_2020!CA_gross_sales_lpg</f>
        <v>0</v>
      </c>
      <c r="X130" s="49">
        <f ca="1">SUM(W130)+KLL_II_2020!CA_gross_sales_lpg</f>
        <v>0</v>
      </c>
      <c r="Y130" s="49">
        <f ca="1">SUM(X130)+KLL_II_2020!CA_gross_sales_lpg</f>
        <v>0</v>
      </c>
      <c r="Z130" s="49">
        <f ca="1">SUM(Y130)+KLL_II_2020!CA_gross_sales_lpg</f>
        <v>0</v>
      </c>
      <c r="AA130" s="49">
        <f ca="1">SUM(Z130)+KLL_II_2020!CA_gross_sales_lpg</f>
        <v>0</v>
      </c>
      <c r="AB130" s="49">
        <f ca="1">SUM(AA130)+KLL_II_2020!CA_gross_sales_lpg</f>
        <v>0</v>
      </c>
      <c r="AC130" s="49">
        <f ca="1">SUM(AB130)+KLL_II_2020!CA_gross_sales_lpg</f>
        <v>0</v>
      </c>
      <c r="AD130" s="49">
        <f ca="1">SUM(AC130)+KLL_II_2020!CA_gross_sales_lpg</f>
        <v>0</v>
      </c>
      <c r="AE130" s="49">
        <f ca="1">SUM(AD130)+KLL_II_2020!CA_gross_sales_lpg</f>
        <v>0</v>
      </c>
      <c r="AF130" s="49">
        <f ca="1">SUM(AE130)+KLL_II_2020!CA_gross_sales_lpg</f>
        <v>0</v>
      </c>
      <c r="AG130" s="49">
        <f ca="1">SUM(AF130)+KLL_II_2020!CA_gross_sales_lpg</f>
        <v>0</v>
      </c>
      <c r="AH130" s="49">
        <f ca="1">SUM(AG130)+KLL_II_2020!CA_gross_sales_lpg</f>
        <v>0</v>
      </c>
      <c r="AI130" s="49">
        <f ca="1">SUM(AH130)+KLL_II_2020!CA_gross_sales_lpg</f>
        <v>0</v>
      </c>
      <c r="AJ130" s="49">
        <f ca="1">SUM(AI130)+KLL_II_2020!CA_gross_sales_lpg</f>
        <v>0</v>
      </c>
      <c r="AK130" s="49">
        <f ca="1">SUM(AJ130)+KLL_II_2020!CA_gross_sales_lpg</f>
        <v>0</v>
      </c>
      <c r="AL130" s="49">
        <f ca="1">SUM(AK130)+KLL_II_2020!CA_gross_sales_lpg</f>
        <v>0</v>
      </c>
      <c r="AM130" s="49">
        <f ca="1">SUM(AL130)+KLL_II_2020!CA_gross_sales_lpg</f>
        <v>0</v>
      </c>
      <c r="AN130" s="49">
        <f ca="1">SUM(AM130)+KLL_II_2020!CA_gross_sales_lpg</f>
        <v>0</v>
      </c>
      <c r="AO130" s="49">
        <f ca="1">SUM(AN130)+KLL_II_2020!CA_gross_sales_lpg</f>
        <v>0</v>
      </c>
      <c r="AP130" s="49">
        <f ca="1">SUM(AO130)+KLL_II_2020!CA_gross_sales_lpg</f>
        <v>0</v>
      </c>
      <c r="AQ130" s="49">
        <f ca="1">SUM(AP130)+KLL_II_2020!CA_gross_sales_lpg</f>
        <v>0</v>
      </c>
      <c r="AR130" s="49">
        <f ca="1">SUM(AQ130)+KLL_II_2020!CA_gross_sales_lpg</f>
        <v>0</v>
      </c>
      <c r="AS130" s="49">
        <f ca="1">SUM(AR130)+KLL_II_2020!CA_gross_sales_lpg</f>
        <v>0</v>
      </c>
      <c r="AT130" s="49">
        <f ca="1">SUM(AS130)+KLL_II_2020!CA_gross_sales_lpg</f>
        <v>0</v>
      </c>
      <c r="AU130" s="49">
        <f ca="1">SUM(AT130)+KLL_II_2020!CA_gross_sales_lpg</f>
        <v>0</v>
      </c>
      <c r="AV130" s="49">
        <f ca="1">SUM(AU130)+KLL_II_2020!CA_gross_sales_lpg</f>
        <v>0</v>
      </c>
      <c r="AW130" s="49">
        <f ca="1">SUM(AV130)+KLL_II_2020!CA_gross_sales_lpg</f>
        <v>0</v>
      </c>
      <c r="AX130" s="49">
        <f ca="1">SUM(AW130)+KLL_II_2020!CA_gross_sales_lpg</f>
        <v>0</v>
      </c>
      <c r="AY130" s="49">
        <f ca="1">SUM(AX130)+KLL_II_2020!CA_gross_sales_lpg</f>
        <v>0</v>
      </c>
      <c r="AZ130" s="49">
        <f ca="1">SUM(AY130)+KLL_II_2020!CA_gross_sales_lpg</f>
        <v>0</v>
      </c>
      <c r="BA130" s="49">
        <f ca="1">SUM(AZ130)+KLL_II_2020!CA_gross_sales_lpg</f>
        <v>0</v>
      </c>
      <c r="BB130" s="49">
        <f ca="1">SUM(BA130)+KLL_II_2020!CA_gross_sales_lpg</f>
        <v>0</v>
      </c>
      <c r="BC130" s="49">
        <f ca="1">SUM(BB130)+KLL_II_2020!CA_gross_sales_lpg</f>
        <v>0</v>
      </c>
      <c r="BD130" s="49">
        <f ca="1">SUM(BC130)+KLL_II_2020!CA_gross_sales_lpg</f>
        <v>0</v>
      </c>
      <c r="BE130" s="49">
        <f ca="1">SUM(BD130)+KLL_II_2020!CA_gross_sales_lpg</f>
        <v>0</v>
      </c>
      <c r="BF130" s="49">
        <f ca="1">SUM(BE130)+KLL_II_2020!CA_gross_sales_lpg</f>
        <v>0</v>
      </c>
      <c r="BG130" s="49">
        <f ca="1">SUM(BF130)+KLL_II_2020!CA_gross_sales_lpg</f>
        <v>0</v>
      </c>
      <c r="BH130" s="49">
        <f ca="1">SUM(BG130)+KLL_II_2020!CA_gross_sales_lpg</f>
        <v>0</v>
      </c>
      <c r="BI130" s="49">
        <f ca="1">SUM(BH130)+KLL_II_2020!CA_gross_sales_lpg</f>
        <v>0</v>
      </c>
      <c r="BJ130" s="49">
        <f ca="1">SUM(BI130)+KLL_II_2020!CA_gross_sales_lpg</f>
        <v>0</v>
      </c>
      <c r="BK130" s="49">
        <f ca="1">SUM(BJ130)+KLL_II_2020!CA_gross_sales_lpg</f>
        <v>0</v>
      </c>
      <c r="BL130" s="49">
        <f ca="1">SUM(BK130)+KLL_II_2020!CA_gross_sales_lpg</f>
        <v>0</v>
      </c>
      <c r="BM130" s="49">
        <f ca="1">SUM(BL130)+KLL_II_2020!CA_gross_sales_lpg</f>
        <v>0</v>
      </c>
      <c r="BN130" s="49">
        <f ca="1">SUM(BM130)+KLL_II_2020!CA_gross_sales_lpg</f>
        <v>0</v>
      </c>
      <c r="BO130" s="49">
        <f ca="1">SUM(BN130)+KLL_II_2020!CA_gross_sales_lpg</f>
        <v>0</v>
      </c>
      <c r="BP130" s="49">
        <f ca="1">SUM(BO130)+KLL_II_2020!CA_gross_sales_lpg</f>
        <v>0</v>
      </c>
      <c r="BQ130" s="49">
        <f ca="1">SUM(BP130)+KLL_II_2020!CA_gross_sales_lpg</f>
        <v>0</v>
      </c>
      <c r="BR130" s="49">
        <f ca="1">SUM(BQ130)+KLL_II_2020!CA_gross_sales_lpg</f>
        <v>0</v>
      </c>
      <c r="BS130" s="49">
        <f ca="1">SUM(BR130)+KLL_II_2020!CA_gross_sales_lpg</f>
        <v>0</v>
      </c>
    </row>
    <row r="131" spans="1:71" outlineLevel="1" x14ac:dyDescent="0.2">
      <c r="D131" t="str">
        <f>HM_ZD_Moho!D150</f>
        <v>Gaz</v>
      </c>
      <c r="K131" s="7" t="s">
        <v>673</v>
      </c>
      <c r="L131" s="49">
        <f ca="1">SUM(K131)+KLL_II_2020!CA_gross_sales_gas</f>
        <v>0</v>
      </c>
      <c r="M131" s="49">
        <f ca="1">SUM(L131)+KLL_II_2020!CA_gross_sales_gas</f>
        <v>0</v>
      </c>
      <c r="N131" s="49">
        <f ca="1">SUM(M131)+KLL_II_2020!CA_gross_sales_gas</f>
        <v>0</v>
      </c>
      <c r="O131" s="49">
        <f ca="1">SUM(N131)+KLL_II_2020!CA_gross_sales_gas</f>
        <v>0</v>
      </c>
      <c r="P131" s="49">
        <f ca="1">SUM(O131)+KLL_II_2020!CA_gross_sales_gas</f>
        <v>0</v>
      </c>
      <c r="Q131" s="49">
        <f ca="1">SUM(P131)+KLL_II_2020!CA_gross_sales_gas</f>
        <v>0</v>
      </c>
      <c r="R131" s="49">
        <f ca="1">SUM(Q131)+KLL_II_2020!CA_gross_sales_gas</f>
        <v>0</v>
      </c>
      <c r="S131" s="49">
        <f ca="1">SUM(R131)+KLL_II_2020!CA_gross_sales_gas</f>
        <v>0</v>
      </c>
      <c r="T131" s="49">
        <f ca="1">SUM(S131)+KLL_II_2020!CA_gross_sales_gas</f>
        <v>0</v>
      </c>
      <c r="U131" s="49">
        <f ca="1">SUM(T131)+KLL_II_2020!CA_gross_sales_gas</f>
        <v>0</v>
      </c>
      <c r="V131" s="49">
        <f ca="1">SUM(U131)+KLL_II_2020!CA_gross_sales_gas</f>
        <v>0</v>
      </c>
      <c r="W131" s="49">
        <f ca="1">SUM(V131)+KLL_II_2020!CA_gross_sales_gas</f>
        <v>0</v>
      </c>
      <c r="X131" s="49">
        <f ca="1">SUM(W131)+KLL_II_2020!CA_gross_sales_gas</f>
        <v>0</v>
      </c>
      <c r="Y131" s="49">
        <f ca="1">SUM(X131)+KLL_II_2020!CA_gross_sales_gas</f>
        <v>0</v>
      </c>
      <c r="Z131" s="49">
        <f ca="1">SUM(Y131)+KLL_II_2020!CA_gross_sales_gas</f>
        <v>0</v>
      </c>
      <c r="AA131" s="49">
        <f ca="1">SUM(Z131)+KLL_II_2020!CA_gross_sales_gas</f>
        <v>0</v>
      </c>
      <c r="AB131" s="49">
        <f ca="1">SUM(AA131)+KLL_II_2020!CA_gross_sales_gas</f>
        <v>0</v>
      </c>
      <c r="AC131" s="49">
        <f ca="1">SUM(AB131)+KLL_II_2020!CA_gross_sales_gas</f>
        <v>0</v>
      </c>
      <c r="AD131" s="49">
        <f ca="1">SUM(AC131)+KLL_II_2020!CA_gross_sales_gas</f>
        <v>0</v>
      </c>
      <c r="AE131" s="49">
        <f ca="1">SUM(AD131)+KLL_II_2020!CA_gross_sales_gas</f>
        <v>0</v>
      </c>
      <c r="AF131" s="49">
        <f ca="1">SUM(AE131)+KLL_II_2020!CA_gross_sales_gas</f>
        <v>0</v>
      </c>
      <c r="AG131" s="49">
        <f ca="1">SUM(AF131)+KLL_II_2020!CA_gross_sales_gas</f>
        <v>0</v>
      </c>
      <c r="AH131" s="49">
        <f ca="1">SUM(AG131)+KLL_II_2020!CA_gross_sales_gas</f>
        <v>0</v>
      </c>
      <c r="AI131" s="49">
        <f ca="1">SUM(AH131)+KLL_II_2020!CA_gross_sales_gas</f>
        <v>0</v>
      </c>
      <c r="AJ131" s="49">
        <f ca="1">SUM(AI131)+KLL_II_2020!CA_gross_sales_gas</f>
        <v>0</v>
      </c>
      <c r="AK131" s="49">
        <f ca="1">SUM(AJ131)+KLL_II_2020!CA_gross_sales_gas</f>
        <v>0</v>
      </c>
      <c r="AL131" s="49">
        <f ca="1">SUM(AK131)+KLL_II_2020!CA_gross_sales_gas</f>
        <v>0</v>
      </c>
      <c r="AM131" s="49">
        <f ca="1">SUM(AL131)+KLL_II_2020!CA_gross_sales_gas</f>
        <v>0</v>
      </c>
      <c r="AN131" s="49">
        <f ca="1">SUM(AM131)+KLL_II_2020!CA_gross_sales_gas</f>
        <v>0</v>
      </c>
      <c r="AO131" s="49">
        <f ca="1">SUM(AN131)+KLL_II_2020!CA_gross_sales_gas</f>
        <v>0</v>
      </c>
      <c r="AP131" s="49">
        <f ca="1">SUM(AO131)+KLL_II_2020!CA_gross_sales_gas</f>
        <v>0</v>
      </c>
      <c r="AQ131" s="49">
        <f ca="1">SUM(AP131)+KLL_II_2020!CA_gross_sales_gas</f>
        <v>0</v>
      </c>
      <c r="AR131" s="49">
        <f ca="1">SUM(AQ131)+KLL_II_2020!CA_gross_sales_gas</f>
        <v>0</v>
      </c>
      <c r="AS131" s="49">
        <f ca="1">SUM(AR131)+KLL_II_2020!CA_gross_sales_gas</f>
        <v>0</v>
      </c>
      <c r="AT131" s="49">
        <f ca="1">SUM(AS131)+KLL_II_2020!CA_gross_sales_gas</f>
        <v>0</v>
      </c>
      <c r="AU131" s="49">
        <f ca="1">SUM(AT131)+KLL_II_2020!CA_gross_sales_gas</f>
        <v>0</v>
      </c>
      <c r="AV131" s="49">
        <f ca="1">SUM(AU131)+KLL_II_2020!CA_gross_sales_gas</f>
        <v>0</v>
      </c>
      <c r="AW131" s="49">
        <f ca="1">SUM(AV131)+KLL_II_2020!CA_gross_sales_gas</f>
        <v>0</v>
      </c>
      <c r="AX131" s="49">
        <f ca="1">SUM(AW131)+KLL_II_2020!CA_gross_sales_gas</f>
        <v>0</v>
      </c>
      <c r="AY131" s="49">
        <f ca="1">SUM(AX131)+KLL_II_2020!CA_gross_sales_gas</f>
        <v>0</v>
      </c>
      <c r="AZ131" s="49">
        <f ca="1">SUM(AY131)+KLL_II_2020!CA_gross_sales_gas</f>
        <v>0</v>
      </c>
      <c r="BA131" s="49">
        <f ca="1">SUM(AZ131)+KLL_II_2020!CA_gross_sales_gas</f>
        <v>0</v>
      </c>
      <c r="BB131" s="49">
        <f ca="1">SUM(BA131)+KLL_II_2020!CA_gross_sales_gas</f>
        <v>0</v>
      </c>
      <c r="BC131" s="49">
        <f ca="1">SUM(BB131)+KLL_II_2020!CA_gross_sales_gas</f>
        <v>0</v>
      </c>
      <c r="BD131" s="49">
        <f ca="1">SUM(BC131)+KLL_II_2020!CA_gross_sales_gas</f>
        <v>0</v>
      </c>
      <c r="BE131" s="49">
        <f ca="1">SUM(BD131)+KLL_II_2020!CA_gross_sales_gas</f>
        <v>0</v>
      </c>
      <c r="BF131" s="49">
        <f ca="1">SUM(BE131)+KLL_II_2020!CA_gross_sales_gas</f>
        <v>0</v>
      </c>
      <c r="BG131" s="49">
        <f ca="1">SUM(BF131)+KLL_II_2020!CA_gross_sales_gas</f>
        <v>0</v>
      </c>
      <c r="BH131" s="49">
        <f ca="1">SUM(BG131)+KLL_II_2020!CA_gross_sales_gas</f>
        <v>0</v>
      </c>
      <c r="BI131" s="49">
        <f ca="1">SUM(BH131)+KLL_II_2020!CA_gross_sales_gas</f>
        <v>0</v>
      </c>
      <c r="BJ131" s="49">
        <f ca="1">SUM(BI131)+KLL_II_2020!CA_gross_sales_gas</f>
        <v>0</v>
      </c>
      <c r="BK131" s="49">
        <f ca="1">SUM(BJ131)+KLL_II_2020!CA_gross_sales_gas</f>
        <v>0</v>
      </c>
      <c r="BL131" s="49">
        <f ca="1">SUM(BK131)+KLL_II_2020!CA_gross_sales_gas</f>
        <v>0</v>
      </c>
      <c r="BM131" s="49">
        <f ca="1">SUM(BL131)+KLL_II_2020!CA_gross_sales_gas</f>
        <v>0</v>
      </c>
      <c r="BN131" s="49">
        <f ca="1">SUM(BM131)+KLL_II_2020!CA_gross_sales_gas</f>
        <v>0</v>
      </c>
      <c r="BO131" s="49">
        <f ca="1">SUM(BN131)+KLL_II_2020!CA_gross_sales_gas</f>
        <v>0</v>
      </c>
      <c r="BP131" s="49">
        <f ca="1">SUM(BO131)+KLL_II_2020!CA_gross_sales_gas</f>
        <v>0</v>
      </c>
      <c r="BQ131" s="49">
        <f ca="1">SUM(BP131)+KLL_II_2020!CA_gross_sales_gas</f>
        <v>0</v>
      </c>
      <c r="BR131" s="49">
        <f ca="1">SUM(BQ131)+KLL_II_2020!CA_gross_sales_gas</f>
        <v>0</v>
      </c>
      <c r="BS131" s="49">
        <f ca="1">SUM(BR131)+KLL_II_2020!CA_gross_sales_gas</f>
        <v>0</v>
      </c>
    </row>
    <row r="132" spans="1:71" outlineLevel="1" x14ac:dyDescent="0.2">
      <c r="D132" s="47" t="str">
        <f>HM_ZD_Moho!D151</f>
        <v>Total</v>
      </c>
      <c r="E132" s="6"/>
      <c r="F132" s="6"/>
      <c r="G132" s="6"/>
      <c r="H132" s="6"/>
      <c r="I132" s="6"/>
      <c r="J132" s="6"/>
      <c r="K132" s="7" t="s">
        <v>674</v>
      </c>
      <c r="L132" s="49">
        <f t="shared" ref="L132:AQ132" ca="1" si="18">SUM(L129,L130,L131/conv_CMtoBbls)</f>
        <v>4.7299800000000003</v>
      </c>
      <c r="M132" s="49">
        <f t="shared" ca="1" si="18"/>
        <v>10.554003000000002</v>
      </c>
      <c r="N132" s="49">
        <f t="shared" ca="1" si="18"/>
        <v>16.551210000000001</v>
      </c>
      <c r="O132" s="49">
        <f t="shared" ca="1" si="18"/>
        <v>22.736267000000002</v>
      </c>
      <c r="P132" s="49">
        <f t="shared" ca="1" si="18"/>
        <v>28.297963000000003</v>
      </c>
      <c r="Q132" s="49">
        <f t="shared" ca="1" si="18"/>
        <v>34.287735000000005</v>
      </c>
      <c r="R132" s="49">
        <f t="shared" ca="1" si="18"/>
        <v>40.479906000000007</v>
      </c>
      <c r="S132" s="49">
        <f t="shared" ca="1" si="18"/>
        <v>46.042806000000006</v>
      </c>
      <c r="T132" s="49">
        <f t="shared" ca="1" si="18"/>
        <v>51.216303000000003</v>
      </c>
      <c r="U132" s="49">
        <f t="shared" ca="1" si="18"/>
        <v>56.027655210000006</v>
      </c>
      <c r="V132" s="49">
        <f t="shared" ca="1" si="18"/>
        <v>60.502212765300001</v>
      </c>
      <c r="W132" s="49">
        <f t="shared" ca="1" si="18"/>
        <v>64.663551291728993</v>
      </c>
      <c r="X132" s="49">
        <f t="shared" ca="1" si="18"/>
        <v>68.533596121307966</v>
      </c>
      <c r="Y132" s="49">
        <f t="shared" ca="1" si="18"/>
        <v>68.533596121307966</v>
      </c>
      <c r="Z132" s="49">
        <f t="shared" ca="1" si="18"/>
        <v>68.533596121307966</v>
      </c>
      <c r="AA132" s="49">
        <f t="shared" ca="1" si="18"/>
        <v>68.533596121307966</v>
      </c>
      <c r="AB132" s="49">
        <f t="shared" ca="1" si="18"/>
        <v>68.533596121307966</v>
      </c>
      <c r="AC132" s="49">
        <f t="shared" ca="1" si="18"/>
        <v>68.533596121307966</v>
      </c>
      <c r="AD132" s="49">
        <f t="shared" ca="1" si="18"/>
        <v>68.533596121307966</v>
      </c>
      <c r="AE132" s="49">
        <f t="shared" ca="1" si="18"/>
        <v>68.533596121307966</v>
      </c>
      <c r="AF132" s="49">
        <f t="shared" ca="1" si="18"/>
        <v>68.533596121307966</v>
      </c>
      <c r="AG132" s="49">
        <f t="shared" ca="1" si="18"/>
        <v>68.533596121307966</v>
      </c>
      <c r="AH132" s="49">
        <f t="shared" ca="1" si="18"/>
        <v>68.533596121307966</v>
      </c>
      <c r="AI132" s="49">
        <f t="shared" ca="1" si="18"/>
        <v>68.533596121307966</v>
      </c>
      <c r="AJ132" s="49">
        <f t="shared" ca="1" si="18"/>
        <v>68.533596121307966</v>
      </c>
      <c r="AK132" s="49">
        <f t="shared" ca="1" si="18"/>
        <v>68.533596121307966</v>
      </c>
      <c r="AL132" s="49">
        <f t="shared" ca="1" si="18"/>
        <v>68.533596121307966</v>
      </c>
      <c r="AM132" s="49">
        <f t="shared" ca="1" si="18"/>
        <v>68.533596121307966</v>
      </c>
      <c r="AN132" s="49">
        <f t="shared" ca="1" si="18"/>
        <v>68.533596121307966</v>
      </c>
      <c r="AO132" s="49">
        <f t="shared" ca="1" si="18"/>
        <v>68.533596121307966</v>
      </c>
      <c r="AP132" s="49">
        <f t="shared" ca="1" si="18"/>
        <v>68.533596121307966</v>
      </c>
      <c r="AQ132" s="49">
        <f t="shared" ca="1" si="18"/>
        <v>68.533596121307966</v>
      </c>
      <c r="AR132" s="49">
        <f t="shared" ref="AR132:BS132" ca="1" si="19">SUM(AR129,AR130,AR131/conv_CMtoBbls)</f>
        <v>68.533596121307966</v>
      </c>
      <c r="AS132" s="49">
        <f t="shared" ca="1" si="19"/>
        <v>68.533596121307966</v>
      </c>
      <c r="AT132" s="49">
        <f t="shared" ca="1" si="19"/>
        <v>68.533596121307966</v>
      </c>
      <c r="AU132" s="49">
        <f t="shared" ca="1" si="19"/>
        <v>68.533596121307966</v>
      </c>
      <c r="AV132" s="49">
        <f t="shared" ca="1" si="19"/>
        <v>68.533596121307966</v>
      </c>
      <c r="AW132" s="49">
        <f t="shared" ca="1" si="19"/>
        <v>68.533596121307966</v>
      </c>
      <c r="AX132" s="49">
        <f t="shared" ca="1" si="19"/>
        <v>68.533596121307966</v>
      </c>
      <c r="AY132" s="49">
        <f t="shared" ca="1" si="19"/>
        <v>68.533596121307966</v>
      </c>
      <c r="AZ132" s="49">
        <f t="shared" ca="1" si="19"/>
        <v>68.533596121307966</v>
      </c>
      <c r="BA132" s="49">
        <f t="shared" ca="1" si="19"/>
        <v>68.533596121307966</v>
      </c>
      <c r="BB132" s="49">
        <f t="shared" ca="1" si="19"/>
        <v>68.533596121307966</v>
      </c>
      <c r="BC132" s="49">
        <f t="shared" ca="1" si="19"/>
        <v>68.533596121307966</v>
      </c>
      <c r="BD132" s="49">
        <f t="shared" ca="1" si="19"/>
        <v>68.533596121307966</v>
      </c>
      <c r="BE132" s="49">
        <f t="shared" ca="1" si="19"/>
        <v>68.533596121307966</v>
      </c>
      <c r="BF132" s="49">
        <f t="shared" ca="1" si="19"/>
        <v>68.533596121307966</v>
      </c>
      <c r="BG132" s="49">
        <f t="shared" ca="1" si="19"/>
        <v>68.533596121307966</v>
      </c>
      <c r="BH132" s="49">
        <f t="shared" ca="1" si="19"/>
        <v>68.533596121307966</v>
      </c>
      <c r="BI132" s="49">
        <f t="shared" ca="1" si="19"/>
        <v>68.533596121307966</v>
      </c>
      <c r="BJ132" s="49">
        <f t="shared" ca="1" si="19"/>
        <v>68.533596121307966</v>
      </c>
      <c r="BK132" s="49">
        <f t="shared" ca="1" si="19"/>
        <v>68.533596121307966</v>
      </c>
      <c r="BL132" s="49">
        <f t="shared" ca="1" si="19"/>
        <v>68.533596121307966</v>
      </c>
      <c r="BM132" s="49">
        <f t="shared" ca="1" si="19"/>
        <v>68.533596121307966</v>
      </c>
      <c r="BN132" s="49">
        <f t="shared" ca="1" si="19"/>
        <v>68.533596121307966</v>
      </c>
      <c r="BO132" s="49">
        <f t="shared" ca="1" si="19"/>
        <v>68.533596121307966</v>
      </c>
      <c r="BP132" s="49">
        <f t="shared" ca="1" si="19"/>
        <v>68.533596121307966</v>
      </c>
      <c r="BQ132" s="49">
        <f t="shared" ca="1" si="19"/>
        <v>68.533596121307966</v>
      </c>
      <c r="BR132" s="49">
        <f t="shared" ca="1" si="19"/>
        <v>68.533596121307966</v>
      </c>
      <c r="BS132" s="49">
        <f t="shared" ca="1" si="19"/>
        <v>68.533596121307966</v>
      </c>
    </row>
    <row r="133" spans="1:71" outlineLevel="1" x14ac:dyDescent="0.2">
      <c r="J133" s="26"/>
      <c r="L133" s="55"/>
      <c r="M133" s="55"/>
      <c r="N133" s="55"/>
      <c r="O133" s="55"/>
      <c r="P133" s="55"/>
      <c r="Q133" s="55"/>
      <c r="R133" s="55"/>
      <c r="S133" s="55"/>
      <c r="T133" s="55"/>
      <c r="U133" s="55"/>
      <c r="V133" s="55"/>
      <c r="W133" s="55"/>
      <c r="X133" s="55"/>
      <c r="Y133" s="55"/>
      <c r="Z133" s="55"/>
      <c r="AA133" s="55"/>
      <c r="AB133" s="55"/>
      <c r="AC133" s="55"/>
      <c r="AD133" s="55"/>
      <c r="AE133" s="55"/>
      <c r="AF133" s="55"/>
      <c r="AG133" s="55"/>
      <c r="AH133" s="55"/>
      <c r="AI133" s="55"/>
      <c r="AJ133" s="55"/>
      <c r="AK133" s="55"/>
      <c r="AL133" s="55"/>
      <c r="AM133" s="55"/>
      <c r="AN133" s="55"/>
      <c r="AO133" s="55"/>
      <c r="AP133" s="55"/>
      <c r="AQ133" s="55"/>
      <c r="AR133" s="55"/>
      <c r="AS133" s="55"/>
      <c r="AT133" s="55"/>
      <c r="AU133" s="55"/>
      <c r="AV133" s="55"/>
      <c r="AW133" s="55"/>
      <c r="AX133" s="55"/>
      <c r="AY133" s="55"/>
      <c r="AZ133" s="55"/>
      <c r="BA133" s="55"/>
      <c r="BB133" s="55"/>
      <c r="BC133" s="55"/>
      <c r="BD133" s="55"/>
      <c r="BE133" s="55"/>
      <c r="BF133" s="55"/>
      <c r="BG133" s="55"/>
      <c r="BH133" s="55"/>
      <c r="BI133" s="55"/>
      <c r="BJ133" s="55"/>
      <c r="BK133" s="55"/>
      <c r="BL133" s="55"/>
      <c r="BM133" s="55"/>
      <c r="BN133" s="55"/>
      <c r="BO133" s="55"/>
      <c r="BP133" s="55"/>
      <c r="BQ133" s="55"/>
      <c r="BR133" s="55"/>
      <c r="BS133" s="55"/>
    </row>
    <row r="134" spans="1:71" outlineLevel="1" x14ac:dyDescent="0.2">
      <c r="J134" s="26"/>
      <c r="L134" s="55"/>
      <c r="M134" s="55"/>
      <c r="N134" s="55"/>
      <c r="O134" s="55"/>
      <c r="P134" s="55"/>
      <c r="Q134" s="55"/>
      <c r="R134" s="55"/>
      <c r="S134" s="55"/>
      <c r="T134" s="55"/>
      <c r="U134" s="55"/>
      <c r="V134" s="55"/>
      <c r="W134" s="55"/>
      <c r="X134" s="55"/>
      <c r="Y134" s="55"/>
      <c r="Z134" s="55"/>
      <c r="AA134" s="55"/>
      <c r="AB134" s="55"/>
      <c r="AC134" s="55"/>
      <c r="AD134" s="55"/>
      <c r="AE134" s="55"/>
      <c r="AF134" s="55"/>
      <c r="AG134" s="55"/>
      <c r="AH134" s="55"/>
      <c r="AI134" s="55"/>
      <c r="AJ134" s="55"/>
      <c r="AK134" s="55"/>
      <c r="AL134" s="55"/>
      <c r="AM134" s="55"/>
      <c r="AN134" s="55"/>
      <c r="AO134" s="55"/>
      <c r="AP134" s="55"/>
      <c r="AQ134" s="55"/>
      <c r="AR134" s="55"/>
      <c r="AS134" s="55"/>
      <c r="AT134" s="55"/>
      <c r="AU134" s="55"/>
      <c r="AV134" s="55"/>
      <c r="AW134" s="55"/>
      <c r="AX134" s="55"/>
      <c r="AY134" s="55"/>
      <c r="AZ134" s="55"/>
      <c r="BA134" s="55"/>
      <c r="BB134" s="55"/>
      <c r="BC134" s="55"/>
      <c r="BD134" s="55"/>
      <c r="BE134" s="55"/>
      <c r="BF134" s="55"/>
      <c r="BG134" s="55"/>
      <c r="BH134" s="55"/>
      <c r="BI134" s="55"/>
      <c r="BJ134" s="55"/>
      <c r="BK134" s="55"/>
      <c r="BL134" s="55"/>
      <c r="BM134" s="55"/>
      <c r="BN134" s="55"/>
      <c r="BO134" s="55"/>
      <c r="BP134" s="55"/>
      <c r="BQ134" s="55"/>
      <c r="BR134" s="55"/>
      <c r="BS134" s="55"/>
    </row>
    <row r="135" spans="1:71" outlineLevel="1" x14ac:dyDescent="0.2">
      <c r="J135" s="26"/>
      <c r="L135" s="55"/>
      <c r="M135" s="55"/>
      <c r="N135" s="55"/>
      <c r="O135" s="55"/>
      <c r="P135" s="55"/>
      <c r="Q135" s="55"/>
      <c r="R135" s="55"/>
      <c r="S135" s="55"/>
      <c r="T135" s="55"/>
      <c r="U135" s="55"/>
      <c r="V135" s="55"/>
      <c r="W135" s="55"/>
      <c r="X135" s="55"/>
      <c r="Y135" s="55"/>
      <c r="Z135" s="55"/>
      <c r="AA135" s="55"/>
      <c r="AB135" s="55"/>
      <c r="AC135" s="55"/>
      <c r="AD135" s="55"/>
      <c r="AE135" s="55"/>
      <c r="AF135" s="55"/>
      <c r="AG135" s="55"/>
      <c r="AH135" s="55"/>
      <c r="AI135" s="55"/>
      <c r="AJ135" s="55"/>
      <c r="AK135" s="55"/>
      <c r="AL135" s="55"/>
      <c r="AM135" s="55"/>
      <c r="AN135" s="55"/>
      <c r="AO135" s="55"/>
      <c r="AP135" s="55"/>
      <c r="AQ135" s="55"/>
      <c r="AR135" s="55"/>
      <c r="AS135" s="55"/>
      <c r="AT135" s="55"/>
      <c r="AU135" s="55"/>
      <c r="AV135" s="55"/>
      <c r="AW135" s="55"/>
      <c r="AX135" s="55"/>
      <c r="AY135" s="55"/>
      <c r="AZ135" s="55"/>
      <c r="BA135" s="55"/>
      <c r="BB135" s="55"/>
      <c r="BC135" s="55"/>
      <c r="BD135" s="55"/>
      <c r="BE135" s="55"/>
      <c r="BF135" s="55"/>
      <c r="BG135" s="55"/>
      <c r="BH135" s="55"/>
      <c r="BI135" s="55"/>
      <c r="BJ135" s="55"/>
      <c r="BK135" s="55"/>
      <c r="BL135" s="55"/>
      <c r="BM135" s="55"/>
      <c r="BN135" s="55"/>
      <c r="BO135" s="55"/>
      <c r="BP135" s="55"/>
      <c r="BQ135" s="55"/>
      <c r="BR135" s="55"/>
      <c r="BS135" s="55"/>
    </row>
    <row r="136" spans="1:71" outlineLevel="1" x14ac:dyDescent="0.2">
      <c r="A136" s="45"/>
      <c r="B136" s="38" t="str">
        <f>HM_ZD_Moho!B154</f>
        <v>Prix</v>
      </c>
      <c r="C136" s="45"/>
      <c r="D136" s="45"/>
      <c r="E136" s="45"/>
      <c r="J136" s="26"/>
      <c r="L136" s="55"/>
      <c r="M136" s="55"/>
      <c r="N136" s="55"/>
      <c r="O136" s="55"/>
      <c r="P136" s="55"/>
      <c r="Q136" s="55"/>
      <c r="R136" s="55"/>
      <c r="S136" s="55"/>
      <c r="T136" s="55"/>
      <c r="U136" s="55"/>
      <c r="V136" s="55"/>
      <c r="W136" s="55"/>
      <c r="X136" s="55"/>
      <c r="Y136" s="55"/>
      <c r="Z136" s="55"/>
      <c r="AA136" s="55"/>
      <c r="AB136" s="55"/>
      <c r="AC136" s="55"/>
      <c r="AD136" s="55"/>
      <c r="AE136" s="55"/>
      <c r="AF136" s="55"/>
      <c r="AG136" s="55"/>
      <c r="AH136" s="55"/>
      <c r="AI136" s="55"/>
      <c r="AJ136" s="55"/>
      <c r="AK136" s="55"/>
      <c r="AL136" s="55"/>
      <c r="AM136" s="55"/>
      <c r="AN136" s="55"/>
      <c r="AO136" s="55"/>
      <c r="AP136" s="55"/>
      <c r="AQ136" s="55"/>
      <c r="AR136" s="55"/>
      <c r="AS136" s="55"/>
      <c r="AT136" s="55"/>
      <c r="AU136" s="55"/>
      <c r="AV136" s="55"/>
      <c r="AW136" s="55"/>
      <c r="AX136" s="55"/>
      <c r="AY136" s="55"/>
      <c r="AZ136" s="55"/>
      <c r="BA136" s="55"/>
      <c r="BB136" s="55"/>
      <c r="BC136" s="55"/>
      <c r="BD136" s="55"/>
      <c r="BE136" s="55"/>
      <c r="BF136" s="55"/>
      <c r="BG136" s="55"/>
      <c r="BH136" s="55"/>
      <c r="BI136" s="55"/>
      <c r="BJ136" s="55"/>
      <c r="BK136" s="55"/>
      <c r="BL136" s="55"/>
      <c r="BM136" s="55"/>
      <c r="BN136" s="55"/>
      <c r="BO136" s="55"/>
      <c r="BP136" s="55"/>
      <c r="BQ136" s="55"/>
      <c r="BR136" s="55"/>
      <c r="BS136" s="55"/>
    </row>
    <row r="137" spans="1:71" outlineLevel="1" x14ac:dyDescent="0.2">
      <c r="J137" s="26"/>
      <c r="L137" s="55"/>
      <c r="M137" s="55"/>
      <c r="N137" s="55"/>
      <c r="O137" s="55"/>
      <c r="P137" s="55"/>
      <c r="Q137" s="55"/>
      <c r="R137" s="55"/>
      <c r="S137" s="55"/>
      <c r="T137" s="55"/>
      <c r="U137" s="55"/>
      <c r="V137" s="55"/>
      <c r="W137" s="55"/>
      <c r="X137" s="55"/>
      <c r="Y137" s="55"/>
      <c r="Z137" s="55"/>
      <c r="AA137" s="55"/>
      <c r="AB137" s="55"/>
      <c r="AC137" s="55"/>
      <c r="AD137" s="55"/>
      <c r="AE137" s="55"/>
      <c r="AF137" s="55"/>
      <c r="AG137" s="55"/>
      <c r="AH137" s="55"/>
      <c r="AI137" s="55"/>
      <c r="AJ137" s="55"/>
      <c r="AK137" s="55"/>
      <c r="AL137" s="55"/>
      <c r="AM137" s="55"/>
      <c r="AN137" s="55"/>
      <c r="AO137" s="55"/>
      <c r="AP137" s="55"/>
      <c r="AQ137" s="55"/>
      <c r="AR137" s="55"/>
      <c r="AS137" s="55"/>
      <c r="AT137" s="55"/>
      <c r="AU137" s="55"/>
      <c r="AV137" s="55"/>
      <c r="AW137" s="55"/>
      <c r="AX137" s="55"/>
      <c r="AY137" s="55"/>
      <c r="AZ137" s="55"/>
      <c r="BA137" s="55"/>
      <c r="BB137" s="55"/>
      <c r="BC137" s="55"/>
      <c r="BD137" s="55"/>
      <c r="BE137" s="55"/>
      <c r="BF137" s="55"/>
      <c r="BG137" s="55"/>
      <c r="BH137" s="55"/>
      <c r="BI137" s="55"/>
      <c r="BJ137" s="55"/>
      <c r="BK137" s="55"/>
      <c r="BL137" s="55"/>
      <c r="BM137" s="55"/>
      <c r="BN137" s="55"/>
      <c r="BO137" s="55"/>
      <c r="BP137" s="55"/>
      <c r="BQ137" s="55"/>
      <c r="BR137" s="55"/>
      <c r="BS137" s="55"/>
    </row>
    <row r="138" spans="1:71" outlineLevel="1" x14ac:dyDescent="0.2">
      <c r="C138" s="11" t="str">
        <f>HM_ZD_Moho!C156</f>
        <v>Prix du marché (PF)</v>
      </c>
      <c r="J138" s="26"/>
      <c r="L138" s="55"/>
      <c r="M138" s="55"/>
      <c r="N138" s="55"/>
      <c r="O138" s="55"/>
      <c r="P138" s="55"/>
      <c r="Q138" s="55"/>
      <c r="R138" s="55"/>
      <c r="S138" s="55"/>
      <c r="T138" s="55"/>
      <c r="U138" s="55"/>
      <c r="V138" s="55"/>
      <c r="W138" s="55"/>
      <c r="X138" s="55"/>
      <c r="Y138" s="55"/>
      <c r="Z138" s="55"/>
      <c r="AA138" s="55"/>
      <c r="AB138" s="55"/>
      <c r="AC138" s="55"/>
      <c r="AD138" s="55"/>
      <c r="AE138" s="55"/>
      <c r="AF138" s="55"/>
      <c r="AG138" s="55"/>
      <c r="AH138" s="55"/>
      <c r="AI138" s="55"/>
      <c r="AJ138" s="55"/>
      <c r="AK138" s="55"/>
      <c r="AL138" s="55"/>
      <c r="AM138" s="55"/>
      <c r="AN138" s="55"/>
      <c r="AO138" s="55"/>
      <c r="AP138" s="55"/>
      <c r="AQ138" s="55"/>
      <c r="AR138" s="55"/>
      <c r="AS138" s="55"/>
      <c r="AT138" s="55"/>
      <c r="AU138" s="55"/>
      <c r="AV138" s="55"/>
      <c r="AW138" s="55"/>
      <c r="AX138" s="55"/>
      <c r="AY138" s="55"/>
      <c r="AZ138" s="55"/>
      <c r="BA138" s="55"/>
      <c r="BB138" s="55"/>
      <c r="BC138" s="55"/>
      <c r="BD138" s="55"/>
      <c r="BE138" s="55"/>
      <c r="BF138" s="55"/>
      <c r="BG138" s="55"/>
      <c r="BH138" s="55"/>
      <c r="BI138" s="55"/>
      <c r="BJ138" s="55"/>
      <c r="BK138" s="55"/>
      <c r="BL138" s="55"/>
      <c r="BM138" s="55"/>
      <c r="BN138" s="55"/>
      <c r="BO138" s="55"/>
      <c r="BP138" s="55"/>
      <c r="BQ138" s="55"/>
      <c r="BR138" s="55"/>
      <c r="BS138" s="55"/>
    </row>
    <row r="139" spans="1:71" outlineLevel="1" x14ac:dyDescent="0.2">
      <c r="D139" t="str">
        <f>HM_ZD_Moho!D157</f>
        <v>Prix du pétrole (nominal)</v>
      </c>
      <c r="J139" s="26" t="s">
        <v>46</v>
      </c>
      <c r="K139" s="7" t="s">
        <v>141</v>
      </c>
      <c r="L139" s="49">
        <f t="shared" ref="L139:AQ139" ca="1" si="20">OFFSET(_xlfn.SINGLE(IA_oilprice_nominal),5,)</f>
        <v>105.3131483179633</v>
      </c>
      <c r="M139" s="49">
        <f t="shared" ca="1" si="20"/>
        <v>94.482840461481686</v>
      </c>
      <c r="N139" s="49">
        <f t="shared" ca="1" si="20"/>
        <v>48.3622979358558</v>
      </c>
      <c r="O139" s="49">
        <f t="shared" ca="1" si="20"/>
        <v>40.053614345672159</v>
      </c>
      <c r="P139" s="49">
        <f t="shared" ca="1" si="20"/>
        <v>53.483847015730461</v>
      </c>
      <c r="Q139" s="49">
        <f t="shared" ca="1" si="20"/>
        <v>68.304647495597507</v>
      </c>
      <c r="R139" s="49">
        <f t="shared" ca="1" si="20"/>
        <v>64.508278946592398</v>
      </c>
      <c r="S139" s="49">
        <f t="shared" ca="1" si="20"/>
        <v>40.43</v>
      </c>
      <c r="T139" s="49">
        <f t="shared" ca="1" si="20"/>
        <v>66.5184</v>
      </c>
      <c r="U139" s="49">
        <f t="shared" ca="1" si="20"/>
        <v>71.400000000000006</v>
      </c>
      <c r="V139" s="49">
        <f t="shared" ca="1" si="20"/>
        <v>72.828000000000003</v>
      </c>
      <c r="W139" s="49">
        <f t="shared" ca="1" si="20"/>
        <v>74.284559999999999</v>
      </c>
      <c r="X139" s="49">
        <f t="shared" ca="1" si="20"/>
        <v>75.770251200000004</v>
      </c>
      <c r="Y139" s="49">
        <f t="shared" ca="1" si="20"/>
        <v>0</v>
      </c>
      <c r="Z139" s="49">
        <f t="shared" ca="1" si="20"/>
        <v>0</v>
      </c>
      <c r="AA139" s="49">
        <f t="shared" ca="1" si="20"/>
        <v>0</v>
      </c>
      <c r="AB139" s="49">
        <f t="shared" ca="1" si="20"/>
        <v>0</v>
      </c>
      <c r="AC139" s="49">
        <f t="shared" ca="1" si="20"/>
        <v>0</v>
      </c>
      <c r="AD139" s="49">
        <f t="shared" ca="1" si="20"/>
        <v>0</v>
      </c>
      <c r="AE139" s="49">
        <f t="shared" ca="1" si="20"/>
        <v>0</v>
      </c>
      <c r="AF139" s="49">
        <f t="shared" ca="1" si="20"/>
        <v>0</v>
      </c>
      <c r="AG139" s="49">
        <f t="shared" ca="1" si="20"/>
        <v>0</v>
      </c>
      <c r="AH139" s="49">
        <f t="shared" ca="1" si="20"/>
        <v>0</v>
      </c>
      <c r="AI139" s="49">
        <f t="shared" ca="1" si="20"/>
        <v>0</v>
      </c>
      <c r="AJ139" s="49">
        <f t="shared" ca="1" si="20"/>
        <v>0</v>
      </c>
      <c r="AK139" s="49">
        <f t="shared" ca="1" si="20"/>
        <v>0</v>
      </c>
      <c r="AL139" s="49">
        <f t="shared" ca="1" si="20"/>
        <v>0</v>
      </c>
      <c r="AM139" s="49">
        <f t="shared" ca="1" si="20"/>
        <v>0</v>
      </c>
      <c r="AN139" s="49">
        <f t="shared" ca="1" si="20"/>
        <v>0</v>
      </c>
      <c r="AO139" s="49">
        <f t="shared" ca="1" si="20"/>
        <v>0</v>
      </c>
      <c r="AP139" s="49">
        <f t="shared" ca="1" si="20"/>
        <v>0</v>
      </c>
      <c r="AQ139" s="49">
        <f t="shared" ca="1" si="20"/>
        <v>0</v>
      </c>
      <c r="AR139" s="49">
        <f t="shared" ref="AR139:BS139" ca="1" si="21">OFFSET(_xlfn.SINGLE(IA_oilprice_nominal),5,)</f>
        <v>0</v>
      </c>
      <c r="AS139" s="49">
        <f t="shared" ca="1" si="21"/>
        <v>0</v>
      </c>
      <c r="AT139" s="49">
        <f t="shared" ca="1" si="21"/>
        <v>0</v>
      </c>
      <c r="AU139" s="49">
        <f t="shared" ca="1" si="21"/>
        <v>0</v>
      </c>
      <c r="AV139" s="49">
        <f t="shared" ca="1" si="21"/>
        <v>0</v>
      </c>
      <c r="AW139" s="49">
        <f t="shared" ca="1" si="21"/>
        <v>0</v>
      </c>
      <c r="AX139" s="49">
        <f t="shared" ca="1" si="21"/>
        <v>0</v>
      </c>
      <c r="AY139" s="49">
        <f t="shared" ca="1" si="21"/>
        <v>0</v>
      </c>
      <c r="AZ139" s="49">
        <f t="shared" ca="1" si="21"/>
        <v>0</v>
      </c>
      <c r="BA139" s="49">
        <f t="shared" ca="1" si="21"/>
        <v>0</v>
      </c>
      <c r="BB139" s="49">
        <f t="shared" ca="1" si="21"/>
        <v>0</v>
      </c>
      <c r="BC139" s="49">
        <f t="shared" ca="1" si="21"/>
        <v>0</v>
      </c>
      <c r="BD139" s="49">
        <f t="shared" ca="1" si="21"/>
        <v>0</v>
      </c>
      <c r="BE139" s="49">
        <f t="shared" ca="1" si="21"/>
        <v>0</v>
      </c>
      <c r="BF139" s="49">
        <f t="shared" ca="1" si="21"/>
        <v>0</v>
      </c>
      <c r="BG139" s="49">
        <f t="shared" ca="1" si="21"/>
        <v>0</v>
      </c>
      <c r="BH139" s="49">
        <f t="shared" ca="1" si="21"/>
        <v>0</v>
      </c>
      <c r="BI139" s="49">
        <f t="shared" ca="1" si="21"/>
        <v>0</v>
      </c>
      <c r="BJ139" s="49">
        <f t="shared" ca="1" si="21"/>
        <v>0</v>
      </c>
      <c r="BK139" s="49">
        <f t="shared" ca="1" si="21"/>
        <v>0</v>
      </c>
      <c r="BL139" s="49">
        <f t="shared" ca="1" si="21"/>
        <v>0</v>
      </c>
      <c r="BM139" s="49">
        <f t="shared" ca="1" si="21"/>
        <v>0</v>
      </c>
      <c r="BN139" s="49">
        <f t="shared" ca="1" si="21"/>
        <v>0</v>
      </c>
      <c r="BO139" s="49">
        <f t="shared" ca="1" si="21"/>
        <v>0</v>
      </c>
      <c r="BP139" s="49">
        <f t="shared" ca="1" si="21"/>
        <v>0</v>
      </c>
      <c r="BQ139" s="49">
        <f t="shared" ca="1" si="21"/>
        <v>0</v>
      </c>
      <c r="BR139" s="49">
        <f t="shared" ca="1" si="21"/>
        <v>0</v>
      </c>
      <c r="BS139" s="49">
        <f t="shared" ca="1" si="21"/>
        <v>0</v>
      </c>
    </row>
    <row r="140" spans="1:71" outlineLevel="1" x14ac:dyDescent="0.2">
      <c r="J140" s="26"/>
      <c r="L140" s="55"/>
      <c r="M140" s="55"/>
      <c r="N140" s="55"/>
      <c r="O140" s="55"/>
      <c r="P140" s="55"/>
      <c r="Q140" s="55"/>
      <c r="R140" s="55"/>
      <c r="S140" s="55"/>
      <c r="T140" s="55"/>
      <c r="U140" s="55"/>
      <c r="V140" s="55"/>
      <c r="W140" s="55"/>
      <c r="X140" s="55"/>
      <c r="Y140" s="55"/>
      <c r="Z140" s="55"/>
      <c r="AA140" s="55"/>
      <c r="AB140" s="55"/>
      <c r="AC140" s="55"/>
      <c r="AD140" s="55"/>
      <c r="AE140" s="55"/>
      <c r="AF140" s="55"/>
      <c r="AG140" s="55"/>
      <c r="AH140" s="55"/>
      <c r="AI140" s="55"/>
      <c r="AJ140" s="55"/>
      <c r="AK140" s="55"/>
      <c r="AL140" s="55"/>
      <c r="AM140" s="55"/>
      <c r="AN140" s="55"/>
      <c r="AO140" s="55"/>
      <c r="AP140" s="55"/>
      <c r="AQ140" s="55"/>
      <c r="AR140" s="55"/>
      <c r="AS140" s="55"/>
      <c r="AT140" s="55"/>
      <c r="AU140" s="55"/>
      <c r="AV140" s="55"/>
      <c r="AW140" s="55"/>
      <c r="AX140" s="55"/>
      <c r="AY140" s="55"/>
      <c r="AZ140" s="55"/>
      <c r="BA140" s="55"/>
      <c r="BB140" s="55"/>
      <c r="BC140" s="55"/>
      <c r="BD140" s="55"/>
      <c r="BE140" s="55"/>
      <c r="BF140" s="55"/>
      <c r="BG140" s="55"/>
      <c r="BH140" s="55"/>
      <c r="BI140" s="55"/>
      <c r="BJ140" s="55"/>
      <c r="BK140" s="55"/>
      <c r="BL140" s="55"/>
      <c r="BM140" s="55"/>
      <c r="BN140" s="55"/>
      <c r="BO140" s="55"/>
      <c r="BP140" s="55"/>
      <c r="BQ140" s="55"/>
      <c r="BR140" s="55"/>
      <c r="BS140" s="55"/>
    </row>
    <row r="141" spans="1:71" outlineLevel="1" x14ac:dyDescent="0.2">
      <c r="D141" t="str">
        <f>HM_ZD_Moho!D159</f>
        <v>Prix du GPL (Nominal)</v>
      </c>
      <c r="J141" s="26" t="s">
        <v>46</v>
      </c>
      <c r="K141" s="7" t="s">
        <v>689</v>
      </c>
      <c r="L141" s="49">
        <f t="shared" ref="L141:AQ141" ca="1" si="22">OFFSET(_xlfn.SINGLE(IA_lpgprice_nominal),5,)</f>
        <v>0</v>
      </c>
      <c r="M141" s="49">
        <f t="shared" ca="1" si="22"/>
        <v>0</v>
      </c>
      <c r="N141" s="49">
        <f t="shared" ca="1" si="22"/>
        <v>0</v>
      </c>
      <c r="O141" s="49">
        <f t="shared" ca="1" si="22"/>
        <v>0</v>
      </c>
      <c r="P141" s="49">
        <f t="shared" ca="1" si="22"/>
        <v>0</v>
      </c>
      <c r="Q141" s="49">
        <f t="shared" ca="1" si="22"/>
        <v>0</v>
      </c>
      <c r="R141" s="49">
        <f t="shared" ca="1" si="22"/>
        <v>0</v>
      </c>
      <c r="S141" s="49">
        <f t="shared" ca="1" si="22"/>
        <v>0</v>
      </c>
      <c r="T141" s="49">
        <f t="shared" ca="1" si="22"/>
        <v>0</v>
      </c>
      <c r="U141" s="49">
        <f t="shared" ca="1" si="22"/>
        <v>0</v>
      </c>
      <c r="V141" s="49">
        <f t="shared" ca="1" si="22"/>
        <v>0</v>
      </c>
      <c r="W141" s="49">
        <f t="shared" ca="1" si="22"/>
        <v>0</v>
      </c>
      <c r="X141" s="49">
        <f t="shared" ca="1" si="22"/>
        <v>0</v>
      </c>
      <c r="Y141" s="49">
        <f t="shared" ca="1" si="22"/>
        <v>0</v>
      </c>
      <c r="Z141" s="49">
        <f t="shared" ca="1" si="22"/>
        <v>0</v>
      </c>
      <c r="AA141" s="49">
        <f t="shared" ca="1" si="22"/>
        <v>0</v>
      </c>
      <c r="AB141" s="49">
        <f t="shared" ca="1" si="22"/>
        <v>0</v>
      </c>
      <c r="AC141" s="49">
        <f t="shared" ca="1" si="22"/>
        <v>0</v>
      </c>
      <c r="AD141" s="49">
        <f t="shared" ca="1" si="22"/>
        <v>0</v>
      </c>
      <c r="AE141" s="49">
        <f t="shared" ca="1" si="22"/>
        <v>0</v>
      </c>
      <c r="AF141" s="49">
        <f t="shared" ca="1" si="22"/>
        <v>0</v>
      </c>
      <c r="AG141" s="49">
        <f t="shared" ca="1" si="22"/>
        <v>0</v>
      </c>
      <c r="AH141" s="49">
        <f t="shared" ca="1" si="22"/>
        <v>0</v>
      </c>
      <c r="AI141" s="49">
        <f t="shared" ca="1" si="22"/>
        <v>0</v>
      </c>
      <c r="AJ141" s="49">
        <f t="shared" ca="1" si="22"/>
        <v>0</v>
      </c>
      <c r="AK141" s="49">
        <f t="shared" ca="1" si="22"/>
        <v>0</v>
      </c>
      <c r="AL141" s="49">
        <f t="shared" ca="1" si="22"/>
        <v>0</v>
      </c>
      <c r="AM141" s="49">
        <f t="shared" ca="1" si="22"/>
        <v>0</v>
      </c>
      <c r="AN141" s="49">
        <f t="shared" ca="1" si="22"/>
        <v>0</v>
      </c>
      <c r="AO141" s="49">
        <f t="shared" ca="1" si="22"/>
        <v>0</v>
      </c>
      <c r="AP141" s="49">
        <f t="shared" ca="1" si="22"/>
        <v>0</v>
      </c>
      <c r="AQ141" s="49">
        <f t="shared" ca="1" si="22"/>
        <v>0</v>
      </c>
      <c r="AR141" s="49">
        <f t="shared" ref="AR141:BS141" ca="1" si="23">OFFSET(_xlfn.SINGLE(IA_lpgprice_nominal),5,)</f>
        <v>0</v>
      </c>
      <c r="AS141" s="49">
        <f t="shared" ca="1" si="23"/>
        <v>0</v>
      </c>
      <c r="AT141" s="49">
        <f t="shared" ca="1" si="23"/>
        <v>0</v>
      </c>
      <c r="AU141" s="49">
        <f t="shared" ca="1" si="23"/>
        <v>0</v>
      </c>
      <c r="AV141" s="49">
        <f t="shared" ca="1" si="23"/>
        <v>0</v>
      </c>
      <c r="AW141" s="49">
        <f t="shared" ca="1" si="23"/>
        <v>0</v>
      </c>
      <c r="AX141" s="49">
        <f t="shared" ca="1" si="23"/>
        <v>0</v>
      </c>
      <c r="AY141" s="49">
        <f t="shared" ca="1" si="23"/>
        <v>0</v>
      </c>
      <c r="AZ141" s="49">
        <f t="shared" ca="1" si="23"/>
        <v>0</v>
      </c>
      <c r="BA141" s="49">
        <f t="shared" ca="1" si="23"/>
        <v>0</v>
      </c>
      <c r="BB141" s="49">
        <f t="shared" ca="1" si="23"/>
        <v>0</v>
      </c>
      <c r="BC141" s="49">
        <f t="shared" ca="1" si="23"/>
        <v>0</v>
      </c>
      <c r="BD141" s="49">
        <f t="shared" ca="1" si="23"/>
        <v>0</v>
      </c>
      <c r="BE141" s="49">
        <f t="shared" ca="1" si="23"/>
        <v>0</v>
      </c>
      <c r="BF141" s="49">
        <f t="shared" ca="1" si="23"/>
        <v>0</v>
      </c>
      <c r="BG141" s="49">
        <f t="shared" ca="1" si="23"/>
        <v>0</v>
      </c>
      <c r="BH141" s="49">
        <f t="shared" ca="1" si="23"/>
        <v>0</v>
      </c>
      <c r="BI141" s="49">
        <f t="shared" ca="1" si="23"/>
        <v>0</v>
      </c>
      <c r="BJ141" s="49">
        <f t="shared" ca="1" si="23"/>
        <v>0</v>
      </c>
      <c r="BK141" s="49">
        <f t="shared" ca="1" si="23"/>
        <v>0</v>
      </c>
      <c r="BL141" s="49">
        <f t="shared" ca="1" si="23"/>
        <v>0</v>
      </c>
      <c r="BM141" s="49">
        <f t="shared" ca="1" si="23"/>
        <v>0</v>
      </c>
      <c r="BN141" s="49">
        <f t="shared" ca="1" si="23"/>
        <v>0</v>
      </c>
      <c r="BO141" s="49">
        <f t="shared" ca="1" si="23"/>
        <v>0</v>
      </c>
      <c r="BP141" s="49">
        <f t="shared" ca="1" si="23"/>
        <v>0</v>
      </c>
      <c r="BQ141" s="49">
        <f t="shared" ca="1" si="23"/>
        <v>0</v>
      </c>
      <c r="BR141" s="49">
        <f t="shared" ca="1" si="23"/>
        <v>0</v>
      </c>
      <c r="BS141" s="49">
        <f t="shared" ca="1" si="23"/>
        <v>0</v>
      </c>
    </row>
    <row r="142" spans="1:71" outlineLevel="1" x14ac:dyDescent="0.2">
      <c r="J142" s="26"/>
      <c r="L142" s="55"/>
      <c r="M142" s="55"/>
      <c r="N142" s="55"/>
      <c r="O142" s="55"/>
      <c r="P142" s="55"/>
      <c r="Q142" s="55"/>
      <c r="R142" s="55"/>
      <c r="S142" s="55"/>
      <c r="T142" s="55"/>
      <c r="U142" s="55"/>
      <c r="V142" s="55"/>
      <c r="W142" s="55"/>
      <c r="X142" s="55"/>
      <c r="Y142" s="55"/>
      <c r="Z142" s="55"/>
      <c r="AA142" s="55"/>
      <c r="AB142" s="55"/>
      <c r="AC142" s="55"/>
      <c r="AD142" s="55"/>
      <c r="AE142" s="55"/>
      <c r="AF142" s="55"/>
      <c r="AG142" s="55"/>
      <c r="AH142" s="55"/>
      <c r="AI142" s="55"/>
      <c r="AJ142" s="55"/>
      <c r="AK142" s="55"/>
      <c r="AL142" s="55"/>
      <c r="AM142" s="55"/>
      <c r="AN142" s="55"/>
      <c r="AO142" s="55"/>
      <c r="AP142" s="55"/>
      <c r="AQ142" s="55"/>
      <c r="AR142" s="55"/>
      <c r="AS142" s="55"/>
      <c r="AT142" s="55"/>
      <c r="AU142" s="55"/>
      <c r="AV142" s="55"/>
      <c r="AW142" s="55"/>
      <c r="AX142" s="55"/>
      <c r="AY142" s="55"/>
      <c r="AZ142" s="55"/>
      <c r="BA142" s="55"/>
      <c r="BB142" s="55"/>
      <c r="BC142" s="55"/>
      <c r="BD142" s="55"/>
      <c r="BE142" s="55"/>
      <c r="BF142" s="55"/>
      <c r="BG142" s="55"/>
      <c r="BH142" s="55"/>
      <c r="BI142" s="55"/>
      <c r="BJ142" s="55"/>
      <c r="BK142" s="55"/>
      <c r="BL142" s="55"/>
      <c r="BM142" s="55"/>
      <c r="BN142" s="55"/>
      <c r="BO142" s="55"/>
      <c r="BP142" s="55"/>
      <c r="BQ142" s="55"/>
      <c r="BR142" s="55"/>
      <c r="BS142" s="55"/>
    </row>
    <row r="143" spans="1:71" outlineLevel="1" x14ac:dyDescent="0.2">
      <c r="D143" t="str">
        <f>HM_ZD_Moho!D161</f>
        <v>Prix du gaz (Nominal)</v>
      </c>
      <c r="J143" s="26" t="s">
        <v>47</v>
      </c>
      <c r="K143" s="7" t="s">
        <v>142</v>
      </c>
      <c r="L143" s="49">
        <f t="shared" ref="L143:AQ143" ca="1" si="24">OFFSET(_xlfn.SINGLE(IA_gasprice_nominal),5,)</f>
        <v>0</v>
      </c>
      <c r="M143" s="49">
        <f t="shared" ca="1" si="24"/>
        <v>0</v>
      </c>
      <c r="N143" s="49">
        <f t="shared" ca="1" si="24"/>
        <v>0</v>
      </c>
      <c r="O143" s="49">
        <f t="shared" ca="1" si="24"/>
        <v>0</v>
      </c>
      <c r="P143" s="49">
        <f t="shared" ca="1" si="24"/>
        <v>0</v>
      </c>
      <c r="Q143" s="49">
        <f t="shared" ca="1" si="24"/>
        <v>0</v>
      </c>
      <c r="R143" s="49">
        <f t="shared" ca="1" si="24"/>
        <v>0</v>
      </c>
      <c r="S143" s="49">
        <f t="shared" ca="1" si="24"/>
        <v>0</v>
      </c>
      <c r="T143" s="49">
        <f t="shared" ca="1" si="24"/>
        <v>0</v>
      </c>
      <c r="U143" s="49">
        <f t="shared" ca="1" si="24"/>
        <v>0</v>
      </c>
      <c r="V143" s="49">
        <f t="shared" ca="1" si="24"/>
        <v>0</v>
      </c>
      <c r="W143" s="49">
        <f t="shared" ca="1" si="24"/>
        <v>0</v>
      </c>
      <c r="X143" s="49">
        <f t="shared" ca="1" si="24"/>
        <v>0</v>
      </c>
      <c r="Y143" s="49">
        <f t="shared" ca="1" si="24"/>
        <v>0</v>
      </c>
      <c r="Z143" s="49">
        <f t="shared" ca="1" si="24"/>
        <v>0</v>
      </c>
      <c r="AA143" s="49">
        <f t="shared" ca="1" si="24"/>
        <v>0</v>
      </c>
      <c r="AB143" s="49">
        <f t="shared" ca="1" si="24"/>
        <v>0</v>
      </c>
      <c r="AC143" s="49">
        <f t="shared" ca="1" si="24"/>
        <v>0</v>
      </c>
      <c r="AD143" s="49">
        <f t="shared" ca="1" si="24"/>
        <v>0</v>
      </c>
      <c r="AE143" s="49">
        <f t="shared" ca="1" si="24"/>
        <v>0</v>
      </c>
      <c r="AF143" s="49">
        <f t="shared" ca="1" si="24"/>
        <v>0</v>
      </c>
      <c r="AG143" s="49">
        <f t="shared" ca="1" si="24"/>
        <v>0</v>
      </c>
      <c r="AH143" s="49">
        <f t="shared" ca="1" si="24"/>
        <v>0</v>
      </c>
      <c r="AI143" s="49">
        <f t="shared" ca="1" si="24"/>
        <v>0</v>
      </c>
      <c r="AJ143" s="49">
        <f t="shared" ca="1" si="24"/>
        <v>0</v>
      </c>
      <c r="AK143" s="49">
        <f t="shared" ca="1" si="24"/>
        <v>0</v>
      </c>
      <c r="AL143" s="49">
        <f t="shared" ca="1" si="24"/>
        <v>0</v>
      </c>
      <c r="AM143" s="49">
        <f t="shared" ca="1" si="24"/>
        <v>0</v>
      </c>
      <c r="AN143" s="49">
        <f t="shared" ca="1" si="24"/>
        <v>0</v>
      </c>
      <c r="AO143" s="49">
        <f t="shared" ca="1" si="24"/>
        <v>0</v>
      </c>
      <c r="AP143" s="49">
        <f t="shared" ca="1" si="24"/>
        <v>0</v>
      </c>
      <c r="AQ143" s="49">
        <f t="shared" ca="1" si="24"/>
        <v>0</v>
      </c>
      <c r="AR143" s="49">
        <f t="shared" ref="AR143:BS143" ca="1" si="25">OFFSET(_xlfn.SINGLE(IA_gasprice_nominal),5,)</f>
        <v>0</v>
      </c>
      <c r="AS143" s="49">
        <f t="shared" ca="1" si="25"/>
        <v>0</v>
      </c>
      <c r="AT143" s="49">
        <f t="shared" ca="1" si="25"/>
        <v>0</v>
      </c>
      <c r="AU143" s="49">
        <f t="shared" ca="1" si="25"/>
        <v>0</v>
      </c>
      <c r="AV143" s="49">
        <f t="shared" ca="1" si="25"/>
        <v>0</v>
      </c>
      <c r="AW143" s="49">
        <f t="shared" ca="1" si="25"/>
        <v>0</v>
      </c>
      <c r="AX143" s="49">
        <f t="shared" ca="1" si="25"/>
        <v>0</v>
      </c>
      <c r="AY143" s="49">
        <f t="shared" ca="1" si="25"/>
        <v>0</v>
      </c>
      <c r="AZ143" s="49">
        <f t="shared" ca="1" si="25"/>
        <v>0</v>
      </c>
      <c r="BA143" s="49">
        <f t="shared" ca="1" si="25"/>
        <v>0</v>
      </c>
      <c r="BB143" s="49">
        <f t="shared" ca="1" si="25"/>
        <v>0</v>
      </c>
      <c r="BC143" s="49">
        <f t="shared" ca="1" si="25"/>
        <v>0</v>
      </c>
      <c r="BD143" s="49">
        <f t="shared" ca="1" si="25"/>
        <v>0</v>
      </c>
      <c r="BE143" s="49">
        <f t="shared" ca="1" si="25"/>
        <v>0</v>
      </c>
      <c r="BF143" s="49">
        <f t="shared" ca="1" si="25"/>
        <v>0</v>
      </c>
      <c r="BG143" s="49">
        <f t="shared" ca="1" si="25"/>
        <v>0</v>
      </c>
      <c r="BH143" s="49">
        <f t="shared" ca="1" si="25"/>
        <v>0</v>
      </c>
      <c r="BI143" s="49">
        <f t="shared" ca="1" si="25"/>
        <v>0</v>
      </c>
      <c r="BJ143" s="49">
        <f t="shared" ca="1" si="25"/>
        <v>0</v>
      </c>
      <c r="BK143" s="49">
        <f t="shared" ca="1" si="25"/>
        <v>0</v>
      </c>
      <c r="BL143" s="49">
        <f t="shared" ca="1" si="25"/>
        <v>0</v>
      </c>
      <c r="BM143" s="49">
        <f t="shared" ca="1" si="25"/>
        <v>0</v>
      </c>
      <c r="BN143" s="49">
        <f t="shared" ca="1" si="25"/>
        <v>0</v>
      </c>
      <c r="BO143" s="49">
        <f t="shared" ca="1" si="25"/>
        <v>0</v>
      </c>
      <c r="BP143" s="49">
        <f t="shared" ca="1" si="25"/>
        <v>0</v>
      </c>
      <c r="BQ143" s="49">
        <f t="shared" ca="1" si="25"/>
        <v>0</v>
      </c>
      <c r="BR143" s="49">
        <f t="shared" ca="1" si="25"/>
        <v>0</v>
      </c>
      <c r="BS143" s="49">
        <f t="shared" ca="1" si="25"/>
        <v>0</v>
      </c>
    </row>
    <row r="144" spans="1:71" outlineLevel="1" x14ac:dyDescent="0.2">
      <c r="J144" s="26"/>
      <c r="L144" s="55"/>
      <c r="M144" s="55"/>
      <c r="N144" s="55"/>
      <c r="O144" s="55"/>
      <c r="P144" s="55"/>
      <c r="Q144" s="55"/>
      <c r="R144" s="55"/>
      <c r="S144" s="55"/>
      <c r="T144" s="55"/>
      <c r="U144" s="55"/>
      <c r="V144" s="55"/>
      <c r="W144" s="55"/>
      <c r="X144" s="55"/>
      <c r="Y144" s="55"/>
      <c r="Z144" s="55"/>
      <c r="AA144" s="55"/>
      <c r="AB144" s="55"/>
      <c r="AC144" s="55"/>
      <c r="AD144" s="55"/>
      <c r="AE144" s="55"/>
      <c r="AF144" s="55"/>
      <c r="AG144" s="55"/>
      <c r="AH144" s="55"/>
      <c r="AI144" s="55"/>
      <c r="AJ144" s="55"/>
      <c r="AK144" s="55"/>
      <c r="AL144" s="55"/>
      <c r="AM144" s="55"/>
      <c r="AN144" s="55"/>
      <c r="AO144" s="55"/>
      <c r="AP144" s="55"/>
      <c r="AQ144" s="55"/>
      <c r="AR144" s="55"/>
      <c r="AS144" s="55"/>
      <c r="AT144" s="55"/>
      <c r="AU144" s="55"/>
      <c r="AV144" s="55"/>
      <c r="AW144" s="55"/>
      <c r="AX144" s="55"/>
      <c r="AY144" s="55"/>
      <c r="AZ144" s="55"/>
      <c r="BA144" s="55"/>
      <c r="BB144" s="55"/>
      <c r="BC144" s="55"/>
      <c r="BD144" s="55"/>
      <c r="BE144" s="55"/>
      <c r="BF144" s="55"/>
      <c r="BG144" s="55"/>
      <c r="BH144" s="55"/>
      <c r="BI144" s="55"/>
      <c r="BJ144" s="55"/>
      <c r="BK144" s="55"/>
      <c r="BL144" s="55"/>
      <c r="BM144" s="55"/>
      <c r="BN144" s="55"/>
      <c r="BO144" s="55"/>
      <c r="BP144" s="55"/>
      <c r="BQ144" s="55"/>
      <c r="BR144" s="55"/>
      <c r="BS144" s="55"/>
    </row>
    <row r="145" spans="1:71" outlineLevel="1" x14ac:dyDescent="0.2">
      <c r="C145" s="11" t="str">
        <f>HM_ZD_Moho!C163</f>
        <v>Prix Haut (PH)</v>
      </c>
      <c r="J145" s="26"/>
      <c r="L145" s="55"/>
      <c r="M145" s="55"/>
      <c r="N145" s="55"/>
      <c r="O145" s="55"/>
      <c r="P145" s="55"/>
      <c r="Q145" s="55"/>
      <c r="R145" s="55"/>
      <c r="S145" s="55"/>
      <c r="T145" s="55"/>
      <c r="U145" s="55"/>
      <c r="V145" s="55"/>
      <c r="W145" s="55"/>
      <c r="X145" s="55"/>
      <c r="Y145" s="55"/>
      <c r="Z145" s="55"/>
      <c r="AA145" s="55"/>
      <c r="AB145" s="55"/>
      <c r="AC145" s="55"/>
      <c r="AD145" s="55"/>
      <c r="AE145" s="55"/>
      <c r="AF145" s="55"/>
      <c r="AG145" s="55"/>
      <c r="AH145" s="55"/>
      <c r="AI145" s="55"/>
      <c r="AJ145" s="55"/>
      <c r="AK145" s="55"/>
      <c r="AL145" s="55"/>
      <c r="AM145" s="55"/>
      <c r="AN145" s="55"/>
      <c r="AO145" s="55"/>
      <c r="AP145" s="55"/>
      <c r="AQ145" s="55"/>
      <c r="AR145" s="55"/>
      <c r="AS145" s="55"/>
      <c r="AT145" s="55"/>
      <c r="AU145" s="55"/>
      <c r="AV145" s="55"/>
      <c r="AW145" s="55"/>
      <c r="AX145" s="55"/>
      <c r="AY145" s="55"/>
      <c r="AZ145" s="55"/>
      <c r="BA145" s="55"/>
      <c r="BB145" s="55"/>
      <c r="BC145" s="55"/>
      <c r="BD145" s="55"/>
      <c r="BE145" s="55"/>
      <c r="BF145" s="55"/>
      <c r="BG145" s="55"/>
      <c r="BH145" s="55"/>
      <c r="BI145" s="55"/>
      <c r="BJ145" s="55"/>
      <c r="BK145" s="55"/>
      <c r="BL145" s="55"/>
      <c r="BM145" s="55"/>
      <c r="BN145" s="55"/>
      <c r="BO145" s="55"/>
      <c r="BP145" s="55"/>
      <c r="BQ145" s="55"/>
      <c r="BR145" s="55"/>
      <c r="BS145" s="55"/>
    </row>
    <row r="146" spans="1:71" outlineLevel="1" x14ac:dyDescent="0.2">
      <c r="D146" t="str">
        <f>HM_ZB_Nsoko!D159</f>
        <v>Prix du pétrole PH1 (nominal)</v>
      </c>
      <c r="J146" s="26" t="s">
        <v>46</v>
      </c>
      <c r="K146" s="7" t="s">
        <v>609</v>
      </c>
      <c r="L146" s="49">
        <f ca="1">IF(L$4&lt;YEAR(effective_date_KLL2020),OFFSET(_xlfn.SINGLE(IA_historic_HP),5,),INDEX(KLL_II_2020!FA_HP,1)*_xlfn.SINGLE(KLL_II_2020!CA_infl_index_HP1))</f>
        <v>36.591749999999998</v>
      </c>
      <c r="M146" s="49">
        <f ca="1">IF(M$4&lt;YEAR(effective_date_KLL2020),OFFSET(_xlfn.SINGLE(IA_historic_HP),5,),INDEX(KLL_II_2020!FA_HP,1)*_xlfn.SINGLE(KLL_II_2020!CA_infl_index_HP1))</f>
        <v>37.042000000000002</v>
      </c>
      <c r="N146" s="49">
        <f ca="1">IF(N$4&lt;YEAR(effective_date_KLL2020),OFFSET(_xlfn.SINGLE(IA_historic_HP),5,),INDEX(KLL_II_2020!FA_HP,1)*_xlfn.SINGLE(KLL_II_2020!CA_infl_index_HP1))</f>
        <v>37.502749999999999</v>
      </c>
      <c r="O146" s="49">
        <f ca="1">IF(O$4&lt;YEAR(effective_date_KLL2020),OFFSET(_xlfn.SINGLE(IA_historic_HP),5,),INDEX(KLL_II_2020!FA_HP,1)*_xlfn.SINGLE(KLL_II_2020!CA_infl_index_HP1))</f>
        <v>38.078249999999997</v>
      </c>
      <c r="P146" s="49">
        <f ca="1">IF(P$4&lt;YEAR(effective_date_KLL2020),OFFSET(_xlfn.SINGLE(IA_historic_HP),5,),INDEX(KLL_II_2020!FA_HP,1)*_xlfn.SINGLE(KLL_II_2020!CA_infl_index_HP1))</f>
        <v>38.782499999999999</v>
      </c>
      <c r="Q146" s="49">
        <f ca="1">IF(Q$4&lt;YEAR(effective_date_KLL2020),OFFSET(_xlfn.SINGLE(IA_historic_HP),5,),INDEX(KLL_II_2020!FA_HP,1)*_xlfn.SINGLE(KLL_II_2020!CA_infl_index_HP1))</f>
        <v>39.640750000000004</v>
      </c>
      <c r="R146" s="49">
        <f ca="1">IF(R$4&lt;YEAR(effective_date_KLL2020),OFFSET(_xlfn.SINGLE(IA_historic_HP),5,),INDEX(KLL_II_2020!FA_HP,1)*_xlfn.SINGLE(KLL_II_2020!CA_infl_index_HP1))</f>
        <v>40.453749999999999</v>
      </c>
      <c r="S146" s="49">
        <f ca="1">IF(S$4&lt;YEAR(effective_date_KLL2020),OFFSET(_xlfn.SINGLE(IA_historic_HP),5,),INDEX(KLL_II_2020!FA_HP,1)*_xlfn.SINGLE(KLL_II_2020!CA_infl_index_HP1))</f>
        <v>42.6648046998165</v>
      </c>
      <c r="T146" s="49">
        <f ca="1">IF(T$4&lt;YEAR(effective_date_KLL2020),OFFSET(_xlfn.SINGLE(IA_historic_HP),5,),INDEX(KLL_II_2020!FA_HP,1)*_xlfn.SINGLE(KLL_II_2020!CA_infl_index_HP1))</f>
        <v>43.51810079381282</v>
      </c>
      <c r="U146" s="49">
        <f ca="1">IF(U$4&lt;YEAR(effective_date_KLL2020),OFFSET(_xlfn.SINGLE(IA_historic_HP),5,),INDEX(KLL_II_2020!FA_HP,1)*_xlfn.SINGLE(KLL_II_2020!CA_infl_index_HP1))</f>
        <v>44.388462809689088</v>
      </c>
      <c r="V146" s="49">
        <f ca="1">IF(V$4&lt;YEAR(effective_date_KLL2020),OFFSET(_xlfn.SINGLE(IA_historic_HP),5,),INDEX(KLL_II_2020!FA_HP,1)*_xlfn.SINGLE(KLL_II_2020!CA_infl_index_HP1))</f>
        <v>45.276232065882866</v>
      </c>
      <c r="W146" s="49">
        <f ca="1">IF(W$4&lt;YEAR(effective_date_KLL2020),OFFSET(_xlfn.SINGLE(IA_historic_HP),5,),INDEX(KLL_II_2020!FA_HP,1)*_xlfn.SINGLE(KLL_II_2020!CA_infl_index_HP1))</f>
        <v>46.181756707200528</v>
      </c>
      <c r="X146" s="49">
        <f ca="1">IF(X$4&lt;YEAR(effective_date_KLL2020),OFFSET(_xlfn.SINGLE(IA_historic_HP),5,),INDEX(KLL_II_2020!FA_HP,1)*_xlfn.SINGLE(KLL_II_2020!CA_infl_index_HP1))</f>
        <v>47.10539184134452</v>
      </c>
      <c r="Y146" s="49">
        <f ca="1">IF(Y$4&lt;YEAR(effective_date_KLL2020),OFFSET(_xlfn.SINGLE(IA_historic_HP),5,),INDEX(KLL_II_2020!FA_HP,1)*_xlfn.SINGLE(KLL_II_2020!CA_infl_index_HP1))</f>
        <v>48.04749967817142</v>
      </c>
      <c r="Z146" s="49">
        <f ca="1">IF(Z$4&lt;YEAR(effective_date_KLL2020),OFFSET(_xlfn.SINGLE(IA_historic_HP),5,),INDEX(KLL_II_2020!FA_HP,1)*_xlfn.SINGLE(KLL_II_2020!CA_infl_index_HP1))</f>
        <v>49.008449671734851</v>
      </c>
      <c r="AA146" s="49">
        <f ca="1">IF(AA$4&lt;YEAR(effective_date_KLL2020),OFFSET(_xlfn.SINGLE(IA_historic_HP),5,),INDEX(KLL_II_2020!FA_HP,1)*_xlfn.SINGLE(KLL_II_2020!CA_infl_index_HP1))</f>
        <v>49.988618665169547</v>
      </c>
      <c r="AB146" s="49">
        <f ca="1">IF(AB$4&lt;YEAR(effective_date_KLL2020),OFFSET(_xlfn.SINGLE(IA_historic_HP),5,),INDEX(KLL_II_2020!FA_HP,1)*_xlfn.SINGLE(KLL_II_2020!CA_infl_index_HP1))</f>
        <v>50.988391038472933</v>
      </c>
      <c r="AC146" s="49">
        <f ca="1">IF(AC$4&lt;YEAR(effective_date_KLL2020),OFFSET(_xlfn.SINGLE(IA_historic_HP),5,),INDEX(KLL_II_2020!FA_HP,1)*_xlfn.SINGLE(KLL_II_2020!CA_infl_index_HP1))</f>
        <v>52.0081588592424</v>
      </c>
      <c r="AD146" s="49">
        <f ca="1">IF(AD$4&lt;YEAR(effective_date_KLL2020),OFFSET(_xlfn.SINGLE(IA_historic_HP),5,),INDEX(KLL_II_2020!FA_HP,1)*_xlfn.SINGLE(KLL_II_2020!CA_infl_index_HP1))</f>
        <v>53.048322036427244</v>
      </c>
      <c r="AE146" s="49">
        <f ca="1">IF(AE$4&lt;YEAR(effective_date_KLL2020),OFFSET(_xlfn.SINGLE(IA_historic_HP),5,),INDEX(KLL_II_2020!FA_HP,1)*_xlfn.SINGLE(KLL_II_2020!CA_infl_index_HP1))</f>
        <v>54.109288477155793</v>
      </c>
      <c r="AF146" s="49">
        <f ca="1">IF(AF$4&lt;YEAR(effective_date_KLL2020),OFFSET(_xlfn.SINGLE(IA_historic_HP),5,),INDEX(KLL_II_2020!FA_HP,1)*_xlfn.SINGLE(KLL_II_2020!CA_infl_index_HP1))</f>
        <v>55.191474246698895</v>
      </c>
      <c r="AG146" s="49">
        <f ca="1">IF(AG$4&lt;YEAR(effective_date_KLL2020),OFFSET(_xlfn.SINGLE(IA_historic_HP),5,),INDEX(KLL_II_2020!FA_HP,1)*_xlfn.SINGLE(KLL_II_2020!CA_infl_index_HP1))</f>
        <v>56.295303731632877</v>
      </c>
      <c r="AH146" s="49">
        <f ca="1">IF(AH$4&lt;YEAR(effective_date_KLL2020),OFFSET(_xlfn.SINGLE(IA_historic_HP),5,),INDEX(KLL_II_2020!FA_HP,1)*_xlfn.SINGLE(KLL_II_2020!CA_infl_index_HP1))</f>
        <v>57.421209806265537</v>
      </c>
      <c r="AI146" s="49">
        <f ca="1">IF(AI$4&lt;YEAR(effective_date_KLL2020),OFFSET(_xlfn.SINGLE(IA_historic_HP),5,),INDEX(KLL_II_2020!FA_HP,1)*_xlfn.SINGLE(KLL_II_2020!CA_infl_index_HP1))</f>
        <v>58.569634002390849</v>
      </c>
      <c r="AJ146" s="49">
        <f ca="1">IF(AJ$4&lt;YEAR(effective_date_KLL2020),OFFSET(_xlfn.SINGLE(IA_historic_HP),5,),INDEX(KLL_II_2020!FA_HP,1)*_xlfn.SINGLE(KLL_II_2020!CA_infl_index_HP1))</f>
        <v>59.741026682438658</v>
      </c>
      <c r="AK146" s="49">
        <f ca="1">IF(AK$4&lt;YEAR(effective_date_KLL2020),OFFSET(_xlfn.SINGLE(IA_historic_HP),5,),INDEX(KLL_II_2020!FA_HP,1)*_xlfn.SINGLE(KLL_II_2020!CA_infl_index_HP1))</f>
        <v>60.935847216087446</v>
      </c>
      <c r="AL146" s="49">
        <f ca="1">IF(AL$4&lt;YEAR(effective_date_KLL2020),OFFSET(_xlfn.SINGLE(IA_historic_HP),5,),INDEX(KLL_II_2020!FA_HP,1)*_xlfn.SINGLE(KLL_II_2020!CA_infl_index_HP1))</f>
        <v>62.15456416040918</v>
      </c>
      <c r="AM146" s="49">
        <f ca="1">IF(AM$4&lt;YEAR(effective_date_KLL2020),OFFSET(_xlfn.SINGLE(IA_historic_HP),5,),INDEX(KLL_II_2020!FA_HP,1)*_xlfn.SINGLE(KLL_II_2020!CA_infl_index_HP1))</f>
        <v>63.397655443617374</v>
      </c>
      <c r="AN146" s="49">
        <f ca="1">IF(AN$4&lt;YEAR(effective_date_KLL2020),OFFSET(_xlfn.SINGLE(IA_historic_HP),5,),INDEX(KLL_II_2020!FA_HP,1)*_xlfn.SINGLE(KLL_II_2020!CA_infl_index_HP1))</f>
        <v>64.665608552489701</v>
      </c>
      <c r="AO146" s="49">
        <f ca="1">IF(AO$4&lt;YEAR(effective_date_KLL2020),OFFSET(_xlfn.SINGLE(IA_historic_HP),5,),INDEX(KLL_II_2020!FA_HP,1)*_xlfn.SINGLE(KLL_II_2020!CA_infl_index_HP1))</f>
        <v>65.958920723539507</v>
      </c>
      <c r="AP146" s="49">
        <f ca="1">IF(AP$4&lt;YEAR(effective_date_KLL2020),OFFSET(_xlfn.SINGLE(IA_historic_HP),5,),INDEX(KLL_II_2020!FA_HP,1)*_xlfn.SINGLE(KLL_II_2020!CA_infl_index_HP1))</f>
        <v>67.278099138010305</v>
      </c>
      <c r="AQ146" s="49">
        <f ca="1">IF(AQ$4&lt;YEAR(effective_date_KLL2020),OFFSET(_xlfn.SINGLE(IA_historic_HP),5,),INDEX(KLL_II_2020!FA_HP,1)*_xlfn.SINGLE(KLL_II_2020!CA_infl_index_HP1))</f>
        <v>68.623661120770507</v>
      </c>
      <c r="AR146" s="49">
        <f ca="1">IF(AR$4&lt;YEAR(effective_date_KLL2020),OFFSET(_xlfn.SINGLE(IA_historic_HP),5,),INDEX(KLL_II_2020!FA_HP,1)*_xlfn.SINGLE(KLL_II_2020!CA_infl_index_HP1))</f>
        <v>69.996134343185915</v>
      </c>
      <c r="AS146" s="49">
        <f ca="1">IF(AS$4&lt;YEAR(effective_date_KLL2020),OFFSET(_xlfn.SINGLE(IA_historic_HP),5,),INDEX(KLL_II_2020!FA_HP,1)*_xlfn.SINGLE(KLL_II_2020!CA_infl_index_HP1))</f>
        <v>71.396057030049633</v>
      </c>
      <c r="AT146" s="49">
        <f ca="1">IF(AT$4&lt;YEAR(effective_date_KLL2020),OFFSET(_xlfn.SINGLE(IA_historic_HP),5,),INDEX(KLL_II_2020!FA_HP,1)*_xlfn.SINGLE(KLL_II_2020!CA_infl_index_HP1))</f>
        <v>72.823978170650634</v>
      </c>
      <c r="AU146" s="49">
        <f ca="1">IF(AU$4&lt;YEAR(effective_date_KLL2020),OFFSET(_xlfn.SINGLE(IA_historic_HP),5,),INDEX(KLL_II_2020!FA_HP,1)*_xlfn.SINGLE(KLL_II_2020!CA_infl_index_HP1))</f>
        <v>74.280457734063646</v>
      </c>
      <c r="AV146" s="49">
        <f ca="1">IF(AV$4&lt;YEAR(effective_date_KLL2020),OFFSET(_xlfn.SINGLE(IA_historic_HP),5,),INDEX(KLL_II_2020!FA_HP,1)*_xlfn.SINGLE(KLL_II_2020!CA_infl_index_HP1))</f>
        <v>75.766066888744902</v>
      </c>
      <c r="AW146" s="49">
        <f ca="1">IF(AW$4&lt;YEAR(effective_date_KLL2020),OFFSET(_xlfn.SINGLE(IA_historic_HP),5,),INDEX(KLL_II_2020!FA_HP,1)*_xlfn.SINGLE(KLL_II_2020!CA_infl_index_HP1))</f>
        <v>77.281388226519809</v>
      </c>
      <c r="AX146" s="49">
        <f ca="1">IF(AX$4&lt;YEAR(effective_date_KLL2020),OFFSET(_xlfn.SINGLE(IA_historic_HP),5,),INDEX(KLL_II_2020!FA_HP,1)*_xlfn.SINGLE(KLL_II_2020!CA_infl_index_HP1))</f>
        <v>78.827015991050203</v>
      </c>
      <c r="AY146" s="49">
        <f ca="1">IF(AY$4&lt;YEAR(effective_date_KLL2020),OFFSET(_xlfn.SINGLE(IA_historic_HP),5,),INDEX(KLL_II_2020!FA_HP,1)*_xlfn.SINGLE(KLL_II_2020!CA_infl_index_HP1))</f>
        <v>80.40355631087121</v>
      </c>
      <c r="AZ146" s="49">
        <f ca="1">IF(AZ$4&lt;YEAR(effective_date_KLL2020),OFFSET(_xlfn.SINGLE(IA_historic_HP),5,),INDEX(KLL_II_2020!FA_HP,1)*_xlfn.SINGLE(KLL_II_2020!CA_infl_index_HP1))</f>
        <v>82.01162743708862</v>
      </c>
      <c r="BA146" s="49">
        <f ca="1">IF(BA$4&lt;YEAR(effective_date_KLL2020),OFFSET(_xlfn.SINGLE(IA_historic_HP),5,),INDEX(KLL_II_2020!FA_HP,1)*_xlfn.SINGLE(KLL_II_2020!CA_infl_index_HP1))</f>
        <v>83.651859985830413</v>
      </c>
      <c r="BB146" s="49">
        <f ca="1">IF(BB$4&lt;YEAR(effective_date_KLL2020),OFFSET(_xlfn.SINGLE(IA_historic_HP),5,),INDEX(KLL_II_2020!FA_HP,1)*_xlfn.SINGLE(KLL_II_2020!CA_infl_index_HP1))</f>
        <v>85.324897185547016</v>
      </c>
      <c r="BC146" s="49">
        <f ca="1">IF(BC$4&lt;YEAR(effective_date_KLL2020),OFFSET(_xlfn.SINGLE(IA_historic_HP),5,),INDEX(KLL_II_2020!FA_HP,1)*_xlfn.SINGLE(KLL_II_2020!CA_infl_index_HP1))</f>
        <v>87.031395129257959</v>
      </c>
      <c r="BD146" s="49">
        <f ca="1">IF(BD$4&lt;YEAR(effective_date_KLL2020),OFFSET(_xlfn.SINGLE(IA_historic_HP),5,),INDEX(KLL_II_2020!FA_HP,1)*_xlfn.SINGLE(KLL_II_2020!CA_infl_index_HP1))</f>
        <v>88.772023031843091</v>
      </c>
      <c r="BE146" s="49">
        <f ca="1">IF(BE$4&lt;YEAR(effective_date_KLL2020),OFFSET(_xlfn.SINGLE(IA_historic_HP),5,),INDEX(KLL_II_2020!FA_HP,1)*_xlfn.SINGLE(KLL_II_2020!CA_infl_index_HP1))</f>
        <v>90.547463492479963</v>
      </c>
      <c r="BF146" s="49">
        <f ca="1">IF(BF$4&lt;YEAR(effective_date_KLL2020),OFFSET(_xlfn.SINGLE(IA_historic_HP),5,),INDEX(KLL_II_2020!FA_HP,1)*_xlfn.SINGLE(KLL_II_2020!CA_infl_index_HP1))</f>
        <v>92.358412762329579</v>
      </c>
      <c r="BG146" s="49">
        <f ca="1">IF(BG$4&lt;YEAR(effective_date_KLL2020),OFFSET(_xlfn.SINGLE(IA_historic_HP),5,),INDEX(KLL_II_2020!FA_HP,1)*_xlfn.SINGLE(KLL_II_2020!CA_infl_index_HP1))</f>
        <v>94.205581017576165</v>
      </c>
      <c r="BH146" s="49">
        <f ca="1">IF(BH$4&lt;YEAR(effective_date_KLL2020),OFFSET(_xlfn.SINGLE(IA_historic_HP),5,),INDEX(KLL_II_2020!FA_HP,1)*_xlfn.SINGLE(KLL_II_2020!CA_infl_index_HP1))</f>
        <v>96.089692637927683</v>
      </c>
      <c r="BI146" s="49">
        <f ca="1">IF(BI$4&lt;YEAR(effective_date_KLL2020),OFFSET(_xlfn.SINGLE(IA_historic_HP),5,),INDEX(KLL_II_2020!FA_HP,1)*_xlfn.SINGLE(KLL_II_2020!CA_infl_index_HP1))</f>
        <v>98.011486490686252</v>
      </c>
      <c r="BJ146" s="49">
        <f ca="1">IF(BJ$4&lt;YEAR(effective_date_KLL2020),OFFSET(_xlfn.SINGLE(IA_historic_HP),5,),INDEX(KLL_II_2020!FA_HP,1)*_xlfn.SINGLE(KLL_II_2020!CA_infl_index_HP1))</f>
        <v>99.971716220499957</v>
      </c>
      <c r="BK146" s="49">
        <f ca="1">IF(BK$4&lt;YEAR(effective_date_KLL2020),OFFSET(_xlfn.SINGLE(IA_historic_HP),5,),INDEX(KLL_II_2020!FA_HP,1)*_xlfn.SINGLE(KLL_II_2020!CA_infl_index_HP1))</f>
        <v>101.97115054490997</v>
      </c>
      <c r="BL146" s="49">
        <f ca="1">IF(BL$4&lt;YEAR(effective_date_KLL2020),OFFSET(_xlfn.SINGLE(IA_historic_HP),5,),INDEX(KLL_II_2020!FA_HP,1)*_xlfn.SINGLE(KLL_II_2020!CA_infl_index_HP1))</f>
        <v>104.01057355580814</v>
      </c>
      <c r="BM146" s="49">
        <f ca="1">IF(BM$4&lt;YEAR(effective_date_KLL2020),OFFSET(_xlfn.SINGLE(IA_historic_HP),5,),INDEX(KLL_II_2020!FA_HP,1)*_xlfn.SINGLE(KLL_II_2020!CA_infl_index_HP1))</f>
        <v>106.09078502692431</v>
      </c>
      <c r="BN146" s="49">
        <f ca="1">IF(BN$4&lt;YEAR(effective_date_KLL2020),OFFSET(_xlfn.SINGLE(IA_historic_HP),5,),INDEX(KLL_II_2020!FA_HP,1)*_xlfn.SINGLE(KLL_II_2020!CA_infl_index_HP1))</f>
        <v>108.2126007274628</v>
      </c>
      <c r="BO146" s="49">
        <f ca="1">IF(BO$4&lt;YEAR(effective_date_KLL2020),OFFSET(_xlfn.SINGLE(IA_historic_HP),5,),INDEX(KLL_II_2020!FA_HP,1)*_xlfn.SINGLE(KLL_II_2020!CA_infl_index_HP1))</f>
        <v>110.37685274201206</v>
      </c>
      <c r="BP146" s="49">
        <f ca="1">IF(BP$4&lt;YEAR(effective_date_KLL2020),OFFSET(_xlfn.SINGLE(IA_historic_HP),5,),INDEX(KLL_II_2020!FA_HP,1)*_xlfn.SINGLE(KLL_II_2020!CA_infl_index_HP1))</f>
        <v>112.58438979685228</v>
      </c>
      <c r="BQ146" s="49">
        <f ca="1">IF(BQ$4&lt;YEAR(effective_date_KLL2020),OFFSET(_xlfn.SINGLE(IA_historic_HP),5,),INDEX(KLL_II_2020!FA_HP,1)*_xlfn.SINGLE(KLL_II_2020!CA_infl_index_HP1))</f>
        <v>114.83607759278935</v>
      </c>
      <c r="BR146" s="49">
        <f ca="1">IF(BR$4&lt;YEAR(effective_date_KLL2020),OFFSET(_xlfn.SINGLE(IA_historic_HP),5,),INDEX(KLL_II_2020!FA_HP,1)*_xlfn.SINGLE(KLL_II_2020!CA_infl_index_HP1))</f>
        <v>117.13279914464513</v>
      </c>
      <c r="BS146" s="49">
        <f ca="1">IF(BS$4&lt;YEAR(effective_date_KLL2020),OFFSET(_xlfn.SINGLE(IA_historic_HP),5,),INDEX(KLL_II_2020!FA_HP,1)*_xlfn.SINGLE(KLL_II_2020!CA_infl_index_HP1))</f>
        <v>119.47545512753804</v>
      </c>
    </row>
    <row r="147" spans="1:71" outlineLevel="1" x14ac:dyDescent="0.2">
      <c r="J147" s="26"/>
      <c r="L147" s="55"/>
      <c r="M147" s="55"/>
      <c r="N147" s="55"/>
      <c r="O147" s="55"/>
      <c r="P147" s="55"/>
      <c r="Q147" s="55"/>
      <c r="R147" s="55"/>
      <c r="S147" s="55"/>
      <c r="T147" s="55"/>
      <c r="U147" s="55"/>
      <c r="V147" s="55"/>
      <c r="W147" s="55"/>
      <c r="X147" s="55"/>
      <c r="Y147" s="55"/>
      <c r="Z147" s="55"/>
      <c r="AA147" s="55"/>
      <c r="AB147" s="55"/>
      <c r="AC147" s="55"/>
      <c r="AD147" s="55"/>
      <c r="AE147" s="55"/>
      <c r="AF147" s="55"/>
      <c r="AG147" s="55"/>
      <c r="AH147" s="55"/>
      <c r="AI147" s="55"/>
      <c r="AJ147" s="55"/>
      <c r="AK147" s="55"/>
      <c r="AL147" s="55"/>
      <c r="AM147" s="55"/>
      <c r="AN147" s="55"/>
      <c r="AO147" s="55"/>
      <c r="AP147" s="55"/>
      <c r="AQ147" s="55"/>
      <c r="AR147" s="55"/>
      <c r="AS147" s="55"/>
      <c r="AT147" s="55"/>
      <c r="AU147" s="55"/>
      <c r="AV147" s="55"/>
      <c r="AW147" s="55"/>
      <c r="AX147" s="55"/>
      <c r="AY147" s="55"/>
      <c r="AZ147" s="55"/>
      <c r="BA147" s="55"/>
      <c r="BB147" s="55"/>
      <c r="BC147" s="55"/>
      <c r="BD147" s="55"/>
      <c r="BE147" s="55"/>
      <c r="BF147" s="55"/>
      <c r="BG147" s="55"/>
      <c r="BH147" s="55"/>
      <c r="BI147" s="55"/>
      <c r="BJ147" s="55"/>
      <c r="BK147" s="55"/>
      <c r="BL147" s="55"/>
      <c r="BM147" s="55"/>
      <c r="BN147" s="55"/>
      <c r="BO147" s="55"/>
      <c r="BP147" s="55"/>
      <c r="BQ147" s="55"/>
      <c r="BR147" s="55"/>
      <c r="BS147" s="55"/>
    </row>
    <row r="148" spans="1:71" outlineLevel="1" x14ac:dyDescent="0.2">
      <c r="D148" t="str">
        <f>HM_ZB_Nsoko!D161</f>
        <v>Prix du pétrole PH2 (Nominal)</v>
      </c>
      <c r="J148" s="26" t="s">
        <v>46</v>
      </c>
      <c r="K148" s="7" t="s">
        <v>610</v>
      </c>
      <c r="L148" s="49">
        <f ca="1">IF(L$4&lt;YEAR(effective_date_KLL2020),0,
IF(AND(L$4&gt;=YEAR(effective_date_KLL2020),OFFSET(_xlfn.SINGLE(IA_historic_HP),5,)&lt;&gt;0),OFFSET(_xlfn.SINGLE(IA_historic_HP),5,),INDEX(KLL_II_2020!FA_HP,2)*_xlfn.SINGLE(KLL_II_2020!CA_infl_index_HP2)))</f>
        <v>0</v>
      </c>
      <c r="M148" s="49">
        <f ca="1">IF(M$4&lt;YEAR(effective_date_KLL2020),0,
IF(AND(M$4&gt;=YEAR(effective_date_KLL2020),OFFSET(_xlfn.SINGLE(IA_historic_HP),5,)&lt;&gt;0),OFFSET(_xlfn.SINGLE(IA_historic_HP),5,),INDEX(KLL_II_2020!FA_HP,2)*_xlfn.SINGLE(KLL_II_2020!CA_infl_index_HP2)))</f>
        <v>0</v>
      </c>
      <c r="N148" s="49">
        <f ca="1">IF(N$4&lt;YEAR(effective_date_KLL2020),0,
IF(AND(N$4&gt;=YEAR(effective_date_KLL2020),OFFSET(_xlfn.SINGLE(IA_historic_HP),5,)&lt;&gt;0),OFFSET(_xlfn.SINGLE(IA_historic_HP),5,),INDEX(KLL_II_2020!FA_HP,2)*_xlfn.SINGLE(KLL_II_2020!CA_infl_index_HP2)))</f>
        <v>0</v>
      </c>
      <c r="O148" s="49">
        <f ca="1">IF(O$4&lt;YEAR(effective_date_KLL2020),0,
IF(AND(O$4&gt;=YEAR(effective_date_KLL2020),OFFSET(_xlfn.SINGLE(IA_historic_HP),5,)&lt;&gt;0),OFFSET(_xlfn.SINGLE(IA_historic_HP),5,),INDEX(KLL_II_2020!FA_HP,2)*_xlfn.SINGLE(KLL_II_2020!CA_infl_index_HP2)))</f>
        <v>0</v>
      </c>
      <c r="P148" s="49">
        <f ca="1">IF(P$4&lt;YEAR(effective_date_KLL2020),0,
IF(AND(P$4&gt;=YEAR(effective_date_KLL2020),OFFSET(_xlfn.SINGLE(IA_historic_HP),5,)&lt;&gt;0),OFFSET(_xlfn.SINGLE(IA_historic_HP),5,),INDEX(KLL_II_2020!FA_HP,2)*_xlfn.SINGLE(KLL_II_2020!CA_infl_index_HP2)))</f>
        <v>0</v>
      </c>
      <c r="Q148" s="49">
        <f ca="1">IF(Q$4&lt;YEAR(effective_date_KLL2020),0,
IF(AND(Q$4&gt;=YEAR(effective_date_KLL2020),OFFSET(_xlfn.SINGLE(IA_historic_HP),5,)&lt;&gt;0),OFFSET(_xlfn.SINGLE(IA_historic_HP),5,),INDEX(KLL_II_2020!FA_HP,2)*_xlfn.SINGLE(KLL_II_2020!CA_infl_index_HP2)))</f>
        <v>0</v>
      </c>
      <c r="R148" s="49">
        <f ca="1">IF(R$4&lt;YEAR(effective_date_KLL2020),0,
IF(AND(R$4&gt;=YEAR(effective_date_KLL2020),OFFSET(_xlfn.SINGLE(IA_historic_HP),5,)&lt;&gt;0),OFFSET(_xlfn.SINGLE(IA_historic_HP),5,),INDEX(KLL_II_2020!FA_HP,2)*_xlfn.SINGLE(KLL_II_2020!CA_infl_index_HP2)))</f>
        <v>0</v>
      </c>
      <c r="S148" s="49">
        <f ca="1">IF(S$4&lt;YEAR(effective_date_KLL2020),0,
IF(AND(S$4&gt;=YEAR(effective_date_KLL2020),OFFSET(_xlfn.SINGLE(IA_historic_HP),5,)&lt;&gt;0),OFFSET(_xlfn.SINGLE(IA_historic_HP),5,),INDEX(KLL_II_2020!FA_HP,2)*_xlfn.SINGLE(KLL_II_2020!CA_infl_index_HP2)))</f>
        <v>50.62</v>
      </c>
      <c r="T148" s="49">
        <f ca="1">IF(T$4&lt;YEAR(effective_date_KLL2020),0,
IF(AND(T$4&gt;=YEAR(effective_date_KLL2020),OFFSET(_xlfn.SINGLE(IA_historic_HP),5,)&lt;&gt;0),OFFSET(_xlfn.SINGLE(IA_historic_HP),5,),INDEX(KLL_II_2020!FA_HP,2)*_xlfn.SINGLE(KLL_II_2020!CA_infl_index_HP2)))</f>
        <v>51</v>
      </c>
      <c r="U148" s="49">
        <f ca="1">IF(U$4&lt;YEAR(effective_date_KLL2020),0,
IF(AND(U$4&gt;=YEAR(effective_date_KLL2020),OFFSET(_xlfn.SINGLE(IA_historic_HP),5,)&lt;&gt;0),OFFSET(_xlfn.SINGLE(IA_historic_HP),5,),INDEX(KLL_II_2020!FA_HP,2)*_xlfn.SINGLE(KLL_II_2020!CA_infl_index_HP2)))</f>
        <v>52.019999999999996</v>
      </c>
      <c r="V148" s="49">
        <f ca="1">IF(V$4&lt;YEAR(effective_date_KLL2020),0,
IF(AND(V$4&gt;=YEAR(effective_date_KLL2020),OFFSET(_xlfn.SINGLE(IA_historic_HP),5,)&lt;&gt;0),OFFSET(_xlfn.SINGLE(IA_historic_HP),5,),INDEX(KLL_II_2020!FA_HP,2)*_xlfn.SINGLE(KLL_II_2020!CA_infl_index_HP2)))</f>
        <v>53.060399999999994</v>
      </c>
      <c r="W148" s="49">
        <f ca="1">IF(W$4&lt;YEAR(effective_date_KLL2020),0,
IF(AND(W$4&gt;=YEAR(effective_date_KLL2020),OFFSET(_xlfn.SINGLE(IA_historic_HP),5,)&lt;&gt;0),OFFSET(_xlfn.SINGLE(IA_historic_HP),5,),INDEX(KLL_II_2020!FA_HP,2)*_xlfn.SINGLE(KLL_II_2020!CA_infl_index_HP2)))</f>
        <v>54.121608000000002</v>
      </c>
      <c r="X148" s="49">
        <f ca="1">IF(X$4&lt;YEAR(effective_date_KLL2020),0,
IF(AND(X$4&gt;=YEAR(effective_date_KLL2020),OFFSET(_xlfn.SINGLE(IA_historic_HP),5,)&lt;&gt;0),OFFSET(_xlfn.SINGLE(IA_historic_HP),5,),INDEX(KLL_II_2020!FA_HP,2)*_xlfn.SINGLE(KLL_II_2020!CA_infl_index_HP2)))</f>
        <v>55.204040159999998</v>
      </c>
      <c r="Y148" s="49">
        <f ca="1">IF(Y$4&lt;YEAR(effective_date_KLL2020),0,
IF(AND(Y$4&gt;=YEAR(effective_date_KLL2020),OFFSET(_xlfn.SINGLE(IA_historic_HP),5,)&lt;&gt;0),OFFSET(_xlfn.SINGLE(IA_historic_HP),5,),INDEX(KLL_II_2020!FA_HP,2)*_xlfn.SINGLE(KLL_II_2020!CA_infl_index_HP2)))</f>
        <v>56.308120963200004</v>
      </c>
      <c r="Z148" s="49">
        <f ca="1">IF(Z$4&lt;YEAR(effective_date_KLL2020),0,
IF(AND(Z$4&gt;=YEAR(effective_date_KLL2020),OFFSET(_xlfn.SINGLE(IA_historic_HP),5,)&lt;&gt;0),OFFSET(_xlfn.SINGLE(IA_historic_HP),5,),INDEX(KLL_II_2020!FA_HP,2)*_xlfn.SINGLE(KLL_II_2020!CA_infl_index_HP2)))</f>
        <v>57.434283382463988</v>
      </c>
      <c r="AA148" s="49">
        <f ca="1">IF(AA$4&lt;YEAR(effective_date_KLL2020),0,
IF(AND(AA$4&gt;=YEAR(effective_date_KLL2020),OFFSET(_xlfn.SINGLE(IA_historic_HP),5,)&lt;&gt;0),OFFSET(_xlfn.SINGLE(IA_historic_HP),5,),INDEX(KLL_II_2020!FA_HP,2)*_xlfn.SINGLE(KLL_II_2020!CA_infl_index_HP2)))</f>
        <v>58.582969050113277</v>
      </c>
      <c r="AB148" s="49">
        <f ca="1">IF(AB$4&lt;YEAR(effective_date_KLL2020),0,
IF(AND(AB$4&gt;=YEAR(effective_date_KLL2020),OFFSET(_xlfn.SINGLE(IA_historic_HP),5,)&lt;&gt;0),OFFSET(_xlfn.SINGLE(IA_historic_HP),5,),INDEX(KLL_II_2020!FA_HP,2)*_xlfn.SINGLE(KLL_II_2020!CA_infl_index_HP2)))</f>
        <v>59.754628431115542</v>
      </c>
      <c r="AC148" s="49">
        <f ca="1">IF(AC$4&lt;YEAR(effective_date_KLL2020),0,
IF(AND(AC$4&gt;=YEAR(effective_date_KLL2020),OFFSET(_xlfn.SINGLE(IA_historic_HP),5,)&lt;&gt;0),OFFSET(_xlfn.SINGLE(IA_historic_HP),5,),INDEX(KLL_II_2020!FA_HP,2)*_xlfn.SINGLE(KLL_II_2020!CA_infl_index_HP2)))</f>
        <v>60.949720999737856</v>
      </c>
      <c r="AD148" s="49">
        <f ca="1">IF(AD$4&lt;YEAR(effective_date_KLL2020),0,
IF(AND(AD$4&gt;=YEAR(effective_date_KLL2020),OFFSET(_xlfn.SINGLE(IA_historic_HP),5,)&lt;&gt;0),OFFSET(_xlfn.SINGLE(IA_historic_HP),5,),INDEX(KLL_II_2020!FA_HP,2)*_xlfn.SINGLE(KLL_II_2020!CA_infl_index_HP2)))</f>
        <v>62.1687154197326</v>
      </c>
      <c r="AE148" s="49">
        <f ca="1">IF(AE$4&lt;YEAR(effective_date_KLL2020),0,
IF(AND(AE$4&gt;=YEAR(effective_date_KLL2020),OFFSET(_xlfn.SINGLE(IA_historic_HP),5,)&lt;&gt;0),OFFSET(_xlfn.SINGLE(IA_historic_HP),5,),INDEX(KLL_II_2020!FA_HP,2)*_xlfn.SINGLE(KLL_II_2020!CA_infl_index_HP2)))</f>
        <v>63.412089728127263</v>
      </c>
      <c r="AF148" s="49">
        <f ca="1">IF(AF$4&lt;YEAR(effective_date_KLL2020),0,
IF(AND(AF$4&gt;=YEAR(effective_date_KLL2020),OFFSET(_xlfn.SINGLE(IA_historic_HP),5,)&lt;&gt;0),OFFSET(_xlfn.SINGLE(IA_historic_HP),5,),INDEX(KLL_II_2020!FA_HP,2)*_xlfn.SINGLE(KLL_II_2020!CA_infl_index_HP2)))</f>
        <v>64.680331522689798</v>
      </c>
      <c r="AG148" s="49">
        <f ca="1">IF(AG$4&lt;YEAR(effective_date_KLL2020),0,
IF(AND(AG$4&gt;=YEAR(effective_date_KLL2020),OFFSET(_xlfn.SINGLE(IA_historic_HP),5,)&lt;&gt;0),OFFSET(_xlfn.SINGLE(IA_historic_HP),5,),INDEX(KLL_II_2020!FA_HP,2)*_xlfn.SINGLE(KLL_II_2020!CA_infl_index_HP2)))</f>
        <v>65.973938153143607</v>
      </c>
      <c r="AH148" s="49">
        <f ca="1">IF(AH$4&lt;YEAR(effective_date_KLL2020),0,
IF(AND(AH$4&gt;=YEAR(effective_date_KLL2020),OFFSET(_xlfn.SINGLE(IA_historic_HP),5,)&lt;&gt;0),OFFSET(_xlfn.SINGLE(IA_historic_HP),5,),INDEX(KLL_II_2020!FA_HP,2)*_xlfn.SINGLE(KLL_II_2020!CA_infl_index_HP2)))</f>
        <v>67.293416916206468</v>
      </c>
      <c r="AI148" s="49">
        <f ca="1">IF(AI$4&lt;YEAR(effective_date_KLL2020),0,
IF(AND(AI$4&gt;=YEAR(effective_date_KLL2020),OFFSET(_xlfn.SINGLE(IA_historic_HP),5,)&lt;&gt;0),OFFSET(_xlfn.SINGLE(IA_historic_HP),5,),INDEX(KLL_II_2020!FA_HP,2)*_xlfn.SINGLE(KLL_II_2020!CA_infl_index_HP2)))</f>
        <v>68.639285254530606</v>
      </c>
      <c r="AJ148" s="49">
        <f ca="1">IF(AJ$4&lt;YEAR(effective_date_KLL2020),0,
IF(AND(AJ$4&gt;=YEAR(effective_date_KLL2020),OFFSET(_xlfn.SINGLE(IA_historic_HP),5,)&lt;&gt;0),OFFSET(_xlfn.SINGLE(IA_historic_HP),5,),INDEX(KLL_II_2020!FA_HP,2)*_xlfn.SINGLE(KLL_II_2020!CA_infl_index_HP2)))</f>
        <v>70.012070959621227</v>
      </c>
      <c r="AK148" s="49">
        <f ca="1">IF(AK$4&lt;YEAR(effective_date_KLL2020),0,
IF(AND(AK$4&gt;=YEAR(effective_date_KLL2020),OFFSET(_xlfn.SINGLE(IA_historic_HP),5,)&lt;&gt;0),OFFSET(_xlfn.SINGLE(IA_historic_HP),5,),INDEX(KLL_II_2020!FA_HP,2)*_xlfn.SINGLE(KLL_II_2020!CA_infl_index_HP2)))</f>
        <v>71.412312378813638</v>
      </c>
      <c r="AL148" s="49">
        <f ca="1">IF(AL$4&lt;YEAR(effective_date_KLL2020),0,
IF(AND(AL$4&gt;=YEAR(effective_date_KLL2020),OFFSET(_xlfn.SINGLE(IA_historic_HP),5,)&lt;&gt;0),OFFSET(_xlfn.SINGLE(IA_historic_HP),5,),INDEX(KLL_II_2020!FA_HP,2)*_xlfn.SINGLE(KLL_II_2020!CA_infl_index_HP2)))</f>
        <v>72.840558626389907</v>
      </c>
      <c r="AM148" s="49">
        <f ca="1">IF(AM$4&lt;YEAR(effective_date_KLL2020),0,
IF(AND(AM$4&gt;=YEAR(effective_date_KLL2020),OFFSET(_xlfn.SINGLE(IA_historic_HP),5,)&lt;&gt;0),OFFSET(_xlfn.SINGLE(IA_historic_HP),5,),INDEX(KLL_II_2020!FA_HP,2)*_xlfn.SINGLE(KLL_II_2020!CA_infl_index_HP2)))</f>
        <v>74.297369798917714</v>
      </c>
      <c r="AN148" s="49">
        <f ca="1">IF(AN$4&lt;YEAR(effective_date_KLL2020),0,
IF(AND(AN$4&gt;=YEAR(effective_date_KLL2020),OFFSET(_xlfn.SINGLE(IA_historic_HP),5,)&lt;&gt;0),OFFSET(_xlfn.SINGLE(IA_historic_HP),5,),INDEX(KLL_II_2020!FA_HP,2)*_xlfn.SINGLE(KLL_II_2020!CA_infl_index_HP2)))</f>
        <v>75.783317194896057</v>
      </c>
      <c r="AO148" s="49">
        <f ca="1">IF(AO$4&lt;YEAR(effective_date_KLL2020),0,
IF(AND(AO$4&gt;=YEAR(effective_date_KLL2020),OFFSET(_xlfn.SINGLE(IA_historic_HP),5,)&lt;&gt;0),OFFSET(_xlfn.SINGLE(IA_historic_HP),5,),INDEX(KLL_II_2020!FA_HP,2)*_xlfn.SINGLE(KLL_II_2020!CA_infl_index_HP2)))</f>
        <v>77.298983538793991</v>
      </c>
      <c r="AP148" s="49">
        <f ca="1">IF(AP$4&lt;YEAR(effective_date_KLL2020),0,
IF(AND(AP$4&gt;=YEAR(effective_date_KLL2020),OFFSET(_xlfn.SINGLE(IA_historic_HP),5,)&lt;&gt;0),OFFSET(_xlfn.SINGLE(IA_historic_HP),5,),INDEX(KLL_II_2020!FA_HP,2)*_xlfn.SINGLE(KLL_II_2020!CA_infl_index_HP2)))</f>
        <v>78.844963209569855</v>
      </c>
      <c r="AQ148" s="49">
        <f ca="1">IF(AQ$4&lt;YEAR(effective_date_KLL2020),0,
IF(AND(AQ$4&gt;=YEAR(effective_date_KLL2020),OFFSET(_xlfn.SINGLE(IA_historic_HP),5,)&lt;&gt;0),OFFSET(_xlfn.SINGLE(IA_historic_HP),5,),INDEX(KLL_II_2020!FA_HP,2)*_xlfn.SINGLE(KLL_II_2020!CA_infl_index_HP2)))</f>
        <v>80.421862473761252</v>
      </c>
      <c r="AR148" s="49">
        <f ca="1">IF(AR$4&lt;YEAR(effective_date_KLL2020),0,
IF(AND(AR$4&gt;=YEAR(effective_date_KLL2020),OFFSET(_xlfn.SINGLE(IA_historic_HP),5,)&lt;&gt;0),OFFSET(_xlfn.SINGLE(IA_historic_HP),5,),INDEX(KLL_II_2020!FA_HP,2)*_xlfn.SINGLE(KLL_II_2020!CA_infl_index_HP2)))</f>
        <v>82.030299723236482</v>
      </c>
      <c r="AS148" s="49">
        <f ca="1">IF(AS$4&lt;YEAR(effective_date_KLL2020),0,
IF(AND(AS$4&gt;=YEAR(effective_date_KLL2020),OFFSET(_xlfn.SINGLE(IA_historic_HP),5,)&lt;&gt;0),OFFSET(_xlfn.SINGLE(IA_historic_HP),5,),INDEX(KLL_II_2020!FA_HP,2)*_xlfn.SINGLE(KLL_II_2020!CA_infl_index_HP2)))</f>
        <v>83.670905717701217</v>
      </c>
      <c r="AT148" s="49">
        <f ca="1">IF(AT$4&lt;YEAR(effective_date_KLL2020),0,
IF(AND(AT$4&gt;=YEAR(effective_date_KLL2020),OFFSET(_xlfn.SINGLE(IA_historic_HP),5,)&lt;&gt;0),OFFSET(_xlfn.SINGLE(IA_historic_HP),5,),INDEX(KLL_II_2020!FA_HP,2)*_xlfn.SINGLE(KLL_II_2020!CA_infl_index_HP2)))</f>
        <v>85.344323832055224</v>
      </c>
      <c r="AU148" s="49">
        <f ca="1">IF(AU$4&lt;YEAR(effective_date_KLL2020),0,
IF(AND(AU$4&gt;=YEAR(effective_date_KLL2020),OFFSET(_xlfn.SINGLE(IA_historic_HP),5,)&lt;&gt;0),OFFSET(_xlfn.SINGLE(IA_historic_HP),5,),INDEX(KLL_II_2020!FA_HP,2)*_xlfn.SINGLE(KLL_II_2020!CA_infl_index_HP2)))</f>
        <v>87.051210308696341</v>
      </c>
      <c r="AV148" s="49">
        <f ca="1">IF(AV$4&lt;YEAR(effective_date_KLL2020),0,
IF(AND(AV$4&gt;=YEAR(effective_date_KLL2020),OFFSET(_xlfn.SINGLE(IA_historic_HP),5,)&lt;&gt;0),OFFSET(_xlfn.SINGLE(IA_historic_HP),5,),INDEX(KLL_II_2020!FA_HP,2)*_xlfn.SINGLE(KLL_II_2020!CA_infl_index_HP2)))</f>
        <v>88.792234514870259</v>
      </c>
      <c r="AW148" s="49">
        <f ca="1">IF(AW$4&lt;YEAR(effective_date_KLL2020),0,
IF(AND(AW$4&gt;=YEAR(effective_date_KLL2020),OFFSET(_xlfn.SINGLE(IA_historic_HP),5,)&lt;&gt;0),OFFSET(_xlfn.SINGLE(IA_historic_HP),5,),INDEX(KLL_II_2020!FA_HP,2)*_xlfn.SINGLE(KLL_II_2020!CA_infl_index_HP2)))</f>
        <v>90.568079205167678</v>
      </c>
      <c r="AX148" s="49">
        <f ca="1">IF(AX$4&lt;YEAR(effective_date_KLL2020),0,
IF(AND(AX$4&gt;=YEAR(effective_date_KLL2020),OFFSET(_xlfn.SINGLE(IA_historic_HP),5,)&lt;&gt;0),OFFSET(_xlfn.SINGLE(IA_historic_HP),5,),INDEX(KLL_II_2020!FA_HP,2)*_xlfn.SINGLE(KLL_II_2020!CA_infl_index_HP2)))</f>
        <v>92.379440789271001</v>
      </c>
      <c r="AY148" s="49">
        <f ca="1">IF(AY$4&lt;YEAR(effective_date_KLL2020),0,
IF(AND(AY$4&gt;=YEAR(effective_date_KLL2020),OFFSET(_xlfn.SINGLE(IA_historic_HP),5,)&lt;&gt;0),OFFSET(_xlfn.SINGLE(IA_historic_HP),5,),INDEX(KLL_II_2020!FA_HP,2)*_xlfn.SINGLE(KLL_II_2020!CA_infl_index_HP2)))</f>
        <v>94.227029605056444</v>
      </c>
      <c r="AZ148" s="49">
        <f ca="1">IF(AZ$4&lt;YEAR(effective_date_KLL2020),0,
IF(AND(AZ$4&gt;=YEAR(effective_date_KLL2020),OFFSET(_xlfn.SINGLE(IA_historic_HP),5,)&lt;&gt;0),OFFSET(_xlfn.SINGLE(IA_historic_HP),5,),INDEX(KLL_II_2020!FA_HP,2)*_xlfn.SINGLE(KLL_II_2020!CA_infl_index_HP2)))</f>
        <v>96.111570197157576</v>
      </c>
      <c r="BA148" s="49">
        <f ca="1">IF(BA$4&lt;YEAR(effective_date_KLL2020),0,
IF(AND(BA$4&gt;=YEAR(effective_date_KLL2020),OFFSET(_xlfn.SINGLE(IA_historic_HP),5,)&lt;&gt;0),OFFSET(_xlfn.SINGLE(IA_historic_HP),5,),INDEX(KLL_II_2020!FA_HP,2)*_xlfn.SINGLE(KLL_II_2020!CA_infl_index_HP2)))</f>
        <v>98.03380160110072</v>
      </c>
      <c r="BB148" s="49">
        <f ca="1">IF(BB$4&lt;YEAR(effective_date_KLL2020),0,
IF(AND(BB$4&gt;=YEAR(effective_date_KLL2020),OFFSET(_xlfn.SINGLE(IA_historic_HP),5,)&lt;&gt;0),OFFSET(_xlfn.SINGLE(IA_historic_HP),5,),INDEX(KLL_II_2020!FA_HP,2)*_xlfn.SINGLE(KLL_II_2020!CA_infl_index_HP2)))</f>
        <v>99.994477633122742</v>
      </c>
      <c r="BC148" s="49">
        <f ca="1">IF(BC$4&lt;YEAR(effective_date_KLL2020),0,
IF(AND(BC$4&gt;=YEAR(effective_date_KLL2020),OFFSET(_xlfn.SINGLE(IA_historic_HP),5,)&lt;&gt;0),OFFSET(_xlfn.SINGLE(IA_historic_HP),5,),INDEX(KLL_II_2020!FA_HP,2)*_xlfn.SINGLE(KLL_II_2020!CA_infl_index_HP2)))</f>
        <v>101.99436718578518</v>
      </c>
      <c r="BD148" s="49">
        <f ca="1">IF(BD$4&lt;YEAR(effective_date_KLL2020),0,
IF(AND(BD$4&gt;=YEAR(effective_date_KLL2020),OFFSET(_xlfn.SINGLE(IA_historic_HP),5,)&lt;&gt;0),OFFSET(_xlfn.SINGLE(IA_historic_HP),5,),INDEX(KLL_II_2020!FA_HP,2)*_xlfn.SINGLE(KLL_II_2020!CA_infl_index_HP2)))</f>
        <v>104.0342545295009</v>
      </c>
      <c r="BE148" s="49">
        <f ca="1">IF(BE$4&lt;YEAR(effective_date_KLL2020),0,
IF(AND(BE$4&gt;=YEAR(effective_date_KLL2020),OFFSET(_xlfn.SINGLE(IA_historic_HP),5,)&lt;&gt;0),OFFSET(_xlfn.SINGLE(IA_historic_HP),5,),INDEX(KLL_II_2020!FA_HP,2)*_xlfn.SINGLE(KLL_II_2020!CA_infl_index_HP2)))</f>
        <v>106.11493962009094</v>
      </c>
      <c r="BF148" s="49">
        <f ca="1">IF(BF$4&lt;YEAR(effective_date_KLL2020),0,
IF(AND(BF$4&gt;=YEAR(effective_date_KLL2020),OFFSET(_xlfn.SINGLE(IA_historic_HP),5,)&lt;&gt;0),OFFSET(_xlfn.SINGLE(IA_historic_HP),5,),INDEX(KLL_II_2020!FA_HP,2)*_xlfn.SINGLE(KLL_II_2020!CA_infl_index_HP2)))</f>
        <v>108.23723841249272</v>
      </c>
      <c r="BG148" s="49">
        <f ca="1">IF(BG$4&lt;YEAR(effective_date_KLL2020),0,
IF(AND(BG$4&gt;=YEAR(effective_date_KLL2020),OFFSET(_xlfn.SINGLE(IA_historic_HP),5,)&lt;&gt;0),OFFSET(_xlfn.SINGLE(IA_historic_HP),5,),INDEX(KLL_II_2020!FA_HP,2)*_xlfn.SINGLE(KLL_II_2020!CA_infl_index_HP2)))</f>
        <v>110.40198318074259</v>
      </c>
      <c r="BH148" s="49">
        <f ca="1">IF(BH$4&lt;YEAR(effective_date_KLL2020),0,
IF(AND(BH$4&gt;=YEAR(effective_date_KLL2020),OFFSET(_xlfn.SINGLE(IA_historic_HP),5,)&lt;&gt;0),OFFSET(_xlfn.SINGLE(IA_historic_HP),5,),INDEX(KLL_II_2020!FA_HP,2)*_xlfn.SINGLE(KLL_II_2020!CA_infl_index_HP2)))</f>
        <v>112.61002284435745</v>
      </c>
      <c r="BI148" s="49">
        <f ca="1">IF(BI$4&lt;YEAR(effective_date_KLL2020),0,
IF(AND(BI$4&gt;=YEAR(effective_date_KLL2020),OFFSET(_xlfn.SINGLE(IA_historic_HP),5,)&lt;&gt;0),OFFSET(_xlfn.SINGLE(IA_historic_HP),5,),INDEX(KLL_II_2020!FA_HP,2)*_xlfn.SINGLE(KLL_II_2020!CA_infl_index_HP2)))</f>
        <v>114.86222330124458</v>
      </c>
      <c r="BJ148" s="49">
        <f ca="1">IF(BJ$4&lt;YEAR(effective_date_KLL2020),0,
IF(AND(BJ$4&gt;=YEAR(effective_date_KLL2020),OFFSET(_xlfn.SINGLE(IA_historic_HP),5,)&lt;&gt;0),OFFSET(_xlfn.SINGLE(IA_historic_HP),5,),INDEX(KLL_II_2020!FA_HP,2)*_xlfn.SINGLE(KLL_II_2020!CA_infl_index_HP2)))</f>
        <v>117.15946776726946</v>
      </c>
      <c r="BK148" s="49">
        <f ca="1">IF(BK$4&lt;YEAR(effective_date_KLL2020),0,
IF(AND(BK$4&gt;=YEAR(effective_date_KLL2020),OFFSET(_xlfn.SINGLE(IA_historic_HP),5,)&lt;&gt;0),OFFSET(_xlfn.SINGLE(IA_historic_HP),5,),INDEX(KLL_II_2020!FA_HP,2)*_xlfn.SINGLE(KLL_II_2020!CA_infl_index_HP2)))</f>
        <v>119.50265712261488</v>
      </c>
      <c r="BL148" s="49">
        <f ca="1">IF(BL$4&lt;YEAR(effective_date_KLL2020),0,
IF(AND(BL$4&gt;=YEAR(effective_date_KLL2020),OFFSET(_xlfn.SINGLE(IA_historic_HP),5,)&lt;&gt;0),OFFSET(_xlfn.SINGLE(IA_historic_HP),5,),INDEX(KLL_II_2020!FA_HP,2)*_xlfn.SINGLE(KLL_II_2020!CA_infl_index_HP2)))</f>
        <v>121.89271026506717</v>
      </c>
      <c r="BM148" s="49">
        <f ca="1">IF(BM$4&lt;YEAR(effective_date_KLL2020),0,
IF(AND(BM$4&gt;=YEAR(effective_date_KLL2020),OFFSET(_xlfn.SINGLE(IA_historic_HP),5,)&lt;&gt;0),OFFSET(_xlfn.SINGLE(IA_historic_HP),5,),INDEX(KLL_II_2020!FA_HP,2)*_xlfn.SINGLE(KLL_II_2020!CA_infl_index_HP2)))</f>
        <v>124.33056447036851</v>
      </c>
      <c r="BN148" s="49">
        <f ca="1">IF(BN$4&lt;YEAR(effective_date_KLL2020),0,
IF(AND(BN$4&gt;=YEAR(effective_date_KLL2020),OFFSET(_xlfn.SINGLE(IA_historic_HP),5,)&lt;&gt;0),OFFSET(_xlfn.SINGLE(IA_historic_HP),5,),INDEX(KLL_II_2020!FA_HP,2)*_xlfn.SINGLE(KLL_II_2020!CA_infl_index_HP2)))</f>
        <v>126.81717575977585</v>
      </c>
      <c r="BO148" s="49">
        <f ca="1">IF(BO$4&lt;YEAR(effective_date_KLL2020),0,
IF(AND(BO$4&gt;=YEAR(effective_date_KLL2020),OFFSET(_xlfn.SINGLE(IA_historic_HP),5,)&lt;&gt;0),OFFSET(_xlfn.SINGLE(IA_historic_HP),5,),INDEX(KLL_II_2020!FA_HP,2)*_xlfn.SINGLE(KLL_II_2020!CA_infl_index_HP2)))</f>
        <v>129.35351927497138</v>
      </c>
      <c r="BP148" s="49">
        <f ca="1">IF(BP$4&lt;YEAR(effective_date_KLL2020),0,
IF(AND(BP$4&gt;=YEAR(effective_date_KLL2020),OFFSET(_xlfn.SINGLE(IA_historic_HP),5,)&lt;&gt;0),OFFSET(_xlfn.SINGLE(IA_historic_HP),5,),INDEX(KLL_II_2020!FA_HP,2)*_xlfn.SINGLE(KLL_II_2020!CA_infl_index_HP2)))</f>
        <v>131.94058966047081</v>
      </c>
      <c r="BQ148" s="49">
        <f ca="1">IF(BQ$4&lt;YEAR(effective_date_KLL2020),0,
IF(AND(BQ$4&gt;=YEAR(effective_date_KLL2020),OFFSET(_xlfn.SINGLE(IA_historic_HP),5,)&lt;&gt;0),OFFSET(_xlfn.SINGLE(IA_historic_HP),5,),INDEX(KLL_II_2020!FA_HP,2)*_xlfn.SINGLE(KLL_II_2020!CA_infl_index_HP2)))</f>
        <v>134.57940145368025</v>
      </c>
      <c r="BR148" s="49">
        <f ca="1">IF(BR$4&lt;YEAR(effective_date_KLL2020),0,
IF(AND(BR$4&gt;=YEAR(effective_date_KLL2020),OFFSET(_xlfn.SINGLE(IA_historic_HP),5,)&lt;&gt;0),OFFSET(_xlfn.SINGLE(IA_historic_HP),5,),INDEX(KLL_II_2020!FA_HP,2)*_xlfn.SINGLE(KLL_II_2020!CA_infl_index_HP2)))</f>
        <v>137.27098948275383</v>
      </c>
      <c r="BS148" s="49">
        <f ca="1">IF(BS$4&lt;YEAR(effective_date_KLL2020),0,
IF(AND(BS$4&gt;=YEAR(effective_date_KLL2020),OFFSET(_xlfn.SINGLE(IA_historic_HP),5,)&lt;&gt;0),OFFSET(_xlfn.SINGLE(IA_historic_HP),5,),INDEX(KLL_II_2020!FA_HP,2)*_xlfn.SINGLE(KLL_II_2020!CA_infl_index_HP2)))</f>
        <v>140.01640927240894</v>
      </c>
    </row>
    <row r="149" spans="1:71" outlineLevel="1" x14ac:dyDescent="0.2">
      <c r="J149" s="26"/>
      <c r="L149" s="55"/>
      <c r="M149" s="55"/>
      <c r="N149" s="55"/>
      <c r="O149" s="55"/>
      <c r="P149" s="55"/>
      <c r="Q149" s="55"/>
      <c r="R149" s="55"/>
      <c r="S149" s="55"/>
      <c r="T149" s="55"/>
      <c r="U149" s="55"/>
      <c r="V149" s="55"/>
      <c r="W149" s="55"/>
      <c r="X149" s="55"/>
      <c r="Y149" s="55"/>
      <c r="Z149" s="55"/>
      <c r="AA149" s="55"/>
      <c r="AB149" s="55"/>
      <c r="AC149" s="55"/>
      <c r="AD149" s="55"/>
      <c r="AE149" s="55"/>
      <c r="AF149" s="55"/>
      <c r="AG149" s="55"/>
      <c r="AH149" s="55"/>
      <c r="AI149" s="55"/>
      <c r="AJ149" s="55"/>
      <c r="AK149" s="55"/>
      <c r="AL149" s="55"/>
      <c r="AM149" s="55"/>
      <c r="AN149" s="55"/>
      <c r="AO149" s="55"/>
      <c r="AP149" s="55"/>
      <c r="AQ149" s="55"/>
      <c r="AR149" s="55"/>
      <c r="AS149" s="55"/>
      <c r="AT149" s="55"/>
      <c r="AU149" s="55"/>
      <c r="AV149" s="55"/>
      <c r="AW149" s="55"/>
      <c r="AX149" s="55"/>
      <c r="AY149" s="55"/>
      <c r="AZ149" s="55"/>
      <c r="BA149" s="55"/>
      <c r="BB149" s="55"/>
      <c r="BC149" s="55"/>
      <c r="BD149" s="55"/>
      <c r="BE149" s="55"/>
      <c r="BF149" s="55"/>
      <c r="BG149" s="55"/>
      <c r="BH149" s="55"/>
      <c r="BI149" s="55"/>
      <c r="BJ149" s="55"/>
      <c r="BK149" s="55"/>
      <c r="BL149" s="55"/>
      <c r="BM149" s="55"/>
      <c r="BN149" s="55"/>
      <c r="BO149" s="55"/>
      <c r="BP149" s="55"/>
      <c r="BQ149" s="55"/>
      <c r="BR149" s="55"/>
      <c r="BS149" s="55"/>
    </row>
    <row r="150" spans="1:71" outlineLevel="1" x14ac:dyDescent="0.2">
      <c r="D150" t="str">
        <f>HM_ZB_Nsoko!D163</f>
        <v>Indice d'inflation pour PH1</v>
      </c>
      <c r="J150" s="26"/>
      <c r="K150" s="7" t="s">
        <v>615</v>
      </c>
      <c r="L150" s="49">
        <f t="shared" ref="L150:AQ150" si="26">IF(L$4&lt;=YEAR(effective_date_PNGF2010),1,(1+input_US_inflation_perc)^(L$4-YEAR(effective_date_PNGF2010)))</f>
        <v>1.0612079999999999</v>
      </c>
      <c r="M150" s="49">
        <f t="shared" si="26"/>
        <v>1.08243216</v>
      </c>
      <c r="N150" s="49">
        <f t="shared" si="26"/>
        <v>1.1040808032</v>
      </c>
      <c r="O150" s="49">
        <f t="shared" si="26"/>
        <v>1.1261624192640001</v>
      </c>
      <c r="P150" s="49">
        <f t="shared" si="26"/>
        <v>1.1486856676492798</v>
      </c>
      <c r="Q150" s="49">
        <f t="shared" si="26"/>
        <v>1.1716593810022655</v>
      </c>
      <c r="R150" s="49">
        <f t="shared" si="26"/>
        <v>1.1950925686223108</v>
      </c>
      <c r="S150" s="49">
        <f t="shared" si="26"/>
        <v>1.2189944199947571</v>
      </c>
      <c r="T150" s="49">
        <f t="shared" si="26"/>
        <v>1.243374308394652</v>
      </c>
      <c r="U150" s="49">
        <f t="shared" si="26"/>
        <v>1.2682417945625453</v>
      </c>
      <c r="V150" s="49">
        <f t="shared" si="26"/>
        <v>1.2936066304537961</v>
      </c>
      <c r="W150" s="49">
        <f t="shared" si="26"/>
        <v>1.3194787630628722</v>
      </c>
      <c r="X150" s="49">
        <f t="shared" si="26"/>
        <v>1.3458683383241292</v>
      </c>
      <c r="Y150" s="49">
        <f t="shared" si="26"/>
        <v>1.372785705090612</v>
      </c>
      <c r="Z150" s="49">
        <f t="shared" si="26"/>
        <v>1.4002414191924244</v>
      </c>
      <c r="AA150" s="49">
        <f t="shared" si="26"/>
        <v>1.4282462475762727</v>
      </c>
      <c r="AB150" s="49">
        <f t="shared" si="26"/>
        <v>1.4568111725277981</v>
      </c>
      <c r="AC150" s="49">
        <f t="shared" si="26"/>
        <v>1.4859473959783542</v>
      </c>
      <c r="AD150" s="49">
        <f t="shared" si="26"/>
        <v>1.5156663438979212</v>
      </c>
      <c r="AE150" s="49">
        <f t="shared" si="26"/>
        <v>1.5459796707758797</v>
      </c>
      <c r="AF150" s="49">
        <f t="shared" si="26"/>
        <v>1.576899264191397</v>
      </c>
      <c r="AG150" s="49">
        <f t="shared" si="26"/>
        <v>1.608437249475225</v>
      </c>
      <c r="AH150" s="49">
        <f t="shared" si="26"/>
        <v>1.6406059944647295</v>
      </c>
      <c r="AI150" s="49">
        <f t="shared" si="26"/>
        <v>1.6734181143540243</v>
      </c>
      <c r="AJ150" s="49">
        <f t="shared" si="26"/>
        <v>1.7068864766411045</v>
      </c>
      <c r="AK150" s="49">
        <f t="shared" si="26"/>
        <v>1.7410242061739269</v>
      </c>
      <c r="AL150" s="49">
        <f t="shared" si="26"/>
        <v>1.7758446902974052</v>
      </c>
      <c r="AM150" s="49">
        <f t="shared" si="26"/>
        <v>1.8113615841033535</v>
      </c>
      <c r="AN150" s="49">
        <f t="shared" si="26"/>
        <v>1.8475888157854201</v>
      </c>
      <c r="AO150" s="49">
        <f t="shared" si="26"/>
        <v>1.8845405921011289</v>
      </c>
      <c r="AP150" s="49">
        <f t="shared" si="26"/>
        <v>1.9222314039431516</v>
      </c>
      <c r="AQ150" s="49">
        <f t="shared" si="26"/>
        <v>1.9606760320220145</v>
      </c>
      <c r="AR150" s="49">
        <f t="shared" ref="AR150:BS150" si="27">IF(AR$4&lt;=YEAR(effective_date_PNGF2010),1,(1+input_US_inflation_perc)^(AR$4-YEAR(effective_date_PNGF2010)))</f>
        <v>1.9998895526624547</v>
      </c>
      <c r="AS150" s="49">
        <f t="shared" si="27"/>
        <v>2.0398873437157037</v>
      </c>
      <c r="AT150" s="49">
        <f t="shared" si="27"/>
        <v>2.080685090590018</v>
      </c>
      <c r="AU150" s="49">
        <f t="shared" si="27"/>
        <v>2.1222987924018186</v>
      </c>
      <c r="AV150" s="49">
        <f t="shared" si="27"/>
        <v>2.1647447682498542</v>
      </c>
      <c r="AW150" s="49">
        <f t="shared" si="27"/>
        <v>2.2080396636148518</v>
      </c>
      <c r="AX150" s="49">
        <f t="shared" si="27"/>
        <v>2.2522004568871488</v>
      </c>
      <c r="AY150" s="49">
        <f t="shared" si="27"/>
        <v>2.2972444660248916</v>
      </c>
      <c r="AZ150" s="49">
        <f t="shared" si="27"/>
        <v>2.3431893553453893</v>
      </c>
      <c r="BA150" s="49">
        <f t="shared" si="27"/>
        <v>2.3900531424522975</v>
      </c>
      <c r="BB150" s="49">
        <f t="shared" si="27"/>
        <v>2.4378542053013432</v>
      </c>
      <c r="BC150" s="49">
        <f t="shared" si="27"/>
        <v>2.4866112894073704</v>
      </c>
      <c r="BD150" s="49">
        <f t="shared" si="27"/>
        <v>2.5363435151955169</v>
      </c>
      <c r="BE150" s="49">
        <f t="shared" si="27"/>
        <v>2.5870703854994277</v>
      </c>
      <c r="BF150" s="49">
        <f t="shared" si="27"/>
        <v>2.6388117932094164</v>
      </c>
      <c r="BG150" s="49">
        <f t="shared" si="27"/>
        <v>2.6915880290736047</v>
      </c>
      <c r="BH150" s="49">
        <f t="shared" si="27"/>
        <v>2.7454197896550765</v>
      </c>
      <c r="BI150" s="49">
        <f t="shared" si="27"/>
        <v>2.8003281854481785</v>
      </c>
      <c r="BJ150" s="49">
        <f t="shared" si="27"/>
        <v>2.8563347491571416</v>
      </c>
      <c r="BK150" s="49">
        <f t="shared" si="27"/>
        <v>2.9134614441402849</v>
      </c>
      <c r="BL150" s="49">
        <f t="shared" si="27"/>
        <v>2.9717306730230897</v>
      </c>
      <c r="BM150" s="49">
        <f t="shared" si="27"/>
        <v>3.0311652864835517</v>
      </c>
      <c r="BN150" s="49">
        <f t="shared" si="27"/>
        <v>3.0917885922132227</v>
      </c>
      <c r="BO150" s="49">
        <f t="shared" si="27"/>
        <v>3.1536243640574875</v>
      </c>
      <c r="BP150" s="49">
        <f t="shared" si="27"/>
        <v>3.2166968513386367</v>
      </c>
      <c r="BQ150" s="49">
        <f t="shared" si="27"/>
        <v>3.2810307883654102</v>
      </c>
      <c r="BR150" s="49">
        <f t="shared" si="27"/>
        <v>3.346651404132718</v>
      </c>
      <c r="BS150" s="49">
        <f t="shared" si="27"/>
        <v>3.4135844322153726</v>
      </c>
    </row>
    <row r="151" spans="1:71" outlineLevel="1" x14ac:dyDescent="0.2">
      <c r="J151" s="26"/>
      <c r="L151" s="55"/>
      <c r="M151" s="55"/>
      <c r="N151" s="55"/>
      <c r="O151" s="55"/>
      <c r="P151" s="55"/>
      <c r="Q151" s="55"/>
      <c r="R151" s="55"/>
      <c r="S151" s="55"/>
      <c r="T151" s="55"/>
      <c r="U151" s="55"/>
      <c r="V151" s="55"/>
      <c r="W151" s="55"/>
      <c r="X151" s="55"/>
      <c r="Y151" s="55"/>
      <c r="Z151" s="55"/>
      <c r="AA151" s="55"/>
      <c r="AB151" s="55"/>
      <c r="AC151" s="55"/>
      <c r="AD151" s="55"/>
      <c r="AE151" s="55"/>
      <c r="AF151" s="55"/>
      <c r="AG151" s="55"/>
      <c r="AH151" s="55"/>
      <c r="AI151" s="55"/>
      <c r="AJ151" s="55"/>
      <c r="AK151" s="55"/>
      <c r="AL151" s="55"/>
      <c r="AM151" s="55"/>
      <c r="AN151" s="55"/>
      <c r="AO151" s="55"/>
      <c r="AP151" s="55"/>
      <c r="AQ151" s="55"/>
      <c r="AR151" s="55"/>
      <c r="AS151" s="55"/>
      <c r="AT151" s="55"/>
      <c r="AU151" s="55"/>
      <c r="AV151" s="55"/>
      <c r="AW151" s="55"/>
      <c r="AX151" s="55"/>
      <c r="AY151" s="55"/>
      <c r="AZ151" s="55"/>
      <c r="BA151" s="55"/>
      <c r="BB151" s="55"/>
      <c r="BC151" s="55"/>
      <c r="BD151" s="55"/>
      <c r="BE151" s="55"/>
      <c r="BF151" s="55"/>
      <c r="BG151" s="55"/>
      <c r="BH151" s="55"/>
      <c r="BI151" s="55"/>
      <c r="BJ151" s="55"/>
      <c r="BK151" s="55"/>
      <c r="BL151" s="55"/>
      <c r="BM151" s="55"/>
      <c r="BN151" s="55"/>
      <c r="BO151" s="55"/>
      <c r="BP151" s="55"/>
      <c r="BQ151" s="55"/>
      <c r="BR151" s="55"/>
      <c r="BS151" s="55"/>
    </row>
    <row r="152" spans="1:71" outlineLevel="1" x14ac:dyDescent="0.2">
      <c r="D152" t="str">
        <f>HM_ZB_Nsoko!D165</f>
        <v>Indice d'inflation pour PH2</v>
      </c>
      <c r="J152" s="26"/>
      <c r="K152" s="7" t="s">
        <v>616</v>
      </c>
      <c r="L152" s="49">
        <f t="shared" ref="L152:AQ152" si="28">IF(L$4&lt;=YEAR(effective_date_KLL2020),1,(1+input_US_inflation_perc)^(L$4-YEAR(effective_date_KLL2020)))</f>
        <v>1</v>
      </c>
      <c r="M152" s="49">
        <f t="shared" si="28"/>
        <v>1</v>
      </c>
      <c r="N152" s="49">
        <f t="shared" si="28"/>
        <v>1</v>
      </c>
      <c r="O152" s="49">
        <f t="shared" si="28"/>
        <v>1</v>
      </c>
      <c r="P152" s="49">
        <f t="shared" si="28"/>
        <v>1</v>
      </c>
      <c r="Q152" s="49">
        <f t="shared" si="28"/>
        <v>1</v>
      </c>
      <c r="R152" s="49">
        <f t="shared" si="28"/>
        <v>1</v>
      </c>
      <c r="S152" s="49">
        <f t="shared" si="28"/>
        <v>1</v>
      </c>
      <c r="T152" s="49">
        <f t="shared" si="28"/>
        <v>1.02</v>
      </c>
      <c r="U152" s="49">
        <f t="shared" si="28"/>
        <v>1.0404</v>
      </c>
      <c r="V152" s="49">
        <f t="shared" si="28"/>
        <v>1.0612079999999999</v>
      </c>
      <c r="W152" s="49">
        <f t="shared" si="28"/>
        <v>1.08243216</v>
      </c>
      <c r="X152" s="49">
        <f t="shared" si="28"/>
        <v>1.1040808032</v>
      </c>
      <c r="Y152" s="49">
        <f t="shared" si="28"/>
        <v>1.1261624192640001</v>
      </c>
      <c r="Z152" s="49">
        <f t="shared" si="28"/>
        <v>1.1486856676492798</v>
      </c>
      <c r="AA152" s="49">
        <f t="shared" si="28"/>
        <v>1.1716593810022655</v>
      </c>
      <c r="AB152" s="49">
        <f t="shared" si="28"/>
        <v>1.1950925686223108</v>
      </c>
      <c r="AC152" s="49">
        <f t="shared" si="28"/>
        <v>1.2189944199947571</v>
      </c>
      <c r="AD152" s="49">
        <f t="shared" si="28"/>
        <v>1.243374308394652</v>
      </c>
      <c r="AE152" s="49">
        <f t="shared" si="28"/>
        <v>1.2682417945625453</v>
      </c>
      <c r="AF152" s="49">
        <f t="shared" si="28"/>
        <v>1.2936066304537961</v>
      </c>
      <c r="AG152" s="49">
        <f t="shared" si="28"/>
        <v>1.3194787630628722</v>
      </c>
      <c r="AH152" s="49">
        <f t="shared" si="28"/>
        <v>1.3458683383241292</v>
      </c>
      <c r="AI152" s="49">
        <f t="shared" si="28"/>
        <v>1.372785705090612</v>
      </c>
      <c r="AJ152" s="49">
        <f t="shared" si="28"/>
        <v>1.4002414191924244</v>
      </c>
      <c r="AK152" s="49">
        <f t="shared" si="28"/>
        <v>1.4282462475762727</v>
      </c>
      <c r="AL152" s="49">
        <f t="shared" si="28"/>
        <v>1.4568111725277981</v>
      </c>
      <c r="AM152" s="49">
        <f t="shared" si="28"/>
        <v>1.4859473959783542</v>
      </c>
      <c r="AN152" s="49">
        <f t="shared" si="28"/>
        <v>1.5156663438979212</v>
      </c>
      <c r="AO152" s="49">
        <f t="shared" si="28"/>
        <v>1.5459796707758797</v>
      </c>
      <c r="AP152" s="49">
        <f t="shared" si="28"/>
        <v>1.576899264191397</v>
      </c>
      <c r="AQ152" s="49">
        <f t="shared" si="28"/>
        <v>1.608437249475225</v>
      </c>
      <c r="AR152" s="49">
        <f t="shared" ref="AR152:BS152" si="29">IF(AR$4&lt;=YEAR(effective_date_KLL2020),1,(1+input_US_inflation_perc)^(AR$4-YEAR(effective_date_KLL2020)))</f>
        <v>1.6406059944647295</v>
      </c>
      <c r="AS152" s="49">
        <f t="shared" si="29"/>
        <v>1.6734181143540243</v>
      </c>
      <c r="AT152" s="49">
        <f t="shared" si="29"/>
        <v>1.7068864766411045</v>
      </c>
      <c r="AU152" s="49">
        <f t="shared" si="29"/>
        <v>1.7410242061739269</v>
      </c>
      <c r="AV152" s="49">
        <f t="shared" si="29"/>
        <v>1.7758446902974052</v>
      </c>
      <c r="AW152" s="49">
        <f t="shared" si="29"/>
        <v>1.8113615841033535</v>
      </c>
      <c r="AX152" s="49">
        <f t="shared" si="29"/>
        <v>1.8475888157854201</v>
      </c>
      <c r="AY152" s="49">
        <f t="shared" si="29"/>
        <v>1.8845405921011289</v>
      </c>
      <c r="AZ152" s="49">
        <f t="shared" si="29"/>
        <v>1.9222314039431516</v>
      </c>
      <c r="BA152" s="49">
        <f t="shared" si="29"/>
        <v>1.9606760320220145</v>
      </c>
      <c r="BB152" s="49">
        <f t="shared" si="29"/>
        <v>1.9998895526624547</v>
      </c>
      <c r="BC152" s="49">
        <f t="shared" si="29"/>
        <v>2.0398873437157037</v>
      </c>
      <c r="BD152" s="49">
        <f t="shared" si="29"/>
        <v>2.080685090590018</v>
      </c>
      <c r="BE152" s="49">
        <f t="shared" si="29"/>
        <v>2.1222987924018186</v>
      </c>
      <c r="BF152" s="49">
        <f t="shared" si="29"/>
        <v>2.1647447682498542</v>
      </c>
      <c r="BG152" s="49">
        <f t="shared" si="29"/>
        <v>2.2080396636148518</v>
      </c>
      <c r="BH152" s="49">
        <f t="shared" si="29"/>
        <v>2.2522004568871488</v>
      </c>
      <c r="BI152" s="49">
        <f t="shared" si="29"/>
        <v>2.2972444660248916</v>
      </c>
      <c r="BJ152" s="49">
        <f t="shared" si="29"/>
        <v>2.3431893553453893</v>
      </c>
      <c r="BK152" s="49">
        <f t="shared" si="29"/>
        <v>2.3900531424522975</v>
      </c>
      <c r="BL152" s="49">
        <f t="shared" si="29"/>
        <v>2.4378542053013432</v>
      </c>
      <c r="BM152" s="49">
        <f t="shared" si="29"/>
        <v>2.4866112894073704</v>
      </c>
      <c r="BN152" s="49">
        <f t="shared" si="29"/>
        <v>2.5363435151955169</v>
      </c>
      <c r="BO152" s="49">
        <f t="shared" si="29"/>
        <v>2.5870703854994277</v>
      </c>
      <c r="BP152" s="49">
        <f t="shared" si="29"/>
        <v>2.6388117932094164</v>
      </c>
      <c r="BQ152" s="49">
        <f t="shared" si="29"/>
        <v>2.6915880290736047</v>
      </c>
      <c r="BR152" s="49">
        <f t="shared" si="29"/>
        <v>2.7454197896550765</v>
      </c>
      <c r="BS152" s="49">
        <f t="shared" si="29"/>
        <v>2.8003281854481785</v>
      </c>
    </row>
    <row r="153" spans="1:71" outlineLevel="1" x14ac:dyDescent="0.2">
      <c r="J153" s="26"/>
      <c r="L153" s="55"/>
      <c r="M153" s="55"/>
      <c r="N153" s="55"/>
      <c r="O153" s="55"/>
      <c r="P153" s="55"/>
      <c r="Q153" s="55"/>
      <c r="R153" s="55"/>
      <c r="S153" s="55"/>
      <c r="T153" s="55"/>
      <c r="U153" s="55"/>
      <c r="V153" s="55"/>
      <c r="W153" s="55"/>
      <c r="X153" s="55"/>
      <c r="Y153" s="55"/>
      <c r="Z153" s="55"/>
      <c r="AA153" s="55"/>
      <c r="AB153" s="55"/>
      <c r="AC153" s="55"/>
      <c r="AD153" s="55"/>
      <c r="AE153" s="55"/>
      <c r="AF153" s="55"/>
      <c r="AG153" s="55"/>
      <c r="AH153" s="55"/>
      <c r="AI153" s="55"/>
      <c r="AJ153" s="55"/>
      <c r="AK153" s="55"/>
      <c r="AL153" s="55"/>
      <c r="AM153" s="55"/>
      <c r="AN153" s="55"/>
      <c r="AO153" s="55"/>
      <c r="AP153" s="55"/>
      <c r="AQ153" s="55"/>
      <c r="AR153" s="55"/>
      <c r="AS153" s="55"/>
      <c r="AT153" s="55"/>
      <c r="AU153" s="55"/>
      <c r="AV153" s="55"/>
      <c r="AW153" s="55"/>
      <c r="AX153" s="55"/>
      <c r="AY153" s="55"/>
      <c r="AZ153" s="55"/>
      <c r="BA153" s="55"/>
      <c r="BB153" s="55"/>
      <c r="BC153" s="55"/>
      <c r="BD153" s="55"/>
      <c r="BE153" s="55"/>
      <c r="BF153" s="55"/>
      <c r="BG153" s="55"/>
      <c r="BH153" s="55"/>
      <c r="BI153" s="55"/>
      <c r="BJ153" s="55"/>
      <c r="BK153" s="55"/>
      <c r="BL153" s="55"/>
      <c r="BM153" s="55"/>
      <c r="BN153" s="55"/>
      <c r="BO153" s="55"/>
      <c r="BP153" s="55"/>
      <c r="BQ153" s="55"/>
      <c r="BR153" s="55"/>
      <c r="BS153" s="55"/>
    </row>
    <row r="154" spans="1:71" outlineLevel="1" x14ac:dyDescent="0.2">
      <c r="D154" t="str">
        <f>HM_ZB_Nsoko!D167</f>
        <v>PH effectif</v>
      </c>
      <c r="J154" s="26" t="s">
        <v>46</v>
      </c>
      <c r="K154" s="7" t="s">
        <v>722</v>
      </c>
      <c r="L154" s="49" cm="1">
        <f t="array" aca="1" ref="L154:BS154" ca="1">KLL_II_2020!CA_HP1_oil_nom*(KLL_II_2020!CA_PSC_switch_trig=0)+KLL_II_2020!CA_HP2_oil_nom*(KLL_II_2020!CA_PSC_switch_trig=1)</f>
        <v>36.591749999999998</v>
      </c>
      <c r="M154" s="49">
        <f ca="1"/>
        <v>37.042000000000002</v>
      </c>
      <c r="N154" s="49">
        <f ca="1"/>
        <v>37.502749999999999</v>
      </c>
      <c r="O154" s="49">
        <f ca="1"/>
        <v>38.078249999999997</v>
      </c>
      <c r="P154" s="49">
        <f ca="1"/>
        <v>38.782499999999999</v>
      </c>
      <c r="Q154" s="49">
        <f ca="1"/>
        <v>39.640750000000004</v>
      </c>
      <c r="R154" s="49">
        <f ca="1"/>
        <v>40.453749999999999</v>
      </c>
      <c r="S154" s="49">
        <f ca="1"/>
        <v>50.62</v>
      </c>
      <c r="T154" s="49">
        <f ca="1"/>
        <v>51</v>
      </c>
      <c r="U154" s="49">
        <f ca="1"/>
        <v>52.019999999999996</v>
      </c>
      <c r="V154" s="49">
        <f ca="1"/>
        <v>53.060399999999994</v>
      </c>
      <c r="W154" s="49">
        <f ca="1"/>
        <v>54.121608000000002</v>
      </c>
      <c r="X154" s="49">
        <f ca="1"/>
        <v>55.204040159999998</v>
      </c>
      <c r="Y154" s="49">
        <f ca="1"/>
        <v>56.308120963200004</v>
      </c>
      <c r="Z154" s="49">
        <f ca="1"/>
        <v>57.434283382463988</v>
      </c>
      <c r="AA154" s="49">
        <f ca="1"/>
        <v>58.582969050113277</v>
      </c>
      <c r="AB154" s="49">
        <f ca="1"/>
        <v>59.754628431115542</v>
      </c>
      <c r="AC154" s="49">
        <f ca="1"/>
        <v>60.949720999737856</v>
      </c>
      <c r="AD154" s="49">
        <f ca="1"/>
        <v>62.1687154197326</v>
      </c>
      <c r="AE154" s="49">
        <f ca="1"/>
        <v>63.412089728127263</v>
      </c>
      <c r="AF154" s="49">
        <f ca="1"/>
        <v>64.680331522689798</v>
      </c>
      <c r="AG154" s="49">
        <f ca="1"/>
        <v>65.973938153143607</v>
      </c>
      <c r="AH154" s="49">
        <f ca="1"/>
        <v>67.293416916206468</v>
      </c>
      <c r="AI154" s="49">
        <f ca="1"/>
        <v>68.639285254530606</v>
      </c>
      <c r="AJ154" s="49">
        <f ca="1"/>
        <v>70.012070959621227</v>
      </c>
      <c r="AK154" s="49">
        <f ca="1"/>
        <v>71.412312378813638</v>
      </c>
      <c r="AL154" s="49">
        <f ca="1"/>
        <v>72.840558626389907</v>
      </c>
      <c r="AM154" s="49">
        <f ca="1"/>
        <v>74.297369798917714</v>
      </c>
      <c r="AN154" s="49">
        <f ca="1"/>
        <v>75.783317194896057</v>
      </c>
      <c r="AO154" s="49">
        <f ca="1"/>
        <v>77.298983538793991</v>
      </c>
      <c r="AP154" s="49">
        <f ca="1"/>
        <v>78.844963209569855</v>
      </c>
      <c r="AQ154" s="49">
        <f ca="1"/>
        <v>80.421862473761252</v>
      </c>
      <c r="AR154" s="49">
        <f ca="1"/>
        <v>82.030299723236482</v>
      </c>
      <c r="AS154" s="49">
        <f ca="1"/>
        <v>83.670905717701217</v>
      </c>
      <c r="AT154" s="49">
        <f ca="1"/>
        <v>85.344323832055224</v>
      </c>
      <c r="AU154" s="49">
        <f ca="1"/>
        <v>87.051210308696341</v>
      </c>
      <c r="AV154" s="49">
        <f ca="1"/>
        <v>88.792234514870259</v>
      </c>
      <c r="AW154" s="49">
        <f ca="1"/>
        <v>90.568079205167678</v>
      </c>
      <c r="AX154" s="49">
        <f ca="1"/>
        <v>92.379440789271001</v>
      </c>
      <c r="AY154" s="49">
        <f ca="1"/>
        <v>94.227029605056444</v>
      </c>
      <c r="AZ154" s="49">
        <f ca="1"/>
        <v>96.111570197157576</v>
      </c>
      <c r="BA154" s="49">
        <f ca="1"/>
        <v>98.03380160110072</v>
      </c>
      <c r="BB154" s="49">
        <f ca="1"/>
        <v>99.994477633122742</v>
      </c>
      <c r="BC154" s="49">
        <f ca="1"/>
        <v>101.99436718578518</v>
      </c>
      <c r="BD154" s="49">
        <f ca="1"/>
        <v>104.0342545295009</v>
      </c>
      <c r="BE154" s="49">
        <f ca="1"/>
        <v>106.11493962009094</v>
      </c>
      <c r="BF154" s="49">
        <f ca="1"/>
        <v>108.23723841249272</v>
      </c>
      <c r="BG154" s="49">
        <f ca="1"/>
        <v>110.40198318074259</v>
      </c>
      <c r="BH154" s="49">
        <f ca="1"/>
        <v>112.61002284435745</v>
      </c>
      <c r="BI154" s="49">
        <f ca="1"/>
        <v>114.86222330124458</v>
      </c>
      <c r="BJ154" s="49">
        <f ca="1"/>
        <v>117.15946776726946</v>
      </c>
      <c r="BK154" s="49">
        <f ca="1"/>
        <v>119.50265712261488</v>
      </c>
      <c r="BL154" s="49">
        <f ca="1"/>
        <v>121.89271026506717</v>
      </c>
      <c r="BM154" s="49">
        <f ca="1"/>
        <v>124.33056447036851</v>
      </c>
      <c r="BN154" s="49">
        <f ca="1"/>
        <v>126.81717575977585</v>
      </c>
      <c r="BO154" s="49">
        <f ca="1"/>
        <v>129.35351927497138</v>
      </c>
      <c r="BP154" s="49">
        <f ca="1"/>
        <v>131.94058966047081</v>
      </c>
      <c r="BQ154" s="49">
        <f ca="1"/>
        <v>134.57940145368025</v>
      </c>
      <c r="BR154" s="49">
        <f ca="1"/>
        <v>137.27098948275383</v>
      </c>
      <c r="BS154" s="49">
        <f ca="1"/>
        <v>140.01640927240894</v>
      </c>
    </row>
    <row r="155" spans="1:71" outlineLevel="1" x14ac:dyDescent="0.2">
      <c r="J155" s="26"/>
      <c r="L155" s="55"/>
      <c r="M155" s="55"/>
      <c r="N155" s="55"/>
      <c r="O155" s="55"/>
      <c r="P155" s="55"/>
      <c r="Q155" s="55"/>
      <c r="R155" s="55"/>
      <c r="S155" s="55"/>
      <c r="T155" s="55"/>
      <c r="U155" s="55"/>
      <c r="V155" s="55"/>
      <c r="W155" s="55"/>
      <c r="X155" s="55"/>
      <c r="Y155" s="55"/>
      <c r="Z155" s="55"/>
      <c r="AA155" s="55"/>
      <c r="AB155" s="55"/>
      <c r="AC155" s="55"/>
      <c r="AD155" s="55"/>
      <c r="AE155" s="55"/>
      <c r="AF155" s="55"/>
      <c r="AG155" s="55"/>
      <c r="AH155" s="55"/>
      <c r="AI155" s="55"/>
      <c r="AJ155" s="55"/>
      <c r="AK155" s="55"/>
      <c r="AL155" s="55"/>
      <c r="AM155" s="55"/>
      <c r="AN155" s="55"/>
      <c r="AO155" s="55"/>
      <c r="AP155" s="55"/>
      <c r="AQ155" s="55"/>
      <c r="AR155" s="55"/>
      <c r="AS155" s="55"/>
      <c r="AT155" s="55"/>
      <c r="AU155" s="55"/>
      <c r="AV155" s="55"/>
      <c r="AW155" s="55"/>
      <c r="AX155" s="55"/>
      <c r="AY155" s="55"/>
      <c r="AZ155" s="55"/>
      <c r="BA155" s="55"/>
      <c r="BB155" s="55"/>
      <c r="BC155" s="55"/>
      <c r="BD155" s="55"/>
      <c r="BE155" s="55"/>
      <c r="BF155" s="55"/>
      <c r="BG155" s="55"/>
      <c r="BH155" s="55"/>
      <c r="BI155" s="55"/>
      <c r="BJ155" s="55"/>
      <c r="BK155" s="55"/>
      <c r="BL155" s="55"/>
      <c r="BM155" s="55"/>
      <c r="BN155" s="55"/>
      <c r="BO155" s="55"/>
      <c r="BP155" s="55"/>
      <c r="BQ155" s="55"/>
      <c r="BR155" s="55"/>
      <c r="BS155" s="55"/>
    </row>
    <row r="156" spans="1:71" outlineLevel="1" x14ac:dyDescent="0.2">
      <c r="A156" s="45"/>
      <c r="B156" s="38" t="str">
        <f>HM_ZB_Nsoko!B169</f>
        <v>Revenus</v>
      </c>
      <c r="C156" s="45"/>
      <c r="D156" s="45"/>
      <c r="E156" s="45"/>
      <c r="J156" s="26"/>
      <c r="L156" s="55"/>
      <c r="M156" s="55"/>
      <c r="N156" s="55"/>
      <c r="O156" s="55"/>
      <c r="P156" s="55"/>
      <c r="Q156" s="55"/>
      <c r="R156" s="55"/>
      <c r="S156" s="55"/>
      <c r="T156" s="55"/>
      <c r="U156" s="55"/>
      <c r="V156" s="55"/>
      <c r="W156" s="55"/>
      <c r="X156" s="55"/>
      <c r="Y156" s="55"/>
      <c r="Z156" s="55"/>
      <c r="AA156" s="55"/>
      <c r="AB156" s="55"/>
      <c r="AC156" s="55"/>
      <c r="AD156" s="55"/>
      <c r="AE156" s="55"/>
      <c r="AF156" s="55"/>
      <c r="AG156" s="55"/>
      <c r="AH156" s="55"/>
      <c r="AI156" s="55"/>
      <c r="AJ156" s="55"/>
      <c r="AK156" s="55"/>
      <c r="AL156" s="55"/>
      <c r="AM156" s="55"/>
      <c r="AN156" s="55"/>
      <c r="AO156" s="55"/>
      <c r="AP156" s="55"/>
      <c r="AQ156" s="55"/>
      <c r="AR156" s="55"/>
      <c r="AS156" s="55"/>
      <c r="AT156" s="55"/>
      <c r="AU156" s="55"/>
      <c r="AV156" s="55"/>
      <c r="AW156" s="55"/>
      <c r="AX156" s="55"/>
      <c r="AY156" s="55"/>
      <c r="AZ156" s="55"/>
      <c r="BA156" s="55"/>
      <c r="BB156" s="55"/>
      <c r="BC156" s="55"/>
      <c r="BD156" s="55"/>
      <c r="BE156" s="55"/>
      <c r="BF156" s="55"/>
      <c r="BG156" s="55"/>
      <c r="BH156" s="55"/>
      <c r="BI156" s="55"/>
      <c r="BJ156" s="55"/>
      <c r="BK156" s="55"/>
      <c r="BL156" s="55"/>
      <c r="BM156" s="55"/>
      <c r="BN156" s="55"/>
      <c r="BO156" s="55"/>
      <c r="BP156" s="55"/>
      <c r="BQ156" s="55"/>
      <c r="BR156" s="55"/>
      <c r="BS156" s="55"/>
    </row>
    <row r="157" spans="1:71" outlineLevel="1" x14ac:dyDescent="0.2">
      <c r="J157" s="26"/>
      <c r="L157" s="55"/>
      <c r="M157" s="55"/>
      <c r="N157" s="55"/>
      <c r="O157" s="55"/>
      <c r="P157" s="55"/>
      <c r="Q157" s="55"/>
      <c r="R157" s="55"/>
      <c r="S157" s="55"/>
      <c r="T157" s="55"/>
      <c r="U157" s="55"/>
      <c r="V157" s="55"/>
      <c r="W157" s="55"/>
      <c r="X157" s="55"/>
      <c r="Y157" s="55"/>
      <c r="Z157" s="55"/>
      <c r="AA157" s="55"/>
      <c r="AB157" s="55"/>
      <c r="AC157" s="55"/>
      <c r="AD157" s="55"/>
      <c r="AE157" s="55"/>
      <c r="AF157" s="55"/>
      <c r="AG157" s="55"/>
      <c r="AH157" s="55"/>
      <c r="AI157" s="55"/>
      <c r="AJ157" s="55"/>
      <c r="AK157" s="55"/>
      <c r="AL157" s="55"/>
      <c r="AM157" s="55"/>
      <c r="AN157" s="55"/>
      <c r="AO157" s="55"/>
      <c r="AP157" s="55"/>
      <c r="AQ157" s="55"/>
      <c r="AR157" s="55"/>
      <c r="AS157" s="55"/>
      <c r="AT157" s="55"/>
      <c r="AU157" s="55"/>
      <c r="AV157" s="55"/>
      <c r="AW157" s="55"/>
      <c r="AX157" s="55"/>
      <c r="AY157" s="55"/>
      <c r="AZ157" s="55"/>
      <c r="BA157" s="55"/>
      <c r="BB157" s="55"/>
      <c r="BC157" s="55"/>
      <c r="BD157" s="55"/>
      <c r="BE157" s="55"/>
      <c r="BF157" s="55"/>
      <c r="BG157" s="55"/>
      <c r="BH157" s="55"/>
      <c r="BI157" s="55"/>
      <c r="BJ157" s="55"/>
      <c r="BK157" s="55"/>
      <c r="BL157" s="55"/>
      <c r="BM157" s="55"/>
      <c r="BN157" s="55"/>
      <c r="BO157" s="55"/>
      <c r="BP157" s="55"/>
      <c r="BQ157" s="55"/>
      <c r="BR157" s="55"/>
      <c r="BS157" s="55"/>
    </row>
    <row r="158" spans="1:71" outlineLevel="1" x14ac:dyDescent="0.2">
      <c r="C158" s="11" t="str">
        <f>HM_ZB_Nsoko!C171</f>
        <v>Revenus bruts</v>
      </c>
      <c r="J158" s="26"/>
      <c r="L158" s="55"/>
      <c r="M158" s="55"/>
      <c r="N158" s="55"/>
      <c r="O158" s="55"/>
      <c r="P158" s="55"/>
      <c r="Q158" s="55"/>
      <c r="R158" s="55"/>
      <c r="S158" s="55"/>
      <c r="T158" s="55"/>
      <c r="U158" s="55"/>
      <c r="V158" s="55"/>
      <c r="W158" s="55"/>
      <c r="X158" s="55"/>
      <c r="Y158" s="55"/>
      <c r="Z158" s="55"/>
      <c r="AA158" s="55"/>
      <c r="AB158" s="55"/>
      <c r="AC158" s="55"/>
      <c r="AD158" s="55"/>
      <c r="AE158" s="55"/>
      <c r="AF158" s="55"/>
      <c r="AG158" s="55"/>
      <c r="AH158" s="55"/>
      <c r="AI158" s="55"/>
      <c r="AJ158" s="55"/>
      <c r="AK158" s="55"/>
      <c r="AL158" s="55"/>
      <c r="AM158" s="55"/>
      <c r="AN158" s="55"/>
      <c r="AO158" s="55"/>
      <c r="AP158" s="55"/>
      <c r="AQ158" s="55"/>
      <c r="AR158" s="55"/>
      <c r="AS158" s="55"/>
      <c r="AT158" s="55"/>
      <c r="AU158" s="55"/>
      <c r="AV158" s="55"/>
      <c r="AW158" s="55"/>
      <c r="AX158" s="55"/>
      <c r="AY158" s="55"/>
      <c r="AZ158" s="55"/>
      <c r="BA158" s="55"/>
      <c r="BB158" s="55"/>
      <c r="BC158" s="55"/>
      <c r="BD158" s="55"/>
      <c r="BE158" s="55"/>
      <c r="BF158" s="55"/>
      <c r="BG158" s="55"/>
      <c r="BH158" s="55"/>
      <c r="BI158" s="55"/>
      <c r="BJ158" s="55"/>
      <c r="BK158" s="55"/>
      <c r="BL158" s="55"/>
      <c r="BM158" s="55"/>
      <c r="BN158" s="55"/>
      <c r="BO158" s="55"/>
      <c r="BP158" s="55"/>
      <c r="BQ158" s="55"/>
      <c r="BR158" s="55"/>
      <c r="BS158" s="55"/>
    </row>
    <row r="159" spans="1:71" outlineLevel="1" x14ac:dyDescent="0.2">
      <c r="D159" t="str">
        <f>HM_ZB_Nsoko!D172</f>
        <v>Revenus pétroliers (@ PF)</v>
      </c>
      <c r="I159" s="30">
        <f ca="1">SUM($L159:$BS159)</f>
        <v>4533.0102635544754</v>
      </c>
      <c r="J159" s="26" t="s">
        <v>148</v>
      </c>
      <c r="K159" s="7" t="s">
        <v>151</v>
      </c>
      <c r="L159" s="49">
        <f ca="1">KLL_II_2020!CA_gross_sales_oil*KLL_II_2020!CA_FP_oil_nom+KLL_II_2020!CA_gross_sales_lpg*KLL_II_2020!CA_FP_lpg_nom</f>
        <v>498.12908528100007</v>
      </c>
      <c r="M159" s="49">
        <f ca="1">KLL_II_2020!CA_gross_sales_oil*KLL_II_2020!CA_FP_oil_nom+KLL_II_2020!CA_gross_sales_lpg*KLL_II_2020!CA_FP_lpg_nom</f>
        <v>550.270235953</v>
      </c>
      <c r="N159" s="49">
        <f ca="1">KLL_II_2020!CA_gross_sales_oil*KLL_II_2020!CA_FP_oil_nom+KLL_II_2020!CA_gross_sales_lpg*KLL_II_2020!CA_FP_lpg_nom</f>
        <v>290.03871171699996</v>
      </c>
      <c r="O159" s="49">
        <f ca="1">KLL_II_2020!CA_gross_sales_oil*KLL_II_2020!CA_FP_oil_nom+KLL_II_2020!CA_gross_sales_lpg*KLL_II_2020!CA_FP_lpg_nom</f>
        <v>247.73388778399999</v>
      </c>
      <c r="P159" s="49">
        <f ca="1">KLL_II_2020!CA_gross_sales_oil*KLL_II_2020!CA_FP_oil_nom+KLL_II_2020!CA_gross_sales_lpg*KLL_II_2020!CA_FP_lpg_nom</f>
        <v>297.46089801200009</v>
      </c>
      <c r="Q159" s="49">
        <f ca="1">KLL_II_2020!CA_gross_sales_oil*KLL_II_2020!CA_FP_oil_nom+KLL_II_2020!CA_gross_sales_lpg*KLL_II_2020!CA_FP_lpg_nom</f>
        <v>409.12926503900007</v>
      </c>
      <c r="R159" s="49">
        <f ca="1">KLL_II_2020!CA_gross_sales_oil*KLL_II_2020!CA_FP_oil_nom+KLL_II_2020!CA_gross_sales_lpg*KLL_II_2020!CA_FP_lpg_nom</f>
        <v>399.446294153</v>
      </c>
      <c r="S159" s="49">
        <f ca="1">KLL_II_2020!CA_gross_sales_oil*KLL_II_2020!CA_FP_oil_nom+KLL_II_2020!CA_gross_sales_lpg*KLL_II_2020!CA_FP_lpg_nom</f>
        <v>224.90804700000001</v>
      </c>
      <c r="T159" s="49">
        <f ca="1">KLL_II_2020!CA_gross_sales_oil*KLL_II_2020!CA_FP_oil_nom+KLL_II_2020!CA_gross_sales_lpg*KLL_II_2020!CA_FP_lpg_nom</f>
        <v>344.13274284479996</v>
      </c>
      <c r="U159" s="49">
        <f ca="1">KLL_II_2020!CA_gross_sales_oil*KLL_II_2020!CA_FP_oil_nom+KLL_II_2020!CA_gross_sales_lpg*KLL_II_2020!CA_FP_lpg_nom</f>
        <v>343.53054779399997</v>
      </c>
      <c r="V159" s="49">
        <f ca="1">KLL_II_2020!CA_gross_sales_oil*KLL_II_2020!CA_FP_oil_nom+KLL_II_2020!CA_gross_sales_lpg*KLL_II_2020!CA_FP_lpg_nom</f>
        <v>325.87307763738835</v>
      </c>
      <c r="W159" s="49">
        <f ca="1">KLL_II_2020!CA_gross_sales_oil*KLL_II_2020!CA_FP_oil_nom+KLL_II_2020!CA_gross_sales_lpg*KLL_II_2020!CA_FP_lpg_nom</f>
        <v>309.12320144682656</v>
      </c>
      <c r="X159" s="49">
        <f ca="1">KLL_II_2020!CA_gross_sales_oil*KLL_II_2020!CA_FP_oil_nom+KLL_II_2020!CA_gross_sales_lpg*KLL_II_2020!CA_FP_lpg_nom</f>
        <v>293.23426889245968</v>
      </c>
      <c r="Y159" s="49">
        <f ca="1">KLL_II_2020!CA_gross_sales_oil*KLL_II_2020!CA_FP_oil_nom+KLL_II_2020!CA_gross_sales_lpg*KLL_II_2020!CA_FP_lpg_nom</f>
        <v>0</v>
      </c>
      <c r="Z159" s="49">
        <f ca="1">KLL_II_2020!CA_gross_sales_oil*KLL_II_2020!CA_FP_oil_nom+KLL_II_2020!CA_gross_sales_lpg*KLL_II_2020!CA_FP_lpg_nom</f>
        <v>0</v>
      </c>
      <c r="AA159" s="49">
        <f ca="1">KLL_II_2020!CA_gross_sales_oil*KLL_II_2020!CA_FP_oil_nom+KLL_II_2020!CA_gross_sales_lpg*KLL_II_2020!CA_FP_lpg_nom</f>
        <v>0</v>
      </c>
      <c r="AB159" s="49">
        <f ca="1">KLL_II_2020!CA_gross_sales_oil*KLL_II_2020!CA_FP_oil_nom+KLL_II_2020!CA_gross_sales_lpg*KLL_II_2020!CA_FP_lpg_nom</f>
        <v>0</v>
      </c>
      <c r="AC159" s="49">
        <f ca="1">KLL_II_2020!CA_gross_sales_oil*KLL_II_2020!CA_FP_oil_nom+KLL_II_2020!CA_gross_sales_lpg*KLL_II_2020!CA_FP_lpg_nom</f>
        <v>0</v>
      </c>
      <c r="AD159" s="49">
        <f ca="1">KLL_II_2020!CA_gross_sales_oil*KLL_II_2020!CA_FP_oil_nom+KLL_II_2020!CA_gross_sales_lpg*KLL_II_2020!CA_FP_lpg_nom</f>
        <v>0</v>
      </c>
      <c r="AE159" s="49">
        <f ca="1">KLL_II_2020!CA_gross_sales_oil*KLL_II_2020!CA_FP_oil_nom+KLL_II_2020!CA_gross_sales_lpg*KLL_II_2020!CA_FP_lpg_nom</f>
        <v>0</v>
      </c>
      <c r="AF159" s="49">
        <f ca="1">KLL_II_2020!CA_gross_sales_oil*KLL_II_2020!CA_FP_oil_nom+KLL_II_2020!CA_gross_sales_lpg*KLL_II_2020!CA_FP_lpg_nom</f>
        <v>0</v>
      </c>
      <c r="AG159" s="49">
        <f ca="1">KLL_II_2020!CA_gross_sales_oil*KLL_II_2020!CA_FP_oil_nom+KLL_II_2020!CA_gross_sales_lpg*KLL_II_2020!CA_FP_lpg_nom</f>
        <v>0</v>
      </c>
      <c r="AH159" s="49">
        <f ca="1">KLL_II_2020!CA_gross_sales_oil*KLL_II_2020!CA_FP_oil_nom+KLL_II_2020!CA_gross_sales_lpg*KLL_II_2020!CA_FP_lpg_nom</f>
        <v>0</v>
      </c>
      <c r="AI159" s="49">
        <f ca="1">KLL_II_2020!CA_gross_sales_oil*KLL_II_2020!CA_FP_oil_nom+KLL_II_2020!CA_gross_sales_lpg*KLL_II_2020!CA_FP_lpg_nom</f>
        <v>0</v>
      </c>
      <c r="AJ159" s="49">
        <f ca="1">KLL_II_2020!CA_gross_sales_oil*KLL_II_2020!CA_FP_oil_nom+KLL_II_2020!CA_gross_sales_lpg*KLL_II_2020!CA_FP_lpg_nom</f>
        <v>0</v>
      </c>
      <c r="AK159" s="49">
        <f ca="1">KLL_II_2020!CA_gross_sales_oil*KLL_II_2020!CA_FP_oil_nom+KLL_II_2020!CA_gross_sales_lpg*KLL_II_2020!CA_FP_lpg_nom</f>
        <v>0</v>
      </c>
      <c r="AL159" s="49">
        <f ca="1">KLL_II_2020!CA_gross_sales_oil*KLL_II_2020!CA_FP_oil_nom+KLL_II_2020!CA_gross_sales_lpg*KLL_II_2020!CA_FP_lpg_nom</f>
        <v>0</v>
      </c>
      <c r="AM159" s="49">
        <f ca="1">KLL_II_2020!CA_gross_sales_oil*KLL_II_2020!CA_FP_oil_nom+KLL_II_2020!CA_gross_sales_lpg*KLL_II_2020!CA_FP_lpg_nom</f>
        <v>0</v>
      </c>
      <c r="AN159" s="49">
        <f ca="1">KLL_II_2020!CA_gross_sales_oil*KLL_II_2020!CA_FP_oil_nom+KLL_II_2020!CA_gross_sales_lpg*KLL_II_2020!CA_FP_lpg_nom</f>
        <v>0</v>
      </c>
      <c r="AO159" s="49">
        <f ca="1">KLL_II_2020!CA_gross_sales_oil*KLL_II_2020!CA_FP_oil_nom+KLL_II_2020!CA_gross_sales_lpg*KLL_II_2020!CA_FP_lpg_nom</f>
        <v>0</v>
      </c>
      <c r="AP159" s="49">
        <f ca="1">KLL_II_2020!CA_gross_sales_oil*KLL_II_2020!CA_FP_oil_nom+KLL_II_2020!CA_gross_sales_lpg*KLL_II_2020!CA_FP_lpg_nom</f>
        <v>0</v>
      </c>
      <c r="AQ159" s="49">
        <f ca="1">KLL_II_2020!CA_gross_sales_oil*KLL_II_2020!CA_FP_oil_nom+KLL_II_2020!CA_gross_sales_lpg*KLL_II_2020!CA_FP_lpg_nom</f>
        <v>0</v>
      </c>
      <c r="AR159" s="49">
        <f ca="1">KLL_II_2020!CA_gross_sales_oil*KLL_II_2020!CA_FP_oil_nom+KLL_II_2020!CA_gross_sales_lpg*KLL_II_2020!CA_FP_lpg_nom</f>
        <v>0</v>
      </c>
      <c r="AS159" s="49">
        <f ca="1">KLL_II_2020!CA_gross_sales_oil*KLL_II_2020!CA_FP_oil_nom+KLL_II_2020!CA_gross_sales_lpg*KLL_II_2020!CA_FP_lpg_nom</f>
        <v>0</v>
      </c>
      <c r="AT159" s="49">
        <f ca="1">KLL_II_2020!CA_gross_sales_oil*KLL_II_2020!CA_FP_oil_nom+KLL_II_2020!CA_gross_sales_lpg*KLL_II_2020!CA_FP_lpg_nom</f>
        <v>0</v>
      </c>
      <c r="AU159" s="49">
        <f ca="1">KLL_II_2020!CA_gross_sales_oil*KLL_II_2020!CA_FP_oil_nom+KLL_II_2020!CA_gross_sales_lpg*KLL_II_2020!CA_FP_lpg_nom</f>
        <v>0</v>
      </c>
      <c r="AV159" s="49">
        <f ca="1">KLL_II_2020!CA_gross_sales_oil*KLL_II_2020!CA_FP_oil_nom+KLL_II_2020!CA_gross_sales_lpg*KLL_II_2020!CA_FP_lpg_nom</f>
        <v>0</v>
      </c>
      <c r="AW159" s="49">
        <f ca="1">KLL_II_2020!CA_gross_sales_oil*KLL_II_2020!CA_FP_oil_nom+KLL_II_2020!CA_gross_sales_lpg*KLL_II_2020!CA_FP_lpg_nom</f>
        <v>0</v>
      </c>
      <c r="AX159" s="49">
        <f ca="1">KLL_II_2020!CA_gross_sales_oil*KLL_II_2020!CA_FP_oil_nom+KLL_II_2020!CA_gross_sales_lpg*KLL_II_2020!CA_FP_lpg_nom</f>
        <v>0</v>
      </c>
      <c r="AY159" s="49">
        <f ca="1">KLL_II_2020!CA_gross_sales_oil*KLL_II_2020!CA_FP_oil_nom+KLL_II_2020!CA_gross_sales_lpg*KLL_II_2020!CA_FP_lpg_nom</f>
        <v>0</v>
      </c>
      <c r="AZ159" s="49">
        <f ca="1">KLL_II_2020!CA_gross_sales_oil*KLL_II_2020!CA_FP_oil_nom+KLL_II_2020!CA_gross_sales_lpg*KLL_II_2020!CA_FP_lpg_nom</f>
        <v>0</v>
      </c>
      <c r="BA159" s="49">
        <f ca="1">KLL_II_2020!CA_gross_sales_oil*KLL_II_2020!CA_FP_oil_nom+KLL_II_2020!CA_gross_sales_lpg*KLL_II_2020!CA_FP_lpg_nom</f>
        <v>0</v>
      </c>
      <c r="BB159" s="49">
        <f ca="1">KLL_II_2020!CA_gross_sales_oil*KLL_II_2020!CA_FP_oil_nom+KLL_II_2020!CA_gross_sales_lpg*KLL_II_2020!CA_FP_lpg_nom</f>
        <v>0</v>
      </c>
      <c r="BC159" s="49">
        <f ca="1">KLL_II_2020!CA_gross_sales_oil*KLL_II_2020!CA_FP_oil_nom+KLL_II_2020!CA_gross_sales_lpg*KLL_II_2020!CA_FP_lpg_nom</f>
        <v>0</v>
      </c>
      <c r="BD159" s="49">
        <f ca="1">KLL_II_2020!CA_gross_sales_oil*KLL_II_2020!CA_FP_oil_nom+KLL_II_2020!CA_gross_sales_lpg*KLL_II_2020!CA_FP_lpg_nom</f>
        <v>0</v>
      </c>
      <c r="BE159" s="49">
        <f ca="1">KLL_II_2020!CA_gross_sales_oil*KLL_II_2020!CA_FP_oil_nom+KLL_II_2020!CA_gross_sales_lpg*KLL_II_2020!CA_FP_lpg_nom</f>
        <v>0</v>
      </c>
      <c r="BF159" s="49">
        <f ca="1">KLL_II_2020!CA_gross_sales_oil*KLL_II_2020!CA_FP_oil_nom+KLL_II_2020!CA_gross_sales_lpg*KLL_II_2020!CA_FP_lpg_nom</f>
        <v>0</v>
      </c>
      <c r="BG159" s="49">
        <f ca="1">KLL_II_2020!CA_gross_sales_oil*KLL_II_2020!CA_FP_oil_nom+KLL_II_2020!CA_gross_sales_lpg*KLL_II_2020!CA_FP_lpg_nom</f>
        <v>0</v>
      </c>
      <c r="BH159" s="49">
        <f ca="1">KLL_II_2020!CA_gross_sales_oil*KLL_II_2020!CA_FP_oil_nom+KLL_II_2020!CA_gross_sales_lpg*KLL_II_2020!CA_FP_lpg_nom</f>
        <v>0</v>
      </c>
      <c r="BI159" s="49">
        <f ca="1">KLL_II_2020!CA_gross_sales_oil*KLL_II_2020!CA_FP_oil_nom+KLL_II_2020!CA_gross_sales_lpg*KLL_II_2020!CA_FP_lpg_nom</f>
        <v>0</v>
      </c>
      <c r="BJ159" s="49">
        <f ca="1">KLL_II_2020!CA_gross_sales_oil*KLL_II_2020!CA_FP_oil_nom+KLL_II_2020!CA_gross_sales_lpg*KLL_II_2020!CA_FP_lpg_nom</f>
        <v>0</v>
      </c>
      <c r="BK159" s="49">
        <f ca="1">KLL_II_2020!CA_gross_sales_oil*KLL_II_2020!CA_FP_oil_nom+KLL_II_2020!CA_gross_sales_lpg*KLL_II_2020!CA_FP_lpg_nom</f>
        <v>0</v>
      </c>
      <c r="BL159" s="49">
        <f ca="1">KLL_II_2020!CA_gross_sales_oil*KLL_II_2020!CA_FP_oil_nom+KLL_II_2020!CA_gross_sales_lpg*KLL_II_2020!CA_FP_lpg_nom</f>
        <v>0</v>
      </c>
      <c r="BM159" s="49">
        <f ca="1">KLL_II_2020!CA_gross_sales_oil*KLL_II_2020!CA_FP_oil_nom+KLL_II_2020!CA_gross_sales_lpg*KLL_II_2020!CA_FP_lpg_nom</f>
        <v>0</v>
      </c>
      <c r="BN159" s="49">
        <f ca="1">KLL_II_2020!CA_gross_sales_oil*KLL_II_2020!CA_FP_oil_nom+KLL_II_2020!CA_gross_sales_lpg*KLL_II_2020!CA_FP_lpg_nom</f>
        <v>0</v>
      </c>
      <c r="BO159" s="49">
        <f ca="1">KLL_II_2020!CA_gross_sales_oil*KLL_II_2020!CA_FP_oil_nom+KLL_II_2020!CA_gross_sales_lpg*KLL_II_2020!CA_FP_lpg_nom</f>
        <v>0</v>
      </c>
      <c r="BP159" s="49">
        <f ca="1">KLL_II_2020!CA_gross_sales_oil*KLL_II_2020!CA_FP_oil_nom+KLL_II_2020!CA_gross_sales_lpg*KLL_II_2020!CA_FP_lpg_nom</f>
        <v>0</v>
      </c>
      <c r="BQ159" s="49">
        <f ca="1">KLL_II_2020!CA_gross_sales_oil*KLL_II_2020!CA_FP_oil_nom+KLL_II_2020!CA_gross_sales_lpg*KLL_II_2020!CA_FP_lpg_nom</f>
        <v>0</v>
      </c>
      <c r="BR159" s="49">
        <f ca="1">KLL_II_2020!CA_gross_sales_oil*KLL_II_2020!CA_FP_oil_nom+KLL_II_2020!CA_gross_sales_lpg*KLL_II_2020!CA_FP_lpg_nom</f>
        <v>0</v>
      </c>
      <c r="BS159" s="49">
        <f ca="1">KLL_II_2020!CA_gross_sales_oil*KLL_II_2020!CA_FP_oil_nom+KLL_II_2020!CA_gross_sales_lpg*KLL_II_2020!CA_FP_lpg_nom</f>
        <v>0</v>
      </c>
    </row>
    <row r="160" spans="1:71" outlineLevel="1" x14ac:dyDescent="0.2">
      <c r="D160" t="str">
        <f>HM_ZB_Nsoko!D173</f>
        <v>Revenus gaziers (@ PF)</v>
      </c>
      <c r="I160" s="30">
        <f ca="1">SUM($L160:$BS160)</f>
        <v>0</v>
      </c>
      <c r="J160" s="26" t="s">
        <v>148</v>
      </c>
      <c r="K160" s="7" t="s">
        <v>152</v>
      </c>
      <c r="L160" s="49" cm="1">
        <f t="array" aca="1" ref="L160:BS160" ca="1">KLL_II_2020!CA_gross_prod_gas*KLL_II_2020!CA_FP_gas_nom</f>
        <v>0</v>
      </c>
      <c r="M160" s="49">
        <f ca="1"/>
        <v>0</v>
      </c>
      <c r="N160" s="49">
        <f ca="1"/>
        <v>0</v>
      </c>
      <c r="O160" s="49">
        <f ca="1"/>
        <v>0</v>
      </c>
      <c r="P160" s="49">
        <f ca="1"/>
        <v>0</v>
      </c>
      <c r="Q160" s="49">
        <f ca="1"/>
        <v>0</v>
      </c>
      <c r="R160" s="49">
        <f ca="1"/>
        <v>0</v>
      </c>
      <c r="S160" s="49">
        <f ca="1"/>
        <v>0</v>
      </c>
      <c r="T160" s="49">
        <f ca="1"/>
        <v>0</v>
      </c>
      <c r="U160" s="49">
        <f ca="1"/>
        <v>0</v>
      </c>
      <c r="V160" s="49">
        <f ca="1"/>
        <v>0</v>
      </c>
      <c r="W160" s="49">
        <f ca="1"/>
        <v>0</v>
      </c>
      <c r="X160" s="49">
        <f ca="1"/>
        <v>0</v>
      </c>
      <c r="Y160" s="49">
        <f ca="1"/>
        <v>0</v>
      </c>
      <c r="Z160" s="49">
        <f ca="1"/>
        <v>0</v>
      </c>
      <c r="AA160" s="49">
        <f ca="1"/>
        <v>0</v>
      </c>
      <c r="AB160" s="49">
        <f ca="1"/>
        <v>0</v>
      </c>
      <c r="AC160" s="49">
        <f ca="1"/>
        <v>0</v>
      </c>
      <c r="AD160" s="49">
        <f ca="1"/>
        <v>0</v>
      </c>
      <c r="AE160" s="49">
        <f ca="1"/>
        <v>0</v>
      </c>
      <c r="AF160" s="49">
        <f ca="1"/>
        <v>0</v>
      </c>
      <c r="AG160" s="49">
        <f ca="1"/>
        <v>0</v>
      </c>
      <c r="AH160" s="49">
        <f ca="1"/>
        <v>0</v>
      </c>
      <c r="AI160" s="49">
        <f ca="1"/>
        <v>0</v>
      </c>
      <c r="AJ160" s="49">
        <f ca="1"/>
        <v>0</v>
      </c>
      <c r="AK160" s="49">
        <f ca="1"/>
        <v>0</v>
      </c>
      <c r="AL160" s="49">
        <f ca="1"/>
        <v>0</v>
      </c>
      <c r="AM160" s="49">
        <f ca="1"/>
        <v>0</v>
      </c>
      <c r="AN160" s="49">
        <f ca="1"/>
        <v>0</v>
      </c>
      <c r="AO160" s="49">
        <f ca="1"/>
        <v>0</v>
      </c>
      <c r="AP160" s="49">
        <f ca="1"/>
        <v>0</v>
      </c>
      <c r="AQ160" s="49">
        <f ca="1"/>
        <v>0</v>
      </c>
      <c r="AR160" s="49">
        <f ca="1"/>
        <v>0</v>
      </c>
      <c r="AS160" s="49">
        <f ca="1"/>
        <v>0</v>
      </c>
      <c r="AT160" s="49">
        <f ca="1"/>
        <v>0</v>
      </c>
      <c r="AU160" s="49">
        <f ca="1"/>
        <v>0</v>
      </c>
      <c r="AV160" s="49">
        <f ca="1"/>
        <v>0</v>
      </c>
      <c r="AW160" s="49">
        <f ca="1"/>
        <v>0</v>
      </c>
      <c r="AX160" s="49">
        <f ca="1"/>
        <v>0</v>
      </c>
      <c r="AY160" s="49">
        <f ca="1"/>
        <v>0</v>
      </c>
      <c r="AZ160" s="49">
        <f ca="1"/>
        <v>0</v>
      </c>
      <c r="BA160" s="49">
        <f ca="1"/>
        <v>0</v>
      </c>
      <c r="BB160" s="49">
        <f ca="1"/>
        <v>0</v>
      </c>
      <c r="BC160" s="49">
        <f ca="1"/>
        <v>0</v>
      </c>
      <c r="BD160" s="49">
        <f ca="1"/>
        <v>0</v>
      </c>
      <c r="BE160" s="49">
        <f ca="1"/>
        <v>0</v>
      </c>
      <c r="BF160" s="49">
        <f ca="1"/>
        <v>0</v>
      </c>
      <c r="BG160" s="49">
        <f ca="1"/>
        <v>0</v>
      </c>
      <c r="BH160" s="49">
        <f ca="1"/>
        <v>0</v>
      </c>
      <c r="BI160" s="49">
        <f ca="1"/>
        <v>0</v>
      </c>
      <c r="BJ160" s="49">
        <f ca="1"/>
        <v>0</v>
      </c>
      <c r="BK160" s="49">
        <f ca="1"/>
        <v>0</v>
      </c>
      <c r="BL160" s="49">
        <f ca="1"/>
        <v>0</v>
      </c>
      <c r="BM160" s="49">
        <f ca="1"/>
        <v>0</v>
      </c>
      <c r="BN160" s="49">
        <f ca="1"/>
        <v>0</v>
      </c>
      <c r="BO160" s="49">
        <f ca="1"/>
        <v>0</v>
      </c>
      <c r="BP160" s="49">
        <f ca="1"/>
        <v>0</v>
      </c>
      <c r="BQ160" s="49">
        <f ca="1"/>
        <v>0</v>
      </c>
      <c r="BR160" s="49">
        <f ca="1"/>
        <v>0</v>
      </c>
      <c r="BS160" s="49">
        <f ca="1"/>
        <v>0</v>
      </c>
    </row>
    <row r="161" spans="3:71" outlineLevel="1" x14ac:dyDescent="0.2">
      <c r="D161" s="11" t="str">
        <f>HM_ZB_Nsoko!D174</f>
        <v>Revenu brut total (@ PF)</v>
      </c>
      <c r="I161" s="30">
        <f ca="1">SUM($L161:$BS161)</f>
        <v>4533.0102635544754</v>
      </c>
      <c r="J161" s="26"/>
      <c r="K161" s="7" t="s">
        <v>153</v>
      </c>
      <c r="L161" s="49">
        <f ca="1">SUM(L159:L160)</f>
        <v>498.12908528100007</v>
      </c>
      <c r="M161" s="49">
        <f t="shared" ref="M161:BS161" ca="1" si="30">SUM(M159:M160)</f>
        <v>550.270235953</v>
      </c>
      <c r="N161" s="49">
        <f t="shared" ca="1" si="30"/>
        <v>290.03871171699996</v>
      </c>
      <c r="O161" s="49">
        <f t="shared" ca="1" si="30"/>
        <v>247.73388778399999</v>
      </c>
      <c r="P161" s="49">
        <f t="shared" ca="1" si="30"/>
        <v>297.46089801200009</v>
      </c>
      <c r="Q161" s="49">
        <f t="shared" ca="1" si="30"/>
        <v>409.12926503900007</v>
      </c>
      <c r="R161" s="49">
        <f t="shared" ca="1" si="30"/>
        <v>399.446294153</v>
      </c>
      <c r="S161" s="49">
        <f t="shared" ca="1" si="30"/>
        <v>224.90804700000001</v>
      </c>
      <c r="T161" s="49">
        <f t="shared" ca="1" si="30"/>
        <v>344.13274284479996</v>
      </c>
      <c r="U161" s="49">
        <f t="shared" ca="1" si="30"/>
        <v>343.53054779399997</v>
      </c>
      <c r="V161" s="49">
        <f t="shared" ca="1" si="30"/>
        <v>325.87307763738835</v>
      </c>
      <c r="W161" s="49">
        <f t="shared" ca="1" si="30"/>
        <v>309.12320144682656</v>
      </c>
      <c r="X161" s="49">
        <f t="shared" ca="1" si="30"/>
        <v>293.23426889245968</v>
      </c>
      <c r="Y161" s="49">
        <f t="shared" ca="1" si="30"/>
        <v>0</v>
      </c>
      <c r="Z161" s="49">
        <f t="shared" ca="1" si="30"/>
        <v>0</v>
      </c>
      <c r="AA161" s="49">
        <f t="shared" ca="1" si="30"/>
        <v>0</v>
      </c>
      <c r="AB161" s="49">
        <f t="shared" ca="1" si="30"/>
        <v>0</v>
      </c>
      <c r="AC161" s="49">
        <f t="shared" ca="1" si="30"/>
        <v>0</v>
      </c>
      <c r="AD161" s="49">
        <f t="shared" ca="1" si="30"/>
        <v>0</v>
      </c>
      <c r="AE161" s="49">
        <f t="shared" ca="1" si="30"/>
        <v>0</v>
      </c>
      <c r="AF161" s="49">
        <f t="shared" ca="1" si="30"/>
        <v>0</v>
      </c>
      <c r="AG161" s="49">
        <f t="shared" ca="1" si="30"/>
        <v>0</v>
      </c>
      <c r="AH161" s="49">
        <f t="shared" ca="1" si="30"/>
        <v>0</v>
      </c>
      <c r="AI161" s="49">
        <f t="shared" ca="1" si="30"/>
        <v>0</v>
      </c>
      <c r="AJ161" s="49">
        <f t="shared" ca="1" si="30"/>
        <v>0</v>
      </c>
      <c r="AK161" s="49">
        <f t="shared" ca="1" si="30"/>
        <v>0</v>
      </c>
      <c r="AL161" s="49">
        <f t="shared" ca="1" si="30"/>
        <v>0</v>
      </c>
      <c r="AM161" s="49">
        <f t="shared" ca="1" si="30"/>
        <v>0</v>
      </c>
      <c r="AN161" s="49">
        <f t="shared" ca="1" si="30"/>
        <v>0</v>
      </c>
      <c r="AO161" s="49">
        <f t="shared" ca="1" si="30"/>
        <v>0</v>
      </c>
      <c r="AP161" s="49">
        <f t="shared" ca="1" si="30"/>
        <v>0</v>
      </c>
      <c r="AQ161" s="49">
        <f t="shared" ca="1" si="30"/>
        <v>0</v>
      </c>
      <c r="AR161" s="49">
        <f t="shared" ca="1" si="30"/>
        <v>0</v>
      </c>
      <c r="AS161" s="49">
        <f t="shared" ca="1" si="30"/>
        <v>0</v>
      </c>
      <c r="AT161" s="49">
        <f t="shared" ca="1" si="30"/>
        <v>0</v>
      </c>
      <c r="AU161" s="49">
        <f t="shared" ca="1" si="30"/>
        <v>0</v>
      </c>
      <c r="AV161" s="49">
        <f t="shared" ca="1" si="30"/>
        <v>0</v>
      </c>
      <c r="AW161" s="49">
        <f t="shared" ca="1" si="30"/>
        <v>0</v>
      </c>
      <c r="AX161" s="49">
        <f t="shared" ca="1" si="30"/>
        <v>0</v>
      </c>
      <c r="AY161" s="49">
        <f t="shared" ca="1" si="30"/>
        <v>0</v>
      </c>
      <c r="AZ161" s="49">
        <f t="shared" ca="1" si="30"/>
        <v>0</v>
      </c>
      <c r="BA161" s="49">
        <f t="shared" ca="1" si="30"/>
        <v>0</v>
      </c>
      <c r="BB161" s="49">
        <f t="shared" ca="1" si="30"/>
        <v>0</v>
      </c>
      <c r="BC161" s="49">
        <f t="shared" ca="1" si="30"/>
        <v>0</v>
      </c>
      <c r="BD161" s="49">
        <f t="shared" ca="1" si="30"/>
        <v>0</v>
      </c>
      <c r="BE161" s="49">
        <f t="shared" ca="1" si="30"/>
        <v>0</v>
      </c>
      <c r="BF161" s="49">
        <f t="shared" ca="1" si="30"/>
        <v>0</v>
      </c>
      <c r="BG161" s="49">
        <f t="shared" ca="1" si="30"/>
        <v>0</v>
      </c>
      <c r="BH161" s="49">
        <f t="shared" ca="1" si="30"/>
        <v>0</v>
      </c>
      <c r="BI161" s="49">
        <f t="shared" ca="1" si="30"/>
        <v>0</v>
      </c>
      <c r="BJ161" s="49">
        <f t="shared" ca="1" si="30"/>
        <v>0</v>
      </c>
      <c r="BK161" s="49">
        <f t="shared" ca="1" si="30"/>
        <v>0</v>
      </c>
      <c r="BL161" s="49">
        <f t="shared" ca="1" si="30"/>
        <v>0</v>
      </c>
      <c r="BM161" s="49">
        <f t="shared" ca="1" si="30"/>
        <v>0</v>
      </c>
      <c r="BN161" s="49">
        <f t="shared" ca="1" si="30"/>
        <v>0</v>
      </c>
      <c r="BO161" s="49">
        <f t="shared" ca="1" si="30"/>
        <v>0</v>
      </c>
      <c r="BP161" s="49">
        <f t="shared" ca="1" si="30"/>
        <v>0</v>
      </c>
      <c r="BQ161" s="49">
        <f t="shared" ca="1" si="30"/>
        <v>0</v>
      </c>
      <c r="BR161" s="49">
        <f t="shared" ca="1" si="30"/>
        <v>0</v>
      </c>
      <c r="BS161" s="49">
        <f t="shared" ca="1" si="30"/>
        <v>0</v>
      </c>
    </row>
    <row r="162" spans="3:71" outlineLevel="1" x14ac:dyDescent="0.2">
      <c r="J162" s="26"/>
      <c r="L162" s="55"/>
      <c r="M162" s="55"/>
      <c r="N162" s="55"/>
      <c r="O162" s="55"/>
      <c r="P162" s="55"/>
      <c r="Q162" s="55"/>
      <c r="R162" s="55"/>
      <c r="S162" s="55"/>
      <c r="T162" s="55"/>
      <c r="U162" s="55"/>
      <c r="V162" s="55"/>
      <c r="W162" s="55"/>
      <c r="X162" s="55"/>
      <c r="Y162" s="55"/>
      <c r="Z162" s="55"/>
      <c r="AA162" s="55"/>
      <c r="AB162" s="55"/>
      <c r="AC162" s="55"/>
      <c r="AD162" s="55"/>
      <c r="AE162" s="55"/>
      <c r="AF162" s="55"/>
      <c r="AG162" s="55"/>
      <c r="AH162" s="55"/>
      <c r="AI162" s="55"/>
      <c r="AJ162" s="55"/>
      <c r="AK162" s="55"/>
      <c r="AL162" s="55"/>
      <c r="AM162" s="55"/>
      <c r="AN162" s="55"/>
      <c r="AO162" s="55"/>
      <c r="AP162" s="55"/>
      <c r="AQ162" s="55"/>
      <c r="AR162" s="55"/>
      <c r="AS162" s="55"/>
      <c r="AT162" s="55"/>
      <c r="AU162" s="55"/>
      <c r="AV162" s="55"/>
      <c r="AW162" s="55"/>
      <c r="AX162" s="55"/>
      <c r="AY162" s="55"/>
      <c r="AZ162" s="55"/>
      <c r="BA162" s="55"/>
      <c r="BB162" s="55"/>
      <c r="BC162" s="55"/>
      <c r="BD162" s="55"/>
      <c r="BE162" s="55"/>
      <c r="BF162" s="55"/>
      <c r="BG162" s="55"/>
      <c r="BH162" s="55"/>
      <c r="BI162" s="55"/>
      <c r="BJ162" s="55"/>
      <c r="BK162" s="55"/>
      <c r="BL162" s="55"/>
      <c r="BM162" s="55"/>
      <c r="BN162" s="55"/>
      <c r="BO162" s="55"/>
      <c r="BP162" s="55"/>
      <c r="BQ162" s="55"/>
      <c r="BR162" s="55"/>
      <c r="BS162" s="55"/>
    </row>
    <row r="163" spans="3:71" outlineLevel="1" x14ac:dyDescent="0.2">
      <c r="J163" s="26"/>
      <c r="L163" s="55"/>
      <c r="M163" s="55"/>
      <c r="N163" s="55"/>
      <c r="O163" s="55"/>
      <c r="P163" s="55"/>
      <c r="Q163" s="55"/>
      <c r="R163" s="55"/>
      <c r="S163" s="55"/>
      <c r="T163" s="55"/>
      <c r="U163" s="55"/>
      <c r="V163" s="55"/>
      <c r="W163" s="55"/>
      <c r="X163" s="55"/>
      <c r="Y163" s="55"/>
      <c r="Z163" s="55"/>
      <c r="AA163" s="55"/>
      <c r="AB163" s="55"/>
      <c r="AC163" s="55"/>
      <c r="AD163" s="55"/>
      <c r="AE163" s="55"/>
      <c r="AF163" s="55"/>
      <c r="AG163" s="55"/>
      <c r="AH163" s="55"/>
      <c r="AI163" s="55"/>
      <c r="AJ163" s="55"/>
      <c r="AK163" s="55"/>
      <c r="AL163" s="55"/>
      <c r="AM163" s="55"/>
      <c r="AN163" s="55"/>
      <c r="AO163" s="55"/>
      <c r="AP163" s="55"/>
      <c r="AQ163" s="55"/>
      <c r="AR163" s="55"/>
      <c r="AS163" s="55"/>
      <c r="AT163" s="55"/>
      <c r="AU163" s="55"/>
      <c r="AV163" s="55"/>
      <c r="AW163" s="55"/>
      <c r="AX163" s="55"/>
      <c r="AY163" s="55"/>
      <c r="AZ163" s="55"/>
      <c r="BA163" s="55"/>
      <c r="BB163" s="55"/>
      <c r="BC163" s="55"/>
      <c r="BD163" s="55"/>
      <c r="BE163" s="55"/>
      <c r="BF163" s="55"/>
      <c r="BG163" s="55"/>
      <c r="BH163" s="55"/>
      <c r="BI163" s="55"/>
      <c r="BJ163" s="55"/>
      <c r="BK163" s="55"/>
      <c r="BL163" s="55"/>
      <c r="BM163" s="55"/>
      <c r="BN163" s="55"/>
      <c r="BO163" s="55"/>
      <c r="BP163" s="55"/>
      <c r="BQ163" s="55"/>
      <c r="BR163" s="55"/>
      <c r="BS163" s="55"/>
    </row>
    <row r="164" spans="3:71" outlineLevel="1" x14ac:dyDescent="0.2">
      <c r="D164" t="str">
        <f>HM_ZB_Nsoko!D177</f>
        <v>Revenus pétroliers (@ PH1)</v>
      </c>
      <c r="I164" s="30">
        <f ca="1">SUM($L164:$BS164)</f>
        <v>2805.9900166963912</v>
      </c>
      <c r="J164" s="26" t="s">
        <v>148</v>
      </c>
      <c r="K164" s="7" t="s">
        <v>459</v>
      </c>
      <c r="L164" s="49">
        <f ca="1">(KLL_II_2020!CA_gross_sales_oil+KLL_II_2020!CA_gross_sales_lpg)*KLL_II_2020!CA_HP1_oil_nom</f>
        <v>173.078245665</v>
      </c>
      <c r="M164" s="49">
        <f ca="1">(KLL_II_2020!CA_gross_sales_oil+KLL_II_2020!CA_gross_sales_lpg)*KLL_II_2020!CA_HP1_oil_nom</f>
        <v>215.73345996600003</v>
      </c>
      <c r="N164" s="49">
        <f ca="1">(KLL_II_2020!CA_gross_sales_oil+KLL_II_2020!CA_gross_sales_lpg)*KLL_II_2020!CA_HP1_oil_nom</f>
        <v>224.91175481925001</v>
      </c>
      <c r="O164" s="49">
        <f ca="1">(KLL_II_2020!CA_gross_sales_oil+KLL_II_2020!CA_gross_sales_lpg)*KLL_II_2020!CA_HP1_oil_nom</f>
        <v>235.51614671024996</v>
      </c>
      <c r="P164" s="49">
        <f ca="1">(KLL_II_2020!CA_gross_sales_oil+KLL_II_2020!CA_gross_sales_lpg)*KLL_II_2020!CA_HP1_oil_nom</f>
        <v>215.69647512</v>
      </c>
      <c r="Q164" s="49">
        <f ca="1">(KLL_II_2020!CA_gross_sales_oil+KLL_II_2020!CA_gross_sales_lpg)*KLL_II_2020!CA_HP1_oil_nom</f>
        <v>237.43905440900005</v>
      </c>
      <c r="R164" s="49">
        <f ca="1">(KLL_II_2020!CA_gross_sales_oil+KLL_II_2020!CA_gross_sales_lpg)*KLL_II_2020!CA_HP1_oil_nom</f>
        <v>250.49653759124999</v>
      </c>
      <c r="S164" s="49">
        <f ca="1">(KLL_II_2020!CA_gross_sales_oil+KLL_II_2020!CA_gross_sales_lpg)*KLL_II_2020!CA_HP1_oil_nom</f>
        <v>237.34004206460921</v>
      </c>
      <c r="T164" s="49">
        <f ca="1">(KLL_II_2020!CA_gross_sales_oil+KLL_II_2020!CA_gross_sales_lpg)*KLL_II_2020!CA_HP1_oil_nom</f>
        <v>225.1407639024882</v>
      </c>
      <c r="U164" s="49">
        <f ca="1">(KLL_II_2020!CA_gross_sales_oil+KLL_II_2020!CA_gross_sales_lpg)*KLL_II_2020!CA_HP1_oil_nom</f>
        <v>213.56852863790036</v>
      </c>
      <c r="V164" s="49">
        <f ca="1">(KLL_II_2020!CA_gross_sales_oil+KLL_II_2020!CA_gross_sales_lpg)*KLL_II_2020!CA_HP1_oil_nom</f>
        <v>202.59110626591226</v>
      </c>
      <c r="W164" s="49">
        <f ca="1">(KLL_II_2020!CA_gross_sales_oil+KLL_II_2020!CA_gross_sales_lpg)*KLL_II_2020!CA_HP1_oil_nom</f>
        <v>192.17792340384437</v>
      </c>
      <c r="X164" s="49">
        <f ca="1">(KLL_II_2020!CA_gross_sales_oil+KLL_II_2020!CA_gross_sales_lpg)*KLL_II_2020!CA_HP1_oil_nom</f>
        <v>182.29997814088671</v>
      </c>
      <c r="Y164" s="49">
        <f ca="1">(KLL_II_2020!CA_gross_sales_oil+KLL_II_2020!CA_gross_sales_lpg)*KLL_II_2020!CA_HP1_oil_nom</f>
        <v>0</v>
      </c>
      <c r="Z164" s="49">
        <f ca="1">(KLL_II_2020!CA_gross_sales_oil+KLL_II_2020!CA_gross_sales_lpg)*KLL_II_2020!CA_HP1_oil_nom</f>
        <v>0</v>
      </c>
      <c r="AA164" s="49">
        <f ca="1">(KLL_II_2020!CA_gross_sales_oil+KLL_II_2020!CA_gross_sales_lpg)*KLL_II_2020!CA_HP1_oil_nom</f>
        <v>0</v>
      </c>
      <c r="AB164" s="49">
        <f ca="1">(KLL_II_2020!CA_gross_sales_oil+KLL_II_2020!CA_gross_sales_lpg)*KLL_II_2020!CA_HP1_oil_nom</f>
        <v>0</v>
      </c>
      <c r="AC164" s="49">
        <f ca="1">(KLL_II_2020!CA_gross_sales_oil+KLL_II_2020!CA_gross_sales_lpg)*KLL_II_2020!CA_HP1_oil_nom</f>
        <v>0</v>
      </c>
      <c r="AD164" s="49">
        <f ca="1">(KLL_II_2020!CA_gross_sales_oil+KLL_II_2020!CA_gross_sales_lpg)*KLL_II_2020!CA_HP1_oil_nom</f>
        <v>0</v>
      </c>
      <c r="AE164" s="49">
        <f ca="1">(KLL_II_2020!CA_gross_sales_oil+KLL_II_2020!CA_gross_sales_lpg)*KLL_II_2020!CA_HP1_oil_nom</f>
        <v>0</v>
      </c>
      <c r="AF164" s="49">
        <f ca="1">(KLL_II_2020!CA_gross_sales_oil+KLL_II_2020!CA_gross_sales_lpg)*KLL_II_2020!CA_HP1_oil_nom</f>
        <v>0</v>
      </c>
      <c r="AG164" s="49">
        <f ca="1">(KLL_II_2020!CA_gross_sales_oil+KLL_II_2020!CA_gross_sales_lpg)*KLL_II_2020!CA_HP1_oil_nom</f>
        <v>0</v>
      </c>
      <c r="AH164" s="49">
        <f ca="1">(KLL_II_2020!CA_gross_sales_oil+KLL_II_2020!CA_gross_sales_lpg)*KLL_II_2020!CA_HP1_oil_nom</f>
        <v>0</v>
      </c>
      <c r="AI164" s="49">
        <f ca="1">(KLL_II_2020!CA_gross_sales_oil+KLL_II_2020!CA_gross_sales_lpg)*KLL_II_2020!CA_HP1_oil_nom</f>
        <v>0</v>
      </c>
      <c r="AJ164" s="49">
        <f ca="1">(KLL_II_2020!CA_gross_sales_oil+KLL_II_2020!CA_gross_sales_lpg)*KLL_II_2020!CA_HP1_oil_nom</f>
        <v>0</v>
      </c>
      <c r="AK164" s="49">
        <f ca="1">(KLL_II_2020!CA_gross_sales_oil+KLL_II_2020!CA_gross_sales_lpg)*KLL_II_2020!CA_HP1_oil_nom</f>
        <v>0</v>
      </c>
      <c r="AL164" s="49">
        <f ca="1">(KLL_II_2020!CA_gross_sales_oil+KLL_II_2020!CA_gross_sales_lpg)*KLL_II_2020!CA_HP1_oil_nom</f>
        <v>0</v>
      </c>
      <c r="AM164" s="49">
        <f ca="1">(KLL_II_2020!CA_gross_sales_oil+KLL_II_2020!CA_gross_sales_lpg)*KLL_II_2020!CA_HP1_oil_nom</f>
        <v>0</v>
      </c>
      <c r="AN164" s="49">
        <f ca="1">(KLL_II_2020!CA_gross_sales_oil+KLL_II_2020!CA_gross_sales_lpg)*KLL_II_2020!CA_HP1_oil_nom</f>
        <v>0</v>
      </c>
      <c r="AO164" s="49">
        <f ca="1">(KLL_II_2020!CA_gross_sales_oil+KLL_II_2020!CA_gross_sales_lpg)*KLL_II_2020!CA_HP1_oil_nom</f>
        <v>0</v>
      </c>
      <c r="AP164" s="49">
        <f ca="1">(KLL_II_2020!CA_gross_sales_oil+KLL_II_2020!CA_gross_sales_lpg)*KLL_II_2020!CA_HP1_oil_nom</f>
        <v>0</v>
      </c>
      <c r="AQ164" s="49">
        <f ca="1">(KLL_II_2020!CA_gross_sales_oil+KLL_II_2020!CA_gross_sales_lpg)*KLL_II_2020!CA_HP1_oil_nom</f>
        <v>0</v>
      </c>
      <c r="AR164" s="49">
        <f ca="1">(KLL_II_2020!CA_gross_sales_oil+KLL_II_2020!CA_gross_sales_lpg)*KLL_II_2020!CA_HP1_oil_nom</f>
        <v>0</v>
      </c>
      <c r="AS164" s="49">
        <f ca="1">(KLL_II_2020!CA_gross_sales_oil+KLL_II_2020!CA_gross_sales_lpg)*KLL_II_2020!CA_HP1_oil_nom</f>
        <v>0</v>
      </c>
      <c r="AT164" s="49">
        <f ca="1">(KLL_II_2020!CA_gross_sales_oil+KLL_II_2020!CA_gross_sales_lpg)*KLL_II_2020!CA_HP1_oil_nom</f>
        <v>0</v>
      </c>
      <c r="AU164" s="49">
        <f ca="1">(KLL_II_2020!CA_gross_sales_oil+KLL_II_2020!CA_gross_sales_lpg)*KLL_II_2020!CA_HP1_oil_nom</f>
        <v>0</v>
      </c>
      <c r="AV164" s="49">
        <f ca="1">(KLL_II_2020!CA_gross_sales_oil+KLL_II_2020!CA_gross_sales_lpg)*KLL_II_2020!CA_HP1_oil_nom</f>
        <v>0</v>
      </c>
      <c r="AW164" s="49">
        <f ca="1">(KLL_II_2020!CA_gross_sales_oil+KLL_II_2020!CA_gross_sales_lpg)*KLL_II_2020!CA_HP1_oil_nom</f>
        <v>0</v>
      </c>
      <c r="AX164" s="49">
        <f ca="1">(KLL_II_2020!CA_gross_sales_oil+KLL_II_2020!CA_gross_sales_lpg)*KLL_II_2020!CA_HP1_oil_nom</f>
        <v>0</v>
      </c>
      <c r="AY164" s="49">
        <f ca="1">(KLL_II_2020!CA_gross_sales_oil+KLL_II_2020!CA_gross_sales_lpg)*KLL_II_2020!CA_HP1_oil_nom</f>
        <v>0</v>
      </c>
      <c r="AZ164" s="49">
        <f ca="1">(KLL_II_2020!CA_gross_sales_oil+KLL_II_2020!CA_gross_sales_lpg)*KLL_II_2020!CA_HP1_oil_nom</f>
        <v>0</v>
      </c>
      <c r="BA164" s="49">
        <f ca="1">(KLL_II_2020!CA_gross_sales_oil+KLL_II_2020!CA_gross_sales_lpg)*KLL_II_2020!CA_HP1_oil_nom</f>
        <v>0</v>
      </c>
      <c r="BB164" s="49">
        <f ca="1">(KLL_II_2020!CA_gross_sales_oil+KLL_II_2020!CA_gross_sales_lpg)*KLL_II_2020!CA_HP1_oil_nom</f>
        <v>0</v>
      </c>
      <c r="BC164" s="49">
        <f ca="1">(KLL_II_2020!CA_gross_sales_oil+KLL_II_2020!CA_gross_sales_lpg)*KLL_II_2020!CA_HP1_oil_nom</f>
        <v>0</v>
      </c>
      <c r="BD164" s="49">
        <f ca="1">(KLL_II_2020!CA_gross_sales_oil+KLL_II_2020!CA_gross_sales_lpg)*KLL_II_2020!CA_HP1_oil_nom</f>
        <v>0</v>
      </c>
      <c r="BE164" s="49">
        <f ca="1">(KLL_II_2020!CA_gross_sales_oil+KLL_II_2020!CA_gross_sales_lpg)*KLL_II_2020!CA_HP1_oil_nom</f>
        <v>0</v>
      </c>
      <c r="BF164" s="49">
        <f ca="1">(KLL_II_2020!CA_gross_sales_oil+KLL_II_2020!CA_gross_sales_lpg)*KLL_II_2020!CA_HP1_oil_nom</f>
        <v>0</v>
      </c>
      <c r="BG164" s="49">
        <f ca="1">(KLL_II_2020!CA_gross_sales_oil+KLL_II_2020!CA_gross_sales_lpg)*KLL_II_2020!CA_HP1_oil_nom</f>
        <v>0</v>
      </c>
      <c r="BH164" s="49">
        <f ca="1">(KLL_II_2020!CA_gross_sales_oil+KLL_II_2020!CA_gross_sales_lpg)*KLL_II_2020!CA_HP1_oil_nom</f>
        <v>0</v>
      </c>
      <c r="BI164" s="49">
        <f ca="1">(KLL_II_2020!CA_gross_sales_oil+KLL_II_2020!CA_gross_sales_lpg)*KLL_II_2020!CA_HP1_oil_nom</f>
        <v>0</v>
      </c>
      <c r="BJ164" s="49">
        <f ca="1">(KLL_II_2020!CA_gross_sales_oil+KLL_II_2020!CA_gross_sales_lpg)*KLL_II_2020!CA_HP1_oil_nom</f>
        <v>0</v>
      </c>
      <c r="BK164" s="49">
        <f ca="1">(KLL_II_2020!CA_gross_sales_oil+KLL_II_2020!CA_gross_sales_lpg)*KLL_II_2020!CA_HP1_oil_nom</f>
        <v>0</v>
      </c>
      <c r="BL164" s="49">
        <f ca="1">(KLL_II_2020!CA_gross_sales_oil+KLL_II_2020!CA_gross_sales_lpg)*KLL_II_2020!CA_HP1_oil_nom</f>
        <v>0</v>
      </c>
      <c r="BM164" s="49">
        <f ca="1">(KLL_II_2020!CA_gross_sales_oil+KLL_II_2020!CA_gross_sales_lpg)*KLL_II_2020!CA_HP1_oil_nom</f>
        <v>0</v>
      </c>
      <c r="BN164" s="49">
        <f ca="1">(KLL_II_2020!CA_gross_sales_oil+KLL_II_2020!CA_gross_sales_lpg)*KLL_II_2020!CA_HP1_oil_nom</f>
        <v>0</v>
      </c>
      <c r="BO164" s="49">
        <f ca="1">(KLL_II_2020!CA_gross_sales_oil+KLL_II_2020!CA_gross_sales_lpg)*KLL_II_2020!CA_HP1_oil_nom</f>
        <v>0</v>
      </c>
      <c r="BP164" s="49">
        <f ca="1">(KLL_II_2020!CA_gross_sales_oil+KLL_II_2020!CA_gross_sales_lpg)*KLL_II_2020!CA_HP1_oil_nom</f>
        <v>0</v>
      </c>
      <c r="BQ164" s="49">
        <f ca="1">(KLL_II_2020!CA_gross_sales_oil+KLL_II_2020!CA_gross_sales_lpg)*KLL_II_2020!CA_HP1_oil_nom</f>
        <v>0</v>
      </c>
      <c r="BR164" s="49">
        <f ca="1">(KLL_II_2020!CA_gross_sales_oil+KLL_II_2020!CA_gross_sales_lpg)*KLL_II_2020!CA_HP1_oil_nom</f>
        <v>0</v>
      </c>
      <c r="BS164" s="49">
        <f ca="1">(KLL_II_2020!CA_gross_sales_oil+KLL_II_2020!CA_gross_sales_lpg)*KLL_II_2020!CA_HP1_oil_nom</f>
        <v>0</v>
      </c>
    </row>
    <row r="165" spans="3:71" outlineLevel="1" x14ac:dyDescent="0.2">
      <c r="J165" s="26"/>
      <c r="L165" s="55"/>
      <c r="M165" s="55"/>
      <c r="N165" s="55"/>
      <c r="O165" s="55"/>
      <c r="P165" s="55"/>
      <c r="Q165" s="55"/>
      <c r="R165" s="55"/>
      <c r="S165" s="55"/>
      <c r="T165" s="55"/>
      <c r="U165" s="55"/>
      <c r="V165" s="55"/>
      <c r="W165" s="55"/>
      <c r="X165" s="55"/>
      <c r="Y165" s="55"/>
      <c r="Z165" s="55"/>
      <c r="AA165" s="55"/>
      <c r="AB165" s="55"/>
      <c r="AC165" s="55"/>
      <c r="AD165" s="55"/>
      <c r="AE165" s="55"/>
      <c r="AF165" s="55"/>
      <c r="AG165" s="55"/>
      <c r="AH165" s="55"/>
      <c r="AI165" s="55"/>
      <c r="AJ165" s="55"/>
      <c r="AK165" s="55"/>
      <c r="AL165" s="55"/>
      <c r="AM165" s="55"/>
      <c r="AN165" s="55"/>
      <c r="AO165" s="55"/>
      <c r="AP165" s="55"/>
      <c r="AQ165" s="55"/>
      <c r="AR165" s="55"/>
      <c r="AS165" s="55"/>
      <c r="AT165" s="55"/>
      <c r="AU165" s="55"/>
      <c r="AV165" s="55"/>
      <c r="AW165" s="55"/>
      <c r="AX165" s="55"/>
      <c r="AY165" s="55"/>
      <c r="AZ165" s="55"/>
      <c r="BA165" s="55"/>
      <c r="BB165" s="55"/>
      <c r="BC165" s="55"/>
      <c r="BD165" s="55"/>
      <c r="BE165" s="55"/>
      <c r="BF165" s="55"/>
      <c r="BG165" s="55"/>
      <c r="BH165" s="55"/>
      <c r="BI165" s="55"/>
      <c r="BJ165" s="55"/>
      <c r="BK165" s="55"/>
      <c r="BL165" s="55"/>
      <c r="BM165" s="55"/>
      <c r="BN165" s="55"/>
      <c r="BO165" s="55"/>
      <c r="BP165" s="55"/>
      <c r="BQ165" s="55"/>
      <c r="BR165" s="55"/>
      <c r="BS165" s="55"/>
    </row>
    <row r="166" spans="3:71" outlineLevel="1" x14ac:dyDescent="0.2">
      <c r="D166" t="str">
        <f>HM_ZB_Nsoko!D179</f>
        <v>Revenus pétroliers (@ PH2)</v>
      </c>
      <c r="I166" s="30">
        <f ca="1">SUM($L166:$BS166)</f>
        <v>1472.0111433472055</v>
      </c>
      <c r="J166" s="26" t="s">
        <v>148</v>
      </c>
      <c r="K166" s="7" t="s">
        <v>460</v>
      </c>
      <c r="L166" s="49">
        <f ca="1">(KLL_II_2020!CA_gross_sales_oil+KLL_II_2020!CA_gross_sales_lpg)*KLL_II_2020!CA_HP2_oil_nom</f>
        <v>0</v>
      </c>
      <c r="M166" s="49">
        <f ca="1">(KLL_II_2020!CA_gross_sales_oil+KLL_II_2020!CA_gross_sales_lpg)*KLL_II_2020!CA_HP2_oil_nom</f>
        <v>0</v>
      </c>
      <c r="N166" s="49">
        <f ca="1">(KLL_II_2020!CA_gross_sales_oil+KLL_II_2020!CA_gross_sales_lpg)*KLL_II_2020!CA_HP2_oil_nom</f>
        <v>0</v>
      </c>
      <c r="O166" s="49">
        <f ca="1">(KLL_II_2020!CA_gross_sales_oil+KLL_II_2020!CA_gross_sales_lpg)*KLL_II_2020!CA_HP2_oil_nom</f>
        <v>0</v>
      </c>
      <c r="P166" s="49">
        <f ca="1">(KLL_II_2020!CA_gross_sales_oil+KLL_II_2020!CA_gross_sales_lpg)*KLL_II_2020!CA_HP2_oil_nom</f>
        <v>0</v>
      </c>
      <c r="Q166" s="49">
        <f ca="1">(KLL_II_2020!CA_gross_sales_oil+KLL_II_2020!CA_gross_sales_lpg)*KLL_II_2020!CA_HP2_oil_nom</f>
        <v>0</v>
      </c>
      <c r="R166" s="49">
        <f ca="1">(KLL_II_2020!CA_gross_sales_oil+KLL_II_2020!CA_gross_sales_lpg)*KLL_II_2020!CA_HP2_oil_nom</f>
        <v>0</v>
      </c>
      <c r="S166" s="49">
        <f ca="1">(KLL_II_2020!CA_gross_sales_oil+KLL_II_2020!CA_gross_sales_lpg)*KLL_II_2020!CA_HP2_oil_nom</f>
        <v>281.593998</v>
      </c>
      <c r="T166" s="49">
        <f ca="1">(KLL_II_2020!CA_gross_sales_oil+KLL_II_2020!CA_gross_sales_lpg)*KLL_II_2020!CA_HP2_oil_nom</f>
        <v>263.84834699999999</v>
      </c>
      <c r="U166" s="49">
        <f ca="1">(KLL_II_2020!CA_gross_sales_oil+KLL_II_2020!CA_gross_sales_lpg)*KLL_II_2020!CA_HP2_oil_nom</f>
        <v>250.28654196419993</v>
      </c>
      <c r="V166" s="49">
        <f ca="1">(KLL_II_2020!CA_gross_sales_oil+KLL_II_2020!CA_gross_sales_lpg)*KLL_II_2020!CA_HP2_oil_nom</f>
        <v>237.42181370724003</v>
      </c>
      <c r="W166" s="49">
        <f ca="1">(KLL_II_2020!CA_gross_sales_oil+KLL_II_2020!CA_gross_sales_lpg)*KLL_II_2020!CA_HP2_oil_nom</f>
        <v>225.21833248268791</v>
      </c>
      <c r="X166" s="49">
        <f ca="1">(KLL_II_2020!CA_gross_sales_oil+KLL_II_2020!CA_gross_sales_lpg)*KLL_II_2020!CA_HP2_oil_nom</f>
        <v>213.64211019307774</v>
      </c>
      <c r="Y166" s="49">
        <f ca="1">(KLL_II_2020!CA_gross_sales_oil+KLL_II_2020!CA_gross_sales_lpg)*KLL_II_2020!CA_HP2_oil_nom</f>
        <v>0</v>
      </c>
      <c r="Z166" s="49">
        <f ca="1">(KLL_II_2020!CA_gross_sales_oil+KLL_II_2020!CA_gross_sales_lpg)*KLL_II_2020!CA_HP2_oil_nom</f>
        <v>0</v>
      </c>
      <c r="AA166" s="49">
        <f ca="1">(KLL_II_2020!CA_gross_sales_oil+KLL_II_2020!CA_gross_sales_lpg)*KLL_II_2020!CA_HP2_oil_nom</f>
        <v>0</v>
      </c>
      <c r="AB166" s="49">
        <f ca="1">(KLL_II_2020!CA_gross_sales_oil+KLL_II_2020!CA_gross_sales_lpg)*KLL_II_2020!CA_HP2_oil_nom</f>
        <v>0</v>
      </c>
      <c r="AC166" s="49">
        <f ca="1">(KLL_II_2020!CA_gross_sales_oil+KLL_II_2020!CA_gross_sales_lpg)*KLL_II_2020!CA_HP2_oil_nom</f>
        <v>0</v>
      </c>
      <c r="AD166" s="49">
        <f ca="1">(KLL_II_2020!CA_gross_sales_oil+KLL_II_2020!CA_gross_sales_lpg)*KLL_II_2020!CA_HP2_oil_nom</f>
        <v>0</v>
      </c>
      <c r="AE166" s="49">
        <f ca="1">(KLL_II_2020!CA_gross_sales_oil+KLL_II_2020!CA_gross_sales_lpg)*KLL_II_2020!CA_HP2_oil_nom</f>
        <v>0</v>
      </c>
      <c r="AF166" s="49">
        <f ca="1">(KLL_II_2020!CA_gross_sales_oil+KLL_II_2020!CA_gross_sales_lpg)*KLL_II_2020!CA_HP2_oil_nom</f>
        <v>0</v>
      </c>
      <c r="AG166" s="49">
        <f ca="1">(KLL_II_2020!CA_gross_sales_oil+KLL_II_2020!CA_gross_sales_lpg)*KLL_II_2020!CA_HP2_oil_nom</f>
        <v>0</v>
      </c>
      <c r="AH166" s="49">
        <f ca="1">(KLL_II_2020!CA_gross_sales_oil+KLL_II_2020!CA_gross_sales_lpg)*KLL_II_2020!CA_HP2_oil_nom</f>
        <v>0</v>
      </c>
      <c r="AI166" s="49">
        <f ca="1">(KLL_II_2020!CA_gross_sales_oil+KLL_II_2020!CA_gross_sales_lpg)*KLL_II_2020!CA_HP2_oil_nom</f>
        <v>0</v>
      </c>
      <c r="AJ166" s="49">
        <f ca="1">(KLL_II_2020!CA_gross_sales_oil+KLL_II_2020!CA_gross_sales_lpg)*KLL_II_2020!CA_HP2_oil_nom</f>
        <v>0</v>
      </c>
      <c r="AK166" s="49">
        <f ca="1">(KLL_II_2020!CA_gross_sales_oil+KLL_II_2020!CA_gross_sales_lpg)*KLL_II_2020!CA_HP2_oil_nom</f>
        <v>0</v>
      </c>
      <c r="AL166" s="49">
        <f ca="1">(KLL_II_2020!CA_gross_sales_oil+KLL_II_2020!CA_gross_sales_lpg)*KLL_II_2020!CA_HP2_oil_nom</f>
        <v>0</v>
      </c>
      <c r="AM166" s="49">
        <f ca="1">(KLL_II_2020!CA_gross_sales_oil+KLL_II_2020!CA_gross_sales_lpg)*KLL_II_2020!CA_HP2_oil_nom</f>
        <v>0</v>
      </c>
      <c r="AN166" s="49">
        <f ca="1">(KLL_II_2020!CA_gross_sales_oil+KLL_II_2020!CA_gross_sales_lpg)*KLL_II_2020!CA_HP2_oil_nom</f>
        <v>0</v>
      </c>
      <c r="AO166" s="49">
        <f ca="1">(KLL_II_2020!CA_gross_sales_oil+KLL_II_2020!CA_gross_sales_lpg)*KLL_II_2020!CA_HP2_oil_nom</f>
        <v>0</v>
      </c>
      <c r="AP166" s="49">
        <f ca="1">(KLL_II_2020!CA_gross_sales_oil+KLL_II_2020!CA_gross_sales_lpg)*KLL_II_2020!CA_HP2_oil_nom</f>
        <v>0</v>
      </c>
      <c r="AQ166" s="49">
        <f ca="1">(KLL_II_2020!CA_gross_sales_oil+KLL_II_2020!CA_gross_sales_lpg)*KLL_II_2020!CA_HP2_oil_nom</f>
        <v>0</v>
      </c>
      <c r="AR166" s="49">
        <f ca="1">(KLL_II_2020!CA_gross_sales_oil+KLL_II_2020!CA_gross_sales_lpg)*KLL_II_2020!CA_HP2_oil_nom</f>
        <v>0</v>
      </c>
      <c r="AS166" s="49">
        <f ca="1">(KLL_II_2020!CA_gross_sales_oil+KLL_II_2020!CA_gross_sales_lpg)*KLL_II_2020!CA_HP2_oil_nom</f>
        <v>0</v>
      </c>
      <c r="AT166" s="49">
        <f ca="1">(KLL_II_2020!CA_gross_sales_oil+KLL_II_2020!CA_gross_sales_lpg)*KLL_II_2020!CA_HP2_oil_nom</f>
        <v>0</v>
      </c>
      <c r="AU166" s="49">
        <f ca="1">(KLL_II_2020!CA_gross_sales_oil+KLL_II_2020!CA_gross_sales_lpg)*KLL_II_2020!CA_HP2_oil_nom</f>
        <v>0</v>
      </c>
      <c r="AV166" s="49">
        <f ca="1">(KLL_II_2020!CA_gross_sales_oil+KLL_II_2020!CA_gross_sales_lpg)*KLL_II_2020!CA_HP2_oil_nom</f>
        <v>0</v>
      </c>
      <c r="AW166" s="49">
        <f ca="1">(KLL_II_2020!CA_gross_sales_oil+KLL_II_2020!CA_gross_sales_lpg)*KLL_II_2020!CA_HP2_oil_nom</f>
        <v>0</v>
      </c>
      <c r="AX166" s="49">
        <f ca="1">(KLL_II_2020!CA_gross_sales_oil+KLL_II_2020!CA_gross_sales_lpg)*KLL_II_2020!CA_HP2_oil_nom</f>
        <v>0</v>
      </c>
      <c r="AY166" s="49">
        <f ca="1">(KLL_II_2020!CA_gross_sales_oil+KLL_II_2020!CA_gross_sales_lpg)*KLL_II_2020!CA_HP2_oil_nom</f>
        <v>0</v>
      </c>
      <c r="AZ166" s="49">
        <f ca="1">(KLL_II_2020!CA_gross_sales_oil+KLL_II_2020!CA_gross_sales_lpg)*KLL_II_2020!CA_HP2_oil_nom</f>
        <v>0</v>
      </c>
      <c r="BA166" s="49">
        <f ca="1">(KLL_II_2020!CA_gross_sales_oil+KLL_II_2020!CA_gross_sales_lpg)*KLL_II_2020!CA_HP2_oil_nom</f>
        <v>0</v>
      </c>
      <c r="BB166" s="49">
        <f ca="1">(KLL_II_2020!CA_gross_sales_oil+KLL_II_2020!CA_gross_sales_lpg)*KLL_II_2020!CA_HP2_oil_nom</f>
        <v>0</v>
      </c>
      <c r="BC166" s="49">
        <f ca="1">(KLL_II_2020!CA_gross_sales_oil+KLL_II_2020!CA_gross_sales_lpg)*KLL_II_2020!CA_HP2_oil_nom</f>
        <v>0</v>
      </c>
      <c r="BD166" s="49">
        <f ca="1">(KLL_II_2020!CA_gross_sales_oil+KLL_II_2020!CA_gross_sales_lpg)*KLL_II_2020!CA_HP2_oil_nom</f>
        <v>0</v>
      </c>
      <c r="BE166" s="49">
        <f ca="1">(KLL_II_2020!CA_gross_sales_oil+KLL_II_2020!CA_gross_sales_lpg)*KLL_II_2020!CA_HP2_oil_nom</f>
        <v>0</v>
      </c>
      <c r="BF166" s="49">
        <f ca="1">(KLL_II_2020!CA_gross_sales_oil+KLL_II_2020!CA_gross_sales_lpg)*KLL_II_2020!CA_HP2_oil_nom</f>
        <v>0</v>
      </c>
      <c r="BG166" s="49">
        <f ca="1">(KLL_II_2020!CA_gross_sales_oil+KLL_II_2020!CA_gross_sales_lpg)*KLL_II_2020!CA_HP2_oil_nom</f>
        <v>0</v>
      </c>
      <c r="BH166" s="49">
        <f ca="1">(KLL_II_2020!CA_gross_sales_oil+KLL_II_2020!CA_gross_sales_lpg)*KLL_II_2020!CA_HP2_oil_nom</f>
        <v>0</v>
      </c>
      <c r="BI166" s="49">
        <f ca="1">(KLL_II_2020!CA_gross_sales_oil+KLL_II_2020!CA_gross_sales_lpg)*KLL_II_2020!CA_HP2_oil_nom</f>
        <v>0</v>
      </c>
      <c r="BJ166" s="49">
        <f ca="1">(KLL_II_2020!CA_gross_sales_oil+KLL_II_2020!CA_gross_sales_lpg)*KLL_II_2020!CA_HP2_oil_nom</f>
        <v>0</v>
      </c>
      <c r="BK166" s="49">
        <f ca="1">(KLL_II_2020!CA_gross_sales_oil+KLL_II_2020!CA_gross_sales_lpg)*KLL_II_2020!CA_HP2_oil_nom</f>
        <v>0</v>
      </c>
      <c r="BL166" s="49">
        <f ca="1">(KLL_II_2020!CA_gross_sales_oil+KLL_II_2020!CA_gross_sales_lpg)*KLL_II_2020!CA_HP2_oil_nom</f>
        <v>0</v>
      </c>
      <c r="BM166" s="49">
        <f ca="1">(KLL_II_2020!CA_gross_sales_oil+KLL_II_2020!CA_gross_sales_lpg)*KLL_II_2020!CA_HP2_oil_nom</f>
        <v>0</v>
      </c>
      <c r="BN166" s="49">
        <f ca="1">(KLL_II_2020!CA_gross_sales_oil+KLL_II_2020!CA_gross_sales_lpg)*KLL_II_2020!CA_HP2_oil_nom</f>
        <v>0</v>
      </c>
      <c r="BO166" s="49">
        <f ca="1">(KLL_II_2020!CA_gross_sales_oil+KLL_II_2020!CA_gross_sales_lpg)*KLL_II_2020!CA_HP2_oil_nom</f>
        <v>0</v>
      </c>
      <c r="BP166" s="49">
        <f ca="1">(KLL_II_2020!CA_gross_sales_oil+KLL_II_2020!CA_gross_sales_lpg)*KLL_II_2020!CA_HP2_oil_nom</f>
        <v>0</v>
      </c>
      <c r="BQ166" s="49">
        <f ca="1">(KLL_II_2020!CA_gross_sales_oil+KLL_II_2020!CA_gross_sales_lpg)*KLL_II_2020!CA_HP2_oil_nom</f>
        <v>0</v>
      </c>
      <c r="BR166" s="49">
        <f ca="1">(KLL_II_2020!CA_gross_sales_oil+KLL_II_2020!CA_gross_sales_lpg)*KLL_II_2020!CA_HP2_oil_nom</f>
        <v>0</v>
      </c>
      <c r="BS166" s="49">
        <f ca="1">(KLL_II_2020!CA_gross_sales_oil+KLL_II_2020!CA_gross_sales_lpg)*KLL_II_2020!CA_HP2_oil_nom</f>
        <v>0</v>
      </c>
    </row>
    <row r="167" spans="3:71" outlineLevel="1" x14ac:dyDescent="0.2">
      <c r="J167" s="26"/>
      <c r="L167" s="55"/>
      <c r="M167" s="55"/>
      <c r="N167" s="55"/>
      <c r="O167" s="55"/>
      <c r="P167" s="55"/>
      <c r="Q167" s="55"/>
      <c r="R167" s="55"/>
      <c r="S167" s="55"/>
      <c r="T167" s="55"/>
      <c r="U167" s="55"/>
      <c r="V167" s="55"/>
      <c r="W167" s="55"/>
      <c r="X167" s="55"/>
      <c r="Y167" s="55"/>
      <c r="Z167" s="55"/>
      <c r="AA167" s="55"/>
      <c r="AB167" s="55"/>
      <c r="AC167" s="55"/>
      <c r="AD167" s="55"/>
      <c r="AE167" s="55"/>
      <c r="AF167" s="55"/>
      <c r="AG167" s="55"/>
      <c r="AH167" s="55"/>
      <c r="AI167" s="55"/>
      <c r="AJ167" s="55"/>
      <c r="AK167" s="55"/>
      <c r="AL167" s="55"/>
      <c r="AM167" s="55"/>
      <c r="AN167" s="55"/>
      <c r="AO167" s="55"/>
      <c r="AP167" s="55"/>
      <c r="AQ167" s="55"/>
      <c r="AR167" s="55"/>
      <c r="AS167" s="55"/>
      <c r="AT167" s="55"/>
      <c r="AU167" s="55"/>
      <c r="AV167" s="55"/>
      <c r="AW167" s="55"/>
      <c r="AX167" s="55"/>
      <c r="AY167" s="55"/>
      <c r="AZ167" s="55"/>
      <c r="BA167" s="55"/>
      <c r="BB167" s="55"/>
      <c r="BC167" s="55"/>
      <c r="BD167" s="55"/>
      <c r="BE167" s="55"/>
      <c r="BF167" s="55"/>
      <c r="BG167" s="55"/>
      <c r="BH167" s="55"/>
      <c r="BI167" s="55"/>
      <c r="BJ167" s="55"/>
      <c r="BK167" s="55"/>
      <c r="BL167" s="55"/>
      <c r="BM167" s="55"/>
      <c r="BN167" s="55"/>
      <c r="BO167" s="55"/>
      <c r="BP167" s="55"/>
      <c r="BQ167" s="55"/>
      <c r="BR167" s="55"/>
      <c r="BS167" s="55"/>
    </row>
    <row r="168" spans="3:71" outlineLevel="1" x14ac:dyDescent="0.2">
      <c r="D168" t="str">
        <f>HM_ZB_Nsoko!D181</f>
        <v>Différence de revenus pétroliers (PF-PH1)</v>
      </c>
      <c r="I168" s="30">
        <f ca="1">SUM($L168:$BS168)</f>
        <v>1727.0202468580835</v>
      </c>
      <c r="J168" s="26" t="s">
        <v>148</v>
      </c>
      <c r="K168" s="7" t="s">
        <v>620</v>
      </c>
      <c r="L168" s="49" cm="1">
        <f t="array" aca="1" ref="L168:BS168" ca="1">KLL_II_2020!CA_gross_rev_oil_fp-KLL_II_2020!CA_gross_rev_oil_hp1</f>
        <v>325.05083961600008</v>
      </c>
      <c r="M168" s="49">
        <f ca="1"/>
        <v>334.53677598699994</v>
      </c>
      <c r="N168" s="49">
        <f ca="1"/>
        <v>65.126956897749949</v>
      </c>
      <c r="O168" s="49">
        <f ca="1"/>
        <v>12.217741073750034</v>
      </c>
      <c r="P168" s="49">
        <f ca="1"/>
        <v>81.764422892000084</v>
      </c>
      <c r="Q168" s="49">
        <f ca="1"/>
        <v>171.69021063000002</v>
      </c>
      <c r="R168" s="49">
        <f ca="1"/>
        <v>148.94975656175001</v>
      </c>
      <c r="S168" s="49">
        <f ca="1"/>
        <v>-12.431995064609197</v>
      </c>
      <c r="T168" s="49">
        <f ca="1"/>
        <v>118.99197894231176</v>
      </c>
      <c r="U168" s="49">
        <f ca="1"/>
        <v>129.96201915609961</v>
      </c>
      <c r="V168" s="49">
        <f ca="1"/>
        <v>123.28197137147609</v>
      </c>
      <c r="W168" s="49">
        <f ca="1"/>
        <v>116.94527804298218</v>
      </c>
      <c r="X168" s="49">
        <f ca="1"/>
        <v>110.93429075157297</v>
      </c>
      <c r="Y168" s="49">
        <f ca="1"/>
        <v>0</v>
      </c>
      <c r="Z168" s="49">
        <f ca="1"/>
        <v>0</v>
      </c>
      <c r="AA168" s="49">
        <f ca="1"/>
        <v>0</v>
      </c>
      <c r="AB168" s="49">
        <f ca="1"/>
        <v>0</v>
      </c>
      <c r="AC168" s="49">
        <f ca="1"/>
        <v>0</v>
      </c>
      <c r="AD168" s="49">
        <f ca="1"/>
        <v>0</v>
      </c>
      <c r="AE168" s="49">
        <f ca="1"/>
        <v>0</v>
      </c>
      <c r="AF168" s="49">
        <f ca="1"/>
        <v>0</v>
      </c>
      <c r="AG168" s="49">
        <f ca="1"/>
        <v>0</v>
      </c>
      <c r="AH168" s="49">
        <f ca="1"/>
        <v>0</v>
      </c>
      <c r="AI168" s="49">
        <f ca="1"/>
        <v>0</v>
      </c>
      <c r="AJ168" s="49">
        <f ca="1"/>
        <v>0</v>
      </c>
      <c r="AK168" s="49">
        <f ca="1"/>
        <v>0</v>
      </c>
      <c r="AL168" s="49">
        <f ca="1"/>
        <v>0</v>
      </c>
      <c r="AM168" s="49">
        <f ca="1"/>
        <v>0</v>
      </c>
      <c r="AN168" s="49">
        <f ca="1"/>
        <v>0</v>
      </c>
      <c r="AO168" s="49">
        <f ca="1"/>
        <v>0</v>
      </c>
      <c r="AP168" s="49">
        <f ca="1"/>
        <v>0</v>
      </c>
      <c r="AQ168" s="49">
        <f ca="1"/>
        <v>0</v>
      </c>
      <c r="AR168" s="49">
        <f ca="1"/>
        <v>0</v>
      </c>
      <c r="AS168" s="49">
        <f ca="1"/>
        <v>0</v>
      </c>
      <c r="AT168" s="49">
        <f ca="1"/>
        <v>0</v>
      </c>
      <c r="AU168" s="49">
        <f ca="1"/>
        <v>0</v>
      </c>
      <c r="AV168" s="49">
        <f ca="1"/>
        <v>0</v>
      </c>
      <c r="AW168" s="49">
        <f ca="1"/>
        <v>0</v>
      </c>
      <c r="AX168" s="49">
        <f ca="1"/>
        <v>0</v>
      </c>
      <c r="AY168" s="49">
        <f ca="1"/>
        <v>0</v>
      </c>
      <c r="AZ168" s="49">
        <f ca="1"/>
        <v>0</v>
      </c>
      <c r="BA168" s="49">
        <f ca="1"/>
        <v>0</v>
      </c>
      <c r="BB168" s="49">
        <f ca="1"/>
        <v>0</v>
      </c>
      <c r="BC168" s="49">
        <f ca="1"/>
        <v>0</v>
      </c>
      <c r="BD168" s="49">
        <f ca="1"/>
        <v>0</v>
      </c>
      <c r="BE168" s="49">
        <f ca="1"/>
        <v>0</v>
      </c>
      <c r="BF168" s="49">
        <f ca="1"/>
        <v>0</v>
      </c>
      <c r="BG168" s="49">
        <f ca="1"/>
        <v>0</v>
      </c>
      <c r="BH168" s="49">
        <f ca="1"/>
        <v>0</v>
      </c>
      <c r="BI168" s="49">
        <f ca="1"/>
        <v>0</v>
      </c>
      <c r="BJ168" s="49">
        <f ca="1"/>
        <v>0</v>
      </c>
      <c r="BK168" s="49">
        <f ca="1"/>
        <v>0</v>
      </c>
      <c r="BL168" s="49">
        <f ca="1"/>
        <v>0</v>
      </c>
      <c r="BM168" s="49">
        <f ca="1"/>
        <v>0</v>
      </c>
      <c r="BN168" s="49">
        <f ca="1"/>
        <v>0</v>
      </c>
      <c r="BO168" s="49">
        <f ca="1"/>
        <v>0</v>
      </c>
      <c r="BP168" s="49">
        <f ca="1"/>
        <v>0</v>
      </c>
      <c r="BQ168" s="49">
        <f ca="1"/>
        <v>0</v>
      </c>
      <c r="BR168" s="49">
        <f ca="1"/>
        <v>0</v>
      </c>
      <c r="BS168" s="49">
        <f ca="1"/>
        <v>0</v>
      </c>
    </row>
    <row r="169" spans="3:71" outlineLevel="1" x14ac:dyDescent="0.2">
      <c r="J169" s="26"/>
      <c r="L169" s="55"/>
      <c r="M169" s="55"/>
      <c r="N169" s="55"/>
      <c r="O169" s="55"/>
      <c r="P169" s="55"/>
      <c r="Q169" s="55"/>
      <c r="R169" s="55"/>
      <c r="S169" s="55"/>
      <c r="T169" s="55"/>
      <c r="U169" s="55"/>
      <c r="V169" s="55"/>
      <c r="W169" s="55"/>
      <c r="X169" s="55"/>
      <c r="Y169" s="55"/>
      <c r="Z169" s="55"/>
      <c r="AA169" s="55"/>
      <c r="AB169" s="55"/>
      <c r="AC169" s="55"/>
      <c r="AD169" s="55"/>
      <c r="AE169" s="55"/>
      <c r="AF169" s="55"/>
      <c r="AG169" s="55"/>
      <c r="AH169" s="55"/>
      <c r="AI169" s="55"/>
      <c r="AJ169" s="55"/>
      <c r="AK169" s="55"/>
      <c r="AL169" s="55"/>
      <c r="AM169" s="55"/>
      <c r="AN169" s="55"/>
      <c r="AO169" s="55"/>
      <c r="AP169" s="55"/>
      <c r="AQ169" s="55"/>
      <c r="AR169" s="55"/>
      <c r="AS169" s="55"/>
      <c r="AT169" s="55"/>
      <c r="AU169" s="55"/>
      <c r="AV169" s="55"/>
      <c r="AW169" s="55"/>
      <c r="AX169" s="55"/>
      <c r="AY169" s="55"/>
      <c r="AZ169" s="55"/>
      <c r="BA169" s="55"/>
      <c r="BB169" s="55"/>
      <c r="BC169" s="55"/>
      <c r="BD169" s="55"/>
      <c r="BE169" s="55"/>
      <c r="BF169" s="55"/>
      <c r="BG169" s="55"/>
      <c r="BH169" s="55"/>
      <c r="BI169" s="55"/>
      <c r="BJ169" s="55"/>
      <c r="BK169" s="55"/>
      <c r="BL169" s="55"/>
      <c r="BM169" s="55"/>
      <c r="BN169" s="55"/>
      <c r="BO169" s="55"/>
      <c r="BP169" s="55"/>
      <c r="BQ169" s="55"/>
      <c r="BR169" s="55"/>
      <c r="BS169" s="55"/>
    </row>
    <row r="170" spans="3:71" outlineLevel="1" x14ac:dyDescent="0.2">
      <c r="D170" t="str">
        <f>HM_ZB_Nsoko!D183</f>
        <v>Différence de revenus pétroliers (PF-PH2)</v>
      </c>
      <c r="I170" s="30">
        <f ca="1">SUM($L170:$BS170)</f>
        <v>3117.6850712072696</v>
      </c>
      <c r="J170" s="26" t="s">
        <v>148</v>
      </c>
      <c r="K170" s="7" t="s">
        <v>622</v>
      </c>
      <c r="L170" s="49">
        <f ca="1">MAX(KLL_II_2020!CA_gross_rev_oil_fp-KLL_II_2020!CA_gross_rev_oil_hp2,0)</f>
        <v>498.12908528100007</v>
      </c>
      <c r="M170" s="49">
        <f ca="1">MAX(KLL_II_2020!CA_gross_rev_oil_fp-KLL_II_2020!CA_gross_rev_oil_hp2,0)</f>
        <v>550.270235953</v>
      </c>
      <c r="N170" s="49">
        <f ca="1">MAX(KLL_II_2020!CA_gross_rev_oil_fp-KLL_II_2020!CA_gross_rev_oil_hp2,0)</f>
        <v>290.03871171699996</v>
      </c>
      <c r="O170" s="49">
        <f ca="1">MAX(KLL_II_2020!CA_gross_rev_oil_fp-KLL_II_2020!CA_gross_rev_oil_hp2,0)</f>
        <v>247.73388778399999</v>
      </c>
      <c r="P170" s="49">
        <f ca="1">MAX(KLL_II_2020!CA_gross_rev_oil_fp-KLL_II_2020!CA_gross_rev_oil_hp2,0)</f>
        <v>297.46089801200009</v>
      </c>
      <c r="Q170" s="49">
        <f ca="1">MAX(KLL_II_2020!CA_gross_rev_oil_fp-KLL_II_2020!CA_gross_rev_oil_hp2,0)</f>
        <v>409.12926503900007</v>
      </c>
      <c r="R170" s="49">
        <f ca="1">MAX(KLL_II_2020!CA_gross_rev_oil_fp-KLL_II_2020!CA_gross_rev_oil_hp2,0)</f>
        <v>399.446294153</v>
      </c>
      <c r="S170" s="49">
        <f ca="1">MAX(KLL_II_2020!CA_gross_rev_oil_fp-KLL_II_2020!CA_gross_rev_oil_hp2,0)</f>
        <v>0</v>
      </c>
      <c r="T170" s="49">
        <f ca="1">MAX(KLL_II_2020!CA_gross_rev_oil_fp-KLL_II_2020!CA_gross_rev_oil_hp2,0)</f>
        <v>80.284395844799974</v>
      </c>
      <c r="U170" s="49">
        <f ca="1">MAX(KLL_II_2020!CA_gross_rev_oil_fp-KLL_II_2020!CA_gross_rev_oil_hp2,0)</f>
        <v>93.244005829800045</v>
      </c>
      <c r="V170" s="49">
        <f ca="1">MAX(KLL_II_2020!CA_gross_rev_oil_fp-KLL_II_2020!CA_gross_rev_oil_hp2,0)</f>
        <v>88.451263930148315</v>
      </c>
      <c r="W170" s="49">
        <f ca="1">MAX(KLL_II_2020!CA_gross_rev_oil_fp-KLL_II_2020!CA_gross_rev_oil_hp2,0)</f>
        <v>83.904868964138643</v>
      </c>
      <c r="X170" s="49">
        <f ca="1">MAX(KLL_II_2020!CA_gross_rev_oil_fp-KLL_II_2020!CA_gross_rev_oil_hp2,0)</f>
        <v>79.59215869938194</v>
      </c>
      <c r="Y170" s="49">
        <f ca="1">MAX(KLL_II_2020!CA_gross_rev_oil_fp-KLL_II_2020!CA_gross_rev_oil_hp2,0)</f>
        <v>0</v>
      </c>
      <c r="Z170" s="49">
        <f ca="1">MAX(KLL_II_2020!CA_gross_rev_oil_fp-KLL_II_2020!CA_gross_rev_oil_hp2,0)</f>
        <v>0</v>
      </c>
      <c r="AA170" s="49">
        <f ca="1">MAX(KLL_II_2020!CA_gross_rev_oil_fp-KLL_II_2020!CA_gross_rev_oil_hp2,0)</f>
        <v>0</v>
      </c>
      <c r="AB170" s="49">
        <f ca="1">MAX(KLL_II_2020!CA_gross_rev_oil_fp-KLL_II_2020!CA_gross_rev_oil_hp2,0)</f>
        <v>0</v>
      </c>
      <c r="AC170" s="49">
        <f ca="1">MAX(KLL_II_2020!CA_gross_rev_oil_fp-KLL_II_2020!CA_gross_rev_oil_hp2,0)</f>
        <v>0</v>
      </c>
      <c r="AD170" s="49">
        <f ca="1">MAX(KLL_II_2020!CA_gross_rev_oil_fp-KLL_II_2020!CA_gross_rev_oil_hp2,0)</f>
        <v>0</v>
      </c>
      <c r="AE170" s="49">
        <f ca="1">MAX(KLL_II_2020!CA_gross_rev_oil_fp-KLL_II_2020!CA_gross_rev_oil_hp2,0)</f>
        <v>0</v>
      </c>
      <c r="AF170" s="49">
        <f ca="1">MAX(KLL_II_2020!CA_gross_rev_oil_fp-KLL_II_2020!CA_gross_rev_oil_hp2,0)</f>
        <v>0</v>
      </c>
      <c r="AG170" s="49">
        <f ca="1">MAX(KLL_II_2020!CA_gross_rev_oil_fp-KLL_II_2020!CA_gross_rev_oil_hp2,0)</f>
        <v>0</v>
      </c>
      <c r="AH170" s="49">
        <f ca="1">MAX(KLL_II_2020!CA_gross_rev_oil_fp-KLL_II_2020!CA_gross_rev_oil_hp2,0)</f>
        <v>0</v>
      </c>
      <c r="AI170" s="49">
        <f ca="1">MAX(KLL_II_2020!CA_gross_rev_oil_fp-KLL_II_2020!CA_gross_rev_oil_hp2,0)</f>
        <v>0</v>
      </c>
      <c r="AJ170" s="49">
        <f ca="1">MAX(KLL_II_2020!CA_gross_rev_oil_fp-KLL_II_2020!CA_gross_rev_oil_hp2,0)</f>
        <v>0</v>
      </c>
      <c r="AK170" s="49">
        <f ca="1">MAX(KLL_II_2020!CA_gross_rev_oil_fp-KLL_II_2020!CA_gross_rev_oil_hp2,0)</f>
        <v>0</v>
      </c>
      <c r="AL170" s="49">
        <f ca="1">MAX(KLL_II_2020!CA_gross_rev_oil_fp-KLL_II_2020!CA_gross_rev_oil_hp2,0)</f>
        <v>0</v>
      </c>
      <c r="AM170" s="49">
        <f ca="1">MAX(KLL_II_2020!CA_gross_rev_oil_fp-KLL_II_2020!CA_gross_rev_oil_hp2,0)</f>
        <v>0</v>
      </c>
      <c r="AN170" s="49">
        <f ca="1">MAX(KLL_II_2020!CA_gross_rev_oil_fp-KLL_II_2020!CA_gross_rev_oil_hp2,0)</f>
        <v>0</v>
      </c>
      <c r="AO170" s="49">
        <f ca="1">MAX(KLL_II_2020!CA_gross_rev_oil_fp-KLL_II_2020!CA_gross_rev_oil_hp2,0)</f>
        <v>0</v>
      </c>
      <c r="AP170" s="49">
        <f ca="1">MAX(KLL_II_2020!CA_gross_rev_oil_fp-KLL_II_2020!CA_gross_rev_oil_hp2,0)</f>
        <v>0</v>
      </c>
      <c r="AQ170" s="49">
        <f ca="1">MAX(KLL_II_2020!CA_gross_rev_oil_fp-KLL_II_2020!CA_gross_rev_oil_hp2,0)</f>
        <v>0</v>
      </c>
      <c r="AR170" s="49">
        <f ca="1">MAX(KLL_II_2020!CA_gross_rev_oil_fp-KLL_II_2020!CA_gross_rev_oil_hp2,0)</f>
        <v>0</v>
      </c>
      <c r="AS170" s="49">
        <f ca="1">MAX(KLL_II_2020!CA_gross_rev_oil_fp-KLL_II_2020!CA_gross_rev_oil_hp2,0)</f>
        <v>0</v>
      </c>
      <c r="AT170" s="49">
        <f ca="1">MAX(KLL_II_2020!CA_gross_rev_oil_fp-KLL_II_2020!CA_gross_rev_oil_hp2,0)</f>
        <v>0</v>
      </c>
      <c r="AU170" s="49">
        <f ca="1">MAX(KLL_II_2020!CA_gross_rev_oil_fp-KLL_II_2020!CA_gross_rev_oil_hp2,0)</f>
        <v>0</v>
      </c>
      <c r="AV170" s="49">
        <f ca="1">MAX(KLL_II_2020!CA_gross_rev_oil_fp-KLL_II_2020!CA_gross_rev_oil_hp2,0)</f>
        <v>0</v>
      </c>
      <c r="AW170" s="49">
        <f ca="1">MAX(KLL_II_2020!CA_gross_rev_oil_fp-KLL_II_2020!CA_gross_rev_oil_hp2,0)</f>
        <v>0</v>
      </c>
      <c r="AX170" s="49">
        <f ca="1">MAX(KLL_II_2020!CA_gross_rev_oil_fp-KLL_II_2020!CA_gross_rev_oil_hp2,0)</f>
        <v>0</v>
      </c>
      <c r="AY170" s="49">
        <f ca="1">MAX(KLL_II_2020!CA_gross_rev_oil_fp-KLL_II_2020!CA_gross_rev_oil_hp2,0)</f>
        <v>0</v>
      </c>
      <c r="AZ170" s="49">
        <f ca="1">MAX(KLL_II_2020!CA_gross_rev_oil_fp-KLL_II_2020!CA_gross_rev_oil_hp2,0)</f>
        <v>0</v>
      </c>
      <c r="BA170" s="49">
        <f ca="1">MAX(KLL_II_2020!CA_gross_rev_oil_fp-KLL_II_2020!CA_gross_rev_oil_hp2,0)</f>
        <v>0</v>
      </c>
      <c r="BB170" s="49">
        <f ca="1">MAX(KLL_II_2020!CA_gross_rev_oil_fp-KLL_II_2020!CA_gross_rev_oil_hp2,0)</f>
        <v>0</v>
      </c>
      <c r="BC170" s="49">
        <f ca="1">MAX(KLL_II_2020!CA_gross_rev_oil_fp-KLL_II_2020!CA_gross_rev_oil_hp2,0)</f>
        <v>0</v>
      </c>
      <c r="BD170" s="49">
        <f ca="1">MAX(KLL_II_2020!CA_gross_rev_oil_fp-KLL_II_2020!CA_gross_rev_oil_hp2,0)</f>
        <v>0</v>
      </c>
      <c r="BE170" s="49">
        <f ca="1">MAX(KLL_II_2020!CA_gross_rev_oil_fp-KLL_II_2020!CA_gross_rev_oil_hp2,0)</f>
        <v>0</v>
      </c>
      <c r="BF170" s="49">
        <f ca="1">MAX(KLL_II_2020!CA_gross_rev_oil_fp-KLL_II_2020!CA_gross_rev_oil_hp2,0)</f>
        <v>0</v>
      </c>
      <c r="BG170" s="49">
        <f ca="1">MAX(KLL_II_2020!CA_gross_rev_oil_fp-KLL_II_2020!CA_gross_rev_oil_hp2,0)</f>
        <v>0</v>
      </c>
      <c r="BH170" s="49">
        <f ca="1">MAX(KLL_II_2020!CA_gross_rev_oil_fp-KLL_II_2020!CA_gross_rev_oil_hp2,0)</f>
        <v>0</v>
      </c>
      <c r="BI170" s="49">
        <f ca="1">MAX(KLL_II_2020!CA_gross_rev_oil_fp-KLL_II_2020!CA_gross_rev_oil_hp2,0)</f>
        <v>0</v>
      </c>
      <c r="BJ170" s="49">
        <f ca="1">MAX(KLL_II_2020!CA_gross_rev_oil_fp-KLL_II_2020!CA_gross_rev_oil_hp2,0)</f>
        <v>0</v>
      </c>
      <c r="BK170" s="49">
        <f ca="1">MAX(KLL_II_2020!CA_gross_rev_oil_fp-KLL_II_2020!CA_gross_rev_oil_hp2,0)</f>
        <v>0</v>
      </c>
      <c r="BL170" s="49">
        <f ca="1">MAX(KLL_II_2020!CA_gross_rev_oil_fp-KLL_II_2020!CA_gross_rev_oil_hp2,0)</f>
        <v>0</v>
      </c>
      <c r="BM170" s="49">
        <f ca="1">MAX(KLL_II_2020!CA_gross_rev_oil_fp-KLL_II_2020!CA_gross_rev_oil_hp2,0)</f>
        <v>0</v>
      </c>
      <c r="BN170" s="49">
        <f ca="1">MAX(KLL_II_2020!CA_gross_rev_oil_fp-KLL_II_2020!CA_gross_rev_oil_hp2,0)</f>
        <v>0</v>
      </c>
      <c r="BO170" s="49">
        <f ca="1">MAX(KLL_II_2020!CA_gross_rev_oil_fp-KLL_II_2020!CA_gross_rev_oil_hp2,0)</f>
        <v>0</v>
      </c>
      <c r="BP170" s="49">
        <f ca="1">MAX(KLL_II_2020!CA_gross_rev_oil_fp-KLL_II_2020!CA_gross_rev_oil_hp2,0)</f>
        <v>0</v>
      </c>
      <c r="BQ170" s="49">
        <f ca="1">MAX(KLL_II_2020!CA_gross_rev_oil_fp-KLL_II_2020!CA_gross_rev_oil_hp2,0)</f>
        <v>0</v>
      </c>
      <c r="BR170" s="49">
        <f ca="1">MAX(KLL_II_2020!CA_gross_rev_oil_fp-KLL_II_2020!CA_gross_rev_oil_hp2,0)</f>
        <v>0</v>
      </c>
      <c r="BS170" s="49">
        <f ca="1">MAX(KLL_II_2020!CA_gross_rev_oil_fp-KLL_II_2020!CA_gross_rev_oil_hp2,0)</f>
        <v>0</v>
      </c>
    </row>
    <row r="171" spans="3:71" outlineLevel="1" x14ac:dyDescent="0.2">
      <c r="J171" s="26"/>
      <c r="L171" s="55"/>
      <c r="M171" s="55"/>
      <c r="N171" s="55"/>
      <c r="O171" s="55"/>
      <c r="P171" s="55"/>
      <c r="Q171" s="55"/>
      <c r="R171" s="55"/>
      <c r="S171" s="55"/>
      <c r="T171" s="55"/>
      <c r="U171" s="55"/>
      <c r="V171" s="55"/>
      <c r="W171" s="55"/>
      <c r="X171" s="55"/>
      <c r="Y171" s="55"/>
      <c r="Z171" s="55"/>
      <c r="AA171" s="55"/>
      <c r="AB171" s="55"/>
      <c r="AC171" s="55"/>
      <c r="AD171" s="55"/>
      <c r="AE171" s="55"/>
      <c r="AF171" s="55"/>
      <c r="AG171" s="55"/>
      <c r="AH171" s="55"/>
      <c r="AI171" s="55"/>
      <c r="AJ171" s="55"/>
      <c r="AK171" s="55"/>
      <c r="AL171" s="55"/>
      <c r="AM171" s="55"/>
      <c r="AN171" s="55"/>
      <c r="AO171" s="55"/>
      <c r="AP171" s="55"/>
      <c r="AQ171" s="55"/>
      <c r="AR171" s="55"/>
      <c r="AS171" s="55"/>
      <c r="AT171" s="55"/>
      <c r="AU171" s="55"/>
      <c r="AV171" s="55"/>
      <c r="AW171" s="55"/>
      <c r="AX171" s="55"/>
      <c r="AY171" s="55"/>
      <c r="AZ171" s="55"/>
      <c r="BA171" s="55"/>
      <c r="BB171" s="55"/>
      <c r="BC171" s="55"/>
      <c r="BD171" s="55"/>
      <c r="BE171" s="55"/>
      <c r="BF171" s="55"/>
      <c r="BG171" s="55"/>
      <c r="BH171" s="55"/>
      <c r="BI171" s="55"/>
      <c r="BJ171" s="55"/>
      <c r="BK171" s="55"/>
      <c r="BL171" s="55"/>
      <c r="BM171" s="55"/>
      <c r="BN171" s="55"/>
      <c r="BO171" s="55"/>
      <c r="BP171" s="55"/>
      <c r="BQ171" s="55"/>
      <c r="BR171" s="55"/>
      <c r="BS171" s="55"/>
    </row>
    <row r="172" spans="3:71" outlineLevel="1" x14ac:dyDescent="0.2">
      <c r="C172" s="11" t="str">
        <f>HM_ZB_Nsoko!C185</f>
        <v>Part du produit dans les revenus</v>
      </c>
      <c r="J172" s="26"/>
      <c r="L172" s="55"/>
      <c r="M172" s="55"/>
      <c r="N172" s="55"/>
      <c r="O172" s="55"/>
      <c r="P172" s="55"/>
      <c r="Q172" s="55"/>
      <c r="R172" s="55"/>
      <c r="S172" s="55"/>
      <c r="T172" s="55"/>
      <c r="U172" s="55"/>
      <c r="V172" s="55"/>
      <c r="W172" s="55"/>
      <c r="X172" s="55"/>
      <c r="Y172" s="55"/>
      <c r="Z172" s="55"/>
      <c r="AA172" s="55"/>
      <c r="AB172" s="55"/>
      <c r="AC172" s="55"/>
      <c r="AD172" s="55"/>
      <c r="AE172" s="55"/>
      <c r="AF172" s="55"/>
      <c r="AG172" s="55"/>
      <c r="AH172" s="55"/>
      <c r="AI172" s="55"/>
      <c r="AJ172" s="55"/>
      <c r="AK172" s="55"/>
      <c r="AL172" s="55"/>
      <c r="AM172" s="55"/>
      <c r="AN172" s="55"/>
      <c r="AO172" s="55"/>
      <c r="AP172" s="55"/>
      <c r="AQ172" s="55"/>
      <c r="AR172" s="55"/>
      <c r="AS172" s="55"/>
      <c r="AT172" s="55"/>
      <c r="AU172" s="55"/>
      <c r="AV172" s="55"/>
      <c r="AW172" s="55"/>
      <c r="AX172" s="55"/>
      <c r="AY172" s="55"/>
      <c r="AZ172" s="55"/>
      <c r="BA172" s="55"/>
      <c r="BB172" s="55"/>
      <c r="BC172" s="55"/>
      <c r="BD172" s="55"/>
      <c r="BE172" s="55"/>
      <c r="BF172" s="55"/>
      <c r="BG172" s="55"/>
      <c r="BH172" s="55"/>
      <c r="BI172" s="55"/>
      <c r="BJ172" s="55"/>
      <c r="BK172" s="55"/>
      <c r="BL172" s="55"/>
      <c r="BM172" s="55"/>
      <c r="BN172" s="55"/>
      <c r="BO172" s="55"/>
      <c r="BP172" s="55"/>
      <c r="BQ172" s="55"/>
      <c r="BR172" s="55"/>
      <c r="BS172" s="55"/>
    </row>
    <row r="173" spans="3:71" outlineLevel="1" x14ac:dyDescent="0.2">
      <c r="D173" t="str">
        <f>HM_ZB_Nsoko!D186</f>
        <v>Part du pétrole dans le revenu total</v>
      </c>
      <c r="I173" s="58">
        <f ca="1">IFERROR(I159/$I$161,0)</f>
        <v>1</v>
      </c>
      <c r="J173" s="26" t="s">
        <v>90</v>
      </c>
      <c r="K173" s="7" t="s">
        <v>231</v>
      </c>
      <c r="L173" s="53">
        <f ca="1">IFERROR(KLL_II_2020!CA_gross_rev_oil_fp/KLL_II_2020!CA_gross_rev_total_fp,0)</f>
        <v>1</v>
      </c>
      <c r="M173" s="53">
        <f ca="1">IFERROR(KLL_II_2020!CA_gross_rev_oil_fp/KLL_II_2020!CA_gross_rev_total_fp,0)</f>
        <v>1</v>
      </c>
      <c r="N173" s="53">
        <f ca="1">IFERROR(KLL_II_2020!CA_gross_rev_oil_fp/KLL_II_2020!CA_gross_rev_total_fp,0)</f>
        <v>1</v>
      </c>
      <c r="O173" s="53">
        <f ca="1">IFERROR(KLL_II_2020!CA_gross_rev_oil_fp/KLL_II_2020!CA_gross_rev_total_fp,0)</f>
        <v>1</v>
      </c>
      <c r="P173" s="53">
        <f ca="1">IFERROR(KLL_II_2020!CA_gross_rev_oil_fp/KLL_II_2020!CA_gross_rev_total_fp,0)</f>
        <v>1</v>
      </c>
      <c r="Q173" s="53">
        <f ca="1">IFERROR(KLL_II_2020!CA_gross_rev_oil_fp/KLL_II_2020!CA_gross_rev_total_fp,0)</f>
        <v>1</v>
      </c>
      <c r="R173" s="53">
        <f ca="1">IFERROR(KLL_II_2020!CA_gross_rev_oil_fp/KLL_II_2020!CA_gross_rev_total_fp,0)</f>
        <v>1</v>
      </c>
      <c r="S173" s="53">
        <f ca="1">IFERROR(KLL_II_2020!CA_gross_rev_oil_fp/KLL_II_2020!CA_gross_rev_total_fp,0)</f>
        <v>1</v>
      </c>
      <c r="T173" s="53">
        <f ca="1">IFERROR(KLL_II_2020!CA_gross_rev_oil_fp/KLL_II_2020!CA_gross_rev_total_fp,0)</f>
        <v>1</v>
      </c>
      <c r="U173" s="53">
        <f ca="1">IFERROR(KLL_II_2020!CA_gross_rev_oil_fp/KLL_II_2020!CA_gross_rev_total_fp,0)</f>
        <v>1</v>
      </c>
      <c r="V173" s="53">
        <f ca="1">IFERROR(KLL_II_2020!CA_gross_rev_oil_fp/KLL_II_2020!CA_gross_rev_total_fp,0)</f>
        <v>1</v>
      </c>
      <c r="W173" s="53">
        <f ca="1">IFERROR(KLL_II_2020!CA_gross_rev_oil_fp/KLL_II_2020!CA_gross_rev_total_fp,0)</f>
        <v>1</v>
      </c>
      <c r="X173" s="53">
        <f ca="1">IFERROR(KLL_II_2020!CA_gross_rev_oil_fp/KLL_II_2020!CA_gross_rev_total_fp,0)</f>
        <v>1</v>
      </c>
      <c r="Y173" s="53">
        <f ca="1">IFERROR(KLL_II_2020!CA_gross_rev_oil_fp/KLL_II_2020!CA_gross_rev_total_fp,0)</f>
        <v>0</v>
      </c>
      <c r="Z173" s="53">
        <f ca="1">IFERROR(KLL_II_2020!CA_gross_rev_oil_fp/KLL_II_2020!CA_gross_rev_total_fp,0)</f>
        <v>0</v>
      </c>
      <c r="AA173" s="53">
        <f ca="1">IFERROR(KLL_II_2020!CA_gross_rev_oil_fp/KLL_II_2020!CA_gross_rev_total_fp,0)</f>
        <v>0</v>
      </c>
      <c r="AB173" s="53">
        <f ca="1">IFERROR(KLL_II_2020!CA_gross_rev_oil_fp/KLL_II_2020!CA_gross_rev_total_fp,0)</f>
        <v>0</v>
      </c>
      <c r="AC173" s="53">
        <f ca="1">IFERROR(KLL_II_2020!CA_gross_rev_oil_fp/KLL_II_2020!CA_gross_rev_total_fp,0)</f>
        <v>0</v>
      </c>
      <c r="AD173" s="53">
        <f ca="1">IFERROR(KLL_II_2020!CA_gross_rev_oil_fp/KLL_II_2020!CA_gross_rev_total_fp,0)</f>
        <v>0</v>
      </c>
      <c r="AE173" s="53">
        <f ca="1">IFERROR(KLL_II_2020!CA_gross_rev_oil_fp/KLL_II_2020!CA_gross_rev_total_fp,0)</f>
        <v>0</v>
      </c>
      <c r="AF173" s="53">
        <f ca="1">IFERROR(KLL_II_2020!CA_gross_rev_oil_fp/KLL_II_2020!CA_gross_rev_total_fp,0)</f>
        <v>0</v>
      </c>
      <c r="AG173" s="53">
        <f ca="1">IFERROR(KLL_II_2020!CA_gross_rev_oil_fp/KLL_II_2020!CA_gross_rev_total_fp,0)</f>
        <v>0</v>
      </c>
      <c r="AH173" s="53">
        <f ca="1">IFERROR(KLL_II_2020!CA_gross_rev_oil_fp/KLL_II_2020!CA_gross_rev_total_fp,0)</f>
        <v>0</v>
      </c>
      <c r="AI173" s="53">
        <f ca="1">IFERROR(KLL_II_2020!CA_gross_rev_oil_fp/KLL_II_2020!CA_gross_rev_total_fp,0)</f>
        <v>0</v>
      </c>
      <c r="AJ173" s="53">
        <f ca="1">IFERROR(KLL_II_2020!CA_gross_rev_oil_fp/KLL_II_2020!CA_gross_rev_total_fp,0)</f>
        <v>0</v>
      </c>
      <c r="AK173" s="53">
        <f ca="1">IFERROR(KLL_II_2020!CA_gross_rev_oil_fp/KLL_II_2020!CA_gross_rev_total_fp,0)</f>
        <v>0</v>
      </c>
      <c r="AL173" s="53">
        <f ca="1">IFERROR(KLL_II_2020!CA_gross_rev_oil_fp/KLL_II_2020!CA_gross_rev_total_fp,0)</f>
        <v>0</v>
      </c>
      <c r="AM173" s="53">
        <f ca="1">IFERROR(KLL_II_2020!CA_gross_rev_oil_fp/KLL_II_2020!CA_gross_rev_total_fp,0)</f>
        <v>0</v>
      </c>
      <c r="AN173" s="53">
        <f ca="1">IFERROR(KLL_II_2020!CA_gross_rev_oil_fp/KLL_II_2020!CA_gross_rev_total_fp,0)</f>
        <v>0</v>
      </c>
      <c r="AO173" s="53">
        <f ca="1">IFERROR(KLL_II_2020!CA_gross_rev_oil_fp/KLL_II_2020!CA_gross_rev_total_fp,0)</f>
        <v>0</v>
      </c>
      <c r="AP173" s="53">
        <f ca="1">IFERROR(KLL_II_2020!CA_gross_rev_oil_fp/KLL_II_2020!CA_gross_rev_total_fp,0)</f>
        <v>0</v>
      </c>
      <c r="AQ173" s="53">
        <f ca="1">IFERROR(KLL_II_2020!CA_gross_rev_oil_fp/KLL_II_2020!CA_gross_rev_total_fp,0)</f>
        <v>0</v>
      </c>
      <c r="AR173" s="53">
        <f ca="1">IFERROR(KLL_II_2020!CA_gross_rev_oil_fp/KLL_II_2020!CA_gross_rev_total_fp,0)</f>
        <v>0</v>
      </c>
      <c r="AS173" s="53">
        <f ca="1">IFERROR(KLL_II_2020!CA_gross_rev_oil_fp/KLL_II_2020!CA_gross_rev_total_fp,0)</f>
        <v>0</v>
      </c>
      <c r="AT173" s="53">
        <f ca="1">IFERROR(KLL_II_2020!CA_gross_rev_oil_fp/KLL_II_2020!CA_gross_rev_total_fp,0)</f>
        <v>0</v>
      </c>
      <c r="AU173" s="53">
        <f ca="1">IFERROR(KLL_II_2020!CA_gross_rev_oil_fp/KLL_II_2020!CA_gross_rev_total_fp,0)</f>
        <v>0</v>
      </c>
      <c r="AV173" s="53">
        <f ca="1">IFERROR(KLL_II_2020!CA_gross_rev_oil_fp/KLL_II_2020!CA_gross_rev_total_fp,0)</f>
        <v>0</v>
      </c>
      <c r="AW173" s="53">
        <f ca="1">IFERROR(KLL_II_2020!CA_gross_rev_oil_fp/KLL_II_2020!CA_gross_rev_total_fp,0)</f>
        <v>0</v>
      </c>
      <c r="AX173" s="53">
        <f ca="1">IFERROR(KLL_II_2020!CA_gross_rev_oil_fp/KLL_II_2020!CA_gross_rev_total_fp,0)</f>
        <v>0</v>
      </c>
      <c r="AY173" s="53">
        <f ca="1">IFERROR(KLL_II_2020!CA_gross_rev_oil_fp/KLL_II_2020!CA_gross_rev_total_fp,0)</f>
        <v>0</v>
      </c>
      <c r="AZ173" s="53">
        <f ca="1">IFERROR(KLL_II_2020!CA_gross_rev_oil_fp/KLL_II_2020!CA_gross_rev_total_fp,0)</f>
        <v>0</v>
      </c>
      <c r="BA173" s="53">
        <f ca="1">IFERROR(KLL_II_2020!CA_gross_rev_oil_fp/KLL_II_2020!CA_gross_rev_total_fp,0)</f>
        <v>0</v>
      </c>
      <c r="BB173" s="53">
        <f ca="1">IFERROR(KLL_II_2020!CA_gross_rev_oil_fp/KLL_II_2020!CA_gross_rev_total_fp,0)</f>
        <v>0</v>
      </c>
      <c r="BC173" s="53">
        <f ca="1">IFERROR(KLL_II_2020!CA_gross_rev_oil_fp/KLL_II_2020!CA_gross_rev_total_fp,0)</f>
        <v>0</v>
      </c>
      <c r="BD173" s="53">
        <f ca="1">IFERROR(KLL_II_2020!CA_gross_rev_oil_fp/KLL_II_2020!CA_gross_rev_total_fp,0)</f>
        <v>0</v>
      </c>
      <c r="BE173" s="53">
        <f ca="1">IFERROR(KLL_II_2020!CA_gross_rev_oil_fp/KLL_II_2020!CA_gross_rev_total_fp,0)</f>
        <v>0</v>
      </c>
      <c r="BF173" s="53">
        <f ca="1">IFERROR(KLL_II_2020!CA_gross_rev_oil_fp/KLL_II_2020!CA_gross_rev_total_fp,0)</f>
        <v>0</v>
      </c>
      <c r="BG173" s="53">
        <f ca="1">IFERROR(KLL_II_2020!CA_gross_rev_oil_fp/KLL_II_2020!CA_gross_rev_total_fp,0)</f>
        <v>0</v>
      </c>
      <c r="BH173" s="53">
        <f ca="1">IFERROR(KLL_II_2020!CA_gross_rev_oil_fp/KLL_II_2020!CA_gross_rev_total_fp,0)</f>
        <v>0</v>
      </c>
      <c r="BI173" s="53">
        <f ca="1">IFERROR(KLL_II_2020!CA_gross_rev_oil_fp/KLL_II_2020!CA_gross_rev_total_fp,0)</f>
        <v>0</v>
      </c>
      <c r="BJ173" s="53">
        <f ca="1">IFERROR(KLL_II_2020!CA_gross_rev_oil_fp/KLL_II_2020!CA_gross_rev_total_fp,0)</f>
        <v>0</v>
      </c>
      <c r="BK173" s="53">
        <f ca="1">IFERROR(KLL_II_2020!CA_gross_rev_oil_fp/KLL_II_2020!CA_gross_rev_total_fp,0)</f>
        <v>0</v>
      </c>
      <c r="BL173" s="53">
        <f ca="1">IFERROR(KLL_II_2020!CA_gross_rev_oil_fp/KLL_II_2020!CA_gross_rev_total_fp,0)</f>
        <v>0</v>
      </c>
      <c r="BM173" s="53">
        <f ca="1">IFERROR(KLL_II_2020!CA_gross_rev_oil_fp/KLL_II_2020!CA_gross_rev_total_fp,0)</f>
        <v>0</v>
      </c>
      <c r="BN173" s="53">
        <f ca="1">IFERROR(KLL_II_2020!CA_gross_rev_oil_fp/KLL_II_2020!CA_gross_rev_total_fp,0)</f>
        <v>0</v>
      </c>
      <c r="BO173" s="53">
        <f ca="1">IFERROR(KLL_II_2020!CA_gross_rev_oil_fp/KLL_II_2020!CA_gross_rev_total_fp,0)</f>
        <v>0</v>
      </c>
      <c r="BP173" s="53">
        <f ca="1">IFERROR(KLL_II_2020!CA_gross_rev_oil_fp/KLL_II_2020!CA_gross_rev_total_fp,0)</f>
        <v>0</v>
      </c>
      <c r="BQ173" s="53">
        <f ca="1">IFERROR(KLL_II_2020!CA_gross_rev_oil_fp/KLL_II_2020!CA_gross_rev_total_fp,0)</f>
        <v>0</v>
      </c>
      <c r="BR173" s="53">
        <f ca="1">IFERROR(KLL_II_2020!CA_gross_rev_oil_fp/KLL_II_2020!CA_gross_rev_total_fp,0)</f>
        <v>0</v>
      </c>
      <c r="BS173" s="53">
        <f ca="1">IFERROR(KLL_II_2020!CA_gross_rev_oil_fp/KLL_II_2020!CA_gross_rev_total_fp,0)</f>
        <v>0</v>
      </c>
    </row>
    <row r="174" spans="3:71" outlineLevel="1" x14ac:dyDescent="0.2">
      <c r="D174" t="str">
        <f>HM_ZB_Nsoko!D187</f>
        <v>Part du gaz dans le revenu total</v>
      </c>
      <c r="I174" s="58">
        <f ca="1">IFERROR(I160/$I$161,0)</f>
        <v>0</v>
      </c>
      <c r="J174" s="26" t="s">
        <v>90</v>
      </c>
      <c r="K174" s="7" t="s">
        <v>232</v>
      </c>
      <c r="L174" s="53">
        <f ca="1">IFERROR(KLL_II_2020!CA_gross_rev_gas_fp/KLL_II_2020!CA_gross_rev_total_fp,0)</f>
        <v>0</v>
      </c>
      <c r="M174" s="53">
        <f ca="1">IFERROR(KLL_II_2020!CA_gross_rev_gas_fp/KLL_II_2020!CA_gross_rev_total_fp,0)</f>
        <v>0</v>
      </c>
      <c r="N174" s="53">
        <f ca="1">IFERROR(KLL_II_2020!CA_gross_rev_gas_fp/KLL_II_2020!CA_gross_rev_total_fp,0)</f>
        <v>0</v>
      </c>
      <c r="O174" s="53">
        <f ca="1">IFERROR(KLL_II_2020!CA_gross_rev_gas_fp/KLL_II_2020!CA_gross_rev_total_fp,0)</f>
        <v>0</v>
      </c>
      <c r="P174" s="53">
        <f ca="1">IFERROR(KLL_II_2020!CA_gross_rev_gas_fp/KLL_II_2020!CA_gross_rev_total_fp,0)</f>
        <v>0</v>
      </c>
      <c r="Q174" s="53">
        <f ca="1">IFERROR(KLL_II_2020!CA_gross_rev_gas_fp/KLL_II_2020!CA_gross_rev_total_fp,0)</f>
        <v>0</v>
      </c>
      <c r="R174" s="53">
        <f ca="1">IFERROR(KLL_II_2020!CA_gross_rev_gas_fp/KLL_II_2020!CA_gross_rev_total_fp,0)</f>
        <v>0</v>
      </c>
      <c r="S174" s="53">
        <f ca="1">IFERROR(KLL_II_2020!CA_gross_rev_gas_fp/KLL_II_2020!CA_gross_rev_total_fp,0)</f>
        <v>0</v>
      </c>
      <c r="T174" s="53">
        <f ca="1">IFERROR(KLL_II_2020!CA_gross_rev_gas_fp/KLL_II_2020!CA_gross_rev_total_fp,0)</f>
        <v>0</v>
      </c>
      <c r="U174" s="53">
        <f ca="1">IFERROR(KLL_II_2020!CA_gross_rev_gas_fp/KLL_II_2020!CA_gross_rev_total_fp,0)</f>
        <v>0</v>
      </c>
      <c r="V174" s="53">
        <f ca="1">IFERROR(KLL_II_2020!CA_gross_rev_gas_fp/KLL_II_2020!CA_gross_rev_total_fp,0)</f>
        <v>0</v>
      </c>
      <c r="W174" s="53">
        <f ca="1">IFERROR(KLL_II_2020!CA_gross_rev_gas_fp/KLL_II_2020!CA_gross_rev_total_fp,0)</f>
        <v>0</v>
      </c>
      <c r="X174" s="53">
        <f ca="1">IFERROR(KLL_II_2020!CA_gross_rev_gas_fp/KLL_II_2020!CA_gross_rev_total_fp,0)</f>
        <v>0</v>
      </c>
      <c r="Y174" s="53">
        <f ca="1">IFERROR(KLL_II_2020!CA_gross_rev_gas_fp/KLL_II_2020!CA_gross_rev_total_fp,0)</f>
        <v>0</v>
      </c>
      <c r="Z174" s="53">
        <f ca="1">IFERROR(KLL_II_2020!CA_gross_rev_gas_fp/KLL_II_2020!CA_gross_rev_total_fp,0)</f>
        <v>0</v>
      </c>
      <c r="AA174" s="53">
        <f ca="1">IFERROR(KLL_II_2020!CA_gross_rev_gas_fp/KLL_II_2020!CA_gross_rev_total_fp,0)</f>
        <v>0</v>
      </c>
      <c r="AB174" s="53">
        <f ca="1">IFERROR(KLL_II_2020!CA_gross_rev_gas_fp/KLL_II_2020!CA_gross_rev_total_fp,0)</f>
        <v>0</v>
      </c>
      <c r="AC174" s="53">
        <f ca="1">IFERROR(KLL_II_2020!CA_gross_rev_gas_fp/KLL_II_2020!CA_gross_rev_total_fp,0)</f>
        <v>0</v>
      </c>
      <c r="AD174" s="53">
        <f ca="1">IFERROR(KLL_II_2020!CA_gross_rev_gas_fp/KLL_II_2020!CA_gross_rev_total_fp,0)</f>
        <v>0</v>
      </c>
      <c r="AE174" s="53">
        <f ca="1">IFERROR(KLL_II_2020!CA_gross_rev_gas_fp/KLL_II_2020!CA_gross_rev_total_fp,0)</f>
        <v>0</v>
      </c>
      <c r="AF174" s="53">
        <f ca="1">IFERROR(KLL_II_2020!CA_gross_rev_gas_fp/KLL_II_2020!CA_gross_rev_total_fp,0)</f>
        <v>0</v>
      </c>
      <c r="AG174" s="53">
        <f ca="1">IFERROR(KLL_II_2020!CA_gross_rev_gas_fp/KLL_II_2020!CA_gross_rev_total_fp,0)</f>
        <v>0</v>
      </c>
      <c r="AH174" s="53">
        <f ca="1">IFERROR(KLL_II_2020!CA_gross_rev_gas_fp/KLL_II_2020!CA_gross_rev_total_fp,0)</f>
        <v>0</v>
      </c>
      <c r="AI174" s="53">
        <f ca="1">IFERROR(KLL_II_2020!CA_gross_rev_gas_fp/KLL_II_2020!CA_gross_rev_total_fp,0)</f>
        <v>0</v>
      </c>
      <c r="AJ174" s="53">
        <f ca="1">IFERROR(KLL_II_2020!CA_gross_rev_gas_fp/KLL_II_2020!CA_gross_rev_total_fp,0)</f>
        <v>0</v>
      </c>
      <c r="AK174" s="53">
        <f ca="1">IFERROR(KLL_II_2020!CA_gross_rev_gas_fp/KLL_II_2020!CA_gross_rev_total_fp,0)</f>
        <v>0</v>
      </c>
      <c r="AL174" s="53">
        <f ca="1">IFERROR(KLL_II_2020!CA_gross_rev_gas_fp/KLL_II_2020!CA_gross_rev_total_fp,0)</f>
        <v>0</v>
      </c>
      <c r="AM174" s="53">
        <f ca="1">IFERROR(KLL_II_2020!CA_gross_rev_gas_fp/KLL_II_2020!CA_gross_rev_total_fp,0)</f>
        <v>0</v>
      </c>
      <c r="AN174" s="53">
        <f ca="1">IFERROR(KLL_II_2020!CA_gross_rev_gas_fp/KLL_II_2020!CA_gross_rev_total_fp,0)</f>
        <v>0</v>
      </c>
      <c r="AO174" s="53">
        <f ca="1">IFERROR(KLL_II_2020!CA_gross_rev_gas_fp/KLL_II_2020!CA_gross_rev_total_fp,0)</f>
        <v>0</v>
      </c>
      <c r="AP174" s="53">
        <f ca="1">IFERROR(KLL_II_2020!CA_gross_rev_gas_fp/KLL_II_2020!CA_gross_rev_total_fp,0)</f>
        <v>0</v>
      </c>
      <c r="AQ174" s="53">
        <f ca="1">IFERROR(KLL_II_2020!CA_gross_rev_gas_fp/KLL_II_2020!CA_gross_rev_total_fp,0)</f>
        <v>0</v>
      </c>
      <c r="AR174" s="53">
        <f ca="1">IFERROR(KLL_II_2020!CA_gross_rev_gas_fp/KLL_II_2020!CA_gross_rev_total_fp,0)</f>
        <v>0</v>
      </c>
      <c r="AS174" s="53">
        <f ca="1">IFERROR(KLL_II_2020!CA_gross_rev_gas_fp/KLL_II_2020!CA_gross_rev_total_fp,0)</f>
        <v>0</v>
      </c>
      <c r="AT174" s="53">
        <f ca="1">IFERROR(KLL_II_2020!CA_gross_rev_gas_fp/KLL_II_2020!CA_gross_rev_total_fp,0)</f>
        <v>0</v>
      </c>
      <c r="AU174" s="53">
        <f ca="1">IFERROR(KLL_II_2020!CA_gross_rev_gas_fp/KLL_II_2020!CA_gross_rev_total_fp,0)</f>
        <v>0</v>
      </c>
      <c r="AV174" s="53">
        <f ca="1">IFERROR(KLL_II_2020!CA_gross_rev_gas_fp/KLL_II_2020!CA_gross_rev_total_fp,0)</f>
        <v>0</v>
      </c>
      <c r="AW174" s="53">
        <f ca="1">IFERROR(KLL_II_2020!CA_gross_rev_gas_fp/KLL_II_2020!CA_gross_rev_total_fp,0)</f>
        <v>0</v>
      </c>
      <c r="AX174" s="53">
        <f ca="1">IFERROR(KLL_II_2020!CA_gross_rev_gas_fp/KLL_II_2020!CA_gross_rev_total_fp,0)</f>
        <v>0</v>
      </c>
      <c r="AY174" s="53">
        <f ca="1">IFERROR(KLL_II_2020!CA_gross_rev_gas_fp/KLL_II_2020!CA_gross_rev_total_fp,0)</f>
        <v>0</v>
      </c>
      <c r="AZ174" s="53">
        <f ca="1">IFERROR(KLL_II_2020!CA_gross_rev_gas_fp/KLL_II_2020!CA_gross_rev_total_fp,0)</f>
        <v>0</v>
      </c>
      <c r="BA174" s="53">
        <f ca="1">IFERROR(KLL_II_2020!CA_gross_rev_gas_fp/KLL_II_2020!CA_gross_rev_total_fp,0)</f>
        <v>0</v>
      </c>
      <c r="BB174" s="53">
        <f ca="1">IFERROR(KLL_II_2020!CA_gross_rev_gas_fp/KLL_II_2020!CA_gross_rev_total_fp,0)</f>
        <v>0</v>
      </c>
      <c r="BC174" s="53">
        <f ca="1">IFERROR(KLL_II_2020!CA_gross_rev_gas_fp/KLL_II_2020!CA_gross_rev_total_fp,0)</f>
        <v>0</v>
      </c>
      <c r="BD174" s="53">
        <f ca="1">IFERROR(KLL_II_2020!CA_gross_rev_gas_fp/KLL_II_2020!CA_gross_rev_total_fp,0)</f>
        <v>0</v>
      </c>
      <c r="BE174" s="53">
        <f ca="1">IFERROR(KLL_II_2020!CA_gross_rev_gas_fp/KLL_II_2020!CA_gross_rev_total_fp,0)</f>
        <v>0</v>
      </c>
      <c r="BF174" s="53">
        <f ca="1">IFERROR(KLL_II_2020!CA_gross_rev_gas_fp/KLL_II_2020!CA_gross_rev_total_fp,0)</f>
        <v>0</v>
      </c>
      <c r="BG174" s="53">
        <f ca="1">IFERROR(KLL_II_2020!CA_gross_rev_gas_fp/KLL_II_2020!CA_gross_rev_total_fp,0)</f>
        <v>0</v>
      </c>
      <c r="BH174" s="53">
        <f ca="1">IFERROR(KLL_II_2020!CA_gross_rev_gas_fp/KLL_II_2020!CA_gross_rev_total_fp,0)</f>
        <v>0</v>
      </c>
      <c r="BI174" s="53">
        <f ca="1">IFERROR(KLL_II_2020!CA_gross_rev_gas_fp/KLL_II_2020!CA_gross_rev_total_fp,0)</f>
        <v>0</v>
      </c>
      <c r="BJ174" s="53">
        <f ca="1">IFERROR(KLL_II_2020!CA_gross_rev_gas_fp/KLL_II_2020!CA_gross_rev_total_fp,0)</f>
        <v>0</v>
      </c>
      <c r="BK174" s="53">
        <f ca="1">IFERROR(KLL_II_2020!CA_gross_rev_gas_fp/KLL_II_2020!CA_gross_rev_total_fp,0)</f>
        <v>0</v>
      </c>
      <c r="BL174" s="53">
        <f ca="1">IFERROR(KLL_II_2020!CA_gross_rev_gas_fp/KLL_II_2020!CA_gross_rev_total_fp,0)</f>
        <v>0</v>
      </c>
      <c r="BM174" s="53">
        <f ca="1">IFERROR(KLL_II_2020!CA_gross_rev_gas_fp/KLL_II_2020!CA_gross_rev_total_fp,0)</f>
        <v>0</v>
      </c>
      <c r="BN174" s="53">
        <f ca="1">IFERROR(KLL_II_2020!CA_gross_rev_gas_fp/KLL_II_2020!CA_gross_rev_total_fp,0)</f>
        <v>0</v>
      </c>
      <c r="BO174" s="53">
        <f ca="1">IFERROR(KLL_II_2020!CA_gross_rev_gas_fp/KLL_II_2020!CA_gross_rev_total_fp,0)</f>
        <v>0</v>
      </c>
      <c r="BP174" s="53">
        <f ca="1">IFERROR(KLL_II_2020!CA_gross_rev_gas_fp/KLL_II_2020!CA_gross_rev_total_fp,0)</f>
        <v>0</v>
      </c>
      <c r="BQ174" s="53">
        <f ca="1">IFERROR(KLL_II_2020!CA_gross_rev_gas_fp/KLL_II_2020!CA_gross_rev_total_fp,0)</f>
        <v>0</v>
      </c>
      <c r="BR174" s="53">
        <f ca="1">IFERROR(KLL_II_2020!CA_gross_rev_gas_fp/KLL_II_2020!CA_gross_rev_total_fp,0)</f>
        <v>0</v>
      </c>
      <c r="BS174" s="53">
        <f ca="1">IFERROR(KLL_II_2020!CA_gross_rev_gas_fp/KLL_II_2020!CA_gross_rev_total_fp,0)</f>
        <v>0</v>
      </c>
    </row>
    <row r="175" spans="3:71" outlineLevel="1" x14ac:dyDescent="0.2">
      <c r="J175" s="26"/>
      <c r="L175" s="55"/>
      <c r="M175" s="55"/>
      <c r="N175" s="55"/>
      <c r="O175" s="55"/>
      <c r="P175" s="55"/>
      <c r="Q175" s="55"/>
      <c r="R175" s="55"/>
      <c r="S175" s="55"/>
      <c r="T175" s="55"/>
      <c r="U175" s="55"/>
      <c r="V175" s="55"/>
      <c r="W175" s="55"/>
      <c r="X175" s="55"/>
      <c r="Y175" s="55"/>
      <c r="Z175" s="55"/>
      <c r="AA175" s="55"/>
      <c r="AB175" s="55"/>
      <c r="AC175" s="55"/>
      <c r="AD175" s="55"/>
      <c r="AE175" s="55"/>
      <c r="AF175" s="55"/>
      <c r="AG175" s="55"/>
      <c r="AH175" s="55"/>
      <c r="AI175" s="55"/>
      <c r="AJ175" s="55"/>
      <c r="AK175" s="55"/>
      <c r="AL175" s="55"/>
      <c r="AM175" s="55"/>
      <c r="AN175" s="55"/>
      <c r="AO175" s="55"/>
      <c r="AP175" s="55"/>
      <c r="AQ175" s="55"/>
      <c r="AR175" s="55"/>
      <c r="AS175" s="55"/>
      <c r="AT175" s="55"/>
      <c r="AU175" s="55"/>
      <c r="AV175" s="55"/>
      <c r="AW175" s="55"/>
      <c r="AX175" s="55"/>
      <c r="AY175" s="55"/>
      <c r="AZ175" s="55"/>
      <c r="BA175" s="55"/>
      <c r="BB175" s="55"/>
      <c r="BC175" s="55"/>
      <c r="BD175" s="55"/>
      <c r="BE175" s="55"/>
      <c r="BF175" s="55"/>
      <c r="BG175" s="55"/>
      <c r="BH175" s="55"/>
      <c r="BI175" s="55"/>
      <c r="BJ175" s="55"/>
      <c r="BK175" s="55"/>
      <c r="BL175" s="55"/>
      <c r="BM175" s="55"/>
      <c r="BN175" s="55"/>
      <c r="BO175" s="55"/>
      <c r="BP175" s="55"/>
      <c r="BQ175" s="55"/>
      <c r="BR175" s="55"/>
      <c r="BS175" s="55"/>
    </row>
    <row r="176" spans="3:71" outlineLevel="1" x14ac:dyDescent="0.2">
      <c r="J176" s="26"/>
      <c r="L176" s="55"/>
      <c r="M176" s="55"/>
      <c r="N176" s="55"/>
      <c r="O176" s="55"/>
      <c r="P176" s="55"/>
      <c r="Q176" s="55"/>
      <c r="R176" s="55"/>
      <c r="S176" s="55"/>
      <c r="T176" s="55"/>
      <c r="U176" s="55"/>
      <c r="V176" s="55"/>
      <c r="W176" s="55"/>
      <c r="X176" s="55"/>
      <c r="Y176" s="55"/>
      <c r="Z176" s="55"/>
      <c r="AA176" s="55"/>
      <c r="AB176" s="55"/>
      <c r="AC176" s="55"/>
      <c r="AD176" s="55"/>
      <c r="AE176" s="55"/>
      <c r="AF176" s="55"/>
      <c r="AG176" s="55"/>
      <c r="AH176" s="55"/>
      <c r="AI176" s="55"/>
      <c r="AJ176" s="55"/>
      <c r="AK176" s="55"/>
      <c r="AL176" s="55"/>
      <c r="AM176" s="55"/>
      <c r="AN176" s="55"/>
      <c r="AO176" s="55"/>
      <c r="AP176" s="55"/>
      <c r="AQ176" s="55"/>
      <c r="AR176" s="55"/>
      <c r="AS176" s="55"/>
      <c r="AT176" s="55"/>
      <c r="AU176" s="55"/>
      <c r="AV176" s="55"/>
      <c r="AW176" s="55"/>
      <c r="AX176" s="55"/>
      <c r="AY176" s="55"/>
      <c r="AZ176" s="55"/>
      <c r="BA176" s="55"/>
      <c r="BB176" s="55"/>
      <c r="BC176" s="55"/>
      <c r="BD176" s="55"/>
      <c r="BE176" s="55"/>
      <c r="BF176" s="55"/>
      <c r="BG176" s="55"/>
      <c r="BH176" s="55"/>
      <c r="BI176" s="55"/>
      <c r="BJ176" s="55"/>
      <c r="BK176" s="55"/>
      <c r="BL176" s="55"/>
      <c r="BM176" s="55"/>
      <c r="BN176" s="55"/>
      <c r="BO176" s="55"/>
      <c r="BP176" s="55"/>
      <c r="BQ176" s="55"/>
      <c r="BR176" s="55"/>
      <c r="BS176" s="55"/>
    </row>
    <row r="177" spans="1:71" outlineLevel="1" x14ac:dyDescent="0.2">
      <c r="J177" s="26"/>
      <c r="L177" s="55"/>
      <c r="M177" s="55"/>
      <c r="N177" s="55"/>
      <c r="O177" s="55"/>
      <c r="P177" s="55"/>
      <c r="Q177" s="55"/>
      <c r="R177" s="55"/>
      <c r="S177" s="55"/>
      <c r="T177" s="55"/>
      <c r="U177" s="55"/>
      <c r="V177" s="55"/>
      <c r="W177" s="55"/>
      <c r="X177" s="55"/>
      <c r="Y177" s="55"/>
      <c r="Z177" s="55"/>
      <c r="AA177" s="55"/>
      <c r="AB177" s="55"/>
      <c r="AC177" s="55"/>
      <c r="AD177" s="55"/>
      <c r="AE177" s="55"/>
      <c r="AF177" s="55"/>
      <c r="AG177" s="55"/>
      <c r="AH177" s="55"/>
      <c r="AI177" s="55"/>
      <c r="AJ177" s="55"/>
      <c r="AK177" s="55"/>
      <c r="AL177" s="55"/>
      <c r="AM177" s="55"/>
      <c r="AN177" s="55"/>
      <c r="AO177" s="55"/>
      <c r="AP177" s="55"/>
      <c r="AQ177" s="55"/>
      <c r="AR177" s="55"/>
      <c r="AS177" s="55"/>
      <c r="AT177" s="55"/>
      <c r="AU177" s="55"/>
      <c r="AV177" s="55"/>
      <c r="AW177" s="55"/>
      <c r="AX177" s="55"/>
      <c r="AY177" s="55"/>
      <c r="AZ177" s="55"/>
      <c r="BA177" s="55"/>
      <c r="BB177" s="55"/>
      <c r="BC177" s="55"/>
      <c r="BD177" s="55"/>
      <c r="BE177" s="55"/>
      <c r="BF177" s="55"/>
      <c r="BG177" s="55"/>
      <c r="BH177" s="55"/>
      <c r="BI177" s="55"/>
      <c r="BJ177" s="55"/>
      <c r="BK177" s="55"/>
      <c r="BL177" s="55"/>
      <c r="BM177" s="55"/>
      <c r="BN177" s="55"/>
      <c r="BO177" s="55"/>
      <c r="BP177" s="55"/>
      <c r="BQ177" s="55"/>
      <c r="BR177" s="55"/>
      <c r="BS177" s="55"/>
    </row>
    <row r="178" spans="1:71" outlineLevel="1" x14ac:dyDescent="0.2">
      <c r="A178" s="45"/>
      <c r="B178" s="38" t="str">
        <f>HM_ZB_Nsoko!B191</f>
        <v>Coûts d'exploitation</v>
      </c>
      <c r="C178" s="45"/>
      <c r="D178" s="45"/>
      <c r="E178" s="45"/>
      <c r="J178" s="26"/>
      <c r="L178" s="55"/>
      <c r="M178" s="55"/>
      <c r="N178" s="55"/>
      <c r="O178" s="55"/>
      <c r="P178" s="55"/>
      <c r="Q178" s="55"/>
      <c r="R178" s="55"/>
      <c r="S178" s="55"/>
      <c r="T178" s="55"/>
      <c r="U178" s="55"/>
      <c r="V178" s="55"/>
      <c r="W178" s="55"/>
      <c r="X178" s="55"/>
      <c r="Y178" s="55"/>
      <c r="Z178" s="55"/>
      <c r="AA178" s="55"/>
      <c r="AB178" s="55"/>
      <c r="AC178" s="55"/>
      <c r="AD178" s="55"/>
      <c r="AE178" s="55"/>
      <c r="AF178" s="55"/>
      <c r="AG178" s="55"/>
      <c r="AH178" s="55"/>
      <c r="AI178" s="55"/>
      <c r="AJ178" s="55"/>
      <c r="AK178" s="55"/>
      <c r="AL178" s="55"/>
      <c r="AM178" s="55"/>
      <c r="AN178" s="55"/>
      <c r="AO178" s="55"/>
      <c r="AP178" s="55"/>
      <c r="AQ178" s="55"/>
      <c r="AR178" s="55"/>
      <c r="AS178" s="55"/>
      <c r="AT178" s="55"/>
      <c r="AU178" s="55"/>
      <c r="AV178" s="55"/>
      <c r="AW178" s="55"/>
      <c r="AX178" s="55"/>
      <c r="AY178" s="55"/>
      <c r="AZ178" s="55"/>
      <c r="BA178" s="55"/>
      <c r="BB178" s="55"/>
      <c r="BC178" s="55"/>
      <c r="BD178" s="55"/>
      <c r="BE178" s="55"/>
      <c r="BF178" s="55"/>
      <c r="BG178" s="55"/>
      <c r="BH178" s="55"/>
      <c r="BI178" s="55"/>
      <c r="BJ178" s="55"/>
      <c r="BK178" s="55"/>
      <c r="BL178" s="55"/>
      <c r="BM178" s="55"/>
      <c r="BN178" s="55"/>
      <c r="BO178" s="55"/>
      <c r="BP178" s="55"/>
      <c r="BQ178" s="55"/>
      <c r="BR178" s="55"/>
      <c r="BS178" s="55"/>
    </row>
    <row r="179" spans="1:71" outlineLevel="1" x14ac:dyDescent="0.2">
      <c r="J179" s="26"/>
      <c r="L179" s="55"/>
      <c r="M179" s="55"/>
      <c r="N179" s="55"/>
      <c r="O179" s="55"/>
      <c r="P179" s="55"/>
      <c r="Q179" s="55"/>
      <c r="R179" s="55"/>
      <c r="S179" s="55"/>
      <c r="T179" s="55"/>
      <c r="U179" s="55"/>
      <c r="V179" s="55"/>
      <c r="W179" s="55"/>
      <c r="X179" s="55"/>
      <c r="Y179" s="55"/>
      <c r="Z179" s="55"/>
      <c r="AA179" s="55"/>
      <c r="AB179" s="55"/>
      <c r="AC179" s="55"/>
      <c r="AD179" s="55"/>
      <c r="AE179" s="55"/>
      <c r="AF179" s="55"/>
      <c r="AG179" s="55"/>
      <c r="AH179" s="55"/>
      <c r="AI179" s="55"/>
      <c r="AJ179" s="55"/>
      <c r="AK179" s="55"/>
      <c r="AL179" s="55"/>
      <c r="AM179" s="55"/>
      <c r="AN179" s="55"/>
      <c r="AO179" s="55"/>
      <c r="AP179" s="55"/>
      <c r="AQ179" s="55"/>
      <c r="AR179" s="55"/>
      <c r="AS179" s="55"/>
      <c r="AT179" s="55"/>
      <c r="AU179" s="55"/>
      <c r="AV179" s="55"/>
      <c r="AW179" s="55"/>
      <c r="AX179" s="55"/>
      <c r="AY179" s="55"/>
      <c r="AZ179" s="55"/>
      <c r="BA179" s="55"/>
      <c r="BB179" s="55"/>
      <c r="BC179" s="55"/>
      <c r="BD179" s="55"/>
      <c r="BE179" s="55"/>
      <c r="BF179" s="55"/>
      <c r="BG179" s="55"/>
      <c r="BH179" s="55"/>
      <c r="BI179" s="55"/>
      <c r="BJ179" s="55"/>
      <c r="BK179" s="55"/>
      <c r="BL179" s="55"/>
      <c r="BM179" s="55"/>
      <c r="BN179" s="55"/>
      <c r="BO179" s="55"/>
      <c r="BP179" s="55"/>
      <c r="BQ179" s="55"/>
      <c r="BR179" s="55"/>
      <c r="BS179" s="55"/>
    </row>
    <row r="180" spans="1:71" outlineLevel="1" x14ac:dyDescent="0.2">
      <c r="C180" s="11" t="str">
        <f>HM_ZB_Nsoko!C193</f>
        <v>Coûts variables</v>
      </c>
      <c r="J180" s="26"/>
      <c r="L180" s="55"/>
      <c r="M180" s="55"/>
      <c r="N180" s="55"/>
      <c r="O180" s="55"/>
      <c r="P180" s="55"/>
      <c r="Q180" s="55"/>
      <c r="R180" s="55"/>
      <c r="S180" s="55"/>
      <c r="T180" s="55"/>
      <c r="U180" s="55"/>
      <c r="V180" s="55"/>
      <c r="W180" s="55"/>
      <c r="X180" s="55"/>
      <c r="Y180" s="55"/>
      <c r="Z180" s="55"/>
      <c r="AA180" s="55"/>
      <c r="AB180" s="55"/>
      <c r="AC180" s="55"/>
      <c r="AD180" s="55"/>
      <c r="AE180" s="55"/>
      <c r="AF180" s="55"/>
      <c r="AG180" s="55"/>
      <c r="AH180" s="55"/>
      <c r="AI180" s="55"/>
      <c r="AJ180" s="55"/>
      <c r="AK180" s="55"/>
      <c r="AL180" s="55"/>
      <c r="AM180" s="55"/>
      <c r="AN180" s="55"/>
      <c r="AO180" s="55"/>
      <c r="AP180" s="55"/>
      <c r="AQ180" s="55"/>
      <c r="AR180" s="55"/>
      <c r="AS180" s="55"/>
      <c r="AT180" s="55"/>
      <c r="AU180" s="55"/>
      <c r="AV180" s="55"/>
      <c r="AW180" s="55"/>
      <c r="AX180" s="55"/>
      <c r="AY180" s="55"/>
      <c r="AZ180" s="55"/>
      <c r="BA180" s="55"/>
      <c r="BB180" s="55"/>
      <c r="BC180" s="55"/>
      <c r="BD180" s="55"/>
      <c r="BE180" s="55"/>
      <c r="BF180" s="55"/>
      <c r="BG180" s="55"/>
      <c r="BH180" s="55"/>
      <c r="BI180" s="55"/>
      <c r="BJ180" s="55"/>
      <c r="BK180" s="55"/>
      <c r="BL180" s="55"/>
      <c r="BM180" s="55"/>
      <c r="BN180" s="55"/>
      <c r="BO180" s="55"/>
      <c r="BP180" s="55"/>
      <c r="BQ180" s="55"/>
      <c r="BR180" s="55"/>
      <c r="BS180" s="55"/>
    </row>
    <row r="181" spans="1:71" outlineLevel="1" x14ac:dyDescent="0.2">
      <c r="D181" t="str">
        <f>HM_ZB_Nsoko!D194</f>
        <v>Opex variables (nominal)</v>
      </c>
      <c r="I181" s="30">
        <f ca="1">SUM($L181:$BS181)</f>
        <v>972.08134211200013</v>
      </c>
      <c r="J181" s="26" t="s">
        <v>148</v>
      </c>
      <c r="K181" s="7" t="s">
        <v>159</v>
      </c>
      <c r="L181" s="49">
        <f t="shared" ref="L181:S181" ca="1" si="31">IF(L4&gt;=YEAR(effective_date_PNGF2010),((OFFSET(_xlfn.SINGLE(IA_varopex_real),5,date_offset_KLL2020)+OFFSET(_xlfn.SINGLE(IA_othercosts_real),5,date_offset_KLL2020))*_xlfn.SINGLE(IA_esc_index)),0)</f>
        <v>64.376000000000005</v>
      </c>
      <c r="M181" s="49">
        <f t="shared" ca="1" si="31"/>
        <v>83.224000000000004</v>
      </c>
      <c r="N181" s="49">
        <f t="shared" ca="1" si="31"/>
        <v>66.552000000000007</v>
      </c>
      <c r="O181" s="49">
        <f t="shared" ca="1" si="31"/>
        <v>178.34699999999998</v>
      </c>
      <c r="P181" s="49">
        <f t="shared" ca="1" si="31"/>
        <v>97.385999999999996</v>
      </c>
      <c r="Q181" s="49">
        <f t="shared" ca="1" si="31"/>
        <v>47.099999999999994</v>
      </c>
      <c r="R181" s="49">
        <f t="shared" ca="1" si="31"/>
        <v>64.900000000000006</v>
      </c>
      <c r="S181" s="49">
        <f t="shared" ca="1" si="31"/>
        <v>61.2</v>
      </c>
      <c r="T181" s="49">
        <f t="shared" ref="T181:AY181" ca="1" si="32">IF(T4&gt;=YEAR(effective_date_PNGF2010),((OFFSET(_xlfn.SINGLE(IA_varopex_real),5,date_offset_KLL2020)+OFFSET(_xlfn.SINGLE(IA_othercosts_real),5,date_offset_KLL2020))*_xlfn.SINGLE(IA_esc_index)),0)*(1+df_opex_sens)</f>
        <v>60.6</v>
      </c>
      <c r="U181" s="49">
        <f t="shared" ca="1" si="32"/>
        <v>61.2</v>
      </c>
      <c r="V181" s="49">
        <f t="shared" ca="1" si="32"/>
        <v>61.799759999999999</v>
      </c>
      <c r="W181" s="49">
        <f t="shared" ca="1" si="32"/>
        <v>62.399030399999994</v>
      </c>
      <c r="X181" s="49">
        <f t="shared" ca="1" si="32"/>
        <v>62.997551712000003</v>
      </c>
      <c r="Y181" s="49">
        <f t="shared" ca="1" si="32"/>
        <v>0</v>
      </c>
      <c r="Z181" s="49">
        <f t="shared" ca="1" si="32"/>
        <v>0</v>
      </c>
      <c r="AA181" s="49">
        <f t="shared" ca="1" si="32"/>
        <v>0</v>
      </c>
      <c r="AB181" s="49">
        <f t="shared" ca="1" si="32"/>
        <v>0</v>
      </c>
      <c r="AC181" s="49">
        <f t="shared" ca="1" si="32"/>
        <v>0</v>
      </c>
      <c r="AD181" s="49">
        <f t="shared" ca="1" si="32"/>
        <v>0</v>
      </c>
      <c r="AE181" s="49">
        <f t="shared" ca="1" si="32"/>
        <v>0</v>
      </c>
      <c r="AF181" s="49">
        <f t="shared" ca="1" si="32"/>
        <v>0</v>
      </c>
      <c r="AG181" s="49">
        <f t="shared" ca="1" si="32"/>
        <v>0</v>
      </c>
      <c r="AH181" s="49">
        <f t="shared" ca="1" si="32"/>
        <v>0</v>
      </c>
      <c r="AI181" s="49">
        <f t="shared" ca="1" si="32"/>
        <v>0</v>
      </c>
      <c r="AJ181" s="49">
        <f t="shared" ca="1" si="32"/>
        <v>0</v>
      </c>
      <c r="AK181" s="49">
        <f t="shared" ca="1" si="32"/>
        <v>0</v>
      </c>
      <c r="AL181" s="49">
        <f t="shared" ca="1" si="32"/>
        <v>0</v>
      </c>
      <c r="AM181" s="49">
        <f t="shared" ca="1" si="32"/>
        <v>0</v>
      </c>
      <c r="AN181" s="49">
        <f t="shared" ca="1" si="32"/>
        <v>0</v>
      </c>
      <c r="AO181" s="49">
        <f t="shared" ca="1" si="32"/>
        <v>0</v>
      </c>
      <c r="AP181" s="49">
        <f t="shared" ca="1" si="32"/>
        <v>0</v>
      </c>
      <c r="AQ181" s="49">
        <f t="shared" ca="1" si="32"/>
        <v>0</v>
      </c>
      <c r="AR181" s="49">
        <f t="shared" ca="1" si="32"/>
        <v>0</v>
      </c>
      <c r="AS181" s="49">
        <f t="shared" ca="1" si="32"/>
        <v>0</v>
      </c>
      <c r="AT181" s="49">
        <f t="shared" ca="1" si="32"/>
        <v>0</v>
      </c>
      <c r="AU181" s="49">
        <f t="shared" ca="1" si="32"/>
        <v>0</v>
      </c>
      <c r="AV181" s="49">
        <f t="shared" ca="1" si="32"/>
        <v>0</v>
      </c>
      <c r="AW181" s="49">
        <f t="shared" ca="1" si="32"/>
        <v>0</v>
      </c>
      <c r="AX181" s="49">
        <f t="shared" ca="1" si="32"/>
        <v>0</v>
      </c>
      <c r="AY181" s="49">
        <f t="shared" ca="1" si="32"/>
        <v>0</v>
      </c>
      <c r="AZ181" s="49">
        <f t="shared" ref="AZ181:BS181" ca="1" si="33">IF(AZ4&gt;=YEAR(effective_date_PNGF2010),((OFFSET(_xlfn.SINGLE(IA_varopex_real),5,date_offset_KLL2020)+OFFSET(_xlfn.SINGLE(IA_othercosts_real),5,date_offset_KLL2020))*_xlfn.SINGLE(IA_esc_index)),0)*(1+df_opex_sens)</f>
        <v>0</v>
      </c>
      <c r="BA181" s="49">
        <f t="shared" ca="1" si="33"/>
        <v>0</v>
      </c>
      <c r="BB181" s="49">
        <f t="shared" ca="1" si="33"/>
        <v>0</v>
      </c>
      <c r="BC181" s="49">
        <f t="shared" ca="1" si="33"/>
        <v>0</v>
      </c>
      <c r="BD181" s="49">
        <f t="shared" ca="1" si="33"/>
        <v>0</v>
      </c>
      <c r="BE181" s="49">
        <f t="shared" ca="1" si="33"/>
        <v>0</v>
      </c>
      <c r="BF181" s="49">
        <f t="shared" ca="1" si="33"/>
        <v>0</v>
      </c>
      <c r="BG181" s="49">
        <f t="shared" ca="1" si="33"/>
        <v>0</v>
      </c>
      <c r="BH181" s="49">
        <f t="shared" ca="1" si="33"/>
        <v>0</v>
      </c>
      <c r="BI181" s="49">
        <f t="shared" ca="1" si="33"/>
        <v>0</v>
      </c>
      <c r="BJ181" s="49">
        <f t="shared" ca="1" si="33"/>
        <v>0</v>
      </c>
      <c r="BK181" s="49">
        <f t="shared" ca="1" si="33"/>
        <v>0</v>
      </c>
      <c r="BL181" s="49">
        <f t="shared" ca="1" si="33"/>
        <v>0</v>
      </c>
      <c r="BM181" s="49">
        <f t="shared" ca="1" si="33"/>
        <v>0</v>
      </c>
      <c r="BN181" s="49">
        <f t="shared" ca="1" si="33"/>
        <v>0</v>
      </c>
      <c r="BO181" s="49">
        <f t="shared" ca="1" si="33"/>
        <v>0</v>
      </c>
      <c r="BP181" s="49">
        <f t="shared" ca="1" si="33"/>
        <v>0</v>
      </c>
      <c r="BQ181" s="49">
        <f t="shared" ca="1" si="33"/>
        <v>0</v>
      </c>
      <c r="BR181" s="49">
        <f t="shared" ca="1" si="33"/>
        <v>0</v>
      </c>
      <c r="BS181" s="49">
        <f t="shared" ca="1" si="33"/>
        <v>0</v>
      </c>
    </row>
    <row r="182" spans="1:71" outlineLevel="1" x14ac:dyDescent="0.2">
      <c r="J182" s="26"/>
      <c r="L182" s="55"/>
      <c r="M182" s="55"/>
      <c r="N182" s="55"/>
      <c r="O182" s="55"/>
      <c r="P182" s="55"/>
      <c r="Q182" s="55"/>
      <c r="R182" s="55"/>
      <c r="S182" s="55"/>
      <c r="T182" s="55"/>
      <c r="U182" s="55"/>
      <c r="V182" s="55"/>
      <c r="W182" s="55"/>
      <c r="X182" s="55"/>
      <c r="Y182" s="55"/>
      <c r="Z182" s="55"/>
      <c r="AA182" s="55"/>
      <c r="AB182" s="55"/>
      <c r="AC182" s="55"/>
      <c r="AD182" s="55"/>
      <c r="AE182" s="55"/>
      <c r="AF182" s="55"/>
      <c r="AG182" s="55"/>
      <c r="AH182" s="55"/>
      <c r="AI182" s="55"/>
      <c r="AJ182" s="55"/>
      <c r="AK182" s="55"/>
      <c r="AL182" s="55"/>
      <c r="AM182" s="55"/>
      <c r="AN182" s="55"/>
      <c r="AO182" s="55"/>
      <c r="AP182" s="55"/>
      <c r="AQ182" s="55"/>
      <c r="AR182" s="55"/>
      <c r="AS182" s="55"/>
      <c r="AT182" s="55"/>
      <c r="AU182" s="55"/>
      <c r="AV182" s="55"/>
      <c r="AW182" s="55"/>
      <c r="AX182" s="55"/>
      <c r="AY182" s="55"/>
      <c r="AZ182" s="55"/>
      <c r="BA182" s="55"/>
      <c r="BB182" s="55"/>
      <c r="BC182" s="55"/>
      <c r="BD182" s="55"/>
      <c r="BE182" s="55"/>
      <c r="BF182" s="55"/>
      <c r="BG182" s="55"/>
      <c r="BH182" s="55"/>
      <c r="BI182" s="55"/>
      <c r="BJ182" s="55"/>
      <c r="BK182" s="55"/>
      <c r="BL182" s="55"/>
      <c r="BM182" s="55"/>
      <c r="BN182" s="55"/>
      <c r="BO182" s="55"/>
      <c r="BP182" s="55"/>
      <c r="BQ182" s="55"/>
      <c r="BR182" s="55"/>
      <c r="BS182" s="55"/>
    </row>
    <row r="183" spans="1:71" outlineLevel="1" x14ac:dyDescent="0.2">
      <c r="C183" s="11" t="str">
        <f>HM_ZB_Nsoko!C196</f>
        <v>Coûts fixes</v>
      </c>
      <c r="J183" s="26"/>
      <c r="L183" s="55"/>
      <c r="M183" s="55"/>
      <c r="N183" s="55"/>
      <c r="O183" s="55"/>
      <c r="P183" s="55"/>
      <c r="Q183" s="55"/>
      <c r="R183" s="55"/>
      <c r="S183" s="55"/>
      <c r="T183" s="55"/>
      <c r="U183" s="55"/>
      <c r="V183" s="55"/>
      <c r="W183" s="55"/>
      <c r="X183" s="55"/>
      <c r="Y183" s="55"/>
      <c r="Z183" s="55"/>
      <c r="AA183" s="55"/>
      <c r="AB183" s="55"/>
      <c r="AC183" s="55"/>
      <c r="AD183" s="55"/>
      <c r="AE183" s="55"/>
      <c r="AF183" s="55"/>
      <c r="AG183" s="55"/>
      <c r="AH183" s="55"/>
      <c r="AI183" s="55"/>
      <c r="AJ183" s="55"/>
      <c r="AK183" s="55"/>
      <c r="AL183" s="55"/>
      <c r="AM183" s="55"/>
      <c r="AN183" s="55"/>
      <c r="AO183" s="55"/>
      <c r="AP183" s="55"/>
      <c r="AQ183" s="55"/>
      <c r="AR183" s="55"/>
      <c r="AS183" s="55"/>
      <c r="AT183" s="55"/>
      <c r="AU183" s="55"/>
      <c r="AV183" s="55"/>
      <c r="AW183" s="55"/>
      <c r="AX183" s="55"/>
      <c r="AY183" s="55"/>
      <c r="AZ183" s="55"/>
      <c r="BA183" s="55"/>
      <c r="BB183" s="55"/>
      <c r="BC183" s="55"/>
      <c r="BD183" s="55"/>
      <c r="BE183" s="55"/>
      <c r="BF183" s="55"/>
      <c r="BG183" s="55"/>
      <c r="BH183" s="55"/>
      <c r="BI183" s="55"/>
      <c r="BJ183" s="55"/>
      <c r="BK183" s="55"/>
      <c r="BL183" s="55"/>
      <c r="BM183" s="55"/>
      <c r="BN183" s="55"/>
      <c r="BO183" s="55"/>
      <c r="BP183" s="55"/>
      <c r="BQ183" s="55"/>
      <c r="BR183" s="55"/>
      <c r="BS183" s="55"/>
    </row>
    <row r="184" spans="1:71" outlineLevel="1" x14ac:dyDescent="0.2">
      <c r="D184" t="str">
        <f>HM_ZB_Nsoko!D197</f>
        <v>Opex fixes (nominal)</v>
      </c>
      <c r="I184" s="30">
        <f ca="1">SUM($L184:$BS184)</f>
        <v>0</v>
      </c>
      <c r="J184" s="26" t="s">
        <v>148</v>
      </c>
      <c r="K184" s="7" t="s">
        <v>164</v>
      </c>
      <c r="L184" s="49">
        <f t="shared" ref="L184:S184" ca="1" si="34">IF(L4&gt;=YEAR(effective_date_PNGF2010),(OFFSET(_xlfn.SINGLE(IA_fixedopex_real),5,date_offset_KLL2020)*_xlfn.SINGLE(IA_esc_index)),0)</f>
        <v>0</v>
      </c>
      <c r="M184" s="49">
        <f t="shared" ca="1" si="34"/>
        <v>0</v>
      </c>
      <c r="N184" s="49">
        <f t="shared" ca="1" si="34"/>
        <v>0</v>
      </c>
      <c r="O184" s="49">
        <f t="shared" ca="1" si="34"/>
        <v>0</v>
      </c>
      <c r="P184" s="49">
        <f t="shared" ca="1" si="34"/>
        <v>0</v>
      </c>
      <c r="Q184" s="49">
        <f t="shared" ca="1" si="34"/>
        <v>0</v>
      </c>
      <c r="R184" s="49">
        <f t="shared" ca="1" si="34"/>
        <v>0</v>
      </c>
      <c r="S184" s="49">
        <f t="shared" ca="1" si="34"/>
        <v>0</v>
      </c>
      <c r="T184" s="49">
        <f t="shared" ref="T184:AY184" ca="1" si="35">IF(T4&gt;=YEAR(effective_date_PNGF2010),(OFFSET(_xlfn.SINGLE(IA_fixedopex_real),5,date_offset_KLL2020)*_xlfn.SINGLE(IA_esc_index)),0)*(1+df_opex_sens)</f>
        <v>0</v>
      </c>
      <c r="U184" s="49">
        <f t="shared" ca="1" si="35"/>
        <v>0</v>
      </c>
      <c r="V184" s="49">
        <f t="shared" ca="1" si="35"/>
        <v>0</v>
      </c>
      <c r="W184" s="49">
        <f t="shared" ca="1" si="35"/>
        <v>0</v>
      </c>
      <c r="X184" s="49">
        <f t="shared" ca="1" si="35"/>
        <v>0</v>
      </c>
      <c r="Y184" s="49">
        <f t="shared" ca="1" si="35"/>
        <v>0</v>
      </c>
      <c r="Z184" s="49">
        <f t="shared" ca="1" si="35"/>
        <v>0</v>
      </c>
      <c r="AA184" s="49">
        <f t="shared" ca="1" si="35"/>
        <v>0</v>
      </c>
      <c r="AB184" s="49">
        <f t="shared" ca="1" si="35"/>
        <v>0</v>
      </c>
      <c r="AC184" s="49">
        <f t="shared" ca="1" si="35"/>
        <v>0</v>
      </c>
      <c r="AD184" s="49">
        <f t="shared" ca="1" si="35"/>
        <v>0</v>
      </c>
      <c r="AE184" s="49">
        <f t="shared" ca="1" si="35"/>
        <v>0</v>
      </c>
      <c r="AF184" s="49">
        <f t="shared" ca="1" si="35"/>
        <v>0</v>
      </c>
      <c r="AG184" s="49">
        <f t="shared" ca="1" si="35"/>
        <v>0</v>
      </c>
      <c r="AH184" s="49">
        <f t="shared" ca="1" si="35"/>
        <v>0</v>
      </c>
      <c r="AI184" s="49">
        <f t="shared" ca="1" si="35"/>
        <v>0</v>
      </c>
      <c r="AJ184" s="49">
        <f t="shared" ca="1" si="35"/>
        <v>0</v>
      </c>
      <c r="AK184" s="49">
        <f t="shared" ca="1" si="35"/>
        <v>0</v>
      </c>
      <c r="AL184" s="49">
        <f t="shared" ca="1" si="35"/>
        <v>0</v>
      </c>
      <c r="AM184" s="49">
        <f t="shared" ca="1" si="35"/>
        <v>0</v>
      </c>
      <c r="AN184" s="49">
        <f t="shared" ca="1" si="35"/>
        <v>0</v>
      </c>
      <c r="AO184" s="49">
        <f t="shared" ca="1" si="35"/>
        <v>0</v>
      </c>
      <c r="AP184" s="49">
        <f t="shared" ca="1" si="35"/>
        <v>0</v>
      </c>
      <c r="AQ184" s="49">
        <f t="shared" ca="1" si="35"/>
        <v>0</v>
      </c>
      <c r="AR184" s="49">
        <f t="shared" ca="1" si="35"/>
        <v>0</v>
      </c>
      <c r="AS184" s="49">
        <f t="shared" ca="1" si="35"/>
        <v>0</v>
      </c>
      <c r="AT184" s="49">
        <f t="shared" ca="1" si="35"/>
        <v>0</v>
      </c>
      <c r="AU184" s="49">
        <f t="shared" ca="1" si="35"/>
        <v>0</v>
      </c>
      <c r="AV184" s="49">
        <f t="shared" ca="1" si="35"/>
        <v>0</v>
      </c>
      <c r="AW184" s="49">
        <f t="shared" ca="1" si="35"/>
        <v>0</v>
      </c>
      <c r="AX184" s="49">
        <f t="shared" ca="1" si="35"/>
        <v>0</v>
      </c>
      <c r="AY184" s="49">
        <f t="shared" ca="1" si="35"/>
        <v>0</v>
      </c>
      <c r="AZ184" s="49">
        <f t="shared" ref="AZ184:BS184" ca="1" si="36">IF(AZ4&gt;=YEAR(effective_date_PNGF2010),(OFFSET(_xlfn.SINGLE(IA_fixedopex_real),5,date_offset_KLL2020)*_xlfn.SINGLE(IA_esc_index)),0)*(1+df_opex_sens)</f>
        <v>0</v>
      </c>
      <c r="BA184" s="49">
        <f t="shared" ca="1" si="36"/>
        <v>0</v>
      </c>
      <c r="BB184" s="49">
        <f t="shared" ca="1" si="36"/>
        <v>0</v>
      </c>
      <c r="BC184" s="49">
        <f t="shared" ca="1" si="36"/>
        <v>0</v>
      </c>
      <c r="BD184" s="49">
        <f t="shared" ca="1" si="36"/>
        <v>0</v>
      </c>
      <c r="BE184" s="49">
        <f t="shared" ca="1" si="36"/>
        <v>0</v>
      </c>
      <c r="BF184" s="49">
        <f t="shared" ca="1" si="36"/>
        <v>0</v>
      </c>
      <c r="BG184" s="49">
        <f t="shared" ca="1" si="36"/>
        <v>0</v>
      </c>
      <c r="BH184" s="49">
        <f t="shared" ca="1" si="36"/>
        <v>0</v>
      </c>
      <c r="BI184" s="49">
        <f t="shared" ca="1" si="36"/>
        <v>0</v>
      </c>
      <c r="BJ184" s="49">
        <f t="shared" ca="1" si="36"/>
        <v>0</v>
      </c>
      <c r="BK184" s="49">
        <f t="shared" ca="1" si="36"/>
        <v>0</v>
      </c>
      <c r="BL184" s="49">
        <f t="shared" ca="1" si="36"/>
        <v>0</v>
      </c>
      <c r="BM184" s="49">
        <f t="shared" ca="1" si="36"/>
        <v>0</v>
      </c>
      <c r="BN184" s="49">
        <f t="shared" ca="1" si="36"/>
        <v>0</v>
      </c>
      <c r="BO184" s="49">
        <f t="shared" ca="1" si="36"/>
        <v>0</v>
      </c>
      <c r="BP184" s="49">
        <f t="shared" ca="1" si="36"/>
        <v>0</v>
      </c>
      <c r="BQ184" s="49">
        <f t="shared" ca="1" si="36"/>
        <v>0</v>
      </c>
      <c r="BR184" s="49">
        <f t="shared" ca="1" si="36"/>
        <v>0</v>
      </c>
      <c r="BS184" s="49">
        <f t="shared" ca="1" si="36"/>
        <v>0</v>
      </c>
    </row>
    <row r="185" spans="1:71" outlineLevel="1" x14ac:dyDescent="0.2">
      <c r="J185" s="26"/>
      <c r="L185" s="55"/>
      <c r="M185" s="55"/>
      <c r="N185" s="55"/>
      <c r="O185" s="55"/>
      <c r="P185" s="55"/>
      <c r="Q185" s="55"/>
      <c r="R185" s="55"/>
      <c r="S185" s="55"/>
      <c r="T185" s="55"/>
      <c r="U185" s="55"/>
      <c r="V185" s="55"/>
      <c r="W185" s="55"/>
      <c r="X185" s="55"/>
      <c r="Y185" s="55"/>
      <c r="Z185" s="55"/>
      <c r="AA185" s="55"/>
      <c r="AB185" s="55"/>
      <c r="AC185" s="55"/>
      <c r="AD185" s="55"/>
      <c r="AE185" s="55"/>
      <c r="AF185" s="55"/>
      <c r="AG185" s="55"/>
      <c r="AH185" s="55"/>
      <c r="AI185" s="55"/>
      <c r="AJ185" s="55"/>
      <c r="AK185" s="55"/>
      <c r="AL185" s="55"/>
      <c r="AM185" s="55"/>
      <c r="AN185" s="55"/>
      <c r="AO185" s="55"/>
      <c r="AP185" s="55"/>
      <c r="AQ185" s="55"/>
      <c r="AR185" s="55"/>
      <c r="AS185" s="55"/>
      <c r="AT185" s="55"/>
      <c r="AU185" s="55"/>
      <c r="AV185" s="55"/>
      <c r="AW185" s="55"/>
      <c r="AX185" s="55"/>
      <c r="AY185" s="55"/>
      <c r="AZ185" s="55"/>
      <c r="BA185" s="55"/>
      <c r="BB185" s="55"/>
      <c r="BC185" s="55"/>
      <c r="BD185" s="55"/>
      <c r="BE185" s="55"/>
      <c r="BF185" s="55"/>
      <c r="BG185" s="55"/>
      <c r="BH185" s="55"/>
      <c r="BI185" s="55"/>
      <c r="BJ185" s="55"/>
      <c r="BK185" s="55"/>
      <c r="BL185" s="55"/>
      <c r="BM185" s="55"/>
      <c r="BN185" s="55"/>
      <c r="BO185" s="55"/>
      <c r="BP185" s="55"/>
      <c r="BQ185" s="55"/>
      <c r="BR185" s="55"/>
      <c r="BS185" s="55"/>
    </row>
    <row r="186" spans="1:71" outlineLevel="1" x14ac:dyDescent="0.2">
      <c r="J186" s="26"/>
      <c r="L186" s="55"/>
      <c r="M186" s="55"/>
      <c r="N186" s="55"/>
      <c r="O186" s="55"/>
      <c r="P186" s="55"/>
      <c r="Q186" s="55"/>
      <c r="R186" s="55"/>
      <c r="S186" s="55"/>
      <c r="T186" s="55"/>
      <c r="U186" s="55"/>
      <c r="V186" s="55"/>
      <c r="W186" s="55"/>
      <c r="X186" s="55"/>
      <c r="Y186" s="55"/>
      <c r="Z186" s="55"/>
      <c r="AA186" s="55"/>
      <c r="AB186" s="55"/>
      <c r="AC186" s="55"/>
      <c r="AD186" s="55"/>
      <c r="AE186" s="55"/>
      <c r="AF186" s="55"/>
      <c r="AG186" s="55"/>
      <c r="AH186" s="55"/>
      <c r="AI186" s="55"/>
      <c r="AJ186" s="55"/>
      <c r="AK186" s="55"/>
      <c r="AL186" s="55"/>
      <c r="AM186" s="55"/>
      <c r="AN186" s="55"/>
      <c r="AO186" s="55"/>
      <c r="AP186" s="55"/>
      <c r="AQ186" s="55"/>
      <c r="AR186" s="55"/>
      <c r="AS186" s="55"/>
      <c r="AT186" s="55"/>
      <c r="AU186" s="55"/>
      <c r="AV186" s="55"/>
      <c r="AW186" s="55"/>
      <c r="AX186" s="55"/>
      <c r="AY186" s="55"/>
      <c r="AZ186" s="55"/>
      <c r="BA186" s="55"/>
      <c r="BB186" s="55"/>
      <c r="BC186" s="55"/>
      <c r="BD186" s="55"/>
      <c r="BE186" s="55"/>
      <c r="BF186" s="55"/>
      <c r="BG186" s="55"/>
      <c r="BH186" s="55"/>
      <c r="BI186" s="55"/>
      <c r="BJ186" s="55"/>
      <c r="BK186" s="55"/>
      <c r="BL186" s="55"/>
      <c r="BM186" s="55"/>
      <c r="BN186" s="55"/>
      <c r="BO186" s="55"/>
      <c r="BP186" s="55"/>
      <c r="BQ186" s="55"/>
      <c r="BR186" s="55"/>
      <c r="BS186" s="55"/>
    </row>
    <row r="187" spans="1:71" outlineLevel="1" x14ac:dyDescent="0.2">
      <c r="D187" s="11" t="str">
        <f>HM_ZB_Nsoko!D200</f>
        <v>Total Opex</v>
      </c>
      <c r="I187" s="30">
        <f ca="1">SUM($L187:$BS187)</f>
        <v>972.08134211200013</v>
      </c>
      <c r="J187" s="26" t="s">
        <v>148</v>
      </c>
      <c r="K187" s="7" t="s">
        <v>166</v>
      </c>
      <c r="L187" s="49">
        <f ca="1">SUM(L184,L181)</f>
        <v>64.376000000000005</v>
      </c>
      <c r="M187" s="49">
        <f t="shared" ref="M187:BS187" ca="1" si="37">SUM(M184,M181)</f>
        <v>83.224000000000004</v>
      </c>
      <c r="N187" s="49">
        <f t="shared" ca="1" si="37"/>
        <v>66.552000000000007</v>
      </c>
      <c r="O187" s="49">
        <f t="shared" ca="1" si="37"/>
        <v>178.34699999999998</v>
      </c>
      <c r="P187" s="49">
        <f t="shared" ca="1" si="37"/>
        <v>97.385999999999996</v>
      </c>
      <c r="Q187" s="49">
        <f t="shared" ca="1" si="37"/>
        <v>47.099999999999994</v>
      </c>
      <c r="R187" s="49">
        <f t="shared" ca="1" si="37"/>
        <v>64.900000000000006</v>
      </c>
      <c r="S187" s="49">
        <f t="shared" ca="1" si="37"/>
        <v>61.2</v>
      </c>
      <c r="T187" s="49">
        <f t="shared" ca="1" si="37"/>
        <v>60.6</v>
      </c>
      <c r="U187" s="49">
        <f t="shared" ca="1" si="37"/>
        <v>61.2</v>
      </c>
      <c r="V187" s="49">
        <f t="shared" ca="1" si="37"/>
        <v>61.799759999999999</v>
      </c>
      <c r="W187" s="49">
        <f t="shared" ca="1" si="37"/>
        <v>62.399030399999994</v>
      </c>
      <c r="X187" s="49">
        <f t="shared" ca="1" si="37"/>
        <v>62.997551712000003</v>
      </c>
      <c r="Y187" s="49">
        <f t="shared" ca="1" si="37"/>
        <v>0</v>
      </c>
      <c r="Z187" s="49">
        <f t="shared" ca="1" si="37"/>
        <v>0</v>
      </c>
      <c r="AA187" s="49">
        <f t="shared" ca="1" si="37"/>
        <v>0</v>
      </c>
      <c r="AB187" s="49">
        <f t="shared" ca="1" si="37"/>
        <v>0</v>
      </c>
      <c r="AC187" s="49">
        <f t="shared" ca="1" si="37"/>
        <v>0</v>
      </c>
      <c r="AD187" s="49">
        <f t="shared" ca="1" si="37"/>
        <v>0</v>
      </c>
      <c r="AE187" s="49">
        <f t="shared" ca="1" si="37"/>
        <v>0</v>
      </c>
      <c r="AF187" s="49">
        <f t="shared" ca="1" si="37"/>
        <v>0</v>
      </c>
      <c r="AG187" s="49">
        <f t="shared" ca="1" si="37"/>
        <v>0</v>
      </c>
      <c r="AH187" s="49">
        <f t="shared" ca="1" si="37"/>
        <v>0</v>
      </c>
      <c r="AI187" s="49">
        <f t="shared" ca="1" si="37"/>
        <v>0</v>
      </c>
      <c r="AJ187" s="49">
        <f t="shared" ca="1" si="37"/>
        <v>0</v>
      </c>
      <c r="AK187" s="49">
        <f t="shared" ca="1" si="37"/>
        <v>0</v>
      </c>
      <c r="AL187" s="49">
        <f t="shared" ca="1" si="37"/>
        <v>0</v>
      </c>
      <c r="AM187" s="49">
        <f t="shared" ca="1" si="37"/>
        <v>0</v>
      </c>
      <c r="AN187" s="49">
        <f t="shared" ca="1" si="37"/>
        <v>0</v>
      </c>
      <c r="AO187" s="49">
        <f t="shared" ca="1" si="37"/>
        <v>0</v>
      </c>
      <c r="AP187" s="49">
        <f t="shared" ca="1" si="37"/>
        <v>0</v>
      </c>
      <c r="AQ187" s="49">
        <f t="shared" ca="1" si="37"/>
        <v>0</v>
      </c>
      <c r="AR187" s="49">
        <f t="shared" ca="1" si="37"/>
        <v>0</v>
      </c>
      <c r="AS187" s="49">
        <f t="shared" ca="1" si="37"/>
        <v>0</v>
      </c>
      <c r="AT187" s="49">
        <f t="shared" ca="1" si="37"/>
        <v>0</v>
      </c>
      <c r="AU187" s="49">
        <f t="shared" ca="1" si="37"/>
        <v>0</v>
      </c>
      <c r="AV187" s="49">
        <f t="shared" ca="1" si="37"/>
        <v>0</v>
      </c>
      <c r="AW187" s="49">
        <f t="shared" ca="1" si="37"/>
        <v>0</v>
      </c>
      <c r="AX187" s="49">
        <f t="shared" ca="1" si="37"/>
        <v>0</v>
      </c>
      <c r="AY187" s="49">
        <f t="shared" ca="1" si="37"/>
        <v>0</v>
      </c>
      <c r="AZ187" s="49">
        <f t="shared" ca="1" si="37"/>
        <v>0</v>
      </c>
      <c r="BA187" s="49">
        <f t="shared" ca="1" si="37"/>
        <v>0</v>
      </c>
      <c r="BB187" s="49">
        <f t="shared" ca="1" si="37"/>
        <v>0</v>
      </c>
      <c r="BC187" s="49">
        <f t="shared" ca="1" si="37"/>
        <v>0</v>
      </c>
      <c r="BD187" s="49">
        <f t="shared" ca="1" si="37"/>
        <v>0</v>
      </c>
      <c r="BE187" s="49">
        <f t="shared" ca="1" si="37"/>
        <v>0</v>
      </c>
      <c r="BF187" s="49">
        <f t="shared" ca="1" si="37"/>
        <v>0</v>
      </c>
      <c r="BG187" s="49">
        <f t="shared" ca="1" si="37"/>
        <v>0</v>
      </c>
      <c r="BH187" s="49">
        <f t="shared" ca="1" si="37"/>
        <v>0</v>
      </c>
      <c r="BI187" s="49">
        <f t="shared" ca="1" si="37"/>
        <v>0</v>
      </c>
      <c r="BJ187" s="49">
        <f t="shared" ca="1" si="37"/>
        <v>0</v>
      </c>
      <c r="BK187" s="49">
        <f t="shared" ca="1" si="37"/>
        <v>0</v>
      </c>
      <c r="BL187" s="49">
        <f t="shared" ca="1" si="37"/>
        <v>0</v>
      </c>
      <c r="BM187" s="49">
        <f t="shared" ca="1" si="37"/>
        <v>0</v>
      </c>
      <c r="BN187" s="49">
        <f t="shared" ca="1" si="37"/>
        <v>0</v>
      </c>
      <c r="BO187" s="49">
        <f t="shared" ca="1" si="37"/>
        <v>0</v>
      </c>
      <c r="BP187" s="49">
        <f t="shared" ca="1" si="37"/>
        <v>0</v>
      </c>
      <c r="BQ187" s="49">
        <f t="shared" ca="1" si="37"/>
        <v>0</v>
      </c>
      <c r="BR187" s="49">
        <f t="shared" ca="1" si="37"/>
        <v>0</v>
      </c>
      <c r="BS187" s="49">
        <f t="shared" ca="1" si="37"/>
        <v>0</v>
      </c>
    </row>
    <row r="188" spans="1:71" outlineLevel="1" x14ac:dyDescent="0.2">
      <c r="J188" s="26"/>
      <c r="L188" s="55"/>
      <c r="M188" s="55"/>
      <c r="N188" s="55"/>
      <c r="O188" s="55"/>
      <c r="P188" s="55"/>
      <c r="Q188" s="55"/>
      <c r="R188" s="55"/>
      <c r="S188" s="55"/>
      <c r="T188" s="55"/>
      <c r="U188" s="55"/>
      <c r="V188" s="55"/>
      <c r="W188" s="55"/>
      <c r="X188" s="55"/>
      <c r="Y188" s="55"/>
      <c r="Z188" s="55"/>
      <c r="AA188" s="55"/>
      <c r="AB188" s="55"/>
      <c r="AC188" s="55"/>
      <c r="AD188" s="55"/>
      <c r="AE188" s="55"/>
      <c r="AF188" s="55"/>
      <c r="AG188" s="55"/>
      <c r="AH188" s="55"/>
      <c r="AI188" s="55"/>
      <c r="AJ188" s="55"/>
      <c r="AK188" s="55"/>
      <c r="AL188" s="55"/>
      <c r="AM188" s="55"/>
      <c r="AN188" s="55"/>
      <c r="AO188" s="55"/>
      <c r="AP188" s="55"/>
      <c r="AQ188" s="55"/>
      <c r="AR188" s="55"/>
      <c r="AS188" s="55"/>
      <c r="AT188" s="55"/>
      <c r="AU188" s="55"/>
      <c r="AV188" s="55"/>
      <c r="AW188" s="55"/>
      <c r="AX188" s="55"/>
      <c r="AY188" s="55"/>
      <c r="AZ188" s="55"/>
      <c r="BA188" s="55"/>
      <c r="BB188" s="55"/>
      <c r="BC188" s="55"/>
      <c r="BD188" s="55"/>
      <c r="BE188" s="55"/>
      <c r="BF188" s="55"/>
      <c r="BG188" s="55"/>
      <c r="BH188" s="55"/>
      <c r="BI188" s="55"/>
      <c r="BJ188" s="55"/>
      <c r="BK188" s="55"/>
      <c r="BL188" s="55"/>
      <c r="BM188" s="55"/>
      <c r="BN188" s="55"/>
      <c r="BO188" s="55"/>
      <c r="BP188" s="55"/>
      <c r="BQ188" s="55"/>
      <c r="BR188" s="55"/>
      <c r="BS188" s="55"/>
    </row>
    <row r="189" spans="1:71" outlineLevel="1" x14ac:dyDescent="0.2">
      <c r="J189" s="26"/>
      <c r="L189" s="55"/>
      <c r="M189" s="55"/>
      <c r="N189" s="55"/>
      <c r="O189" s="55"/>
      <c r="P189" s="55"/>
      <c r="Q189" s="55"/>
      <c r="R189" s="55"/>
      <c r="S189" s="55"/>
      <c r="T189" s="55"/>
      <c r="U189" s="55"/>
      <c r="V189" s="55"/>
      <c r="W189" s="55"/>
      <c r="X189" s="55"/>
      <c r="Y189" s="55"/>
      <c r="Z189" s="55"/>
      <c r="AA189" s="55"/>
      <c r="AB189" s="55"/>
      <c r="AC189" s="55"/>
      <c r="AD189" s="55"/>
      <c r="AE189" s="55"/>
      <c r="AF189" s="55"/>
      <c r="AG189" s="55"/>
      <c r="AH189" s="55"/>
      <c r="AI189" s="55"/>
      <c r="AJ189" s="55"/>
      <c r="AK189" s="55"/>
      <c r="AL189" s="55"/>
      <c r="AM189" s="55"/>
      <c r="AN189" s="55"/>
      <c r="AO189" s="55"/>
      <c r="AP189" s="55"/>
      <c r="AQ189" s="55"/>
      <c r="AR189" s="55"/>
      <c r="AS189" s="55"/>
      <c r="AT189" s="55"/>
      <c r="AU189" s="55"/>
      <c r="AV189" s="55"/>
      <c r="AW189" s="55"/>
      <c r="AX189" s="55"/>
      <c r="AY189" s="55"/>
      <c r="AZ189" s="55"/>
      <c r="BA189" s="55"/>
      <c r="BB189" s="55"/>
      <c r="BC189" s="55"/>
      <c r="BD189" s="55"/>
      <c r="BE189" s="55"/>
      <c r="BF189" s="55"/>
      <c r="BG189" s="55"/>
      <c r="BH189" s="55"/>
      <c r="BI189" s="55"/>
      <c r="BJ189" s="55"/>
      <c r="BK189" s="55"/>
      <c r="BL189" s="55"/>
      <c r="BM189" s="55"/>
      <c r="BN189" s="55"/>
      <c r="BO189" s="55"/>
      <c r="BP189" s="55"/>
      <c r="BQ189" s="55"/>
      <c r="BR189" s="55"/>
      <c r="BS189" s="55"/>
    </row>
    <row r="190" spans="1:71" outlineLevel="1" x14ac:dyDescent="0.2">
      <c r="A190" s="45"/>
      <c r="B190" s="38" t="str">
        <f>HM_ZB_Nsoko!B203</f>
        <v>Coûts de développement</v>
      </c>
      <c r="C190" s="45"/>
      <c r="D190" s="45"/>
      <c r="E190" s="45"/>
      <c r="J190" s="26"/>
      <c r="L190" s="55"/>
      <c r="M190" s="55"/>
      <c r="N190" s="55"/>
      <c r="O190" s="55"/>
      <c r="P190" s="55"/>
      <c r="Q190" s="55"/>
      <c r="R190" s="55"/>
      <c r="S190" s="55"/>
      <c r="T190" s="55"/>
      <c r="U190" s="55"/>
      <c r="V190" s="55"/>
      <c r="W190" s="55"/>
      <c r="X190" s="55"/>
      <c r="Y190" s="55"/>
      <c r="Z190" s="55"/>
      <c r="AA190" s="55"/>
      <c r="AB190" s="55"/>
      <c r="AC190" s="55"/>
      <c r="AD190" s="55"/>
      <c r="AE190" s="55"/>
      <c r="AF190" s="55"/>
      <c r="AG190" s="55"/>
      <c r="AH190" s="55"/>
      <c r="AI190" s="55"/>
      <c r="AJ190" s="55"/>
      <c r="AK190" s="55"/>
      <c r="AL190" s="55"/>
      <c r="AM190" s="55"/>
      <c r="AN190" s="55"/>
      <c r="AO190" s="55"/>
      <c r="AP190" s="55"/>
      <c r="AQ190" s="55"/>
      <c r="AR190" s="55"/>
      <c r="AS190" s="55"/>
      <c r="AT190" s="55"/>
      <c r="AU190" s="55"/>
      <c r="AV190" s="55"/>
      <c r="AW190" s="55"/>
      <c r="AX190" s="55"/>
      <c r="AY190" s="55"/>
      <c r="AZ190" s="55"/>
      <c r="BA190" s="55"/>
      <c r="BB190" s="55"/>
      <c r="BC190" s="55"/>
      <c r="BD190" s="55"/>
      <c r="BE190" s="55"/>
      <c r="BF190" s="55"/>
      <c r="BG190" s="55"/>
      <c r="BH190" s="55"/>
      <c r="BI190" s="55"/>
      <c r="BJ190" s="55"/>
      <c r="BK190" s="55"/>
      <c r="BL190" s="55"/>
      <c r="BM190" s="55"/>
      <c r="BN190" s="55"/>
      <c r="BO190" s="55"/>
      <c r="BP190" s="55"/>
      <c r="BQ190" s="55"/>
      <c r="BR190" s="55"/>
      <c r="BS190" s="55"/>
    </row>
    <row r="191" spans="1:71" outlineLevel="1" x14ac:dyDescent="0.2">
      <c r="J191" s="26"/>
      <c r="L191" s="55"/>
      <c r="M191" s="55"/>
      <c r="N191" s="55"/>
      <c r="O191" s="55"/>
      <c r="P191" s="55"/>
      <c r="Q191" s="55"/>
      <c r="R191" s="55"/>
      <c r="S191" s="55"/>
      <c r="T191" s="55"/>
      <c r="U191" s="55"/>
      <c r="V191" s="55"/>
      <c r="W191" s="55"/>
      <c r="X191" s="55"/>
      <c r="Y191" s="55"/>
      <c r="Z191" s="55"/>
      <c r="AA191" s="55"/>
      <c r="AB191" s="55"/>
      <c r="AC191" s="55"/>
      <c r="AD191" s="55"/>
      <c r="AE191" s="55"/>
      <c r="AF191" s="55"/>
      <c r="AG191" s="55"/>
      <c r="AH191" s="55"/>
      <c r="AI191" s="55"/>
      <c r="AJ191" s="55"/>
      <c r="AK191" s="55"/>
      <c r="AL191" s="55"/>
      <c r="AM191" s="55"/>
      <c r="AN191" s="55"/>
      <c r="AO191" s="55"/>
      <c r="AP191" s="55"/>
      <c r="AQ191" s="55"/>
      <c r="AR191" s="55"/>
      <c r="AS191" s="55"/>
      <c r="AT191" s="55"/>
      <c r="AU191" s="55"/>
      <c r="AV191" s="55"/>
      <c r="AW191" s="55"/>
      <c r="AX191" s="55"/>
      <c r="AY191" s="55"/>
      <c r="AZ191" s="55"/>
      <c r="BA191" s="55"/>
      <c r="BB191" s="55"/>
      <c r="BC191" s="55"/>
      <c r="BD191" s="55"/>
      <c r="BE191" s="55"/>
      <c r="BF191" s="55"/>
      <c r="BG191" s="55"/>
      <c r="BH191" s="55"/>
      <c r="BI191" s="55"/>
      <c r="BJ191" s="55"/>
      <c r="BK191" s="55"/>
      <c r="BL191" s="55"/>
      <c r="BM191" s="55"/>
      <c r="BN191" s="55"/>
      <c r="BO191" s="55"/>
      <c r="BP191" s="55"/>
      <c r="BQ191" s="55"/>
      <c r="BR191" s="55"/>
      <c r="BS191" s="55"/>
    </row>
    <row r="192" spans="1:71" outlineLevel="1" x14ac:dyDescent="0.2">
      <c r="C192" s="11" t="str">
        <f>HM_ZB_Nsoko!C205</f>
        <v>Coûts d'exploration et d'évaluation</v>
      </c>
      <c r="J192" s="26"/>
      <c r="L192" s="55"/>
      <c r="M192" s="55"/>
      <c r="N192" s="55"/>
      <c r="O192" s="55"/>
      <c r="P192" s="55"/>
      <c r="Q192" s="55"/>
      <c r="R192" s="55"/>
      <c r="S192" s="55"/>
      <c r="T192" s="55"/>
      <c r="U192" s="55"/>
      <c r="V192" s="55"/>
      <c r="W192" s="55"/>
      <c r="X192" s="55"/>
      <c r="Y192" s="55"/>
      <c r="Z192" s="55"/>
      <c r="AA192" s="55"/>
      <c r="AB192" s="55"/>
      <c r="AC192" s="55"/>
      <c r="AD192" s="55"/>
      <c r="AE192" s="55"/>
      <c r="AF192" s="55"/>
      <c r="AG192" s="55"/>
      <c r="AH192" s="55"/>
      <c r="AI192" s="55"/>
      <c r="AJ192" s="55"/>
      <c r="AK192" s="55"/>
      <c r="AL192" s="55"/>
      <c r="AM192" s="55"/>
      <c r="AN192" s="55"/>
      <c r="AO192" s="55"/>
      <c r="AP192" s="55"/>
      <c r="AQ192" s="55"/>
      <c r="AR192" s="55"/>
      <c r="AS192" s="55"/>
      <c r="AT192" s="55"/>
      <c r="AU192" s="55"/>
      <c r="AV192" s="55"/>
      <c r="AW192" s="55"/>
      <c r="AX192" s="55"/>
      <c r="AY192" s="55"/>
      <c r="AZ192" s="55"/>
      <c r="BA192" s="55"/>
      <c r="BB192" s="55"/>
      <c r="BC192" s="55"/>
      <c r="BD192" s="55"/>
      <c r="BE192" s="55"/>
      <c r="BF192" s="55"/>
      <c r="BG192" s="55"/>
      <c r="BH192" s="55"/>
      <c r="BI192" s="55"/>
      <c r="BJ192" s="55"/>
      <c r="BK192" s="55"/>
      <c r="BL192" s="55"/>
      <c r="BM192" s="55"/>
      <c r="BN192" s="55"/>
      <c r="BO192" s="55"/>
      <c r="BP192" s="55"/>
      <c r="BQ192" s="55"/>
      <c r="BR192" s="55"/>
      <c r="BS192" s="55"/>
    </row>
    <row r="193" spans="1:71" outlineLevel="1" x14ac:dyDescent="0.2">
      <c r="D193" t="str">
        <f>HM_ZB_Nsoko!D206</f>
        <v>Coûts Eploration récupérables (Nominal)</v>
      </c>
      <c r="I193" s="30">
        <f ca="1">SUM($L193:$BS193)</f>
        <v>0</v>
      </c>
      <c r="J193" s="26" t="s">
        <v>148</v>
      </c>
      <c r="K193" s="7" t="s">
        <v>171</v>
      </c>
      <c r="L193" s="49">
        <f t="shared" ref="L193:S193" ca="1" si="38">IF(L4&gt;=YEAR(effective_date_PNGF2010),(OFFSET(_xlfn.SINGLE(IA_EandA_real),5,date_offset_KLL2020)*_xlfn.SINGLE(IA_esc_index)),0)</f>
        <v>0</v>
      </c>
      <c r="M193" s="49">
        <f t="shared" ca="1" si="38"/>
        <v>0</v>
      </c>
      <c r="N193" s="49">
        <f t="shared" ca="1" si="38"/>
        <v>0</v>
      </c>
      <c r="O193" s="49">
        <f t="shared" ca="1" si="38"/>
        <v>0</v>
      </c>
      <c r="P193" s="49">
        <f t="shared" ca="1" si="38"/>
        <v>0</v>
      </c>
      <c r="Q193" s="49">
        <f t="shared" ca="1" si="38"/>
        <v>0</v>
      </c>
      <c r="R193" s="49">
        <f t="shared" ca="1" si="38"/>
        <v>0</v>
      </c>
      <c r="S193" s="49">
        <f t="shared" ca="1" si="38"/>
        <v>0</v>
      </c>
      <c r="T193" s="49">
        <f t="shared" ref="T193:AY193" ca="1" si="39">IF(T4&gt;=YEAR(effective_date_PNGF2010),(OFFSET(_xlfn.SINGLE(IA_EandA_real),5,date_offset_KLL2020)*_xlfn.SINGLE(IA_esc_index)),0)*(1+df_capex_sens)</f>
        <v>0</v>
      </c>
      <c r="U193" s="49">
        <f t="shared" ca="1" si="39"/>
        <v>0</v>
      </c>
      <c r="V193" s="49">
        <f t="shared" ca="1" si="39"/>
        <v>0</v>
      </c>
      <c r="W193" s="49">
        <f t="shared" ca="1" si="39"/>
        <v>0</v>
      </c>
      <c r="X193" s="49">
        <f t="shared" ca="1" si="39"/>
        <v>0</v>
      </c>
      <c r="Y193" s="49">
        <f t="shared" ca="1" si="39"/>
        <v>0</v>
      </c>
      <c r="Z193" s="49">
        <f t="shared" ca="1" si="39"/>
        <v>0</v>
      </c>
      <c r="AA193" s="49">
        <f t="shared" ca="1" si="39"/>
        <v>0</v>
      </c>
      <c r="AB193" s="49">
        <f t="shared" ca="1" si="39"/>
        <v>0</v>
      </c>
      <c r="AC193" s="49">
        <f t="shared" ca="1" si="39"/>
        <v>0</v>
      </c>
      <c r="AD193" s="49">
        <f t="shared" ca="1" si="39"/>
        <v>0</v>
      </c>
      <c r="AE193" s="49">
        <f t="shared" ca="1" si="39"/>
        <v>0</v>
      </c>
      <c r="AF193" s="49">
        <f t="shared" ca="1" si="39"/>
        <v>0</v>
      </c>
      <c r="AG193" s="49">
        <f t="shared" ca="1" si="39"/>
        <v>0</v>
      </c>
      <c r="AH193" s="49">
        <f t="shared" ca="1" si="39"/>
        <v>0</v>
      </c>
      <c r="AI193" s="49">
        <f t="shared" ca="1" si="39"/>
        <v>0</v>
      </c>
      <c r="AJ193" s="49">
        <f t="shared" ca="1" si="39"/>
        <v>0</v>
      </c>
      <c r="AK193" s="49">
        <f t="shared" ca="1" si="39"/>
        <v>0</v>
      </c>
      <c r="AL193" s="49">
        <f t="shared" ca="1" si="39"/>
        <v>0</v>
      </c>
      <c r="AM193" s="49">
        <f t="shared" ca="1" si="39"/>
        <v>0</v>
      </c>
      <c r="AN193" s="49">
        <f t="shared" ca="1" si="39"/>
        <v>0</v>
      </c>
      <c r="AO193" s="49">
        <f t="shared" ca="1" si="39"/>
        <v>0</v>
      </c>
      <c r="AP193" s="49">
        <f t="shared" ca="1" si="39"/>
        <v>0</v>
      </c>
      <c r="AQ193" s="49">
        <f t="shared" ca="1" si="39"/>
        <v>0</v>
      </c>
      <c r="AR193" s="49">
        <f t="shared" ca="1" si="39"/>
        <v>0</v>
      </c>
      <c r="AS193" s="49">
        <f t="shared" ca="1" si="39"/>
        <v>0</v>
      </c>
      <c r="AT193" s="49">
        <f t="shared" ca="1" si="39"/>
        <v>0</v>
      </c>
      <c r="AU193" s="49">
        <f t="shared" ca="1" si="39"/>
        <v>0</v>
      </c>
      <c r="AV193" s="49">
        <f t="shared" ca="1" si="39"/>
        <v>0</v>
      </c>
      <c r="AW193" s="49">
        <f t="shared" ca="1" si="39"/>
        <v>0</v>
      </c>
      <c r="AX193" s="49">
        <f t="shared" ca="1" si="39"/>
        <v>0</v>
      </c>
      <c r="AY193" s="49">
        <f t="shared" ca="1" si="39"/>
        <v>0</v>
      </c>
      <c r="AZ193" s="49">
        <f t="shared" ref="AZ193:BS193" ca="1" si="40">IF(AZ4&gt;=YEAR(effective_date_PNGF2010),(OFFSET(_xlfn.SINGLE(IA_EandA_real),5,date_offset_KLL2020)*_xlfn.SINGLE(IA_esc_index)),0)*(1+df_capex_sens)</f>
        <v>0</v>
      </c>
      <c r="BA193" s="49">
        <f t="shared" ca="1" si="40"/>
        <v>0</v>
      </c>
      <c r="BB193" s="49">
        <f t="shared" ca="1" si="40"/>
        <v>0</v>
      </c>
      <c r="BC193" s="49">
        <f t="shared" ca="1" si="40"/>
        <v>0</v>
      </c>
      <c r="BD193" s="49">
        <f t="shared" ca="1" si="40"/>
        <v>0</v>
      </c>
      <c r="BE193" s="49">
        <f t="shared" ca="1" si="40"/>
        <v>0</v>
      </c>
      <c r="BF193" s="49">
        <f t="shared" ca="1" si="40"/>
        <v>0</v>
      </c>
      <c r="BG193" s="49">
        <f t="shared" ca="1" si="40"/>
        <v>0</v>
      </c>
      <c r="BH193" s="49">
        <f t="shared" ca="1" si="40"/>
        <v>0</v>
      </c>
      <c r="BI193" s="49">
        <f t="shared" ca="1" si="40"/>
        <v>0</v>
      </c>
      <c r="BJ193" s="49">
        <f t="shared" ca="1" si="40"/>
        <v>0</v>
      </c>
      <c r="BK193" s="49">
        <f t="shared" ca="1" si="40"/>
        <v>0</v>
      </c>
      <c r="BL193" s="49">
        <f t="shared" ca="1" si="40"/>
        <v>0</v>
      </c>
      <c r="BM193" s="49">
        <f t="shared" ca="1" si="40"/>
        <v>0</v>
      </c>
      <c r="BN193" s="49">
        <f t="shared" ca="1" si="40"/>
        <v>0</v>
      </c>
      <c r="BO193" s="49">
        <f t="shared" ca="1" si="40"/>
        <v>0</v>
      </c>
      <c r="BP193" s="49">
        <f t="shared" ca="1" si="40"/>
        <v>0</v>
      </c>
      <c r="BQ193" s="49">
        <f t="shared" ca="1" si="40"/>
        <v>0</v>
      </c>
      <c r="BR193" s="49">
        <f t="shared" ca="1" si="40"/>
        <v>0</v>
      </c>
      <c r="BS193" s="49">
        <f t="shared" ca="1" si="40"/>
        <v>0</v>
      </c>
    </row>
    <row r="194" spans="1:71" outlineLevel="1" x14ac:dyDescent="0.2">
      <c r="J194" s="26"/>
      <c r="L194" s="55"/>
      <c r="M194" s="55"/>
      <c r="N194" s="55"/>
      <c r="O194" s="55"/>
      <c r="P194" s="55"/>
      <c r="Q194" s="55"/>
      <c r="R194" s="55"/>
      <c r="S194" s="55"/>
      <c r="T194" s="55"/>
      <c r="U194" s="55"/>
      <c r="V194" s="55"/>
      <c r="W194" s="55"/>
      <c r="X194" s="55"/>
      <c r="Y194" s="55"/>
      <c r="Z194" s="55"/>
      <c r="AA194" s="55"/>
      <c r="AB194" s="55"/>
      <c r="AC194" s="55"/>
      <c r="AD194" s="55"/>
      <c r="AE194" s="55"/>
      <c r="AF194" s="55"/>
      <c r="AG194" s="55"/>
      <c r="AH194" s="55"/>
      <c r="AI194" s="55"/>
      <c r="AJ194" s="55"/>
      <c r="AK194" s="55"/>
      <c r="AL194" s="55"/>
      <c r="AM194" s="55"/>
      <c r="AN194" s="55"/>
      <c r="AO194" s="55"/>
      <c r="AP194" s="55"/>
      <c r="AQ194" s="55"/>
      <c r="AR194" s="55"/>
      <c r="AS194" s="55"/>
      <c r="AT194" s="55"/>
      <c r="AU194" s="55"/>
      <c r="AV194" s="55"/>
      <c r="AW194" s="55"/>
      <c r="AX194" s="55"/>
      <c r="AY194" s="55"/>
      <c r="AZ194" s="55"/>
      <c r="BA194" s="55"/>
      <c r="BB194" s="55"/>
      <c r="BC194" s="55"/>
      <c r="BD194" s="55"/>
      <c r="BE194" s="55"/>
      <c r="BF194" s="55"/>
      <c r="BG194" s="55"/>
      <c r="BH194" s="55"/>
      <c r="BI194" s="55"/>
      <c r="BJ194" s="55"/>
      <c r="BK194" s="55"/>
      <c r="BL194" s="55"/>
      <c r="BM194" s="55"/>
      <c r="BN194" s="55"/>
      <c r="BO194" s="55"/>
      <c r="BP194" s="55"/>
      <c r="BQ194" s="55"/>
      <c r="BR194" s="55"/>
      <c r="BS194" s="55"/>
    </row>
    <row r="195" spans="1:71" outlineLevel="1" x14ac:dyDescent="0.2">
      <c r="C195" s="11" t="str">
        <f>HM_ZB_Nsoko!C208</f>
        <v>Coûts de développement</v>
      </c>
      <c r="J195" s="26"/>
      <c r="L195" s="55"/>
      <c r="M195" s="55"/>
      <c r="N195" s="55"/>
      <c r="O195" s="55"/>
      <c r="P195" s="55"/>
      <c r="Q195" s="55"/>
      <c r="R195" s="55"/>
      <c r="S195" s="55"/>
      <c r="T195" s="55"/>
      <c r="U195" s="55"/>
      <c r="V195" s="55"/>
      <c r="W195" s="55"/>
      <c r="X195" s="55"/>
      <c r="Y195" s="55"/>
      <c r="Z195" s="55"/>
      <c r="AA195" s="55"/>
      <c r="AB195" s="55"/>
      <c r="AC195" s="55"/>
      <c r="AD195" s="55"/>
      <c r="AE195" s="55"/>
      <c r="AF195" s="55"/>
      <c r="AG195" s="55"/>
      <c r="AH195" s="55"/>
      <c r="AI195" s="55"/>
      <c r="AJ195" s="55"/>
      <c r="AK195" s="55"/>
      <c r="AL195" s="55"/>
      <c r="AM195" s="55"/>
      <c r="AN195" s="55"/>
      <c r="AO195" s="55"/>
      <c r="AP195" s="55"/>
      <c r="AQ195" s="55"/>
      <c r="AR195" s="55"/>
      <c r="AS195" s="55"/>
      <c r="AT195" s="55"/>
      <c r="AU195" s="55"/>
      <c r="AV195" s="55"/>
      <c r="AW195" s="55"/>
      <c r="AX195" s="55"/>
      <c r="AY195" s="55"/>
      <c r="AZ195" s="55"/>
      <c r="BA195" s="55"/>
      <c r="BB195" s="55"/>
      <c r="BC195" s="55"/>
      <c r="BD195" s="55"/>
      <c r="BE195" s="55"/>
      <c r="BF195" s="55"/>
      <c r="BG195" s="55"/>
      <c r="BH195" s="55"/>
      <c r="BI195" s="55"/>
      <c r="BJ195" s="55"/>
      <c r="BK195" s="55"/>
      <c r="BL195" s="55"/>
      <c r="BM195" s="55"/>
      <c r="BN195" s="55"/>
      <c r="BO195" s="55"/>
      <c r="BP195" s="55"/>
      <c r="BQ195" s="55"/>
      <c r="BR195" s="55"/>
      <c r="BS195" s="55"/>
    </row>
    <row r="196" spans="1:71" outlineLevel="1" x14ac:dyDescent="0.2">
      <c r="D196" t="str">
        <f>HM_ZB_Nsoko!D209</f>
        <v>Capex développement (nominal)</v>
      </c>
      <c r="I196" s="30">
        <f ca="1">SUM($L196:$BS196)</f>
        <v>406.02799999999996</v>
      </c>
      <c r="J196" s="26" t="s">
        <v>148</v>
      </c>
      <c r="K196" s="7" t="s">
        <v>170</v>
      </c>
      <c r="L196" s="49">
        <f t="shared" ref="L196:S196" ca="1" si="41">IF(L4&gt;=YEAR(effective_date_PNGF2010),(OFFSET(_xlfn.SINGLE(IA_devcapex_real),5,date_offset_KLL2020)*_xlfn.SINGLE(IA_esc_index)),0)</f>
        <v>51.014000000000003</v>
      </c>
      <c r="M196" s="49">
        <f t="shared" ca="1" si="41"/>
        <v>171.511</v>
      </c>
      <c r="N196" s="49">
        <f t="shared" ca="1" si="41"/>
        <v>76.641000000000005</v>
      </c>
      <c r="O196" s="49">
        <f t="shared" ca="1" si="41"/>
        <v>28.661999999999999</v>
      </c>
      <c r="P196" s="49">
        <f t="shared" ca="1" si="41"/>
        <v>18.2</v>
      </c>
      <c r="Q196" s="49">
        <f t="shared" ca="1" si="41"/>
        <v>60</v>
      </c>
      <c r="R196" s="49">
        <f t="shared" ca="1" si="41"/>
        <v>0</v>
      </c>
      <c r="S196" s="49">
        <f t="shared" ca="1" si="41"/>
        <v>0</v>
      </c>
      <c r="T196" s="49">
        <f t="shared" ref="T196:AY196" ca="1" si="42">IF(T4&gt;=YEAR(effective_date_PNGF2010),(OFFSET(_xlfn.SINGLE(IA_devcapex_real),5,date_offset_KLL2020)*_xlfn.SINGLE(IA_esc_index)),0)*(1+df_capex_sens)</f>
        <v>0</v>
      </c>
      <c r="U196" s="49">
        <f t="shared" ca="1" si="42"/>
        <v>0</v>
      </c>
      <c r="V196" s="49">
        <f t="shared" ca="1" si="42"/>
        <v>0</v>
      </c>
      <c r="W196" s="49">
        <f t="shared" ca="1" si="42"/>
        <v>0</v>
      </c>
      <c r="X196" s="49">
        <f t="shared" ca="1" si="42"/>
        <v>0</v>
      </c>
      <c r="Y196" s="49">
        <f t="shared" ca="1" si="42"/>
        <v>0</v>
      </c>
      <c r="Z196" s="49">
        <f t="shared" ca="1" si="42"/>
        <v>0</v>
      </c>
      <c r="AA196" s="49">
        <f t="shared" ca="1" si="42"/>
        <v>0</v>
      </c>
      <c r="AB196" s="49">
        <f t="shared" ca="1" si="42"/>
        <v>0</v>
      </c>
      <c r="AC196" s="49">
        <f t="shared" ca="1" si="42"/>
        <v>0</v>
      </c>
      <c r="AD196" s="49">
        <f t="shared" ca="1" si="42"/>
        <v>0</v>
      </c>
      <c r="AE196" s="49">
        <f t="shared" ca="1" si="42"/>
        <v>0</v>
      </c>
      <c r="AF196" s="49">
        <f t="shared" ca="1" si="42"/>
        <v>0</v>
      </c>
      <c r="AG196" s="49">
        <f t="shared" ca="1" si="42"/>
        <v>0</v>
      </c>
      <c r="AH196" s="49">
        <f t="shared" ca="1" si="42"/>
        <v>0</v>
      </c>
      <c r="AI196" s="49">
        <f t="shared" ca="1" si="42"/>
        <v>0</v>
      </c>
      <c r="AJ196" s="49">
        <f t="shared" ca="1" si="42"/>
        <v>0</v>
      </c>
      <c r="AK196" s="49">
        <f t="shared" ca="1" si="42"/>
        <v>0</v>
      </c>
      <c r="AL196" s="49">
        <f t="shared" ca="1" si="42"/>
        <v>0</v>
      </c>
      <c r="AM196" s="49">
        <f t="shared" ca="1" si="42"/>
        <v>0</v>
      </c>
      <c r="AN196" s="49">
        <f t="shared" ca="1" si="42"/>
        <v>0</v>
      </c>
      <c r="AO196" s="49">
        <f t="shared" ca="1" si="42"/>
        <v>0</v>
      </c>
      <c r="AP196" s="49">
        <f t="shared" ca="1" si="42"/>
        <v>0</v>
      </c>
      <c r="AQ196" s="49">
        <f t="shared" ca="1" si="42"/>
        <v>0</v>
      </c>
      <c r="AR196" s="49">
        <f t="shared" ca="1" si="42"/>
        <v>0</v>
      </c>
      <c r="AS196" s="49">
        <f t="shared" ca="1" si="42"/>
        <v>0</v>
      </c>
      <c r="AT196" s="49">
        <f t="shared" ca="1" si="42"/>
        <v>0</v>
      </c>
      <c r="AU196" s="49">
        <f t="shared" ca="1" si="42"/>
        <v>0</v>
      </c>
      <c r="AV196" s="49">
        <f t="shared" ca="1" si="42"/>
        <v>0</v>
      </c>
      <c r="AW196" s="49">
        <f t="shared" ca="1" si="42"/>
        <v>0</v>
      </c>
      <c r="AX196" s="49">
        <f t="shared" ca="1" si="42"/>
        <v>0</v>
      </c>
      <c r="AY196" s="49">
        <f t="shared" ca="1" si="42"/>
        <v>0</v>
      </c>
      <c r="AZ196" s="49">
        <f t="shared" ref="AZ196:BS196" ca="1" si="43">IF(AZ4&gt;=YEAR(effective_date_PNGF2010),(OFFSET(_xlfn.SINGLE(IA_devcapex_real),5,date_offset_KLL2020)*_xlfn.SINGLE(IA_esc_index)),0)*(1+df_capex_sens)</f>
        <v>0</v>
      </c>
      <c r="BA196" s="49">
        <f t="shared" ca="1" si="43"/>
        <v>0</v>
      </c>
      <c r="BB196" s="49">
        <f t="shared" ca="1" si="43"/>
        <v>0</v>
      </c>
      <c r="BC196" s="49">
        <f t="shared" ca="1" si="43"/>
        <v>0</v>
      </c>
      <c r="BD196" s="49">
        <f t="shared" ca="1" si="43"/>
        <v>0</v>
      </c>
      <c r="BE196" s="49">
        <f t="shared" ca="1" si="43"/>
        <v>0</v>
      </c>
      <c r="BF196" s="49">
        <f t="shared" ca="1" si="43"/>
        <v>0</v>
      </c>
      <c r="BG196" s="49">
        <f t="shared" ca="1" si="43"/>
        <v>0</v>
      </c>
      <c r="BH196" s="49">
        <f t="shared" ca="1" si="43"/>
        <v>0</v>
      </c>
      <c r="BI196" s="49">
        <f t="shared" ca="1" si="43"/>
        <v>0</v>
      </c>
      <c r="BJ196" s="49">
        <f t="shared" ca="1" si="43"/>
        <v>0</v>
      </c>
      <c r="BK196" s="49">
        <f t="shared" ca="1" si="43"/>
        <v>0</v>
      </c>
      <c r="BL196" s="49">
        <f t="shared" ca="1" si="43"/>
        <v>0</v>
      </c>
      <c r="BM196" s="49">
        <f t="shared" ca="1" si="43"/>
        <v>0</v>
      </c>
      <c r="BN196" s="49">
        <f t="shared" ca="1" si="43"/>
        <v>0</v>
      </c>
      <c r="BO196" s="49">
        <f t="shared" ca="1" si="43"/>
        <v>0</v>
      </c>
      <c r="BP196" s="49">
        <f t="shared" ca="1" si="43"/>
        <v>0</v>
      </c>
      <c r="BQ196" s="49">
        <f t="shared" ca="1" si="43"/>
        <v>0</v>
      </c>
      <c r="BR196" s="49">
        <f t="shared" ca="1" si="43"/>
        <v>0</v>
      </c>
      <c r="BS196" s="49">
        <f t="shared" ca="1" si="43"/>
        <v>0</v>
      </c>
    </row>
    <row r="197" spans="1:71" outlineLevel="1" x14ac:dyDescent="0.2">
      <c r="J197" s="26"/>
      <c r="L197" s="55"/>
      <c r="M197" s="55"/>
      <c r="N197" s="55"/>
      <c r="O197" s="55"/>
      <c r="P197" s="55"/>
      <c r="Q197" s="55"/>
      <c r="R197" s="55"/>
      <c r="S197" s="55"/>
      <c r="T197" s="55"/>
      <c r="U197" s="55"/>
      <c r="V197" s="55"/>
      <c r="W197" s="55"/>
      <c r="X197" s="55"/>
      <c r="Y197" s="55"/>
      <c r="Z197" s="55"/>
      <c r="AA197" s="55"/>
      <c r="AB197" s="55"/>
      <c r="AC197" s="55"/>
      <c r="AD197" s="55"/>
      <c r="AE197" s="55"/>
      <c r="AF197" s="55"/>
      <c r="AG197" s="55"/>
      <c r="AH197" s="55"/>
      <c r="AI197" s="55"/>
      <c r="AJ197" s="55"/>
      <c r="AK197" s="55"/>
      <c r="AL197" s="55"/>
      <c r="AM197" s="55"/>
      <c r="AN197" s="55"/>
      <c r="AO197" s="55"/>
      <c r="AP197" s="55"/>
      <c r="AQ197" s="55"/>
      <c r="AR197" s="55"/>
      <c r="AS197" s="55"/>
      <c r="AT197" s="55"/>
      <c r="AU197" s="55"/>
      <c r="AV197" s="55"/>
      <c r="AW197" s="55"/>
      <c r="AX197" s="55"/>
      <c r="AY197" s="55"/>
      <c r="AZ197" s="55"/>
      <c r="BA197" s="55"/>
      <c r="BB197" s="55"/>
      <c r="BC197" s="55"/>
      <c r="BD197" s="55"/>
      <c r="BE197" s="55"/>
      <c r="BF197" s="55"/>
      <c r="BG197" s="55"/>
      <c r="BH197" s="55"/>
      <c r="BI197" s="55"/>
      <c r="BJ197" s="55"/>
      <c r="BK197" s="55"/>
      <c r="BL197" s="55"/>
      <c r="BM197" s="55"/>
      <c r="BN197" s="55"/>
      <c r="BO197" s="55"/>
      <c r="BP197" s="55"/>
      <c r="BQ197" s="55"/>
      <c r="BR197" s="55"/>
      <c r="BS197" s="55"/>
    </row>
    <row r="198" spans="1:71" outlineLevel="1" x14ac:dyDescent="0.2">
      <c r="C198" s="11" t="str">
        <f>HM_ZB_Nsoko!C211</f>
        <v>Coûts d'abandon</v>
      </c>
      <c r="J198" s="26"/>
      <c r="L198" s="55"/>
      <c r="M198" s="55"/>
      <c r="N198" s="55"/>
      <c r="O198" s="55"/>
      <c r="P198" s="55"/>
      <c r="Q198" s="55"/>
      <c r="R198" s="55"/>
      <c r="S198" s="55"/>
      <c r="T198" s="55"/>
      <c r="U198" s="55"/>
      <c r="V198" s="55"/>
      <c r="W198" s="55"/>
      <c r="X198" s="55"/>
      <c r="Y198" s="55"/>
      <c r="Z198" s="55"/>
      <c r="AA198" s="55"/>
      <c r="AB198" s="55"/>
      <c r="AC198" s="55"/>
      <c r="AD198" s="55"/>
      <c r="AE198" s="55"/>
      <c r="AF198" s="55"/>
      <c r="AG198" s="55"/>
      <c r="AH198" s="55"/>
      <c r="AI198" s="55"/>
      <c r="AJ198" s="55"/>
      <c r="AK198" s="55"/>
      <c r="AL198" s="55"/>
      <c r="AM198" s="55"/>
      <c r="AN198" s="55"/>
      <c r="AO198" s="55"/>
      <c r="AP198" s="55"/>
      <c r="AQ198" s="55"/>
      <c r="AR198" s="55"/>
      <c r="AS198" s="55"/>
      <c r="AT198" s="55"/>
      <c r="AU198" s="55"/>
      <c r="AV198" s="55"/>
      <c r="AW198" s="55"/>
      <c r="AX198" s="55"/>
      <c r="AY198" s="55"/>
      <c r="AZ198" s="55"/>
      <c r="BA198" s="55"/>
      <c r="BB198" s="55"/>
      <c r="BC198" s="55"/>
      <c r="BD198" s="55"/>
      <c r="BE198" s="55"/>
      <c r="BF198" s="55"/>
      <c r="BG198" s="55"/>
      <c r="BH198" s="55"/>
      <c r="BI198" s="55"/>
      <c r="BJ198" s="55"/>
      <c r="BK198" s="55"/>
      <c r="BL198" s="55"/>
      <c r="BM198" s="55"/>
      <c r="BN198" s="55"/>
      <c r="BO198" s="55"/>
      <c r="BP198" s="55"/>
      <c r="BQ198" s="55"/>
      <c r="BR198" s="55"/>
      <c r="BS198" s="55"/>
    </row>
    <row r="199" spans="1:71" outlineLevel="1" x14ac:dyDescent="0.2">
      <c r="D199" t="str">
        <f>HM_ZB_Nsoko!D212</f>
        <v>Abandon (nominal)</v>
      </c>
      <c r="I199" s="30">
        <f ca="1">SUM($L199:$BS199)</f>
        <v>675.7120000000001</v>
      </c>
      <c r="J199" s="26" t="s">
        <v>148</v>
      </c>
      <c r="K199" s="7" t="s">
        <v>172</v>
      </c>
      <c r="L199" s="49">
        <f t="shared" ref="L199:S199" ca="1" si="44">IF(L4&gt;=YEAR(effective_date_PNGF2010),(OFFSET(_xlfn.SINGLE(IA_decom_real),5,date_offset_KLL2020)*_xlfn.SINGLE(IA_esc_index)),0)*decom_toggle</f>
        <v>28.318999999999999</v>
      </c>
      <c r="M199" s="49">
        <f t="shared" ca="1" si="44"/>
        <v>38.320999999999998</v>
      </c>
      <c r="N199" s="49">
        <f t="shared" ca="1" si="44"/>
        <v>51.231000000000002</v>
      </c>
      <c r="O199" s="49">
        <f t="shared" ca="1" si="44"/>
        <v>101.089</v>
      </c>
      <c r="P199" s="49">
        <f t="shared" ca="1" si="44"/>
        <v>131.86000000000001</v>
      </c>
      <c r="Q199" s="49">
        <f t="shared" ca="1" si="44"/>
        <v>161.22499999999999</v>
      </c>
      <c r="R199" s="49">
        <f t="shared" ca="1" si="44"/>
        <v>163.667</v>
      </c>
      <c r="S199" s="49">
        <f t="shared" ca="1" si="44"/>
        <v>0</v>
      </c>
      <c r="T199" s="49">
        <f t="shared" ref="T199:AY199" ca="1" si="45">IF(T4&gt;=YEAR(effective_date_PNGF2010),(OFFSET(_xlfn.SINGLE(IA_decom_real),5,date_offset_KLL2020)*_xlfn.SINGLE(IA_esc_index)),0)*(1*(df_decom_switch="Yes"))*(1+df_capex_sens)</f>
        <v>0</v>
      </c>
      <c r="U199" s="49">
        <f t="shared" ca="1" si="45"/>
        <v>0</v>
      </c>
      <c r="V199" s="49">
        <f t="shared" ca="1" si="45"/>
        <v>0</v>
      </c>
      <c r="W199" s="49">
        <f t="shared" ca="1" si="45"/>
        <v>0</v>
      </c>
      <c r="X199" s="49">
        <f t="shared" ca="1" si="45"/>
        <v>0</v>
      </c>
      <c r="Y199" s="49">
        <f t="shared" ca="1" si="45"/>
        <v>0</v>
      </c>
      <c r="Z199" s="49">
        <f t="shared" ca="1" si="45"/>
        <v>0</v>
      </c>
      <c r="AA199" s="49">
        <f t="shared" ca="1" si="45"/>
        <v>0</v>
      </c>
      <c r="AB199" s="49">
        <f t="shared" ca="1" si="45"/>
        <v>0</v>
      </c>
      <c r="AC199" s="49">
        <f t="shared" ca="1" si="45"/>
        <v>0</v>
      </c>
      <c r="AD199" s="49">
        <f t="shared" ca="1" si="45"/>
        <v>0</v>
      </c>
      <c r="AE199" s="49">
        <f t="shared" ca="1" si="45"/>
        <v>0</v>
      </c>
      <c r="AF199" s="49">
        <f t="shared" ca="1" si="45"/>
        <v>0</v>
      </c>
      <c r="AG199" s="49">
        <f t="shared" ca="1" si="45"/>
        <v>0</v>
      </c>
      <c r="AH199" s="49">
        <f t="shared" ca="1" si="45"/>
        <v>0</v>
      </c>
      <c r="AI199" s="49">
        <f t="shared" ca="1" si="45"/>
        <v>0</v>
      </c>
      <c r="AJ199" s="49">
        <f t="shared" ca="1" si="45"/>
        <v>0</v>
      </c>
      <c r="AK199" s="49">
        <f t="shared" ca="1" si="45"/>
        <v>0</v>
      </c>
      <c r="AL199" s="49">
        <f t="shared" ca="1" si="45"/>
        <v>0</v>
      </c>
      <c r="AM199" s="49">
        <f t="shared" ca="1" si="45"/>
        <v>0</v>
      </c>
      <c r="AN199" s="49">
        <f t="shared" ca="1" si="45"/>
        <v>0</v>
      </c>
      <c r="AO199" s="49">
        <f t="shared" ca="1" si="45"/>
        <v>0</v>
      </c>
      <c r="AP199" s="49">
        <f t="shared" ca="1" si="45"/>
        <v>0</v>
      </c>
      <c r="AQ199" s="49">
        <f t="shared" ca="1" si="45"/>
        <v>0</v>
      </c>
      <c r="AR199" s="49">
        <f t="shared" ca="1" si="45"/>
        <v>0</v>
      </c>
      <c r="AS199" s="49">
        <f t="shared" ca="1" si="45"/>
        <v>0</v>
      </c>
      <c r="AT199" s="49">
        <f t="shared" ca="1" si="45"/>
        <v>0</v>
      </c>
      <c r="AU199" s="49">
        <f t="shared" ca="1" si="45"/>
        <v>0</v>
      </c>
      <c r="AV199" s="49">
        <f t="shared" ca="1" si="45"/>
        <v>0</v>
      </c>
      <c r="AW199" s="49">
        <f t="shared" ca="1" si="45"/>
        <v>0</v>
      </c>
      <c r="AX199" s="49">
        <f t="shared" ca="1" si="45"/>
        <v>0</v>
      </c>
      <c r="AY199" s="49">
        <f t="shared" ca="1" si="45"/>
        <v>0</v>
      </c>
      <c r="AZ199" s="49">
        <f t="shared" ref="AZ199:BS199" ca="1" si="46">IF(AZ4&gt;=YEAR(effective_date_PNGF2010),(OFFSET(_xlfn.SINGLE(IA_decom_real),5,date_offset_KLL2020)*_xlfn.SINGLE(IA_esc_index)),0)*(1*(df_decom_switch="Yes"))*(1+df_capex_sens)</f>
        <v>0</v>
      </c>
      <c r="BA199" s="49">
        <f t="shared" ca="1" si="46"/>
        <v>0</v>
      </c>
      <c r="BB199" s="49">
        <f t="shared" ca="1" si="46"/>
        <v>0</v>
      </c>
      <c r="BC199" s="49">
        <f t="shared" ca="1" si="46"/>
        <v>0</v>
      </c>
      <c r="BD199" s="49">
        <f t="shared" ca="1" si="46"/>
        <v>0</v>
      </c>
      <c r="BE199" s="49">
        <f t="shared" ca="1" si="46"/>
        <v>0</v>
      </c>
      <c r="BF199" s="49">
        <f t="shared" ca="1" si="46"/>
        <v>0</v>
      </c>
      <c r="BG199" s="49">
        <f t="shared" ca="1" si="46"/>
        <v>0</v>
      </c>
      <c r="BH199" s="49">
        <f t="shared" ca="1" si="46"/>
        <v>0</v>
      </c>
      <c r="BI199" s="49">
        <f t="shared" ca="1" si="46"/>
        <v>0</v>
      </c>
      <c r="BJ199" s="49">
        <f t="shared" ca="1" si="46"/>
        <v>0</v>
      </c>
      <c r="BK199" s="49">
        <f t="shared" ca="1" si="46"/>
        <v>0</v>
      </c>
      <c r="BL199" s="49">
        <f t="shared" ca="1" si="46"/>
        <v>0</v>
      </c>
      <c r="BM199" s="49">
        <f t="shared" ca="1" si="46"/>
        <v>0</v>
      </c>
      <c r="BN199" s="49">
        <f t="shared" ca="1" si="46"/>
        <v>0</v>
      </c>
      <c r="BO199" s="49">
        <f t="shared" ca="1" si="46"/>
        <v>0</v>
      </c>
      <c r="BP199" s="49">
        <f t="shared" ca="1" si="46"/>
        <v>0</v>
      </c>
      <c r="BQ199" s="49">
        <f t="shared" ca="1" si="46"/>
        <v>0</v>
      </c>
      <c r="BR199" s="49">
        <f t="shared" ca="1" si="46"/>
        <v>0</v>
      </c>
      <c r="BS199" s="49">
        <f t="shared" ca="1" si="46"/>
        <v>0</v>
      </c>
    </row>
    <row r="200" spans="1:71" outlineLevel="1" x14ac:dyDescent="0.2">
      <c r="J200" s="26"/>
      <c r="L200" s="55"/>
      <c r="M200" s="55"/>
      <c r="N200" s="55"/>
      <c r="O200" s="55"/>
      <c r="P200" s="55"/>
      <c r="Q200" s="55"/>
      <c r="R200" s="55"/>
      <c r="S200" s="55"/>
      <c r="T200" s="55"/>
      <c r="U200" s="55"/>
      <c r="V200" s="55"/>
      <c r="W200" s="55"/>
      <c r="X200" s="55"/>
      <c r="Y200" s="55"/>
      <c r="Z200" s="55"/>
      <c r="AA200" s="55"/>
      <c r="AB200" s="55"/>
      <c r="AC200" s="55"/>
      <c r="AD200" s="55"/>
      <c r="AE200" s="55"/>
      <c r="AF200" s="55"/>
      <c r="AG200" s="55"/>
      <c r="AH200" s="55"/>
      <c r="AI200" s="55"/>
      <c r="AJ200" s="55"/>
      <c r="AK200" s="55"/>
      <c r="AL200" s="55"/>
      <c r="AM200" s="55"/>
      <c r="AN200" s="55"/>
      <c r="AO200" s="55"/>
      <c r="AP200" s="55"/>
      <c r="AQ200" s="55"/>
      <c r="AR200" s="55"/>
      <c r="AS200" s="55"/>
      <c r="AT200" s="55"/>
      <c r="AU200" s="55"/>
      <c r="AV200" s="55"/>
      <c r="AW200" s="55"/>
      <c r="AX200" s="55"/>
      <c r="AY200" s="55"/>
      <c r="AZ200" s="55"/>
      <c r="BA200" s="55"/>
      <c r="BB200" s="55"/>
      <c r="BC200" s="55"/>
      <c r="BD200" s="55"/>
      <c r="BE200" s="55"/>
      <c r="BF200" s="55"/>
      <c r="BG200" s="55"/>
      <c r="BH200" s="55"/>
      <c r="BI200" s="55"/>
      <c r="BJ200" s="55"/>
      <c r="BK200" s="55"/>
      <c r="BL200" s="55"/>
      <c r="BM200" s="55"/>
      <c r="BN200" s="55"/>
      <c r="BO200" s="55"/>
      <c r="BP200" s="55"/>
      <c r="BQ200" s="55"/>
      <c r="BR200" s="55"/>
      <c r="BS200" s="55"/>
    </row>
    <row r="201" spans="1:71" outlineLevel="1" x14ac:dyDescent="0.2">
      <c r="J201" s="26"/>
      <c r="L201" s="55"/>
      <c r="M201" s="55"/>
      <c r="N201" s="55"/>
      <c r="O201" s="55"/>
      <c r="P201" s="55"/>
      <c r="Q201" s="55"/>
      <c r="R201" s="55"/>
      <c r="S201" s="55"/>
      <c r="T201" s="55"/>
      <c r="U201" s="55"/>
      <c r="V201" s="55"/>
      <c r="W201" s="55"/>
      <c r="X201" s="55"/>
      <c r="Y201" s="55"/>
      <c r="Z201" s="55"/>
      <c r="AA201" s="55"/>
      <c r="AB201" s="55"/>
      <c r="AC201" s="55"/>
      <c r="AD201" s="55"/>
      <c r="AE201" s="55"/>
      <c r="AF201" s="55"/>
      <c r="AG201" s="55"/>
      <c r="AH201" s="55"/>
      <c r="AI201" s="55"/>
      <c r="AJ201" s="55"/>
      <c r="AK201" s="55"/>
      <c r="AL201" s="55"/>
      <c r="AM201" s="55"/>
      <c r="AN201" s="55"/>
      <c r="AO201" s="55"/>
      <c r="AP201" s="55"/>
      <c r="AQ201" s="55"/>
      <c r="AR201" s="55"/>
      <c r="AS201" s="55"/>
      <c r="AT201" s="55"/>
      <c r="AU201" s="55"/>
      <c r="AV201" s="55"/>
      <c r="AW201" s="55"/>
      <c r="AX201" s="55"/>
      <c r="AY201" s="55"/>
      <c r="AZ201" s="55"/>
      <c r="BA201" s="55"/>
      <c r="BB201" s="55"/>
      <c r="BC201" s="55"/>
      <c r="BD201" s="55"/>
      <c r="BE201" s="55"/>
      <c r="BF201" s="55"/>
      <c r="BG201" s="55"/>
      <c r="BH201" s="55"/>
      <c r="BI201" s="55"/>
      <c r="BJ201" s="55"/>
      <c r="BK201" s="55"/>
      <c r="BL201" s="55"/>
      <c r="BM201" s="55"/>
      <c r="BN201" s="55"/>
      <c r="BO201" s="55"/>
      <c r="BP201" s="55"/>
      <c r="BQ201" s="55"/>
      <c r="BR201" s="55"/>
      <c r="BS201" s="55"/>
    </row>
    <row r="202" spans="1:71" outlineLevel="1" x14ac:dyDescent="0.2">
      <c r="A202" s="45"/>
      <c r="B202" s="38" t="str">
        <f>HM_ZB_Nsoko!B215</f>
        <v>Calculs fiscaux</v>
      </c>
      <c r="C202" s="45"/>
      <c r="D202" s="45"/>
      <c r="E202" s="45"/>
      <c r="J202" s="26"/>
      <c r="L202" s="55"/>
      <c r="M202" s="55"/>
      <c r="N202" s="55"/>
      <c r="O202" s="55"/>
      <c r="P202" s="55"/>
      <c r="Q202" s="55"/>
      <c r="R202" s="55"/>
      <c r="S202" s="55"/>
      <c r="T202" s="55"/>
      <c r="U202" s="55"/>
      <c r="V202" s="55"/>
      <c r="W202" s="55"/>
      <c r="X202" s="55"/>
      <c r="Y202" s="55"/>
      <c r="Z202" s="55"/>
      <c r="AA202" s="55"/>
      <c r="AB202" s="55"/>
      <c r="AC202" s="55"/>
      <c r="AD202" s="55"/>
      <c r="AE202" s="55"/>
      <c r="AF202" s="55"/>
      <c r="AG202" s="55"/>
      <c r="AH202" s="55"/>
      <c r="AI202" s="55"/>
      <c r="AJ202" s="55"/>
      <c r="AK202" s="55"/>
      <c r="AL202" s="55"/>
      <c r="AM202" s="55"/>
      <c r="AN202" s="55"/>
      <c r="AO202" s="55"/>
      <c r="AP202" s="55"/>
      <c r="AQ202" s="55"/>
      <c r="AR202" s="55"/>
      <c r="AS202" s="55"/>
      <c r="AT202" s="55"/>
      <c r="AU202" s="55"/>
      <c r="AV202" s="55"/>
      <c r="AW202" s="55"/>
      <c r="AX202" s="55"/>
      <c r="AY202" s="55"/>
      <c r="AZ202" s="55"/>
      <c r="BA202" s="55"/>
      <c r="BB202" s="55"/>
      <c r="BC202" s="55"/>
      <c r="BD202" s="55"/>
      <c r="BE202" s="55"/>
      <c r="BF202" s="55"/>
      <c r="BG202" s="55"/>
      <c r="BH202" s="55"/>
      <c r="BI202" s="55"/>
      <c r="BJ202" s="55"/>
      <c r="BK202" s="55"/>
      <c r="BL202" s="55"/>
      <c r="BM202" s="55"/>
      <c r="BN202" s="55"/>
      <c r="BO202" s="55"/>
      <c r="BP202" s="55"/>
      <c r="BQ202" s="55"/>
      <c r="BR202" s="55"/>
      <c r="BS202" s="55"/>
    </row>
    <row r="203" spans="1:71" outlineLevel="1" x14ac:dyDescent="0.2">
      <c r="J203" s="26"/>
      <c r="L203" s="55"/>
      <c r="M203" s="55"/>
      <c r="N203" s="55"/>
      <c r="O203" s="55"/>
      <c r="P203" s="55"/>
      <c r="Q203" s="55"/>
      <c r="R203" s="55"/>
      <c r="S203" s="55"/>
      <c r="T203" s="55"/>
      <c r="U203" s="55"/>
      <c r="V203" s="55"/>
      <c r="W203" s="55"/>
      <c r="X203" s="55"/>
      <c r="Y203" s="55"/>
      <c r="Z203" s="55"/>
      <c r="AA203" s="55"/>
      <c r="AB203" s="55"/>
      <c r="AC203" s="55"/>
      <c r="AD203" s="55"/>
      <c r="AE203" s="55"/>
      <c r="AF203" s="55"/>
      <c r="AG203" s="55"/>
      <c r="AH203" s="55"/>
      <c r="AI203" s="55"/>
      <c r="AJ203" s="55"/>
      <c r="AK203" s="55"/>
      <c r="AL203" s="55"/>
      <c r="AM203" s="55"/>
      <c r="AN203" s="55"/>
      <c r="AO203" s="55"/>
      <c r="AP203" s="55"/>
      <c r="AQ203" s="55"/>
      <c r="AR203" s="55"/>
      <c r="AS203" s="55"/>
      <c r="AT203" s="55"/>
      <c r="AU203" s="55"/>
      <c r="AV203" s="55"/>
      <c r="AW203" s="55"/>
      <c r="AX203" s="55"/>
      <c r="AY203" s="55"/>
      <c r="AZ203" s="55"/>
      <c r="BA203" s="55"/>
      <c r="BB203" s="55"/>
      <c r="BC203" s="55"/>
      <c r="BD203" s="55"/>
      <c r="BE203" s="55"/>
      <c r="BF203" s="55"/>
      <c r="BG203" s="55"/>
      <c r="BH203" s="55"/>
      <c r="BI203" s="55"/>
      <c r="BJ203" s="55"/>
      <c r="BK203" s="55"/>
      <c r="BL203" s="55"/>
      <c r="BM203" s="55"/>
      <c r="BN203" s="55"/>
      <c r="BO203" s="55"/>
      <c r="BP203" s="55"/>
      <c r="BQ203" s="55"/>
      <c r="BR203" s="55"/>
      <c r="BS203" s="55"/>
    </row>
    <row r="204" spans="1:71" outlineLevel="1" x14ac:dyDescent="0.2">
      <c r="C204" s="11" t="str">
        <f>HM_ZB_Nsoko!C217</f>
        <v>Déclencheur exploitation</v>
      </c>
      <c r="J204" s="26"/>
      <c r="K204" s="7" t="s">
        <v>213</v>
      </c>
      <c r="L204" s="57">
        <f ca="1">1*(OR(KLL_II_2020!CA_opex_total_nom&gt;0,KLL_II_2020!CA_expex_nom&gt;0,KLL_II_2020!CA_devex_nom&gt;0,KLL_II_2020!CA_gross_prod_oil+KLL_II_2020!CA_gross_prod_gas&gt;0))</f>
        <v>1</v>
      </c>
      <c r="M204" s="57">
        <f ca="1">1*(OR(KLL_II_2020!CA_opex_total_nom&gt;0,KLL_II_2020!CA_expex_nom&gt;0,KLL_II_2020!CA_devex_nom&gt;0,KLL_II_2020!CA_gross_prod_oil+KLL_II_2020!CA_gross_prod_gas&gt;0))</f>
        <v>1</v>
      </c>
      <c r="N204" s="57">
        <f ca="1">1*(OR(KLL_II_2020!CA_opex_total_nom&gt;0,KLL_II_2020!CA_expex_nom&gt;0,KLL_II_2020!CA_devex_nom&gt;0,KLL_II_2020!CA_gross_prod_oil+KLL_II_2020!CA_gross_prod_gas&gt;0))</f>
        <v>1</v>
      </c>
      <c r="O204" s="57">
        <f ca="1">1*(OR(KLL_II_2020!CA_opex_total_nom&gt;0,KLL_II_2020!CA_expex_nom&gt;0,KLL_II_2020!CA_devex_nom&gt;0,KLL_II_2020!CA_gross_prod_oil+KLL_II_2020!CA_gross_prod_gas&gt;0))</f>
        <v>1</v>
      </c>
      <c r="P204" s="57">
        <f ca="1">1*(OR(KLL_II_2020!CA_opex_total_nom&gt;0,KLL_II_2020!CA_expex_nom&gt;0,KLL_II_2020!CA_devex_nom&gt;0,KLL_II_2020!CA_gross_prod_oil+KLL_II_2020!CA_gross_prod_gas&gt;0))</f>
        <v>1</v>
      </c>
      <c r="Q204" s="57">
        <f ca="1">1*(OR(KLL_II_2020!CA_opex_total_nom&gt;0,KLL_II_2020!CA_expex_nom&gt;0,KLL_II_2020!CA_devex_nom&gt;0,KLL_II_2020!CA_gross_prod_oil+KLL_II_2020!CA_gross_prod_gas&gt;0))</f>
        <v>1</v>
      </c>
      <c r="R204" s="57">
        <f ca="1">1*(OR(KLL_II_2020!CA_opex_total_nom&gt;0,KLL_II_2020!CA_expex_nom&gt;0,KLL_II_2020!CA_devex_nom&gt;0,KLL_II_2020!CA_gross_prod_oil+KLL_II_2020!CA_gross_prod_gas&gt;0))</f>
        <v>1</v>
      </c>
      <c r="S204" s="57">
        <f ca="1">1*(OR(KLL_II_2020!CA_opex_total_nom&gt;0,KLL_II_2020!CA_expex_nom&gt;0,KLL_II_2020!CA_devex_nom&gt;0,KLL_II_2020!CA_gross_prod_oil+KLL_II_2020!CA_gross_prod_gas&gt;0))</f>
        <v>1</v>
      </c>
      <c r="T204" s="57">
        <f ca="1">1*(OR(KLL_II_2020!CA_opex_total_nom&gt;0,KLL_II_2020!CA_expex_nom&gt;0,KLL_II_2020!CA_devex_nom&gt;0,KLL_II_2020!CA_gross_prod_oil+KLL_II_2020!CA_gross_prod_gas&gt;0))</f>
        <v>1</v>
      </c>
      <c r="U204" s="57">
        <f ca="1">1*(OR(KLL_II_2020!CA_opex_total_nom&gt;0,KLL_II_2020!CA_expex_nom&gt;0,KLL_II_2020!CA_devex_nom&gt;0,KLL_II_2020!CA_gross_prod_oil+KLL_II_2020!CA_gross_prod_gas&gt;0))</f>
        <v>1</v>
      </c>
      <c r="V204" s="57">
        <f ca="1">1*(OR(KLL_II_2020!CA_opex_total_nom&gt;0,KLL_II_2020!CA_expex_nom&gt;0,KLL_II_2020!CA_devex_nom&gt;0,KLL_II_2020!CA_gross_prod_oil+KLL_II_2020!CA_gross_prod_gas&gt;0))</f>
        <v>1</v>
      </c>
      <c r="W204" s="57">
        <f ca="1">1*(OR(KLL_II_2020!CA_opex_total_nom&gt;0,KLL_II_2020!CA_expex_nom&gt;0,KLL_II_2020!CA_devex_nom&gt;0,KLL_II_2020!CA_gross_prod_oil+KLL_II_2020!CA_gross_prod_gas&gt;0))</f>
        <v>1</v>
      </c>
      <c r="X204" s="57">
        <f ca="1">1*(OR(KLL_II_2020!CA_opex_total_nom&gt;0,KLL_II_2020!CA_expex_nom&gt;0,KLL_II_2020!CA_devex_nom&gt;0,KLL_II_2020!CA_gross_prod_oil+KLL_II_2020!CA_gross_prod_gas&gt;0))</f>
        <v>1</v>
      </c>
      <c r="Y204" s="57">
        <f ca="1">1*(OR(KLL_II_2020!CA_opex_total_nom&gt;0,KLL_II_2020!CA_expex_nom&gt;0,KLL_II_2020!CA_devex_nom&gt;0,KLL_II_2020!CA_gross_prod_oil+KLL_II_2020!CA_gross_prod_gas&gt;0))</f>
        <v>0</v>
      </c>
      <c r="Z204" s="57">
        <f ca="1">1*(OR(KLL_II_2020!CA_opex_total_nom&gt;0,KLL_II_2020!CA_expex_nom&gt;0,KLL_II_2020!CA_devex_nom&gt;0,KLL_II_2020!CA_gross_prod_oil+KLL_II_2020!CA_gross_prod_gas&gt;0))</f>
        <v>0</v>
      </c>
      <c r="AA204" s="57">
        <f ca="1">1*(OR(KLL_II_2020!CA_opex_total_nom&gt;0,KLL_II_2020!CA_expex_nom&gt;0,KLL_II_2020!CA_devex_nom&gt;0,KLL_II_2020!CA_gross_prod_oil+KLL_II_2020!CA_gross_prod_gas&gt;0))</f>
        <v>0</v>
      </c>
      <c r="AB204" s="57">
        <f ca="1">1*(OR(KLL_II_2020!CA_opex_total_nom&gt;0,KLL_II_2020!CA_expex_nom&gt;0,KLL_II_2020!CA_devex_nom&gt;0,KLL_II_2020!CA_gross_prod_oil+KLL_II_2020!CA_gross_prod_gas&gt;0))</f>
        <v>0</v>
      </c>
      <c r="AC204" s="57">
        <f ca="1">1*(OR(KLL_II_2020!CA_opex_total_nom&gt;0,KLL_II_2020!CA_expex_nom&gt;0,KLL_II_2020!CA_devex_nom&gt;0,KLL_II_2020!CA_gross_prod_oil+KLL_II_2020!CA_gross_prod_gas&gt;0))</f>
        <v>0</v>
      </c>
      <c r="AD204" s="57">
        <f ca="1">1*(OR(KLL_II_2020!CA_opex_total_nom&gt;0,KLL_II_2020!CA_expex_nom&gt;0,KLL_II_2020!CA_devex_nom&gt;0,KLL_II_2020!CA_gross_prod_oil+KLL_II_2020!CA_gross_prod_gas&gt;0))</f>
        <v>0</v>
      </c>
      <c r="AE204" s="57">
        <f ca="1">1*(OR(KLL_II_2020!CA_opex_total_nom&gt;0,KLL_II_2020!CA_expex_nom&gt;0,KLL_II_2020!CA_devex_nom&gt;0,KLL_II_2020!CA_gross_prod_oil+KLL_II_2020!CA_gross_prod_gas&gt;0))</f>
        <v>0</v>
      </c>
      <c r="AF204" s="57">
        <f ca="1">1*(OR(KLL_II_2020!CA_opex_total_nom&gt;0,KLL_II_2020!CA_expex_nom&gt;0,KLL_II_2020!CA_devex_nom&gt;0,KLL_II_2020!CA_gross_prod_oil+KLL_II_2020!CA_gross_prod_gas&gt;0))</f>
        <v>0</v>
      </c>
      <c r="AG204" s="57">
        <f ca="1">1*(OR(KLL_II_2020!CA_opex_total_nom&gt;0,KLL_II_2020!CA_expex_nom&gt;0,KLL_II_2020!CA_devex_nom&gt;0,KLL_II_2020!CA_gross_prod_oil+KLL_II_2020!CA_gross_prod_gas&gt;0))</f>
        <v>0</v>
      </c>
      <c r="AH204" s="57">
        <f ca="1">1*(OR(KLL_II_2020!CA_opex_total_nom&gt;0,KLL_II_2020!CA_expex_nom&gt;0,KLL_II_2020!CA_devex_nom&gt;0,KLL_II_2020!CA_gross_prod_oil+KLL_II_2020!CA_gross_prod_gas&gt;0))</f>
        <v>0</v>
      </c>
      <c r="AI204" s="57">
        <f ca="1">1*(OR(KLL_II_2020!CA_opex_total_nom&gt;0,KLL_II_2020!CA_expex_nom&gt;0,KLL_II_2020!CA_devex_nom&gt;0,KLL_II_2020!CA_gross_prod_oil+KLL_II_2020!CA_gross_prod_gas&gt;0))</f>
        <v>0</v>
      </c>
      <c r="AJ204" s="57">
        <f ca="1">1*(OR(KLL_II_2020!CA_opex_total_nom&gt;0,KLL_II_2020!CA_expex_nom&gt;0,KLL_II_2020!CA_devex_nom&gt;0,KLL_II_2020!CA_gross_prod_oil+KLL_II_2020!CA_gross_prod_gas&gt;0))</f>
        <v>0</v>
      </c>
      <c r="AK204" s="57">
        <f ca="1">1*(OR(KLL_II_2020!CA_opex_total_nom&gt;0,KLL_II_2020!CA_expex_nom&gt;0,KLL_II_2020!CA_devex_nom&gt;0,KLL_II_2020!CA_gross_prod_oil+KLL_II_2020!CA_gross_prod_gas&gt;0))</f>
        <v>0</v>
      </c>
      <c r="AL204" s="57">
        <f ca="1">1*(OR(KLL_II_2020!CA_opex_total_nom&gt;0,KLL_II_2020!CA_expex_nom&gt;0,KLL_II_2020!CA_devex_nom&gt;0,KLL_II_2020!CA_gross_prod_oil+KLL_II_2020!CA_gross_prod_gas&gt;0))</f>
        <v>0</v>
      </c>
      <c r="AM204" s="57">
        <f ca="1">1*(OR(KLL_II_2020!CA_opex_total_nom&gt;0,KLL_II_2020!CA_expex_nom&gt;0,KLL_II_2020!CA_devex_nom&gt;0,KLL_II_2020!CA_gross_prod_oil+KLL_II_2020!CA_gross_prod_gas&gt;0))</f>
        <v>0</v>
      </c>
      <c r="AN204" s="57">
        <f ca="1">1*(OR(KLL_II_2020!CA_opex_total_nom&gt;0,KLL_II_2020!CA_expex_nom&gt;0,KLL_II_2020!CA_devex_nom&gt;0,KLL_II_2020!CA_gross_prod_oil+KLL_II_2020!CA_gross_prod_gas&gt;0))</f>
        <v>0</v>
      </c>
      <c r="AO204" s="57">
        <f ca="1">1*(OR(KLL_II_2020!CA_opex_total_nom&gt;0,KLL_II_2020!CA_expex_nom&gt;0,KLL_II_2020!CA_devex_nom&gt;0,KLL_II_2020!CA_gross_prod_oil+KLL_II_2020!CA_gross_prod_gas&gt;0))</f>
        <v>0</v>
      </c>
      <c r="AP204" s="57">
        <f ca="1">1*(OR(KLL_II_2020!CA_opex_total_nom&gt;0,KLL_II_2020!CA_expex_nom&gt;0,KLL_II_2020!CA_devex_nom&gt;0,KLL_II_2020!CA_gross_prod_oil+KLL_II_2020!CA_gross_prod_gas&gt;0))</f>
        <v>0</v>
      </c>
      <c r="AQ204" s="57">
        <f ca="1">1*(OR(KLL_II_2020!CA_opex_total_nom&gt;0,KLL_II_2020!CA_expex_nom&gt;0,KLL_II_2020!CA_devex_nom&gt;0,KLL_II_2020!CA_gross_prod_oil+KLL_II_2020!CA_gross_prod_gas&gt;0))</f>
        <v>0</v>
      </c>
      <c r="AR204" s="57">
        <f ca="1">1*(OR(KLL_II_2020!CA_opex_total_nom&gt;0,KLL_II_2020!CA_expex_nom&gt;0,KLL_II_2020!CA_devex_nom&gt;0,KLL_II_2020!CA_gross_prod_oil+KLL_II_2020!CA_gross_prod_gas&gt;0))</f>
        <v>0</v>
      </c>
      <c r="AS204" s="57">
        <f ca="1">1*(OR(KLL_II_2020!CA_opex_total_nom&gt;0,KLL_II_2020!CA_expex_nom&gt;0,KLL_II_2020!CA_devex_nom&gt;0,KLL_II_2020!CA_gross_prod_oil+KLL_II_2020!CA_gross_prod_gas&gt;0))</f>
        <v>0</v>
      </c>
      <c r="AT204" s="57">
        <f ca="1">1*(OR(KLL_II_2020!CA_opex_total_nom&gt;0,KLL_II_2020!CA_expex_nom&gt;0,KLL_II_2020!CA_devex_nom&gt;0,KLL_II_2020!CA_gross_prod_oil+KLL_II_2020!CA_gross_prod_gas&gt;0))</f>
        <v>0</v>
      </c>
      <c r="AU204" s="57">
        <f ca="1">1*(OR(KLL_II_2020!CA_opex_total_nom&gt;0,KLL_II_2020!CA_expex_nom&gt;0,KLL_II_2020!CA_devex_nom&gt;0,KLL_II_2020!CA_gross_prod_oil+KLL_II_2020!CA_gross_prod_gas&gt;0))</f>
        <v>0</v>
      </c>
      <c r="AV204" s="57">
        <f ca="1">1*(OR(KLL_II_2020!CA_opex_total_nom&gt;0,KLL_II_2020!CA_expex_nom&gt;0,KLL_II_2020!CA_devex_nom&gt;0,KLL_II_2020!CA_gross_prod_oil+KLL_II_2020!CA_gross_prod_gas&gt;0))</f>
        <v>0</v>
      </c>
      <c r="AW204" s="57">
        <f ca="1">1*(OR(KLL_II_2020!CA_opex_total_nom&gt;0,KLL_II_2020!CA_expex_nom&gt;0,KLL_II_2020!CA_devex_nom&gt;0,KLL_II_2020!CA_gross_prod_oil+KLL_II_2020!CA_gross_prod_gas&gt;0))</f>
        <v>0</v>
      </c>
      <c r="AX204" s="57">
        <f ca="1">1*(OR(KLL_II_2020!CA_opex_total_nom&gt;0,KLL_II_2020!CA_expex_nom&gt;0,KLL_II_2020!CA_devex_nom&gt;0,KLL_II_2020!CA_gross_prod_oil+KLL_II_2020!CA_gross_prod_gas&gt;0))</f>
        <v>0</v>
      </c>
      <c r="AY204" s="57">
        <f ca="1">1*(OR(KLL_II_2020!CA_opex_total_nom&gt;0,KLL_II_2020!CA_expex_nom&gt;0,KLL_II_2020!CA_devex_nom&gt;0,KLL_II_2020!CA_gross_prod_oil+KLL_II_2020!CA_gross_prod_gas&gt;0))</f>
        <v>0</v>
      </c>
      <c r="AZ204" s="57">
        <f ca="1">1*(OR(KLL_II_2020!CA_opex_total_nom&gt;0,KLL_II_2020!CA_expex_nom&gt;0,KLL_II_2020!CA_devex_nom&gt;0,KLL_II_2020!CA_gross_prod_oil+KLL_II_2020!CA_gross_prod_gas&gt;0))</f>
        <v>0</v>
      </c>
      <c r="BA204" s="57">
        <f ca="1">1*(OR(KLL_II_2020!CA_opex_total_nom&gt;0,KLL_II_2020!CA_expex_nom&gt;0,KLL_II_2020!CA_devex_nom&gt;0,KLL_II_2020!CA_gross_prod_oil+KLL_II_2020!CA_gross_prod_gas&gt;0))</f>
        <v>0</v>
      </c>
      <c r="BB204" s="57">
        <f ca="1">1*(OR(KLL_II_2020!CA_opex_total_nom&gt;0,KLL_II_2020!CA_expex_nom&gt;0,KLL_II_2020!CA_devex_nom&gt;0,KLL_II_2020!CA_gross_prod_oil+KLL_II_2020!CA_gross_prod_gas&gt;0))</f>
        <v>0</v>
      </c>
      <c r="BC204" s="57">
        <f ca="1">1*(OR(KLL_II_2020!CA_opex_total_nom&gt;0,KLL_II_2020!CA_expex_nom&gt;0,KLL_II_2020!CA_devex_nom&gt;0,KLL_II_2020!CA_gross_prod_oil+KLL_II_2020!CA_gross_prod_gas&gt;0))</f>
        <v>0</v>
      </c>
      <c r="BD204" s="57">
        <f ca="1">1*(OR(KLL_II_2020!CA_opex_total_nom&gt;0,KLL_II_2020!CA_expex_nom&gt;0,KLL_II_2020!CA_devex_nom&gt;0,KLL_II_2020!CA_gross_prod_oil+KLL_II_2020!CA_gross_prod_gas&gt;0))</f>
        <v>0</v>
      </c>
      <c r="BE204" s="57">
        <f ca="1">1*(OR(KLL_II_2020!CA_opex_total_nom&gt;0,KLL_II_2020!CA_expex_nom&gt;0,KLL_II_2020!CA_devex_nom&gt;0,KLL_II_2020!CA_gross_prod_oil+KLL_II_2020!CA_gross_prod_gas&gt;0))</f>
        <v>0</v>
      </c>
      <c r="BF204" s="57">
        <f ca="1">1*(OR(KLL_II_2020!CA_opex_total_nom&gt;0,KLL_II_2020!CA_expex_nom&gt;0,KLL_II_2020!CA_devex_nom&gt;0,KLL_II_2020!CA_gross_prod_oil+KLL_II_2020!CA_gross_prod_gas&gt;0))</f>
        <v>0</v>
      </c>
      <c r="BG204" s="57">
        <f ca="1">1*(OR(KLL_II_2020!CA_opex_total_nom&gt;0,KLL_II_2020!CA_expex_nom&gt;0,KLL_II_2020!CA_devex_nom&gt;0,KLL_II_2020!CA_gross_prod_oil+KLL_II_2020!CA_gross_prod_gas&gt;0))</f>
        <v>0</v>
      </c>
      <c r="BH204" s="57">
        <f ca="1">1*(OR(KLL_II_2020!CA_opex_total_nom&gt;0,KLL_II_2020!CA_expex_nom&gt;0,KLL_II_2020!CA_devex_nom&gt;0,KLL_II_2020!CA_gross_prod_oil+KLL_II_2020!CA_gross_prod_gas&gt;0))</f>
        <v>0</v>
      </c>
      <c r="BI204" s="57">
        <f ca="1">1*(OR(KLL_II_2020!CA_opex_total_nom&gt;0,KLL_II_2020!CA_expex_nom&gt;0,KLL_II_2020!CA_devex_nom&gt;0,KLL_II_2020!CA_gross_prod_oil+KLL_II_2020!CA_gross_prod_gas&gt;0))</f>
        <v>0</v>
      </c>
      <c r="BJ204" s="57">
        <f ca="1">1*(OR(KLL_II_2020!CA_opex_total_nom&gt;0,KLL_II_2020!CA_expex_nom&gt;0,KLL_II_2020!CA_devex_nom&gt;0,KLL_II_2020!CA_gross_prod_oil+KLL_II_2020!CA_gross_prod_gas&gt;0))</f>
        <v>0</v>
      </c>
      <c r="BK204" s="57">
        <f ca="1">1*(OR(KLL_II_2020!CA_opex_total_nom&gt;0,KLL_II_2020!CA_expex_nom&gt;0,KLL_II_2020!CA_devex_nom&gt;0,KLL_II_2020!CA_gross_prod_oil+KLL_II_2020!CA_gross_prod_gas&gt;0))</f>
        <v>0</v>
      </c>
      <c r="BL204" s="57">
        <f ca="1">1*(OR(KLL_II_2020!CA_opex_total_nom&gt;0,KLL_II_2020!CA_expex_nom&gt;0,KLL_II_2020!CA_devex_nom&gt;0,KLL_II_2020!CA_gross_prod_oil+KLL_II_2020!CA_gross_prod_gas&gt;0))</f>
        <v>0</v>
      </c>
      <c r="BM204" s="57">
        <f ca="1">1*(OR(KLL_II_2020!CA_opex_total_nom&gt;0,KLL_II_2020!CA_expex_nom&gt;0,KLL_II_2020!CA_devex_nom&gt;0,KLL_II_2020!CA_gross_prod_oil+KLL_II_2020!CA_gross_prod_gas&gt;0))</f>
        <v>0</v>
      </c>
      <c r="BN204" s="57">
        <f ca="1">1*(OR(KLL_II_2020!CA_opex_total_nom&gt;0,KLL_II_2020!CA_expex_nom&gt;0,KLL_II_2020!CA_devex_nom&gt;0,KLL_II_2020!CA_gross_prod_oil+KLL_II_2020!CA_gross_prod_gas&gt;0))</f>
        <v>0</v>
      </c>
      <c r="BO204" s="57">
        <f ca="1">1*(OR(KLL_II_2020!CA_opex_total_nom&gt;0,KLL_II_2020!CA_expex_nom&gt;0,KLL_II_2020!CA_devex_nom&gt;0,KLL_II_2020!CA_gross_prod_oil+KLL_II_2020!CA_gross_prod_gas&gt;0))</f>
        <v>0</v>
      </c>
      <c r="BP204" s="57">
        <f ca="1">1*(OR(KLL_II_2020!CA_opex_total_nom&gt;0,KLL_II_2020!CA_expex_nom&gt;0,KLL_II_2020!CA_devex_nom&gt;0,KLL_II_2020!CA_gross_prod_oil+KLL_II_2020!CA_gross_prod_gas&gt;0))</f>
        <v>0</v>
      </c>
      <c r="BQ204" s="57">
        <f ca="1">1*(OR(KLL_II_2020!CA_opex_total_nom&gt;0,KLL_II_2020!CA_expex_nom&gt;0,KLL_II_2020!CA_devex_nom&gt;0,KLL_II_2020!CA_gross_prod_oil+KLL_II_2020!CA_gross_prod_gas&gt;0))</f>
        <v>0</v>
      </c>
      <c r="BR204" s="57">
        <f ca="1">1*(OR(KLL_II_2020!CA_opex_total_nom&gt;0,KLL_II_2020!CA_expex_nom&gt;0,KLL_II_2020!CA_devex_nom&gt;0,KLL_II_2020!CA_gross_prod_oil+KLL_II_2020!CA_gross_prod_gas&gt;0))</f>
        <v>0</v>
      </c>
      <c r="BS204" s="57">
        <f ca="1">1*(OR(KLL_II_2020!CA_opex_total_nom&gt;0,KLL_II_2020!CA_expex_nom&gt;0,KLL_II_2020!CA_devex_nom&gt;0,KLL_II_2020!CA_gross_prod_oil+KLL_II_2020!CA_gross_prod_gas&gt;0))</f>
        <v>0</v>
      </c>
    </row>
    <row r="205" spans="1:71" outlineLevel="1" x14ac:dyDescent="0.2">
      <c r="J205" s="26"/>
      <c r="L205" s="55"/>
      <c r="M205" s="55"/>
      <c r="N205" s="55"/>
      <c r="O205" s="55"/>
      <c r="P205" s="55"/>
      <c r="Q205" s="55"/>
      <c r="R205" s="55"/>
      <c r="S205" s="55"/>
      <c r="T205" s="55"/>
      <c r="U205" s="55"/>
      <c r="V205" s="55"/>
      <c r="W205" s="55"/>
      <c r="X205" s="55"/>
      <c r="Y205" s="55"/>
      <c r="Z205" s="55"/>
      <c r="AA205" s="55"/>
      <c r="AB205" s="55"/>
      <c r="AC205" s="55"/>
      <c r="AD205" s="55"/>
      <c r="AE205" s="55"/>
      <c r="AF205" s="55"/>
      <c r="AG205" s="55"/>
      <c r="AH205" s="55"/>
      <c r="AI205" s="55"/>
      <c r="AJ205" s="55"/>
      <c r="AK205" s="55"/>
      <c r="AL205" s="55"/>
      <c r="AM205" s="55"/>
      <c r="AN205" s="55"/>
      <c r="AO205" s="55"/>
      <c r="AP205" s="55"/>
      <c r="AQ205" s="55"/>
      <c r="AR205" s="55"/>
      <c r="AS205" s="55"/>
      <c r="AT205" s="55"/>
      <c r="AU205" s="55"/>
      <c r="AV205" s="55"/>
      <c r="AW205" s="55"/>
      <c r="AX205" s="55"/>
      <c r="AY205" s="55"/>
      <c r="AZ205" s="55"/>
      <c r="BA205" s="55"/>
      <c r="BB205" s="55"/>
      <c r="BC205" s="55"/>
      <c r="BD205" s="55"/>
      <c r="BE205" s="55"/>
      <c r="BF205" s="55"/>
      <c r="BG205" s="55"/>
      <c r="BH205" s="55"/>
      <c r="BI205" s="55"/>
      <c r="BJ205" s="55"/>
      <c r="BK205" s="55"/>
      <c r="BL205" s="55"/>
      <c r="BM205" s="55"/>
      <c r="BN205" s="55"/>
      <c r="BO205" s="55"/>
      <c r="BP205" s="55"/>
      <c r="BQ205" s="55"/>
      <c r="BR205" s="55"/>
      <c r="BS205" s="55"/>
    </row>
    <row r="206" spans="1:71" outlineLevel="1" x14ac:dyDescent="0.2">
      <c r="C206" s="11" t="str">
        <f>HM_ZB_Nsoko!C219</f>
        <v>Déclencheur changement CPP</v>
      </c>
      <c r="J206" s="26"/>
      <c r="K206" s="7" t="s">
        <v>624</v>
      </c>
      <c r="L206" s="57">
        <f t="shared" ref="L206:AQ206" si="47">1*(L$4&gt;=YEAR(effective_date_KLL2020))</f>
        <v>0</v>
      </c>
      <c r="M206" s="57">
        <f t="shared" si="47"/>
        <v>0</v>
      </c>
      <c r="N206" s="57">
        <f t="shared" si="47"/>
        <v>0</v>
      </c>
      <c r="O206" s="57">
        <f t="shared" si="47"/>
        <v>0</v>
      </c>
      <c r="P206" s="57">
        <f t="shared" si="47"/>
        <v>0</v>
      </c>
      <c r="Q206" s="57">
        <f t="shared" si="47"/>
        <v>0</v>
      </c>
      <c r="R206" s="57">
        <f t="shared" si="47"/>
        <v>0</v>
      </c>
      <c r="S206" s="57">
        <f t="shared" si="47"/>
        <v>1</v>
      </c>
      <c r="T206" s="57">
        <f t="shared" si="47"/>
        <v>1</v>
      </c>
      <c r="U206" s="57">
        <f t="shared" si="47"/>
        <v>1</v>
      </c>
      <c r="V206" s="57">
        <f t="shared" si="47"/>
        <v>1</v>
      </c>
      <c r="W206" s="57">
        <f t="shared" si="47"/>
        <v>1</v>
      </c>
      <c r="X206" s="57">
        <f t="shared" si="47"/>
        <v>1</v>
      </c>
      <c r="Y206" s="57">
        <f t="shared" si="47"/>
        <v>1</v>
      </c>
      <c r="Z206" s="57">
        <f t="shared" si="47"/>
        <v>1</v>
      </c>
      <c r="AA206" s="57">
        <f t="shared" si="47"/>
        <v>1</v>
      </c>
      <c r="AB206" s="57">
        <f t="shared" si="47"/>
        <v>1</v>
      </c>
      <c r="AC206" s="57">
        <f t="shared" si="47"/>
        <v>1</v>
      </c>
      <c r="AD206" s="57">
        <f t="shared" si="47"/>
        <v>1</v>
      </c>
      <c r="AE206" s="57">
        <f t="shared" si="47"/>
        <v>1</v>
      </c>
      <c r="AF206" s="57">
        <f t="shared" si="47"/>
        <v>1</v>
      </c>
      <c r="AG206" s="57">
        <f t="shared" si="47"/>
        <v>1</v>
      </c>
      <c r="AH206" s="57">
        <f t="shared" si="47"/>
        <v>1</v>
      </c>
      <c r="AI206" s="57">
        <f t="shared" si="47"/>
        <v>1</v>
      </c>
      <c r="AJ206" s="57">
        <f t="shared" si="47"/>
        <v>1</v>
      </c>
      <c r="AK206" s="57">
        <f t="shared" si="47"/>
        <v>1</v>
      </c>
      <c r="AL206" s="57">
        <f t="shared" si="47"/>
        <v>1</v>
      </c>
      <c r="AM206" s="57">
        <f t="shared" si="47"/>
        <v>1</v>
      </c>
      <c r="AN206" s="57">
        <f t="shared" si="47"/>
        <v>1</v>
      </c>
      <c r="AO206" s="57">
        <f t="shared" si="47"/>
        <v>1</v>
      </c>
      <c r="AP206" s="57">
        <f t="shared" si="47"/>
        <v>1</v>
      </c>
      <c r="AQ206" s="57">
        <f t="shared" si="47"/>
        <v>1</v>
      </c>
      <c r="AR206" s="57">
        <f t="shared" ref="AR206:BS206" si="48">1*(AR$4&gt;=YEAR(effective_date_KLL2020))</f>
        <v>1</v>
      </c>
      <c r="AS206" s="57">
        <f t="shared" si="48"/>
        <v>1</v>
      </c>
      <c r="AT206" s="57">
        <f t="shared" si="48"/>
        <v>1</v>
      </c>
      <c r="AU206" s="57">
        <f t="shared" si="48"/>
        <v>1</v>
      </c>
      <c r="AV206" s="57">
        <f t="shared" si="48"/>
        <v>1</v>
      </c>
      <c r="AW206" s="57">
        <f t="shared" si="48"/>
        <v>1</v>
      </c>
      <c r="AX206" s="57">
        <f t="shared" si="48"/>
        <v>1</v>
      </c>
      <c r="AY206" s="57">
        <f t="shared" si="48"/>
        <v>1</v>
      </c>
      <c r="AZ206" s="57">
        <f t="shared" si="48"/>
        <v>1</v>
      </c>
      <c r="BA206" s="57">
        <f t="shared" si="48"/>
        <v>1</v>
      </c>
      <c r="BB206" s="57">
        <f t="shared" si="48"/>
        <v>1</v>
      </c>
      <c r="BC206" s="57">
        <f t="shared" si="48"/>
        <v>1</v>
      </c>
      <c r="BD206" s="57">
        <f t="shared" si="48"/>
        <v>1</v>
      </c>
      <c r="BE206" s="57">
        <f t="shared" si="48"/>
        <v>1</v>
      </c>
      <c r="BF206" s="57">
        <f t="shared" si="48"/>
        <v>1</v>
      </c>
      <c r="BG206" s="57">
        <f t="shared" si="48"/>
        <v>1</v>
      </c>
      <c r="BH206" s="57">
        <f t="shared" si="48"/>
        <v>1</v>
      </c>
      <c r="BI206" s="57">
        <f t="shared" si="48"/>
        <v>1</v>
      </c>
      <c r="BJ206" s="57">
        <f t="shared" si="48"/>
        <v>1</v>
      </c>
      <c r="BK206" s="57">
        <f t="shared" si="48"/>
        <v>1</v>
      </c>
      <c r="BL206" s="57">
        <f t="shared" si="48"/>
        <v>1</v>
      </c>
      <c r="BM206" s="57">
        <f t="shared" si="48"/>
        <v>1</v>
      </c>
      <c r="BN206" s="57">
        <f t="shared" si="48"/>
        <v>1</v>
      </c>
      <c r="BO206" s="57">
        <f t="shared" si="48"/>
        <v>1</v>
      </c>
      <c r="BP206" s="57">
        <f t="shared" si="48"/>
        <v>1</v>
      </c>
      <c r="BQ206" s="57">
        <f t="shared" si="48"/>
        <v>1</v>
      </c>
      <c r="BR206" s="57">
        <f t="shared" si="48"/>
        <v>1</v>
      </c>
      <c r="BS206" s="57">
        <f t="shared" si="48"/>
        <v>1</v>
      </c>
    </row>
    <row r="207" spans="1:71" outlineLevel="1" x14ac:dyDescent="0.2">
      <c r="J207" s="26"/>
      <c r="L207" s="55"/>
      <c r="M207" s="55"/>
      <c r="N207" s="55"/>
      <c r="O207" s="55"/>
      <c r="P207" s="55"/>
      <c r="Q207" s="55"/>
      <c r="R207" s="55"/>
      <c r="S207" s="55"/>
      <c r="T207" s="55"/>
      <c r="U207" s="55"/>
      <c r="V207" s="55"/>
      <c r="W207" s="55"/>
      <c r="X207" s="55"/>
      <c r="Y207" s="55"/>
      <c r="Z207" s="55"/>
      <c r="AA207" s="55"/>
      <c r="AB207" s="55"/>
      <c r="AC207" s="55"/>
      <c r="AD207" s="55"/>
      <c r="AE207" s="55"/>
      <c r="AF207" s="55"/>
      <c r="AG207" s="55"/>
      <c r="AH207" s="55"/>
      <c r="AI207" s="55"/>
      <c r="AJ207" s="55"/>
      <c r="AK207" s="55"/>
      <c r="AL207" s="55"/>
      <c r="AM207" s="55"/>
      <c r="AN207" s="55"/>
      <c r="AO207" s="55"/>
      <c r="AP207" s="55"/>
      <c r="AQ207" s="55"/>
      <c r="AR207" s="55"/>
      <c r="AS207" s="55"/>
      <c r="AT207" s="55"/>
      <c r="AU207" s="55"/>
      <c r="AV207" s="55"/>
      <c r="AW207" s="55"/>
      <c r="AX207" s="55"/>
      <c r="AY207" s="55"/>
      <c r="AZ207" s="55"/>
      <c r="BA207" s="55"/>
      <c r="BB207" s="55"/>
      <c r="BC207" s="55"/>
      <c r="BD207" s="55"/>
      <c r="BE207" s="55"/>
      <c r="BF207" s="55"/>
      <c r="BG207" s="55"/>
      <c r="BH207" s="55"/>
      <c r="BI207" s="55"/>
      <c r="BJ207" s="55"/>
      <c r="BK207" s="55"/>
      <c r="BL207" s="55"/>
      <c r="BM207" s="55"/>
      <c r="BN207" s="55"/>
      <c r="BO207" s="55"/>
      <c r="BP207" s="55"/>
      <c r="BQ207" s="55"/>
      <c r="BR207" s="55"/>
      <c r="BS207" s="55"/>
    </row>
    <row r="208" spans="1:71" outlineLevel="1" x14ac:dyDescent="0.2">
      <c r="C208" s="11" t="str">
        <f>HM_ZB_Nsoko!C221</f>
        <v>Frais</v>
      </c>
      <c r="J208" s="26"/>
      <c r="L208" s="55"/>
      <c r="M208" s="55"/>
      <c r="N208" s="55"/>
      <c r="O208" s="55"/>
      <c r="P208" s="55"/>
      <c r="Q208" s="55"/>
      <c r="R208" s="55"/>
      <c r="S208" s="55"/>
      <c r="T208" s="55"/>
      <c r="U208" s="55"/>
      <c r="V208" s="55"/>
      <c r="W208" s="55"/>
      <c r="X208" s="55"/>
      <c r="Y208" s="55"/>
      <c r="Z208" s="55"/>
      <c r="AA208" s="55"/>
      <c r="AB208" s="55"/>
      <c r="AC208" s="55"/>
      <c r="AD208" s="55"/>
      <c r="AE208" s="55"/>
      <c r="AF208" s="55"/>
      <c r="AG208" s="55"/>
      <c r="AH208" s="55"/>
      <c r="AI208" s="55"/>
      <c r="AJ208" s="55"/>
      <c r="AK208" s="55"/>
      <c r="AL208" s="55"/>
      <c r="AM208" s="55"/>
      <c r="AN208" s="55"/>
      <c r="AO208" s="55"/>
      <c r="AP208" s="55"/>
      <c r="AQ208" s="55"/>
      <c r="AR208" s="55"/>
      <c r="AS208" s="55"/>
      <c r="AT208" s="55"/>
      <c r="AU208" s="55"/>
      <c r="AV208" s="55"/>
      <c r="AW208" s="55"/>
      <c r="AX208" s="55"/>
      <c r="AY208" s="55"/>
      <c r="AZ208" s="55"/>
      <c r="BA208" s="55"/>
      <c r="BB208" s="55"/>
      <c r="BC208" s="55"/>
      <c r="BD208" s="55"/>
      <c r="BE208" s="55"/>
      <c r="BF208" s="55"/>
      <c r="BG208" s="55"/>
      <c r="BH208" s="55"/>
      <c r="BI208" s="55"/>
      <c r="BJ208" s="55"/>
      <c r="BK208" s="55"/>
      <c r="BL208" s="55"/>
      <c r="BM208" s="55"/>
      <c r="BN208" s="55"/>
      <c r="BO208" s="55"/>
      <c r="BP208" s="55"/>
      <c r="BQ208" s="55"/>
      <c r="BR208" s="55"/>
      <c r="BS208" s="55"/>
    </row>
    <row r="209" spans="3:71" outlineLevel="1" x14ac:dyDescent="0.2">
      <c r="D209" t="str">
        <f>HM_ZB_Nsoko!D222</f>
        <v>Coûts PID</v>
      </c>
      <c r="I209" s="30">
        <f ca="1">SUM($L209:$BS209)</f>
        <v>45.330102635544748</v>
      </c>
      <c r="J209" s="26" t="s">
        <v>148</v>
      </c>
      <c r="K209" s="7" t="s">
        <v>174</v>
      </c>
      <c r="L209" s="49" cm="1">
        <f t="array" aca="1" ref="L209:BS209" ca="1">KLL_II_2020!CA_gross_rev_total_fp*KLL_II_2020!fees_PID_perc</f>
        <v>4.9812908528100008</v>
      </c>
      <c r="M209" s="49">
        <f ca="1"/>
        <v>5.5027023595299998</v>
      </c>
      <c r="N209" s="49">
        <f ca="1"/>
        <v>2.9003871171699998</v>
      </c>
      <c r="O209" s="49">
        <f ca="1"/>
        <v>2.4773388778399998</v>
      </c>
      <c r="P209" s="49">
        <f ca="1"/>
        <v>2.9746089801200011</v>
      </c>
      <c r="Q209" s="49">
        <f ca="1"/>
        <v>4.0912926503900007</v>
      </c>
      <c r="R209" s="49">
        <f ca="1"/>
        <v>3.9944629415300001</v>
      </c>
      <c r="S209" s="49">
        <f ca="1"/>
        <v>2.24908047</v>
      </c>
      <c r="T209" s="49">
        <f ca="1"/>
        <v>3.4413274284479995</v>
      </c>
      <c r="U209" s="49">
        <f ca="1"/>
        <v>3.4353054779399996</v>
      </c>
      <c r="V209" s="49">
        <f ca="1"/>
        <v>3.2587307763738838</v>
      </c>
      <c r="W209" s="49">
        <f ca="1"/>
        <v>3.0912320144682655</v>
      </c>
      <c r="X209" s="49">
        <f ca="1"/>
        <v>2.9323426889245967</v>
      </c>
      <c r="Y209" s="49">
        <f ca="1"/>
        <v>0</v>
      </c>
      <c r="Z209" s="49">
        <f ca="1"/>
        <v>0</v>
      </c>
      <c r="AA209" s="49">
        <f ca="1"/>
        <v>0</v>
      </c>
      <c r="AB209" s="49">
        <f ca="1"/>
        <v>0</v>
      </c>
      <c r="AC209" s="49">
        <f ca="1"/>
        <v>0</v>
      </c>
      <c r="AD209" s="49">
        <f ca="1"/>
        <v>0</v>
      </c>
      <c r="AE209" s="49">
        <f ca="1"/>
        <v>0</v>
      </c>
      <c r="AF209" s="49">
        <f ca="1"/>
        <v>0</v>
      </c>
      <c r="AG209" s="49">
        <f ca="1"/>
        <v>0</v>
      </c>
      <c r="AH209" s="49">
        <f ca="1"/>
        <v>0</v>
      </c>
      <c r="AI209" s="49">
        <f ca="1"/>
        <v>0</v>
      </c>
      <c r="AJ209" s="49">
        <f ca="1"/>
        <v>0</v>
      </c>
      <c r="AK209" s="49">
        <f ca="1"/>
        <v>0</v>
      </c>
      <c r="AL209" s="49">
        <f ca="1"/>
        <v>0</v>
      </c>
      <c r="AM209" s="49">
        <f ca="1"/>
        <v>0</v>
      </c>
      <c r="AN209" s="49">
        <f ca="1"/>
        <v>0</v>
      </c>
      <c r="AO209" s="49">
        <f ca="1"/>
        <v>0</v>
      </c>
      <c r="AP209" s="49">
        <f ca="1"/>
        <v>0</v>
      </c>
      <c r="AQ209" s="49">
        <f ca="1"/>
        <v>0</v>
      </c>
      <c r="AR209" s="49">
        <f ca="1"/>
        <v>0</v>
      </c>
      <c r="AS209" s="49">
        <f ca="1"/>
        <v>0</v>
      </c>
      <c r="AT209" s="49">
        <f ca="1"/>
        <v>0</v>
      </c>
      <c r="AU209" s="49">
        <f ca="1"/>
        <v>0</v>
      </c>
      <c r="AV209" s="49">
        <f ca="1"/>
        <v>0</v>
      </c>
      <c r="AW209" s="49">
        <f ca="1"/>
        <v>0</v>
      </c>
      <c r="AX209" s="49">
        <f ca="1"/>
        <v>0</v>
      </c>
      <c r="AY209" s="49">
        <f ca="1"/>
        <v>0</v>
      </c>
      <c r="AZ209" s="49">
        <f ca="1"/>
        <v>0</v>
      </c>
      <c r="BA209" s="49">
        <f ca="1"/>
        <v>0</v>
      </c>
      <c r="BB209" s="49">
        <f ca="1"/>
        <v>0</v>
      </c>
      <c r="BC209" s="49">
        <f ca="1"/>
        <v>0</v>
      </c>
      <c r="BD209" s="49">
        <f ca="1"/>
        <v>0</v>
      </c>
      <c r="BE209" s="49">
        <f ca="1"/>
        <v>0</v>
      </c>
      <c r="BF209" s="49">
        <f ca="1"/>
        <v>0</v>
      </c>
      <c r="BG209" s="49">
        <f ca="1"/>
        <v>0</v>
      </c>
      <c r="BH209" s="49">
        <f ca="1"/>
        <v>0</v>
      </c>
      <c r="BI209" s="49">
        <f ca="1"/>
        <v>0</v>
      </c>
      <c r="BJ209" s="49">
        <f ca="1"/>
        <v>0</v>
      </c>
      <c r="BK209" s="49">
        <f ca="1"/>
        <v>0</v>
      </c>
      <c r="BL209" s="49">
        <f ca="1"/>
        <v>0</v>
      </c>
      <c r="BM209" s="49">
        <f ca="1"/>
        <v>0</v>
      </c>
      <c r="BN209" s="49">
        <f ca="1"/>
        <v>0</v>
      </c>
      <c r="BO209" s="49">
        <f ca="1"/>
        <v>0</v>
      </c>
      <c r="BP209" s="49">
        <f ca="1"/>
        <v>0</v>
      </c>
      <c r="BQ209" s="49">
        <f ca="1"/>
        <v>0</v>
      </c>
      <c r="BR209" s="49">
        <f ca="1"/>
        <v>0</v>
      </c>
      <c r="BS209" s="49">
        <f ca="1"/>
        <v>0</v>
      </c>
    </row>
    <row r="210" spans="3:71" outlineLevel="1" x14ac:dyDescent="0.2">
      <c r="J210" s="26"/>
      <c r="L210" s="55"/>
      <c r="M210" s="55"/>
      <c r="N210" s="55"/>
      <c r="O210" s="55"/>
      <c r="P210" s="55"/>
      <c r="Q210" s="55"/>
      <c r="R210" s="55"/>
      <c r="S210" s="55"/>
      <c r="T210" s="55"/>
      <c r="U210" s="55"/>
      <c r="V210" s="55"/>
      <c r="W210" s="55"/>
      <c r="X210" s="55"/>
      <c r="Y210" s="55"/>
      <c r="Z210" s="55"/>
      <c r="AA210" s="55"/>
      <c r="AB210" s="55"/>
      <c r="AC210" s="55"/>
      <c r="AD210" s="55"/>
      <c r="AE210" s="55"/>
      <c r="AF210" s="55"/>
      <c r="AG210" s="55"/>
      <c r="AH210" s="55"/>
      <c r="AI210" s="55"/>
      <c r="AJ210" s="55"/>
      <c r="AK210" s="55"/>
      <c r="AL210" s="55"/>
      <c r="AM210" s="55"/>
      <c r="AN210" s="55"/>
      <c r="AO210" s="55"/>
      <c r="AP210" s="55"/>
      <c r="AQ210" s="55"/>
      <c r="AR210" s="55"/>
      <c r="AS210" s="55"/>
      <c r="AT210" s="55"/>
      <c r="AU210" s="55"/>
      <c r="AV210" s="55"/>
      <c r="AW210" s="55"/>
      <c r="AX210" s="55"/>
      <c r="AY210" s="55"/>
      <c r="AZ210" s="55"/>
      <c r="BA210" s="55"/>
      <c r="BB210" s="55"/>
      <c r="BC210" s="55"/>
      <c r="BD210" s="55"/>
      <c r="BE210" s="55"/>
      <c r="BF210" s="55"/>
      <c r="BG210" s="55"/>
      <c r="BH210" s="55"/>
      <c r="BI210" s="55"/>
      <c r="BJ210" s="55"/>
      <c r="BK210" s="55"/>
      <c r="BL210" s="55"/>
      <c r="BM210" s="55"/>
      <c r="BN210" s="55"/>
      <c r="BO210" s="55"/>
      <c r="BP210" s="55"/>
      <c r="BQ210" s="55"/>
      <c r="BR210" s="55"/>
      <c r="BS210" s="55"/>
    </row>
    <row r="211" spans="3:71" outlineLevel="1" x14ac:dyDescent="0.2">
      <c r="C211" s="11" t="str">
        <f>HM_ZB_Nsoko!C224</f>
        <v>Redevance</v>
      </c>
      <c r="J211" s="26"/>
      <c r="L211" s="55"/>
      <c r="M211" s="55"/>
      <c r="N211" s="55"/>
      <c r="O211" s="55"/>
      <c r="P211" s="55"/>
      <c r="Q211" s="55"/>
      <c r="R211" s="55"/>
      <c r="S211" s="55"/>
      <c r="T211" s="55"/>
      <c r="U211" s="55"/>
      <c r="V211" s="55"/>
      <c r="W211" s="55"/>
      <c r="X211" s="55"/>
      <c r="Y211" s="55"/>
      <c r="Z211" s="55"/>
      <c r="AA211" s="55"/>
      <c r="AB211" s="55"/>
      <c r="AC211" s="55"/>
      <c r="AD211" s="55"/>
      <c r="AE211" s="55"/>
      <c r="AF211" s="55"/>
      <c r="AG211" s="55"/>
      <c r="AH211" s="55"/>
      <c r="AI211" s="55"/>
      <c r="AJ211" s="55"/>
      <c r="AK211" s="55"/>
      <c r="AL211" s="55"/>
      <c r="AM211" s="55"/>
      <c r="AN211" s="55"/>
      <c r="AO211" s="55"/>
      <c r="AP211" s="55"/>
      <c r="AQ211" s="55"/>
      <c r="AR211" s="55"/>
      <c r="AS211" s="55"/>
      <c r="AT211" s="55"/>
      <c r="AU211" s="55"/>
      <c r="AV211" s="55"/>
      <c r="AW211" s="55"/>
      <c r="AX211" s="55"/>
      <c r="AY211" s="55"/>
      <c r="AZ211" s="55"/>
      <c r="BA211" s="55"/>
      <c r="BB211" s="55"/>
      <c r="BC211" s="55"/>
      <c r="BD211" s="55"/>
      <c r="BE211" s="55"/>
      <c r="BF211" s="55"/>
      <c r="BG211" s="55"/>
      <c r="BH211" s="55"/>
      <c r="BI211" s="55"/>
      <c r="BJ211" s="55"/>
      <c r="BK211" s="55"/>
      <c r="BL211" s="55"/>
      <c r="BM211" s="55"/>
      <c r="BN211" s="55"/>
      <c r="BO211" s="55"/>
      <c r="BP211" s="55"/>
      <c r="BQ211" s="55"/>
      <c r="BR211" s="55"/>
      <c r="BS211" s="55"/>
    </row>
    <row r="212" spans="3:71" outlineLevel="1" x14ac:dyDescent="0.2">
      <c r="D212" t="str">
        <f>HM_ZB_Nsoko!D225</f>
        <v>Redevance pétrolière</v>
      </c>
      <c r="I212" s="30">
        <f ca="1">SUM($L212:$BS212)</f>
        <v>679.95153953317106</v>
      </c>
      <c r="J212" s="26" t="s">
        <v>148</v>
      </c>
      <c r="K212" s="7" t="s">
        <v>177</v>
      </c>
      <c r="L212" s="49">
        <f ca="1">_xlfn.SINGLE(KLL_II_2020!CA_gross_rev_oil_fp)*_xlfn.SINGLE(KLL_II_2020!royalty_rate_oil)</f>
        <v>74.719362792150008</v>
      </c>
      <c r="M212" s="49">
        <f ca="1">_xlfn.SINGLE(KLL_II_2020!CA_gross_rev_oil_fp)*_xlfn.SINGLE(KLL_II_2020!royalty_rate_oil)</f>
        <v>82.540535392949991</v>
      </c>
      <c r="N212" s="49">
        <f ca="1">_xlfn.SINGLE(KLL_II_2020!CA_gross_rev_oil_fp)*_xlfn.SINGLE(KLL_II_2020!royalty_rate_oil)</f>
        <v>43.50580675754999</v>
      </c>
      <c r="O212" s="49">
        <f ca="1">_xlfn.SINGLE(KLL_II_2020!CA_gross_rev_oil_fp)*_xlfn.SINGLE(KLL_II_2020!royalty_rate_oil)</f>
        <v>37.1600831676</v>
      </c>
      <c r="P212" s="49">
        <f ca="1">_xlfn.SINGLE(KLL_II_2020!CA_gross_rev_oil_fp)*_xlfn.SINGLE(KLL_II_2020!royalty_rate_oil)</f>
        <v>44.619134701800014</v>
      </c>
      <c r="Q212" s="49">
        <f ca="1">_xlfn.SINGLE(KLL_II_2020!CA_gross_rev_oil_fp)*_xlfn.SINGLE(KLL_II_2020!royalty_rate_oil)</f>
        <v>61.369389755850008</v>
      </c>
      <c r="R212" s="49">
        <f ca="1">_xlfn.SINGLE(KLL_II_2020!CA_gross_rev_oil_fp)*_xlfn.SINGLE(KLL_II_2020!royalty_rate_oil)</f>
        <v>59.916944122949999</v>
      </c>
      <c r="S212" s="49">
        <f ca="1">_xlfn.SINGLE(KLL_II_2020!CA_gross_rev_oil_fp)*_xlfn.SINGLE(KLL_II_2020!royalty_rate_oil)</f>
        <v>33.736207049999997</v>
      </c>
      <c r="T212" s="49">
        <f ca="1">_xlfn.SINGLE(KLL_II_2020!CA_gross_rev_oil_fp)*_xlfn.SINGLE(KLL_II_2020!royalty_rate_oil)</f>
        <v>51.619911426719995</v>
      </c>
      <c r="U212" s="49">
        <f ca="1">_xlfn.SINGLE(KLL_II_2020!CA_gross_rev_oil_fp)*_xlfn.SINGLE(KLL_II_2020!royalty_rate_oil)</f>
        <v>51.529582169099996</v>
      </c>
      <c r="V212" s="49">
        <f ca="1">_xlfn.SINGLE(KLL_II_2020!CA_gross_rev_oil_fp)*_xlfn.SINGLE(KLL_II_2020!royalty_rate_oil)</f>
        <v>48.880961645608252</v>
      </c>
      <c r="W212" s="49">
        <f ca="1">_xlfn.SINGLE(KLL_II_2020!CA_gross_rev_oil_fp)*_xlfn.SINGLE(KLL_II_2020!royalty_rate_oil)</f>
        <v>46.368480217023979</v>
      </c>
      <c r="X212" s="49">
        <f ca="1">_xlfn.SINGLE(KLL_II_2020!CA_gross_rev_oil_fp)*_xlfn.SINGLE(KLL_II_2020!royalty_rate_oil)</f>
        <v>43.985140333868948</v>
      </c>
      <c r="Y212" s="49">
        <f ca="1">_xlfn.SINGLE(KLL_II_2020!CA_gross_rev_oil_fp)*_xlfn.SINGLE(KLL_II_2020!royalty_rate_oil)</f>
        <v>0</v>
      </c>
      <c r="Z212" s="49">
        <f ca="1">_xlfn.SINGLE(KLL_II_2020!CA_gross_rev_oil_fp)*_xlfn.SINGLE(KLL_II_2020!royalty_rate_oil)</f>
        <v>0</v>
      </c>
      <c r="AA212" s="49">
        <f ca="1">_xlfn.SINGLE(KLL_II_2020!CA_gross_rev_oil_fp)*_xlfn.SINGLE(KLL_II_2020!royalty_rate_oil)</f>
        <v>0</v>
      </c>
      <c r="AB212" s="49">
        <f ca="1">_xlfn.SINGLE(KLL_II_2020!CA_gross_rev_oil_fp)*_xlfn.SINGLE(KLL_II_2020!royalty_rate_oil)</f>
        <v>0</v>
      </c>
      <c r="AC212" s="49">
        <f ca="1">_xlfn.SINGLE(KLL_II_2020!CA_gross_rev_oil_fp)*_xlfn.SINGLE(KLL_II_2020!royalty_rate_oil)</f>
        <v>0</v>
      </c>
      <c r="AD212" s="49">
        <f ca="1">_xlfn.SINGLE(KLL_II_2020!CA_gross_rev_oil_fp)*_xlfn.SINGLE(KLL_II_2020!royalty_rate_oil)</f>
        <v>0</v>
      </c>
      <c r="AE212" s="49">
        <f ca="1">_xlfn.SINGLE(KLL_II_2020!CA_gross_rev_oil_fp)*_xlfn.SINGLE(KLL_II_2020!royalty_rate_oil)</f>
        <v>0</v>
      </c>
      <c r="AF212" s="49">
        <f ca="1">_xlfn.SINGLE(KLL_II_2020!CA_gross_rev_oil_fp)*_xlfn.SINGLE(KLL_II_2020!royalty_rate_oil)</f>
        <v>0</v>
      </c>
      <c r="AG212" s="49">
        <f ca="1">_xlfn.SINGLE(KLL_II_2020!CA_gross_rev_oil_fp)*_xlfn.SINGLE(KLL_II_2020!royalty_rate_oil)</f>
        <v>0</v>
      </c>
      <c r="AH212" s="49">
        <f ca="1">_xlfn.SINGLE(KLL_II_2020!CA_gross_rev_oil_fp)*_xlfn.SINGLE(KLL_II_2020!royalty_rate_oil)</f>
        <v>0</v>
      </c>
      <c r="AI212" s="49">
        <f ca="1">_xlfn.SINGLE(KLL_II_2020!CA_gross_rev_oil_fp)*_xlfn.SINGLE(KLL_II_2020!royalty_rate_oil)</f>
        <v>0</v>
      </c>
      <c r="AJ212" s="49">
        <f ca="1">_xlfn.SINGLE(KLL_II_2020!CA_gross_rev_oil_fp)*_xlfn.SINGLE(KLL_II_2020!royalty_rate_oil)</f>
        <v>0</v>
      </c>
      <c r="AK212" s="49">
        <f ca="1">_xlfn.SINGLE(KLL_II_2020!CA_gross_rev_oil_fp)*_xlfn.SINGLE(KLL_II_2020!royalty_rate_oil)</f>
        <v>0</v>
      </c>
      <c r="AL212" s="49">
        <f ca="1">_xlfn.SINGLE(KLL_II_2020!CA_gross_rev_oil_fp)*_xlfn.SINGLE(KLL_II_2020!royalty_rate_oil)</f>
        <v>0</v>
      </c>
      <c r="AM212" s="49">
        <f ca="1">_xlfn.SINGLE(KLL_II_2020!CA_gross_rev_oil_fp)*_xlfn.SINGLE(KLL_II_2020!royalty_rate_oil)</f>
        <v>0</v>
      </c>
      <c r="AN212" s="49">
        <f ca="1">_xlfn.SINGLE(KLL_II_2020!CA_gross_rev_oil_fp)*_xlfn.SINGLE(KLL_II_2020!royalty_rate_oil)</f>
        <v>0</v>
      </c>
      <c r="AO212" s="49">
        <f ca="1">_xlfn.SINGLE(KLL_II_2020!CA_gross_rev_oil_fp)*_xlfn.SINGLE(KLL_II_2020!royalty_rate_oil)</f>
        <v>0</v>
      </c>
      <c r="AP212" s="49">
        <f ca="1">_xlfn.SINGLE(KLL_II_2020!CA_gross_rev_oil_fp)*_xlfn.SINGLE(KLL_II_2020!royalty_rate_oil)</f>
        <v>0</v>
      </c>
      <c r="AQ212" s="49">
        <f ca="1">_xlfn.SINGLE(KLL_II_2020!CA_gross_rev_oil_fp)*_xlfn.SINGLE(KLL_II_2020!royalty_rate_oil)</f>
        <v>0</v>
      </c>
      <c r="AR212" s="49">
        <f ca="1">_xlfn.SINGLE(KLL_II_2020!CA_gross_rev_oil_fp)*_xlfn.SINGLE(KLL_II_2020!royalty_rate_oil)</f>
        <v>0</v>
      </c>
      <c r="AS212" s="49">
        <f ca="1">_xlfn.SINGLE(KLL_II_2020!CA_gross_rev_oil_fp)*_xlfn.SINGLE(KLL_II_2020!royalty_rate_oil)</f>
        <v>0</v>
      </c>
      <c r="AT212" s="49">
        <f ca="1">_xlfn.SINGLE(KLL_II_2020!CA_gross_rev_oil_fp)*_xlfn.SINGLE(KLL_II_2020!royalty_rate_oil)</f>
        <v>0</v>
      </c>
      <c r="AU212" s="49">
        <f ca="1">_xlfn.SINGLE(KLL_II_2020!CA_gross_rev_oil_fp)*_xlfn.SINGLE(KLL_II_2020!royalty_rate_oil)</f>
        <v>0</v>
      </c>
      <c r="AV212" s="49">
        <f ca="1">_xlfn.SINGLE(KLL_II_2020!CA_gross_rev_oil_fp)*_xlfn.SINGLE(KLL_II_2020!royalty_rate_oil)</f>
        <v>0</v>
      </c>
      <c r="AW212" s="49">
        <f ca="1">_xlfn.SINGLE(KLL_II_2020!CA_gross_rev_oil_fp)*_xlfn.SINGLE(KLL_II_2020!royalty_rate_oil)</f>
        <v>0</v>
      </c>
      <c r="AX212" s="49">
        <f ca="1">_xlfn.SINGLE(KLL_II_2020!CA_gross_rev_oil_fp)*_xlfn.SINGLE(KLL_II_2020!royalty_rate_oil)</f>
        <v>0</v>
      </c>
      <c r="AY212" s="49">
        <f ca="1">_xlfn.SINGLE(KLL_II_2020!CA_gross_rev_oil_fp)*_xlfn.SINGLE(KLL_II_2020!royalty_rate_oil)</f>
        <v>0</v>
      </c>
      <c r="AZ212" s="49">
        <f ca="1">_xlfn.SINGLE(KLL_II_2020!CA_gross_rev_oil_fp)*_xlfn.SINGLE(KLL_II_2020!royalty_rate_oil)</f>
        <v>0</v>
      </c>
      <c r="BA212" s="49">
        <f ca="1">_xlfn.SINGLE(KLL_II_2020!CA_gross_rev_oil_fp)*_xlfn.SINGLE(KLL_II_2020!royalty_rate_oil)</f>
        <v>0</v>
      </c>
      <c r="BB212" s="49">
        <f ca="1">_xlfn.SINGLE(KLL_II_2020!CA_gross_rev_oil_fp)*_xlfn.SINGLE(KLL_II_2020!royalty_rate_oil)</f>
        <v>0</v>
      </c>
      <c r="BC212" s="49">
        <f ca="1">_xlfn.SINGLE(KLL_II_2020!CA_gross_rev_oil_fp)*_xlfn.SINGLE(KLL_II_2020!royalty_rate_oil)</f>
        <v>0</v>
      </c>
      <c r="BD212" s="49">
        <f ca="1">_xlfn.SINGLE(KLL_II_2020!CA_gross_rev_oil_fp)*_xlfn.SINGLE(KLL_II_2020!royalty_rate_oil)</f>
        <v>0</v>
      </c>
      <c r="BE212" s="49">
        <f ca="1">_xlfn.SINGLE(KLL_II_2020!CA_gross_rev_oil_fp)*_xlfn.SINGLE(KLL_II_2020!royalty_rate_oil)</f>
        <v>0</v>
      </c>
      <c r="BF212" s="49">
        <f ca="1">_xlfn.SINGLE(KLL_II_2020!CA_gross_rev_oil_fp)*_xlfn.SINGLE(KLL_II_2020!royalty_rate_oil)</f>
        <v>0</v>
      </c>
      <c r="BG212" s="49">
        <f ca="1">_xlfn.SINGLE(KLL_II_2020!CA_gross_rev_oil_fp)*_xlfn.SINGLE(KLL_II_2020!royalty_rate_oil)</f>
        <v>0</v>
      </c>
      <c r="BH212" s="49">
        <f ca="1">_xlfn.SINGLE(KLL_II_2020!CA_gross_rev_oil_fp)*_xlfn.SINGLE(KLL_II_2020!royalty_rate_oil)</f>
        <v>0</v>
      </c>
      <c r="BI212" s="49">
        <f ca="1">_xlfn.SINGLE(KLL_II_2020!CA_gross_rev_oil_fp)*_xlfn.SINGLE(KLL_II_2020!royalty_rate_oil)</f>
        <v>0</v>
      </c>
      <c r="BJ212" s="49">
        <f ca="1">_xlfn.SINGLE(KLL_II_2020!CA_gross_rev_oil_fp)*_xlfn.SINGLE(KLL_II_2020!royalty_rate_oil)</f>
        <v>0</v>
      </c>
      <c r="BK212" s="49">
        <f ca="1">_xlfn.SINGLE(KLL_II_2020!CA_gross_rev_oil_fp)*_xlfn.SINGLE(KLL_II_2020!royalty_rate_oil)</f>
        <v>0</v>
      </c>
      <c r="BL212" s="49">
        <f ca="1">_xlfn.SINGLE(KLL_II_2020!CA_gross_rev_oil_fp)*_xlfn.SINGLE(KLL_II_2020!royalty_rate_oil)</f>
        <v>0</v>
      </c>
      <c r="BM212" s="49">
        <f ca="1">_xlfn.SINGLE(KLL_II_2020!CA_gross_rev_oil_fp)*_xlfn.SINGLE(KLL_II_2020!royalty_rate_oil)</f>
        <v>0</v>
      </c>
      <c r="BN212" s="49">
        <f ca="1">_xlfn.SINGLE(KLL_II_2020!CA_gross_rev_oil_fp)*_xlfn.SINGLE(KLL_II_2020!royalty_rate_oil)</f>
        <v>0</v>
      </c>
      <c r="BO212" s="49">
        <f ca="1">_xlfn.SINGLE(KLL_II_2020!CA_gross_rev_oil_fp)*_xlfn.SINGLE(KLL_II_2020!royalty_rate_oil)</f>
        <v>0</v>
      </c>
      <c r="BP212" s="49">
        <f ca="1">_xlfn.SINGLE(KLL_II_2020!CA_gross_rev_oil_fp)*_xlfn.SINGLE(KLL_II_2020!royalty_rate_oil)</f>
        <v>0</v>
      </c>
      <c r="BQ212" s="49">
        <f ca="1">_xlfn.SINGLE(KLL_II_2020!CA_gross_rev_oil_fp)*_xlfn.SINGLE(KLL_II_2020!royalty_rate_oil)</f>
        <v>0</v>
      </c>
      <c r="BR212" s="49">
        <f ca="1">_xlfn.SINGLE(KLL_II_2020!CA_gross_rev_oil_fp)*_xlfn.SINGLE(KLL_II_2020!royalty_rate_oil)</f>
        <v>0</v>
      </c>
      <c r="BS212" s="49">
        <f ca="1">_xlfn.SINGLE(KLL_II_2020!CA_gross_rev_oil_fp)*_xlfn.SINGLE(KLL_II_2020!royalty_rate_oil)</f>
        <v>0</v>
      </c>
    </row>
    <row r="213" spans="3:71" outlineLevel="1" x14ac:dyDescent="0.2">
      <c r="D213" t="str">
        <f>HM_ZB_Nsoko!D226</f>
        <v>Redevance gazière</v>
      </c>
      <c r="I213" s="30">
        <f ca="1">SUM($L213:$BS213)</f>
        <v>0</v>
      </c>
      <c r="J213" s="26" t="s">
        <v>148</v>
      </c>
      <c r="K213" s="7" t="s">
        <v>178</v>
      </c>
      <c r="L213" s="49" cm="1">
        <f t="array" aca="1" ref="L213:BS213" ca="1">KLL_II_2020!CA_gross_rev_gas_fp*KLL_II_2020!royalty_rate_gas</f>
        <v>0</v>
      </c>
      <c r="M213" s="49">
        <f ca="1"/>
        <v>0</v>
      </c>
      <c r="N213" s="49">
        <f ca="1"/>
        <v>0</v>
      </c>
      <c r="O213" s="49">
        <f ca="1"/>
        <v>0</v>
      </c>
      <c r="P213" s="49">
        <f ca="1"/>
        <v>0</v>
      </c>
      <c r="Q213" s="49">
        <f ca="1"/>
        <v>0</v>
      </c>
      <c r="R213" s="49">
        <f ca="1"/>
        <v>0</v>
      </c>
      <c r="S213" s="49">
        <f ca="1"/>
        <v>0</v>
      </c>
      <c r="T213" s="49">
        <f ca="1"/>
        <v>0</v>
      </c>
      <c r="U213" s="49">
        <f ca="1"/>
        <v>0</v>
      </c>
      <c r="V213" s="49">
        <f ca="1"/>
        <v>0</v>
      </c>
      <c r="W213" s="49">
        <f ca="1"/>
        <v>0</v>
      </c>
      <c r="X213" s="49">
        <f ca="1"/>
        <v>0</v>
      </c>
      <c r="Y213" s="49">
        <f ca="1"/>
        <v>0</v>
      </c>
      <c r="Z213" s="49">
        <f ca="1"/>
        <v>0</v>
      </c>
      <c r="AA213" s="49">
        <f ca="1"/>
        <v>0</v>
      </c>
      <c r="AB213" s="49">
        <f ca="1"/>
        <v>0</v>
      </c>
      <c r="AC213" s="49">
        <f ca="1"/>
        <v>0</v>
      </c>
      <c r="AD213" s="49">
        <f ca="1"/>
        <v>0</v>
      </c>
      <c r="AE213" s="49">
        <f ca="1"/>
        <v>0</v>
      </c>
      <c r="AF213" s="49">
        <f ca="1"/>
        <v>0</v>
      </c>
      <c r="AG213" s="49">
        <f ca="1"/>
        <v>0</v>
      </c>
      <c r="AH213" s="49">
        <f ca="1"/>
        <v>0</v>
      </c>
      <c r="AI213" s="49">
        <f ca="1"/>
        <v>0</v>
      </c>
      <c r="AJ213" s="49">
        <f ca="1"/>
        <v>0</v>
      </c>
      <c r="AK213" s="49">
        <f ca="1"/>
        <v>0</v>
      </c>
      <c r="AL213" s="49">
        <f ca="1"/>
        <v>0</v>
      </c>
      <c r="AM213" s="49">
        <f ca="1"/>
        <v>0</v>
      </c>
      <c r="AN213" s="49">
        <f ca="1"/>
        <v>0</v>
      </c>
      <c r="AO213" s="49">
        <f ca="1"/>
        <v>0</v>
      </c>
      <c r="AP213" s="49">
        <f ca="1"/>
        <v>0</v>
      </c>
      <c r="AQ213" s="49">
        <f ca="1"/>
        <v>0</v>
      </c>
      <c r="AR213" s="49">
        <f ca="1"/>
        <v>0</v>
      </c>
      <c r="AS213" s="49">
        <f ca="1"/>
        <v>0</v>
      </c>
      <c r="AT213" s="49">
        <f ca="1"/>
        <v>0</v>
      </c>
      <c r="AU213" s="49">
        <f ca="1"/>
        <v>0</v>
      </c>
      <c r="AV213" s="49">
        <f ca="1"/>
        <v>0</v>
      </c>
      <c r="AW213" s="49">
        <f ca="1"/>
        <v>0</v>
      </c>
      <c r="AX213" s="49">
        <f ca="1"/>
        <v>0</v>
      </c>
      <c r="AY213" s="49">
        <f ca="1"/>
        <v>0</v>
      </c>
      <c r="AZ213" s="49">
        <f ca="1"/>
        <v>0</v>
      </c>
      <c r="BA213" s="49">
        <f ca="1"/>
        <v>0</v>
      </c>
      <c r="BB213" s="49">
        <f ca="1"/>
        <v>0</v>
      </c>
      <c r="BC213" s="49">
        <f ca="1"/>
        <v>0</v>
      </c>
      <c r="BD213" s="49">
        <f ca="1"/>
        <v>0</v>
      </c>
      <c r="BE213" s="49">
        <f ca="1"/>
        <v>0</v>
      </c>
      <c r="BF213" s="49">
        <f ca="1"/>
        <v>0</v>
      </c>
      <c r="BG213" s="49">
        <f ca="1"/>
        <v>0</v>
      </c>
      <c r="BH213" s="49">
        <f ca="1"/>
        <v>0</v>
      </c>
      <c r="BI213" s="49">
        <f ca="1"/>
        <v>0</v>
      </c>
      <c r="BJ213" s="49">
        <f ca="1"/>
        <v>0</v>
      </c>
      <c r="BK213" s="49">
        <f ca="1"/>
        <v>0</v>
      </c>
      <c r="BL213" s="49">
        <f ca="1"/>
        <v>0</v>
      </c>
      <c r="BM213" s="49">
        <f ca="1"/>
        <v>0</v>
      </c>
      <c r="BN213" s="49">
        <f ca="1"/>
        <v>0</v>
      </c>
      <c r="BO213" s="49">
        <f ca="1"/>
        <v>0</v>
      </c>
      <c r="BP213" s="49">
        <f ca="1"/>
        <v>0</v>
      </c>
      <c r="BQ213" s="49">
        <f ca="1"/>
        <v>0</v>
      </c>
      <c r="BR213" s="49">
        <f ca="1"/>
        <v>0</v>
      </c>
      <c r="BS213" s="49">
        <f ca="1"/>
        <v>0</v>
      </c>
    </row>
    <row r="214" spans="3:71" outlineLevel="1" x14ac:dyDescent="0.2">
      <c r="D214" s="11" t="str">
        <f>HM_ZB_Nsoko!D227</f>
        <v>Redevance totale</v>
      </c>
      <c r="I214" s="30">
        <f ca="1">SUM($L214:$BS214)</f>
        <v>679.95153953317106</v>
      </c>
      <c r="J214" s="26" t="s">
        <v>148</v>
      </c>
      <c r="K214" s="7" t="s">
        <v>180</v>
      </c>
      <c r="L214" s="49">
        <f ca="1">SUM(L212:L213)</f>
        <v>74.719362792150008</v>
      </c>
      <c r="M214" s="49">
        <f t="shared" ref="M214:BS214" ca="1" si="49">SUM(M212:M213)</f>
        <v>82.540535392949991</v>
      </c>
      <c r="N214" s="49">
        <f t="shared" ca="1" si="49"/>
        <v>43.50580675754999</v>
      </c>
      <c r="O214" s="49">
        <f t="shared" ca="1" si="49"/>
        <v>37.1600831676</v>
      </c>
      <c r="P214" s="49">
        <f t="shared" ca="1" si="49"/>
        <v>44.619134701800014</v>
      </c>
      <c r="Q214" s="49">
        <f t="shared" ca="1" si="49"/>
        <v>61.369389755850008</v>
      </c>
      <c r="R214" s="49">
        <f t="shared" ca="1" si="49"/>
        <v>59.916944122949999</v>
      </c>
      <c r="S214" s="49">
        <f t="shared" ca="1" si="49"/>
        <v>33.736207049999997</v>
      </c>
      <c r="T214" s="49">
        <f t="shared" ca="1" si="49"/>
        <v>51.619911426719995</v>
      </c>
      <c r="U214" s="49">
        <f t="shared" ca="1" si="49"/>
        <v>51.529582169099996</v>
      </c>
      <c r="V214" s="49">
        <f t="shared" ca="1" si="49"/>
        <v>48.880961645608252</v>
      </c>
      <c r="W214" s="49">
        <f t="shared" ca="1" si="49"/>
        <v>46.368480217023979</v>
      </c>
      <c r="X214" s="49">
        <f t="shared" ca="1" si="49"/>
        <v>43.985140333868948</v>
      </c>
      <c r="Y214" s="49">
        <f t="shared" ca="1" si="49"/>
        <v>0</v>
      </c>
      <c r="Z214" s="49">
        <f t="shared" ca="1" si="49"/>
        <v>0</v>
      </c>
      <c r="AA214" s="49">
        <f t="shared" ca="1" si="49"/>
        <v>0</v>
      </c>
      <c r="AB214" s="49">
        <f t="shared" ca="1" si="49"/>
        <v>0</v>
      </c>
      <c r="AC214" s="49">
        <f t="shared" ca="1" si="49"/>
        <v>0</v>
      </c>
      <c r="AD214" s="49">
        <f t="shared" ca="1" si="49"/>
        <v>0</v>
      </c>
      <c r="AE214" s="49">
        <f t="shared" ca="1" si="49"/>
        <v>0</v>
      </c>
      <c r="AF214" s="49">
        <f t="shared" ca="1" si="49"/>
        <v>0</v>
      </c>
      <c r="AG214" s="49">
        <f t="shared" ca="1" si="49"/>
        <v>0</v>
      </c>
      <c r="AH214" s="49">
        <f t="shared" ca="1" si="49"/>
        <v>0</v>
      </c>
      <c r="AI214" s="49">
        <f t="shared" ca="1" si="49"/>
        <v>0</v>
      </c>
      <c r="AJ214" s="49">
        <f t="shared" ca="1" si="49"/>
        <v>0</v>
      </c>
      <c r="AK214" s="49">
        <f t="shared" ca="1" si="49"/>
        <v>0</v>
      </c>
      <c r="AL214" s="49">
        <f t="shared" ca="1" si="49"/>
        <v>0</v>
      </c>
      <c r="AM214" s="49">
        <f t="shared" ca="1" si="49"/>
        <v>0</v>
      </c>
      <c r="AN214" s="49">
        <f t="shared" ca="1" si="49"/>
        <v>0</v>
      </c>
      <c r="AO214" s="49">
        <f t="shared" ca="1" si="49"/>
        <v>0</v>
      </c>
      <c r="AP214" s="49">
        <f t="shared" ca="1" si="49"/>
        <v>0</v>
      </c>
      <c r="AQ214" s="49">
        <f t="shared" ca="1" si="49"/>
        <v>0</v>
      </c>
      <c r="AR214" s="49">
        <f t="shared" ca="1" si="49"/>
        <v>0</v>
      </c>
      <c r="AS214" s="49">
        <f t="shared" ca="1" si="49"/>
        <v>0</v>
      </c>
      <c r="AT214" s="49">
        <f t="shared" ca="1" si="49"/>
        <v>0</v>
      </c>
      <c r="AU214" s="49">
        <f t="shared" ca="1" si="49"/>
        <v>0</v>
      </c>
      <c r="AV214" s="49">
        <f t="shared" ca="1" si="49"/>
        <v>0</v>
      </c>
      <c r="AW214" s="49">
        <f t="shared" ca="1" si="49"/>
        <v>0</v>
      </c>
      <c r="AX214" s="49">
        <f t="shared" ca="1" si="49"/>
        <v>0</v>
      </c>
      <c r="AY214" s="49">
        <f t="shared" ca="1" si="49"/>
        <v>0</v>
      </c>
      <c r="AZ214" s="49">
        <f t="shared" ca="1" si="49"/>
        <v>0</v>
      </c>
      <c r="BA214" s="49">
        <f t="shared" ca="1" si="49"/>
        <v>0</v>
      </c>
      <c r="BB214" s="49">
        <f t="shared" ca="1" si="49"/>
        <v>0</v>
      </c>
      <c r="BC214" s="49">
        <f t="shared" ca="1" si="49"/>
        <v>0</v>
      </c>
      <c r="BD214" s="49">
        <f t="shared" ca="1" si="49"/>
        <v>0</v>
      </c>
      <c r="BE214" s="49">
        <f t="shared" ca="1" si="49"/>
        <v>0</v>
      </c>
      <c r="BF214" s="49">
        <f t="shared" ca="1" si="49"/>
        <v>0</v>
      </c>
      <c r="BG214" s="49">
        <f t="shared" ca="1" si="49"/>
        <v>0</v>
      </c>
      <c r="BH214" s="49">
        <f t="shared" ca="1" si="49"/>
        <v>0</v>
      </c>
      <c r="BI214" s="49">
        <f t="shared" ca="1" si="49"/>
        <v>0</v>
      </c>
      <c r="BJ214" s="49">
        <f t="shared" ca="1" si="49"/>
        <v>0</v>
      </c>
      <c r="BK214" s="49">
        <f t="shared" ca="1" si="49"/>
        <v>0</v>
      </c>
      <c r="BL214" s="49">
        <f t="shared" ca="1" si="49"/>
        <v>0</v>
      </c>
      <c r="BM214" s="49">
        <f t="shared" ca="1" si="49"/>
        <v>0</v>
      </c>
      <c r="BN214" s="49">
        <f t="shared" ca="1" si="49"/>
        <v>0</v>
      </c>
      <c r="BO214" s="49">
        <f t="shared" ca="1" si="49"/>
        <v>0</v>
      </c>
      <c r="BP214" s="49">
        <f t="shared" ca="1" si="49"/>
        <v>0</v>
      </c>
      <c r="BQ214" s="49">
        <f t="shared" ca="1" si="49"/>
        <v>0</v>
      </c>
      <c r="BR214" s="49">
        <f t="shared" ca="1" si="49"/>
        <v>0</v>
      </c>
      <c r="BS214" s="49">
        <f t="shared" ca="1" si="49"/>
        <v>0</v>
      </c>
    </row>
    <row r="215" spans="3:71" outlineLevel="1" x14ac:dyDescent="0.2">
      <c r="J215" s="26"/>
      <c r="L215" s="55"/>
      <c r="M215" s="55"/>
      <c r="N215" s="55"/>
      <c r="O215" s="55"/>
      <c r="P215" s="55"/>
      <c r="Q215" s="55"/>
      <c r="R215" s="55"/>
      <c r="S215" s="55"/>
      <c r="T215" s="55"/>
      <c r="U215" s="55"/>
      <c r="V215" s="55"/>
      <c r="W215" s="55"/>
      <c r="X215" s="55"/>
      <c r="Y215" s="55"/>
      <c r="Z215" s="55"/>
      <c r="AA215" s="55"/>
      <c r="AB215" s="55"/>
      <c r="AC215" s="55"/>
      <c r="AD215" s="55"/>
      <c r="AE215" s="55"/>
      <c r="AF215" s="55"/>
      <c r="AG215" s="55"/>
      <c r="AH215" s="55"/>
      <c r="AI215" s="55"/>
      <c r="AJ215" s="55"/>
      <c r="AK215" s="55"/>
      <c r="AL215" s="55"/>
      <c r="AM215" s="55"/>
      <c r="AN215" s="55"/>
      <c r="AO215" s="55"/>
      <c r="AP215" s="55"/>
      <c r="AQ215" s="55"/>
      <c r="AR215" s="55"/>
      <c r="AS215" s="55"/>
      <c r="AT215" s="55"/>
      <c r="AU215" s="55"/>
      <c r="AV215" s="55"/>
      <c r="AW215" s="55"/>
      <c r="AX215" s="55"/>
      <c r="AY215" s="55"/>
      <c r="AZ215" s="55"/>
      <c r="BA215" s="55"/>
      <c r="BB215" s="55"/>
      <c r="BC215" s="55"/>
      <c r="BD215" s="55"/>
      <c r="BE215" s="55"/>
      <c r="BF215" s="55"/>
      <c r="BG215" s="55"/>
      <c r="BH215" s="55"/>
      <c r="BI215" s="55"/>
      <c r="BJ215" s="55"/>
      <c r="BK215" s="55"/>
      <c r="BL215" s="55"/>
      <c r="BM215" s="55"/>
      <c r="BN215" s="55"/>
      <c r="BO215" s="55"/>
      <c r="BP215" s="55"/>
      <c r="BQ215" s="55"/>
      <c r="BR215" s="55"/>
      <c r="BS215" s="55"/>
    </row>
    <row r="216" spans="3:71" outlineLevel="1" x14ac:dyDescent="0.2">
      <c r="J216" s="26"/>
      <c r="L216" s="55"/>
      <c r="M216" s="55"/>
      <c r="N216" s="55"/>
      <c r="O216" s="55"/>
      <c r="P216" s="55"/>
      <c r="Q216" s="55"/>
      <c r="R216" s="55"/>
      <c r="S216" s="55"/>
      <c r="T216" s="55"/>
      <c r="U216" s="55"/>
      <c r="V216" s="55"/>
      <c r="W216" s="55"/>
      <c r="X216" s="55"/>
      <c r="Y216" s="55"/>
      <c r="Z216" s="55"/>
      <c r="AA216" s="55"/>
      <c r="AB216" s="55"/>
      <c r="AC216" s="55"/>
      <c r="AD216" s="55"/>
      <c r="AE216" s="55"/>
      <c r="AF216" s="55"/>
      <c r="AG216" s="55"/>
      <c r="AH216" s="55"/>
      <c r="AI216" s="55"/>
      <c r="AJ216" s="55"/>
      <c r="AK216" s="55"/>
      <c r="AL216" s="55"/>
      <c r="AM216" s="55"/>
      <c r="AN216" s="55"/>
      <c r="AO216" s="55"/>
      <c r="AP216" s="55"/>
      <c r="AQ216" s="55"/>
      <c r="AR216" s="55"/>
      <c r="AS216" s="55"/>
      <c r="AT216" s="55"/>
      <c r="AU216" s="55"/>
      <c r="AV216" s="55"/>
      <c r="AW216" s="55"/>
      <c r="AX216" s="55"/>
      <c r="AY216" s="55"/>
      <c r="AZ216" s="55"/>
      <c r="BA216" s="55"/>
      <c r="BB216" s="55"/>
      <c r="BC216" s="55"/>
      <c r="BD216" s="55"/>
      <c r="BE216" s="55"/>
      <c r="BF216" s="55"/>
      <c r="BG216" s="55"/>
      <c r="BH216" s="55"/>
      <c r="BI216" s="55"/>
      <c r="BJ216" s="55"/>
      <c r="BK216" s="55"/>
      <c r="BL216" s="55"/>
      <c r="BM216" s="55"/>
      <c r="BN216" s="55"/>
      <c r="BO216" s="55"/>
      <c r="BP216" s="55"/>
      <c r="BQ216" s="55"/>
      <c r="BR216" s="55"/>
      <c r="BS216" s="55"/>
    </row>
    <row r="217" spans="3:71" outlineLevel="1" x14ac:dyDescent="0.2">
      <c r="C217" s="11" t="str">
        <f>HM_ZB_Nsoko!C230</f>
        <v>Récupération des coûts</v>
      </c>
      <c r="J217" s="26"/>
      <c r="L217" s="55"/>
      <c r="M217" s="55"/>
      <c r="N217" s="55"/>
      <c r="O217" s="55"/>
      <c r="P217" s="55"/>
      <c r="Q217" s="55"/>
      <c r="R217" s="55"/>
      <c r="S217" s="55"/>
      <c r="T217" s="55"/>
      <c r="U217" s="55"/>
      <c r="V217" s="55"/>
      <c r="W217" s="55"/>
      <c r="X217" s="55"/>
      <c r="Y217" s="55"/>
      <c r="Z217" s="55"/>
      <c r="AA217" s="55"/>
      <c r="AB217" s="55"/>
      <c r="AC217" s="55"/>
      <c r="AD217" s="55"/>
      <c r="AE217" s="55"/>
      <c r="AF217" s="55"/>
      <c r="AG217" s="55"/>
      <c r="AH217" s="55"/>
      <c r="AI217" s="55"/>
      <c r="AJ217" s="55"/>
      <c r="AK217" s="55"/>
      <c r="AL217" s="55"/>
      <c r="AM217" s="55"/>
      <c r="AN217" s="55"/>
      <c r="AO217" s="55"/>
      <c r="AP217" s="55"/>
      <c r="AQ217" s="55"/>
      <c r="AR217" s="55"/>
      <c r="AS217" s="55"/>
      <c r="AT217" s="55"/>
      <c r="AU217" s="55"/>
      <c r="AV217" s="55"/>
      <c r="AW217" s="55"/>
      <c r="AX217" s="55"/>
      <c r="AY217" s="55"/>
      <c r="AZ217" s="55"/>
      <c r="BA217" s="55"/>
      <c r="BB217" s="55"/>
      <c r="BC217" s="55"/>
      <c r="BD217" s="55"/>
      <c r="BE217" s="55"/>
      <c r="BF217" s="55"/>
      <c r="BG217" s="55"/>
      <c r="BH217" s="55"/>
      <c r="BI217" s="55"/>
      <c r="BJ217" s="55"/>
      <c r="BK217" s="55"/>
      <c r="BL217" s="55"/>
      <c r="BM217" s="55"/>
      <c r="BN217" s="55"/>
      <c r="BO217" s="55"/>
      <c r="BP217" s="55"/>
      <c r="BQ217" s="55"/>
      <c r="BR217" s="55"/>
      <c r="BS217" s="55"/>
    </row>
    <row r="218" spans="3:71" outlineLevel="1" x14ac:dyDescent="0.2">
      <c r="D218" s="11" t="str">
        <f>HM_ZB_Nsoko!D231</f>
        <v>Ensemble des coûts récupérables</v>
      </c>
      <c r="J218" s="26"/>
      <c r="L218" s="55"/>
      <c r="M218" s="55"/>
      <c r="N218" s="55"/>
      <c r="O218" s="55"/>
      <c r="P218" s="55"/>
      <c r="Q218" s="55"/>
      <c r="R218" s="55"/>
      <c r="S218" s="55"/>
      <c r="T218" s="55"/>
      <c r="U218" s="55"/>
      <c r="V218" s="55"/>
      <c r="W218" s="55"/>
      <c r="X218" s="55"/>
      <c r="Y218" s="55"/>
      <c r="Z218" s="55"/>
      <c r="AA218" s="55"/>
      <c r="AB218" s="55"/>
      <c r="AC218" s="55"/>
      <c r="AD218" s="55"/>
      <c r="AE218" s="55"/>
      <c r="AF218" s="55"/>
      <c r="AG218" s="55"/>
      <c r="AH218" s="55"/>
      <c r="AI218" s="55"/>
      <c r="AJ218" s="55"/>
      <c r="AK218" s="55"/>
      <c r="AL218" s="55"/>
      <c r="AM218" s="55"/>
      <c r="AN218" s="55"/>
      <c r="AO218" s="55"/>
      <c r="AP218" s="55"/>
      <c r="AQ218" s="55"/>
      <c r="AR218" s="55"/>
      <c r="AS218" s="55"/>
      <c r="AT218" s="55"/>
      <c r="AU218" s="55"/>
      <c r="AV218" s="55"/>
      <c r="AW218" s="55"/>
      <c r="AX218" s="55"/>
      <c r="AY218" s="55"/>
      <c r="AZ218" s="55"/>
      <c r="BA218" s="55"/>
      <c r="BB218" s="55"/>
      <c r="BC218" s="55"/>
      <c r="BD218" s="55"/>
      <c r="BE218" s="55"/>
      <c r="BF218" s="55"/>
      <c r="BG218" s="55"/>
      <c r="BH218" s="55"/>
      <c r="BI218" s="55"/>
      <c r="BJ218" s="55"/>
      <c r="BK218" s="55"/>
      <c r="BL218" s="55"/>
      <c r="BM218" s="55"/>
      <c r="BN218" s="55"/>
      <c r="BO218" s="55"/>
      <c r="BP218" s="55"/>
      <c r="BQ218" s="55"/>
      <c r="BR218" s="55"/>
      <c r="BS218" s="55"/>
    </row>
    <row r="219" spans="3:71" outlineLevel="1" x14ac:dyDescent="0.2">
      <c r="D219" s="50" t="str">
        <f>HM_ZB_Nsoko!D232</f>
        <v>Opex</v>
      </c>
      <c r="I219" s="30">
        <f ca="1">SUM($L219:$BS219)</f>
        <v>972.08134211200013</v>
      </c>
      <c r="J219" s="26" t="s">
        <v>148</v>
      </c>
      <c r="K219" s="7" t="s">
        <v>196</v>
      </c>
      <c r="L219" s="49" cm="1">
        <f t="array" aca="1" ref="L219:BS219" ca="1">KLL_II_2020!CA_opex_total_nom</f>
        <v>64.376000000000005</v>
      </c>
      <c r="M219" s="49">
        <f ca="1"/>
        <v>83.224000000000004</v>
      </c>
      <c r="N219" s="49">
        <f ca="1"/>
        <v>66.552000000000007</v>
      </c>
      <c r="O219" s="49">
        <f ca="1"/>
        <v>178.34699999999998</v>
      </c>
      <c r="P219" s="49">
        <f ca="1"/>
        <v>97.385999999999996</v>
      </c>
      <c r="Q219" s="49">
        <f ca="1"/>
        <v>47.099999999999994</v>
      </c>
      <c r="R219" s="49">
        <f ca="1"/>
        <v>64.900000000000006</v>
      </c>
      <c r="S219" s="49">
        <f ca="1"/>
        <v>61.2</v>
      </c>
      <c r="T219" s="49">
        <f ca="1"/>
        <v>60.6</v>
      </c>
      <c r="U219" s="49">
        <f ca="1"/>
        <v>61.2</v>
      </c>
      <c r="V219" s="49">
        <f ca="1"/>
        <v>61.799759999999999</v>
      </c>
      <c r="W219" s="49">
        <f ca="1"/>
        <v>62.399030399999994</v>
      </c>
      <c r="X219" s="49">
        <f ca="1"/>
        <v>62.997551712000003</v>
      </c>
      <c r="Y219" s="49">
        <f ca="1"/>
        <v>0</v>
      </c>
      <c r="Z219" s="49">
        <f ca="1"/>
        <v>0</v>
      </c>
      <c r="AA219" s="49">
        <f ca="1"/>
        <v>0</v>
      </c>
      <c r="AB219" s="49">
        <f ca="1"/>
        <v>0</v>
      </c>
      <c r="AC219" s="49">
        <f ca="1"/>
        <v>0</v>
      </c>
      <c r="AD219" s="49">
        <f ca="1"/>
        <v>0</v>
      </c>
      <c r="AE219" s="49">
        <f ca="1"/>
        <v>0</v>
      </c>
      <c r="AF219" s="49">
        <f ca="1"/>
        <v>0</v>
      </c>
      <c r="AG219" s="49">
        <f ca="1"/>
        <v>0</v>
      </c>
      <c r="AH219" s="49">
        <f ca="1"/>
        <v>0</v>
      </c>
      <c r="AI219" s="49">
        <f ca="1"/>
        <v>0</v>
      </c>
      <c r="AJ219" s="49">
        <f ca="1"/>
        <v>0</v>
      </c>
      <c r="AK219" s="49">
        <f ca="1"/>
        <v>0</v>
      </c>
      <c r="AL219" s="49">
        <f ca="1"/>
        <v>0</v>
      </c>
      <c r="AM219" s="49">
        <f ca="1"/>
        <v>0</v>
      </c>
      <c r="AN219" s="49">
        <f ca="1"/>
        <v>0</v>
      </c>
      <c r="AO219" s="49">
        <f ca="1"/>
        <v>0</v>
      </c>
      <c r="AP219" s="49">
        <f ca="1"/>
        <v>0</v>
      </c>
      <c r="AQ219" s="49">
        <f ca="1"/>
        <v>0</v>
      </c>
      <c r="AR219" s="49">
        <f ca="1"/>
        <v>0</v>
      </c>
      <c r="AS219" s="49">
        <f ca="1"/>
        <v>0</v>
      </c>
      <c r="AT219" s="49">
        <f ca="1"/>
        <v>0</v>
      </c>
      <c r="AU219" s="49">
        <f ca="1"/>
        <v>0</v>
      </c>
      <c r="AV219" s="49">
        <f ca="1"/>
        <v>0</v>
      </c>
      <c r="AW219" s="49">
        <f ca="1"/>
        <v>0</v>
      </c>
      <c r="AX219" s="49">
        <f ca="1"/>
        <v>0</v>
      </c>
      <c r="AY219" s="49">
        <f ca="1"/>
        <v>0</v>
      </c>
      <c r="AZ219" s="49">
        <f ca="1"/>
        <v>0</v>
      </c>
      <c r="BA219" s="49">
        <f ca="1"/>
        <v>0</v>
      </c>
      <c r="BB219" s="49">
        <f ca="1"/>
        <v>0</v>
      </c>
      <c r="BC219" s="49">
        <f ca="1"/>
        <v>0</v>
      </c>
      <c r="BD219" s="49">
        <f ca="1"/>
        <v>0</v>
      </c>
      <c r="BE219" s="49">
        <f ca="1"/>
        <v>0</v>
      </c>
      <c r="BF219" s="49">
        <f ca="1"/>
        <v>0</v>
      </c>
      <c r="BG219" s="49">
        <f ca="1"/>
        <v>0</v>
      </c>
      <c r="BH219" s="49">
        <f ca="1"/>
        <v>0</v>
      </c>
      <c r="BI219" s="49">
        <f ca="1"/>
        <v>0</v>
      </c>
      <c r="BJ219" s="49">
        <f ca="1"/>
        <v>0</v>
      </c>
      <c r="BK219" s="49">
        <f ca="1"/>
        <v>0</v>
      </c>
      <c r="BL219" s="49">
        <f ca="1"/>
        <v>0</v>
      </c>
      <c r="BM219" s="49">
        <f ca="1"/>
        <v>0</v>
      </c>
      <c r="BN219" s="49">
        <f ca="1"/>
        <v>0</v>
      </c>
      <c r="BO219" s="49">
        <f ca="1"/>
        <v>0</v>
      </c>
      <c r="BP219" s="49">
        <f ca="1"/>
        <v>0</v>
      </c>
      <c r="BQ219" s="49">
        <f ca="1"/>
        <v>0</v>
      </c>
      <c r="BR219" s="49">
        <f ca="1"/>
        <v>0</v>
      </c>
      <c r="BS219" s="49">
        <f ca="1"/>
        <v>0</v>
      </c>
    </row>
    <row r="220" spans="3:71" outlineLevel="1" x14ac:dyDescent="0.2">
      <c r="D220" s="50" t="str">
        <f>HM_ZB_Nsoko!D233</f>
        <v>Coûts PID</v>
      </c>
      <c r="I220" s="30">
        <f t="shared" ref="I220:I227" ca="1" si="50">SUM($L220:$BS220)</f>
        <v>45.330102635544748</v>
      </c>
      <c r="J220" s="26" t="s">
        <v>148</v>
      </c>
      <c r="K220" s="7" t="s">
        <v>197</v>
      </c>
      <c r="L220" s="49" cm="1">
        <f t="array" aca="1" ref="L220:BS220" ca="1">KLL_II_2020!CA_pid_fees</f>
        <v>4.9812908528100008</v>
      </c>
      <c r="M220" s="49">
        <f ca="1"/>
        <v>5.5027023595299998</v>
      </c>
      <c r="N220" s="49">
        <f ca="1"/>
        <v>2.9003871171699998</v>
      </c>
      <c r="O220" s="49">
        <f ca="1"/>
        <v>2.4773388778399998</v>
      </c>
      <c r="P220" s="49">
        <f ca="1"/>
        <v>2.9746089801200011</v>
      </c>
      <c r="Q220" s="49">
        <f ca="1"/>
        <v>4.0912926503900007</v>
      </c>
      <c r="R220" s="49">
        <f ca="1"/>
        <v>3.9944629415300001</v>
      </c>
      <c r="S220" s="49">
        <f ca="1"/>
        <v>2.24908047</v>
      </c>
      <c r="T220" s="49">
        <f ca="1"/>
        <v>3.4413274284479995</v>
      </c>
      <c r="U220" s="49">
        <f ca="1"/>
        <v>3.4353054779399996</v>
      </c>
      <c r="V220" s="49">
        <f ca="1"/>
        <v>3.2587307763738838</v>
      </c>
      <c r="W220" s="49">
        <f ca="1"/>
        <v>3.0912320144682655</v>
      </c>
      <c r="X220" s="49">
        <f ca="1"/>
        <v>2.9323426889245967</v>
      </c>
      <c r="Y220" s="49">
        <f ca="1"/>
        <v>0</v>
      </c>
      <c r="Z220" s="49">
        <f ca="1"/>
        <v>0</v>
      </c>
      <c r="AA220" s="49">
        <f ca="1"/>
        <v>0</v>
      </c>
      <c r="AB220" s="49">
        <f ca="1"/>
        <v>0</v>
      </c>
      <c r="AC220" s="49">
        <f ca="1"/>
        <v>0</v>
      </c>
      <c r="AD220" s="49">
        <f ca="1"/>
        <v>0</v>
      </c>
      <c r="AE220" s="49">
        <f ca="1"/>
        <v>0</v>
      </c>
      <c r="AF220" s="49">
        <f ca="1"/>
        <v>0</v>
      </c>
      <c r="AG220" s="49">
        <f ca="1"/>
        <v>0</v>
      </c>
      <c r="AH220" s="49">
        <f ca="1"/>
        <v>0</v>
      </c>
      <c r="AI220" s="49">
        <f ca="1"/>
        <v>0</v>
      </c>
      <c r="AJ220" s="49">
        <f ca="1"/>
        <v>0</v>
      </c>
      <c r="AK220" s="49">
        <f ca="1"/>
        <v>0</v>
      </c>
      <c r="AL220" s="49">
        <f ca="1"/>
        <v>0</v>
      </c>
      <c r="AM220" s="49">
        <f ca="1"/>
        <v>0</v>
      </c>
      <c r="AN220" s="49">
        <f ca="1"/>
        <v>0</v>
      </c>
      <c r="AO220" s="49">
        <f ca="1"/>
        <v>0</v>
      </c>
      <c r="AP220" s="49">
        <f ca="1"/>
        <v>0</v>
      </c>
      <c r="AQ220" s="49">
        <f ca="1"/>
        <v>0</v>
      </c>
      <c r="AR220" s="49">
        <f ca="1"/>
        <v>0</v>
      </c>
      <c r="AS220" s="49">
        <f ca="1"/>
        <v>0</v>
      </c>
      <c r="AT220" s="49">
        <f ca="1"/>
        <v>0</v>
      </c>
      <c r="AU220" s="49">
        <f ca="1"/>
        <v>0</v>
      </c>
      <c r="AV220" s="49">
        <f ca="1"/>
        <v>0</v>
      </c>
      <c r="AW220" s="49">
        <f ca="1"/>
        <v>0</v>
      </c>
      <c r="AX220" s="49">
        <f ca="1"/>
        <v>0</v>
      </c>
      <c r="AY220" s="49">
        <f ca="1"/>
        <v>0</v>
      </c>
      <c r="AZ220" s="49">
        <f ca="1"/>
        <v>0</v>
      </c>
      <c r="BA220" s="49">
        <f ca="1"/>
        <v>0</v>
      </c>
      <c r="BB220" s="49">
        <f ca="1"/>
        <v>0</v>
      </c>
      <c r="BC220" s="49">
        <f ca="1"/>
        <v>0</v>
      </c>
      <c r="BD220" s="49">
        <f ca="1"/>
        <v>0</v>
      </c>
      <c r="BE220" s="49">
        <f ca="1"/>
        <v>0</v>
      </c>
      <c r="BF220" s="49">
        <f ca="1"/>
        <v>0</v>
      </c>
      <c r="BG220" s="49">
        <f ca="1"/>
        <v>0</v>
      </c>
      <c r="BH220" s="49">
        <f ca="1"/>
        <v>0</v>
      </c>
      <c r="BI220" s="49">
        <f ca="1"/>
        <v>0</v>
      </c>
      <c r="BJ220" s="49">
        <f ca="1"/>
        <v>0</v>
      </c>
      <c r="BK220" s="49">
        <f ca="1"/>
        <v>0</v>
      </c>
      <c r="BL220" s="49">
        <f ca="1"/>
        <v>0</v>
      </c>
      <c r="BM220" s="49">
        <f ca="1"/>
        <v>0</v>
      </c>
      <c r="BN220" s="49">
        <f ca="1"/>
        <v>0</v>
      </c>
      <c r="BO220" s="49">
        <f ca="1"/>
        <v>0</v>
      </c>
      <c r="BP220" s="49">
        <f ca="1"/>
        <v>0</v>
      </c>
      <c r="BQ220" s="49">
        <f ca="1"/>
        <v>0</v>
      </c>
      <c r="BR220" s="49">
        <f ca="1"/>
        <v>0</v>
      </c>
      <c r="BS220" s="49">
        <f ca="1"/>
        <v>0</v>
      </c>
    </row>
    <row r="221" spans="3:71" outlineLevel="1" x14ac:dyDescent="0.2">
      <c r="D221" s="50" t="str">
        <f>HM_ZB_Nsoko!D234</f>
        <v>Investissement-Développement</v>
      </c>
      <c r="I221" s="30">
        <f t="shared" ca="1" si="50"/>
        <v>406.02799999999996</v>
      </c>
      <c r="J221" s="26" t="s">
        <v>148</v>
      </c>
      <c r="K221" s="7" t="s">
        <v>198</v>
      </c>
      <c r="L221" s="49" cm="1">
        <f t="array" aca="1" ref="L221:BS221" ca="1">KLL_II_2020!CA_devex_nom</f>
        <v>51.014000000000003</v>
      </c>
      <c r="M221" s="49">
        <f ca="1"/>
        <v>171.511</v>
      </c>
      <c r="N221" s="49">
        <f ca="1"/>
        <v>76.641000000000005</v>
      </c>
      <c r="O221" s="49">
        <f ca="1"/>
        <v>28.661999999999999</v>
      </c>
      <c r="P221" s="49">
        <f ca="1"/>
        <v>18.2</v>
      </c>
      <c r="Q221" s="49">
        <f ca="1"/>
        <v>60</v>
      </c>
      <c r="R221" s="49">
        <f ca="1"/>
        <v>0</v>
      </c>
      <c r="S221" s="49">
        <f ca="1"/>
        <v>0</v>
      </c>
      <c r="T221" s="49">
        <f ca="1"/>
        <v>0</v>
      </c>
      <c r="U221" s="49">
        <f ca="1"/>
        <v>0</v>
      </c>
      <c r="V221" s="49">
        <f ca="1"/>
        <v>0</v>
      </c>
      <c r="W221" s="49">
        <f ca="1"/>
        <v>0</v>
      </c>
      <c r="X221" s="49">
        <f ca="1"/>
        <v>0</v>
      </c>
      <c r="Y221" s="49">
        <f ca="1"/>
        <v>0</v>
      </c>
      <c r="Z221" s="49">
        <f ca="1"/>
        <v>0</v>
      </c>
      <c r="AA221" s="49">
        <f ca="1"/>
        <v>0</v>
      </c>
      <c r="AB221" s="49">
        <f ca="1"/>
        <v>0</v>
      </c>
      <c r="AC221" s="49">
        <f ca="1"/>
        <v>0</v>
      </c>
      <c r="AD221" s="49">
        <f ca="1"/>
        <v>0</v>
      </c>
      <c r="AE221" s="49">
        <f ca="1"/>
        <v>0</v>
      </c>
      <c r="AF221" s="49">
        <f ca="1"/>
        <v>0</v>
      </c>
      <c r="AG221" s="49">
        <f ca="1"/>
        <v>0</v>
      </c>
      <c r="AH221" s="49">
        <f ca="1"/>
        <v>0</v>
      </c>
      <c r="AI221" s="49">
        <f ca="1"/>
        <v>0</v>
      </c>
      <c r="AJ221" s="49">
        <f ca="1"/>
        <v>0</v>
      </c>
      <c r="AK221" s="49">
        <f ca="1"/>
        <v>0</v>
      </c>
      <c r="AL221" s="49">
        <f ca="1"/>
        <v>0</v>
      </c>
      <c r="AM221" s="49">
        <f ca="1"/>
        <v>0</v>
      </c>
      <c r="AN221" s="49">
        <f ca="1"/>
        <v>0</v>
      </c>
      <c r="AO221" s="49">
        <f ca="1"/>
        <v>0</v>
      </c>
      <c r="AP221" s="49">
        <f ca="1"/>
        <v>0</v>
      </c>
      <c r="AQ221" s="49">
        <f ca="1"/>
        <v>0</v>
      </c>
      <c r="AR221" s="49">
        <f ca="1"/>
        <v>0</v>
      </c>
      <c r="AS221" s="49">
        <f ca="1"/>
        <v>0</v>
      </c>
      <c r="AT221" s="49">
        <f ca="1"/>
        <v>0</v>
      </c>
      <c r="AU221" s="49">
        <f ca="1"/>
        <v>0</v>
      </c>
      <c r="AV221" s="49">
        <f ca="1"/>
        <v>0</v>
      </c>
      <c r="AW221" s="49">
        <f ca="1"/>
        <v>0</v>
      </c>
      <c r="AX221" s="49">
        <f ca="1"/>
        <v>0</v>
      </c>
      <c r="AY221" s="49">
        <f ca="1"/>
        <v>0</v>
      </c>
      <c r="AZ221" s="49">
        <f ca="1"/>
        <v>0</v>
      </c>
      <c r="BA221" s="49">
        <f ca="1"/>
        <v>0</v>
      </c>
      <c r="BB221" s="49">
        <f ca="1"/>
        <v>0</v>
      </c>
      <c r="BC221" s="49">
        <f ca="1"/>
        <v>0</v>
      </c>
      <c r="BD221" s="49">
        <f ca="1"/>
        <v>0</v>
      </c>
      <c r="BE221" s="49">
        <f ca="1"/>
        <v>0</v>
      </c>
      <c r="BF221" s="49">
        <f ca="1"/>
        <v>0</v>
      </c>
      <c r="BG221" s="49">
        <f ca="1"/>
        <v>0</v>
      </c>
      <c r="BH221" s="49">
        <f ca="1"/>
        <v>0</v>
      </c>
      <c r="BI221" s="49">
        <f ca="1"/>
        <v>0</v>
      </c>
      <c r="BJ221" s="49">
        <f ca="1"/>
        <v>0</v>
      </c>
      <c r="BK221" s="49">
        <f ca="1"/>
        <v>0</v>
      </c>
      <c r="BL221" s="49">
        <f ca="1"/>
        <v>0</v>
      </c>
      <c r="BM221" s="49">
        <f ca="1"/>
        <v>0</v>
      </c>
      <c r="BN221" s="49">
        <f ca="1"/>
        <v>0</v>
      </c>
      <c r="BO221" s="49">
        <f ca="1"/>
        <v>0</v>
      </c>
      <c r="BP221" s="49">
        <f ca="1"/>
        <v>0</v>
      </c>
      <c r="BQ221" s="49">
        <f ca="1"/>
        <v>0</v>
      </c>
      <c r="BR221" s="49">
        <f ca="1"/>
        <v>0</v>
      </c>
      <c r="BS221" s="49">
        <f ca="1"/>
        <v>0</v>
      </c>
    </row>
    <row r="222" spans="3:71" outlineLevel="1" x14ac:dyDescent="0.2">
      <c r="D222" s="50" t="str">
        <f>HM_ZB_Nsoko!D235</f>
        <v>Investissement -Dépenses d'exploration</v>
      </c>
      <c r="I222" s="30">
        <f t="shared" ca="1" si="50"/>
        <v>0</v>
      </c>
      <c r="J222" s="26" t="s">
        <v>148</v>
      </c>
      <c r="K222" s="7" t="s">
        <v>199</v>
      </c>
      <c r="L222" s="49" cm="1">
        <f t="array" aca="1" ref="L222:BS222" ca="1">KLL_II_2020!CA_expex_nom*recov_EandA_toggle</f>
        <v>0</v>
      </c>
      <c r="M222" s="49">
        <f ca="1"/>
        <v>0</v>
      </c>
      <c r="N222" s="49">
        <f ca="1"/>
        <v>0</v>
      </c>
      <c r="O222" s="49">
        <f ca="1"/>
        <v>0</v>
      </c>
      <c r="P222" s="49">
        <f ca="1"/>
        <v>0</v>
      </c>
      <c r="Q222" s="49">
        <f ca="1"/>
        <v>0</v>
      </c>
      <c r="R222" s="49">
        <f ca="1"/>
        <v>0</v>
      </c>
      <c r="S222" s="49">
        <f ca="1"/>
        <v>0</v>
      </c>
      <c r="T222" s="49">
        <f ca="1"/>
        <v>0</v>
      </c>
      <c r="U222" s="49">
        <f ca="1"/>
        <v>0</v>
      </c>
      <c r="V222" s="49">
        <f ca="1"/>
        <v>0</v>
      </c>
      <c r="W222" s="49">
        <f ca="1"/>
        <v>0</v>
      </c>
      <c r="X222" s="49">
        <f ca="1"/>
        <v>0</v>
      </c>
      <c r="Y222" s="49">
        <f ca="1"/>
        <v>0</v>
      </c>
      <c r="Z222" s="49">
        <f ca="1"/>
        <v>0</v>
      </c>
      <c r="AA222" s="49">
        <f ca="1"/>
        <v>0</v>
      </c>
      <c r="AB222" s="49">
        <f ca="1"/>
        <v>0</v>
      </c>
      <c r="AC222" s="49">
        <f ca="1"/>
        <v>0</v>
      </c>
      <c r="AD222" s="49">
        <f ca="1"/>
        <v>0</v>
      </c>
      <c r="AE222" s="49">
        <f ca="1"/>
        <v>0</v>
      </c>
      <c r="AF222" s="49">
        <f ca="1"/>
        <v>0</v>
      </c>
      <c r="AG222" s="49">
        <f ca="1"/>
        <v>0</v>
      </c>
      <c r="AH222" s="49">
        <f ca="1"/>
        <v>0</v>
      </c>
      <c r="AI222" s="49">
        <f ca="1"/>
        <v>0</v>
      </c>
      <c r="AJ222" s="49">
        <f ca="1"/>
        <v>0</v>
      </c>
      <c r="AK222" s="49">
        <f ca="1"/>
        <v>0</v>
      </c>
      <c r="AL222" s="49">
        <f ca="1"/>
        <v>0</v>
      </c>
      <c r="AM222" s="49">
        <f ca="1"/>
        <v>0</v>
      </c>
      <c r="AN222" s="49">
        <f ca="1"/>
        <v>0</v>
      </c>
      <c r="AO222" s="49">
        <f ca="1"/>
        <v>0</v>
      </c>
      <c r="AP222" s="49">
        <f ca="1"/>
        <v>0</v>
      </c>
      <c r="AQ222" s="49">
        <f ca="1"/>
        <v>0</v>
      </c>
      <c r="AR222" s="49">
        <f ca="1"/>
        <v>0</v>
      </c>
      <c r="AS222" s="49">
        <f ca="1"/>
        <v>0</v>
      </c>
      <c r="AT222" s="49">
        <f ca="1"/>
        <v>0</v>
      </c>
      <c r="AU222" s="49">
        <f ca="1"/>
        <v>0</v>
      </c>
      <c r="AV222" s="49">
        <f ca="1"/>
        <v>0</v>
      </c>
      <c r="AW222" s="49">
        <f ca="1"/>
        <v>0</v>
      </c>
      <c r="AX222" s="49">
        <f ca="1"/>
        <v>0</v>
      </c>
      <c r="AY222" s="49">
        <f ca="1"/>
        <v>0</v>
      </c>
      <c r="AZ222" s="49">
        <f ca="1"/>
        <v>0</v>
      </c>
      <c r="BA222" s="49">
        <f ca="1"/>
        <v>0</v>
      </c>
      <c r="BB222" s="49">
        <f ca="1"/>
        <v>0</v>
      </c>
      <c r="BC222" s="49">
        <f ca="1"/>
        <v>0</v>
      </c>
      <c r="BD222" s="49">
        <f ca="1"/>
        <v>0</v>
      </c>
      <c r="BE222" s="49">
        <f ca="1"/>
        <v>0</v>
      </c>
      <c r="BF222" s="49">
        <f ca="1"/>
        <v>0</v>
      </c>
      <c r="BG222" s="49">
        <f ca="1"/>
        <v>0</v>
      </c>
      <c r="BH222" s="49">
        <f ca="1"/>
        <v>0</v>
      </c>
      <c r="BI222" s="49">
        <f ca="1"/>
        <v>0</v>
      </c>
      <c r="BJ222" s="49">
        <f ca="1"/>
        <v>0</v>
      </c>
      <c r="BK222" s="49">
        <f ca="1"/>
        <v>0</v>
      </c>
      <c r="BL222" s="49">
        <f ca="1"/>
        <v>0</v>
      </c>
      <c r="BM222" s="49">
        <f ca="1"/>
        <v>0</v>
      </c>
      <c r="BN222" s="49">
        <f ca="1"/>
        <v>0</v>
      </c>
      <c r="BO222" s="49">
        <f ca="1"/>
        <v>0</v>
      </c>
      <c r="BP222" s="49">
        <f ca="1"/>
        <v>0</v>
      </c>
      <c r="BQ222" s="49">
        <f ca="1"/>
        <v>0</v>
      </c>
      <c r="BR222" s="49">
        <f ca="1"/>
        <v>0</v>
      </c>
      <c r="BS222" s="49">
        <f ca="1"/>
        <v>0</v>
      </c>
    </row>
    <row r="223" spans="3:71" outlineLevel="1" x14ac:dyDescent="0.2">
      <c r="D223" s="50" t="str">
        <f>HM_ZB_Nsoko!D236</f>
        <v>Coûts d'abandon</v>
      </c>
      <c r="I223" s="30">
        <f t="shared" ca="1" si="50"/>
        <v>675.7120000000001</v>
      </c>
      <c r="J223" s="26" t="s">
        <v>148</v>
      </c>
      <c r="K223" s="7" t="s">
        <v>679</v>
      </c>
      <c r="L223" s="49">
        <f ca="1">KLL_II_2020!CA_decom_nom</f>
        <v>28.318999999999999</v>
      </c>
      <c r="M223" s="49">
        <f ca="1">KLL_II_2020!CA_decom_nom</f>
        <v>38.320999999999998</v>
      </c>
      <c r="N223" s="49">
        <f ca="1">KLL_II_2020!CA_decom_nom</f>
        <v>51.231000000000002</v>
      </c>
      <c r="O223" s="49">
        <f ca="1">KLL_II_2020!CA_decom_nom</f>
        <v>101.089</v>
      </c>
      <c r="P223" s="49">
        <f ca="1">KLL_II_2020!CA_decom_nom</f>
        <v>131.86000000000001</v>
      </c>
      <c r="Q223" s="49">
        <f ca="1">KLL_II_2020!CA_decom_nom</f>
        <v>161.22499999999999</v>
      </c>
      <c r="R223" s="49">
        <f ca="1">KLL_II_2020!CA_decom_nom</f>
        <v>163.667</v>
      </c>
      <c r="S223" s="49">
        <f ca="1">KLL_II_2020!CA_decom_nom</f>
        <v>0</v>
      </c>
      <c r="T223" s="49">
        <f ca="1">KLL_II_2020!CA_decom_nom</f>
        <v>0</v>
      </c>
      <c r="U223" s="49">
        <f ca="1">KLL_II_2020!CA_decom_nom</f>
        <v>0</v>
      </c>
      <c r="V223" s="49">
        <f ca="1">KLL_II_2020!CA_decom_nom</f>
        <v>0</v>
      </c>
      <c r="W223" s="49">
        <f ca="1">KLL_II_2020!CA_decom_nom</f>
        <v>0</v>
      </c>
      <c r="X223" s="49">
        <f ca="1">KLL_II_2020!CA_decom_nom</f>
        <v>0</v>
      </c>
      <c r="Y223" s="49">
        <f ca="1">KLL_II_2020!CA_decom_nom</f>
        <v>0</v>
      </c>
      <c r="Z223" s="49">
        <f ca="1">KLL_II_2020!CA_decom_nom</f>
        <v>0</v>
      </c>
      <c r="AA223" s="49">
        <f ca="1">KLL_II_2020!CA_decom_nom</f>
        <v>0</v>
      </c>
      <c r="AB223" s="49">
        <f ca="1">KLL_II_2020!CA_decom_nom</f>
        <v>0</v>
      </c>
      <c r="AC223" s="49">
        <f ca="1">KLL_II_2020!CA_decom_nom</f>
        <v>0</v>
      </c>
      <c r="AD223" s="49">
        <f ca="1">KLL_II_2020!CA_decom_nom</f>
        <v>0</v>
      </c>
      <c r="AE223" s="49">
        <f ca="1">KLL_II_2020!CA_decom_nom</f>
        <v>0</v>
      </c>
      <c r="AF223" s="49">
        <f ca="1">KLL_II_2020!CA_decom_nom</f>
        <v>0</v>
      </c>
      <c r="AG223" s="49">
        <f ca="1">KLL_II_2020!CA_decom_nom</f>
        <v>0</v>
      </c>
      <c r="AH223" s="49">
        <f ca="1">KLL_II_2020!CA_decom_nom</f>
        <v>0</v>
      </c>
      <c r="AI223" s="49">
        <f ca="1">KLL_II_2020!CA_decom_nom</f>
        <v>0</v>
      </c>
      <c r="AJ223" s="49">
        <f ca="1">KLL_II_2020!CA_decom_nom</f>
        <v>0</v>
      </c>
      <c r="AK223" s="49">
        <f ca="1">KLL_II_2020!CA_decom_nom</f>
        <v>0</v>
      </c>
      <c r="AL223" s="49">
        <f ca="1">KLL_II_2020!CA_decom_nom</f>
        <v>0</v>
      </c>
      <c r="AM223" s="49">
        <f ca="1">KLL_II_2020!CA_decom_nom</f>
        <v>0</v>
      </c>
      <c r="AN223" s="49">
        <f ca="1">KLL_II_2020!CA_decom_nom</f>
        <v>0</v>
      </c>
      <c r="AO223" s="49">
        <f ca="1">KLL_II_2020!CA_decom_nom</f>
        <v>0</v>
      </c>
      <c r="AP223" s="49">
        <f ca="1">KLL_II_2020!CA_decom_nom</f>
        <v>0</v>
      </c>
      <c r="AQ223" s="49">
        <f ca="1">KLL_II_2020!CA_decom_nom</f>
        <v>0</v>
      </c>
      <c r="AR223" s="49">
        <f ca="1">KLL_II_2020!CA_decom_nom</f>
        <v>0</v>
      </c>
      <c r="AS223" s="49">
        <f ca="1">KLL_II_2020!CA_decom_nom</f>
        <v>0</v>
      </c>
      <c r="AT223" s="49">
        <f ca="1">KLL_II_2020!CA_decom_nom</f>
        <v>0</v>
      </c>
      <c r="AU223" s="49">
        <f ca="1">KLL_II_2020!CA_decom_nom</f>
        <v>0</v>
      </c>
      <c r="AV223" s="49">
        <f ca="1">KLL_II_2020!CA_decom_nom</f>
        <v>0</v>
      </c>
      <c r="AW223" s="49">
        <f ca="1">KLL_II_2020!CA_decom_nom</f>
        <v>0</v>
      </c>
      <c r="AX223" s="49">
        <f ca="1">KLL_II_2020!CA_decom_nom</f>
        <v>0</v>
      </c>
      <c r="AY223" s="49">
        <f ca="1">KLL_II_2020!CA_decom_nom</f>
        <v>0</v>
      </c>
      <c r="AZ223" s="49">
        <f ca="1">KLL_II_2020!CA_decom_nom</f>
        <v>0</v>
      </c>
      <c r="BA223" s="49">
        <f ca="1">KLL_II_2020!CA_decom_nom</f>
        <v>0</v>
      </c>
      <c r="BB223" s="49">
        <f ca="1">KLL_II_2020!CA_decom_nom</f>
        <v>0</v>
      </c>
      <c r="BC223" s="49">
        <f ca="1">KLL_II_2020!CA_decom_nom</f>
        <v>0</v>
      </c>
      <c r="BD223" s="49">
        <f ca="1">KLL_II_2020!CA_decom_nom</f>
        <v>0</v>
      </c>
      <c r="BE223" s="49">
        <f ca="1">KLL_II_2020!CA_decom_nom</f>
        <v>0</v>
      </c>
      <c r="BF223" s="49">
        <f ca="1">KLL_II_2020!CA_decom_nom</f>
        <v>0</v>
      </c>
      <c r="BG223" s="49">
        <f ca="1">KLL_II_2020!CA_decom_nom</f>
        <v>0</v>
      </c>
      <c r="BH223" s="49">
        <f ca="1">KLL_II_2020!CA_decom_nom</f>
        <v>0</v>
      </c>
      <c r="BI223" s="49">
        <f ca="1">KLL_II_2020!CA_decom_nom</f>
        <v>0</v>
      </c>
      <c r="BJ223" s="49">
        <f ca="1">KLL_II_2020!CA_decom_nom</f>
        <v>0</v>
      </c>
      <c r="BK223" s="49">
        <f ca="1">KLL_II_2020!CA_decom_nom</f>
        <v>0</v>
      </c>
      <c r="BL223" s="49">
        <f ca="1">KLL_II_2020!CA_decom_nom</f>
        <v>0</v>
      </c>
      <c r="BM223" s="49">
        <f ca="1">KLL_II_2020!CA_decom_nom</f>
        <v>0</v>
      </c>
      <c r="BN223" s="49">
        <f ca="1">KLL_II_2020!CA_decom_nom</f>
        <v>0</v>
      </c>
      <c r="BO223" s="49">
        <f ca="1">KLL_II_2020!CA_decom_nom</f>
        <v>0</v>
      </c>
      <c r="BP223" s="49">
        <f ca="1">KLL_II_2020!CA_decom_nom</f>
        <v>0</v>
      </c>
      <c r="BQ223" s="49">
        <f ca="1">KLL_II_2020!CA_decom_nom</f>
        <v>0</v>
      </c>
      <c r="BR223" s="49">
        <f ca="1">KLL_II_2020!CA_decom_nom</f>
        <v>0</v>
      </c>
      <c r="BS223" s="49">
        <f ca="1">KLL_II_2020!CA_decom_nom</f>
        <v>0</v>
      </c>
    </row>
    <row r="224" spans="3:71" outlineLevel="1" x14ac:dyDescent="0.2">
      <c r="D224" s="50" t="str">
        <f>HM_ZB_Nsoko!D237</f>
        <v>Solde des coûts non récupérés</v>
      </c>
      <c r="I224" s="30">
        <f t="shared" ca="1" si="50"/>
        <v>192.33544036000001</v>
      </c>
      <c r="J224" s="26" t="s">
        <v>148</v>
      </c>
      <c r="K224" s="7" t="s">
        <v>676</v>
      </c>
      <c r="L224" s="49">
        <f ca="1">OFFSET(_xlfn.SINGLE(IA_unrec_cost_bal_real),5,)</f>
        <v>192.33544036000001</v>
      </c>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c r="AL224" s="49"/>
      <c r="AM224" s="49"/>
      <c r="AN224" s="49"/>
      <c r="AO224" s="49"/>
      <c r="AP224" s="49"/>
      <c r="AQ224" s="49"/>
      <c r="AR224" s="49"/>
      <c r="AS224" s="49"/>
      <c r="AT224" s="49"/>
      <c r="AU224" s="49"/>
      <c r="AV224" s="49"/>
      <c r="AW224" s="49"/>
      <c r="AX224" s="49"/>
      <c r="AY224" s="49"/>
      <c r="AZ224" s="49"/>
      <c r="BA224" s="49"/>
      <c r="BB224" s="49"/>
      <c r="BC224" s="49"/>
      <c r="BD224" s="49"/>
      <c r="BE224" s="49"/>
      <c r="BF224" s="49"/>
      <c r="BG224" s="49"/>
      <c r="BH224" s="49"/>
      <c r="BI224" s="49"/>
      <c r="BJ224" s="49"/>
      <c r="BK224" s="49"/>
      <c r="BL224" s="49"/>
      <c r="BM224" s="49"/>
      <c r="BN224" s="49"/>
      <c r="BO224" s="49"/>
      <c r="BP224" s="49"/>
      <c r="BQ224" s="49"/>
      <c r="BR224" s="49"/>
      <c r="BS224" s="49"/>
    </row>
    <row r="225" spans="4:71" outlineLevel="1" x14ac:dyDescent="0.2">
      <c r="D225" s="51" t="str">
        <f>HM_ZB_Nsoko!D238</f>
        <v>Total des coûts récupérables</v>
      </c>
      <c r="I225" s="30">
        <f t="shared" ca="1" si="50"/>
        <v>2291.4868851075448</v>
      </c>
      <c r="J225" s="26" t="s">
        <v>148</v>
      </c>
      <c r="L225" s="49">
        <f ca="1">SUM(L219:L224)</f>
        <v>341.02573121281</v>
      </c>
      <c r="M225" s="49">
        <f t="shared" ref="M225:BS225" ca="1" si="51">SUM(M219:M224)</f>
        <v>298.55870235953</v>
      </c>
      <c r="N225" s="49">
        <f t="shared" ca="1" si="51"/>
        <v>197.32438711717001</v>
      </c>
      <c r="O225" s="49">
        <f t="shared" ca="1" si="51"/>
        <v>310.57533887783995</v>
      </c>
      <c r="P225" s="49">
        <f t="shared" ca="1" si="51"/>
        <v>250.42060898011999</v>
      </c>
      <c r="Q225" s="49">
        <f t="shared" ca="1" si="51"/>
        <v>272.41629265039001</v>
      </c>
      <c r="R225" s="49">
        <f t="shared" ca="1" si="51"/>
        <v>232.56146294153001</v>
      </c>
      <c r="S225" s="49">
        <f t="shared" ca="1" si="51"/>
        <v>63.449080470000006</v>
      </c>
      <c r="T225" s="49">
        <f t="shared" ca="1" si="51"/>
        <v>64.041327428448</v>
      </c>
      <c r="U225" s="49">
        <f t="shared" ca="1" si="51"/>
        <v>64.635305477940008</v>
      </c>
      <c r="V225" s="49">
        <f t="shared" ca="1" si="51"/>
        <v>65.058490776373887</v>
      </c>
      <c r="W225" s="49">
        <f t="shared" ca="1" si="51"/>
        <v>65.490262414468262</v>
      </c>
      <c r="X225" s="49">
        <f t="shared" ca="1" si="51"/>
        <v>65.929894400924596</v>
      </c>
      <c r="Y225" s="49">
        <f t="shared" ca="1" si="51"/>
        <v>0</v>
      </c>
      <c r="Z225" s="49">
        <f t="shared" ca="1" si="51"/>
        <v>0</v>
      </c>
      <c r="AA225" s="49">
        <f t="shared" ca="1" si="51"/>
        <v>0</v>
      </c>
      <c r="AB225" s="49">
        <f t="shared" ca="1" si="51"/>
        <v>0</v>
      </c>
      <c r="AC225" s="49">
        <f t="shared" ca="1" si="51"/>
        <v>0</v>
      </c>
      <c r="AD225" s="49">
        <f t="shared" ca="1" si="51"/>
        <v>0</v>
      </c>
      <c r="AE225" s="49">
        <f t="shared" ca="1" si="51"/>
        <v>0</v>
      </c>
      <c r="AF225" s="49">
        <f t="shared" ca="1" si="51"/>
        <v>0</v>
      </c>
      <c r="AG225" s="49">
        <f t="shared" ca="1" si="51"/>
        <v>0</v>
      </c>
      <c r="AH225" s="49">
        <f t="shared" ca="1" si="51"/>
        <v>0</v>
      </c>
      <c r="AI225" s="49">
        <f t="shared" ca="1" si="51"/>
        <v>0</v>
      </c>
      <c r="AJ225" s="49">
        <f t="shared" ca="1" si="51"/>
        <v>0</v>
      </c>
      <c r="AK225" s="49">
        <f t="shared" ca="1" si="51"/>
        <v>0</v>
      </c>
      <c r="AL225" s="49">
        <f t="shared" ca="1" si="51"/>
        <v>0</v>
      </c>
      <c r="AM225" s="49">
        <f t="shared" ca="1" si="51"/>
        <v>0</v>
      </c>
      <c r="AN225" s="49">
        <f t="shared" ca="1" si="51"/>
        <v>0</v>
      </c>
      <c r="AO225" s="49">
        <f t="shared" ca="1" si="51"/>
        <v>0</v>
      </c>
      <c r="AP225" s="49">
        <f t="shared" ca="1" si="51"/>
        <v>0</v>
      </c>
      <c r="AQ225" s="49">
        <f t="shared" ca="1" si="51"/>
        <v>0</v>
      </c>
      <c r="AR225" s="49">
        <f t="shared" ca="1" si="51"/>
        <v>0</v>
      </c>
      <c r="AS225" s="49">
        <f t="shared" ca="1" si="51"/>
        <v>0</v>
      </c>
      <c r="AT225" s="49">
        <f t="shared" ca="1" si="51"/>
        <v>0</v>
      </c>
      <c r="AU225" s="49">
        <f t="shared" ca="1" si="51"/>
        <v>0</v>
      </c>
      <c r="AV225" s="49">
        <f t="shared" ca="1" si="51"/>
        <v>0</v>
      </c>
      <c r="AW225" s="49">
        <f t="shared" ca="1" si="51"/>
        <v>0</v>
      </c>
      <c r="AX225" s="49">
        <f t="shared" ca="1" si="51"/>
        <v>0</v>
      </c>
      <c r="AY225" s="49">
        <f t="shared" ca="1" si="51"/>
        <v>0</v>
      </c>
      <c r="AZ225" s="49">
        <f t="shared" ca="1" si="51"/>
        <v>0</v>
      </c>
      <c r="BA225" s="49">
        <f t="shared" ca="1" si="51"/>
        <v>0</v>
      </c>
      <c r="BB225" s="49">
        <f t="shared" ca="1" si="51"/>
        <v>0</v>
      </c>
      <c r="BC225" s="49">
        <f t="shared" ca="1" si="51"/>
        <v>0</v>
      </c>
      <c r="BD225" s="49">
        <f t="shared" ca="1" si="51"/>
        <v>0</v>
      </c>
      <c r="BE225" s="49">
        <f t="shared" ca="1" si="51"/>
        <v>0</v>
      </c>
      <c r="BF225" s="49">
        <f t="shared" ca="1" si="51"/>
        <v>0</v>
      </c>
      <c r="BG225" s="49">
        <f t="shared" ca="1" si="51"/>
        <v>0</v>
      </c>
      <c r="BH225" s="49">
        <f t="shared" ca="1" si="51"/>
        <v>0</v>
      </c>
      <c r="BI225" s="49">
        <f t="shared" ca="1" si="51"/>
        <v>0</v>
      </c>
      <c r="BJ225" s="49">
        <f t="shared" ca="1" si="51"/>
        <v>0</v>
      </c>
      <c r="BK225" s="49">
        <f t="shared" ca="1" si="51"/>
        <v>0</v>
      </c>
      <c r="BL225" s="49">
        <f t="shared" ca="1" si="51"/>
        <v>0</v>
      </c>
      <c r="BM225" s="49">
        <f t="shared" ca="1" si="51"/>
        <v>0</v>
      </c>
      <c r="BN225" s="49">
        <f t="shared" ca="1" si="51"/>
        <v>0</v>
      </c>
      <c r="BO225" s="49">
        <f t="shared" ca="1" si="51"/>
        <v>0</v>
      </c>
      <c r="BP225" s="49">
        <f t="shared" ca="1" si="51"/>
        <v>0</v>
      </c>
      <c r="BQ225" s="49">
        <f t="shared" ca="1" si="51"/>
        <v>0</v>
      </c>
      <c r="BR225" s="49">
        <f t="shared" ca="1" si="51"/>
        <v>0</v>
      </c>
      <c r="BS225" s="49">
        <f t="shared" ca="1" si="51"/>
        <v>0</v>
      </c>
    </row>
    <row r="226" spans="4:71" outlineLevel="1" x14ac:dyDescent="0.2">
      <c r="J226" s="26"/>
      <c r="L226" s="55"/>
      <c r="M226" s="55"/>
      <c r="N226" s="55"/>
      <c r="O226" s="55"/>
      <c r="P226" s="55"/>
      <c r="Q226" s="55"/>
      <c r="R226" s="55"/>
      <c r="S226" s="55"/>
      <c r="T226" s="55"/>
      <c r="U226" s="55"/>
      <c r="V226" s="55"/>
      <c r="W226" s="55"/>
      <c r="X226" s="55"/>
      <c r="Y226" s="55"/>
      <c r="Z226" s="55"/>
      <c r="AA226" s="55"/>
      <c r="AB226" s="55"/>
      <c r="AC226" s="55"/>
      <c r="AD226" s="55"/>
      <c r="AE226" s="55"/>
      <c r="AF226" s="55"/>
      <c r="AG226" s="55"/>
      <c r="AH226" s="55"/>
      <c r="AI226" s="55"/>
      <c r="AJ226" s="55"/>
      <c r="AK226" s="55"/>
      <c r="AL226" s="55"/>
      <c r="AM226" s="55"/>
      <c r="AN226" s="55"/>
      <c r="AO226" s="55"/>
      <c r="AP226" s="55"/>
      <c r="AQ226" s="55"/>
      <c r="AR226" s="55"/>
      <c r="AS226" s="55"/>
      <c r="AT226" s="55"/>
      <c r="AU226" s="55"/>
      <c r="AV226" s="55"/>
      <c r="AW226" s="55"/>
      <c r="AX226" s="55"/>
      <c r="AY226" s="55"/>
      <c r="AZ226" s="55"/>
      <c r="BA226" s="55"/>
      <c r="BB226" s="55"/>
      <c r="BC226" s="55"/>
      <c r="BD226" s="55"/>
      <c r="BE226" s="55"/>
      <c r="BF226" s="55"/>
      <c r="BG226" s="55"/>
      <c r="BH226" s="55"/>
      <c r="BI226" s="55"/>
      <c r="BJ226" s="55"/>
      <c r="BK226" s="55"/>
      <c r="BL226" s="55"/>
      <c r="BM226" s="55"/>
      <c r="BN226" s="55"/>
      <c r="BO226" s="55"/>
      <c r="BP226" s="55"/>
      <c r="BQ226" s="55"/>
      <c r="BR226" s="55"/>
      <c r="BS226" s="55"/>
    </row>
    <row r="227" spans="4:71" outlineLevel="1" x14ac:dyDescent="0.2">
      <c r="D227" s="52" t="str">
        <f>HM_ZA_Nkossa!D231</f>
        <v>Cost Oil garanti</v>
      </c>
      <c r="I227" s="30">
        <f t="shared" ca="1" si="50"/>
        <v>1133.2525658886188</v>
      </c>
      <c r="J227" s="26" t="s">
        <v>148</v>
      </c>
      <c r="K227" s="7" t="s">
        <v>190</v>
      </c>
      <c r="L227" s="49">
        <f ca="1">(KLL_II_2020!CA_gross_rev_total_fp*KLL_II_2020!GCO_perc)*(KLL_II_2020!CA_PSC_switch_trig=0)+
IF(L$4&gt;=YEAR(KLL_II_2020!GCO_date),KLL_II_2020!CA_gross_rev_total_fp*KLL_II_2020!GCO_perc,0)*(KLL_II_2020!CA_PSC_switch_trig=1)</f>
        <v>124.53227132025002</v>
      </c>
      <c r="M227" s="49">
        <f ca="1">(KLL_II_2020!CA_gross_rev_total_fp*KLL_II_2020!GCO_perc)*(KLL_II_2020!CA_PSC_switch_trig=0)+
IF(M$4&gt;=YEAR(KLL_II_2020!GCO_date),KLL_II_2020!CA_gross_rev_total_fp*KLL_II_2020!GCO_perc,0)*(KLL_II_2020!CA_PSC_switch_trig=1)</f>
        <v>137.56755898825</v>
      </c>
      <c r="N227" s="49">
        <f ca="1">(KLL_II_2020!CA_gross_rev_total_fp*KLL_II_2020!GCO_perc)*(KLL_II_2020!CA_PSC_switch_trig=0)+
IF(N$4&gt;=YEAR(KLL_II_2020!GCO_date),KLL_II_2020!CA_gross_rev_total_fp*KLL_II_2020!GCO_perc,0)*(KLL_II_2020!CA_PSC_switch_trig=1)</f>
        <v>72.509677929249989</v>
      </c>
      <c r="O227" s="49">
        <f ca="1">(KLL_II_2020!CA_gross_rev_total_fp*KLL_II_2020!GCO_perc)*(KLL_II_2020!CA_PSC_switch_trig=0)+
IF(O$4&gt;=YEAR(KLL_II_2020!GCO_date),KLL_II_2020!CA_gross_rev_total_fp*KLL_II_2020!GCO_perc,0)*(KLL_II_2020!CA_PSC_switch_trig=1)</f>
        <v>61.933471945999997</v>
      </c>
      <c r="P227" s="49">
        <f ca="1">(KLL_II_2020!CA_gross_rev_total_fp*KLL_II_2020!GCO_perc)*(KLL_II_2020!CA_PSC_switch_trig=0)+
IF(P$4&gt;=YEAR(KLL_II_2020!GCO_date),KLL_II_2020!CA_gross_rev_total_fp*KLL_II_2020!GCO_perc,0)*(KLL_II_2020!CA_PSC_switch_trig=1)</f>
        <v>74.365224503000022</v>
      </c>
      <c r="Q227" s="49">
        <f ca="1">(KLL_II_2020!CA_gross_rev_total_fp*KLL_II_2020!GCO_perc)*(KLL_II_2020!CA_PSC_switch_trig=0)+
IF(Q$4&gt;=YEAR(KLL_II_2020!GCO_date),KLL_II_2020!CA_gross_rev_total_fp*KLL_II_2020!GCO_perc,0)*(KLL_II_2020!CA_PSC_switch_trig=1)</f>
        <v>102.28231625975002</v>
      </c>
      <c r="R227" s="49">
        <f ca="1">(KLL_II_2020!CA_gross_rev_total_fp*KLL_II_2020!GCO_perc)*(KLL_II_2020!CA_PSC_switch_trig=0)+
IF(R$4&gt;=YEAR(KLL_II_2020!GCO_date),KLL_II_2020!CA_gross_rev_total_fp*KLL_II_2020!GCO_perc,0)*(KLL_II_2020!CA_PSC_switch_trig=1)</f>
        <v>99.861573538249999</v>
      </c>
      <c r="S227" s="49">
        <f ca="1">(KLL_II_2020!CA_gross_rev_total_fp*KLL_II_2020!GCO_perc)*(KLL_II_2020!CA_PSC_switch_trig=0)+
IF(S$4&gt;=YEAR(KLL_II_2020!GCO_date),KLL_II_2020!CA_gross_rev_total_fp*KLL_II_2020!GCO_perc,0)*(KLL_II_2020!CA_PSC_switch_trig=1)</f>
        <v>56.227011750000003</v>
      </c>
      <c r="T227" s="49">
        <f ca="1">(KLL_II_2020!CA_gross_rev_total_fp*KLL_II_2020!GCO_perc)*(KLL_II_2020!CA_PSC_switch_trig=0)+
IF(T$4&gt;=YEAR(KLL_II_2020!GCO_date),KLL_II_2020!CA_gross_rev_total_fp*KLL_II_2020!GCO_perc,0)*(KLL_II_2020!CA_PSC_switch_trig=1)</f>
        <v>86.033185711199991</v>
      </c>
      <c r="U227" s="49">
        <f ca="1">(KLL_II_2020!CA_gross_rev_total_fp*KLL_II_2020!GCO_perc)*(KLL_II_2020!CA_PSC_switch_trig=0)+
IF(U$4&gt;=YEAR(KLL_II_2020!GCO_date),KLL_II_2020!CA_gross_rev_total_fp*KLL_II_2020!GCO_perc,0)*(KLL_II_2020!CA_PSC_switch_trig=1)</f>
        <v>85.882636948499993</v>
      </c>
      <c r="V227" s="49">
        <f ca="1">(KLL_II_2020!CA_gross_rev_total_fp*KLL_II_2020!GCO_perc)*(KLL_II_2020!CA_PSC_switch_trig=0)+
IF(V$4&gt;=YEAR(KLL_II_2020!GCO_date),KLL_II_2020!CA_gross_rev_total_fp*KLL_II_2020!GCO_perc,0)*(KLL_II_2020!CA_PSC_switch_trig=1)</f>
        <v>81.468269409347087</v>
      </c>
      <c r="W227" s="49">
        <f ca="1">(KLL_II_2020!CA_gross_rev_total_fp*KLL_II_2020!GCO_perc)*(KLL_II_2020!CA_PSC_switch_trig=0)+
IF(W$4&gt;=YEAR(KLL_II_2020!GCO_date),KLL_II_2020!CA_gross_rev_total_fp*KLL_II_2020!GCO_perc,0)*(KLL_II_2020!CA_PSC_switch_trig=1)</f>
        <v>77.280800361706639</v>
      </c>
      <c r="X227" s="49">
        <f ca="1">(KLL_II_2020!CA_gross_rev_total_fp*KLL_II_2020!GCO_perc)*(KLL_II_2020!CA_PSC_switch_trig=0)+
IF(X$4&gt;=YEAR(KLL_II_2020!GCO_date),KLL_II_2020!CA_gross_rev_total_fp*KLL_II_2020!GCO_perc,0)*(KLL_II_2020!CA_PSC_switch_trig=1)</f>
        <v>73.30856722311492</v>
      </c>
      <c r="Y227" s="49">
        <f ca="1">(KLL_II_2020!CA_gross_rev_total_fp*KLL_II_2020!GCO_perc)*(KLL_II_2020!CA_PSC_switch_trig=0)+
IF(Y$4&gt;=YEAR(KLL_II_2020!GCO_date),KLL_II_2020!CA_gross_rev_total_fp*KLL_II_2020!GCO_perc,0)*(KLL_II_2020!CA_PSC_switch_trig=1)</f>
        <v>0</v>
      </c>
      <c r="Z227" s="49">
        <f ca="1">(KLL_II_2020!CA_gross_rev_total_fp*KLL_II_2020!GCO_perc)*(KLL_II_2020!CA_PSC_switch_trig=0)+
IF(Z$4&gt;=YEAR(KLL_II_2020!GCO_date),KLL_II_2020!CA_gross_rev_total_fp*KLL_II_2020!GCO_perc,0)*(KLL_II_2020!CA_PSC_switch_trig=1)</f>
        <v>0</v>
      </c>
      <c r="AA227" s="49">
        <f ca="1">(KLL_II_2020!CA_gross_rev_total_fp*KLL_II_2020!GCO_perc)*(KLL_II_2020!CA_PSC_switch_trig=0)+
IF(AA$4&gt;=YEAR(KLL_II_2020!GCO_date),KLL_II_2020!CA_gross_rev_total_fp*KLL_II_2020!GCO_perc,0)*(KLL_II_2020!CA_PSC_switch_trig=1)</f>
        <v>0</v>
      </c>
      <c r="AB227" s="49">
        <f ca="1">(KLL_II_2020!CA_gross_rev_total_fp*KLL_II_2020!GCO_perc)*(KLL_II_2020!CA_PSC_switch_trig=0)+
IF(AB$4&gt;=YEAR(KLL_II_2020!GCO_date),KLL_II_2020!CA_gross_rev_total_fp*KLL_II_2020!GCO_perc,0)*(KLL_II_2020!CA_PSC_switch_trig=1)</f>
        <v>0</v>
      </c>
      <c r="AC227" s="49">
        <f ca="1">(KLL_II_2020!CA_gross_rev_total_fp*KLL_II_2020!GCO_perc)*(KLL_II_2020!CA_PSC_switch_trig=0)+
IF(AC$4&gt;=YEAR(KLL_II_2020!GCO_date),KLL_II_2020!CA_gross_rev_total_fp*KLL_II_2020!GCO_perc,0)*(KLL_II_2020!CA_PSC_switch_trig=1)</f>
        <v>0</v>
      </c>
      <c r="AD227" s="49">
        <f ca="1">(KLL_II_2020!CA_gross_rev_total_fp*KLL_II_2020!GCO_perc)*(KLL_II_2020!CA_PSC_switch_trig=0)+
IF(AD$4&gt;=YEAR(KLL_II_2020!GCO_date),KLL_II_2020!CA_gross_rev_total_fp*KLL_II_2020!GCO_perc,0)*(KLL_II_2020!CA_PSC_switch_trig=1)</f>
        <v>0</v>
      </c>
      <c r="AE227" s="49">
        <f ca="1">(KLL_II_2020!CA_gross_rev_total_fp*KLL_II_2020!GCO_perc)*(KLL_II_2020!CA_PSC_switch_trig=0)+
IF(AE$4&gt;=YEAR(KLL_II_2020!GCO_date),KLL_II_2020!CA_gross_rev_total_fp*KLL_II_2020!GCO_perc,0)*(KLL_II_2020!CA_PSC_switch_trig=1)</f>
        <v>0</v>
      </c>
      <c r="AF227" s="49">
        <f ca="1">(KLL_II_2020!CA_gross_rev_total_fp*KLL_II_2020!GCO_perc)*(KLL_II_2020!CA_PSC_switch_trig=0)+
IF(AF$4&gt;=YEAR(KLL_II_2020!GCO_date),KLL_II_2020!CA_gross_rev_total_fp*KLL_II_2020!GCO_perc,0)*(KLL_II_2020!CA_PSC_switch_trig=1)</f>
        <v>0</v>
      </c>
      <c r="AG227" s="49">
        <f ca="1">(KLL_II_2020!CA_gross_rev_total_fp*KLL_II_2020!GCO_perc)*(KLL_II_2020!CA_PSC_switch_trig=0)+
IF(AG$4&gt;=YEAR(KLL_II_2020!GCO_date),KLL_II_2020!CA_gross_rev_total_fp*KLL_II_2020!GCO_perc,0)*(KLL_II_2020!CA_PSC_switch_trig=1)</f>
        <v>0</v>
      </c>
      <c r="AH227" s="49">
        <f ca="1">(KLL_II_2020!CA_gross_rev_total_fp*KLL_II_2020!GCO_perc)*(KLL_II_2020!CA_PSC_switch_trig=0)+
IF(AH$4&gt;=YEAR(KLL_II_2020!GCO_date),KLL_II_2020!CA_gross_rev_total_fp*KLL_II_2020!GCO_perc,0)*(KLL_II_2020!CA_PSC_switch_trig=1)</f>
        <v>0</v>
      </c>
      <c r="AI227" s="49">
        <f ca="1">(KLL_II_2020!CA_gross_rev_total_fp*KLL_II_2020!GCO_perc)*(KLL_II_2020!CA_PSC_switch_trig=0)+
IF(AI$4&gt;=YEAR(KLL_II_2020!GCO_date),KLL_II_2020!CA_gross_rev_total_fp*KLL_II_2020!GCO_perc,0)*(KLL_II_2020!CA_PSC_switch_trig=1)</f>
        <v>0</v>
      </c>
      <c r="AJ227" s="49">
        <f ca="1">(KLL_II_2020!CA_gross_rev_total_fp*KLL_II_2020!GCO_perc)*(KLL_II_2020!CA_PSC_switch_trig=0)+
IF(AJ$4&gt;=YEAR(KLL_II_2020!GCO_date),KLL_II_2020!CA_gross_rev_total_fp*KLL_II_2020!GCO_perc,0)*(KLL_II_2020!CA_PSC_switch_trig=1)</f>
        <v>0</v>
      </c>
      <c r="AK227" s="49">
        <f ca="1">(KLL_II_2020!CA_gross_rev_total_fp*KLL_II_2020!GCO_perc)*(KLL_II_2020!CA_PSC_switch_trig=0)+
IF(AK$4&gt;=YEAR(KLL_II_2020!GCO_date),KLL_II_2020!CA_gross_rev_total_fp*KLL_II_2020!GCO_perc,0)*(KLL_II_2020!CA_PSC_switch_trig=1)</f>
        <v>0</v>
      </c>
      <c r="AL227" s="49">
        <f ca="1">(KLL_II_2020!CA_gross_rev_total_fp*KLL_II_2020!GCO_perc)*(KLL_II_2020!CA_PSC_switch_trig=0)+
IF(AL$4&gt;=YEAR(KLL_II_2020!GCO_date),KLL_II_2020!CA_gross_rev_total_fp*KLL_II_2020!GCO_perc,0)*(KLL_II_2020!CA_PSC_switch_trig=1)</f>
        <v>0</v>
      </c>
      <c r="AM227" s="49">
        <f ca="1">(KLL_II_2020!CA_gross_rev_total_fp*KLL_II_2020!GCO_perc)*(KLL_II_2020!CA_PSC_switch_trig=0)+
IF(AM$4&gt;=YEAR(KLL_II_2020!GCO_date),KLL_II_2020!CA_gross_rev_total_fp*KLL_II_2020!GCO_perc,0)*(KLL_II_2020!CA_PSC_switch_trig=1)</f>
        <v>0</v>
      </c>
      <c r="AN227" s="49">
        <f ca="1">(KLL_II_2020!CA_gross_rev_total_fp*KLL_II_2020!GCO_perc)*(KLL_II_2020!CA_PSC_switch_trig=0)+
IF(AN$4&gt;=YEAR(KLL_II_2020!GCO_date),KLL_II_2020!CA_gross_rev_total_fp*KLL_II_2020!GCO_perc,0)*(KLL_II_2020!CA_PSC_switch_trig=1)</f>
        <v>0</v>
      </c>
      <c r="AO227" s="49">
        <f ca="1">(KLL_II_2020!CA_gross_rev_total_fp*KLL_II_2020!GCO_perc)*(KLL_II_2020!CA_PSC_switch_trig=0)+
IF(AO$4&gt;=YEAR(KLL_II_2020!GCO_date),KLL_II_2020!CA_gross_rev_total_fp*KLL_II_2020!GCO_perc,0)*(KLL_II_2020!CA_PSC_switch_trig=1)</f>
        <v>0</v>
      </c>
      <c r="AP227" s="49">
        <f ca="1">(KLL_II_2020!CA_gross_rev_total_fp*KLL_II_2020!GCO_perc)*(KLL_II_2020!CA_PSC_switch_trig=0)+
IF(AP$4&gt;=YEAR(KLL_II_2020!GCO_date),KLL_II_2020!CA_gross_rev_total_fp*KLL_II_2020!GCO_perc,0)*(KLL_II_2020!CA_PSC_switch_trig=1)</f>
        <v>0</v>
      </c>
      <c r="AQ227" s="49">
        <f ca="1">(KLL_II_2020!CA_gross_rev_total_fp*KLL_II_2020!GCO_perc)*(KLL_II_2020!CA_PSC_switch_trig=0)+
IF(AQ$4&gt;=YEAR(KLL_II_2020!GCO_date),KLL_II_2020!CA_gross_rev_total_fp*KLL_II_2020!GCO_perc,0)*(KLL_II_2020!CA_PSC_switch_trig=1)</f>
        <v>0</v>
      </c>
      <c r="AR227" s="49">
        <f ca="1">(KLL_II_2020!CA_gross_rev_total_fp*KLL_II_2020!GCO_perc)*(KLL_II_2020!CA_PSC_switch_trig=0)+
IF(AR$4&gt;=YEAR(KLL_II_2020!GCO_date),KLL_II_2020!CA_gross_rev_total_fp*KLL_II_2020!GCO_perc,0)*(KLL_II_2020!CA_PSC_switch_trig=1)</f>
        <v>0</v>
      </c>
      <c r="AS227" s="49">
        <f ca="1">(KLL_II_2020!CA_gross_rev_total_fp*KLL_II_2020!GCO_perc)*(KLL_II_2020!CA_PSC_switch_trig=0)+
IF(AS$4&gt;=YEAR(KLL_II_2020!GCO_date),KLL_II_2020!CA_gross_rev_total_fp*KLL_II_2020!GCO_perc,0)*(KLL_II_2020!CA_PSC_switch_trig=1)</f>
        <v>0</v>
      </c>
      <c r="AT227" s="49">
        <f ca="1">(KLL_II_2020!CA_gross_rev_total_fp*KLL_II_2020!GCO_perc)*(KLL_II_2020!CA_PSC_switch_trig=0)+
IF(AT$4&gt;=YEAR(KLL_II_2020!GCO_date),KLL_II_2020!CA_gross_rev_total_fp*KLL_II_2020!GCO_perc,0)*(KLL_II_2020!CA_PSC_switch_trig=1)</f>
        <v>0</v>
      </c>
      <c r="AU227" s="49">
        <f ca="1">(KLL_II_2020!CA_gross_rev_total_fp*KLL_II_2020!GCO_perc)*(KLL_II_2020!CA_PSC_switch_trig=0)+
IF(AU$4&gt;=YEAR(KLL_II_2020!GCO_date),KLL_II_2020!CA_gross_rev_total_fp*KLL_II_2020!GCO_perc,0)*(KLL_II_2020!CA_PSC_switch_trig=1)</f>
        <v>0</v>
      </c>
      <c r="AV227" s="49">
        <f ca="1">(KLL_II_2020!CA_gross_rev_total_fp*KLL_II_2020!GCO_perc)*(KLL_II_2020!CA_PSC_switch_trig=0)+
IF(AV$4&gt;=YEAR(KLL_II_2020!GCO_date),KLL_II_2020!CA_gross_rev_total_fp*KLL_II_2020!GCO_perc,0)*(KLL_II_2020!CA_PSC_switch_trig=1)</f>
        <v>0</v>
      </c>
      <c r="AW227" s="49">
        <f ca="1">(KLL_II_2020!CA_gross_rev_total_fp*KLL_II_2020!GCO_perc)*(KLL_II_2020!CA_PSC_switch_trig=0)+
IF(AW$4&gt;=YEAR(KLL_II_2020!GCO_date),KLL_II_2020!CA_gross_rev_total_fp*KLL_II_2020!GCO_perc,0)*(KLL_II_2020!CA_PSC_switch_trig=1)</f>
        <v>0</v>
      </c>
      <c r="AX227" s="49">
        <f ca="1">(KLL_II_2020!CA_gross_rev_total_fp*KLL_II_2020!GCO_perc)*(KLL_II_2020!CA_PSC_switch_trig=0)+
IF(AX$4&gt;=YEAR(KLL_II_2020!GCO_date),KLL_II_2020!CA_gross_rev_total_fp*KLL_II_2020!GCO_perc,0)*(KLL_II_2020!CA_PSC_switch_trig=1)</f>
        <v>0</v>
      </c>
      <c r="AY227" s="49">
        <f ca="1">(KLL_II_2020!CA_gross_rev_total_fp*KLL_II_2020!GCO_perc)*(KLL_II_2020!CA_PSC_switch_trig=0)+
IF(AY$4&gt;=YEAR(KLL_II_2020!GCO_date),KLL_II_2020!CA_gross_rev_total_fp*KLL_II_2020!GCO_perc,0)*(KLL_II_2020!CA_PSC_switch_trig=1)</f>
        <v>0</v>
      </c>
      <c r="AZ227" s="49">
        <f ca="1">(KLL_II_2020!CA_gross_rev_total_fp*KLL_II_2020!GCO_perc)*(KLL_II_2020!CA_PSC_switch_trig=0)+
IF(AZ$4&gt;=YEAR(KLL_II_2020!GCO_date),KLL_II_2020!CA_gross_rev_total_fp*KLL_II_2020!GCO_perc,0)*(KLL_II_2020!CA_PSC_switch_trig=1)</f>
        <v>0</v>
      </c>
      <c r="BA227" s="49">
        <f ca="1">(KLL_II_2020!CA_gross_rev_total_fp*KLL_II_2020!GCO_perc)*(KLL_II_2020!CA_PSC_switch_trig=0)+
IF(BA$4&gt;=YEAR(KLL_II_2020!GCO_date),KLL_II_2020!CA_gross_rev_total_fp*KLL_II_2020!GCO_perc,0)*(KLL_II_2020!CA_PSC_switch_trig=1)</f>
        <v>0</v>
      </c>
      <c r="BB227" s="49">
        <f ca="1">(KLL_II_2020!CA_gross_rev_total_fp*KLL_II_2020!GCO_perc)*(KLL_II_2020!CA_PSC_switch_trig=0)+
IF(BB$4&gt;=YEAR(KLL_II_2020!GCO_date),KLL_II_2020!CA_gross_rev_total_fp*KLL_II_2020!GCO_perc,0)*(KLL_II_2020!CA_PSC_switch_trig=1)</f>
        <v>0</v>
      </c>
      <c r="BC227" s="49">
        <f ca="1">(KLL_II_2020!CA_gross_rev_total_fp*KLL_II_2020!GCO_perc)*(KLL_II_2020!CA_PSC_switch_trig=0)+
IF(BC$4&gt;=YEAR(KLL_II_2020!GCO_date),KLL_II_2020!CA_gross_rev_total_fp*KLL_II_2020!GCO_perc,0)*(KLL_II_2020!CA_PSC_switch_trig=1)</f>
        <v>0</v>
      </c>
      <c r="BD227" s="49">
        <f ca="1">(KLL_II_2020!CA_gross_rev_total_fp*KLL_II_2020!GCO_perc)*(KLL_II_2020!CA_PSC_switch_trig=0)+
IF(BD$4&gt;=YEAR(KLL_II_2020!GCO_date),KLL_II_2020!CA_gross_rev_total_fp*KLL_II_2020!GCO_perc,0)*(KLL_II_2020!CA_PSC_switch_trig=1)</f>
        <v>0</v>
      </c>
      <c r="BE227" s="49">
        <f ca="1">(KLL_II_2020!CA_gross_rev_total_fp*KLL_II_2020!GCO_perc)*(KLL_II_2020!CA_PSC_switch_trig=0)+
IF(BE$4&gt;=YEAR(KLL_II_2020!GCO_date),KLL_II_2020!CA_gross_rev_total_fp*KLL_II_2020!GCO_perc,0)*(KLL_II_2020!CA_PSC_switch_trig=1)</f>
        <v>0</v>
      </c>
      <c r="BF227" s="49">
        <f ca="1">(KLL_II_2020!CA_gross_rev_total_fp*KLL_II_2020!GCO_perc)*(KLL_II_2020!CA_PSC_switch_trig=0)+
IF(BF$4&gt;=YEAR(KLL_II_2020!GCO_date),KLL_II_2020!CA_gross_rev_total_fp*KLL_II_2020!GCO_perc,0)*(KLL_II_2020!CA_PSC_switch_trig=1)</f>
        <v>0</v>
      </c>
      <c r="BG227" s="49">
        <f ca="1">(KLL_II_2020!CA_gross_rev_total_fp*KLL_II_2020!GCO_perc)*(KLL_II_2020!CA_PSC_switch_trig=0)+
IF(BG$4&gt;=YEAR(KLL_II_2020!GCO_date),KLL_II_2020!CA_gross_rev_total_fp*KLL_II_2020!GCO_perc,0)*(KLL_II_2020!CA_PSC_switch_trig=1)</f>
        <v>0</v>
      </c>
      <c r="BH227" s="49">
        <f ca="1">(KLL_II_2020!CA_gross_rev_total_fp*KLL_II_2020!GCO_perc)*(KLL_II_2020!CA_PSC_switch_trig=0)+
IF(BH$4&gt;=YEAR(KLL_II_2020!GCO_date),KLL_II_2020!CA_gross_rev_total_fp*KLL_II_2020!GCO_perc,0)*(KLL_II_2020!CA_PSC_switch_trig=1)</f>
        <v>0</v>
      </c>
      <c r="BI227" s="49">
        <f ca="1">(KLL_II_2020!CA_gross_rev_total_fp*KLL_II_2020!GCO_perc)*(KLL_II_2020!CA_PSC_switch_trig=0)+
IF(BI$4&gt;=YEAR(KLL_II_2020!GCO_date),KLL_II_2020!CA_gross_rev_total_fp*KLL_II_2020!GCO_perc,0)*(KLL_II_2020!CA_PSC_switch_trig=1)</f>
        <v>0</v>
      </c>
      <c r="BJ227" s="49">
        <f ca="1">(KLL_II_2020!CA_gross_rev_total_fp*KLL_II_2020!GCO_perc)*(KLL_II_2020!CA_PSC_switch_trig=0)+
IF(BJ$4&gt;=YEAR(KLL_II_2020!GCO_date),KLL_II_2020!CA_gross_rev_total_fp*KLL_II_2020!GCO_perc,0)*(KLL_II_2020!CA_PSC_switch_trig=1)</f>
        <v>0</v>
      </c>
      <c r="BK227" s="49">
        <f ca="1">(KLL_II_2020!CA_gross_rev_total_fp*KLL_II_2020!GCO_perc)*(KLL_II_2020!CA_PSC_switch_trig=0)+
IF(BK$4&gt;=YEAR(KLL_II_2020!GCO_date),KLL_II_2020!CA_gross_rev_total_fp*KLL_II_2020!GCO_perc,0)*(KLL_II_2020!CA_PSC_switch_trig=1)</f>
        <v>0</v>
      </c>
      <c r="BL227" s="49">
        <f ca="1">(KLL_II_2020!CA_gross_rev_total_fp*KLL_II_2020!GCO_perc)*(KLL_II_2020!CA_PSC_switch_trig=0)+
IF(BL$4&gt;=YEAR(KLL_II_2020!GCO_date),KLL_II_2020!CA_gross_rev_total_fp*KLL_II_2020!GCO_perc,0)*(KLL_II_2020!CA_PSC_switch_trig=1)</f>
        <v>0</v>
      </c>
      <c r="BM227" s="49">
        <f ca="1">(KLL_II_2020!CA_gross_rev_total_fp*KLL_II_2020!GCO_perc)*(KLL_II_2020!CA_PSC_switch_trig=0)+
IF(BM$4&gt;=YEAR(KLL_II_2020!GCO_date),KLL_II_2020!CA_gross_rev_total_fp*KLL_II_2020!GCO_perc,0)*(KLL_II_2020!CA_PSC_switch_trig=1)</f>
        <v>0</v>
      </c>
      <c r="BN227" s="49">
        <f ca="1">(KLL_II_2020!CA_gross_rev_total_fp*KLL_II_2020!GCO_perc)*(KLL_II_2020!CA_PSC_switch_trig=0)+
IF(BN$4&gt;=YEAR(KLL_II_2020!GCO_date),KLL_II_2020!CA_gross_rev_total_fp*KLL_II_2020!GCO_perc,0)*(KLL_II_2020!CA_PSC_switch_trig=1)</f>
        <v>0</v>
      </c>
      <c r="BO227" s="49">
        <f ca="1">(KLL_II_2020!CA_gross_rev_total_fp*KLL_II_2020!GCO_perc)*(KLL_II_2020!CA_PSC_switch_trig=0)+
IF(BO$4&gt;=YEAR(KLL_II_2020!GCO_date),KLL_II_2020!CA_gross_rev_total_fp*KLL_II_2020!GCO_perc,0)*(KLL_II_2020!CA_PSC_switch_trig=1)</f>
        <v>0</v>
      </c>
      <c r="BP227" s="49">
        <f ca="1">(KLL_II_2020!CA_gross_rev_total_fp*KLL_II_2020!GCO_perc)*(KLL_II_2020!CA_PSC_switch_trig=0)+
IF(BP$4&gt;=YEAR(KLL_II_2020!GCO_date),KLL_II_2020!CA_gross_rev_total_fp*KLL_II_2020!GCO_perc,0)*(KLL_II_2020!CA_PSC_switch_trig=1)</f>
        <v>0</v>
      </c>
      <c r="BQ227" s="49">
        <f ca="1">(KLL_II_2020!CA_gross_rev_total_fp*KLL_II_2020!GCO_perc)*(KLL_II_2020!CA_PSC_switch_trig=0)+
IF(BQ$4&gt;=YEAR(KLL_II_2020!GCO_date),KLL_II_2020!CA_gross_rev_total_fp*KLL_II_2020!GCO_perc,0)*(KLL_II_2020!CA_PSC_switch_trig=1)</f>
        <v>0</v>
      </c>
      <c r="BR227" s="49">
        <f ca="1">(KLL_II_2020!CA_gross_rev_total_fp*KLL_II_2020!GCO_perc)*(KLL_II_2020!CA_PSC_switch_trig=0)+
IF(BR$4&gt;=YEAR(KLL_II_2020!GCO_date),KLL_II_2020!CA_gross_rev_total_fp*KLL_II_2020!GCO_perc,0)*(KLL_II_2020!CA_PSC_switch_trig=1)</f>
        <v>0</v>
      </c>
      <c r="BS227" s="49">
        <f ca="1">(KLL_II_2020!CA_gross_rev_total_fp*KLL_II_2020!GCO_perc)*(KLL_II_2020!CA_PSC_switch_trig=0)+
IF(BS$4&gt;=YEAR(KLL_II_2020!GCO_date),KLL_II_2020!CA_gross_rev_total_fp*KLL_II_2020!GCO_perc,0)*(KLL_II_2020!CA_PSC_switch_trig=1)</f>
        <v>0</v>
      </c>
    </row>
    <row r="228" spans="4:71" outlineLevel="1" x14ac:dyDescent="0.2">
      <c r="J228" s="26"/>
      <c r="L228" s="55"/>
      <c r="M228" s="55"/>
      <c r="N228" s="55"/>
      <c r="O228" s="55"/>
      <c r="P228" s="55"/>
      <c r="Q228" s="55"/>
      <c r="R228" s="55"/>
      <c r="S228" s="55"/>
      <c r="T228" s="55"/>
      <c r="U228" s="55"/>
      <c r="V228" s="55"/>
      <c r="W228" s="55"/>
      <c r="X228" s="55"/>
      <c r="Y228" s="55"/>
      <c r="Z228" s="55"/>
      <c r="AA228" s="55"/>
      <c r="AB228" s="55"/>
      <c r="AC228" s="55"/>
      <c r="AD228" s="55"/>
      <c r="AE228" s="55"/>
      <c r="AF228" s="55"/>
      <c r="AG228" s="55"/>
      <c r="AH228" s="55"/>
      <c r="AI228" s="55"/>
      <c r="AJ228" s="55"/>
      <c r="AK228" s="55"/>
      <c r="AL228" s="55"/>
      <c r="AM228" s="55"/>
      <c r="AN228" s="55"/>
      <c r="AO228" s="55"/>
      <c r="AP228" s="55"/>
      <c r="AQ228" s="55"/>
      <c r="AR228" s="55"/>
      <c r="AS228" s="55"/>
      <c r="AT228" s="55"/>
      <c r="AU228" s="55"/>
      <c r="AV228" s="55"/>
      <c r="AW228" s="55"/>
      <c r="AX228" s="55"/>
      <c r="AY228" s="55"/>
      <c r="AZ228" s="55"/>
      <c r="BA228" s="55"/>
      <c r="BB228" s="55"/>
      <c r="BC228" s="55"/>
      <c r="BD228" s="55"/>
      <c r="BE228" s="55"/>
      <c r="BF228" s="55"/>
      <c r="BG228" s="55"/>
      <c r="BH228" s="55"/>
      <c r="BI228" s="55"/>
      <c r="BJ228" s="55"/>
      <c r="BK228" s="55"/>
      <c r="BL228" s="55"/>
      <c r="BM228" s="55"/>
      <c r="BN228" s="55"/>
      <c r="BO228" s="55"/>
      <c r="BP228" s="55"/>
      <c r="BQ228" s="55"/>
      <c r="BR228" s="55"/>
      <c r="BS228" s="55"/>
    </row>
    <row r="229" spans="4:71" outlineLevel="1" x14ac:dyDescent="0.2">
      <c r="D229" s="35" t="str">
        <f>HM_ZD_Moho!D251</f>
        <v>Limite Cost stop</v>
      </c>
      <c r="J229" s="26" t="s">
        <v>90</v>
      </c>
      <c r="L229" s="53">
        <f ca="1">IF(KLL_II_2020!CA_FP_oil_nom&gt;=INDEX(KLL_II_2020!FA_HP,1),KLL_II_2020!cost_stop_perc,0)*KLL_II_2020!CA_op_trig*(KLL_II_2020!CA_PSC_switch_trig=0)+
(IF(L$4&gt;=YEAR(CR_date),KLL_II_2020!cost_stop_perc,0)*KLL_II_2020!CA_op_trig)*(KLL_II_2020!CA_PSC_switch_trig=1)</f>
        <v>0.5</v>
      </c>
      <c r="M229" s="53">
        <f ca="1">IF(KLL_II_2020!CA_FP_oil_nom&gt;=INDEX(KLL_II_2020!FA_HP,1),KLL_II_2020!cost_stop_perc,0)*KLL_II_2020!CA_op_trig*(KLL_II_2020!CA_PSC_switch_trig=0)+
(IF(M$4&gt;=YEAR(CR_date),KLL_II_2020!cost_stop_perc,0)*KLL_II_2020!CA_op_trig)*(KLL_II_2020!CA_PSC_switch_trig=1)</f>
        <v>0.5</v>
      </c>
      <c r="N229" s="53">
        <f ca="1">IF(KLL_II_2020!CA_FP_oil_nom&gt;=INDEX(KLL_II_2020!FA_HP,1),KLL_II_2020!cost_stop_perc,0)*KLL_II_2020!CA_op_trig*(KLL_II_2020!CA_PSC_switch_trig=0)+
(IF(N$4&gt;=YEAR(CR_date),KLL_II_2020!cost_stop_perc,0)*KLL_II_2020!CA_op_trig)*(KLL_II_2020!CA_PSC_switch_trig=1)</f>
        <v>0.5</v>
      </c>
      <c r="O229" s="53">
        <f ca="1">IF(KLL_II_2020!CA_FP_oil_nom&gt;=INDEX(KLL_II_2020!FA_HP,1),KLL_II_2020!cost_stop_perc,0)*KLL_II_2020!CA_op_trig*(KLL_II_2020!CA_PSC_switch_trig=0)+
(IF(O$4&gt;=YEAR(CR_date),KLL_II_2020!cost_stop_perc,0)*KLL_II_2020!CA_op_trig)*(KLL_II_2020!CA_PSC_switch_trig=1)</f>
        <v>0.5</v>
      </c>
      <c r="P229" s="53">
        <f ca="1">IF(KLL_II_2020!CA_FP_oil_nom&gt;=INDEX(KLL_II_2020!FA_HP,1),KLL_II_2020!cost_stop_perc,0)*KLL_II_2020!CA_op_trig*(KLL_II_2020!CA_PSC_switch_trig=0)+
(IF(P$4&gt;=YEAR(CR_date),KLL_II_2020!cost_stop_perc,0)*KLL_II_2020!CA_op_trig)*(KLL_II_2020!CA_PSC_switch_trig=1)</f>
        <v>0.5</v>
      </c>
      <c r="Q229" s="53">
        <f ca="1">IF(KLL_II_2020!CA_FP_oil_nom&gt;=INDEX(KLL_II_2020!FA_HP,1),KLL_II_2020!cost_stop_perc,0)*KLL_II_2020!CA_op_trig*(KLL_II_2020!CA_PSC_switch_trig=0)+
(IF(Q$4&gt;=YEAR(CR_date),KLL_II_2020!cost_stop_perc,0)*KLL_II_2020!CA_op_trig)*(KLL_II_2020!CA_PSC_switch_trig=1)</f>
        <v>0.5</v>
      </c>
      <c r="R229" s="53">
        <f ca="1">IF(KLL_II_2020!CA_FP_oil_nom&gt;=INDEX(KLL_II_2020!FA_HP,1),KLL_II_2020!cost_stop_perc,0)*KLL_II_2020!CA_op_trig*(KLL_II_2020!CA_PSC_switch_trig=0)+
(IF(R$4&gt;=YEAR(CR_date),KLL_II_2020!cost_stop_perc,0)*KLL_II_2020!CA_op_trig)*(KLL_II_2020!CA_PSC_switch_trig=1)</f>
        <v>0.5</v>
      </c>
      <c r="S229" s="53">
        <f ca="1">IF(KLL_II_2020!CA_FP_oil_nom&gt;=INDEX(KLL_II_2020!FA_HP,1),KLL_II_2020!cost_stop_perc,0)*KLL_II_2020!CA_op_trig*(KLL_II_2020!CA_PSC_switch_trig=0)+
(IF(S$4&gt;=YEAR(CR_date),KLL_II_2020!cost_stop_perc,0)*KLL_II_2020!CA_op_trig)*(KLL_II_2020!CA_PSC_switch_trig=1)</f>
        <v>0.5</v>
      </c>
      <c r="T229" s="53">
        <f ca="1">IF(KLL_II_2020!CA_FP_oil_nom&gt;=INDEX(KLL_II_2020!FA_HP,1),KLL_II_2020!cost_stop_perc,0)*KLL_II_2020!CA_op_trig*(KLL_II_2020!CA_PSC_switch_trig=0)+
(IF(T$4&gt;=YEAR(CR_date),KLL_II_2020!cost_stop_perc,0)*KLL_II_2020!CA_op_trig)*(KLL_II_2020!CA_PSC_switch_trig=1)</f>
        <v>0.5</v>
      </c>
      <c r="U229" s="53">
        <f ca="1">IF(KLL_II_2020!CA_FP_oil_nom&gt;=INDEX(KLL_II_2020!FA_HP,1),KLL_II_2020!cost_stop_perc,0)*KLL_II_2020!CA_op_trig*(KLL_II_2020!CA_PSC_switch_trig=0)+
(IF(U$4&gt;=YEAR(CR_date),KLL_II_2020!cost_stop_perc,0)*KLL_II_2020!CA_op_trig)*(KLL_II_2020!CA_PSC_switch_trig=1)</f>
        <v>0.5</v>
      </c>
      <c r="V229" s="53">
        <f ca="1">IF(KLL_II_2020!CA_FP_oil_nom&gt;=INDEX(KLL_II_2020!FA_HP,1),KLL_II_2020!cost_stop_perc,0)*KLL_II_2020!CA_op_trig*(KLL_II_2020!CA_PSC_switch_trig=0)+
(IF(V$4&gt;=YEAR(CR_date),KLL_II_2020!cost_stop_perc,0)*KLL_II_2020!CA_op_trig)*(KLL_II_2020!CA_PSC_switch_trig=1)</f>
        <v>0.5</v>
      </c>
      <c r="W229" s="53">
        <f ca="1">IF(KLL_II_2020!CA_FP_oil_nom&gt;=INDEX(KLL_II_2020!FA_HP,1),KLL_II_2020!cost_stop_perc,0)*KLL_II_2020!CA_op_trig*(KLL_II_2020!CA_PSC_switch_trig=0)+
(IF(W$4&gt;=YEAR(CR_date),KLL_II_2020!cost_stop_perc,0)*KLL_II_2020!CA_op_trig)*(KLL_II_2020!CA_PSC_switch_trig=1)</f>
        <v>0.5</v>
      </c>
      <c r="X229" s="53">
        <f ca="1">IF(KLL_II_2020!CA_FP_oil_nom&gt;=INDEX(KLL_II_2020!FA_HP,1),KLL_II_2020!cost_stop_perc,0)*KLL_II_2020!CA_op_trig*(KLL_II_2020!CA_PSC_switch_trig=0)+
(IF(X$4&gt;=YEAR(CR_date),KLL_II_2020!cost_stop_perc,0)*KLL_II_2020!CA_op_trig)*(KLL_II_2020!CA_PSC_switch_trig=1)</f>
        <v>0.5</v>
      </c>
      <c r="Y229" s="53">
        <f ca="1">IF(KLL_II_2020!CA_FP_oil_nom&gt;=INDEX(KLL_II_2020!FA_HP,1),KLL_II_2020!cost_stop_perc,0)*KLL_II_2020!CA_op_trig*(KLL_II_2020!CA_PSC_switch_trig=0)+
(IF(Y$4&gt;=YEAR(CR_date),KLL_II_2020!cost_stop_perc,0)*KLL_II_2020!CA_op_trig)*(KLL_II_2020!CA_PSC_switch_trig=1)</f>
        <v>0</v>
      </c>
      <c r="Z229" s="53">
        <f ca="1">IF(KLL_II_2020!CA_FP_oil_nom&gt;=INDEX(KLL_II_2020!FA_HP,1),KLL_II_2020!cost_stop_perc,0)*KLL_II_2020!CA_op_trig*(KLL_II_2020!CA_PSC_switch_trig=0)+
(IF(Z$4&gt;=YEAR(CR_date),KLL_II_2020!cost_stop_perc,0)*KLL_II_2020!CA_op_trig)*(KLL_II_2020!CA_PSC_switch_trig=1)</f>
        <v>0</v>
      </c>
      <c r="AA229" s="53">
        <f ca="1">IF(KLL_II_2020!CA_FP_oil_nom&gt;=INDEX(KLL_II_2020!FA_HP,1),KLL_II_2020!cost_stop_perc,0)*KLL_II_2020!CA_op_trig*(KLL_II_2020!CA_PSC_switch_trig=0)+
(IF(AA$4&gt;=YEAR(CR_date),KLL_II_2020!cost_stop_perc,0)*KLL_II_2020!CA_op_trig)*(KLL_II_2020!CA_PSC_switch_trig=1)</f>
        <v>0</v>
      </c>
      <c r="AB229" s="53">
        <f ca="1">IF(KLL_II_2020!CA_FP_oil_nom&gt;=INDEX(KLL_II_2020!FA_HP,1),KLL_II_2020!cost_stop_perc,0)*KLL_II_2020!CA_op_trig*(KLL_II_2020!CA_PSC_switch_trig=0)+
(IF(AB$4&gt;=YEAR(CR_date),KLL_II_2020!cost_stop_perc,0)*KLL_II_2020!CA_op_trig)*(KLL_II_2020!CA_PSC_switch_trig=1)</f>
        <v>0</v>
      </c>
      <c r="AC229" s="53">
        <f ca="1">IF(KLL_II_2020!CA_FP_oil_nom&gt;=INDEX(KLL_II_2020!FA_HP,1),KLL_II_2020!cost_stop_perc,0)*KLL_II_2020!CA_op_trig*(KLL_II_2020!CA_PSC_switch_trig=0)+
(IF(AC$4&gt;=YEAR(CR_date),KLL_II_2020!cost_stop_perc,0)*KLL_II_2020!CA_op_trig)*(KLL_II_2020!CA_PSC_switch_trig=1)</f>
        <v>0</v>
      </c>
      <c r="AD229" s="53">
        <f ca="1">IF(KLL_II_2020!CA_FP_oil_nom&gt;=INDEX(KLL_II_2020!FA_HP,1),KLL_II_2020!cost_stop_perc,0)*KLL_II_2020!CA_op_trig*(KLL_II_2020!CA_PSC_switch_trig=0)+
(IF(AD$4&gt;=YEAR(CR_date),KLL_II_2020!cost_stop_perc,0)*KLL_II_2020!CA_op_trig)*(KLL_II_2020!CA_PSC_switch_trig=1)</f>
        <v>0</v>
      </c>
      <c r="AE229" s="53">
        <f ca="1">IF(KLL_II_2020!CA_FP_oil_nom&gt;=INDEX(KLL_II_2020!FA_HP,1),KLL_II_2020!cost_stop_perc,0)*KLL_II_2020!CA_op_trig*(KLL_II_2020!CA_PSC_switch_trig=0)+
(IF(AE$4&gt;=YEAR(CR_date),KLL_II_2020!cost_stop_perc,0)*KLL_II_2020!CA_op_trig)*(KLL_II_2020!CA_PSC_switch_trig=1)</f>
        <v>0</v>
      </c>
      <c r="AF229" s="53">
        <f ca="1">IF(KLL_II_2020!CA_FP_oil_nom&gt;=INDEX(KLL_II_2020!FA_HP,1),KLL_II_2020!cost_stop_perc,0)*KLL_II_2020!CA_op_trig*(KLL_II_2020!CA_PSC_switch_trig=0)+
(IF(AF$4&gt;=YEAR(CR_date),KLL_II_2020!cost_stop_perc,0)*KLL_II_2020!CA_op_trig)*(KLL_II_2020!CA_PSC_switch_trig=1)</f>
        <v>0</v>
      </c>
      <c r="AG229" s="53">
        <f ca="1">IF(KLL_II_2020!CA_FP_oil_nom&gt;=INDEX(KLL_II_2020!FA_HP,1),KLL_II_2020!cost_stop_perc,0)*KLL_II_2020!CA_op_trig*(KLL_II_2020!CA_PSC_switch_trig=0)+
(IF(AG$4&gt;=YEAR(CR_date),KLL_II_2020!cost_stop_perc,0)*KLL_II_2020!CA_op_trig)*(KLL_II_2020!CA_PSC_switch_trig=1)</f>
        <v>0</v>
      </c>
      <c r="AH229" s="53">
        <f ca="1">IF(KLL_II_2020!CA_FP_oil_nom&gt;=INDEX(KLL_II_2020!FA_HP,1),KLL_II_2020!cost_stop_perc,0)*KLL_II_2020!CA_op_trig*(KLL_II_2020!CA_PSC_switch_trig=0)+
(IF(AH$4&gt;=YEAR(CR_date),KLL_II_2020!cost_stop_perc,0)*KLL_II_2020!CA_op_trig)*(KLL_II_2020!CA_PSC_switch_trig=1)</f>
        <v>0</v>
      </c>
      <c r="AI229" s="53">
        <f ca="1">IF(KLL_II_2020!CA_FP_oil_nom&gt;=INDEX(KLL_II_2020!FA_HP,1),KLL_II_2020!cost_stop_perc,0)*KLL_II_2020!CA_op_trig*(KLL_II_2020!CA_PSC_switch_trig=0)+
(IF(AI$4&gt;=YEAR(CR_date),KLL_II_2020!cost_stop_perc,0)*KLL_II_2020!CA_op_trig)*(KLL_II_2020!CA_PSC_switch_trig=1)</f>
        <v>0</v>
      </c>
      <c r="AJ229" s="53">
        <f ca="1">IF(KLL_II_2020!CA_FP_oil_nom&gt;=INDEX(KLL_II_2020!FA_HP,1),KLL_II_2020!cost_stop_perc,0)*KLL_II_2020!CA_op_trig*(KLL_II_2020!CA_PSC_switch_trig=0)+
(IF(AJ$4&gt;=YEAR(CR_date),KLL_II_2020!cost_stop_perc,0)*KLL_II_2020!CA_op_trig)*(KLL_II_2020!CA_PSC_switch_trig=1)</f>
        <v>0</v>
      </c>
      <c r="AK229" s="53">
        <f ca="1">IF(KLL_II_2020!CA_FP_oil_nom&gt;=INDEX(KLL_II_2020!FA_HP,1),KLL_II_2020!cost_stop_perc,0)*KLL_II_2020!CA_op_trig*(KLL_II_2020!CA_PSC_switch_trig=0)+
(IF(AK$4&gt;=YEAR(CR_date),KLL_II_2020!cost_stop_perc,0)*KLL_II_2020!CA_op_trig)*(KLL_II_2020!CA_PSC_switch_trig=1)</f>
        <v>0</v>
      </c>
      <c r="AL229" s="53">
        <f ca="1">IF(KLL_II_2020!CA_FP_oil_nom&gt;=INDEX(KLL_II_2020!FA_HP,1),KLL_II_2020!cost_stop_perc,0)*KLL_II_2020!CA_op_trig*(KLL_II_2020!CA_PSC_switch_trig=0)+
(IF(AL$4&gt;=YEAR(CR_date),KLL_II_2020!cost_stop_perc,0)*KLL_II_2020!CA_op_trig)*(KLL_II_2020!CA_PSC_switch_trig=1)</f>
        <v>0</v>
      </c>
      <c r="AM229" s="53">
        <f ca="1">IF(KLL_II_2020!CA_FP_oil_nom&gt;=INDEX(KLL_II_2020!FA_HP,1),KLL_II_2020!cost_stop_perc,0)*KLL_II_2020!CA_op_trig*(KLL_II_2020!CA_PSC_switch_trig=0)+
(IF(AM$4&gt;=YEAR(CR_date),KLL_II_2020!cost_stop_perc,0)*KLL_II_2020!CA_op_trig)*(KLL_II_2020!CA_PSC_switch_trig=1)</f>
        <v>0</v>
      </c>
      <c r="AN229" s="53">
        <f ca="1">IF(KLL_II_2020!CA_FP_oil_nom&gt;=INDEX(KLL_II_2020!FA_HP,1),KLL_II_2020!cost_stop_perc,0)*KLL_II_2020!CA_op_trig*(KLL_II_2020!CA_PSC_switch_trig=0)+
(IF(AN$4&gt;=YEAR(CR_date),KLL_II_2020!cost_stop_perc,0)*KLL_II_2020!CA_op_trig)*(KLL_II_2020!CA_PSC_switch_trig=1)</f>
        <v>0</v>
      </c>
      <c r="AO229" s="53">
        <f ca="1">IF(KLL_II_2020!CA_FP_oil_nom&gt;=INDEX(KLL_II_2020!FA_HP,1),KLL_II_2020!cost_stop_perc,0)*KLL_II_2020!CA_op_trig*(KLL_II_2020!CA_PSC_switch_trig=0)+
(IF(AO$4&gt;=YEAR(CR_date),KLL_II_2020!cost_stop_perc,0)*KLL_II_2020!CA_op_trig)*(KLL_II_2020!CA_PSC_switch_trig=1)</f>
        <v>0</v>
      </c>
      <c r="AP229" s="53">
        <f ca="1">IF(KLL_II_2020!CA_FP_oil_nom&gt;=INDEX(KLL_II_2020!FA_HP,1),KLL_II_2020!cost_stop_perc,0)*KLL_II_2020!CA_op_trig*(KLL_II_2020!CA_PSC_switch_trig=0)+
(IF(AP$4&gt;=YEAR(CR_date),KLL_II_2020!cost_stop_perc,0)*KLL_II_2020!CA_op_trig)*(KLL_II_2020!CA_PSC_switch_trig=1)</f>
        <v>0</v>
      </c>
      <c r="AQ229" s="53">
        <f ca="1">IF(KLL_II_2020!CA_FP_oil_nom&gt;=INDEX(KLL_II_2020!FA_HP,1),KLL_II_2020!cost_stop_perc,0)*KLL_II_2020!CA_op_trig*(KLL_II_2020!CA_PSC_switch_trig=0)+
(IF(AQ$4&gt;=YEAR(CR_date),KLL_II_2020!cost_stop_perc,0)*KLL_II_2020!CA_op_trig)*(KLL_II_2020!CA_PSC_switch_trig=1)</f>
        <v>0</v>
      </c>
      <c r="AR229" s="53">
        <f ca="1">IF(KLL_II_2020!CA_FP_oil_nom&gt;=INDEX(KLL_II_2020!FA_HP,1),KLL_II_2020!cost_stop_perc,0)*KLL_II_2020!CA_op_trig*(KLL_II_2020!CA_PSC_switch_trig=0)+
(IF(AR$4&gt;=YEAR(CR_date),KLL_II_2020!cost_stop_perc,0)*KLL_II_2020!CA_op_trig)*(KLL_II_2020!CA_PSC_switch_trig=1)</f>
        <v>0</v>
      </c>
      <c r="AS229" s="53">
        <f ca="1">IF(KLL_II_2020!CA_FP_oil_nom&gt;=INDEX(KLL_II_2020!FA_HP,1),KLL_II_2020!cost_stop_perc,0)*KLL_II_2020!CA_op_trig*(KLL_II_2020!CA_PSC_switch_trig=0)+
(IF(AS$4&gt;=YEAR(CR_date),KLL_II_2020!cost_stop_perc,0)*KLL_II_2020!CA_op_trig)*(KLL_II_2020!CA_PSC_switch_trig=1)</f>
        <v>0</v>
      </c>
      <c r="AT229" s="53">
        <f ca="1">IF(KLL_II_2020!CA_FP_oil_nom&gt;=INDEX(KLL_II_2020!FA_HP,1),KLL_II_2020!cost_stop_perc,0)*KLL_II_2020!CA_op_trig*(KLL_II_2020!CA_PSC_switch_trig=0)+
(IF(AT$4&gt;=YEAR(CR_date),KLL_II_2020!cost_stop_perc,0)*KLL_II_2020!CA_op_trig)*(KLL_II_2020!CA_PSC_switch_trig=1)</f>
        <v>0</v>
      </c>
      <c r="AU229" s="53">
        <f ca="1">IF(KLL_II_2020!CA_FP_oil_nom&gt;=INDEX(KLL_II_2020!FA_HP,1),KLL_II_2020!cost_stop_perc,0)*KLL_II_2020!CA_op_trig*(KLL_II_2020!CA_PSC_switch_trig=0)+
(IF(AU$4&gt;=YEAR(CR_date),KLL_II_2020!cost_stop_perc,0)*KLL_II_2020!CA_op_trig)*(KLL_II_2020!CA_PSC_switch_trig=1)</f>
        <v>0</v>
      </c>
      <c r="AV229" s="53">
        <f ca="1">IF(KLL_II_2020!CA_FP_oil_nom&gt;=INDEX(KLL_II_2020!FA_HP,1),KLL_II_2020!cost_stop_perc,0)*KLL_II_2020!CA_op_trig*(KLL_II_2020!CA_PSC_switch_trig=0)+
(IF(AV$4&gt;=YEAR(CR_date),KLL_II_2020!cost_stop_perc,0)*KLL_II_2020!CA_op_trig)*(KLL_II_2020!CA_PSC_switch_trig=1)</f>
        <v>0</v>
      </c>
      <c r="AW229" s="53">
        <f ca="1">IF(KLL_II_2020!CA_FP_oil_nom&gt;=INDEX(KLL_II_2020!FA_HP,1),KLL_II_2020!cost_stop_perc,0)*KLL_II_2020!CA_op_trig*(KLL_II_2020!CA_PSC_switch_trig=0)+
(IF(AW$4&gt;=YEAR(CR_date),KLL_II_2020!cost_stop_perc,0)*KLL_II_2020!CA_op_trig)*(KLL_II_2020!CA_PSC_switch_trig=1)</f>
        <v>0</v>
      </c>
      <c r="AX229" s="53">
        <f ca="1">IF(KLL_II_2020!CA_FP_oil_nom&gt;=INDEX(KLL_II_2020!FA_HP,1),KLL_II_2020!cost_stop_perc,0)*KLL_II_2020!CA_op_trig*(KLL_II_2020!CA_PSC_switch_trig=0)+
(IF(AX$4&gt;=YEAR(CR_date),KLL_II_2020!cost_stop_perc,0)*KLL_II_2020!CA_op_trig)*(KLL_II_2020!CA_PSC_switch_trig=1)</f>
        <v>0</v>
      </c>
      <c r="AY229" s="53">
        <f ca="1">IF(KLL_II_2020!CA_FP_oil_nom&gt;=INDEX(KLL_II_2020!FA_HP,1),KLL_II_2020!cost_stop_perc,0)*KLL_II_2020!CA_op_trig*(KLL_II_2020!CA_PSC_switch_trig=0)+
(IF(AY$4&gt;=YEAR(CR_date),KLL_II_2020!cost_stop_perc,0)*KLL_II_2020!CA_op_trig)*(KLL_II_2020!CA_PSC_switch_trig=1)</f>
        <v>0</v>
      </c>
      <c r="AZ229" s="53">
        <f ca="1">IF(KLL_II_2020!CA_FP_oil_nom&gt;=INDEX(KLL_II_2020!FA_HP,1),KLL_II_2020!cost_stop_perc,0)*KLL_II_2020!CA_op_trig*(KLL_II_2020!CA_PSC_switch_trig=0)+
(IF(AZ$4&gt;=YEAR(CR_date),KLL_II_2020!cost_stop_perc,0)*KLL_II_2020!CA_op_trig)*(KLL_II_2020!CA_PSC_switch_trig=1)</f>
        <v>0</v>
      </c>
      <c r="BA229" s="53">
        <f ca="1">IF(KLL_II_2020!CA_FP_oil_nom&gt;=INDEX(KLL_II_2020!FA_HP,1),KLL_II_2020!cost_stop_perc,0)*KLL_II_2020!CA_op_trig*(KLL_II_2020!CA_PSC_switch_trig=0)+
(IF(BA$4&gt;=YEAR(CR_date),KLL_II_2020!cost_stop_perc,0)*KLL_II_2020!CA_op_trig)*(KLL_II_2020!CA_PSC_switch_trig=1)</f>
        <v>0</v>
      </c>
      <c r="BB229" s="53">
        <f ca="1">IF(KLL_II_2020!CA_FP_oil_nom&gt;=INDEX(KLL_II_2020!FA_HP,1),KLL_II_2020!cost_stop_perc,0)*KLL_II_2020!CA_op_trig*(KLL_II_2020!CA_PSC_switch_trig=0)+
(IF(BB$4&gt;=YEAR(CR_date),KLL_II_2020!cost_stop_perc,0)*KLL_II_2020!CA_op_trig)*(KLL_II_2020!CA_PSC_switch_trig=1)</f>
        <v>0</v>
      </c>
      <c r="BC229" s="53">
        <f ca="1">IF(KLL_II_2020!CA_FP_oil_nom&gt;=INDEX(KLL_II_2020!FA_HP,1),KLL_II_2020!cost_stop_perc,0)*KLL_II_2020!CA_op_trig*(KLL_II_2020!CA_PSC_switch_trig=0)+
(IF(BC$4&gt;=YEAR(CR_date),KLL_II_2020!cost_stop_perc,0)*KLL_II_2020!CA_op_trig)*(KLL_II_2020!CA_PSC_switch_trig=1)</f>
        <v>0</v>
      </c>
      <c r="BD229" s="53">
        <f ca="1">IF(KLL_II_2020!CA_FP_oil_nom&gt;=INDEX(KLL_II_2020!FA_HP,1),KLL_II_2020!cost_stop_perc,0)*KLL_II_2020!CA_op_trig*(KLL_II_2020!CA_PSC_switch_trig=0)+
(IF(BD$4&gt;=YEAR(CR_date),KLL_II_2020!cost_stop_perc,0)*KLL_II_2020!CA_op_trig)*(KLL_II_2020!CA_PSC_switch_trig=1)</f>
        <v>0</v>
      </c>
      <c r="BE229" s="53">
        <f ca="1">IF(KLL_II_2020!CA_FP_oil_nom&gt;=INDEX(KLL_II_2020!FA_HP,1),KLL_II_2020!cost_stop_perc,0)*KLL_II_2020!CA_op_trig*(KLL_II_2020!CA_PSC_switch_trig=0)+
(IF(BE$4&gt;=YEAR(CR_date),KLL_II_2020!cost_stop_perc,0)*KLL_II_2020!CA_op_trig)*(KLL_II_2020!CA_PSC_switch_trig=1)</f>
        <v>0</v>
      </c>
      <c r="BF229" s="53">
        <f ca="1">IF(KLL_II_2020!CA_FP_oil_nom&gt;=INDEX(KLL_II_2020!FA_HP,1),KLL_II_2020!cost_stop_perc,0)*KLL_II_2020!CA_op_trig*(KLL_II_2020!CA_PSC_switch_trig=0)+
(IF(BF$4&gt;=YEAR(CR_date),KLL_II_2020!cost_stop_perc,0)*KLL_II_2020!CA_op_trig)*(KLL_II_2020!CA_PSC_switch_trig=1)</f>
        <v>0</v>
      </c>
      <c r="BG229" s="53">
        <f ca="1">IF(KLL_II_2020!CA_FP_oil_nom&gt;=INDEX(KLL_II_2020!FA_HP,1),KLL_II_2020!cost_stop_perc,0)*KLL_II_2020!CA_op_trig*(KLL_II_2020!CA_PSC_switch_trig=0)+
(IF(BG$4&gt;=YEAR(CR_date),KLL_II_2020!cost_stop_perc,0)*KLL_II_2020!CA_op_trig)*(KLL_II_2020!CA_PSC_switch_trig=1)</f>
        <v>0</v>
      </c>
      <c r="BH229" s="53">
        <f ca="1">IF(KLL_II_2020!CA_FP_oil_nom&gt;=INDEX(KLL_II_2020!FA_HP,1),KLL_II_2020!cost_stop_perc,0)*KLL_II_2020!CA_op_trig*(KLL_II_2020!CA_PSC_switch_trig=0)+
(IF(BH$4&gt;=YEAR(CR_date),KLL_II_2020!cost_stop_perc,0)*KLL_II_2020!CA_op_trig)*(KLL_II_2020!CA_PSC_switch_trig=1)</f>
        <v>0</v>
      </c>
      <c r="BI229" s="53">
        <f ca="1">IF(KLL_II_2020!CA_FP_oil_nom&gt;=INDEX(KLL_II_2020!FA_HP,1),KLL_II_2020!cost_stop_perc,0)*KLL_II_2020!CA_op_trig*(KLL_II_2020!CA_PSC_switch_trig=0)+
(IF(BI$4&gt;=YEAR(CR_date),KLL_II_2020!cost_stop_perc,0)*KLL_II_2020!CA_op_trig)*(KLL_II_2020!CA_PSC_switch_trig=1)</f>
        <v>0</v>
      </c>
      <c r="BJ229" s="53">
        <f ca="1">IF(KLL_II_2020!CA_FP_oil_nom&gt;=INDEX(KLL_II_2020!FA_HP,1),KLL_II_2020!cost_stop_perc,0)*KLL_II_2020!CA_op_trig*(KLL_II_2020!CA_PSC_switch_trig=0)+
(IF(BJ$4&gt;=YEAR(CR_date),KLL_II_2020!cost_stop_perc,0)*KLL_II_2020!CA_op_trig)*(KLL_II_2020!CA_PSC_switch_trig=1)</f>
        <v>0</v>
      </c>
      <c r="BK229" s="53">
        <f ca="1">IF(KLL_II_2020!CA_FP_oil_nom&gt;=INDEX(KLL_II_2020!FA_HP,1),KLL_II_2020!cost_stop_perc,0)*KLL_II_2020!CA_op_trig*(KLL_II_2020!CA_PSC_switch_trig=0)+
(IF(BK$4&gt;=YEAR(CR_date),KLL_II_2020!cost_stop_perc,0)*KLL_II_2020!CA_op_trig)*(KLL_II_2020!CA_PSC_switch_trig=1)</f>
        <v>0</v>
      </c>
      <c r="BL229" s="53">
        <f ca="1">IF(KLL_II_2020!CA_FP_oil_nom&gt;=INDEX(KLL_II_2020!FA_HP,1),KLL_II_2020!cost_stop_perc,0)*KLL_II_2020!CA_op_trig*(KLL_II_2020!CA_PSC_switch_trig=0)+
(IF(BL$4&gt;=YEAR(CR_date),KLL_II_2020!cost_stop_perc,0)*KLL_II_2020!CA_op_trig)*(KLL_II_2020!CA_PSC_switch_trig=1)</f>
        <v>0</v>
      </c>
      <c r="BM229" s="53">
        <f ca="1">IF(KLL_II_2020!CA_FP_oil_nom&gt;=INDEX(KLL_II_2020!FA_HP,1),KLL_II_2020!cost_stop_perc,0)*KLL_II_2020!CA_op_trig*(KLL_II_2020!CA_PSC_switch_trig=0)+
(IF(BM$4&gt;=YEAR(CR_date),KLL_II_2020!cost_stop_perc,0)*KLL_II_2020!CA_op_trig)*(KLL_II_2020!CA_PSC_switch_trig=1)</f>
        <v>0</v>
      </c>
      <c r="BN229" s="53">
        <f ca="1">IF(KLL_II_2020!CA_FP_oil_nom&gt;=INDEX(KLL_II_2020!FA_HP,1),KLL_II_2020!cost_stop_perc,0)*KLL_II_2020!CA_op_trig*(KLL_II_2020!CA_PSC_switch_trig=0)+
(IF(BN$4&gt;=YEAR(CR_date),KLL_II_2020!cost_stop_perc,0)*KLL_II_2020!CA_op_trig)*(KLL_II_2020!CA_PSC_switch_trig=1)</f>
        <v>0</v>
      </c>
      <c r="BO229" s="53">
        <f ca="1">IF(KLL_II_2020!CA_FP_oil_nom&gt;=INDEX(KLL_II_2020!FA_HP,1),KLL_II_2020!cost_stop_perc,0)*KLL_II_2020!CA_op_trig*(KLL_II_2020!CA_PSC_switch_trig=0)+
(IF(BO$4&gt;=YEAR(CR_date),KLL_II_2020!cost_stop_perc,0)*KLL_II_2020!CA_op_trig)*(KLL_II_2020!CA_PSC_switch_trig=1)</f>
        <v>0</v>
      </c>
      <c r="BP229" s="53">
        <f ca="1">IF(KLL_II_2020!CA_FP_oil_nom&gt;=INDEX(KLL_II_2020!FA_HP,1),KLL_II_2020!cost_stop_perc,0)*KLL_II_2020!CA_op_trig*(KLL_II_2020!CA_PSC_switch_trig=0)+
(IF(BP$4&gt;=YEAR(CR_date),KLL_II_2020!cost_stop_perc,0)*KLL_II_2020!CA_op_trig)*(KLL_II_2020!CA_PSC_switch_trig=1)</f>
        <v>0</v>
      </c>
      <c r="BQ229" s="53">
        <f ca="1">IF(KLL_II_2020!CA_FP_oil_nom&gt;=INDEX(KLL_II_2020!FA_HP,1),KLL_II_2020!cost_stop_perc,0)*KLL_II_2020!CA_op_trig*(KLL_II_2020!CA_PSC_switch_trig=0)+
(IF(BQ$4&gt;=YEAR(CR_date),KLL_II_2020!cost_stop_perc,0)*KLL_II_2020!CA_op_trig)*(KLL_II_2020!CA_PSC_switch_trig=1)</f>
        <v>0</v>
      </c>
      <c r="BR229" s="53">
        <f ca="1">IF(KLL_II_2020!CA_FP_oil_nom&gt;=INDEX(KLL_II_2020!FA_HP,1),KLL_II_2020!cost_stop_perc,0)*KLL_II_2020!CA_op_trig*(KLL_II_2020!CA_PSC_switch_trig=0)+
(IF(BR$4&gt;=YEAR(CR_date),KLL_II_2020!cost_stop_perc,0)*KLL_II_2020!CA_op_trig)*(KLL_II_2020!CA_PSC_switch_trig=1)</f>
        <v>0</v>
      </c>
      <c r="BS229" s="53">
        <f ca="1">IF(KLL_II_2020!CA_FP_oil_nom&gt;=INDEX(KLL_II_2020!FA_HP,1),KLL_II_2020!cost_stop_perc,0)*KLL_II_2020!CA_op_trig*(KLL_II_2020!CA_PSC_switch_trig=0)+
(IF(BS$4&gt;=YEAR(CR_date),KLL_II_2020!cost_stop_perc,0)*KLL_II_2020!CA_op_trig)*(KLL_II_2020!CA_PSC_switch_trig=1)</f>
        <v>0</v>
      </c>
    </row>
    <row r="230" spans="4:71" outlineLevel="1" x14ac:dyDescent="0.2">
      <c r="J230" s="26"/>
      <c r="L230" s="55"/>
      <c r="M230" s="55"/>
      <c r="N230" s="55"/>
      <c r="O230" s="55"/>
      <c r="P230" s="55"/>
      <c r="Q230" s="55"/>
      <c r="R230" s="55"/>
      <c r="S230" s="55"/>
      <c r="T230" s="55"/>
      <c r="U230" s="55"/>
      <c r="V230" s="55"/>
      <c r="W230" s="55"/>
      <c r="X230" s="55"/>
      <c r="Y230" s="55"/>
      <c r="Z230" s="55"/>
      <c r="AA230" s="55"/>
      <c r="AB230" s="55"/>
      <c r="AC230" s="55"/>
      <c r="AD230" s="55"/>
      <c r="AE230" s="55"/>
      <c r="AF230" s="55"/>
      <c r="AG230" s="55"/>
      <c r="AH230" s="55"/>
      <c r="AI230" s="55"/>
      <c r="AJ230" s="55"/>
      <c r="AK230" s="55"/>
      <c r="AL230" s="55"/>
      <c r="AM230" s="55"/>
      <c r="AN230" s="55"/>
      <c r="AO230" s="55"/>
      <c r="AP230" s="55"/>
      <c r="AQ230" s="55"/>
      <c r="AR230" s="55"/>
      <c r="AS230" s="55"/>
      <c r="AT230" s="55"/>
      <c r="AU230" s="55"/>
      <c r="AV230" s="55"/>
      <c r="AW230" s="55"/>
      <c r="AX230" s="55"/>
      <c r="AY230" s="55"/>
      <c r="AZ230" s="55"/>
      <c r="BA230" s="55"/>
      <c r="BB230" s="55"/>
      <c r="BC230" s="55"/>
      <c r="BD230" s="55"/>
      <c r="BE230" s="55"/>
      <c r="BF230" s="55"/>
      <c r="BG230" s="55"/>
      <c r="BH230" s="55"/>
      <c r="BI230" s="55"/>
      <c r="BJ230" s="55"/>
      <c r="BK230" s="55"/>
      <c r="BL230" s="55"/>
      <c r="BM230" s="55"/>
      <c r="BN230" s="55"/>
      <c r="BO230" s="55"/>
      <c r="BP230" s="55"/>
      <c r="BQ230" s="55"/>
      <c r="BR230" s="55"/>
      <c r="BS230" s="55"/>
    </row>
    <row r="231" spans="4:71" outlineLevel="1" x14ac:dyDescent="0.2">
      <c r="D231" t="str">
        <f>CHOOSE(db_ML_selected,'Liste Traduction'!B465,'Liste Traduction'!C465)</f>
        <v>Min du revenu brut évalué au PF ou PH</v>
      </c>
      <c r="I231" s="30">
        <f t="shared" ref="I231:I233" ca="1" si="52">SUM($L231:$BS231)</f>
        <v>2968.1968666279554</v>
      </c>
      <c r="J231" s="26" t="s">
        <v>148</v>
      </c>
      <c r="L231" s="49">
        <f ca="1">(_xlfn.SINGLE(KLL_II_2020!CA_gross_rev_oil_hp1))*(_xlfn.SINGLE(KLL_II_2020!CA_PSC_switch_trig)=0)+
MIN(_xlfn.SINGLE(KLL_II_2020!CA_gross_rev_total_fp),_xlfn.SINGLE(KLL_II_2020!CA_gross_rev_oil_hp2))*(_xlfn.SINGLE(KLL_II_2020!CA_PSC_switch_trig)=1)</f>
        <v>173.078245665</v>
      </c>
      <c r="M231" s="49">
        <f ca="1">(_xlfn.SINGLE(KLL_II_2020!CA_gross_rev_oil_hp1))*(_xlfn.SINGLE(KLL_II_2020!CA_PSC_switch_trig)=0)+
MIN(_xlfn.SINGLE(KLL_II_2020!CA_gross_rev_total_fp),_xlfn.SINGLE(KLL_II_2020!CA_gross_rev_oil_hp2))*(_xlfn.SINGLE(KLL_II_2020!CA_PSC_switch_trig)=1)</f>
        <v>215.73345996600003</v>
      </c>
      <c r="N231" s="49">
        <f ca="1">(_xlfn.SINGLE(KLL_II_2020!CA_gross_rev_oil_hp1))*(_xlfn.SINGLE(KLL_II_2020!CA_PSC_switch_trig)=0)+
MIN(_xlfn.SINGLE(KLL_II_2020!CA_gross_rev_total_fp),_xlfn.SINGLE(KLL_II_2020!CA_gross_rev_oil_hp2))*(_xlfn.SINGLE(KLL_II_2020!CA_PSC_switch_trig)=1)</f>
        <v>224.91175481925001</v>
      </c>
      <c r="O231" s="49">
        <f ca="1">(_xlfn.SINGLE(KLL_II_2020!CA_gross_rev_oil_hp1))*(_xlfn.SINGLE(KLL_II_2020!CA_PSC_switch_trig)=0)+
MIN(_xlfn.SINGLE(KLL_II_2020!CA_gross_rev_total_fp),_xlfn.SINGLE(KLL_II_2020!CA_gross_rev_oil_hp2))*(_xlfn.SINGLE(KLL_II_2020!CA_PSC_switch_trig)=1)</f>
        <v>235.51614671024996</v>
      </c>
      <c r="P231" s="49">
        <f ca="1">(_xlfn.SINGLE(KLL_II_2020!CA_gross_rev_oil_hp1))*(_xlfn.SINGLE(KLL_II_2020!CA_PSC_switch_trig)=0)+
MIN(_xlfn.SINGLE(KLL_II_2020!CA_gross_rev_total_fp),_xlfn.SINGLE(KLL_II_2020!CA_gross_rev_oil_hp2))*(_xlfn.SINGLE(KLL_II_2020!CA_PSC_switch_trig)=1)</f>
        <v>215.69647512</v>
      </c>
      <c r="Q231" s="49">
        <f ca="1">(_xlfn.SINGLE(KLL_II_2020!CA_gross_rev_oil_hp1))*(_xlfn.SINGLE(KLL_II_2020!CA_PSC_switch_trig)=0)+
MIN(_xlfn.SINGLE(KLL_II_2020!CA_gross_rev_total_fp),_xlfn.SINGLE(KLL_II_2020!CA_gross_rev_oil_hp2))*(_xlfn.SINGLE(KLL_II_2020!CA_PSC_switch_trig)=1)</f>
        <v>237.43905440900005</v>
      </c>
      <c r="R231" s="49">
        <f ca="1">(_xlfn.SINGLE(KLL_II_2020!CA_gross_rev_oil_hp1))*(_xlfn.SINGLE(KLL_II_2020!CA_PSC_switch_trig)=0)+
MIN(_xlfn.SINGLE(KLL_II_2020!CA_gross_rev_total_fp),_xlfn.SINGLE(KLL_II_2020!CA_gross_rev_oil_hp2))*(_xlfn.SINGLE(KLL_II_2020!CA_PSC_switch_trig)=1)</f>
        <v>250.49653759124999</v>
      </c>
      <c r="S231" s="49">
        <f ca="1">(_xlfn.SINGLE(KLL_II_2020!CA_gross_rev_oil_hp1))*(_xlfn.SINGLE(KLL_II_2020!CA_PSC_switch_trig)=0)+
MIN(_xlfn.SINGLE(KLL_II_2020!CA_gross_rev_total_fp),_xlfn.SINGLE(KLL_II_2020!CA_gross_rev_oil_hp2))*(_xlfn.SINGLE(KLL_II_2020!CA_PSC_switch_trig)=1)</f>
        <v>224.90804700000001</v>
      </c>
      <c r="T231" s="49">
        <f ca="1">(_xlfn.SINGLE(KLL_II_2020!CA_gross_rev_oil_hp1))*(_xlfn.SINGLE(KLL_II_2020!CA_PSC_switch_trig)=0)+
MIN(_xlfn.SINGLE(KLL_II_2020!CA_gross_rev_total_fp),_xlfn.SINGLE(KLL_II_2020!CA_gross_rev_oil_hp2))*(_xlfn.SINGLE(KLL_II_2020!CA_PSC_switch_trig)=1)</f>
        <v>263.84834699999999</v>
      </c>
      <c r="U231" s="49">
        <f ca="1">(_xlfn.SINGLE(KLL_II_2020!CA_gross_rev_oil_hp1))*(_xlfn.SINGLE(KLL_II_2020!CA_PSC_switch_trig)=0)+
MIN(_xlfn.SINGLE(KLL_II_2020!CA_gross_rev_total_fp),_xlfn.SINGLE(KLL_II_2020!CA_gross_rev_oil_hp2))*(_xlfn.SINGLE(KLL_II_2020!CA_PSC_switch_trig)=1)</f>
        <v>250.28654196419993</v>
      </c>
      <c r="V231" s="49">
        <f ca="1">(_xlfn.SINGLE(KLL_II_2020!CA_gross_rev_oil_hp1))*(_xlfn.SINGLE(KLL_II_2020!CA_PSC_switch_trig)=0)+
MIN(_xlfn.SINGLE(KLL_II_2020!CA_gross_rev_total_fp),_xlfn.SINGLE(KLL_II_2020!CA_gross_rev_oil_hp2))*(_xlfn.SINGLE(KLL_II_2020!CA_PSC_switch_trig)=1)</f>
        <v>237.42181370724003</v>
      </c>
      <c r="W231" s="49">
        <f ca="1">(_xlfn.SINGLE(KLL_II_2020!CA_gross_rev_oil_hp1))*(_xlfn.SINGLE(KLL_II_2020!CA_PSC_switch_trig)=0)+
MIN(_xlfn.SINGLE(KLL_II_2020!CA_gross_rev_total_fp),_xlfn.SINGLE(KLL_II_2020!CA_gross_rev_oil_hp2))*(_xlfn.SINGLE(KLL_II_2020!CA_PSC_switch_trig)=1)</f>
        <v>225.21833248268791</v>
      </c>
      <c r="X231" s="49">
        <f ca="1">(_xlfn.SINGLE(KLL_II_2020!CA_gross_rev_oil_hp1))*(_xlfn.SINGLE(KLL_II_2020!CA_PSC_switch_trig)=0)+
MIN(_xlfn.SINGLE(KLL_II_2020!CA_gross_rev_total_fp),_xlfn.SINGLE(KLL_II_2020!CA_gross_rev_oil_hp2))*(_xlfn.SINGLE(KLL_II_2020!CA_PSC_switch_trig)=1)</f>
        <v>213.64211019307774</v>
      </c>
      <c r="Y231" s="49">
        <f ca="1">(_xlfn.SINGLE(KLL_II_2020!CA_gross_rev_oil_hp1))*(_xlfn.SINGLE(KLL_II_2020!CA_PSC_switch_trig)=0)+
MIN(_xlfn.SINGLE(KLL_II_2020!CA_gross_rev_total_fp),_xlfn.SINGLE(KLL_II_2020!CA_gross_rev_oil_hp2))*(_xlfn.SINGLE(KLL_II_2020!CA_PSC_switch_trig)=1)</f>
        <v>0</v>
      </c>
      <c r="Z231" s="49">
        <f ca="1">(_xlfn.SINGLE(KLL_II_2020!CA_gross_rev_oil_hp1))*(_xlfn.SINGLE(KLL_II_2020!CA_PSC_switch_trig)=0)+
MIN(_xlfn.SINGLE(KLL_II_2020!CA_gross_rev_total_fp),_xlfn.SINGLE(KLL_II_2020!CA_gross_rev_oil_hp2))*(_xlfn.SINGLE(KLL_II_2020!CA_PSC_switch_trig)=1)</f>
        <v>0</v>
      </c>
      <c r="AA231" s="49">
        <f ca="1">(_xlfn.SINGLE(KLL_II_2020!CA_gross_rev_oil_hp1))*(_xlfn.SINGLE(KLL_II_2020!CA_PSC_switch_trig)=0)+
MIN(_xlfn.SINGLE(KLL_II_2020!CA_gross_rev_total_fp),_xlfn.SINGLE(KLL_II_2020!CA_gross_rev_oil_hp2))*(_xlfn.SINGLE(KLL_II_2020!CA_PSC_switch_trig)=1)</f>
        <v>0</v>
      </c>
      <c r="AB231" s="49">
        <f ca="1">(_xlfn.SINGLE(KLL_II_2020!CA_gross_rev_oil_hp1))*(_xlfn.SINGLE(KLL_II_2020!CA_PSC_switch_trig)=0)+
MIN(_xlfn.SINGLE(KLL_II_2020!CA_gross_rev_total_fp),_xlfn.SINGLE(KLL_II_2020!CA_gross_rev_oil_hp2))*(_xlfn.SINGLE(KLL_II_2020!CA_PSC_switch_trig)=1)</f>
        <v>0</v>
      </c>
      <c r="AC231" s="49">
        <f ca="1">(_xlfn.SINGLE(KLL_II_2020!CA_gross_rev_oil_hp1))*(_xlfn.SINGLE(KLL_II_2020!CA_PSC_switch_trig)=0)+
MIN(_xlfn.SINGLE(KLL_II_2020!CA_gross_rev_total_fp),_xlfn.SINGLE(KLL_II_2020!CA_gross_rev_oil_hp2))*(_xlfn.SINGLE(KLL_II_2020!CA_PSC_switch_trig)=1)</f>
        <v>0</v>
      </c>
      <c r="AD231" s="49">
        <f ca="1">(_xlfn.SINGLE(KLL_II_2020!CA_gross_rev_oil_hp1))*(_xlfn.SINGLE(KLL_II_2020!CA_PSC_switch_trig)=0)+
MIN(_xlfn.SINGLE(KLL_II_2020!CA_gross_rev_total_fp),_xlfn.SINGLE(KLL_II_2020!CA_gross_rev_oil_hp2))*(_xlfn.SINGLE(KLL_II_2020!CA_PSC_switch_trig)=1)</f>
        <v>0</v>
      </c>
      <c r="AE231" s="49">
        <f ca="1">(_xlfn.SINGLE(KLL_II_2020!CA_gross_rev_oil_hp1))*(_xlfn.SINGLE(KLL_II_2020!CA_PSC_switch_trig)=0)+
MIN(_xlfn.SINGLE(KLL_II_2020!CA_gross_rev_total_fp),_xlfn.SINGLE(KLL_II_2020!CA_gross_rev_oil_hp2))*(_xlfn.SINGLE(KLL_II_2020!CA_PSC_switch_trig)=1)</f>
        <v>0</v>
      </c>
      <c r="AF231" s="49">
        <f ca="1">(_xlfn.SINGLE(KLL_II_2020!CA_gross_rev_oil_hp1))*(_xlfn.SINGLE(KLL_II_2020!CA_PSC_switch_trig)=0)+
MIN(_xlfn.SINGLE(KLL_II_2020!CA_gross_rev_total_fp),_xlfn.SINGLE(KLL_II_2020!CA_gross_rev_oil_hp2))*(_xlfn.SINGLE(KLL_II_2020!CA_PSC_switch_trig)=1)</f>
        <v>0</v>
      </c>
      <c r="AG231" s="49">
        <f ca="1">(_xlfn.SINGLE(KLL_II_2020!CA_gross_rev_oil_hp1))*(_xlfn.SINGLE(KLL_II_2020!CA_PSC_switch_trig)=0)+
MIN(_xlfn.SINGLE(KLL_II_2020!CA_gross_rev_total_fp),_xlfn.SINGLE(KLL_II_2020!CA_gross_rev_oil_hp2))*(_xlfn.SINGLE(KLL_II_2020!CA_PSC_switch_trig)=1)</f>
        <v>0</v>
      </c>
      <c r="AH231" s="49">
        <f ca="1">(_xlfn.SINGLE(KLL_II_2020!CA_gross_rev_oil_hp1))*(_xlfn.SINGLE(KLL_II_2020!CA_PSC_switch_trig)=0)+
MIN(_xlfn.SINGLE(KLL_II_2020!CA_gross_rev_total_fp),_xlfn.SINGLE(KLL_II_2020!CA_gross_rev_oil_hp2))*(_xlfn.SINGLE(KLL_II_2020!CA_PSC_switch_trig)=1)</f>
        <v>0</v>
      </c>
      <c r="AI231" s="49">
        <f ca="1">(_xlfn.SINGLE(KLL_II_2020!CA_gross_rev_oil_hp1))*(_xlfn.SINGLE(KLL_II_2020!CA_PSC_switch_trig)=0)+
MIN(_xlfn.SINGLE(KLL_II_2020!CA_gross_rev_total_fp),_xlfn.SINGLE(KLL_II_2020!CA_gross_rev_oil_hp2))*(_xlfn.SINGLE(KLL_II_2020!CA_PSC_switch_trig)=1)</f>
        <v>0</v>
      </c>
      <c r="AJ231" s="49">
        <f ca="1">(_xlfn.SINGLE(KLL_II_2020!CA_gross_rev_oil_hp1))*(_xlfn.SINGLE(KLL_II_2020!CA_PSC_switch_trig)=0)+
MIN(_xlfn.SINGLE(KLL_II_2020!CA_gross_rev_total_fp),_xlfn.SINGLE(KLL_II_2020!CA_gross_rev_oil_hp2))*(_xlfn.SINGLE(KLL_II_2020!CA_PSC_switch_trig)=1)</f>
        <v>0</v>
      </c>
      <c r="AK231" s="49">
        <f ca="1">(_xlfn.SINGLE(KLL_II_2020!CA_gross_rev_oil_hp1))*(_xlfn.SINGLE(KLL_II_2020!CA_PSC_switch_trig)=0)+
MIN(_xlfn.SINGLE(KLL_II_2020!CA_gross_rev_total_fp),_xlfn.SINGLE(KLL_II_2020!CA_gross_rev_oil_hp2))*(_xlfn.SINGLE(KLL_II_2020!CA_PSC_switch_trig)=1)</f>
        <v>0</v>
      </c>
      <c r="AL231" s="49">
        <f ca="1">(_xlfn.SINGLE(KLL_II_2020!CA_gross_rev_oil_hp1))*(_xlfn.SINGLE(KLL_II_2020!CA_PSC_switch_trig)=0)+
MIN(_xlfn.SINGLE(KLL_II_2020!CA_gross_rev_total_fp),_xlfn.SINGLE(KLL_II_2020!CA_gross_rev_oil_hp2))*(_xlfn.SINGLE(KLL_II_2020!CA_PSC_switch_trig)=1)</f>
        <v>0</v>
      </c>
      <c r="AM231" s="49">
        <f ca="1">(_xlfn.SINGLE(KLL_II_2020!CA_gross_rev_oil_hp1))*(_xlfn.SINGLE(KLL_II_2020!CA_PSC_switch_trig)=0)+
MIN(_xlfn.SINGLE(KLL_II_2020!CA_gross_rev_total_fp),_xlfn.SINGLE(KLL_II_2020!CA_gross_rev_oil_hp2))*(_xlfn.SINGLE(KLL_II_2020!CA_PSC_switch_trig)=1)</f>
        <v>0</v>
      </c>
      <c r="AN231" s="49">
        <f ca="1">(_xlfn.SINGLE(KLL_II_2020!CA_gross_rev_oil_hp1))*(_xlfn.SINGLE(KLL_II_2020!CA_PSC_switch_trig)=0)+
MIN(_xlfn.SINGLE(KLL_II_2020!CA_gross_rev_total_fp),_xlfn.SINGLE(KLL_II_2020!CA_gross_rev_oil_hp2))*(_xlfn.SINGLE(KLL_II_2020!CA_PSC_switch_trig)=1)</f>
        <v>0</v>
      </c>
      <c r="AO231" s="49">
        <f ca="1">(_xlfn.SINGLE(KLL_II_2020!CA_gross_rev_oil_hp1))*(_xlfn.SINGLE(KLL_II_2020!CA_PSC_switch_trig)=0)+
MIN(_xlfn.SINGLE(KLL_II_2020!CA_gross_rev_total_fp),_xlfn.SINGLE(KLL_II_2020!CA_gross_rev_oil_hp2))*(_xlfn.SINGLE(KLL_II_2020!CA_PSC_switch_trig)=1)</f>
        <v>0</v>
      </c>
      <c r="AP231" s="49">
        <f ca="1">(_xlfn.SINGLE(KLL_II_2020!CA_gross_rev_oil_hp1))*(_xlfn.SINGLE(KLL_II_2020!CA_PSC_switch_trig)=0)+
MIN(_xlfn.SINGLE(KLL_II_2020!CA_gross_rev_total_fp),_xlfn.SINGLE(KLL_II_2020!CA_gross_rev_oil_hp2))*(_xlfn.SINGLE(KLL_II_2020!CA_PSC_switch_trig)=1)</f>
        <v>0</v>
      </c>
      <c r="AQ231" s="49">
        <f ca="1">(_xlfn.SINGLE(KLL_II_2020!CA_gross_rev_oil_hp1))*(_xlfn.SINGLE(KLL_II_2020!CA_PSC_switch_trig)=0)+
MIN(_xlfn.SINGLE(KLL_II_2020!CA_gross_rev_total_fp),_xlfn.SINGLE(KLL_II_2020!CA_gross_rev_oil_hp2))*(_xlfn.SINGLE(KLL_II_2020!CA_PSC_switch_trig)=1)</f>
        <v>0</v>
      </c>
      <c r="AR231" s="49">
        <f ca="1">(_xlfn.SINGLE(KLL_II_2020!CA_gross_rev_oil_hp1))*(_xlfn.SINGLE(KLL_II_2020!CA_PSC_switch_trig)=0)+
MIN(_xlfn.SINGLE(KLL_II_2020!CA_gross_rev_total_fp),_xlfn.SINGLE(KLL_II_2020!CA_gross_rev_oil_hp2))*(_xlfn.SINGLE(KLL_II_2020!CA_PSC_switch_trig)=1)</f>
        <v>0</v>
      </c>
      <c r="AS231" s="49">
        <f ca="1">(_xlfn.SINGLE(KLL_II_2020!CA_gross_rev_oil_hp1))*(_xlfn.SINGLE(KLL_II_2020!CA_PSC_switch_trig)=0)+
MIN(_xlfn.SINGLE(KLL_II_2020!CA_gross_rev_total_fp),_xlfn.SINGLE(KLL_II_2020!CA_gross_rev_oil_hp2))*(_xlfn.SINGLE(KLL_II_2020!CA_PSC_switch_trig)=1)</f>
        <v>0</v>
      </c>
      <c r="AT231" s="49">
        <f ca="1">(_xlfn.SINGLE(KLL_II_2020!CA_gross_rev_oil_hp1))*(_xlfn.SINGLE(KLL_II_2020!CA_PSC_switch_trig)=0)+
MIN(_xlfn.SINGLE(KLL_II_2020!CA_gross_rev_total_fp),_xlfn.SINGLE(KLL_II_2020!CA_gross_rev_oil_hp2))*(_xlfn.SINGLE(KLL_II_2020!CA_PSC_switch_trig)=1)</f>
        <v>0</v>
      </c>
      <c r="AU231" s="49">
        <f ca="1">(_xlfn.SINGLE(KLL_II_2020!CA_gross_rev_oil_hp1))*(_xlfn.SINGLE(KLL_II_2020!CA_PSC_switch_trig)=0)+
MIN(_xlfn.SINGLE(KLL_II_2020!CA_gross_rev_total_fp),_xlfn.SINGLE(KLL_II_2020!CA_gross_rev_oil_hp2))*(_xlfn.SINGLE(KLL_II_2020!CA_PSC_switch_trig)=1)</f>
        <v>0</v>
      </c>
      <c r="AV231" s="49">
        <f ca="1">(_xlfn.SINGLE(KLL_II_2020!CA_gross_rev_oil_hp1))*(_xlfn.SINGLE(KLL_II_2020!CA_PSC_switch_trig)=0)+
MIN(_xlfn.SINGLE(KLL_II_2020!CA_gross_rev_total_fp),_xlfn.SINGLE(KLL_II_2020!CA_gross_rev_oil_hp2))*(_xlfn.SINGLE(KLL_II_2020!CA_PSC_switch_trig)=1)</f>
        <v>0</v>
      </c>
      <c r="AW231" s="49">
        <f ca="1">(_xlfn.SINGLE(KLL_II_2020!CA_gross_rev_oil_hp1))*(_xlfn.SINGLE(KLL_II_2020!CA_PSC_switch_trig)=0)+
MIN(_xlfn.SINGLE(KLL_II_2020!CA_gross_rev_total_fp),_xlfn.SINGLE(KLL_II_2020!CA_gross_rev_oil_hp2))*(_xlfn.SINGLE(KLL_II_2020!CA_PSC_switch_trig)=1)</f>
        <v>0</v>
      </c>
      <c r="AX231" s="49">
        <f ca="1">(_xlfn.SINGLE(KLL_II_2020!CA_gross_rev_oil_hp1))*(_xlfn.SINGLE(KLL_II_2020!CA_PSC_switch_trig)=0)+
MIN(_xlfn.SINGLE(KLL_II_2020!CA_gross_rev_total_fp),_xlfn.SINGLE(KLL_II_2020!CA_gross_rev_oil_hp2))*(_xlfn.SINGLE(KLL_II_2020!CA_PSC_switch_trig)=1)</f>
        <v>0</v>
      </c>
      <c r="AY231" s="49">
        <f ca="1">(_xlfn.SINGLE(KLL_II_2020!CA_gross_rev_oil_hp1))*(_xlfn.SINGLE(KLL_II_2020!CA_PSC_switch_trig)=0)+
MIN(_xlfn.SINGLE(KLL_II_2020!CA_gross_rev_total_fp),_xlfn.SINGLE(KLL_II_2020!CA_gross_rev_oil_hp2))*(_xlfn.SINGLE(KLL_II_2020!CA_PSC_switch_trig)=1)</f>
        <v>0</v>
      </c>
      <c r="AZ231" s="49">
        <f ca="1">(_xlfn.SINGLE(KLL_II_2020!CA_gross_rev_oil_hp1))*(_xlfn.SINGLE(KLL_II_2020!CA_PSC_switch_trig)=0)+
MIN(_xlfn.SINGLE(KLL_II_2020!CA_gross_rev_total_fp),_xlfn.SINGLE(KLL_II_2020!CA_gross_rev_oil_hp2))*(_xlfn.SINGLE(KLL_II_2020!CA_PSC_switch_trig)=1)</f>
        <v>0</v>
      </c>
      <c r="BA231" s="49">
        <f ca="1">(_xlfn.SINGLE(KLL_II_2020!CA_gross_rev_oil_hp1))*(_xlfn.SINGLE(KLL_II_2020!CA_PSC_switch_trig)=0)+
MIN(_xlfn.SINGLE(KLL_II_2020!CA_gross_rev_total_fp),_xlfn.SINGLE(KLL_II_2020!CA_gross_rev_oil_hp2))*(_xlfn.SINGLE(KLL_II_2020!CA_PSC_switch_trig)=1)</f>
        <v>0</v>
      </c>
      <c r="BB231" s="49">
        <f ca="1">(_xlfn.SINGLE(KLL_II_2020!CA_gross_rev_oil_hp1))*(_xlfn.SINGLE(KLL_II_2020!CA_PSC_switch_trig)=0)+
MIN(_xlfn.SINGLE(KLL_II_2020!CA_gross_rev_total_fp),_xlfn.SINGLE(KLL_II_2020!CA_gross_rev_oil_hp2))*(_xlfn.SINGLE(KLL_II_2020!CA_PSC_switch_trig)=1)</f>
        <v>0</v>
      </c>
      <c r="BC231" s="49">
        <f ca="1">(_xlfn.SINGLE(KLL_II_2020!CA_gross_rev_oil_hp1))*(_xlfn.SINGLE(KLL_II_2020!CA_PSC_switch_trig)=0)+
MIN(_xlfn.SINGLE(KLL_II_2020!CA_gross_rev_total_fp),_xlfn.SINGLE(KLL_II_2020!CA_gross_rev_oil_hp2))*(_xlfn.SINGLE(KLL_II_2020!CA_PSC_switch_trig)=1)</f>
        <v>0</v>
      </c>
      <c r="BD231" s="49">
        <f ca="1">(_xlfn.SINGLE(KLL_II_2020!CA_gross_rev_oil_hp1))*(_xlfn.SINGLE(KLL_II_2020!CA_PSC_switch_trig)=0)+
MIN(_xlfn.SINGLE(KLL_II_2020!CA_gross_rev_total_fp),_xlfn.SINGLE(KLL_II_2020!CA_gross_rev_oil_hp2))*(_xlfn.SINGLE(KLL_II_2020!CA_PSC_switch_trig)=1)</f>
        <v>0</v>
      </c>
      <c r="BE231" s="49">
        <f ca="1">(_xlfn.SINGLE(KLL_II_2020!CA_gross_rev_oil_hp1))*(_xlfn.SINGLE(KLL_II_2020!CA_PSC_switch_trig)=0)+
MIN(_xlfn.SINGLE(KLL_II_2020!CA_gross_rev_total_fp),_xlfn.SINGLE(KLL_II_2020!CA_gross_rev_oil_hp2))*(_xlfn.SINGLE(KLL_II_2020!CA_PSC_switch_trig)=1)</f>
        <v>0</v>
      </c>
      <c r="BF231" s="49">
        <f ca="1">(_xlfn.SINGLE(KLL_II_2020!CA_gross_rev_oil_hp1))*(_xlfn.SINGLE(KLL_II_2020!CA_PSC_switch_trig)=0)+
MIN(_xlfn.SINGLE(KLL_II_2020!CA_gross_rev_total_fp),_xlfn.SINGLE(KLL_II_2020!CA_gross_rev_oil_hp2))*(_xlfn.SINGLE(KLL_II_2020!CA_PSC_switch_trig)=1)</f>
        <v>0</v>
      </c>
      <c r="BG231" s="49">
        <f ca="1">(_xlfn.SINGLE(KLL_II_2020!CA_gross_rev_oil_hp1))*(_xlfn.SINGLE(KLL_II_2020!CA_PSC_switch_trig)=0)+
MIN(_xlfn.SINGLE(KLL_II_2020!CA_gross_rev_total_fp),_xlfn.SINGLE(KLL_II_2020!CA_gross_rev_oil_hp2))*(_xlfn.SINGLE(KLL_II_2020!CA_PSC_switch_trig)=1)</f>
        <v>0</v>
      </c>
      <c r="BH231" s="49">
        <f ca="1">(_xlfn.SINGLE(KLL_II_2020!CA_gross_rev_oil_hp1))*(_xlfn.SINGLE(KLL_II_2020!CA_PSC_switch_trig)=0)+
MIN(_xlfn.SINGLE(KLL_II_2020!CA_gross_rev_total_fp),_xlfn.SINGLE(KLL_II_2020!CA_gross_rev_oil_hp2))*(_xlfn.SINGLE(KLL_II_2020!CA_PSC_switch_trig)=1)</f>
        <v>0</v>
      </c>
      <c r="BI231" s="49">
        <f ca="1">(_xlfn.SINGLE(KLL_II_2020!CA_gross_rev_oil_hp1))*(_xlfn.SINGLE(KLL_II_2020!CA_PSC_switch_trig)=0)+
MIN(_xlfn.SINGLE(KLL_II_2020!CA_gross_rev_total_fp),_xlfn.SINGLE(KLL_II_2020!CA_gross_rev_oil_hp2))*(_xlfn.SINGLE(KLL_II_2020!CA_PSC_switch_trig)=1)</f>
        <v>0</v>
      </c>
      <c r="BJ231" s="49">
        <f ca="1">(_xlfn.SINGLE(KLL_II_2020!CA_gross_rev_oil_hp1))*(_xlfn.SINGLE(KLL_II_2020!CA_PSC_switch_trig)=0)+
MIN(_xlfn.SINGLE(KLL_II_2020!CA_gross_rev_total_fp),_xlfn.SINGLE(KLL_II_2020!CA_gross_rev_oil_hp2))*(_xlfn.SINGLE(KLL_II_2020!CA_PSC_switch_trig)=1)</f>
        <v>0</v>
      </c>
      <c r="BK231" s="49">
        <f ca="1">(_xlfn.SINGLE(KLL_II_2020!CA_gross_rev_oil_hp1))*(_xlfn.SINGLE(KLL_II_2020!CA_PSC_switch_trig)=0)+
MIN(_xlfn.SINGLE(KLL_II_2020!CA_gross_rev_total_fp),_xlfn.SINGLE(KLL_II_2020!CA_gross_rev_oil_hp2))*(_xlfn.SINGLE(KLL_II_2020!CA_PSC_switch_trig)=1)</f>
        <v>0</v>
      </c>
      <c r="BL231" s="49">
        <f ca="1">(_xlfn.SINGLE(KLL_II_2020!CA_gross_rev_oil_hp1))*(_xlfn.SINGLE(KLL_II_2020!CA_PSC_switch_trig)=0)+
MIN(_xlfn.SINGLE(KLL_II_2020!CA_gross_rev_total_fp),_xlfn.SINGLE(KLL_II_2020!CA_gross_rev_oil_hp2))*(_xlfn.SINGLE(KLL_II_2020!CA_PSC_switch_trig)=1)</f>
        <v>0</v>
      </c>
      <c r="BM231" s="49">
        <f ca="1">(_xlfn.SINGLE(KLL_II_2020!CA_gross_rev_oil_hp1))*(_xlfn.SINGLE(KLL_II_2020!CA_PSC_switch_trig)=0)+
MIN(_xlfn.SINGLE(KLL_II_2020!CA_gross_rev_total_fp),_xlfn.SINGLE(KLL_II_2020!CA_gross_rev_oil_hp2))*(_xlfn.SINGLE(KLL_II_2020!CA_PSC_switch_trig)=1)</f>
        <v>0</v>
      </c>
      <c r="BN231" s="49">
        <f ca="1">(_xlfn.SINGLE(KLL_II_2020!CA_gross_rev_oil_hp1))*(_xlfn.SINGLE(KLL_II_2020!CA_PSC_switch_trig)=0)+
MIN(_xlfn.SINGLE(KLL_II_2020!CA_gross_rev_total_fp),_xlfn.SINGLE(KLL_II_2020!CA_gross_rev_oil_hp2))*(_xlfn.SINGLE(KLL_II_2020!CA_PSC_switch_trig)=1)</f>
        <v>0</v>
      </c>
      <c r="BO231" s="49">
        <f ca="1">(_xlfn.SINGLE(KLL_II_2020!CA_gross_rev_oil_hp1))*(_xlfn.SINGLE(KLL_II_2020!CA_PSC_switch_trig)=0)+
MIN(_xlfn.SINGLE(KLL_II_2020!CA_gross_rev_total_fp),_xlfn.SINGLE(KLL_II_2020!CA_gross_rev_oil_hp2))*(_xlfn.SINGLE(KLL_II_2020!CA_PSC_switch_trig)=1)</f>
        <v>0</v>
      </c>
      <c r="BP231" s="49">
        <f ca="1">(_xlfn.SINGLE(KLL_II_2020!CA_gross_rev_oil_hp1))*(_xlfn.SINGLE(KLL_II_2020!CA_PSC_switch_trig)=0)+
MIN(_xlfn.SINGLE(KLL_II_2020!CA_gross_rev_total_fp),_xlfn.SINGLE(KLL_II_2020!CA_gross_rev_oil_hp2))*(_xlfn.SINGLE(KLL_II_2020!CA_PSC_switch_trig)=1)</f>
        <v>0</v>
      </c>
      <c r="BQ231" s="49">
        <f ca="1">(_xlfn.SINGLE(KLL_II_2020!CA_gross_rev_oil_hp1))*(_xlfn.SINGLE(KLL_II_2020!CA_PSC_switch_trig)=0)+
MIN(_xlfn.SINGLE(KLL_II_2020!CA_gross_rev_total_fp),_xlfn.SINGLE(KLL_II_2020!CA_gross_rev_oil_hp2))*(_xlfn.SINGLE(KLL_II_2020!CA_PSC_switch_trig)=1)</f>
        <v>0</v>
      </c>
      <c r="BR231" s="49">
        <f ca="1">(_xlfn.SINGLE(KLL_II_2020!CA_gross_rev_oil_hp1))*(_xlfn.SINGLE(KLL_II_2020!CA_PSC_switch_trig)=0)+
MIN(_xlfn.SINGLE(KLL_II_2020!CA_gross_rev_total_fp),_xlfn.SINGLE(KLL_II_2020!CA_gross_rev_oil_hp2))*(_xlfn.SINGLE(KLL_II_2020!CA_PSC_switch_trig)=1)</f>
        <v>0</v>
      </c>
      <c r="BS231" s="49">
        <f ca="1">(_xlfn.SINGLE(KLL_II_2020!CA_gross_rev_oil_hp1))*(_xlfn.SINGLE(KLL_II_2020!CA_PSC_switch_trig)=0)+
MIN(_xlfn.SINGLE(KLL_II_2020!CA_gross_rev_total_fp),_xlfn.SINGLE(KLL_II_2020!CA_gross_rev_oil_hp2))*(_xlfn.SINGLE(KLL_II_2020!CA_PSC_switch_trig)=1)</f>
        <v>0</v>
      </c>
    </row>
    <row r="232" spans="4:71" outlineLevel="1" x14ac:dyDescent="0.2">
      <c r="J232" s="26"/>
      <c r="L232" s="55"/>
      <c r="M232" s="55"/>
      <c r="N232" s="55"/>
      <c r="O232" s="55"/>
      <c r="P232" s="55"/>
      <c r="Q232" s="55"/>
      <c r="R232" s="55"/>
      <c r="S232" s="55"/>
      <c r="T232" s="55"/>
      <c r="U232" s="55"/>
      <c r="V232" s="55"/>
      <c r="W232" s="55"/>
      <c r="X232" s="55"/>
      <c r="Y232" s="55"/>
      <c r="Z232" s="55"/>
      <c r="AA232" s="55"/>
      <c r="AB232" s="55"/>
      <c r="AC232" s="55"/>
      <c r="AD232" s="55"/>
      <c r="AE232" s="55"/>
      <c r="AF232" s="55"/>
      <c r="AG232" s="55"/>
      <c r="AH232" s="55"/>
      <c r="AI232" s="55"/>
      <c r="AJ232" s="55"/>
      <c r="AK232" s="55"/>
      <c r="AL232" s="55"/>
      <c r="AM232" s="55"/>
      <c r="AN232" s="55"/>
      <c r="AO232" s="55"/>
      <c r="AP232" s="55"/>
      <c r="AQ232" s="55"/>
      <c r="AR232" s="55"/>
      <c r="AS232" s="55"/>
      <c r="AT232" s="55"/>
      <c r="AU232" s="55"/>
      <c r="AV232" s="55"/>
      <c r="AW232" s="55"/>
      <c r="AX232" s="55"/>
      <c r="AY232" s="55"/>
      <c r="AZ232" s="55"/>
      <c r="BA232" s="55"/>
      <c r="BB232" s="55"/>
      <c r="BC232" s="55"/>
      <c r="BD232" s="55"/>
      <c r="BE232" s="55"/>
      <c r="BF232" s="55"/>
      <c r="BG232" s="55"/>
      <c r="BH232" s="55"/>
      <c r="BI232" s="55"/>
      <c r="BJ232" s="55"/>
      <c r="BK232" s="55"/>
      <c r="BL232" s="55"/>
      <c r="BM232" s="55"/>
      <c r="BN232" s="55"/>
      <c r="BO232" s="55"/>
      <c r="BP232" s="55"/>
      <c r="BQ232" s="55"/>
      <c r="BR232" s="55"/>
      <c r="BS232" s="55"/>
    </row>
    <row r="233" spans="4:71" outlineLevel="1" x14ac:dyDescent="0.2">
      <c r="D233" s="11" t="str">
        <f>HM_ZD_Moho!D257</f>
        <v>Cost Stop</v>
      </c>
      <c r="I233" s="30">
        <f t="shared" ca="1" si="52"/>
        <v>1484.0984333139777</v>
      </c>
      <c r="J233" s="26" t="s">
        <v>148</v>
      </c>
      <c r="K233" s="7" t="s">
        <v>189</v>
      </c>
      <c r="L233" s="49">
        <f ca="1">L229*L231</f>
        <v>86.539122832499999</v>
      </c>
      <c r="M233" s="49">
        <f ca="1">M229*M231</f>
        <v>107.86672998300001</v>
      </c>
      <c r="N233" s="49">
        <f t="shared" ref="N233:BS233" ca="1" si="53">N229*N231</f>
        <v>112.455877409625</v>
      </c>
      <c r="O233" s="49">
        <f t="shared" ca="1" si="53"/>
        <v>117.75807335512498</v>
      </c>
      <c r="P233" s="49">
        <f t="shared" ca="1" si="53"/>
        <v>107.84823756</v>
      </c>
      <c r="Q233" s="49">
        <f t="shared" ca="1" si="53"/>
        <v>118.71952720450003</v>
      </c>
      <c r="R233" s="49">
        <f t="shared" ca="1" si="53"/>
        <v>125.24826879562499</v>
      </c>
      <c r="S233" s="49">
        <f t="shared" ca="1" si="53"/>
        <v>112.45402350000001</v>
      </c>
      <c r="T233" s="49">
        <f t="shared" ca="1" si="53"/>
        <v>131.92417349999999</v>
      </c>
      <c r="U233" s="49">
        <f t="shared" ca="1" si="53"/>
        <v>125.14327098209996</v>
      </c>
      <c r="V233" s="49">
        <f t="shared" ca="1" si="53"/>
        <v>118.71090685362002</v>
      </c>
      <c r="W233" s="49">
        <f t="shared" ca="1" si="53"/>
        <v>112.60916624134396</v>
      </c>
      <c r="X233" s="49">
        <f t="shared" ca="1" si="53"/>
        <v>106.82105509653887</v>
      </c>
      <c r="Y233" s="49">
        <f t="shared" ca="1" si="53"/>
        <v>0</v>
      </c>
      <c r="Z233" s="49">
        <f t="shared" ca="1" si="53"/>
        <v>0</v>
      </c>
      <c r="AA233" s="49">
        <f t="shared" ca="1" si="53"/>
        <v>0</v>
      </c>
      <c r="AB233" s="49">
        <f t="shared" ca="1" si="53"/>
        <v>0</v>
      </c>
      <c r="AC233" s="49">
        <f t="shared" ca="1" si="53"/>
        <v>0</v>
      </c>
      <c r="AD233" s="49">
        <f t="shared" ca="1" si="53"/>
        <v>0</v>
      </c>
      <c r="AE233" s="49">
        <f t="shared" ca="1" si="53"/>
        <v>0</v>
      </c>
      <c r="AF233" s="49">
        <f t="shared" ca="1" si="53"/>
        <v>0</v>
      </c>
      <c r="AG233" s="49">
        <f t="shared" ca="1" si="53"/>
        <v>0</v>
      </c>
      <c r="AH233" s="49">
        <f t="shared" ca="1" si="53"/>
        <v>0</v>
      </c>
      <c r="AI233" s="49">
        <f t="shared" ca="1" si="53"/>
        <v>0</v>
      </c>
      <c r="AJ233" s="49">
        <f t="shared" ca="1" si="53"/>
        <v>0</v>
      </c>
      <c r="AK233" s="49">
        <f t="shared" ca="1" si="53"/>
        <v>0</v>
      </c>
      <c r="AL233" s="49">
        <f t="shared" ca="1" si="53"/>
        <v>0</v>
      </c>
      <c r="AM233" s="49">
        <f t="shared" ca="1" si="53"/>
        <v>0</v>
      </c>
      <c r="AN233" s="49">
        <f t="shared" ca="1" si="53"/>
        <v>0</v>
      </c>
      <c r="AO233" s="49">
        <f t="shared" ca="1" si="53"/>
        <v>0</v>
      </c>
      <c r="AP233" s="49">
        <f t="shared" ca="1" si="53"/>
        <v>0</v>
      </c>
      <c r="AQ233" s="49">
        <f t="shared" ca="1" si="53"/>
        <v>0</v>
      </c>
      <c r="AR233" s="49">
        <f t="shared" ca="1" si="53"/>
        <v>0</v>
      </c>
      <c r="AS233" s="49">
        <f t="shared" ca="1" si="53"/>
        <v>0</v>
      </c>
      <c r="AT233" s="49">
        <f t="shared" ca="1" si="53"/>
        <v>0</v>
      </c>
      <c r="AU233" s="49">
        <f t="shared" ca="1" si="53"/>
        <v>0</v>
      </c>
      <c r="AV233" s="49">
        <f t="shared" ca="1" si="53"/>
        <v>0</v>
      </c>
      <c r="AW233" s="49">
        <f t="shared" ca="1" si="53"/>
        <v>0</v>
      </c>
      <c r="AX233" s="49">
        <f t="shared" ca="1" si="53"/>
        <v>0</v>
      </c>
      <c r="AY233" s="49">
        <f t="shared" ca="1" si="53"/>
        <v>0</v>
      </c>
      <c r="AZ233" s="49">
        <f t="shared" ca="1" si="53"/>
        <v>0</v>
      </c>
      <c r="BA233" s="49">
        <f t="shared" ca="1" si="53"/>
        <v>0</v>
      </c>
      <c r="BB233" s="49">
        <f t="shared" ca="1" si="53"/>
        <v>0</v>
      </c>
      <c r="BC233" s="49">
        <f t="shared" ca="1" si="53"/>
        <v>0</v>
      </c>
      <c r="BD233" s="49">
        <f t="shared" ca="1" si="53"/>
        <v>0</v>
      </c>
      <c r="BE233" s="49">
        <f t="shared" ca="1" si="53"/>
        <v>0</v>
      </c>
      <c r="BF233" s="49">
        <f t="shared" ca="1" si="53"/>
        <v>0</v>
      </c>
      <c r="BG233" s="49">
        <f t="shared" ca="1" si="53"/>
        <v>0</v>
      </c>
      <c r="BH233" s="49">
        <f t="shared" ca="1" si="53"/>
        <v>0</v>
      </c>
      <c r="BI233" s="49">
        <f t="shared" ca="1" si="53"/>
        <v>0</v>
      </c>
      <c r="BJ233" s="49">
        <f t="shared" ca="1" si="53"/>
        <v>0</v>
      </c>
      <c r="BK233" s="49">
        <f t="shared" ca="1" si="53"/>
        <v>0</v>
      </c>
      <c r="BL233" s="49">
        <f t="shared" ca="1" si="53"/>
        <v>0</v>
      </c>
      <c r="BM233" s="49">
        <f t="shared" ca="1" si="53"/>
        <v>0</v>
      </c>
      <c r="BN233" s="49">
        <f t="shared" ca="1" si="53"/>
        <v>0</v>
      </c>
      <c r="BO233" s="49">
        <f t="shared" ca="1" si="53"/>
        <v>0</v>
      </c>
      <c r="BP233" s="49">
        <f t="shared" ca="1" si="53"/>
        <v>0</v>
      </c>
      <c r="BQ233" s="49">
        <f t="shared" ca="1" si="53"/>
        <v>0</v>
      </c>
      <c r="BR233" s="49">
        <f t="shared" ca="1" si="53"/>
        <v>0</v>
      </c>
      <c r="BS233" s="49">
        <f t="shared" ca="1" si="53"/>
        <v>0</v>
      </c>
    </row>
    <row r="234" spans="4:71" outlineLevel="1" x14ac:dyDescent="0.2">
      <c r="J234" s="26"/>
      <c r="L234" s="55"/>
      <c r="M234" s="55"/>
      <c r="N234" s="55"/>
      <c r="O234" s="55"/>
      <c r="P234" s="55"/>
      <c r="Q234" s="55"/>
      <c r="R234" s="55"/>
      <c r="S234" s="55"/>
      <c r="T234" s="55"/>
      <c r="U234" s="55"/>
      <c r="V234" s="55"/>
      <c r="W234" s="55"/>
      <c r="X234" s="55"/>
      <c r="Y234" s="55"/>
      <c r="Z234" s="55"/>
      <c r="AA234" s="55"/>
      <c r="AB234" s="55"/>
      <c r="AC234" s="55"/>
      <c r="AD234" s="55"/>
      <c r="AE234" s="55"/>
      <c r="AF234" s="55"/>
      <c r="AG234" s="55"/>
      <c r="AH234" s="55"/>
      <c r="AI234" s="55"/>
      <c r="AJ234" s="55"/>
      <c r="AK234" s="55"/>
      <c r="AL234" s="55"/>
      <c r="AM234" s="55"/>
      <c r="AN234" s="55"/>
      <c r="AO234" s="55"/>
      <c r="AP234" s="55"/>
      <c r="AQ234" s="55"/>
      <c r="AR234" s="55"/>
      <c r="AS234" s="55"/>
      <c r="AT234" s="55"/>
      <c r="AU234" s="55"/>
      <c r="AV234" s="55"/>
      <c r="AW234" s="55"/>
      <c r="AX234" s="55"/>
      <c r="AY234" s="55"/>
      <c r="AZ234" s="55"/>
      <c r="BA234" s="55"/>
      <c r="BB234" s="55"/>
      <c r="BC234" s="55"/>
      <c r="BD234" s="55"/>
      <c r="BE234" s="55"/>
      <c r="BF234" s="55"/>
      <c r="BG234" s="55"/>
      <c r="BH234" s="55"/>
      <c r="BI234" s="55"/>
      <c r="BJ234" s="55"/>
      <c r="BK234" s="55"/>
      <c r="BL234" s="55"/>
      <c r="BM234" s="55"/>
      <c r="BN234" s="55"/>
      <c r="BO234" s="55"/>
      <c r="BP234" s="55"/>
      <c r="BQ234" s="55"/>
      <c r="BR234" s="55"/>
      <c r="BS234" s="55"/>
    </row>
    <row r="235" spans="4:71" outlineLevel="1" x14ac:dyDescent="0.2">
      <c r="D235" s="11" t="str">
        <f>HM_ZD_Moho!D259</f>
        <v>Calendrier de récupération des coûts</v>
      </c>
      <c r="J235" s="26"/>
      <c r="L235" s="55"/>
      <c r="M235" s="55"/>
      <c r="N235" s="55"/>
      <c r="O235" s="55"/>
      <c r="P235" s="55"/>
      <c r="Q235" s="55"/>
      <c r="R235" s="55"/>
      <c r="S235" s="55"/>
      <c r="T235" s="55"/>
      <c r="U235" s="55"/>
      <c r="V235" s="55"/>
      <c r="W235" s="55"/>
      <c r="X235" s="55"/>
      <c r="Y235" s="55"/>
      <c r="Z235" s="55"/>
      <c r="AA235" s="55"/>
      <c r="AB235" s="55"/>
      <c r="AC235" s="55"/>
      <c r="AD235" s="55"/>
      <c r="AE235" s="55"/>
      <c r="AF235" s="55"/>
      <c r="AG235" s="55"/>
      <c r="AH235" s="55"/>
      <c r="AI235" s="55"/>
      <c r="AJ235" s="55"/>
      <c r="AK235" s="55"/>
      <c r="AL235" s="55"/>
      <c r="AM235" s="55"/>
      <c r="AN235" s="55"/>
      <c r="AO235" s="55"/>
      <c r="AP235" s="55"/>
      <c r="AQ235" s="55"/>
      <c r="AR235" s="55"/>
      <c r="AS235" s="55"/>
      <c r="AT235" s="55"/>
      <c r="AU235" s="55"/>
      <c r="AV235" s="55"/>
      <c r="AW235" s="55"/>
      <c r="AX235" s="55"/>
      <c r="AY235" s="55"/>
      <c r="AZ235" s="55"/>
      <c r="BA235" s="55"/>
      <c r="BB235" s="55"/>
      <c r="BC235" s="55"/>
      <c r="BD235" s="55"/>
      <c r="BE235" s="55"/>
      <c r="BF235" s="55"/>
      <c r="BG235" s="55"/>
      <c r="BH235" s="55"/>
      <c r="BI235" s="55"/>
      <c r="BJ235" s="55"/>
      <c r="BK235" s="55"/>
      <c r="BL235" s="55"/>
      <c r="BM235" s="55"/>
      <c r="BN235" s="55"/>
      <c r="BO235" s="55"/>
      <c r="BP235" s="55"/>
      <c r="BQ235" s="55"/>
      <c r="BR235" s="55"/>
      <c r="BS235" s="55"/>
    </row>
    <row r="236" spans="4:71" outlineLevel="1" x14ac:dyDescent="0.2">
      <c r="D236" s="51" t="str">
        <f>HM_ZD_Moho!D260</f>
        <v>Opex</v>
      </c>
      <c r="J236" s="26"/>
      <c r="L236" s="55"/>
      <c r="M236" s="55"/>
      <c r="N236" s="55"/>
      <c r="O236" s="55"/>
      <c r="P236" s="55"/>
      <c r="Q236" s="55"/>
      <c r="R236" s="55"/>
      <c r="S236" s="55"/>
      <c r="T236" s="55"/>
      <c r="U236" s="55"/>
      <c r="V236" s="55"/>
      <c r="W236" s="55"/>
      <c r="X236" s="55"/>
      <c r="Y236" s="55"/>
      <c r="Z236" s="55"/>
      <c r="AA236" s="55"/>
      <c r="AB236" s="55"/>
      <c r="AC236" s="55"/>
      <c r="AD236" s="55"/>
      <c r="AE236" s="55"/>
      <c r="AF236" s="55"/>
      <c r="AG236" s="55"/>
      <c r="AH236" s="55"/>
      <c r="AI236" s="55"/>
      <c r="AJ236" s="55"/>
      <c r="AK236" s="55"/>
      <c r="AL236" s="55"/>
      <c r="AM236" s="55"/>
      <c r="AN236" s="55"/>
      <c r="AO236" s="55"/>
      <c r="AP236" s="55"/>
      <c r="AQ236" s="55"/>
      <c r="AR236" s="55"/>
      <c r="AS236" s="55"/>
      <c r="AT236" s="55"/>
      <c r="AU236" s="55"/>
      <c r="AV236" s="55"/>
      <c r="AW236" s="55"/>
      <c r="AX236" s="55"/>
      <c r="AY236" s="55"/>
      <c r="AZ236" s="55"/>
      <c r="BA236" s="55"/>
      <c r="BB236" s="55"/>
      <c r="BC236" s="55"/>
      <c r="BD236" s="55"/>
      <c r="BE236" s="55"/>
      <c r="BF236" s="55"/>
      <c r="BG236" s="55"/>
      <c r="BH236" s="55"/>
      <c r="BI236" s="55"/>
      <c r="BJ236" s="55"/>
      <c r="BK236" s="55"/>
      <c r="BL236" s="55"/>
      <c r="BM236" s="55"/>
      <c r="BN236" s="55"/>
      <c r="BO236" s="55"/>
      <c r="BP236" s="55"/>
      <c r="BQ236" s="55"/>
      <c r="BR236" s="55"/>
      <c r="BS236" s="55"/>
    </row>
    <row r="237" spans="4:71" outlineLevel="1" x14ac:dyDescent="0.2">
      <c r="E237" t="str">
        <f>HM_ZD_Moho!E261</f>
        <v>Revenus disponibles pour la récupération</v>
      </c>
      <c r="I237" s="30">
        <f t="shared" ref="I237:I239" ca="1" si="54">SUM($L237:$BS237)</f>
        <v>1484.0984333139777</v>
      </c>
      <c r="J237" s="26" t="s">
        <v>148</v>
      </c>
      <c r="L237" s="49">
        <f ca="1">IF(AND((_xlfn.SINGLE(KLL_II_2020!CA_cost_stop))&lt;K238,_xlfn.SINGLE(KLL_II_2020!CA_gco)&gt;0,_xlfn.SINGLE(KLL_II_2020!CA_gco)&gt;_xlfn.SINGLE(KLL_II_2020!CA_cost_stop)),_xlfn.SINGLE(KLL_II_2020!CA_gco),_xlfn.SINGLE(KLL_II_2020!CA_cost_stop))</f>
        <v>86.539122832499999</v>
      </c>
      <c r="M237" s="49">
        <f ca="1">IF(AND((_xlfn.SINGLE(KLL_II_2020!CA_cost_stop))&lt;L238,_xlfn.SINGLE(KLL_II_2020!CA_gco)&gt;0,_xlfn.SINGLE(KLL_II_2020!CA_gco)&gt;_xlfn.SINGLE(KLL_II_2020!CA_cost_stop)),_xlfn.SINGLE(KLL_II_2020!CA_gco),_xlfn.SINGLE(KLL_II_2020!CA_cost_stop))</f>
        <v>107.86672998300001</v>
      </c>
      <c r="N237" s="49">
        <f ca="1">IF(AND((_xlfn.SINGLE(KLL_II_2020!CA_cost_stop))&lt;M238,_xlfn.SINGLE(KLL_II_2020!CA_gco)&gt;0,_xlfn.SINGLE(KLL_II_2020!CA_gco)&gt;_xlfn.SINGLE(KLL_II_2020!CA_cost_stop)),_xlfn.SINGLE(KLL_II_2020!CA_gco),_xlfn.SINGLE(KLL_II_2020!CA_cost_stop))</f>
        <v>112.455877409625</v>
      </c>
      <c r="O237" s="49">
        <f ca="1">IF(AND((_xlfn.SINGLE(KLL_II_2020!CA_cost_stop))&lt;N238,_xlfn.SINGLE(KLL_II_2020!CA_gco)&gt;0,_xlfn.SINGLE(KLL_II_2020!CA_gco)&gt;_xlfn.SINGLE(KLL_II_2020!CA_cost_stop)),_xlfn.SINGLE(KLL_II_2020!CA_gco),_xlfn.SINGLE(KLL_II_2020!CA_cost_stop))</f>
        <v>117.75807335512498</v>
      </c>
      <c r="P237" s="49">
        <f ca="1">IF(AND((_xlfn.SINGLE(KLL_II_2020!CA_cost_stop))&lt;O238,_xlfn.SINGLE(KLL_II_2020!CA_gco)&gt;0,_xlfn.SINGLE(KLL_II_2020!CA_gco)&gt;_xlfn.SINGLE(KLL_II_2020!CA_cost_stop)),_xlfn.SINGLE(KLL_II_2020!CA_gco),_xlfn.SINGLE(KLL_II_2020!CA_cost_stop))</f>
        <v>107.84823756</v>
      </c>
      <c r="Q237" s="49">
        <f ca="1">IF(AND((_xlfn.SINGLE(KLL_II_2020!CA_cost_stop))&lt;P238,_xlfn.SINGLE(KLL_II_2020!CA_gco)&gt;0,_xlfn.SINGLE(KLL_II_2020!CA_gco)&gt;_xlfn.SINGLE(KLL_II_2020!CA_cost_stop)),_xlfn.SINGLE(KLL_II_2020!CA_gco),_xlfn.SINGLE(KLL_II_2020!CA_cost_stop))</f>
        <v>118.71952720450003</v>
      </c>
      <c r="R237" s="49">
        <f ca="1">IF(AND((_xlfn.SINGLE(KLL_II_2020!CA_cost_stop))&lt;Q238,_xlfn.SINGLE(KLL_II_2020!CA_gco)&gt;0,_xlfn.SINGLE(KLL_II_2020!CA_gco)&gt;_xlfn.SINGLE(KLL_II_2020!CA_cost_stop)),_xlfn.SINGLE(KLL_II_2020!CA_gco),_xlfn.SINGLE(KLL_II_2020!CA_cost_stop))</f>
        <v>125.24826879562499</v>
      </c>
      <c r="S237" s="49">
        <f ca="1">IF(AND((_xlfn.SINGLE(KLL_II_2020!CA_cost_stop))&lt;R238,_xlfn.SINGLE(KLL_II_2020!CA_gco)&gt;0,_xlfn.SINGLE(KLL_II_2020!CA_gco)&gt;_xlfn.SINGLE(KLL_II_2020!CA_cost_stop)),_xlfn.SINGLE(KLL_II_2020!CA_gco),_xlfn.SINGLE(KLL_II_2020!CA_cost_stop))</f>
        <v>112.45402350000001</v>
      </c>
      <c r="T237" s="49">
        <f ca="1">IF(AND((_xlfn.SINGLE(KLL_II_2020!CA_cost_stop))&lt;S238,_xlfn.SINGLE(KLL_II_2020!CA_gco)&gt;0,_xlfn.SINGLE(KLL_II_2020!CA_gco)&gt;_xlfn.SINGLE(KLL_II_2020!CA_cost_stop)),_xlfn.SINGLE(KLL_II_2020!CA_gco),_xlfn.SINGLE(KLL_II_2020!CA_cost_stop))</f>
        <v>131.92417349999999</v>
      </c>
      <c r="U237" s="49">
        <f ca="1">IF(AND((_xlfn.SINGLE(KLL_II_2020!CA_cost_stop))&lt;T238,_xlfn.SINGLE(KLL_II_2020!CA_gco)&gt;0,_xlfn.SINGLE(KLL_II_2020!CA_gco)&gt;_xlfn.SINGLE(KLL_II_2020!CA_cost_stop)),_xlfn.SINGLE(KLL_II_2020!CA_gco),_xlfn.SINGLE(KLL_II_2020!CA_cost_stop))</f>
        <v>125.14327098209996</v>
      </c>
      <c r="V237" s="49">
        <f ca="1">IF(AND((_xlfn.SINGLE(KLL_II_2020!CA_cost_stop))&lt;U238,_xlfn.SINGLE(KLL_II_2020!CA_gco)&gt;0,_xlfn.SINGLE(KLL_II_2020!CA_gco)&gt;_xlfn.SINGLE(KLL_II_2020!CA_cost_stop)),_xlfn.SINGLE(KLL_II_2020!CA_gco),_xlfn.SINGLE(KLL_II_2020!CA_cost_stop))</f>
        <v>118.71090685362002</v>
      </c>
      <c r="W237" s="49">
        <f ca="1">IF(AND((_xlfn.SINGLE(KLL_II_2020!CA_cost_stop))&lt;V238,_xlfn.SINGLE(KLL_II_2020!CA_gco)&gt;0,_xlfn.SINGLE(KLL_II_2020!CA_gco)&gt;_xlfn.SINGLE(KLL_II_2020!CA_cost_stop)),_xlfn.SINGLE(KLL_II_2020!CA_gco),_xlfn.SINGLE(KLL_II_2020!CA_cost_stop))</f>
        <v>112.60916624134396</v>
      </c>
      <c r="X237" s="49">
        <f ca="1">IF(AND((_xlfn.SINGLE(KLL_II_2020!CA_cost_stop))&lt;W238,_xlfn.SINGLE(KLL_II_2020!CA_gco)&gt;0,_xlfn.SINGLE(KLL_II_2020!CA_gco)&gt;_xlfn.SINGLE(KLL_II_2020!CA_cost_stop)),_xlfn.SINGLE(KLL_II_2020!CA_gco),_xlfn.SINGLE(KLL_II_2020!CA_cost_stop))</f>
        <v>106.82105509653887</v>
      </c>
      <c r="Y237" s="49">
        <f ca="1">IF(AND((_xlfn.SINGLE(KLL_II_2020!CA_cost_stop))&lt;X238,_xlfn.SINGLE(KLL_II_2020!CA_gco)&gt;0,_xlfn.SINGLE(KLL_II_2020!CA_gco)&gt;_xlfn.SINGLE(KLL_II_2020!CA_cost_stop)),_xlfn.SINGLE(KLL_II_2020!CA_gco),_xlfn.SINGLE(KLL_II_2020!CA_cost_stop))</f>
        <v>0</v>
      </c>
      <c r="Z237" s="49">
        <f ca="1">IF(AND((_xlfn.SINGLE(KLL_II_2020!CA_cost_stop))&lt;Y238,_xlfn.SINGLE(KLL_II_2020!CA_gco)&gt;0,_xlfn.SINGLE(KLL_II_2020!CA_gco)&gt;_xlfn.SINGLE(KLL_II_2020!CA_cost_stop)),_xlfn.SINGLE(KLL_II_2020!CA_gco),_xlfn.SINGLE(KLL_II_2020!CA_cost_stop))</f>
        <v>0</v>
      </c>
      <c r="AA237" s="49">
        <f ca="1">IF(AND((_xlfn.SINGLE(KLL_II_2020!CA_cost_stop))&lt;Z238,_xlfn.SINGLE(KLL_II_2020!CA_gco)&gt;0,_xlfn.SINGLE(KLL_II_2020!CA_gco)&gt;_xlfn.SINGLE(KLL_II_2020!CA_cost_stop)),_xlfn.SINGLE(KLL_II_2020!CA_gco),_xlfn.SINGLE(KLL_II_2020!CA_cost_stop))</f>
        <v>0</v>
      </c>
      <c r="AB237" s="49">
        <f ca="1">IF(AND((_xlfn.SINGLE(KLL_II_2020!CA_cost_stop))&lt;AA238,_xlfn.SINGLE(KLL_II_2020!CA_gco)&gt;0,_xlfn.SINGLE(KLL_II_2020!CA_gco)&gt;_xlfn.SINGLE(KLL_II_2020!CA_cost_stop)),_xlfn.SINGLE(KLL_II_2020!CA_gco),_xlfn.SINGLE(KLL_II_2020!CA_cost_stop))</f>
        <v>0</v>
      </c>
      <c r="AC237" s="49">
        <f ca="1">IF(AND((_xlfn.SINGLE(KLL_II_2020!CA_cost_stop))&lt;AB238,_xlfn.SINGLE(KLL_II_2020!CA_gco)&gt;0,_xlfn.SINGLE(KLL_II_2020!CA_gco)&gt;_xlfn.SINGLE(KLL_II_2020!CA_cost_stop)),_xlfn.SINGLE(KLL_II_2020!CA_gco),_xlfn.SINGLE(KLL_II_2020!CA_cost_stop))</f>
        <v>0</v>
      </c>
      <c r="AD237" s="49">
        <f ca="1">IF(AND((_xlfn.SINGLE(KLL_II_2020!CA_cost_stop))&lt;AC238,_xlfn.SINGLE(KLL_II_2020!CA_gco)&gt;0,_xlfn.SINGLE(KLL_II_2020!CA_gco)&gt;_xlfn.SINGLE(KLL_II_2020!CA_cost_stop)),_xlfn.SINGLE(KLL_II_2020!CA_gco),_xlfn.SINGLE(KLL_II_2020!CA_cost_stop))</f>
        <v>0</v>
      </c>
      <c r="AE237" s="49">
        <f ca="1">IF(AND((_xlfn.SINGLE(KLL_II_2020!CA_cost_stop))&lt;AD238,_xlfn.SINGLE(KLL_II_2020!CA_gco)&gt;0,_xlfn.SINGLE(KLL_II_2020!CA_gco)&gt;_xlfn.SINGLE(KLL_II_2020!CA_cost_stop)),_xlfn.SINGLE(KLL_II_2020!CA_gco),_xlfn.SINGLE(KLL_II_2020!CA_cost_stop))</f>
        <v>0</v>
      </c>
      <c r="AF237" s="49">
        <f ca="1">IF(AND((_xlfn.SINGLE(KLL_II_2020!CA_cost_stop))&lt;AE238,_xlfn.SINGLE(KLL_II_2020!CA_gco)&gt;0,_xlfn.SINGLE(KLL_II_2020!CA_gco)&gt;_xlfn.SINGLE(KLL_II_2020!CA_cost_stop)),_xlfn.SINGLE(KLL_II_2020!CA_gco),_xlfn.SINGLE(KLL_II_2020!CA_cost_stop))</f>
        <v>0</v>
      </c>
      <c r="AG237" s="49">
        <f ca="1">IF(AND((_xlfn.SINGLE(KLL_II_2020!CA_cost_stop))&lt;AF238,_xlfn.SINGLE(KLL_II_2020!CA_gco)&gt;0,_xlfn.SINGLE(KLL_II_2020!CA_gco)&gt;_xlfn.SINGLE(KLL_II_2020!CA_cost_stop)),_xlfn.SINGLE(KLL_II_2020!CA_gco),_xlfn.SINGLE(KLL_II_2020!CA_cost_stop))</f>
        <v>0</v>
      </c>
      <c r="AH237" s="49">
        <f ca="1">IF(AND((_xlfn.SINGLE(KLL_II_2020!CA_cost_stop))&lt;AG238,_xlfn.SINGLE(KLL_II_2020!CA_gco)&gt;0,_xlfn.SINGLE(KLL_II_2020!CA_gco)&gt;_xlfn.SINGLE(KLL_II_2020!CA_cost_stop)),_xlfn.SINGLE(KLL_II_2020!CA_gco),_xlfn.SINGLE(KLL_II_2020!CA_cost_stop))</f>
        <v>0</v>
      </c>
      <c r="AI237" s="49">
        <f ca="1">IF(AND((_xlfn.SINGLE(KLL_II_2020!CA_cost_stop))&lt;AH238,_xlfn.SINGLE(KLL_II_2020!CA_gco)&gt;0,_xlfn.SINGLE(KLL_II_2020!CA_gco)&gt;_xlfn.SINGLE(KLL_II_2020!CA_cost_stop)),_xlfn.SINGLE(KLL_II_2020!CA_gco),_xlfn.SINGLE(KLL_II_2020!CA_cost_stop))</f>
        <v>0</v>
      </c>
      <c r="AJ237" s="49">
        <f ca="1">IF(AND((_xlfn.SINGLE(KLL_II_2020!CA_cost_stop))&lt;AI238,_xlfn.SINGLE(KLL_II_2020!CA_gco)&gt;0,_xlfn.SINGLE(KLL_II_2020!CA_gco)&gt;_xlfn.SINGLE(KLL_II_2020!CA_cost_stop)),_xlfn.SINGLE(KLL_II_2020!CA_gco),_xlfn.SINGLE(KLL_II_2020!CA_cost_stop))</f>
        <v>0</v>
      </c>
      <c r="AK237" s="49">
        <f ca="1">IF(AND((_xlfn.SINGLE(KLL_II_2020!CA_cost_stop))&lt;AJ238,_xlfn.SINGLE(KLL_II_2020!CA_gco)&gt;0,_xlfn.SINGLE(KLL_II_2020!CA_gco)&gt;_xlfn.SINGLE(KLL_II_2020!CA_cost_stop)),_xlfn.SINGLE(KLL_II_2020!CA_gco),_xlfn.SINGLE(KLL_II_2020!CA_cost_stop))</f>
        <v>0</v>
      </c>
      <c r="AL237" s="49">
        <f ca="1">IF(AND((_xlfn.SINGLE(KLL_II_2020!CA_cost_stop))&lt;AK238,_xlfn.SINGLE(KLL_II_2020!CA_gco)&gt;0,_xlfn.SINGLE(KLL_II_2020!CA_gco)&gt;_xlfn.SINGLE(KLL_II_2020!CA_cost_stop)),_xlfn.SINGLE(KLL_II_2020!CA_gco),_xlfn.SINGLE(KLL_II_2020!CA_cost_stop))</f>
        <v>0</v>
      </c>
      <c r="AM237" s="49">
        <f ca="1">IF(AND((_xlfn.SINGLE(KLL_II_2020!CA_cost_stop))&lt;AL238,_xlfn.SINGLE(KLL_II_2020!CA_gco)&gt;0,_xlfn.SINGLE(KLL_II_2020!CA_gco)&gt;_xlfn.SINGLE(KLL_II_2020!CA_cost_stop)),_xlfn.SINGLE(KLL_II_2020!CA_gco),_xlfn.SINGLE(KLL_II_2020!CA_cost_stop))</f>
        <v>0</v>
      </c>
      <c r="AN237" s="49">
        <f ca="1">IF(AND((_xlfn.SINGLE(KLL_II_2020!CA_cost_stop))&lt;AM238,_xlfn.SINGLE(KLL_II_2020!CA_gco)&gt;0,_xlfn.SINGLE(KLL_II_2020!CA_gco)&gt;_xlfn.SINGLE(KLL_II_2020!CA_cost_stop)),_xlfn.SINGLE(KLL_II_2020!CA_gco),_xlfn.SINGLE(KLL_II_2020!CA_cost_stop))</f>
        <v>0</v>
      </c>
      <c r="AO237" s="49">
        <f ca="1">IF(AND((_xlfn.SINGLE(KLL_II_2020!CA_cost_stop))&lt;AN238,_xlfn.SINGLE(KLL_II_2020!CA_gco)&gt;0,_xlfn.SINGLE(KLL_II_2020!CA_gco)&gt;_xlfn.SINGLE(KLL_II_2020!CA_cost_stop)),_xlfn.SINGLE(KLL_II_2020!CA_gco),_xlfn.SINGLE(KLL_II_2020!CA_cost_stop))</f>
        <v>0</v>
      </c>
      <c r="AP237" s="49">
        <f ca="1">IF(AND((_xlfn.SINGLE(KLL_II_2020!CA_cost_stop))&lt;AO238,_xlfn.SINGLE(KLL_II_2020!CA_gco)&gt;0,_xlfn.SINGLE(KLL_II_2020!CA_gco)&gt;_xlfn.SINGLE(KLL_II_2020!CA_cost_stop)),_xlfn.SINGLE(KLL_II_2020!CA_gco),_xlfn.SINGLE(KLL_II_2020!CA_cost_stop))</f>
        <v>0</v>
      </c>
      <c r="AQ237" s="49">
        <f ca="1">IF(AND((_xlfn.SINGLE(KLL_II_2020!CA_cost_stop))&lt;AP238,_xlfn.SINGLE(KLL_II_2020!CA_gco)&gt;0,_xlfn.SINGLE(KLL_II_2020!CA_gco)&gt;_xlfn.SINGLE(KLL_II_2020!CA_cost_stop)),_xlfn.SINGLE(KLL_II_2020!CA_gco),_xlfn.SINGLE(KLL_II_2020!CA_cost_stop))</f>
        <v>0</v>
      </c>
      <c r="AR237" s="49">
        <f ca="1">IF(AND((_xlfn.SINGLE(KLL_II_2020!CA_cost_stop))&lt;AQ238,_xlfn.SINGLE(KLL_II_2020!CA_gco)&gt;0,_xlfn.SINGLE(KLL_II_2020!CA_gco)&gt;_xlfn.SINGLE(KLL_II_2020!CA_cost_stop)),_xlfn.SINGLE(KLL_II_2020!CA_gco),_xlfn.SINGLE(KLL_II_2020!CA_cost_stop))</f>
        <v>0</v>
      </c>
      <c r="AS237" s="49">
        <f ca="1">IF(AND((_xlfn.SINGLE(KLL_II_2020!CA_cost_stop))&lt;AR238,_xlfn.SINGLE(KLL_II_2020!CA_gco)&gt;0,_xlfn.SINGLE(KLL_II_2020!CA_gco)&gt;_xlfn.SINGLE(KLL_II_2020!CA_cost_stop)),_xlfn.SINGLE(KLL_II_2020!CA_gco),_xlfn.SINGLE(KLL_II_2020!CA_cost_stop))</f>
        <v>0</v>
      </c>
      <c r="AT237" s="49">
        <f ca="1">IF(AND((_xlfn.SINGLE(KLL_II_2020!CA_cost_stop))&lt;AS238,_xlfn.SINGLE(KLL_II_2020!CA_gco)&gt;0,_xlfn.SINGLE(KLL_II_2020!CA_gco)&gt;_xlfn.SINGLE(KLL_II_2020!CA_cost_stop)),_xlfn.SINGLE(KLL_II_2020!CA_gco),_xlfn.SINGLE(KLL_II_2020!CA_cost_stop))</f>
        <v>0</v>
      </c>
      <c r="AU237" s="49">
        <f ca="1">IF(AND((_xlfn.SINGLE(KLL_II_2020!CA_cost_stop))&lt;AT238,_xlfn.SINGLE(KLL_II_2020!CA_gco)&gt;0,_xlfn.SINGLE(KLL_II_2020!CA_gco)&gt;_xlfn.SINGLE(KLL_II_2020!CA_cost_stop)),_xlfn.SINGLE(KLL_II_2020!CA_gco),_xlfn.SINGLE(KLL_II_2020!CA_cost_stop))</f>
        <v>0</v>
      </c>
      <c r="AV237" s="49">
        <f ca="1">IF(AND((_xlfn.SINGLE(KLL_II_2020!CA_cost_stop))&lt;AU238,_xlfn.SINGLE(KLL_II_2020!CA_gco)&gt;0,_xlfn.SINGLE(KLL_II_2020!CA_gco)&gt;_xlfn.SINGLE(KLL_II_2020!CA_cost_stop)),_xlfn.SINGLE(KLL_II_2020!CA_gco),_xlfn.SINGLE(KLL_II_2020!CA_cost_stop))</f>
        <v>0</v>
      </c>
      <c r="AW237" s="49">
        <f ca="1">IF(AND((_xlfn.SINGLE(KLL_II_2020!CA_cost_stop))&lt;AV238,_xlfn.SINGLE(KLL_II_2020!CA_gco)&gt;0,_xlfn.SINGLE(KLL_II_2020!CA_gco)&gt;_xlfn.SINGLE(KLL_II_2020!CA_cost_stop)),_xlfn.SINGLE(KLL_II_2020!CA_gco),_xlfn.SINGLE(KLL_II_2020!CA_cost_stop))</f>
        <v>0</v>
      </c>
      <c r="AX237" s="49">
        <f ca="1">IF(AND((_xlfn.SINGLE(KLL_II_2020!CA_cost_stop))&lt;AW238,_xlfn.SINGLE(KLL_II_2020!CA_gco)&gt;0,_xlfn.SINGLE(KLL_II_2020!CA_gco)&gt;_xlfn.SINGLE(KLL_II_2020!CA_cost_stop)),_xlfn.SINGLE(KLL_II_2020!CA_gco),_xlfn.SINGLE(KLL_II_2020!CA_cost_stop))</f>
        <v>0</v>
      </c>
      <c r="AY237" s="49">
        <f ca="1">IF(AND((_xlfn.SINGLE(KLL_II_2020!CA_cost_stop))&lt;AX238,_xlfn.SINGLE(KLL_II_2020!CA_gco)&gt;0,_xlfn.SINGLE(KLL_II_2020!CA_gco)&gt;_xlfn.SINGLE(KLL_II_2020!CA_cost_stop)),_xlfn.SINGLE(KLL_II_2020!CA_gco),_xlfn.SINGLE(KLL_II_2020!CA_cost_stop))</f>
        <v>0</v>
      </c>
      <c r="AZ237" s="49">
        <f ca="1">IF(AND((_xlfn.SINGLE(KLL_II_2020!CA_cost_stop))&lt;AY238,_xlfn.SINGLE(KLL_II_2020!CA_gco)&gt;0,_xlfn.SINGLE(KLL_II_2020!CA_gco)&gt;_xlfn.SINGLE(KLL_II_2020!CA_cost_stop)),_xlfn.SINGLE(KLL_II_2020!CA_gco),_xlfn.SINGLE(KLL_II_2020!CA_cost_stop))</f>
        <v>0</v>
      </c>
      <c r="BA237" s="49">
        <f ca="1">IF(AND((_xlfn.SINGLE(KLL_II_2020!CA_cost_stop))&lt;AZ238,_xlfn.SINGLE(KLL_II_2020!CA_gco)&gt;0,_xlfn.SINGLE(KLL_II_2020!CA_gco)&gt;_xlfn.SINGLE(KLL_II_2020!CA_cost_stop)),_xlfn.SINGLE(KLL_II_2020!CA_gco),_xlfn.SINGLE(KLL_II_2020!CA_cost_stop))</f>
        <v>0</v>
      </c>
      <c r="BB237" s="49">
        <f ca="1">IF(AND((_xlfn.SINGLE(KLL_II_2020!CA_cost_stop))&lt;BA238,_xlfn.SINGLE(KLL_II_2020!CA_gco)&gt;0,_xlfn.SINGLE(KLL_II_2020!CA_gco)&gt;_xlfn.SINGLE(KLL_II_2020!CA_cost_stop)),_xlfn.SINGLE(KLL_II_2020!CA_gco),_xlfn.SINGLE(KLL_II_2020!CA_cost_stop))</f>
        <v>0</v>
      </c>
      <c r="BC237" s="49">
        <f ca="1">IF(AND((_xlfn.SINGLE(KLL_II_2020!CA_cost_stop))&lt;BB238,_xlfn.SINGLE(KLL_II_2020!CA_gco)&gt;0,_xlfn.SINGLE(KLL_II_2020!CA_gco)&gt;_xlfn.SINGLE(KLL_II_2020!CA_cost_stop)),_xlfn.SINGLE(KLL_II_2020!CA_gco),_xlfn.SINGLE(KLL_II_2020!CA_cost_stop))</f>
        <v>0</v>
      </c>
      <c r="BD237" s="49">
        <f ca="1">IF(AND((_xlfn.SINGLE(KLL_II_2020!CA_cost_stop))&lt;BC238,_xlfn.SINGLE(KLL_II_2020!CA_gco)&gt;0,_xlfn.SINGLE(KLL_II_2020!CA_gco)&gt;_xlfn.SINGLE(KLL_II_2020!CA_cost_stop)),_xlfn.SINGLE(KLL_II_2020!CA_gco),_xlfn.SINGLE(KLL_II_2020!CA_cost_stop))</f>
        <v>0</v>
      </c>
      <c r="BE237" s="49">
        <f ca="1">IF(AND((_xlfn.SINGLE(KLL_II_2020!CA_cost_stop))&lt;BD238,_xlfn.SINGLE(KLL_II_2020!CA_gco)&gt;0,_xlfn.SINGLE(KLL_II_2020!CA_gco)&gt;_xlfn.SINGLE(KLL_II_2020!CA_cost_stop)),_xlfn.SINGLE(KLL_II_2020!CA_gco),_xlfn.SINGLE(KLL_II_2020!CA_cost_stop))</f>
        <v>0</v>
      </c>
      <c r="BF237" s="49">
        <f ca="1">IF(AND((_xlfn.SINGLE(KLL_II_2020!CA_cost_stop))&lt;BE238,_xlfn.SINGLE(KLL_II_2020!CA_gco)&gt;0,_xlfn.SINGLE(KLL_II_2020!CA_gco)&gt;_xlfn.SINGLE(KLL_II_2020!CA_cost_stop)),_xlfn.SINGLE(KLL_II_2020!CA_gco),_xlfn.SINGLE(KLL_II_2020!CA_cost_stop))</f>
        <v>0</v>
      </c>
      <c r="BG237" s="49">
        <f ca="1">IF(AND((_xlfn.SINGLE(KLL_II_2020!CA_cost_stop))&lt;BF238,_xlfn.SINGLE(KLL_II_2020!CA_gco)&gt;0,_xlfn.SINGLE(KLL_II_2020!CA_gco)&gt;_xlfn.SINGLE(KLL_II_2020!CA_cost_stop)),_xlfn.SINGLE(KLL_II_2020!CA_gco),_xlfn.SINGLE(KLL_II_2020!CA_cost_stop))</f>
        <v>0</v>
      </c>
      <c r="BH237" s="49">
        <f ca="1">IF(AND((_xlfn.SINGLE(KLL_II_2020!CA_cost_stop))&lt;BG238,_xlfn.SINGLE(KLL_II_2020!CA_gco)&gt;0,_xlfn.SINGLE(KLL_II_2020!CA_gco)&gt;_xlfn.SINGLE(KLL_II_2020!CA_cost_stop)),_xlfn.SINGLE(KLL_II_2020!CA_gco),_xlfn.SINGLE(KLL_II_2020!CA_cost_stop))</f>
        <v>0</v>
      </c>
      <c r="BI237" s="49">
        <f ca="1">IF(AND((_xlfn.SINGLE(KLL_II_2020!CA_cost_stop))&lt;BH238,_xlfn.SINGLE(KLL_II_2020!CA_gco)&gt;0,_xlfn.SINGLE(KLL_II_2020!CA_gco)&gt;_xlfn.SINGLE(KLL_II_2020!CA_cost_stop)),_xlfn.SINGLE(KLL_II_2020!CA_gco),_xlfn.SINGLE(KLL_II_2020!CA_cost_stop))</f>
        <v>0</v>
      </c>
      <c r="BJ237" s="49">
        <f ca="1">IF(AND((_xlfn.SINGLE(KLL_II_2020!CA_cost_stop))&lt;BI238,_xlfn.SINGLE(KLL_II_2020!CA_gco)&gt;0,_xlfn.SINGLE(KLL_II_2020!CA_gco)&gt;_xlfn.SINGLE(KLL_II_2020!CA_cost_stop)),_xlfn.SINGLE(KLL_II_2020!CA_gco),_xlfn.SINGLE(KLL_II_2020!CA_cost_stop))</f>
        <v>0</v>
      </c>
      <c r="BK237" s="49">
        <f ca="1">IF(AND((_xlfn.SINGLE(KLL_II_2020!CA_cost_stop))&lt;BJ238,_xlfn.SINGLE(KLL_II_2020!CA_gco)&gt;0,_xlfn.SINGLE(KLL_II_2020!CA_gco)&gt;_xlfn.SINGLE(KLL_II_2020!CA_cost_stop)),_xlfn.SINGLE(KLL_II_2020!CA_gco),_xlfn.SINGLE(KLL_II_2020!CA_cost_stop))</f>
        <v>0</v>
      </c>
      <c r="BL237" s="49">
        <f ca="1">IF(AND((_xlfn.SINGLE(KLL_II_2020!CA_cost_stop))&lt;BK238,_xlfn.SINGLE(KLL_II_2020!CA_gco)&gt;0,_xlfn.SINGLE(KLL_II_2020!CA_gco)&gt;_xlfn.SINGLE(KLL_II_2020!CA_cost_stop)),_xlfn.SINGLE(KLL_II_2020!CA_gco),_xlfn.SINGLE(KLL_II_2020!CA_cost_stop))</f>
        <v>0</v>
      </c>
      <c r="BM237" s="49">
        <f ca="1">IF(AND((_xlfn.SINGLE(KLL_II_2020!CA_cost_stop))&lt;BL238,_xlfn.SINGLE(KLL_II_2020!CA_gco)&gt;0,_xlfn.SINGLE(KLL_II_2020!CA_gco)&gt;_xlfn.SINGLE(KLL_II_2020!CA_cost_stop)),_xlfn.SINGLE(KLL_II_2020!CA_gco),_xlfn.SINGLE(KLL_II_2020!CA_cost_stop))</f>
        <v>0</v>
      </c>
      <c r="BN237" s="49">
        <f ca="1">IF(AND((_xlfn.SINGLE(KLL_II_2020!CA_cost_stop))&lt;BM238,_xlfn.SINGLE(KLL_II_2020!CA_gco)&gt;0,_xlfn.SINGLE(KLL_II_2020!CA_gco)&gt;_xlfn.SINGLE(KLL_II_2020!CA_cost_stop)),_xlfn.SINGLE(KLL_II_2020!CA_gco),_xlfn.SINGLE(KLL_II_2020!CA_cost_stop))</f>
        <v>0</v>
      </c>
      <c r="BO237" s="49">
        <f ca="1">IF(AND((_xlfn.SINGLE(KLL_II_2020!CA_cost_stop))&lt;BN238,_xlfn.SINGLE(KLL_II_2020!CA_gco)&gt;0,_xlfn.SINGLE(KLL_II_2020!CA_gco)&gt;_xlfn.SINGLE(KLL_II_2020!CA_cost_stop)),_xlfn.SINGLE(KLL_II_2020!CA_gco),_xlfn.SINGLE(KLL_II_2020!CA_cost_stop))</f>
        <v>0</v>
      </c>
      <c r="BP237" s="49">
        <f ca="1">IF(AND((_xlfn.SINGLE(KLL_II_2020!CA_cost_stop))&lt;BO238,_xlfn.SINGLE(KLL_II_2020!CA_gco)&gt;0,_xlfn.SINGLE(KLL_II_2020!CA_gco)&gt;_xlfn.SINGLE(KLL_II_2020!CA_cost_stop)),_xlfn.SINGLE(KLL_II_2020!CA_gco),_xlfn.SINGLE(KLL_II_2020!CA_cost_stop))</f>
        <v>0</v>
      </c>
      <c r="BQ237" s="49">
        <f ca="1">IF(AND((_xlfn.SINGLE(KLL_II_2020!CA_cost_stop))&lt;BP238,_xlfn.SINGLE(KLL_II_2020!CA_gco)&gt;0,_xlfn.SINGLE(KLL_II_2020!CA_gco)&gt;_xlfn.SINGLE(KLL_II_2020!CA_cost_stop)),_xlfn.SINGLE(KLL_II_2020!CA_gco),_xlfn.SINGLE(KLL_II_2020!CA_cost_stop))</f>
        <v>0</v>
      </c>
      <c r="BR237" s="49">
        <f ca="1">IF(AND((_xlfn.SINGLE(KLL_II_2020!CA_cost_stop))&lt;BQ238,_xlfn.SINGLE(KLL_II_2020!CA_gco)&gt;0,_xlfn.SINGLE(KLL_II_2020!CA_gco)&gt;_xlfn.SINGLE(KLL_II_2020!CA_cost_stop)),_xlfn.SINGLE(KLL_II_2020!CA_gco),_xlfn.SINGLE(KLL_II_2020!CA_cost_stop))</f>
        <v>0</v>
      </c>
      <c r="BS237" s="49">
        <f ca="1">IF(AND((_xlfn.SINGLE(KLL_II_2020!CA_cost_stop))&lt;BR238,_xlfn.SINGLE(KLL_II_2020!CA_gco)&gt;0,_xlfn.SINGLE(KLL_II_2020!CA_gco)&gt;_xlfn.SINGLE(KLL_II_2020!CA_cost_stop)),_xlfn.SINGLE(KLL_II_2020!CA_gco),_xlfn.SINGLE(KLL_II_2020!CA_cost_stop))</f>
        <v>0</v>
      </c>
    </row>
    <row r="238" spans="4:71" outlineLevel="1" x14ac:dyDescent="0.2">
      <c r="E238" t="str">
        <f>HM_ZD_Moho!E262</f>
        <v>Opex cumulés à récupérer</v>
      </c>
      <c r="I238" s="30">
        <f ca="1">I219</f>
        <v>972.08134211200013</v>
      </c>
      <c r="J238" s="26" t="s">
        <v>148</v>
      </c>
      <c r="L238" s="49">
        <f ca="1">KLL_II_2020!CA_opex_to_recover+(K240*(1+KLL_II_2020!int_rate_cf_costs))</f>
        <v>64.376000000000005</v>
      </c>
      <c r="M238" s="49">
        <f ca="1">KLL_II_2020!CA_opex_to_recover+(L240*(1+KLL_II_2020!int_rate_cf_costs))</f>
        <v>83.224000000000004</v>
      </c>
      <c r="N238" s="49">
        <f ca="1">KLL_II_2020!CA_opex_to_recover+(M240*(1+KLL_II_2020!int_rate_cf_costs))</f>
        <v>66.552000000000007</v>
      </c>
      <c r="O238" s="49">
        <f ca="1">KLL_II_2020!CA_opex_to_recover+(N240*(1+KLL_II_2020!int_rate_cf_costs))</f>
        <v>178.34699999999998</v>
      </c>
      <c r="P238" s="49">
        <f ca="1">KLL_II_2020!CA_opex_to_recover+(O240*(1+KLL_II_2020!int_rate_cf_costs))</f>
        <v>157.97492664487498</v>
      </c>
      <c r="Q238" s="49">
        <f ca="1">KLL_II_2020!CA_opex_to_recover+(P240*(1+KLL_II_2020!int_rate_cf_costs))</f>
        <v>97.226689084874977</v>
      </c>
      <c r="R238" s="49">
        <f ca="1">KLL_II_2020!CA_opex_to_recover+(Q240*(1+KLL_II_2020!int_rate_cf_costs))</f>
        <v>64.900000000000006</v>
      </c>
      <c r="S238" s="49">
        <f ca="1">KLL_II_2020!CA_opex_to_recover+(R240*(1+KLL_II_2020!int_rate_cf_costs))</f>
        <v>61.2</v>
      </c>
      <c r="T238" s="49">
        <f ca="1">KLL_II_2020!CA_opex_to_recover+(S240*(1+KLL_II_2020!int_rate_cf_costs))</f>
        <v>60.6</v>
      </c>
      <c r="U238" s="49">
        <f ca="1">KLL_II_2020!CA_opex_to_recover+(T240*(1+KLL_II_2020!int_rate_cf_costs))</f>
        <v>61.2</v>
      </c>
      <c r="V238" s="49">
        <f ca="1">KLL_II_2020!CA_opex_to_recover+(U240*(1+KLL_II_2020!int_rate_cf_costs))</f>
        <v>61.799759999999999</v>
      </c>
      <c r="W238" s="49">
        <f ca="1">KLL_II_2020!CA_opex_to_recover+(V240*(1+KLL_II_2020!int_rate_cf_costs))</f>
        <v>62.399030399999994</v>
      </c>
      <c r="X238" s="49">
        <f ca="1">KLL_II_2020!CA_opex_to_recover+(W240*(1+KLL_II_2020!int_rate_cf_costs))</f>
        <v>62.997551712000003</v>
      </c>
      <c r="Y238" s="49">
        <f ca="1">KLL_II_2020!CA_opex_to_recover+(X240*(1+KLL_II_2020!int_rate_cf_costs))</f>
        <v>0</v>
      </c>
      <c r="Z238" s="49">
        <f ca="1">KLL_II_2020!CA_opex_to_recover+(Y240*(1+KLL_II_2020!int_rate_cf_costs))</f>
        <v>0</v>
      </c>
      <c r="AA238" s="49">
        <f ca="1">KLL_II_2020!CA_opex_to_recover+(Z240*(1+KLL_II_2020!int_rate_cf_costs))</f>
        <v>0</v>
      </c>
      <c r="AB238" s="49">
        <f ca="1">KLL_II_2020!CA_opex_to_recover+(AA240*(1+KLL_II_2020!int_rate_cf_costs))</f>
        <v>0</v>
      </c>
      <c r="AC238" s="49">
        <f ca="1">KLL_II_2020!CA_opex_to_recover+(AB240*(1+KLL_II_2020!int_rate_cf_costs))</f>
        <v>0</v>
      </c>
      <c r="AD238" s="49">
        <f ca="1">KLL_II_2020!CA_opex_to_recover+(AC240*(1+KLL_II_2020!int_rate_cf_costs))</f>
        <v>0</v>
      </c>
      <c r="AE238" s="49">
        <f ca="1">KLL_II_2020!CA_opex_to_recover+(AD240*(1+KLL_II_2020!int_rate_cf_costs))</f>
        <v>0</v>
      </c>
      <c r="AF238" s="49">
        <f ca="1">KLL_II_2020!CA_opex_to_recover+(AE240*(1+KLL_II_2020!int_rate_cf_costs))</f>
        <v>0</v>
      </c>
      <c r="AG238" s="49">
        <f ca="1">KLL_II_2020!CA_opex_to_recover+(AF240*(1+KLL_II_2020!int_rate_cf_costs))</f>
        <v>0</v>
      </c>
      <c r="AH238" s="49">
        <f ca="1">KLL_II_2020!CA_opex_to_recover+(AG240*(1+KLL_II_2020!int_rate_cf_costs))</f>
        <v>0</v>
      </c>
      <c r="AI238" s="49">
        <f ca="1">KLL_II_2020!CA_opex_to_recover+(AH240*(1+KLL_II_2020!int_rate_cf_costs))</f>
        <v>0</v>
      </c>
      <c r="AJ238" s="49">
        <f ca="1">KLL_II_2020!CA_opex_to_recover+(AI240*(1+KLL_II_2020!int_rate_cf_costs))</f>
        <v>0</v>
      </c>
      <c r="AK238" s="49">
        <f ca="1">KLL_II_2020!CA_opex_to_recover+(AJ240*(1+KLL_II_2020!int_rate_cf_costs))</f>
        <v>0</v>
      </c>
      <c r="AL238" s="49">
        <f ca="1">KLL_II_2020!CA_opex_to_recover+(AK240*(1+KLL_II_2020!int_rate_cf_costs))</f>
        <v>0</v>
      </c>
      <c r="AM238" s="49">
        <f ca="1">KLL_II_2020!CA_opex_to_recover+(AL240*(1+KLL_II_2020!int_rate_cf_costs))</f>
        <v>0</v>
      </c>
      <c r="AN238" s="49">
        <f ca="1">KLL_II_2020!CA_opex_to_recover+(AM240*(1+KLL_II_2020!int_rate_cf_costs))</f>
        <v>0</v>
      </c>
      <c r="AO238" s="49">
        <f ca="1">KLL_II_2020!CA_opex_to_recover+(AN240*(1+KLL_II_2020!int_rate_cf_costs))</f>
        <v>0</v>
      </c>
      <c r="AP238" s="49">
        <f ca="1">KLL_II_2020!CA_opex_to_recover+(AO240*(1+KLL_II_2020!int_rate_cf_costs))</f>
        <v>0</v>
      </c>
      <c r="AQ238" s="49">
        <f ca="1">KLL_II_2020!CA_opex_to_recover+(AP240*(1+KLL_II_2020!int_rate_cf_costs))</f>
        <v>0</v>
      </c>
      <c r="AR238" s="49">
        <f ca="1">KLL_II_2020!CA_opex_to_recover+(AQ240*(1+KLL_II_2020!int_rate_cf_costs))</f>
        <v>0</v>
      </c>
      <c r="AS238" s="49">
        <f ca="1">KLL_II_2020!CA_opex_to_recover+(AR240*(1+KLL_II_2020!int_rate_cf_costs))</f>
        <v>0</v>
      </c>
      <c r="AT238" s="49">
        <f ca="1">KLL_II_2020!CA_opex_to_recover+(AS240*(1+KLL_II_2020!int_rate_cf_costs))</f>
        <v>0</v>
      </c>
      <c r="AU238" s="49">
        <f ca="1">KLL_II_2020!CA_opex_to_recover+(AT240*(1+KLL_II_2020!int_rate_cf_costs))</f>
        <v>0</v>
      </c>
      <c r="AV238" s="49">
        <f ca="1">KLL_II_2020!CA_opex_to_recover+(AU240*(1+KLL_II_2020!int_rate_cf_costs))</f>
        <v>0</v>
      </c>
      <c r="AW238" s="49">
        <f ca="1">KLL_II_2020!CA_opex_to_recover+(AV240*(1+KLL_II_2020!int_rate_cf_costs))</f>
        <v>0</v>
      </c>
      <c r="AX238" s="49">
        <f ca="1">KLL_II_2020!CA_opex_to_recover+(AW240*(1+KLL_II_2020!int_rate_cf_costs))</f>
        <v>0</v>
      </c>
      <c r="AY238" s="49">
        <f ca="1">KLL_II_2020!CA_opex_to_recover+(AX240*(1+KLL_II_2020!int_rate_cf_costs))</f>
        <v>0</v>
      </c>
      <c r="AZ238" s="49">
        <f ca="1">KLL_II_2020!CA_opex_to_recover+(AY240*(1+KLL_II_2020!int_rate_cf_costs))</f>
        <v>0</v>
      </c>
      <c r="BA238" s="49">
        <f ca="1">KLL_II_2020!CA_opex_to_recover+(AZ240*(1+KLL_II_2020!int_rate_cf_costs))</f>
        <v>0</v>
      </c>
      <c r="BB238" s="49">
        <f ca="1">KLL_II_2020!CA_opex_to_recover+(BA240*(1+KLL_II_2020!int_rate_cf_costs))</f>
        <v>0</v>
      </c>
      <c r="BC238" s="49">
        <f ca="1">KLL_II_2020!CA_opex_to_recover+(BB240*(1+KLL_II_2020!int_rate_cf_costs))</f>
        <v>0</v>
      </c>
      <c r="BD238" s="49">
        <f ca="1">KLL_II_2020!CA_opex_to_recover+(BC240*(1+KLL_II_2020!int_rate_cf_costs))</f>
        <v>0</v>
      </c>
      <c r="BE238" s="49">
        <f ca="1">KLL_II_2020!CA_opex_to_recover+(BD240*(1+KLL_II_2020!int_rate_cf_costs))</f>
        <v>0</v>
      </c>
      <c r="BF238" s="49">
        <f ca="1">KLL_II_2020!CA_opex_to_recover+(BE240*(1+KLL_II_2020!int_rate_cf_costs))</f>
        <v>0</v>
      </c>
      <c r="BG238" s="49">
        <f ca="1">KLL_II_2020!CA_opex_to_recover+(BF240*(1+KLL_II_2020!int_rate_cf_costs))</f>
        <v>0</v>
      </c>
      <c r="BH238" s="49">
        <f ca="1">KLL_II_2020!CA_opex_to_recover+(BG240*(1+KLL_II_2020!int_rate_cf_costs))</f>
        <v>0</v>
      </c>
      <c r="BI238" s="49">
        <f ca="1">KLL_II_2020!CA_opex_to_recover+(BH240*(1+KLL_II_2020!int_rate_cf_costs))</f>
        <v>0</v>
      </c>
      <c r="BJ238" s="49">
        <f ca="1">KLL_II_2020!CA_opex_to_recover+(BI240*(1+KLL_II_2020!int_rate_cf_costs))</f>
        <v>0</v>
      </c>
      <c r="BK238" s="49">
        <f ca="1">KLL_II_2020!CA_opex_to_recover+(BJ240*(1+KLL_II_2020!int_rate_cf_costs))</f>
        <v>0</v>
      </c>
      <c r="BL238" s="49">
        <f ca="1">KLL_II_2020!CA_opex_to_recover+(BK240*(1+KLL_II_2020!int_rate_cf_costs))</f>
        <v>0</v>
      </c>
      <c r="BM238" s="49">
        <f ca="1">KLL_II_2020!CA_opex_to_recover+(BL240*(1+KLL_II_2020!int_rate_cf_costs))</f>
        <v>0</v>
      </c>
      <c r="BN238" s="49">
        <f ca="1">KLL_II_2020!CA_opex_to_recover+(BM240*(1+KLL_II_2020!int_rate_cf_costs))</f>
        <v>0</v>
      </c>
      <c r="BO238" s="49">
        <f ca="1">KLL_II_2020!CA_opex_to_recover+(BN240*(1+KLL_II_2020!int_rate_cf_costs))</f>
        <v>0</v>
      </c>
      <c r="BP238" s="49">
        <f ca="1">KLL_II_2020!CA_opex_to_recover+(BO240*(1+KLL_II_2020!int_rate_cf_costs))</f>
        <v>0</v>
      </c>
      <c r="BQ238" s="49">
        <f ca="1">KLL_II_2020!CA_opex_to_recover+(BP240*(1+KLL_II_2020!int_rate_cf_costs))</f>
        <v>0</v>
      </c>
      <c r="BR238" s="49">
        <f ca="1">KLL_II_2020!CA_opex_to_recover+(BQ240*(1+KLL_II_2020!int_rate_cf_costs))</f>
        <v>0</v>
      </c>
      <c r="BS238" s="49">
        <f ca="1">KLL_II_2020!CA_opex_to_recover+(BR240*(1+KLL_II_2020!int_rate_cf_costs))</f>
        <v>0</v>
      </c>
    </row>
    <row r="239" spans="4:71" outlineLevel="1" x14ac:dyDescent="0.2">
      <c r="E239" t="str">
        <f>HM_ZD_Moho!E263</f>
        <v>Opex récupérés</v>
      </c>
      <c r="H239" s="56" t="b">
        <f ca="1">ROUND(I239,2)=-ROUND(I238,2)</f>
        <v>1</v>
      </c>
      <c r="I239" s="30">
        <f t="shared" ca="1" si="54"/>
        <v>-972.08134211200002</v>
      </c>
      <c r="J239" s="26" t="s">
        <v>148</v>
      </c>
      <c r="L239" s="49">
        <f ca="1">-MIN(L238,L237)</f>
        <v>-64.376000000000005</v>
      </c>
      <c r="M239" s="49">
        <f t="shared" ref="M239:BS239" ca="1" si="55">-MIN(M238,M237)</f>
        <v>-83.224000000000004</v>
      </c>
      <c r="N239" s="49">
        <f t="shared" ca="1" si="55"/>
        <v>-66.552000000000007</v>
      </c>
      <c r="O239" s="49">
        <f t="shared" ca="1" si="55"/>
        <v>-117.75807335512498</v>
      </c>
      <c r="P239" s="49">
        <f t="shared" ca="1" si="55"/>
        <v>-107.84823756</v>
      </c>
      <c r="Q239" s="49">
        <f t="shared" ca="1" si="55"/>
        <v>-97.226689084874977</v>
      </c>
      <c r="R239" s="49">
        <f t="shared" ca="1" si="55"/>
        <v>-64.900000000000006</v>
      </c>
      <c r="S239" s="49">
        <f t="shared" ca="1" si="55"/>
        <v>-61.2</v>
      </c>
      <c r="T239" s="49">
        <f t="shared" ca="1" si="55"/>
        <v>-60.6</v>
      </c>
      <c r="U239" s="49">
        <f t="shared" ca="1" si="55"/>
        <v>-61.2</v>
      </c>
      <c r="V239" s="49">
        <f t="shared" ca="1" si="55"/>
        <v>-61.799759999999999</v>
      </c>
      <c r="W239" s="49">
        <f t="shared" ca="1" si="55"/>
        <v>-62.399030399999994</v>
      </c>
      <c r="X239" s="49">
        <f t="shared" ca="1" si="55"/>
        <v>-62.997551712000003</v>
      </c>
      <c r="Y239" s="49">
        <f t="shared" ca="1" si="55"/>
        <v>0</v>
      </c>
      <c r="Z239" s="49">
        <f t="shared" ca="1" si="55"/>
        <v>0</v>
      </c>
      <c r="AA239" s="49">
        <f t="shared" ca="1" si="55"/>
        <v>0</v>
      </c>
      <c r="AB239" s="49">
        <f t="shared" ca="1" si="55"/>
        <v>0</v>
      </c>
      <c r="AC239" s="49">
        <f t="shared" ca="1" si="55"/>
        <v>0</v>
      </c>
      <c r="AD239" s="49">
        <f t="shared" ca="1" si="55"/>
        <v>0</v>
      </c>
      <c r="AE239" s="49">
        <f t="shared" ca="1" si="55"/>
        <v>0</v>
      </c>
      <c r="AF239" s="49">
        <f t="shared" ca="1" si="55"/>
        <v>0</v>
      </c>
      <c r="AG239" s="49">
        <f t="shared" ca="1" si="55"/>
        <v>0</v>
      </c>
      <c r="AH239" s="49">
        <f t="shared" ca="1" si="55"/>
        <v>0</v>
      </c>
      <c r="AI239" s="49">
        <f t="shared" ca="1" si="55"/>
        <v>0</v>
      </c>
      <c r="AJ239" s="49">
        <f t="shared" ca="1" si="55"/>
        <v>0</v>
      </c>
      <c r="AK239" s="49">
        <f t="shared" ca="1" si="55"/>
        <v>0</v>
      </c>
      <c r="AL239" s="49">
        <f t="shared" ca="1" si="55"/>
        <v>0</v>
      </c>
      <c r="AM239" s="49">
        <f t="shared" ca="1" si="55"/>
        <v>0</v>
      </c>
      <c r="AN239" s="49">
        <f t="shared" ca="1" si="55"/>
        <v>0</v>
      </c>
      <c r="AO239" s="49">
        <f t="shared" ca="1" si="55"/>
        <v>0</v>
      </c>
      <c r="AP239" s="49">
        <f t="shared" ca="1" si="55"/>
        <v>0</v>
      </c>
      <c r="AQ239" s="49">
        <f t="shared" ca="1" si="55"/>
        <v>0</v>
      </c>
      <c r="AR239" s="49">
        <f t="shared" ca="1" si="55"/>
        <v>0</v>
      </c>
      <c r="AS239" s="49">
        <f t="shared" ca="1" si="55"/>
        <v>0</v>
      </c>
      <c r="AT239" s="49">
        <f t="shared" ca="1" si="55"/>
        <v>0</v>
      </c>
      <c r="AU239" s="49">
        <f t="shared" ca="1" si="55"/>
        <v>0</v>
      </c>
      <c r="AV239" s="49">
        <f t="shared" ca="1" si="55"/>
        <v>0</v>
      </c>
      <c r="AW239" s="49">
        <f t="shared" ca="1" si="55"/>
        <v>0</v>
      </c>
      <c r="AX239" s="49">
        <f t="shared" ca="1" si="55"/>
        <v>0</v>
      </c>
      <c r="AY239" s="49">
        <f t="shared" ca="1" si="55"/>
        <v>0</v>
      </c>
      <c r="AZ239" s="49">
        <f t="shared" ca="1" si="55"/>
        <v>0</v>
      </c>
      <c r="BA239" s="49">
        <f t="shared" ca="1" si="55"/>
        <v>0</v>
      </c>
      <c r="BB239" s="49">
        <f t="shared" ca="1" si="55"/>
        <v>0</v>
      </c>
      <c r="BC239" s="49">
        <f t="shared" ca="1" si="55"/>
        <v>0</v>
      </c>
      <c r="BD239" s="49">
        <f t="shared" ca="1" si="55"/>
        <v>0</v>
      </c>
      <c r="BE239" s="49">
        <f t="shared" ca="1" si="55"/>
        <v>0</v>
      </c>
      <c r="BF239" s="49">
        <f t="shared" ca="1" si="55"/>
        <v>0</v>
      </c>
      <c r="BG239" s="49">
        <f t="shared" ca="1" si="55"/>
        <v>0</v>
      </c>
      <c r="BH239" s="49">
        <f t="shared" ca="1" si="55"/>
        <v>0</v>
      </c>
      <c r="BI239" s="49">
        <f t="shared" ca="1" si="55"/>
        <v>0</v>
      </c>
      <c r="BJ239" s="49">
        <f t="shared" ca="1" si="55"/>
        <v>0</v>
      </c>
      <c r="BK239" s="49">
        <f t="shared" ca="1" si="55"/>
        <v>0</v>
      </c>
      <c r="BL239" s="49">
        <f t="shared" ca="1" si="55"/>
        <v>0</v>
      </c>
      <c r="BM239" s="49">
        <f t="shared" ca="1" si="55"/>
        <v>0</v>
      </c>
      <c r="BN239" s="49">
        <f t="shared" ca="1" si="55"/>
        <v>0</v>
      </c>
      <c r="BO239" s="49">
        <f t="shared" ca="1" si="55"/>
        <v>0</v>
      </c>
      <c r="BP239" s="49">
        <f t="shared" ca="1" si="55"/>
        <v>0</v>
      </c>
      <c r="BQ239" s="49">
        <f t="shared" ca="1" si="55"/>
        <v>0</v>
      </c>
      <c r="BR239" s="49">
        <f t="shared" ca="1" si="55"/>
        <v>0</v>
      </c>
      <c r="BS239" s="49">
        <f t="shared" ca="1" si="55"/>
        <v>0</v>
      </c>
    </row>
    <row r="240" spans="4:71" outlineLevel="1" x14ac:dyDescent="0.2">
      <c r="E240" t="str">
        <f>HM_ZD_Moho!E264</f>
        <v xml:space="preserve">Sous/(Sur)récupération </v>
      </c>
      <c r="J240" s="26"/>
      <c r="L240" s="49">
        <f ca="1">L238+L239</f>
        <v>0</v>
      </c>
      <c r="M240" s="49">
        <f t="shared" ref="M240:BS240" ca="1" si="56">M238+M239</f>
        <v>0</v>
      </c>
      <c r="N240" s="49">
        <f t="shared" ca="1" si="56"/>
        <v>0</v>
      </c>
      <c r="O240" s="49">
        <f t="shared" ca="1" si="56"/>
        <v>60.588926644875002</v>
      </c>
      <c r="P240" s="49">
        <f t="shared" ca="1" si="56"/>
        <v>50.126689084874982</v>
      </c>
      <c r="Q240" s="49">
        <f t="shared" ca="1" si="56"/>
        <v>0</v>
      </c>
      <c r="R240" s="49">
        <f t="shared" ca="1" si="56"/>
        <v>0</v>
      </c>
      <c r="S240" s="49">
        <f t="shared" ca="1" si="56"/>
        <v>0</v>
      </c>
      <c r="T240" s="49">
        <f t="shared" ca="1" si="56"/>
        <v>0</v>
      </c>
      <c r="U240" s="49">
        <f t="shared" ca="1" si="56"/>
        <v>0</v>
      </c>
      <c r="V240" s="49">
        <f t="shared" ca="1" si="56"/>
        <v>0</v>
      </c>
      <c r="W240" s="49">
        <f t="shared" ca="1" si="56"/>
        <v>0</v>
      </c>
      <c r="X240" s="49">
        <f t="shared" ca="1" si="56"/>
        <v>0</v>
      </c>
      <c r="Y240" s="49">
        <f t="shared" ca="1" si="56"/>
        <v>0</v>
      </c>
      <c r="Z240" s="49">
        <f t="shared" ca="1" si="56"/>
        <v>0</v>
      </c>
      <c r="AA240" s="49">
        <f t="shared" ca="1" si="56"/>
        <v>0</v>
      </c>
      <c r="AB240" s="49">
        <f t="shared" ca="1" si="56"/>
        <v>0</v>
      </c>
      <c r="AC240" s="49">
        <f t="shared" ca="1" si="56"/>
        <v>0</v>
      </c>
      <c r="AD240" s="49">
        <f t="shared" ca="1" si="56"/>
        <v>0</v>
      </c>
      <c r="AE240" s="49">
        <f t="shared" ca="1" si="56"/>
        <v>0</v>
      </c>
      <c r="AF240" s="49">
        <f t="shared" ca="1" si="56"/>
        <v>0</v>
      </c>
      <c r="AG240" s="49">
        <f t="shared" ca="1" si="56"/>
        <v>0</v>
      </c>
      <c r="AH240" s="49">
        <f t="shared" ca="1" si="56"/>
        <v>0</v>
      </c>
      <c r="AI240" s="49">
        <f t="shared" ca="1" si="56"/>
        <v>0</v>
      </c>
      <c r="AJ240" s="49">
        <f t="shared" ca="1" si="56"/>
        <v>0</v>
      </c>
      <c r="AK240" s="49">
        <f t="shared" ca="1" si="56"/>
        <v>0</v>
      </c>
      <c r="AL240" s="49">
        <f t="shared" ca="1" si="56"/>
        <v>0</v>
      </c>
      <c r="AM240" s="49">
        <f t="shared" ca="1" si="56"/>
        <v>0</v>
      </c>
      <c r="AN240" s="49">
        <f t="shared" ca="1" si="56"/>
        <v>0</v>
      </c>
      <c r="AO240" s="49">
        <f t="shared" ca="1" si="56"/>
        <v>0</v>
      </c>
      <c r="AP240" s="49">
        <f t="shared" ca="1" si="56"/>
        <v>0</v>
      </c>
      <c r="AQ240" s="49">
        <f t="shared" ca="1" si="56"/>
        <v>0</v>
      </c>
      <c r="AR240" s="49">
        <f t="shared" ca="1" si="56"/>
        <v>0</v>
      </c>
      <c r="AS240" s="49">
        <f t="shared" ca="1" si="56"/>
        <v>0</v>
      </c>
      <c r="AT240" s="49">
        <f t="shared" ca="1" si="56"/>
        <v>0</v>
      </c>
      <c r="AU240" s="49">
        <f t="shared" ca="1" si="56"/>
        <v>0</v>
      </c>
      <c r="AV240" s="49">
        <f t="shared" ca="1" si="56"/>
        <v>0</v>
      </c>
      <c r="AW240" s="49">
        <f t="shared" ca="1" si="56"/>
        <v>0</v>
      </c>
      <c r="AX240" s="49">
        <f t="shared" ca="1" si="56"/>
        <v>0</v>
      </c>
      <c r="AY240" s="49">
        <f t="shared" ca="1" si="56"/>
        <v>0</v>
      </c>
      <c r="AZ240" s="49">
        <f t="shared" ca="1" si="56"/>
        <v>0</v>
      </c>
      <c r="BA240" s="49">
        <f t="shared" ca="1" si="56"/>
        <v>0</v>
      </c>
      <c r="BB240" s="49">
        <f t="shared" ca="1" si="56"/>
        <v>0</v>
      </c>
      <c r="BC240" s="49">
        <f t="shared" ca="1" si="56"/>
        <v>0</v>
      </c>
      <c r="BD240" s="49">
        <f t="shared" ca="1" si="56"/>
        <v>0</v>
      </c>
      <c r="BE240" s="49">
        <f t="shared" ca="1" si="56"/>
        <v>0</v>
      </c>
      <c r="BF240" s="49">
        <f t="shared" ca="1" si="56"/>
        <v>0</v>
      </c>
      <c r="BG240" s="49">
        <f t="shared" ca="1" si="56"/>
        <v>0</v>
      </c>
      <c r="BH240" s="49">
        <f t="shared" ca="1" si="56"/>
        <v>0</v>
      </c>
      <c r="BI240" s="49">
        <f t="shared" ca="1" si="56"/>
        <v>0</v>
      </c>
      <c r="BJ240" s="49">
        <f t="shared" ca="1" si="56"/>
        <v>0</v>
      </c>
      <c r="BK240" s="49">
        <f t="shared" ca="1" si="56"/>
        <v>0</v>
      </c>
      <c r="BL240" s="49">
        <f t="shared" ca="1" si="56"/>
        <v>0</v>
      </c>
      <c r="BM240" s="49">
        <f t="shared" ca="1" si="56"/>
        <v>0</v>
      </c>
      <c r="BN240" s="49">
        <f t="shared" ca="1" si="56"/>
        <v>0</v>
      </c>
      <c r="BO240" s="49">
        <f t="shared" ca="1" si="56"/>
        <v>0</v>
      </c>
      <c r="BP240" s="49">
        <f t="shared" ca="1" si="56"/>
        <v>0</v>
      </c>
      <c r="BQ240" s="49">
        <f t="shared" ca="1" si="56"/>
        <v>0</v>
      </c>
      <c r="BR240" s="49">
        <f t="shared" ca="1" si="56"/>
        <v>0</v>
      </c>
      <c r="BS240" s="49">
        <f t="shared" ca="1" si="56"/>
        <v>0</v>
      </c>
    </row>
    <row r="241" spans="4:71" outlineLevel="1" x14ac:dyDescent="0.2">
      <c r="J241" s="26"/>
      <c r="L241" s="55"/>
      <c r="M241" s="55"/>
      <c r="N241" s="55"/>
      <c r="O241" s="55"/>
      <c r="P241" s="55"/>
      <c r="Q241" s="55"/>
      <c r="R241" s="55"/>
      <c r="S241" s="55"/>
      <c r="T241" s="55"/>
      <c r="U241" s="55"/>
      <c r="V241" s="55"/>
      <c r="W241" s="55"/>
      <c r="X241" s="55"/>
      <c r="Y241" s="55"/>
      <c r="Z241" s="55"/>
      <c r="AA241" s="55"/>
      <c r="AB241" s="55"/>
      <c r="AC241" s="55"/>
      <c r="AD241" s="55"/>
      <c r="AE241" s="55"/>
      <c r="AF241" s="55"/>
      <c r="AG241" s="55"/>
      <c r="AH241" s="55"/>
      <c r="AI241" s="55"/>
      <c r="AJ241" s="55"/>
      <c r="AK241" s="55"/>
      <c r="AL241" s="55"/>
      <c r="AM241" s="55"/>
      <c r="AN241" s="55"/>
      <c r="AO241" s="55"/>
      <c r="AP241" s="55"/>
      <c r="AQ241" s="55"/>
      <c r="AR241" s="55"/>
      <c r="AS241" s="55"/>
      <c r="AT241" s="55"/>
      <c r="AU241" s="55"/>
      <c r="AV241" s="55"/>
      <c r="AW241" s="55"/>
      <c r="AX241" s="55"/>
      <c r="AY241" s="55"/>
      <c r="AZ241" s="55"/>
      <c r="BA241" s="55"/>
      <c r="BB241" s="55"/>
      <c r="BC241" s="55"/>
      <c r="BD241" s="55"/>
      <c r="BE241" s="55"/>
      <c r="BF241" s="55"/>
      <c r="BG241" s="55"/>
      <c r="BH241" s="55"/>
      <c r="BI241" s="55"/>
      <c r="BJ241" s="55"/>
      <c r="BK241" s="55"/>
      <c r="BL241" s="55"/>
      <c r="BM241" s="55"/>
      <c r="BN241" s="55"/>
      <c r="BO241" s="55"/>
      <c r="BP241" s="55"/>
      <c r="BQ241" s="55"/>
      <c r="BR241" s="55"/>
      <c r="BS241" s="55"/>
    </row>
    <row r="242" spans="4:71" outlineLevel="1" x14ac:dyDescent="0.2">
      <c r="D242" s="51" t="str">
        <f>HM_ZD_Moho!D266</f>
        <v>Coûts PID</v>
      </c>
      <c r="J242" s="26"/>
      <c r="L242" s="55"/>
      <c r="M242" s="55"/>
      <c r="N242" s="55"/>
      <c r="O242" s="55"/>
      <c r="P242" s="55"/>
      <c r="Q242" s="55"/>
      <c r="R242" s="55"/>
      <c r="S242" s="55"/>
      <c r="T242" s="55"/>
      <c r="U242" s="55"/>
      <c r="V242" s="55"/>
      <c r="W242" s="55"/>
      <c r="X242" s="55"/>
      <c r="Y242" s="55"/>
      <c r="Z242" s="55"/>
      <c r="AA242" s="55"/>
      <c r="AB242" s="55"/>
      <c r="AC242" s="55"/>
      <c r="AD242" s="55"/>
      <c r="AE242" s="55"/>
      <c r="AF242" s="55"/>
      <c r="AG242" s="55"/>
      <c r="AH242" s="55"/>
      <c r="AI242" s="55"/>
      <c r="AJ242" s="55"/>
      <c r="AK242" s="55"/>
      <c r="AL242" s="55"/>
      <c r="AM242" s="55"/>
      <c r="AN242" s="55"/>
      <c r="AO242" s="55"/>
      <c r="AP242" s="55"/>
      <c r="AQ242" s="55"/>
      <c r="AR242" s="55"/>
      <c r="AS242" s="55"/>
      <c r="AT242" s="55"/>
      <c r="AU242" s="55"/>
      <c r="AV242" s="55"/>
      <c r="AW242" s="55"/>
      <c r="AX242" s="55"/>
      <c r="AY242" s="55"/>
      <c r="AZ242" s="55"/>
      <c r="BA242" s="55"/>
      <c r="BB242" s="55"/>
      <c r="BC242" s="55"/>
      <c r="BD242" s="55"/>
      <c r="BE242" s="55"/>
      <c r="BF242" s="55"/>
      <c r="BG242" s="55"/>
      <c r="BH242" s="55"/>
      <c r="BI242" s="55"/>
      <c r="BJ242" s="55"/>
      <c r="BK242" s="55"/>
      <c r="BL242" s="55"/>
      <c r="BM242" s="55"/>
      <c r="BN242" s="55"/>
      <c r="BO242" s="55"/>
      <c r="BP242" s="55"/>
      <c r="BQ242" s="55"/>
      <c r="BR242" s="55"/>
      <c r="BS242" s="55"/>
    </row>
    <row r="243" spans="4:71" outlineLevel="1" x14ac:dyDescent="0.2">
      <c r="E243" t="str">
        <f>HM_ZD_Moho!E267</f>
        <v>Revenus disponibles pour la récupération</v>
      </c>
      <c r="I243" s="30">
        <f t="shared" ref="I243:I245" ca="1" si="57">SUM($L243:$BS243)</f>
        <v>512.01709120197802</v>
      </c>
      <c r="J243" s="26" t="s">
        <v>148</v>
      </c>
      <c r="L243" s="49">
        <f ca="1">IF(AND((KLL_II_2020!CA_cost_stop+L239)&lt;K244,KLL_II_2020!CA_gco&gt;0,KLL_II_2020!CA_gco&gt;KLL_II_2020!CA_cost_stop),KLL_II_2020!CA_gco+L239,KLL_II_2020!CA_cost_stop+L239)</f>
        <v>22.163122832499994</v>
      </c>
      <c r="M243" s="49">
        <f ca="1">IF(AND((KLL_II_2020!CA_cost_stop+M239)&lt;L244,KLL_II_2020!CA_gco&gt;0,KLL_II_2020!CA_gco&gt;KLL_II_2020!CA_cost_stop),KLL_II_2020!CA_gco+M239,KLL_II_2020!CA_cost_stop+M239)</f>
        <v>24.642729983000009</v>
      </c>
      <c r="N243" s="49">
        <f ca="1">IF(AND((KLL_II_2020!CA_cost_stop+N239)&lt;M244,KLL_II_2020!CA_gco&gt;0,KLL_II_2020!CA_gco&gt;KLL_II_2020!CA_cost_stop),KLL_II_2020!CA_gco+N239,KLL_II_2020!CA_cost_stop+N239)</f>
        <v>45.903877409624997</v>
      </c>
      <c r="O243" s="49">
        <f ca="1">IF(AND((KLL_II_2020!CA_cost_stop+O239)&lt;N244,KLL_II_2020!CA_gco&gt;0,KLL_II_2020!CA_gco&gt;KLL_II_2020!CA_cost_stop),KLL_II_2020!CA_gco+O239,KLL_II_2020!CA_cost_stop+O239)</f>
        <v>0</v>
      </c>
      <c r="P243" s="49">
        <f ca="1">IF(AND((KLL_II_2020!CA_cost_stop+P239)&lt;O244,KLL_II_2020!CA_gco&gt;0,KLL_II_2020!CA_gco&gt;KLL_II_2020!CA_cost_stop),KLL_II_2020!CA_gco+P239,KLL_II_2020!CA_cost_stop+P239)</f>
        <v>0</v>
      </c>
      <c r="Q243" s="49">
        <f ca="1">IF(AND((KLL_II_2020!CA_cost_stop+Q239)&lt;P244,KLL_II_2020!CA_gco&gt;0,KLL_II_2020!CA_gco&gt;KLL_II_2020!CA_cost_stop),KLL_II_2020!CA_gco+Q239,KLL_II_2020!CA_cost_stop+Q239)</f>
        <v>21.492838119625048</v>
      </c>
      <c r="R243" s="49">
        <f ca="1">IF(AND((KLL_II_2020!CA_cost_stop+R239)&lt;Q244,KLL_II_2020!CA_gco&gt;0,KLL_II_2020!CA_gco&gt;KLL_II_2020!CA_cost_stop),KLL_II_2020!CA_gco+R239,KLL_II_2020!CA_cost_stop+R239)</f>
        <v>60.348268795624989</v>
      </c>
      <c r="S243" s="49">
        <f ca="1">IF(AND((KLL_II_2020!CA_cost_stop+S239)&lt;R244,KLL_II_2020!CA_gco&gt;0,KLL_II_2020!CA_gco&gt;KLL_II_2020!CA_cost_stop),KLL_II_2020!CA_gco+S239,KLL_II_2020!CA_cost_stop+S239)</f>
        <v>51.254023500000002</v>
      </c>
      <c r="T243" s="49">
        <f ca="1">IF(AND((KLL_II_2020!CA_cost_stop+T239)&lt;S244,KLL_II_2020!CA_gco&gt;0,KLL_II_2020!CA_gco&gt;KLL_II_2020!CA_cost_stop),KLL_II_2020!CA_gco+T239,KLL_II_2020!CA_cost_stop+T239)</f>
        <v>71.324173500000001</v>
      </c>
      <c r="U243" s="49">
        <f ca="1">IF(AND((KLL_II_2020!CA_cost_stop+U239)&lt;T244,KLL_II_2020!CA_gco&gt;0,KLL_II_2020!CA_gco&gt;KLL_II_2020!CA_cost_stop),KLL_II_2020!CA_gco+U239,KLL_II_2020!CA_cost_stop+U239)</f>
        <v>63.943270982099961</v>
      </c>
      <c r="V243" s="49">
        <f ca="1">IF(AND((KLL_II_2020!CA_cost_stop+V239)&lt;U244,KLL_II_2020!CA_gco&gt;0,KLL_II_2020!CA_gco&gt;KLL_II_2020!CA_cost_stop),KLL_II_2020!CA_gco+V239,KLL_II_2020!CA_cost_stop+V239)</f>
        <v>56.911146853620018</v>
      </c>
      <c r="W243" s="49">
        <f ca="1">IF(AND((KLL_II_2020!CA_cost_stop+W239)&lt;V244,KLL_II_2020!CA_gco&gt;0,KLL_II_2020!CA_gco&gt;KLL_II_2020!CA_cost_stop),KLL_II_2020!CA_gco+W239,KLL_II_2020!CA_cost_stop+W239)</f>
        <v>50.210135841343963</v>
      </c>
      <c r="X243" s="49">
        <f ca="1">IF(AND((KLL_II_2020!CA_cost_stop+X239)&lt;W244,KLL_II_2020!CA_gco&gt;0,KLL_II_2020!CA_gco&gt;KLL_II_2020!CA_cost_stop),KLL_II_2020!CA_gco+X239,KLL_II_2020!CA_cost_stop+X239)</f>
        <v>43.823503384538867</v>
      </c>
      <c r="Y243" s="49">
        <f ca="1">IF(AND((KLL_II_2020!CA_cost_stop+Y239)&lt;X244,KLL_II_2020!CA_gco&gt;0,KLL_II_2020!CA_gco&gt;KLL_II_2020!CA_cost_stop),KLL_II_2020!CA_gco+Y239,KLL_II_2020!CA_cost_stop+Y239)</f>
        <v>0</v>
      </c>
      <c r="Z243" s="49">
        <f ca="1">IF(AND((KLL_II_2020!CA_cost_stop+Z239)&lt;Y244,KLL_II_2020!CA_gco&gt;0,KLL_II_2020!CA_gco&gt;KLL_II_2020!CA_cost_stop),KLL_II_2020!CA_gco+Z239,KLL_II_2020!CA_cost_stop+Z239)</f>
        <v>0</v>
      </c>
      <c r="AA243" s="49">
        <f ca="1">IF(AND((KLL_II_2020!CA_cost_stop+AA239)&lt;Z244,KLL_II_2020!CA_gco&gt;0,KLL_II_2020!CA_gco&gt;KLL_II_2020!CA_cost_stop),KLL_II_2020!CA_gco+AA239,KLL_II_2020!CA_cost_stop+AA239)</f>
        <v>0</v>
      </c>
      <c r="AB243" s="49">
        <f ca="1">IF(AND((KLL_II_2020!CA_cost_stop+AB239)&lt;AA244,KLL_II_2020!CA_gco&gt;0,KLL_II_2020!CA_gco&gt;KLL_II_2020!CA_cost_stop),KLL_II_2020!CA_gco+AB239,KLL_II_2020!CA_cost_stop+AB239)</f>
        <v>0</v>
      </c>
      <c r="AC243" s="49">
        <f ca="1">IF(AND((KLL_II_2020!CA_cost_stop+AC239)&lt;AB244,KLL_II_2020!CA_gco&gt;0,KLL_II_2020!CA_gco&gt;KLL_II_2020!CA_cost_stop),KLL_II_2020!CA_gco+AC239,KLL_II_2020!CA_cost_stop+AC239)</f>
        <v>0</v>
      </c>
      <c r="AD243" s="49">
        <f ca="1">IF(AND((KLL_II_2020!CA_cost_stop+AD239)&lt;AC244,KLL_II_2020!CA_gco&gt;0,KLL_II_2020!CA_gco&gt;KLL_II_2020!CA_cost_stop),KLL_II_2020!CA_gco+AD239,KLL_II_2020!CA_cost_stop+AD239)</f>
        <v>0</v>
      </c>
      <c r="AE243" s="49">
        <f ca="1">IF(AND((KLL_II_2020!CA_cost_stop+AE239)&lt;AD244,KLL_II_2020!CA_gco&gt;0,KLL_II_2020!CA_gco&gt;KLL_II_2020!CA_cost_stop),KLL_II_2020!CA_gco+AE239,KLL_II_2020!CA_cost_stop+AE239)</f>
        <v>0</v>
      </c>
      <c r="AF243" s="49">
        <f ca="1">IF(AND((KLL_II_2020!CA_cost_stop+AF239)&lt;AE244,KLL_II_2020!CA_gco&gt;0,KLL_II_2020!CA_gco&gt;KLL_II_2020!CA_cost_stop),KLL_II_2020!CA_gco+AF239,KLL_II_2020!CA_cost_stop+AF239)</f>
        <v>0</v>
      </c>
      <c r="AG243" s="49">
        <f ca="1">IF(AND((KLL_II_2020!CA_cost_stop+AG239)&lt;AF244,KLL_II_2020!CA_gco&gt;0,KLL_II_2020!CA_gco&gt;KLL_II_2020!CA_cost_stop),KLL_II_2020!CA_gco+AG239,KLL_II_2020!CA_cost_stop+AG239)</f>
        <v>0</v>
      </c>
      <c r="AH243" s="49">
        <f ca="1">IF(AND((KLL_II_2020!CA_cost_stop+AH239)&lt;AG244,KLL_II_2020!CA_gco&gt;0,KLL_II_2020!CA_gco&gt;KLL_II_2020!CA_cost_stop),KLL_II_2020!CA_gco+AH239,KLL_II_2020!CA_cost_stop+AH239)</f>
        <v>0</v>
      </c>
      <c r="AI243" s="49">
        <f ca="1">IF(AND((KLL_II_2020!CA_cost_stop+AI239)&lt;AH244,KLL_II_2020!CA_gco&gt;0,KLL_II_2020!CA_gco&gt;KLL_II_2020!CA_cost_stop),KLL_II_2020!CA_gco+AI239,KLL_II_2020!CA_cost_stop+AI239)</f>
        <v>0</v>
      </c>
      <c r="AJ243" s="49">
        <f ca="1">IF(AND((KLL_II_2020!CA_cost_stop+AJ239)&lt;AI244,KLL_II_2020!CA_gco&gt;0,KLL_II_2020!CA_gco&gt;KLL_II_2020!CA_cost_stop),KLL_II_2020!CA_gco+AJ239,KLL_II_2020!CA_cost_stop+AJ239)</f>
        <v>0</v>
      </c>
      <c r="AK243" s="49">
        <f ca="1">IF(AND((KLL_II_2020!CA_cost_stop+AK239)&lt;AJ244,KLL_II_2020!CA_gco&gt;0,KLL_II_2020!CA_gco&gt;KLL_II_2020!CA_cost_stop),KLL_II_2020!CA_gco+AK239,KLL_II_2020!CA_cost_stop+AK239)</f>
        <v>0</v>
      </c>
      <c r="AL243" s="49">
        <f ca="1">IF(AND((KLL_II_2020!CA_cost_stop+AL239)&lt;AK244,KLL_II_2020!CA_gco&gt;0,KLL_II_2020!CA_gco&gt;KLL_II_2020!CA_cost_stop),KLL_II_2020!CA_gco+AL239,KLL_II_2020!CA_cost_stop+AL239)</f>
        <v>0</v>
      </c>
      <c r="AM243" s="49">
        <f ca="1">IF(AND((KLL_II_2020!CA_cost_stop+AM239)&lt;AL244,KLL_II_2020!CA_gco&gt;0,KLL_II_2020!CA_gco&gt;KLL_II_2020!CA_cost_stop),KLL_II_2020!CA_gco+AM239,KLL_II_2020!CA_cost_stop+AM239)</f>
        <v>0</v>
      </c>
      <c r="AN243" s="49">
        <f ca="1">IF(AND((KLL_II_2020!CA_cost_stop+AN239)&lt;AM244,KLL_II_2020!CA_gco&gt;0,KLL_II_2020!CA_gco&gt;KLL_II_2020!CA_cost_stop),KLL_II_2020!CA_gco+AN239,KLL_II_2020!CA_cost_stop+AN239)</f>
        <v>0</v>
      </c>
      <c r="AO243" s="49">
        <f ca="1">IF(AND((KLL_II_2020!CA_cost_stop+AO239)&lt;AN244,KLL_II_2020!CA_gco&gt;0,KLL_II_2020!CA_gco&gt;KLL_II_2020!CA_cost_stop),KLL_II_2020!CA_gco+AO239,KLL_II_2020!CA_cost_stop+AO239)</f>
        <v>0</v>
      </c>
      <c r="AP243" s="49">
        <f ca="1">IF(AND((KLL_II_2020!CA_cost_stop+AP239)&lt;AO244,KLL_II_2020!CA_gco&gt;0,KLL_II_2020!CA_gco&gt;KLL_II_2020!CA_cost_stop),KLL_II_2020!CA_gco+AP239,KLL_II_2020!CA_cost_stop+AP239)</f>
        <v>0</v>
      </c>
      <c r="AQ243" s="49">
        <f ca="1">IF(AND((KLL_II_2020!CA_cost_stop+AQ239)&lt;AP244,KLL_II_2020!CA_gco&gt;0,KLL_II_2020!CA_gco&gt;KLL_II_2020!CA_cost_stop),KLL_II_2020!CA_gco+AQ239,KLL_II_2020!CA_cost_stop+AQ239)</f>
        <v>0</v>
      </c>
      <c r="AR243" s="49">
        <f ca="1">IF(AND((KLL_II_2020!CA_cost_stop+AR239)&lt;AQ244,KLL_II_2020!CA_gco&gt;0,KLL_II_2020!CA_gco&gt;KLL_II_2020!CA_cost_stop),KLL_II_2020!CA_gco+AR239,KLL_II_2020!CA_cost_stop+AR239)</f>
        <v>0</v>
      </c>
      <c r="AS243" s="49">
        <f ca="1">IF(AND((KLL_II_2020!CA_cost_stop+AS239)&lt;AR244,KLL_II_2020!CA_gco&gt;0,KLL_II_2020!CA_gco&gt;KLL_II_2020!CA_cost_stop),KLL_II_2020!CA_gco+AS239,KLL_II_2020!CA_cost_stop+AS239)</f>
        <v>0</v>
      </c>
      <c r="AT243" s="49">
        <f ca="1">IF(AND((KLL_II_2020!CA_cost_stop+AT239)&lt;AS244,KLL_II_2020!CA_gco&gt;0,KLL_II_2020!CA_gco&gt;KLL_II_2020!CA_cost_stop),KLL_II_2020!CA_gco+AT239,KLL_II_2020!CA_cost_stop+AT239)</f>
        <v>0</v>
      </c>
      <c r="AU243" s="49">
        <f ca="1">IF(AND((KLL_II_2020!CA_cost_stop+AU239)&lt;AT244,KLL_II_2020!CA_gco&gt;0,KLL_II_2020!CA_gco&gt;KLL_II_2020!CA_cost_stop),KLL_II_2020!CA_gco+AU239,KLL_II_2020!CA_cost_stop+AU239)</f>
        <v>0</v>
      </c>
      <c r="AV243" s="49">
        <f ca="1">IF(AND((KLL_II_2020!CA_cost_stop+AV239)&lt;AU244,KLL_II_2020!CA_gco&gt;0,KLL_II_2020!CA_gco&gt;KLL_II_2020!CA_cost_stop),KLL_II_2020!CA_gco+AV239,KLL_II_2020!CA_cost_stop+AV239)</f>
        <v>0</v>
      </c>
      <c r="AW243" s="49">
        <f ca="1">IF(AND((KLL_II_2020!CA_cost_stop+AW239)&lt;AV244,KLL_II_2020!CA_gco&gt;0,KLL_II_2020!CA_gco&gt;KLL_II_2020!CA_cost_stop),KLL_II_2020!CA_gco+AW239,KLL_II_2020!CA_cost_stop+AW239)</f>
        <v>0</v>
      </c>
      <c r="AX243" s="49">
        <f ca="1">IF(AND((KLL_II_2020!CA_cost_stop+AX239)&lt;AW244,KLL_II_2020!CA_gco&gt;0,KLL_II_2020!CA_gco&gt;KLL_II_2020!CA_cost_stop),KLL_II_2020!CA_gco+AX239,KLL_II_2020!CA_cost_stop+AX239)</f>
        <v>0</v>
      </c>
      <c r="AY243" s="49">
        <f ca="1">IF(AND((KLL_II_2020!CA_cost_stop+AY239)&lt;AX244,KLL_II_2020!CA_gco&gt;0,KLL_II_2020!CA_gco&gt;KLL_II_2020!CA_cost_stop),KLL_II_2020!CA_gco+AY239,KLL_II_2020!CA_cost_stop+AY239)</f>
        <v>0</v>
      </c>
      <c r="AZ243" s="49">
        <f ca="1">IF(AND((KLL_II_2020!CA_cost_stop+AZ239)&lt;AY244,KLL_II_2020!CA_gco&gt;0,KLL_II_2020!CA_gco&gt;KLL_II_2020!CA_cost_stop),KLL_II_2020!CA_gco+AZ239,KLL_II_2020!CA_cost_stop+AZ239)</f>
        <v>0</v>
      </c>
      <c r="BA243" s="49">
        <f ca="1">IF(AND((KLL_II_2020!CA_cost_stop+BA239)&lt;AZ244,KLL_II_2020!CA_gco&gt;0,KLL_II_2020!CA_gco&gt;KLL_II_2020!CA_cost_stop),KLL_II_2020!CA_gco+BA239,KLL_II_2020!CA_cost_stop+BA239)</f>
        <v>0</v>
      </c>
      <c r="BB243" s="49">
        <f ca="1">IF(AND((KLL_II_2020!CA_cost_stop+BB239)&lt;BA244,KLL_II_2020!CA_gco&gt;0,KLL_II_2020!CA_gco&gt;KLL_II_2020!CA_cost_stop),KLL_II_2020!CA_gco+BB239,KLL_II_2020!CA_cost_stop+BB239)</f>
        <v>0</v>
      </c>
      <c r="BC243" s="49">
        <f ca="1">IF(AND((KLL_II_2020!CA_cost_stop+BC239)&lt;BB244,KLL_II_2020!CA_gco&gt;0,KLL_II_2020!CA_gco&gt;KLL_II_2020!CA_cost_stop),KLL_II_2020!CA_gco+BC239,KLL_II_2020!CA_cost_stop+BC239)</f>
        <v>0</v>
      </c>
      <c r="BD243" s="49">
        <f ca="1">IF(AND((KLL_II_2020!CA_cost_stop+BD239)&lt;BC244,KLL_II_2020!CA_gco&gt;0,KLL_II_2020!CA_gco&gt;KLL_II_2020!CA_cost_stop),KLL_II_2020!CA_gco+BD239,KLL_II_2020!CA_cost_stop+BD239)</f>
        <v>0</v>
      </c>
      <c r="BE243" s="49">
        <f ca="1">IF(AND((KLL_II_2020!CA_cost_stop+BE239)&lt;BD244,KLL_II_2020!CA_gco&gt;0,KLL_II_2020!CA_gco&gt;KLL_II_2020!CA_cost_stop),KLL_II_2020!CA_gco+BE239,KLL_II_2020!CA_cost_stop+BE239)</f>
        <v>0</v>
      </c>
      <c r="BF243" s="49">
        <f ca="1">IF(AND((KLL_II_2020!CA_cost_stop+BF239)&lt;BE244,KLL_II_2020!CA_gco&gt;0,KLL_II_2020!CA_gco&gt;KLL_II_2020!CA_cost_stop),KLL_II_2020!CA_gco+BF239,KLL_II_2020!CA_cost_stop+BF239)</f>
        <v>0</v>
      </c>
      <c r="BG243" s="49">
        <f ca="1">IF(AND((KLL_II_2020!CA_cost_stop+BG239)&lt;BF244,KLL_II_2020!CA_gco&gt;0,KLL_II_2020!CA_gco&gt;KLL_II_2020!CA_cost_stop),KLL_II_2020!CA_gco+BG239,KLL_II_2020!CA_cost_stop+BG239)</f>
        <v>0</v>
      </c>
      <c r="BH243" s="49">
        <f ca="1">IF(AND((KLL_II_2020!CA_cost_stop+BH239)&lt;BG244,KLL_II_2020!CA_gco&gt;0,KLL_II_2020!CA_gco&gt;KLL_II_2020!CA_cost_stop),KLL_II_2020!CA_gco+BH239,KLL_II_2020!CA_cost_stop+BH239)</f>
        <v>0</v>
      </c>
      <c r="BI243" s="49">
        <f ca="1">IF(AND((KLL_II_2020!CA_cost_stop+BI239)&lt;BH244,KLL_II_2020!CA_gco&gt;0,KLL_II_2020!CA_gco&gt;KLL_II_2020!CA_cost_stop),KLL_II_2020!CA_gco+BI239,KLL_II_2020!CA_cost_stop+BI239)</f>
        <v>0</v>
      </c>
      <c r="BJ243" s="49">
        <f ca="1">IF(AND((KLL_II_2020!CA_cost_stop+BJ239)&lt;BI244,KLL_II_2020!CA_gco&gt;0,KLL_II_2020!CA_gco&gt;KLL_II_2020!CA_cost_stop),KLL_II_2020!CA_gco+BJ239,KLL_II_2020!CA_cost_stop+BJ239)</f>
        <v>0</v>
      </c>
      <c r="BK243" s="49">
        <f ca="1">IF(AND((KLL_II_2020!CA_cost_stop+BK239)&lt;BJ244,KLL_II_2020!CA_gco&gt;0,KLL_II_2020!CA_gco&gt;KLL_II_2020!CA_cost_stop),KLL_II_2020!CA_gco+BK239,KLL_II_2020!CA_cost_stop+BK239)</f>
        <v>0</v>
      </c>
      <c r="BL243" s="49">
        <f ca="1">IF(AND((KLL_II_2020!CA_cost_stop+BL239)&lt;BK244,KLL_II_2020!CA_gco&gt;0,KLL_II_2020!CA_gco&gt;KLL_II_2020!CA_cost_stop),KLL_II_2020!CA_gco+BL239,KLL_II_2020!CA_cost_stop+BL239)</f>
        <v>0</v>
      </c>
      <c r="BM243" s="49">
        <f ca="1">IF(AND((KLL_II_2020!CA_cost_stop+BM239)&lt;BL244,KLL_II_2020!CA_gco&gt;0,KLL_II_2020!CA_gco&gt;KLL_II_2020!CA_cost_stop),KLL_II_2020!CA_gco+BM239,KLL_II_2020!CA_cost_stop+BM239)</f>
        <v>0</v>
      </c>
      <c r="BN243" s="49">
        <f ca="1">IF(AND((KLL_II_2020!CA_cost_stop+BN239)&lt;BM244,KLL_II_2020!CA_gco&gt;0,KLL_II_2020!CA_gco&gt;KLL_II_2020!CA_cost_stop),KLL_II_2020!CA_gco+BN239,KLL_II_2020!CA_cost_stop+BN239)</f>
        <v>0</v>
      </c>
      <c r="BO243" s="49">
        <f ca="1">IF(AND((KLL_II_2020!CA_cost_stop+BO239)&lt;BN244,KLL_II_2020!CA_gco&gt;0,KLL_II_2020!CA_gco&gt;KLL_II_2020!CA_cost_stop),KLL_II_2020!CA_gco+BO239,KLL_II_2020!CA_cost_stop+BO239)</f>
        <v>0</v>
      </c>
      <c r="BP243" s="49">
        <f ca="1">IF(AND((KLL_II_2020!CA_cost_stop+BP239)&lt;BO244,KLL_II_2020!CA_gco&gt;0,KLL_II_2020!CA_gco&gt;KLL_II_2020!CA_cost_stop),KLL_II_2020!CA_gco+BP239,KLL_II_2020!CA_cost_stop+BP239)</f>
        <v>0</v>
      </c>
      <c r="BQ243" s="49">
        <f ca="1">IF(AND((KLL_II_2020!CA_cost_stop+BQ239)&lt;BP244,KLL_II_2020!CA_gco&gt;0,KLL_II_2020!CA_gco&gt;KLL_II_2020!CA_cost_stop),KLL_II_2020!CA_gco+BQ239,KLL_II_2020!CA_cost_stop+BQ239)</f>
        <v>0</v>
      </c>
      <c r="BR243" s="49">
        <f ca="1">IF(AND((KLL_II_2020!CA_cost_stop+BR239)&lt;BQ244,KLL_II_2020!CA_gco&gt;0,KLL_II_2020!CA_gco&gt;KLL_II_2020!CA_cost_stop),KLL_II_2020!CA_gco+BR239,KLL_II_2020!CA_cost_stop+BR239)</f>
        <v>0</v>
      </c>
      <c r="BS243" s="49">
        <f ca="1">IF(AND((KLL_II_2020!CA_cost_stop+BS239)&lt;BR244,KLL_II_2020!CA_gco&gt;0,KLL_II_2020!CA_gco&gt;KLL_II_2020!CA_cost_stop),KLL_II_2020!CA_gco+BS239,KLL_II_2020!CA_cost_stop+BS239)</f>
        <v>0</v>
      </c>
    </row>
    <row r="244" spans="4:71" outlineLevel="1" x14ac:dyDescent="0.2">
      <c r="E244" t="str">
        <f>HM_ZD_Moho!E268</f>
        <v>PID cumulée à récupérer</v>
      </c>
      <c r="I244" s="30">
        <f ca="1">I220</f>
        <v>45.330102635544748</v>
      </c>
      <c r="J244" s="26" t="s">
        <v>148</v>
      </c>
      <c r="L244" s="49">
        <f ca="1">KLL_II_2020!CA_pid_to_recover+(K246*(1+KLL_II_2020!int_rate_cf_costs))</f>
        <v>4.9812908528100008</v>
      </c>
      <c r="M244" s="49">
        <f ca="1">KLL_II_2020!CA_pid_to_recover+(L246*(1+KLL_II_2020!int_rate_cf_costs))</f>
        <v>5.5027023595299998</v>
      </c>
      <c r="N244" s="49">
        <f ca="1">KLL_II_2020!CA_pid_to_recover+(M246*(1+KLL_II_2020!int_rate_cf_costs))</f>
        <v>2.9003871171699998</v>
      </c>
      <c r="O244" s="49">
        <f ca="1">KLL_II_2020!CA_pid_to_recover+(N246*(1+KLL_II_2020!int_rate_cf_costs))</f>
        <v>2.4773388778399998</v>
      </c>
      <c r="P244" s="49">
        <f ca="1">KLL_II_2020!CA_pid_to_recover+(O246*(1+KLL_II_2020!int_rate_cf_costs))</f>
        <v>5.4519478579600005</v>
      </c>
      <c r="Q244" s="49">
        <f ca="1">KLL_II_2020!CA_pid_to_recover+(P246*(1+KLL_II_2020!int_rate_cf_costs))</f>
        <v>9.5432405083500012</v>
      </c>
      <c r="R244" s="49">
        <f ca="1">KLL_II_2020!CA_pid_to_recover+(Q246*(1+KLL_II_2020!int_rate_cf_costs))</f>
        <v>3.9944629415300001</v>
      </c>
      <c r="S244" s="49">
        <f ca="1">KLL_II_2020!CA_pid_to_recover+(R246*(1+KLL_II_2020!int_rate_cf_costs))</f>
        <v>2.24908047</v>
      </c>
      <c r="T244" s="49">
        <f ca="1">KLL_II_2020!CA_pid_to_recover+(S246*(1+KLL_II_2020!int_rate_cf_costs))</f>
        <v>3.4413274284479995</v>
      </c>
      <c r="U244" s="49">
        <f ca="1">KLL_II_2020!CA_pid_to_recover+(T246*(1+KLL_II_2020!int_rate_cf_costs))</f>
        <v>3.4353054779399996</v>
      </c>
      <c r="V244" s="49">
        <f ca="1">KLL_II_2020!CA_pid_to_recover+(U246*(1+KLL_II_2020!int_rate_cf_costs))</f>
        <v>3.2587307763738838</v>
      </c>
      <c r="W244" s="49">
        <f ca="1">KLL_II_2020!CA_pid_to_recover+(V246*(1+KLL_II_2020!int_rate_cf_costs))</f>
        <v>3.0912320144682655</v>
      </c>
      <c r="X244" s="49">
        <f ca="1">KLL_II_2020!CA_pid_to_recover+(W246*(1+KLL_II_2020!int_rate_cf_costs))</f>
        <v>2.9323426889245967</v>
      </c>
      <c r="Y244" s="49">
        <f ca="1">KLL_II_2020!CA_pid_to_recover+(X246*(1+KLL_II_2020!int_rate_cf_costs))</f>
        <v>0</v>
      </c>
      <c r="Z244" s="49">
        <f ca="1">KLL_II_2020!CA_pid_to_recover+(Y246*(1+KLL_II_2020!int_rate_cf_costs))</f>
        <v>0</v>
      </c>
      <c r="AA244" s="49">
        <f ca="1">KLL_II_2020!CA_pid_to_recover+(Z246*(1+KLL_II_2020!int_rate_cf_costs))</f>
        <v>0</v>
      </c>
      <c r="AB244" s="49">
        <f ca="1">KLL_II_2020!CA_pid_to_recover+(AA246*(1+KLL_II_2020!int_rate_cf_costs))</f>
        <v>0</v>
      </c>
      <c r="AC244" s="49">
        <f ca="1">KLL_II_2020!CA_pid_to_recover+(AB246*(1+KLL_II_2020!int_rate_cf_costs))</f>
        <v>0</v>
      </c>
      <c r="AD244" s="49">
        <f ca="1">KLL_II_2020!CA_pid_to_recover+(AC246*(1+KLL_II_2020!int_rate_cf_costs))</f>
        <v>0</v>
      </c>
      <c r="AE244" s="49">
        <f ca="1">KLL_II_2020!CA_pid_to_recover+(AD246*(1+KLL_II_2020!int_rate_cf_costs))</f>
        <v>0</v>
      </c>
      <c r="AF244" s="49">
        <f ca="1">KLL_II_2020!CA_pid_to_recover+(AE246*(1+KLL_II_2020!int_rate_cf_costs))</f>
        <v>0</v>
      </c>
      <c r="AG244" s="49">
        <f ca="1">KLL_II_2020!CA_pid_to_recover+(AF246*(1+KLL_II_2020!int_rate_cf_costs))</f>
        <v>0</v>
      </c>
      <c r="AH244" s="49">
        <f ca="1">KLL_II_2020!CA_pid_to_recover+(AG246*(1+KLL_II_2020!int_rate_cf_costs))</f>
        <v>0</v>
      </c>
      <c r="AI244" s="49">
        <f ca="1">KLL_II_2020!CA_pid_to_recover+(AH246*(1+KLL_II_2020!int_rate_cf_costs))</f>
        <v>0</v>
      </c>
      <c r="AJ244" s="49">
        <f ca="1">KLL_II_2020!CA_pid_to_recover+(AI246*(1+KLL_II_2020!int_rate_cf_costs))</f>
        <v>0</v>
      </c>
      <c r="AK244" s="49">
        <f ca="1">KLL_II_2020!CA_pid_to_recover+(AJ246*(1+KLL_II_2020!int_rate_cf_costs))</f>
        <v>0</v>
      </c>
      <c r="AL244" s="49">
        <f ca="1">KLL_II_2020!CA_pid_to_recover+(AK246*(1+KLL_II_2020!int_rate_cf_costs))</f>
        <v>0</v>
      </c>
      <c r="AM244" s="49">
        <f ca="1">KLL_II_2020!CA_pid_to_recover+(AL246*(1+KLL_II_2020!int_rate_cf_costs))</f>
        <v>0</v>
      </c>
      <c r="AN244" s="49">
        <f ca="1">KLL_II_2020!CA_pid_to_recover+(AM246*(1+KLL_II_2020!int_rate_cf_costs))</f>
        <v>0</v>
      </c>
      <c r="AO244" s="49">
        <f ca="1">KLL_II_2020!CA_pid_to_recover+(AN246*(1+KLL_II_2020!int_rate_cf_costs))</f>
        <v>0</v>
      </c>
      <c r="AP244" s="49">
        <f ca="1">KLL_II_2020!CA_pid_to_recover+(AO246*(1+KLL_II_2020!int_rate_cf_costs))</f>
        <v>0</v>
      </c>
      <c r="AQ244" s="49">
        <f ca="1">KLL_II_2020!CA_pid_to_recover+(AP246*(1+KLL_II_2020!int_rate_cf_costs))</f>
        <v>0</v>
      </c>
      <c r="AR244" s="49">
        <f ca="1">KLL_II_2020!CA_pid_to_recover+(AQ246*(1+KLL_II_2020!int_rate_cf_costs))</f>
        <v>0</v>
      </c>
      <c r="AS244" s="49">
        <f ca="1">KLL_II_2020!CA_pid_to_recover+(AR246*(1+KLL_II_2020!int_rate_cf_costs))</f>
        <v>0</v>
      </c>
      <c r="AT244" s="49">
        <f ca="1">KLL_II_2020!CA_pid_to_recover+(AS246*(1+KLL_II_2020!int_rate_cf_costs))</f>
        <v>0</v>
      </c>
      <c r="AU244" s="49">
        <f ca="1">KLL_II_2020!CA_pid_to_recover+(AT246*(1+KLL_II_2020!int_rate_cf_costs))</f>
        <v>0</v>
      </c>
      <c r="AV244" s="49">
        <f ca="1">KLL_II_2020!CA_pid_to_recover+(AU246*(1+KLL_II_2020!int_rate_cf_costs))</f>
        <v>0</v>
      </c>
      <c r="AW244" s="49">
        <f ca="1">KLL_II_2020!CA_pid_to_recover+(AV246*(1+KLL_II_2020!int_rate_cf_costs))</f>
        <v>0</v>
      </c>
      <c r="AX244" s="49">
        <f ca="1">KLL_II_2020!CA_pid_to_recover+(AW246*(1+KLL_II_2020!int_rate_cf_costs))</f>
        <v>0</v>
      </c>
      <c r="AY244" s="49">
        <f ca="1">KLL_II_2020!CA_pid_to_recover+(AX246*(1+KLL_II_2020!int_rate_cf_costs))</f>
        <v>0</v>
      </c>
      <c r="AZ244" s="49">
        <f ca="1">KLL_II_2020!CA_pid_to_recover+(AY246*(1+KLL_II_2020!int_rate_cf_costs))</f>
        <v>0</v>
      </c>
      <c r="BA244" s="49">
        <f ca="1">KLL_II_2020!CA_pid_to_recover+(AZ246*(1+KLL_II_2020!int_rate_cf_costs))</f>
        <v>0</v>
      </c>
      <c r="BB244" s="49">
        <f ca="1">KLL_II_2020!CA_pid_to_recover+(BA246*(1+KLL_II_2020!int_rate_cf_costs))</f>
        <v>0</v>
      </c>
      <c r="BC244" s="49">
        <f ca="1">KLL_II_2020!CA_pid_to_recover+(BB246*(1+KLL_II_2020!int_rate_cf_costs))</f>
        <v>0</v>
      </c>
      <c r="BD244" s="49">
        <f ca="1">KLL_II_2020!CA_pid_to_recover+(BC246*(1+KLL_II_2020!int_rate_cf_costs))</f>
        <v>0</v>
      </c>
      <c r="BE244" s="49">
        <f ca="1">KLL_II_2020!CA_pid_to_recover+(BD246*(1+KLL_II_2020!int_rate_cf_costs))</f>
        <v>0</v>
      </c>
      <c r="BF244" s="49">
        <f ca="1">KLL_II_2020!CA_pid_to_recover+(BE246*(1+KLL_II_2020!int_rate_cf_costs))</f>
        <v>0</v>
      </c>
      <c r="BG244" s="49">
        <f ca="1">KLL_II_2020!CA_pid_to_recover+(BF246*(1+KLL_II_2020!int_rate_cf_costs))</f>
        <v>0</v>
      </c>
      <c r="BH244" s="49">
        <f ca="1">KLL_II_2020!CA_pid_to_recover+(BG246*(1+KLL_II_2020!int_rate_cf_costs))</f>
        <v>0</v>
      </c>
      <c r="BI244" s="49">
        <f ca="1">KLL_II_2020!CA_pid_to_recover+(BH246*(1+KLL_II_2020!int_rate_cf_costs))</f>
        <v>0</v>
      </c>
      <c r="BJ244" s="49">
        <f ca="1">KLL_II_2020!CA_pid_to_recover+(BI246*(1+KLL_II_2020!int_rate_cf_costs))</f>
        <v>0</v>
      </c>
      <c r="BK244" s="49">
        <f ca="1">KLL_II_2020!CA_pid_to_recover+(BJ246*(1+KLL_II_2020!int_rate_cf_costs))</f>
        <v>0</v>
      </c>
      <c r="BL244" s="49">
        <f ca="1">KLL_II_2020!CA_pid_to_recover+(BK246*(1+KLL_II_2020!int_rate_cf_costs))</f>
        <v>0</v>
      </c>
      <c r="BM244" s="49">
        <f ca="1">KLL_II_2020!CA_pid_to_recover+(BL246*(1+KLL_II_2020!int_rate_cf_costs))</f>
        <v>0</v>
      </c>
      <c r="BN244" s="49">
        <f ca="1">KLL_II_2020!CA_pid_to_recover+(BM246*(1+KLL_II_2020!int_rate_cf_costs))</f>
        <v>0</v>
      </c>
      <c r="BO244" s="49">
        <f ca="1">KLL_II_2020!CA_pid_to_recover+(BN246*(1+KLL_II_2020!int_rate_cf_costs))</f>
        <v>0</v>
      </c>
      <c r="BP244" s="49">
        <f ca="1">KLL_II_2020!CA_pid_to_recover+(BO246*(1+KLL_II_2020!int_rate_cf_costs))</f>
        <v>0</v>
      </c>
      <c r="BQ244" s="49">
        <f ca="1">KLL_II_2020!CA_pid_to_recover+(BP246*(1+KLL_II_2020!int_rate_cf_costs))</f>
        <v>0</v>
      </c>
      <c r="BR244" s="49">
        <f ca="1">KLL_II_2020!CA_pid_to_recover+(BQ246*(1+KLL_II_2020!int_rate_cf_costs))</f>
        <v>0</v>
      </c>
      <c r="BS244" s="49">
        <f ca="1">KLL_II_2020!CA_pid_to_recover+(BR246*(1+KLL_II_2020!int_rate_cf_costs))</f>
        <v>0</v>
      </c>
    </row>
    <row r="245" spans="4:71" outlineLevel="1" x14ac:dyDescent="0.2">
      <c r="E245" t="str">
        <f>HM_ZD_Moho!E269</f>
        <v>PID récupérée</v>
      </c>
      <c r="H245" s="56" t="b">
        <f ca="1">ROUND(I245,2)=-ROUND(I244,2)</f>
        <v>1</v>
      </c>
      <c r="I245" s="30">
        <f t="shared" ca="1" si="57"/>
        <v>-45.330102635544748</v>
      </c>
      <c r="J245" s="26" t="s">
        <v>148</v>
      </c>
      <c r="L245" s="49">
        <f ca="1">-MIN(L244,L243)</f>
        <v>-4.9812908528100008</v>
      </c>
      <c r="M245" s="49">
        <f t="shared" ref="M245:BS245" ca="1" si="58">-MIN(M244,M243)</f>
        <v>-5.5027023595299998</v>
      </c>
      <c r="N245" s="49">
        <f t="shared" ca="1" si="58"/>
        <v>-2.9003871171699998</v>
      </c>
      <c r="O245" s="49">
        <f t="shared" ca="1" si="58"/>
        <v>0</v>
      </c>
      <c r="P245" s="49">
        <f t="shared" ca="1" si="58"/>
        <v>0</v>
      </c>
      <c r="Q245" s="49">
        <f t="shared" ca="1" si="58"/>
        <v>-9.5432405083500012</v>
      </c>
      <c r="R245" s="49">
        <f t="shared" ca="1" si="58"/>
        <v>-3.9944629415300001</v>
      </c>
      <c r="S245" s="49">
        <f t="shared" ca="1" si="58"/>
        <v>-2.24908047</v>
      </c>
      <c r="T245" s="49">
        <f t="shared" ca="1" si="58"/>
        <v>-3.4413274284479995</v>
      </c>
      <c r="U245" s="49">
        <f t="shared" ca="1" si="58"/>
        <v>-3.4353054779399996</v>
      </c>
      <c r="V245" s="49">
        <f t="shared" ca="1" si="58"/>
        <v>-3.2587307763738838</v>
      </c>
      <c r="W245" s="49">
        <f t="shared" ca="1" si="58"/>
        <v>-3.0912320144682655</v>
      </c>
      <c r="X245" s="49">
        <f t="shared" ca="1" si="58"/>
        <v>-2.9323426889245967</v>
      </c>
      <c r="Y245" s="49">
        <f t="shared" ca="1" si="58"/>
        <v>0</v>
      </c>
      <c r="Z245" s="49">
        <f t="shared" ca="1" si="58"/>
        <v>0</v>
      </c>
      <c r="AA245" s="49">
        <f t="shared" ca="1" si="58"/>
        <v>0</v>
      </c>
      <c r="AB245" s="49">
        <f t="shared" ca="1" si="58"/>
        <v>0</v>
      </c>
      <c r="AC245" s="49">
        <f t="shared" ca="1" si="58"/>
        <v>0</v>
      </c>
      <c r="AD245" s="49">
        <f t="shared" ca="1" si="58"/>
        <v>0</v>
      </c>
      <c r="AE245" s="49">
        <f t="shared" ca="1" si="58"/>
        <v>0</v>
      </c>
      <c r="AF245" s="49">
        <f t="shared" ca="1" si="58"/>
        <v>0</v>
      </c>
      <c r="AG245" s="49">
        <f t="shared" ca="1" si="58"/>
        <v>0</v>
      </c>
      <c r="AH245" s="49">
        <f t="shared" ca="1" si="58"/>
        <v>0</v>
      </c>
      <c r="AI245" s="49">
        <f t="shared" ca="1" si="58"/>
        <v>0</v>
      </c>
      <c r="AJ245" s="49">
        <f t="shared" ca="1" si="58"/>
        <v>0</v>
      </c>
      <c r="AK245" s="49">
        <f t="shared" ca="1" si="58"/>
        <v>0</v>
      </c>
      <c r="AL245" s="49">
        <f t="shared" ca="1" si="58"/>
        <v>0</v>
      </c>
      <c r="AM245" s="49">
        <f t="shared" ca="1" si="58"/>
        <v>0</v>
      </c>
      <c r="AN245" s="49">
        <f t="shared" ca="1" si="58"/>
        <v>0</v>
      </c>
      <c r="AO245" s="49">
        <f t="shared" ca="1" si="58"/>
        <v>0</v>
      </c>
      <c r="AP245" s="49">
        <f t="shared" ca="1" si="58"/>
        <v>0</v>
      </c>
      <c r="AQ245" s="49">
        <f t="shared" ca="1" si="58"/>
        <v>0</v>
      </c>
      <c r="AR245" s="49">
        <f t="shared" ca="1" si="58"/>
        <v>0</v>
      </c>
      <c r="AS245" s="49">
        <f t="shared" ca="1" si="58"/>
        <v>0</v>
      </c>
      <c r="AT245" s="49">
        <f t="shared" ca="1" si="58"/>
        <v>0</v>
      </c>
      <c r="AU245" s="49">
        <f t="shared" ca="1" si="58"/>
        <v>0</v>
      </c>
      <c r="AV245" s="49">
        <f t="shared" ca="1" si="58"/>
        <v>0</v>
      </c>
      <c r="AW245" s="49">
        <f t="shared" ca="1" si="58"/>
        <v>0</v>
      </c>
      <c r="AX245" s="49">
        <f t="shared" ca="1" si="58"/>
        <v>0</v>
      </c>
      <c r="AY245" s="49">
        <f t="shared" ca="1" si="58"/>
        <v>0</v>
      </c>
      <c r="AZ245" s="49">
        <f t="shared" ca="1" si="58"/>
        <v>0</v>
      </c>
      <c r="BA245" s="49">
        <f t="shared" ca="1" si="58"/>
        <v>0</v>
      </c>
      <c r="BB245" s="49">
        <f t="shared" ca="1" si="58"/>
        <v>0</v>
      </c>
      <c r="BC245" s="49">
        <f t="shared" ca="1" si="58"/>
        <v>0</v>
      </c>
      <c r="BD245" s="49">
        <f t="shared" ca="1" si="58"/>
        <v>0</v>
      </c>
      <c r="BE245" s="49">
        <f t="shared" ca="1" si="58"/>
        <v>0</v>
      </c>
      <c r="BF245" s="49">
        <f t="shared" ca="1" si="58"/>
        <v>0</v>
      </c>
      <c r="BG245" s="49">
        <f t="shared" ca="1" si="58"/>
        <v>0</v>
      </c>
      <c r="BH245" s="49">
        <f t="shared" ca="1" si="58"/>
        <v>0</v>
      </c>
      <c r="BI245" s="49">
        <f t="shared" ca="1" si="58"/>
        <v>0</v>
      </c>
      <c r="BJ245" s="49">
        <f t="shared" ca="1" si="58"/>
        <v>0</v>
      </c>
      <c r="BK245" s="49">
        <f t="shared" ca="1" si="58"/>
        <v>0</v>
      </c>
      <c r="BL245" s="49">
        <f t="shared" ca="1" si="58"/>
        <v>0</v>
      </c>
      <c r="BM245" s="49">
        <f t="shared" ca="1" si="58"/>
        <v>0</v>
      </c>
      <c r="BN245" s="49">
        <f t="shared" ca="1" si="58"/>
        <v>0</v>
      </c>
      <c r="BO245" s="49">
        <f t="shared" ca="1" si="58"/>
        <v>0</v>
      </c>
      <c r="BP245" s="49">
        <f t="shared" ca="1" si="58"/>
        <v>0</v>
      </c>
      <c r="BQ245" s="49">
        <f t="shared" ca="1" si="58"/>
        <v>0</v>
      </c>
      <c r="BR245" s="49">
        <f t="shared" ca="1" si="58"/>
        <v>0</v>
      </c>
      <c r="BS245" s="49">
        <f t="shared" ca="1" si="58"/>
        <v>0</v>
      </c>
    </row>
    <row r="246" spans="4:71" outlineLevel="1" x14ac:dyDescent="0.2">
      <c r="E246" t="str">
        <f>HM_ZD_Moho!E270</f>
        <v xml:space="preserve">Sous/(Sur)récupération </v>
      </c>
      <c r="J246" s="26"/>
      <c r="L246" s="49">
        <f ca="1">L244+L245</f>
        <v>0</v>
      </c>
      <c r="M246" s="49">
        <f t="shared" ref="M246:BS246" ca="1" si="59">M244+M245</f>
        <v>0</v>
      </c>
      <c r="N246" s="49">
        <f t="shared" ca="1" si="59"/>
        <v>0</v>
      </c>
      <c r="O246" s="49">
        <f t="shared" ca="1" si="59"/>
        <v>2.4773388778399998</v>
      </c>
      <c r="P246" s="49">
        <f t="shared" ca="1" si="59"/>
        <v>5.4519478579600005</v>
      </c>
      <c r="Q246" s="49">
        <f t="shared" ca="1" si="59"/>
        <v>0</v>
      </c>
      <c r="R246" s="49">
        <f t="shared" ca="1" si="59"/>
        <v>0</v>
      </c>
      <c r="S246" s="49">
        <f t="shared" ca="1" si="59"/>
        <v>0</v>
      </c>
      <c r="T246" s="49">
        <f t="shared" ca="1" si="59"/>
        <v>0</v>
      </c>
      <c r="U246" s="49">
        <f t="shared" ca="1" si="59"/>
        <v>0</v>
      </c>
      <c r="V246" s="49">
        <f t="shared" ca="1" si="59"/>
        <v>0</v>
      </c>
      <c r="W246" s="49">
        <f t="shared" ca="1" si="59"/>
        <v>0</v>
      </c>
      <c r="X246" s="49">
        <f t="shared" ca="1" si="59"/>
        <v>0</v>
      </c>
      <c r="Y246" s="49">
        <f t="shared" ca="1" si="59"/>
        <v>0</v>
      </c>
      <c r="Z246" s="49">
        <f t="shared" ca="1" si="59"/>
        <v>0</v>
      </c>
      <c r="AA246" s="49">
        <f t="shared" ca="1" si="59"/>
        <v>0</v>
      </c>
      <c r="AB246" s="49">
        <f t="shared" ca="1" si="59"/>
        <v>0</v>
      </c>
      <c r="AC246" s="49">
        <f t="shared" ca="1" si="59"/>
        <v>0</v>
      </c>
      <c r="AD246" s="49">
        <f t="shared" ca="1" si="59"/>
        <v>0</v>
      </c>
      <c r="AE246" s="49">
        <f t="shared" ca="1" si="59"/>
        <v>0</v>
      </c>
      <c r="AF246" s="49">
        <f t="shared" ca="1" si="59"/>
        <v>0</v>
      </c>
      <c r="AG246" s="49">
        <f t="shared" ca="1" si="59"/>
        <v>0</v>
      </c>
      <c r="AH246" s="49">
        <f t="shared" ca="1" si="59"/>
        <v>0</v>
      </c>
      <c r="AI246" s="49">
        <f t="shared" ca="1" si="59"/>
        <v>0</v>
      </c>
      <c r="AJ246" s="49">
        <f t="shared" ca="1" si="59"/>
        <v>0</v>
      </c>
      <c r="AK246" s="49">
        <f t="shared" ca="1" si="59"/>
        <v>0</v>
      </c>
      <c r="AL246" s="49">
        <f t="shared" ca="1" si="59"/>
        <v>0</v>
      </c>
      <c r="AM246" s="49">
        <f t="shared" ca="1" si="59"/>
        <v>0</v>
      </c>
      <c r="AN246" s="49">
        <f t="shared" ca="1" si="59"/>
        <v>0</v>
      </c>
      <c r="AO246" s="49">
        <f t="shared" ca="1" si="59"/>
        <v>0</v>
      </c>
      <c r="AP246" s="49">
        <f t="shared" ca="1" si="59"/>
        <v>0</v>
      </c>
      <c r="AQ246" s="49">
        <f t="shared" ca="1" si="59"/>
        <v>0</v>
      </c>
      <c r="AR246" s="49">
        <f t="shared" ca="1" si="59"/>
        <v>0</v>
      </c>
      <c r="AS246" s="49">
        <f t="shared" ca="1" si="59"/>
        <v>0</v>
      </c>
      <c r="AT246" s="49">
        <f t="shared" ca="1" si="59"/>
        <v>0</v>
      </c>
      <c r="AU246" s="49">
        <f t="shared" ca="1" si="59"/>
        <v>0</v>
      </c>
      <c r="AV246" s="49">
        <f t="shared" ca="1" si="59"/>
        <v>0</v>
      </c>
      <c r="AW246" s="49">
        <f t="shared" ca="1" si="59"/>
        <v>0</v>
      </c>
      <c r="AX246" s="49">
        <f t="shared" ca="1" si="59"/>
        <v>0</v>
      </c>
      <c r="AY246" s="49">
        <f t="shared" ca="1" si="59"/>
        <v>0</v>
      </c>
      <c r="AZ246" s="49">
        <f t="shared" ca="1" si="59"/>
        <v>0</v>
      </c>
      <c r="BA246" s="49">
        <f t="shared" ca="1" si="59"/>
        <v>0</v>
      </c>
      <c r="BB246" s="49">
        <f t="shared" ca="1" si="59"/>
        <v>0</v>
      </c>
      <c r="BC246" s="49">
        <f t="shared" ca="1" si="59"/>
        <v>0</v>
      </c>
      <c r="BD246" s="49">
        <f t="shared" ca="1" si="59"/>
        <v>0</v>
      </c>
      <c r="BE246" s="49">
        <f t="shared" ca="1" si="59"/>
        <v>0</v>
      </c>
      <c r="BF246" s="49">
        <f t="shared" ca="1" si="59"/>
        <v>0</v>
      </c>
      <c r="BG246" s="49">
        <f t="shared" ca="1" si="59"/>
        <v>0</v>
      </c>
      <c r="BH246" s="49">
        <f t="shared" ca="1" si="59"/>
        <v>0</v>
      </c>
      <c r="BI246" s="49">
        <f t="shared" ca="1" si="59"/>
        <v>0</v>
      </c>
      <c r="BJ246" s="49">
        <f t="shared" ca="1" si="59"/>
        <v>0</v>
      </c>
      <c r="BK246" s="49">
        <f t="shared" ca="1" si="59"/>
        <v>0</v>
      </c>
      <c r="BL246" s="49">
        <f t="shared" ca="1" si="59"/>
        <v>0</v>
      </c>
      <c r="BM246" s="49">
        <f t="shared" ca="1" si="59"/>
        <v>0</v>
      </c>
      <c r="BN246" s="49">
        <f t="shared" ca="1" si="59"/>
        <v>0</v>
      </c>
      <c r="BO246" s="49">
        <f t="shared" ca="1" si="59"/>
        <v>0</v>
      </c>
      <c r="BP246" s="49">
        <f t="shared" ca="1" si="59"/>
        <v>0</v>
      </c>
      <c r="BQ246" s="49">
        <f t="shared" ca="1" si="59"/>
        <v>0</v>
      </c>
      <c r="BR246" s="49">
        <f t="shared" ca="1" si="59"/>
        <v>0</v>
      </c>
      <c r="BS246" s="49">
        <f t="shared" ca="1" si="59"/>
        <v>0</v>
      </c>
    </row>
    <row r="247" spans="4:71" outlineLevel="1" x14ac:dyDescent="0.2">
      <c r="J247" s="26"/>
      <c r="L247" s="55"/>
      <c r="M247" s="55"/>
      <c r="N247" s="55"/>
      <c r="O247" s="55"/>
      <c r="P247" s="55"/>
      <c r="Q247" s="55"/>
      <c r="R247" s="55"/>
      <c r="S247" s="55"/>
      <c r="T247" s="55"/>
      <c r="U247" s="55"/>
      <c r="V247" s="55"/>
      <c r="W247" s="55"/>
      <c r="X247" s="55"/>
      <c r="Y247" s="55"/>
      <c r="Z247" s="55"/>
      <c r="AA247" s="55"/>
      <c r="AB247" s="55"/>
      <c r="AC247" s="55"/>
      <c r="AD247" s="55"/>
      <c r="AE247" s="55"/>
      <c r="AF247" s="55"/>
      <c r="AG247" s="55"/>
      <c r="AH247" s="55"/>
      <c r="AI247" s="55"/>
      <c r="AJ247" s="55"/>
      <c r="AK247" s="55"/>
      <c r="AL247" s="55"/>
      <c r="AM247" s="55"/>
      <c r="AN247" s="55"/>
      <c r="AO247" s="55"/>
      <c r="AP247" s="55"/>
      <c r="AQ247" s="55"/>
      <c r="AR247" s="55"/>
      <c r="AS247" s="55"/>
      <c r="AT247" s="55"/>
      <c r="AU247" s="55"/>
      <c r="AV247" s="55"/>
      <c r="AW247" s="55"/>
      <c r="AX247" s="55"/>
      <c r="AY247" s="55"/>
      <c r="AZ247" s="55"/>
      <c r="BA247" s="55"/>
      <c r="BB247" s="55"/>
      <c r="BC247" s="55"/>
      <c r="BD247" s="55"/>
      <c r="BE247" s="55"/>
      <c r="BF247" s="55"/>
      <c r="BG247" s="55"/>
      <c r="BH247" s="55"/>
      <c r="BI247" s="55"/>
      <c r="BJ247" s="55"/>
      <c r="BK247" s="55"/>
      <c r="BL247" s="55"/>
      <c r="BM247" s="55"/>
      <c r="BN247" s="55"/>
      <c r="BO247" s="55"/>
      <c r="BP247" s="55"/>
      <c r="BQ247" s="55"/>
      <c r="BR247" s="55"/>
      <c r="BS247" s="55"/>
    </row>
    <row r="248" spans="4:71" outlineLevel="1" x14ac:dyDescent="0.2">
      <c r="D248" s="51" t="str">
        <f>HM_ZD_Moho!D272</f>
        <v>Investissement-Développement</v>
      </c>
      <c r="J248" s="26"/>
      <c r="L248" s="55"/>
      <c r="M248" s="55"/>
      <c r="N248" s="55"/>
      <c r="O248" s="55"/>
      <c r="P248" s="55"/>
      <c r="Q248" s="55"/>
      <c r="R248" s="55"/>
      <c r="S248" s="55"/>
      <c r="T248" s="55"/>
      <c r="U248" s="55"/>
      <c r="V248" s="55"/>
      <c r="W248" s="55"/>
      <c r="X248" s="55"/>
      <c r="Y248" s="55"/>
      <c r="Z248" s="55"/>
      <c r="AA248" s="55"/>
      <c r="AB248" s="55"/>
      <c r="AC248" s="55"/>
      <c r="AD248" s="55"/>
      <c r="AE248" s="55"/>
      <c r="AF248" s="55"/>
      <c r="AG248" s="55"/>
      <c r="AH248" s="55"/>
      <c r="AI248" s="55"/>
      <c r="AJ248" s="55"/>
      <c r="AK248" s="55"/>
      <c r="AL248" s="55"/>
      <c r="AM248" s="55"/>
      <c r="AN248" s="55"/>
      <c r="AO248" s="55"/>
      <c r="AP248" s="55"/>
      <c r="AQ248" s="55"/>
      <c r="AR248" s="55"/>
      <c r="AS248" s="55"/>
      <c r="AT248" s="55"/>
      <c r="AU248" s="55"/>
      <c r="AV248" s="55"/>
      <c r="AW248" s="55"/>
      <c r="AX248" s="55"/>
      <c r="AY248" s="55"/>
      <c r="AZ248" s="55"/>
      <c r="BA248" s="55"/>
      <c r="BB248" s="55"/>
      <c r="BC248" s="55"/>
      <c r="BD248" s="55"/>
      <c r="BE248" s="55"/>
      <c r="BF248" s="55"/>
      <c r="BG248" s="55"/>
      <c r="BH248" s="55"/>
      <c r="BI248" s="55"/>
      <c r="BJ248" s="55"/>
      <c r="BK248" s="55"/>
      <c r="BL248" s="55"/>
      <c r="BM248" s="55"/>
      <c r="BN248" s="55"/>
      <c r="BO248" s="55"/>
      <c r="BP248" s="55"/>
      <c r="BQ248" s="55"/>
      <c r="BR248" s="55"/>
      <c r="BS248" s="55"/>
    </row>
    <row r="249" spans="4:71" outlineLevel="1" x14ac:dyDescent="0.2">
      <c r="E249" t="str">
        <f>HM_ZD_Moho!E273</f>
        <v>Revenus disponibles pour la récupération</v>
      </c>
      <c r="I249" s="30">
        <f t="shared" ref="I249:I251" ca="1" si="60">SUM($L249:$BS249)</f>
        <v>496.38781757168306</v>
      </c>
      <c r="J249" s="26" t="s">
        <v>148</v>
      </c>
      <c r="L249" s="49">
        <f ca="1">IF(AND((KLL_II_2020!CA_cost_stop+L239+L245)&lt;K250,KLL_II_2020!CA_gco&gt;0,KLL_II_2020!CA_gco&gt;KLL_II_2020!CA_cost_stop),KLL_II_2020!CA_gco+L239+L245,KLL_II_2020!CA_cost_stop+L239+L245)</f>
        <v>17.181831979689992</v>
      </c>
      <c r="M249" s="49">
        <f ca="1">IF(AND((KLL_II_2020!CA_cost_stop+M239+M245)&lt;L250,KLL_II_2020!CA_gco&gt;0,KLL_II_2020!CA_gco&gt;KLL_II_2020!CA_cost_stop),KLL_II_2020!CA_gco+M239+M245,KLL_II_2020!CA_cost_stop+M239+M245)</f>
        <v>48.840856628719997</v>
      </c>
      <c r="N249" s="49">
        <f ca="1">IF(AND((KLL_II_2020!CA_cost_stop+N239+N245)&lt;M250,KLL_II_2020!CA_gco&gt;0,KLL_II_2020!CA_gco&gt;KLL_II_2020!CA_cost_stop),KLL_II_2020!CA_gco+N239+N245,KLL_II_2020!CA_cost_stop+N239+N245)</f>
        <v>43.003490292454998</v>
      </c>
      <c r="O249" s="49">
        <f ca="1">IF(AND((KLL_II_2020!CA_cost_stop+O239+O245)&lt;N250,KLL_II_2020!CA_gco&gt;0,KLL_II_2020!CA_gco&gt;KLL_II_2020!CA_cost_stop),KLL_II_2020!CA_gco+O239+O245,KLL_II_2020!CA_cost_stop+O239+O245)</f>
        <v>0</v>
      </c>
      <c r="P249" s="49">
        <f ca="1">IF(AND((KLL_II_2020!CA_cost_stop+P239+P245)&lt;O250,KLL_II_2020!CA_gco&gt;0,KLL_II_2020!CA_gco&gt;KLL_II_2020!CA_cost_stop),KLL_II_2020!CA_gco+P239+P245,KLL_II_2020!CA_cost_stop+P239+P245)</f>
        <v>0</v>
      </c>
      <c r="Q249" s="49">
        <f ca="1">IF(AND((KLL_II_2020!CA_cost_stop+Q239+Q245)&lt;P250,KLL_II_2020!CA_gco&gt;0,KLL_II_2020!CA_gco&gt;KLL_II_2020!CA_cost_stop),KLL_II_2020!CA_gco+Q239+Q245,KLL_II_2020!CA_cost_stop+Q239+Q245)</f>
        <v>11.949597611275047</v>
      </c>
      <c r="R249" s="49">
        <f ca="1">IF(AND((KLL_II_2020!CA_cost_stop+R239+R245)&lt;Q250,KLL_II_2020!CA_gco&gt;0,KLL_II_2020!CA_gco&gt;KLL_II_2020!CA_cost_stop),KLL_II_2020!CA_gco+R239+R245,KLL_II_2020!CA_cost_stop+R239+R245)</f>
        <v>56.353805854094986</v>
      </c>
      <c r="S249" s="49">
        <f ca="1">IF(AND((KLL_II_2020!CA_cost_stop+S239+S245)&lt;R250,KLL_II_2020!CA_gco&gt;0,KLL_II_2020!CA_gco&gt;KLL_II_2020!CA_cost_stop),KLL_II_2020!CA_gco+S239+S245,KLL_II_2020!CA_cost_stop+S239+S245)</f>
        <v>49.00494303</v>
      </c>
      <c r="T249" s="49">
        <f ca="1">IF(AND((KLL_II_2020!CA_cost_stop+T239+T245)&lt;S250,KLL_II_2020!CA_gco&gt;0,KLL_II_2020!CA_gco&gt;KLL_II_2020!CA_cost_stop),KLL_II_2020!CA_gco+T239+T245,KLL_II_2020!CA_cost_stop+T239+T245)</f>
        <v>67.882846071551995</v>
      </c>
      <c r="U249" s="49">
        <f ca="1">IF(AND((KLL_II_2020!CA_cost_stop+U239+U245)&lt;T250,KLL_II_2020!CA_gco&gt;0,KLL_II_2020!CA_gco&gt;KLL_II_2020!CA_cost_stop),KLL_II_2020!CA_gco+U239+U245,KLL_II_2020!CA_cost_stop+U239+U245)</f>
        <v>60.507965504159962</v>
      </c>
      <c r="V249" s="49">
        <f ca="1">IF(AND((KLL_II_2020!CA_cost_stop+V239+V245)&lt;U250,KLL_II_2020!CA_gco&gt;0,KLL_II_2020!CA_gco&gt;KLL_II_2020!CA_cost_stop),KLL_II_2020!CA_gco+V239+V245,KLL_II_2020!CA_cost_stop+V239+V245)</f>
        <v>53.652416077246137</v>
      </c>
      <c r="W249" s="49">
        <f ca="1">IF(AND((KLL_II_2020!CA_cost_stop+W239+W245)&lt;V250,KLL_II_2020!CA_gco&gt;0,KLL_II_2020!CA_gco&gt;KLL_II_2020!CA_cost_stop),KLL_II_2020!CA_gco+W239+W245,KLL_II_2020!CA_cost_stop+W239+W245)</f>
        <v>47.118903826875695</v>
      </c>
      <c r="X249" s="49">
        <f ca="1">IF(AND((KLL_II_2020!CA_cost_stop+X239+X245)&lt;W250,KLL_II_2020!CA_gco&gt;0,KLL_II_2020!CA_gco&gt;KLL_II_2020!CA_cost_stop),KLL_II_2020!CA_gco+X239+X245,KLL_II_2020!CA_cost_stop+X239+X245)</f>
        <v>40.891160695614268</v>
      </c>
      <c r="Y249" s="49">
        <f ca="1">IF(AND((KLL_II_2020!CA_cost_stop+Y239+Y245)&lt;X250,KLL_II_2020!CA_gco&gt;0,KLL_II_2020!CA_gco&gt;KLL_II_2020!CA_cost_stop),KLL_II_2020!CA_gco+Y239+Y245,KLL_II_2020!CA_cost_stop+Y239+Y245)</f>
        <v>0</v>
      </c>
      <c r="Z249" s="49">
        <f ca="1">IF(AND((KLL_II_2020!CA_cost_stop+Z239+Z245)&lt;Y250,KLL_II_2020!CA_gco&gt;0,KLL_II_2020!CA_gco&gt;KLL_II_2020!CA_cost_stop),KLL_II_2020!CA_gco+Z239+Z245,KLL_II_2020!CA_cost_stop+Z239+Z245)</f>
        <v>0</v>
      </c>
      <c r="AA249" s="49">
        <f ca="1">IF(AND((KLL_II_2020!CA_cost_stop+AA239+AA245)&lt;Z250,KLL_II_2020!CA_gco&gt;0,KLL_II_2020!CA_gco&gt;KLL_II_2020!CA_cost_stop),KLL_II_2020!CA_gco+AA239+AA245,KLL_II_2020!CA_cost_stop+AA239+AA245)</f>
        <v>0</v>
      </c>
      <c r="AB249" s="49">
        <f ca="1">IF(AND((KLL_II_2020!CA_cost_stop+AB239+AB245)&lt;AA250,KLL_II_2020!CA_gco&gt;0,KLL_II_2020!CA_gco&gt;KLL_II_2020!CA_cost_stop),KLL_II_2020!CA_gco+AB239+AB245,KLL_II_2020!CA_cost_stop+AB239+AB245)</f>
        <v>0</v>
      </c>
      <c r="AC249" s="49">
        <f ca="1">IF(AND((KLL_II_2020!CA_cost_stop+AC239+AC245)&lt;AB250,KLL_II_2020!CA_gco&gt;0,KLL_II_2020!CA_gco&gt;KLL_II_2020!CA_cost_stop),KLL_II_2020!CA_gco+AC239+AC245,KLL_II_2020!CA_cost_stop+AC239+AC245)</f>
        <v>0</v>
      </c>
      <c r="AD249" s="49">
        <f ca="1">IF(AND((KLL_II_2020!CA_cost_stop+AD239+AD245)&lt;AC250,KLL_II_2020!CA_gco&gt;0,KLL_II_2020!CA_gco&gt;KLL_II_2020!CA_cost_stop),KLL_II_2020!CA_gco+AD239+AD245,KLL_II_2020!CA_cost_stop+AD239+AD245)</f>
        <v>0</v>
      </c>
      <c r="AE249" s="49">
        <f ca="1">IF(AND((KLL_II_2020!CA_cost_stop+AE239+AE245)&lt;AD250,KLL_II_2020!CA_gco&gt;0,KLL_II_2020!CA_gco&gt;KLL_II_2020!CA_cost_stop),KLL_II_2020!CA_gco+AE239+AE245,KLL_II_2020!CA_cost_stop+AE239+AE245)</f>
        <v>0</v>
      </c>
      <c r="AF249" s="49">
        <f ca="1">IF(AND((KLL_II_2020!CA_cost_stop+AF239+AF245)&lt;AE250,KLL_II_2020!CA_gco&gt;0,KLL_II_2020!CA_gco&gt;KLL_II_2020!CA_cost_stop),KLL_II_2020!CA_gco+AF239+AF245,KLL_II_2020!CA_cost_stop+AF239+AF245)</f>
        <v>0</v>
      </c>
      <c r="AG249" s="49">
        <f ca="1">IF(AND((KLL_II_2020!CA_cost_stop+AG239+AG245)&lt;AF250,KLL_II_2020!CA_gco&gt;0,KLL_II_2020!CA_gco&gt;KLL_II_2020!CA_cost_stop),KLL_II_2020!CA_gco+AG239+AG245,KLL_II_2020!CA_cost_stop+AG239+AG245)</f>
        <v>0</v>
      </c>
      <c r="AH249" s="49">
        <f ca="1">IF(AND((KLL_II_2020!CA_cost_stop+AH239+AH245)&lt;AG250,KLL_II_2020!CA_gco&gt;0,KLL_II_2020!CA_gco&gt;KLL_II_2020!CA_cost_stop),KLL_II_2020!CA_gco+AH239+AH245,KLL_II_2020!CA_cost_stop+AH239+AH245)</f>
        <v>0</v>
      </c>
      <c r="AI249" s="49">
        <f ca="1">IF(AND((KLL_II_2020!CA_cost_stop+AI239+AI245)&lt;AH250,KLL_II_2020!CA_gco&gt;0,KLL_II_2020!CA_gco&gt;KLL_II_2020!CA_cost_stop),KLL_II_2020!CA_gco+AI239+AI245,KLL_II_2020!CA_cost_stop+AI239+AI245)</f>
        <v>0</v>
      </c>
      <c r="AJ249" s="49">
        <f ca="1">IF(AND((KLL_II_2020!CA_cost_stop+AJ239+AJ245)&lt;AI250,KLL_II_2020!CA_gco&gt;0,KLL_II_2020!CA_gco&gt;KLL_II_2020!CA_cost_stop),KLL_II_2020!CA_gco+AJ239+AJ245,KLL_II_2020!CA_cost_stop+AJ239+AJ245)</f>
        <v>0</v>
      </c>
      <c r="AK249" s="49">
        <f ca="1">IF(AND((KLL_II_2020!CA_cost_stop+AK239+AK245)&lt;AJ250,KLL_II_2020!CA_gco&gt;0,KLL_II_2020!CA_gco&gt;KLL_II_2020!CA_cost_stop),KLL_II_2020!CA_gco+AK239+AK245,KLL_II_2020!CA_cost_stop+AK239+AK245)</f>
        <v>0</v>
      </c>
      <c r="AL249" s="49">
        <f ca="1">IF(AND((KLL_II_2020!CA_cost_stop+AL239+AL245)&lt;AK250,KLL_II_2020!CA_gco&gt;0,KLL_II_2020!CA_gco&gt;KLL_II_2020!CA_cost_stop),KLL_II_2020!CA_gco+AL239+AL245,KLL_II_2020!CA_cost_stop+AL239+AL245)</f>
        <v>0</v>
      </c>
      <c r="AM249" s="49">
        <f ca="1">IF(AND((KLL_II_2020!CA_cost_stop+AM239+AM245)&lt;AL250,KLL_II_2020!CA_gco&gt;0,KLL_II_2020!CA_gco&gt;KLL_II_2020!CA_cost_stop),KLL_II_2020!CA_gco+AM239+AM245,KLL_II_2020!CA_cost_stop+AM239+AM245)</f>
        <v>0</v>
      </c>
      <c r="AN249" s="49">
        <f ca="1">IF(AND((KLL_II_2020!CA_cost_stop+AN239+AN245)&lt;AM250,KLL_II_2020!CA_gco&gt;0,KLL_II_2020!CA_gco&gt;KLL_II_2020!CA_cost_stop),KLL_II_2020!CA_gco+AN239+AN245,KLL_II_2020!CA_cost_stop+AN239+AN245)</f>
        <v>0</v>
      </c>
      <c r="AO249" s="49">
        <f ca="1">IF(AND((KLL_II_2020!CA_cost_stop+AO239+AO245)&lt;AN250,KLL_II_2020!CA_gco&gt;0,KLL_II_2020!CA_gco&gt;KLL_II_2020!CA_cost_stop),KLL_II_2020!CA_gco+AO239+AO245,KLL_II_2020!CA_cost_stop+AO239+AO245)</f>
        <v>0</v>
      </c>
      <c r="AP249" s="49">
        <f ca="1">IF(AND((KLL_II_2020!CA_cost_stop+AP239+AP245)&lt;AO250,KLL_II_2020!CA_gco&gt;0,KLL_II_2020!CA_gco&gt;KLL_II_2020!CA_cost_stop),KLL_II_2020!CA_gco+AP239+AP245,KLL_II_2020!CA_cost_stop+AP239+AP245)</f>
        <v>0</v>
      </c>
      <c r="AQ249" s="49">
        <f ca="1">IF(AND((KLL_II_2020!CA_cost_stop+AQ239+AQ245)&lt;AP250,KLL_II_2020!CA_gco&gt;0,KLL_II_2020!CA_gco&gt;KLL_II_2020!CA_cost_stop),KLL_II_2020!CA_gco+AQ239+AQ245,KLL_II_2020!CA_cost_stop+AQ239+AQ245)</f>
        <v>0</v>
      </c>
      <c r="AR249" s="49">
        <f ca="1">IF(AND((KLL_II_2020!CA_cost_stop+AR239+AR245)&lt;AQ250,KLL_II_2020!CA_gco&gt;0,KLL_II_2020!CA_gco&gt;KLL_II_2020!CA_cost_stop),KLL_II_2020!CA_gco+AR239+AR245,KLL_II_2020!CA_cost_stop+AR239+AR245)</f>
        <v>0</v>
      </c>
      <c r="AS249" s="49">
        <f ca="1">IF(AND((KLL_II_2020!CA_cost_stop+AS239+AS245)&lt;AR250,KLL_II_2020!CA_gco&gt;0,KLL_II_2020!CA_gco&gt;KLL_II_2020!CA_cost_stop),KLL_II_2020!CA_gco+AS239+AS245,KLL_II_2020!CA_cost_stop+AS239+AS245)</f>
        <v>0</v>
      </c>
      <c r="AT249" s="49">
        <f ca="1">IF(AND((KLL_II_2020!CA_cost_stop+AT239+AT245)&lt;AS250,KLL_II_2020!CA_gco&gt;0,KLL_II_2020!CA_gco&gt;KLL_II_2020!CA_cost_stop),KLL_II_2020!CA_gco+AT239+AT245,KLL_II_2020!CA_cost_stop+AT239+AT245)</f>
        <v>0</v>
      </c>
      <c r="AU249" s="49">
        <f ca="1">IF(AND((KLL_II_2020!CA_cost_stop+AU239+AU245)&lt;AT250,KLL_II_2020!CA_gco&gt;0,KLL_II_2020!CA_gco&gt;KLL_II_2020!CA_cost_stop),KLL_II_2020!CA_gco+AU239+AU245,KLL_II_2020!CA_cost_stop+AU239+AU245)</f>
        <v>0</v>
      </c>
      <c r="AV249" s="49">
        <f ca="1">IF(AND((KLL_II_2020!CA_cost_stop+AV239+AV245)&lt;AU250,KLL_II_2020!CA_gco&gt;0,KLL_II_2020!CA_gco&gt;KLL_II_2020!CA_cost_stop),KLL_II_2020!CA_gco+AV239+AV245,KLL_II_2020!CA_cost_stop+AV239+AV245)</f>
        <v>0</v>
      </c>
      <c r="AW249" s="49">
        <f ca="1">IF(AND((KLL_II_2020!CA_cost_stop+AW239+AW245)&lt;AV250,KLL_II_2020!CA_gco&gt;0,KLL_II_2020!CA_gco&gt;KLL_II_2020!CA_cost_stop),KLL_II_2020!CA_gco+AW239+AW245,KLL_II_2020!CA_cost_stop+AW239+AW245)</f>
        <v>0</v>
      </c>
      <c r="AX249" s="49">
        <f ca="1">IF(AND((KLL_II_2020!CA_cost_stop+AX239+AX245)&lt;AW250,KLL_II_2020!CA_gco&gt;0,KLL_II_2020!CA_gco&gt;KLL_II_2020!CA_cost_stop),KLL_II_2020!CA_gco+AX239+AX245,KLL_II_2020!CA_cost_stop+AX239+AX245)</f>
        <v>0</v>
      </c>
      <c r="AY249" s="49">
        <f ca="1">IF(AND((KLL_II_2020!CA_cost_stop+AY239+AY245)&lt;AX250,KLL_II_2020!CA_gco&gt;0,KLL_II_2020!CA_gco&gt;KLL_II_2020!CA_cost_stop),KLL_II_2020!CA_gco+AY239+AY245,KLL_II_2020!CA_cost_stop+AY239+AY245)</f>
        <v>0</v>
      </c>
      <c r="AZ249" s="49">
        <f ca="1">IF(AND((KLL_II_2020!CA_cost_stop+AZ239+AZ245)&lt;AY250,KLL_II_2020!CA_gco&gt;0,KLL_II_2020!CA_gco&gt;KLL_II_2020!CA_cost_stop),KLL_II_2020!CA_gco+AZ239+AZ245,KLL_II_2020!CA_cost_stop+AZ239+AZ245)</f>
        <v>0</v>
      </c>
      <c r="BA249" s="49">
        <f ca="1">IF(AND((KLL_II_2020!CA_cost_stop+BA239+BA245)&lt;AZ250,KLL_II_2020!CA_gco&gt;0,KLL_II_2020!CA_gco&gt;KLL_II_2020!CA_cost_stop),KLL_II_2020!CA_gco+BA239+BA245,KLL_II_2020!CA_cost_stop+BA239+BA245)</f>
        <v>0</v>
      </c>
      <c r="BB249" s="49">
        <f ca="1">IF(AND((KLL_II_2020!CA_cost_stop+BB239+BB245)&lt;BA250,KLL_II_2020!CA_gco&gt;0,KLL_II_2020!CA_gco&gt;KLL_II_2020!CA_cost_stop),KLL_II_2020!CA_gco+BB239+BB245,KLL_II_2020!CA_cost_stop+BB239+BB245)</f>
        <v>0</v>
      </c>
      <c r="BC249" s="49">
        <f ca="1">IF(AND((KLL_II_2020!CA_cost_stop+BC239+BC245)&lt;BB250,KLL_II_2020!CA_gco&gt;0,KLL_II_2020!CA_gco&gt;KLL_II_2020!CA_cost_stop),KLL_II_2020!CA_gco+BC239+BC245,KLL_II_2020!CA_cost_stop+BC239+BC245)</f>
        <v>0</v>
      </c>
      <c r="BD249" s="49">
        <f ca="1">IF(AND((KLL_II_2020!CA_cost_stop+BD239+BD245)&lt;BC250,KLL_II_2020!CA_gco&gt;0,KLL_II_2020!CA_gco&gt;KLL_II_2020!CA_cost_stop),KLL_II_2020!CA_gco+BD239+BD245,KLL_II_2020!CA_cost_stop+BD239+BD245)</f>
        <v>0</v>
      </c>
      <c r="BE249" s="49">
        <f ca="1">IF(AND((KLL_II_2020!CA_cost_stop+BE239+BE245)&lt;BD250,KLL_II_2020!CA_gco&gt;0,KLL_II_2020!CA_gco&gt;KLL_II_2020!CA_cost_stop),KLL_II_2020!CA_gco+BE239+BE245,KLL_II_2020!CA_cost_stop+BE239+BE245)</f>
        <v>0</v>
      </c>
      <c r="BF249" s="49">
        <f ca="1">IF(AND((KLL_II_2020!CA_cost_stop+BF239+BF245)&lt;BE250,KLL_II_2020!CA_gco&gt;0,KLL_II_2020!CA_gco&gt;KLL_II_2020!CA_cost_stop),KLL_II_2020!CA_gco+BF239+BF245,KLL_II_2020!CA_cost_stop+BF239+BF245)</f>
        <v>0</v>
      </c>
      <c r="BG249" s="49">
        <f ca="1">IF(AND((KLL_II_2020!CA_cost_stop+BG239+BG245)&lt;BF250,KLL_II_2020!CA_gco&gt;0,KLL_II_2020!CA_gco&gt;KLL_II_2020!CA_cost_stop),KLL_II_2020!CA_gco+BG239+BG245,KLL_II_2020!CA_cost_stop+BG239+BG245)</f>
        <v>0</v>
      </c>
      <c r="BH249" s="49">
        <f ca="1">IF(AND((KLL_II_2020!CA_cost_stop+BH239+BH245)&lt;BG250,KLL_II_2020!CA_gco&gt;0,KLL_II_2020!CA_gco&gt;KLL_II_2020!CA_cost_stop),KLL_II_2020!CA_gco+BH239+BH245,KLL_II_2020!CA_cost_stop+BH239+BH245)</f>
        <v>0</v>
      </c>
      <c r="BI249" s="49">
        <f ca="1">IF(AND((KLL_II_2020!CA_cost_stop+BI239+BI245)&lt;BH250,KLL_II_2020!CA_gco&gt;0,KLL_II_2020!CA_gco&gt;KLL_II_2020!CA_cost_stop),KLL_II_2020!CA_gco+BI239+BI245,KLL_II_2020!CA_cost_stop+BI239+BI245)</f>
        <v>0</v>
      </c>
      <c r="BJ249" s="49">
        <f ca="1">IF(AND((KLL_II_2020!CA_cost_stop+BJ239+BJ245)&lt;BI250,KLL_II_2020!CA_gco&gt;0,KLL_II_2020!CA_gco&gt;KLL_II_2020!CA_cost_stop),KLL_II_2020!CA_gco+BJ239+BJ245,KLL_II_2020!CA_cost_stop+BJ239+BJ245)</f>
        <v>0</v>
      </c>
      <c r="BK249" s="49">
        <f ca="1">IF(AND((KLL_II_2020!CA_cost_stop+BK239+BK245)&lt;BJ250,KLL_II_2020!CA_gco&gt;0,KLL_II_2020!CA_gco&gt;KLL_II_2020!CA_cost_stop),KLL_II_2020!CA_gco+BK239+BK245,KLL_II_2020!CA_cost_stop+BK239+BK245)</f>
        <v>0</v>
      </c>
      <c r="BL249" s="49">
        <f ca="1">IF(AND((KLL_II_2020!CA_cost_stop+BL239+BL245)&lt;BK250,KLL_II_2020!CA_gco&gt;0,KLL_II_2020!CA_gco&gt;KLL_II_2020!CA_cost_stop),KLL_II_2020!CA_gco+BL239+BL245,KLL_II_2020!CA_cost_stop+BL239+BL245)</f>
        <v>0</v>
      </c>
      <c r="BM249" s="49">
        <f ca="1">IF(AND((KLL_II_2020!CA_cost_stop+BM239+BM245)&lt;BL250,KLL_II_2020!CA_gco&gt;0,KLL_II_2020!CA_gco&gt;KLL_II_2020!CA_cost_stop),KLL_II_2020!CA_gco+BM239+BM245,KLL_II_2020!CA_cost_stop+BM239+BM245)</f>
        <v>0</v>
      </c>
      <c r="BN249" s="49">
        <f ca="1">IF(AND((KLL_II_2020!CA_cost_stop+BN239+BN245)&lt;BM250,KLL_II_2020!CA_gco&gt;0,KLL_II_2020!CA_gco&gt;KLL_II_2020!CA_cost_stop),KLL_II_2020!CA_gco+BN239+BN245,KLL_II_2020!CA_cost_stop+BN239+BN245)</f>
        <v>0</v>
      </c>
      <c r="BO249" s="49">
        <f ca="1">IF(AND((KLL_II_2020!CA_cost_stop+BO239+BO245)&lt;BN250,KLL_II_2020!CA_gco&gt;0,KLL_II_2020!CA_gco&gt;KLL_II_2020!CA_cost_stop),KLL_II_2020!CA_gco+BO239+BO245,KLL_II_2020!CA_cost_stop+BO239+BO245)</f>
        <v>0</v>
      </c>
      <c r="BP249" s="49">
        <f ca="1">IF(AND((KLL_II_2020!CA_cost_stop+BP239+BP245)&lt;BO250,KLL_II_2020!CA_gco&gt;0,KLL_II_2020!CA_gco&gt;KLL_II_2020!CA_cost_stop),KLL_II_2020!CA_gco+BP239+BP245,KLL_II_2020!CA_cost_stop+BP239+BP245)</f>
        <v>0</v>
      </c>
      <c r="BQ249" s="49">
        <f ca="1">IF(AND((KLL_II_2020!CA_cost_stop+BQ239+BQ245)&lt;BP250,KLL_II_2020!CA_gco&gt;0,KLL_II_2020!CA_gco&gt;KLL_II_2020!CA_cost_stop),KLL_II_2020!CA_gco+BQ239+BQ245,KLL_II_2020!CA_cost_stop+BQ239+BQ245)</f>
        <v>0</v>
      </c>
      <c r="BR249" s="49">
        <f ca="1">IF(AND((KLL_II_2020!CA_cost_stop+BR239+BR245)&lt;BQ250,KLL_II_2020!CA_gco&gt;0,KLL_II_2020!CA_gco&gt;KLL_II_2020!CA_cost_stop),KLL_II_2020!CA_gco+BR239+BR245,KLL_II_2020!CA_cost_stop+BR239+BR245)</f>
        <v>0</v>
      </c>
      <c r="BS249" s="49">
        <f ca="1">IF(AND((KLL_II_2020!CA_cost_stop+BS239+BS245)&lt;BR250,KLL_II_2020!CA_gco&gt;0,KLL_II_2020!CA_gco&gt;KLL_II_2020!CA_cost_stop),KLL_II_2020!CA_gco+BS239+BS245,KLL_II_2020!CA_cost_stop+BS239+BS245)</f>
        <v>0</v>
      </c>
    </row>
    <row r="250" spans="4:71" outlineLevel="1" x14ac:dyDescent="0.2">
      <c r="E250" t="str">
        <f>HM_ZD_Moho!E274</f>
        <v>Capex cumulés à récupérer</v>
      </c>
      <c r="I250" s="30">
        <f ca="1">I221</f>
        <v>406.02799999999996</v>
      </c>
      <c r="J250" s="26" t="s">
        <v>148</v>
      </c>
      <c r="L250" s="49">
        <f ca="1">(KLL_II_2020!CA_capex_to_recover+KLL_II_2020!CA_unrecov_costs_to_recover)+(K252*(1+KLL_II_2020!int_rate_cf_costs))</f>
        <v>243.34944036000002</v>
      </c>
      <c r="M250" s="49">
        <f ca="1">(KLL_II_2020!CA_capex_to_recover+KLL_II_2020!CA_unrecov_costs_to_recover)+(L252*(1+KLL_II_2020!int_rate_cf_costs))</f>
        <v>397.67860838031004</v>
      </c>
      <c r="N250" s="49">
        <f ca="1">(KLL_II_2020!CA_capex_to_recover+KLL_II_2020!CA_unrecov_costs_to_recover)+(M252*(1+KLL_II_2020!int_rate_cf_costs))</f>
        <v>425.47875175159004</v>
      </c>
      <c r="O250" s="49">
        <f ca="1">(KLL_II_2020!CA_capex_to_recover+KLL_II_2020!CA_unrecov_costs_to_recover)+(N252*(1+KLL_II_2020!int_rate_cf_costs))</f>
        <v>411.137261459135</v>
      </c>
      <c r="P250" s="49">
        <f ca="1">(KLL_II_2020!CA_capex_to_recover+KLL_II_2020!CA_unrecov_costs_to_recover)+(O252*(1+KLL_II_2020!int_rate_cf_costs))</f>
        <v>429.33726145913499</v>
      </c>
      <c r="Q250" s="49">
        <f ca="1">(KLL_II_2020!CA_capex_to_recover+KLL_II_2020!CA_unrecov_costs_to_recover)+(P252*(1+KLL_II_2020!int_rate_cf_costs))</f>
        <v>489.33726145913499</v>
      </c>
      <c r="R250" s="49">
        <f ca="1">(KLL_II_2020!CA_capex_to_recover+KLL_II_2020!CA_unrecov_costs_to_recover)+(Q252*(1+KLL_II_2020!int_rate_cf_costs))</f>
        <v>477.38766384785993</v>
      </c>
      <c r="S250" s="49">
        <f ca="1">(KLL_II_2020!CA_capex_to_recover+KLL_II_2020!CA_unrecov_costs_to_recover)+(R252*(1+KLL_II_2020!int_rate_cf_costs))</f>
        <v>421.03385799376497</v>
      </c>
      <c r="T250" s="49">
        <f ca="1">(KLL_II_2020!CA_capex_to_recover+KLL_II_2020!CA_unrecov_costs_to_recover)+(S252*(1+KLL_II_2020!int_rate_cf_costs))</f>
        <v>372.02891496376498</v>
      </c>
      <c r="U250" s="49">
        <f ca="1">(KLL_II_2020!CA_capex_to_recover+KLL_II_2020!CA_unrecov_costs_to_recover)+(T252*(1+KLL_II_2020!int_rate_cf_costs))</f>
        <v>304.14606889221295</v>
      </c>
      <c r="V250" s="49">
        <f ca="1">(KLL_II_2020!CA_capex_to_recover+KLL_II_2020!CA_unrecov_costs_to_recover)+(U252*(1+KLL_II_2020!int_rate_cf_costs))</f>
        <v>243.638103388053</v>
      </c>
      <c r="W250" s="49">
        <f ca="1">(KLL_II_2020!CA_capex_to_recover+KLL_II_2020!CA_unrecov_costs_to_recover)+(V252*(1+KLL_II_2020!int_rate_cf_costs))</f>
        <v>189.98568731080687</v>
      </c>
      <c r="X250" s="49">
        <f ca="1">(KLL_II_2020!CA_capex_to_recover+KLL_II_2020!CA_unrecov_costs_to_recover)+(W252*(1+KLL_II_2020!int_rate_cf_costs))</f>
        <v>142.86678348393116</v>
      </c>
      <c r="Y250" s="49">
        <f ca="1">(KLL_II_2020!CA_capex_to_recover+KLL_II_2020!CA_unrecov_costs_to_recover)+(X252*(1+KLL_II_2020!int_rate_cf_costs))</f>
        <v>101.97562278831688</v>
      </c>
      <c r="Z250" s="49">
        <f ca="1">(KLL_II_2020!CA_capex_to_recover+KLL_II_2020!CA_unrecov_costs_to_recover)+(Y252*(1+KLL_II_2020!int_rate_cf_costs))</f>
        <v>101.97562278831688</v>
      </c>
      <c r="AA250" s="49">
        <f ca="1">(KLL_II_2020!CA_capex_to_recover+KLL_II_2020!CA_unrecov_costs_to_recover)+(Z252*(1+KLL_II_2020!int_rate_cf_costs))</f>
        <v>101.97562278831688</v>
      </c>
      <c r="AB250" s="49">
        <f ca="1">(KLL_II_2020!CA_capex_to_recover+KLL_II_2020!CA_unrecov_costs_to_recover)+(AA252*(1+KLL_II_2020!int_rate_cf_costs))</f>
        <v>101.97562278831688</v>
      </c>
      <c r="AC250" s="49">
        <f ca="1">(KLL_II_2020!CA_capex_to_recover+KLL_II_2020!CA_unrecov_costs_to_recover)+(AB252*(1+KLL_II_2020!int_rate_cf_costs))</f>
        <v>101.97562278831688</v>
      </c>
      <c r="AD250" s="49">
        <f ca="1">(KLL_II_2020!CA_capex_to_recover+KLL_II_2020!CA_unrecov_costs_to_recover)+(AC252*(1+KLL_II_2020!int_rate_cf_costs))</f>
        <v>101.97562278831688</v>
      </c>
      <c r="AE250" s="49">
        <f ca="1">(KLL_II_2020!CA_capex_to_recover+KLL_II_2020!CA_unrecov_costs_to_recover)+(AD252*(1+KLL_II_2020!int_rate_cf_costs))</f>
        <v>101.97562278831688</v>
      </c>
      <c r="AF250" s="49">
        <f ca="1">(KLL_II_2020!CA_capex_to_recover+KLL_II_2020!CA_unrecov_costs_to_recover)+(AE252*(1+KLL_II_2020!int_rate_cf_costs))</f>
        <v>101.97562278831688</v>
      </c>
      <c r="AG250" s="49">
        <f ca="1">(KLL_II_2020!CA_capex_to_recover+KLL_II_2020!CA_unrecov_costs_to_recover)+(AF252*(1+KLL_II_2020!int_rate_cf_costs))</f>
        <v>101.97562278831688</v>
      </c>
      <c r="AH250" s="49">
        <f ca="1">(KLL_II_2020!CA_capex_to_recover+KLL_II_2020!CA_unrecov_costs_to_recover)+(AG252*(1+KLL_II_2020!int_rate_cf_costs))</f>
        <v>101.97562278831688</v>
      </c>
      <c r="AI250" s="49">
        <f ca="1">(KLL_II_2020!CA_capex_to_recover+KLL_II_2020!CA_unrecov_costs_to_recover)+(AH252*(1+KLL_II_2020!int_rate_cf_costs))</f>
        <v>101.97562278831688</v>
      </c>
      <c r="AJ250" s="49">
        <f ca="1">(KLL_II_2020!CA_capex_to_recover+KLL_II_2020!CA_unrecov_costs_to_recover)+(AI252*(1+KLL_II_2020!int_rate_cf_costs))</f>
        <v>101.97562278831688</v>
      </c>
      <c r="AK250" s="49">
        <f ca="1">(KLL_II_2020!CA_capex_to_recover+KLL_II_2020!CA_unrecov_costs_to_recover)+(AJ252*(1+KLL_II_2020!int_rate_cf_costs))</f>
        <v>101.97562278831688</v>
      </c>
      <c r="AL250" s="49">
        <f ca="1">(KLL_II_2020!CA_capex_to_recover+KLL_II_2020!CA_unrecov_costs_to_recover)+(AK252*(1+KLL_II_2020!int_rate_cf_costs))</f>
        <v>101.97562278831688</v>
      </c>
      <c r="AM250" s="49">
        <f ca="1">(KLL_II_2020!CA_capex_to_recover+KLL_II_2020!CA_unrecov_costs_to_recover)+(AL252*(1+KLL_II_2020!int_rate_cf_costs))</f>
        <v>101.97562278831688</v>
      </c>
      <c r="AN250" s="49">
        <f ca="1">(KLL_II_2020!CA_capex_to_recover+KLL_II_2020!CA_unrecov_costs_to_recover)+(AM252*(1+KLL_II_2020!int_rate_cf_costs))</f>
        <v>101.97562278831688</v>
      </c>
      <c r="AO250" s="49">
        <f ca="1">(KLL_II_2020!CA_capex_to_recover+KLL_II_2020!CA_unrecov_costs_to_recover)+(AN252*(1+KLL_II_2020!int_rate_cf_costs))</f>
        <v>101.97562278831688</v>
      </c>
      <c r="AP250" s="49">
        <f ca="1">(KLL_II_2020!CA_capex_to_recover+KLL_II_2020!CA_unrecov_costs_to_recover)+(AO252*(1+KLL_II_2020!int_rate_cf_costs))</f>
        <v>101.97562278831688</v>
      </c>
      <c r="AQ250" s="49">
        <f ca="1">(KLL_II_2020!CA_capex_to_recover+KLL_II_2020!CA_unrecov_costs_to_recover)+(AP252*(1+KLL_II_2020!int_rate_cf_costs))</f>
        <v>101.97562278831688</v>
      </c>
      <c r="AR250" s="49">
        <f ca="1">(KLL_II_2020!CA_capex_to_recover+KLL_II_2020!CA_unrecov_costs_to_recover)+(AQ252*(1+KLL_II_2020!int_rate_cf_costs))</f>
        <v>101.97562278831688</v>
      </c>
      <c r="AS250" s="49">
        <f ca="1">(KLL_II_2020!CA_capex_to_recover+KLL_II_2020!CA_unrecov_costs_to_recover)+(AR252*(1+KLL_II_2020!int_rate_cf_costs))</f>
        <v>101.97562278831688</v>
      </c>
      <c r="AT250" s="49">
        <f ca="1">(KLL_II_2020!CA_capex_to_recover+KLL_II_2020!CA_unrecov_costs_to_recover)+(AS252*(1+KLL_II_2020!int_rate_cf_costs))</f>
        <v>101.97562278831688</v>
      </c>
      <c r="AU250" s="49">
        <f ca="1">(KLL_II_2020!CA_capex_to_recover+KLL_II_2020!CA_unrecov_costs_to_recover)+(AT252*(1+KLL_II_2020!int_rate_cf_costs))</f>
        <v>101.97562278831688</v>
      </c>
      <c r="AV250" s="49">
        <f ca="1">(KLL_II_2020!CA_capex_to_recover+KLL_II_2020!CA_unrecov_costs_to_recover)+(AU252*(1+KLL_II_2020!int_rate_cf_costs))</f>
        <v>101.97562278831688</v>
      </c>
      <c r="AW250" s="49">
        <f ca="1">(KLL_II_2020!CA_capex_to_recover+KLL_II_2020!CA_unrecov_costs_to_recover)+(AV252*(1+KLL_II_2020!int_rate_cf_costs))</f>
        <v>101.97562278831688</v>
      </c>
      <c r="AX250" s="49">
        <f ca="1">(KLL_II_2020!CA_capex_to_recover+KLL_II_2020!CA_unrecov_costs_to_recover)+(AW252*(1+KLL_II_2020!int_rate_cf_costs))</f>
        <v>101.97562278831688</v>
      </c>
      <c r="AY250" s="49">
        <f ca="1">(KLL_II_2020!CA_capex_to_recover+KLL_II_2020!CA_unrecov_costs_to_recover)+(AX252*(1+KLL_II_2020!int_rate_cf_costs))</f>
        <v>101.97562278831688</v>
      </c>
      <c r="AZ250" s="49">
        <f ca="1">(KLL_II_2020!CA_capex_to_recover+KLL_II_2020!CA_unrecov_costs_to_recover)+(AY252*(1+KLL_II_2020!int_rate_cf_costs))</f>
        <v>101.97562278831688</v>
      </c>
      <c r="BA250" s="49">
        <f ca="1">(KLL_II_2020!CA_capex_to_recover+KLL_II_2020!CA_unrecov_costs_to_recover)+(AZ252*(1+KLL_II_2020!int_rate_cf_costs))</f>
        <v>101.97562278831688</v>
      </c>
      <c r="BB250" s="49">
        <f ca="1">(KLL_II_2020!CA_capex_to_recover+KLL_II_2020!CA_unrecov_costs_to_recover)+(BA252*(1+KLL_II_2020!int_rate_cf_costs))</f>
        <v>101.97562278831688</v>
      </c>
      <c r="BC250" s="49">
        <f ca="1">(KLL_II_2020!CA_capex_to_recover+KLL_II_2020!CA_unrecov_costs_to_recover)+(BB252*(1+KLL_II_2020!int_rate_cf_costs))</f>
        <v>101.97562278831688</v>
      </c>
      <c r="BD250" s="49">
        <f ca="1">(KLL_II_2020!CA_capex_to_recover+KLL_II_2020!CA_unrecov_costs_to_recover)+(BC252*(1+KLL_II_2020!int_rate_cf_costs))</f>
        <v>101.97562278831688</v>
      </c>
      <c r="BE250" s="49">
        <f ca="1">(KLL_II_2020!CA_capex_to_recover+KLL_II_2020!CA_unrecov_costs_to_recover)+(BD252*(1+KLL_II_2020!int_rate_cf_costs))</f>
        <v>101.97562278831688</v>
      </c>
      <c r="BF250" s="49">
        <f ca="1">(KLL_II_2020!CA_capex_to_recover+KLL_II_2020!CA_unrecov_costs_to_recover)+(BE252*(1+KLL_II_2020!int_rate_cf_costs))</f>
        <v>101.97562278831688</v>
      </c>
      <c r="BG250" s="49">
        <f ca="1">(KLL_II_2020!CA_capex_to_recover+KLL_II_2020!CA_unrecov_costs_to_recover)+(BF252*(1+KLL_II_2020!int_rate_cf_costs))</f>
        <v>101.97562278831688</v>
      </c>
      <c r="BH250" s="49">
        <f ca="1">(KLL_II_2020!CA_capex_to_recover+KLL_II_2020!CA_unrecov_costs_to_recover)+(BG252*(1+KLL_II_2020!int_rate_cf_costs))</f>
        <v>101.97562278831688</v>
      </c>
      <c r="BI250" s="49">
        <f ca="1">(KLL_II_2020!CA_capex_to_recover+KLL_II_2020!CA_unrecov_costs_to_recover)+(BH252*(1+KLL_II_2020!int_rate_cf_costs))</f>
        <v>101.97562278831688</v>
      </c>
      <c r="BJ250" s="49">
        <f ca="1">(KLL_II_2020!CA_capex_to_recover+KLL_II_2020!CA_unrecov_costs_to_recover)+(BI252*(1+KLL_II_2020!int_rate_cf_costs))</f>
        <v>101.97562278831688</v>
      </c>
      <c r="BK250" s="49">
        <f ca="1">(KLL_II_2020!CA_capex_to_recover+KLL_II_2020!CA_unrecov_costs_to_recover)+(BJ252*(1+KLL_II_2020!int_rate_cf_costs))</f>
        <v>101.97562278831688</v>
      </c>
      <c r="BL250" s="49">
        <f ca="1">(KLL_II_2020!CA_capex_to_recover+KLL_II_2020!CA_unrecov_costs_to_recover)+(BK252*(1+KLL_II_2020!int_rate_cf_costs))</f>
        <v>101.97562278831688</v>
      </c>
      <c r="BM250" s="49">
        <f ca="1">(KLL_II_2020!CA_capex_to_recover+KLL_II_2020!CA_unrecov_costs_to_recover)+(BL252*(1+KLL_II_2020!int_rate_cf_costs))</f>
        <v>101.97562278831688</v>
      </c>
      <c r="BN250" s="49">
        <f ca="1">(KLL_II_2020!CA_capex_to_recover+KLL_II_2020!CA_unrecov_costs_to_recover)+(BM252*(1+KLL_II_2020!int_rate_cf_costs))</f>
        <v>101.97562278831688</v>
      </c>
      <c r="BO250" s="49">
        <f ca="1">(KLL_II_2020!CA_capex_to_recover+KLL_II_2020!CA_unrecov_costs_to_recover)+(BN252*(1+KLL_II_2020!int_rate_cf_costs))</f>
        <v>101.97562278831688</v>
      </c>
      <c r="BP250" s="49">
        <f ca="1">(KLL_II_2020!CA_capex_to_recover+KLL_II_2020!CA_unrecov_costs_to_recover)+(BO252*(1+KLL_II_2020!int_rate_cf_costs))</f>
        <v>101.97562278831688</v>
      </c>
      <c r="BQ250" s="49">
        <f ca="1">(KLL_II_2020!CA_capex_to_recover+KLL_II_2020!CA_unrecov_costs_to_recover)+(BP252*(1+KLL_II_2020!int_rate_cf_costs))</f>
        <v>101.97562278831688</v>
      </c>
      <c r="BR250" s="49">
        <f ca="1">(KLL_II_2020!CA_capex_to_recover+KLL_II_2020!CA_unrecov_costs_to_recover)+(BQ252*(1+KLL_II_2020!int_rate_cf_costs))</f>
        <v>101.97562278831688</v>
      </c>
      <c r="BS250" s="49">
        <f ca="1">(KLL_II_2020!CA_capex_to_recover+KLL_II_2020!CA_unrecov_costs_to_recover)+(BR252*(1+KLL_II_2020!int_rate_cf_costs))</f>
        <v>101.97562278831688</v>
      </c>
    </row>
    <row r="251" spans="4:71" outlineLevel="1" x14ac:dyDescent="0.2">
      <c r="E251" t="str">
        <f>HM_ZD_Moho!E275</f>
        <v>Capex récupérés</v>
      </c>
      <c r="H251" s="56" t="b">
        <f ca="1">ROUND(I251,2)=-ROUND(I250,2)</f>
        <v>0</v>
      </c>
      <c r="I251" s="30">
        <f t="shared" ca="1" si="60"/>
        <v>-496.38781757168306</v>
      </c>
      <c r="J251" s="26" t="s">
        <v>148</v>
      </c>
      <c r="L251" s="49">
        <f ca="1">-MIN(L250,L249)</f>
        <v>-17.181831979689992</v>
      </c>
      <c r="M251" s="49">
        <f t="shared" ref="M251:BS251" ca="1" si="61">-MIN(M250,M249)</f>
        <v>-48.840856628719997</v>
      </c>
      <c r="N251" s="49">
        <f t="shared" ca="1" si="61"/>
        <v>-43.003490292454998</v>
      </c>
      <c r="O251" s="49">
        <f t="shared" ca="1" si="61"/>
        <v>0</v>
      </c>
      <c r="P251" s="49">
        <f t="shared" ca="1" si="61"/>
        <v>0</v>
      </c>
      <c r="Q251" s="49">
        <f t="shared" ca="1" si="61"/>
        <v>-11.949597611275047</v>
      </c>
      <c r="R251" s="49">
        <f t="shared" ca="1" si="61"/>
        <v>-56.353805854094986</v>
      </c>
      <c r="S251" s="49">
        <f t="shared" ca="1" si="61"/>
        <v>-49.00494303</v>
      </c>
      <c r="T251" s="49">
        <f t="shared" ca="1" si="61"/>
        <v>-67.882846071551995</v>
      </c>
      <c r="U251" s="49">
        <f t="shared" ca="1" si="61"/>
        <v>-60.507965504159962</v>
      </c>
      <c r="V251" s="49">
        <f t="shared" ca="1" si="61"/>
        <v>-53.652416077246137</v>
      </c>
      <c r="W251" s="49">
        <f t="shared" ca="1" si="61"/>
        <v>-47.118903826875695</v>
      </c>
      <c r="X251" s="49">
        <f t="shared" ca="1" si="61"/>
        <v>-40.891160695614268</v>
      </c>
      <c r="Y251" s="49">
        <f t="shared" ca="1" si="61"/>
        <v>0</v>
      </c>
      <c r="Z251" s="49">
        <f t="shared" ca="1" si="61"/>
        <v>0</v>
      </c>
      <c r="AA251" s="49">
        <f t="shared" ca="1" si="61"/>
        <v>0</v>
      </c>
      <c r="AB251" s="49">
        <f t="shared" ca="1" si="61"/>
        <v>0</v>
      </c>
      <c r="AC251" s="49">
        <f t="shared" ca="1" si="61"/>
        <v>0</v>
      </c>
      <c r="AD251" s="49">
        <f t="shared" ca="1" si="61"/>
        <v>0</v>
      </c>
      <c r="AE251" s="49">
        <f t="shared" ca="1" si="61"/>
        <v>0</v>
      </c>
      <c r="AF251" s="49">
        <f t="shared" ca="1" si="61"/>
        <v>0</v>
      </c>
      <c r="AG251" s="49">
        <f t="shared" ca="1" si="61"/>
        <v>0</v>
      </c>
      <c r="AH251" s="49">
        <f t="shared" ca="1" si="61"/>
        <v>0</v>
      </c>
      <c r="AI251" s="49">
        <f t="shared" ca="1" si="61"/>
        <v>0</v>
      </c>
      <c r="AJ251" s="49">
        <f t="shared" ca="1" si="61"/>
        <v>0</v>
      </c>
      <c r="AK251" s="49">
        <f t="shared" ca="1" si="61"/>
        <v>0</v>
      </c>
      <c r="AL251" s="49">
        <f t="shared" ca="1" si="61"/>
        <v>0</v>
      </c>
      <c r="AM251" s="49">
        <f t="shared" ca="1" si="61"/>
        <v>0</v>
      </c>
      <c r="AN251" s="49">
        <f t="shared" ca="1" si="61"/>
        <v>0</v>
      </c>
      <c r="AO251" s="49">
        <f t="shared" ca="1" si="61"/>
        <v>0</v>
      </c>
      <c r="AP251" s="49">
        <f t="shared" ca="1" si="61"/>
        <v>0</v>
      </c>
      <c r="AQ251" s="49">
        <f t="shared" ca="1" si="61"/>
        <v>0</v>
      </c>
      <c r="AR251" s="49">
        <f t="shared" ca="1" si="61"/>
        <v>0</v>
      </c>
      <c r="AS251" s="49">
        <f t="shared" ca="1" si="61"/>
        <v>0</v>
      </c>
      <c r="AT251" s="49">
        <f t="shared" ca="1" si="61"/>
        <v>0</v>
      </c>
      <c r="AU251" s="49">
        <f t="shared" ca="1" si="61"/>
        <v>0</v>
      </c>
      <c r="AV251" s="49">
        <f t="shared" ca="1" si="61"/>
        <v>0</v>
      </c>
      <c r="AW251" s="49">
        <f t="shared" ca="1" si="61"/>
        <v>0</v>
      </c>
      <c r="AX251" s="49">
        <f t="shared" ca="1" si="61"/>
        <v>0</v>
      </c>
      <c r="AY251" s="49">
        <f t="shared" ca="1" si="61"/>
        <v>0</v>
      </c>
      <c r="AZ251" s="49">
        <f t="shared" ca="1" si="61"/>
        <v>0</v>
      </c>
      <c r="BA251" s="49">
        <f t="shared" ca="1" si="61"/>
        <v>0</v>
      </c>
      <c r="BB251" s="49">
        <f t="shared" ca="1" si="61"/>
        <v>0</v>
      </c>
      <c r="BC251" s="49">
        <f t="shared" ca="1" si="61"/>
        <v>0</v>
      </c>
      <c r="BD251" s="49">
        <f t="shared" ca="1" si="61"/>
        <v>0</v>
      </c>
      <c r="BE251" s="49">
        <f t="shared" ca="1" si="61"/>
        <v>0</v>
      </c>
      <c r="BF251" s="49">
        <f t="shared" ca="1" si="61"/>
        <v>0</v>
      </c>
      <c r="BG251" s="49">
        <f t="shared" ca="1" si="61"/>
        <v>0</v>
      </c>
      <c r="BH251" s="49">
        <f t="shared" ca="1" si="61"/>
        <v>0</v>
      </c>
      <c r="BI251" s="49">
        <f t="shared" ca="1" si="61"/>
        <v>0</v>
      </c>
      <c r="BJ251" s="49">
        <f t="shared" ca="1" si="61"/>
        <v>0</v>
      </c>
      <c r="BK251" s="49">
        <f t="shared" ca="1" si="61"/>
        <v>0</v>
      </c>
      <c r="BL251" s="49">
        <f t="shared" ca="1" si="61"/>
        <v>0</v>
      </c>
      <c r="BM251" s="49">
        <f t="shared" ca="1" si="61"/>
        <v>0</v>
      </c>
      <c r="BN251" s="49">
        <f t="shared" ca="1" si="61"/>
        <v>0</v>
      </c>
      <c r="BO251" s="49">
        <f t="shared" ca="1" si="61"/>
        <v>0</v>
      </c>
      <c r="BP251" s="49">
        <f t="shared" ca="1" si="61"/>
        <v>0</v>
      </c>
      <c r="BQ251" s="49">
        <f t="shared" ca="1" si="61"/>
        <v>0</v>
      </c>
      <c r="BR251" s="49">
        <f t="shared" ca="1" si="61"/>
        <v>0</v>
      </c>
      <c r="BS251" s="49">
        <f t="shared" ca="1" si="61"/>
        <v>0</v>
      </c>
    </row>
    <row r="252" spans="4:71" outlineLevel="1" x14ac:dyDescent="0.2">
      <c r="E252" t="str">
        <f>HM_ZD_Moho!E276</f>
        <v xml:space="preserve">Sous/(Sur)récupération </v>
      </c>
      <c r="J252" s="26"/>
      <c r="L252" s="49">
        <f ca="1">L250+L251</f>
        <v>226.16760838031001</v>
      </c>
      <c r="M252" s="49">
        <f t="shared" ref="M252:BS252" ca="1" si="62">M250+M251</f>
        <v>348.83775175159002</v>
      </c>
      <c r="N252" s="49">
        <f t="shared" ca="1" si="62"/>
        <v>382.47526145913503</v>
      </c>
      <c r="O252" s="49">
        <f t="shared" ca="1" si="62"/>
        <v>411.137261459135</v>
      </c>
      <c r="P252" s="49">
        <f t="shared" ca="1" si="62"/>
        <v>429.33726145913499</v>
      </c>
      <c r="Q252" s="49">
        <f t="shared" ca="1" si="62"/>
        <v>477.38766384785993</v>
      </c>
      <c r="R252" s="49">
        <f t="shared" ca="1" si="62"/>
        <v>421.03385799376497</v>
      </c>
      <c r="S252" s="49">
        <f t="shared" ca="1" si="62"/>
        <v>372.02891496376498</v>
      </c>
      <c r="T252" s="49">
        <f t="shared" ca="1" si="62"/>
        <v>304.14606889221295</v>
      </c>
      <c r="U252" s="49">
        <f t="shared" ca="1" si="62"/>
        <v>243.638103388053</v>
      </c>
      <c r="V252" s="49">
        <f t="shared" ca="1" si="62"/>
        <v>189.98568731080687</v>
      </c>
      <c r="W252" s="49">
        <f t="shared" ca="1" si="62"/>
        <v>142.86678348393116</v>
      </c>
      <c r="X252" s="49">
        <f t="shared" ca="1" si="62"/>
        <v>101.97562278831688</v>
      </c>
      <c r="Y252" s="49">
        <f t="shared" ca="1" si="62"/>
        <v>101.97562278831688</v>
      </c>
      <c r="Z252" s="49">
        <f t="shared" ca="1" si="62"/>
        <v>101.97562278831688</v>
      </c>
      <c r="AA252" s="49">
        <f t="shared" ca="1" si="62"/>
        <v>101.97562278831688</v>
      </c>
      <c r="AB252" s="49">
        <f t="shared" ca="1" si="62"/>
        <v>101.97562278831688</v>
      </c>
      <c r="AC252" s="49">
        <f t="shared" ca="1" si="62"/>
        <v>101.97562278831688</v>
      </c>
      <c r="AD252" s="49">
        <f t="shared" ca="1" si="62"/>
        <v>101.97562278831688</v>
      </c>
      <c r="AE252" s="49">
        <f t="shared" ca="1" si="62"/>
        <v>101.97562278831688</v>
      </c>
      <c r="AF252" s="49">
        <f t="shared" ca="1" si="62"/>
        <v>101.97562278831688</v>
      </c>
      <c r="AG252" s="49">
        <f t="shared" ca="1" si="62"/>
        <v>101.97562278831688</v>
      </c>
      <c r="AH252" s="49">
        <f t="shared" ca="1" si="62"/>
        <v>101.97562278831688</v>
      </c>
      <c r="AI252" s="49">
        <f t="shared" ca="1" si="62"/>
        <v>101.97562278831688</v>
      </c>
      <c r="AJ252" s="49">
        <f t="shared" ca="1" si="62"/>
        <v>101.97562278831688</v>
      </c>
      <c r="AK252" s="49">
        <f t="shared" ca="1" si="62"/>
        <v>101.97562278831688</v>
      </c>
      <c r="AL252" s="49">
        <f t="shared" ca="1" si="62"/>
        <v>101.97562278831688</v>
      </c>
      <c r="AM252" s="49">
        <f t="shared" ca="1" si="62"/>
        <v>101.97562278831688</v>
      </c>
      <c r="AN252" s="49">
        <f t="shared" ca="1" si="62"/>
        <v>101.97562278831688</v>
      </c>
      <c r="AO252" s="49">
        <f t="shared" ca="1" si="62"/>
        <v>101.97562278831688</v>
      </c>
      <c r="AP252" s="49">
        <f t="shared" ca="1" si="62"/>
        <v>101.97562278831688</v>
      </c>
      <c r="AQ252" s="49">
        <f t="shared" ca="1" si="62"/>
        <v>101.97562278831688</v>
      </c>
      <c r="AR252" s="49">
        <f t="shared" ca="1" si="62"/>
        <v>101.97562278831688</v>
      </c>
      <c r="AS252" s="49">
        <f t="shared" ca="1" si="62"/>
        <v>101.97562278831688</v>
      </c>
      <c r="AT252" s="49">
        <f t="shared" ca="1" si="62"/>
        <v>101.97562278831688</v>
      </c>
      <c r="AU252" s="49">
        <f t="shared" ca="1" si="62"/>
        <v>101.97562278831688</v>
      </c>
      <c r="AV252" s="49">
        <f t="shared" ca="1" si="62"/>
        <v>101.97562278831688</v>
      </c>
      <c r="AW252" s="49">
        <f t="shared" ca="1" si="62"/>
        <v>101.97562278831688</v>
      </c>
      <c r="AX252" s="49">
        <f t="shared" ca="1" si="62"/>
        <v>101.97562278831688</v>
      </c>
      <c r="AY252" s="49">
        <f t="shared" ca="1" si="62"/>
        <v>101.97562278831688</v>
      </c>
      <c r="AZ252" s="49">
        <f t="shared" ca="1" si="62"/>
        <v>101.97562278831688</v>
      </c>
      <c r="BA252" s="49">
        <f t="shared" ca="1" si="62"/>
        <v>101.97562278831688</v>
      </c>
      <c r="BB252" s="49">
        <f t="shared" ca="1" si="62"/>
        <v>101.97562278831688</v>
      </c>
      <c r="BC252" s="49">
        <f t="shared" ca="1" si="62"/>
        <v>101.97562278831688</v>
      </c>
      <c r="BD252" s="49">
        <f t="shared" ca="1" si="62"/>
        <v>101.97562278831688</v>
      </c>
      <c r="BE252" s="49">
        <f t="shared" ca="1" si="62"/>
        <v>101.97562278831688</v>
      </c>
      <c r="BF252" s="49">
        <f t="shared" ca="1" si="62"/>
        <v>101.97562278831688</v>
      </c>
      <c r="BG252" s="49">
        <f t="shared" ca="1" si="62"/>
        <v>101.97562278831688</v>
      </c>
      <c r="BH252" s="49">
        <f t="shared" ca="1" si="62"/>
        <v>101.97562278831688</v>
      </c>
      <c r="BI252" s="49">
        <f t="shared" ca="1" si="62"/>
        <v>101.97562278831688</v>
      </c>
      <c r="BJ252" s="49">
        <f t="shared" ca="1" si="62"/>
        <v>101.97562278831688</v>
      </c>
      <c r="BK252" s="49">
        <f t="shared" ca="1" si="62"/>
        <v>101.97562278831688</v>
      </c>
      <c r="BL252" s="49">
        <f t="shared" ca="1" si="62"/>
        <v>101.97562278831688</v>
      </c>
      <c r="BM252" s="49">
        <f t="shared" ca="1" si="62"/>
        <v>101.97562278831688</v>
      </c>
      <c r="BN252" s="49">
        <f t="shared" ca="1" si="62"/>
        <v>101.97562278831688</v>
      </c>
      <c r="BO252" s="49">
        <f t="shared" ca="1" si="62"/>
        <v>101.97562278831688</v>
      </c>
      <c r="BP252" s="49">
        <f t="shared" ca="1" si="62"/>
        <v>101.97562278831688</v>
      </c>
      <c r="BQ252" s="49">
        <f t="shared" ca="1" si="62"/>
        <v>101.97562278831688</v>
      </c>
      <c r="BR252" s="49">
        <f t="shared" ca="1" si="62"/>
        <v>101.97562278831688</v>
      </c>
      <c r="BS252" s="49">
        <f t="shared" ca="1" si="62"/>
        <v>101.97562278831688</v>
      </c>
    </row>
    <row r="253" spans="4:71" outlineLevel="1" x14ac:dyDescent="0.2">
      <c r="J253" s="26"/>
      <c r="L253" s="55"/>
      <c r="M253" s="55"/>
      <c r="N253" s="55"/>
      <c r="O253" s="55"/>
      <c r="P253" s="55"/>
      <c r="Q253" s="55"/>
      <c r="R253" s="55"/>
      <c r="S253" s="55"/>
      <c r="T253" s="55"/>
      <c r="U253" s="55"/>
      <c r="V253" s="55"/>
      <c r="W253" s="55"/>
      <c r="X253" s="55"/>
      <c r="Y253" s="55"/>
      <c r="Z253" s="55"/>
      <c r="AA253" s="55"/>
      <c r="AB253" s="55"/>
      <c r="AC253" s="55"/>
      <c r="AD253" s="55"/>
      <c r="AE253" s="55"/>
      <c r="AF253" s="55"/>
      <c r="AG253" s="55"/>
      <c r="AH253" s="55"/>
      <c r="AI253" s="55"/>
      <c r="AJ253" s="55"/>
      <c r="AK253" s="55"/>
      <c r="AL253" s="55"/>
      <c r="AM253" s="55"/>
      <c r="AN253" s="55"/>
      <c r="AO253" s="55"/>
      <c r="AP253" s="55"/>
      <c r="AQ253" s="55"/>
      <c r="AR253" s="55"/>
      <c r="AS253" s="55"/>
      <c r="AT253" s="55"/>
      <c r="AU253" s="55"/>
      <c r="AV253" s="55"/>
      <c r="AW253" s="55"/>
      <c r="AX253" s="55"/>
      <c r="AY253" s="55"/>
      <c r="AZ253" s="55"/>
      <c r="BA253" s="55"/>
      <c r="BB253" s="55"/>
      <c r="BC253" s="55"/>
      <c r="BD253" s="55"/>
      <c r="BE253" s="55"/>
      <c r="BF253" s="55"/>
      <c r="BG253" s="55"/>
      <c r="BH253" s="55"/>
      <c r="BI253" s="55"/>
      <c r="BJ253" s="55"/>
      <c r="BK253" s="55"/>
      <c r="BL253" s="55"/>
      <c r="BM253" s="55"/>
      <c r="BN253" s="55"/>
      <c r="BO253" s="55"/>
      <c r="BP253" s="55"/>
      <c r="BQ253" s="55"/>
      <c r="BR253" s="55"/>
      <c r="BS253" s="55"/>
    </row>
    <row r="254" spans="4:71" outlineLevel="1" x14ac:dyDescent="0.2">
      <c r="D254" s="51" t="str">
        <f>HM_ZD_Moho!D278</f>
        <v>Investissement -Dépenses d'exploration</v>
      </c>
      <c r="J254" s="26"/>
      <c r="L254" s="55"/>
      <c r="M254" s="55"/>
      <c r="N254" s="55"/>
      <c r="O254" s="55"/>
      <c r="P254" s="55"/>
      <c r="Q254" s="55"/>
      <c r="R254" s="55"/>
      <c r="S254" s="55"/>
      <c r="T254" s="55"/>
      <c r="U254" s="55"/>
      <c r="V254" s="55"/>
      <c r="W254" s="55"/>
      <c r="X254" s="55"/>
      <c r="Y254" s="55"/>
      <c r="Z254" s="55"/>
      <c r="AA254" s="55"/>
      <c r="AB254" s="55"/>
      <c r="AC254" s="55"/>
      <c r="AD254" s="55"/>
      <c r="AE254" s="55"/>
      <c r="AF254" s="55"/>
      <c r="AG254" s="55"/>
      <c r="AH254" s="55"/>
      <c r="AI254" s="55"/>
      <c r="AJ254" s="55"/>
      <c r="AK254" s="55"/>
      <c r="AL254" s="55"/>
      <c r="AM254" s="55"/>
      <c r="AN254" s="55"/>
      <c r="AO254" s="55"/>
      <c r="AP254" s="55"/>
      <c r="AQ254" s="55"/>
      <c r="AR254" s="55"/>
      <c r="AS254" s="55"/>
      <c r="AT254" s="55"/>
      <c r="AU254" s="55"/>
      <c r="AV254" s="55"/>
      <c r="AW254" s="55"/>
      <c r="AX254" s="55"/>
      <c r="AY254" s="55"/>
      <c r="AZ254" s="55"/>
      <c r="BA254" s="55"/>
      <c r="BB254" s="55"/>
      <c r="BC254" s="55"/>
      <c r="BD254" s="55"/>
      <c r="BE254" s="55"/>
      <c r="BF254" s="55"/>
      <c r="BG254" s="55"/>
      <c r="BH254" s="55"/>
      <c r="BI254" s="55"/>
      <c r="BJ254" s="55"/>
      <c r="BK254" s="55"/>
      <c r="BL254" s="55"/>
      <c r="BM254" s="55"/>
      <c r="BN254" s="55"/>
      <c r="BO254" s="55"/>
      <c r="BP254" s="55"/>
      <c r="BQ254" s="55"/>
      <c r="BR254" s="55"/>
      <c r="BS254" s="55"/>
    </row>
    <row r="255" spans="4:71" outlineLevel="1" x14ac:dyDescent="0.2">
      <c r="E255" t="str">
        <f>HM_ZD_Moho!E279</f>
        <v>Revenus disponibles pour la récupération</v>
      </c>
      <c r="I255" s="30">
        <f t="shared" ref="I255:I267" ca="1" si="63">SUM($L255:$BS255)</f>
        <v>0</v>
      </c>
      <c r="J255" s="26" t="s">
        <v>148</v>
      </c>
      <c r="L255" s="49">
        <f ca="1">IF(AND((KLL_II_2020!CA_cost_stop+L239+L245+L251)&lt;K256,KLL_II_2020!CA_gco&gt;0,KLL_II_2020!CA_gco&gt;KLL_II_2020!CA_cost_stop),CA_gco+L239+L245+L251,KLL_II_2020!CA_cost_stop+L239+L245+L251)</f>
        <v>0</v>
      </c>
      <c r="M255" s="49">
        <f ca="1">IF(AND((KLL_II_2020!CA_cost_stop+M239+M245+M251)&lt;L256,KLL_II_2020!CA_gco&gt;0,KLL_II_2020!CA_gco&gt;KLL_II_2020!CA_cost_stop),CA_gco+M239+M245+M251,KLL_II_2020!CA_cost_stop+M239+M245+M251)</f>
        <v>0</v>
      </c>
      <c r="N255" s="49">
        <f ca="1">IF(AND((KLL_II_2020!CA_cost_stop+N239+N245+N251)&lt;M256,KLL_II_2020!CA_gco&gt;0,KLL_II_2020!CA_gco&gt;KLL_II_2020!CA_cost_stop),CA_gco+N239+N245+N251,KLL_II_2020!CA_cost_stop+N239+N245+N251)</f>
        <v>0</v>
      </c>
      <c r="O255" s="49">
        <f ca="1">IF(AND((KLL_II_2020!CA_cost_stop+O239+O245+O251)&lt;N256,KLL_II_2020!CA_gco&gt;0,KLL_II_2020!CA_gco&gt;KLL_II_2020!CA_cost_stop),CA_gco+O239+O245+O251,KLL_II_2020!CA_cost_stop+O239+O245+O251)</f>
        <v>0</v>
      </c>
      <c r="P255" s="49">
        <f ca="1">IF(AND((KLL_II_2020!CA_cost_stop+P239+P245+P251)&lt;O256,KLL_II_2020!CA_gco&gt;0,KLL_II_2020!CA_gco&gt;KLL_II_2020!CA_cost_stop),CA_gco+P239+P245+P251,KLL_II_2020!CA_cost_stop+P239+P245+P251)</f>
        <v>0</v>
      </c>
      <c r="Q255" s="49">
        <f ca="1">IF(AND((KLL_II_2020!CA_cost_stop+Q239+Q245+Q251)&lt;P256,KLL_II_2020!CA_gco&gt;0,KLL_II_2020!CA_gco&gt;KLL_II_2020!CA_cost_stop),CA_gco+Q239+Q245+Q251,KLL_II_2020!CA_cost_stop+Q239+Q245+Q251)</f>
        <v>0</v>
      </c>
      <c r="R255" s="49">
        <f ca="1">IF(AND((KLL_II_2020!CA_cost_stop+R239+R245+R251)&lt;Q256,KLL_II_2020!CA_gco&gt;0,KLL_II_2020!CA_gco&gt;KLL_II_2020!CA_cost_stop),CA_gco+R239+R245+R251,KLL_II_2020!CA_cost_stop+R239+R245+R251)</f>
        <v>0</v>
      </c>
      <c r="S255" s="49">
        <f ca="1">IF(AND((KLL_II_2020!CA_cost_stop+S239+S245+S251)&lt;R256,KLL_II_2020!CA_gco&gt;0,KLL_II_2020!CA_gco&gt;KLL_II_2020!CA_cost_stop),CA_gco+S239+S245+S251,KLL_II_2020!CA_cost_stop+S239+S245+S251)</f>
        <v>0</v>
      </c>
      <c r="T255" s="49">
        <f ca="1">IF(AND((KLL_II_2020!CA_cost_stop+T239+T245+T251)&lt;S256,KLL_II_2020!CA_gco&gt;0,KLL_II_2020!CA_gco&gt;KLL_II_2020!CA_cost_stop),CA_gco+T239+T245+T251,KLL_II_2020!CA_cost_stop+T239+T245+T251)</f>
        <v>0</v>
      </c>
      <c r="U255" s="49">
        <f ca="1">IF(AND((KLL_II_2020!CA_cost_stop+U239+U245+U251)&lt;T256,KLL_II_2020!CA_gco&gt;0,KLL_II_2020!CA_gco&gt;KLL_II_2020!CA_cost_stop),CA_gco+U239+U245+U251,KLL_II_2020!CA_cost_stop+U239+U245+U251)</f>
        <v>0</v>
      </c>
      <c r="V255" s="49">
        <f ca="1">IF(AND((KLL_II_2020!CA_cost_stop+V239+V245+V251)&lt;U256,KLL_II_2020!CA_gco&gt;0,KLL_II_2020!CA_gco&gt;KLL_II_2020!CA_cost_stop),CA_gco+V239+V245+V251,KLL_II_2020!CA_cost_stop+V239+V245+V251)</f>
        <v>0</v>
      </c>
      <c r="W255" s="49">
        <f ca="1">IF(AND((KLL_II_2020!CA_cost_stop+W239+W245+W251)&lt;V256,KLL_II_2020!CA_gco&gt;0,KLL_II_2020!CA_gco&gt;KLL_II_2020!CA_cost_stop),CA_gco+W239+W245+W251,KLL_II_2020!CA_cost_stop+W239+W245+W251)</f>
        <v>0</v>
      </c>
      <c r="X255" s="49">
        <f ca="1">IF(AND((KLL_II_2020!CA_cost_stop+X239+X245+X251)&lt;W256,KLL_II_2020!CA_gco&gt;0,KLL_II_2020!CA_gco&gt;KLL_II_2020!CA_cost_stop),CA_gco+X239+X245+X251,KLL_II_2020!CA_cost_stop+X239+X245+X251)</f>
        <v>0</v>
      </c>
      <c r="Y255" s="49">
        <f ca="1">IF(AND((KLL_II_2020!CA_cost_stop+Y239+Y245+Y251)&lt;X256,KLL_II_2020!CA_gco&gt;0,KLL_II_2020!CA_gco&gt;KLL_II_2020!CA_cost_stop),CA_gco+Y239+Y245+Y251,KLL_II_2020!CA_cost_stop+Y239+Y245+Y251)</f>
        <v>0</v>
      </c>
      <c r="Z255" s="49">
        <f ca="1">IF(AND((KLL_II_2020!CA_cost_stop+Z239+Z245+Z251)&lt;Y256,KLL_II_2020!CA_gco&gt;0,KLL_II_2020!CA_gco&gt;KLL_II_2020!CA_cost_stop),CA_gco+Z239+Z245+Z251,KLL_II_2020!CA_cost_stop+Z239+Z245+Z251)</f>
        <v>0</v>
      </c>
      <c r="AA255" s="49">
        <f ca="1">IF(AND((KLL_II_2020!CA_cost_stop+AA239+AA245+AA251)&lt;Z256,KLL_II_2020!CA_gco&gt;0,KLL_II_2020!CA_gco&gt;KLL_II_2020!CA_cost_stop),CA_gco+AA239+AA245+AA251,KLL_II_2020!CA_cost_stop+AA239+AA245+AA251)</f>
        <v>0</v>
      </c>
      <c r="AB255" s="49">
        <f ca="1">IF(AND((KLL_II_2020!CA_cost_stop+AB239+AB245+AB251)&lt;AA256,KLL_II_2020!CA_gco&gt;0,KLL_II_2020!CA_gco&gt;KLL_II_2020!CA_cost_stop),CA_gco+AB239+AB245+AB251,KLL_II_2020!CA_cost_stop+AB239+AB245+AB251)</f>
        <v>0</v>
      </c>
      <c r="AC255" s="49">
        <f ca="1">IF(AND((KLL_II_2020!CA_cost_stop+AC239+AC245+AC251)&lt;AB256,KLL_II_2020!CA_gco&gt;0,KLL_II_2020!CA_gco&gt;KLL_II_2020!CA_cost_stop),CA_gco+AC239+AC245+AC251,KLL_II_2020!CA_cost_stop+AC239+AC245+AC251)</f>
        <v>0</v>
      </c>
      <c r="AD255" s="49">
        <f ca="1">IF(AND((KLL_II_2020!CA_cost_stop+AD239+AD245+AD251)&lt;AC256,KLL_II_2020!CA_gco&gt;0,KLL_II_2020!CA_gco&gt;KLL_II_2020!CA_cost_stop),CA_gco+AD239+AD245+AD251,KLL_II_2020!CA_cost_stop+AD239+AD245+AD251)</f>
        <v>0</v>
      </c>
      <c r="AE255" s="49">
        <f ca="1">IF(AND((KLL_II_2020!CA_cost_stop+AE239+AE245+AE251)&lt;AD256,KLL_II_2020!CA_gco&gt;0,KLL_II_2020!CA_gco&gt;KLL_II_2020!CA_cost_stop),CA_gco+AE239+AE245+AE251,KLL_II_2020!CA_cost_stop+AE239+AE245+AE251)</f>
        <v>0</v>
      </c>
      <c r="AF255" s="49">
        <f ca="1">IF(AND((KLL_II_2020!CA_cost_stop+AF239+AF245+AF251)&lt;AE256,KLL_II_2020!CA_gco&gt;0,KLL_II_2020!CA_gco&gt;KLL_II_2020!CA_cost_stop),CA_gco+AF239+AF245+AF251,KLL_II_2020!CA_cost_stop+AF239+AF245+AF251)</f>
        <v>0</v>
      </c>
      <c r="AG255" s="49">
        <f ca="1">IF(AND((KLL_II_2020!CA_cost_stop+AG239+AG245+AG251)&lt;AF256,KLL_II_2020!CA_gco&gt;0,KLL_II_2020!CA_gco&gt;KLL_II_2020!CA_cost_stop),CA_gco+AG239+AG245+AG251,KLL_II_2020!CA_cost_stop+AG239+AG245+AG251)</f>
        <v>0</v>
      </c>
      <c r="AH255" s="49">
        <f ca="1">IF(AND((KLL_II_2020!CA_cost_stop+AH239+AH245+AH251)&lt;AG256,KLL_II_2020!CA_gco&gt;0,KLL_II_2020!CA_gco&gt;KLL_II_2020!CA_cost_stop),CA_gco+AH239+AH245+AH251,KLL_II_2020!CA_cost_stop+AH239+AH245+AH251)</f>
        <v>0</v>
      </c>
      <c r="AI255" s="49">
        <f ca="1">IF(AND((KLL_II_2020!CA_cost_stop+AI239+AI245+AI251)&lt;AH256,KLL_II_2020!CA_gco&gt;0,KLL_II_2020!CA_gco&gt;KLL_II_2020!CA_cost_stop),CA_gco+AI239+AI245+AI251,KLL_II_2020!CA_cost_stop+AI239+AI245+AI251)</f>
        <v>0</v>
      </c>
      <c r="AJ255" s="49">
        <f ca="1">IF(AND((KLL_II_2020!CA_cost_stop+AJ239+AJ245+AJ251)&lt;AI256,KLL_II_2020!CA_gco&gt;0,KLL_II_2020!CA_gco&gt;KLL_II_2020!CA_cost_stop),CA_gco+AJ239+AJ245+AJ251,KLL_II_2020!CA_cost_stop+AJ239+AJ245+AJ251)</f>
        <v>0</v>
      </c>
      <c r="AK255" s="49">
        <f ca="1">IF(AND((KLL_II_2020!CA_cost_stop+AK239+AK245+AK251)&lt;AJ256,KLL_II_2020!CA_gco&gt;0,KLL_II_2020!CA_gco&gt;KLL_II_2020!CA_cost_stop),CA_gco+AK239+AK245+AK251,KLL_II_2020!CA_cost_stop+AK239+AK245+AK251)</f>
        <v>0</v>
      </c>
      <c r="AL255" s="49">
        <f ca="1">IF(AND((KLL_II_2020!CA_cost_stop+AL239+AL245+AL251)&lt;AK256,KLL_II_2020!CA_gco&gt;0,KLL_II_2020!CA_gco&gt;KLL_II_2020!CA_cost_stop),CA_gco+AL239+AL245+AL251,KLL_II_2020!CA_cost_stop+AL239+AL245+AL251)</f>
        <v>0</v>
      </c>
      <c r="AM255" s="49">
        <f ca="1">IF(AND((KLL_II_2020!CA_cost_stop+AM239+AM245+AM251)&lt;AL256,KLL_II_2020!CA_gco&gt;0,KLL_II_2020!CA_gco&gt;KLL_II_2020!CA_cost_stop),CA_gco+AM239+AM245+AM251,KLL_II_2020!CA_cost_stop+AM239+AM245+AM251)</f>
        <v>0</v>
      </c>
      <c r="AN255" s="49">
        <f ca="1">IF(AND((KLL_II_2020!CA_cost_stop+AN239+AN245+AN251)&lt;AM256,KLL_II_2020!CA_gco&gt;0,KLL_II_2020!CA_gco&gt;KLL_II_2020!CA_cost_stop),CA_gco+AN239+AN245+AN251,KLL_II_2020!CA_cost_stop+AN239+AN245+AN251)</f>
        <v>0</v>
      </c>
      <c r="AO255" s="49">
        <f ca="1">IF(AND((KLL_II_2020!CA_cost_stop+AO239+AO245+AO251)&lt;AN256,KLL_II_2020!CA_gco&gt;0,KLL_II_2020!CA_gco&gt;KLL_II_2020!CA_cost_stop),CA_gco+AO239+AO245+AO251,KLL_II_2020!CA_cost_stop+AO239+AO245+AO251)</f>
        <v>0</v>
      </c>
      <c r="AP255" s="49">
        <f ca="1">IF(AND((KLL_II_2020!CA_cost_stop+AP239+AP245+AP251)&lt;AO256,KLL_II_2020!CA_gco&gt;0,KLL_II_2020!CA_gco&gt;KLL_II_2020!CA_cost_stop),CA_gco+AP239+AP245+AP251,KLL_II_2020!CA_cost_stop+AP239+AP245+AP251)</f>
        <v>0</v>
      </c>
      <c r="AQ255" s="49">
        <f ca="1">IF(AND((KLL_II_2020!CA_cost_stop+AQ239+AQ245+AQ251)&lt;AP256,KLL_II_2020!CA_gco&gt;0,KLL_II_2020!CA_gco&gt;KLL_II_2020!CA_cost_stop),CA_gco+AQ239+AQ245+AQ251,KLL_II_2020!CA_cost_stop+AQ239+AQ245+AQ251)</f>
        <v>0</v>
      </c>
      <c r="AR255" s="49">
        <f ca="1">IF(AND((KLL_II_2020!CA_cost_stop+AR239+AR245+AR251)&lt;AQ256,KLL_II_2020!CA_gco&gt;0,KLL_II_2020!CA_gco&gt;KLL_II_2020!CA_cost_stop),CA_gco+AR239+AR245+AR251,KLL_II_2020!CA_cost_stop+AR239+AR245+AR251)</f>
        <v>0</v>
      </c>
      <c r="AS255" s="49">
        <f ca="1">IF(AND((KLL_II_2020!CA_cost_stop+AS239+AS245+AS251)&lt;AR256,KLL_II_2020!CA_gco&gt;0,KLL_II_2020!CA_gco&gt;KLL_II_2020!CA_cost_stop),CA_gco+AS239+AS245+AS251,KLL_II_2020!CA_cost_stop+AS239+AS245+AS251)</f>
        <v>0</v>
      </c>
      <c r="AT255" s="49">
        <f ca="1">IF(AND((KLL_II_2020!CA_cost_stop+AT239+AT245+AT251)&lt;AS256,KLL_II_2020!CA_gco&gt;0,KLL_II_2020!CA_gco&gt;KLL_II_2020!CA_cost_stop),CA_gco+AT239+AT245+AT251,KLL_II_2020!CA_cost_stop+AT239+AT245+AT251)</f>
        <v>0</v>
      </c>
      <c r="AU255" s="49">
        <f ca="1">IF(AND((KLL_II_2020!CA_cost_stop+AU239+AU245+AU251)&lt;AT256,KLL_II_2020!CA_gco&gt;0,KLL_II_2020!CA_gco&gt;KLL_II_2020!CA_cost_stop),CA_gco+AU239+AU245+AU251,KLL_II_2020!CA_cost_stop+AU239+AU245+AU251)</f>
        <v>0</v>
      </c>
      <c r="AV255" s="49">
        <f ca="1">IF(AND((KLL_II_2020!CA_cost_stop+AV239+AV245+AV251)&lt;AU256,KLL_II_2020!CA_gco&gt;0,KLL_II_2020!CA_gco&gt;KLL_II_2020!CA_cost_stop),CA_gco+AV239+AV245+AV251,KLL_II_2020!CA_cost_stop+AV239+AV245+AV251)</f>
        <v>0</v>
      </c>
      <c r="AW255" s="49">
        <f ca="1">IF(AND((KLL_II_2020!CA_cost_stop+AW239+AW245+AW251)&lt;AV256,KLL_II_2020!CA_gco&gt;0,KLL_II_2020!CA_gco&gt;KLL_II_2020!CA_cost_stop),CA_gco+AW239+AW245+AW251,KLL_II_2020!CA_cost_stop+AW239+AW245+AW251)</f>
        <v>0</v>
      </c>
      <c r="AX255" s="49">
        <f ca="1">IF(AND((KLL_II_2020!CA_cost_stop+AX239+AX245+AX251)&lt;AW256,KLL_II_2020!CA_gco&gt;0,KLL_II_2020!CA_gco&gt;KLL_II_2020!CA_cost_stop),CA_gco+AX239+AX245+AX251,KLL_II_2020!CA_cost_stop+AX239+AX245+AX251)</f>
        <v>0</v>
      </c>
      <c r="AY255" s="49">
        <f ca="1">IF(AND((KLL_II_2020!CA_cost_stop+AY239+AY245+AY251)&lt;AX256,KLL_II_2020!CA_gco&gt;0,KLL_II_2020!CA_gco&gt;KLL_II_2020!CA_cost_stop),CA_gco+AY239+AY245+AY251,KLL_II_2020!CA_cost_stop+AY239+AY245+AY251)</f>
        <v>0</v>
      </c>
      <c r="AZ255" s="49">
        <f ca="1">IF(AND((KLL_II_2020!CA_cost_stop+AZ239+AZ245+AZ251)&lt;AY256,KLL_II_2020!CA_gco&gt;0,KLL_II_2020!CA_gco&gt;KLL_II_2020!CA_cost_stop),CA_gco+AZ239+AZ245+AZ251,KLL_II_2020!CA_cost_stop+AZ239+AZ245+AZ251)</f>
        <v>0</v>
      </c>
      <c r="BA255" s="49">
        <f ca="1">IF(AND((KLL_II_2020!CA_cost_stop+BA239+BA245+BA251)&lt;AZ256,KLL_II_2020!CA_gco&gt;0,KLL_II_2020!CA_gco&gt;KLL_II_2020!CA_cost_stop),CA_gco+BA239+BA245+BA251,KLL_II_2020!CA_cost_stop+BA239+BA245+BA251)</f>
        <v>0</v>
      </c>
      <c r="BB255" s="49">
        <f ca="1">IF(AND((KLL_II_2020!CA_cost_stop+BB239+BB245+BB251)&lt;BA256,KLL_II_2020!CA_gco&gt;0,KLL_II_2020!CA_gco&gt;KLL_II_2020!CA_cost_stop),CA_gco+BB239+BB245+BB251,KLL_II_2020!CA_cost_stop+BB239+BB245+BB251)</f>
        <v>0</v>
      </c>
      <c r="BC255" s="49">
        <f ca="1">IF(AND((KLL_II_2020!CA_cost_stop+BC239+BC245+BC251)&lt;BB256,KLL_II_2020!CA_gco&gt;0,KLL_II_2020!CA_gco&gt;KLL_II_2020!CA_cost_stop),CA_gco+BC239+BC245+BC251,KLL_II_2020!CA_cost_stop+BC239+BC245+BC251)</f>
        <v>0</v>
      </c>
      <c r="BD255" s="49">
        <f ca="1">IF(AND((KLL_II_2020!CA_cost_stop+BD239+BD245+BD251)&lt;BC256,KLL_II_2020!CA_gco&gt;0,KLL_II_2020!CA_gco&gt;KLL_II_2020!CA_cost_stop),CA_gco+BD239+BD245+BD251,KLL_II_2020!CA_cost_stop+BD239+BD245+BD251)</f>
        <v>0</v>
      </c>
      <c r="BE255" s="49">
        <f ca="1">IF(AND((KLL_II_2020!CA_cost_stop+BE239+BE245+BE251)&lt;BD256,KLL_II_2020!CA_gco&gt;0,KLL_II_2020!CA_gco&gt;KLL_II_2020!CA_cost_stop),CA_gco+BE239+BE245+BE251,KLL_II_2020!CA_cost_stop+BE239+BE245+BE251)</f>
        <v>0</v>
      </c>
      <c r="BF255" s="49">
        <f ca="1">IF(AND((KLL_II_2020!CA_cost_stop+BF239+BF245+BF251)&lt;BE256,KLL_II_2020!CA_gco&gt;0,KLL_II_2020!CA_gco&gt;KLL_II_2020!CA_cost_stop),CA_gco+BF239+BF245+BF251,KLL_II_2020!CA_cost_stop+BF239+BF245+BF251)</f>
        <v>0</v>
      </c>
      <c r="BG255" s="49">
        <f ca="1">IF(AND((KLL_II_2020!CA_cost_stop+BG239+BG245+BG251)&lt;BF256,KLL_II_2020!CA_gco&gt;0,KLL_II_2020!CA_gco&gt;KLL_II_2020!CA_cost_stop),CA_gco+BG239+BG245+BG251,KLL_II_2020!CA_cost_stop+BG239+BG245+BG251)</f>
        <v>0</v>
      </c>
      <c r="BH255" s="49">
        <f ca="1">IF(AND((KLL_II_2020!CA_cost_stop+BH239+BH245+BH251)&lt;BG256,KLL_II_2020!CA_gco&gt;0,KLL_II_2020!CA_gco&gt;KLL_II_2020!CA_cost_stop),CA_gco+BH239+BH245+BH251,KLL_II_2020!CA_cost_stop+BH239+BH245+BH251)</f>
        <v>0</v>
      </c>
      <c r="BI255" s="49">
        <f ca="1">IF(AND((KLL_II_2020!CA_cost_stop+BI239+BI245+BI251)&lt;BH256,KLL_II_2020!CA_gco&gt;0,KLL_II_2020!CA_gco&gt;KLL_II_2020!CA_cost_stop),CA_gco+BI239+BI245+BI251,KLL_II_2020!CA_cost_stop+BI239+BI245+BI251)</f>
        <v>0</v>
      </c>
      <c r="BJ255" s="49">
        <f ca="1">IF(AND((KLL_II_2020!CA_cost_stop+BJ239+BJ245+BJ251)&lt;BI256,KLL_II_2020!CA_gco&gt;0,KLL_II_2020!CA_gco&gt;KLL_II_2020!CA_cost_stop),CA_gco+BJ239+BJ245+BJ251,KLL_II_2020!CA_cost_stop+BJ239+BJ245+BJ251)</f>
        <v>0</v>
      </c>
      <c r="BK255" s="49">
        <f ca="1">IF(AND((KLL_II_2020!CA_cost_stop+BK239+BK245+BK251)&lt;BJ256,KLL_II_2020!CA_gco&gt;0,KLL_II_2020!CA_gco&gt;KLL_II_2020!CA_cost_stop),CA_gco+BK239+BK245+BK251,KLL_II_2020!CA_cost_stop+BK239+BK245+BK251)</f>
        <v>0</v>
      </c>
      <c r="BL255" s="49">
        <f ca="1">IF(AND((KLL_II_2020!CA_cost_stop+BL239+BL245+BL251)&lt;BK256,KLL_II_2020!CA_gco&gt;0,KLL_II_2020!CA_gco&gt;KLL_II_2020!CA_cost_stop),CA_gco+BL239+BL245+BL251,KLL_II_2020!CA_cost_stop+BL239+BL245+BL251)</f>
        <v>0</v>
      </c>
      <c r="BM255" s="49">
        <f ca="1">IF(AND((KLL_II_2020!CA_cost_stop+BM239+BM245+BM251)&lt;BL256,KLL_II_2020!CA_gco&gt;0,KLL_II_2020!CA_gco&gt;KLL_II_2020!CA_cost_stop),CA_gco+BM239+BM245+BM251,KLL_II_2020!CA_cost_stop+BM239+BM245+BM251)</f>
        <v>0</v>
      </c>
      <c r="BN255" s="49">
        <f ca="1">IF(AND((KLL_II_2020!CA_cost_stop+BN239+BN245+BN251)&lt;BM256,KLL_II_2020!CA_gco&gt;0,KLL_II_2020!CA_gco&gt;KLL_II_2020!CA_cost_stop),CA_gco+BN239+BN245+BN251,KLL_II_2020!CA_cost_stop+BN239+BN245+BN251)</f>
        <v>0</v>
      </c>
      <c r="BO255" s="49">
        <f ca="1">IF(AND((KLL_II_2020!CA_cost_stop+BO239+BO245+BO251)&lt;BN256,KLL_II_2020!CA_gco&gt;0,KLL_II_2020!CA_gco&gt;KLL_II_2020!CA_cost_stop),CA_gco+BO239+BO245+BO251,KLL_II_2020!CA_cost_stop+BO239+BO245+BO251)</f>
        <v>0</v>
      </c>
      <c r="BP255" s="49">
        <f ca="1">IF(AND((KLL_II_2020!CA_cost_stop+BP239+BP245+BP251)&lt;BO256,KLL_II_2020!CA_gco&gt;0,KLL_II_2020!CA_gco&gt;KLL_II_2020!CA_cost_stop),CA_gco+BP239+BP245+BP251,KLL_II_2020!CA_cost_stop+BP239+BP245+BP251)</f>
        <v>0</v>
      </c>
      <c r="BQ255" s="49">
        <f ca="1">IF(AND((KLL_II_2020!CA_cost_stop+BQ239+BQ245+BQ251)&lt;BP256,KLL_II_2020!CA_gco&gt;0,KLL_II_2020!CA_gco&gt;KLL_II_2020!CA_cost_stop),CA_gco+BQ239+BQ245+BQ251,KLL_II_2020!CA_cost_stop+BQ239+BQ245+BQ251)</f>
        <v>0</v>
      </c>
      <c r="BR255" s="49">
        <f ca="1">IF(AND((KLL_II_2020!CA_cost_stop+BR239+BR245+BR251)&lt;BQ256,KLL_II_2020!CA_gco&gt;0,KLL_II_2020!CA_gco&gt;KLL_II_2020!CA_cost_stop),CA_gco+BR239+BR245+BR251,KLL_II_2020!CA_cost_stop+BR239+BR245+BR251)</f>
        <v>0</v>
      </c>
      <c r="BS255" s="49">
        <f ca="1">IF(AND((KLL_II_2020!CA_cost_stop+BS239+BS245+BS251)&lt;BR256,KLL_II_2020!CA_gco&gt;0,KLL_II_2020!CA_gco&gt;KLL_II_2020!CA_cost_stop),CA_gco+BS239+BS245+BS251,KLL_II_2020!CA_cost_stop+BS239+BS245+BS251)</f>
        <v>0</v>
      </c>
    </row>
    <row r="256" spans="4:71" outlineLevel="1" x14ac:dyDescent="0.2">
      <c r="E256" t="str">
        <f>HM_ZD_Moho!E280</f>
        <v>Coûts exploration cumulés à récupérer</v>
      </c>
      <c r="I256" s="30">
        <f ca="1">I222</f>
        <v>0</v>
      </c>
      <c r="J256" s="26" t="s">
        <v>148</v>
      </c>
      <c r="L256" s="49">
        <f t="shared" ref="L256:AQ256" ca="1" si="64">CA_expex_to_recover+(K258*(1+int_rate_cf_costs))</f>
        <v>0</v>
      </c>
      <c r="M256" s="49">
        <f t="shared" ca="1" si="64"/>
        <v>0</v>
      </c>
      <c r="N256" s="49">
        <f t="shared" ca="1" si="64"/>
        <v>0</v>
      </c>
      <c r="O256" s="49">
        <f t="shared" ca="1" si="64"/>
        <v>0</v>
      </c>
      <c r="P256" s="49">
        <f t="shared" ca="1" si="64"/>
        <v>0</v>
      </c>
      <c r="Q256" s="49">
        <f t="shared" ca="1" si="64"/>
        <v>0</v>
      </c>
      <c r="R256" s="49">
        <f t="shared" ca="1" si="64"/>
        <v>0</v>
      </c>
      <c r="S256" s="49">
        <f t="shared" ca="1" si="64"/>
        <v>0</v>
      </c>
      <c r="T256" s="49">
        <f t="shared" ca="1" si="64"/>
        <v>0</v>
      </c>
      <c r="U256" s="49">
        <f t="shared" ca="1" si="64"/>
        <v>0</v>
      </c>
      <c r="V256" s="49">
        <f t="shared" ca="1" si="64"/>
        <v>0</v>
      </c>
      <c r="W256" s="49">
        <f t="shared" ca="1" si="64"/>
        <v>0</v>
      </c>
      <c r="X256" s="49">
        <f t="shared" ca="1" si="64"/>
        <v>0</v>
      </c>
      <c r="Y256" s="49">
        <f t="shared" ca="1" si="64"/>
        <v>0</v>
      </c>
      <c r="Z256" s="49">
        <f t="shared" ca="1" si="64"/>
        <v>0</v>
      </c>
      <c r="AA256" s="49">
        <f t="shared" ca="1" si="64"/>
        <v>0</v>
      </c>
      <c r="AB256" s="49">
        <f t="shared" ca="1" si="64"/>
        <v>0</v>
      </c>
      <c r="AC256" s="49">
        <f t="shared" ca="1" si="64"/>
        <v>0</v>
      </c>
      <c r="AD256" s="49">
        <f t="shared" ca="1" si="64"/>
        <v>0</v>
      </c>
      <c r="AE256" s="49">
        <f t="shared" ca="1" si="64"/>
        <v>0</v>
      </c>
      <c r="AF256" s="49">
        <f t="shared" ca="1" si="64"/>
        <v>0</v>
      </c>
      <c r="AG256" s="49">
        <f t="shared" ca="1" si="64"/>
        <v>0</v>
      </c>
      <c r="AH256" s="49">
        <f t="shared" ca="1" si="64"/>
        <v>0</v>
      </c>
      <c r="AI256" s="49">
        <f t="shared" ca="1" si="64"/>
        <v>0</v>
      </c>
      <c r="AJ256" s="49">
        <f t="shared" ca="1" si="64"/>
        <v>0</v>
      </c>
      <c r="AK256" s="49">
        <f t="shared" ca="1" si="64"/>
        <v>0</v>
      </c>
      <c r="AL256" s="49">
        <f t="shared" ca="1" si="64"/>
        <v>0</v>
      </c>
      <c r="AM256" s="49">
        <f t="shared" ca="1" si="64"/>
        <v>0</v>
      </c>
      <c r="AN256" s="49">
        <f t="shared" ca="1" si="64"/>
        <v>0</v>
      </c>
      <c r="AO256" s="49">
        <f t="shared" ca="1" si="64"/>
        <v>0</v>
      </c>
      <c r="AP256" s="49">
        <f t="shared" ca="1" si="64"/>
        <v>0</v>
      </c>
      <c r="AQ256" s="49">
        <f t="shared" ca="1" si="64"/>
        <v>0</v>
      </c>
      <c r="AR256" s="49">
        <f t="shared" ref="AR256:BS256" ca="1" si="65">CA_expex_to_recover+(AQ258*(1+int_rate_cf_costs))</f>
        <v>0</v>
      </c>
      <c r="AS256" s="49">
        <f t="shared" ca="1" si="65"/>
        <v>0</v>
      </c>
      <c r="AT256" s="49">
        <f t="shared" ca="1" si="65"/>
        <v>0</v>
      </c>
      <c r="AU256" s="49">
        <f t="shared" ca="1" si="65"/>
        <v>0</v>
      </c>
      <c r="AV256" s="49">
        <f t="shared" ca="1" si="65"/>
        <v>0</v>
      </c>
      <c r="AW256" s="49">
        <f t="shared" ca="1" si="65"/>
        <v>0</v>
      </c>
      <c r="AX256" s="49">
        <f t="shared" ca="1" si="65"/>
        <v>0</v>
      </c>
      <c r="AY256" s="49">
        <f t="shared" ca="1" si="65"/>
        <v>0</v>
      </c>
      <c r="AZ256" s="49">
        <f t="shared" ca="1" si="65"/>
        <v>0</v>
      </c>
      <c r="BA256" s="49">
        <f t="shared" ca="1" si="65"/>
        <v>0</v>
      </c>
      <c r="BB256" s="49">
        <f t="shared" ca="1" si="65"/>
        <v>0</v>
      </c>
      <c r="BC256" s="49">
        <f t="shared" ca="1" si="65"/>
        <v>0</v>
      </c>
      <c r="BD256" s="49">
        <f t="shared" ca="1" si="65"/>
        <v>0</v>
      </c>
      <c r="BE256" s="49">
        <f t="shared" ca="1" si="65"/>
        <v>0</v>
      </c>
      <c r="BF256" s="49">
        <f t="shared" ca="1" si="65"/>
        <v>0</v>
      </c>
      <c r="BG256" s="49">
        <f t="shared" ca="1" si="65"/>
        <v>0</v>
      </c>
      <c r="BH256" s="49">
        <f t="shared" ca="1" si="65"/>
        <v>0</v>
      </c>
      <c r="BI256" s="49">
        <f t="shared" ca="1" si="65"/>
        <v>0</v>
      </c>
      <c r="BJ256" s="49">
        <f t="shared" ca="1" si="65"/>
        <v>0</v>
      </c>
      <c r="BK256" s="49">
        <f t="shared" ca="1" si="65"/>
        <v>0</v>
      </c>
      <c r="BL256" s="49">
        <f t="shared" ca="1" si="65"/>
        <v>0</v>
      </c>
      <c r="BM256" s="49">
        <f t="shared" ca="1" si="65"/>
        <v>0</v>
      </c>
      <c r="BN256" s="49">
        <f t="shared" ca="1" si="65"/>
        <v>0</v>
      </c>
      <c r="BO256" s="49">
        <f t="shared" ca="1" si="65"/>
        <v>0</v>
      </c>
      <c r="BP256" s="49">
        <f t="shared" ca="1" si="65"/>
        <v>0</v>
      </c>
      <c r="BQ256" s="49">
        <f t="shared" ca="1" si="65"/>
        <v>0</v>
      </c>
      <c r="BR256" s="49">
        <f t="shared" ca="1" si="65"/>
        <v>0</v>
      </c>
      <c r="BS256" s="49">
        <f t="shared" ca="1" si="65"/>
        <v>0</v>
      </c>
    </row>
    <row r="257" spans="3:71" outlineLevel="1" x14ac:dyDescent="0.2">
      <c r="E257" t="str">
        <f>HM_ZD_Moho!E281</f>
        <v>Coûts exploration récupérés</v>
      </c>
      <c r="H257" s="56" t="b">
        <f ca="1">ROUND(I257,2)=-ROUND(I256,2)</f>
        <v>1</v>
      </c>
      <c r="I257" s="30">
        <f t="shared" ca="1" si="63"/>
        <v>0</v>
      </c>
      <c r="J257" s="26" t="s">
        <v>148</v>
      </c>
      <c r="L257" s="49">
        <f ca="1">-MIN(L256,L255)</f>
        <v>0</v>
      </c>
      <c r="M257" s="49">
        <f t="shared" ref="M257:BS257" ca="1" si="66">-MIN(M256,M255)</f>
        <v>0</v>
      </c>
      <c r="N257" s="49">
        <f t="shared" ca="1" si="66"/>
        <v>0</v>
      </c>
      <c r="O257" s="49">
        <f t="shared" ca="1" si="66"/>
        <v>0</v>
      </c>
      <c r="P257" s="49">
        <f t="shared" ca="1" si="66"/>
        <v>0</v>
      </c>
      <c r="Q257" s="49">
        <f t="shared" ca="1" si="66"/>
        <v>0</v>
      </c>
      <c r="R257" s="49">
        <f t="shared" ca="1" si="66"/>
        <v>0</v>
      </c>
      <c r="S257" s="49">
        <f t="shared" ca="1" si="66"/>
        <v>0</v>
      </c>
      <c r="T257" s="49">
        <f t="shared" ca="1" si="66"/>
        <v>0</v>
      </c>
      <c r="U257" s="49">
        <f t="shared" ca="1" si="66"/>
        <v>0</v>
      </c>
      <c r="V257" s="49">
        <f t="shared" ca="1" si="66"/>
        <v>0</v>
      </c>
      <c r="W257" s="49">
        <f t="shared" ca="1" si="66"/>
        <v>0</v>
      </c>
      <c r="X257" s="49">
        <f t="shared" ca="1" si="66"/>
        <v>0</v>
      </c>
      <c r="Y257" s="49">
        <f t="shared" ca="1" si="66"/>
        <v>0</v>
      </c>
      <c r="Z257" s="49">
        <f t="shared" ca="1" si="66"/>
        <v>0</v>
      </c>
      <c r="AA257" s="49">
        <f t="shared" ca="1" si="66"/>
        <v>0</v>
      </c>
      <c r="AB257" s="49">
        <f t="shared" ca="1" si="66"/>
        <v>0</v>
      </c>
      <c r="AC257" s="49">
        <f t="shared" ca="1" si="66"/>
        <v>0</v>
      </c>
      <c r="AD257" s="49">
        <f t="shared" ca="1" si="66"/>
        <v>0</v>
      </c>
      <c r="AE257" s="49">
        <f t="shared" ca="1" si="66"/>
        <v>0</v>
      </c>
      <c r="AF257" s="49">
        <f t="shared" ca="1" si="66"/>
        <v>0</v>
      </c>
      <c r="AG257" s="49">
        <f t="shared" ca="1" si="66"/>
        <v>0</v>
      </c>
      <c r="AH257" s="49">
        <f t="shared" ca="1" si="66"/>
        <v>0</v>
      </c>
      <c r="AI257" s="49">
        <f t="shared" ca="1" si="66"/>
        <v>0</v>
      </c>
      <c r="AJ257" s="49">
        <f t="shared" ca="1" si="66"/>
        <v>0</v>
      </c>
      <c r="AK257" s="49">
        <f t="shared" ca="1" si="66"/>
        <v>0</v>
      </c>
      <c r="AL257" s="49">
        <f t="shared" ca="1" si="66"/>
        <v>0</v>
      </c>
      <c r="AM257" s="49">
        <f t="shared" ca="1" si="66"/>
        <v>0</v>
      </c>
      <c r="AN257" s="49">
        <f t="shared" ca="1" si="66"/>
        <v>0</v>
      </c>
      <c r="AO257" s="49">
        <f t="shared" ca="1" si="66"/>
        <v>0</v>
      </c>
      <c r="AP257" s="49">
        <f t="shared" ca="1" si="66"/>
        <v>0</v>
      </c>
      <c r="AQ257" s="49">
        <f t="shared" ca="1" si="66"/>
        <v>0</v>
      </c>
      <c r="AR257" s="49">
        <f t="shared" ca="1" si="66"/>
        <v>0</v>
      </c>
      <c r="AS257" s="49">
        <f t="shared" ca="1" si="66"/>
        <v>0</v>
      </c>
      <c r="AT257" s="49">
        <f t="shared" ca="1" si="66"/>
        <v>0</v>
      </c>
      <c r="AU257" s="49">
        <f t="shared" ca="1" si="66"/>
        <v>0</v>
      </c>
      <c r="AV257" s="49">
        <f t="shared" ca="1" si="66"/>
        <v>0</v>
      </c>
      <c r="AW257" s="49">
        <f t="shared" ca="1" si="66"/>
        <v>0</v>
      </c>
      <c r="AX257" s="49">
        <f t="shared" ca="1" si="66"/>
        <v>0</v>
      </c>
      <c r="AY257" s="49">
        <f t="shared" ca="1" si="66"/>
        <v>0</v>
      </c>
      <c r="AZ257" s="49">
        <f t="shared" ca="1" si="66"/>
        <v>0</v>
      </c>
      <c r="BA257" s="49">
        <f t="shared" ca="1" si="66"/>
        <v>0</v>
      </c>
      <c r="BB257" s="49">
        <f t="shared" ca="1" si="66"/>
        <v>0</v>
      </c>
      <c r="BC257" s="49">
        <f t="shared" ca="1" si="66"/>
        <v>0</v>
      </c>
      <c r="BD257" s="49">
        <f t="shared" ca="1" si="66"/>
        <v>0</v>
      </c>
      <c r="BE257" s="49">
        <f t="shared" ca="1" si="66"/>
        <v>0</v>
      </c>
      <c r="BF257" s="49">
        <f t="shared" ca="1" si="66"/>
        <v>0</v>
      </c>
      <c r="BG257" s="49">
        <f t="shared" ca="1" si="66"/>
        <v>0</v>
      </c>
      <c r="BH257" s="49">
        <f t="shared" ca="1" si="66"/>
        <v>0</v>
      </c>
      <c r="BI257" s="49">
        <f t="shared" ca="1" si="66"/>
        <v>0</v>
      </c>
      <c r="BJ257" s="49">
        <f t="shared" ca="1" si="66"/>
        <v>0</v>
      </c>
      <c r="BK257" s="49">
        <f t="shared" ca="1" si="66"/>
        <v>0</v>
      </c>
      <c r="BL257" s="49">
        <f t="shared" ca="1" si="66"/>
        <v>0</v>
      </c>
      <c r="BM257" s="49">
        <f t="shared" ca="1" si="66"/>
        <v>0</v>
      </c>
      <c r="BN257" s="49">
        <f t="shared" ca="1" si="66"/>
        <v>0</v>
      </c>
      <c r="BO257" s="49">
        <f t="shared" ca="1" si="66"/>
        <v>0</v>
      </c>
      <c r="BP257" s="49">
        <f t="shared" ca="1" si="66"/>
        <v>0</v>
      </c>
      <c r="BQ257" s="49">
        <f t="shared" ca="1" si="66"/>
        <v>0</v>
      </c>
      <c r="BR257" s="49">
        <f t="shared" ca="1" si="66"/>
        <v>0</v>
      </c>
      <c r="BS257" s="49">
        <f t="shared" ca="1" si="66"/>
        <v>0</v>
      </c>
    </row>
    <row r="258" spans="3:71" outlineLevel="1" x14ac:dyDescent="0.2">
      <c r="E258" t="str">
        <f>HM_ZD_Moho!E282</f>
        <v xml:space="preserve">Sous/(Sur)récupération </v>
      </c>
      <c r="J258" s="26"/>
      <c r="L258" s="49">
        <f ca="1">L256+L257</f>
        <v>0</v>
      </c>
      <c r="M258" s="49">
        <f t="shared" ref="M258:BS258" ca="1" si="67">M256+M257</f>
        <v>0</v>
      </c>
      <c r="N258" s="49">
        <f t="shared" ca="1" si="67"/>
        <v>0</v>
      </c>
      <c r="O258" s="49">
        <f t="shared" ca="1" si="67"/>
        <v>0</v>
      </c>
      <c r="P258" s="49">
        <f t="shared" ca="1" si="67"/>
        <v>0</v>
      </c>
      <c r="Q258" s="49">
        <f t="shared" ca="1" si="67"/>
        <v>0</v>
      </c>
      <c r="R258" s="49">
        <f t="shared" ca="1" si="67"/>
        <v>0</v>
      </c>
      <c r="S258" s="49">
        <f t="shared" ca="1" si="67"/>
        <v>0</v>
      </c>
      <c r="T258" s="49">
        <f t="shared" ca="1" si="67"/>
        <v>0</v>
      </c>
      <c r="U258" s="49">
        <f t="shared" ca="1" si="67"/>
        <v>0</v>
      </c>
      <c r="V258" s="49">
        <f t="shared" ca="1" si="67"/>
        <v>0</v>
      </c>
      <c r="W258" s="49">
        <f t="shared" ca="1" si="67"/>
        <v>0</v>
      </c>
      <c r="X258" s="49">
        <f t="shared" ca="1" si="67"/>
        <v>0</v>
      </c>
      <c r="Y258" s="49">
        <f t="shared" ca="1" si="67"/>
        <v>0</v>
      </c>
      <c r="Z258" s="49">
        <f t="shared" ca="1" si="67"/>
        <v>0</v>
      </c>
      <c r="AA258" s="49">
        <f t="shared" ca="1" si="67"/>
        <v>0</v>
      </c>
      <c r="AB258" s="49">
        <f t="shared" ca="1" si="67"/>
        <v>0</v>
      </c>
      <c r="AC258" s="49">
        <f t="shared" ca="1" si="67"/>
        <v>0</v>
      </c>
      <c r="AD258" s="49">
        <f t="shared" ca="1" si="67"/>
        <v>0</v>
      </c>
      <c r="AE258" s="49">
        <f t="shared" ca="1" si="67"/>
        <v>0</v>
      </c>
      <c r="AF258" s="49">
        <f t="shared" ca="1" si="67"/>
        <v>0</v>
      </c>
      <c r="AG258" s="49">
        <f t="shared" ca="1" si="67"/>
        <v>0</v>
      </c>
      <c r="AH258" s="49">
        <f t="shared" ca="1" si="67"/>
        <v>0</v>
      </c>
      <c r="AI258" s="49">
        <f t="shared" ca="1" si="67"/>
        <v>0</v>
      </c>
      <c r="AJ258" s="49">
        <f t="shared" ca="1" si="67"/>
        <v>0</v>
      </c>
      <c r="AK258" s="49">
        <f t="shared" ca="1" si="67"/>
        <v>0</v>
      </c>
      <c r="AL258" s="49">
        <f t="shared" ca="1" si="67"/>
        <v>0</v>
      </c>
      <c r="AM258" s="49">
        <f t="shared" ca="1" si="67"/>
        <v>0</v>
      </c>
      <c r="AN258" s="49">
        <f t="shared" ca="1" si="67"/>
        <v>0</v>
      </c>
      <c r="AO258" s="49">
        <f t="shared" ca="1" si="67"/>
        <v>0</v>
      </c>
      <c r="AP258" s="49">
        <f t="shared" ca="1" si="67"/>
        <v>0</v>
      </c>
      <c r="AQ258" s="49">
        <f t="shared" ca="1" si="67"/>
        <v>0</v>
      </c>
      <c r="AR258" s="49">
        <f t="shared" ca="1" si="67"/>
        <v>0</v>
      </c>
      <c r="AS258" s="49">
        <f t="shared" ca="1" si="67"/>
        <v>0</v>
      </c>
      <c r="AT258" s="49">
        <f t="shared" ca="1" si="67"/>
        <v>0</v>
      </c>
      <c r="AU258" s="49">
        <f t="shared" ca="1" si="67"/>
        <v>0</v>
      </c>
      <c r="AV258" s="49">
        <f t="shared" ca="1" si="67"/>
        <v>0</v>
      </c>
      <c r="AW258" s="49">
        <f t="shared" ca="1" si="67"/>
        <v>0</v>
      </c>
      <c r="AX258" s="49">
        <f t="shared" ca="1" si="67"/>
        <v>0</v>
      </c>
      <c r="AY258" s="49">
        <f t="shared" ca="1" si="67"/>
        <v>0</v>
      </c>
      <c r="AZ258" s="49">
        <f t="shared" ca="1" si="67"/>
        <v>0</v>
      </c>
      <c r="BA258" s="49">
        <f t="shared" ca="1" si="67"/>
        <v>0</v>
      </c>
      <c r="BB258" s="49">
        <f t="shared" ca="1" si="67"/>
        <v>0</v>
      </c>
      <c r="BC258" s="49">
        <f t="shared" ca="1" si="67"/>
        <v>0</v>
      </c>
      <c r="BD258" s="49">
        <f t="shared" ca="1" si="67"/>
        <v>0</v>
      </c>
      <c r="BE258" s="49">
        <f t="shared" ca="1" si="67"/>
        <v>0</v>
      </c>
      <c r="BF258" s="49">
        <f t="shared" ca="1" si="67"/>
        <v>0</v>
      </c>
      <c r="BG258" s="49">
        <f t="shared" ca="1" si="67"/>
        <v>0</v>
      </c>
      <c r="BH258" s="49">
        <f t="shared" ca="1" si="67"/>
        <v>0</v>
      </c>
      <c r="BI258" s="49">
        <f t="shared" ca="1" si="67"/>
        <v>0</v>
      </c>
      <c r="BJ258" s="49">
        <f t="shared" ca="1" si="67"/>
        <v>0</v>
      </c>
      <c r="BK258" s="49">
        <f t="shared" ca="1" si="67"/>
        <v>0</v>
      </c>
      <c r="BL258" s="49">
        <f t="shared" ca="1" si="67"/>
        <v>0</v>
      </c>
      <c r="BM258" s="49">
        <f t="shared" ca="1" si="67"/>
        <v>0</v>
      </c>
      <c r="BN258" s="49">
        <f t="shared" ca="1" si="67"/>
        <v>0</v>
      </c>
      <c r="BO258" s="49">
        <f t="shared" ca="1" si="67"/>
        <v>0</v>
      </c>
      <c r="BP258" s="49">
        <f t="shared" ca="1" si="67"/>
        <v>0</v>
      </c>
      <c r="BQ258" s="49">
        <f t="shared" ca="1" si="67"/>
        <v>0</v>
      </c>
      <c r="BR258" s="49">
        <f t="shared" ca="1" si="67"/>
        <v>0</v>
      </c>
      <c r="BS258" s="49">
        <f t="shared" ca="1" si="67"/>
        <v>0</v>
      </c>
    </row>
    <row r="259" spans="3:71" outlineLevel="1" x14ac:dyDescent="0.2">
      <c r="J259" s="26"/>
      <c r="L259" s="55"/>
      <c r="M259" s="55"/>
      <c r="N259" s="55"/>
      <c r="O259" s="55"/>
      <c r="P259" s="55"/>
      <c r="Q259" s="55"/>
      <c r="R259" s="55"/>
      <c r="S259" s="55"/>
      <c r="T259" s="55"/>
      <c r="U259" s="55"/>
      <c r="V259" s="55"/>
      <c r="W259" s="55"/>
      <c r="X259" s="55"/>
      <c r="Y259" s="55"/>
      <c r="Z259" s="55"/>
      <c r="AA259" s="55"/>
      <c r="AB259" s="55"/>
      <c r="AC259" s="55"/>
      <c r="AD259" s="55"/>
      <c r="AE259" s="55"/>
      <c r="AF259" s="55"/>
      <c r="AG259" s="55"/>
      <c r="AH259" s="55"/>
      <c r="AI259" s="55"/>
      <c r="AJ259" s="55"/>
      <c r="AK259" s="55"/>
      <c r="AL259" s="55"/>
      <c r="AM259" s="55"/>
      <c r="AN259" s="55"/>
      <c r="AO259" s="55"/>
      <c r="AP259" s="55"/>
      <c r="AQ259" s="55"/>
      <c r="AR259" s="55"/>
      <c r="AS259" s="55"/>
      <c r="AT259" s="55"/>
      <c r="AU259" s="55"/>
      <c r="AV259" s="55"/>
      <c r="AW259" s="55"/>
      <c r="AX259" s="55"/>
      <c r="AY259" s="55"/>
      <c r="AZ259" s="55"/>
      <c r="BA259" s="55"/>
      <c r="BB259" s="55"/>
      <c r="BC259" s="55"/>
      <c r="BD259" s="55"/>
      <c r="BE259" s="55"/>
      <c r="BF259" s="55"/>
      <c r="BG259" s="55"/>
      <c r="BH259" s="55"/>
      <c r="BI259" s="55"/>
      <c r="BJ259" s="55"/>
      <c r="BK259" s="55"/>
      <c r="BL259" s="55"/>
      <c r="BM259" s="55"/>
      <c r="BN259" s="55"/>
      <c r="BO259" s="55"/>
      <c r="BP259" s="55"/>
      <c r="BQ259" s="55"/>
      <c r="BR259" s="55"/>
      <c r="BS259" s="55"/>
    </row>
    <row r="260" spans="3:71" outlineLevel="1" x14ac:dyDescent="0.2">
      <c r="D260" s="51" t="str">
        <f>HM_ZD_Moho!D284</f>
        <v>Coûts d'abandon</v>
      </c>
      <c r="J260" s="26"/>
      <c r="L260" s="55"/>
      <c r="M260" s="55"/>
      <c r="N260" s="55"/>
      <c r="O260" s="55"/>
      <c r="P260" s="55"/>
      <c r="Q260" s="55"/>
      <c r="R260" s="55"/>
      <c r="S260" s="55"/>
      <c r="T260" s="55"/>
      <c r="U260" s="55"/>
      <c r="V260" s="55"/>
      <c r="W260" s="55"/>
      <c r="X260" s="55"/>
      <c r="Y260" s="55"/>
      <c r="Z260" s="55"/>
      <c r="AA260" s="55"/>
      <c r="AB260" s="55"/>
      <c r="AC260" s="55"/>
      <c r="AD260" s="55"/>
      <c r="AE260" s="55"/>
      <c r="AF260" s="55"/>
      <c r="AG260" s="55"/>
      <c r="AH260" s="55"/>
      <c r="AI260" s="55"/>
      <c r="AJ260" s="55"/>
      <c r="AK260" s="55"/>
      <c r="AL260" s="55"/>
      <c r="AM260" s="55"/>
      <c r="AN260" s="55"/>
      <c r="AO260" s="55"/>
      <c r="AP260" s="55"/>
      <c r="AQ260" s="55"/>
      <c r="AR260" s="55"/>
      <c r="AS260" s="55"/>
      <c r="AT260" s="55"/>
      <c r="AU260" s="55"/>
      <c r="AV260" s="55"/>
      <c r="AW260" s="55"/>
      <c r="AX260" s="55"/>
      <c r="AY260" s="55"/>
      <c r="AZ260" s="55"/>
      <c r="BA260" s="55"/>
      <c r="BB260" s="55"/>
      <c r="BC260" s="55"/>
      <c r="BD260" s="55"/>
      <c r="BE260" s="55"/>
      <c r="BF260" s="55"/>
      <c r="BG260" s="55"/>
      <c r="BH260" s="55"/>
      <c r="BI260" s="55"/>
      <c r="BJ260" s="55"/>
      <c r="BK260" s="55"/>
      <c r="BL260" s="55"/>
      <c r="BM260" s="55"/>
      <c r="BN260" s="55"/>
      <c r="BO260" s="55"/>
      <c r="BP260" s="55"/>
      <c r="BQ260" s="55"/>
      <c r="BR260" s="55"/>
      <c r="BS260" s="55"/>
    </row>
    <row r="261" spans="3:71" outlineLevel="1" x14ac:dyDescent="0.2">
      <c r="E261" t="str">
        <f>HM_ZD_Moho!E285</f>
        <v>Revenus disponibles pour la récupération</v>
      </c>
      <c r="I261" s="30">
        <f t="shared" ref="I261:I263" ca="1" si="68">SUM($L261:$BS261)</f>
        <v>0</v>
      </c>
      <c r="J261" s="26" t="s">
        <v>148</v>
      </c>
      <c r="L261" s="49">
        <f ca="1">IF(AND((KLL_II_2020!CA_cost_stop+L245+L251+L257)&lt;K262,KLL_II_2020!CA_gco&gt;0,KLL_II_2020!CA_gco&gt;KLL_II_2020!CA_cost_stop),CA_gco+L239+L245+L251+L257,MAX(KLL_II_2020!CA_cost_stop+L239+L245+L251+L257,0))</f>
        <v>0</v>
      </c>
      <c r="M261" s="49">
        <f ca="1">IF(AND((KLL_II_2020!CA_cost_stop+M245+M251+M257)&lt;L262,KLL_II_2020!CA_gco&gt;0,KLL_II_2020!CA_gco&gt;KLL_II_2020!CA_cost_stop),CA_gco+M239+M245+M251+M257,MAX(KLL_II_2020!CA_cost_stop+M239+M245+M251+M257,0))</f>
        <v>0</v>
      </c>
      <c r="N261" s="49">
        <f ca="1">IF(AND((KLL_II_2020!CA_cost_stop+N245+N251+N257)&lt;M262,KLL_II_2020!CA_gco&gt;0,KLL_II_2020!CA_gco&gt;KLL_II_2020!CA_cost_stop),CA_gco+N239+N245+N251+N257,MAX(KLL_II_2020!CA_cost_stop+N239+N245+N251+N257,0))</f>
        <v>0</v>
      </c>
      <c r="O261" s="49">
        <f ca="1">IF(AND((KLL_II_2020!CA_cost_stop+O245+O251+O257)&lt;N262,KLL_II_2020!CA_gco&gt;0,KLL_II_2020!CA_gco&gt;KLL_II_2020!CA_cost_stop),CA_gco+O239+O245+O251+O257,MAX(KLL_II_2020!CA_cost_stop+O239+O245+O251+O257,0))</f>
        <v>0</v>
      </c>
      <c r="P261" s="49">
        <f ca="1">IF(AND((KLL_II_2020!CA_cost_stop+P245+P251+P257)&lt;O262,KLL_II_2020!CA_gco&gt;0,KLL_II_2020!CA_gco&gt;KLL_II_2020!CA_cost_stop),CA_gco+P239+P245+P251+P257,MAX(KLL_II_2020!CA_cost_stop+P239+P245+P251+P257,0))</f>
        <v>0</v>
      </c>
      <c r="Q261" s="49">
        <f ca="1">IF(AND((KLL_II_2020!CA_cost_stop+Q245+Q251+Q257)&lt;P262,KLL_II_2020!CA_gco&gt;0,KLL_II_2020!CA_gco&gt;KLL_II_2020!CA_cost_stop),CA_gco+Q239+Q245+Q251+Q257,MAX(KLL_II_2020!CA_cost_stop+Q239+Q245+Q251+Q257,0))</f>
        <v>0</v>
      </c>
      <c r="R261" s="49">
        <f ca="1">IF(AND((KLL_II_2020!CA_cost_stop+R245+R251+R257)&lt;Q262,KLL_II_2020!CA_gco&gt;0,KLL_II_2020!CA_gco&gt;KLL_II_2020!CA_cost_stop),CA_gco+R239+R245+R251+R257,MAX(KLL_II_2020!CA_cost_stop+R239+R245+R251+R257,0))</f>
        <v>0</v>
      </c>
      <c r="S261" s="49">
        <f ca="1">IF(AND((KLL_II_2020!CA_cost_stop+S245+S251+S257)&lt;R262,KLL_II_2020!CA_gco&gt;0,KLL_II_2020!CA_gco&gt;KLL_II_2020!CA_cost_stop),CA_gco+S239+S245+S251+S257,MAX(KLL_II_2020!CA_cost_stop+S239+S245+S251+S257,0))</f>
        <v>0</v>
      </c>
      <c r="T261" s="49">
        <f ca="1">IF(AND((KLL_II_2020!CA_cost_stop+T245+T251+T257)&lt;S262,KLL_II_2020!CA_gco&gt;0,KLL_II_2020!CA_gco&gt;KLL_II_2020!CA_cost_stop),CA_gco+T239+T245+T251+T257,MAX(KLL_II_2020!CA_cost_stop+T239+T245+T251+T257,0))</f>
        <v>0</v>
      </c>
      <c r="U261" s="49">
        <f ca="1">IF(AND((KLL_II_2020!CA_cost_stop+U245+U251+U257)&lt;T262,KLL_II_2020!CA_gco&gt;0,KLL_II_2020!CA_gco&gt;KLL_II_2020!CA_cost_stop),CA_gco+U239+U245+U251+U257,MAX(KLL_II_2020!CA_cost_stop+U239+U245+U251+U257,0))</f>
        <v>0</v>
      </c>
      <c r="V261" s="49">
        <f ca="1">IF(AND((KLL_II_2020!CA_cost_stop+V245+V251+V257)&lt;U262,KLL_II_2020!CA_gco&gt;0,KLL_II_2020!CA_gco&gt;KLL_II_2020!CA_cost_stop),CA_gco+V239+V245+V251+V257,MAX(KLL_II_2020!CA_cost_stop+V239+V245+V251+V257,0))</f>
        <v>0</v>
      </c>
      <c r="W261" s="49">
        <f ca="1">IF(AND((KLL_II_2020!CA_cost_stop+W245+W251+W257)&lt;V262,KLL_II_2020!CA_gco&gt;0,KLL_II_2020!CA_gco&gt;KLL_II_2020!CA_cost_stop),CA_gco+W239+W245+W251+W257,MAX(KLL_II_2020!CA_cost_stop+W239+W245+W251+W257,0))</f>
        <v>0</v>
      </c>
      <c r="X261" s="49">
        <f ca="1">IF(AND((KLL_II_2020!CA_cost_stop+X245+X251+X257)&lt;W262,KLL_II_2020!CA_gco&gt;0,KLL_II_2020!CA_gco&gt;KLL_II_2020!CA_cost_stop),CA_gco+X239+X245+X251+X257,MAX(KLL_II_2020!CA_cost_stop+X239+X245+X251+X257,0))</f>
        <v>0</v>
      </c>
      <c r="Y261" s="49">
        <f ca="1">IF(AND((KLL_II_2020!CA_cost_stop+Y245+Y251+Y257)&lt;X262,KLL_II_2020!CA_gco&gt;0,KLL_II_2020!CA_gco&gt;KLL_II_2020!CA_cost_stop),CA_gco+Y239+Y245+Y251+Y257,MAX(KLL_II_2020!CA_cost_stop+Y239+Y245+Y251+Y257,0))</f>
        <v>0</v>
      </c>
      <c r="Z261" s="49">
        <f ca="1">IF(AND((KLL_II_2020!CA_cost_stop+Z245+Z251+Z257)&lt;Y262,KLL_II_2020!CA_gco&gt;0,KLL_II_2020!CA_gco&gt;KLL_II_2020!CA_cost_stop),CA_gco+Z239+Z245+Z251+Z257,MAX(KLL_II_2020!CA_cost_stop+Z239+Z245+Z251+Z257,0))</f>
        <v>0</v>
      </c>
      <c r="AA261" s="49">
        <f ca="1">IF(AND((KLL_II_2020!CA_cost_stop+AA245+AA251+AA257)&lt;Z262,KLL_II_2020!CA_gco&gt;0,KLL_II_2020!CA_gco&gt;KLL_II_2020!CA_cost_stop),CA_gco+AA239+AA245+AA251+AA257,MAX(KLL_II_2020!CA_cost_stop+AA239+AA245+AA251+AA257,0))</f>
        <v>0</v>
      </c>
      <c r="AB261" s="49">
        <f ca="1">IF(AND((KLL_II_2020!CA_cost_stop+AB245+AB251+AB257)&lt;AA262,KLL_II_2020!CA_gco&gt;0,KLL_II_2020!CA_gco&gt;KLL_II_2020!CA_cost_stop),CA_gco+AB239+AB245+AB251+AB257,MAX(KLL_II_2020!CA_cost_stop+AB239+AB245+AB251+AB257,0))</f>
        <v>0</v>
      </c>
      <c r="AC261" s="49">
        <f ca="1">IF(AND((KLL_II_2020!CA_cost_stop+AC245+AC251+AC257)&lt;AB262,KLL_II_2020!CA_gco&gt;0,KLL_II_2020!CA_gco&gt;KLL_II_2020!CA_cost_stop),CA_gco+AC239+AC245+AC251+AC257,MAX(KLL_II_2020!CA_cost_stop+AC239+AC245+AC251+AC257,0))</f>
        <v>0</v>
      </c>
      <c r="AD261" s="49">
        <f ca="1">IF(AND((KLL_II_2020!CA_cost_stop+AD245+AD251+AD257)&lt;AC262,KLL_II_2020!CA_gco&gt;0,KLL_II_2020!CA_gco&gt;KLL_II_2020!CA_cost_stop),CA_gco+AD239+AD245+AD251+AD257,MAX(KLL_II_2020!CA_cost_stop+AD239+AD245+AD251+AD257,0))</f>
        <v>0</v>
      </c>
      <c r="AE261" s="49">
        <f ca="1">IF(AND((KLL_II_2020!CA_cost_stop+AE245+AE251+AE257)&lt;AD262,KLL_II_2020!CA_gco&gt;0,KLL_II_2020!CA_gco&gt;KLL_II_2020!CA_cost_stop),CA_gco+AE239+AE245+AE251+AE257,MAX(KLL_II_2020!CA_cost_stop+AE239+AE245+AE251+AE257,0))</f>
        <v>0</v>
      </c>
      <c r="AF261" s="49">
        <f ca="1">IF(AND((KLL_II_2020!CA_cost_stop+AF245+AF251+AF257)&lt;AE262,KLL_II_2020!CA_gco&gt;0,KLL_II_2020!CA_gco&gt;KLL_II_2020!CA_cost_stop),CA_gco+AF239+AF245+AF251+AF257,MAX(KLL_II_2020!CA_cost_stop+AF239+AF245+AF251+AF257,0))</f>
        <v>0</v>
      </c>
      <c r="AG261" s="49">
        <f ca="1">IF(AND((KLL_II_2020!CA_cost_stop+AG245+AG251+AG257)&lt;AF262,KLL_II_2020!CA_gco&gt;0,KLL_II_2020!CA_gco&gt;KLL_II_2020!CA_cost_stop),CA_gco+AG239+AG245+AG251+AG257,MAX(KLL_II_2020!CA_cost_stop+AG239+AG245+AG251+AG257,0))</f>
        <v>0</v>
      </c>
      <c r="AH261" s="49">
        <f ca="1">IF(AND((KLL_II_2020!CA_cost_stop+AH245+AH251+AH257)&lt;AG262,KLL_II_2020!CA_gco&gt;0,KLL_II_2020!CA_gco&gt;KLL_II_2020!CA_cost_stop),CA_gco+AH239+AH245+AH251+AH257,MAX(KLL_II_2020!CA_cost_stop+AH239+AH245+AH251+AH257,0))</f>
        <v>0</v>
      </c>
      <c r="AI261" s="49">
        <f ca="1">IF(AND((KLL_II_2020!CA_cost_stop+AI245+AI251+AI257)&lt;AH262,KLL_II_2020!CA_gco&gt;0,KLL_II_2020!CA_gco&gt;KLL_II_2020!CA_cost_stop),CA_gco+AI239+AI245+AI251+AI257,MAX(KLL_II_2020!CA_cost_stop+AI239+AI245+AI251+AI257,0))</f>
        <v>0</v>
      </c>
      <c r="AJ261" s="49">
        <f ca="1">IF(AND((KLL_II_2020!CA_cost_stop+AJ245+AJ251+AJ257)&lt;AI262,KLL_II_2020!CA_gco&gt;0,KLL_II_2020!CA_gco&gt;KLL_II_2020!CA_cost_stop),CA_gco+AJ239+AJ245+AJ251+AJ257,MAX(KLL_II_2020!CA_cost_stop+AJ239+AJ245+AJ251+AJ257,0))</f>
        <v>0</v>
      </c>
      <c r="AK261" s="49">
        <f ca="1">IF(AND((KLL_II_2020!CA_cost_stop+AK245+AK251+AK257)&lt;AJ262,KLL_II_2020!CA_gco&gt;0,KLL_II_2020!CA_gco&gt;KLL_II_2020!CA_cost_stop),CA_gco+AK239+AK245+AK251+AK257,MAX(KLL_II_2020!CA_cost_stop+AK239+AK245+AK251+AK257,0))</f>
        <v>0</v>
      </c>
      <c r="AL261" s="49">
        <f ca="1">IF(AND((KLL_II_2020!CA_cost_stop+AL245+AL251+AL257)&lt;AK262,KLL_II_2020!CA_gco&gt;0,KLL_II_2020!CA_gco&gt;KLL_II_2020!CA_cost_stop),CA_gco+AL239+AL245+AL251+AL257,MAX(KLL_II_2020!CA_cost_stop+AL239+AL245+AL251+AL257,0))</f>
        <v>0</v>
      </c>
      <c r="AM261" s="49">
        <f ca="1">IF(AND((KLL_II_2020!CA_cost_stop+AM245+AM251+AM257)&lt;AL262,KLL_II_2020!CA_gco&gt;0,KLL_II_2020!CA_gco&gt;KLL_II_2020!CA_cost_stop),CA_gco+AM239+AM245+AM251+AM257,MAX(KLL_II_2020!CA_cost_stop+AM239+AM245+AM251+AM257,0))</f>
        <v>0</v>
      </c>
      <c r="AN261" s="49">
        <f ca="1">IF(AND((KLL_II_2020!CA_cost_stop+AN245+AN251+AN257)&lt;AM262,KLL_II_2020!CA_gco&gt;0,KLL_II_2020!CA_gco&gt;KLL_II_2020!CA_cost_stop),CA_gco+AN239+AN245+AN251+AN257,MAX(KLL_II_2020!CA_cost_stop+AN239+AN245+AN251+AN257,0))</f>
        <v>0</v>
      </c>
      <c r="AO261" s="49">
        <f ca="1">IF(AND((KLL_II_2020!CA_cost_stop+AO245+AO251+AO257)&lt;AN262,KLL_II_2020!CA_gco&gt;0,KLL_II_2020!CA_gco&gt;KLL_II_2020!CA_cost_stop),CA_gco+AO239+AO245+AO251+AO257,MAX(KLL_II_2020!CA_cost_stop+AO239+AO245+AO251+AO257,0))</f>
        <v>0</v>
      </c>
      <c r="AP261" s="49">
        <f ca="1">IF(AND((KLL_II_2020!CA_cost_stop+AP245+AP251+AP257)&lt;AO262,KLL_II_2020!CA_gco&gt;0,KLL_II_2020!CA_gco&gt;KLL_II_2020!CA_cost_stop),CA_gco+AP239+AP245+AP251+AP257,MAX(KLL_II_2020!CA_cost_stop+AP239+AP245+AP251+AP257,0))</f>
        <v>0</v>
      </c>
      <c r="AQ261" s="49">
        <f ca="1">IF(AND((KLL_II_2020!CA_cost_stop+AQ245+AQ251+AQ257)&lt;AP262,KLL_II_2020!CA_gco&gt;0,KLL_II_2020!CA_gco&gt;KLL_II_2020!CA_cost_stop),CA_gco+AQ239+AQ245+AQ251+AQ257,MAX(KLL_II_2020!CA_cost_stop+AQ239+AQ245+AQ251+AQ257,0))</f>
        <v>0</v>
      </c>
      <c r="AR261" s="49">
        <f ca="1">IF(AND((KLL_II_2020!CA_cost_stop+AR245+AR251+AR257)&lt;AQ262,KLL_II_2020!CA_gco&gt;0,KLL_II_2020!CA_gco&gt;KLL_II_2020!CA_cost_stop),CA_gco+AR239+AR245+AR251+AR257,MAX(KLL_II_2020!CA_cost_stop+AR239+AR245+AR251+AR257,0))</f>
        <v>0</v>
      </c>
      <c r="AS261" s="49">
        <f ca="1">IF(AND((KLL_II_2020!CA_cost_stop+AS245+AS251+AS257)&lt;AR262,KLL_II_2020!CA_gco&gt;0,KLL_II_2020!CA_gco&gt;KLL_II_2020!CA_cost_stop),CA_gco+AS239+AS245+AS251+AS257,MAX(KLL_II_2020!CA_cost_stop+AS239+AS245+AS251+AS257,0))</f>
        <v>0</v>
      </c>
      <c r="AT261" s="49">
        <f ca="1">IF(AND((KLL_II_2020!CA_cost_stop+AT245+AT251+AT257)&lt;AS262,KLL_II_2020!CA_gco&gt;0,KLL_II_2020!CA_gco&gt;KLL_II_2020!CA_cost_stop),CA_gco+AT239+AT245+AT251+AT257,MAX(KLL_II_2020!CA_cost_stop+AT239+AT245+AT251+AT257,0))</f>
        <v>0</v>
      </c>
      <c r="AU261" s="49">
        <f ca="1">IF(AND((KLL_II_2020!CA_cost_stop+AU245+AU251+AU257)&lt;AT262,KLL_II_2020!CA_gco&gt;0,KLL_II_2020!CA_gco&gt;KLL_II_2020!CA_cost_stop),CA_gco+AU239+AU245+AU251+AU257,MAX(KLL_II_2020!CA_cost_stop+AU239+AU245+AU251+AU257,0))</f>
        <v>0</v>
      </c>
      <c r="AV261" s="49">
        <f ca="1">IF(AND((KLL_II_2020!CA_cost_stop+AV245+AV251+AV257)&lt;AU262,KLL_II_2020!CA_gco&gt;0,KLL_II_2020!CA_gco&gt;KLL_II_2020!CA_cost_stop),CA_gco+AV239+AV245+AV251+AV257,MAX(KLL_II_2020!CA_cost_stop+AV239+AV245+AV251+AV257,0))</f>
        <v>0</v>
      </c>
      <c r="AW261" s="49">
        <f ca="1">IF(AND((KLL_II_2020!CA_cost_stop+AW245+AW251+AW257)&lt;AV262,KLL_II_2020!CA_gco&gt;0,KLL_II_2020!CA_gco&gt;KLL_II_2020!CA_cost_stop),CA_gco+AW239+AW245+AW251+AW257,MAX(KLL_II_2020!CA_cost_stop+AW239+AW245+AW251+AW257,0))</f>
        <v>0</v>
      </c>
      <c r="AX261" s="49">
        <f ca="1">IF(AND((KLL_II_2020!CA_cost_stop+AX245+AX251+AX257)&lt;AW262,KLL_II_2020!CA_gco&gt;0,KLL_II_2020!CA_gco&gt;KLL_II_2020!CA_cost_stop),CA_gco+AX239+AX245+AX251+AX257,MAX(KLL_II_2020!CA_cost_stop+AX239+AX245+AX251+AX257,0))</f>
        <v>0</v>
      </c>
      <c r="AY261" s="49">
        <f ca="1">IF(AND((KLL_II_2020!CA_cost_stop+AY245+AY251+AY257)&lt;AX262,KLL_II_2020!CA_gco&gt;0,KLL_II_2020!CA_gco&gt;KLL_II_2020!CA_cost_stop),CA_gco+AY239+AY245+AY251+AY257,MAX(KLL_II_2020!CA_cost_stop+AY239+AY245+AY251+AY257,0))</f>
        <v>0</v>
      </c>
      <c r="AZ261" s="49">
        <f ca="1">IF(AND((KLL_II_2020!CA_cost_stop+AZ245+AZ251+AZ257)&lt;AY262,KLL_II_2020!CA_gco&gt;0,KLL_II_2020!CA_gco&gt;KLL_II_2020!CA_cost_stop),CA_gco+AZ239+AZ245+AZ251+AZ257,MAX(KLL_II_2020!CA_cost_stop+AZ239+AZ245+AZ251+AZ257,0))</f>
        <v>0</v>
      </c>
      <c r="BA261" s="49">
        <f ca="1">IF(AND((KLL_II_2020!CA_cost_stop+BA245+BA251+BA257)&lt;AZ262,KLL_II_2020!CA_gco&gt;0,KLL_II_2020!CA_gco&gt;KLL_II_2020!CA_cost_stop),CA_gco+BA239+BA245+BA251+BA257,MAX(KLL_II_2020!CA_cost_stop+BA239+BA245+BA251+BA257,0))</f>
        <v>0</v>
      </c>
      <c r="BB261" s="49">
        <f ca="1">IF(AND((KLL_II_2020!CA_cost_stop+BB245+BB251+BB257)&lt;BA262,KLL_II_2020!CA_gco&gt;0,KLL_II_2020!CA_gco&gt;KLL_II_2020!CA_cost_stop),CA_gco+BB239+BB245+BB251+BB257,MAX(KLL_II_2020!CA_cost_stop+BB239+BB245+BB251+BB257,0))</f>
        <v>0</v>
      </c>
      <c r="BC261" s="49">
        <f ca="1">IF(AND((KLL_II_2020!CA_cost_stop+BC245+BC251+BC257)&lt;BB262,KLL_II_2020!CA_gco&gt;0,KLL_II_2020!CA_gco&gt;KLL_II_2020!CA_cost_stop),CA_gco+BC239+BC245+BC251+BC257,MAX(KLL_II_2020!CA_cost_stop+BC239+BC245+BC251+BC257,0))</f>
        <v>0</v>
      </c>
      <c r="BD261" s="49">
        <f ca="1">IF(AND((KLL_II_2020!CA_cost_stop+BD245+BD251+BD257)&lt;BC262,KLL_II_2020!CA_gco&gt;0,KLL_II_2020!CA_gco&gt;KLL_II_2020!CA_cost_stop),CA_gco+BD239+BD245+BD251+BD257,MAX(KLL_II_2020!CA_cost_stop+BD239+BD245+BD251+BD257,0))</f>
        <v>0</v>
      </c>
      <c r="BE261" s="49">
        <f ca="1">IF(AND((KLL_II_2020!CA_cost_stop+BE245+BE251+BE257)&lt;BD262,KLL_II_2020!CA_gco&gt;0,KLL_II_2020!CA_gco&gt;KLL_II_2020!CA_cost_stop),CA_gco+BE239+BE245+BE251+BE257,MAX(KLL_II_2020!CA_cost_stop+BE239+BE245+BE251+BE257,0))</f>
        <v>0</v>
      </c>
      <c r="BF261" s="49">
        <f ca="1">IF(AND((KLL_II_2020!CA_cost_stop+BF245+BF251+BF257)&lt;BE262,KLL_II_2020!CA_gco&gt;0,KLL_II_2020!CA_gco&gt;KLL_II_2020!CA_cost_stop),CA_gco+BF239+BF245+BF251+BF257,MAX(KLL_II_2020!CA_cost_stop+BF239+BF245+BF251+BF257,0))</f>
        <v>0</v>
      </c>
      <c r="BG261" s="49">
        <f ca="1">IF(AND((KLL_II_2020!CA_cost_stop+BG245+BG251+BG257)&lt;BF262,KLL_II_2020!CA_gco&gt;0,KLL_II_2020!CA_gco&gt;KLL_II_2020!CA_cost_stop),CA_gco+BG239+BG245+BG251+BG257,MAX(KLL_II_2020!CA_cost_stop+BG239+BG245+BG251+BG257,0))</f>
        <v>0</v>
      </c>
      <c r="BH261" s="49">
        <f ca="1">IF(AND((KLL_II_2020!CA_cost_stop+BH245+BH251+BH257)&lt;BG262,KLL_II_2020!CA_gco&gt;0,KLL_II_2020!CA_gco&gt;KLL_II_2020!CA_cost_stop),CA_gco+BH239+BH245+BH251+BH257,MAX(KLL_II_2020!CA_cost_stop+BH239+BH245+BH251+BH257,0))</f>
        <v>0</v>
      </c>
      <c r="BI261" s="49">
        <f ca="1">IF(AND((KLL_II_2020!CA_cost_stop+BI245+BI251+BI257)&lt;BH262,KLL_II_2020!CA_gco&gt;0,KLL_II_2020!CA_gco&gt;KLL_II_2020!CA_cost_stop),CA_gco+BI239+BI245+BI251+BI257,MAX(KLL_II_2020!CA_cost_stop+BI239+BI245+BI251+BI257,0))</f>
        <v>0</v>
      </c>
      <c r="BJ261" s="49">
        <f ca="1">IF(AND((KLL_II_2020!CA_cost_stop+BJ245+BJ251+BJ257)&lt;BI262,KLL_II_2020!CA_gco&gt;0,KLL_II_2020!CA_gco&gt;KLL_II_2020!CA_cost_stop),CA_gco+BJ239+BJ245+BJ251+BJ257,MAX(KLL_II_2020!CA_cost_stop+BJ239+BJ245+BJ251+BJ257,0))</f>
        <v>0</v>
      </c>
      <c r="BK261" s="49">
        <f ca="1">IF(AND((KLL_II_2020!CA_cost_stop+BK245+BK251+BK257)&lt;BJ262,KLL_II_2020!CA_gco&gt;0,KLL_II_2020!CA_gco&gt;KLL_II_2020!CA_cost_stop),CA_gco+BK239+BK245+BK251+BK257,MAX(KLL_II_2020!CA_cost_stop+BK239+BK245+BK251+BK257,0))</f>
        <v>0</v>
      </c>
      <c r="BL261" s="49">
        <f ca="1">IF(AND((KLL_II_2020!CA_cost_stop+BL245+BL251+BL257)&lt;BK262,KLL_II_2020!CA_gco&gt;0,KLL_II_2020!CA_gco&gt;KLL_II_2020!CA_cost_stop),CA_gco+BL239+BL245+BL251+BL257,MAX(KLL_II_2020!CA_cost_stop+BL239+BL245+BL251+BL257,0))</f>
        <v>0</v>
      </c>
      <c r="BM261" s="49">
        <f ca="1">IF(AND((KLL_II_2020!CA_cost_stop+BM245+BM251+BM257)&lt;BL262,KLL_II_2020!CA_gco&gt;0,KLL_II_2020!CA_gco&gt;KLL_II_2020!CA_cost_stop),CA_gco+BM239+BM245+BM251+BM257,MAX(KLL_II_2020!CA_cost_stop+BM239+BM245+BM251+BM257,0))</f>
        <v>0</v>
      </c>
      <c r="BN261" s="49">
        <f ca="1">IF(AND((KLL_II_2020!CA_cost_stop+BN245+BN251+BN257)&lt;BM262,KLL_II_2020!CA_gco&gt;0,KLL_II_2020!CA_gco&gt;KLL_II_2020!CA_cost_stop),CA_gco+BN239+BN245+BN251+BN257,MAX(KLL_II_2020!CA_cost_stop+BN239+BN245+BN251+BN257,0))</f>
        <v>0</v>
      </c>
      <c r="BO261" s="49">
        <f ca="1">IF(AND((KLL_II_2020!CA_cost_stop+BO245+BO251+BO257)&lt;BN262,KLL_II_2020!CA_gco&gt;0,KLL_II_2020!CA_gco&gt;KLL_II_2020!CA_cost_stop),CA_gco+BO239+BO245+BO251+BO257,MAX(KLL_II_2020!CA_cost_stop+BO239+BO245+BO251+BO257,0))</f>
        <v>0</v>
      </c>
      <c r="BP261" s="49">
        <f ca="1">IF(AND((KLL_II_2020!CA_cost_stop+BP245+BP251+BP257)&lt;BO262,KLL_II_2020!CA_gco&gt;0,KLL_II_2020!CA_gco&gt;KLL_II_2020!CA_cost_stop),CA_gco+BP239+BP245+BP251+BP257,MAX(KLL_II_2020!CA_cost_stop+BP239+BP245+BP251+BP257,0))</f>
        <v>0</v>
      </c>
      <c r="BQ261" s="49">
        <f ca="1">IF(AND((KLL_II_2020!CA_cost_stop+BQ245+BQ251+BQ257)&lt;BP262,KLL_II_2020!CA_gco&gt;0,KLL_II_2020!CA_gco&gt;KLL_II_2020!CA_cost_stop),CA_gco+BQ239+BQ245+BQ251+BQ257,MAX(KLL_II_2020!CA_cost_stop+BQ239+BQ245+BQ251+BQ257,0))</f>
        <v>0</v>
      </c>
      <c r="BR261" s="49">
        <f ca="1">IF(AND((KLL_II_2020!CA_cost_stop+BR245+BR251+BR257)&lt;BQ262,KLL_II_2020!CA_gco&gt;0,KLL_II_2020!CA_gco&gt;KLL_II_2020!CA_cost_stop),CA_gco+BR239+BR245+BR251+BR257,MAX(KLL_II_2020!CA_cost_stop+BR239+BR245+BR251+BR257,0))</f>
        <v>0</v>
      </c>
      <c r="BS261" s="49">
        <f ca="1">IF(AND((KLL_II_2020!CA_cost_stop+BS245+BS251+BS257)&lt;BR262,KLL_II_2020!CA_gco&gt;0,KLL_II_2020!CA_gco&gt;KLL_II_2020!CA_cost_stop),CA_gco+BS239+BS245+BS251+BS257,MAX(KLL_II_2020!CA_cost_stop+BS239+BS245+BS251+BS257,0))</f>
        <v>0</v>
      </c>
    </row>
    <row r="262" spans="3:71" outlineLevel="1" x14ac:dyDescent="0.2">
      <c r="E262" t="str">
        <f>HM_ZD_Moho!E286</f>
        <v>Abandon cumulées à récupérer</v>
      </c>
      <c r="I262" s="30">
        <f>I229</f>
        <v>0</v>
      </c>
      <c r="J262" s="26" t="s">
        <v>148</v>
      </c>
      <c r="L262" s="49">
        <f ca="1">KLL_II_2020!CA_decom_to_recover+(K264*(1+int_rate_cf_costs))</f>
        <v>28.318999999999999</v>
      </c>
      <c r="M262" s="49">
        <f ca="1">KLL_II_2020!CA_decom_to_recover+(L264*(1+int_rate_cf_costs))</f>
        <v>66.64</v>
      </c>
      <c r="N262" s="49">
        <f ca="1">KLL_II_2020!CA_decom_to_recover+(M264*(1+int_rate_cf_costs))</f>
        <v>117.87100000000001</v>
      </c>
      <c r="O262" s="49">
        <f ca="1">KLL_II_2020!CA_decom_to_recover+(N264*(1+int_rate_cf_costs))</f>
        <v>218.96</v>
      </c>
      <c r="P262" s="49">
        <f ca="1">KLL_II_2020!CA_decom_to_recover+(O264*(1+int_rate_cf_costs))</f>
        <v>350.82000000000005</v>
      </c>
      <c r="Q262" s="49">
        <f ca="1">KLL_II_2020!CA_decom_to_recover+(P264*(1+int_rate_cf_costs))</f>
        <v>512.04500000000007</v>
      </c>
      <c r="R262" s="49">
        <f ca="1">KLL_II_2020!CA_decom_to_recover+(Q264*(1+int_rate_cf_costs))</f>
        <v>675.7120000000001</v>
      </c>
      <c r="S262" s="49">
        <f ca="1">KLL_II_2020!CA_decom_to_recover+(R264*(1+int_rate_cf_costs))</f>
        <v>675.7120000000001</v>
      </c>
      <c r="T262" s="49">
        <f ca="1">KLL_II_2020!CA_decom_to_recover+(S264*(1+int_rate_cf_costs))</f>
        <v>675.7120000000001</v>
      </c>
      <c r="U262" s="49">
        <f ca="1">KLL_II_2020!CA_decom_to_recover+(T264*(1+int_rate_cf_costs))</f>
        <v>675.7120000000001</v>
      </c>
      <c r="V262" s="49">
        <f ca="1">KLL_II_2020!CA_decom_to_recover+(U264*(1+int_rate_cf_costs))</f>
        <v>675.7120000000001</v>
      </c>
      <c r="W262" s="49">
        <f ca="1">KLL_II_2020!CA_decom_to_recover+(V264*(1+int_rate_cf_costs))</f>
        <v>675.7120000000001</v>
      </c>
      <c r="X262" s="49">
        <f ca="1">KLL_II_2020!CA_decom_to_recover+(W264*(1+int_rate_cf_costs))</f>
        <v>675.7120000000001</v>
      </c>
      <c r="Y262" s="49">
        <f ca="1">KLL_II_2020!CA_decom_to_recover+(X264*(1+int_rate_cf_costs))</f>
        <v>675.7120000000001</v>
      </c>
      <c r="Z262" s="49">
        <f ca="1">KLL_II_2020!CA_decom_to_recover+(Y264*(1+int_rate_cf_costs))</f>
        <v>675.7120000000001</v>
      </c>
      <c r="AA262" s="49">
        <f ca="1">KLL_II_2020!CA_decom_to_recover+(Z264*(1+int_rate_cf_costs))</f>
        <v>675.7120000000001</v>
      </c>
      <c r="AB262" s="49">
        <f ca="1">KLL_II_2020!CA_decom_to_recover+(AA264*(1+int_rate_cf_costs))</f>
        <v>675.7120000000001</v>
      </c>
      <c r="AC262" s="49">
        <f ca="1">KLL_II_2020!CA_decom_to_recover+(AB264*(1+int_rate_cf_costs))</f>
        <v>675.7120000000001</v>
      </c>
      <c r="AD262" s="49">
        <f ca="1">KLL_II_2020!CA_decom_to_recover+(AC264*(1+int_rate_cf_costs))</f>
        <v>675.7120000000001</v>
      </c>
      <c r="AE262" s="49">
        <f ca="1">KLL_II_2020!CA_decom_to_recover+(AD264*(1+int_rate_cf_costs))</f>
        <v>675.7120000000001</v>
      </c>
      <c r="AF262" s="49">
        <f ca="1">KLL_II_2020!CA_decom_to_recover+(AE264*(1+int_rate_cf_costs))</f>
        <v>675.7120000000001</v>
      </c>
      <c r="AG262" s="49">
        <f ca="1">KLL_II_2020!CA_decom_to_recover+(AF264*(1+int_rate_cf_costs))</f>
        <v>675.7120000000001</v>
      </c>
      <c r="AH262" s="49">
        <f ca="1">KLL_II_2020!CA_decom_to_recover+(AG264*(1+int_rate_cf_costs))</f>
        <v>675.7120000000001</v>
      </c>
      <c r="AI262" s="49">
        <f ca="1">KLL_II_2020!CA_decom_to_recover+(AH264*(1+int_rate_cf_costs))</f>
        <v>675.7120000000001</v>
      </c>
      <c r="AJ262" s="49">
        <f ca="1">KLL_II_2020!CA_decom_to_recover+(AI264*(1+int_rate_cf_costs))</f>
        <v>675.7120000000001</v>
      </c>
      <c r="AK262" s="49">
        <f ca="1">KLL_II_2020!CA_decom_to_recover+(AJ264*(1+int_rate_cf_costs))</f>
        <v>675.7120000000001</v>
      </c>
      <c r="AL262" s="49">
        <f ca="1">KLL_II_2020!CA_decom_to_recover+(AK264*(1+int_rate_cf_costs))</f>
        <v>675.7120000000001</v>
      </c>
      <c r="AM262" s="49">
        <f ca="1">KLL_II_2020!CA_decom_to_recover+(AL264*(1+int_rate_cf_costs))</f>
        <v>675.7120000000001</v>
      </c>
      <c r="AN262" s="49">
        <f ca="1">KLL_II_2020!CA_decom_to_recover+(AM264*(1+int_rate_cf_costs))</f>
        <v>675.7120000000001</v>
      </c>
      <c r="AO262" s="49">
        <f ca="1">KLL_II_2020!CA_decom_to_recover+(AN264*(1+int_rate_cf_costs))</f>
        <v>675.7120000000001</v>
      </c>
      <c r="AP262" s="49">
        <f ca="1">KLL_II_2020!CA_decom_to_recover+(AO264*(1+int_rate_cf_costs))</f>
        <v>675.7120000000001</v>
      </c>
      <c r="AQ262" s="49">
        <f ca="1">KLL_II_2020!CA_decom_to_recover+(AP264*(1+int_rate_cf_costs))</f>
        <v>675.7120000000001</v>
      </c>
      <c r="AR262" s="49">
        <f ca="1">KLL_II_2020!CA_decom_to_recover+(AQ264*(1+int_rate_cf_costs))</f>
        <v>675.7120000000001</v>
      </c>
      <c r="AS262" s="49">
        <f ca="1">KLL_II_2020!CA_decom_to_recover+(AR264*(1+int_rate_cf_costs))</f>
        <v>675.7120000000001</v>
      </c>
      <c r="AT262" s="49">
        <f ca="1">KLL_II_2020!CA_decom_to_recover+(AS264*(1+int_rate_cf_costs))</f>
        <v>675.7120000000001</v>
      </c>
      <c r="AU262" s="49">
        <f ca="1">KLL_II_2020!CA_decom_to_recover+(AT264*(1+int_rate_cf_costs))</f>
        <v>675.7120000000001</v>
      </c>
      <c r="AV262" s="49">
        <f ca="1">KLL_II_2020!CA_decom_to_recover+(AU264*(1+int_rate_cf_costs))</f>
        <v>675.7120000000001</v>
      </c>
      <c r="AW262" s="49">
        <f ca="1">KLL_II_2020!CA_decom_to_recover+(AV264*(1+int_rate_cf_costs))</f>
        <v>675.7120000000001</v>
      </c>
      <c r="AX262" s="49">
        <f ca="1">KLL_II_2020!CA_decom_to_recover+(AW264*(1+int_rate_cf_costs))</f>
        <v>675.7120000000001</v>
      </c>
      <c r="AY262" s="49">
        <f ca="1">KLL_II_2020!CA_decom_to_recover+(AX264*(1+int_rate_cf_costs))</f>
        <v>675.7120000000001</v>
      </c>
      <c r="AZ262" s="49">
        <f ca="1">KLL_II_2020!CA_decom_to_recover+(AY264*(1+int_rate_cf_costs))</f>
        <v>675.7120000000001</v>
      </c>
      <c r="BA262" s="49">
        <f ca="1">KLL_II_2020!CA_decom_to_recover+(AZ264*(1+int_rate_cf_costs))</f>
        <v>675.7120000000001</v>
      </c>
      <c r="BB262" s="49">
        <f ca="1">KLL_II_2020!CA_decom_to_recover+(BA264*(1+int_rate_cf_costs))</f>
        <v>675.7120000000001</v>
      </c>
      <c r="BC262" s="49">
        <f ca="1">KLL_II_2020!CA_decom_to_recover+(BB264*(1+int_rate_cf_costs))</f>
        <v>675.7120000000001</v>
      </c>
      <c r="BD262" s="49">
        <f ca="1">KLL_II_2020!CA_decom_to_recover+(BC264*(1+int_rate_cf_costs))</f>
        <v>675.7120000000001</v>
      </c>
      <c r="BE262" s="49">
        <f ca="1">KLL_II_2020!CA_decom_to_recover+(BD264*(1+int_rate_cf_costs))</f>
        <v>675.7120000000001</v>
      </c>
      <c r="BF262" s="49">
        <f ca="1">KLL_II_2020!CA_decom_to_recover+(BE264*(1+int_rate_cf_costs))</f>
        <v>675.7120000000001</v>
      </c>
      <c r="BG262" s="49">
        <f ca="1">KLL_II_2020!CA_decom_to_recover+(BF264*(1+int_rate_cf_costs))</f>
        <v>675.7120000000001</v>
      </c>
      <c r="BH262" s="49">
        <f ca="1">KLL_II_2020!CA_decom_to_recover+(BG264*(1+int_rate_cf_costs))</f>
        <v>675.7120000000001</v>
      </c>
      <c r="BI262" s="49">
        <f ca="1">KLL_II_2020!CA_decom_to_recover+(BH264*(1+int_rate_cf_costs))</f>
        <v>675.7120000000001</v>
      </c>
      <c r="BJ262" s="49">
        <f ca="1">KLL_II_2020!CA_decom_to_recover+(BI264*(1+int_rate_cf_costs))</f>
        <v>675.7120000000001</v>
      </c>
      <c r="BK262" s="49">
        <f ca="1">KLL_II_2020!CA_decom_to_recover+(BJ264*(1+int_rate_cf_costs))</f>
        <v>675.7120000000001</v>
      </c>
      <c r="BL262" s="49">
        <f ca="1">KLL_II_2020!CA_decom_to_recover+(BK264*(1+int_rate_cf_costs))</f>
        <v>675.7120000000001</v>
      </c>
      <c r="BM262" s="49">
        <f ca="1">KLL_II_2020!CA_decom_to_recover+(BL264*(1+int_rate_cf_costs))</f>
        <v>675.7120000000001</v>
      </c>
      <c r="BN262" s="49">
        <f ca="1">KLL_II_2020!CA_decom_to_recover+(BM264*(1+int_rate_cf_costs))</f>
        <v>675.7120000000001</v>
      </c>
      <c r="BO262" s="49">
        <f ca="1">KLL_II_2020!CA_decom_to_recover+(BN264*(1+int_rate_cf_costs))</f>
        <v>675.7120000000001</v>
      </c>
      <c r="BP262" s="49">
        <f ca="1">KLL_II_2020!CA_decom_to_recover+(BO264*(1+int_rate_cf_costs))</f>
        <v>675.7120000000001</v>
      </c>
      <c r="BQ262" s="49">
        <f ca="1">KLL_II_2020!CA_decom_to_recover+(BP264*(1+int_rate_cf_costs))</f>
        <v>675.7120000000001</v>
      </c>
      <c r="BR262" s="49">
        <f ca="1">KLL_II_2020!CA_decom_to_recover+(BQ264*(1+int_rate_cf_costs))</f>
        <v>675.7120000000001</v>
      </c>
      <c r="BS262" s="49">
        <f ca="1">KLL_II_2020!CA_decom_to_recover+(BR264*(1+int_rate_cf_costs))</f>
        <v>675.7120000000001</v>
      </c>
    </row>
    <row r="263" spans="3:71" outlineLevel="1" x14ac:dyDescent="0.2">
      <c r="E263" t="str">
        <f>HM_ZD_Moho!E287</f>
        <v>Abandon récupérées</v>
      </c>
      <c r="H263" s="56" t="b">
        <f ca="1">ROUND(I263,2)=-ROUND(I262,2)</f>
        <v>1</v>
      </c>
      <c r="I263" s="30">
        <f t="shared" ca="1" si="68"/>
        <v>0</v>
      </c>
      <c r="J263" s="26" t="s">
        <v>148</v>
      </c>
      <c r="L263" s="49">
        <f ca="1">-MIN(L262,L261)</f>
        <v>0</v>
      </c>
      <c r="M263" s="49">
        <f t="shared" ref="M263:BS263" ca="1" si="69">-MIN(M262,M261)</f>
        <v>0</v>
      </c>
      <c r="N263" s="49">
        <f t="shared" ca="1" si="69"/>
        <v>0</v>
      </c>
      <c r="O263" s="49">
        <f t="shared" ca="1" si="69"/>
        <v>0</v>
      </c>
      <c r="P263" s="49">
        <f t="shared" ca="1" si="69"/>
        <v>0</v>
      </c>
      <c r="Q263" s="49">
        <f t="shared" ca="1" si="69"/>
        <v>0</v>
      </c>
      <c r="R263" s="49">
        <f t="shared" ca="1" si="69"/>
        <v>0</v>
      </c>
      <c r="S263" s="49">
        <f t="shared" ca="1" si="69"/>
        <v>0</v>
      </c>
      <c r="T263" s="49">
        <f t="shared" ca="1" si="69"/>
        <v>0</v>
      </c>
      <c r="U263" s="49">
        <f t="shared" ca="1" si="69"/>
        <v>0</v>
      </c>
      <c r="V263" s="49">
        <f t="shared" ca="1" si="69"/>
        <v>0</v>
      </c>
      <c r="W263" s="49">
        <f t="shared" ca="1" si="69"/>
        <v>0</v>
      </c>
      <c r="X263" s="49">
        <f t="shared" ca="1" si="69"/>
        <v>0</v>
      </c>
      <c r="Y263" s="49">
        <f t="shared" ca="1" si="69"/>
        <v>0</v>
      </c>
      <c r="Z263" s="49">
        <f t="shared" ca="1" si="69"/>
        <v>0</v>
      </c>
      <c r="AA263" s="49">
        <f t="shared" ca="1" si="69"/>
        <v>0</v>
      </c>
      <c r="AB263" s="49">
        <f t="shared" ca="1" si="69"/>
        <v>0</v>
      </c>
      <c r="AC263" s="49">
        <f t="shared" ca="1" si="69"/>
        <v>0</v>
      </c>
      <c r="AD263" s="49">
        <f t="shared" ca="1" si="69"/>
        <v>0</v>
      </c>
      <c r="AE263" s="49">
        <f t="shared" ca="1" si="69"/>
        <v>0</v>
      </c>
      <c r="AF263" s="49">
        <f t="shared" ca="1" si="69"/>
        <v>0</v>
      </c>
      <c r="AG263" s="49">
        <f t="shared" ca="1" si="69"/>
        <v>0</v>
      </c>
      <c r="AH263" s="49">
        <f t="shared" ca="1" si="69"/>
        <v>0</v>
      </c>
      <c r="AI263" s="49">
        <f t="shared" ca="1" si="69"/>
        <v>0</v>
      </c>
      <c r="AJ263" s="49">
        <f t="shared" ca="1" si="69"/>
        <v>0</v>
      </c>
      <c r="AK263" s="49">
        <f t="shared" ca="1" si="69"/>
        <v>0</v>
      </c>
      <c r="AL263" s="49">
        <f t="shared" ca="1" si="69"/>
        <v>0</v>
      </c>
      <c r="AM263" s="49">
        <f t="shared" ca="1" si="69"/>
        <v>0</v>
      </c>
      <c r="AN263" s="49">
        <f t="shared" ca="1" si="69"/>
        <v>0</v>
      </c>
      <c r="AO263" s="49">
        <f t="shared" ca="1" si="69"/>
        <v>0</v>
      </c>
      <c r="AP263" s="49">
        <f t="shared" ca="1" si="69"/>
        <v>0</v>
      </c>
      <c r="AQ263" s="49">
        <f t="shared" ca="1" si="69"/>
        <v>0</v>
      </c>
      <c r="AR263" s="49">
        <f t="shared" ca="1" si="69"/>
        <v>0</v>
      </c>
      <c r="AS263" s="49">
        <f t="shared" ca="1" si="69"/>
        <v>0</v>
      </c>
      <c r="AT263" s="49">
        <f t="shared" ca="1" si="69"/>
        <v>0</v>
      </c>
      <c r="AU263" s="49">
        <f t="shared" ca="1" si="69"/>
        <v>0</v>
      </c>
      <c r="AV263" s="49">
        <f t="shared" ca="1" si="69"/>
        <v>0</v>
      </c>
      <c r="AW263" s="49">
        <f t="shared" ca="1" si="69"/>
        <v>0</v>
      </c>
      <c r="AX263" s="49">
        <f t="shared" ca="1" si="69"/>
        <v>0</v>
      </c>
      <c r="AY263" s="49">
        <f t="shared" ca="1" si="69"/>
        <v>0</v>
      </c>
      <c r="AZ263" s="49">
        <f t="shared" ca="1" si="69"/>
        <v>0</v>
      </c>
      <c r="BA263" s="49">
        <f t="shared" ca="1" si="69"/>
        <v>0</v>
      </c>
      <c r="BB263" s="49">
        <f t="shared" ca="1" si="69"/>
        <v>0</v>
      </c>
      <c r="BC263" s="49">
        <f t="shared" ca="1" si="69"/>
        <v>0</v>
      </c>
      <c r="BD263" s="49">
        <f t="shared" ca="1" si="69"/>
        <v>0</v>
      </c>
      <c r="BE263" s="49">
        <f t="shared" ca="1" si="69"/>
        <v>0</v>
      </c>
      <c r="BF263" s="49">
        <f t="shared" ca="1" si="69"/>
        <v>0</v>
      </c>
      <c r="BG263" s="49">
        <f t="shared" ca="1" si="69"/>
        <v>0</v>
      </c>
      <c r="BH263" s="49">
        <f t="shared" ca="1" si="69"/>
        <v>0</v>
      </c>
      <c r="BI263" s="49">
        <f t="shared" ca="1" si="69"/>
        <v>0</v>
      </c>
      <c r="BJ263" s="49">
        <f t="shared" ca="1" si="69"/>
        <v>0</v>
      </c>
      <c r="BK263" s="49">
        <f t="shared" ca="1" si="69"/>
        <v>0</v>
      </c>
      <c r="BL263" s="49">
        <f t="shared" ca="1" si="69"/>
        <v>0</v>
      </c>
      <c r="BM263" s="49">
        <f t="shared" ca="1" si="69"/>
        <v>0</v>
      </c>
      <c r="BN263" s="49">
        <f t="shared" ca="1" si="69"/>
        <v>0</v>
      </c>
      <c r="BO263" s="49">
        <f t="shared" ca="1" si="69"/>
        <v>0</v>
      </c>
      <c r="BP263" s="49">
        <f t="shared" ca="1" si="69"/>
        <v>0</v>
      </c>
      <c r="BQ263" s="49">
        <f t="shared" ca="1" si="69"/>
        <v>0</v>
      </c>
      <c r="BR263" s="49">
        <f t="shared" ca="1" si="69"/>
        <v>0</v>
      </c>
      <c r="BS263" s="49">
        <f t="shared" ca="1" si="69"/>
        <v>0</v>
      </c>
    </row>
    <row r="264" spans="3:71" outlineLevel="1" x14ac:dyDescent="0.2">
      <c r="E264" t="str">
        <f>HM_ZD_Moho!E288</f>
        <v xml:space="preserve">Sous/(Sur)récupération </v>
      </c>
      <c r="J264" s="26"/>
      <c r="L264" s="49">
        <f ca="1">L262+L263</f>
        <v>28.318999999999999</v>
      </c>
      <c r="M264" s="49">
        <f t="shared" ref="M264:BS264" ca="1" si="70">M262+M263</f>
        <v>66.64</v>
      </c>
      <c r="N264" s="49">
        <f t="shared" ca="1" si="70"/>
        <v>117.87100000000001</v>
      </c>
      <c r="O264" s="49">
        <f t="shared" ca="1" si="70"/>
        <v>218.96</v>
      </c>
      <c r="P264" s="49">
        <f t="shared" ca="1" si="70"/>
        <v>350.82000000000005</v>
      </c>
      <c r="Q264" s="49">
        <f t="shared" ca="1" si="70"/>
        <v>512.04500000000007</v>
      </c>
      <c r="R264" s="49">
        <f t="shared" ca="1" si="70"/>
        <v>675.7120000000001</v>
      </c>
      <c r="S264" s="49">
        <f t="shared" ca="1" si="70"/>
        <v>675.7120000000001</v>
      </c>
      <c r="T264" s="49">
        <f t="shared" ca="1" si="70"/>
        <v>675.7120000000001</v>
      </c>
      <c r="U264" s="49">
        <f t="shared" ca="1" si="70"/>
        <v>675.7120000000001</v>
      </c>
      <c r="V264" s="49">
        <f t="shared" ca="1" si="70"/>
        <v>675.7120000000001</v>
      </c>
      <c r="W264" s="49">
        <f t="shared" ca="1" si="70"/>
        <v>675.7120000000001</v>
      </c>
      <c r="X264" s="49">
        <f t="shared" ca="1" si="70"/>
        <v>675.7120000000001</v>
      </c>
      <c r="Y264" s="49">
        <f t="shared" ca="1" si="70"/>
        <v>675.7120000000001</v>
      </c>
      <c r="Z264" s="49">
        <f t="shared" ca="1" si="70"/>
        <v>675.7120000000001</v>
      </c>
      <c r="AA264" s="49">
        <f t="shared" ca="1" si="70"/>
        <v>675.7120000000001</v>
      </c>
      <c r="AB264" s="49">
        <f t="shared" ca="1" si="70"/>
        <v>675.7120000000001</v>
      </c>
      <c r="AC264" s="49">
        <f t="shared" ca="1" si="70"/>
        <v>675.7120000000001</v>
      </c>
      <c r="AD264" s="49">
        <f t="shared" ca="1" si="70"/>
        <v>675.7120000000001</v>
      </c>
      <c r="AE264" s="49">
        <f t="shared" ca="1" si="70"/>
        <v>675.7120000000001</v>
      </c>
      <c r="AF264" s="49">
        <f t="shared" ca="1" si="70"/>
        <v>675.7120000000001</v>
      </c>
      <c r="AG264" s="49">
        <f t="shared" ca="1" si="70"/>
        <v>675.7120000000001</v>
      </c>
      <c r="AH264" s="49">
        <f t="shared" ca="1" si="70"/>
        <v>675.7120000000001</v>
      </c>
      <c r="AI264" s="49">
        <f t="shared" ca="1" si="70"/>
        <v>675.7120000000001</v>
      </c>
      <c r="AJ264" s="49">
        <f t="shared" ca="1" si="70"/>
        <v>675.7120000000001</v>
      </c>
      <c r="AK264" s="49">
        <f t="shared" ca="1" si="70"/>
        <v>675.7120000000001</v>
      </c>
      <c r="AL264" s="49">
        <f t="shared" ca="1" si="70"/>
        <v>675.7120000000001</v>
      </c>
      <c r="AM264" s="49">
        <f t="shared" ca="1" si="70"/>
        <v>675.7120000000001</v>
      </c>
      <c r="AN264" s="49">
        <f t="shared" ca="1" si="70"/>
        <v>675.7120000000001</v>
      </c>
      <c r="AO264" s="49">
        <f t="shared" ca="1" si="70"/>
        <v>675.7120000000001</v>
      </c>
      <c r="AP264" s="49">
        <f t="shared" ca="1" si="70"/>
        <v>675.7120000000001</v>
      </c>
      <c r="AQ264" s="49">
        <f t="shared" ca="1" si="70"/>
        <v>675.7120000000001</v>
      </c>
      <c r="AR264" s="49">
        <f t="shared" ca="1" si="70"/>
        <v>675.7120000000001</v>
      </c>
      <c r="AS264" s="49">
        <f t="shared" ca="1" si="70"/>
        <v>675.7120000000001</v>
      </c>
      <c r="AT264" s="49">
        <f t="shared" ca="1" si="70"/>
        <v>675.7120000000001</v>
      </c>
      <c r="AU264" s="49">
        <f t="shared" ca="1" si="70"/>
        <v>675.7120000000001</v>
      </c>
      <c r="AV264" s="49">
        <f t="shared" ca="1" si="70"/>
        <v>675.7120000000001</v>
      </c>
      <c r="AW264" s="49">
        <f t="shared" ca="1" si="70"/>
        <v>675.7120000000001</v>
      </c>
      <c r="AX264" s="49">
        <f t="shared" ca="1" si="70"/>
        <v>675.7120000000001</v>
      </c>
      <c r="AY264" s="49">
        <f t="shared" ca="1" si="70"/>
        <v>675.7120000000001</v>
      </c>
      <c r="AZ264" s="49">
        <f t="shared" ca="1" si="70"/>
        <v>675.7120000000001</v>
      </c>
      <c r="BA264" s="49">
        <f t="shared" ca="1" si="70"/>
        <v>675.7120000000001</v>
      </c>
      <c r="BB264" s="49">
        <f t="shared" ca="1" si="70"/>
        <v>675.7120000000001</v>
      </c>
      <c r="BC264" s="49">
        <f t="shared" ca="1" si="70"/>
        <v>675.7120000000001</v>
      </c>
      <c r="BD264" s="49">
        <f t="shared" ca="1" si="70"/>
        <v>675.7120000000001</v>
      </c>
      <c r="BE264" s="49">
        <f t="shared" ca="1" si="70"/>
        <v>675.7120000000001</v>
      </c>
      <c r="BF264" s="49">
        <f t="shared" ca="1" si="70"/>
        <v>675.7120000000001</v>
      </c>
      <c r="BG264" s="49">
        <f t="shared" ca="1" si="70"/>
        <v>675.7120000000001</v>
      </c>
      <c r="BH264" s="49">
        <f t="shared" ca="1" si="70"/>
        <v>675.7120000000001</v>
      </c>
      <c r="BI264" s="49">
        <f t="shared" ca="1" si="70"/>
        <v>675.7120000000001</v>
      </c>
      <c r="BJ264" s="49">
        <f t="shared" ca="1" si="70"/>
        <v>675.7120000000001</v>
      </c>
      <c r="BK264" s="49">
        <f t="shared" ca="1" si="70"/>
        <v>675.7120000000001</v>
      </c>
      <c r="BL264" s="49">
        <f t="shared" ca="1" si="70"/>
        <v>675.7120000000001</v>
      </c>
      <c r="BM264" s="49">
        <f t="shared" ca="1" si="70"/>
        <v>675.7120000000001</v>
      </c>
      <c r="BN264" s="49">
        <f t="shared" ca="1" si="70"/>
        <v>675.7120000000001</v>
      </c>
      <c r="BO264" s="49">
        <f t="shared" ca="1" si="70"/>
        <v>675.7120000000001</v>
      </c>
      <c r="BP264" s="49">
        <f t="shared" ca="1" si="70"/>
        <v>675.7120000000001</v>
      </c>
      <c r="BQ264" s="49">
        <f t="shared" ca="1" si="70"/>
        <v>675.7120000000001</v>
      </c>
      <c r="BR264" s="49">
        <f t="shared" ca="1" si="70"/>
        <v>675.7120000000001</v>
      </c>
      <c r="BS264" s="49">
        <f t="shared" ca="1" si="70"/>
        <v>675.7120000000001</v>
      </c>
    </row>
    <row r="265" spans="3:71" outlineLevel="1" x14ac:dyDescent="0.2">
      <c r="J265" s="26"/>
      <c r="L265" s="55"/>
      <c r="M265" s="55"/>
      <c r="N265" s="55"/>
      <c r="O265" s="55"/>
      <c r="P265" s="55"/>
      <c r="Q265" s="55"/>
      <c r="R265" s="55"/>
      <c r="S265" s="55"/>
      <c r="T265" s="55"/>
      <c r="U265" s="55"/>
      <c r="V265" s="55"/>
      <c r="W265" s="55"/>
      <c r="X265" s="55"/>
      <c r="Y265" s="55"/>
      <c r="Z265" s="55"/>
      <c r="AA265" s="55"/>
      <c r="AB265" s="55"/>
      <c r="AC265" s="55"/>
      <c r="AD265" s="55"/>
      <c r="AE265" s="55"/>
      <c r="AF265" s="55"/>
      <c r="AG265" s="55"/>
      <c r="AH265" s="55"/>
      <c r="AI265" s="55"/>
      <c r="AJ265" s="55"/>
      <c r="AK265" s="55"/>
      <c r="AL265" s="55"/>
      <c r="AM265" s="55"/>
      <c r="AN265" s="55"/>
      <c r="AO265" s="55"/>
      <c r="AP265" s="55"/>
      <c r="AQ265" s="55"/>
      <c r="AR265" s="55"/>
      <c r="AS265" s="55"/>
      <c r="AT265" s="55"/>
      <c r="AU265" s="55"/>
      <c r="AV265" s="55"/>
      <c r="AW265" s="55"/>
      <c r="AX265" s="55"/>
      <c r="AY265" s="55"/>
      <c r="AZ265" s="55"/>
      <c r="BA265" s="55"/>
      <c r="BB265" s="55"/>
      <c r="BC265" s="55"/>
      <c r="BD265" s="55"/>
      <c r="BE265" s="55"/>
      <c r="BF265" s="55"/>
      <c r="BG265" s="55"/>
      <c r="BH265" s="55"/>
      <c r="BI265" s="55"/>
      <c r="BJ265" s="55"/>
      <c r="BK265" s="55"/>
      <c r="BL265" s="55"/>
      <c r="BM265" s="55"/>
      <c r="BN265" s="55"/>
      <c r="BO265" s="55"/>
      <c r="BP265" s="55"/>
      <c r="BQ265" s="55"/>
      <c r="BR265" s="55"/>
      <c r="BS265" s="55"/>
    </row>
    <row r="266" spans="3:71" outlineLevel="1" x14ac:dyDescent="0.2">
      <c r="J266" s="26"/>
      <c r="L266" s="55"/>
      <c r="M266" s="55"/>
      <c r="N266" s="55"/>
      <c r="O266" s="55"/>
      <c r="P266" s="55"/>
      <c r="Q266" s="55"/>
      <c r="R266" s="55"/>
      <c r="S266" s="55"/>
      <c r="T266" s="55"/>
      <c r="U266" s="55"/>
      <c r="V266" s="55"/>
      <c r="W266" s="55"/>
      <c r="X266" s="55"/>
      <c r="Y266" s="55"/>
      <c r="Z266" s="55"/>
      <c r="AA266" s="55"/>
      <c r="AB266" s="55"/>
      <c r="AC266" s="55"/>
      <c r="AD266" s="55"/>
      <c r="AE266" s="55"/>
      <c r="AF266" s="55"/>
      <c r="AG266" s="55"/>
      <c r="AH266" s="55"/>
      <c r="AI266" s="55"/>
      <c r="AJ266" s="55"/>
      <c r="AK266" s="55"/>
      <c r="AL266" s="55"/>
      <c r="AM266" s="55"/>
      <c r="AN266" s="55"/>
      <c r="AO266" s="55"/>
      <c r="AP266" s="55"/>
      <c r="AQ266" s="55"/>
      <c r="AR266" s="55"/>
      <c r="AS266" s="55"/>
      <c r="AT266" s="55"/>
      <c r="AU266" s="55"/>
      <c r="AV266" s="55"/>
      <c r="AW266" s="55"/>
      <c r="AX266" s="55"/>
      <c r="AY266" s="55"/>
      <c r="AZ266" s="55"/>
      <c r="BA266" s="55"/>
      <c r="BB266" s="55"/>
      <c r="BC266" s="55"/>
      <c r="BD266" s="55"/>
      <c r="BE266" s="55"/>
      <c r="BF266" s="55"/>
      <c r="BG266" s="55"/>
      <c r="BH266" s="55"/>
      <c r="BI266" s="55"/>
      <c r="BJ266" s="55"/>
      <c r="BK266" s="55"/>
      <c r="BL266" s="55"/>
      <c r="BM266" s="55"/>
      <c r="BN266" s="55"/>
      <c r="BO266" s="55"/>
      <c r="BP266" s="55"/>
      <c r="BQ266" s="55"/>
      <c r="BR266" s="55"/>
      <c r="BS266" s="55"/>
    </row>
    <row r="267" spans="3:71" outlineLevel="1" x14ac:dyDescent="0.2">
      <c r="D267" s="11" t="str">
        <f>HM_ZD_Moho!D291</f>
        <v>Coût total récupéré</v>
      </c>
      <c r="H267" s="56" t="b">
        <f ca="1">ROUND(I267,2)=ROUND(I225,2)</f>
        <v>0</v>
      </c>
      <c r="I267" s="30">
        <f t="shared" ca="1" si="63"/>
        <v>1513.7992623192276</v>
      </c>
      <c r="J267" s="26" t="s">
        <v>148</v>
      </c>
      <c r="K267" s="7" t="s">
        <v>208</v>
      </c>
      <c r="L267" s="49">
        <f ca="1">-SUM(L257,L251,L245,L239,L263)</f>
        <v>86.539122832499999</v>
      </c>
      <c r="M267" s="49">
        <f t="shared" ref="M267:BS267" ca="1" si="71">-SUM(M257,M251,M245,M239,M263)</f>
        <v>137.56755898825</v>
      </c>
      <c r="N267" s="49">
        <f t="shared" ca="1" si="71"/>
        <v>112.455877409625</v>
      </c>
      <c r="O267" s="49">
        <f t="shared" ca="1" si="71"/>
        <v>117.75807335512498</v>
      </c>
      <c r="P267" s="49">
        <f t="shared" ca="1" si="71"/>
        <v>107.84823756</v>
      </c>
      <c r="Q267" s="49">
        <f t="shared" ca="1" si="71"/>
        <v>118.71952720450003</v>
      </c>
      <c r="R267" s="49">
        <f t="shared" ca="1" si="71"/>
        <v>125.24826879562499</v>
      </c>
      <c r="S267" s="49">
        <f t="shared" ca="1" si="71"/>
        <v>112.45402350000001</v>
      </c>
      <c r="T267" s="49">
        <f t="shared" ca="1" si="71"/>
        <v>131.92417349999999</v>
      </c>
      <c r="U267" s="49">
        <f t="shared" ca="1" si="71"/>
        <v>125.14327098209996</v>
      </c>
      <c r="V267" s="49">
        <f t="shared" ca="1" si="71"/>
        <v>118.71090685362002</v>
      </c>
      <c r="W267" s="49">
        <f t="shared" ca="1" si="71"/>
        <v>112.60916624134396</v>
      </c>
      <c r="X267" s="49">
        <f t="shared" ca="1" si="71"/>
        <v>106.82105509653887</v>
      </c>
      <c r="Y267" s="49">
        <f t="shared" ca="1" si="71"/>
        <v>0</v>
      </c>
      <c r="Z267" s="49">
        <f t="shared" ca="1" si="71"/>
        <v>0</v>
      </c>
      <c r="AA267" s="49">
        <f t="shared" ca="1" si="71"/>
        <v>0</v>
      </c>
      <c r="AB267" s="49">
        <f t="shared" ca="1" si="71"/>
        <v>0</v>
      </c>
      <c r="AC267" s="49">
        <f t="shared" ca="1" si="71"/>
        <v>0</v>
      </c>
      <c r="AD267" s="49">
        <f t="shared" ca="1" si="71"/>
        <v>0</v>
      </c>
      <c r="AE267" s="49">
        <f t="shared" ca="1" si="71"/>
        <v>0</v>
      </c>
      <c r="AF267" s="49">
        <f t="shared" ca="1" si="71"/>
        <v>0</v>
      </c>
      <c r="AG267" s="49">
        <f t="shared" ca="1" si="71"/>
        <v>0</v>
      </c>
      <c r="AH267" s="49">
        <f t="shared" ca="1" si="71"/>
        <v>0</v>
      </c>
      <c r="AI267" s="49">
        <f t="shared" ca="1" si="71"/>
        <v>0</v>
      </c>
      <c r="AJ267" s="49">
        <f t="shared" ca="1" si="71"/>
        <v>0</v>
      </c>
      <c r="AK267" s="49">
        <f t="shared" ca="1" si="71"/>
        <v>0</v>
      </c>
      <c r="AL267" s="49">
        <f t="shared" ca="1" si="71"/>
        <v>0</v>
      </c>
      <c r="AM267" s="49">
        <f t="shared" ca="1" si="71"/>
        <v>0</v>
      </c>
      <c r="AN267" s="49">
        <f t="shared" ca="1" si="71"/>
        <v>0</v>
      </c>
      <c r="AO267" s="49">
        <f t="shared" ca="1" si="71"/>
        <v>0</v>
      </c>
      <c r="AP267" s="49">
        <f t="shared" ca="1" si="71"/>
        <v>0</v>
      </c>
      <c r="AQ267" s="49">
        <f t="shared" ca="1" si="71"/>
        <v>0</v>
      </c>
      <c r="AR267" s="49">
        <f t="shared" ca="1" si="71"/>
        <v>0</v>
      </c>
      <c r="AS267" s="49">
        <f t="shared" ca="1" si="71"/>
        <v>0</v>
      </c>
      <c r="AT267" s="49">
        <f t="shared" ca="1" si="71"/>
        <v>0</v>
      </c>
      <c r="AU267" s="49">
        <f t="shared" ca="1" si="71"/>
        <v>0</v>
      </c>
      <c r="AV267" s="49">
        <f t="shared" ca="1" si="71"/>
        <v>0</v>
      </c>
      <c r="AW267" s="49">
        <f t="shared" ca="1" si="71"/>
        <v>0</v>
      </c>
      <c r="AX267" s="49">
        <f t="shared" ca="1" si="71"/>
        <v>0</v>
      </c>
      <c r="AY267" s="49">
        <f t="shared" ca="1" si="71"/>
        <v>0</v>
      </c>
      <c r="AZ267" s="49">
        <f t="shared" ca="1" si="71"/>
        <v>0</v>
      </c>
      <c r="BA267" s="49">
        <f t="shared" ca="1" si="71"/>
        <v>0</v>
      </c>
      <c r="BB267" s="49">
        <f t="shared" ca="1" si="71"/>
        <v>0</v>
      </c>
      <c r="BC267" s="49">
        <f t="shared" ca="1" si="71"/>
        <v>0</v>
      </c>
      <c r="BD267" s="49">
        <f t="shared" ca="1" si="71"/>
        <v>0</v>
      </c>
      <c r="BE267" s="49">
        <f t="shared" ca="1" si="71"/>
        <v>0</v>
      </c>
      <c r="BF267" s="49">
        <f t="shared" ca="1" si="71"/>
        <v>0</v>
      </c>
      <c r="BG267" s="49">
        <f t="shared" ca="1" si="71"/>
        <v>0</v>
      </c>
      <c r="BH267" s="49">
        <f t="shared" ca="1" si="71"/>
        <v>0</v>
      </c>
      <c r="BI267" s="49">
        <f t="shared" ca="1" si="71"/>
        <v>0</v>
      </c>
      <c r="BJ267" s="49">
        <f t="shared" ca="1" si="71"/>
        <v>0</v>
      </c>
      <c r="BK267" s="49">
        <f t="shared" ca="1" si="71"/>
        <v>0</v>
      </c>
      <c r="BL267" s="49">
        <f t="shared" ca="1" si="71"/>
        <v>0</v>
      </c>
      <c r="BM267" s="49">
        <f t="shared" ca="1" si="71"/>
        <v>0</v>
      </c>
      <c r="BN267" s="49">
        <f t="shared" ca="1" si="71"/>
        <v>0</v>
      </c>
      <c r="BO267" s="49">
        <f t="shared" ca="1" si="71"/>
        <v>0</v>
      </c>
      <c r="BP267" s="49">
        <f t="shared" ca="1" si="71"/>
        <v>0</v>
      </c>
      <c r="BQ267" s="49">
        <f t="shared" ca="1" si="71"/>
        <v>0</v>
      </c>
      <c r="BR267" s="49">
        <f t="shared" ca="1" si="71"/>
        <v>0</v>
      </c>
      <c r="BS267" s="49">
        <f t="shared" ca="1" si="71"/>
        <v>0</v>
      </c>
    </row>
    <row r="268" spans="3:71" outlineLevel="1" x14ac:dyDescent="0.2">
      <c r="J268" s="26"/>
      <c r="L268" s="55"/>
      <c r="M268" s="55"/>
      <c r="N268" s="55"/>
      <c r="O268" s="55"/>
      <c r="P268" s="55"/>
      <c r="Q268" s="55"/>
      <c r="R268" s="55"/>
      <c r="S268" s="55"/>
      <c r="T268" s="55"/>
      <c r="U268" s="55"/>
      <c r="V268" s="55"/>
      <c r="W268" s="55"/>
      <c r="X268" s="55"/>
      <c r="Y268" s="55"/>
      <c r="Z268" s="55"/>
      <c r="AA268" s="55"/>
      <c r="AB268" s="55"/>
      <c r="AC268" s="55"/>
      <c r="AD268" s="55"/>
      <c r="AE268" s="55"/>
      <c r="AF268" s="55"/>
      <c r="AG268" s="55"/>
      <c r="AH268" s="55"/>
      <c r="AI268" s="55"/>
      <c r="AJ268" s="55"/>
      <c r="AK268" s="55"/>
      <c r="AL268" s="55"/>
      <c r="AM268" s="55"/>
      <c r="AN268" s="55"/>
      <c r="AO268" s="55"/>
      <c r="AP268" s="55"/>
      <c r="AQ268" s="55"/>
      <c r="AR268" s="55"/>
      <c r="AS268" s="55"/>
      <c r="AT268" s="55"/>
      <c r="AU268" s="55"/>
      <c r="AV268" s="55"/>
      <c r="AW268" s="55"/>
      <c r="AX268" s="55"/>
      <c r="AY268" s="55"/>
      <c r="AZ268" s="55"/>
      <c r="BA268" s="55"/>
      <c r="BB268" s="55"/>
      <c r="BC268" s="55"/>
      <c r="BD268" s="55"/>
      <c r="BE268" s="55"/>
      <c r="BF268" s="55"/>
      <c r="BG268" s="55"/>
      <c r="BH268" s="55"/>
      <c r="BI268" s="55"/>
      <c r="BJ268" s="55"/>
      <c r="BK268" s="55"/>
      <c r="BL268" s="55"/>
      <c r="BM268" s="55"/>
      <c r="BN268" s="55"/>
      <c r="BO268" s="55"/>
      <c r="BP268" s="55"/>
      <c r="BQ268" s="55"/>
      <c r="BR268" s="55"/>
      <c r="BS268" s="55"/>
    </row>
    <row r="269" spans="3:71" outlineLevel="1" x14ac:dyDescent="0.2">
      <c r="C269" s="11" t="str">
        <f>HM_ZD_Moho!C293</f>
        <v>Excess Cost Oil (ECO)</v>
      </c>
      <c r="J269" s="26"/>
      <c r="L269" s="55"/>
      <c r="M269" s="55"/>
      <c r="N269" s="55"/>
      <c r="O269" s="55"/>
      <c r="P269" s="55"/>
      <c r="Q269" s="55"/>
      <c r="R269" s="55"/>
      <c r="S269" s="55"/>
      <c r="T269" s="55"/>
      <c r="U269" s="55"/>
      <c r="V269" s="55"/>
      <c r="W269" s="55"/>
      <c r="X269" s="55"/>
      <c r="Y269" s="55"/>
      <c r="Z269" s="55"/>
      <c r="AA269" s="55"/>
      <c r="AB269" s="55"/>
      <c r="AC269" s="55"/>
      <c r="AD269" s="55"/>
      <c r="AE269" s="55"/>
      <c r="AF269" s="55"/>
      <c r="AG269" s="55"/>
      <c r="AH269" s="55"/>
      <c r="AI269" s="55"/>
      <c r="AJ269" s="55"/>
      <c r="AK269" s="55"/>
      <c r="AL269" s="55"/>
      <c r="AM269" s="55"/>
      <c r="AN269" s="55"/>
      <c r="AO269" s="55"/>
      <c r="AP269" s="55"/>
      <c r="AQ269" s="55"/>
      <c r="AR269" s="55"/>
      <c r="AS269" s="55"/>
      <c r="AT269" s="55"/>
      <c r="AU269" s="55"/>
      <c r="AV269" s="55"/>
      <c r="AW269" s="55"/>
      <c r="AX269" s="55"/>
      <c r="AY269" s="55"/>
      <c r="AZ269" s="55"/>
      <c r="BA269" s="55"/>
      <c r="BB269" s="55"/>
      <c r="BC269" s="55"/>
      <c r="BD269" s="55"/>
      <c r="BE269" s="55"/>
      <c r="BF269" s="55"/>
      <c r="BG269" s="55"/>
      <c r="BH269" s="55"/>
      <c r="BI269" s="55"/>
      <c r="BJ269" s="55"/>
      <c r="BK269" s="55"/>
      <c r="BL269" s="55"/>
      <c r="BM269" s="55"/>
      <c r="BN269" s="55"/>
      <c r="BO269" s="55"/>
      <c r="BP269" s="55"/>
      <c r="BQ269" s="55"/>
      <c r="BR269" s="55"/>
      <c r="BS269" s="55"/>
    </row>
    <row r="270" spans="3:71" outlineLevel="1" x14ac:dyDescent="0.2">
      <c r="D270" t="str">
        <f>HM_ZD_Moho!D294</f>
        <v>Revenus disponibles pour le partage de l'Excess Cost oil</v>
      </c>
      <c r="I270" s="30">
        <f t="shared" ref="I270:I273" ca="1" si="72">SUM($L270:$BS270)</f>
        <v>0</v>
      </c>
      <c r="J270" s="26" t="s">
        <v>148</v>
      </c>
      <c r="K270" s="7" t="s">
        <v>210</v>
      </c>
      <c r="L270" s="49">
        <f ca="1">IF(KLL_II_2020!CA_cost_stop-KLL_II_2020!CA_cost_recovered_total&lt;=0,0,KLL_II_2020!CA_cost_stop-KLL_II_2020!CA_cost_recovered_total-MAX(KLL_II_2020!CA_gco-KLL_II_2020!CA_cost_recovered_total,0))</f>
        <v>0</v>
      </c>
      <c r="M270" s="49">
        <f ca="1">IF(KLL_II_2020!CA_cost_stop-KLL_II_2020!CA_cost_recovered_total&lt;=0,0,KLL_II_2020!CA_cost_stop-KLL_II_2020!CA_cost_recovered_total-MAX(KLL_II_2020!CA_gco-KLL_II_2020!CA_cost_recovered_total,0))</f>
        <v>0</v>
      </c>
      <c r="N270" s="49">
        <f ca="1">IF(KLL_II_2020!CA_cost_stop-KLL_II_2020!CA_cost_recovered_total&lt;=0,0,KLL_II_2020!CA_cost_stop-KLL_II_2020!CA_cost_recovered_total-MAX(KLL_II_2020!CA_gco-KLL_II_2020!CA_cost_recovered_total,0))</f>
        <v>0</v>
      </c>
      <c r="O270" s="49">
        <f ca="1">IF(KLL_II_2020!CA_cost_stop-KLL_II_2020!CA_cost_recovered_total&lt;=0,0,KLL_II_2020!CA_cost_stop-KLL_II_2020!CA_cost_recovered_total-MAX(KLL_II_2020!CA_gco-KLL_II_2020!CA_cost_recovered_total,0))</f>
        <v>0</v>
      </c>
      <c r="P270" s="49">
        <f ca="1">IF(KLL_II_2020!CA_cost_stop-KLL_II_2020!CA_cost_recovered_total&lt;=0,0,KLL_II_2020!CA_cost_stop-KLL_II_2020!CA_cost_recovered_total-MAX(KLL_II_2020!CA_gco-KLL_II_2020!CA_cost_recovered_total,0))</f>
        <v>0</v>
      </c>
      <c r="Q270" s="49">
        <f ca="1">IF(KLL_II_2020!CA_cost_stop-KLL_II_2020!CA_cost_recovered_total&lt;=0,0,KLL_II_2020!CA_cost_stop-KLL_II_2020!CA_cost_recovered_total-MAX(KLL_II_2020!CA_gco-KLL_II_2020!CA_cost_recovered_total,0))</f>
        <v>0</v>
      </c>
      <c r="R270" s="49">
        <f ca="1">IF(KLL_II_2020!CA_cost_stop-KLL_II_2020!CA_cost_recovered_total&lt;=0,0,KLL_II_2020!CA_cost_stop-KLL_II_2020!CA_cost_recovered_total-MAX(KLL_II_2020!CA_gco-KLL_II_2020!CA_cost_recovered_total,0))</f>
        <v>0</v>
      </c>
      <c r="S270" s="49">
        <f ca="1">IF(KLL_II_2020!CA_cost_stop-KLL_II_2020!CA_cost_recovered_total&lt;=0,0,KLL_II_2020!CA_cost_stop-KLL_II_2020!CA_cost_recovered_total-MAX(KLL_II_2020!CA_gco-KLL_II_2020!CA_cost_recovered_total,0))</f>
        <v>0</v>
      </c>
      <c r="T270" s="49">
        <f ca="1">IF(KLL_II_2020!CA_cost_stop-KLL_II_2020!CA_cost_recovered_total&lt;=0,0,KLL_II_2020!CA_cost_stop-KLL_II_2020!CA_cost_recovered_total-MAX(KLL_II_2020!CA_gco-KLL_II_2020!CA_cost_recovered_total,0))</f>
        <v>0</v>
      </c>
      <c r="U270" s="49">
        <f ca="1">IF(KLL_II_2020!CA_cost_stop-KLL_II_2020!CA_cost_recovered_total&lt;=0,0,KLL_II_2020!CA_cost_stop-KLL_II_2020!CA_cost_recovered_total-MAX(KLL_II_2020!CA_gco-KLL_II_2020!CA_cost_recovered_total,0))</f>
        <v>0</v>
      </c>
      <c r="V270" s="49">
        <f ca="1">IF(KLL_II_2020!CA_cost_stop-KLL_II_2020!CA_cost_recovered_total&lt;=0,0,KLL_II_2020!CA_cost_stop-KLL_II_2020!CA_cost_recovered_total-MAX(KLL_II_2020!CA_gco-KLL_II_2020!CA_cost_recovered_total,0))</f>
        <v>0</v>
      </c>
      <c r="W270" s="49">
        <f ca="1">IF(KLL_II_2020!CA_cost_stop-KLL_II_2020!CA_cost_recovered_total&lt;=0,0,KLL_II_2020!CA_cost_stop-KLL_II_2020!CA_cost_recovered_total-MAX(KLL_II_2020!CA_gco-KLL_II_2020!CA_cost_recovered_total,0))</f>
        <v>0</v>
      </c>
      <c r="X270" s="49">
        <f ca="1">IF(KLL_II_2020!CA_cost_stop-KLL_II_2020!CA_cost_recovered_total&lt;=0,0,KLL_II_2020!CA_cost_stop-KLL_II_2020!CA_cost_recovered_total-MAX(KLL_II_2020!CA_gco-KLL_II_2020!CA_cost_recovered_total,0))</f>
        <v>0</v>
      </c>
      <c r="Y270" s="49">
        <f ca="1">IF(KLL_II_2020!CA_cost_stop-KLL_II_2020!CA_cost_recovered_total&lt;=0,0,KLL_II_2020!CA_cost_stop-KLL_II_2020!CA_cost_recovered_total-MAX(KLL_II_2020!CA_gco-KLL_II_2020!CA_cost_recovered_total,0))</f>
        <v>0</v>
      </c>
      <c r="Z270" s="49">
        <f ca="1">IF(KLL_II_2020!CA_cost_stop-KLL_II_2020!CA_cost_recovered_total&lt;=0,0,KLL_II_2020!CA_cost_stop-KLL_II_2020!CA_cost_recovered_total-MAX(KLL_II_2020!CA_gco-KLL_II_2020!CA_cost_recovered_total,0))</f>
        <v>0</v>
      </c>
      <c r="AA270" s="49">
        <f ca="1">IF(KLL_II_2020!CA_cost_stop-KLL_II_2020!CA_cost_recovered_total&lt;=0,0,KLL_II_2020!CA_cost_stop-KLL_II_2020!CA_cost_recovered_total-MAX(KLL_II_2020!CA_gco-KLL_II_2020!CA_cost_recovered_total,0))</f>
        <v>0</v>
      </c>
      <c r="AB270" s="49">
        <f ca="1">IF(KLL_II_2020!CA_cost_stop-KLL_II_2020!CA_cost_recovered_total&lt;=0,0,KLL_II_2020!CA_cost_stop-KLL_II_2020!CA_cost_recovered_total-MAX(KLL_II_2020!CA_gco-KLL_II_2020!CA_cost_recovered_total,0))</f>
        <v>0</v>
      </c>
      <c r="AC270" s="49">
        <f ca="1">IF(KLL_II_2020!CA_cost_stop-KLL_II_2020!CA_cost_recovered_total&lt;=0,0,KLL_II_2020!CA_cost_stop-KLL_II_2020!CA_cost_recovered_total-MAX(KLL_II_2020!CA_gco-KLL_II_2020!CA_cost_recovered_total,0))</f>
        <v>0</v>
      </c>
      <c r="AD270" s="49">
        <f ca="1">IF(KLL_II_2020!CA_cost_stop-KLL_II_2020!CA_cost_recovered_total&lt;=0,0,KLL_II_2020!CA_cost_stop-KLL_II_2020!CA_cost_recovered_total-MAX(KLL_II_2020!CA_gco-KLL_II_2020!CA_cost_recovered_total,0))</f>
        <v>0</v>
      </c>
      <c r="AE270" s="49">
        <f ca="1">IF(KLL_II_2020!CA_cost_stop-KLL_II_2020!CA_cost_recovered_total&lt;=0,0,KLL_II_2020!CA_cost_stop-KLL_II_2020!CA_cost_recovered_total-MAX(KLL_II_2020!CA_gco-KLL_II_2020!CA_cost_recovered_total,0))</f>
        <v>0</v>
      </c>
      <c r="AF270" s="49">
        <f ca="1">IF(KLL_II_2020!CA_cost_stop-KLL_II_2020!CA_cost_recovered_total&lt;=0,0,KLL_II_2020!CA_cost_stop-KLL_II_2020!CA_cost_recovered_total-MAX(KLL_II_2020!CA_gco-KLL_II_2020!CA_cost_recovered_total,0))</f>
        <v>0</v>
      </c>
      <c r="AG270" s="49">
        <f ca="1">IF(KLL_II_2020!CA_cost_stop-KLL_II_2020!CA_cost_recovered_total&lt;=0,0,KLL_II_2020!CA_cost_stop-KLL_II_2020!CA_cost_recovered_total-MAX(KLL_II_2020!CA_gco-KLL_II_2020!CA_cost_recovered_total,0))</f>
        <v>0</v>
      </c>
      <c r="AH270" s="49">
        <f ca="1">IF(KLL_II_2020!CA_cost_stop-KLL_II_2020!CA_cost_recovered_total&lt;=0,0,KLL_II_2020!CA_cost_stop-KLL_II_2020!CA_cost_recovered_total-MAX(KLL_II_2020!CA_gco-KLL_II_2020!CA_cost_recovered_total,0))</f>
        <v>0</v>
      </c>
      <c r="AI270" s="49">
        <f ca="1">IF(KLL_II_2020!CA_cost_stop-KLL_II_2020!CA_cost_recovered_total&lt;=0,0,KLL_II_2020!CA_cost_stop-KLL_II_2020!CA_cost_recovered_total-MAX(KLL_II_2020!CA_gco-KLL_II_2020!CA_cost_recovered_total,0))</f>
        <v>0</v>
      </c>
      <c r="AJ270" s="49">
        <f ca="1">IF(KLL_II_2020!CA_cost_stop-KLL_II_2020!CA_cost_recovered_total&lt;=0,0,KLL_II_2020!CA_cost_stop-KLL_II_2020!CA_cost_recovered_total-MAX(KLL_II_2020!CA_gco-KLL_II_2020!CA_cost_recovered_total,0))</f>
        <v>0</v>
      </c>
      <c r="AK270" s="49">
        <f ca="1">IF(KLL_II_2020!CA_cost_stop-KLL_II_2020!CA_cost_recovered_total&lt;=0,0,KLL_II_2020!CA_cost_stop-KLL_II_2020!CA_cost_recovered_total-MAX(KLL_II_2020!CA_gco-KLL_II_2020!CA_cost_recovered_total,0))</f>
        <v>0</v>
      </c>
      <c r="AL270" s="49">
        <f ca="1">IF(KLL_II_2020!CA_cost_stop-KLL_II_2020!CA_cost_recovered_total&lt;=0,0,KLL_II_2020!CA_cost_stop-KLL_II_2020!CA_cost_recovered_total-MAX(KLL_II_2020!CA_gco-KLL_II_2020!CA_cost_recovered_total,0))</f>
        <v>0</v>
      </c>
      <c r="AM270" s="49">
        <f ca="1">IF(KLL_II_2020!CA_cost_stop-KLL_II_2020!CA_cost_recovered_total&lt;=0,0,KLL_II_2020!CA_cost_stop-KLL_II_2020!CA_cost_recovered_total-MAX(KLL_II_2020!CA_gco-KLL_II_2020!CA_cost_recovered_total,0))</f>
        <v>0</v>
      </c>
      <c r="AN270" s="49">
        <f ca="1">IF(KLL_II_2020!CA_cost_stop-KLL_II_2020!CA_cost_recovered_total&lt;=0,0,KLL_II_2020!CA_cost_stop-KLL_II_2020!CA_cost_recovered_total-MAX(KLL_II_2020!CA_gco-KLL_II_2020!CA_cost_recovered_total,0))</f>
        <v>0</v>
      </c>
      <c r="AO270" s="49">
        <f ca="1">IF(KLL_II_2020!CA_cost_stop-KLL_II_2020!CA_cost_recovered_total&lt;=0,0,KLL_II_2020!CA_cost_stop-KLL_II_2020!CA_cost_recovered_total-MAX(KLL_II_2020!CA_gco-KLL_II_2020!CA_cost_recovered_total,0))</f>
        <v>0</v>
      </c>
      <c r="AP270" s="49">
        <f ca="1">IF(KLL_II_2020!CA_cost_stop-KLL_II_2020!CA_cost_recovered_total&lt;=0,0,KLL_II_2020!CA_cost_stop-KLL_II_2020!CA_cost_recovered_total-MAX(KLL_II_2020!CA_gco-KLL_II_2020!CA_cost_recovered_total,0))</f>
        <v>0</v>
      </c>
      <c r="AQ270" s="49">
        <f ca="1">IF(KLL_II_2020!CA_cost_stop-KLL_II_2020!CA_cost_recovered_total&lt;=0,0,KLL_II_2020!CA_cost_stop-KLL_II_2020!CA_cost_recovered_total-MAX(KLL_II_2020!CA_gco-KLL_II_2020!CA_cost_recovered_total,0))</f>
        <v>0</v>
      </c>
      <c r="AR270" s="49">
        <f ca="1">IF(KLL_II_2020!CA_cost_stop-KLL_II_2020!CA_cost_recovered_total&lt;=0,0,KLL_II_2020!CA_cost_stop-KLL_II_2020!CA_cost_recovered_total-MAX(KLL_II_2020!CA_gco-KLL_II_2020!CA_cost_recovered_total,0))</f>
        <v>0</v>
      </c>
      <c r="AS270" s="49">
        <f ca="1">IF(KLL_II_2020!CA_cost_stop-KLL_II_2020!CA_cost_recovered_total&lt;=0,0,KLL_II_2020!CA_cost_stop-KLL_II_2020!CA_cost_recovered_total-MAX(KLL_II_2020!CA_gco-KLL_II_2020!CA_cost_recovered_total,0))</f>
        <v>0</v>
      </c>
      <c r="AT270" s="49">
        <f ca="1">IF(KLL_II_2020!CA_cost_stop-KLL_II_2020!CA_cost_recovered_total&lt;=0,0,KLL_II_2020!CA_cost_stop-KLL_II_2020!CA_cost_recovered_total-MAX(KLL_II_2020!CA_gco-KLL_II_2020!CA_cost_recovered_total,0))</f>
        <v>0</v>
      </c>
      <c r="AU270" s="49">
        <f ca="1">IF(KLL_II_2020!CA_cost_stop-KLL_II_2020!CA_cost_recovered_total&lt;=0,0,KLL_II_2020!CA_cost_stop-KLL_II_2020!CA_cost_recovered_total-MAX(KLL_II_2020!CA_gco-KLL_II_2020!CA_cost_recovered_total,0))</f>
        <v>0</v>
      </c>
      <c r="AV270" s="49">
        <f ca="1">IF(KLL_II_2020!CA_cost_stop-KLL_II_2020!CA_cost_recovered_total&lt;=0,0,KLL_II_2020!CA_cost_stop-KLL_II_2020!CA_cost_recovered_total-MAX(KLL_II_2020!CA_gco-KLL_II_2020!CA_cost_recovered_total,0))</f>
        <v>0</v>
      </c>
      <c r="AW270" s="49">
        <f ca="1">IF(KLL_II_2020!CA_cost_stop-KLL_II_2020!CA_cost_recovered_total&lt;=0,0,KLL_II_2020!CA_cost_stop-KLL_II_2020!CA_cost_recovered_total-MAX(KLL_II_2020!CA_gco-KLL_II_2020!CA_cost_recovered_total,0))</f>
        <v>0</v>
      </c>
      <c r="AX270" s="49">
        <f ca="1">IF(KLL_II_2020!CA_cost_stop-KLL_II_2020!CA_cost_recovered_total&lt;=0,0,KLL_II_2020!CA_cost_stop-KLL_II_2020!CA_cost_recovered_total-MAX(KLL_II_2020!CA_gco-KLL_II_2020!CA_cost_recovered_total,0))</f>
        <v>0</v>
      </c>
      <c r="AY270" s="49">
        <f ca="1">IF(KLL_II_2020!CA_cost_stop-KLL_II_2020!CA_cost_recovered_total&lt;=0,0,KLL_II_2020!CA_cost_stop-KLL_II_2020!CA_cost_recovered_total-MAX(KLL_II_2020!CA_gco-KLL_II_2020!CA_cost_recovered_total,0))</f>
        <v>0</v>
      </c>
      <c r="AZ270" s="49">
        <f ca="1">IF(KLL_II_2020!CA_cost_stop-KLL_II_2020!CA_cost_recovered_total&lt;=0,0,KLL_II_2020!CA_cost_stop-KLL_II_2020!CA_cost_recovered_total-MAX(KLL_II_2020!CA_gco-KLL_II_2020!CA_cost_recovered_total,0))</f>
        <v>0</v>
      </c>
      <c r="BA270" s="49">
        <f ca="1">IF(KLL_II_2020!CA_cost_stop-KLL_II_2020!CA_cost_recovered_total&lt;=0,0,KLL_II_2020!CA_cost_stop-KLL_II_2020!CA_cost_recovered_total-MAX(KLL_II_2020!CA_gco-KLL_II_2020!CA_cost_recovered_total,0))</f>
        <v>0</v>
      </c>
      <c r="BB270" s="49">
        <f ca="1">IF(KLL_II_2020!CA_cost_stop-KLL_II_2020!CA_cost_recovered_total&lt;=0,0,KLL_II_2020!CA_cost_stop-KLL_II_2020!CA_cost_recovered_total-MAX(KLL_II_2020!CA_gco-KLL_II_2020!CA_cost_recovered_total,0))</f>
        <v>0</v>
      </c>
      <c r="BC270" s="49">
        <f ca="1">IF(KLL_II_2020!CA_cost_stop-KLL_II_2020!CA_cost_recovered_total&lt;=0,0,KLL_II_2020!CA_cost_stop-KLL_II_2020!CA_cost_recovered_total-MAX(KLL_II_2020!CA_gco-KLL_II_2020!CA_cost_recovered_total,0))</f>
        <v>0</v>
      </c>
      <c r="BD270" s="49">
        <f ca="1">IF(KLL_II_2020!CA_cost_stop-KLL_II_2020!CA_cost_recovered_total&lt;=0,0,KLL_II_2020!CA_cost_stop-KLL_II_2020!CA_cost_recovered_total-MAX(KLL_II_2020!CA_gco-KLL_II_2020!CA_cost_recovered_total,0))</f>
        <v>0</v>
      </c>
      <c r="BE270" s="49">
        <f ca="1">IF(KLL_II_2020!CA_cost_stop-KLL_II_2020!CA_cost_recovered_total&lt;=0,0,KLL_II_2020!CA_cost_stop-KLL_II_2020!CA_cost_recovered_total-MAX(KLL_II_2020!CA_gco-KLL_II_2020!CA_cost_recovered_total,0))</f>
        <v>0</v>
      </c>
      <c r="BF270" s="49">
        <f ca="1">IF(KLL_II_2020!CA_cost_stop-KLL_II_2020!CA_cost_recovered_total&lt;=0,0,KLL_II_2020!CA_cost_stop-KLL_II_2020!CA_cost_recovered_total-MAX(KLL_II_2020!CA_gco-KLL_II_2020!CA_cost_recovered_total,0))</f>
        <v>0</v>
      </c>
      <c r="BG270" s="49">
        <f ca="1">IF(KLL_II_2020!CA_cost_stop-KLL_II_2020!CA_cost_recovered_total&lt;=0,0,KLL_II_2020!CA_cost_stop-KLL_II_2020!CA_cost_recovered_total-MAX(KLL_II_2020!CA_gco-KLL_II_2020!CA_cost_recovered_total,0))</f>
        <v>0</v>
      </c>
      <c r="BH270" s="49">
        <f ca="1">IF(KLL_II_2020!CA_cost_stop-KLL_II_2020!CA_cost_recovered_total&lt;=0,0,KLL_II_2020!CA_cost_stop-KLL_II_2020!CA_cost_recovered_total-MAX(KLL_II_2020!CA_gco-KLL_II_2020!CA_cost_recovered_total,0))</f>
        <v>0</v>
      </c>
      <c r="BI270" s="49">
        <f ca="1">IF(KLL_II_2020!CA_cost_stop-KLL_II_2020!CA_cost_recovered_total&lt;=0,0,KLL_II_2020!CA_cost_stop-KLL_II_2020!CA_cost_recovered_total-MAX(KLL_II_2020!CA_gco-KLL_II_2020!CA_cost_recovered_total,0))</f>
        <v>0</v>
      </c>
      <c r="BJ270" s="49">
        <f ca="1">IF(KLL_II_2020!CA_cost_stop-KLL_II_2020!CA_cost_recovered_total&lt;=0,0,KLL_II_2020!CA_cost_stop-KLL_II_2020!CA_cost_recovered_total-MAX(KLL_II_2020!CA_gco-KLL_II_2020!CA_cost_recovered_total,0))</f>
        <v>0</v>
      </c>
      <c r="BK270" s="49">
        <f ca="1">IF(KLL_II_2020!CA_cost_stop-KLL_II_2020!CA_cost_recovered_total&lt;=0,0,KLL_II_2020!CA_cost_stop-KLL_II_2020!CA_cost_recovered_total-MAX(KLL_II_2020!CA_gco-KLL_II_2020!CA_cost_recovered_total,0))</f>
        <v>0</v>
      </c>
      <c r="BL270" s="49">
        <f ca="1">IF(KLL_II_2020!CA_cost_stop-KLL_II_2020!CA_cost_recovered_total&lt;=0,0,KLL_II_2020!CA_cost_stop-KLL_II_2020!CA_cost_recovered_total-MAX(KLL_II_2020!CA_gco-KLL_II_2020!CA_cost_recovered_total,0))</f>
        <v>0</v>
      </c>
      <c r="BM270" s="49">
        <f ca="1">IF(KLL_II_2020!CA_cost_stop-KLL_II_2020!CA_cost_recovered_total&lt;=0,0,KLL_II_2020!CA_cost_stop-KLL_II_2020!CA_cost_recovered_total-MAX(KLL_II_2020!CA_gco-KLL_II_2020!CA_cost_recovered_total,0))</f>
        <v>0</v>
      </c>
      <c r="BN270" s="49">
        <f ca="1">IF(KLL_II_2020!CA_cost_stop-KLL_II_2020!CA_cost_recovered_total&lt;=0,0,KLL_II_2020!CA_cost_stop-KLL_II_2020!CA_cost_recovered_total-MAX(KLL_II_2020!CA_gco-KLL_II_2020!CA_cost_recovered_total,0))</f>
        <v>0</v>
      </c>
      <c r="BO270" s="49">
        <f ca="1">IF(KLL_II_2020!CA_cost_stop-KLL_II_2020!CA_cost_recovered_total&lt;=0,0,KLL_II_2020!CA_cost_stop-KLL_II_2020!CA_cost_recovered_total-MAX(KLL_II_2020!CA_gco-KLL_II_2020!CA_cost_recovered_total,0))</f>
        <v>0</v>
      </c>
      <c r="BP270" s="49">
        <f ca="1">IF(KLL_II_2020!CA_cost_stop-KLL_II_2020!CA_cost_recovered_total&lt;=0,0,KLL_II_2020!CA_cost_stop-KLL_II_2020!CA_cost_recovered_total-MAX(KLL_II_2020!CA_gco-KLL_II_2020!CA_cost_recovered_total,0))</f>
        <v>0</v>
      </c>
      <c r="BQ270" s="49">
        <f ca="1">IF(KLL_II_2020!CA_cost_stop-KLL_II_2020!CA_cost_recovered_total&lt;=0,0,KLL_II_2020!CA_cost_stop-KLL_II_2020!CA_cost_recovered_total-MAX(KLL_II_2020!CA_gco-KLL_II_2020!CA_cost_recovered_total,0))</f>
        <v>0</v>
      </c>
      <c r="BR270" s="49">
        <f ca="1">IF(KLL_II_2020!CA_cost_stop-KLL_II_2020!CA_cost_recovered_total&lt;=0,0,KLL_II_2020!CA_cost_stop-KLL_II_2020!CA_cost_recovered_total-MAX(KLL_II_2020!CA_gco-KLL_II_2020!CA_cost_recovered_total,0))</f>
        <v>0</v>
      </c>
      <c r="BS270" s="49">
        <f ca="1">IF(KLL_II_2020!CA_cost_stop-KLL_II_2020!CA_cost_recovered_total&lt;=0,0,KLL_II_2020!CA_cost_stop-KLL_II_2020!CA_cost_recovered_total-MAX(KLL_II_2020!CA_gco-KLL_II_2020!CA_cost_recovered_total,0))</f>
        <v>0</v>
      </c>
    </row>
    <row r="271" spans="3:71" outlineLevel="1" x14ac:dyDescent="0.2">
      <c r="J271" s="26"/>
      <c r="L271" s="55"/>
      <c r="M271" s="55"/>
      <c r="N271" s="55"/>
      <c r="O271" s="55"/>
      <c r="P271" s="55"/>
      <c r="Q271" s="55"/>
      <c r="R271" s="55"/>
      <c r="S271" s="55"/>
      <c r="T271" s="55"/>
      <c r="U271" s="55"/>
      <c r="V271" s="55"/>
      <c r="W271" s="55"/>
      <c r="X271" s="55"/>
      <c r="Y271" s="55"/>
      <c r="Z271" s="55"/>
      <c r="AA271" s="55"/>
      <c r="AB271" s="55"/>
      <c r="AC271" s="55"/>
      <c r="AD271" s="55"/>
      <c r="AE271" s="55"/>
      <c r="AF271" s="55"/>
      <c r="AG271" s="55"/>
      <c r="AH271" s="55"/>
      <c r="AI271" s="55"/>
      <c r="AJ271" s="55"/>
      <c r="AK271" s="55"/>
      <c r="AL271" s="55"/>
      <c r="AM271" s="55"/>
      <c r="AN271" s="55"/>
      <c r="AO271" s="55"/>
      <c r="AP271" s="55"/>
      <c r="AQ271" s="55"/>
      <c r="AR271" s="55"/>
      <c r="AS271" s="55"/>
      <c r="AT271" s="55"/>
      <c r="AU271" s="55"/>
      <c r="AV271" s="55"/>
      <c r="AW271" s="55"/>
      <c r="AX271" s="55"/>
      <c r="AY271" s="55"/>
      <c r="AZ271" s="55"/>
      <c r="BA271" s="55"/>
      <c r="BB271" s="55"/>
      <c r="BC271" s="55"/>
      <c r="BD271" s="55"/>
      <c r="BE271" s="55"/>
      <c r="BF271" s="55"/>
      <c r="BG271" s="55"/>
      <c r="BH271" s="55"/>
      <c r="BI271" s="55"/>
      <c r="BJ271" s="55"/>
      <c r="BK271" s="55"/>
      <c r="BL271" s="55"/>
      <c r="BM271" s="55"/>
      <c r="BN271" s="55"/>
      <c r="BO271" s="55"/>
      <c r="BP271" s="55"/>
      <c r="BQ271" s="55"/>
      <c r="BR271" s="55"/>
      <c r="BS271" s="55"/>
    </row>
    <row r="272" spans="3:71" outlineLevel="1" x14ac:dyDescent="0.2">
      <c r="D272" t="str">
        <f>HM_ZD_Moho!D296</f>
        <v>Part du Contracteur dans l'Excess Cost oil</v>
      </c>
      <c r="I272" s="30">
        <f t="shared" ca="1" si="72"/>
        <v>0</v>
      </c>
      <c r="J272" s="26" t="s">
        <v>148</v>
      </c>
      <c r="K272" s="7" t="s">
        <v>214</v>
      </c>
      <c r="L272" s="49">
        <f ca="1">KLL_II_2020!ECR_cont_rate*KLL_II_2020!CA_excess_cost_recovery</f>
        <v>0</v>
      </c>
      <c r="M272" s="49">
        <f ca="1">KLL_II_2020!ECR_cont_rate*KLL_II_2020!CA_excess_cost_recovery</f>
        <v>0</v>
      </c>
      <c r="N272" s="49">
        <f ca="1">KLL_II_2020!ECR_cont_rate*KLL_II_2020!CA_excess_cost_recovery</f>
        <v>0</v>
      </c>
      <c r="O272" s="49">
        <f ca="1">KLL_II_2020!ECR_cont_rate*KLL_II_2020!CA_excess_cost_recovery</f>
        <v>0</v>
      </c>
      <c r="P272" s="49">
        <f ca="1">KLL_II_2020!ECR_cont_rate*KLL_II_2020!CA_excess_cost_recovery</f>
        <v>0</v>
      </c>
      <c r="Q272" s="49">
        <f ca="1">KLL_II_2020!ECR_cont_rate*KLL_II_2020!CA_excess_cost_recovery</f>
        <v>0</v>
      </c>
      <c r="R272" s="49">
        <f ca="1">KLL_II_2020!ECR_cont_rate*KLL_II_2020!CA_excess_cost_recovery</f>
        <v>0</v>
      </c>
      <c r="S272" s="49">
        <f ca="1">KLL_II_2020!ECR_cont_rate*KLL_II_2020!CA_excess_cost_recovery</f>
        <v>0</v>
      </c>
      <c r="T272" s="49">
        <f ca="1">KLL_II_2020!ECR_cont_rate*KLL_II_2020!CA_excess_cost_recovery</f>
        <v>0</v>
      </c>
      <c r="U272" s="49">
        <f ca="1">KLL_II_2020!ECR_cont_rate*KLL_II_2020!CA_excess_cost_recovery</f>
        <v>0</v>
      </c>
      <c r="V272" s="49">
        <f ca="1">KLL_II_2020!ECR_cont_rate*KLL_II_2020!CA_excess_cost_recovery</f>
        <v>0</v>
      </c>
      <c r="W272" s="49">
        <f ca="1">KLL_II_2020!ECR_cont_rate*KLL_II_2020!CA_excess_cost_recovery</f>
        <v>0</v>
      </c>
      <c r="X272" s="49">
        <f ca="1">KLL_II_2020!ECR_cont_rate*KLL_II_2020!CA_excess_cost_recovery</f>
        <v>0</v>
      </c>
      <c r="Y272" s="49">
        <f ca="1">KLL_II_2020!ECR_cont_rate*KLL_II_2020!CA_excess_cost_recovery</f>
        <v>0</v>
      </c>
      <c r="Z272" s="49">
        <f ca="1">KLL_II_2020!ECR_cont_rate*KLL_II_2020!CA_excess_cost_recovery</f>
        <v>0</v>
      </c>
      <c r="AA272" s="49">
        <f ca="1">KLL_II_2020!ECR_cont_rate*KLL_II_2020!CA_excess_cost_recovery</f>
        <v>0</v>
      </c>
      <c r="AB272" s="49">
        <f ca="1">KLL_II_2020!ECR_cont_rate*KLL_II_2020!CA_excess_cost_recovery</f>
        <v>0</v>
      </c>
      <c r="AC272" s="49">
        <f ca="1">KLL_II_2020!ECR_cont_rate*KLL_II_2020!CA_excess_cost_recovery</f>
        <v>0</v>
      </c>
      <c r="AD272" s="49">
        <f ca="1">KLL_II_2020!ECR_cont_rate*KLL_II_2020!CA_excess_cost_recovery</f>
        <v>0</v>
      </c>
      <c r="AE272" s="49">
        <f ca="1">KLL_II_2020!ECR_cont_rate*KLL_II_2020!CA_excess_cost_recovery</f>
        <v>0</v>
      </c>
      <c r="AF272" s="49">
        <f ca="1">KLL_II_2020!ECR_cont_rate*KLL_II_2020!CA_excess_cost_recovery</f>
        <v>0</v>
      </c>
      <c r="AG272" s="49">
        <f ca="1">KLL_II_2020!ECR_cont_rate*KLL_II_2020!CA_excess_cost_recovery</f>
        <v>0</v>
      </c>
      <c r="AH272" s="49">
        <f ca="1">KLL_II_2020!ECR_cont_rate*KLL_II_2020!CA_excess_cost_recovery</f>
        <v>0</v>
      </c>
      <c r="AI272" s="49">
        <f ca="1">KLL_II_2020!ECR_cont_rate*KLL_II_2020!CA_excess_cost_recovery</f>
        <v>0</v>
      </c>
      <c r="AJ272" s="49">
        <f ca="1">KLL_II_2020!ECR_cont_rate*KLL_II_2020!CA_excess_cost_recovery</f>
        <v>0</v>
      </c>
      <c r="AK272" s="49">
        <f ca="1">KLL_II_2020!ECR_cont_rate*KLL_II_2020!CA_excess_cost_recovery</f>
        <v>0</v>
      </c>
      <c r="AL272" s="49">
        <f ca="1">KLL_II_2020!ECR_cont_rate*KLL_II_2020!CA_excess_cost_recovery</f>
        <v>0</v>
      </c>
      <c r="AM272" s="49">
        <f ca="1">KLL_II_2020!ECR_cont_rate*KLL_II_2020!CA_excess_cost_recovery</f>
        <v>0</v>
      </c>
      <c r="AN272" s="49">
        <f ca="1">KLL_II_2020!ECR_cont_rate*KLL_II_2020!CA_excess_cost_recovery</f>
        <v>0</v>
      </c>
      <c r="AO272" s="49">
        <f ca="1">KLL_II_2020!ECR_cont_rate*KLL_II_2020!CA_excess_cost_recovery</f>
        <v>0</v>
      </c>
      <c r="AP272" s="49">
        <f ca="1">KLL_II_2020!ECR_cont_rate*KLL_II_2020!CA_excess_cost_recovery</f>
        <v>0</v>
      </c>
      <c r="AQ272" s="49">
        <f ca="1">KLL_II_2020!ECR_cont_rate*KLL_II_2020!CA_excess_cost_recovery</f>
        <v>0</v>
      </c>
      <c r="AR272" s="49">
        <f ca="1">KLL_II_2020!ECR_cont_rate*KLL_II_2020!CA_excess_cost_recovery</f>
        <v>0</v>
      </c>
      <c r="AS272" s="49">
        <f ca="1">KLL_II_2020!ECR_cont_rate*KLL_II_2020!CA_excess_cost_recovery</f>
        <v>0</v>
      </c>
      <c r="AT272" s="49">
        <f ca="1">KLL_II_2020!ECR_cont_rate*KLL_II_2020!CA_excess_cost_recovery</f>
        <v>0</v>
      </c>
      <c r="AU272" s="49">
        <f ca="1">KLL_II_2020!ECR_cont_rate*KLL_II_2020!CA_excess_cost_recovery</f>
        <v>0</v>
      </c>
      <c r="AV272" s="49">
        <f ca="1">KLL_II_2020!ECR_cont_rate*KLL_II_2020!CA_excess_cost_recovery</f>
        <v>0</v>
      </c>
      <c r="AW272" s="49">
        <f ca="1">KLL_II_2020!ECR_cont_rate*KLL_II_2020!CA_excess_cost_recovery</f>
        <v>0</v>
      </c>
      <c r="AX272" s="49">
        <f ca="1">KLL_II_2020!ECR_cont_rate*KLL_II_2020!CA_excess_cost_recovery</f>
        <v>0</v>
      </c>
      <c r="AY272" s="49">
        <f ca="1">KLL_II_2020!ECR_cont_rate*KLL_II_2020!CA_excess_cost_recovery</f>
        <v>0</v>
      </c>
      <c r="AZ272" s="49">
        <f ca="1">KLL_II_2020!ECR_cont_rate*KLL_II_2020!CA_excess_cost_recovery</f>
        <v>0</v>
      </c>
      <c r="BA272" s="49">
        <f ca="1">KLL_II_2020!ECR_cont_rate*KLL_II_2020!CA_excess_cost_recovery</f>
        <v>0</v>
      </c>
      <c r="BB272" s="49">
        <f ca="1">KLL_II_2020!ECR_cont_rate*KLL_II_2020!CA_excess_cost_recovery</f>
        <v>0</v>
      </c>
      <c r="BC272" s="49">
        <f ca="1">KLL_II_2020!ECR_cont_rate*KLL_II_2020!CA_excess_cost_recovery</f>
        <v>0</v>
      </c>
      <c r="BD272" s="49">
        <f ca="1">KLL_II_2020!ECR_cont_rate*KLL_II_2020!CA_excess_cost_recovery</f>
        <v>0</v>
      </c>
      <c r="BE272" s="49">
        <f ca="1">KLL_II_2020!ECR_cont_rate*KLL_II_2020!CA_excess_cost_recovery</f>
        <v>0</v>
      </c>
      <c r="BF272" s="49">
        <f ca="1">KLL_II_2020!ECR_cont_rate*KLL_II_2020!CA_excess_cost_recovery</f>
        <v>0</v>
      </c>
      <c r="BG272" s="49">
        <f ca="1">KLL_II_2020!ECR_cont_rate*KLL_II_2020!CA_excess_cost_recovery</f>
        <v>0</v>
      </c>
      <c r="BH272" s="49">
        <f ca="1">KLL_II_2020!ECR_cont_rate*KLL_II_2020!CA_excess_cost_recovery</f>
        <v>0</v>
      </c>
      <c r="BI272" s="49">
        <f ca="1">KLL_II_2020!ECR_cont_rate*KLL_II_2020!CA_excess_cost_recovery</f>
        <v>0</v>
      </c>
      <c r="BJ272" s="49">
        <f ca="1">KLL_II_2020!ECR_cont_rate*KLL_II_2020!CA_excess_cost_recovery</f>
        <v>0</v>
      </c>
      <c r="BK272" s="49">
        <f ca="1">KLL_II_2020!ECR_cont_rate*KLL_II_2020!CA_excess_cost_recovery</f>
        <v>0</v>
      </c>
      <c r="BL272" s="49">
        <f ca="1">KLL_II_2020!ECR_cont_rate*KLL_II_2020!CA_excess_cost_recovery</f>
        <v>0</v>
      </c>
      <c r="BM272" s="49">
        <f ca="1">KLL_II_2020!ECR_cont_rate*KLL_II_2020!CA_excess_cost_recovery</f>
        <v>0</v>
      </c>
      <c r="BN272" s="49">
        <f ca="1">KLL_II_2020!ECR_cont_rate*KLL_II_2020!CA_excess_cost_recovery</f>
        <v>0</v>
      </c>
      <c r="BO272" s="49">
        <f ca="1">KLL_II_2020!ECR_cont_rate*KLL_II_2020!CA_excess_cost_recovery</f>
        <v>0</v>
      </c>
      <c r="BP272" s="49">
        <f ca="1">KLL_II_2020!ECR_cont_rate*KLL_II_2020!CA_excess_cost_recovery</f>
        <v>0</v>
      </c>
      <c r="BQ272" s="49">
        <f ca="1">KLL_II_2020!ECR_cont_rate*KLL_II_2020!CA_excess_cost_recovery</f>
        <v>0</v>
      </c>
      <c r="BR272" s="49">
        <f ca="1">KLL_II_2020!ECR_cont_rate*KLL_II_2020!CA_excess_cost_recovery</f>
        <v>0</v>
      </c>
      <c r="BS272" s="49">
        <f ca="1">KLL_II_2020!ECR_cont_rate*KLL_II_2020!CA_excess_cost_recovery</f>
        <v>0</v>
      </c>
    </row>
    <row r="273" spans="3:71" outlineLevel="1" x14ac:dyDescent="0.2">
      <c r="D273" t="str">
        <f>HM_ZD_Moho!D297</f>
        <v>Part du Gouv. dans l'Excess Cost oil</v>
      </c>
      <c r="I273" s="30">
        <f t="shared" ca="1" si="72"/>
        <v>0</v>
      </c>
      <c r="J273" s="26" t="s">
        <v>148</v>
      </c>
      <c r="K273" s="7" t="s">
        <v>216</v>
      </c>
      <c r="L273" s="49">
        <f ca="1">KLL_II_2020!CA_excess_cost_recovery-KLL_II_2020!CA_excess_CR_cont</f>
        <v>0</v>
      </c>
      <c r="M273" s="49">
        <f ca="1">KLL_II_2020!CA_excess_cost_recovery-KLL_II_2020!CA_excess_CR_cont</f>
        <v>0</v>
      </c>
      <c r="N273" s="49">
        <f ca="1">KLL_II_2020!CA_excess_cost_recovery-KLL_II_2020!CA_excess_CR_cont</f>
        <v>0</v>
      </c>
      <c r="O273" s="49">
        <f ca="1">KLL_II_2020!CA_excess_cost_recovery-KLL_II_2020!CA_excess_CR_cont</f>
        <v>0</v>
      </c>
      <c r="P273" s="49">
        <f ca="1">KLL_II_2020!CA_excess_cost_recovery-KLL_II_2020!CA_excess_CR_cont</f>
        <v>0</v>
      </c>
      <c r="Q273" s="49">
        <f ca="1">KLL_II_2020!CA_excess_cost_recovery-KLL_II_2020!CA_excess_CR_cont</f>
        <v>0</v>
      </c>
      <c r="R273" s="49">
        <f ca="1">KLL_II_2020!CA_excess_cost_recovery-KLL_II_2020!CA_excess_CR_cont</f>
        <v>0</v>
      </c>
      <c r="S273" s="49">
        <f ca="1">KLL_II_2020!CA_excess_cost_recovery-KLL_II_2020!CA_excess_CR_cont</f>
        <v>0</v>
      </c>
      <c r="T273" s="49">
        <f ca="1">KLL_II_2020!CA_excess_cost_recovery-KLL_II_2020!CA_excess_CR_cont</f>
        <v>0</v>
      </c>
      <c r="U273" s="49">
        <f ca="1">KLL_II_2020!CA_excess_cost_recovery-KLL_II_2020!CA_excess_CR_cont</f>
        <v>0</v>
      </c>
      <c r="V273" s="49">
        <f ca="1">KLL_II_2020!CA_excess_cost_recovery-KLL_II_2020!CA_excess_CR_cont</f>
        <v>0</v>
      </c>
      <c r="W273" s="49">
        <f ca="1">KLL_II_2020!CA_excess_cost_recovery-KLL_II_2020!CA_excess_CR_cont</f>
        <v>0</v>
      </c>
      <c r="X273" s="49">
        <f ca="1">KLL_II_2020!CA_excess_cost_recovery-KLL_II_2020!CA_excess_CR_cont</f>
        <v>0</v>
      </c>
      <c r="Y273" s="49">
        <f ca="1">KLL_II_2020!CA_excess_cost_recovery-KLL_II_2020!CA_excess_CR_cont</f>
        <v>0</v>
      </c>
      <c r="Z273" s="49">
        <f ca="1">KLL_II_2020!CA_excess_cost_recovery-KLL_II_2020!CA_excess_CR_cont</f>
        <v>0</v>
      </c>
      <c r="AA273" s="49">
        <f ca="1">KLL_II_2020!CA_excess_cost_recovery-KLL_II_2020!CA_excess_CR_cont</f>
        <v>0</v>
      </c>
      <c r="AB273" s="49">
        <f ca="1">KLL_II_2020!CA_excess_cost_recovery-KLL_II_2020!CA_excess_CR_cont</f>
        <v>0</v>
      </c>
      <c r="AC273" s="49">
        <f ca="1">KLL_II_2020!CA_excess_cost_recovery-KLL_II_2020!CA_excess_CR_cont</f>
        <v>0</v>
      </c>
      <c r="AD273" s="49">
        <f ca="1">KLL_II_2020!CA_excess_cost_recovery-KLL_II_2020!CA_excess_CR_cont</f>
        <v>0</v>
      </c>
      <c r="AE273" s="49">
        <f ca="1">KLL_II_2020!CA_excess_cost_recovery-KLL_II_2020!CA_excess_CR_cont</f>
        <v>0</v>
      </c>
      <c r="AF273" s="49">
        <f ca="1">KLL_II_2020!CA_excess_cost_recovery-KLL_II_2020!CA_excess_CR_cont</f>
        <v>0</v>
      </c>
      <c r="AG273" s="49">
        <f ca="1">KLL_II_2020!CA_excess_cost_recovery-KLL_II_2020!CA_excess_CR_cont</f>
        <v>0</v>
      </c>
      <c r="AH273" s="49">
        <f ca="1">KLL_II_2020!CA_excess_cost_recovery-KLL_II_2020!CA_excess_CR_cont</f>
        <v>0</v>
      </c>
      <c r="AI273" s="49">
        <f ca="1">KLL_II_2020!CA_excess_cost_recovery-KLL_II_2020!CA_excess_CR_cont</f>
        <v>0</v>
      </c>
      <c r="AJ273" s="49">
        <f ca="1">KLL_II_2020!CA_excess_cost_recovery-KLL_II_2020!CA_excess_CR_cont</f>
        <v>0</v>
      </c>
      <c r="AK273" s="49">
        <f ca="1">KLL_II_2020!CA_excess_cost_recovery-KLL_II_2020!CA_excess_CR_cont</f>
        <v>0</v>
      </c>
      <c r="AL273" s="49">
        <f ca="1">KLL_II_2020!CA_excess_cost_recovery-KLL_II_2020!CA_excess_CR_cont</f>
        <v>0</v>
      </c>
      <c r="AM273" s="49">
        <f ca="1">KLL_II_2020!CA_excess_cost_recovery-KLL_II_2020!CA_excess_CR_cont</f>
        <v>0</v>
      </c>
      <c r="AN273" s="49">
        <f ca="1">KLL_II_2020!CA_excess_cost_recovery-KLL_II_2020!CA_excess_CR_cont</f>
        <v>0</v>
      </c>
      <c r="AO273" s="49">
        <f ca="1">KLL_II_2020!CA_excess_cost_recovery-KLL_II_2020!CA_excess_CR_cont</f>
        <v>0</v>
      </c>
      <c r="AP273" s="49">
        <f ca="1">KLL_II_2020!CA_excess_cost_recovery-KLL_II_2020!CA_excess_CR_cont</f>
        <v>0</v>
      </c>
      <c r="AQ273" s="49">
        <f ca="1">KLL_II_2020!CA_excess_cost_recovery-KLL_II_2020!CA_excess_CR_cont</f>
        <v>0</v>
      </c>
      <c r="AR273" s="49">
        <f ca="1">KLL_II_2020!CA_excess_cost_recovery-KLL_II_2020!CA_excess_CR_cont</f>
        <v>0</v>
      </c>
      <c r="AS273" s="49">
        <f ca="1">KLL_II_2020!CA_excess_cost_recovery-KLL_II_2020!CA_excess_CR_cont</f>
        <v>0</v>
      </c>
      <c r="AT273" s="49">
        <f ca="1">KLL_II_2020!CA_excess_cost_recovery-KLL_II_2020!CA_excess_CR_cont</f>
        <v>0</v>
      </c>
      <c r="AU273" s="49">
        <f ca="1">KLL_II_2020!CA_excess_cost_recovery-KLL_II_2020!CA_excess_CR_cont</f>
        <v>0</v>
      </c>
      <c r="AV273" s="49">
        <f ca="1">KLL_II_2020!CA_excess_cost_recovery-KLL_II_2020!CA_excess_CR_cont</f>
        <v>0</v>
      </c>
      <c r="AW273" s="49">
        <f ca="1">KLL_II_2020!CA_excess_cost_recovery-KLL_II_2020!CA_excess_CR_cont</f>
        <v>0</v>
      </c>
      <c r="AX273" s="49">
        <f ca="1">KLL_II_2020!CA_excess_cost_recovery-KLL_II_2020!CA_excess_CR_cont</f>
        <v>0</v>
      </c>
      <c r="AY273" s="49">
        <f ca="1">KLL_II_2020!CA_excess_cost_recovery-KLL_II_2020!CA_excess_CR_cont</f>
        <v>0</v>
      </c>
      <c r="AZ273" s="49">
        <f ca="1">KLL_II_2020!CA_excess_cost_recovery-KLL_II_2020!CA_excess_CR_cont</f>
        <v>0</v>
      </c>
      <c r="BA273" s="49">
        <f ca="1">KLL_II_2020!CA_excess_cost_recovery-KLL_II_2020!CA_excess_CR_cont</f>
        <v>0</v>
      </c>
      <c r="BB273" s="49">
        <f ca="1">KLL_II_2020!CA_excess_cost_recovery-KLL_II_2020!CA_excess_CR_cont</f>
        <v>0</v>
      </c>
      <c r="BC273" s="49">
        <f ca="1">KLL_II_2020!CA_excess_cost_recovery-KLL_II_2020!CA_excess_CR_cont</f>
        <v>0</v>
      </c>
      <c r="BD273" s="49">
        <f ca="1">KLL_II_2020!CA_excess_cost_recovery-KLL_II_2020!CA_excess_CR_cont</f>
        <v>0</v>
      </c>
      <c r="BE273" s="49">
        <f ca="1">KLL_II_2020!CA_excess_cost_recovery-KLL_II_2020!CA_excess_CR_cont</f>
        <v>0</v>
      </c>
      <c r="BF273" s="49">
        <f ca="1">KLL_II_2020!CA_excess_cost_recovery-KLL_II_2020!CA_excess_CR_cont</f>
        <v>0</v>
      </c>
      <c r="BG273" s="49">
        <f ca="1">KLL_II_2020!CA_excess_cost_recovery-KLL_II_2020!CA_excess_CR_cont</f>
        <v>0</v>
      </c>
      <c r="BH273" s="49">
        <f ca="1">KLL_II_2020!CA_excess_cost_recovery-KLL_II_2020!CA_excess_CR_cont</f>
        <v>0</v>
      </c>
      <c r="BI273" s="49">
        <f ca="1">KLL_II_2020!CA_excess_cost_recovery-KLL_II_2020!CA_excess_CR_cont</f>
        <v>0</v>
      </c>
      <c r="BJ273" s="49">
        <f ca="1">KLL_II_2020!CA_excess_cost_recovery-KLL_II_2020!CA_excess_CR_cont</f>
        <v>0</v>
      </c>
      <c r="BK273" s="49">
        <f ca="1">KLL_II_2020!CA_excess_cost_recovery-KLL_II_2020!CA_excess_CR_cont</f>
        <v>0</v>
      </c>
      <c r="BL273" s="49">
        <f ca="1">KLL_II_2020!CA_excess_cost_recovery-KLL_II_2020!CA_excess_CR_cont</f>
        <v>0</v>
      </c>
      <c r="BM273" s="49">
        <f ca="1">KLL_II_2020!CA_excess_cost_recovery-KLL_II_2020!CA_excess_CR_cont</f>
        <v>0</v>
      </c>
      <c r="BN273" s="49">
        <f ca="1">KLL_II_2020!CA_excess_cost_recovery-KLL_II_2020!CA_excess_CR_cont</f>
        <v>0</v>
      </c>
      <c r="BO273" s="49">
        <f ca="1">KLL_II_2020!CA_excess_cost_recovery-KLL_II_2020!CA_excess_CR_cont</f>
        <v>0</v>
      </c>
      <c r="BP273" s="49">
        <f ca="1">KLL_II_2020!CA_excess_cost_recovery-KLL_II_2020!CA_excess_CR_cont</f>
        <v>0</v>
      </c>
      <c r="BQ273" s="49">
        <f ca="1">KLL_II_2020!CA_excess_cost_recovery-KLL_II_2020!CA_excess_CR_cont</f>
        <v>0</v>
      </c>
      <c r="BR273" s="49">
        <f ca="1">KLL_II_2020!CA_excess_cost_recovery-KLL_II_2020!CA_excess_CR_cont</f>
        <v>0</v>
      </c>
      <c r="BS273" s="49">
        <f ca="1">KLL_II_2020!CA_excess_cost_recovery-KLL_II_2020!CA_excess_CR_cont</f>
        <v>0</v>
      </c>
    </row>
    <row r="274" spans="3:71" outlineLevel="1" x14ac:dyDescent="0.2">
      <c r="J274" s="26"/>
      <c r="L274" s="55"/>
      <c r="M274" s="55"/>
      <c r="N274" s="55"/>
      <c r="O274" s="55"/>
      <c r="P274" s="55"/>
      <c r="Q274" s="55"/>
      <c r="R274" s="55"/>
      <c r="S274" s="55"/>
      <c r="T274" s="55"/>
      <c r="U274" s="55"/>
      <c r="V274" s="55"/>
      <c r="W274" s="55"/>
      <c r="X274" s="55"/>
      <c r="Y274" s="55"/>
      <c r="Z274" s="55"/>
      <c r="AA274" s="55"/>
      <c r="AB274" s="55"/>
      <c r="AC274" s="55"/>
      <c r="AD274" s="55"/>
      <c r="AE274" s="55"/>
      <c r="AF274" s="55"/>
      <c r="AG274" s="55"/>
      <c r="AH274" s="55"/>
      <c r="AI274" s="55"/>
      <c r="AJ274" s="55"/>
      <c r="AK274" s="55"/>
      <c r="AL274" s="55"/>
      <c r="AM274" s="55"/>
      <c r="AN274" s="55"/>
      <c r="AO274" s="55"/>
      <c r="AP274" s="55"/>
      <c r="AQ274" s="55"/>
      <c r="AR274" s="55"/>
      <c r="AS274" s="55"/>
      <c r="AT274" s="55"/>
      <c r="AU274" s="55"/>
      <c r="AV274" s="55"/>
      <c r="AW274" s="55"/>
      <c r="AX274" s="55"/>
      <c r="AY274" s="55"/>
      <c r="AZ274" s="55"/>
      <c r="BA274" s="55"/>
      <c r="BB274" s="55"/>
      <c r="BC274" s="55"/>
      <c r="BD274" s="55"/>
      <c r="BE274" s="55"/>
      <c r="BF274" s="55"/>
      <c r="BG274" s="55"/>
      <c r="BH274" s="55"/>
      <c r="BI274" s="55"/>
      <c r="BJ274" s="55"/>
      <c r="BK274" s="55"/>
      <c r="BL274" s="55"/>
      <c r="BM274" s="55"/>
      <c r="BN274" s="55"/>
      <c r="BO274" s="55"/>
      <c r="BP274" s="55"/>
      <c r="BQ274" s="55"/>
      <c r="BR274" s="55"/>
      <c r="BS274" s="55"/>
    </row>
    <row r="275" spans="3:71" outlineLevel="1" x14ac:dyDescent="0.2">
      <c r="J275" s="26"/>
      <c r="L275" s="55"/>
      <c r="M275" s="55"/>
      <c r="N275" s="55"/>
      <c r="O275" s="55"/>
      <c r="P275" s="55"/>
      <c r="Q275" s="55"/>
      <c r="R275" s="55"/>
      <c r="S275" s="55"/>
      <c r="T275" s="55"/>
      <c r="U275" s="55"/>
      <c r="V275" s="55"/>
      <c r="W275" s="55"/>
      <c r="X275" s="55"/>
      <c r="Y275" s="55"/>
      <c r="Z275" s="55"/>
      <c r="AA275" s="55"/>
      <c r="AB275" s="55"/>
      <c r="AC275" s="55"/>
      <c r="AD275" s="55"/>
      <c r="AE275" s="55"/>
      <c r="AF275" s="55"/>
      <c r="AG275" s="55"/>
      <c r="AH275" s="55"/>
      <c r="AI275" s="55"/>
      <c r="AJ275" s="55"/>
      <c r="AK275" s="55"/>
      <c r="AL275" s="55"/>
      <c r="AM275" s="55"/>
      <c r="AN275" s="55"/>
      <c r="AO275" s="55"/>
      <c r="AP275" s="55"/>
      <c r="AQ275" s="55"/>
      <c r="AR275" s="55"/>
      <c r="AS275" s="55"/>
      <c r="AT275" s="55"/>
      <c r="AU275" s="55"/>
      <c r="AV275" s="55"/>
      <c r="AW275" s="55"/>
      <c r="AX275" s="55"/>
      <c r="AY275" s="55"/>
      <c r="AZ275" s="55"/>
      <c r="BA275" s="55"/>
      <c r="BB275" s="55"/>
      <c r="BC275" s="55"/>
      <c r="BD275" s="55"/>
      <c r="BE275" s="55"/>
      <c r="BF275" s="55"/>
      <c r="BG275" s="55"/>
      <c r="BH275" s="55"/>
      <c r="BI275" s="55"/>
      <c r="BJ275" s="55"/>
      <c r="BK275" s="55"/>
      <c r="BL275" s="55"/>
      <c r="BM275" s="55"/>
      <c r="BN275" s="55"/>
      <c r="BO275" s="55"/>
      <c r="BP275" s="55"/>
      <c r="BQ275" s="55"/>
      <c r="BR275" s="55"/>
      <c r="BS275" s="55"/>
    </row>
    <row r="276" spans="3:71" outlineLevel="1" x14ac:dyDescent="0.2">
      <c r="C276" s="11" t="str">
        <f>HM_ZD_Moho!C300</f>
        <v>Super Profit Oil (SPO)</v>
      </c>
      <c r="J276" s="26"/>
      <c r="L276" s="55"/>
      <c r="M276" s="55"/>
      <c r="N276" s="55"/>
      <c r="O276" s="55"/>
      <c r="P276" s="55"/>
      <c r="Q276" s="55"/>
      <c r="R276" s="55"/>
      <c r="S276" s="55"/>
      <c r="T276" s="55"/>
      <c r="U276" s="55"/>
      <c r="V276" s="55"/>
      <c r="W276" s="55"/>
      <c r="X276" s="55"/>
      <c r="Y276" s="55"/>
      <c r="Z276" s="55"/>
      <c r="AA276" s="55"/>
      <c r="AB276" s="55"/>
      <c r="AC276" s="55"/>
      <c r="AD276" s="55"/>
      <c r="AE276" s="55"/>
      <c r="AF276" s="55"/>
      <c r="AG276" s="55"/>
      <c r="AH276" s="55"/>
      <c r="AI276" s="55"/>
      <c r="AJ276" s="55"/>
      <c r="AK276" s="55"/>
      <c r="AL276" s="55"/>
      <c r="AM276" s="55"/>
      <c r="AN276" s="55"/>
      <c r="AO276" s="55"/>
      <c r="AP276" s="55"/>
      <c r="AQ276" s="55"/>
      <c r="AR276" s="55"/>
      <c r="AS276" s="55"/>
      <c r="AT276" s="55"/>
      <c r="AU276" s="55"/>
      <c r="AV276" s="55"/>
      <c r="AW276" s="55"/>
      <c r="AX276" s="55"/>
      <c r="AY276" s="55"/>
      <c r="AZ276" s="55"/>
      <c r="BA276" s="55"/>
      <c r="BB276" s="55"/>
      <c r="BC276" s="55"/>
      <c r="BD276" s="55"/>
      <c r="BE276" s="55"/>
      <c r="BF276" s="55"/>
      <c r="BG276" s="55"/>
      <c r="BH276" s="55"/>
      <c r="BI276" s="55"/>
      <c r="BJ276" s="55"/>
      <c r="BK276" s="55"/>
      <c r="BL276" s="55"/>
      <c r="BM276" s="55"/>
      <c r="BN276" s="55"/>
      <c r="BO276" s="55"/>
      <c r="BP276" s="55"/>
      <c r="BQ276" s="55"/>
      <c r="BR276" s="55"/>
      <c r="BS276" s="55"/>
    </row>
    <row r="277" spans="3:71" outlineLevel="1" x14ac:dyDescent="0.2">
      <c r="J277" s="26"/>
      <c r="L277" s="55"/>
      <c r="M277" s="55"/>
      <c r="N277" s="55"/>
      <c r="O277" s="55"/>
      <c r="P277" s="55"/>
      <c r="Q277" s="55"/>
      <c r="R277" s="55"/>
      <c r="S277" s="55"/>
      <c r="T277" s="55"/>
      <c r="U277" s="55"/>
      <c r="V277" s="55"/>
      <c r="W277" s="55"/>
      <c r="X277" s="55"/>
      <c r="Y277" s="55"/>
      <c r="Z277" s="55"/>
      <c r="AA277" s="55"/>
      <c r="AB277" s="55"/>
      <c r="AC277" s="55"/>
      <c r="AD277" s="55"/>
      <c r="AE277" s="55"/>
      <c r="AF277" s="55"/>
      <c r="AG277" s="55"/>
      <c r="AH277" s="55"/>
      <c r="AI277" s="55"/>
      <c r="AJ277" s="55"/>
      <c r="AK277" s="55"/>
      <c r="AL277" s="55"/>
      <c r="AM277" s="55"/>
      <c r="AN277" s="55"/>
      <c r="AO277" s="55"/>
      <c r="AP277" s="55"/>
      <c r="AQ277" s="55"/>
      <c r="AR277" s="55"/>
      <c r="AS277" s="55"/>
      <c r="AT277" s="55"/>
      <c r="AU277" s="55"/>
      <c r="AV277" s="55"/>
      <c r="AW277" s="55"/>
      <c r="AX277" s="55"/>
      <c r="AY277" s="55"/>
      <c r="AZ277" s="55"/>
      <c r="BA277" s="55"/>
      <c r="BB277" s="55"/>
      <c r="BC277" s="55"/>
      <c r="BD277" s="55"/>
      <c r="BE277" s="55"/>
      <c r="BF277" s="55"/>
      <c r="BG277" s="55"/>
      <c r="BH277" s="55"/>
      <c r="BI277" s="55"/>
      <c r="BJ277" s="55"/>
      <c r="BK277" s="55"/>
      <c r="BL277" s="55"/>
      <c r="BM277" s="55"/>
      <c r="BN277" s="55"/>
      <c r="BO277" s="55"/>
      <c r="BP277" s="55"/>
      <c r="BQ277" s="55"/>
      <c r="BR277" s="55"/>
      <c r="BS277" s="55"/>
    </row>
    <row r="278" spans="3:71" outlineLevel="1" x14ac:dyDescent="0.2">
      <c r="D278" s="35" t="str">
        <f>HM_ZB_Nsoko!D291</f>
        <v>Déclencheur SPO</v>
      </c>
      <c r="J278" s="26"/>
      <c r="K278" s="7" t="s">
        <v>219</v>
      </c>
      <c r="L278" s="49">
        <f ca="1">(1*AND(KLL_II_2020!CA_FP_oil_nom&gt;KLL_II_2020!CA_HP1_oil_nom,KLL_II_2020!CA_op_trig=1))*(KLL_II_2020!CA_PSC_switch_trig=0)+
(1*AND(KLL_II_2020!CA_FP_oil_nom&gt;KLL_II_2020!CA_HP2_oil_nom,KLL_II_2020!CA_op_trig=1))*(KLL_II_2020!CA_PSC_switch_trig=1)</f>
        <v>1</v>
      </c>
      <c r="M278" s="49">
        <f ca="1">(1*AND(KLL_II_2020!CA_FP_oil_nom&gt;KLL_II_2020!CA_HP1_oil_nom,KLL_II_2020!CA_op_trig=1))*(KLL_II_2020!CA_PSC_switch_trig=0)+
(1*AND(KLL_II_2020!CA_FP_oil_nom&gt;KLL_II_2020!CA_HP2_oil_nom,KLL_II_2020!CA_op_trig=1))*(KLL_II_2020!CA_PSC_switch_trig=1)</f>
        <v>1</v>
      </c>
      <c r="N278" s="49">
        <f ca="1">(1*AND(KLL_II_2020!CA_FP_oil_nom&gt;KLL_II_2020!CA_HP1_oil_nom,KLL_II_2020!CA_op_trig=1))*(KLL_II_2020!CA_PSC_switch_trig=0)+
(1*AND(KLL_II_2020!CA_FP_oil_nom&gt;KLL_II_2020!CA_HP2_oil_nom,KLL_II_2020!CA_op_trig=1))*(KLL_II_2020!CA_PSC_switch_trig=1)</f>
        <v>1</v>
      </c>
      <c r="O278" s="49">
        <f ca="1">(1*AND(KLL_II_2020!CA_FP_oil_nom&gt;KLL_II_2020!CA_HP1_oil_nom,KLL_II_2020!CA_op_trig=1))*(KLL_II_2020!CA_PSC_switch_trig=0)+
(1*AND(KLL_II_2020!CA_FP_oil_nom&gt;KLL_II_2020!CA_HP2_oil_nom,KLL_II_2020!CA_op_trig=1))*(KLL_II_2020!CA_PSC_switch_trig=1)</f>
        <v>1</v>
      </c>
      <c r="P278" s="49">
        <f ca="1">(1*AND(KLL_II_2020!CA_FP_oil_nom&gt;KLL_II_2020!CA_HP1_oil_nom,KLL_II_2020!CA_op_trig=1))*(KLL_II_2020!CA_PSC_switch_trig=0)+
(1*AND(KLL_II_2020!CA_FP_oil_nom&gt;KLL_II_2020!CA_HP2_oil_nom,KLL_II_2020!CA_op_trig=1))*(KLL_II_2020!CA_PSC_switch_trig=1)</f>
        <v>1</v>
      </c>
      <c r="Q278" s="49">
        <f ca="1">(1*AND(KLL_II_2020!CA_FP_oil_nom&gt;KLL_II_2020!CA_HP1_oil_nom,KLL_II_2020!CA_op_trig=1))*(KLL_II_2020!CA_PSC_switch_trig=0)+
(1*AND(KLL_II_2020!CA_FP_oil_nom&gt;KLL_II_2020!CA_HP2_oil_nom,KLL_II_2020!CA_op_trig=1))*(KLL_II_2020!CA_PSC_switch_trig=1)</f>
        <v>1</v>
      </c>
      <c r="R278" s="49">
        <f ca="1">(1*AND(KLL_II_2020!CA_FP_oil_nom&gt;KLL_II_2020!CA_HP1_oil_nom,KLL_II_2020!CA_op_trig=1))*(KLL_II_2020!CA_PSC_switch_trig=0)+
(1*AND(KLL_II_2020!CA_FP_oil_nom&gt;KLL_II_2020!CA_HP2_oil_nom,KLL_II_2020!CA_op_trig=1))*(KLL_II_2020!CA_PSC_switch_trig=1)</f>
        <v>1</v>
      </c>
      <c r="S278" s="49">
        <f ca="1">(1*AND(KLL_II_2020!CA_FP_oil_nom&gt;KLL_II_2020!CA_HP1_oil_nom,KLL_II_2020!CA_op_trig=1))*(KLL_II_2020!CA_PSC_switch_trig=0)+
(1*AND(KLL_II_2020!CA_FP_oil_nom&gt;KLL_II_2020!CA_HP2_oil_nom,KLL_II_2020!CA_op_trig=1))*(KLL_II_2020!CA_PSC_switch_trig=1)</f>
        <v>0</v>
      </c>
      <c r="T278" s="49">
        <f ca="1">(1*AND(KLL_II_2020!CA_FP_oil_nom&gt;KLL_II_2020!CA_HP1_oil_nom,KLL_II_2020!CA_op_trig=1))*(KLL_II_2020!CA_PSC_switch_trig=0)+
(1*AND(KLL_II_2020!CA_FP_oil_nom&gt;KLL_II_2020!CA_HP2_oil_nom,KLL_II_2020!CA_op_trig=1))*(KLL_II_2020!CA_PSC_switch_trig=1)</f>
        <v>1</v>
      </c>
      <c r="U278" s="49">
        <f ca="1">(1*AND(KLL_II_2020!CA_FP_oil_nom&gt;KLL_II_2020!CA_HP1_oil_nom,KLL_II_2020!CA_op_trig=1))*(KLL_II_2020!CA_PSC_switch_trig=0)+
(1*AND(KLL_II_2020!CA_FP_oil_nom&gt;KLL_II_2020!CA_HP2_oil_nom,KLL_II_2020!CA_op_trig=1))*(KLL_II_2020!CA_PSC_switch_trig=1)</f>
        <v>1</v>
      </c>
      <c r="V278" s="49">
        <f ca="1">(1*AND(KLL_II_2020!CA_FP_oil_nom&gt;KLL_II_2020!CA_HP1_oil_nom,KLL_II_2020!CA_op_trig=1))*(KLL_II_2020!CA_PSC_switch_trig=0)+
(1*AND(KLL_II_2020!CA_FP_oil_nom&gt;KLL_II_2020!CA_HP2_oil_nom,KLL_II_2020!CA_op_trig=1))*(KLL_II_2020!CA_PSC_switch_trig=1)</f>
        <v>1</v>
      </c>
      <c r="W278" s="49">
        <f ca="1">(1*AND(KLL_II_2020!CA_FP_oil_nom&gt;KLL_II_2020!CA_HP1_oil_nom,KLL_II_2020!CA_op_trig=1))*(KLL_II_2020!CA_PSC_switch_trig=0)+
(1*AND(KLL_II_2020!CA_FP_oil_nom&gt;KLL_II_2020!CA_HP2_oil_nom,KLL_II_2020!CA_op_trig=1))*(KLL_II_2020!CA_PSC_switch_trig=1)</f>
        <v>1</v>
      </c>
      <c r="X278" s="49">
        <f ca="1">(1*AND(KLL_II_2020!CA_FP_oil_nom&gt;KLL_II_2020!CA_HP1_oil_nom,KLL_II_2020!CA_op_trig=1))*(KLL_II_2020!CA_PSC_switch_trig=0)+
(1*AND(KLL_II_2020!CA_FP_oil_nom&gt;KLL_II_2020!CA_HP2_oil_nom,KLL_II_2020!CA_op_trig=1))*(KLL_II_2020!CA_PSC_switch_trig=1)</f>
        <v>1</v>
      </c>
      <c r="Y278" s="49">
        <f ca="1">(1*AND(KLL_II_2020!CA_FP_oil_nom&gt;KLL_II_2020!CA_HP1_oil_nom,KLL_II_2020!CA_op_trig=1))*(KLL_II_2020!CA_PSC_switch_trig=0)+
(1*AND(KLL_II_2020!CA_FP_oil_nom&gt;KLL_II_2020!CA_HP2_oil_nom,KLL_II_2020!CA_op_trig=1))*(KLL_II_2020!CA_PSC_switch_trig=1)</f>
        <v>0</v>
      </c>
      <c r="Z278" s="49">
        <f ca="1">(1*AND(KLL_II_2020!CA_FP_oil_nom&gt;KLL_II_2020!CA_HP1_oil_nom,KLL_II_2020!CA_op_trig=1))*(KLL_II_2020!CA_PSC_switch_trig=0)+
(1*AND(KLL_II_2020!CA_FP_oil_nom&gt;KLL_II_2020!CA_HP2_oil_nom,KLL_II_2020!CA_op_trig=1))*(KLL_II_2020!CA_PSC_switch_trig=1)</f>
        <v>0</v>
      </c>
      <c r="AA278" s="49">
        <f ca="1">(1*AND(KLL_II_2020!CA_FP_oil_nom&gt;KLL_II_2020!CA_HP1_oil_nom,KLL_II_2020!CA_op_trig=1))*(KLL_II_2020!CA_PSC_switch_trig=0)+
(1*AND(KLL_II_2020!CA_FP_oil_nom&gt;KLL_II_2020!CA_HP2_oil_nom,KLL_II_2020!CA_op_trig=1))*(KLL_II_2020!CA_PSC_switch_trig=1)</f>
        <v>0</v>
      </c>
      <c r="AB278" s="49">
        <f ca="1">(1*AND(KLL_II_2020!CA_FP_oil_nom&gt;KLL_II_2020!CA_HP1_oil_nom,KLL_II_2020!CA_op_trig=1))*(KLL_II_2020!CA_PSC_switch_trig=0)+
(1*AND(KLL_II_2020!CA_FP_oil_nom&gt;KLL_II_2020!CA_HP2_oil_nom,KLL_II_2020!CA_op_trig=1))*(KLL_II_2020!CA_PSC_switch_trig=1)</f>
        <v>0</v>
      </c>
      <c r="AC278" s="49">
        <f ca="1">(1*AND(KLL_II_2020!CA_FP_oil_nom&gt;KLL_II_2020!CA_HP1_oil_nom,KLL_II_2020!CA_op_trig=1))*(KLL_II_2020!CA_PSC_switch_trig=0)+
(1*AND(KLL_II_2020!CA_FP_oil_nom&gt;KLL_II_2020!CA_HP2_oil_nom,KLL_II_2020!CA_op_trig=1))*(KLL_II_2020!CA_PSC_switch_trig=1)</f>
        <v>0</v>
      </c>
      <c r="AD278" s="49">
        <f ca="1">(1*AND(KLL_II_2020!CA_FP_oil_nom&gt;KLL_II_2020!CA_HP1_oil_nom,KLL_II_2020!CA_op_trig=1))*(KLL_II_2020!CA_PSC_switch_trig=0)+
(1*AND(KLL_II_2020!CA_FP_oil_nom&gt;KLL_II_2020!CA_HP2_oil_nom,KLL_II_2020!CA_op_trig=1))*(KLL_II_2020!CA_PSC_switch_trig=1)</f>
        <v>0</v>
      </c>
      <c r="AE278" s="49">
        <f ca="1">(1*AND(KLL_II_2020!CA_FP_oil_nom&gt;KLL_II_2020!CA_HP1_oil_nom,KLL_II_2020!CA_op_trig=1))*(KLL_II_2020!CA_PSC_switch_trig=0)+
(1*AND(KLL_II_2020!CA_FP_oil_nom&gt;KLL_II_2020!CA_HP2_oil_nom,KLL_II_2020!CA_op_trig=1))*(KLL_II_2020!CA_PSC_switch_trig=1)</f>
        <v>0</v>
      </c>
      <c r="AF278" s="49">
        <f ca="1">(1*AND(KLL_II_2020!CA_FP_oil_nom&gt;KLL_II_2020!CA_HP1_oil_nom,KLL_II_2020!CA_op_trig=1))*(KLL_II_2020!CA_PSC_switch_trig=0)+
(1*AND(KLL_II_2020!CA_FP_oil_nom&gt;KLL_II_2020!CA_HP2_oil_nom,KLL_II_2020!CA_op_trig=1))*(KLL_II_2020!CA_PSC_switch_trig=1)</f>
        <v>0</v>
      </c>
      <c r="AG278" s="49">
        <f ca="1">(1*AND(KLL_II_2020!CA_FP_oil_nom&gt;KLL_II_2020!CA_HP1_oil_nom,KLL_II_2020!CA_op_trig=1))*(KLL_II_2020!CA_PSC_switch_trig=0)+
(1*AND(KLL_II_2020!CA_FP_oil_nom&gt;KLL_II_2020!CA_HP2_oil_nom,KLL_II_2020!CA_op_trig=1))*(KLL_II_2020!CA_PSC_switch_trig=1)</f>
        <v>0</v>
      </c>
      <c r="AH278" s="49">
        <f ca="1">(1*AND(KLL_II_2020!CA_FP_oil_nom&gt;KLL_II_2020!CA_HP1_oil_nom,KLL_II_2020!CA_op_trig=1))*(KLL_II_2020!CA_PSC_switch_trig=0)+
(1*AND(KLL_II_2020!CA_FP_oil_nom&gt;KLL_II_2020!CA_HP2_oil_nom,KLL_II_2020!CA_op_trig=1))*(KLL_II_2020!CA_PSC_switch_trig=1)</f>
        <v>0</v>
      </c>
      <c r="AI278" s="49">
        <f ca="1">(1*AND(KLL_II_2020!CA_FP_oil_nom&gt;KLL_II_2020!CA_HP1_oil_nom,KLL_II_2020!CA_op_trig=1))*(KLL_II_2020!CA_PSC_switch_trig=0)+
(1*AND(KLL_II_2020!CA_FP_oil_nom&gt;KLL_II_2020!CA_HP2_oil_nom,KLL_II_2020!CA_op_trig=1))*(KLL_II_2020!CA_PSC_switch_trig=1)</f>
        <v>0</v>
      </c>
      <c r="AJ278" s="49">
        <f ca="1">(1*AND(KLL_II_2020!CA_FP_oil_nom&gt;KLL_II_2020!CA_HP1_oil_nom,KLL_II_2020!CA_op_trig=1))*(KLL_II_2020!CA_PSC_switch_trig=0)+
(1*AND(KLL_II_2020!CA_FP_oil_nom&gt;KLL_II_2020!CA_HP2_oil_nom,KLL_II_2020!CA_op_trig=1))*(KLL_II_2020!CA_PSC_switch_trig=1)</f>
        <v>0</v>
      </c>
      <c r="AK278" s="49">
        <f ca="1">(1*AND(KLL_II_2020!CA_FP_oil_nom&gt;KLL_II_2020!CA_HP1_oil_nom,KLL_II_2020!CA_op_trig=1))*(KLL_II_2020!CA_PSC_switch_trig=0)+
(1*AND(KLL_II_2020!CA_FP_oil_nom&gt;KLL_II_2020!CA_HP2_oil_nom,KLL_II_2020!CA_op_trig=1))*(KLL_II_2020!CA_PSC_switch_trig=1)</f>
        <v>0</v>
      </c>
      <c r="AL278" s="49">
        <f ca="1">(1*AND(KLL_II_2020!CA_FP_oil_nom&gt;KLL_II_2020!CA_HP1_oil_nom,KLL_II_2020!CA_op_trig=1))*(KLL_II_2020!CA_PSC_switch_trig=0)+
(1*AND(KLL_II_2020!CA_FP_oil_nom&gt;KLL_II_2020!CA_HP2_oil_nom,KLL_II_2020!CA_op_trig=1))*(KLL_II_2020!CA_PSC_switch_trig=1)</f>
        <v>0</v>
      </c>
      <c r="AM278" s="49">
        <f ca="1">(1*AND(KLL_II_2020!CA_FP_oil_nom&gt;KLL_II_2020!CA_HP1_oil_nom,KLL_II_2020!CA_op_trig=1))*(KLL_II_2020!CA_PSC_switch_trig=0)+
(1*AND(KLL_II_2020!CA_FP_oil_nom&gt;KLL_II_2020!CA_HP2_oil_nom,KLL_II_2020!CA_op_trig=1))*(KLL_II_2020!CA_PSC_switch_trig=1)</f>
        <v>0</v>
      </c>
      <c r="AN278" s="49">
        <f ca="1">(1*AND(KLL_II_2020!CA_FP_oil_nom&gt;KLL_II_2020!CA_HP1_oil_nom,KLL_II_2020!CA_op_trig=1))*(KLL_II_2020!CA_PSC_switch_trig=0)+
(1*AND(KLL_II_2020!CA_FP_oil_nom&gt;KLL_II_2020!CA_HP2_oil_nom,KLL_II_2020!CA_op_trig=1))*(KLL_II_2020!CA_PSC_switch_trig=1)</f>
        <v>0</v>
      </c>
      <c r="AO278" s="49">
        <f ca="1">(1*AND(KLL_II_2020!CA_FP_oil_nom&gt;KLL_II_2020!CA_HP1_oil_nom,KLL_II_2020!CA_op_trig=1))*(KLL_II_2020!CA_PSC_switch_trig=0)+
(1*AND(KLL_II_2020!CA_FP_oil_nom&gt;KLL_II_2020!CA_HP2_oil_nom,KLL_II_2020!CA_op_trig=1))*(KLL_II_2020!CA_PSC_switch_trig=1)</f>
        <v>0</v>
      </c>
      <c r="AP278" s="49">
        <f ca="1">(1*AND(KLL_II_2020!CA_FP_oil_nom&gt;KLL_II_2020!CA_HP1_oil_nom,KLL_II_2020!CA_op_trig=1))*(KLL_II_2020!CA_PSC_switch_trig=0)+
(1*AND(KLL_II_2020!CA_FP_oil_nom&gt;KLL_II_2020!CA_HP2_oil_nom,KLL_II_2020!CA_op_trig=1))*(KLL_II_2020!CA_PSC_switch_trig=1)</f>
        <v>0</v>
      </c>
      <c r="AQ278" s="49">
        <f ca="1">(1*AND(KLL_II_2020!CA_FP_oil_nom&gt;KLL_II_2020!CA_HP1_oil_nom,KLL_II_2020!CA_op_trig=1))*(KLL_II_2020!CA_PSC_switch_trig=0)+
(1*AND(KLL_II_2020!CA_FP_oil_nom&gt;KLL_II_2020!CA_HP2_oil_nom,KLL_II_2020!CA_op_trig=1))*(KLL_II_2020!CA_PSC_switch_trig=1)</f>
        <v>0</v>
      </c>
      <c r="AR278" s="49">
        <f ca="1">(1*AND(KLL_II_2020!CA_FP_oil_nom&gt;KLL_II_2020!CA_HP1_oil_nom,KLL_II_2020!CA_op_trig=1))*(KLL_II_2020!CA_PSC_switch_trig=0)+
(1*AND(KLL_II_2020!CA_FP_oil_nom&gt;KLL_II_2020!CA_HP2_oil_nom,KLL_II_2020!CA_op_trig=1))*(KLL_II_2020!CA_PSC_switch_trig=1)</f>
        <v>0</v>
      </c>
      <c r="AS278" s="49">
        <f ca="1">(1*AND(KLL_II_2020!CA_FP_oil_nom&gt;KLL_II_2020!CA_HP1_oil_nom,KLL_II_2020!CA_op_trig=1))*(KLL_II_2020!CA_PSC_switch_trig=0)+
(1*AND(KLL_II_2020!CA_FP_oil_nom&gt;KLL_II_2020!CA_HP2_oil_nom,KLL_II_2020!CA_op_trig=1))*(KLL_II_2020!CA_PSC_switch_trig=1)</f>
        <v>0</v>
      </c>
      <c r="AT278" s="49">
        <f ca="1">(1*AND(KLL_II_2020!CA_FP_oil_nom&gt;KLL_II_2020!CA_HP1_oil_nom,KLL_II_2020!CA_op_trig=1))*(KLL_II_2020!CA_PSC_switch_trig=0)+
(1*AND(KLL_II_2020!CA_FP_oil_nom&gt;KLL_II_2020!CA_HP2_oil_nom,KLL_II_2020!CA_op_trig=1))*(KLL_II_2020!CA_PSC_switch_trig=1)</f>
        <v>0</v>
      </c>
      <c r="AU278" s="49">
        <f ca="1">(1*AND(KLL_II_2020!CA_FP_oil_nom&gt;KLL_II_2020!CA_HP1_oil_nom,KLL_II_2020!CA_op_trig=1))*(KLL_II_2020!CA_PSC_switch_trig=0)+
(1*AND(KLL_II_2020!CA_FP_oil_nom&gt;KLL_II_2020!CA_HP2_oil_nom,KLL_II_2020!CA_op_trig=1))*(KLL_II_2020!CA_PSC_switch_trig=1)</f>
        <v>0</v>
      </c>
      <c r="AV278" s="49">
        <f ca="1">(1*AND(KLL_II_2020!CA_FP_oil_nom&gt;KLL_II_2020!CA_HP1_oil_nom,KLL_II_2020!CA_op_trig=1))*(KLL_II_2020!CA_PSC_switch_trig=0)+
(1*AND(KLL_II_2020!CA_FP_oil_nom&gt;KLL_II_2020!CA_HP2_oil_nom,KLL_II_2020!CA_op_trig=1))*(KLL_II_2020!CA_PSC_switch_trig=1)</f>
        <v>0</v>
      </c>
      <c r="AW278" s="49">
        <f ca="1">(1*AND(KLL_II_2020!CA_FP_oil_nom&gt;KLL_II_2020!CA_HP1_oil_nom,KLL_II_2020!CA_op_trig=1))*(KLL_II_2020!CA_PSC_switch_trig=0)+
(1*AND(KLL_II_2020!CA_FP_oil_nom&gt;KLL_II_2020!CA_HP2_oil_nom,KLL_II_2020!CA_op_trig=1))*(KLL_II_2020!CA_PSC_switch_trig=1)</f>
        <v>0</v>
      </c>
      <c r="AX278" s="49">
        <f ca="1">(1*AND(KLL_II_2020!CA_FP_oil_nom&gt;KLL_II_2020!CA_HP1_oil_nom,KLL_II_2020!CA_op_trig=1))*(KLL_II_2020!CA_PSC_switch_trig=0)+
(1*AND(KLL_II_2020!CA_FP_oil_nom&gt;KLL_II_2020!CA_HP2_oil_nom,KLL_II_2020!CA_op_trig=1))*(KLL_II_2020!CA_PSC_switch_trig=1)</f>
        <v>0</v>
      </c>
      <c r="AY278" s="49">
        <f ca="1">(1*AND(KLL_II_2020!CA_FP_oil_nom&gt;KLL_II_2020!CA_HP1_oil_nom,KLL_II_2020!CA_op_trig=1))*(KLL_II_2020!CA_PSC_switch_trig=0)+
(1*AND(KLL_II_2020!CA_FP_oil_nom&gt;KLL_II_2020!CA_HP2_oil_nom,KLL_II_2020!CA_op_trig=1))*(KLL_II_2020!CA_PSC_switch_trig=1)</f>
        <v>0</v>
      </c>
      <c r="AZ278" s="49">
        <f ca="1">(1*AND(KLL_II_2020!CA_FP_oil_nom&gt;KLL_II_2020!CA_HP1_oil_nom,KLL_II_2020!CA_op_trig=1))*(KLL_II_2020!CA_PSC_switch_trig=0)+
(1*AND(KLL_II_2020!CA_FP_oil_nom&gt;KLL_II_2020!CA_HP2_oil_nom,KLL_II_2020!CA_op_trig=1))*(KLL_II_2020!CA_PSC_switch_trig=1)</f>
        <v>0</v>
      </c>
      <c r="BA278" s="49">
        <f ca="1">(1*AND(KLL_II_2020!CA_FP_oil_nom&gt;KLL_II_2020!CA_HP1_oil_nom,KLL_II_2020!CA_op_trig=1))*(KLL_II_2020!CA_PSC_switch_trig=0)+
(1*AND(KLL_II_2020!CA_FP_oil_nom&gt;KLL_II_2020!CA_HP2_oil_nom,KLL_II_2020!CA_op_trig=1))*(KLL_II_2020!CA_PSC_switch_trig=1)</f>
        <v>0</v>
      </c>
      <c r="BB278" s="49">
        <f ca="1">(1*AND(KLL_II_2020!CA_FP_oil_nom&gt;KLL_II_2020!CA_HP1_oil_nom,KLL_II_2020!CA_op_trig=1))*(KLL_II_2020!CA_PSC_switch_trig=0)+
(1*AND(KLL_II_2020!CA_FP_oil_nom&gt;KLL_II_2020!CA_HP2_oil_nom,KLL_II_2020!CA_op_trig=1))*(KLL_II_2020!CA_PSC_switch_trig=1)</f>
        <v>0</v>
      </c>
      <c r="BC278" s="49">
        <f ca="1">(1*AND(KLL_II_2020!CA_FP_oil_nom&gt;KLL_II_2020!CA_HP1_oil_nom,KLL_II_2020!CA_op_trig=1))*(KLL_II_2020!CA_PSC_switch_trig=0)+
(1*AND(KLL_II_2020!CA_FP_oil_nom&gt;KLL_II_2020!CA_HP2_oil_nom,KLL_II_2020!CA_op_trig=1))*(KLL_II_2020!CA_PSC_switch_trig=1)</f>
        <v>0</v>
      </c>
      <c r="BD278" s="49">
        <f ca="1">(1*AND(KLL_II_2020!CA_FP_oil_nom&gt;KLL_II_2020!CA_HP1_oil_nom,KLL_II_2020!CA_op_trig=1))*(KLL_II_2020!CA_PSC_switch_trig=0)+
(1*AND(KLL_II_2020!CA_FP_oil_nom&gt;KLL_II_2020!CA_HP2_oil_nom,KLL_II_2020!CA_op_trig=1))*(KLL_II_2020!CA_PSC_switch_trig=1)</f>
        <v>0</v>
      </c>
      <c r="BE278" s="49">
        <f ca="1">(1*AND(KLL_II_2020!CA_FP_oil_nom&gt;KLL_II_2020!CA_HP1_oil_nom,KLL_II_2020!CA_op_trig=1))*(KLL_II_2020!CA_PSC_switch_trig=0)+
(1*AND(KLL_II_2020!CA_FP_oil_nom&gt;KLL_II_2020!CA_HP2_oil_nom,KLL_II_2020!CA_op_trig=1))*(KLL_II_2020!CA_PSC_switch_trig=1)</f>
        <v>0</v>
      </c>
      <c r="BF278" s="49">
        <f ca="1">(1*AND(KLL_II_2020!CA_FP_oil_nom&gt;KLL_II_2020!CA_HP1_oil_nom,KLL_II_2020!CA_op_trig=1))*(KLL_II_2020!CA_PSC_switch_trig=0)+
(1*AND(KLL_II_2020!CA_FP_oil_nom&gt;KLL_II_2020!CA_HP2_oil_nom,KLL_II_2020!CA_op_trig=1))*(KLL_II_2020!CA_PSC_switch_trig=1)</f>
        <v>0</v>
      </c>
      <c r="BG278" s="49">
        <f ca="1">(1*AND(KLL_II_2020!CA_FP_oil_nom&gt;KLL_II_2020!CA_HP1_oil_nom,KLL_II_2020!CA_op_trig=1))*(KLL_II_2020!CA_PSC_switch_trig=0)+
(1*AND(KLL_II_2020!CA_FP_oil_nom&gt;KLL_II_2020!CA_HP2_oil_nom,KLL_II_2020!CA_op_trig=1))*(KLL_II_2020!CA_PSC_switch_trig=1)</f>
        <v>0</v>
      </c>
      <c r="BH278" s="49">
        <f ca="1">(1*AND(KLL_II_2020!CA_FP_oil_nom&gt;KLL_II_2020!CA_HP1_oil_nom,KLL_II_2020!CA_op_trig=1))*(KLL_II_2020!CA_PSC_switch_trig=0)+
(1*AND(KLL_II_2020!CA_FP_oil_nom&gt;KLL_II_2020!CA_HP2_oil_nom,KLL_II_2020!CA_op_trig=1))*(KLL_II_2020!CA_PSC_switch_trig=1)</f>
        <v>0</v>
      </c>
      <c r="BI278" s="49">
        <f ca="1">(1*AND(KLL_II_2020!CA_FP_oil_nom&gt;KLL_II_2020!CA_HP1_oil_nom,KLL_II_2020!CA_op_trig=1))*(KLL_II_2020!CA_PSC_switch_trig=0)+
(1*AND(KLL_II_2020!CA_FP_oil_nom&gt;KLL_II_2020!CA_HP2_oil_nom,KLL_II_2020!CA_op_trig=1))*(KLL_II_2020!CA_PSC_switch_trig=1)</f>
        <v>0</v>
      </c>
      <c r="BJ278" s="49">
        <f ca="1">(1*AND(KLL_II_2020!CA_FP_oil_nom&gt;KLL_II_2020!CA_HP1_oil_nom,KLL_II_2020!CA_op_trig=1))*(KLL_II_2020!CA_PSC_switch_trig=0)+
(1*AND(KLL_II_2020!CA_FP_oil_nom&gt;KLL_II_2020!CA_HP2_oil_nom,KLL_II_2020!CA_op_trig=1))*(KLL_II_2020!CA_PSC_switch_trig=1)</f>
        <v>0</v>
      </c>
      <c r="BK278" s="49">
        <f ca="1">(1*AND(KLL_II_2020!CA_FP_oil_nom&gt;KLL_II_2020!CA_HP1_oil_nom,KLL_II_2020!CA_op_trig=1))*(KLL_II_2020!CA_PSC_switch_trig=0)+
(1*AND(KLL_II_2020!CA_FP_oil_nom&gt;KLL_II_2020!CA_HP2_oil_nom,KLL_II_2020!CA_op_trig=1))*(KLL_II_2020!CA_PSC_switch_trig=1)</f>
        <v>0</v>
      </c>
      <c r="BL278" s="49">
        <f ca="1">(1*AND(KLL_II_2020!CA_FP_oil_nom&gt;KLL_II_2020!CA_HP1_oil_nom,KLL_II_2020!CA_op_trig=1))*(KLL_II_2020!CA_PSC_switch_trig=0)+
(1*AND(KLL_II_2020!CA_FP_oil_nom&gt;KLL_II_2020!CA_HP2_oil_nom,KLL_II_2020!CA_op_trig=1))*(KLL_II_2020!CA_PSC_switch_trig=1)</f>
        <v>0</v>
      </c>
      <c r="BM278" s="49">
        <f ca="1">(1*AND(KLL_II_2020!CA_FP_oil_nom&gt;KLL_II_2020!CA_HP1_oil_nom,KLL_II_2020!CA_op_trig=1))*(KLL_II_2020!CA_PSC_switch_trig=0)+
(1*AND(KLL_II_2020!CA_FP_oil_nom&gt;KLL_II_2020!CA_HP2_oil_nom,KLL_II_2020!CA_op_trig=1))*(KLL_II_2020!CA_PSC_switch_trig=1)</f>
        <v>0</v>
      </c>
      <c r="BN278" s="49">
        <f ca="1">(1*AND(KLL_II_2020!CA_FP_oil_nom&gt;KLL_II_2020!CA_HP1_oil_nom,KLL_II_2020!CA_op_trig=1))*(KLL_II_2020!CA_PSC_switch_trig=0)+
(1*AND(KLL_II_2020!CA_FP_oil_nom&gt;KLL_II_2020!CA_HP2_oil_nom,KLL_II_2020!CA_op_trig=1))*(KLL_II_2020!CA_PSC_switch_trig=1)</f>
        <v>0</v>
      </c>
      <c r="BO278" s="49">
        <f ca="1">(1*AND(KLL_II_2020!CA_FP_oil_nom&gt;KLL_II_2020!CA_HP1_oil_nom,KLL_II_2020!CA_op_trig=1))*(KLL_II_2020!CA_PSC_switch_trig=0)+
(1*AND(KLL_II_2020!CA_FP_oil_nom&gt;KLL_II_2020!CA_HP2_oil_nom,KLL_II_2020!CA_op_trig=1))*(KLL_II_2020!CA_PSC_switch_trig=1)</f>
        <v>0</v>
      </c>
      <c r="BP278" s="49">
        <f ca="1">(1*AND(KLL_II_2020!CA_FP_oil_nom&gt;KLL_II_2020!CA_HP1_oil_nom,KLL_II_2020!CA_op_trig=1))*(KLL_II_2020!CA_PSC_switch_trig=0)+
(1*AND(KLL_II_2020!CA_FP_oil_nom&gt;KLL_II_2020!CA_HP2_oil_nom,KLL_II_2020!CA_op_trig=1))*(KLL_II_2020!CA_PSC_switch_trig=1)</f>
        <v>0</v>
      </c>
      <c r="BQ278" s="49">
        <f ca="1">(1*AND(KLL_II_2020!CA_FP_oil_nom&gt;KLL_II_2020!CA_HP1_oil_nom,KLL_II_2020!CA_op_trig=1))*(KLL_II_2020!CA_PSC_switch_trig=0)+
(1*AND(KLL_II_2020!CA_FP_oil_nom&gt;KLL_II_2020!CA_HP2_oil_nom,KLL_II_2020!CA_op_trig=1))*(KLL_II_2020!CA_PSC_switch_trig=1)</f>
        <v>0</v>
      </c>
      <c r="BR278" s="49">
        <f ca="1">(1*AND(KLL_II_2020!CA_FP_oil_nom&gt;KLL_II_2020!CA_HP1_oil_nom,KLL_II_2020!CA_op_trig=1))*(KLL_II_2020!CA_PSC_switch_trig=0)+
(1*AND(KLL_II_2020!CA_FP_oil_nom&gt;KLL_II_2020!CA_HP2_oil_nom,KLL_II_2020!CA_op_trig=1))*(KLL_II_2020!CA_PSC_switch_trig=1)</f>
        <v>0</v>
      </c>
      <c r="BS278" s="49">
        <f ca="1">(1*AND(KLL_II_2020!CA_FP_oil_nom&gt;KLL_II_2020!CA_HP1_oil_nom,KLL_II_2020!CA_op_trig=1))*(KLL_II_2020!CA_PSC_switch_trig=0)+
(1*AND(KLL_II_2020!CA_FP_oil_nom&gt;KLL_II_2020!CA_HP2_oil_nom,KLL_II_2020!CA_op_trig=1))*(KLL_II_2020!CA_PSC_switch_trig=1)</f>
        <v>0</v>
      </c>
    </row>
    <row r="279" spans="3:71" outlineLevel="1" x14ac:dyDescent="0.2">
      <c r="J279" s="26"/>
      <c r="L279" s="55"/>
      <c r="M279" s="55"/>
      <c r="N279" s="55"/>
      <c r="O279" s="55"/>
      <c r="P279" s="55"/>
      <c r="Q279" s="55"/>
      <c r="R279" s="55"/>
      <c r="S279" s="55"/>
      <c r="T279" s="55"/>
      <c r="U279" s="55"/>
      <c r="V279" s="55"/>
      <c r="W279" s="55"/>
      <c r="X279" s="55"/>
      <c r="Y279" s="55"/>
      <c r="Z279" s="55"/>
      <c r="AA279" s="55"/>
      <c r="AB279" s="55"/>
      <c r="AC279" s="55"/>
      <c r="AD279" s="55"/>
      <c r="AE279" s="55"/>
      <c r="AF279" s="55"/>
      <c r="AG279" s="55"/>
      <c r="AH279" s="55"/>
      <c r="AI279" s="55"/>
      <c r="AJ279" s="55"/>
      <c r="AK279" s="55"/>
      <c r="AL279" s="55"/>
      <c r="AM279" s="55"/>
      <c r="AN279" s="55"/>
      <c r="AO279" s="55"/>
      <c r="AP279" s="55"/>
      <c r="AQ279" s="55"/>
      <c r="AR279" s="55"/>
      <c r="AS279" s="55"/>
      <c r="AT279" s="55"/>
      <c r="AU279" s="55"/>
      <c r="AV279" s="55"/>
      <c r="AW279" s="55"/>
      <c r="AX279" s="55"/>
      <c r="AY279" s="55"/>
      <c r="AZ279" s="55"/>
      <c r="BA279" s="55"/>
      <c r="BB279" s="55"/>
      <c r="BC279" s="55"/>
      <c r="BD279" s="55"/>
      <c r="BE279" s="55"/>
      <c r="BF279" s="55"/>
      <c r="BG279" s="55"/>
      <c r="BH279" s="55"/>
      <c r="BI279" s="55"/>
      <c r="BJ279" s="55"/>
      <c r="BK279" s="55"/>
      <c r="BL279" s="55"/>
      <c r="BM279" s="55"/>
      <c r="BN279" s="55"/>
      <c r="BO279" s="55"/>
      <c r="BP279" s="55"/>
      <c r="BQ279" s="55"/>
      <c r="BR279" s="55"/>
      <c r="BS279" s="55"/>
    </row>
    <row r="280" spans="3:71" outlineLevel="1" x14ac:dyDescent="0.2">
      <c r="D280" t="str">
        <f>HM_ZB_Nsoko!D293</f>
        <v>Revenu brut - SPO</v>
      </c>
      <c r="I280" s="30">
        <f t="shared" ref="I280" ca="1" si="73">SUM($L280:$BS280)</f>
        <v>1564.8133969265191</v>
      </c>
      <c r="J280" s="26" t="s">
        <v>148</v>
      </c>
      <c r="L280" s="49">
        <f ca="1">(KLL_II_2020!CA_gross_rev_oil_difference1*KLL_II_2020!CA_SPO_trig)*(KLL_II_2020!CA_PSC_switch_trig=0)+
(KLL_II_2020!CA_gross_rev_oil_difference2*KLL_II_2020!CA_SPO_trig)*(KLL_II_2020!CA_PSC_switch_trig=1)</f>
        <v>325.05083961600008</v>
      </c>
      <c r="M280" s="49">
        <f ca="1">(KLL_II_2020!CA_gross_rev_oil_difference1*KLL_II_2020!CA_SPO_trig)*(KLL_II_2020!CA_PSC_switch_trig=0)+
(KLL_II_2020!CA_gross_rev_oil_difference2*KLL_II_2020!CA_SPO_trig)*(KLL_II_2020!CA_PSC_switch_trig=1)</f>
        <v>334.53677598699994</v>
      </c>
      <c r="N280" s="49">
        <f ca="1">(KLL_II_2020!CA_gross_rev_oil_difference1*KLL_II_2020!CA_SPO_trig)*(KLL_II_2020!CA_PSC_switch_trig=0)+
(KLL_II_2020!CA_gross_rev_oil_difference2*KLL_II_2020!CA_SPO_trig)*(KLL_II_2020!CA_PSC_switch_trig=1)</f>
        <v>65.126956897749949</v>
      </c>
      <c r="O280" s="49">
        <f ca="1">(KLL_II_2020!CA_gross_rev_oil_difference1*KLL_II_2020!CA_SPO_trig)*(KLL_II_2020!CA_PSC_switch_trig=0)+
(KLL_II_2020!CA_gross_rev_oil_difference2*KLL_II_2020!CA_SPO_trig)*(KLL_II_2020!CA_PSC_switch_trig=1)</f>
        <v>12.217741073750034</v>
      </c>
      <c r="P280" s="49">
        <f ca="1">(KLL_II_2020!CA_gross_rev_oil_difference1*KLL_II_2020!CA_SPO_trig)*(KLL_II_2020!CA_PSC_switch_trig=0)+
(KLL_II_2020!CA_gross_rev_oil_difference2*KLL_II_2020!CA_SPO_trig)*(KLL_II_2020!CA_PSC_switch_trig=1)</f>
        <v>81.764422892000084</v>
      </c>
      <c r="Q280" s="49">
        <f ca="1">(KLL_II_2020!CA_gross_rev_oil_difference1*KLL_II_2020!CA_SPO_trig)*(KLL_II_2020!CA_PSC_switch_trig=0)+
(KLL_II_2020!CA_gross_rev_oil_difference2*KLL_II_2020!CA_SPO_trig)*(KLL_II_2020!CA_PSC_switch_trig=1)</f>
        <v>171.69021063000002</v>
      </c>
      <c r="R280" s="49">
        <f ca="1">(KLL_II_2020!CA_gross_rev_oil_difference1*KLL_II_2020!CA_SPO_trig)*(KLL_II_2020!CA_PSC_switch_trig=0)+
(KLL_II_2020!CA_gross_rev_oil_difference2*KLL_II_2020!CA_SPO_trig)*(KLL_II_2020!CA_PSC_switch_trig=1)</f>
        <v>148.94975656175001</v>
      </c>
      <c r="S280" s="49">
        <f ca="1">(KLL_II_2020!CA_gross_rev_oil_difference1*KLL_II_2020!CA_SPO_trig)*(KLL_II_2020!CA_PSC_switch_trig=0)+
(KLL_II_2020!CA_gross_rev_oil_difference2*KLL_II_2020!CA_SPO_trig)*(KLL_II_2020!CA_PSC_switch_trig=1)</f>
        <v>0</v>
      </c>
      <c r="T280" s="49">
        <f ca="1">(KLL_II_2020!CA_gross_rev_oil_difference1*KLL_II_2020!CA_SPO_trig)*(KLL_II_2020!CA_PSC_switch_trig=0)+
(KLL_II_2020!CA_gross_rev_oil_difference2*KLL_II_2020!CA_SPO_trig)*(KLL_II_2020!CA_PSC_switch_trig=1)</f>
        <v>80.284395844799974</v>
      </c>
      <c r="U280" s="49">
        <f ca="1">(KLL_II_2020!CA_gross_rev_oil_difference1*KLL_II_2020!CA_SPO_trig)*(KLL_II_2020!CA_PSC_switch_trig=0)+
(KLL_II_2020!CA_gross_rev_oil_difference2*KLL_II_2020!CA_SPO_trig)*(KLL_II_2020!CA_PSC_switch_trig=1)</f>
        <v>93.244005829800045</v>
      </c>
      <c r="V280" s="49">
        <f ca="1">(KLL_II_2020!CA_gross_rev_oil_difference1*KLL_II_2020!CA_SPO_trig)*(KLL_II_2020!CA_PSC_switch_trig=0)+
(KLL_II_2020!CA_gross_rev_oil_difference2*KLL_II_2020!CA_SPO_trig)*(KLL_II_2020!CA_PSC_switch_trig=1)</f>
        <v>88.451263930148315</v>
      </c>
      <c r="W280" s="49">
        <f ca="1">(KLL_II_2020!CA_gross_rev_oil_difference1*KLL_II_2020!CA_SPO_trig)*(KLL_II_2020!CA_PSC_switch_trig=0)+
(KLL_II_2020!CA_gross_rev_oil_difference2*KLL_II_2020!CA_SPO_trig)*(KLL_II_2020!CA_PSC_switch_trig=1)</f>
        <v>83.904868964138643</v>
      </c>
      <c r="X280" s="49">
        <f ca="1">(KLL_II_2020!CA_gross_rev_oil_difference1*KLL_II_2020!CA_SPO_trig)*(KLL_II_2020!CA_PSC_switch_trig=0)+
(KLL_II_2020!CA_gross_rev_oil_difference2*KLL_II_2020!CA_SPO_trig)*(KLL_II_2020!CA_PSC_switch_trig=1)</f>
        <v>79.59215869938194</v>
      </c>
      <c r="Y280" s="49">
        <f ca="1">(KLL_II_2020!CA_gross_rev_oil_difference1*KLL_II_2020!CA_SPO_trig)*(KLL_II_2020!CA_PSC_switch_trig=0)+
(KLL_II_2020!CA_gross_rev_oil_difference2*KLL_II_2020!CA_SPO_trig)*(KLL_II_2020!CA_PSC_switch_trig=1)</f>
        <v>0</v>
      </c>
      <c r="Z280" s="49">
        <f ca="1">(KLL_II_2020!CA_gross_rev_oil_difference1*KLL_II_2020!CA_SPO_trig)*(KLL_II_2020!CA_PSC_switch_trig=0)+
(KLL_II_2020!CA_gross_rev_oil_difference2*KLL_II_2020!CA_SPO_trig)*(KLL_II_2020!CA_PSC_switch_trig=1)</f>
        <v>0</v>
      </c>
      <c r="AA280" s="49">
        <f ca="1">(KLL_II_2020!CA_gross_rev_oil_difference1*KLL_II_2020!CA_SPO_trig)*(KLL_II_2020!CA_PSC_switch_trig=0)+
(KLL_II_2020!CA_gross_rev_oil_difference2*KLL_II_2020!CA_SPO_trig)*(KLL_II_2020!CA_PSC_switch_trig=1)</f>
        <v>0</v>
      </c>
      <c r="AB280" s="49">
        <f ca="1">(KLL_II_2020!CA_gross_rev_oil_difference1*KLL_II_2020!CA_SPO_trig)*(KLL_II_2020!CA_PSC_switch_trig=0)+
(KLL_II_2020!CA_gross_rev_oil_difference2*KLL_II_2020!CA_SPO_trig)*(KLL_II_2020!CA_PSC_switch_trig=1)</f>
        <v>0</v>
      </c>
      <c r="AC280" s="49">
        <f ca="1">(KLL_II_2020!CA_gross_rev_oil_difference1*KLL_II_2020!CA_SPO_trig)*(KLL_II_2020!CA_PSC_switch_trig=0)+
(KLL_II_2020!CA_gross_rev_oil_difference2*KLL_II_2020!CA_SPO_trig)*(KLL_II_2020!CA_PSC_switch_trig=1)</f>
        <v>0</v>
      </c>
      <c r="AD280" s="49">
        <f ca="1">(KLL_II_2020!CA_gross_rev_oil_difference1*KLL_II_2020!CA_SPO_trig)*(KLL_II_2020!CA_PSC_switch_trig=0)+
(KLL_II_2020!CA_gross_rev_oil_difference2*KLL_II_2020!CA_SPO_trig)*(KLL_II_2020!CA_PSC_switch_trig=1)</f>
        <v>0</v>
      </c>
      <c r="AE280" s="49">
        <f ca="1">(KLL_II_2020!CA_gross_rev_oil_difference1*KLL_II_2020!CA_SPO_trig)*(KLL_II_2020!CA_PSC_switch_trig=0)+
(KLL_II_2020!CA_gross_rev_oil_difference2*KLL_II_2020!CA_SPO_trig)*(KLL_II_2020!CA_PSC_switch_trig=1)</f>
        <v>0</v>
      </c>
      <c r="AF280" s="49">
        <f ca="1">(KLL_II_2020!CA_gross_rev_oil_difference1*KLL_II_2020!CA_SPO_trig)*(KLL_II_2020!CA_PSC_switch_trig=0)+
(KLL_II_2020!CA_gross_rev_oil_difference2*KLL_II_2020!CA_SPO_trig)*(KLL_II_2020!CA_PSC_switch_trig=1)</f>
        <v>0</v>
      </c>
      <c r="AG280" s="49">
        <f ca="1">(KLL_II_2020!CA_gross_rev_oil_difference1*KLL_II_2020!CA_SPO_trig)*(KLL_II_2020!CA_PSC_switch_trig=0)+
(KLL_II_2020!CA_gross_rev_oil_difference2*KLL_II_2020!CA_SPO_trig)*(KLL_II_2020!CA_PSC_switch_trig=1)</f>
        <v>0</v>
      </c>
      <c r="AH280" s="49">
        <f ca="1">(KLL_II_2020!CA_gross_rev_oil_difference1*KLL_II_2020!CA_SPO_trig)*(KLL_II_2020!CA_PSC_switch_trig=0)+
(KLL_II_2020!CA_gross_rev_oil_difference2*KLL_II_2020!CA_SPO_trig)*(KLL_II_2020!CA_PSC_switch_trig=1)</f>
        <v>0</v>
      </c>
      <c r="AI280" s="49">
        <f ca="1">(KLL_II_2020!CA_gross_rev_oil_difference1*KLL_II_2020!CA_SPO_trig)*(KLL_II_2020!CA_PSC_switch_trig=0)+
(KLL_II_2020!CA_gross_rev_oil_difference2*KLL_II_2020!CA_SPO_trig)*(KLL_II_2020!CA_PSC_switch_trig=1)</f>
        <v>0</v>
      </c>
      <c r="AJ280" s="49">
        <f ca="1">(KLL_II_2020!CA_gross_rev_oil_difference1*KLL_II_2020!CA_SPO_trig)*(KLL_II_2020!CA_PSC_switch_trig=0)+
(KLL_II_2020!CA_gross_rev_oil_difference2*KLL_II_2020!CA_SPO_trig)*(KLL_II_2020!CA_PSC_switch_trig=1)</f>
        <v>0</v>
      </c>
      <c r="AK280" s="49">
        <f ca="1">(KLL_II_2020!CA_gross_rev_oil_difference1*KLL_II_2020!CA_SPO_trig)*(KLL_II_2020!CA_PSC_switch_trig=0)+
(KLL_II_2020!CA_gross_rev_oil_difference2*KLL_II_2020!CA_SPO_trig)*(KLL_II_2020!CA_PSC_switch_trig=1)</f>
        <v>0</v>
      </c>
      <c r="AL280" s="49">
        <f ca="1">(KLL_II_2020!CA_gross_rev_oil_difference1*KLL_II_2020!CA_SPO_trig)*(KLL_II_2020!CA_PSC_switch_trig=0)+
(KLL_II_2020!CA_gross_rev_oil_difference2*KLL_II_2020!CA_SPO_trig)*(KLL_II_2020!CA_PSC_switch_trig=1)</f>
        <v>0</v>
      </c>
      <c r="AM280" s="49">
        <f ca="1">(KLL_II_2020!CA_gross_rev_oil_difference1*KLL_II_2020!CA_SPO_trig)*(KLL_II_2020!CA_PSC_switch_trig=0)+
(KLL_II_2020!CA_gross_rev_oil_difference2*KLL_II_2020!CA_SPO_trig)*(KLL_II_2020!CA_PSC_switch_trig=1)</f>
        <v>0</v>
      </c>
      <c r="AN280" s="49">
        <f ca="1">(KLL_II_2020!CA_gross_rev_oil_difference1*KLL_II_2020!CA_SPO_trig)*(KLL_II_2020!CA_PSC_switch_trig=0)+
(KLL_II_2020!CA_gross_rev_oil_difference2*KLL_II_2020!CA_SPO_trig)*(KLL_II_2020!CA_PSC_switch_trig=1)</f>
        <v>0</v>
      </c>
      <c r="AO280" s="49">
        <f ca="1">(KLL_II_2020!CA_gross_rev_oil_difference1*KLL_II_2020!CA_SPO_trig)*(KLL_II_2020!CA_PSC_switch_trig=0)+
(KLL_II_2020!CA_gross_rev_oil_difference2*KLL_II_2020!CA_SPO_trig)*(KLL_II_2020!CA_PSC_switch_trig=1)</f>
        <v>0</v>
      </c>
      <c r="AP280" s="49">
        <f ca="1">(KLL_II_2020!CA_gross_rev_oil_difference1*KLL_II_2020!CA_SPO_trig)*(KLL_II_2020!CA_PSC_switch_trig=0)+
(KLL_II_2020!CA_gross_rev_oil_difference2*KLL_II_2020!CA_SPO_trig)*(KLL_II_2020!CA_PSC_switch_trig=1)</f>
        <v>0</v>
      </c>
      <c r="AQ280" s="49">
        <f ca="1">(KLL_II_2020!CA_gross_rev_oil_difference1*KLL_II_2020!CA_SPO_trig)*(KLL_II_2020!CA_PSC_switch_trig=0)+
(KLL_II_2020!CA_gross_rev_oil_difference2*KLL_II_2020!CA_SPO_trig)*(KLL_II_2020!CA_PSC_switch_trig=1)</f>
        <v>0</v>
      </c>
      <c r="AR280" s="49">
        <f ca="1">(KLL_II_2020!CA_gross_rev_oil_difference1*KLL_II_2020!CA_SPO_trig)*(KLL_II_2020!CA_PSC_switch_trig=0)+
(KLL_II_2020!CA_gross_rev_oil_difference2*KLL_II_2020!CA_SPO_trig)*(KLL_II_2020!CA_PSC_switch_trig=1)</f>
        <v>0</v>
      </c>
      <c r="AS280" s="49">
        <f ca="1">(KLL_II_2020!CA_gross_rev_oil_difference1*KLL_II_2020!CA_SPO_trig)*(KLL_II_2020!CA_PSC_switch_trig=0)+
(KLL_II_2020!CA_gross_rev_oil_difference2*KLL_II_2020!CA_SPO_trig)*(KLL_II_2020!CA_PSC_switch_trig=1)</f>
        <v>0</v>
      </c>
      <c r="AT280" s="49">
        <f ca="1">(KLL_II_2020!CA_gross_rev_oil_difference1*KLL_II_2020!CA_SPO_trig)*(KLL_II_2020!CA_PSC_switch_trig=0)+
(KLL_II_2020!CA_gross_rev_oil_difference2*KLL_II_2020!CA_SPO_trig)*(KLL_II_2020!CA_PSC_switch_trig=1)</f>
        <v>0</v>
      </c>
      <c r="AU280" s="49">
        <f ca="1">(KLL_II_2020!CA_gross_rev_oil_difference1*KLL_II_2020!CA_SPO_trig)*(KLL_II_2020!CA_PSC_switch_trig=0)+
(KLL_II_2020!CA_gross_rev_oil_difference2*KLL_II_2020!CA_SPO_trig)*(KLL_II_2020!CA_PSC_switch_trig=1)</f>
        <v>0</v>
      </c>
      <c r="AV280" s="49">
        <f ca="1">(KLL_II_2020!CA_gross_rev_oil_difference1*KLL_II_2020!CA_SPO_trig)*(KLL_II_2020!CA_PSC_switch_trig=0)+
(KLL_II_2020!CA_gross_rev_oil_difference2*KLL_II_2020!CA_SPO_trig)*(KLL_II_2020!CA_PSC_switch_trig=1)</f>
        <v>0</v>
      </c>
      <c r="AW280" s="49">
        <f ca="1">(KLL_II_2020!CA_gross_rev_oil_difference1*KLL_II_2020!CA_SPO_trig)*(KLL_II_2020!CA_PSC_switch_trig=0)+
(KLL_II_2020!CA_gross_rev_oil_difference2*KLL_II_2020!CA_SPO_trig)*(KLL_II_2020!CA_PSC_switch_trig=1)</f>
        <v>0</v>
      </c>
      <c r="AX280" s="49">
        <f ca="1">(KLL_II_2020!CA_gross_rev_oil_difference1*KLL_II_2020!CA_SPO_trig)*(KLL_II_2020!CA_PSC_switch_trig=0)+
(KLL_II_2020!CA_gross_rev_oil_difference2*KLL_II_2020!CA_SPO_trig)*(KLL_II_2020!CA_PSC_switch_trig=1)</f>
        <v>0</v>
      </c>
      <c r="AY280" s="49">
        <f ca="1">(KLL_II_2020!CA_gross_rev_oil_difference1*KLL_II_2020!CA_SPO_trig)*(KLL_II_2020!CA_PSC_switch_trig=0)+
(KLL_II_2020!CA_gross_rev_oil_difference2*KLL_II_2020!CA_SPO_trig)*(KLL_II_2020!CA_PSC_switch_trig=1)</f>
        <v>0</v>
      </c>
      <c r="AZ280" s="49">
        <f ca="1">(KLL_II_2020!CA_gross_rev_oil_difference1*KLL_II_2020!CA_SPO_trig)*(KLL_II_2020!CA_PSC_switch_trig=0)+
(KLL_II_2020!CA_gross_rev_oil_difference2*KLL_II_2020!CA_SPO_trig)*(KLL_II_2020!CA_PSC_switch_trig=1)</f>
        <v>0</v>
      </c>
      <c r="BA280" s="49">
        <f ca="1">(KLL_II_2020!CA_gross_rev_oil_difference1*KLL_II_2020!CA_SPO_trig)*(KLL_II_2020!CA_PSC_switch_trig=0)+
(KLL_II_2020!CA_gross_rev_oil_difference2*KLL_II_2020!CA_SPO_trig)*(KLL_II_2020!CA_PSC_switch_trig=1)</f>
        <v>0</v>
      </c>
      <c r="BB280" s="49">
        <f ca="1">(KLL_II_2020!CA_gross_rev_oil_difference1*KLL_II_2020!CA_SPO_trig)*(KLL_II_2020!CA_PSC_switch_trig=0)+
(KLL_II_2020!CA_gross_rev_oil_difference2*KLL_II_2020!CA_SPO_trig)*(KLL_II_2020!CA_PSC_switch_trig=1)</f>
        <v>0</v>
      </c>
      <c r="BC280" s="49">
        <f ca="1">(KLL_II_2020!CA_gross_rev_oil_difference1*KLL_II_2020!CA_SPO_trig)*(KLL_II_2020!CA_PSC_switch_trig=0)+
(KLL_II_2020!CA_gross_rev_oil_difference2*KLL_II_2020!CA_SPO_trig)*(KLL_II_2020!CA_PSC_switch_trig=1)</f>
        <v>0</v>
      </c>
      <c r="BD280" s="49">
        <f ca="1">(KLL_II_2020!CA_gross_rev_oil_difference1*KLL_II_2020!CA_SPO_trig)*(KLL_II_2020!CA_PSC_switch_trig=0)+
(KLL_II_2020!CA_gross_rev_oil_difference2*KLL_II_2020!CA_SPO_trig)*(KLL_II_2020!CA_PSC_switch_trig=1)</f>
        <v>0</v>
      </c>
      <c r="BE280" s="49">
        <f ca="1">(KLL_II_2020!CA_gross_rev_oil_difference1*KLL_II_2020!CA_SPO_trig)*(KLL_II_2020!CA_PSC_switch_trig=0)+
(KLL_II_2020!CA_gross_rev_oil_difference2*KLL_II_2020!CA_SPO_trig)*(KLL_II_2020!CA_PSC_switch_trig=1)</f>
        <v>0</v>
      </c>
      <c r="BF280" s="49">
        <f ca="1">(KLL_II_2020!CA_gross_rev_oil_difference1*KLL_II_2020!CA_SPO_trig)*(KLL_II_2020!CA_PSC_switch_trig=0)+
(KLL_II_2020!CA_gross_rev_oil_difference2*KLL_II_2020!CA_SPO_trig)*(KLL_II_2020!CA_PSC_switch_trig=1)</f>
        <v>0</v>
      </c>
      <c r="BG280" s="49">
        <f ca="1">(KLL_II_2020!CA_gross_rev_oil_difference1*KLL_II_2020!CA_SPO_trig)*(KLL_II_2020!CA_PSC_switch_trig=0)+
(KLL_II_2020!CA_gross_rev_oil_difference2*KLL_II_2020!CA_SPO_trig)*(KLL_II_2020!CA_PSC_switch_trig=1)</f>
        <v>0</v>
      </c>
      <c r="BH280" s="49">
        <f ca="1">(KLL_II_2020!CA_gross_rev_oil_difference1*KLL_II_2020!CA_SPO_trig)*(KLL_II_2020!CA_PSC_switch_trig=0)+
(KLL_II_2020!CA_gross_rev_oil_difference2*KLL_II_2020!CA_SPO_trig)*(KLL_II_2020!CA_PSC_switch_trig=1)</f>
        <v>0</v>
      </c>
      <c r="BI280" s="49">
        <f ca="1">(KLL_II_2020!CA_gross_rev_oil_difference1*KLL_II_2020!CA_SPO_trig)*(KLL_II_2020!CA_PSC_switch_trig=0)+
(KLL_II_2020!CA_gross_rev_oil_difference2*KLL_II_2020!CA_SPO_trig)*(KLL_II_2020!CA_PSC_switch_trig=1)</f>
        <v>0</v>
      </c>
      <c r="BJ280" s="49">
        <f ca="1">(KLL_II_2020!CA_gross_rev_oil_difference1*KLL_II_2020!CA_SPO_trig)*(KLL_II_2020!CA_PSC_switch_trig=0)+
(KLL_II_2020!CA_gross_rev_oil_difference2*KLL_II_2020!CA_SPO_trig)*(KLL_II_2020!CA_PSC_switch_trig=1)</f>
        <v>0</v>
      </c>
      <c r="BK280" s="49">
        <f ca="1">(KLL_II_2020!CA_gross_rev_oil_difference1*KLL_II_2020!CA_SPO_trig)*(KLL_II_2020!CA_PSC_switch_trig=0)+
(KLL_II_2020!CA_gross_rev_oil_difference2*KLL_II_2020!CA_SPO_trig)*(KLL_II_2020!CA_PSC_switch_trig=1)</f>
        <v>0</v>
      </c>
      <c r="BL280" s="49">
        <f ca="1">(KLL_II_2020!CA_gross_rev_oil_difference1*KLL_II_2020!CA_SPO_trig)*(KLL_II_2020!CA_PSC_switch_trig=0)+
(KLL_II_2020!CA_gross_rev_oil_difference2*KLL_II_2020!CA_SPO_trig)*(KLL_II_2020!CA_PSC_switch_trig=1)</f>
        <v>0</v>
      </c>
      <c r="BM280" s="49">
        <f ca="1">(KLL_II_2020!CA_gross_rev_oil_difference1*KLL_II_2020!CA_SPO_trig)*(KLL_II_2020!CA_PSC_switch_trig=0)+
(KLL_II_2020!CA_gross_rev_oil_difference2*KLL_II_2020!CA_SPO_trig)*(KLL_II_2020!CA_PSC_switch_trig=1)</f>
        <v>0</v>
      </c>
      <c r="BN280" s="49">
        <f ca="1">(KLL_II_2020!CA_gross_rev_oil_difference1*KLL_II_2020!CA_SPO_trig)*(KLL_II_2020!CA_PSC_switch_trig=0)+
(KLL_II_2020!CA_gross_rev_oil_difference2*KLL_II_2020!CA_SPO_trig)*(KLL_II_2020!CA_PSC_switch_trig=1)</f>
        <v>0</v>
      </c>
      <c r="BO280" s="49">
        <f ca="1">(KLL_II_2020!CA_gross_rev_oil_difference1*KLL_II_2020!CA_SPO_trig)*(KLL_II_2020!CA_PSC_switch_trig=0)+
(KLL_II_2020!CA_gross_rev_oil_difference2*KLL_II_2020!CA_SPO_trig)*(KLL_II_2020!CA_PSC_switch_trig=1)</f>
        <v>0</v>
      </c>
      <c r="BP280" s="49">
        <f ca="1">(KLL_II_2020!CA_gross_rev_oil_difference1*KLL_II_2020!CA_SPO_trig)*(KLL_II_2020!CA_PSC_switch_trig=0)+
(KLL_II_2020!CA_gross_rev_oil_difference2*KLL_II_2020!CA_SPO_trig)*(KLL_II_2020!CA_PSC_switch_trig=1)</f>
        <v>0</v>
      </c>
      <c r="BQ280" s="49">
        <f ca="1">(KLL_II_2020!CA_gross_rev_oil_difference1*KLL_II_2020!CA_SPO_trig)*(KLL_II_2020!CA_PSC_switch_trig=0)+
(KLL_II_2020!CA_gross_rev_oil_difference2*KLL_II_2020!CA_SPO_trig)*(KLL_II_2020!CA_PSC_switch_trig=1)</f>
        <v>0</v>
      </c>
      <c r="BR280" s="49">
        <f ca="1">(KLL_II_2020!CA_gross_rev_oil_difference1*KLL_II_2020!CA_SPO_trig)*(KLL_II_2020!CA_PSC_switch_trig=0)+
(KLL_II_2020!CA_gross_rev_oil_difference2*KLL_II_2020!CA_SPO_trig)*(KLL_II_2020!CA_PSC_switch_trig=1)</f>
        <v>0</v>
      </c>
      <c r="BS280" s="49">
        <f ca="1">(KLL_II_2020!CA_gross_rev_oil_difference1*KLL_II_2020!CA_SPO_trig)*(KLL_II_2020!CA_PSC_switch_trig=0)+
(KLL_II_2020!CA_gross_rev_oil_difference2*KLL_II_2020!CA_SPO_trig)*(KLL_II_2020!CA_PSC_switch_trig=1)</f>
        <v>0</v>
      </c>
    </row>
    <row r="281" spans="3:71" outlineLevel="1" x14ac:dyDescent="0.2">
      <c r="J281" s="26"/>
      <c r="L281" s="55"/>
      <c r="M281" s="55"/>
      <c r="N281" s="55"/>
      <c r="O281" s="55"/>
      <c r="P281" s="55"/>
      <c r="Q281" s="55"/>
      <c r="R281" s="55"/>
      <c r="S281" s="55"/>
      <c r="T281" s="55"/>
      <c r="U281" s="55"/>
      <c r="V281" s="55"/>
      <c r="W281" s="55"/>
      <c r="X281" s="55"/>
      <c r="Y281" s="55"/>
      <c r="Z281" s="55"/>
      <c r="AA281" s="55"/>
      <c r="AB281" s="55"/>
      <c r="AC281" s="55"/>
      <c r="AD281" s="55"/>
      <c r="AE281" s="55"/>
      <c r="AF281" s="55"/>
      <c r="AG281" s="55"/>
      <c r="AH281" s="55"/>
      <c r="AI281" s="55"/>
      <c r="AJ281" s="55"/>
      <c r="AK281" s="55"/>
      <c r="AL281" s="55"/>
      <c r="AM281" s="55"/>
      <c r="AN281" s="55"/>
      <c r="AO281" s="55"/>
      <c r="AP281" s="55"/>
      <c r="AQ281" s="55"/>
      <c r="AR281" s="55"/>
      <c r="AS281" s="55"/>
      <c r="AT281" s="55"/>
      <c r="AU281" s="55"/>
      <c r="AV281" s="55"/>
      <c r="AW281" s="55"/>
      <c r="AX281" s="55"/>
      <c r="AY281" s="55"/>
      <c r="AZ281" s="55"/>
      <c r="BA281" s="55"/>
      <c r="BB281" s="55"/>
      <c r="BC281" s="55"/>
      <c r="BD281" s="55"/>
      <c r="BE281" s="55"/>
      <c r="BF281" s="55"/>
      <c r="BG281" s="55"/>
      <c r="BH281" s="55"/>
      <c r="BI281" s="55"/>
      <c r="BJ281" s="55"/>
      <c r="BK281" s="55"/>
      <c r="BL281" s="55"/>
      <c r="BM281" s="55"/>
      <c r="BN281" s="55"/>
      <c r="BO281" s="55"/>
      <c r="BP281" s="55"/>
      <c r="BQ281" s="55"/>
      <c r="BR281" s="55"/>
      <c r="BS281" s="55"/>
    </row>
    <row r="282" spans="3:71" outlineLevel="1" x14ac:dyDescent="0.2">
      <c r="D282" t="str">
        <f>HM_ZB_Nsoko!D295</f>
        <v>Redevance pétrolière - SPO</v>
      </c>
      <c r="I282" s="30">
        <f t="shared" ref="I282:I284" ca="1" si="74">SUM($L282:$BS282)</f>
        <v>234.72200953897783</v>
      </c>
      <c r="J282" s="26" t="s">
        <v>148</v>
      </c>
      <c r="L282" s="49">
        <f ca="1">((KLL_II_2020!CA_gross_rev_oil_difference1*KLL_II_2020!royalty_rate_oil)*KLL_II_2020!CA_SPO_trig)*(KLL_II_2020!CA_PSC_switch_trig=0)+
((KLL_II_2020!CA_gross_rev_oil_difference2*KLL_II_2020!royalty_rate_oil)*KLL_II_2020!CA_SPO_trig)*(KLL_II_2020!CA_PSC_switch_trig=1)</f>
        <v>48.757625942400011</v>
      </c>
      <c r="M282" s="49">
        <f ca="1">((KLL_II_2020!CA_gross_rev_oil_difference1*KLL_II_2020!royalty_rate_oil)*KLL_II_2020!CA_SPO_trig)*(KLL_II_2020!CA_PSC_switch_trig=0)+
((KLL_II_2020!CA_gross_rev_oil_difference2*KLL_II_2020!royalty_rate_oil)*KLL_II_2020!CA_SPO_trig)*(KLL_II_2020!CA_PSC_switch_trig=1)</f>
        <v>50.180516398049988</v>
      </c>
      <c r="N282" s="49">
        <f ca="1">((KLL_II_2020!CA_gross_rev_oil_difference1*KLL_II_2020!royalty_rate_oil)*KLL_II_2020!CA_SPO_trig)*(KLL_II_2020!CA_PSC_switch_trig=0)+
((KLL_II_2020!CA_gross_rev_oil_difference2*KLL_II_2020!royalty_rate_oil)*KLL_II_2020!CA_SPO_trig)*(KLL_II_2020!CA_PSC_switch_trig=1)</f>
        <v>9.769043534662492</v>
      </c>
      <c r="O282" s="49">
        <f ca="1">((KLL_II_2020!CA_gross_rev_oil_difference1*KLL_II_2020!royalty_rate_oil)*KLL_II_2020!CA_SPO_trig)*(KLL_II_2020!CA_PSC_switch_trig=0)+
((KLL_II_2020!CA_gross_rev_oil_difference2*KLL_II_2020!royalty_rate_oil)*KLL_II_2020!CA_SPO_trig)*(KLL_II_2020!CA_PSC_switch_trig=1)</f>
        <v>1.832661161062505</v>
      </c>
      <c r="P282" s="49">
        <f ca="1">((KLL_II_2020!CA_gross_rev_oil_difference1*KLL_II_2020!royalty_rate_oil)*KLL_II_2020!CA_SPO_trig)*(KLL_II_2020!CA_PSC_switch_trig=0)+
((KLL_II_2020!CA_gross_rev_oil_difference2*KLL_II_2020!royalty_rate_oil)*KLL_II_2020!CA_SPO_trig)*(KLL_II_2020!CA_PSC_switch_trig=1)</f>
        <v>12.264663433800012</v>
      </c>
      <c r="Q282" s="49">
        <f ca="1">((KLL_II_2020!CA_gross_rev_oil_difference1*KLL_II_2020!royalty_rate_oil)*KLL_II_2020!CA_SPO_trig)*(KLL_II_2020!CA_PSC_switch_trig=0)+
((KLL_II_2020!CA_gross_rev_oil_difference2*KLL_II_2020!royalty_rate_oil)*KLL_II_2020!CA_SPO_trig)*(KLL_II_2020!CA_PSC_switch_trig=1)</f>
        <v>25.753531594500004</v>
      </c>
      <c r="R282" s="49">
        <f ca="1">((KLL_II_2020!CA_gross_rev_oil_difference1*KLL_II_2020!royalty_rate_oil)*KLL_II_2020!CA_SPO_trig)*(KLL_II_2020!CA_PSC_switch_trig=0)+
((KLL_II_2020!CA_gross_rev_oil_difference2*KLL_II_2020!royalty_rate_oil)*KLL_II_2020!CA_SPO_trig)*(KLL_II_2020!CA_PSC_switch_trig=1)</f>
        <v>22.342463484262499</v>
      </c>
      <c r="S282" s="49">
        <f ca="1">((KLL_II_2020!CA_gross_rev_oil_difference1*KLL_II_2020!royalty_rate_oil)*KLL_II_2020!CA_SPO_trig)*(KLL_II_2020!CA_PSC_switch_trig=0)+
((KLL_II_2020!CA_gross_rev_oil_difference2*KLL_II_2020!royalty_rate_oil)*KLL_II_2020!CA_SPO_trig)*(KLL_II_2020!CA_PSC_switch_trig=1)</f>
        <v>0</v>
      </c>
      <c r="T282" s="49">
        <f ca="1">((KLL_II_2020!CA_gross_rev_oil_difference1*KLL_II_2020!royalty_rate_oil)*KLL_II_2020!CA_SPO_trig)*(KLL_II_2020!CA_PSC_switch_trig=0)+
((KLL_II_2020!CA_gross_rev_oil_difference2*KLL_II_2020!royalty_rate_oil)*KLL_II_2020!CA_SPO_trig)*(KLL_II_2020!CA_PSC_switch_trig=1)</f>
        <v>12.042659376719996</v>
      </c>
      <c r="U282" s="49">
        <f ca="1">((KLL_II_2020!CA_gross_rev_oil_difference1*KLL_II_2020!royalty_rate_oil)*KLL_II_2020!CA_SPO_trig)*(KLL_II_2020!CA_PSC_switch_trig=0)+
((KLL_II_2020!CA_gross_rev_oil_difference2*KLL_II_2020!royalty_rate_oil)*KLL_II_2020!CA_SPO_trig)*(KLL_II_2020!CA_PSC_switch_trig=1)</f>
        <v>13.986600874470007</v>
      </c>
      <c r="V282" s="49">
        <f ca="1">((KLL_II_2020!CA_gross_rev_oil_difference1*KLL_II_2020!royalty_rate_oil)*KLL_II_2020!CA_SPO_trig)*(KLL_II_2020!CA_PSC_switch_trig=0)+
((KLL_II_2020!CA_gross_rev_oil_difference2*KLL_II_2020!royalty_rate_oil)*KLL_II_2020!CA_SPO_trig)*(KLL_II_2020!CA_PSC_switch_trig=1)</f>
        <v>13.267689589522247</v>
      </c>
      <c r="W282" s="49">
        <f ca="1">((KLL_II_2020!CA_gross_rev_oil_difference1*KLL_II_2020!royalty_rate_oil)*KLL_II_2020!CA_SPO_trig)*(KLL_II_2020!CA_PSC_switch_trig=0)+
((KLL_II_2020!CA_gross_rev_oil_difference2*KLL_II_2020!royalty_rate_oil)*KLL_II_2020!CA_SPO_trig)*(KLL_II_2020!CA_PSC_switch_trig=1)</f>
        <v>12.585730344620796</v>
      </c>
      <c r="X282" s="49">
        <f ca="1">((KLL_II_2020!CA_gross_rev_oil_difference1*KLL_II_2020!royalty_rate_oil)*KLL_II_2020!CA_SPO_trig)*(KLL_II_2020!CA_PSC_switch_trig=0)+
((KLL_II_2020!CA_gross_rev_oil_difference2*KLL_II_2020!royalty_rate_oil)*KLL_II_2020!CA_SPO_trig)*(KLL_II_2020!CA_PSC_switch_trig=1)</f>
        <v>11.93882380490729</v>
      </c>
      <c r="Y282" s="49">
        <f ca="1">((KLL_II_2020!CA_gross_rev_oil_difference1*KLL_II_2020!royalty_rate_oil)*KLL_II_2020!CA_SPO_trig)*(KLL_II_2020!CA_PSC_switch_trig=0)+
((KLL_II_2020!CA_gross_rev_oil_difference2*KLL_II_2020!royalty_rate_oil)*KLL_II_2020!CA_SPO_trig)*(KLL_II_2020!CA_PSC_switch_trig=1)</f>
        <v>0</v>
      </c>
      <c r="Z282" s="49">
        <f ca="1">((KLL_II_2020!CA_gross_rev_oil_difference1*KLL_II_2020!royalty_rate_oil)*KLL_II_2020!CA_SPO_trig)*(KLL_II_2020!CA_PSC_switch_trig=0)+
((KLL_II_2020!CA_gross_rev_oil_difference2*KLL_II_2020!royalty_rate_oil)*KLL_II_2020!CA_SPO_trig)*(KLL_II_2020!CA_PSC_switch_trig=1)</f>
        <v>0</v>
      </c>
      <c r="AA282" s="49">
        <f ca="1">((KLL_II_2020!CA_gross_rev_oil_difference1*KLL_II_2020!royalty_rate_oil)*KLL_II_2020!CA_SPO_trig)*(KLL_II_2020!CA_PSC_switch_trig=0)+
((KLL_II_2020!CA_gross_rev_oil_difference2*KLL_II_2020!royalty_rate_oil)*KLL_II_2020!CA_SPO_trig)*(KLL_II_2020!CA_PSC_switch_trig=1)</f>
        <v>0</v>
      </c>
      <c r="AB282" s="49">
        <f ca="1">((KLL_II_2020!CA_gross_rev_oil_difference1*KLL_II_2020!royalty_rate_oil)*KLL_II_2020!CA_SPO_trig)*(KLL_II_2020!CA_PSC_switch_trig=0)+
((KLL_II_2020!CA_gross_rev_oil_difference2*KLL_II_2020!royalty_rate_oil)*KLL_II_2020!CA_SPO_trig)*(KLL_II_2020!CA_PSC_switch_trig=1)</f>
        <v>0</v>
      </c>
      <c r="AC282" s="49">
        <f ca="1">((KLL_II_2020!CA_gross_rev_oil_difference1*KLL_II_2020!royalty_rate_oil)*KLL_II_2020!CA_SPO_trig)*(KLL_II_2020!CA_PSC_switch_trig=0)+
((KLL_II_2020!CA_gross_rev_oil_difference2*KLL_II_2020!royalty_rate_oil)*KLL_II_2020!CA_SPO_trig)*(KLL_II_2020!CA_PSC_switch_trig=1)</f>
        <v>0</v>
      </c>
      <c r="AD282" s="49">
        <f ca="1">((KLL_II_2020!CA_gross_rev_oil_difference1*KLL_II_2020!royalty_rate_oil)*KLL_II_2020!CA_SPO_trig)*(KLL_II_2020!CA_PSC_switch_trig=0)+
((KLL_II_2020!CA_gross_rev_oil_difference2*KLL_II_2020!royalty_rate_oil)*KLL_II_2020!CA_SPO_trig)*(KLL_II_2020!CA_PSC_switch_trig=1)</f>
        <v>0</v>
      </c>
      <c r="AE282" s="49">
        <f ca="1">((KLL_II_2020!CA_gross_rev_oil_difference1*KLL_II_2020!royalty_rate_oil)*KLL_II_2020!CA_SPO_trig)*(KLL_II_2020!CA_PSC_switch_trig=0)+
((KLL_II_2020!CA_gross_rev_oil_difference2*KLL_II_2020!royalty_rate_oil)*KLL_II_2020!CA_SPO_trig)*(KLL_II_2020!CA_PSC_switch_trig=1)</f>
        <v>0</v>
      </c>
      <c r="AF282" s="49">
        <f ca="1">((KLL_II_2020!CA_gross_rev_oil_difference1*KLL_II_2020!royalty_rate_oil)*KLL_II_2020!CA_SPO_trig)*(KLL_II_2020!CA_PSC_switch_trig=0)+
((KLL_II_2020!CA_gross_rev_oil_difference2*KLL_II_2020!royalty_rate_oil)*KLL_II_2020!CA_SPO_trig)*(KLL_II_2020!CA_PSC_switch_trig=1)</f>
        <v>0</v>
      </c>
      <c r="AG282" s="49">
        <f ca="1">((KLL_II_2020!CA_gross_rev_oil_difference1*KLL_II_2020!royalty_rate_oil)*KLL_II_2020!CA_SPO_trig)*(KLL_II_2020!CA_PSC_switch_trig=0)+
((KLL_II_2020!CA_gross_rev_oil_difference2*KLL_II_2020!royalty_rate_oil)*KLL_II_2020!CA_SPO_trig)*(KLL_II_2020!CA_PSC_switch_trig=1)</f>
        <v>0</v>
      </c>
      <c r="AH282" s="49">
        <f ca="1">((KLL_II_2020!CA_gross_rev_oil_difference1*KLL_II_2020!royalty_rate_oil)*KLL_II_2020!CA_SPO_trig)*(KLL_II_2020!CA_PSC_switch_trig=0)+
((KLL_II_2020!CA_gross_rev_oil_difference2*KLL_II_2020!royalty_rate_oil)*KLL_II_2020!CA_SPO_trig)*(KLL_II_2020!CA_PSC_switch_trig=1)</f>
        <v>0</v>
      </c>
      <c r="AI282" s="49">
        <f ca="1">((KLL_II_2020!CA_gross_rev_oil_difference1*KLL_II_2020!royalty_rate_oil)*KLL_II_2020!CA_SPO_trig)*(KLL_II_2020!CA_PSC_switch_trig=0)+
((KLL_II_2020!CA_gross_rev_oil_difference2*KLL_II_2020!royalty_rate_oil)*KLL_II_2020!CA_SPO_trig)*(KLL_II_2020!CA_PSC_switch_trig=1)</f>
        <v>0</v>
      </c>
      <c r="AJ282" s="49">
        <f ca="1">((KLL_II_2020!CA_gross_rev_oil_difference1*KLL_II_2020!royalty_rate_oil)*KLL_II_2020!CA_SPO_trig)*(KLL_II_2020!CA_PSC_switch_trig=0)+
((KLL_II_2020!CA_gross_rev_oil_difference2*KLL_II_2020!royalty_rate_oil)*KLL_II_2020!CA_SPO_trig)*(KLL_II_2020!CA_PSC_switch_trig=1)</f>
        <v>0</v>
      </c>
      <c r="AK282" s="49">
        <f ca="1">((KLL_II_2020!CA_gross_rev_oil_difference1*KLL_II_2020!royalty_rate_oil)*KLL_II_2020!CA_SPO_trig)*(KLL_II_2020!CA_PSC_switch_trig=0)+
((KLL_II_2020!CA_gross_rev_oil_difference2*KLL_II_2020!royalty_rate_oil)*KLL_II_2020!CA_SPO_trig)*(KLL_II_2020!CA_PSC_switch_trig=1)</f>
        <v>0</v>
      </c>
      <c r="AL282" s="49">
        <f ca="1">((KLL_II_2020!CA_gross_rev_oil_difference1*KLL_II_2020!royalty_rate_oil)*KLL_II_2020!CA_SPO_trig)*(KLL_II_2020!CA_PSC_switch_trig=0)+
((KLL_II_2020!CA_gross_rev_oil_difference2*KLL_II_2020!royalty_rate_oil)*KLL_II_2020!CA_SPO_trig)*(KLL_II_2020!CA_PSC_switch_trig=1)</f>
        <v>0</v>
      </c>
      <c r="AM282" s="49">
        <f ca="1">((KLL_II_2020!CA_gross_rev_oil_difference1*KLL_II_2020!royalty_rate_oil)*KLL_II_2020!CA_SPO_trig)*(KLL_II_2020!CA_PSC_switch_trig=0)+
((KLL_II_2020!CA_gross_rev_oil_difference2*KLL_II_2020!royalty_rate_oil)*KLL_II_2020!CA_SPO_trig)*(KLL_II_2020!CA_PSC_switch_trig=1)</f>
        <v>0</v>
      </c>
      <c r="AN282" s="49">
        <f ca="1">((KLL_II_2020!CA_gross_rev_oil_difference1*KLL_II_2020!royalty_rate_oil)*KLL_II_2020!CA_SPO_trig)*(KLL_II_2020!CA_PSC_switch_trig=0)+
((KLL_II_2020!CA_gross_rev_oil_difference2*KLL_II_2020!royalty_rate_oil)*KLL_II_2020!CA_SPO_trig)*(KLL_II_2020!CA_PSC_switch_trig=1)</f>
        <v>0</v>
      </c>
      <c r="AO282" s="49">
        <f ca="1">((KLL_II_2020!CA_gross_rev_oil_difference1*KLL_II_2020!royalty_rate_oil)*KLL_II_2020!CA_SPO_trig)*(KLL_II_2020!CA_PSC_switch_trig=0)+
((KLL_II_2020!CA_gross_rev_oil_difference2*KLL_II_2020!royalty_rate_oil)*KLL_II_2020!CA_SPO_trig)*(KLL_II_2020!CA_PSC_switch_trig=1)</f>
        <v>0</v>
      </c>
      <c r="AP282" s="49">
        <f ca="1">((KLL_II_2020!CA_gross_rev_oil_difference1*KLL_II_2020!royalty_rate_oil)*KLL_II_2020!CA_SPO_trig)*(KLL_II_2020!CA_PSC_switch_trig=0)+
((KLL_II_2020!CA_gross_rev_oil_difference2*KLL_II_2020!royalty_rate_oil)*KLL_II_2020!CA_SPO_trig)*(KLL_II_2020!CA_PSC_switch_trig=1)</f>
        <v>0</v>
      </c>
      <c r="AQ282" s="49">
        <f ca="1">((KLL_II_2020!CA_gross_rev_oil_difference1*KLL_II_2020!royalty_rate_oil)*KLL_II_2020!CA_SPO_trig)*(KLL_II_2020!CA_PSC_switch_trig=0)+
((KLL_II_2020!CA_gross_rev_oil_difference2*KLL_II_2020!royalty_rate_oil)*KLL_II_2020!CA_SPO_trig)*(KLL_II_2020!CA_PSC_switch_trig=1)</f>
        <v>0</v>
      </c>
      <c r="AR282" s="49">
        <f ca="1">((KLL_II_2020!CA_gross_rev_oil_difference1*KLL_II_2020!royalty_rate_oil)*KLL_II_2020!CA_SPO_trig)*(KLL_II_2020!CA_PSC_switch_trig=0)+
((KLL_II_2020!CA_gross_rev_oil_difference2*KLL_II_2020!royalty_rate_oil)*KLL_II_2020!CA_SPO_trig)*(KLL_II_2020!CA_PSC_switch_trig=1)</f>
        <v>0</v>
      </c>
      <c r="AS282" s="49">
        <f ca="1">((KLL_II_2020!CA_gross_rev_oil_difference1*KLL_II_2020!royalty_rate_oil)*KLL_II_2020!CA_SPO_trig)*(KLL_II_2020!CA_PSC_switch_trig=0)+
((KLL_II_2020!CA_gross_rev_oil_difference2*KLL_II_2020!royalty_rate_oil)*KLL_II_2020!CA_SPO_trig)*(KLL_II_2020!CA_PSC_switch_trig=1)</f>
        <v>0</v>
      </c>
      <c r="AT282" s="49">
        <f ca="1">((KLL_II_2020!CA_gross_rev_oil_difference1*KLL_II_2020!royalty_rate_oil)*KLL_II_2020!CA_SPO_trig)*(KLL_II_2020!CA_PSC_switch_trig=0)+
((KLL_II_2020!CA_gross_rev_oil_difference2*KLL_II_2020!royalty_rate_oil)*KLL_II_2020!CA_SPO_trig)*(KLL_II_2020!CA_PSC_switch_trig=1)</f>
        <v>0</v>
      </c>
      <c r="AU282" s="49">
        <f ca="1">((KLL_II_2020!CA_gross_rev_oil_difference1*KLL_II_2020!royalty_rate_oil)*KLL_II_2020!CA_SPO_trig)*(KLL_II_2020!CA_PSC_switch_trig=0)+
((KLL_II_2020!CA_gross_rev_oil_difference2*KLL_II_2020!royalty_rate_oil)*KLL_II_2020!CA_SPO_trig)*(KLL_II_2020!CA_PSC_switch_trig=1)</f>
        <v>0</v>
      </c>
      <c r="AV282" s="49">
        <f ca="1">((KLL_II_2020!CA_gross_rev_oil_difference1*KLL_II_2020!royalty_rate_oil)*KLL_II_2020!CA_SPO_trig)*(KLL_II_2020!CA_PSC_switch_trig=0)+
((KLL_II_2020!CA_gross_rev_oil_difference2*KLL_II_2020!royalty_rate_oil)*KLL_II_2020!CA_SPO_trig)*(KLL_II_2020!CA_PSC_switch_trig=1)</f>
        <v>0</v>
      </c>
      <c r="AW282" s="49">
        <f ca="1">((KLL_II_2020!CA_gross_rev_oil_difference1*KLL_II_2020!royalty_rate_oil)*KLL_II_2020!CA_SPO_trig)*(KLL_II_2020!CA_PSC_switch_trig=0)+
((KLL_II_2020!CA_gross_rev_oil_difference2*KLL_II_2020!royalty_rate_oil)*KLL_II_2020!CA_SPO_trig)*(KLL_II_2020!CA_PSC_switch_trig=1)</f>
        <v>0</v>
      </c>
      <c r="AX282" s="49">
        <f ca="1">((KLL_II_2020!CA_gross_rev_oil_difference1*KLL_II_2020!royalty_rate_oil)*KLL_II_2020!CA_SPO_trig)*(KLL_II_2020!CA_PSC_switch_trig=0)+
((KLL_II_2020!CA_gross_rev_oil_difference2*KLL_II_2020!royalty_rate_oil)*KLL_II_2020!CA_SPO_trig)*(KLL_II_2020!CA_PSC_switch_trig=1)</f>
        <v>0</v>
      </c>
      <c r="AY282" s="49">
        <f ca="1">((KLL_II_2020!CA_gross_rev_oil_difference1*KLL_II_2020!royalty_rate_oil)*KLL_II_2020!CA_SPO_trig)*(KLL_II_2020!CA_PSC_switch_trig=0)+
((KLL_II_2020!CA_gross_rev_oil_difference2*KLL_II_2020!royalty_rate_oil)*KLL_II_2020!CA_SPO_trig)*(KLL_II_2020!CA_PSC_switch_trig=1)</f>
        <v>0</v>
      </c>
      <c r="AZ282" s="49">
        <f ca="1">((KLL_II_2020!CA_gross_rev_oil_difference1*KLL_II_2020!royalty_rate_oil)*KLL_II_2020!CA_SPO_trig)*(KLL_II_2020!CA_PSC_switch_trig=0)+
((KLL_II_2020!CA_gross_rev_oil_difference2*KLL_II_2020!royalty_rate_oil)*KLL_II_2020!CA_SPO_trig)*(KLL_II_2020!CA_PSC_switch_trig=1)</f>
        <v>0</v>
      </c>
      <c r="BA282" s="49">
        <f ca="1">((KLL_II_2020!CA_gross_rev_oil_difference1*KLL_II_2020!royalty_rate_oil)*KLL_II_2020!CA_SPO_trig)*(KLL_II_2020!CA_PSC_switch_trig=0)+
((KLL_II_2020!CA_gross_rev_oil_difference2*KLL_II_2020!royalty_rate_oil)*KLL_II_2020!CA_SPO_trig)*(KLL_II_2020!CA_PSC_switch_trig=1)</f>
        <v>0</v>
      </c>
      <c r="BB282" s="49">
        <f ca="1">((KLL_II_2020!CA_gross_rev_oil_difference1*KLL_II_2020!royalty_rate_oil)*KLL_II_2020!CA_SPO_trig)*(KLL_II_2020!CA_PSC_switch_trig=0)+
((KLL_II_2020!CA_gross_rev_oil_difference2*KLL_II_2020!royalty_rate_oil)*KLL_II_2020!CA_SPO_trig)*(KLL_II_2020!CA_PSC_switch_trig=1)</f>
        <v>0</v>
      </c>
      <c r="BC282" s="49">
        <f ca="1">((KLL_II_2020!CA_gross_rev_oil_difference1*KLL_II_2020!royalty_rate_oil)*KLL_II_2020!CA_SPO_trig)*(KLL_II_2020!CA_PSC_switch_trig=0)+
((KLL_II_2020!CA_gross_rev_oil_difference2*KLL_II_2020!royalty_rate_oil)*KLL_II_2020!CA_SPO_trig)*(KLL_II_2020!CA_PSC_switch_trig=1)</f>
        <v>0</v>
      </c>
      <c r="BD282" s="49">
        <f ca="1">((KLL_II_2020!CA_gross_rev_oil_difference1*KLL_II_2020!royalty_rate_oil)*KLL_II_2020!CA_SPO_trig)*(KLL_II_2020!CA_PSC_switch_trig=0)+
((KLL_II_2020!CA_gross_rev_oil_difference2*KLL_II_2020!royalty_rate_oil)*KLL_II_2020!CA_SPO_trig)*(KLL_II_2020!CA_PSC_switch_trig=1)</f>
        <v>0</v>
      </c>
      <c r="BE282" s="49">
        <f ca="1">((KLL_II_2020!CA_gross_rev_oil_difference1*KLL_II_2020!royalty_rate_oil)*KLL_II_2020!CA_SPO_trig)*(KLL_II_2020!CA_PSC_switch_trig=0)+
((KLL_II_2020!CA_gross_rev_oil_difference2*KLL_II_2020!royalty_rate_oil)*KLL_II_2020!CA_SPO_trig)*(KLL_II_2020!CA_PSC_switch_trig=1)</f>
        <v>0</v>
      </c>
      <c r="BF282" s="49">
        <f ca="1">((KLL_II_2020!CA_gross_rev_oil_difference1*KLL_II_2020!royalty_rate_oil)*KLL_II_2020!CA_SPO_trig)*(KLL_II_2020!CA_PSC_switch_trig=0)+
((KLL_II_2020!CA_gross_rev_oil_difference2*KLL_II_2020!royalty_rate_oil)*KLL_II_2020!CA_SPO_trig)*(KLL_II_2020!CA_PSC_switch_trig=1)</f>
        <v>0</v>
      </c>
      <c r="BG282" s="49">
        <f ca="1">((KLL_II_2020!CA_gross_rev_oil_difference1*KLL_II_2020!royalty_rate_oil)*KLL_II_2020!CA_SPO_trig)*(KLL_II_2020!CA_PSC_switch_trig=0)+
((KLL_II_2020!CA_gross_rev_oil_difference2*KLL_II_2020!royalty_rate_oil)*KLL_II_2020!CA_SPO_trig)*(KLL_II_2020!CA_PSC_switch_trig=1)</f>
        <v>0</v>
      </c>
      <c r="BH282" s="49">
        <f ca="1">((KLL_II_2020!CA_gross_rev_oil_difference1*KLL_II_2020!royalty_rate_oil)*KLL_II_2020!CA_SPO_trig)*(KLL_II_2020!CA_PSC_switch_trig=0)+
((KLL_II_2020!CA_gross_rev_oil_difference2*KLL_II_2020!royalty_rate_oil)*KLL_II_2020!CA_SPO_trig)*(KLL_II_2020!CA_PSC_switch_trig=1)</f>
        <v>0</v>
      </c>
      <c r="BI282" s="49">
        <f ca="1">((KLL_II_2020!CA_gross_rev_oil_difference1*KLL_II_2020!royalty_rate_oil)*KLL_II_2020!CA_SPO_trig)*(KLL_II_2020!CA_PSC_switch_trig=0)+
((KLL_II_2020!CA_gross_rev_oil_difference2*KLL_II_2020!royalty_rate_oil)*KLL_II_2020!CA_SPO_trig)*(KLL_II_2020!CA_PSC_switch_trig=1)</f>
        <v>0</v>
      </c>
      <c r="BJ282" s="49">
        <f ca="1">((KLL_II_2020!CA_gross_rev_oil_difference1*KLL_II_2020!royalty_rate_oil)*KLL_II_2020!CA_SPO_trig)*(KLL_II_2020!CA_PSC_switch_trig=0)+
((KLL_II_2020!CA_gross_rev_oil_difference2*KLL_II_2020!royalty_rate_oil)*KLL_II_2020!CA_SPO_trig)*(KLL_II_2020!CA_PSC_switch_trig=1)</f>
        <v>0</v>
      </c>
      <c r="BK282" s="49">
        <f ca="1">((KLL_II_2020!CA_gross_rev_oil_difference1*KLL_II_2020!royalty_rate_oil)*KLL_II_2020!CA_SPO_trig)*(KLL_II_2020!CA_PSC_switch_trig=0)+
((KLL_II_2020!CA_gross_rev_oil_difference2*KLL_II_2020!royalty_rate_oil)*KLL_II_2020!CA_SPO_trig)*(KLL_II_2020!CA_PSC_switch_trig=1)</f>
        <v>0</v>
      </c>
      <c r="BL282" s="49">
        <f ca="1">((KLL_II_2020!CA_gross_rev_oil_difference1*KLL_II_2020!royalty_rate_oil)*KLL_II_2020!CA_SPO_trig)*(KLL_II_2020!CA_PSC_switch_trig=0)+
((KLL_II_2020!CA_gross_rev_oil_difference2*KLL_II_2020!royalty_rate_oil)*KLL_II_2020!CA_SPO_trig)*(KLL_II_2020!CA_PSC_switch_trig=1)</f>
        <v>0</v>
      </c>
      <c r="BM282" s="49">
        <f ca="1">((KLL_II_2020!CA_gross_rev_oil_difference1*KLL_II_2020!royalty_rate_oil)*KLL_II_2020!CA_SPO_trig)*(KLL_II_2020!CA_PSC_switch_trig=0)+
((KLL_II_2020!CA_gross_rev_oil_difference2*KLL_II_2020!royalty_rate_oil)*KLL_II_2020!CA_SPO_trig)*(KLL_II_2020!CA_PSC_switch_trig=1)</f>
        <v>0</v>
      </c>
      <c r="BN282" s="49">
        <f ca="1">((KLL_II_2020!CA_gross_rev_oil_difference1*KLL_II_2020!royalty_rate_oil)*KLL_II_2020!CA_SPO_trig)*(KLL_II_2020!CA_PSC_switch_trig=0)+
((KLL_II_2020!CA_gross_rev_oil_difference2*KLL_II_2020!royalty_rate_oil)*KLL_II_2020!CA_SPO_trig)*(KLL_II_2020!CA_PSC_switch_trig=1)</f>
        <v>0</v>
      </c>
      <c r="BO282" s="49">
        <f ca="1">((KLL_II_2020!CA_gross_rev_oil_difference1*KLL_II_2020!royalty_rate_oil)*KLL_II_2020!CA_SPO_trig)*(KLL_II_2020!CA_PSC_switch_trig=0)+
((KLL_II_2020!CA_gross_rev_oil_difference2*KLL_II_2020!royalty_rate_oil)*KLL_II_2020!CA_SPO_trig)*(KLL_II_2020!CA_PSC_switch_trig=1)</f>
        <v>0</v>
      </c>
      <c r="BP282" s="49">
        <f ca="1">((KLL_II_2020!CA_gross_rev_oil_difference1*KLL_II_2020!royalty_rate_oil)*KLL_II_2020!CA_SPO_trig)*(KLL_II_2020!CA_PSC_switch_trig=0)+
((KLL_II_2020!CA_gross_rev_oil_difference2*KLL_II_2020!royalty_rate_oil)*KLL_II_2020!CA_SPO_trig)*(KLL_II_2020!CA_PSC_switch_trig=1)</f>
        <v>0</v>
      </c>
      <c r="BQ282" s="49">
        <f ca="1">((KLL_II_2020!CA_gross_rev_oil_difference1*KLL_II_2020!royalty_rate_oil)*KLL_II_2020!CA_SPO_trig)*(KLL_II_2020!CA_PSC_switch_trig=0)+
((KLL_II_2020!CA_gross_rev_oil_difference2*KLL_II_2020!royalty_rate_oil)*KLL_II_2020!CA_SPO_trig)*(KLL_II_2020!CA_PSC_switch_trig=1)</f>
        <v>0</v>
      </c>
      <c r="BR282" s="49">
        <f ca="1">((KLL_II_2020!CA_gross_rev_oil_difference1*KLL_II_2020!royalty_rate_oil)*KLL_II_2020!CA_SPO_trig)*(KLL_II_2020!CA_PSC_switch_trig=0)+
((KLL_II_2020!CA_gross_rev_oil_difference2*KLL_II_2020!royalty_rate_oil)*KLL_II_2020!CA_SPO_trig)*(KLL_II_2020!CA_PSC_switch_trig=1)</f>
        <v>0</v>
      </c>
      <c r="BS282" s="49">
        <f ca="1">((KLL_II_2020!CA_gross_rev_oil_difference1*KLL_II_2020!royalty_rate_oil)*KLL_II_2020!CA_SPO_trig)*(KLL_II_2020!CA_PSC_switch_trig=0)+
((KLL_II_2020!CA_gross_rev_oil_difference2*KLL_II_2020!royalty_rate_oil)*KLL_II_2020!CA_SPO_trig)*(KLL_II_2020!CA_PSC_switch_trig=1)</f>
        <v>0</v>
      </c>
    </row>
    <row r="283" spans="3:71" outlineLevel="1" x14ac:dyDescent="0.2">
      <c r="J283" s="26"/>
      <c r="L283" s="55"/>
      <c r="M283" s="55"/>
      <c r="N283" s="55"/>
      <c r="O283" s="55"/>
      <c r="P283" s="55"/>
      <c r="Q283" s="55"/>
      <c r="R283" s="55"/>
      <c r="S283" s="55"/>
      <c r="T283" s="55"/>
      <c r="U283" s="55"/>
      <c r="V283" s="55"/>
      <c r="W283" s="55"/>
      <c r="X283" s="55"/>
      <c r="Y283" s="55"/>
      <c r="Z283" s="55"/>
      <c r="AA283" s="55"/>
      <c r="AB283" s="55"/>
      <c r="AC283" s="55"/>
      <c r="AD283" s="55"/>
      <c r="AE283" s="55"/>
      <c r="AF283" s="55"/>
      <c r="AG283" s="55"/>
      <c r="AH283" s="55"/>
      <c r="AI283" s="55"/>
      <c r="AJ283" s="55"/>
      <c r="AK283" s="55"/>
      <c r="AL283" s="55"/>
      <c r="AM283" s="55"/>
      <c r="AN283" s="55"/>
      <c r="AO283" s="55"/>
      <c r="AP283" s="55"/>
      <c r="AQ283" s="55"/>
      <c r="AR283" s="55"/>
      <c r="AS283" s="55"/>
      <c r="AT283" s="55"/>
      <c r="AU283" s="55"/>
      <c r="AV283" s="55"/>
      <c r="AW283" s="55"/>
      <c r="AX283" s="55"/>
      <c r="AY283" s="55"/>
      <c r="AZ283" s="55"/>
      <c r="BA283" s="55"/>
      <c r="BB283" s="55"/>
      <c r="BC283" s="55"/>
      <c r="BD283" s="55"/>
      <c r="BE283" s="55"/>
      <c r="BF283" s="55"/>
      <c r="BG283" s="55"/>
      <c r="BH283" s="55"/>
      <c r="BI283" s="55"/>
      <c r="BJ283" s="55"/>
      <c r="BK283" s="55"/>
      <c r="BL283" s="55"/>
      <c r="BM283" s="55"/>
      <c r="BN283" s="55"/>
      <c r="BO283" s="55"/>
      <c r="BP283" s="55"/>
      <c r="BQ283" s="55"/>
      <c r="BR283" s="55"/>
      <c r="BS283" s="55"/>
    </row>
    <row r="284" spans="3:71" outlineLevel="1" x14ac:dyDescent="0.2">
      <c r="D284" t="str">
        <f>CHOOSE(db_ML_selected,'Liste Traduction'!B466,'Liste Traduction'!C466)</f>
        <v>Cost Oil réel - Cost stop</v>
      </c>
      <c r="I284" s="30">
        <f t="shared" ca="1" si="74"/>
        <v>29.700829005249986</v>
      </c>
      <c r="J284" s="26" t="s">
        <v>148</v>
      </c>
      <c r="L284" s="49">
        <f ca="1">MAX(KLL_II_2020!CA_cost_recovered_total-KLL_II_2020!CA_cost_stop,0)</f>
        <v>0</v>
      </c>
      <c r="M284" s="49">
        <f ca="1">MAX(KLL_II_2020!CA_cost_recovered_total-KLL_II_2020!CA_cost_stop,0)</f>
        <v>29.700829005249986</v>
      </c>
      <c r="N284" s="49">
        <f ca="1">MAX(KLL_II_2020!CA_cost_recovered_total-KLL_II_2020!CA_cost_stop,0)</f>
        <v>0</v>
      </c>
      <c r="O284" s="49">
        <f ca="1">MAX(KLL_II_2020!CA_cost_recovered_total-KLL_II_2020!CA_cost_stop,0)</f>
        <v>0</v>
      </c>
      <c r="P284" s="49">
        <f ca="1">MAX(KLL_II_2020!CA_cost_recovered_total-KLL_II_2020!CA_cost_stop,0)</f>
        <v>0</v>
      </c>
      <c r="Q284" s="49">
        <f ca="1">MAX(KLL_II_2020!CA_cost_recovered_total-KLL_II_2020!CA_cost_stop,0)</f>
        <v>0</v>
      </c>
      <c r="R284" s="49">
        <f ca="1">MAX(KLL_II_2020!CA_cost_recovered_total-KLL_II_2020!CA_cost_stop,0)</f>
        <v>0</v>
      </c>
      <c r="S284" s="49">
        <f ca="1">MAX(KLL_II_2020!CA_cost_recovered_total-KLL_II_2020!CA_cost_stop,0)</f>
        <v>0</v>
      </c>
      <c r="T284" s="49">
        <f ca="1">MAX(KLL_II_2020!CA_cost_recovered_total-KLL_II_2020!CA_cost_stop,0)</f>
        <v>0</v>
      </c>
      <c r="U284" s="49">
        <f ca="1">MAX(KLL_II_2020!CA_cost_recovered_total-KLL_II_2020!CA_cost_stop,0)</f>
        <v>0</v>
      </c>
      <c r="V284" s="49">
        <f ca="1">MAX(KLL_II_2020!CA_cost_recovered_total-KLL_II_2020!CA_cost_stop,0)</f>
        <v>0</v>
      </c>
      <c r="W284" s="49">
        <f ca="1">MAX(KLL_II_2020!CA_cost_recovered_total-KLL_II_2020!CA_cost_stop,0)</f>
        <v>0</v>
      </c>
      <c r="X284" s="49">
        <f ca="1">MAX(KLL_II_2020!CA_cost_recovered_total-KLL_II_2020!CA_cost_stop,0)</f>
        <v>0</v>
      </c>
      <c r="Y284" s="49">
        <f ca="1">MAX(KLL_II_2020!CA_cost_recovered_total-KLL_II_2020!CA_cost_stop,0)</f>
        <v>0</v>
      </c>
      <c r="Z284" s="49">
        <f ca="1">MAX(KLL_II_2020!CA_cost_recovered_total-KLL_II_2020!CA_cost_stop,0)</f>
        <v>0</v>
      </c>
      <c r="AA284" s="49">
        <f ca="1">MAX(KLL_II_2020!CA_cost_recovered_total-KLL_II_2020!CA_cost_stop,0)</f>
        <v>0</v>
      </c>
      <c r="AB284" s="49">
        <f ca="1">MAX(KLL_II_2020!CA_cost_recovered_total-KLL_II_2020!CA_cost_stop,0)</f>
        <v>0</v>
      </c>
      <c r="AC284" s="49">
        <f ca="1">MAX(KLL_II_2020!CA_cost_recovered_total-KLL_II_2020!CA_cost_stop,0)</f>
        <v>0</v>
      </c>
      <c r="AD284" s="49">
        <f ca="1">MAX(KLL_II_2020!CA_cost_recovered_total-KLL_II_2020!CA_cost_stop,0)</f>
        <v>0</v>
      </c>
      <c r="AE284" s="49">
        <f ca="1">MAX(KLL_II_2020!CA_cost_recovered_total-KLL_II_2020!CA_cost_stop,0)</f>
        <v>0</v>
      </c>
      <c r="AF284" s="49">
        <f ca="1">MAX(KLL_II_2020!CA_cost_recovered_total-KLL_II_2020!CA_cost_stop,0)</f>
        <v>0</v>
      </c>
      <c r="AG284" s="49">
        <f ca="1">MAX(KLL_II_2020!CA_cost_recovered_total-KLL_II_2020!CA_cost_stop,0)</f>
        <v>0</v>
      </c>
      <c r="AH284" s="49">
        <f ca="1">MAX(KLL_II_2020!CA_cost_recovered_total-KLL_II_2020!CA_cost_stop,0)</f>
        <v>0</v>
      </c>
      <c r="AI284" s="49">
        <f ca="1">MAX(KLL_II_2020!CA_cost_recovered_total-KLL_II_2020!CA_cost_stop,0)</f>
        <v>0</v>
      </c>
      <c r="AJ284" s="49">
        <f ca="1">MAX(KLL_II_2020!CA_cost_recovered_total-KLL_II_2020!CA_cost_stop,0)</f>
        <v>0</v>
      </c>
      <c r="AK284" s="49">
        <f ca="1">MAX(KLL_II_2020!CA_cost_recovered_total-KLL_II_2020!CA_cost_stop,0)</f>
        <v>0</v>
      </c>
      <c r="AL284" s="49">
        <f ca="1">MAX(KLL_II_2020!CA_cost_recovered_total-KLL_II_2020!CA_cost_stop,0)</f>
        <v>0</v>
      </c>
      <c r="AM284" s="49">
        <f ca="1">MAX(KLL_II_2020!CA_cost_recovered_total-KLL_II_2020!CA_cost_stop,0)</f>
        <v>0</v>
      </c>
      <c r="AN284" s="49">
        <f ca="1">MAX(KLL_II_2020!CA_cost_recovered_total-KLL_II_2020!CA_cost_stop,0)</f>
        <v>0</v>
      </c>
      <c r="AO284" s="49">
        <f ca="1">MAX(KLL_II_2020!CA_cost_recovered_total-KLL_II_2020!CA_cost_stop,0)</f>
        <v>0</v>
      </c>
      <c r="AP284" s="49">
        <f ca="1">MAX(KLL_II_2020!CA_cost_recovered_total-KLL_II_2020!CA_cost_stop,0)</f>
        <v>0</v>
      </c>
      <c r="AQ284" s="49">
        <f ca="1">MAX(KLL_II_2020!CA_cost_recovered_total-KLL_II_2020!CA_cost_stop,0)</f>
        <v>0</v>
      </c>
      <c r="AR284" s="49">
        <f ca="1">MAX(KLL_II_2020!CA_cost_recovered_total-KLL_II_2020!CA_cost_stop,0)</f>
        <v>0</v>
      </c>
      <c r="AS284" s="49">
        <f ca="1">MAX(KLL_II_2020!CA_cost_recovered_total-KLL_II_2020!CA_cost_stop,0)</f>
        <v>0</v>
      </c>
      <c r="AT284" s="49">
        <f ca="1">MAX(KLL_II_2020!CA_cost_recovered_total-KLL_II_2020!CA_cost_stop,0)</f>
        <v>0</v>
      </c>
      <c r="AU284" s="49">
        <f ca="1">MAX(KLL_II_2020!CA_cost_recovered_total-KLL_II_2020!CA_cost_stop,0)</f>
        <v>0</v>
      </c>
      <c r="AV284" s="49">
        <f ca="1">MAX(KLL_II_2020!CA_cost_recovered_total-KLL_II_2020!CA_cost_stop,0)</f>
        <v>0</v>
      </c>
      <c r="AW284" s="49">
        <f ca="1">MAX(KLL_II_2020!CA_cost_recovered_total-KLL_II_2020!CA_cost_stop,0)</f>
        <v>0</v>
      </c>
      <c r="AX284" s="49">
        <f ca="1">MAX(KLL_II_2020!CA_cost_recovered_total-KLL_II_2020!CA_cost_stop,0)</f>
        <v>0</v>
      </c>
      <c r="AY284" s="49">
        <f ca="1">MAX(KLL_II_2020!CA_cost_recovered_total-KLL_II_2020!CA_cost_stop,0)</f>
        <v>0</v>
      </c>
      <c r="AZ284" s="49">
        <f ca="1">MAX(KLL_II_2020!CA_cost_recovered_total-KLL_II_2020!CA_cost_stop,0)</f>
        <v>0</v>
      </c>
      <c r="BA284" s="49">
        <f ca="1">MAX(KLL_II_2020!CA_cost_recovered_total-KLL_II_2020!CA_cost_stop,0)</f>
        <v>0</v>
      </c>
      <c r="BB284" s="49">
        <f ca="1">MAX(KLL_II_2020!CA_cost_recovered_total-KLL_II_2020!CA_cost_stop,0)</f>
        <v>0</v>
      </c>
      <c r="BC284" s="49">
        <f ca="1">MAX(KLL_II_2020!CA_cost_recovered_total-KLL_II_2020!CA_cost_stop,0)</f>
        <v>0</v>
      </c>
      <c r="BD284" s="49">
        <f ca="1">MAX(KLL_II_2020!CA_cost_recovered_total-KLL_II_2020!CA_cost_stop,0)</f>
        <v>0</v>
      </c>
      <c r="BE284" s="49">
        <f ca="1">MAX(KLL_II_2020!CA_cost_recovered_total-KLL_II_2020!CA_cost_stop,0)</f>
        <v>0</v>
      </c>
      <c r="BF284" s="49">
        <f ca="1">MAX(KLL_II_2020!CA_cost_recovered_total-KLL_II_2020!CA_cost_stop,0)</f>
        <v>0</v>
      </c>
      <c r="BG284" s="49">
        <f ca="1">MAX(KLL_II_2020!CA_cost_recovered_total-KLL_II_2020!CA_cost_stop,0)</f>
        <v>0</v>
      </c>
      <c r="BH284" s="49">
        <f ca="1">MAX(KLL_II_2020!CA_cost_recovered_total-KLL_II_2020!CA_cost_stop,0)</f>
        <v>0</v>
      </c>
      <c r="BI284" s="49">
        <f ca="1">MAX(KLL_II_2020!CA_cost_recovered_total-KLL_II_2020!CA_cost_stop,0)</f>
        <v>0</v>
      </c>
      <c r="BJ284" s="49">
        <f ca="1">MAX(KLL_II_2020!CA_cost_recovered_total-KLL_II_2020!CA_cost_stop,0)</f>
        <v>0</v>
      </c>
      <c r="BK284" s="49">
        <f ca="1">MAX(KLL_II_2020!CA_cost_recovered_total-KLL_II_2020!CA_cost_stop,0)</f>
        <v>0</v>
      </c>
      <c r="BL284" s="49">
        <f ca="1">MAX(KLL_II_2020!CA_cost_recovered_total-KLL_II_2020!CA_cost_stop,0)</f>
        <v>0</v>
      </c>
      <c r="BM284" s="49">
        <f ca="1">MAX(KLL_II_2020!CA_cost_recovered_total-KLL_II_2020!CA_cost_stop,0)</f>
        <v>0</v>
      </c>
      <c r="BN284" s="49">
        <f ca="1">MAX(KLL_II_2020!CA_cost_recovered_total-KLL_II_2020!CA_cost_stop,0)</f>
        <v>0</v>
      </c>
      <c r="BO284" s="49">
        <f ca="1">MAX(KLL_II_2020!CA_cost_recovered_total-KLL_II_2020!CA_cost_stop,0)</f>
        <v>0</v>
      </c>
      <c r="BP284" s="49">
        <f ca="1">MAX(KLL_II_2020!CA_cost_recovered_total-KLL_II_2020!CA_cost_stop,0)</f>
        <v>0</v>
      </c>
      <c r="BQ284" s="49">
        <f ca="1">MAX(KLL_II_2020!CA_cost_recovered_total-KLL_II_2020!CA_cost_stop,0)</f>
        <v>0</v>
      </c>
      <c r="BR284" s="49">
        <f ca="1">MAX(KLL_II_2020!CA_cost_recovered_total-KLL_II_2020!CA_cost_stop,0)</f>
        <v>0</v>
      </c>
      <c r="BS284" s="49">
        <f ca="1">MAX(KLL_II_2020!CA_cost_recovered_total-KLL_II_2020!CA_cost_stop,0)</f>
        <v>0</v>
      </c>
    </row>
    <row r="285" spans="3:71" outlineLevel="1" x14ac:dyDescent="0.2">
      <c r="J285" s="26"/>
      <c r="L285" s="55"/>
      <c r="M285" s="55"/>
      <c r="N285" s="55"/>
      <c r="O285" s="55"/>
      <c r="P285" s="55"/>
      <c r="Q285" s="55"/>
      <c r="R285" s="55"/>
      <c r="S285" s="55"/>
      <c r="T285" s="55"/>
      <c r="U285" s="55"/>
      <c r="V285" s="55"/>
      <c r="W285" s="55"/>
      <c r="X285" s="55"/>
      <c r="Y285" s="55"/>
      <c r="Z285" s="55"/>
      <c r="AA285" s="55"/>
      <c r="AB285" s="55"/>
      <c r="AC285" s="55"/>
      <c r="AD285" s="55"/>
      <c r="AE285" s="55"/>
      <c r="AF285" s="55"/>
      <c r="AG285" s="55"/>
      <c r="AH285" s="55"/>
      <c r="AI285" s="55"/>
      <c r="AJ285" s="55"/>
      <c r="AK285" s="55"/>
      <c r="AL285" s="55"/>
      <c r="AM285" s="55"/>
      <c r="AN285" s="55"/>
      <c r="AO285" s="55"/>
      <c r="AP285" s="55"/>
      <c r="AQ285" s="55"/>
      <c r="AR285" s="55"/>
      <c r="AS285" s="55"/>
      <c r="AT285" s="55"/>
      <c r="AU285" s="55"/>
      <c r="AV285" s="55"/>
      <c r="AW285" s="55"/>
      <c r="AX285" s="55"/>
      <c r="AY285" s="55"/>
      <c r="AZ285" s="55"/>
      <c r="BA285" s="55"/>
      <c r="BB285" s="55"/>
      <c r="BC285" s="55"/>
      <c r="BD285" s="55"/>
      <c r="BE285" s="55"/>
      <c r="BF285" s="55"/>
      <c r="BG285" s="55"/>
      <c r="BH285" s="55"/>
      <c r="BI285" s="55"/>
      <c r="BJ285" s="55"/>
      <c r="BK285" s="55"/>
      <c r="BL285" s="55"/>
      <c r="BM285" s="55"/>
      <c r="BN285" s="55"/>
      <c r="BO285" s="55"/>
      <c r="BP285" s="55"/>
      <c r="BQ285" s="55"/>
      <c r="BR285" s="55"/>
      <c r="BS285" s="55"/>
    </row>
    <row r="286" spans="3:71" outlineLevel="1" x14ac:dyDescent="0.2">
      <c r="D286" t="str">
        <f>HM_ZB_Nsoko!D299</f>
        <v>Revenus disponibles pour le SPO</v>
      </c>
      <c r="I286" s="30">
        <f t="shared" ref="I286:I289" ca="1" si="75">SUM($L286:$BS286)</f>
        <v>1330.0913873875413</v>
      </c>
      <c r="J286" s="26" t="s">
        <v>148</v>
      </c>
      <c r="K286" s="7" t="s">
        <v>221</v>
      </c>
      <c r="L286" s="49">
        <f ca="1">MAX(L280-L282,0)*(KLL_II_2020!CA_PSC_switch_trig=0)+
MAX(L280-L282-L284,0)*(KLL_II_2020!CA_PSC_switch_trig=1)</f>
        <v>276.29321367360006</v>
      </c>
      <c r="M286" s="49">
        <f ca="1">MAX(M280-M282,0)*(KLL_II_2020!CA_PSC_switch_trig=0)+
MAX(M280-M282-M284,0)*(KLL_II_2020!CA_PSC_switch_trig=1)</f>
        <v>284.35625958894997</v>
      </c>
      <c r="N286" s="49">
        <f ca="1">MAX(N280-N282,0)*(KLL_II_2020!CA_PSC_switch_trig=0)+
MAX(N280-N282-N284,0)*(KLL_II_2020!CA_PSC_switch_trig=1)</f>
        <v>55.357913363087455</v>
      </c>
      <c r="O286" s="49">
        <f ca="1">MAX(O280-O282,0)*(KLL_II_2020!CA_PSC_switch_trig=0)+
MAX(O280-O282-O284,0)*(KLL_II_2020!CA_PSC_switch_trig=1)</f>
        <v>10.385079912687528</v>
      </c>
      <c r="P286" s="49">
        <f ca="1">MAX(P280-P282,0)*(KLL_II_2020!CA_PSC_switch_trig=0)+
MAX(P280-P282-P284,0)*(KLL_II_2020!CA_PSC_switch_trig=1)</f>
        <v>69.499759458200074</v>
      </c>
      <c r="Q286" s="49">
        <f ca="1">MAX(Q280-Q282,0)*(KLL_II_2020!CA_PSC_switch_trig=0)+
MAX(Q280-Q282-Q284,0)*(KLL_II_2020!CA_PSC_switch_trig=1)</f>
        <v>145.93667903550002</v>
      </c>
      <c r="R286" s="49">
        <f ca="1">MAX(R280-R282,0)*(KLL_II_2020!CA_PSC_switch_trig=0)+
MAX(R280-R282-R284,0)*(KLL_II_2020!CA_PSC_switch_trig=1)</f>
        <v>126.60729307748751</v>
      </c>
      <c r="S286" s="49">
        <f ca="1">MAX(S280-S282,0)*(KLL_II_2020!CA_PSC_switch_trig=0)+
MAX(S280-S282-S284,0)*(KLL_II_2020!CA_PSC_switch_trig=1)</f>
        <v>0</v>
      </c>
      <c r="T286" s="49">
        <f ca="1">MAX(T280-T282,0)*(KLL_II_2020!CA_PSC_switch_trig=0)+
MAX(T280-T282-T284,0)*(KLL_II_2020!CA_PSC_switch_trig=1)</f>
        <v>68.241736468079978</v>
      </c>
      <c r="U286" s="49">
        <f ca="1">MAX(U280-U282,0)*(KLL_II_2020!CA_PSC_switch_trig=0)+
MAX(U280-U282-U284,0)*(KLL_II_2020!CA_PSC_switch_trig=1)</f>
        <v>79.257404955330031</v>
      </c>
      <c r="V286" s="49">
        <f ca="1">MAX(V280-V282,0)*(KLL_II_2020!CA_PSC_switch_trig=0)+
MAX(V280-V282-V284,0)*(KLL_II_2020!CA_PSC_switch_trig=1)</f>
        <v>75.183574340626066</v>
      </c>
      <c r="W286" s="49">
        <f ca="1">MAX(W280-W282,0)*(KLL_II_2020!CA_PSC_switch_trig=0)+
MAX(W280-W282-W284,0)*(KLL_II_2020!CA_PSC_switch_trig=1)</f>
        <v>71.319138619517844</v>
      </c>
      <c r="X286" s="49">
        <f ca="1">MAX(X280-X282,0)*(KLL_II_2020!CA_PSC_switch_trig=0)+
MAX(X280-X282-X284,0)*(KLL_II_2020!CA_PSC_switch_trig=1)</f>
        <v>67.653334894474654</v>
      </c>
      <c r="Y286" s="49">
        <f ca="1">MAX(Y280-Y282,0)*(KLL_II_2020!CA_PSC_switch_trig=0)+
MAX(Y280-Y282-Y284,0)*(KLL_II_2020!CA_PSC_switch_trig=1)</f>
        <v>0</v>
      </c>
      <c r="Z286" s="49">
        <f ca="1">MAX(Z280-Z282,0)*(KLL_II_2020!CA_PSC_switch_trig=0)+
MAX(Z280-Z282-Z284,0)*(KLL_II_2020!CA_PSC_switch_trig=1)</f>
        <v>0</v>
      </c>
      <c r="AA286" s="49">
        <f ca="1">MAX(AA280-AA282,0)*(KLL_II_2020!CA_PSC_switch_trig=0)+
MAX(AA280-AA282-AA284,0)*(KLL_II_2020!CA_PSC_switch_trig=1)</f>
        <v>0</v>
      </c>
      <c r="AB286" s="49">
        <f ca="1">MAX(AB280-AB282,0)*(KLL_II_2020!CA_PSC_switch_trig=0)+
MAX(AB280-AB282-AB284,0)*(KLL_II_2020!CA_PSC_switch_trig=1)</f>
        <v>0</v>
      </c>
      <c r="AC286" s="49">
        <f ca="1">MAX(AC280-AC282,0)*(KLL_II_2020!CA_PSC_switch_trig=0)+
MAX(AC280-AC282-AC284,0)*(KLL_II_2020!CA_PSC_switch_trig=1)</f>
        <v>0</v>
      </c>
      <c r="AD286" s="49">
        <f ca="1">MAX(AD280-AD282,0)*(KLL_II_2020!CA_PSC_switch_trig=0)+
MAX(AD280-AD282-AD284,0)*(KLL_II_2020!CA_PSC_switch_trig=1)</f>
        <v>0</v>
      </c>
      <c r="AE286" s="49">
        <f ca="1">MAX(AE280-AE282,0)*(KLL_II_2020!CA_PSC_switch_trig=0)+
MAX(AE280-AE282-AE284,0)*(KLL_II_2020!CA_PSC_switch_trig=1)</f>
        <v>0</v>
      </c>
      <c r="AF286" s="49">
        <f ca="1">MAX(AF280-AF282,0)*(KLL_II_2020!CA_PSC_switch_trig=0)+
MAX(AF280-AF282-AF284,0)*(KLL_II_2020!CA_PSC_switch_trig=1)</f>
        <v>0</v>
      </c>
      <c r="AG286" s="49">
        <f ca="1">MAX(AG280-AG282,0)*(KLL_II_2020!CA_PSC_switch_trig=0)+
MAX(AG280-AG282-AG284,0)*(KLL_II_2020!CA_PSC_switch_trig=1)</f>
        <v>0</v>
      </c>
      <c r="AH286" s="49">
        <f ca="1">MAX(AH280-AH282,0)*(KLL_II_2020!CA_PSC_switch_trig=0)+
MAX(AH280-AH282-AH284,0)*(KLL_II_2020!CA_PSC_switch_trig=1)</f>
        <v>0</v>
      </c>
      <c r="AI286" s="49">
        <f ca="1">MAX(AI280-AI282,0)*(KLL_II_2020!CA_PSC_switch_trig=0)+
MAX(AI280-AI282-AI284,0)*(KLL_II_2020!CA_PSC_switch_trig=1)</f>
        <v>0</v>
      </c>
      <c r="AJ286" s="49">
        <f ca="1">MAX(AJ280-AJ282,0)*(KLL_II_2020!CA_PSC_switch_trig=0)+
MAX(AJ280-AJ282-AJ284,0)*(KLL_II_2020!CA_PSC_switch_trig=1)</f>
        <v>0</v>
      </c>
      <c r="AK286" s="49">
        <f ca="1">MAX(AK280-AK282,0)*(KLL_II_2020!CA_PSC_switch_trig=0)+
MAX(AK280-AK282-AK284,0)*(KLL_II_2020!CA_PSC_switch_trig=1)</f>
        <v>0</v>
      </c>
      <c r="AL286" s="49">
        <f ca="1">MAX(AL280-AL282,0)*(KLL_II_2020!CA_PSC_switch_trig=0)+
MAX(AL280-AL282-AL284,0)*(KLL_II_2020!CA_PSC_switch_trig=1)</f>
        <v>0</v>
      </c>
      <c r="AM286" s="49">
        <f ca="1">MAX(AM280-AM282,0)*(KLL_II_2020!CA_PSC_switch_trig=0)+
MAX(AM280-AM282-AM284,0)*(KLL_II_2020!CA_PSC_switch_trig=1)</f>
        <v>0</v>
      </c>
      <c r="AN286" s="49">
        <f ca="1">MAX(AN280-AN282,0)*(KLL_II_2020!CA_PSC_switch_trig=0)+
MAX(AN280-AN282-AN284,0)*(KLL_II_2020!CA_PSC_switch_trig=1)</f>
        <v>0</v>
      </c>
      <c r="AO286" s="49">
        <f ca="1">MAX(AO280-AO282,0)*(KLL_II_2020!CA_PSC_switch_trig=0)+
MAX(AO280-AO282-AO284,0)*(KLL_II_2020!CA_PSC_switch_trig=1)</f>
        <v>0</v>
      </c>
      <c r="AP286" s="49">
        <f ca="1">MAX(AP280-AP282,0)*(KLL_II_2020!CA_PSC_switch_trig=0)+
MAX(AP280-AP282-AP284,0)*(KLL_II_2020!CA_PSC_switch_trig=1)</f>
        <v>0</v>
      </c>
      <c r="AQ286" s="49">
        <f ca="1">MAX(AQ280-AQ282,0)*(KLL_II_2020!CA_PSC_switch_trig=0)+
MAX(AQ280-AQ282-AQ284,0)*(KLL_II_2020!CA_PSC_switch_trig=1)</f>
        <v>0</v>
      </c>
      <c r="AR286" s="49">
        <f ca="1">MAX(AR280-AR282,0)*(KLL_II_2020!CA_PSC_switch_trig=0)+
MAX(AR280-AR282-AR284,0)*(KLL_II_2020!CA_PSC_switch_trig=1)</f>
        <v>0</v>
      </c>
      <c r="AS286" s="49">
        <f ca="1">MAX(AS280-AS282,0)*(KLL_II_2020!CA_PSC_switch_trig=0)+
MAX(AS280-AS282-AS284,0)*(KLL_II_2020!CA_PSC_switch_trig=1)</f>
        <v>0</v>
      </c>
      <c r="AT286" s="49">
        <f ca="1">MAX(AT280-AT282,0)*(KLL_II_2020!CA_PSC_switch_trig=0)+
MAX(AT280-AT282-AT284,0)*(KLL_II_2020!CA_PSC_switch_trig=1)</f>
        <v>0</v>
      </c>
      <c r="AU286" s="49">
        <f ca="1">MAX(AU280-AU282,0)*(KLL_II_2020!CA_PSC_switch_trig=0)+
MAX(AU280-AU282-AU284,0)*(KLL_II_2020!CA_PSC_switch_trig=1)</f>
        <v>0</v>
      </c>
      <c r="AV286" s="49">
        <f ca="1">MAX(AV280-AV282,0)*(KLL_II_2020!CA_PSC_switch_trig=0)+
MAX(AV280-AV282-AV284,0)*(KLL_II_2020!CA_PSC_switch_trig=1)</f>
        <v>0</v>
      </c>
      <c r="AW286" s="49">
        <f ca="1">MAX(AW280-AW282,0)*(KLL_II_2020!CA_PSC_switch_trig=0)+
MAX(AW280-AW282-AW284,0)*(KLL_II_2020!CA_PSC_switch_trig=1)</f>
        <v>0</v>
      </c>
      <c r="AX286" s="49">
        <f ca="1">MAX(AX280-AX282,0)*(KLL_II_2020!CA_PSC_switch_trig=0)+
MAX(AX280-AX282-AX284,0)*(KLL_II_2020!CA_PSC_switch_trig=1)</f>
        <v>0</v>
      </c>
      <c r="AY286" s="49">
        <f ca="1">MAX(AY280-AY282,0)*(KLL_II_2020!CA_PSC_switch_trig=0)+
MAX(AY280-AY282-AY284,0)*(KLL_II_2020!CA_PSC_switch_trig=1)</f>
        <v>0</v>
      </c>
      <c r="AZ286" s="49">
        <f ca="1">MAX(AZ280-AZ282,0)*(KLL_II_2020!CA_PSC_switch_trig=0)+
MAX(AZ280-AZ282-AZ284,0)*(KLL_II_2020!CA_PSC_switch_trig=1)</f>
        <v>0</v>
      </c>
      <c r="BA286" s="49">
        <f ca="1">MAX(BA280-BA282,0)*(KLL_II_2020!CA_PSC_switch_trig=0)+
MAX(BA280-BA282-BA284,0)*(KLL_II_2020!CA_PSC_switch_trig=1)</f>
        <v>0</v>
      </c>
      <c r="BB286" s="49">
        <f ca="1">MAX(BB280-BB282,0)*(KLL_II_2020!CA_PSC_switch_trig=0)+
MAX(BB280-BB282-BB284,0)*(KLL_II_2020!CA_PSC_switch_trig=1)</f>
        <v>0</v>
      </c>
      <c r="BC286" s="49">
        <f ca="1">MAX(BC280-BC282,0)*(KLL_II_2020!CA_PSC_switch_trig=0)+
MAX(BC280-BC282-BC284,0)*(KLL_II_2020!CA_PSC_switch_trig=1)</f>
        <v>0</v>
      </c>
      <c r="BD286" s="49">
        <f ca="1">MAX(BD280-BD282,0)*(KLL_II_2020!CA_PSC_switch_trig=0)+
MAX(BD280-BD282-BD284,0)*(KLL_II_2020!CA_PSC_switch_trig=1)</f>
        <v>0</v>
      </c>
      <c r="BE286" s="49">
        <f ca="1">MAX(BE280-BE282,0)*(KLL_II_2020!CA_PSC_switch_trig=0)+
MAX(BE280-BE282-BE284,0)*(KLL_II_2020!CA_PSC_switch_trig=1)</f>
        <v>0</v>
      </c>
      <c r="BF286" s="49">
        <f ca="1">MAX(BF280-BF282,0)*(KLL_II_2020!CA_PSC_switch_trig=0)+
MAX(BF280-BF282-BF284,0)*(KLL_II_2020!CA_PSC_switch_trig=1)</f>
        <v>0</v>
      </c>
      <c r="BG286" s="49">
        <f ca="1">MAX(BG280-BG282,0)*(KLL_II_2020!CA_PSC_switch_trig=0)+
MAX(BG280-BG282-BG284,0)*(KLL_II_2020!CA_PSC_switch_trig=1)</f>
        <v>0</v>
      </c>
      <c r="BH286" s="49">
        <f ca="1">MAX(BH280-BH282,0)*(KLL_II_2020!CA_PSC_switch_trig=0)+
MAX(BH280-BH282-BH284,0)*(KLL_II_2020!CA_PSC_switch_trig=1)</f>
        <v>0</v>
      </c>
      <c r="BI286" s="49">
        <f ca="1">MAX(BI280-BI282,0)*(KLL_II_2020!CA_PSC_switch_trig=0)+
MAX(BI280-BI282-BI284,0)*(KLL_II_2020!CA_PSC_switch_trig=1)</f>
        <v>0</v>
      </c>
      <c r="BJ286" s="49">
        <f ca="1">MAX(BJ280-BJ282,0)*(KLL_II_2020!CA_PSC_switch_trig=0)+
MAX(BJ280-BJ282-BJ284,0)*(KLL_II_2020!CA_PSC_switch_trig=1)</f>
        <v>0</v>
      </c>
      <c r="BK286" s="49">
        <f ca="1">MAX(BK280-BK282,0)*(KLL_II_2020!CA_PSC_switch_trig=0)+
MAX(BK280-BK282-BK284,0)*(KLL_II_2020!CA_PSC_switch_trig=1)</f>
        <v>0</v>
      </c>
      <c r="BL286" s="49">
        <f ca="1">MAX(BL280-BL282,0)*(KLL_II_2020!CA_PSC_switch_trig=0)+
MAX(BL280-BL282-BL284,0)*(KLL_II_2020!CA_PSC_switch_trig=1)</f>
        <v>0</v>
      </c>
      <c r="BM286" s="49">
        <f ca="1">MAX(BM280-BM282,0)*(KLL_II_2020!CA_PSC_switch_trig=0)+
MAX(BM280-BM282-BM284,0)*(KLL_II_2020!CA_PSC_switch_trig=1)</f>
        <v>0</v>
      </c>
      <c r="BN286" s="49">
        <f ca="1">MAX(BN280-BN282,0)*(KLL_II_2020!CA_PSC_switch_trig=0)+
MAX(BN280-BN282-BN284,0)*(KLL_II_2020!CA_PSC_switch_trig=1)</f>
        <v>0</v>
      </c>
      <c r="BO286" s="49">
        <f ca="1">MAX(BO280-BO282,0)*(KLL_II_2020!CA_PSC_switch_trig=0)+
MAX(BO280-BO282-BO284,0)*(KLL_II_2020!CA_PSC_switch_trig=1)</f>
        <v>0</v>
      </c>
      <c r="BP286" s="49">
        <f ca="1">MAX(BP280-BP282,0)*(KLL_II_2020!CA_PSC_switch_trig=0)+
MAX(BP280-BP282-BP284,0)*(KLL_II_2020!CA_PSC_switch_trig=1)</f>
        <v>0</v>
      </c>
      <c r="BQ286" s="49">
        <f ca="1">MAX(BQ280-BQ282,0)*(KLL_II_2020!CA_PSC_switch_trig=0)+
MAX(BQ280-BQ282-BQ284,0)*(KLL_II_2020!CA_PSC_switch_trig=1)</f>
        <v>0</v>
      </c>
      <c r="BR286" s="49">
        <f ca="1">MAX(BR280-BR282,0)*(KLL_II_2020!CA_PSC_switch_trig=0)+
MAX(BR280-BR282-BR284,0)*(KLL_II_2020!CA_PSC_switch_trig=1)</f>
        <v>0</v>
      </c>
      <c r="BS286" s="49">
        <f ca="1">MAX(BS280-BS282,0)*(KLL_II_2020!CA_PSC_switch_trig=0)+
MAX(BS280-BS282-BS284,0)*(KLL_II_2020!CA_PSC_switch_trig=1)</f>
        <v>0</v>
      </c>
    </row>
    <row r="287" spans="3:71" outlineLevel="1" x14ac:dyDescent="0.2">
      <c r="J287" s="26"/>
      <c r="L287" s="55"/>
      <c r="M287" s="55"/>
      <c r="N287" s="55"/>
      <c r="O287" s="55"/>
      <c r="P287" s="55"/>
      <c r="Q287" s="55"/>
      <c r="R287" s="55"/>
      <c r="S287" s="55"/>
      <c r="T287" s="55"/>
      <c r="U287" s="55"/>
      <c r="V287" s="55"/>
      <c r="W287" s="55"/>
      <c r="X287" s="55"/>
      <c r="Y287" s="55"/>
      <c r="Z287" s="55"/>
      <c r="AA287" s="55"/>
      <c r="AB287" s="55"/>
      <c r="AC287" s="55"/>
      <c r="AD287" s="55"/>
      <c r="AE287" s="55"/>
      <c r="AF287" s="55"/>
      <c r="AG287" s="55"/>
      <c r="AH287" s="55"/>
      <c r="AI287" s="55"/>
      <c r="AJ287" s="55"/>
      <c r="AK287" s="55"/>
      <c r="AL287" s="55"/>
      <c r="AM287" s="55"/>
      <c r="AN287" s="55"/>
      <c r="AO287" s="55"/>
      <c r="AP287" s="55"/>
      <c r="AQ287" s="55"/>
      <c r="AR287" s="55"/>
      <c r="AS287" s="55"/>
      <c r="AT287" s="55"/>
      <c r="AU287" s="55"/>
      <c r="AV287" s="55"/>
      <c r="AW287" s="55"/>
      <c r="AX287" s="55"/>
      <c r="AY287" s="55"/>
      <c r="AZ287" s="55"/>
      <c r="BA287" s="55"/>
      <c r="BB287" s="55"/>
      <c r="BC287" s="55"/>
      <c r="BD287" s="55"/>
      <c r="BE287" s="55"/>
      <c r="BF287" s="55"/>
      <c r="BG287" s="55"/>
      <c r="BH287" s="55"/>
      <c r="BI287" s="55"/>
      <c r="BJ287" s="55"/>
      <c r="BK287" s="55"/>
      <c r="BL287" s="55"/>
      <c r="BM287" s="55"/>
      <c r="BN287" s="55"/>
      <c r="BO287" s="55"/>
      <c r="BP287" s="55"/>
      <c r="BQ287" s="55"/>
      <c r="BR287" s="55"/>
      <c r="BS287" s="55"/>
    </row>
    <row r="288" spans="3:71" outlineLevel="1" x14ac:dyDescent="0.2">
      <c r="D288" s="11" t="str">
        <f>HM_ZB_Nsoko!D301</f>
        <v>Part du Contracteur dans le SPO</v>
      </c>
      <c r="I288" s="30">
        <f t="shared" ca="1" si="75"/>
        <v>452.231071711764</v>
      </c>
      <c r="J288" s="26" t="s">
        <v>148</v>
      </c>
      <c r="K288" s="7" t="s">
        <v>224</v>
      </c>
      <c r="L288" s="49">
        <f ca="1">KLL_II_2020!SPO_cont_rate*KLL_II_2020!CA_rev_for_SPO</f>
        <v>93.939692649024011</v>
      </c>
      <c r="M288" s="49">
        <f ca="1">KLL_II_2020!SPO_cont_rate*KLL_II_2020!CA_rev_for_SPO</f>
        <v>96.681128260242986</v>
      </c>
      <c r="N288" s="49">
        <f ca="1">KLL_II_2020!SPO_cont_rate*KLL_II_2020!CA_rev_for_SPO</f>
        <v>18.821690543449733</v>
      </c>
      <c r="O288" s="49">
        <f ca="1">KLL_II_2020!SPO_cont_rate*KLL_II_2020!CA_rev_for_SPO</f>
        <v>3.5309271703137592</v>
      </c>
      <c r="P288" s="49">
        <f ca="1">KLL_II_2020!SPO_cont_rate*KLL_II_2020!CA_rev_for_SPO</f>
        <v>23.629918215788024</v>
      </c>
      <c r="Q288" s="49">
        <f ca="1">KLL_II_2020!SPO_cont_rate*KLL_II_2020!CA_rev_for_SPO</f>
        <v>49.618470872070006</v>
      </c>
      <c r="R288" s="49">
        <f ca="1">KLL_II_2020!SPO_cont_rate*KLL_II_2020!CA_rev_for_SPO</f>
        <v>43.046479646345752</v>
      </c>
      <c r="S288" s="49">
        <f ca="1">KLL_II_2020!SPO_cont_rate*KLL_II_2020!CA_rev_for_SPO</f>
        <v>0</v>
      </c>
      <c r="T288" s="49">
        <f ca="1">KLL_II_2020!SPO_cont_rate*KLL_II_2020!CA_rev_for_SPO</f>
        <v>23.202190399147192</v>
      </c>
      <c r="U288" s="49">
        <f ca="1">KLL_II_2020!SPO_cont_rate*KLL_II_2020!CA_rev_for_SPO</f>
        <v>26.947517684812208</v>
      </c>
      <c r="V288" s="49">
        <f ca="1">KLL_II_2020!SPO_cont_rate*KLL_II_2020!CA_rev_for_SPO</f>
        <v>25.56241527581286</v>
      </c>
      <c r="W288" s="49">
        <f ca="1">KLL_II_2020!SPO_cont_rate*KLL_II_2020!CA_rev_for_SPO</f>
        <v>24.248507130636064</v>
      </c>
      <c r="X288" s="49">
        <f ca="1">KLL_II_2020!SPO_cont_rate*KLL_II_2020!CA_rev_for_SPO</f>
        <v>23.00213386412138</v>
      </c>
      <c r="Y288" s="49">
        <f ca="1">KLL_II_2020!SPO_cont_rate*KLL_II_2020!CA_rev_for_SPO</f>
        <v>0</v>
      </c>
      <c r="Z288" s="49">
        <f ca="1">KLL_II_2020!SPO_cont_rate*KLL_II_2020!CA_rev_for_SPO</f>
        <v>0</v>
      </c>
      <c r="AA288" s="49">
        <f ca="1">KLL_II_2020!SPO_cont_rate*KLL_II_2020!CA_rev_for_SPO</f>
        <v>0</v>
      </c>
      <c r="AB288" s="49">
        <f ca="1">KLL_II_2020!SPO_cont_rate*KLL_II_2020!CA_rev_for_SPO</f>
        <v>0</v>
      </c>
      <c r="AC288" s="49">
        <f ca="1">KLL_II_2020!SPO_cont_rate*KLL_II_2020!CA_rev_for_SPO</f>
        <v>0</v>
      </c>
      <c r="AD288" s="49">
        <f ca="1">KLL_II_2020!SPO_cont_rate*KLL_II_2020!CA_rev_for_SPO</f>
        <v>0</v>
      </c>
      <c r="AE288" s="49">
        <f ca="1">KLL_II_2020!SPO_cont_rate*KLL_II_2020!CA_rev_for_SPO</f>
        <v>0</v>
      </c>
      <c r="AF288" s="49">
        <f ca="1">KLL_II_2020!SPO_cont_rate*KLL_II_2020!CA_rev_for_SPO</f>
        <v>0</v>
      </c>
      <c r="AG288" s="49">
        <f ca="1">KLL_II_2020!SPO_cont_rate*KLL_II_2020!CA_rev_for_SPO</f>
        <v>0</v>
      </c>
      <c r="AH288" s="49">
        <f ca="1">KLL_II_2020!SPO_cont_rate*KLL_II_2020!CA_rev_for_SPO</f>
        <v>0</v>
      </c>
      <c r="AI288" s="49">
        <f ca="1">KLL_II_2020!SPO_cont_rate*KLL_II_2020!CA_rev_for_SPO</f>
        <v>0</v>
      </c>
      <c r="AJ288" s="49">
        <f ca="1">KLL_II_2020!SPO_cont_rate*KLL_II_2020!CA_rev_for_SPO</f>
        <v>0</v>
      </c>
      <c r="AK288" s="49">
        <f ca="1">KLL_II_2020!SPO_cont_rate*KLL_II_2020!CA_rev_for_SPO</f>
        <v>0</v>
      </c>
      <c r="AL288" s="49">
        <f ca="1">KLL_II_2020!SPO_cont_rate*KLL_II_2020!CA_rev_for_SPO</f>
        <v>0</v>
      </c>
      <c r="AM288" s="49">
        <f ca="1">KLL_II_2020!SPO_cont_rate*KLL_II_2020!CA_rev_for_SPO</f>
        <v>0</v>
      </c>
      <c r="AN288" s="49">
        <f ca="1">KLL_II_2020!SPO_cont_rate*KLL_II_2020!CA_rev_for_SPO</f>
        <v>0</v>
      </c>
      <c r="AO288" s="49">
        <f ca="1">KLL_II_2020!SPO_cont_rate*KLL_II_2020!CA_rev_for_SPO</f>
        <v>0</v>
      </c>
      <c r="AP288" s="49">
        <f ca="1">KLL_II_2020!SPO_cont_rate*KLL_II_2020!CA_rev_for_SPO</f>
        <v>0</v>
      </c>
      <c r="AQ288" s="49">
        <f ca="1">KLL_II_2020!SPO_cont_rate*KLL_II_2020!CA_rev_for_SPO</f>
        <v>0</v>
      </c>
      <c r="AR288" s="49">
        <f ca="1">KLL_II_2020!SPO_cont_rate*KLL_II_2020!CA_rev_for_SPO</f>
        <v>0</v>
      </c>
      <c r="AS288" s="49">
        <f ca="1">KLL_II_2020!SPO_cont_rate*KLL_II_2020!CA_rev_for_SPO</f>
        <v>0</v>
      </c>
      <c r="AT288" s="49">
        <f ca="1">KLL_II_2020!SPO_cont_rate*KLL_II_2020!CA_rev_for_SPO</f>
        <v>0</v>
      </c>
      <c r="AU288" s="49">
        <f ca="1">KLL_II_2020!SPO_cont_rate*KLL_II_2020!CA_rev_for_SPO</f>
        <v>0</v>
      </c>
      <c r="AV288" s="49">
        <f ca="1">KLL_II_2020!SPO_cont_rate*KLL_II_2020!CA_rev_for_SPO</f>
        <v>0</v>
      </c>
      <c r="AW288" s="49">
        <f ca="1">KLL_II_2020!SPO_cont_rate*KLL_II_2020!CA_rev_for_SPO</f>
        <v>0</v>
      </c>
      <c r="AX288" s="49">
        <f ca="1">KLL_II_2020!SPO_cont_rate*KLL_II_2020!CA_rev_for_SPO</f>
        <v>0</v>
      </c>
      <c r="AY288" s="49">
        <f ca="1">KLL_II_2020!SPO_cont_rate*KLL_II_2020!CA_rev_for_SPO</f>
        <v>0</v>
      </c>
      <c r="AZ288" s="49">
        <f ca="1">KLL_II_2020!SPO_cont_rate*KLL_II_2020!CA_rev_for_SPO</f>
        <v>0</v>
      </c>
      <c r="BA288" s="49">
        <f ca="1">KLL_II_2020!SPO_cont_rate*KLL_II_2020!CA_rev_for_SPO</f>
        <v>0</v>
      </c>
      <c r="BB288" s="49">
        <f ca="1">KLL_II_2020!SPO_cont_rate*KLL_II_2020!CA_rev_for_SPO</f>
        <v>0</v>
      </c>
      <c r="BC288" s="49">
        <f ca="1">KLL_II_2020!SPO_cont_rate*KLL_II_2020!CA_rev_for_SPO</f>
        <v>0</v>
      </c>
      <c r="BD288" s="49">
        <f ca="1">KLL_II_2020!SPO_cont_rate*KLL_II_2020!CA_rev_for_SPO</f>
        <v>0</v>
      </c>
      <c r="BE288" s="49">
        <f ca="1">KLL_II_2020!SPO_cont_rate*KLL_II_2020!CA_rev_for_SPO</f>
        <v>0</v>
      </c>
      <c r="BF288" s="49">
        <f ca="1">KLL_II_2020!SPO_cont_rate*KLL_II_2020!CA_rev_for_SPO</f>
        <v>0</v>
      </c>
      <c r="BG288" s="49">
        <f ca="1">KLL_II_2020!SPO_cont_rate*KLL_II_2020!CA_rev_for_SPO</f>
        <v>0</v>
      </c>
      <c r="BH288" s="49">
        <f ca="1">KLL_II_2020!SPO_cont_rate*KLL_II_2020!CA_rev_for_SPO</f>
        <v>0</v>
      </c>
      <c r="BI288" s="49">
        <f ca="1">KLL_II_2020!SPO_cont_rate*KLL_II_2020!CA_rev_for_SPO</f>
        <v>0</v>
      </c>
      <c r="BJ288" s="49">
        <f ca="1">KLL_II_2020!SPO_cont_rate*KLL_II_2020!CA_rev_for_SPO</f>
        <v>0</v>
      </c>
      <c r="BK288" s="49">
        <f ca="1">KLL_II_2020!SPO_cont_rate*KLL_II_2020!CA_rev_for_SPO</f>
        <v>0</v>
      </c>
      <c r="BL288" s="49">
        <f ca="1">KLL_II_2020!SPO_cont_rate*KLL_II_2020!CA_rev_for_SPO</f>
        <v>0</v>
      </c>
      <c r="BM288" s="49">
        <f ca="1">KLL_II_2020!SPO_cont_rate*KLL_II_2020!CA_rev_for_SPO</f>
        <v>0</v>
      </c>
      <c r="BN288" s="49">
        <f ca="1">KLL_II_2020!SPO_cont_rate*KLL_II_2020!CA_rev_for_SPO</f>
        <v>0</v>
      </c>
      <c r="BO288" s="49">
        <f ca="1">KLL_II_2020!SPO_cont_rate*KLL_II_2020!CA_rev_for_SPO</f>
        <v>0</v>
      </c>
      <c r="BP288" s="49">
        <f ca="1">KLL_II_2020!SPO_cont_rate*KLL_II_2020!CA_rev_for_SPO</f>
        <v>0</v>
      </c>
      <c r="BQ288" s="49">
        <f ca="1">KLL_II_2020!SPO_cont_rate*KLL_II_2020!CA_rev_for_SPO</f>
        <v>0</v>
      </c>
      <c r="BR288" s="49">
        <f ca="1">KLL_II_2020!SPO_cont_rate*KLL_II_2020!CA_rev_for_SPO</f>
        <v>0</v>
      </c>
      <c r="BS288" s="49">
        <f ca="1">KLL_II_2020!SPO_cont_rate*KLL_II_2020!CA_rev_for_SPO</f>
        <v>0</v>
      </c>
    </row>
    <row r="289" spans="3:71" outlineLevel="1" x14ac:dyDescent="0.2">
      <c r="D289" s="11" t="str">
        <f>HM_ZB_Nsoko!D302</f>
        <v>Part du Gouv. dans le SPO</v>
      </c>
      <c r="I289" s="30">
        <f t="shared" ca="1" si="75"/>
        <v>877.86031567577709</v>
      </c>
      <c r="J289" s="26" t="s">
        <v>148</v>
      </c>
      <c r="K289" s="7" t="s">
        <v>225</v>
      </c>
      <c r="L289" s="49">
        <f ca="1">L286-L288</f>
        <v>182.35352102457605</v>
      </c>
      <c r="M289" s="49">
        <f t="shared" ref="M289:BS289" ca="1" si="76">M286-M288</f>
        <v>187.67513132870698</v>
      </c>
      <c r="N289" s="49">
        <f t="shared" ca="1" si="76"/>
        <v>36.536222819637722</v>
      </c>
      <c r="O289" s="49">
        <f t="shared" ca="1" si="76"/>
        <v>6.8541527423737687</v>
      </c>
      <c r="P289" s="49">
        <f t="shared" ca="1" si="76"/>
        <v>45.869841242412051</v>
      </c>
      <c r="Q289" s="49">
        <f t="shared" ca="1" si="76"/>
        <v>96.318208163430015</v>
      </c>
      <c r="R289" s="49">
        <f t="shared" ca="1" si="76"/>
        <v>83.560813431141753</v>
      </c>
      <c r="S289" s="49">
        <f t="shared" ca="1" si="76"/>
        <v>0</v>
      </c>
      <c r="T289" s="49">
        <f t="shared" ca="1" si="76"/>
        <v>45.039546068932786</v>
      </c>
      <c r="U289" s="49">
        <f t="shared" ca="1" si="76"/>
        <v>52.30988727051782</v>
      </c>
      <c r="V289" s="49">
        <f t="shared" ca="1" si="76"/>
        <v>49.621159064813206</v>
      </c>
      <c r="W289" s="49">
        <f t="shared" ca="1" si="76"/>
        <v>47.07063148888178</v>
      </c>
      <c r="X289" s="49">
        <f t="shared" ca="1" si="76"/>
        <v>44.651201030353278</v>
      </c>
      <c r="Y289" s="49">
        <f t="shared" ca="1" si="76"/>
        <v>0</v>
      </c>
      <c r="Z289" s="49">
        <f t="shared" ca="1" si="76"/>
        <v>0</v>
      </c>
      <c r="AA289" s="49">
        <f t="shared" ca="1" si="76"/>
        <v>0</v>
      </c>
      <c r="AB289" s="49">
        <f t="shared" ca="1" si="76"/>
        <v>0</v>
      </c>
      <c r="AC289" s="49">
        <f t="shared" ca="1" si="76"/>
        <v>0</v>
      </c>
      <c r="AD289" s="49">
        <f t="shared" ca="1" si="76"/>
        <v>0</v>
      </c>
      <c r="AE289" s="49">
        <f t="shared" ca="1" si="76"/>
        <v>0</v>
      </c>
      <c r="AF289" s="49">
        <f t="shared" ca="1" si="76"/>
        <v>0</v>
      </c>
      <c r="AG289" s="49">
        <f t="shared" ca="1" si="76"/>
        <v>0</v>
      </c>
      <c r="AH289" s="49">
        <f t="shared" ca="1" si="76"/>
        <v>0</v>
      </c>
      <c r="AI289" s="49">
        <f t="shared" ca="1" si="76"/>
        <v>0</v>
      </c>
      <c r="AJ289" s="49">
        <f t="shared" ca="1" si="76"/>
        <v>0</v>
      </c>
      <c r="AK289" s="49">
        <f t="shared" ca="1" si="76"/>
        <v>0</v>
      </c>
      <c r="AL289" s="49">
        <f t="shared" ca="1" si="76"/>
        <v>0</v>
      </c>
      <c r="AM289" s="49">
        <f t="shared" ca="1" si="76"/>
        <v>0</v>
      </c>
      <c r="AN289" s="49">
        <f t="shared" ca="1" si="76"/>
        <v>0</v>
      </c>
      <c r="AO289" s="49">
        <f t="shared" ca="1" si="76"/>
        <v>0</v>
      </c>
      <c r="AP289" s="49">
        <f t="shared" ca="1" si="76"/>
        <v>0</v>
      </c>
      <c r="AQ289" s="49">
        <f t="shared" ca="1" si="76"/>
        <v>0</v>
      </c>
      <c r="AR289" s="49">
        <f t="shared" ca="1" si="76"/>
        <v>0</v>
      </c>
      <c r="AS289" s="49">
        <f t="shared" ca="1" si="76"/>
        <v>0</v>
      </c>
      <c r="AT289" s="49">
        <f t="shared" ca="1" si="76"/>
        <v>0</v>
      </c>
      <c r="AU289" s="49">
        <f t="shared" ca="1" si="76"/>
        <v>0</v>
      </c>
      <c r="AV289" s="49">
        <f t="shared" ca="1" si="76"/>
        <v>0</v>
      </c>
      <c r="AW289" s="49">
        <f t="shared" ca="1" si="76"/>
        <v>0</v>
      </c>
      <c r="AX289" s="49">
        <f t="shared" ca="1" si="76"/>
        <v>0</v>
      </c>
      <c r="AY289" s="49">
        <f t="shared" ca="1" si="76"/>
        <v>0</v>
      </c>
      <c r="AZ289" s="49">
        <f t="shared" ca="1" si="76"/>
        <v>0</v>
      </c>
      <c r="BA289" s="49">
        <f t="shared" ca="1" si="76"/>
        <v>0</v>
      </c>
      <c r="BB289" s="49">
        <f t="shared" ca="1" si="76"/>
        <v>0</v>
      </c>
      <c r="BC289" s="49">
        <f t="shared" ca="1" si="76"/>
        <v>0</v>
      </c>
      <c r="BD289" s="49">
        <f t="shared" ca="1" si="76"/>
        <v>0</v>
      </c>
      <c r="BE289" s="49">
        <f t="shared" ca="1" si="76"/>
        <v>0</v>
      </c>
      <c r="BF289" s="49">
        <f t="shared" ca="1" si="76"/>
        <v>0</v>
      </c>
      <c r="BG289" s="49">
        <f t="shared" ca="1" si="76"/>
        <v>0</v>
      </c>
      <c r="BH289" s="49">
        <f t="shared" ca="1" si="76"/>
        <v>0</v>
      </c>
      <c r="BI289" s="49">
        <f t="shared" ca="1" si="76"/>
        <v>0</v>
      </c>
      <c r="BJ289" s="49">
        <f t="shared" ca="1" si="76"/>
        <v>0</v>
      </c>
      <c r="BK289" s="49">
        <f t="shared" ca="1" si="76"/>
        <v>0</v>
      </c>
      <c r="BL289" s="49">
        <f t="shared" ca="1" si="76"/>
        <v>0</v>
      </c>
      <c r="BM289" s="49">
        <f t="shared" ca="1" si="76"/>
        <v>0</v>
      </c>
      <c r="BN289" s="49">
        <f t="shared" ca="1" si="76"/>
        <v>0</v>
      </c>
      <c r="BO289" s="49">
        <f t="shared" ca="1" si="76"/>
        <v>0</v>
      </c>
      <c r="BP289" s="49">
        <f t="shared" ca="1" si="76"/>
        <v>0</v>
      </c>
      <c r="BQ289" s="49">
        <f t="shared" ca="1" si="76"/>
        <v>0</v>
      </c>
      <c r="BR289" s="49">
        <f t="shared" ca="1" si="76"/>
        <v>0</v>
      </c>
      <c r="BS289" s="49">
        <f t="shared" ca="1" si="76"/>
        <v>0</v>
      </c>
    </row>
    <row r="290" spans="3:71" outlineLevel="1" x14ac:dyDescent="0.2">
      <c r="J290" s="26"/>
      <c r="L290" s="55"/>
      <c r="M290" s="55"/>
      <c r="N290" s="55"/>
      <c r="O290" s="55"/>
      <c r="P290" s="55"/>
      <c r="Q290" s="55"/>
      <c r="R290" s="55"/>
      <c r="S290" s="55"/>
      <c r="T290" s="55"/>
      <c r="U290" s="55"/>
      <c r="V290" s="55"/>
      <c r="W290" s="55"/>
      <c r="X290" s="55"/>
      <c r="Y290" s="55"/>
      <c r="Z290" s="55"/>
      <c r="AA290" s="55"/>
      <c r="AB290" s="55"/>
      <c r="AC290" s="55"/>
      <c r="AD290" s="55"/>
      <c r="AE290" s="55"/>
      <c r="AF290" s="55"/>
      <c r="AG290" s="55"/>
      <c r="AH290" s="55"/>
      <c r="AI290" s="55"/>
      <c r="AJ290" s="55"/>
      <c r="AK290" s="55"/>
      <c r="AL290" s="55"/>
      <c r="AM290" s="55"/>
      <c r="AN290" s="55"/>
      <c r="AO290" s="55"/>
      <c r="AP290" s="55"/>
      <c r="AQ290" s="55"/>
      <c r="AR290" s="55"/>
      <c r="AS290" s="55"/>
      <c r="AT290" s="55"/>
      <c r="AU290" s="55"/>
      <c r="AV290" s="55"/>
      <c r="AW290" s="55"/>
      <c r="AX290" s="55"/>
      <c r="AY290" s="55"/>
      <c r="AZ290" s="55"/>
      <c r="BA290" s="55"/>
      <c r="BB290" s="55"/>
      <c r="BC290" s="55"/>
      <c r="BD290" s="55"/>
      <c r="BE290" s="55"/>
      <c r="BF290" s="55"/>
      <c r="BG290" s="55"/>
      <c r="BH290" s="55"/>
      <c r="BI290" s="55"/>
      <c r="BJ290" s="55"/>
      <c r="BK290" s="55"/>
      <c r="BL290" s="55"/>
      <c r="BM290" s="55"/>
      <c r="BN290" s="55"/>
      <c r="BO290" s="55"/>
      <c r="BP290" s="55"/>
      <c r="BQ290" s="55"/>
      <c r="BR290" s="55"/>
      <c r="BS290" s="55"/>
    </row>
    <row r="291" spans="3:71" outlineLevel="1" x14ac:dyDescent="0.2">
      <c r="J291" s="26"/>
      <c r="L291" s="55"/>
      <c r="M291" s="55"/>
      <c r="N291" s="55"/>
      <c r="O291" s="55"/>
      <c r="P291" s="55"/>
      <c r="Q291" s="55"/>
      <c r="R291" s="55"/>
      <c r="S291" s="55"/>
      <c r="T291" s="55"/>
      <c r="U291" s="55"/>
      <c r="V291" s="55"/>
      <c r="W291" s="55"/>
      <c r="X291" s="55"/>
      <c r="Y291" s="55"/>
      <c r="Z291" s="55"/>
      <c r="AA291" s="55"/>
      <c r="AB291" s="55"/>
      <c r="AC291" s="55"/>
      <c r="AD291" s="55"/>
      <c r="AE291" s="55"/>
      <c r="AF291" s="55"/>
      <c r="AG291" s="55"/>
      <c r="AH291" s="55"/>
      <c r="AI291" s="55"/>
      <c r="AJ291" s="55"/>
      <c r="AK291" s="55"/>
      <c r="AL291" s="55"/>
      <c r="AM291" s="55"/>
      <c r="AN291" s="55"/>
      <c r="AO291" s="55"/>
      <c r="AP291" s="55"/>
      <c r="AQ291" s="55"/>
      <c r="AR291" s="55"/>
      <c r="AS291" s="55"/>
      <c r="AT291" s="55"/>
      <c r="AU291" s="55"/>
      <c r="AV291" s="55"/>
      <c r="AW291" s="55"/>
      <c r="AX291" s="55"/>
      <c r="AY291" s="55"/>
      <c r="AZ291" s="55"/>
      <c r="BA291" s="55"/>
      <c r="BB291" s="55"/>
      <c r="BC291" s="55"/>
      <c r="BD291" s="55"/>
      <c r="BE291" s="55"/>
      <c r="BF291" s="55"/>
      <c r="BG291" s="55"/>
      <c r="BH291" s="55"/>
      <c r="BI291" s="55"/>
      <c r="BJ291" s="55"/>
      <c r="BK291" s="55"/>
      <c r="BL291" s="55"/>
      <c r="BM291" s="55"/>
      <c r="BN291" s="55"/>
      <c r="BO291" s="55"/>
      <c r="BP291" s="55"/>
      <c r="BQ291" s="55"/>
      <c r="BR291" s="55"/>
      <c r="BS291" s="55"/>
    </row>
    <row r="292" spans="3:71" outlineLevel="1" x14ac:dyDescent="0.2">
      <c r="C292" s="11" t="str">
        <f>HM_ZB_Nsoko!C305</f>
        <v>Partage du profit</v>
      </c>
      <c r="J292" s="26"/>
      <c r="L292" s="55"/>
      <c r="M292" s="55"/>
      <c r="N292" s="55"/>
      <c r="O292" s="55"/>
      <c r="P292" s="55"/>
      <c r="Q292" s="55"/>
      <c r="R292" s="55"/>
      <c r="S292" s="55"/>
      <c r="T292" s="55"/>
      <c r="U292" s="55"/>
      <c r="V292" s="55"/>
      <c r="W292" s="55"/>
      <c r="X292" s="55"/>
      <c r="Y292" s="55"/>
      <c r="Z292" s="55"/>
      <c r="AA292" s="55"/>
      <c r="AB292" s="55"/>
      <c r="AC292" s="55"/>
      <c r="AD292" s="55"/>
      <c r="AE292" s="55"/>
      <c r="AF292" s="55"/>
      <c r="AG292" s="55"/>
      <c r="AH292" s="55"/>
      <c r="AI292" s="55"/>
      <c r="AJ292" s="55"/>
      <c r="AK292" s="55"/>
      <c r="AL292" s="55"/>
      <c r="AM292" s="55"/>
      <c r="AN292" s="55"/>
      <c r="AO292" s="55"/>
      <c r="AP292" s="55"/>
      <c r="AQ292" s="55"/>
      <c r="AR292" s="55"/>
      <c r="AS292" s="55"/>
      <c r="AT292" s="55"/>
      <c r="AU292" s="55"/>
      <c r="AV292" s="55"/>
      <c r="AW292" s="55"/>
      <c r="AX292" s="55"/>
      <c r="AY292" s="55"/>
      <c r="AZ292" s="55"/>
      <c r="BA292" s="55"/>
      <c r="BB292" s="55"/>
      <c r="BC292" s="55"/>
      <c r="BD292" s="55"/>
      <c r="BE292" s="55"/>
      <c r="BF292" s="55"/>
      <c r="BG292" s="55"/>
      <c r="BH292" s="55"/>
      <c r="BI292" s="55"/>
      <c r="BJ292" s="55"/>
      <c r="BK292" s="55"/>
      <c r="BL292" s="55"/>
      <c r="BM292" s="55"/>
      <c r="BN292" s="55"/>
      <c r="BO292" s="55"/>
      <c r="BP292" s="55"/>
      <c r="BQ292" s="55"/>
      <c r="BR292" s="55"/>
      <c r="BS292" s="55"/>
    </row>
    <row r="293" spans="3:71" outlineLevel="1" x14ac:dyDescent="0.2">
      <c r="J293" s="26"/>
      <c r="L293" s="55"/>
      <c r="M293" s="55"/>
      <c r="N293" s="55"/>
      <c r="O293" s="55"/>
      <c r="P293" s="55"/>
      <c r="Q293" s="55"/>
      <c r="R293" s="55"/>
      <c r="S293" s="55"/>
      <c r="T293" s="55"/>
      <c r="U293" s="55"/>
      <c r="V293" s="55"/>
      <c r="W293" s="55"/>
      <c r="X293" s="55"/>
      <c r="Y293" s="55"/>
      <c r="Z293" s="55"/>
      <c r="AA293" s="55"/>
      <c r="AB293" s="55"/>
      <c r="AC293" s="55"/>
      <c r="AD293" s="55"/>
      <c r="AE293" s="55"/>
      <c r="AF293" s="55"/>
      <c r="AG293" s="55"/>
      <c r="AH293" s="55"/>
      <c r="AI293" s="55"/>
      <c r="AJ293" s="55"/>
      <c r="AK293" s="55"/>
      <c r="AL293" s="55"/>
      <c r="AM293" s="55"/>
      <c r="AN293" s="55"/>
      <c r="AO293" s="55"/>
      <c r="AP293" s="55"/>
      <c r="AQ293" s="55"/>
      <c r="AR293" s="55"/>
      <c r="AS293" s="55"/>
      <c r="AT293" s="55"/>
      <c r="AU293" s="55"/>
      <c r="AV293" s="55"/>
      <c r="AW293" s="55"/>
      <c r="AX293" s="55"/>
      <c r="AY293" s="55"/>
      <c r="AZ293" s="55"/>
      <c r="BA293" s="55"/>
      <c r="BB293" s="55"/>
      <c r="BC293" s="55"/>
      <c r="BD293" s="55"/>
      <c r="BE293" s="55"/>
      <c r="BF293" s="55"/>
      <c r="BG293" s="55"/>
      <c r="BH293" s="55"/>
      <c r="BI293" s="55"/>
      <c r="BJ293" s="55"/>
      <c r="BK293" s="55"/>
      <c r="BL293" s="55"/>
      <c r="BM293" s="55"/>
      <c r="BN293" s="55"/>
      <c r="BO293" s="55"/>
      <c r="BP293" s="55"/>
      <c r="BQ293" s="55"/>
      <c r="BR293" s="55"/>
      <c r="BS293" s="55"/>
    </row>
    <row r="294" spans="3:71" outlineLevel="1" x14ac:dyDescent="0.2">
      <c r="D294" s="11" t="str">
        <f>HM_ZB_Nsoko!D307</f>
        <v>Profit Oil</v>
      </c>
      <c r="J294" s="26"/>
      <c r="L294" s="55"/>
      <c r="M294" s="55"/>
      <c r="N294" s="55"/>
      <c r="O294" s="55"/>
      <c r="P294" s="55"/>
      <c r="Q294" s="55"/>
      <c r="R294" s="55"/>
      <c r="S294" s="55"/>
      <c r="T294" s="55"/>
      <c r="U294" s="55"/>
      <c r="V294" s="55"/>
      <c r="W294" s="55"/>
      <c r="X294" s="55"/>
      <c r="Y294" s="55"/>
      <c r="Z294" s="55"/>
      <c r="AA294" s="55"/>
      <c r="AB294" s="55"/>
      <c r="AC294" s="55"/>
      <c r="AD294" s="55"/>
      <c r="AE294" s="55"/>
      <c r="AF294" s="55"/>
      <c r="AG294" s="55"/>
      <c r="AH294" s="55"/>
      <c r="AI294" s="55"/>
      <c r="AJ294" s="55"/>
      <c r="AK294" s="55"/>
      <c r="AL294" s="55"/>
      <c r="AM294" s="55"/>
      <c r="AN294" s="55"/>
      <c r="AO294" s="55"/>
      <c r="AP294" s="55"/>
      <c r="AQ294" s="55"/>
      <c r="AR294" s="55"/>
      <c r="AS294" s="55"/>
      <c r="AT294" s="55"/>
      <c r="AU294" s="55"/>
      <c r="AV294" s="55"/>
      <c r="AW294" s="55"/>
      <c r="AX294" s="55"/>
      <c r="AY294" s="55"/>
      <c r="AZ294" s="55"/>
      <c r="BA294" s="55"/>
      <c r="BB294" s="55"/>
      <c r="BC294" s="55"/>
      <c r="BD294" s="55"/>
      <c r="BE294" s="55"/>
      <c r="BF294" s="55"/>
      <c r="BG294" s="55"/>
      <c r="BH294" s="55"/>
      <c r="BI294" s="55"/>
      <c r="BJ294" s="55"/>
      <c r="BK294" s="55"/>
      <c r="BL294" s="55"/>
      <c r="BM294" s="55"/>
      <c r="BN294" s="55"/>
      <c r="BO294" s="55"/>
      <c r="BP294" s="55"/>
      <c r="BQ294" s="55"/>
      <c r="BR294" s="55"/>
      <c r="BS294" s="55"/>
    </row>
    <row r="295" spans="3:71" outlineLevel="1" x14ac:dyDescent="0.2">
      <c r="D295" s="50" t="str">
        <f>HM_ZB_Nsoko!D308</f>
        <v>Revenus pétroliers pour le Partage du Profit</v>
      </c>
      <c r="I295" s="30">
        <f t="shared" ref="I295:I298" ca="1" si="77">SUM($L295:$BS295)</f>
        <v>1009.1680743145346</v>
      </c>
      <c r="J295" s="26" t="s">
        <v>148</v>
      </c>
      <c r="L295" s="49">
        <f ca="1">MAX(KLL_II_2020!CA_gross_rev_oil_fp-KLL_II_2020!CA_roy_oil_fp-(KLL_II_2020!CA_cost_recovered_total*KLL_II_2020!CA_rev_oil_perc)-(KLL_II_2020!CA_excess_cost_recovery*KLL_II_2020!CA_rev_oil_perc)-KLL_II_2020!CA_rev_for_SPO,0)</f>
        <v>60.577385982750059</v>
      </c>
      <c r="M295" s="49">
        <f ca="1">MAX(KLL_II_2020!CA_gross_rev_oil_fp-KLL_II_2020!CA_roy_oil_fp-(KLL_II_2020!CA_cost_recovered_total*KLL_II_2020!CA_rev_oil_perc)-(KLL_II_2020!CA_excess_cost_recovery*KLL_II_2020!CA_rev_oil_perc)-KLL_II_2020!CA_rev_for_SPO,0)</f>
        <v>45.805881982850053</v>
      </c>
      <c r="N295" s="49">
        <f ca="1">MAX(KLL_II_2020!CA_gross_rev_oil_fp-KLL_II_2020!CA_roy_oil_fp-(KLL_II_2020!CA_cost_recovered_total*KLL_II_2020!CA_rev_oil_perc)-(KLL_II_2020!CA_excess_cost_recovery*KLL_II_2020!CA_rev_oil_perc)-KLL_II_2020!CA_rev_for_SPO,0)</f>
        <v>78.719114186737528</v>
      </c>
      <c r="O295" s="49">
        <f ca="1">MAX(KLL_II_2020!CA_gross_rev_oil_fp-KLL_II_2020!CA_roy_oil_fp-(KLL_II_2020!CA_cost_recovered_total*KLL_II_2020!CA_rev_oil_perc)-(KLL_II_2020!CA_excess_cost_recovery*KLL_II_2020!CA_rev_oil_perc)-KLL_II_2020!CA_rev_for_SPO,0)</f>
        <v>82.430651348587489</v>
      </c>
      <c r="P295" s="49">
        <f ca="1">MAX(KLL_II_2020!CA_gross_rev_oil_fp-KLL_II_2020!CA_roy_oil_fp-(KLL_II_2020!CA_cost_recovered_total*KLL_II_2020!CA_rev_oil_perc)-(KLL_II_2020!CA_excess_cost_recovery*KLL_II_2020!CA_rev_oil_perc)-KLL_II_2020!CA_rev_for_SPO,0)</f>
        <v>75.493766291999989</v>
      </c>
      <c r="Q295" s="49">
        <f ca="1">MAX(KLL_II_2020!CA_gross_rev_oil_fp-KLL_II_2020!CA_roy_oil_fp-(KLL_II_2020!CA_cost_recovered_total*KLL_II_2020!CA_rev_oil_perc)-(KLL_II_2020!CA_excess_cost_recovery*KLL_II_2020!CA_rev_oil_perc)-KLL_II_2020!CA_rev_for_SPO,0)</f>
        <v>83.103669043150006</v>
      </c>
      <c r="R295" s="49">
        <f ca="1">MAX(KLL_II_2020!CA_gross_rev_oil_fp-KLL_II_2020!CA_roy_oil_fp-(KLL_II_2020!CA_cost_recovered_total*KLL_II_2020!CA_rev_oil_perc)-(KLL_II_2020!CA_excess_cost_recovery*KLL_II_2020!CA_rev_oil_perc)-KLL_II_2020!CA_rev_for_SPO,0)</f>
        <v>87.673788156937505</v>
      </c>
      <c r="S295" s="49">
        <f ca="1">MAX(KLL_II_2020!CA_gross_rev_oil_fp-KLL_II_2020!CA_roy_oil_fp-(KLL_II_2020!CA_cost_recovered_total*KLL_II_2020!CA_rev_oil_perc)-(KLL_II_2020!CA_excess_cost_recovery*KLL_II_2020!CA_rev_oil_perc)-KLL_II_2020!CA_rev_for_SPO,0)</f>
        <v>78.717816450000015</v>
      </c>
      <c r="T295" s="49">
        <f ca="1">MAX(KLL_II_2020!CA_gross_rev_oil_fp-KLL_II_2020!CA_roy_oil_fp-(KLL_II_2020!CA_cost_recovered_total*KLL_II_2020!CA_rev_oil_perc)-(KLL_II_2020!CA_excess_cost_recovery*KLL_II_2020!CA_rev_oil_perc)-KLL_II_2020!CA_rev_for_SPO,0)</f>
        <v>92.346921449999968</v>
      </c>
      <c r="U295" s="49">
        <f ca="1">MAX(KLL_II_2020!CA_gross_rev_oil_fp-KLL_II_2020!CA_roy_oil_fp-(KLL_II_2020!CA_cost_recovered_total*KLL_II_2020!CA_rev_oil_perc)-(KLL_II_2020!CA_excess_cost_recovery*KLL_II_2020!CA_rev_oil_perc)-KLL_II_2020!CA_rev_for_SPO,0)</f>
        <v>87.600289687469996</v>
      </c>
      <c r="V295" s="49">
        <f ca="1">MAX(KLL_II_2020!CA_gross_rev_oil_fp-KLL_II_2020!CA_roy_oil_fp-(KLL_II_2020!CA_cost_recovered_total*KLL_II_2020!CA_rev_oil_perc)-(KLL_II_2020!CA_excess_cost_recovery*KLL_II_2020!CA_rev_oil_perc)-KLL_II_2020!CA_rev_for_SPO,0)</f>
        <v>83.097634797534013</v>
      </c>
      <c r="W295" s="49">
        <f ca="1">MAX(KLL_II_2020!CA_gross_rev_oil_fp-KLL_II_2020!CA_roy_oil_fp-(KLL_II_2020!CA_cost_recovered_total*KLL_II_2020!CA_rev_oil_perc)-(KLL_II_2020!CA_excess_cost_recovery*KLL_II_2020!CA_rev_oil_perc)-KLL_II_2020!CA_rev_for_SPO,0)</f>
        <v>78.826416368940755</v>
      </c>
      <c r="X295" s="49">
        <f ca="1">MAX(KLL_II_2020!CA_gross_rev_oil_fp-KLL_II_2020!CA_roy_oil_fp-(KLL_II_2020!CA_cost_recovered_total*KLL_II_2020!CA_rev_oil_perc)-(KLL_II_2020!CA_excess_cost_recovery*KLL_II_2020!CA_rev_oil_perc)-KLL_II_2020!CA_rev_for_SPO,0)</f>
        <v>74.774738567577231</v>
      </c>
      <c r="Y295" s="49">
        <f ca="1">MAX(KLL_II_2020!CA_gross_rev_oil_fp-KLL_II_2020!CA_roy_oil_fp-(KLL_II_2020!CA_cost_recovered_total*KLL_II_2020!CA_rev_oil_perc)-(KLL_II_2020!CA_excess_cost_recovery*KLL_II_2020!CA_rev_oil_perc)-KLL_II_2020!CA_rev_for_SPO,0)</f>
        <v>0</v>
      </c>
      <c r="Z295" s="49">
        <f ca="1">MAX(KLL_II_2020!CA_gross_rev_oil_fp-KLL_II_2020!CA_roy_oil_fp-(KLL_II_2020!CA_cost_recovered_total*KLL_II_2020!CA_rev_oil_perc)-(KLL_II_2020!CA_excess_cost_recovery*KLL_II_2020!CA_rev_oil_perc)-KLL_II_2020!CA_rev_for_SPO,0)</f>
        <v>0</v>
      </c>
      <c r="AA295" s="49">
        <f ca="1">MAX(KLL_II_2020!CA_gross_rev_oil_fp-KLL_II_2020!CA_roy_oil_fp-(KLL_II_2020!CA_cost_recovered_total*KLL_II_2020!CA_rev_oil_perc)-(KLL_II_2020!CA_excess_cost_recovery*KLL_II_2020!CA_rev_oil_perc)-KLL_II_2020!CA_rev_for_SPO,0)</f>
        <v>0</v>
      </c>
      <c r="AB295" s="49">
        <f ca="1">MAX(KLL_II_2020!CA_gross_rev_oil_fp-KLL_II_2020!CA_roy_oil_fp-(KLL_II_2020!CA_cost_recovered_total*KLL_II_2020!CA_rev_oil_perc)-(KLL_II_2020!CA_excess_cost_recovery*KLL_II_2020!CA_rev_oil_perc)-KLL_II_2020!CA_rev_for_SPO,0)</f>
        <v>0</v>
      </c>
      <c r="AC295" s="49">
        <f ca="1">MAX(KLL_II_2020!CA_gross_rev_oil_fp-KLL_II_2020!CA_roy_oil_fp-(KLL_II_2020!CA_cost_recovered_total*KLL_II_2020!CA_rev_oil_perc)-(KLL_II_2020!CA_excess_cost_recovery*KLL_II_2020!CA_rev_oil_perc)-KLL_II_2020!CA_rev_for_SPO,0)</f>
        <v>0</v>
      </c>
      <c r="AD295" s="49">
        <f ca="1">MAX(KLL_II_2020!CA_gross_rev_oil_fp-KLL_II_2020!CA_roy_oil_fp-(KLL_II_2020!CA_cost_recovered_total*KLL_II_2020!CA_rev_oil_perc)-(KLL_II_2020!CA_excess_cost_recovery*KLL_II_2020!CA_rev_oil_perc)-KLL_II_2020!CA_rev_for_SPO,0)</f>
        <v>0</v>
      </c>
      <c r="AE295" s="49">
        <f ca="1">MAX(KLL_II_2020!CA_gross_rev_oil_fp-KLL_II_2020!CA_roy_oil_fp-(KLL_II_2020!CA_cost_recovered_total*KLL_II_2020!CA_rev_oil_perc)-(KLL_II_2020!CA_excess_cost_recovery*KLL_II_2020!CA_rev_oil_perc)-KLL_II_2020!CA_rev_for_SPO,0)</f>
        <v>0</v>
      </c>
      <c r="AF295" s="49">
        <f ca="1">MAX(KLL_II_2020!CA_gross_rev_oil_fp-KLL_II_2020!CA_roy_oil_fp-(KLL_II_2020!CA_cost_recovered_total*KLL_II_2020!CA_rev_oil_perc)-(KLL_II_2020!CA_excess_cost_recovery*KLL_II_2020!CA_rev_oil_perc)-KLL_II_2020!CA_rev_for_SPO,0)</f>
        <v>0</v>
      </c>
      <c r="AG295" s="49">
        <f ca="1">MAX(KLL_II_2020!CA_gross_rev_oil_fp-KLL_II_2020!CA_roy_oil_fp-(KLL_II_2020!CA_cost_recovered_total*KLL_II_2020!CA_rev_oil_perc)-(KLL_II_2020!CA_excess_cost_recovery*KLL_II_2020!CA_rev_oil_perc)-KLL_II_2020!CA_rev_for_SPO,0)</f>
        <v>0</v>
      </c>
      <c r="AH295" s="49">
        <f ca="1">MAX(KLL_II_2020!CA_gross_rev_oil_fp-KLL_II_2020!CA_roy_oil_fp-(KLL_II_2020!CA_cost_recovered_total*KLL_II_2020!CA_rev_oil_perc)-(KLL_II_2020!CA_excess_cost_recovery*KLL_II_2020!CA_rev_oil_perc)-KLL_II_2020!CA_rev_for_SPO,0)</f>
        <v>0</v>
      </c>
      <c r="AI295" s="49">
        <f ca="1">MAX(KLL_II_2020!CA_gross_rev_oil_fp-KLL_II_2020!CA_roy_oil_fp-(KLL_II_2020!CA_cost_recovered_total*KLL_II_2020!CA_rev_oil_perc)-(KLL_II_2020!CA_excess_cost_recovery*KLL_II_2020!CA_rev_oil_perc)-KLL_II_2020!CA_rev_for_SPO,0)</f>
        <v>0</v>
      </c>
      <c r="AJ295" s="49">
        <f ca="1">MAX(KLL_II_2020!CA_gross_rev_oil_fp-KLL_II_2020!CA_roy_oil_fp-(KLL_II_2020!CA_cost_recovered_total*KLL_II_2020!CA_rev_oil_perc)-(KLL_II_2020!CA_excess_cost_recovery*KLL_II_2020!CA_rev_oil_perc)-KLL_II_2020!CA_rev_for_SPO,0)</f>
        <v>0</v>
      </c>
      <c r="AK295" s="49">
        <f ca="1">MAX(KLL_II_2020!CA_gross_rev_oil_fp-KLL_II_2020!CA_roy_oil_fp-(KLL_II_2020!CA_cost_recovered_total*KLL_II_2020!CA_rev_oil_perc)-(KLL_II_2020!CA_excess_cost_recovery*KLL_II_2020!CA_rev_oil_perc)-KLL_II_2020!CA_rev_for_SPO,0)</f>
        <v>0</v>
      </c>
      <c r="AL295" s="49">
        <f ca="1">MAX(KLL_II_2020!CA_gross_rev_oil_fp-KLL_II_2020!CA_roy_oil_fp-(KLL_II_2020!CA_cost_recovered_total*KLL_II_2020!CA_rev_oil_perc)-(KLL_II_2020!CA_excess_cost_recovery*KLL_II_2020!CA_rev_oil_perc)-KLL_II_2020!CA_rev_for_SPO,0)</f>
        <v>0</v>
      </c>
      <c r="AM295" s="49">
        <f ca="1">MAX(KLL_II_2020!CA_gross_rev_oil_fp-KLL_II_2020!CA_roy_oil_fp-(KLL_II_2020!CA_cost_recovered_total*KLL_II_2020!CA_rev_oil_perc)-(KLL_II_2020!CA_excess_cost_recovery*KLL_II_2020!CA_rev_oil_perc)-KLL_II_2020!CA_rev_for_SPO,0)</f>
        <v>0</v>
      </c>
      <c r="AN295" s="49">
        <f ca="1">MAX(KLL_II_2020!CA_gross_rev_oil_fp-KLL_II_2020!CA_roy_oil_fp-(KLL_II_2020!CA_cost_recovered_total*KLL_II_2020!CA_rev_oil_perc)-(KLL_II_2020!CA_excess_cost_recovery*KLL_II_2020!CA_rev_oil_perc)-KLL_II_2020!CA_rev_for_SPO,0)</f>
        <v>0</v>
      </c>
      <c r="AO295" s="49">
        <f ca="1">MAX(KLL_II_2020!CA_gross_rev_oil_fp-KLL_II_2020!CA_roy_oil_fp-(KLL_II_2020!CA_cost_recovered_total*KLL_II_2020!CA_rev_oil_perc)-(KLL_II_2020!CA_excess_cost_recovery*KLL_II_2020!CA_rev_oil_perc)-KLL_II_2020!CA_rev_for_SPO,0)</f>
        <v>0</v>
      </c>
      <c r="AP295" s="49">
        <f ca="1">MAX(KLL_II_2020!CA_gross_rev_oil_fp-KLL_II_2020!CA_roy_oil_fp-(KLL_II_2020!CA_cost_recovered_total*KLL_II_2020!CA_rev_oil_perc)-(KLL_II_2020!CA_excess_cost_recovery*KLL_II_2020!CA_rev_oil_perc)-KLL_II_2020!CA_rev_for_SPO,0)</f>
        <v>0</v>
      </c>
      <c r="AQ295" s="49">
        <f ca="1">MAX(KLL_II_2020!CA_gross_rev_oil_fp-KLL_II_2020!CA_roy_oil_fp-(KLL_II_2020!CA_cost_recovered_total*KLL_II_2020!CA_rev_oil_perc)-(KLL_II_2020!CA_excess_cost_recovery*KLL_II_2020!CA_rev_oil_perc)-KLL_II_2020!CA_rev_for_SPO,0)</f>
        <v>0</v>
      </c>
      <c r="AR295" s="49">
        <f ca="1">MAX(KLL_II_2020!CA_gross_rev_oil_fp-KLL_II_2020!CA_roy_oil_fp-(KLL_II_2020!CA_cost_recovered_total*KLL_II_2020!CA_rev_oil_perc)-(KLL_II_2020!CA_excess_cost_recovery*KLL_II_2020!CA_rev_oil_perc)-KLL_II_2020!CA_rev_for_SPO,0)</f>
        <v>0</v>
      </c>
      <c r="AS295" s="49">
        <f ca="1">MAX(KLL_II_2020!CA_gross_rev_oil_fp-KLL_II_2020!CA_roy_oil_fp-(KLL_II_2020!CA_cost_recovered_total*KLL_II_2020!CA_rev_oil_perc)-(KLL_II_2020!CA_excess_cost_recovery*KLL_II_2020!CA_rev_oil_perc)-KLL_II_2020!CA_rev_for_SPO,0)</f>
        <v>0</v>
      </c>
      <c r="AT295" s="49">
        <f ca="1">MAX(KLL_II_2020!CA_gross_rev_oil_fp-KLL_II_2020!CA_roy_oil_fp-(KLL_II_2020!CA_cost_recovered_total*KLL_II_2020!CA_rev_oil_perc)-(KLL_II_2020!CA_excess_cost_recovery*KLL_II_2020!CA_rev_oil_perc)-KLL_II_2020!CA_rev_for_SPO,0)</f>
        <v>0</v>
      </c>
      <c r="AU295" s="49">
        <f ca="1">MAX(KLL_II_2020!CA_gross_rev_oil_fp-KLL_II_2020!CA_roy_oil_fp-(KLL_II_2020!CA_cost_recovered_total*KLL_II_2020!CA_rev_oil_perc)-(KLL_II_2020!CA_excess_cost_recovery*KLL_II_2020!CA_rev_oil_perc)-KLL_II_2020!CA_rev_for_SPO,0)</f>
        <v>0</v>
      </c>
      <c r="AV295" s="49">
        <f ca="1">MAX(KLL_II_2020!CA_gross_rev_oil_fp-KLL_II_2020!CA_roy_oil_fp-(KLL_II_2020!CA_cost_recovered_total*KLL_II_2020!CA_rev_oil_perc)-(KLL_II_2020!CA_excess_cost_recovery*KLL_II_2020!CA_rev_oil_perc)-KLL_II_2020!CA_rev_for_SPO,0)</f>
        <v>0</v>
      </c>
      <c r="AW295" s="49">
        <f ca="1">MAX(KLL_II_2020!CA_gross_rev_oil_fp-KLL_II_2020!CA_roy_oil_fp-(KLL_II_2020!CA_cost_recovered_total*KLL_II_2020!CA_rev_oil_perc)-(KLL_II_2020!CA_excess_cost_recovery*KLL_II_2020!CA_rev_oil_perc)-KLL_II_2020!CA_rev_for_SPO,0)</f>
        <v>0</v>
      </c>
      <c r="AX295" s="49">
        <f ca="1">MAX(KLL_II_2020!CA_gross_rev_oil_fp-KLL_II_2020!CA_roy_oil_fp-(KLL_II_2020!CA_cost_recovered_total*KLL_II_2020!CA_rev_oil_perc)-(KLL_II_2020!CA_excess_cost_recovery*KLL_II_2020!CA_rev_oil_perc)-KLL_II_2020!CA_rev_for_SPO,0)</f>
        <v>0</v>
      </c>
      <c r="AY295" s="49">
        <f ca="1">MAX(KLL_II_2020!CA_gross_rev_oil_fp-KLL_II_2020!CA_roy_oil_fp-(KLL_II_2020!CA_cost_recovered_total*KLL_II_2020!CA_rev_oil_perc)-(KLL_II_2020!CA_excess_cost_recovery*KLL_II_2020!CA_rev_oil_perc)-KLL_II_2020!CA_rev_for_SPO,0)</f>
        <v>0</v>
      </c>
      <c r="AZ295" s="49">
        <f ca="1">MAX(KLL_II_2020!CA_gross_rev_oil_fp-KLL_II_2020!CA_roy_oil_fp-(KLL_II_2020!CA_cost_recovered_total*KLL_II_2020!CA_rev_oil_perc)-(KLL_II_2020!CA_excess_cost_recovery*KLL_II_2020!CA_rev_oil_perc)-KLL_II_2020!CA_rev_for_SPO,0)</f>
        <v>0</v>
      </c>
      <c r="BA295" s="49">
        <f ca="1">MAX(KLL_II_2020!CA_gross_rev_oil_fp-KLL_II_2020!CA_roy_oil_fp-(KLL_II_2020!CA_cost_recovered_total*KLL_II_2020!CA_rev_oil_perc)-(KLL_II_2020!CA_excess_cost_recovery*KLL_II_2020!CA_rev_oil_perc)-KLL_II_2020!CA_rev_for_SPO,0)</f>
        <v>0</v>
      </c>
      <c r="BB295" s="49">
        <f ca="1">MAX(KLL_II_2020!CA_gross_rev_oil_fp-KLL_II_2020!CA_roy_oil_fp-(KLL_II_2020!CA_cost_recovered_total*KLL_II_2020!CA_rev_oil_perc)-(KLL_II_2020!CA_excess_cost_recovery*KLL_II_2020!CA_rev_oil_perc)-KLL_II_2020!CA_rev_for_SPO,0)</f>
        <v>0</v>
      </c>
      <c r="BC295" s="49">
        <f ca="1">MAX(KLL_II_2020!CA_gross_rev_oil_fp-KLL_II_2020!CA_roy_oil_fp-(KLL_II_2020!CA_cost_recovered_total*KLL_II_2020!CA_rev_oil_perc)-(KLL_II_2020!CA_excess_cost_recovery*KLL_II_2020!CA_rev_oil_perc)-KLL_II_2020!CA_rev_for_SPO,0)</f>
        <v>0</v>
      </c>
      <c r="BD295" s="49">
        <f ca="1">MAX(KLL_II_2020!CA_gross_rev_oil_fp-KLL_II_2020!CA_roy_oil_fp-(KLL_II_2020!CA_cost_recovered_total*KLL_II_2020!CA_rev_oil_perc)-(KLL_II_2020!CA_excess_cost_recovery*KLL_II_2020!CA_rev_oil_perc)-KLL_II_2020!CA_rev_for_SPO,0)</f>
        <v>0</v>
      </c>
      <c r="BE295" s="49">
        <f ca="1">MAX(KLL_II_2020!CA_gross_rev_oil_fp-KLL_II_2020!CA_roy_oil_fp-(KLL_II_2020!CA_cost_recovered_total*KLL_II_2020!CA_rev_oil_perc)-(KLL_II_2020!CA_excess_cost_recovery*KLL_II_2020!CA_rev_oil_perc)-KLL_II_2020!CA_rev_for_SPO,0)</f>
        <v>0</v>
      </c>
      <c r="BF295" s="49">
        <f ca="1">MAX(KLL_II_2020!CA_gross_rev_oil_fp-KLL_II_2020!CA_roy_oil_fp-(KLL_II_2020!CA_cost_recovered_total*KLL_II_2020!CA_rev_oil_perc)-(KLL_II_2020!CA_excess_cost_recovery*KLL_II_2020!CA_rev_oil_perc)-KLL_II_2020!CA_rev_for_SPO,0)</f>
        <v>0</v>
      </c>
      <c r="BG295" s="49">
        <f ca="1">MAX(KLL_II_2020!CA_gross_rev_oil_fp-KLL_II_2020!CA_roy_oil_fp-(KLL_II_2020!CA_cost_recovered_total*KLL_II_2020!CA_rev_oil_perc)-(KLL_II_2020!CA_excess_cost_recovery*KLL_II_2020!CA_rev_oil_perc)-KLL_II_2020!CA_rev_for_SPO,0)</f>
        <v>0</v>
      </c>
      <c r="BH295" s="49">
        <f ca="1">MAX(KLL_II_2020!CA_gross_rev_oil_fp-KLL_II_2020!CA_roy_oil_fp-(KLL_II_2020!CA_cost_recovered_total*KLL_II_2020!CA_rev_oil_perc)-(KLL_II_2020!CA_excess_cost_recovery*KLL_II_2020!CA_rev_oil_perc)-KLL_II_2020!CA_rev_for_SPO,0)</f>
        <v>0</v>
      </c>
      <c r="BI295" s="49">
        <f ca="1">MAX(KLL_II_2020!CA_gross_rev_oil_fp-KLL_II_2020!CA_roy_oil_fp-(KLL_II_2020!CA_cost_recovered_total*KLL_II_2020!CA_rev_oil_perc)-(KLL_II_2020!CA_excess_cost_recovery*KLL_II_2020!CA_rev_oil_perc)-KLL_II_2020!CA_rev_for_SPO,0)</f>
        <v>0</v>
      </c>
      <c r="BJ295" s="49">
        <f ca="1">MAX(KLL_II_2020!CA_gross_rev_oil_fp-KLL_II_2020!CA_roy_oil_fp-(KLL_II_2020!CA_cost_recovered_total*KLL_II_2020!CA_rev_oil_perc)-(KLL_II_2020!CA_excess_cost_recovery*KLL_II_2020!CA_rev_oil_perc)-KLL_II_2020!CA_rev_for_SPO,0)</f>
        <v>0</v>
      </c>
      <c r="BK295" s="49">
        <f ca="1">MAX(KLL_II_2020!CA_gross_rev_oil_fp-KLL_II_2020!CA_roy_oil_fp-(KLL_II_2020!CA_cost_recovered_total*KLL_II_2020!CA_rev_oil_perc)-(KLL_II_2020!CA_excess_cost_recovery*KLL_II_2020!CA_rev_oil_perc)-KLL_II_2020!CA_rev_for_SPO,0)</f>
        <v>0</v>
      </c>
      <c r="BL295" s="49">
        <f ca="1">MAX(KLL_II_2020!CA_gross_rev_oil_fp-KLL_II_2020!CA_roy_oil_fp-(KLL_II_2020!CA_cost_recovered_total*KLL_II_2020!CA_rev_oil_perc)-(KLL_II_2020!CA_excess_cost_recovery*KLL_II_2020!CA_rev_oil_perc)-KLL_II_2020!CA_rev_for_SPO,0)</f>
        <v>0</v>
      </c>
      <c r="BM295" s="49">
        <f ca="1">MAX(KLL_II_2020!CA_gross_rev_oil_fp-KLL_II_2020!CA_roy_oil_fp-(KLL_II_2020!CA_cost_recovered_total*KLL_II_2020!CA_rev_oil_perc)-(KLL_II_2020!CA_excess_cost_recovery*KLL_II_2020!CA_rev_oil_perc)-KLL_II_2020!CA_rev_for_SPO,0)</f>
        <v>0</v>
      </c>
      <c r="BN295" s="49">
        <f ca="1">MAX(KLL_II_2020!CA_gross_rev_oil_fp-KLL_II_2020!CA_roy_oil_fp-(KLL_II_2020!CA_cost_recovered_total*KLL_II_2020!CA_rev_oil_perc)-(KLL_II_2020!CA_excess_cost_recovery*KLL_II_2020!CA_rev_oil_perc)-KLL_II_2020!CA_rev_for_SPO,0)</f>
        <v>0</v>
      </c>
      <c r="BO295" s="49">
        <f ca="1">MAX(KLL_II_2020!CA_gross_rev_oil_fp-KLL_II_2020!CA_roy_oil_fp-(KLL_II_2020!CA_cost_recovered_total*KLL_II_2020!CA_rev_oil_perc)-(KLL_II_2020!CA_excess_cost_recovery*KLL_II_2020!CA_rev_oil_perc)-KLL_II_2020!CA_rev_for_SPO,0)</f>
        <v>0</v>
      </c>
      <c r="BP295" s="49">
        <f ca="1">MAX(KLL_II_2020!CA_gross_rev_oil_fp-KLL_II_2020!CA_roy_oil_fp-(KLL_II_2020!CA_cost_recovered_total*KLL_II_2020!CA_rev_oil_perc)-(KLL_II_2020!CA_excess_cost_recovery*KLL_II_2020!CA_rev_oil_perc)-KLL_II_2020!CA_rev_for_SPO,0)</f>
        <v>0</v>
      </c>
      <c r="BQ295" s="49">
        <f ca="1">MAX(KLL_II_2020!CA_gross_rev_oil_fp-KLL_II_2020!CA_roy_oil_fp-(KLL_II_2020!CA_cost_recovered_total*KLL_II_2020!CA_rev_oil_perc)-(KLL_II_2020!CA_excess_cost_recovery*KLL_II_2020!CA_rev_oil_perc)-KLL_II_2020!CA_rev_for_SPO,0)</f>
        <v>0</v>
      </c>
      <c r="BR295" s="49">
        <f ca="1">MAX(KLL_II_2020!CA_gross_rev_oil_fp-KLL_II_2020!CA_roy_oil_fp-(KLL_II_2020!CA_cost_recovered_total*KLL_II_2020!CA_rev_oil_perc)-(KLL_II_2020!CA_excess_cost_recovery*KLL_II_2020!CA_rev_oil_perc)-KLL_II_2020!CA_rev_for_SPO,0)</f>
        <v>0</v>
      </c>
      <c r="BS295" s="49">
        <f ca="1">MAX(KLL_II_2020!CA_gross_rev_oil_fp-KLL_II_2020!CA_roy_oil_fp-(KLL_II_2020!CA_cost_recovered_total*KLL_II_2020!CA_rev_oil_perc)-(KLL_II_2020!CA_excess_cost_recovery*KLL_II_2020!CA_rev_oil_perc)-KLL_II_2020!CA_rev_for_SPO,0)</f>
        <v>0</v>
      </c>
    </row>
    <row r="296" spans="3:71" outlineLevel="1" x14ac:dyDescent="0.2">
      <c r="D296" s="50" t="str">
        <f>HM_ZB_Nsoko!D309</f>
        <v>Partage du profit %</v>
      </c>
      <c r="J296" s="26"/>
      <c r="L296" s="53">
        <f ca="1">(INDEX(KLL_II_2020!FA_PS_cont_rate,1)*KLL_II_2020!CA_op_trig)*(KLL_II_2020!CA_PSC_switch_trig=0)+
(INDEX(KLL_II_2020!FA_PS_cont_rate,2)*KLL_II_2020!CA_op_trig)*(KLL_II_2020!CA_PSC_switch_trig=1)</f>
        <v>0.65</v>
      </c>
      <c r="M296" s="53">
        <f ca="1">(INDEX(KLL_II_2020!FA_PS_cont_rate,1)*KLL_II_2020!CA_op_trig)*(KLL_II_2020!CA_PSC_switch_trig=0)+
(INDEX(KLL_II_2020!FA_PS_cont_rate,2)*KLL_II_2020!CA_op_trig)*(KLL_II_2020!CA_PSC_switch_trig=1)</f>
        <v>0.65</v>
      </c>
      <c r="N296" s="53">
        <f ca="1">(INDEX(KLL_II_2020!FA_PS_cont_rate,1)*KLL_II_2020!CA_op_trig)*(KLL_II_2020!CA_PSC_switch_trig=0)+
(INDEX(KLL_II_2020!FA_PS_cont_rate,2)*KLL_II_2020!CA_op_trig)*(KLL_II_2020!CA_PSC_switch_trig=1)</f>
        <v>0.65</v>
      </c>
      <c r="O296" s="53">
        <f ca="1">(INDEX(KLL_II_2020!FA_PS_cont_rate,1)*KLL_II_2020!CA_op_trig)*(KLL_II_2020!CA_PSC_switch_trig=0)+
(INDEX(KLL_II_2020!FA_PS_cont_rate,2)*KLL_II_2020!CA_op_trig)*(KLL_II_2020!CA_PSC_switch_trig=1)</f>
        <v>0.65</v>
      </c>
      <c r="P296" s="53">
        <f ca="1">(INDEX(KLL_II_2020!FA_PS_cont_rate,1)*KLL_II_2020!CA_op_trig)*(KLL_II_2020!CA_PSC_switch_trig=0)+
(INDEX(KLL_II_2020!FA_PS_cont_rate,2)*KLL_II_2020!CA_op_trig)*(KLL_II_2020!CA_PSC_switch_trig=1)</f>
        <v>0.65</v>
      </c>
      <c r="Q296" s="53">
        <f ca="1">(INDEX(KLL_II_2020!FA_PS_cont_rate,1)*KLL_II_2020!CA_op_trig)*(KLL_II_2020!CA_PSC_switch_trig=0)+
(INDEX(KLL_II_2020!FA_PS_cont_rate,2)*KLL_II_2020!CA_op_trig)*(KLL_II_2020!CA_PSC_switch_trig=1)</f>
        <v>0.65</v>
      </c>
      <c r="R296" s="53">
        <f ca="1">(INDEX(KLL_II_2020!FA_PS_cont_rate,1)*KLL_II_2020!CA_op_trig)*(KLL_II_2020!CA_PSC_switch_trig=0)+
(INDEX(KLL_II_2020!FA_PS_cont_rate,2)*KLL_II_2020!CA_op_trig)*(KLL_II_2020!CA_PSC_switch_trig=1)</f>
        <v>0.65</v>
      </c>
      <c r="S296" s="53">
        <f ca="1">(INDEX(KLL_II_2020!FA_PS_cont_rate,1)*KLL_II_2020!CA_op_trig)*(KLL_II_2020!CA_PSC_switch_trig=0)+
(INDEX(KLL_II_2020!FA_PS_cont_rate,2)*KLL_II_2020!CA_op_trig)*(KLL_II_2020!CA_PSC_switch_trig=1)</f>
        <v>0.5</v>
      </c>
      <c r="T296" s="53">
        <f ca="1">(INDEX(KLL_II_2020!FA_PS_cont_rate,1)*KLL_II_2020!CA_op_trig)*(KLL_II_2020!CA_PSC_switch_trig=0)+
(INDEX(KLL_II_2020!FA_PS_cont_rate,2)*KLL_II_2020!CA_op_trig)*(KLL_II_2020!CA_PSC_switch_trig=1)</f>
        <v>0.5</v>
      </c>
      <c r="U296" s="53">
        <f ca="1">(INDEX(KLL_II_2020!FA_PS_cont_rate,1)*KLL_II_2020!CA_op_trig)*(KLL_II_2020!CA_PSC_switch_trig=0)+
(INDEX(KLL_II_2020!FA_PS_cont_rate,2)*KLL_II_2020!CA_op_trig)*(KLL_II_2020!CA_PSC_switch_trig=1)</f>
        <v>0.5</v>
      </c>
      <c r="V296" s="53">
        <f ca="1">(INDEX(KLL_II_2020!FA_PS_cont_rate,1)*KLL_II_2020!CA_op_trig)*(KLL_II_2020!CA_PSC_switch_trig=0)+
(INDEX(KLL_II_2020!FA_PS_cont_rate,2)*KLL_II_2020!CA_op_trig)*(KLL_II_2020!CA_PSC_switch_trig=1)</f>
        <v>0.5</v>
      </c>
      <c r="W296" s="53">
        <f ca="1">(INDEX(KLL_II_2020!FA_PS_cont_rate,1)*KLL_II_2020!CA_op_trig)*(KLL_II_2020!CA_PSC_switch_trig=0)+
(INDEX(KLL_II_2020!FA_PS_cont_rate,2)*KLL_II_2020!CA_op_trig)*(KLL_II_2020!CA_PSC_switch_trig=1)</f>
        <v>0.5</v>
      </c>
      <c r="X296" s="53">
        <f ca="1">(INDEX(KLL_II_2020!FA_PS_cont_rate,1)*KLL_II_2020!CA_op_trig)*(KLL_II_2020!CA_PSC_switch_trig=0)+
(INDEX(KLL_II_2020!FA_PS_cont_rate,2)*KLL_II_2020!CA_op_trig)*(KLL_II_2020!CA_PSC_switch_trig=1)</f>
        <v>0.5</v>
      </c>
      <c r="Y296" s="53">
        <f ca="1">(INDEX(KLL_II_2020!FA_PS_cont_rate,1)*KLL_II_2020!CA_op_trig)*(KLL_II_2020!CA_PSC_switch_trig=0)+
(INDEX(KLL_II_2020!FA_PS_cont_rate,2)*KLL_II_2020!CA_op_trig)*(KLL_II_2020!CA_PSC_switch_trig=1)</f>
        <v>0</v>
      </c>
      <c r="Z296" s="53">
        <f ca="1">(INDEX(KLL_II_2020!FA_PS_cont_rate,1)*KLL_II_2020!CA_op_trig)*(KLL_II_2020!CA_PSC_switch_trig=0)+
(INDEX(KLL_II_2020!FA_PS_cont_rate,2)*KLL_II_2020!CA_op_trig)*(KLL_II_2020!CA_PSC_switch_trig=1)</f>
        <v>0</v>
      </c>
      <c r="AA296" s="53">
        <f ca="1">(INDEX(KLL_II_2020!FA_PS_cont_rate,1)*KLL_II_2020!CA_op_trig)*(KLL_II_2020!CA_PSC_switch_trig=0)+
(INDEX(KLL_II_2020!FA_PS_cont_rate,2)*KLL_II_2020!CA_op_trig)*(KLL_II_2020!CA_PSC_switch_trig=1)</f>
        <v>0</v>
      </c>
      <c r="AB296" s="53">
        <f ca="1">(INDEX(KLL_II_2020!FA_PS_cont_rate,1)*KLL_II_2020!CA_op_trig)*(KLL_II_2020!CA_PSC_switch_trig=0)+
(INDEX(KLL_II_2020!FA_PS_cont_rate,2)*KLL_II_2020!CA_op_trig)*(KLL_II_2020!CA_PSC_switch_trig=1)</f>
        <v>0</v>
      </c>
      <c r="AC296" s="53">
        <f ca="1">(INDEX(KLL_II_2020!FA_PS_cont_rate,1)*KLL_II_2020!CA_op_trig)*(KLL_II_2020!CA_PSC_switch_trig=0)+
(INDEX(KLL_II_2020!FA_PS_cont_rate,2)*KLL_II_2020!CA_op_trig)*(KLL_II_2020!CA_PSC_switch_trig=1)</f>
        <v>0</v>
      </c>
      <c r="AD296" s="53">
        <f ca="1">(INDEX(KLL_II_2020!FA_PS_cont_rate,1)*KLL_II_2020!CA_op_trig)*(KLL_II_2020!CA_PSC_switch_trig=0)+
(INDEX(KLL_II_2020!FA_PS_cont_rate,2)*KLL_II_2020!CA_op_trig)*(KLL_II_2020!CA_PSC_switch_trig=1)</f>
        <v>0</v>
      </c>
      <c r="AE296" s="53">
        <f ca="1">(INDEX(KLL_II_2020!FA_PS_cont_rate,1)*KLL_II_2020!CA_op_trig)*(KLL_II_2020!CA_PSC_switch_trig=0)+
(INDEX(KLL_II_2020!FA_PS_cont_rate,2)*KLL_II_2020!CA_op_trig)*(KLL_II_2020!CA_PSC_switch_trig=1)</f>
        <v>0</v>
      </c>
      <c r="AF296" s="53">
        <f ca="1">(INDEX(KLL_II_2020!FA_PS_cont_rate,1)*KLL_II_2020!CA_op_trig)*(KLL_II_2020!CA_PSC_switch_trig=0)+
(INDEX(KLL_II_2020!FA_PS_cont_rate,2)*KLL_II_2020!CA_op_trig)*(KLL_II_2020!CA_PSC_switch_trig=1)</f>
        <v>0</v>
      </c>
      <c r="AG296" s="53">
        <f ca="1">(INDEX(KLL_II_2020!FA_PS_cont_rate,1)*KLL_II_2020!CA_op_trig)*(KLL_II_2020!CA_PSC_switch_trig=0)+
(INDEX(KLL_II_2020!FA_PS_cont_rate,2)*KLL_II_2020!CA_op_trig)*(KLL_II_2020!CA_PSC_switch_trig=1)</f>
        <v>0</v>
      </c>
      <c r="AH296" s="53">
        <f ca="1">(INDEX(KLL_II_2020!FA_PS_cont_rate,1)*KLL_II_2020!CA_op_trig)*(KLL_II_2020!CA_PSC_switch_trig=0)+
(INDEX(KLL_II_2020!FA_PS_cont_rate,2)*KLL_II_2020!CA_op_trig)*(KLL_II_2020!CA_PSC_switch_trig=1)</f>
        <v>0</v>
      </c>
      <c r="AI296" s="53">
        <f ca="1">(INDEX(KLL_II_2020!FA_PS_cont_rate,1)*KLL_II_2020!CA_op_trig)*(KLL_II_2020!CA_PSC_switch_trig=0)+
(INDEX(KLL_II_2020!FA_PS_cont_rate,2)*KLL_II_2020!CA_op_trig)*(KLL_II_2020!CA_PSC_switch_trig=1)</f>
        <v>0</v>
      </c>
      <c r="AJ296" s="53">
        <f ca="1">(INDEX(KLL_II_2020!FA_PS_cont_rate,1)*KLL_II_2020!CA_op_trig)*(KLL_II_2020!CA_PSC_switch_trig=0)+
(INDEX(KLL_II_2020!FA_PS_cont_rate,2)*KLL_II_2020!CA_op_trig)*(KLL_II_2020!CA_PSC_switch_trig=1)</f>
        <v>0</v>
      </c>
      <c r="AK296" s="53">
        <f ca="1">(INDEX(KLL_II_2020!FA_PS_cont_rate,1)*KLL_II_2020!CA_op_trig)*(KLL_II_2020!CA_PSC_switch_trig=0)+
(INDEX(KLL_II_2020!FA_PS_cont_rate,2)*KLL_II_2020!CA_op_trig)*(KLL_II_2020!CA_PSC_switch_trig=1)</f>
        <v>0</v>
      </c>
      <c r="AL296" s="53">
        <f ca="1">(INDEX(KLL_II_2020!FA_PS_cont_rate,1)*KLL_II_2020!CA_op_trig)*(KLL_II_2020!CA_PSC_switch_trig=0)+
(INDEX(KLL_II_2020!FA_PS_cont_rate,2)*KLL_II_2020!CA_op_trig)*(KLL_II_2020!CA_PSC_switch_trig=1)</f>
        <v>0</v>
      </c>
      <c r="AM296" s="53">
        <f ca="1">(INDEX(KLL_II_2020!FA_PS_cont_rate,1)*KLL_II_2020!CA_op_trig)*(KLL_II_2020!CA_PSC_switch_trig=0)+
(INDEX(KLL_II_2020!FA_PS_cont_rate,2)*KLL_II_2020!CA_op_trig)*(KLL_II_2020!CA_PSC_switch_trig=1)</f>
        <v>0</v>
      </c>
      <c r="AN296" s="53">
        <f ca="1">(INDEX(KLL_II_2020!FA_PS_cont_rate,1)*KLL_II_2020!CA_op_trig)*(KLL_II_2020!CA_PSC_switch_trig=0)+
(INDEX(KLL_II_2020!FA_PS_cont_rate,2)*KLL_II_2020!CA_op_trig)*(KLL_II_2020!CA_PSC_switch_trig=1)</f>
        <v>0</v>
      </c>
      <c r="AO296" s="53">
        <f ca="1">(INDEX(KLL_II_2020!FA_PS_cont_rate,1)*KLL_II_2020!CA_op_trig)*(KLL_II_2020!CA_PSC_switch_trig=0)+
(INDEX(KLL_II_2020!FA_PS_cont_rate,2)*KLL_II_2020!CA_op_trig)*(KLL_II_2020!CA_PSC_switch_trig=1)</f>
        <v>0</v>
      </c>
      <c r="AP296" s="53">
        <f ca="1">(INDEX(KLL_II_2020!FA_PS_cont_rate,1)*KLL_II_2020!CA_op_trig)*(KLL_II_2020!CA_PSC_switch_trig=0)+
(INDEX(KLL_II_2020!FA_PS_cont_rate,2)*KLL_II_2020!CA_op_trig)*(KLL_II_2020!CA_PSC_switch_trig=1)</f>
        <v>0</v>
      </c>
      <c r="AQ296" s="53">
        <f ca="1">(INDEX(KLL_II_2020!FA_PS_cont_rate,1)*KLL_II_2020!CA_op_trig)*(KLL_II_2020!CA_PSC_switch_trig=0)+
(INDEX(KLL_II_2020!FA_PS_cont_rate,2)*KLL_II_2020!CA_op_trig)*(KLL_II_2020!CA_PSC_switch_trig=1)</f>
        <v>0</v>
      </c>
      <c r="AR296" s="53">
        <f ca="1">(INDEX(KLL_II_2020!FA_PS_cont_rate,1)*KLL_II_2020!CA_op_trig)*(KLL_II_2020!CA_PSC_switch_trig=0)+
(INDEX(KLL_II_2020!FA_PS_cont_rate,2)*KLL_II_2020!CA_op_trig)*(KLL_II_2020!CA_PSC_switch_trig=1)</f>
        <v>0</v>
      </c>
      <c r="AS296" s="53">
        <f ca="1">(INDEX(KLL_II_2020!FA_PS_cont_rate,1)*KLL_II_2020!CA_op_trig)*(KLL_II_2020!CA_PSC_switch_trig=0)+
(INDEX(KLL_II_2020!FA_PS_cont_rate,2)*KLL_II_2020!CA_op_trig)*(KLL_II_2020!CA_PSC_switch_trig=1)</f>
        <v>0</v>
      </c>
      <c r="AT296" s="53">
        <f ca="1">(INDEX(KLL_II_2020!FA_PS_cont_rate,1)*KLL_II_2020!CA_op_trig)*(KLL_II_2020!CA_PSC_switch_trig=0)+
(INDEX(KLL_II_2020!FA_PS_cont_rate,2)*KLL_II_2020!CA_op_trig)*(KLL_II_2020!CA_PSC_switch_trig=1)</f>
        <v>0</v>
      </c>
      <c r="AU296" s="53">
        <f ca="1">(INDEX(KLL_II_2020!FA_PS_cont_rate,1)*KLL_II_2020!CA_op_trig)*(KLL_II_2020!CA_PSC_switch_trig=0)+
(INDEX(KLL_II_2020!FA_PS_cont_rate,2)*KLL_II_2020!CA_op_trig)*(KLL_II_2020!CA_PSC_switch_trig=1)</f>
        <v>0</v>
      </c>
      <c r="AV296" s="53">
        <f ca="1">(INDEX(KLL_II_2020!FA_PS_cont_rate,1)*KLL_II_2020!CA_op_trig)*(KLL_II_2020!CA_PSC_switch_trig=0)+
(INDEX(KLL_II_2020!FA_PS_cont_rate,2)*KLL_II_2020!CA_op_trig)*(KLL_II_2020!CA_PSC_switch_trig=1)</f>
        <v>0</v>
      </c>
      <c r="AW296" s="53">
        <f ca="1">(INDEX(KLL_II_2020!FA_PS_cont_rate,1)*KLL_II_2020!CA_op_trig)*(KLL_II_2020!CA_PSC_switch_trig=0)+
(INDEX(KLL_II_2020!FA_PS_cont_rate,2)*KLL_II_2020!CA_op_trig)*(KLL_II_2020!CA_PSC_switch_trig=1)</f>
        <v>0</v>
      </c>
      <c r="AX296" s="53">
        <f ca="1">(INDEX(KLL_II_2020!FA_PS_cont_rate,1)*KLL_II_2020!CA_op_trig)*(KLL_II_2020!CA_PSC_switch_trig=0)+
(INDEX(KLL_II_2020!FA_PS_cont_rate,2)*KLL_II_2020!CA_op_trig)*(KLL_II_2020!CA_PSC_switch_trig=1)</f>
        <v>0</v>
      </c>
      <c r="AY296" s="53">
        <f ca="1">(INDEX(KLL_II_2020!FA_PS_cont_rate,1)*KLL_II_2020!CA_op_trig)*(KLL_II_2020!CA_PSC_switch_trig=0)+
(INDEX(KLL_II_2020!FA_PS_cont_rate,2)*KLL_II_2020!CA_op_trig)*(KLL_II_2020!CA_PSC_switch_trig=1)</f>
        <v>0</v>
      </c>
      <c r="AZ296" s="53">
        <f ca="1">(INDEX(KLL_II_2020!FA_PS_cont_rate,1)*KLL_II_2020!CA_op_trig)*(KLL_II_2020!CA_PSC_switch_trig=0)+
(INDEX(KLL_II_2020!FA_PS_cont_rate,2)*KLL_II_2020!CA_op_trig)*(KLL_II_2020!CA_PSC_switch_trig=1)</f>
        <v>0</v>
      </c>
      <c r="BA296" s="53">
        <f ca="1">(INDEX(KLL_II_2020!FA_PS_cont_rate,1)*KLL_II_2020!CA_op_trig)*(KLL_II_2020!CA_PSC_switch_trig=0)+
(INDEX(KLL_II_2020!FA_PS_cont_rate,2)*KLL_II_2020!CA_op_trig)*(KLL_II_2020!CA_PSC_switch_trig=1)</f>
        <v>0</v>
      </c>
      <c r="BB296" s="53">
        <f ca="1">(INDEX(KLL_II_2020!FA_PS_cont_rate,1)*KLL_II_2020!CA_op_trig)*(KLL_II_2020!CA_PSC_switch_trig=0)+
(INDEX(KLL_II_2020!FA_PS_cont_rate,2)*KLL_II_2020!CA_op_trig)*(KLL_II_2020!CA_PSC_switch_trig=1)</f>
        <v>0</v>
      </c>
      <c r="BC296" s="53">
        <f ca="1">(INDEX(KLL_II_2020!FA_PS_cont_rate,1)*KLL_II_2020!CA_op_trig)*(KLL_II_2020!CA_PSC_switch_trig=0)+
(INDEX(KLL_II_2020!FA_PS_cont_rate,2)*KLL_II_2020!CA_op_trig)*(KLL_II_2020!CA_PSC_switch_trig=1)</f>
        <v>0</v>
      </c>
      <c r="BD296" s="53">
        <f ca="1">(INDEX(KLL_II_2020!FA_PS_cont_rate,1)*KLL_II_2020!CA_op_trig)*(KLL_II_2020!CA_PSC_switch_trig=0)+
(INDEX(KLL_II_2020!FA_PS_cont_rate,2)*KLL_II_2020!CA_op_trig)*(KLL_II_2020!CA_PSC_switch_trig=1)</f>
        <v>0</v>
      </c>
      <c r="BE296" s="53">
        <f ca="1">(INDEX(KLL_II_2020!FA_PS_cont_rate,1)*KLL_II_2020!CA_op_trig)*(KLL_II_2020!CA_PSC_switch_trig=0)+
(INDEX(KLL_II_2020!FA_PS_cont_rate,2)*KLL_II_2020!CA_op_trig)*(KLL_II_2020!CA_PSC_switch_trig=1)</f>
        <v>0</v>
      </c>
      <c r="BF296" s="53">
        <f ca="1">(INDEX(KLL_II_2020!FA_PS_cont_rate,1)*KLL_II_2020!CA_op_trig)*(KLL_II_2020!CA_PSC_switch_trig=0)+
(INDEX(KLL_II_2020!FA_PS_cont_rate,2)*KLL_II_2020!CA_op_trig)*(KLL_II_2020!CA_PSC_switch_trig=1)</f>
        <v>0</v>
      </c>
      <c r="BG296" s="53">
        <f ca="1">(INDEX(KLL_II_2020!FA_PS_cont_rate,1)*KLL_II_2020!CA_op_trig)*(KLL_II_2020!CA_PSC_switch_trig=0)+
(INDEX(KLL_II_2020!FA_PS_cont_rate,2)*KLL_II_2020!CA_op_trig)*(KLL_II_2020!CA_PSC_switch_trig=1)</f>
        <v>0</v>
      </c>
      <c r="BH296" s="53">
        <f ca="1">(INDEX(KLL_II_2020!FA_PS_cont_rate,1)*KLL_II_2020!CA_op_trig)*(KLL_II_2020!CA_PSC_switch_trig=0)+
(INDEX(KLL_II_2020!FA_PS_cont_rate,2)*KLL_II_2020!CA_op_trig)*(KLL_II_2020!CA_PSC_switch_trig=1)</f>
        <v>0</v>
      </c>
      <c r="BI296" s="53">
        <f ca="1">(INDEX(KLL_II_2020!FA_PS_cont_rate,1)*KLL_II_2020!CA_op_trig)*(KLL_II_2020!CA_PSC_switch_trig=0)+
(INDEX(KLL_II_2020!FA_PS_cont_rate,2)*KLL_II_2020!CA_op_trig)*(KLL_II_2020!CA_PSC_switch_trig=1)</f>
        <v>0</v>
      </c>
      <c r="BJ296" s="53">
        <f ca="1">(INDEX(KLL_II_2020!FA_PS_cont_rate,1)*KLL_II_2020!CA_op_trig)*(KLL_II_2020!CA_PSC_switch_trig=0)+
(INDEX(KLL_II_2020!FA_PS_cont_rate,2)*KLL_II_2020!CA_op_trig)*(KLL_II_2020!CA_PSC_switch_trig=1)</f>
        <v>0</v>
      </c>
      <c r="BK296" s="53">
        <f ca="1">(INDEX(KLL_II_2020!FA_PS_cont_rate,1)*KLL_II_2020!CA_op_trig)*(KLL_II_2020!CA_PSC_switch_trig=0)+
(INDEX(KLL_II_2020!FA_PS_cont_rate,2)*KLL_II_2020!CA_op_trig)*(KLL_II_2020!CA_PSC_switch_trig=1)</f>
        <v>0</v>
      </c>
      <c r="BL296" s="53">
        <f ca="1">(INDEX(KLL_II_2020!FA_PS_cont_rate,1)*KLL_II_2020!CA_op_trig)*(KLL_II_2020!CA_PSC_switch_trig=0)+
(INDEX(KLL_II_2020!FA_PS_cont_rate,2)*KLL_II_2020!CA_op_trig)*(KLL_II_2020!CA_PSC_switch_trig=1)</f>
        <v>0</v>
      </c>
      <c r="BM296" s="53">
        <f ca="1">(INDEX(KLL_II_2020!FA_PS_cont_rate,1)*KLL_II_2020!CA_op_trig)*(KLL_II_2020!CA_PSC_switch_trig=0)+
(INDEX(KLL_II_2020!FA_PS_cont_rate,2)*KLL_II_2020!CA_op_trig)*(KLL_II_2020!CA_PSC_switch_trig=1)</f>
        <v>0</v>
      </c>
      <c r="BN296" s="53">
        <f ca="1">(INDEX(KLL_II_2020!FA_PS_cont_rate,1)*KLL_II_2020!CA_op_trig)*(KLL_II_2020!CA_PSC_switch_trig=0)+
(INDEX(KLL_II_2020!FA_PS_cont_rate,2)*KLL_II_2020!CA_op_trig)*(KLL_II_2020!CA_PSC_switch_trig=1)</f>
        <v>0</v>
      </c>
      <c r="BO296" s="53">
        <f ca="1">(INDEX(KLL_II_2020!FA_PS_cont_rate,1)*KLL_II_2020!CA_op_trig)*(KLL_II_2020!CA_PSC_switch_trig=0)+
(INDEX(KLL_II_2020!FA_PS_cont_rate,2)*KLL_II_2020!CA_op_trig)*(KLL_II_2020!CA_PSC_switch_trig=1)</f>
        <v>0</v>
      </c>
      <c r="BP296" s="53">
        <f ca="1">(INDEX(KLL_II_2020!FA_PS_cont_rate,1)*KLL_II_2020!CA_op_trig)*(KLL_II_2020!CA_PSC_switch_trig=0)+
(INDEX(KLL_II_2020!FA_PS_cont_rate,2)*KLL_II_2020!CA_op_trig)*(KLL_II_2020!CA_PSC_switch_trig=1)</f>
        <v>0</v>
      </c>
      <c r="BQ296" s="53">
        <f ca="1">(INDEX(KLL_II_2020!FA_PS_cont_rate,1)*KLL_II_2020!CA_op_trig)*(KLL_II_2020!CA_PSC_switch_trig=0)+
(INDEX(KLL_II_2020!FA_PS_cont_rate,2)*KLL_II_2020!CA_op_trig)*(KLL_II_2020!CA_PSC_switch_trig=1)</f>
        <v>0</v>
      </c>
      <c r="BR296" s="53">
        <f ca="1">(INDEX(KLL_II_2020!FA_PS_cont_rate,1)*KLL_II_2020!CA_op_trig)*(KLL_II_2020!CA_PSC_switch_trig=0)+
(INDEX(KLL_II_2020!FA_PS_cont_rate,2)*KLL_II_2020!CA_op_trig)*(KLL_II_2020!CA_PSC_switch_trig=1)</f>
        <v>0</v>
      </c>
      <c r="BS296" s="53">
        <f ca="1">(INDEX(KLL_II_2020!FA_PS_cont_rate,1)*KLL_II_2020!CA_op_trig)*(KLL_II_2020!CA_PSC_switch_trig=0)+
(INDEX(KLL_II_2020!FA_PS_cont_rate,2)*KLL_II_2020!CA_op_trig)*(KLL_II_2020!CA_PSC_switch_trig=1)</f>
        <v>0</v>
      </c>
    </row>
    <row r="297" spans="3:71" outlineLevel="1" x14ac:dyDescent="0.2">
      <c r="D297" t="str">
        <f>HM_ZB_Nsoko!D310</f>
        <v>Part du Contracteur dans le Profit Oil</v>
      </c>
      <c r="I297" s="30">
        <f t="shared" ca="1" si="77"/>
        <v>581.65467570621922</v>
      </c>
      <c r="J297" s="26" t="s">
        <v>148</v>
      </c>
      <c r="L297" s="49">
        <f ca="1">L295*L296</f>
        <v>39.375300888787542</v>
      </c>
      <c r="M297" s="49">
        <f t="shared" ref="M297:BS297" ca="1" si="78">M295*M296</f>
        <v>29.773823288852537</v>
      </c>
      <c r="N297" s="49">
        <f t="shared" ca="1" si="78"/>
        <v>51.167424221379392</v>
      </c>
      <c r="O297" s="49">
        <f t="shared" ca="1" si="78"/>
        <v>53.579923376581867</v>
      </c>
      <c r="P297" s="49">
        <f t="shared" ca="1" si="78"/>
        <v>49.070948089799998</v>
      </c>
      <c r="Q297" s="49">
        <f t="shared" ca="1" si="78"/>
        <v>54.017384878047508</v>
      </c>
      <c r="R297" s="49">
        <f t="shared" ca="1" si="78"/>
        <v>56.987962302009379</v>
      </c>
      <c r="S297" s="49">
        <f t="shared" ca="1" si="78"/>
        <v>39.358908225000008</v>
      </c>
      <c r="T297" s="49">
        <f t="shared" ca="1" si="78"/>
        <v>46.173460724999984</v>
      </c>
      <c r="U297" s="49">
        <f t="shared" ca="1" si="78"/>
        <v>43.800144843734998</v>
      </c>
      <c r="V297" s="49">
        <f t="shared" ca="1" si="78"/>
        <v>41.548817398767007</v>
      </c>
      <c r="W297" s="49">
        <f t="shared" ca="1" si="78"/>
        <v>39.413208184470378</v>
      </c>
      <c r="X297" s="49">
        <f t="shared" ca="1" si="78"/>
        <v>37.387369283788615</v>
      </c>
      <c r="Y297" s="49">
        <f t="shared" ca="1" si="78"/>
        <v>0</v>
      </c>
      <c r="Z297" s="49">
        <f t="shared" ca="1" si="78"/>
        <v>0</v>
      </c>
      <c r="AA297" s="49">
        <f t="shared" ca="1" si="78"/>
        <v>0</v>
      </c>
      <c r="AB297" s="49">
        <f t="shared" ca="1" si="78"/>
        <v>0</v>
      </c>
      <c r="AC297" s="49">
        <f t="shared" ca="1" si="78"/>
        <v>0</v>
      </c>
      <c r="AD297" s="49">
        <f t="shared" ca="1" si="78"/>
        <v>0</v>
      </c>
      <c r="AE297" s="49">
        <f t="shared" ca="1" si="78"/>
        <v>0</v>
      </c>
      <c r="AF297" s="49">
        <f t="shared" ca="1" si="78"/>
        <v>0</v>
      </c>
      <c r="AG297" s="49">
        <f t="shared" ca="1" si="78"/>
        <v>0</v>
      </c>
      <c r="AH297" s="49">
        <f t="shared" ca="1" si="78"/>
        <v>0</v>
      </c>
      <c r="AI297" s="49">
        <f t="shared" ca="1" si="78"/>
        <v>0</v>
      </c>
      <c r="AJ297" s="49">
        <f t="shared" ca="1" si="78"/>
        <v>0</v>
      </c>
      <c r="AK297" s="49">
        <f t="shared" ca="1" si="78"/>
        <v>0</v>
      </c>
      <c r="AL297" s="49">
        <f t="shared" ca="1" si="78"/>
        <v>0</v>
      </c>
      <c r="AM297" s="49">
        <f t="shared" ca="1" si="78"/>
        <v>0</v>
      </c>
      <c r="AN297" s="49">
        <f t="shared" ca="1" si="78"/>
        <v>0</v>
      </c>
      <c r="AO297" s="49">
        <f t="shared" ca="1" si="78"/>
        <v>0</v>
      </c>
      <c r="AP297" s="49">
        <f t="shared" ca="1" si="78"/>
        <v>0</v>
      </c>
      <c r="AQ297" s="49">
        <f t="shared" ca="1" si="78"/>
        <v>0</v>
      </c>
      <c r="AR297" s="49">
        <f t="shared" ca="1" si="78"/>
        <v>0</v>
      </c>
      <c r="AS297" s="49">
        <f t="shared" ca="1" si="78"/>
        <v>0</v>
      </c>
      <c r="AT297" s="49">
        <f t="shared" ca="1" si="78"/>
        <v>0</v>
      </c>
      <c r="AU297" s="49">
        <f t="shared" ca="1" si="78"/>
        <v>0</v>
      </c>
      <c r="AV297" s="49">
        <f t="shared" ca="1" si="78"/>
        <v>0</v>
      </c>
      <c r="AW297" s="49">
        <f t="shared" ca="1" si="78"/>
        <v>0</v>
      </c>
      <c r="AX297" s="49">
        <f t="shared" ca="1" si="78"/>
        <v>0</v>
      </c>
      <c r="AY297" s="49">
        <f t="shared" ca="1" si="78"/>
        <v>0</v>
      </c>
      <c r="AZ297" s="49">
        <f t="shared" ca="1" si="78"/>
        <v>0</v>
      </c>
      <c r="BA297" s="49">
        <f t="shared" ca="1" si="78"/>
        <v>0</v>
      </c>
      <c r="BB297" s="49">
        <f t="shared" ca="1" si="78"/>
        <v>0</v>
      </c>
      <c r="BC297" s="49">
        <f t="shared" ca="1" si="78"/>
        <v>0</v>
      </c>
      <c r="BD297" s="49">
        <f t="shared" ca="1" si="78"/>
        <v>0</v>
      </c>
      <c r="BE297" s="49">
        <f t="shared" ca="1" si="78"/>
        <v>0</v>
      </c>
      <c r="BF297" s="49">
        <f t="shared" ca="1" si="78"/>
        <v>0</v>
      </c>
      <c r="BG297" s="49">
        <f t="shared" ca="1" si="78"/>
        <v>0</v>
      </c>
      <c r="BH297" s="49">
        <f t="shared" ca="1" si="78"/>
        <v>0</v>
      </c>
      <c r="BI297" s="49">
        <f t="shared" ca="1" si="78"/>
        <v>0</v>
      </c>
      <c r="BJ297" s="49">
        <f t="shared" ca="1" si="78"/>
        <v>0</v>
      </c>
      <c r="BK297" s="49">
        <f t="shared" ca="1" si="78"/>
        <v>0</v>
      </c>
      <c r="BL297" s="49">
        <f t="shared" ca="1" si="78"/>
        <v>0</v>
      </c>
      <c r="BM297" s="49">
        <f t="shared" ca="1" si="78"/>
        <v>0</v>
      </c>
      <c r="BN297" s="49">
        <f t="shared" ca="1" si="78"/>
        <v>0</v>
      </c>
      <c r="BO297" s="49">
        <f t="shared" ca="1" si="78"/>
        <v>0</v>
      </c>
      <c r="BP297" s="49">
        <f t="shared" ca="1" si="78"/>
        <v>0</v>
      </c>
      <c r="BQ297" s="49">
        <f t="shared" ca="1" si="78"/>
        <v>0</v>
      </c>
      <c r="BR297" s="49">
        <f t="shared" ca="1" si="78"/>
        <v>0</v>
      </c>
      <c r="BS297" s="49">
        <f t="shared" ca="1" si="78"/>
        <v>0</v>
      </c>
    </row>
    <row r="298" spans="3:71" outlineLevel="1" x14ac:dyDescent="0.2">
      <c r="D298" t="str">
        <f>HM_ZB_Nsoko!D311</f>
        <v>Part du Gouv. dans le Profit Oil</v>
      </c>
      <c r="I298" s="30">
        <f t="shared" ca="1" si="77"/>
        <v>427.51339860831536</v>
      </c>
      <c r="J298" s="26" t="s">
        <v>148</v>
      </c>
      <c r="L298" s="49">
        <f ca="1">L295-L297</f>
        <v>21.202085093962516</v>
      </c>
      <c r="M298" s="49">
        <f t="shared" ref="M298:BS298" ca="1" si="79">M295-M297</f>
        <v>16.032058693997516</v>
      </c>
      <c r="N298" s="49">
        <f t="shared" ca="1" si="79"/>
        <v>27.551689965358136</v>
      </c>
      <c r="O298" s="49">
        <f t="shared" ca="1" si="79"/>
        <v>28.850727972005622</v>
      </c>
      <c r="P298" s="49">
        <f t="shared" ca="1" si="79"/>
        <v>26.422818202199991</v>
      </c>
      <c r="Q298" s="49">
        <f t="shared" ca="1" si="79"/>
        <v>29.086284165102498</v>
      </c>
      <c r="R298" s="49">
        <f t="shared" ca="1" si="79"/>
        <v>30.685825854928126</v>
      </c>
      <c r="S298" s="49">
        <f t="shared" ca="1" si="79"/>
        <v>39.358908225000008</v>
      </c>
      <c r="T298" s="49">
        <f t="shared" ca="1" si="79"/>
        <v>46.173460724999984</v>
      </c>
      <c r="U298" s="49">
        <f t="shared" ca="1" si="79"/>
        <v>43.800144843734998</v>
      </c>
      <c r="V298" s="49">
        <f t="shared" ca="1" si="79"/>
        <v>41.548817398767007</v>
      </c>
      <c r="W298" s="49">
        <f t="shared" ca="1" si="79"/>
        <v>39.413208184470378</v>
      </c>
      <c r="X298" s="49">
        <f t="shared" ca="1" si="79"/>
        <v>37.387369283788615</v>
      </c>
      <c r="Y298" s="49">
        <f t="shared" ca="1" si="79"/>
        <v>0</v>
      </c>
      <c r="Z298" s="49">
        <f t="shared" ca="1" si="79"/>
        <v>0</v>
      </c>
      <c r="AA298" s="49">
        <f t="shared" ca="1" si="79"/>
        <v>0</v>
      </c>
      <c r="AB298" s="49">
        <f t="shared" ca="1" si="79"/>
        <v>0</v>
      </c>
      <c r="AC298" s="49">
        <f t="shared" ca="1" si="79"/>
        <v>0</v>
      </c>
      <c r="AD298" s="49">
        <f t="shared" ca="1" si="79"/>
        <v>0</v>
      </c>
      <c r="AE298" s="49">
        <f t="shared" ca="1" si="79"/>
        <v>0</v>
      </c>
      <c r="AF298" s="49">
        <f t="shared" ca="1" si="79"/>
        <v>0</v>
      </c>
      <c r="AG298" s="49">
        <f t="shared" ca="1" si="79"/>
        <v>0</v>
      </c>
      <c r="AH298" s="49">
        <f t="shared" ca="1" si="79"/>
        <v>0</v>
      </c>
      <c r="AI298" s="49">
        <f t="shared" ca="1" si="79"/>
        <v>0</v>
      </c>
      <c r="AJ298" s="49">
        <f t="shared" ca="1" si="79"/>
        <v>0</v>
      </c>
      <c r="AK298" s="49">
        <f t="shared" ca="1" si="79"/>
        <v>0</v>
      </c>
      <c r="AL298" s="49">
        <f t="shared" ca="1" si="79"/>
        <v>0</v>
      </c>
      <c r="AM298" s="49">
        <f t="shared" ca="1" si="79"/>
        <v>0</v>
      </c>
      <c r="AN298" s="49">
        <f t="shared" ca="1" si="79"/>
        <v>0</v>
      </c>
      <c r="AO298" s="49">
        <f t="shared" ca="1" si="79"/>
        <v>0</v>
      </c>
      <c r="AP298" s="49">
        <f t="shared" ca="1" si="79"/>
        <v>0</v>
      </c>
      <c r="AQ298" s="49">
        <f t="shared" ca="1" si="79"/>
        <v>0</v>
      </c>
      <c r="AR298" s="49">
        <f t="shared" ca="1" si="79"/>
        <v>0</v>
      </c>
      <c r="AS298" s="49">
        <f t="shared" ca="1" si="79"/>
        <v>0</v>
      </c>
      <c r="AT298" s="49">
        <f t="shared" ca="1" si="79"/>
        <v>0</v>
      </c>
      <c r="AU298" s="49">
        <f t="shared" ca="1" si="79"/>
        <v>0</v>
      </c>
      <c r="AV298" s="49">
        <f t="shared" ca="1" si="79"/>
        <v>0</v>
      </c>
      <c r="AW298" s="49">
        <f t="shared" ca="1" si="79"/>
        <v>0</v>
      </c>
      <c r="AX298" s="49">
        <f t="shared" ca="1" si="79"/>
        <v>0</v>
      </c>
      <c r="AY298" s="49">
        <f t="shared" ca="1" si="79"/>
        <v>0</v>
      </c>
      <c r="AZ298" s="49">
        <f t="shared" ca="1" si="79"/>
        <v>0</v>
      </c>
      <c r="BA298" s="49">
        <f t="shared" ca="1" si="79"/>
        <v>0</v>
      </c>
      <c r="BB298" s="49">
        <f t="shared" ca="1" si="79"/>
        <v>0</v>
      </c>
      <c r="BC298" s="49">
        <f t="shared" ca="1" si="79"/>
        <v>0</v>
      </c>
      <c r="BD298" s="49">
        <f t="shared" ca="1" si="79"/>
        <v>0</v>
      </c>
      <c r="BE298" s="49">
        <f t="shared" ca="1" si="79"/>
        <v>0</v>
      </c>
      <c r="BF298" s="49">
        <f t="shared" ca="1" si="79"/>
        <v>0</v>
      </c>
      <c r="BG298" s="49">
        <f t="shared" ca="1" si="79"/>
        <v>0</v>
      </c>
      <c r="BH298" s="49">
        <f t="shared" ca="1" si="79"/>
        <v>0</v>
      </c>
      <c r="BI298" s="49">
        <f t="shared" ca="1" si="79"/>
        <v>0</v>
      </c>
      <c r="BJ298" s="49">
        <f t="shared" ca="1" si="79"/>
        <v>0</v>
      </c>
      <c r="BK298" s="49">
        <f t="shared" ca="1" si="79"/>
        <v>0</v>
      </c>
      <c r="BL298" s="49">
        <f t="shared" ca="1" si="79"/>
        <v>0</v>
      </c>
      <c r="BM298" s="49">
        <f t="shared" ca="1" si="79"/>
        <v>0</v>
      </c>
      <c r="BN298" s="49">
        <f t="shared" ca="1" si="79"/>
        <v>0</v>
      </c>
      <c r="BO298" s="49">
        <f t="shared" ca="1" si="79"/>
        <v>0</v>
      </c>
      <c r="BP298" s="49">
        <f t="shared" ca="1" si="79"/>
        <v>0</v>
      </c>
      <c r="BQ298" s="49">
        <f t="shared" ca="1" si="79"/>
        <v>0</v>
      </c>
      <c r="BR298" s="49">
        <f t="shared" ca="1" si="79"/>
        <v>0</v>
      </c>
      <c r="BS298" s="49">
        <f t="shared" ca="1" si="79"/>
        <v>0</v>
      </c>
    </row>
    <row r="299" spans="3:71" outlineLevel="1" x14ac:dyDescent="0.2">
      <c r="J299" s="26"/>
      <c r="L299" s="55"/>
      <c r="M299" s="55"/>
      <c r="N299" s="55"/>
      <c r="O299" s="55"/>
      <c r="P299" s="55"/>
      <c r="Q299" s="55"/>
      <c r="R299" s="55"/>
      <c r="S299" s="55"/>
      <c r="T299" s="55"/>
      <c r="U299" s="55"/>
      <c r="V299" s="55"/>
      <c r="W299" s="55"/>
      <c r="X299" s="55"/>
      <c r="Y299" s="55"/>
      <c r="Z299" s="55"/>
      <c r="AA299" s="55"/>
      <c r="AB299" s="55"/>
      <c r="AC299" s="55"/>
      <c r="AD299" s="55"/>
      <c r="AE299" s="55"/>
      <c r="AF299" s="55"/>
      <c r="AG299" s="55"/>
      <c r="AH299" s="55"/>
      <c r="AI299" s="55"/>
      <c r="AJ299" s="55"/>
      <c r="AK299" s="55"/>
      <c r="AL299" s="55"/>
      <c r="AM299" s="55"/>
      <c r="AN299" s="55"/>
      <c r="AO299" s="55"/>
      <c r="AP299" s="55"/>
      <c r="AQ299" s="55"/>
      <c r="AR299" s="55"/>
      <c r="AS299" s="55"/>
      <c r="AT299" s="55"/>
      <c r="AU299" s="55"/>
      <c r="AV299" s="55"/>
      <c r="AW299" s="55"/>
      <c r="AX299" s="55"/>
      <c r="AY299" s="55"/>
      <c r="AZ299" s="55"/>
      <c r="BA299" s="55"/>
      <c r="BB299" s="55"/>
      <c r="BC299" s="55"/>
      <c r="BD299" s="55"/>
      <c r="BE299" s="55"/>
      <c r="BF299" s="55"/>
      <c r="BG299" s="55"/>
      <c r="BH299" s="55"/>
      <c r="BI299" s="55"/>
      <c r="BJ299" s="55"/>
      <c r="BK299" s="55"/>
      <c r="BL299" s="55"/>
      <c r="BM299" s="55"/>
      <c r="BN299" s="55"/>
      <c r="BO299" s="55"/>
      <c r="BP299" s="55"/>
      <c r="BQ299" s="55"/>
      <c r="BR299" s="55"/>
      <c r="BS299" s="55"/>
    </row>
    <row r="300" spans="3:71" outlineLevel="1" x14ac:dyDescent="0.2">
      <c r="D300" s="11" t="str">
        <f>HM_ZB_Nsoko!D313</f>
        <v>Profit Gaz</v>
      </c>
      <c r="J300" s="26"/>
      <c r="L300" s="55"/>
      <c r="M300" s="55"/>
      <c r="N300" s="55"/>
      <c r="O300" s="55"/>
      <c r="P300" s="55"/>
      <c r="Q300" s="55"/>
      <c r="R300" s="55"/>
      <c r="S300" s="55"/>
      <c r="T300" s="55"/>
      <c r="U300" s="55"/>
      <c r="V300" s="55"/>
      <c r="W300" s="55"/>
      <c r="X300" s="55"/>
      <c r="Y300" s="55"/>
      <c r="Z300" s="55"/>
      <c r="AA300" s="55"/>
      <c r="AB300" s="55"/>
      <c r="AC300" s="55"/>
      <c r="AD300" s="55"/>
      <c r="AE300" s="55"/>
      <c r="AF300" s="55"/>
      <c r="AG300" s="55"/>
      <c r="AH300" s="55"/>
      <c r="AI300" s="55"/>
      <c r="AJ300" s="55"/>
      <c r="AK300" s="55"/>
      <c r="AL300" s="55"/>
      <c r="AM300" s="55"/>
      <c r="AN300" s="55"/>
      <c r="AO300" s="55"/>
      <c r="AP300" s="55"/>
      <c r="AQ300" s="55"/>
      <c r="AR300" s="55"/>
      <c r="AS300" s="55"/>
      <c r="AT300" s="55"/>
      <c r="AU300" s="55"/>
      <c r="AV300" s="55"/>
      <c r="AW300" s="55"/>
      <c r="AX300" s="55"/>
      <c r="AY300" s="55"/>
      <c r="AZ300" s="55"/>
      <c r="BA300" s="55"/>
      <c r="BB300" s="55"/>
      <c r="BC300" s="55"/>
      <c r="BD300" s="55"/>
      <c r="BE300" s="55"/>
      <c r="BF300" s="55"/>
      <c r="BG300" s="55"/>
      <c r="BH300" s="55"/>
      <c r="BI300" s="55"/>
      <c r="BJ300" s="55"/>
      <c r="BK300" s="55"/>
      <c r="BL300" s="55"/>
      <c r="BM300" s="55"/>
      <c r="BN300" s="55"/>
      <c r="BO300" s="55"/>
      <c r="BP300" s="55"/>
      <c r="BQ300" s="55"/>
      <c r="BR300" s="55"/>
      <c r="BS300" s="55"/>
    </row>
    <row r="301" spans="3:71" outlineLevel="1" x14ac:dyDescent="0.2">
      <c r="D301" s="50" t="str">
        <f>HM_ZB_Nsoko!D314</f>
        <v>Revenus gaziers pour le Partage du Profit</v>
      </c>
      <c r="I301" s="30">
        <f t="shared" ref="I301:I307" ca="1" si="80">SUM($L301:$BS301)</f>
        <v>0</v>
      </c>
      <c r="J301" s="26" t="s">
        <v>148</v>
      </c>
      <c r="L301" s="49">
        <f ca="1">MAX(KLL_II_2020!CA_gross_rev_gas_fp-KLL_II_2020!CA_roy_gas_fp-(KLL_II_2020!CA_cost_recovered_total*KLL_II_2020!CA_rev_gas_perc)-(KLL_II_2020!CA_excess_cost_recovery*KLL_II_2020!CA_rev_gas_perc),0)</f>
        <v>0</v>
      </c>
      <c r="M301" s="49">
        <f ca="1">MAX(KLL_II_2020!CA_gross_rev_gas_fp-KLL_II_2020!CA_roy_gas_fp-(KLL_II_2020!CA_cost_recovered_total*KLL_II_2020!CA_rev_gas_perc)-(KLL_II_2020!CA_excess_cost_recovery*KLL_II_2020!CA_rev_gas_perc),0)</f>
        <v>0</v>
      </c>
      <c r="N301" s="49">
        <f ca="1">MAX(KLL_II_2020!CA_gross_rev_gas_fp-KLL_II_2020!CA_roy_gas_fp-(KLL_II_2020!CA_cost_recovered_total*KLL_II_2020!CA_rev_gas_perc)-(KLL_II_2020!CA_excess_cost_recovery*KLL_II_2020!CA_rev_gas_perc),0)</f>
        <v>0</v>
      </c>
      <c r="O301" s="49">
        <f ca="1">MAX(KLL_II_2020!CA_gross_rev_gas_fp-KLL_II_2020!CA_roy_gas_fp-(KLL_II_2020!CA_cost_recovered_total*KLL_II_2020!CA_rev_gas_perc)-(KLL_II_2020!CA_excess_cost_recovery*KLL_II_2020!CA_rev_gas_perc),0)</f>
        <v>0</v>
      </c>
      <c r="P301" s="49">
        <f ca="1">MAX(KLL_II_2020!CA_gross_rev_gas_fp-KLL_II_2020!CA_roy_gas_fp-(KLL_II_2020!CA_cost_recovered_total*KLL_II_2020!CA_rev_gas_perc)-(KLL_II_2020!CA_excess_cost_recovery*KLL_II_2020!CA_rev_gas_perc),0)</f>
        <v>0</v>
      </c>
      <c r="Q301" s="49">
        <f ca="1">MAX(KLL_II_2020!CA_gross_rev_gas_fp-KLL_II_2020!CA_roy_gas_fp-(KLL_II_2020!CA_cost_recovered_total*KLL_II_2020!CA_rev_gas_perc)-(KLL_II_2020!CA_excess_cost_recovery*KLL_II_2020!CA_rev_gas_perc),0)</f>
        <v>0</v>
      </c>
      <c r="R301" s="49">
        <f ca="1">MAX(KLL_II_2020!CA_gross_rev_gas_fp-KLL_II_2020!CA_roy_gas_fp-(KLL_II_2020!CA_cost_recovered_total*KLL_II_2020!CA_rev_gas_perc)-(KLL_II_2020!CA_excess_cost_recovery*KLL_II_2020!CA_rev_gas_perc),0)</f>
        <v>0</v>
      </c>
      <c r="S301" s="49">
        <f ca="1">MAX(KLL_II_2020!CA_gross_rev_gas_fp-KLL_II_2020!CA_roy_gas_fp-(KLL_II_2020!CA_cost_recovered_total*KLL_II_2020!CA_rev_gas_perc)-(KLL_II_2020!CA_excess_cost_recovery*KLL_II_2020!CA_rev_gas_perc),0)</f>
        <v>0</v>
      </c>
      <c r="T301" s="49">
        <f ca="1">MAX(KLL_II_2020!CA_gross_rev_gas_fp-KLL_II_2020!CA_roy_gas_fp-(KLL_II_2020!CA_cost_recovered_total*KLL_II_2020!CA_rev_gas_perc)-(KLL_II_2020!CA_excess_cost_recovery*KLL_II_2020!CA_rev_gas_perc),0)</f>
        <v>0</v>
      </c>
      <c r="U301" s="49">
        <f ca="1">MAX(KLL_II_2020!CA_gross_rev_gas_fp-KLL_II_2020!CA_roy_gas_fp-(KLL_II_2020!CA_cost_recovered_total*KLL_II_2020!CA_rev_gas_perc)-(KLL_II_2020!CA_excess_cost_recovery*KLL_II_2020!CA_rev_gas_perc),0)</f>
        <v>0</v>
      </c>
      <c r="V301" s="49">
        <f ca="1">MAX(KLL_II_2020!CA_gross_rev_gas_fp-KLL_II_2020!CA_roy_gas_fp-(KLL_II_2020!CA_cost_recovered_total*KLL_II_2020!CA_rev_gas_perc)-(KLL_II_2020!CA_excess_cost_recovery*KLL_II_2020!CA_rev_gas_perc),0)</f>
        <v>0</v>
      </c>
      <c r="W301" s="49">
        <f ca="1">MAX(KLL_II_2020!CA_gross_rev_gas_fp-KLL_II_2020!CA_roy_gas_fp-(KLL_II_2020!CA_cost_recovered_total*KLL_II_2020!CA_rev_gas_perc)-(KLL_II_2020!CA_excess_cost_recovery*KLL_II_2020!CA_rev_gas_perc),0)</f>
        <v>0</v>
      </c>
      <c r="X301" s="49">
        <f ca="1">MAX(KLL_II_2020!CA_gross_rev_gas_fp-KLL_II_2020!CA_roy_gas_fp-(KLL_II_2020!CA_cost_recovered_total*KLL_II_2020!CA_rev_gas_perc)-(KLL_II_2020!CA_excess_cost_recovery*KLL_II_2020!CA_rev_gas_perc),0)</f>
        <v>0</v>
      </c>
      <c r="Y301" s="49">
        <f ca="1">MAX(KLL_II_2020!CA_gross_rev_gas_fp-KLL_II_2020!CA_roy_gas_fp-(KLL_II_2020!CA_cost_recovered_total*KLL_II_2020!CA_rev_gas_perc)-(KLL_II_2020!CA_excess_cost_recovery*KLL_II_2020!CA_rev_gas_perc),0)</f>
        <v>0</v>
      </c>
      <c r="Z301" s="49">
        <f ca="1">MAX(KLL_II_2020!CA_gross_rev_gas_fp-KLL_II_2020!CA_roy_gas_fp-(KLL_II_2020!CA_cost_recovered_total*KLL_II_2020!CA_rev_gas_perc)-(KLL_II_2020!CA_excess_cost_recovery*KLL_II_2020!CA_rev_gas_perc),0)</f>
        <v>0</v>
      </c>
      <c r="AA301" s="49">
        <f ca="1">MAX(KLL_II_2020!CA_gross_rev_gas_fp-KLL_II_2020!CA_roy_gas_fp-(KLL_II_2020!CA_cost_recovered_total*KLL_II_2020!CA_rev_gas_perc)-(KLL_II_2020!CA_excess_cost_recovery*KLL_II_2020!CA_rev_gas_perc),0)</f>
        <v>0</v>
      </c>
      <c r="AB301" s="49">
        <f ca="1">MAX(KLL_II_2020!CA_gross_rev_gas_fp-KLL_II_2020!CA_roy_gas_fp-(KLL_II_2020!CA_cost_recovered_total*KLL_II_2020!CA_rev_gas_perc)-(KLL_II_2020!CA_excess_cost_recovery*KLL_II_2020!CA_rev_gas_perc),0)</f>
        <v>0</v>
      </c>
      <c r="AC301" s="49">
        <f ca="1">MAX(KLL_II_2020!CA_gross_rev_gas_fp-KLL_II_2020!CA_roy_gas_fp-(KLL_II_2020!CA_cost_recovered_total*KLL_II_2020!CA_rev_gas_perc)-(KLL_II_2020!CA_excess_cost_recovery*KLL_II_2020!CA_rev_gas_perc),0)</f>
        <v>0</v>
      </c>
      <c r="AD301" s="49">
        <f ca="1">MAX(KLL_II_2020!CA_gross_rev_gas_fp-KLL_II_2020!CA_roy_gas_fp-(KLL_II_2020!CA_cost_recovered_total*KLL_II_2020!CA_rev_gas_perc)-(KLL_II_2020!CA_excess_cost_recovery*KLL_II_2020!CA_rev_gas_perc),0)</f>
        <v>0</v>
      </c>
      <c r="AE301" s="49">
        <f ca="1">MAX(KLL_II_2020!CA_gross_rev_gas_fp-KLL_II_2020!CA_roy_gas_fp-(KLL_II_2020!CA_cost_recovered_total*KLL_II_2020!CA_rev_gas_perc)-(KLL_II_2020!CA_excess_cost_recovery*KLL_II_2020!CA_rev_gas_perc),0)</f>
        <v>0</v>
      </c>
      <c r="AF301" s="49">
        <f ca="1">MAX(KLL_II_2020!CA_gross_rev_gas_fp-KLL_II_2020!CA_roy_gas_fp-(KLL_II_2020!CA_cost_recovered_total*KLL_II_2020!CA_rev_gas_perc)-(KLL_II_2020!CA_excess_cost_recovery*KLL_II_2020!CA_rev_gas_perc),0)</f>
        <v>0</v>
      </c>
      <c r="AG301" s="49">
        <f ca="1">MAX(KLL_II_2020!CA_gross_rev_gas_fp-KLL_II_2020!CA_roy_gas_fp-(KLL_II_2020!CA_cost_recovered_total*KLL_II_2020!CA_rev_gas_perc)-(KLL_II_2020!CA_excess_cost_recovery*KLL_II_2020!CA_rev_gas_perc),0)</f>
        <v>0</v>
      </c>
      <c r="AH301" s="49">
        <f ca="1">MAX(KLL_II_2020!CA_gross_rev_gas_fp-KLL_II_2020!CA_roy_gas_fp-(KLL_II_2020!CA_cost_recovered_total*KLL_II_2020!CA_rev_gas_perc)-(KLL_II_2020!CA_excess_cost_recovery*KLL_II_2020!CA_rev_gas_perc),0)</f>
        <v>0</v>
      </c>
      <c r="AI301" s="49">
        <f ca="1">MAX(KLL_II_2020!CA_gross_rev_gas_fp-KLL_II_2020!CA_roy_gas_fp-(KLL_II_2020!CA_cost_recovered_total*KLL_II_2020!CA_rev_gas_perc)-(KLL_II_2020!CA_excess_cost_recovery*KLL_II_2020!CA_rev_gas_perc),0)</f>
        <v>0</v>
      </c>
      <c r="AJ301" s="49">
        <f ca="1">MAX(KLL_II_2020!CA_gross_rev_gas_fp-KLL_II_2020!CA_roy_gas_fp-(KLL_II_2020!CA_cost_recovered_total*KLL_II_2020!CA_rev_gas_perc)-(KLL_II_2020!CA_excess_cost_recovery*KLL_II_2020!CA_rev_gas_perc),0)</f>
        <v>0</v>
      </c>
      <c r="AK301" s="49">
        <f ca="1">MAX(KLL_II_2020!CA_gross_rev_gas_fp-KLL_II_2020!CA_roy_gas_fp-(KLL_II_2020!CA_cost_recovered_total*KLL_II_2020!CA_rev_gas_perc)-(KLL_II_2020!CA_excess_cost_recovery*KLL_II_2020!CA_rev_gas_perc),0)</f>
        <v>0</v>
      </c>
      <c r="AL301" s="49">
        <f ca="1">MAX(KLL_II_2020!CA_gross_rev_gas_fp-KLL_II_2020!CA_roy_gas_fp-(KLL_II_2020!CA_cost_recovered_total*KLL_II_2020!CA_rev_gas_perc)-(KLL_II_2020!CA_excess_cost_recovery*KLL_II_2020!CA_rev_gas_perc),0)</f>
        <v>0</v>
      </c>
      <c r="AM301" s="49">
        <f ca="1">MAX(KLL_II_2020!CA_gross_rev_gas_fp-KLL_II_2020!CA_roy_gas_fp-(KLL_II_2020!CA_cost_recovered_total*KLL_II_2020!CA_rev_gas_perc)-(KLL_II_2020!CA_excess_cost_recovery*KLL_II_2020!CA_rev_gas_perc),0)</f>
        <v>0</v>
      </c>
      <c r="AN301" s="49">
        <f ca="1">MAX(KLL_II_2020!CA_gross_rev_gas_fp-KLL_II_2020!CA_roy_gas_fp-(KLL_II_2020!CA_cost_recovered_total*KLL_II_2020!CA_rev_gas_perc)-(KLL_II_2020!CA_excess_cost_recovery*KLL_II_2020!CA_rev_gas_perc),0)</f>
        <v>0</v>
      </c>
      <c r="AO301" s="49">
        <f ca="1">MAX(KLL_II_2020!CA_gross_rev_gas_fp-KLL_II_2020!CA_roy_gas_fp-(KLL_II_2020!CA_cost_recovered_total*KLL_II_2020!CA_rev_gas_perc)-(KLL_II_2020!CA_excess_cost_recovery*KLL_II_2020!CA_rev_gas_perc),0)</f>
        <v>0</v>
      </c>
      <c r="AP301" s="49">
        <f ca="1">MAX(KLL_II_2020!CA_gross_rev_gas_fp-KLL_II_2020!CA_roy_gas_fp-(KLL_II_2020!CA_cost_recovered_total*KLL_II_2020!CA_rev_gas_perc)-(KLL_II_2020!CA_excess_cost_recovery*KLL_II_2020!CA_rev_gas_perc),0)</f>
        <v>0</v>
      </c>
      <c r="AQ301" s="49">
        <f ca="1">MAX(KLL_II_2020!CA_gross_rev_gas_fp-KLL_II_2020!CA_roy_gas_fp-(KLL_II_2020!CA_cost_recovered_total*KLL_II_2020!CA_rev_gas_perc)-(KLL_II_2020!CA_excess_cost_recovery*KLL_II_2020!CA_rev_gas_perc),0)</f>
        <v>0</v>
      </c>
      <c r="AR301" s="49">
        <f ca="1">MAX(KLL_II_2020!CA_gross_rev_gas_fp-KLL_II_2020!CA_roy_gas_fp-(KLL_II_2020!CA_cost_recovered_total*KLL_II_2020!CA_rev_gas_perc)-(KLL_II_2020!CA_excess_cost_recovery*KLL_II_2020!CA_rev_gas_perc),0)</f>
        <v>0</v>
      </c>
      <c r="AS301" s="49">
        <f ca="1">MAX(KLL_II_2020!CA_gross_rev_gas_fp-KLL_II_2020!CA_roy_gas_fp-(KLL_II_2020!CA_cost_recovered_total*KLL_II_2020!CA_rev_gas_perc)-(KLL_II_2020!CA_excess_cost_recovery*KLL_II_2020!CA_rev_gas_perc),0)</f>
        <v>0</v>
      </c>
      <c r="AT301" s="49">
        <f ca="1">MAX(KLL_II_2020!CA_gross_rev_gas_fp-KLL_II_2020!CA_roy_gas_fp-(KLL_II_2020!CA_cost_recovered_total*KLL_II_2020!CA_rev_gas_perc)-(KLL_II_2020!CA_excess_cost_recovery*KLL_II_2020!CA_rev_gas_perc),0)</f>
        <v>0</v>
      </c>
      <c r="AU301" s="49">
        <f ca="1">MAX(KLL_II_2020!CA_gross_rev_gas_fp-KLL_II_2020!CA_roy_gas_fp-(KLL_II_2020!CA_cost_recovered_total*KLL_II_2020!CA_rev_gas_perc)-(KLL_II_2020!CA_excess_cost_recovery*KLL_II_2020!CA_rev_gas_perc),0)</f>
        <v>0</v>
      </c>
      <c r="AV301" s="49">
        <f ca="1">MAX(KLL_II_2020!CA_gross_rev_gas_fp-KLL_II_2020!CA_roy_gas_fp-(KLL_II_2020!CA_cost_recovered_total*KLL_II_2020!CA_rev_gas_perc)-(KLL_II_2020!CA_excess_cost_recovery*KLL_II_2020!CA_rev_gas_perc),0)</f>
        <v>0</v>
      </c>
      <c r="AW301" s="49">
        <f ca="1">MAX(KLL_II_2020!CA_gross_rev_gas_fp-KLL_II_2020!CA_roy_gas_fp-(KLL_II_2020!CA_cost_recovered_total*KLL_II_2020!CA_rev_gas_perc)-(KLL_II_2020!CA_excess_cost_recovery*KLL_II_2020!CA_rev_gas_perc),0)</f>
        <v>0</v>
      </c>
      <c r="AX301" s="49">
        <f ca="1">MAX(KLL_II_2020!CA_gross_rev_gas_fp-KLL_II_2020!CA_roy_gas_fp-(KLL_II_2020!CA_cost_recovered_total*KLL_II_2020!CA_rev_gas_perc)-(KLL_II_2020!CA_excess_cost_recovery*KLL_II_2020!CA_rev_gas_perc),0)</f>
        <v>0</v>
      </c>
      <c r="AY301" s="49">
        <f ca="1">MAX(KLL_II_2020!CA_gross_rev_gas_fp-KLL_II_2020!CA_roy_gas_fp-(KLL_II_2020!CA_cost_recovered_total*KLL_II_2020!CA_rev_gas_perc)-(KLL_II_2020!CA_excess_cost_recovery*KLL_II_2020!CA_rev_gas_perc),0)</f>
        <v>0</v>
      </c>
      <c r="AZ301" s="49">
        <f ca="1">MAX(KLL_II_2020!CA_gross_rev_gas_fp-KLL_II_2020!CA_roy_gas_fp-(KLL_II_2020!CA_cost_recovered_total*KLL_II_2020!CA_rev_gas_perc)-(KLL_II_2020!CA_excess_cost_recovery*KLL_II_2020!CA_rev_gas_perc),0)</f>
        <v>0</v>
      </c>
      <c r="BA301" s="49">
        <f ca="1">MAX(KLL_II_2020!CA_gross_rev_gas_fp-KLL_II_2020!CA_roy_gas_fp-(KLL_II_2020!CA_cost_recovered_total*KLL_II_2020!CA_rev_gas_perc)-(KLL_II_2020!CA_excess_cost_recovery*KLL_II_2020!CA_rev_gas_perc),0)</f>
        <v>0</v>
      </c>
      <c r="BB301" s="49">
        <f ca="1">MAX(KLL_II_2020!CA_gross_rev_gas_fp-KLL_II_2020!CA_roy_gas_fp-(KLL_II_2020!CA_cost_recovered_total*KLL_II_2020!CA_rev_gas_perc)-(KLL_II_2020!CA_excess_cost_recovery*KLL_II_2020!CA_rev_gas_perc),0)</f>
        <v>0</v>
      </c>
      <c r="BC301" s="49">
        <f ca="1">MAX(KLL_II_2020!CA_gross_rev_gas_fp-KLL_II_2020!CA_roy_gas_fp-(KLL_II_2020!CA_cost_recovered_total*KLL_II_2020!CA_rev_gas_perc)-(KLL_II_2020!CA_excess_cost_recovery*KLL_II_2020!CA_rev_gas_perc),0)</f>
        <v>0</v>
      </c>
      <c r="BD301" s="49">
        <f ca="1">MAX(KLL_II_2020!CA_gross_rev_gas_fp-KLL_II_2020!CA_roy_gas_fp-(KLL_II_2020!CA_cost_recovered_total*KLL_II_2020!CA_rev_gas_perc)-(KLL_II_2020!CA_excess_cost_recovery*KLL_II_2020!CA_rev_gas_perc),0)</f>
        <v>0</v>
      </c>
      <c r="BE301" s="49">
        <f ca="1">MAX(KLL_II_2020!CA_gross_rev_gas_fp-KLL_II_2020!CA_roy_gas_fp-(KLL_II_2020!CA_cost_recovered_total*KLL_II_2020!CA_rev_gas_perc)-(KLL_II_2020!CA_excess_cost_recovery*KLL_II_2020!CA_rev_gas_perc),0)</f>
        <v>0</v>
      </c>
      <c r="BF301" s="49">
        <f ca="1">MAX(KLL_II_2020!CA_gross_rev_gas_fp-KLL_II_2020!CA_roy_gas_fp-(KLL_II_2020!CA_cost_recovered_total*KLL_II_2020!CA_rev_gas_perc)-(KLL_II_2020!CA_excess_cost_recovery*KLL_II_2020!CA_rev_gas_perc),0)</f>
        <v>0</v>
      </c>
      <c r="BG301" s="49">
        <f ca="1">MAX(KLL_II_2020!CA_gross_rev_gas_fp-KLL_II_2020!CA_roy_gas_fp-(KLL_II_2020!CA_cost_recovered_total*KLL_II_2020!CA_rev_gas_perc)-(KLL_II_2020!CA_excess_cost_recovery*KLL_II_2020!CA_rev_gas_perc),0)</f>
        <v>0</v>
      </c>
      <c r="BH301" s="49">
        <f ca="1">MAX(KLL_II_2020!CA_gross_rev_gas_fp-KLL_II_2020!CA_roy_gas_fp-(KLL_II_2020!CA_cost_recovered_total*KLL_II_2020!CA_rev_gas_perc)-(KLL_II_2020!CA_excess_cost_recovery*KLL_II_2020!CA_rev_gas_perc),0)</f>
        <v>0</v>
      </c>
      <c r="BI301" s="49">
        <f ca="1">MAX(KLL_II_2020!CA_gross_rev_gas_fp-KLL_II_2020!CA_roy_gas_fp-(KLL_II_2020!CA_cost_recovered_total*KLL_II_2020!CA_rev_gas_perc)-(KLL_II_2020!CA_excess_cost_recovery*KLL_II_2020!CA_rev_gas_perc),0)</f>
        <v>0</v>
      </c>
      <c r="BJ301" s="49">
        <f ca="1">MAX(KLL_II_2020!CA_gross_rev_gas_fp-KLL_II_2020!CA_roy_gas_fp-(KLL_II_2020!CA_cost_recovered_total*KLL_II_2020!CA_rev_gas_perc)-(KLL_II_2020!CA_excess_cost_recovery*KLL_II_2020!CA_rev_gas_perc),0)</f>
        <v>0</v>
      </c>
      <c r="BK301" s="49">
        <f ca="1">MAX(KLL_II_2020!CA_gross_rev_gas_fp-KLL_II_2020!CA_roy_gas_fp-(KLL_II_2020!CA_cost_recovered_total*KLL_II_2020!CA_rev_gas_perc)-(KLL_II_2020!CA_excess_cost_recovery*KLL_II_2020!CA_rev_gas_perc),0)</f>
        <v>0</v>
      </c>
      <c r="BL301" s="49">
        <f ca="1">MAX(KLL_II_2020!CA_gross_rev_gas_fp-KLL_II_2020!CA_roy_gas_fp-(KLL_II_2020!CA_cost_recovered_total*KLL_II_2020!CA_rev_gas_perc)-(KLL_II_2020!CA_excess_cost_recovery*KLL_II_2020!CA_rev_gas_perc),0)</f>
        <v>0</v>
      </c>
      <c r="BM301" s="49">
        <f ca="1">MAX(KLL_II_2020!CA_gross_rev_gas_fp-KLL_II_2020!CA_roy_gas_fp-(KLL_II_2020!CA_cost_recovered_total*KLL_II_2020!CA_rev_gas_perc)-(KLL_II_2020!CA_excess_cost_recovery*KLL_II_2020!CA_rev_gas_perc),0)</f>
        <v>0</v>
      </c>
      <c r="BN301" s="49">
        <f ca="1">MAX(KLL_II_2020!CA_gross_rev_gas_fp-KLL_II_2020!CA_roy_gas_fp-(KLL_II_2020!CA_cost_recovered_total*KLL_II_2020!CA_rev_gas_perc)-(KLL_II_2020!CA_excess_cost_recovery*KLL_II_2020!CA_rev_gas_perc),0)</f>
        <v>0</v>
      </c>
      <c r="BO301" s="49">
        <f ca="1">MAX(KLL_II_2020!CA_gross_rev_gas_fp-KLL_II_2020!CA_roy_gas_fp-(KLL_II_2020!CA_cost_recovered_total*KLL_II_2020!CA_rev_gas_perc)-(KLL_II_2020!CA_excess_cost_recovery*KLL_II_2020!CA_rev_gas_perc),0)</f>
        <v>0</v>
      </c>
      <c r="BP301" s="49">
        <f ca="1">MAX(KLL_II_2020!CA_gross_rev_gas_fp-KLL_II_2020!CA_roy_gas_fp-(KLL_II_2020!CA_cost_recovered_total*KLL_II_2020!CA_rev_gas_perc)-(KLL_II_2020!CA_excess_cost_recovery*KLL_II_2020!CA_rev_gas_perc),0)</f>
        <v>0</v>
      </c>
      <c r="BQ301" s="49">
        <f ca="1">MAX(KLL_II_2020!CA_gross_rev_gas_fp-KLL_II_2020!CA_roy_gas_fp-(KLL_II_2020!CA_cost_recovered_total*KLL_II_2020!CA_rev_gas_perc)-(KLL_II_2020!CA_excess_cost_recovery*KLL_II_2020!CA_rev_gas_perc),0)</f>
        <v>0</v>
      </c>
      <c r="BR301" s="49">
        <f ca="1">MAX(KLL_II_2020!CA_gross_rev_gas_fp-KLL_II_2020!CA_roy_gas_fp-(KLL_II_2020!CA_cost_recovered_total*KLL_II_2020!CA_rev_gas_perc)-(KLL_II_2020!CA_excess_cost_recovery*KLL_II_2020!CA_rev_gas_perc),0)</f>
        <v>0</v>
      </c>
      <c r="BS301" s="49">
        <f ca="1">MAX(KLL_II_2020!CA_gross_rev_gas_fp-KLL_II_2020!CA_roy_gas_fp-(KLL_II_2020!CA_cost_recovered_total*KLL_II_2020!CA_rev_gas_perc)-(KLL_II_2020!CA_excess_cost_recovery*KLL_II_2020!CA_rev_gas_perc),0)</f>
        <v>0</v>
      </c>
    </row>
    <row r="302" spans="3:71" outlineLevel="1" x14ac:dyDescent="0.2">
      <c r="D302" s="50" t="str">
        <f>HM_ZB_Nsoko!D315</f>
        <v>Partage du profit %</v>
      </c>
      <c r="J302" s="26"/>
      <c r="L302" s="53">
        <f ca="1">(INDEX(KLL_II_2020!FA_PS_cont_rate,1)*KLL_II_2020!CA_op_trig)*(KLL_II_2020!CA_PSC_switch_trig=0)+
(INDEX(KLL_II_2020!FA_PS_cont_rate,2)*KLL_II_2020!CA_op_trig)*(KLL_II_2020!CA_PSC_switch_trig=1)</f>
        <v>0.65</v>
      </c>
      <c r="M302" s="53">
        <f ca="1">(INDEX(KLL_II_2020!FA_PS_cont_rate,1)*KLL_II_2020!CA_op_trig)*(KLL_II_2020!CA_PSC_switch_trig=0)+
(INDEX(KLL_II_2020!FA_PS_cont_rate,2)*KLL_II_2020!CA_op_trig)*(KLL_II_2020!CA_PSC_switch_trig=1)</f>
        <v>0.65</v>
      </c>
      <c r="N302" s="53">
        <f ca="1">(INDEX(KLL_II_2020!FA_PS_cont_rate,1)*KLL_II_2020!CA_op_trig)*(KLL_II_2020!CA_PSC_switch_trig=0)+
(INDEX(KLL_II_2020!FA_PS_cont_rate,2)*KLL_II_2020!CA_op_trig)*(KLL_II_2020!CA_PSC_switch_trig=1)</f>
        <v>0.65</v>
      </c>
      <c r="O302" s="53">
        <f ca="1">(INDEX(KLL_II_2020!FA_PS_cont_rate,1)*KLL_II_2020!CA_op_trig)*(KLL_II_2020!CA_PSC_switch_trig=0)+
(INDEX(KLL_II_2020!FA_PS_cont_rate,2)*KLL_II_2020!CA_op_trig)*(KLL_II_2020!CA_PSC_switch_trig=1)</f>
        <v>0.65</v>
      </c>
      <c r="P302" s="53">
        <f ca="1">(INDEX(KLL_II_2020!FA_PS_cont_rate,1)*KLL_II_2020!CA_op_trig)*(KLL_II_2020!CA_PSC_switch_trig=0)+
(INDEX(KLL_II_2020!FA_PS_cont_rate,2)*KLL_II_2020!CA_op_trig)*(KLL_II_2020!CA_PSC_switch_trig=1)</f>
        <v>0.65</v>
      </c>
      <c r="Q302" s="53">
        <f ca="1">(INDEX(KLL_II_2020!FA_PS_cont_rate,1)*KLL_II_2020!CA_op_trig)*(KLL_II_2020!CA_PSC_switch_trig=0)+
(INDEX(KLL_II_2020!FA_PS_cont_rate,2)*KLL_II_2020!CA_op_trig)*(KLL_II_2020!CA_PSC_switch_trig=1)</f>
        <v>0.65</v>
      </c>
      <c r="R302" s="53">
        <f ca="1">(INDEX(KLL_II_2020!FA_PS_cont_rate,1)*KLL_II_2020!CA_op_trig)*(KLL_II_2020!CA_PSC_switch_trig=0)+
(INDEX(KLL_II_2020!FA_PS_cont_rate,2)*KLL_II_2020!CA_op_trig)*(KLL_II_2020!CA_PSC_switch_trig=1)</f>
        <v>0.65</v>
      </c>
      <c r="S302" s="53">
        <f ca="1">(INDEX(KLL_II_2020!FA_PS_cont_rate,1)*KLL_II_2020!CA_op_trig)*(KLL_II_2020!CA_PSC_switch_trig=0)+
(INDEX(KLL_II_2020!FA_PS_cont_rate,2)*KLL_II_2020!CA_op_trig)*(KLL_II_2020!CA_PSC_switch_trig=1)</f>
        <v>0.5</v>
      </c>
      <c r="T302" s="53">
        <f ca="1">(INDEX(KLL_II_2020!FA_PS_cont_rate,1)*KLL_II_2020!CA_op_trig)*(KLL_II_2020!CA_PSC_switch_trig=0)+
(INDEX(KLL_II_2020!FA_PS_cont_rate,2)*KLL_II_2020!CA_op_trig)*(KLL_II_2020!CA_PSC_switch_trig=1)</f>
        <v>0.5</v>
      </c>
      <c r="U302" s="53">
        <f ca="1">(INDEX(KLL_II_2020!FA_PS_cont_rate,1)*KLL_II_2020!CA_op_trig)*(KLL_II_2020!CA_PSC_switch_trig=0)+
(INDEX(KLL_II_2020!FA_PS_cont_rate,2)*KLL_II_2020!CA_op_trig)*(KLL_II_2020!CA_PSC_switch_trig=1)</f>
        <v>0.5</v>
      </c>
      <c r="V302" s="53">
        <f ca="1">(INDEX(KLL_II_2020!FA_PS_cont_rate,1)*KLL_II_2020!CA_op_trig)*(KLL_II_2020!CA_PSC_switch_trig=0)+
(INDEX(KLL_II_2020!FA_PS_cont_rate,2)*KLL_II_2020!CA_op_trig)*(KLL_II_2020!CA_PSC_switch_trig=1)</f>
        <v>0.5</v>
      </c>
      <c r="W302" s="53">
        <f ca="1">(INDEX(KLL_II_2020!FA_PS_cont_rate,1)*KLL_II_2020!CA_op_trig)*(KLL_II_2020!CA_PSC_switch_trig=0)+
(INDEX(KLL_II_2020!FA_PS_cont_rate,2)*KLL_II_2020!CA_op_trig)*(KLL_II_2020!CA_PSC_switch_trig=1)</f>
        <v>0.5</v>
      </c>
      <c r="X302" s="53">
        <f ca="1">(INDEX(KLL_II_2020!FA_PS_cont_rate,1)*KLL_II_2020!CA_op_trig)*(KLL_II_2020!CA_PSC_switch_trig=0)+
(INDEX(KLL_II_2020!FA_PS_cont_rate,2)*KLL_II_2020!CA_op_trig)*(KLL_II_2020!CA_PSC_switch_trig=1)</f>
        <v>0.5</v>
      </c>
      <c r="Y302" s="53">
        <f ca="1">(INDEX(KLL_II_2020!FA_PS_cont_rate,1)*KLL_II_2020!CA_op_trig)*(KLL_II_2020!CA_PSC_switch_trig=0)+
(INDEX(KLL_II_2020!FA_PS_cont_rate,2)*KLL_II_2020!CA_op_trig)*(KLL_II_2020!CA_PSC_switch_trig=1)</f>
        <v>0</v>
      </c>
      <c r="Z302" s="53">
        <f ca="1">(INDEX(KLL_II_2020!FA_PS_cont_rate,1)*KLL_II_2020!CA_op_trig)*(KLL_II_2020!CA_PSC_switch_trig=0)+
(INDEX(KLL_II_2020!FA_PS_cont_rate,2)*KLL_II_2020!CA_op_trig)*(KLL_II_2020!CA_PSC_switch_trig=1)</f>
        <v>0</v>
      </c>
      <c r="AA302" s="53">
        <f ca="1">(INDEX(KLL_II_2020!FA_PS_cont_rate,1)*KLL_II_2020!CA_op_trig)*(KLL_II_2020!CA_PSC_switch_trig=0)+
(INDEX(KLL_II_2020!FA_PS_cont_rate,2)*KLL_II_2020!CA_op_trig)*(KLL_II_2020!CA_PSC_switch_trig=1)</f>
        <v>0</v>
      </c>
      <c r="AB302" s="53">
        <f ca="1">(INDEX(KLL_II_2020!FA_PS_cont_rate,1)*KLL_II_2020!CA_op_trig)*(KLL_II_2020!CA_PSC_switch_trig=0)+
(INDEX(KLL_II_2020!FA_PS_cont_rate,2)*KLL_II_2020!CA_op_trig)*(KLL_II_2020!CA_PSC_switch_trig=1)</f>
        <v>0</v>
      </c>
      <c r="AC302" s="53">
        <f ca="1">(INDEX(KLL_II_2020!FA_PS_cont_rate,1)*KLL_II_2020!CA_op_trig)*(KLL_II_2020!CA_PSC_switch_trig=0)+
(INDEX(KLL_II_2020!FA_PS_cont_rate,2)*KLL_II_2020!CA_op_trig)*(KLL_II_2020!CA_PSC_switch_trig=1)</f>
        <v>0</v>
      </c>
      <c r="AD302" s="53">
        <f ca="1">(INDEX(KLL_II_2020!FA_PS_cont_rate,1)*KLL_II_2020!CA_op_trig)*(KLL_II_2020!CA_PSC_switch_trig=0)+
(INDEX(KLL_II_2020!FA_PS_cont_rate,2)*KLL_II_2020!CA_op_trig)*(KLL_II_2020!CA_PSC_switch_trig=1)</f>
        <v>0</v>
      </c>
      <c r="AE302" s="53">
        <f ca="1">(INDEX(KLL_II_2020!FA_PS_cont_rate,1)*KLL_II_2020!CA_op_trig)*(KLL_II_2020!CA_PSC_switch_trig=0)+
(INDEX(KLL_II_2020!FA_PS_cont_rate,2)*KLL_II_2020!CA_op_trig)*(KLL_II_2020!CA_PSC_switch_trig=1)</f>
        <v>0</v>
      </c>
      <c r="AF302" s="53">
        <f ca="1">(INDEX(KLL_II_2020!FA_PS_cont_rate,1)*KLL_II_2020!CA_op_trig)*(KLL_II_2020!CA_PSC_switch_trig=0)+
(INDEX(KLL_II_2020!FA_PS_cont_rate,2)*KLL_II_2020!CA_op_trig)*(KLL_II_2020!CA_PSC_switch_trig=1)</f>
        <v>0</v>
      </c>
      <c r="AG302" s="53">
        <f ca="1">(INDEX(KLL_II_2020!FA_PS_cont_rate,1)*KLL_II_2020!CA_op_trig)*(KLL_II_2020!CA_PSC_switch_trig=0)+
(INDEX(KLL_II_2020!FA_PS_cont_rate,2)*KLL_II_2020!CA_op_trig)*(KLL_II_2020!CA_PSC_switch_trig=1)</f>
        <v>0</v>
      </c>
      <c r="AH302" s="53">
        <f ca="1">(INDEX(KLL_II_2020!FA_PS_cont_rate,1)*KLL_II_2020!CA_op_trig)*(KLL_II_2020!CA_PSC_switch_trig=0)+
(INDEX(KLL_II_2020!FA_PS_cont_rate,2)*KLL_II_2020!CA_op_trig)*(KLL_II_2020!CA_PSC_switch_trig=1)</f>
        <v>0</v>
      </c>
      <c r="AI302" s="53">
        <f ca="1">(INDEX(KLL_II_2020!FA_PS_cont_rate,1)*KLL_II_2020!CA_op_trig)*(KLL_II_2020!CA_PSC_switch_trig=0)+
(INDEX(KLL_II_2020!FA_PS_cont_rate,2)*KLL_II_2020!CA_op_trig)*(KLL_II_2020!CA_PSC_switch_trig=1)</f>
        <v>0</v>
      </c>
      <c r="AJ302" s="53">
        <f ca="1">(INDEX(KLL_II_2020!FA_PS_cont_rate,1)*KLL_II_2020!CA_op_trig)*(KLL_II_2020!CA_PSC_switch_trig=0)+
(INDEX(KLL_II_2020!FA_PS_cont_rate,2)*KLL_II_2020!CA_op_trig)*(KLL_II_2020!CA_PSC_switch_trig=1)</f>
        <v>0</v>
      </c>
      <c r="AK302" s="53">
        <f ca="1">(INDEX(KLL_II_2020!FA_PS_cont_rate,1)*KLL_II_2020!CA_op_trig)*(KLL_II_2020!CA_PSC_switch_trig=0)+
(INDEX(KLL_II_2020!FA_PS_cont_rate,2)*KLL_II_2020!CA_op_trig)*(KLL_II_2020!CA_PSC_switch_trig=1)</f>
        <v>0</v>
      </c>
      <c r="AL302" s="53">
        <f ca="1">(INDEX(KLL_II_2020!FA_PS_cont_rate,1)*KLL_II_2020!CA_op_trig)*(KLL_II_2020!CA_PSC_switch_trig=0)+
(INDEX(KLL_II_2020!FA_PS_cont_rate,2)*KLL_II_2020!CA_op_trig)*(KLL_II_2020!CA_PSC_switch_trig=1)</f>
        <v>0</v>
      </c>
      <c r="AM302" s="53">
        <f ca="1">(INDEX(KLL_II_2020!FA_PS_cont_rate,1)*KLL_II_2020!CA_op_trig)*(KLL_II_2020!CA_PSC_switch_trig=0)+
(INDEX(KLL_II_2020!FA_PS_cont_rate,2)*KLL_II_2020!CA_op_trig)*(KLL_II_2020!CA_PSC_switch_trig=1)</f>
        <v>0</v>
      </c>
      <c r="AN302" s="53">
        <f ca="1">(INDEX(KLL_II_2020!FA_PS_cont_rate,1)*KLL_II_2020!CA_op_trig)*(KLL_II_2020!CA_PSC_switch_trig=0)+
(INDEX(KLL_II_2020!FA_PS_cont_rate,2)*KLL_II_2020!CA_op_trig)*(KLL_II_2020!CA_PSC_switch_trig=1)</f>
        <v>0</v>
      </c>
      <c r="AO302" s="53">
        <f ca="1">(INDEX(KLL_II_2020!FA_PS_cont_rate,1)*KLL_II_2020!CA_op_trig)*(KLL_II_2020!CA_PSC_switch_trig=0)+
(INDEX(KLL_II_2020!FA_PS_cont_rate,2)*KLL_II_2020!CA_op_trig)*(KLL_II_2020!CA_PSC_switch_trig=1)</f>
        <v>0</v>
      </c>
      <c r="AP302" s="53">
        <f ca="1">(INDEX(KLL_II_2020!FA_PS_cont_rate,1)*KLL_II_2020!CA_op_trig)*(KLL_II_2020!CA_PSC_switch_trig=0)+
(INDEX(KLL_II_2020!FA_PS_cont_rate,2)*KLL_II_2020!CA_op_trig)*(KLL_II_2020!CA_PSC_switch_trig=1)</f>
        <v>0</v>
      </c>
      <c r="AQ302" s="53">
        <f ca="1">(INDEX(KLL_II_2020!FA_PS_cont_rate,1)*KLL_II_2020!CA_op_trig)*(KLL_II_2020!CA_PSC_switch_trig=0)+
(INDEX(KLL_II_2020!FA_PS_cont_rate,2)*KLL_II_2020!CA_op_trig)*(KLL_II_2020!CA_PSC_switch_trig=1)</f>
        <v>0</v>
      </c>
      <c r="AR302" s="53">
        <f ca="1">(INDEX(KLL_II_2020!FA_PS_cont_rate,1)*KLL_II_2020!CA_op_trig)*(KLL_II_2020!CA_PSC_switch_trig=0)+
(INDEX(KLL_II_2020!FA_PS_cont_rate,2)*KLL_II_2020!CA_op_trig)*(KLL_II_2020!CA_PSC_switch_trig=1)</f>
        <v>0</v>
      </c>
      <c r="AS302" s="53">
        <f ca="1">(INDEX(KLL_II_2020!FA_PS_cont_rate,1)*KLL_II_2020!CA_op_trig)*(KLL_II_2020!CA_PSC_switch_trig=0)+
(INDEX(KLL_II_2020!FA_PS_cont_rate,2)*KLL_II_2020!CA_op_trig)*(KLL_II_2020!CA_PSC_switch_trig=1)</f>
        <v>0</v>
      </c>
      <c r="AT302" s="53">
        <f ca="1">(INDEX(KLL_II_2020!FA_PS_cont_rate,1)*KLL_II_2020!CA_op_trig)*(KLL_II_2020!CA_PSC_switch_trig=0)+
(INDEX(KLL_II_2020!FA_PS_cont_rate,2)*KLL_II_2020!CA_op_trig)*(KLL_II_2020!CA_PSC_switch_trig=1)</f>
        <v>0</v>
      </c>
      <c r="AU302" s="53">
        <f ca="1">(INDEX(KLL_II_2020!FA_PS_cont_rate,1)*KLL_II_2020!CA_op_trig)*(KLL_II_2020!CA_PSC_switch_trig=0)+
(INDEX(KLL_II_2020!FA_PS_cont_rate,2)*KLL_II_2020!CA_op_trig)*(KLL_II_2020!CA_PSC_switch_trig=1)</f>
        <v>0</v>
      </c>
      <c r="AV302" s="53">
        <f ca="1">(INDEX(KLL_II_2020!FA_PS_cont_rate,1)*KLL_II_2020!CA_op_trig)*(KLL_II_2020!CA_PSC_switch_trig=0)+
(INDEX(KLL_II_2020!FA_PS_cont_rate,2)*KLL_II_2020!CA_op_trig)*(KLL_II_2020!CA_PSC_switch_trig=1)</f>
        <v>0</v>
      </c>
      <c r="AW302" s="53">
        <f ca="1">(INDEX(KLL_II_2020!FA_PS_cont_rate,1)*KLL_II_2020!CA_op_trig)*(KLL_II_2020!CA_PSC_switch_trig=0)+
(INDEX(KLL_II_2020!FA_PS_cont_rate,2)*KLL_II_2020!CA_op_trig)*(KLL_II_2020!CA_PSC_switch_trig=1)</f>
        <v>0</v>
      </c>
      <c r="AX302" s="53">
        <f ca="1">(INDEX(KLL_II_2020!FA_PS_cont_rate,1)*KLL_II_2020!CA_op_trig)*(KLL_II_2020!CA_PSC_switch_trig=0)+
(INDEX(KLL_II_2020!FA_PS_cont_rate,2)*KLL_II_2020!CA_op_trig)*(KLL_II_2020!CA_PSC_switch_trig=1)</f>
        <v>0</v>
      </c>
      <c r="AY302" s="53">
        <f ca="1">(INDEX(KLL_II_2020!FA_PS_cont_rate,1)*KLL_II_2020!CA_op_trig)*(KLL_II_2020!CA_PSC_switch_trig=0)+
(INDEX(KLL_II_2020!FA_PS_cont_rate,2)*KLL_II_2020!CA_op_trig)*(KLL_II_2020!CA_PSC_switch_trig=1)</f>
        <v>0</v>
      </c>
      <c r="AZ302" s="53">
        <f ca="1">(INDEX(KLL_II_2020!FA_PS_cont_rate,1)*KLL_II_2020!CA_op_trig)*(KLL_II_2020!CA_PSC_switch_trig=0)+
(INDEX(KLL_II_2020!FA_PS_cont_rate,2)*KLL_II_2020!CA_op_trig)*(KLL_II_2020!CA_PSC_switch_trig=1)</f>
        <v>0</v>
      </c>
      <c r="BA302" s="53">
        <f ca="1">(INDEX(KLL_II_2020!FA_PS_cont_rate,1)*KLL_II_2020!CA_op_trig)*(KLL_II_2020!CA_PSC_switch_trig=0)+
(INDEX(KLL_II_2020!FA_PS_cont_rate,2)*KLL_II_2020!CA_op_trig)*(KLL_II_2020!CA_PSC_switch_trig=1)</f>
        <v>0</v>
      </c>
      <c r="BB302" s="53">
        <f ca="1">(INDEX(KLL_II_2020!FA_PS_cont_rate,1)*KLL_II_2020!CA_op_trig)*(KLL_II_2020!CA_PSC_switch_trig=0)+
(INDEX(KLL_II_2020!FA_PS_cont_rate,2)*KLL_II_2020!CA_op_trig)*(KLL_II_2020!CA_PSC_switch_trig=1)</f>
        <v>0</v>
      </c>
      <c r="BC302" s="53">
        <f ca="1">(INDEX(KLL_II_2020!FA_PS_cont_rate,1)*KLL_II_2020!CA_op_trig)*(KLL_II_2020!CA_PSC_switch_trig=0)+
(INDEX(KLL_II_2020!FA_PS_cont_rate,2)*KLL_II_2020!CA_op_trig)*(KLL_II_2020!CA_PSC_switch_trig=1)</f>
        <v>0</v>
      </c>
      <c r="BD302" s="53">
        <f ca="1">(INDEX(KLL_II_2020!FA_PS_cont_rate,1)*KLL_II_2020!CA_op_trig)*(KLL_II_2020!CA_PSC_switch_trig=0)+
(INDEX(KLL_II_2020!FA_PS_cont_rate,2)*KLL_II_2020!CA_op_trig)*(KLL_II_2020!CA_PSC_switch_trig=1)</f>
        <v>0</v>
      </c>
      <c r="BE302" s="53">
        <f ca="1">(INDEX(KLL_II_2020!FA_PS_cont_rate,1)*KLL_II_2020!CA_op_trig)*(KLL_II_2020!CA_PSC_switch_trig=0)+
(INDEX(KLL_II_2020!FA_PS_cont_rate,2)*KLL_II_2020!CA_op_trig)*(KLL_II_2020!CA_PSC_switch_trig=1)</f>
        <v>0</v>
      </c>
      <c r="BF302" s="53">
        <f ca="1">(INDEX(KLL_II_2020!FA_PS_cont_rate,1)*KLL_II_2020!CA_op_trig)*(KLL_II_2020!CA_PSC_switch_trig=0)+
(INDEX(KLL_II_2020!FA_PS_cont_rate,2)*KLL_II_2020!CA_op_trig)*(KLL_II_2020!CA_PSC_switch_trig=1)</f>
        <v>0</v>
      </c>
      <c r="BG302" s="53">
        <f ca="1">(INDEX(KLL_II_2020!FA_PS_cont_rate,1)*KLL_II_2020!CA_op_trig)*(KLL_II_2020!CA_PSC_switch_trig=0)+
(INDEX(KLL_II_2020!FA_PS_cont_rate,2)*KLL_II_2020!CA_op_trig)*(KLL_II_2020!CA_PSC_switch_trig=1)</f>
        <v>0</v>
      </c>
      <c r="BH302" s="53">
        <f ca="1">(INDEX(KLL_II_2020!FA_PS_cont_rate,1)*KLL_II_2020!CA_op_trig)*(KLL_II_2020!CA_PSC_switch_trig=0)+
(INDEX(KLL_II_2020!FA_PS_cont_rate,2)*KLL_II_2020!CA_op_trig)*(KLL_II_2020!CA_PSC_switch_trig=1)</f>
        <v>0</v>
      </c>
      <c r="BI302" s="53">
        <f ca="1">(INDEX(KLL_II_2020!FA_PS_cont_rate,1)*KLL_II_2020!CA_op_trig)*(KLL_II_2020!CA_PSC_switch_trig=0)+
(INDEX(KLL_II_2020!FA_PS_cont_rate,2)*KLL_II_2020!CA_op_trig)*(KLL_II_2020!CA_PSC_switch_trig=1)</f>
        <v>0</v>
      </c>
      <c r="BJ302" s="53">
        <f ca="1">(INDEX(KLL_II_2020!FA_PS_cont_rate,1)*KLL_II_2020!CA_op_trig)*(KLL_II_2020!CA_PSC_switch_trig=0)+
(INDEX(KLL_II_2020!FA_PS_cont_rate,2)*KLL_II_2020!CA_op_trig)*(KLL_II_2020!CA_PSC_switch_trig=1)</f>
        <v>0</v>
      </c>
      <c r="BK302" s="53">
        <f ca="1">(INDEX(KLL_II_2020!FA_PS_cont_rate,1)*KLL_II_2020!CA_op_trig)*(KLL_II_2020!CA_PSC_switch_trig=0)+
(INDEX(KLL_II_2020!FA_PS_cont_rate,2)*KLL_II_2020!CA_op_trig)*(KLL_II_2020!CA_PSC_switch_trig=1)</f>
        <v>0</v>
      </c>
      <c r="BL302" s="53">
        <f ca="1">(INDEX(KLL_II_2020!FA_PS_cont_rate,1)*KLL_II_2020!CA_op_trig)*(KLL_II_2020!CA_PSC_switch_trig=0)+
(INDEX(KLL_II_2020!FA_PS_cont_rate,2)*KLL_II_2020!CA_op_trig)*(KLL_II_2020!CA_PSC_switch_trig=1)</f>
        <v>0</v>
      </c>
      <c r="BM302" s="53">
        <f ca="1">(INDEX(KLL_II_2020!FA_PS_cont_rate,1)*KLL_II_2020!CA_op_trig)*(KLL_II_2020!CA_PSC_switch_trig=0)+
(INDEX(KLL_II_2020!FA_PS_cont_rate,2)*KLL_II_2020!CA_op_trig)*(KLL_II_2020!CA_PSC_switch_trig=1)</f>
        <v>0</v>
      </c>
      <c r="BN302" s="53">
        <f ca="1">(INDEX(KLL_II_2020!FA_PS_cont_rate,1)*KLL_II_2020!CA_op_trig)*(KLL_II_2020!CA_PSC_switch_trig=0)+
(INDEX(KLL_II_2020!FA_PS_cont_rate,2)*KLL_II_2020!CA_op_trig)*(KLL_II_2020!CA_PSC_switch_trig=1)</f>
        <v>0</v>
      </c>
      <c r="BO302" s="53">
        <f ca="1">(INDEX(KLL_II_2020!FA_PS_cont_rate,1)*KLL_II_2020!CA_op_trig)*(KLL_II_2020!CA_PSC_switch_trig=0)+
(INDEX(KLL_II_2020!FA_PS_cont_rate,2)*KLL_II_2020!CA_op_trig)*(KLL_II_2020!CA_PSC_switch_trig=1)</f>
        <v>0</v>
      </c>
      <c r="BP302" s="53">
        <f ca="1">(INDEX(KLL_II_2020!FA_PS_cont_rate,1)*KLL_II_2020!CA_op_trig)*(KLL_II_2020!CA_PSC_switch_trig=0)+
(INDEX(KLL_II_2020!FA_PS_cont_rate,2)*KLL_II_2020!CA_op_trig)*(KLL_II_2020!CA_PSC_switch_trig=1)</f>
        <v>0</v>
      </c>
      <c r="BQ302" s="53">
        <f ca="1">(INDEX(KLL_II_2020!FA_PS_cont_rate,1)*KLL_II_2020!CA_op_trig)*(KLL_II_2020!CA_PSC_switch_trig=0)+
(INDEX(KLL_II_2020!FA_PS_cont_rate,2)*KLL_II_2020!CA_op_trig)*(KLL_II_2020!CA_PSC_switch_trig=1)</f>
        <v>0</v>
      </c>
      <c r="BR302" s="53">
        <f ca="1">(INDEX(KLL_II_2020!FA_PS_cont_rate,1)*KLL_II_2020!CA_op_trig)*(KLL_II_2020!CA_PSC_switch_trig=0)+
(INDEX(KLL_II_2020!FA_PS_cont_rate,2)*KLL_II_2020!CA_op_trig)*(KLL_II_2020!CA_PSC_switch_trig=1)</f>
        <v>0</v>
      </c>
      <c r="BS302" s="53">
        <f ca="1">(INDEX(KLL_II_2020!FA_PS_cont_rate,1)*KLL_II_2020!CA_op_trig)*(KLL_II_2020!CA_PSC_switch_trig=0)+
(INDEX(KLL_II_2020!FA_PS_cont_rate,2)*KLL_II_2020!CA_op_trig)*(KLL_II_2020!CA_PSC_switch_trig=1)</f>
        <v>0</v>
      </c>
    </row>
    <row r="303" spans="3:71" outlineLevel="1" x14ac:dyDescent="0.2">
      <c r="D303" t="str">
        <f>HM_ZB_Nsoko!D316</f>
        <v>Part du Contracteur dans le Profit Oil</v>
      </c>
      <c r="I303" s="30">
        <f t="shared" ca="1" si="80"/>
        <v>0</v>
      </c>
      <c r="J303" s="26" t="s">
        <v>148</v>
      </c>
      <c r="L303" s="49">
        <f ca="1">L301*L302</f>
        <v>0</v>
      </c>
      <c r="M303" s="49">
        <f t="shared" ref="M303:BS303" ca="1" si="81">M301*M302</f>
        <v>0</v>
      </c>
      <c r="N303" s="49">
        <f t="shared" ca="1" si="81"/>
        <v>0</v>
      </c>
      <c r="O303" s="49">
        <f t="shared" ca="1" si="81"/>
        <v>0</v>
      </c>
      <c r="P303" s="49">
        <f t="shared" ca="1" si="81"/>
        <v>0</v>
      </c>
      <c r="Q303" s="49">
        <f t="shared" ca="1" si="81"/>
        <v>0</v>
      </c>
      <c r="R303" s="49">
        <f t="shared" ca="1" si="81"/>
        <v>0</v>
      </c>
      <c r="S303" s="49">
        <f t="shared" ca="1" si="81"/>
        <v>0</v>
      </c>
      <c r="T303" s="49">
        <f t="shared" ca="1" si="81"/>
        <v>0</v>
      </c>
      <c r="U303" s="49">
        <f t="shared" ca="1" si="81"/>
        <v>0</v>
      </c>
      <c r="V303" s="49">
        <f t="shared" ca="1" si="81"/>
        <v>0</v>
      </c>
      <c r="W303" s="49">
        <f t="shared" ca="1" si="81"/>
        <v>0</v>
      </c>
      <c r="X303" s="49">
        <f t="shared" ca="1" si="81"/>
        <v>0</v>
      </c>
      <c r="Y303" s="49">
        <f t="shared" ca="1" si="81"/>
        <v>0</v>
      </c>
      <c r="Z303" s="49">
        <f t="shared" ca="1" si="81"/>
        <v>0</v>
      </c>
      <c r="AA303" s="49">
        <f t="shared" ca="1" si="81"/>
        <v>0</v>
      </c>
      <c r="AB303" s="49">
        <f t="shared" ca="1" si="81"/>
        <v>0</v>
      </c>
      <c r="AC303" s="49">
        <f t="shared" ca="1" si="81"/>
        <v>0</v>
      </c>
      <c r="AD303" s="49">
        <f t="shared" ca="1" si="81"/>
        <v>0</v>
      </c>
      <c r="AE303" s="49">
        <f t="shared" ca="1" si="81"/>
        <v>0</v>
      </c>
      <c r="AF303" s="49">
        <f t="shared" ca="1" si="81"/>
        <v>0</v>
      </c>
      <c r="AG303" s="49">
        <f t="shared" ca="1" si="81"/>
        <v>0</v>
      </c>
      <c r="AH303" s="49">
        <f t="shared" ca="1" si="81"/>
        <v>0</v>
      </c>
      <c r="AI303" s="49">
        <f t="shared" ca="1" si="81"/>
        <v>0</v>
      </c>
      <c r="AJ303" s="49">
        <f t="shared" ca="1" si="81"/>
        <v>0</v>
      </c>
      <c r="AK303" s="49">
        <f t="shared" ca="1" si="81"/>
        <v>0</v>
      </c>
      <c r="AL303" s="49">
        <f t="shared" ca="1" si="81"/>
        <v>0</v>
      </c>
      <c r="AM303" s="49">
        <f t="shared" ca="1" si="81"/>
        <v>0</v>
      </c>
      <c r="AN303" s="49">
        <f t="shared" ca="1" si="81"/>
        <v>0</v>
      </c>
      <c r="AO303" s="49">
        <f t="shared" ca="1" si="81"/>
        <v>0</v>
      </c>
      <c r="AP303" s="49">
        <f t="shared" ca="1" si="81"/>
        <v>0</v>
      </c>
      <c r="AQ303" s="49">
        <f t="shared" ca="1" si="81"/>
        <v>0</v>
      </c>
      <c r="AR303" s="49">
        <f t="shared" ca="1" si="81"/>
        <v>0</v>
      </c>
      <c r="AS303" s="49">
        <f t="shared" ca="1" si="81"/>
        <v>0</v>
      </c>
      <c r="AT303" s="49">
        <f t="shared" ca="1" si="81"/>
        <v>0</v>
      </c>
      <c r="AU303" s="49">
        <f t="shared" ca="1" si="81"/>
        <v>0</v>
      </c>
      <c r="AV303" s="49">
        <f t="shared" ca="1" si="81"/>
        <v>0</v>
      </c>
      <c r="AW303" s="49">
        <f t="shared" ca="1" si="81"/>
        <v>0</v>
      </c>
      <c r="AX303" s="49">
        <f t="shared" ca="1" si="81"/>
        <v>0</v>
      </c>
      <c r="AY303" s="49">
        <f t="shared" ca="1" si="81"/>
        <v>0</v>
      </c>
      <c r="AZ303" s="49">
        <f t="shared" ca="1" si="81"/>
        <v>0</v>
      </c>
      <c r="BA303" s="49">
        <f t="shared" ca="1" si="81"/>
        <v>0</v>
      </c>
      <c r="BB303" s="49">
        <f t="shared" ca="1" si="81"/>
        <v>0</v>
      </c>
      <c r="BC303" s="49">
        <f t="shared" ca="1" si="81"/>
        <v>0</v>
      </c>
      <c r="BD303" s="49">
        <f t="shared" ca="1" si="81"/>
        <v>0</v>
      </c>
      <c r="BE303" s="49">
        <f t="shared" ca="1" si="81"/>
        <v>0</v>
      </c>
      <c r="BF303" s="49">
        <f t="shared" ca="1" si="81"/>
        <v>0</v>
      </c>
      <c r="BG303" s="49">
        <f t="shared" ca="1" si="81"/>
        <v>0</v>
      </c>
      <c r="BH303" s="49">
        <f t="shared" ca="1" si="81"/>
        <v>0</v>
      </c>
      <c r="BI303" s="49">
        <f t="shared" ca="1" si="81"/>
        <v>0</v>
      </c>
      <c r="BJ303" s="49">
        <f t="shared" ca="1" si="81"/>
        <v>0</v>
      </c>
      <c r="BK303" s="49">
        <f t="shared" ca="1" si="81"/>
        <v>0</v>
      </c>
      <c r="BL303" s="49">
        <f t="shared" ca="1" si="81"/>
        <v>0</v>
      </c>
      <c r="BM303" s="49">
        <f t="shared" ca="1" si="81"/>
        <v>0</v>
      </c>
      <c r="BN303" s="49">
        <f t="shared" ca="1" si="81"/>
        <v>0</v>
      </c>
      <c r="BO303" s="49">
        <f t="shared" ca="1" si="81"/>
        <v>0</v>
      </c>
      <c r="BP303" s="49">
        <f t="shared" ca="1" si="81"/>
        <v>0</v>
      </c>
      <c r="BQ303" s="49">
        <f t="shared" ca="1" si="81"/>
        <v>0</v>
      </c>
      <c r="BR303" s="49">
        <f t="shared" ca="1" si="81"/>
        <v>0</v>
      </c>
      <c r="BS303" s="49">
        <f t="shared" ca="1" si="81"/>
        <v>0</v>
      </c>
    </row>
    <row r="304" spans="3:71" outlineLevel="1" x14ac:dyDescent="0.2">
      <c r="D304" t="str">
        <f>HM_ZB_Nsoko!D317</f>
        <v>Part du Gouv. dans le Profit Oil</v>
      </c>
      <c r="I304" s="30">
        <f t="shared" ca="1" si="80"/>
        <v>0</v>
      </c>
      <c r="J304" s="26" t="s">
        <v>148</v>
      </c>
      <c r="L304" s="49">
        <f ca="1">L301-L303</f>
        <v>0</v>
      </c>
      <c r="M304" s="49">
        <f t="shared" ref="M304:BS304" ca="1" si="82">M301-M303</f>
        <v>0</v>
      </c>
      <c r="N304" s="49">
        <f t="shared" ca="1" si="82"/>
        <v>0</v>
      </c>
      <c r="O304" s="49">
        <f t="shared" ca="1" si="82"/>
        <v>0</v>
      </c>
      <c r="P304" s="49">
        <f t="shared" ca="1" si="82"/>
        <v>0</v>
      </c>
      <c r="Q304" s="49">
        <f t="shared" ca="1" si="82"/>
        <v>0</v>
      </c>
      <c r="R304" s="49">
        <f t="shared" ca="1" si="82"/>
        <v>0</v>
      </c>
      <c r="S304" s="49">
        <f t="shared" ca="1" si="82"/>
        <v>0</v>
      </c>
      <c r="T304" s="49">
        <f t="shared" ca="1" si="82"/>
        <v>0</v>
      </c>
      <c r="U304" s="49">
        <f t="shared" ca="1" si="82"/>
        <v>0</v>
      </c>
      <c r="V304" s="49">
        <f t="shared" ca="1" si="82"/>
        <v>0</v>
      </c>
      <c r="W304" s="49">
        <f t="shared" ca="1" si="82"/>
        <v>0</v>
      </c>
      <c r="X304" s="49">
        <f t="shared" ca="1" si="82"/>
        <v>0</v>
      </c>
      <c r="Y304" s="49">
        <f t="shared" ca="1" si="82"/>
        <v>0</v>
      </c>
      <c r="Z304" s="49">
        <f t="shared" ca="1" si="82"/>
        <v>0</v>
      </c>
      <c r="AA304" s="49">
        <f t="shared" ca="1" si="82"/>
        <v>0</v>
      </c>
      <c r="AB304" s="49">
        <f t="shared" ca="1" si="82"/>
        <v>0</v>
      </c>
      <c r="AC304" s="49">
        <f t="shared" ca="1" si="82"/>
        <v>0</v>
      </c>
      <c r="AD304" s="49">
        <f t="shared" ca="1" si="82"/>
        <v>0</v>
      </c>
      <c r="AE304" s="49">
        <f t="shared" ca="1" si="82"/>
        <v>0</v>
      </c>
      <c r="AF304" s="49">
        <f t="shared" ca="1" si="82"/>
        <v>0</v>
      </c>
      <c r="AG304" s="49">
        <f t="shared" ca="1" si="82"/>
        <v>0</v>
      </c>
      <c r="AH304" s="49">
        <f t="shared" ca="1" si="82"/>
        <v>0</v>
      </c>
      <c r="AI304" s="49">
        <f t="shared" ca="1" si="82"/>
        <v>0</v>
      </c>
      <c r="AJ304" s="49">
        <f t="shared" ca="1" si="82"/>
        <v>0</v>
      </c>
      <c r="AK304" s="49">
        <f t="shared" ca="1" si="82"/>
        <v>0</v>
      </c>
      <c r="AL304" s="49">
        <f t="shared" ca="1" si="82"/>
        <v>0</v>
      </c>
      <c r="AM304" s="49">
        <f t="shared" ca="1" si="82"/>
        <v>0</v>
      </c>
      <c r="AN304" s="49">
        <f t="shared" ca="1" si="82"/>
        <v>0</v>
      </c>
      <c r="AO304" s="49">
        <f t="shared" ca="1" si="82"/>
        <v>0</v>
      </c>
      <c r="AP304" s="49">
        <f t="shared" ca="1" si="82"/>
        <v>0</v>
      </c>
      <c r="AQ304" s="49">
        <f t="shared" ca="1" si="82"/>
        <v>0</v>
      </c>
      <c r="AR304" s="49">
        <f t="shared" ca="1" si="82"/>
        <v>0</v>
      </c>
      <c r="AS304" s="49">
        <f t="shared" ca="1" si="82"/>
        <v>0</v>
      </c>
      <c r="AT304" s="49">
        <f t="shared" ca="1" si="82"/>
        <v>0</v>
      </c>
      <c r="AU304" s="49">
        <f t="shared" ca="1" si="82"/>
        <v>0</v>
      </c>
      <c r="AV304" s="49">
        <f t="shared" ca="1" si="82"/>
        <v>0</v>
      </c>
      <c r="AW304" s="49">
        <f t="shared" ca="1" si="82"/>
        <v>0</v>
      </c>
      <c r="AX304" s="49">
        <f t="shared" ca="1" si="82"/>
        <v>0</v>
      </c>
      <c r="AY304" s="49">
        <f t="shared" ca="1" si="82"/>
        <v>0</v>
      </c>
      <c r="AZ304" s="49">
        <f t="shared" ca="1" si="82"/>
        <v>0</v>
      </c>
      <c r="BA304" s="49">
        <f t="shared" ca="1" si="82"/>
        <v>0</v>
      </c>
      <c r="BB304" s="49">
        <f t="shared" ca="1" si="82"/>
        <v>0</v>
      </c>
      <c r="BC304" s="49">
        <f t="shared" ca="1" si="82"/>
        <v>0</v>
      </c>
      <c r="BD304" s="49">
        <f t="shared" ca="1" si="82"/>
        <v>0</v>
      </c>
      <c r="BE304" s="49">
        <f t="shared" ca="1" si="82"/>
        <v>0</v>
      </c>
      <c r="BF304" s="49">
        <f t="shared" ca="1" si="82"/>
        <v>0</v>
      </c>
      <c r="BG304" s="49">
        <f t="shared" ca="1" si="82"/>
        <v>0</v>
      </c>
      <c r="BH304" s="49">
        <f t="shared" ca="1" si="82"/>
        <v>0</v>
      </c>
      <c r="BI304" s="49">
        <f t="shared" ca="1" si="82"/>
        <v>0</v>
      </c>
      <c r="BJ304" s="49">
        <f t="shared" ca="1" si="82"/>
        <v>0</v>
      </c>
      <c r="BK304" s="49">
        <f t="shared" ca="1" si="82"/>
        <v>0</v>
      </c>
      <c r="BL304" s="49">
        <f t="shared" ca="1" si="82"/>
        <v>0</v>
      </c>
      <c r="BM304" s="49">
        <f t="shared" ca="1" si="82"/>
        <v>0</v>
      </c>
      <c r="BN304" s="49">
        <f t="shared" ca="1" si="82"/>
        <v>0</v>
      </c>
      <c r="BO304" s="49">
        <f t="shared" ca="1" si="82"/>
        <v>0</v>
      </c>
      <c r="BP304" s="49">
        <f t="shared" ca="1" si="82"/>
        <v>0</v>
      </c>
      <c r="BQ304" s="49">
        <f t="shared" ca="1" si="82"/>
        <v>0</v>
      </c>
      <c r="BR304" s="49">
        <f t="shared" ca="1" si="82"/>
        <v>0</v>
      </c>
      <c r="BS304" s="49">
        <f t="shared" ca="1" si="82"/>
        <v>0</v>
      </c>
    </row>
    <row r="305" spans="1:71" outlineLevel="1" x14ac:dyDescent="0.2">
      <c r="J305" s="26"/>
      <c r="L305" s="55"/>
      <c r="M305" s="55"/>
      <c r="N305" s="55"/>
      <c r="O305" s="55"/>
      <c r="P305" s="55"/>
      <c r="Q305" s="55"/>
      <c r="R305" s="55"/>
      <c r="S305" s="55"/>
      <c r="T305" s="55"/>
      <c r="U305" s="55"/>
      <c r="V305" s="55"/>
      <c r="W305" s="55"/>
      <c r="X305" s="55"/>
      <c r="Y305" s="55"/>
      <c r="Z305" s="55"/>
      <c r="AA305" s="55"/>
      <c r="AB305" s="55"/>
      <c r="AC305" s="55"/>
      <c r="AD305" s="55"/>
      <c r="AE305" s="55"/>
      <c r="AF305" s="55"/>
      <c r="AG305" s="55"/>
      <c r="AH305" s="55"/>
      <c r="AI305" s="55"/>
      <c r="AJ305" s="55"/>
      <c r="AK305" s="55"/>
      <c r="AL305" s="55"/>
      <c r="AM305" s="55"/>
      <c r="AN305" s="55"/>
      <c r="AO305" s="55"/>
      <c r="AP305" s="55"/>
      <c r="AQ305" s="55"/>
      <c r="AR305" s="55"/>
      <c r="AS305" s="55"/>
      <c r="AT305" s="55"/>
      <c r="AU305" s="55"/>
      <c r="AV305" s="55"/>
      <c r="AW305" s="55"/>
      <c r="AX305" s="55"/>
      <c r="AY305" s="55"/>
      <c r="AZ305" s="55"/>
      <c r="BA305" s="55"/>
      <c r="BB305" s="55"/>
      <c r="BC305" s="55"/>
      <c r="BD305" s="55"/>
      <c r="BE305" s="55"/>
      <c r="BF305" s="55"/>
      <c r="BG305" s="55"/>
      <c r="BH305" s="55"/>
      <c r="BI305" s="55"/>
      <c r="BJ305" s="55"/>
      <c r="BK305" s="55"/>
      <c r="BL305" s="55"/>
      <c r="BM305" s="55"/>
      <c r="BN305" s="55"/>
      <c r="BO305" s="55"/>
      <c r="BP305" s="55"/>
      <c r="BQ305" s="55"/>
      <c r="BR305" s="55"/>
      <c r="BS305" s="55"/>
    </row>
    <row r="306" spans="1:71" outlineLevel="1" x14ac:dyDescent="0.2">
      <c r="D306" s="11" t="str">
        <f>HM_ZB_Nsoko!D319</f>
        <v>Total Part du Profit Contracteur</v>
      </c>
      <c r="I306" s="30">
        <f t="shared" ca="1" si="80"/>
        <v>581.65467570621922</v>
      </c>
      <c r="J306" s="26" t="s">
        <v>148</v>
      </c>
      <c r="K306" s="7" t="s">
        <v>241</v>
      </c>
      <c r="L306" s="49">
        <f ca="1">SUM(L297,L303)</f>
        <v>39.375300888787542</v>
      </c>
      <c r="M306" s="49">
        <f t="shared" ref="M306:BS307" ca="1" si="83">SUM(M297,M303)</f>
        <v>29.773823288852537</v>
      </c>
      <c r="N306" s="49">
        <f t="shared" ca="1" si="83"/>
        <v>51.167424221379392</v>
      </c>
      <c r="O306" s="49">
        <f t="shared" ca="1" si="83"/>
        <v>53.579923376581867</v>
      </c>
      <c r="P306" s="49">
        <f t="shared" ca="1" si="83"/>
        <v>49.070948089799998</v>
      </c>
      <c r="Q306" s="49">
        <f t="shared" ca="1" si="83"/>
        <v>54.017384878047508</v>
      </c>
      <c r="R306" s="49">
        <f t="shared" ca="1" si="83"/>
        <v>56.987962302009379</v>
      </c>
      <c r="S306" s="49">
        <f t="shared" ca="1" si="83"/>
        <v>39.358908225000008</v>
      </c>
      <c r="T306" s="49">
        <f t="shared" ca="1" si="83"/>
        <v>46.173460724999984</v>
      </c>
      <c r="U306" s="49">
        <f t="shared" ca="1" si="83"/>
        <v>43.800144843734998</v>
      </c>
      <c r="V306" s="49">
        <f t="shared" ca="1" si="83"/>
        <v>41.548817398767007</v>
      </c>
      <c r="W306" s="49">
        <f t="shared" ca="1" si="83"/>
        <v>39.413208184470378</v>
      </c>
      <c r="X306" s="49">
        <f t="shared" ca="1" si="83"/>
        <v>37.387369283788615</v>
      </c>
      <c r="Y306" s="49">
        <f t="shared" ca="1" si="83"/>
        <v>0</v>
      </c>
      <c r="Z306" s="49">
        <f t="shared" ca="1" si="83"/>
        <v>0</v>
      </c>
      <c r="AA306" s="49">
        <f t="shared" ca="1" si="83"/>
        <v>0</v>
      </c>
      <c r="AB306" s="49">
        <f t="shared" ca="1" si="83"/>
        <v>0</v>
      </c>
      <c r="AC306" s="49">
        <f t="shared" ca="1" si="83"/>
        <v>0</v>
      </c>
      <c r="AD306" s="49">
        <f t="shared" ca="1" si="83"/>
        <v>0</v>
      </c>
      <c r="AE306" s="49">
        <f t="shared" ca="1" si="83"/>
        <v>0</v>
      </c>
      <c r="AF306" s="49">
        <f t="shared" ca="1" si="83"/>
        <v>0</v>
      </c>
      <c r="AG306" s="49">
        <f t="shared" ca="1" si="83"/>
        <v>0</v>
      </c>
      <c r="AH306" s="49">
        <f t="shared" ca="1" si="83"/>
        <v>0</v>
      </c>
      <c r="AI306" s="49">
        <f t="shared" ca="1" si="83"/>
        <v>0</v>
      </c>
      <c r="AJ306" s="49">
        <f t="shared" ca="1" si="83"/>
        <v>0</v>
      </c>
      <c r="AK306" s="49">
        <f t="shared" ca="1" si="83"/>
        <v>0</v>
      </c>
      <c r="AL306" s="49">
        <f t="shared" ca="1" si="83"/>
        <v>0</v>
      </c>
      <c r="AM306" s="49">
        <f t="shared" ca="1" si="83"/>
        <v>0</v>
      </c>
      <c r="AN306" s="49">
        <f t="shared" ca="1" si="83"/>
        <v>0</v>
      </c>
      <c r="AO306" s="49">
        <f t="shared" ca="1" si="83"/>
        <v>0</v>
      </c>
      <c r="AP306" s="49">
        <f t="shared" ca="1" si="83"/>
        <v>0</v>
      </c>
      <c r="AQ306" s="49">
        <f t="shared" ca="1" si="83"/>
        <v>0</v>
      </c>
      <c r="AR306" s="49">
        <f t="shared" ca="1" si="83"/>
        <v>0</v>
      </c>
      <c r="AS306" s="49">
        <f t="shared" ca="1" si="83"/>
        <v>0</v>
      </c>
      <c r="AT306" s="49">
        <f t="shared" ca="1" si="83"/>
        <v>0</v>
      </c>
      <c r="AU306" s="49">
        <f t="shared" ca="1" si="83"/>
        <v>0</v>
      </c>
      <c r="AV306" s="49">
        <f t="shared" ca="1" si="83"/>
        <v>0</v>
      </c>
      <c r="AW306" s="49">
        <f t="shared" ca="1" si="83"/>
        <v>0</v>
      </c>
      <c r="AX306" s="49">
        <f t="shared" ca="1" si="83"/>
        <v>0</v>
      </c>
      <c r="AY306" s="49">
        <f t="shared" ca="1" si="83"/>
        <v>0</v>
      </c>
      <c r="AZ306" s="49">
        <f t="shared" ca="1" si="83"/>
        <v>0</v>
      </c>
      <c r="BA306" s="49">
        <f t="shared" ca="1" si="83"/>
        <v>0</v>
      </c>
      <c r="BB306" s="49">
        <f t="shared" ca="1" si="83"/>
        <v>0</v>
      </c>
      <c r="BC306" s="49">
        <f t="shared" ca="1" si="83"/>
        <v>0</v>
      </c>
      <c r="BD306" s="49">
        <f t="shared" ca="1" si="83"/>
        <v>0</v>
      </c>
      <c r="BE306" s="49">
        <f t="shared" ca="1" si="83"/>
        <v>0</v>
      </c>
      <c r="BF306" s="49">
        <f t="shared" ca="1" si="83"/>
        <v>0</v>
      </c>
      <c r="BG306" s="49">
        <f t="shared" ca="1" si="83"/>
        <v>0</v>
      </c>
      <c r="BH306" s="49">
        <f t="shared" ca="1" si="83"/>
        <v>0</v>
      </c>
      <c r="BI306" s="49">
        <f t="shared" ca="1" si="83"/>
        <v>0</v>
      </c>
      <c r="BJ306" s="49">
        <f t="shared" ca="1" si="83"/>
        <v>0</v>
      </c>
      <c r="BK306" s="49">
        <f t="shared" ca="1" si="83"/>
        <v>0</v>
      </c>
      <c r="BL306" s="49">
        <f t="shared" ca="1" si="83"/>
        <v>0</v>
      </c>
      <c r="BM306" s="49">
        <f t="shared" ca="1" si="83"/>
        <v>0</v>
      </c>
      <c r="BN306" s="49">
        <f t="shared" ca="1" si="83"/>
        <v>0</v>
      </c>
      <c r="BO306" s="49">
        <f t="shared" ca="1" si="83"/>
        <v>0</v>
      </c>
      <c r="BP306" s="49">
        <f t="shared" ca="1" si="83"/>
        <v>0</v>
      </c>
      <c r="BQ306" s="49">
        <f t="shared" ca="1" si="83"/>
        <v>0</v>
      </c>
      <c r="BR306" s="49">
        <f t="shared" ca="1" si="83"/>
        <v>0</v>
      </c>
      <c r="BS306" s="49">
        <f t="shared" ca="1" si="83"/>
        <v>0</v>
      </c>
    </row>
    <row r="307" spans="1:71" outlineLevel="1" x14ac:dyDescent="0.2">
      <c r="D307" s="11" t="str">
        <f>HM_ZB_Nsoko!D320</f>
        <v>Total Part du Profit Gouv.</v>
      </c>
      <c r="I307" s="30">
        <f t="shared" ca="1" si="80"/>
        <v>427.51339860831536</v>
      </c>
      <c r="J307" s="26" t="s">
        <v>148</v>
      </c>
      <c r="K307" s="7" t="s">
        <v>242</v>
      </c>
      <c r="L307" s="49">
        <f ca="1">SUM(L298,L304)</f>
        <v>21.202085093962516</v>
      </c>
      <c r="M307" s="49">
        <f t="shared" ca="1" si="83"/>
        <v>16.032058693997516</v>
      </c>
      <c r="N307" s="49">
        <f t="shared" ca="1" si="83"/>
        <v>27.551689965358136</v>
      </c>
      <c r="O307" s="49">
        <f t="shared" ca="1" si="83"/>
        <v>28.850727972005622</v>
      </c>
      <c r="P307" s="49">
        <f t="shared" ca="1" si="83"/>
        <v>26.422818202199991</v>
      </c>
      <c r="Q307" s="49">
        <f t="shared" ca="1" si="83"/>
        <v>29.086284165102498</v>
      </c>
      <c r="R307" s="49">
        <f t="shared" ca="1" si="83"/>
        <v>30.685825854928126</v>
      </c>
      <c r="S307" s="49">
        <f t="shared" ca="1" si="83"/>
        <v>39.358908225000008</v>
      </c>
      <c r="T307" s="49">
        <f t="shared" ca="1" si="83"/>
        <v>46.173460724999984</v>
      </c>
      <c r="U307" s="49">
        <f t="shared" ca="1" si="83"/>
        <v>43.800144843734998</v>
      </c>
      <c r="V307" s="49">
        <f t="shared" ca="1" si="83"/>
        <v>41.548817398767007</v>
      </c>
      <c r="W307" s="49">
        <f t="shared" ca="1" si="83"/>
        <v>39.413208184470378</v>
      </c>
      <c r="X307" s="49">
        <f t="shared" ca="1" si="83"/>
        <v>37.387369283788615</v>
      </c>
      <c r="Y307" s="49">
        <f t="shared" ca="1" si="83"/>
        <v>0</v>
      </c>
      <c r="Z307" s="49">
        <f t="shared" ca="1" si="83"/>
        <v>0</v>
      </c>
      <c r="AA307" s="49">
        <f t="shared" ca="1" si="83"/>
        <v>0</v>
      </c>
      <c r="AB307" s="49">
        <f t="shared" ca="1" si="83"/>
        <v>0</v>
      </c>
      <c r="AC307" s="49">
        <f t="shared" ca="1" si="83"/>
        <v>0</v>
      </c>
      <c r="AD307" s="49">
        <f t="shared" ca="1" si="83"/>
        <v>0</v>
      </c>
      <c r="AE307" s="49">
        <f t="shared" ca="1" si="83"/>
        <v>0</v>
      </c>
      <c r="AF307" s="49">
        <f t="shared" ca="1" si="83"/>
        <v>0</v>
      </c>
      <c r="AG307" s="49">
        <f t="shared" ca="1" si="83"/>
        <v>0</v>
      </c>
      <c r="AH307" s="49">
        <f t="shared" ca="1" si="83"/>
        <v>0</v>
      </c>
      <c r="AI307" s="49">
        <f t="shared" ca="1" si="83"/>
        <v>0</v>
      </c>
      <c r="AJ307" s="49">
        <f t="shared" ca="1" si="83"/>
        <v>0</v>
      </c>
      <c r="AK307" s="49">
        <f t="shared" ca="1" si="83"/>
        <v>0</v>
      </c>
      <c r="AL307" s="49">
        <f t="shared" ca="1" si="83"/>
        <v>0</v>
      </c>
      <c r="AM307" s="49">
        <f t="shared" ca="1" si="83"/>
        <v>0</v>
      </c>
      <c r="AN307" s="49">
        <f t="shared" ca="1" si="83"/>
        <v>0</v>
      </c>
      <c r="AO307" s="49">
        <f t="shared" ca="1" si="83"/>
        <v>0</v>
      </c>
      <c r="AP307" s="49">
        <f t="shared" ca="1" si="83"/>
        <v>0</v>
      </c>
      <c r="AQ307" s="49">
        <f t="shared" ca="1" si="83"/>
        <v>0</v>
      </c>
      <c r="AR307" s="49">
        <f t="shared" ca="1" si="83"/>
        <v>0</v>
      </c>
      <c r="AS307" s="49">
        <f t="shared" ca="1" si="83"/>
        <v>0</v>
      </c>
      <c r="AT307" s="49">
        <f t="shared" ca="1" si="83"/>
        <v>0</v>
      </c>
      <c r="AU307" s="49">
        <f t="shared" ca="1" si="83"/>
        <v>0</v>
      </c>
      <c r="AV307" s="49">
        <f t="shared" ca="1" si="83"/>
        <v>0</v>
      </c>
      <c r="AW307" s="49">
        <f t="shared" ca="1" si="83"/>
        <v>0</v>
      </c>
      <c r="AX307" s="49">
        <f t="shared" ca="1" si="83"/>
        <v>0</v>
      </c>
      <c r="AY307" s="49">
        <f t="shared" ca="1" si="83"/>
        <v>0</v>
      </c>
      <c r="AZ307" s="49">
        <f t="shared" ca="1" si="83"/>
        <v>0</v>
      </c>
      <c r="BA307" s="49">
        <f t="shared" ca="1" si="83"/>
        <v>0</v>
      </c>
      <c r="BB307" s="49">
        <f t="shared" ca="1" si="83"/>
        <v>0</v>
      </c>
      <c r="BC307" s="49">
        <f t="shared" ca="1" si="83"/>
        <v>0</v>
      </c>
      <c r="BD307" s="49">
        <f t="shared" ca="1" si="83"/>
        <v>0</v>
      </c>
      <c r="BE307" s="49">
        <f t="shared" ca="1" si="83"/>
        <v>0</v>
      </c>
      <c r="BF307" s="49">
        <f t="shared" ca="1" si="83"/>
        <v>0</v>
      </c>
      <c r="BG307" s="49">
        <f t="shared" ca="1" si="83"/>
        <v>0</v>
      </c>
      <c r="BH307" s="49">
        <f t="shared" ca="1" si="83"/>
        <v>0</v>
      </c>
      <c r="BI307" s="49">
        <f t="shared" ca="1" si="83"/>
        <v>0</v>
      </c>
      <c r="BJ307" s="49">
        <f t="shared" ca="1" si="83"/>
        <v>0</v>
      </c>
      <c r="BK307" s="49">
        <f t="shared" ca="1" si="83"/>
        <v>0</v>
      </c>
      <c r="BL307" s="49">
        <f t="shared" ca="1" si="83"/>
        <v>0</v>
      </c>
      <c r="BM307" s="49">
        <f t="shared" ca="1" si="83"/>
        <v>0</v>
      </c>
      <c r="BN307" s="49">
        <f t="shared" ca="1" si="83"/>
        <v>0</v>
      </c>
      <c r="BO307" s="49">
        <f t="shared" ca="1" si="83"/>
        <v>0</v>
      </c>
      <c r="BP307" s="49">
        <f t="shared" ca="1" si="83"/>
        <v>0</v>
      </c>
      <c r="BQ307" s="49">
        <f t="shared" ca="1" si="83"/>
        <v>0</v>
      </c>
      <c r="BR307" s="49">
        <f t="shared" ca="1" si="83"/>
        <v>0</v>
      </c>
      <c r="BS307" s="49">
        <f t="shared" ca="1" si="83"/>
        <v>0</v>
      </c>
    </row>
    <row r="308" spans="1:71" outlineLevel="1" x14ac:dyDescent="0.2">
      <c r="J308" s="26"/>
      <c r="L308" s="55"/>
      <c r="M308" s="55"/>
      <c r="N308" s="55"/>
      <c r="O308" s="55"/>
      <c r="P308" s="55"/>
      <c r="Q308" s="55"/>
      <c r="R308" s="55"/>
      <c r="S308" s="55"/>
      <c r="T308" s="55"/>
      <c r="U308" s="55"/>
      <c r="V308" s="55"/>
      <c r="W308" s="55"/>
      <c r="X308" s="55"/>
      <c r="Y308" s="55"/>
      <c r="Z308" s="55"/>
      <c r="AA308" s="55"/>
      <c r="AB308" s="55"/>
      <c r="AC308" s="55"/>
      <c r="AD308" s="55"/>
      <c r="AE308" s="55"/>
      <c r="AF308" s="55"/>
      <c r="AG308" s="55"/>
      <c r="AH308" s="55"/>
      <c r="AI308" s="55"/>
      <c r="AJ308" s="55"/>
      <c r="AK308" s="55"/>
      <c r="AL308" s="55"/>
      <c r="AM308" s="55"/>
      <c r="AN308" s="55"/>
      <c r="AO308" s="55"/>
      <c r="AP308" s="55"/>
      <c r="AQ308" s="55"/>
      <c r="AR308" s="55"/>
      <c r="AS308" s="55"/>
      <c r="AT308" s="55"/>
      <c r="AU308" s="55"/>
      <c r="AV308" s="55"/>
      <c r="AW308" s="55"/>
      <c r="AX308" s="55"/>
      <c r="AY308" s="55"/>
      <c r="AZ308" s="55"/>
      <c r="BA308" s="55"/>
      <c r="BB308" s="55"/>
      <c r="BC308" s="55"/>
      <c r="BD308" s="55"/>
      <c r="BE308" s="55"/>
      <c r="BF308" s="55"/>
      <c r="BG308" s="55"/>
      <c r="BH308" s="55"/>
      <c r="BI308" s="55"/>
      <c r="BJ308" s="55"/>
      <c r="BK308" s="55"/>
      <c r="BL308" s="55"/>
      <c r="BM308" s="55"/>
      <c r="BN308" s="55"/>
      <c r="BO308" s="55"/>
      <c r="BP308" s="55"/>
      <c r="BQ308" s="55"/>
      <c r="BR308" s="55"/>
      <c r="BS308" s="55"/>
    </row>
    <row r="309" spans="1:71" outlineLevel="1" x14ac:dyDescent="0.2">
      <c r="J309" s="26"/>
      <c r="L309" s="55"/>
      <c r="M309" s="55"/>
      <c r="N309" s="55"/>
      <c r="O309" s="55"/>
      <c r="P309" s="55"/>
      <c r="Q309" s="55"/>
      <c r="R309" s="55"/>
      <c r="S309" s="55"/>
      <c r="T309" s="55"/>
      <c r="U309" s="55"/>
      <c r="V309" s="55"/>
      <c r="W309" s="55"/>
      <c r="X309" s="55"/>
      <c r="Y309" s="55"/>
      <c r="Z309" s="55"/>
      <c r="AA309" s="55"/>
      <c r="AB309" s="55"/>
      <c r="AC309" s="55"/>
      <c r="AD309" s="55"/>
      <c r="AE309" s="55"/>
      <c r="AF309" s="55"/>
      <c r="AG309" s="55"/>
      <c r="AH309" s="55"/>
      <c r="AI309" s="55"/>
      <c r="AJ309" s="55"/>
      <c r="AK309" s="55"/>
      <c r="AL309" s="55"/>
      <c r="AM309" s="55"/>
      <c r="AN309" s="55"/>
      <c r="AO309" s="55"/>
      <c r="AP309" s="55"/>
      <c r="AQ309" s="55"/>
      <c r="AR309" s="55"/>
      <c r="AS309" s="55"/>
      <c r="AT309" s="55"/>
      <c r="AU309" s="55"/>
      <c r="AV309" s="55"/>
      <c r="AW309" s="55"/>
      <c r="AX309" s="55"/>
      <c r="AY309" s="55"/>
      <c r="AZ309" s="55"/>
      <c r="BA309" s="55"/>
      <c r="BB309" s="55"/>
      <c r="BC309" s="55"/>
      <c r="BD309" s="55"/>
      <c r="BE309" s="55"/>
      <c r="BF309" s="55"/>
      <c r="BG309" s="55"/>
      <c r="BH309" s="55"/>
      <c r="BI309" s="55"/>
      <c r="BJ309" s="55"/>
      <c r="BK309" s="55"/>
      <c r="BL309" s="55"/>
      <c r="BM309" s="55"/>
      <c r="BN309" s="55"/>
      <c r="BO309" s="55"/>
      <c r="BP309" s="55"/>
      <c r="BQ309" s="55"/>
      <c r="BR309" s="55"/>
      <c r="BS309" s="55"/>
    </row>
    <row r="310" spans="1:71" outlineLevel="1" x14ac:dyDescent="0.2">
      <c r="J310" s="26"/>
      <c r="L310" s="55"/>
      <c r="M310" s="55"/>
      <c r="N310" s="55"/>
      <c r="O310" s="55"/>
      <c r="P310" s="55"/>
      <c r="Q310" s="55"/>
      <c r="R310" s="55"/>
      <c r="S310" s="55"/>
      <c r="T310" s="55"/>
      <c r="U310" s="55"/>
      <c r="V310" s="55"/>
      <c r="W310" s="55"/>
      <c r="X310" s="55"/>
      <c r="Y310" s="55"/>
      <c r="Z310" s="55"/>
      <c r="AA310" s="55"/>
      <c r="AB310" s="55"/>
      <c r="AC310" s="55"/>
      <c r="AD310" s="55"/>
      <c r="AE310" s="55"/>
      <c r="AF310" s="55"/>
      <c r="AG310" s="55"/>
      <c r="AH310" s="55"/>
      <c r="AI310" s="55"/>
      <c r="AJ310" s="55"/>
      <c r="AK310" s="55"/>
      <c r="AL310" s="55"/>
      <c r="AM310" s="55"/>
      <c r="AN310" s="55"/>
      <c r="AO310" s="55"/>
      <c r="AP310" s="55"/>
      <c r="AQ310" s="55"/>
      <c r="AR310" s="55"/>
      <c r="AS310" s="55"/>
      <c r="AT310" s="55"/>
      <c r="AU310" s="55"/>
      <c r="AV310" s="55"/>
      <c r="AW310" s="55"/>
      <c r="AX310" s="55"/>
      <c r="AY310" s="55"/>
      <c r="AZ310" s="55"/>
      <c r="BA310" s="55"/>
      <c r="BB310" s="55"/>
      <c r="BC310" s="55"/>
      <c r="BD310" s="55"/>
      <c r="BE310" s="55"/>
      <c r="BF310" s="55"/>
      <c r="BG310" s="55"/>
      <c r="BH310" s="55"/>
      <c r="BI310" s="55"/>
      <c r="BJ310" s="55"/>
      <c r="BK310" s="55"/>
      <c r="BL310" s="55"/>
      <c r="BM310" s="55"/>
      <c r="BN310" s="55"/>
      <c r="BO310" s="55"/>
      <c r="BP310" s="55"/>
      <c r="BQ310" s="55"/>
      <c r="BR310" s="55"/>
      <c r="BS310" s="55"/>
    </row>
    <row r="311" spans="1:71" outlineLevel="1" x14ac:dyDescent="0.2">
      <c r="A311" s="45"/>
      <c r="B311" s="38" t="str">
        <f>HM_ZB_Nsoko!B324</f>
        <v>Calculs des droits</v>
      </c>
      <c r="C311" s="45"/>
      <c r="D311" s="45"/>
      <c r="E311" s="45"/>
      <c r="J311" s="26"/>
      <c r="L311" s="55"/>
      <c r="M311" s="55"/>
      <c r="N311" s="55"/>
      <c r="O311" s="55"/>
      <c r="P311" s="55"/>
      <c r="Q311" s="55"/>
      <c r="R311" s="55"/>
      <c r="S311" s="55"/>
      <c r="T311" s="55"/>
      <c r="U311" s="55"/>
      <c r="V311" s="55"/>
      <c r="W311" s="55"/>
      <c r="X311" s="55"/>
      <c r="Y311" s="55"/>
      <c r="Z311" s="55"/>
      <c r="AA311" s="55"/>
      <c r="AB311" s="55"/>
      <c r="AC311" s="55"/>
      <c r="AD311" s="55"/>
      <c r="AE311" s="55"/>
      <c r="AF311" s="55"/>
      <c r="AG311" s="55"/>
      <c r="AH311" s="55"/>
      <c r="AI311" s="55"/>
      <c r="AJ311" s="55"/>
      <c r="AK311" s="55"/>
      <c r="AL311" s="55"/>
      <c r="AM311" s="55"/>
      <c r="AN311" s="55"/>
      <c r="AO311" s="55"/>
      <c r="AP311" s="55"/>
      <c r="AQ311" s="55"/>
      <c r="AR311" s="55"/>
      <c r="AS311" s="55"/>
      <c r="AT311" s="55"/>
      <c r="AU311" s="55"/>
      <c r="AV311" s="55"/>
      <c r="AW311" s="55"/>
      <c r="AX311" s="55"/>
      <c r="AY311" s="55"/>
      <c r="AZ311" s="55"/>
      <c r="BA311" s="55"/>
      <c r="BB311" s="55"/>
      <c r="BC311" s="55"/>
      <c r="BD311" s="55"/>
      <c r="BE311" s="55"/>
      <c r="BF311" s="55"/>
      <c r="BG311" s="55"/>
      <c r="BH311" s="55"/>
      <c r="BI311" s="55"/>
      <c r="BJ311" s="55"/>
      <c r="BK311" s="55"/>
      <c r="BL311" s="55"/>
      <c r="BM311" s="55"/>
      <c r="BN311" s="55"/>
      <c r="BO311" s="55"/>
      <c r="BP311" s="55"/>
      <c r="BQ311" s="55"/>
      <c r="BR311" s="55"/>
      <c r="BS311" s="55"/>
    </row>
    <row r="312" spans="1:71" outlineLevel="1" x14ac:dyDescent="0.2">
      <c r="J312" s="26"/>
      <c r="L312" s="55"/>
      <c r="M312" s="55"/>
      <c r="N312" s="55"/>
      <c r="O312" s="55"/>
      <c r="P312" s="55"/>
      <c r="Q312" s="55"/>
      <c r="R312" s="55"/>
      <c r="S312" s="55"/>
      <c r="T312" s="55"/>
      <c r="U312" s="55"/>
      <c r="V312" s="55"/>
      <c r="W312" s="55"/>
      <c r="X312" s="55"/>
      <c r="Y312" s="55"/>
      <c r="Z312" s="55"/>
      <c r="AA312" s="55"/>
      <c r="AB312" s="55"/>
      <c r="AC312" s="55"/>
      <c r="AD312" s="55"/>
      <c r="AE312" s="55"/>
      <c r="AF312" s="55"/>
      <c r="AG312" s="55"/>
      <c r="AH312" s="55"/>
      <c r="AI312" s="55"/>
      <c r="AJ312" s="55"/>
      <c r="AK312" s="55"/>
      <c r="AL312" s="55"/>
      <c r="AM312" s="55"/>
      <c r="AN312" s="55"/>
      <c r="AO312" s="55"/>
      <c r="AP312" s="55"/>
      <c r="AQ312" s="55"/>
      <c r="AR312" s="55"/>
      <c r="AS312" s="55"/>
      <c r="AT312" s="55"/>
      <c r="AU312" s="55"/>
      <c r="AV312" s="55"/>
      <c r="AW312" s="55"/>
      <c r="AX312" s="55"/>
      <c r="AY312" s="55"/>
      <c r="AZ312" s="55"/>
      <c r="BA312" s="55"/>
      <c r="BB312" s="55"/>
      <c r="BC312" s="55"/>
      <c r="BD312" s="55"/>
      <c r="BE312" s="55"/>
      <c r="BF312" s="55"/>
      <c r="BG312" s="55"/>
      <c r="BH312" s="55"/>
      <c r="BI312" s="55"/>
      <c r="BJ312" s="55"/>
      <c r="BK312" s="55"/>
      <c r="BL312" s="55"/>
      <c r="BM312" s="55"/>
      <c r="BN312" s="55"/>
      <c r="BO312" s="55"/>
      <c r="BP312" s="55"/>
      <c r="BQ312" s="55"/>
      <c r="BR312" s="55"/>
      <c r="BS312" s="55"/>
    </row>
    <row r="313" spans="1:71" outlineLevel="1" x14ac:dyDescent="0.2">
      <c r="C313" s="11" t="str">
        <f>HM_ZB_Nsoko!C326</f>
        <v>Revenus des droits  - Pétrole</v>
      </c>
      <c r="J313" s="26"/>
      <c r="L313" s="55"/>
      <c r="M313" s="55"/>
      <c r="N313" s="55"/>
      <c r="O313" s="55"/>
      <c r="P313" s="55"/>
      <c r="Q313" s="55"/>
      <c r="R313" s="55"/>
      <c r="S313" s="55"/>
      <c r="T313" s="55"/>
      <c r="U313" s="55"/>
      <c r="V313" s="55"/>
      <c r="W313" s="55"/>
      <c r="X313" s="55"/>
      <c r="Y313" s="55"/>
      <c r="Z313" s="55"/>
      <c r="AA313" s="55"/>
      <c r="AB313" s="55"/>
      <c r="AC313" s="55"/>
      <c r="AD313" s="55"/>
      <c r="AE313" s="55"/>
      <c r="AF313" s="55"/>
      <c r="AG313" s="55"/>
      <c r="AH313" s="55"/>
      <c r="AI313" s="55"/>
      <c r="AJ313" s="55"/>
      <c r="AK313" s="55"/>
      <c r="AL313" s="55"/>
      <c r="AM313" s="55"/>
      <c r="AN313" s="55"/>
      <c r="AO313" s="55"/>
      <c r="AP313" s="55"/>
      <c r="AQ313" s="55"/>
      <c r="AR313" s="55"/>
      <c r="AS313" s="55"/>
      <c r="AT313" s="55"/>
      <c r="AU313" s="55"/>
      <c r="AV313" s="55"/>
      <c r="AW313" s="55"/>
      <c r="AX313" s="55"/>
      <c r="AY313" s="55"/>
      <c r="AZ313" s="55"/>
      <c r="BA313" s="55"/>
      <c r="BB313" s="55"/>
      <c r="BC313" s="55"/>
      <c r="BD313" s="55"/>
      <c r="BE313" s="55"/>
      <c r="BF313" s="55"/>
      <c r="BG313" s="55"/>
      <c r="BH313" s="55"/>
      <c r="BI313" s="55"/>
      <c r="BJ313" s="55"/>
      <c r="BK313" s="55"/>
      <c r="BL313" s="55"/>
      <c r="BM313" s="55"/>
      <c r="BN313" s="55"/>
      <c r="BO313" s="55"/>
      <c r="BP313" s="55"/>
      <c r="BQ313" s="55"/>
      <c r="BR313" s="55"/>
      <c r="BS313" s="55"/>
    </row>
    <row r="314" spans="1:71" outlineLevel="1" x14ac:dyDescent="0.2">
      <c r="D314" t="str">
        <f>HM_ZB_Nsoko!D327</f>
        <v>Cost Oil</v>
      </c>
      <c r="I314" s="30">
        <f t="shared" ref="I314:I318" ca="1" si="84">SUM($L314:$BS314)</f>
        <v>1513.7992623192276</v>
      </c>
      <c r="J314" s="26" t="s">
        <v>148</v>
      </c>
      <c r="L314" s="49" cm="1">
        <f t="array" aca="1" ref="L314:BS314" ca="1">KLL_II_2020!CA_cost_recovered_total*KLL_II_2020!CA_rev_oil_perc</f>
        <v>86.539122832499999</v>
      </c>
      <c r="M314" s="49">
        <f ca="1"/>
        <v>137.56755898825</v>
      </c>
      <c r="N314" s="49">
        <f ca="1"/>
        <v>112.455877409625</v>
      </c>
      <c r="O314" s="49">
        <f ca="1"/>
        <v>117.75807335512498</v>
      </c>
      <c r="P314" s="49">
        <f ca="1"/>
        <v>107.84823756</v>
      </c>
      <c r="Q314" s="49">
        <f ca="1"/>
        <v>118.71952720450003</v>
      </c>
      <c r="R314" s="49">
        <f ca="1"/>
        <v>125.24826879562499</v>
      </c>
      <c r="S314" s="49">
        <f ca="1"/>
        <v>112.45402350000001</v>
      </c>
      <c r="T314" s="49">
        <f ca="1"/>
        <v>131.92417349999999</v>
      </c>
      <c r="U314" s="49">
        <f ca="1"/>
        <v>125.14327098209996</v>
      </c>
      <c r="V314" s="49">
        <f ca="1"/>
        <v>118.71090685362002</v>
      </c>
      <c r="W314" s="49">
        <f ca="1"/>
        <v>112.60916624134396</v>
      </c>
      <c r="X314" s="49">
        <f ca="1"/>
        <v>106.82105509653887</v>
      </c>
      <c r="Y314" s="49">
        <f ca="1"/>
        <v>0</v>
      </c>
      <c r="Z314" s="49">
        <f ca="1"/>
        <v>0</v>
      </c>
      <c r="AA314" s="49">
        <f ca="1"/>
        <v>0</v>
      </c>
      <c r="AB314" s="49">
        <f ca="1"/>
        <v>0</v>
      </c>
      <c r="AC314" s="49">
        <f ca="1"/>
        <v>0</v>
      </c>
      <c r="AD314" s="49">
        <f ca="1"/>
        <v>0</v>
      </c>
      <c r="AE314" s="49">
        <f ca="1"/>
        <v>0</v>
      </c>
      <c r="AF314" s="49">
        <f ca="1"/>
        <v>0</v>
      </c>
      <c r="AG314" s="49">
        <f ca="1"/>
        <v>0</v>
      </c>
      <c r="AH314" s="49">
        <f ca="1"/>
        <v>0</v>
      </c>
      <c r="AI314" s="49">
        <f ca="1"/>
        <v>0</v>
      </c>
      <c r="AJ314" s="49">
        <f ca="1"/>
        <v>0</v>
      </c>
      <c r="AK314" s="49">
        <f ca="1"/>
        <v>0</v>
      </c>
      <c r="AL314" s="49">
        <f ca="1"/>
        <v>0</v>
      </c>
      <c r="AM314" s="49">
        <f ca="1"/>
        <v>0</v>
      </c>
      <c r="AN314" s="49">
        <f ca="1"/>
        <v>0</v>
      </c>
      <c r="AO314" s="49">
        <f ca="1"/>
        <v>0</v>
      </c>
      <c r="AP314" s="49">
        <f ca="1"/>
        <v>0</v>
      </c>
      <c r="AQ314" s="49">
        <f ca="1"/>
        <v>0</v>
      </c>
      <c r="AR314" s="49">
        <f ca="1"/>
        <v>0</v>
      </c>
      <c r="AS314" s="49">
        <f ca="1"/>
        <v>0</v>
      </c>
      <c r="AT314" s="49">
        <f ca="1"/>
        <v>0</v>
      </c>
      <c r="AU314" s="49">
        <f ca="1"/>
        <v>0</v>
      </c>
      <c r="AV314" s="49">
        <f ca="1"/>
        <v>0</v>
      </c>
      <c r="AW314" s="49">
        <f ca="1"/>
        <v>0</v>
      </c>
      <c r="AX314" s="49">
        <f ca="1"/>
        <v>0</v>
      </c>
      <c r="AY314" s="49">
        <f ca="1"/>
        <v>0</v>
      </c>
      <c r="AZ314" s="49">
        <f ca="1"/>
        <v>0</v>
      </c>
      <c r="BA314" s="49">
        <f ca="1"/>
        <v>0</v>
      </c>
      <c r="BB314" s="49">
        <f ca="1"/>
        <v>0</v>
      </c>
      <c r="BC314" s="49">
        <f ca="1"/>
        <v>0</v>
      </c>
      <c r="BD314" s="49">
        <f ca="1"/>
        <v>0</v>
      </c>
      <c r="BE314" s="49">
        <f ca="1"/>
        <v>0</v>
      </c>
      <c r="BF314" s="49">
        <f ca="1"/>
        <v>0</v>
      </c>
      <c r="BG314" s="49">
        <f ca="1"/>
        <v>0</v>
      </c>
      <c r="BH314" s="49">
        <f ca="1"/>
        <v>0</v>
      </c>
      <c r="BI314" s="49">
        <f ca="1"/>
        <v>0</v>
      </c>
      <c r="BJ314" s="49">
        <f ca="1"/>
        <v>0</v>
      </c>
      <c r="BK314" s="49">
        <f ca="1"/>
        <v>0</v>
      </c>
      <c r="BL314" s="49">
        <f ca="1"/>
        <v>0</v>
      </c>
      <c r="BM314" s="49">
        <f ca="1"/>
        <v>0</v>
      </c>
      <c r="BN314" s="49">
        <f ca="1"/>
        <v>0</v>
      </c>
      <c r="BO314" s="49">
        <f ca="1"/>
        <v>0</v>
      </c>
      <c r="BP314" s="49">
        <f ca="1"/>
        <v>0</v>
      </c>
      <c r="BQ314" s="49">
        <f ca="1"/>
        <v>0</v>
      </c>
      <c r="BR314" s="49">
        <f ca="1"/>
        <v>0</v>
      </c>
      <c r="BS314" s="49">
        <f ca="1"/>
        <v>0</v>
      </c>
    </row>
    <row r="315" spans="1:71" outlineLevel="1" x14ac:dyDescent="0.2">
      <c r="D315" t="str">
        <f>HM_ZB_Nsoko!D328</f>
        <v>Excess Cost Oil</v>
      </c>
      <c r="I315" s="30">
        <f t="shared" ca="1" si="84"/>
        <v>0</v>
      </c>
      <c r="J315" s="26" t="s">
        <v>148</v>
      </c>
      <c r="L315" s="49" cm="1">
        <f t="array" aca="1" ref="L315:BS315" ca="1">KLL_II_2020!CA_excess_CR_cont*KLL_II_2020!CA_rev_oil_perc</f>
        <v>0</v>
      </c>
      <c r="M315" s="49">
        <f ca="1"/>
        <v>0</v>
      </c>
      <c r="N315" s="49">
        <f ca="1"/>
        <v>0</v>
      </c>
      <c r="O315" s="49">
        <f ca="1"/>
        <v>0</v>
      </c>
      <c r="P315" s="49">
        <f ca="1"/>
        <v>0</v>
      </c>
      <c r="Q315" s="49">
        <f ca="1"/>
        <v>0</v>
      </c>
      <c r="R315" s="49">
        <f ca="1"/>
        <v>0</v>
      </c>
      <c r="S315" s="49">
        <f ca="1"/>
        <v>0</v>
      </c>
      <c r="T315" s="49">
        <f ca="1"/>
        <v>0</v>
      </c>
      <c r="U315" s="49">
        <f ca="1"/>
        <v>0</v>
      </c>
      <c r="V315" s="49">
        <f ca="1"/>
        <v>0</v>
      </c>
      <c r="W315" s="49">
        <f ca="1"/>
        <v>0</v>
      </c>
      <c r="X315" s="49">
        <f ca="1"/>
        <v>0</v>
      </c>
      <c r="Y315" s="49">
        <f ca="1"/>
        <v>0</v>
      </c>
      <c r="Z315" s="49">
        <f ca="1"/>
        <v>0</v>
      </c>
      <c r="AA315" s="49">
        <f ca="1"/>
        <v>0</v>
      </c>
      <c r="AB315" s="49">
        <f ca="1"/>
        <v>0</v>
      </c>
      <c r="AC315" s="49">
        <f ca="1"/>
        <v>0</v>
      </c>
      <c r="AD315" s="49">
        <f ca="1"/>
        <v>0</v>
      </c>
      <c r="AE315" s="49">
        <f ca="1"/>
        <v>0</v>
      </c>
      <c r="AF315" s="49">
        <f ca="1"/>
        <v>0</v>
      </c>
      <c r="AG315" s="49">
        <f ca="1"/>
        <v>0</v>
      </c>
      <c r="AH315" s="49">
        <f ca="1"/>
        <v>0</v>
      </c>
      <c r="AI315" s="49">
        <f ca="1"/>
        <v>0</v>
      </c>
      <c r="AJ315" s="49">
        <f ca="1"/>
        <v>0</v>
      </c>
      <c r="AK315" s="49">
        <f ca="1"/>
        <v>0</v>
      </c>
      <c r="AL315" s="49">
        <f ca="1"/>
        <v>0</v>
      </c>
      <c r="AM315" s="49">
        <f ca="1"/>
        <v>0</v>
      </c>
      <c r="AN315" s="49">
        <f ca="1"/>
        <v>0</v>
      </c>
      <c r="AO315" s="49">
        <f ca="1"/>
        <v>0</v>
      </c>
      <c r="AP315" s="49">
        <f ca="1"/>
        <v>0</v>
      </c>
      <c r="AQ315" s="49">
        <f ca="1"/>
        <v>0</v>
      </c>
      <c r="AR315" s="49">
        <f ca="1"/>
        <v>0</v>
      </c>
      <c r="AS315" s="49">
        <f ca="1"/>
        <v>0</v>
      </c>
      <c r="AT315" s="49">
        <f ca="1"/>
        <v>0</v>
      </c>
      <c r="AU315" s="49">
        <f ca="1"/>
        <v>0</v>
      </c>
      <c r="AV315" s="49">
        <f ca="1"/>
        <v>0</v>
      </c>
      <c r="AW315" s="49">
        <f ca="1"/>
        <v>0</v>
      </c>
      <c r="AX315" s="49">
        <f ca="1"/>
        <v>0</v>
      </c>
      <c r="AY315" s="49">
        <f ca="1"/>
        <v>0</v>
      </c>
      <c r="AZ315" s="49">
        <f ca="1"/>
        <v>0</v>
      </c>
      <c r="BA315" s="49">
        <f ca="1"/>
        <v>0</v>
      </c>
      <c r="BB315" s="49">
        <f ca="1"/>
        <v>0</v>
      </c>
      <c r="BC315" s="49">
        <f ca="1"/>
        <v>0</v>
      </c>
      <c r="BD315" s="49">
        <f ca="1"/>
        <v>0</v>
      </c>
      <c r="BE315" s="49">
        <f ca="1"/>
        <v>0</v>
      </c>
      <c r="BF315" s="49">
        <f ca="1"/>
        <v>0</v>
      </c>
      <c r="BG315" s="49">
        <f ca="1"/>
        <v>0</v>
      </c>
      <c r="BH315" s="49">
        <f ca="1"/>
        <v>0</v>
      </c>
      <c r="BI315" s="49">
        <f ca="1"/>
        <v>0</v>
      </c>
      <c r="BJ315" s="49">
        <f ca="1"/>
        <v>0</v>
      </c>
      <c r="BK315" s="49">
        <f ca="1"/>
        <v>0</v>
      </c>
      <c r="BL315" s="49">
        <f ca="1"/>
        <v>0</v>
      </c>
      <c r="BM315" s="49">
        <f ca="1"/>
        <v>0</v>
      </c>
      <c r="BN315" s="49">
        <f ca="1"/>
        <v>0</v>
      </c>
      <c r="BO315" s="49">
        <f ca="1"/>
        <v>0</v>
      </c>
      <c r="BP315" s="49">
        <f ca="1"/>
        <v>0</v>
      </c>
      <c r="BQ315" s="49">
        <f ca="1"/>
        <v>0</v>
      </c>
      <c r="BR315" s="49">
        <f ca="1"/>
        <v>0</v>
      </c>
      <c r="BS315" s="49">
        <f ca="1"/>
        <v>0</v>
      </c>
    </row>
    <row r="316" spans="1:71" outlineLevel="1" x14ac:dyDescent="0.2">
      <c r="D316" t="str">
        <f>HM_ZB_Nsoko!D329</f>
        <v>Super Profit Oil</v>
      </c>
      <c r="I316" s="30">
        <f t="shared" ca="1" si="84"/>
        <v>452.231071711764</v>
      </c>
      <c r="J316" s="26" t="s">
        <v>148</v>
      </c>
      <c r="L316" s="49" cm="1">
        <f t="array" aca="1" ref="L316:BS316" ca="1">KLL_II_2020!CA_SPO_cont</f>
        <v>93.939692649024011</v>
      </c>
      <c r="M316" s="49">
        <f ca="1"/>
        <v>96.681128260242986</v>
      </c>
      <c r="N316" s="49">
        <f ca="1"/>
        <v>18.821690543449733</v>
      </c>
      <c r="O316" s="49">
        <f ca="1"/>
        <v>3.5309271703137592</v>
      </c>
      <c r="P316" s="49">
        <f ca="1"/>
        <v>23.629918215788024</v>
      </c>
      <c r="Q316" s="49">
        <f ca="1"/>
        <v>49.618470872070006</v>
      </c>
      <c r="R316" s="49">
        <f ca="1"/>
        <v>43.046479646345752</v>
      </c>
      <c r="S316" s="49">
        <f ca="1"/>
        <v>0</v>
      </c>
      <c r="T316" s="49">
        <f ca="1"/>
        <v>23.202190399147192</v>
      </c>
      <c r="U316" s="49">
        <f ca="1"/>
        <v>26.947517684812208</v>
      </c>
      <c r="V316" s="49">
        <f ca="1"/>
        <v>25.56241527581286</v>
      </c>
      <c r="W316" s="49">
        <f ca="1"/>
        <v>24.248507130636064</v>
      </c>
      <c r="X316" s="49">
        <f ca="1"/>
        <v>23.00213386412138</v>
      </c>
      <c r="Y316" s="49">
        <f ca="1"/>
        <v>0</v>
      </c>
      <c r="Z316" s="49">
        <f ca="1"/>
        <v>0</v>
      </c>
      <c r="AA316" s="49">
        <f ca="1"/>
        <v>0</v>
      </c>
      <c r="AB316" s="49">
        <f ca="1"/>
        <v>0</v>
      </c>
      <c r="AC316" s="49">
        <f ca="1"/>
        <v>0</v>
      </c>
      <c r="AD316" s="49">
        <f ca="1"/>
        <v>0</v>
      </c>
      <c r="AE316" s="49">
        <f ca="1"/>
        <v>0</v>
      </c>
      <c r="AF316" s="49">
        <f ca="1"/>
        <v>0</v>
      </c>
      <c r="AG316" s="49">
        <f ca="1"/>
        <v>0</v>
      </c>
      <c r="AH316" s="49">
        <f ca="1"/>
        <v>0</v>
      </c>
      <c r="AI316" s="49">
        <f ca="1"/>
        <v>0</v>
      </c>
      <c r="AJ316" s="49">
        <f ca="1"/>
        <v>0</v>
      </c>
      <c r="AK316" s="49">
        <f ca="1"/>
        <v>0</v>
      </c>
      <c r="AL316" s="49">
        <f ca="1"/>
        <v>0</v>
      </c>
      <c r="AM316" s="49">
        <f ca="1"/>
        <v>0</v>
      </c>
      <c r="AN316" s="49">
        <f ca="1"/>
        <v>0</v>
      </c>
      <c r="AO316" s="49">
        <f ca="1"/>
        <v>0</v>
      </c>
      <c r="AP316" s="49">
        <f ca="1"/>
        <v>0</v>
      </c>
      <c r="AQ316" s="49">
        <f ca="1"/>
        <v>0</v>
      </c>
      <c r="AR316" s="49">
        <f ca="1"/>
        <v>0</v>
      </c>
      <c r="AS316" s="49">
        <f ca="1"/>
        <v>0</v>
      </c>
      <c r="AT316" s="49">
        <f ca="1"/>
        <v>0</v>
      </c>
      <c r="AU316" s="49">
        <f ca="1"/>
        <v>0</v>
      </c>
      <c r="AV316" s="49">
        <f ca="1"/>
        <v>0</v>
      </c>
      <c r="AW316" s="49">
        <f ca="1"/>
        <v>0</v>
      </c>
      <c r="AX316" s="49">
        <f ca="1"/>
        <v>0</v>
      </c>
      <c r="AY316" s="49">
        <f ca="1"/>
        <v>0</v>
      </c>
      <c r="AZ316" s="49">
        <f ca="1"/>
        <v>0</v>
      </c>
      <c r="BA316" s="49">
        <f ca="1"/>
        <v>0</v>
      </c>
      <c r="BB316" s="49">
        <f ca="1"/>
        <v>0</v>
      </c>
      <c r="BC316" s="49">
        <f ca="1"/>
        <v>0</v>
      </c>
      <c r="BD316" s="49">
        <f ca="1"/>
        <v>0</v>
      </c>
      <c r="BE316" s="49">
        <f ca="1"/>
        <v>0</v>
      </c>
      <c r="BF316" s="49">
        <f ca="1"/>
        <v>0</v>
      </c>
      <c r="BG316" s="49">
        <f ca="1"/>
        <v>0</v>
      </c>
      <c r="BH316" s="49">
        <f ca="1"/>
        <v>0</v>
      </c>
      <c r="BI316" s="49">
        <f ca="1"/>
        <v>0</v>
      </c>
      <c r="BJ316" s="49">
        <f ca="1"/>
        <v>0</v>
      </c>
      <c r="BK316" s="49">
        <f ca="1"/>
        <v>0</v>
      </c>
      <c r="BL316" s="49">
        <f ca="1"/>
        <v>0</v>
      </c>
      <c r="BM316" s="49">
        <f ca="1"/>
        <v>0</v>
      </c>
      <c r="BN316" s="49">
        <f ca="1"/>
        <v>0</v>
      </c>
      <c r="BO316" s="49">
        <f ca="1"/>
        <v>0</v>
      </c>
      <c r="BP316" s="49">
        <f ca="1"/>
        <v>0</v>
      </c>
      <c r="BQ316" s="49">
        <f ca="1"/>
        <v>0</v>
      </c>
      <c r="BR316" s="49">
        <f ca="1"/>
        <v>0</v>
      </c>
      <c r="BS316" s="49">
        <f ca="1"/>
        <v>0</v>
      </c>
    </row>
    <row r="317" spans="1:71" outlineLevel="1" x14ac:dyDescent="0.2">
      <c r="D317" t="str">
        <f>HM_ZB_Nsoko!D330</f>
        <v>Profit Oil</v>
      </c>
      <c r="I317" s="30">
        <f t="shared" ca="1" si="84"/>
        <v>581.65467570621922</v>
      </c>
      <c r="J317" s="26" t="s">
        <v>148</v>
      </c>
      <c r="L317" s="49" cm="1">
        <f t="array" aca="1" ref="L317:BS317" ca="1">KLL_II_2020!CA_PS_cont*KLL_II_2020!CA_rev_oil_perc</f>
        <v>39.375300888787542</v>
      </c>
      <c r="M317" s="49">
        <f ca="1"/>
        <v>29.773823288852537</v>
      </c>
      <c r="N317" s="49">
        <f ca="1"/>
        <v>51.167424221379392</v>
      </c>
      <c r="O317" s="49">
        <f ca="1"/>
        <v>53.579923376581867</v>
      </c>
      <c r="P317" s="49">
        <f ca="1"/>
        <v>49.070948089799998</v>
      </c>
      <c r="Q317" s="49">
        <f ca="1"/>
        <v>54.017384878047508</v>
      </c>
      <c r="R317" s="49">
        <f ca="1"/>
        <v>56.987962302009379</v>
      </c>
      <c r="S317" s="49">
        <f ca="1"/>
        <v>39.358908225000008</v>
      </c>
      <c r="T317" s="49">
        <f ca="1"/>
        <v>46.173460724999984</v>
      </c>
      <c r="U317" s="49">
        <f ca="1"/>
        <v>43.800144843734998</v>
      </c>
      <c r="V317" s="49">
        <f ca="1"/>
        <v>41.548817398767007</v>
      </c>
      <c r="W317" s="49">
        <f ca="1"/>
        <v>39.413208184470378</v>
      </c>
      <c r="X317" s="49">
        <f ca="1"/>
        <v>37.387369283788615</v>
      </c>
      <c r="Y317" s="49">
        <f ca="1"/>
        <v>0</v>
      </c>
      <c r="Z317" s="49">
        <f ca="1"/>
        <v>0</v>
      </c>
      <c r="AA317" s="49">
        <f ca="1"/>
        <v>0</v>
      </c>
      <c r="AB317" s="49">
        <f ca="1"/>
        <v>0</v>
      </c>
      <c r="AC317" s="49">
        <f ca="1"/>
        <v>0</v>
      </c>
      <c r="AD317" s="49">
        <f ca="1"/>
        <v>0</v>
      </c>
      <c r="AE317" s="49">
        <f ca="1"/>
        <v>0</v>
      </c>
      <c r="AF317" s="49">
        <f ca="1"/>
        <v>0</v>
      </c>
      <c r="AG317" s="49">
        <f ca="1"/>
        <v>0</v>
      </c>
      <c r="AH317" s="49">
        <f ca="1"/>
        <v>0</v>
      </c>
      <c r="AI317" s="49">
        <f ca="1"/>
        <v>0</v>
      </c>
      <c r="AJ317" s="49">
        <f ca="1"/>
        <v>0</v>
      </c>
      <c r="AK317" s="49">
        <f ca="1"/>
        <v>0</v>
      </c>
      <c r="AL317" s="49">
        <f ca="1"/>
        <v>0</v>
      </c>
      <c r="AM317" s="49">
        <f ca="1"/>
        <v>0</v>
      </c>
      <c r="AN317" s="49">
        <f ca="1"/>
        <v>0</v>
      </c>
      <c r="AO317" s="49">
        <f ca="1"/>
        <v>0</v>
      </c>
      <c r="AP317" s="49">
        <f ca="1"/>
        <v>0</v>
      </c>
      <c r="AQ317" s="49">
        <f ca="1"/>
        <v>0</v>
      </c>
      <c r="AR317" s="49">
        <f ca="1"/>
        <v>0</v>
      </c>
      <c r="AS317" s="49">
        <f ca="1"/>
        <v>0</v>
      </c>
      <c r="AT317" s="49">
        <f ca="1"/>
        <v>0</v>
      </c>
      <c r="AU317" s="49">
        <f ca="1"/>
        <v>0</v>
      </c>
      <c r="AV317" s="49">
        <f ca="1"/>
        <v>0</v>
      </c>
      <c r="AW317" s="49">
        <f ca="1"/>
        <v>0</v>
      </c>
      <c r="AX317" s="49">
        <f ca="1"/>
        <v>0</v>
      </c>
      <c r="AY317" s="49">
        <f ca="1"/>
        <v>0</v>
      </c>
      <c r="AZ317" s="49">
        <f ca="1"/>
        <v>0</v>
      </c>
      <c r="BA317" s="49">
        <f ca="1"/>
        <v>0</v>
      </c>
      <c r="BB317" s="49">
        <f ca="1"/>
        <v>0</v>
      </c>
      <c r="BC317" s="49">
        <f ca="1"/>
        <v>0</v>
      </c>
      <c r="BD317" s="49">
        <f ca="1"/>
        <v>0</v>
      </c>
      <c r="BE317" s="49">
        <f ca="1"/>
        <v>0</v>
      </c>
      <c r="BF317" s="49">
        <f ca="1"/>
        <v>0</v>
      </c>
      <c r="BG317" s="49">
        <f ca="1"/>
        <v>0</v>
      </c>
      <c r="BH317" s="49">
        <f ca="1"/>
        <v>0</v>
      </c>
      <c r="BI317" s="49">
        <f ca="1"/>
        <v>0</v>
      </c>
      <c r="BJ317" s="49">
        <f ca="1"/>
        <v>0</v>
      </c>
      <c r="BK317" s="49">
        <f ca="1"/>
        <v>0</v>
      </c>
      <c r="BL317" s="49">
        <f ca="1"/>
        <v>0</v>
      </c>
      <c r="BM317" s="49">
        <f ca="1"/>
        <v>0</v>
      </c>
      <c r="BN317" s="49">
        <f ca="1"/>
        <v>0</v>
      </c>
      <c r="BO317" s="49">
        <f ca="1"/>
        <v>0</v>
      </c>
      <c r="BP317" s="49">
        <f ca="1"/>
        <v>0</v>
      </c>
      <c r="BQ317" s="49">
        <f ca="1"/>
        <v>0</v>
      </c>
      <c r="BR317" s="49">
        <f ca="1"/>
        <v>0</v>
      </c>
      <c r="BS317" s="49">
        <f ca="1"/>
        <v>0</v>
      </c>
    </row>
    <row r="318" spans="1:71" outlineLevel="1" x14ac:dyDescent="0.2">
      <c r="D318" s="11" t="str">
        <f>HM_ZB_Nsoko!D331</f>
        <v>Total</v>
      </c>
      <c r="I318" s="30">
        <f t="shared" ca="1" si="84"/>
        <v>2547.6850097372103</v>
      </c>
      <c r="J318" s="26" t="s">
        <v>148</v>
      </c>
      <c r="K318" s="7" t="s">
        <v>247</v>
      </c>
      <c r="L318" s="49">
        <f ca="1">SUM(L314:L317)</f>
        <v>219.85411637031154</v>
      </c>
      <c r="M318" s="49">
        <f t="shared" ref="M318:BS318" ca="1" si="85">SUM(M314:M317)</f>
        <v>264.02251053734551</v>
      </c>
      <c r="N318" s="49">
        <f t="shared" ca="1" si="85"/>
        <v>182.44499217445411</v>
      </c>
      <c r="O318" s="49">
        <f t="shared" ca="1" si="85"/>
        <v>174.86892390202061</v>
      </c>
      <c r="P318" s="49">
        <f t="shared" ca="1" si="85"/>
        <v>180.54910386558802</v>
      </c>
      <c r="Q318" s="49">
        <f t="shared" ca="1" si="85"/>
        <v>222.35538295461754</v>
      </c>
      <c r="R318" s="49">
        <f t="shared" ca="1" si="85"/>
        <v>225.28271074398012</v>
      </c>
      <c r="S318" s="49">
        <f t="shared" ca="1" si="85"/>
        <v>151.812931725</v>
      </c>
      <c r="T318" s="49">
        <f t="shared" ca="1" si="85"/>
        <v>201.29982462414716</v>
      </c>
      <c r="U318" s="49">
        <f t="shared" ca="1" si="85"/>
        <v>195.89093351064719</v>
      </c>
      <c r="V318" s="49">
        <f t="shared" ca="1" si="85"/>
        <v>185.82213952819987</v>
      </c>
      <c r="W318" s="49">
        <f t="shared" ca="1" si="85"/>
        <v>176.27088155645038</v>
      </c>
      <c r="X318" s="49">
        <f t="shared" ca="1" si="85"/>
        <v>167.21055824444886</v>
      </c>
      <c r="Y318" s="49">
        <f t="shared" ca="1" si="85"/>
        <v>0</v>
      </c>
      <c r="Z318" s="49">
        <f t="shared" ca="1" si="85"/>
        <v>0</v>
      </c>
      <c r="AA318" s="49">
        <f t="shared" ca="1" si="85"/>
        <v>0</v>
      </c>
      <c r="AB318" s="49">
        <f t="shared" ca="1" si="85"/>
        <v>0</v>
      </c>
      <c r="AC318" s="49">
        <f t="shared" ca="1" si="85"/>
        <v>0</v>
      </c>
      <c r="AD318" s="49">
        <f t="shared" ca="1" si="85"/>
        <v>0</v>
      </c>
      <c r="AE318" s="49">
        <f t="shared" ca="1" si="85"/>
        <v>0</v>
      </c>
      <c r="AF318" s="49">
        <f t="shared" ca="1" si="85"/>
        <v>0</v>
      </c>
      <c r="AG318" s="49">
        <f t="shared" ca="1" si="85"/>
        <v>0</v>
      </c>
      <c r="AH318" s="49">
        <f t="shared" ca="1" si="85"/>
        <v>0</v>
      </c>
      <c r="AI318" s="49">
        <f t="shared" ca="1" si="85"/>
        <v>0</v>
      </c>
      <c r="AJ318" s="49">
        <f t="shared" ca="1" si="85"/>
        <v>0</v>
      </c>
      <c r="AK318" s="49">
        <f t="shared" ca="1" si="85"/>
        <v>0</v>
      </c>
      <c r="AL318" s="49">
        <f t="shared" ca="1" si="85"/>
        <v>0</v>
      </c>
      <c r="AM318" s="49">
        <f t="shared" ca="1" si="85"/>
        <v>0</v>
      </c>
      <c r="AN318" s="49">
        <f t="shared" ca="1" si="85"/>
        <v>0</v>
      </c>
      <c r="AO318" s="49">
        <f t="shared" ca="1" si="85"/>
        <v>0</v>
      </c>
      <c r="AP318" s="49">
        <f t="shared" ca="1" si="85"/>
        <v>0</v>
      </c>
      <c r="AQ318" s="49">
        <f t="shared" ca="1" si="85"/>
        <v>0</v>
      </c>
      <c r="AR318" s="49">
        <f t="shared" ca="1" si="85"/>
        <v>0</v>
      </c>
      <c r="AS318" s="49">
        <f t="shared" ca="1" si="85"/>
        <v>0</v>
      </c>
      <c r="AT318" s="49">
        <f t="shared" ca="1" si="85"/>
        <v>0</v>
      </c>
      <c r="AU318" s="49">
        <f t="shared" ca="1" si="85"/>
        <v>0</v>
      </c>
      <c r="AV318" s="49">
        <f t="shared" ca="1" si="85"/>
        <v>0</v>
      </c>
      <c r="AW318" s="49">
        <f t="shared" ca="1" si="85"/>
        <v>0</v>
      </c>
      <c r="AX318" s="49">
        <f t="shared" ca="1" si="85"/>
        <v>0</v>
      </c>
      <c r="AY318" s="49">
        <f t="shared" ca="1" si="85"/>
        <v>0</v>
      </c>
      <c r="AZ318" s="49">
        <f t="shared" ca="1" si="85"/>
        <v>0</v>
      </c>
      <c r="BA318" s="49">
        <f t="shared" ca="1" si="85"/>
        <v>0</v>
      </c>
      <c r="BB318" s="49">
        <f t="shared" ca="1" si="85"/>
        <v>0</v>
      </c>
      <c r="BC318" s="49">
        <f t="shared" ca="1" si="85"/>
        <v>0</v>
      </c>
      <c r="BD318" s="49">
        <f t="shared" ca="1" si="85"/>
        <v>0</v>
      </c>
      <c r="BE318" s="49">
        <f t="shared" ca="1" si="85"/>
        <v>0</v>
      </c>
      <c r="BF318" s="49">
        <f t="shared" ca="1" si="85"/>
        <v>0</v>
      </c>
      <c r="BG318" s="49">
        <f t="shared" ca="1" si="85"/>
        <v>0</v>
      </c>
      <c r="BH318" s="49">
        <f t="shared" ca="1" si="85"/>
        <v>0</v>
      </c>
      <c r="BI318" s="49">
        <f t="shared" ca="1" si="85"/>
        <v>0</v>
      </c>
      <c r="BJ318" s="49">
        <f t="shared" ca="1" si="85"/>
        <v>0</v>
      </c>
      <c r="BK318" s="49">
        <f t="shared" ca="1" si="85"/>
        <v>0</v>
      </c>
      <c r="BL318" s="49">
        <f t="shared" ca="1" si="85"/>
        <v>0</v>
      </c>
      <c r="BM318" s="49">
        <f t="shared" ca="1" si="85"/>
        <v>0</v>
      </c>
      <c r="BN318" s="49">
        <f t="shared" ca="1" si="85"/>
        <v>0</v>
      </c>
      <c r="BO318" s="49">
        <f t="shared" ca="1" si="85"/>
        <v>0</v>
      </c>
      <c r="BP318" s="49">
        <f t="shared" ca="1" si="85"/>
        <v>0</v>
      </c>
      <c r="BQ318" s="49">
        <f t="shared" ca="1" si="85"/>
        <v>0</v>
      </c>
      <c r="BR318" s="49">
        <f t="shared" ca="1" si="85"/>
        <v>0</v>
      </c>
      <c r="BS318" s="49">
        <f t="shared" ca="1" si="85"/>
        <v>0</v>
      </c>
    </row>
    <row r="319" spans="1:71" outlineLevel="1" x14ac:dyDescent="0.2">
      <c r="J319" s="26"/>
      <c r="L319" s="55"/>
      <c r="M319" s="55"/>
      <c r="N319" s="55"/>
      <c r="O319" s="55"/>
      <c r="P319" s="55"/>
      <c r="Q319" s="55"/>
      <c r="R319" s="55"/>
      <c r="S319" s="55"/>
      <c r="T319" s="55"/>
      <c r="U319" s="55"/>
      <c r="V319" s="55"/>
      <c r="W319" s="55"/>
      <c r="X319" s="55"/>
      <c r="Y319" s="55"/>
      <c r="Z319" s="55"/>
      <c r="AA319" s="55"/>
      <c r="AB319" s="55"/>
      <c r="AC319" s="55"/>
      <c r="AD319" s="55"/>
      <c r="AE319" s="55"/>
      <c r="AF319" s="55"/>
      <c r="AG319" s="55"/>
      <c r="AH319" s="55"/>
      <c r="AI319" s="55"/>
      <c r="AJ319" s="55"/>
      <c r="AK319" s="55"/>
      <c r="AL319" s="55"/>
      <c r="AM319" s="55"/>
      <c r="AN319" s="55"/>
      <c r="AO319" s="55"/>
      <c r="AP319" s="55"/>
      <c r="AQ319" s="55"/>
      <c r="AR319" s="55"/>
      <c r="AS319" s="55"/>
      <c r="AT319" s="55"/>
      <c r="AU319" s="55"/>
      <c r="AV319" s="55"/>
      <c r="AW319" s="55"/>
      <c r="AX319" s="55"/>
      <c r="AY319" s="55"/>
      <c r="AZ319" s="55"/>
      <c r="BA319" s="55"/>
      <c r="BB319" s="55"/>
      <c r="BC319" s="55"/>
      <c r="BD319" s="55"/>
      <c r="BE319" s="55"/>
      <c r="BF319" s="55"/>
      <c r="BG319" s="55"/>
      <c r="BH319" s="55"/>
      <c r="BI319" s="55"/>
      <c r="BJ319" s="55"/>
      <c r="BK319" s="55"/>
      <c r="BL319" s="55"/>
      <c r="BM319" s="55"/>
      <c r="BN319" s="55"/>
      <c r="BO319" s="55"/>
      <c r="BP319" s="55"/>
      <c r="BQ319" s="55"/>
      <c r="BR319" s="55"/>
      <c r="BS319" s="55"/>
    </row>
    <row r="320" spans="1:71" outlineLevel="1" x14ac:dyDescent="0.2">
      <c r="C320" s="11" t="str">
        <f>HM_ZB_Nsoko!C333</f>
        <v>Revenus des droits - Gaz</v>
      </c>
      <c r="J320" s="26"/>
      <c r="L320" s="55"/>
      <c r="M320" s="55"/>
      <c r="N320" s="55"/>
      <c r="O320" s="55"/>
      <c r="P320" s="55"/>
      <c r="Q320" s="55"/>
      <c r="R320" s="55"/>
      <c r="S320" s="55"/>
      <c r="T320" s="55"/>
      <c r="U320" s="55"/>
      <c r="V320" s="55"/>
      <c r="W320" s="55"/>
      <c r="X320" s="55"/>
      <c r="Y320" s="55"/>
      <c r="Z320" s="55"/>
      <c r="AA320" s="55"/>
      <c r="AB320" s="55"/>
      <c r="AC320" s="55"/>
      <c r="AD320" s="55"/>
      <c r="AE320" s="55"/>
      <c r="AF320" s="55"/>
      <c r="AG320" s="55"/>
      <c r="AH320" s="55"/>
      <c r="AI320" s="55"/>
      <c r="AJ320" s="55"/>
      <c r="AK320" s="55"/>
      <c r="AL320" s="55"/>
      <c r="AM320" s="55"/>
      <c r="AN320" s="55"/>
      <c r="AO320" s="55"/>
      <c r="AP320" s="55"/>
      <c r="AQ320" s="55"/>
      <c r="AR320" s="55"/>
      <c r="AS320" s="55"/>
      <c r="AT320" s="55"/>
      <c r="AU320" s="55"/>
      <c r="AV320" s="55"/>
      <c r="AW320" s="55"/>
      <c r="AX320" s="55"/>
      <c r="AY320" s="55"/>
      <c r="AZ320" s="55"/>
      <c r="BA320" s="55"/>
      <c r="BB320" s="55"/>
      <c r="BC320" s="55"/>
      <c r="BD320" s="55"/>
      <c r="BE320" s="55"/>
      <c r="BF320" s="55"/>
      <c r="BG320" s="55"/>
      <c r="BH320" s="55"/>
      <c r="BI320" s="55"/>
      <c r="BJ320" s="55"/>
      <c r="BK320" s="55"/>
      <c r="BL320" s="55"/>
      <c r="BM320" s="55"/>
      <c r="BN320" s="55"/>
      <c r="BO320" s="55"/>
      <c r="BP320" s="55"/>
      <c r="BQ320" s="55"/>
      <c r="BR320" s="55"/>
      <c r="BS320" s="55"/>
    </row>
    <row r="321" spans="3:71" outlineLevel="1" x14ac:dyDescent="0.2">
      <c r="D321" t="str">
        <f>HM_ZB_Nsoko!D334</f>
        <v>Cost Gaz</v>
      </c>
      <c r="I321" s="30">
        <f t="shared" ref="I321:I324" ca="1" si="86">SUM($L321:$BS321)</f>
        <v>0</v>
      </c>
      <c r="J321" s="26" t="s">
        <v>148</v>
      </c>
      <c r="L321" s="49" cm="1">
        <f t="array" aca="1" ref="L321:BS321" ca="1">KLL_II_2020!CA_cost_recovered_total*KLL_II_2020!CA_rev_gas_perc</f>
        <v>0</v>
      </c>
      <c r="M321" s="49">
        <f ca="1"/>
        <v>0</v>
      </c>
      <c r="N321" s="49">
        <f ca="1"/>
        <v>0</v>
      </c>
      <c r="O321" s="49">
        <f ca="1"/>
        <v>0</v>
      </c>
      <c r="P321" s="49">
        <f ca="1"/>
        <v>0</v>
      </c>
      <c r="Q321" s="49">
        <f ca="1"/>
        <v>0</v>
      </c>
      <c r="R321" s="49">
        <f ca="1"/>
        <v>0</v>
      </c>
      <c r="S321" s="49">
        <f ca="1"/>
        <v>0</v>
      </c>
      <c r="T321" s="49">
        <f ca="1"/>
        <v>0</v>
      </c>
      <c r="U321" s="49">
        <f ca="1"/>
        <v>0</v>
      </c>
      <c r="V321" s="49">
        <f ca="1"/>
        <v>0</v>
      </c>
      <c r="W321" s="49">
        <f ca="1"/>
        <v>0</v>
      </c>
      <c r="X321" s="49">
        <f ca="1"/>
        <v>0</v>
      </c>
      <c r="Y321" s="49">
        <f ca="1"/>
        <v>0</v>
      </c>
      <c r="Z321" s="49">
        <f ca="1"/>
        <v>0</v>
      </c>
      <c r="AA321" s="49">
        <f ca="1"/>
        <v>0</v>
      </c>
      <c r="AB321" s="49">
        <f ca="1"/>
        <v>0</v>
      </c>
      <c r="AC321" s="49">
        <f ca="1"/>
        <v>0</v>
      </c>
      <c r="AD321" s="49">
        <f ca="1"/>
        <v>0</v>
      </c>
      <c r="AE321" s="49">
        <f ca="1"/>
        <v>0</v>
      </c>
      <c r="AF321" s="49">
        <f ca="1"/>
        <v>0</v>
      </c>
      <c r="AG321" s="49">
        <f ca="1"/>
        <v>0</v>
      </c>
      <c r="AH321" s="49">
        <f ca="1"/>
        <v>0</v>
      </c>
      <c r="AI321" s="49">
        <f ca="1"/>
        <v>0</v>
      </c>
      <c r="AJ321" s="49">
        <f ca="1"/>
        <v>0</v>
      </c>
      <c r="AK321" s="49">
        <f ca="1"/>
        <v>0</v>
      </c>
      <c r="AL321" s="49">
        <f ca="1"/>
        <v>0</v>
      </c>
      <c r="AM321" s="49">
        <f ca="1"/>
        <v>0</v>
      </c>
      <c r="AN321" s="49">
        <f ca="1"/>
        <v>0</v>
      </c>
      <c r="AO321" s="49">
        <f ca="1"/>
        <v>0</v>
      </c>
      <c r="AP321" s="49">
        <f ca="1"/>
        <v>0</v>
      </c>
      <c r="AQ321" s="49">
        <f ca="1"/>
        <v>0</v>
      </c>
      <c r="AR321" s="49">
        <f ca="1"/>
        <v>0</v>
      </c>
      <c r="AS321" s="49">
        <f ca="1"/>
        <v>0</v>
      </c>
      <c r="AT321" s="49">
        <f ca="1"/>
        <v>0</v>
      </c>
      <c r="AU321" s="49">
        <f ca="1"/>
        <v>0</v>
      </c>
      <c r="AV321" s="49">
        <f ca="1"/>
        <v>0</v>
      </c>
      <c r="AW321" s="49">
        <f ca="1"/>
        <v>0</v>
      </c>
      <c r="AX321" s="49">
        <f ca="1"/>
        <v>0</v>
      </c>
      <c r="AY321" s="49">
        <f ca="1"/>
        <v>0</v>
      </c>
      <c r="AZ321" s="49">
        <f ca="1"/>
        <v>0</v>
      </c>
      <c r="BA321" s="49">
        <f ca="1"/>
        <v>0</v>
      </c>
      <c r="BB321" s="49">
        <f ca="1"/>
        <v>0</v>
      </c>
      <c r="BC321" s="49">
        <f ca="1"/>
        <v>0</v>
      </c>
      <c r="BD321" s="49">
        <f ca="1"/>
        <v>0</v>
      </c>
      <c r="BE321" s="49">
        <f ca="1"/>
        <v>0</v>
      </c>
      <c r="BF321" s="49">
        <f ca="1"/>
        <v>0</v>
      </c>
      <c r="BG321" s="49">
        <f ca="1"/>
        <v>0</v>
      </c>
      <c r="BH321" s="49">
        <f ca="1"/>
        <v>0</v>
      </c>
      <c r="BI321" s="49">
        <f ca="1"/>
        <v>0</v>
      </c>
      <c r="BJ321" s="49">
        <f ca="1"/>
        <v>0</v>
      </c>
      <c r="BK321" s="49">
        <f ca="1"/>
        <v>0</v>
      </c>
      <c r="BL321" s="49">
        <f ca="1"/>
        <v>0</v>
      </c>
      <c r="BM321" s="49">
        <f ca="1"/>
        <v>0</v>
      </c>
      <c r="BN321" s="49">
        <f ca="1"/>
        <v>0</v>
      </c>
      <c r="BO321" s="49">
        <f ca="1"/>
        <v>0</v>
      </c>
      <c r="BP321" s="49">
        <f ca="1"/>
        <v>0</v>
      </c>
      <c r="BQ321" s="49">
        <f ca="1"/>
        <v>0</v>
      </c>
      <c r="BR321" s="49">
        <f ca="1"/>
        <v>0</v>
      </c>
      <c r="BS321" s="49">
        <f ca="1"/>
        <v>0</v>
      </c>
    </row>
    <row r="322" spans="3:71" outlineLevel="1" x14ac:dyDescent="0.2">
      <c r="D322" t="str">
        <f>HM_ZB_Nsoko!D335</f>
        <v>Excess Cost Gaz</v>
      </c>
      <c r="I322" s="30">
        <f t="shared" ca="1" si="86"/>
        <v>0</v>
      </c>
      <c r="J322" s="26" t="s">
        <v>148</v>
      </c>
      <c r="L322" s="49" cm="1">
        <f t="array" aca="1" ref="L322:BS322" ca="1">KLL_II_2020!CA_excess_CR_cont*KLL_II_2020!CA_rev_gas_perc</f>
        <v>0</v>
      </c>
      <c r="M322" s="49">
        <f ca="1"/>
        <v>0</v>
      </c>
      <c r="N322" s="49">
        <f ca="1"/>
        <v>0</v>
      </c>
      <c r="O322" s="49">
        <f ca="1"/>
        <v>0</v>
      </c>
      <c r="P322" s="49">
        <f ca="1"/>
        <v>0</v>
      </c>
      <c r="Q322" s="49">
        <f ca="1"/>
        <v>0</v>
      </c>
      <c r="R322" s="49">
        <f ca="1"/>
        <v>0</v>
      </c>
      <c r="S322" s="49">
        <f ca="1"/>
        <v>0</v>
      </c>
      <c r="T322" s="49">
        <f ca="1"/>
        <v>0</v>
      </c>
      <c r="U322" s="49">
        <f ca="1"/>
        <v>0</v>
      </c>
      <c r="V322" s="49">
        <f ca="1"/>
        <v>0</v>
      </c>
      <c r="W322" s="49">
        <f ca="1"/>
        <v>0</v>
      </c>
      <c r="X322" s="49">
        <f ca="1"/>
        <v>0</v>
      </c>
      <c r="Y322" s="49">
        <f ca="1"/>
        <v>0</v>
      </c>
      <c r="Z322" s="49">
        <f ca="1"/>
        <v>0</v>
      </c>
      <c r="AA322" s="49">
        <f ca="1"/>
        <v>0</v>
      </c>
      <c r="AB322" s="49">
        <f ca="1"/>
        <v>0</v>
      </c>
      <c r="AC322" s="49">
        <f ca="1"/>
        <v>0</v>
      </c>
      <c r="AD322" s="49">
        <f ca="1"/>
        <v>0</v>
      </c>
      <c r="AE322" s="49">
        <f ca="1"/>
        <v>0</v>
      </c>
      <c r="AF322" s="49">
        <f ca="1"/>
        <v>0</v>
      </c>
      <c r="AG322" s="49">
        <f ca="1"/>
        <v>0</v>
      </c>
      <c r="AH322" s="49">
        <f ca="1"/>
        <v>0</v>
      </c>
      <c r="AI322" s="49">
        <f ca="1"/>
        <v>0</v>
      </c>
      <c r="AJ322" s="49">
        <f ca="1"/>
        <v>0</v>
      </c>
      <c r="AK322" s="49">
        <f ca="1"/>
        <v>0</v>
      </c>
      <c r="AL322" s="49">
        <f ca="1"/>
        <v>0</v>
      </c>
      <c r="AM322" s="49">
        <f ca="1"/>
        <v>0</v>
      </c>
      <c r="AN322" s="49">
        <f ca="1"/>
        <v>0</v>
      </c>
      <c r="AO322" s="49">
        <f ca="1"/>
        <v>0</v>
      </c>
      <c r="AP322" s="49">
        <f ca="1"/>
        <v>0</v>
      </c>
      <c r="AQ322" s="49">
        <f ca="1"/>
        <v>0</v>
      </c>
      <c r="AR322" s="49">
        <f ca="1"/>
        <v>0</v>
      </c>
      <c r="AS322" s="49">
        <f ca="1"/>
        <v>0</v>
      </c>
      <c r="AT322" s="49">
        <f ca="1"/>
        <v>0</v>
      </c>
      <c r="AU322" s="49">
        <f ca="1"/>
        <v>0</v>
      </c>
      <c r="AV322" s="49">
        <f ca="1"/>
        <v>0</v>
      </c>
      <c r="AW322" s="49">
        <f ca="1"/>
        <v>0</v>
      </c>
      <c r="AX322" s="49">
        <f ca="1"/>
        <v>0</v>
      </c>
      <c r="AY322" s="49">
        <f ca="1"/>
        <v>0</v>
      </c>
      <c r="AZ322" s="49">
        <f ca="1"/>
        <v>0</v>
      </c>
      <c r="BA322" s="49">
        <f ca="1"/>
        <v>0</v>
      </c>
      <c r="BB322" s="49">
        <f ca="1"/>
        <v>0</v>
      </c>
      <c r="BC322" s="49">
        <f ca="1"/>
        <v>0</v>
      </c>
      <c r="BD322" s="49">
        <f ca="1"/>
        <v>0</v>
      </c>
      <c r="BE322" s="49">
        <f ca="1"/>
        <v>0</v>
      </c>
      <c r="BF322" s="49">
        <f ca="1"/>
        <v>0</v>
      </c>
      <c r="BG322" s="49">
        <f ca="1"/>
        <v>0</v>
      </c>
      <c r="BH322" s="49">
        <f ca="1"/>
        <v>0</v>
      </c>
      <c r="BI322" s="49">
        <f ca="1"/>
        <v>0</v>
      </c>
      <c r="BJ322" s="49">
        <f ca="1"/>
        <v>0</v>
      </c>
      <c r="BK322" s="49">
        <f ca="1"/>
        <v>0</v>
      </c>
      <c r="BL322" s="49">
        <f ca="1"/>
        <v>0</v>
      </c>
      <c r="BM322" s="49">
        <f ca="1"/>
        <v>0</v>
      </c>
      <c r="BN322" s="49">
        <f ca="1"/>
        <v>0</v>
      </c>
      <c r="BO322" s="49">
        <f ca="1"/>
        <v>0</v>
      </c>
      <c r="BP322" s="49">
        <f ca="1"/>
        <v>0</v>
      </c>
      <c r="BQ322" s="49">
        <f ca="1"/>
        <v>0</v>
      </c>
      <c r="BR322" s="49">
        <f ca="1"/>
        <v>0</v>
      </c>
      <c r="BS322" s="49">
        <f ca="1"/>
        <v>0</v>
      </c>
    </row>
    <row r="323" spans="3:71" outlineLevel="1" x14ac:dyDescent="0.2">
      <c r="D323" t="str">
        <f>HM_ZB_Nsoko!D336</f>
        <v>Profit Gaz</v>
      </c>
      <c r="I323" s="30">
        <f t="shared" ca="1" si="86"/>
        <v>0</v>
      </c>
      <c r="J323" s="26" t="s">
        <v>148</v>
      </c>
      <c r="L323" s="49" cm="1">
        <f t="array" aca="1" ref="L323:BS323" ca="1">KLL_II_2020!CA_PS_cont*KLL_II_2020!CA_rev_gas_perc</f>
        <v>0</v>
      </c>
      <c r="M323" s="49">
        <f ca="1"/>
        <v>0</v>
      </c>
      <c r="N323" s="49">
        <f ca="1"/>
        <v>0</v>
      </c>
      <c r="O323" s="49">
        <f ca="1"/>
        <v>0</v>
      </c>
      <c r="P323" s="49">
        <f ca="1"/>
        <v>0</v>
      </c>
      <c r="Q323" s="49">
        <f ca="1"/>
        <v>0</v>
      </c>
      <c r="R323" s="49">
        <f ca="1"/>
        <v>0</v>
      </c>
      <c r="S323" s="49">
        <f ca="1"/>
        <v>0</v>
      </c>
      <c r="T323" s="49">
        <f ca="1"/>
        <v>0</v>
      </c>
      <c r="U323" s="49">
        <f ca="1"/>
        <v>0</v>
      </c>
      <c r="V323" s="49">
        <f ca="1"/>
        <v>0</v>
      </c>
      <c r="W323" s="49">
        <f ca="1"/>
        <v>0</v>
      </c>
      <c r="X323" s="49">
        <f ca="1"/>
        <v>0</v>
      </c>
      <c r="Y323" s="49">
        <f ca="1"/>
        <v>0</v>
      </c>
      <c r="Z323" s="49">
        <f ca="1"/>
        <v>0</v>
      </c>
      <c r="AA323" s="49">
        <f ca="1"/>
        <v>0</v>
      </c>
      <c r="AB323" s="49">
        <f ca="1"/>
        <v>0</v>
      </c>
      <c r="AC323" s="49">
        <f ca="1"/>
        <v>0</v>
      </c>
      <c r="AD323" s="49">
        <f ca="1"/>
        <v>0</v>
      </c>
      <c r="AE323" s="49">
        <f ca="1"/>
        <v>0</v>
      </c>
      <c r="AF323" s="49">
        <f ca="1"/>
        <v>0</v>
      </c>
      <c r="AG323" s="49">
        <f ca="1"/>
        <v>0</v>
      </c>
      <c r="AH323" s="49">
        <f ca="1"/>
        <v>0</v>
      </c>
      <c r="AI323" s="49">
        <f ca="1"/>
        <v>0</v>
      </c>
      <c r="AJ323" s="49">
        <f ca="1"/>
        <v>0</v>
      </c>
      <c r="AK323" s="49">
        <f ca="1"/>
        <v>0</v>
      </c>
      <c r="AL323" s="49">
        <f ca="1"/>
        <v>0</v>
      </c>
      <c r="AM323" s="49">
        <f ca="1"/>
        <v>0</v>
      </c>
      <c r="AN323" s="49">
        <f ca="1"/>
        <v>0</v>
      </c>
      <c r="AO323" s="49">
        <f ca="1"/>
        <v>0</v>
      </c>
      <c r="AP323" s="49">
        <f ca="1"/>
        <v>0</v>
      </c>
      <c r="AQ323" s="49">
        <f ca="1"/>
        <v>0</v>
      </c>
      <c r="AR323" s="49">
        <f ca="1"/>
        <v>0</v>
      </c>
      <c r="AS323" s="49">
        <f ca="1"/>
        <v>0</v>
      </c>
      <c r="AT323" s="49">
        <f ca="1"/>
        <v>0</v>
      </c>
      <c r="AU323" s="49">
        <f ca="1"/>
        <v>0</v>
      </c>
      <c r="AV323" s="49">
        <f ca="1"/>
        <v>0</v>
      </c>
      <c r="AW323" s="49">
        <f ca="1"/>
        <v>0</v>
      </c>
      <c r="AX323" s="49">
        <f ca="1"/>
        <v>0</v>
      </c>
      <c r="AY323" s="49">
        <f ca="1"/>
        <v>0</v>
      </c>
      <c r="AZ323" s="49">
        <f ca="1"/>
        <v>0</v>
      </c>
      <c r="BA323" s="49">
        <f ca="1"/>
        <v>0</v>
      </c>
      <c r="BB323" s="49">
        <f ca="1"/>
        <v>0</v>
      </c>
      <c r="BC323" s="49">
        <f ca="1"/>
        <v>0</v>
      </c>
      <c r="BD323" s="49">
        <f ca="1"/>
        <v>0</v>
      </c>
      <c r="BE323" s="49">
        <f ca="1"/>
        <v>0</v>
      </c>
      <c r="BF323" s="49">
        <f ca="1"/>
        <v>0</v>
      </c>
      <c r="BG323" s="49">
        <f ca="1"/>
        <v>0</v>
      </c>
      <c r="BH323" s="49">
        <f ca="1"/>
        <v>0</v>
      </c>
      <c r="BI323" s="49">
        <f ca="1"/>
        <v>0</v>
      </c>
      <c r="BJ323" s="49">
        <f ca="1"/>
        <v>0</v>
      </c>
      <c r="BK323" s="49">
        <f ca="1"/>
        <v>0</v>
      </c>
      <c r="BL323" s="49">
        <f ca="1"/>
        <v>0</v>
      </c>
      <c r="BM323" s="49">
        <f ca="1"/>
        <v>0</v>
      </c>
      <c r="BN323" s="49">
        <f ca="1"/>
        <v>0</v>
      </c>
      <c r="BO323" s="49">
        <f ca="1"/>
        <v>0</v>
      </c>
      <c r="BP323" s="49">
        <f ca="1"/>
        <v>0</v>
      </c>
      <c r="BQ323" s="49">
        <f ca="1"/>
        <v>0</v>
      </c>
      <c r="BR323" s="49">
        <f ca="1"/>
        <v>0</v>
      </c>
      <c r="BS323" s="49">
        <f ca="1"/>
        <v>0</v>
      </c>
    </row>
    <row r="324" spans="3:71" outlineLevel="1" x14ac:dyDescent="0.2">
      <c r="D324" s="11" t="str">
        <f>HM_ZB_Nsoko!D337</f>
        <v>Total</v>
      </c>
      <c r="I324" s="30">
        <f t="shared" ca="1" si="86"/>
        <v>0</v>
      </c>
      <c r="J324" s="26" t="s">
        <v>148</v>
      </c>
      <c r="K324" s="7" t="s">
        <v>251</v>
      </c>
      <c r="L324" s="49">
        <f t="shared" ref="L324:AQ324" ca="1" si="87">SUM(L321:L323)</f>
        <v>0</v>
      </c>
      <c r="M324" s="49">
        <f t="shared" ca="1" si="87"/>
        <v>0</v>
      </c>
      <c r="N324" s="49">
        <f t="shared" ca="1" si="87"/>
        <v>0</v>
      </c>
      <c r="O324" s="49">
        <f t="shared" ca="1" si="87"/>
        <v>0</v>
      </c>
      <c r="P324" s="49">
        <f t="shared" ca="1" si="87"/>
        <v>0</v>
      </c>
      <c r="Q324" s="49">
        <f t="shared" ca="1" si="87"/>
        <v>0</v>
      </c>
      <c r="R324" s="49">
        <f t="shared" ca="1" si="87"/>
        <v>0</v>
      </c>
      <c r="S324" s="49">
        <f t="shared" ca="1" si="87"/>
        <v>0</v>
      </c>
      <c r="T324" s="49">
        <f t="shared" ca="1" si="87"/>
        <v>0</v>
      </c>
      <c r="U324" s="49">
        <f t="shared" ca="1" si="87"/>
        <v>0</v>
      </c>
      <c r="V324" s="49">
        <f t="shared" ca="1" si="87"/>
        <v>0</v>
      </c>
      <c r="W324" s="49">
        <f t="shared" ca="1" si="87"/>
        <v>0</v>
      </c>
      <c r="X324" s="49">
        <f t="shared" ca="1" si="87"/>
        <v>0</v>
      </c>
      <c r="Y324" s="49">
        <f t="shared" ca="1" si="87"/>
        <v>0</v>
      </c>
      <c r="Z324" s="49">
        <f t="shared" ca="1" si="87"/>
        <v>0</v>
      </c>
      <c r="AA324" s="49">
        <f t="shared" ca="1" si="87"/>
        <v>0</v>
      </c>
      <c r="AB324" s="49">
        <f t="shared" ca="1" si="87"/>
        <v>0</v>
      </c>
      <c r="AC324" s="49">
        <f t="shared" ca="1" si="87"/>
        <v>0</v>
      </c>
      <c r="AD324" s="49">
        <f t="shared" ca="1" si="87"/>
        <v>0</v>
      </c>
      <c r="AE324" s="49">
        <f t="shared" ca="1" si="87"/>
        <v>0</v>
      </c>
      <c r="AF324" s="49">
        <f t="shared" ca="1" si="87"/>
        <v>0</v>
      </c>
      <c r="AG324" s="49">
        <f t="shared" ca="1" si="87"/>
        <v>0</v>
      </c>
      <c r="AH324" s="49">
        <f t="shared" ca="1" si="87"/>
        <v>0</v>
      </c>
      <c r="AI324" s="49">
        <f t="shared" ca="1" si="87"/>
        <v>0</v>
      </c>
      <c r="AJ324" s="49">
        <f t="shared" ca="1" si="87"/>
        <v>0</v>
      </c>
      <c r="AK324" s="49">
        <f t="shared" ca="1" si="87"/>
        <v>0</v>
      </c>
      <c r="AL324" s="49">
        <f t="shared" ca="1" si="87"/>
        <v>0</v>
      </c>
      <c r="AM324" s="49">
        <f t="shared" ca="1" si="87"/>
        <v>0</v>
      </c>
      <c r="AN324" s="49">
        <f t="shared" ca="1" si="87"/>
        <v>0</v>
      </c>
      <c r="AO324" s="49">
        <f t="shared" ca="1" si="87"/>
        <v>0</v>
      </c>
      <c r="AP324" s="49">
        <f t="shared" ca="1" si="87"/>
        <v>0</v>
      </c>
      <c r="AQ324" s="49">
        <f t="shared" ca="1" si="87"/>
        <v>0</v>
      </c>
      <c r="AR324" s="49">
        <f t="shared" ref="AR324:BS324" ca="1" si="88">SUM(AR321:AR323)</f>
        <v>0</v>
      </c>
      <c r="AS324" s="49">
        <f t="shared" ca="1" si="88"/>
        <v>0</v>
      </c>
      <c r="AT324" s="49">
        <f t="shared" ca="1" si="88"/>
        <v>0</v>
      </c>
      <c r="AU324" s="49">
        <f t="shared" ca="1" si="88"/>
        <v>0</v>
      </c>
      <c r="AV324" s="49">
        <f t="shared" ca="1" si="88"/>
        <v>0</v>
      </c>
      <c r="AW324" s="49">
        <f t="shared" ca="1" si="88"/>
        <v>0</v>
      </c>
      <c r="AX324" s="49">
        <f t="shared" ca="1" si="88"/>
        <v>0</v>
      </c>
      <c r="AY324" s="49">
        <f t="shared" ca="1" si="88"/>
        <v>0</v>
      </c>
      <c r="AZ324" s="49">
        <f t="shared" ca="1" si="88"/>
        <v>0</v>
      </c>
      <c r="BA324" s="49">
        <f t="shared" ca="1" si="88"/>
        <v>0</v>
      </c>
      <c r="BB324" s="49">
        <f t="shared" ca="1" si="88"/>
        <v>0</v>
      </c>
      <c r="BC324" s="49">
        <f t="shared" ca="1" si="88"/>
        <v>0</v>
      </c>
      <c r="BD324" s="49">
        <f t="shared" ca="1" si="88"/>
        <v>0</v>
      </c>
      <c r="BE324" s="49">
        <f t="shared" ca="1" si="88"/>
        <v>0</v>
      </c>
      <c r="BF324" s="49">
        <f t="shared" ca="1" si="88"/>
        <v>0</v>
      </c>
      <c r="BG324" s="49">
        <f t="shared" ca="1" si="88"/>
        <v>0</v>
      </c>
      <c r="BH324" s="49">
        <f t="shared" ca="1" si="88"/>
        <v>0</v>
      </c>
      <c r="BI324" s="49">
        <f t="shared" ca="1" si="88"/>
        <v>0</v>
      </c>
      <c r="BJ324" s="49">
        <f t="shared" ca="1" si="88"/>
        <v>0</v>
      </c>
      <c r="BK324" s="49">
        <f t="shared" ca="1" si="88"/>
        <v>0</v>
      </c>
      <c r="BL324" s="49">
        <f t="shared" ca="1" si="88"/>
        <v>0</v>
      </c>
      <c r="BM324" s="49">
        <f t="shared" ca="1" si="88"/>
        <v>0</v>
      </c>
      <c r="BN324" s="49">
        <f t="shared" ca="1" si="88"/>
        <v>0</v>
      </c>
      <c r="BO324" s="49">
        <f t="shared" ca="1" si="88"/>
        <v>0</v>
      </c>
      <c r="BP324" s="49">
        <f t="shared" ca="1" si="88"/>
        <v>0</v>
      </c>
      <c r="BQ324" s="49">
        <f t="shared" ca="1" si="88"/>
        <v>0</v>
      </c>
      <c r="BR324" s="49">
        <f t="shared" ca="1" si="88"/>
        <v>0</v>
      </c>
      <c r="BS324" s="49">
        <f t="shared" ca="1" si="88"/>
        <v>0</v>
      </c>
    </row>
    <row r="325" spans="3:71" outlineLevel="1" x14ac:dyDescent="0.2">
      <c r="J325" s="26"/>
      <c r="L325" s="55"/>
      <c r="M325" s="55"/>
      <c r="N325" s="55"/>
      <c r="O325" s="55"/>
      <c r="P325" s="55"/>
      <c r="Q325" s="55"/>
      <c r="R325" s="55"/>
      <c r="S325" s="55"/>
      <c r="T325" s="55"/>
      <c r="U325" s="55"/>
      <c r="V325" s="55"/>
      <c r="W325" s="55"/>
      <c r="X325" s="55"/>
      <c r="Y325" s="55"/>
      <c r="Z325" s="55"/>
      <c r="AA325" s="55"/>
      <c r="AB325" s="55"/>
      <c r="AC325" s="55"/>
      <c r="AD325" s="55"/>
      <c r="AE325" s="55"/>
      <c r="AF325" s="55"/>
      <c r="AG325" s="55"/>
      <c r="AH325" s="55"/>
      <c r="AI325" s="55"/>
      <c r="AJ325" s="55"/>
      <c r="AK325" s="55"/>
      <c r="AL325" s="55"/>
      <c r="AM325" s="55"/>
      <c r="AN325" s="55"/>
      <c r="AO325" s="55"/>
      <c r="AP325" s="55"/>
      <c r="AQ325" s="55"/>
      <c r="AR325" s="55"/>
      <c r="AS325" s="55"/>
      <c r="AT325" s="55"/>
      <c r="AU325" s="55"/>
      <c r="AV325" s="55"/>
      <c r="AW325" s="55"/>
      <c r="AX325" s="55"/>
      <c r="AY325" s="55"/>
      <c r="AZ325" s="55"/>
      <c r="BA325" s="55"/>
      <c r="BB325" s="55"/>
      <c r="BC325" s="55"/>
      <c r="BD325" s="55"/>
      <c r="BE325" s="55"/>
      <c r="BF325" s="55"/>
      <c r="BG325" s="55"/>
      <c r="BH325" s="55"/>
      <c r="BI325" s="55"/>
      <c r="BJ325" s="55"/>
      <c r="BK325" s="55"/>
      <c r="BL325" s="55"/>
      <c r="BM325" s="55"/>
      <c r="BN325" s="55"/>
      <c r="BO325" s="55"/>
      <c r="BP325" s="55"/>
      <c r="BQ325" s="55"/>
      <c r="BR325" s="55"/>
      <c r="BS325" s="55"/>
    </row>
    <row r="326" spans="3:71" outlineLevel="1" x14ac:dyDescent="0.2">
      <c r="C326" s="11" t="str">
        <f>HM_ZB_Nsoko!C339</f>
        <v>Volumes de droits</v>
      </c>
      <c r="J326" s="26"/>
      <c r="L326" s="55"/>
      <c r="M326" s="55"/>
      <c r="N326" s="55"/>
      <c r="O326" s="55"/>
      <c r="P326" s="55"/>
      <c r="Q326" s="55"/>
      <c r="R326" s="55"/>
      <c r="S326" s="55"/>
      <c r="T326" s="55"/>
      <c r="U326" s="55"/>
      <c r="V326" s="55"/>
      <c r="W326" s="55"/>
      <c r="X326" s="55"/>
      <c r="Y326" s="55"/>
      <c r="Z326" s="55"/>
      <c r="AA326" s="55"/>
      <c r="AB326" s="55"/>
      <c r="AC326" s="55"/>
      <c r="AD326" s="55"/>
      <c r="AE326" s="55"/>
      <c r="AF326" s="55"/>
      <c r="AG326" s="55"/>
      <c r="AH326" s="55"/>
      <c r="AI326" s="55"/>
      <c r="AJ326" s="55"/>
      <c r="AK326" s="55"/>
      <c r="AL326" s="55"/>
      <c r="AM326" s="55"/>
      <c r="AN326" s="55"/>
      <c r="AO326" s="55"/>
      <c r="AP326" s="55"/>
      <c r="AQ326" s="55"/>
      <c r="AR326" s="55"/>
      <c r="AS326" s="55"/>
      <c r="AT326" s="55"/>
      <c r="AU326" s="55"/>
      <c r="AV326" s="55"/>
      <c r="AW326" s="55"/>
      <c r="AX326" s="55"/>
      <c r="AY326" s="55"/>
      <c r="AZ326" s="55"/>
      <c r="BA326" s="55"/>
      <c r="BB326" s="55"/>
      <c r="BC326" s="55"/>
      <c r="BD326" s="55"/>
      <c r="BE326" s="55"/>
      <c r="BF326" s="55"/>
      <c r="BG326" s="55"/>
      <c r="BH326" s="55"/>
      <c r="BI326" s="55"/>
      <c r="BJ326" s="55"/>
      <c r="BK326" s="55"/>
      <c r="BL326" s="55"/>
      <c r="BM326" s="55"/>
      <c r="BN326" s="55"/>
      <c r="BO326" s="55"/>
      <c r="BP326" s="55"/>
      <c r="BQ326" s="55"/>
      <c r="BR326" s="55"/>
      <c r="BS326" s="55"/>
    </row>
    <row r="327" spans="3:71" outlineLevel="1" x14ac:dyDescent="0.2">
      <c r="D327" t="str">
        <f>HM_ZB_Nsoko!D340</f>
        <v>Pétrole</v>
      </c>
      <c r="I327" s="30">
        <f t="shared" ref="I327:I329" ca="1" si="89">SUM($L327:$BS327)</f>
        <v>39.799777697560167</v>
      </c>
      <c r="J327" s="26" t="s">
        <v>88</v>
      </c>
      <c r="L327" s="49">
        <f ca="1">IFERROR(KLL_II_2020!CA_ent_rev_oil/KLL_II_2020!CA_FP_oil_nom,0)</f>
        <v>2.0876226746780389</v>
      </c>
      <c r="M327" s="49">
        <f ca="1">IFERROR(KLL_II_2020!CA_ent_rev_oil/KLL_II_2020!CA_FP_oil_nom,0)</f>
        <v>2.7943964136533443</v>
      </c>
      <c r="N327" s="49">
        <f ca="1">IFERROR(KLL_II_2020!CA_ent_rev_oil/KLL_II_2020!CA_FP_oil_nom,0)</f>
        <v>3.7724632608739097</v>
      </c>
      <c r="O327" s="49">
        <f ca="1">IFERROR(KLL_II_2020!CA_ent_rev_oil/KLL_II_2020!CA_FP_oil_nom,0)</f>
        <v>4.3658712642724442</v>
      </c>
      <c r="P327" s="49">
        <f ca="1">IFERROR(KLL_II_2020!CA_ent_rev_oil/KLL_II_2020!CA_FP_oil_nom,0)</f>
        <v>3.3757688337655596</v>
      </c>
      <c r="Q327" s="49">
        <f ca="1">IFERROR(KLL_II_2020!CA_ent_rev_oil/KLL_II_2020!CA_FP_oil_nom,0)</f>
        <v>3.2553477853604207</v>
      </c>
      <c r="R327" s="49">
        <f ca="1">IFERROR(KLL_II_2020!CA_ent_rev_oil/KLL_II_2020!CA_FP_oil_nom,0)</f>
        <v>3.4923069476166906</v>
      </c>
      <c r="S327" s="49">
        <f ca="1">IFERROR(KLL_II_2020!CA_ent_rev_oil/KLL_II_2020!CA_FP_oil_nom,0)</f>
        <v>3.7549575000000002</v>
      </c>
      <c r="T327" s="49">
        <f ca="1">IFERROR(KLL_II_2020!CA_ent_rev_oil/KLL_II_2020!CA_FP_oil_nom,0)</f>
        <v>3.0262276997664883</v>
      </c>
      <c r="U327" s="49">
        <f ca="1">IFERROR(KLL_II_2020!CA_ent_rev_oil/KLL_II_2020!CA_FP_oil_nom,0)</f>
        <v>2.7435704973479997</v>
      </c>
      <c r="V327" s="49">
        <f ca="1">IFERROR(KLL_II_2020!CA_ent_rev_oil/KLL_II_2020!CA_FP_oil_nom,0)</f>
        <v>2.5515205625336388</v>
      </c>
      <c r="W327" s="49">
        <f ca="1">IFERROR(KLL_II_2020!CA_ent_rev_oil/KLL_II_2020!CA_FP_oil_nom,0)</f>
        <v>2.372914123156284</v>
      </c>
      <c r="X327" s="49">
        <f ca="1">IFERROR(KLL_II_2020!CA_ent_rev_oil/KLL_II_2020!CA_FP_oil_nom,0)</f>
        <v>2.2068101345353446</v>
      </c>
      <c r="Y327" s="49">
        <f ca="1">IFERROR(KLL_II_2020!CA_ent_rev_oil/KLL_II_2020!CA_FP_oil_nom,0)</f>
        <v>0</v>
      </c>
      <c r="Z327" s="49">
        <f ca="1">IFERROR(KLL_II_2020!CA_ent_rev_oil/KLL_II_2020!CA_FP_oil_nom,0)</f>
        <v>0</v>
      </c>
      <c r="AA327" s="49">
        <f ca="1">IFERROR(KLL_II_2020!CA_ent_rev_oil/KLL_II_2020!CA_FP_oil_nom,0)</f>
        <v>0</v>
      </c>
      <c r="AB327" s="49">
        <f ca="1">IFERROR(KLL_II_2020!CA_ent_rev_oil/KLL_II_2020!CA_FP_oil_nom,0)</f>
        <v>0</v>
      </c>
      <c r="AC327" s="49">
        <f ca="1">IFERROR(KLL_II_2020!CA_ent_rev_oil/KLL_II_2020!CA_FP_oil_nom,0)</f>
        <v>0</v>
      </c>
      <c r="AD327" s="49">
        <f ca="1">IFERROR(KLL_II_2020!CA_ent_rev_oil/KLL_II_2020!CA_FP_oil_nom,0)</f>
        <v>0</v>
      </c>
      <c r="AE327" s="49">
        <f ca="1">IFERROR(KLL_II_2020!CA_ent_rev_oil/KLL_II_2020!CA_FP_oil_nom,0)</f>
        <v>0</v>
      </c>
      <c r="AF327" s="49">
        <f ca="1">IFERROR(KLL_II_2020!CA_ent_rev_oil/KLL_II_2020!CA_FP_oil_nom,0)</f>
        <v>0</v>
      </c>
      <c r="AG327" s="49">
        <f ca="1">IFERROR(KLL_II_2020!CA_ent_rev_oil/KLL_II_2020!CA_FP_oil_nom,0)</f>
        <v>0</v>
      </c>
      <c r="AH327" s="49">
        <f ca="1">IFERROR(KLL_II_2020!CA_ent_rev_oil/KLL_II_2020!CA_FP_oil_nom,0)</f>
        <v>0</v>
      </c>
      <c r="AI327" s="49">
        <f ca="1">IFERROR(KLL_II_2020!CA_ent_rev_oil/KLL_II_2020!CA_FP_oil_nom,0)</f>
        <v>0</v>
      </c>
      <c r="AJ327" s="49">
        <f ca="1">IFERROR(KLL_II_2020!CA_ent_rev_oil/KLL_II_2020!CA_FP_oil_nom,0)</f>
        <v>0</v>
      </c>
      <c r="AK327" s="49">
        <f ca="1">IFERROR(KLL_II_2020!CA_ent_rev_oil/KLL_II_2020!CA_FP_oil_nom,0)</f>
        <v>0</v>
      </c>
      <c r="AL327" s="49">
        <f ca="1">IFERROR(KLL_II_2020!CA_ent_rev_oil/KLL_II_2020!CA_FP_oil_nom,0)</f>
        <v>0</v>
      </c>
      <c r="AM327" s="49">
        <f ca="1">IFERROR(KLL_II_2020!CA_ent_rev_oil/KLL_II_2020!CA_FP_oil_nom,0)</f>
        <v>0</v>
      </c>
      <c r="AN327" s="49">
        <f ca="1">IFERROR(KLL_II_2020!CA_ent_rev_oil/KLL_II_2020!CA_FP_oil_nom,0)</f>
        <v>0</v>
      </c>
      <c r="AO327" s="49">
        <f ca="1">IFERROR(KLL_II_2020!CA_ent_rev_oil/KLL_II_2020!CA_FP_oil_nom,0)</f>
        <v>0</v>
      </c>
      <c r="AP327" s="49">
        <f ca="1">IFERROR(KLL_II_2020!CA_ent_rev_oil/KLL_II_2020!CA_FP_oil_nom,0)</f>
        <v>0</v>
      </c>
      <c r="AQ327" s="49">
        <f ca="1">IFERROR(KLL_II_2020!CA_ent_rev_oil/KLL_II_2020!CA_FP_oil_nom,0)</f>
        <v>0</v>
      </c>
      <c r="AR327" s="49">
        <f ca="1">IFERROR(KLL_II_2020!CA_ent_rev_oil/KLL_II_2020!CA_FP_oil_nom,0)</f>
        <v>0</v>
      </c>
      <c r="AS327" s="49">
        <f ca="1">IFERROR(KLL_II_2020!CA_ent_rev_oil/KLL_II_2020!CA_FP_oil_nom,0)</f>
        <v>0</v>
      </c>
      <c r="AT327" s="49">
        <f ca="1">IFERROR(KLL_II_2020!CA_ent_rev_oil/KLL_II_2020!CA_FP_oil_nom,0)</f>
        <v>0</v>
      </c>
      <c r="AU327" s="49">
        <f ca="1">IFERROR(KLL_II_2020!CA_ent_rev_oil/KLL_II_2020!CA_FP_oil_nom,0)</f>
        <v>0</v>
      </c>
      <c r="AV327" s="49">
        <f ca="1">IFERROR(KLL_II_2020!CA_ent_rev_oil/KLL_II_2020!CA_FP_oil_nom,0)</f>
        <v>0</v>
      </c>
      <c r="AW327" s="49">
        <f ca="1">IFERROR(KLL_II_2020!CA_ent_rev_oil/KLL_II_2020!CA_FP_oil_nom,0)</f>
        <v>0</v>
      </c>
      <c r="AX327" s="49">
        <f ca="1">IFERROR(KLL_II_2020!CA_ent_rev_oil/KLL_II_2020!CA_FP_oil_nom,0)</f>
        <v>0</v>
      </c>
      <c r="AY327" s="49">
        <f ca="1">IFERROR(KLL_II_2020!CA_ent_rev_oil/KLL_II_2020!CA_FP_oil_nom,0)</f>
        <v>0</v>
      </c>
      <c r="AZ327" s="49">
        <f ca="1">IFERROR(KLL_II_2020!CA_ent_rev_oil/KLL_II_2020!CA_FP_oil_nom,0)</f>
        <v>0</v>
      </c>
      <c r="BA327" s="49">
        <f ca="1">IFERROR(KLL_II_2020!CA_ent_rev_oil/KLL_II_2020!CA_FP_oil_nom,0)</f>
        <v>0</v>
      </c>
      <c r="BB327" s="49">
        <f ca="1">IFERROR(KLL_II_2020!CA_ent_rev_oil/KLL_II_2020!CA_FP_oil_nom,0)</f>
        <v>0</v>
      </c>
      <c r="BC327" s="49">
        <f ca="1">IFERROR(KLL_II_2020!CA_ent_rev_oil/KLL_II_2020!CA_FP_oil_nom,0)</f>
        <v>0</v>
      </c>
      <c r="BD327" s="49">
        <f ca="1">IFERROR(KLL_II_2020!CA_ent_rev_oil/KLL_II_2020!CA_FP_oil_nom,0)</f>
        <v>0</v>
      </c>
      <c r="BE327" s="49">
        <f ca="1">IFERROR(KLL_II_2020!CA_ent_rev_oil/KLL_II_2020!CA_FP_oil_nom,0)</f>
        <v>0</v>
      </c>
      <c r="BF327" s="49">
        <f ca="1">IFERROR(KLL_II_2020!CA_ent_rev_oil/KLL_II_2020!CA_FP_oil_nom,0)</f>
        <v>0</v>
      </c>
      <c r="BG327" s="49">
        <f ca="1">IFERROR(KLL_II_2020!CA_ent_rev_oil/KLL_II_2020!CA_FP_oil_nom,0)</f>
        <v>0</v>
      </c>
      <c r="BH327" s="49">
        <f ca="1">IFERROR(KLL_II_2020!CA_ent_rev_oil/KLL_II_2020!CA_FP_oil_nom,0)</f>
        <v>0</v>
      </c>
      <c r="BI327" s="49">
        <f ca="1">IFERROR(KLL_II_2020!CA_ent_rev_oil/KLL_II_2020!CA_FP_oil_nom,0)</f>
        <v>0</v>
      </c>
      <c r="BJ327" s="49">
        <f ca="1">IFERROR(KLL_II_2020!CA_ent_rev_oil/KLL_II_2020!CA_FP_oil_nom,0)</f>
        <v>0</v>
      </c>
      <c r="BK327" s="49">
        <f ca="1">IFERROR(KLL_II_2020!CA_ent_rev_oil/KLL_II_2020!CA_FP_oil_nom,0)</f>
        <v>0</v>
      </c>
      <c r="BL327" s="49">
        <f ca="1">IFERROR(KLL_II_2020!CA_ent_rev_oil/KLL_II_2020!CA_FP_oil_nom,0)</f>
        <v>0</v>
      </c>
      <c r="BM327" s="49">
        <f ca="1">IFERROR(KLL_II_2020!CA_ent_rev_oil/KLL_II_2020!CA_FP_oil_nom,0)</f>
        <v>0</v>
      </c>
      <c r="BN327" s="49">
        <f ca="1">IFERROR(KLL_II_2020!CA_ent_rev_oil/KLL_II_2020!CA_FP_oil_nom,0)</f>
        <v>0</v>
      </c>
      <c r="BO327" s="49">
        <f ca="1">IFERROR(KLL_II_2020!CA_ent_rev_oil/KLL_II_2020!CA_FP_oil_nom,0)</f>
        <v>0</v>
      </c>
      <c r="BP327" s="49">
        <f ca="1">IFERROR(KLL_II_2020!CA_ent_rev_oil/KLL_II_2020!CA_FP_oil_nom,0)</f>
        <v>0</v>
      </c>
      <c r="BQ327" s="49">
        <f ca="1">IFERROR(KLL_II_2020!CA_ent_rev_oil/KLL_II_2020!CA_FP_oil_nom,0)</f>
        <v>0</v>
      </c>
      <c r="BR327" s="49">
        <f ca="1">IFERROR(KLL_II_2020!CA_ent_rev_oil/KLL_II_2020!CA_FP_oil_nom,0)</f>
        <v>0</v>
      </c>
      <c r="BS327" s="49">
        <f ca="1">IFERROR(KLL_II_2020!CA_ent_rev_oil/KLL_II_2020!CA_FP_oil_nom,0)</f>
        <v>0</v>
      </c>
    </row>
    <row r="328" spans="3:71" outlineLevel="1" x14ac:dyDescent="0.2">
      <c r="D328" t="str">
        <f>HM_ZB_Nsoko!D341</f>
        <v>Gaz</v>
      </c>
      <c r="I328" s="30">
        <f t="shared" ca="1" si="89"/>
        <v>0</v>
      </c>
      <c r="J328" s="26" t="s">
        <v>89</v>
      </c>
      <c r="L328" s="49">
        <f t="shared" ref="L328:BS328" ca="1" si="90">IFERROR(CA_ent_rev_gas/CA_FP_gas_nom,0)</f>
        <v>0</v>
      </c>
      <c r="M328" s="49">
        <f t="shared" ca="1" si="90"/>
        <v>0</v>
      </c>
      <c r="N328" s="49">
        <f t="shared" ca="1" si="90"/>
        <v>0</v>
      </c>
      <c r="O328" s="49">
        <f t="shared" ca="1" si="90"/>
        <v>0</v>
      </c>
      <c r="P328" s="49">
        <f t="shared" ca="1" si="90"/>
        <v>0</v>
      </c>
      <c r="Q328" s="49">
        <f t="shared" ca="1" si="90"/>
        <v>0</v>
      </c>
      <c r="R328" s="49">
        <f t="shared" ca="1" si="90"/>
        <v>0</v>
      </c>
      <c r="S328" s="49">
        <f t="shared" ca="1" si="90"/>
        <v>0</v>
      </c>
      <c r="T328" s="49">
        <f t="shared" ca="1" si="90"/>
        <v>0</v>
      </c>
      <c r="U328" s="49">
        <f t="shared" ca="1" si="90"/>
        <v>0</v>
      </c>
      <c r="V328" s="49">
        <f t="shared" ca="1" si="90"/>
        <v>0</v>
      </c>
      <c r="W328" s="49">
        <f t="shared" ca="1" si="90"/>
        <v>0</v>
      </c>
      <c r="X328" s="49">
        <f t="shared" ca="1" si="90"/>
        <v>0</v>
      </c>
      <c r="Y328" s="49">
        <f t="shared" ca="1" si="90"/>
        <v>0</v>
      </c>
      <c r="Z328" s="49">
        <f t="shared" ca="1" si="90"/>
        <v>0</v>
      </c>
      <c r="AA328" s="49">
        <f t="shared" ca="1" si="90"/>
        <v>0</v>
      </c>
      <c r="AB328" s="49">
        <f t="shared" ca="1" si="90"/>
        <v>0</v>
      </c>
      <c r="AC328" s="49">
        <f t="shared" ca="1" si="90"/>
        <v>0</v>
      </c>
      <c r="AD328" s="49">
        <f t="shared" ca="1" si="90"/>
        <v>0</v>
      </c>
      <c r="AE328" s="49">
        <f t="shared" ca="1" si="90"/>
        <v>0</v>
      </c>
      <c r="AF328" s="49">
        <f t="shared" ca="1" si="90"/>
        <v>0</v>
      </c>
      <c r="AG328" s="49">
        <f t="shared" ca="1" si="90"/>
        <v>0</v>
      </c>
      <c r="AH328" s="49">
        <f t="shared" ca="1" si="90"/>
        <v>0</v>
      </c>
      <c r="AI328" s="49">
        <f t="shared" ca="1" si="90"/>
        <v>0</v>
      </c>
      <c r="AJ328" s="49">
        <f t="shared" ca="1" si="90"/>
        <v>0</v>
      </c>
      <c r="AK328" s="49">
        <f t="shared" ca="1" si="90"/>
        <v>0</v>
      </c>
      <c r="AL328" s="49">
        <f t="shared" ca="1" si="90"/>
        <v>0</v>
      </c>
      <c r="AM328" s="49">
        <f t="shared" ca="1" si="90"/>
        <v>0</v>
      </c>
      <c r="AN328" s="49">
        <f t="shared" ca="1" si="90"/>
        <v>0</v>
      </c>
      <c r="AO328" s="49">
        <f t="shared" ca="1" si="90"/>
        <v>0</v>
      </c>
      <c r="AP328" s="49">
        <f t="shared" ca="1" si="90"/>
        <v>0</v>
      </c>
      <c r="AQ328" s="49">
        <f t="shared" ca="1" si="90"/>
        <v>0</v>
      </c>
      <c r="AR328" s="49">
        <f t="shared" ca="1" si="90"/>
        <v>0</v>
      </c>
      <c r="AS328" s="49">
        <f t="shared" ca="1" si="90"/>
        <v>0</v>
      </c>
      <c r="AT328" s="49">
        <f t="shared" ca="1" si="90"/>
        <v>0</v>
      </c>
      <c r="AU328" s="49">
        <f t="shared" ca="1" si="90"/>
        <v>0</v>
      </c>
      <c r="AV328" s="49">
        <f t="shared" ca="1" si="90"/>
        <v>0</v>
      </c>
      <c r="AW328" s="49">
        <f t="shared" ca="1" si="90"/>
        <v>0</v>
      </c>
      <c r="AX328" s="49">
        <f t="shared" ca="1" si="90"/>
        <v>0</v>
      </c>
      <c r="AY328" s="49">
        <f t="shared" ca="1" si="90"/>
        <v>0</v>
      </c>
      <c r="AZ328" s="49">
        <f t="shared" ca="1" si="90"/>
        <v>0</v>
      </c>
      <c r="BA328" s="49">
        <f t="shared" ca="1" si="90"/>
        <v>0</v>
      </c>
      <c r="BB328" s="49">
        <f t="shared" ca="1" si="90"/>
        <v>0</v>
      </c>
      <c r="BC328" s="49">
        <f t="shared" ca="1" si="90"/>
        <v>0</v>
      </c>
      <c r="BD328" s="49">
        <f t="shared" ca="1" si="90"/>
        <v>0</v>
      </c>
      <c r="BE328" s="49">
        <f t="shared" ca="1" si="90"/>
        <v>0</v>
      </c>
      <c r="BF328" s="49">
        <f t="shared" ca="1" si="90"/>
        <v>0</v>
      </c>
      <c r="BG328" s="49">
        <f t="shared" ca="1" si="90"/>
        <v>0</v>
      </c>
      <c r="BH328" s="49">
        <f t="shared" ca="1" si="90"/>
        <v>0</v>
      </c>
      <c r="BI328" s="49">
        <f t="shared" ca="1" si="90"/>
        <v>0</v>
      </c>
      <c r="BJ328" s="49">
        <f t="shared" ca="1" si="90"/>
        <v>0</v>
      </c>
      <c r="BK328" s="49">
        <f t="shared" ca="1" si="90"/>
        <v>0</v>
      </c>
      <c r="BL328" s="49">
        <f t="shared" ca="1" si="90"/>
        <v>0</v>
      </c>
      <c r="BM328" s="49">
        <f t="shared" ca="1" si="90"/>
        <v>0</v>
      </c>
      <c r="BN328" s="49">
        <f t="shared" ca="1" si="90"/>
        <v>0</v>
      </c>
      <c r="BO328" s="49">
        <f t="shared" ca="1" si="90"/>
        <v>0</v>
      </c>
      <c r="BP328" s="49">
        <f t="shared" ca="1" si="90"/>
        <v>0</v>
      </c>
      <c r="BQ328" s="49">
        <f t="shared" ca="1" si="90"/>
        <v>0</v>
      </c>
      <c r="BR328" s="49">
        <f t="shared" ca="1" si="90"/>
        <v>0</v>
      </c>
      <c r="BS328" s="49">
        <f t="shared" ca="1" si="90"/>
        <v>0</v>
      </c>
    </row>
    <row r="329" spans="3:71" outlineLevel="1" x14ac:dyDescent="0.2">
      <c r="D329" s="11" t="str">
        <f>HM_ZB_Nsoko!D342</f>
        <v>Total</v>
      </c>
      <c r="I329" s="30">
        <f t="shared" ca="1" si="89"/>
        <v>39.799777697560167</v>
      </c>
      <c r="J329" s="26" t="s">
        <v>130</v>
      </c>
      <c r="K329" s="7" t="s">
        <v>253</v>
      </c>
      <c r="L329" s="49">
        <f t="shared" ref="L329:BS329" ca="1" si="91">L327+L328*conv_BbltoMcf</f>
        <v>2.0876226746780389</v>
      </c>
      <c r="M329" s="49">
        <f t="shared" ca="1" si="91"/>
        <v>2.7943964136533443</v>
      </c>
      <c r="N329" s="49">
        <f t="shared" ca="1" si="91"/>
        <v>3.7724632608739097</v>
      </c>
      <c r="O329" s="49">
        <f t="shared" ca="1" si="91"/>
        <v>4.3658712642724442</v>
      </c>
      <c r="P329" s="49">
        <f t="shared" ca="1" si="91"/>
        <v>3.3757688337655596</v>
      </c>
      <c r="Q329" s="49">
        <f t="shared" ca="1" si="91"/>
        <v>3.2553477853604207</v>
      </c>
      <c r="R329" s="49">
        <f t="shared" ca="1" si="91"/>
        <v>3.4923069476166906</v>
      </c>
      <c r="S329" s="49">
        <f t="shared" ca="1" si="91"/>
        <v>3.7549575000000002</v>
      </c>
      <c r="T329" s="49">
        <f t="shared" ca="1" si="91"/>
        <v>3.0262276997664883</v>
      </c>
      <c r="U329" s="49">
        <f t="shared" ca="1" si="91"/>
        <v>2.7435704973479997</v>
      </c>
      <c r="V329" s="49">
        <f t="shared" ca="1" si="91"/>
        <v>2.5515205625336388</v>
      </c>
      <c r="W329" s="49">
        <f t="shared" ca="1" si="91"/>
        <v>2.372914123156284</v>
      </c>
      <c r="X329" s="49">
        <f t="shared" ca="1" si="91"/>
        <v>2.2068101345353446</v>
      </c>
      <c r="Y329" s="49">
        <f t="shared" ca="1" si="91"/>
        <v>0</v>
      </c>
      <c r="Z329" s="49">
        <f t="shared" ca="1" si="91"/>
        <v>0</v>
      </c>
      <c r="AA329" s="49">
        <f t="shared" ca="1" si="91"/>
        <v>0</v>
      </c>
      <c r="AB329" s="49">
        <f t="shared" ca="1" si="91"/>
        <v>0</v>
      </c>
      <c r="AC329" s="49">
        <f t="shared" ca="1" si="91"/>
        <v>0</v>
      </c>
      <c r="AD329" s="49">
        <f t="shared" ca="1" si="91"/>
        <v>0</v>
      </c>
      <c r="AE329" s="49">
        <f t="shared" ca="1" si="91"/>
        <v>0</v>
      </c>
      <c r="AF329" s="49">
        <f t="shared" ca="1" si="91"/>
        <v>0</v>
      </c>
      <c r="AG329" s="49">
        <f t="shared" ca="1" si="91"/>
        <v>0</v>
      </c>
      <c r="AH329" s="49">
        <f t="shared" ca="1" si="91"/>
        <v>0</v>
      </c>
      <c r="AI329" s="49">
        <f t="shared" ca="1" si="91"/>
        <v>0</v>
      </c>
      <c r="AJ329" s="49">
        <f t="shared" ca="1" si="91"/>
        <v>0</v>
      </c>
      <c r="AK329" s="49">
        <f t="shared" ca="1" si="91"/>
        <v>0</v>
      </c>
      <c r="AL329" s="49">
        <f t="shared" ca="1" si="91"/>
        <v>0</v>
      </c>
      <c r="AM329" s="49">
        <f t="shared" ca="1" si="91"/>
        <v>0</v>
      </c>
      <c r="AN329" s="49">
        <f t="shared" ca="1" si="91"/>
        <v>0</v>
      </c>
      <c r="AO329" s="49">
        <f t="shared" ca="1" si="91"/>
        <v>0</v>
      </c>
      <c r="AP329" s="49">
        <f t="shared" ca="1" si="91"/>
        <v>0</v>
      </c>
      <c r="AQ329" s="49">
        <f t="shared" ca="1" si="91"/>
        <v>0</v>
      </c>
      <c r="AR329" s="49">
        <f t="shared" ca="1" si="91"/>
        <v>0</v>
      </c>
      <c r="AS329" s="49">
        <f t="shared" ca="1" si="91"/>
        <v>0</v>
      </c>
      <c r="AT329" s="49">
        <f t="shared" ca="1" si="91"/>
        <v>0</v>
      </c>
      <c r="AU329" s="49">
        <f t="shared" ca="1" si="91"/>
        <v>0</v>
      </c>
      <c r="AV329" s="49">
        <f t="shared" ca="1" si="91"/>
        <v>0</v>
      </c>
      <c r="AW329" s="49">
        <f t="shared" ca="1" si="91"/>
        <v>0</v>
      </c>
      <c r="AX329" s="49">
        <f t="shared" ca="1" si="91"/>
        <v>0</v>
      </c>
      <c r="AY329" s="49">
        <f t="shared" ca="1" si="91"/>
        <v>0</v>
      </c>
      <c r="AZ329" s="49">
        <f t="shared" ca="1" si="91"/>
        <v>0</v>
      </c>
      <c r="BA329" s="49">
        <f t="shared" ca="1" si="91"/>
        <v>0</v>
      </c>
      <c r="BB329" s="49">
        <f t="shared" ca="1" si="91"/>
        <v>0</v>
      </c>
      <c r="BC329" s="49">
        <f t="shared" ca="1" si="91"/>
        <v>0</v>
      </c>
      <c r="BD329" s="49">
        <f t="shared" ca="1" si="91"/>
        <v>0</v>
      </c>
      <c r="BE329" s="49">
        <f t="shared" ca="1" si="91"/>
        <v>0</v>
      </c>
      <c r="BF329" s="49">
        <f t="shared" ca="1" si="91"/>
        <v>0</v>
      </c>
      <c r="BG329" s="49">
        <f t="shared" ca="1" si="91"/>
        <v>0</v>
      </c>
      <c r="BH329" s="49">
        <f t="shared" ca="1" si="91"/>
        <v>0</v>
      </c>
      <c r="BI329" s="49">
        <f t="shared" ca="1" si="91"/>
        <v>0</v>
      </c>
      <c r="BJ329" s="49">
        <f t="shared" ca="1" si="91"/>
        <v>0</v>
      </c>
      <c r="BK329" s="49">
        <f t="shared" ca="1" si="91"/>
        <v>0</v>
      </c>
      <c r="BL329" s="49">
        <f t="shared" ca="1" si="91"/>
        <v>0</v>
      </c>
      <c r="BM329" s="49">
        <f t="shared" ca="1" si="91"/>
        <v>0</v>
      </c>
      <c r="BN329" s="49">
        <f t="shared" ca="1" si="91"/>
        <v>0</v>
      </c>
      <c r="BO329" s="49">
        <f t="shared" ca="1" si="91"/>
        <v>0</v>
      </c>
      <c r="BP329" s="49">
        <f t="shared" ca="1" si="91"/>
        <v>0</v>
      </c>
      <c r="BQ329" s="49">
        <f t="shared" ca="1" si="91"/>
        <v>0</v>
      </c>
      <c r="BR329" s="49">
        <f t="shared" ca="1" si="91"/>
        <v>0</v>
      </c>
      <c r="BS329" s="49">
        <f t="shared" ca="1" si="91"/>
        <v>0</v>
      </c>
    </row>
    <row r="330" spans="3:71" outlineLevel="1" x14ac:dyDescent="0.2">
      <c r="J330" s="26"/>
      <c r="L330" s="55"/>
      <c r="M330" s="55"/>
      <c r="N330" s="55"/>
      <c r="O330" s="55"/>
      <c r="P330" s="55"/>
      <c r="Q330" s="55"/>
      <c r="R330" s="55"/>
      <c r="S330" s="55"/>
      <c r="T330" s="55"/>
      <c r="U330" s="55"/>
      <c r="V330" s="55"/>
      <c r="W330" s="55"/>
      <c r="X330" s="55"/>
      <c r="Y330" s="55"/>
      <c r="Z330" s="55"/>
      <c r="AA330" s="55"/>
      <c r="AB330" s="55"/>
      <c r="AC330" s="55"/>
      <c r="AD330" s="55"/>
      <c r="AE330" s="55"/>
      <c r="AF330" s="55"/>
      <c r="AG330" s="55"/>
      <c r="AH330" s="55"/>
      <c r="AI330" s="55"/>
      <c r="AJ330" s="55"/>
      <c r="AK330" s="55"/>
      <c r="AL330" s="55"/>
      <c r="AM330" s="55"/>
      <c r="AN330" s="55"/>
      <c r="AO330" s="55"/>
      <c r="AP330" s="55"/>
      <c r="AQ330" s="55"/>
      <c r="AR330" s="55"/>
      <c r="AS330" s="55"/>
      <c r="AT330" s="55"/>
      <c r="AU330" s="55"/>
      <c r="AV330" s="55"/>
      <c r="AW330" s="55"/>
      <c r="AX330" s="55"/>
      <c r="AY330" s="55"/>
      <c r="AZ330" s="55"/>
      <c r="BA330" s="55"/>
      <c r="BB330" s="55"/>
      <c r="BC330" s="55"/>
      <c r="BD330" s="55"/>
      <c r="BE330" s="55"/>
      <c r="BF330" s="55"/>
      <c r="BG330" s="55"/>
      <c r="BH330" s="55"/>
      <c r="BI330" s="55"/>
      <c r="BJ330" s="55"/>
      <c r="BK330" s="55"/>
      <c r="BL330" s="55"/>
      <c r="BM330" s="55"/>
      <c r="BN330" s="55"/>
      <c r="BO330" s="55"/>
      <c r="BP330" s="55"/>
      <c r="BQ330" s="55"/>
      <c r="BR330" s="55"/>
      <c r="BS330" s="55"/>
    </row>
    <row r="331" spans="3:71" outlineLevel="1" x14ac:dyDescent="0.2">
      <c r="C331" s="11" t="str">
        <f>HM_ZB_Nsoko!C344</f>
        <v>Participation</v>
      </c>
      <c r="J331" s="26"/>
      <c r="L331" s="55"/>
      <c r="M331" s="55"/>
      <c r="N331" s="55"/>
      <c r="O331" s="55"/>
      <c r="P331" s="55"/>
      <c r="Q331" s="55"/>
      <c r="R331" s="55"/>
      <c r="S331" s="55"/>
      <c r="T331" s="55"/>
      <c r="U331" s="55"/>
      <c r="V331" s="55"/>
      <c r="W331" s="55"/>
      <c r="X331" s="55"/>
      <c r="Y331" s="55"/>
      <c r="Z331" s="55"/>
      <c r="AA331" s="55"/>
      <c r="AB331" s="55"/>
      <c r="AC331" s="55"/>
      <c r="AD331" s="55"/>
      <c r="AE331" s="55"/>
      <c r="AF331" s="55"/>
      <c r="AG331" s="55"/>
      <c r="AH331" s="55"/>
      <c r="AI331" s="55"/>
      <c r="AJ331" s="55"/>
      <c r="AK331" s="55"/>
      <c r="AL331" s="55"/>
      <c r="AM331" s="55"/>
      <c r="AN331" s="55"/>
      <c r="AO331" s="55"/>
      <c r="AP331" s="55"/>
      <c r="AQ331" s="55"/>
      <c r="AR331" s="55"/>
      <c r="AS331" s="55"/>
      <c r="AT331" s="55"/>
      <c r="AU331" s="55"/>
      <c r="AV331" s="55"/>
      <c r="AW331" s="55"/>
      <c r="AX331" s="55"/>
      <c r="AY331" s="55"/>
      <c r="AZ331" s="55"/>
      <c r="BA331" s="55"/>
      <c r="BB331" s="55"/>
      <c r="BC331" s="55"/>
      <c r="BD331" s="55"/>
      <c r="BE331" s="55"/>
      <c r="BF331" s="55"/>
      <c r="BG331" s="55"/>
      <c r="BH331" s="55"/>
      <c r="BI331" s="55"/>
      <c r="BJ331" s="55"/>
      <c r="BK331" s="55"/>
      <c r="BL331" s="55"/>
      <c r="BM331" s="55"/>
      <c r="BN331" s="55"/>
      <c r="BO331" s="55"/>
      <c r="BP331" s="55"/>
      <c r="BQ331" s="55"/>
      <c r="BR331" s="55"/>
      <c r="BS331" s="55"/>
    </row>
    <row r="332" spans="3:71" outlineLevel="1" x14ac:dyDescent="0.2">
      <c r="D332" t="str">
        <f>HM_ZB_Nsoko!D345</f>
        <v>Consortium compagnie pétrolières internationales</v>
      </c>
      <c r="J332" s="26" t="s">
        <v>90</v>
      </c>
      <c r="K332" s="7" t="s">
        <v>340</v>
      </c>
      <c r="L332" s="53">
        <f ca="1">KLL_II_2020!IOC_WI_perc*KLL_II_2020!CA_op_trig</f>
        <v>0.8</v>
      </c>
      <c r="M332" s="53">
        <f ca="1">KLL_II_2020!IOC_WI_perc*KLL_II_2020!CA_op_trig</f>
        <v>0.8</v>
      </c>
      <c r="N332" s="53">
        <f ca="1">KLL_II_2020!IOC_WI_perc*KLL_II_2020!CA_op_trig</f>
        <v>0.8</v>
      </c>
      <c r="O332" s="53">
        <f ca="1">KLL_II_2020!IOC_WI_perc*KLL_II_2020!CA_op_trig</f>
        <v>0.8</v>
      </c>
      <c r="P332" s="53">
        <f ca="1">KLL_II_2020!IOC_WI_perc*KLL_II_2020!CA_op_trig</f>
        <v>0.8</v>
      </c>
      <c r="Q332" s="53">
        <f ca="1">KLL_II_2020!IOC_WI_perc*KLL_II_2020!CA_op_trig</f>
        <v>0.8</v>
      </c>
      <c r="R332" s="53">
        <f ca="1">KLL_II_2020!IOC_WI_perc*KLL_II_2020!CA_op_trig</f>
        <v>0.8</v>
      </c>
      <c r="S332" s="53">
        <f ca="1">KLL_II_2020!IOC_WI_perc*KLL_II_2020!CA_op_trig</f>
        <v>0.8</v>
      </c>
      <c r="T332" s="53">
        <f ca="1">KLL_II_2020!IOC_WI_perc*KLL_II_2020!CA_op_trig</f>
        <v>0.8</v>
      </c>
      <c r="U332" s="53">
        <f ca="1">KLL_II_2020!IOC_WI_perc*KLL_II_2020!CA_op_trig</f>
        <v>0.8</v>
      </c>
      <c r="V332" s="53">
        <f ca="1">KLL_II_2020!IOC_WI_perc*KLL_II_2020!CA_op_trig</f>
        <v>0.8</v>
      </c>
      <c r="W332" s="53">
        <f ca="1">KLL_II_2020!IOC_WI_perc*KLL_II_2020!CA_op_trig</f>
        <v>0.8</v>
      </c>
      <c r="X332" s="53">
        <f ca="1">KLL_II_2020!IOC_WI_perc*KLL_II_2020!CA_op_trig</f>
        <v>0.8</v>
      </c>
      <c r="Y332" s="53">
        <f ca="1">KLL_II_2020!IOC_WI_perc*KLL_II_2020!CA_op_trig</f>
        <v>0</v>
      </c>
      <c r="Z332" s="53">
        <f ca="1">KLL_II_2020!IOC_WI_perc*KLL_II_2020!CA_op_trig</f>
        <v>0</v>
      </c>
      <c r="AA332" s="53">
        <f ca="1">KLL_II_2020!IOC_WI_perc*KLL_II_2020!CA_op_trig</f>
        <v>0</v>
      </c>
      <c r="AB332" s="53">
        <f ca="1">KLL_II_2020!IOC_WI_perc*KLL_II_2020!CA_op_trig</f>
        <v>0</v>
      </c>
      <c r="AC332" s="53">
        <f ca="1">KLL_II_2020!IOC_WI_perc*KLL_II_2020!CA_op_trig</f>
        <v>0</v>
      </c>
      <c r="AD332" s="53">
        <f ca="1">KLL_II_2020!IOC_WI_perc*KLL_II_2020!CA_op_trig</f>
        <v>0</v>
      </c>
      <c r="AE332" s="53">
        <f ca="1">KLL_II_2020!IOC_WI_perc*KLL_II_2020!CA_op_trig</f>
        <v>0</v>
      </c>
      <c r="AF332" s="53">
        <f ca="1">KLL_II_2020!IOC_WI_perc*KLL_II_2020!CA_op_trig</f>
        <v>0</v>
      </c>
      <c r="AG332" s="53">
        <f ca="1">KLL_II_2020!IOC_WI_perc*KLL_II_2020!CA_op_trig</f>
        <v>0</v>
      </c>
      <c r="AH332" s="53">
        <f ca="1">KLL_II_2020!IOC_WI_perc*KLL_II_2020!CA_op_trig</f>
        <v>0</v>
      </c>
      <c r="AI332" s="53">
        <f ca="1">KLL_II_2020!IOC_WI_perc*KLL_II_2020!CA_op_trig</f>
        <v>0</v>
      </c>
      <c r="AJ332" s="53">
        <f ca="1">KLL_II_2020!IOC_WI_perc*KLL_II_2020!CA_op_trig</f>
        <v>0</v>
      </c>
      <c r="AK332" s="53">
        <f ca="1">KLL_II_2020!IOC_WI_perc*KLL_II_2020!CA_op_trig</f>
        <v>0</v>
      </c>
      <c r="AL332" s="53">
        <f ca="1">KLL_II_2020!IOC_WI_perc*KLL_II_2020!CA_op_trig</f>
        <v>0</v>
      </c>
      <c r="AM332" s="53">
        <f ca="1">KLL_II_2020!IOC_WI_perc*KLL_II_2020!CA_op_trig</f>
        <v>0</v>
      </c>
      <c r="AN332" s="53">
        <f ca="1">KLL_II_2020!IOC_WI_perc*KLL_II_2020!CA_op_trig</f>
        <v>0</v>
      </c>
      <c r="AO332" s="53">
        <f ca="1">KLL_II_2020!IOC_WI_perc*KLL_II_2020!CA_op_trig</f>
        <v>0</v>
      </c>
      <c r="AP332" s="53">
        <f ca="1">KLL_II_2020!IOC_WI_perc*KLL_II_2020!CA_op_trig</f>
        <v>0</v>
      </c>
      <c r="AQ332" s="53">
        <f ca="1">KLL_II_2020!IOC_WI_perc*KLL_II_2020!CA_op_trig</f>
        <v>0</v>
      </c>
      <c r="AR332" s="53">
        <f ca="1">KLL_II_2020!IOC_WI_perc*KLL_II_2020!CA_op_trig</f>
        <v>0</v>
      </c>
      <c r="AS332" s="53">
        <f ca="1">KLL_II_2020!IOC_WI_perc*KLL_II_2020!CA_op_trig</f>
        <v>0</v>
      </c>
      <c r="AT332" s="53">
        <f ca="1">KLL_II_2020!IOC_WI_perc*KLL_II_2020!CA_op_trig</f>
        <v>0</v>
      </c>
      <c r="AU332" s="53">
        <f ca="1">KLL_II_2020!IOC_WI_perc*KLL_II_2020!CA_op_trig</f>
        <v>0</v>
      </c>
      <c r="AV332" s="53">
        <f ca="1">KLL_II_2020!IOC_WI_perc*KLL_II_2020!CA_op_trig</f>
        <v>0</v>
      </c>
      <c r="AW332" s="53">
        <f ca="1">KLL_II_2020!IOC_WI_perc*KLL_II_2020!CA_op_trig</f>
        <v>0</v>
      </c>
      <c r="AX332" s="53">
        <f ca="1">KLL_II_2020!IOC_WI_perc*KLL_II_2020!CA_op_trig</f>
        <v>0</v>
      </c>
      <c r="AY332" s="53">
        <f ca="1">KLL_II_2020!IOC_WI_perc*KLL_II_2020!CA_op_trig</f>
        <v>0</v>
      </c>
      <c r="AZ332" s="53">
        <f ca="1">KLL_II_2020!IOC_WI_perc*KLL_II_2020!CA_op_trig</f>
        <v>0</v>
      </c>
      <c r="BA332" s="53">
        <f ca="1">KLL_II_2020!IOC_WI_perc*KLL_II_2020!CA_op_trig</f>
        <v>0</v>
      </c>
      <c r="BB332" s="53">
        <f ca="1">KLL_II_2020!IOC_WI_perc*KLL_II_2020!CA_op_trig</f>
        <v>0</v>
      </c>
      <c r="BC332" s="53">
        <f ca="1">KLL_II_2020!IOC_WI_perc*KLL_II_2020!CA_op_trig</f>
        <v>0</v>
      </c>
      <c r="BD332" s="53">
        <f ca="1">KLL_II_2020!IOC_WI_perc*KLL_II_2020!CA_op_trig</f>
        <v>0</v>
      </c>
      <c r="BE332" s="53">
        <f ca="1">KLL_II_2020!IOC_WI_perc*KLL_II_2020!CA_op_trig</f>
        <v>0</v>
      </c>
      <c r="BF332" s="53">
        <f ca="1">KLL_II_2020!IOC_WI_perc*KLL_II_2020!CA_op_trig</f>
        <v>0</v>
      </c>
      <c r="BG332" s="53">
        <f ca="1">KLL_II_2020!IOC_WI_perc*KLL_II_2020!CA_op_trig</f>
        <v>0</v>
      </c>
      <c r="BH332" s="53">
        <f ca="1">KLL_II_2020!IOC_WI_perc*KLL_II_2020!CA_op_trig</f>
        <v>0</v>
      </c>
      <c r="BI332" s="53">
        <f ca="1">KLL_II_2020!IOC_WI_perc*KLL_II_2020!CA_op_trig</f>
        <v>0</v>
      </c>
      <c r="BJ332" s="53">
        <f ca="1">KLL_II_2020!IOC_WI_perc*KLL_II_2020!CA_op_trig</f>
        <v>0</v>
      </c>
      <c r="BK332" s="53">
        <f ca="1">KLL_II_2020!IOC_WI_perc*KLL_II_2020!CA_op_trig</f>
        <v>0</v>
      </c>
      <c r="BL332" s="53">
        <f ca="1">KLL_II_2020!IOC_WI_perc*KLL_II_2020!CA_op_trig</f>
        <v>0</v>
      </c>
      <c r="BM332" s="53">
        <f ca="1">KLL_II_2020!IOC_WI_perc*KLL_II_2020!CA_op_trig</f>
        <v>0</v>
      </c>
      <c r="BN332" s="53">
        <f ca="1">KLL_II_2020!IOC_WI_perc*KLL_II_2020!CA_op_trig</f>
        <v>0</v>
      </c>
      <c r="BO332" s="53">
        <f ca="1">KLL_II_2020!IOC_WI_perc*KLL_II_2020!CA_op_trig</f>
        <v>0</v>
      </c>
      <c r="BP332" s="53">
        <f ca="1">KLL_II_2020!IOC_WI_perc*KLL_II_2020!CA_op_trig</f>
        <v>0</v>
      </c>
      <c r="BQ332" s="53">
        <f ca="1">KLL_II_2020!IOC_WI_perc*KLL_II_2020!CA_op_trig</f>
        <v>0</v>
      </c>
      <c r="BR332" s="53">
        <f ca="1">KLL_II_2020!IOC_WI_perc*KLL_II_2020!CA_op_trig</f>
        <v>0</v>
      </c>
      <c r="BS332" s="53">
        <f ca="1">KLL_II_2020!IOC_WI_perc*KLL_II_2020!CA_op_trig</f>
        <v>0</v>
      </c>
    </row>
    <row r="333" spans="3:71" outlineLevel="1" x14ac:dyDescent="0.2">
      <c r="D333" t="str">
        <f>HM_ZB_Nsoko!D346</f>
        <v>Participation compagnie nationale/État</v>
      </c>
      <c r="J333" s="26" t="s">
        <v>90</v>
      </c>
      <c r="K333" s="7" t="s">
        <v>341</v>
      </c>
      <c r="L333" s="53">
        <f ca="1">KLL_II_2020!NOC_WI_perc*KLL_II_2020!CA_op_trig</f>
        <v>0.2</v>
      </c>
      <c r="M333" s="53">
        <f ca="1">KLL_II_2020!NOC_WI_perc*KLL_II_2020!CA_op_trig</f>
        <v>0.2</v>
      </c>
      <c r="N333" s="53">
        <f ca="1">KLL_II_2020!NOC_WI_perc*KLL_II_2020!CA_op_trig</f>
        <v>0.2</v>
      </c>
      <c r="O333" s="53">
        <f ca="1">KLL_II_2020!NOC_WI_perc*KLL_II_2020!CA_op_trig</f>
        <v>0.2</v>
      </c>
      <c r="P333" s="53">
        <f ca="1">KLL_II_2020!NOC_WI_perc*KLL_II_2020!CA_op_trig</f>
        <v>0.2</v>
      </c>
      <c r="Q333" s="53">
        <f ca="1">KLL_II_2020!NOC_WI_perc*KLL_II_2020!CA_op_trig</f>
        <v>0.2</v>
      </c>
      <c r="R333" s="53">
        <f ca="1">KLL_II_2020!NOC_WI_perc*KLL_II_2020!CA_op_trig</f>
        <v>0.2</v>
      </c>
      <c r="S333" s="53">
        <f ca="1">KLL_II_2020!NOC_WI_perc*KLL_II_2020!CA_op_trig</f>
        <v>0.2</v>
      </c>
      <c r="T333" s="53">
        <f ca="1">KLL_II_2020!NOC_WI_perc*KLL_II_2020!CA_op_trig</f>
        <v>0.2</v>
      </c>
      <c r="U333" s="53">
        <f ca="1">KLL_II_2020!NOC_WI_perc*KLL_II_2020!CA_op_trig</f>
        <v>0.2</v>
      </c>
      <c r="V333" s="53">
        <f ca="1">KLL_II_2020!NOC_WI_perc*KLL_II_2020!CA_op_trig</f>
        <v>0.2</v>
      </c>
      <c r="W333" s="53">
        <f ca="1">KLL_II_2020!NOC_WI_perc*KLL_II_2020!CA_op_trig</f>
        <v>0.2</v>
      </c>
      <c r="X333" s="53">
        <f ca="1">KLL_II_2020!NOC_WI_perc*KLL_II_2020!CA_op_trig</f>
        <v>0.2</v>
      </c>
      <c r="Y333" s="53">
        <f ca="1">KLL_II_2020!NOC_WI_perc*KLL_II_2020!CA_op_trig</f>
        <v>0</v>
      </c>
      <c r="Z333" s="53">
        <f ca="1">KLL_II_2020!NOC_WI_perc*KLL_II_2020!CA_op_trig</f>
        <v>0</v>
      </c>
      <c r="AA333" s="53">
        <f ca="1">KLL_II_2020!NOC_WI_perc*KLL_II_2020!CA_op_trig</f>
        <v>0</v>
      </c>
      <c r="AB333" s="53">
        <f ca="1">KLL_II_2020!NOC_WI_perc*KLL_II_2020!CA_op_trig</f>
        <v>0</v>
      </c>
      <c r="AC333" s="53">
        <f ca="1">KLL_II_2020!NOC_WI_perc*KLL_II_2020!CA_op_trig</f>
        <v>0</v>
      </c>
      <c r="AD333" s="53">
        <f ca="1">KLL_II_2020!NOC_WI_perc*KLL_II_2020!CA_op_trig</f>
        <v>0</v>
      </c>
      <c r="AE333" s="53">
        <f ca="1">KLL_II_2020!NOC_WI_perc*KLL_II_2020!CA_op_trig</f>
        <v>0</v>
      </c>
      <c r="AF333" s="53">
        <f ca="1">KLL_II_2020!NOC_WI_perc*KLL_II_2020!CA_op_trig</f>
        <v>0</v>
      </c>
      <c r="AG333" s="53">
        <f ca="1">KLL_II_2020!NOC_WI_perc*KLL_II_2020!CA_op_trig</f>
        <v>0</v>
      </c>
      <c r="AH333" s="53">
        <f ca="1">KLL_II_2020!NOC_WI_perc*KLL_II_2020!CA_op_trig</f>
        <v>0</v>
      </c>
      <c r="AI333" s="53">
        <f ca="1">KLL_II_2020!NOC_WI_perc*KLL_II_2020!CA_op_trig</f>
        <v>0</v>
      </c>
      <c r="AJ333" s="53">
        <f ca="1">KLL_II_2020!NOC_WI_perc*KLL_II_2020!CA_op_trig</f>
        <v>0</v>
      </c>
      <c r="AK333" s="53">
        <f ca="1">KLL_II_2020!NOC_WI_perc*KLL_II_2020!CA_op_trig</f>
        <v>0</v>
      </c>
      <c r="AL333" s="53">
        <f ca="1">KLL_II_2020!NOC_WI_perc*KLL_II_2020!CA_op_trig</f>
        <v>0</v>
      </c>
      <c r="AM333" s="53">
        <f ca="1">KLL_II_2020!NOC_WI_perc*KLL_II_2020!CA_op_trig</f>
        <v>0</v>
      </c>
      <c r="AN333" s="53">
        <f ca="1">KLL_II_2020!NOC_WI_perc*KLL_II_2020!CA_op_trig</f>
        <v>0</v>
      </c>
      <c r="AO333" s="53">
        <f ca="1">KLL_II_2020!NOC_WI_perc*KLL_II_2020!CA_op_trig</f>
        <v>0</v>
      </c>
      <c r="AP333" s="53">
        <f ca="1">KLL_II_2020!NOC_WI_perc*KLL_II_2020!CA_op_trig</f>
        <v>0</v>
      </c>
      <c r="AQ333" s="53">
        <f ca="1">KLL_II_2020!NOC_WI_perc*KLL_II_2020!CA_op_trig</f>
        <v>0</v>
      </c>
      <c r="AR333" s="53">
        <f ca="1">KLL_II_2020!NOC_WI_perc*KLL_II_2020!CA_op_trig</f>
        <v>0</v>
      </c>
      <c r="AS333" s="53">
        <f ca="1">KLL_II_2020!NOC_WI_perc*KLL_II_2020!CA_op_trig</f>
        <v>0</v>
      </c>
      <c r="AT333" s="53">
        <f ca="1">KLL_II_2020!NOC_WI_perc*KLL_II_2020!CA_op_trig</f>
        <v>0</v>
      </c>
      <c r="AU333" s="53">
        <f ca="1">KLL_II_2020!NOC_WI_perc*KLL_II_2020!CA_op_trig</f>
        <v>0</v>
      </c>
      <c r="AV333" s="53">
        <f ca="1">KLL_II_2020!NOC_WI_perc*KLL_II_2020!CA_op_trig</f>
        <v>0</v>
      </c>
      <c r="AW333" s="53">
        <f ca="1">KLL_II_2020!NOC_WI_perc*KLL_II_2020!CA_op_trig</f>
        <v>0</v>
      </c>
      <c r="AX333" s="53">
        <f ca="1">KLL_II_2020!NOC_WI_perc*KLL_II_2020!CA_op_trig</f>
        <v>0</v>
      </c>
      <c r="AY333" s="53">
        <f ca="1">KLL_II_2020!NOC_WI_perc*KLL_II_2020!CA_op_trig</f>
        <v>0</v>
      </c>
      <c r="AZ333" s="53">
        <f ca="1">KLL_II_2020!NOC_WI_perc*KLL_II_2020!CA_op_trig</f>
        <v>0</v>
      </c>
      <c r="BA333" s="53">
        <f ca="1">KLL_II_2020!NOC_WI_perc*KLL_II_2020!CA_op_trig</f>
        <v>0</v>
      </c>
      <c r="BB333" s="53">
        <f ca="1">KLL_II_2020!NOC_WI_perc*KLL_II_2020!CA_op_trig</f>
        <v>0</v>
      </c>
      <c r="BC333" s="53">
        <f ca="1">KLL_II_2020!NOC_WI_perc*KLL_II_2020!CA_op_trig</f>
        <v>0</v>
      </c>
      <c r="BD333" s="53">
        <f ca="1">KLL_II_2020!NOC_WI_perc*KLL_II_2020!CA_op_trig</f>
        <v>0</v>
      </c>
      <c r="BE333" s="53">
        <f ca="1">KLL_II_2020!NOC_WI_perc*KLL_II_2020!CA_op_trig</f>
        <v>0</v>
      </c>
      <c r="BF333" s="53">
        <f ca="1">KLL_II_2020!NOC_WI_perc*KLL_II_2020!CA_op_trig</f>
        <v>0</v>
      </c>
      <c r="BG333" s="53">
        <f ca="1">KLL_II_2020!NOC_WI_perc*KLL_II_2020!CA_op_trig</f>
        <v>0</v>
      </c>
      <c r="BH333" s="53">
        <f ca="1">KLL_II_2020!NOC_WI_perc*KLL_II_2020!CA_op_trig</f>
        <v>0</v>
      </c>
      <c r="BI333" s="53">
        <f ca="1">KLL_II_2020!NOC_WI_perc*KLL_II_2020!CA_op_trig</f>
        <v>0</v>
      </c>
      <c r="BJ333" s="53">
        <f ca="1">KLL_II_2020!NOC_WI_perc*KLL_II_2020!CA_op_trig</f>
        <v>0</v>
      </c>
      <c r="BK333" s="53">
        <f ca="1">KLL_II_2020!NOC_WI_perc*KLL_II_2020!CA_op_trig</f>
        <v>0</v>
      </c>
      <c r="BL333" s="53">
        <f ca="1">KLL_II_2020!NOC_WI_perc*KLL_II_2020!CA_op_trig</f>
        <v>0</v>
      </c>
      <c r="BM333" s="53">
        <f ca="1">KLL_II_2020!NOC_WI_perc*KLL_II_2020!CA_op_trig</f>
        <v>0</v>
      </c>
      <c r="BN333" s="53">
        <f ca="1">KLL_II_2020!NOC_WI_perc*KLL_II_2020!CA_op_trig</f>
        <v>0</v>
      </c>
      <c r="BO333" s="53">
        <f ca="1">KLL_II_2020!NOC_WI_perc*KLL_II_2020!CA_op_trig</f>
        <v>0</v>
      </c>
      <c r="BP333" s="53">
        <f ca="1">KLL_II_2020!NOC_WI_perc*KLL_II_2020!CA_op_trig</f>
        <v>0</v>
      </c>
      <c r="BQ333" s="53">
        <f ca="1">KLL_II_2020!NOC_WI_perc*KLL_II_2020!CA_op_trig</f>
        <v>0</v>
      </c>
      <c r="BR333" s="53">
        <f ca="1">KLL_II_2020!NOC_WI_perc*KLL_II_2020!CA_op_trig</f>
        <v>0</v>
      </c>
      <c r="BS333" s="53">
        <f ca="1">KLL_II_2020!NOC_WI_perc*KLL_II_2020!CA_op_trig</f>
        <v>0</v>
      </c>
    </row>
    <row r="334" spans="3:71" outlineLevel="1" x14ac:dyDescent="0.2">
      <c r="J334" s="26"/>
      <c r="L334" s="55"/>
      <c r="M334" s="55"/>
      <c r="N334" s="55"/>
      <c r="O334" s="55"/>
      <c r="P334" s="55"/>
      <c r="Q334" s="55"/>
      <c r="R334" s="55"/>
      <c r="S334" s="55"/>
      <c r="T334" s="55"/>
      <c r="U334" s="55"/>
      <c r="V334" s="55"/>
      <c r="W334" s="55"/>
      <c r="X334" s="55"/>
      <c r="Y334" s="55"/>
      <c r="Z334" s="55"/>
      <c r="AA334" s="55"/>
      <c r="AB334" s="55"/>
      <c r="AC334" s="55"/>
      <c r="AD334" s="55"/>
      <c r="AE334" s="55"/>
      <c r="AF334" s="55"/>
      <c r="AG334" s="55"/>
      <c r="AH334" s="55"/>
      <c r="AI334" s="55"/>
      <c r="AJ334" s="55"/>
      <c r="AK334" s="55"/>
      <c r="AL334" s="55"/>
      <c r="AM334" s="55"/>
      <c r="AN334" s="55"/>
      <c r="AO334" s="55"/>
      <c r="AP334" s="55"/>
      <c r="AQ334" s="55"/>
      <c r="AR334" s="55"/>
      <c r="AS334" s="55"/>
      <c r="AT334" s="55"/>
      <c r="AU334" s="55"/>
      <c r="AV334" s="55"/>
      <c r="AW334" s="55"/>
      <c r="AX334" s="55"/>
      <c r="AY334" s="55"/>
      <c r="AZ334" s="55"/>
      <c r="BA334" s="55"/>
      <c r="BB334" s="55"/>
      <c r="BC334" s="55"/>
      <c r="BD334" s="55"/>
      <c r="BE334" s="55"/>
      <c r="BF334" s="55"/>
      <c r="BG334" s="55"/>
      <c r="BH334" s="55"/>
      <c r="BI334" s="55"/>
      <c r="BJ334" s="55"/>
      <c r="BK334" s="55"/>
      <c r="BL334" s="55"/>
      <c r="BM334" s="55"/>
      <c r="BN334" s="55"/>
      <c r="BO334" s="55"/>
      <c r="BP334" s="55"/>
      <c r="BQ334" s="55"/>
      <c r="BR334" s="55"/>
      <c r="BS334" s="55"/>
    </row>
    <row r="335" spans="3:71" outlineLevel="1" x14ac:dyDescent="0.2">
      <c r="C335" s="11" t="str">
        <f>HM_ZB_Nsoko!C348</f>
        <v>Revenus des droits selon participation -pétrole</v>
      </c>
      <c r="J335" s="26"/>
      <c r="L335" s="55"/>
      <c r="M335" s="55"/>
      <c r="N335" s="55"/>
      <c r="O335" s="55"/>
      <c r="P335" s="55"/>
      <c r="Q335" s="55"/>
      <c r="R335" s="55"/>
      <c r="S335" s="55"/>
      <c r="T335" s="55"/>
      <c r="U335" s="55"/>
      <c r="V335" s="55"/>
      <c r="W335" s="55"/>
      <c r="X335" s="55"/>
      <c r="Y335" s="55"/>
      <c r="Z335" s="55"/>
      <c r="AA335" s="55"/>
      <c r="AB335" s="55"/>
      <c r="AC335" s="55"/>
      <c r="AD335" s="55"/>
      <c r="AE335" s="55"/>
      <c r="AF335" s="55"/>
      <c r="AG335" s="55"/>
      <c r="AH335" s="55"/>
      <c r="AI335" s="55"/>
      <c r="AJ335" s="55"/>
      <c r="AK335" s="55"/>
      <c r="AL335" s="55"/>
      <c r="AM335" s="55"/>
      <c r="AN335" s="55"/>
      <c r="AO335" s="55"/>
      <c r="AP335" s="55"/>
      <c r="AQ335" s="55"/>
      <c r="AR335" s="55"/>
      <c r="AS335" s="55"/>
      <c r="AT335" s="55"/>
      <c r="AU335" s="55"/>
      <c r="AV335" s="55"/>
      <c r="AW335" s="55"/>
      <c r="AX335" s="55"/>
      <c r="AY335" s="55"/>
      <c r="AZ335" s="55"/>
      <c r="BA335" s="55"/>
      <c r="BB335" s="55"/>
      <c r="BC335" s="55"/>
      <c r="BD335" s="55"/>
      <c r="BE335" s="55"/>
      <c r="BF335" s="55"/>
      <c r="BG335" s="55"/>
      <c r="BH335" s="55"/>
      <c r="BI335" s="55"/>
      <c r="BJ335" s="55"/>
      <c r="BK335" s="55"/>
      <c r="BL335" s="55"/>
      <c r="BM335" s="55"/>
      <c r="BN335" s="55"/>
      <c r="BO335" s="55"/>
      <c r="BP335" s="55"/>
      <c r="BQ335" s="55"/>
      <c r="BR335" s="55"/>
      <c r="BS335" s="55"/>
    </row>
    <row r="336" spans="3:71" outlineLevel="1" x14ac:dyDescent="0.2">
      <c r="D336" t="str">
        <f>HM_ZB_Nsoko!D349</f>
        <v>Consortium compagnie pétrolières internationales</v>
      </c>
      <c r="I336" s="30">
        <f t="shared" ref="I336:I338" ca="1" si="92">SUM($L336:$BS336)</f>
        <v>2038.1480077897686</v>
      </c>
      <c r="J336" s="26" t="s">
        <v>148</v>
      </c>
      <c r="L336" s="49">
        <f ca="1">KLL_II_2020!CA_ent_rev_oil*KLL_II_2020!CA_IOC_WI</f>
        <v>175.88329309624925</v>
      </c>
      <c r="M336" s="49">
        <f ca="1">KLL_II_2020!CA_ent_rev_oil*KLL_II_2020!CA_IOC_WI</f>
        <v>211.21800842987642</v>
      </c>
      <c r="N336" s="49">
        <f ca="1">KLL_II_2020!CA_ent_rev_oil*KLL_II_2020!CA_IOC_WI</f>
        <v>145.9559937395633</v>
      </c>
      <c r="O336" s="49">
        <f ca="1">KLL_II_2020!CA_ent_rev_oil*KLL_II_2020!CA_IOC_WI</f>
        <v>139.8951391216165</v>
      </c>
      <c r="P336" s="49">
        <f ca="1">KLL_II_2020!CA_ent_rev_oil*KLL_II_2020!CA_IOC_WI</f>
        <v>144.43928309247042</v>
      </c>
      <c r="Q336" s="49">
        <f ca="1">KLL_II_2020!CA_ent_rev_oil*KLL_II_2020!CA_IOC_WI</f>
        <v>177.88430636369404</v>
      </c>
      <c r="R336" s="49">
        <f ca="1">KLL_II_2020!CA_ent_rev_oil*KLL_II_2020!CA_IOC_WI</f>
        <v>180.22616859518411</v>
      </c>
      <c r="S336" s="49">
        <f ca="1">KLL_II_2020!CA_ent_rev_oil*KLL_II_2020!CA_IOC_WI</f>
        <v>121.45034538</v>
      </c>
      <c r="T336" s="49">
        <f ca="1">KLL_II_2020!CA_ent_rev_oil*KLL_II_2020!CA_IOC_WI</f>
        <v>161.03985969931773</v>
      </c>
      <c r="U336" s="49">
        <f ca="1">KLL_II_2020!CA_ent_rev_oil*KLL_II_2020!CA_IOC_WI</f>
        <v>156.71274680851775</v>
      </c>
      <c r="V336" s="49">
        <f ca="1">KLL_II_2020!CA_ent_rev_oil*KLL_II_2020!CA_IOC_WI</f>
        <v>148.6577116225599</v>
      </c>
      <c r="W336" s="49">
        <f ca="1">KLL_II_2020!CA_ent_rev_oil*KLL_II_2020!CA_IOC_WI</f>
        <v>141.0167052451603</v>
      </c>
      <c r="X336" s="49">
        <f ca="1">KLL_II_2020!CA_ent_rev_oil*KLL_II_2020!CA_IOC_WI</f>
        <v>133.76844659555908</v>
      </c>
      <c r="Y336" s="49">
        <f ca="1">KLL_II_2020!CA_ent_rev_oil*KLL_II_2020!CA_IOC_WI</f>
        <v>0</v>
      </c>
      <c r="Z336" s="49">
        <f ca="1">KLL_II_2020!CA_ent_rev_oil*KLL_II_2020!CA_IOC_WI</f>
        <v>0</v>
      </c>
      <c r="AA336" s="49">
        <f ca="1">KLL_II_2020!CA_ent_rev_oil*KLL_II_2020!CA_IOC_WI</f>
        <v>0</v>
      </c>
      <c r="AB336" s="49">
        <f ca="1">KLL_II_2020!CA_ent_rev_oil*KLL_II_2020!CA_IOC_WI</f>
        <v>0</v>
      </c>
      <c r="AC336" s="49">
        <f ca="1">KLL_II_2020!CA_ent_rev_oil*KLL_II_2020!CA_IOC_WI</f>
        <v>0</v>
      </c>
      <c r="AD336" s="49">
        <f ca="1">KLL_II_2020!CA_ent_rev_oil*KLL_II_2020!CA_IOC_WI</f>
        <v>0</v>
      </c>
      <c r="AE336" s="49">
        <f ca="1">KLL_II_2020!CA_ent_rev_oil*KLL_II_2020!CA_IOC_WI</f>
        <v>0</v>
      </c>
      <c r="AF336" s="49">
        <f ca="1">KLL_II_2020!CA_ent_rev_oil*KLL_II_2020!CA_IOC_WI</f>
        <v>0</v>
      </c>
      <c r="AG336" s="49">
        <f ca="1">KLL_II_2020!CA_ent_rev_oil*KLL_II_2020!CA_IOC_WI</f>
        <v>0</v>
      </c>
      <c r="AH336" s="49">
        <f ca="1">KLL_II_2020!CA_ent_rev_oil*KLL_II_2020!CA_IOC_WI</f>
        <v>0</v>
      </c>
      <c r="AI336" s="49">
        <f ca="1">KLL_II_2020!CA_ent_rev_oil*KLL_II_2020!CA_IOC_WI</f>
        <v>0</v>
      </c>
      <c r="AJ336" s="49">
        <f ca="1">KLL_II_2020!CA_ent_rev_oil*KLL_II_2020!CA_IOC_WI</f>
        <v>0</v>
      </c>
      <c r="AK336" s="49">
        <f ca="1">KLL_II_2020!CA_ent_rev_oil*KLL_II_2020!CA_IOC_WI</f>
        <v>0</v>
      </c>
      <c r="AL336" s="49">
        <f ca="1">KLL_II_2020!CA_ent_rev_oil*KLL_II_2020!CA_IOC_WI</f>
        <v>0</v>
      </c>
      <c r="AM336" s="49">
        <f ca="1">KLL_II_2020!CA_ent_rev_oil*KLL_II_2020!CA_IOC_WI</f>
        <v>0</v>
      </c>
      <c r="AN336" s="49">
        <f ca="1">KLL_II_2020!CA_ent_rev_oil*KLL_II_2020!CA_IOC_WI</f>
        <v>0</v>
      </c>
      <c r="AO336" s="49">
        <f ca="1">KLL_II_2020!CA_ent_rev_oil*KLL_II_2020!CA_IOC_WI</f>
        <v>0</v>
      </c>
      <c r="AP336" s="49">
        <f ca="1">KLL_II_2020!CA_ent_rev_oil*KLL_II_2020!CA_IOC_WI</f>
        <v>0</v>
      </c>
      <c r="AQ336" s="49">
        <f ca="1">KLL_II_2020!CA_ent_rev_oil*KLL_II_2020!CA_IOC_WI</f>
        <v>0</v>
      </c>
      <c r="AR336" s="49">
        <f ca="1">KLL_II_2020!CA_ent_rev_oil*KLL_II_2020!CA_IOC_WI</f>
        <v>0</v>
      </c>
      <c r="AS336" s="49">
        <f ca="1">KLL_II_2020!CA_ent_rev_oil*KLL_II_2020!CA_IOC_WI</f>
        <v>0</v>
      </c>
      <c r="AT336" s="49">
        <f ca="1">KLL_II_2020!CA_ent_rev_oil*KLL_II_2020!CA_IOC_WI</f>
        <v>0</v>
      </c>
      <c r="AU336" s="49">
        <f ca="1">KLL_II_2020!CA_ent_rev_oil*KLL_II_2020!CA_IOC_WI</f>
        <v>0</v>
      </c>
      <c r="AV336" s="49">
        <f ca="1">KLL_II_2020!CA_ent_rev_oil*KLL_II_2020!CA_IOC_WI</f>
        <v>0</v>
      </c>
      <c r="AW336" s="49">
        <f ca="1">KLL_II_2020!CA_ent_rev_oil*KLL_II_2020!CA_IOC_WI</f>
        <v>0</v>
      </c>
      <c r="AX336" s="49">
        <f ca="1">KLL_II_2020!CA_ent_rev_oil*KLL_II_2020!CA_IOC_WI</f>
        <v>0</v>
      </c>
      <c r="AY336" s="49">
        <f ca="1">KLL_II_2020!CA_ent_rev_oil*KLL_II_2020!CA_IOC_WI</f>
        <v>0</v>
      </c>
      <c r="AZ336" s="49">
        <f ca="1">KLL_II_2020!CA_ent_rev_oil*KLL_II_2020!CA_IOC_WI</f>
        <v>0</v>
      </c>
      <c r="BA336" s="49">
        <f ca="1">KLL_II_2020!CA_ent_rev_oil*KLL_II_2020!CA_IOC_WI</f>
        <v>0</v>
      </c>
      <c r="BB336" s="49">
        <f ca="1">KLL_II_2020!CA_ent_rev_oil*KLL_II_2020!CA_IOC_WI</f>
        <v>0</v>
      </c>
      <c r="BC336" s="49">
        <f ca="1">KLL_II_2020!CA_ent_rev_oil*KLL_II_2020!CA_IOC_WI</f>
        <v>0</v>
      </c>
      <c r="BD336" s="49">
        <f ca="1">KLL_II_2020!CA_ent_rev_oil*KLL_II_2020!CA_IOC_WI</f>
        <v>0</v>
      </c>
      <c r="BE336" s="49">
        <f ca="1">KLL_II_2020!CA_ent_rev_oil*KLL_II_2020!CA_IOC_WI</f>
        <v>0</v>
      </c>
      <c r="BF336" s="49">
        <f ca="1">KLL_II_2020!CA_ent_rev_oil*KLL_II_2020!CA_IOC_WI</f>
        <v>0</v>
      </c>
      <c r="BG336" s="49">
        <f ca="1">KLL_II_2020!CA_ent_rev_oil*KLL_II_2020!CA_IOC_WI</f>
        <v>0</v>
      </c>
      <c r="BH336" s="49">
        <f ca="1">KLL_II_2020!CA_ent_rev_oil*KLL_II_2020!CA_IOC_WI</f>
        <v>0</v>
      </c>
      <c r="BI336" s="49">
        <f ca="1">KLL_II_2020!CA_ent_rev_oil*KLL_II_2020!CA_IOC_WI</f>
        <v>0</v>
      </c>
      <c r="BJ336" s="49">
        <f ca="1">KLL_II_2020!CA_ent_rev_oil*KLL_II_2020!CA_IOC_WI</f>
        <v>0</v>
      </c>
      <c r="BK336" s="49">
        <f ca="1">KLL_II_2020!CA_ent_rev_oil*KLL_II_2020!CA_IOC_WI</f>
        <v>0</v>
      </c>
      <c r="BL336" s="49">
        <f ca="1">KLL_II_2020!CA_ent_rev_oil*KLL_II_2020!CA_IOC_WI</f>
        <v>0</v>
      </c>
      <c r="BM336" s="49">
        <f ca="1">KLL_II_2020!CA_ent_rev_oil*KLL_II_2020!CA_IOC_WI</f>
        <v>0</v>
      </c>
      <c r="BN336" s="49">
        <f ca="1">KLL_II_2020!CA_ent_rev_oil*KLL_II_2020!CA_IOC_WI</f>
        <v>0</v>
      </c>
      <c r="BO336" s="49">
        <f ca="1">KLL_II_2020!CA_ent_rev_oil*KLL_II_2020!CA_IOC_WI</f>
        <v>0</v>
      </c>
      <c r="BP336" s="49">
        <f ca="1">KLL_II_2020!CA_ent_rev_oil*KLL_II_2020!CA_IOC_WI</f>
        <v>0</v>
      </c>
      <c r="BQ336" s="49">
        <f ca="1">KLL_II_2020!CA_ent_rev_oil*KLL_II_2020!CA_IOC_WI</f>
        <v>0</v>
      </c>
      <c r="BR336" s="49">
        <f ca="1">KLL_II_2020!CA_ent_rev_oil*KLL_II_2020!CA_IOC_WI</f>
        <v>0</v>
      </c>
      <c r="BS336" s="49">
        <f ca="1">KLL_II_2020!CA_ent_rev_oil*KLL_II_2020!CA_IOC_WI</f>
        <v>0</v>
      </c>
    </row>
    <row r="337" spans="3:71" outlineLevel="1" x14ac:dyDescent="0.2">
      <c r="D337" t="str">
        <f>HM_ZB_Nsoko!D350</f>
        <v>Participation compagnie nationale/État</v>
      </c>
      <c r="I337" s="30">
        <f t="shared" ca="1" si="92"/>
        <v>509.53700194744215</v>
      </c>
      <c r="J337" s="26" t="s">
        <v>148</v>
      </c>
      <c r="L337" s="49">
        <f ca="1">KLL_II_2020!CA_ent_rev_oil*KLL_II_2020!CA_NOC_WI</f>
        <v>43.970823274062312</v>
      </c>
      <c r="M337" s="49">
        <f ca="1">KLL_II_2020!CA_ent_rev_oil*KLL_II_2020!CA_NOC_WI</f>
        <v>52.804502107469105</v>
      </c>
      <c r="N337" s="49">
        <f ca="1">KLL_II_2020!CA_ent_rev_oil*KLL_II_2020!CA_NOC_WI</f>
        <v>36.488998434890824</v>
      </c>
      <c r="O337" s="49">
        <f ca="1">KLL_II_2020!CA_ent_rev_oil*KLL_II_2020!CA_NOC_WI</f>
        <v>34.973784780404124</v>
      </c>
      <c r="P337" s="49">
        <f ca="1">KLL_II_2020!CA_ent_rev_oil*KLL_II_2020!CA_NOC_WI</f>
        <v>36.109820773117605</v>
      </c>
      <c r="Q337" s="49">
        <f ca="1">KLL_II_2020!CA_ent_rev_oil*KLL_II_2020!CA_NOC_WI</f>
        <v>44.471076590923509</v>
      </c>
      <c r="R337" s="49">
        <f ca="1">KLL_II_2020!CA_ent_rev_oil*KLL_II_2020!CA_NOC_WI</f>
        <v>45.056542148796026</v>
      </c>
      <c r="S337" s="49">
        <f ca="1">KLL_II_2020!CA_ent_rev_oil*KLL_II_2020!CA_NOC_WI</f>
        <v>30.362586345</v>
      </c>
      <c r="T337" s="49">
        <f ca="1">KLL_II_2020!CA_ent_rev_oil*KLL_II_2020!CA_NOC_WI</f>
        <v>40.259964924829433</v>
      </c>
      <c r="U337" s="49">
        <f ca="1">KLL_II_2020!CA_ent_rev_oil*KLL_II_2020!CA_NOC_WI</f>
        <v>39.178186702129437</v>
      </c>
      <c r="V337" s="49">
        <f ca="1">KLL_II_2020!CA_ent_rev_oil*KLL_II_2020!CA_NOC_WI</f>
        <v>37.164427905639975</v>
      </c>
      <c r="W337" s="49">
        <f ca="1">KLL_II_2020!CA_ent_rev_oil*KLL_II_2020!CA_NOC_WI</f>
        <v>35.254176311290074</v>
      </c>
      <c r="X337" s="49">
        <f ca="1">KLL_II_2020!CA_ent_rev_oil*KLL_II_2020!CA_NOC_WI</f>
        <v>33.442111648889771</v>
      </c>
      <c r="Y337" s="49">
        <f ca="1">KLL_II_2020!CA_ent_rev_oil*KLL_II_2020!CA_NOC_WI</f>
        <v>0</v>
      </c>
      <c r="Z337" s="49">
        <f ca="1">KLL_II_2020!CA_ent_rev_oil*KLL_II_2020!CA_NOC_WI</f>
        <v>0</v>
      </c>
      <c r="AA337" s="49">
        <f ca="1">KLL_II_2020!CA_ent_rev_oil*KLL_II_2020!CA_NOC_WI</f>
        <v>0</v>
      </c>
      <c r="AB337" s="49">
        <f ca="1">KLL_II_2020!CA_ent_rev_oil*KLL_II_2020!CA_NOC_WI</f>
        <v>0</v>
      </c>
      <c r="AC337" s="49">
        <f ca="1">KLL_II_2020!CA_ent_rev_oil*KLL_II_2020!CA_NOC_WI</f>
        <v>0</v>
      </c>
      <c r="AD337" s="49">
        <f ca="1">KLL_II_2020!CA_ent_rev_oil*KLL_II_2020!CA_NOC_WI</f>
        <v>0</v>
      </c>
      <c r="AE337" s="49">
        <f ca="1">KLL_II_2020!CA_ent_rev_oil*KLL_II_2020!CA_NOC_WI</f>
        <v>0</v>
      </c>
      <c r="AF337" s="49">
        <f ca="1">KLL_II_2020!CA_ent_rev_oil*KLL_II_2020!CA_NOC_WI</f>
        <v>0</v>
      </c>
      <c r="AG337" s="49">
        <f ca="1">KLL_II_2020!CA_ent_rev_oil*KLL_II_2020!CA_NOC_WI</f>
        <v>0</v>
      </c>
      <c r="AH337" s="49">
        <f ca="1">KLL_II_2020!CA_ent_rev_oil*KLL_II_2020!CA_NOC_WI</f>
        <v>0</v>
      </c>
      <c r="AI337" s="49">
        <f ca="1">KLL_II_2020!CA_ent_rev_oil*KLL_II_2020!CA_NOC_WI</f>
        <v>0</v>
      </c>
      <c r="AJ337" s="49">
        <f ca="1">KLL_II_2020!CA_ent_rev_oil*KLL_II_2020!CA_NOC_WI</f>
        <v>0</v>
      </c>
      <c r="AK337" s="49">
        <f ca="1">KLL_II_2020!CA_ent_rev_oil*KLL_II_2020!CA_NOC_WI</f>
        <v>0</v>
      </c>
      <c r="AL337" s="49">
        <f ca="1">KLL_II_2020!CA_ent_rev_oil*KLL_II_2020!CA_NOC_WI</f>
        <v>0</v>
      </c>
      <c r="AM337" s="49">
        <f ca="1">KLL_II_2020!CA_ent_rev_oil*KLL_II_2020!CA_NOC_WI</f>
        <v>0</v>
      </c>
      <c r="AN337" s="49">
        <f ca="1">KLL_II_2020!CA_ent_rev_oil*KLL_II_2020!CA_NOC_WI</f>
        <v>0</v>
      </c>
      <c r="AO337" s="49">
        <f ca="1">KLL_II_2020!CA_ent_rev_oil*KLL_II_2020!CA_NOC_WI</f>
        <v>0</v>
      </c>
      <c r="AP337" s="49">
        <f ca="1">KLL_II_2020!CA_ent_rev_oil*KLL_II_2020!CA_NOC_WI</f>
        <v>0</v>
      </c>
      <c r="AQ337" s="49">
        <f ca="1">KLL_II_2020!CA_ent_rev_oil*KLL_II_2020!CA_NOC_WI</f>
        <v>0</v>
      </c>
      <c r="AR337" s="49">
        <f ca="1">KLL_II_2020!CA_ent_rev_oil*KLL_II_2020!CA_NOC_WI</f>
        <v>0</v>
      </c>
      <c r="AS337" s="49">
        <f ca="1">KLL_II_2020!CA_ent_rev_oil*KLL_II_2020!CA_NOC_WI</f>
        <v>0</v>
      </c>
      <c r="AT337" s="49">
        <f ca="1">KLL_II_2020!CA_ent_rev_oil*KLL_II_2020!CA_NOC_WI</f>
        <v>0</v>
      </c>
      <c r="AU337" s="49">
        <f ca="1">KLL_II_2020!CA_ent_rev_oil*KLL_II_2020!CA_NOC_WI</f>
        <v>0</v>
      </c>
      <c r="AV337" s="49">
        <f ca="1">KLL_II_2020!CA_ent_rev_oil*KLL_II_2020!CA_NOC_WI</f>
        <v>0</v>
      </c>
      <c r="AW337" s="49">
        <f ca="1">KLL_II_2020!CA_ent_rev_oil*KLL_II_2020!CA_NOC_WI</f>
        <v>0</v>
      </c>
      <c r="AX337" s="49">
        <f ca="1">KLL_II_2020!CA_ent_rev_oil*KLL_II_2020!CA_NOC_WI</f>
        <v>0</v>
      </c>
      <c r="AY337" s="49">
        <f ca="1">KLL_II_2020!CA_ent_rev_oil*KLL_II_2020!CA_NOC_WI</f>
        <v>0</v>
      </c>
      <c r="AZ337" s="49">
        <f ca="1">KLL_II_2020!CA_ent_rev_oil*KLL_II_2020!CA_NOC_WI</f>
        <v>0</v>
      </c>
      <c r="BA337" s="49">
        <f ca="1">KLL_II_2020!CA_ent_rev_oil*KLL_II_2020!CA_NOC_WI</f>
        <v>0</v>
      </c>
      <c r="BB337" s="49">
        <f ca="1">KLL_II_2020!CA_ent_rev_oil*KLL_II_2020!CA_NOC_WI</f>
        <v>0</v>
      </c>
      <c r="BC337" s="49">
        <f ca="1">KLL_II_2020!CA_ent_rev_oil*KLL_II_2020!CA_NOC_WI</f>
        <v>0</v>
      </c>
      <c r="BD337" s="49">
        <f ca="1">KLL_II_2020!CA_ent_rev_oil*KLL_II_2020!CA_NOC_WI</f>
        <v>0</v>
      </c>
      <c r="BE337" s="49">
        <f ca="1">KLL_II_2020!CA_ent_rev_oil*KLL_II_2020!CA_NOC_WI</f>
        <v>0</v>
      </c>
      <c r="BF337" s="49">
        <f ca="1">KLL_II_2020!CA_ent_rev_oil*KLL_II_2020!CA_NOC_WI</f>
        <v>0</v>
      </c>
      <c r="BG337" s="49">
        <f ca="1">KLL_II_2020!CA_ent_rev_oil*KLL_II_2020!CA_NOC_WI</f>
        <v>0</v>
      </c>
      <c r="BH337" s="49">
        <f ca="1">KLL_II_2020!CA_ent_rev_oil*KLL_II_2020!CA_NOC_WI</f>
        <v>0</v>
      </c>
      <c r="BI337" s="49">
        <f ca="1">KLL_II_2020!CA_ent_rev_oil*KLL_II_2020!CA_NOC_WI</f>
        <v>0</v>
      </c>
      <c r="BJ337" s="49">
        <f ca="1">KLL_II_2020!CA_ent_rev_oil*KLL_II_2020!CA_NOC_WI</f>
        <v>0</v>
      </c>
      <c r="BK337" s="49">
        <f ca="1">KLL_II_2020!CA_ent_rev_oil*KLL_II_2020!CA_NOC_WI</f>
        <v>0</v>
      </c>
      <c r="BL337" s="49">
        <f ca="1">KLL_II_2020!CA_ent_rev_oil*KLL_II_2020!CA_NOC_WI</f>
        <v>0</v>
      </c>
      <c r="BM337" s="49">
        <f ca="1">KLL_II_2020!CA_ent_rev_oil*KLL_II_2020!CA_NOC_WI</f>
        <v>0</v>
      </c>
      <c r="BN337" s="49">
        <f ca="1">KLL_II_2020!CA_ent_rev_oil*KLL_II_2020!CA_NOC_WI</f>
        <v>0</v>
      </c>
      <c r="BO337" s="49">
        <f ca="1">KLL_II_2020!CA_ent_rev_oil*KLL_II_2020!CA_NOC_WI</f>
        <v>0</v>
      </c>
      <c r="BP337" s="49">
        <f ca="1">KLL_II_2020!CA_ent_rev_oil*KLL_II_2020!CA_NOC_WI</f>
        <v>0</v>
      </c>
      <c r="BQ337" s="49">
        <f ca="1">KLL_II_2020!CA_ent_rev_oil*KLL_II_2020!CA_NOC_WI</f>
        <v>0</v>
      </c>
      <c r="BR337" s="49">
        <f ca="1">KLL_II_2020!CA_ent_rev_oil*KLL_II_2020!CA_NOC_WI</f>
        <v>0</v>
      </c>
      <c r="BS337" s="49">
        <f ca="1">KLL_II_2020!CA_ent_rev_oil*KLL_II_2020!CA_NOC_WI</f>
        <v>0</v>
      </c>
    </row>
    <row r="338" spans="3:71" outlineLevel="1" x14ac:dyDescent="0.2">
      <c r="D338" s="11" t="str">
        <f>HM_ZB_Nsoko!D351</f>
        <v>Total</v>
      </c>
      <c r="I338" s="30">
        <f t="shared" ca="1" si="92"/>
        <v>2547.6850097372112</v>
      </c>
      <c r="J338" s="26" t="s">
        <v>148</v>
      </c>
      <c r="L338" s="49">
        <f ca="1">SUM(L336:L337)</f>
        <v>219.85411637031154</v>
      </c>
      <c r="M338" s="49">
        <f t="shared" ref="M338:BS338" ca="1" si="93">SUM(M336:M337)</f>
        <v>264.02251053734551</v>
      </c>
      <c r="N338" s="49">
        <f t="shared" ca="1" si="93"/>
        <v>182.44499217445411</v>
      </c>
      <c r="O338" s="49">
        <f t="shared" ca="1" si="93"/>
        <v>174.86892390202061</v>
      </c>
      <c r="P338" s="49">
        <f t="shared" ca="1" si="93"/>
        <v>180.54910386558802</v>
      </c>
      <c r="Q338" s="49">
        <f t="shared" ca="1" si="93"/>
        <v>222.35538295461754</v>
      </c>
      <c r="R338" s="49">
        <f t="shared" ca="1" si="93"/>
        <v>225.28271074398015</v>
      </c>
      <c r="S338" s="49">
        <f t="shared" ca="1" si="93"/>
        <v>151.812931725</v>
      </c>
      <c r="T338" s="49">
        <f t="shared" ca="1" si="93"/>
        <v>201.29982462414716</v>
      </c>
      <c r="U338" s="49">
        <f t="shared" ca="1" si="93"/>
        <v>195.89093351064719</v>
      </c>
      <c r="V338" s="49">
        <f t="shared" ca="1" si="93"/>
        <v>185.82213952819987</v>
      </c>
      <c r="W338" s="49">
        <f t="shared" ca="1" si="93"/>
        <v>176.27088155645038</v>
      </c>
      <c r="X338" s="49">
        <f t="shared" ca="1" si="93"/>
        <v>167.21055824444886</v>
      </c>
      <c r="Y338" s="49">
        <f t="shared" ca="1" si="93"/>
        <v>0</v>
      </c>
      <c r="Z338" s="49">
        <f t="shared" ca="1" si="93"/>
        <v>0</v>
      </c>
      <c r="AA338" s="49">
        <f t="shared" ca="1" si="93"/>
        <v>0</v>
      </c>
      <c r="AB338" s="49">
        <f t="shared" ca="1" si="93"/>
        <v>0</v>
      </c>
      <c r="AC338" s="49">
        <f t="shared" ca="1" si="93"/>
        <v>0</v>
      </c>
      <c r="AD338" s="49">
        <f t="shared" ca="1" si="93"/>
        <v>0</v>
      </c>
      <c r="AE338" s="49">
        <f t="shared" ca="1" si="93"/>
        <v>0</v>
      </c>
      <c r="AF338" s="49">
        <f t="shared" ca="1" si="93"/>
        <v>0</v>
      </c>
      <c r="AG338" s="49">
        <f t="shared" ca="1" si="93"/>
        <v>0</v>
      </c>
      <c r="AH338" s="49">
        <f t="shared" ca="1" si="93"/>
        <v>0</v>
      </c>
      <c r="AI338" s="49">
        <f t="shared" ca="1" si="93"/>
        <v>0</v>
      </c>
      <c r="AJ338" s="49">
        <f t="shared" ca="1" si="93"/>
        <v>0</v>
      </c>
      <c r="AK338" s="49">
        <f t="shared" ca="1" si="93"/>
        <v>0</v>
      </c>
      <c r="AL338" s="49">
        <f t="shared" ca="1" si="93"/>
        <v>0</v>
      </c>
      <c r="AM338" s="49">
        <f t="shared" ca="1" si="93"/>
        <v>0</v>
      </c>
      <c r="AN338" s="49">
        <f t="shared" ca="1" si="93"/>
        <v>0</v>
      </c>
      <c r="AO338" s="49">
        <f t="shared" ca="1" si="93"/>
        <v>0</v>
      </c>
      <c r="AP338" s="49">
        <f t="shared" ca="1" si="93"/>
        <v>0</v>
      </c>
      <c r="AQ338" s="49">
        <f t="shared" ca="1" si="93"/>
        <v>0</v>
      </c>
      <c r="AR338" s="49">
        <f t="shared" ca="1" si="93"/>
        <v>0</v>
      </c>
      <c r="AS338" s="49">
        <f t="shared" ca="1" si="93"/>
        <v>0</v>
      </c>
      <c r="AT338" s="49">
        <f t="shared" ca="1" si="93"/>
        <v>0</v>
      </c>
      <c r="AU338" s="49">
        <f t="shared" ca="1" si="93"/>
        <v>0</v>
      </c>
      <c r="AV338" s="49">
        <f t="shared" ca="1" si="93"/>
        <v>0</v>
      </c>
      <c r="AW338" s="49">
        <f t="shared" ca="1" si="93"/>
        <v>0</v>
      </c>
      <c r="AX338" s="49">
        <f t="shared" ca="1" si="93"/>
        <v>0</v>
      </c>
      <c r="AY338" s="49">
        <f t="shared" ca="1" si="93"/>
        <v>0</v>
      </c>
      <c r="AZ338" s="49">
        <f t="shared" ca="1" si="93"/>
        <v>0</v>
      </c>
      <c r="BA338" s="49">
        <f t="shared" ca="1" si="93"/>
        <v>0</v>
      </c>
      <c r="BB338" s="49">
        <f t="shared" ca="1" si="93"/>
        <v>0</v>
      </c>
      <c r="BC338" s="49">
        <f t="shared" ca="1" si="93"/>
        <v>0</v>
      </c>
      <c r="BD338" s="49">
        <f t="shared" ca="1" si="93"/>
        <v>0</v>
      </c>
      <c r="BE338" s="49">
        <f t="shared" ca="1" si="93"/>
        <v>0</v>
      </c>
      <c r="BF338" s="49">
        <f t="shared" ca="1" si="93"/>
        <v>0</v>
      </c>
      <c r="BG338" s="49">
        <f t="shared" ca="1" si="93"/>
        <v>0</v>
      </c>
      <c r="BH338" s="49">
        <f t="shared" ca="1" si="93"/>
        <v>0</v>
      </c>
      <c r="BI338" s="49">
        <f t="shared" ca="1" si="93"/>
        <v>0</v>
      </c>
      <c r="BJ338" s="49">
        <f t="shared" ca="1" si="93"/>
        <v>0</v>
      </c>
      <c r="BK338" s="49">
        <f t="shared" ca="1" si="93"/>
        <v>0</v>
      </c>
      <c r="BL338" s="49">
        <f t="shared" ca="1" si="93"/>
        <v>0</v>
      </c>
      <c r="BM338" s="49">
        <f t="shared" ca="1" si="93"/>
        <v>0</v>
      </c>
      <c r="BN338" s="49">
        <f t="shared" ca="1" si="93"/>
        <v>0</v>
      </c>
      <c r="BO338" s="49">
        <f t="shared" ca="1" si="93"/>
        <v>0</v>
      </c>
      <c r="BP338" s="49">
        <f t="shared" ca="1" si="93"/>
        <v>0</v>
      </c>
      <c r="BQ338" s="49">
        <f t="shared" ca="1" si="93"/>
        <v>0</v>
      </c>
      <c r="BR338" s="49">
        <f t="shared" ca="1" si="93"/>
        <v>0</v>
      </c>
      <c r="BS338" s="49">
        <f t="shared" ca="1" si="93"/>
        <v>0</v>
      </c>
    </row>
    <row r="339" spans="3:71" outlineLevel="1" x14ac:dyDescent="0.2">
      <c r="J339" s="26"/>
      <c r="L339" s="55"/>
      <c r="M339" s="55"/>
      <c r="N339" s="55"/>
      <c r="O339" s="55"/>
      <c r="P339" s="55"/>
      <c r="Q339" s="55"/>
      <c r="R339" s="55"/>
      <c r="S339" s="55"/>
      <c r="T339" s="55"/>
      <c r="U339" s="55"/>
      <c r="V339" s="55"/>
      <c r="W339" s="55"/>
      <c r="X339" s="55"/>
      <c r="Y339" s="55"/>
      <c r="Z339" s="55"/>
      <c r="AA339" s="55"/>
      <c r="AB339" s="55"/>
      <c r="AC339" s="55"/>
      <c r="AD339" s="55"/>
      <c r="AE339" s="55"/>
      <c r="AF339" s="55"/>
      <c r="AG339" s="55"/>
      <c r="AH339" s="55"/>
      <c r="AI339" s="55"/>
      <c r="AJ339" s="55"/>
      <c r="AK339" s="55"/>
      <c r="AL339" s="55"/>
      <c r="AM339" s="55"/>
      <c r="AN339" s="55"/>
      <c r="AO339" s="55"/>
      <c r="AP339" s="55"/>
      <c r="AQ339" s="55"/>
      <c r="AR339" s="55"/>
      <c r="AS339" s="55"/>
      <c r="AT339" s="55"/>
      <c r="AU339" s="55"/>
      <c r="AV339" s="55"/>
      <c r="AW339" s="55"/>
      <c r="AX339" s="55"/>
      <c r="AY339" s="55"/>
      <c r="AZ339" s="55"/>
      <c r="BA339" s="55"/>
      <c r="BB339" s="55"/>
      <c r="BC339" s="55"/>
      <c r="BD339" s="55"/>
      <c r="BE339" s="55"/>
      <c r="BF339" s="55"/>
      <c r="BG339" s="55"/>
      <c r="BH339" s="55"/>
      <c r="BI339" s="55"/>
      <c r="BJ339" s="55"/>
      <c r="BK339" s="55"/>
      <c r="BL339" s="55"/>
      <c r="BM339" s="55"/>
      <c r="BN339" s="55"/>
      <c r="BO339" s="55"/>
      <c r="BP339" s="55"/>
      <c r="BQ339" s="55"/>
      <c r="BR339" s="55"/>
      <c r="BS339" s="55"/>
    </row>
    <row r="340" spans="3:71" outlineLevel="1" x14ac:dyDescent="0.2">
      <c r="C340" s="11" t="str">
        <f>HM_ZB_Nsoko!C353</f>
        <v>Revenus des droits selon participation -gaz</v>
      </c>
      <c r="J340" s="26"/>
      <c r="L340" s="55"/>
      <c r="M340" s="55"/>
      <c r="N340" s="55"/>
      <c r="O340" s="55"/>
      <c r="P340" s="55"/>
      <c r="Q340" s="55"/>
      <c r="R340" s="55"/>
      <c r="S340" s="55"/>
      <c r="T340" s="55"/>
      <c r="U340" s="55"/>
      <c r="V340" s="55"/>
      <c r="W340" s="55"/>
      <c r="X340" s="55"/>
      <c r="Y340" s="55"/>
      <c r="Z340" s="55"/>
      <c r="AA340" s="55"/>
      <c r="AB340" s="55"/>
      <c r="AC340" s="55"/>
      <c r="AD340" s="55"/>
      <c r="AE340" s="55"/>
      <c r="AF340" s="55"/>
      <c r="AG340" s="55"/>
      <c r="AH340" s="55"/>
      <c r="AI340" s="55"/>
      <c r="AJ340" s="55"/>
      <c r="AK340" s="55"/>
      <c r="AL340" s="55"/>
      <c r="AM340" s="55"/>
      <c r="AN340" s="55"/>
      <c r="AO340" s="55"/>
      <c r="AP340" s="55"/>
      <c r="AQ340" s="55"/>
      <c r="AR340" s="55"/>
      <c r="AS340" s="55"/>
      <c r="AT340" s="55"/>
      <c r="AU340" s="55"/>
      <c r="AV340" s="55"/>
      <c r="AW340" s="55"/>
      <c r="AX340" s="55"/>
      <c r="AY340" s="55"/>
      <c r="AZ340" s="55"/>
      <c r="BA340" s="55"/>
      <c r="BB340" s="55"/>
      <c r="BC340" s="55"/>
      <c r="BD340" s="55"/>
      <c r="BE340" s="55"/>
      <c r="BF340" s="55"/>
      <c r="BG340" s="55"/>
      <c r="BH340" s="55"/>
      <c r="BI340" s="55"/>
      <c r="BJ340" s="55"/>
      <c r="BK340" s="55"/>
      <c r="BL340" s="55"/>
      <c r="BM340" s="55"/>
      <c r="BN340" s="55"/>
      <c r="BO340" s="55"/>
      <c r="BP340" s="55"/>
      <c r="BQ340" s="55"/>
      <c r="BR340" s="55"/>
      <c r="BS340" s="55"/>
    </row>
    <row r="341" spans="3:71" outlineLevel="1" x14ac:dyDescent="0.2">
      <c r="D341" t="str">
        <f>HM_ZB_Nsoko!D354</f>
        <v>Consortium compagnie pétrolières internationales</v>
      </c>
      <c r="I341" s="30">
        <f t="shared" ref="I341:I343" ca="1" si="94">SUM($L341:$BS341)</f>
        <v>0</v>
      </c>
      <c r="J341" s="26" t="s">
        <v>148</v>
      </c>
      <c r="L341" s="49">
        <f ca="1">KLL_II_2020!CA_ent_rev_gas*KLL_II_2020!CA_IOC_WI</f>
        <v>0</v>
      </c>
      <c r="M341" s="49">
        <f ca="1">KLL_II_2020!CA_ent_rev_gas*KLL_II_2020!CA_IOC_WI</f>
        <v>0</v>
      </c>
      <c r="N341" s="49">
        <f ca="1">KLL_II_2020!CA_ent_rev_gas*KLL_II_2020!CA_IOC_WI</f>
        <v>0</v>
      </c>
      <c r="O341" s="49">
        <f ca="1">KLL_II_2020!CA_ent_rev_gas*KLL_II_2020!CA_IOC_WI</f>
        <v>0</v>
      </c>
      <c r="P341" s="49">
        <f ca="1">KLL_II_2020!CA_ent_rev_gas*KLL_II_2020!CA_IOC_WI</f>
        <v>0</v>
      </c>
      <c r="Q341" s="49">
        <f ca="1">KLL_II_2020!CA_ent_rev_gas*KLL_II_2020!CA_IOC_WI</f>
        <v>0</v>
      </c>
      <c r="R341" s="49">
        <f ca="1">KLL_II_2020!CA_ent_rev_gas*KLL_II_2020!CA_IOC_WI</f>
        <v>0</v>
      </c>
      <c r="S341" s="49">
        <f ca="1">KLL_II_2020!CA_ent_rev_gas*KLL_II_2020!CA_IOC_WI</f>
        <v>0</v>
      </c>
      <c r="T341" s="49">
        <f ca="1">KLL_II_2020!CA_ent_rev_gas*KLL_II_2020!CA_IOC_WI</f>
        <v>0</v>
      </c>
      <c r="U341" s="49">
        <f ca="1">KLL_II_2020!CA_ent_rev_gas*KLL_II_2020!CA_IOC_WI</f>
        <v>0</v>
      </c>
      <c r="V341" s="49">
        <f ca="1">KLL_II_2020!CA_ent_rev_gas*KLL_II_2020!CA_IOC_WI</f>
        <v>0</v>
      </c>
      <c r="W341" s="49">
        <f ca="1">KLL_II_2020!CA_ent_rev_gas*KLL_II_2020!CA_IOC_WI</f>
        <v>0</v>
      </c>
      <c r="X341" s="49">
        <f ca="1">KLL_II_2020!CA_ent_rev_gas*KLL_II_2020!CA_IOC_WI</f>
        <v>0</v>
      </c>
      <c r="Y341" s="49">
        <f ca="1">KLL_II_2020!CA_ent_rev_gas*KLL_II_2020!CA_IOC_WI</f>
        <v>0</v>
      </c>
      <c r="Z341" s="49">
        <f ca="1">KLL_II_2020!CA_ent_rev_gas*KLL_II_2020!CA_IOC_WI</f>
        <v>0</v>
      </c>
      <c r="AA341" s="49">
        <f ca="1">KLL_II_2020!CA_ent_rev_gas*KLL_II_2020!CA_IOC_WI</f>
        <v>0</v>
      </c>
      <c r="AB341" s="49">
        <f ca="1">KLL_II_2020!CA_ent_rev_gas*KLL_II_2020!CA_IOC_WI</f>
        <v>0</v>
      </c>
      <c r="AC341" s="49">
        <f ca="1">KLL_II_2020!CA_ent_rev_gas*KLL_II_2020!CA_IOC_WI</f>
        <v>0</v>
      </c>
      <c r="AD341" s="49">
        <f ca="1">KLL_II_2020!CA_ent_rev_gas*KLL_II_2020!CA_IOC_WI</f>
        <v>0</v>
      </c>
      <c r="AE341" s="49">
        <f ca="1">KLL_II_2020!CA_ent_rev_gas*KLL_II_2020!CA_IOC_WI</f>
        <v>0</v>
      </c>
      <c r="AF341" s="49">
        <f ca="1">KLL_II_2020!CA_ent_rev_gas*KLL_II_2020!CA_IOC_WI</f>
        <v>0</v>
      </c>
      <c r="AG341" s="49">
        <f ca="1">KLL_II_2020!CA_ent_rev_gas*KLL_II_2020!CA_IOC_WI</f>
        <v>0</v>
      </c>
      <c r="AH341" s="49">
        <f ca="1">KLL_II_2020!CA_ent_rev_gas*KLL_II_2020!CA_IOC_WI</f>
        <v>0</v>
      </c>
      <c r="AI341" s="49">
        <f ca="1">KLL_II_2020!CA_ent_rev_gas*KLL_II_2020!CA_IOC_WI</f>
        <v>0</v>
      </c>
      <c r="AJ341" s="49">
        <f ca="1">KLL_II_2020!CA_ent_rev_gas*KLL_II_2020!CA_IOC_WI</f>
        <v>0</v>
      </c>
      <c r="AK341" s="49">
        <f ca="1">KLL_II_2020!CA_ent_rev_gas*KLL_II_2020!CA_IOC_WI</f>
        <v>0</v>
      </c>
      <c r="AL341" s="49">
        <f ca="1">KLL_II_2020!CA_ent_rev_gas*KLL_II_2020!CA_IOC_WI</f>
        <v>0</v>
      </c>
      <c r="AM341" s="49">
        <f ca="1">KLL_II_2020!CA_ent_rev_gas*KLL_II_2020!CA_IOC_WI</f>
        <v>0</v>
      </c>
      <c r="AN341" s="49">
        <f ca="1">KLL_II_2020!CA_ent_rev_gas*KLL_II_2020!CA_IOC_WI</f>
        <v>0</v>
      </c>
      <c r="AO341" s="49">
        <f ca="1">KLL_II_2020!CA_ent_rev_gas*KLL_II_2020!CA_IOC_WI</f>
        <v>0</v>
      </c>
      <c r="AP341" s="49">
        <f ca="1">KLL_II_2020!CA_ent_rev_gas*KLL_II_2020!CA_IOC_WI</f>
        <v>0</v>
      </c>
      <c r="AQ341" s="49">
        <f ca="1">KLL_II_2020!CA_ent_rev_gas*KLL_II_2020!CA_IOC_WI</f>
        <v>0</v>
      </c>
      <c r="AR341" s="49">
        <f ca="1">KLL_II_2020!CA_ent_rev_gas*KLL_II_2020!CA_IOC_WI</f>
        <v>0</v>
      </c>
      <c r="AS341" s="49">
        <f ca="1">KLL_II_2020!CA_ent_rev_gas*KLL_II_2020!CA_IOC_WI</f>
        <v>0</v>
      </c>
      <c r="AT341" s="49">
        <f ca="1">KLL_II_2020!CA_ent_rev_gas*KLL_II_2020!CA_IOC_WI</f>
        <v>0</v>
      </c>
      <c r="AU341" s="49">
        <f ca="1">KLL_II_2020!CA_ent_rev_gas*KLL_II_2020!CA_IOC_WI</f>
        <v>0</v>
      </c>
      <c r="AV341" s="49">
        <f ca="1">KLL_II_2020!CA_ent_rev_gas*KLL_II_2020!CA_IOC_WI</f>
        <v>0</v>
      </c>
      <c r="AW341" s="49">
        <f ca="1">KLL_II_2020!CA_ent_rev_gas*KLL_II_2020!CA_IOC_WI</f>
        <v>0</v>
      </c>
      <c r="AX341" s="49">
        <f ca="1">KLL_II_2020!CA_ent_rev_gas*KLL_II_2020!CA_IOC_WI</f>
        <v>0</v>
      </c>
      <c r="AY341" s="49">
        <f ca="1">KLL_II_2020!CA_ent_rev_gas*KLL_II_2020!CA_IOC_WI</f>
        <v>0</v>
      </c>
      <c r="AZ341" s="49">
        <f ca="1">KLL_II_2020!CA_ent_rev_gas*KLL_II_2020!CA_IOC_WI</f>
        <v>0</v>
      </c>
      <c r="BA341" s="49">
        <f ca="1">KLL_II_2020!CA_ent_rev_gas*KLL_II_2020!CA_IOC_WI</f>
        <v>0</v>
      </c>
      <c r="BB341" s="49">
        <f ca="1">KLL_II_2020!CA_ent_rev_gas*KLL_II_2020!CA_IOC_WI</f>
        <v>0</v>
      </c>
      <c r="BC341" s="49">
        <f ca="1">KLL_II_2020!CA_ent_rev_gas*KLL_II_2020!CA_IOC_WI</f>
        <v>0</v>
      </c>
      <c r="BD341" s="49">
        <f ca="1">KLL_II_2020!CA_ent_rev_gas*KLL_II_2020!CA_IOC_WI</f>
        <v>0</v>
      </c>
      <c r="BE341" s="49">
        <f ca="1">KLL_II_2020!CA_ent_rev_gas*KLL_II_2020!CA_IOC_WI</f>
        <v>0</v>
      </c>
      <c r="BF341" s="49">
        <f ca="1">KLL_II_2020!CA_ent_rev_gas*KLL_II_2020!CA_IOC_WI</f>
        <v>0</v>
      </c>
      <c r="BG341" s="49">
        <f ca="1">KLL_II_2020!CA_ent_rev_gas*KLL_II_2020!CA_IOC_WI</f>
        <v>0</v>
      </c>
      <c r="BH341" s="49">
        <f ca="1">KLL_II_2020!CA_ent_rev_gas*KLL_II_2020!CA_IOC_WI</f>
        <v>0</v>
      </c>
      <c r="BI341" s="49">
        <f ca="1">KLL_II_2020!CA_ent_rev_gas*KLL_II_2020!CA_IOC_WI</f>
        <v>0</v>
      </c>
      <c r="BJ341" s="49">
        <f ca="1">KLL_II_2020!CA_ent_rev_gas*KLL_II_2020!CA_IOC_WI</f>
        <v>0</v>
      </c>
      <c r="BK341" s="49">
        <f ca="1">KLL_II_2020!CA_ent_rev_gas*KLL_II_2020!CA_IOC_WI</f>
        <v>0</v>
      </c>
      <c r="BL341" s="49">
        <f ca="1">KLL_II_2020!CA_ent_rev_gas*KLL_II_2020!CA_IOC_WI</f>
        <v>0</v>
      </c>
      <c r="BM341" s="49">
        <f ca="1">KLL_II_2020!CA_ent_rev_gas*KLL_II_2020!CA_IOC_WI</f>
        <v>0</v>
      </c>
      <c r="BN341" s="49">
        <f ca="1">KLL_II_2020!CA_ent_rev_gas*KLL_II_2020!CA_IOC_WI</f>
        <v>0</v>
      </c>
      <c r="BO341" s="49">
        <f ca="1">KLL_II_2020!CA_ent_rev_gas*KLL_II_2020!CA_IOC_WI</f>
        <v>0</v>
      </c>
      <c r="BP341" s="49">
        <f ca="1">KLL_II_2020!CA_ent_rev_gas*KLL_II_2020!CA_IOC_WI</f>
        <v>0</v>
      </c>
      <c r="BQ341" s="49">
        <f ca="1">KLL_II_2020!CA_ent_rev_gas*KLL_II_2020!CA_IOC_WI</f>
        <v>0</v>
      </c>
      <c r="BR341" s="49">
        <f ca="1">KLL_II_2020!CA_ent_rev_gas*KLL_II_2020!CA_IOC_WI</f>
        <v>0</v>
      </c>
      <c r="BS341" s="49">
        <f ca="1">KLL_II_2020!CA_ent_rev_gas*KLL_II_2020!CA_IOC_WI</f>
        <v>0</v>
      </c>
    </row>
    <row r="342" spans="3:71" outlineLevel="1" x14ac:dyDescent="0.2">
      <c r="D342" t="str">
        <f>HM_ZB_Nsoko!D355</f>
        <v>Participation compagnie nationale/État</v>
      </c>
      <c r="I342" s="30">
        <f t="shared" ca="1" si="94"/>
        <v>0</v>
      </c>
      <c r="J342" s="26" t="s">
        <v>148</v>
      </c>
      <c r="L342" s="49">
        <f ca="1">KLL_II_2020!CA_ent_rev_gas*KLL_II_2020!CA_NOC_WI</f>
        <v>0</v>
      </c>
      <c r="M342" s="49">
        <f ca="1">KLL_II_2020!CA_ent_rev_gas*KLL_II_2020!CA_NOC_WI</f>
        <v>0</v>
      </c>
      <c r="N342" s="49">
        <f ca="1">KLL_II_2020!CA_ent_rev_gas*KLL_II_2020!CA_NOC_WI</f>
        <v>0</v>
      </c>
      <c r="O342" s="49">
        <f ca="1">KLL_II_2020!CA_ent_rev_gas*KLL_II_2020!CA_NOC_WI</f>
        <v>0</v>
      </c>
      <c r="P342" s="49">
        <f ca="1">KLL_II_2020!CA_ent_rev_gas*KLL_II_2020!CA_NOC_WI</f>
        <v>0</v>
      </c>
      <c r="Q342" s="49">
        <f ca="1">KLL_II_2020!CA_ent_rev_gas*KLL_II_2020!CA_NOC_WI</f>
        <v>0</v>
      </c>
      <c r="R342" s="49">
        <f ca="1">KLL_II_2020!CA_ent_rev_gas*KLL_II_2020!CA_NOC_WI</f>
        <v>0</v>
      </c>
      <c r="S342" s="49">
        <f ca="1">KLL_II_2020!CA_ent_rev_gas*KLL_II_2020!CA_NOC_WI</f>
        <v>0</v>
      </c>
      <c r="T342" s="49">
        <f ca="1">KLL_II_2020!CA_ent_rev_gas*KLL_II_2020!CA_NOC_WI</f>
        <v>0</v>
      </c>
      <c r="U342" s="49">
        <f ca="1">KLL_II_2020!CA_ent_rev_gas*KLL_II_2020!CA_NOC_WI</f>
        <v>0</v>
      </c>
      <c r="V342" s="49">
        <f ca="1">KLL_II_2020!CA_ent_rev_gas*KLL_II_2020!CA_NOC_WI</f>
        <v>0</v>
      </c>
      <c r="W342" s="49">
        <f ca="1">KLL_II_2020!CA_ent_rev_gas*KLL_II_2020!CA_NOC_WI</f>
        <v>0</v>
      </c>
      <c r="X342" s="49">
        <f ca="1">KLL_II_2020!CA_ent_rev_gas*KLL_II_2020!CA_NOC_WI</f>
        <v>0</v>
      </c>
      <c r="Y342" s="49">
        <f ca="1">KLL_II_2020!CA_ent_rev_gas*KLL_II_2020!CA_NOC_WI</f>
        <v>0</v>
      </c>
      <c r="Z342" s="49">
        <f ca="1">KLL_II_2020!CA_ent_rev_gas*KLL_II_2020!CA_NOC_WI</f>
        <v>0</v>
      </c>
      <c r="AA342" s="49">
        <f ca="1">KLL_II_2020!CA_ent_rev_gas*KLL_II_2020!CA_NOC_WI</f>
        <v>0</v>
      </c>
      <c r="AB342" s="49">
        <f ca="1">KLL_II_2020!CA_ent_rev_gas*KLL_II_2020!CA_NOC_WI</f>
        <v>0</v>
      </c>
      <c r="AC342" s="49">
        <f ca="1">KLL_II_2020!CA_ent_rev_gas*KLL_II_2020!CA_NOC_WI</f>
        <v>0</v>
      </c>
      <c r="AD342" s="49">
        <f ca="1">KLL_II_2020!CA_ent_rev_gas*KLL_II_2020!CA_NOC_WI</f>
        <v>0</v>
      </c>
      <c r="AE342" s="49">
        <f ca="1">KLL_II_2020!CA_ent_rev_gas*KLL_II_2020!CA_NOC_WI</f>
        <v>0</v>
      </c>
      <c r="AF342" s="49">
        <f ca="1">KLL_II_2020!CA_ent_rev_gas*KLL_II_2020!CA_NOC_WI</f>
        <v>0</v>
      </c>
      <c r="AG342" s="49">
        <f ca="1">KLL_II_2020!CA_ent_rev_gas*KLL_II_2020!CA_NOC_WI</f>
        <v>0</v>
      </c>
      <c r="AH342" s="49">
        <f ca="1">KLL_II_2020!CA_ent_rev_gas*KLL_II_2020!CA_NOC_WI</f>
        <v>0</v>
      </c>
      <c r="AI342" s="49">
        <f ca="1">KLL_II_2020!CA_ent_rev_gas*KLL_II_2020!CA_NOC_WI</f>
        <v>0</v>
      </c>
      <c r="AJ342" s="49">
        <f ca="1">KLL_II_2020!CA_ent_rev_gas*KLL_II_2020!CA_NOC_WI</f>
        <v>0</v>
      </c>
      <c r="AK342" s="49">
        <f ca="1">KLL_II_2020!CA_ent_rev_gas*KLL_II_2020!CA_NOC_WI</f>
        <v>0</v>
      </c>
      <c r="AL342" s="49">
        <f ca="1">KLL_II_2020!CA_ent_rev_gas*KLL_II_2020!CA_NOC_WI</f>
        <v>0</v>
      </c>
      <c r="AM342" s="49">
        <f ca="1">KLL_II_2020!CA_ent_rev_gas*KLL_II_2020!CA_NOC_WI</f>
        <v>0</v>
      </c>
      <c r="AN342" s="49">
        <f ca="1">KLL_II_2020!CA_ent_rev_gas*KLL_II_2020!CA_NOC_WI</f>
        <v>0</v>
      </c>
      <c r="AO342" s="49">
        <f ca="1">KLL_II_2020!CA_ent_rev_gas*KLL_II_2020!CA_NOC_WI</f>
        <v>0</v>
      </c>
      <c r="AP342" s="49">
        <f ca="1">KLL_II_2020!CA_ent_rev_gas*KLL_II_2020!CA_NOC_WI</f>
        <v>0</v>
      </c>
      <c r="AQ342" s="49">
        <f ca="1">KLL_II_2020!CA_ent_rev_gas*KLL_II_2020!CA_NOC_WI</f>
        <v>0</v>
      </c>
      <c r="AR342" s="49">
        <f ca="1">KLL_II_2020!CA_ent_rev_gas*KLL_II_2020!CA_NOC_WI</f>
        <v>0</v>
      </c>
      <c r="AS342" s="49">
        <f ca="1">KLL_II_2020!CA_ent_rev_gas*KLL_II_2020!CA_NOC_WI</f>
        <v>0</v>
      </c>
      <c r="AT342" s="49">
        <f ca="1">KLL_II_2020!CA_ent_rev_gas*KLL_II_2020!CA_NOC_WI</f>
        <v>0</v>
      </c>
      <c r="AU342" s="49">
        <f ca="1">KLL_II_2020!CA_ent_rev_gas*KLL_II_2020!CA_NOC_WI</f>
        <v>0</v>
      </c>
      <c r="AV342" s="49">
        <f ca="1">KLL_II_2020!CA_ent_rev_gas*KLL_II_2020!CA_NOC_WI</f>
        <v>0</v>
      </c>
      <c r="AW342" s="49">
        <f ca="1">KLL_II_2020!CA_ent_rev_gas*KLL_II_2020!CA_NOC_WI</f>
        <v>0</v>
      </c>
      <c r="AX342" s="49">
        <f ca="1">KLL_II_2020!CA_ent_rev_gas*KLL_II_2020!CA_NOC_WI</f>
        <v>0</v>
      </c>
      <c r="AY342" s="49">
        <f ca="1">KLL_II_2020!CA_ent_rev_gas*KLL_II_2020!CA_NOC_WI</f>
        <v>0</v>
      </c>
      <c r="AZ342" s="49">
        <f ca="1">KLL_II_2020!CA_ent_rev_gas*KLL_II_2020!CA_NOC_WI</f>
        <v>0</v>
      </c>
      <c r="BA342" s="49">
        <f ca="1">KLL_II_2020!CA_ent_rev_gas*KLL_II_2020!CA_NOC_WI</f>
        <v>0</v>
      </c>
      <c r="BB342" s="49">
        <f ca="1">KLL_II_2020!CA_ent_rev_gas*KLL_II_2020!CA_NOC_WI</f>
        <v>0</v>
      </c>
      <c r="BC342" s="49">
        <f ca="1">KLL_II_2020!CA_ent_rev_gas*KLL_II_2020!CA_NOC_WI</f>
        <v>0</v>
      </c>
      <c r="BD342" s="49">
        <f ca="1">KLL_II_2020!CA_ent_rev_gas*KLL_II_2020!CA_NOC_WI</f>
        <v>0</v>
      </c>
      <c r="BE342" s="49">
        <f ca="1">KLL_II_2020!CA_ent_rev_gas*KLL_II_2020!CA_NOC_WI</f>
        <v>0</v>
      </c>
      <c r="BF342" s="49">
        <f ca="1">KLL_II_2020!CA_ent_rev_gas*KLL_II_2020!CA_NOC_WI</f>
        <v>0</v>
      </c>
      <c r="BG342" s="49">
        <f ca="1">KLL_II_2020!CA_ent_rev_gas*KLL_II_2020!CA_NOC_WI</f>
        <v>0</v>
      </c>
      <c r="BH342" s="49">
        <f ca="1">KLL_II_2020!CA_ent_rev_gas*KLL_II_2020!CA_NOC_WI</f>
        <v>0</v>
      </c>
      <c r="BI342" s="49">
        <f ca="1">KLL_II_2020!CA_ent_rev_gas*KLL_II_2020!CA_NOC_WI</f>
        <v>0</v>
      </c>
      <c r="BJ342" s="49">
        <f ca="1">KLL_II_2020!CA_ent_rev_gas*KLL_II_2020!CA_NOC_WI</f>
        <v>0</v>
      </c>
      <c r="BK342" s="49">
        <f ca="1">KLL_II_2020!CA_ent_rev_gas*KLL_II_2020!CA_NOC_WI</f>
        <v>0</v>
      </c>
      <c r="BL342" s="49">
        <f ca="1">KLL_II_2020!CA_ent_rev_gas*KLL_II_2020!CA_NOC_WI</f>
        <v>0</v>
      </c>
      <c r="BM342" s="49">
        <f ca="1">KLL_II_2020!CA_ent_rev_gas*KLL_II_2020!CA_NOC_WI</f>
        <v>0</v>
      </c>
      <c r="BN342" s="49">
        <f ca="1">KLL_II_2020!CA_ent_rev_gas*KLL_II_2020!CA_NOC_WI</f>
        <v>0</v>
      </c>
      <c r="BO342" s="49">
        <f ca="1">KLL_II_2020!CA_ent_rev_gas*KLL_II_2020!CA_NOC_WI</f>
        <v>0</v>
      </c>
      <c r="BP342" s="49">
        <f ca="1">KLL_II_2020!CA_ent_rev_gas*KLL_II_2020!CA_NOC_WI</f>
        <v>0</v>
      </c>
      <c r="BQ342" s="49">
        <f ca="1">KLL_II_2020!CA_ent_rev_gas*KLL_II_2020!CA_NOC_WI</f>
        <v>0</v>
      </c>
      <c r="BR342" s="49">
        <f ca="1">KLL_II_2020!CA_ent_rev_gas*KLL_II_2020!CA_NOC_WI</f>
        <v>0</v>
      </c>
      <c r="BS342" s="49">
        <f ca="1">KLL_II_2020!CA_ent_rev_gas*KLL_II_2020!CA_NOC_WI</f>
        <v>0</v>
      </c>
    </row>
    <row r="343" spans="3:71" outlineLevel="1" x14ac:dyDescent="0.2">
      <c r="D343" s="11" t="str">
        <f>HM_ZB_Nsoko!D356</f>
        <v>Total</v>
      </c>
      <c r="I343" s="30">
        <f t="shared" ca="1" si="94"/>
        <v>0</v>
      </c>
      <c r="J343" s="26" t="s">
        <v>148</v>
      </c>
      <c r="L343" s="49">
        <f ca="1">SUM(L341:L342)</f>
        <v>0</v>
      </c>
      <c r="M343" s="49">
        <f t="shared" ref="M343:BS343" ca="1" si="95">SUM(M341:M342)</f>
        <v>0</v>
      </c>
      <c r="N343" s="49">
        <f t="shared" ca="1" si="95"/>
        <v>0</v>
      </c>
      <c r="O343" s="49">
        <f t="shared" ca="1" si="95"/>
        <v>0</v>
      </c>
      <c r="P343" s="49">
        <f t="shared" ca="1" si="95"/>
        <v>0</v>
      </c>
      <c r="Q343" s="49">
        <f t="shared" ca="1" si="95"/>
        <v>0</v>
      </c>
      <c r="R343" s="49">
        <f t="shared" ca="1" si="95"/>
        <v>0</v>
      </c>
      <c r="S343" s="49">
        <f t="shared" ca="1" si="95"/>
        <v>0</v>
      </c>
      <c r="T343" s="49">
        <f t="shared" ca="1" si="95"/>
        <v>0</v>
      </c>
      <c r="U343" s="49">
        <f t="shared" ca="1" si="95"/>
        <v>0</v>
      </c>
      <c r="V343" s="49">
        <f t="shared" ca="1" si="95"/>
        <v>0</v>
      </c>
      <c r="W343" s="49">
        <f t="shared" ca="1" si="95"/>
        <v>0</v>
      </c>
      <c r="X343" s="49">
        <f t="shared" ca="1" si="95"/>
        <v>0</v>
      </c>
      <c r="Y343" s="49">
        <f t="shared" ca="1" si="95"/>
        <v>0</v>
      </c>
      <c r="Z343" s="49">
        <f t="shared" ca="1" si="95"/>
        <v>0</v>
      </c>
      <c r="AA343" s="49">
        <f t="shared" ca="1" si="95"/>
        <v>0</v>
      </c>
      <c r="AB343" s="49">
        <f t="shared" ca="1" si="95"/>
        <v>0</v>
      </c>
      <c r="AC343" s="49">
        <f t="shared" ca="1" si="95"/>
        <v>0</v>
      </c>
      <c r="AD343" s="49">
        <f t="shared" ca="1" si="95"/>
        <v>0</v>
      </c>
      <c r="AE343" s="49">
        <f t="shared" ca="1" si="95"/>
        <v>0</v>
      </c>
      <c r="AF343" s="49">
        <f t="shared" ca="1" si="95"/>
        <v>0</v>
      </c>
      <c r="AG343" s="49">
        <f t="shared" ca="1" si="95"/>
        <v>0</v>
      </c>
      <c r="AH343" s="49">
        <f t="shared" ca="1" si="95"/>
        <v>0</v>
      </c>
      <c r="AI343" s="49">
        <f t="shared" ca="1" si="95"/>
        <v>0</v>
      </c>
      <c r="AJ343" s="49">
        <f t="shared" ca="1" si="95"/>
        <v>0</v>
      </c>
      <c r="AK343" s="49">
        <f t="shared" ca="1" si="95"/>
        <v>0</v>
      </c>
      <c r="AL343" s="49">
        <f t="shared" ca="1" si="95"/>
        <v>0</v>
      </c>
      <c r="AM343" s="49">
        <f t="shared" ca="1" si="95"/>
        <v>0</v>
      </c>
      <c r="AN343" s="49">
        <f t="shared" ca="1" si="95"/>
        <v>0</v>
      </c>
      <c r="AO343" s="49">
        <f t="shared" ca="1" si="95"/>
        <v>0</v>
      </c>
      <c r="AP343" s="49">
        <f t="shared" ca="1" si="95"/>
        <v>0</v>
      </c>
      <c r="AQ343" s="49">
        <f t="shared" ca="1" si="95"/>
        <v>0</v>
      </c>
      <c r="AR343" s="49">
        <f t="shared" ca="1" si="95"/>
        <v>0</v>
      </c>
      <c r="AS343" s="49">
        <f t="shared" ca="1" si="95"/>
        <v>0</v>
      </c>
      <c r="AT343" s="49">
        <f t="shared" ca="1" si="95"/>
        <v>0</v>
      </c>
      <c r="AU343" s="49">
        <f t="shared" ca="1" si="95"/>
        <v>0</v>
      </c>
      <c r="AV343" s="49">
        <f t="shared" ca="1" si="95"/>
        <v>0</v>
      </c>
      <c r="AW343" s="49">
        <f t="shared" ca="1" si="95"/>
        <v>0</v>
      </c>
      <c r="AX343" s="49">
        <f t="shared" ca="1" si="95"/>
        <v>0</v>
      </c>
      <c r="AY343" s="49">
        <f t="shared" ca="1" si="95"/>
        <v>0</v>
      </c>
      <c r="AZ343" s="49">
        <f t="shared" ca="1" si="95"/>
        <v>0</v>
      </c>
      <c r="BA343" s="49">
        <f t="shared" ca="1" si="95"/>
        <v>0</v>
      </c>
      <c r="BB343" s="49">
        <f t="shared" ca="1" si="95"/>
        <v>0</v>
      </c>
      <c r="BC343" s="49">
        <f t="shared" ca="1" si="95"/>
        <v>0</v>
      </c>
      <c r="BD343" s="49">
        <f t="shared" ca="1" si="95"/>
        <v>0</v>
      </c>
      <c r="BE343" s="49">
        <f t="shared" ca="1" si="95"/>
        <v>0</v>
      </c>
      <c r="BF343" s="49">
        <f t="shared" ca="1" si="95"/>
        <v>0</v>
      </c>
      <c r="BG343" s="49">
        <f t="shared" ca="1" si="95"/>
        <v>0</v>
      </c>
      <c r="BH343" s="49">
        <f t="shared" ca="1" si="95"/>
        <v>0</v>
      </c>
      <c r="BI343" s="49">
        <f t="shared" ca="1" si="95"/>
        <v>0</v>
      </c>
      <c r="BJ343" s="49">
        <f t="shared" ca="1" si="95"/>
        <v>0</v>
      </c>
      <c r="BK343" s="49">
        <f t="shared" ca="1" si="95"/>
        <v>0</v>
      </c>
      <c r="BL343" s="49">
        <f t="shared" ca="1" si="95"/>
        <v>0</v>
      </c>
      <c r="BM343" s="49">
        <f t="shared" ca="1" si="95"/>
        <v>0</v>
      </c>
      <c r="BN343" s="49">
        <f t="shared" ca="1" si="95"/>
        <v>0</v>
      </c>
      <c r="BO343" s="49">
        <f t="shared" ca="1" si="95"/>
        <v>0</v>
      </c>
      <c r="BP343" s="49">
        <f t="shared" ca="1" si="95"/>
        <v>0</v>
      </c>
      <c r="BQ343" s="49">
        <f t="shared" ca="1" si="95"/>
        <v>0</v>
      </c>
      <c r="BR343" s="49">
        <f t="shared" ca="1" si="95"/>
        <v>0</v>
      </c>
      <c r="BS343" s="49">
        <f t="shared" ca="1" si="95"/>
        <v>0</v>
      </c>
    </row>
    <row r="344" spans="3:71" outlineLevel="1" x14ac:dyDescent="0.2">
      <c r="J344" s="26"/>
      <c r="L344" s="55"/>
      <c r="M344" s="55"/>
      <c r="N344" s="55"/>
      <c r="O344" s="55"/>
      <c r="P344" s="55"/>
      <c r="Q344" s="55"/>
      <c r="R344" s="55"/>
      <c r="S344" s="55"/>
      <c r="T344" s="55"/>
      <c r="U344" s="55"/>
      <c r="V344" s="55"/>
      <c r="W344" s="55"/>
      <c r="X344" s="55"/>
      <c r="Y344" s="55"/>
      <c r="Z344" s="55"/>
      <c r="AA344" s="55"/>
      <c r="AB344" s="55"/>
      <c r="AC344" s="55"/>
      <c r="AD344" s="55"/>
      <c r="AE344" s="55"/>
      <c r="AF344" s="55"/>
      <c r="AG344" s="55"/>
      <c r="AH344" s="55"/>
      <c r="AI344" s="55"/>
      <c r="AJ344" s="55"/>
      <c r="AK344" s="55"/>
      <c r="AL344" s="55"/>
      <c r="AM344" s="55"/>
      <c r="AN344" s="55"/>
      <c r="AO344" s="55"/>
      <c r="AP344" s="55"/>
      <c r="AQ344" s="55"/>
      <c r="AR344" s="55"/>
      <c r="AS344" s="55"/>
      <c r="AT344" s="55"/>
      <c r="AU344" s="55"/>
      <c r="AV344" s="55"/>
      <c r="AW344" s="55"/>
      <c r="AX344" s="55"/>
      <c r="AY344" s="55"/>
      <c r="AZ344" s="55"/>
      <c r="BA344" s="55"/>
      <c r="BB344" s="55"/>
      <c r="BC344" s="55"/>
      <c r="BD344" s="55"/>
      <c r="BE344" s="55"/>
      <c r="BF344" s="55"/>
      <c r="BG344" s="55"/>
      <c r="BH344" s="55"/>
      <c r="BI344" s="55"/>
      <c r="BJ344" s="55"/>
      <c r="BK344" s="55"/>
      <c r="BL344" s="55"/>
      <c r="BM344" s="55"/>
      <c r="BN344" s="55"/>
      <c r="BO344" s="55"/>
      <c r="BP344" s="55"/>
      <c r="BQ344" s="55"/>
      <c r="BR344" s="55"/>
      <c r="BS344" s="55"/>
    </row>
    <row r="345" spans="3:71" outlineLevel="1" x14ac:dyDescent="0.2">
      <c r="C345" s="11" t="str">
        <f>HM_ZB_Nsoko!C358</f>
        <v>Volumes de droits selon participation - Pétrole</v>
      </c>
      <c r="J345" s="26"/>
      <c r="L345" s="55"/>
      <c r="M345" s="55"/>
      <c r="N345" s="55"/>
      <c r="O345" s="55"/>
      <c r="P345" s="55"/>
      <c r="Q345" s="55"/>
      <c r="R345" s="55"/>
      <c r="S345" s="55"/>
      <c r="T345" s="55"/>
      <c r="U345" s="55"/>
      <c r="V345" s="55"/>
      <c r="W345" s="55"/>
      <c r="X345" s="55"/>
      <c r="Y345" s="55"/>
      <c r="Z345" s="55"/>
      <c r="AA345" s="55"/>
      <c r="AB345" s="55"/>
      <c r="AC345" s="55"/>
      <c r="AD345" s="55"/>
      <c r="AE345" s="55"/>
      <c r="AF345" s="55"/>
      <c r="AG345" s="55"/>
      <c r="AH345" s="55"/>
      <c r="AI345" s="55"/>
      <c r="AJ345" s="55"/>
      <c r="AK345" s="55"/>
      <c r="AL345" s="55"/>
      <c r="AM345" s="55"/>
      <c r="AN345" s="55"/>
      <c r="AO345" s="55"/>
      <c r="AP345" s="55"/>
      <c r="AQ345" s="55"/>
      <c r="AR345" s="55"/>
      <c r="AS345" s="55"/>
      <c r="AT345" s="55"/>
      <c r="AU345" s="55"/>
      <c r="AV345" s="55"/>
      <c r="AW345" s="55"/>
      <c r="AX345" s="55"/>
      <c r="AY345" s="55"/>
      <c r="AZ345" s="55"/>
      <c r="BA345" s="55"/>
      <c r="BB345" s="55"/>
      <c r="BC345" s="55"/>
      <c r="BD345" s="55"/>
      <c r="BE345" s="55"/>
      <c r="BF345" s="55"/>
      <c r="BG345" s="55"/>
      <c r="BH345" s="55"/>
      <c r="BI345" s="55"/>
      <c r="BJ345" s="55"/>
      <c r="BK345" s="55"/>
      <c r="BL345" s="55"/>
      <c r="BM345" s="55"/>
      <c r="BN345" s="55"/>
      <c r="BO345" s="55"/>
      <c r="BP345" s="55"/>
      <c r="BQ345" s="55"/>
      <c r="BR345" s="55"/>
      <c r="BS345" s="55"/>
    </row>
    <row r="346" spans="3:71" outlineLevel="1" x14ac:dyDescent="0.2">
      <c r="D346" t="str">
        <f>HM_ZB_Nsoko!D359</f>
        <v>Consortium compagnie pétrolières internationales</v>
      </c>
      <c r="I346" s="30">
        <f t="shared" ref="I346:I348" ca="1" si="96">SUM($L346:$BS346)</f>
        <v>31.839822158048136</v>
      </c>
      <c r="J346" s="26" t="s">
        <v>88</v>
      </c>
      <c r="L346" s="49">
        <f ca="1">L327*KLL_II_2020!CA_IOC_WI</f>
        <v>1.6700981397424313</v>
      </c>
      <c r="M346" s="49">
        <f ca="1">M327*KLL_II_2020!CA_IOC_WI</f>
        <v>2.2355171309226756</v>
      </c>
      <c r="N346" s="49">
        <f ca="1">N327*KLL_II_2020!CA_IOC_WI</f>
        <v>3.017970608699128</v>
      </c>
      <c r="O346" s="49">
        <f ca="1">O327*KLL_II_2020!CA_IOC_WI</f>
        <v>3.4926970114179556</v>
      </c>
      <c r="P346" s="49">
        <f ca="1">P327*KLL_II_2020!CA_IOC_WI</f>
        <v>2.700615067012448</v>
      </c>
      <c r="Q346" s="49">
        <f ca="1">Q327*KLL_II_2020!CA_IOC_WI</f>
        <v>2.6042782282883365</v>
      </c>
      <c r="R346" s="49">
        <f ca="1">R327*KLL_II_2020!CA_IOC_WI</f>
        <v>2.7938455580933526</v>
      </c>
      <c r="S346" s="49">
        <f ca="1">S327*KLL_II_2020!CA_IOC_WI</f>
        <v>3.0039660000000001</v>
      </c>
      <c r="T346" s="49">
        <f ca="1">T327*KLL_II_2020!CA_IOC_WI</f>
        <v>2.4209821598131906</v>
      </c>
      <c r="U346" s="49">
        <f ca="1">U327*KLL_II_2020!CA_IOC_WI</f>
        <v>2.1948563978783997</v>
      </c>
      <c r="V346" s="49">
        <f ca="1">V327*KLL_II_2020!CA_IOC_WI</f>
        <v>2.0412164500269112</v>
      </c>
      <c r="W346" s="49">
        <f ca="1">W327*KLL_II_2020!CA_IOC_WI</f>
        <v>1.8983312985250274</v>
      </c>
      <c r="X346" s="49">
        <f ca="1">X327*KLL_II_2020!CA_IOC_WI</f>
        <v>1.7654481076282758</v>
      </c>
      <c r="Y346" s="49">
        <f ca="1">Y327*KLL_II_2020!CA_IOC_WI</f>
        <v>0</v>
      </c>
      <c r="Z346" s="49">
        <f ca="1">Z327*KLL_II_2020!CA_IOC_WI</f>
        <v>0</v>
      </c>
      <c r="AA346" s="49">
        <f ca="1">AA327*KLL_II_2020!CA_IOC_WI</f>
        <v>0</v>
      </c>
      <c r="AB346" s="49">
        <f ca="1">AB327*KLL_II_2020!CA_IOC_WI</f>
        <v>0</v>
      </c>
      <c r="AC346" s="49">
        <f ca="1">AC327*KLL_II_2020!CA_IOC_WI</f>
        <v>0</v>
      </c>
      <c r="AD346" s="49">
        <f ca="1">AD327*KLL_II_2020!CA_IOC_WI</f>
        <v>0</v>
      </c>
      <c r="AE346" s="49">
        <f ca="1">AE327*KLL_II_2020!CA_IOC_WI</f>
        <v>0</v>
      </c>
      <c r="AF346" s="49">
        <f ca="1">AF327*KLL_II_2020!CA_IOC_WI</f>
        <v>0</v>
      </c>
      <c r="AG346" s="49">
        <f ca="1">AG327*KLL_II_2020!CA_IOC_WI</f>
        <v>0</v>
      </c>
      <c r="AH346" s="49">
        <f ca="1">AH327*KLL_II_2020!CA_IOC_WI</f>
        <v>0</v>
      </c>
      <c r="AI346" s="49">
        <f ca="1">AI327*KLL_II_2020!CA_IOC_WI</f>
        <v>0</v>
      </c>
      <c r="AJ346" s="49">
        <f ca="1">AJ327*KLL_II_2020!CA_IOC_WI</f>
        <v>0</v>
      </c>
      <c r="AK346" s="49">
        <f ca="1">AK327*KLL_II_2020!CA_IOC_WI</f>
        <v>0</v>
      </c>
      <c r="AL346" s="49">
        <f ca="1">AL327*KLL_II_2020!CA_IOC_WI</f>
        <v>0</v>
      </c>
      <c r="AM346" s="49">
        <f ca="1">AM327*KLL_II_2020!CA_IOC_WI</f>
        <v>0</v>
      </c>
      <c r="AN346" s="49">
        <f ca="1">AN327*KLL_II_2020!CA_IOC_WI</f>
        <v>0</v>
      </c>
      <c r="AO346" s="49">
        <f ca="1">AO327*KLL_II_2020!CA_IOC_WI</f>
        <v>0</v>
      </c>
      <c r="AP346" s="49">
        <f ca="1">AP327*KLL_II_2020!CA_IOC_WI</f>
        <v>0</v>
      </c>
      <c r="AQ346" s="49">
        <f ca="1">AQ327*KLL_II_2020!CA_IOC_WI</f>
        <v>0</v>
      </c>
      <c r="AR346" s="49">
        <f ca="1">AR327*KLL_II_2020!CA_IOC_WI</f>
        <v>0</v>
      </c>
      <c r="AS346" s="49">
        <f ca="1">AS327*KLL_II_2020!CA_IOC_WI</f>
        <v>0</v>
      </c>
      <c r="AT346" s="49">
        <f ca="1">AT327*KLL_II_2020!CA_IOC_WI</f>
        <v>0</v>
      </c>
      <c r="AU346" s="49">
        <f ca="1">AU327*KLL_II_2020!CA_IOC_WI</f>
        <v>0</v>
      </c>
      <c r="AV346" s="49">
        <f ca="1">AV327*KLL_II_2020!CA_IOC_WI</f>
        <v>0</v>
      </c>
      <c r="AW346" s="49">
        <f ca="1">AW327*KLL_II_2020!CA_IOC_WI</f>
        <v>0</v>
      </c>
      <c r="AX346" s="49">
        <f ca="1">AX327*KLL_II_2020!CA_IOC_WI</f>
        <v>0</v>
      </c>
      <c r="AY346" s="49">
        <f ca="1">AY327*KLL_II_2020!CA_IOC_WI</f>
        <v>0</v>
      </c>
      <c r="AZ346" s="49">
        <f ca="1">AZ327*KLL_II_2020!CA_IOC_WI</f>
        <v>0</v>
      </c>
      <c r="BA346" s="49">
        <f ca="1">BA327*KLL_II_2020!CA_IOC_WI</f>
        <v>0</v>
      </c>
      <c r="BB346" s="49">
        <f ca="1">BB327*KLL_II_2020!CA_IOC_WI</f>
        <v>0</v>
      </c>
      <c r="BC346" s="49">
        <f ca="1">BC327*KLL_II_2020!CA_IOC_WI</f>
        <v>0</v>
      </c>
      <c r="BD346" s="49">
        <f ca="1">BD327*KLL_II_2020!CA_IOC_WI</f>
        <v>0</v>
      </c>
      <c r="BE346" s="49">
        <f ca="1">BE327*KLL_II_2020!CA_IOC_WI</f>
        <v>0</v>
      </c>
      <c r="BF346" s="49">
        <f ca="1">BF327*KLL_II_2020!CA_IOC_WI</f>
        <v>0</v>
      </c>
      <c r="BG346" s="49">
        <f ca="1">BG327*KLL_II_2020!CA_IOC_WI</f>
        <v>0</v>
      </c>
      <c r="BH346" s="49">
        <f ca="1">BH327*KLL_II_2020!CA_IOC_WI</f>
        <v>0</v>
      </c>
      <c r="BI346" s="49">
        <f ca="1">BI327*KLL_II_2020!CA_IOC_WI</f>
        <v>0</v>
      </c>
      <c r="BJ346" s="49">
        <f ca="1">BJ327*KLL_II_2020!CA_IOC_WI</f>
        <v>0</v>
      </c>
      <c r="BK346" s="49">
        <f ca="1">BK327*KLL_II_2020!CA_IOC_WI</f>
        <v>0</v>
      </c>
      <c r="BL346" s="49">
        <f ca="1">BL327*KLL_II_2020!CA_IOC_WI</f>
        <v>0</v>
      </c>
      <c r="BM346" s="49">
        <f ca="1">BM327*KLL_II_2020!CA_IOC_WI</f>
        <v>0</v>
      </c>
      <c r="BN346" s="49">
        <f ca="1">BN327*KLL_II_2020!CA_IOC_WI</f>
        <v>0</v>
      </c>
      <c r="BO346" s="49">
        <f ca="1">BO327*KLL_II_2020!CA_IOC_WI</f>
        <v>0</v>
      </c>
      <c r="BP346" s="49">
        <f ca="1">BP327*KLL_II_2020!CA_IOC_WI</f>
        <v>0</v>
      </c>
      <c r="BQ346" s="49">
        <f ca="1">BQ327*KLL_II_2020!CA_IOC_WI</f>
        <v>0</v>
      </c>
      <c r="BR346" s="49">
        <f ca="1">BR327*KLL_II_2020!CA_IOC_WI</f>
        <v>0</v>
      </c>
      <c r="BS346" s="49">
        <f ca="1">BS327*KLL_II_2020!CA_IOC_WI</f>
        <v>0</v>
      </c>
    </row>
    <row r="347" spans="3:71" outlineLevel="1" x14ac:dyDescent="0.2">
      <c r="D347" t="str">
        <f>HM_ZB_Nsoko!D360</f>
        <v>Participation compagnie nationale/État</v>
      </c>
      <c r="I347" s="30">
        <f t="shared" ca="1" si="96"/>
        <v>7.9599555395120341</v>
      </c>
      <c r="J347" s="26" t="s">
        <v>88</v>
      </c>
      <c r="L347" s="49">
        <f ca="1">L327*KLL_II_2020!CA_NOC_WI</f>
        <v>0.41752453493560782</v>
      </c>
      <c r="M347" s="49">
        <f ca="1">M327*KLL_II_2020!CA_NOC_WI</f>
        <v>0.55887928273066889</v>
      </c>
      <c r="N347" s="49">
        <f ca="1">N327*KLL_II_2020!CA_NOC_WI</f>
        <v>0.75449265217478201</v>
      </c>
      <c r="O347" s="49">
        <f ca="1">O327*KLL_II_2020!CA_NOC_WI</f>
        <v>0.87317425285448891</v>
      </c>
      <c r="P347" s="49">
        <f ca="1">P327*KLL_II_2020!CA_NOC_WI</f>
        <v>0.67515376675311201</v>
      </c>
      <c r="Q347" s="49">
        <f ca="1">Q327*KLL_II_2020!CA_NOC_WI</f>
        <v>0.65106955707208414</v>
      </c>
      <c r="R347" s="49">
        <f ca="1">R327*KLL_II_2020!CA_NOC_WI</f>
        <v>0.69846138952333814</v>
      </c>
      <c r="S347" s="49">
        <f ca="1">S327*KLL_II_2020!CA_NOC_WI</f>
        <v>0.75099150000000003</v>
      </c>
      <c r="T347" s="49">
        <f ca="1">T327*KLL_II_2020!CA_NOC_WI</f>
        <v>0.60524553995329766</v>
      </c>
      <c r="U347" s="49">
        <f ca="1">U327*KLL_II_2020!CA_NOC_WI</f>
        <v>0.54871409946959993</v>
      </c>
      <c r="V347" s="49">
        <f ca="1">V327*KLL_II_2020!CA_NOC_WI</f>
        <v>0.5103041125067278</v>
      </c>
      <c r="W347" s="49">
        <f ca="1">W327*KLL_II_2020!CA_NOC_WI</f>
        <v>0.47458282463125684</v>
      </c>
      <c r="X347" s="49">
        <f ca="1">X327*KLL_II_2020!CA_NOC_WI</f>
        <v>0.44136202690706894</v>
      </c>
      <c r="Y347" s="49">
        <f ca="1">Y327*KLL_II_2020!CA_NOC_WI</f>
        <v>0</v>
      </c>
      <c r="Z347" s="49">
        <f ca="1">Z327*KLL_II_2020!CA_NOC_WI</f>
        <v>0</v>
      </c>
      <c r="AA347" s="49">
        <f ca="1">AA327*KLL_II_2020!CA_NOC_WI</f>
        <v>0</v>
      </c>
      <c r="AB347" s="49">
        <f ca="1">AB327*KLL_II_2020!CA_NOC_WI</f>
        <v>0</v>
      </c>
      <c r="AC347" s="49">
        <f ca="1">AC327*KLL_II_2020!CA_NOC_WI</f>
        <v>0</v>
      </c>
      <c r="AD347" s="49">
        <f ca="1">AD327*KLL_II_2020!CA_NOC_WI</f>
        <v>0</v>
      </c>
      <c r="AE347" s="49">
        <f ca="1">AE327*KLL_II_2020!CA_NOC_WI</f>
        <v>0</v>
      </c>
      <c r="AF347" s="49">
        <f ca="1">AF327*KLL_II_2020!CA_NOC_WI</f>
        <v>0</v>
      </c>
      <c r="AG347" s="49">
        <f ca="1">AG327*KLL_II_2020!CA_NOC_WI</f>
        <v>0</v>
      </c>
      <c r="AH347" s="49">
        <f ca="1">AH327*KLL_II_2020!CA_NOC_WI</f>
        <v>0</v>
      </c>
      <c r="AI347" s="49">
        <f ca="1">AI327*KLL_II_2020!CA_NOC_WI</f>
        <v>0</v>
      </c>
      <c r="AJ347" s="49">
        <f ca="1">AJ327*KLL_II_2020!CA_NOC_WI</f>
        <v>0</v>
      </c>
      <c r="AK347" s="49">
        <f ca="1">AK327*KLL_II_2020!CA_NOC_WI</f>
        <v>0</v>
      </c>
      <c r="AL347" s="49">
        <f ca="1">AL327*KLL_II_2020!CA_NOC_WI</f>
        <v>0</v>
      </c>
      <c r="AM347" s="49">
        <f ca="1">AM327*KLL_II_2020!CA_NOC_WI</f>
        <v>0</v>
      </c>
      <c r="AN347" s="49">
        <f ca="1">AN327*KLL_II_2020!CA_NOC_WI</f>
        <v>0</v>
      </c>
      <c r="AO347" s="49">
        <f ca="1">AO327*KLL_II_2020!CA_NOC_WI</f>
        <v>0</v>
      </c>
      <c r="AP347" s="49">
        <f ca="1">AP327*KLL_II_2020!CA_NOC_WI</f>
        <v>0</v>
      </c>
      <c r="AQ347" s="49">
        <f ca="1">AQ327*KLL_II_2020!CA_NOC_WI</f>
        <v>0</v>
      </c>
      <c r="AR347" s="49">
        <f ca="1">AR327*KLL_II_2020!CA_NOC_WI</f>
        <v>0</v>
      </c>
      <c r="AS347" s="49">
        <f ca="1">AS327*KLL_II_2020!CA_NOC_WI</f>
        <v>0</v>
      </c>
      <c r="AT347" s="49">
        <f ca="1">AT327*KLL_II_2020!CA_NOC_WI</f>
        <v>0</v>
      </c>
      <c r="AU347" s="49">
        <f ca="1">AU327*KLL_II_2020!CA_NOC_WI</f>
        <v>0</v>
      </c>
      <c r="AV347" s="49">
        <f ca="1">AV327*KLL_II_2020!CA_NOC_WI</f>
        <v>0</v>
      </c>
      <c r="AW347" s="49">
        <f ca="1">AW327*KLL_II_2020!CA_NOC_WI</f>
        <v>0</v>
      </c>
      <c r="AX347" s="49">
        <f ca="1">AX327*KLL_II_2020!CA_NOC_WI</f>
        <v>0</v>
      </c>
      <c r="AY347" s="49">
        <f ca="1">AY327*KLL_II_2020!CA_NOC_WI</f>
        <v>0</v>
      </c>
      <c r="AZ347" s="49">
        <f ca="1">AZ327*KLL_II_2020!CA_NOC_WI</f>
        <v>0</v>
      </c>
      <c r="BA347" s="49">
        <f ca="1">BA327*KLL_II_2020!CA_NOC_WI</f>
        <v>0</v>
      </c>
      <c r="BB347" s="49">
        <f ca="1">BB327*KLL_II_2020!CA_NOC_WI</f>
        <v>0</v>
      </c>
      <c r="BC347" s="49">
        <f ca="1">BC327*KLL_II_2020!CA_NOC_WI</f>
        <v>0</v>
      </c>
      <c r="BD347" s="49">
        <f ca="1">BD327*KLL_II_2020!CA_NOC_WI</f>
        <v>0</v>
      </c>
      <c r="BE347" s="49">
        <f ca="1">BE327*KLL_II_2020!CA_NOC_WI</f>
        <v>0</v>
      </c>
      <c r="BF347" s="49">
        <f ca="1">BF327*KLL_II_2020!CA_NOC_WI</f>
        <v>0</v>
      </c>
      <c r="BG347" s="49">
        <f ca="1">BG327*KLL_II_2020!CA_NOC_WI</f>
        <v>0</v>
      </c>
      <c r="BH347" s="49">
        <f ca="1">BH327*KLL_II_2020!CA_NOC_WI</f>
        <v>0</v>
      </c>
      <c r="BI347" s="49">
        <f ca="1">BI327*KLL_II_2020!CA_NOC_WI</f>
        <v>0</v>
      </c>
      <c r="BJ347" s="49">
        <f ca="1">BJ327*KLL_II_2020!CA_NOC_WI</f>
        <v>0</v>
      </c>
      <c r="BK347" s="49">
        <f ca="1">BK327*KLL_II_2020!CA_NOC_WI</f>
        <v>0</v>
      </c>
      <c r="BL347" s="49">
        <f ca="1">BL327*KLL_II_2020!CA_NOC_WI</f>
        <v>0</v>
      </c>
      <c r="BM347" s="49">
        <f ca="1">BM327*KLL_II_2020!CA_NOC_WI</f>
        <v>0</v>
      </c>
      <c r="BN347" s="49">
        <f ca="1">BN327*KLL_II_2020!CA_NOC_WI</f>
        <v>0</v>
      </c>
      <c r="BO347" s="49">
        <f ca="1">BO327*KLL_II_2020!CA_NOC_WI</f>
        <v>0</v>
      </c>
      <c r="BP347" s="49">
        <f ca="1">BP327*KLL_II_2020!CA_NOC_WI</f>
        <v>0</v>
      </c>
      <c r="BQ347" s="49">
        <f ca="1">BQ327*KLL_II_2020!CA_NOC_WI</f>
        <v>0</v>
      </c>
      <c r="BR347" s="49">
        <f ca="1">BR327*KLL_II_2020!CA_NOC_WI</f>
        <v>0</v>
      </c>
      <c r="BS347" s="49">
        <f ca="1">BS327*KLL_II_2020!CA_NOC_WI</f>
        <v>0</v>
      </c>
    </row>
    <row r="348" spans="3:71" outlineLevel="1" x14ac:dyDescent="0.2">
      <c r="D348" s="11" t="str">
        <f>HM_ZB_Nsoko!D361</f>
        <v>Total</v>
      </c>
      <c r="I348" s="30">
        <f t="shared" ca="1" si="96"/>
        <v>39.799777697560167</v>
      </c>
      <c r="J348" s="26" t="s">
        <v>88</v>
      </c>
      <c r="L348" s="49">
        <f ca="1">SUM(L346:L347)</f>
        <v>2.0876226746780393</v>
      </c>
      <c r="M348" s="49">
        <f t="shared" ref="M348:BS348" ca="1" si="97">SUM(M346:M347)</f>
        <v>2.7943964136533443</v>
      </c>
      <c r="N348" s="49">
        <f t="shared" ca="1" si="97"/>
        <v>3.7724632608739102</v>
      </c>
      <c r="O348" s="49">
        <f t="shared" ca="1" si="97"/>
        <v>4.3658712642724442</v>
      </c>
      <c r="P348" s="49">
        <f t="shared" ca="1" si="97"/>
        <v>3.37576883376556</v>
      </c>
      <c r="Q348" s="49">
        <f t="shared" ca="1" si="97"/>
        <v>3.2553477853604207</v>
      </c>
      <c r="R348" s="49">
        <f t="shared" ca="1" si="97"/>
        <v>3.4923069476166906</v>
      </c>
      <c r="S348" s="49">
        <f t="shared" ca="1" si="97"/>
        <v>3.7549575000000002</v>
      </c>
      <c r="T348" s="49">
        <f t="shared" ca="1" si="97"/>
        <v>3.0262276997664883</v>
      </c>
      <c r="U348" s="49">
        <f t="shared" ca="1" si="97"/>
        <v>2.7435704973479997</v>
      </c>
      <c r="V348" s="49">
        <f t="shared" ca="1" si="97"/>
        <v>2.5515205625336392</v>
      </c>
      <c r="W348" s="49">
        <f t="shared" ca="1" si="97"/>
        <v>2.372914123156284</v>
      </c>
      <c r="X348" s="49">
        <f t="shared" ca="1" si="97"/>
        <v>2.2068101345353446</v>
      </c>
      <c r="Y348" s="49">
        <f t="shared" ca="1" si="97"/>
        <v>0</v>
      </c>
      <c r="Z348" s="49">
        <f t="shared" ca="1" si="97"/>
        <v>0</v>
      </c>
      <c r="AA348" s="49">
        <f t="shared" ca="1" si="97"/>
        <v>0</v>
      </c>
      <c r="AB348" s="49">
        <f t="shared" ca="1" si="97"/>
        <v>0</v>
      </c>
      <c r="AC348" s="49">
        <f t="shared" ca="1" si="97"/>
        <v>0</v>
      </c>
      <c r="AD348" s="49">
        <f t="shared" ca="1" si="97"/>
        <v>0</v>
      </c>
      <c r="AE348" s="49">
        <f t="shared" ca="1" si="97"/>
        <v>0</v>
      </c>
      <c r="AF348" s="49">
        <f t="shared" ca="1" si="97"/>
        <v>0</v>
      </c>
      <c r="AG348" s="49">
        <f t="shared" ca="1" si="97"/>
        <v>0</v>
      </c>
      <c r="AH348" s="49">
        <f t="shared" ca="1" si="97"/>
        <v>0</v>
      </c>
      <c r="AI348" s="49">
        <f t="shared" ca="1" si="97"/>
        <v>0</v>
      </c>
      <c r="AJ348" s="49">
        <f t="shared" ca="1" si="97"/>
        <v>0</v>
      </c>
      <c r="AK348" s="49">
        <f t="shared" ca="1" si="97"/>
        <v>0</v>
      </c>
      <c r="AL348" s="49">
        <f t="shared" ca="1" si="97"/>
        <v>0</v>
      </c>
      <c r="AM348" s="49">
        <f t="shared" ca="1" si="97"/>
        <v>0</v>
      </c>
      <c r="AN348" s="49">
        <f t="shared" ca="1" si="97"/>
        <v>0</v>
      </c>
      <c r="AO348" s="49">
        <f t="shared" ca="1" si="97"/>
        <v>0</v>
      </c>
      <c r="AP348" s="49">
        <f t="shared" ca="1" si="97"/>
        <v>0</v>
      </c>
      <c r="AQ348" s="49">
        <f t="shared" ca="1" si="97"/>
        <v>0</v>
      </c>
      <c r="AR348" s="49">
        <f t="shared" ca="1" si="97"/>
        <v>0</v>
      </c>
      <c r="AS348" s="49">
        <f t="shared" ca="1" si="97"/>
        <v>0</v>
      </c>
      <c r="AT348" s="49">
        <f t="shared" ca="1" si="97"/>
        <v>0</v>
      </c>
      <c r="AU348" s="49">
        <f t="shared" ca="1" si="97"/>
        <v>0</v>
      </c>
      <c r="AV348" s="49">
        <f t="shared" ca="1" si="97"/>
        <v>0</v>
      </c>
      <c r="AW348" s="49">
        <f t="shared" ca="1" si="97"/>
        <v>0</v>
      </c>
      <c r="AX348" s="49">
        <f t="shared" ca="1" si="97"/>
        <v>0</v>
      </c>
      <c r="AY348" s="49">
        <f t="shared" ca="1" si="97"/>
        <v>0</v>
      </c>
      <c r="AZ348" s="49">
        <f t="shared" ca="1" si="97"/>
        <v>0</v>
      </c>
      <c r="BA348" s="49">
        <f t="shared" ca="1" si="97"/>
        <v>0</v>
      </c>
      <c r="BB348" s="49">
        <f t="shared" ca="1" si="97"/>
        <v>0</v>
      </c>
      <c r="BC348" s="49">
        <f t="shared" ca="1" si="97"/>
        <v>0</v>
      </c>
      <c r="BD348" s="49">
        <f t="shared" ca="1" si="97"/>
        <v>0</v>
      </c>
      <c r="BE348" s="49">
        <f t="shared" ca="1" si="97"/>
        <v>0</v>
      </c>
      <c r="BF348" s="49">
        <f t="shared" ca="1" si="97"/>
        <v>0</v>
      </c>
      <c r="BG348" s="49">
        <f t="shared" ca="1" si="97"/>
        <v>0</v>
      </c>
      <c r="BH348" s="49">
        <f t="shared" ca="1" si="97"/>
        <v>0</v>
      </c>
      <c r="BI348" s="49">
        <f t="shared" ca="1" si="97"/>
        <v>0</v>
      </c>
      <c r="BJ348" s="49">
        <f t="shared" ca="1" si="97"/>
        <v>0</v>
      </c>
      <c r="BK348" s="49">
        <f t="shared" ca="1" si="97"/>
        <v>0</v>
      </c>
      <c r="BL348" s="49">
        <f t="shared" ca="1" si="97"/>
        <v>0</v>
      </c>
      <c r="BM348" s="49">
        <f t="shared" ca="1" si="97"/>
        <v>0</v>
      </c>
      <c r="BN348" s="49">
        <f t="shared" ca="1" si="97"/>
        <v>0</v>
      </c>
      <c r="BO348" s="49">
        <f t="shared" ca="1" si="97"/>
        <v>0</v>
      </c>
      <c r="BP348" s="49">
        <f t="shared" ca="1" si="97"/>
        <v>0</v>
      </c>
      <c r="BQ348" s="49">
        <f t="shared" ca="1" si="97"/>
        <v>0</v>
      </c>
      <c r="BR348" s="49">
        <f t="shared" ca="1" si="97"/>
        <v>0</v>
      </c>
      <c r="BS348" s="49">
        <f t="shared" ca="1" si="97"/>
        <v>0</v>
      </c>
    </row>
    <row r="349" spans="3:71" outlineLevel="1" x14ac:dyDescent="0.2">
      <c r="J349" s="26"/>
      <c r="L349" s="55"/>
      <c r="M349" s="55"/>
      <c r="N349" s="55"/>
      <c r="O349" s="55"/>
      <c r="P349" s="55"/>
      <c r="Q349" s="55"/>
      <c r="R349" s="55"/>
      <c r="S349" s="55"/>
      <c r="T349" s="55"/>
      <c r="U349" s="55"/>
      <c r="V349" s="55"/>
      <c r="W349" s="55"/>
      <c r="X349" s="55"/>
      <c r="Y349" s="55"/>
      <c r="Z349" s="55"/>
      <c r="AA349" s="55"/>
      <c r="AB349" s="55"/>
      <c r="AC349" s="55"/>
      <c r="AD349" s="55"/>
      <c r="AE349" s="55"/>
      <c r="AF349" s="55"/>
      <c r="AG349" s="55"/>
      <c r="AH349" s="55"/>
      <c r="AI349" s="55"/>
      <c r="AJ349" s="55"/>
      <c r="AK349" s="55"/>
      <c r="AL349" s="55"/>
      <c r="AM349" s="55"/>
      <c r="AN349" s="55"/>
      <c r="AO349" s="55"/>
      <c r="AP349" s="55"/>
      <c r="AQ349" s="55"/>
      <c r="AR349" s="55"/>
      <c r="AS349" s="55"/>
      <c r="AT349" s="55"/>
      <c r="AU349" s="55"/>
      <c r="AV349" s="55"/>
      <c r="AW349" s="55"/>
      <c r="AX349" s="55"/>
      <c r="AY349" s="55"/>
      <c r="AZ349" s="55"/>
      <c r="BA349" s="55"/>
      <c r="BB349" s="55"/>
      <c r="BC349" s="55"/>
      <c r="BD349" s="55"/>
      <c r="BE349" s="55"/>
      <c r="BF349" s="55"/>
      <c r="BG349" s="55"/>
      <c r="BH349" s="55"/>
      <c r="BI349" s="55"/>
      <c r="BJ349" s="55"/>
      <c r="BK349" s="55"/>
      <c r="BL349" s="55"/>
      <c r="BM349" s="55"/>
      <c r="BN349" s="55"/>
      <c r="BO349" s="55"/>
      <c r="BP349" s="55"/>
      <c r="BQ349" s="55"/>
      <c r="BR349" s="55"/>
      <c r="BS349" s="55"/>
    </row>
    <row r="350" spans="3:71" outlineLevel="1" x14ac:dyDescent="0.2">
      <c r="C350" s="11" t="str">
        <f>HM_ZB_Nsoko!C363</f>
        <v>Volumes de droits selon participation - Gaz</v>
      </c>
      <c r="J350" s="26"/>
      <c r="L350" s="55"/>
      <c r="M350" s="55"/>
      <c r="N350" s="55"/>
      <c r="O350" s="55"/>
      <c r="P350" s="55"/>
      <c r="Q350" s="55"/>
      <c r="R350" s="55"/>
      <c r="S350" s="55"/>
      <c r="T350" s="55"/>
      <c r="U350" s="55"/>
      <c r="V350" s="55"/>
      <c r="W350" s="55"/>
      <c r="X350" s="55"/>
      <c r="Y350" s="55"/>
      <c r="Z350" s="55"/>
      <c r="AA350" s="55"/>
      <c r="AB350" s="55"/>
      <c r="AC350" s="55"/>
      <c r="AD350" s="55"/>
      <c r="AE350" s="55"/>
      <c r="AF350" s="55"/>
      <c r="AG350" s="55"/>
      <c r="AH350" s="55"/>
      <c r="AI350" s="55"/>
      <c r="AJ350" s="55"/>
      <c r="AK350" s="55"/>
      <c r="AL350" s="55"/>
      <c r="AM350" s="55"/>
      <c r="AN350" s="55"/>
      <c r="AO350" s="55"/>
      <c r="AP350" s="55"/>
      <c r="AQ350" s="55"/>
      <c r="AR350" s="55"/>
      <c r="AS350" s="55"/>
      <c r="AT350" s="55"/>
      <c r="AU350" s="55"/>
      <c r="AV350" s="55"/>
      <c r="AW350" s="55"/>
      <c r="AX350" s="55"/>
      <c r="AY350" s="55"/>
      <c r="AZ350" s="55"/>
      <c r="BA350" s="55"/>
      <c r="BB350" s="55"/>
      <c r="BC350" s="55"/>
      <c r="BD350" s="55"/>
      <c r="BE350" s="55"/>
      <c r="BF350" s="55"/>
      <c r="BG350" s="55"/>
      <c r="BH350" s="55"/>
      <c r="BI350" s="55"/>
      <c r="BJ350" s="55"/>
      <c r="BK350" s="55"/>
      <c r="BL350" s="55"/>
      <c r="BM350" s="55"/>
      <c r="BN350" s="55"/>
      <c r="BO350" s="55"/>
      <c r="BP350" s="55"/>
      <c r="BQ350" s="55"/>
      <c r="BR350" s="55"/>
      <c r="BS350" s="55"/>
    </row>
    <row r="351" spans="3:71" outlineLevel="1" x14ac:dyDescent="0.2">
      <c r="D351" t="str">
        <f>HM_ZB_Nsoko!D364</f>
        <v>Consortium compagnie pétrolières internationales</v>
      </c>
      <c r="I351" s="30">
        <f t="shared" ref="I351:I353" ca="1" si="98">SUM($L351:$BS351)</f>
        <v>0</v>
      </c>
      <c r="J351" s="26" t="s">
        <v>148</v>
      </c>
      <c r="L351" s="49">
        <f ca="1">L328*KLL_II_2020!CA_IOC_WI</f>
        <v>0</v>
      </c>
      <c r="M351" s="49">
        <f ca="1">M328*KLL_II_2020!CA_IOC_WI</f>
        <v>0</v>
      </c>
      <c r="N351" s="49">
        <f ca="1">N328*KLL_II_2020!CA_IOC_WI</f>
        <v>0</v>
      </c>
      <c r="O351" s="49">
        <f ca="1">O328*KLL_II_2020!CA_IOC_WI</f>
        <v>0</v>
      </c>
      <c r="P351" s="49">
        <f ca="1">P328*KLL_II_2020!CA_IOC_WI</f>
        <v>0</v>
      </c>
      <c r="Q351" s="49">
        <f ca="1">Q328*KLL_II_2020!CA_IOC_WI</f>
        <v>0</v>
      </c>
      <c r="R351" s="49">
        <f ca="1">R328*KLL_II_2020!CA_IOC_WI</f>
        <v>0</v>
      </c>
      <c r="S351" s="49">
        <f ca="1">S328*KLL_II_2020!CA_IOC_WI</f>
        <v>0</v>
      </c>
      <c r="T351" s="49">
        <f ca="1">T328*KLL_II_2020!CA_IOC_WI</f>
        <v>0</v>
      </c>
      <c r="U351" s="49">
        <f ca="1">U328*KLL_II_2020!CA_IOC_WI</f>
        <v>0</v>
      </c>
      <c r="V351" s="49">
        <f ca="1">V328*KLL_II_2020!CA_IOC_WI</f>
        <v>0</v>
      </c>
      <c r="W351" s="49">
        <f ca="1">W328*KLL_II_2020!CA_IOC_WI</f>
        <v>0</v>
      </c>
      <c r="X351" s="49">
        <f ca="1">X328*KLL_II_2020!CA_IOC_WI</f>
        <v>0</v>
      </c>
      <c r="Y351" s="49">
        <f ca="1">Y328*KLL_II_2020!CA_IOC_WI</f>
        <v>0</v>
      </c>
      <c r="Z351" s="49">
        <f ca="1">Z328*KLL_II_2020!CA_IOC_WI</f>
        <v>0</v>
      </c>
      <c r="AA351" s="49">
        <f ca="1">AA328*KLL_II_2020!CA_IOC_WI</f>
        <v>0</v>
      </c>
      <c r="AB351" s="49">
        <f ca="1">AB328*KLL_II_2020!CA_IOC_WI</f>
        <v>0</v>
      </c>
      <c r="AC351" s="49">
        <f ca="1">AC328*KLL_II_2020!CA_IOC_WI</f>
        <v>0</v>
      </c>
      <c r="AD351" s="49">
        <f ca="1">AD328*KLL_II_2020!CA_IOC_WI</f>
        <v>0</v>
      </c>
      <c r="AE351" s="49">
        <f ca="1">AE328*KLL_II_2020!CA_IOC_WI</f>
        <v>0</v>
      </c>
      <c r="AF351" s="49">
        <f ca="1">AF328*KLL_II_2020!CA_IOC_WI</f>
        <v>0</v>
      </c>
      <c r="AG351" s="49">
        <f ca="1">AG328*KLL_II_2020!CA_IOC_WI</f>
        <v>0</v>
      </c>
      <c r="AH351" s="49">
        <f ca="1">AH328*KLL_II_2020!CA_IOC_WI</f>
        <v>0</v>
      </c>
      <c r="AI351" s="49">
        <f ca="1">AI328*KLL_II_2020!CA_IOC_WI</f>
        <v>0</v>
      </c>
      <c r="AJ351" s="49">
        <f ca="1">AJ328*KLL_II_2020!CA_IOC_WI</f>
        <v>0</v>
      </c>
      <c r="AK351" s="49">
        <f ca="1">AK328*KLL_II_2020!CA_IOC_WI</f>
        <v>0</v>
      </c>
      <c r="AL351" s="49">
        <f ca="1">AL328*KLL_II_2020!CA_IOC_WI</f>
        <v>0</v>
      </c>
      <c r="AM351" s="49">
        <f ca="1">AM328*KLL_II_2020!CA_IOC_WI</f>
        <v>0</v>
      </c>
      <c r="AN351" s="49">
        <f ca="1">AN328*KLL_II_2020!CA_IOC_WI</f>
        <v>0</v>
      </c>
      <c r="AO351" s="49">
        <f ca="1">AO328*KLL_II_2020!CA_IOC_WI</f>
        <v>0</v>
      </c>
      <c r="AP351" s="49">
        <f ca="1">AP328*KLL_II_2020!CA_IOC_WI</f>
        <v>0</v>
      </c>
      <c r="AQ351" s="49">
        <f ca="1">AQ328*KLL_II_2020!CA_IOC_WI</f>
        <v>0</v>
      </c>
      <c r="AR351" s="49">
        <f ca="1">AR328*KLL_II_2020!CA_IOC_WI</f>
        <v>0</v>
      </c>
      <c r="AS351" s="49">
        <f ca="1">AS328*KLL_II_2020!CA_IOC_WI</f>
        <v>0</v>
      </c>
      <c r="AT351" s="49">
        <f ca="1">AT328*KLL_II_2020!CA_IOC_WI</f>
        <v>0</v>
      </c>
      <c r="AU351" s="49">
        <f ca="1">AU328*KLL_II_2020!CA_IOC_WI</f>
        <v>0</v>
      </c>
      <c r="AV351" s="49">
        <f ca="1">AV328*KLL_II_2020!CA_IOC_WI</f>
        <v>0</v>
      </c>
      <c r="AW351" s="49">
        <f ca="1">AW328*KLL_II_2020!CA_IOC_WI</f>
        <v>0</v>
      </c>
      <c r="AX351" s="49">
        <f ca="1">AX328*KLL_II_2020!CA_IOC_WI</f>
        <v>0</v>
      </c>
      <c r="AY351" s="49">
        <f ca="1">AY328*KLL_II_2020!CA_IOC_WI</f>
        <v>0</v>
      </c>
      <c r="AZ351" s="49">
        <f ca="1">AZ328*KLL_II_2020!CA_IOC_WI</f>
        <v>0</v>
      </c>
      <c r="BA351" s="49">
        <f ca="1">BA328*KLL_II_2020!CA_IOC_WI</f>
        <v>0</v>
      </c>
      <c r="BB351" s="49">
        <f ca="1">BB328*KLL_II_2020!CA_IOC_WI</f>
        <v>0</v>
      </c>
      <c r="BC351" s="49">
        <f ca="1">BC328*KLL_II_2020!CA_IOC_WI</f>
        <v>0</v>
      </c>
      <c r="BD351" s="49">
        <f ca="1">BD328*KLL_II_2020!CA_IOC_WI</f>
        <v>0</v>
      </c>
      <c r="BE351" s="49">
        <f ca="1">BE328*KLL_II_2020!CA_IOC_WI</f>
        <v>0</v>
      </c>
      <c r="BF351" s="49">
        <f ca="1">BF328*KLL_II_2020!CA_IOC_WI</f>
        <v>0</v>
      </c>
      <c r="BG351" s="49">
        <f ca="1">BG328*KLL_II_2020!CA_IOC_WI</f>
        <v>0</v>
      </c>
      <c r="BH351" s="49">
        <f ca="1">BH328*KLL_II_2020!CA_IOC_WI</f>
        <v>0</v>
      </c>
      <c r="BI351" s="49">
        <f ca="1">BI328*KLL_II_2020!CA_IOC_WI</f>
        <v>0</v>
      </c>
      <c r="BJ351" s="49">
        <f ca="1">BJ328*KLL_II_2020!CA_IOC_WI</f>
        <v>0</v>
      </c>
      <c r="BK351" s="49">
        <f ca="1">BK328*KLL_II_2020!CA_IOC_WI</f>
        <v>0</v>
      </c>
      <c r="BL351" s="49">
        <f ca="1">BL328*KLL_II_2020!CA_IOC_WI</f>
        <v>0</v>
      </c>
      <c r="BM351" s="49">
        <f ca="1">BM328*KLL_II_2020!CA_IOC_WI</f>
        <v>0</v>
      </c>
      <c r="BN351" s="49">
        <f ca="1">BN328*KLL_II_2020!CA_IOC_WI</f>
        <v>0</v>
      </c>
      <c r="BO351" s="49">
        <f ca="1">BO328*KLL_II_2020!CA_IOC_WI</f>
        <v>0</v>
      </c>
      <c r="BP351" s="49">
        <f ca="1">BP328*KLL_II_2020!CA_IOC_WI</f>
        <v>0</v>
      </c>
      <c r="BQ351" s="49">
        <f ca="1">BQ328*KLL_II_2020!CA_IOC_WI</f>
        <v>0</v>
      </c>
      <c r="BR351" s="49">
        <f ca="1">BR328*KLL_II_2020!CA_IOC_WI</f>
        <v>0</v>
      </c>
      <c r="BS351" s="49">
        <f ca="1">BS328*KLL_II_2020!CA_IOC_WI</f>
        <v>0</v>
      </c>
    </row>
    <row r="352" spans="3:71" outlineLevel="1" x14ac:dyDescent="0.2">
      <c r="D352" t="str">
        <f>HM_ZB_Nsoko!D365</f>
        <v>Participation compagnie nationale/État</v>
      </c>
      <c r="I352" s="30">
        <f t="shared" ca="1" si="98"/>
        <v>0</v>
      </c>
      <c r="J352" s="26" t="s">
        <v>148</v>
      </c>
      <c r="L352" s="49">
        <f ca="1">L328*KLL_II_2020!CA_NOC_WI</f>
        <v>0</v>
      </c>
      <c r="M352" s="49">
        <f ca="1">M328*KLL_II_2020!CA_NOC_WI</f>
        <v>0</v>
      </c>
      <c r="N352" s="49">
        <f ca="1">N328*KLL_II_2020!CA_NOC_WI</f>
        <v>0</v>
      </c>
      <c r="O352" s="49">
        <f ca="1">O328*KLL_II_2020!CA_NOC_WI</f>
        <v>0</v>
      </c>
      <c r="P352" s="49">
        <f ca="1">P328*KLL_II_2020!CA_NOC_WI</f>
        <v>0</v>
      </c>
      <c r="Q352" s="49">
        <f ca="1">Q328*KLL_II_2020!CA_NOC_WI</f>
        <v>0</v>
      </c>
      <c r="R352" s="49">
        <f ca="1">R328*KLL_II_2020!CA_NOC_WI</f>
        <v>0</v>
      </c>
      <c r="S352" s="49">
        <f ca="1">S328*KLL_II_2020!CA_NOC_WI</f>
        <v>0</v>
      </c>
      <c r="T352" s="49">
        <f ca="1">T328*KLL_II_2020!CA_NOC_WI</f>
        <v>0</v>
      </c>
      <c r="U352" s="49">
        <f ca="1">U328*KLL_II_2020!CA_NOC_WI</f>
        <v>0</v>
      </c>
      <c r="V352" s="49">
        <f ca="1">V328*KLL_II_2020!CA_NOC_WI</f>
        <v>0</v>
      </c>
      <c r="W352" s="49">
        <f ca="1">W328*KLL_II_2020!CA_NOC_WI</f>
        <v>0</v>
      </c>
      <c r="X352" s="49">
        <f ca="1">X328*KLL_II_2020!CA_NOC_WI</f>
        <v>0</v>
      </c>
      <c r="Y352" s="49">
        <f ca="1">Y328*KLL_II_2020!CA_NOC_WI</f>
        <v>0</v>
      </c>
      <c r="Z352" s="49">
        <f ca="1">Z328*KLL_II_2020!CA_NOC_WI</f>
        <v>0</v>
      </c>
      <c r="AA352" s="49">
        <f ca="1">AA328*KLL_II_2020!CA_NOC_WI</f>
        <v>0</v>
      </c>
      <c r="AB352" s="49">
        <f ca="1">AB328*KLL_II_2020!CA_NOC_WI</f>
        <v>0</v>
      </c>
      <c r="AC352" s="49">
        <f ca="1">AC328*KLL_II_2020!CA_NOC_WI</f>
        <v>0</v>
      </c>
      <c r="AD352" s="49">
        <f ca="1">AD328*KLL_II_2020!CA_NOC_WI</f>
        <v>0</v>
      </c>
      <c r="AE352" s="49">
        <f ca="1">AE328*KLL_II_2020!CA_NOC_WI</f>
        <v>0</v>
      </c>
      <c r="AF352" s="49">
        <f ca="1">AF328*KLL_II_2020!CA_NOC_WI</f>
        <v>0</v>
      </c>
      <c r="AG352" s="49">
        <f ca="1">AG328*KLL_II_2020!CA_NOC_WI</f>
        <v>0</v>
      </c>
      <c r="AH352" s="49">
        <f ca="1">AH328*KLL_II_2020!CA_NOC_WI</f>
        <v>0</v>
      </c>
      <c r="AI352" s="49">
        <f ca="1">AI328*KLL_II_2020!CA_NOC_WI</f>
        <v>0</v>
      </c>
      <c r="AJ352" s="49">
        <f ca="1">AJ328*KLL_II_2020!CA_NOC_WI</f>
        <v>0</v>
      </c>
      <c r="AK352" s="49">
        <f ca="1">AK328*KLL_II_2020!CA_NOC_WI</f>
        <v>0</v>
      </c>
      <c r="AL352" s="49">
        <f ca="1">AL328*KLL_II_2020!CA_NOC_WI</f>
        <v>0</v>
      </c>
      <c r="AM352" s="49">
        <f ca="1">AM328*KLL_II_2020!CA_NOC_WI</f>
        <v>0</v>
      </c>
      <c r="AN352" s="49">
        <f ca="1">AN328*KLL_II_2020!CA_NOC_WI</f>
        <v>0</v>
      </c>
      <c r="AO352" s="49">
        <f ca="1">AO328*KLL_II_2020!CA_NOC_WI</f>
        <v>0</v>
      </c>
      <c r="AP352" s="49">
        <f ca="1">AP328*KLL_II_2020!CA_NOC_WI</f>
        <v>0</v>
      </c>
      <c r="AQ352" s="49">
        <f ca="1">AQ328*KLL_II_2020!CA_NOC_WI</f>
        <v>0</v>
      </c>
      <c r="AR352" s="49">
        <f ca="1">AR328*KLL_II_2020!CA_NOC_WI</f>
        <v>0</v>
      </c>
      <c r="AS352" s="49">
        <f ca="1">AS328*KLL_II_2020!CA_NOC_WI</f>
        <v>0</v>
      </c>
      <c r="AT352" s="49">
        <f ca="1">AT328*KLL_II_2020!CA_NOC_WI</f>
        <v>0</v>
      </c>
      <c r="AU352" s="49">
        <f ca="1">AU328*KLL_II_2020!CA_NOC_WI</f>
        <v>0</v>
      </c>
      <c r="AV352" s="49">
        <f ca="1">AV328*KLL_II_2020!CA_NOC_WI</f>
        <v>0</v>
      </c>
      <c r="AW352" s="49">
        <f ca="1">AW328*KLL_II_2020!CA_NOC_WI</f>
        <v>0</v>
      </c>
      <c r="AX352" s="49">
        <f ca="1">AX328*KLL_II_2020!CA_NOC_WI</f>
        <v>0</v>
      </c>
      <c r="AY352" s="49">
        <f ca="1">AY328*KLL_II_2020!CA_NOC_WI</f>
        <v>0</v>
      </c>
      <c r="AZ352" s="49">
        <f ca="1">AZ328*KLL_II_2020!CA_NOC_WI</f>
        <v>0</v>
      </c>
      <c r="BA352" s="49">
        <f ca="1">BA328*KLL_II_2020!CA_NOC_WI</f>
        <v>0</v>
      </c>
      <c r="BB352" s="49">
        <f ca="1">BB328*KLL_II_2020!CA_NOC_WI</f>
        <v>0</v>
      </c>
      <c r="BC352" s="49">
        <f ca="1">BC328*KLL_II_2020!CA_NOC_WI</f>
        <v>0</v>
      </c>
      <c r="BD352" s="49">
        <f ca="1">BD328*KLL_II_2020!CA_NOC_WI</f>
        <v>0</v>
      </c>
      <c r="BE352" s="49">
        <f ca="1">BE328*KLL_II_2020!CA_NOC_WI</f>
        <v>0</v>
      </c>
      <c r="BF352" s="49">
        <f ca="1">BF328*KLL_II_2020!CA_NOC_WI</f>
        <v>0</v>
      </c>
      <c r="BG352" s="49">
        <f ca="1">BG328*KLL_II_2020!CA_NOC_WI</f>
        <v>0</v>
      </c>
      <c r="BH352" s="49">
        <f ca="1">BH328*KLL_II_2020!CA_NOC_WI</f>
        <v>0</v>
      </c>
      <c r="BI352" s="49">
        <f ca="1">BI328*KLL_II_2020!CA_NOC_WI</f>
        <v>0</v>
      </c>
      <c r="BJ352" s="49">
        <f ca="1">BJ328*KLL_II_2020!CA_NOC_WI</f>
        <v>0</v>
      </c>
      <c r="BK352" s="49">
        <f ca="1">BK328*KLL_II_2020!CA_NOC_WI</f>
        <v>0</v>
      </c>
      <c r="BL352" s="49">
        <f ca="1">BL328*KLL_II_2020!CA_NOC_WI</f>
        <v>0</v>
      </c>
      <c r="BM352" s="49">
        <f ca="1">BM328*KLL_II_2020!CA_NOC_WI</f>
        <v>0</v>
      </c>
      <c r="BN352" s="49">
        <f ca="1">BN328*KLL_II_2020!CA_NOC_WI</f>
        <v>0</v>
      </c>
      <c r="BO352" s="49">
        <f ca="1">BO328*KLL_II_2020!CA_NOC_WI</f>
        <v>0</v>
      </c>
      <c r="BP352" s="49">
        <f ca="1">BP328*KLL_II_2020!CA_NOC_WI</f>
        <v>0</v>
      </c>
      <c r="BQ352" s="49">
        <f ca="1">BQ328*KLL_II_2020!CA_NOC_WI</f>
        <v>0</v>
      </c>
      <c r="BR352" s="49">
        <f ca="1">BR328*KLL_II_2020!CA_NOC_WI</f>
        <v>0</v>
      </c>
      <c r="BS352" s="49">
        <f ca="1">BS328*KLL_II_2020!CA_NOC_WI</f>
        <v>0</v>
      </c>
    </row>
    <row r="353" spans="1:71" outlineLevel="1" x14ac:dyDescent="0.2">
      <c r="D353" s="11" t="str">
        <f>HM_ZB_Nsoko!D366</f>
        <v>Total</v>
      </c>
      <c r="I353" s="30">
        <f t="shared" ca="1" si="98"/>
        <v>0</v>
      </c>
      <c r="J353" s="26" t="s">
        <v>148</v>
      </c>
      <c r="L353" s="49">
        <f ca="1">SUM(L351:L352)</f>
        <v>0</v>
      </c>
      <c r="M353" s="49">
        <f t="shared" ref="M353:BS353" ca="1" si="99">SUM(M351:M352)</f>
        <v>0</v>
      </c>
      <c r="N353" s="49">
        <f t="shared" ca="1" si="99"/>
        <v>0</v>
      </c>
      <c r="O353" s="49">
        <f t="shared" ca="1" si="99"/>
        <v>0</v>
      </c>
      <c r="P353" s="49">
        <f t="shared" ca="1" si="99"/>
        <v>0</v>
      </c>
      <c r="Q353" s="49">
        <f t="shared" ca="1" si="99"/>
        <v>0</v>
      </c>
      <c r="R353" s="49">
        <f t="shared" ca="1" si="99"/>
        <v>0</v>
      </c>
      <c r="S353" s="49">
        <f t="shared" ca="1" si="99"/>
        <v>0</v>
      </c>
      <c r="T353" s="49">
        <f t="shared" ca="1" si="99"/>
        <v>0</v>
      </c>
      <c r="U353" s="49">
        <f t="shared" ca="1" si="99"/>
        <v>0</v>
      </c>
      <c r="V353" s="49">
        <f t="shared" ca="1" si="99"/>
        <v>0</v>
      </c>
      <c r="W353" s="49">
        <f t="shared" ca="1" si="99"/>
        <v>0</v>
      </c>
      <c r="X353" s="49">
        <f t="shared" ca="1" si="99"/>
        <v>0</v>
      </c>
      <c r="Y353" s="49">
        <f t="shared" ca="1" si="99"/>
        <v>0</v>
      </c>
      <c r="Z353" s="49">
        <f t="shared" ca="1" si="99"/>
        <v>0</v>
      </c>
      <c r="AA353" s="49">
        <f t="shared" ca="1" si="99"/>
        <v>0</v>
      </c>
      <c r="AB353" s="49">
        <f t="shared" ca="1" si="99"/>
        <v>0</v>
      </c>
      <c r="AC353" s="49">
        <f t="shared" ca="1" si="99"/>
        <v>0</v>
      </c>
      <c r="AD353" s="49">
        <f t="shared" ca="1" si="99"/>
        <v>0</v>
      </c>
      <c r="AE353" s="49">
        <f t="shared" ca="1" si="99"/>
        <v>0</v>
      </c>
      <c r="AF353" s="49">
        <f t="shared" ca="1" si="99"/>
        <v>0</v>
      </c>
      <c r="AG353" s="49">
        <f t="shared" ca="1" si="99"/>
        <v>0</v>
      </c>
      <c r="AH353" s="49">
        <f t="shared" ca="1" si="99"/>
        <v>0</v>
      </c>
      <c r="AI353" s="49">
        <f t="shared" ca="1" si="99"/>
        <v>0</v>
      </c>
      <c r="AJ353" s="49">
        <f t="shared" ca="1" si="99"/>
        <v>0</v>
      </c>
      <c r="AK353" s="49">
        <f t="shared" ca="1" si="99"/>
        <v>0</v>
      </c>
      <c r="AL353" s="49">
        <f t="shared" ca="1" si="99"/>
        <v>0</v>
      </c>
      <c r="AM353" s="49">
        <f t="shared" ca="1" si="99"/>
        <v>0</v>
      </c>
      <c r="AN353" s="49">
        <f t="shared" ca="1" si="99"/>
        <v>0</v>
      </c>
      <c r="AO353" s="49">
        <f t="shared" ca="1" si="99"/>
        <v>0</v>
      </c>
      <c r="AP353" s="49">
        <f t="shared" ca="1" si="99"/>
        <v>0</v>
      </c>
      <c r="AQ353" s="49">
        <f t="shared" ca="1" si="99"/>
        <v>0</v>
      </c>
      <c r="AR353" s="49">
        <f t="shared" ca="1" si="99"/>
        <v>0</v>
      </c>
      <c r="AS353" s="49">
        <f t="shared" ca="1" si="99"/>
        <v>0</v>
      </c>
      <c r="AT353" s="49">
        <f t="shared" ca="1" si="99"/>
        <v>0</v>
      </c>
      <c r="AU353" s="49">
        <f t="shared" ca="1" si="99"/>
        <v>0</v>
      </c>
      <c r="AV353" s="49">
        <f t="shared" ca="1" si="99"/>
        <v>0</v>
      </c>
      <c r="AW353" s="49">
        <f t="shared" ca="1" si="99"/>
        <v>0</v>
      </c>
      <c r="AX353" s="49">
        <f t="shared" ca="1" si="99"/>
        <v>0</v>
      </c>
      <c r="AY353" s="49">
        <f t="shared" ca="1" si="99"/>
        <v>0</v>
      </c>
      <c r="AZ353" s="49">
        <f t="shared" ca="1" si="99"/>
        <v>0</v>
      </c>
      <c r="BA353" s="49">
        <f t="shared" ca="1" si="99"/>
        <v>0</v>
      </c>
      <c r="BB353" s="49">
        <f t="shared" ca="1" si="99"/>
        <v>0</v>
      </c>
      <c r="BC353" s="49">
        <f t="shared" ca="1" si="99"/>
        <v>0</v>
      </c>
      <c r="BD353" s="49">
        <f t="shared" ca="1" si="99"/>
        <v>0</v>
      </c>
      <c r="BE353" s="49">
        <f t="shared" ca="1" si="99"/>
        <v>0</v>
      </c>
      <c r="BF353" s="49">
        <f t="shared" ca="1" si="99"/>
        <v>0</v>
      </c>
      <c r="BG353" s="49">
        <f t="shared" ca="1" si="99"/>
        <v>0</v>
      </c>
      <c r="BH353" s="49">
        <f t="shared" ca="1" si="99"/>
        <v>0</v>
      </c>
      <c r="BI353" s="49">
        <f t="shared" ca="1" si="99"/>
        <v>0</v>
      </c>
      <c r="BJ353" s="49">
        <f t="shared" ca="1" si="99"/>
        <v>0</v>
      </c>
      <c r="BK353" s="49">
        <f t="shared" ca="1" si="99"/>
        <v>0</v>
      </c>
      <c r="BL353" s="49">
        <f t="shared" ca="1" si="99"/>
        <v>0</v>
      </c>
      <c r="BM353" s="49">
        <f t="shared" ca="1" si="99"/>
        <v>0</v>
      </c>
      <c r="BN353" s="49">
        <f t="shared" ca="1" si="99"/>
        <v>0</v>
      </c>
      <c r="BO353" s="49">
        <f t="shared" ca="1" si="99"/>
        <v>0</v>
      </c>
      <c r="BP353" s="49">
        <f t="shared" ca="1" si="99"/>
        <v>0</v>
      </c>
      <c r="BQ353" s="49">
        <f t="shared" ca="1" si="99"/>
        <v>0</v>
      </c>
      <c r="BR353" s="49">
        <f t="shared" ca="1" si="99"/>
        <v>0</v>
      </c>
      <c r="BS353" s="49">
        <f t="shared" ca="1" si="99"/>
        <v>0</v>
      </c>
    </row>
    <row r="354" spans="1:71" outlineLevel="1" x14ac:dyDescent="0.2">
      <c r="J354" s="26"/>
      <c r="L354" s="55"/>
      <c r="M354" s="55"/>
      <c r="N354" s="55"/>
      <c r="O354" s="55"/>
      <c r="P354" s="55"/>
      <c r="Q354" s="55"/>
      <c r="R354" s="55"/>
      <c r="S354" s="55"/>
      <c r="T354" s="55"/>
      <c r="U354" s="55"/>
      <c r="V354" s="55"/>
      <c r="W354" s="55"/>
      <c r="X354" s="55"/>
      <c r="Y354" s="55"/>
      <c r="Z354" s="55"/>
      <c r="AA354" s="55"/>
      <c r="AB354" s="55"/>
      <c r="AC354" s="55"/>
      <c r="AD354" s="55"/>
      <c r="AE354" s="55"/>
      <c r="AF354" s="55"/>
      <c r="AG354" s="55"/>
      <c r="AH354" s="55"/>
      <c r="AI354" s="55"/>
      <c r="AJ354" s="55"/>
      <c r="AK354" s="55"/>
      <c r="AL354" s="55"/>
      <c r="AM354" s="55"/>
      <c r="AN354" s="55"/>
      <c r="AO354" s="55"/>
      <c r="AP354" s="55"/>
      <c r="AQ354" s="55"/>
      <c r="AR354" s="55"/>
      <c r="AS354" s="55"/>
      <c r="AT354" s="55"/>
      <c r="AU354" s="55"/>
      <c r="AV354" s="55"/>
      <c r="AW354" s="55"/>
      <c r="AX354" s="55"/>
      <c r="AY354" s="55"/>
      <c r="AZ354" s="55"/>
      <c r="BA354" s="55"/>
      <c r="BB354" s="55"/>
      <c r="BC354" s="55"/>
      <c r="BD354" s="55"/>
      <c r="BE354" s="55"/>
      <c r="BF354" s="55"/>
      <c r="BG354" s="55"/>
      <c r="BH354" s="55"/>
      <c r="BI354" s="55"/>
      <c r="BJ354" s="55"/>
      <c r="BK354" s="55"/>
      <c r="BL354" s="55"/>
      <c r="BM354" s="55"/>
      <c r="BN354" s="55"/>
      <c r="BO354" s="55"/>
      <c r="BP354" s="55"/>
      <c r="BQ354" s="55"/>
      <c r="BR354" s="55"/>
      <c r="BS354" s="55"/>
    </row>
    <row r="355" spans="1:71" outlineLevel="1" x14ac:dyDescent="0.2">
      <c r="J355" s="26"/>
      <c r="L355" s="55"/>
      <c r="M355" s="55"/>
      <c r="N355" s="55"/>
      <c r="O355" s="55"/>
      <c r="P355" s="55"/>
      <c r="Q355" s="55"/>
      <c r="R355" s="55"/>
      <c r="S355" s="55"/>
      <c r="T355" s="55"/>
      <c r="U355" s="55"/>
      <c r="V355" s="55"/>
      <c r="W355" s="55"/>
      <c r="X355" s="55"/>
      <c r="Y355" s="55"/>
      <c r="Z355" s="55"/>
      <c r="AA355" s="55"/>
      <c r="AB355" s="55"/>
      <c r="AC355" s="55"/>
      <c r="AD355" s="55"/>
      <c r="AE355" s="55"/>
      <c r="AF355" s="55"/>
      <c r="AG355" s="55"/>
      <c r="AH355" s="55"/>
      <c r="AI355" s="55"/>
      <c r="AJ355" s="55"/>
      <c r="AK355" s="55"/>
      <c r="AL355" s="55"/>
      <c r="AM355" s="55"/>
      <c r="AN355" s="55"/>
      <c r="AO355" s="55"/>
      <c r="AP355" s="55"/>
      <c r="AQ355" s="55"/>
      <c r="AR355" s="55"/>
      <c r="AS355" s="55"/>
      <c r="AT355" s="55"/>
      <c r="AU355" s="55"/>
      <c r="AV355" s="55"/>
      <c r="AW355" s="55"/>
      <c r="AX355" s="55"/>
      <c r="AY355" s="55"/>
      <c r="AZ355" s="55"/>
      <c r="BA355" s="55"/>
      <c r="BB355" s="55"/>
      <c r="BC355" s="55"/>
      <c r="BD355" s="55"/>
      <c r="BE355" s="55"/>
      <c r="BF355" s="55"/>
      <c r="BG355" s="55"/>
      <c r="BH355" s="55"/>
      <c r="BI355" s="55"/>
      <c r="BJ355" s="55"/>
      <c r="BK355" s="55"/>
      <c r="BL355" s="55"/>
      <c r="BM355" s="55"/>
      <c r="BN355" s="55"/>
      <c r="BO355" s="55"/>
      <c r="BP355" s="55"/>
      <c r="BQ355" s="55"/>
      <c r="BR355" s="55"/>
      <c r="BS355" s="55"/>
    </row>
    <row r="356" spans="1:71" outlineLevel="1" x14ac:dyDescent="0.2">
      <c r="J356" s="26"/>
      <c r="L356" s="55"/>
      <c r="M356" s="55"/>
      <c r="N356" s="55"/>
      <c r="O356" s="55"/>
      <c r="P356" s="55"/>
      <c r="Q356" s="55"/>
      <c r="R356" s="55"/>
      <c r="S356" s="55"/>
      <c r="T356" s="55"/>
      <c r="U356" s="55"/>
      <c r="V356" s="55"/>
      <c r="W356" s="55"/>
      <c r="X356" s="55"/>
      <c r="Y356" s="55"/>
      <c r="Z356" s="55"/>
      <c r="AA356" s="55"/>
      <c r="AB356" s="55"/>
      <c r="AC356" s="55"/>
      <c r="AD356" s="55"/>
      <c r="AE356" s="55"/>
      <c r="AF356" s="55"/>
      <c r="AG356" s="55"/>
      <c r="AH356" s="55"/>
      <c r="AI356" s="55"/>
      <c r="AJ356" s="55"/>
      <c r="AK356" s="55"/>
      <c r="AL356" s="55"/>
      <c r="AM356" s="55"/>
      <c r="AN356" s="55"/>
      <c r="AO356" s="55"/>
      <c r="AP356" s="55"/>
      <c r="AQ356" s="55"/>
      <c r="AR356" s="55"/>
      <c r="AS356" s="55"/>
      <c r="AT356" s="55"/>
      <c r="AU356" s="55"/>
      <c r="AV356" s="55"/>
      <c r="AW356" s="55"/>
      <c r="AX356" s="55"/>
      <c r="AY356" s="55"/>
      <c r="AZ356" s="55"/>
      <c r="BA356" s="55"/>
      <c r="BB356" s="55"/>
      <c r="BC356" s="55"/>
      <c r="BD356" s="55"/>
      <c r="BE356" s="55"/>
      <c r="BF356" s="55"/>
      <c r="BG356" s="55"/>
      <c r="BH356" s="55"/>
      <c r="BI356" s="55"/>
      <c r="BJ356" s="55"/>
      <c r="BK356" s="55"/>
      <c r="BL356" s="55"/>
      <c r="BM356" s="55"/>
      <c r="BN356" s="55"/>
      <c r="BO356" s="55"/>
      <c r="BP356" s="55"/>
      <c r="BQ356" s="55"/>
      <c r="BR356" s="55"/>
      <c r="BS356" s="55"/>
    </row>
    <row r="357" spans="1:71" outlineLevel="1" x14ac:dyDescent="0.2">
      <c r="J357" s="26"/>
      <c r="L357" s="55"/>
      <c r="M357" s="55"/>
      <c r="N357" s="55"/>
      <c r="O357" s="55"/>
      <c r="P357" s="55"/>
      <c r="Q357" s="55"/>
      <c r="R357" s="55"/>
      <c r="S357" s="55"/>
      <c r="T357" s="55"/>
      <c r="U357" s="55"/>
      <c r="V357" s="55"/>
      <c r="W357" s="55"/>
      <c r="X357" s="55"/>
      <c r="Y357" s="55"/>
      <c r="Z357" s="55"/>
      <c r="AA357" s="55"/>
      <c r="AB357" s="55"/>
      <c r="AC357" s="55"/>
      <c r="AD357" s="55"/>
      <c r="AE357" s="55"/>
      <c r="AF357" s="55"/>
      <c r="AG357" s="55"/>
      <c r="AH357" s="55"/>
      <c r="AI357" s="55"/>
      <c r="AJ357" s="55"/>
      <c r="AK357" s="55"/>
      <c r="AL357" s="55"/>
      <c r="AM357" s="55"/>
      <c r="AN357" s="55"/>
      <c r="AO357" s="55"/>
      <c r="AP357" s="55"/>
      <c r="AQ357" s="55"/>
      <c r="AR357" s="55"/>
      <c r="AS357" s="55"/>
      <c r="AT357" s="55"/>
      <c r="AU357" s="55"/>
      <c r="AV357" s="55"/>
      <c r="AW357" s="55"/>
      <c r="AX357" s="55"/>
      <c r="AY357" s="55"/>
      <c r="AZ357" s="55"/>
      <c r="BA357" s="55"/>
      <c r="BB357" s="55"/>
      <c r="BC357" s="55"/>
      <c r="BD357" s="55"/>
      <c r="BE357" s="55"/>
      <c r="BF357" s="55"/>
      <c r="BG357" s="55"/>
      <c r="BH357" s="55"/>
      <c r="BI357" s="55"/>
      <c r="BJ357" s="55"/>
      <c r="BK357" s="55"/>
      <c r="BL357" s="55"/>
      <c r="BM357" s="55"/>
      <c r="BN357" s="55"/>
      <c r="BO357" s="55"/>
      <c r="BP357" s="55"/>
      <c r="BQ357" s="55"/>
      <c r="BR357" s="55"/>
      <c r="BS357" s="55"/>
    </row>
    <row r="358" spans="1:71" outlineLevel="1" x14ac:dyDescent="0.2">
      <c r="J358" s="26"/>
      <c r="L358" s="55"/>
      <c r="M358" s="55"/>
      <c r="N358" s="55"/>
      <c r="O358" s="55"/>
      <c r="P358" s="55"/>
      <c r="Q358" s="55"/>
      <c r="R358" s="55"/>
      <c r="S358" s="55"/>
      <c r="T358" s="55"/>
      <c r="U358" s="55"/>
      <c r="V358" s="55"/>
      <c r="W358" s="55"/>
      <c r="X358" s="55"/>
      <c r="Y358" s="55"/>
      <c r="Z358" s="55"/>
      <c r="AA358" s="55"/>
      <c r="AB358" s="55"/>
      <c r="AC358" s="55"/>
      <c r="AD358" s="55"/>
      <c r="AE358" s="55"/>
      <c r="AF358" s="55"/>
      <c r="AG358" s="55"/>
      <c r="AH358" s="55"/>
      <c r="AI358" s="55"/>
      <c r="AJ358" s="55"/>
      <c r="AK358" s="55"/>
      <c r="AL358" s="55"/>
      <c r="AM358" s="55"/>
      <c r="AN358" s="55"/>
      <c r="AO358" s="55"/>
      <c r="AP358" s="55"/>
      <c r="AQ358" s="55"/>
      <c r="AR358" s="55"/>
      <c r="AS358" s="55"/>
      <c r="AT358" s="55"/>
      <c r="AU358" s="55"/>
      <c r="AV358" s="55"/>
      <c r="AW358" s="55"/>
      <c r="AX358" s="55"/>
      <c r="AY358" s="55"/>
      <c r="AZ358" s="55"/>
      <c r="BA358" s="55"/>
      <c r="BB358" s="55"/>
      <c r="BC358" s="55"/>
      <c r="BD358" s="55"/>
      <c r="BE358" s="55"/>
      <c r="BF358" s="55"/>
      <c r="BG358" s="55"/>
      <c r="BH358" s="55"/>
      <c r="BI358" s="55"/>
      <c r="BJ358" s="55"/>
      <c r="BK358" s="55"/>
      <c r="BL358" s="55"/>
      <c r="BM358" s="55"/>
      <c r="BN358" s="55"/>
      <c r="BO358" s="55"/>
      <c r="BP358" s="55"/>
      <c r="BQ358" s="55"/>
      <c r="BR358" s="55"/>
      <c r="BS358" s="55"/>
    </row>
    <row r="359" spans="1:71" outlineLevel="1" x14ac:dyDescent="0.2">
      <c r="J359" s="26"/>
      <c r="L359" s="55"/>
      <c r="M359" s="55"/>
      <c r="N359" s="55"/>
      <c r="O359" s="55"/>
      <c r="P359" s="55"/>
      <c r="Q359" s="55"/>
      <c r="R359" s="55"/>
      <c r="S359" s="55"/>
      <c r="T359" s="55"/>
      <c r="U359" s="55"/>
      <c r="V359" s="55"/>
      <c r="W359" s="55"/>
      <c r="X359" s="55"/>
      <c r="Y359" s="55"/>
      <c r="Z359" s="55"/>
      <c r="AA359" s="55"/>
      <c r="AB359" s="55"/>
      <c r="AC359" s="55"/>
      <c r="AD359" s="55"/>
      <c r="AE359" s="55"/>
      <c r="AF359" s="55"/>
      <c r="AG359" s="55"/>
      <c r="AH359" s="55"/>
      <c r="AI359" s="55"/>
      <c r="AJ359" s="55"/>
      <c r="AK359" s="55"/>
      <c r="AL359" s="55"/>
      <c r="AM359" s="55"/>
      <c r="AN359" s="55"/>
      <c r="AO359" s="55"/>
      <c r="AP359" s="55"/>
      <c r="AQ359" s="55"/>
      <c r="AR359" s="55"/>
      <c r="AS359" s="55"/>
      <c r="AT359" s="55"/>
      <c r="AU359" s="55"/>
      <c r="AV359" s="55"/>
      <c r="AW359" s="55"/>
      <c r="AX359" s="55"/>
      <c r="AY359" s="55"/>
      <c r="AZ359" s="55"/>
      <c r="BA359" s="55"/>
      <c r="BB359" s="55"/>
      <c r="BC359" s="55"/>
      <c r="BD359" s="55"/>
      <c r="BE359" s="55"/>
      <c r="BF359" s="55"/>
      <c r="BG359" s="55"/>
      <c r="BH359" s="55"/>
      <c r="BI359" s="55"/>
      <c r="BJ359" s="55"/>
      <c r="BK359" s="55"/>
      <c r="BL359" s="55"/>
      <c r="BM359" s="55"/>
      <c r="BN359" s="55"/>
      <c r="BO359" s="55"/>
      <c r="BP359" s="55"/>
      <c r="BQ359" s="55"/>
      <c r="BR359" s="55"/>
      <c r="BS359" s="55"/>
    </row>
    <row r="360" spans="1:71" outlineLevel="1" x14ac:dyDescent="0.2">
      <c r="A360" s="45"/>
      <c r="B360" s="38" t="str">
        <f>HM_ZB_Nsoko!B373</f>
        <v>Calculs des intérêts portés</v>
      </c>
      <c r="C360" s="45"/>
      <c r="D360" s="45"/>
      <c r="E360" s="45"/>
      <c r="J360" s="26"/>
      <c r="L360" s="55"/>
      <c r="M360" s="55"/>
      <c r="N360" s="55"/>
      <c r="O360" s="55"/>
      <c r="P360" s="55"/>
      <c r="Q360" s="55"/>
      <c r="R360" s="55"/>
      <c r="S360" s="55"/>
      <c r="T360" s="55"/>
      <c r="U360" s="55"/>
      <c r="V360" s="55"/>
      <c r="W360" s="55"/>
      <c r="X360" s="55"/>
      <c r="Y360" s="55"/>
      <c r="Z360" s="55"/>
      <c r="AA360" s="55"/>
      <c r="AB360" s="55"/>
      <c r="AC360" s="55"/>
      <c r="AD360" s="55"/>
      <c r="AE360" s="55"/>
      <c r="AF360" s="55"/>
      <c r="AG360" s="55"/>
      <c r="AH360" s="55"/>
      <c r="AI360" s="55"/>
      <c r="AJ360" s="55"/>
      <c r="AK360" s="55"/>
      <c r="AL360" s="55"/>
      <c r="AM360" s="55"/>
      <c r="AN360" s="55"/>
      <c r="AO360" s="55"/>
      <c r="AP360" s="55"/>
      <c r="AQ360" s="55"/>
      <c r="AR360" s="55"/>
      <c r="AS360" s="55"/>
      <c r="AT360" s="55"/>
      <c r="AU360" s="55"/>
      <c r="AV360" s="55"/>
      <c r="AW360" s="55"/>
      <c r="AX360" s="55"/>
      <c r="AY360" s="55"/>
      <c r="AZ360" s="55"/>
      <c r="BA360" s="55"/>
      <c r="BB360" s="55"/>
      <c r="BC360" s="55"/>
      <c r="BD360" s="55"/>
      <c r="BE360" s="55"/>
      <c r="BF360" s="55"/>
      <c r="BG360" s="55"/>
      <c r="BH360" s="55"/>
      <c r="BI360" s="55"/>
      <c r="BJ360" s="55"/>
      <c r="BK360" s="55"/>
      <c r="BL360" s="55"/>
      <c r="BM360" s="55"/>
      <c r="BN360" s="55"/>
      <c r="BO360" s="55"/>
      <c r="BP360" s="55"/>
      <c r="BQ360" s="55"/>
      <c r="BR360" s="55"/>
      <c r="BS360" s="55"/>
    </row>
    <row r="361" spans="1:71" outlineLevel="1" x14ac:dyDescent="0.2">
      <c r="J361" s="26"/>
      <c r="L361" s="55"/>
      <c r="M361" s="55"/>
      <c r="N361" s="55"/>
      <c r="O361" s="55"/>
      <c r="P361" s="55"/>
      <c r="Q361" s="55"/>
      <c r="R361" s="55"/>
      <c r="S361" s="55"/>
      <c r="T361" s="55"/>
      <c r="U361" s="55"/>
      <c r="V361" s="55"/>
      <c r="W361" s="55"/>
      <c r="X361" s="55"/>
      <c r="Y361" s="55"/>
      <c r="Z361" s="55"/>
      <c r="AA361" s="55"/>
      <c r="AB361" s="55"/>
      <c r="AC361" s="55"/>
      <c r="AD361" s="55"/>
      <c r="AE361" s="55"/>
      <c r="AF361" s="55"/>
      <c r="AG361" s="55"/>
      <c r="AH361" s="55"/>
      <c r="AI361" s="55"/>
      <c r="AJ361" s="55"/>
      <c r="AK361" s="55"/>
      <c r="AL361" s="55"/>
      <c r="AM361" s="55"/>
      <c r="AN361" s="55"/>
      <c r="AO361" s="55"/>
      <c r="AP361" s="55"/>
      <c r="AQ361" s="55"/>
      <c r="AR361" s="55"/>
      <c r="AS361" s="55"/>
      <c r="AT361" s="55"/>
      <c r="AU361" s="55"/>
      <c r="AV361" s="55"/>
      <c r="AW361" s="55"/>
      <c r="AX361" s="55"/>
      <c r="AY361" s="55"/>
      <c r="AZ361" s="55"/>
      <c r="BA361" s="55"/>
      <c r="BB361" s="55"/>
      <c r="BC361" s="55"/>
      <c r="BD361" s="55"/>
      <c r="BE361" s="55"/>
      <c r="BF361" s="55"/>
      <c r="BG361" s="55"/>
      <c r="BH361" s="55"/>
      <c r="BI361" s="55"/>
      <c r="BJ361" s="55"/>
      <c r="BK361" s="55"/>
      <c r="BL361" s="55"/>
      <c r="BM361" s="55"/>
      <c r="BN361" s="55"/>
      <c r="BO361" s="55"/>
      <c r="BP361" s="55"/>
      <c r="BQ361" s="55"/>
      <c r="BR361" s="55"/>
      <c r="BS361" s="55"/>
    </row>
    <row r="362" spans="1:71" outlineLevel="1" x14ac:dyDescent="0.2">
      <c r="C362" s="11" t="str">
        <f>HM_ZB_Nsoko!C375</f>
        <v>Coûts portés compagnie nationale</v>
      </c>
      <c r="J362" s="26"/>
      <c r="L362" s="55"/>
      <c r="M362" s="55"/>
      <c r="N362" s="55"/>
      <c r="O362" s="55"/>
      <c r="P362" s="55"/>
      <c r="Q362" s="55"/>
      <c r="R362" s="55"/>
      <c r="S362" s="55"/>
      <c r="T362" s="55"/>
      <c r="U362" s="55"/>
      <c r="V362" s="55"/>
      <c r="W362" s="55"/>
      <c r="X362" s="55"/>
      <c r="Y362" s="55"/>
      <c r="Z362" s="55"/>
      <c r="AA362" s="55"/>
      <c r="AB362" s="55"/>
      <c r="AC362" s="55"/>
      <c r="AD362" s="55"/>
      <c r="AE362" s="55"/>
      <c r="AF362" s="55"/>
      <c r="AG362" s="55"/>
      <c r="AH362" s="55"/>
      <c r="AI362" s="55"/>
      <c r="AJ362" s="55"/>
      <c r="AK362" s="55"/>
      <c r="AL362" s="55"/>
      <c r="AM362" s="55"/>
      <c r="AN362" s="55"/>
      <c r="AO362" s="55"/>
      <c r="AP362" s="55"/>
      <c r="AQ362" s="55"/>
      <c r="AR362" s="55"/>
      <c r="AS362" s="55"/>
      <c r="AT362" s="55"/>
      <c r="AU362" s="55"/>
      <c r="AV362" s="55"/>
      <c r="AW362" s="55"/>
      <c r="AX362" s="55"/>
      <c r="AY362" s="55"/>
      <c r="AZ362" s="55"/>
      <c r="BA362" s="55"/>
      <c r="BB362" s="55"/>
      <c r="BC362" s="55"/>
      <c r="BD362" s="55"/>
      <c r="BE362" s="55"/>
      <c r="BF362" s="55"/>
      <c r="BG362" s="55"/>
      <c r="BH362" s="55"/>
      <c r="BI362" s="55"/>
      <c r="BJ362" s="55"/>
      <c r="BK362" s="55"/>
      <c r="BL362" s="55"/>
      <c r="BM362" s="55"/>
      <c r="BN362" s="55"/>
      <c r="BO362" s="55"/>
      <c r="BP362" s="55"/>
      <c r="BQ362" s="55"/>
      <c r="BR362" s="55"/>
      <c r="BS362" s="55"/>
    </row>
    <row r="363" spans="1:71" outlineLevel="1" x14ac:dyDescent="0.2">
      <c r="D363" t="str">
        <f>HM_ZB_Nsoko!D376</f>
        <v>Intérêt porté compagnie nationale - coûts exploration</v>
      </c>
      <c r="I363" s="30">
        <f t="shared" ref="I363:I366" ca="1" si="100">SUM($L363:$BS363)</f>
        <v>0</v>
      </c>
      <c r="J363" s="26" t="s">
        <v>148</v>
      </c>
      <c r="K363" s="7" t="s">
        <v>358</v>
      </c>
      <c r="L363" s="49">
        <f ca="1">(KLL_II_2020!CA_expex_nom*KLL_II_2020!NOC_CI_expex)*KLL_II_2020!CA_op_trig</f>
        <v>0</v>
      </c>
      <c r="M363" s="49">
        <f ca="1">(KLL_II_2020!CA_expex_nom*KLL_II_2020!NOC_CI_expex)*KLL_II_2020!CA_op_trig</f>
        <v>0</v>
      </c>
      <c r="N363" s="49">
        <f ca="1">(KLL_II_2020!CA_expex_nom*KLL_II_2020!NOC_CI_expex)*KLL_II_2020!CA_op_trig</f>
        <v>0</v>
      </c>
      <c r="O363" s="49">
        <f ca="1">(KLL_II_2020!CA_expex_nom*KLL_II_2020!NOC_CI_expex)*KLL_II_2020!CA_op_trig</f>
        <v>0</v>
      </c>
      <c r="P363" s="49">
        <f ca="1">(KLL_II_2020!CA_expex_nom*KLL_II_2020!NOC_CI_expex)*KLL_II_2020!CA_op_trig</f>
        <v>0</v>
      </c>
      <c r="Q363" s="49">
        <f ca="1">(KLL_II_2020!CA_expex_nom*KLL_II_2020!NOC_CI_expex)*KLL_II_2020!CA_op_trig</f>
        <v>0</v>
      </c>
      <c r="R363" s="49">
        <f ca="1">(KLL_II_2020!CA_expex_nom*KLL_II_2020!NOC_CI_expex)*KLL_II_2020!CA_op_trig</f>
        <v>0</v>
      </c>
      <c r="S363" s="49">
        <f ca="1">(KLL_II_2020!CA_expex_nom*KLL_II_2020!NOC_CI_expex)*KLL_II_2020!CA_op_trig</f>
        <v>0</v>
      </c>
      <c r="T363" s="49">
        <f ca="1">(KLL_II_2020!CA_expex_nom*KLL_II_2020!NOC_CI_expex)*KLL_II_2020!CA_op_trig</f>
        <v>0</v>
      </c>
      <c r="U363" s="49">
        <f ca="1">(KLL_II_2020!CA_expex_nom*KLL_II_2020!NOC_CI_expex)*KLL_II_2020!CA_op_trig</f>
        <v>0</v>
      </c>
      <c r="V363" s="49">
        <f ca="1">(KLL_II_2020!CA_expex_nom*KLL_II_2020!NOC_CI_expex)*KLL_II_2020!CA_op_trig</f>
        <v>0</v>
      </c>
      <c r="W363" s="49">
        <f ca="1">(KLL_II_2020!CA_expex_nom*KLL_II_2020!NOC_CI_expex)*KLL_II_2020!CA_op_trig</f>
        <v>0</v>
      </c>
      <c r="X363" s="49">
        <f ca="1">(KLL_II_2020!CA_expex_nom*KLL_II_2020!NOC_CI_expex)*KLL_II_2020!CA_op_trig</f>
        <v>0</v>
      </c>
      <c r="Y363" s="49">
        <f ca="1">(KLL_II_2020!CA_expex_nom*KLL_II_2020!NOC_CI_expex)*KLL_II_2020!CA_op_trig</f>
        <v>0</v>
      </c>
      <c r="Z363" s="49">
        <f ca="1">(KLL_II_2020!CA_expex_nom*KLL_II_2020!NOC_CI_expex)*KLL_II_2020!CA_op_trig</f>
        <v>0</v>
      </c>
      <c r="AA363" s="49">
        <f ca="1">(KLL_II_2020!CA_expex_nom*KLL_II_2020!NOC_CI_expex)*KLL_II_2020!CA_op_trig</f>
        <v>0</v>
      </c>
      <c r="AB363" s="49">
        <f ca="1">(KLL_II_2020!CA_expex_nom*KLL_II_2020!NOC_CI_expex)*KLL_II_2020!CA_op_trig</f>
        <v>0</v>
      </c>
      <c r="AC363" s="49">
        <f ca="1">(KLL_II_2020!CA_expex_nom*KLL_II_2020!NOC_CI_expex)*KLL_II_2020!CA_op_trig</f>
        <v>0</v>
      </c>
      <c r="AD363" s="49">
        <f ca="1">(KLL_II_2020!CA_expex_nom*KLL_II_2020!NOC_CI_expex)*KLL_II_2020!CA_op_trig</f>
        <v>0</v>
      </c>
      <c r="AE363" s="49">
        <f ca="1">(KLL_II_2020!CA_expex_nom*KLL_II_2020!NOC_CI_expex)*KLL_II_2020!CA_op_trig</f>
        <v>0</v>
      </c>
      <c r="AF363" s="49">
        <f ca="1">(KLL_II_2020!CA_expex_nom*KLL_II_2020!NOC_CI_expex)*KLL_II_2020!CA_op_trig</f>
        <v>0</v>
      </c>
      <c r="AG363" s="49">
        <f ca="1">(KLL_II_2020!CA_expex_nom*KLL_II_2020!NOC_CI_expex)*KLL_II_2020!CA_op_trig</f>
        <v>0</v>
      </c>
      <c r="AH363" s="49">
        <f ca="1">(KLL_II_2020!CA_expex_nom*KLL_II_2020!NOC_CI_expex)*KLL_II_2020!CA_op_trig</f>
        <v>0</v>
      </c>
      <c r="AI363" s="49">
        <f ca="1">(KLL_II_2020!CA_expex_nom*KLL_II_2020!NOC_CI_expex)*KLL_II_2020!CA_op_trig</f>
        <v>0</v>
      </c>
      <c r="AJ363" s="49">
        <f ca="1">(KLL_II_2020!CA_expex_nom*KLL_II_2020!NOC_CI_expex)*KLL_II_2020!CA_op_trig</f>
        <v>0</v>
      </c>
      <c r="AK363" s="49">
        <f ca="1">(KLL_II_2020!CA_expex_nom*KLL_II_2020!NOC_CI_expex)*KLL_II_2020!CA_op_trig</f>
        <v>0</v>
      </c>
      <c r="AL363" s="49">
        <f ca="1">(KLL_II_2020!CA_expex_nom*KLL_II_2020!NOC_CI_expex)*KLL_II_2020!CA_op_trig</f>
        <v>0</v>
      </c>
      <c r="AM363" s="49">
        <f ca="1">(KLL_II_2020!CA_expex_nom*KLL_II_2020!NOC_CI_expex)*KLL_II_2020!CA_op_trig</f>
        <v>0</v>
      </c>
      <c r="AN363" s="49">
        <f ca="1">(KLL_II_2020!CA_expex_nom*KLL_II_2020!NOC_CI_expex)*KLL_II_2020!CA_op_trig</f>
        <v>0</v>
      </c>
      <c r="AO363" s="49">
        <f ca="1">(KLL_II_2020!CA_expex_nom*KLL_II_2020!NOC_CI_expex)*KLL_II_2020!CA_op_trig</f>
        <v>0</v>
      </c>
      <c r="AP363" s="49">
        <f ca="1">(KLL_II_2020!CA_expex_nom*KLL_II_2020!NOC_CI_expex)*KLL_II_2020!CA_op_trig</f>
        <v>0</v>
      </c>
      <c r="AQ363" s="49">
        <f ca="1">(KLL_II_2020!CA_expex_nom*KLL_II_2020!NOC_CI_expex)*KLL_II_2020!CA_op_trig</f>
        <v>0</v>
      </c>
      <c r="AR363" s="49">
        <f ca="1">(KLL_II_2020!CA_expex_nom*KLL_II_2020!NOC_CI_expex)*KLL_II_2020!CA_op_trig</f>
        <v>0</v>
      </c>
      <c r="AS363" s="49">
        <f ca="1">(KLL_II_2020!CA_expex_nom*KLL_II_2020!NOC_CI_expex)*KLL_II_2020!CA_op_trig</f>
        <v>0</v>
      </c>
      <c r="AT363" s="49">
        <f ca="1">(KLL_II_2020!CA_expex_nom*KLL_II_2020!NOC_CI_expex)*KLL_II_2020!CA_op_trig</f>
        <v>0</v>
      </c>
      <c r="AU363" s="49">
        <f ca="1">(KLL_II_2020!CA_expex_nom*KLL_II_2020!NOC_CI_expex)*KLL_II_2020!CA_op_trig</f>
        <v>0</v>
      </c>
      <c r="AV363" s="49">
        <f ca="1">(KLL_II_2020!CA_expex_nom*KLL_II_2020!NOC_CI_expex)*KLL_II_2020!CA_op_trig</f>
        <v>0</v>
      </c>
      <c r="AW363" s="49">
        <f ca="1">(KLL_II_2020!CA_expex_nom*KLL_II_2020!NOC_CI_expex)*KLL_II_2020!CA_op_trig</f>
        <v>0</v>
      </c>
      <c r="AX363" s="49">
        <f ca="1">(KLL_II_2020!CA_expex_nom*KLL_II_2020!NOC_CI_expex)*KLL_II_2020!CA_op_trig</f>
        <v>0</v>
      </c>
      <c r="AY363" s="49">
        <f ca="1">(KLL_II_2020!CA_expex_nom*KLL_II_2020!NOC_CI_expex)*KLL_II_2020!CA_op_trig</f>
        <v>0</v>
      </c>
      <c r="AZ363" s="49">
        <f ca="1">(KLL_II_2020!CA_expex_nom*KLL_II_2020!NOC_CI_expex)*KLL_II_2020!CA_op_trig</f>
        <v>0</v>
      </c>
      <c r="BA363" s="49">
        <f ca="1">(KLL_II_2020!CA_expex_nom*KLL_II_2020!NOC_CI_expex)*KLL_II_2020!CA_op_trig</f>
        <v>0</v>
      </c>
      <c r="BB363" s="49">
        <f ca="1">(KLL_II_2020!CA_expex_nom*KLL_II_2020!NOC_CI_expex)*KLL_II_2020!CA_op_trig</f>
        <v>0</v>
      </c>
      <c r="BC363" s="49">
        <f ca="1">(KLL_II_2020!CA_expex_nom*KLL_II_2020!NOC_CI_expex)*KLL_II_2020!CA_op_trig</f>
        <v>0</v>
      </c>
      <c r="BD363" s="49">
        <f ca="1">(KLL_II_2020!CA_expex_nom*KLL_II_2020!NOC_CI_expex)*KLL_II_2020!CA_op_trig</f>
        <v>0</v>
      </c>
      <c r="BE363" s="49">
        <f ca="1">(KLL_II_2020!CA_expex_nom*KLL_II_2020!NOC_CI_expex)*KLL_II_2020!CA_op_trig</f>
        <v>0</v>
      </c>
      <c r="BF363" s="49">
        <f ca="1">(KLL_II_2020!CA_expex_nom*KLL_II_2020!NOC_CI_expex)*KLL_II_2020!CA_op_trig</f>
        <v>0</v>
      </c>
      <c r="BG363" s="49">
        <f ca="1">(KLL_II_2020!CA_expex_nom*KLL_II_2020!NOC_CI_expex)*KLL_II_2020!CA_op_trig</f>
        <v>0</v>
      </c>
      <c r="BH363" s="49">
        <f ca="1">(KLL_II_2020!CA_expex_nom*KLL_II_2020!NOC_CI_expex)*KLL_II_2020!CA_op_trig</f>
        <v>0</v>
      </c>
      <c r="BI363" s="49">
        <f ca="1">(KLL_II_2020!CA_expex_nom*KLL_II_2020!NOC_CI_expex)*KLL_II_2020!CA_op_trig</f>
        <v>0</v>
      </c>
      <c r="BJ363" s="49">
        <f ca="1">(KLL_II_2020!CA_expex_nom*KLL_II_2020!NOC_CI_expex)*KLL_II_2020!CA_op_trig</f>
        <v>0</v>
      </c>
      <c r="BK363" s="49">
        <f ca="1">(KLL_II_2020!CA_expex_nom*KLL_II_2020!NOC_CI_expex)*KLL_II_2020!CA_op_trig</f>
        <v>0</v>
      </c>
      <c r="BL363" s="49">
        <f ca="1">(KLL_II_2020!CA_expex_nom*KLL_II_2020!NOC_CI_expex)*KLL_II_2020!CA_op_trig</f>
        <v>0</v>
      </c>
      <c r="BM363" s="49">
        <f ca="1">(KLL_II_2020!CA_expex_nom*KLL_II_2020!NOC_CI_expex)*KLL_II_2020!CA_op_trig</f>
        <v>0</v>
      </c>
      <c r="BN363" s="49">
        <f ca="1">(KLL_II_2020!CA_expex_nom*KLL_II_2020!NOC_CI_expex)*KLL_II_2020!CA_op_trig</f>
        <v>0</v>
      </c>
      <c r="BO363" s="49">
        <f ca="1">(KLL_II_2020!CA_expex_nom*KLL_II_2020!NOC_CI_expex)*KLL_II_2020!CA_op_trig</f>
        <v>0</v>
      </c>
      <c r="BP363" s="49">
        <f ca="1">(KLL_II_2020!CA_expex_nom*KLL_II_2020!NOC_CI_expex)*KLL_II_2020!CA_op_trig</f>
        <v>0</v>
      </c>
      <c r="BQ363" s="49">
        <f ca="1">(KLL_II_2020!CA_expex_nom*KLL_II_2020!NOC_CI_expex)*KLL_II_2020!CA_op_trig</f>
        <v>0</v>
      </c>
      <c r="BR363" s="49">
        <f ca="1">(KLL_II_2020!CA_expex_nom*KLL_II_2020!NOC_CI_expex)*KLL_II_2020!CA_op_trig</f>
        <v>0</v>
      </c>
      <c r="BS363" s="49">
        <f ca="1">(KLL_II_2020!CA_expex_nom*KLL_II_2020!NOC_CI_expex)*KLL_II_2020!CA_op_trig</f>
        <v>0</v>
      </c>
    </row>
    <row r="364" spans="1:71" outlineLevel="1" x14ac:dyDescent="0.2">
      <c r="D364" t="str">
        <f>HM_ZB_Nsoko!D377</f>
        <v>Intérêt porté - Capex</v>
      </c>
      <c r="I364" s="30">
        <f t="shared" ca="1" si="100"/>
        <v>81.205600000000004</v>
      </c>
      <c r="J364" s="26" t="s">
        <v>148</v>
      </c>
      <c r="K364" s="7" t="s">
        <v>359</v>
      </c>
      <c r="L364" s="49">
        <f ca="1">(KLL_II_2020!CA_devex_nom*KLL_II_2020!NOC_CI_devex)*(KLL_II_2020!CA_op_trig)</f>
        <v>10.202800000000002</v>
      </c>
      <c r="M364" s="49">
        <f ca="1">(KLL_II_2020!CA_devex_nom*KLL_II_2020!NOC_CI_devex)*(KLL_II_2020!CA_op_trig)</f>
        <v>34.302199999999999</v>
      </c>
      <c r="N364" s="49">
        <f ca="1">(KLL_II_2020!CA_devex_nom*KLL_II_2020!NOC_CI_devex)*(KLL_II_2020!CA_op_trig)</f>
        <v>15.328200000000002</v>
      </c>
      <c r="O364" s="49">
        <f ca="1">(KLL_II_2020!CA_devex_nom*KLL_II_2020!NOC_CI_devex)*(KLL_II_2020!CA_op_trig)</f>
        <v>5.7324000000000002</v>
      </c>
      <c r="P364" s="49">
        <f ca="1">(KLL_II_2020!CA_devex_nom*KLL_II_2020!NOC_CI_devex)*(KLL_II_2020!CA_op_trig)</f>
        <v>3.64</v>
      </c>
      <c r="Q364" s="49">
        <f ca="1">(KLL_II_2020!CA_devex_nom*KLL_II_2020!NOC_CI_devex)*(KLL_II_2020!CA_op_trig)</f>
        <v>12</v>
      </c>
      <c r="R364" s="49">
        <f ca="1">(KLL_II_2020!CA_devex_nom*KLL_II_2020!NOC_CI_devex)*(KLL_II_2020!CA_op_trig)</f>
        <v>0</v>
      </c>
      <c r="S364" s="49">
        <f ca="1">(KLL_II_2020!CA_devex_nom*KLL_II_2020!NOC_CI_devex)*(KLL_II_2020!CA_op_trig)</f>
        <v>0</v>
      </c>
      <c r="T364" s="49">
        <f ca="1">(KLL_II_2020!CA_devex_nom*KLL_II_2020!NOC_CI_devex)*(KLL_II_2020!CA_op_trig)</f>
        <v>0</v>
      </c>
      <c r="U364" s="49">
        <f ca="1">(KLL_II_2020!CA_devex_nom*KLL_II_2020!NOC_CI_devex)*(KLL_II_2020!CA_op_trig)</f>
        <v>0</v>
      </c>
      <c r="V364" s="49">
        <f ca="1">(KLL_II_2020!CA_devex_nom*KLL_II_2020!NOC_CI_devex)*(KLL_II_2020!CA_op_trig)</f>
        <v>0</v>
      </c>
      <c r="W364" s="49">
        <f ca="1">(KLL_II_2020!CA_devex_nom*KLL_II_2020!NOC_CI_devex)*(KLL_II_2020!CA_op_trig)</f>
        <v>0</v>
      </c>
      <c r="X364" s="49">
        <f ca="1">(KLL_II_2020!CA_devex_nom*KLL_II_2020!NOC_CI_devex)*(KLL_II_2020!CA_op_trig)</f>
        <v>0</v>
      </c>
      <c r="Y364" s="49">
        <f ca="1">(KLL_II_2020!CA_devex_nom*KLL_II_2020!NOC_CI_devex)*(KLL_II_2020!CA_op_trig)</f>
        <v>0</v>
      </c>
      <c r="Z364" s="49">
        <f ca="1">(KLL_II_2020!CA_devex_nom*KLL_II_2020!NOC_CI_devex)*(KLL_II_2020!CA_op_trig)</f>
        <v>0</v>
      </c>
      <c r="AA364" s="49">
        <f ca="1">(KLL_II_2020!CA_devex_nom*KLL_II_2020!NOC_CI_devex)*(KLL_II_2020!CA_op_trig)</f>
        <v>0</v>
      </c>
      <c r="AB364" s="49">
        <f ca="1">(KLL_II_2020!CA_devex_nom*KLL_II_2020!NOC_CI_devex)*(KLL_II_2020!CA_op_trig)</f>
        <v>0</v>
      </c>
      <c r="AC364" s="49">
        <f ca="1">(KLL_II_2020!CA_devex_nom*KLL_II_2020!NOC_CI_devex)*(KLL_II_2020!CA_op_trig)</f>
        <v>0</v>
      </c>
      <c r="AD364" s="49">
        <f ca="1">(KLL_II_2020!CA_devex_nom*KLL_II_2020!NOC_CI_devex)*(KLL_II_2020!CA_op_trig)</f>
        <v>0</v>
      </c>
      <c r="AE364" s="49">
        <f ca="1">(KLL_II_2020!CA_devex_nom*KLL_II_2020!NOC_CI_devex)*(KLL_II_2020!CA_op_trig)</f>
        <v>0</v>
      </c>
      <c r="AF364" s="49">
        <f ca="1">(KLL_II_2020!CA_devex_nom*KLL_II_2020!NOC_CI_devex)*(KLL_II_2020!CA_op_trig)</f>
        <v>0</v>
      </c>
      <c r="AG364" s="49">
        <f ca="1">(KLL_II_2020!CA_devex_nom*KLL_II_2020!NOC_CI_devex)*(KLL_II_2020!CA_op_trig)</f>
        <v>0</v>
      </c>
      <c r="AH364" s="49">
        <f ca="1">(KLL_II_2020!CA_devex_nom*KLL_II_2020!NOC_CI_devex)*(KLL_II_2020!CA_op_trig)</f>
        <v>0</v>
      </c>
      <c r="AI364" s="49">
        <f ca="1">(KLL_II_2020!CA_devex_nom*KLL_II_2020!NOC_CI_devex)*(KLL_II_2020!CA_op_trig)</f>
        <v>0</v>
      </c>
      <c r="AJ364" s="49">
        <f ca="1">(KLL_II_2020!CA_devex_nom*KLL_II_2020!NOC_CI_devex)*(KLL_II_2020!CA_op_trig)</f>
        <v>0</v>
      </c>
      <c r="AK364" s="49">
        <f ca="1">(KLL_II_2020!CA_devex_nom*KLL_II_2020!NOC_CI_devex)*(KLL_II_2020!CA_op_trig)</f>
        <v>0</v>
      </c>
      <c r="AL364" s="49">
        <f ca="1">(KLL_II_2020!CA_devex_nom*KLL_II_2020!NOC_CI_devex)*(KLL_II_2020!CA_op_trig)</f>
        <v>0</v>
      </c>
      <c r="AM364" s="49">
        <f ca="1">(KLL_II_2020!CA_devex_nom*KLL_II_2020!NOC_CI_devex)*(KLL_II_2020!CA_op_trig)</f>
        <v>0</v>
      </c>
      <c r="AN364" s="49">
        <f ca="1">(KLL_II_2020!CA_devex_nom*KLL_II_2020!NOC_CI_devex)*(KLL_II_2020!CA_op_trig)</f>
        <v>0</v>
      </c>
      <c r="AO364" s="49">
        <f ca="1">(KLL_II_2020!CA_devex_nom*KLL_II_2020!NOC_CI_devex)*(KLL_II_2020!CA_op_trig)</f>
        <v>0</v>
      </c>
      <c r="AP364" s="49">
        <f ca="1">(KLL_II_2020!CA_devex_nom*KLL_II_2020!NOC_CI_devex)*(KLL_II_2020!CA_op_trig)</f>
        <v>0</v>
      </c>
      <c r="AQ364" s="49">
        <f ca="1">(KLL_II_2020!CA_devex_nom*KLL_II_2020!NOC_CI_devex)*(KLL_II_2020!CA_op_trig)</f>
        <v>0</v>
      </c>
      <c r="AR364" s="49">
        <f ca="1">(KLL_II_2020!CA_devex_nom*KLL_II_2020!NOC_CI_devex)*(KLL_II_2020!CA_op_trig)</f>
        <v>0</v>
      </c>
      <c r="AS364" s="49">
        <f ca="1">(KLL_II_2020!CA_devex_nom*KLL_II_2020!NOC_CI_devex)*(KLL_II_2020!CA_op_trig)</f>
        <v>0</v>
      </c>
      <c r="AT364" s="49">
        <f ca="1">(KLL_II_2020!CA_devex_nom*KLL_II_2020!NOC_CI_devex)*(KLL_II_2020!CA_op_trig)</f>
        <v>0</v>
      </c>
      <c r="AU364" s="49">
        <f ca="1">(KLL_II_2020!CA_devex_nom*KLL_II_2020!NOC_CI_devex)*(KLL_II_2020!CA_op_trig)</f>
        <v>0</v>
      </c>
      <c r="AV364" s="49">
        <f ca="1">(KLL_II_2020!CA_devex_nom*KLL_II_2020!NOC_CI_devex)*(KLL_II_2020!CA_op_trig)</f>
        <v>0</v>
      </c>
      <c r="AW364" s="49">
        <f ca="1">(KLL_II_2020!CA_devex_nom*KLL_II_2020!NOC_CI_devex)*(KLL_II_2020!CA_op_trig)</f>
        <v>0</v>
      </c>
      <c r="AX364" s="49">
        <f ca="1">(KLL_II_2020!CA_devex_nom*KLL_II_2020!NOC_CI_devex)*(KLL_II_2020!CA_op_trig)</f>
        <v>0</v>
      </c>
      <c r="AY364" s="49">
        <f ca="1">(KLL_II_2020!CA_devex_nom*KLL_II_2020!NOC_CI_devex)*(KLL_II_2020!CA_op_trig)</f>
        <v>0</v>
      </c>
      <c r="AZ364" s="49">
        <f ca="1">(KLL_II_2020!CA_devex_nom*KLL_II_2020!NOC_CI_devex)*(KLL_II_2020!CA_op_trig)</f>
        <v>0</v>
      </c>
      <c r="BA364" s="49">
        <f ca="1">(KLL_II_2020!CA_devex_nom*KLL_II_2020!NOC_CI_devex)*(KLL_II_2020!CA_op_trig)</f>
        <v>0</v>
      </c>
      <c r="BB364" s="49">
        <f ca="1">(KLL_II_2020!CA_devex_nom*KLL_II_2020!NOC_CI_devex)*(KLL_II_2020!CA_op_trig)</f>
        <v>0</v>
      </c>
      <c r="BC364" s="49">
        <f ca="1">(KLL_II_2020!CA_devex_nom*KLL_II_2020!NOC_CI_devex)*(KLL_II_2020!CA_op_trig)</f>
        <v>0</v>
      </c>
      <c r="BD364" s="49">
        <f ca="1">(KLL_II_2020!CA_devex_nom*KLL_II_2020!NOC_CI_devex)*(KLL_II_2020!CA_op_trig)</f>
        <v>0</v>
      </c>
      <c r="BE364" s="49">
        <f ca="1">(KLL_II_2020!CA_devex_nom*KLL_II_2020!NOC_CI_devex)*(KLL_II_2020!CA_op_trig)</f>
        <v>0</v>
      </c>
      <c r="BF364" s="49">
        <f ca="1">(KLL_II_2020!CA_devex_nom*KLL_II_2020!NOC_CI_devex)*(KLL_II_2020!CA_op_trig)</f>
        <v>0</v>
      </c>
      <c r="BG364" s="49">
        <f ca="1">(KLL_II_2020!CA_devex_nom*KLL_II_2020!NOC_CI_devex)*(KLL_II_2020!CA_op_trig)</f>
        <v>0</v>
      </c>
      <c r="BH364" s="49">
        <f ca="1">(KLL_II_2020!CA_devex_nom*KLL_II_2020!NOC_CI_devex)*(KLL_II_2020!CA_op_trig)</f>
        <v>0</v>
      </c>
      <c r="BI364" s="49">
        <f ca="1">(KLL_II_2020!CA_devex_nom*KLL_II_2020!NOC_CI_devex)*(KLL_II_2020!CA_op_trig)</f>
        <v>0</v>
      </c>
      <c r="BJ364" s="49">
        <f ca="1">(KLL_II_2020!CA_devex_nom*KLL_II_2020!NOC_CI_devex)*(KLL_II_2020!CA_op_trig)</f>
        <v>0</v>
      </c>
      <c r="BK364" s="49">
        <f ca="1">(KLL_II_2020!CA_devex_nom*KLL_II_2020!NOC_CI_devex)*(KLL_II_2020!CA_op_trig)</f>
        <v>0</v>
      </c>
      <c r="BL364" s="49">
        <f ca="1">(KLL_II_2020!CA_devex_nom*KLL_II_2020!NOC_CI_devex)*(KLL_II_2020!CA_op_trig)</f>
        <v>0</v>
      </c>
      <c r="BM364" s="49">
        <f ca="1">(KLL_II_2020!CA_devex_nom*KLL_II_2020!NOC_CI_devex)*(KLL_II_2020!CA_op_trig)</f>
        <v>0</v>
      </c>
      <c r="BN364" s="49">
        <f ca="1">(KLL_II_2020!CA_devex_nom*KLL_II_2020!NOC_CI_devex)*(KLL_II_2020!CA_op_trig)</f>
        <v>0</v>
      </c>
      <c r="BO364" s="49">
        <f ca="1">(KLL_II_2020!CA_devex_nom*KLL_II_2020!NOC_CI_devex)*(KLL_II_2020!CA_op_trig)</f>
        <v>0</v>
      </c>
      <c r="BP364" s="49">
        <f ca="1">(KLL_II_2020!CA_devex_nom*KLL_II_2020!NOC_CI_devex)*(KLL_II_2020!CA_op_trig)</f>
        <v>0</v>
      </c>
      <c r="BQ364" s="49">
        <f ca="1">(KLL_II_2020!CA_devex_nom*KLL_II_2020!NOC_CI_devex)*(KLL_II_2020!CA_op_trig)</f>
        <v>0</v>
      </c>
      <c r="BR364" s="49">
        <f ca="1">(KLL_II_2020!CA_devex_nom*KLL_II_2020!NOC_CI_devex)*(KLL_II_2020!CA_op_trig)</f>
        <v>0</v>
      </c>
      <c r="BS364" s="49">
        <f ca="1">(KLL_II_2020!CA_devex_nom*KLL_II_2020!NOC_CI_devex)*(KLL_II_2020!CA_op_trig)</f>
        <v>0</v>
      </c>
    </row>
    <row r="365" spans="1:71" outlineLevel="1" x14ac:dyDescent="0.2">
      <c r="D365" t="str">
        <f>HM_ZB_Nsoko!D378</f>
        <v>Intérêt porté compagnie nationale - Opex</v>
      </c>
      <c r="I365" s="30">
        <f t="shared" ca="1" si="100"/>
        <v>0</v>
      </c>
      <c r="J365" s="26" t="s">
        <v>148</v>
      </c>
      <c r="K365" s="7" t="s">
        <v>360</v>
      </c>
      <c r="L365" s="49">
        <f ca="1">((KLL_II_2020!CA_varopex_nom+KLL_II_2020!CA_fixedopex_nom)*(KLL_II_2020!NOC_CI_opex))*(KLL_II_2020!CA_op_trig)</f>
        <v>0</v>
      </c>
      <c r="M365" s="49">
        <f ca="1">((KLL_II_2020!CA_varopex_nom+KLL_II_2020!CA_fixedopex_nom)*(KLL_II_2020!NOC_CI_opex))*(KLL_II_2020!CA_op_trig)</f>
        <v>0</v>
      </c>
      <c r="N365" s="49">
        <f ca="1">((KLL_II_2020!CA_varopex_nom+KLL_II_2020!CA_fixedopex_nom)*(KLL_II_2020!NOC_CI_opex))*(KLL_II_2020!CA_op_trig)</f>
        <v>0</v>
      </c>
      <c r="O365" s="49">
        <f ca="1">((KLL_II_2020!CA_varopex_nom+KLL_II_2020!CA_fixedopex_nom)*(KLL_II_2020!NOC_CI_opex))*(KLL_II_2020!CA_op_trig)</f>
        <v>0</v>
      </c>
      <c r="P365" s="49">
        <f ca="1">((KLL_II_2020!CA_varopex_nom+KLL_II_2020!CA_fixedopex_nom)*(KLL_II_2020!NOC_CI_opex))*(KLL_II_2020!CA_op_trig)</f>
        <v>0</v>
      </c>
      <c r="Q365" s="49">
        <f ca="1">((KLL_II_2020!CA_varopex_nom+KLL_II_2020!CA_fixedopex_nom)*(KLL_II_2020!NOC_CI_opex))*(KLL_II_2020!CA_op_trig)</f>
        <v>0</v>
      </c>
      <c r="R365" s="49">
        <f ca="1">((KLL_II_2020!CA_varopex_nom+KLL_II_2020!CA_fixedopex_nom)*(KLL_II_2020!NOC_CI_opex))*(KLL_II_2020!CA_op_trig)</f>
        <v>0</v>
      </c>
      <c r="S365" s="49">
        <f ca="1">((KLL_II_2020!CA_varopex_nom+KLL_II_2020!CA_fixedopex_nom)*(KLL_II_2020!NOC_CI_opex))*(KLL_II_2020!CA_op_trig)</f>
        <v>0</v>
      </c>
      <c r="T365" s="49">
        <f ca="1">((KLL_II_2020!CA_varopex_nom+KLL_II_2020!CA_fixedopex_nom)*(KLL_II_2020!NOC_CI_opex))*(KLL_II_2020!CA_op_trig)</f>
        <v>0</v>
      </c>
      <c r="U365" s="49">
        <f ca="1">((KLL_II_2020!CA_varopex_nom+KLL_II_2020!CA_fixedopex_nom)*(KLL_II_2020!NOC_CI_opex))*(KLL_II_2020!CA_op_trig)</f>
        <v>0</v>
      </c>
      <c r="V365" s="49">
        <f ca="1">((KLL_II_2020!CA_varopex_nom+KLL_II_2020!CA_fixedopex_nom)*(KLL_II_2020!NOC_CI_opex))*(KLL_II_2020!CA_op_trig)</f>
        <v>0</v>
      </c>
      <c r="W365" s="49">
        <f ca="1">((KLL_II_2020!CA_varopex_nom+KLL_II_2020!CA_fixedopex_nom)*(KLL_II_2020!NOC_CI_opex))*(KLL_II_2020!CA_op_trig)</f>
        <v>0</v>
      </c>
      <c r="X365" s="49">
        <f ca="1">((KLL_II_2020!CA_varopex_nom+KLL_II_2020!CA_fixedopex_nom)*(KLL_II_2020!NOC_CI_opex))*(KLL_II_2020!CA_op_trig)</f>
        <v>0</v>
      </c>
      <c r="Y365" s="49">
        <f ca="1">((KLL_II_2020!CA_varopex_nom+KLL_II_2020!CA_fixedopex_nom)*(KLL_II_2020!NOC_CI_opex))*(KLL_II_2020!CA_op_trig)</f>
        <v>0</v>
      </c>
      <c r="Z365" s="49">
        <f ca="1">((KLL_II_2020!CA_varopex_nom+KLL_II_2020!CA_fixedopex_nom)*(KLL_II_2020!NOC_CI_opex))*(KLL_II_2020!CA_op_trig)</f>
        <v>0</v>
      </c>
      <c r="AA365" s="49">
        <f ca="1">((KLL_II_2020!CA_varopex_nom+KLL_II_2020!CA_fixedopex_nom)*(KLL_II_2020!NOC_CI_opex))*(KLL_II_2020!CA_op_trig)</f>
        <v>0</v>
      </c>
      <c r="AB365" s="49">
        <f ca="1">((KLL_II_2020!CA_varopex_nom+KLL_II_2020!CA_fixedopex_nom)*(KLL_II_2020!NOC_CI_opex))*(KLL_II_2020!CA_op_trig)</f>
        <v>0</v>
      </c>
      <c r="AC365" s="49">
        <f ca="1">((KLL_II_2020!CA_varopex_nom+KLL_II_2020!CA_fixedopex_nom)*(KLL_II_2020!NOC_CI_opex))*(KLL_II_2020!CA_op_trig)</f>
        <v>0</v>
      </c>
      <c r="AD365" s="49">
        <f ca="1">((KLL_II_2020!CA_varopex_nom+KLL_II_2020!CA_fixedopex_nom)*(KLL_II_2020!NOC_CI_opex))*(KLL_II_2020!CA_op_trig)</f>
        <v>0</v>
      </c>
      <c r="AE365" s="49">
        <f ca="1">((KLL_II_2020!CA_varopex_nom+KLL_II_2020!CA_fixedopex_nom)*(KLL_II_2020!NOC_CI_opex))*(KLL_II_2020!CA_op_trig)</f>
        <v>0</v>
      </c>
      <c r="AF365" s="49">
        <f ca="1">((KLL_II_2020!CA_varopex_nom+KLL_II_2020!CA_fixedopex_nom)*(KLL_II_2020!NOC_CI_opex))*(KLL_II_2020!CA_op_trig)</f>
        <v>0</v>
      </c>
      <c r="AG365" s="49">
        <f ca="1">((KLL_II_2020!CA_varopex_nom+KLL_II_2020!CA_fixedopex_nom)*(KLL_II_2020!NOC_CI_opex))*(KLL_II_2020!CA_op_trig)</f>
        <v>0</v>
      </c>
      <c r="AH365" s="49">
        <f ca="1">((KLL_II_2020!CA_varopex_nom+KLL_II_2020!CA_fixedopex_nom)*(KLL_II_2020!NOC_CI_opex))*(KLL_II_2020!CA_op_trig)</f>
        <v>0</v>
      </c>
      <c r="AI365" s="49">
        <f ca="1">((KLL_II_2020!CA_varopex_nom+KLL_II_2020!CA_fixedopex_nom)*(KLL_II_2020!NOC_CI_opex))*(KLL_II_2020!CA_op_trig)</f>
        <v>0</v>
      </c>
      <c r="AJ365" s="49">
        <f ca="1">((KLL_II_2020!CA_varopex_nom+KLL_II_2020!CA_fixedopex_nom)*(KLL_II_2020!NOC_CI_opex))*(KLL_II_2020!CA_op_trig)</f>
        <v>0</v>
      </c>
      <c r="AK365" s="49">
        <f ca="1">((KLL_II_2020!CA_varopex_nom+KLL_II_2020!CA_fixedopex_nom)*(KLL_II_2020!NOC_CI_opex))*(KLL_II_2020!CA_op_trig)</f>
        <v>0</v>
      </c>
      <c r="AL365" s="49">
        <f ca="1">((KLL_II_2020!CA_varopex_nom+KLL_II_2020!CA_fixedopex_nom)*(KLL_II_2020!NOC_CI_opex))*(KLL_II_2020!CA_op_trig)</f>
        <v>0</v>
      </c>
      <c r="AM365" s="49">
        <f ca="1">((KLL_II_2020!CA_varopex_nom+KLL_II_2020!CA_fixedopex_nom)*(KLL_II_2020!NOC_CI_opex))*(KLL_II_2020!CA_op_trig)</f>
        <v>0</v>
      </c>
      <c r="AN365" s="49">
        <f ca="1">((KLL_II_2020!CA_varopex_nom+KLL_II_2020!CA_fixedopex_nom)*(KLL_II_2020!NOC_CI_opex))*(KLL_II_2020!CA_op_trig)</f>
        <v>0</v>
      </c>
      <c r="AO365" s="49">
        <f ca="1">((KLL_II_2020!CA_varopex_nom+KLL_II_2020!CA_fixedopex_nom)*(KLL_II_2020!NOC_CI_opex))*(KLL_II_2020!CA_op_trig)</f>
        <v>0</v>
      </c>
      <c r="AP365" s="49">
        <f ca="1">((KLL_II_2020!CA_varopex_nom+KLL_II_2020!CA_fixedopex_nom)*(KLL_II_2020!NOC_CI_opex))*(KLL_II_2020!CA_op_trig)</f>
        <v>0</v>
      </c>
      <c r="AQ365" s="49">
        <f ca="1">((KLL_II_2020!CA_varopex_nom+KLL_II_2020!CA_fixedopex_nom)*(KLL_II_2020!NOC_CI_opex))*(KLL_II_2020!CA_op_trig)</f>
        <v>0</v>
      </c>
      <c r="AR365" s="49">
        <f ca="1">((KLL_II_2020!CA_varopex_nom+KLL_II_2020!CA_fixedopex_nom)*(KLL_II_2020!NOC_CI_opex))*(KLL_II_2020!CA_op_trig)</f>
        <v>0</v>
      </c>
      <c r="AS365" s="49">
        <f ca="1">((KLL_II_2020!CA_varopex_nom+KLL_II_2020!CA_fixedopex_nom)*(KLL_II_2020!NOC_CI_opex))*(KLL_II_2020!CA_op_trig)</f>
        <v>0</v>
      </c>
      <c r="AT365" s="49">
        <f ca="1">((KLL_II_2020!CA_varopex_nom+KLL_II_2020!CA_fixedopex_nom)*(KLL_II_2020!NOC_CI_opex))*(KLL_II_2020!CA_op_trig)</f>
        <v>0</v>
      </c>
      <c r="AU365" s="49">
        <f ca="1">((KLL_II_2020!CA_varopex_nom+KLL_II_2020!CA_fixedopex_nom)*(KLL_II_2020!NOC_CI_opex))*(KLL_II_2020!CA_op_trig)</f>
        <v>0</v>
      </c>
      <c r="AV365" s="49">
        <f ca="1">((KLL_II_2020!CA_varopex_nom+KLL_II_2020!CA_fixedopex_nom)*(KLL_II_2020!NOC_CI_opex))*(KLL_II_2020!CA_op_trig)</f>
        <v>0</v>
      </c>
      <c r="AW365" s="49">
        <f ca="1">((KLL_II_2020!CA_varopex_nom+KLL_II_2020!CA_fixedopex_nom)*(KLL_II_2020!NOC_CI_opex))*(KLL_II_2020!CA_op_trig)</f>
        <v>0</v>
      </c>
      <c r="AX365" s="49">
        <f ca="1">((KLL_II_2020!CA_varopex_nom+KLL_II_2020!CA_fixedopex_nom)*(KLL_II_2020!NOC_CI_opex))*(KLL_II_2020!CA_op_trig)</f>
        <v>0</v>
      </c>
      <c r="AY365" s="49">
        <f ca="1">((KLL_II_2020!CA_varopex_nom+KLL_II_2020!CA_fixedopex_nom)*(KLL_II_2020!NOC_CI_opex))*(KLL_II_2020!CA_op_trig)</f>
        <v>0</v>
      </c>
      <c r="AZ365" s="49">
        <f ca="1">((KLL_II_2020!CA_varopex_nom+KLL_II_2020!CA_fixedopex_nom)*(KLL_II_2020!NOC_CI_opex))*(KLL_II_2020!CA_op_trig)</f>
        <v>0</v>
      </c>
      <c r="BA365" s="49">
        <f ca="1">((KLL_II_2020!CA_varopex_nom+KLL_II_2020!CA_fixedopex_nom)*(KLL_II_2020!NOC_CI_opex))*(KLL_II_2020!CA_op_trig)</f>
        <v>0</v>
      </c>
      <c r="BB365" s="49">
        <f ca="1">((KLL_II_2020!CA_varopex_nom+KLL_II_2020!CA_fixedopex_nom)*(KLL_II_2020!NOC_CI_opex))*(KLL_II_2020!CA_op_trig)</f>
        <v>0</v>
      </c>
      <c r="BC365" s="49">
        <f ca="1">((KLL_II_2020!CA_varopex_nom+KLL_II_2020!CA_fixedopex_nom)*(KLL_II_2020!NOC_CI_opex))*(KLL_II_2020!CA_op_trig)</f>
        <v>0</v>
      </c>
      <c r="BD365" s="49">
        <f ca="1">((KLL_II_2020!CA_varopex_nom+KLL_II_2020!CA_fixedopex_nom)*(KLL_II_2020!NOC_CI_opex))*(KLL_II_2020!CA_op_trig)</f>
        <v>0</v>
      </c>
      <c r="BE365" s="49">
        <f ca="1">((KLL_II_2020!CA_varopex_nom+KLL_II_2020!CA_fixedopex_nom)*(KLL_II_2020!NOC_CI_opex))*(KLL_II_2020!CA_op_trig)</f>
        <v>0</v>
      </c>
      <c r="BF365" s="49">
        <f ca="1">((KLL_II_2020!CA_varopex_nom+KLL_II_2020!CA_fixedopex_nom)*(KLL_II_2020!NOC_CI_opex))*(KLL_II_2020!CA_op_trig)</f>
        <v>0</v>
      </c>
      <c r="BG365" s="49">
        <f ca="1">((KLL_II_2020!CA_varopex_nom+KLL_II_2020!CA_fixedopex_nom)*(KLL_II_2020!NOC_CI_opex))*(KLL_II_2020!CA_op_trig)</f>
        <v>0</v>
      </c>
      <c r="BH365" s="49">
        <f ca="1">((KLL_II_2020!CA_varopex_nom+KLL_II_2020!CA_fixedopex_nom)*(KLL_II_2020!NOC_CI_opex))*(KLL_II_2020!CA_op_trig)</f>
        <v>0</v>
      </c>
      <c r="BI365" s="49">
        <f ca="1">((KLL_II_2020!CA_varopex_nom+KLL_II_2020!CA_fixedopex_nom)*(KLL_II_2020!NOC_CI_opex))*(KLL_II_2020!CA_op_trig)</f>
        <v>0</v>
      </c>
      <c r="BJ365" s="49">
        <f ca="1">((KLL_II_2020!CA_varopex_nom+KLL_II_2020!CA_fixedopex_nom)*(KLL_II_2020!NOC_CI_opex))*(KLL_II_2020!CA_op_trig)</f>
        <v>0</v>
      </c>
      <c r="BK365" s="49">
        <f ca="1">((KLL_II_2020!CA_varopex_nom+KLL_II_2020!CA_fixedopex_nom)*(KLL_II_2020!NOC_CI_opex))*(KLL_II_2020!CA_op_trig)</f>
        <v>0</v>
      </c>
      <c r="BL365" s="49">
        <f ca="1">((KLL_II_2020!CA_varopex_nom+KLL_II_2020!CA_fixedopex_nom)*(KLL_II_2020!NOC_CI_opex))*(KLL_II_2020!CA_op_trig)</f>
        <v>0</v>
      </c>
      <c r="BM365" s="49">
        <f ca="1">((KLL_II_2020!CA_varopex_nom+KLL_II_2020!CA_fixedopex_nom)*(KLL_II_2020!NOC_CI_opex))*(KLL_II_2020!CA_op_trig)</f>
        <v>0</v>
      </c>
      <c r="BN365" s="49">
        <f ca="1">((KLL_II_2020!CA_varopex_nom+KLL_II_2020!CA_fixedopex_nom)*(KLL_II_2020!NOC_CI_opex))*(KLL_II_2020!CA_op_trig)</f>
        <v>0</v>
      </c>
      <c r="BO365" s="49">
        <f ca="1">((KLL_II_2020!CA_varopex_nom+KLL_II_2020!CA_fixedopex_nom)*(KLL_II_2020!NOC_CI_opex))*(KLL_II_2020!CA_op_trig)</f>
        <v>0</v>
      </c>
      <c r="BP365" s="49">
        <f ca="1">((KLL_II_2020!CA_varopex_nom+KLL_II_2020!CA_fixedopex_nom)*(KLL_II_2020!NOC_CI_opex))*(KLL_II_2020!CA_op_trig)</f>
        <v>0</v>
      </c>
      <c r="BQ365" s="49">
        <f ca="1">((KLL_II_2020!CA_varopex_nom+KLL_II_2020!CA_fixedopex_nom)*(KLL_II_2020!NOC_CI_opex))*(KLL_II_2020!CA_op_trig)</f>
        <v>0</v>
      </c>
      <c r="BR365" s="49">
        <f ca="1">((KLL_II_2020!CA_varopex_nom+KLL_II_2020!CA_fixedopex_nom)*(KLL_II_2020!NOC_CI_opex))*(KLL_II_2020!CA_op_trig)</f>
        <v>0</v>
      </c>
      <c r="BS365" s="49">
        <f ca="1">((KLL_II_2020!CA_varopex_nom+KLL_II_2020!CA_fixedopex_nom)*(KLL_II_2020!NOC_CI_opex))*(KLL_II_2020!CA_op_trig)</f>
        <v>0</v>
      </c>
    </row>
    <row r="366" spans="1:71" outlineLevel="1" x14ac:dyDescent="0.2">
      <c r="D366" s="11" t="str">
        <f>HM_ZB_Nsoko!D379</f>
        <v>Total</v>
      </c>
      <c r="I366" s="30">
        <f t="shared" ca="1" si="100"/>
        <v>81.205600000000004</v>
      </c>
      <c r="J366" s="26" t="s">
        <v>148</v>
      </c>
      <c r="L366" s="49">
        <f ca="1">SUM(L363:L365)</f>
        <v>10.202800000000002</v>
      </c>
      <c r="M366" s="49">
        <f t="shared" ref="M366:BS366" ca="1" si="101">SUM(M363:M365)</f>
        <v>34.302199999999999</v>
      </c>
      <c r="N366" s="49">
        <f t="shared" ca="1" si="101"/>
        <v>15.328200000000002</v>
      </c>
      <c r="O366" s="49">
        <f t="shared" ca="1" si="101"/>
        <v>5.7324000000000002</v>
      </c>
      <c r="P366" s="49">
        <f t="shared" ca="1" si="101"/>
        <v>3.64</v>
      </c>
      <c r="Q366" s="49">
        <f t="shared" ca="1" si="101"/>
        <v>12</v>
      </c>
      <c r="R366" s="49">
        <f t="shared" ca="1" si="101"/>
        <v>0</v>
      </c>
      <c r="S366" s="49">
        <f t="shared" ca="1" si="101"/>
        <v>0</v>
      </c>
      <c r="T366" s="49">
        <f t="shared" ca="1" si="101"/>
        <v>0</v>
      </c>
      <c r="U366" s="49">
        <f t="shared" ca="1" si="101"/>
        <v>0</v>
      </c>
      <c r="V366" s="49">
        <f t="shared" ca="1" si="101"/>
        <v>0</v>
      </c>
      <c r="W366" s="49">
        <f t="shared" ca="1" si="101"/>
        <v>0</v>
      </c>
      <c r="X366" s="49">
        <f t="shared" ca="1" si="101"/>
        <v>0</v>
      </c>
      <c r="Y366" s="49">
        <f t="shared" ca="1" si="101"/>
        <v>0</v>
      </c>
      <c r="Z366" s="49">
        <f t="shared" ca="1" si="101"/>
        <v>0</v>
      </c>
      <c r="AA366" s="49">
        <f t="shared" ca="1" si="101"/>
        <v>0</v>
      </c>
      <c r="AB366" s="49">
        <f t="shared" ca="1" si="101"/>
        <v>0</v>
      </c>
      <c r="AC366" s="49">
        <f t="shared" ca="1" si="101"/>
        <v>0</v>
      </c>
      <c r="AD366" s="49">
        <f t="shared" ca="1" si="101"/>
        <v>0</v>
      </c>
      <c r="AE366" s="49">
        <f t="shared" ca="1" si="101"/>
        <v>0</v>
      </c>
      <c r="AF366" s="49">
        <f t="shared" ca="1" si="101"/>
        <v>0</v>
      </c>
      <c r="AG366" s="49">
        <f t="shared" ca="1" si="101"/>
        <v>0</v>
      </c>
      <c r="AH366" s="49">
        <f t="shared" ca="1" si="101"/>
        <v>0</v>
      </c>
      <c r="AI366" s="49">
        <f t="shared" ca="1" si="101"/>
        <v>0</v>
      </c>
      <c r="AJ366" s="49">
        <f t="shared" ca="1" si="101"/>
        <v>0</v>
      </c>
      <c r="AK366" s="49">
        <f t="shared" ca="1" si="101"/>
        <v>0</v>
      </c>
      <c r="AL366" s="49">
        <f t="shared" ca="1" si="101"/>
        <v>0</v>
      </c>
      <c r="AM366" s="49">
        <f t="shared" ca="1" si="101"/>
        <v>0</v>
      </c>
      <c r="AN366" s="49">
        <f t="shared" ca="1" si="101"/>
        <v>0</v>
      </c>
      <c r="AO366" s="49">
        <f t="shared" ca="1" si="101"/>
        <v>0</v>
      </c>
      <c r="AP366" s="49">
        <f t="shared" ca="1" si="101"/>
        <v>0</v>
      </c>
      <c r="AQ366" s="49">
        <f t="shared" ca="1" si="101"/>
        <v>0</v>
      </c>
      <c r="AR366" s="49">
        <f t="shared" ca="1" si="101"/>
        <v>0</v>
      </c>
      <c r="AS366" s="49">
        <f t="shared" ca="1" si="101"/>
        <v>0</v>
      </c>
      <c r="AT366" s="49">
        <f t="shared" ca="1" si="101"/>
        <v>0</v>
      </c>
      <c r="AU366" s="49">
        <f t="shared" ca="1" si="101"/>
        <v>0</v>
      </c>
      <c r="AV366" s="49">
        <f t="shared" ca="1" si="101"/>
        <v>0</v>
      </c>
      <c r="AW366" s="49">
        <f t="shared" ca="1" si="101"/>
        <v>0</v>
      </c>
      <c r="AX366" s="49">
        <f t="shared" ca="1" si="101"/>
        <v>0</v>
      </c>
      <c r="AY366" s="49">
        <f t="shared" ca="1" si="101"/>
        <v>0</v>
      </c>
      <c r="AZ366" s="49">
        <f t="shared" ca="1" si="101"/>
        <v>0</v>
      </c>
      <c r="BA366" s="49">
        <f t="shared" ca="1" si="101"/>
        <v>0</v>
      </c>
      <c r="BB366" s="49">
        <f t="shared" ca="1" si="101"/>
        <v>0</v>
      </c>
      <c r="BC366" s="49">
        <f t="shared" ca="1" si="101"/>
        <v>0</v>
      </c>
      <c r="BD366" s="49">
        <f t="shared" ca="1" si="101"/>
        <v>0</v>
      </c>
      <c r="BE366" s="49">
        <f t="shared" ca="1" si="101"/>
        <v>0</v>
      </c>
      <c r="BF366" s="49">
        <f t="shared" ca="1" si="101"/>
        <v>0</v>
      </c>
      <c r="BG366" s="49">
        <f t="shared" ca="1" si="101"/>
        <v>0</v>
      </c>
      <c r="BH366" s="49">
        <f t="shared" ca="1" si="101"/>
        <v>0</v>
      </c>
      <c r="BI366" s="49">
        <f t="shared" ca="1" si="101"/>
        <v>0</v>
      </c>
      <c r="BJ366" s="49">
        <f t="shared" ca="1" si="101"/>
        <v>0</v>
      </c>
      <c r="BK366" s="49">
        <f t="shared" ca="1" si="101"/>
        <v>0</v>
      </c>
      <c r="BL366" s="49">
        <f t="shared" ca="1" si="101"/>
        <v>0</v>
      </c>
      <c r="BM366" s="49">
        <f t="shared" ca="1" si="101"/>
        <v>0</v>
      </c>
      <c r="BN366" s="49">
        <f t="shared" ca="1" si="101"/>
        <v>0</v>
      </c>
      <c r="BO366" s="49">
        <f t="shared" ca="1" si="101"/>
        <v>0</v>
      </c>
      <c r="BP366" s="49">
        <f t="shared" ca="1" si="101"/>
        <v>0</v>
      </c>
      <c r="BQ366" s="49">
        <f t="shared" ca="1" si="101"/>
        <v>0</v>
      </c>
      <c r="BR366" s="49">
        <f t="shared" ca="1" si="101"/>
        <v>0</v>
      </c>
      <c r="BS366" s="49">
        <f t="shared" ca="1" si="101"/>
        <v>0</v>
      </c>
    </row>
    <row r="367" spans="1:71" outlineLevel="1" x14ac:dyDescent="0.2">
      <c r="J367" s="26"/>
      <c r="L367" s="55"/>
      <c r="M367" s="55"/>
      <c r="N367" s="55"/>
      <c r="O367" s="55"/>
      <c r="P367" s="55"/>
      <c r="Q367" s="55"/>
      <c r="R367" s="55"/>
      <c r="S367" s="55"/>
      <c r="T367" s="55"/>
      <c r="U367" s="55"/>
      <c r="V367" s="55"/>
      <c r="W367" s="55"/>
      <c r="X367" s="55"/>
      <c r="Y367" s="55"/>
      <c r="Z367" s="55"/>
      <c r="AA367" s="55"/>
      <c r="AB367" s="55"/>
      <c r="AC367" s="55"/>
      <c r="AD367" s="55"/>
      <c r="AE367" s="55"/>
      <c r="AF367" s="55"/>
      <c r="AG367" s="55"/>
      <c r="AH367" s="55"/>
      <c r="AI367" s="55"/>
      <c r="AJ367" s="55"/>
      <c r="AK367" s="55"/>
      <c r="AL367" s="55"/>
      <c r="AM367" s="55"/>
      <c r="AN367" s="55"/>
      <c r="AO367" s="55"/>
      <c r="AP367" s="55"/>
      <c r="AQ367" s="55"/>
      <c r="AR367" s="55"/>
      <c r="AS367" s="55"/>
      <c r="AT367" s="55"/>
      <c r="AU367" s="55"/>
      <c r="AV367" s="55"/>
      <c r="AW367" s="55"/>
      <c r="AX367" s="55"/>
      <c r="AY367" s="55"/>
      <c r="AZ367" s="55"/>
      <c r="BA367" s="55"/>
      <c r="BB367" s="55"/>
      <c r="BC367" s="55"/>
      <c r="BD367" s="55"/>
      <c r="BE367" s="55"/>
      <c r="BF367" s="55"/>
      <c r="BG367" s="55"/>
      <c r="BH367" s="55"/>
      <c r="BI367" s="55"/>
      <c r="BJ367" s="55"/>
      <c r="BK367" s="55"/>
      <c r="BL367" s="55"/>
      <c r="BM367" s="55"/>
      <c r="BN367" s="55"/>
      <c r="BO367" s="55"/>
      <c r="BP367" s="55"/>
      <c r="BQ367" s="55"/>
      <c r="BR367" s="55"/>
      <c r="BS367" s="55"/>
    </row>
    <row r="368" spans="1:71" outlineLevel="1" x14ac:dyDescent="0.2">
      <c r="C368" s="11" t="str">
        <f>HM_ZB_Nsoko!C381</f>
        <v>Remboursement du portage compagnie nationale - Coûts exploration</v>
      </c>
      <c r="J368" s="26"/>
      <c r="L368" s="55"/>
      <c r="M368" s="55"/>
      <c r="N368" s="55"/>
      <c r="O368" s="55"/>
      <c r="P368" s="55"/>
      <c r="Q368" s="55"/>
      <c r="R368" s="55"/>
      <c r="S368" s="55"/>
      <c r="T368" s="55"/>
      <c r="U368" s="55"/>
      <c r="V368" s="55"/>
      <c r="W368" s="55"/>
      <c r="X368" s="55"/>
      <c r="Y368" s="55"/>
      <c r="Z368" s="55"/>
      <c r="AA368" s="55"/>
      <c r="AB368" s="55"/>
      <c r="AC368" s="55"/>
      <c r="AD368" s="55"/>
      <c r="AE368" s="55"/>
      <c r="AF368" s="55"/>
      <c r="AG368" s="55"/>
      <c r="AH368" s="55"/>
      <c r="AI368" s="55"/>
      <c r="AJ368" s="55"/>
      <c r="AK368" s="55"/>
      <c r="AL368" s="55"/>
      <c r="AM368" s="55"/>
      <c r="AN368" s="55"/>
      <c r="AO368" s="55"/>
      <c r="AP368" s="55"/>
      <c r="AQ368" s="55"/>
      <c r="AR368" s="55"/>
      <c r="AS368" s="55"/>
      <c r="AT368" s="55"/>
      <c r="AU368" s="55"/>
      <c r="AV368" s="55"/>
      <c r="AW368" s="55"/>
      <c r="AX368" s="55"/>
      <c r="AY368" s="55"/>
      <c r="AZ368" s="55"/>
      <c r="BA368" s="55"/>
      <c r="BB368" s="55"/>
      <c r="BC368" s="55"/>
      <c r="BD368" s="55"/>
      <c r="BE368" s="55"/>
      <c r="BF368" s="55"/>
      <c r="BG368" s="55"/>
      <c r="BH368" s="55"/>
      <c r="BI368" s="55"/>
      <c r="BJ368" s="55"/>
      <c r="BK368" s="55"/>
      <c r="BL368" s="55"/>
      <c r="BM368" s="55"/>
      <c r="BN368" s="55"/>
      <c r="BO368" s="55"/>
      <c r="BP368" s="55"/>
      <c r="BQ368" s="55"/>
      <c r="BR368" s="55"/>
      <c r="BS368" s="55"/>
    </row>
    <row r="369" spans="3:71" outlineLevel="1" x14ac:dyDescent="0.2">
      <c r="D369" t="str">
        <f>HM_ZB_Nsoko!D382</f>
        <v>Coûts portés Solde d'ouverture</v>
      </c>
      <c r="J369" s="26"/>
      <c r="L369" s="49">
        <f>K372</f>
        <v>0</v>
      </c>
      <c r="M369" s="49">
        <f t="shared" ref="M369:BS369" ca="1" si="102">L372</f>
        <v>0</v>
      </c>
      <c r="N369" s="49">
        <f t="shared" ca="1" si="102"/>
        <v>0</v>
      </c>
      <c r="O369" s="49">
        <f t="shared" ca="1" si="102"/>
        <v>0</v>
      </c>
      <c r="P369" s="49">
        <f t="shared" ca="1" si="102"/>
        <v>0</v>
      </c>
      <c r="Q369" s="49">
        <f t="shared" ca="1" si="102"/>
        <v>0</v>
      </c>
      <c r="R369" s="49">
        <f t="shared" ca="1" si="102"/>
        <v>0</v>
      </c>
      <c r="S369" s="49">
        <f t="shared" ca="1" si="102"/>
        <v>0</v>
      </c>
      <c r="T369" s="49">
        <f t="shared" ca="1" si="102"/>
        <v>0</v>
      </c>
      <c r="U369" s="49">
        <f t="shared" ca="1" si="102"/>
        <v>0</v>
      </c>
      <c r="V369" s="49">
        <f t="shared" ca="1" si="102"/>
        <v>0</v>
      </c>
      <c r="W369" s="49">
        <f t="shared" ca="1" si="102"/>
        <v>0</v>
      </c>
      <c r="X369" s="49">
        <f t="shared" ca="1" si="102"/>
        <v>0</v>
      </c>
      <c r="Y369" s="49">
        <f t="shared" ca="1" si="102"/>
        <v>0</v>
      </c>
      <c r="Z369" s="49">
        <f t="shared" ca="1" si="102"/>
        <v>0</v>
      </c>
      <c r="AA369" s="49">
        <f t="shared" ca="1" si="102"/>
        <v>0</v>
      </c>
      <c r="AB369" s="49">
        <f t="shared" ca="1" si="102"/>
        <v>0</v>
      </c>
      <c r="AC369" s="49">
        <f t="shared" ca="1" si="102"/>
        <v>0</v>
      </c>
      <c r="AD369" s="49">
        <f t="shared" ca="1" si="102"/>
        <v>0</v>
      </c>
      <c r="AE369" s="49">
        <f t="shared" ca="1" si="102"/>
        <v>0</v>
      </c>
      <c r="AF369" s="49">
        <f t="shared" ca="1" si="102"/>
        <v>0</v>
      </c>
      <c r="AG369" s="49">
        <f t="shared" ca="1" si="102"/>
        <v>0</v>
      </c>
      <c r="AH369" s="49">
        <f t="shared" ca="1" si="102"/>
        <v>0</v>
      </c>
      <c r="AI369" s="49">
        <f t="shared" ca="1" si="102"/>
        <v>0</v>
      </c>
      <c r="AJ369" s="49">
        <f t="shared" ca="1" si="102"/>
        <v>0</v>
      </c>
      <c r="AK369" s="49">
        <f t="shared" ca="1" si="102"/>
        <v>0</v>
      </c>
      <c r="AL369" s="49">
        <f t="shared" ca="1" si="102"/>
        <v>0</v>
      </c>
      <c r="AM369" s="49">
        <f t="shared" ca="1" si="102"/>
        <v>0</v>
      </c>
      <c r="AN369" s="49">
        <f t="shared" ca="1" si="102"/>
        <v>0</v>
      </c>
      <c r="AO369" s="49">
        <f t="shared" ca="1" si="102"/>
        <v>0</v>
      </c>
      <c r="AP369" s="49">
        <f t="shared" ca="1" si="102"/>
        <v>0</v>
      </c>
      <c r="AQ369" s="49">
        <f t="shared" ca="1" si="102"/>
        <v>0</v>
      </c>
      <c r="AR369" s="49">
        <f t="shared" ca="1" si="102"/>
        <v>0</v>
      </c>
      <c r="AS369" s="49">
        <f t="shared" ca="1" si="102"/>
        <v>0</v>
      </c>
      <c r="AT369" s="49">
        <f t="shared" ca="1" si="102"/>
        <v>0</v>
      </c>
      <c r="AU369" s="49">
        <f t="shared" ca="1" si="102"/>
        <v>0</v>
      </c>
      <c r="AV369" s="49">
        <f t="shared" ca="1" si="102"/>
        <v>0</v>
      </c>
      <c r="AW369" s="49">
        <f t="shared" ca="1" si="102"/>
        <v>0</v>
      </c>
      <c r="AX369" s="49">
        <f t="shared" ca="1" si="102"/>
        <v>0</v>
      </c>
      <c r="AY369" s="49">
        <f t="shared" ca="1" si="102"/>
        <v>0</v>
      </c>
      <c r="AZ369" s="49">
        <f t="shared" ca="1" si="102"/>
        <v>0</v>
      </c>
      <c r="BA369" s="49">
        <f t="shared" ca="1" si="102"/>
        <v>0</v>
      </c>
      <c r="BB369" s="49">
        <f t="shared" ca="1" si="102"/>
        <v>0</v>
      </c>
      <c r="BC369" s="49">
        <f t="shared" ca="1" si="102"/>
        <v>0</v>
      </c>
      <c r="BD369" s="49">
        <f t="shared" ca="1" si="102"/>
        <v>0</v>
      </c>
      <c r="BE369" s="49">
        <f t="shared" ca="1" si="102"/>
        <v>0</v>
      </c>
      <c r="BF369" s="49">
        <f t="shared" ca="1" si="102"/>
        <v>0</v>
      </c>
      <c r="BG369" s="49">
        <f t="shared" ca="1" si="102"/>
        <v>0</v>
      </c>
      <c r="BH369" s="49">
        <f t="shared" ca="1" si="102"/>
        <v>0</v>
      </c>
      <c r="BI369" s="49">
        <f t="shared" ca="1" si="102"/>
        <v>0</v>
      </c>
      <c r="BJ369" s="49">
        <f t="shared" ca="1" si="102"/>
        <v>0</v>
      </c>
      <c r="BK369" s="49">
        <f t="shared" ca="1" si="102"/>
        <v>0</v>
      </c>
      <c r="BL369" s="49">
        <f t="shared" ca="1" si="102"/>
        <v>0</v>
      </c>
      <c r="BM369" s="49">
        <f t="shared" ca="1" si="102"/>
        <v>0</v>
      </c>
      <c r="BN369" s="49">
        <f t="shared" ca="1" si="102"/>
        <v>0</v>
      </c>
      <c r="BO369" s="49">
        <f t="shared" ca="1" si="102"/>
        <v>0</v>
      </c>
      <c r="BP369" s="49">
        <f t="shared" ca="1" si="102"/>
        <v>0</v>
      </c>
      <c r="BQ369" s="49">
        <f t="shared" ca="1" si="102"/>
        <v>0</v>
      </c>
      <c r="BR369" s="49">
        <f t="shared" ca="1" si="102"/>
        <v>0</v>
      </c>
      <c r="BS369" s="49">
        <f t="shared" ca="1" si="102"/>
        <v>0</v>
      </c>
    </row>
    <row r="370" spans="3:71" outlineLevel="1" x14ac:dyDescent="0.2">
      <c r="D370" s="50" t="str">
        <f>HM_ZB_Nsoko!D383</f>
        <v>Coûts portés pour la période</v>
      </c>
      <c r="I370" s="30">
        <f t="shared" ref="I370:I371" ca="1" si="103">SUM($L370:$BS370)</f>
        <v>0</v>
      </c>
      <c r="J370" s="26" t="s">
        <v>148</v>
      </c>
      <c r="L370" s="49">
        <f ca="1">L363</f>
        <v>0</v>
      </c>
      <c r="M370" s="49">
        <f t="shared" ref="M370:BS370" ca="1" si="104">M363</f>
        <v>0</v>
      </c>
      <c r="N370" s="49">
        <f t="shared" ca="1" si="104"/>
        <v>0</v>
      </c>
      <c r="O370" s="49">
        <f t="shared" ca="1" si="104"/>
        <v>0</v>
      </c>
      <c r="P370" s="49">
        <f t="shared" ca="1" si="104"/>
        <v>0</v>
      </c>
      <c r="Q370" s="49">
        <f t="shared" ca="1" si="104"/>
        <v>0</v>
      </c>
      <c r="R370" s="49">
        <f t="shared" ca="1" si="104"/>
        <v>0</v>
      </c>
      <c r="S370" s="49">
        <f t="shared" ca="1" si="104"/>
        <v>0</v>
      </c>
      <c r="T370" s="49">
        <f t="shared" ca="1" si="104"/>
        <v>0</v>
      </c>
      <c r="U370" s="49">
        <f t="shared" ca="1" si="104"/>
        <v>0</v>
      </c>
      <c r="V370" s="49">
        <f t="shared" ca="1" si="104"/>
        <v>0</v>
      </c>
      <c r="W370" s="49">
        <f t="shared" ca="1" si="104"/>
        <v>0</v>
      </c>
      <c r="X370" s="49">
        <f t="shared" ca="1" si="104"/>
        <v>0</v>
      </c>
      <c r="Y370" s="49">
        <f t="shared" ca="1" si="104"/>
        <v>0</v>
      </c>
      <c r="Z370" s="49">
        <f t="shared" ca="1" si="104"/>
        <v>0</v>
      </c>
      <c r="AA370" s="49">
        <f t="shared" ca="1" si="104"/>
        <v>0</v>
      </c>
      <c r="AB370" s="49">
        <f t="shared" ca="1" si="104"/>
        <v>0</v>
      </c>
      <c r="AC370" s="49">
        <f t="shared" ca="1" si="104"/>
        <v>0</v>
      </c>
      <c r="AD370" s="49">
        <f t="shared" ca="1" si="104"/>
        <v>0</v>
      </c>
      <c r="AE370" s="49">
        <f t="shared" ca="1" si="104"/>
        <v>0</v>
      </c>
      <c r="AF370" s="49">
        <f t="shared" ca="1" si="104"/>
        <v>0</v>
      </c>
      <c r="AG370" s="49">
        <f t="shared" ca="1" si="104"/>
        <v>0</v>
      </c>
      <c r="AH370" s="49">
        <f t="shared" ca="1" si="104"/>
        <v>0</v>
      </c>
      <c r="AI370" s="49">
        <f t="shared" ca="1" si="104"/>
        <v>0</v>
      </c>
      <c r="AJ370" s="49">
        <f t="shared" ca="1" si="104"/>
        <v>0</v>
      </c>
      <c r="AK370" s="49">
        <f t="shared" ca="1" si="104"/>
        <v>0</v>
      </c>
      <c r="AL370" s="49">
        <f t="shared" ca="1" si="104"/>
        <v>0</v>
      </c>
      <c r="AM370" s="49">
        <f t="shared" ca="1" si="104"/>
        <v>0</v>
      </c>
      <c r="AN370" s="49">
        <f t="shared" ca="1" si="104"/>
        <v>0</v>
      </c>
      <c r="AO370" s="49">
        <f t="shared" ca="1" si="104"/>
        <v>0</v>
      </c>
      <c r="AP370" s="49">
        <f t="shared" ca="1" si="104"/>
        <v>0</v>
      </c>
      <c r="AQ370" s="49">
        <f t="shared" ca="1" si="104"/>
        <v>0</v>
      </c>
      <c r="AR370" s="49">
        <f t="shared" ca="1" si="104"/>
        <v>0</v>
      </c>
      <c r="AS370" s="49">
        <f t="shared" ca="1" si="104"/>
        <v>0</v>
      </c>
      <c r="AT370" s="49">
        <f t="shared" ca="1" si="104"/>
        <v>0</v>
      </c>
      <c r="AU370" s="49">
        <f t="shared" ca="1" si="104"/>
        <v>0</v>
      </c>
      <c r="AV370" s="49">
        <f t="shared" ca="1" si="104"/>
        <v>0</v>
      </c>
      <c r="AW370" s="49">
        <f t="shared" ca="1" si="104"/>
        <v>0</v>
      </c>
      <c r="AX370" s="49">
        <f t="shared" ca="1" si="104"/>
        <v>0</v>
      </c>
      <c r="AY370" s="49">
        <f t="shared" ca="1" si="104"/>
        <v>0</v>
      </c>
      <c r="AZ370" s="49">
        <f t="shared" ca="1" si="104"/>
        <v>0</v>
      </c>
      <c r="BA370" s="49">
        <f t="shared" ca="1" si="104"/>
        <v>0</v>
      </c>
      <c r="BB370" s="49">
        <f t="shared" ca="1" si="104"/>
        <v>0</v>
      </c>
      <c r="BC370" s="49">
        <f t="shared" ca="1" si="104"/>
        <v>0</v>
      </c>
      <c r="BD370" s="49">
        <f t="shared" ca="1" si="104"/>
        <v>0</v>
      </c>
      <c r="BE370" s="49">
        <f t="shared" ca="1" si="104"/>
        <v>0</v>
      </c>
      <c r="BF370" s="49">
        <f t="shared" ca="1" si="104"/>
        <v>0</v>
      </c>
      <c r="BG370" s="49">
        <f t="shared" ca="1" si="104"/>
        <v>0</v>
      </c>
      <c r="BH370" s="49">
        <f t="shared" ca="1" si="104"/>
        <v>0</v>
      </c>
      <c r="BI370" s="49">
        <f t="shared" ca="1" si="104"/>
        <v>0</v>
      </c>
      <c r="BJ370" s="49">
        <f t="shared" ca="1" si="104"/>
        <v>0</v>
      </c>
      <c r="BK370" s="49">
        <f t="shared" ca="1" si="104"/>
        <v>0</v>
      </c>
      <c r="BL370" s="49">
        <f t="shared" ca="1" si="104"/>
        <v>0</v>
      </c>
      <c r="BM370" s="49">
        <f t="shared" ca="1" si="104"/>
        <v>0</v>
      </c>
      <c r="BN370" s="49">
        <f t="shared" ca="1" si="104"/>
        <v>0</v>
      </c>
      <c r="BO370" s="49">
        <f t="shared" ca="1" si="104"/>
        <v>0</v>
      </c>
      <c r="BP370" s="49">
        <f t="shared" ca="1" si="104"/>
        <v>0</v>
      </c>
      <c r="BQ370" s="49">
        <f t="shared" ca="1" si="104"/>
        <v>0</v>
      </c>
      <c r="BR370" s="49">
        <f t="shared" ca="1" si="104"/>
        <v>0</v>
      </c>
      <c r="BS370" s="49">
        <f t="shared" ca="1" si="104"/>
        <v>0</v>
      </c>
    </row>
    <row r="371" spans="3:71" outlineLevel="1" x14ac:dyDescent="0.2">
      <c r="D371" s="50" t="str">
        <f>HM_ZB_Nsoko!D384</f>
        <v>Remboursement du portage</v>
      </c>
      <c r="I371" s="30">
        <f t="shared" ca="1" si="103"/>
        <v>0</v>
      </c>
      <c r="J371" s="26" t="s">
        <v>148</v>
      </c>
      <c r="L371" s="49">
        <f ca="1">-MIN(SUM(L369:L370),SUM(L$337,L$342)*KLL_II_2020!NOC_rpmt_max_perc)*KLL_II_2020!NOC_CI_expex_rpmt</f>
        <v>0</v>
      </c>
      <c r="M371" s="49">
        <f ca="1">-MIN(SUM(M369:M370),SUM(M$337,M$342)*KLL_II_2020!NOC_rpmt_max_perc)*KLL_II_2020!NOC_CI_expex_rpmt</f>
        <v>0</v>
      </c>
      <c r="N371" s="49">
        <f ca="1">-MIN(SUM(N369:N370),SUM(N$337,N$342)*KLL_II_2020!NOC_rpmt_max_perc)*KLL_II_2020!NOC_CI_expex_rpmt</f>
        <v>0</v>
      </c>
      <c r="O371" s="49">
        <f ca="1">-MIN(SUM(O369:O370),SUM(O$337,O$342)*KLL_II_2020!NOC_rpmt_max_perc)*KLL_II_2020!NOC_CI_expex_rpmt</f>
        <v>0</v>
      </c>
      <c r="P371" s="49">
        <f ca="1">-MIN(SUM(P369:P370),SUM(P$337,P$342)*KLL_II_2020!NOC_rpmt_max_perc)*KLL_II_2020!NOC_CI_expex_rpmt</f>
        <v>0</v>
      </c>
      <c r="Q371" s="49">
        <f ca="1">-MIN(SUM(Q369:Q370),SUM(Q$337,Q$342)*KLL_II_2020!NOC_rpmt_max_perc)*KLL_II_2020!NOC_CI_expex_rpmt</f>
        <v>0</v>
      </c>
      <c r="R371" s="49">
        <f ca="1">-MIN(SUM(R369:R370),SUM(R$337,R$342)*KLL_II_2020!NOC_rpmt_max_perc)*KLL_II_2020!NOC_CI_expex_rpmt</f>
        <v>0</v>
      </c>
      <c r="S371" s="49">
        <f ca="1">-MIN(SUM(S369:S370),SUM(S$337,S$342)*KLL_II_2020!NOC_rpmt_max_perc)*KLL_II_2020!NOC_CI_expex_rpmt</f>
        <v>0</v>
      </c>
      <c r="T371" s="49">
        <f ca="1">-MIN(SUM(T369:T370),SUM(T$337,T$342)*KLL_II_2020!NOC_rpmt_max_perc)*KLL_II_2020!NOC_CI_expex_rpmt</f>
        <v>0</v>
      </c>
      <c r="U371" s="49">
        <f ca="1">-MIN(SUM(U369:U370),SUM(U$337,U$342)*KLL_II_2020!NOC_rpmt_max_perc)*KLL_II_2020!NOC_CI_expex_rpmt</f>
        <v>0</v>
      </c>
      <c r="V371" s="49">
        <f ca="1">-MIN(SUM(V369:V370),SUM(V$337,V$342)*KLL_II_2020!NOC_rpmt_max_perc)*KLL_II_2020!NOC_CI_expex_rpmt</f>
        <v>0</v>
      </c>
      <c r="W371" s="49">
        <f ca="1">-MIN(SUM(W369:W370),SUM(W$337,W$342)*KLL_II_2020!NOC_rpmt_max_perc)*KLL_II_2020!NOC_CI_expex_rpmt</f>
        <v>0</v>
      </c>
      <c r="X371" s="49">
        <f ca="1">-MIN(SUM(X369:X370),SUM(X$337,X$342)*KLL_II_2020!NOC_rpmt_max_perc)*KLL_II_2020!NOC_CI_expex_rpmt</f>
        <v>0</v>
      </c>
      <c r="Y371" s="49">
        <f ca="1">-MIN(SUM(Y369:Y370),SUM(Y$337,Y$342)*KLL_II_2020!NOC_rpmt_max_perc)*KLL_II_2020!NOC_CI_expex_rpmt</f>
        <v>0</v>
      </c>
      <c r="Z371" s="49">
        <f ca="1">-MIN(SUM(Z369:Z370),SUM(Z$337,Z$342)*KLL_II_2020!NOC_rpmt_max_perc)*KLL_II_2020!NOC_CI_expex_rpmt</f>
        <v>0</v>
      </c>
      <c r="AA371" s="49">
        <f ca="1">-MIN(SUM(AA369:AA370),SUM(AA$337,AA$342)*KLL_II_2020!NOC_rpmt_max_perc)*KLL_II_2020!NOC_CI_expex_rpmt</f>
        <v>0</v>
      </c>
      <c r="AB371" s="49">
        <f ca="1">-MIN(SUM(AB369:AB370),SUM(AB$337,AB$342)*KLL_II_2020!NOC_rpmt_max_perc)*KLL_II_2020!NOC_CI_expex_rpmt</f>
        <v>0</v>
      </c>
      <c r="AC371" s="49">
        <f ca="1">-MIN(SUM(AC369:AC370),SUM(AC$337,AC$342)*KLL_II_2020!NOC_rpmt_max_perc)*KLL_II_2020!NOC_CI_expex_rpmt</f>
        <v>0</v>
      </c>
      <c r="AD371" s="49">
        <f ca="1">-MIN(SUM(AD369:AD370),SUM(AD$337,AD$342)*KLL_II_2020!NOC_rpmt_max_perc)*KLL_II_2020!NOC_CI_expex_rpmt</f>
        <v>0</v>
      </c>
      <c r="AE371" s="49">
        <f ca="1">-MIN(SUM(AE369:AE370),SUM(AE$337,AE$342)*KLL_II_2020!NOC_rpmt_max_perc)*KLL_II_2020!NOC_CI_expex_rpmt</f>
        <v>0</v>
      </c>
      <c r="AF371" s="49">
        <f ca="1">-MIN(SUM(AF369:AF370),SUM(AF$337,AF$342)*KLL_II_2020!NOC_rpmt_max_perc)*KLL_II_2020!NOC_CI_expex_rpmt</f>
        <v>0</v>
      </c>
      <c r="AG371" s="49">
        <f ca="1">-MIN(SUM(AG369:AG370),SUM(AG$337,AG$342)*KLL_II_2020!NOC_rpmt_max_perc)*KLL_II_2020!NOC_CI_expex_rpmt</f>
        <v>0</v>
      </c>
      <c r="AH371" s="49">
        <f ca="1">-MIN(SUM(AH369:AH370),SUM(AH$337,AH$342)*KLL_II_2020!NOC_rpmt_max_perc)*KLL_II_2020!NOC_CI_expex_rpmt</f>
        <v>0</v>
      </c>
      <c r="AI371" s="49">
        <f ca="1">-MIN(SUM(AI369:AI370),SUM(AI$337,AI$342)*KLL_II_2020!NOC_rpmt_max_perc)*KLL_II_2020!NOC_CI_expex_rpmt</f>
        <v>0</v>
      </c>
      <c r="AJ371" s="49">
        <f ca="1">-MIN(SUM(AJ369:AJ370),SUM(AJ$337,AJ$342)*KLL_II_2020!NOC_rpmt_max_perc)*KLL_II_2020!NOC_CI_expex_rpmt</f>
        <v>0</v>
      </c>
      <c r="AK371" s="49">
        <f ca="1">-MIN(SUM(AK369:AK370),SUM(AK$337,AK$342)*KLL_II_2020!NOC_rpmt_max_perc)*KLL_II_2020!NOC_CI_expex_rpmt</f>
        <v>0</v>
      </c>
      <c r="AL371" s="49">
        <f ca="1">-MIN(SUM(AL369:AL370),SUM(AL$337,AL$342)*KLL_II_2020!NOC_rpmt_max_perc)*KLL_II_2020!NOC_CI_expex_rpmt</f>
        <v>0</v>
      </c>
      <c r="AM371" s="49">
        <f ca="1">-MIN(SUM(AM369:AM370),SUM(AM$337,AM$342)*KLL_II_2020!NOC_rpmt_max_perc)*KLL_II_2020!NOC_CI_expex_rpmt</f>
        <v>0</v>
      </c>
      <c r="AN371" s="49">
        <f ca="1">-MIN(SUM(AN369:AN370),SUM(AN$337,AN$342)*KLL_II_2020!NOC_rpmt_max_perc)*KLL_II_2020!NOC_CI_expex_rpmt</f>
        <v>0</v>
      </c>
      <c r="AO371" s="49">
        <f ca="1">-MIN(SUM(AO369:AO370),SUM(AO$337,AO$342)*KLL_II_2020!NOC_rpmt_max_perc)*KLL_II_2020!NOC_CI_expex_rpmt</f>
        <v>0</v>
      </c>
      <c r="AP371" s="49">
        <f ca="1">-MIN(SUM(AP369:AP370),SUM(AP$337,AP$342)*KLL_II_2020!NOC_rpmt_max_perc)*KLL_II_2020!NOC_CI_expex_rpmt</f>
        <v>0</v>
      </c>
      <c r="AQ371" s="49">
        <f ca="1">-MIN(SUM(AQ369:AQ370),SUM(AQ$337,AQ$342)*KLL_II_2020!NOC_rpmt_max_perc)*KLL_II_2020!NOC_CI_expex_rpmt</f>
        <v>0</v>
      </c>
      <c r="AR371" s="49">
        <f ca="1">-MIN(SUM(AR369:AR370),SUM(AR$337,AR$342)*KLL_II_2020!NOC_rpmt_max_perc)*KLL_II_2020!NOC_CI_expex_rpmt</f>
        <v>0</v>
      </c>
      <c r="AS371" s="49">
        <f ca="1">-MIN(SUM(AS369:AS370),SUM(AS$337,AS$342)*KLL_II_2020!NOC_rpmt_max_perc)*KLL_II_2020!NOC_CI_expex_rpmt</f>
        <v>0</v>
      </c>
      <c r="AT371" s="49">
        <f ca="1">-MIN(SUM(AT369:AT370),SUM(AT$337,AT$342)*KLL_II_2020!NOC_rpmt_max_perc)*KLL_II_2020!NOC_CI_expex_rpmt</f>
        <v>0</v>
      </c>
      <c r="AU371" s="49">
        <f ca="1">-MIN(SUM(AU369:AU370),SUM(AU$337,AU$342)*KLL_II_2020!NOC_rpmt_max_perc)*KLL_II_2020!NOC_CI_expex_rpmt</f>
        <v>0</v>
      </c>
      <c r="AV371" s="49">
        <f ca="1">-MIN(SUM(AV369:AV370),SUM(AV$337,AV$342)*KLL_II_2020!NOC_rpmt_max_perc)*KLL_II_2020!NOC_CI_expex_rpmt</f>
        <v>0</v>
      </c>
      <c r="AW371" s="49">
        <f ca="1">-MIN(SUM(AW369:AW370),SUM(AW$337,AW$342)*KLL_II_2020!NOC_rpmt_max_perc)*KLL_II_2020!NOC_CI_expex_rpmt</f>
        <v>0</v>
      </c>
      <c r="AX371" s="49">
        <f ca="1">-MIN(SUM(AX369:AX370),SUM(AX$337,AX$342)*KLL_II_2020!NOC_rpmt_max_perc)*KLL_II_2020!NOC_CI_expex_rpmt</f>
        <v>0</v>
      </c>
      <c r="AY371" s="49">
        <f ca="1">-MIN(SUM(AY369:AY370),SUM(AY$337,AY$342)*KLL_II_2020!NOC_rpmt_max_perc)*KLL_II_2020!NOC_CI_expex_rpmt</f>
        <v>0</v>
      </c>
      <c r="AZ371" s="49">
        <f ca="1">-MIN(SUM(AZ369:AZ370),SUM(AZ$337,AZ$342)*KLL_II_2020!NOC_rpmt_max_perc)*KLL_II_2020!NOC_CI_expex_rpmt</f>
        <v>0</v>
      </c>
      <c r="BA371" s="49">
        <f ca="1">-MIN(SUM(BA369:BA370),SUM(BA$337,BA$342)*KLL_II_2020!NOC_rpmt_max_perc)*KLL_II_2020!NOC_CI_expex_rpmt</f>
        <v>0</v>
      </c>
      <c r="BB371" s="49">
        <f ca="1">-MIN(SUM(BB369:BB370),SUM(BB$337,BB$342)*KLL_II_2020!NOC_rpmt_max_perc)*KLL_II_2020!NOC_CI_expex_rpmt</f>
        <v>0</v>
      </c>
      <c r="BC371" s="49">
        <f ca="1">-MIN(SUM(BC369:BC370),SUM(BC$337,BC$342)*KLL_II_2020!NOC_rpmt_max_perc)*KLL_II_2020!NOC_CI_expex_rpmt</f>
        <v>0</v>
      </c>
      <c r="BD371" s="49">
        <f ca="1">-MIN(SUM(BD369:BD370),SUM(BD$337,BD$342)*KLL_II_2020!NOC_rpmt_max_perc)*KLL_II_2020!NOC_CI_expex_rpmt</f>
        <v>0</v>
      </c>
      <c r="BE371" s="49">
        <f ca="1">-MIN(SUM(BE369:BE370),SUM(BE$337,BE$342)*KLL_II_2020!NOC_rpmt_max_perc)*KLL_II_2020!NOC_CI_expex_rpmt</f>
        <v>0</v>
      </c>
      <c r="BF371" s="49">
        <f ca="1">-MIN(SUM(BF369:BF370),SUM(BF$337,BF$342)*KLL_II_2020!NOC_rpmt_max_perc)*KLL_II_2020!NOC_CI_expex_rpmt</f>
        <v>0</v>
      </c>
      <c r="BG371" s="49">
        <f ca="1">-MIN(SUM(BG369:BG370),SUM(BG$337,BG$342)*KLL_II_2020!NOC_rpmt_max_perc)*KLL_II_2020!NOC_CI_expex_rpmt</f>
        <v>0</v>
      </c>
      <c r="BH371" s="49">
        <f ca="1">-MIN(SUM(BH369:BH370),SUM(BH$337,BH$342)*KLL_II_2020!NOC_rpmt_max_perc)*KLL_II_2020!NOC_CI_expex_rpmt</f>
        <v>0</v>
      </c>
      <c r="BI371" s="49">
        <f ca="1">-MIN(SUM(BI369:BI370),SUM(BI$337,BI$342)*KLL_II_2020!NOC_rpmt_max_perc)*KLL_II_2020!NOC_CI_expex_rpmt</f>
        <v>0</v>
      </c>
      <c r="BJ371" s="49">
        <f ca="1">-MIN(SUM(BJ369:BJ370),SUM(BJ$337,BJ$342)*KLL_II_2020!NOC_rpmt_max_perc)*KLL_II_2020!NOC_CI_expex_rpmt</f>
        <v>0</v>
      </c>
      <c r="BK371" s="49">
        <f ca="1">-MIN(SUM(BK369:BK370),SUM(BK$337,BK$342)*KLL_II_2020!NOC_rpmt_max_perc)*KLL_II_2020!NOC_CI_expex_rpmt</f>
        <v>0</v>
      </c>
      <c r="BL371" s="49">
        <f ca="1">-MIN(SUM(BL369:BL370),SUM(BL$337,BL$342)*KLL_II_2020!NOC_rpmt_max_perc)*KLL_II_2020!NOC_CI_expex_rpmt</f>
        <v>0</v>
      </c>
      <c r="BM371" s="49">
        <f ca="1">-MIN(SUM(BM369:BM370),SUM(BM$337,BM$342)*KLL_II_2020!NOC_rpmt_max_perc)*KLL_II_2020!NOC_CI_expex_rpmt</f>
        <v>0</v>
      </c>
      <c r="BN371" s="49">
        <f ca="1">-MIN(SUM(BN369:BN370),SUM(BN$337,BN$342)*KLL_II_2020!NOC_rpmt_max_perc)*KLL_II_2020!NOC_CI_expex_rpmt</f>
        <v>0</v>
      </c>
      <c r="BO371" s="49">
        <f ca="1">-MIN(SUM(BO369:BO370),SUM(BO$337,BO$342)*KLL_II_2020!NOC_rpmt_max_perc)*KLL_II_2020!NOC_CI_expex_rpmt</f>
        <v>0</v>
      </c>
      <c r="BP371" s="49">
        <f ca="1">-MIN(SUM(BP369:BP370),SUM(BP$337,BP$342)*KLL_II_2020!NOC_rpmt_max_perc)*KLL_II_2020!NOC_CI_expex_rpmt</f>
        <v>0</v>
      </c>
      <c r="BQ371" s="49">
        <f ca="1">-MIN(SUM(BQ369:BQ370),SUM(BQ$337,BQ$342)*KLL_II_2020!NOC_rpmt_max_perc)*KLL_II_2020!NOC_CI_expex_rpmt</f>
        <v>0</v>
      </c>
      <c r="BR371" s="49">
        <f ca="1">-MIN(SUM(BR369:BR370),SUM(BR$337,BR$342)*KLL_II_2020!NOC_rpmt_max_perc)*KLL_II_2020!NOC_CI_expex_rpmt</f>
        <v>0</v>
      </c>
      <c r="BS371" s="49">
        <f ca="1">-MIN(SUM(BS369:BS370),SUM(BS$337,BS$342)*KLL_II_2020!NOC_rpmt_max_perc)*KLL_II_2020!NOC_CI_expex_rpmt</f>
        <v>0</v>
      </c>
    </row>
    <row r="372" spans="3:71" outlineLevel="1" x14ac:dyDescent="0.2">
      <c r="D372" t="str">
        <f>HM_ZB_Nsoko!D385</f>
        <v>Coûts de portage Solde de clôture</v>
      </c>
      <c r="J372" s="26"/>
      <c r="L372" s="49">
        <f ca="1">SUM(L369:L371)</f>
        <v>0</v>
      </c>
      <c r="M372" s="49">
        <f t="shared" ref="M372:BS372" ca="1" si="105">SUM(M369:M371)</f>
        <v>0</v>
      </c>
      <c r="N372" s="49">
        <f t="shared" ca="1" si="105"/>
        <v>0</v>
      </c>
      <c r="O372" s="49">
        <f t="shared" ca="1" si="105"/>
        <v>0</v>
      </c>
      <c r="P372" s="49">
        <f t="shared" ca="1" si="105"/>
        <v>0</v>
      </c>
      <c r="Q372" s="49">
        <f t="shared" ca="1" si="105"/>
        <v>0</v>
      </c>
      <c r="R372" s="49">
        <f t="shared" ca="1" si="105"/>
        <v>0</v>
      </c>
      <c r="S372" s="49">
        <f t="shared" ca="1" si="105"/>
        <v>0</v>
      </c>
      <c r="T372" s="49">
        <f t="shared" ca="1" si="105"/>
        <v>0</v>
      </c>
      <c r="U372" s="49">
        <f t="shared" ca="1" si="105"/>
        <v>0</v>
      </c>
      <c r="V372" s="49">
        <f t="shared" ca="1" si="105"/>
        <v>0</v>
      </c>
      <c r="W372" s="49">
        <f t="shared" ca="1" si="105"/>
        <v>0</v>
      </c>
      <c r="X372" s="49">
        <f t="shared" ca="1" si="105"/>
        <v>0</v>
      </c>
      <c r="Y372" s="49">
        <f t="shared" ca="1" si="105"/>
        <v>0</v>
      </c>
      <c r="Z372" s="49">
        <f t="shared" ca="1" si="105"/>
        <v>0</v>
      </c>
      <c r="AA372" s="49">
        <f t="shared" ca="1" si="105"/>
        <v>0</v>
      </c>
      <c r="AB372" s="49">
        <f t="shared" ca="1" si="105"/>
        <v>0</v>
      </c>
      <c r="AC372" s="49">
        <f t="shared" ca="1" si="105"/>
        <v>0</v>
      </c>
      <c r="AD372" s="49">
        <f t="shared" ca="1" si="105"/>
        <v>0</v>
      </c>
      <c r="AE372" s="49">
        <f t="shared" ca="1" si="105"/>
        <v>0</v>
      </c>
      <c r="AF372" s="49">
        <f t="shared" ca="1" si="105"/>
        <v>0</v>
      </c>
      <c r="AG372" s="49">
        <f t="shared" ca="1" si="105"/>
        <v>0</v>
      </c>
      <c r="AH372" s="49">
        <f t="shared" ca="1" si="105"/>
        <v>0</v>
      </c>
      <c r="AI372" s="49">
        <f t="shared" ca="1" si="105"/>
        <v>0</v>
      </c>
      <c r="AJ372" s="49">
        <f t="shared" ca="1" si="105"/>
        <v>0</v>
      </c>
      <c r="AK372" s="49">
        <f t="shared" ca="1" si="105"/>
        <v>0</v>
      </c>
      <c r="AL372" s="49">
        <f t="shared" ca="1" si="105"/>
        <v>0</v>
      </c>
      <c r="AM372" s="49">
        <f t="shared" ca="1" si="105"/>
        <v>0</v>
      </c>
      <c r="AN372" s="49">
        <f t="shared" ca="1" si="105"/>
        <v>0</v>
      </c>
      <c r="AO372" s="49">
        <f t="shared" ca="1" si="105"/>
        <v>0</v>
      </c>
      <c r="AP372" s="49">
        <f t="shared" ca="1" si="105"/>
        <v>0</v>
      </c>
      <c r="AQ372" s="49">
        <f t="shared" ca="1" si="105"/>
        <v>0</v>
      </c>
      <c r="AR372" s="49">
        <f t="shared" ca="1" si="105"/>
        <v>0</v>
      </c>
      <c r="AS372" s="49">
        <f t="shared" ca="1" si="105"/>
        <v>0</v>
      </c>
      <c r="AT372" s="49">
        <f t="shared" ca="1" si="105"/>
        <v>0</v>
      </c>
      <c r="AU372" s="49">
        <f t="shared" ca="1" si="105"/>
        <v>0</v>
      </c>
      <c r="AV372" s="49">
        <f t="shared" ca="1" si="105"/>
        <v>0</v>
      </c>
      <c r="AW372" s="49">
        <f t="shared" ca="1" si="105"/>
        <v>0</v>
      </c>
      <c r="AX372" s="49">
        <f t="shared" ca="1" si="105"/>
        <v>0</v>
      </c>
      <c r="AY372" s="49">
        <f t="shared" ca="1" si="105"/>
        <v>0</v>
      </c>
      <c r="AZ372" s="49">
        <f t="shared" ca="1" si="105"/>
        <v>0</v>
      </c>
      <c r="BA372" s="49">
        <f t="shared" ca="1" si="105"/>
        <v>0</v>
      </c>
      <c r="BB372" s="49">
        <f t="shared" ca="1" si="105"/>
        <v>0</v>
      </c>
      <c r="BC372" s="49">
        <f t="shared" ca="1" si="105"/>
        <v>0</v>
      </c>
      <c r="BD372" s="49">
        <f t="shared" ca="1" si="105"/>
        <v>0</v>
      </c>
      <c r="BE372" s="49">
        <f t="shared" ca="1" si="105"/>
        <v>0</v>
      </c>
      <c r="BF372" s="49">
        <f t="shared" ca="1" si="105"/>
        <v>0</v>
      </c>
      <c r="BG372" s="49">
        <f t="shared" ca="1" si="105"/>
        <v>0</v>
      </c>
      <c r="BH372" s="49">
        <f t="shared" ca="1" si="105"/>
        <v>0</v>
      </c>
      <c r="BI372" s="49">
        <f t="shared" ca="1" si="105"/>
        <v>0</v>
      </c>
      <c r="BJ372" s="49">
        <f t="shared" ca="1" si="105"/>
        <v>0</v>
      </c>
      <c r="BK372" s="49">
        <f t="shared" ca="1" si="105"/>
        <v>0</v>
      </c>
      <c r="BL372" s="49">
        <f t="shared" ca="1" si="105"/>
        <v>0</v>
      </c>
      <c r="BM372" s="49">
        <f t="shared" ca="1" si="105"/>
        <v>0</v>
      </c>
      <c r="BN372" s="49">
        <f t="shared" ca="1" si="105"/>
        <v>0</v>
      </c>
      <c r="BO372" s="49">
        <f t="shared" ca="1" si="105"/>
        <v>0</v>
      </c>
      <c r="BP372" s="49">
        <f t="shared" ca="1" si="105"/>
        <v>0</v>
      </c>
      <c r="BQ372" s="49">
        <f t="shared" ca="1" si="105"/>
        <v>0</v>
      </c>
      <c r="BR372" s="49">
        <f t="shared" ca="1" si="105"/>
        <v>0</v>
      </c>
      <c r="BS372" s="49">
        <f t="shared" ca="1" si="105"/>
        <v>0</v>
      </c>
    </row>
    <row r="373" spans="3:71" outlineLevel="1" x14ac:dyDescent="0.2">
      <c r="J373" s="26"/>
      <c r="L373" s="55"/>
      <c r="M373" s="55"/>
      <c r="N373" s="55"/>
      <c r="O373" s="55"/>
      <c r="P373" s="55"/>
      <c r="Q373" s="55"/>
      <c r="R373" s="55"/>
      <c r="S373" s="55"/>
      <c r="T373" s="55"/>
      <c r="U373" s="55"/>
      <c r="V373" s="55"/>
      <c r="W373" s="55"/>
      <c r="X373" s="55"/>
      <c r="Y373" s="55"/>
      <c r="Z373" s="55"/>
      <c r="AA373" s="55"/>
      <c r="AB373" s="55"/>
      <c r="AC373" s="55"/>
      <c r="AD373" s="55"/>
      <c r="AE373" s="55"/>
      <c r="AF373" s="55"/>
      <c r="AG373" s="55"/>
      <c r="AH373" s="55"/>
      <c r="AI373" s="55"/>
      <c r="AJ373" s="55"/>
      <c r="AK373" s="55"/>
      <c r="AL373" s="55"/>
      <c r="AM373" s="55"/>
      <c r="AN373" s="55"/>
      <c r="AO373" s="55"/>
      <c r="AP373" s="55"/>
      <c r="AQ373" s="55"/>
      <c r="AR373" s="55"/>
      <c r="AS373" s="55"/>
      <c r="AT373" s="55"/>
      <c r="AU373" s="55"/>
      <c r="AV373" s="55"/>
      <c r="AW373" s="55"/>
      <c r="AX373" s="55"/>
      <c r="AY373" s="55"/>
      <c r="AZ373" s="55"/>
      <c r="BA373" s="55"/>
      <c r="BB373" s="55"/>
      <c r="BC373" s="55"/>
      <c r="BD373" s="55"/>
      <c r="BE373" s="55"/>
      <c r="BF373" s="55"/>
      <c r="BG373" s="55"/>
      <c r="BH373" s="55"/>
      <c r="BI373" s="55"/>
      <c r="BJ373" s="55"/>
      <c r="BK373" s="55"/>
      <c r="BL373" s="55"/>
      <c r="BM373" s="55"/>
      <c r="BN373" s="55"/>
      <c r="BO373" s="55"/>
      <c r="BP373" s="55"/>
      <c r="BQ373" s="55"/>
      <c r="BR373" s="55"/>
      <c r="BS373" s="55"/>
    </row>
    <row r="374" spans="3:71" outlineLevel="1" x14ac:dyDescent="0.2">
      <c r="C374" s="11" t="str">
        <f>HM_ZB_Nsoko!C387</f>
        <v>Remboursement du portage Compagnie nationale - Capex</v>
      </c>
      <c r="J374" s="26"/>
      <c r="L374" s="55"/>
      <c r="M374" s="55"/>
      <c r="N374" s="55"/>
      <c r="O374" s="55"/>
      <c r="P374" s="55"/>
      <c r="Q374" s="55"/>
      <c r="R374" s="55"/>
      <c r="S374" s="55"/>
      <c r="T374" s="55"/>
      <c r="U374" s="55"/>
      <c r="V374" s="55"/>
      <c r="W374" s="55"/>
      <c r="X374" s="55"/>
      <c r="Y374" s="55"/>
      <c r="Z374" s="55"/>
      <c r="AA374" s="55"/>
      <c r="AB374" s="55"/>
      <c r="AC374" s="55"/>
      <c r="AD374" s="55"/>
      <c r="AE374" s="55"/>
      <c r="AF374" s="55"/>
      <c r="AG374" s="55"/>
      <c r="AH374" s="55"/>
      <c r="AI374" s="55"/>
      <c r="AJ374" s="55"/>
      <c r="AK374" s="55"/>
      <c r="AL374" s="55"/>
      <c r="AM374" s="55"/>
      <c r="AN374" s="55"/>
      <c r="AO374" s="55"/>
      <c r="AP374" s="55"/>
      <c r="AQ374" s="55"/>
      <c r="AR374" s="55"/>
      <c r="AS374" s="55"/>
      <c r="AT374" s="55"/>
      <c r="AU374" s="55"/>
      <c r="AV374" s="55"/>
      <c r="AW374" s="55"/>
      <c r="AX374" s="55"/>
      <c r="AY374" s="55"/>
      <c r="AZ374" s="55"/>
      <c r="BA374" s="55"/>
      <c r="BB374" s="55"/>
      <c r="BC374" s="55"/>
      <c r="BD374" s="55"/>
      <c r="BE374" s="55"/>
      <c r="BF374" s="55"/>
      <c r="BG374" s="55"/>
      <c r="BH374" s="55"/>
      <c r="BI374" s="55"/>
      <c r="BJ374" s="55"/>
      <c r="BK374" s="55"/>
      <c r="BL374" s="55"/>
      <c r="BM374" s="55"/>
      <c r="BN374" s="55"/>
      <c r="BO374" s="55"/>
      <c r="BP374" s="55"/>
      <c r="BQ374" s="55"/>
      <c r="BR374" s="55"/>
      <c r="BS374" s="55"/>
    </row>
    <row r="375" spans="3:71" outlineLevel="1" x14ac:dyDescent="0.2">
      <c r="D375" t="str">
        <f>HM_ZB_Nsoko!D388</f>
        <v>Coûts portés Solde d'ouverture</v>
      </c>
      <c r="J375" s="26"/>
      <c r="L375" s="49">
        <f>K378</f>
        <v>0</v>
      </c>
      <c r="M375" s="49">
        <f t="shared" ref="M375:BS375" ca="1" si="106">L378</f>
        <v>0</v>
      </c>
      <c r="N375" s="49">
        <f t="shared" ca="1" si="106"/>
        <v>0</v>
      </c>
      <c r="O375" s="49">
        <f t="shared" ca="1" si="106"/>
        <v>0</v>
      </c>
      <c r="P375" s="49">
        <f t="shared" ca="1" si="106"/>
        <v>0</v>
      </c>
      <c r="Q375" s="49">
        <f t="shared" ca="1" si="106"/>
        <v>0</v>
      </c>
      <c r="R375" s="49">
        <f t="shared" ca="1" si="106"/>
        <v>0</v>
      </c>
      <c r="S375" s="49">
        <f t="shared" ca="1" si="106"/>
        <v>0</v>
      </c>
      <c r="T375" s="49">
        <f t="shared" ca="1" si="106"/>
        <v>0</v>
      </c>
      <c r="U375" s="49">
        <f t="shared" ca="1" si="106"/>
        <v>0</v>
      </c>
      <c r="V375" s="49">
        <f t="shared" ca="1" si="106"/>
        <v>0</v>
      </c>
      <c r="W375" s="49">
        <f t="shared" ca="1" si="106"/>
        <v>0</v>
      </c>
      <c r="X375" s="49">
        <f t="shared" ca="1" si="106"/>
        <v>0</v>
      </c>
      <c r="Y375" s="49">
        <f t="shared" ca="1" si="106"/>
        <v>0</v>
      </c>
      <c r="Z375" s="49">
        <f t="shared" ca="1" si="106"/>
        <v>0</v>
      </c>
      <c r="AA375" s="49">
        <f t="shared" ca="1" si="106"/>
        <v>0</v>
      </c>
      <c r="AB375" s="49">
        <f t="shared" ca="1" si="106"/>
        <v>0</v>
      </c>
      <c r="AC375" s="49">
        <f t="shared" ca="1" si="106"/>
        <v>0</v>
      </c>
      <c r="AD375" s="49">
        <f t="shared" ca="1" si="106"/>
        <v>0</v>
      </c>
      <c r="AE375" s="49">
        <f t="shared" ca="1" si="106"/>
        <v>0</v>
      </c>
      <c r="AF375" s="49">
        <f t="shared" ca="1" si="106"/>
        <v>0</v>
      </c>
      <c r="AG375" s="49">
        <f t="shared" ca="1" si="106"/>
        <v>0</v>
      </c>
      <c r="AH375" s="49">
        <f t="shared" ca="1" si="106"/>
        <v>0</v>
      </c>
      <c r="AI375" s="49">
        <f t="shared" ca="1" si="106"/>
        <v>0</v>
      </c>
      <c r="AJ375" s="49">
        <f t="shared" ca="1" si="106"/>
        <v>0</v>
      </c>
      <c r="AK375" s="49">
        <f t="shared" ca="1" si="106"/>
        <v>0</v>
      </c>
      <c r="AL375" s="49">
        <f t="shared" ca="1" si="106"/>
        <v>0</v>
      </c>
      <c r="AM375" s="49">
        <f t="shared" ca="1" si="106"/>
        <v>0</v>
      </c>
      <c r="AN375" s="49">
        <f t="shared" ca="1" si="106"/>
        <v>0</v>
      </c>
      <c r="AO375" s="49">
        <f t="shared" ca="1" si="106"/>
        <v>0</v>
      </c>
      <c r="AP375" s="49">
        <f t="shared" ca="1" si="106"/>
        <v>0</v>
      </c>
      <c r="AQ375" s="49">
        <f t="shared" ca="1" si="106"/>
        <v>0</v>
      </c>
      <c r="AR375" s="49">
        <f t="shared" ca="1" si="106"/>
        <v>0</v>
      </c>
      <c r="AS375" s="49">
        <f t="shared" ca="1" si="106"/>
        <v>0</v>
      </c>
      <c r="AT375" s="49">
        <f t="shared" ca="1" si="106"/>
        <v>0</v>
      </c>
      <c r="AU375" s="49">
        <f t="shared" ca="1" si="106"/>
        <v>0</v>
      </c>
      <c r="AV375" s="49">
        <f t="shared" ca="1" si="106"/>
        <v>0</v>
      </c>
      <c r="AW375" s="49">
        <f t="shared" ca="1" si="106"/>
        <v>0</v>
      </c>
      <c r="AX375" s="49">
        <f t="shared" ca="1" si="106"/>
        <v>0</v>
      </c>
      <c r="AY375" s="49">
        <f t="shared" ca="1" si="106"/>
        <v>0</v>
      </c>
      <c r="AZ375" s="49">
        <f t="shared" ca="1" si="106"/>
        <v>0</v>
      </c>
      <c r="BA375" s="49">
        <f t="shared" ca="1" si="106"/>
        <v>0</v>
      </c>
      <c r="BB375" s="49">
        <f t="shared" ca="1" si="106"/>
        <v>0</v>
      </c>
      <c r="BC375" s="49">
        <f t="shared" ca="1" si="106"/>
        <v>0</v>
      </c>
      <c r="BD375" s="49">
        <f t="shared" ca="1" si="106"/>
        <v>0</v>
      </c>
      <c r="BE375" s="49">
        <f t="shared" ca="1" si="106"/>
        <v>0</v>
      </c>
      <c r="BF375" s="49">
        <f t="shared" ca="1" si="106"/>
        <v>0</v>
      </c>
      <c r="BG375" s="49">
        <f t="shared" ca="1" si="106"/>
        <v>0</v>
      </c>
      <c r="BH375" s="49">
        <f t="shared" ca="1" si="106"/>
        <v>0</v>
      </c>
      <c r="BI375" s="49">
        <f t="shared" ca="1" si="106"/>
        <v>0</v>
      </c>
      <c r="BJ375" s="49">
        <f t="shared" ca="1" si="106"/>
        <v>0</v>
      </c>
      <c r="BK375" s="49">
        <f t="shared" ca="1" si="106"/>
        <v>0</v>
      </c>
      <c r="BL375" s="49">
        <f t="shared" ca="1" si="106"/>
        <v>0</v>
      </c>
      <c r="BM375" s="49">
        <f t="shared" ca="1" si="106"/>
        <v>0</v>
      </c>
      <c r="BN375" s="49">
        <f t="shared" ca="1" si="106"/>
        <v>0</v>
      </c>
      <c r="BO375" s="49">
        <f t="shared" ca="1" si="106"/>
        <v>0</v>
      </c>
      <c r="BP375" s="49">
        <f t="shared" ca="1" si="106"/>
        <v>0</v>
      </c>
      <c r="BQ375" s="49">
        <f t="shared" ca="1" si="106"/>
        <v>0</v>
      </c>
      <c r="BR375" s="49">
        <f t="shared" ca="1" si="106"/>
        <v>0</v>
      </c>
      <c r="BS375" s="49">
        <f t="shared" ca="1" si="106"/>
        <v>0</v>
      </c>
    </row>
    <row r="376" spans="3:71" outlineLevel="1" x14ac:dyDescent="0.2">
      <c r="D376" s="50" t="str">
        <f>HM_ZB_Nsoko!D389</f>
        <v>Coûts portés pour la période</v>
      </c>
      <c r="I376" s="30">
        <f t="shared" ref="I376:I377" ca="1" si="107">SUM($L376:$BS376)</f>
        <v>81.205600000000004</v>
      </c>
      <c r="J376" s="26" t="s">
        <v>148</v>
      </c>
      <c r="L376" s="49">
        <f ca="1">L364</f>
        <v>10.202800000000002</v>
      </c>
      <c r="M376" s="49">
        <f t="shared" ref="M376:BS376" ca="1" si="108">M364</f>
        <v>34.302199999999999</v>
      </c>
      <c r="N376" s="49">
        <f t="shared" ca="1" si="108"/>
        <v>15.328200000000002</v>
      </c>
      <c r="O376" s="49">
        <f t="shared" ca="1" si="108"/>
        <v>5.7324000000000002</v>
      </c>
      <c r="P376" s="49">
        <f t="shared" ca="1" si="108"/>
        <v>3.64</v>
      </c>
      <c r="Q376" s="49">
        <f t="shared" ca="1" si="108"/>
        <v>12</v>
      </c>
      <c r="R376" s="49">
        <f t="shared" ca="1" si="108"/>
        <v>0</v>
      </c>
      <c r="S376" s="49">
        <f t="shared" ca="1" si="108"/>
        <v>0</v>
      </c>
      <c r="T376" s="49">
        <f t="shared" ca="1" si="108"/>
        <v>0</v>
      </c>
      <c r="U376" s="49">
        <f t="shared" ca="1" si="108"/>
        <v>0</v>
      </c>
      <c r="V376" s="49">
        <f t="shared" ca="1" si="108"/>
        <v>0</v>
      </c>
      <c r="W376" s="49">
        <f t="shared" ca="1" si="108"/>
        <v>0</v>
      </c>
      <c r="X376" s="49">
        <f t="shared" ca="1" si="108"/>
        <v>0</v>
      </c>
      <c r="Y376" s="49">
        <f t="shared" ca="1" si="108"/>
        <v>0</v>
      </c>
      <c r="Z376" s="49">
        <f t="shared" ca="1" si="108"/>
        <v>0</v>
      </c>
      <c r="AA376" s="49">
        <f t="shared" ca="1" si="108"/>
        <v>0</v>
      </c>
      <c r="AB376" s="49">
        <f t="shared" ca="1" si="108"/>
        <v>0</v>
      </c>
      <c r="AC376" s="49">
        <f t="shared" ca="1" si="108"/>
        <v>0</v>
      </c>
      <c r="AD376" s="49">
        <f t="shared" ca="1" si="108"/>
        <v>0</v>
      </c>
      <c r="AE376" s="49">
        <f t="shared" ca="1" si="108"/>
        <v>0</v>
      </c>
      <c r="AF376" s="49">
        <f t="shared" ca="1" si="108"/>
        <v>0</v>
      </c>
      <c r="AG376" s="49">
        <f t="shared" ca="1" si="108"/>
        <v>0</v>
      </c>
      <c r="AH376" s="49">
        <f t="shared" ca="1" si="108"/>
        <v>0</v>
      </c>
      <c r="AI376" s="49">
        <f t="shared" ca="1" si="108"/>
        <v>0</v>
      </c>
      <c r="AJ376" s="49">
        <f t="shared" ca="1" si="108"/>
        <v>0</v>
      </c>
      <c r="AK376" s="49">
        <f t="shared" ca="1" si="108"/>
        <v>0</v>
      </c>
      <c r="AL376" s="49">
        <f t="shared" ca="1" si="108"/>
        <v>0</v>
      </c>
      <c r="AM376" s="49">
        <f t="shared" ca="1" si="108"/>
        <v>0</v>
      </c>
      <c r="AN376" s="49">
        <f t="shared" ca="1" si="108"/>
        <v>0</v>
      </c>
      <c r="AO376" s="49">
        <f t="shared" ca="1" si="108"/>
        <v>0</v>
      </c>
      <c r="AP376" s="49">
        <f t="shared" ca="1" si="108"/>
        <v>0</v>
      </c>
      <c r="AQ376" s="49">
        <f t="shared" ca="1" si="108"/>
        <v>0</v>
      </c>
      <c r="AR376" s="49">
        <f t="shared" ca="1" si="108"/>
        <v>0</v>
      </c>
      <c r="AS376" s="49">
        <f t="shared" ca="1" si="108"/>
        <v>0</v>
      </c>
      <c r="AT376" s="49">
        <f t="shared" ca="1" si="108"/>
        <v>0</v>
      </c>
      <c r="AU376" s="49">
        <f t="shared" ca="1" si="108"/>
        <v>0</v>
      </c>
      <c r="AV376" s="49">
        <f t="shared" ca="1" si="108"/>
        <v>0</v>
      </c>
      <c r="AW376" s="49">
        <f t="shared" ca="1" si="108"/>
        <v>0</v>
      </c>
      <c r="AX376" s="49">
        <f t="shared" ca="1" si="108"/>
        <v>0</v>
      </c>
      <c r="AY376" s="49">
        <f t="shared" ca="1" si="108"/>
        <v>0</v>
      </c>
      <c r="AZ376" s="49">
        <f t="shared" ca="1" si="108"/>
        <v>0</v>
      </c>
      <c r="BA376" s="49">
        <f t="shared" ca="1" si="108"/>
        <v>0</v>
      </c>
      <c r="BB376" s="49">
        <f t="shared" ca="1" si="108"/>
        <v>0</v>
      </c>
      <c r="BC376" s="49">
        <f t="shared" ca="1" si="108"/>
        <v>0</v>
      </c>
      <c r="BD376" s="49">
        <f t="shared" ca="1" si="108"/>
        <v>0</v>
      </c>
      <c r="BE376" s="49">
        <f t="shared" ca="1" si="108"/>
        <v>0</v>
      </c>
      <c r="BF376" s="49">
        <f t="shared" ca="1" si="108"/>
        <v>0</v>
      </c>
      <c r="BG376" s="49">
        <f t="shared" ca="1" si="108"/>
        <v>0</v>
      </c>
      <c r="BH376" s="49">
        <f t="shared" ca="1" si="108"/>
        <v>0</v>
      </c>
      <c r="BI376" s="49">
        <f t="shared" ca="1" si="108"/>
        <v>0</v>
      </c>
      <c r="BJ376" s="49">
        <f t="shared" ca="1" si="108"/>
        <v>0</v>
      </c>
      <c r="BK376" s="49">
        <f t="shared" ca="1" si="108"/>
        <v>0</v>
      </c>
      <c r="BL376" s="49">
        <f t="shared" ca="1" si="108"/>
        <v>0</v>
      </c>
      <c r="BM376" s="49">
        <f t="shared" ca="1" si="108"/>
        <v>0</v>
      </c>
      <c r="BN376" s="49">
        <f t="shared" ca="1" si="108"/>
        <v>0</v>
      </c>
      <c r="BO376" s="49">
        <f t="shared" ca="1" si="108"/>
        <v>0</v>
      </c>
      <c r="BP376" s="49">
        <f t="shared" ca="1" si="108"/>
        <v>0</v>
      </c>
      <c r="BQ376" s="49">
        <f t="shared" ca="1" si="108"/>
        <v>0</v>
      </c>
      <c r="BR376" s="49">
        <f t="shared" ca="1" si="108"/>
        <v>0</v>
      </c>
      <c r="BS376" s="49">
        <f t="shared" ca="1" si="108"/>
        <v>0</v>
      </c>
    </row>
    <row r="377" spans="3:71" outlineLevel="1" x14ac:dyDescent="0.2">
      <c r="D377" s="50" t="str">
        <f>HM_ZB_Nsoko!D390</f>
        <v>Remboursement du portage</v>
      </c>
      <c r="I377" s="30">
        <f t="shared" ca="1" si="107"/>
        <v>-81.205600000000004</v>
      </c>
      <c r="J377" s="26" t="s">
        <v>148</v>
      </c>
      <c r="L377" s="49">
        <f ca="1">-MIN(SUM(L375:L376),SUM(L$337,L$342)*KLL_II_2020!NOC_rpmt_max_perc)*KLL_II_2020!NOC_CI_devex_rpmt</f>
        <v>-10.202800000000002</v>
      </c>
      <c r="M377" s="49">
        <f ca="1">-MIN(SUM(M375:M376),SUM(M$337,M$342)*KLL_II_2020!NOC_rpmt_max_perc)*KLL_II_2020!NOC_CI_devex_rpmt</f>
        <v>-34.302199999999999</v>
      </c>
      <c r="N377" s="49">
        <f ca="1">-MIN(SUM(N375:N376),SUM(N$337,N$342)*KLL_II_2020!NOC_rpmt_max_perc)*KLL_II_2020!NOC_CI_devex_rpmt</f>
        <v>-15.328200000000002</v>
      </c>
      <c r="O377" s="49">
        <f ca="1">-MIN(SUM(O375:O376),SUM(O$337,O$342)*KLL_II_2020!NOC_rpmt_max_perc)*KLL_II_2020!NOC_CI_devex_rpmt</f>
        <v>-5.7324000000000002</v>
      </c>
      <c r="P377" s="49">
        <f ca="1">-MIN(SUM(P375:P376),SUM(P$337,P$342)*KLL_II_2020!NOC_rpmt_max_perc)*KLL_II_2020!NOC_CI_devex_rpmt</f>
        <v>-3.64</v>
      </c>
      <c r="Q377" s="49">
        <f ca="1">-MIN(SUM(Q375:Q376),SUM(Q$337,Q$342)*KLL_II_2020!NOC_rpmt_max_perc)*KLL_II_2020!NOC_CI_devex_rpmt</f>
        <v>-12</v>
      </c>
      <c r="R377" s="49">
        <f ca="1">-MIN(SUM(R375:R376),SUM(R$337,R$342)*KLL_II_2020!NOC_rpmt_max_perc)*KLL_II_2020!NOC_CI_devex_rpmt</f>
        <v>0</v>
      </c>
      <c r="S377" s="49">
        <f ca="1">-MIN(SUM(S375:S376),SUM(S$337,S$342)*KLL_II_2020!NOC_rpmt_max_perc)*KLL_II_2020!NOC_CI_devex_rpmt</f>
        <v>0</v>
      </c>
      <c r="T377" s="49">
        <f ca="1">-MIN(SUM(T375:T376),SUM(T$337,T$342)*KLL_II_2020!NOC_rpmt_max_perc)*KLL_II_2020!NOC_CI_devex_rpmt</f>
        <v>0</v>
      </c>
      <c r="U377" s="49">
        <f ca="1">-MIN(SUM(U375:U376),SUM(U$337,U$342)*KLL_II_2020!NOC_rpmt_max_perc)*KLL_II_2020!NOC_CI_devex_rpmt</f>
        <v>0</v>
      </c>
      <c r="V377" s="49">
        <f ca="1">-MIN(SUM(V375:V376),SUM(V$337,V$342)*KLL_II_2020!NOC_rpmt_max_perc)*KLL_II_2020!NOC_CI_devex_rpmt</f>
        <v>0</v>
      </c>
      <c r="W377" s="49">
        <f ca="1">-MIN(SUM(W375:W376),SUM(W$337,W$342)*KLL_II_2020!NOC_rpmt_max_perc)*KLL_II_2020!NOC_CI_devex_rpmt</f>
        <v>0</v>
      </c>
      <c r="X377" s="49">
        <f ca="1">-MIN(SUM(X375:X376),SUM(X$337,X$342)*KLL_II_2020!NOC_rpmt_max_perc)*KLL_II_2020!NOC_CI_devex_rpmt</f>
        <v>0</v>
      </c>
      <c r="Y377" s="49">
        <f ca="1">-MIN(SUM(Y375:Y376),SUM(Y$337,Y$342)*KLL_II_2020!NOC_rpmt_max_perc)*KLL_II_2020!NOC_CI_devex_rpmt</f>
        <v>0</v>
      </c>
      <c r="Z377" s="49">
        <f ca="1">-MIN(SUM(Z375:Z376),SUM(Z$337,Z$342)*KLL_II_2020!NOC_rpmt_max_perc)*KLL_II_2020!NOC_CI_devex_rpmt</f>
        <v>0</v>
      </c>
      <c r="AA377" s="49">
        <f ca="1">-MIN(SUM(AA375:AA376),SUM(AA$337,AA$342)*KLL_II_2020!NOC_rpmt_max_perc)*KLL_II_2020!NOC_CI_devex_rpmt</f>
        <v>0</v>
      </c>
      <c r="AB377" s="49">
        <f ca="1">-MIN(SUM(AB375:AB376),SUM(AB$337,AB$342)*KLL_II_2020!NOC_rpmt_max_perc)*KLL_II_2020!NOC_CI_devex_rpmt</f>
        <v>0</v>
      </c>
      <c r="AC377" s="49">
        <f ca="1">-MIN(SUM(AC375:AC376),SUM(AC$337,AC$342)*KLL_II_2020!NOC_rpmt_max_perc)*KLL_II_2020!NOC_CI_devex_rpmt</f>
        <v>0</v>
      </c>
      <c r="AD377" s="49">
        <f ca="1">-MIN(SUM(AD375:AD376),SUM(AD$337,AD$342)*KLL_II_2020!NOC_rpmt_max_perc)*KLL_II_2020!NOC_CI_devex_rpmt</f>
        <v>0</v>
      </c>
      <c r="AE377" s="49">
        <f ca="1">-MIN(SUM(AE375:AE376),SUM(AE$337,AE$342)*KLL_II_2020!NOC_rpmt_max_perc)*KLL_II_2020!NOC_CI_devex_rpmt</f>
        <v>0</v>
      </c>
      <c r="AF377" s="49">
        <f ca="1">-MIN(SUM(AF375:AF376),SUM(AF$337,AF$342)*KLL_II_2020!NOC_rpmt_max_perc)*KLL_II_2020!NOC_CI_devex_rpmt</f>
        <v>0</v>
      </c>
      <c r="AG377" s="49">
        <f ca="1">-MIN(SUM(AG375:AG376),SUM(AG$337,AG$342)*KLL_II_2020!NOC_rpmt_max_perc)*KLL_II_2020!NOC_CI_devex_rpmt</f>
        <v>0</v>
      </c>
      <c r="AH377" s="49">
        <f ca="1">-MIN(SUM(AH375:AH376),SUM(AH$337,AH$342)*KLL_II_2020!NOC_rpmt_max_perc)*KLL_II_2020!NOC_CI_devex_rpmt</f>
        <v>0</v>
      </c>
      <c r="AI377" s="49">
        <f ca="1">-MIN(SUM(AI375:AI376),SUM(AI$337,AI$342)*KLL_II_2020!NOC_rpmt_max_perc)*KLL_II_2020!NOC_CI_devex_rpmt</f>
        <v>0</v>
      </c>
      <c r="AJ377" s="49">
        <f ca="1">-MIN(SUM(AJ375:AJ376),SUM(AJ$337,AJ$342)*KLL_II_2020!NOC_rpmt_max_perc)*KLL_II_2020!NOC_CI_devex_rpmt</f>
        <v>0</v>
      </c>
      <c r="AK377" s="49">
        <f ca="1">-MIN(SUM(AK375:AK376),SUM(AK$337,AK$342)*KLL_II_2020!NOC_rpmt_max_perc)*KLL_II_2020!NOC_CI_devex_rpmt</f>
        <v>0</v>
      </c>
      <c r="AL377" s="49">
        <f ca="1">-MIN(SUM(AL375:AL376),SUM(AL$337,AL$342)*KLL_II_2020!NOC_rpmt_max_perc)*KLL_II_2020!NOC_CI_devex_rpmt</f>
        <v>0</v>
      </c>
      <c r="AM377" s="49">
        <f ca="1">-MIN(SUM(AM375:AM376),SUM(AM$337,AM$342)*KLL_II_2020!NOC_rpmt_max_perc)*KLL_II_2020!NOC_CI_devex_rpmt</f>
        <v>0</v>
      </c>
      <c r="AN377" s="49">
        <f ca="1">-MIN(SUM(AN375:AN376),SUM(AN$337,AN$342)*KLL_II_2020!NOC_rpmt_max_perc)*KLL_II_2020!NOC_CI_devex_rpmt</f>
        <v>0</v>
      </c>
      <c r="AO377" s="49">
        <f ca="1">-MIN(SUM(AO375:AO376),SUM(AO$337,AO$342)*KLL_II_2020!NOC_rpmt_max_perc)*KLL_II_2020!NOC_CI_devex_rpmt</f>
        <v>0</v>
      </c>
      <c r="AP377" s="49">
        <f ca="1">-MIN(SUM(AP375:AP376),SUM(AP$337,AP$342)*KLL_II_2020!NOC_rpmt_max_perc)*KLL_II_2020!NOC_CI_devex_rpmt</f>
        <v>0</v>
      </c>
      <c r="AQ377" s="49">
        <f ca="1">-MIN(SUM(AQ375:AQ376),SUM(AQ$337,AQ$342)*KLL_II_2020!NOC_rpmt_max_perc)*KLL_II_2020!NOC_CI_devex_rpmt</f>
        <v>0</v>
      </c>
      <c r="AR377" s="49">
        <f ca="1">-MIN(SUM(AR375:AR376),SUM(AR$337,AR$342)*KLL_II_2020!NOC_rpmt_max_perc)*KLL_II_2020!NOC_CI_devex_rpmt</f>
        <v>0</v>
      </c>
      <c r="AS377" s="49">
        <f ca="1">-MIN(SUM(AS375:AS376),SUM(AS$337,AS$342)*KLL_II_2020!NOC_rpmt_max_perc)*KLL_II_2020!NOC_CI_devex_rpmt</f>
        <v>0</v>
      </c>
      <c r="AT377" s="49">
        <f ca="1">-MIN(SUM(AT375:AT376),SUM(AT$337,AT$342)*KLL_II_2020!NOC_rpmt_max_perc)*KLL_II_2020!NOC_CI_devex_rpmt</f>
        <v>0</v>
      </c>
      <c r="AU377" s="49">
        <f ca="1">-MIN(SUM(AU375:AU376),SUM(AU$337,AU$342)*KLL_II_2020!NOC_rpmt_max_perc)*KLL_II_2020!NOC_CI_devex_rpmt</f>
        <v>0</v>
      </c>
      <c r="AV377" s="49">
        <f ca="1">-MIN(SUM(AV375:AV376),SUM(AV$337,AV$342)*KLL_II_2020!NOC_rpmt_max_perc)*KLL_II_2020!NOC_CI_devex_rpmt</f>
        <v>0</v>
      </c>
      <c r="AW377" s="49">
        <f ca="1">-MIN(SUM(AW375:AW376),SUM(AW$337,AW$342)*KLL_II_2020!NOC_rpmt_max_perc)*KLL_II_2020!NOC_CI_devex_rpmt</f>
        <v>0</v>
      </c>
      <c r="AX377" s="49">
        <f ca="1">-MIN(SUM(AX375:AX376),SUM(AX$337,AX$342)*KLL_II_2020!NOC_rpmt_max_perc)*KLL_II_2020!NOC_CI_devex_rpmt</f>
        <v>0</v>
      </c>
      <c r="AY377" s="49">
        <f ca="1">-MIN(SUM(AY375:AY376),SUM(AY$337,AY$342)*KLL_II_2020!NOC_rpmt_max_perc)*KLL_II_2020!NOC_CI_devex_rpmt</f>
        <v>0</v>
      </c>
      <c r="AZ377" s="49">
        <f ca="1">-MIN(SUM(AZ375:AZ376),SUM(AZ$337,AZ$342)*KLL_II_2020!NOC_rpmt_max_perc)*KLL_II_2020!NOC_CI_devex_rpmt</f>
        <v>0</v>
      </c>
      <c r="BA377" s="49">
        <f ca="1">-MIN(SUM(BA375:BA376),SUM(BA$337,BA$342)*KLL_II_2020!NOC_rpmt_max_perc)*KLL_II_2020!NOC_CI_devex_rpmt</f>
        <v>0</v>
      </c>
      <c r="BB377" s="49">
        <f ca="1">-MIN(SUM(BB375:BB376),SUM(BB$337,BB$342)*KLL_II_2020!NOC_rpmt_max_perc)*KLL_II_2020!NOC_CI_devex_rpmt</f>
        <v>0</v>
      </c>
      <c r="BC377" s="49">
        <f ca="1">-MIN(SUM(BC375:BC376),SUM(BC$337,BC$342)*KLL_II_2020!NOC_rpmt_max_perc)*KLL_II_2020!NOC_CI_devex_rpmt</f>
        <v>0</v>
      </c>
      <c r="BD377" s="49">
        <f ca="1">-MIN(SUM(BD375:BD376),SUM(BD$337,BD$342)*KLL_II_2020!NOC_rpmt_max_perc)*KLL_II_2020!NOC_CI_devex_rpmt</f>
        <v>0</v>
      </c>
      <c r="BE377" s="49">
        <f ca="1">-MIN(SUM(BE375:BE376),SUM(BE$337,BE$342)*KLL_II_2020!NOC_rpmt_max_perc)*KLL_II_2020!NOC_CI_devex_rpmt</f>
        <v>0</v>
      </c>
      <c r="BF377" s="49">
        <f ca="1">-MIN(SUM(BF375:BF376),SUM(BF$337,BF$342)*KLL_II_2020!NOC_rpmt_max_perc)*KLL_II_2020!NOC_CI_devex_rpmt</f>
        <v>0</v>
      </c>
      <c r="BG377" s="49">
        <f ca="1">-MIN(SUM(BG375:BG376),SUM(BG$337,BG$342)*KLL_II_2020!NOC_rpmt_max_perc)*KLL_II_2020!NOC_CI_devex_rpmt</f>
        <v>0</v>
      </c>
      <c r="BH377" s="49">
        <f ca="1">-MIN(SUM(BH375:BH376),SUM(BH$337,BH$342)*KLL_II_2020!NOC_rpmt_max_perc)*KLL_II_2020!NOC_CI_devex_rpmt</f>
        <v>0</v>
      </c>
      <c r="BI377" s="49">
        <f ca="1">-MIN(SUM(BI375:BI376),SUM(BI$337,BI$342)*KLL_II_2020!NOC_rpmt_max_perc)*KLL_II_2020!NOC_CI_devex_rpmt</f>
        <v>0</v>
      </c>
      <c r="BJ377" s="49">
        <f ca="1">-MIN(SUM(BJ375:BJ376),SUM(BJ$337,BJ$342)*KLL_II_2020!NOC_rpmt_max_perc)*KLL_II_2020!NOC_CI_devex_rpmt</f>
        <v>0</v>
      </c>
      <c r="BK377" s="49">
        <f ca="1">-MIN(SUM(BK375:BK376),SUM(BK$337,BK$342)*KLL_II_2020!NOC_rpmt_max_perc)*KLL_II_2020!NOC_CI_devex_rpmt</f>
        <v>0</v>
      </c>
      <c r="BL377" s="49">
        <f ca="1">-MIN(SUM(BL375:BL376),SUM(BL$337,BL$342)*KLL_II_2020!NOC_rpmt_max_perc)*KLL_II_2020!NOC_CI_devex_rpmt</f>
        <v>0</v>
      </c>
      <c r="BM377" s="49">
        <f ca="1">-MIN(SUM(BM375:BM376),SUM(BM$337,BM$342)*KLL_II_2020!NOC_rpmt_max_perc)*KLL_II_2020!NOC_CI_devex_rpmt</f>
        <v>0</v>
      </c>
      <c r="BN377" s="49">
        <f ca="1">-MIN(SUM(BN375:BN376),SUM(BN$337,BN$342)*KLL_II_2020!NOC_rpmt_max_perc)*KLL_II_2020!NOC_CI_devex_rpmt</f>
        <v>0</v>
      </c>
      <c r="BO377" s="49">
        <f ca="1">-MIN(SUM(BO375:BO376),SUM(BO$337,BO$342)*KLL_II_2020!NOC_rpmt_max_perc)*KLL_II_2020!NOC_CI_devex_rpmt</f>
        <v>0</v>
      </c>
      <c r="BP377" s="49">
        <f ca="1">-MIN(SUM(BP375:BP376),SUM(BP$337,BP$342)*KLL_II_2020!NOC_rpmt_max_perc)*KLL_II_2020!NOC_CI_devex_rpmt</f>
        <v>0</v>
      </c>
      <c r="BQ377" s="49">
        <f ca="1">-MIN(SUM(BQ375:BQ376),SUM(BQ$337,BQ$342)*KLL_II_2020!NOC_rpmt_max_perc)*KLL_II_2020!NOC_CI_devex_rpmt</f>
        <v>0</v>
      </c>
      <c r="BR377" s="49">
        <f ca="1">-MIN(SUM(BR375:BR376),SUM(BR$337,BR$342)*KLL_II_2020!NOC_rpmt_max_perc)*KLL_II_2020!NOC_CI_devex_rpmt</f>
        <v>0</v>
      </c>
      <c r="BS377" s="49">
        <f ca="1">-MIN(SUM(BS375:BS376),SUM(BS$337,BS$342)*KLL_II_2020!NOC_rpmt_max_perc)*KLL_II_2020!NOC_CI_devex_rpmt</f>
        <v>0</v>
      </c>
    </row>
    <row r="378" spans="3:71" outlineLevel="1" x14ac:dyDescent="0.2">
      <c r="D378" t="str">
        <f>HM_ZB_Nsoko!D391</f>
        <v>Coûts de portage Solde de clôture</v>
      </c>
      <c r="J378" s="26"/>
      <c r="L378" s="49">
        <f ca="1">SUM(L375:L377)</f>
        <v>0</v>
      </c>
      <c r="M378" s="49">
        <f t="shared" ref="M378:BS378" ca="1" si="109">SUM(M375:M377)</f>
        <v>0</v>
      </c>
      <c r="N378" s="49">
        <f t="shared" ca="1" si="109"/>
        <v>0</v>
      </c>
      <c r="O378" s="49">
        <f t="shared" ca="1" si="109"/>
        <v>0</v>
      </c>
      <c r="P378" s="49">
        <f t="shared" ca="1" si="109"/>
        <v>0</v>
      </c>
      <c r="Q378" s="49">
        <f t="shared" ca="1" si="109"/>
        <v>0</v>
      </c>
      <c r="R378" s="49">
        <f t="shared" ca="1" si="109"/>
        <v>0</v>
      </c>
      <c r="S378" s="49">
        <f t="shared" ca="1" si="109"/>
        <v>0</v>
      </c>
      <c r="T378" s="49">
        <f t="shared" ca="1" si="109"/>
        <v>0</v>
      </c>
      <c r="U378" s="49">
        <f t="shared" ca="1" si="109"/>
        <v>0</v>
      </c>
      <c r="V378" s="49">
        <f t="shared" ca="1" si="109"/>
        <v>0</v>
      </c>
      <c r="W378" s="49">
        <f t="shared" ca="1" si="109"/>
        <v>0</v>
      </c>
      <c r="X378" s="49">
        <f t="shared" ca="1" si="109"/>
        <v>0</v>
      </c>
      <c r="Y378" s="49">
        <f t="shared" ca="1" si="109"/>
        <v>0</v>
      </c>
      <c r="Z378" s="49">
        <f t="shared" ca="1" si="109"/>
        <v>0</v>
      </c>
      <c r="AA378" s="49">
        <f t="shared" ca="1" si="109"/>
        <v>0</v>
      </c>
      <c r="AB378" s="49">
        <f t="shared" ca="1" si="109"/>
        <v>0</v>
      </c>
      <c r="AC378" s="49">
        <f t="shared" ca="1" si="109"/>
        <v>0</v>
      </c>
      <c r="AD378" s="49">
        <f t="shared" ca="1" si="109"/>
        <v>0</v>
      </c>
      <c r="AE378" s="49">
        <f t="shared" ca="1" si="109"/>
        <v>0</v>
      </c>
      <c r="AF378" s="49">
        <f t="shared" ca="1" si="109"/>
        <v>0</v>
      </c>
      <c r="AG378" s="49">
        <f t="shared" ca="1" si="109"/>
        <v>0</v>
      </c>
      <c r="AH378" s="49">
        <f t="shared" ca="1" si="109"/>
        <v>0</v>
      </c>
      <c r="AI378" s="49">
        <f t="shared" ca="1" si="109"/>
        <v>0</v>
      </c>
      <c r="AJ378" s="49">
        <f t="shared" ca="1" si="109"/>
        <v>0</v>
      </c>
      <c r="AK378" s="49">
        <f t="shared" ca="1" si="109"/>
        <v>0</v>
      </c>
      <c r="AL378" s="49">
        <f t="shared" ca="1" si="109"/>
        <v>0</v>
      </c>
      <c r="AM378" s="49">
        <f t="shared" ca="1" si="109"/>
        <v>0</v>
      </c>
      <c r="AN378" s="49">
        <f t="shared" ca="1" si="109"/>
        <v>0</v>
      </c>
      <c r="AO378" s="49">
        <f t="shared" ca="1" si="109"/>
        <v>0</v>
      </c>
      <c r="AP378" s="49">
        <f t="shared" ca="1" si="109"/>
        <v>0</v>
      </c>
      <c r="AQ378" s="49">
        <f t="shared" ca="1" si="109"/>
        <v>0</v>
      </c>
      <c r="AR378" s="49">
        <f t="shared" ca="1" si="109"/>
        <v>0</v>
      </c>
      <c r="AS378" s="49">
        <f t="shared" ca="1" si="109"/>
        <v>0</v>
      </c>
      <c r="AT378" s="49">
        <f t="shared" ca="1" si="109"/>
        <v>0</v>
      </c>
      <c r="AU378" s="49">
        <f t="shared" ca="1" si="109"/>
        <v>0</v>
      </c>
      <c r="AV378" s="49">
        <f t="shared" ca="1" si="109"/>
        <v>0</v>
      </c>
      <c r="AW378" s="49">
        <f t="shared" ca="1" si="109"/>
        <v>0</v>
      </c>
      <c r="AX378" s="49">
        <f t="shared" ca="1" si="109"/>
        <v>0</v>
      </c>
      <c r="AY378" s="49">
        <f t="shared" ca="1" si="109"/>
        <v>0</v>
      </c>
      <c r="AZ378" s="49">
        <f t="shared" ca="1" si="109"/>
        <v>0</v>
      </c>
      <c r="BA378" s="49">
        <f t="shared" ca="1" si="109"/>
        <v>0</v>
      </c>
      <c r="BB378" s="49">
        <f t="shared" ca="1" si="109"/>
        <v>0</v>
      </c>
      <c r="BC378" s="49">
        <f t="shared" ca="1" si="109"/>
        <v>0</v>
      </c>
      <c r="BD378" s="49">
        <f t="shared" ca="1" si="109"/>
        <v>0</v>
      </c>
      <c r="BE378" s="49">
        <f t="shared" ca="1" si="109"/>
        <v>0</v>
      </c>
      <c r="BF378" s="49">
        <f t="shared" ca="1" si="109"/>
        <v>0</v>
      </c>
      <c r="BG378" s="49">
        <f t="shared" ca="1" si="109"/>
        <v>0</v>
      </c>
      <c r="BH378" s="49">
        <f t="shared" ca="1" si="109"/>
        <v>0</v>
      </c>
      <c r="BI378" s="49">
        <f t="shared" ca="1" si="109"/>
        <v>0</v>
      </c>
      <c r="BJ378" s="49">
        <f t="shared" ca="1" si="109"/>
        <v>0</v>
      </c>
      <c r="BK378" s="49">
        <f t="shared" ca="1" si="109"/>
        <v>0</v>
      </c>
      <c r="BL378" s="49">
        <f t="shared" ca="1" si="109"/>
        <v>0</v>
      </c>
      <c r="BM378" s="49">
        <f t="shared" ca="1" si="109"/>
        <v>0</v>
      </c>
      <c r="BN378" s="49">
        <f t="shared" ca="1" si="109"/>
        <v>0</v>
      </c>
      <c r="BO378" s="49">
        <f t="shared" ca="1" si="109"/>
        <v>0</v>
      </c>
      <c r="BP378" s="49">
        <f t="shared" ca="1" si="109"/>
        <v>0</v>
      </c>
      <c r="BQ378" s="49">
        <f t="shared" ca="1" si="109"/>
        <v>0</v>
      </c>
      <c r="BR378" s="49">
        <f t="shared" ca="1" si="109"/>
        <v>0</v>
      </c>
      <c r="BS378" s="49">
        <f t="shared" ca="1" si="109"/>
        <v>0</v>
      </c>
    </row>
    <row r="379" spans="3:71" outlineLevel="1" x14ac:dyDescent="0.2">
      <c r="J379" s="26"/>
      <c r="L379" s="55"/>
      <c r="M379" s="55"/>
      <c r="N379" s="55"/>
      <c r="O379" s="55"/>
      <c r="P379" s="55"/>
      <c r="Q379" s="55"/>
      <c r="R379" s="55"/>
      <c r="S379" s="55"/>
      <c r="T379" s="55"/>
      <c r="U379" s="55"/>
      <c r="V379" s="55"/>
      <c r="W379" s="55"/>
      <c r="X379" s="55"/>
      <c r="Y379" s="55"/>
      <c r="Z379" s="55"/>
      <c r="AA379" s="55"/>
      <c r="AB379" s="55"/>
      <c r="AC379" s="55"/>
      <c r="AD379" s="55"/>
      <c r="AE379" s="55"/>
      <c r="AF379" s="55"/>
      <c r="AG379" s="55"/>
      <c r="AH379" s="55"/>
      <c r="AI379" s="55"/>
      <c r="AJ379" s="55"/>
      <c r="AK379" s="55"/>
      <c r="AL379" s="55"/>
      <c r="AM379" s="55"/>
      <c r="AN379" s="55"/>
      <c r="AO379" s="55"/>
      <c r="AP379" s="55"/>
      <c r="AQ379" s="55"/>
      <c r="AR379" s="55"/>
      <c r="AS379" s="55"/>
      <c r="AT379" s="55"/>
      <c r="AU379" s="55"/>
      <c r="AV379" s="55"/>
      <c r="AW379" s="55"/>
      <c r="AX379" s="55"/>
      <c r="AY379" s="55"/>
      <c r="AZ379" s="55"/>
      <c r="BA379" s="55"/>
      <c r="BB379" s="55"/>
      <c r="BC379" s="55"/>
      <c r="BD379" s="55"/>
      <c r="BE379" s="55"/>
      <c r="BF379" s="55"/>
      <c r="BG379" s="55"/>
      <c r="BH379" s="55"/>
      <c r="BI379" s="55"/>
      <c r="BJ379" s="55"/>
      <c r="BK379" s="55"/>
      <c r="BL379" s="55"/>
      <c r="BM379" s="55"/>
      <c r="BN379" s="55"/>
      <c r="BO379" s="55"/>
      <c r="BP379" s="55"/>
      <c r="BQ379" s="55"/>
      <c r="BR379" s="55"/>
      <c r="BS379" s="55"/>
    </row>
    <row r="380" spans="3:71" outlineLevel="1" x14ac:dyDescent="0.2">
      <c r="C380" s="11" t="str">
        <f>HM_ZB_Nsoko!C393</f>
        <v>Remboursement du portage Compagnie nationale - Opex</v>
      </c>
      <c r="J380" s="26"/>
      <c r="L380" s="55"/>
      <c r="M380" s="55"/>
      <c r="N380" s="55"/>
      <c r="O380" s="55"/>
      <c r="P380" s="55"/>
      <c r="Q380" s="55"/>
      <c r="R380" s="55"/>
      <c r="S380" s="55"/>
      <c r="T380" s="55"/>
      <c r="U380" s="55"/>
      <c r="V380" s="55"/>
      <c r="W380" s="55"/>
      <c r="X380" s="55"/>
      <c r="Y380" s="55"/>
      <c r="Z380" s="55"/>
      <c r="AA380" s="55"/>
      <c r="AB380" s="55"/>
      <c r="AC380" s="55"/>
      <c r="AD380" s="55"/>
      <c r="AE380" s="55"/>
      <c r="AF380" s="55"/>
      <c r="AG380" s="55"/>
      <c r="AH380" s="55"/>
      <c r="AI380" s="55"/>
      <c r="AJ380" s="55"/>
      <c r="AK380" s="55"/>
      <c r="AL380" s="55"/>
      <c r="AM380" s="55"/>
      <c r="AN380" s="55"/>
      <c r="AO380" s="55"/>
      <c r="AP380" s="55"/>
      <c r="AQ380" s="55"/>
      <c r="AR380" s="55"/>
      <c r="AS380" s="55"/>
      <c r="AT380" s="55"/>
      <c r="AU380" s="55"/>
      <c r="AV380" s="55"/>
      <c r="AW380" s="55"/>
      <c r="AX380" s="55"/>
      <c r="AY380" s="55"/>
      <c r="AZ380" s="55"/>
      <c r="BA380" s="55"/>
      <c r="BB380" s="55"/>
      <c r="BC380" s="55"/>
      <c r="BD380" s="55"/>
      <c r="BE380" s="55"/>
      <c r="BF380" s="55"/>
      <c r="BG380" s="55"/>
      <c r="BH380" s="55"/>
      <c r="BI380" s="55"/>
      <c r="BJ380" s="55"/>
      <c r="BK380" s="55"/>
      <c r="BL380" s="55"/>
      <c r="BM380" s="55"/>
      <c r="BN380" s="55"/>
      <c r="BO380" s="55"/>
      <c r="BP380" s="55"/>
      <c r="BQ380" s="55"/>
      <c r="BR380" s="55"/>
      <c r="BS380" s="55"/>
    </row>
    <row r="381" spans="3:71" outlineLevel="1" x14ac:dyDescent="0.2">
      <c r="D381" t="str">
        <f>HM_ZB_Nsoko!D394</f>
        <v>Coûts portés Solde d'ouverture</v>
      </c>
      <c r="J381" s="26"/>
      <c r="L381" s="49">
        <f>K384</f>
        <v>0</v>
      </c>
      <c r="M381" s="49">
        <f t="shared" ref="M381:BS381" ca="1" si="110">L384</f>
        <v>0</v>
      </c>
      <c r="N381" s="49">
        <f t="shared" ca="1" si="110"/>
        <v>0</v>
      </c>
      <c r="O381" s="49">
        <f t="shared" ca="1" si="110"/>
        <v>0</v>
      </c>
      <c r="P381" s="49">
        <f t="shared" ca="1" si="110"/>
        <v>0</v>
      </c>
      <c r="Q381" s="49">
        <f t="shared" ca="1" si="110"/>
        <v>0</v>
      </c>
      <c r="R381" s="49">
        <f t="shared" ca="1" si="110"/>
        <v>0</v>
      </c>
      <c r="S381" s="49">
        <f t="shared" ca="1" si="110"/>
        <v>0</v>
      </c>
      <c r="T381" s="49">
        <f t="shared" ca="1" si="110"/>
        <v>0</v>
      </c>
      <c r="U381" s="49">
        <f t="shared" ca="1" si="110"/>
        <v>0</v>
      </c>
      <c r="V381" s="49">
        <f t="shared" ca="1" si="110"/>
        <v>0</v>
      </c>
      <c r="W381" s="49">
        <f t="shared" ca="1" si="110"/>
        <v>0</v>
      </c>
      <c r="X381" s="49">
        <f t="shared" ca="1" si="110"/>
        <v>0</v>
      </c>
      <c r="Y381" s="49">
        <f t="shared" ca="1" si="110"/>
        <v>0</v>
      </c>
      <c r="Z381" s="49">
        <f t="shared" ca="1" si="110"/>
        <v>0</v>
      </c>
      <c r="AA381" s="49">
        <f t="shared" ca="1" si="110"/>
        <v>0</v>
      </c>
      <c r="AB381" s="49">
        <f t="shared" ca="1" si="110"/>
        <v>0</v>
      </c>
      <c r="AC381" s="49">
        <f t="shared" ca="1" si="110"/>
        <v>0</v>
      </c>
      <c r="AD381" s="49">
        <f t="shared" ca="1" si="110"/>
        <v>0</v>
      </c>
      <c r="AE381" s="49">
        <f t="shared" ca="1" si="110"/>
        <v>0</v>
      </c>
      <c r="AF381" s="49">
        <f t="shared" ca="1" si="110"/>
        <v>0</v>
      </c>
      <c r="AG381" s="49">
        <f t="shared" ca="1" si="110"/>
        <v>0</v>
      </c>
      <c r="AH381" s="49">
        <f t="shared" ca="1" si="110"/>
        <v>0</v>
      </c>
      <c r="AI381" s="49">
        <f t="shared" ca="1" si="110"/>
        <v>0</v>
      </c>
      <c r="AJ381" s="49">
        <f t="shared" ca="1" si="110"/>
        <v>0</v>
      </c>
      <c r="AK381" s="49">
        <f t="shared" ca="1" si="110"/>
        <v>0</v>
      </c>
      <c r="AL381" s="49">
        <f t="shared" ca="1" si="110"/>
        <v>0</v>
      </c>
      <c r="AM381" s="49">
        <f t="shared" ca="1" si="110"/>
        <v>0</v>
      </c>
      <c r="AN381" s="49">
        <f t="shared" ca="1" si="110"/>
        <v>0</v>
      </c>
      <c r="AO381" s="49">
        <f t="shared" ca="1" si="110"/>
        <v>0</v>
      </c>
      <c r="AP381" s="49">
        <f t="shared" ca="1" si="110"/>
        <v>0</v>
      </c>
      <c r="AQ381" s="49">
        <f t="shared" ca="1" si="110"/>
        <v>0</v>
      </c>
      <c r="AR381" s="49">
        <f t="shared" ca="1" si="110"/>
        <v>0</v>
      </c>
      <c r="AS381" s="49">
        <f t="shared" ca="1" si="110"/>
        <v>0</v>
      </c>
      <c r="AT381" s="49">
        <f t="shared" ca="1" si="110"/>
        <v>0</v>
      </c>
      <c r="AU381" s="49">
        <f t="shared" ca="1" si="110"/>
        <v>0</v>
      </c>
      <c r="AV381" s="49">
        <f t="shared" ca="1" si="110"/>
        <v>0</v>
      </c>
      <c r="AW381" s="49">
        <f t="shared" ca="1" si="110"/>
        <v>0</v>
      </c>
      <c r="AX381" s="49">
        <f t="shared" ca="1" si="110"/>
        <v>0</v>
      </c>
      <c r="AY381" s="49">
        <f t="shared" ca="1" si="110"/>
        <v>0</v>
      </c>
      <c r="AZ381" s="49">
        <f t="shared" ca="1" si="110"/>
        <v>0</v>
      </c>
      <c r="BA381" s="49">
        <f t="shared" ca="1" si="110"/>
        <v>0</v>
      </c>
      <c r="BB381" s="49">
        <f t="shared" ca="1" si="110"/>
        <v>0</v>
      </c>
      <c r="BC381" s="49">
        <f t="shared" ca="1" si="110"/>
        <v>0</v>
      </c>
      <c r="BD381" s="49">
        <f t="shared" ca="1" si="110"/>
        <v>0</v>
      </c>
      <c r="BE381" s="49">
        <f t="shared" ca="1" si="110"/>
        <v>0</v>
      </c>
      <c r="BF381" s="49">
        <f t="shared" ca="1" si="110"/>
        <v>0</v>
      </c>
      <c r="BG381" s="49">
        <f t="shared" ca="1" si="110"/>
        <v>0</v>
      </c>
      <c r="BH381" s="49">
        <f t="shared" ca="1" si="110"/>
        <v>0</v>
      </c>
      <c r="BI381" s="49">
        <f t="shared" ca="1" si="110"/>
        <v>0</v>
      </c>
      <c r="BJ381" s="49">
        <f t="shared" ca="1" si="110"/>
        <v>0</v>
      </c>
      <c r="BK381" s="49">
        <f t="shared" ca="1" si="110"/>
        <v>0</v>
      </c>
      <c r="BL381" s="49">
        <f t="shared" ca="1" si="110"/>
        <v>0</v>
      </c>
      <c r="BM381" s="49">
        <f t="shared" ca="1" si="110"/>
        <v>0</v>
      </c>
      <c r="BN381" s="49">
        <f t="shared" ca="1" si="110"/>
        <v>0</v>
      </c>
      <c r="BO381" s="49">
        <f t="shared" ca="1" si="110"/>
        <v>0</v>
      </c>
      <c r="BP381" s="49">
        <f t="shared" ca="1" si="110"/>
        <v>0</v>
      </c>
      <c r="BQ381" s="49">
        <f t="shared" ca="1" si="110"/>
        <v>0</v>
      </c>
      <c r="BR381" s="49">
        <f t="shared" ca="1" si="110"/>
        <v>0</v>
      </c>
      <c r="BS381" s="49">
        <f t="shared" ca="1" si="110"/>
        <v>0</v>
      </c>
    </row>
    <row r="382" spans="3:71" outlineLevel="1" x14ac:dyDescent="0.2">
      <c r="D382" s="50" t="str">
        <f>HM_ZB_Nsoko!D395</f>
        <v>Coûts portés pour la période</v>
      </c>
      <c r="I382" s="30">
        <f t="shared" ref="I382:I383" ca="1" si="111">SUM($L382:$BS382)</f>
        <v>0</v>
      </c>
      <c r="J382" s="26" t="s">
        <v>148</v>
      </c>
      <c r="L382" s="49">
        <f ca="1">L365</f>
        <v>0</v>
      </c>
      <c r="M382" s="49">
        <f t="shared" ref="M382:BS382" ca="1" si="112">M365</f>
        <v>0</v>
      </c>
      <c r="N382" s="49">
        <f t="shared" ca="1" si="112"/>
        <v>0</v>
      </c>
      <c r="O382" s="49">
        <f t="shared" ca="1" si="112"/>
        <v>0</v>
      </c>
      <c r="P382" s="49">
        <f t="shared" ca="1" si="112"/>
        <v>0</v>
      </c>
      <c r="Q382" s="49">
        <f t="shared" ca="1" si="112"/>
        <v>0</v>
      </c>
      <c r="R382" s="49">
        <f t="shared" ca="1" si="112"/>
        <v>0</v>
      </c>
      <c r="S382" s="49">
        <f t="shared" ca="1" si="112"/>
        <v>0</v>
      </c>
      <c r="T382" s="49">
        <f t="shared" ca="1" si="112"/>
        <v>0</v>
      </c>
      <c r="U382" s="49">
        <f t="shared" ca="1" si="112"/>
        <v>0</v>
      </c>
      <c r="V382" s="49">
        <f t="shared" ca="1" si="112"/>
        <v>0</v>
      </c>
      <c r="W382" s="49">
        <f t="shared" ca="1" si="112"/>
        <v>0</v>
      </c>
      <c r="X382" s="49">
        <f t="shared" ca="1" si="112"/>
        <v>0</v>
      </c>
      <c r="Y382" s="49">
        <f t="shared" ca="1" si="112"/>
        <v>0</v>
      </c>
      <c r="Z382" s="49">
        <f t="shared" ca="1" si="112"/>
        <v>0</v>
      </c>
      <c r="AA382" s="49">
        <f t="shared" ca="1" si="112"/>
        <v>0</v>
      </c>
      <c r="AB382" s="49">
        <f t="shared" ca="1" si="112"/>
        <v>0</v>
      </c>
      <c r="AC382" s="49">
        <f t="shared" ca="1" si="112"/>
        <v>0</v>
      </c>
      <c r="AD382" s="49">
        <f t="shared" ca="1" si="112"/>
        <v>0</v>
      </c>
      <c r="AE382" s="49">
        <f t="shared" ca="1" si="112"/>
        <v>0</v>
      </c>
      <c r="AF382" s="49">
        <f t="shared" ca="1" si="112"/>
        <v>0</v>
      </c>
      <c r="AG382" s="49">
        <f t="shared" ca="1" si="112"/>
        <v>0</v>
      </c>
      <c r="AH382" s="49">
        <f t="shared" ca="1" si="112"/>
        <v>0</v>
      </c>
      <c r="AI382" s="49">
        <f t="shared" ca="1" si="112"/>
        <v>0</v>
      </c>
      <c r="AJ382" s="49">
        <f t="shared" ca="1" si="112"/>
        <v>0</v>
      </c>
      <c r="AK382" s="49">
        <f t="shared" ca="1" si="112"/>
        <v>0</v>
      </c>
      <c r="AL382" s="49">
        <f t="shared" ca="1" si="112"/>
        <v>0</v>
      </c>
      <c r="AM382" s="49">
        <f t="shared" ca="1" si="112"/>
        <v>0</v>
      </c>
      <c r="AN382" s="49">
        <f t="shared" ca="1" si="112"/>
        <v>0</v>
      </c>
      <c r="AO382" s="49">
        <f t="shared" ca="1" si="112"/>
        <v>0</v>
      </c>
      <c r="AP382" s="49">
        <f t="shared" ca="1" si="112"/>
        <v>0</v>
      </c>
      <c r="AQ382" s="49">
        <f t="shared" ca="1" si="112"/>
        <v>0</v>
      </c>
      <c r="AR382" s="49">
        <f t="shared" ca="1" si="112"/>
        <v>0</v>
      </c>
      <c r="AS382" s="49">
        <f t="shared" ca="1" si="112"/>
        <v>0</v>
      </c>
      <c r="AT382" s="49">
        <f t="shared" ca="1" si="112"/>
        <v>0</v>
      </c>
      <c r="AU382" s="49">
        <f t="shared" ca="1" si="112"/>
        <v>0</v>
      </c>
      <c r="AV382" s="49">
        <f t="shared" ca="1" si="112"/>
        <v>0</v>
      </c>
      <c r="AW382" s="49">
        <f t="shared" ca="1" si="112"/>
        <v>0</v>
      </c>
      <c r="AX382" s="49">
        <f t="shared" ca="1" si="112"/>
        <v>0</v>
      </c>
      <c r="AY382" s="49">
        <f t="shared" ca="1" si="112"/>
        <v>0</v>
      </c>
      <c r="AZ382" s="49">
        <f t="shared" ca="1" si="112"/>
        <v>0</v>
      </c>
      <c r="BA382" s="49">
        <f t="shared" ca="1" si="112"/>
        <v>0</v>
      </c>
      <c r="BB382" s="49">
        <f t="shared" ca="1" si="112"/>
        <v>0</v>
      </c>
      <c r="BC382" s="49">
        <f t="shared" ca="1" si="112"/>
        <v>0</v>
      </c>
      <c r="BD382" s="49">
        <f t="shared" ca="1" si="112"/>
        <v>0</v>
      </c>
      <c r="BE382" s="49">
        <f t="shared" ca="1" si="112"/>
        <v>0</v>
      </c>
      <c r="BF382" s="49">
        <f t="shared" ca="1" si="112"/>
        <v>0</v>
      </c>
      <c r="BG382" s="49">
        <f t="shared" ca="1" si="112"/>
        <v>0</v>
      </c>
      <c r="BH382" s="49">
        <f t="shared" ca="1" si="112"/>
        <v>0</v>
      </c>
      <c r="BI382" s="49">
        <f t="shared" ca="1" si="112"/>
        <v>0</v>
      </c>
      <c r="BJ382" s="49">
        <f t="shared" ca="1" si="112"/>
        <v>0</v>
      </c>
      <c r="BK382" s="49">
        <f t="shared" ca="1" si="112"/>
        <v>0</v>
      </c>
      <c r="BL382" s="49">
        <f t="shared" ca="1" si="112"/>
        <v>0</v>
      </c>
      <c r="BM382" s="49">
        <f t="shared" ca="1" si="112"/>
        <v>0</v>
      </c>
      <c r="BN382" s="49">
        <f t="shared" ca="1" si="112"/>
        <v>0</v>
      </c>
      <c r="BO382" s="49">
        <f t="shared" ca="1" si="112"/>
        <v>0</v>
      </c>
      <c r="BP382" s="49">
        <f t="shared" ca="1" si="112"/>
        <v>0</v>
      </c>
      <c r="BQ382" s="49">
        <f t="shared" ca="1" si="112"/>
        <v>0</v>
      </c>
      <c r="BR382" s="49">
        <f t="shared" ca="1" si="112"/>
        <v>0</v>
      </c>
      <c r="BS382" s="49">
        <f t="shared" ca="1" si="112"/>
        <v>0</v>
      </c>
    </row>
    <row r="383" spans="3:71" outlineLevel="1" x14ac:dyDescent="0.2">
      <c r="D383" s="50" t="str">
        <f>HM_ZB_Nsoko!D396</f>
        <v>Remboursement du portage</v>
      </c>
      <c r="I383" s="30">
        <f t="shared" ca="1" si="111"/>
        <v>0</v>
      </c>
      <c r="J383" s="26" t="s">
        <v>148</v>
      </c>
      <c r="L383" s="49">
        <f ca="1">-MIN(SUM(L381:L382),SUM(L$337,L$342)*KLL_II_2020!NOC_rpmt_max_perc)*KLL_II_2020!NOC_CI_opex_rpmt</f>
        <v>0</v>
      </c>
      <c r="M383" s="49">
        <f ca="1">-MIN(SUM(M381:M382),SUM(M$337,M$342)*KLL_II_2020!NOC_rpmt_max_perc)*KLL_II_2020!NOC_CI_opex_rpmt</f>
        <v>0</v>
      </c>
      <c r="N383" s="49">
        <f ca="1">-MIN(SUM(N381:N382),SUM(N$337,N$342)*KLL_II_2020!NOC_rpmt_max_perc)*KLL_II_2020!NOC_CI_opex_rpmt</f>
        <v>0</v>
      </c>
      <c r="O383" s="49">
        <f ca="1">-MIN(SUM(O381:O382),SUM(O$337,O$342)*KLL_II_2020!NOC_rpmt_max_perc)*KLL_II_2020!NOC_CI_opex_rpmt</f>
        <v>0</v>
      </c>
      <c r="P383" s="49">
        <f ca="1">-MIN(SUM(P381:P382),SUM(P$337,P$342)*KLL_II_2020!NOC_rpmt_max_perc)*KLL_II_2020!NOC_CI_opex_rpmt</f>
        <v>0</v>
      </c>
      <c r="Q383" s="49">
        <f ca="1">-MIN(SUM(Q381:Q382),SUM(Q$337,Q$342)*KLL_II_2020!NOC_rpmt_max_perc)*KLL_II_2020!NOC_CI_opex_rpmt</f>
        <v>0</v>
      </c>
      <c r="R383" s="49">
        <f ca="1">-MIN(SUM(R381:R382),SUM(R$337,R$342)*KLL_II_2020!NOC_rpmt_max_perc)*KLL_II_2020!NOC_CI_opex_rpmt</f>
        <v>0</v>
      </c>
      <c r="S383" s="49">
        <f ca="1">-MIN(SUM(S381:S382),SUM(S$337,S$342)*KLL_II_2020!NOC_rpmt_max_perc)*KLL_II_2020!NOC_CI_opex_rpmt</f>
        <v>0</v>
      </c>
      <c r="T383" s="49">
        <f ca="1">-MIN(SUM(T381:T382),SUM(T$337,T$342)*KLL_II_2020!NOC_rpmt_max_perc)*KLL_II_2020!NOC_CI_opex_rpmt</f>
        <v>0</v>
      </c>
      <c r="U383" s="49">
        <f ca="1">-MIN(SUM(U381:U382),SUM(U$337,U$342)*KLL_II_2020!NOC_rpmt_max_perc)*KLL_II_2020!NOC_CI_opex_rpmt</f>
        <v>0</v>
      </c>
      <c r="V383" s="49">
        <f ca="1">-MIN(SUM(V381:V382),SUM(V$337,V$342)*KLL_II_2020!NOC_rpmt_max_perc)*KLL_II_2020!NOC_CI_opex_rpmt</f>
        <v>0</v>
      </c>
      <c r="W383" s="49">
        <f ca="1">-MIN(SUM(W381:W382),SUM(W$337,W$342)*KLL_II_2020!NOC_rpmt_max_perc)*KLL_II_2020!NOC_CI_opex_rpmt</f>
        <v>0</v>
      </c>
      <c r="X383" s="49">
        <f ca="1">-MIN(SUM(X381:X382),SUM(X$337,X$342)*KLL_II_2020!NOC_rpmt_max_perc)*KLL_II_2020!NOC_CI_opex_rpmt</f>
        <v>0</v>
      </c>
      <c r="Y383" s="49">
        <f ca="1">-MIN(SUM(Y381:Y382),SUM(Y$337,Y$342)*KLL_II_2020!NOC_rpmt_max_perc)*KLL_II_2020!NOC_CI_opex_rpmt</f>
        <v>0</v>
      </c>
      <c r="Z383" s="49">
        <f ca="1">-MIN(SUM(Z381:Z382),SUM(Z$337,Z$342)*KLL_II_2020!NOC_rpmt_max_perc)*KLL_II_2020!NOC_CI_opex_rpmt</f>
        <v>0</v>
      </c>
      <c r="AA383" s="49">
        <f ca="1">-MIN(SUM(AA381:AA382),SUM(AA$337,AA$342)*KLL_II_2020!NOC_rpmt_max_perc)*KLL_II_2020!NOC_CI_opex_rpmt</f>
        <v>0</v>
      </c>
      <c r="AB383" s="49">
        <f ca="1">-MIN(SUM(AB381:AB382),SUM(AB$337,AB$342)*KLL_II_2020!NOC_rpmt_max_perc)*KLL_II_2020!NOC_CI_opex_rpmt</f>
        <v>0</v>
      </c>
      <c r="AC383" s="49">
        <f ca="1">-MIN(SUM(AC381:AC382),SUM(AC$337,AC$342)*KLL_II_2020!NOC_rpmt_max_perc)*KLL_II_2020!NOC_CI_opex_rpmt</f>
        <v>0</v>
      </c>
      <c r="AD383" s="49">
        <f ca="1">-MIN(SUM(AD381:AD382),SUM(AD$337,AD$342)*KLL_II_2020!NOC_rpmt_max_perc)*KLL_II_2020!NOC_CI_opex_rpmt</f>
        <v>0</v>
      </c>
      <c r="AE383" s="49">
        <f ca="1">-MIN(SUM(AE381:AE382),SUM(AE$337,AE$342)*KLL_II_2020!NOC_rpmt_max_perc)*KLL_II_2020!NOC_CI_opex_rpmt</f>
        <v>0</v>
      </c>
      <c r="AF383" s="49">
        <f ca="1">-MIN(SUM(AF381:AF382),SUM(AF$337,AF$342)*KLL_II_2020!NOC_rpmt_max_perc)*KLL_II_2020!NOC_CI_opex_rpmt</f>
        <v>0</v>
      </c>
      <c r="AG383" s="49">
        <f ca="1">-MIN(SUM(AG381:AG382),SUM(AG$337,AG$342)*KLL_II_2020!NOC_rpmt_max_perc)*KLL_II_2020!NOC_CI_opex_rpmt</f>
        <v>0</v>
      </c>
      <c r="AH383" s="49">
        <f ca="1">-MIN(SUM(AH381:AH382),SUM(AH$337,AH$342)*KLL_II_2020!NOC_rpmt_max_perc)*KLL_II_2020!NOC_CI_opex_rpmt</f>
        <v>0</v>
      </c>
      <c r="AI383" s="49">
        <f ca="1">-MIN(SUM(AI381:AI382),SUM(AI$337,AI$342)*KLL_II_2020!NOC_rpmt_max_perc)*KLL_II_2020!NOC_CI_opex_rpmt</f>
        <v>0</v>
      </c>
      <c r="AJ383" s="49">
        <f ca="1">-MIN(SUM(AJ381:AJ382),SUM(AJ$337,AJ$342)*KLL_II_2020!NOC_rpmt_max_perc)*KLL_II_2020!NOC_CI_opex_rpmt</f>
        <v>0</v>
      </c>
      <c r="AK383" s="49">
        <f ca="1">-MIN(SUM(AK381:AK382),SUM(AK$337,AK$342)*KLL_II_2020!NOC_rpmt_max_perc)*KLL_II_2020!NOC_CI_opex_rpmt</f>
        <v>0</v>
      </c>
      <c r="AL383" s="49">
        <f ca="1">-MIN(SUM(AL381:AL382),SUM(AL$337,AL$342)*KLL_II_2020!NOC_rpmt_max_perc)*KLL_II_2020!NOC_CI_opex_rpmt</f>
        <v>0</v>
      </c>
      <c r="AM383" s="49">
        <f ca="1">-MIN(SUM(AM381:AM382),SUM(AM$337,AM$342)*KLL_II_2020!NOC_rpmt_max_perc)*KLL_II_2020!NOC_CI_opex_rpmt</f>
        <v>0</v>
      </c>
      <c r="AN383" s="49">
        <f ca="1">-MIN(SUM(AN381:AN382),SUM(AN$337,AN$342)*KLL_II_2020!NOC_rpmt_max_perc)*KLL_II_2020!NOC_CI_opex_rpmt</f>
        <v>0</v>
      </c>
      <c r="AO383" s="49">
        <f ca="1">-MIN(SUM(AO381:AO382),SUM(AO$337,AO$342)*KLL_II_2020!NOC_rpmt_max_perc)*KLL_II_2020!NOC_CI_opex_rpmt</f>
        <v>0</v>
      </c>
      <c r="AP383" s="49">
        <f ca="1">-MIN(SUM(AP381:AP382),SUM(AP$337,AP$342)*KLL_II_2020!NOC_rpmt_max_perc)*KLL_II_2020!NOC_CI_opex_rpmt</f>
        <v>0</v>
      </c>
      <c r="AQ383" s="49">
        <f ca="1">-MIN(SUM(AQ381:AQ382),SUM(AQ$337,AQ$342)*KLL_II_2020!NOC_rpmt_max_perc)*KLL_II_2020!NOC_CI_opex_rpmt</f>
        <v>0</v>
      </c>
      <c r="AR383" s="49">
        <f ca="1">-MIN(SUM(AR381:AR382),SUM(AR$337,AR$342)*KLL_II_2020!NOC_rpmt_max_perc)*KLL_II_2020!NOC_CI_opex_rpmt</f>
        <v>0</v>
      </c>
      <c r="AS383" s="49">
        <f ca="1">-MIN(SUM(AS381:AS382),SUM(AS$337,AS$342)*KLL_II_2020!NOC_rpmt_max_perc)*KLL_II_2020!NOC_CI_opex_rpmt</f>
        <v>0</v>
      </c>
      <c r="AT383" s="49">
        <f ca="1">-MIN(SUM(AT381:AT382),SUM(AT$337,AT$342)*KLL_II_2020!NOC_rpmt_max_perc)*KLL_II_2020!NOC_CI_opex_rpmt</f>
        <v>0</v>
      </c>
      <c r="AU383" s="49">
        <f ca="1">-MIN(SUM(AU381:AU382),SUM(AU$337,AU$342)*KLL_II_2020!NOC_rpmt_max_perc)*KLL_II_2020!NOC_CI_opex_rpmt</f>
        <v>0</v>
      </c>
      <c r="AV383" s="49">
        <f ca="1">-MIN(SUM(AV381:AV382),SUM(AV$337,AV$342)*KLL_II_2020!NOC_rpmt_max_perc)*KLL_II_2020!NOC_CI_opex_rpmt</f>
        <v>0</v>
      </c>
      <c r="AW383" s="49">
        <f ca="1">-MIN(SUM(AW381:AW382),SUM(AW$337,AW$342)*KLL_II_2020!NOC_rpmt_max_perc)*KLL_II_2020!NOC_CI_opex_rpmt</f>
        <v>0</v>
      </c>
      <c r="AX383" s="49">
        <f ca="1">-MIN(SUM(AX381:AX382),SUM(AX$337,AX$342)*KLL_II_2020!NOC_rpmt_max_perc)*KLL_II_2020!NOC_CI_opex_rpmt</f>
        <v>0</v>
      </c>
      <c r="AY383" s="49">
        <f ca="1">-MIN(SUM(AY381:AY382),SUM(AY$337,AY$342)*KLL_II_2020!NOC_rpmt_max_perc)*KLL_II_2020!NOC_CI_opex_rpmt</f>
        <v>0</v>
      </c>
      <c r="AZ383" s="49">
        <f ca="1">-MIN(SUM(AZ381:AZ382),SUM(AZ$337,AZ$342)*KLL_II_2020!NOC_rpmt_max_perc)*KLL_II_2020!NOC_CI_opex_rpmt</f>
        <v>0</v>
      </c>
      <c r="BA383" s="49">
        <f ca="1">-MIN(SUM(BA381:BA382),SUM(BA$337,BA$342)*KLL_II_2020!NOC_rpmt_max_perc)*KLL_II_2020!NOC_CI_opex_rpmt</f>
        <v>0</v>
      </c>
      <c r="BB383" s="49">
        <f ca="1">-MIN(SUM(BB381:BB382),SUM(BB$337,BB$342)*KLL_II_2020!NOC_rpmt_max_perc)*KLL_II_2020!NOC_CI_opex_rpmt</f>
        <v>0</v>
      </c>
      <c r="BC383" s="49">
        <f ca="1">-MIN(SUM(BC381:BC382),SUM(BC$337,BC$342)*KLL_II_2020!NOC_rpmt_max_perc)*KLL_II_2020!NOC_CI_opex_rpmt</f>
        <v>0</v>
      </c>
      <c r="BD383" s="49">
        <f ca="1">-MIN(SUM(BD381:BD382),SUM(BD$337,BD$342)*KLL_II_2020!NOC_rpmt_max_perc)*KLL_II_2020!NOC_CI_opex_rpmt</f>
        <v>0</v>
      </c>
      <c r="BE383" s="49">
        <f ca="1">-MIN(SUM(BE381:BE382),SUM(BE$337,BE$342)*KLL_II_2020!NOC_rpmt_max_perc)*KLL_II_2020!NOC_CI_opex_rpmt</f>
        <v>0</v>
      </c>
      <c r="BF383" s="49">
        <f ca="1">-MIN(SUM(BF381:BF382),SUM(BF$337,BF$342)*KLL_II_2020!NOC_rpmt_max_perc)*KLL_II_2020!NOC_CI_opex_rpmt</f>
        <v>0</v>
      </c>
      <c r="BG383" s="49">
        <f ca="1">-MIN(SUM(BG381:BG382),SUM(BG$337,BG$342)*KLL_II_2020!NOC_rpmt_max_perc)*KLL_II_2020!NOC_CI_opex_rpmt</f>
        <v>0</v>
      </c>
      <c r="BH383" s="49">
        <f ca="1">-MIN(SUM(BH381:BH382),SUM(BH$337,BH$342)*KLL_II_2020!NOC_rpmt_max_perc)*KLL_II_2020!NOC_CI_opex_rpmt</f>
        <v>0</v>
      </c>
      <c r="BI383" s="49">
        <f ca="1">-MIN(SUM(BI381:BI382),SUM(BI$337,BI$342)*KLL_II_2020!NOC_rpmt_max_perc)*KLL_II_2020!NOC_CI_opex_rpmt</f>
        <v>0</v>
      </c>
      <c r="BJ383" s="49">
        <f ca="1">-MIN(SUM(BJ381:BJ382),SUM(BJ$337,BJ$342)*KLL_II_2020!NOC_rpmt_max_perc)*KLL_II_2020!NOC_CI_opex_rpmt</f>
        <v>0</v>
      </c>
      <c r="BK383" s="49">
        <f ca="1">-MIN(SUM(BK381:BK382),SUM(BK$337,BK$342)*KLL_II_2020!NOC_rpmt_max_perc)*KLL_II_2020!NOC_CI_opex_rpmt</f>
        <v>0</v>
      </c>
      <c r="BL383" s="49">
        <f ca="1">-MIN(SUM(BL381:BL382),SUM(BL$337,BL$342)*KLL_II_2020!NOC_rpmt_max_perc)*KLL_II_2020!NOC_CI_opex_rpmt</f>
        <v>0</v>
      </c>
      <c r="BM383" s="49">
        <f ca="1">-MIN(SUM(BM381:BM382),SUM(BM$337,BM$342)*KLL_II_2020!NOC_rpmt_max_perc)*KLL_II_2020!NOC_CI_opex_rpmt</f>
        <v>0</v>
      </c>
      <c r="BN383" s="49">
        <f ca="1">-MIN(SUM(BN381:BN382),SUM(BN$337,BN$342)*KLL_II_2020!NOC_rpmt_max_perc)*KLL_II_2020!NOC_CI_opex_rpmt</f>
        <v>0</v>
      </c>
      <c r="BO383" s="49">
        <f ca="1">-MIN(SUM(BO381:BO382),SUM(BO$337,BO$342)*KLL_II_2020!NOC_rpmt_max_perc)*KLL_II_2020!NOC_CI_opex_rpmt</f>
        <v>0</v>
      </c>
      <c r="BP383" s="49">
        <f ca="1">-MIN(SUM(BP381:BP382),SUM(BP$337,BP$342)*KLL_II_2020!NOC_rpmt_max_perc)*KLL_II_2020!NOC_CI_opex_rpmt</f>
        <v>0</v>
      </c>
      <c r="BQ383" s="49">
        <f ca="1">-MIN(SUM(BQ381:BQ382),SUM(BQ$337,BQ$342)*KLL_II_2020!NOC_rpmt_max_perc)*KLL_II_2020!NOC_CI_opex_rpmt</f>
        <v>0</v>
      </c>
      <c r="BR383" s="49">
        <f ca="1">-MIN(SUM(BR381:BR382),SUM(BR$337,BR$342)*KLL_II_2020!NOC_rpmt_max_perc)*KLL_II_2020!NOC_CI_opex_rpmt</f>
        <v>0</v>
      </c>
      <c r="BS383" s="49">
        <f ca="1">-MIN(SUM(BS381:BS382),SUM(BS$337,BS$342)*KLL_II_2020!NOC_rpmt_max_perc)*KLL_II_2020!NOC_CI_opex_rpmt</f>
        <v>0</v>
      </c>
    </row>
    <row r="384" spans="3:71" outlineLevel="1" x14ac:dyDescent="0.2">
      <c r="D384" t="str">
        <f>HM_ZB_Nsoko!D397</f>
        <v>Coûts de portage Solde de clôture</v>
      </c>
      <c r="J384" s="26"/>
      <c r="L384" s="49">
        <f ca="1">SUM(L381:L383)</f>
        <v>0</v>
      </c>
      <c r="M384" s="49">
        <f t="shared" ref="M384:BS384" ca="1" si="113">SUM(M381:M383)</f>
        <v>0</v>
      </c>
      <c r="N384" s="49">
        <f t="shared" ca="1" si="113"/>
        <v>0</v>
      </c>
      <c r="O384" s="49">
        <f t="shared" ca="1" si="113"/>
        <v>0</v>
      </c>
      <c r="P384" s="49">
        <f t="shared" ca="1" si="113"/>
        <v>0</v>
      </c>
      <c r="Q384" s="49">
        <f t="shared" ca="1" si="113"/>
        <v>0</v>
      </c>
      <c r="R384" s="49">
        <f t="shared" ca="1" si="113"/>
        <v>0</v>
      </c>
      <c r="S384" s="49">
        <f t="shared" ca="1" si="113"/>
        <v>0</v>
      </c>
      <c r="T384" s="49">
        <f t="shared" ca="1" si="113"/>
        <v>0</v>
      </c>
      <c r="U384" s="49">
        <f t="shared" ca="1" si="113"/>
        <v>0</v>
      </c>
      <c r="V384" s="49">
        <f t="shared" ca="1" si="113"/>
        <v>0</v>
      </c>
      <c r="W384" s="49">
        <f t="shared" ca="1" si="113"/>
        <v>0</v>
      </c>
      <c r="X384" s="49">
        <f t="shared" ca="1" si="113"/>
        <v>0</v>
      </c>
      <c r="Y384" s="49">
        <f t="shared" ca="1" si="113"/>
        <v>0</v>
      </c>
      <c r="Z384" s="49">
        <f t="shared" ca="1" si="113"/>
        <v>0</v>
      </c>
      <c r="AA384" s="49">
        <f t="shared" ca="1" si="113"/>
        <v>0</v>
      </c>
      <c r="AB384" s="49">
        <f t="shared" ca="1" si="113"/>
        <v>0</v>
      </c>
      <c r="AC384" s="49">
        <f t="shared" ca="1" si="113"/>
        <v>0</v>
      </c>
      <c r="AD384" s="49">
        <f t="shared" ca="1" si="113"/>
        <v>0</v>
      </c>
      <c r="AE384" s="49">
        <f t="shared" ca="1" si="113"/>
        <v>0</v>
      </c>
      <c r="AF384" s="49">
        <f t="shared" ca="1" si="113"/>
        <v>0</v>
      </c>
      <c r="AG384" s="49">
        <f t="shared" ca="1" si="113"/>
        <v>0</v>
      </c>
      <c r="AH384" s="49">
        <f t="shared" ca="1" si="113"/>
        <v>0</v>
      </c>
      <c r="AI384" s="49">
        <f t="shared" ca="1" si="113"/>
        <v>0</v>
      </c>
      <c r="AJ384" s="49">
        <f t="shared" ca="1" si="113"/>
        <v>0</v>
      </c>
      <c r="AK384" s="49">
        <f t="shared" ca="1" si="113"/>
        <v>0</v>
      </c>
      <c r="AL384" s="49">
        <f t="shared" ca="1" si="113"/>
        <v>0</v>
      </c>
      <c r="AM384" s="49">
        <f t="shared" ca="1" si="113"/>
        <v>0</v>
      </c>
      <c r="AN384" s="49">
        <f t="shared" ca="1" si="113"/>
        <v>0</v>
      </c>
      <c r="AO384" s="49">
        <f t="shared" ca="1" si="113"/>
        <v>0</v>
      </c>
      <c r="AP384" s="49">
        <f t="shared" ca="1" si="113"/>
        <v>0</v>
      </c>
      <c r="AQ384" s="49">
        <f t="shared" ca="1" si="113"/>
        <v>0</v>
      </c>
      <c r="AR384" s="49">
        <f t="shared" ca="1" si="113"/>
        <v>0</v>
      </c>
      <c r="AS384" s="49">
        <f t="shared" ca="1" si="113"/>
        <v>0</v>
      </c>
      <c r="AT384" s="49">
        <f t="shared" ca="1" si="113"/>
        <v>0</v>
      </c>
      <c r="AU384" s="49">
        <f t="shared" ca="1" si="113"/>
        <v>0</v>
      </c>
      <c r="AV384" s="49">
        <f t="shared" ca="1" si="113"/>
        <v>0</v>
      </c>
      <c r="AW384" s="49">
        <f t="shared" ca="1" si="113"/>
        <v>0</v>
      </c>
      <c r="AX384" s="49">
        <f t="shared" ca="1" si="113"/>
        <v>0</v>
      </c>
      <c r="AY384" s="49">
        <f t="shared" ca="1" si="113"/>
        <v>0</v>
      </c>
      <c r="AZ384" s="49">
        <f t="shared" ca="1" si="113"/>
        <v>0</v>
      </c>
      <c r="BA384" s="49">
        <f t="shared" ca="1" si="113"/>
        <v>0</v>
      </c>
      <c r="BB384" s="49">
        <f t="shared" ca="1" si="113"/>
        <v>0</v>
      </c>
      <c r="BC384" s="49">
        <f t="shared" ca="1" si="113"/>
        <v>0</v>
      </c>
      <c r="BD384" s="49">
        <f t="shared" ca="1" si="113"/>
        <v>0</v>
      </c>
      <c r="BE384" s="49">
        <f t="shared" ca="1" si="113"/>
        <v>0</v>
      </c>
      <c r="BF384" s="49">
        <f t="shared" ca="1" si="113"/>
        <v>0</v>
      </c>
      <c r="BG384" s="49">
        <f t="shared" ca="1" si="113"/>
        <v>0</v>
      </c>
      <c r="BH384" s="49">
        <f t="shared" ca="1" si="113"/>
        <v>0</v>
      </c>
      <c r="BI384" s="49">
        <f t="shared" ca="1" si="113"/>
        <v>0</v>
      </c>
      <c r="BJ384" s="49">
        <f t="shared" ca="1" si="113"/>
        <v>0</v>
      </c>
      <c r="BK384" s="49">
        <f t="shared" ca="1" si="113"/>
        <v>0</v>
      </c>
      <c r="BL384" s="49">
        <f t="shared" ca="1" si="113"/>
        <v>0</v>
      </c>
      <c r="BM384" s="49">
        <f t="shared" ca="1" si="113"/>
        <v>0</v>
      </c>
      <c r="BN384" s="49">
        <f t="shared" ca="1" si="113"/>
        <v>0</v>
      </c>
      <c r="BO384" s="49">
        <f t="shared" ca="1" si="113"/>
        <v>0</v>
      </c>
      <c r="BP384" s="49">
        <f t="shared" ca="1" si="113"/>
        <v>0</v>
      </c>
      <c r="BQ384" s="49">
        <f t="shared" ca="1" si="113"/>
        <v>0</v>
      </c>
      <c r="BR384" s="49">
        <f t="shared" ca="1" si="113"/>
        <v>0</v>
      </c>
      <c r="BS384" s="49">
        <f t="shared" ca="1" si="113"/>
        <v>0</v>
      </c>
    </row>
    <row r="385" spans="1:93" outlineLevel="1" x14ac:dyDescent="0.2">
      <c r="J385" s="26"/>
      <c r="L385" s="55"/>
      <c r="M385" s="55"/>
      <c r="N385" s="55"/>
      <c r="O385" s="55"/>
      <c r="P385" s="55"/>
      <c r="Q385" s="55"/>
      <c r="R385" s="55"/>
      <c r="S385" s="55"/>
      <c r="T385" s="55"/>
      <c r="U385" s="55"/>
      <c r="V385" s="55"/>
      <c r="W385" s="55"/>
      <c r="X385" s="55"/>
      <c r="Y385" s="55"/>
      <c r="Z385" s="55"/>
      <c r="AA385" s="55"/>
      <c r="AB385" s="55"/>
      <c r="AC385" s="55"/>
      <c r="AD385" s="55"/>
      <c r="AE385" s="55"/>
      <c r="AF385" s="55"/>
      <c r="AG385" s="55"/>
      <c r="AH385" s="55"/>
      <c r="AI385" s="55"/>
      <c r="AJ385" s="55"/>
      <c r="AK385" s="55"/>
      <c r="AL385" s="55"/>
      <c r="AM385" s="55"/>
      <c r="AN385" s="55"/>
      <c r="AO385" s="55"/>
      <c r="AP385" s="55"/>
      <c r="AQ385" s="55"/>
      <c r="AR385" s="55"/>
      <c r="AS385" s="55"/>
      <c r="AT385" s="55"/>
      <c r="AU385" s="55"/>
      <c r="AV385" s="55"/>
      <c r="AW385" s="55"/>
      <c r="AX385" s="55"/>
      <c r="AY385" s="55"/>
      <c r="AZ385" s="55"/>
      <c r="BA385" s="55"/>
      <c r="BB385" s="55"/>
      <c r="BC385" s="55"/>
      <c r="BD385" s="55"/>
      <c r="BE385" s="55"/>
      <c r="BF385" s="55"/>
      <c r="BG385" s="55"/>
      <c r="BH385" s="55"/>
      <c r="BI385" s="55"/>
      <c r="BJ385" s="55"/>
      <c r="BK385" s="55"/>
      <c r="BL385" s="55"/>
      <c r="BM385" s="55"/>
      <c r="BN385" s="55"/>
      <c r="BO385" s="55"/>
      <c r="BP385" s="55"/>
      <c r="BQ385" s="55"/>
      <c r="BR385" s="55"/>
      <c r="BS385" s="55"/>
    </row>
    <row r="386" spans="1:93" outlineLevel="1" x14ac:dyDescent="0.2">
      <c r="C386" t="str">
        <f>HM_ZB_Nsoko!C399</f>
        <v>Total coûts portés compagnie nationale</v>
      </c>
      <c r="I386" s="30">
        <f t="shared" ref="I386:I387" ca="1" si="114">SUM($L386:$BS386)</f>
        <v>81.205600000000004</v>
      </c>
      <c r="J386" s="26" t="s">
        <v>148</v>
      </c>
      <c r="K386" s="7" t="s">
        <v>351</v>
      </c>
      <c r="L386" s="49">
        <f ca="1">L366</f>
        <v>10.202800000000002</v>
      </c>
      <c r="M386" s="49">
        <f t="shared" ref="M386:BS386" ca="1" si="115">M366</f>
        <v>34.302199999999999</v>
      </c>
      <c r="N386" s="49">
        <f t="shared" ca="1" si="115"/>
        <v>15.328200000000002</v>
      </c>
      <c r="O386" s="49">
        <f t="shared" ca="1" si="115"/>
        <v>5.7324000000000002</v>
      </c>
      <c r="P386" s="49">
        <f t="shared" ca="1" si="115"/>
        <v>3.64</v>
      </c>
      <c r="Q386" s="49">
        <f t="shared" ca="1" si="115"/>
        <v>12</v>
      </c>
      <c r="R386" s="49">
        <f t="shared" ca="1" si="115"/>
        <v>0</v>
      </c>
      <c r="S386" s="49">
        <f t="shared" ca="1" si="115"/>
        <v>0</v>
      </c>
      <c r="T386" s="49">
        <f t="shared" ca="1" si="115"/>
        <v>0</v>
      </c>
      <c r="U386" s="49">
        <f t="shared" ca="1" si="115"/>
        <v>0</v>
      </c>
      <c r="V386" s="49">
        <f t="shared" ca="1" si="115"/>
        <v>0</v>
      </c>
      <c r="W386" s="49">
        <f t="shared" ca="1" si="115"/>
        <v>0</v>
      </c>
      <c r="X386" s="49">
        <f t="shared" ca="1" si="115"/>
        <v>0</v>
      </c>
      <c r="Y386" s="49">
        <f t="shared" ca="1" si="115"/>
        <v>0</v>
      </c>
      <c r="Z386" s="49">
        <f t="shared" ca="1" si="115"/>
        <v>0</v>
      </c>
      <c r="AA386" s="49">
        <f t="shared" ca="1" si="115"/>
        <v>0</v>
      </c>
      <c r="AB386" s="49">
        <f t="shared" ca="1" si="115"/>
        <v>0</v>
      </c>
      <c r="AC386" s="49">
        <f t="shared" ca="1" si="115"/>
        <v>0</v>
      </c>
      <c r="AD386" s="49">
        <f t="shared" ca="1" si="115"/>
        <v>0</v>
      </c>
      <c r="AE386" s="49">
        <f t="shared" ca="1" si="115"/>
        <v>0</v>
      </c>
      <c r="AF386" s="49">
        <f t="shared" ca="1" si="115"/>
        <v>0</v>
      </c>
      <c r="AG386" s="49">
        <f t="shared" ca="1" si="115"/>
        <v>0</v>
      </c>
      <c r="AH386" s="49">
        <f t="shared" ca="1" si="115"/>
        <v>0</v>
      </c>
      <c r="AI386" s="49">
        <f t="shared" ca="1" si="115"/>
        <v>0</v>
      </c>
      <c r="AJ386" s="49">
        <f t="shared" ca="1" si="115"/>
        <v>0</v>
      </c>
      <c r="AK386" s="49">
        <f t="shared" ca="1" si="115"/>
        <v>0</v>
      </c>
      <c r="AL386" s="49">
        <f t="shared" ca="1" si="115"/>
        <v>0</v>
      </c>
      <c r="AM386" s="49">
        <f t="shared" ca="1" si="115"/>
        <v>0</v>
      </c>
      <c r="AN386" s="49">
        <f t="shared" ca="1" si="115"/>
        <v>0</v>
      </c>
      <c r="AO386" s="49">
        <f t="shared" ca="1" si="115"/>
        <v>0</v>
      </c>
      <c r="AP386" s="49">
        <f t="shared" ca="1" si="115"/>
        <v>0</v>
      </c>
      <c r="AQ386" s="49">
        <f t="shared" ca="1" si="115"/>
        <v>0</v>
      </c>
      <c r="AR386" s="49">
        <f t="shared" ca="1" si="115"/>
        <v>0</v>
      </c>
      <c r="AS386" s="49">
        <f t="shared" ca="1" si="115"/>
        <v>0</v>
      </c>
      <c r="AT386" s="49">
        <f t="shared" ca="1" si="115"/>
        <v>0</v>
      </c>
      <c r="AU386" s="49">
        <f t="shared" ca="1" si="115"/>
        <v>0</v>
      </c>
      <c r="AV386" s="49">
        <f t="shared" ca="1" si="115"/>
        <v>0</v>
      </c>
      <c r="AW386" s="49">
        <f t="shared" ca="1" si="115"/>
        <v>0</v>
      </c>
      <c r="AX386" s="49">
        <f t="shared" ca="1" si="115"/>
        <v>0</v>
      </c>
      <c r="AY386" s="49">
        <f t="shared" ca="1" si="115"/>
        <v>0</v>
      </c>
      <c r="AZ386" s="49">
        <f t="shared" ca="1" si="115"/>
        <v>0</v>
      </c>
      <c r="BA386" s="49">
        <f t="shared" ca="1" si="115"/>
        <v>0</v>
      </c>
      <c r="BB386" s="49">
        <f t="shared" ca="1" si="115"/>
        <v>0</v>
      </c>
      <c r="BC386" s="49">
        <f t="shared" ca="1" si="115"/>
        <v>0</v>
      </c>
      <c r="BD386" s="49">
        <f t="shared" ca="1" si="115"/>
        <v>0</v>
      </c>
      <c r="BE386" s="49">
        <f t="shared" ca="1" si="115"/>
        <v>0</v>
      </c>
      <c r="BF386" s="49">
        <f t="shared" ca="1" si="115"/>
        <v>0</v>
      </c>
      <c r="BG386" s="49">
        <f t="shared" ca="1" si="115"/>
        <v>0</v>
      </c>
      <c r="BH386" s="49">
        <f t="shared" ca="1" si="115"/>
        <v>0</v>
      </c>
      <c r="BI386" s="49">
        <f t="shared" ca="1" si="115"/>
        <v>0</v>
      </c>
      <c r="BJ386" s="49">
        <f t="shared" ca="1" si="115"/>
        <v>0</v>
      </c>
      <c r="BK386" s="49">
        <f t="shared" ca="1" si="115"/>
        <v>0</v>
      </c>
      <c r="BL386" s="49">
        <f t="shared" ca="1" si="115"/>
        <v>0</v>
      </c>
      <c r="BM386" s="49">
        <f t="shared" ca="1" si="115"/>
        <v>0</v>
      </c>
      <c r="BN386" s="49">
        <f t="shared" ca="1" si="115"/>
        <v>0</v>
      </c>
      <c r="BO386" s="49">
        <f t="shared" ca="1" si="115"/>
        <v>0</v>
      </c>
      <c r="BP386" s="49">
        <f t="shared" ca="1" si="115"/>
        <v>0</v>
      </c>
      <c r="BQ386" s="49">
        <f t="shared" ca="1" si="115"/>
        <v>0</v>
      </c>
      <c r="BR386" s="49">
        <f t="shared" ca="1" si="115"/>
        <v>0</v>
      </c>
      <c r="BS386" s="49">
        <f t="shared" ca="1" si="115"/>
        <v>0</v>
      </c>
    </row>
    <row r="387" spans="1:93" outlineLevel="1" x14ac:dyDescent="0.2">
      <c r="C387" t="str">
        <f>HM_ZB_Nsoko!C400</f>
        <v>Total Remboursement du portage</v>
      </c>
      <c r="I387" s="30">
        <f t="shared" ca="1" si="114"/>
        <v>-81.205600000000004</v>
      </c>
      <c r="J387" s="26" t="s">
        <v>148</v>
      </c>
      <c r="K387" s="7" t="s">
        <v>352</v>
      </c>
      <c r="L387" s="49">
        <f ca="1">SUM(L371,L377,L383)</f>
        <v>-10.202800000000002</v>
      </c>
      <c r="M387" s="49">
        <f t="shared" ref="M387:BS387" ca="1" si="116">SUM(M371,M377,M383)</f>
        <v>-34.302199999999999</v>
      </c>
      <c r="N387" s="49">
        <f t="shared" ca="1" si="116"/>
        <v>-15.328200000000002</v>
      </c>
      <c r="O387" s="49">
        <f t="shared" ca="1" si="116"/>
        <v>-5.7324000000000002</v>
      </c>
      <c r="P387" s="49">
        <f t="shared" ca="1" si="116"/>
        <v>-3.64</v>
      </c>
      <c r="Q387" s="49">
        <f t="shared" ca="1" si="116"/>
        <v>-12</v>
      </c>
      <c r="R387" s="49">
        <f t="shared" ca="1" si="116"/>
        <v>0</v>
      </c>
      <c r="S387" s="49">
        <f t="shared" ca="1" si="116"/>
        <v>0</v>
      </c>
      <c r="T387" s="49">
        <f t="shared" ca="1" si="116"/>
        <v>0</v>
      </c>
      <c r="U387" s="49">
        <f t="shared" ca="1" si="116"/>
        <v>0</v>
      </c>
      <c r="V387" s="49">
        <f t="shared" ca="1" si="116"/>
        <v>0</v>
      </c>
      <c r="W387" s="49">
        <f t="shared" ca="1" si="116"/>
        <v>0</v>
      </c>
      <c r="X387" s="49">
        <f t="shared" ca="1" si="116"/>
        <v>0</v>
      </c>
      <c r="Y387" s="49">
        <f t="shared" ca="1" si="116"/>
        <v>0</v>
      </c>
      <c r="Z387" s="49">
        <f t="shared" ca="1" si="116"/>
        <v>0</v>
      </c>
      <c r="AA387" s="49">
        <f t="shared" ca="1" si="116"/>
        <v>0</v>
      </c>
      <c r="AB387" s="49">
        <f t="shared" ca="1" si="116"/>
        <v>0</v>
      </c>
      <c r="AC387" s="49">
        <f t="shared" ca="1" si="116"/>
        <v>0</v>
      </c>
      <c r="AD387" s="49">
        <f t="shared" ca="1" si="116"/>
        <v>0</v>
      </c>
      <c r="AE387" s="49">
        <f t="shared" ca="1" si="116"/>
        <v>0</v>
      </c>
      <c r="AF387" s="49">
        <f t="shared" ca="1" si="116"/>
        <v>0</v>
      </c>
      <c r="AG387" s="49">
        <f t="shared" ca="1" si="116"/>
        <v>0</v>
      </c>
      <c r="AH387" s="49">
        <f t="shared" ca="1" si="116"/>
        <v>0</v>
      </c>
      <c r="AI387" s="49">
        <f t="shared" ca="1" si="116"/>
        <v>0</v>
      </c>
      <c r="AJ387" s="49">
        <f t="shared" ca="1" si="116"/>
        <v>0</v>
      </c>
      <c r="AK387" s="49">
        <f t="shared" ca="1" si="116"/>
        <v>0</v>
      </c>
      <c r="AL387" s="49">
        <f t="shared" ca="1" si="116"/>
        <v>0</v>
      </c>
      <c r="AM387" s="49">
        <f t="shared" ca="1" si="116"/>
        <v>0</v>
      </c>
      <c r="AN387" s="49">
        <f t="shared" ca="1" si="116"/>
        <v>0</v>
      </c>
      <c r="AO387" s="49">
        <f t="shared" ca="1" si="116"/>
        <v>0</v>
      </c>
      <c r="AP387" s="49">
        <f t="shared" ca="1" si="116"/>
        <v>0</v>
      </c>
      <c r="AQ387" s="49">
        <f t="shared" ca="1" si="116"/>
        <v>0</v>
      </c>
      <c r="AR387" s="49">
        <f t="shared" ca="1" si="116"/>
        <v>0</v>
      </c>
      <c r="AS387" s="49">
        <f t="shared" ca="1" si="116"/>
        <v>0</v>
      </c>
      <c r="AT387" s="49">
        <f t="shared" ca="1" si="116"/>
        <v>0</v>
      </c>
      <c r="AU387" s="49">
        <f t="shared" ca="1" si="116"/>
        <v>0</v>
      </c>
      <c r="AV387" s="49">
        <f t="shared" ca="1" si="116"/>
        <v>0</v>
      </c>
      <c r="AW387" s="49">
        <f t="shared" ca="1" si="116"/>
        <v>0</v>
      </c>
      <c r="AX387" s="49">
        <f t="shared" ca="1" si="116"/>
        <v>0</v>
      </c>
      <c r="AY387" s="49">
        <f t="shared" ca="1" si="116"/>
        <v>0</v>
      </c>
      <c r="AZ387" s="49">
        <f t="shared" ca="1" si="116"/>
        <v>0</v>
      </c>
      <c r="BA387" s="49">
        <f t="shared" ca="1" si="116"/>
        <v>0</v>
      </c>
      <c r="BB387" s="49">
        <f t="shared" ca="1" si="116"/>
        <v>0</v>
      </c>
      <c r="BC387" s="49">
        <f t="shared" ca="1" si="116"/>
        <v>0</v>
      </c>
      <c r="BD387" s="49">
        <f t="shared" ca="1" si="116"/>
        <v>0</v>
      </c>
      <c r="BE387" s="49">
        <f t="shared" ca="1" si="116"/>
        <v>0</v>
      </c>
      <c r="BF387" s="49">
        <f t="shared" ca="1" si="116"/>
        <v>0</v>
      </c>
      <c r="BG387" s="49">
        <f t="shared" ca="1" si="116"/>
        <v>0</v>
      </c>
      <c r="BH387" s="49">
        <f t="shared" ca="1" si="116"/>
        <v>0</v>
      </c>
      <c r="BI387" s="49">
        <f t="shared" ca="1" si="116"/>
        <v>0</v>
      </c>
      <c r="BJ387" s="49">
        <f t="shared" ca="1" si="116"/>
        <v>0</v>
      </c>
      <c r="BK387" s="49">
        <f t="shared" ca="1" si="116"/>
        <v>0</v>
      </c>
      <c r="BL387" s="49">
        <f t="shared" ca="1" si="116"/>
        <v>0</v>
      </c>
      <c r="BM387" s="49">
        <f t="shared" ca="1" si="116"/>
        <v>0</v>
      </c>
      <c r="BN387" s="49">
        <f t="shared" ca="1" si="116"/>
        <v>0</v>
      </c>
      <c r="BO387" s="49">
        <f t="shared" ca="1" si="116"/>
        <v>0</v>
      </c>
      <c r="BP387" s="49">
        <f t="shared" ca="1" si="116"/>
        <v>0</v>
      </c>
      <c r="BQ387" s="49">
        <f t="shared" ca="1" si="116"/>
        <v>0</v>
      </c>
      <c r="BR387" s="49">
        <f t="shared" ca="1" si="116"/>
        <v>0</v>
      </c>
      <c r="BS387" s="49">
        <f t="shared" ca="1" si="116"/>
        <v>0</v>
      </c>
    </row>
    <row r="388" spans="1:93" outlineLevel="1" x14ac:dyDescent="0.2">
      <c r="J388" s="26"/>
      <c r="L388" s="55"/>
      <c r="M388" s="55"/>
      <c r="N388" s="55"/>
      <c r="O388" s="55"/>
      <c r="P388" s="55"/>
      <c r="Q388" s="55"/>
      <c r="R388" s="55"/>
      <c r="S388" s="55"/>
      <c r="T388" s="55"/>
      <c r="U388" s="55"/>
      <c r="V388" s="55"/>
      <c r="W388" s="55"/>
      <c r="X388" s="55"/>
      <c r="Y388" s="55"/>
      <c r="Z388" s="55"/>
      <c r="AA388" s="55"/>
      <c r="AB388" s="55"/>
      <c r="AC388" s="55"/>
      <c r="AD388" s="55"/>
      <c r="AE388" s="55"/>
      <c r="AF388" s="55"/>
      <c r="AG388" s="55"/>
      <c r="AH388" s="55"/>
      <c r="AI388" s="55"/>
      <c r="AJ388" s="55"/>
      <c r="AK388" s="55"/>
      <c r="AL388" s="55"/>
      <c r="AM388" s="55"/>
      <c r="AN388" s="55"/>
      <c r="AO388" s="55"/>
      <c r="AP388" s="55"/>
      <c r="AQ388" s="55"/>
      <c r="AR388" s="55"/>
      <c r="AS388" s="55"/>
      <c r="AT388" s="55"/>
      <c r="AU388" s="55"/>
      <c r="AV388" s="55"/>
      <c r="AW388" s="55"/>
      <c r="AX388" s="55"/>
      <c r="AY388" s="55"/>
      <c r="AZ388" s="55"/>
      <c r="BA388" s="55"/>
      <c r="BB388" s="55"/>
      <c r="BC388" s="55"/>
      <c r="BD388" s="55"/>
      <c r="BE388" s="55"/>
      <c r="BF388" s="55"/>
      <c r="BG388" s="55"/>
      <c r="BH388" s="55"/>
      <c r="BI388" s="55"/>
      <c r="BJ388" s="55"/>
      <c r="BK388" s="55"/>
      <c r="BL388" s="55"/>
      <c r="BM388" s="55"/>
      <c r="BN388" s="55"/>
      <c r="BO388" s="55"/>
      <c r="BP388" s="55"/>
      <c r="BQ388" s="55"/>
      <c r="BR388" s="55"/>
      <c r="BS388" s="55"/>
    </row>
    <row r="389" spans="1:93" outlineLevel="1" x14ac:dyDescent="0.2">
      <c r="J389" s="26"/>
      <c r="L389" s="55"/>
      <c r="M389" s="55"/>
      <c r="N389" s="55"/>
      <c r="O389" s="55"/>
      <c r="P389" s="55"/>
      <c r="Q389" s="55"/>
      <c r="R389" s="55"/>
      <c r="S389" s="55"/>
      <c r="T389" s="55"/>
      <c r="U389" s="55"/>
      <c r="V389" s="55"/>
      <c r="W389" s="55"/>
      <c r="X389" s="55"/>
      <c r="Y389" s="55"/>
      <c r="Z389" s="55"/>
      <c r="AA389" s="55"/>
      <c r="AB389" s="55"/>
      <c r="AC389" s="55"/>
      <c r="AD389" s="55"/>
      <c r="AE389" s="55"/>
      <c r="AF389" s="55"/>
      <c r="AG389" s="55"/>
      <c r="AH389" s="55"/>
      <c r="AI389" s="55"/>
      <c r="AJ389" s="55"/>
      <c r="AK389" s="55"/>
      <c r="AL389" s="55"/>
      <c r="AM389" s="55"/>
      <c r="AN389" s="55"/>
      <c r="AO389" s="55"/>
      <c r="AP389" s="55"/>
      <c r="AQ389" s="55"/>
      <c r="AR389" s="55"/>
      <c r="AS389" s="55"/>
      <c r="AT389" s="55"/>
      <c r="AU389" s="55"/>
      <c r="AV389" s="55"/>
      <c r="AW389" s="55"/>
      <c r="AX389" s="55"/>
      <c r="AY389" s="55"/>
      <c r="AZ389" s="55"/>
      <c r="BA389" s="55"/>
      <c r="BB389" s="55"/>
      <c r="BC389" s="55"/>
      <c r="BD389" s="55"/>
      <c r="BE389" s="55"/>
      <c r="BF389" s="55"/>
      <c r="BG389" s="55"/>
      <c r="BH389" s="55"/>
      <c r="BI389" s="55"/>
      <c r="BJ389" s="55"/>
      <c r="BK389" s="55"/>
      <c r="BL389" s="55"/>
      <c r="BM389" s="55"/>
      <c r="BN389" s="55"/>
      <c r="BO389" s="55"/>
      <c r="BP389" s="55"/>
      <c r="BQ389" s="55"/>
      <c r="BR389" s="55"/>
      <c r="BS389" s="55"/>
    </row>
    <row r="390" spans="1:93" outlineLevel="1" x14ac:dyDescent="0.2">
      <c r="J390" s="26"/>
      <c r="L390" s="55"/>
      <c r="M390" s="55"/>
      <c r="N390" s="55"/>
      <c r="O390" s="55"/>
      <c r="P390" s="55"/>
      <c r="Q390" s="55"/>
      <c r="R390" s="55"/>
      <c r="S390" s="55"/>
      <c r="T390" s="55"/>
      <c r="U390" s="55"/>
      <c r="V390" s="55"/>
      <c r="W390" s="55"/>
      <c r="X390" s="55"/>
      <c r="Y390" s="55"/>
      <c r="Z390" s="55"/>
      <c r="AA390" s="55"/>
      <c r="AB390" s="55"/>
      <c r="AC390" s="55"/>
      <c r="AD390" s="55"/>
      <c r="AE390" s="55"/>
      <c r="AF390" s="55"/>
      <c r="AG390" s="55"/>
      <c r="AH390" s="55"/>
      <c r="AI390" s="55"/>
      <c r="AJ390" s="55"/>
      <c r="AK390" s="55"/>
      <c r="AL390" s="55"/>
      <c r="AM390" s="55"/>
      <c r="AN390" s="55"/>
      <c r="AO390" s="55"/>
      <c r="AP390" s="55"/>
      <c r="AQ390" s="55"/>
      <c r="AR390" s="55"/>
      <c r="AS390" s="55"/>
      <c r="AT390" s="55"/>
      <c r="AU390" s="55"/>
      <c r="AV390" s="55"/>
      <c r="AW390" s="55"/>
      <c r="AX390" s="55"/>
      <c r="AY390" s="55"/>
      <c r="AZ390" s="55"/>
      <c r="BA390" s="55"/>
      <c r="BB390" s="55"/>
      <c r="BC390" s="55"/>
      <c r="BD390" s="55"/>
      <c r="BE390" s="55"/>
      <c r="BF390" s="55"/>
      <c r="BG390" s="55"/>
      <c r="BH390" s="55"/>
      <c r="BI390" s="55"/>
      <c r="BJ390" s="55"/>
      <c r="BK390" s="55"/>
      <c r="BL390" s="55"/>
      <c r="BM390" s="55"/>
      <c r="BN390" s="55"/>
      <c r="BO390" s="55"/>
      <c r="BP390" s="55"/>
      <c r="BQ390" s="55"/>
      <c r="BR390" s="55"/>
      <c r="BS390" s="55"/>
    </row>
    <row r="391" spans="1:93" x14ac:dyDescent="0.2">
      <c r="J391" s="26"/>
      <c r="L391" s="55"/>
      <c r="M391" s="55"/>
      <c r="N391" s="55"/>
      <c r="O391" s="55"/>
      <c r="P391" s="55"/>
      <c r="Q391" s="55"/>
      <c r="R391" s="55"/>
      <c r="S391" s="55"/>
      <c r="T391" s="55"/>
      <c r="U391" s="55"/>
      <c r="V391" s="55"/>
      <c r="W391" s="55"/>
      <c r="X391" s="55"/>
      <c r="Y391" s="55"/>
      <c r="Z391" s="55"/>
      <c r="AA391" s="55"/>
      <c r="AB391" s="55"/>
      <c r="AC391" s="55"/>
      <c r="AD391" s="55"/>
      <c r="AE391" s="55"/>
      <c r="AF391" s="55"/>
      <c r="AG391" s="55"/>
      <c r="AH391" s="55"/>
      <c r="AI391" s="55"/>
      <c r="AJ391" s="55"/>
      <c r="AK391" s="55"/>
      <c r="AL391" s="55"/>
      <c r="AM391" s="55"/>
      <c r="AN391" s="55"/>
      <c r="AO391" s="55"/>
      <c r="AP391" s="55"/>
      <c r="AQ391" s="55"/>
      <c r="AR391" s="55"/>
      <c r="AS391" s="55"/>
      <c r="AT391" s="55"/>
      <c r="AU391" s="55"/>
      <c r="AV391" s="55"/>
      <c r="AW391" s="55"/>
      <c r="AX391" s="55"/>
      <c r="AY391" s="55"/>
      <c r="AZ391" s="55"/>
      <c r="BA391" s="55"/>
      <c r="BB391" s="55"/>
      <c r="BC391" s="55"/>
      <c r="BD391" s="55"/>
      <c r="BE391" s="55"/>
      <c r="BF391" s="55"/>
      <c r="BG391" s="55"/>
      <c r="BH391" s="55"/>
      <c r="BI391" s="55"/>
      <c r="BJ391" s="55"/>
      <c r="BK391" s="55"/>
      <c r="BL391" s="55"/>
      <c r="BM391" s="55"/>
      <c r="BN391" s="55"/>
      <c r="BO391" s="55"/>
      <c r="BP391" s="55"/>
      <c r="BQ391" s="55"/>
      <c r="BR391" s="55"/>
      <c r="BS391" s="55"/>
    </row>
    <row r="392" spans="1:93" ht="16" thickBot="1" x14ac:dyDescent="0.25">
      <c r="J392" s="26"/>
      <c r="L392" s="55"/>
      <c r="M392" s="55"/>
      <c r="N392" s="55"/>
      <c r="O392" s="55"/>
      <c r="P392" s="55"/>
      <c r="Q392" s="55"/>
      <c r="R392" s="55"/>
      <c r="S392" s="55"/>
      <c r="T392" s="55"/>
      <c r="U392" s="55"/>
      <c r="V392" s="55"/>
      <c r="W392" s="55"/>
      <c r="X392" s="55"/>
      <c r="Y392" s="55"/>
      <c r="Z392" s="55"/>
      <c r="AA392" s="55"/>
      <c r="AB392" s="55"/>
      <c r="AC392" s="55"/>
      <c r="AD392" s="55"/>
      <c r="AE392" s="55"/>
      <c r="AF392" s="55"/>
      <c r="AG392" s="55"/>
      <c r="AH392" s="55"/>
      <c r="AI392" s="55"/>
      <c r="AJ392" s="55"/>
      <c r="AK392" s="55"/>
      <c r="AL392" s="55"/>
      <c r="AM392" s="55"/>
      <c r="AN392" s="55"/>
      <c r="AO392" s="55"/>
      <c r="AP392" s="55"/>
      <c r="AQ392" s="55"/>
      <c r="AR392" s="55"/>
      <c r="AS392" s="55"/>
      <c r="AT392" s="55"/>
      <c r="AU392" s="55"/>
      <c r="AV392" s="55"/>
      <c r="AW392" s="55"/>
      <c r="AX392" s="55"/>
      <c r="AY392" s="55"/>
      <c r="AZ392" s="55"/>
      <c r="BA392" s="55"/>
      <c r="BB392" s="55"/>
      <c r="BC392" s="55"/>
      <c r="BD392" s="55"/>
      <c r="BE392" s="55"/>
      <c r="BF392" s="55"/>
      <c r="BG392" s="55"/>
      <c r="BH392" s="55"/>
      <c r="BI392" s="55"/>
      <c r="BJ392" s="55"/>
      <c r="BK392" s="55"/>
      <c r="BL392" s="55"/>
      <c r="BM392" s="55"/>
      <c r="BN392" s="55"/>
      <c r="BO392" s="55"/>
      <c r="BP392" s="55"/>
      <c r="BQ392" s="55"/>
      <c r="BR392" s="55"/>
      <c r="BS392" s="55"/>
    </row>
    <row r="393" spans="1:93" ht="22" thickBot="1" x14ac:dyDescent="0.25">
      <c r="A393" s="8"/>
      <c r="B393" s="221" t="str">
        <f>HM_ZB_Nsoko!B406</f>
        <v>Flux de trésorerie</v>
      </c>
      <c r="C393" s="222">
        <f>HM_ZB_Nsoko!C406</f>
        <v>0</v>
      </c>
      <c r="D393" s="222">
        <f>HM_ZB_Nsoko!D406</f>
        <v>0</v>
      </c>
      <c r="E393" s="223">
        <f>HM_ZB_Nsoko!E406</f>
        <v>0</v>
      </c>
      <c r="F393" s="9"/>
      <c r="G393" s="9"/>
      <c r="H393" s="9"/>
      <c r="I393" s="9"/>
      <c r="J393" s="48"/>
      <c r="K393" s="10"/>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c r="BY393" s="9"/>
      <c r="BZ393" s="9"/>
      <c r="CA393" s="9"/>
      <c r="CB393" s="9"/>
      <c r="CC393" s="9"/>
      <c r="CD393" s="9"/>
      <c r="CE393" s="9"/>
      <c r="CF393" s="9"/>
      <c r="CG393" s="9"/>
      <c r="CH393" s="9"/>
      <c r="CI393" s="9"/>
      <c r="CJ393" s="9"/>
      <c r="CK393" s="9"/>
      <c r="CL393" s="9"/>
      <c r="CM393" s="9"/>
      <c r="CN393" s="9"/>
      <c r="CO393" s="9"/>
    </row>
    <row r="394" spans="1:93" outlineLevel="1" x14ac:dyDescent="0.2">
      <c r="J394" s="26"/>
      <c r="L394" s="55"/>
      <c r="M394" s="55"/>
      <c r="N394" s="55"/>
      <c r="O394" s="55"/>
      <c r="P394" s="55"/>
      <c r="Q394" s="55"/>
      <c r="R394" s="55"/>
      <c r="S394" s="55"/>
      <c r="T394" s="55"/>
      <c r="U394" s="55"/>
      <c r="V394" s="55"/>
      <c r="W394" s="55"/>
      <c r="X394" s="55"/>
      <c r="Y394" s="55"/>
      <c r="Z394" s="55"/>
      <c r="AA394" s="55"/>
      <c r="AB394" s="55"/>
      <c r="AC394" s="55"/>
      <c r="AD394" s="55"/>
      <c r="AE394" s="55"/>
      <c r="AF394" s="55"/>
      <c r="AG394" s="55"/>
      <c r="AH394" s="55"/>
      <c r="AI394" s="55"/>
      <c r="AJ394" s="55"/>
      <c r="AK394" s="55"/>
      <c r="AL394" s="55"/>
      <c r="AM394" s="55"/>
      <c r="AN394" s="55"/>
      <c r="AO394" s="55"/>
      <c r="AP394" s="55"/>
      <c r="AQ394" s="55"/>
      <c r="AR394" s="55"/>
      <c r="AS394" s="55"/>
      <c r="AT394" s="55"/>
      <c r="AU394" s="55"/>
      <c r="AV394" s="55"/>
      <c r="AW394" s="55"/>
      <c r="AX394" s="55"/>
      <c r="AY394" s="55"/>
      <c r="AZ394" s="55"/>
      <c r="BA394" s="55"/>
      <c r="BB394" s="55"/>
      <c r="BC394" s="55"/>
      <c r="BD394" s="55"/>
      <c r="BE394" s="55"/>
      <c r="BF394" s="55"/>
      <c r="BG394" s="55"/>
      <c r="BH394" s="55"/>
      <c r="BI394" s="55"/>
      <c r="BJ394" s="55"/>
      <c r="BK394" s="55"/>
      <c r="BL394" s="55"/>
      <c r="BM394" s="55"/>
      <c r="BN394" s="55"/>
      <c r="BO394" s="55"/>
      <c r="BP394" s="55"/>
      <c r="BQ394" s="55"/>
      <c r="BR394" s="55"/>
      <c r="BS394" s="55"/>
    </row>
    <row r="395" spans="1:93" outlineLevel="1" x14ac:dyDescent="0.2">
      <c r="A395" s="45"/>
      <c r="B395" s="38" t="str">
        <f>HM_ZB_Nsoko!B408</f>
        <v>Calculs de la période d'actualisation</v>
      </c>
      <c r="C395" s="45"/>
      <c r="D395" s="45"/>
      <c r="E395" s="45"/>
      <c r="J395" s="26"/>
      <c r="L395" s="55"/>
      <c r="M395" s="55"/>
      <c r="N395" s="55"/>
      <c r="O395" s="55"/>
      <c r="P395" s="55"/>
      <c r="Q395" s="55"/>
      <c r="R395" s="55"/>
      <c r="S395" s="55"/>
      <c r="T395" s="55"/>
      <c r="U395" s="55"/>
      <c r="V395" s="55"/>
      <c r="W395" s="55"/>
      <c r="X395" s="55"/>
      <c r="Y395" s="55"/>
      <c r="Z395" s="55"/>
      <c r="AA395" s="55"/>
      <c r="AB395" s="55"/>
      <c r="AC395" s="55"/>
      <c r="AD395" s="55"/>
      <c r="AE395" s="55"/>
      <c r="AF395" s="55"/>
      <c r="AG395" s="55"/>
      <c r="AH395" s="55"/>
      <c r="AI395" s="55"/>
      <c r="AJ395" s="55"/>
      <c r="AK395" s="55"/>
      <c r="AL395" s="55"/>
      <c r="AM395" s="55"/>
      <c r="AN395" s="55"/>
      <c r="AO395" s="55"/>
      <c r="AP395" s="55"/>
      <c r="AQ395" s="55"/>
      <c r="AR395" s="55"/>
      <c r="AS395" s="55"/>
      <c r="AT395" s="55"/>
      <c r="AU395" s="55"/>
      <c r="AV395" s="55"/>
      <c r="AW395" s="55"/>
      <c r="AX395" s="55"/>
      <c r="AY395" s="55"/>
      <c r="AZ395" s="55"/>
      <c r="BA395" s="55"/>
      <c r="BB395" s="55"/>
      <c r="BC395" s="55"/>
      <c r="BD395" s="55"/>
      <c r="BE395" s="55"/>
      <c r="BF395" s="55"/>
      <c r="BG395" s="55"/>
      <c r="BH395" s="55"/>
      <c r="BI395" s="55"/>
      <c r="BJ395" s="55"/>
      <c r="BK395" s="55"/>
      <c r="BL395" s="55"/>
      <c r="BM395" s="55"/>
      <c r="BN395" s="55"/>
      <c r="BO395" s="55"/>
      <c r="BP395" s="55"/>
      <c r="BQ395" s="55"/>
      <c r="BR395" s="55"/>
      <c r="BS395" s="55"/>
    </row>
    <row r="396" spans="1:93" outlineLevel="1" x14ac:dyDescent="0.2">
      <c r="J396" s="26"/>
      <c r="L396" s="55"/>
      <c r="M396" s="55"/>
      <c r="N396" s="55"/>
      <c r="O396" s="55"/>
      <c r="P396" s="55"/>
      <c r="Q396" s="55"/>
      <c r="R396" s="55"/>
      <c r="S396" s="55"/>
      <c r="T396" s="55"/>
      <c r="U396" s="55"/>
      <c r="V396" s="55"/>
      <c r="W396" s="55"/>
      <c r="X396" s="55"/>
      <c r="Y396" s="55"/>
      <c r="Z396" s="55"/>
      <c r="AA396" s="55"/>
      <c r="AB396" s="55"/>
      <c r="AC396" s="55"/>
      <c r="AD396" s="55"/>
      <c r="AE396" s="55"/>
      <c r="AF396" s="55"/>
      <c r="AG396" s="55"/>
      <c r="AH396" s="55"/>
      <c r="AI396" s="55"/>
      <c r="AJ396" s="55"/>
      <c r="AK396" s="55"/>
      <c r="AL396" s="55"/>
      <c r="AM396" s="55"/>
      <c r="AN396" s="55"/>
      <c r="AO396" s="55"/>
      <c r="AP396" s="55"/>
      <c r="AQ396" s="55"/>
      <c r="AR396" s="55"/>
      <c r="AS396" s="55"/>
      <c r="AT396" s="55"/>
      <c r="AU396" s="55"/>
      <c r="AV396" s="55"/>
      <c r="AW396" s="55"/>
      <c r="AX396" s="55"/>
      <c r="AY396" s="55"/>
      <c r="AZ396" s="55"/>
      <c r="BA396" s="55"/>
      <c r="BB396" s="55"/>
      <c r="BC396" s="55"/>
      <c r="BD396" s="55"/>
      <c r="BE396" s="55"/>
      <c r="BF396" s="55"/>
      <c r="BG396" s="55"/>
      <c r="BH396" s="55"/>
      <c r="BI396" s="55"/>
      <c r="BJ396" s="55"/>
      <c r="BK396" s="55"/>
      <c r="BL396" s="55"/>
      <c r="BM396" s="55"/>
      <c r="BN396" s="55"/>
      <c r="BO396" s="55"/>
      <c r="BP396" s="55"/>
      <c r="BQ396" s="55"/>
      <c r="BR396" s="55"/>
      <c r="BS396" s="55"/>
    </row>
    <row r="397" spans="1:93" outlineLevel="1" x14ac:dyDescent="0.2">
      <c r="C397" t="str">
        <f>HM_ZB_Nsoko!C410</f>
        <v>Période d'actualisation</v>
      </c>
      <c r="J397" s="26"/>
      <c r="L397" s="55"/>
      <c r="M397" s="55"/>
      <c r="N397" s="55"/>
      <c r="O397" s="55"/>
      <c r="P397" s="55"/>
      <c r="Q397" s="55"/>
      <c r="R397" s="55"/>
      <c r="S397" s="55"/>
      <c r="T397" s="55"/>
      <c r="U397" s="55"/>
      <c r="V397" s="55"/>
      <c r="W397" s="55"/>
      <c r="X397" s="55"/>
      <c r="Y397" s="55"/>
      <c r="Z397" s="55"/>
      <c r="AA397" s="55"/>
      <c r="AB397" s="55"/>
      <c r="AC397" s="55"/>
      <c r="AD397" s="55"/>
      <c r="AE397" s="55"/>
      <c r="AF397" s="55"/>
      <c r="AG397" s="55"/>
      <c r="AH397" s="55"/>
      <c r="AI397" s="55"/>
      <c r="AJ397" s="55"/>
      <c r="AK397" s="55"/>
      <c r="AL397" s="55"/>
      <c r="AM397" s="55"/>
      <c r="AN397" s="55"/>
      <c r="AO397" s="55"/>
      <c r="AP397" s="55"/>
      <c r="AQ397" s="55"/>
      <c r="AR397" s="55"/>
      <c r="AS397" s="55"/>
      <c r="AT397" s="55"/>
      <c r="AU397" s="55"/>
      <c r="AV397" s="55"/>
      <c r="AW397" s="55"/>
      <c r="AX397" s="55"/>
      <c r="AY397" s="55"/>
      <c r="AZ397" s="55"/>
      <c r="BA397" s="55"/>
      <c r="BB397" s="55"/>
      <c r="BC397" s="55"/>
      <c r="BD397" s="55"/>
      <c r="BE397" s="55"/>
      <c r="BF397" s="55"/>
      <c r="BG397" s="55"/>
      <c r="BH397" s="55"/>
      <c r="BI397" s="55"/>
      <c r="BJ397" s="55"/>
      <c r="BK397" s="55"/>
      <c r="BL397" s="55"/>
      <c r="BM397" s="55"/>
      <c r="BN397" s="55"/>
      <c r="BO397" s="55"/>
      <c r="BP397" s="55"/>
      <c r="BQ397" s="55"/>
      <c r="BR397" s="55"/>
      <c r="BS397" s="55"/>
    </row>
    <row r="398" spans="1:93" outlineLevel="1" x14ac:dyDescent="0.2">
      <c r="D398" t="str">
        <f>HM_ZB_Nsoko!D411</f>
        <v>Cycle complet</v>
      </c>
      <c r="G398" s="29">
        <f>YEAR(effective_date_KLL2020)</f>
        <v>2020</v>
      </c>
      <c r="J398" s="26"/>
      <c r="L398" s="49">
        <f t="shared" ref="L398:AQ398" si="117">MAX(L4-$G398+1-0.5,0)</f>
        <v>0</v>
      </c>
      <c r="M398" s="49">
        <f t="shared" si="117"/>
        <v>0</v>
      </c>
      <c r="N398" s="49">
        <f t="shared" si="117"/>
        <v>0</v>
      </c>
      <c r="O398" s="49">
        <f t="shared" si="117"/>
        <v>0</v>
      </c>
      <c r="P398" s="49">
        <f t="shared" si="117"/>
        <v>0</v>
      </c>
      <c r="Q398" s="49">
        <f t="shared" si="117"/>
        <v>0</v>
      </c>
      <c r="R398" s="49">
        <f t="shared" si="117"/>
        <v>0</v>
      </c>
      <c r="S398" s="49">
        <f t="shared" si="117"/>
        <v>0.5</v>
      </c>
      <c r="T398" s="49">
        <f t="shared" si="117"/>
        <v>1.5</v>
      </c>
      <c r="U398" s="49">
        <f t="shared" si="117"/>
        <v>2.5</v>
      </c>
      <c r="V398" s="49">
        <f t="shared" si="117"/>
        <v>3.5</v>
      </c>
      <c r="W398" s="49">
        <f t="shared" si="117"/>
        <v>4.5</v>
      </c>
      <c r="X398" s="49">
        <f t="shared" si="117"/>
        <v>5.5</v>
      </c>
      <c r="Y398" s="49">
        <f t="shared" si="117"/>
        <v>6.5</v>
      </c>
      <c r="Z398" s="49">
        <f t="shared" si="117"/>
        <v>7.5</v>
      </c>
      <c r="AA398" s="49">
        <f t="shared" si="117"/>
        <v>8.5</v>
      </c>
      <c r="AB398" s="49">
        <f t="shared" si="117"/>
        <v>9.5</v>
      </c>
      <c r="AC398" s="49">
        <f t="shared" si="117"/>
        <v>10.5</v>
      </c>
      <c r="AD398" s="49">
        <f t="shared" si="117"/>
        <v>11.5</v>
      </c>
      <c r="AE398" s="49">
        <f t="shared" si="117"/>
        <v>12.5</v>
      </c>
      <c r="AF398" s="49">
        <f t="shared" si="117"/>
        <v>13.5</v>
      </c>
      <c r="AG398" s="49">
        <f t="shared" si="117"/>
        <v>14.5</v>
      </c>
      <c r="AH398" s="49">
        <f t="shared" si="117"/>
        <v>15.5</v>
      </c>
      <c r="AI398" s="49">
        <f t="shared" si="117"/>
        <v>16.5</v>
      </c>
      <c r="AJ398" s="49">
        <f t="shared" si="117"/>
        <v>17.5</v>
      </c>
      <c r="AK398" s="49">
        <f t="shared" si="117"/>
        <v>18.5</v>
      </c>
      <c r="AL398" s="49">
        <f t="shared" si="117"/>
        <v>19.5</v>
      </c>
      <c r="AM398" s="49">
        <f t="shared" si="117"/>
        <v>20.5</v>
      </c>
      <c r="AN398" s="49">
        <f t="shared" si="117"/>
        <v>21.5</v>
      </c>
      <c r="AO398" s="49">
        <f t="shared" si="117"/>
        <v>22.5</v>
      </c>
      <c r="AP398" s="49">
        <f t="shared" si="117"/>
        <v>23.5</v>
      </c>
      <c r="AQ398" s="49">
        <f t="shared" si="117"/>
        <v>24.5</v>
      </c>
      <c r="AR398" s="49">
        <f t="shared" ref="AR398:BS398" si="118">MAX(AR4-$G398+1-0.5,0)</f>
        <v>25.5</v>
      </c>
      <c r="AS398" s="49">
        <f t="shared" si="118"/>
        <v>26.5</v>
      </c>
      <c r="AT398" s="49">
        <f t="shared" si="118"/>
        <v>27.5</v>
      </c>
      <c r="AU398" s="49">
        <f t="shared" si="118"/>
        <v>28.5</v>
      </c>
      <c r="AV398" s="49">
        <f t="shared" si="118"/>
        <v>29.5</v>
      </c>
      <c r="AW398" s="49">
        <f t="shared" si="118"/>
        <v>30.5</v>
      </c>
      <c r="AX398" s="49">
        <f t="shared" si="118"/>
        <v>31.5</v>
      </c>
      <c r="AY398" s="49">
        <f t="shared" si="118"/>
        <v>32.5</v>
      </c>
      <c r="AZ398" s="49">
        <f t="shared" si="118"/>
        <v>33.5</v>
      </c>
      <c r="BA398" s="49">
        <f t="shared" si="118"/>
        <v>34.5</v>
      </c>
      <c r="BB398" s="49">
        <f t="shared" si="118"/>
        <v>35.5</v>
      </c>
      <c r="BC398" s="49">
        <f t="shared" si="118"/>
        <v>36.5</v>
      </c>
      <c r="BD398" s="49">
        <f t="shared" si="118"/>
        <v>37.5</v>
      </c>
      <c r="BE398" s="49">
        <f t="shared" si="118"/>
        <v>38.5</v>
      </c>
      <c r="BF398" s="49">
        <f t="shared" si="118"/>
        <v>39.5</v>
      </c>
      <c r="BG398" s="49">
        <f t="shared" si="118"/>
        <v>40.5</v>
      </c>
      <c r="BH398" s="49">
        <f t="shared" si="118"/>
        <v>41.5</v>
      </c>
      <c r="BI398" s="49">
        <f t="shared" si="118"/>
        <v>42.5</v>
      </c>
      <c r="BJ398" s="49">
        <f t="shared" si="118"/>
        <v>43.5</v>
      </c>
      <c r="BK398" s="49">
        <f t="shared" si="118"/>
        <v>44.5</v>
      </c>
      <c r="BL398" s="49">
        <f t="shared" si="118"/>
        <v>45.5</v>
      </c>
      <c r="BM398" s="49">
        <f t="shared" si="118"/>
        <v>46.5</v>
      </c>
      <c r="BN398" s="49">
        <f t="shared" si="118"/>
        <v>47.5</v>
      </c>
      <c r="BO398" s="49">
        <f t="shared" si="118"/>
        <v>48.5</v>
      </c>
      <c r="BP398" s="49">
        <f t="shared" si="118"/>
        <v>49.5</v>
      </c>
      <c r="BQ398" s="49">
        <f t="shared" si="118"/>
        <v>50.5</v>
      </c>
      <c r="BR398" s="49">
        <f t="shared" si="118"/>
        <v>51.5</v>
      </c>
      <c r="BS398" s="49">
        <f t="shared" si="118"/>
        <v>52.5</v>
      </c>
    </row>
    <row r="399" spans="1:93" outlineLevel="1" x14ac:dyDescent="0.2">
      <c r="D399" t="str">
        <f>HM_ZB_Nsoko!D412</f>
        <v>Terme</v>
      </c>
      <c r="G399" s="29">
        <f>Current_year</f>
        <v>2021</v>
      </c>
      <c r="J399" s="26"/>
      <c r="L399" s="49">
        <f t="shared" ref="L399:AQ399" si="119">MAX(L4-$G399+1-0.5,0)</f>
        <v>0</v>
      </c>
      <c r="M399" s="49">
        <f t="shared" si="119"/>
        <v>0</v>
      </c>
      <c r="N399" s="49">
        <f t="shared" si="119"/>
        <v>0</v>
      </c>
      <c r="O399" s="49">
        <f t="shared" si="119"/>
        <v>0</v>
      </c>
      <c r="P399" s="49">
        <f t="shared" si="119"/>
        <v>0</v>
      </c>
      <c r="Q399" s="49">
        <f t="shared" si="119"/>
        <v>0</v>
      </c>
      <c r="R399" s="49">
        <f t="shared" si="119"/>
        <v>0</v>
      </c>
      <c r="S399" s="49">
        <f t="shared" si="119"/>
        <v>0</v>
      </c>
      <c r="T399" s="49">
        <f t="shared" si="119"/>
        <v>0.5</v>
      </c>
      <c r="U399" s="49">
        <f t="shared" si="119"/>
        <v>1.5</v>
      </c>
      <c r="V399" s="49">
        <f t="shared" si="119"/>
        <v>2.5</v>
      </c>
      <c r="W399" s="49">
        <f t="shared" si="119"/>
        <v>3.5</v>
      </c>
      <c r="X399" s="49">
        <f t="shared" si="119"/>
        <v>4.5</v>
      </c>
      <c r="Y399" s="49">
        <f t="shared" si="119"/>
        <v>5.5</v>
      </c>
      <c r="Z399" s="49">
        <f t="shared" si="119"/>
        <v>6.5</v>
      </c>
      <c r="AA399" s="49">
        <f t="shared" si="119"/>
        <v>7.5</v>
      </c>
      <c r="AB399" s="49">
        <f t="shared" si="119"/>
        <v>8.5</v>
      </c>
      <c r="AC399" s="49">
        <f t="shared" si="119"/>
        <v>9.5</v>
      </c>
      <c r="AD399" s="49">
        <f t="shared" si="119"/>
        <v>10.5</v>
      </c>
      <c r="AE399" s="49">
        <f t="shared" si="119"/>
        <v>11.5</v>
      </c>
      <c r="AF399" s="49">
        <f t="shared" si="119"/>
        <v>12.5</v>
      </c>
      <c r="AG399" s="49">
        <f t="shared" si="119"/>
        <v>13.5</v>
      </c>
      <c r="AH399" s="49">
        <f t="shared" si="119"/>
        <v>14.5</v>
      </c>
      <c r="AI399" s="49">
        <f t="shared" si="119"/>
        <v>15.5</v>
      </c>
      <c r="AJ399" s="49">
        <f t="shared" si="119"/>
        <v>16.5</v>
      </c>
      <c r="AK399" s="49">
        <f t="shared" si="119"/>
        <v>17.5</v>
      </c>
      <c r="AL399" s="49">
        <f t="shared" si="119"/>
        <v>18.5</v>
      </c>
      <c r="AM399" s="49">
        <f t="shared" si="119"/>
        <v>19.5</v>
      </c>
      <c r="AN399" s="49">
        <f t="shared" si="119"/>
        <v>20.5</v>
      </c>
      <c r="AO399" s="49">
        <f t="shared" si="119"/>
        <v>21.5</v>
      </c>
      <c r="AP399" s="49">
        <f t="shared" si="119"/>
        <v>22.5</v>
      </c>
      <c r="AQ399" s="49">
        <f t="shared" si="119"/>
        <v>23.5</v>
      </c>
      <c r="AR399" s="49">
        <f t="shared" ref="AR399:BS399" si="120">MAX(AR4-$G399+1-0.5,0)</f>
        <v>24.5</v>
      </c>
      <c r="AS399" s="49">
        <f t="shared" si="120"/>
        <v>25.5</v>
      </c>
      <c r="AT399" s="49">
        <f t="shared" si="120"/>
        <v>26.5</v>
      </c>
      <c r="AU399" s="49">
        <f t="shared" si="120"/>
        <v>27.5</v>
      </c>
      <c r="AV399" s="49">
        <f t="shared" si="120"/>
        <v>28.5</v>
      </c>
      <c r="AW399" s="49">
        <f t="shared" si="120"/>
        <v>29.5</v>
      </c>
      <c r="AX399" s="49">
        <f t="shared" si="120"/>
        <v>30.5</v>
      </c>
      <c r="AY399" s="49">
        <f t="shared" si="120"/>
        <v>31.5</v>
      </c>
      <c r="AZ399" s="49">
        <f t="shared" si="120"/>
        <v>32.5</v>
      </c>
      <c r="BA399" s="49">
        <f t="shared" si="120"/>
        <v>33.5</v>
      </c>
      <c r="BB399" s="49">
        <f t="shared" si="120"/>
        <v>34.5</v>
      </c>
      <c r="BC399" s="49">
        <f t="shared" si="120"/>
        <v>35.5</v>
      </c>
      <c r="BD399" s="49">
        <f t="shared" si="120"/>
        <v>36.5</v>
      </c>
      <c r="BE399" s="49">
        <f t="shared" si="120"/>
        <v>37.5</v>
      </c>
      <c r="BF399" s="49">
        <f t="shared" si="120"/>
        <v>38.5</v>
      </c>
      <c r="BG399" s="49">
        <f t="shared" si="120"/>
        <v>39.5</v>
      </c>
      <c r="BH399" s="49">
        <f t="shared" si="120"/>
        <v>40.5</v>
      </c>
      <c r="BI399" s="49">
        <f t="shared" si="120"/>
        <v>41.5</v>
      </c>
      <c r="BJ399" s="49">
        <f t="shared" si="120"/>
        <v>42.5</v>
      </c>
      <c r="BK399" s="49">
        <f t="shared" si="120"/>
        <v>43.5</v>
      </c>
      <c r="BL399" s="49">
        <f t="shared" si="120"/>
        <v>44.5</v>
      </c>
      <c r="BM399" s="49">
        <f t="shared" si="120"/>
        <v>45.5</v>
      </c>
      <c r="BN399" s="49">
        <f t="shared" si="120"/>
        <v>46.5</v>
      </c>
      <c r="BO399" s="49">
        <f t="shared" si="120"/>
        <v>47.5</v>
      </c>
      <c r="BP399" s="49">
        <f t="shared" si="120"/>
        <v>48.5</v>
      </c>
      <c r="BQ399" s="49">
        <f t="shared" si="120"/>
        <v>49.5</v>
      </c>
      <c r="BR399" s="49">
        <f t="shared" si="120"/>
        <v>50.5</v>
      </c>
      <c r="BS399" s="49">
        <f t="shared" si="120"/>
        <v>51.5</v>
      </c>
    </row>
    <row r="400" spans="1:93" outlineLevel="1" x14ac:dyDescent="0.2">
      <c r="C400" t="str">
        <f>HM_ZB_Nsoko!C413</f>
        <v>Facteur d'actualisation</v>
      </c>
      <c r="E400" s="59">
        <f>input_DiscRate_nom</f>
        <v>0.1</v>
      </c>
      <c r="J400" s="26"/>
      <c r="L400" s="55"/>
      <c r="M400" s="55"/>
      <c r="N400" s="55"/>
      <c r="O400" s="55"/>
      <c r="P400" s="55"/>
      <c r="Q400" s="55"/>
      <c r="R400" s="55"/>
      <c r="S400" s="55"/>
      <c r="T400" s="55"/>
      <c r="U400" s="55"/>
      <c r="V400" s="55"/>
      <c r="W400" s="55"/>
      <c r="X400" s="55"/>
      <c r="Y400" s="55"/>
      <c r="Z400" s="55"/>
      <c r="AA400" s="55"/>
      <c r="AB400" s="55"/>
      <c r="AC400" s="55"/>
      <c r="AD400" s="55"/>
      <c r="AE400" s="55"/>
      <c r="AF400" s="55"/>
      <c r="AG400" s="55"/>
      <c r="AH400" s="55"/>
      <c r="AI400" s="55"/>
      <c r="AJ400" s="55"/>
      <c r="AK400" s="55"/>
      <c r="AL400" s="55"/>
      <c r="AM400" s="55"/>
      <c r="AN400" s="55"/>
      <c r="AO400" s="55"/>
      <c r="AP400" s="55"/>
      <c r="AQ400" s="55"/>
      <c r="AR400" s="55"/>
      <c r="AS400" s="55"/>
      <c r="AT400" s="55"/>
      <c r="AU400" s="55"/>
      <c r="AV400" s="55"/>
      <c r="AW400" s="55"/>
      <c r="AX400" s="55"/>
      <c r="AY400" s="55"/>
      <c r="AZ400" s="55"/>
      <c r="BA400" s="55"/>
      <c r="BB400" s="55"/>
      <c r="BC400" s="55"/>
      <c r="BD400" s="55"/>
      <c r="BE400" s="55"/>
      <c r="BF400" s="55"/>
      <c r="BG400" s="55"/>
      <c r="BH400" s="55"/>
      <c r="BI400" s="55"/>
      <c r="BJ400" s="55"/>
      <c r="BK400" s="55"/>
      <c r="BL400" s="55"/>
      <c r="BM400" s="55"/>
      <c r="BN400" s="55"/>
      <c r="BO400" s="55"/>
      <c r="BP400" s="55"/>
      <c r="BQ400" s="55"/>
      <c r="BR400" s="55"/>
      <c r="BS400" s="55"/>
    </row>
    <row r="401" spans="1:71" outlineLevel="1" x14ac:dyDescent="0.2">
      <c r="D401" t="str">
        <f>HM_ZB_Nsoko!D414</f>
        <v>Cycle complet</v>
      </c>
      <c r="J401" s="26"/>
      <c r="K401" s="7" t="s">
        <v>282</v>
      </c>
      <c r="L401" s="49">
        <f t="shared" ref="L401:BS402" si="121">IF(L398=0,0,(1+input_DiscRate_nom)^-L398)</f>
        <v>0</v>
      </c>
      <c r="M401" s="49">
        <f t="shared" si="121"/>
        <v>0</v>
      </c>
      <c r="N401" s="49">
        <f t="shared" si="121"/>
        <v>0</v>
      </c>
      <c r="O401" s="49">
        <f t="shared" si="121"/>
        <v>0</v>
      </c>
      <c r="P401" s="49">
        <f t="shared" si="121"/>
        <v>0</v>
      </c>
      <c r="Q401" s="49">
        <f t="shared" si="121"/>
        <v>0</v>
      </c>
      <c r="R401" s="49">
        <f t="shared" si="121"/>
        <v>0</v>
      </c>
      <c r="S401" s="49">
        <f t="shared" si="121"/>
        <v>0.95346258924559224</v>
      </c>
      <c r="T401" s="49">
        <f t="shared" si="121"/>
        <v>0.86678417204144742</v>
      </c>
      <c r="U401" s="49">
        <f t="shared" si="121"/>
        <v>0.78798561094677033</v>
      </c>
      <c r="V401" s="49">
        <f t="shared" si="121"/>
        <v>0.71635055540615489</v>
      </c>
      <c r="W401" s="49">
        <f t="shared" si="121"/>
        <v>0.65122777764195883</v>
      </c>
      <c r="X401" s="49">
        <f t="shared" si="121"/>
        <v>0.59202525240178083</v>
      </c>
      <c r="Y401" s="49">
        <f t="shared" si="121"/>
        <v>0.53820477491070973</v>
      </c>
      <c r="Z401" s="49">
        <f t="shared" si="121"/>
        <v>0.48927706810064514</v>
      </c>
      <c r="AA401" s="49">
        <f t="shared" si="121"/>
        <v>0.44479733463695009</v>
      </c>
      <c r="AB401" s="49">
        <f t="shared" si="121"/>
        <v>0.4043612133063183</v>
      </c>
      <c r="AC401" s="49">
        <f t="shared" si="121"/>
        <v>0.36760110300574383</v>
      </c>
      <c r="AD401" s="49">
        <f t="shared" si="121"/>
        <v>0.33418282091431251</v>
      </c>
      <c r="AE401" s="49">
        <f t="shared" si="121"/>
        <v>0.30380256446755688</v>
      </c>
      <c r="AF401" s="49">
        <f t="shared" si="121"/>
        <v>0.27618414951596076</v>
      </c>
      <c r="AG401" s="49">
        <f t="shared" si="121"/>
        <v>0.25107649955996431</v>
      </c>
      <c r="AH401" s="49">
        <f t="shared" si="121"/>
        <v>0.22825136323633116</v>
      </c>
      <c r="AI401" s="49">
        <f t="shared" si="121"/>
        <v>0.20750123930575562</v>
      </c>
      <c r="AJ401" s="49">
        <f t="shared" si="121"/>
        <v>0.18863749027795962</v>
      </c>
      <c r="AK401" s="49">
        <f t="shared" si="121"/>
        <v>0.17148862752541782</v>
      </c>
      <c r="AL401" s="49">
        <f t="shared" si="121"/>
        <v>0.15589875229583436</v>
      </c>
      <c r="AM401" s="49">
        <f t="shared" si="121"/>
        <v>0.14172613845075852</v>
      </c>
      <c r="AN401" s="49">
        <f t="shared" si="121"/>
        <v>0.1288419440461441</v>
      </c>
      <c r="AO401" s="49">
        <f t="shared" si="121"/>
        <v>0.11712904004194918</v>
      </c>
      <c r="AP401" s="49">
        <f t="shared" si="121"/>
        <v>0.10648094549268106</v>
      </c>
      <c r="AQ401" s="49">
        <f t="shared" si="121"/>
        <v>9.6800859538800965E-2</v>
      </c>
      <c r="AR401" s="49">
        <f t="shared" si="121"/>
        <v>8.8000781398909919E-2</v>
      </c>
      <c r="AS401" s="49">
        <f t="shared" si="121"/>
        <v>8.0000710362645402E-2</v>
      </c>
      <c r="AT401" s="49">
        <f t="shared" si="121"/>
        <v>7.272791851149582E-2</v>
      </c>
      <c r="AU401" s="49">
        <f t="shared" si="121"/>
        <v>6.6116289555905275E-2</v>
      </c>
      <c r="AV401" s="49">
        <f t="shared" si="121"/>
        <v>6.0105717778095702E-2</v>
      </c>
      <c r="AW401" s="49">
        <f t="shared" si="121"/>
        <v>5.4641561616450646E-2</v>
      </c>
      <c r="AX401" s="49">
        <f t="shared" si="121"/>
        <v>4.967414692404603E-2</v>
      </c>
      <c r="AY401" s="49">
        <f t="shared" si="121"/>
        <v>4.5158315385496389E-2</v>
      </c>
      <c r="AZ401" s="49">
        <f t="shared" si="121"/>
        <v>4.1053013986814886E-2</v>
      </c>
      <c r="BA401" s="49">
        <f t="shared" si="121"/>
        <v>3.7320921806195353E-2</v>
      </c>
      <c r="BB401" s="49">
        <f t="shared" si="121"/>
        <v>3.3928110732904866E-2</v>
      </c>
      <c r="BC401" s="49">
        <f t="shared" si="121"/>
        <v>3.0843737029913505E-2</v>
      </c>
      <c r="BD401" s="49">
        <f t="shared" si="121"/>
        <v>2.8039760936285012E-2</v>
      </c>
      <c r="BE401" s="49">
        <f t="shared" si="121"/>
        <v>2.5490691760259102E-2</v>
      </c>
      <c r="BF401" s="49">
        <f t="shared" si="121"/>
        <v>2.3173356145690084E-2</v>
      </c>
      <c r="BG401" s="49">
        <f t="shared" si="121"/>
        <v>2.1066687405172806E-2</v>
      </c>
      <c r="BH401" s="49">
        <f t="shared" si="121"/>
        <v>1.9151534004702545E-2</v>
      </c>
      <c r="BI401" s="49">
        <f t="shared" si="121"/>
        <v>1.7410485458820502E-2</v>
      </c>
      <c r="BJ401" s="49">
        <f t="shared" si="121"/>
        <v>1.5827714053473173E-2</v>
      </c>
      <c r="BK401" s="49">
        <f t="shared" si="121"/>
        <v>1.4388830957702884E-2</v>
      </c>
      <c r="BL401" s="49">
        <f t="shared" si="121"/>
        <v>1.3080755416093532E-2</v>
      </c>
      <c r="BM401" s="49">
        <f t="shared" si="121"/>
        <v>1.1891595832812305E-2</v>
      </c>
      <c r="BN401" s="49">
        <f t="shared" si="121"/>
        <v>1.0810541666193005E-2</v>
      </c>
      <c r="BO401" s="49">
        <f t="shared" si="121"/>
        <v>9.8277651510845412E-3</v>
      </c>
      <c r="BP401" s="49">
        <f t="shared" si="121"/>
        <v>8.9343319555314025E-3</v>
      </c>
      <c r="BQ401" s="49">
        <f t="shared" si="121"/>
        <v>8.1221199595740041E-3</v>
      </c>
      <c r="BR401" s="49">
        <f t="shared" si="121"/>
        <v>7.3837454177945487E-3</v>
      </c>
      <c r="BS401" s="49">
        <f t="shared" si="121"/>
        <v>6.7124958343586817E-3</v>
      </c>
    </row>
    <row r="402" spans="1:71" outlineLevel="1" x14ac:dyDescent="0.2">
      <c r="D402" t="str">
        <f>HM_ZB_Nsoko!D415</f>
        <v>Terme</v>
      </c>
      <c r="J402" s="26"/>
      <c r="K402" s="7" t="s">
        <v>281</v>
      </c>
      <c r="L402" s="49">
        <f t="shared" si="121"/>
        <v>0</v>
      </c>
      <c r="M402" s="49">
        <f t="shared" si="121"/>
        <v>0</v>
      </c>
      <c r="N402" s="49">
        <f t="shared" si="121"/>
        <v>0</v>
      </c>
      <c r="O402" s="49">
        <f t="shared" si="121"/>
        <v>0</v>
      </c>
      <c r="P402" s="49">
        <f t="shared" si="121"/>
        <v>0</v>
      </c>
      <c r="Q402" s="49">
        <f t="shared" si="121"/>
        <v>0</v>
      </c>
      <c r="R402" s="49">
        <f t="shared" si="121"/>
        <v>0</v>
      </c>
      <c r="S402" s="49">
        <f t="shared" si="121"/>
        <v>0</v>
      </c>
      <c r="T402" s="49">
        <f t="shared" si="121"/>
        <v>0.95346258924559224</v>
      </c>
      <c r="U402" s="49">
        <f t="shared" si="121"/>
        <v>0.86678417204144742</v>
      </c>
      <c r="V402" s="49">
        <f t="shared" si="121"/>
        <v>0.78798561094677033</v>
      </c>
      <c r="W402" s="49">
        <f t="shared" si="121"/>
        <v>0.71635055540615489</v>
      </c>
      <c r="X402" s="49">
        <f t="shared" si="121"/>
        <v>0.65122777764195883</v>
      </c>
      <c r="Y402" s="49">
        <f t="shared" si="121"/>
        <v>0.59202525240178083</v>
      </c>
      <c r="Z402" s="49">
        <f t="shared" si="121"/>
        <v>0.53820477491070973</v>
      </c>
      <c r="AA402" s="49">
        <f t="shared" si="121"/>
        <v>0.48927706810064514</v>
      </c>
      <c r="AB402" s="49">
        <f t="shared" si="121"/>
        <v>0.44479733463695009</v>
      </c>
      <c r="AC402" s="49">
        <f t="shared" si="121"/>
        <v>0.4043612133063183</v>
      </c>
      <c r="AD402" s="49">
        <f t="shared" si="121"/>
        <v>0.36760110300574383</v>
      </c>
      <c r="AE402" s="49">
        <f t="shared" si="121"/>
        <v>0.33418282091431251</v>
      </c>
      <c r="AF402" s="49">
        <f t="shared" si="121"/>
        <v>0.30380256446755688</v>
      </c>
      <c r="AG402" s="49">
        <f t="shared" si="121"/>
        <v>0.27618414951596076</v>
      </c>
      <c r="AH402" s="49">
        <f t="shared" si="121"/>
        <v>0.25107649955996431</v>
      </c>
      <c r="AI402" s="49">
        <f t="shared" si="121"/>
        <v>0.22825136323633116</v>
      </c>
      <c r="AJ402" s="49">
        <f t="shared" si="121"/>
        <v>0.20750123930575562</v>
      </c>
      <c r="AK402" s="49">
        <f t="shared" si="121"/>
        <v>0.18863749027795962</v>
      </c>
      <c r="AL402" s="49">
        <f t="shared" si="121"/>
        <v>0.17148862752541782</v>
      </c>
      <c r="AM402" s="49">
        <f t="shared" si="121"/>
        <v>0.15589875229583436</v>
      </c>
      <c r="AN402" s="49">
        <f t="shared" si="121"/>
        <v>0.14172613845075852</v>
      </c>
      <c r="AO402" s="49">
        <f t="shared" si="121"/>
        <v>0.1288419440461441</v>
      </c>
      <c r="AP402" s="49">
        <f t="shared" si="121"/>
        <v>0.11712904004194918</v>
      </c>
      <c r="AQ402" s="49">
        <f t="shared" si="121"/>
        <v>0.10648094549268106</v>
      </c>
      <c r="AR402" s="49">
        <f t="shared" si="121"/>
        <v>9.6800859538800965E-2</v>
      </c>
      <c r="AS402" s="49">
        <f t="shared" si="121"/>
        <v>8.8000781398909919E-2</v>
      </c>
      <c r="AT402" s="49">
        <f t="shared" si="121"/>
        <v>8.0000710362645402E-2</v>
      </c>
      <c r="AU402" s="49">
        <f t="shared" si="121"/>
        <v>7.272791851149582E-2</v>
      </c>
      <c r="AV402" s="49">
        <f t="shared" si="121"/>
        <v>6.6116289555905275E-2</v>
      </c>
      <c r="AW402" s="49">
        <f t="shared" si="121"/>
        <v>6.0105717778095702E-2</v>
      </c>
      <c r="AX402" s="49">
        <f t="shared" si="121"/>
        <v>5.4641561616450646E-2</v>
      </c>
      <c r="AY402" s="49">
        <f t="shared" si="121"/>
        <v>4.967414692404603E-2</v>
      </c>
      <c r="AZ402" s="49">
        <f t="shared" si="121"/>
        <v>4.5158315385496389E-2</v>
      </c>
      <c r="BA402" s="49">
        <f t="shared" si="121"/>
        <v>4.1053013986814886E-2</v>
      </c>
      <c r="BB402" s="49">
        <f t="shared" si="121"/>
        <v>3.7320921806195353E-2</v>
      </c>
      <c r="BC402" s="49">
        <f t="shared" si="121"/>
        <v>3.3928110732904866E-2</v>
      </c>
      <c r="BD402" s="49">
        <f t="shared" si="121"/>
        <v>3.0843737029913505E-2</v>
      </c>
      <c r="BE402" s="49">
        <f t="shared" si="121"/>
        <v>2.8039760936285012E-2</v>
      </c>
      <c r="BF402" s="49">
        <f t="shared" si="121"/>
        <v>2.5490691760259102E-2</v>
      </c>
      <c r="BG402" s="49">
        <f t="shared" si="121"/>
        <v>2.3173356145690084E-2</v>
      </c>
      <c r="BH402" s="49">
        <f t="shared" si="121"/>
        <v>2.1066687405172806E-2</v>
      </c>
      <c r="BI402" s="49">
        <f t="shared" si="121"/>
        <v>1.9151534004702545E-2</v>
      </c>
      <c r="BJ402" s="49">
        <f t="shared" si="121"/>
        <v>1.7410485458820502E-2</v>
      </c>
      <c r="BK402" s="49">
        <f t="shared" si="121"/>
        <v>1.5827714053473173E-2</v>
      </c>
      <c r="BL402" s="49">
        <f t="shared" si="121"/>
        <v>1.4388830957702884E-2</v>
      </c>
      <c r="BM402" s="49">
        <f t="shared" si="121"/>
        <v>1.3080755416093532E-2</v>
      </c>
      <c r="BN402" s="49">
        <f t="shared" si="121"/>
        <v>1.1891595832812305E-2</v>
      </c>
      <c r="BO402" s="49">
        <f t="shared" si="121"/>
        <v>1.0810541666193005E-2</v>
      </c>
      <c r="BP402" s="49">
        <f t="shared" si="121"/>
        <v>9.8277651510845412E-3</v>
      </c>
      <c r="BQ402" s="49">
        <f t="shared" si="121"/>
        <v>8.9343319555314025E-3</v>
      </c>
      <c r="BR402" s="49">
        <f t="shared" si="121"/>
        <v>8.1221199595740041E-3</v>
      </c>
      <c r="BS402" s="49">
        <f t="shared" si="121"/>
        <v>7.3837454177945487E-3</v>
      </c>
    </row>
    <row r="403" spans="1:71" outlineLevel="1" x14ac:dyDescent="0.2">
      <c r="J403" s="26"/>
      <c r="L403" s="55"/>
      <c r="M403" s="55"/>
      <c r="N403" s="55"/>
      <c r="O403" s="55"/>
      <c r="P403" s="55"/>
      <c r="Q403" s="55"/>
      <c r="R403" s="55"/>
      <c r="S403" s="55"/>
      <c r="T403" s="55"/>
      <c r="U403" s="55"/>
      <c r="V403" s="55"/>
      <c r="W403" s="55"/>
      <c r="X403" s="55"/>
      <c r="Y403" s="55"/>
      <c r="Z403" s="55"/>
      <c r="AA403" s="55"/>
      <c r="AB403" s="55"/>
      <c r="AC403" s="55"/>
      <c r="AD403" s="55"/>
      <c r="AE403" s="55"/>
      <c r="AF403" s="55"/>
      <c r="AG403" s="55"/>
      <c r="AH403" s="55"/>
      <c r="AI403" s="55"/>
      <c r="AJ403" s="55"/>
      <c r="AK403" s="55"/>
      <c r="AL403" s="55"/>
      <c r="AM403" s="55"/>
      <c r="AN403" s="55"/>
      <c r="AO403" s="55"/>
      <c r="AP403" s="55"/>
      <c r="AQ403" s="55"/>
      <c r="AR403" s="55"/>
      <c r="AS403" s="55"/>
      <c r="AT403" s="55"/>
      <c r="AU403" s="55"/>
      <c r="AV403" s="55"/>
      <c r="AW403" s="55"/>
      <c r="AX403" s="55"/>
      <c r="AY403" s="55"/>
      <c r="AZ403" s="55"/>
      <c r="BA403" s="55"/>
      <c r="BB403" s="55"/>
      <c r="BC403" s="55"/>
      <c r="BD403" s="55"/>
      <c r="BE403" s="55"/>
      <c r="BF403" s="55"/>
      <c r="BG403" s="55"/>
      <c r="BH403" s="55"/>
      <c r="BI403" s="55"/>
      <c r="BJ403" s="55"/>
      <c r="BK403" s="55"/>
      <c r="BL403" s="55"/>
      <c r="BM403" s="55"/>
      <c r="BN403" s="55"/>
      <c r="BO403" s="55"/>
      <c r="BP403" s="55"/>
      <c r="BQ403" s="55"/>
      <c r="BR403" s="55"/>
      <c r="BS403" s="55"/>
    </row>
    <row r="404" spans="1:71" outlineLevel="1" x14ac:dyDescent="0.2">
      <c r="J404" s="26"/>
      <c r="L404" s="55"/>
      <c r="M404" s="55"/>
      <c r="N404" s="55"/>
      <c r="O404" s="55"/>
      <c r="P404" s="55"/>
      <c r="Q404" s="55"/>
      <c r="R404" s="55"/>
      <c r="S404" s="55"/>
      <c r="T404" s="55"/>
      <c r="U404" s="55"/>
      <c r="V404" s="55"/>
      <c r="W404" s="55"/>
      <c r="X404" s="55"/>
      <c r="Y404" s="55"/>
      <c r="Z404" s="55"/>
      <c r="AA404" s="55"/>
      <c r="AB404" s="55"/>
      <c r="AC404" s="55"/>
      <c r="AD404" s="55"/>
      <c r="AE404" s="55"/>
      <c r="AF404" s="55"/>
      <c r="AG404" s="55"/>
      <c r="AH404" s="55"/>
      <c r="AI404" s="55"/>
      <c r="AJ404" s="55"/>
      <c r="AK404" s="55"/>
      <c r="AL404" s="55"/>
      <c r="AM404" s="55"/>
      <c r="AN404" s="55"/>
      <c r="AO404" s="55"/>
      <c r="AP404" s="55"/>
      <c r="AQ404" s="55"/>
      <c r="AR404" s="55"/>
      <c r="AS404" s="55"/>
      <c r="AT404" s="55"/>
      <c r="AU404" s="55"/>
      <c r="AV404" s="55"/>
      <c r="AW404" s="55"/>
      <c r="AX404" s="55"/>
      <c r="AY404" s="55"/>
      <c r="AZ404" s="55"/>
      <c r="BA404" s="55"/>
      <c r="BB404" s="55"/>
      <c r="BC404" s="55"/>
      <c r="BD404" s="55"/>
      <c r="BE404" s="55"/>
      <c r="BF404" s="55"/>
      <c r="BG404" s="55"/>
      <c r="BH404" s="55"/>
      <c r="BI404" s="55"/>
      <c r="BJ404" s="55"/>
      <c r="BK404" s="55"/>
      <c r="BL404" s="55"/>
      <c r="BM404" s="55"/>
      <c r="BN404" s="55"/>
      <c r="BO404" s="55"/>
      <c r="BP404" s="55"/>
      <c r="BQ404" s="55"/>
      <c r="BR404" s="55"/>
      <c r="BS404" s="55"/>
    </row>
    <row r="405" spans="1:71" outlineLevel="1" x14ac:dyDescent="0.2">
      <c r="A405" s="45"/>
      <c r="B405" s="38" t="str">
        <f>HM_ZB_Nsoko!B418</f>
        <v>Revenu divisible</v>
      </c>
      <c r="C405" s="45"/>
      <c r="D405" s="45"/>
      <c r="E405" s="45"/>
      <c r="J405" s="26"/>
      <c r="L405" s="55"/>
      <c r="M405" s="55"/>
      <c r="N405" s="55"/>
      <c r="O405" s="55"/>
      <c r="P405" s="55"/>
      <c r="Q405" s="55"/>
      <c r="R405" s="55"/>
      <c r="S405" s="55"/>
      <c r="T405" s="55"/>
      <c r="U405" s="55"/>
      <c r="V405" s="55"/>
      <c r="W405" s="55"/>
      <c r="X405" s="55"/>
      <c r="Y405" s="55"/>
      <c r="Z405" s="55"/>
      <c r="AA405" s="55"/>
      <c r="AB405" s="55"/>
      <c r="AC405" s="55"/>
      <c r="AD405" s="55"/>
      <c r="AE405" s="55"/>
      <c r="AF405" s="55"/>
      <c r="AG405" s="55"/>
      <c r="AH405" s="55"/>
      <c r="AI405" s="55"/>
      <c r="AJ405" s="55"/>
      <c r="AK405" s="55"/>
      <c r="AL405" s="55"/>
      <c r="AM405" s="55"/>
      <c r="AN405" s="55"/>
      <c r="AO405" s="55"/>
      <c r="AP405" s="55"/>
      <c r="AQ405" s="55"/>
      <c r="AR405" s="55"/>
      <c r="AS405" s="55"/>
      <c r="AT405" s="55"/>
      <c r="AU405" s="55"/>
      <c r="AV405" s="55"/>
      <c r="AW405" s="55"/>
      <c r="AX405" s="55"/>
      <c r="AY405" s="55"/>
      <c r="AZ405" s="55"/>
      <c r="BA405" s="55"/>
      <c r="BB405" s="55"/>
      <c r="BC405" s="55"/>
      <c r="BD405" s="55"/>
      <c r="BE405" s="55"/>
      <c r="BF405" s="55"/>
      <c r="BG405" s="55"/>
      <c r="BH405" s="55"/>
      <c r="BI405" s="55"/>
      <c r="BJ405" s="55"/>
      <c r="BK405" s="55"/>
      <c r="BL405" s="55"/>
      <c r="BM405" s="55"/>
      <c r="BN405" s="55"/>
      <c r="BO405" s="55"/>
      <c r="BP405" s="55"/>
      <c r="BQ405" s="55"/>
      <c r="BR405" s="55"/>
      <c r="BS405" s="55"/>
    </row>
    <row r="406" spans="1:71" outlineLevel="1" x14ac:dyDescent="0.2">
      <c r="J406" s="26"/>
      <c r="L406" s="55"/>
      <c r="M406" s="55"/>
      <c r="N406" s="55"/>
      <c r="O406" s="55"/>
      <c r="P406" s="55"/>
      <c r="Q406" s="55"/>
      <c r="R406" s="55"/>
      <c r="S406" s="55"/>
      <c r="T406" s="55"/>
      <c r="U406" s="55"/>
      <c r="V406" s="55"/>
      <c r="W406" s="55"/>
      <c r="X406" s="55"/>
      <c r="Y406" s="55"/>
      <c r="Z406" s="55"/>
      <c r="AA406" s="55"/>
      <c r="AB406" s="55"/>
      <c r="AC406" s="55"/>
      <c r="AD406" s="55"/>
      <c r="AE406" s="55"/>
      <c r="AF406" s="55"/>
      <c r="AG406" s="55"/>
      <c r="AH406" s="55"/>
      <c r="AI406" s="55"/>
      <c r="AJ406" s="55"/>
      <c r="AK406" s="55"/>
      <c r="AL406" s="55"/>
      <c r="AM406" s="55"/>
      <c r="AN406" s="55"/>
      <c r="AO406" s="55"/>
      <c r="AP406" s="55"/>
      <c r="AQ406" s="55"/>
      <c r="AR406" s="55"/>
      <c r="AS406" s="55"/>
      <c r="AT406" s="55"/>
      <c r="AU406" s="55"/>
      <c r="AV406" s="55"/>
      <c r="AW406" s="55"/>
      <c r="AX406" s="55"/>
      <c r="AY406" s="55"/>
      <c r="AZ406" s="55"/>
      <c r="BA406" s="55"/>
      <c r="BB406" s="55"/>
      <c r="BC406" s="55"/>
      <c r="BD406" s="55"/>
      <c r="BE406" s="55"/>
      <c r="BF406" s="55"/>
      <c r="BG406" s="55"/>
      <c r="BH406" s="55"/>
      <c r="BI406" s="55"/>
      <c r="BJ406" s="55"/>
      <c r="BK406" s="55"/>
      <c r="BL406" s="55"/>
      <c r="BM406" s="55"/>
      <c r="BN406" s="55"/>
      <c r="BO406" s="55"/>
      <c r="BP406" s="55"/>
      <c r="BQ406" s="55"/>
      <c r="BR406" s="55"/>
      <c r="BS406" s="55"/>
    </row>
    <row r="407" spans="1:71" outlineLevel="1" x14ac:dyDescent="0.2">
      <c r="C407" t="str">
        <f>HM_ZB_Nsoko!C420</f>
        <v>Revenus</v>
      </c>
      <c r="J407" s="26"/>
      <c r="L407" s="55"/>
      <c r="M407" s="55"/>
      <c r="N407" s="55"/>
      <c r="O407" s="55"/>
      <c r="P407" s="55"/>
      <c r="Q407" s="55"/>
      <c r="R407" s="55"/>
      <c r="S407" s="55"/>
      <c r="T407" s="55"/>
      <c r="U407" s="55"/>
      <c r="V407" s="55"/>
      <c r="W407" s="55"/>
      <c r="X407" s="55"/>
      <c r="Y407" s="55"/>
      <c r="Z407" s="55"/>
      <c r="AA407" s="55"/>
      <c r="AB407" s="55"/>
      <c r="AC407" s="55"/>
      <c r="AD407" s="55"/>
      <c r="AE407" s="55"/>
      <c r="AF407" s="55"/>
      <c r="AG407" s="55"/>
      <c r="AH407" s="55"/>
      <c r="AI407" s="55"/>
      <c r="AJ407" s="55"/>
      <c r="AK407" s="55"/>
      <c r="AL407" s="55"/>
      <c r="AM407" s="55"/>
      <c r="AN407" s="55"/>
      <c r="AO407" s="55"/>
      <c r="AP407" s="55"/>
      <c r="AQ407" s="55"/>
      <c r="AR407" s="55"/>
      <c r="AS407" s="55"/>
      <c r="AT407" s="55"/>
      <c r="AU407" s="55"/>
      <c r="AV407" s="55"/>
      <c r="AW407" s="55"/>
      <c r="AX407" s="55"/>
      <c r="AY407" s="55"/>
      <c r="AZ407" s="55"/>
      <c r="BA407" s="55"/>
      <c r="BB407" s="55"/>
      <c r="BC407" s="55"/>
      <c r="BD407" s="55"/>
      <c r="BE407" s="55"/>
      <c r="BF407" s="55"/>
      <c r="BG407" s="55"/>
      <c r="BH407" s="55"/>
      <c r="BI407" s="55"/>
      <c r="BJ407" s="55"/>
      <c r="BK407" s="55"/>
      <c r="BL407" s="55"/>
      <c r="BM407" s="55"/>
      <c r="BN407" s="55"/>
      <c r="BO407" s="55"/>
      <c r="BP407" s="55"/>
      <c r="BQ407" s="55"/>
      <c r="BR407" s="55"/>
      <c r="BS407" s="55"/>
    </row>
    <row r="408" spans="1:71" outlineLevel="1" x14ac:dyDescent="0.2">
      <c r="D408" t="str">
        <f>HM_ZB_Nsoko!D421</f>
        <v>Revenus pétroliers</v>
      </c>
      <c r="I408" s="30">
        <f t="shared" ref="I408:I410" ca="1" si="122">SUM($L408:$BS408)</f>
        <v>4533.0102635544754</v>
      </c>
      <c r="J408" s="26" t="s">
        <v>148</v>
      </c>
      <c r="L408" s="49" cm="1">
        <f t="array" aca="1" ref="L408:BS408" ca="1">KLL_II_2020!CA_gross_rev_oil_fp</f>
        <v>498.12908528100007</v>
      </c>
      <c r="M408" s="49">
        <f ca="1"/>
        <v>550.270235953</v>
      </c>
      <c r="N408" s="49">
        <f ca="1"/>
        <v>290.03871171699996</v>
      </c>
      <c r="O408" s="49">
        <f ca="1"/>
        <v>247.73388778399999</v>
      </c>
      <c r="P408" s="49">
        <f ca="1"/>
        <v>297.46089801200009</v>
      </c>
      <c r="Q408" s="49">
        <f ca="1"/>
        <v>409.12926503900007</v>
      </c>
      <c r="R408" s="49">
        <f ca="1"/>
        <v>399.446294153</v>
      </c>
      <c r="S408" s="49">
        <f ca="1"/>
        <v>224.90804700000001</v>
      </c>
      <c r="T408" s="49">
        <f ca="1"/>
        <v>344.13274284479996</v>
      </c>
      <c r="U408" s="49">
        <f ca="1"/>
        <v>343.53054779399997</v>
      </c>
      <c r="V408" s="49">
        <f ca="1"/>
        <v>325.87307763738835</v>
      </c>
      <c r="W408" s="49">
        <f ca="1"/>
        <v>309.12320144682656</v>
      </c>
      <c r="X408" s="49">
        <f ca="1"/>
        <v>293.23426889245968</v>
      </c>
      <c r="Y408" s="49">
        <f ca="1"/>
        <v>0</v>
      </c>
      <c r="Z408" s="49">
        <f ca="1"/>
        <v>0</v>
      </c>
      <c r="AA408" s="49">
        <f ca="1"/>
        <v>0</v>
      </c>
      <c r="AB408" s="49">
        <f ca="1"/>
        <v>0</v>
      </c>
      <c r="AC408" s="49">
        <f ca="1"/>
        <v>0</v>
      </c>
      <c r="AD408" s="49">
        <f ca="1"/>
        <v>0</v>
      </c>
      <c r="AE408" s="49">
        <f ca="1"/>
        <v>0</v>
      </c>
      <c r="AF408" s="49">
        <f ca="1"/>
        <v>0</v>
      </c>
      <c r="AG408" s="49">
        <f ca="1"/>
        <v>0</v>
      </c>
      <c r="AH408" s="49">
        <f ca="1"/>
        <v>0</v>
      </c>
      <c r="AI408" s="49">
        <f ca="1"/>
        <v>0</v>
      </c>
      <c r="AJ408" s="49">
        <f ca="1"/>
        <v>0</v>
      </c>
      <c r="AK408" s="49">
        <f ca="1"/>
        <v>0</v>
      </c>
      <c r="AL408" s="49">
        <f ca="1"/>
        <v>0</v>
      </c>
      <c r="AM408" s="49">
        <f ca="1"/>
        <v>0</v>
      </c>
      <c r="AN408" s="49">
        <f ca="1"/>
        <v>0</v>
      </c>
      <c r="AO408" s="49">
        <f ca="1"/>
        <v>0</v>
      </c>
      <c r="AP408" s="49">
        <f ca="1"/>
        <v>0</v>
      </c>
      <c r="AQ408" s="49">
        <f ca="1"/>
        <v>0</v>
      </c>
      <c r="AR408" s="49">
        <f ca="1"/>
        <v>0</v>
      </c>
      <c r="AS408" s="49">
        <f ca="1"/>
        <v>0</v>
      </c>
      <c r="AT408" s="49">
        <f ca="1"/>
        <v>0</v>
      </c>
      <c r="AU408" s="49">
        <f ca="1"/>
        <v>0</v>
      </c>
      <c r="AV408" s="49">
        <f ca="1"/>
        <v>0</v>
      </c>
      <c r="AW408" s="49">
        <f ca="1"/>
        <v>0</v>
      </c>
      <c r="AX408" s="49">
        <f ca="1"/>
        <v>0</v>
      </c>
      <c r="AY408" s="49">
        <f ca="1"/>
        <v>0</v>
      </c>
      <c r="AZ408" s="49">
        <f ca="1"/>
        <v>0</v>
      </c>
      <c r="BA408" s="49">
        <f ca="1"/>
        <v>0</v>
      </c>
      <c r="BB408" s="49">
        <f ca="1"/>
        <v>0</v>
      </c>
      <c r="BC408" s="49">
        <f ca="1"/>
        <v>0</v>
      </c>
      <c r="BD408" s="49">
        <f ca="1"/>
        <v>0</v>
      </c>
      <c r="BE408" s="49">
        <f ca="1"/>
        <v>0</v>
      </c>
      <c r="BF408" s="49">
        <f ca="1"/>
        <v>0</v>
      </c>
      <c r="BG408" s="49">
        <f ca="1"/>
        <v>0</v>
      </c>
      <c r="BH408" s="49">
        <f ca="1"/>
        <v>0</v>
      </c>
      <c r="BI408" s="49">
        <f ca="1"/>
        <v>0</v>
      </c>
      <c r="BJ408" s="49">
        <f ca="1"/>
        <v>0</v>
      </c>
      <c r="BK408" s="49">
        <f ca="1"/>
        <v>0</v>
      </c>
      <c r="BL408" s="49">
        <f ca="1"/>
        <v>0</v>
      </c>
      <c r="BM408" s="49">
        <f ca="1"/>
        <v>0</v>
      </c>
      <c r="BN408" s="49">
        <f ca="1"/>
        <v>0</v>
      </c>
      <c r="BO408" s="49">
        <f ca="1"/>
        <v>0</v>
      </c>
      <c r="BP408" s="49">
        <f ca="1"/>
        <v>0</v>
      </c>
      <c r="BQ408" s="49">
        <f ca="1"/>
        <v>0</v>
      </c>
      <c r="BR408" s="49">
        <f ca="1"/>
        <v>0</v>
      </c>
      <c r="BS408" s="49">
        <f ca="1"/>
        <v>0</v>
      </c>
    </row>
    <row r="409" spans="1:71" outlineLevel="1" x14ac:dyDescent="0.2">
      <c r="D409" t="str">
        <f>HM_ZB_Nsoko!D422</f>
        <v>Revenus gaziers</v>
      </c>
      <c r="I409" s="30">
        <f t="shared" ca="1" si="122"/>
        <v>0</v>
      </c>
      <c r="J409" s="26" t="s">
        <v>148</v>
      </c>
      <c r="L409" s="49" cm="1">
        <f t="array" aca="1" ref="L409:BS409" ca="1">KLL_II_2020!CA_gross_rev_gas_fp</f>
        <v>0</v>
      </c>
      <c r="M409" s="49">
        <f ca="1"/>
        <v>0</v>
      </c>
      <c r="N409" s="49">
        <f ca="1"/>
        <v>0</v>
      </c>
      <c r="O409" s="49">
        <f ca="1"/>
        <v>0</v>
      </c>
      <c r="P409" s="49">
        <f ca="1"/>
        <v>0</v>
      </c>
      <c r="Q409" s="49">
        <f ca="1"/>
        <v>0</v>
      </c>
      <c r="R409" s="49">
        <f ca="1"/>
        <v>0</v>
      </c>
      <c r="S409" s="49">
        <f ca="1"/>
        <v>0</v>
      </c>
      <c r="T409" s="49">
        <f ca="1"/>
        <v>0</v>
      </c>
      <c r="U409" s="49">
        <f ca="1"/>
        <v>0</v>
      </c>
      <c r="V409" s="49">
        <f ca="1"/>
        <v>0</v>
      </c>
      <c r="W409" s="49">
        <f ca="1"/>
        <v>0</v>
      </c>
      <c r="X409" s="49">
        <f ca="1"/>
        <v>0</v>
      </c>
      <c r="Y409" s="49">
        <f ca="1"/>
        <v>0</v>
      </c>
      <c r="Z409" s="49">
        <f ca="1"/>
        <v>0</v>
      </c>
      <c r="AA409" s="49">
        <f ca="1"/>
        <v>0</v>
      </c>
      <c r="AB409" s="49">
        <f ca="1"/>
        <v>0</v>
      </c>
      <c r="AC409" s="49">
        <f ca="1"/>
        <v>0</v>
      </c>
      <c r="AD409" s="49">
        <f ca="1"/>
        <v>0</v>
      </c>
      <c r="AE409" s="49">
        <f ca="1"/>
        <v>0</v>
      </c>
      <c r="AF409" s="49">
        <f ca="1"/>
        <v>0</v>
      </c>
      <c r="AG409" s="49">
        <f ca="1"/>
        <v>0</v>
      </c>
      <c r="AH409" s="49">
        <f ca="1"/>
        <v>0</v>
      </c>
      <c r="AI409" s="49">
        <f ca="1"/>
        <v>0</v>
      </c>
      <c r="AJ409" s="49">
        <f ca="1"/>
        <v>0</v>
      </c>
      <c r="AK409" s="49">
        <f ca="1"/>
        <v>0</v>
      </c>
      <c r="AL409" s="49">
        <f ca="1"/>
        <v>0</v>
      </c>
      <c r="AM409" s="49">
        <f ca="1"/>
        <v>0</v>
      </c>
      <c r="AN409" s="49">
        <f ca="1"/>
        <v>0</v>
      </c>
      <c r="AO409" s="49">
        <f ca="1"/>
        <v>0</v>
      </c>
      <c r="AP409" s="49">
        <f ca="1"/>
        <v>0</v>
      </c>
      <c r="AQ409" s="49">
        <f ca="1"/>
        <v>0</v>
      </c>
      <c r="AR409" s="49">
        <f ca="1"/>
        <v>0</v>
      </c>
      <c r="AS409" s="49">
        <f ca="1"/>
        <v>0</v>
      </c>
      <c r="AT409" s="49">
        <f ca="1"/>
        <v>0</v>
      </c>
      <c r="AU409" s="49">
        <f ca="1"/>
        <v>0</v>
      </c>
      <c r="AV409" s="49">
        <f ca="1"/>
        <v>0</v>
      </c>
      <c r="AW409" s="49">
        <f ca="1"/>
        <v>0</v>
      </c>
      <c r="AX409" s="49">
        <f ca="1"/>
        <v>0</v>
      </c>
      <c r="AY409" s="49">
        <f ca="1"/>
        <v>0</v>
      </c>
      <c r="AZ409" s="49">
        <f ca="1"/>
        <v>0</v>
      </c>
      <c r="BA409" s="49">
        <f ca="1"/>
        <v>0</v>
      </c>
      <c r="BB409" s="49">
        <f ca="1"/>
        <v>0</v>
      </c>
      <c r="BC409" s="49">
        <f ca="1"/>
        <v>0</v>
      </c>
      <c r="BD409" s="49">
        <f ca="1"/>
        <v>0</v>
      </c>
      <c r="BE409" s="49">
        <f ca="1"/>
        <v>0</v>
      </c>
      <c r="BF409" s="49">
        <f ca="1"/>
        <v>0</v>
      </c>
      <c r="BG409" s="49">
        <f ca="1"/>
        <v>0</v>
      </c>
      <c r="BH409" s="49">
        <f ca="1"/>
        <v>0</v>
      </c>
      <c r="BI409" s="49">
        <f ca="1"/>
        <v>0</v>
      </c>
      <c r="BJ409" s="49">
        <f ca="1"/>
        <v>0</v>
      </c>
      <c r="BK409" s="49">
        <f ca="1"/>
        <v>0</v>
      </c>
      <c r="BL409" s="49">
        <f ca="1"/>
        <v>0</v>
      </c>
      <c r="BM409" s="49">
        <f ca="1"/>
        <v>0</v>
      </c>
      <c r="BN409" s="49">
        <f ca="1"/>
        <v>0</v>
      </c>
      <c r="BO409" s="49">
        <f ca="1"/>
        <v>0</v>
      </c>
      <c r="BP409" s="49">
        <f ca="1"/>
        <v>0</v>
      </c>
      <c r="BQ409" s="49">
        <f ca="1"/>
        <v>0</v>
      </c>
      <c r="BR409" s="49">
        <f ca="1"/>
        <v>0</v>
      </c>
      <c r="BS409" s="49">
        <f ca="1"/>
        <v>0</v>
      </c>
    </row>
    <row r="410" spans="1:71" outlineLevel="1" x14ac:dyDescent="0.2">
      <c r="D410" s="11" t="str">
        <f>HM_ZB_Nsoko!D423</f>
        <v>Total revenus bruts</v>
      </c>
      <c r="I410" s="30">
        <f t="shared" ca="1" si="122"/>
        <v>4533.0102635544754</v>
      </c>
      <c r="J410" s="26" t="s">
        <v>148</v>
      </c>
      <c r="L410" s="49">
        <f ca="1">SUM(L408:L409)</f>
        <v>498.12908528100007</v>
      </c>
      <c r="M410" s="49">
        <f t="shared" ref="M410:BS410" ca="1" si="123">SUM(M408:M409)</f>
        <v>550.270235953</v>
      </c>
      <c r="N410" s="49">
        <f t="shared" ca="1" si="123"/>
        <v>290.03871171699996</v>
      </c>
      <c r="O410" s="49">
        <f t="shared" ca="1" si="123"/>
        <v>247.73388778399999</v>
      </c>
      <c r="P410" s="49">
        <f t="shared" ca="1" si="123"/>
        <v>297.46089801200009</v>
      </c>
      <c r="Q410" s="49">
        <f t="shared" ca="1" si="123"/>
        <v>409.12926503900007</v>
      </c>
      <c r="R410" s="49">
        <f t="shared" ca="1" si="123"/>
        <v>399.446294153</v>
      </c>
      <c r="S410" s="49">
        <f t="shared" ca="1" si="123"/>
        <v>224.90804700000001</v>
      </c>
      <c r="T410" s="49">
        <f t="shared" ca="1" si="123"/>
        <v>344.13274284479996</v>
      </c>
      <c r="U410" s="49">
        <f t="shared" ca="1" si="123"/>
        <v>343.53054779399997</v>
      </c>
      <c r="V410" s="49">
        <f t="shared" ca="1" si="123"/>
        <v>325.87307763738835</v>
      </c>
      <c r="W410" s="49">
        <f t="shared" ca="1" si="123"/>
        <v>309.12320144682656</v>
      </c>
      <c r="X410" s="49">
        <f t="shared" ca="1" si="123"/>
        <v>293.23426889245968</v>
      </c>
      <c r="Y410" s="49">
        <f t="shared" ca="1" si="123"/>
        <v>0</v>
      </c>
      <c r="Z410" s="49">
        <f t="shared" ca="1" si="123"/>
        <v>0</v>
      </c>
      <c r="AA410" s="49">
        <f t="shared" ca="1" si="123"/>
        <v>0</v>
      </c>
      <c r="AB410" s="49">
        <f t="shared" ca="1" si="123"/>
        <v>0</v>
      </c>
      <c r="AC410" s="49">
        <f t="shared" ca="1" si="123"/>
        <v>0</v>
      </c>
      <c r="AD410" s="49">
        <f t="shared" ca="1" si="123"/>
        <v>0</v>
      </c>
      <c r="AE410" s="49">
        <f t="shared" ca="1" si="123"/>
        <v>0</v>
      </c>
      <c r="AF410" s="49">
        <f t="shared" ca="1" si="123"/>
        <v>0</v>
      </c>
      <c r="AG410" s="49">
        <f t="shared" ca="1" si="123"/>
        <v>0</v>
      </c>
      <c r="AH410" s="49">
        <f t="shared" ca="1" si="123"/>
        <v>0</v>
      </c>
      <c r="AI410" s="49">
        <f t="shared" ca="1" si="123"/>
        <v>0</v>
      </c>
      <c r="AJ410" s="49">
        <f t="shared" ca="1" si="123"/>
        <v>0</v>
      </c>
      <c r="AK410" s="49">
        <f t="shared" ca="1" si="123"/>
        <v>0</v>
      </c>
      <c r="AL410" s="49">
        <f t="shared" ca="1" si="123"/>
        <v>0</v>
      </c>
      <c r="AM410" s="49">
        <f t="shared" ca="1" si="123"/>
        <v>0</v>
      </c>
      <c r="AN410" s="49">
        <f t="shared" ca="1" si="123"/>
        <v>0</v>
      </c>
      <c r="AO410" s="49">
        <f t="shared" ca="1" si="123"/>
        <v>0</v>
      </c>
      <c r="AP410" s="49">
        <f t="shared" ca="1" si="123"/>
        <v>0</v>
      </c>
      <c r="AQ410" s="49">
        <f t="shared" ca="1" si="123"/>
        <v>0</v>
      </c>
      <c r="AR410" s="49">
        <f t="shared" ca="1" si="123"/>
        <v>0</v>
      </c>
      <c r="AS410" s="49">
        <f t="shared" ca="1" si="123"/>
        <v>0</v>
      </c>
      <c r="AT410" s="49">
        <f t="shared" ca="1" si="123"/>
        <v>0</v>
      </c>
      <c r="AU410" s="49">
        <f t="shared" ca="1" si="123"/>
        <v>0</v>
      </c>
      <c r="AV410" s="49">
        <f t="shared" ca="1" si="123"/>
        <v>0</v>
      </c>
      <c r="AW410" s="49">
        <f t="shared" ca="1" si="123"/>
        <v>0</v>
      </c>
      <c r="AX410" s="49">
        <f t="shared" ca="1" si="123"/>
        <v>0</v>
      </c>
      <c r="AY410" s="49">
        <f t="shared" ca="1" si="123"/>
        <v>0</v>
      </c>
      <c r="AZ410" s="49">
        <f t="shared" ca="1" si="123"/>
        <v>0</v>
      </c>
      <c r="BA410" s="49">
        <f t="shared" ca="1" si="123"/>
        <v>0</v>
      </c>
      <c r="BB410" s="49">
        <f t="shared" ca="1" si="123"/>
        <v>0</v>
      </c>
      <c r="BC410" s="49">
        <f t="shared" ca="1" si="123"/>
        <v>0</v>
      </c>
      <c r="BD410" s="49">
        <f t="shared" ca="1" si="123"/>
        <v>0</v>
      </c>
      <c r="BE410" s="49">
        <f t="shared" ca="1" si="123"/>
        <v>0</v>
      </c>
      <c r="BF410" s="49">
        <f t="shared" ca="1" si="123"/>
        <v>0</v>
      </c>
      <c r="BG410" s="49">
        <f t="shared" ca="1" si="123"/>
        <v>0</v>
      </c>
      <c r="BH410" s="49">
        <f t="shared" ca="1" si="123"/>
        <v>0</v>
      </c>
      <c r="BI410" s="49">
        <f t="shared" ca="1" si="123"/>
        <v>0</v>
      </c>
      <c r="BJ410" s="49">
        <f t="shared" ca="1" si="123"/>
        <v>0</v>
      </c>
      <c r="BK410" s="49">
        <f t="shared" ca="1" si="123"/>
        <v>0</v>
      </c>
      <c r="BL410" s="49">
        <f t="shared" ca="1" si="123"/>
        <v>0</v>
      </c>
      <c r="BM410" s="49">
        <f t="shared" ca="1" si="123"/>
        <v>0</v>
      </c>
      <c r="BN410" s="49">
        <f t="shared" ca="1" si="123"/>
        <v>0</v>
      </c>
      <c r="BO410" s="49">
        <f t="shared" ca="1" si="123"/>
        <v>0</v>
      </c>
      <c r="BP410" s="49">
        <f t="shared" ca="1" si="123"/>
        <v>0</v>
      </c>
      <c r="BQ410" s="49">
        <f t="shared" ca="1" si="123"/>
        <v>0</v>
      </c>
      <c r="BR410" s="49">
        <f t="shared" ca="1" si="123"/>
        <v>0</v>
      </c>
      <c r="BS410" s="49">
        <f t="shared" ca="1" si="123"/>
        <v>0</v>
      </c>
    </row>
    <row r="411" spans="1:71" outlineLevel="1" x14ac:dyDescent="0.2">
      <c r="J411" s="26"/>
      <c r="L411" s="55"/>
      <c r="M411" s="55"/>
      <c r="N411" s="55"/>
      <c r="O411" s="55"/>
      <c r="P411" s="55"/>
      <c r="Q411" s="55"/>
      <c r="R411" s="55"/>
      <c r="S411" s="55"/>
      <c r="T411" s="55"/>
      <c r="U411" s="55"/>
      <c r="V411" s="55"/>
      <c r="W411" s="55"/>
      <c r="X411" s="55"/>
      <c r="Y411" s="55"/>
      <c r="Z411" s="55"/>
      <c r="AA411" s="55"/>
      <c r="AB411" s="55"/>
      <c r="AC411" s="55"/>
      <c r="AD411" s="55"/>
      <c r="AE411" s="55"/>
      <c r="AF411" s="55"/>
      <c r="AG411" s="55"/>
      <c r="AH411" s="55"/>
      <c r="AI411" s="55"/>
      <c r="AJ411" s="55"/>
      <c r="AK411" s="55"/>
      <c r="AL411" s="55"/>
      <c r="AM411" s="55"/>
      <c r="AN411" s="55"/>
      <c r="AO411" s="55"/>
      <c r="AP411" s="55"/>
      <c r="AQ411" s="55"/>
      <c r="AR411" s="55"/>
      <c r="AS411" s="55"/>
      <c r="AT411" s="55"/>
      <c r="AU411" s="55"/>
      <c r="AV411" s="55"/>
      <c r="AW411" s="55"/>
      <c r="AX411" s="55"/>
      <c r="AY411" s="55"/>
      <c r="AZ411" s="55"/>
      <c r="BA411" s="55"/>
      <c r="BB411" s="55"/>
      <c r="BC411" s="55"/>
      <c r="BD411" s="55"/>
      <c r="BE411" s="55"/>
      <c r="BF411" s="55"/>
      <c r="BG411" s="55"/>
      <c r="BH411" s="55"/>
      <c r="BI411" s="55"/>
      <c r="BJ411" s="55"/>
      <c r="BK411" s="55"/>
      <c r="BL411" s="55"/>
      <c r="BM411" s="55"/>
      <c r="BN411" s="55"/>
      <c r="BO411" s="55"/>
      <c r="BP411" s="55"/>
      <c r="BQ411" s="55"/>
      <c r="BR411" s="55"/>
      <c r="BS411" s="55"/>
    </row>
    <row r="412" spans="1:71" outlineLevel="1" x14ac:dyDescent="0.2">
      <c r="C412" t="str">
        <f>HM_ZB_Nsoko!C425</f>
        <v>Coûts d'exploitation</v>
      </c>
      <c r="J412" s="26"/>
      <c r="L412" s="55"/>
      <c r="M412" s="55"/>
      <c r="N412" s="55"/>
      <c r="O412" s="55"/>
      <c r="P412" s="55"/>
      <c r="Q412" s="55"/>
      <c r="R412" s="55"/>
      <c r="S412" s="55"/>
      <c r="T412" s="55"/>
      <c r="U412" s="55"/>
      <c r="V412" s="55"/>
      <c r="W412" s="55"/>
      <c r="X412" s="55"/>
      <c r="Y412" s="55"/>
      <c r="Z412" s="55"/>
      <c r="AA412" s="55"/>
      <c r="AB412" s="55"/>
      <c r="AC412" s="55"/>
      <c r="AD412" s="55"/>
      <c r="AE412" s="55"/>
      <c r="AF412" s="55"/>
      <c r="AG412" s="55"/>
      <c r="AH412" s="55"/>
      <c r="AI412" s="55"/>
      <c r="AJ412" s="55"/>
      <c r="AK412" s="55"/>
      <c r="AL412" s="55"/>
      <c r="AM412" s="55"/>
      <c r="AN412" s="55"/>
      <c r="AO412" s="55"/>
      <c r="AP412" s="55"/>
      <c r="AQ412" s="55"/>
      <c r="AR412" s="55"/>
      <c r="AS412" s="55"/>
      <c r="AT412" s="55"/>
      <c r="AU412" s="55"/>
      <c r="AV412" s="55"/>
      <c r="AW412" s="55"/>
      <c r="AX412" s="55"/>
      <c r="AY412" s="55"/>
      <c r="AZ412" s="55"/>
      <c r="BA412" s="55"/>
      <c r="BB412" s="55"/>
      <c r="BC412" s="55"/>
      <c r="BD412" s="55"/>
      <c r="BE412" s="55"/>
      <c r="BF412" s="55"/>
      <c r="BG412" s="55"/>
      <c r="BH412" s="55"/>
      <c r="BI412" s="55"/>
      <c r="BJ412" s="55"/>
      <c r="BK412" s="55"/>
      <c r="BL412" s="55"/>
      <c r="BM412" s="55"/>
      <c r="BN412" s="55"/>
      <c r="BO412" s="55"/>
      <c r="BP412" s="55"/>
      <c r="BQ412" s="55"/>
      <c r="BR412" s="55"/>
      <c r="BS412" s="55"/>
    </row>
    <row r="413" spans="1:71" outlineLevel="1" x14ac:dyDescent="0.2">
      <c r="D413" t="str">
        <f>HM_ZB_Nsoko!D426</f>
        <v>Opex fixes</v>
      </c>
      <c r="I413" s="30">
        <f t="shared" ref="I413:I415" ca="1" si="124">SUM($L413:$BS413)</f>
        <v>0</v>
      </c>
      <c r="J413" s="26" t="s">
        <v>148</v>
      </c>
      <c r="L413" s="49" cm="1">
        <f t="array" aca="1" ref="L413:BS413" ca="1">KLL_II_2020!CA_fixedopex_nom</f>
        <v>0</v>
      </c>
      <c r="M413" s="49">
        <f ca="1"/>
        <v>0</v>
      </c>
      <c r="N413" s="49">
        <f ca="1"/>
        <v>0</v>
      </c>
      <c r="O413" s="49">
        <f ca="1"/>
        <v>0</v>
      </c>
      <c r="P413" s="49">
        <f ca="1"/>
        <v>0</v>
      </c>
      <c r="Q413" s="49">
        <f ca="1"/>
        <v>0</v>
      </c>
      <c r="R413" s="49">
        <f ca="1"/>
        <v>0</v>
      </c>
      <c r="S413" s="49">
        <f ca="1"/>
        <v>0</v>
      </c>
      <c r="T413" s="49">
        <f ca="1"/>
        <v>0</v>
      </c>
      <c r="U413" s="49">
        <f ca="1"/>
        <v>0</v>
      </c>
      <c r="V413" s="49">
        <f ca="1"/>
        <v>0</v>
      </c>
      <c r="W413" s="49">
        <f ca="1"/>
        <v>0</v>
      </c>
      <c r="X413" s="49">
        <f ca="1"/>
        <v>0</v>
      </c>
      <c r="Y413" s="49">
        <f ca="1"/>
        <v>0</v>
      </c>
      <c r="Z413" s="49">
        <f ca="1"/>
        <v>0</v>
      </c>
      <c r="AA413" s="49">
        <f ca="1"/>
        <v>0</v>
      </c>
      <c r="AB413" s="49">
        <f ca="1"/>
        <v>0</v>
      </c>
      <c r="AC413" s="49">
        <f ca="1"/>
        <v>0</v>
      </c>
      <c r="AD413" s="49">
        <f ca="1"/>
        <v>0</v>
      </c>
      <c r="AE413" s="49">
        <f ca="1"/>
        <v>0</v>
      </c>
      <c r="AF413" s="49">
        <f ca="1"/>
        <v>0</v>
      </c>
      <c r="AG413" s="49">
        <f ca="1"/>
        <v>0</v>
      </c>
      <c r="AH413" s="49">
        <f ca="1"/>
        <v>0</v>
      </c>
      <c r="AI413" s="49">
        <f ca="1"/>
        <v>0</v>
      </c>
      <c r="AJ413" s="49">
        <f ca="1"/>
        <v>0</v>
      </c>
      <c r="AK413" s="49">
        <f ca="1"/>
        <v>0</v>
      </c>
      <c r="AL413" s="49">
        <f ca="1"/>
        <v>0</v>
      </c>
      <c r="AM413" s="49">
        <f ca="1"/>
        <v>0</v>
      </c>
      <c r="AN413" s="49">
        <f ca="1"/>
        <v>0</v>
      </c>
      <c r="AO413" s="49">
        <f ca="1"/>
        <v>0</v>
      </c>
      <c r="AP413" s="49">
        <f ca="1"/>
        <v>0</v>
      </c>
      <c r="AQ413" s="49">
        <f ca="1"/>
        <v>0</v>
      </c>
      <c r="AR413" s="49">
        <f ca="1"/>
        <v>0</v>
      </c>
      <c r="AS413" s="49">
        <f ca="1"/>
        <v>0</v>
      </c>
      <c r="AT413" s="49">
        <f ca="1"/>
        <v>0</v>
      </c>
      <c r="AU413" s="49">
        <f ca="1"/>
        <v>0</v>
      </c>
      <c r="AV413" s="49">
        <f ca="1"/>
        <v>0</v>
      </c>
      <c r="AW413" s="49">
        <f ca="1"/>
        <v>0</v>
      </c>
      <c r="AX413" s="49">
        <f ca="1"/>
        <v>0</v>
      </c>
      <c r="AY413" s="49">
        <f ca="1"/>
        <v>0</v>
      </c>
      <c r="AZ413" s="49">
        <f ca="1"/>
        <v>0</v>
      </c>
      <c r="BA413" s="49">
        <f ca="1"/>
        <v>0</v>
      </c>
      <c r="BB413" s="49">
        <f ca="1"/>
        <v>0</v>
      </c>
      <c r="BC413" s="49">
        <f ca="1"/>
        <v>0</v>
      </c>
      <c r="BD413" s="49">
        <f ca="1"/>
        <v>0</v>
      </c>
      <c r="BE413" s="49">
        <f ca="1"/>
        <v>0</v>
      </c>
      <c r="BF413" s="49">
        <f ca="1"/>
        <v>0</v>
      </c>
      <c r="BG413" s="49">
        <f ca="1"/>
        <v>0</v>
      </c>
      <c r="BH413" s="49">
        <f ca="1"/>
        <v>0</v>
      </c>
      <c r="BI413" s="49">
        <f ca="1"/>
        <v>0</v>
      </c>
      <c r="BJ413" s="49">
        <f ca="1"/>
        <v>0</v>
      </c>
      <c r="BK413" s="49">
        <f ca="1"/>
        <v>0</v>
      </c>
      <c r="BL413" s="49">
        <f ca="1"/>
        <v>0</v>
      </c>
      <c r="BM413" s="49">
        <f ca="1"/>
        <v>0</v>
      </c>
      <c r="BN413" s="49">
        <f ca="1"/>
        <v>0</v>
      </c>
      <c r="BO413" s="49">
        <f ca="1"/>
        <v>0</v>
      </c>
      <c r="BP413" s="49">
        <f ca="1"/>
        <v>0</v>
      </c>
      <c r="BQ413" s="49">
        <f ca="1"/>
        <v>0</v>
      </c>
      <c r="BR413" s="49">
        <f ca="1"/>
        <v>0</v>
      </c>
      <c r="BS413" s="49">
        <f ca="1"/>
        <v>0</v>
      </c>
    </row>
    <row r="414" spans="1:71" outlineLevel="1" x14ac:dyDescent="0.2">
      <c r="D414" t="str">
        <f>HM_ZB_Nsoko!D427</f>
        <v>Opex variables</v>
      </c>
      <c r="I414" s="30">
        <f t="shared" ca="1" si="124"/>
        <v>972.08134211200013</v>
      </c>
      <c r="J414" s="26" t="s">
        <v>148</v>
      </c>
      <c r="L414" s="49" cm="1">
        <f t="array" aca="1" ref="L414:BS414" ca="1">KLL_II_2020!CA_varopex_nom</f>
        <v>64.376000000000005</v>
      </c>
      <c r="M414" s="49">
        <f ca="1"/>
        <v>83.224000000000004</v>
      </c>
      <c r="N414" s="49">
        <f ca="1"/>
        <v>66.552000000000007</v>
      </c>
      <c r="O414" s="49">
        <f ca="1"/>
        <v>178.34699999999998</v>
      </c>
      <c r="P414" s="49">
        <f ca="1"/>
        <v>97.385999999999996</v>
      </c>
      <c r="Q414" s="49">
        <f ca="1"/>
        <v>47.099999999999994</v>
      </c>
      <c r="R414" s="49">
        <f ca="1"/>
        <v>64.900000000000006</v>
      </c>
      <c r="S414" s="49">
        <f ca="1"/>
        <v>61.2</v>
      </c>
      <c r="T414" s="49">
        <f ca="1"/>
        <v>60.6</v>
      </c>
      <c r="U414" s="49">
        <f ca="1"/>
        <v>61.2</v>
      </c>
      <c r="V414" s="49">
        <f ca="1"/>
        <v>61.799759999999999</v>
      </c>
      <c r="W414" s="49">
        <f ca="1"/>
        <v>62.399030399999994</v>
      </c>
      <c r="X414" s="49">
        <f ca="1"/>
        <v>62.997551712000003</v>
      </c>
      <c r="Y414" s="49">
        <f ca="1"/>
        <v>0</v>
      </c>
      <c r="Z414" s="49">
        <f ca="1"/>
        <v>0</v>
      </c>
      <c r="AA414" s="49">
        <f ca="1"/>
        <v>0</v>
      </c>
      <c r="AB414" s="49">
        <f ca="1"/>
        <v>0</v>
      </c>
      <c r="AC414" s="49">
        <f ca="1"/>
        <v>0</v>
      </c>
      <c r="AD414" s="49">
        <f ca="1"/>
        <v>0</v>
      </c>
      <c r="AE414" s="49">
        <f ca="1"/>
        <v>0</v>
      </c>
      <c r="AF414" s="49">
        <f ca="1"/>
        <v>0</v>
      </c>
      <c r="AG414" s="49">
        <f ca="1"/>
        <v>0</v>
      </c>
      <c r="AH414" s="49">
        <f ca="1"/>
        <v>0</v>
      </c>
      <c r="AI414" s="49">
        <f ca="1"/>
        <v>0</v>
      </c>
      <c r="AJ414" s="49">
        <f ca="1"/>
        <v>0</v>
      </c>
      <c r="AK414" s="49">
        <f ca="1"/>
        <v>0</v>
      </c>
      <c r="AL414" s="49">
        <f ca="1"/>
        <v>0</v>
      </c>
      <c r="AM414" s="49">
        <f ca="1"/>
        <v>0</v>
      </c>
      <c r="AN414" s="49">
        <f ca="1"/>
        <v>0</v>
      </c>
      <c r="AO414" s="49">
        <f ca="1"/>
        <v>0</v>
      </c>
      <c r="AP414" s="49">
        <f ca="1"/>
        <v>0</v>
      </c>
      <c r="AQ414" s="49">
        <f ca="1"/>
        <v>0</v>
      </c>
      <c r="AR414" s="49">
        <f ca="1"/>
        <v>0</v>
      </c>
      <c r="AS414" s="49">
        <f ca="1"/>
        <v>0</v>
      </c>
      <c r="AT414" s="49">
        <f ca="1"/>
        <v>0</v>
      </c>
      <c r="AU414" s="49">
        <f ca="1"/>
        <v>0</v>
      </c>
      <c r="AV414" s="49">
        <f ca="1"/>
        <v>0</v>
      </c>
      <c r="AW414" s="49">
        <f ca="1"/>
        <v>0</v>
      </c>
      <c r="AX414" s="49">
        <f ca="1"/>
        <v>0</v>
      </c>
      <c r="AY414" s="49">
        <f ca="1"/>
        <v>0</v>
      </c>
      <c r="AZ414" s="49">
        <f ca="1"/>
        <v>0</v>
      </c>
      <c r="BA414" s="49">
        <f ca="1"/>
        <v>0</v>
      </c>
      <c r="BB414" s="49">
        <f ca="1"/>
        <v>0</v>
      </c>
      <c r="BC414" s="49">
        <f ca="1"/>
        <v>0</v>
      </c>
      <c r="BD414" s="49">
        <f ca="1"/>
        <v>0</v>
      </c>
      <c r="BE414" s="49">
        <f ca="1"/>
        <v>0</v>
      </c>
      <c r="BF414" s="49">
        <f ca="1"/>
        <v>0</v>
      </c>
      <c r="BG414" s="49">
        <f ca="1"/>
        <v>0</v>
      </c>
      <c r="BH414" s="49">
        <f ca="1"/>
        <v>0</v>
      </c>
      <c r="BI414" s="49">
        <f ca="1"/>
        <v>0</v>
      </c>
      <c r="BJ414" s="49">
        <f ca="1"/>
        <v>0</v>
      </c>
      <c r="BK414" s="49">
        <f ca="1"/>
        <v>0</v>
      </c>
      <c r="BL414" s="49">
        <f ca="1"/>
        <v>0</v>
      </c>
      <c r="BM414" s="49">
        <f ca="1"/>
        <v>0</v>
      </c>
      <c r="BN414" s="49">
        <f ca="1"/>
        <v>0</v>
      </c>
      <c r="BO414" s="49">
        <f ca="1"/>
        <v>0</v>
      </c>
      <c r="BP414" s="49">
        <f ca="1"/>
        <v>0</v>
      </c>
      <c r="BQ414" s="49">
        <f ca="1"/>
        <v>0</v>
      </c>
      <c r="BR414" s="49">
        <f ca="1"/>
        <v>0</v>
      </c>
      <c r="BS414" s="49">
        <f ca="1"/>
        <v>0</v>
      </c>
    </row>
    <row r="415" spans="1:71" outlineLevel="1" x14ac:dyDescent="0.2">
      <c r="D415" s="11" t="str">
        <f>HM_ZB_Nsoko!D428</f>
        <v>Total Opex</v>
      </c>
      <c r="I415" s="30">
        <f t="shared" ca="1" si="124"/>
        <v>972.08134211200013</v>
      </c>
      <c r="J415" s="26" t="s">
        <v>148</v>
      </c>
      <c r="L415" s="49">
        <f ca="1">SUM(L413:L414)</f>
        <v>64.376000000000005</v>
      </c>
      <c r="M415" s="49">
        <f t="shared" ref="M415:BS415" ca="1" si="125">SUM(M413:M414)</f>
        <v>83.224000000000004</v>
      </c>
      <c r="N415" s="49">
        <f t="shared" ca="1" si="125"/>
        <v>66.552000000000007</v>
      </c>
      <c r="O415" s="49">
        <f t="shared" ca="1" si="125"/>
        <v>178.34699999999998</v>
      </c>
      <c r="P415" s="49">
        <f t="shared" ca="1" si="125"/>
        <v>97.385999999999996</v>
      </c>
      <c r="Q415" s="49">
        <f t="shared" ca="1" si="125"/>
        <v>47.099999999999994</v>
      </c>
      <c r="R415" s="49">
        <f t="shared" ca="1" si="125"/>
        <v>64.900000000000006</v>
      </c>
      <c r="S415" s="49">
        <f t="shared" ca="1" si="125"/>
        <v>61.2</v>
      </c>
      <c r="T415" s="49">
        <f t="shared" ca="1" si="125"/>
        <v>60.6</v>
      </c>
      <c r="U415" s="49">
        <f t="shared" ca="1" si="125"/>
        <v>61.2</v>
      </c>
      <c r="V415" s="49">
        <f t="shared" ca="1" si="125"/>
        <v>61.799759999999999</v>
      </c>
      <c r="W415" s="49">
        <f t="shared" ca="1" si="125"/>
        <v>62.399030399999994</v>
      </c>
      <c r="X415" s="49">
        <f t="shared" ca="1" si="125"/>
        <v>62.997551712000003</v>
      </c>
      <c r="Y415" s="49">
        <f t="shared" ca="1" si="125"/>
        <v>0</v>
      </c>
      <c r="Z415" s="49">
        <f t="shared" ca="1" si="125"/>
        <v>0</v>
      </c>
      <c r="AA415" s="49">
        <f t="shared" ca="1" si="125"/>
        <v>0</v>
      </c>
      <c r="AB415" s="49">
        <f t="shared" ca="1" si="125"/>
        <v>0</v>
      </c>
      <c r="AC415" s="49">
        <f t="shared" ca="1" si="125"/>
        <v>0</v>
      </c>
      <c r="AD415" s="49">
        <f t="shared" ca="1" si="125"/>
        <v>0</v>
      </c>
      <c r="AE415" s="49">
        <f t="shared" ca="1" si="125"/>
        <v>0</v>
      </c>
      <c r="AF415" s="49">
        <f t="shared" ca="1" si="125"/>
        <v>0</v>
      </c>
      <c r="AG415" s="49">
        <f t="shared" ca="1" si="125"/>
        <v>0</v>
      </c>
      <c r="AH415" s="49">
        <f t="shared" ca="1" si="125"/>
        <v>0</v>
      </c>
      <c r="AI415" s="49">
        <f t="shared" ca="1" si="125"/>
        <v>0</v>
      </c>
      <c r="AJ415" s="49">
        <f t="shared" ca="1" si="125"/>
        <v>0</v>
      </c>
      <c r="AK415" s="49">
        <f t="shared" ca="1" si="125"/>
        <v>0</v>
      </c>
      <c r="AL415" s="49">
        <f t="shared" ca="1" si="125"/>
        <v>0</v>
      </c>
      <c r="AM415" s="49">
        <f t="shared" ca="1" si="125"/>
        <v>0</v>
      </c>
      <c r="AN415" s="49">
        <f t="shared" ca="1" si="125"/>
        <v>0</v>
      </c>
      <c r="AO415" s="49">
        <f t="shared" ca="1" si="125"/>
        <v>0</v>
      </c>
      <c r="AP415" s="49">
        <f t="shared" ca="1" si="125"/>
        <v>0</v>
      </c>
      <c r="AQ415" s="49">
        <f t="shared" ca="1" si="125"/>
        <v>0</v>
      </c>
      <c r="AR415" s="49">
        <f t="shared" ca="1" si="125"/>
        <v>0</v>
      </c>
      <c r="AS415" s="49">
        <f t="shared" ca="1" si="125"/>
        <v>0</v>
      </c>
      <c r="AT415" s="49">
        <f t="shared" ca="1" si="125"/>
        <v>0</v>
      </c>
      <c r="AU415" s="49">
        <f t="shared" ca="1" si="125"/>
        <v>0</v>
      </c>
      <c r="AV415" s="49">
        <f t="shared" ca="1" si="125"/>
        <v>0</v>
      </c>
      <c r="AW415" s="49">
        <f t="shared" ca="1" si="125"/>
        <v>0</v>
      </c>
      <c r="AX415" s="49">
        <f t="shared" ca="1" si="125"/>
        <v>0</v>
      </c>
      <c r="AY415" s="49">
        <f t="shared" ca="1" si="125"/>
        <v>0</v>
      </c>
      <c r="AZ415" s="49">
        <f t="shared" ca="1" si="125"/>
        <v>0</v>
      </c>
      <c r="BA415" s="49">
        <f t="shared" ca="1" si="125"/>
        <v>0</v>
      </c>
      <c r="BB415" s="49">
        <f t="shared" ca="1" si="125"/>
        <v>0</v>
      </c>
      <c r="BC415" s="49">
        <f t="shared" ca="1" si="125"/>
        <v>0</v>
      </c>
      <c r="BD415" s="49">
        <f t="shared" ca="1" si="125"/>
        <v>0</v>
      </c>
      <c r="BE415" s="49">
        <f t="shared" ca="1" si="125"/>
        <v>0</v>
      </c>
      <c r="BF415" s="49">
        <f t="shared" ca="1" si="125"/>
        <v>0</v>
      </c>
      <c r="BG415" s="49">
        <f t="shared" ca="1" si="125"/>
        <v>0</v>
      </c>
      <c r="BH415" s="49">
        <f t="shared" ca="1" si="125"/>
        <v>0</v>
      </c>
      <c r="BI415" s="49">
        <f t="shared" ca="1" si="125"/>
        <v>0</v>
      </c>
      <c r="BJ415" s="49">
        <f t="shared" ca="1" si="125"/>
        <v>0</v>
      </c>
      <c r="BK415" s="49">
        <f t="shared" ca="1" si="125"/>
        <v>0</v>
      </c>
      <c r="BL415" s="49">
        <f t="shared" ca="1" si="125"/>
        <v>0</v>
      </c>
      <c r="BM415" s="49">
        <f t="shared" ca="1" si="125"/>
        <v>0</v>
      </c>
      <c r="BN415" s="49">
        <f t="shared" ca="1" si="125"/>
        <v>0</v>
      </c>
      <c r="BO415" s="49">
        <f t="shared" ca="1" si="125"/>
        <v>0</v>
      </c>
      <c r="BP415" s="49">
        <f t="shared" ca="1" si="125"/>
        <v>0</v>
      </c>
      <c r="BQ415" s="49">
        <f t="shared" ca="1" si="125"/>
        <v>0</v>
      </c>
      <c r="BR415" s="49">
        <f t="shared" ca="1" si="125"/>
        <v>0</v>
      </c>
      <c r="BS415" s="49">
        <f t="shared" ca="1" si="125"/>
        <v>0</v>
      </c>
    </row>
    <row r="416" spans="1:71" outlineLevel="1" x14ac:dyDescent="0.2">
      <c r="J416" s="26"/>
      <c r="L416" s="55"/>
      <c r="M416" s="55"/>
      <c r="N416" s="55"/>
      <c r="O416" s="55"/>
      <c r="P416" s="55"/>
      <c r="Q416" s="55"/>
      <c r="R416" s="55"/>
      <c r="S416" s="55"/>
      <c r="T416" s="55"/>
      <c r="U416" s="55"/>
      <c r="V416" s="55"/>
      <c r="W416" s="55"/>
      <c r="X416" s="55"/>
      <c r="Y416" s="55"/>
      <c r="Z416" s="55"/>
      <c r="AA416" s="55"/>
      <c r="AB416" s="55"/>
      <c r="AC416" s="55"/>
      <c r="AD416" s="55"/>
      <c r="AE416" s="55"/>
      <c r="AF416" s="55"/>
      <c r="AG416" s="55"/>
      <c r="AH416" s="55"/>
      <c r="AI416" s="55"/>
      <c r="AJ416" s="55"/>
      <c r="AK416" s="55"/>
      <c r="AL416" s="55"/>
      <c r="AM416" s="55"/>
      <c r="AN416" s="55"/>
      <c r="AO416" s="55"/>
      <c r="AP416" s="55"/>
      <c r="AQ416" s="55"/>
      <c r="AR416" s="55"/>
      <c r="AS416" s="55"/>
      <c r="AT416" s="55"/>
      <c r="AU416" s="55"/>
      <c r="AV416" s="55"/>
      <c r="AW416" s="55"/>
      <c r="AX416" s="55"/>
      <c r="AY416" s="55"/>
      <c r="AZ416" s="55"/>
      <c r="BA416" s="55"/>
      <c r="BB416" s="55"/>
      <c r="BC416" s="55"/>
      <c r="BD416" s="55"/>
      <c r="BE416" s="55"/>
      <c r="BF416" s="55"/>
      <c r="BG416" s="55"/>
      <c r="BH416" s="55"/>
      <c r="BI416" s="55"/>
      <c r="BJ416" s="55"/>
      <c r="BK416" s="55"/>
      <c r="BL416" s="55"/>
      <c r="BM416" s="55"/>
      <c r="BN416" s="55"/>
      <c r="BO416" s="55"/>
      <c r="BP416" s="55"/>
      <c r="BQ416" s="55"/>
      <c r="BR416" s="55"/>
      <c r="BS416" s="55"/>
    </row>
    <row r="417" spans="1:71" outlineLevel="1" x14ac:dyDescent="0.2">
      <c r="C417" t="str">
        <f>HM_ZB_Nsoko!C430</f>
        <v>Dépenses d'investissement</v>
      </c>
      <c r="J417" s="26"/>
      <c r="L417" s="55"/>
      <c r="M417" s="55"/>
      <c r="N417" s="55"/>
      <c r="O417" s="55"/>
      <c r="P417" s="55"/>
      <c r="Q417" s="55"/>
      <c r="R417" s="55"/>
      <c r="S417" s="55"/>
      <c r="T417" s="55"/>
      <c r="U417" s="55"/>
      <c r="V417" s="55"/>
      <c r="W417" s="55"/>
      <c r="X417" s="55"/>
      <c r="Y417" s="55"/>
      <c r="Z417" s="55"/>
      <c r="AA417" s="55"/>
      <c r="AB417" s="55"/>
      <c r="AC417" s="55"/>
      <c r="AD417" s="55"/>
      <c r="AE417" s="55"/>
      <c r="AF417" s="55"/>
      <c r="AG417" s="55"/>
      <c r="AH417" s="55"/>
      <c r="AI417" s="55"/>
      <c r="AJ417" s="55"/>
      <c r="AK417" s="55"/>
      <c r="AL417" s="55"/>
      <c r="AM417" s="55"/>
      <c r="AN417" s="55"/>
      <c r="AO417" s="55"/>
      <c r="AP417" s="55"/>
      <c r="AQ417" s="55"/>
      <c r="AR417" s="55"/>
      <c r="AS417" s="55"/>
      <c r="AT417" s="55"/>
      <c r="AU417" s="55"/>
      <c r="AV417" s="55"/>
      <c r="AW417" s="55"/>
      <c r="AX417" s="55"/>
      <c r="AY417" s="55"/>
      <c r="AZ417" s="55"/>
      <c r="BA417" s="55"/>
      <c r="BB417" s="55"/>
      <c r="BC417" s="55"/>
      <c r="BD417" s="55"/>
      <c r="BE417" s="55"/>
      <c r="BF417" s="55"/>
      <c r="BG417" s="55"/>
      <c r="BH417" s="55"/>
      <c r="BI417" s="55"/>
      <c r="BJ417" s="55"/>
      <c r="BK417" s="55"/>
      <c r="BL417" s="55"/>
      <c r="BM417" s="55"/>
      <c r="BN417" s="55"/>
      <c r="BO417" s="55"/>
      <c r="BP417" s="55"/>
      <c r="BQ417" s="55"/>
      <c r="BR417" s="55"/>
      <c r="BS417" s="55"/>
    </row>
    <row r="418" spans="1:71" outlineLevel="1" x14ac:dyDescent="0.2">
      <c r="D418" t="str">
        <f>HM_ZB_Nsoko!D431</f>
        <v>Exploration et évaluation</v>
      </c>
      <c r="I418" s="30">
        <f t="shared" ref="I418:I423" ca="1" si="126">SUM($L418:$BS418)</f>
        <v>0</v>
      </c>
      <c r="J418" s="26" t="s">
        <v>148</v>
      </c>
      <c r="L418" s="49" cm="1">
        <f t="array" aca="1" ref="L418:BS418" ca="1">KLL_II_2020!CA_expex_nom</f>
        <v>0</v>
      </c>
      <c r="M418" s="49">
        <f ca="1"/>
        <v>0</v>
      </c>
      <c r="N418" s="49">
        <f ca="1"/>
        <v>0</v>
      </c>
      <c r="O418" s="49">
        <f ca="1"/>
        <v>0</v>
      </c>
      <c r="P418" s="49">
        <f ca="1"/>
        <v>0</v>
      </c>
      <c r="Q418" s="49">
        <f ca="1"/>
        <v>0</v>
      </c>
      <c r="R418" s="49">
        <f ca="1"/>
        <v>0</v>
      </c>
      <c r="S418" s="49">
        <f ca="1"/>
        <v>0</v>
      </c>
      <c r="T418" s="49">
        <f ca="1"/>
        <v>0</v>
      </c>
      <c r="U418" s="49">
        <f ca="1"/>
        <v>0</v>
      </c>
      <c r="V418" s="49">
        <f ca="1"/>
        <v>0</v>
      </c>
      <c r="W418" s="49">
        <f ca="1"/>
        <v>0</v>
      </c>
      <c r="X418" s="49">
        <f ca="1"/>
        <v>0</v>
      </c>
      <c r="Y418" s="49">
        <f ca="1"/>
        <v>0</v>
      </c>
      <c r="Z418" s="49">
        <f ca="1"/>
        <v>0</v>
      </c>
      <c r="AA418" s="49">
        <f ca="1"/>
        <v>0</v>
      </c>
      <c r="AB418" s="49">
        <f ca="1"/>
        <v>0</v>
      </c>
      <c r="AC418" s="49">
        <f ca="1"/>
        <v>0</v>
      </c>
      <c r="AD418" s="49">
        <f ca="1"/>
        <v>0</v>
      </c>
      <c r="AE418" s="49">
        <f ca="1"/>
        <v>0</v>
      </c>
      <c r="AF418" s="49">
        <f ca="1"/>
        <v>0</v>
      </c>
      <c r="AG418" s="49">
        <f ca="1"/>
        <v>0</v>
      </c>
      <c r="AH418" s="49">
        <f ca="1"/>
        <v>0</v>
      </c>
      <c r="AI418" s="49">
        <f ca="1"/>
        <v>0</v>
      </c>
      <c r="AJ418" s="49">
        <f ca="1"/>
        <v>0</v>
      </c>
      <c r="AK418" s="49">
        <f ca="1"/>
        <v>0</v>
      </c>
      <c r="AL418" s="49">
        <f ca="1"/>
        <v>0</v>
      </c>
      <c r="AM418" s="49">
        <f ca="1"/>
        <v>0</v>
      </c>
      <c r="AN418" s="49">
        <f ca="1"/>
        <v>0</v>
      </c>
      <c r="AO418" s="49">
        <f ca="1"/>
        <v>0</v>
      </c>
      <c r="AP418" s="49">
        <f ca="1"/>
        <v>0</v>
      </c>
      <c r="AQ418" s="49">
        <f ca="1"/>
        <v>0</v>
      </c>
      <c r="AR418" s="49">
        <f ca="1"/>
        <v>0</v>
      </c>
      <c r="AS418" s="49">
        <f ca="1"/>
        <v>0</v>
      </c>
      <c r="AT418" s="49">
        <f ca="1"/>
        <v>0</v>
      </c>
      <c r="AU418" s="49">
        <f ca="1"/>
        <v>0</v>
      </c>
      <c r="AV418" s="49">
        <f ca="1"/>
        <v>0</v>
      </c>
      <c r="AW418" s="49">
        <f ca="1"/>
        <v>0</v>
      </c>
      <c r="AX418" s="49">
        <f ca="1"/>
        <v>0</v>
      </c>
      <c r="AY418" s="49">
        <f ca="1"/>
        <v>0</v>
      </c>
      <c r="AZ418" s="49">
        <f ca="1"/>
        <v>0</v>
      </c>
      <c r="BA418" s="49">
        <f ca="1"/>
        <v>0</v>
      </c>
      <c r="BB418" s="49">
        <f ca="1"/>
        <v>0</v>
      </c>
      <c r="BC418" s="49">
        <f ca="1"/>
        <v>0</v>
      </c>
      <c r="BD418" s="49">
        <f ca="1"/>
        <v>0</v>
      </c>
      <c r="BE418" s="49">
        <f ca="1"/>
        <v>0</v>
      </c>
      <c r="BF418" s="49">
        <f ca="1"/>
        <v>0</v>
      </c>
      <c r="BG418" s="49">
        <f ca="1"/>
        <v>0</v>
      </c>
      <c r="BH418" s="49">
        <f ca="1"/>
        <v>0</v>
      </c>
      <c r="BI418" s="49">
        <f ca="1"/>
        <v>0</v>
      </c>
      <c r="BJ418" s="49">
        <f ca="1"/>
        <v>0</v>
      </c>
      <c r="BK418" s="49">
        <f ca="1"/>
        <v>0</v>
      </c>
      <c r="BL418" s="49">
        <f ca="1"/>
        <v>0</v>
      </c>
      <c r="BM418" s="49">
        <f ca="1"/>
        <v>0</v>
      </c>
      <c r="BN418" s="49">
        <f ca="1"/>
        <v>0</v>
      </c>
      <c r="BO418" s="49">
        <f ca="1"/>
        <v>0</v>
      </c>
      <c r="BP418" s="49">
        <f ca="1"/>
        <v>0</v>
      </c>
      <c r="BQ418" s="49">
        <f ca="1"/>
        <v>0</v>
      </c>
      <c r="BR418" s="49">
        <f ca="1"/>
        <v>0</v>
      </c>
      <c r="BS418" s="49">
        <f ca="1"/>
        <v>0</v>
      </c>
    </row>
    <row r="419" spans="1:71" outlineLevel="1" x14ac:dyDescent="0.2">
      <c r="D419" t="str">
        <f>HM_ZB_Nsoko!D432</f>
        <v>Coûts de développement</v>
      </c>
      <c r="I419" s="30">
        <f t="shared" ca="1" si="126"/>
        <v>406.02799999999996</v>
      </c>
      <c r="J419" s="26" t="s">
        <v>148</v>
      </c>
      <c r="L419" s="49" cm="1">
        <f t="array" aca="1" ref="L419:BS419" ca="1">KLL_II_2020!CA_devex_nom</f>
        <v>51.014000000000003</v>
      </c>
      <c r="M419" s="49">
        <f ca="1"/>
        <v>171.511</v>
      </c>
      <c r="N419" s="49">
        <f ca="1"/>
        <v>76.641000000000005</v>
      </c>
      <c r="O419" s="49">
        <f ca="1"/>
        <v>28.661999999999999</v>
      </c>
      <c r="P419" s="49">
        <f ca="1"/>
        <v>18.2</v>
      </c>
      <c r="Q419" s="49">
        <f ca="1"/>
        <v>60</v>
      </c>
      <c r="R419" s="49">
        <f ca="1"/>
        <v>0</v>
      </c>
      <c r="S419" s="49">
        <f ca="1"/>
        <v>0</v>
      </c>
      <c r="T419" s="49">
        <f ca="1"/>
        <v>0</v>
      </c>
      <c r="U419" s="49">
        <f ca="1"/>
        <v>0</v>
      </c>
      <c r="V419" s="49">
        <f ca="1"/>
        <v>0</v>
      </c>
      <c r="W419" s="49">
        <f ca="1"/>
        <v>0</v>
      </c>
      <c r="X419" s="49">
        <f ca="1"/>
        <v>0</v>
      </c>
      <c r="Y419" s="49">
        <f ca="1"/>
        <v>0</v>
      </c>
      <c r="Z419" s="49">
        <f ca="1"/>
        <v>0</v>
      </c>
      <c r="AA419" s="49">
        <f ca="1"/>
        <v>0</v>
      </c>
      <c r="AB419" s="49">
        <f ca="1"/>
        <v>0</v>
      </c>
      <c r="AC419" s="49">
        <f ca="1"/>
        <v>0</v>
      </c>
      <c r="AD419" s="49">
        <f ca="1"/>
        <v>0</v>
      </c>
      <c r="AE419" s="49">
        <f ca="1"/>
        <v>0</v>
      </c>
      <c r="AF419" s="49">
        <f ca="1"/>
        <v>0</v>
      </c>
      <c r="AG419" s="49">
        <f ca="1"/>
        <v>0</v>
      </c>
      <c r="AH419" s="49">
        <f ca="1"/>
        <v>0</v>
      </c>
      <c r="AI419" s="49">
        <f ca="1"/>
        <v>0</v>
      </c>
      <c r="AJ419" s="49">
        <f ca="1"/>
        <v>0</v>
      </c>
      <c r="AK419" s="49">
        <f ca="1"/>
        <v>0</v>
      </c>
      <c r="AL419" s="49">
        <f ca="1"/>
        <v>0</v>
      </c>
      <c r="AM419" s="49">
        <f ca="1"/>
        <v>0</v>
      </c>
      <c r="AN419" s="49">
        <f ca="1"/>
        <v>0</v>
      </c>
      <c r="AO419" s="49">
        <f ca="1"/>
        <v>0</v>
      </c>
      <c r="AP419" s="49">
        <f ca="1"/>
        <v>0</v>
      </c>
      <c r="AQ419" s="49">
        <f ca="1"/>
        <v>0</v>
      </c>
      <c r="AR419" s="49">
        <f ca="1"/>
        <v>0</v>
      </c>
      <c r="AS419" s="49">
        <f ca="1"/>
        <v>0</v>
      </c>
      <c r="AT419" s="49">
        <f ca="1"/>
        <v>0</v>
      </c>
      <c r="AU419" s="49">
        <f ca="1"/>
        <v>0</v>
      </c>
      <c r="AV419" s="49">
        <f ca="1"/>
        <v>0</v>
      </c>
      <c r="AW419" s="49">
        <f ca="1"/>
        <v>0</v>
      </c>
      <c r="AX419" s="49">
        <f ca="1"/>
        <v>0</v>
      </c>
      <c r="AY419" s="49">
        <f ca="1"/>
        <v>0</v>
      </c>
      <c r="AZ419" s="49">
        <f ca="1"/>
        <v>0</v>
      </c>
      <c r="BA419" s="49">
        <f ca="1"/>
        <v>0</v>
      </c>
      <c r="BB419" s="49">
        <f ca="1"/>
        <v>0</v>
      </c>
      <c r="BC419" s="49">
        <f ca="1"/>
        <v>0</v>
      </c>
      <c r="BD419" s="49">
        <f ca="1"/>
        <v>0</v>
      </c>
      <c r="BE419" s="49">
        <f ca="1"/>
        <v>0</v>
      </c>
      <c r="BF419" s="49">
        <f ca="1"/>
        <v>0</v>
      </c>
      <c r="BG419" s="49">
        <f ca="1"/>
        <v>0</v>
      </c>
      <c r="BH419" s="49">
        <f ca="1"/>
        <v>0</v>
      </c>
      <c r="BI419" s="49">
        <f ca="1"/>
        <v>0</v>
      </c>
      <c r="BJ419" s="49">
        <f ca="1"/>
        <v>0</v>
      </c>
      <c r="BK419" s="49">
        <f ca="1"/>
        <v>0</v>
      </c>
      <c r="BL419" s="49">
        <f ca="1"/>
        <v>0</v>
      </c>
      <c r="BM419" s="49">
        <f ca="1"/>
        <v>0</v>
      </c>
      <c r="BN419" s="49">
        <f ca="1"/>
        <v>0</v>
      </c>
      <c r="BO419" s="49">
        <f ca="1"/>
        <v>0</v>
      </c>
      <c r="BP419" s="49">
        <f ca="1"/>
        <v>0</v>
      </c>
      <c r="BQ419" s="49">
        <f ca="1"/>
        <v>0</v>
      </c>
      <c r="BR419" s="49">
        <f ca="1"/>
        <v>0</v>
      </c>
      <c r="BS419" s="49">
        <f ca="1"/>
        <v>0</v>
      </c>
    </row>
    <row r="420" spans="1:71" outlineLevel="1" x14ac:dyDescent="0.2">
      <c r="D420" t="str">
        <f>HM_ZB_Nsoko!D433</f>
        <v>Abandon</v>
      </c>
      <c r="I420" s="30">
        <f t="shared" ca="1" si="126"/>
        <v>675.7120000000001</v>
      </c>
      <c r="J420" s="26" t="s">
        <v>148</v>
      </c>
      <c r="L420" s="49" cm="1">
        <f t="array" aca="1" ref="L420:BS420" ca="1">KLL_II_2020!CA_decom_nom</f>
        <v>28.318999999999999</v>
      </c>
      <c r="M420" s="49">
        <f ca="1"/>
        <v>38.320999999999998</v>
      </c>
      <c r="N420" s="49">
        <f ca="1"/>
        <v>51.231000000000002</v>
      </c>
      <c r="O420" s="49">
        <f ca="1"/>
        <v>101.089</v>
      </c>
      <c r="P420" s="49">
        <f ca="1"/>
        <v>131.86000000000001</v>
      </c>
      <c r="Q420" s="49">
        <f ca="1"/>
        <v>161.22499999999999</v>
      </c>
      <c r="R420" s="49">
        <f ca="1"/>
        <v>163.667</v>
      </c>
      <c r="S420" s="49">
        <f ca="1"/>
        <v>0</v>
      </c>
      <c r="T420" s="49">
        <f ca="1"/>
        <v>0</v>
      </c>
      <c r="U420" s="49">
        <f ca="1"/>
        <v>0</v>
      </c>
      <c r="V420" s="49">
        <f ca="1"/>
        <v>0</v>
      </c>
      <c r="W420" s="49">
        <f ca="1"/>
        <v>0</v>
      </c>
      <c r="X420" s="49">
        <f ca="1"/>
        <v>0</v>
      </c>
      <c r="Y420" s="49">
        <f ca="1"/>
        <v>0</v>
      </c>
      <c r="Z420" s="49">
        <f ca="1"/>
        <v>0</v>
      </c>
      <c r="AA420" s="49">
        <f ca="1"/>
        <v>0</v>
      </c>
      <c r="AB420" s="49">
        <f ca="1"/>
        <v>0</v>
      </c>
      <c r="AC420" s="49">
        <f ca="1"/>
        <v>0</v>
      </c>
      <c r="AD420" s="49">
        <f ca="1"/>
        <v>0</v>
      </c>
      <c r="AE420" s="49">
        <f ca="1"/>
        <v>0</v>
      </c>
      <c r="AF420" s="49">
        <f ca="1"/>
        <v>0</v>
      </c>
      <c r="AG420" s="49">
        <f ca="1"/>
        <v>0</v>
      </c>
      <c r="AH420" s="49">
        <f ca="1"/>
        <v>0</v>
      </c>
      <c r="AI420" s="49">
        <f ca="1"/>
        <v>0</v>
      </c>
      <c r="AJ420" s="49">
        <f ca="1"/>
        <v>0</v>
      </c>
      <c r="AK420" s="49">
        <f ca="1"/>
        <v>0</v>
      </c>
      <c r="AL420" s="49">
        <f ca="1"/>
        <v>0</v>
      </c>
      <c r="AM420" s="49">
        <f ca="1"/>
        <v>0</v>
      </c>
      <c r="AN420" s="49">
        <f ca="1"/>
        <v>0</v>
      </c>
      <c r="AO420" s="49">
        <f ca="1"/>
        <v>0</v>
      </c>
      <c r="AP420" s="49">
        <f ca="1"/>
        <v>0</v>
      </c>
      <c r="AQ420" s="49">
        <f ca="1"/>
        <v>0</v>
      </c>
      <c r="AR420" s="49">
        <f ca="1"/>
        <v>0</v>
      </c>
      <c r="AS420" s="49">
        <f ca="1"/>
        <v>0</v>
      </c>
      <c r="AT420" s="49">
        <f ca="1"/>
        <v>0</v>
      </c>
      <c r="AU420" s="49">
        <f ca="1"/>
        <v>0</v>
      </c>
      <c r="AV420" s="49">
        <f ca="1"/>
        <v>0</v>
      </c>
      <c r="AW420" s="49">
        <f ca="1"/>
        <v>0</v>
      </c>
      <c r="AX420" s="49">
        <f ca="1"/>
        <v>0</v>
      </c>
      <c r="AY420" s="49">
        <f ca="1"/>
        <v>0</v>
      </c>
      <c r="AZ420" s="49">
        <f ca="1"/>
        <v>0</v>
      </c>
      <c r="BA420" s="49">
        <f ca="1"/>
        <v>0</v>
      </c>
      <c r="BB420" s="49">
        <f ca="1"/>
        <v>0</v>
      </c>
      <c r="BC420" s="49">
        <f ca="1"/>
        <v>0</v>
      </c>
      <c r="BD420" s="49">
        <f ca="1"/>
        <v>0</v>
      </c>
      <c r="BE420" s="49">
        <f ca="1"/>
        <v>0</v>
      </c>
      <c r="BF420" s="49">
        <f ca="1"/>
        <v>0</v>
      </c>
      <c r="BG420" s="49">
        <f ca="1"/>
        <v>0</v>
      </c>
      <c r="BH420" s="49">
        <f ca="1"/>
        <v>0</v>
      </c>
      <c r="BI420" s="49">
        <f ca="1"/>
        <v>0</v>
      </c>
      <c r="BJ420" s="49">
        <f ca="1"/>
        <v>0</v>
      </c>
      <c r="BK420" s="49">
        <f ca="1"/>
        <v>0</v>
      </c>
      <c r="BL420" s="49">
        <f ca="1"/>
        <v>0</v>
      </c>
      <c r="BM420" s="49">
        <f ca="1"/>
        <v>0</v>
      </c>
      <c r="BN420" s="49">
        <f ca="1"/>
        <v>0</v>
      </c>
      <c r="BO420" s="49">
        <f ca="1"/>
        <v>0</v>
      </c>
      <c r="BP420" s="49">
        <f ca="1"/>
        <v>0</v>
      </c>
      <c r="BQ420" s="49">
        <f ca="1"/>
        <v>0</v>
      </c>
      <c r="BR420" s="49">
        <f ca="1"/>
        <v>0</v>
      </c>
      <c r="BS420" s="49">
        <f ca="1"/>
        <v>0</v>
      </c>
    </row>
    <row r="421" spans="1:71" outlineLevel="1" x14ac:dyDescent="0.2">
      <c r="D421" s="11" t="str">
        <f>HM_ZB_Nsoko!D434</f>
        <v>Total Capex</v>
      </c>
      <c r="I421" s="30">
        <f t="shared" ca="1" si="126"/>
        <v>1081.74</v>
      </c>
      <c r="J421" s="26" t="s">
        <v>148</v>
      </c>
      <c r="L421" s="49">
        <f ca="1">SUM(L418:L420)</f>
        <v>79.332999999999998</v>
      </c>
      <c r="M421" s="49">
        <f t="shared" ref="M421:BS421" ca="1" si="127">SUM(M418:M420)</f>
        <v>209.83199999999999</v>
      </c>
      <c r="N421" s="49">
        <f t="shared" ca="1" si="127"/>
        <v>127.87200000000001</v>
      </c>
      <c r="O421" s="49">
        <f t="shared" ca="1" si="127"/>
        <v>129.751</v>
      </c>
      <c r="P421" s="49">
        <f t="shared" ca="1" si="127"/>
        <v>150.06</v>
      </c>
      <c r="Q421" s="49">
        <f t="shared" ca="1" si="127"/>
        <v>221.22499999999999</v>
      </c>
      <c r="R421" s="49">
        <f t="shared" ca="1" si="127"/>
        <v>163.667</v>
      </c>
      <c r="S421" s="49">
        <f t="shared" ca="1" si="127"/>
        <v>0</v>
      </c>
      <c r="T421" s="49">
        <f t="shared" ca="1" si="127"/>
        <v>0</v>
      </c>
      <c r="U421" s="49">
        <f t="shared" ca="1" si="127"/>
        <v>0</v>
      </c>
      <c r="V421" s="49">
        <f t="shared" ca="1" si="127"/>
        <v>0</v>
      </c>
      <c r="W421" s="49">
        <f t="shared" ca="1" si="127"/>
        <v>0</v>
      </c>
      <c r="X421" s="49">
        <f t="shared" ca="1" si="127"/>
        <v>0</v>
      </c>
      <c r="Y421" s="49">
        <f t="shared" ca="1" si="127"/>
        <v>0</v>
      </c>
      <c r="Z421" s="49">
        <f t="shared" ca="1" si="127"/>
        <v>0</v>
      </c>
      <c r="AA421" s="49">
        <f t="shared" ca="1" si="127"/>
        <v>0</v>
      </c>
      <c r="AB421" s="49">
        <f t="shared" ca="1" si="127"/>
        <v>0</v>
      </c>
      <c r="AC421" s="49">
        <f t="shared" ca="1" si="127"/>
        <v>0</v>
      </c>
      <c r="AD421" s="49">
        <f t="shared" ca="1" si="127"/>
        <v>0</v>
      </c>
      <c r="AE421" s="49">
        <f t="shared" ca="1" si="127"/>
        <v>0</v>
      </c>
      <c r="AF421" s="49">
        <f t="shared" ca="1" si="127"/>
        <v>0</v>
      </c>
      <c r="AG421" s="49">
        <f t="shared" ca="1" si="127"/>
        <v>0</v>
      </c>
      <c r="AH421" s="49">
        <f t="shared" ca="1" si="127"/>
        <v>0</v>
      </c>
      <c r="AI421" s="49">
        <f t="shared" ca="1" si="127"/>
        <v>0</v>
      </c>
      <c r="AJ421" s="49">
        <f t="shared" ca="1" si="127"/>
        <v>0</v>
      </c>
      <c r="AK421" s="49">
        <f t="shared" ca="1" si="127"/>
        <v>0</v>
      </c>
      <c r="AL421" s="49">
        <f t="shared" ca="1" si="127"/>
        <v>0</v>
      </c>
      <c r="AM421" s="49">
        <f t="shared" ca="1" si="127"/>
        <v>0</v>
      </c>
      <c r="AN421" s="49">
        <f t="shared" ca="1" si="127"/>
        <v>0</v>
      </c>
      <c r="AO421" s="49">
        <f t="shared" ca="1" si="127"/>
        <v>0</v>
      </c>
      <c r="AP421" s="49">
        <f t="shared" ca="1" si="127"/>
        <v>0</v>
      </c>
      <c r="AQ421" s="49">
        <f t="shared" ca="1" si="127"/>
        <v>0</v>
      </c>
      <c r="AR421" s="49">
        <f t="shared" ca="1" si="127"/>
        <v>0</v>
      </c>
      <c r="AS421" s="49">
        <f t="shared" ca="1" si="127"/>
        <v>0</v>
      </c>
      <c r="AT421" s="49">
        <f t="shared" ca="1" si="127"/>
        <v>0</v>
      </c>
      <c r="AU421" s="49">
        <f t="shared" ca="1" si="127"/>
        <v>0</v>
      </c>
      <c r="AV421" s="49">
        <f t="shared" ca="1" si="127"/>
        <v>0</v>
      </c>
      <c r="AW421" s="49">
        <f t="shared" ca="1" si="127"/>
        <v>0</v>
      </c>
      <c r="AX421" s="49">
        <f t="shared" ca="1" si="127"/>
        <v>0</v>
      </c>
      <c r="AY421" s="49">
        <f t="shared" ca="1" si="127"/>
        <v>0</v>
      </c>
      <c r="AZ421" s="49">
        <f t="shared" ca="1" si="127"/>
        <v>0</v>
      </c>
      <c r="BA421" s="49">
        <f t="shared" ca="1" si="127"/>
        <v>0</v>
      </c>
      <c r="BB421" s="49">
        <f t="shared" ca="1" si="127"/>
        <v>0</v>
      </c>
      <c r="BC421" s="49">
        <f t="shared" ca="1" si="127"/>
        <v>0</v>
      </c>
      <c r="BD421" s="49">
        <f t="shared" ca="1" si="127"/>
        <v>0</v>
      </c>
      <c r="BE421" s="49">
        <f t="shared" ca="1" si="127"/>
        <v>0</v>
      </c>
      <c r="BF421" s="49">
        <f t="shared" ca="1" si="127"/>
        <v>0</v>
      </c>
      <c r="BG421" s="49">
        <f t="shared" ca="1" si="127"/>
        <v>0</v>
      </c>
      <c r="BH421" s="49">
        <f t="shared" ca="1" si="127"/>
        <v>0</v>
      </c>
      <c r="BI421" s="49">
        <f t="shared" ca="1" si="127"/>
        <v>0</v>
      </c>
      <c r="BJ421" s="49">
        <f t="shared" ca="1" si="127"/>
        <v>0</v>
      </c>
      <c r="BK421" s="49">
        <f t="shared" ca="1" si="127"/>
        <v>0</v>
      </c>
      <c r="BL421" s="49">
        <f t="shared" ca="1" si="127"/>
        <v>0</v>
      </c>
      <c r="BM421" s="49">
        <f t="shared" ca="1" si="127"/>
        <v>0</v>
      </c>
      <c r="BN421" s="49">
        <f t="shared" ca="1" si="127"/>
        <v>0</v>
      </c>
      <c r="BO421" s="49">
        <f t="shared" ca="1" si="127"/>
        <v>0</v>
      </c>
      <c r="BP421" s="49">
        <f t="shared" ca="1" si="127"/>
        <v>0</v>
      </c>
      <c r="BQ421" s="49">
        <f t="shared" ca="1" si="127"/>
        <v>0</v>
      </c>
      <c r="BR421" s="49">
        <f t="shared" ca="1" si="127"/>
        <v>0</v>
      </c>
      <c r="BS421" s="49">
        <f t="shared" ca="1" si="127"/>
        <v>0</v>
      </c>
    </row>
    <row r="422" spans="1:71" outlineLevel="1" x14ac:dyDescent="0.2">
      <c r="J422" s="26"/>
      <c r="L422" s="55"/>
      <c r="M422" s="55"/>
      <c r="N422" s="55"/>
      <c r="O422" s="55"/>
      <c r="P422" s="55"/>
      <c r="Q422" s="55"/>
      <c r="R422" s="55"/>
      <c r="S422" s="55"/>
      <c r="T422" s="55"/>
      <c r="U422" s="55"/>
      <c r="V422" s="55"/>
      <c r="W422" s="55"/>
      <c r="X422" s="55"/>
      <c r="Y422" s="55"/>
      <c r="Z422" s="55"/>
      <c r="AA422" s="55"/>
      <c r="AB422" s="55"/>
      <c r="AC422" s="55"/>
      <c r="AD422" s="55"/>
      <c r="AE422" s="55"/>
      <c r="AF422" s="55"/>
      <c r="AG422" s="55"/>
      <c r="AH422" s="55"/>
      <c r="AI422" s="55"/>
      <c r="AJ422" s="55"/>
      <c r="AK422" s="55"/>
      <c r="AL422" s="55"/>
      <c r="AM422" s="55"/>
      <c r="AN422" s="55"/>
      <c r="AO422" s="55"/>
      <c r="AP422" s="55"/>
      <c r="AQ422" s="55"/>
      <c r="AR422" s="55"/>
      <c r="AS422" s="55"/>
      <c r="AT422" s="55"/>
      <c r="AU422" s="55"/>
      <c r="AV422" s="55"/>
      <c r="AW422" s="55"/>
      <c r="AX422" s="55"/>
      <c r="AY422" s="55"/>
      <c r="AZ422" s="55"/>
      <c r="BA422" s="55"/>
      <c r="BB422" s="55"/>
      <c r="BC422" s="55"/>
      <c r="BD422" s="55"/>
      <c r="BE422" s="55"/>
      <c r="BF422" s="55"/>
      <c r="BG422" s="55"/>
      <c r="BH422" s="55"/>
      <c r="BI422" s="55"/>
      <c r="BJ422" s="55"/>
      <c r="BK422" s="55"/>
      <c r="BL422" s="55"/>
      <c r="BM422" s="55"/>
      <c r="BN422" s="55"/>
      <c r="BO422" s="55"/>
      <c r="BP422" s="55"/>
      <c r="BQ422" s="55"/>
      <c r="BR422" s="55"/>
      <c r="BS422" s="55"/>
    </row>
    <row r="423" spans="1:71" outlineLevel="1" x14ac:dyDescent="0.2">
      <c r="C423" s="11" t="str">
        <f>HM_ZB_Nsoko!C436</f>
        <v>Revenu divisible</v>
      </c>
      <c r="F423" s="79"/>
      <c r="I423" s="30">
        <f t="shared" ca="1" si="126"/>
        <v>2479.1889214424746</v>
      </c>
      <c r="J423" s="26" t="s">
        <v>148</v>
      </c>
      <c r="L423" s="49">
        <f ca="1">L410-L415-L421</f>
        <v>354.42008528100007</v>
      </c>
      <c r="M423" s="49">
        <f t="shared" ref="M423:BS423" ca="1" si="128">M410-M415-M421</f>
        <v>257.21423595300001</v>
      </c>
      <c r="N423" s="49">
        <f t="shared" ca="1" si="128"/>
        <v>95.614711716999921</v>
      </c>
      <c r="O423" s="49">
        <f t="shared" ca="1" si="128"/>
        <v>-60.364112215999995</v>
      </c>
      <c r="P423" s="49">
        <f t="shared" ca="1" si="128"/>
        <v>50.014898012000089</v>
      </c>
      <c r="Q423" s="49">
        <f t="shared" ca="1" si="128"/>
        <v>140.80426503900006</v>
      </c>
      <c r="R423" s="49">
        <f t="shared" ca="1" si="128"/>
        <v>170.87929415299996</v>
      </c>
      <c r="S423" s="49">
        <f t="shared" ca="1" si="128"/>
        <v>163.70804700000002</v>
      </c>
      <c r="T423" s="49">
        <f t="shared" ca="1" si="128"/>
        <v>283.53274284479994</v>
      </c>
      <c r="U423" s="49">
        <f t="shared" ca="1" si="128"/>
        <v>282.33054779399998</v>
      </c>
      <c r="V423" s="49">
        <f t="shared" ca="1" si="128"/>
        <v>264.07331763738836</v>
      </c>
      <c r="W423" s="49">
        <f t="shared" ca="1" si="128"/>
        <v>246.72417104682657</v>
      </c>
      <c r="X423" s="49">
        <f t="shared" ca="1" si="128"/>
        <v>230.23671718045966</v>
      </c>
      <c r="Y423" s="49">
        <f t="shared" ca="1" si="128"/>
        <v>0</v>
      </c>
      <c r="Z423" s="49">
        <f t="shared" ca="1" si="128"/>
        <v>0</v>
      </c>
      <c r="AA423" s="49">
        <f t="shared" ca="1" si="128"/>
        <v>0</v>
      </c>
      <c r="AB423" s="49">
        <f t="shared" ca="1" si="128"/>
        <v>0</v>
      </c>
      <c r="AC423" s="49">
        <f t="shared" ca="1" si="128"/>
        <v>0</v>
      </c>
      <c r="AD423" s="49">
        <f t="shared" ca="1" si="128"/>
        <v>0</v>
      </c>
      <c r="AE423" s="49">
        <f t="shared" ca="1" si="128"/>
        <v>0</v>
      </c>
      <c r="AF423" s="49">
        <f t="shared" ca="1" si="128"/>
        <v>0</v>
      </c>
      <c r="AG423" s="49">
        <f t="shared" ca="1" si="128"/>
        <v>0</v>
      </c>
      <c r="AH423" s="49">
        <f t="shared" ca="1" si="128"/>
        <v>0</v>
      </c>
      <c r="AI423" s="49">
        <f t="shared" ca="1" si="128"/>
        <v>0</v>
      </c>
      <c r="AJ423" s="49">
        <f t="shared" ca="1" si="128"/>
        <v>0</v>
      </c>
      <c r="AK423" s="49">
        <f t="shared" ca="1" si="128"/>
        <v>0</v>
      </c>
      <c r="AL423" s="49">
        <f t="shared" ca="1" si="128"/>
        <v>0</v>
      </c>
      <c r="AM423" s="49">
        <f t="shared" ca="1" si="128"/>
        <v>0</v>
      </c>
      <c r="AN423" s="49">
        <f t="shared" ca="1" si="128"/>
        <v>0</v>
      </c>
      <c r="AO423" s="49">
        <f t="shared" ca="1" si="128"/>
        <v>0</v>
      </c>
      <c r="AP423" s="49">
        <f t="shared" ca="1" si="128"/>
        <v>0</v>
      </c>
      <c r="AQ423" s="49">
        <f t="shared" ca="1" si="128"/>
        <v>0</v>
      </c>
      <c r="AR423" s="49">
        <f t="shared" ca="1" si="128"/>
        <v>0</v>
      </c>
      <c r="AS423" s="49">
        <f t="shared" ca="1" si="128"/>
        <v>0</v>
      </c>
      <c r="AT423" s="49">
        <f t="shared" ca="1" si="128"/>
        <v>0</v>
      </c>
      <c r="AU423" s="49">
        <f t="shared" ca="1" si="128"/>
        <v>0</v>
      </c>
      <c r="AV423" s="49">
        <f t="shared" ca="1" si="128"/>
        <v>0</v>
      </c>
      <c r="AW423" s="49">
        <f t="shared" ca="1" si="128"/>
        <v>0</v>
      </c>
      <c r="AX423" s="49">
        <f t="shared" ca="1" si="128"/>
        <v>0</v>
      </c>
      <c r="AY423" s="49">
        <f t="shared" ca="1" si="128"/>
        <v>0</v>
      </c>
      <c r="AZ423" s="49">
        <f t="shared" ca="1" si="128"/>
        <v>0</v>
      </c>
      <c r="BA423" s="49">
        <f t="shared" ca="1" si="128"/>
        <v>0</v>
      </c>
      <c r="BB423" s="49">
        <f t="shared" ca="1" si="128"/>
        <v>0</v>
      </c>
      <c r="BC423" s="49">
        <f t="shared" ca="1" si="128"/>
        <v>0</v>
      </c>
      <c r="BD423" s="49">
        <f t="shared" ca="1" si="128"/>
        <v>0</v>
      </c>
      <c r="BE423" s="49">
        <f t="shared" ca="1" si="128"/>
        <v>0</v>
      </c>
      <c r="BF423" s="49">
        <f t="shared" ca="1" si="128"/>
        <v>0</v>
      </c>
      <c r="BG423" s="49">
        <f t="shared" ca="1" si="128"/>
        <v>0</v>
      </c>
      <c r="BH423" s="49">
        <f t="shared" ca="1" si="128"/>
        <v>0</v>
      </c>
      <c r="BI423" s="49">
        <f t="shared" ca="1" si="128"/>
        <v>0</v>
      </c>
      <c r="BJ423" s="49">
        <f t="shared" ca="1" si="128"/>
        <v>0</v>
      </c>
      <c r="BK423" s="49">
        <f t="shared" ca="1" si="128"/>
        <v>0</v>
      </c>
      <c r="BL423" s="49">
        <f t="shared" ca="1" si="128"/>
        <v>0</v>
      </c>
      <c r="BM423" s="49">
        <f t="shared" ca="1" si="128"/>
        <v>0</v>
      </c>
      <c r="BN423" s="49">
        <f t="shared" ca="1" si="128"/>
        <v>0</v>
      </c>
      <c r="BO423" s="49">
        <f t="shared" ca="1" si="128"/>
        <v>0</v>
      </c>
      <c r="BP423" s="49">
        <f t="shared" ca="1" si="128"/>
        <v>0</v>
      </c>
      <c r="BQ423" s="49">
        <f t="shared" ca="1" si="128"/>
        <v>0</v>
      </c>
      <c r="BR423" s="49">
        <f t="shared" ca="1" si="128"/>
        <v>0</v>
      </c>
      <c r="BS423" s="49">
        <f t="shared" ca="1" si="128"/>
        <v>0</v>
      </c>
    </row>
    <row r="424" spans="1:71" outlineLevel="1" x14ac:dyDescent="0.2">
      <c r="J424" s="26"/>
      <c r="L424" s="55"/>
      <c r="M424" s="55"/>
      <c r="N424" s="55"/>
      <c r="O424" s="55"/>
      <c r="P424" s="55"/>
      <c r="Q424" s="55"/>
      <c r="R424" s="55"/>
      <c r="S424" s="55"/>
      <c r="T424" s="55"/>
      <c r="U424" s="55"/>
      <c r="V424" s="55"/>
      <c r="W424" s="55"/>
      <c r="X424" s="55"/>
      <c r="Y424" s="55"/>
      <c r="Z424" s="55"/>
      <c r="AA424" s="55"/>
      <c r="AB424" s="55"/>
      <c r="AC424" s="55"/>
      <c r="AD424" s="55"/>
      <c r="AE424" s="55"/>
      <c r="AF424" s="55"/>
      <c r="AG424" s="55"/>
      <c r="AH424" s="55"/>
      <c r="AI424" s="55"/>
      <c r="AJ424" s="55"/>
      <c r="AK424" s="55"/>
      <c r="AL424" s="55"/>
      <c r="AM424" s="55"/>
      <c r="AN424" s="55"/>
      <c r="AO424" s="55"/>
      <c r="AP424" s="55"/>
      <c r="AQ424" s="55"/>
      <c r="AR424" s="55"/>
      <c r="AS424" s="55"/>
      <c r="AT424" s="55"/>
      <c r="AU424" s="55"/>
      <c r="AV424" s="55"/>
      <c r="AW424" s="55"/>
      <c r="AX424" s="55"/>
      <c r="AY424" s="55"/>
      <c r="AZ424" s="55"/>
      <c r="BA424" s="55"/>
      <c r="BB424" s="55"/>
      <c r="BC424" s="55"/>
      <c r="BD424" s="55"/>
      <c r="BE424" s="55"/>
      <c r="BF424" s="55"/>
      <c r="BG424" s="55"/>
      <c r="BH424" s="55"/>
      <c r="BI424" s="55"/>
      <c r="BJ424" s="55"/>
      <c r="BK424" s="55"/>
      <c r="BL424" s="55"/>
      <c r="BM424" s="55"/>
      <c r="BN424" s="55"/>
      <c r="BO424" s="55"/>
      <c r="BP424" s="55"/>
      <c r="BQ424" s="55"/>
      <c r="BR424" s="55"/>
      <c r="BS424" s="55"/>
    </row>
    <row r="425" spans="1:71" outlineLevel="1" x14ac:dyDescent="0.2">
      <c r="J425" s="26"/>
      <c r="L425" s="55"/>
      <c r="M425" s="55"/>
      <c r="N425" s="55"/>
      <c r="O425" s="55"/>
      <c r="P425" s="55"/>
      <c r="Q425" s="55"/>
      <c r="R425" s="55"/>
      <c r="S425" s="55"/>
      <c r="T425" s="55"/>
      <c r="U425" s="55"/>
      <c r="V425" s="55"/>
      <c r="W425" s="55"/>
      <c r="X425" s="55"/>
      <c r="Y425" s="55"/>
      <c r="Z425" s="55"/>
      <c r="AA425" s="55"/>
      <c r="AB425" s="55"/>
      <c r="AC425" s="55"/>
      <c r="AD425" s="55"/>
      <c r="AE425" s="55"/>
      <c r="AF425" s="55"/>
      <c r="AG425" s="55"/>
      <c r="AH425" s="55"/>
      <c r="AI425" s="55"/>
      <c r="AJ425" s="55"/>
      <c r="AK425" s="55"/>
      <c r="AL425" s="55"/>
      <c r="AM425" s="55"/>
      <c r="AN425" s="55"/>
      <c r="AO425" s="55"/>
      <c r="AP425" s="55"/>
      <c r="AQ425" s="55"/>
      <c r="AR425" s="55"/>
      <c r="AS425" s="55"/>
      <c r="AT425" s="55"/>
      <c r="AU425" s="55"/>
      <c r="AV425" s="55"/>
      <c r="AW425" s="55"/>
      <c r="AX425" s="55"/>
      <c r="AY425" s="55"/>
      <c r="AZ425" s="55"/>
      <c r="BA425" s="55"/>
      <c r="BB425" s="55"/>
      <c r="BC425" s="55"/>
      <c r="BD425" s="55"/>
      <c r="BE425" s="55"/>
      <c r="BF425" s="55"/>
      <c r="BG425" s="55"/>
      <c r="BH425" s="55"/>
      <c r="BI425" s="55"/>
      <c r="BJ425" s="55"/>
      <c r="BK425" s="55"/>
      <c r="BL425" s="55"/>
      <c r="BM425" s="55"/>
      <c r="BN425" s="55"/>
      <c r="BO425" s="55"/>
      <c r="BP425" s="55"/>
      <c r="BQ425" s="55"/>
      <c r="BR425" s="55"/>
      <c r="BS425" s="55"/>
    </row>
    <row r="426" spans="1:71" outlineLevel="1" x14ac:dyDescent="0.2">
      <c r="J426" s="26"/>
      <c r="L426" s="55"/>
      <c r="M426" s="55"/>
      <c r="N426" s="55"/>
      <c r="O426" s="55"/>
      <c r="P426" s="55"/>
      <c r="Q426" s="55"/>
      <c r="R426" s="55"/>
      <c r="S426" s="55"/>
      <c r="T426" s="55"/>
      <c r="U426" s="55"/>
      <c r="V426" s="55"/>
      <c r="W426" s="55"/>
      <c r="X426" s="55"/>
      <c r="Y426" s="55"/>
      <c r="Z426" s="55"/>
      <c r="AA426" s="55"/>
      <c r="AB426" s="55"/>
      <c r="AC426" s="55"/>
      <c r="AD426" s="55"/>
      <c r="AE426" s="55"/>
      <c r="AF426" s="55"/>
      <c r="AG426" s="55"/>
      <c r="AH426" s="55"/>
      <c r="AI426" s="55"/>
      <c r="AJ426" s="55"/>
      <c r="AK426" s="55"/>
      <c r="AL426" s="55"/>
      <c r="AM426" s="55"/>
      <c r="AN426" s="55"/>
      <c r="AO426" s="55"/>
      <c r="AP426" s="55"/>
      <c r="AQ426" s="55"/>
      <c r="AR426" s="55"/>
      <c r="AS426" s="55"/>
      <c r="AT426" s="55"/>
      <c r="AU426" s="55"/>
      <c r="AV426" s="55"/>
      <c r="AW426" s="55"/>
      <c r="AX426" s="55"/>
      <c r="AY426" s="55"/>
      <c r="AZ426" s="55"/>
      <c r="BA426" s="55"/>
      <c r="BB426" s="55"/>
      <c r="BC426" s="55"/>
      <c r="BD426" s="55"/>
      <c r="BE426" s="55"/>
      <c r="BF426" s="55"/>
      <c r="BG426" s="55"/>
      <c r="BH426" s="55"/>
      <c r="BI426" s="55"/>
      <c r="BJ426" s="55"/>
      <c r="BK426" s="55"/>
      <c r="BL426" s="55"/>
      <c r="BM426" s="55"/>
      <c r="BN426" s="55"/>
      <c r="BO426" s="55"/>
      <c r="BP426" s="55"/>
      <c r="BQ426" s="55"/>
      <c r="BR426" s="55"/>
      <c r="BS426" s="55"/>
    </row>
    <row r="427" spans="1:71" outlineLevel="1" x14ac:dyDescent="0.2">
      <c r="J427" s="26"/>
      <c r="L427" s="55"/>
      <c r="M427" s="55"/>
      <c r="N427" s="55"/>
      <c r="O427" s="55"/>
      <c r="P427" s="55"/>
      <c r="Q427" s="55"/>
      <c r="R427" s="55"/>
      <c r="S427" s="55"/>
      <c r="T427" s="55"/>
      <c r="U427" s="55"/>
      <c r="V427" s="55"/>
      <c r="W427" s="55"/>
      <c r="X427" s="55"/>
      <c r="Y427" s="55"/>
      <c r="Z427" s="55"/>
      <c r="AA427" s="55"/>
      <c r="AB427" s="55"/>
      <c r="AC427" s="55"/>
      <c r="AD427" s="55"/>
      <c r="AE427" s="55"/>
      <c r="AF427" s="55"/>
      <c r="AG427" s="55"/>
      <c r="AH427" s="55"/>
      <c r="AI427" s="55"/>
      <c r="AJ427" s="55"/>
      <c r="AK427" s="55"/>
      <c r="AL427" s="55"/>
      <c r="AM427" s="55"/>
      <c r="AN427" s="55"/>
      <c r="AO427" s="55"/>
      <c r="AP427" s="55"/>
      <c r="AQ427" s="55"/>
      <c r="AR427" s="55"/>
      <c r="AS427" s="55"/>
      <c r="AT427" s="55"/>
      <c r="AU427" s="55"/>
      <c r="AV427" s="55"/>
      <c r="AW427" s="55"/>
      <c r="AX427" s="55"/>
      <c r="AY427" s="55"/>
      <c r="AZ427" s="55"/>
      <c r="BA427" s="55"/>
      <c r="BB427" s="55"/>
      <c r="BC427" s="55"/>
      <c r="BD427" s="55"/>
      <c r="BE427" s="55"/>
      <c r="BF427" s="55"/>
      <c r="BG427" s="55"/>
      <c r="BH427" s="55"/>
      <c r="BI427" s="55"/>
      <c r="BJ427" s="55"/>
      <c r="BK427" s="55"/>
      <c r="BL427" s="55"/>
      <c r="BM427" s="55"/>
      <c r="BN427" s="55"/>
      <c r="BO427" s="55"/>
      <c r="BP427" s="55"/>
      <c r="BQ427" s="55"/>
      <c r="BR427" s="55"/>
      <c r="BS427" s="55"/>
    </row>
    <row r="428" spans="1:71" outlineLevel="1" x14ac:dyDescent="0.2">
      <c r="A428" s="45"/>
      <c r="B428" s="38" t="str">
        <f>HM_ZB_Nsoko!B441</f>
        <v>Flux de trésorerie Contracteur</v>
      </c>
      <c r="C428" s="45"/>
      <c r="D428" s="45"/>
      <c r="E428" s="45"/>
      <c r="J428" s="26"/>
      <c r="L428" s="55"/>
      <c r="M428" s="55"/>
      <c r="N428" s="55"/>
      <c r="O428" s="55"/>
      <c r="P428" s="55"/>
      <c r="Q428" s="55"/>
      <c r="R428" s="55"/>
      <c r="S428" s="55"/>
      <c r="T428" s="55"/>
      <c r="U428" s="55"/>
      <c r="V428" s="55"/>
      <c r="W428" s="55"/>
      <c r="X428" s="55"/>
      <c r="Y428" s="55"/>
      <c r="Z428" s="55"/>
      <c r="AA428" s="55"/>
      <c r="AB428" s="55"/>
      <c r="AC428" s="55"/>
      <c r="AD428" s="55"/>
      <c r="AE428" s="55"/>
      <c r="AF428" s="55"/>
      <c r="AG428" s="55"/>
      <c r="AH428" s="55"/>
      <c r="AI428" s="55"/>
      <c r="AJ428" s="55"/>
      <c r="AK428" s="55"/>
      <c r="AL428" s="55"/>
      <c r="AM428" s="55"/>
      <c r="AN428" s="55"/>
      <c r="AO428" s="55"/>
      <c r="AP428" s="55"/>
      <c r="AQ428" s="55"/>
      <c r="AR428" s="55"/>
      <c r="AS428" s="55"/>
      <c r="AT428" s="55"/>
      <c r="AU428" s="55"/>
      <c r="AV428" s="55"/>
      <c r="AW428" s="55"/>
      <c r="AX428" s="55"/>
      <c r="AY428" s="55"/>
      <c r="AZ428" s="55"/>
      <c r="BA428" s="55"/>
      <c r="BB428" s="55"/>
      <c r="BC428" s="55"/>
      <c r="BD428" s="55"/>
      <c r="BE428" s="55"/>
      <c r="BF428" s="55"/>
      <c r="BG428" s="55"/>
      <c r="BH428" s="55"/>
      <c r="BI428" s="55"/>
      <c r="BJ428" s="55"/>
      <c r="BK428" s="55"/>
      <c r="BL428" s="55"/>
      <c r="BM428" s="55"/>
      <c r="BN428" s="55"/>
      <c r="BO428" s="55"/>
      <c r="BP428" s="55"/>
      <c r="BQ428" s="55"/>
      <c r="BR428" s="55"/>
      <c r="BS428" s="55"/>
    </row>
    <row r="429" spans="1:71" outlineLevel="1" x14ac:dyDescent="0.2">
      <c r="J429" s="26"/>
      <c r="L429" s="55"/>
      <c r="M429" s="55"/>
      <c r="N429" s="55"/>
      <c r="O429" s="55"/>
      <c r="P429" s="55"/>
      <c r="Q429" s="55"/>
      <c r="R429" s="55"/>
      <c r="S429" s="55"/>
      <c r="T429" s="55"/>
      <c r="U429" s="55"/>
      <c r="V429" s="55"/>
      <c r="W429" s="55"/>
      <c r="X429" s="55"/>
      <c r="Y429" s="55"/>
      <c r="Z429" s="55"/>
      <c r="AA429" s="55"/>
      <c r="AB429" s="55"/>
      <c r="AC429" s="55"/>
      <c r="AD429" s="55"/>
      <c r="AE429" s="55"/>
      <c r="AF429" s="55"/>
      <c r="AG429" s="55"/>
      <c r="AH429" s="55"/>
      <c r="AI429" s="55"/>
      <c r="AJ429" s="55"/>
      <c r="AK429" s="55"/>
      <c r="AL429" s="55"/>
      <c r="AM429" s="55"/>
      <c r="AN429" s="55"/>
      <c r="AO429" s="55"/>
      <c r="AP429" s="55"/>
      <c r="AQ429" s="55"/>
      <c r="AR429" s="55"/>
      <c r="AS429" s="55"/>
      <c r="AT429" s="55"/>
      <c r="AU429" s="55"/>
      <c r="AV429" s="55"/>
      <c r="AW429" s="55"/>
      <c r="AX429" s="55"/>
      <c r="AY429" s="55"/>
      <c r="AZ429" s="55"/>
      <c r="BA429" s="55"/>
      <c r="BB429" s="55"/>
      <c r="BC429" s="55"/>
      <c r="BD429" s="55"/>
      <c r="BE429" s="55"/>
      <c r="BF429" s="55"/>
      <c r="BG429" s="55"/>
      <c r="BH429" s="55"/>
      <c r="BI429" s="55"/>
      <c r="BJ429" s="55"/>
      <c r="BK429" s="55"/>
      <c r="BL429" s="55"/>
      <c r="BM429" s="55"/>
      <c r="BN429" s="55"/>
      <c r="BO429" s="55"/>
      <c r="BP429" s="55"/>
      <c r="BQ429" s="55"/>
      <c r="BR429" s="55"/>
      <c r="BS429" s="55"/>
    </row>
    <row r="430" spans="1:71" outlineLevel="1" x14ac:dyDescent="0.2">
      <c r="C430" s="11" t="str">
        <f>HM_ZB_Nsoko!C443</f>
        <v>Revenus des droits</v>
      </c>
      <c r="J430" s="26"/>
      <c r="L430" s="55"/>
      <c r="M430" s="55"/>
      <c r="N430" s="55"/>
      <c r="O430" s="55"/>
      <c r="P430" s="55"/>
      <c r="Q430" s="55"/>
      <c r="R430" s="55"/>
      <c r="S430" s="55"/>
      <c r="T430" s="55"/>
      <c r="U430" s="55"/>
      <c r="V430" s="55"/>
      <c r="W430" s="55"/>
      <c r="X430" s="55"/>
      <c r="Y430" s="55"/>
      <c r="Z430" s="55"/>
      <c r="AA430" s="55"/>
      <c r="AB430" s="55"/>
      <c r="AC430" s="55"/>
      <c r="AD430" s="55"/>
      <c r="AE430" s="55"/>
      <c r="AF430" s="55"/>
      <c r="AG430" s="55"/>
      <c r="AH430" s="55"/>
      <c r="AI430" s="55"/>
      <c r="AJ430" s="55"/>
      <c r="AK430" s="55"/>
      <c r="AL430" s="55"/>
      <c r="AM430" s="55"/>
      <c r="AN430" s="55"/>
      <c r="AO430" s="55"/>
      <c r="AP430" s="55"/>
      <c r="AQ430" s="55"/>
      <c r="AR430" s="55"/>
      <c r="AS430" s="55"/>
      <c r="AT430" s="55"/>
      <c r="AU430" s="55"/>
      <c r="AV430" s="55"/>
      <c r="AW430" s="55"/>
      <c r="AX430" s="55"/>
      <c r="AY430" s="55"/>
      <c r="AZ430" s="55"/>
      <c r="BA430" s="55"/>
      <c r="BB430" s="55"/>
      <c r="BC430" s="55"/>
      <c r="BD430" s="55"/>
      <c r="BE430" s="55"/>
      <c r="BF430" s="55"/>
      <c r="BG430" s="55"/>
      <c r="BH430" s="55"/>
      <c r="BI430" s="55"/>
      <c r="BJ430" s="55"/>
      <c r="BK430" s="55"/>
      <c r="BL430" s="55"/>
      <c r="BM430" s="55"/>
      <c r="BN430" s="55"/>
      <c r="BO430" s="55"/>
      <c r="BP430" s="55"/>
      <c r="BQ430" s="55"/>
      <c r="BR430" s="55"/>
      <c r="BS430" s="55"/>
    </row>
    <row r="431" spans="1:71" outlineLevel="1" x14ac:dyDescent="0.2">
      <c r="D431" t="str">
        <f>HM_ZB_Nsoko!D444</f>
        <v>Revenus de droits pétroliers</v>
      </c>
      <c r="I431" s="30">
        <f t="shared" ref="I431:I437" ca="1" si="129">SUM($L431:$BS431)</f>
        <v>2547.6850097372103</v>
      </c>
      <c r="J431" s="26" t="s">
        <v>148</v>
      </c>
      <c r="L431" s="49" cm="1">
        <f t="array" aca="1" ref="L431:BS431" ca="1">KLL_II_2020!CA_ent_rev_oil</f>
        <v>219.85411637031154</v>
      </c>
      <c r="M431" s="49">
        <f ca="1"/>
        <v>264.02251053734551</v>
      </c>
      <c r="N431" s="49">
        <f ca="1"/>
        <v>182.44499217445411</v>
      </c>
      <c r="O431" s="49">
        <f ca="1"/>
        <v>174.86892390202061</v>
      </c>
      <c r="P431" s="49">
        <f ca="1"/>
        <v>180.54910386558802</v>
      </c>
      <c r="Q431" s="49">
        <f ca="1"/>
        <v>222.35538295461754</v>
      </c>
      <c r="R431" s="49">
        <f ca="1"/>
        <v>225.28271074398012</v>
      </c>
      <c r="S431" s="49">
        <f ca="1"/>
        <v>151.812931725</v>
      </c>
      <c r="T431" s="49">
        <f ca="1"/>
        <v>201.29982462414716</v>
      </c>
      <c r="U431" s="49">
        <f ca="1"/>
        <v>195.89093351064719</v>
      </c>
      <c r="V431" s="49">
        <f ca="1"/>
        <v>185.82213952819987</v>
      </c>
      <c r="W431" s="49">
        <f ca="1"/>
        <v>176.27088155645038</v>
      </c>
      <c r="X431" s="49">
        <f ca="1"/>
        <v>167.21055824444886</v>
      </c>
      <c r="Y431" s="49">
        <f ca="1"/>
        <v>0</v>
      </c>
      <c r="Z431" s="49">
        <f ca="1"/>
        <v>0</v>
      </c>
      <c r="AA431" s="49">
        <f ca="1"/>
        <v>0</v>
      </c>
      <c r="AB431" s="49">
        <f ca="1"/>
        <v>0</v>
      </c>
      <c r="AC431" s="49">
        <f ca="1"/>
        <v>0</v>
      </c>
      <c r="AD431" s="49">
        <f ca="1"/>
        <v>0</v>
      </c>
      <c r="AE431" s="49">
        <f ca="1"/>
        <v>0</v>
      </c>
      <c r="AF431" s="49">
        <f ca="1"/>
        <v>0</v>
      </c>
      <c r="AG431" s="49">
        <f ca="1"/>
        <v>0</v>
      </c>
      <c r="AH431" s="49">
        <f ca="1"/>
        <v>0</v>
      </c>
      <c r="AI431" s="49">
        <f ca="1"/>
        <v>0</v>
      </c>
      <c r="AJ431" s="49">
        <f ca="1"/>
        <v>0</v>
      </c>
      <c r="AK431" s="49">
        <f ca="1"/>
        <v>0</v>
      </c>
      <c r="AL431" s="49">
        <f ca="1"/>
        <v>0</v>
      </c>
      <c r="AM431" s="49">
        <f ca="1"/>
        <v>0</v>
      </c>
      <c r="AN431" s="49">
        <f ca="1"/>
        <v>0</v>
      </c>
      <c r="AO431" s="49">
        <f ca="1"/>
        <v>0</v>
      </c>
      <c r="AP431" s="49">
        <f ca="1"/>
        <v>0</v>
      </c>
      <c r="AQ431" s="49">
        <f ca="1"/>
        <v>0</v>
      </c>
      <c r="AR431" s="49">
        <f ca="1"/>
        <v>0</v>
      </c>
      <c r="AS431" s="49">
        <f ca="1"/>
        <v>0</v>
      </c>
      <c r="AT431" s="49">
        <f ca="1"/>
        <v>0</v>
      </c>
      <c r="AU431" s="49">
        <f ca="1"/>
        <v>0</v>
      </c>
      <c r="AV431" s="49">
        <f ca="1"/>
        <v>0</v>
      </c>
      <c r="AW431" s="49">
        <f ca="1"/>
        <v>0</v>
      </c>
      <c r="AX431" s="49">
        <f ca="1"/>
        <v>0</v>
      </c>
      <c r="AY431" s="49">
        <f ca="1"/>
        <v>0</v>
      </c>
      <c r="AZ431" s="49">
        <f ca="1"/>
        <v>0</v>
      </c>
      <c r="BA431" s="49">
        <f ca="1"/>
        <v>0</v>
      </c>
      <c r="BB431" s="49">
        <f ca="1"/>
        <v>0</v>
      </c>
      <c r="BC431" s="49">
        <f ca="1"/>
        <v>0</v>
      </c>
      <c r="BD431" s="49">
        <f ca="1"/>
        <v>0</v>
      </c>
      <c r="BE431" s="49">
        <f ca="1"/>
        <v>0</v>
      </c>
      <c r="BF431" s="49">
        <f ca="1"/>
        <v>0</v>
      </c>
      <c r="BG431" s="49">
        <f ca="1"/>
        <v>0</v>
      </c>
      <c r="BH431" s="49">
        <f ca="1"/>
        <v>0</v>
      </c>
      <c r="BI431" s="49">
        <f ca="1"/>
        <v>0</v>
      </c>
      <c r="BJ431" s="49">
        <f ca="1"/>
        <v>0</v>
      </c>
      <c r="BK431" s="49">
        <f ca="1"/>
        <v>0</v>
      </c>
      <c r="BL431" s="49">
        <f ca="1"/>
        <v>0</v>
      </c>
      <c r="BM431" s="49">
        <f ca="1"/>
        <v>0</v>
      </c>
      <c r="BN431" s="49">
        <f ca="1"/>
        <v>0</v>
      </c>
      <c r="BO431" s="49">
        <f ca="1"/>
        <v>0</v>
      </c>
      <c r="BP431" s="49">
        <f ca="1"/>
        <v>0</v>
      </c>
      <c r="BQ431" s="49">
        <f ca="1"/>
        <v>0</v>
      </c>
      <c r="BR431" s="49">
        <f ca="1"/>
        <v>0</v>
      </c>
      <c r="BS431" s="49">
        <f ca="1"/>
        <v>0</v>
      </c>
    </row>
    <row r="432" spans="1:71" outlineLevel="1" x14ac:dyDescent="0.2">
      <c r="D432" t="str">
        <f>HM_ZB_Nsoko!D445</f>
        <v>Revenus de droits gaziers</v>
      </c>
      <c r="I432" s="30">
        <f t="shared" ca="1" si="129"/>
        <v>0</v>
      </c>
      <c r="J432" s="26" t="s">
        <v>148</v>
      </c>
      <c r="L432" s="49" cm="1">
        <f t="array" aca="1" ref="L432:BS432" ca="1">KLL_II_2020!CA_ent_rev_gas</f>
        <v>0</v>
      </c>
      <c r="M432" s="49">
        <f ca="1"/>
        <v>0</v>
      </c>
      <c r="N432" s="49">
        <f ca="1"/>
        <v>0</v>
      </c>
      <c r="O432" s="49">
        <f ca="1"/>
        <v>0</v>
      </c>
      <c r="P432" s="49">
        <f ca="1"/>
        <v>0</v>
      </c>
      <c r="Q432" s="49">
        <f ca="1"/>
        <v>0</v>
      </c>
      <c r="R432" s="49">
        <f ca="1"/>
        <v>0</v>
      </c>
      <c r="S432" s="49">
        <f ca="1"/>
        <v>0</v>
      </c>
      <c r="T432" s="49">
        <f ca="1"/>
        <v>0</v>
      </c>
      <c r="U432" s="49">
        <f ca="1"/>
        <v>0</v>
      </c>
      <c r="V432" s="49">
        <f ca="1"/>
        <v>0</v>
      </c>
      <c r="W432" s="49">
        <f ca="1"/>
        <v>0</v>
      </c>
      <c r="X432" s="49">
        <f ca="1"/>
        <v>0</v>
      </c>
      <c r="Y432" s="49">
        <f ca="1"/>
        <v>0</v>
      </c>
      <c r="Z432" s="49">
        <f ca="1"/>
        <v>0</v>
      </c>
      <c r="AA432" s="49">
        <f ca="1"/>
        <v>0</v>
      </c>
      <c r="AB432" s="49">
        <f ca="1"/>
        <v>0</v>
      </c>
      <c r="AC432" s="49">
        <f ca="1"/>
        <v>0</v>
      </c>
      <c r="AD432" s="49">
        <f ca="1"/>
        <v>0</v>
      </c>
      <c r="AE432" s="49">
        <f ca="1"/>
        <v>0</v>
      </c>
      <c r="AF432" s="49">
        <f ca="1"/>
        <v>0</v>
      </c>
      <c r="AG432" s="49">
        <f ca="1"/>
        <v>0</v>
      </c>
      <c r="AH432" s="49">
        <f ca="1"/>
        <v>0</v>
      </c>
      <c r="AI432" s="49">
        <f ca="1"/>
        <v>0</v>
      </c>
      <c r="AJ432" s="49">
        <f ca="1"/>
        <v>0</v>
      </c>
      <c r="AK432" s="49">
        <f ca="1"/>
        <v>0</v>
      </c>
      <c r="AL432" s="49">
        <f ca="1"/>
        <v>0</v>
      </c>
      <c r="AM432" s="49">
        <f ca="1"/>
        <v>0</v>
      </c>
      <c r="AN432" s="49">
        <f ca="1"/>
        <v>0</v>
      </c>
      <c r="AO432" s="49">
        <f ca="1"/>
        <v>0</v>
      </c>
      <c r="AP432" s="49">
        <f ca="1"/>
        <v>0</v>
      </c>
      <c r="AQ432" s="49">
        <f ca="1"/>
        <v>0</v>
      </c>
      <c r="AR432" s="49">
        <f ca="1"/>
        <v>0</v>
      </c>
      <c r="AS432" s="49">
        <f ca="1"/>
        <v>0</v>
      </c>
      <c r="AT432" s="49">
        <f ca="1"/>
        <v>0</v>
      </c>
      <c r="AU432" s="49">
        <f ca="1"/>
        <v>0</v>
      </c>
      <c r="AV432" s="49">
        <f ca="1"/>
        <v>0</v>
      </c>
      <c r="AW432" s="49">
        <f ca="1"/>
        <v>0</v>
      </c>
      <c r="AX432" s="49">
        <f ca="1"/>
        <v>0</v>
      </c>
      <c r="AY432" s="49">
        <f ca="1"/>
        <v>0</v>
      </c>
      <c r="AZ432" s="49">
        <f ca="1"/>
        <v>0</v>
      </c>
      <c r="BA432" s="49">
        <f ca="1"/>
        <v>0</v>
      </c>
      <c r="BB432" s="49">
        <f ca="1"/>
        <v>0</v>
      </c>
      <c r="BC432" s="49">
        <f ca="1"/>
        <v>0</v>
      </c>
      <c r="BD432" s="49">
        <f ca="1"/>
        <v>0</v>
      </c>
      <c r="BE432" s="49">
        <f ca="1"/>
        <v>0</v>
      </c>
      <c r="BF432" s="49">
        <f ca="1"/>
        <v>0</v>
      </c>
      <c r="BG432" s="49">
        <f ca="1"/>
        <v>0</v>
      </c>
      <c r="BH432" s="49">
        <f ca="1"/>
        <v>0</v>
      </c>
      <c r="BI432" s="49">
        <f ca="1"/>
        <v>0</v>
      </c>
      <c r="BJ432" s="49">
        <f ca="1"/>
        <v>0</v>
      </c>
      <c r="BK432" s="49">
        <f ca="1"/>
        <v>0</v>
      </c>
      <c r="BL432" s="49">
        <f ca="1"/>
        <v>0</v>
      </c>
      <c r="BM432" s="49">
        <f ca="1"/>
        <v>0</v>
      </c>
      <c r="BN432" s="49">
        <f ca="1"/>
        <v>0</v>
      </c>
      <c r="BO432" s="49">
        <f ca="1"/>
        <v>0</v>
      </c>
      <c r="BP432" s="49">
        <f ca="1"/>
        <v>0</v>
      </c>
      <c r="BQ432" s="49">
        <f ca="1"/>
        <v>0</v>
      </c>
      <c r="BR432" s="49">
        <f ca="1"/>
        <v>0</v>
      </c>
      <c r="BS432" s="49">
        <f ca="1"/>
        <v>0</v>
      </c>
    </row>
    <row r="433" spans="3:71" outlineLevel="1" x14ac:dyDescent="0.2">
      <c r="D433" s="11" t="str">
        <f>HM_ZB_Nsoko!D446</f>
        <v>Total revenus des droits</v>
      </c>
      <c r="I433" s="30">
        <f t="shared" ca="1" si="129"/>
        <v>2547.6850097372103</v>
      </c>
      <c r="J433" s="26" t="s">
        <v>148</v>
      </c>
      <c r="L433" s="49">
        <f ca="1">SUM(L431:L432)</f>
        <v>219.85411637031154</v>
      </c>
      <c r="M433" s="49">
        <f t="shared" ref="M433:BS433" ca="1" si="130">SUM(M431:M432)</f>
        <v>264.02251053734551</v>
      </c>
      <c r="N433" s="49">
        <f t="shared" ca="1" si="130"/>
        <v>182.44499217445411</v>
      </c>
      <c r="O433" s="49">
        <f t="shared" ca="1" si="130"/>
        <v>174.86892390202061</v>
      </c>
      <c r="P433" s="49">
        <f t="shared" ca="1" si="130"/>
        <v>180.54910386558802</v>
      </c>
      <c r="Q433" s="49">
        <f t="shared" ca="1" si="130"/>
        <v>222.35538295461754</v>
      </c>
      <c r="R433" s="49">
        <f t="shared" ca="1" si="130"/>
        <v>225.28271074398012</v>
      </c>
      <c r="S433" s="49">
        <f t="shared" ca="1" si="130"/>
        <v>151.812931725</v>
      </c>
      <c r="T433" s="49">
        <f t="shared" ca="1" si="130"/>
        <v>201.29982462414716</v>
      </c>
      <c r="U433" s="49">
        <f t="shared" ca="1" si="130"/>
        <v>195.89093351064719</v>
      </c>
      <c r="V433" s="49">
        <f t="shared" ca="1" si="130"/>
        <v>185.82213952819987</v>
      </c>
      <c r="W433" s="49">
        <f t="shared" ca="1" si="130"/>
        <v>176.27088155645038</v>
      </c>
      <c r="X433" s="49">
        <f t="shared" ca="1" si="130"/>
        <v>167.21055824444886</v>
      </c>
      <c r="Y433" s="49">
        <f t="shared" ca="1" si="130"/>
        <v>0</v>
      </c>
      <c r="Z433" s="49">
        <f t="shared" ca="1" si="130"/>
        <v>0</v>
      </c>
      <c r="AA433" s="49">
        <f t="shared" ca="1" si="130"/>
        <v>0</v>
      </c>
      <c r="AB433" s="49">
        <f t="shared" ca="1" si="130"/>
        <v>0</v>
      </c>
      <c r="AC433" s="49">
        <f t="shared" ca="1" si="130"/>
        <v>0</v>
      </c>
      <c r="AD433" s="49">
        <f t="shared" ca="1" si="130"/>
        <v>0</v>
      </c>
      <c r="AE433" s="49">
        <f t="shared" ca="1" si="130"/>
        <v>0</v>
      </c>
      <c r="AF433" s="49">
        <f t="shared" ca="1" si="130"/>
        <v>0</v>
      </c>
      <c r="AG433" s="49">
        <f t="shared" ca="1" si="130"/>
        <v>0</v>
      </c>
      <c r="AH433" s="49">
        <f t="shared" ca="1" si="130"/>
        <v>0</v>
      </c>
      <c r="AI433" s="49">
        <f t="shared" ca="1" si="130"/>
        <v>0</v>
      </c>
      <c r="AJ433" s="49">
        <f t="shared" ca="1" si="130"/>
        <v>0</v>
      </c>
      <c r="AK433" s="49">
        <f t="shared" ca="1" si="130"/>
        <v>0</v>
      </c>
      <c r="AL433" s="49">
        <f t="shared" ca="1" si="130"/>
        <v>0</v>
      </c>
      <c r="AM433" s="49">
        <f t="shared" ca="1" si="130"/>
        <v>0</v>
      </c>
      <c r="AN433" s="49">
        <f t="shared" ca="1" si="130"/>
        <v>0</v>
      </c>
      <c r="AO433" s="49">
        <f t="shared" ca="1" si="130"/>
        <v>0</v>
      </c>
      <c r="AP433" s="49">
        <f t="shared" ca="1" si="130"/>
        <v>0</v>
      </c>
      <c r="AQ433" s="49">
        <f t="shared" ca="1" si="130"/>
        <v>0</v>
      </c>
      <c r="AR433" s="49">
        <f t="shared" ca="1" si="130"/>
        <v>0</v>
      </c>
      <c r="AS433" s="49">
        <f t="shared" ca="1" si="130"/>
        <v>0</v>
      </c>
      <c r="AT433" s="49">
        <f t="shared" ca="1" si="130"/>
        <v>0</v>
      </c>
      <c r="AU433" s="49">
        <f t="shared" ca="1" si="130"/>
        <v>0</v>
      </c>
      <c r="AV433" s="49">
        <f t="shared" ca="1" si="130"/>
        <v>0</v>
      </c>
      <c r="AW433" s="49">
        <f t="shared" ca="1" si="130"/>
        <v>0</v>
      </c>
      <c r="AX433" s="49">
        <f t="shared" ca="1" si="130"/>
        <v>0</v>
      </c>
      <c r="AY433" s="49">
        <f t="shared" ca="1" si="130"/>
        <v>0</v>
      </c>
      <c r="AZ433" s="49">
        <f t="shared" ca="1" si="130"/>
        <v>0</v>
      </c>
      <c r="BA433" s="49">
        <f t="shared" ca="1" si="130"/>
        <v>0</v>
      </c>
      <c r="BB433" s="49">
        <f t="shared" ca="1" si="130"/>
        <v>0</v>
      </c>
      <c r="BC433" s="49">
        <f t="shared" ca="1" si="130"/>
        <v>0</v>
      </c>
      <c r="BD433" s="49">
        <f t="shared" ca="1" si="130"/>
        <v>0</v>
      </c>
      <c r="BE433" s="49">
        <f t="shared" ca="1" si="130"/>
        <v>0</v>
      </c>
      <c r="BF433" s="49">
        <f t="shared" ca="1" si="130"/>
        <v>0</v>
      </c>
      <c r="BG433" s="49">
        <f t="shared" ca="1" si="130"/>
        <v>0</v>
      </c>
      <c r="BH433" s="49">
        <f t="shared" ca="1" si="130"/>
        <v>0</v>
      </c>
      <c r="BI433" s="49">
        <f t="shared" ca="1" si="130"/>
        <v>0</v>
      </c>
      <c r="BJ433" s="49">
        <f t="shared" ca="1" si="130"/>
        <v>0</v>
      </c>
      <c r="BK433" s="49">
        <f t="shared" ca="1" si="130"/>
        <v>0</v>
      </c>
      <c r="BL433" s="49">
        <f t="shared" ca="1" si="130"/>
        <v>0</v>
      </c>
      <c r="BM433" s="49">
        <f t="shared" ca="1" si="130"/>
        <v>0</v>
      </c>
      <c r="BN433" s="49">
        <f t="shared" ca="1" si="130"/>
        <v>0</v>
      </c>
      <c r="BO433" s="49">
        <f t="shared" ca="1" si="130"/>
        <v>0</v>
      </c>
      <c r="BP433" s="49">
        <f t="shared" ca="1" si="130"/>
        <v>0</v>
      </c>
      <c r="BQ433" s="49">
        <f t="shared" ca="1" si="130"/>
        <v>0</v>
      </c>
      <c r="BR433" s="49">
        <f t="shared" ca="1" si="130"/>
        <v>0</v>
      </c>
      <c r="BS433" s="49">
        <f t="shared" ca="1" si="130"/>
        <v>0</v>
      </c>
    </row>
    <row r="434" spans="3:71" outlineLevel="1" x14ac:dyDescent="0.2">
      <c r="J434" s="26"/>
      <c r="L434" s="55"/>
      <c r="M434" s="55"/>
      <c r="N434" s="55"/>
      <c r="O434" s="55"/>
      <c r="P434" s="55"/>
      <c r="Q434" s="55"/>
      <c r="R434" s="55"/>
      <c r="S434" s="55"/>
      <c r="T434" s="55"/>
      <c r="U434" s="55"/>
      <c r="V434" s="55"/>
      <c r="W434" s="55"/>
      <c r="X434" s="55"/>
      <c r="Y434" s="55"/>
      <c r="Z434" s="55"/>
      <c r="AA434" s="55"/>
      <c r="AB434" s="55"/>
      <c r="AC434" s="55"/>
      <c r="AD434" s="55"/>
      <c r="AE434" s="55"/>
      <c r="AF434" s="55"/>
      <c r="AG434" s="55"/>
      <c r="AH434" s="55"/>
      <c r="AI434" s="55"/>
      <c r="AJ434" s="55"/>
      <c r="AK434" s="55"/>
      <c r="AL434" s="55"/>
      <c r="AM434" s="55"/>
      <c r="AN434" s="55"/>
      <c r="AO434" s="55"/>
      <c r="AP434" s="55"/>
      <c r="AQ434" s="55"/>
      <c r="AR434" s="55"/>
      <c r="AS434" s="55"/>
      <c r="AT434" s="55"/>
      <c r="AU434" s="55"/>
      <c r="AV434" s="55"/>
      <c r="AW434" s="55"/>
      <c r="AX434" s="55"/>
      <c r="AY434" s="55"/>
      <c r="AZ434" s="55"/>
      <c r="BA434" s="55"/>
      <c r="BB434" s="55"/>
      <c r="BC434" s="55"/>
      <c r="BD434" s="55"/>
      <c r="BE434" s="55"/>
      <c r="BF434" s="55"/>
      <c r="BG434" s="55"/>
      <c r="BH434" s="55"/>
      <c r="BI434" s="55"/>
      <c r="BJ434" s="55"/>
      <c r="BK434" s="55"/>
      <c r="BL434" s="55"/>
      <c r="BM434" s="55"/>
      <c r="BN434" s="55"/>
      <c r="BO434" s="55"/>
      <c r="BP434" s="55"/>
      <c r="BQ434" s="55"/>
      <c r="BR434" s="55"/>
      <c r="BS434" s="55"/>
    </row>
    <row r="435" spans="3:71" outlineLevel="1" x14ac:dyDescent="0.2">
      <c r="C435" s="11" t="str">
        <f>HM_ZB_Nsoko!C448</f>
        <v>Coûts d'exploitation</v>
      </c>
      <c r="I435" s="30">
        <f t="shared" ca="1" si="129"/>
        <v>972.08134211200013</v>
      </c>
      <c r="J435" s="26" t="s">
        <v>148</v>
      </c>
      <c r="L435" s="49">
        <f ca="1">L415</f>
        <v>64.376000000000005</v>
      </c>
      <c r="M435" s="49">
        <f t="shared" ref="M435:BS435" ca="1" si="131">M415</f>
        <v>83.224000000000004</v>
      </c>
      <c r="N435" s="49">
        <f t="shared" ca="1" si="131"/>
        <v>66.552000000000007</v>
      </c>
      <c r="O435" s="49">
        <f t="shared" ca="1" si="131"/>
        <v>178.34699999999998</v>
      </c>
      <c r="P435" s="49">
        <f t="shared" ca="1" si="131"/>
        <v>97.385999999999996</v>
      </c>
      <c r="Q435" s="49">
        <f t="shared" ca="1" si="131"/>
        <v>47.099999999999994</v>
      </c>
      <c r="R435" s="49">
        <f t="shared" ca="1" si="131"/>
        <v>64.900000000000006</v>
      </c>
      <c r="S435" s="49">
        <f t="shared" ca="1" si="131"/>
        <v>61.2</v>
      </c>
      <c r="T435" s="49">
        <f t="shared" ca="1" si="131"/>
        <v>60.6</v>
      </c>
      <c r="U435" s="49">
        <f t="shared" ca="1" si="131"/>
        <v>61.2</v>
      </c>
      <c r="V435" s="49">
        <f t="shared" ca="1" si="131"/>
        <v>61.799759999999999</v>
      </c>
      <c r="W435" s="49">
        <f t="shared" ca="1" si="131"/>
        <v>62.399030399999994</v>
      </c>
      <c r="X435" s="49">
        <f t="shared" ca="1" si="131"/>
        <v>62.997551712000003</v>
      </c>
      <c r="Y435" s="49">
        <f t="shared" ca="1" si="131"/>
        <v>0</v>
      </c>
      <c r="Z435" s="49">
        <f t="shared" ca="1" si="131"/>
        <v>0</v>
      </c>
      <c r="AA435" s="49">
        <f t="shared" ca="1" si="131"/>
        <v>0</v>
      </c>
      <c r="AB435" s="49">
        <f t="shared" ca="1" si="131"/>
        <v>0</v>
      </c>
      <c r="AC435" s="49">
        <f t="shared" ca="1" si="131"/>
        <v>0</v>
      </c>
      <c r="AD435" s="49">
        <f t="shared" ca="1" si="131"/>
        <v>0</v>
      </c>
      <c r="AE435" s="49">
        <f t="shared" ca="1" si="131"/>
        <v>0</v>
      </c>
      <c r="AF435" s="49">
        <f t="shared" ca="1" si="131"/>
        <v>0</v>
      </c>
      <c r="AG435" s="49">
        <f t="shared" ca="1" si="131"/>
        <v>0</v>
      </c>
      <c r="AH435" s="49">
        <f t="shared" ca="1" si="131"/>
        <v>0</v>
      </c>
      <c r="AI435" s="49">
        <f t="shared" ca="1" si="131"/>
        <v>0</v>
      </c>
      <c r="AJ435" s="49">
        <f t="shared" ca="1" si="131"/>
        <v>0</v>
      </c>
      <c r="AK435" s="49">
        <f t="shared" ca="1" si="131"/>
        <v>0</v>
      </c>
      <c r="AL435" s="49">
        <f t="shared" ca="1" si="131"/>
        <v>0</v>
      </c>
      <c r="AM435" s="49">
        <f t="shared" ca="1" si="131"/>
        <v>0</v>
      </c>
      <c r="AN435" s="49">
        <f t="shared" ca="1" si="131"/>
        <v>0</v>
      </c>
      <c r="AO435" s="49">
        <f t="shared" ca="1" si="131"/>
        <v>0</v>
      </c>
      <c r="AP435" s="49">
        <f t="shared" ca="1" si="131"/>
        <v>0</v>
      </c>
      <c r="AQ435" s="49">
        <f t="shared" ca="1" si="131"/>
        <v>0</v>
      </c>
      <c r="AR435" s="49">
        <f t="shared" ca="1" si="131"/>
        <v>0</v>
      </c>
      <c r="AS435" s="49">
        <f t="shared" ca="1" si="131"/>
        <v>0</v>
      </c>
      <c r="AT435" s="49">
        <f t="shared" ca="1" si="131"/>
        <v>0</v>
      </c>
      <c r="AU435" s="49">
        <f t="shared" ca="1" si="131"/>
        <v>0</v>
      </c>
      <c r="AV435" s="49">
        <f t="shared" ca="1" si="131"/>
        <v>0</v>
      </c>
      <c r="AW435" s="49">
        <f t="shared" ca="1" si="131"/>
        <v>0</v>
      </c>
      <c r="AX435" s="49">
        <f t="shared" ca="1" si="131"/>
        <v>0</v>
      </c>
      <c r="AY435" s="49">
        <f t="shared" ca="1" si="131"/>
        <v>0</v>
      </c>
      <c r="AZ435" s="49">
        <f t="shared" ca="1" si="131"/>
        <v>0</v>
      </c>
      <c r="BA435" s="49">
        <f t="shared" ca="1" si="131"/>
        <v>0</v>
      </c>
      <c r="BB435" s="49">
        <f t="shared" ca="1" si="131"/>
        <v>0</v>
      </c>
      <c r="BC435" s="49">
        <f t="shared" ca="1" si="131"/>
        <v>0</v>
      </c>
      <c r="BD435" s="49">
        <f t="shared" ca="1" si="131"/>
        <v>0</v>
      </c>
      <c r="BE435" s="49">
        <f t="shared" ca="1" si="131"/>
        <v>0</v>
      </c>
      <c r="BF435" s="49">
        <f t="shared" ca="1" si="131"/>
        <v>0</v>
      </c>
      <c r="BG435" s="49">
        <f t="shared" ca="1" si="131"/>
        <v>0</v>
      </c>
      <c r="BH435" s="49">
        <f t="shared" ca="1" si="131"/>
        <v>0</v>
      </c>
      <c r="BI435" s="49">
        <f t="shared" ca="1" si="131"/>
        <v>0</v>
      </c>
      <c r="BJ435" s="49">
        <f t="shared" ca="1" si="131"/>
        <v>0</v>
      </c>
      <c r="BK435" s="49">
        <f t="shared" ca="1" si="131"/>
        <v>0</v>
      </c>
      <c r="BL435" s="49">
        <f t="shared" ca="1" si="131"/>
        <v>0</v>
      </c>
      <c r="BM435" s="49">
        <f t="shared" ca="1" si="131"/>
        <v>0</v>
      </c>
      <c r="BN435" s="49">
        <f t="shared" ca="1" si="131"/>
        <v>0</v>
      </c>
      <c r="BO435" s="49">
        <f t="shared" ca="1" si="131"/>
        <v>0</v>
      </c>
      <c r="BP435" s="49">
        <f t="shared" ca="1" si="131"/>
        <v>0</v>
      </c>
      <c r="BQ435" s="49">
        <f t="shared" ca="1" si="131"/>
        <v>0</v>
      </c>
      <c r="BR435" s="49">
        <f t="shared" ca="1" si="131"/>
        <v>0</v>
      </c>
      <c r="BS435" s="49">
        <f t="shared" ca="1" si="131"/>
        <v>0</v>
      </c>
    </row>
    <row r="436" spans="3:71" outlineLevel="1" x14ac:dyDescent="0.2">
      <c r="J436" s="26"/>
      <c r="L436" s="55"/>
      <c r="M436" s="55"/>
      <c r="N436" s="55"/>
      <c r="O436" s="55"/>
      <c r="P436" s="55"/>
      <c r="Q436" s="55"/>
      <c r="R436" s="55"/>
      <c r="S436" s="55"/>
      <c r="T436" s="55"/>
      <c r="U436" s="55"/>
      <c r="V436" s="55"/>
      <c r="W436" s="55"/>
      <c r="X436" s="55"/>
      <c r="Y436" s="55"/>
      <c r="Z436" s="55"/>
      <c r="AA436" s="55"/>
      <c r="AB436" s="55"/>
      <c r="AC436" s="55"/>
      <c r="AD436" s="55"/>
      <c r="AE436" s="55"/>
      <c r="AF436" s="55"/>
      <c r="AG436" s="55"/>
      <c r="AH436" s="55"/>
      <c r="AI436" s="55"/>
      <c r="AJ436" s="55"/>
      <c r="AK436" s="55"/>
      <c r="AL436" s="55"/>
      <c r="AM436" s="55"/>
      <c r="AN436" s="55"/>
      <c r="AO436" s="55"/>
      <c r="AP436" s="55"/>
      <c r="AQ436" s="55"/>
      <c r="AR436" s="55"/>
      <c r="AS436" s="55"/>
      <c r="AT436" s="55"/>
      <c r="AU436" s="55"/>
      <c r="AV436" s="55"/>
      <c r="AW436" s="55"/>
      <c r="AX436" s="55"/>
      <c r="AY436" s="55"/>
      <c r="AZ436" s="55"/>
      <c r="BA436" s="55"/>
      <c r="BB436" s="55"/>
      <c r="BC436" s="55"/>
      <c r="BD436" s="55"/>
      <c r="BE436" s="55"/>
      <c r="BF436" s="55"/>
      <c r="BG436" s="55"/>
      <c r="BH436" s="55"/>
      <c r="BI436" s="55"/>
      <c r="BJ436" s="55"/>
      <c r="BK436" s="55"/>
      <c r="BL436" s="55"/>
      <c r="BM436" s="55"/>
      <c r="BN436" s="55"/>
      <c r="BO436" s="55"/>
      <c r="BP436" s="55"/>
      <c r="BQ436" s="55"/>
      <c r="BR436" s="55"/>
      <c r="BS436" s="55"/>
    </row>
    <row r="437" spans="3:71" outlineLevel="1" x14ac:dyDescent="0.2">
      <c r="C437" s="11" t="str">
        <f>HM_ZB_Nsoko!C450</f>
        <v>Bonus et frais</v>
      </c>
      <c r="I437" s="30">
        <f t="shared" ca="1" si="129"/>
        <v>45.330102635544748</v>
      </c>
      <c r="J437" s="26" t="s">
        <v>148</v>
      </c>
      <c r="L437" s="49" cm="1">
        <f t="array" aca="1" ref="L437:BS437" ca="1">KLL_II_2020!CA_pid_fees</f>
        <v>4.9812908528100008</v>
      </c>
      <c r="M437" s="49">
        <f ca="1"/>
        <v>5.5027023595299998</v>
      </c>
      <c r="N437" s="49">
        <f ca="1"/>
        <v>2.9003871171699998</v>
      </c>
      <c r="O437" s="49">
        <f ca="1"/>
        <v>2.4773388778399998</v>
      </c>
      <c r="P437" s="49">
        <f ca="1"/>
        <v>2.9746089801200011</v>
      </c>
      <c r="Q437" s="49">
        <f ca="1"/>
        <v>4.0912926503900007</v>
      </c>
      <c r="R437" s="49">
        <f ca="1"/>
        <v>3.9944629415300001</v>
      </c>
      <c r="S437" s="49">
        <f ca="1"/>
        <v>2.24908047</v>
      </c>
      <c r="T437" s="49">
        <f ca="1"/>
        <v>3.4413274284479995</v>
      </c>
      <c r="U437" s="49">
        <f ca="1"/>
        <v>3.4353054779399996</v>
      </c>
      <c r="V437" s="49">
        <f ca="1"/>
        <v>3.2587307763738838</v>
      </c>
      <c r="W437" s="49">
        <f ca="1"/>
        <v>3.0912320144682655</v>
      </c>
      <c r="X437" s="49">
        <f ca="1"/>
        <v>2.9323426889245967</v>
      </c>
      <c r="Y437" s="49">
        <f ca="1"/>
        <v>0</v>
      </c>
      <c r="Z437" s="49">
        <f ca="1"/>
        <v>0</v>
      </c>
      <c r="AA437" s="49">
        <f ca="1"/>
        <v>0</v>
      </c>
      <c r="AB437" s="49">
        <f ca="1"/>
        <v>0</v>
      </c>
      <c r="AC437" s="49">
        <f ca="1"/>
        <v>0</v>
      </c>
      <c r="AD437" s="49">
        <f ca="1"/>
        <v>0</v>
      </c>
      <c r="AE437" s="49">
        <f ca="1"/>
        <v>0</v>
      </c>
      <c r="AF437" s="49">
        <f ca="1"/>
        <v>0</v>
      </c>
      <c r="AG437" s="49">
        <f ca="1"/>
        <v>0</v>
      </c>
      <c r="AH437" s="49">
        <f ca="1"/>
        <v>0</v>
      </c>
      <c r="AI437" s="49">
        <f ca="1"/>
        <v>0</v>
      </c>
      <c r="AJ437" s="49">
        <f ca="1"/>
        <v>0</v>
      </c>
      <c r="AK437" s="49">
        <f ca="1"/>
        <v>0</v>
      </c>
      <c r="AL437" s="49">
        <f ca="1"/>
        <v>0</v>
      </c>
      <c r="AM437" s="49">
        <f ca="1"/>
        <v>0</v>
      </c>
      <c r="AN437" s="49">
        <f ca="1"/>
        <v>0</v>
      </c>
      <c r="AO437" s="49">
        <f ca="1"/>
        <v>0</v>
      </c>
      <c r="AP437" s="49">
        <f ca="1"/>
        <v>0</v>
      </c>
      <c r="AQ437" s="49">
        <f ca="1"/>
        <v>0</v>
      </c>
      <c r="AR437" s="49">
        <f ca="1"/>
        <v>0</v>
      </c>
      <c r="AS437" s="49">
        <f ca="1"/>
        <v>0</v>
      </c>
      <c r="AT437" s="49">
        <f ca="1"/>
        <v>0</v>
      </c>
      <c r="AU437" s="49">
        <f ca="1"/>
        <v>0</v>
      </c>
      <c r="AV437" s="49">
        <f ca="1"/>
        <v>0</v>
      </c>
      <c r="AW437" s="49">
        <f ca="1"/>
        <v>0</v>
      </c>
      <c r="AX437" s="49">
        <f ca="1"/>
        <v>0</v>
      </c>
      <c r="AY437" s="49">
        <f ca="1"/>
        <v>0</v>
      </c>
      <c r="AZ437" s="49">
        <f ca="1"/>
        <v>0</v>
      </c>
      <c r="BA437" s="49">
        <f ca="1"/>
        <v>0</v>
      </c>
      <c r="BB437" s="49">
        <f ca="1"/>
        <v>0</v>
      </c>
      <c r="BC437" s="49">
        <f ca="1"/>
        <v>0</v>
      </c>
      <c r="BD437" s="49">
        <f ca="1"/>
        <v>0</v>
      </c>
      <c r="BE437" s="49">
        <f ca="1"/>
        <v>0</v>
      </c>
      <c r="BF437" s="49">
        <f ca="1"/>
        <v>0</v>
      </c>
      <c r="BG437" s="49">
        <f ca="1"/>
        <v>0</v>
      </c>
      <c r="BH437" s="49">
        <f ca="1"/>
        <v>0</v>
      </c>
      <c r="BI437" s="49">
        <f ca="1"/>
        <v>0</v>
      </c>
      <c r="BJ437" s="49">
        <f ca="1"/>
        <v>0</v>
      </c>
      <c r="BK437" s="49">
        <f ca="1"/>
        <v>0</v>
      </c>
      <c r="BL437" s="49">
        <f ca="1"/>
        <v>0</v>
      </c>
      <c r="BM437" s="49">
        <f ca="1"/>
        <v>0</v>
      </c>
      <c r="BN437" s="49">
        <f ca="1"/>
        <v>0</v>
      </c>
      <c r="BO437" s="49">
        <f ca="1"/>
        <v>0</v>
      </c>
      <c r="BP437" s="49">
        <f ca="1"/>
        <v>0</v>
      </c>
      <c r="BQ437" s="49">
        <f ca="1"/>
        <v>0</v>
      </c>
      <c r="BR437" s="49">
        <f ca="1"/>
        <v>0</v>
      </c>
      <c r="BS437" s="49">
        <f ca="1"/>
        <v>0</v>
      </c>
    </row>
    <row r="438" spans="3:71" outlineLevel="1" x14ac:dyDescent="0.2">
      <c r="J438" s="26"/>
      <c r="L438" s="55"/>
      <c r="M438" s="55"/>
      <c r="N438" s="55"/>
      <c r="O438" s="55"/>
      <c r="P438" s="55"/>
      <c r="Q438" s="55"/>
      <c r="R438" s="55"/>
      <c r="S438" s="55"/>
      <c r="T438" s="55"/>
      <c r="U438" s="55"/>
      <c r="V438" s="55"/>
      <c r="W438" s="55"/>
      <c r="X438" s="55"/>
      <c r="Y438" s="55"/>
      <c r="Z438" s="55"/>
      <c r="AA438" s="55"/>
      <c r="AB438" s="55"/>
      <c r="AC438" s="55"/>
      <c r="AD438" s="55"/>
      <c r="AE438" s="55"/>
      <c r="AF438" s="55"/>
      <c r="AG438" s="55"/>
      <c r="AH438" s="55"/>
      <c r="AI438" s="55"/>
      <c r="AJ438" s="55"/>
      <c r="AK438" s="55"/>
      <c r="AL438" s="55"/>
      <c r="AM438" s="55"/>
      <c r="AN438" s="55"/>
      <c r="AO438" s="55"/>
      <c r="AP438" s="55"/>
      <c r="AQ438" s="55"/>
      <c r="AR438" s="55"/>
      <c r="AS438" s="55"/>
      <c r="AT438" s="55"/>
      <c r="AU438" s="55"/>
      <c r="AV438" s="55"/>
      <c r="AW438" s="55"/>
      <c r="AX438" s="55"/>
      <c r="AY438" s="55"/>
      <c r="AZ438" s="55"/>
      <c r="BA438" s="55"/>
      <c r="BB438" s="55"/>
      <c r="BC438" s="55"/>
      <c r="BD438" s="55"/>
      <c r="BE438" s="55"/>
      <c r="BF438" s="55"/>
      <c r="BG438" s="55"/>
      <c r="BH438" s="55"/>
      <c r="BI438" s="55"/>
      <c r="BJ438" s="55"/>
      <c r="BK438" s="55"/>
      <c r="BL438" s="55"/>
      <c r="BM438" s="55"/>
      <c r="BN438" s="55"/>
      <c r="BO438" s="55"/>
      <c r="BP438" s="55"/>
      <c r="BQ438" s="55"/>
      <c r="BR438" s="55"/>
      <c r="BS438" s="55"/>
    </row>
    <row r="439" spans="3:71" outlineLevel="1" x14ac:dyDescent="0.2">
      <c r="C439" s="11" t="str">
        <f>HM_ZB_Nsoko!C452</f>
        <v>Production et autres taxes</v>
      </c>
      <c r="I439" s="30">
        <f t="shared" ref="I439:I449" si="132">SUM($L439:$BS439)</f>
        <v>0</v>
      </c>
      <c r="J439" s="26" t="s">
        <v>148</v>
      </c>
      <c r="L439" s="49">
        <v>0</v>
      </c>
      <c r="M439" s="49">
        <v>0</v>
      </c>
      <c r="N439" s="49">
        <v>0</v>
      </c>
      <c r="O439" s="49">
        <v>0</v>
      </c>
      <c r="P439" s="49">
        <v>0</v>
      </c>
      <c r="Q439" s="49">
        <v>0</v>
      </c>
      <c r="R439" s="49">
        <v>0</v>
      </c>
      <c r="S439" s="49">
        <v>0</v>
      </c>
      <c r="T439" s="49">
        <v>0</v>
      </c>
      <c r="U439" s="49">
        <v>0</v>
      </c>
      <c r="V439" s="49">
        <v>0</v>
      </c>
      <c r="W439" s="49">
        <v>0</v>
      </c>
      <c r="X439" s="49">
        <v>0</v>
      </c>
      <c r="Y439" s="49">
        <v>0</v>
      </c>
      <c r="Z439" s="49">
        <v>0</v>
      </c>
      <c r="AA439" s="49">
        <v>0</v>
      </c>
      <c r="AB439" s="49">
        <v>0</v>
      </c>
      <c r="AC439" s="49">
        <v>0</v>
      </c>
      <c r="AD439" s="49">
        <v>0</v>
      </c>
      <c r="AE439" s="49">
        <v>0</v>
      </c>
      <c r="AF439" s="49">
        <v>0</v>
      </c>
      <c r="AG439" s="49">
        <v>0</v>
      </c>
      <c r="AH439" s="49">
        <v>0</v>
      </c>
      <c r="AI439" s="49">
        <v>0</v>
      </c>
      <c r="AJ439" s="49">
        <v>0</v>
      </c>
      <c r="AK439" s="49">
        <v>0</v>
      </c>
      <c r="AL439" s="49">
        <v>0</v>
      </c>
      <c r="AM439" s="49">
        <v>0</v>
      </c>
      <c r="AN439" s="49">
        <v>0</v>
      </c>
      <c r="AO439" s="49">
        <v>0</v>
      </c>
      <c r="AP439" s="49">
        <v>0</v>
      </c>
      <c r="AQ439" s="49">
        <v>0</v>
      </c>
      <c r="AR439" s="49">
        <v>0</v>
      </c>
      <c r="AS439" s="49">
        <v>0</v>
      </c>
      <c r="AT439" s="49">
        <v>0</v>
      </c>
      <c r="AU439" s="49">
        <v>0</v>
      </c>
      <c r="AV439" s="49">
        <v>0</v>
      </c>
      <c r="AW439" s="49">
        <v>0</v>
      </c>
      <c r="AX439" s="49">
        <v>0</v>
      </c>
      <c r="AY439" s="49">
        <v>0</v>
      </c>
      <c r="AZ439" s="49">
        <v>0</v>
      </c>
      <c r="BA439" s="49">
        <v>0</v>
      </c>
      <c r="BB439" s="49">
        <v>0</v>
      </c>
      <c r="BC439" s="49">
        <v>0</v>
      </c>
      <c r="BD439" s="49">
        <v>0</v>
      </c>
      <c r="BE439" s="49">
        <v>0</v>
      </c>
      <c r="BF439" s="49">
        <v>0</v>
      </c>
      <c r="BG439" s="49">
        <v>0</v>
      </c>
      <c r="BH439" s="49">
        <v>0</v>
      </c>
      <c r="BI439" s="49">
        <v>0</v>
      </c>
      <c r="BJ439" s="49">
        <v>0</v>
      </c>
      <c r="BK439" s="49">
        <v>0</v>
      </c>
      <c r="BL439" s="49">
        <v>0</v>
      </c>
      <c r="BM439" s="49">
        <v>0</v>
      </c>
      <c r="BN439" s="49">
        <v>0</v>
      </c>
      <c r="BO439" s="49">
        <v>0</v>
      </c>
      <c r="BP439" s="49">
        <v>0</v>
      </c>
      <c r="BQ439" s="49">
        <v>0</v>
      </c>
      <c r="BR439" s="49">
        <v>0</v>
      </c>
      <c r="BS439" s="49">
        <v>0</v>
      </c>
    </row>
    <row r="440" spans="3:71" outlineLevel="1" x14ac:dyDescent="0.2">
      <c r="J440" s="26"/>
      <c r="L440" s="55"/>
      <c r="M440" s="55"/>
      <c r="N440" s="55"/>
      <c r="O440" s="55"/>
      <c r="P440" s="55"/>
      <c r="Q440" s="55"/>
      <c r="R440" s="55"/>
      <c r="S440" s="55"/>
      <c r="T440" s="55"/>
      <c r="U440" s="55"/>
      <c r="V440" s="55"/>
      <c r="W440" s="55"/>
      <c r="X440" s="55"/>
      <c r="Y440" s="55"/>
      <c r="Z440" s="55"/>
      <c r="AA440" s="55"/>
      <c r="AB440" s="55"/>
      <c r="AC440" s="55"/>
      <c r="AD440" s="55"/>
      <c r="AE440" s="55"/>
      <c r="AF440" s="55"/>
      <c r="AG440" s="55"/>
      <c r="AH440" s="55"/>
      <c r="AI440" s="55"/>
      <c r="AJ440" s="55"/>
      <c r="AK440" s="55"/>
      <c r="AL440" s="55"/>
      <c r="AM440" s="55"/>
      <c r="AN440" s="55"/>
      <c r="AO440" s="55"/>
      <c r="AP440" s="55"/>
      <c r="AQ440" s="55"/>
      <c r="AR440" s="55"/>
      <c r="AS440" s="55"/>
      <c r="AT440" s="55"/>
      <c r="AU440" s="55"/>
      <c r="AV440" s="55"/>
      <c r="AW440" s="55"/>
      <c r="AX440" s="55"/>
      <c r="AY440" s="55"/>
      <c r="AZ440" s="55"/>
      <c r="BA440" s="55"/>
      <c r="BB440" s="55"/>
      <c r="BC440" s="55"/>
      <c r="BD440" s="55"/>
      <c r="BE440" s="55"/>
      <c r="BF440" s="55"/>
      <c r="BG440" s="55"/>
      <c r="BH440" s="55"/>
      <c r="BI440" s="55"/>
      <c r="BJ440" s="55"/>
      <c r="BK440" s="55"/>
      <c r="BL440" s="55"/>
      <c r="BM440" s="55"/>
      <c r="BN440" s="55"/>
      <c r="BO440" s="55"/>
      <c r="BP440" s="55"/>
      <c r="BQ440" s="55"/>
      <c r="BR440" s="55"/>
      <c r="BS440" s="55"/>
    </row>
    <row r="441" spans="3:71" outlineLevel="1" x14ac:dyDescent="0.2">
      <c r="C441" s="11" t="str">
        <f>HM_ZB_Nsoko!C454</f>
        <v>Capex hors abandon</v>
      </c>
      <c r="I441" s="30">
        <f t="shared" ca="1" si="132"/>
        <v>406.02799999999996</v>
      </c>
      <c r="J441" s="26" t="s">
        <v>148</v>
      </c>
      <c r="L441" s="49">
        <f ca="1">SUM(L418:L419)</f>
        <v>51.014000000000003</v>
      </c>
      <c r="M441" s="49">
        <f t="shared" ref="M441:BS441" ca="1" si="133">SUM(M418:M419)</f>
        <v>171.511</v>
      </c>
      <c r="N441" s="49">
        <f t="shared" ca="1" si="133"/>
        <v>76.641000000000005</v>
      </c>
      <c r="O441" s="49">
        <f t="shared" ca="1" si="133"/>
        <v>28.661999999999999</v>
      </c>
      <c r="P441" s="49">
        <f t="shared" ca="1" si="133"/>
        <v>18.2</v>
      </c>
      <c r="Q441" s="49">
        <f t="shared" ca="1" si="133"/>
        <v>60</v>
      </c>
      <c r="R441" s="49">
        <f t="shared" ca="1" si="133"/>
        <v>0</v>
      </c>
      <c r="S441" s="49">
        <f t="shared" ca="1" si="133"/>
        <v>0</v>
      </c>
      <c r="T441" s="49">
        <f t="shared" ca="1" si="133"/>
        <v>0</v>
      </c>
      <c r="U441" s="49">
        <f t="shared" ca="1" si="133"/>
        <v>0</v>
      </c>
      <c r="V441" s="49">
        <f t="shared" ca="1" si="133"/>
        <v>0</v>
      </c>
      <c r="W441" s="49">
        <f t="shared" ca="1" si="133"/>
        <v>0</v>
      </c>
      <c r="X441" s="49">
        <f t="shared" ca="1" si="133"/>
        <v>0</v>
      </c>
      <c r="Y441" s="49">
        <f t="shared" ca="1" si="133"/>
        <v>0</v>
      </c>
      <c r="Z441" s="49">
        <f t="shared" ca="1" si="133"/>
        <v>0</v>
      </c>
      <c r="AA441" s="49">
        <f t="shared" ca="1" si="133"/>
        <v>0</v>
      </c>
      <c r="AB441" s="49">
        <f t="shared" ca="1" si="133"/>
        <v>0</v>
      </c>
      <c r="AC441" s="49">
        <f t="shared" ca="1" si="133"/>
        <v>0</v>
      </c>
      <c r="AD441" s="49">
        <f t="shared" ca="1" si="133"/>
        <v>0</v>
      </c>
      <c r="AE441" s="49">
        <f t="shared" ca="1" si="133"/>
        <v>0</v>
      </c>
      <c r="AF441" s="49">
        <f t="shared" ca="1" si="133"/>
        <v>0</v>
      </c>
      <c r="AG441" s="49">
        <f t="shared" ca="1" si="133"/>
        <v>0</v>
      </c>
      <c r="AH441" s="49">
        <f t="shared" ca="1" si="133"/>
        <v>0</v>
      </c>
      <c r="AI441" s="49">
        <f t="shared" ca="1" si="133"/>
        <v>0</v>
      </c>
      <c r="AJ441" s="49">
        <f t="shared" ca="1" si="133"/>
        <v>0</v>
      </c>
      <c r="AK441" s="49">
        <f t="shared" ca="1" si="133"/>
        <v>0</v>
      </c>
      <c r="AL441" s="49">
        <f t="shared" ca="1" si="133"/>
        <v>0</v>
      </c>
      <c r="AM441" s="49">
        <f t="shared" ca="1" si="133"/>
        <v>0</v>
      </c>
      <c r="AN441" s="49">
        <f t="shared" ca="1" si="133"/>
        <v>0</v>
      </c>
      <c r="AO441" s="49">
        <f t="shared" ca="1" si="133"/>
        <v>0</v>
      </c>
      <c r="AP441" s="49">
        <f t="shared" ca="1" si="133"/>
        <v>0</v>
      </c>
      <c r="AQ441" s="49">
        <f t="shared" ca="1" si="133"/>
        <v>0</v>
      </c>
      <c r="AR441" s="49">
        <f t="shared" ca="1" si="133"/>
        <v>0</v>
      </c>
      <c r="AS441" s="49">
        <f t="shared" ca="1" si="133"/>
        <v>0</v>
      </c>
      <c r="AT441" s="49">
        <f t="shared" ca="1" si="133"/>
        <v>0</v>
      </c>
      <c r="AU441" s="49">
        <f t="shared" ca="1" si="133"/>
        <v>0</v>
      </c>
      <c r="AV441" s="49">
        <f t="shared" ca="1" si="133"/>
        <v>0</v>
      </c>
      <c r="AW441" s="49">
        <f t="shared" ca="1" si="133"/>
        <v>0</v>
      </c>
      <c r="AX441" s="49">
        <f t="shared" ca="1" si="133"/>
        <v>0</v>
      </c>
      <c r="AY441" s="49">
        <f t="shared" ca="1" si="133"/>
        <v>0</v>
      </c>
      <c r="AZ441" s="49">
        <f t="shared" ca="1" si="133"/>
        <v>0</v>
      </c>
      <c r="BA441" s="49">
        <f t="shared" ca="1" si="133"/>
        <v>0</v>
      </c>
      <c r="BB441" s="49">
        <f t="shared" ca="1" si="133"/>
        <v>0</v>
      </c>
      <c r="BC441" s="49">
        <f t="shared" ca="1" si="133"/>
        <v>0</v>
      </c>
      <c r="BD441" s="49">
        <f t="shared" ca="1" si="133"/>
        <v>0</v>
      </c>
      <c r="BE441" s="49">
        <f t="shared" ca="1" si="133"/>
        <v>0</v>
      </c>
      <c r="BF441" s="49">
        <f t="shared" ca="1" si="133"/>
        <v>0</v>
      </c>
      <c r="BG441" s="49">
        <f t="shared" ca="1" si="133"/>
        <v>0</v>
      </c>
      <c r="BH441" s="49">
        <f t="shared" ca="1" si="133"/>
        <v>0</v>
      </c>
      <c r="BI441" s="49">
        <f t="shared" ca="1" si="133"/>
        <v>0</v>
      </c>
      <c r="BJ441" s="49">
        <f t="shared" ca="1" si="133"/>
        <v>0</v>
      </c>
      <c r="BK441" s="49">
        <f t="shared" ca="1" si="133"/>
        <v>0</v>
      </c>
      <c r="BL441" s="49">
        <f t="shared" ca="1" si="133"/>
        <v>0</v>
      </c>
      <c r="BM441" s="49">
        <f t="shared" ca="1" si="133"/>
        <v>0</v>
      </c>
      <c r="BN441" s="49">
        <f t="shared" ca="1" si="133"/>
        <v>0</v>
      </c>
      <c r="BO441" s="49">
        <f t="shared" ca="1" si="133"/>
        <v>0</v>
      </c>
      <c r="BP441" s="49">
        <f t="shared" ca="1" si="133"/>
        <v>0</v>
      </c>
      <c r="BQ441" s="49">
        <f t="shared" ca="1" si="133"/>
        <v>0</v>
      </c>
      <c r="BR441" s="49">
        <f t="shared" ca="1" si="133"/>
        <v>0</v>
      </c>
      <c r="BS441" s="49">
        <f t="shared" ca="1" si="133"/>
        <v>0</v>
      </c>
    </row>
    <row r="442" spans="3:71" outlineLevel="1" x14ac:dyDescent="0.2">
      <c r="J442" s="26"/>
      <c r="L442" s="55"/>
      <c r="M442" s="55"/>
      <c r="N442" s="55"/>
      <c r="O442" s="55"/>
      <c r="P442" s="55"/>
      <c r="Q442" s="55"/>
      <c r="R442" s="55"/>
      <c r="S442" s="55"/>
      <c r="T442" s="55"/>
      <c r="U442" s="55"/>
      <c r="V442" s="55"/>
      <c r="W442" s="55"/>
      <c r="X442" s="55"/>
      <c r="Y442" s="55"/>
      <c r="Z442" s="55"/>
      <c r="AA442" s="55"/>
      <c r="AB442" s="55"/>
      <c r="AC442" s="55"/>
      <c r="AD442" s="55"/>
      <c r="AE442" s="55"/>
      <c r="AF442" s="55"/>
      <c r="AG442" s="55"/>
      <c r="AH442" s="55"/>
      <c r="AI442" s="55"/>
      <c r="AJ442" s="55"/>
      <c r="AK442" s="55"/>
      <c r="AL442" s="55"/>
      <c r="AM442" s="55"/>
      <c r="AN442" s="55"/>
      <c r="AO442" s="55"/>
      <c r="AP442" s="55"/>
      <c r="AQ442" s="55"/>
      <c r="AR442" s="55"/>
      <c r="AS442" s="55"/>
      <c r="AT442" s="55"/>
      <c r="AU442" s="55"/>
      <c r="AV442" s="55"/>
      <c r="AW442" s="55"/>
      <c r="AX442" s="55"/>
      <c r="AY442" s="55"/>
      <c r="AZ442" s="55"/>
      <c r="BA442" s="55"/>
      <c r="BB442" s="55"/>
      <c r="BC442" s="55"/>
      <c r="BD442" s="55"/>
      <c r="BE442" s="55"/>
      <c r="BF442" s="55"/>
      <c r="BG442" s="55"/>
      <c r="BH442" s="55"/>
      <c r="BI442" s="55"/>
      <c r="BJ442" s="55"/>
      <c r="BK442" s="55"/>
      <c r="BL442" s="55"/>
      <c r="BM442" s="55"/>
      <c r="BN442" s="55"/>
      <c r="BO442" s="55"/>
      <c r="BP442" s="55"/>
      <c r="BQ442" s="55"/>
      <c r="BR442" s="55"/>
      <c r="BS442" s="55"/>
    </row>
    <row r="443" spans="3:71" outlineLevel="1" x14ac:dyDescent="0.2">
      <c r="C443" s="11" t="str">
        <f>HM_ZB_Nsoko!C456</f>
        <v>Abandon</v>
      </c>
      <c r="I443" s="30">
        <f t="shared" ca="1" si="132"/>
        <v>675.7120000000001</v>
      </c>
      <c r="J443" s="26" t="s">
        <v>148</v>
      </c>
      <c r="L443" s="49">
        <f ca="1">L420</f>
        <v>28.318999999999999</v>
      </c>
      <c r="M443" s="49">
        <f t="shared" ref="M443:BS443" ca="1" si="134">M420</f>
        <v>38.320999999999998</v>
      </c>
      <c r="N443" s="49">
        <f t="shared" ca="1" si="134"/>
        <v>51.231000000000002</v>
      </c>
      <c r="O443" s="49">
        <f t="shared" ca="1" si="134"/>
        <v>101.089</v>
      </c>
      <c r="P443" s="49">
        <f t="shared" ca="1" si="134"/>
        <v>131.86000000000001</v>
      </c>
      <c r="Q443" s="49">
        <f t="shared" ca="1" si="134"/>
        <v>161.22499999999999</v>
      </c>
      <c r="R443" s="49">
        <f t="shared" ca="1" si="134"/>
        <v>163.667</v>
      </c>
      <c r="S443" s="49">
        <f t="shared" ca="1" si="134"/>
        <v>0</v>
      </c>
      <c r="T443" s="49">
        <f t="shared" ca="1" si="134"/>
        <v>0</v>
      </c>
      <c r="U443" s="49">
        <f t="shared" ca="1" si="134"/>
        <v>0</v>
      </c>
      <c r="V443" s="49">
        <f t="shared" ca="1" si="134"/>
        <v>0</v>
      </c>
      <c r="W443" s="49">
        <f t="shared" ca="1" si="134"/>
        <v>0</v>
      </c>
      <c r="X443" s="49">
        <f t="shared" ca="1" si="134"/>
        <v>0</v>
      </c>
      <c r="Y443" s="49">
        <f t="shared" ca="1" si="134"/>
        <v>0</v>
      </c>
      <c r="Z443" s="49">
        <f t="shared" ca="1" si="134"/>
        <v>0</v>
      </c>
      <c r="AA443" s="49">
        <f t="shared" ca="1" si="134"/>
        <v>0</v>
      </c>
      <c r="AB443" s="49">
        <f t="shared" ca="1" si="134"/>
        <v>0</v>
      </c>
      <c r="AC443" s="49">
        <f t="shared" ca="1" si="134"/>
        <v>0</v>
      </c>
      <c r="AD443" s="49">
        <f t="shared" ca="1" si="134"/>
        <v>0</v>
      </c>
      <c r="AE443" s="49">
        <f t="shared" ca="1" si="134"/>
        <v>0</v>
      </c>
      <c r="AF443" s="49">
        <f t="shared" ca="1" si="134"/>
        <v>0</v>
      </c>
      <c r="AG443" s="49">
        <f t="shared" ca="1" si="134"/>
        <v>0</v>
      </c>
      <c r="AH443" s="49">
        <f t="shared" ca="1" si="134"/>
        <v>0</v>
      </c>
      <c r="AI443" s="49">
        <f t="shared" ca="1" si="134"/>
        <v>0</v>
      </c>
      <c r="AJ443" s="49">
        <f t="shared" ca="1" si="134"/>
        <v>0</v>
      </c>
      <c r="AK443" s="49">
        <f t="shared" ca="1" si="134"/>
        <v>0</v>
      </c>
      <c r="AL443" s="49">
        <f t="shared" ca="1" si="134"/>
        <v>0</v>
      </c>
      <c r="AM443" s="49">
        <f t="shared" ca="1" si="134"/>
        <v>0</v>
      </c>
      <c r="AN443" s="49">
        <f t="shared" ca="1" si="134"/>
        <v>0</v>
      </c>
      <c r="AO443" s="49">
        <f t="shared" ca="1" si="134"/>
        <v>0</v>
      </c>
      <c r="AP443" s="49">
        <f t="shared" ca="1" si="134"/>
        <v>0</v>
      </c>
      <c r="AQ443" s="49">
        <f t="shared" ca="1" si="134"/>
        <v>0</v>
      </c>
      <c r="AR443" s="49">
        <f t="shared" ca="1" si="134"/>
        <v>0</v>
      </c>
      <c r="AS443" s="49">
        <f t="shared" ca="1" si="134"/>
        <v>0</v>
      </c>
      <c r="AT443" s="49">
        <f t="shared" ca="1" si="134"/>
        <v>0</v>
      </c>
      <c r="AU443" s="49">
        <f t="shared" ca="1" si="134"/>
        <v>0</v>
      </c>
      <c r="AV443" s="49">
        <f t="shared" ca="1" si="134"/>
        <v>0</v>
      </c>
      <c r="AW443" s="49">
        <f t="shared" ca="1" si="134"/>
        <v>0</v>
      </c>
      <c r="AX443" s="49">
        <f t="shared" ca="1" si="134"/>
        <v>0</v>
      </c>
      <c r="AY443" s="49">
        <f t="shared" ca="1" si="134"/>
        <v>0</v>
      </c>
      <c r="AZ443" s="49">
        <f t="shared" ca="1" si="134"/>
        <v>0</v>
      </c>
      <c r="BA443" s="49">
        <f t="shared" ca="1" si="134"/>
        <v>0</v>
      </c>
      <c r="BB443" s="49">
        <f t="shared" ca="1" si="134"/>
        <v>0</v>
      </c>
      <c r="BC443" s="49">
        <f t="shared" ca="1" si="134"/>
        <v>0</v>
      </c>
      <c r="BD443" s="49">
        <f t="shared" ca="1" si="134"/>
        <v>0</v>
      </c>
      <c r="BE443" s="49">
        <f t="shared" ca="1" si="134"/>
        <v>0</v>
      </c>
      <c r="BF443" s="49">
        <f t="shared" ca="1" si="134"/>
        <v>0</v>
      </c>
      <c r="BG443" s="49">
        <f t="shared" ca="1" si="134"/>
        <v>0</v>
      </c>
      <c r="BH443" s="49">
        <f t="shared" ca="1" si="134"/>
        <v>0</v>
      </c>
      <c r="BI443" s="49">
        <f t="shared" ca="1" si="134"/>
        <v>0</v>
      </c>
      <c r="BJ443" s="49">
        <f t="shared" ca="1" si="134"/>
        <v>0</v>
      </c>
      <c r="BK443" s="49">
        <f t="shared" ca="1" si="134"/>
        <v>0</v>
      </c>
      <c r="BL443" s="49">
        <f t="shared" ca="1" si="134"/>
        <v>0</v>
      </c>
      <c r="BM443" s="49">
        <f t="shared" ca="1" si="134"/>
        <v>0</v>
      </c>
      <c r="BN443" s="49">
        <f t="shared" ca="1" si="134"/>
        <v>0</v>
      </c>
      <c r="BO443" s="49">
        <f t="shared" ca="1" si="134"/>
        <v>0</v>
      </c>
      <c r="BP443" s="49">
        <f t="shared" ca="1" si="134"/>
        <v>0</v>
      </c>
      <c r="BQ443" s="49">
        <f t="shared" ca="1" si="134"/>
        <v>0</v>
      </c>
      <c r="BR443" s="49">
        <f t="shared" ca="1" si="134"/>
        <v>0</v>
      </c>
      <c r="BS443" s="49">
        <f t="shared" ca="1" si="134"/>
        <v>0</v>
      </c>
    </row>
    <row r="444" spans="3:71" outlineLevel="1" x14ac:dyDescent="0.2">
      <c r="J444" s="26"/>
      <c r="L444" s="55"/>
      <c r="M444" s="55"/>
      <c r="N444" s="55"/>
      <c r="O444" s="55"/>
      <c r="P444" s="55"/>
      <c r="Q444" s="55"/>
      <c r="R444" s="55"/>
      <c r="S444" s="55"/>
      <c r="T444" s="55"/>
      <c r="U444" s="55"/>
      <c r="V444" s="55"/>
      <c r="W444" s="55"/>
      <c r="X444" s="55"/>
      <c r="Y444" s="55"/>
      <c r="Z444" s="55"/>
      <c r="AA444" s="55"/>
      <c r="AB444" s="55"/>
      <c r="AC444" s="55"/>
      <c r="AD444" s="55"/>
      <c r="AE444" s="55"/>
      <c r="AF444" s="55"/>
      <c r="AG444" s="55"/>
      <c r="AH444" s="55"/>
      <c r="AI444" s="55"/>
      <c r="AJ444" s="55"/>
      <c r="AK444" s="55"/>
      <c r="AL444" s="55"/>
      <c r="AM444" s="55"/>
      <c r="AN444" s="55"/>
      <c r="AO444" s="55"/>
      <c r="AP444" s="55"/>
      <c r="AQ444" s="55"/>
      <c r="AR444" s="55"/>
      <c r="AS444" s="55"/>
      <c r="AT444" s="55"/>
      <c r="AU444" s="55"/>
      <c r="AV444" s="55"/>
      <c r="AW444" s="55"/>
      <c r="AX444" s="55"/>
      <c r="AY444" s="55"/>
      <c r="AZ444" s="55"/>
      <c r="BA444" s="55"/>
      <c r="BB444" s="55"/>
      <c r="BC444" s="55"/>
      <c r="BD444" s="55"/>
      <c r="BE444" s="55"/>
      <c r="BF444" s="55"/>
      <c r="BG444" s="55"/>
      <c r="BH444" s="55"/>
      <c r="BI444" s="55"/>
      <c r="BJ444" s="55"/>
      <c r="BK444" s="55"/>
      <c r="BL444" s="55"/>
      <c r="BM444" s="55"/>
      <c r="BN444" s="55"/>
      <c r="BO444" s="55"/>
      <c r="BP444" s="55"/>
      <c r="BQ444" s="55"/>
      <c r="BR444" s="55"/>
      <c r="BS444" s="55"/>
    </row>
    <row r="445" spans="3:71" outlineLevel="1" x14ac:dyDescent="0.2">
      <c r="C445" s="11" t="str">
        <f>HM_ZB_Nsoko!C458</f>
        <v>Impôt sur le revenu</v>
      </c>
      <c r="I445" s="30">
        <f t="shared" si="132"/>
        <v>0</v>
      </c>
      <c r="J445" s="26" t="s">
        <v>148</v>
      </c>
      <c r="L445" s="49">
        <v>0</v>
      </c>
      <c r="M445" s="49">
        <v>0</v>
      </c>
      <c r="N445" s="49">
        <v>0</v>
      </c>
      <c r="O445" s="49">
        <v>0</v>
      </c>
      <c r="P445" s="49">
        <v>0</v>
      </c>
      <c r="Q445" s="49">
        <v>0</v>
      </c>
      <c r="R445" s="49">
        <v>0</v>
      </c>
      <c r="S445" s="49">
        <v>0</v>
      </c>
      <c r="T445" s="49">
        <v>0</v>
      </c>
      <c r="U445" s="49">
        <v>0</v>
      </c>
      <c r="V445" s="49">
        <v>0</v>
      </c>
      <c r="W445" s="49">
        <v>0</v>
      </c>
      <c r="X445" s="49">
        <v>0</v>
      </c>
      <c r="Y445" s="49">
        <v>0</v>
      </c>
      <c r="Z445" s="49">
        <v>0</v>
      </c>
      <c r="AA445" s="49">
        <v>0</v>
      </c>
      <c r="AB445" s="49">
        <v>0</v>
      </c>
      <c r="AC445" s="49">
        <v>0</v>
      </c>
      <c r="AD445" s="49">
        <v>0</v>
      </c>
      <c r="AE445" s="49">
        <v>0</v>
      </c>
      <c r="AF445" s="49">
        <v>0</v>
      </c>
      <c r="AG445" s="49">
        <v>0</v>
      </c>
      <c r="AH445" s="49">
        <v>0</v>
      </c>
      <c r="AI445" s="49">
        <v>0</v>
      </c>
      <c r="AJ445" s="49">
        <v>0</v>
      </c>
      <c r="AK445" s="49">
        <v>0</v>
      </c>
      <c r="AL445" s="49">
        <v>0</v>
      </c>
      <c r="AM445" s="49">
        <v>0</v>
      </c>
      <c r="AN445" s="49">
        <v>0</v>
      </c>
      <c r="AO445" s="49">
        <v>0</v>
      </c>
      <c r="AP445" s="49">
        <v>0</v>
      </c>
      <c r="AQ445" s="49">
        <v>0</v>
      </c>
      <c r="AR445" s="49">
        <v>0</v>
      </c>
      <c r="AS445" s="49">
        <v>0</v>
      </c>
      <c r="AT445" s="49">
        <v>0</v>
      </c>
      <c r="AU445" s="49">
        <v>0</v>
      </c>
      <c r="AV445" s="49">
        <v>0</v>
      </c>
      <c r="AW445" s="49">
        <v>0</v>
      </c>
      <c r="AX445" s="49">
        <v>0</v>
      </c>
      <c r="AY445" s="49">
        <v>0</v>
      </c>
      <c r="AZ445" s="49">
        <v>0</v>
      </c>
      <c r="BA445" s="49">
        <v>0</v>
      </c>
      <c r="BB445" s="49">
        <v>0</v>
      </c>
      <c r="BC445" s="49">
        <v>0</v>
      </c>
      <c r="BD445" s="49">
        <v>0</v>
      </c>
      <c r="BE445" s="49">
        <v>0</v>
      </c>
      <c r="BF445" s="49">
        <v>0</v>
      </c>
      <c r="BG445" s="49">
        <v>0</v>
      </c>
      <c r="BH445" s="49">
        <v>0</v>
      </c>
      <c r="BI445" s="49">
        <v>0</v>
      </c>
      <c r="BJ445" s="49">
        <v>0</v>
      </c>
      <c r="BK445" s="49">
        <v>0</v>
      </c>
      <c r="BL445" s="49">
        <v>0</v>
      </c>
      <c r="BM445" s="49">
        <v>0</v>
      </c>
      <c r="BN445" s="49">
        <v>0</v>
      </c>
      <c r="BO445" s="49">
        <v>0</v>
      </c>
      <c r="BP445" s="49">
        <v>0</v>
      </c>
      <c r="BQ445" s="49">
        <v>0</v>
      </c>
      <c r="BR445" s="49">
        <v>0</v>
      </c>
      <c r="BS445" s="49">
        <v>0</v>
      </c>
    </row>
    <row r="446" spans="3:71" outlineLevel="1" x14ac:dyDescent="0.2">
      <c r="J446" s="26"/>
      <c r="L446" s="55"/>
      <c r="M446" s="55"/>
      <c r="N446" s="55"/>
      <c r="O446" s="55"/>
      <c r="P446" s="55"/>
      <c r="Q446" s="55"/>
      <c r="R446" s="55"/>
      <c r="S446" s="55"/>
      <c r="T446" s="55"/>
      <c r="U446" s="55"/>
      <c r="V446" s="55"/>
      <c r="W446" s="55"/>
      <c r="X446" s="55"/>
      <c r="Y446" s="55"/>
      <c r="Z446" s="55"/>
      <c r="AA446" s="55"/>
      <c r="AB446" s="55"/>
      <c r="AC446" s="55"/>
      <c r="AD446" s="55"/>
      <c r="AE446" s="55"/>
      <c r="AF446" s="55"/>
      <c r="AG446" s="55"/>
      <c r="AH446" s="55"/>
      <c r="AI446" s="55"/>
      <c r="AJ446" s="55"/>
      <c r="AK446" s="55"/>
      <c r="AL446" s="55"/>
      <c r="AM446" s="55"/>
      <c r="AN446" s="55"/>
      <c r="AO446" s="55"/>
      <c r="AP446" s="55"/>
      <c r="AQ446" s="55"/>
      <c r="AR446" s="55"/>
      <c r="AS446" s="55"/>
      <c r="AT446" s="55"/>
      <c r="AU446" s="55"/>
      <c r="AV446" s="55"/>
      <c r="AW446" s="55"/>
      <c r="AX446" s="55"/>
      <c r="AY446" s="55"/>
      <c r="AZ446" s="55"/>
      <c r="BA446" s="55"/>
      <c r="BB446" s="55"/>
      <c r="BC446" s="55"/>
      <c r="BD446" s="55"/>
      <c r="BE446" s="55"/>
      <c r="BF446" s="55"/>
      <c r="BG446" s="55"/>
      <c r="BH446" s="55"/>
      <c r="BI446" s="55"/>
      <c r="BJ446" s="55"/>
      <c r="BK446" s="55"/>
      <c r="BL446" s="55"/>
      <c r="BM446" s="55"/>
      <c r="BN446" s="55"/>
      <c r="BO446" s="55"/>
      <c r="BP446" s="55"/>
      <c r="BQ446" s="55"/>
      <c r="BR446" s="55"/>
      <c r="BS446" s="55"/>
    </row>
    <row r="447" spans="3:71" outlineLevel="1" x14ac:dyDescent="0.2">
      <c r="C447" s="11" t="str">
        <f>HM_ZB_Nsoko!C460</f>
        <v>Impôts supplémentaires</v>
      </c>
      <c r="I447" s="30">
        <f t="shared" si="132"/>
        <v>0</v>
      </c>
      <c r="J447" s="26" t="s">
        <v>148</v>
      </c>
      <c r="L447" s="49">
        <v>0</v>
      </c>
      <c r="M447" s="49">
        <v>0</v>
      </c>
      <c r="N447" s="49">
        <v>0</v>
      </c>
      <c r="O447" s="49">
        <v>0</v>
      </c>
      <c r="P447" s="49">
        <v>0</v>
      </c>
      <c r="Q447" s="49">
        <v>0</v>
      </c>
      <c r="R447" s="49">
        <v>0</v>
      </c>
      <c r="S447" s="49">
        <v>0</v>
      </c>
      <c r="T447" s="49">
        <v>0</v>
      </c>
      <c r="U447" s="49">
        <v>0</v>
      </c>
      <c r="V447" s="49">
        <v>0</v>
      </c>
      <c r="W447" s="49">
        <v>0</v>
      </c>
      <c r="X447" s="49">
        <v>0</v>
      </c>
      <c r="Y447" s="49">
        <v>0</v>
      </c>
      <c r="Z447" s="49">
        <v>0</v>
      </c>
      <c r="AA447" s="49">
        <v>0</v>
      </c>
      <c r="AB447" s="49">
        <v>0</v>
      </c>
      <c r="AC447" s="49">
        <v>0</v>
      </c>
      <c r="AD447" s="49">
        <v>0</v>
      </c>
      <c r="AE447" s="49">
        <v>0</v>
      </c>
      <c r="AF447" s="49">
        <v>0</v>
      </c>
      <c r="AG447" s="49">
        <v>0</v>
      </c>
      <c r="AH447" s="49">
        <v>0</v>
      </c>
      <c r="AI447" s="49">
        <v>0</v>
      </c>
      <c r="AJ447" s="49">
        <v>0</v>
      </c>
      <c r="AK447" s="49">
        <v>0</v>
      </c>
      <c r="AL447" s="49">
        <v>0</v>
      </c>
      <c r="AM447" s="49">
        <v>0</v>
      </c>
      <c r="AN447" s="49">
        <v>0</v>
      </c>
      <c r="AO447" s="49">
        <v>0</v>
      </c>
      <c r="AP447" s="49">
        <v>0</v>
      </c>
      <c r="AQ447" s="49">
        <v>0</v>
      </c>
      <c r="AR447" s="49">
        <v>0</v>
      </c>
      <c r="AS447" s="49">
        <v>0</v>
      </c>
      <c r="AT447" s="49">
        <v>0</v>
      </c>
      <c r="AU447" s="49">
        <v>0</v>
      </c>
      <c r="AV447" s="49">
        <v>0</v>
      </c>
      <c r="AW447" s="49">
        <v>0</v>
      </c>
      <c r="AX447" s="49">
        <v>0</v>
      </c>
      <c r="AY447" s="49">
        <v>0</v>
      </c>
      <c r="AZ447" s="49">
        <v>0</v>
      </c>
      <c r="BA447" s="49">
        <v>0</v>
      </c>
      <c r="BB447" s="49">
        <v>0</v>
      </c>
      <c r="BC447" s="49">
        <v>0</v>
      </c>
      <c r="BD447" s="49">
        <v>0</v>
      </c>
      <c r="BE447" s="49">
        <v>0</v>
      </c>
      <c r="BF447" s="49">
        <v>0</v>
      </c>
      <c r="BG447" s="49">
        <v>0</v>
      </c>
      <c r="BH447" s="49">
        <v>0</v>
      </c>
      <c r="BI447" s="49">
        <v>0</v>
      </c>
      <c r="BJ447" s="49">
        <v>0</v>
      </c>
      <c r="BK447" s="49">
        <v>0</v>
      </c>
      <c r="BL447" s="49">
        <v>0</v>
      </c>
      <c r="BM447" s="49">
        <v>0</v>
      </c>
      <c r="BN447" s="49">
        <v>0</v>
      </c>
      <c r="BO447" s="49">
        <v>0</v>
      </c>
      <c r="BP447" s="49">
        <v>0</v>
      </c>
      <c r="BQ447" s="49">
        <v>0</v>
      </c>
      <c r="BR447" s="49">
        <v>0</v>
      </c>
      <c r="BS447" s="49">
        <v>0</v>
      </c>
    </row>
    <row r="448" spans="3:71" outlineLevel="1" x14ac:dyDescent="0.2">
      <c r="J448" s="26"/>
      <c r="L448" s="55"/>
      <c r="M448" s="55"/>
      <c r="N448" s="55"/>
      <c r="O448" s="55"/>
      <c r="P448" s="55"/>
      <c r="Q448" s="55"/>
      <c r="R448" s="55"/>
      <c r="S448" s="55"/>
      <c r="T448" s="55"/>
      <c r="U448" s="55"/>
      <c r="V448" s="55"/>
      <c r="W448" s="55"/>
      <c r="X448" s="55"/>
      <c r="Y448" s="55"/>
      <c r="Z448" s="55"/>
      <c r="AA448" s="55"/>
      <c r="AB448" s="55"/>
      <c r="AC448" s="55"/>
      <c r="AD448" s="55"/>
      <c r="AE448" s="55"/>
      <c r="AF448" s="55"/>
      <c r="AG448" s="55"/>
      <c r="AH448" s="55"/>
      <c r="AI448" s="55"/>
      <c r="AJ448" s="55"/>
      <c r="AK448" s="55"/>
      <c r="AL448" s="55"/>
      <c r="AM448" s="55"/>
      <c r="AN448" s="55"/>
      <c r="AO448" s="55"/>
      <c r="AP448" s="55"/>
      <c r="AQ448" s="55"/>
      <c r="AR448" s="55"/>
      <c r="AS448" s="55"/>
      <c r="AT448" s="55"/>
      <c r="AU448" s="55"/>
      <c r="AV448" s="55"/>
      <c r="AW448" s="55"/>
      <c r="AX448" s="55"/>
      <c r="AY448" s="55"/>
      <c r="AZ448" s="55"/>
      <c r="BA448" s="55"/>
      <c r="BB448" s="55"/>
      <c r="BC448" s="55"/>
      <c r="BD448" s="55"/>
      <c r="BE448" s="55"/>
      <c r="BF448" s="55"/>
      <c r="BG448" s="55"/>
      <c r="BH448" s="55"/>
      <c r="BI448" s="55"/>
      <c r="BJ448" s="55"/>
      <c r="BK448" s="55"/>
      <c r="BL448" s="55"/>
      <c r="BM448" s="55"/>
      <c r="BN448" s="55"/>
      <c r="BO448" s="55"/>
      <c r="BP448" s="55"/>
      <c r="BQ448" s="55"/>
      <c r="BR448" s="55"/>
      <c r="BS448" s="55"/>
    </row>
    <row r="449" spans="1:71" outlineLevel="1" x14ac:dyDescent="0.2">
      <c r="C449" s="11" t="str">
        <f>HM_ZB_Nsoko!C462</f>
        <v>Flux de trésorerie après impôts</v>
      </c>
      <c r="I449" s="30">
        <f t="shared" ca="1" si="132"/>
        <v>448.53356498966627</v>
      </c>
      <c r="J449" s="26" t="s">
        <v>148</v>
      </c>
      <c r="K449" s="7" t="s">
        <v>391</v>
      </c>
      <c r="L449" s="49">
        <f ca="1">L433-L435-L437-L439-L441-L443-L445-L447</f>
        <v>71.163825517501536</v>
      </c>
      <c r="M449" s="49">
        <f t="shared" ref="M449:BS449" ca="1" si="135">M433-M435-M437-M439-M441-M443-M445-M447</f>
        <v>-34.536191822184463</v>
      </c>
      <c r="N449" s="49">
        <f t="shared" ca="1" si="135"/>
        <v>-14.879394942715898</v>
      </c>
      <c r="O449" s="49">
        <f t="shared" ca="1" si="135"/>
        <v>-135.70641497581937</v>
      </c>
      <c r="P449" s="49">
        <f t="shared" ca="1" si="135"/>
        <v>-69.871505114531985</v>
      </c>
      <c r="Q449" s="49">
        <f t="shared" ca="1" si="135"/>
        <v>-50.060909695772438</v>
      </c>
      <c r="R449" s="49">
        <f t="shared" ca="1" si="135"/>
        <v>-7.2787521975498919</v>
      </c>
      <c r="S449" s="49">
        <f t="shared" ca="1" si="135"/>
        <v>88.363851255</v>
      </c>
      <c r="T449" s="49">
        <f t="shared" ca="1" si="135"/>
        <v>137.25849719569916</v>
      </c>
      <c r="U449" s="49">
        <f t="shared" ca="1" si="135"/>
        <v>131.25562803270719</v>
      </c>
      <c r="V449" s="49">
        <f t="shared" ca="1" si="135"/>
        <v>120.763648751826</v>
      </c>
      <c r="W449" s="49">
        <f t="shared" ca="1" si="135"/>
        <v>110.78061914198213</v>
      </c>
      <c r="X449" s="49">
        <f t="shared" ca="1" si="135"/>
        <v>101.28066384352427</v>
      </c>
      <c r="Y449" s="49">
        <f t="shared" ca="1" si="135"/>
        <v>0</v>
      </c>
      <c r="Z449" s="49">
        <f t="shared" ca="1" si="135"/>
        <v>0</v>
      </c>
      <c r="AA449" s="49">
        <f t="shared" ca="1" si="135"/>
        <v>0</v>
      </c>
      <c r="AB449" s="49">
        <f t="shared" ca="1" si="135"/>
        <v>0</v>
      </c>
      <c r="AC449" s="49">
        <f t="shared" ca="1" si="135"/>
        <v>0</v>
      </c>
      <c r="AD449" s="49">
        <f t="shared" ca="1" si="135"/>
        <v>0</v>
      </c>
      <c r="AE449" s="49">
        <f t="shared" ca="1" si="135"/>
        <v>0</v>
      </c>
      <c r="AF449" s="49">
        <f t="shared" ca="1" si="135"/>
        <v>0</v>
      </c>
      <c r="AG449" s="49">
        <f t="shared" ca="1" si="135"/>
        <v>0</v>
      </c>
      <c r="AH449" s="49">
        <f t="shared" ca="1" si="135"/>
        <v>0</v>
      </c>
      <c r="AI449" s="49">
        <f t="shared" ca="1" si="135"/>
        <v>0</v>
      </c>
      <c r="AJ449" s="49">
        <f t="shared" ca="1" si="135"/>
        <v>0</v>
      </c>
      <c r="AK449" s="49">
        <f t="shared" ca="1" si="135"/>
        <v>0</v>
      </c>
      <c r="AL449" s="49">
        <f t="shared" ca="1" si="135"/>
        <v>0</v>
      </c>
      <c r="AM449" s="49">
        <f t="shared" ca="1" si="135"/>
        <v>0</v>
      </c>
      <c r="AN449" s="49">
        <f t="shared" ca="1" si="135"/>
        <v>0</v>
      </c>
      <c r="AO449" s="49">
        <f t="shared" ca="1" si="135"/>
        <v>0</v>
      </c>
      <c r="AP449" s="49">
        <f t="shared" ca="1" si="135"/>
        <v>0</v>
      </c>
      <c r="AQ449" s="49">
        <f t="shared" ca="1" si="135"/>
        <v>0</v>
      </c>
      <c r="AR449" s="49">
        <f t="shared" ca="1" si="135"/>
        <v>0</v>
      </c>
      <c r="AS449" s="49">
        <f t="shared" ca="1" si="135"/>
        <v>0</v>
      </c>
      <c r="AT449" s="49">
        <f t="shared" ca="1" si="135"/>
        <v>0</v>
      </c>
      <c r="AU449" s="49">
        <f t="shared" ca="1" si="135"/>
        <v>0</v>
      </c>
      <c r="AV449" s="49">
        <f t="shared" ca="1" si="135"/>
        <v>0</v>
      </c>
      <c r="AW449" s="49">
        <f t="shared" ca="1" si="135"/>
        <v>0</v>
      </c>
      <c r="AX449" s="49">
        <f t="shared" ca="1" si="135"/>
        <v>0</v>
      </c>
      <c r="AY449" s="49">
        <f t="shared" ca="1" si="135"/>
        <v>0</v>
      </c>
      <c r="AZ449" s="49">
        <f t="shared" ca="1" si="135"/>
        <v>0</v>
      </c>
      <c r="BA449" s="49">
        <f t="shared" ca="1" si="135"/>
        <v>0</v>
      </c>
      <c r="BB449" s="49">
        <f t="shared" ca="1" si="135"/>
        <v>0</v>
      </c>
      <c r="BC449" s="49">
        <f t="shared" ca="1" si="135"/>
        <v>0</v>
      </c>
      <c r="BD449" s="49">
        <f t="shared" ca="1" si="135"/>
        <v>0</v>
      </c>
      <c r="BE449" s="49">
        <f t="shared" ca="1" si="135"/>
        <v>0</v>
      </c>
      <c r="BF449" s="49">
        <f t="shared" ca="1" si="135"/>
        <v>0</v>
      </c>
      <c r="BG449" s="49">
        <f t="shared" ca="1" si="135"/>
        <v>0</v>
      </c>
      <c r="BH449" s="49">
        <f t="shared" ca="1" si="135"/>
        <v>0</v>
      </c>
      <c r="BI449" s="49">
        <f t="shared" ca="1" si="135"/>
        <v>0</v>
      </c>
      <c r="BJ449" s="49">
        <f t="shared" ca="1" si="135"/>
        <v>0</v>
      </c>
      <c r="BK449" s="49">
        <f t="shared" ca="1" si="135"/>
        <v>0</v>
      </c>
      <c r="BL449" s="49">
        <f t="shared" ca="1" si="135"/>
        <v>0</v>
      </c>
      <c r="BM449" s="49">
        <f t="shared" ca="1" si="135"/>
        <v>0</v>
      </c>
      <c r="BN449" s="49">
        <f t="shared" ca="1" si="135"/>
        <v>0</v>
      </c>
      <c r="BO449" s="49">
        <f t="shared" ca="1" si="135"/>
        <v>0</v>
      </c>
      <c r="BP449" s="49">
        <f t="shared" ca="1" si="135"/>
        <v>0</v>
      </c>
      <c r="BQ449" s="49">
        <f t="shared" ca="1" si="135"/>
        <v>0</v>
      </c>
      <c r="BR449" s="49">
        <f t="shared" ca="1" si="135"/>
        <v>0</v>
      </c>
      <c r="BS449" s="49">
        <f t="shared" ca="1" si="135"/>
        <v>0</v>
      </c>
    </row>
    <row r="450" spans="1:71" outlineLevel="1" x14ac:dyDescent="0.2">
      <c r="J450" s="26"/>
      <c r="L450" s="55"/>
      <c r="M450" s="55"/>
      <c r="N450" s="55"/>
      <c r="O450" s="55"/>
      <c r="P450" s="55"/>
      <c r="Q450" s="55"/>
      <c r="R450" s="55"/>
      <c r="S450" s="55"/>
      <c r="T450" s="55"/>
      <c r="U450" s="55"/>
      <c r="V450" s="55"/>
      <c r="W450" s="55"/>
      <c r="X450" s="55"/>
      <c r="Y450" s="55"/>
      <c r="Z450" s="55"/>
      <c r="AA450" s="55"/>
      <c r="AB450" s="55"/>
      <c r="AC450" s="55"/>
      <c r="AD450" s="55"/>
      <c r="AE450" s="55"/>
      <c r="AF450" s="55"/>
      <c r="AG450" s="55"/>
      <c r="AH450" s="55"/>
      <c r="AI450" s="55"/>
      <c r="AJ450" s="55"/>
      <c r="AK450" s="55"/>
      <c r="AL450" s="55"/>
      <c r="AM450" s="55"/>
      <c r="AN450" s="55"/>
      <c r="AO450" s="55"/>
      <c r="AP450" s="55"/>
      <c r="AQ450" s="55"/>
      <c r="AR450" s="55"/>
      <c r="AS450" s="55"/>
      <c r="AT450" s="55"/>
      <c r="AU450" s="55"/>
      <c r="AV450" s="55"/>
      <c r="AW450" s="55"/>
      <c r="AX450" s="55"/>
      <c r="AY450" s="55"/>
      <c r="AZ450" s="55"/>
      <c r="BA450" s="55"/>
      <c r="BB450" s="55"/>
      <c r="BC450" s="55"/>
      <c r="BD450" s="55"/>
      <c r="BE450" s="55"/>
      <c r="BF450" s="55"/>
      <c r="BG450" s="55"/>
      <c r="BH450" s="55"/>
      <c r="BI450" s="55"/>
      <c r="BJ450" s="55"/>
      <c r="BK450" s="55"/>
      <c r="BL450" s="55"/>
      <c r="BM450" s="55"/>
      <c r="BN450" s="55"/>
      <c r="BO450" s="55"/>
      <c r="BP450" s="55"/>
      <c r="BQ450" s="55"/>
      <c r="BR450" s="55"/>
      <c r="BS450" s="55"/>
    </row>
    <row r="451" spans="1:71" outlineLevel="1" x14ac:dyDescent="0.2">
      <c r="C451" s="11" t="str">
        <f>HM_ZB_Nsoko!C464</f>
        <v>Flux de trésorerie après impôts cumulé</v>
      </c>
      <c r="J451" s="26"/>
      <c r="L451" s="66">
        <f ca="1">(K451+L449)*KLL_II_2020!CA_op_trig</f>
        <v>71.163825517501536</v>
      </c>
      <c r="M451" s="66">
        <f ca="1">(L451+M449)*KLL_II_2020!CA_op_trig</f>
        <v>36.627633695317073</v>
      </c>
      <c r="N451" s="66">
        <f ca="1">(M451+N449)*KLL_II_2020!CA_op_trig</f>
        <v>21.748238752601175</v>
      </c>
      <c r="O451" s="66">
        <f ca="1">(N451+O449)*KLL_II_2020!CA_op_trig</f>
        <v>-113.9581762232182</v>
      </c>
      <c r="P451" s="66">
        <f ca="1">(O451+P449)*KLL_II_2020!CA_op_trig</f>
        <v>-183.82968133775017</v>
      </c>
      <c r="Q451" s="66">
        <f ca="1">(P451+Q449)*KLL_II_2020!CA_op_trig</f>
        <v>-233.89059103352261</v>
      </c>
      <c r="R451" s="66">
        <f ca="1">(Q451+R449)*KLL_II_2020!CA_op_trig</f>
        <v>-241.1693432310725</v>
      </c>
      <c r="S451" s="66">
        <f ca="1">(R451+S449)*KLL_II_2020!CA_op_trig</f>
        <v>-152.80549197607252</v>
      </c>
      <c r="T451" s="66">
        <f ca="1">(S451+T449)*KLL_II_2020!CA_op_trig</f>
        <v>-15.546994780373353</v>
      </c>
      <c r="U451" s="66">
        <f ca="1">(T451+U449)*KLL_II_2020!CA_op_trig</f>
        <v>115.70863325233384</v>
      </c>
      <c r="V451" s="66">
        <f ca="1">(U451+V449)*KLL_II_2020!CA_op_trig</f>
        <v>236.47228200415984</v>
      </c>
      <c r="W451" s="66">
        <f ca="1">(V451+W449)*KLL_II_2020!CA_op_trig</f>
        <v>347.25290114614199</v>
      </c>
      <c r="X451" s="66">
        <f ca="1">(W451+X449)*KLL_II_2020!CA_op_trig</f>
        <v>448.53356498966627</v>
      </c>
      <c r="Y451" s="66">
        <f ca="1">(X451+Y449)*KLL_II_2020!CA_op_trig</f>
        <v>0</v>
      </c>
      <c r="Z451" s="66">
        <f ca="1">(Y451+Z449)*KLL_II_2020!CA_op_trig</f>
        <v>0</v>
      </c>
      <c r="AA451" s="66">
        <f ca="1">(Z451+AA449)*KLL_II_2020!CA_op_trig</f>
        <v>0</v>
      </c>
      <c r="AB451" s="66">
        <f ca="1">(AA451+AB449)*KLL_II_2020!CA_op_trig</f>
        <v>0</v>
      </c>
      <c r="AC451" s="66">
        <f ca="1">(AB451+AC449)*KLL_II_2020!CA_op_trig</f>
        <v>0</v>
      </c>
      <c r="AD451" s="66">
        <f ca="1">(AC451+AD449)*KLL_II_2020!CA_op_trig</f>
        <v>0</v>
      </c>
      <c r="AE451" s="66">
        <f ca="1">(AD451+AE449)*KLL_II_2020!CA_op_trig</f>
        <v>0</v>
      </c>
      <c r="AF451" s="66">
        <f ca="1">(AE451+AF449)*KLL_II_2020!CA_op_trig</f>
        <v>0</v>
      </c>
      <c r="AG451" s="66">
        <f ca="1">(AF451+AG449)*KLL_II_2020!CA_op_trig</f>
        <v>0</v>
      </c>
      <c r="AH451" s="66">
        <f ca="1">(AG451+AH449)*KLL_II_2020!CA_op_trig</f>
        <v>0</v>
      </c>
      <c r="AI451" s="66">
        <f ca="1">(AH451+AI449)*KLL_II_2020!CA_op_trig</f>
        <v>0</v>
      </c>
      <c r="AJ451" s="66">
        <f ca="1">(AI451+AJ449)*KLL_II_2020!CA_op_trig</f>
        <v>0</v>
      </c>
      <c r="AK451" s="66">
        <f ca="1">(AJ451+AK449)*KLL_II_2020!CA_op_trig</f>
        <v>0</v>
      </c>
      <c r="AL451" s="66">
        <f ca="1">(AK451+AL449)*KLL_II_2020!CA_op_trig</f>
        <v>0</v>
      </c>
      <c r="AM451" s="66">
        <f ca="1">(AL451+AM449)*KLL_II_2020!CA_op_trig</f>
        <v>0</v>
      </c>
      <c r="AN451" s="66">
        <f ca="1">(AM451+AN449)*KLL_II_2020!CA_op_trig</f>
        <v>0</v>
      </c>
      <c r="AO451" s="66">
        <f ca="1">(AN451+AO449)*KLL_II_2020!CA_op_trig</f>
        <v>0</v>
      </c>
      <c r="AP451" s="66">
        <f ca="1">(AO451+AP449)*KLL_II_2020!CA_op_trig</f>
        <v>0</v>
      </c>
      <c r="AQ451" s="66">
        <f ca="1">(AP451+AQ449)*KLL_II_2020!CA_op_trig</f>
        <v>0</v>
      </c>
      <c r="AR451" s="66">
        <f ca="1">(AQ451+AR449)*KLL_II_2020!CA_op_trig</f>
        <v>0</v>
      </c>
      <c r="AS451" s="66">
        <f ca="1">(AR451+AS449)*KLL_II_2020!CA_op_trig</f>
        <v>0</v>
      </c>
      <c r="AT451" s="66">
        <f ca="1">(AS451+AT449)*KLL_II_2020!CA_op_trig</f>
        <v>0</v>
      </c>
      <c r="AU451" s="66">
        <f ca="1">(AT451+AU449)*KLL_II_2020!CA_op_trig</f>
        <v>0</v>
      </c>
      <c r="AV451" s="66">
        <f ca="1">(AU451+AV449)*KLL_II_2020!CA_op_trig</f>
        <v>0</v>
      </c>
      <c r="AW451" s="66">
        <f ca="1">(AV451+AW449)*KLL_II_2020!CA_op_trig</f>
        <v>0</v>
      </c>
      <c r="AX451" s="66">
        <f ca="1">(AW451+AX449)*KLL_II_2020!CA_op_trig</f>
        <v>0</v>
      </c>
      <c r="AY451" s="66">
        <f ca="1">(AX451+AY449)*KLL_II_2020!CA_op_trig</f>
        <v>0</v>
      </c>
      <c r="AZ451" s="66">
        <f ca="1">(AY451+AZ449)*KLL_II_2020!CA_op_trig</f>
        <v>0</v>
      </c>
      <c r="BA451" s="66">
        <f ca="1">(AZ451+BA449)*KLL_II_2020!CA_op_trig</f>
        <v>0</v>
      </c>
      <c r="BB451" s="66">
        <f ca="1">(BA451+BB449)*KLL_II_2020!CA_op_trig</f>
        <v>0</v>
      </c>
      <c r="BC451" s="66">
        <f ca="1">(BB451+BC449)*KLL_II_2020!CA_op_trig</f>
        <v>0</v>
      </c>
      <c r="BD451" s="66">
        <f ca="1">(BC451+BD449)*KLL_II_2020!CA_op_trig</f>
        <v>0</v>
      </c>
      <c r="BE451" s="66">
        <f ca="1">(BD451+BE449)*KLL_II_2020!CA_op_trig</f>
        <v>0</v>
      </c>
      <c r="BF451" s="66">
        <f ca="1">(BE451+BF449)*KLL_II_2020!CA_op_trig</f>
        <v>0</v>
      </c>
      <c r="BG451" s="66">
        <f ca="1">(BF451+BG449)*KLL_II_2020!CA_op_trig</f>
        <v>0</v>
      </c>
      <c r="BH451" s="66">
        <f ca="1">(BG451+BH449)*KLL_II_2020!CA_op_trig</f>
        <v>0</v>
      </c>
      <c r="BI451" s="66">
        <f ca="1">(BH451+BI449)*KLL_II_2020!CA_op_trig</f>
        <v>0</v>
      </c>
      <c r="BJ451" s="66">
        <f ca="1">(BI451+BJ449)*KLL_II_2020!CA_op_trig</f>
        <v>0</v>
      </c>
      <c r="BK451" s="66">
        <f ca="1">(BJ451+BK449)*KLL_II_2020!CA_op_trig</f>
        <v>0</v>
      </c>
      <c r="BL451" s="66">
        <f ca="1">(BK451+BL449)*KLL_II_2020!CA_op_trig</f>
        <v>0</v>
      </c>
      <c r="BM451" s="66">
        <f ca="1">(BL451+BM449)*KLL_II_2020!CA_op_trig</f>
        <v>0</v>
      </c>
      <c r="BN451" s="66">
        <f ca="1">(BM451+BN449)*KLL_II_2020!CA_op_trig</f>
        <v>0</v>
      </c>
      <c r="BO451" s="66">
        <f ca="1">(BN451+BO449)*KLL_II_2020!CA_op_trig</f>
        <v>0</v>
      </c>
      <c r="BP451" s="66">
        <f ca="1">(BO451+BP449)*KLL_II_2020!CA_op_trig</f>
        <v>0</v>
      </c>
      <c r="BQ451" s="66">
        <f ca="1">(BP451+BQ449)*KLL_II_2020!CA_op_trig</f>
        <v>0</v>
      </c>
      <c r="BR451" s="66">
        <f ca="1">(BQ451+BR449)*KLL_II_2020!CA_op_trig</f>
        <v>0</v>
      </c>
      <c r="BS451" s="66">
        <f ca="1">(BR451+BS449)*KLL_II_2020!CA_op_trig</f>
        <v>0</v>
      </c>
    </row>
    <row r="452" spans="1:71" outlineLevel="1" x14ac:dyDescent="0.2">
      <c r="J452" s="26"/>
      <c r="L452" s="55"/>
      <c r="M452" s="55"/>
      <c r="N452" s="55"/>
      <c r="O452" s="55"/>
      <c r="P452" s="55"/>
      <c r="Q452" s="55"/>
      <c r="R452" s="55"/>
      <c r="S452" s="55"/>
      <c r="T452" s="55"/>
      <c r="U452" s="55"/>
      <c r="V452" s="55"/>
      <c r="W452" s="55"/>
      <c r="X452" s="55"/>
      <c r="Y452" s="55"/>
      <c r="Z452" s="55"/>
      <c r="AA452" s="55"/>
      <c r="AB452" s="55"/>
      <c r="AC452" s="55"/>
      <c r="AD452" s="55"/>
      <c r="AE452" s="55"/>
      <c r="AF452" s="55"/>
      <c r="AG452" s="55"/>
      <c r="AH452" s="55"/>
      <c r="AI452" s="55"/>
      <c r="AJ452" s="55"/>
      <c r="AK452" s="55"/>
      <c r="AL452" s="55"/>
      <c r="AM452" s="55"/>
      <c r="AN452" s="55"/>
      <c r="AO452" s="55"/>
      <c r="AP452" s="55"/>
      <c r="AQ452" s="55"/>
      <c r="AR452" s="55"/>
      <c r="AS452" s="55"/>
      <c r="AT452" s="55"/>
      <c r="AU452" s="55"/>
      <c r="AV452" s="55"/>
      <c r="AW452" s="55"/>
      <c r="AX452" s="55"/>
      <c r="AY452" s="55"/>
      <c r="AZ452" s="55"/>
      <c r="BA452" s="55"/>
      <c r="BB452" s="55"/>
      <c r="BC452" s="55"/>
      <c r="BD452" s="55"/>
      <c r="BE452" s="55"/>
      <c r="BF452" s="55"/>
      <c r="BG452" s="55"/>
      <c r="BH452" s="55"/>
      <c r="BI452" s="55"/>
      <c r="BJ452" s="55"/>
      <c r="BK452" s="55"/>
      <c r="BL452" s="55"/>
      <c r="BM452" s="55"/>
      <c r="BN452" s="55"/>
      <c r="BO452" s="55"/>
      <c r="BP452" s="55"/>
      <c r="BQ452" s="55"/>
      <c r="BR452" s="55"/>
      <c r="BS452" s="55"/>
    </row>
    <row r="453" spans="1:71" outlineLevel="1" x14ac:dyDescent="0.2">
      <c r="C453" s="11" t="str">
        <f>HM_ZB_Nsoko!C466</f>
        <v>VAN cycle complet</v>
      </c>
      <c r="G453" s="60"/>
      <c r="I453" s="63">
        <f ca="1">SUMPRODUCT(OA_cont_ATCF_KLL2020,KLL_II_2020!CA_disc_factor_fc)</f>
        <v>525.26589934754691</v>
      </c>
      <c r="J453" s="26" t="s">
        <v>148</v>
      </c>
      <c r="L453" s="55"/>
      <c r="M453" s="55"/>
      <c r="N453" s="55"/>
      <c r="O453" s="55"/>
      <c r="P453" s="55"/>
      <c r="Q453" s="55"/>
      <c r="R453" s="55"/>
      <c r="S453" s="55"/>
      <c r="T453" s="55"/>
      <c r="U453" s="55"/>
      <c r="V453" s="55"/>
      <c r="W453" s="55"/>
      <c r="X453" s="55"/>
      <c r="Y453" s="55"/>
      <c r="Z453" s="55"/>
      <c r="AA453" s="55"/>
      <c r="AB453" s="55"/>
      <c r="AC453" s="55"/>
      <c r="AD453" s="55"/>
      <c r="AE453" s="55"/>
      <c r="AF453" s="55"/>
      <c r="AG453" s="55"/>
      <c r="AH453" s="55"/>
      <c r="AI453" s="55"/>
      <c r="AJ453" s="55"/>
      <c r="AK453" s="55"/>
      <c r="AL453" s="55"/>
      <c r="AM453" s="55"/>
      <c r="AN453" s="55"/>
      <c r="AO453" s="55"/>
      <c r="AP453" s="55"/>
      <c r="AQ453" s="55"/>
      <c r="AR453" s="55"/>
      <c r="AS453" s="55"/>
      <c r="AT453" s="55"/>
      <c r="AU453" s="55"/>
      <c r="AV453" s="55"/>
      <c r="AW453" s="55"/>
      <c r="AX453" s="55"/>
      <c r="AY453" s="55"/>
      <c r="AZ453" s="55"/>
      <c r="BA453" s="55"/>
      <c r="BB453" s="55"/>
      <c r="BC453" s="55"/>
      <c r="BD453" s="55"/>
      <c r="BE453" s="55"/>
      <c r="BF453" s="55"/>
      <c r="BG453" s="55"/>
      <c r="BH453" s="55"/>
      <c r="BI453" s="55"/>
      <c r="BJ453" s="55"/>
      <c r="BK453" s="55"/>
      <c r="BL453" s="55"/>
      <c r="BM453" s="55"/>
      <c r="BN453" s="55"/>
      <c r="BO453" s="55"/>
      <c r="BP453" s="55"/>
      <c r="BQ453" s="55"/>
      <c r="BR453" s="55"/>
      <c r="BS453" s="55"/>
    </row>
    <row r="454" spans="1:71" outlineLevel="1" x14ac:dyDescent="0.2">
      <c r="C454" s="11" t="str">
        <f>HM_ZB_Nsoko!C467</f>
        <v>VAN à terme</v>
      </c>
      <c r="I454" s="63">
        <f ca="1">SUMPRODUCT(OA_cont_ATCF_KLL2020,KLL_II_2020!CA_disc_factor_pf)</f>
        <v>485.11570022766648</v>
      </c>
      <c r="J454" s="26" t="s">
        <v>148</v>
      </c>
      <c r="L454" s="55"/>
      <c r="M454" s="55"/>
      <c r="N454" s="55"/>
      <c r="O454" s="55"/>
      <c r="P454" s="55"/>
      <c r="Q454" s="55"/>
      <c r="R454" s="55"/>
      <c r="S454" s="55"/>
      <c r="T454" s="55"/>
      <c r="U454" s="55"/>
      <c r="V454" s="55"/>
      <c r="W454" s="55"/>
      <c r="X454" s="55"/>
      <c r="Y454" s="55"/>
      <c r="Z454" s="55"/>
      <c r="AA454" s="55"/>
      <c r="AB454" s="55"/>
      <c r="AC454" s="55"/>
      <c r="AD454" s="55"/>
      <c r="AE454" s="55"/>
      <c r="AF454" s="55"/>
      <c r="AG454" s="55"/>
      <c r="AH454" s="55"/>
      <c r="AI454" s="55"/>
      <c r="AJ454" s="55"/>
      <c r="AK454" s="55"/>
      <c r="AL454" s="55"/>
      <c r="AM454" s="55"/>
      <c r="AN454" s="55"/>
      <c r="AO454" s="55"/>
      <c r="AP454" s="55"/>
      <c r="AQ454" s="55"/>
      <c r="AR454" s="55"/>
      <c r="AS454" s="55"/>
      <c r="AT454" s="55"/>
      <c r="AU454" s="55"/>
      <c r="AV454" s="55"/>
      <c r="AW454" s="55"/>
      <c r="AX454" s="55"/>
      <c r="AY454" s="55"/>
      <c r="AZ454" s="55"/>
      <c r="BA454" s="55"/>
      <c r="BB454" s="55"/>
      <c r="BC454" s="55"/>
      <c r="BD454" s="55"/>
      <c r="BE454" s="55"/>
      <c r="BF454" s="55"/>
      <c r="BG454" s="55"/>
      <c r="BH454" s="55"/>
      <c r="BI454" s="55"/>
      <c r="BJ454" s="55"/>
      <c r="BK454" s="55"/>
      <c r="BL454" s="55"/>
      <c r="BM454" s="55"/>
      <c r="BN454" s="55"/>
      <c r="BO454" s="55"/>
      <c r="BP454" s="55"/>
      <c r="BQ454" s="55"/>
      <c r="BR454" s="55"/>
      <c r="BS454" s="55"/>
    </row>
    <row r="455" spans="1:71" outlineLevel="1" x14ac:dyDescent="0.2">
      <c r="I455" s="61"/>
      <c r="J455" s="26"/>
      <c r="L455" s="55"/>
      <c r="M455" s="55"/>
      <c r="N455" s="55"/>
      <c r="O455" s="55"/>
      <c r="P455" s="55"/>
      <c r="Q455" s="55"/>
      <c r="R455" s="55"/>
      <c r="S455" s="55"/>
      <c r="T455" s="55"/>
      <c r="U455" s="55"/>
      <c r="V455" s="55"/>
      <c r="W455" s="55"/>
      <c r="X455" s="55"/>
      <c r="Y455" s="55"/>
      <c r="Z455" s="55"/>
      <c r="AA455" s="55"/>
      <c r="AB455" s="55"/>
      <c r="AC455" s="55"/>
      <c r="AD455" s="55"/>
      <c r="AE455" s="55"/>
      <c r="AF455" s="55"/>
      <c r="AG455" s="55"/>
      <c r="AH455" s="55"/>
      <c r="AI455" s="55"/>
      <c r="AJ455" s="55"/>
      <c r="AK455" s="55"/>
      <c r="AL455" s="55"/>
      <c r="AM455" s="55"/>
      <c r="AN455" s="55"/>
      <c r="AO455" s="55"/>
      <c r="AP455" s="55"/>
      <c r="AQ455" s="55"/>
      <c r="AR455" s="55"/>
      <c r="AS455" s="55"/>
      <c r="AT455" s="55"/>
      <c r="AU455" s="55"/>
      <c r="AV455" s="55"/>
      <c r="AW455" s="55"/>
      <c r="AX455" s="55"/>
      <c r="AY455" s="55"/>
      <c r="AZ455" s="55"/>
      <c r="BA455" s="55"/>
      <c r="BB455" s="55"/>
      <c r="BC455" s="55"/>
      <c r="BD455" s="55"/>
      <c r="BE455" s="55"/>
      <c r="BF455" s="55"/>
      <c r="BG455" s="55"/>
      <c r="BH455" s="55"/>
      <c r="BI455" s="55"/>
      <c r="BJ455" s="55"/>
      <c r="BK455" s="55"/>
      <c r="BL455" s="55"/>
      <c r="BM455" s="55"/>
      <c r="BN455" s="55"/>
      <c r="BO455" s="55"/>
      <c r="BP455" s="55"/>
      <c r="BQ455" s="55"/>
      <c r="BR455" s="55"/>
      <c r="BS455" s="55"/>
    </row>
    <row r="456" spans="1:71" outlineLevel="1" x14ac:dyDescent="0.2">
      <c r="C456" s="11" t="str">
        <f>HM_ZB_Nsoko!C469</f>
        <v>TRI cycle complet</v>
      </c>
      <c r="I456" s="62" t="str">
        <f ca="1">IFERROR(IRR(INDEX(OA_cont_ATCF_KLL2020,1,MAX(1,$G$398-L4+1)):INDEX(OA_cont_ATCF_KLL2020,1,last_model_year)),"na")</f>
        <v>na</v>
      </c>
      <c r="J456" s="26" t="s">
        <v>90</v>
      </c>
      <c r="L456" s="55"/>
      <c r="M456" s="55"/>
      <c r="N456" s="55"/>
      <c r="O456" s="55"/>
      <c r="P456" s="55"/>
      <c r="Q456" s="55"/>
      <c r="R456" s="55"/>
      <c r="S456" s="55"/>
      <c r="T456" s="55"/>
      <c r="U456" s="55"/>
      <c r="V456" s="55"/>
      <c r="W456" s="55"/>
      <c r="X456" s="55"/>
      <c r="Y456" s="55"/>
      <c r="Z456" s="55"/>
      <c r="AA456" s="55"/>
      <c r="AB456" s="55"/>
      <c r="AC456" s="55"/>
      <c r="AD456" s="55"/>
      <c r="AE456" s="55"/>
      <c r="AF456" s="55"/>
      <c r="AG456" s="55"/>
      <c r="AH456" s="55"/>
      <c r="AI456" s="55"/>
      <c r="AJ456" s="55"/>
      <c r="AK456" s="55"/>
      <c r="AL456" s="55"/>
      <c r="AM456" s="55"/>
      <c r="AN456" s="55"/>
      <c r="AO456" s="55"/>
      <c r="AP456" s="55"/>
      <c r="AQ456" s="55"/>
      <c r="AR456" s="55"/>
      <c r="AS456" s="55"/>
      <c r="AT456" s="55"/>
      <c r="AU456" s="55"/>
      <c r="AV456" s="55"/>
      <c r="AW456" s="55"/>
      <c r="AX456" s="55"/>
      <c r="AY456" s="55"/>
      <c r="AZ456" s="55"/>
      <c r="BA456" s="55"/>
      <c r="BB456" s="55"/>
      <c r="BC456" s="55"/>
      <c r="BD456" s="55"/>
      <c r="BE456" s="55"/>
      <c r="BF456" s="55"/>
      <c r="BG456" s="55"/>
      <c r="BH456" s="55"/>
      <c r="BI456" s="55"/>
      <c r="BJ456" s="55"/>
      <c r="BK456" s="55"/>
      <c r="BL456" s="55"/>
      <c r="BM456" s="55"/>
      <c r="BN456" s="55"/>
      <c r="BO456" s="55"/>
      <c r="BP456" s="55"/>
      <c r="BQ456" s="55"/>
      <c r="BR456" s="55"/>
      <c r="BS456" s="55"/>
    </row>
    <row r="457" spans="1:71" outlineLevel="1" x14ac:dyDescent="0.2">
      <c r="C457" s="11" t="str">
        <f>HM_ZB_Nsoko!C470</f>
        <v>TRI à terme</v>
      </c>
      <c r="I457" s="62" t="str">
        <f ca="1">IFERROR(IRR(INDEX(OA_cont_ATCF_KLL2020,1,MAX(1,$G$399-L4+1)):INDEX(OA_cont_ATCF_KLL2020,1,last_model_year)),"na")</f>
        <v>na</v>
      </c>
      <c r="J457" s="26" t="s">
        <v>90</v>
      </c>
      <c r="L457" s="55"/>
      <c r="M457" s="55"/>
      <c r="N457" s="55"/>
      <c r="O457" s="55"/>
      <c r="P457" s="55"/>
      <c r="Q457" s="55"/>
      <c r="R457" s="55"/>
      <c r="S457" s="55"/>
      <c r="T457" s="55"/>
      <c r="U457" s="55"/>
      <c r="V457" s="55"/>
      <c r="W457" s="55"/>
      <c r="X457" s="55"/>
      <c r="Y457" s="55"/>
      <c r="Z457" s="55"/>
      <c r="AA457" s="55"/>
      <c r="AB457" s="55"/>
      <c r="AC457" s="55"/>
      <c r="AD457" s="55"/>
      <c r="AE457" s="55"/>
      <c r="AF457" s="55"/>
      <c r="AG457" s="55"/>
      <c r="AH457" s="55"/>
      <c r="AI457" s="55"/>
      <c r="AJ457" s="55"/>
      <c r="AK457" s="55"/>
      <c r="AL457" s="55"/>
      <c r="AM457" s="55"/>
      <c r="AN457" s="55"/>
      <c r="AO457" s="55"/>
      <c r="AP457" s="55"/>
      <c r="AQ457" s="55"/>
      <c r="AR457" s="55"/>
      <c r="AS457" s="55"/>
      <c r="AT457" s="55"/>
      <c r="AU457" s="55"/>
      <c r="AV457" s="55"/>
      <c r="AW457" s="55"/>
      <c r="AX457" s="55"/>
      <c r="AY457" s="55"/>
      <c r="AZ457" s="55"/>
      <c r="BA457" s="55"/>
      <c r="BB457" s="55"/>
      <c r="BC457" s="55"/>
      <c r="BD457" s="55"/>
      <c r="BE457" s="55"/>
      <c r="BF457" s="55"/>
      <c r="BG457" s="55"/>
      <c r="BH457" s="55"/>
      <c r="BI457" s="55"/>
      <c r="BJ457" s="55"/>
      <c r="BK457" s="55"/>
      <c r="BL457" s="55"/>
      <c r="BM457" s="55"/>
      <c r="BN457" s="55"/>
      <c r="BO457" s="55"/>
      <c r="BP457" s="55"/>
      <c r="BQ457" s="55"/>
      <c r="BR457" s="55"/>
      <c r="BS457" s="55"/>
    </row>
    <row r="458" spans="1:71" outlineLevel="1" x14ac:dyDescent="0.2">
      <c r="J458" s="26"/>
      <c r="L458" s="55"/>
      <c r="M458" s="55"/>
      <c r="N458" s="55"/>
      <c r="O458" s="55"/>
      <c r="P458" s="55"/>
      <c r="Q458" s="55"/>
      <c r="R458" s="55"/>
      <c r="S458" s="55"/>
      <c r="T458" s="55"/>
      <c r="U458" s="55"/>
      <c r="V458" s="55"/>
      <c r="W458" s="55"/>
      <c r="X458" s="55"/>
      <c r="Y458" s="55"/>
      <c r="Z458" s="55"/>
      <c r="AA458" s="55"/>
      <c r="AB458" s="55"/>
      <c r="AC458" s="55"/>
      <c r="AD458" s="55"/>
      <c r="AE458" s="55"/>
      <c r="AF458" s="55"/>
      <c r="AG458" s="55"/>
      <c r="AH458" s="55"/>
      <c r="AI458" s="55"/>
      <c r="AJ458" s="55"/>
      <c r="AK458" s="55"/>
      <c r="AL458" s="55"/>
      <c r="AM458" s="55"/>
      <c r="AN458" s="55"/>
      <c r="AO458" s="55"/>
      <c r="AP458" s="55"/>
      <c r="AQ458" s="55"/>
      <c r="AR458" s="55"/>
      <c r="AS458" s="55"/>
      <c r="AT458" s="55"/>
      <c r="AU458" s="55"/>
      <c r="AV458" s="55"/>
      <c r="AW458" s="55"/>
      <c r="AX458" s="55"/>
      <c r="AY458" s="55"/>
      <c r="AZ458" s="55"/>
      <c r="BA458" s="55"/>
      <c r="BB458" s="55"/>
      <c r="BC458" s="55"/>
      <c r="BD458" s="55"/>
      <c r="BE458" s="55"/>
      <c r="BF458" s="55"/>
      <c r="BG458" s="55"/>
      <c r="BH458" s="55"/>
      <c r="BI458" s="55"/>
      <c r="BJ458" s="55"/>
      <c r="BK458" s="55"/>
      <c r="BL458" s="55"/>
      <c r="BM458" s="55"/>
      <c r="BN458" s="55"/>
      <c r="BO458" s="55"/>
      <c r="BP458" s="55"/>
      <c r="BQ458" s="55"/>
      <c r="BR458" s="55"/>
      <c r="BS458" s="55"/>
    </row>
    <row r="459" spans="1:71" outlineLevel="1" x14ac:dyDescent="0.2">
      <c r="C459" s="11" t="str">
        <f>HM_ZB_Nsoko!C472</f>
        <v>Période de remboursement</v>
      </c>
      <c r="I459" s="67">
        <f ca="1">COUNTIF(L451:BS451,"&lt;0")+1</f>
        <v>7</v>
      </c>
      <c r="J459" s="26"/>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c r="BF459" s="7"/>
      <c r="BG459" s="7"/>
      <c r="BH459" s="7"/>
      <c r="BI459" s="7"/>
      <c r="BJ459" s="7"/>
      <c r="BK459" s="7"/>
      <c r="BL459" s="7"/>
      <c r="BM459" s="7"/>
      <c r="BN459" s="7"/>
      <c r="BO459" s="7"/>
      <c r="BP459" s="7"/>
      <c r="BQ459" s="7"/>
      <c r="BR459" s="7"/>
      <c r="BS459" s="7"/>
    </row>
    <row r="460" spans="1:71" outlineLevel="1" x14ac:dyDescent="0.2">
      <c r="J460" s="26"/>
      <c r="L460" s="55"/>
      <c r="M460" s="55"/>
      <c r="N460" s="55"/>
      <c r="O460" s="55"/>
      <c r="P460" s="55"/>
      <c r="Q460" s="55"/>
      <c r="R460" s="55"/>
      <c r="S460" s="55"/>
      <c r="T460" s="55"/>
      <c r="U460" s="55"/>
      <c r="V460" s="55"/>
      <c r="W460" s="55"/>
      <c r="X460" s="55"/>
      <c r="Y460" s="55"/>
      <c r="Z460" s="55"/>
      <c r="AA460" s="55"/>
      <c r="AB460" s="55"/>
      <c r="AC460" s="55"/>
      <c r="AD460" s="55"/>
      <c r="AE460" s="55"/>
      <c r="AF460" s="55"/>
      <c r="AG460" s="55"/>
      <c r="AH460" s="55"/>
      <c r="AI460" s="55"/>
      <c r="AJ460" s="55"/>
      <c r="AK460" s="55"/>
      <c r="AL460" s="55"/>
      <c r="AM460" s="55"/>
      <c r="AN460" s="55"/>
      <c r="AO460" s="55"/>
      <c r="AP460" s="55"/>
      <c r="AQ460" s="55"/>
      <c r="AR460" s="55"/>
      <c r="AS460" s="55"/>
      <c r="AT460" s="55"/>
      <c r="AU460" s="55"/>
      <c r="AV460" s="55"/>
      <c r="AW460" s="55"/>
      <c r="AX460" s="55"/>
      <c r="AY460" s="55"/>
      <c r="AZ460" s="55"/>
      <c r="BA460" s="55"/>
      <c r="BB460" s="55"/>
      <c r="BC460" s="55"/>
      <c r="BD460" s="55"/>
      <c r="BE460" s="55"/>
      <c r="BF460" s="55"/>
      <c r="BG460" s="55"/>
      <c r="BH460" s="55"/>
      <c r="BI460" s="55"/>
      <c r="BJ460" s="55"/>
      <c r="BK460" s="55"/>
      <c r="BL460" s="55"/>
      <c r="BM460" s="55"/>
      <c r="BN460" s="55"/>
      <c r="BO460" s="55"/>
      <c r="BP460" s="55"/>
      <c r="BQ460" s="55"/>
      <c r="BR460" s="55"/>
      <c r="BS460" s="55"/>
    </row>
    <row r="461" spans="1:71" outlineLevel="1" x14ac:dyDescent="0.2">
      <c r="J461" s="26"/>
      <c r="L461" s="55"/>
      <c r="M461" s="55"/>
      <c r="N461" s="55"/>
      <c r="O461" s="55"/>
      <c r="P461" s="55"/>
      <c r="Q461" s="55"/>
      <c r="R461" s="55"/>
      <c r="S461" s="55"/>
      <c r="T461" s="55"/>
      <c r="U461" s="55"/>
      <c r="V461" s="55"/>
      <c r="W461" s="55"/>
      <c r="X461" s="55"/>
      <c r="Y461" s="55"/>
      <c r="Z461" s="55"/>
      <c r="AA461" s="55"/>
      <c r="AB461" s="55"/>
      <c r="AC461" s="55"/>
      <c r="AD461" s="55"/>
      <c r="AE461" s="55"/>
      <c r="AF461" s="55"/>
      <c r="AG461" s="55"/>
      <c r="AH461" s="55"/>
      <c r="AI461" s="55"/>
      <c r="AJ461" s="55"/>
      <c r="AK461" s="55"/>
      <c r="AL461" s="55"/>
      <c r="AM461" s="55"/>
      <c r="AN461" s="55"/>
      <c r="AO461" s="55"/>
      <c r="AP461" s="55"/>
      <c r="AQ461" s="55"/>
      <c r="AR461" s="55"/>
      <c r="AS461" s="55"/>
      <c r="AT461" s="55"/>
      <c r="AU461" s="55"/>
      <c r="AV461" s="55"/>
      <c r="AW461" s="55"/>
      <c r="AX461" s="55"/>
      <c r="AY461" s="55"/>
      <c r="AZ461" s="55"/>
      <c r="BA461" s="55"/>
      <c r="BB461" s="55"/>
      <c r="BC461" s="55"/>
      <c r="BD461" s="55"/>
      <c r="BE461" s="55"/>
      <c r="BF461" s="55"/>
      <c r="BG461" s="55"/>
      <c r="BH461" s="55"/>
      <c r="BI461" s="55"/>
      <c r="BJ461" s="55"/>
      <c r="BK461" s="55"/>
      <c r="BL461" s="55"/>
      <c r="BM461" s="55"/>
      <c r="BN461" s="55"/>
      <c r="BO461" s="55"/>
      <c r="BP461" s="55"/>
      <c r="BQ461" s="55"/>
      <c r="BR461" s="55"/>
      <c r="BS461" s="55"/>
    </row>
    <row r="462" spans="1:71" outlineLevel="1" x14ac:dyDescent="0.2">
      <c r="J462" s="26"/>
      <c r="L462" s="55"/>
      <c r="M462" s="55"/>
      <c r="N462" s="55"/>
      <c r="O462" s="55"/>
      <c r="P462" s="55"/>
      <c r="Q462" s="55"/>
      <c r="R462" s="55"/>
      <c r="S462" s="55"/>
      <c r="T462" s="55"/>
      <c r="U462" s="55"/>
      <c r="V462" s="55"/>
      <c r="W462" s="55"/>
      <c r="X462" s="55"/>
      <c r="Y462" s="55"/>
      <c r="Z462" s="55"/>
      <c r="AA462" s="55"/>
      <c r="AB462" s="55"/>
      <c r="AC462" s="55"/>
      <c r="AD462" s="55"/>
      <c r="AE462" s="55"/>
      <c r="AF462" s="55"/>
      <c r="AG462" s="55"/>
      <c r="AH462" s="55"/>
      <c r="AI462" s="55"/>
      <c r="AJ462" s="55"/>
      <c r="AK462" s="55"/>
      <c r="AL462" s="55"/>
      <c r="AM462" s="55"/>
      <c r="AN462" s="55"/>
      <c r="AO462" s="55"/>
      <c r="AP462" s="55"/>
      <c r="AQ462" s="55"/>
      <c r="AR462" s="55"/>
      <c r="AS462" s="55"/>
      <c r="AT462" s="55"/>
      <c r="AU462" s="55"/>
      <c r="AV462" s="55"/>
      <c r="AW462" s="55"/>
      <c r="AX462" s="55"/>
      <c r="AY462" s="55"/>
      <c r="AZ462" s="55"/>
      <c r="BA462" s="55"/>
      <c r="BB462" s="55"/>
      <c r="BC462" s="55"/>
      <c r="BD462" s="55"/>
      <c r="BE462" s="55"/>
      <c r="BF462" s="55"/>
      <c r="BG462" s="55"/>
      <c r="BH462" s="55"/>
      <c r="BI462" s="55"/>
      <c r="BJ462" s="55"/>
      <c r="BK462" s="55"/>
      <c r="BL462" s="55"/>
      <c r="BM462" s="55"/>
      <c r="BN462" s="55"/>
      <c r="BO462" s="55"/>
      <c r="BP462" s="55"/>
      <c r="BQ462" s="55"/>
      <c r="BR462" s="55"/>
      <c r="BS462" s="55"/>
    </row>
    <row r="463" spans="1:71" outlineLevel="1" x14ac:dyDescent="0.2">
      <c r="A463" s="45"/>
      <c r="B463" s="38" t="str">
        <f>HM_ZB_Nsoko!B476</f>
        <v>Flux de trésorerie consortium compagnies pétrolières internationales</v>
      </c>
      <c r="C463" s="45"/>
      <c r="D463" s="45"/>
      <c r="E463" s="45"/>
      <c r="J463" s="26"/>
      <c r="L463" s="55"/>
      <c r="M463" s="55"/>
      <c r="N463" s="55"/>
      <c r="O463" s="55"/>
      <c r="P463" s="55"/>
      <c r="Q463" s="55"/>
      <c r="R463" s="55"/>
      <c r="S463" s="55"/>
      <c r="T463" s="55"/>
      <c r="U463" s="55"/>
      <c r="V463" s="55"/>
      <c r="W463" s="55"/>
      <c r="X463" s="55"/>
      <c r="Y463" s="55"/>
      <c r="Z463" s="55"/>
      <c r="AA463" s="55"/>
      <c r="AB463" s="55"/>
      <c r="AC463" s="55"/>
      <c r="AD463" s="55"/>
      <c r="AE463" s="55"/>
      <c r="AF463" s="55"/>
      <c r="AG463" s="55"/>
      <c r="AH463" s="55"/>
      <c r="AI463" s="55"/>
      <c r="AJ463" s="55"/>
      <c r="AK463" s="55"/>
      <c r="AL463" s="55"/>
      <c r="AM463" s="55"/>
      <c r="AN463" s="55"/>
      <c r="AO463" s="55"/>
      <c r="AP463" s="55"/>
      <c r="AQ463" s="55"/>
      <c r="AR463" s="55"/>
      <c r="AS463" s="55"/>
      <c r="AT463" s="55"/>
      <c r="AU463" s="55"/>
      <c r="AV463" s="55"/>
      <c r="AW463" s="55"/>
      <c r="AX463" s="55"/>
      <c r="AY463" s="55"/>
      <c r="AZ463" s="55"/>
      <c r="BA463" s="55"/>
      <c r="BB463" s="55"/>
      <c r="BC463" s="55"/>
      <c r="BD463" s="55"/>
      <c r="BE463" s="55"/>
      <c r="BF463" s="55"/>
      <c r="BG463" s="55"/>
      <c r="BH463" s="55"/>
      <c r="BI463" s="55"/>
      <c r="BJ463" s="55"/>
      <c r="BK463" s="55"/>
      <c r="BL463" s="55"/>
      <c r="BM463" s="55"/>
      <c r="BN463" s="55"/>
      <c r="BO463" s="55"/>
      <c r="BP463" s="55"/>
      <c r="BQ463" s="55"/>
      <c r="BR463" s="55"/>
      <c r="BS463" s="55"/>
    </row>
    <row r="464" spans="1:71" outlineLevel="1" x14ac:dyDescent="0.2">
      <c r="J464" s="26"/>
      <c r="L464" s="55"/>
      <c r="M464" s="55"/>
      <c r="N464" s="55"/>
      <c r="O464" s="55"/>
      <c r="P464" s="55"/>
      <c r="Q464" s="55"/>
      <c r="R464" s="55"/>
      <c r="S464" s="55"/>
      <c r="T464" s="55"/>
      <c r="U464" s="55"/>
      <c r="V464" s="55"/>
      <c r="W464" s="55"/>
      <c r="X464" s="55"/>
      <c r="Y464" s="55"/>
      <c r="Z464" s="55"/>
      <c r="AA464" s="55"/>
      <c r="AB464" s="55"/>
      <c r="AC464" s="55"/>
      <c r="AD464" s="55"/>
      <c r="AE464" s="55"/>
      <c r="AF464" s="55"/>
      <c r="AG464" s="55"/>
      <c r="AH464" s="55"/>
      <c r="AI464" s="55"/>
      <c r="AJ464" s="55"/>
      <c r="AK464" s="55"/>
      <c r="AL464" s="55"/>
      <c r="AM464" s="55"/>
      <c r="AN464" s="55"/>
      <c r="AO464" s="55"/>
      <c r="AP464" s="55"/>
      <c r="AQ464" s="55"/>
      <c r="AR464" s="55"/>
      <c r="AS464" s="55"/>
      <c r="AT464" s="55"/>
      <c r="AU464" s="55"/>
      <c r="AV464" s="55"/>
      <c r="AW464" s="55"/>
      <c r="AX464" s="55"/>
      <c r="AY464" s="55"/>
      <c r="AZ464" s="55"/>
      <c r="BA464" s="55"/>
      <c r="BB464" s="55"/>
      <c r="BC464" s="55"/>
      <c r="BD464" s="55"/>
      <c r="BE464" s="55"/>
      <c r="BF464" s="55"/>
      <c r="BG464" s="55"/>
      <c r="BH464" s="55"/>
      <c r="BI464" s="55"/>
      <c r="BJ464" s="55"/>
      <c r="BK464" s="55"/>
      <c r="BL464" s="55"/>
      <c r="BM464" s="55"/>
      <c r="BN464" s="55"/>
      <c r="BO464" s="55"/>
      <c r="BP464" s="55"/>
      <c r="BQ464" s="55"/>
      <c r="BR464" s="55"/>
      <c r="BS464" s="55"/>
    </row>
    <row r="465" spans="3:71" outlineLevel="1" x14ac:dyDescent="0.2">
      <c r="C465" s="11" t="str">
        <f>HM_ZB_Nsoko!C478</f>
        <v>Part Flux de trésorerie après impôts des compagnies pétrolières internationales</v>
      </c>
      <c r="I465" s="30">
        <f t="shared" ref="I465:I468" ca="1" si="136">SUM($L465:$BS465)</f>
        <v>358.82685199173301</v>
      </c>
      <c r="J465" s="26" t="s">
        <v>148</v>
      </c>
      <c r="L465" s="49" cm="1">
        <f t="array" aca="1" ref="L465:BS465" ca="1">OA_cont_ATCF_KLL2020*KLL_II_2020!CA_IOC_WI</f>
        <v>56.93106041400123</v>
      </c>
      <c r="M465" s="49">
        <f ca="1"/>
        <v>-27.628953457747571</v>
      </c>
      <c r="N465" s="49">
        <f ca="1"/>
        <v>-11.903515954172718</v>
      </c>
      <c r="O465" s="49">
        <f ca="1"/>
        <v>-108.56513198065551</v>
      </c>
      <c r="P465" s="49">
        <f ca="1"/>
        <v>-55.897204091625589</v>
      </c>
      <c r="Q465" s="49">
        <f ca="1"/>
        <v>-40.04872775661795</v>
      </c>
      <c r="R465" s="49">
        <f ca="1"/>
        <v>-5.823001758039914</v>
      </c>
      <c r="S465" s="49">
        <f ca="1"/>
        <v>70.691081003999997</v>
      </c>
      <c r="T465" s="49">
        <f ca="1"/>
        <v>109.80679775655933</v>
      </c>
      <c r="U465" s="49">
        <f ca="1"/>
        <v>105.00450242616576</v>
      </c>
      <c r="V465" s="49">
        <f ca="1"/>
        <v>96.6109190014608</v>
      </c>
      <c r="W465" s="49">
        <f ca="1"/>
        <v>88.624495313585712</v>
      </c>
      <c r="X465" s="49">
        <f ca="1"/>
        <v>81.024531074819421</v>
      </c>
      <c r="Y465" s="49">
        <f ca="1"/>
        <v>0</v>
      </c>
      <c r="Z465" s="49">
        <f ca="1"/>
        <v>0</v>
      </c>
      <c r="AA465" s="49">
        <f ca="1"/>
        <v>0</v>
      </c>
      <c r="AB465" s="49">
        <f ca="1"/>
        <v>0</v>
      </c>
      <c r="AC465" s="49">
        <f ca="1"/>
        <v>0</v>
      </c>
      <c r="AD465" s="49">
        <f ca="1"/>
        <v>0</v>
      </c>
      <c r="AE465" s="49">
        <f ca="1"/>
        <v>0</v>
      </c>
      <c r="AF465" s="49">
        <f ca="1"/>
        <v>0</v>
      </c>
      <c r="AG465" s="49">
        <f ca="1"/>
        <v>0</v>
      </c>
      <c r="AH465" s="49">
        <f ca="1"/>
        <v>0</v>
      </c>
      <c r="AI465" s="49">
        <f ca="1"/>
        <v>0</v>
      </c>
      <c r="AJ465" s="49">
        <f ca="1"/>
        <v>0</v>
      </c>
      <c r="AK465" s="49">
        <f ca="1"/>
        <v>0</v>
      </c>
      <c r="AL465" s="49">
        <f ca="1"/>
        <v>0</v>
      </c>
      <c r="AM465" s="49">
        <f ca="1"/>
        <v>0</v>
      </c>
      <c r="AN465" s="49">
        <f ca="1"/>
        <v>0</v>
      </c>
      <c r="AO465" s="49">
        <f ca="1"/>
        <v>0</v>
      </c>
      <c r="AP465" s="49">
        <f ca="1"/>
        <v>0</v>
      </c>
      <c r="AQ465" s="49">
        <f ca="1"/>
        <v>0</v>
      </c>
      <c r="AR465" s="49">
        <f ca="1"/>
        <v>0</v>
      </c>
      <c r="AS465" s="49">
        <f ca="1"/>
        <v>0</v>
      </c>
      <c r="AT465" s="49">
        <f ca="1"/>
        <v>0</v>
      </c>
      <c r="AU465" s="49">
        <f ca="1"/>
        <v>0</v>
      </c>
      <c r="AV465" s="49">
        <f ca="1"/>
        <v>0</v>
      </c>
      <c r="AW465" s="49">
        <f ca="1"/>
        <v>0</v>
      </c>
      <c r="AX465" s="49">
        <f ca="1"/>
        <v>0</v>
      </c>
      <c r="AY465" s="49">
        <f ca="1"/>
        <v>0</v>
      </c>
      <c r="AZ465" s="49">
        <f ca="1"/>
        <v>0</v>
      </c>
      <c r="BA465" s="49">
        <f ca="1"/>
        <v>0</v>
      </c>
      <c r="BB465" s="49">
        <f ca="1"/>
        <v>0</v>
      </c>
      <c r="BC465" s="49">
        <f ca="1"/>
        <v>0</v>
      </c>
      <c r="BD465" s="49">
        <f ca="1"/>
        <v>0</v>
      </c>
      <c r="BE465" s="49">
        <f ca="1"/>
        <v>0</v>
      </c>
      <c r="BF465" s="49">
        <f ca="1"/>
        <v>0</v>
      </c>
      <c r="BG465" s="49">
        <f ca="1"/>
        <v>0</v>
      </c>
      <c r="BH465" s="49">
        <f ca="1"/>
        <v>0</v>
      </c>
      <c r="BI465" s="49">
        <f ca="1"/>
        <v>0</v>
      </c>
      <c r="BJ465" s="49">
        <f ca="1"/>
        <v>0</v>
      </c>
      <c r="BK465" s="49">
        <f ca="1"/>
        <v>0</v>
      </c>
      <c r="BL465" s="49">
        <f ca="1"/>
        <v>0</v>
      </c>
      <c r="BM465" s="49">
        <f ca="1"/>
        <v>0</v>
      </c>
      <c r="BN465" s="49">
        <f ca="1"/>
        <v>0</v>
      </c>
      <c r="BO465" s="49">
        <f ca="1"/>
        <v>0</v>
      </c>
      <c r="BP465" s="49">
        <f ca="1"/>
        <v>0</v>
      </c>
      <c r="BQ465" s="49">
        <f ca="1"/>
        <v>0</v>
      </c>
      <c r="BR465" s="49">
        <f ca="1"/>
        <v>0</v>
      </c>
      <c r="BS465" s="49">
        <f ca="1"/>
        <v>0</v>
      </c>
    </row>
    <row r="466" spans="3:71" outlineLevel="1" x14ac:dyDescent="0.2">
      <c r="C466" s="11" t="str">
        <f>HM_ZB_Nsoko!C479</f>
        <v>Coûts portés</v>
      </c>
      <c r="I466" s="30">
        <f t="shared" ca="1" si="136"/>
        <v>-81.205600000000004</v>
      </c>
      <c r="J466" s="26" t="s">
        <v>148</v>
      </c>
      <c r="L466" s="49" cm="1">
        <f t="array" aca="1" ref="L466:BS466" ca="1">-KLL_II_2020!CA_NOC_carried_costs</f>
        <v>-10.202800000000002</v>
      </c>
      <c r="M466" s="49">
        <f ca="1"/>
        <v>-34.302199999999999</v>
      </c>
      <c r="N466" s="49">
        <f ca="1"/>
        <v>-15.328200000000002</v>
      </c>
      <c r="O466" s="49">
        <f ca="1"/>
        <v>-5.7324000000000002</v>
      </c>
      <c r="P466" s="49">
        <f ca="1"/>
        <v>-3.64</v>
      </c>
      <c r="Q466" s="49">
        <f ca="1"/>
        <v>-12</v>
      </c>
      <c r="R466" s="49">
        <f ca="1"/>
        <v>0</v>
      </c>
      <c r="S466" s="49">
        <f ca="1"/>
        <v>0</v>
      </c>
      <c r="T466" s="49">
        <f ca="1"/>
        <v>0</v>
      </c>
      <c r="U466" s="49">
        <f ca="1"/>
        <v>0</v>
      </c>
      <c r="V466" s="49">
        <f ca="1"/>
        <v>0</v>
      </c>
      <c r="W466" s="49">
        <f ca="1"/>
        <v>0</v>
      </c>
      <c r="X466" s="49">
        <f ca="1"/>
        <v>0</v>
      </c>
      <c r="Y466" s="49">
        <f ca="1"/>
        <v>0</v>
      </c>
      <c r="Z466" s="49">
        <f ca="1"/>
        <v>0</v>
      </c>
      <c r="AA466" s="49">
        <f ca="1"/>
        <v>0</v>
      </c>
      <c r="AB466" s="49">
        <f ca="1"/>
        <v>0</v>
      </c>
      <c r="AC466" s="49">
        <f ca="1"/>
        <v>0</v>
      </c>
      <c r="AD466" s="49">
        <f ca="1"/>
        <v>0</v>
      </c>
      <c r="AE466" s="49">
        <f ca="1"/>
        <v>0</v>
      </c>
      <c r="AF466" s="49">
        <f ca="1"/>
        <v>0</v>
      </c>
      <c r="AG466" s="49">
        <f ca="1"/>
        <v>0</v>
      </c>
      <c r="AH466" s="49">
        <f ca="1"/>
        <v>0</v>
      </c>
      <c r="AI466" s="49">
        <f ca="1"/>
        <v>0</v>
      </c>
      <c r="AJ466" s="49">
        <f ca="1"/>
        <v>0</v>
      </c>
      <c r="AK466" s="49">
        <f ca="1"/>
        <v>0</v>
      </c>
      <c r="AL466" s="49">
        <f ca="1"/>
        <v>0</v>
      </c>
      <c r="AM466" s="49">
        <f ca="1"/>
        <v>0</v>
      </c>
      <c r="AN466" s="49">
        <f ca="1"/>
        <v>0</v>
      </c>
      <c r="AO466" s="49">
        <f ca="1"/>
        <v>0</v>
      </c>
      <c r="AP466" s="49">
        <f ca="1"/>
        <v>0</v>
      </c>
      <c r="AQ466" s="49">
        <f ca="1"/>
        <v>0</v>
      </c>
      <c r="AR466" s="49">
        <f ca="1"/>
        <v>0</v>
      </c>
      <c r="AS466" s="49">
        <f ca="1"/>
        <v>0</v>
      </c>
      <c r="AT466" s="49">
        <f ca="1"/>
        <v>0</v>
      </c>
      <c r="AU466" s="49">
        <f ca="1"/>
        <v>0</v>
      </c>
      <c r="AV466" s="49">
        <f ca="1"/>
        <v>0</v>
      </c>
      <c r="AW466" s="49">
        <f ca="1"/>
        <v>0</v>
      </c>
      <c r="AX466" s="49">
        <f ca="1"/>
        <v>0</v>
      </c>
      <c r="AY466" s="49">
        <f ca="1"/>
        <v>0</v>
      </c>
      <c r="AZ466" s="49">
        <f ca="1"/>
        <v>0</v>
      </c>
      <c r="BA466" s="49">
        <f ca="1"/>
        <v>0</v>
      </c>
      <c r="BB466" s="49">
        <f ca="1"/>
        <v>0</v>
      </c>
      <c r="BC466" s="49">
        <f ca="1"/>
        <v>0</v>
      </c>
      <c r="BD466" s="49">
        <f ca="1"/>
        <v>0</v>
      </c>
      <c r="BE466" s="49">
        <f ca="1"/>
        <v>0</v>
      </c>
      <c r="BF466" s="49">
        <f ca="1"/>
        <v>0</v>
      </c>
      <c r="BG466" s="49">
        <f ca="1"/>
        <v>0</v>
      </c>
      <c r="BH466" s="49">
        <f ca="1"/>
        <v>0</v>
      </c>
      <c r="BI466" s="49">
        <f ca="1"/>
        <v>0</v>
      </c>
      <c r="BJ466" s="49">
        <f ca="1"/>
        <v>0</v>
      </c>
      <c r="BK466" s="49">
        <f ca="1"/>
        <v>0</v>
      </c>
      <c r="BL466" s="49">
        <f ca="1"/>
        <v>0</v>
      </c>
      <c r="BM466" s="49">
        <f ca="1"/>
        <v>0</v>
      </c>
      <c r="BN466" s="49">
        <f ca="1"/>
        <v>0</v>
      </c>
      <c r="BO466" s="49">
        <f ca="1"/>
        <v>0</v>
      </c>
      <c r="BP466" s="49">
        <f ca="1"/>
        <v>0</v>
      </c>
      <c r="BQ466" s="49">
        <f ca="1"/>
        <v>0</v>
      </c>
      <c r="BR466" s="49">
        <f ca="1"/>
        <v>0</v>
      </c>
      <c r="BS466" s="49">
        <f ca="1"/>
        <v>0</v>
      </c>
    </row>
    <row r="467" spans="3:71" outlineLevel="1" x14ac:dyDescent="0.2">
      <c r="C467" s="11" t="str">
        <f>HM_ZB_Nsoko!C480</f>
        <v>Remboursement du portage</v>
      </c>
      <c r="I467" s="30">
        <f t="shared" ca="1" si="136"/>
        <v>81.205600000000004</v>
      </c>
      <c r="J467" s="26" t="s">
        <v>148</v>
      </c>
      <c r="L467" s="49" cm="1">
        <f t="array" aca="1" ref="L467:BS467" ca="1">-KLL_II_2020!CA_NOC_carry_payback</f>
        <v>10.202800000000002</v>
      </c>
      <c r="M467" s="49">
        <f ca="1"/>
        <v>34.302199999999999</v>
      </c>
      <c r="N467" s="49">
        <f ca="1"/>
        <v>15.328200000000002</v>
      </c>
      <c r="O467" s="49">
        <f ca="1"/>
        <v>5.7324000000000002</v>
      </c>
      <c r="P467" s="49">
        <f ca="1"/>
        <v>3.64</v>
      </c>
      <c r="Q467" s="49">
        <f ca="1"/>
        <v>12</v>
      </c>
      <c r="R467" s="49">
        <f ca="1"/>
        <v>0</v>
      </c>
      <c r="S467" s="49">
        <f ca="1"/>
        <v>0</v>
      </c>
      <c r="T467" s="49">
        <f ca="1"/>
        <v>0</v>
      </c>
      <c r="U467" s="49">
        <f ca="1"/>
        <v>0</v>
      </c>
      <c r="V467" s="49">
        <f ca="1"/>
        <v>0</v>
      </c>
      <c r="W467" s="49">
        <f ca="1"/>
        <v>0</v>
      </c>
      <c r="X467" s="49">
        <f ca="1"/>
        <v>0</v>
      </c>
      <c r="Y467" s="49">
        <f ca="1"/>
        <v>0</v>
      </c>
      <c r="Z467" s="49">
        <f ca="1"/>
        <v>0</v>
      </c>
      <c r="AA467" s="49">
        <f ca="1"/>
        <v>0</v>
      </c>
      <c r="AB467" s="49">
        <f ca="1"/>
        <v>0</v>
      </c>
      <c r="AC467" s="49">
        <f ca="1"/>
        <v>0</v>
      </c>
      <c r="AD467" s="49">
        <f ca="1"/>
        <v>0</v>
      </c>
      <c r="AE467" s="49">
        <f ca="1"/>
        <v>0</v>
      </c>
      <c r="AF467" s="49">
        <f ca="1"/>
        <v>0</v>
      </c>
      <c r="AG467" s="49">
        <f ca="1"/>
        <v>0</v>
      </c>
      <c r="AH467" s="49">
        <f ca="1"/>
        <v>0</v>
      </c>
      <c r="AI467" s="49">
        <f ca="1"/>
        <v>0</v>
      </c>
      <c r="AJ467" s="49">
        <f ca="1"/>
        <v>0</v>
      </c>
      <c r="AK467" s="49">
        <f ca="1"/>
        <v>0</v>
      </c>
      <c r="AL467" s="49">
        <f ca="1"/>
        <v>0</v>
      </c>
      <c r="AM467" s="49">
        <f ca="1"/>
        <v>0</v>
      </c>
      <c r="AN467" s="49">
        <f ca="1"/>
        <v>0</v>
      </c>
      <c r="AO467" s="49">
        <f ca="1"/>
        <v>0</v>
      </c>
      <c r="AP467" s="49">
        <f ca="1"/>
        <v>0</v>
      </c>
      <c r="AQ467" s="49">
        <f ca="1"/>
        <v>0</v>
      </c>
      <c r="AR467" s="49">
        <f ca="1"/>
        <v>0</v>
      </c>
      <c r="AS467" s="49">
        <f ca="1"/>
        <v>0</v>
      </c>
      <c r="AT467" s="49">
        <f ca="1"/>
        <v>0</v>
      </c>
      <c r="AU467" s="49">
        <f ca="1"/>
        <v>0</v>
      </c>
      <c r="AV467" s="49">
        <f ca="1"/>
        <v>0</v>
      </c>
      <c r="AW467" s="49">
        <f ca="1"/>
        <v>0</v>
      </c>
      <c r="AX467" s="49">
        <f ca="1"/>
        <v>0</v>
      </c>
      <c r="AY467" s="49">
        <f ca="1"/>
        <v>0</v>
      </c>
      <c r="AZ467" s="49">
        <f ca="1"/>
        <v>0</v>
      </c>
      <c r="BA467" s="49">
        <f ca="1"/>
        <v>0</v>
      </c>
      <c r="BB467" s="49">
        <f ca="1"/>
        <v>0</v>
      </c>
      <c r="BC467" s="49">
        <f ca="1"/>
        <v>0</v>
      </c>
      <c r="BD467" s="49">
        <f ca="1"/>
        <v>0</v>
      </c>
      <c r="BE467" s="49">
        <f ca="1"/>
        <v>0</v>
      </c>
      <c r="BF467" s="49">
        <f ca="1"/>
        <v>0</v>
      </c>
      <c r="BG467" s="49">
        <f ca="1"/>
        <v>0</v>
      </c>
      <c r="BH467" s="49">
        <f ca="1"/>
        <v>0</v>
      </c>
      <c r="BI467" s="49">
        <f ca="1"/>
        <v>0</v>
      </c>
      <c r="BJ467" s="49">
        <f ca="1"/>
        <v>0</v>
      </c>
      <c r="BK467" s="49">
        <f ca="1"/>
        <v>0</v>
      </c>
      <c r="BL467" s="49">
        <f ca="1"/>
        <v>0</v>
      </c>
      <c r="BM467" s="49">
        <f ca="1"/>
        <v>0</v>
      </c>
      <c r="BN467" s="49">
        <f ca="1"/>
        <v>0</v>
      </c>
      <c r="BO467" s="49">
        <f ca="1"/>
        <v>0</v>
      </c>
      <c r="BP467" s="49">
        <f ca="1"/>
        <v>0</v>
      </c>
      <c r="BQ467" s="49">
        <f ca="1"/>
        <v>0</v>
      </c>
      <c r="BR467" s="49">
        <f ca="1"/>
        <v>0</v>
      </c>
      <c r="BS467" s="49">
        <f ca="1"/>
        <v>0</v>
      </c>
    </row>
    <row r="468" spans="3:71" outlineLevel="1" x14ac:dyDescent="0.2">
      <c r="C468" s="11" t="str">
        <f>HM_ZB_Nsoko!C481</f>
        <v>Flux de trésorerie après impôts des compagnies pétrolières internationales</v>
      </c>
      <c r="H468" s="7" t="s">
        <v>526</v>
      </c>
      <c r="I468" s="30">
        <f t="shared" ca="1" si="136"/>
        <v>358.82685199173301</v>
      </c>
      <c r="J468" s="26" t="s">
        <v>148</v>
      </c>
      <c r="K468" s="7" t="s">
        <v>392</v>
      </c>
      <c r="L468" s="49">
        <f ca="1">SUM(L465:L467)</f>
        <v>56.93106041400123</v>
      </c>
      <c r="M468" s="49">
        <f t="shared" ref="M468:BS468" ca="1" si="137">SUM(M465:M467)</f>
        <v>-27.628953457747571</v>
      </c>
      <c r="N468" s="49">
        <f t="shared" ca="1" si="137"/>
        <v>-11.903515954172718</v>
      </c>
      <c r="O468" s="49">
        <f t="shared" ca="1" si="137"/>
        <v>-108.56513198065551</v>
      </c>
      <c r="P468" s="49">
        <f t="shared" ca="1" si="137"/>
        <v>-55.897204091625589</v>
      </c>
      <c r="Q468" s="49">
        <f t="shared" ca="1" si="137"/>
        <v>-40.04872775661795</v>
      </c>
      <c r="R468" s="49">
        <f t="shared" ca="1" si="137"/>
        <v>-5.823001758039914</v>
      </c>
      <c r="S468" s="49">
        <f t="shared" ca="1" si="137"/>
        <v>70.691081003999997</v>
      </c>
      <c r="T468" s="49">
        <f t="shared" ca="1" si="137"/>
        <v>109.80679775655933</v>
      </c>
      <c r="U468" s="49">
        <f t="shared" ca="1" si="137"/>
        <v>105.00450242616576</v>
      </c>
      <c r="V468" s="49">
        <f t="shared" ca="1" si="137"/>
        <v>96.6109190014608</v>
      </c>
      <c r="W468" s="49">
        <f t="shared" ca="1" si="137"/>
        <v>88.624495313585712</v>
      </c>
      <c r="X468" s="49">
        <f t="shared" ca="1" si="137"/>
        <v>81.024531074819421</v>
      </c>
      <c r="Y468" s="49">
        <f t="shared" ca="1" si="137"/>
        <v>0</v>
      </c>
      <c r="Z468" s="49">
        <f t="shared" ca="1" si="137"/>
        <v>0</v>
      </c>
      <c r="AA468" s="49">
        <f t="shared" ca="1" si="137"/>
        <v>0</v>
      </c>
      <c r="AB468" s="49">
        <f t="shared" ca="1" si="137"/>
        <v>0</v>
      </c>
      <c r="AC468" s="49">
        <f t="shared" ca="1" si="137"/>
        <v>0</v>
      </c>
      <c r="AD468" s="49">
        <f t="shared" ca="1" si="137"/>
        <v>0</v>
      </c>
      <c r="AE468" s="49">
        <f t="shared" ca="1" si="137"/>
        <v>0</v>
      </c>
      <c r="AF468" s="49">
        <f t="shared" ca="1" si="137"/>
        <v>0</v>
      </c>
      <c r="AG468" s="49">
        <f t="shared" ca="1" si="137"/>
        <v>0</v>
      </c>
      <c r="AH468" s="49">
        <f t="shared" ca="1" si="137"/>
        <v>0</v>
      </c>
      <c r="AI468" s="49">
        <f t="shared" ca="1" si="137"/>
        <v>0</v>
      </c>
      <c r="AJ468" s="49">
        <f t="shared" ca="1" si="137"/>
        <v>0</v>
      </c>
      <c r="AK468" s="49">
        <f t="shared" ca="1" si="137"/>
        <v>0</v>
      </c>
      <c r="AL468" s="49">
        <f t="shared" ca="1" si="137"/>
        <v>0</v>
      </c>
      <c r="AM468" s="49">
        <f t="shared" ca="1" si="137"/>
        <v>0</v>
      </c>
      <c r="AN468" s="49">
        <f t="shared" ca="1" si="137"/>
        <v>0</v>
      </c>
      <c r="AO468" s="49">
        <f t="shared" ca="1" si="137"/>
        <v>0</v>
      </c>
      <c r="AP468" s="49">
        <f t="shared" ca="1" si="137"/>
        <v>0</v>
      </c>
      <c r="AQ468" s="49">
        <f t="shared" ca="1" si="137"/>
        <v>0</v>
      </c>
      <c r="AR468" s="49">
        <f t="shared" ca="1" si="137"/>
        <v>0</v>
      </c>
      <c r="AS468" s="49">
        <f t="shared" ca="1" si="137"/>
        <v>0</v>
      </c>
      <c r="AT468" s="49">
        <f t="shared" ca="1" si="137"/>
        <v>0</v>
      </c>
      <c r="AU468" s="49">
        <f t="shared" ca="1" si="137"/>
        <v>0</v>
      </c>
      <c r="AV468" s="49">
        <f t="shared" ca="1" si="137"/>
        <v>0</v>
      </c>
      <c r="AW468" s="49">
        <f t="shared" ca="1" si="137"/>
        <v>0</v>
      </c>
      <c r="AX468" s="49">
        <f t="shared" ca="1" si="137"/>
        <v>0</v>
      </c>
      <c r="AY468" s="49">
        <f t="shared" ca="1" si="137"/>
        <v>0</v>
      </c>
      <c r="AZ468" s="49">
        <f t="shared" ca="1" si="137"/>
        <v>0</v>
      </c>
      <c r="BA468" s="49">
        <f t="shared" ca="1" si="137"/>
        <v>0</v>
      </c>
      <c r="BB468" s="49">
        <f t="shared" ca="1" si="137"/>
        <v>0</v>
      </c>
      <c r="BC468" s="49">
        <f t="shared" ca="1" si="137"/>
        <v>0</v>
      </c>
      <c r="BD468" s="49">
        <f t="shared" ca="1" si="137"/>
        <v>0</v>
      </c>
      <c r="BE468" s="49">
        <f t="shared" ca="1" si="137"/>
        <v>0</v>
      </c>
      <c r="BF468" s="49">
        <f t="shared" ca="1" si="137"/>
        <v>0</v>
      </c>
      <c r="BG468" s="49">
        <f t="shared" ca="1" si="137"/>
        <v>0</v>
      </c>
      <c r="BH468" s="49">
        <f t="shared" ca="1" si="137"/>
        <v>0</v>
      </c>
      <c r="BI468" s="49">
        <f t="shared" ca="1" si="137"/>
        <v>0</v>
      </c>
      <c r="BJ468" s="49">
        <f t="shared" ca="1" si="137"/>
        <v>0</v>
      </c>
      <c r="BK468" s="49">
        <f t="shared" ca="1" si="137"/>
        <v>0</v>
      </c>
      <c r="BL468" s="49">
        <f t="shared" ca="1" si="137"/>
        <v>0</v>
      </c>
      <c r="BM468" s="49">
        <f t="shared" ca="1" si="137"/>
        <v>0</v>
      </c>
      <c r="BN468" s="49">
        <f t="shared" ca="1" si="137"/>
        <v>0</v>
      </c>
      <c r="BO468" s="49">
        <f t="shared" ca="1" si="137"/>
        <v>0</v>
      </c>
      <c r="BP468" s="49">
        <f t="shared" ca="1" si="137"/>
        <v>0</v>
      </c>
      <c r="BQ468" s="49">
        <f t="shared" ca="1" si="137"/>
        <v>0</v>
      </c>
      <c r="BR468" s="49">
        <f t="shared" ca="1" si="137"/>
        <v>0</v>
      </c>
      <c r="BS468" s="49">
        <f t="shared" ca="1" si="137"/>
        <v>0</v>
      </c>
    </row>
    <row r="469" spans="3:71" outlineLevel="1" x14ac:dyDescent="0.2">
      <c r="J469" s="26"/>
      <c r="L469" s="55"/>
      <c r="M469" s="55"/>
      <c r="N469" s="55"/>
      <c r="O469" s="55"/>
      <c r="P469" s="55"/>
      <c r="Q469" s="55"/>
      <c r="R469" s="55"/>
      <c r="S469" s="55"/>
      <c r="T469" s="55"/>
      <c r="U469" s="55"/>
      <c r="V469" s="55"/>
      <c r="W469" s="55"/>
      <c r="X469" s="55"/>
      <c r="Y469" s="55"/>
      <c r="Z469" s="55"/>
      <c r="AA469" s="55"/>
      <c r="AB469" s="55"/>
      <c r="AC469" s="55"/>
      <c r="AD469" s="55"/>
      <c r="AE469" s="55"/>
      <c r="AF469" s="55"/>
      <c r="AG469" s="55"/>
      <c r="AH469" s="55"/>
      <c r="AI469" s="55"/>
      <c r="AJ469" s="55"/>
      <c r="AK469" s="55"/>
      <c r="AL469" s="55"/>
      <c r="AM469" s="55"/>
      <c r="AN469" s="55"/>
      <c r="AO469" s="55"/>
      <c r="AP469" s="55"/>
      <c r="AQ469" s="55"/>
      <c r="AR469" s="55"/>
      <c r="AS469" s="55"/>
      <c r="AT469" s="55"/>
      <c r="AU469" s="55"/>
      <c r="AV469" s="55"/>
      <c r="AW469" s="55"/>
      <c r="AX469" s="55"/>
      <c r="AY469" s="55"/>
      <c r="AZ469" s="55"/>
      <c r="BA469" s="55"/>
      <c r="BB469" s="55"/>
      <c r="BC469" s="55"/>
      <c r="BD469" s="55"/>
      <c r="BE469" s="55"/>
      <c r="BF469" s="55"/>
      <c r="BG469" s="55"/>
      <c r="BH469" s="55"/>
      <c r="BI469" s="55"/>
      <c r="BJ469" s="55"/>
      <c r="BK469" s="55"/>
      <c r="BL469" s="55"/>
      <c r="BM469" s="55"/>
      <c r="BN469" s="55"/>
      <c r="BO469" s="55"/>
      <c r="BP469" s="55"/>
      <c r="BQ469" s="55"/>
      <c r="BR469" s="55"/>
      <c r="BS469" s="55"/>
    </row>
    <row r="470" spans="3:71" outlineLevel="1" x14ac:dyDescent="0.2">
      <c r="C470" s="11" t="str">
        <f>HM_ZB_Nsoko!C483</f>
        <v>Flux de trésorerie après impôts cumulé</v>
      </c>
      <c r="J470" s="26"/>
      <c r="L470" s="66">
        <f ca="1">(K470+L468)*KLL_II_2020!CA_op_trig</f>
        <v>56.93106041400123</v>
      </c>
      <c r="M470" s="66">
        <f ca="1">(L470+M468)*KLL_II_2020!CA_op_trig</f>
        <v>29.30210695625366</v>
      </c>
      <c r="N470" s="66">
        <f ca="1">(M470+N468)*KLL_II_2020!CA_op_trig</f>
        <v>17.398591002080941</v>
      </c>
      <c r="O470" s="66">
        <f ca="1">(N470+O468)*KLL_II_2020!CA_op_trig</f>
        <v>-91.166540978574574</v>
      </c>
      <c r="P470" s="66">
        <f ca="1">(O470+P468)*KLL_II_2020!CA_op_trig</f>
        <v>-147.06374507020016</v>
      </c>
      <c r="Q470" s="66">
        <f ca="1">(P470+Q468)*KLL_II_2020!CA_op_trig</f>
        <v>-187.11247282681811</v>
      </c>
      <c r="R470" s="66">
        <f ca="1">(Q470+R468)*KLL_II_2020!CA_op_trig</f>
        <v>-192.93547458485801</v>
      </c>
      <c r="S470" s="66">
        <f ca="1">(R470+S468)*KLL_II_2020!CA_op_trig</f>
        <v>-122.24439358085802</v>
      </c>
      <c r="T470" s="66">
        <f ca="1">(S470+T468)*KLL_II_2020!CA_op_trig</f>
        <v>-12.437595824298683</v>
      </c>
      <c r="U470" s="66">
        <f ca="1">(T470+U468)*KLL_II_2020!CA_op_trig</f>
        <v>92.566906601867075</v>
      </c>
      <c r="V470" s="66">
        <f ca="1">(U470+V468)*KLL_II_2020!CA_op_trig</f>
        <v>189.17782560332788</v>
      </c>
      <c r="W470" s="66">
        <f ca="1">(V470+W468)*KLL_II_2020!CA_op_trig</f>
        <v>277.80232091691357</v>
      </c>
      <c r="X470" s="66">
        <f ca="1">(W470+X468)*KLL_II_2020!CA_op_trig</f>
        <v>358.82685199173301</v>
      </c>
      <c r="Y470" s="66">
        <f ca="1">(X470+Y468)*KLL_II_2020!CA_op_trig</f>
        <v>0</v>
      </c>
      <c r="Z470" s="66">
        <f ca="1">(Y470+Z468)*KLL_II_2020!CA_op_trig</f>
        <v>0</v>
      </c>
      <c r="AA470" s="66">
        <f ca="1">(Z470+AA468)*KLL_II_2020!CA_op_trig</f>
        <v>0</v>
      </c>
      <c r="AB470" s="66">
        <f ca="1">(AA470+AB468)*KLL_II_2020!CA_op_trig</f>
        <v>0</v>
      </c>
      <c r="AC470" s="66">
        <f ca="1">(AB470+AC468)*KLL_II_2020!CA_op_trig</f>
        <v>0</v>
      </c>
      <c r="AD470" s="66">
        <f ca="1">(AC470+AD468)*KLL_II_2020!CA_op_trig</f>
        <v>0</v>
      </c>
      <c r="AE470" s="66">
        <f ca="1">(AD470+AE468)*KLL_II_2020!CA_op_trig</f>
        <v>0</v>
      </c>
      <c r="AF470" s="66">
        <f ca="1">(AE470+AF468)*KLL_II_2020!CA_op_trig</f>
        <v>0</v>
      </c>
      <c r="AG470" s="66">
        <f ca="1">(AF470+AG468)*KLL_II_2020!CA_op_trig</f>
        <v>0</v>
      </c>
      <c r="AH470" s="66">
        <f ca="1">(AG470+AH468)*KLL_II_2020!CA_op_trig</f>
        <v>0</v>
      </c>
      <c r="AI470" s="66">
        <f ca="1">(AH470+AI468)*KLL_II_2020!CA_op_trig</f>
        <v>0</v>
      </c>
      <c r="AJ470" s="66">
        <f ca="1">(AI470+AJ468)*KLL_II_2020!CA_op_trig</f>
        <v>0</v>
      </c>
      <c r="AK470" s="66">
        <f ca="1">(AJ470+AK468)*KLL_II_2020!CA_op_trig</f>
        <v>0</v>
      </c>
      <c r="AL470" s="66">
        <f ca="1">(AK470+AL468)*KLL_II_2020!CA_op_trig</f>
        <v>0</v>
      </c>
      <c r="AM470" s="66">
        <f ca="1">(AL470+AM468)*KLL_II_2020!CA_op_trig</f>
        <v>0</v>
      </c>
      <c r="AN470" s="66">
        <f ca="1">(AM470+AN468)*KLL_II_2020!CA_op_trig</f>
        <v>0</v>
      </c>
      <c r="AO470" s="66">
        <f ca="1">(AN470+AO468)*KLL_II_2020!CA_op_trig</f>
        <v>0</v>
      </c>
      <c r="AP470" s="66">
        <f ca="1">(AO470+AP468)*KLL_II_2020!CA_op_trig</f>
        <v>0</v>
      </c>
      <c r="AQ470" s="66">
        <f ca="1">(AP470+AQ468)*KLL_II_2020!CA_op_trig</f>
        <v>0</v>
      </c>
      <c r="AR470" s="66">
        <f ca="1">(AQ470+AR468)*KLL_II_2020!CA_op_trig</f>
        <v>0</v>
      </c>
      <c r="AS470" s="66">
        <f ca="1">(AR470+AS468)*KLL_II_2020!CA_op_trig</f>
        <v>0</v>
      </c>
      <c r="AT470" s="66">
        <f ca="1">(AS470+AT468)*KLL_II_2020!CA_op_trig</f>
        <v>0</v>
      </c>
      <c r="AU470" s="66">
        <f ca="1">(AT470+AU468)*KLL_II_2020!CA_op_trig</f>
        <v>0</v>
      </c>
      <c r="AV470" s="66">
        <f ca="1">(AU470+AV468)*KLL_II_2020!CA_op_trig</f>
        <v>0</v>
      </c>
      <c r="AW470" s="66">
        <f ca="1">(AV470+AW468)*KLL_II_2020!CA_op_trig</f>
        <v>0</v>
      </c>
      <c r="AX470" s="66">
        <f ca="1">(AW470+AX468)*KLL_II_2020!CA_op_trig</f>
        <v>0</v>
      </c>
      <c r="AY470" s="66">
        <f ca="1">(AX470+AY468)*KLL_II_2020!CA_op_trig</f>
        <v>0</v>
      </c>
      <c r="AZ470" s="66">
        <f ca="1">(AY470+AZ468)*KLL_II_2020!CA_op_trig</f>
        <v>0</v>
      </c>
      <c r="BA470" s="66">
        <f ca="1">(AZ470+BA468)*KLL_II_2020!CA_op_trig</f>
        <v>0</v>
      </c>
      <c r="BB470" s="66">
        <f ca="1">(BA470+BB468)*KLL_II_2020!CA_op_trig</f>
        <v>0</v>
      </c>
      <c r="BC470" s="66">
        <f ca="1">(BB470+BC468)*KLL_II_2020!CA_op_trig</f>
        <v>0</v>
      </c>
      <c r="BD470" s="66">
        <f ca="1">(BC470+BD468)*KLL_II_2020!CA_op_trig</f>
        <v>0</v>
      </c>
      <c r="BE470" s="66">
        <f ca="1">(BD470+BE468)*KLL_II_2020!CA_op_trig</f>
        <v>0</v>
      </c>
      <c r="BF470" s="66">
        <f ca="1">(BE470+BF468)*KLL_II_2020!CA_op_trig</f>
        <v>0</v>
      </c>
      <c r="BG470" s="66">
        <f ca="1">(BF470+BG468)*KLL_II_2020!CA_op_trig</f>
        <v>0</v>
      </c>
      <c r="BH470" s="66">
        <f ca="1">(BG470+BH468)*KLL_II_2020!CA_op_trig</f>
        <v>0</v>
      </c>
      <c r="BI470" s="66">
        <f ca="1">(BH470+BI468)*KLL_II_2020!CA_op_trig</f>
        <v>0</v>
      </c>
      <c r="BJ470" s="66">
        <f ca="1">(BI470+BJ468)*KLL_II_2020!CA_op_trig</f>
        <v>0</v>
      </c>
      <c r="BK470" s="66">
        <f ca="1">(BJ470+BK468)*KLL_II_2020!CA_op_trig</f>
        <v>0</v>
      </c>
      <c r="BL470" s="66">
        <f ca="1">(BK470+BL468)*KLL_II_2020!CA_op_trig</f>
        <v>0</v>
      </c>
      <c r="BM470" s="66">
        <f ca="1">(BL470+BM468)*KLL_II_2020!CA_op_trig</f>
        <v>0</v>
      </c>
      <c r="BN470" s="66">
        <f ca="1">(BM470+BN468)*KLL_II_2020!CA_op_trig</f>
        <v>0</v>
      </c>
      <c r="BO470" s="66">
        <f ca="1">(BN470+BO468)*KLL_II_2020!CA_op_trig</f>
        <v>0</v>
      </c>
      <c r="BP470" s="66">
        <f ca="1">(BO470+BP468)*KLL_II_2020!CA_op_trig</f>
        <v>0</v>
      </c>
      <c r="BQ470" s="66">
        <f ca="1">(BP470+BQ468)*KLL_II_2020!CA_op_trig</f>
        <v>0</v>
      </c>
      <c r="BR470" s="66">
        <f ca="1">(BQ470+BR468)*KLL_II_2020!CA_op_trig</f>
        <v>0</v>
      </c>
      <c r="BS470" s="66">
        <f ca="1">(BR470+BS468)*KLL_II_2020!CA_op_trig</f>
        <v>0</v>
      </c>
    </row>
    <row r="471" spans="3:71" outlineLevel="1" x14ac:dyDescent="0.2">
      <c r="J471" s="26"/>
      <c r="L471" s="55"/>
      <c r="M471" s="55"/>
      <c r="N471" s="55"/>
      <c r="O471" s="55"/>
      <c r="P471" s="55"/>
      <c r="Q471" s="55"/>
      <c r="R471" s="55"/>
      <c r="S471" s="55"/>
      <c r="T471" s="55"/>
      <c r="U471" s="55"/>
      <c r="V471" s="55"/>
      <c r="W471" s="55"/>
      <c r="X471" s="55"/>
      <c r="Y471" s="55"/>
      <c r="Z471" s="55"/>
      <c r="AA471" s="55"/>
      <c r="AB471" s="55"/>
      <c r="AC471" s="55"/>
      <c r="AD471" s="55"/>
      <c r="AE471" s="55"/>
      <c r="AF471" s="55"/>
      <c r="AG471" s="55"/>
      <c r="AH471" s="55"/>
      <c r="AI471" s="55"/>
      <c r="AJ471" s="55"/>
      <c r="AK471" s="55"/>
      <c r="AL471" s="55"/>
      <c r="AM471" s="55"/>
      <c r="AN471" s="55"/>
      <c r="AO471" s="55"/>
      <c r="AP471" s="55"/>
      <c r="AQ471" s="55"/>
      <c r="AR471" s="55"/>
      <c r="AS471" s="55"/>
      <c r="AT471" s="55"/>
      <c r="AU471" s="55"/>
      <c r="AV471" s="55"/>
      <c r="AW471" s="55"/>
      <c r="AX471" s="55"/>
      <c r="AY471" s="55"/>
      <c r="AZ471" s="55"/>
      <c r="BA471" s="55"/>
      <c r="BB471" s="55"/>
      <c r="BC471" s="55"/>
      <c r="BD471" s="55"/>
      <c r="BE471" s="55"/>
      <c r="BF471" s="55"/>
      <c r="BG471" s="55"/>
      <c r="BH471" s="55"/>
      <c r="BI471" s="55"/>
      <c r="BJ471" s="55"/>
      <c r="BK471" s="55"/>
      <c r="BL471" s="55"/>
      <c r="BM471" s="55"/>
      <c r="BN471" s="55"/>
      <c r="BO471" s="55"/>
      <c r="BP471" s="55"/>
      <c r="BQ471" s="55"/>
      <c r="BR471" s="55"/>
      <c r="BS471" s="55"/>
    </row>
    <row r="472" spans="3:71" outlineLevel="1" x14ac:dyDescent="0.2">
      <c r="C472" s="11" t="str">
        <f>HM_ZB_Nsoko!C485</f>
        <v>VAN cycle complet</v>
      </c>
      <c r="G472" s="60"/>
      <c r="H472" s="7" t="s">
        <v>527</v>
      </c>
      <c r="I472" s="63">
        <f ca="1">SUMPRODUCT(OA_IOC_ATCF_KLL2020,KLL_II_2020!CA_disc_factor_fc)</f>
        <v>420.21271947803751</v>
      </c>
      <c r="J472" s="26" t="s">
        <v>148</v>
      </c>
      <c r="L472" s="55"/>
      <c r="M472" s="55"/>
      <c r="N472" s="55"/>
      <c r="O472" s="55"/>
      <c r="P472" s="55"/>
      <c r="Q472" s="55"/>
      <c r="R472" s="55"/>
      <c r="S472" s="55"/>
      <c r="T472" s="55"/>
      <c r="U472" s="55"/>
      <c r="V472" s="55"/>
      <c r="W472" s="55"/>
      <c r="X472" s="55"/>
      <c r="Y472" s="55"/>
      <c r="Z472" s="55"/>
      <c r="AA472" s="55"/>
      <c r="AB472" s="55"/>
      <c r="AC472" s="55"/>
      <c r="AD472" s="55"/>
      <c r="AE472" s="55"/>
      <c r="AF472" s="55"/>
      <c r="AG472" s="55"/>
      <c r="AH472" s="55"/>
      <c r="AI472" s="55"/>
      <c r="AJ472" s="55"/>
      <c r="AK472" s="55"/>
      <c r="AL472" s="55"/>
      <c r="AM472" s="55"/>
      <c r="AN472" s="55"/>
      <c r="AO472" s="55"/>
      <c r="AP472" s="55"/>
      <c r="AQ472" s="55"/>
      <c r="AR472" s="55"/>
      <c r="AS472" s="55"/>
      <c r="AT472" s="55"/>
      <c r="AU472" s="55"/>
      <c r="AV472" s="55"/>
      <c r="AW472" s="55"/>
      <c r="AX472" s="55"/>
      <c r="AY472" s="55"/>
      <c r="AZ472" s="55"/>
      <c r="BA472" s="55"/>
      <c r="BB472" s="55"/>
      <c r="BC472" s="55"/>
      <c r="BD472" s="55"/>
      <c r="BE472" s="55"/>
      <c r="BF472" s="55"/>
      <c r="BG472" s="55"/>
      <c r="BH472" s="55"/>
      <c r="BI472" s="55"/>
      <c r="BJ472" s="55"/>
      <c r="BK472" s="55"/>
      <c r="BL472" s="55"/>
      <c r="BM472" s="55"/>
      <c r="BN472" s="55"/>
      <c r="BO472" s="55"/>
      <c r="BP472" s="55"/>
      <c r="BQ472" s="55"/>
      <c r="BR472" s="55"/>
      <c r="BS472" s="55"/>
    </row>
    <row r="473" spans="3:71" outlineLevel="1" x14ac:dyDescent="0.2">
      <c r="C473" s="11" t="str">
        <f>HM_ZB_Nsoko!C486</f>
        <v>VAN à terme</v>
      </c>
      <c r="I473" s="63">
        <f ca="1">SUMPRODUCT(OA_IOC_ATCF_KLL2020,KLL_II_2020!CA_disc_factor_pf)</f>
        <v>388.09256018213318</v>
      </c>
      <c r="J473" s="26" t="s">
        <v>148</v>
      </c>
      <c r="L473" s="55"/>
      <c r="M473" s="55"/>
      <c r="N473" s="55"/>
      <c r="O473" s="55"/>
      <c r="P473" s="55"/>
      <c r="Q473" s="55"/>
      <c r="R473" s="55"/>
      <c r="S473" s="55"/>
      <c r="T473" s="55"/>
      <c r="U473" s="55"/>
      <c r="V473" s="55"/>
      <c r="W473" s="55"/>
      <c r="X473" s="55"/>
      <c r="Y473" s="55"/>
      <c r="Z473" s="55"/>
      <c r="AA473" s="55"/>
      <c r="AB473" s="55"/>
      <c r="AC473" s="55"/>
      <c r="AD473" s="55"/>
      <c r="AE473" s="55"/>
      <c r="AF473" s="55"/>
      <c r="AG473" s="55"/>
      <c r="AH473" s="55"/>
      <c r="AI473" s="55"/>
      <c r="AJ473" s="55"/>
      <c r="AK473" s="55"/>
      <c r="AL473" s="55"/>
      <c r="AM473" s="55"/>
      <c r="AN473" s="55"/>
      <c r="AO473" s="55"/>
      <c r="AP473" s="55"/>
      <c r="AQ473" s="55"/>
      <c r="AR473" s="55"/>
      <c r="AS473" s="55"/>
      <c r="AT473" s="55"/>
      <c r="AU473" s="55"/>
      <c r="AV473" s="55"/>
      <c r="AW473" s="55"/>
      <c r="AX473" s="55"/>
      <c r="AY473" s="55"/>
      <c r="AZ473" s="55"/>
      <c r="BA473" s="55"/>
      <c r="BB473" s="55"/>
      <c r="BC473" s="55"/>
      <c r="BD473" s="55"/>
      <c r="BE473" s="55"/>
      <c r="BF473" s="55"/>
      <c r="BG473" s="55"/>
      <c r="BH473" s="55"/>
      <c r="BI473" s="55"/>
      <c r="BJ473" s="55"/>
      <c r="BK473" s="55"/>
      <c r="BL473" s="55"/>
      <c r="BM473" s="55"/>
      <c r="BN473" s="55"/>
      <c r="BO473" s="55"/>
      <c r="BP473" s="55"/>
      <c r="BQ473" s="55"/>
      <c r="BR473" s="55"/>
      <c r="BS473" s="55"/>
    </row>
    <row r="474" spans="3:71" outlineLevel="1" x14ac:dyDescent="0.2">
      <c r="I474" s="61"/>
      <c r="J474" s="26"/>
      <c r="L474" s="55"/>
      <c r="M474" s="55"/>
      <c r="N474" s="55"/>
      <c r="O474" s="55"/>
      <c r="P474" s="55"/>
      <c r="Q474" s="55"/>
      <c r="R474" s="55"/>
      <c r="S474" s="55"/>
      <c r="T474" s="55"/>
      <c r="U474" s="55"/>
      <c r="V474" s="55"/>
      <c r="W474" s="55"/>
      <c r="X474" s="55"/>
      <c r="Y474" s="55"/>
      <c r="Z474" s="55"/>
      <c r="AA474" s="55"/>
      <c r="AB474" s="55"/>
      <c r="AC474" s="55"/>
      <c r="AD474" s="55"/>
      <c r="AE474" s="55"/>
      <c r="AF474" s="55"/>
      <c r="AG474" s="55"/>
      <c r="AH474" s="55"/>
      <c r="AI474" s="55"/>
      <c r="AJ474" s="55"/>
      <c r="AK474" s="55"/>
      <c r="AL474" s="55"/>
      <c r="AM474" s="55"/>
      <c r="AN474" s="55"/>
      <c r="AO474" s="55"/>
      <c r="AP474" s="55"/>
      <c r="AQ474" s="55"/>
      <c r="AR474" s="55"/>
      <c r="AS474" s="55"/>
      <c r="AT474" s="55"/>
      <c r="AU474" s="55"/>
      <c r="AV474" s="55"/>
      <c r="AW474" s="55"/>
      <c r="AX474" s="55"/>
      <c r="AY474" s="55"/>
      <c r="AZ474" s="55"/>
      <c r="BA474" s="55"/>
      <c r="BB474" s="55"/>
      <c r="BC474" s="55"/>
      <c r="BD474" s="55"/>
      <c r="BE474" s="55"/>
      <c r="BF474" s="55"/>
      <c r="BG474" s="55"/>
      <c r="BH474" s="55"/>
      <c r="BI474" s="55"/>
      <c r="BJ474" s="55"/>
      <c r="BK474" s="55"/>
      <c r="BL474" s="55"/>
      <c r="BM474" s="55"/>
      <c r="BN474" s="55"/>
      <c r="BO474" s="55"/>
      <c r="BP474" s="55"/>
      <c r="BQ474" s="55"/>
      <c r="BR474" s="55"/>
      <c r="BS474" s="55"/>
    </row>
    <row r="475" spans="3:71" outlineLevel="1" x14ac:dyDescent="0.2">
      <c r="C475" s="11" t="str">
        <f>HM_ZB_Nsoko!C488</f>
        <v>TRI cycle complet</v>
      </c>
      <c r="H475" s="7" t="s">
        <v>528</v>
      </c>
      <c r="I475" s="62" t="str">
        <f ca="1">IFERROR(IRR(INDEX(OA_IOC_ATCF_KLL2020,1,MAX(1,$G$398-L4+1)):INDEX(OA_IOC_ATCF_KLL2020,1,last_model_year)),"na")</f>
        <v>na</v>
      </c>
      <c r="J475" s="26" t="s">
        <v>90</v>
      </c>
      <c r="L475" s="55"/>
      <c r="M475" s="55"/>
      <c r="N475" s="55"/>
      <c r="O475" s="55"/>
      <c r="P475" s="55"/>
      <c r="Q475" s="55"/>
      <c r="R475" s="55"/>
      <c r="S475" s="55"/>
      <c r="T475" s="55"/>
      <c r="U475" s="55"/>
      <c r="V475" s="55"/>
      <c r="W475" s="55"/>
      <c r="X475" s="55"/>
      <c r="Y475" s="55"/>
      <c r="Z475" s="55"/>
      <c r="AA475" s="55"/>
      <c r="AB475" s="55"/>
      <c r="AC475" s="55"/>
      <c r="AD475" s="55"/>
      <c r="AE475" s="55"/>
      <c r="AF475" s="55"/>
      <c r="AG475" s="55"/>
      <c r="AH475" s="55"/>
      <c r="AI475" s="55"/>
      <c r="AJ475" s="55"/>
      <c r="AK475" s="55"/>
      <c r="AL475" s="55"/>
      <c r="AM475" s="55"/>
      <c r="AN475" s="55"/>
      <c r="AO475" s="55"/>
      <c r="AP475" s="55"/>
      <c r="AQ475" s="55"/>
      <c r="AR475" s="55"/>
      <c r="AS475" s="55"/>
      <c r="AT475" s="55"/>
      <c r="AU475" s="55"/>
      <c r="AV475" s="55"/>
      <c r="AW475" s="55"/>
      <c r="AX475" s="55"/>
      <c r="AY475" s="55"/>
      <c r="AZ475" s="55"/>
      <c r="BA475" s="55"/>
      <c r="BB475" s="55"/>
      <c r="BC475" s="55"/>
      <c r="BD475" s="55"/>
      <c r="BE475" s="55"/>
      <c r="BF475" s="55"/>
      <c r="BG475" s="55"/>
      <c r="BH475" s="55"/>
      <c r="BI475" s="55"/>
      <c r="BJ475" s="55"/>
      <c r="BK475" s="55"/>
      <c r="BL475" s="55"/>
      <c r="BM475" s="55"/>
      <c r="BN475" s="55"/>
      <c r="BO475" s="55"/>
      <c r="BP475" s="55"/>
      <c r="BQ475" s="55"/>
      <c r="BR475" s="55"/>
      <c r="BS475" s="55"/>
    </row>
    <row r="476" spans="3:71" outlineLevel="1" x14ac:dyDescent="0.2">
      <c r="C476" s="11" t="str">
        <f>HM_ZB_Nsoko!C489</f>
        <v>TRI à terme</v>
      </c>
      <c r="I476" s="62" t="str">
        <f ca="1">IFERROR(IRR(INDEX(OA_IOC_ATCF_KLL2020,1,MAX(1,$G$399-L4+1)):INDEX(OA_IOC_ATCF_KLL2020,1,last_model_year)),"na")</f>
        <v>na</v>
      </c>
      <c r="J476" s="26" t="s">
        <v>90</v>
      </c>
      <c r="L476" s="55"/>
      <c r="M476" s="55"/>
      <c r="N476" s="55"/>
      <c r="O476" s="55"/>
      <c r="P476" s="55"/>
      <c r="Q476" s="55"/>
      <c r="R476" s="55"/>
      <c r="S476" s="55"/>
      <c r="T476" s="55"/>
      <c r="U476" s="55"/>
      <c r="V476" s="55"/>
      <c r="W476" s="55"/>
      <c r="X476" s="55"/>
      <c r="Y476" s="55"/>
      <c r="Z476" s="55"/>
      <c r="AA476" s="55"/>
      <c r="AB476" s="55"/>
      <c r="AC476" s="55"/>
      <c r="AD476" s="55"/>
      <c r="AE476" s="55"/>
      <c r="AF476" s="55"/>
      <c r="AG476" s="55"/>
      <c r="AH476" s="55"/>
      <c r="AI476" s="55"/>
      <c r="AJ476" s="55"/>
      <c r="AK476" s="55"/>
      <c r="AL476" s="55"/>
      <c r="AM476" s="55"/>
      <c r="AN476" s="55"/>
      <c r="AO476" s="55"/>
      <c r="AP476" s="55"/>
      <c r="AQ476" s="55"/>
      <c r="AR476" s="55"/>
      <c r="AS476" s="55"/>
      <c r="AT476" s="55"/>
      <c r="AU476" s="55"/>
      <c r="AV476" s="55"/>
      <c r="AW476" s="55"/>
      <c r="AX476" s="55"/>
      <c r="AY476" s="55"/>
      <c r="AZ476" s="55"/>
      <c r="BA476" s="55"/>
      <c r="BB476" s="55"/>
      <c r="BC476" s="55"/>
      <c r="BD476" s="55"/>
      <c r="BE476" s="55"/>
      <c r="BF476" s="55"/>
      <c r="BG476" s="55"/>
      <c r="BH476" s="55"/>
      <c r="BI476" s="55"/>
      <c r="BJ476" s="55"/>
      <c r="BK476" s="55"/>
      <c r="BL476" s="55"/>
      <c r="BM476" s="55"/>
      <c r="BN476" s="55"/>
      <c r="BO476" s="55"/>
      <c r="BP476" s="55"/>
      <c r="BQ476" s="55"/>
      <c r="BR476" s="55"/>
      <c r="BS476" s="55"/>
    </row>
    <row r="477" spans="3:71" outlineLevel="1" x14ac:dyDescent="0.2">
      <c r="J477" s="26"/>
      <c r="L477" s="55"/>
      <c r="M477" s="55"/>
      <c r="N477" s="55"/>
      <c r="O477" s="55"/>
      <c r="P477" s="55"/>
      <c r="Q477" s="55"/>
      <c r="R477" s="55"/>
      <c r="S477" s="55"/>
      <c r="T477" s="55"/>
      <c r="U477" s="55"/>
      <c r="V477" s="55"/>
      <c r="W477" s="55"/>
      <c r="X477" s="55"/>
      <c r="Y477" s="55"/>
      <c r="Z477" s="55"/>
      <c r="AA477" s="55"/>
      <c r="AB477" s="55"/>
      <c r="AC477" s="55"/>
      <c r="AD477" s="55"/>
      <c r="AE477" s="55"/>
      <c r="AF477" s="55"/>
      <c r="AG477" s="55"/>
      <c r="AH477" s="55"/>
      <c r="AI477" s="55"/>
      <c r="AJ477" s="55"/>
      <c r="AK477" s="55"/>
      <c r="AL477" s="55"/>
      <c r="AM477" s="55"/>
      <c r="AN477" s="55"/>
      <c r="AO477" s="55"/>
      <c r="AP477" s="55"/>
      <c r="AQ477" s="55"/>
      <c r="AR477" s="55"/>
      <c r="AS477" s="55"/>
      <c r="AT477" s="55"/>
      <c r="AU477" s="55"/>
      <c r="AV477" s="55"/>
      <c r="AW477" s="55"/>
      <c r="AX477" s="55"/>
      <c r="AY477" s="55"/>
      <c r="AZ477" s="55"/>
      <c r="BA477" s="55"/>
      <c r="BB477" s="55"/>
      <c r="BC477" s="55"/>
      <c r="BD477" s="55"/>
      <c r="BE477" s="55"/>
      <c r="BF477" s="55"/>
      <c r="BG477" s="55"/>
      <c r="BH477" s="55"/>
      <c r="BI477" s="55"/>
      <c r="BJ477" s="55"/>
      <c r="BK477" s="55"/>
      <c r="BL477" s="55"/>
      <c r="BM477" s="55"/>
      <c r="BN477" s="55"/>
      <c r="BO477" s="55"/>
      <c r="BP477" s="55"/>
      <c r="BQ477" s="55"/>
      <c r="BR477" s="55"/>
      <c r="BS477" s="55"/>
    </row>
    <row r="478" spans="3:71" outlineLevel="1" x14ac:dyDescent="0.2">
      <c r="C478" s="11" t="str">
        <f>HM_ZB_Nsoko!C491</f>
        <v>Période de remboursement</v>
      </c>
      <c r="H478" s="7" t="s">
        <v>529</v>
      </c>
      <c r="I478" s="67">
        <f ca="1">COUNTIF(L470:BS470,"&lt;0")+1</f>
        <v>7</v>
      </c>
      <c r="J478" s="26"/>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c r="BF478" s="7"/>
      <c r="BG478" s="7"/>
      <c r="BH478" s="7"/>
      <c r="BI478" s="7"/>
      <c r="BJ478" s="7"/>
      <c r="BK478" s="7"/>
      <c r="BL478" s="7"/>
      <c r="BM478" s="7"/>
      <c r="BN478" s="7"/>
      <c r="BO478" s="7"/>
      <c r="BP478" s="7"/>
      <c r="BQ478" s="7"/>
      <c r="BR478" s="7"/>
      <c r="BS478" s="7"/>
    </row>
    <row r="479" spans="3:71" outlineLevel="1" x14ac:dyDescent="0.2">
      <c r="J479" s="26"/>
      <c r="L479" s="55"/>
      <c r="M479" s="55"/>
      <c r="N479" s="55"/>
      <c r="O479" s="55"/>
      <c r="P479" s="55"/>
      <c r="Q479" s="55"/>
      <c r="R479" s="55"/>
      <c r="S479" s="55"/>
      <c r="T479" s="55"/>
      <c r="U479" s="55"/>
      <c r="V479" s="55"/>
      <c r="W479" s="55"/>
      <c r="X479" s="55"/>
      <c r="Y479" s="55"/>
      <c r="Z479" s="55"/>
      <c r="AA479" s="55"/>
      <c r="AB479" s="55"/>
      <c r="AC479" s="55"/>
      <c r="AD479" s="55"/>
      <c r="AE479" s="55"/>
      <c r="AF479" s="55"/>
      <c r="AG479" s="55"/>
      <c r="AH479" s="55"/>
      <c r="AI479" s="55"/>
      <c r="AJ479" s="55"/>
      <c r="AK479" s="55"/>
      <c r="AL479" s="55"/>
      <c r="AM479" s="55"/>
      <c r="AN479" s="55"/>
      <c r="AO479" s="55"/>
      <c r="AP479" s="55"/>
      <c r="AQ479" s="55"/>
      <c r="AR479" s="55"/>
      <c r="AS479" s="55"/>
      <c r="AT479" s="55"/>
      <c r="AU479" s="55"/>
      <c r="AV479" s="55"/>
      <c r="AW479" s="55"/>
      <c r="AX479" s="55"/>
      <c r="AY479" s="55"/>
      <c r="AZ479" s="55"/>
      <c r="BA479" s="55"/>
      <c r="BB479" s="55"/>
      <c r="BC479" s="55"/>
      <c r="BD479" s="55"/>
      <c r="BE479" s="55"/>
      <c r="BF479" s="55"/>
      <c r="BG479" s="55"/>
      <c r="BH479" s="55"/>
      <c r="BI479" s="55"/>
      <c r="BJ479" s="55"/>
      <c r="BK479" s="55"/>
      <c r="BL479" s="55"/>
      <c r="BM479" s="55"/>
      <c r="BN479" s="55"/>
      <c r="BO479" s="55"/>
      <c r="BP479" s="55"/>
      <c r="BQ479" s="55"/>
      <c r="BR479" s="55"/>
      <c r="BS479" s="55"/>
    </row>
    <row r="480" spans="3:71" outlineLevel="1" x14ac:dyDescent="0.2">
      <c r="J480" s="26"/>
      <c r="L480" s="55"/>
      <c r="M480" s="55"/>
      <c r="N480" s="55"/>
      <c r="O480" s="55"/>
      <c r="P480" s="55"/>
      <c r="Q480" s="55"/>
      <c r="R480" s="55"/>
      <c r="S480" s="55"/>
      <c r="T480" s="55"/>
      <c r="U480" s="55"/>
      <c r="V480" s="55"/>
      <c r="W480" s="55"/>
      <c r="X480" s="55"/>
      <c r="Y480" s="55"/>
      <c r="Z480" s="55"/>
      <c r="AA480" s="55"/>
      <c r="AB480" s="55"/>
      <c r="AC480" s="55"/>
      <c r="AD480" s="55"/>
      <c r="AE480" s="55"/>
      <c r="AF480" s="55"/>
      <c r="AG480" s="55"/>
      <c r="AH480" s="55"/>
      <c r="AI480" s="55"/>
      <c r="AJ480" s="55"/>
      <c r="AK480" s="55"/>
      <c r="AL480" s="55"/>
      <c r="AM480" s="55"/>
      <c r="AN480" s="55"/>
      <c r="AO480" s="55"/>
      <c r="AP480" s="55"/>
      <c r="AQ480" s="55"/>
      <c r="AR480" s="55"/>
      <c r="AS480" s="55"/>
      <c r="AT480" s="55"/>
      <c r="AU480" s="55"/>
      <c r="AV480" s="55"/>
      <c r="AW480" s="55"/>
      <c r="AX480" s="55"/>
      <c r="AY480" s="55"/>
      <c r="AZ480" s="55"/>
      <c r="BA480" s="55"/>
      <c r="BB480" s="55"/>
      <c r="BC480" s="55"/>
      <c r="BD480" s="55"/>
      <c r="BE480" s="55"/>
      <c r="BF480" s="55"/>
      <c r="BG480" s="55"/>
      <c r="BH480" s="55"/>
      <c r="BI480" s="55"/>
      <c r="BJ480" s="55"/>
      <c r="BK480" s="55"/>
      <c r="BL480" s="55"/>
      <c r="BM480" s="55"/>
      <c r="BN480" s="55"/>
      <c r="BO480" s="55"/>
      <c r="BP480" s="55"/>
      <c r="BQ480" s="55"/>
      <c r="BR480" s="55"/>
      <c r="BS480" s="55"/>
    </row>
    <row r="481" spans="1:71" outlineLevel="1" x14ac:dyDescent="0.2">
      <c r="A481" s="45"/>
      <c r="B481" s="38" t="str">
        <f>HM_ZB_Nsoko!B494</f>
        <v>Flux de trésorerie compagnie nationale</v>
      </c>
      <c r="C481" s="45"/>
      <c r="D481" s="45"/>
      <c r="E481" s="45"/>
      <c r="J481" s="26"/>
      <c r="L481" s="55"/>
      <c r="M481" s="55"/>
      <c r="N481" s="55"/>
      <c r="O481" s="55"/>
      <c r="P481" s="55"/>
      <c r="Q481" s="55"/>
      <c r="R481" s="55"/>
      <c r="S481" s="55"/>
      <c r="T481" s="55"/>
      <c r="U481" s="55"/>
      <c r="V481" s="55"/>
      <c r="W481" s="55"/>
      <c r="X481" s="55"/>
      <c r="Y481" s="55"/>
      <c r="Z481" s="55"/>
      <c r="AA481" s="55"/>
      <c r="AB481" s="55"/>
      <c r="AC481" s="55"/>
      <c r="AD481" s="55"/>
      <c r="AE481" s="55"/>
      <c r="AF481" s="55"/>
      <c r="AG481" s="55"/>
      <c r="AH481" s="55"/>
      <c r="AI481" s="55"/>
      <c r="AJ481" s="55"/>
      <c r="AK481" s="55"/>
      <c r="AL481" s="55"/>
      <c r="AM481" s="55"/>
      <c r="AN481" s="55"/>
      <c r="AO481" s="55"/>
      <c r="AP481" s="55"/>
      <c r="AQ481" s="55"/>
      <c r="AR481" s="55"/>
      <c r="AS481" s="55"/>
      <c r="AT481" s="55"/>
      <c r="AU481" s="55"/>
      <c r="AV481" s="55"/>
      <c r="AW481" s="55"/>
      <c r="AX481" s="55"/>
      <c r="AY481" s="55"/>
      <c r="AZ481" s="55"/>
      <c r="BA481" s="55"/>
      <c r="BB481" s="55"/>
      <c r="BC481" s="55"/>
      <c r="BD481" s="55"/>
      <c r="BE481" s="55"/>
      <c r="BF481" s="55"/>
      <c r="BG481" s="55"/>
      <c r="BH481" s="55"/>
      <c r="BI481" s="55"/>
      <c r="BJ481" s="55"/>
      <c r="BK481" s="55"/>
      <c r="BL481" s="55"/>
      <c r="BM481" s="55"/>
      <c r="BN481" s="55"/>
      <c r="BO481" s="55"/>
      <c r="BP481" s="55"/>
      <c r="BQ481" s="55"/>
      <c r="BR481" s="55"/>
      <c r="BS481" s="55"/>
    </row>
    <row r="482" spans="1:71" outlineLevel="1" x14ac:dyDescent="0.2">
      <c r="J482" s="26"/>
      <c r="L482" s="55"/>
      <c r="M482" s="55"/>
      <c r="N482" s="55"/>
      <c r="O482" s="55"/>
      <c r="P482" s="55"/>
      <c r="Q482" s="55"/>
      <c r="R482" s="55"/>
      <c r="S482" s="55"/>
      <c r="T482" s="55"/>
      <c r="U482" s="55"/>
      <c r="V482" s="55"/>
      <c r="W482" s="55"/>
      <c r="X482" s="55"/>
      <c r="Y482" s="55"/>
      <c r="Z482" s="55"/>
      <c r="AA482" s="55"/>
      <c r="AB482" s="55"/>
      <c r="AC482" s="55"/>
      <c r="AD482" s="55"/>
      <c r="AE482" s="55"/>
      <c r="AF482" s="55"/>
      <c r="AG482" s="55"/>
      <c r="AH482" s="55"/>
      <c r="AI482" s="55"/>
      <c r="AJ482" s="55"/>
      <c r="AK482" s="55"/>
      <c r="AL482" s="55"/>
      <c r="AM482" s="55"/>
      <c r="AN482" s="55"/>
      <c r="AO482" s="55"/>
      <c r="AP482" s="55"/>
      <c r="AQ482" s="55"/>
      <c r="AR482" s="55"/>
      <c r="AS482" s="55"/>
      <c r="AT482" s="55"/>
      <c r="AU482" s="55"/>
      <c r="AV482" s="55"/>
      <c r="AW482" s="55"/>
      <c r="AX482" s="55"/>
      <c r="AY482" s="55"/>
      <c r="AZ482" s="55"/>
      <c r="BA482" s="55"/>
      <c r="BB482" s="55"/>
      <c r="BC482" s="55"/>
      <c r="BD482" s="55"/>
      <c r="BE482" s="55"/>
      <c r="BF482" s="55"/>
      <c r="BG482" s="55"/>
      <c r="BH482" s="55"/>
      <c r="BI482" s="55"/>
      <c r="BJ482" s="55"/>
      <c r="BK482" s="55"/>
      <c r="BL482" s="55"/>
      <c r="BM482" s="55"/>
      <c r="BN482" s="55"/>
      <c r="BO482" s="55"/>
      <c r="BP482" s="55"/>
      <c r="BQ482" s="55"/>
      <c r="BR482" s="55"/>
      <c r="BS482" s="55"/>
    </row>
    <row r="483" spans="1:71" outlineLevel="1" x14ac:dyDescent="0.2">
      <c r="C483" s="11" t="str">
        <f>HM_ZB_Nsoko!C496</f>
        <v>Revenus des droits</v>
      </c>
      <c r="J483" s="26"/>
      <c r="L483" s="55"/>
      <c r="M483" s="55"/>
      <c r="N483" s="55"/>
      <c r="O483" s="55"/>
      <c r="P483" s="55"/>
      <c r="Q483" s="55"/>
      <c r="R483" s="55"/>
      <c r="S483" s="55"/>
      <c r="T483" s="55"/>
      <c r="U483" s="55"/>
      <c r="V483" s="55"/>
      <c r="W483" s="55"/>
      <c r="X483" s="55"/>
      <c r="Y483" s="55"/>
      <c r="Z483" s="55"/>
      <c r="AA483" s="55"/>
      <c r="AB483" s="55"/>
      <c r="AC483" s="55"/>
      <c r="AD483" s="55"/>
      <c r="AE483" s="55"/>
      <c r="AF483" s="55"/>
      <c r="AG483" s="55"/>
      <c r="AH483" s="55"/>
      <c r="AI483" s="55"/>
      <c r="AJ483" s="55"/>
      <c r="AK483" s="55"/>
      <c r="AL483" s="55"/>
      <c r="AM483" s="55"/>
      <c r="AN483" s="55"/>
      <c r="AO483" s="55"/>
      <c r="AP483" s="55"/>
      <c r="AQ483" s="55"/>
      <c r="AR483" s="55"/>
      <c r="AS483" s="55"/>
      <c r="AT483" s="55"/>
      <c r="AU483" s="55"/>
      <c r="AV483" s="55"/>
      <c r="AW483" s="55"/>
      <c r="AX483" s="55"/>
      <c r="AY483" s="55"/>
      <c r="AZ483" s="55"/>
      <c r="BA483" s="55"/>
      <c r="BB483" s="55"/>
      <c r="BC483" s="55"/>
      <c r="BD483" s="55"/>
      <c r="BE483" s="55"/>
      <c r="BF483" s="55"/>
      <c r="BG483" s="55"/>
      <c r="BH483" s="55"/>
      <c r="BI483" s="55"/>
      <c r="BJ483" s="55"/>
      <c r="BK483" s="55"/>
      <c r="BL483" s="55"/>
      <c r="BM483" s="55"/>
      <c r="BN483" s="55"/>
      <c r="BO483" s="55"/>
      <c r="BP483" s="55"/>
      <c r="BQ483" s="55"/>
      <c r="BR483" s="55"/>
      <c r="BS483" s="55"/>
    </row>
    <row r="484" spans="1:71" outlineLevel="1" x14ac:dyDescent="0.2">
      <c r="D484" t="str">
        <f>HM_ZB_Nsoko!D497</f>
        <v>Revenus des droits</v>
      </c>
      <c r="I484" s="30">
        <f t="shared" ref="I484:I490" ca="1" si="138">SUM($L484:$BS484)</f>
        <v>509.53700194744215</v>
      </c>
      <c r="J484" s="26" t="s">
        <v>148</v>
      </c>
      <c r="L484" s="49" cm="1">
        <f t="array" aca="1" ref="L484:BS484" ca="1">(KLL_II_2020!CA_ent_rev_gas+KLL_II_2020!CA_ent_rev_oil)*KLL_II_2020!CA_NOC_WI</f>
        <v>43.970823274062312</v>
      </c>
      <c r="M484" s="49">
        <f ca="1"/>
        <v>52.804502107469105</v>
      </c>
      <c r="N484" s="49">
        <f ca="1"/>
        <v>36.488998434890824</v>
      </c>
      <c r="O484" s="49">
        <f ca="1"/>
        <v>34.973784780404124</v>
      </c>
      <c r="P484" s="49">
        <f ca="1"/>
        <v>36.109820773117605</v>
      </c>
      <c r="Q484" s="49">
        <f ca="1"/>
        <v>44.471076590923509</v>
      </c>
      <c r="R484" s="49">
        <f ca="1"/>
        <v>45.056542148796026</v>
      </c>
      <c r="S484" s="49">
        <f ca="1"/>
        <v>30.362586345</v>
      </c>
      <c r="T484" s="49">
        <f ca="1"/>
        <v>40.259964924829433</v>
      </c>
      <c r="U484" s="49">
        <f ca="1"/>
        <v>39.178186702129437</v>
      </c>
      <c r="V484" s="49">
        <f ca="1"/>
        <v>37.164427905639975</v>
      </c>
      <c r="W484" s="49">
        <f ca="1"/>
        <v>35.254176311290074</v>
      </c>
      <c r="X484" s="49">
        <f ca="1"/>
        <v>33.442111648889771</v>
      </c>
      <c r="Y484" s="49">
        <f ca="1"/>
        <v>0</v>
      </c>
      <c r="Z484" s="49">
        <f ca="1"/>
        <v>0</v>
      </c>
      <c r="AA484" s="49">
        <f ca="1"/>
        <v>0</v>
      </c>
      <c r="AB484" s="49">
        <f ca="1"/>
        <v>0</v>
      </c>
      <c r="AC484" s="49">
        <f ca="1"/>
        <v>0</v>
      </c>
      <c r="AD484" s="49">
        <f ca="1"/>
        <v>0</v>
      </c>
      <c r="AE484" s="49">
        <f ca="1"/>
        <v>0</v>
      </c>
      <c r="AF484" s="49">
        <f ca="1"/>
        <v>0</v>
      </c>
      <c r="AG484" s="49">
        <f ca="1"/>
        <v>0</v>
      </c>
      <c r="AH484" s="49">
        <f ca="1"/>
        <v>0</v>
      </c>
      <c r="AI484" s="49">
        <f ca="1"/>
        <v>0</v>
      </c>
      <c r="AJ484" s="49">
        <f ca="1"/>
        <v>0</v>
      </c>
      <c r="AK484" s="49">
        <f ca="1"/>
        <v>0</v>
      </c>
      <c r="AL484" s="49">
        <f ca="1"/>
        <v>0</v>
      </c>
      <c r="AM484" s="49">
        <f ca="1"/>
        <v>0</v>
      </c>
      <c r="AN484" s="49">
        <f ca="1"/>
        <v>0</v>
      </c>
      <c r="AO484" s="49">
        <f ca="1"/>
        <v>0</v>
      </c>
      <c r="AP484" s="49">
        <f ca="1"/>
        <v>0</v>
      </c>
      <c r="AQ484" s="49">
        <f ca="1"/>
        <v>0</v>
      </c>
      <c r="AR484" s="49">
        <f ca="1"/>
        <v>0</v>
      </c>
      <c r="AS484" s="49">
        <f ca="1"/>
        <v>0</v>
      </c>
      <c r="AT484" s="49">
        <f ca="1"/>
        <v>0</v>
      </c>
      <c r="AU484" s="49">
        <f ca="1"/>
        <v>0</v>
      </c>
      <c r="AV484" s="49">
        <f ca="1"/>
        <v>0</v>
      </c>
      <c r="AW484" s="49">
        <f ca="1"/>
        <v>0</v>
      </c>
      <c r="AX484" s="49">
        <f ca="1"/>
        <v>0</v>
      </c>
      <c r="AY484" s="49">
        <f ca="1"/>
        <v>0</v>
      </c>
      <c r="AZ484" s="49">
        <f ca="1"/>
        <v>0</v>
      </c>
      <c r="BA484" s="49">
        <f ca="1"/>
        <v>0</v>
      </c>
      <c r="BB484" s="49">
        <f ca="1"/>
        <v>0</v>
      </c>
      <c r="BC484" s="49">
        <f ca="1"/>
        <v>0</v>
      </c>
      <c r="BD484" s="49">
        <f ca="1"/>
        <v>0</v>
      </c>
      <c r="BE484" s="49">
        <f ca="1"/>
        <v>0</v>
      </c>
      <c r="BF484" s="49">
        <f ca="1"/>
        <v>0</v>
      </c>
      <c r="BG484" s="49">
        <f ca="1"/>
        <v>0</v>
      </c>
      <c r="BH484" s="49">
        <f ca="1"/>
        <v>0</v>
      </c>
      <c r="BI484" s="49">
        <f ca="1"/>
        <v>0</v>
      </c>
      <c r="BJ484" s="49">
        <f ca="1"/>
        <v>0</v>
      </c>
      <c r="BK484" s="49">
        <f ca="1"/>
        <v>0</v>
      </c>
      <c r="BL484" s="49">
        <f ca="1"/>
        <v>0</v>
      </c>
      <c r="BM484" s="49">
        <f ca="1"/>
        <v>0</v>
      </c>
      <c r="BN484" s="49">
        <f ca="1"/>
        <v>0</v>
      </c>
      <c r="BO484" s="49">
        <f ca="1"/>
        <v>0</v>
      </c>
      <c r="BP484" s="49">
        <f ca="1"/>
        <v>0</v>
      </c>
      <c r="BQ484" s="49">
        <f ca="1"/>
        <v>0</v>
      </c>
      <c r="BR484" s="49">
        <f ca="1"/>
        <v>0</v>
      </c>
      <c r="BS484" s="49">
        <f ca="1"/>
        <v>0</v>
      </c>
    </row>
    <row r="485" spans="1:71" outlineLevel="1" x14ac:dyDescent="0.2">
      <c r="D485" t="str">
        <f>HM_ZB_Nsoko!D498</f>
        <v>Remboursement du portage</v>
      </c>
      <c r="I485" s="30">
        <f t="shared" ca="1" si="138"/>
        <v>-81.205600000000004</v>
      </c>
      <c r="J485" s="26" t="s">
        <v>148</v>
      </c>
      <c r="L485" s="49" cm="1">
        <f t="array" aca="1" ref="L485:BS485" ca="1">KLL_II_2020!CA_NOC_carry_payback</f>
        <v>-10.202800000000002</v>
      </c>
      <c r="M485" s="49">
        <f ca="1"/>
        <v>-34.302199999999999</v>
      </c>
      <c r="N485" s="49">
        <f ca="1"/>
        <v>-15.328200000000002</v>
      </c>
      <c r="O485" s="49">
        <f ca="1"/>
        <v>-5.7324000000000002</v>
      </c>
      <c r="P485" s="49">
        <f ca="1"/>
        <v>-3.64</v>
      </c>
      <c r="Q485" s="49">
        <f ca="1"/>
        <v>-12</v>
      </c>
      <c r="R485" s="49">
        <f ca="1"/>
        <v>0</v>
      </c>
      <c r="S485" s="49">
        <f ca="1"/>
        <v>0</v>
      </c>
      <c r="T485" s="49">
        <f ca="1"/>
        <v>0</v>
      </c>
      <c r="U485" s="49">
        <f ca="1"/>
        <v>0</v>
      </c>
      <c r="V485" s="49">
        <f ca="1"/>
        <v>0</v>
      </c>
      <c r="W485" s="49">
        <f ca="1"/>
        <v>0</v>
      </c>
      <c r="X485" s="49">
        <f ca="1"/>
        <v>0</v>
      </c>
      <c r="Y485" s="49">
        <f ca="1"/>
        <v>0</v>
      </c>
      <c r="Z485" s="49">
        <f ca="1"/>
        <v>0</v>
      </c>
      <c r="AA485" s="49">
        <f ca="1"/>
        <v>0</v>
      </c>
      <c r="AB485" s="49">
        <f ca="1"/>
        <v>0</v>
      </c>
      <c r="AC485" s="49">
        <f ca="1"/>
        <v>0</v>
      </c>
      <c r="AD485" s="49">
        <f ca="1"/>
        <v>0</v>
      </c>
      <c r="AE485" s="49">
        <f ca="1"/>
        <v>0</v>
      </c>
      <c r="AF485" s="49">
        <f ca="1"/>
        <v>0</v>
      </c>
      <c r="AG485" s="49">
        <f ca="1"/>
        <v>0</v>
      </c>
      <c r="AH485" s="49">
        <f ca="1"/>
        <v>0</v>
      </c>
      <c r="AI485" s="49">
        <f ca="1"/>
        <v>0</v>
      </c>
      <c r="AJ485" s="49">
        <f ca="1"/>
        <v>0</v>
      </c>
      <c r="AK485" s="49">
        <f ca="1"/>
        <v>0</v>
      </c>
      <c r="AL485" s="49">
        <f ca="1"/>
        <v>0</v>
      </c>
      <c r="AM485" s="49">
        <f ca="1"/>
        <v>0</v>
      </c>
      <c r="AN485" s="49">
        <f ca="1"/>
        <v>0</v>
      </c>
      <c r="AO485" s="49">
        <f ca="1"/>
        <v>0</v>
      </c>
      <c r="AP485" s="49">
        <f ca="1"/>
        <v>0</v>
      </c>
      <c r="AQ485" s="49">
        <f ca="1"/>
        <v>0</v>
      </c>
      <c r="AR485" s="49">
        <f ca="1"/>
        <v>0</v>
      </c>
      <c r="AS485" s="49">
        <f ca="1"/>
        <v>0</v>
      </c>
      <c r="AT485" s="49">
        <f ca="1"/>
        <v>0</v>
      </c>
      <c r="AU485" s="49">
        <f ca="1"/>
        <v>0</v>
      </c>
      <c r="AV485" s="49">
        <f ca="1"/>
        <v>0</v>
      </c>
      <c r="AW485" s="49">
        <f ca="1"/>
        <v>0</v>
      </c>
      <c r="AX485" s="49">
        <f ca="1"/>
        <v>0</v>
      </c>
      <c r="AY485" s="49">
        <f ca="1"/>
        <v>0</v>
      </c>
      <c r="AZ485" s="49">
        <f ca="1"/>
        <v>0</v>
      </c>
      <c r="BA485" s="49">
        <f ca="1"/>
        <v>0</v>
      </c>
      <c r="BB485" s="49">
        <f ca="1"/>
        <v>0</v>
      </c>
      <c r="BC485" s="49">
        <f ca="1"/>
        <v>0</v>
      </c>
      <c r="BD485" s="49">
        <f ca="1"/>
        <v>0</v>
      </c>
      <c r="BE485" s="49">
        <f ca="1"/>
        <v>0</v>
      </c>
      <c r="BF485" s="49">
        <f ca="1"/>
        <v>0</v>
      </c>
      <c r="BG485" s="49">
        <f ca="1"/>
        <v>0</v>
      </c>
      <c r="BH485" s="49">
        <f ca="1"/>
        <v>0</v>
      </c>
      <c r="BI485" s="49">
        <f ca="1"/>
        <v>0</v>
      </c>
      <c r="BJ485" s="49">
        <f ca="1"/>
        <v>0</v>
      </c>
      <c r="BK485" s="49">
        <f ca="1"/>
        <v>0</v>
      </c>
      <c r="BL485" s="49">
        <f ca="1"/>
        <v>0</v>
      </c>
      <c r="BM485" s="49">
        <f ca="1"/>
        <v>0</v>
      </c>
      <c r="BN485" s="49">
        <f ca="1"/>
        <v>0</v>
      </c>
      <c r="BO485" s="49">
        <f ca="1"/>
        <v>0</v>
      </c>
      <c r="BP485" s="49">
        <f ca="1"/>
        <v>0</v>
      </c>
      <c r="BQ485" s="49">
        <f ca="1"/>
        <v>0</v>
      </c>
      <c r="BR485" s="49">
        <f ca="1"/>
        <v>0</v>
      </c>
      <c r="BS485" s="49">
        <f ca="1"/>
        <v>0</v>
      </c>
    </row>
    <row r="486" spans="1:71" outlineLevel="1" x14ac:dyDescent="0.2">
      <c r="D486" s="11" t="str">
        <f>HM_ZB_Nsoko!D499</f>
        <v>Total revenus des droits</v>
      </c>
      <c r="I486" s="30">
        <f t="shared" ca="1" si="138"/>
        <v>428.33140194744215</v>
      </c>
      <c r="J486" s="26" t="s">
        <v>148</v>
      </c>
      <c r="L486" s="49">
        <f ca="1">SUM(L484:L485)</f>
        <v>33.768023274062308</v>
      </c>
      <c r="M486" s="49">
        <f t="shared" ref="M486:BS486" ca="1" si="139">SUM(M484:M485)</f>
        <v>18.502302107469106</v>
      </c>
      <c r="N486" s="49">
        <f t="shared" ca="1" si="139"/>
        <v>21.160798434890822</v>
      </c>
      <c r="O486" s="49">
        <f t="shared" ca="1" si="139"/>
        <v>29.241384780404125</v>
      </c>
      <c r="P486" s="49">
        <f t="shared" ca="1" si="139"/>
        <v>32.469820773117604</v>
      </c>
      <c r="Q486" s="49">
        <f t="shared" ca="1" si="139"/>
        <v>32.471076590923509</v>
      </c>
      <c r="R486" s="49">
        <f t="shared" ca="1" si="139"/>
        <v>45.056542148796026</v>
      </c>
      <c r="S486" s="49">
        <f t="shared" ca="1" si="139"/>
        <v>30.362586345</v>
      </c>
      <c r="T486" s="49">
        <f t="shared" ca="1" si="139"/>
        <v>40.259964924829433</v>
      </c>
      <c r="U486" s="49">
        <f t="shared" ca="1" si="139"/>
        <v>39.178186702129437</v>
      </c>
      <c r="V486" s="49">
        <f t="shared" ca="1" si="139"/>
        <v>37.164427905639975</v>
      </c>
      <c r="W486" s="49">
        <f t="shared" ca="1" si="139"/>
        <v>35.254176311290074</v>
      </c>
      <c r="X486" s="49">
        <f t="shared" ca="1" si="139"/>
        <v>33.442111648889771</v>
      </c>
      <c r="Y486" s="49">
        <f t="shared" ca="1" si="139"/>
        <v>0</v>
      </c>
      <c r="Z486" s="49">
        <f t="shared" ca="1" si="139"/>
        <v>0</v>
      </c>
      <c r="AA486" s="49">
        <f t="shared" ca="1" si="139"/>
        <v>0</v>
      </c>
      <c r="AB486" s="49">
        <f t="shared" ca="1" si="139"/>
        <v>0</v>
      </c>
      <c r="AC486" s="49">
        <f t="shared" ca="1" si="139"/>
        <v>0</v>
      </c>
      <c r="AD486" s="49">
        <f t="shared" ca="1" si="139"/>
        <v>0</v>
      </c>
      <c r="AE486" s="49">
        <f t="shared" ca="1" si="139"/>
        <v>0</v>
      </c>
      <c r="AF486" s="49">
        <f t="shared" ca="1" si="139"/>
        <v>0</v>
      </c>
      <c r="AG486" s="49">
        <f t="shared" ca="1" si="139"/>
        <v>0</v>
      </c>
      <c r="AH486" s="49">
        <f t="shared" ca="1" si="139"/>
        <v>0</v>
      </c>
      <c r="AI486" s="49">
        <f t="shared" ca="1" si="139"/>
        <v>0</v>
      </c>
      <c r="AJ486" s="49">
        <f t="shared" ca="1" si="139"/>
        <v>0</v>
      </c>
      <c r="AK486" s="49">
        <f t="shared" ca="1" si="139"/>
        <v>0</v>
      </c>
      <c r="AL486" s="49">
        <f t="shared" ca="1" si="139"/>
        <v>0</v>
      </c>
      <c r="AM486" s="49">
        <f t="shared" ca="1" si="139"/>
        <v>0</v>
      </c>
      <c r="AN486" s="49">
        <f t="shared" ca="1" si="139"/>
        <v>0</v>
      </c>
      <c r="AO486" s="49">
        <f t="shared" ca="1" si="139"/>
        <v>0</v>
      </c>
      <c r="AP486" s="49">
        <f t="shared" ca="1" si="139"/>
        <v>0</v>
      </c>
      <c r="AQ486" s="49">
        <f t="shared" ca="1" si="139"/>
        <v>0</v>
      </c>
      <c r="AR486" s="49">
        <f t="shared" ca="1" si="139"/>
        <v>0</v>
      </c>
      <c r="AS486" s="49">
        <f t="shared" ca="1" si="139"/>
        <v>0</v>
      </c>
      <c r="AT486" s="49">
        <f t="shared" ca="1" si="139"/>
        <v>0</v>
      </c>
      <c r="AU486" s="49">
        <f t="shared" ca="1" si="139"/>
        <v>0</v>
      </c>
      <c r="AV486" s="49">
        <f t="shared" ca="1" si="139"/>
        <v>0</v>
      </c>
      <c r="AW486" s="49">
        <f t="shared" ca="1" si="139"/>
        <v>0</v>
      </c>
      <c r="AX486" s="49">
        <f t="shared" ca="1" si="139"/>
        <v>0</v>
      </c>
      <c r="AY486" s="49">
        <f t="shared" ca="1" si="139"/>
        <v>0</v>
      </c>
      <c r="AZ486" s="49">
        <f t="shared" ca="1" si="139"/>
        <v>0</v>
      </c>
      <c r="BA486" s="49">
        <f t="shared" ca="1" si="139"/>
        <v>0</v>
      </c>
      <c r="BB486" s="49">
        <f t="shared" ca="1" si="139"/>
        <v>0</v>
      </c>
      <c r="BC486" s="49">
        <f t="shared" ca="1" si="139"/>
        <v>0</v>
      </c>
      <c r="BD486" s="49">
        <f t="shared" ca="1" si="139"/>
        <v>0</v>
      </c>
      <c r="BE486" s="49">
        <f t="shared" ca="1" si="139"/>
        <v>0</v>
      </c>
      <c r="BF486" s="49">
        <f t="shared" ca="1" si="139"/>
        <v>0</v>
      </c>
      <c r="BG486" s="49">
        <f t="shared" ca="1" si="139"/>
        <v>0</v>
      </c>
      <c r="BH486" s="49">
        <f t="shared" ca="1" si="139"/>
        <v>0</v>
      </c>
      <c r="BI486" s="49">
        <f t="shared" ca="1" si="139"/>
        <v>0</v>
      </c>
      <c r="BJ486" s="49">
        <f t="shared" ca="1" si="139"/>
        <v>0</v>
      </c>
      <c r="BK486" s="49">
        <f t="shared" ca="1" si="139"/>
        <v>0</v>
      </c>
      <c r="BL486" s="49">
        <f t="shared" ca="1" si="139"/>
        <v>0</v>
      </c>
      <c r="BM486" s="49">
        <f t="shared" ca="1" si="139"/>
        <v>0</v>
      </c>
      <c r="BN486" s="49">
        <f t="shared" ca="1" si="139"/>
        <v>0</v>
      </c>
      <c r="BO486" s="49">
        <f t="shared" ca="1" si="139"/>
        <v>0</v>
      </c>
      <c r="BP486" s="49">
        <f t="shared" ca="1" si="139"/>
        <v>0</v>
      </c>
      <c r="BQ486" s="49">
        <f t="shared" ca="1" si="139"/>
        <v>0</v>
      </c>
      <c r="BR486" s="49">
        <f t="shared" ca="1" si="139"/>
        <v>0</v>
      </c>
      <c r="BS486" s="49">
        <f t="shared" ca="1" si="139"/>
        <v>0</v>
      </c>
    </row>
    <row r="487" spans="1:71" outlineLevel="1" x14ac:dyDescent="0.2">
      <c r="J487" s="26"/>
      <c r="L487" s="55"/>
      <c r="M487" s="55"/>
      <c r="N487" s="55"/>
      <c r="O487" s="55"/>
      <c r="P487" s="55"/>
      <c r="Q487" s="55"/>
      <c r="R487" s="55"/>
      <c r="S487" s="55"/>
      <c r="T487" s="55"/>
      <c r="U487" s="55"/>
      <c r="V487" s="55"/>
      <c r="W487" s="55"/>
      <c r="X487" s="55"/>
      <c r="Y487" s="55"/>
      <c r="Z487" s="55"/>
      <c r="AA487" s="55"/>
      <c r="AB487" s="55"/>
      <c r="AC487" s="55"/>
      <c r="AD487" s="55"/>
      <c r="AE487" s="55"/>
      <c r="AF487" s="55"/>
      <c r="AG487" s="55"/>
      <c r="AH487" s="55"/>
      <c r="AI487" s="55"/>
      <c r="AJ487" s="55"/>
      <c r="AK487" s="55"/>
      <c r="AL487" s="55"/>
      <c r="AM487" s="55"/>
      <c r="AN487" s="55"/>
      <c r="AO487" s="55"/>
      <c r="AP487" s="55"/>
      <c r="AQ487" s="55"/>
      <c r="AR487" s="55"/>
      <c r="AS487" s="55"/>
      <c r="AT487" s="55"/>
      <c r="AU487" s="55"/>
      <c r="AV487" s="55"/>
      <c r="AW487" s="55"/>
      <c r="AX487" s="55"/>
      <c r="AY487" s="55"/>
      <c r="AZ487" s="55"/>
      <c r="BA487" s="55"/>
      <c r="BB487" s="55"/>
      <c r="BC487" s="55"/>
      <c r="BD487" s="55"/>
      <c r="BE487" s="55"/>
      <c r="BF487" s="55"/>
      <c r="BG487" s="55"/>
      <c r="BH487" s="55"/>
      <c r="BI487" s="55"/>
      <c r="BJ487" s="55"/>
      <c r="BK487" s="55"/>
      <c r="BL487" s="55"/>
      <c r="BM487" s="55"/>
      <c r="BN487" s="55"/>
      <c r="BO487" s="55"/>
      <c r="BP487" s="55"/>
      <c r="BQ487" s="55"/>
      <c r="BR487" s="55"/>
      <c r="BS487" s="55"/>
    </row>
    <row r="488" spans="1:71" outlineLevel="1" x14ac:dyDescent="0.2">
      <c r="C488" s="11" t="str">
        <f>HM_ZB_Nsoko!C501</f>
        <v>Coûts d'exploitation</v>
      </c>
      <c r="I488" s="30">
        <f t="shared" ca="1" si="138"/>
        <v>194.41626842240001</v>
      </c>
      <c r="J488" s="26" t="s">
        <v>148</v>
      </c>
      <c r="L488" s="49">
        <f ca="1">(L435*KLL_II_2020!CA_NOC_WI)-KLL_II_2020!CA_NOC_CI_opex</f>
        <v>12.875200000000001</v>
      </c>
      <c r="M488" s="49">
        <f ca="1">(M435*KLL_II_2020!CA_NOC_WI)-KLL_II_2020!CA_NOC_CI_opex</f>
        <v>16.6448</v>
      </c>
      <c r="N488" s="49">
        <f ca="1">(N435*KLL_II_2020!CA_NOC_WI)-KLL_II_2020!CA_NOC_CI_opex</f>
        <v>13.310400000000001</v>
      </c>
      <c r="O488" s="49">
        <f ca="1">(O435*KLL_II_2020!CA_NOC_WI)-KLL_II_2020!CA_NOC_CI_opex</f>
        <v>35.669399999999996</v>
      </c>
      <c r="P488" s="49">
        <f ca="1">(P435*KLL_II_2020!CA_NOC_WI)-KLL_II_2020!CA_NOC_CI_opex</f>
        <v>19.4772</v>
      </c>
      <c r="Q488" s="49">
        <f ca="1">(Q435*KLL_II_2020!CA_NOC_WI)-KLL_II_2020!CA_NOC_CI_opex</f>
        <v>9.42</v>
      </c>
      <c r="R488" s="49">
        <f ca="1">(R435*KLL_II_2020!CA_NOC_WI)-KLL_II_2020!CA_NOC_CI_opex</f>
        <v>12.980000000000002</v>
      </c>
      <c r="S488" s="49">
        <f ca="1">(S435*KLL_II_2020!CA_NOC_WI)-KLL_II_2020!CA_NOC_CI_opex</f>
        <v>12.240000000000002</v>
      </c>
      <c r="T488" s="49">
        <f ca="1">(T435*KLL_II_2020!CA_NOC_WI)-KLL_II_2020!CA_NOC_CI_opex</f>
        <v>12.120000000000001</v>
      </c>
      <c r="U488" s="49">
        <f ca="1">(U435*KLL_II_2020!CA_NOC_WI)-KLL_II_2020!CA_NOC_CI_opex</f>
        <v>12.240000000000002</v>
      </c>
      <c r="V488" s="49">
        <f ca="1">(V435*KLL_II_2020!CA_NOC_WI)-KLL_II_2020!CA_NOC_CI_opex</f>
        <v>12.359952</v>
      </c>
      <c r="W488" s="49">
        <f ca="1">(W435*KLL_II_2020!CA_NOC_WI)-KLL_II_2020!CA_NOC_CI_opex</f>
        <v>12.479806079999999</v>
      </c>
      <c r="X488" s="49">
        <f ca="1">(X435*KLL_II_2020!CA_NOC_WI)-KLL_II_2020!CA_NOC_CI_opex</f>
        <v>12.599510342400002</v>
      </c>
      <c r="Y488" s="49">
        <f ca="1">(Y435*KLL_II_2020!CA_NOC_WI)-KLL_II_2020!CA_NOC_CI_opex</f>
        <v>0</v>
      </c>
      <c r="Z488" s="49">
        <f ca="1">(Z435*KLL_II_2020!CA_NOC_WI)-KLL_II_2020!CA_NOC_CI_opex</f>
        <v>0</v>
      </c>
      <c r="AA488" s="49">
        <f ca="1">(AA435*KLL_II_2020!CA_NOC_WI)-KLL_II_2020!CA_NOC_CI_opex</f>
        <v>0</v>
      </c>
      <c r="AB488" s="49">
        <f ca="1">(AB435*KLL_II_2020!CA_NOC_WI)-KLL_II_2020!CA_NOC_CI_opex</f>
        <v>0</v>
      </c>
      <c r="AC488" s="49">
        <f ca="1">(AC435*KLL_II_2020!CA_NOC_WI)-KLL_II_2020!CA_NOC_CI_opex</f>
        <v>0</v>
      </c>
      <c r="AD488" s="49">
        <f ca="1">(AD435*KLL_II_2020!CA_NOC_WI)-KLL_II_2020!CA_NOC_CI_opex</f>
        <v>0</v>
      </c>
      <c r="AE488" s="49">
        <f ca="1">(AE435*KLL_II_2020!CA_NOC_WI)-KLL_II_2020!CA_NOC_CI_opex</f>
        <v>0</v>
      </c>
      <c r="AF488" s="49">
        <f ca="1">(AF435*KLL_II_2020!CA_NOC_WI)-KLL_II_2020!CA_NOC_CI_opex</f>
        <v>0</v>
      </c>
      <c r="AG488" s="49">
        <f ca="1">(AG435*KLL_II_2020!CA_NOC_WI)-KLL_II_2020!CA_NOC_CI_opex</f>
        <v>0</v>
      </c>
      <c r="AH488" s="49">
        <f ca="1">(AH435*KLL_II_2020!CA_NOC_WI)-KLL_II_2020!CA_NOC_CI_opex</f>
        <v>0</v>
      </c>
      <c r="AI488" s="49">
        <f ca="1">(AI435*KLL_II_2020!CA_NOC_WI)-KLL_II_2020!CA_NOC_CI_opex</f>
        <v>0</v>
      </c>
      <c r="AJ488" s="49">
        <f ca="1">(AJ435*KLL_II_2020!CA_NOC_WI)-KLL_II_2020!CA_NOC_CI_opex</f>
        <v>0</v>
      </c>
      <c r="AK488" s="49">
        <f ca="1">(AK435*KLL_II_2020!CA_NOC_WI)-KLL_II_2020!CA_NOC_CI_opex</f>
        <v>0</v>
      </c>
      <c r="AL488" s="49">
        <f ca="1">(AL435*KLL_II_2020!CA_NOC_WI)-KLL_II_2020!CA_NOC_CI_opex</f>
        <v>0</v>
      </c>
      <c r="AM488" s="49">
        <f ca="1">(AM435*KLL_II_2020!CA_NOC_WI)-KLL_II_2020!CA_NOC_CI_opex</f>
        <v>0</v>
      </c>
      <c r="AN488" s="49">
        <f ca="1">(AN435*KLL_II_2020!CA_NOC_WI)-KLL_II_2020!CA_NOC_CI_opex</f>
        <v>0</v>
      </c>
      <c r="AO488" s="49">
        <f ca="1">(AO435*KLL_II_2020!CA_NOC_WI)-KLL_II_2020!CA_NOC_CI_opex</f>
        <v>0</v>
      </c>
      <c r="AP488" s="49">
        <f ca="1">(AP435*KLL_II_2020!CA_NOC_WI)-KLL_II_2020!CA_NOC_CI_opex</f>
        <v>0</v>
      </c>
      <c r="AQ488" s="49">
        <f ca="1">(AQ435*KLL_II_2020!CA_NOC_WI)-KLL_II_2020!CA_NOC_CI_opex</f>
        <v>0</v>
      </c>
      <c r="AR488" s="49">
        <f ca="1">(AR435*KLL_II_2020!CA_NOC_WI)-KLL_II_2020!CA_NOC_CI_opex</f>
        <v>0</v>
      </c>
      <c r="AS488" s="49">
        <f ca="1">(AS435*KLL_II_2020!CA_NOC_WI)-KLL_II_2020!CA_NOC_CI_opex</f>
        <v>0</v>
      </c>
      <c r="AT488" s="49">
        <f ca="1">(AT435*KLL_II_2020!CA_NOC_WI)-KLL_II_2020!CA_NOC_CI_opex</f>
        <v>0</v>
      </c>
      <c r="AU488" s="49">
        <f ca="1">(AU435*KLL_II_2020!CA_NOC_WI)-KLL_II_2020!CA_NOC_CI_opex</f>
        <v>0</v>
      </c>
      <c r="AV488" s="49">
        <f ca="1">(AV435*KLL_II_2020!CA_NOC_WI)-KLL_II_2020!CA_NOC_CI_opex</f>
        <v>0</v>
      </c>
      <c r="AW488" s="49">
        <f ca="1">(AW435*KLL_II_2020!CA_NOC_WI)-KLL_II_2020!CA_NOC_CI_opex</f>
        <v>0</v>
      </c>
      <c r="AX488" s="49">
        <f ca="1">(AX435*KLL_II_2020!CA_NOC_WI)-KLL_II_2020!CA_NOC_CI_opex</f>
        <v>0</v>
      </c>
      <c r="AY488" s="49">
        <f ca="1">(AY435*KLL_II_2020!CA_NOC_WI)-KLL_II_2020!CA_NOC_CI_opex</f>
        <v>0</v>
      </c>
      <c r="AZ488" s="49">
        <f ca="1">(AZ435*KLL_II_2020!CA_NOC_WI)-KLL_II_2020!CA_NOC_CI_opex</f>
        <v>0</v>
      </c>
      <c r="BA488" s="49">
        <f ca="1">(BA435*KLL_II_2020!CA_NOC_WI)-KLL_II_2020!CA_NOC_CI_opex</f>
        <v>0</v>
      </c>
      <c r="BB488" s="49">
        <f ca="1">(BB435*KLL_II_2020!CA_NOC_WI)-KLL_II_2020!CA_NOC_CI_opex</f>
        <v>0</v>
      </c>
      <c r="BC488" s="49">
        <f ca="1">(BC435*KLL_II_2020!CA_NOC_WI)-KLL_II_2020!CA_NOC_CI_opex</f>
        <v>0</v>
      </c>
      <c r="BD488" s="49">
        <f ca="1">(BD435*KLL_II_2020!CA_NOC_WI)-KLL_II_2020!CA_NOC_CI_opex</f>
        <v>0</v>
      </c>
      <c r="BE488" s="49">
        <f ca="1">(BE435*KLL_II_2020!CA_NOC_WI)-KLL_II_2020!CA_NOC_CI_opex</f>
        <v>0</v>
      </c>
      <c r="BF488" s="49">
        <f ca="1">(BF435*KLL_II_2020!CA_NOC_WI)-KLL_II_2020!CA_NOC_CI_opex</f>
        <v>0</v>
      </c>
      <c r="BG488" s="49">
        <f ca="1">(BG435*KLL_II_2020!CA_NOC_WI)-KLL_II_2020!CA_NOC_CI_opex</f>
        <v>0</v>
      </c>
      <c r="BH488" s="49">
        <f ca="1">(BH435*KLL_II_2020!CA_NOC_WI)-KLL_II_2020!CA_NOC_CI_opex</f>
        <v>0</v>
      </c>
      <c r="BI488" s="49">
        <f ca="1">(BI435*KLL_II_2020!CA_NOC_WI)-KLL_II_2020!CA_NOC_CI_opex</f>
        <v>0</v>
      </c>
      <c r="BJ488" s="49">
        <f ca="1">(BJ435*KLL_II_2020!CA_NOC_WI)-KLL_II_2020!CA_NOC_CI_opex</f>
        <v>0</v>
      </c>
      <c r="BK488" s="49">
        <f ca="1">(BK435*KLL_II_2020!CA_NOC_WI)-KLL_II_2020!CA_NOC_CI_opex</f>
        <v>0</v>
      </c>
      <c r="BL488" s="49">
        <f ca="1">(BL435*KLL_II_2020!CA_NOC_WI)-KLL_II_2020!CA_NOC_CI_opex</f>
        <v>0</v>
      </c>
      <c r="BM488" s="49">
        <f ca="1">(BM435*KLL_II_2020!CA_NOC_WI)-KLL_II_2020!CA_NOC_CI_opex</f>
        <v>0</v>
      </c>
      <c r="BN488" s="49">
        <f ca="1">(BN435*KLL_II_2020!CA_NOC_WI)-KLL_II_2020!CA_NOC_CI_opex</f>
        <v>0</v>
      </c>
      <c r="BO488" s="49">
        <f ca="1">(BO435*KLL_II_2020!CA_NOC_WI)-KLL_II_2020!CA_NOC_CI_opex</f>
        <v>0</v>
      </c>
      <c r="BP488" s="49">
        <f ca="1">(BP435*KLL_II_2020!CA_NOC_WI)-KLL_II_2020!CA_NOC_CI_opex</f>
        <v>0</v>
      </c>
      <c r="BQ488" s="49">
        <f ca="1">(BQ435*KLL_II_2020!CA_NOC_WI)-KLL_II_2020!CA_NOC_CI_opex</f>
        <v>0</v>
      </c>
      <c r="BR488" s="49">
        <f ca="1">(BR435*KLL_II_2020!CA_NOC_WI)-KLL_II_2020!CA_NOC_CI_opex</f>
        <v>0</v>
      </c>
      <c r="BS488" s="49">
        <f ca="1">(BS435*KLL_II_2020!CA_NOC_WI)-KLL_II_2020!CA_NOC_CI_opex</f>
        <v>0</v>
      </c>
    </row>
    <row r="489" spans="1:71" outlineLevel="1" x14ac:dyDescent="0.2">
      <c r="J489" s="26"/>
      <c r="L489" s="55"/>
      <c r="M489" s="55"/>
      <c r="N489" s="55"/>
      <c r="O489" s="55"/>
      <c r="P489" s="55"/>
      <c r="Q489" s="55"/>
      <c r="R489" s="55"/>
      <c r="S489" s="55"/>
      <c r="T489" s="55"/>
      <c r="U489" s="55"/>
      <c r="V489" s="55"/>
      <c r="W489" s="55"/>
      <c r="X489" s="55"/>
      <c r="Y489" s="55"/>
      <c r="Z489" s="55"/>
      <c r="AA489" s="55"/>
      <c r="AB489" s="55"/>
      <c r="AC489" s="55"/>
      <c r="AD489" s="55"/>
      <c r="AE489" s="55"/>
      <c r="AF489" s="55"/>
      <c r="AG489" s="55"/>
      <c r="AH489" s="55"/>
      <c r="AI489" s="55"/>
      <c r="AJ489" s="55"/>
      <c r="AK489" s="55"/>
      <c r="AL489" s="55"/>
      <c r="AM489" s="55"/>
      <c r="AN489" s="55"/>
      <c r="AO489" s="55"/>
      <c r="AP489" s="55"/>
      <c r="AQ489" s="55"/>
      <c r="AR489" s="55"/>
      <c r="AS489" s="55"/>
      <c r="AT489" s="55"/>
      <c r="AU489" s="55"/>
      <c r="AV489" s="55"/>
      <c r="AW489" s="55"/>
      <c r="AX489" s="55"/>
      <c r="AY489" s="55"/>
      <c r="AZ489" s="55"/>
      <c r="BA489" s="55"/>
      <c r="BB489" s="55"/>
      <c r="BC489" s="55"/>
      <c r="BD489" s="55"/>
      <c r="BE489" s="55"/>
      <c r="BF489" s="55"/>
      <c r="BG489" s="55"/>
      <c r="BH489" s="55"/>
      <c r="BI489" s="55"/>
      <c r="BJ489" s="55"/>
      <c r="BK489" s="55"/>
      <c r="BL489" s="55"/>
      <c r="BM489" s="55"/>
      <c r="BN489" s="55"/>
      <c r="BO489" s="55"/>
      <c r="BP489" s="55"/>
      <c r="BQ489" s="55"/>
      <c r="BR489" s="55"/>
      <c r="BS489" s="55"/>
    </row>
    <row r="490" spans="1:71" outlineLevel="1" x14ac:dyDescent="0.2">
      <c r="C490" s="11" t="str">
        <f>HM_ZB_Nsoko!C503</f>
        <v>Bonus et frais</v>
      </c>
      <c r="I490" s="30">
        <f t="shared" ca="1" si="138"/>
        <v>9.0660205271089502</v>
      </c>
      <c r="J490" s="26" t="s">
        <v>148</v>
      </c>
      <c r="L490" s="49">
        <f ca="1">L437*KLL_II_2020!CA_NOC_WI</f>
        <v>0.99625817056200017</v>
      </c>
      <c r="M490" s="49">
        <f ca="1">M437*KLL_II_2020!CA_NOC_WI</f>
        <v>1.1005404719059999</v>
      </c>
      <c r="N490" s="49">
        <f ca="1">N437*KLL_II_2020!CA_NOC_WI</f>
        <v>0.58007742343399993</v>
      </c>
      <c r="O490" s="49">
        <f ca="1">O437*KLL_II_2020!CA_NOC_WI</f>
        <v>0.49546777556799998</v>
      </c>
      <c r="P490" s="49">
        <f ca="1">P437*KLL_II_2020!CA_NOC_WI</f>
        <v>0.59492179602400019</v>
      </c>
      <c r="Q490" s="49">
        <f ca="1">Q437*KLL_II_2020!CA_NOC_WI</f>
        <v>0.8182585300780002</v>
      </c>
      <c r="R490" s="49">
        <f ca="1">R437*KLL_II_2020!CA_NOC_WI</f>
        <v>0.79889258830600007</v>
      </c>
      <c r="S490" s="49">
        <f ca="1">S437*KLL_II_2020!CA_NOC_WI</f>
        <v>0.449816094</v>
      </c>
      <c r="T490" s="49">
        <f ca="1">T437*KLL_II_2020!CA_NOC_WI</f>
        <v>0.6882654856896</v>
      </c>
      <c r="U490" s="49">
        <f ca="1">U437*KLL_II_2020!CA_NOC_WI</f>
        <v>0.68706109558799999</v>
      </c>
      <c r="V490" s="49">
        <f ca="1">V437*KLL_II_2020!CA_NOC_WI</f>
        <v>0.65174615527477675</v>
      </c>
      <c r="W490" s="49">
        <f ca="1">W437*KLL_II_2020!CA_NOC_WI</f>
        <v>0.61824640289365318</v>
      </c>
      <c r="X490" s="49">
        <f ca="1">X437*KLL_II_2020!CA_NOC_WI</f>
        <v>0.58646853778491936</v>
      </c>
      <c r="Y490" s="49">
        <f ca="1">Y437*KLL_II_2020!CA_NOC_WI</f>
        <v>0</v>
      </c>
      <c r="Z490" s="49">
        <f ca="1">Z437*KLL_II_2020!CA_NOC_WI</f>
        <v>0</v>
      </c>
      <c r="AA490" s="49">
        <f ca="1">AA437*KLL_II_2020!CA_NOC_WI</f>
        <v>0</v>
      </c>
      <c r="AB490" s="49">
        <f ca="1">AB437*KLL_II_2020!CA_NOC_WI</f>
        <v>0</v>
      </c>
      <c r="AC490" s="49">
        <f ca="1">AC437*KLL_II_2020!CA_NOC_WI</f>
        <v>0</v>
      </c>
      <c r="AD490" s="49">
        <f ca="1">AD437*KLL_II_2020!CA_NOC_WI</f>
        <v>0</v>
      </c>
      <c r="AE490" s="49">
        <f ca="1">AE437*KLL_II_2020!CA_NOC_WI</f>
        <v>0</v>
      </c>
      <c r="AF490" s="49">
        <f ca="1">AF437*KLL_II_2020!CA_NOC_WI</f>
        <v>0</v>
      </c>
      <c r="AG490" s="49">
        <f ca="1">AG437*KLL_II_2020!CA_NOC_WI</f>
        <v>0</v>
      </c>
      <c r="AH490" s="49">
        <f ca="1">AH437*KLL_II_2020!CA_NOC_WI</f>
        <v>0</v>
      </c>
      <c r="AI490" s="49">
        <f ca="1">AI437*KLL_II_2020!CA_NOC_WI</f>
        <v>0</v>
      </c>
      <c r="AJ490" s="49">
        <f ca="1">AJ437*KLL_II_2020!CA_NOC_WI</f>
        <v>0</v>
      </c>
      <c r="AK490" s="49">
        <f ca="1">AK437*KLL_II_2020!CA_NOC_WI</f>
        <v>0</v>
      </c>
      <c r="AL490" s="49">
        <f ca="1">AL437*KLL_II_2020!CA_NOC_WI</f>
        <v>0</v>
      </c>
      <c r="AM490" s="49">
        <f ca="1">AM437*KLL_II_2020!CA_NOC_WI</f>
        <v>0</v>
      </c>
      <c r="AN490" s="49">
        <f ca="1">AN437*KLL_II_2020!CA_NOC_WI</f>
        <v>0</v>
      </c>
      <c r="AO490" s="49">
        <f ca="1">AO437*KLL_II_2020!CA_NOC_WI</f>
        <v>0</v>
      </c>
      <c r="AP490" s="49">
        <f ca="1">AP437*KLL_II_2020!CA_NOC_WI</f>
        <v>0</v>
      </c>
      <c r="AQ490" s="49">
        <f ca="1">AQ437*KLL_II_2020!CA_NOC_WI</f>
        <v>0</v>
      </c>
      <c r="AR490" s="49">
        <f ca="1">AR437*KLL_II_2020!CA_NOC_WI</f>
        <v>0</v>
      </c>
      <c r="AS490" s="49">
        <f ca="1">AS437*KLL_II_2020!CA_NOC_WI</f>
        <v>0</v>
      </c>
      <c r="AT490" s="49">
        <f ca="1">AT437*KLL_II_2020!CA_NOC_WI</f>
        <v>0</v>
      </c>
      <c r="AU490" s="49">
        <f ca="1">AU437*KLL_II_2020!CA_NOC_WI</f>
        <v>0</v>
      </c>
      <c r="AV490" s="49">
        <f ca="1">AV437*KLL_II_2020!CA_NOC_WI</f>
        <v>0</v>
      </c>
      <c r="AW490" s="49">
        <f ca="1">AW437*KLL_II_2020!CA_NOC_WI</f>
        <v>0</v>
      </c>
      <c r="AX490" s="49">
        <f ca="1">AX437*KLL_II_2020!CA_NOC_WI</f>
        <v>0</v>
      </c>
      <c r="AY490" s="49">
        <f ca="1">AY437*KLL_II_2020!CA_NOC_WI</f>
        <v>0</v>
      </c>
      <c r="AZ490" s="49">
        <f ca="1">AZ437*KLL_II_2020!CA_NOC_WI</f>
        <v>0</v>
      </c>
      <c r="BA490" s="49">
        <f ca="1">BA437*KLL_II_2020!CA_NOC_WI</f>
        <v>0</v>
      </c>
      <c r="BB490" s="49">
        <f ca="1">BB437*KLL_II_2020!CA_NOC_WI</f>
        <v>0</v>
      </c>
      <c r="BC490" s="49">
        <f ca="1">BC437*KLL_II_2020!CA_NOC_WI</f>
        <v>0</v>
      </c>
      <c r="BD490" s="49">
        <f ca="1">BD437*KLL_II_2020!CA_NOC_WI</f>
        <v>0</v>
      </c>
      <c r="BE490" s="49">
        <f ca="1">BE437*KLL_II_2020!CA_NOC_WI</f>
        <v>0</v>
      </c>
      <c r="BF490" s="49">
        <f ca="1">BF437*KLL_II_2020!CA_NOC_WI</f>
        <v>0</v>
      </c>
      <c r="BG490" s="49">
        <f ca="1">BG437*KLL_II_2020!CA_NOC_WI</f>
        <v>0</v>
      </c>
      <c r="BH490" s="49">
        <f ca="1">BH437*KLL_II_2020!CA_NOC_WI</f>
        <v>0</v>
      </c>
      <c r="BI490" s="49">
        <f ca="1">BI437*KLL_II_2020!CA_NOC_WI</f>
        <v>0</v>
      </c>
      <c r="BJ490" s="49">
        <f ca="1">BJ437*KLL_II_2020!CA_NOC_WI</f>
        <v>0</v>
      </c>
      <c r="BK490" s="49">
        <f ca="1">BK437*KLL_II_2020!CA_NOC_WI</f>
        <v>0</v>
      </c>
      <c r="BL490" s="49">
        <f ca="1">BL437*KLL_II_2020!CA_NOC_WI</f>
        <v>0</v>
      </c>
      <c r="BM490" s="49">
        <f ca="1">BM437*KLL_II_2020!CA_NOC_WI</f>
        <v>0</v>
      </c>
      <c r="BN490" s="49">
        <f ca="1">BN437*KLL_II_2020!CA_NOC_WI</f>
        <v>0</v>
      </c>
      <c r="BO490" s="49">
        <f ca="1">BO437*KLL_II_2020!CA_NOC_WI</f>
        <v>0</v>
      </c>
      <c r="BP490" s="49">
        <f ca="1">BP437*KLL_II_2020!CA_NOC_WI</f>
        <v>0</v>
      </c>
      <c r="BQ490" s="49">
        <f ca="1">BQ437*KLL_II_2020!CA_NOC_WI</f>
        <v>0</v>
      </c>
      <c r="BR490" s="49">
        <f ca="1">BR437*KLL_II_2020!CA_NOC_WI</f>
        <v>0</v>
      </c>
      <c r="BS490" s="49">
        <f ca="1">BS437*KLL_II_2020!CA_NOC_WI</f>
        <v>0</v>
      </c>
    </row>
    <row r="491" spans="1:71" outlineLevel="1" x14ac:dyDescent="0.2">
      <c r="J491" s="26"/>
      <c r="L491" s="55"/>
      <c r="M491" s="55"/>
      <c r="N491" s="55"/>
      <c r="O491" s="55"/>
      <c r="P491" s="55"/>
      <c r="Q491" s="55"/>
      <c r="R491" s="55"/>
      <c r="S491" s="55"/>
      <c r="T491" s="55"/>
      <c r="U491" s="55"/>
      <c r="V491" s="55"/>
      <c r="W491" s="55"/>
      <c r="X491" s="55"/>
      <c r="Y491" s="55"/>
      <c r="Z491" s="55"/>
      <c r="AA491" s="55"/>
      <c r="AB491" s="55"/>
      <c r="AC491" s="55"/>
      <c r="AD491" s="55"/>
      <c r="AE491" s="55"/>
      <c r="AF491" s="55"/>
      <c r="AG491" s="55"/>
      <c r="AH491" s="55"/>
      <c r="AI491" s="55"/>
      <c r="AJ491" s="55"/>
      <c r="AK491" s="55"/>
      <c r="AL491" s="55"/>
      <c r="AM491" s="55"/>
      <c r="AN491" s="55"/>
      <c r="AO491" s="55"/>
      <c r="AP491" s="55"/>
      <c r="AQ491" s="55"/>
      <c r="AR491" s="55"/>
      <c r="AS491" s="55"/>
      <c r="AT491" s="55"/>
      <c r="AU491" s="55"/>
      <c r="AV491" s="55"/>
      <c r="AW491" s="55"/>
      <c r="AX491" s="55"/>
      <c r="AY491" s="55"/>
      <c r="AZ491" s="55"/>
      <c r="BA491" s="55"/>
      <c r="BB491" s="55"/>
      <c r="BC491" s="55"/>
      <c r="BD491" s="55"/>
      <c r="BE491" s="55"/>
      <c r="BF491" s="55"/>
      <c r="BG491" s="55"/>
      <c r="BH491" s="55"/>
      <c r="BI491" s="55"/>
      <c r="BJ491" s="55"/>
      <c r="BK491" s="55"/>
      <c r="BL491" s="55"/>
      <c r="BM491" s="55"/>
      <c r="BN491" s="55"/>
      <c r="BO491" s="55"/>
      <c r="BP491" s="55"/>
      <c r="BQ491" s="55"/>
      <c r="BR491" s="55"/>
      <c r="BS491" s="55"/>
    </row>
    <row r="492" spans="1:71" outlineLevel="1" x14ac:dyDescent="0.2">
      <c r="C492" s="11" t="str">
        <f>HM_ZB_Nsoko!C505</f>
        <v>Production et autres taxes</v>
      </c>
      <c r="I492" s="30">
        <f t="shared" ref="I492:I502" ca="1" si="140">SUM($L492:$BS492)</f>
        <v>0</v>
      </c>
      <c r="J492" s="26" t="s">
        <v>148</v>
      </c>
      <c r="L492" s="49">
        <f ca="1">L439*KLL_II_2020!CA_NOC_WI</f>
        <v>0</v>
      </c>
      <c r="M492" s="49">
        <f ca="1">M439*KLL_II_2020!CA_NOC_WI</f>
        <v>0</v>
      </c>
      <c r="N492" s="49">
        <f ca="1">N439*KLL_II_2020!CA_NOC_WI</f>
        <v>0</v>
      </c>
      <c r="O492" s="49">
        <f ca="1">O439*KLL_II_2020!CA_NOC_WI</f>
        <v>0</v>
      </c>
      <c r="P492" s="49">
        <f ca="1">P439*KLL_II_2020!CA_NOC_WI</f>
        <v>0</v>
      </c>
      <c r="Q492" s="49">
        <f ca="1">Q439*KLL_II_2020!CA_NOC_WI</f>
        <v>0</v>
      </c>
      <c r="R492" s="49">
        <f ca="1">R439*KLL_II_2020!CA_NOC_WI</f>
        <v>0</v>
      </c>
      <c r="S492" s="49">
        <f ca="1">S439*KLL_II_2020!CA_NOC_WI</f>
        <v>0</v>
      </c>
      <c r="T492" s="49">
        <f ca="1">T439*KLL_II_2020!CA_NOC_WI</f>
        <v>0</v>
      </c>
      <c r="U492" s="49">
        <f ca="1">U439*KLL_II_2020!CA_NOC_WI</f>
        <v>0</v>
      </c>
      <c r="V492" s="49">
        <f ca="1">V439*KLL_II_2020!CA_NOC_WI</f>
        <v>0</v>
      </c>
      <c r="W492" s="49">
        <f ca="1">W439*KLL_II_2020!CA_NOC_WI</f>
        <v>0</v>
      </c>
      <c r="X492" s="49">
        <f ca="1">X439*KLL_II_2020!CA_NOC_WI</f>
        <v>0</v>
      </c>
      <c r="Y492" s="49">
        <f ca="1">Y439*KLL_II_2020!CA_NOC_WI</f>
        <v>0</v>
      </c>
      <c r="Z492" s="49">
        <f ca="1">Z439*KLL_II_2020!CA_NOC_WI</f>
        <v>0</v>
      </c>
      <c r="AA492" s="49">
        <f ca="1">AA439*KLL_II_2020!CA_NOC_WI</f>
        <v>0</v>
      </c>
      <c r="AB492" s="49">
        <f ca="1">AB439*KLL_II_2020!CA_NOC_WI</f>
        <v>0</v>
      </c>
      <c r="AC492" s="49">
        <f ca="1">AC439*KLL_II_2020!CA_NOC_WI</f>
        <v>0</v>
      </c>
      <c r="AD492" s="49">
        <f ca="1">AD439*KLL_II_2020!CA_NOC_WI</f>
        <v>0</v>
      </c>
      <c r="AE492" s="49">
        <f ca="1">AE439*KLL_II_2020!CA_NOC_WI</f>
        <v>0</v>
      </c>
      <c r="AF492" s="49">
        <f ca="1">AF439*KLL_II_2020!CA_NOC_WI</f>
        <v>0</v>
      </c>
      <c r="AG492" s="49">
        <f ca="1">AG439*KLL_II_2020!CA_NOC_WI</f>
        <v>0</v>
      </c>
      <c r="AH492" s="49">
        <f ca="1">AH439*KLL_II_2020!CA_NOC_WI</f>
        <v>0</v>
      </c>
      <c r="AI492" s="49">
        <f ca="1">AI439*KLL_II_2020!CA_NOC_WI</f>
        <v>0</v>
      </c>
      <c r="AJ492" s="49">
        <f ca="1">AJ439*KLL_II_2020!CA_NOC_WI</f>
        <v>0</v>
      </c>
      <c r="AK492" s="49">
        <f ca="1">AK439*KLL_II_2020!CA_NOC_WI</f>
        <v>0</v>
      </c>
      <c r="AL492" s="49">
        <f ca="1">AL439*KLL_II_2020!CA_NOC_WI</f>
        <v>0</v>
      </c>
      <c r="AM492" s="49">
        <f ca="1">AM439*KLL_II_2020!CA_NOC_WI</f>
        <v>0</v>
      </c>
      <c r="AN492" s="49">
        <f ca="1">AN439*KLL_II_2020!CA_NOC_WI</f>
        <v>0</v>
      </c>
      <c r="AO492" s="49">
        <f ca="1">AO439*KLL_II_2020!CA_NOC_WI</f>
        <v>0</v>
      </c>
      <c r="AP492" s="49">
        <f ca="1">AP439*KLL_II_2020!CA_NOC_WI</f>
        <v>0</v>
      </c>
      <c r="AQ492" s="49">
        <f ca="1">AQ439*KLL_II_2020!CA_NOC_WI</f>
        <v>0</v>
      </c>
      <c r="AR492" s="49">
        <f ca="1">AR439*KLL_II_2020!CA_NOC_WI</f>
        <v>0</v>
      </c>
      <c r="AS492" s="49">
        <f ca="1">AS439*KLL_II_2020!CA_NOC_WI</f>
        <v>0</v>
      </c>
      <c r="AT492" s="49">
        <f ca="1">AT439*KLL_II_2020!CA_NOC_WI</f>
        <v>0</v>
      </c>
      <c r="AU492" s="49">
        <f ca="1">AU439*KLL_II_2020!CA_NOC_WI</f>
        <v>0</v>
      </c>
      <c r="AV492" s="49">
        <f ca="1">AV439*KLL_II_2020!CA_NOC_WI</f>
        <v>0</v>
      </c>
      <c r="AW492" s="49">
        <f ca="1">AW439*KLL_II_2020!CA_NOC_WI</f>
        <v>0</v>
      </c>
      <c r="AX492" s="49">
        <f ca="1">AX439*KLL_II_2020!CA_NOC_WI</f>
        <v>0</v>
      </c>
      <c r="AY492" s="49">
        <f ca="1">AY439*KLL_II_2020!CA_NOC_WI</f>
        <v>0</v>
      </c>
      <c r="AZ492" s="49">
        <f ca="1">AZ439*KLL_II_2020!CA_NOC_WI</f>
        <v>0</v>
      </c>
      <c r="BA492" s="49">
        <f ca="1">BA439*KLL_II_2020!CA_NOC_WI</f>
        <v>0</v>
      </c>
      <c r="BB492" s="49">
        <f ca="1">BB439*KLL_II_2020!CA_NOC_WI</f>
        <v>0</v>
      </c>
      <c r="BC492" s="49">
        <f ca="1">BC439*KLL_II_2020!CA_NOC_WI</f>
        <v>0</v>
      </c>
      <c r="BD492" s="49">
        <f ca="1">BD439*KLL_II_2020!CA_NOC_WI</f>
        <v>0</v>
      </c>
      <c r="BE492" s="49">
        <f ca="1">BE439*KLL_II_2020!CA_NOC_WI</f>
        <v>0</v>
      </c>
      <c r="BF492" s="49">
        <f ca="1">BF439*KLL_II_2020!CA_NOC_WI</f>
        <v>0</v>
      </c>
      <c r="BG492" s="49">
        <f ca="1">BG439*KLL_II_2020!CA_NOC_WI</f>
        <v>0</v>
      </c>
      <c r="BH492" s="49">
        <f ca="1">BH439*KLL_II_2020!CA_NOC_WI</f>
        <v>0</v>
      </c>
      <c r="BI492" s="49">
        <f ca="1">BI439*KLL_II_2020!CA_NOC_WI</f>
        <v>0</v>
      </c>
      <c r="BJ492" s="49">
        <f ca="1">BJ439*KLL_II_2020!CA_NOC_WI</f>
        <v>0</v>
      </c>
      <c r="BK492" s="49">
        <f ca="1">BK439*KLL_II_2020!CA_NOC_WI</f>
        <v>0</v>
      </c>
      <c r="BL492" s="49">
        <f ca="1">BL439*KLL_II_2020!CA_NOC_WI</f>
        <v>0</v>
      </c>
      <c r="BM492" s="49">
        <f ca="1">BM439*KLL_II_2020!CA_NOC_WI</f>
        <v>0</v>
      </c>
      <c r="BN492" s="49">
        <f ca="1">BN439*KLL_II_2020!CA_NOC_WI</f>
        <v>0</v>
      </c>
      <c r="BO492" s="49">
        <f ca="1">BO439*KLL_II_2020!CA_NOC_WI</f>
        <v>0</v>
      </c>
      <c r="BP492" s="49">
        <f ca="1">BP439*KLL_II_2020!CA_NOC_WI</f>
        <v>0</v>
      </c>
      <c r="BQ492" s="49">
        <f ca="1">BQ439*KLL_II_2020!CA_NOC_WI</f>
        <v>0</v>
      </c>
      <c r="BR492" s="49">
        <f ca="1">BR439*KLL_II_2020!CA_NOC_WI</f>
        <v>0</v>
      </c>
      <c r="BS492" s="49">
        <f ca="1">BS439*KLL_II_2020!CA_NOC_WI</f>
        <v>0</v>
      </c>
    </row>
    <row r="493" spans="1:71" outlineLevel="1" x14ac:dyDescent="0.2">
      <c r="J493" s="26"/>
      <c r="L493" s="55"/>
      <c r="M493" s="55"/>
      <c r="N493" s="55"/>
      <c r="O493" s="55"/>
      <c r="P493" s="55"/>
      <c r="Q493" s="55"/>
      <c r="R493" s="55"/>
      <c r="S493" s="55"/>
      <c r="T493" s="55"/>
      <c r="U493" s="55"/>
      <c r="V493" s="55"/>
      <c r="W493" s="55"/>
      <c r="X493" s="55"/>
      <c r="Y493" s="55"/>
      <c r="Z493" s="55"/>
      <c r="AA493" s="55"/>
      <c r="AB493" s="55"/>
      <c r="AC493" s="55"/>
      <c r="AD493" s="55"/>
      <c r="AE493" s="55"/>
      <c r="AF493" s="55"/>
      <c r="AG493" s="55"/>
      <c r="AH493" s="55"/>
      <c r="AI493" s="55"/>
      <c r="AJ493" s="55"/>
      <c r="AK493" s="55"/>
      <c r="AL493" s="55"/>
      <c r="AM493" s="55"/>
      <c r="AN493" s="55"/>
      <c r="AO493" s="55"/>
      <c r="AP493" s="55"/>
      <c r="AQ493" s="55"/>
      <c r="AR493" s="55"/>
      <c r="AS493" s="55"/>
      <c r="AT493" s="55"/>
      <c r="AU493" s="55"/>
      <c r="AV493" s="55"/>
      <c r="AW493" s="55"/>
      <c r="AX493" s="55"/>
      <c r="AY493" s="55"/>
      <c r="AZ493" s="55"/>
      <c r="BA493" s="55"/>
      <c r="BB493" s="55"/>
      <c r="BC493" s="55"/>
      <c r="BD493" s="55"/>
      <c r="BE493" s="55"/>
      <c r="BF493" s="55"/>
      <c r="BG493" s="55"/>
      <c r="BH493" s="55"/>
      <c r="BI493" s="55"/>
      <c r="BJ493" s="55"/>
      <c r="BK493" s="55"/>
      <c r="BL493" s="55"/>
      <c r="BM493" s="55"/>
      <c r="BN493" s="55"/>
      <c r="BO493" s="55"/>
      <c r="BP493" s="55"/>
      <c r="BQ493" s="55"/>
      <c r="BR493" s="55"/>
      <c r="BS493" s="55"/>
    </row>
    <row r="494" spans="1:71" outlineLevel="1" x14ac:dyDescent="0.2">
      <c r="C494" s="11" t="str">
        <f>HM_ZB_Nsoko!C507</f>
        <v>Capex hors abandon</v>
      </c>
      <c r="I494" s="30">
        <f t="shared" ca="1" si="140"/>
        <v>0</v>
      </c>
      <c r="J494" s="26" t="s">
        <v>148</v>
      </c>
      <c r="L494" s="49">
        <f ca="1">L441*(KLL_II_2020!CA_NOC_WI)-(KLL_II_2020!CA_NOC_CI_devex+KLL_II_2020!CA_NOC_CI_expex)</f>
        <v>0</v>
      </c>
      <c r="M494" s="49">
        <f ca="1">M441*(KLL_II_2020!CA_NOC_WI)-(KLL_II_2020!CA_NOC_CI_devex+KLL_II_2020!CA_NOC_CI_expex)</f>
        <v>0</v>
      </c>
      <c r="N494" s="49">
        <f ca="1">N441*(KLL_II_2020!CA_NOC_WI)-(KLL_II_2020!CA_NOC_CI_devex+KLL_II_2020!CA_NOC_CI_expex)</f>
        <v>0</v>
      </c>
      <c r="O494" s="49">
        <f ca="1">O441*(KLL_II_2020!CA_NOC_WI)-(KLL_II_2020!CA_NOC_CI_devex+KLL_II_2020!CA_NOC_CI_expex)</f>
        <v>0</v>
      </c>
      <c r="P494" s="49">
        <f ca="1">P441*(KLL_II_2020!CA_NOC_WI)-(KLL_II_2020!CA_NOC_CI_devex+KLL_II_2020!CA_NOC_CI_expex)</f>
        <v>0</v>
      </c>
      <c r="Q494" s="49">
        <f ca="1">Q441*(KLL_II_2020!CA_NOC_WI)-(KLL_II_2020!CA_NOC_CI_devex+KLL_II_2020!CA_NOC_CI_expex)</f>
        <v>0</v>
      </c>
      <c r="R494" s="49">
        <f ca="1">R441*(KLL_II_2020!CA_NOC_WI)-(KLL_II_2020!CA_NOC_CI_devex+KLL_II_2020!CA_NOC_CI_expex)</f>
        <v>0</v>
      </c>
      <c r="S494" s="49">
        <f ca="1">S441*(KLL_II_2020!CA_NOC_WI)-(KLL_II_2020!CA_NOC_CI_devex+KLL_II_2020!CA_NOC_CI_expex)</f>
        <v>0</v>
      </c>
      <c r="T494" s="49">
        <f ca="1">T441*(KLL_II_2020!CA_NOC_WI)-(KLL_II_2020!CA_NOC_CI_devex+KLL_II_2020!CA_NOC_CI_expex)</f>
        <v>0</v>
      </c>
      <c r="U494" s="49">
        <f ca="1">U441*(KLL_II_2020!CA_NOC_WI)-(KLL_II_2020!CA_NOC_CI_devex+KLL_II_2020!CA_NOC_CI_expex)</f>
        <v>0</v>
      </c>
      <c r="V494" s="49">
        <f ca="1">V441*(KLL_II_2020!CA_NOC_WI)-(KLL_II_2020!CA_NOC_CI_devex+KLL_II_2020!CA_NOC_CI_expex)</f>
        <v>0</v>
      </c>
      <c r="W494" s="49">
        <f ca="1">W441*(KLL_II_2020!CA_NOC_WI)-(KLL_II_2020!CA_NOC_CI_devex+KLL_II_2020!CA_NOC_CI_expex)</f>
        <v>0</v>
      </c>
      <c r="X494" s="49">
        <f ca="1">X441*(KLL_II_2020!CA_NOC_WI)-(KLL_II_2020!CA_NOC_CI_devex+KLL_II_2020!CA_NOC_CI_expex)</f>
        <v>0</v>
      </c>
      <c r="Y494" s="49">
        <f ca="1">Y441*(KLL_II_2020!CA_NOC_WI)-(KLL_II_2020!CA_NOC_CI_devex+KLL_II_2020!CA_NOC_CI_expex)</f>
        <v>0</v>
      </c>
      <c r="Z494" s="49">
        <f ca="1">Z441*(KLL_II_2020!CA_NOC_WI)-(KLL_II_2020!CA_NOC_CI_devex+KLL_II_2020!CA_NOC_CI_expex)</f>
        <v>0</v>
      </c>
      <c r="AA494" s="49">
        <f ca="1">AA441*(KLL_II_2020!CA_NOC_WI)-(KLL_II_2020!CA_NOC_CI_devex+KLL_II_2020!CA_NOC_CI_expex)</f>
        <v>0</v>
      </c>
      <c r="AB494" s="49">
        <f ca="1">AB441*(KLL_II_2020!CA_NOC_WI)-(KLL_II_2020!CA_NOC_CI_devex+KLL_II_2020!CA_NOC_CI_expex)</f>
        <v>0</v>
      </c>
      <c r="AC494" s="49">
        <f ca="1">AC441*(KLL_II_2020!CA_NOC_WI)-(KLL_II_2020!CA_NOC_CI_devex+KLL_II_2020!CA_NOC_CI_expex)</f>
        <v>0</v>
      </c>
      <c r="AD494" s="49">
        <f ca="1">AD441*(KLL_II_2020!CA_NOC_WI)-(KLL_II_2020!CA_NOC_CI_devex+KLL_II_2020!CA_NOC_CI_expex)</f>
        <v>0</v>
      </c>
      <c r="AE494" s="49">
        <f ca="1">AE441*(KLL_II_2020!CA_NOC_WI)-(KLL_II_2020!CA_NOC_CI_devex+KLL_II_2020!CA_NOC_CI_expex)</f>
        <v>0</v>
      </c>
      <c r="AF494" s="49">
        <f ca="1">AF441*(KLL_II_2020!CA_NOC_WI)-(KLL_II_2020!CA_NOC_CI_devex+KLL_II_2020!CA_NOC_CI_expex)</f>
        <v>0</v>
      </c>
      <c r="AG494" s="49">
        <f ca="1">AG441*(KLL_II_2020!CA_NOC_WI)-(KLL_II_2020!CA_NOC_CI_devex+KLL_II_2020!CA_NOC_CI_expex)</f>
        <v>0</v>
      </c>
      <c r="AH494" s="49">
        <f ca="1">AH441*(KLL_II_2020!CA_NOC_WI)-(KLL_II_2020!CA_NOC_CI_devex+KLL_II_2020!CA_NOC_CI_expex)</f>
        <v>0</v>
      </c>
      <c r="AI494" s="49">
        <f ca="1">AI441*(KLL_II_2020!CA_NOC_WI)-(KLL_II_2020!CA_NOC_CI_devex+KLL_II_2020!CA_NOC_CI_expex)</f>
        <v>0</v>
      </c>
      <c r="AJ494" s="49">
        <f ca="1">AJ441*(KLL_II_2020!CA_NOC_WI)-(KLL_II_2020!CA_NOC_CI_devex+KLL_II_2020!CA_NOC_CI_expex)</f>
        <v>0</v>
      </c>
      <c r="AK494" s="49">
        <f ca="1">AK441*(KLL_II_2020!CA_NOC_WI)-(KLL_II_2020!CA_NOC_CI_devex+KLL_II_2020!CA_NOC_CI_expex)</f>
        <v>0</v>
      </c>
      <c r="AL494" s="49">
        <f ca="1">AL441*(KLL_II_2020!CA_NOC_WI)-(KLL_II_2020!CA_NOC_CI_devex+KLL_II_2020!CA_NOC_CI_expex)</f>
        <v>0</v>
      </c>
      <c r="AM494" s="49">
        <f ca="1">AM441*(KLL_II_2020!CA_NOC_WI)-(KLL_II_2020!CA_NOC_CI_devex+KLL_II_2020!CA_NOC_CI_expex)</f>
        <v>0</v>
      </c>
      <c r="AN494" s="49">
        <f ca="1">AN441*(KLL_II_2020!CA_NOC_WI)-(KLL_II_2020!CA_NOC_CI_devex+KLL_II_2020!CA_NOC_CI_expex)</f>
        <v>0</v>
      </c>
      <c r="AO494" s="49">
        <f ca="1">AO441*(KLL_II_2020!CA_NOC_WI)-(KLL_II_2020!CA_NOC_CI_devex+KLL_II_2020!CA_NOC_CI_expex)</f>
        <v>0</v>
      </c>
      <c r="AP494" s="49">
        <f ca="1">AP441*(KLL_II_2020!CA_NOC_WI)-(KLL_II_2020!CA_NOC_CI_devex+KLL_II_2020!CA_NOC_CI_expex)</f>
        <v>0</v>
      </c>
      <c r="AQ494" s="49">
        <f ca="1">AQ441*(KLL_II_2020!CA_NOC_WI)-(KLL_II_2020!CA_NOC_CI_devex+KLL_II_2020!CA_NOC_CI_expex)</f>
        <v>0</v>
      </c>
      <c r="AR494" s="49">
        <f ca="1">AR441*(KLL_II_2020!CA_NOC_WI)-(KLL_II_2020!CA_NOC_CI_devex+KLL_II_2020!CA_NOC_CI_expex)</f>
        <v>0</v>
      </c>
      <c r="AS494" s="49">
        <f ca="1">AS441*(KLL_II_2020!CA_NOC_WI)-(KLL_II_2020!CA_NOC_CI_devex+KLL_II_2020!CA_NOC_CI_expex)</f>
        <v>0</v>
      </c>
      <c r="AT494" s="49">
        <f ca="1">AT441*(KLL_II_2020!CA_NOC_WI)-(KLL_II_2020!CA_NOC_CI_devex+KLL_II_2020!CA_NOC_CI_expex)</f>
        <v>0</v>
      </c>
      <c r="AU494" s="49">
        <f ca="1">AU441*(KLL_II_2020!CA_NOC_WI)-(KLL_II_2020!CA_NOC_CI_devex+KLL_II_2020!CA_NOC_CI_expex)</f>
        <v>0</v>
      </c>
      <c r="AV494" s="49">
        <f ca="1">AV441*(KLL_II_2020!CA_NOC_WI)-(KLL_II_2020!CA_NOC_CI_devex+KLL_II_2020!CA_NOC_CI_expex)</f>
        <v>0</v>
      </c>
      <c r="AW494" s="49">
        <f ca="1">AW441*(KLL_II_2020!CA_NOC_WI)-(KLL_II_2020!CA_NOC_CI_devex+KLL_II_2020!CA_NOC_CI_expex)</f>
        <v>0</v>
      </c>
      <c r="AX494" s="49">
        <f ca="1">AX441*(KLL_II_2020!CA_NOC_WI)-(KLL_II_2020!CA_NOC_CI_devex+KLL_II_2020!CA_NOC_CI_expex)</f>
        <v>0</v>
      </c>
      <c r="AY494" s="49">
        <f ca="1">AY441*(KLL_II_2020!CA_NOC_WI)-(KLL_II_2020!CA_NOC_CI_devex+KLL_II_2020!CA_NOC_CI_expex)</f>
        <v>0</v>
      </c>
      <c r="AZ494" s="49">
        <f ca="1">AZ441*(KLL_II_2020!CA_NOC_WI)-(KLL_II_2020!CA_NOC_CI_devex+KLL_II_2020!CA_NOC_CI_expex)</f>
        <v>0</v>
      </c>
      <c r="BA494" s="49">
        <f ca="1">BA441*(KLL_II_2020!CA_NOC_WI)-(KLL_II_2020!CA_NOC_CI_devex+KLL_II_2020!CA_NOC_CI_expex)</f>
        <v>0</v>
      </c>
      <c r="BB494" s="49">
        <f ca="1">BB441*(KLL_II_2020!CA_NOC_WI)-(KLL_II_2020!CA_NOC_CI_devex+KLL_II_2020!CA_NOC_CI_expex)</f>
        <v>0</v>
      </c>
      <c r="BC494" s="49">
        <f ca="1">BC441*(KLL_II_2020!CA_NOC_WI)-(KLL_II_2020!CA_NOC_CI_devex+KLL_II_2020!CA_NOC_CI_expex)</f>
        <v>0</v>
      </c>
      <c r="BD494" s="49">
        <f ca="1">BD441*(KLL_II_2020!CA_NOC_WI)-(KLL_II_2020!CA_NOC_CI_devex+KLL_II_2020!CA_NOC_CI_expex)</f>
        <v>0</v>
      </c>
      <c r="BE494" s="49">
        <f ca="1">BE441*(KLL_II_2020!CA_NOC_WI)-(KLL_II_2020!CA_NOC_CI_devex+KLL_II_2020!CA_NOC_CI_expex)</f>
        <v>0</v>
      </c>
      <c r="BF494" s="49">
        <f ca="1">BF441*(KLL_II_2020!CA_NOC_WI)-(KLL_II_2020!CA_NOC_CI_devex+KLL_II_2020!CA_NOC_CI_expex)</f>
        <v>0</v>
      </c>
      <c r="BG494" s="49">
        <f ca="1">BG441*(KLL_II_2020!CA_NOC_WI)-(KLL_II_2020!CA_NOC_CI_devex+KLL_II_2020!CA_NOC_CI_expex)</f>
        <v>0</v>
      </c>
      <c r="BH494" s="49">
        <f ca="1">BH441*(KLL_II_2020!CA_NOC_WI)-(KLL_II_2020!CA_NOC_CI_devex+KLL_II_2020!CA_NOC_CI_expex)</f>
        <v>0</v>
      </c>
      <c r="BI494" s="49">
        <f ca="1">BI441*(KLL_II_2020!CA_NOC_WI)-(KLL_II_2020!CA_NOC_CI_devex+KLL_II_2020!CA_NOC_CI_expex)</f>
        <v>0</v>
      </c>
      <c r="BJ494" s="49">
        <f ca="1">BJ441*(KLL_II_2020!CA_NOC_WI)-(KLL_II_2020!CA_NOC_CI_devex+KLL_II_2020!CA_NOC_CI_expex)</f>
        <v>0</v>
      </c>
      <c r="BK494" s="49">
        <f ca="1">BK441*(KLL_II_2020!CA_NOC_WI)-(KLL_II_2020!CA_NOC_CI_devex+KLL_II_2020!CA_NOC_CI_expex)</f>
        <v>0</v>
      </c>
      <c r="BL494" s="49">
        <f ca="1">BL441*(KLL_II_2020!CA_NOC_WI)-(KLL_II_2020!CA_NOC_CI_devex+KLL_II_2020!CA_NOC_CI_expex)</f>
        <v>0</v>
      </c>
      <c r="BM494" s="49">
        <f ca="1">BM441*(KLL_II_2020!CA_NOC_WI)-(KLL_II_2020!CA_NOC_CI_devex+KLL_II_2020!CA_NOC_CI_expex)</f>
        <v>0</v>
      </c>
      <c r="BN494" s="49">
        <f ca="1">BN441*(KLL_II_2020!CA_NOC_WI)-(KLL_II_2020!CA_NOC_CI_devex+KLL_II_2020!CA_NOC_CI_expex)</f>
        <v>0</v>
      </c>
      <c r="BO494" s="49">
        <f ca="1">BO441*(KLL_II_2020!CA_NOC_WI)-(KLL_II_2020!CA_NOC_CI_devex+KLL_II_2020!CA_NOC_CI_expex)</f>
        <v>0</v>
      </c>
      <c r="BP494" s="49">
        <f ca="1">BP441*(KLL_II_2020!CA_NOC_WI)-(KLL_II_2020!CA_NOC_CI_devex+KLL_II_2020!CA_NOC_CI_expex)</f>
        <v>0</v>
      </c>
      <c r="BQ494" s="49">
        <f ca="1">BQ441*(KLL_II_2020!CA_NOC_WI)-(KLL_II_2020!CA_NOC_CI_devex+KLL_II_2020!CA_NOC_CI_expex)</f>
        <v>0</v>
      </c>
      <c r="BR494" s="49">
        <f ca="1">BR441*(KLL_II_2020!CA_NOC_WI)-(KLL_II_2020!CA_NOC_CI_devex+KLL_II_2020!CA_NOC_CI_expex)</f>
        <v>0</v>
      </c>
      <c r="BS494" s="49">
        <f ca="1">BS441*(KLL_II_2020!CA_NOC_WI)-(KLL_II_2020!CA_NOC_CI_devex+KLL_II_2020!CA_NOC_CI_expex)</f>
        <v>0</v>
      </c>
    </row>
    <row r="495" spans="1:71" outlineLevel="1" x14ac:dyDescent="0.2">
      <c r="J495" s="26"/>
      <c r="L495" s="55"/>
      <c r="M495" s="55"/>
      <c r="N495" s="55"/>
      <c r="O495" s="55"/>
      <c r="P495" s="55"/>
      <c r="Q495" s="55"/>
      <c r="R495" s="55"/>
      <c r="S495" s="55"/>
      <c r="T495" s="55"/>
      <c r="U495" s="55"/>
      <c r="V495" s="55"/>
      <c r="W495" s="55"/>
      <c r="X495" s="55"/>
      <c r="Y495" s="55"/>
      <c r="Z495" s="55"/>
      <c r="AA495" s="55"/>
      <c r="AB495" s="55"/>
      <c r="AC495" s="55"/>
      <c r="AD495" s="55"/>
      <c r="AE495" s="55"/>
      <c r="AF495" s="55"/>
      <c r="AG495" s="55"/>
      <c r="AH495" s="55"/>
      <c r="AI495" s="55"/>
      <c r="AJ495" s="55"/>
      <c r="AK495" s="55"/>
      <c r="AL495" s="55"/>
      <c r="AM495" s="55"/>
      <c r="AN495" s="55"/>
      <c r="AO495" s="55"/>
      <c r="AP495" s="55"/>
      <c r="AQ495" s="55"/>
      <c r="AR495" s="55"/>
      <c r="AS495" s="55"/>
      <c r="AT495" s="55"/>
      <c r="AU495" s="55"/>
      <c r="AV495" s="55"/>
      <c r="AW495" s="55"/>
      <c r="AX495" s="55"/>
      <c r="AY495" s="55"/>
      <c r="AZ495" s="55"/>
      <c r="BA495" s="55"/>
      <c r="BB495" s="55"/>
      <c r="BC495" s="55"/>
      <c r="BD495" s="55"/>
      <c r="BE495" s="55"/>
      <c r="BF495" s="55"/>
      <c r="BG495" s="55"/>
      <c r="BH495" s="55"/>
      <c r="BI495" s="55"/>
      <c r="BJ495" s="55"/>
      <c r="BK495" s="55"/>
      <c r="BL495" s="55"/>
      <c r="BM495" s="55"/>
      <c r="BN495" s="55"/>
      <c r="BO495" s="55"/>
      <c r="BP495" s="55"/>
      <c r="BQ495" s="55"/>
      <c r="BR495" s="55"/>
      <c r="BS495" s="55"/>
    </row>
    <row r="496" spans="1:71" outlineLevel="1" x14ac:dyDescent="0.2">
      <c r="C496" s="11" t="str">
        <f>HM_ZB_Nsoko!C509</f>
        <v>Abandon</v>
      </c>
      <c r="I496" s="30">
        <f t="shared" ca="1" si="140"/>
        <v>135.14240000000001</v>
      </c>
      <c r="J496" s="26" t="s">
        <v>148</v>
      </c>
      <c r="L496" s="49">
        <f ca="1">L443*KLL_II_2020!CA_NOC_WI</f>
        <v>5.6638000000000002</v>
      </c>
      <c r="M496" s="49">
        <f ca="1">M443*KLL_II_2020!CA_NOC_WI</f>
        <v>7.6642000000000001</v>
      </c>
      <c r="N496" s="49">
        <f ca="1">N443*KLL_II_2020!CA_NOC_WI</f>
        <v>10.246200000000002</v>
      </c>
      <c r="O496" s="49">
        <f ca="1">O443*KLL_II_2020!CA_NOC_WI</f>
        <v>20.2178</v>
      </c>
      <c r="P496" s="49">
        <f ca="1">P443*KLL_II_2020!CA_NOC_WI</f>
        <v>26.372000000000003</v>
      </c>
      <c r="Q496" s="49">
        <f ca="1">Q443*KLL_II_2020!CA_NOC_WI</f>
        <v>32.244999999999997</v>
      </c>
      <c r="R496" s="49">
        <f ca="1">R443*KLL_II_2020!CA_NOC_WI</f>
        <v>32.733400000000003</v>
      </c>
      <c r="S496" s="49">
        <f ca="1">S443*KLL_II_2020!CA_NOC_WI</f>
        <v>0</v>
      </c>
      <c r="T496" s="49">
        <f ca="1">T443*KLL_II_2020!CA_NOC_WI</f>
        <v>0</v>
      </c>
      <c r="U496" s="49">
        <f ca="1">U443*KLL_II_2020!CA_NOC_WI</f>
        <v>0</v>
      </c>
      <c r="V496" s="49">
        <f ca="1">V443*KLL_II_2020!CA_NOC_WI</f>
        <v>0</v>
      </c>
      <c r="W496" s="49">
        <f ca="1">W443*KLL_II_2020!CA_NOC_WI</f>
        <v>0</v>
      </c>
      <c r="X496" s="49">
        <f ca="1">X443*KLL_II_2020!CA_NOC_WI</f>
        <v>0</v>
      </c>
      <c r="Y496" s="49">
        <f ca="1">Y443*KLL_II_2020!CA_NOC_WI</f>
        <v>0</v>
      </c>
      <c r="Z496" s="49">
        <f ca="1">Z443*KLL_II_2020!CA_NOC_WI</f>
        <v>0</v>
      </c>
      <c r="AA496" s="49">
        <f ca="1">AA443*KLL_II_2020!CA_NOC_WI</f>
        <v>0</v>
      </c>
      <c r="AB496" s="49">
        <f ca="1">AB443*KLL_II_2020!CA_NOC_WI</f>
        <v>0</v>
      </c>
      <c r="AC496" s="49">
        <f ca="1">AC443*KLL_II_2020!CA_NOC_WI</f>
        <v>0</v>
      </c>
      <c r="AD496" s="49">
        <f ca="1">AD443*KLL_II_2020!CA_NOC_WI</f>
        <v>0</v>
      </c>
      <c r="AE496" s="49">
        <f ca="1">AE443*KLL_II_2020!CA_NOC_WI</f>
        <v>0</v>
      </c>
      <c r="AF496" s="49">
        <f ca="1">AF443*KLL_II_2020!CA_NOC_WI</f>
        <v>0</v>
      </c>
      <c r="AG496" s="49">
        <f ca="1">AG443*KLL_II_2020!CA_NOC_WI</f>
        <v>0</v>
      </c>
      <c r="AH496" s="49">
        <f ca="1">AH443*KLL_II_2020!CA_NOC_WI</f>
        <v>0</v>
      </c>
      <c r="AI496" s="49">
        <f ca="1">AI443*KLL_II_2020!CA_NOC_WI</f>
        <v>0</v>
      </c>
      <c r="AJ496" s="49">
        <f ca="1">AJ443*KLL_II_2020!CA_NOC_WI</f>
        <v>0</v>
      </c>
      <c r="AK496" s="49">
        <f ca="1">AK443*KLL_II_2020!CA_NOC_WI</f>
        <v>0</v>
      </c>
      <c r="AL496" s="49">
        <f ca="1">AL443*KLL_II_2020!CA_NOC_WI</f>
        <v>0</v>
      </c>
      <c r="AM496" s="49">
        <f ca="1">AM443*KLL_II_2020!CA_NOC_WI</f>
        <v>0</v>
      </c>
      <c r="AN496" s="49">
        <f ca="1">AN443*KLL_II_2020!CA_NOC_WI</f>
        <v>0</v>
      </c>
      <c r="AO496" s="49">
        <f ca="1">AO443*KLL_II_2020!CA_NOC_WI</f>
        <v>0</v>
      </c>
      <c r="AP496" s="49">
        <f ca="1">AP443*KLL_II_2020!CA_NOC_WI</f>
        <v>0</v>
      </c>
      <c r="AQ496" s="49">
        <f ca="1">AQ443*KLL_II_2020!CA_NOC_WI</f>
        <v>0</v>
      </c>
      <c r="AR496" s="49">
        <f ca="1">AR443*KLL_II_2020!CA_NOC_WI</f>
        <v>0</v>
      </c>
      <c r="AS496" s="49">
        <f ca="1">AS443*KLL_II_2020!CA_NOC_WI</f>
        <v>0</v>
      </c>
      <c r="AT496" s="49">
        <f ca="1">AT443*KLL_II_2020!CA_NOC_WI</f>
        <v>0</v>
      </c>
      <c r="AU496" s="49">
        <f ca="1">AU443*KLL_II_2020!CA_NOC_WI</f>
        <v>0</v>
      </c>
      <c r="AV496" s="49">
        <f ca="1">AV443*KLL_II_2020!CA_NOC_WI</f>
        <v>0</v>
      </c>
      <c r="AW496" s="49">
        <f ca="1">AW443*KLL_II_2020!CA_NOC_WI</f>
        <v>0</v>
      </c>
      <c r="AX496" s="49">
        <f ca="1">AX443*KLL_II_2020!CA_NOC_WI</f>
        <v>0</v>
      </c>
      <c r="AY496" s="49">
        <f ca="1">AY443*KLL_II_2020!CA_NOC_WI</f>
        <v>0</v>
      </c>
      <c r="AZ496" s="49">
        <f ca="1">AZ443*KLL_II_2020!CA_NOC_WI</f>
        <v>0</v>
      </c>
      <c r="BA496" s="49">
        <f ca="1">BA443*KLL_II_2020!CA_NOC_WI</f>
        <v>0</v>
      </c>
      <c r="BB496" s="49">
        <f ca="1">BB443*KLL_II_2020!CA_NOC_WI</f>
        <v>0</v>
      </c>
      <c r="BC496" s="49">
        <f ca="1">BC443*KLL_II_2020!CA_NOC_WI</f>
        <v>0</v>
      </c>
      <c r="BD496" s="49">
        <f ca="1">BD443*KLL_II_2020!CA_NOC_WI</f>
        <v>0</v>
      </c>
      <c r="BE496" s="49">
        <f ca="1">BE443*KLL_II_2020!CA_NOC_WI</f>
        <v>0</v>
      </c>
      <c r="BF496" s="49">
        <f ca="1">BF443*KLL_II_2020!CA_NOC_WI</f>
        <v>0</v>
      </c>
      <c r="BG496" s="49">
        <f ca="1">BG443*KLL_II_2020!CA_NOC_WI</f>
        <v>0</v>
      </c>
      <c r="BH496" s="49">
        <f ca="1">BH443*KLL_II_2020!CA_NOC_WI</f>
        <v>0</v>
      </c>
      <c r="BI496" s="49">
        <f ca="1">BI443*KLL_II_2020!CA_NOC_WI</f>
        <v>0</v>
      </c>
      <c r="BJ496" s="49">
        <f ca="1">BJ443*KLL_II_2020!CA_NOC_WI</f>
        <v>0</v>
      </c>
      <c r="BK496" s="49">
        <f ca="1">BK443*KLL_II_2020!CA_NOC_WI</f>
        <v>0</v>
      </c>
      <c r="BL496" s="49">
        <f ca="1">BL443*KLL_II_2020!CA_NOC_WI</f>
        <v>0</v>
      </c>
      <c r="BM496" s="49">
        <f ca="1">BM443*KLL_II_2020!CA_NOC_WI</f>
        <v>0</v>
      </c>
      <c r="BN496" s="49">
        <f ca="1">BN443*KLL_II_2020!CA_NOC_WI</f>
        <v>0</v>
      </c>
      <c r="BO496" s="49">
        <f ca="1">BO443*KLL_II_2020!CA_NOC_WI</f>
        <v>0</v>
      </c>
      <c r="BP496" s="49">
        <f ca="1">BP443*KLL_II_2020!CA_NOC_WI</f>
        <v>0</v>
      </c>
      <c r="BQ496" s="49">
        <f ca="1">BQ443*KLL_II_2020!CA_NOC_WI</f>
        <v>0</v>
      </c>
      <c r="BR496" s="49">
        <f ca="1">BR443*KLL_II_2020!CA_NOC_WI</f>
        <v>0</v>
      </c>
      <c r="BS496" s="49">
        <f ca="1">BS443*KLL_II_2020!CA_NOC_WI</f>
        <v>0</v>
      </c>
    </row>
    <row r="497" spans="3:71" outlineLevel="1" x14ac:dyDescent="0.2">
      <c r="J497" s="26"/>
      <c r="L497" s="55"/>
      <c r="M497" s="55"/>
      <c r="N497" s="55"/>
      <c r="O497" s="55"/>
      <c r="P497" s="55"/>
      <c r="Q497" s="55"/>
      <c r="R497" s="55"/>
      <c r="S497" s="55"/>
      <c r="T497" s="55"/>
      <c r="U497" s="55"/>
      <c r="V497" s="55"/>
      <c r="W497" s="55"/>
      <c r="X497" s="55"/>
      <c r="Y497" s="55"/>
      <c r="Z497" s="55"/>
      <c r="AA497" s="55"/>
      <c r="AB497" s="55"/>
      <c r="AC497" s="55"/>
      <c r="AD497" s="55"/>
      <c r="AE497" s="55"/>
      <c r="AF497" s="55"/>
      <c r="AG497" s="55"/>
      <c r="AH497" s="55"/>
      <c r="AI497" s="55"/>
      <c r="AJ497" s="55"/>
      <c r="AK497" s="55"/>
      <c r="AL497" s="55"/>
      <c r="AM497" s="55"/>
      <c r="AN497" s="55"/>
      <c r="AO497" s="55"/>
      <c r="AP497" s="55"/>
      <c r="AQ497" s="55"/>
      <c r="AR497" s="55"/>
      <c r="AS497" s="55"/>
      <c r="AT497" s="55"/>
      <c r="AU497" s="55"/>
      <c r="AV497" s="55"/>
      <c r="AW497" s="55"/>
      <c r="AX497" s="55"/>
      <c r="AY497" s="55"/>
      <c r="AZ497" s="55"/>
      <c r="BA497" s="55"/>
      <c r="BB497" s="55"/>
      <c r="BC497" s="55"/>
      <c r="BD497" s="55"/>
      <c r="BE497" s="55"/>
      <c r="BF497" s="55"/>
      <c r="BG497" s="55"/>
      <c r="BH497" s="55"/>
      <c r="BI497" s="55"/>
      <c r="BJ497" s="55"/>
      <c r="BK497" s="55"/>
      <c r="BL497" s="55"/>
      <c r="BM497" s="55"/>
      <c r="BN497" s="55"/>
      <c r="BO497" s="55"/>
      <c r="BP497" s="55"/>
      <c r="BQ497" s="55"/>
      <c r="BR497" s="55"/>
      <c r="BS497" s="55"/>
    </row>
    <row r="498" spans="3:71" outlineLevel="1" x14ac:dyDescent="0.2">
      <c r="C498" s="11" t="str">
        <f>HM_ZB_Nsoko!C511</f>
        <v>Impôt sur le revenu</v>
      </c>
      <c r="I498" s="30">
        <f t="shared" ca="1" si="140"/>
        <v>0</v>
      </c>
      <c r="J498" s="26" t="s">
        <v>148</v>
      </c>
      <c r="L498" s="49">
        <f ca="1">L445*KLL_II_2020!CA_NOC_WI</f>
        <v>0</v>
      </c>
      <c r="M498" s="49">
        <f ca="1">M445*KLL_II_2020!CA_NOC_WI</f>
        <v>0</v>
      </c>
      <c r="N498" s="49">
        <f ca="1">N445*KLL_II_2020!CA_NOC_WI</f>
        <v>0</v>
      </c>
      <c r="O498" s="49">
        <f ca="1">O445*KLL_II_2020!CA_NOC_WI</f>
        <v>0</v>
      </c>
      <c r="P498" s="49">
        <f ca="1">P445*KLL_II_2020!CA_NOC_WI</f>
        <v>0</v>
      </c>
      <c r="Q498" s="49">
        <f ca="1">Q445*KLL_II_2020!CA_NOC_WI</f>
        <v>0</v>
      </c>
      <c r="R498" s="49">
        <f ca="1">R445*KLL_II_2020!CA_NOC_WI</f>
        <v>0</v>
      </c>
      <c r="S498" s="49">
        <f ca="1">S445*KLL_II_2020!CA_NOC_WI</f>
        <v>0</v>
      </c>
      <c r="T498" s="49">
        <f ca="1">T445*KLL_II_2020!CA_NOC_WI</f>
        <v>0</v>
      </c>
      <c r="U498" s="49">
        <f ca="1">U445*KLL_II_2020!CA_NOC_WI</f>
        <v>0</v>
      </c>
      <c r="V498" s="49">
        <f ca="1">V445*KLL_II_2020!CA_NOC_WI</f>
        <v>0</v>
      </c>
      <c r="W498" s="49">
        <f ca="1">W445*KLL_II_2020!CA_NOC_WI</f>
        <v>0</v>
      </c>
      <c r="X498" s="49">
        <f ca="1">X445*KLL_II_2020!CA_NOC_WI</f>
        <v>0</v>
      </c>
      <c r="Y498" s="49">
        <f ca="1">Y445*KLL_II_2020!CA_NOC_WI</f>
        <v>0</v>
      </c>
      <c r="Z498" s="49">
        <f ca="1">Z445*KLL_II_2020!CA_NOC_WI</f>
        <v>0</v>
      </c>
      <c r="AA498" s="49">
        <f ca="1">AA445*KLL_II_2020!CA_NOC_WI</f>
        <v>0</v>
      </c>
      <c r="AB498" s="49">
        <f ca="1">AB445*KLL_II_2020!CA_NOC_WI</f>
        <v>0</v>
      </c>
      <c r="AC498" s="49">
        <f ca="1">AC445*KLL_II_2020!CA_NOC_WI</f>
        <v>0</v>
      </c>
      <c r="AD498" s="49">
        <f ca="1">AD445*KLL_II_2020!CA_NOC_WI</f>
        <v>0</v>
      </c>
      <c r="AE498" s="49">
        <f ca="1">AE445*KLL_II_2020!CA_NOC_WI</f>
        <v>0</v>
      </c>
      <c r="AF498" s="49">
        <f ca="1">AF445*KLL_II_2020!CA_NOC_WI</f>
        <v>0</v>
      </c>
      <c r="AG498" s="49">
        <f ca="1">AG445*KLL_II_2020!CA_NOC_WI</f>
        <v>0</v>
      </c>
      <c r="AH498" s="49">
        <f ca="1">AH445*KLL_II_2020!CA_NOC_WI</f>
        <v>0</v>
      </c>
      <c r="AI498" s="49">
        <f ca="1">AI445*KLL_II_2020!CA_NOC_WI</f>
        <v>0</v>
      </c>
      <c r="AJ498" s="49">
        <f ca="1">AJ445*KLL_II_2020!CA_NOC_WI</f>
        <v>0</v>
      </c>
      <c r="AK498" s="49">
        <f ca="1">AK445*KLL_II_2020!CA_NOC_WI</f>
        <v>0</v>
      </c>
      <c r="AL498" s="49">
        <f ca="1">AL445*KLL_II_2020!CA_NOC_WI</f>
        <v>0</v>
      </c>
      <c r="AM498" s="49">
        <f ca="1">AM445*KLL_II_2020!CA_NOC_WI</f>
        <v>0</v>
      </c>
      <c r="AN498" s="49">
        <f ca="1">AN445*KLL_II_2020!CA_NOC_WI</f>
        <v>0</v>
      </c>
      <c r="AO498" s="49">
        <f ca="1">AO445*KLL_II_2020!CA_NOC_WI</f>
        <v>0</v>
      </c>
      <c r="AP498" s="49">
        <f ca="1">AP445*KLL_II_2020!CA_NOC_WI</f>
        <v>0</v>
      </c>
      <c r="AQ498" s="49">
        <f ca="1">AQ445*KLL_II_2020!CA_NOC_WI</f>
        <v>0</v>
      </c>
      <c r="AR498" s="49">
        <f ca="1">AR445*KLL_II_2020!CA_NOC_WI</f>
        <v>0</v>
      </c>
      <c r="AS498" s="49">
        <f ca="1">AS445*KLL_II_2020!CA_NOC_WI</f>
        <v>0</v>
      </c>
      <c r="AT498" s="49">
        <f ca="1">AT445*KLL_II_2020!CA_NOC_WI</f>
        <v>0</v>
      </c>
      <c r="AU498" s="49">
        <f ca="1">AU445*KLL_II_2020!CA_NOC_WI</f>
        <v>0</v>
      </c>
      <c r="AV498" s="49">
        <f ca="1">AV445*KLL_II_2020!CA_NOC_WI</f>
        <v>0</v>
      </c>
      <c r="AW498" s="49">
        <f ca="1">AW445*KLL_II_2020!CA_NOC_WI</f>
        <v>0</v>
      </c>
      <c r="AX498" s="49">
        <f ca="1">AX445*KLL_II_2020!CA_NOC_WI</f>
        <v>0</v>
      </c>
      <c r="AY498" s="49">
        <f ca="1">AY445*KLL_II_2020!CA_NOC_WI</f>
        <v>0</v>
      </c>
      <c r="AZ498" s="49">
        <f ca="1">AZ445*KLL_II_2020!CA_NOC_WI</f>
        <v>0</v>
      </c>
      <c r="BA498" s="49">
        <f ca="1">BA445*KLL_II_2020!CA_NOC_WI</f>
        <v>0</v>
      </c>
      <c r="BB498" s="49">
        <f ca="1">BB445*KLL_II_2020!CA_NOC_WI</f>
        <v>0</v>
      </c>
      <c r="BC498" s="49">
        <f ca="1">BC445*KLL_II_2020!CA_NOC_WI</f>
        <v>0</v>
      </c>
      <c r="BD498" s="49">
        <f ca="1">BD445*KLL_II_2020!CA_NOC_WI</f>
        <v>0</v>
      </c>
      <c r="BE498" s="49">
        <f ca="1">BE445*KLL_II_2020!CA_NOC_WI</f>
        <v>0</v>
      </c>
      <c r="BF498" s="49">
        <f ca="1">BF445*KLL_II_2020!CA_NOC_WI</f>
        <v>0</v>
      </c>
      <c r="BG498" s="49">
        <f ca="1">BG445*KLL_II_2020!CA_NOC_WI</f>
        <v>0</v>
      </c>
      <c r="BH498" s="49">
        <f ca="1">BH445*KLL_II_2020!CA_NOC_WI</f>
        <v>0</v>
      </c>
      <c r="BI498" s="49">
        <f ca="1">BI445*KLL_II_2020!CA_NOC_WI</f>
        <v>0</v>
      </c>
      <c r="BJ498" s="49">
        <f ca="1">BJ445*KLL_II_2020!CA_NOC_WI</f>
        <v>0</v>
      </c>
      <c r="BK498" s="49">
        <f ca="1">BK445*KLL_II_2020!CA_NOC_WI</f>
        <v>0</v>
      </c>
      <c r="BL498" s="49">
        <f ca="1">BL445*KLL_II_2020!CA_NOC_WI</f>
        <v>0</v>
      </c>
      <c r="BM498" s="49">
        <f ca="1">BM445*KLL_II_2020!CA_NOC_WI</f>
        <v>0</v>
      </c>
      <c r="BN498" s="49">
        <f ca="1">BN445*KLL_II_2020!CA_NOC_WI</f>
        <v>0</v>
      </c>
      <c r="BO498" s="49">
        <f ca="1">BO445*KLL_II_2020!CA_NOC_WI</f>
        <v>0</v>
      </c>
      <c r="BP498" s="49">
        <f ca="1">BP445*KLL_II_2020!CA_NOC_WI</f>
        <v>0</v>
      </c>
      <c r="BQ498" s="49">
        <f ca="1">BQ445*KLL_II_2020!CA_NOC_WI</f>
        <v>0</v>
      </c>
      <c r="BR498" s="49">
        <f ca="1">BR445*KLL_II_2020!CA_NOC_WI</f>
        <v>0</v>
      </c>
      <c r="BS498" s="49">
        <f ca="1">BS445*KLL_II_2020!CA_NOC_WI</f>
        <v>0</v>
      </c>
    </row>
    <row r="499" spans="3:71" outlineLevel="1" x14ac:dyDescent="0.2">
      <c r="J499" s="26"/>
      <c r="L499" s="55"/>
      <c r="M499" s="55"/>
      <c r="N499" s="55"/>
      <c r="O499" s="55"/>
      <c r="P499" s="55"/>
      <c r="Q499" s="55"/>
      <c r="R499" s="55"/>
      <c r="S499" s="55"/>
      <c r="T499" s="55"/>
      <c r="U499" s="55"/>
      <c r="V499" s="55"/>
      <c r="W499" s="55"/>
      <c r="X499" s="55"/>
      <c r="Y499" s="55"/>
      <c r="Z499" s="55"/>
      <c r="AA499" s="55"/>
      <c r="AB499" s="55"/>
      <c r="AC499" s="55"/>
      <c r="AD499" s="55"/>
      <c r="AE499" s="55"/>
      <c r="AF499" s="55"/>
      <c r="AG499" s="55"/>
      <c r="AH499" s="55"/>
      <c r="AI499" s="55"/>
      <c r="AJ499" s="55"/>
      <c r="AK499" s="55"/>
      <c r="AL499" s="55"/>
      <c r="AM499" s="55"/>
      <c r="AN499" s="55"/>
      <c r="AO499" s="55"/>
      <c r="AP499" s="55"/>
      <c r="AQ499" s="55"/>
      <c r="AR499" s="55"/>
      <c r="AS499" s="55"/>
      <c r="AT499" s="55"/>
      <c r="AU499" s="55"/>
      <c r="AV499" s="55"/>
      <c r="AW499" s="55"/>
      <c r="AX499" s="55"/>
      <c r="AY499" s="55"/>
      <c r="AZ499" s="55"/>
      <c r="BA499" s="55"/>
      <c r="BB499" s="55"/>
      <c r="BC499" s="55"/>
      <c r="BD499" s="55"/>
      <c r="BE499" s="55"/>
      <c r="BF499" s="55"/>
      <c r="BG499" s="55"/>
      <c r="BH499" s="55"/>
      <c r="BI499" s="55"/>
      <c r="BJ499" s="55"/>
      <c r="BK499" s="55"/>
      <c r="BL499" s="55"/>
      <c r="BM499" s="55"/>
      <c r="BN499" s="55"/>
      <c r="BO499" s="55"/>
      <c r="BP499" s="55"/>
      <c r="BQ499" s="55"/>
      <c r="BR499" s="55"/>
      <c r="BS499" s="55"/>
    </row>
    <row r="500" spans="3:71" outlineLevel="1" x14ac:dyDescent="0.2">
      <c r="C500" s="11" t="str">
        <f>HM_ZB_Nsoko!C513</f>
        <v>Impôts supplémentaires</v>
      </c>
      <c r="I500" s="30">
        <f t="shared" ca="1" si="140"/>
        <v>0</v>
      </c>
      <c r="J500" s="26" t="s">
        <v>148</v>
      </c>
      <c r="L500" s="49">
        <f ca="1">L447*KLL_II_2020!CA_NOC_WI</f>
        <v>0</v>
      </c>
      <c r="M500" s="49">
        <f ca="1">M447*KLL_II_2020!CA_NOC_WI</f>
        <v>0</v>
      </c>
      <c r="N500" s="49">
        <f ca="1">N447*KLL_II_2020!CA_NOC_WI</f>
        <v>0</v>
      </c>
      <c r="O500" s="49">
        <f ca="1">O447*KLL_II_2020!CA_NOC_WI</f>
        <v>0</v>
      </c>
      <c r="P500" s="49">
        <f ca="1">P447*KLL_II_2020!CA_NOC_WI</f>
        <v>0</v>
      </c>
      <c r="Q500" s="49">
        <f ca="1">Q447*KLL_II_2020!CA_NOC_WI</f>
        <v>0</v>
      </c>
      <c r="R500" s="49">
        <f ca="1">R447*KLL_II_2020!CA_NOC_WI</f>
        <v>0</v>
      </c>
      <c r="S500" s="49">
        <f ca="1">S447*KLL_II_2020!CA_NOC_WI</f>
        <v>0</v>
      </c>
      <c r="T500" s="49">
        <f ca="1">T447*KLL_II_2020!CA_NOC_WI</f>
        <v>0</v>
      </c>
      <c r="U500" s="49">
        <f ca="1">U447*KLL_II_2020!CA_NOC_WI</f>
        <v>0</v>
      </c>
      <c r="V500" s="49">
        <f ca="1">V447*KLL_II_2020!CA_NOC_WI</f>
        <v>0</v>
      </c>
      <c r="W500" s="49">
        <f ca="1">W447*KLL_II_2020!CA_NOC_WI</f>
        <v>0</v>
      </c>
      <c r="X500" s="49">
        <f ca="1">X447*KLL_II_2020!CA_NOC_WI</f>
        <v>0</v>
      </c>
      <c r="Y500" s="49">
        <f ca="1">Y447*KLL_II_2020!CA_NOC_WI</f>
        <v>0</v>
      </c>
      <c r="Z500" s="49">
        <f ca="1">Z447*KLL_II_2020!CA_NOC_WI</f>
        <v>0</v>
      </c>
      <c r="AA500" s="49">
        <f ca="1">AA447*KLL_II_2020!CA_NOC_WI</f>
        <v>0</v>
      </c>
      <c r="AB500" s="49">
        <f ca="1">AB447*KLL_II_2020!CA_NOC_WI</f>
        <v>0</v>
      </c>
      <c r="AC500" s="49">
        <f ca="1">AC447*KLL_II_2020!CA_NOC_WI</f>
        <v>0</v>
      </c>
      <c r="AD500" s="49">
        <f ca="1">AD447*KLL_II_2020!CA_NOC_WI</f>
        <v>0</v>
      </c>
      <c r="AE500" s="49">
        <f ca="1">AE447*KLL_II_2020!CA_NOC_WI</f>
        <v>0</v>
      </c>
      <c r="AF500" s="49">
        <f ca="1">AF447*KLL_II_2020!CA_NOC_WI</f>
        <v>0</v>
      </c>
      <c r="AG500" s="49">
        <f ca="1">AG447*KLL_II_2020!CA_NOC_WI</f>
        <v>0</v>
      </c>
      <c r="AH500" s="49">
        <f ca="1">AH447*KLL_II_2020!CA_NOC_WI</f>
        <v>0</v>
      </c>
      <c r="AI500" s="49">
        <f ca="1">AI447*KLL_II_2020!CA_NOC_WI</f>
        <v>0</v>
      </c>
      <c r="AJ500" s="49">
        <f ca="1">AJ447*KLL_II_2020!CA_NOC_WI</f>
        <v>0</v>
      </c>
      <c r="AK500" s="49">
        <f ca="1">AK447*KLL_II_2020!CA_NOC_WI</f>
        <v>0</v>
      </c>
      <c r="AL500" s="49">
        <f ca="1">AL447*KLL_II_2020!CA_NOC_WI</f>
        <v>0</v>
      </c>
      <c r="AM500" s="49">
        <f ca="1">AM447*KLL_II_2020!CA_NOC_WI</f>
        <v>0</v>
      </c>
      <c r="AN500" s="49">
        <f ca="1">AN447*KLL_II_2020!CA_NOC_WI</f>
        <v>0</v>
      </c>
      <c r="AO500" s="49">
        <f ca="1">AO447*KLL_II_2020!CA_NOC_WI</f>
        <v>0</v>
      </c>
      <c r="AP500" s="49">
        <f ca="1">AP447*KLL_II_2020!CA_NOC_WI</f>
        <v>0</v>
      </c>
      <c r="AQ500" s="49">
        <f ca="1">AQ447*KLL_II_2020!CA_NOC_WI</f>
        <v>0</v>
      </c>
      <c r="AR500" s="49">
        <f ca="1">AR447*KLL_II_2020!CA_NOC_WI</f>
        <v>0</v>
      </c>
      <c r="AS500" s="49">
        <f ca="1">AS447*KLL_II_2020!CA_NOC_WI</f>
        <v>0</v>
      </c>
      <c r="AT500" s="49">
        <f ca="1">AT447*KLL_II_2020!CA_NOC_WI</f>
        <v>0</v>
      </c>
      <c r="AU500" s="49">
        <f ca="1">AU447*KLL_II_2020!CA_NOC_WI</f>
        <v>0</v>
      </c>
      <c r="AV500" s="49">
        <f ca="1">AV447*KLL_II_2020!CA_NOC_WI</f>
        <v>0</v>
      </c>
      <c r="AW500" s="49">
        <f ca="1">AW447*KLL_II_2020!CA_NOC_WI</f>
        <v>0</v>
      </c>
      <c r="AX500" s="49">
        <f ca="1">AX447*KLL_II_2020!CA_NOC_WI</f>
        <v>0</v>
      </c>
      <c r="AY500" s="49">
        <f ca="1">AY447*KLL_II_2020!CA_NOC_WI</f>
        <v>0</v>
      </c>
      <c r="AZ500" s="49">
        <f ca="1">AZ447*KLL_II_2020!CA_NOC_WI</f>
        <v>0</v>
      </c>
      <c r="BA500" s="49">
        <f ca="1">BA447*KLL_II_2020!CA_NOC_WI</f>
        <v>0</v>
      </c>
      <c r="BB500" s="49">
        <f ca="1">BB447*KLL_II_2020!CA_NOC_WI</f>
        <v>0</v>
      </c>
      <c r="BC500" s="49">
        <f ca="1">BC447*KLL_II_2020!CA_NOC_WI</f>
        <v>0</v>
      </c>
      <c r="BD500" s="49">
        <f ca="1">BD447*KLL_II_2020!CA_NOC_WI</f>
        <v>0</v>
      </c>
      <c r="BE500" s="49">
        <f ca="1">BE447*KLL_II_2020!CA_NOC_WI</f>
        <v>0</v>
      </c>
      <c r="BF500" s="49">
        <f ca="1">BF447*KLL_II_2020!CA_NOC_WI</f>
        <v>0</v>
      </c>
      <c r="BG500" s="49">
        <f ca="1">BG447*KLL_II_2020!CA_NOC_WI</f>
        <v>0</v>
      </c>
      <c r="BH500" s="49">
        <f ca="1">BH447*KLL_II_2020!CA_NOC_WI</f>
        <v>0</v>
      </c>
      <c r="BI500" s="49">
        <f ca="1">BI447*KLL_II_2020!CA_NOC_WI</f>
        <v>0</v>
      </c>
      <c r="BJ500" s="49">
        <f ca="1">BJ447*KLL_II_2020!CA_NOC_WI</f>
        <v>0</v>
      </c>
      <c r="BK500" s="49">
        <f ca="1">BK447*KLL_II_2020!CA_NOC_WI</f>
        <v>0</v>
      </c>
      <c r="BL500" s="49">
        <f ca="1">BL447*KLL_II_2020!CA_NOC_WI</f>
        <v>0</v>
      </c>
      <c r="BM500" s="49">
        <f ca="1">BM447*KLL_II_2020!CA_NOC_WI</f>
        <v>0</v>
      </c>
      <c r="BN500" s="49">
        <f ca="1">BN447*KLL_II_2020!CA_NOC_WI</f>
        <v>0</v>
      </c>
      <c r="BO500" s="49">
        <f ca="1">BO447*KLL_II_2020!CA_NOC_WI</f>
        <v>0</v>
      </c>
      <c r="BP500" s="49">
        <f ca="1">BP447*KLL_II_2020!CA_NOC_WI</f>
        <v>0</v>
      </c>
      <c r="BQ500" s="49">
        <f ca="1">BQ447*KLL_II_2020!CA_NOC_WI</f>
        <v>0</v>
      </c>
      <c r="BR500" s="49">
        <f ca="1">BR447*KLL_II_2020!CA_NOC_WI</f>
        <v>0</v>
      </c>
      <c r="BS500" s="49">
        <f ca="1">BS447*KLL_II_2020!CA_NOC_WI</f>
        <v>0</v>
      </c>
    </row>
    <row r="501" spans="3:71" outlineLevel="1" x14ac:dyDescent="0.2">
      <c r="J501" s="26"/>
      <c r="L501" s="55"/>
      <c r="M501" s="55"/>
      <c r="N501" s="55"/>
      <c r="O501" s="55"/>
      <c r="P501" s="55"/>
      <c r="Q501" s="55"/>
      <c r="R501" s="55"/>
      <c r="S501" s="55"/>
      <c r="T501" s="55"/>
      <c r="U501" s="55"/>
      <c r="V501" s="55"/>
      <c r="W501" s="55"/>
      <c r="X501" s="55"/>
      <c r="Y501" s="55"/>
      <c r="Z501" s="55"/>
      <c r="AA501" s="55"/>
      <c r="AB501" s="55"/>
      <c r="AC501" s="55"/>
      <c r="AD501" s="55"/>
      <c r="AE501" s="55"/>
      <c r="AF501" s="55"/>
      <c r="AG501" s="55"/>
      <c r="AH501" s="55"/>
      <c r="AI501" s="55"/>
      <c r="AJ501" s="55"/>
      <c r="AK501" s="55"/>
      <c r="AL501" s="55"/>
      <c r="AM501" s="55"/>
      <c r="AN501" s="55"/>
      <c r="AO501" s="55"/>
      <c r="AP501" s="55"/>
      <c r="AQ501" s="55"/>
      <c r="AR501" s="55"/>
      <c r="AS501" s="55"/>
      <c r="AT501" s="55"/>
      <c r="AU501" s="55"/>
      <c r="AV501" s="55"/>
      <c r="AW501" s="55"/>
      <c r="AX501" s="55"/>
      <c r="AY501" s="55"/>
      <c r="AZ501" s="55"/>
      <c r="BA501" s="55"/>
      <c r="BB501" s="55"/>
      <c r="BC501" s="55"/>
      <c r="BD501" s="55"/>
      <c r="BE501" s="55"/>
      <c r="BF501" s="55"/>
      <c r="BG501" s="55"/>
      <c r="BH501" s="55"/>
      <c r="BI501" s="55"/>
      <c r="BJ501" s="55"/>
      <c r="BK501" s="55"/>
      <c r="BL501" s="55"/>
      <c r="BM501" s="55"/>
      <c r="BN501" s="55"/>
      <c r="BO501" s="55"/>
      <c r="BP501" s="55"/>
      <c r="BQ501" s="55"/>
      <c r="BR501" s="55"/>
      <c r="BS501" s="55"/>
    </row>
    <row r="502" spans="3:71" outlineLevel="1" x14ac:dyDescent="0.2">
      <c r="C502" s="11" t="str">
        <f>HM_ZB_Nsoko!C515</f>
        <v>Flux de trésorerie après impôts</v>
      </c>
      <c r="F502" s="64" t="b">
        <f ca="1">ROUND(I502+I468-I449,2)=0</f>
        <v>1</v>
      </c>
      <c r="H502" s="7" t="s">
        <v>524</v>
      </c>
      <c r="I502" s="30">
        <f t="shared" ca="1" si="140"/>
        <v>89.706712997933224</v>
      </c>
      <c r="J502" s="26" t="s">
        <v>148</v>
      </c>
      <c r="K502" s="7" t="s">
        <v>393</v>
      </c>
      <c r="L502" s="49">
        <f ca="1">L486-L488-L490-L492-L494-L496-L498-L500</f>
        <v>14.232765103500308</v>
      </c>
      <c r="M502" s="49">
        <f t="shared" ref="M502:BS502" ca="1" si="141">M486-M488-M490-M492-M494-M496-M498-M500</f>
        <v>-6.9072383644368944</v>
      </c>
      <c r="N502" s="49">
        <f t="shared" ca="1" si="141"/>
        <v>-2.9758789885431813</v>
      </c>
      <c r="O502" s="49">
        <f t="shared" ca="1" si="141"/>
        <v>-27.14128299516387</v>
      </c>
      <c r="P502" s="49">
        <f t="shared" ca="1" si="141"/>
        <v>-13.974301022906399</v>
      </c>
      <c r="Q502" s="49">
        <f t="shared" ca="1" si="141"/>
        <v>-10.012181939154491</v>
      </c>
      <c r="R502" s="49">
        <f t="shared" ca="1" si="141"/>
        <v>-1.4557504395099805</v>
      </c>
      <c r="S502" s="49">
        <f t="shared" ca="1" si="141"/>
        <v>17.672770250999999</v>
      </c>
      <c r="T502" s="49">
        <f t="shared" ca="1" si="141"/>
        <v>27.45169943913983</v>
      </c>
      <c r="U502" s="49">
        <f t="shared" ca="1" si="141"/>
        <v>26.251125606541436</v>
      </c>
      <c r="V502" s="49">
        <f t="shared" ca="1" si="141"/>
        <v>24.1527297503652</v>
      </c>
      <c r="W502" s="49">
        <f t="shared" ca="1" si="141"/>
        <v>22.156123828396421</v>
      </c>
      <c r="X502" s="49">
        <f t="shared" ca="1" si="141"/>
        <v>20.256132768704848</v>
      </c>
      <c r="Y502" s="49">
        <f t="shared" ca="1" si="141"/>
        <v>0</v>
      </c>
      <c r="Z502" s="49">
        <f t="shared" ca="1" si="141"/>
        <v>0</v>
      </c>
      <c r="AA502" s="49">
        <f t="shared" ca="1" si="141"/>
        <v>0</v>
      </c>
      <c r="AB502" s="49">
        <f t="shared" ca="1" si="141"/>
        <v>0</v>
      </c>
      <c r="AC502" s="49">
        <f t="shared" ca="1" si="141"/>
        <v>0</v>
      </c>
      <c r="AD502" s="49">
        <f t="shared" ca="1" si="141"/>
        <v>0</v>
      </c>
      <c r="AE502" s="49">
        <f t="shared" ca="1" si="141"/>
        <v>0</v>
      </c>
      <c r="AF502" s="49">
        <f t="shared" ca="1" si="141"/>
        <v>0</v>
      </c>
      <c r="AG502" s="49">
        <f t="shared" ca="1" si="141"/>
        <v>0</v>
      </c>
      <c r="AH502" s="49">
        <f t="shared" ca="1" si="141"/>
        <v>0</v>
      </c>
      <c r="AI502" s="49">
        <f t="shared" ca="1" si="141"/>
        <v>0</v>
      </c>
      <c r="AJ502" s="49">
        <f t="shared" ca="1" si="141"/>
        <v>0</v>
      </c>
      <c r="AK502" s="49">
        <f t="shared" ca="1" si="141"/>
        <v>0</v>
      </c>
      <c r="AL502" s="49">
        <f t="shared" ca="1" si="141"/>
        <v>0</v>
      </c>
      <c r="AM502" s="49">
        <f t="shared" ca="1" si="141"/>
        <v>0</v>
      </c>
      <c r="AN502" s="49">
        <f t="shared" ca="1" si="141"/>
        <v>0</v>
      </c>
      <c r="AO502" s="49">
        <f t="shared" ca="1" si="141"/>
        <v>0</v>
      </c>
      <c r="AP502" s="49">
        <f t="shared" ca="1" si="141"/>
        <v>0</v>
      </c>
      <c r="AQ502" s="49">
        <f t="shared" ca="1" si="141"/>
        <v>0</v>
      </c>
      <c r="AR502" s="49">
        <f t="shared" ca="1" si="141"/>
        <v>0</v>
      </c>
      <c r="AS502" s="49">
        <f t="shared" ca="1" si="141"/>
        <v>0</v>
      </c>
      <c r="AT502" s="49">
        <f t="shared" ca="1" si="141"/>
        <v>0</v>
      </c>
      <c r="AU502" s="49">
        <f t="shared" ca="1" si="141"/>
        <v>0</v>
      </c>
      <c r="AV502" s="49">
        <f t="shared" ca="1" si="141"/>
        <v>0</v>
      </c>
      <c r="AW502" s="49">
        <f t="shared" ca="1" si="141"/>
        <v>0</v>
      </c>
      <c r="AX502" s="49">
        <f t="shared" ca="1" si="141"/>
        <v>0</v>
      </c>
      <c r="AY502" s="49">
        <f t="shared" ca="1" si="141"/>
        <v>0</v>
      </c>
      <c r="AZ502" s="49">
        <f t="shared" ca="1" si="141"/>
        <v>0</v>
      </c>
      <c r="BA502" s="49">
        <f t="shared" ca="1" si="141"/>
        <v>0</v>
      </c>
      <c r="BB502" s="49">
        <f t="shared" ca="1" si="141"/>
        <v>0</v>
      </c>
      <c r="BC502" s="49">
        <f t="shared" ca="1" si="141"/>
        <v>0</v>
      </c>
      <c r="BD502" s="49">
        <f t="shared" ca="1" si="141"/>
        <v>0</v>
      </c>
      <c r="BE502" s="49">
        <f t="shared" ca="1" si="141"/>
        <v>0</v>
      </c>
      <c r="BF502" s="49">
        <f t="shared" ca="1" si="141"/>
        <v>0</v>
      </c>
      <c r="BG502" s="49">
        <f t="shared" ca="1" si="141"/>
        <v>0</v>
      </c>
      <c r="BH502" s="49">
        <f t="shared" ca="1" si="141"/>
        <v>0</v>
      </c>
      <c r="BI502" s="49">
        <f t="shared" ca="1" si="141"/>
        <v>0</v>
      </c>
      <c r="BJ502" s="49">
        <f t="shared" ca="1" si="141"/>
        <v>0</v>
      </c>
      <c r="BK502" s="49">
        <f t="shared" ca="1" si="141"/>
        <v>0</v>
      </c>
      <c r="BL502" s="49">
        <f t="shared" ca="1" si="141"/>
        <v>0</v>
      </c>
      <c r="BM502" s="49">
        <f t="shared" ca="1" si="141"/>
        <v>0</v>
      </c>
      <c r="BN502" s="49">
        <f t="shared" ca="1" si="141"/>
        <v>0</v>
      </c>
      <c r="BO502" s="49">
        <f t="shared" ca="1" si="141"/>
        <v>0</v>
      </c>
      <c r="BP502" s="49">
        <f t="shared" ca="1" si="141"/>
        <v>0</v>
      </c>
      <c r="BQ502" s="49">
        <f t="shared" ca="1" si="141"/>
        <v>0</v>
      </c>
      <c r="BR502" s="49">
        <f t="shared" ca="1" si="141"/>
        <v>0</v>
      </c>
      <c r="BS502" s="49">
        <f t="shared" ca="1" si="141"/>
        <v>0</v>
      </c>
    </row>
    <row r="503" spans="3:71" outlineLevel="1" x14ac:dyDescent="0.2">
      <c r="J503" s="26"/>
      <c r="L503" s="55"/>
      <c r="M503" s="55"/>
      <c r="N503" s="55"/>
      <c r="O503" s="55"/>
      <c r="P503" s="55"/>
      <c r="Q503" s="55"/>
      <c r="R503" s="55"/>
      <c r="S503" s="55"/>
      <c r="T503" s="55"/>
      <c r="U503" s="55"/>
      <c r="V503" s="55"/>
      <c r="W503" s="55"/>
      <c r="X503" s="55"/>
      <c r="Y503" s="55"/>
      <c r="Z503" s="55"/>
      <c r="AA503" s="55"/>
      <c r="AB503" s="55"/>
      <c r="AC503" s="55"/>
      <c r="AD503" s="55"/>
      <c r="AE503" s="55"/>
      <c r="AF503" s="55"/>
      <c r="AG503" s="55"/>
      <c r="AH503" s="55"/>
      <c r="AI503" s="55"/>
      <c r="AJ503" s="55"/>
      <c r="AK503" s="55"/>
      <c r="AL503" s="55"/>
      <c r="AM503" s="55"/>
      <c r="AN503" s="55"/>
      <c r="AO503" s="55"/>
      <c r="AP503" s="55"/>
      <c r="AQ503" s="55"/>
      <c r="AR503" s="55"/>
      <c r="AS503" s="55"/>
      <c r="AT503" s="55"/>
      <c r="AU503" s="55"/>
      <c r="AV503" s="55"/>
      <c r="AW503" s="55"/>
      <c r="AX503" s="55"/>
      <c r="AY503" s="55"/>
      <c r="AZ503" s="55"/>
      <c r="BA503" s="55"/>
      <c r="BB503" s="55"/>
      <c r="BC503" s="55"/>
      <c r="BD503" s="55"/>
      <c r="BE503" s="55"/>
      <c r="BF503" s="55"/>
      <c r="BG503" s="55"/>
      <c r="BH503" s="55"/>
      <c r="BI503" s="55"/>
      <c r="BJ503" s="55"/>
      <c r="BK503" s="55"/>
      <c r="BL503" s="55"/>
      <c r="BM503" s="55"/>
      <c r="BN503" s="55"/>
      <c r="BO503" s="55"/>
      <c r="BP503" s="55"/>
      <c r="BQ503" s="55"/>
      <c r="BR503" s="55"/>
      <c r="BS503" s="55"/>
    </row>
    <row r="504" spans="3:71" outlineLevel="1" x14ac:dyDescent="0.2">
      <c r="C504" s="11" t="str">
        <f>HM_ZB_Nsoko!C517</f>
        <v>Flux de trésorerie après impôts cumulé</v>
      </c>
      <c r="J504" s="26"/>
      <c r="L504" s="66">
        <f ca="1">(K504+L502)*KLL_II_2020!CA_op_trig</f>
        <v>14.232765103500308</v>
      </c>
      <c r="M504" s="66">
        <f ca="1">(L504+M502)*KLL_II_2020!CA_op_trig</f>
        <v>7.3255267390634131</v>
      </c>
      <c r="N504" s="66">
        <f ca="1">(M504+N502)*KLL_II_2020!CA_op_trig</f>
        <v>4.3496477505202318</v>
      </c>
      <c r="O504" s="66">
        <f ca="1">(N504+O502)*KLL_II_2020!CA_op_trig</f>
        <v>-22.791635244643636</v>
      </c>
      <c r="P504" s="66">
        <f ca="1">(O504+P502)*KLL_II_2020!CA_op_trig</f>
        <v>-36.765936267550032</v>
      </c>
      <c r="Q504" s="66">
        <f ca="1">(P504+Q502)*KLL_II_2020!CA_op_trig</f>
        <v>-46.778118206704519</v>
      </c>
      <c r="R504" s="66">
        <f ca="1">(Q504+R502)*KLL_II_2020!CA_op_trig</f>
        <v>-48.233868646214503</v>
      </c>
      <c r="S504" s="66">
        <f ca="1">(R504+S502)*KLL_II_2020!CA_op_trig</f>
        <v>-30.561098395214504</v>
      </c>
      <c r="T504" s="66">
        <f ca="1">(S504+T502)*KLL_II_2020!CA_op_trig</f>
        <v>-3.1093989560746742</v>
      </c>
      <c r="U504" s="66">
        <f ca="1">(T504+U502)*KLL_II_2020!CA_op_trig</f>
        <v>23.141726650466762</v>
      </c>
      <c r="V504" s="66">
        <f ca="1">(U504+V502)*KLL_II_2020!CA_op_trig</f>
        <v>47.294456400831962</v>
      </c>
      <c r="W504" s="66">
        <f ca="1">(V504+W502)*KLL_II_2020!CA_op_trig</f>
        <v>69.450580229228379</v>
      </c>
      <c r="X504" s="66">
        <f ca="1">(W504+X502)*KLL_II_2020!CA_op_trig</f>
        <v>89.706712997933224</v>
      </c>
      <c r="Y504" s="66">
        <f ca="1">(X504+Y502)*KLL_II_2020!CA_op_trig</f>
        <v>0</v>
      </c>
      <c r="Z504" s="66">
        <f ca="1">(Y504+Z502)*KLL_II_2020!CA_op_trig</f>
        <v>0</v>
      </c>
      <c r="AA504" s="66">
        <f ca="1">(Z504+AA502)*KLL_II_2020!CA_op_trig</f>
        <v>0</v>
      </c>
      <c r="AB504" s="66">
        <f ca="1">(AA504+AB502)*KLL_II_2020!CA_op_trig</f>
        <v>0</v>
      </c>
      <c r="AC504" s="66">
        <f ca="1">(AB504+AC502)*KLL_II_2020!CA_op_trig</f>
        <v>0</v>
      </c>
      <c r="AD504" s="66">
        <f ca="1">(AC504+AD502)*KLL_II_2020!CA_op_trig</f>
        <v>0</v>
      </c>
      <c r="AE504" s="66">
        <f ca="1">(AD504+AE502)*KLL_II_2020!CA_op_trig</f>
        <v>0</v>
      </c>
      <c r="AF504" s="66">
        <f ca="1">(AE504+AF502)*KLL_II_2020!CA_op_trig</f>
        <v>0</v>
      </c>
      <c r="AG504" s="66">
        <f ca="1">(AF504+AG502)*KLL_II_2020!CA_op_trig</f>
        <v>0</v>
      </c>
      <c r="AH504" s="66">
        <f ca="1">(AG504+AH502)*KLL_II_2020!CA_op_trig</f>
        <v>0</v>
      </c>
      <c r="AI504" s="66">
        <f ca="1">(AH504+AI502)*KLL_II_2020!CA_op_trig</f>
        <v>0</v>
      </c>
      <c r="AJ504" s="66">
        <f ca="1">(AI504+AJ502)*KLL_II_2020!CA_op_trig</f>
        <v>0</v>
      </c>
      <c r="AK504" s="66">
        <f ca="1">(AJ504+AK502)*KLL_II_2020!CA_op_trig</f>
        <v>0</v>
      </c>
      <c r="AL504" s="66">
        <f ca="1">(AK504+AL502)*KLL_II_2020!CA_op_trig</f>
        <v>0</v>
      </c>
      <c r="AM504" s="66">
        <f ca="1">(AL504+AM502)*KLL_II_2020!CA_op_trig</f>
        <v>0</v>
      </c>
      <c r="AN504" s="66">
        <f ca="1">(AM504+AN502)*KLL_II_2020!CA_op_trig</f>
        <v>0</v>
      </c>
      <c r="AO504" s="66">
        <f ca="1">(AN504+AO502)*KLL_II_2020!CA_op_trig</f>
        <v>0</v>
      </c>
      <c r="AP504" s="66">
        <f ca="1">(AO504+AP502)*KLL_II_2020!CA_op_trig</f>
        <v>0</v>
      </c>
      <c r="AQ504" s="66">
        <f ca="1">(AP504+AQ502)*KLL_II_2020!CA_op_trig</f>
        <v>0</v>
      </c>
      <c r="AR504" s="66">
        <f ca="1">(AQ504+AR502)*KLL_II_2020!CA_op_trig</f>
        <v>0</v>
      </c>
      <c r="AS504" s="66">
        <f ca="1">(AR504+AS502)*KLL_II_2020!CA_op_trig</f>
        <v>0</v>
      </c>
      <c r="AT504" s="66">
        <f ca="1">(AS504+AT502)*KLL_II_2020!CA_op_trig</f>
        <v>0</v>
      </c>
      <c r="AU504" s="66">
        <f ca="1">(AT504+AU502)*KLL_II_2020!CA_op_trig</f>
        <v>0</v>
      </c>
      <c r="AV504" s="66">
        <f ca="1">(AU504+AV502)*KLL_II_2020!CA_op_trig</f>
        <v>0</v>
      </c>
      <c r="AW504" s="66">
        <f ca="1">(AV504+AW502)*KLL_II_2020!CA_op_trig</f>
        <v>0</v>
      </c>
      <c r="AX504" s="66">
        <f ca="1">(AW504+AX502)*KLL_II_2020!CA_op_trig</f>
        <v>0</v>
      </c>
      <c r="AY504" s="66">
        <f ca="1">(AX504+AY502)*KLL_II_2020!CA_op_trig</f>
        <v>0</v>
      </c>
      <c r="AZ504" s="66">
        <f ca="1">(AY504+AZ502)*KLL_II_2020!CA_op_trig</f>
        <v>0</v>
      </c>
      <c r="BA504" s="66">
        <f ca="1">(AZ504+BA502)*KLL_II_2020!CA_op_trig</f>
        <v>0</v>
      </c>
      <c r="BB504" s="66">
        <f ca="1">(BA504+BB502)*KLL_II_2020!CA_op_trig</f>
        <v>0</v>
      </c>
      <c r="BC504" s="66">
        <f ca="1">(BB504+BC502)*KLL_II_2020!CA_op_trig</f>
        <v>0</v>
      </c>
      <c r="BD504" s="66">
        <f ca="1">(BC504+BD502)*KLL_II_2020!CA_op_trig</f>
        <v>0</v>
      </c>
      <c r="BE504" s="66">
        <f ca="1">(BD504+BE502)*KLL_II_2020!CA_op_trig</f>
        <v>0</v>
      </c>
      <c r="BF504" s="66">
        <f ca="1">(BE504+BF502)*KLL_II_2020!CA_op_trig</f>
        <v>0</v>
      </c>
      <c r="BG504" s="66">
        <f ca="1">(BF504+BG502)*KLL_II_2020!CA_op_trig</f>
        <v>0</v>
      </c>
      <c r="BH504" s="66">
        <f ca="1">(BG504+BH502)*KLL_II_2020!CA_op_trig</f>
        <v>0</v>
      </c>
      <c r="BI504" s="66">
        <f ca="1">(BH504+BI502)*KLL_II_2020!CA_op_trig</f>
        <v>0</v>
      </c>
      <c r="BJ504" s="66">
        <f ca="1">(BI504+BJ502)*KLL_II_2020!CA_op_trig</f>
        <v>0</v>
      </c>
      <c r="BK504" s="66">
        <f ca="1">(BJ504+BK502)*KLL_II_2020!CA_op_trig</f>
        <v>0</v>
      </c>
      <c r="BL504" s="66">
        <f ca="1">(BK504+BL502)*KLL_II_2020!CA_op_trig</f>
        <v>0</v>
      </c>
      <c r="BM504" s="66">
        <f ca="1">(BL504+BM502)*KLL_II_2020!CA_op_trig</f>
        <v>0</v>
      </c>
      <c r="BN504" s="66">
        <f ca="1">(BM504+BN502)*KLL_II_2020!CA_op_trig</f>
        <v>0</v>
      </c>
      <c r="BO504" s="66">
        <f ca="1">(BN504+BO502)*KLL_II_2020!CA_op_trig</f>
        <v>0</v>
      </c>
      <c r="BP504" s="66">
        <f ca="1">(BO504+BP502)*KLL_II_2020!CA_op_trig</f>
        <v>0</v>
      </c>
      <c r="BQ504" s="66">
        <f ca="1">(BP504+BQ502)*KLL_II_2020!CA_op_trig</f>
        <v>0</v>
      </c>
      <c r="BR504" s="66">
        <f ca="1">(BQ504+BR502)*KLL_II_2020!CA_op_trig</f>
        <v>0</v>
      </c>
      <c r="BS504" s="66">
        <f ca="1">(BR504+BS502)*KLL_II_2020!CA_op_trig</f>
        <v>0</v>
      </c>
    </row>
    <row r="505" spans="3:71" outlineLevel="1" x14ac:dyDescent="0.2">
      <c r="J505" s="26"/>
      <c r="L505" s="55"/>
      <c r="M505" s="55"/>
      <c r="N505" s="55"/>
      <c r="O505" s="55"/>
      <c r="P505" s="55"/>
      <c r="Q505" s="55"/>
      <c r="R505" s="55"/>
      <c r="S505" s="55"/>
      <c r="T505" s="55"/>
      <c r="U505" s="55"/>
      <c r="V505" s="55"/>
      <c r="W505" s="55"/>
      <c r="X505" s="55"/>
      <c r="Y505" s="55"/>
      <c r="Z505" s="55"/>
      <c r="AA505" s="55"/>
      <c r="AB505" s="55"/>
      <c r="AC505" s="55"/>
      <c r="AD505" s="55"/>
      <c r="AE505" s="55"/>
      <c r="AF505" s="55"/>
      <c r="AG505" s="55"/>
      <c r="AH505" s="55"/>
      <c r="AI505" s="55"/>
      <c r="AJ505" s="55"/>
      <c r="AK505" s="55"/>
      <c r="AL505" s="55"/>
      <c r="AM505" s="55"/>
      <c r="AN505" s="55"/>
      <c r="AO505" s="55"/>
      <c r="AP505" s="55"/>
      <c r="AQ505" s="55"/>
      <c r="AR505" s="55"/>
      <c r="AS505" s="55"/>
      <c r="AT505" s="55"/>
      <c r="AU505" s="55"/>
      <c r="AV505" s="55"/>
      <c r="AW505" s="55"/>
      <c r="AX505" s="55"/>
      <c r="AY505" s="55"/>
      <c r="AZ505" s="55"/>
      <c r="BA505" s="55"/>
      <c r="BB505" s="55"/>
      <c r="BC505" s="55"/>
      <c r="BD505" s="55"/>
      <c r="BE505" s="55"/>
      <c r="BF505" s="55"/>
      <c r="BG505" s="55"/>
      <c r="BH505" s="55"/>
      <c r="BI505" s="55"/>
      <c r="BJ505" s="55"/>
      <c r="BK505" s="55"/>
      <c r="BL505" s="55"/>
      <c r="BM505" s="55"/>
      <c r="BN505" s="55"/>
      <c r="BO505" s="55"/>
      <c r="BP505" s="55"/>
      <c r="BQ505" s="55"/>
      <c r="BR505" s="55"/>
      <c r="BS505" s="55"/>
    </row>
    <row r="506" spans="3:71" outlineLevel="1" x14ac:dyDescent="0.2">
      <c r="C506" s="11" t="str">
        <f>HM_ZB_Nsoko!C519</f>
        <v>VAN cycle complet</v>
      </c>
      <c r="G506" s="60"/>
      <c r="H506" s="7" t="s">
        <v>525</v>
      </c>
      <c r="I506" s="63">
        <f ca="1">SUMPRODUCT(OA_noc_ATCF_KLL2020,KLL_II_2020!CA_disc_factor_fc)</f>
        <v>105.05317986950938</v>
      </c>
      <c r="J506" s="26" t="s">
        <v>148</v>
      </c>
      <c r="L506" s="55"/>
      <c r="M506" s="55"/>
      <c r="N506" s="55"/>
      <c r="O506" s="55"/>
      <c r="P506" s="55"/>
      <c r="Q506" s="55"/>
      <c r="R506" s="55"/>
      <c r="S506" s="55"/>
      <c r="T506" s="55"/>
      <c r="U506" s="55"/>
      <c r="V506" s="55"/>
      <c r="W506" s="55"/>
      <c r="X506" s="55"/>
      <c r="Y506" s="55"/>
      <c r="Z506" s="55"/>
      <c r="AA506" s="55"/>
      <c r="AB506" s="55"/>
      <c r="AC506" s="55"/>
      <c r="AD506" s="55"/>
      <c r="AE506" s="55"/>
      <c r="AF506" s="55"/>
      <c r="AG506" s="55"/>
      <c r="AH506" s="55"/>
      <c r="AI506" s="55"/>
      <c r="AJ506" s="55"/>
      <c r="AK506" s="55"/>
      <c r="AL506" s="55"/>
      <c r="AM506" s="55"/>
      <c r="AN506" s="55"/>
      <c r="AO506" s="55"/>
      <c r="AP506" s="55"/>
      <c r="AQ506" s="55"/>
      <c r="AR506" s="55"/>
      <c r="AS506" s="55"/>
      <c r="AT506" s="55"/>
      <c r="AU506" s="55"/>
      <c r="AV506" s="55"/>
      <c r="AW506" s="55"/>
      <c r="AX506" s="55"/>
      <c r="AY506" s="55"/>
      <c r="AZ506" s="55"/>
      <c r="BA506" s="55"/>
      <c r="BB506" s="55"/>
      <c r="BC506" s="55"/>
      <c r="BD506" s="55"/>
      <c r="BE506" s="55"/>
      <c r="BF506" s="55"/>
      <c r="BG506" s="55"/>
      <c r="BH506" s="55"/>
      <c r="BI506" s="55"/>
      <c r="BJ506" s="55"/>
      <c r="BK506" s="55"/>
      <c r="BL506" s="55"/>
      <c r="BM506" s="55"/>
      <c r="BN506" s="55"/>
      <c r="BO506" s="55"/>
      <c r="BP506" s="55"/>
      <c r="BQ506" s="55"/>
      <c r="BR506" s="55"/>
      <c r="BS506" s="55"/>
    </row>
    <row r="507" spans="3:71" outlineLevel="1" x14ac:dyDescent="0.2">
      <c r="C507" s="11" t="str">
        <f>HM_ZB_Nsoko!C520</f>
        <v>VAN à terme</v>
      </c>
      <c r="I507" s="63">
        <f ca="1">SUMPRODUCT(OA_noc_ATCF_KLL2020,KLL_II_2020!CA_disc_factor_pf)</f>
        <v>97.023140045533282</v>
      </c>
      <c r="J507" s="26" t="s">
        <v>148</v>
      </c>
      <c r="L507" s="55"/>
      <c r="M507" s="55"/>
      <c r="N507" s="55"/>
      <c r="O507" s="55"/>
      <c r="P507" s="55"/>
      <c r="Q507" s="55"/>
      <c r="R507" s="55"/>
      <c r="S507" s="55"/>
      <c r="T507" s="55"/>
      <c r="U507" s="55"/>
      <c r="V507" s="55"/>
      <c r="W507" s="55"/>
      <c r="X507" s="55"/>
      <c r="Y507" s="55"/>
      <c r="Z507" s="55"/>
      <c r="AA507" s="55"/>
      <c r="AB507" s="55"/>
      <c r="AC507" s="55"/>
      <c r="AD507" s="55"/>
      <c r="AE507" s="55"/>
      <c r="AF507" s="55"/>
      <c r="AG507" s="55"/>
      <c r="AH507" s="55"/>
      <c r="AI507" s="55"/>
      <c r="AJ507" s="55"/>
      <c r="AK507" s="55"/>
      <c r="AL507" s="55"/>
      <c r="AM507" s="55"/>
      <c r="AN507" s="55"/>
      <c r="AO507" s="55"/>
      <c r="AP507" s="55"/>
      <c r="AQ507" s="55"/>
      <c r="AR507" s="55"/>
      <c r="AS507" s="55"/>
      <c r="AT507" s="55"/>
      <c r="AU507" s="55"/>
      <c r="AV507" s="55"/>
      <c r="AW507" s="55"/>
      <c r="AX507" s="55"/>
      <c r="AY507" s="55"/>
      <c r="AZ507" s="55"/>
      <c r="BA507" s="55"/>
      <c r="BB507" s="55"/>
      <c r="BC507" s="55"/>
      <c r="BD507" s="55"/>
      <c r="BE507" s="55"/>
      <c r="BF507" s="55"/>
      <c r="BG507" s="55"/>
      <c r="BH507" s="55"/>
      <c r="BI507" s="55"/>
      <c r="BJ507" s="55"/>
      <c r="BK507" s="55"/>
      <c r="BL507" s="55"/>
      <c r="BM507" s="55"/>
      <c r="BN507" s="55"/>
      <c r="BO507" s="55"/>
      <c r="BP507" s="55"/>
      <c r="BQ507" s="55"/>
      <c r="BR507" s="55"/>
      <c r="BS507" s="55"/>
    </row>
    <row r="508" spans="3:71" outlineLevel="1" x14ac:dyDescent="0.2">
      <c r="I508" s="61"/>
      <c r="J508" s="26"/>
      <c r="L508" s="55"/>
      <c r="M508" s="55"/>
      <c r="N508" s="55"/>
      <c r="O508" s="55"/>
      <c r="P508" s="55"/>
      <c r="Q508" s="55"/>
      <c r="R508" s="55"/>
      <c r="S508" s="55"/>
      <c r="T508" s="55"/>
      <c r="U508" s="55"/>
      <c r="V508" s="55"/>
      <c r="W508" s="55"/>
      <c r="X508" s="55"/>
      <c r="Y508" s="55"/>
      <c r="Z508" s="55"/>
      <c r="AA508" s="55"/>
      <c r="AB508" s="55"/>
      <c r="AC508" s="55"/>
      <c r="AD508" s="55"/>
      <c r="AE508" s="55"/>
      <c r="AF508" s="55"/>
      <c r="AG508" s="55"/>
      <c r="AH508" s="55"/>
      <c r="AI508" s="55"/>
      <c r="AJ508" s="55"/>
      <c r="AK508" s="55"/>
      <c r="AL508" s="55"/>
      <c r="AM508" s="55"/>
      <c r="AN508" s="55"/>
      <c r="AO508" s="55"/>
      <c r="AP508" s="55"/>
      <c r="AQ508" s="55"/>
      <c r="AR508" s="55"/>
      <c r="AS508" s="55"/>
      <c r="AT508" s="55"/>
      <c r="AU508" s="55"/>
      <c r="AV508" s="55"/>
      <c r="AW508" s="55"/>
      <c r="AX508" s="55"/>
      <c r="AY508" s="55"/>
      <c r="AZ508" s="55"/>
      <c r="BA508" s="55"/>
      <c r="BB508" s="55"/>
      <c r="BC508" s="55"/>
      <c r="BD508" s="55"/>
      <c r="BE508" s="55"/>
      <c r="BF508" s="55"/>
      <c r="BG508" s="55"/>
      <c r="BH508" s="55"/>
      <c r="BI508" s="55"/>
      <c r="BJ508" s="55"/>
      <c r="BK508" s="55"/>
      <c r="BL508" s="55"/>
      <c r="BM508" s="55"/>
      <c r="BN508" s="55"/>
      <c r="BO508" s="55"/>
      <c r="BP508" s="55"/>
      <c r="BQ508" s="55"/>
      <c r="BR508" s="55"/>
      <c r="BS508" s="55"/>
    </row>
    <row r="509" spans="3:71" outlineLevel="1" x14ac:dyDescent="0.2">
      <c r="C509" s="11" t="str">
        <f>HM_ZB_Nsoko!C522</f>
        <v>TRI cycle complet</v>
      </c>
      <c r="I509" s="62" t="str">
        <f ca="1">IFERROR(IRR(INDEX(OA_noc_ATCF_KLL2020,1,MAX(1,$G$398-L4+1)):INDEX(OA_noc_ATCF_KLL2020,1,last_model_year)),"na")</f>
        <v>na</v>
      </c>
      <c r="J509" s="26" t="s">
        <v>90</v>
      </c>
      <c r="L509" s="55"/>
      <c r="M509" s="55"/>
      <c r="N509" s="55"/>
      <c r="O509" s="55"/>
      <c r="P509" s="55"/>
      <c r="Q509" s="55"/>
      <c r="R509" s="55"/>
      <c r="S509" s="55"/>
      <c r="T509" s="55"/>
      <c r="U509" s="55"/>
      <c r="V509" s="55"/>
      <c r="W509" s="55"/>
      <c r="X509" s="55"/>
      <c r="Y509" s="55"/>
      <c r="Z509" s="55"/>
      <c r="AA509" s="55"/>
      <c r="AB509" s="55"/>
      <c r="AC509" s="55"/>
      <c r="AD509" s="55"/>
      <c r="AE509" s="55"/>
      <c r="AF509" s="55"/>
      <c r="AG509" s="55"/>
      <c r="AH509" s="55"/>
      <c r="AI509" s="55"/>
      <c r="AJ509" s="55"/>
      <c r="AK509" s="55"/>
      <c r="AL509" s="55"/>
      <c r="AM509" s="55"/>
      <c r="AN509" s="55"/>
      <c r="AO509" s="55"/>
      <c r="AP509" s="55"/>
      <c r="AQ509" s="55"/>
      <c r="AR509" s="55"/>
      <c r="AS509" s="55"/>
      <c r="AT509" s="55"/>
      <c r="AU509" s="55"/>
      <c r="AV509" s="55"/>
      <c r="AW509" s="55"/>
      <c r="AX509" s="55"/>
      <c r="AY509" s="55"/>
      <c r="AZ509" s="55"/>
      <c r="BA509" s="55"/>
      <c r="BB509" s="55"/>
      <c r="BC509" s="55"/>
      <c r="BD509" s="55"/>
      <c r="BE509" s="55"/>
      <c r="BF509" s="55"/>
      <c r="BG509" s="55"/>
      <c r="BH509" s="55"/>
      <c r="BI509" s="55"/>
      <c r="BJ509" s="55"/>
      <c r="BK509" s="55"/>
      <c r="BL509" s="55"/>
      <c r="BM509" s="55"/>
      <c r="BN509" s="55"/>
      <c r="BO509" s="55"/>
      <c r="BP509" s="55"/>
      <c r="BQ509" s="55"/>
      <c r="BR509" s="55"/>
      <c r="BS509" s="55"/>
    </row>
    <row r="510" spans="3:71" outlineLevel="1" x14ac:dyDescent="0.2">
      <c r="C510" s="11" t="str">
        <f>HM_ZB_Nsoko!C523</f>
        <v>TRI à terme</v>
      </c>
      <c r="I510" s="62" t="str">
        <f ca="1">IFERROR(IRR(INDEX(OA_noc_ATCF_KLL2020,1,MAX(1,$G$399-L4+1)):INDEX(OA_noc_ATCF_KLL2020,1,last_model_year)),"na")</f>
        <v>na</v>
      </c>
      <c r="J510" s="26" t="s">
        <v>90</v>
      </c>
      <c r="L510" s="55"/>
      <c r="M510" s="55"/>
      <c r="N510" s="55"/>
      <c r="O510" s="55"/>
      <c r="P510" s="55"/>
      <c r="Q510" s="55"/>
      <c r="R510" s="55"/>
      <c r="S510" s="55"/>
      <c r="T510" s="55"/>
      <c r="U510" s="55"/>
      <c r="V510" s="55"/>
      <c r="W510" s="55"/>
      <c r="X510" s="55"/>
      <c r="Y510" s="55"/>
      <c r="Z510" s="55"/>
      <c r="AA510" s="55"/>
      <c r="AB510" s="55"/>
      <c r="AC510" s="55"/>
      <c r="AD510" s="55"/>
      <c r="AE510" s="55"/>
      <c r="AF510" s="55"/>
      <c r="AG510" s="55"/>
      <c r="AH510" s="55"/>
      <c r="AI510" s="55"/>
      <c r="AJ510" s="55"/>
      <c r="AK510" s="55"/>
      <c r="AL510" s="55"/>
      <c r="AM510" s="55"/>
      <c r="AN510" s="55"/>
      <c r="AO510" s="55"/>
      <c r="AP510" s="55"/>
      <c r="AQ510" s="55"/>
      <c r="AR510" s="55"/>
      <c r="AS510" s="55"/>
      <c r="AT510" s="55"/>
      <c r="AU510" s="55"/>
      <c r="AV510" s="55"/>
      <c r="AW510" s="55"/>
      <c r="AX510" s="55"/>
      <c r="AY510" s="55"/>
      <c r="AZ510" s="55"/>
      <c r="BA510" s="55"/>
      <c r="BB510" s="55"/>
      <c r="BC510" s="55"/>
      <c r="BD510" s="55"/>
      <c r="BE510" s="55"/>
      <c r="BF510" s="55"/>
      <c r="BG510" s="55"/>
      <c r="BH510" s="55"/>
      <c r="BI510" s="55"/>
      <c r="BJ510" s="55"/>
      <c r="BK510" s="55"/>
      <c r="BL510" s="55"/>
      <c r="BM510" s="55"/>
      <c r="BN510" s="55"/>
      <c r="BO510" s="55"/>
      <c r="BP510" s="55"/>
      <c r="BQ510" s="55"/>
      <c r="BR510" s="55"/>
      <c r="BS510" s="55"/>
    </row>
    <row r="511" spans="3:71" outlineLevel="1" x14ac:dyDescent="0.2">
      <c r="J511" s="26"/>
      <c r="L511" s="55"/>
      <c r="M511" s="55"/>
      <c r="N511" s="55"/>
      <c r="O511" s="55"/>
      <c r="P511" s="55"/>
      <c r="Q511" s="55"/>
      <c r="R511" s="55"/>
      <c r="S511" s="55"/>
      <c r="T511" s="55"/>
      <c r="U511" s="55"/>
      <c r="V511" s="55"/>
      <c r="W511" s="55"/>
      <c r="X511" s="55"/>
      <c r="Y511" s="55"/>
      <c r="Z511" s="55"/>
      <c r="AA511" s="55"/>
      <c r="AB511" s="55"/>
      <c r="AC511" s="55"/>
      <c r="AD511" s="55"/>
      <c r="AE511" s="55"/>
      <c r="AF511" s="55"/>
      <c r="AG511" s="55"/>
      <c r="AH511" s="55"/>
      <c r="AI511" s="55"/>
      <c r="AJ511" s="55"/>
      <c r="AK511" s="55"/>
      <c r="AL511" s="55"/>
      <c r="AM511" s="55"/>
      <c r="AN511" s="55"/>
      <c r="AO511" s="55"/>
      <c r="AP511" s="55"/>
      <c r="AQ511" s="55"/>
      <c r="AR511" s="55"/>
      <c r="AS511" s="55"/>
      <c r="AT511" s="55"/>
      <c r="AU511" s="55"/>
      <c r="AV511" s="55"/>
      <c r="AW511" s="55"/>
      <c r="AX511" s="55"/>
      <c r="AY511" s="55"/>
      <c r="AZ511" s="55"/>
      <c r="BA511" s="55"/>
      <c r="BB511" s="55"/>
      <c r="BC511" s="55"/>
      <c r="BD511" s="55"/>
      <c r="BE511" s="55"/>
      <c r="BF511" s="55"/>
      <c r="BG511" s="55"/>
      <c r="BH511" s="55"/>
      <c r="BI511" s="55"/>
      <c r="BJ511" s="55"/>
      <c r="BK511" s="55"/>
      <c r="BL511" s="55"/>
      <c r="BM511" s="55"/>
      <c r="BN511" s="55"/>
      <c r="BO511" s="55"/>
      <c r="BP511" s="55"/>
      <c r="BQ511" s="55"/>
      <c r="BR511" s="55"/>
      <c r="BS511" s="55"/>
    </row>
    <row r="512" spans="3:71" outlineLevel="1" x14ac:dyDescent="0.2">
      <c r="C512" s="11" t="str">
        <f>HM_ZB_Nsoko!C525</f>
        <v>Période de remboursement</v>
      </c>
      <c r="I512" s="67">
        <f ca="1">COUNTIF(L504:BS504,"&lt;0")+1</f>
        <v>7</v>
      </c>
      <c r="J512" s="26"/>
      <c r="L512" s="55"/>
      <c r="M512" s="55"/>
      <c r="N512" s="55"/>
      <c r="O512" s="55"/>
      <c r="P512" s="55"/>
      <c r="Q512" s="55"/>
      <c r="R512" s="55"/>
      <c r="S512" s="55"/>
      <c r="T512" s="55"/>
      <c r="U512" s="55"/>
      <c r="V512" s="55"/>
      <c r="W512" s="55"/>
      <c r="X512" s="55"/>
      <c r="Y512" s="55"/>
      <c r="Z512" s="55"/>
      <c r="AA512" s="55"/>
      <c r="AB512" s="55"/>
      <c r="AC512" s="55"/>
      <c r="AD512" s="55"/>
      <c r="AE512" s="55"/>
      <c r="AF512" s="55"/>
      <c r="AG512" s="55"/>
      <c r="AH512" s="55"/>
      <c r="AI512" s="55"/>
      <c r="AJ512" s="55"/>
      <c r="AK512" s="55"/>
      <c r="AL512" s="55"/>
      <c r="AM512" s="55"/>
      <c r="AN512" s="55"/>
      <c r="AO512" s="55"/>
      <c r="AP512" s="55"/>
      <c r="AQ512" s="55"/>
      <c r="AR512" s="55"/>
      <c r="AS512" s="55"/>
      <c r="AT512" s="55"/>
      <c r="AU512" s="55"/>
      <c r="AV512" s="55"/>
      <c r="AW512" s="55"/>
      <c r="AX512" s="55"/>
      <c r="AY512" s="55"/>
      <c r="AZ512" s="55"/>
      <c r="BA512" s="55"/>
      <c r="BB512" s="55"/>
      <c r="BC512" s="55"/>
      <c r="BD512" s="55"/>
      <c r="BE512" s="55"/>
      <c r="BF512" s="55"/>
      <c r="BG512" s="55"/>
      <c r="BH512" s="55"/>
      <c r="BI512" s="55"/>
      <c r="BJ512" s="55"/>
      <c r="BK512" s="55"/>
      <c r="BL512" s="55"/>
      <c r="BM512" s="55"/>
      <c r="BN512" s="55"/>
      <c r="BO512" s="55"/>
      <c r="BP512" s="55"/>
      <c r="BQ512" s="55"/>
      <c r="BR512" s="55"/>
      <c r="BS512" s="55"/>
    </row>
    <row r="513" spans="1:71" outlineLevel="1" x14ac:dyDescent="0.2">
      <c r="J513" s="26"/>
      <c r="L513" s="55"/>
      <c r="M513" s="55"/>
      <c r="N513" s="55"/>
      <c r="O513" s="55"/>
      <c r="P513" s="55"/>
      <c r="Q513" s="55"/>
      <c r="R513" s="55"/>
      <c r="S513" s="55"/>
      <c r="T513" s="55"/>
      <c r="U513" s="55"/>
      <c r="V513" s="55"/>
      <c r="W513" s="55"/>
      <c r="X513" s="55"/>
      <c r="Y513" s="55"/>
      <c r="Z513" s="55"/>
      <c r="AA513" s="55"/>
      <c r="AB513" s="55"/>
      <c r="AC513" s="55"/>
      <c r="AD513" s="55"/>
      <c r="AE513" s="55"/>
      <c r="AF513" s="55"/>
      <c r="AG513" s="55"/>
      <c r="AH513" s="55"/>
      <c r="AI513" s="55"/>
      <c r="AJ513" s="55"/>
      <c r="AK513" s="55"/>
      <c r="AL513" s="55"/>
      <c r="AM513" s="55"/>
      <c r="AN513" s="55"/>
      <c r="AO513" s="55"/>
      <c r="AP513" s="55"/>
      <c r="AQ513" s="55"/>
      <c r="AR513" s="55"/>
      <c r="AS513" s="55"/>
      <c r="AT513" s="55"/>
      <c r="AU513" s="55"/>
      <c r="AV513" s="55"/>
      <c r="AW513" s="55"/>
      <c r="AX513" s="55"/>
      <c r="AY513" s="55"/>
      <c r="AZ513" s="55"/>
      <c r="BA513" s="55"/>
      <c r="BB513" s="55"/>
      <c r="BC513" s="55"/>
      <c r="BD513" s="55"/>
      <c r="BE513" s="55"/>
      <c r="BF513" s="55"/>
      <c r="BG513" s="55"/>
      <c r="BH513" s="55"/>
      <c r="BI513" s="55"/>
      <c r="BJ513" s="55"/>
      <c r="BK513" s="55"/>
      <c r="BL513" s="55"/>
      <c r="BM513" s="55"/>
      <c r="BN513" s="55"/>
      <c r="BO513" s="55"/>
      <c r="BP513" s="55"/>
      <c r="BQ513" s="55"/>
      <c r="BR513" s="55"/>
      <c r="BS513" s="55"/>
    </row>
    <row r="514" spans="1:71" outlineLevel="1" x14ac:dyDescent="0.2">
      <c r="J514" s="26"/>
      <c r="L514" s="55"/>
      <c r="M514" s="55"/>
      <c r="N514" s="55"/>
      <c r="O514" s="55"/>
      <c r="P514" s="55"/>
      <c r="Q514" s="55"/>
      <c r="R514" s="55"/>
      <c r="S514" s="55"/>
      <c r="T514" s="55"/>
      <c r="U514" s="55"/>
      <c r="V514" s="55"/>
      <c r="W514" s="55"/>
      <c r="X514" s="55"/>
      <c r="Y514" s="55"/>
      <c r="Z514" s="55"/>
      <c r="AA514" s="55"/>
      <c r="AB514" s="55"/>
      <c r="AC514" s="55"/>
      <c r="AD514" s="55"/>
      <c r="AE514" s="55"/>
      <c r="AF514" s="55"/>
      <c r="AG514" s="55"/>
      <c r="AH514" s="55"/>
      <c r="AI514" s="55"/>
      <c r="AJ514" s="55"/>
      <c r="AK514" s="55"/>
      <c r="AL514" s="55"/>
      <c r="AM514" s="55"/>
      <c r="AN514" s="55"/>
      <c r="AO514" s="55"/>
      <c r="AP514" s="55"/>
      <c r="AQ514" s="55"/>
      <c r="AR514" s="55"/>
      <c r="AS514" s="55"/>
      <c r="AT514" s="55"/>
      <c r="AU514" s="55"/>
      <c r="AV514" s="55"/>
      <c r="AW514" s="55"/>
      <c r="AX514" s="55"/>
      <c r="AY514" s="55"/>
      <c r="AZ514" s="55"/>
      <c r="BA514" s="55"/>
      <c r="BB514" s="55"/>
      <c r="BC514" s="55"/>
      <c r="BD514" s="55"/>
      <c r="BE514" s="55"/>
      <c r="BF514" s="55"/>
      <c r="BG514" s="55"/>
      <c r="BH514" s="55"/>
      <c r="BI514" s="55"/>
      <c r="BJ514" s="55"/>
      <c r="BK514" s="55"/>
      <c r="BL514" s="55"/>
      <c r="BM514" s="55"/>
      <c r="BN514" s="55"/>
      <c r="BO514" s="55"/>
      <c r="BP514" s="55"/>
      <c r="BQ514" s="55"/>
      <c r="BR514" s="55"/>
      <c r="BS514" s="55"/>
    </row>
    <row r="515" spans="1:71" outlineLevel="1" x14ac:dyDescent="0.2">
      <c r="J515" s="26"/>
      <c r="L515" s="55"/>
      <c r="M515" s="55"/>
      <c r="N515" s="55"/>
      <c r="O515" s="55"/>
      <c r="P515" s="55"/>
      <c r="Q515" s="55"/>
      <c r="R515" s="55"/>
      <c r="S515" s="55"/>
      <c r="T515" s="55"/>
      <c r="U515" s="55"/>
      <c r="V515" s="55"/>
      <c r="W515" s="55"/>
      <c r="X515" s="55"/>
      <c r="Y515" s="55"/>
      <c r="Z515" s="55"/>
      <c r="AA515" s="55"/>
      <c r="AB515" s="55"/>
      <c r="AC515" s="55"/>
      <c r="AD515" s="55"/>
      <c r="AE515" s="55"/>
      <c r="AF515" s="55"/>
      <c r="AG515" s="55"/>
      <c r="AH515" s="55"/>
      <c r="AI515" s="55"/>
      <c r="AJ515" s="55"/>
      <c r="AK515" s="55"/>
      <c r="AL515" s="55"/>
      <c r="AM515" s="55"/>
      <c r="AN515" s="55"/>
      <c r="AO515" s="55"/>
      <c r="AP515" s="55"/>
      <c r="AQ515" s="55"/>
      <c r="AR515" s="55"/>
      <c r="AS515" s="55"/>
      <c r="AT515" s="55"/>
      <c r="AU515" s="55"/>
      <c r="AV515" s="55"/>
      <c r="AW515" s="55"/>
      <c r="AX515" s="55"/>
      <c r="AY515" s="55"/>
      <c r="AZ515" s="55"/>
      <c r="BA515" s="55"/>
      <c r="BB515" s="55"/>
      <c r="BC515" s="55"/>
      <c r="BD515" s="55"/>
      <c r="BE515" s="55"/>
      <c r="BF515" s="55"/>
      <c r="BG515" s="55"/>
      <c r="BH515" s="55"/>
      <c r="BI515" s="55"/>
      <c r="BJ515" s="55"/>
      <c r="BK515" s="55"/>
      <c r="BL515" s="55"/>
      <c r="BM515" s="55"/>
      <c r="BN515" s="55"/>
      <c r="BO515" s="55"/>
      <c r="BP515" s="55"/>
      <c r="BQ515" s="55"/>
      <c r="BR515" s="55"/>
      <c r="BS515" s="55"/>
    </row>
    <row r="516" spans="1:71" outlineLevel="1" x14ac:dyDescent="0.2">
      <c r="J516" s="26"/>
      <c r="L516" s="55"/>
      <c r="M516" s="55"/>
      <c r="N516" s="55"/>
      <c r="O516" s="55"/>
      <c r="P516" s="55"/>
      <c r="Q516" s="55"/>
      <c r="R516" s="55"/>
      <c r="S516" s="55"/>
      <c r="T516" s="55"/>
      <c r="U516" s="55"/>
      <c r="V516" s="55"/>
      <c r="W516" s="55"/>
      <c r="X516" s="55"/>
      <c r="Y516" s="55"/>
      <c r="Z516" s="55"/>
      <c r="AA516" s="55"/>
      <c r="AB516" s="55"/>
      <c r="AC516" s="55"/>
      <c r="AD516" s="55"/>
      <c r="AE516" s="55"/>
      <c r="AF516" s="55"/>
      <c r="AG516" s="55"/>
      <c r="AH516" s="55"/>
      <c r="AI516" s="55"/>
      <c r="AJ516" s="55"/>
      <c r="AK516" s="55"/>
      <c r="AL516" s="55"/>
      <c r="AM516" s="55"/>
      <c r="AN516" s="55"/>
      <c r="AO516" s="55"/>
      <c r="AP516" s="55"/>
      <c r="AQ516" s="55"/>
      <c r="AR516" s="55"/>
      <c r="AS516" s="55"/>
      <c r="AT516" s="55"/>
      <c r="AU516" s="55"/>
      <c r="AV516" s="55"/>
      <c r="AW516" s="55"/>
      <c r="AX516" s="55"/>
      <c r="AY516" s="55"/>
      <c r="AZ516" s="55"/>
      <c r="BA516" s="55"/>
      <c r="BB516" s="55"/>
      <c r="BC516" s="55"/>
      <c r="BD516" s="55"/>
      <c r="BE516" s="55"/>
      <c r="BF516" s="55"/>
      <c r="BG516" s="55"/>
      <c r="BH516" s="55"/>
      <c r="BI516" s="55"/>
      <c r="BJ516" s="55"/>
      <c r="BK516" s="55"/>
      <c r="BL516" s="55"/>
      <c r="BM516" s="55"/>
      <c r="BN516" s="55"/>
      <c r="BO516" s="55"/>
      <c r="BP516" s="55"/>
      <c r="BQ516" s="55"/>
      <c r="BR516" s="55"/>
      <c r="BS516" s="55"/>
    </row>
    <row r="517" spans="1:71" outlineLevel="1" x14ac:dyDescent="0.2">
      <c r="J517" s="26"/>
      <c r="L517" s="55"/>
      <c r="M517" s="55"/>
      <c r="N517" s="55"/>
      <c r="O517" s="55"/>
      <c r="P517" s="55"/>
      <c r="Q517" s="55"/>
      <c r="R517" s="55"/>
      <c r="S517" s="55"/>
      <c r="T517" s="55"/>
      <c r="U517" s="55"/>
      <c r="V517" s="55"/>
      <c r="W517" s="55"/>
      <c r="X517" s="55"/>
      <c r="Y517" s="55"/>
      <c r="Z517" s="55"/>
      <c r="AA517" s="55"/>
      <c r="AB517" s="55"/>
      <c r="AC517" s="55"/>
      <c r="AD517" s="55"/>
      <c r="AE517" s="55"/>
      <c r="AF517" s="55"/>
      <c r="AG517" s="55"/>
      <c r="AH517" s="55"/>
      <c r="AI517" s="55"/>
      <c r="AJ517" s="55"/>
      <c r="AK517" s="55"/>
      <c r="AL517" s="55"/>
      <c r="AM517" s="55"/>
      <c r="AN517" s="55"/>
      <c r="AO517" s="55"/>
      <c r="AP517" s="55"/>
      <c r="AQ517" s="55"/>
      <c r="AR517" s="55"/>
      <c r="AS517" s="55"/>
      <c r="AT517" s="55"/>
      <c r="AU517" s="55"/>
      <c r="AV517" s="55"/>
      <c r="AW517" s="55"/>
      <c r="AX517" s="55"/>
      <c r="AY517" s="55"/>
      <c r="AZ517" s="55"/>
      <c r="BA517" s="55"/>
      <c r="BB517" s="55"/>
      <c r="BC517" s="55"/>
      <c r="BD517" s="55"/>
      <c r="BE517" s="55"/>
      <c r="BF517" s="55"/>
      <c r="BG517" s="55"/>
      <c r="BH517" s="55"/>
      <c r="BI517" s="55"/>
      <c r="BJ517" s="55"/>
      <c r="BK517" s="55"/>
      <c r="BL517" s="55"/>
      <c r="BM517" s="55"/>
      <c r="BN517" s="55"/>
      <c r="BO517" s="55"/>
      <c r="BP517" s="55"/>
      <c r="BQ517" s="55"/>
      <c r="BR517" s="55"/>
      <c r="BS517" s="55"/>
    </row>
    <row r="518" spans="1:71" outlineLevel="1" x14ac:dyDescent="0.2">
      <c r="A518" s="45"/>
      <c r="B518" s="38" t="str">
        <f>HM_ZB_Nsoko!B531</f>
        <v>Flux de trésorerie du Gouv.</v>
      </c>
      <c r="C518" s="45"/>
      <c r="D518" s="45"/>
      <c r="E518" s="45"/>
      <c r="J518" s="26"/>
      <c r="L518" s="55"/>
      <c r="M518" s="55"/>
      <c r="N518" s="55"/>
      <c r="O518" s="55"/>
      <c r="P518" s="55"/>
      <c r="Q518" s="55"/>
      <c r="R518" s="55"/>
      <c r="S518" s="55"/>
      <c r="T518" s="55"/>
      <c r="U518" s="55"/>
      <c r="V518" s="55"/>
      <c r="W518" s="55"/>
      <c r="X518" s="55"/>
      <c r="Y518" s="55"/>
      <c r="Z518" s="55"/>
      <c r="AA518" s="55"/>
      <c r="AB518" s="55"/>
      <c r="AC518" s="55"/>
      <c r="AD518" s="55"/>
      <c r="AE518" s="55"/>
      <c r="AF518" s="55"/>
      <c r="AG518" s="55"/>
      <c r="AH518" s="55"/>
      <c r="AI518" s="55"/>
      <c r="AJ518" s="55"/>
      <c r="AK518" s="55"/>
      <c r="AL518" s="55"/>
      <c r="AM518" s="55"/>
      <c r="AN518" s="55"/>
      <c r="AO518" s="55"/>
      <c r="AP518" s="55"/>
      <c r="AQ518" s="55"/>
      <c r="AR518" s="55"/>
      <c r="AS518" s="55"/>
      <c r="AT518" s="55"/>
      <c r="AU518" s="55"/>
      <c r="AV518" s="55"/>
      <c r="AW518" s="55"/>
      <c r="AX518" s="55"/>
      <c r="AY518" s="55"/>
      <c r="AZ518" s="55"/>
      <c r="BA518" s="55"/>
      <c r="BB518" s="55"/>
      <c r="BC518" s="55"/>
      <c r="BD518" s="55"/>
      <c r="BE518" s="55"/>
      <c r="BF518" s="55"/>
      <c r="BG518" s="55"/>
      <c r="BH518" s="55"/>
      <c r="BI518" s="55"/>
      <c r="BJ518" s="55"/>
      <c r="BK518" s="55"/>
      <c r="BL518" s="55"/>
      <c r="BM518" s="55"/>
      <c r="BN518" s="55"/>
      <c r="BO518" s="55"/>
      <c r="BP518" s="55"/>
      <c r="BQ518" s="55"/>
      <c r="BR518" s="55"/>
      <c r="BS518" s="55"/>
    </row>
    <row r="519" spans="1:71" outlineLevel="1" x14ac:dyDescent="0.2">
      <c r="J519" s="26"/>
      <c r="L519" s="55"/>
      <c r="M519" s="55"/>
      <c r="N519" s="55"/>
      <c r="O519" s="55"/>
      <c r="P519" s="55"/>
      <c r="Q519" s="55"/>
      <c r="R519" s="55"/>
      <c r="S519" s="55"/>
      <c r="T519" s="55"/>
      <c r="U519" s="55"/>
      <c r="V519" s="55"/>
      <c r="W519" s="55"/>
      <c r="X519" s="55"/>
      <c r="Y519" s="55"/>
      <c r="Z519" s="55"/>
      <c r="AA519" s="55"/>
      <c r="AB519" s="55"/>
      <c r="AC519" s="55"/>
      <c r="AD519" s="55"/>
      <c r="AE519" s="55"/>
      <c r="AF519" s="55"/>
      <c r="AG519" s="55"/>
      <c r="AH519" s="55"/>
      <c r="AI519" s="55"/>
      <c r="AJ519" s="55"/>
      <c r="AK519" s="55"/>
      <c r="AL519" s="55"/>
      <c r="AM519" s="55"/>
      <c r="AN519" s="55"/>
      <c r="AO519" s="55"/>
      <c r="AP519" s="55"/>
      <c r="AQ519" s="55"/>
      <c r="AR519" s="55"/>
      <c r="AS519" s="55"/>
      <c r="AT519" s="55"/>
      <c r="AU519" s="55"/>
      <c r="AV519" s="55"/>
      <c r="AW519" s="55"/>
      <c r="AX519" s="55"/>
      <c r="AY519" s="55"/>
      <c r="AZ519" s="55"/>
      <c r="BA519" s="55"/>
      <c r="BB519" s="55"/>
      <c r="BC519" s="55"/>
      <c r="BD519" s="55"/>
      <c r="BE519" s="55"/>
      <c r="BF519" s="55"/>
      <c r="BG519" s="55"/>
      <c r="BH519" s="55"/>
      <c r="BI519" s="55"/>
      <c r="BJ519" s="55"/>
      <c r="BK519" s="55"/>
      <c r="BL519" s="55"/>
      <c r="BM519" s="55"/>
      <c r="BN519" s="55"/>
      <c r="BO519" s="55"/>
      <c r="BP519" s="55"/>
      <c r="BQ519" s="55"/>
      <c r="BR519" s="55"/>
      <c r="BS519" s="55"/>
    </row>
    <row r="520" spans="1:71" outlineLevel="1" x14ac:dyDescent="0.2">
      <c r="C520" s="11" t="str">
        <f>HM_ZB_Nsoko!C533</f>
        <v>Revenus</v>
      </c>
      <c r="J520" s="26"/>
      <c r="L520" s="55"/>
      <c r="M520" s="55"/>
      <c r="N520" s="55"/>
      <c r="O520" s="55"/>
      <c r="P520" s="55"/>
      <c r="Q520" s="55"/>
      <c r="R520" s="55"/>
      <c r="S520" s="55"/>
      <c r="T520" s="55"/>
      <c r="U520" s="55"/>
      <c r="V520" s="55"/>
      <c r="W520" s="55"/>
      <c r="X520" s="55"/>
      <c r="Y520" s="55"/>
      <c r="Z520" s="55"/>
      <c r="AA520" s="55"/>
      <c r="AB520" s="55"/>
      <c r="AC520" s="55"/>
      <c r="AD520" s="55"/>
      <c r="AE520" s="55"/>
      <c r="AF520" s="55"/>
      <c r="AG520" s="55"/>
      <c r="AH520" s="55"/>
      <c r="AI520" s="55"/>
      <c r="AJ520" s="55"/>
      <c r="AK520" s="55"/>
      <c r="AL520" s="55"/>
      <c r="AM520" s="55"/>
      <c r="AN520" s="55"/>
      <c r="AO520" s="55"/>
      <c r="AP520" s="55"/>
      <c r="AQ520" s="55"/>
      <c r="AR520" s="55"/>
      <c r="AS520" s="55"/>
      <c r="AT520" s="55"/>
      <c r="AU520" s="55"/>
      <c r="AV520" s="55"/>
      <c r="AW520" s="55"/>
      <c r="AX520" s="55"/>
      <c r="AY520" s="55"/>
      <c r="AZ520" s="55"/>
      <c r="BA520" s="55"/>
      <c r="BB520" s="55"/>
      <c r="BC520" s="55"/>
      <c r="BD520" s="55"/>
      <c r="BE520" s="55"/>
      <c r="BF520" s="55"/>
      <c r="BG520" s="55"/>
      <c r="BH520" s="55"/>
      <c r="BI520" s="55"/>
      <c r="BJ520" s="55"/>
      <c r="BK520" s="55"/>
      <c r="BL520" s="55"/>
      <c r="BM520" s="55"/>
      <c r="BN520" s="55"/>
      <c r="BO520" s="55"/>
      <c r="BP520" s="55"/>
      <c r="BQ520" s="55"/>
      <c r="BR520" s="55"/>
      <c r="BS520" s="55"/>
    </row>
    <row r="521" spans="1:71" outlineLevel="1" x14ac:dyDescent="0.2">
      <c r="D521" t="str">
        <f>HM_ZB_Nsoko!D534</f>
        <v>Redevance</v>
      </c>
      <c r="H521" s="7" t="s">
        <v>514</v>
      </c>
      <c r="I521" s="30">
        <f t="shared" ref="I521:I536" ca="1" si="142">SUM($L521:$BS521)</f>
        <v>679.95153953317106</v>
      </c>
      <c r="J521" s="26" t="s">
        <v>148</v>
      </c>
      <c r="L521" s="49" cm="1">
        <f t="array" aca="1" ref="L521:BS521" ca="1">KLL_II_2020!CA_roy_total_fp</f>
        <v>74.719362792150008</v>
      </c>
      <c r="M521" s="49">
        <f ca="1"/>
        <v>82.540535392949991</v>
      </c>
      <c r="N521" s="49">
        <f ca="1"/>
        <v>43.50580675754999</v>
      </c>
      <c r="O521" s="49">
        <f ca="1"/>
        <v>37.1600831676</v>
      </c>
      <c r="P521" s="49">
        <f ca="1"/>
        <v>44.619134701800014</v>
      </c>
      <c r="Q521" s="49">
        <f ca="1"/>
        <v>61.369389755850008</v>
      </c>
      <c r="R521" s="49">
        <f ca="1"/>
        <v>59.916944122949999</v>
      </c>
      <c r="S521" s="49">
        <f ca="1"/>
        <v>33.736207049999997</v>
      </c>
      <c r="T521" s="49">
        <f ca="1"/>
        <v>51.619911426719995</v>
      </c>
      <c r="U521" s="49">
        <f ca="1"/>
        <v>51.529582169099996</v>
      </c>
      <c r="V521" s="49">
        <f ca="1"/>
        <v>48.880961645608252</v>
      </c>
      <c r="W521" s="49">
        <f ca="1"/>
        <v>46.368480217023979</v>
      </c>
      <c r="X521" s="49">
        <f ca="1"/>
        <v>43.985140333868948</v>
      </c>
      <c r="Y521" s="49">
        <f ca="1"/>
        <v>0</v>
      </c>
      <c r="Z521" s="49">
        <f ca="1"/>
        <v>0</v>
      </c>
      <c r="AA521" s="49">
        <f ca="1"/>
        <v>0</v>
      </c>
      <c r="AB521" s="49">
        <f ca="1"/>
        <v>0</v>
      </c>
      <c r="AC521" s="49">
        <f ca="1"/>
        <v>0</v>
      </c>
      <c r="AD521" s="49">
        <f ca="1"/>
        <v>0</v>
      </c>
      <c r="AE521" s="49">
        <f ca="1"/>
        <v>0</v>
      </c>
      <c r="AF521" s="49">
        <f ca="1"/>
        <v>0</v>
      </c>
      <c r="AG521" s="49">
        <f ca="1"/>
        <v>0</v>
      </c>
      <c r="AH521" s="49">
        <f ca="1"/>
        <v>0</v>
      </c>
      <c r="AI521" s="49">
        <f ca="1"/>
        <v>0</v>
      </c>
      <c r="AJ521" s="49">
        <f ca="1"/>
        <v>0</v>
      </c>
      <c r="AK521" s="49">
        <f ca="1"/>
        <v>0</v>
      </c>
      <c r="AL521" s="49">
        <f ca="1"/>
        <v>0</v>
      </c>
      <c r="AM521" s="49">
        <f ca="1"/>
        <v>0</v>
      </c>
      <c r="AN521" s="49">
        <f ca="1"/>
        <v>0</v>
      </c>
      <c r="AO521" s="49">
        <f ca="1"/>
        <v>0</v>
      </c>
      <c r="AP521" s="49">
        <f ca="1"/>
        <v>0</v>
      </c>
      <c r="AQ521" s="49">
        <f ca="1"/>
        <v>0</v>
      </c>
      <c r="AR521" s="49">
        <f ca="1"/>
        <v>0</v>
      </c>
      <c r="AS521" s="49">
        <f ca="1"/>
        <v>0</v>
      </c>
      <c r="AT521" s="49">
        <f ca="1"/>
        <v>0</v>
      </c>
      <c r="AU521" s="49">
        <f ca="1"/>
        <v>0</v>
      </c>
      <c r="AV521" s="49">
        <f ca="1"/>
        <v>0</v>
      </c>
      <c r="AW521" s="49">
        <f ca="1"/>
        <v>0</v>
      </c>
      <c r="AX521" s="49">
        <f ca="1"/>
        <v>0</v>
      </c>
      <c r="AY521" s="49">
        <f ca="1"/>
        <v>0</v>
      </c>
      <c r="AZ521" s="49">
        <f ca="1"/>
        <v>0</v>
      </c>
      <c r="BA521" s="49">
        <f ca="1"/>
        <v>0</v>
      </c>
      <c r="BB521" s="49">
        <f ca="1"/>
        <v>0</v>
      </c>
      <c r="BC521" s="49">
        <f ca="1"/>
        <v>0</v>
      </c>
      <c r="BD521" s="49">
        <f ca="1"/>
        <v>0</v>
      </c>
      <c r="BE521" s="49">
        <f ca="1"/>
        <v>0</v>
      </c>
      <c r="BF521" s="49">
        <f ca="1"/>
        <v>0</v>
      </c>
      <c r="BG521" s="49">
        <f ca="1"/>
        <v>0</v>
      </c>
      <c r="BH521" s="49">
        <f ca="1"/>
        <v>0</v>
      </c>
      <c r="BI521" s="49">
        <f ca="1"/>
        <v>0</v>
      </c>
      <c r="BJ521" s="49">
        <f ca="1"/>
        <v>0</v>
      </c>
      <c r="BK521" s="49">
        <f ca="1"/>
        <v>0</v>
      </c>
      <c r="BL521" s="49">
        <f ca="1"/>
        <v>0</v>
      </c>
      <c r="BM521" s="49">
        <f ca="1"/>
        <v>0</v>
      </c>
      <c r="BN521" s="49">
        <f ca="1"/>
        <v>0</v>
      </c>
      <c r="BO521" s="49">
        <f ca="1"/>
        <v>0</v>
      </c>
      <c r="BP521" s="49">
        <f ca="1"/>
        <v>0</v>
      </c>
      <c r="BQ521" s="49">
        <f ca="1"/>
        <v>0</v>
      </c>
      <c r="BR521" s="49">
        <f ca="1"/>
        <v>0</v>
      </c>
      <c r="BS521" s="49">
        <f ca="1"/>
        <v>0</v>
      </c>
    </row>
    <row r="522" spans="1:71" outlineLevel="1" x14ac:dyDescent="0.2">
      <c r="D522" t="str">
        <f>HM_ZB_Nsoko!D535</f>
        <v>Coûts PID</v>
      </c>
      <c r="H522" s="7" t="s">
        <v>515</v>
      </c>
      <c r="I522" s="30">
        <f t="shared" ca="1" si="142"/>
        <v>45.330102635544748</v>
      </c>
      <c r="J522" s="26" t="s">
        <v>148</v>
      </c>
      <c r="L522" s="49" cm="1">
        <f t="array" aca="1" ref="L522:BS522" ca="1">KLL_II_2020!CA_pid_fees</f>
        <v>4.9812908528100008</v>
      </c>
      <c r="M522" s="49">
        <f ca="1"/>
        <v>5.5027023595299998</v>
      </c>
      <c r="N522" s="49">
        <f ca="1"/>
        <v>2.9003871171699998</v>
      </c>
      <c r="O522" s="49">
        <f ca="1"/>
        <v>2.4773388778399998</v>
      </c>
      <c r="P522" s="49">
        <f ca="1"/>
        <v>2.9746089801200011</v>
      </c>
      <c r="Q522" s="49">
        <f ca="1"/>
        <v>4.0912926503900007</v>
      </c>
      <c r="R522" s="49">
        <f ca="1"/>
        <v>3.9944629415300001</v>
      </c>
      <c r="S522" s="49">
        <f ca="1"/>
        <v>2.24908047</v>
      </c>
      <c r="T522" s="49">
        <f ca="1"/>
        <v>3.4413274284479995</v>
      </c>
      <c r="U522" s="49">
        <f ca="1"/>
        <v>3.4353054779399996</v>
      </c>
      <c r="V522" s="49">
        <f ca="1"/>
        <v>3.2587307763738838</v>
      </c>
      <c r="W522" s="49">
        <f ca="1"/>
        <v>3.0912320144682655</v>
      </c>
      <c r="X522" s="49">
        <f ca="1"/>
        <v>2.9323426889245967</v>
      </c>
      <c r="Y522" s="49">
        <f ca="1"/>
        <v>0</v>
      </c>
      <c r="Z522" s="49">
        <f ca="1"/>
        <v>0</v>
      </c>
      <c r="AA522" s="49">
        <f ca="1"/>
        <v>0</v>
      </c>
      <c r="AB522" s="49">
        <f ca="1"/>
        <v>0</v>
      </c>
      <c r="AC522" s="49">
        <f ca="1"/>
        <v>0</v>
      </c>
      <c r="AD522" s="49">
        <f ca="1"/>
        <v>0</v>
      </c>
      <c r="AE522" s="49">
        <f ca="1"/>
        <v>0</v>
      </c>
      <c r="AF522" s="49">
        <f ca="1"/>
        <v>0</v>
      </c>
      <c r="AG522" s="49">
        <f ca="1"/>
        <v>0</v>
      </c>
      <c r="AH522" s="49">
        <f ca="1"/>
        <v>0</v>
      </c>
      <c r="AI522" s="49">
        <f ca="1"/>
        <v>0</v>
      </c>
      <c r="AJ522" s="49">
        <f ca="1"/>
        <v>0</v>
      </c>
      <c r="AK522" s="49">
        <f ca="1"/>
        <v>0</v>
      </c>
      <c r="AL522" s="49">
        <f ca="1"/>
        <v>0</v>
      </c>
      <c r="AM522" s="49">
        <f ca="1"/>
        <v>0</v>
      </c>
      <c r="AN522" s="49">
        <f ca="1"/>
        <v>0</v>
      </c>
      <c r="AO522" s="49">
        <f ca="1"/>
        <v>0</v>
      </c>
      <c r="AP522" s="49">
        <f ca="1"/>
        <v>0</v>
      </c>
      <c r="AQ522" s="49">
        <f ca="1"/>
        <v>0</v>
      </c>
      <c r="AR522" s="49">
        <f ca="1"/>
        <v>0</v>
      </c>
      <c r="AS522" s="49">
        <f ca="1"/>
        <v>0</v>
      </c>
      <c r="AT522" s="49">
        <f ca="1"/>
        <v>0</v>
      </c>
      <c r="AU522" s="49">
        <f ca="1"/>
        <v>0</v>
      </c>
      <c r="AV522" s="49">
        <f ca="1"/>
        <v>0</v>
      </c>
      <c r="AW522" s="49">
        <f ca="1"/>
        <v>0</v>
      </c>
      <c r="AX522" s="49">
        <f ca="1"/>
        <v>0</v>
      </c>
      <c r="AY522" s="49">
        <f ca="1"/>
        <v>0</v>
      </c>
      <c r="AZ522" s="49">
        <f ca="1"/>
        <v>0</v>
      </c>
      <c r="BA522" s="49">
        <f ca="1"/>
        <v>0</v>
      </c>
      <c r="BB522" s="49">
        <f ca="1"/>
        <v>0</v>
      </c>
      <c r="BC522" s="49">
        <f ca="1"/>
        <v>0</v>
      </c>
      <c r="BD522" s="49">
        <f ca="1"/>
        <v>0</v>
      </c>
      <c r="BE522" s="49">
        <f ca="1"/>
        <v>0</v>
      </c>
      <c r="BF522" s="49">
        <f ca="1"/>
        <v>0</v>
      </c>
      <c r="BG522" s="49">
        <f ca="1"/>
        <v>0</v>
      </c>
      <c r="BH522" s="49">
        <f ca="1"/>
        <v>0</v>
      </c>
      <c r="BI522" s="49">
        <f ca="1"/>
        <v>0</v>
      </c>
      <c r="BJ522" s="49">
        <f ca="1"/>
        <v>0</v>
      </c>
      <c r="BK522" s="49">
        <f ca="1"/>
        <v>0</v>
      </c>
      <c r="BL522" s="49">
        <f ca="1"/>
        <v>0</v>
      </c>
      <c r="BM522" s="49">
        <f ca="1"/>
        <v>0</v>
      </c>
      <c r="BN522" s="49">
        <f ca="1"/>
        <v>0</v>
      </c>
      <c r="BO522" s="49">
        <f ca="1"/>
        <v>0</v>
      </c>
      <c r="BP522" s="49">
        <f ca="1"/>
        <v>0</v>
      </c>
      <c r="BQ522" s="49">
        <f ca="1"/>
        <v>0</v>
      </c>
      <c r="BR522" s="49">
        <f ca="1"/>
        <v>0</v>
      </c>
      <c r="BS522" s="49">
        <f ca="1"/>
        <v>0</v>
      </c>
    </row>
    <row r="523" spans="1:71" outlineLevel="1" x14ac:dyDescent="0.2">
      <c r="D523" t="str">
        <f>HM_ZB_Nsoko!D536</f>
        <v>Excess Cost Oil</v>
      </c>
      <c r="H523" s="7" t="s">
        <v>516</v>
      </c>
      <c r="I523" s="30">
        <f t="shared" ca="1" si="142"/>
        <v>0</v>
      </c>
      <c r="J523" s="26" t="s">
        <v>148</v>
      </c>
      <c r="L523" s="49" cm="1">
        <f t="array" aca="1" ref="L523:BS523" ca="1">KLL_II_2020!CA_excess_CR_gov</f>
        <v>0</v>
      </c>
      <c r="M523" s="49">
        <f ca="1"/>
        <v>0</v>
      </c>
      <c r="N523" s="49">
        <f ca="1"/>
        <v>0</v>
      </c>
      <c r="O523" s="49">
        <f ca="1"/>
        <v>0</v>
      </c>
      <c r="P523" s="49">
        <f ca="1"/>
        <v>0</v>
      </c>
      <c r="Q523" s="49">
        <f ca="1"/>
        <v>0</v>
      </c>
      <c r="R523" s="49">
        <f ca="1"/>
        <v>0</v>
      </c>
      <c r="S523" s="49">
        <f ca="1"/>
        <v>0</v>
      </c>
      <c r="T523" s="49">
        <f ca="1"/>
        <v>0</v>
      </c>
      <c r="U523" s="49">
        <f ca="1"/>
        <v>0</v>
      </c>
      <c r="V523" s="49">
        <f ca="1"/>
        <v>0</v>
      </c>
      <c r="W523" s="49">
        <f ca="1"/>
        <v>0</v>
      </c>
      <c r="X523" s="49">
        <f ca="1"/>
        <v>0</v>
      </c>
      <c r="Y523" s="49">
        <f ca="1"/>
        <v>0</v>
      </c>
      <c r="Z523" s="49">
        <f ca="1"/>
        <v>0</v>
      </c>
      <c r="AA523" s="49">
        <f ca="1"/>
        <v>0</v>
      </c>
      <c r="AB523" s="49">
        <f ca="1"/>
        <v>0</v>
      </c>
      <c r="AC523" s="49">
        <f ca="1"/>
        <v>0</v>
      </c>
      <c r="AD523" s="49">
        <f ca="1"/>
        <v>0</v>
      </c>
      <c r="AE523" s="49">
        <f ca="1"/>
        <v>0</v>
      </c>
      <c r="AF523" s="49">
        <f ca="1"/>
        <v>0</v>
      </c>
      <c r="AG523" s="49">
        <f ca="1"/>
        <v>0</v>
      </c>
      <c r="AH523" s="49">
        <f ca="1"/>
        <v>0</v>
      </c>
      <c r="AI523" s="49">
        <f ca="1"/>
        <v>0</v>
      </c>
      <c r="AJ523" s="49">
        <f ca="1"/>
        <v>0</v>
      </c>
      <c r="AK523" s="49">
        <f ca="1"/>
        <v>0</v>
      </c>
      <c r="AL523" s="49">
        <f ca="1"/>
        <v>0</v>
      </c>
      <c r="AM523" s="49">
        <f ca="1"/>
        <v>0</v>
      </c>
      <c r="AN523" s="49">
        <f ca="1"/>
        <v>0</v>
      </c>
      <c r="AO523" s="49">
        <f ca="1"/>
        <v>0</v>
      </c>
      <c r="AP523" s="49">
        <f ca="1"/>
        <v>0</v>
      </c>
      <c r="AQ523" s="49">
        <f ca="1"/>
        <v>0</v>
      </c>
      <c r="AR523" s="49">
        <f ca="1"/>
        <v>0</v>
      </c>
      <c r="AS523" s="49">
        <f ca="1"/>
        <v>0</v>
      </c>
      <c r="AT523" s="49">
        <f ca="1"/>
        <v>0</v>
      </c>
      <c r="AU523" s="49">
        <f ca="1"/>
        <v>0</v>
      </c>
      <c r="AV523" s="49">
        <f ca="1"/>
        <v>0</v>
      </c>
      <c r="AW523" s="49">
        <f ca="1"/>
        <v>0</v>
      </c>
      <c r="AX523" s="49">
        <f ca="1"/>
        <v>0</v>
      </c>
      <c r="AY523" s="49">
        <f ca="1"/>
        <v>0</v>
      </c>
      <c r="AZ523" s="49">
        <f ca="1"/>
        <v>0</v>
      </c>
      <c r="BA523" s="49">
        <f ca="1"/>
        <v>0</v>
      </c>
      <c r="BB523" s="49">
        <f ca="1"/>
        <v>0</v>
      </c>
      <c r="BC523" s="49">
        <f ca="1"/>
        <v>0</v>
      </c>
      <c r="BD523" s="49">
        <f ca="1"/>
        <v>0</v>
      </c>
      <c r="BE523" s="49">
        <f ca="1"/>
        <v>0</v>
      </c>
      <c r="BF523" s="49">
        <f ca="1"/>
        <v>0</v>
      </c>
      <c r="BG523" s="49">
        <f ca="1"/>
        <v>0</v>
      </c>
      <c r="BH523" s="49">
        <f ca="1"/>
        <v>0</v>
      </c>
      <c r="BI523" s="49">
        <f ca="1"/>
        <v>0</v>
      </c>
      <c r="BJ523" s="49">
        <f ca="1"/>
        <v>0</v>
      </c>
      <c r="BK523" s="49">
        <f ca="1"/>
        <v>0</v>
      </c>
      <c r="BL523" s="49">
        <f ca="1"/>
        <v>0</v>
      </c>
      <c r="BM523" s="49">
        <f ca="1"/>
        <v>0</v>
      </c>
      <c r="BN523" s="49">
        <f ca="1"/>
        <v>0</v>
      </c>
      <c r="BO523" s="49">
        <f ca="1"/>
        <v>0</v>
      </c>
      <c r="BP523" s="49">
        <f ca="1"/>
        <v>0</v>
      </c>
      <c r="BQ523" s="49">
        <f ca="1"/>
        <v>0</v>
      </c>
      <c r="BR523" s="49">
        <f ca="1"/>
        <v>0</v>
      </c>
      <c r="BS523" s="49">
        <f ca="1"/>
        <v>0</v>
      </c>
    </row>
    <row r="524" spans="1:71" outlineLevel="1" x14ac:dyDescent="0.2">
      <c r="D524" t="str">
        <f>HM_ZB_Nsoko!D537</f>
        <v>Super Profit Oil</v>
      </c>
      <c r="H524" s="7" t="s">
        <v>517</v>
      </c>
      <c r="I524" s="30">
        <f t="shared" ca="1" si="142"/>
        <v>877.86031567577709</v>
      </c>
      <c r="J524" s="26" t="s">
        <v>148</v>
      </c>
      <c r="L524" s="49" cm="1">
        <f t="array" aca="1" ref="L524:BS524" ca="1">KLL_II_2020!CA_Spo_gov</f>
        <v>182.35352102457605</v>
      </c>
      <c r="M524" s="49">
        <f ca="1"/>
        <v>187.67513132870698</v>
      </c>
      <c r="N524" s="49">
        <f ca="1"/>
        <v>36.536222819637722</v>
      </c>
      <c r="O524" s="49">
        <f ca="1"/>
        <v>6.8541527423737687</v>
      </c>
      <c r="P524" s="49">
        <f ca="1"/>
        <v>45.869841242412051</v>
      </c>
      <c r="Q524" s="49">
        <f ca="1"/>
        <v>96.318208163430015</v>
      </c>
      <c r="R524" s="49">
        <f ca="1"/>
        <v>83.560813431141753</v>
      </c>
      <c r="S524" s="49">
        <f ca="1"/>
        <v>0</v>
      </c>
      <c r="T524" s="49">
        <f ca="1"/>
        <v>45.039546068932786</v>
      </c>
      <c r="U524" s="49">
        <f ca="1"/>
        <v>52.30988727051782</v>
      </c>
      <c r="V524" s="49">
        <f ca="1"/>
        <v>49.621159064813206</v>
      </c>
      <c r="W524" s="49">
        <f ca="1"/>
        <v>47.07063148888178</v>
      </c>
      <c r="X524" s="49">
        <f ca="1"/>
        <v>44.651201030353278</v>
      </c>
      <c r="Y524" s="49">
        <f ca="1"/>
        <v>0</v>
      </c>
      <c r="Z524" s="49">
        <f ca="1"/>
        <v>0</v>
      </c>
      <c r="AA524" s="49">
        <f ca="1"/>
        <v>0</v>
      </c>
      <c r="AB524" s="49">
        <f ca="1"/>
        <v>0</v>
      </c>
      <c r="AC524" s="49">
        <f ca="1"/>
        <v>0</v>
      </c>
      <c r="AD524" s="49">
        <f ca="1"/>
        <v>0</v>
      </c>
      <c r="AE524" s="49">
        <f ca="1"/>
        <v>0</v>
      </c>
      <c r="AF524" s="49">
        <f ca="1"/>
        <v>0</v>
      </c>
      <c r="AG524" s="49">
        <f ca="1"/>
        <v>0</v>
      </c>
      <c r="AH524" s="49">
        <f ca="1"/>
        <v>0</v>
      </c>
      <c r="AI524" s="49">
        <f ca="1"/>
        <v>0</v>
      </c>
      <c r="AJ524" s="49">
        <f ca="1"/>
        <v>0</v>
      </c>
      <c r="AK524" s="49">
        <f ca="1"/>
        <v>0</v>
      </c>
      <c r="AL524" s="49">
        <f ca="1"/>
        <v>0</v>
      </c>
      <c r="AM524" s="49">
        <f ca="1"/>
        <v>0</v>
      </c>
      <c r="AN524" s="49">
        <f ca="1"/>
        <v>0</v>
      </c>
      <c r="AO524" s="49">
        <f ca="1"/>
        <v>0</v>
      </c>
      <c r="AP524" s="49">
        <f ca="1"/>
        <v>0</v>
      </c>
      <c r="AQ524" s="49">
        <f ca="1"/>
        <v>0</v>
      </c>
      <c r="AR524" s="49">
        <f ca="1"/>
        <v>0</v>
      </c>
      <c r="AS524" s="49">
        <f ca="1"/>
        <v>0</v>
      </c>
      <c r="AT524" s="49">
        <f ca="1"/>
        <v>0</v>
      </c>
      <c r="AU524" s="49">
        <f ca="1"/>
        <v>0</v>
      </c>
      <c r="AV524" s="49">
        <f ca="1"/>
        <v>0</v>
      </c>
      <c r="AW524" s="49">
        <f ca="1"/>
        <v>0</v>
      </c>
      <c r="AX524" s="49">
        <f ca="1"/>
        <v>0</v>
      </c>
      <c r="AY524" s="49">
        <f ca="1"/>
        <v>0</v>
      </c>
      <c r="AZ524" s="49">
        <f ca="1"/>
        <v>0</v>
      </c>
      <c r="BA524" s="49">
        <f ca="1"/>
        <v>0</v>
      </c>
      <c r="BB524" s="49">
        <f ca="1"/>
        <v>0</v>
      </c>
      <c r="BC524" s="49">
        <f ca="1"/>
        <v>0</v>
      </c>
      <c r="BD524" s="49">
        <f ca="1"/>
        <v>0</v>
      </c>
      <c r="BE524" s="49">
        <f ca="1"/>
        <v>0</v>
      </c>
      <c r="BF524" s="49">
        <f ca="1"/>
        <v>0</v>
      </c>
      <c r="BG524" s="49">
        <f ca="1"/>
        <v>0</v>
      </c>
      <c r="BH524" s="49">
        <f ca="1"/>
        <v>0</v>
      </c>
      <c r="BI524" s="49">
        <f ca="1"/>
        <v>0</v>
      </c>
      <c r="BJ524" s="49">
        <f ca="1"/>
        <v>0</v>
      </c>
      <c r="BK524" s="49">
        <f ca="1"/>
        <v>0</v>
      </c>
      <c r="BL524" s="49">
        <f ca="1"/>
        <v>0</v>
      </c>
      <c r="BM524" s="49">
        <f ca="1"/>
        <v>0</v>
      </c>
      <c r="BN524" s="49">
        <f ca="1"/>
        <v>0</v>
      </c>
      <c r="BO524" s="49">
        <f ca="1"/>
        <v>0</v>
      </c>
      <c r="BP524" s="49">
        <f ca="1"/>
        <v>0</v>
      </c>
      <c r="BQ524" s="49">
        <f ca="1"/>
        <v>0</v>
      </c>
      <c r="BR524" s="49">
        <f ca="1"/>
        <v>0</v>
      </c>
      <c r="BS524" s="49">
        <f ca="1"/>
        <v>0</v>
      </c>
    </row>
    <row r="525" spans="1:71" outlineLevel="1" x14ac:dyDescent="0.2">
      <c r="D525" t="str">
        <f>HM_ZB_Nsoko!D538</f>
        <v>Profit Oil</v>
      </c>
      <c r="H525" s="7" t="s">
        <v>518</v>
      </c>
      <c r="I525" s="30">
        <f t="shared" ca="1" si="142"/>
        <v>427.51339860831536</v>
      </c>
      <c r="J525" s="26" t="s">
        <v>148</v>
      </c>
      <c r="L525" s="49" cm="1">
        <f t="array" aca="1" ref="L525:BS525" ca="1">KLL_II_2020!CA_PS_gov</f>
        <v>21.202085093962516</v>
      </c>
      <c r="M525" s="49">
        <f ca="1"/>
        <v>16.032058693997516</v>
      </c>
      <c r="N525" s="49">
        <f ca="1"/>
        <v>27.551689965358136</v>
      </c>
      <c r="O525" s="49">
        <f ca="1"/>
        <v>28.850727972005622</v>
      </c>
      <c r="P525" s="49">
        <f ca="1"/>
        <v>26.422818202199991</v>
      </c>
      <c r="Q525" s="49">
        <f ca="1"/>
        <v>29.086284165102498</v>
      </c>
      <c r="R525" s="49">
        <f ca="1"/>
        <v>30.685825854928126</v>
      </c>
      <c r="S525" s="49">
        <f ca="1"/>
        <v>39.358908225000008</v>
      </c>
      <c r="T525" s="49">
        <f ca="1"/>
        <v>46.173460724999984</v>
      </c>
      <c r="U525" s="49">
        <f ca="1"/>
        <v>43.800144843734998</v>
      </c>
      <c r="V525" s="49">
        <f ca="1"/>
        <v>41.548817398767007</v>
      </c>
      <c r="W525" s="49">
        <f ca="1"/>
        <v>39.413208184470378</v>
      </c>
      <c r="X525" s="49">
        <f ca="1"/>
        <v>37.387369283788615</v>
      </c>
      <c r="Y525" s="49">
        <f ca="1"/>
        <v>0</v>
      </c>
      <c r="Z525" s="49">
        <f ca="1"/>
        <v>0</v>
      </c>
      <c r="AA525" s="49">
        <f ca="1"/>
        <v>0</v>
      </c>
      <c r="AB525" s="49">
        <f ca="1"/>
        <v>0</v>
      </c>
      <c r="AC525" s="49">
        <f ca="1"/>
        <v>0</v>
      </c>
      <c r="AD525" s="49">
        <f ca="1"/>
        <v>0</v>
      </c>
      <c r="AE525" s="49">
        <f ca="1"/>
        <v>0</v>
      </c>
      <c r="AF525" s="49">
        <f ca="1"/>
        <v>0</v>
      </c>
      <c r="AG525" s="49">
        <f ca="1"/>
        <v>0</v>
      </c>
      <c r="AH525" s="49">
        <f ca="1"/>
        <v>0</v>
      </c>
      <c r="AI525" s="49">
        <f ca="1"/>
        <v>0</v>
      </c>
      <c r="AJ525" s="49">
        <f ca="1"/>
        <v>0</v>
      </c>
      <c r="AK525" s="49">
        <f ca="1"/>
        <v>0</v>
      </c>
      <c r="AL525" s="49">
        <f ca="1"/>
        <v>0</v>
      </c>
      <c r="AM525" s="49">
        <f ca="1"/>
        <v>0</v>
      </c>
      <c r="AN525" s="49">
        <f ca="1"/>
        <v>0</v>
      </c>
      <c r="AO525" s="49">
        <f ca="1"/>
        <v>0</v>
      </c>
      <c r="AP525" s="49">
        <f ca="1"/>
        <v>0</v>
      </c>
      <c r="AQ525" s="49">
        <f ca="1"/>
        <v>0</v>
      </c>
      <c r="AR525" s="49">
        <f ca="1"/>
        <v>0</v>
      </c>
      <c r="AS525" s="49">
        <f ca="1"/>
        <v>0</v>
      </c>
      <c r="AT525" s="49">
        <f ca="1"/>
        <v>0</v>
      </c>
      <c r="AU525" s="49">
        <f ca="1"/>
        <v>0</v>
      </c>
      <c r="AV525" s="49">
        <f ca="1"/>
        <v>0</v>
      </c>
      <c r="AW525" s="49">
        <f ca="1"/>
        <v>0</v>
      </c>
      <c r="AX525" s="49">
        <f ca="1"/>
        <v>0</v>
      </c>
      <c r="AY525" s="49">
        <f ca="1"/>
        <v>0</v>
      </c>
      <c r="AZ525" s="49">
        <f ca="1"/>
        <v>0</v>
      </c>
      <c r="BA525" s="49">
        <f ca="1"/>
        <v>0</v>
      </c>
      <c r="BB525" s="49">
        <f ca="1"/>
        <v>0</v>
      </c>
      <c r="BC525" s="49">
        <f ca="1"/>
        <v>0</v>
      </c>
      <c r="BD525" s="49">
        <f ca="1"/>
        <v>0</v>
      </c>
      <c r="BE525" s="49">
        <f ca="1"/>
        <v>0</v>
      </c>
      <c r="BF525" s="49">
        <f ca="1"/>
        <v>0</v>
      </c>
      <c r="BG525" s="49">
        <f ca="1"/>
        <v>0</v>
      </c>
      <c r="BH525" s="49">
        <f ca="1"/>
        <v>0</v>
      </c>
      <c r="BI525" s="49">
        <f ca="1"/>
        <v>0</v>
      </c>
      <c r="BJ525" s="49">
        <f ca="1"/>
        <v>0</v>
      </c>
      <c r="BK525" s="49">
        <f ca="1"/>
        <v>0</v>
      </c>
      <c r="BL525" s="49">
        <f ca="1"/>
        <v>0</v>
      </c>
      <c r="BM525" s="49">
        <f ca="1"/>
        <v>0</v>
      </c>
      <c r="BN525" s="49">
        <f ca="1"/>
        <v>0</v>
      </c>
      <c r="BO525" s="49">
        <f ca="1"/>
        <v>0</v>
      </c>
      <c r="BP525" s="49">
        <f ca="1"/>
        <v>0</v>
      </c>
      <c r="BQ525" s="49">
        <f ca="1"/>
        <v>0</v>
      </c>
      <c r="BR525" s="49">
        <f ca="1"/>
        <v>0</v>
      </c>
      <c r="BS525" s="49">
        <f ca="1"/>
        <v>0</v>
      </c>
    </row>
    <row r="526" spans="1:71" outlineLevel="1" x14ac:dyDescent="0.2">
      <c r="D526" t="str">
        <f>HM_ZB_Nsoko!D539</f>
        <v>Production et autres taxes</v>
      </c>
      <c r="I526" s="30">
        <f t="shared" si="142"/>
        <v>0</v>
      </c>
      <c r="J526" s="26" t="s">
        <v>148</v>
      </c>
      <c r="L526" s="49">
        <v>0</v>
      </c>
      <c r="M526" s="49">
        <v>0</v>
      </c>
      <c r="N526" s="49">
        <v>0</v>
      </c>
      <c r="O526" s="49">
        <v>0</v>
      </c>
      <c r="P526" s="49">
        <v>0</v>
      </c>
      <c r="Q526" s="49">
        <v>0</v>
      </c>
      <c r="R526" s="49">
        <v>0</v>
      </c>
      <c r="S526" s="49">
        <v>0</v>
      </c>
      <c r="T526" s="49">
        <v>0</v>
      </c>
      <c r="U526" s="49">
        <v>0</v>
      </c>
      <c r="V526" s="49">
        <v>0</v>
      </c>
      <c r="W526" s="49">
        <v>0</v>
      </c>
      <c r="X526" s="49">
        <v>0</v>
      </c>
      <c r="Y526" s="49">
        <v>0</v>
      </c>
      <c r="Z526" s="49">
        <v>0</v>
      </c>
      <c r="AA526" s="49">
        <v>0</v>
      </c>
      <c r="AB526" s="49">
        <v>0</v>
      </c>
      <c r="AC526" s="49">
        <v>0</v>
      </c>
      <c r="AD526" s="49">
        <v>0</v>
      </c>
      <c r="AE526" s="49">
        <v>0</v>
      </c>
      <c r="AF526" s="49">
        <v>0</v>
      </c>
      <c r="AG526" s="49">
        <v>0</v>
      </c>
      <c r="AH526" s="49">
        <v>0</v>
      </c>
      <c r="AI526" s="49">
        <v>0</v>
      </c>
      <c r="AJ526" s="49">
        <v>0</v>
      </c>
      <c r="AK526" s="49">
        <v>0</v>
      </c>
      <c r="AL526" s="49">
        <v>0</v>
      </c>
      <c r="AM526" s="49">
        <v>0</v>
      </c>
      <c r="AN526" s="49">
        <v>0</v>
      </c>
      <c r="AO526" s="49">
        <v>0</v>
      </c>
      <c r="AP526" s="49">
        <v>0</v>
      </c>
      <c r="AQ526" s="49">
        <v>0</v>
      </c>
      <c r="AR526" s="49">
        <v>0</v>
      </c>
      <c r="AS526" s="49">
        <v>0</v>
      </c>
      <c r="AT526" s="49">
        <v>0</v>
      </c>
      <c r="AU526" s="49">
        <v>0</v>
      </c>
      <c r="AV526" s="49">
        <v>0</v>
      </c>
      <c r="AW526" s="49">
        <v>0</v>
      </c>
      <c r="AX526" s="49">
        <v>0</v>
      </c>
      <c r="AY526" s="49">
        <v>0</v>
      </c>
      <c r="AZ526" s="49">
        <v>0</v>
      </c>
      <c r="BA526" s="49">
        <v>0</v>
      </c>
      <c r="BB526" s="49">
        <v>0</v>
      </c>
      <c r="BC526" s="49">
        <v>0</v>
      </c>
      <c r="BD526" s="49">
        <v>0</v>
      </c>
      <c r="BE526" s="49">
        <v>0</v>
      </c>
      <c r="BF526" s="49">
        <v>0</v>
      </c>
      <c r="BG526" s="49">
        <v>0</v>
      </c>
      <c r="BH526" s="49">
        <v>0</v>
      </c>
      <c r="BI526" s="49">
        <v>0</v>
      </c>
      <c r="BJ526" s="49">
        <v>0</v>
      </c>
      <c r="BK526" s="49">
        <v>0</v>
      </c>
      <c r="BL526" s="49">
        <v>0</v>
      </c>
      <c r="BM526" s="49">
        <v>0</v>
      </c>
      <c r="BN526" s="49">
        <v>0</v>
      </c>
      <c r="BO526" s="49">
        <v>0</v>
      </c>
      <c r="BP526" s="49">
        <v>0</v>
      </c>
      <c r="BQ526" s="49">
        <v>0</v>
      </c>
      <c r="BR526" s="49">
        <v>0</v>
      </c>
      <c r="BS526" s="49">
        <v>0</v>
      </c>
    </row>
    <row r="527" spans="1:71" outlineLevel="1" x14ac:dyDescent="0.2">
      <c r="D527" t="str">
        <f>HM_ZB_Nsoko!D540</f>
        <v>Impôt sur le revenu</v>
      </c>
      <c r="I527" s="30">
        <f t="shared" si="142"/>
        <v>0</v>
      </c>
      <c r="J527" s="26" t="s">
        <v>148</v>
      </c>
      <c r="L527" s="49">
        <v>0</v>
      </c>
      <c r="M527" s="49">
        <v>0</v>
      </c>
      <c r="N527" s="49">
        <v>0</v>
      </c>
      <c r="O527" s="49">
        <v>0</v>
      </c>
      <c r="P527" s="49">
        <v>0</v>
      </c>
      <c r="Q527" s="49">
        <v>0</v>
      </c>
      <c r="R527" s="49">
        <v>0</v>
      </c>
      <c r="S527" s="49">
        <v>0</v>
      </c>
      <c r="T527" s="49">
        <v>0</v>
      </c>
      <c r="U527" s="49">
        <v>0</v>
      </c>
      <c r="V527" s="49">
        <v>0</v>
      </c>
      <c r="W527" s="49">
        <v>0</v>
      </c>
      <c r="X527" s="49">
        <v>0</v>
      </c>
      <c r="Y527" s="49">
        <v>0</v>
      </c>
      <c r="Z527" s="49">
        <v>0</v>
      </c>
      <c r="AA527" s="49">
        <v>0</v>
      </c>
      <c r="AB527" s="49">
        <v>0</v>
      </c>
      <c r="AC527" s="49">
        <v>0</v>
      </c>
      <c r="AD527" s="49">
        <v>0</v>
      </c>
      <c r="AE527" s="49">
        <v>0</v>
      </c>
      <c r="AF527" s="49">
        <v>0</v>
      </c>
      <c r="AG527" s="49">
        <v>0</v>
      </c>
      <c r="AH527" s="49">
        <v>0</v>
      </c>
      <c r="AI527" s="49">
        <v>0</v>
      </c>
      <c r="AJ527" s="49">
        <v>0</v>
      </c>
      <c r="AK527" s="49">
        <v>0</v>
      </c>
      <c r="AL527" s="49">
        <v>0</v>
      </c>
      <c r="AM527" s="49">
        <v>0</v>
      </c>
      <c r="AN527" s="49">
        <v>0</v>
      </c>
      <c r="AO527" s="49">
        <v>0</v>
      </c>
      <c r="AP527" s="49">
        <v>0</v>
      </c>
      <c r="AQ527" s="49">
        <v>0</v>
      </c>
      <c r="AR527" s="49">
        <v>0</v>
      </c>
      <c r="AS527" s="49">
        <v>0</v>
      </c>
      <c r="AT527" s="49">
        <v>0</v>
      </c>
      <c r="AU527" s="49">
        <v>0</v>
      </c>
      <c r="AV527" s="49">
        <v>0</v>
      </c>
      <c r="AW527" s="49">
        <v>0</v>
      </c>
      <c r="AX527" s="49">
        <v>0</v>
      </c>
      <c r="AY527" s="49">
        <v>0</v>
      </c>
      <c r="AZ527" s="49">
        <v>0</v>
      </c>
      <c r="BA527" s="49">
        <v>0</v>
      </c>
      <c r="BB527" s="49">
        <v>0</v>
      </c>
      <c r="BC527" s="49">
        <v>0</v>
      </c>
      <c r="BD527" s="49">
        <v>0</v>
      </c>
      <c r="BE527" s="49">
        <v>0</v>
      </c>
      <c r="BF527" s="49">
        <v>0</v>
      </c>
      <c r="BG527" s="49">
        <v>0</v>
      </c>
      <c r="BH527" s="49">
        <v>0</v>
      </c>
      <c r="BI527" s="49">
        <v>0</v>
      </c>
      <c r="BJ527" s="49">
        <v>0</v>
      </c>
      <c r="BK527" s="49">
        <v>0</v>
      </c>
      <c r="BL527" s="49">
        <v>0</v>
      </c>
      <c r="BM527" s="49">
        <v>0</v>
      </c>
      <c r="BN527" s="49">
        <v>0</v>
      </c>
      <c r="BO527" s="49">
        <v>0</v>
      </c>
      <c r="BP527" s="49">
        <v>0</v>
      </c>
      <c r="BQ527" s="49">
        <v>0</v>
      </c>
      <c r="BR527" s="49">
        <v>0</v>
      </c>
      <c r="BS527" s="49">
        <v>0</v>
      </c>
    </row>
    <row r="528" spans="1:71" outlineLevel="1" x14ac:dyDescent="0.2">
      <c r="D528" t="str">
        <f>HM_ZB_Nsoko!D541</f>
        <v>Impôts supplémentaires</v>
      </c>
      <c r="I528" s="30">
        <f t="shared" si="142"/>
        <v>0</v>
      </c>
      <c r="J528" s="26" t="s">
        <v>148</v>
      </c>
      <c r="L528" s="49">
        <v>0</v>
      </c>
      <c r="M528" s="49">
        <v>0</v>
      </c>
      <c r="N528" s="49">
        <v>0</v>
      </c>
      <c r="O528" s="49">
        <v>0</v>
      </c>
      <c r="P528" s="49">
        <v>0</v>
      </c>
      <c r="Q528" s="49">
        <v>0</v>
      </c>
      <c r="R528" s="49">
        <v>0</v>
      </c>
      <c r="S528" s="49">
        <v>0</v>
      </c>
      <c r="T528" s="49">
        <v>0</v>
      </c>
      <c r="U528" s="49">
        <v>0</v>
      </c>
      <c r="V528" s="49">
        <v>0</v>
      </c>
      <c r="W528" s="49">
        <v>0</v>
      </c>
      <c r="X528" s="49">
        <v>0</v>
      </c>
      <c r="Y528" s="49">
        <v>0</v>
      </c>
      <c r="Z528" s="49">
        <v>0</v>
      </c>
      <c r="AA528" s="49">
        <v>0</v>
      </c>
      <c r="AB528" s="49">
        <v>0</v>
      </c>
      <c r="AC528" s="49">
        <v>0</v>
      </c>
      <c r="AD528" s="49">
        <v>0</v>
      </c>
      <c r="AE528" s="49">
        <v>0</v>
      </c>
      <c r="AF528" s="49">
        <v>0</v>
      </c>
      <c r="AG528" s="49">
        <v>0</v>
      </c>
      <c r="AH528" s="49">
        <v>0</v>
      </c>
      <c r="AI528" s="49">
        <v>0</v>
      </c>
      <c r="AJ528" s="49">
        <v>0</v>
      </c>
      <c r="AK528" s="49">
        <v>0</v>
      </c>
      <c r="AL528" s="49">
        <v>0</v>
      </c>
      <c r="AM528" s="49">
        <v>0</v>
      </c>
      <c r="AN528" s="49">
        <v>0</v>
      </c>
      <c r="AO528" s="49">
        <v>0</v>
      </c>
      <c r="AP528" s="49">
        <v>0</v>
      </c>
      <c r="AQ528" s="49">
        <v>0</v>
      </c>
      <c r="AR528" s="49">
        <v>0</v>
      </c>
      <c r="AS528" s="49">
        <v>0</v>
      </c>
      <c r="AT528" s="49">
        <v>0</v>
      </c>
      <c r="AU528" s="49">
        <v>0</v>
      </c>
      <c r="AV528" s="49">
        <v>0</v>
      </c>
      <c r="AW528" s="49">
        <v>0</v>
      </c>
      <c r="AX528" s="49">
        <v>0</v>
      </c>
      <c r="AY528" s="49">
        <v>0</v>
      </c>
      <c r="AZ528" s="49">
        <v>0</v>
      </c>
      <c r="BA528" s="49">
        <v>0</v>
      </c>
      <c r="BB528" s="49">
        <v>0</v>
      </c>
      <c r="BC528" s="49">
        <v>0</v>
      </c>
      <c r="BD528" s="49">
        <v>0</v>
      </c>
      <c r="BE528" s="49">
        <v>0</v>
      </c>
      <c r="BF528" s="49">
        <v>0</v>
      </c>
      <c r="BG528" s="49">
        <v>0</v>
      </c>
      <c r="BH528" s="49">
        <v>0</v>
      </c>
      <c r="BI528" s="49">
        <v>0</v>
      </c>
      <c r="BJ528" s="49">
        <v>0</v>
      </c>
      <c r="BK528" s="49">
        <v>0</v>
      </c>
      <c r="BL528" s="49">
        <v>0</v>
      </c>
      <c r="BM528" s="49">
        <v>0</v>
      </c>
      <c r="BN528" s="49">
        <v>0</v>
      </c>
      <c r="BO528" s="49">
        <v>0</v>
      </c>
      <c r="BP528" s="49">
        <v>0</v>
      </c>
      <c r="BQ528" s="49">
        <v>0</v>
      </c>
      <c r="BR528" s="49">
        <v>0</v>
      </c>
      <c r="BS528" s="49">
        <v>0</v>
      </c>
    </row>
    <row r="529" spans="3:71" outlineLevel="1" x14ac:dyDescent="0.2">
      <c r="C529" s="11" t="str">
        <f>HM_ZB_Nsoko!C542</f>
        <v>Coûts</v>
      </c>
      <c r="J529" s="26"/>
      <c r="L529" s="55"/>
      <c r="M529" s="55"/>
      <c r="N529" s="55"/>
      <c r="O529" s="55"/>
      <c r="P529" s="55"/>
      <c r="Q529" s="55"/>
      <c r="R529" s="55"/>
      <c r="S529" s="55"/>
      <c r="T529" s="55"/>
      <c r="U529" s="55"/>
      <c r="V529" s="55"/>
      <c r="W529" s="55"/>
      <c r="X529" s="55"/>
      <c r="Y529" s="55"/>
      <c r="Z529" s="55"/>
      <c r="AA529" s="55"/>
      <c r="AB529" s="55"/>
      <c r="AC529" s="55"/>
      <c r="AD529" s="55"/>
      <c r="AE529" s="55"/>
      <c r="AF529" s="55"/>
      <c r="AG529" s="55"/>
      <c r="AH529" s="55"/>
      <c r="AI529" s="55"/>
      <c r="AJ529" s="55"/>
      <c r="AK529" s="55"/>
      <c r="AL529" s="55"/>
      <c r="AM529" s="55"/>
      <c r="AN529" s="55"/>
      <c r="AO529" s="55"/>
      <c r="AP529" s="55"/>
      <c r="AQ529" s="55"/>
      <c r="AR529" s="55"/>
      <c r="AS529" s="55"/>
      <c r="AT529" s="55"/>
      <c r="AU529" s="55"/>
      <c r="AV529" s="55"/>
      <c r="AW529" s="55"/>
      <c r="AX529" s="55"/>
      <c r="AY529" s="55"/>
      <c r="AZ529" s="55"/>
      <c r="BA529" s="55"/>
      <c r="BB529" s="55"/>
      <c r="BC529" s="55"/>
      <c r="BD529" s="55"/>
      <c r="BE529" s="55"/>
      <c r="BF529" s="55"/>
      <c r="BG529" s="55"/>
      <c r="BH529" s="55"/>
      <c r="BI529" s="55"/>
      <c r="BJ529" s="55"/>
      <c r="BK529" s="55"/>
      <c r="BL529" s="55"/>
      <c r="BM529" s="55"/>
      <c r="BN529" s="55"/>
      <c r="BO529" s="55"/>
      <c r="BP529" s="55"/>
      <c r="BQ529" s="55"/>
      <c r="BR529" s="55"/>
      <c r="BS529" s="55"/>
    </row>
    <row r="530" spans="3:71" outlineLevel="1" x14ac:dyDescent="0.2">
      <c r="D530" t="str">
        <f>HM_ZB_Nsoko!D543</f>
        <v>Coûts de financement</v>
      </c>
      <c r="I530" s="30">
        <f t="shared" si="142"/>
        <v>0</v>
      </c>
      <c r="J530" s="26" t="s">
        <v>148</v>
      </c>
      <c r="L530" s="49">
        <v>0</v>
      </c>
      <c r="M530" s="49">
        <v>0</v>
      </c>
      <c r="N530" s="49">
        <v>0</v>
      </c>
      <c r="O530" s="49">
        <v>0</v>
      </c>
      <c r="P530" s="49">
        <v>0</v>
      </c>
      <c r="Q530" s="49">
        <v>0</v>
      </c>
      <c r="R530" s="49">
        <v>0</v>
      </c>
      <c r="S530" s="49">
        <v>0</v>
      </c>
      <c r="T530" s="49">
        <v>0</v>
      </c>
      <c r="U530" s="49">
        <v>0</v>
      </c>
      <c r="V530" s="49">
        <v>0</v>
      </c>
      <c r="W530" s="49">
        <v>0</v>
      </c>
      <c r="X530" s="49">
        <v>0</v>
      </c>
      <c r="Y530" s="49">
        <v>0</v>
      </c>
      <c r="Z530" s="49">
        <v>0</v>
      </c>
      <c r="AA530" s="49">
        <v>0</v>
      </c>
      <c r="AB530" s="49">
        <v>0</v>
      </c>
      <c r="AC530" s="49">
        <v>0</v>
      </c>
      <c r="AD530" s="49">
        <v>0</v>
      </c>
      <c r="AE530" s="49">
        <v>0</v>
      </c>
      <c r="AF530" s="49">
        <v>0</v>
      </c>
      <c r="AG530" s="49">
        <v>0</v>
      </c>
      <c r="AH530" s="49">
        <v>0</v>
      </c>
      <c r="AI530" s="49">
        <v>0</v>
      </c>
      <c r="AJ530" s="49">
        <v>0</v>
      </c>
      <c r="AK530" s="49">
        <v>0</v>
      </c>
      <c r="AL530" s="49">
        <v>0</v>
      </c>
      <c r="AM530" s="49">
        <v>0</v>
      </c>
      <c r="AN530" s="49">
        <v>0</v>
      </c>
      <c r="AO530" s="49">
        <v>0</v>
      </c>
      <c r="AP530" s="49">
        <v>0</v>
      </c>
      <c r="AQ530" s="49">
        <v>0</v>
      </c>
      <c r="AR530" s="49">
        <v>0</v>
      </c>
      <c r="AS530" s="49">
        <v>0</v>
      </c>
      <c r="AT530" s="49">
        <v>0</v>
      </c>
      <c r="AU530" s="49">
        <v>0</v>
      </c>
      <c r="AV530" s="49">
        <v>0</v>
      </c>
      <c r="AW530" s="49">
        <v>0</v>
      </c>
      <c r="AX530" s="49">
        <v>0</v>
      </c>
      <c r="AY530" s="49">
        <v>0</v>
      </c>
      <c r="AZ530" s="49">
        <v>0</v>
      </c>
      <c r="BA530" s="49">
        <v>0</v>
      </c>
      <c r="BB530" s="49">
        <v>0</v>
      </c>
      <c r="BC530" s="49">
        <v>0</v>
      </c>
      <c r="BD530" s="49">
        <v>0</v>
      </c>
      <c r="BE530" s="49">
        <v>0</v>
      </c>
      <c r="BF530" s="49">
        <v>0</v>
      </c>
      <c r="BG530" s="49">
        <v>0</v>
      </c>
      <c r="BH530" s="49">
        <v>0</v>
      </c>
      <c r="BI530" s="49">
        <v>0</v>
      </c>
      <c r="BJ530" s="49">
        <v>0</v>
      </c>
      <c r="BK530" s="49">
        <v>0</v>
      </c>
      <c r="BL530" s="49">
        <v>0</v>
      </c>
      <c r="BM530" s="49">
        <v>0</v>
      </c>
      <c r="BN530" s="49">
        <v>0</v>
      </c>
      <c r="BO530" s="49">
        <v>0</v>
      </c>
      <c r="BP530" s="49">
        <v>0</v>
      </c>
      <c r="BQ530" s="49">
        <v>0</v>
      </c>
      <c r="BR530" s="49">
        <v>0</v>
      </c>
      <c r="BS530" s="49">
        <v>0</v>
      </c>
    </row>
    <row r="531" spans="3:71" outlineLevel="1" x14ac:dyDescent="0.2">
      <c r="D531" t="str">
        <f>HM_ZB_Nsoko!D544</f>
        <v>Autres coûts</v>
      </c>
      <c r="I531" s="30">
        <f t="shared" si="142"/>
        <v>0</v>
      </c>
      <c r="J531" s="26" t="s">
        <v>148</v>
      </c>
      <c r="L531" s="49">
        <v>0</v>
      </c>
      <c r="M531" s="49">
        <v>0</v>
      </c>
      <c r="N531" s="49">
        <v>0</v>
      </c>
      <c r="O531" s="49">
        <v>0</v>
      </c>
      <c r="P531" s="49">
        <v>0</v>
      </c>
      <c r="Q531" s="49">
        <v>0</v>
      </c>
      <c r="R531" s="49">
        <v>0</v>
      </c>
      <c r="S531" s="49">
        <v>0</v>
      </c>
      <c r="T531" s="49">
        <v>0</v>
      </c>
      <c r="U531" s="49">
        <v>0</v>
      </c>
      <c r="V531" s="49">
        <v>0</v>
      </c>
      <c r="W531" s="49">
        <v>0</v>
      </c>
      <c r="X531" s="49">
        <v>0</v>
      </c>
      <c r="Y531" s="49">
        <v>0</v>
      </c>
      <c r="Z531" s="49">
        <v>0</v>
      </c>
      <c r="AA531" s="49">
        <v>0</v>
      </c>
      <c r="AB531" s="49">
        <v>0</v>
      </c>
      <c r="AC531" s="49">
        <v>0</v>
      </c>
      <c r="AD531" s="49">
        <v>0</v>
      </c>
      <c r="AE531" s="49">
        <v>0</v>
      </c>
      <c r="AF531" s="49">
        <v>0</v>
      </c>
      <c r="AG531" s="49">
        <v>0</v>
      </c>
      <c r="AH531" s="49">
        <v>0</v>
      </c>
      <c r="AI531" s="49">
        <v>0</v>
      </c>
      <c r="AJ531" s="49">
        <v>0</v>
      </c>
      <c r="AK531" s="49">
        <v>0</v>
      </c>
      <c r="AL531" s="49">
        <v>0</v>
      </c>
      <c r="AM531" s="49">
        <v>0</v>
      </c>
      <c r="AN531" s="49">
        <v>0</v>
      </c>
      <c r="AO531" s="49">
        <v>0</v>
      </c>
      <c r="AP531" s="49">
        <v>0</v>
      </c>
      <c r="AQ531" s="49">
        <v>0</v>
      </c>
      <c r="AR531" s="49">
        <v>0</v>
      </c>
      <c r="AS531" s="49">
        <v>0</v>
      </c>
      <c r="AT531" s="49">
        <v>0</v>
      </c>
      <c r="AU531" s="49">
        <v>0</v>
      </c>
      <c r="AV531" s="49">
        <v>0</v>
      </c>
      <c r="AW531" s="49">
        <v>0</v>
      </c>
      <c r="AX531" s="49">
        <v>0</v>
      </c>
      <c r="AY531" s="49">
        <v>0</v>
      </c>
      <c r="AZ531" s="49">
        <v>0</v>
      </c>
      <c r="BA531" s="49">
        <v>0</v>
      </c>
      <c r="BB531" s="49">
        <v>0</v>
      </c>
      <c r="BC531" s="49">
        <v>0</v>
      </c>
      <c r="BD531" s="49">
        <v>0</v>
      </c>
      <c r="BE531" s="49">
        <v>0</v>
      </c>
      <c r="BF531" s="49">
        <v>0</v>
      </c>
      <c r="BG531" s="49">
        <v>0</v>
      </c>
      <c r="BH531" s="49">
        <v>0</v>
      </c>
      <c r="BI531" s="49">
        <v>0</v>
      </c>
      <c r="BJ531" s="49">
        <v>0</v>
      </c>
      <c r="BK531" s="49">
        <v>0</v>
      </c>
      <c r="BL531" s="49">
        <v>0</v>
      </c>
      <c r="BM531" s="49">
        <v>0</v>
      </c>
      <c r="BN531" s="49">
        <v>0</v>
      </c>
      <c r="BO531" s="49">
        <v>0</v>
      </c>
      <c r="BP531" s="49">
        <v>0</v>
      </c>
      <c r="BQ531" s="49">
        <v>0</v>
      </c>
      <c r="BR531" s="49">
        <v>0</v>
      </c>
      <c r="BS531" s="49">
        <v>0</v>
      </c>
    </row>
    <row r="532" spans="3:71" outlineLevel="1" x14ac:dyDescent="0.2">
      <c r="J532" s="26"/>
      <c r="L532" s="55"/>
      <c r="M532" s="55"/>
      <c r="N532" s="55"/>
      <c r="O532" s="55"/>
      <c r="P532" s="55"/>
      <c r="Q532" s="55"/>
      <c r="R532" s="55"/>
      <c r="S532" s="55"/>
      <c r="T532" s="55"/>
      <c r="U532" s="55"/>
      <c r="V532" s="55"/>
      <c r="W532" s="55"/>
      <c r="X532" s="55"/>
      <c r="Y532" s="55"/>
      <c r="Z532" s="55"/>
      <c r="AA532" s="55"/>
      <c r="AB532" s="55"/>
      <c r="AC532" s="55"/>
      <c r="AD532" s="55"/>
      <c r="AE532" s="55"/>
      <c r="AF532" s="55"/>
      <c r="AG532" s="55"/>
      <c r="AH532" s="55"/>
      <c r="AI532" s="55"/>
      <c r="AJ532" s="55"/>
      <c r="AK532" s="55"/>
      <c r="AL532" s="55"/>
      <c r="AM532" s="55"/>
      <c r="AN532" s="55"/>
      <c r="AO532" s="55"/>
      <c r="AP532" s="55"/>
      <c r="AQ532" s="55"/>
      <c r="AR532" s="55"/>
      <c r="AS532" s="55"/>
      <c r="AT532" s="55"/>
      <c r="AU532" s="55"/>
      <c r="AV532" s="55"/>
      <c r="AW532" s="55"/>
      <c r="AX532" s="55"/>
      <c r="AY532" s="55"/>
      <c r="AZ532" s="55"/>
      <c r="BA532" s="55"/>
      <c r="BB532" s="55"/>
      <c r="BC532" s="55"/>
      <c r="BD532" s="55"/>
      <c r="BE532" s="55"/>
      <c r="BF532" s="55"/>
      <c r="BG532" s="55"/>
      <c r="BH532" s="55"/>
      <c r="BI532" s="55"/>
      <c r="BJ532" s="55"/>
      <c r="BK532" s="55"/>
      <c r="BL532" s="55"/>
      <c r="BM532" s="55"/>
      <c r="BN532" s="55"/>
      <c r="BO532" s="55"/>
      <c r="BP532" s="55"/>
      <c r="BQ532" s="55"/>
      <c r="BR532" s="55"/>
      <c r="BS532" s="55"/>
    </row>
    <row r="533" spans="3:71" outlineLevel="1" x14ac:dyDescent="0.2">
      <c r="C533" s="11" t="str">
        <f>HM_ZB_Nsoko!C546</f>
        <v>Total flux de trésorerie du Gouv.</v>
      </c>
      <c r="F533" s="64" t="b">
        <f ca="1">ROUND(SUM(I533,I449),2)=ROUND(I423,2)</f>
        <v>1</v>
      </c>
      <c r="H533" s="7" t="s">
        <v>519</v>
      </c>
      <c r="I533" s="30">
        <f t="shared" ca="1" si="142"/>
        <v>2030.6553564528085</v>
      </c>
      <c r="J533" s="26" t="s">
        <v>148</v>
      </c>
      <c r="K533" s="7" t="s">
        <v>394</v>
      </c>
      <c r="L533" s="49">
        <f ca="1">SUM(L521:L528)-SUM(L530:L531)</f>
        <v>283.25625976349858</v>
      </c>
      <c r="M533" s="49">
        <f t="shared" ref="M533:BS533" ca="1" si="143">SUM(M521:M528)-SUM(M530:M531)</f>
        <v>291.75042777518451</v>
      </c>
      <c r="N533" s="49">
        <f t="shared" ca="1" si="143"/>
        <v>110.49410665971585</v>
      </c>
      <c r="O533" s="49">
        <f t="shared" ca="1" si="143"/>
        <v>75.34230275981939</v>
      </c>
      <c r="P533" s="49">
        <f t="shared" ca="1" si="143"/>
        <v>119.88640312653206</v>
      </c>
      <c r="Q533" s="49">
        <f t="shared" ca="1" si="143"/>
        <v>190.86517473477249</v>
      </c>
      <c r="R533" s="49">
        <f t="shared" ca="1" si="143"/>
        <v>178.15804635054985</v>
      </c>
      <c r="S533" s="49">
        <f t="shared" ca="1" si="143"/>
        <v>75.344195745000007</v>
      </c>
      <c r="T533" s="49">
        <f t="shared" ca="1" si="143"/>
        <v>146.27424564910075</v>
      </c>
      <c r="U533" s="49">
        <f t="shared" ca="1" si="143"/>
        <v>151.07491976129279</v>
      </c>
      <c r="V533" s="49">
        <f t="shared" ca="1" si="143"/>
        <v>143.30966888556233</v>
      </c>
      <c r="W533" s="49">
        <f t="shared" ca="1" si="143"/>
        <v>135.94355190484441</v>
      </c>
      <c r="X533" s="49">
        <f t="shared" ca="1" si="143"/>
        <v>128.95605333693544</v>
      </c>
      <c r="Y533" s="49">
        <f t="shared" ca="1" si="143"/>
        <v>0</v>
      </c>
      <c r="Z533" s="49">
        <f t="shared" ca="1" si="143"/>
        <v>0</v>
      </c>
      <c r="AA533" s="49">
        <f t="shared" ca="1" si="143"/>
        <v>0</v>
      </c>
      <c r="AB533" s="49">
        <f t="shared" ca="1" si="143"/>
        <v>0</v>
      </c>
      <c r="AC533" s="49">
        <f t="shared" ca="1" si="143"/>
        <v>0</v>
      </c>
      <c r="AD533" s="49">
        <f t="shared" ca="1" si="143"/>
        <v>0</v>
      </c>
      <c r="AE533" s="49">
        <f t="shared" ca="1" si="143"/>
        <v>0</v>
      </c>
      <c r="AF533" s="49">
        <f t="shared" ca="1" si="143"/>
        <v>0</v>
      </c>
      <c r="AG533" s="49">
        <f t="shared" ca="1" si="143"/>
        <v>0</v>
      </c>
      <c r="AH533" s="49">
        <f t="shared" ca="1" si="143"/>
        <v>0</v>
      </c>
      <c r="AI533" s="49">
        <f t="shared" ca="1" si="143"/>
        <v>0</v>
      </c>
      <c r="AJ533" s="49">
        <f t="shared" ca="1" si="143"/>
        <v>0</v>
      </c>
      <c r="AK533" s="49">
        <f t="shared" ca="1" si="143"/>
        <v>0</v>
      </c>
      <c r="AL533" s="49">
        <f t="shared" ca="1" si="143"/>
        <v>0</v>
      </c>
      <c r="AM533" s="49">
        <f t="shared" ca="1" si="143"/>
        <v>0</v>
      </c>
      <c r="AN533" s="49">
        <f t="shared" ca="1" si="143"/>
        <v>0</v>
      </c>
      <c r="AO533" s="49">
        <f t="shared" ca="1" si="143"/>
        <v>0</v>
      </c>
      <c r="AP533" s="49">
        <f t="shared" ca="1" si="143"/>
        <v>0</v>
      </c>
      <c r="AQ533" s="49">
        <f t="shared" ca="1" si="143"/>
        <v>0</v>
      </c>
      <c r="AR533" s="49">
        <f t="shared" ca="1" si="143"/>
        <v>0</v>
      </c>
      <c r="AS533" s="49">
        <f t="shared" ca="1" si="143"/>
        <v>0</v>
      </c>
      <c r="AT533" s="49">
        <f t="shared" ca="1" si="143"/>
        <v>0</v>
      </c>
      <c r="AU533" s="49">
        <f t="shared" ca="1" si="143"/>
        <v>0</v>
      </c>
      <c r="AV533" s="49">
        <f t="shared" ca="1" si="143"/>
        <v>0</v>
      </c>
      <c r="AW533" s="49">
        <f t="shared" ca="1" si="143"/>
        <v>0</v>
      </c>
      <c r="AX533" s="49">
        <f t="shared" ca="1" si="143"/>
        <v>0</v>
      </c>
      <c r="AY533" s="49">
        <f t="shared" ca="1" si="143"/>
        <v>0</v>
      </c>
      <c r="AZ533" s="49">
        <f t="shared" ca="1" si="143"/>
        <v>0</v>
      </c>
      <c r="BA533" s="49">
        <f t="shared" ca="1" si="143"/>
        <v>0</v>
      </c>
      <c r="BB533" s="49">
        <f t="shared" ca="1" si="143"/>
        <v>0</v>
      </c>
      <c r="BC533" s="49">
        <f t="shared" ca="1" si="143"/>
        <v>0</v>
      </c>
      <c r="BD533" s="49">
        <f t="shared" ca="1" si="143"/>
        <v>0</v>
      </c>
      <c r="BE533" s="49">
        <f t="shared" ca="1" si="143"/>
        <v>0</v>
      </c>
      <c r="BF533" s="49">
        <f t="shared" ca="1" si="143"/>
        <v>0</v>
      </c>
      <c r="BG533" s="49">
        <f t="shared" ca="1" si="143"/>
        <v>0</v>
      </c>
      <c r="BH533" s="49">
        <f t="shared" ca="1" si="143"/>
        <v>0</v>
      </c>
      <c r="BI533" s="49">
        <f t="shared" ca="1" si="143"/>
        <v>0</v>
      </c>
      <c r="BJ533" s="49">
        <f t="shared" ca="1" si="143"/>
        <v>0</v>
      </c>
      <c r="BK533" s="49">
        <f t="shared" ca="1" si="143"/>
        <v>0</v>
      </c>
      <c r="BL533" s="49">
        <f t="shared" ca="1" si="143"/>
        <v>0</v>
      </c>
      <c r="BM533" s="49">
        <f t="shared" ca="1" si="143"/>
        <v>0</v>
      </c>
      <c r="BN533" s="49">
        <f t="shared" ca="1" si="143"/>
        <v>0</v>
      </c>
      <c r="BO533" s="49">
        <f t="shared" ca="1" si="143"/>
        <v>0</v>
      </c>
      <c r="BP533" s="49">
        <f t="shared" ca="1" si="143"/>
        <v>0</v>
      </c>
      <c r="BQ533" s="49">
        <f t="shared" ca="1" si="143"/>
        <v>0</v>
      </c>
      <c r="BR533" s="49">
        <f t="shared" ca="1" si="143"/>
        <v>0</v>
      </c>
      <c r="BS533" s="49">
        <f t="shared" ca="1" si="143"/>
        <v>0</v>
      </c>
    </row>
    <row r="534" spans="3:71" outlineLevel="1" x14ac:dyDescent="0.2">
      <c r="J534" s="26"/>
      <c r="L534" s="55"/>
      <c r="M534" s="55"/>
      <c r="N534" s="55"/>
      <c r="O534" s="55"/>
      <c r="P534" s="55"/>
      <c r="Q534" s="55"/>
      <c r="R534" s="55"/>
      <c r="S534" s="55"/>
      <c r="T534" s="55"/>
      <c r="U534" s="55"/>
      <c r="V534" s="55"/>
      <c r="W534" s="55"/>
      <c r="X534" s="55"/>
      <c r="Y534" s="55"/>
      <c r="Z534" s="55"/>
      <c r="AA534" s="55"/>
      <c r="AB534" s="55"/>
      <c r="AC534" s="55"/>
      <c r="AD534" s="55"/>
      <c r="AE534" s="55"/>
      <c r="AF534" s="55"/>
      <c r="AG534" s="55"/>
      <c r="AH534" s="55"/>
      <c r="AI534" s="55"/>
      <c r="AJ534" s="55"/>
      <c r="AK534" s="55"/>
      <c r="AL534" s="55"/>
      <c r="AM534" s="55"/>
      <c r="AN534" s="55"/>
      <c r="AO534" s="55"/>
      <c r="AP534" s="55"/>
      <c r="AQ534" s="55"/>
      <c r="AR534" s="55"/>
      <c r="AS534" s="55"/>
      <c r="AT534" s="55"/>
      <c r="AU534" s="55"/>
      <c r="AV534" s="55"/>
      <c r="AW534" s="55"/>
      <c r="AX534" s="55"/>
      <c r="AY534" s="55"/>
      <c r="AZ534" s="55"/>
      <c r="BA534" s="55"/>
      <c r="BB534" s="55"/>
      <c r="BC534" s="55"/>
      <c r="BD534" s="55"/>
      <c r="BE534" s="55"/>
      <c r="BF534" s="55"/>
      <c r="BG534" s="55"/>
      <c r="BH534" s="55"/>
      <c r="BI534" s="55"/>
      <c r="BJ534" s="55"/>
      <c r="BK534" s="55"/>
      <c r="BL534" s="55"/>
      <c r="BM534" s="55"/>
      <c r="BN534" s="55"/>
      <c r="BO534" s="55"/>
      <c r="BP534" s="55"/>
      <c r="BQ534" s="55"/>
      <c r="BR534" s="55"/>
      <c r="BS534" s="55"/>
    </row>
    <row r="535" spans="3:71" outlineLevel="1" x14ac:dyDescent="0.2">
      <c r="C535" s="11" t="str">
        <f>HM_ZB_Nsoko!C548</f>
        <v>VAN cycle complet</v>
      </c>
      <c r="G535" s="60"/>
      <c r="H535" s="7" t="s">
        <v>520</v>
      </c>
      <c r="I535" s="65">
        <f t="shared" ca="1" si="142"/>
        <v>585.20635393096165</v>
      </c>
      <c r="J535" s="26" t="s">
        <v>148</v>
      </c>
      <c r="L535" s="49">
        <f ca="1">OA_gov_CF_KLL2020*KLL_II_2020!CA_disc_factor_fc</f>
        <v>0</v>
      </c>
      <c r="M535" s="49">
        <f ca="1">OA_gov_CF_KLL2020*KLL_II_2020!CA_disc_factor_fc</f>
        <v>0</v>
      </c>
      <c r="N535" s="49">
        <f ca="1">OA_gov_CF_KLL2020*KLL_II_2020!CA_disc_factor_fc</f>
        <v>0</v>
      </c>
      <c r="O535" s="49">
        <f ca="1">OA_gov_CF_KLL2020*KLL_II_2020!CA_disc_factor_fc</f>
        <v>0</v>
      </c>
      <c r="P535" s="49">
        <f ca="1">OA_gov_CF_KLL2020*KLL_II_2020!CA_disc_factor_fc</f>
        <v>0</v>
      </c>
      <c r="Q535" s="49">
        <f ca="1">OA_gov_CF_KLL2020*KLL_II_2020!CA_disc_factor_fc</f>
        <v>0</v>
      </c>
      <c r="R535" s="49">
        <f ca="1">OA_gov_CF_KLL2020*KLL_II_2020!CA_disc_factor_fc</f>
        <v>0</v>
      </c>
      <c r="S535" s="49">
        <f ca="1">OA_gov_CF_KLL2020*KLL_II_2020!CA_disc_factor_fc</f>
        <v>71.837871959654436</v>
      </c>
      <c r="T535" s="49">
        <f ca="1">OA_gov_CF_KLL2020*KLL_II_2020!CA_disc_factor_fc</f>
        <v>126.78820090594309</v>
      </c>
      <c r="U535" s="49">
        <f ca="1">OA_gov_CF_KLL2020*KLL_II_2020!CA_disc_factor_fc</f>
        <v>119.0448629468366</v>
      </c>
      <c r="V535" s="49">
        <f ca="1">OA_gov_CF_KLL2020*KLL_II_2020!CA_disc_factor_fc</f>
        <v>102.65996090124473</v>
      </c>
      <c r="W535" s="49">
        <f ca="1">OA_gov_CF_KLL2020*KLL_II_2020!CA_disc_factor_fc</f>
        <v>88.530217191746104</v>
      </c>
      <c r="X535" s="49">
        <f ca="1">OA_gov_CF_KLL2020*KLL_II_2020!CA_disc_factor_fc</f>
        <v>76.345240025536711</v>
      </c>
      <c r="Y535" s="49">
        <f ca="1">OA_gov_CF_KLL2020*KLL_II_2020!CA_disc_factor_fc</f>
        <v>0</v>
      </c>
      <c r="Z535" s="49">
        <f ca="1">OA_gov_CF_KLL2020*KLL_II_2020!CA_disc_factor_fc</f>
        <v>0</v>
      </c>
      <c r="AA535" s="49">
        <f ca="1">OA_gov_CF_KLL2020*KLL_II_2020!CA_disc_factor_fc</f>
        <v>0</v>
      </c>
      <c r="AB535" s="49">
        <f ca="1">OA_gov_CF_KLL2020*KLL_II_2020!CA_disc_factor_fc</f>
        <v>0</v>
      </c>
      <c r="AC535" s="49">
        <f ca="1">OA_gov_CF_KLL2020*KLL_II_2020!CA_disc_factor_fc</f>
        <v>0</v>
      </c>
      <c r="AD535" s="49">
        <f ca="1">OA_gov_CF_KLL2020*KLL_II_2020!CA_disc_factor_fc</f>
        <v>0</v>
      </c>
      <c r="AE535" s="49">
        <f ca="1">OA_gov_CF_KLL2020*KLL_II_2020!CA_disc_factor_fc</f>
        <v>0</v>
      </c>
      <c r="AF535" s="49">
        <f ca="1">OA_gov_CF_KLL2020*KLL_II_2020!CA_disc_factor_fc</f>
        <v>0</v>
      </c>
      <c r="AG535" s="49">
        <f ca="1">OA_gov_CF_KLL2020*KLL_II_2020!CA_disc_factor_fc</f>
        <v>0</v>
      </c>
      <c r="AH535" s="49">
        <f ca="1">OA_gov_CF_KLL2020*KLL_II_2020!CA_disc_factor_fc</f>
        <v>0</v>
      </c>
      <c r="AI535" s="49">
        <f ca="1">OA_gov_CF_KLL2020*KLL_II_2020!CA_disc_factor_fc</f>
        <v>0</v>
      </c>
      <c r="AJ535" s="49">
        <f ca="1">OA_gov_CF_KLL2020*KLL_II_2020!CA_disc_factor_fc</f>
        <v>0</v>
      </c>
      <c r="AK535" s="49">
        <f ca="1">OA_gov_CF_KLL2020*KLL_II_2020!CA_disc_factor_fc</f>
        <v>0</v>
      </c>
      <c r="AL535" s="49">
        <f ca="1">OA_gov_CF_KLL2020*KLL_II_2020!CA_disc_factor_fc</f>
        <v>0</v>
      </c>
      <c r="AM535" s="49">
        <f ca="1">OA_gov_CF_KLL2020*KLL_II_2020!CA_disc_factor_fc</f>
        <v>0</v>
      </c>
      <c r="AN535" s="49">
        <f ca="1">OA_gov_CF_KLL2020*KLL_II_2020!CA_disc_factor_fc</f>
        <v>0</v>
      </c>
      <c r="AO535" s="49">
        <f ca="1">OA_gov_CF_KLL2020*KLL_II_2020!CA_disc_factor_fc</f>
        <v>0</v>
      </c>
      <c r="AP535" s="49">
        <f ca="1">OA_gov_CF_KLL2020*KLL_II_2020!CA_disc_factor_fc</f>
        <v>0</v>
      </c>
      <c r="AQ535" s="49">
        <f ca="1">OA_gov_CF_KLL2020*KLL_II_2020!CA_disc_factor_fc</f>
        <v>0</v>
      </c>
      <c r="AR535" s="49">
        <f ca="1">OA_gov_CF_KLL2020*KLL_II_2020!CA_disc_factor_fc</f>
        <v>0</v>
      </c>
      <c r="AS535" s="49">
        <f ca="1">OA_gov_CF_KLL2020*KLL_II_2020!CA_disc_factor_fc</f>
        <v>0</v>
      </c>
      <c r="AT535" s="49">
        <f ca="1">OA_gov_CF_KLL2020*KLL_II_2020!CA_disc_factor_fc</f>
        <v>0</v>
      </c>
      <c r="AU535" s="49">
        <f ca="1">OA_gov_CF_KLL2020*KLL_II_2020!CA_disc_factor_fc</f>
        <v>0</v>
      </c>
      <c r="AV535" s="49">
        <f ca="1">OA_gov_CF_KLL2020*KLL_II_2020!CA_disc_factor_fc</f>
        <v>0</v>
      </c>
      <c r="AW535" s="49">
        <f ca="1">OA_gov_CF_KLL2020*KLL_II_2020!CA_disc_factor_fc</f>
        <v>0</v>
      </c>
      <c r="AX535" s="49">
        <f ca="1">OA_gov_CF_KLL2020*KLL_II_2020!CA_disc_factor_fc</f>
        <v>0</v>
      </c>
      <c r="AY535" s="49">
        <f ca="1">OA_gov_CF_KLL2020*KLL_II_2020!CA_disc_factor_fc</f>
        <v>0</v>
      </c>
      <c r="AZ535" s="49">
        <f ca="1">OA_gov_CF_KLL2020*KLL_II_2020!CA_disc_factor_fc</f>
        <v>0</v>
      </c>
      <c r="BA535" s="49">
        <f ca="1">OA_gov_CF_KLL2020*KLL_II_2020!CA_disc_factor_fc</f>
        <v>0</v>
      </c>
      <c r="BB535" s="49">
        <f ca="1">OA_gov_CF_KLL2020*KLL_II_2020!CA_disc_factor_fc</f>
        <v>0</v>
      </c>
      <c r="BC535" s="49">
        <f ca="1">OA_gov_CF_KLL2020*KLL_II_2020!CA_disc_factor_fc</f>
        <v>0</v>
      </c>
      <c r="BD535" s="49">
        <f ca="1">OA_gov_CF_KLL2020*KLL_II_2020!CA_disc_factor_fc</f>
        <v>0</v>
      </c>
      <c r="BE535" s="49">
        <f ca="1">OA_gov_CF_KLL2020*KLL_II_2020!CA_disc_factor_fc</f>
        <v>0</v>
      </c>
      <c r="BF535" s="49">
        <f ca="1">OA_gov_CF_KLL2020*KLL_II_2020!CA_disc_factor_fc</f>
        <v>0</v>
      </c>
      <c r="BG535" s="49">
        <f ca="1">OA_gov_CF_KLL2020*KLL_II_2020!CA_disc_factor_fc</f>
        <v>0</v>
      </c>
      <c r="BH535" s="49">
        <f ca="1">OA_gov_CF_KLL2020*KLL_II_2020!CA_disc_factor_fc</f>
        <v>0</v>
      </c>
      <c r="BI535" s="49">
        <f ca="1">OA_gov_CF_KLL2020*KLL_II_2020!CA_disc_factor_fc</f>
        <v>0</v>
      </c>
      <c r="BJ535" s="49">
        <f ca="1">OA_gov_CF_KLL2020*KLL_II_2020!CA_disc_factor_fc</f>
        <v>0</v>
      </c>
      <c r="BK535" s="49">
        <f ca="1">OA_gov_CF_KLL2020*KLL_II_2020!CA_disc_factor_fc</f>
        <v>0</v>
      </c>
      <c r="BL535" s="49">
        <f ca="1">OA_gov_CF_KLL2020*KLL_II_2020!CA_disc_factor_fc</f>
        <v>0</v>
      </c>
      <c r="BM535" s="49">
        <f ca="1">OA_gov_CF_KLL2020*KLL_II_2020!CA_disc_factor_fc</f>
        <v>0</v>
      </c>
      <c r="BN535" s="49">
        <f ca="1">OA_gov_CF_KLL2020*KLL_II_2020!CA_disc_factor_fc</f>
        <v>0</v>
      </c>
      <c r="BO535" s="49">
        <f ca="1">OA_gov_CF_KLL2020*KLL_II_2020!CA_disc_factor_fc</f>
        <v>0</v>
      </c>
      <c r="BP535" s="49">
        <f ca="1">OA_gov_CF_KLL2020*KLL_II_2020!CA_disc_factor_fc</f>
        <v>0</v>
      </c>
      <c r="BQ535" s="49">
        <f ca="1">OA_gov_CF_KLL2020*KLL_II_2020!CA_disc_factor_fc</f>
        <v>0</v>
      </c>
      <c r="BR535" s="49">
        <f ca="1">OA_gov_CF_KLL2020*KLL_II_2020!CA_disc_factor_fc</f>
        <v>0</v>
      </c>
      <c r="BS535" s="49">
        <f ca="1">OA_gov_CF_KLL2020*KLL_II_2020!CA_disc_factor_fc</f>
        <v>0</v>
      </c>
    </row>
    <row r="536" spans="3:71" outlineLevel="1" x14ac:dyDescent="0.2">
      <c r="C536" s="11" t="str">
        <f>HM_ZB_Nsoko!C549</f>
        <v>VAN à terme</v>
      </c>
      <c r="I536" s="65">
        <f t="shared" ca="1" si="142"/>
        <v>564.70533016843797</v>
      </c>
      <c r="J536" s="26" t="s">
        <v>148</v>
      </c>
      <c r="L536" s="49">
        <f ca="1">OA_gov_CF_KLL2020*KLL_II_2020!CA_disc_factor_pf</f>
        <v>0</v>
      </c>
      <c r="M536" s="49">
        <f ca="1">OA_gov_CF_KLL2020*KLL_II_2020!CA_disc_factor_pf</f>
        <v>0</v>
      </c>
      <c r="N536" s="49">
        <f ca="1">OA_gov_CF_KLL2020*KLL_II_2020!CA_disc_factor_pf</f>
        <v>0</v>
      </c>
      <c r="O536" s="49">
        <f ca="1">OA_gov_CF_KLL2020*KLL_II_2020!CA_disc_factor_pf</f>
        <v>0</v>
      </c>
      <c r="P536" s="49">
        <f ca="1">OA_gov_CF_KLL2020*KLL_II_2020!CA_disc_factor_pf</f>
        <v>0</v>
      </c>
      <c r="Q536" s="49">
        <f ca="1">OA_gov_CF_KLL2020*KLL_II_2020!CA_disc_factor_pf</f>
        <v>0</v>
      </c>
      <c r="R536" s="49">
        <f ca="1">OA_gov_CF_KLL2020*KLL_II_2020!CA_disc_factor_pf</f>
        <v>0</v>
      </c>
      <c r="S536" s="49">
        <f ca="1">OA_gov_CF_KLL2020*KLL_II_2020!CA_disc_factor_pf</f>
        <v>0</v>
      </c>
      <c r="T536" s="49">
        <f ca="1">OA_gov_CF_KLL2020*KLL_II_2020!CA_disc_factor_pf</f>
        <v>139.4670209965374</v>
      </c>
      <c r="U536" s="49">
        <f ca="1">OA_gov_CF_KLL2020*KLL_II_2020!CA_disc_factor_pf</f>
        <v>130.94934924152028</v>
      </c>
      <c r="V536" s="49">
        <f ca="1">OA_gov_CF_KLL2020*KLL_II_2020!CA_disc_factor_pf</f>
        <v>112.92595699136919</v>
      </c>
      <c r="W536" s="49">
        <f ca="1">OA_gov_CF_KLL2020*KLL_II_2020!CA_disc_factor_pf</f>
        <v>97.383238910920738</v>
      </c>
      <c r="X536" s="49">
        <f ca="1">OA_gov_CF_KLL2020*KLL_II_2020!CA_disc_factor_pf</f>
        <v>83.979764028090372</v>
      </c>
      <c r="Y536" s="49">
        <f ca="1">OA_gov_CF_KLL2020*KLL_II_2020!CA_disc_factor_pf</f>
        <v>0</v>
      </c>
      <c r="Z536" s="49">
        <f ca="1">OA_gov_CF_KLL2020*KLL_II_2020!CA_disc_factor_pf</f>
        <v>0</v>
      </c>
      <c r="AA536" s="49">
        <f ca="1">OA_gov_CF_KLL2020*KLL_II_2020!CA_disc_factor_pf</f>
        <v>0</v>
      </c>
      <c r="AB536" s="49">
        <f ca="1">OA_gov_CF_KLL2020*KLL_II_2020!CA_disc_factor_pf</f>
        <v>0</v>
      </c>
      <c r="AC536" s="49">
        <f ca="1">OA_gov_CF_KLL2020*KLL_II_2020!CA_disc_factor_pf</f>
        <v>0</v>
      </c>
      <c r="AD536" s="49">
        <f ca="1">OA_gov_CF_KLL2020*KLL_II_2020!CA_disc_factor_pf</f>
        <v>0</v>
      </c>
      <c r="AE536" s="49">
        <f ca="1">OA_gov_CF_KLL2020*KLL_II_2020!CA_disc_factor_pf</f>
        <v>0</v>
      </c>
      <c r="AF536" s="49">
        <f ca="1">OA_gov_CF_KLL2020*KLL_II_2020!CA_disc_factor_pf</f>
        <v>0</v>
      </c>
      <c r="AG536" s="49">
        <f ca="1">OA_gov_CF_KLL2020*KLL_II_2020!CA_disc_factor_pf</f>
        <v>0</v>
      </c>
      <c r="AH536" s="49">
        <f ca="1">OA_gov_CF_KLL2020*KLL_II_2020!CA_disc_factor_pf</f>
        <v>0</v>
      </c>
      <c r="AI536" s="49">
        <f ca="1">OA_gov_CF_KLL2020*KLL_II_2020!CA_disc_factor_pf</f>
        <v>0</v>
      </c>
      <c r="AJ536" s="49">
        <f ca="1">OA_gov_CF_KLL2020*KLL_II_2020!CA_disc_factor_pf</f>
        <v>0</v>
      </c>
      <c r="AK536" s="49">
        <f ca="1">OA_gov_CF_KLL2020*KLL_II_2020!CA_disc_factor_pf</f>
        <v>0</v>
      </c>
      <c r="AL536" s="49">
        <f ca="1">OA_gov_CF_KLL2020*KLL_II_2020!CA_disc_factor_pf</f>
        <v>0</v>
      </c>
      <c r="AM536" s="49">
        <f ca="1">OA_gov_CF_KLL2020*KLL_II_2020!CA_disc_factor_pf</f>
        <v>0</v>
      </c>
      <c r="AN536" s="49">
        <f ca="1">OA_gov_CF_KLL2020*KLL_II_2020!CA_disc_factor_pf</f>
        <v>0</v>
      </c>
      <c r="AO536" s="49">
        <f ca="1">OA_gov_CF_KLL2020*KLL_II_2020!CA_disc_factor_pf</f>
        <v>0</v>
      </c>
      <c r="AP536" s="49">
        <f ca="1">OA_gov_CF_KLL2020*KLL_II_2020!CA_disc_factor_pf</f>
        <v>0</v>
      </c>
      <c r="AQ536" s="49">
        <f ca="1">OA_gov_CF_KLL2020*KLL_II_2020!CA_disc_factor_pf</f>
        <v>0</v>
      </c>
      <c r="AR536" s="49">
        <f ca="1">OA_gov_CF_KLL2020*KLL_II_2020!CA_disc_factor_pf</f>
        <v>0</v>
      </c>
      <c r="AS536" s="49">
        <f ca="1">OA_gov_CF_KLL2020*KLL_II_2020!CA_disc_factor_pf</f>
        <v>0</v>
      </c>
      <c r="AT536" s="49">
        <f ca="1">OA_gov_CF_KLL2020*KLL_II_2020!CA_disc_factor_pf</f>
        <v>0</v>
      </c>
      <c r="AU536" s="49">
        <f ca="1">OA_gov_CF_KLL2020*KLL_II_2020!CA_disc_factor_pf</f>
        <v>0</v>
      </c>
      <c r="AV536" s="49">
        <f ca="1">OA_gov_CF_KLL2020*KLL_II_2020!CA_disc_factor_pf</f>
        <v>0</v>
      </c>
      <c r="AW536" s="49">
        <f ca="1">OA_gov_CF_KLL2020*KLL_II_2020!CA_disc_factor_pf</f>
        <v>0</v>
      </c>
      <c r="AX536" s="49">
        <f ca="1">OA_gov_CF_KLL2020*KLL_II_2020!CA_disc_factor_pf</f>
        <v>0</v>
      </c>
      <c r="AY536" s="49">
        <f ca="1">OA_gov_CF_KLL2020*KLL_II_2020!CA_disc_factor_pf</f>
        <v>0</v>
      </c>
      <c r="AZ536" s="49">
        <f ca="1">OA_gov_CF_KLL2020*KLL_II_2020!CA_disc_factor_pf</f>
        <v>0</v>
      </c>
      <c r="BA536" s="49">
        <f ca="1">OA_gov_CF_KLL2020*KLL_II_2020!CA_disc_factor_pf</f>
        <v>0</v>
      </c>
      <c r="BB536" s="49">
        <f ca="1">OA_gov_CF_KLL2020*KLL_II_2020!CA_disc_factor_pf</f>
        <v>0</v>
      </c>
      <c r="BC536" s="49">
        <f ca="1">OA_gov_CF_KLL2020*KLL_II_2020!CA_disc_factor_pf</f>
        <v>0</v>
      </c>
      <c r="BD536" s="49">
        <f ca="1">OA_gov_CF_KLL2020*KLL_II_2020!CA_disc_factor_pf</f>
        <v>0</v>
      </c>
      <c r="BE536" s="49">
        <f ca="1">OA_gov_CF_KLL2020*KLL_II_2020!CA_disc_factor_pf</f>
        <v>0</v>
      </c>
      <c r="BF536" s="49">
        <f ca="1">OA_gov_CF_KLL2020*KLL_II_2020!CA_disc_factor_pf</f>
        <v>0</v>
      </c>
      <c r="BG536" s="49">
        <f ca="1">OA_gov_CF_KLL2020*KLL_II_2020!CA_disc_factor_pf</f>
        <v>0</v>
      </c>
      <c r="BH536" s="49">
        <f ca="1">OA_gov_CF_KLL2020*KLL_II_2020!CA_disc_factor_pf</f>
        <v>0</v>
      </c>
      <c r="BI536" s="49">
        <f ca="1">OA_gov_CF_KLL2020*KLL_II_2020!CA_disc_factor_pf</f>
        <v>0</v>
      </c>
      <c r="BJ536" s="49">
        <f ca="1">OA_gov_CF_KLL2020*KLL_II_2020!CA_disc_factor_pf</f>
        <v>0</v>
      </c>
      <c r="BK536" s="49">
        <f ca="1">OA_gov_CF_KLL2020*KLL_II_2020!CA_disc_factor_pf</f>
        <v>0</v>
      </c>
      <c r="BL536" s="49">
        <f ca="1">OA_gov_CF_KLL2020*KLL_II_2020!CA_disc_factor_pf</f>
        <v>0</v>
      </c>
      <c r="BM536" s="49">
        <f ca="1">OA_gov_CF_KLL2020*KLL_II_2020!CA_disc_factor_pf</f>
        <v>0</v>
      </c>
      <c r="BN536" s="49">
        <f ca="1">OA_gov_CF_KLL2020*KLL_II_2020!CA_disc_factor_pf</f>
        <v>0</v>
      </c>
      <c r="BO536" s="49">
        <f ca="1">OA_gov_CF_KLL2020*KLL_II_2020!CA_disc_factor_pf</f>
        <v>0</v>
      </c>
      <c r="BP536" s="49">
        <f ca="1">OA_gov_CF_KLL2020*KLL_II_2020!CA_disc_factor_pf</f>
        <v>0</v>
      </c>
      <c r="BQ536" s="49">
        <f ca="1">OA_gov_CF_KLL2020*KLL_II_2020!CA_disc_factor_pf</f>
        <v>0</v>
      </c>
      <c r="BR536" s="49">
        <f ca="1">OA_gov_CF_KLL2020*KLL_II_2020!CA_disc_factor_pf</f>
        <v>0</v>
      </c>
      <c r="BS536" s="49">
        <f ca="1">OA_gov_CF_KLL2020*KLL_II_2020!CA_disc_factor_pf</f>
        <v>0</v>
      </c>
    </row>
    <row r="537" spans="3:71" outlineLevel="1" x14ac:dyDescent="0.2">
      <c r="I537" s="61"/>
      <c r="J537" s="26"/>
      <c r="L537" s="55"/>
      <c r="M537" s="55"/>
      <c r="N537" s="55"/>
      <c r="O537" s="55"/>
      <c r="P537" s="55"/>
      <c r="Q537" s="55"/>
      <c r="R537" s="55"/>
      <c r="S537" s="55"/>
      <c r="T537" s="55"/>
      <c r="U537" s="55"/>
      <c r="V537" s="55"/>
      <c r="W537" s="55"/>
      <c r="X537" s="55"/>
      <c r="Y537" s="55"/>
      <c r="Z537" s="55"/>
      <c r="AA537" s="55"/>
      <c r="AB537" s="55"/>
      <c r="AC537" s="55"/>
      <c r="AD537" s="55"/>
      <c r="AE537" s="55"/>
      <c r="AF537" s="55"/>
      <c r="AG537" s="55"/>
      <c r="AH537" s="55"/>
      <c r="AI537" s="55"/>
      <c r="AJ537" s="55"/>
      <c r="AK537" s="55"/>
      <c r="AL537" s="55"/>
      <c r="AM537" s="55"/>
      <c r="AN537" s="55"/>
      <c r="AO537" s="55"/>
      <c r="AP537" s="55"/>
      <c r="AQ537" s="55"/>
      <c r="AR537" s="55"/>
      <c r="AS537" s="55"/>
      <c r="AT537" s="55"/>
      <c r="AU537" s="55"/>
      <c r="AV537" s="55"/>
      <c r="AW537" s="55"/>
      <c r="AX537" s="55"/>
      <c r="AY537" s="55"/>
      <c r="AZ537" s="55"/>
      <c r="BA537" s="55"/>
      <c r="BB537" s="55"/>
      <c r="BC537" s="55"/>
      <c r="BD537" s="55"/>
      <c r="BE537" s="55"/>
      <c r="BF537" s="55"/>
      <c r="BG537" s="55"/>
      <c r="BH537" s="55"/>
      <c r="BI537" s="55"/>
      <c r="BJ537" s="55"/>
      <c r="BK537" s="55"/>
      <c r="BL537" s="55"/>
      <c r="BM537" s="55"/>
      <c r="BN537" s="55"/>
      <c r="BO537" s="55"/>
      <c r="BP537" s="55"/>
      <c r="BQ537" s="55"/>
      <c r="BR537" s="55"/>
      <c r="BS537" s="55"/>
    </row>
    <row r="538" spans="3:71" outlineLevel="1" x14ac:dyDescent="0.2">
      <c r="C538" s="11" t="str">
        <f>HM_ZB_Nsoko!C551</f>
        <v>TRI cycle complet</v>
      </c>
      <c r="I538" s="62" t="str">
        <f ca="1">IFERROR(IRR(INDEX(OA_gov_CF_KLL2020,1,MAX(1,$G$398-L4+1)):INDEX(OA_gov_CF_KLL2020,1,last_model_year)),"na")</f>
        <v>na</v>
      </c>
      <c r="J538" s="26" t="s">
        <v>90</v>
      </c>
      <c r="L538" s="55"/>
      <c r="M538" s="55"/>
      <c r="N538" s="55"/>
      <c r="O538" s="55"/>
      <c r="P538" s="55"/>
      <c r="Q538" s="55"/>
      <c r="R538" s="55"/>
      <c r="S538" s="55"/>
      <c r="T538" s="55"/>
      <c r="U538" s="55"/>
      <c r="V538" s="55"/>
      <c r="W538" s="55"/>
      <c r="X538" s="55"/>
      <c r="Y538" s="55"/>
      <c r="Z538" s="55"/>
      <c r="AA538" s="55"/>
      <c r="AB538" s="55"/>
      <c r="AC538" s="55"/>
      <c r="AD538" s="55"/>
      <c r="AE538" s="55"/>
      <c r="AF538" s="55"/>
      <c r="AG538" s="55"/>
      <c r="AH538" s="55"/>
      <c r="AI538" s="55"/>
      <c r="AJ538" s="55"/>
      <c r="AK538" s="55"/>
      <c r="AL538" s="55"/>
      <c r="AM538" s="55"/>
      <c r="AN538" s="55"/>
      <c r="AO538" s="55"/>
      <c r="AP538" s="55"/>
      <c r="AQ538" s="55"/>
      <c r="AR538" s="55"/>
      <c r="AS538" s="55"/>
      <c r="AT538" s="55"/>
      <c r="AU538" s="55"/>
      <c r="AV538" s="55"/>
      <c r="AW538" s="55"/>
      <c r="AX538" s="55"/>
      <c r="AY538" s="55"/>
      <c r="AZ538" s="55"/>
      <c r="BA538" s="55"/>
      <c r="BB538" s="55"/>
      <c r="BC538" s="55"/>
      <c r="BD538" s="55"/>
      <c r="BE538" s="55"/>
      <c r="BF538" s="55"/>
      <c r="BG538" s="55"/>
      <c r="BH538" s="55"/>
      <c r="BI538" s="55"/>
      <c r="BJ538" s="55"/>
      <c r="BK538" s="55"/>
      <c r="BL538" s="55"/>
      <c r="BM538" s="55"/>
      <c r="BN538" s="55"/>
      <c r="BO538" s="55"/>
      <c r="BP538" s="55"/>
      <c r="BQ538" s="55"/>
      <c r="BR538" s="55"/>
      <c r="BS538" s="55"/>
    </row>
    <row r="539" spans="3:71" outlineLevel="1" x14ac:dyDescent="0.2">
      <c r="C539" s="11" t="str">
        <f>HM_ZB_Nsoko!C552</f>
        <v>TRI à terme</v>
      </c>
      <c r="I539" s="62" t="str">
        <f ca="1">IFERROR(IRR(INDEX(OA_gov_CF_KLL2020,1,MAX(1,$G$399-L4+1)):INDEX(OA_gov_CF_KLL2020,1,last_model_year)),"na")</f>
        <v>na</v>
      </c>
      <c r="J539" s="26" t="s">
        <v>90</v>
      </c>
      <c r="L539" s="55"/>
      <c r="M539" s="55"/>
      <c r="N539" s="55"/>
      <c r="O539" s="55"/>
      <c r="P539" s="55"/>
      <c r="Q539" s="55"/>
      <c r="R539" s="55"/>
      <c r="S539" s="55"/>
      <c r="T539" s="55"/>
      <c r="U539" s="55"/>
      <c r="V539" s="55"/>
      <c r="W539" s="55"/>
      <c r="X539" s="55"/>
      <c r="Y539" s="55"/>
      <c r="Z539" s="55"/>
      <c r="AA539" s="55"/>
      <c r="AB539" s="55"/>
      <c r="AC539" s="55"/>
      <c r="AD539" s="55"/>
      <c r="AE539" s="55"/>
      <c r="AF539" s="55"/>
      <c r="AG539" s="55"/>
      <c r="AH539" s="55"/>
      <c r="AI539" s="55"/>
      <c r="AJ539" s="55"/>
      <c r="AK539" s="55"/>
      <c r="AL539" s="55"/>
      <c r="AM539" s="55"/>
      <c r="AN539" s="55"/>
      <c r="AO539" s="55"/>
      <c r="AP539" s="55"/>
      <c r="AQ539" s="55"/>
      <c r="AR539" s="55"/>
      <c r="AS539" s="55"/>
      <c r="AT539" s="55"/>
      <c r="AU539" s="55"/>
      <c r="AV539" s="55"/>
      <c r="AW539" s="55"/>
      <c r="AX539" s="55"/>
      <c r="AY539" s="55"/>
      <c r="AZ539" s="55"/>
      <c r="BA539" s="55"/>
      <c r="BB539" s="55"/>
      <c r="BC539" s="55"/>
      <c r="BD539" s="55"/>
      <c r="BE539" s="55"/>
      <c r="BF539" s="55"/>
      <c r="BG539" s="55"/>
      <c r="BH539" s="55"/>
      <c r="BI539" s="55"/>
      <c r="BJ539" s="55"/>
      <c r="BK539" s="55"/>
      <c r="BL539" s="55"/>
      <c r="BM539" s="55"/>
      <c r="BN539" s="55"/>
      <c r="BO539" s="55"/>
      <c r="BP539" s="55"/>
      <c r="BQ539" s="55"/>
      <c r="BR539" s="55"/>
      <c r="BS539" s="55"/>
    </row>
    <row r="540" spans="3:71" outlineLevel="1" x14ac:dyDescent="0.2">
      <c r="J540" s="26"/>
      <c r="L540" s="55"/>
      <c r="M540" s="55"/>
      <c r="N540" s="55"/>
      <c r="O540" s="55"/>
      <c r="P540" s="55"/>
      <c r="Q540" s="55"/>
      <c r="R540" s="55"/>
      <c r="S540" s="55"/>
      <c r="T540" s="55"/>
      <c r="U540" s="55"/>
      <c r="V540" s="55"/>
      <c r="W540" s="55"/>
      <c r="X540" s="55"/>
      <c r="Y540" s="55"/>
      <c r="Z540" s="55"/>
      <c r="AA540" s="55"/>
      <c r="AB540" s="55"/>
      <c r="AC540" s="55"/>
      <c r="AD540" s="55"/>
      <c r="AE540" s="55"/>
      <c r="AF540" s="55"/>
      <c r="AG540" s="55"/>
      <c r="AH540" s="55"/>
      <c r="AI540" s="55"/>
      <c r="AJ540" s="55"/>
      <c r="AK540" s="55"/>
      <c r="AL540" s="55"/>
      <c r="AM540" s="55"/>
      <c r="AN540" s="55"/>
      <c r="AO540" s="55"/>
      <c r="AP540" s="55"/>
      <c r="AQ540" s="55"/>
      <c r="AR540" s="55"/>
      <c r="AS540" s="55"/>
      <c r="AT540" s="55"/>
      <c r="AU540" s="55"/>
      <c r="AV540" s="55"/>
      <c r="AW540" s="55"/>
      <c r="AX540" s="55"/>
      <c r="AY540" s="55"/>
      <c r="AZ540" s="55"/>
      <c r="BA540" s="55"/>
      <c r="BB540" s="55"/>
      <c r="BC540" s="55"/>
      <c r="BD540" s="55"/>
      <c r="BE540" s="55"/>
      <c r="BF540" s="55"/>
      <c r="BG540" s="55"/>
      <c r="BH540" s="55"/>
      <c r="BI540" s="55"/>
      <c r="BJ540" s="55"/>
      <c r="BK540" s="55"/>
      <c r="BL540" s="55"/>
      <c r="BM540" s="55"/>
      <c r="BN540" s="55"/>
      <c r="BO540" s="55"/>
      <c r="BP540" s="55"/>
      <c r="BQ540" s="55"/>
      <c r="BR540" s="55"/>
      <c r="BS540" s="55"/>
    </row>
    <row r="541" spans="3:71" outlineLevel="1" x14ac:dyDescent="0.2">
      <c r="C541" s="11" t="str">
        <f>HM_ZB_Nsoko!C554</f>
        <v>Part nominale du Gouv. (%)</v>
      </c>
      <c r="H541" s="7" t="s">
        <v>521</v>
      </c>
      <c r="I541" s="62">
        <f ca="1">IFERROR(I533/I423,0)</f>
        <v>0.81908052221825256</v>
      </c>
      <c r="J541" s="26" t="s">
        <v>90</v>
      </c>
      <c r="L541" s="55"/>
      <c r="M541" s="55"/>
      <c r="N541" s="55"/>
      <c r="O541" s="55"/>
      <c r="P541" s="55"/>
      <c r="Q541" s="55"/>
      <c r="R541" s="55"/>
      <c r="S541" s="55"/>
      <c r="T541" s="55"/>
      <c r="U541" s="55"/>
      <c r="V541" s="55"/>
      <c r="W541" s="55"/>
      <c r="X541" s="55"/>
      <c r="Y541" s="55"/>
      <c r="Z541" s="55"/>
      <c r="AA541" s="55"/>
      <c r="AB541" s="55"/>
      <c r="AC541" s="55"/>
      <c r="AD541" s="55"/>
      <c r="AE541" s="55"/>
      <c r="AF541" s="55"/>
      <c r="AG541" s="55"/>
      <c r="AH541" s="55"/>
      <c r="AI541" s="55"/>
      <c r="AJ541" s="55"/>
      <c r="AK541" s="55"/>
      <c r="AL541" s="55"/>
      <c r="AM541" s="55"/>
      <c r="AN541" s="55"/>
      <c r="AO541" s="55"/>
      <c r="AP541" s="55"/>
      <c r="AQ541" s="55"/>
      <c r="AR541" s="55"/>
      <c r="AS541" s="55"/>
      <c r="AT541" s="55"/>
      <c r="AU541" s="55"/>
      <c r="AV541" s="55"/>
      <c r="AW541" s="55"/>
      <c r="AX541" s="55"/>
      <c r="AY541" s="55"/>
      <c r="AZ541" s="55"/>
      <c r="BA541" s="55"/>
      <c r="BB541" s="55"/>
      <c r="BC541" s="55"/>
      <c r="BD541" s="55"/>
      <c r="BE541" s="55"/>
      <c r="BF541" s="55"/>
      <c r="BG541" s="55"/>
      <c r="BH541" s="55"/>
      <c r="BI541" s="55"/>
      <c r="BJ541" s="55"/>
      <c r="BK541" s="55"/>
      <c r="BL541" s="55"/>
      <c r="BM541" s="55"/>
      <c r="BN541" s="55"/>
      <c r="BO541" s="55"/>
      <c r="BP541" s="55"/>
      <c r="BQ541" s="55"/>
      <c r="BR541" s="55"/>
      <c r="BS541" s="55"/>
    </row>
    <row r="542" spans="3:71" outlineLevel="1" x14ac:dyDescent="0.2">
      <c r="J542" s="26"/>
      <c r="L542" s="55"/>
      <c r="M542" s="55"/>
      <c r="N542" s="55"/>
      <c r="O542" s="55"/>
      <c r="P542" s="55"/>
      <c r="Q542" s="55"/>
      <c r="R542" s="55"/>
      <c r="S542" s="55"/>
      <c r="T542" s="55"/>
      <c r="U542" s="55"/>
      <c r="V542" s="55"/>
      <c r="W542" s="55"/>
      <c r="X542" s="55"/>
      <c r="Y542" s="55"/>
      <c r="Z542" s="55"/>
      <c r="AA542" s="55"/>
      <c r="AB542" s="55"/>
      <c r="AC542" s="55"/>
      <c r="AD542" s="55"/>
      <c r="AE542" s="55"/>
      <c r="AF542" s="55"/>
      <c r="AG542" s="55"/>
      <c r="AH542" s="55"/>
      <c r="AI542" s="55"/>
      <c r="AJ542" s="55"/>
      <c r="AK542" s="55"/>
      <c r="AL542" s="55"/>
      <c r="AM542" s="55"/>
      <c r="AN542" s="55"/>
      <c r="AO542" s="55"/>
      <c r="AP542" s="55"/>
      <c r="AQ542" s="55"/>
      <c r="AR542" s="55"/>
      <c r="AS542" s="55"/>
      <c r="AT542" s="55"/>
      <c r="AU542" s="55"/>
      <c r="AV542" s="55"/>
      <c r="AW542" s="55"/>
      <c r="AX542" s="55"/>
      <c r="AY542" s="55"/>
      <c r="AZ542" s="55"/>
      <c r="BA542" s="55"/>
      <c r="BB542" s="55"/>
      <c r="BC542" s="55"/>
      <c r="BD542" s="55"/>
      <c r="BE542" s="55"/>
      <c r="BF542" s="55"/>
      <c r="BG542" s="55"/>
      <c r="BH542" s="55"/>
      <c r="BI542" s="55"/>
      <c r="BJ542" s="55"/>
      <c r="BK542" s="55"/>
      <c r="BL542" s="55"/>
      <c r="BM542" s="55"/>
      <c r="BN542" s="55"/>
      <c r="BO542" s="55"/>
      <c r="BP542" s="55"/>
      <c r="BQ542" s="55"/>
      <c r="BR542" s="55"/>
      <c r="BS542" s="55"/>
    </row>
    <row r="543" spans="3:71" outlineLevel="1" x14ac:dyDescent="0.2">
      <c r="C543" s="11" t="str">
        <f>HM_ZB_Nsoko!C556</f>
        <v>Part nominale de l'État (%)</v>
      </c>
      <c r="H543" s="7" t="s">
        <v>522</v>
      </c>
      <c r="I543" s="62">
        <f ca="1">IFERROR(SUM(gov_CF_KLL2020,I502)/I423,0)</f>
        <v>0.85526441777460205</v>
      </c>
      <c r="J543" s="26"/>
      <c r="L543" s="55"/>
      <c r="M543" s="55"/>
      <c r="N543" s="55"/>
      <c r="O543" s="55"/>
      <c r="P543" s="55"/>
      <c r="Q543" s="55"/>
      <c r="R543" s="55"/>
      <c r="S543" s="55"/>
      <c r="T543" s="55"/>
      <c r="U543" s="55"/>
      <c r="V543" s="55"/>
      <c r="W543" s="55"/>
      <c r="X543" s="55"/>
      <c r="Y543" s="55"/>
      <c r="Z543" s="55"/>
      <c r="AA543" s="55"/>
      <c r="AB543" s="55"/>
      <c r="AC543" s="55"/>
      <c r="AD543" s="55"/>
      <c r="AE543" s="55"/>
      <c r="AF543" s="55"/>
      <c r="AG543" s="55"/>
      <c r="AH543" s="55"/>
      <c r="AI543" s="55"/>
      <c r="AJ543" s="55"/>
      <c r="AK543" s="55"/>
      <c r="AL543" s="55"/>
      <c r="AM543" s="55"/>
      <c r="AN543" s="55"/>
      <c r="AO543" s="55"/>
      <c r="AP543" s="55"/>
      <c r="AQ543" s="55"/>
      <c r="AR543" s="55"/>
      <c r="AS543" s="55"/>
      <c r="AT543" s="55"/>
      <c r="AU543" s="55"/>
      <c r="AV543" s="55"/>
      <c r="AW543" s="55"/>
      <c r="AX543" s="55"/>
      <c r="AY543" s="55"/>
      <c r="AZ543" s="55"/>
      <c r="BA543" s="55"/>
      <c r="BB543" s="55"/>
      <c r="BC543" s="55"/>
      <c r="BD543" s="55"/>
      <c r="BE543" s="55"/>
      <c r="BF543" s="55"/>
      <c r="BG543" s="55"/>
      <c r="BH543" s="55"/>
      <c r="BI543" s="55"/>
      <c r="BJ543" s="55"/>
      <c r="BK543" s="55"/>
      <c r="BL543" s="55"/>
      <c r="BM543" s="55"/>
      <c r="BN543" s="55"/>
      <c r="BO543" s="55"/>
      <c r="BP543" s="55"/>
      <c r="BQ543" s="55"/>
      <c r="BR543" s="55"/>
      <c r="BS543" s="55"/>
    </row>
    <row r="544" spans="3:71" outlineLevel="1" x14ac:dyDescent="0.2">
      <c r="J544" s="26"/>
      <c r="L544" s="55"/>
      <c r="M544" s="55"/>
      <c r="N544" s="55"/>
      <c r="O544" s="55"/>
      <c r="P544" s="55"/>
      <c r="Q544" s="55"/>
      <c r="R544" s="55"/>
      <c r="S544" s="55"/>
      <c r="T544" s="55"/>
      <c r="U544" s="55"/>
      <c r="V544" s="55"/>
      <c r="W544" s="55"/>
      <c r="X544" s="55"/>
      <c r="Y544" s="55"/>
      <c r="Z544" s="55"/>
      <c r="AA544" s="55"/>
      <c r="AB544" s="55"/>
      <c r="AC544" s="55"/>
      <c r="AD544" s="55"/>
      <c r="AE544" s="55"/>
      <c r="AF544" s="55"/>
      <c r="AG544" s="55"/>
      <c r="AH544" s="55"/>
      <c r="AI544" s="55"/>
      <c r="AJ544" s="55"/>
      <c r="AK544" s="55"/>
      <c r="AL544" s="55"/>
      <c r="AM544" s="55"/>
      <c r="AN544" s="55"/>
      <c r="AO544" s="55"/>
      <c r="AP544" s="55"/>
      <c r="AQ544" s="55"/>
      <c r="AR544" s="55"/>
      <c r="AS544" s="55"/>
      <c r="AT544" s="55"/>
      <c r="AU544" s="55"/>
      <c r="AV544" s="55"/>
      <c r="AW544" s="55"/>
      <c r="AX544" s="55"/>
      <c r="AY544" s="55"/>
      <c r="AZ544" s="55"/>
      <c r="BA544" s="55"/>
      <c r="BB544" s="55"/>
      <c r="BC544" s="55"/>
      <c r="BD544" s="55"/>
      <c r="BE544" s="55"/>
      <c r="BF544" s="55"/>
      <c r="BG544" s="55"/>
      <c r="BH544" s="55"/>
      <c r="BI544" s="55"/>
      <c r="BJ544" s="55"/>
      <c r="BK544" s="55"/>
      <c r="BL544" s="55"/>
      <c r="BM544" s="55"/>
      <c r="BN544" s="55"/>
      <c r="BO544" s="55"/>
      <c r="BP544" s="55"/>
      <c r="BQ544" s="55"/>
      <c r="BR544" s="55"/>
      <c r="BS544" s="55"/>
    </row>
    <row r="545" spans="3:71" outlineLevel="1" x14ac:dyDescent="0.2">
      <c r="C545" s="11" t="str">
        <f>HM_ZB_Nsoko!C558</f>
        <v>Annuité annuelle effective</v>
      </c>
      <c r="H545" s="7" t="s">
        <v>523</v>
      </c>
      <c r="I545" s="65">
        <f ca="1">(input_DiscRate_nom*$I$535)/(1-(1+input_DiscRate_nom)^-COUNTIF(KLL_II_2020!CA_op_trig,"&lt;&gt;0"))</f>
        <v>82.384486605646117</v>
      </c>
      <c r="J545" s="26" t="s">
        <v>314</v>
      </c>
      <c r="L545" s="55"/>
      <c r="M545" s="55"/>
      <c r="N545" s="55"/>
      <c r="O545" s="55"/>
      <c r="P545" s="55"/>
      <c r="Q545" s="55"/>
      <c r="R545" s="55"/>
      <c r="S545" s="55"/>
      <c r="T545" s="55"/>
      <c r="U545" s="55"/>
      <c r="V545" s="55"/>
      <c r="W545" s="55"/>
      <c r="X545" s="55"/>
      <c r="Y545" s="55"/>
      <c r="Z545" s="55"/>
      <c r="AA545" s="55"/>
      <c r="AB545" s="55"/>
      <c r="AC545" s="55"/>
      <c r="AD545" s="55"/>
      <c r="AE545" s="55"/>
      <c r="AF545" s="55"/>
      <c r="AG545" s="55"/>
      <c r="AH545" s="55"/>
      <c r="AI545" s="55"/>
      <c r="AJ545" s="55"/>
      <c r="AK545" s="55"/>
      <c r="AL545" s="55"/>
      <c r="AM545" s="55"/>
      <c r="AN545" s="55"/>
      <c r="AO545" s="55"/>
      <c r="AP545" s="55"/>
      <c r="AQ545" s="55"/>
      <c r="AR545" s="55"/>
      <c r="AS545" s="55"/>
      <c r="AT545" s="55"/>
      <c r="AU545" s="55"/>
      <c r="AV545" s="55"/>
      <c r="AW545" s="55"/>
      <c r="AX545" s="55"/>
      <c r="AY545" s="55"/>
      <c r="AZ545" s="55"/>
      <c r="BA545" s="55"/>
      <c r="BB545" s="55"/>
      <c r="BC545" s="55"/>
      <c r="BD545" s="55"/>
      <c r="BE545" s="55"/>
      <c r="BF545" s="55"/>
      <c r="BG545" s="55"/>
      <c r="BH545" s="55"/>
      <c r="BI545" s="55"/>
      <c r="BJ545" s="55"/>
      <c r="BK545" s="55"/>
      <c r="BL545" s="55"/>
      <c r="BM545" s="55"/>
      <c r="BN545" s="55"/>
      <c r="BO545" s="55"/>
      <c r="BP545" s="55"/>
      <c r="BQ545" s="55"/>
      <c r="BR545" s="55"/>
      <c r="BS545" s="55"/>
    </row>
    <row r="546" spans="3:71" outlineLevel="1" x14ac:dyDescent="0.2">
      <c r="J546" s="26"/>
      <c r="L546" s="55"/>
      <c r="M546" s="55"/>
      <c r="N546" s="55"/>
      <c r="O546" s="55"/>
      <c r="P546" s="55"/>
      <c r="Q546" s="55"/>
      <c r="R546" s="55"/>
      <c r="S546" s="55"/>
      <c r="T546" s="55"/>
      <c r="U546" s="55"/>
      <c r="V546" s="55"/>
      <c r="W546" s="55"/>
      <c r="X546" s="55"/>
      <c r="Y546" s="55"/>
      <c r="Z546" s="55"/>
      <c r="AA546" s="55"/>
      <c r="AB546" s="55"/>
      <c r="AC546" s="55"/>
      <c r="AD546" s="55"/>
      <c r="AE546" s="55"/>
      <c r="AF546" s="55"/>
      <c r="AG546" s="55"/>
      <c r="AH546" s="55"/>
      <c r="AI546" s="55"/>
      <c r="AJ546" s="55"/>
      <c r="AK546" s="55"/>
      <c r="AL546" s="55"/>
      <c r="AM546" s="55"/>
      <c r="AN546" s="55"/>
      <c r="AO546" s="55"/>
      <c r="AP546" s="55"/>
      <c r="AQ546" s="55"/>
      <c r="AR546" s="55"/>
      <c r="AS546" s="55"/>
      <c r="AT546" s="55"/>
      <c r="AU546" s="55"/>
      <c r="AV546" s="55"/>
      <c r="AW546" s="55"/>
      <c r="AX546" s="55"/>
      <c r="AY546" s="55"/>
      <c r="AZ546" s="55"/>
      <c r="BA546" s="55"/>
      <c r="BB546" s="55"/>
      <c r="BC546" s="55"/>
      <c r="BD546" s="55"/>
      <c r="BE546" s="55"/>
      <c r="BF546" s="55"/>
      <c r="BG546" s="55"/>
      <c r="BH546" s="55"/>
      <c r="BI546" s="55"/>
      <c r="BJ546" s="55"/>
      <c r="BK546" s="55"/>
      <c r="BL546" s="55"/>
      <c r="BM546" s="55"/>
      <c r="BN546" s="55"/>
      <c r="BO546" s="55"/>
      <c r="BP546" s="55"/>
      <c r="BQ546" s="55"/>
      <c r="BR546" s="55"/>
      <c r="BS546" s="55"/>
    </row>
    <row r="547" spans="3:71" outlineLevel="1" x14ac:dyDescent="0.2">
      <c r="J547" s="26"/>
      <c r="L547" s="55"/>
      <c r="M547" s="55"/>
      <c r="N547" s="55"/>
      <c r="O547" s="55"/>
      <c r="P547" s="55"/>
      <c r="Q547" s="55"/>
      <c r="R547" s="55"/>
      <c r="S547" s="55"/>
      <c r="T547" s="55"/>
      <c r="U547" s="55"/>
      <c r="V547" s="55"/>
      <c r="W547" s="55"/>
      <c r="X547" s="55"/>
      <c r="Y547" s="55"/>
      <c r="Z547" s="55"/>
      <c r="AA547" s="55"/>
      <c r="AB547" s="55"/>
      <c r="AC547" s="55"/>
      <c r="AD547" s="55"/>
      <c r="AE547" s="55"/>
      <c r="AF547" s="55"/>
      <c r="AG547" s="55"/>
      <c r="AH547" s="55"/>
      <c r="AI547" s="55"/>
      <c r="AJ547" s="55"/>
      <c r="AK547" s="55"/>
      <c r="AL547" s="55"/>
      <c r="AM547" s="55"/>
      <c r="AN547" s="55"/>
      <c r="AO547" s="55"/>
      <c r="AP547" s="55"/>
      <c r="AQ547" s="55"/>
      <c r="AR547" s="55"/>
      <c r="AS547" s="55"/>
      <c r="AT547" s="55"/>
      <c r="AU547" s="55"/>
      <c r="AV547" s="55"/>
      <c r="AW547" s="55"/>
      <c r="AX547" s="55"/>
      <c r="AY547" s="55"/>
      <c r="AZ547" s="55"/>
      <c r="BA547" s="55"/>
      <c r="BB547" s="55"/>
      <c r="BC547" s="55"/>
      <c r="BD547" s="55"/>
      <c r="BE547" s="55"/>
      <c r="BF547" s="55"/>
      <c r="BG547" s="55"/>
      <c r="BH547" s="55"/>
      <c r="BI547" s="55"/>
      <c r="BJ547" s="55"/>
      <c r="BK547" s="55"/>
      <c r="BL547" s="55"/>
      <c r="BM547" s="55"/>
      <c r="BN547" s="55"/>
      <c r="BO547" s="55"/>
      <c r="BP547" s="55"/>
      <c r="BQ547" s="55"/>
      <c r="BR547" s="55"/>
      <c r="BS547" s="55"/>
    </row>
    <row r="548" spans="3:71" outlineLevel="1" x14ac:dyDescent="0.2">
      <c r="C548" s="11" t="str">
        <f>HM_ZB_Nsoko!C561</f>
        <v>Volumes</v>
      </c>
      <c r="J548" s="26"/>
      <c r="L548" s="55"/>
      <c r="M548" s="55"/>
      <c r="N548" s="55"/>
      <c r="O548" s="55"/>
      <c r="P548" s="55"/>
      <c r="Q548" s="55"/>
      <c r="R548" s="55"/>
      <c r="S548" s="55"/>
      <c r="T548" s="55"/>
      <c r="U548" s="55"/>
      <c r="V548" s="55"/>
      <c r="W548" s="55"/>
      <c r="X548" s="55"/>
      <c r="Y548" s="55"/>
      <c r="Z548" s="55"/>
      <c r="AA548" s="55"/>
      <c r="AB548" s="55"/>
      <c r="AC548" s="55"/>
      <c r="AD548" s="55"/>
      <c r="AE548" s="55"/>
      <c r="AF548" s="55"/>
      <c r="AG548" s="55"/>
      <c r="AH548" s="55"/>
      <c r="AI548" s="55"/>
      <c r="AJ548" s="55"/>
      <c r="AK548" s="55"/>
      <c r="AL548" s="55"/>
      <c r="AM548" s="55"/>
      <c r="AN548" s="55"/>
      <c r="AO548" s="55"/>
      <c r="AP548" s="55"/>
      <c r="AQ548" s="55"/>
      <c r="AR548" s="55"/>
      <c r="AS548" s="55"/>
      <c r="AT548" s="55"/>
      <c r="AU548" s="55"/>
      <c r="AV548" s="55"/>
      <c r="AW548" s="55"/>
      <c r="AX548" s="55"/>
      <c r="AY548" s="55"/>
      <c r="AZ548" s="55"/>
      <c r="BA548" s="55"/>
      <c r="BB548" s="55"/>
      <c r="BC548" s="55"/>
      <c r="BD548" s="55"/>
      <c r="BE548" s="55"/>
      <c r="BF548" s="55"/>
      <c r="BG548" s="55"/>
      <c r="BH548" s="55"/>
      <c r="BI548" s="55"/>
      <c r="BJ548" s="55"/>
      <c r="BK548" s="55"/>
      <c r="BL548" s="55"/>
      <c r="BM548" s="55"/>
      <c r="BN548" s="55"/>
      <c r="BO548" s="55"/>
      <c r="BP548" s="55"/>
      <c r="BQ548" s="55"/>
      <c r="BR548" s="55"/>
      <c r="BS548" s="55"/>
    </row>
    <row r="549" spans="3:71" outlineLevel="1" x14ac:dyDescent="0.2">
      <c r="D549" t="str">
        <f>HM_ZB_Nsoko!D562</f>
        <v>Redevance</v>
      </c>
      <c r="H549" s="7"/>
      <c r="I549" s="30">
        <f t="shared" ref="I549:I552" ca="1" si="144">SUM($L549:$BS549)</f>
        <v>10.280045001969002</v>
      </c>
      <c r="J549" s="26" t="s">
        <v>692</v>
      </c>
      <c r="L549" s="49">
        <f ca="1">IFERROR((L521)/((KLL_II_2020!CA_FP_oil_nom*KLL_II_2020!CA_gross_prod_oil+KLL_II_2020!CA_FP_lpg_nom*KLL_II_2020!CA_gross_prod_lpg+KLL_II_2020!CA_FP_gas_nom*KLL_II_2020!CA_gross_prod_gas)/KLL_II_2020!CA_gross_prod_Total),0)</f>
        <v>0.70949700000000004</v>
      </c>
      <c r="M549" s="49">
        <f ca="1">IFERROR((M521)/((KLL_II_2020!CA_FP_oil_nom*KLL_II_2020!CA_gross_prod_oil+KLL_II_2020!CA_FP_lpg_nom*KLL_II_2020!CA_gross_prod_lpg+KLL_II_2020!CA_FP_gas_nom*KLL_II_2020!CA_gross_prod_gas)/KLL_II_2020!CA_gross_prod_Total),0)</f>
        <v>0.87360344999999995</v>
      </c>
      <c r="N549" s="49">
        <f ca="1">IFERROR((N521)/((KLL_II_2020!CA_FP_oil_nom*KLL_II_2020!CA_gross_prod_oil+KLL_II_2020!CA_FP_lpg_nom*KLL_II_2020!CA_gross_prod_lpg+KLL_II_2020!CA_FP_gas_nom*KLL_II_2020!CA_gross_prod_gas)/KLL_II_2020!CA_gross_prod_Total),0)</f>
        <v>0.89958104999999999</v>
      </c>
      <c r="O549" s="49">
        <f ca="1">IFERROR((O521)/((KLL_II_2020!CA_FP_oil_nom*KLL_II_2020!CA_gross_prod_oil+KLL_II_2020!CA_FP_lpg_nom*KLL_II_2020!CA_gross_prod_lpg+KLL_II_2020!CA_FP_gas_nom*KLL_II_2020!CA_gross_prod_gas)/KLL_II_2020!CA_gross_prod_Total),0)</f>
        <v>0.92775855000287133</v>
      </c>
      <c r="P549" s="49">
        <f ca="1">IFERROR((P521)/((KLL_II_2020!CA_FP_oil_nom*KLL_II_2020!CA_gross_prod_oil+KLL_II_2020!CA_FP_lpg_nom*KLL_II_2020!CA_gross_prod_lpg+KLL_II_2020!CA_FP_gas_nom*KLL_II_2020!CA_gross_prod_gas)/KLL_II_2020!CA_gross_prod_Total),0)</f>
        <v>0.83425998376460531</v>
      </c>
      <c r="Q549" s="49">
        <f ca="1">IFERROR((Q521)/((KLL_II_2020!CA_FP_oil_nom*KLL_II_2020!CA_gross_prod_oil+KLL_II_2020!CA_FP_lpg_nom*KLL_II_2020!CA_gross_prod_lpg+KLL_II_2020!CA_FP_gas_nom*KLL_II_2020!CA_gross_prod_gas)/KLL_II_2020!CA_gross_prod_Total),0)</f>
        <v>0.8984658000053326</v>
      </c>
      <c r="R549" s="49">
        <f ca="1">IFERROR((R521)/((KLL_II_2020!CA_FP_oil_nom*KLL_II_2020!CA_gross_prod_oil+KLL_II_2020!CA_FP_lpg_nom*KLL_II_2020!CA_gross_prod_lpg+KLL_II_2020!CA_FP_gas_nom*KLL_II_2020!CA_gross_prod_gas)/KLL_II_2020!CA_gross_prod_Total),0)</f>
        <v>0.92882564999999995</v>
      </c>
      <c r="S549" s="49">
        <f ca="1">IFERROR((S521)/((KLL_II_2020!CA_FP_oil_nom*KLL_II_2020!CA_gross_prod_oil+KLL_II_2020!CA_FP_lpg_nom*KLL_II_2020!CA_gross_prod_lpg+KLL_II_2020!CA_FP_gas_nom*KLL_II_2020!CA_gross_prod_gas)/KLL_II_2020!CA_gross_prod_Total),0)</f>
        <v>0.83443499999999993</v>
      </c>
      <c r="T549" s="49">
        <f ca="1">IFERROR((T521)/((KLL_II_2020!CA_FP_oil_nom*KLL_II_2020!CA_gross_prod_oil+KLL_II_2020!CA_FP_lpg_nom*KLL_II_2020!CA_gross_prod_lpg+KLL_II_2020!CA_FP_gas_nom*KLL_II_2020!CA_gross_prod_gas)/KLL_II_2020!CA_gross_prod_Total),0)</f>
        <v>0.77602454999999992</v>
      </c>
      <c r="U549" s="49">
        <f ca="1">IFERROR((U521)/((KLL_II_2020!CA_FP_oil_nom*KLL_II_2020!CA_gross_prod_oil+KLL_II_2020!CA_FP_lpg_nom*KLL_II_2020!CA_gross_prod_lpg+KLL_II_2020!CA_FP_gas_nom*KLL_II_2020!CA_gross_prod_gas)/KLL_II_2020!CA_gross_prod_Total),0)</f>
        <v>0.72170283149999992</v>
      </c>
      <c r="V549" s="49">
        <f ca="1">IFERROR((V521)/((KLL_II_2020!CA_FP_oil_nom*KLL_II_2020!CA_gross_prod_oil+KLL_II_2020!CA_FP_lpg_nom*KLL_II_2020!CA_gross_prod_lpg+KLL_II_2020!CA_FP_gas_nom*KLL_II_2020!CA_gross_prod_gas)/KLL_II_2020!CA_gross_prod_Total),0)</f>
        <v>0.67118363329499986</v>
      </c>
      <c r="W549" s="49">
        <f ca="1">IFERROR((W521)/((KLL_II_2020!CA_FP_oil_nom*KLL_II_2020!CA_gross_prod_oil+KLL_II_2020!CA_FP_lpg_nom*KLL_II_2020!CA_gross_prod_lpg+KLL_II_2020!CA_FP_gas_nom*KLL_II_2020!CA_gross_prod_gas)/KLL_II_2020!CA_gross_prod_Total),0)</f>
        <v>0.62420077896434978</v>
      </c>
      <c r="X549" s="49">
        <f ca="1">IFERROR((X521)/((KLL_II_2020!CA_FP_oil_nom*KLL_II_2020!CA_gross_prod_oil+KLL_II_2020!CA_FP_lpg_nom*KLL_II_2020!CA_gross_prod_lpg+KLL_II_2020!CA_FP_gas_nom*KLL_II_2020!CA_gross_prod_gas)/KLL_II_2020!CA_gross_prod_Total),0)</f>
        <v>0.58050672443684526</v>
      </c>
      <c r="Y549" s="49">
        <f ca="1">IFERROR((Y521)/((KLL_II_2020!CA_FP_oil_nom*KLL_II_2020!CA_gross_prod_oil+KLL_II_2020!CA_FP_lpg_nom*KLL_II_2020!CA_gross_prod_lpg+KLL_II_2020!CA_FP_gas_nom*KLL_II_2020!CA_gross_prod_gas)/KLL_II_2020!CA_gross_prod_Total),0)</f>
        <v>0</v>
      </c>
      <c r="Z549" s="49">
        <f ca="1">IFERROR((Z521)/((KLL_II_2020!CA_FP_oil_nom*KLL_II_2020!CA_gross_prod_oil+KLL_II_2020!CA_FP_lpg_nom*KLL_II_2020!CA_gross_prod_lpg+KLL_II_2020!CA_FP_gas_nom*KLL_II_2020!CA_gross_prod_gas)/KLL_II_2020!CA_gross_prod_Total),0)</f>
        <v>0</v>
      </c>
      <c r="AA549" s="49">
        <f ca="1">IFERROR((AA521)/((KLL_II_2020!CA_FP_oil_nom*KLL_II_2020!CA_gross_prod_oil+KLL_II_2020!CA_FP_lpg_nom*KLL_II_2020!CA_gross_prod_lpg+KLL_II_2020!CA_FP_gas_nom*KLL_II_2020!CA_gross_prod_gas)/KLL_II_2020!CA_gross_prod_Total),0)</f>
        <v>0</v>
      </c>
      <c r="AB549" s="49">
        <f ca="1">IFERROR((AB521)/((KLL_II_2020!CA_FP_oil_nom*KLL_II_2020!CA_gross_prod_oil+KLL_II_2020!CA_FP_lpg_nom*KLL_II_2020!CA_gross_prod_lpg+KLL_II_2020!CA_FP_gas_nom*KLL_II_2020!CA_gross_prod_gas)/KLL_II_2020!CA_gross_prod_Total),0)</f>
        <v>0</v>
      </c>
      <c r="AC549" s="49">
        <f ca="1">IFERROR((AC521)/((KLL_II_2020!CA_FP_oil_nom*KLL_II_2020!CA_gross_prod_oil+KLL_II_2020!CA_FP_lpg_nom*KLL_II_2020!CA_gross_prod_lpg+KLL_II_2020!CA_FP_gas_nom*KLL_II_2020!CA_gross_prod_gas)/KLL_II_2020!CA_gross_prod_Total),0)</f>
        <v>0</v>
      </c>
      <c r="AD549" s="49">
        <f ca="1">IFERROR((AD521)/((KLL_II_2020!CA_FP_oil_nom*KLL_II_2020!CA_gross_prod_oil+KLL_II_2020!CA_FP_lpg_nom*KLL_II_2020!CA_gross_prod_lpg+KLL_II_2020!CA_FP_gas_nom*KLL_II_2020!CA_gross_prod_gas)/KLL_II_2020!CA_gross_prod_Total),0)</f>
        <v>0</v>
      </c>
      <c r="AE549" s="49">
        <f ca="1">IFERROR((AE521)/((KLL_II_2020!CA_FP_oil_nom*KLL_II_2020!CA_gross_prod_oil+KLL_II_2020!CA_FP_lpg_nom*KLL_II_2020!CA_gross_prod_lpg+KLL_II_2020!CA_FP_gas_nom*KLL_II_2020!CA_gross_prod_gas)/KLL_II_2020!CA_gross_prod_Total),0)</f>
        <v>0</v>
      </c>
      <c r="AF549" s="49">
        <f ca="1">IFERROR((AF521)/((KLL_II_2020!CA_FP_oil_nom*KLL_II_2020!CA_gross_prod_oil+KLL_II_2020!CA_FP_lpg_nom*KLL_II_2020!CA_gross_prod_lpg+KLL_II_2020!CA_FP_gas_nom*KLL_II_2020!CA_gross_prod_gas)/KLL_II_2020!CA_gross_prod_Total),0)</f>
        <v>0</v>
      </c>
      <c r="AG549" s="49">
        <f ca="1">IFERROR((AG521)/((KLL_II_2020!CA_FP_oil_nom*KLL_II_2020!CA_gross_prod_oil+KLL_II_2020!CA_FP_lpg_nom*KLL_II_2020!CA_gross_prod_lpg+KLL_II_2020!CA_FP_gas_nom*KLL_II_2020!CA_gross_prod_gas)/KLL_II_2020!CA_gross_prod_Total),0)</f>
        <v>0</v>
      </c>
      <c r="AH549" s="49">
        <f ca="1">IFERROR((AH521)/((KLL_II_2020!CA_FP_oil_nom*KLL_II_2020!CA_gross_prod_oil+KLL_II_2020!CA_FP_lpg_nom*KLL_II_2020!CA_gross_prod_lpg+KLL_II_2020!CA_FP_gas_nom*KLL_II_2020!CA_gross_prod_gas)/KLL_II_2020!CA_gross_prod_Total),0)</f>
        <v>0</v>
      </c>
      <c r="AI549" s="49">
        <f ca="1">IFERROR((AI521)/((KLL_II_2020!CA_FP_oil_nom*KLL_II_2020!CA_gross_prod_oil+KLL_II_2020!CA_FP_lpg_nom*KLL_II_2020!CA_gross_prod_lpg+KLL_II_2020!CA_FP_gas_nom*KLL_II_2020!CA_gross_prod_gas)/KLL_II_2020!CA_gross_prod_Total),0)</f>
        <v>0</v>
      </c>
      <c r="AJ549" s="49">
        <f ca="1">IFERROR((AJ521)/((KLL_II_2020!CA_FP_oil_nom*KLL_II_2020!CA_gross_prod_oil+KLL_II_2020!CA_FP_lpg_nom*KLL_II_2020!CA_gross_prod_lpg+KLL_II_2020!CA_FP_gas_nom*KLL_II_2020!CA_gross_prod_gas)/KLL_II_2020!CA_gross_prod_Total),0)</f>
        <v>0</v>
      </c>
      <c r="AK549" s="49">
        <f ca="1">IFERROR((AK521)/((KLL_II_2020!CA_FP_oil_nom*KLL_II_2020!CA_gross_prod_oil+KLL_II_2020!CA_FP_lpg_nom*KLL_II_2020!CA_gross_prod_lpg+KLL_II_2020!CA_FP_gas_nom*KLL_II_2020!CA_gross_prod_gas)/KLL_II_2020!CA_gross_prod_Total),0)</f>
        <v>0</v>
      </c>
      <c r="AL549" s="49">
        <f ca="1">IFERROR((AL521)/((KLL_II_2020!CA_FP_oil_nom*KLL_II_2020!CA_gross_prod_oil+KLL_II_2020!CA_FP_lpg_nom*KLL_II_2020!CA_gross_prod_lpg+KLL_II_2020!CA_FP_gas_nom*KLL_II_2020!CA_gross_prod_gas)/KLL_II_2020!CA_gross_prod_Total),0)</f>
        <v>0</v>
      </c>
      <c r="AM549" s="49">
        <f ca="1">IFERROR((AM521)/((KLL_II_2020!CA_FP_oil_nom*KLL_II_2020!CA_gross_prod_oil+KLL_II_2020!CA_FP_lpg_nom*KLL_II_2020!CA_gross_prod_lpg+KLL_II_2020!CA_FP_gas_nom*KLL_II_2020!CA_gross_prod_gas)/KLL_II_2020!CA_gross_prod_Total),0)</f>
        <v>0</v>
      </c>
      <c r="AN549" s="49">
        <f ca="1">IFERROR((AN521)/((KLL_II_2020!CA_FP_oil_nom*KLL_II_2020!CA_gross_prod_oil+KLL_II_2020!CA_FP_lpg_nom*KLL_II_2020!CA_gross_prod_lpg+KLL_II_2020!CA_FP_gas_nom*KLL_II_2020!CA_gross_prod_gas)/KLL_II_2020!CA_gross_prod_Total),0)</f>
        <v>0</v>
      </c>
      <c r="AO549" s="49">
        <f ca="1">IFERROR((AO521)/((KLL_II_2020!CA_FP_oil_nom*KLL_II_2020!CA_gross_prod_oil+KLL_II_2020!CA_FP_lpg_nom*KLL_II_2020!CA_gross_prod_lpg+KLL_II_2020!CA_FP_gas_nom*KLL_II_2020!CA_gross_prod_gas)/KLL_II_2020!CA_gross_prod_Total),0)</f>
        <v>0</v>
      </c>
      <c r="AP549" s="49">
        <f ca="1">IFERROR((AP521)/((KLL_II_2020!CA_FP_oil_nom*KLL_II_2020!CA_gross_prod_oil+KLL_II_2020!CA_FP_lpg_nom*KLL_II_2020!CA_gross_prod_lpg+KLL_II_2020!CA_FP_gas_nom*KLL_II_2020!CA_gross_prod_gas)/KLL_II_2020!CA_gross_prod_Total),0)</f>
        <v>0</v>
      </c>
      <c r="AQ549" s="49">
        <f ca="1">IFERROR((AQ521)/((KLL_II_2020!CA_FP_oil_nom*KLL_II_2020!CA_gross_prod_oil+KLL_II_2020!CA_FP_lpg_nom*KLL_II_2020!CA_gross_prod_lpg+KLL_II_2020!CA_FP_gas_nom*KLL_II_2020!CA_gross_prod_gas)/KLL_II_2020!CA_gross_prod_Total),0)</f>
        <v>0</v>
      </c>
      <c r="AR549" s="49">
        <f ca="1">IFERROR((AR521)/((KLL_II_2020!CA_FP_oil_nom*KLL_II_2020!CA_gross_prod_oil+KLL_II_2020!CA_FP_lpg_nom*KLL_II_2020!CA_gross_prod_lpg+KLL_II_2020!CA_FP_gas_nom*KLL_II_2020!CA_gross_prod_gas)/KLL_II_2020!CA_gross_prod_Total),0)</f>
        <v>0</v>
      </c>
      <c r="AS549" s="49">
        <f ca="1">IFERROR((AS521)/((KLL_II_2020!CA_FP_oil_nom*KLL_II_2020!CA_gross_prod_oil+KLL_II_2020!CA_FP_lpg_nom*KLL_II_2020!CA_gross_prod_lpg+KLL_II_2020!CA_FP_gas_nom*KLL_II_2020!CA_gross_prod_gas)/KLL_II_2020!CA_gross_prod_Total),0)</f>
        <v>0</v>
      </c>
      <c r="AT549" s="49">
        <f ca="1">IFERROR((AT521)/((KLL_II_2020!CA_FP_oil_nom*KLL_II_2020!CA_gross_prod_oil+KLL_II_2020!CA_FP_lpg_nom*KLL_II_2020!CA_gross_prod_lpg+KLL_II_2020!CA_FP_gas_nom*KLL_II_2020!CA_gross_prod_gas)/KLL_II_2020!CA_gross_prod_Total),0)</f>
        <v>0</v>
      </c>
      <c r="AU549" s="49">
        <f ca="1">IFERROR((AU521)/((KLL_II_2020!CA_FP_oil_nom*KLL_II_2020!CA_gross_prod_oil+KLL_II_2020!CA_FP_lpg_nom*KLL_II_2020!CA_gross_prod_lpg+KLL_II_2020!CA_FP_gas_nom*KLL_II_2020!CA_gross_prod_gas)/KLL_II_2020!CA_gross_prod_Total),0)</f>
        <v>0</v>
      </c>
      <c r="AV549" s="49">
        <f ca="1">IFERROR((AV521)/((KLL_II_2020!CA_FP_oil_nom*KLL_II_2020!CA_gross_prod_oil+KLL_II_2020!CA_FP_lpg_nom*KLL_II_2020!CA_gross_prod_lpg+KLL_II_2020!CA_FP_gas_nom*KLL_II_2020!CA_gross_prod_gas)/KLL_II_2020!CA_gross_prod_Total),0)</f>
        <v>0</v>
      </c>
      <c r="AW549" s="49">
        <f ca="1">IFERROR((AW521)/((KLL_II_2020!CA_FP_oil_nom*KLL_II_2020!CA_gross_prod_oil+KLL_II_2020!CA_FP_lpg_nom*KLL_II_2020!CA_gross_prod_lpg+KLL_II_2020!CA_FP_gas_nom*KLL_II_2020!CA_gross_prod_gas)/KLL_II_2020!CA_gross_prod_Total),0)</f>
        <v>0</v>
      </c>
      <c r="AX549" s="49">
        <f ca="1">IFERROR((AX521)/((KLL_II_2020!CA_FP_oil_nom*KLL_II_2020!CA_gross_prod_oil+KLL_II_2020!CA_FP_lpg_nom*KLL_II_2020!CA_gross_prod_lpg+KLL_II_2020!CA_FP_gas_nom*KLL_II_2020!CA_gross_prod_gas)/KLL_II_2020!CA_gross_prod_Total),0)</f>
        <v>0</v>
      </c>
      <c r="AY549" s="49">
        <f ca="1">IFERROR((AY521)/((KLL_II_2020!CA_FP_oil_nom*KLL_II_2020!CA_gross_prod_oil+KLL_II_2020!CA_FP_lpg_nom*KLL_II_2020!CA_gross_prod_lpg+KLL_II_2020!CA_FP_gas_nom*KLL_II_2020!CA_gross_prod_gas)/KLL_II_2020!CA_gross_prod_Total),0)</f>
        <v>0</v>
      </c>
      <c r="AZ549" s="49">
        <f ca="1">IFERROR((AZ521)/((KLL_II_2020!CA_FP_oil_nom*KLL_II_2020!CA_gross_prod_oil+KLL_II_2020!CA_FP_lpg_nom*KLL_II_2020!CA_gross_prod_lpg+KLL_II_2020!CA_FP_gas_nom*KLL_II_2020!CA_gross_prod_gas)/KLL_II_2020!CA_gross_prod_Total),0)</f>
        <v>0</v>
      </c>
      <c r="BA549" s="49">
        <f ca="1">IFERROR((BA521)/((KLL_II_2020!CA_FP_oil_nom*KLL_II_2020!CA_gross_prod_oil+KLL_II_2020!CA_FP_lpg_nom*KLL_II_2020!CA_gross_prod_lpg+KLL_II_2020!CA_FP_gas_nom*KLL_II_2020!CA_gross_prod_gas)/KLL_II_2020!CA_gross_prod_Total),0)</f>
        <v>0</v>
      </c>
      <c r="BB549" s="49">
        <f ca="1">IFERROR((BB521)/((KLL_II_2020!CA_FP_oil_nom*KLL_II_2020!CA_gross_prod_oil+KLL_II_2020!CA_FP_lpg_nom*KLL_II_2020!CA_gross_prod_lpg+KLL_II_2020!CA_FP_gas_nom*KLL_II_2020!CA_gross_prod_gas)/KLL_II_2020!CA_gross_prod_Total),0)</f>
        <v>0</v>
      </c>
      <c r="BC549" s="49">
        <f ca="1">IFERROR((BC521)/((KLL_II_2020!CA_FP_oil_nom*KLL_II_2020!CA_gross_prod_oil+KLL_II_2020!CA_FP_lpg_nom*KLL_II_2020!CA_gross_prod_lpg+KLL_II_2020!CA_FP_gas_nom*KLL_II_2020!CA_gross_prod_gas)/KLL_II_2020!CA_gross_prod_Total),0)</f>
        <v>0</v>
      </c>
      <c r="BD549" s="49">
        <f ca="1">IFERROR((BD521)/((KLL_II_2020!CA_FP_oil_nom*KLL_II_2020!CA_gross_prod_oil+KLL_II_2020!CA_FP_lpg_nom*KLL_II_2020!CA_gross_prod_lpg+KLL_II_2020!CA_FP_gas_nom*KLL_II_2020!CA_gross_prod_gas)/KLL_II_2020!CA_gross_prod_Total),0)</f>
        <v>0</v>
      </c>
      <c r="BE549" s="49">
        <f ca="1">IFERROR((BE521)/((KLL_II_2020!CA_FP_oil_nom*KLL_II_2020!CA_gross_prod_oil+KLL_II_2020!CA_FP_lpg_nom*KLL_II_2020!CA_gross_prod_lpg+KLL_II_2020!CA_FP_gas_nom*KLL_II_2020!CA_gross_prod_gas)/KLL_II_2020!CA_gross_prod_Total),0)</f>
        <v>0</v>
      </c>
      <c r="BF549" s="49">
        <f ca="1">IFERROR((BF521)/((KLL_II_2020!CA_FP_oil_nom*KLL_II_2020!CA_gross_prod_oil+KLL_II_2020!CA_FP_lpg_nom*KLL_II_2020!CA_gross_prod_lpg+KLL_II_2020!CA_FP_gas_nom*KLL_II_2020!CA_gross_prod_gas)/KLL_II_2020!CA_gross_prod_Total),0)</f>
        <v>0</v>
      </c>
      <c r="BG549" s="49">
        <f ca="1">IFERROR((BG521)/((KLL_II_2020!CA_FP_oil_nom*KLL_II_2020!CA_gross_prod_oil+KLL_II_2020!CA_FP_lpg_nom*KLL_II_2020!CA_gross_prod_lpg+KLL_II_2020!CA_FP_gas_nom*KLL_II_2020!CA_gross_prod_gas)/KLL_II_2020!CA_gross_prod_Total),0)</f>
        <v>0</v>
      </c>
      <c r="BH549" s="49">
        <f ca="1">IFERROR((BH521)/((KLL_II_2020!CA_FP_oil_nom*KLL_II_2020!CA_gross_prod_oil+KLL_II_2020!CA_FP_lpg_nom*KLL_II_2020!CA_gross_prod_lpg+KLL_II_2020!CA_FP_gas_nom*KLL_II_2020!CA_gross_prod_gas)/KLL_II_2020!CA_gross_prod_Total),0)</f>
        <v>0</v>
      </c>
      <c r="BI549" s="49">
        <f ca="1">IFERROR((BI521)/((KLL_II_2020!CA_FP_oil_nom*KLL_II_2020!CA_gross_prod_oil+KLL_II_2020!CA_FP_lpg_nom*KLL_II_2020!CA_gross_prod_lpg+KLL_II_2020!CA_FP_gas_nom*KLL_II_2020!CA_gross_prod_gas)/KLL_II_2020!CA_gross_prod_Total),0)</f>
        <v>0</v>
      </c>
      <c r="BJ549" s="49">
        <f ca="1">IFERROR((BJ521)/((KLL_II_2020!CA_FP_oil_nom*KLL_II_2020!CA_gross_prod_oil+KLL_II_2020!CA_FP_lpg_nom*KLL_II_2020!CA_gross_prod_lpg+KLL_II_2020!CA_FP_gas_nom*KLL_II_2020!CA_gross_prod_gas)/KLL_II_2020!CA_gross_prod_Total),0)</f>
        <v>0</v>
      </c>
      <c r="BK549" s="49">
        <f ca="1">IFERROR((BK521)/((KLL_II_2020!CA_FP_oil_nom*KLL_II_2020!CA_gross_prod_oil+KLL_II_2020!CA_FP_lpg_nom*KLL_II_2020!CA_gross_prod_lpg+KLL_II_2020!CA_FP_gas_nom*KLL_II_2020!CA_gross_prod_gas)/KLL_II_2020!CA_gross_prod_Total),0)</f>
        <v>0</v>
      </c>
      <c r="BL549" s="49">
        <f ca="1">IFERROR((BL521)/((KLL_II_2020!CA_FP_oil_nom*KLL_II_2020!CA_gross_prod_oil+KLL_II_2020!CA_FP_lpg_nom*KLL_II_2020!CA_gross_prod_lpg+KLL_II_2020!CA_FP_gas_nom*KLL_II_2020!CA_gross_prod_gas)/KLL_II_2020!CA_gross_prod_Total),0)</f>
        <v>0</v>
      </c>
      <c r="BM549" s="49">
        <f ca="1">IFERROR((BM521)/((KLL_II_2020!CA_FP_oil_nom*KLL_II_2020!CA_gross_prod_oil+KLL_II_2020!CA_FP_lpg_nom*KLL_II_2020!CA_gross_prod_lpg+KLL_II_2020!CA_FP_gas_nom*KLL_II_2020!CA_gross_prod_gas)/KLL_II_2020!CA_gross_prod_Total),0)</f>
        <v>0</v>
      </c>
      <c r="BN549" s="49">
        <f ca="1">IFERROR((BN521)/((KLL_II_2020!CA_FP_oil_nom*KLL_II_2020!CA_gross_prod_oil+KLL_II_2020!CA_FP_lpg_nom*KLL_II_2020!CA_gross_prod_lpg+KLL_II_2020!CA_FP_gas_nom*KLL_II_2020!CA_gross_prod_gas)/KLL_II_2020!CA_gross_prod_Total),0)</f>
        <v>0</v>
      </c>
      <c r="BO549" s="49">
        <f ca="1">IFERROR((BO521)/((KLL_II_2020!CA_FP_oil_nom*KLL_II_2020!CA_gross_prod_oil+KLL_II_2020!CA_FP_lpg_nom*KLL_II_2020!CA_gross_prod_lpg+KLL_II_2020!CA_FP_gas_nom*KLL_II_2020!CA_gross_prod_gas)/KLL_II_2020!CA_gross_prod_Total),0)</f>
        <v>0</v>
      </c>
      <c r="BP549" s="49">
        <f ca="1">IFERROR((BP521)/((KLL_II_2020!CA_FP_oil_nom*KLL_II_2020!CA_gross_prod_oil+KLL_II_2020!CA_FP_lpg_nom*KLL_II_2020!CA_gross_prod_lpg+KLL_II_2020!CA_FP_gas_nom*KLL_II_2020!CA_gross_prod_gas)/KLL_II_2020!CA_gross_prod_Total),0)</f>
        <v>0</v>
      </c>
      <c r="BQ549" s="49">
        <f ca="1">IFERROR((BQ521)/((KLL_II_2020!CA_FP_oil_nom*KLL_II_2020!CA_gross_prod_oil+KLL_II_2020!CA_FP_lpg_nom*KLL_II_2020!CA_gross_prod_lpg+KLL_II_2020!CA_FP_gas_nom*KLL_II_2020!CA_gross_prod_gas)/KLL_II_2020!CA_gross_prod_Total),0)</f>
        <v>0</v>
      </c>
      <c r="BR549" s="49">
        <f ca="1">IFERROR((BR521)/((KLL_II_2020!CA_FP_oil_nom*KLL_II_2020!CA_gross_prod_oil+KLL_II_2020!CA_FP_lpg_nom*KLL_II_2020!CA_gross_prod_lpg+KLL_II_2020!CA_FP_gas_nom*KLL_II_2020!CA_gross_prod_gas)/KLL_II_2020!CA_gross_prod_Total),0)</f>
        <v>0</v>
      </c>
      <c r="BS549" s="49">
        <f ca="1">IFERROR((BS521)/((KLL_II_2020!CA_FP_oil_nom*KLL_II_2020!CA_gross_prod_oil+KLL_II_2020!CA_FP_lpg_nom*KLL_II_2020!CA_gross_prod_lpg+KLL_II_2020!CA_FP_gas_nom*KLL_II_2020!CA_gross_prod_gas)/KLL_II_2020!CA_gross_prod_Total),0)</f>
        <v>0</v>
      </c>
    </row>
    <row r="550" spans="3:71" outlineLevel="1" x14ac:dyDescent="0.2">
      <c r="D550" t="str">
        <f>HM_ZB_Nsoko!D563</f>
        <v>Excess Cost Oil</v>
      </c>
      <c r="H550" s="7"/>
      <c r="I550" s="30">
        <f t="shared" ca="1" si="144"/>
        <v>0</v>
      </c>
      <c r="J550" s="26" t="s">
        <v>692</v>
      </c>
      <c r="L550" s="49">
        <f ca="1">IFERROR((L523)/((KLL_II_2020!CA_FP_oil_nom*KLL_II_2020!CA_gross_prod_oil+KLL_II_2020!CA_FP_lpg_nom*KLL_II_2020!CA_gross_prod_lpg+KLL_II_2020!CA_FP_gas_nom*KLL_II_2020!CA_gross_prod_gas)/KLL_II_2020!CA_gross_prod_Total),0)</f>
        <v>0</v>
      </c>
      <c r="M550" s="49">
        <f ca="1">IFERROR((M523)/((KLL_II_2020!CA_FP_oil_nom*KLL_II_2020!CA_gross_prod_oil+KLL_II_2020!CA_FP_lpg_nom*KLL_II_2020!CA_gross_prod_lpg+KLL_II_2020!CA_FP_gas_nom*KLL_II_2020!CA_gross_prod_gas)/KLL_II_2020!CA_gross_prod_Total),0)</f>
        <v>0</v>
      </c>
      <c r="N550" s="49">
        <f ca="1">IFERROR((N523)/((KLL_II_2020!CA_FP_oil_nom*KLL_II_2020!CA_gross_prod_oil+KLL_II_2020!CA_FP_lpg_nom*KLL_II_2020!CA_gross_prod_lpg+KLL_II_2020!CA_FP_gas_nom*KLL_II_2020!CA_gross_prod_gas)/KLL_II_2020!CA_gross_prod_Total),0)</f>
        <v>0</v>
      </c>
      <c r="O550" s="49">
        <f ca="1">IFERROR((O523)/((KLL_II_2020!CA_FP_oil_nom*KLL_II_2020!CA_gross_prod_oil+KLL_II_2020!CA_FP_lpg_nom*KLL_II_2020!CA_gross_prod_lpg+KLL_II_2020!CA_FP_gas_nom*KLL_II_2020!CA_gross_prod_gas)/KLL_II_2020!CA_gross_prod_Total),0)</f>
        <v>0</v>
      </c>
      <c r="P550" s="49">
        <f ca="1">IFERROR((P523)/((KLL_II_2020!CA_FP_oil_nom*KLL_II_2020!CA_gross_prod_oil+KLL_II_2020!CA_FP_lpg_nom*KLL_II_2020!CA_gross_prod_lpg+KLL_II_2020!CA_FP_gas_nom*KLL_II_2020!CA_gross_prod_gas)/KLL_II_2020!CA_gross_prod_Total),0)</f>
        <v>0</v>
      </c>
      <c r="Q550" s="49">
        <f ca="1">IFERROR((Q523)/((KLL_II_2020!CA_FP_oil_nom*KLL_II_2020!CA_gross_prod_oil+KLL_II_2020!CA_FP_lpg_nom*KLL_II_2020!CA_gross_prod_lpg+KLL_II_2020!CA_FP_gas_nom*KLL_II_2020!CA_gross_prod_gas)/KLL_II_2020!CA_gross_prod_Total),0)</f>
        <v>0</v>
      </c>
      <c r="R550" s="49">
        <f ca="1">IFERROR((R523)/((KLL_II_2020!CA_FP_oil_nom*KLL_II_2020!CA_gross_prod_oil+KLL_II_2020!CA_FP_lpg_nom*KLL_II_2020!CA_gross_prod_lpg+KLL_II_2020!CA_FP_gas_nom*KLL_II_2020!CA_gross_prod_gas)/KLL_II_2020!CA_gross_prod_Total),0)</f>
        <v>0</v>
      </c>
      <c r="S550" s="49">
        <f ca="1">IFERROR((S523)/((KLL_II_2020!CA_FP_oil_nom*KLL_II_2020!CA_gross_prod_oil+KLL_II_2020!CA_FP_lpg_nom*KLL_II_2020!CA_gross_prod_lpg+KLL_II_2020!CA_FP_gas_nom*KLL_II_2020!CA_gross_prod_gas)/KLL_II_2020!CA_gross_prod_Total),0)</f>
        <v>0</v>
      </c>
      <c r="T550" s="49">
        <f ca="1">IFERROR((T523)/((KLL_II_2020!CA_FP_oil_nom*KLL_II_2020!CA_gross_prod_oil+KLL_II_2020!CA_FP_lpg_nom*KLL_II_2020!CA_gross_prod_lpg+KLL_II_2020!CA_FP_gas_nom*KLL_II_2020!CA_gross_prod_gas)/KLL_II_2020!CA_gross_prod_Total),0)</f>
        <v>0</v>
      </c>
      <c r="U550" s="49">
        <f ca="1">IFERROR((U523)/((KLL_II_2020!CA_FP_oil_nom*KLL_II_2020!CA_gross_prod_oil+KLL_II_2020!CA_FP_lpg_nom*KLL_II_2020!CA_gross_prod_lpg+KLL_II_2020!CA_FP_gas_nom*KLL_II_2020!CA_gross_prod_gas)/KLL_II_2020!CA_gross_prod_Total),0)</f>
        <v>0</v>
      </c>
      <c r="V550" s="49">
        <f ca="1">IFERROR((V523)/((KLL_II_2020!CA_FP_oil_nom*KLL_II_2020!CA_gross_prod_oil+KLL_II_2020!CA_FP_lpg_nom*KLL_II_2020!CA_gross_prod_lpg+KLL_II_2020!CA_FP_gas_nom*KLL_II_2020!CA_gross_prod_gas)/KLL_II_2020!CA_gross_prod_Total),0)</f>
        <v>0</v>
      </c>
      <c r="W550" s="49">
        <f ca="1">IFERROR((W523)/((KLL_II_2020!CA_FP_oil_nom*KLL_II_2020!CA_gross_prod_oil+KLL_II_2020!CA_FP_lpg_nom*KLL_II_2020!CA_gross_prod_lpg+KLL_II_2020!CA_FP_gas_nom*KLL_II_2020!CA_gross_prod_gas)/KLL_II_2020!CA_gross_prod_Total),0)</f>
        <v>0</v>
      </c>
      <c r="X550" s="49">
        <f ca="1">IFERROR((X523)/((KLL_II_2020!CA_FP_oil_nom*KLL_II_2020!CA_gross_prod_oil+KLL_II_2020!CA_FP_lpg_nom*KLL_II_2020!CA_gross_prod_lpg+KLL_II_2020!CA_FP_gas_nom*KLL_II_2020!CA_gross_prod_gas)/KLL_II_2020!CA_gross_prod_Total),0)</f>
        <v>0</v>
      </c>
      <c r="Y550" s="49">
        <f ca="1">IFERROR((Y523)/((KLL_II_2020!CA_FP_oil_nom*KLL_II_2020!CA_gross_prod_oil+KLL_II_2020!CA_FP_lpg_nom*KLL_II_2020!CA_gross_prod_lpg+KLL_II_2020!CA_FP_gas_nom*KLL_II_2020!CA_gross_prod_gas)/KLL_II_2020!CA_gross_prod_Total),0)</f>
        <v>0</v>
      </c>
      <c r="Z550" s="49">
        <f ca="1">IFERROR((Z523)/((KLL_II_2020!CA_FP_oil_nom*KLL_II_2020!CA_gross_prod_oil+KLL_II_2020!CA_FP_lpg_nom*KLL_II_2020!CA_gross_prod_lpg+KLL_II_2020!CA_FP_gas_nom*KLL_II_2020!CA_gross_prod_gas)/KLL_II_2020!CA_gross_prod_Total),0)</f>
        <v>0</v>
      </c>
      <c r="AA550" s="49">
        <f ca="1">IFERROR((AA523)/((KLL_II_2020!CA_FP_oil_nom*KLL_II_2020!CA_gross_prod_oil+KLL_II_2020!CA_FP_lpg_nom*KLL_II_2020!CA_gross_prod_lpg+KLL_II_2020!CA_FP_gas_nom*KLL_II_2020!CA_gross_prod_gas)/KLL_II_2020!CA_gross_prod_Total),0)</f>
        <v>0</v>
      </c>
      <c r="AB550" s="49">
        <f ca="1">IFERROR((AB523)/((KLL_II_2020!CA_FP_oil_nom*KLL_II_2020!CA_gross_prod_oil+KLL_II_2020!CA_FP_lpg_nom*KLL_II_2020!CA_gross_prod_lpg+KLL_II_2020!CA_FP_gas_nom*KLL_II_2020!CA_gross_prod_gas)/KLL_II_2020!CA_gross_prod_Total),0)</f>
        <v>0</v>
      </c>
      <c r="AC550" s="49">
        <f ca="1">IFERROR((AC523)/((KLL_II_2020!CA_FP_oil_nom*KLL_II_2020!CA_gross_prod_oil+KLL_II_2020!CA_FP_lpg_nom*KLL_II_2020!CA_gross_prod_lpg+KLL_II_2020!CA_FP_gas_nom*KLL_II_2020!CA_gross_prod_gas)/KLL_II_2020!CA_gross_prod_Total),0)</f>
        <v>0</v>
      </c>
      <c r="AD550" s="49">
        <f ca="1">IFERROR((AD523)/((KLL_II_2020!CA_FP_oil_nom*KLL_II_2020!CA_gross_prod_oil+KLL_II_2020!CA_FP_lpg_nom*KLL_II_2020!CA_gross_prod_lpg+KLL_II_2020!CA_FP_gas_nom*KLL_II_2020!CA_gross_prod_gas)/KLL_II_2020!CA_gross_prod_Total),0)</f>
        <v>0</v>
      </c>
      <c r="AE550" s="49">
        <f ca="1">IFERROR((AE523)/((KLL_II_2020!CA_FP_oil_nom*KLL_II_2020!CA_gross_prod_oil+KLL_II_2020!CA_FP_lpg_nom*KLL_II_2020!CA_gross_prod_lpg+KLL_II_2020!CA_FP_gas_nom*KLL_II_2020!CA_gross_prod_gas)/KLL_II_2020!CA_gross_prod_Total),0)</f>
        <v>0</v>
      </c>
      <c r="AF550" s="49">
        <f ca="1">IFERROR((AF523)/((KLL_II_2020!CA_FP_oil_nom*KLL_II_2020!CA_gross_prod_oil+KLL_II_2020!CA_FP_lpg_nom*KLL_II_2020!CA_gross_prod_lpg+KLL_II_2020!CA_FP_gas_nom*KLL_II_2020!CA_gross_prod_gas)/KLL_II_2020!CA_gross_prod_Total),0)</f>
        <v>0</v>
      </c>
      <c r="AG550" s="49">
        <f ca="1">IFERROR((AG523)/((KLL_II_2020!CA_FP_oil_nom*KLL_II_2020!CA_gross_prod_oil+KLL_II_2020!CA_FP_lpg_nom*KLL_II_2020!CA_gross_prod_lpg+KLL_II_2020!CA_FP_gas_nom*KLL_II_2020!CA_gross_prod_gas)/KLL_II_2020!CA_gross_prod_Total),0)</f>
        <v>0</v>
      </c>
      <c r="AH550" s="49">
        <f ca="1">IFERROR((AH523)/((KLL_II_2020!CA_FP_oil_nom*KLL_II_2020!CA_gross_prod_oil+KLL_II_2020!CA_FP_lpg_nom*KLL_II_2020!CA_gross_prod_lpg+KLL_II_2020!CA_FP_gas_nom*KLL_II_2020!CA_gross_prod_gas)/KLL_II_2020!CA_gross_prod_Total),0)</f>
        <v>0</v>
      </c>
      <c r="AI550" s="49">
        <f ca="1">IFERROR((AI523)/((KLL_II_2020!CA_FP_oil_nom*KLL_II_2020!CA_gross_prod_oil+KLL_II_2020!CA_FP_lpg_nom*KLL_II_2020!CA_gross_prod_lpg+KLL_II_2020!CA_FP_gas_nom*KLL_II_2020!CA_gross_prod_gas)/KLL_II_2020!CA_gross_prod_Total),0)</f>
        <v>0</v>
      </c>
      <c r="AJ550" s="49">
        <f ca="1">IFERROR((AJ523)/((KLL_II_2020!CA_FP_oil_nom*KLL_II_2020!CA_gross_prod_oil+KLL_II_2020!CA_FP_lpg_nom*KLL_II_2020!CA_gross_prod_lpg+KLL_II_2020!CA_FP_gas_nom*KLL_II_2020!CA_gross_prod_gas)/KLL_II_2020!CA_gross_prod_Total),0)</f>
        <v>0</v>
      </c>
      <c r="AK550" s="49">
        <f ca="1">IFERROR((AK523)/((KLL_II_2020!CA_FP_oil_nom*KLL_II_2020!CA_gross_prod_oil+KLL_II_2020!CA_FP_lpg_nom*KLL_II_2020!CA_gross_prod_lpg+KLL_II_2020!CA_FP_gas_nom*KLL_II_2020!CA_gross_prod_gas)/KLL_II_2020!CA_gross_prod_Total),0)</f>
        <v>0</v>
      </c>
      <c r="AL550" s="49">
        <f ca="1">IFERROR((AL523)/((KLL_II_2020!CA_FP_oil_nom*KLL_II_2020!CA_gross_prod_oil+KLL_II_2020!CA_FP_lpg_nom*KLL_II_2020!CA_gross_prod_lpg+KLL_II_2020!CA_FP_gas_nom*KLL_II_2020!CA_gross_prod_gas)/KLL_II_2020!CA_gross_prod_Total),0)</f>
        <v>0</v>
      </c>
      <c r="AM550" s="49">
        <f ca="1">IFERROR((AM523)/((KLL_II_2020!CA_FP_oil_nom*KLL_II_2020!CA_gross_prod_oil+KLL_II_2020!CA_FP_lpg_nom*KLL_II_2020!CA_gross_prod_lpg+KLL_II_2020!CA_FP_gas_nom*KLL_II_2020!CA_gross_prod_gas)/KLL_II_2020!CA_gross_prod_Total),0)</f>
        <v>0</v>
      </c>
      <c r="AN550" s="49">
        <f ca="1">IFERROR((AN523)/((KLL_II_2020!CA_FP_oil_nom*KLL_II_2020!CA_gross_prod_oil+KLL_II_2020!CA_FP_lpg_nom*KLL_II_2020!CA_gross_prod_lpg+KLL_II_2020!CA_FP_gas_nom*KLL_II_2020!CA_gross_prod_gas)/KLL_II_2020!CA_gross_prod_Total),0)</f>
        <v>0</v>
      </c>
      <c r="AO550" s="49">
        <f ca="1">IFERROR((AO523)/((KLL_II_2020!CA_FP_oil_nom*KLL_II_2020!CA_gross_prod_oil+KLL_II_2020!CA_FP_lpg_nom*KLL_II_2020!CA_gross_prod_lpg+KLL_II_2020!CA_FP_gas_nom*KLL_II_2020!CA_gross_prod_gas)/KLL_II_2020!CA_gross_prod_Total),0)</f>
        <v>0</v>
      </c>
      <c r="AP550" s="49">
        <f ca="1">IFERROR((AP523)/((KLL_II_2020!CA_FP_oil_nom*KLL_II_2020!CA_gross_prod_oil+KLL_II_2020!CA_FP_lpg_nom*KLL_II_2020!CA_gross_prod_lpg+KLL_II_2020!CA_FP_gas_nom*KLL_II_2020!CA_gross_prod_gas)/KLL_II_2020!CA_gross_prod_Total),0)</f>
        <v>0</v>
      </c>
      <c r="AQ550" s="49">
        <f ca="1">IFERROR((AQ523)/((KLL_II_2020!CA_FP_oil_nom*KLL_II_2020!CA_gross_prod_oil+KLL_II_2020!CA_FP_lpg_nom*KLL_II_2020!CA_gross_prod_lpg+KLL_II_2020!CA_FP_gas_nom*KLL_II_2020!CA_gross_prod_gas)/KLL_II_2020!CA_gross_prod_Total),0)</f>
        <v>0</v>
      </c>
      <c r="AR550" s="49">
        <f ca="1">IFERROR((AR523)/((KLL_II_2020!CA_FP_oil_nom*KLL_II_2020!CA_gross_prod_oil+KLL_II_2020!CA_FP_lpg_nom*KLL_II_2020!CA_gross_prod_lpg+KLL_II_2020!CA_FP_gas_nom*KLL_II_2020!CA_gross_prod_gas)/KLL_II_2020!CA_gross_prod_Total),0)</f>
        <v>0</v>
      </c>
      <c r="AS550" s="49">
        <f ca="1">IFERROR((AS523)/((KLL_II_2020!CA_FP_oil_nom*KLL_II_2020!CA_gross_prod_oil+KLL_II_2020!CA_FP_lpg_nom*KLL_II_2020!CA_gross_prod_lpg+KLL_II_2020!CA_FP_gas_nom*KLL_II_2020!CA_gross_prod_gas)/KLL_II_2020!CA_gross_prod_Total),0)</f>
        <v>0</v>
      </c>
      <c r="AT550" s="49">
        <f ca="1">IFERROR((AT523)/((KLL_II_2020!CA_FP_oil_nom*KLL_II_2020!CA_gross_prod_oil+KLL_II_2020!CA_FP_lpg_nom*KLL_II_2020!CA_gross_prod_lpg+KLL_II_2020!CA_FP_gas_nom*KLL_II_2020!CA_gross_prod_gas)/KLL_II_2020!CA_gross_prod_Total),0)</f>
        <v>0</v>
      </c>
      <c r="AU550" s="49">
        <f ca="1">IFERROR((AU523)/((KLL_II_2020!CA_FP_oil_nom*KLL_II_2020!CA_gross_prod_oil+KLL_II_2020!CA_FP_lpg_nom*KLL_II_2020!CA_gross_prod_lpg+KLL_II_2020!CA_FP_gas_nom*KLL_II_2020!CA_gross_prod_gas)/KLL_II_2020!CA_gross_prod_Total),0)</f>
        <v>0</v>
      </c>
      <c r="AV550" s="49">
        <f ca="1">IFERROR((AV523)/((KLL_II_2020!CA_FP_oil_nom*KLL_II_2020!CA_gross_prod_oil+KLL_II_2020!CA_FP_lpg_nom*KLL_II_2020!CA_gross_prod_lpg+KLL_II_2020!CA_FP_gas_nom*KLL_II_2020!CA_gross_prod_gas)/KLL_II_2020!CA_gross_prod_Total),0)</f>
        <v>0</v>
      </c>
      <c r="AW550" s="49">
        <f ca="1">IFERROR((AW523)/((KLL_II_2020!CA_FP_oil_nom*KLL_II_2020!CA_gross_prod_oil+KLL_II_2020!CA_FP_lpg_nom*KLL_II_2020!CA_gross_prod_lpg+KLL_II_2020!CA_FP_gas_nom*KLL_II_2020!CA_gross_prod_gas)/KLL_II_2020!CA_gross_prod_Total),0)</f>
        <v>0</v>
      </c>
      <c r="AX550" s="49">
        <f ca="1">IFERROR((AX523)/((KLL_II_2020!CA_FP_oil_nom*KLL_II_2020!CA_gross_prod_oil+KLL_II_2020!CA_FP_lpg_nom*KLL_II_2020!CA_gross_prod_lpg+KLL_II_2020!CA_FP_gas_nom*KLL_II_2020!CA_gross_prod_gas)/KLL_II_2020!CA_gross_prod_Total),0)</f>
        <v>0</v>
      </c>
      <c r="AY550" s="49">
        <f ca="1">IFERROR((AY523)/((KLL_II_2020!CA_FP_oil_nom*KLL_II_2020!CA_gross_prod_oil+KLL_II_2020!CA_FP_lpg_nom*KLL_II_2020!CA_gross_prod_lpg+KLL_II_2020!CA_FP_gas_nom*KLL_II_2020!CA_gross_prod_gas)/KLL_II_2020!CA_gross_prod_Total),0)</f>
        <v>0</v>
      </c>
      <c r="AZ550" s="49">
        <f ca="1">IFERROR((AZ523)/((KLL_II_2020!CA_FP_oil_nom*KLL_II_2020!CA_gross_prod_oil+KLL_II_2020!CA_FP_lpg_nom*KLL_II_2020!CA_gross_prod_lpg+KLL_II_2020!CA_FP_gas_nom*KLL_II_2020!CA_gross_prod_gas)/KLL_II_2020!CA_gross_prod_Total),0)</f>
        <v>0</v>
      </c>
      <c r="BA550" s="49">
        <f ca="1">IFERROR((BA523)/((KLL_II_2020!CA_FP_oil_nom*KLL_II_2020!CA_gross_prod_oil+KLL_II_2020!CA_FP_lpg_nom*KLL_II_2020!CA_gross_prod_lpg+KLL_II_2020!CA_FP_gas_nom*KLL_II_2020!CA_gross_prod_gas)/KLL_II_2020!CA_gross_prod_Total),0)</f>
        <v>0</v>
      </c>
      <c r="BB550" s="49">
        <f ca="1">IFERROR((BB523)/((KLL_II_2020!CA_FP_oil_nom*KLL_II_2020!CA_gross_prod_oil+KLL_II_2020!CA_FP_lpg_nom*KLL_II_2020!CA_gross_prod_lpg+KLL_II_2020!CA_FP_gas_nom*KLL_II_2020!CA_gross_prod_gas)/KLL_II_2020!CA_gross_prod_Total),0)</f>
        <v>0</v>
      </c>
      <c r="BC550" s="49">
        <f ca="1">IFERROR((BC523)/((KLL_II_2020!CA_FP_oil_nom*KLL_II_2020!CA_gross_prod_oil+KLL_II_2020!CA_FP_lpg_nom*KLL_II_2020!CA_gross_prod_lpg+KLL_II_2020!CA_FP_gas_nom*KLL_II_2020!CA_gross_prod_gas)/KLL_II_2020!CA_gross_prod_Total),0)</f>
        <v>0</v>
      </c>
      <c r="BD550" s="49">
        <f ca="1">IFERROR((BD523)/((KLL_II_2020!CA_FP_oil_nom*KLL_II_2020!CA_gross_prod_oil+KLL_II_2020!CA_FP_lpg_nom*KLL_II_2020!CA_gross_prod_lpg+KLL_II_2020!CA_FP_gas_nom*KLL_II_2020!CA_gross_prod_gas)/KLL_II_2020!CA_gross_prod_Total),0)</f>
        <v>0</v>
      </c>
      <c r="BE550" s="49">
        <f ca="1">IFERROR((BE523)/((KLL_II_2020!CA_FP_oil_nom*KLL_II_2020!CA_gross_prod_oil+KLL_II_2020!CA_FP_lpg_nom*KLL_II_2020!CA_gross_prod_lpg+KLL_II_2020!CA_FP_gas_nom*KLL_II_2020!CA_gross_prod_gas)/KLL_II_2020!CA_gross_prod_Total),0)</f>
        <v>0</v>
      </c>
      <c r="BF550" s="49">
        <f ca="1">IFERROR((BF523)/((KLL_II_2020!CA_FP_oil_nom*KLL_II_2020!CA_gross_prod_oil+KLL_II_2020!CA_FP_lpg_nom*KLL_II_2020!CA_gross_prod_lpg+KLL_II_2020!CA_FP_gas_nom*KLL_II_2020!CA_gross_prod_gas)/KLL_II_2020!CA_gross_prod_Total),0)</f>
        <v>0</v>
      </c>
      <c r="BG550" s="49">
        <f ca="1">IFERROR((BG523)/((KLL_II_2020!CA_FP_oil_nom*KLL_II_2020!CA_gross_prod_oil+KLL_II_2020!CA_FP_lpg_nom*KLL_II_2020!CA_gross_prod_lpg+KLL_II_2020!CA_FP_gas_nom*KLL_II_2020!CA_gross_prod_gas)/KLL_II_2020!CA_gross_prod_Total),0)</f>
        <v>0</v>
      </c>
      <c r="BH550" s="49">
        <f ca="1">IFERROR((BH523)/((KLL_II_2020!CA_FP_oil_nom*KLL_II_2020!CA_gross_prod_oil+KLL_II_2020!CA_FP_lpg_nom*KLL_II_2020!CA_gross_prod_lpg+KLL_II_2020!CA_FP_gas_nom*KLL_II_2020!CA_gross_prod_gas)/KLL_II_2020!CA_gross_prod_Total),0)</f>
        <v>0</v>
      </c>
      <c r="BI550" s="49">
        <f ca="1">IFERROR((BI523)/((KLL_II_2020!CA_FP_oil_nom*KLL_II_2020!CA_gross_prod_oil+KLL_II_2020!CA_FP_lpg_nom*KLL_II_2020!CA_gross_prod_lpg+KLL_II_2020!CA_FP_gas_nom*KLL_II_2020!CA_gross_prod_gas)/KLL_II_2020!CA_gross_prod_Total),0)</f>
        <v>0</v>
      </c>
      <c r="BJ550" s="49">
        <f ca="1">IFERROR((BJ523)/((KLL_II_2020!CA_FP_oil_nom*KLL_II_2020!CA_gross_prod_oil+KLL_II_2020!CA_FP_lpg_nom*KLL_II_2020!CA_gross_prod_lpg+KLL_II_2020!CA_FP_gas_nom*KLL_II_2020!CA_gross_prod_gas)/KLL_II_2020!CA_gross_prod_Total),0)</f>
        <v>0</v>
      </c>
      <c r="BK550" s="49">
        <f ca="1">IFERROR((BK523)/((KLL_II_2020!CA_FP_oil_nom*KLL_II_2020!CA_gross_prod_oil+KLL_II_2020!CA_FP_lpg_nom*KLL_II_2020!CA_gross_prod_lpg+KLL_II_2020!CA_FP_gas_nom*KLL_II_2020!CA_gross_prod_gas)/KLL_II_2020!CA_gross_prod_Total),0)</f>
        <v>0</v>
      </c>
      <c r="BL550" s="49">
        <f ca="1">IFERROR((BL523)/((KLL_II_2020!CA_FP_oil_nom*KLL_II_2020!CA_gross_prod_oil+KLL_II_2020!CA_FP_lpg_nom*KLL_II_2020!CA_gross_prod_lpg+KLL_II_2020!CA_FP_gas_nom*KLL_II_2020!CA_gross_prod_gas)/KLL_II_2020!CA_gross_prod_Total),0)</f>
        <v>0</v>
      </c>
      <c r="BM550" s="49">
        <f ca="1">IFERROR((BM523)/((KLL_II_2020!CA_FP_oil_nom*KLL_II_2020!CA_gross_prod_oil+KLL_II_2020!CA_FP_lpg_nom*KLL_II_2020!CA_gross_prod_lpg+KLL_II_2020!CA_FP_gas_nom*KLL_II_2020!CA_gross_prod_gas)/KLL_II_2020!CA_gross_prod_Total),0)</f>
        <v>0</v>
      </c>
      <c r="BN550" s="49">
        <f ca="1">IFERROR((BN523)/((KLL_II_2020!CA_FP_oil_nom*KLL_II_2020!CA_gross_prod_oil+KLL_II_2020!CA_FP_lpg_nom*KLL_II_2020!CA_gross_prod_lpg+KLL_II_2020!CA_FP_gas_nom*KLL_II_2020!CA_gross_prod_gas)/KLL_II_2020!CA_gross_prod_Total),0)</f>
        <v>0</v>
      </c>
      <c r="BO550" s="49">
        <f ca="1">IFERROR((BO523)/((KLL_II_2020!CA_FP_oil_nom*KLL_II_2020!CA_gross_prod_oil+KLL_II_2020!CA_FP_lpg_nom*KLL_II_2020!CA_gross_prod_lpg+KLL_II_2020!CA_FP_gas_nom*KLL_II_2020!CA_gross_prod_gas)/KLL_II_2020!CA_gross_prod_Total),0)</f>
        <v>0</v>
      </c>
      <c r="BP550" s="49">
        <f ca="1">IFERROR((BP523)/((KLL_II_2020!CA_FP_oil_nom*KLL_II_2020!CA_gross_prod_oil+KLL_II_2020!CA_FP_lpg_nom*KLL_II_2020!CA_gross_prod_lpg+KLL_II_2020!CA_FP_gas_nom*KLL_II_2020!CA_gross_prod_gas)/KLL_II_2020!CA_gross_prod_Total),0)</f>
        <v>0</v>
      </c>
      <c r="BQ550" s="49">
        <f ca="1">IFERROR((BQ523)/((KLL_II_2020!CA_FP_oil_nom*KLL_II_2020!CA_gross_prod_oil+KLL_II_2020!CA_FP_lpg_nom*KLL_II_2020!CA_gross_prod_lpg+KLL_II_2020!CA_FP_gas_nom*KLL_II_2020!CA_gross_prod_gas)/KLL_II_2020!CA_gross_prod_Total),0)</f>
        <v>0</v>
      </c>
      <c r="BR550" s="49">
        <f ca="1">IFERROR((BR523)/((KLL_II_2020!CA_FP_oil_nom*KLL_II_2020!CA_gross_prod_oil+KLL_II_2020!CA_FP_lpg_nom*KLL_II_2020!CA_gross_prod_lpg+KLL_II_2020!CA_FP_gas_nom*KLL_II_2020!CA_gross_prod_gas)/KLL_II_2020!CA_gross_prod_Total),0)</f>
        <v>0</v>
      </c>
      <c r="BS550" s="49">
        <f ca="1">IFERROR((BS523)/((KLL_II_2020!CA_FP_oil_nom*KLL_II_2020!CA_gross_prod_oil+KLL_II_2020!CA_FP_lpg_nom*KLL_II_2020!CA_gross_prod_lpg+KLL_II_2020!CA_FP_gas_nom*KLL_II_2020!CA_gross_prod_gas)/KLL_II_2020!CA_gross_prod_Total),0)</f>
        <v>0</v>
      </c>
    </row>
    <row r="551" spans="3:71" outlineLevel="1" x14ac:dyDescent="0.2">
      <c r="D551" t="str">
        <f>HM_ZB_Nsoko!D564</f>
        <v>Super Profit Oil</v>
      </c>
      <c r="H551" s="7"/>
      <c r="I551" s="30">
        <f t="shared" ca="1" si="144"/>
        <v>11.521620462771955</v>
      </c>
      <c r="J551" s="26" t="s">
        <v>692</v>
      </c>
      <c r="L551" s="49">
        <f ca="1">IFERROR((L524)/((KLL_II_2020!CA_FP_oil_nom*KLL_II_2020!CA_gross_prod_oil+KLL_II_2020!CA_FP_lpg_nom*KLL_II_2020!CA_gross_prod_lpg)/(KLL_II_2020!CA_gross_prod_oil+KLL_II_2020!CA_gross_prod_lpg)),0)</f>
        <v>1.7315361276068884</v>
      </c>
      <c r="M551" s="49">
        <f ca="1">IFERROR((M524)/((KLL_II_2020!CA_FP_oil_nom*KLL_II_2020!CA_gross_prod_oil+KLL_II_2020!CA_FP_lpg_nom*KLL_II_2020!CA_gross_prod_lpg)/(KLL_II_2020!CA_gross_prod_oil+KLL_II_2020!CA_gross_prod_lpg)),0)</f>
        <v>1.9863409102864291</v>
      </c>
      <c r="N551" s="49">
        <f ca="1">IFERROR((N524)/((KLL_II_2020!CA_FP_oil_nom*KLL_II_2020!CA_gross_prod_oil+KLL_II_2020!CA_FP_lpg_nom*KLL_II_2020!CA_gross_prod_lpg)/(KLL_II_2020!CA_gross_prod_oil+KLL_II_2020!CA_gross_prod_lpg)),0)</f>
        <v>0.75546912324341342</v>
      </c>
      <c r="O551" s="49">
        <f ca="1">IFERROR((O524)/((KLL_II_2020!CA_FP_oil_nom*KLL_II_2020!CA_gross_prod_oil+KLL_II_2020!CA_FP_lpg_nom*KLL_II_2020!CA_gross_prod_lpg)/(KLL_II_2020!CA_gross_prod_oil+KLL_II_2020!CA_gross_prod_lpg)),0)</f>
        <v>0.17112445042392488</v>
      </c>
      <c r="P551" s="49">
        <f ca="1">IFERROR((P524)/((KLL_II_2020!CA_FP_oil_nom*KLL_II_2020!CA_gross_prod_oil+KLL_II_2020!CA_FP_lpg_nom*KLL_II_2020!CA_gross_prod_lpg)/(KLL_II_2020!CA_gross_prod_oil+KLL_II_2020!CA_gross_prod_lpg)),0)</f>
        <v>0.85764489306951819</v>
      </c>
      <c r="Q551" s="49">
        <f ca="1">IFERROR((Q524)/((KLL_II_2020!CA_FP_oil_nom*KLL_II_2020!CA_gross_prod_oil+KLL_II_2020!CA_FP_lpg_nom*KLL_II_2020!CA_gross_prod_lpg)/(KLL_II_2020!CA_gross_prod_oil+KLL_II_2020!CA_gross_prod_lpg)),0)</f>
        <v>1.4101267145871701</v>
      </c>
      <c r="R551" s="49">
        <f ca="1">IFERROR((R524)/((KLL_II_2020!CA_FP_oil_nom*KLL_II_2020!CA_gross_prod_oil+KLL_II_2020!CA_FP_lpg_nom*KLL_II_2020!CA_gross_prod_lpg)/(KLL_II_2020!CA_gross_prod_oil+KLL_II_2020!CA_gross_prod_lpg)),0)</f>
        <v>1.2953502216409045</v>
      </c>
      <c r="S551" s="49">
        <f ca="1">IFERROR((S524)/((KLL_II_2020!CA_FP_oil_nom*KLL_II_2020!CA_gross_prod_oil+KLL_II_2020!CA_FP_lpg_nom*KLL_II_2020!CA_gross_prod_lpg)/(KLL_II_2020!CA_gross_prod_oil+KLL_II_2020!CA_gross_prod_lpg)),0)</f>
        <v>0</v>
      </c>
      <c r="T551" s="49">
        <f ca="1">IFERROR((T524)/((KLL_II_2020!CA_FP_oil_nom*KLL_II_2020!CA_gross_prod_oil+KLL_II_2020!CA_FP_lpg_nom*KLL_II_2020!CA_gross_prod_lpg)/(KLL_II_2020!CA_gross_prod_oil+KLL_II_2020!CA_gross_prod_lpg)),0)</f>
        <v>0.67709905934196835</v>
      </c>
      <c r="U551" s="49">
        <f ca="1">IFERROR((U524)/((KLL_II_2020!CA_FP_oil_nom*KLL_II_2020!CA_gross_prod_oil+KLL_II_2020!CA_FP_lpg_nom*KLL_II_2020!CA_gross_prod_lpg)/(KLL_II_2020!CA_gross_prod_oil+KLL_II_2020!CA_gross_prod_lpg)),0)</f>
        <v>0.73263147437700027</v>
      </c>
      <c r="V551" s="49">
        <f ca="1">IFERROR((V524)/((KLL_II_2020!CA_FP_oil_nom*KLL_II_2020!CA_gross_prod_oil+KLL_II_2020!CA_FP_lpg_nom*KLL_II_2020!CA_gross_prod_lpg)/(KLL_II_2020!CA_gross_prod_oil+KLL_II_2020!CA_gross_prod_lpg)),0)</f>
        <v>0.68134727117061022</v>
      </c>
      <c r="W551" s="49">
        <f ca="1">IFERROR((W524)/((KLL_II_2020!CA_FP_oil_nom*KLL_II_2020!CA_gross_prod_oil+KLL_II_2020!CA_FP_lpg_nom*KLL_II_2020!CA_gross_prod_lpg)/(KLL_II_2020!CA_gross_prod_oil+KLL_II_2020!CA_gross_prod_lpg)),0)</f>
        <v>0.63365296218866718</v>
      </c>
      <c r="X551" s="49">
        <f ca="1">IFERROR((X524)/((KLL_II_2020!CA_FP_oil_nom*KLL_II_2020!CA_gross_prod_oil+KLL_II_2020!CA_FP_lpg_nom*KLL_II_2020!CA_gross_prod_lpg)/(KLL_II_2020!CA_gross_prod_oil+KLL_II_2020!CA_gross_prod_lpg)),0)</f>
        <v>0.58929725483546069</v>
      </c>
      <c r="Y551" s="49">
        <f ca="1">IFERROR((Y524)/((KLL_II_2020!CA_FP_oil_nom*KLL_II_2020!CA_gross_prod_oil+KLL_II_2020!CA_FP_lpg_nom*KLL_II_2020!CA_gross_prod_lpg)/(KLL_II_2020!CA_gross_prod_oil+KLL_II_2020!CA_gross_prod_lpg)),0)</f>
        <v>0</v>
      </c>
      <c r="Z551" s="49">
        <f ca="1">IFERROR((Z524)/((KLL_II_2020!CA_FP_oil_nom*KLL_II_2020!CA_gross_prod_oil+KLL_II_2020!CA_FP_lpg_nom*KLL_II_2020!CA_gross_prod_lpg)/(KLL_II_2020!CA_gross_prod_oil+KLL_II_2020!CA_gross_prod_lpg)),0)</f>
        <v>0</v>
      </c>
      <c r="AA551" s="49">
        <f ca="1">IFERROR((AA524)/((KLL_II_2020!CA_FP_oil_nom*KLL_II_2020!CA_gross_prod_oil+KLL_II_2020!CA_FP_lpg_nom*KLL_II_2020!CA_gross_prod_lpg)/(KLL_II_2020!CA_gross_prod_oil+KLL_II_2020!CA_gross_prod_lpg)),0)</f>
        <v>0</v>
      </c>
      <c r="AB551" s="49">
        <f ca="1">IFERROR((AB524)/((KLL_II_2020!CA_FP_oil_nom*KLL_II_2020!CA_gross_prod_oil+KLL_II_2020!CA_FP_lpg_nom*KLL_II_2020!CA_gross_prod_lpg)/(KLL_II_2020!CA_gross_prod_oil+KLL_II_2020!CA_gross_prod_lpg)),0)</f>
        <v>0</v>
      </c>
      <c r="AC551" s="49">
        <f ca="1">IFERROR((AC524)/((KLL_II_2020!CA_FP_oil_nom*KLL_II_2020!CA_gross_prod_oil+KLL_II_2020!CA_FP_lpg_nom*KLL_II_2020!CA_gross_prod_lpg)/(KLL_II_2020!CA_gross_prod_oil+KLL_II_2020!CA_gross_prod_lpg)),0)</f>
        <v>0</v>
      </c>
      <c r="AD551" s="49">
        <f ca="1">IFERROR((AD524)/((KLL_II_2020!CA_FP_oil_nom*KLL_II_2020!CA_gross_prod_oil+KLL_II_2020!CA_FP_lpg_nom*KLL_II_2020!CA_gross_prod_lpg)/(KLL_II_2020!CA_gross_prod_oil+KLL_II_2020!CA_gross_prod_lpg)),0)</f>
        <v>0</v>
      </c>
      <c r="AE551" s="49">
        <f ca="1">IFERROR((AE524)/((KLL_II_2020!CA_FP_oil_nom*KLL_II_2020!CA_gross_prod_oil+KLL_II_2020!CA_FP_lpg_nom*KLL_II_2020!CA_gross_prod_lpg)/(KLL_II_2020!CA_gross_prod_oil+KLL_II_2020!CA_gross_prod_lpg)),0)</f>
        <v>0</v>
      </c>
      <c r="AF551" s="49">
        <f ca="1">IFERROR((AF524)/((KLL_II_2020!CA_FP_oil_nom*KLL_II_2020!CA_gross_prod_oil+KLL_II_2020!CA_FP_lpg_nom*KLL_II_2020!CA_gross_prod_lpg)/(KLL_II_2020!CA_gross_prod_oil+KLL_II_2020!CA_gross_prod_lpg)),0)</f>
        <v>0</v>
      </c>
      <c r="AG551" s="49">
        <f ca="1">IFERROR((AG524)/((KLL_II_2020!CA_FP_oil_nom*KLL_II_2020!CA_gross_prod_oil+KLL_II_2020!CA_FP_lpg_nom*KLL_II_2020!CA_gross_prod_lpg)/(KLL_II_2020!CA_gross_prod_oil+KLL_II_2020!CA_gross_prod_lpg)),0)</f>
        <v>0</v>
      </c>
      <c r="AH551" s="49">
        <f ca="1">IFERROR((AH524)/((KLL_II_2020!CA_FP_oil_nom*KLL_II_2020!CA_gross_prod_oil+KLL_II_2020!CA_FP_lpg_nom*KLL_II_2020!CA_gross_prod_lpg)/(KLL_II_2020!CA_gross_prod_oil+KLL_II_2020!CA_gross_prod_lpg)),0)</f>
        <v>0</v>
      </c>
      <c r="AI551" s="49">
        <f ca="1">IFERROR((AI524)/((KLL_II_2020!CA_FP_oil_nom*KLL_II_2020!CA_gross_prod_oil+KLL_II_2020!CA_FP_lpg_nom*KLL_II_2020!CA_gross_prod_lpg)/(KLL_II_2020!CA_gross_prod_oil+KLL_II_2020!CA_gross_prod_lpg)),0)</f>
        <v>0</v>
      </c>
      <c r="AJ551" s="49">
        <f ca="1">IFERROR((AJ524)/((KLL_II_2020!CA_FP_oil_nom*KLL_II_2020!CA_gross_prod_oil+KLL_II_2020!CA_FP_lpg_nom*KLL_II_2020!CA_gross_prod_lpg)/(KLL_II_2020!CA_gross_prod_oil+KLL_II_2020!CA_gross_prod_lpg)),0)</f>
        <v>0</v>
      </c>
      <c r="AK551" s="49">
        <f ca="1">IFERROR((AK524)/((KLL_II_2020!CA_FP_oil_nom*KLL_II_2020!CA_gross_prod_oil+KLL_II_2020!CA_FP_lpg_nom*KLL_II_2020!CA_gross_prod_lpg)/(KLL_II_2020!CA_gross_prod_oil+KLL_II_2020!CA_gross_prod_lpg)),0)</f>
        <v>0</v>
      </c>
      <c r="AL551" s="49">
        <f ca="1">IFERROR((AL524)/((KLL_II_2020!CA_FP_oil_nom*KLL_II_2020!CA_gross_prod_oil+KLL_II_2020!CA_FP_lpg_nom*KLL_II_2020!CA_gross_prod_lpg)/(KLL_II_2020!CA_gross_prod_oil+KLL_II_2020!CA_gross_prod_lpg)),0)</f>
        <v>0</v>
      </c>
      <c r="AM551" s="49">
        <f ca="1">IFERROR((AM524)/((KLL_II_2020!CA_FP_oil_nom*KLL_II_2020!CA_gross_prod_oil+KLL_II_2020!CA_FP_lpg_nom*KLL_II_2020!CA_gross_prod_lpg)/(KLL_II_2020!CA_gross_prod_oil+KLL_II_2020!CA_gross_prod_lpg)),0)</f>
        <v>0</v>
      </c>
      <c r="AN551" s="49">
        <f ca="1">IFERROR((AN524)/((KLL_II_2020!CA_FP_oil_nom*KLL_II_2020!CA_gross_prod_oil+KLL_II_2020!CA_FP_lpg_nom*KLL_II_2020!CA_gross_prod_lpg)/(KLL_II_2020!CA_gross_prod_oil+KLL_II_2020!CA_gross_prod_lpg)),0)</f>
        <v>0</v>
      </c>
      <c r="AO551" s="49">
        <f ca="1">IFERROR((AO524)/((KLL_II_2020!CA_FP_oil_nom*KLL_II_2020!CA_gross_prod_oil+KLL_II_2020!CA_FP_lpg_nom*KLL_II_2020!CA_gross_prod_lpg)/(KLL_II_2020!CA_gross_prod_oil+KLL_II_2020!CA_gross_prod_lpg)),0)</f>
        <v>0</v>
      </c>
      <c r="AP551" s="49">
        <f ca="1">IFERROR((AP524)/((KLL_II_2020!CA_FP_oil_nom*KLL_II_2020!CA_gross_prod_oil+KLL_II_2020!CA_FP_lpg_nom*KLL_II_2020!CA_gross_prod_lpg)/(KLL_II_2020!CA_gross_prod_oil+KLL_II_2020!CA_gross_prod_lpg)),0)</f>
        <v>0</v>
      </c>
      <c r="AQ551" s="49">
        <f ca="1">IFERROR((AQ524)/((KLL_II_2020!CA_FP_oil_nom*KLL_II_2020!CA_gross_prod_oil+KLL_II_2020!CA_FP_lpg_nom*KLL_II_2020!CA_gross_prod_lpg)/(KLL_II_2020!CA_gross_prod_oil+KLL_II_2020!CA_gross_prod_lpg)),0)</f>
        <v>0</v>
      </c>
      <c r="AR551" s="49">
        <f ca="1">IFERROR((AR524)/((KLL_II_2020!CA_FP_oil_nom*KLL_II_2020!CA_gross_prod_oil+KLL_II_2020!CA_FP_lpg_nom*KLL_II_2020!CA_gross_prod_lpg)/(KLL_II_2020!CA_gross_prod_oil+KLL_II_2020!CA_gross_prod_lpg)),0)</f>
        <v>0</v>
      </c>
      <c r="AS551" s="49">
        <f ca="1">IFERROR((AS524)/((KLL_II_2020!CA_FP_oil_nom*KLL_II_2020!CA_gross_prod_oil+KLL_II_2020!CA_FP_lpg_nom*KLL_II_2020!CA_gross_prod_lpg)/(KLL_II_2020!CA_gross_prod_oil+KLL_II_2020!CA_gross_prod_lpg)),0)</f>
        <v>0</v>
      </c>
      <c r="AT551" s="49">
        <f ca="1">IFERROR((AT524)/((KLL_II_2020!CA_FP_oil_nom*KLL_II_2020!CA_gross_prod_oil+KLL_II_2020!CA_FP_lpg_nom*KLL_II_2020!CA_gross_prod_lpg)/(KLL_II_2020!CA_gross_prod_oil+KLL_II_2020!CA_gross_prod_lpg)),0)</f>
        <v>0</v>
      </c>
      <c r="AU551" s="49">
        <f ca="1">IFERROR((AU524)/((KLL_II_2020!CA_FP_oil_nom*KLL_II_2020!CA_gross_prod_oil+KLL_II_2020!CA_FP_lpg_nom*KLL_II_2020!CA_gross_prod_lpg)/(KLL_II_2020!CA_gross_prod_oil+KLL_II_2020!CA_gross_prod_lpg)),0)</f>
        <v>0</v>
      </c>
      <c r="AV551" s="49">
        <f ca="1">IFERROR((AV524)/((KLL_II_2020!CA_FP_oil_nom*KLL_II_2020!CA_gross_prod_oil+KLL_II_2020!CA_FP_lpg_nom*KLL_II_2020!CA_gross_prod_lpg)/(KLL_II_2020!CA_gross_prod_oil+KLL_II_2020!CA_gross_prod_lpg)),0)</f>
        <v>0</v>
      </c>
      <c r="AW551" s="49">
        <f ca="1">IFERROR((AW524)/((KLL_II_2020!CA_FP_oil_nom*KLL_II_2020!CA_gross_prod_oil+KLL_II_2020!CA_FP_lpg_nom*KLL_II_2020!CA_gross_prod_lpg)/(KLL_II_2020!CA_gross_prod_oil+KLL_II_2020!CA_gross_prod_lpg)),0)</f>
        <v>0</v>
      </c>
      <c r="AX551" s="49">
        <f ca="1">IFERROR((AX524)/((KLL_II_2020!CA_FP_oil_nom*KLL_II_2020!CA_gross_prod_oil+KLL_II_2020!CA_FP_lpg_nom*KLL_II_2020!CA_gross_prod_lpg)/(KLL_II_2020!CA_gross_prod_oil+KLL_II_2020!CA_gross_prod_lpg)),0)</f>
        <v>0</v>
      </c>
      <c r="AY551" s="49">
        <f ca="1">IFERROR((AY524)/((KLL_II_2020!CA_FP_oil_nom*KLL_II_2020!CA_gross_prod_oil+KLL_II_2020!CA_FP_lpg_nom*KLL_II_2020!CA_gross_prod_lpg)/(KLL_II_2020!CA_gross_prod_oil+KLL_II_2020!CA_gross_prod_lpg)),0)</f>
        <v>0</v>
      </c>
      <c r="AZ551" s="49">
        <f ca="1">IFERROR((AZ524)/((KLL_II_2020!CA_FP_oil_nom*KLL_II_2020!CA_gross_prod_oil+KLL_II_2020!CA_FP_lpg_nom*KLL_II_2020!CA_gross_prod_lpg)/(KLL_II_2020!CA_gross_prod_oil+KLL_II_2020!CA_gross_prod_lpg)),0)</f>
        <v>0</v>
      </c>
      <c r="BA551" s="49">
        <f ca="1">IFERROR((BA524)/((KLL_II_2020!CA_FP_oil_nom*KLL_II_2020!CA_gross_prod_oil+KLL_II_2020!CA_FP_lpg_nom*KLL_II_2020!CA_gross_prod_lpg)/(KLL_II_2020!CA_gross_prod_oil+KLL_II_2020!CA_gross_prod_lpg)),0)</f>
        <v>0</v>
      </c>
      <c r="BB551" s="49">
        <f ca="1">IFERROR((BB524)/((KLL_II_2020!CA_FP_oil_nom*KLL_II_2020!CA_gross_prod_oil+KLL_II_2020!CA_FP_lpg_nom*KLL_II_2020!CA_gross_prod_lpg)/(KLL_II_2020!CA_gross_prod_oil+KLL_II_2020!CA_gross_prod_lpg)),0)</f>
        <v>0</v>
      </c>
      <c r="BC551" s="49">
        <f ca="1">IFERROR((BC524)/((KLL_II_2020!CA_FP_oil_nom*KLL_II_2020!CA_gross_prod_oil+KLL_II_2020!CA_FP_lpg_nom*KLL_II_2020!CA_gross_prod_lpg)/(KLL_II_2020!CA_gross_prod_oil+KLL_II_2020!CA_gross_prod_lpg)),0)</f>
        <v>0</v>
      </c>
      <c r="BD551" s="49">
        <f ca="1">IFERROR((BD524)/((KLL_II_2020!CA_FP_oil_nom*KLL_II_2020!CA_gross_prod_oil+KLL_II_2020!CA_FP_lpg_nom*KLL_II_2020!CA_gross_prod_lpg)/(KLL_II_2020!CA_gross_prod_oil+KLL_II_2020!CA_gross_prod_lpg)),0)</f>
        <v>0</v>
      </c>
      <c r="BE551" s="49">
        <f ca="1">IFERROR((BE524)/((KLL_II_2020!CA_FP_oil_nom*KLL_II_2020!CA_gross_prod_oil+KLL_II_2020!CA_FP_lpg_nom*KLL_II_2020!CA_gross_prod_lpg)/(KLL_II_2020!CA_gross_prod_oil+KLL_II_2020!CA_gross_prod_lpg)),0)</f>
        <v>0</v>
      </c>
      <c r="BF551" s="49">
        <f ca="1">IFERROR((BF524)/((KLL_II_2020!CA_FP_oil_nom*KLL_II_2020!CA_gross_prod_oil+KLL_II_2020!CA_FP_lpg_nom*KLL_II_2020!CA_gross_prod_lpg)/(KLL_II_2020!CA_gross_prod_oil+KLL_II_2020!CA_gross_prod_lpg)),0)</f>
        <v>0</v>
      </c>
      <c r="BG551" s="49">
        <f ca="1">IFERROR((BG524)/((KLL_II_2020!CA_FP_oil_nom*KLL_II_2020!CA_gross_prod_oil+KLL_II_2020!CA_FP_lpg_nom*KLL_II_2020!CA_gross_prod_lpg)/(KLL_II_2020!CA_gross_prod_oil+KLL_II_2020!CA_gross_prod_lpg)),0)</f>
        <v>0</v>
      </c>
      <c r="BH551" s="49">
        <f ca="1">IFERROR((BH524)/((KLL_II_2020!CA_FP_oil_nom*KLL_II_2020!CA_gross_prod_oil+KLL_II_2020!CA_FP_lpg_nom*KLL_II_2020!CA_gross_prod_lpg)/(KLL_II_2020!CA_gross_prod_oil+KLL_II_2020!CA_gross_prod_lpg)),0)</f>
        <v>0</v>
      </c>
      <c r="BI551" s="49">
        <f ca="1">IFERROR((BI524)/((KLL_II_2020!CA_FP_oil_nom*KLL_II_2020!CA_gross_prod_oil+KLL_II_2020!CA_FP_lpg_nom*KLL_II_2020!CA_gross_prod_lpg)/(KLL_II_2020!CA_gross_prod_oil+KLL_II_2020!CA_gross_prod_lpg)),0)</f>
        <v>0</v>
      </c>
      <c r="BJ551" s="49">
        <f ca="1">IFERROR((BJ524)/((KLL_II_2020!CA_FP_oil_nom*KLL_II_2020!CA_gross_prod_oil+KLL_II_2020!CA_FP_lpg_nom*KLL_II_2020!CA_gross_prod_lpg)/(KLL_II_2020!CA_gross_prod_oil+KLL_II_2020!CA_gross_prod_lpg)),0)</f>
        <v>0</v>
      </c>
      <c r="BK551" s="49">
        <f ca="1">IFERROR((BK524)/((KLL_II_2020!CA_FP_oil_nom*KLL_II_2020!CA_gross_prod_oil+KLL_II_2020!CA_FP_lpg_nom*KLL_II_2020!CA_gross_prod_lpg)/(KLL_II_2020!CA_gross_prod_oil+KLL_II_2020!CA_gross_prod_lpg)),0)</f>
        <v>0</v>
      </c>
      <c r="BL551" s="49">
        <f ca="1">IFERROR((BL524)/((KLL_II_2020!CA_FP_oil_nom*KLL_II_2020!CA_gross_prod_oil+KLL_II_2020!CA_FP_lpg_nom*KLL_II_2020!CA_gross_prod_lpg)/(KLL_II_2020!CA_gross_prod_oil+KLL_II_2020!CA_gross_prod_lpg)),0)</f>
        <v>0</v>
      </c>
      <c r="BM551" s="49">
        <f ca="1">IFERROR((BM524)/((KLL_II_2020!CA_FP_oil_nom*KLL_II_2020!CA_gross_prod_oil+KLL_II_2020!CA_FP_lpg_nom*KLL_II_2020!CA_gross_prod_lpg)/(KLL_II_2020!CA_gross_prod_oil+KLL_II_2020!CA_gross_prod_lpg)),0)</f>
        <v>0</v>
      </c>
      <c r="BN551" s="49">
        <f ca="1">IFERROR((BN524)/((KLL_II_2020!CA_FP_oil_nom*KLL_II_2020!CA_gross_prod_oil+KLL_II_2020!CA_FP_lpg_nom*KLL_II_2020!CA_gross_prod_lpg)/(KLL_II_2020!CA_gross_prod_oil+KLL_II_2020!CA_gross_prod_lpg)),0)</f>
        <v>0</v>
      </c>
      <c r="BO551" s="49">
        <f ca="1">IFERROR((BO524)/((KLL_II_2020!CA_FP_oil_nom*KLL_II_2020!CA_gross_prod_oil+KLL_II_2020!CA_FP_lpg_nom*KLL_II_2020!CA_gross_prod_lpg)/(KLL_II_2020!CA_gross_prod_oil+KLL_II_2020!CA_gross_prod_lpg)),0)</f>
        <v>0</v>
      </c>
      <c r="BP551" s="49">
        <f ca="1">IFERROR((BP524)/((KLL_II_2020!CA_FP_oil_nom*KLL_II_2020!CA_gross_prod_oil+KLL_II_2020!CA_FP_lpg_nom*KLL_II_2020!CA_gross_prod_lpg)/(KLL_II_2020!CA_gross_prod_oil+KLL_II_2020!CA_gross_prod_lpg)),0)</f>
        <v>0</v>
      </c>
      <c r="BQ551" s="49">
        <f ca="1">IFERROR((BQ524)/((KLL_II_2020!CA_FP_oil_nom*KLL_II_2020!CA_gross_prod_oil+KLL_II_2020!CA_FP_lpg_nom*KLL_II_2020!CA_gross_prod_lpg)/(KLL_II_2020!CA_gross_prod_oil+KLL_II_2020!CA_gross_prod_lpg)),0)</f>
        <v>0</v>
      </c>
      <c r="BR551" s="49">
        <f ca="1">IFERROR((BR524)/((KLL_II_2020!CA_FP_oil_nom*KLL_II_2020!CA_gross_prod_oil+KLL_II_2020!CA_FP_lpg_nom*KLL_II_2020!CA_gross_prod_lpg)/(KLL_II_2020!CA_gross_prod_oil+KLL_II_2020!CA_gross_prod_lpg)),0)</f>
        <v>0</v>
      </c>
      <c r="BS551" s="49">
        <f ca="1">IFERROR((BS524)/((KLL_II_2020!CA_FP_oil_nom*KLL_II_2020!CA_gross_prod_oil+KLL_II_2020!CA_FP_lpg_nom*KLL_II_2020!CA_gross_prod_lpg)/(KLL_II_2020!CA_gross_prod_oil+KLL_II_2020!CA_gross_prod_lpg)),0)</f>
        <v>0</v>
      </c>
    </row>
    <row r="552" spans="3:71" outlineLevel="1" x14ac:dyDescent="0.2">
      <c r="D552" t="str">
        <f>HM_ZB_Nsoko!D565</f>
        <v>Profit Oil</v>
      </c>
      <c r="H552" s="7"/>
      <c r="I552" s="30">
        <f t="shared" ca="1" si="144"/>
        <v>6.9321675897010051</v>
      </c>
      <c r="J552" s="26" t="s">
        <v>692</v>
      </c>
      <c r="L552" s="49">
        <f ca="1">IFERROR((L525)/((KLL_II_2020!CA_FP_oil_nom*KLL_II_2020!CA_gross_prod_oil+KLL_II_2020!CA_FP_lpg_nom*KLL_II_2020!CA_gross_prod_lpg+KLL_II_2020!CA_FP_gas_nom*KLL_II_2020!CA_gross_prod_gas)/KLL_II_2020!CA_gross_prod_Total),0)</f>
        <v>0.20132419771507362</v>
      </c>
      <c r="M552" s="49">
        <f ca="1">IFERROR((M525)/((KLL_II_2020!CA_FP_oil_nom*KLL_II_2020!CA_gross_prod_oil+KLL_II_2020!CA_FP_lpg_nom*KLL_II_2020!CA_gross_prod_lpg+KLL_II_2020!CA_FP_gas_nom*KLL_II_2020!CA_gross_prod_gas)/KLL_II_2020!CA_gross_prod_Total),0)</f>
        <v>0.1696822260602272</v>
      </c>
      <c r="N552" s="49">
        <f ca="1">IFERROR((N525)/((KLL_II_2020!CA_FP_oil_nom*KLL_II_2020!CA_gross_prod_oil+KLL_II_2020!CA_FP_lpg_nom*KLL_II_2020!CA_gross_prod_lpg+KLL_II_2020!CA_FP_gas_nom*KLL_II_2020!CA_gross_prod_gas)/KLL_II_2020!CA_gross_prod_Total),0)</f>
        <v>0.56969356588267739</v>
      </c>
      <c r="O552" s="49">
        <f ca="1">IFERROR((O525)/((KLL_II_2020!CA_FP_oil_nom*KLL_II_2020!CA_gross_prod_oil+KLL_II_2020!CA_FP_lpg_nom*KLL_II_2020!CA_gross_prod_lpg+KLL_II_2020!CA_FP_gas_nom*KLL_II_2020!CA_gross_prod_gas)/KLL_II_2020!CA_gross_prod_Total),0)</f>
        <v>0.72030273530638977</v>
      </c>
      <c r="P552" s="49">
        <f ca="1">IFERROR((P525)/((KLL_II_2020!CA_FP_oil_nom*KLL_II_2020!CA_gross_prod_oil+KLL_II_2020!CA_FP_lpg_nom*KLL_II_2020!CA_gross_prod_lpg+KLL_II_2020!CA_FP_gas_nom*KLL_II_2020!CA_gross_prod_gas)/KLL_II_2020!CA_gross_prod_Total),0)</f>
        <v>0.49403692007261651</v>
      </c>
      <c r="Q552" s="49">
        <f ca="1">IFERROR((Q525)/((KLL_II_2020!CA_FP_oil_nom*KLL_II_2020!CA_gross_prod_oil+KLL_II_2020!CA_FP_lpg_nom*KLL_II_2020!CA_gross_prod_lpg+KLL_II_2020!CA_FP_gas_nom*KLL_II_2020!CA_gross_prod_gas)/KLL_II_2020!CA_gross_prod_Total),0)</f>
        <v>0.42583170006330617</v>
      </c>
      <c r="R552" s="49">
        <f ca="1">IFERROR((R525)/((KLL_II_2020!CA_FP_oil_nom*KLL_II_2020!CA_gross_prod_oil+KLL_II_2020!CA_FP_lpg_nom*KLL_II_2020!CA_gross_prod_lpg+KLL_II_2020!CA_FP_gas_nom*KLL_II_2020!CA_gross_prod_gas)/KLL_II_2020!CA_gross_prod_Total),0)</f>
        <v>0.47568818074240504</v>
      </c>
      <c r="S552" s="49">
        <f ca="1">IFERROR((S525)/((KLL_II_2020!CA_FP_oil_nom*KLL_II_2020!CA_gross_prod_oil+KLL_II_2020!CA_FP_lpg_nom*KLL_II_2020!CA_gross_prod_lpg+KLL_II_2020!CA_FP_gas_nom*KLL_II_2020!CA_gross_prod_gas)/KLL_II_2020!CA_gross_prod_Total),0)</f>
        <v>0.97350750000000019</v>
      </c>
      <c r="T552" s="49">
        <f ca="1">IFERROR((T525)/((KLL_II_2020!CA_FP_oil_nom*KLL_II_2020!CA_gross_prod_oil+KLL_II_2020!CA_FP_lpg_nom*KLL_II_2020!CA_gross_prod_lpg+KLL_II_2020!CA_FP_gas_nom*KLL_II_2020!CA_gross_prod_gas)/KLL_II_2020!CA_gross_prod_Total),0)</f>
        <v>0.69414569089154254</v>
      </c>
      <c r="U552" s="49">
        <f ca="1">IFERROR((U525)/((KLL_II_2020!CA_FP_oil_nom*KLL_II_2020!CA_gross_prod_oil+KLL_II_2020!CA_FP_lpg_nom*KLL_II_2020!CA_gross_prod_lpg+KLL_II_2020!CA_FP_gas_nom*KLL_II_2020!CA_gross_prod_gas)/KLL_II_2020!CA_gross_prod_Total),0)</f>
        <v>0.61344740677499987</v>
      </c>
      <c r="V552" s="49">
        <f ca="1">IFERROR((V525)/((KLL_II_2020!CA_FP_oil_nom*KLL_II_2020!CA_gross_prod_oil+KLL_II_2020!CA_FP_lpg_nom*KLL_II_2020!CA_gross_prod_lpg+KLL_II_2020!CA_FP_gas_nom*KLL_II_2020!CA_gross_prod_gas)/KLL_II_2020!CA_gross_prod_Total),0)</f>
        <v>0.57050608830074978</v>
      </c>
      <c r="W552" s="49">
        <f ca="1">IFERROR((W525)/((KLL_II_2020!CA_FP_oil_nom*KLL_II_2020!CA_gross_prod_oil+KLL_II_2020!CA_FP_lpg_nom*KLL_II_2020!CA_gross_prod_lpg+KLL_II_2020!CA_FP_gas_nom*KLL_II_2020!CA_gross_prod_gas)/KLL_II_2020!CA_gross_prod_Total),0)</f>
        <v>0.53057066211969728</v>
      </c>
      <c r="X552" s="49">
        <f ca="1">IFERROR((X525)/((KLL_II_2020!CA_FP_oil_nom*KLL_II_2020!CA_gross_prod_oil+KLL_II_2020!CA_FP_lpg_nom*KLL_II_2020!CA_gross_prod_lpg+KLL_II_2020!CA_FP_gas_nom*KLL_II_2020!CA_gross_prod_gas)/KLL_II_2020!CA_gross_prod_Total),0)</f>
        <v>0.49343071577131864</v>
      </c>
      <c r="Y552" s="49">
        <f ca="1">IFERROR((Y525)/((KLL_II_2020!CA_FP_oil_nom*KLL_II_2020!CA_gross_prod_oil+KLL_II_2020!CA_FP_lpg_nom*KLL_II_2020!CA_gross_prod_lpg+KLL_II_2020!CA_FP_gas_nom*KLL_II_2020!CA_gross_prod_gas)/KLL_II_2020!CA_gross_prod_Total),0)</f>
        <v>0</v>
      </c>
      <c r="Z552" s="49">
        <f ca="1">IFERROR((Z525)/((KLL_II_2020!CA_FP_oil_nom*KLL_II_2020!CA_gross_prod_oil+KLL_II_2020!CA_FP_lpg_nom*KLL_II_2020!CA_gross_prod_lpg+KLL_II_2020!CA_FP_gas_nom*KLL_II_2020!CA_gross_prod_gas)/KLL_II_2020!CA_gross_prod_Total),0)</f>
        <v>0</v>
      </c>
      <c r="AA552" s="49">
        <f ca="1">IFERROR((AA525)/((KLL_II_2020!CA_FP_oil_nom*KLL_II_2020!CA_gross_prod_oil+KLL_II_2020!CA_FP_lpg_nom*KLL_II_2020!CA_gross_prod_lpg+KLL_II_2020!CA_FP_gas_nom*KLL_II_2020!CA_gross_prod_gas)/KLL_II_2020!CA_gross_prod_Total),0)</f>
        <v>0</v>
      </c>
      <c r="AB552" s="49">
        <f ca="1">IFERROR((AB525)/((KLL_II_2020!CA_FP_oil_nom*KLL_II_2020!CA_gross_prod_oil+KLL_II_2020!CA_FP_lpg_nom*KLL_II_2020!CA_gross_prod_lpg+KLL_II_2020!CA_FP_gas_nom*KLL_II_2020!CA_gross_prod_gas)/KLL_II_2020!CA_gross_prod_Total),0)</f>
        <v>0</v>
      </c>
      <c r="AC552" s="49">
        <f ca="1">IFERROR((AC525)/((KLL_II_2020!CA_FP_oil_nom*KLL_II_2020!CA_gross_prod_oil+KLL_II_2020!CA_FP_lpg_nom*KLL_II_2020!CA_gross_prod_lpg+KLL_II_2020!CA_FP_gas_nom*KLL_II_2020!CA_gross_prod_gas)/KLL_II_2020!CA_gross_prod_Total),0)</f>
        <v>0</v>
      </c>
      <c r="AD552" s="49">
        <f ca="1">IFERROR((AD525)/((KLL_II_2020!CA_FP_oil_nom*KLL_II_2020!CA_gross_prod_oil+KLL_II_2020!CA_FP_lpg_nom*KLL_II_2020!CA_gross_prod_lpg+KLL_II_2020!CA_FP_gas_nom*KLL_II_2020!CA_gross_prod_gas)/KLL_II_2020!CA_gross_prod_Total),0)</f>
        <v>0</v>
      </c>
      <c r="AE552" s="49">
        <f ca="1">IFERROR((AE525)/((KLL_II_2020!CA_FP_oil_nom*KLL_II_2020!CA_gross_prod_oil+KLL_II_2020!CA_FP_lpg_nom*KLL_II_2020!CA_gross_prod_lpg+KLL_II_2020!CA_FP_gas_nom*KLL_II_2020!CA_gross_prod_gas)/KLL_II_2020!CA_gross_prod_Total),0)</f>
        <v>0</v>
      </c>
      <c r="AF552" s="49">
        <f ca="1">IFERROR((AF525)/((KLL_II_2020!CA_FP_oil_nom*KLL_II_2020!CA_gross_prod_oil+KLL_II_2020!CA_FP_lpg_nom*KLL_II_2020!CA_gross_prod_lpg+KLL_II_2020!CA_FP_gas_nom*KLL_II_2020!CA_gross_prod_gas)/KLL_II_2020!CA_gross_prod_Total),0)</f>
        <v>0</v>
      </c>
      <c r="AG552" s="49">
        <f ca="1">IFERROR((AG525)/((KLL_II_2020!CA_FP_oil_nom*KLL_II_2020!CA_gross_prod_oil+KLL_II_2020!CA_FP_lpg_nom*KLL_II_2020!CA_gross_prod_lpg+KLL_II_2020!CA_FP_gas_nom*KLL_II_2020!CA_gross_prod_gas)/KLL_II_2020!CA_gross_prod_Total),0)</f>
        <v>0</v>
      </c>
      <c r="AH552" s="49">
        <f ca="1">IFERROR((AH525)/((KLL_II_2020!CA_FP_oil_nom*KLL_II_2020!CA_gross_prod_oil+KLL_II_2020!CA_FP_lpg_nom*KLL_II_2020!CA_gross_prod_lpg+KLL_II_2020!CA_FP_gas_nom*KLL_II_2020!CA_gross_prod_gas)/KLL_II_2020!CA_gross_prod_Total),0)</f>
        <v>0</v>
      </c>
      <c r="AI552" s="49">
        <f ca="1">IFERROR((AI525)/((KLL_II_2020!CA_FP_oil_nom*KLL_II_2020!CA_gross_prod_oil+KLL_II_2020!CA_FP_lpg_nom*KLL_II_2020!CA_gross_prod_lpg+KLL_II_2020!CA_FP_gas_nom*KLL_II_2020!CA_gross_prod_gas)/KLL_II_2020!CA_gross_prod_Total),0)</f>
        <v>0</v>
      </c>
      <c r="AJ552" s="49">
        <f ca="1">IFERROR((AJ525)/((KLL_II_2020!CA_FP_oil_nom*KLL_II_2020!CA_gross_prod_oil+KLL_II_2020!CA_FP_lpg_nom*KLL_II_2020!CA_gross_prod_lpg+KLL_II_2020!CA_FP_gas_nom*KLL_II_2020!CA_gross_prod_gas)/KLL_II_2020!CA_gross_prod_Total),0)</f>
        <v>0</v>
      </c>
      <c r="AK552" s="49">
        <f ca="1">IFERROR((AK525)/((KLL_II_2020!CA_FP_oil_nom*KLL_II_2020!CA_gross_prod_oil+KLL_II_2020!CA_FP_lpg_nom*KLL_II_2020!CA_gross_prod_lpg+KLL_II_2020!CA_FP_gas_nom*KLL_II_2020!CA_gross_prod_gas)/KLL_II_2020!CA_gross_prod_Total),0)</f>
        <v>0</v>
      </c>
      <c r="AL552" s="49">
        <f ca="1">IFERROR((AL525)/((KLL_II_2020!CA_FP_oil_nom*KLL_II_2020!CA_gross_prod_oil+KLL_II_2020!CA_FP_lpg_nom*KLL_II_2020!CA_gross_prod_lpg+KLL_II_2020!CA_FP_gas_nom*KLL_II_2020!CA_gross_prod_gas)/KLL_II_2020!CA_gross_prod_Total),0)</f>
        <v>0</v>
      </c>
      <c r="AM552" s="49">
        <f ca="1">IFERROR((AM525)/((KLL_II_2020!CA_FP_oil_nom*KLL_II_2020!CA_gross_prod_oil+KLL_II_2020!CA_FP_lpg_nom*KLL_II_2020!CA_gross_prod_lpg+KLL_II_2020!CA_FP_gas_nom*KLL_II_2020!CA_gross_prod_gas)/KLL_II_2020!CA_gross_prod_Total),0)</f>
        <v>0</v>
      </c>
      <c r="AN552" s="49">
        <f ca="1">IFERROR((AN525)/((KLL_II_2020!CA_FP_oil_nom*KLL_II_2020!CA_gross_prod_oil+KLL_II_2020!CA_FP_lpg_nom*KLL_II_2020!CA_gross_prod_lpg+KLL_II_2020!CA_FP_gas_nom*KLL_II_2020!CA_gross_prod_gas)/KLL_II_2020!CA_gross_prod_Total),0)</f>
        <v>0</v>
      </c>
      <c r="AO552" s="49">
        <f ca="1">IFERROR((AO525)/((KLL_II_2020!CA_FP_oil_nom*KLL_II_2020!CA_gross_prod_oil+KLL_II_2020!CA_FP_lpg_nom*KLL_II_2020!CA_gross_prod_lpg+KLL_II_2020!CA_FP_gas_nom*KLL_II_2020!CA_gross_prod_gas)/KLL_II_2020!CA_gross_prod_Total),0)</f>
        <v>0</v>
      </c>
      <c r="AP552" s="49">
        <f ca="1">IFERROR((AP525)/((KLL_II_2020!CA_FP_oil_nom*KLL_II_2020!CA_gross_prod_oil+KLL_II_2020!CA_FP_lpg_nom*KLL_II_2020!CA_gross_prod_lpg+KLL_II_2020!CA_FP_gas_nom*KLL_II_2020!CA_gross_prod_gas)/KLL_II_2020!CA_gross_prod_Total),0)</f>
        <v>0</v>
      </c>
      <c r="AQ552" s="49">
        <f ca="1">IFERROR((AQ525)/((KLL_II_2020!CA_FP_oil_nom*KLL_II_2020!CA_gross_prod_oil+KLL_II_2020!CA_FP_lpg_nom*KLL_II_2020!CA_gross_prod_lpg+KLL_II_2020!CA_FP_gas_nom*KLL_II_2020!CA_gross_prod_gas)/KLL_II_2020!CA_gross_prod_Total),0)</f>
        <v>0</v>
      </c>
      <c r="AR552" s="49">
        <f ca="1">IFERROR((AR525)/((KLL_II_2020!CA_FP_oil_nom*KLL_II_2020!CA_gross_prod_oil+KLL_II_2020!CA_FP_lpg_nom*KLL_II_2020!CA_gross_prod_lpg+KLL_II_2020!CA_FP_gas_nom*KLL_II_2020!CA_gross_prod_gas)/KLL_II_2020!CA_gross_prod_Total),0)</f>
        <v>0</v>
      </c>
      <c r="AS552" s="49">
        <f ca="1">IFERROR((AS525)/((KLL_II_2020!CA_FP_oil_nom*KLL_II_2020!CA_gross_prod_oil+KLL_II_2020!CA_FP_lpg_nom*KLL_II_2020!CA_gross_prod_lpg+KLL_II_2020!CA_FP_gas_nom*KLL_II_2020!CA_gross_prod_gas)/KLL_II_2020!CA_gross_prod_Total),0)</f>
        <v>0</v>
      </c>
      <c r="AT552" s="49">
        <f ca="1">IFERROR((AT525)/((KLL_II_2020!CA_FP_oil_nom*KLL_II_2020!CA_gross_prod_oil+KLL_II_2020!CA_FP_lpg_nom*KLL_II_2020!CA_gross_prod_lpg+KLL_II_2020!CA_FP_gas_nom*KLL_II_2020!CA_gross_prod_gas)/KLL_II_2020!CA_gross_prod_Total),0)</f>
        <v>0</v>
      </c>
      <c r="AU552" s="49">
        <f ca="1">IFERROR((AU525)/((KLL_II_2020!CA_FP_oil_nom*KLL_II_2020!CA_gross_prod_oil+KLL_II_2020!CA_FP_lpg_nom*KLL_II_2020!CA_gross_prod_lpg+KLL_II_2020!CA_FP_gas_nom*KLL_II_2020!CA_gross_prod_gas)/KLL_II_2020!CA_gross_prod_Total),0)</f>
        <v>0</v>
      </c>
      <c r="AV552" s="49">
        <f ca="1">IFERROR((AV525)/((KLL_II_2020!CA_FP_oil_nom*KLL_II_2020!CA_gross_prod_oil+KLL_II_2020!CA_FP_lpg_nom*KLL_II_2020!CA_gross_prod_lpg+KLL_II_2020!CA_FP_gas_nom*KLL_II_2020!CA_gross_prod_gas)/KLL_II_2020!CA_gross_prod_Total),0)</f>
        <v>0</v>
      </c>
      <c r="AW552" s="49">
        <f ca="1">IFERROR((AW525)/((KLL_II_2020!CA_FP_oil_nom*KLL_II_2020!CA_gross_prod_oil+KLL_II_2020!CA_FP_lpg_nom*KLL_II_2020!CA_gross_prod_lpg+KLL_II_2020!CA_FP_gas_nom*KLL_II_2020!CA_gross_prod_gas)/KLL_II_2020!CA_gross_prod_Total),0)</f>
        <v>0</v>
      </c>
      <c r="AX552" s="49">
        <f ca="1">IFERROR((AX525)/((KLL_II_2020!CA_FP_oil_nom*KLL_II_2020!CA_gross_prod_oil+KLL_II_2020!CA_FP_lpg_nom*KLL_II_2020!CA_gross_prod_lpg+KLL_II_2020!CA_FP_gas_nom*KLL_II_2020!CA_gross_prod_gas)/KLL_II_2020!CA_gross_prod_Total),0)</f>
        <v>0</v>
      </c>
      <c r="AY552" s="49">
        <f ca="1">IFERROR((AY525)/((KLL_II_2020!CA_FP_oil_nom*KLL_II_2020!CA_gross_prod_oil+KLL_II_2020!CA_FP_lpg_nom*KLL_II_2020!CA_gross_prod_lpg+KLL_II_2020!CA_FP_gas_nom*KLL_II_2020!CA_gross_prod_gas)/KLL_II_2020!CA_gross_prod_Total),0)</f>
        <v>0</v>
      </c>
      <c r="AZ552" s="49">
        <f ca="1">IFERROR((AZ525)/((KLL_II_2020!CA_FP_oil_nom*KLL_II_2020!CA_gross_prod_oil+KLL_II_2020!CA_FP_lpg_nom*KLL_II_2020!CA_gross_prod_lpg+KLL_II_2020!CA_FP_gas_nom*KLL_II_2020!CA_gross_prod_gas)/KLL_II_2020!CA_gross_prod_Total),0)</f>
        <v>0</v>
      </c>
      <c r="BA552" s="49">
        <f ca="1">IFERROR((BA525)/((KLL_II_2020!CA_FP_oil_nom*KLL_II_2020!CA_gross_prod_oil+KLL_II_2020!CA_FP_lpg_nom*KLL_II_2020!CA_gross_prod_lpg+KLL_II_2020!CA_FP_gas_nom*KLL_II_2020!CA_gross_prod_gas)/KLL_II_2020!CA_gross_prod_Total),0)</f>
        <v>0</v>
      </c>
      <c r="BB552" s="49">
        <f ca="1">IFERROR((BB525)/((KLL_II_2020!CA_FP_oil_nom*KLL_II_2020!CA_gross_prod_oil+KLL_II_2020!CA_FP_lpg_nom*KLL_II_2020!CA_gross_prod_lpg+KLL_II_2020!CA_FP_gas_nom*KLL_II_2020!CA_gross_prod_gas)/KLL_II_2020!CA_gross_prod_Total),0)</f>
        <v>0</v>
      </c>
      <c r="BC552" s="49">
        <f ca="1">IFERROR((BC525)/((KLL_II_2020!CA_FP_oil_nom*KLL_II_2020!CA_gross_prod_oil+KLL_II_2020!CA_FP_lpg_nom*KLL_II_2020!CA_gross_prod_lpg+KLL_II_2020!CA_FP_gas_nom*KLL_II_2020!CA_gross_prod_gas)/KLL_II_2020!CA_gross_prod_Total),0)</f>
        <v>0</v>
      </c>
      <c r="BD552" s="49">
        <f ca="1">IFERROR((BD525)/((KLL_II_2020!CA_FP_oil_nom*KLL_II_2020!CA_gross_prod_oil+KLL_II_2020!CA_FP_lpg_nom*KLL_II_2020!CA_gross_prod_lpg+KLL_II_2020!CA_FP_gas_nom*KLL_II_2020!CA_gross_prod_gas)/KLL_II_2020!CA_gross_prod_Total),0)</f>
        <v>0</v>
      </c>
      <c r="BE552" s="49">
        <f ca="1">IFERROR((BE525)/((KLL_II_2020!CA_FP_oil_nom*KLL_II_2020!CA_gross_prod_oil+KLL_II_2020!CA_FP_lpg_nom*KLL_II_2020!CA_gross_prod_lpg+KLL_II_2020!CA_FP_gas_nom*KLL_II_2020!CA_gross_prod_gas)/KLL_II_2020!CA_gross_prod_Total),0)</f>
        <v>0</v>
      </c>
      <c r="BF552" s="49">
        <f ca="1">IFERROR((BF525)/((KLL_II_2020!CA_FP_oil_nom*KLL_II_2020!CA_gross_prod_oil+KLL_II_2020!CA_FP_lpg_nom*KLL_II_2020!CA_gross_prod_lpg+KLL_II_2020!CA_FP_gas_nom*KLL_II_2020!CA_gross_prod_gas)/KLL_II_2020!CA_gross_prod_Total),0)</f>
        <v>0</v>
      </c>
      <c r="BG552" s="49">
        <f ca="1">IFERROR((BG525)/((KLL_II_2020!CA_FP_oil_nom*KLL_II_2020!CA_gross_prod_oil+KLL_II_2020!CA_FP_lpg_nom*KLL_II_2020!CA_gross_prod_lpg+KLL_II_2020!CA_FP_gas_nom*KLL_II_2020!CA_gross_prod_gas)/KLL_II_2020!CA_gross_prod_Total),0)</f>
        <v>0</v>
      </c>
      <c r="BH552" s="49">
        <f ca="1">IFERROR((BH525)/((KLL_II_2020!CA_FP_oil_nom*KLL_II_2020!CA_gross_prod_oil+KLL_II_2020!CA_FP_lpg_nom*KLL_II_2020!CA_gross_prod_lpg+KLL_II_2020!CA_FP_gas_nom*KLL_II_2020!CA_gross_prod_gas)/KLL_II_2020!CA_gross_prod_Total),0)</f>
        <v>0</v>
      </c>
      <c r="BI552" s="49">
        <f ca="1">IFERROR((BI525)/((KLL_II_2020!CA_FP_oil_nom*KLL_II_2020!CA_gross_prod_oil+KLL_II_2020!CA_FP_lpg_nom*KLL_II_2020!CA_gross_prod_lpg+KLL_II_2020!CA_FP_gas_nom*KLL_II_2020!CA_gross_prod_gas)/KLL_II_2020!CA_gross_prod_Total),0)</f>
        <v>0</v>
      </c>
      <c r="BJ552" s="49">
        <f ca="1">IFERROR((BJ525)/((KLL_II_2020!CA_FP_oil_nom*KLL_II_2020!CA_gross_prod_oil+KLL_II_2020!CA_FP_lpg_nom*KLL_II_2020!CA_gross_prod_lpg+KLL_II_2020!CA_FP_gas_nom*KLL_II_2020!CA_gross_prod_gas)/KLL_II_2020!CA_gross_prod_Total),0)</f>
        <v>0</v>
      </c>
      <c r="BK552" s="49">
        <f ca="1">IFERROR((BK525)/((KLL_II_2020!CA_FP_oil_nom*KLL_II_2020!CA_gross_prod_oil+KLL_II_2020!CA_FP_lpg_nom*KLL_II_2020!CA_gross_prod_lpg+KLL_II_2020!CA_FP_gas_nom*KLL_II_2020!CA_gross_prod_gas)/KLL_II_2020!CA_gross_prod_Total),0)</f>
        <v>0</v>
      </c>
      <c r="BL552" s="49">
        <f ca="1">IFERROR((BL525)/((KLL_II_2020!CA_FP_oil_nom*KLL_II_2020!CA_gross_prod_oil+KLL_II_2020!CA_FP_lpg_nom*KLL_II_2020!CA_gross_prod_lpg+KLL_II_2020!CA_FP_gas_nom*KLL_II_2020!CA_gross_prod_gas)/KLL_II_2020!CA_gross_prod_Total),0)</f>
        <v>0</v>
      </c>
      <c r="BM552" s="49">
        <f ca="1">IFERROR((BM525)/((KLL_II_2020!CA_FP_oil_nom*KLL_II_2020!CA_gross_prod_oil+KLL_II_2020!CA_FP_lpg_nom*KLL_II_2020!CA_gross_prod_lpg+KLL_II_2020!CA_FP_gas_nom*KLL_II_2020!CA_gross_prod_gas)/KLL_II_2020!CA_gross_prod_Total),0)</f>
        <v>0</v>
      </c>
      <c r="BN552" s="49">
        <f ca="1">IFERROR((BN525)/((KLL_II_2020!CA_FP_oil_nom*KLL_II_2020!CA_gross_prod_oil+KLL_II_2020!CA_FP_lpg_nom*KLL_II_2020!CA_gross_prod_lpg+KLL_II_2020!CA_FP_gas_nom*KLL_II_2020!CA_gross_prod_gas)/KLL_II_2020!CA_gross_prod_Total),0)</f>
        <v>0</v>
      </c>
      <c r="BO552" s="49">
        <f ca="1">IFERROR((BO525)/((KLL_II_2020!CA_FP_oil_nom*KLL_II_2020!CA_gross_prod_oil+KLL_II_2020!CA_FP_lpg_nom*KLL_II_2020!CA_gross_prod_lpg+KLL_II_2020!CA_FP_gas_nom*KLL_II_2020!CA_gross_prod_gas)/KLL_II_2020!CA_gross_prod_Total),0)</f>
        <v>0</v>
      </c>
      <c r="BP552" s="49">
        <f ca="1">IFERROR((BP525)/((KLL_II_2020!CA_FP_oil_nom*KLL_II_2020!CA_gross_prod_oil+KLL_II_2020!CA_FP_lpg_nom*KLL_II_2020!CA_gross_prod_lpg+KLL_II_2020!CA_FP_gas_nom*KLL_II_2020!CA_gross_prod_gas)/KLL_II_2020!CA_gross_prod_Total),0)</f>
        <v>0</v>
      </c>
      <c r="BQ552" s="49">
        <f ca="1">IFERROR((BQ525)/((KLL_II_2020!CA_FP_oil_nom*KLL_II_2020!CA_gross_prod_oil+KLL_II_2020!CA_FP_lpg_nom*KLL_II_2020!CA_gross_prod_lpg+KLL_II_2020!CA_FP_gas_nom*KLL_II_2020!CA_gross_prod_gas)/KLL_II_2020!CA_gross_prod_Total),0)</f>
        <v>0</v>
      </c>
      <c r="BR552" s="49">
        <f ca="1">IFERROR((BR525)/((KLL_II_2020!CA_FP_oil_nom*KLL_II_2020!CA_gross_prod_oil+KLL_II_2020!CA_FP_lpg_nom*KLL_II_2020!CA_gross_prod_lpg+KLL_II_2020!CA_FP_gas_nom*KLL_II_2020!CA_gross_prod_gas)/KLL_II_2020!CA_gross_prod_Total),0)</f>
        <v>0</v>
      </c>
      <c r="BS552" s="49">
        <f ca="1">IFERROR((BS525)/((KLL_II_2020!CA_FP_oil_nom*KLL_II_2020!CA_gross_prod_oil+KLL_II_2020!CA_FP_lpg_nom*KLL_II_2020!CA_gross_prod_lpg+KLL_II_2020!CA_FP_gas_nom*KLL_II_2020!CA_gross_prod_gas)/KLL_II_2020!CA_gross_prod_Total),0)</f>
        <v>0</v>
      </c>
    </row>
    <row r="553" spans="3:71" outlineLevel="1" x14ac:dyDescent="0.2">
      <c r="J553" s="26"/>
      <c r="L553" s="55"/>
      <c r="M553" s="55"/>
      <c r="N553" s="55"/>
      <c r="O553" s="55"/>
      <c r="P553" s="55"/>
      <c r="Q553" s="55"/>
      <c r="R553" s="55"/>
      <c r="S553" s="55"/>
      <c r="T553" s="55"/>
      <c r="U553" s="55"/>
      <c r="V553" s="55"/>
      <c r="W553" s="55"/>
      <c r="X553" s="55"/>
      <c r="Y553" s="55"/>
      <c r="Z553" s="55"/>
      <c r="AA553" s="55"/>
      <c r="AB553" s="55"/>
      <c r="AC553" s="55"/>
      <c r="AD553" s="55"/>
      <c r="AE553" s="55"/>
      <c r="AF553" s="55"/>
      <c r="AG553" s="55"/>
      <c r="AH553" s="55"/>
      <c r="AI553" s="55"/>
      <c r="AJ553" s="55"/>
      <c r="AK553" s="55"/>
      <c r="AL553" s="55"/>
      <c r="AM553" s="55"/>
      <c r="AN553" s="55"/>
      <c r="AO553" s="55"/>
      <c r="AP553" s="55"/>
      <c r="AQ553" s="55"/>
      <c r="AR553" s="55"/>
      <c r="AS553" s="55"/>
      <c r="AT553" s="55"/>
      <c r="AU553" s="55"/>
      <c r="AV553" s="55"/>
      <c r="AW553" s="55"/>
      <c r="AX553" s="55"/>
      <c r="AY553" s="55"/>
      <c r="AZ553" s="55"/>
      <c r="BA553" s="55"/>
      <c r="BB553" s="55"/>
      <c r="BC553" s="55"/>
      <c r="BD553" s="55"/>
      <c r="BE553" s="55"/>
      <c r="BF553" s="55"/>
      <c r="BG553" s="55"/>
      <c r="BH553" s="55"/>
      <c r="BI553" s="55"/>
      <c r="BJ553" s="55"/>
      <c r="BK553" s="55"/>
      <c r="BL553" s="55"/>
      <c r="BM553" s="55"/>
      <c r="BN553" s="55"/>
      <c r="BO553" s="55"/>
      <c r="BP553" s="55"/>
      <c r="BQ553" s="55"/>
      <c r="BR553" s="55"/>
      <c r="BS553" s="55"/>
    </row>
    <row r="554" spans="3:71" outlineLevel="1" x14ac:dyDescent="0.2">
      <c r="D554" t="str">
        <f>HM_ZB_Nsoko!D567</f>
        <v>Cost Oil Contracteur</v>
      </c>
      <c r="I554" s="30">
        <f t="shared" ref="I554:I559" ca="1" si="145">SUM($L554:$BS554)</f>
        <v>24.312344298911366</v>
      </c>
      <c r="J554" s="26" t="s">
        <v>692</v>
      </c>
      <c r="L554" s="49">
        <f ca="1">IFERROR((L314)/((KLL_II_2020!CA_FP_oil_nom*KLL_II_2020!CA_gross_prod_oil+KLL_II_2020!CA_FP_lpg_nom*KLL_II_2020!CA_gross_prod_lpg+KLL_II_2020!CA_FP_gas_nom*KLL_II_2020!CA_gross_prod_gas)/KLL_II_2020!CA_gross_prod_Total),0)</f>
        <v>0.82173141924519788</v>
      </c>
      <c r="M554" s="49">
        <f ca="1">IFERROR((M314)/((KLL_II_2020!CA_FP_oil_nom*KLL_II_2020!CA_gross_prod_oil+KLL_II_2020!CA_FP_lpg_nom*KLL_II_2020!CA_gross_prod_lpg+KLL_II_2020!CA_FP_gas_nom*KLL_II_2020!CA_gross_prod_gas)/KLL_II_2020!CA_gross_prod_Total),0)</f>
        <v>1.4560057500000001</v>
      </c>
      <c r="N554" s="49">
        <f ca="1">IFERROR((N314)/((KLL_II_2020!CA_FP_oil_nom*KLL_II_2020!CA_gross_prod_oil+KLL_II_2020!CA_FP_lpg_nom*KLL_II_2020!CA_gross_prod_lpg+KLL_II_2020!CA_FP_gas_nom*KLL_II_2020!CA_gross_prod_gas)/KLL_II_2020!CA_gross_prod_Total),0)</f>
        <v>2.3252798607456211</v>
      </c>
      <c r="O554" s="49">
        <f ca="1">IFERROR((O314)/((KLL_II_2020!CA_FP_oil_nom*KLL_II_2020!CA_gross_prod_oil+KLL_II_2020!CA_FP_lpg_nom*KLL_II_2020!CA_gross_prod_lpg+KLL_II_2020!CA_FP_gas_nom*KLL_II_2020!CA_gross_prod_gas)/KLL_II_2020!CA_gross_prod_Total),0)</f>
        <v>2.9400111645158766</v>
      </c>
      <c r="P554" s="49">
        <f ca="1">IFERROR((P314)/((KLL_II_2020!CA_FP_oil_nom*KLL_II_2020!CA_gross_prod_oil+KLL_II_2020!CA_FP_lpg_nom*KLL_II_2020!CA_gross_prod_lpg+KLL_II_2020!CA_FP_gas_nom*KLL_II_2020!CA_gross_prod_gas)/KLL_II_2020!CA_gross_prod_Total),0)</f>
        <v>2.0164772247861906</v>
      </c>
      <c r="Q554" s="49">
        <f ca="1">IFERROR((Q314)/((KLL_II_2020!CA_FP_oil_nom*KLL_II_2020!CA_gross_prod_oil+KLL_II_2020!CA_FP_lpg_nom*KLL_II_2020!CA_gross_prod_lpg+KLL_II_2020!CA_FP_gas_nom*KLL_II_2020!CA_gross_prod_gas)/KLL_II_2020!CA_gross_prod_Total),0)</f>
        <v>1.7380885716869643</v>
      </c>
      <c r="R554" s="49">
        <f ca="1">IFERROR((R314)/((KLL_II_2020!CA_FP_oil_nom*KLL_II_2020!CA_gross_prod_oil+KLL_II_2020!CA_FP_lpg_nom*KLL_II_2020!CA_gross_prod_lpg+KLL_II_2020!CA_FP_gas_nom*KLL_II_2020!CA_gross_prod_gas)/KLL_II_2020!CA_gross_prod_Total),0)</f>
        <v>1.9415844111934897</v>
      </c>
      <c r="S554" s="49">
        <f ca="1">IFERROR((S314)/((KLL_II_2020!CA_FP_oil_nom*KLL_II_2020!CA_gross_prod_oil+KLL_II_2020!CA_FP_lpg_nom*KLL_II_2020!CA_gross_prod_lpg+KLL_II_2020!CA_FP_gas_nom*KLL_II_2020!CA_gross_prod_gas)/KLL_II_2020!CA_gross_prod_Total),0)</f>
        <v>2.78145</v>
      </c>
      <c r="T554" s="49">
        <f ca="1">IFERROR((T314)/((KLL_II_2020!CA_FP_oil_nom*KLL_II_2020!CA_gross_prod_oil+KLL_II_2020!CA_FP_lpg_nom*KLL_II_2020!CA_gross_prod_lpg+KLL_II_2020!CA_FP_gas_nom*KLL_II_2020!CA_gross_prod_gas)/KLL_II_2020!CA_gross_prod_Total),0)</f>
        <v>1.9832734025472651</v>
      </c>
      <c r="U554" s="49">
        <f ca="1">IFERROR((U314)/((KLL_II_2020!CA_FP_oil_nom*KLL_II_2020!CA_gross_prod_oil+KLL_II_2020!CA_FP_lpg_nom*KLL_II_2020!CA_gross_prod_lpg+KLL_II_2020!CA_FP_gas_nom*KLL_II_2020!CA_gross_prod_gas)/KLL_II_2020!CA_gross_prod_Total),0)</f>
        <v>1.7527068764999993</v>
      </c>
      <c r="V554" s="49">
        <f ca="1">IFERROR((V314)/((KLL_II_2020!CA_FP_oil_nom*KLL_II_2020!CA_gross_prod_oil+KLL_II_2020!CA_FP_lpg_nom*KLL_II_2020!CA_gross_prod_lpg+KLL_II_2020!CA_FP_gas_nom*KLL_II_2020!CA_gross_prod_gas)/KLL_II_2020!CA_gross_prod_Total),0)</f>
        <v>1.6300173951449994</v>
      </c>
      <c r="W554" s="49">
        <f ca="1">IFERROR((W314)/((KLL_II_2020!CA_FP_oil_nom*KLL_II_2020!CA_gross_prod_oil+KLL_II_2020!CA_FP_lpg_nom*KLL_II_2020!CA_gross_prod_lpg+KLL_II_2020!CA_FP_gas_nom*KLL_II_2020!CA_gross_prod_gas)/KLL_II_2020!CA_gross_prod_Total),0)</f>
        <v>1.5159161774848495</v>
      </c>
      <c r="X554" s="49">
        <f ca="1">IFERROR((X314)/((KLL_II_2020!CA_FP_oil_nom*KLL_II_2020!CA_gross_prod_oil+KLL_II_2020!CA_FP_lpg_nom*KLL_II_2020!CA_gross_prod_lpg+KLL_II_2020!CA_FP_gas_nom*KLL_II_2020!CA_gross_prod_gas)/KLL_II_2020!CA_gross_prod_Total),0)</f>
        <v>1.4098020450609099</v>
      </c>
      <c r="Y554" s="49">
        <f ca="1">IFERROR((Y314)/((KLL_II_2020!CA_FP_oil_nom*KLL_II_2020!CA_gross_prod_oil+KLL_II_2020!CA_FP_lpg_nom*KLL_II_2020!CA_gross_prod_lpg+KLL_II_2020!CA_FP_gas_nom*KLL_II_2020!CA_gross_prod_gas)/KLL_II_2020!CA_gross_prod_Total),0)</f>
        <v>0</v>
      </c>
      <c r="Z554" s="49">
        <f ca="1">IFERROR((Z314)/((KLL_II_2020!CA_FP_oil_nom*KLL_II_2020!CA_gross_prod_oil+KLL_II_2020!CA_FP_lpg_nom*KLL_II_2020!CA_gross_prod_lpg+KLL_II_2020!CA_FP_gas_nom*KLL_II_2020!CA_gross_prod_gas)/KLL_II_2020!CA_gross_prod_Total),0)</f>
        <v>0</v>
      </c>
      <c r="AA554" s="49">
        <f ca="1">IFERROR((AA314)/((KLL_II_2020!CA_FP_oil_nom*KLL_II_2020!CA_gross_prod_oil+KLL_II_2020!CA_FP_lpg_nom*KLL_II_2020!CA_gross_prod_lpg+KLL_II_2020!CA_FP_gas_nom*KLL_II_2020!CA_gross_prod_gas)/KLL_II_2020!CA_gross_prod_Total),0)</f>
        <v>0</v>
      </c>
      <c r="AB554" s="49">
        <f ca="1">IFERROR((AB314)/((KLL_II_2020!CA_FP_oil_nom*KLL_II_2020!CA_gross_prod_oil+KLL_II_2020!CA_FP_lpg_nom*KLL_II_2020!CA_gross_prod_lpg+KLL_II_2020!CA_FP_gas_nom*KLL_II_2020!CA_gross_prod_gas)/KLL_II_2020!CA_gross_prod_Total),0)</f>
        <v>0</v>
      </c>
      <c r="AC554" s="49">
        <f ca="1">IFERROR((AC314)/((KLL_II_2020!CA_FP_oil_nom*KLL_II_2020!CA_gross_prod_oil+KLL_II_2020!CA_FP_lpg_nom*KLL_II_2020!CA_gross_prod_lpg+KLL_II_2020!CA_FP_gas_nom*KLL_II_2020!CA_gross_prod_gas)/KLL_II_2020!CA_gross_prod_Total),0)</f>
        <v>0</v>
      </c>
      <c r="AD554" s="49">
        <f ca="1">IFERROR((AD314)/((KLL_II_2020!CA_FP_oil_nom*KLL_II_2020!CA_gross_prod_oil+KLL_II_2020!CA_FP_lpg_nom*KLL_II_2020!CA_gross_prod_lpg+KLL_II_2020!CA_FP_gas_nom*KLL_II_2020!CA_gross_prod_gas)/KLL_II_2020!CA_gross_prod_Total),0)</f>
        <v>0</v>
      </c>
      <c r="AE554" s="49">
        <f ca="1">IFERROR((AE314)/((KLL_II_2020!CA_FP_oil_nom*KLL_II_2020!CA_gross_prod_oil+KLL_II_2020!CA_FP_lpg_nom*KLL_II_2020!CA_gross_prod_lpg+KLL_II_2020!CA_FP_gas_nom*KLL_II_2020!CA_gross_prod_gas)/KLL_II_2020!CA_gross_prod_Total),0)</f>
        <v>0</v>
      </c>
      <c r="AF554" s="49">
        <f ca="1">IFERROR((AF314)/((KLL_II_2020!CA_FP_oil_nom*KLL_II_2020!CA_gross_prod_oil+KLL_II_2020!CA_FP_lpg_nom*KLL_II_2020!CA_gross_prod_lpg+KLL_II_2020!CA_FP_gas_nom*KLL_II_2020!CA_gross_prod_gas)/KLL_II_2020!CA_gross_prod_Total),0)</f>
        <v>0</v>
      </c>
      <c r="AG554" s="49">
        <f ca="1">IFERROR((AG314)/((KLL_II_2020!CA_FP_oil_nom*KLL_II_2020!CA_gross_prod_oil+KLL_II_2020!CA_FP_lpg_nom*KLL_II_2020!CA_gross_prod_lpg+KLL_II_2020!CA_FP_gas_nom*KLL_II_2020!CA_gross_prod_gas)/KLL_II_2020!CA_gross_prod_Total),0)</f>
        <v>0</v>
      </c>
      <c r="AH554" s="49">
        <f ca="1">IFERROR((AH314)/((KLL_II_2020!CA_FP_oil_nom*KLL_II_2020!CA_gross_prod_oil+KLL_II_2020!CA_FP_lpg_nom*KLL_II_2020!CA_gross_prod_lpg+KLL_II_2020!CA_FP_gas_nom*KLL_II_2020!CA_gross_prod_gas)/KLL_II_2020!CA_gross_prod_Total),0)</f>
        <v>0</v>
      </c>
      <c r="AI554" s="49">
        <f ca="1">IFERROR((AI314)/((KLL_II_2020!CA_FP_oil_nom*KLL_II_2020!CA_gross_prod_oil+KLL_II_2020!CA_FP_lpg_nom*KLL_II_2020!CA_gross_prod_lpg+KLL_II_2020!CA_FP_gas_nom*KLL_II_2020!CA_gross_prod_gas)/KLL_II_2020!CA_gross_prod_Total),0)</f>
        <v>0</v>
      </c>
      <c r="AJ554" s="49">
        <f ca="1">IFERROR((AJ314)/((KLL_II_2020!CA_FP_oil_nom*KLL_II_2020!CA_gross_prod_oil+KLL_II_2020!CA_FP_lpg_nom*KLL_II_2020!CA_gross_prod_lpg+KLL_II_2020!CA_FP_gas_nom*KLL_II_2020!CA_gross_prod_gas)/KLL_II_2020!CA_gross_prod_Total),0)</f>
        <v>0</v>
      </c>
      <c r="AK554" s="49">
        <f ca="1">IFERROR((AK314)/((KLL_II_2020!CA_FP_oil_nom*KLL_II_2020!CA_gross_prod_oil+KLL_II_2020!CA_FP_lpg_nom*KLL_II_2020!CA_gross_prod_lpg+KLL_II_2020!CA_FP_gas_nom*KLL_II_2020!CA_gross_prod_gas)/KLL_II_2020!CA_gross_prod_Total),0)</f>
        <v>0</v>
      </c>
      <c r="AL554" s="49">
        <f ca="1">IFERROR((AL314)/((KLL_II_2020!CA_FP_oil_nom*KLL_II_2020!CA_gross_prod_oil+KLL_II_2020!CA_FP_lpg_nom*KLL_II_2020!CA_gross_prod_lpg+KLL_II_2020!CA_FP_gas_nom*KLL_II_2020!CA_gross_prod_gas)/KLL_II_2020!CA_gross_prod_Total),0)</f>
        <v>0</v>
      </c>
      <c r="AM554" s="49">
        <f ca="1">IFERROR((AM314)/((KLL_II_2020!CA_FP_oil_nom*KLL_II_2020!CA_gross_prod_oil+KLL_II_2020!CA_FP_lpg_nom*KLL_II_2020!CA_gross_prod_lpg+KLL_II_2020!CA_FP_gas_nom*KLL_II_2020!CA_gross_prod_gas)/KLL_II_2020!CA_gross_prod_Total),0)</f>
        <v>0</v>
      </c>
      <c r="AN554" s="49">
        <f ca="1">IFERROR((AN314)/((KLL_II_2020!CA_FP_oil_nom*KLL_II_2020!CA_gross_prod_oil+KLL_II_2020!CA_FP_lpg_nom*KLL_II_2020!CA_gross_prod_lpg+KLL_II_2020!CA_FP_gas_nom*KLL_II_2020!CA_gross_prod_gas)/KLL_II_2020!CA_gross_prod_Total),0)</f>
        <v>0</v>
      </c>
      <c r="AO554" s="49">
        <f ca="1">IFERROR((AO314)/((KLL_II_2020!CA_FP_oil_nom*KLL_II_2020!CA_gross_prod_oil+KLL_II_2020!CA_FP_lpg_nom*KLL_II_2020!CA_gross_prod_lpg+KLL_II_2020!CA_FP_gas_nom*KLL_II_2020!CA_gross_prod_gas)/KLL_II_2020!CA_gross_prod_Total),0)</f>
        <v>0</v>
      </c>
      <c r="AP554" s="49">
        <f ca="1">IFERROR((AP314)/((KLL_II_2020!CA_FP_oil_nom*KLL_II_2020!CA_gross_prod_oil+KLL_II_2020!CA_FP_lpg_nom*KLL_II_2020!CA_gross_prod_lpg+KLL_II_2020!CA_FP_gas_nom*KLL_II_2020!CA_gross_prod_gas)/KLL_II_2020!CA_gross_prod_Total),0)</f>
        <v>0</v>
      </c>
      <c r="AQ554" s="49">
        <f ca="1">IFERROR((AQ314)/((KLL_II_2020!CA_FP_oil_nom*KLL_II_2020!CA_gross_prod_oil+KLL_II_2020!CA_FP_lpg_nom*KLL_II_2020!CA_gross_prod_lpg+KLL_II_2020!CA_FP_gas_nom*KLL_II_2020!CA_gross_prod_gas)/KLL_II_2020!CA_gross_prod_Total),0)</f>
        <v>0</v>
      </c>
      <c r="AR554" s="49">
        <f ca="1">IFERROR((AR314)/((KLL_II_2020!CA_FP_oil_nom*KLL_II_2020!CA_gross_prod_oil+KLL_II_2020!CA_FP_lpg_nom*KLL_II_2020!CA_gross_prod_lpg+KLL_II_2020!CA_FP_gas_nom*KLL_II_2020!CA_gross_prod_gas)/KLL_II_2020!CA_gross_prod_Total),0)</f>
        <v>0</v>
      </c>
      <c r="AS554" s="49">
        <f ca="1">IFERROR((AS314)/((KLL_II_2020!CA_FP_oil_nom*KLL_II_2020!CA_gross_prod_oil+KLL_II_2020!CA_FP_lpg_nom*KLL_II_2020!CA_gross_prod_lpg+KLL_II_2020!CA_FP_gas_nom*KLL_II_2020!CA_gross_prod_gas)/KLL_II_2020!CA_gross_prod_Total),0)</f>
        <v>0</v>
      </c>
      <c r="AT554" s="49">
        <f ca="1">IFERROR((AT314)/((KLL_II_2020!CA_FP_oil_nom*KLL_II_2020!CA_gross_prod_oil+KLL_II_2020!CA_FP_lpg_nom*KLL_II_2020!CA_gross_prod_lpg+KLL_II_2020!CA_FP_gas_nom*KLL_II_2020!CA_gross_prod_gas)/KLL_II_2020!CA_gross_prod_Total),0)</f>
        <v>0</v>
      </c>
      <c r="AU554" s="49">
        <f ca="1">IFERROR((AU314)/((KLL_II_2020!CA_FP_oil_nom*KLL_II_2020!CA_gross_prod_oil+KLL_II_2020!CA_FP_lpg_nom*KLL_II_2020!CA_gross_prod_lpg+KLL_II_2020!CA_FP_gas_nom*KLL_II_2020!CA_gross_prod_gas)/KLL_II_2020!CA_gross_prod_Total),0)</f>
        <v>0</v>
      </c>
      <c r="AV554" s="49">
        <f ca="1">IFERROR((AV314)/((KLL_II_2020!CA_FP_oil_nom*KLL_II_2020!CA_gross_prod_oil+KLL_II_2020!CA_FP_lpg_nom*KLL_II_2020!CA_gross_prod_lpg+KLL_II_2020!CA_FP_gas_nom*KLL_II_2020!CA_gross_prod_gas)/KLL_II_2020!CA_gross_prod_Total),0)</f>
        <v>0</v>
      </c>
      <c r="AW554" s="49">
        <f ca="1">IFERROR((AW314)/((KLL_II_2020!CA_FP_oil_nom*KLL_II_2020!CA_gross_prod_oil+KLL_II_2020!CA_FP_lpg_nom*KLL_II_2020!CA_gross_prod_lpg+KLL_II_2020!CA_FP_gas_nom*KLL_II_2020!CA_gross_prod_gas)/KLL_II_2020!CA_gross_prod_Total),0)</f>
        <v>0</v>
      </c>
      <c r="AX554" s="49">
        <f ca="1">IFERROR((AX314)/((KLL_II_2020!CA_FP_oil_nom*KLL_II_2020!CA_gross_prod_oil+KLL_II_2020!CA_FP_lpg_nom*KLL_II_2020!CA_gross_prod_lpg+KLL_II_2020!CA_FP_gas_nom*KLL_II_2020!CA_gross_prod_gas)/KLL_II_2020!CA_gross_prod_Total),0)</f>
        <v>0</v>
      </c>
      <c r="AY554" s="49">
        <f ca="1">IFERROR((AY314)/((KLL_II_2020!CA_FP_oil_nom*KLL_II_2020!CA_gross_prod_oil+KLL_II_2020!CA_FP_lpg_nom*KLL_II_2020!CA_gross_prod_lpg+KLL_II_2020!CA_FP_gas_nom*KLL_II_2020!CA_gross_prod_gas)/KLL_II_2020!CA_gross_prod_Total),0)</f>
        <v>0</v>
      </c>
      <c r="AZ554" s="49">
        <f ca="1">IFERROR((AZ314)/((KLL_II_2020!CA_FP_oil_nom*KLL_II_2020!CA_gross_prod_oil+KLL_II_2020!CA_FP_lpg_nom*KLL_II_2020!CA_gross_prod_lpg+KLL_II_2020!CA_FP_gas_nom*KLL_II_2020!CA_gross_prod_gas)/KLL_II_2020!CA_gross_prod_Total),0)</f>
        <v>0</v>
      </c>
      <c r="BA554" s="49">
        <f ca="1">IFERROR((BA314)/((KLL_II_2020!CA_FP_oil_nom*KLL_II_2020!CA_gross_prod_oil+KLL_II_2020!CA_FP_lpg_nom*KLL_II_2020!CA_gross_prod_lpg+KLL_II_2020!CA_FP_gas_nom*KLL_II_2020!CA_gross_prod_gas)/KLL_II_2020!CA_gross_prod_Total),0)</f>
        <v>0</v>
      </c>
      <c r="BB554" s="49">
        <f ca="1">IFERROR((BB314)/((KLL_II_2020!CA_FP_oil_nom*KLL_II_2020!CA_gross_prod_oil+KLL_II_2020!CA_FP_lpg_nom*KLL_II_2020!CA_gross_prod_lpg+KLL_II_2020!CA_FP_gas_nom*KLL_II_2020!CA_gross_prod_gas)/KLL_II_2020!CA_gross_prod_Total),0)</f>
        <v>0</v>
      </c>
      <c r="BC554" s="49">
        <f ca="1">IFERROR((BC314)/((KLL_II_2020!CA_FP_oil_nom*KLL_II_2020!CA_gross_prod_oil+KLL_II_2020!CA_FP_lpg_nom*KLL_II_2020!CA_gross_prod_lpg+KLL_II_2020!CA_FP_gas_nom*KLL_II_2020!CA_gross_prod_gas)/KLL_II_2020!CA_gross_prod_Total),0)</f>
        <v>0</v>
      </c>
      <c r="BD554" s="49">
        <f ca="1">IFERROR((BD314)/((KLL_II_2020!CA_FP_oil_nom*KLL_II_2020!CA_gross_prod_oil+KLL_II_2020!CA_FP_lpg_nom*KLL_II_2020!CA_gross_prod_lpg+KLL_II_2020!CA_FP_gas_nom*KLL_II_2020!CA_gross_prod_gas)/KLL_II_2020!CA_gross_prod_Total),0)</f>
        <v>0</v>
      </c>
      <c r="BE554" s="49">
        <f ca="1">IFERROR((BE314)/((KLL_II_2020!CA_FP_oil_nom*KLL_II_2020!CA_gross_prod_oil+KLL_II_2020!CA_FP_lpg_nom*KLL_II_2020!CA_gross_prod_lpg+KLL_II_2020!CA_FP_gas_nom*KLL_II_2020!CA_gross_prod_gas)/KLL_II_2020!CA_gross_prod_Total),0)</f>
        <v>0</v>
      </c>
      <c r="BF554" s="49">
        <f ca="1">IFERROR((BF314)/((KLL_II_2020!CA_FP_oil_nom*KLL_II_2020!CA_gross_prod_oil+KLL_II_2020!CA_FP_lpg_nom*KLL_II_2020!CA_gross_prod_lpg+KLL_II_2020!CA_FP_gas_nom*KLL_II_2020!CA_gross_prod_gas)/KLL_II_2020!CA_gross_prod_Total),0)</f>
        <v>0</v>
      </c>
      <c r="BG554" s="49">
        <f ca="1">IFERROR((BG314)/((KLL_II_2020!CA_FP_oil_nom*KLL_II_2020!CA_gross_prod_oil+KLL_II_2020!CA_FP_lpg_nom*KLL_II_2020!CA_gross_prod_lpg+KLL_II_2020!CA_FP_gas_nom*KLL_II_2020!CA_gross_prod_gas)/KLL_II_2020!CA_gross_prod_Total),0)</f>
        <v>0</v>
      </c>
      <c r="BH554" s="49">
        <f ca="1">IFERROR((BH314)/((KLL_II_2020!CA_FP_oil_nom*KLL_II_2020!CA_gross_prod_oil+KLL_II_2020!CA_FP_lpg_nom*KLL_II_2020!CA_gross_prod_lpg+KLL_II_2020!CA_FP_gas_nom*KLL_II_2020!CA_gross_prod_gas)/KLL_II_2020!CA_gross_prod_Total),0)</f>
        <v>0</v>
      </c>
      <c r="BI554" s="49">
        <f ca="1">IFERROR((BI314)/((KLL_II_2020!CA_FP_oil_nom*KLL_II_2020!CA_gross_prod_oil+KLL_II_2020!CA_FP_lpg_nom*KLL_II_2020!CA_gross_prod_lpg+KLL_II_2020!CA_FP_gas_nom*KLL_II_2020!CA_gross_prod_gas)/KLL_II_2020!CA_gross_prod_Total),0)</f>
        <v>0</v>
      </c>
      <c r="BJ554" s="49">
        <f ca="1">IFERROR((BJ314)/((KLL_II_2020!CA_FP_oil_nom*KLL_II_2020!CA_gross_prod_oil+KLL_II_2020!CA_FP_lpg_nom*KLL_II_2020!CA_gross_prod_lpg+KLL_II_2020!CA_FP_gas_nom*KLL_II_2020!CA_gross_prod_gas)/KLL_II_2020!CA_gross_prod_Total),0)</f>
        <v>0</v>
      </c>
      <c r="BK554" s="49">
        <f ca="1">IFERROR((BK314)/((KLL_II_2020!CA_FP_oil_nom*KLL_II_2020!CA_gross_prod_oil+KLL_II_2020!CA_FP_lpg_nom*KLL_II_2020!CA_gross_prod_lpg+KLL_II_2020!CA_FP_gas_nom*KLL_II_2020!CA_gross_prod_gas)/KLL_II_2020!CA_gross_prod_Total),0)</f>
        <v>0</v>
      </c>
      <c r="BL554" s="49">
        <f ca="1">IFERROR((BL314)/((KLL_II_2020!CA_FP_oil_nom*KLL_II_2020!CA_gross_prod_oil+KLL_II_2020!CA_FP_lpg_nom*KLL_II_2020!CA_gross_prod_lpg+KLL_II_2020!CA_FP_gas_nom*KLL_II_2020!CA_gross_prod_gas)/KLL_II_2020!CA_gross_prod_Total),0)</f>
        <v>0</v>
      </c>
      <c r="BM554" s="49">
        <f ca="1">IFERROR((BM314)/((KLL_II_2020!CA_FP_oil_nom*KLL_II_2020!CA_gross_prod_oil+KLL_II_2020!CA_FP_lpg_nom*KLL_II_2020!CA_gross_prod_lpg+KLL_II_2020!CA_FP_gas_nom*KLL_II_2020!CA_gross_prod_gas)/KLL_II_2020!CA_gross_prod_Total),0)</f>
        <v>0</v>
      </c>
      <c r="BN554" s="49">
        <f ca="1">IFERROR((BN314)/((KLL_II_2020!CA_FP_oil_nom*KLL_II_2020!CA_gross_prod_oil+KLL_II_2020!CA_FP_lpg_nom*KLL_II_2020!CA_gross_prod_lpg+KLL_II_2020!CA_FP_gas_nom*KLL_II_2020!CA_gross_prod_gas)/KLL_II_2020!CA_gross_prod_Total),0)</f>
        <v>0</v>
      </c>
      <c r="BO554" s="49">
        <f ca="1">IFERROR((BO314)/((KLL_II_2020!CA_FP_oil_nom*KLL_II_2020!CA_gross_prod_oil+KLL_II_2020!CA_FP_lpg_nom*KLL_II_2020!CA_gross_prod_lpg+KLL_II_2020!CA_FP_gas_nom*KLL_II_2020!CA_gross_prod_gas)/KLL_II_2020!CA_gross_prod_Total),0)</f>
        <v>0</v>
      </c>
      <c r="BP554" s="49">
        <f ca="1">IFERROR((BP314)/((KLL_II_2020!CA_FP_oil_nom*KLL_II_2020!CA_gross_prod_oil+KLL_II_2020!CA_FP_lpg_nom*KLL_II_2020!CA_gross_prod_lpg+KLL_II_2020!CA_FP_gas_nom*KLL_II_2020!CA_gross_prod_gas)/KLL_II_2020!CA_gross_prod_Total),0)</f>
        <v>0</v>
      </c>
      <c r="BQ554" s="49">
        <f ca="1">IFERROR((BQ314)/((KLL_II_2020!CA_FP_oil_nom*KLL_II_2020!CA_gross_prod_oil+KLL_II_2020!CA_FP_lpg_nom*KLL_II_2020!CA_gross_prod_lpg+KLL_II_2020!CA_FP_gas_nom*KLL_II_2020!CA_gross_prod_gas)/KLL_II_2020!CA_gross_prod_Total),0)</f>
        <v>0</v>
      </c>
      <c r="BR554" s="49">
        <f ca="1">IFERROR((BR314)/((KLL_II_2020!CA_FP_oil_nom*KLL_II_2020!CA_gross_prod_oil+KLL_II_2020!CA_FP_lpg_nom*KLL_II_2020!CA_gross_prod_lpg+KLL_II_2020!CA_FP_gas_nom*KLL_II_2020!CA_gross_prod_gas)/KLL_II_2020!CA_gross_prod_Total),0)</f>
        <v>0</v>
      </c>
      <c r="BS554" s="49">
        <f ca="1">IFERROR((BS314)/((KLL_II_2020!CA_FP_oil_nom*KLL_II_2020!CA_gross_prod_oil+KLL_II_2020!CA_FP_lpg_nom*KLL_II_2020!CA_gross_prod_lpg+KLL_II_2020!CA_FP_gas_nom*KLL_II_2020!CA_gross_prod_gas)/KLL_II_2020!CA_gross_prod_Total),0)</f>
        <v>0</v>
      </c>
    </row>
    <row r="555" spans="3:71" outlineLevel="1" x14ac:dyDescent="0.2">
      <c r="D555" t="str">
        <f>HM_ZB_Nsoko!D568</f>
        <v>Cost Gaz Contracteur</v>
      </c>
      <c r="I555" s="30"/>
      <c r="J555" s="26"/>
      <c r="L555" s="49"/>
      <c r="M555" s="49"/>
      <c r="N555" s="49"/>
      <c r="O555" s="49"/>
      <c r="P555" s="49"/>
      <c r="Q555" s="49"/>
      <c r="R555" s="49"/>
      <c r="S555" s="49"/>
      <c r="T555" s="49"/>
      <c r="U555" s="49"/>
      <c r="V555" s="49"/>
      <c r="W555" s="49"/>
      <c r="X555" s="49"/>
      <c r="Y555" s="49"/>
      <c r="Z555" s="49"/>
      <c r="AA555" s="49"/>
      <c r="AB555" s="49"/>
      <c r="AC555" s="49"/>
      <c r="AD555" s="49"/>
      <c r="AE555" s="49"/>
      <c r="AF555" s="49"/>
      <c r="AG555" s="49"/>
      <c r="AH555" s="49"/>
      <c r="AI555" s="49"/>
      <c r="AJ555" s="49"/>
      <c r="AK555" s="49"/>
      <c r="AL555" s="49"/>
      <c r="AM555" s="49"/>
      <c r="AN555" s="49"/>
      <c r="AO555" s="49"/>
      <c r="AP555" s="49"/>
      <c r="AQ555" s="49"/>
      <c r="AR555" s="49"/>
      <c r="AS555" s="49"/>
      <c r="AT555" s="49"/>
      <c r="AU555" s="49"/>
      <c r="AV555" s="49"/>
      <c r="AW555" s="49"/>
      <c r="AX555" s="49"/>
      <c r="AY555" s="49"/>
      <c r="AZ555" s="49"/>
      <c r="BA555" s="49"/>
      <c r="BB555" s="49"/>
      <c r="BC555" s="49"/>
      <c r="BD555" s="49"/>
      <c r="BE555" s="49"/>
      <c r="BF555" s="49"/>
      <c r="BG555" s="49"/>
      <c r="BH555" s="49"/>
      <c r="BI555" s="49"/>
      <c r="BJ555" s="49"/>
      <c r="BK555" s="49"/>
      <c r="BL555" s="49"/>
      <c r="BM555" s="49"/>
      <c r="BN555" s="49"/>
      <c r="BO555" s="49"/>
      <c r="BP555" s="49"/>
      <c r="BQ555" s="49"/>
      <c r="BR555" s="49"/>
      <c r="BS555" s="49"/>
    </row>
    <row r="556" spans="3:71" outlineLevel="1" x14ac:dyDescent="0.2">
      <c r="D556" t="str">
        <f>HM_ZB_Nsoko!D569</f>
        <v>Excess Cost Oil Contracteur</v>
      </c>
      <c r="I556" s="30">
        <f t="shared" ca="1" si="145"/>
        <v>0</v>
      </c>
      <c r="J556" s="26" t="s">
        <v>692</v>
      </c>
      <c r="L556" s="49">
        <f ca="1">IFERROR((L315)/((KLL_II_2020!CA_FP_oil_nom*KLL_II_2020!CA_gross_prod_oil+KLL_II_2020!CA_FP_lpg_nom*KLL_II_2020!CA_gross_prod_lpg+KLL_II_2020!CA_FP_gas_nom*KLL_II_2020!CA_gross_prod_gas)/KLL_II_2020!CA_gross_prod_Total),0)</f>
        <v>0</v>
      </c>
      <c r="M556" s="49">
        <f ca="1">IFERROR((M315)/((KLL_II_2020!CA_FP_oil_nom*KLL_II_2020!CA_gross_prod_oil+KLL_II_2020!CA_FP_lpg_nom*KLL_II_2020!CA_gross_prod_lpg+KLL_II_2020!CA_FP_gas_nom*KLL_II_2020!CA_gross_prod_gas)/KLL_II_2020!CA_gross_prod_Total),0)</f>
        <v>0</v>
      </c>
      <c r="N556" s="49">
        <f ca="1">IFERROR((N315)/((KLL_II_2020!CA_FP_oil_nom*KLL_II_2020!CA_gross_prod_oil+KLL_II_2020!CA_FP_lpg_nom*KLL_II_2020!CA_gross_prod_lpg+KLL_II_2020!CA_FP_gas_nom*KLL_II_2020!CA_gross_prod_gas)/KLL_II_2020!CA_gross_prod_Total),0)</f>
        <v>0</v>
      </c>
      <c r="O556" s="49">
        <f ca="1">IFERROR((O315)/((KLL_II_2020!CA_FP_oil_nom*KLL_II_2020!CA_gross_prod_oil+KLL_II_2020!CA_FP_lpg_nom*KLL_II_2020!CA_gross_prod_lpg+KLL_II_2020!CA_FP_gas_nom*KLL_II_2020!CA_gross_prod_gas)/KLL_II_2020!CA_gross_prod_Total),0)</f>
        <v>0</v>
      </c>
      <c r="P556" s="49">
        <f ca="1">IFERROR((P315)/((KLL_II_2020!CA_FP_oil_nom*KLL_II_2020!CA_gross_prod_oil+KLL_II_2020!CA_FP_lpg_nom*KLL_II_2020!CA_gross_prod_lpg+KLL_II_2020!CA_FP_gas_nom*KLL_II_2020!CA_gross_prod_gas)/KLL_II_2020!CA_gross_prod_Total),0)</f>
        <v>0</v>
      </c>
      <c r="Q556" s="49">
        <f ca="1">IFERROR((Q315)/((KLL_II_2020!CA_FP_oil_nom*KLL_II_2020!CA_gross_prod_oil+KLL_II_2020!CA_FP_lpg_nom*KLL_II_2020!CA_gross_prod_lpg+KLL_II_2020!CA_FP_gas_nom*KLL_II_2020!CA_gross_prod_gas)/KLL_II_2020!CA_gross_prod_Total),0)</f>
        <v>0</v>
      </c>
      <c r="R556" s="49">
        <f ca="1">IFERROR((R315)/((KLL_II_2020!CA_FP_oil_nom*KLL_II_2020!CA_gross_prod_oil+KLL_II_2020!CA_FP_lpg_nom*KLL_II_2020!CA_gross_prod_lpg+KLL_II_2020!CA_FP_gas_nom*KLL_II_2020!CA_gross_prod_gas)/KLL_II_2020!CA_gross_prod_Total),0)</f>
        <v>0</v>
      </c>
      <c r="S556" s="49">
        <f ca="1">IFERROR((S315)/((KLL_II_2020!CA_FP_oil_nom*KLL_II_2020!CA_gross_prod_oil+KLL_II_2020!CA_FP_lpg_nom*KLL_II_2020!CA_gross_prod_lpg+KLL_II_2020!CA_FP_gas_nom*KLL_II_2020!CA_gross_prod_gas)/KLL_II_2020!CA_gross_prod_Total),0)</f>
        <v>0</v>
      </c>
      <c r="T556" s="49">
        <f ca="1">IFERROR((T315)/((KLL_II_2020!CA_FP_oil_nom*KLL_II_2020!CA_gross_prod_oil+KLL_II_2020!CA_FP_lpg_nom*KLL_II_2020!CA_gross_prod_lpg+KLL_II_2020!CA_FP_gas_nom*KLL_II_2020!CA_gross_prod_gas)/KLL_II_2020!CA_gross_prod_Total),0)</f>
        <v>0</v>
      </c>
      <c r="U556" s="49">
        <f ca="1">IFERROR((U315)/((KLL_II_2020!CA_FP_oil_nom*KLL_II_2020!CA_gross_prod_oil+KLL_II_2020!CA_FP_lpg_nom*KLL_II_2020!CA_gross_prod_lpg+KLL_II_2020!CA_FP_gas_nom*KLL_II_2020!CA_gross_prod_gas)/KLL_II_2020!CA_gross_prod_Total),0)</f>
        <v>0</v>
      </c>
      <c r="V556" s="49">
        <f ca="1">IFERROR((V315)/((KLL_II_2020!CA_FP_oil_nom*KLL_II_2020!CA_gross_prod_oil+KLL_II_2020!CA_FP_lpg_nom*KLL_II_2020!CA_gross_prod_lpg+KLL_II_2020!CA_FP_gas_nom*KLL_II_2020!CA_gross_prod_gas)/KLL_II_2020!CA_gross_prod_Total),0)</f>
        <v>0</v>
      </c>
      <c r="W556" s="49">
        <f ca="1">IFERROR((W315)/((KLL_II_2020!CA_FP_oil_nom*KLL_II_2020!CA_gross_prod_oil+KLL_II_2020!CA_FP_lpg_nom*KLL_II_2020!CA_gross_prod_lpg+KLL_II_2020!CA_FP_gas_nom*KLL_II_2020!CA_gross_prod_gas)/KLL_II_2020!CA_gross_prod_Total),0)</f>
        <v>0</v>
      </c>
      <c r="X556" s="49">
        <f ca="1">IFERROR((X315)/((KLL_II_2020!CA_FP_oil_nom*KLL_II_2020!CA_gross_prod_oil+KLL_II_2020!CA_FP_lpg_nom*KLL_II_2020!CA_gross_prod_lpg+KLL_II_2020!CA_FP_gas_nom*KLL_II_2020!CA_gross_prod_gas)/KLL_II_2020!CA_gross_prod_Total),0)</f>
        <v>0</v>
      </c>
      <c r="Y556" s="49">
        <f ca="1">IFERROR((Y315)/((KLL_II_2020!CA_FP_oil_nom*KLL_II_2020!CA_gross_prod_oil+KLL_II_2020!CA_FP_lpg_nom*KLL_II_2020!CA_gross_prod_lpg+KLL_II_2020!CA_FP_gas_nom*KLL_II_2020!CA_gross_prod_gas)/KLL_II_2020!CA_gross_prod_Total),0)</f>
        <v>0</v>
      </c>
      <c r="Z556" s="49">
        <f ca="1">IFERROR((Z315)/((KLL_II_2020!CA_FP_oil_nom*KLL_II_2020!CA_gross_prod_oil+KLL_II_2020!CA_FP_lpg_nom*KLL_II_2020!CA_gross_prod_lpg+KLL_II_2020!CA_FP_gas_nom*KLL_II_2020!CA_gross_prod_gas)/KLL_II_2020!CA_gross_prod_Total),0)</f>
        <v>0</v>
      </c>
      <c r="AA556" s="49">
        <f ca="1">IFERROR((AA315)/((KLL_II_2020!CA_FP_oil_nom*KLL_II_2020!CA_gross_prod_oil+KLL_II_2020!CA_FP_lpg_nom*KLL_II_2020!CA_gross_prod_lpg+KLL_II_2020!CA_FP_gas_nom*KLL_II_2020!CA_gross_prod_gas)/KLL_II_2020!CA_gross_prod_Total),0)</f>
        <v>0</v>
      </c>
      <c r="AB556" s="49">
        <f ca="1">IFERROR((AB315)/((KLL_II_2020!CA_FP_oil_nom*KLL_II_2020!CA_gross_prod_oil+KLL_II_2020!CA_FP_lpg_nom*KLL_II_2020!CA_gross_prod_lpg+KLL_II_2020!CA_FP_gas_nom*KLL_II_2020!CA_gross_prod_gas)/KLL_II_2020!CA_gross_prod_Total),0)</f>
        <v>0</v>
      </c>
      <c r="AC556" s="49">
        <f ca="1">IFERROR((AC315)/((KLL_II_2020!CA_FP_oil_nom*KLL_II_2020!CA_gross_prod_oil+KLL_II_2020!CA_FP_lpg_nom*KLL_II_2020!CA_gross_prod_lpg+KLL_II_2020!CA_FP_gas_nom*KLL_II_2020!CA_gross_prod_gas)/KLL_II_2020!CA_gross_prod_Total),0)</f>
        <v>0</v>
      </c>
      <c r="AD556" s="49">
        <f ca="1">IFERROR((AD315)/((KLL_II_2020!CA_FP_oil_nom*KLL_II_2020!CA_gross_prod_oil+KLL_II_2020!CA_FP_lpg_nom*KLL_II_2020!CA_gross_prod_lpg+KLL_II_2020!CA_FP_gas_nom*KLL_II_2020!CA_gross_prod_gas)/KLL_II_2020!CA_gross_prod_Total),0)</f>
        <v>0</v>
      </c>
      <c r="AE556" s="49">
        <f ca="1">IFERROR((AE315)/((KLL_II_2020!CA_FP_oil_nom*KLL_II_2020!CA_gross_prod_oil+KLL_II_2020!CA_FP_lpg_nom*KLL_II_2020!CA_gross_prod_lpg+KLL_II_2020!CA_FP_gas_nom*KLL_II_2020!CA_gross_prod_gas)/KLL_II_2020!CA_gross_prod_Total),0)</f>
        <v>0</v>
      </c>
      <c r="AF556" s="49">
        <f ca="1">IFERROR((AF315)/((KLL_II_2020!CA_FP_oil_nom*KLL_II_2020!CA_gross_prod_oil+KLL_II_2020!CA_FP_lpg_nom*KLL_II_2020!CA_gross_prod_lpg+KLL_II_2020!CA_FP_gas_nom*KLL_II_2020!CA_gross_prod_gas)/KLL_II_2020!CA_gross_prod_Total),0)</f>
        <v>0</v>
      </c>
      <c r="AG556" s="49">
        <f ca="1">IFERROR((AG315)/((KLL_II_2020!CA_FP_oil_nom*KLL_II_2020!CA_gross_prod_oil+KLL_II_2020!CA_FP_lpg_nom*KLL_II_2020!CA_gross_prod_lpg+KLL_II_2020!CA_FP_gas_nom*KLL_II_2020!CA_gross_prod_gas)/KLL_II_2020!CA_gross_prod_Total),0)</f>
        <v>0</v>
      </c>
      <c r="AH556" s="49">
        <f ca="1">IFERROR((AH315)/((KLL_II_2020!CA_FP_oil_nom*KLL_II_2020!CA_gross_prod_oil+KLL_II_2020!CA_FP_lpg_nom*KLL_II_2020!CA_gross_prod_lpg+KLL_II_2020!CA_FP_gas_nom*KLL_II_2020!CA_gross_prod_gas)/KLL_II_2020!CA_gross_prod_Total),0)</f>
        <v>0</v>
      </c>
      <c r="AI556" s="49">
        <f ca="1">IFERROR((AI315)/((KLL_II_2020!CA_FP_oil_nom*KLL_II_2020!CA_gross_prod_oil+KLL_II_2020!CA_FP_lpg_nom*KLL_II_2020!CA_gross_prod_lpg+KLL_II_2020!CA_FP_gas_nom*KLL_II_2020!CA_gross_prod_gas)/KLL_II_2020!CA_gross_prod_Total),0)</f>
        <v>0</v>
      </c>
      <c r="AJ556" s="49">
        <f ca="1">IFERROR((AJ315)/((KLL_II_2020!CA_FP_oil_nom*KLL_II_2020!CA_gross_prod_oil+KLL_II_2020!CA_FP_lpg_nom*KLL_II_2020!CA_gross_prod_lpg+KLL_II_2020!CA_FP_gas_nom*KLL_II_2020!CA_gross_prod_gas)/KLL_II_2020!CA_gross_prod_Total),0)</f>
        <v>0</v>
      </c>
      <c r="AK556" s="49">
        <f ca="1">IFERROR((AK315)/((KLL_II_2020!CA_FP_oil_nom*KLL_II_2020!CA_gross_prod_oil+KLL_II_2020!CA_FP_lpg_nom*KLL_II_2020!CA_gross_prod_lpg+KLL_II_2020!CA_FP_gas_nom*KLL_II_2020!CA_gross_prod_gas)/KLL_II_2020!CA_gross_prod_Total),0)</f>
        <v>0</v>
      </c>
      <c r="AL556" s="49">
        <f ca="1">IFERROR((AL315)/((KLL_II_2020!CA_FP_oil_nom*KLL_II_2020!CA_gross_prod_oil+KLL_II_2020!CA_FP_lpg_nom*KLL_II_2020!CA_gross_prod_lpg+KLL_II_2020!CA_FP_gas_nom*KLL_II_2020!CA_gross_prod_gas)/KLL_II_2020!CA_gross_prod_Total),0)</f>
        <v>0</v>
      </c>
      <c r="AM556" s="49">
        <f ca="1">IFERROR((AM315)/((KLL_II_2020!CA_FP_oil_nom*KLL_II_2020!CA_gross_prod_oil+KLL_II_2020!CA_FP_lpg_nom*KLL_II_2020!CA_gross_prod_lpg+KLL_II_2020!CA_FP_gas_nom*KLL_II_2020!CA_gross_prod_gas)/KLL_II_2020!CA_gross_prod_Total),0)</f>
        <v>0</v>
      </c>
      <c r="AN556" s="49">
        <f ca="1">IFERROR((AN315)/((KLL_II_2020!CA_FP_oil_nom*KLL_II_2020!CA_gross_prod_oil+KLL_II_2020!CA_FP_lpg_nom*KLL_II_2020!CA_gross_prod_lpg+KLL_II_2020!CA_FP_gas_nom*KLL_II_2020!CA_gross_prod_gas)/KLL_II_2020!CA_gross_prod_Total),0)</f>
        <v>0</v>
      </c>
      <c r="AO556" s="49">
        <f ca="1">IFERROR((AO315)/((KLL_II_2020!CA_FP_oil_nom*KLL_II_2020!CA_gross_prod_oil+KLL_II_2020!CA_FP_lpg_nom*KLL_II_2020!CA_gross_prod_lpg+KLL_II_2020!CA_FP_gas_nom*KLL_II_2020!CA_gross_prod_gas)/KLL_II_2020!CA_gross_prod_Total),0)</f>
        <v>0</v>
      </c>
      <c r="AP556" s="49">
        <f ca="1">IFERROR((AP315)/((KLL_II_2020!CA_FP_oil_nom*KLL_II_2020!CA_gross_prod_oil+KLL_II_2020!CA_FP_lpg_nom*KLL_II_2020!CA_gross_prod_lpg+KLL_II_2020!CA_FP_gas_nom*KLL_II_2020!CA_gross_prod_gas)/KLL_II_2020!CA_gross_prod_Total),0)</f>
        <v>0</v>
      </c>
      <c r="AQ556" s="49">
        <f ca="1">IFERROR((AQ315)/((KLL_II_2020!CA_FP_oil_nom*KLL_II_2020!CA_gross_prod_oil+KLL_II_2020!CA_FP_lpg_nom*KLL_II_2020!CA_gross_prod_lpg+KLL_II_2020!CA_FP_gas_nom*KLL_II_2020!CA_gross_prod_gas)/KLL_II_2020!CA_gross_prod_Total),0)</f>
        <v>0</v>
      </c>
      <c r="AR556" s="49">
        <f ca="1">IFERROR((AR315)/((KLL_II_2020!CA_FP_oil_nom*KLL_II_2020!CA_gross_prod_oil+KLL_II_2020!CA_FP_lpg_nom*KLL_II_2020!CA_gross_prod_lpg+KLL_II_2020!CA_FP_gas_nom*KLL_II_2020!CA_gross_prod_gas)/KLL_II_2020!CA_gross_prod_Total),0)</f>
        <v>0</v>
      </c>
      <c r="AS556" s="49">
        <f ca="1">IFERROR((AS315)/((KLL_II_2020!CA_FP_oil_nom*KLL_II_2020!CA_gross_prod_oil+KLL_II_2020!CA_FP_lpg_nom*KLL_II_2020!CA_gross_prod_lpg+KLL_II_2020!CA_FP_gas_nom*KLL_II_2020!CA_gross_prod_gas)/KLL_II_2020!CA_gross_prod_Total),0)</f>
        <v>0</v>
      </c>
      <c r="AT556" s="49">
        <f ca="1">IFERROR((AT315)/((KLL_II_2020!CA_FP_oil_nom*KLL_II_2020!CA_gross_prod_oil+KLL_II_2020!CA_FP_lpg_nom*KLL_II_2020!CA_gross_prod_lpg+KLL_II_2020!CA_FP_gas_nom*KLL_II_2020!CA_gross_prod_gas)/KLL_II_2020!CA_gross_prod_Total),0)</f>
        <v>0</v>
      </c>
      <c r="AU556" s="49">
        <f ca="1">IFERROR((AU315)/((KLL_II_2020!CA_FP_oil_nom*KLL_II_2020!CA_gross_prod_oil+KLL_II_2020!CA_FP_lpg_nom*KLL_II_2020!CA_gross_prod_lpg+KLL_II_2020!CA_FP_gas_nom*KLL_II_2020!CA_gross_prod_gas)/KLL_II_2020!CA_gross_prod_Total),0)</f>
        <v>0</v>
      </c>
      <c r="AV556" s="49">
        <f ca="1">IFERROR((AV315)/((KLL_II_2020!CA_FP_oil_nom*KLL_II_2020!CA_gross_prod_oil+KLL_II_2020!CA_FP_lpg_nom*KLL_II_2020!CA_gross_prod_lpg+KLL_II_2020!CA_FP_gas_nom*KLL_II_2020!CA_gross_prod_gas)/KLL_II_2020!CA_gross_prod_Total),0)</f>
        <v>0</v>
      </c>
      <c r="AW556" s="49">
        <f ca="1">IFERROR((AW315)/((KLL_II_2020!CA_FP_oil_nom*KLL_II_2020!CA_gross_prod_oil+KLL_II_2020!CA_FP_lpg_nom*KLL_II_2020!CA_gross_prod_lpg+KLL_II_2020!CA_FP_gas_nom*KLL_II_2020!CA_gross_prod_gas)/KLL_II_2020!CA_gross_prod_Total),0)</f>
        <v>0</v>
      </c>
      <c r="AX556" s="49">
        <f ca="1">IFERROR((AX315)/((KLL_II_2020!CA_FP_oil_nom*KLL_II_2020!CA_gross_prod_oil+KLL_II_2020!CA_FP_lpg_nom*KLL_II_2020!CA_gross_prod_lpg+KLL_II_2020!CA_FP_gas_nom*KLL_II_2020!CA_gross_prod_gas)/KLL_II_2020!CA_gross_prod_Total),0)</f>
        <v>0</v>
      </c>
      <c r="AY556" s="49">
        <f ca="1">IFERROR((AY315)/((KLL_II_2020!CA_FP_oil_nom*KLL_II_2020!CA_gross_prod_oil+KLL_II_2020!CA_FP_lpg_nom*KLL_II_2020!CA_gross_prod_lpg+KLL_II_2020!CA_FP_gas_nom*KLL_II_2020!CA_gross_prod_gas)/KLL_II_2020!CA_gross_prod_Total),0)</f>
        <v>0</v>
      </c>
      <c r="AZ556" s="49">
        <f ca="1">IFERROR((AZ315)/((KLL_II_2020!CA_FP_oil_nom*KLL_II_2020!CA_gross_prod_oil+KLL_II_2020!CA_FP_lpg_nom*KLL_II_2020!CA_gross_prod_lpg+KLL_II_2020!CA_FP_gas_nom*KLL_II_2020!CA_gross_prod_gas)/KLL_II_2020!CA_gross_prod_Total),0)</f>
        <v>0</v>
      </c>
      <c r="BA556" s="49">
        <f ca="1">IFERROR((BA315)/((KLL_II_2020!CA_FP_oil_nom*KLL_II_2020!CA_gross_prod_oil+KLL_II_2020!CA_FP_lpg_nom*KLL_II_2020!CA_gross_prod_lpg+KLL_II_2020!CA_FP_gas_nom*KLL_II_2020!CA_gross_prod_gas)/KLL_II_2020!CA_gross_prod_Total),0)</f>
        <v>0</v>
      </c>
      <c r="BB556" s="49">
        <f ca="1">IFERROR((BB315)/((KLL_II_2020!CA_FP_oil_nom*KLL_II_2020!CA_gross_prod_oil+KLL_II_2020!CA_FP_lpg_nom*KLL_II_2020!CA_gross_prod_lpg+KLL_II_2020!CA_FP_gas_nom*KLL_II_2020!CA_gross_prod_gas)/KLL_II_2020!CA_gross_prod_Total),0)</f>
        <v>0</v>
      </c>
      <c r="BC556" s="49">
        <f ca="1">IFERROR((BC315)/((KLL_II_2020!CA_FP_oil_nom*KLL_II_2020!CA_gross_prod_oil+KLL_II_2020!CA_FP_lpg_nom*KLL_II_2020!CA_gross_prod_lpg+KLL_II_2020!CA_FP_gas_nom*KLL_II_2020!CA_gross_prod_gas)/KLL_II_2020!CA_gross_prod_Total),0)</f>
        <v>0</v>
      </c>
      <c r="BD556" s="49">
        <f ca="1">IFERROR((BD315)/((KLL_II_2020!CA_FP_oil_nom*KLL_II_2020!CA_gross_prod_oil+KLL_II_2020!CA_FP_lpg_nom*KLL_II_2020!CA_gross_prod_lpg+KLL_II_2020!CA_FP_gas_nom*KLL_II_2020!CA_gross_prod_gas)/KLL_II_2020!CA_gross_prod_Total),0)</f>
        <v>0</v>
      </c>
      <c r="BE556" s="49">
        <f ca="1">IFERROR((BE315)/((KLL_II_2020!CA_FP_oil_nom*KLL_II_2020!CA_gross_prod_oil+KLL_II_2020!CA_FP_lpg_nom*KLL_II_2020!CA_gross_prod_lpg+KLL_II_2020!CA_FP_gas_nom*KLL_II_2020!CA_gross_prod_gas)/KLL_II_2020!CA_gross_prod_Total),0)</f>
        <v>0</v>
      </c>
      <c r="BF556" s="49">
        <f ca="1">IFERROR((BF315)/((KLL_II_2020!CA_FP_oil_nom*KLL_II_2020!CA_gross_prod_oil+KLL_II_2020!CA_FP_lpg_nom*KLL_II_2020!CA_gross_prod_lpg+KLL_II_2020!CA_FP_gas_nom*KLL_II_2020!CA_gross_prod_gas)/KLL_II_2020!CA_gross_prod_Total),0)</f>
        <v>0</v>
      </c>
      <c r="BG556" s="49">
        <f ca="1">IFERROR((BG315)/((KLL_II_2020!CA_FP_oil_nom*KLL_II_2020!CA_gross_prod_oil+KLL_II_2020!CA_FP_lpg_nom*KLL_II_2020!CA_gross_prod_lpg+KLL_II_2020!CA_FP_gas_nom*KLL_II_2020!CA_gross_prod_gas)/KLL_II_2020!CA_gross_prod_Total),0)</f>
        <v>0</v>
      </c>
      <c r="BH556" s="49">
        <f ca="1">IFERROR((BH315)/((KLL_II_2020!CA_FP_oil_nom*KLL_II_2020!CA_gross_prod_oil+KLL_II_2020!CA_FP_lpg_nom*KLL_II_2020!CA_gross_prod_lpg+KLL_II_2020!CA_FP_gas_nom*KLL_II_2020!CA_gross_prod_gas)/KLL_II_2020!CA_gross_prod_Total),0)</f>
        <v>0</v>
      </c>
      <c r="BI556" s="49">
        <f ca="1">IFERROR((BI315)/((KLL_II_2020!CA_FP_oil_nom*KLL_II_2020!CA_gross_prod_oil+KLL_II_2020!CA_FP_lpg_nom*KLL_II_2020!CA_gross_prod_lpg+KLL_II_2020!CA_FP_gas_nom*KLL_II_2020!CA_gross_prod_gas)/KLL_II_2020!CA_gross_prod_Total),0)</f>
        <v>0</v>
      </c>
      <c r="BJ556" s="49">
        <f ca="1">IFERROR((BJ315)/((KLL_II_2020!CA_FP_oil_nom*KLL_II_2020!CA_gross_prod_oil+KLL_II_2020!CA_FP_lpg_nom*KLL_II_2020!CA_gross_prod_lpg+KLL_II_2020!CA_FP_gas_nom*KLL_II_2020!CA_gross_prod_gas)/KLL_II_2020!CA_gross_prod_Total),0)</f>
        <v>0</v>
      </c>
      <c r="BK556" s="49">
        <f ca="1">IFERROR((BK315)/((KLL_II_2020!CA_FP_oil_nom*KLL_II_2020!CA_gross_prod_oil+KLL_II_2020!CA_FP_lpg_nom*KLL_II_2020!CA_gross_prod_lpg+KLL_II_2020!CA_FP_gas_nom*KLL_II_2020!CA_gross_prod_gas)/KLL_II_2020!CA_gross_prod_Total),0)</f>
        <v>0</v>
      </c>
      <c r="BL556" s="49">
        <f ca="1">IFERROR((BL315)/((KLL_II_2020!CA_FP_oil_nom*KLL_II_2020!CA_gross_prod_oil+KLL_II_2020!CA_FP_lpg_nom*KLL_II_2020!CA_gross_prod_lpg+KLL_II_2020!CA_FP_gas_nom*KLL_II_2020!CA_gross_prod_gas)/KLL_II_2020!CA_gross_prod_Total),0)</f>
        <v>0</v>
      </c>
      <c r="BM556" s="49">
        <f ca="1">IFERROR((BM315)/((KLL_II_2020!CA_FP_oil_nom*KLL_II_2020!CA_gross_prod_oil+KLL_II_2020!CA_FP_lpg_nom*KLL_II_2020!CA_gross_prod_lpg+KLL_II_2020!CA_FP_gas_nom*KLL_II_2020!CA_gross_prod_gas)/KLL_II_2020!CA_gross_prod_Total),0)</f>
        <v>0</v>
      </c>
      <c r="BN556" s="49">
        <f ca="1">IFERROR((BN315)/((KLL_II_2020!CA_FP_oil_nom*KLL_II_2020!CA_gross_prod_oil+KLL_II_2020!CA_FP_lpg_nom*KLL_II_2020!CA_gross_prod_lpg+KLL_II_2020!CA_FP_gas_nom*KLL_II_2020!CA_gross_prod_gas)/KLL_II_2020!CA_gross_prod_Total),0)</f>
        <v>0</v>
      </c>
      <c r="BO556" s="49">
        <f ca="1">IFERROR((BO315)/((KLL_II_2020!CA_FP_oil_nom*KLL_II_2020!CA_gross_prod_oil+KLL_II_2020!CA_FP_lpg_nom*KLL_II_2020!CA_gross_prod_lpg+KLL_II_2020!CA_FP_gas_nom*KLL_II_2020!CA_gross_prod_gas)/KLL_II_2020!CA_gross_prod_Total),0)</f>
        <v>0</v>
      </c>
      <c r="BP556" s="49">
        <f ca="1">IFERROR((BP315)/((KLL_II_2020!CA_FP_oil_nom*KLL_II_2020!CA_gross_prod_oil+KLL_II_2020!CA_FP_lpg_nom*KLL_II_2020!CA_gross_prod_lpg+KLL_II_2020!CA_FP_gas_nom*KLL_II_2020!CA_gross_prod_gas)/KLL_II_2020!CA_gross_prod_Total),0)</f>
        <v>0</v>
      </c>
      <c r="BQ556" s="49">
        <f ca="1">IFERROR((BQ315)/((KLL_II_2020!CA_FP_oil_nom*KLL_II_2020!CA_gross_prod_oil+KLL_II_2020!CA_FP_lpg_nom*KLL_II_2020!CA_gross_prod_lpg+KLL_II_2020!CA_FP_gas_nom*KLL_II_2020!CA_gross_prod_gas)/KLL_II_2020!CA_gross_prod_Total),0)</f>
        <v>0</v>
      </c>
      <c r="BR556" s="49">
        <f ca="1">IFERROR((BR315)/((KLL_II_2020!CA_FP_oil_nom*KLL_II_2020!CA_gross_prod_oil+KLL_II_2020!CA_FP_lpg_nom*KLL_II_2020!CA_gross_prod_lpg+KLL_II_2020!CA_FP_gas_nom*KLL_II_2020!CA_gross_prod_gas)/KLL_II_2020!CA_gross_prod_Total),0)</f>
        <v>0</v>
      </c>
      <c r="BS556" s="49">
        <f ca="1">IFERROR((BS315)/((KLL_II_2020!CA_FP_oil_nom*KLL_II_2020!CA_gross_prod_oil+KLL_II_2020!CA_FP_lpg_nom*KLL_II_2020!CA_gross_prod_lpg+KLL_II_2020!CA_FP_gas_nom*KLL_II_2020!CA_gross_prod_gas)/KLL_II_2020!CA_gross_prod_Total),0)</f>
        <v>0</v>
      </c>
    </row>
    <row r="557" spans="3:71" outlineLevel="1" x14ac:dyDescent="0.2">
      <c r="D557" t="str">
        <f>HM_ZB_Nsoko!D570</f>
        <v>SPO Contracteur</v>
      </c>
      <c r="I557" s="30">
        <f t="shared" ca="1" si="145"/>
        <v>5.9353802383976735</v>
      </c>
      <c r="J557" s="26" t="s">
        <v>692</v>
      </c>
      <c r="L557" s="49">
        <f ca="1">IFERROR((L316)/((KLL_II_2020!CA_FP_oil_nom*KLL_II_2020!CA_gross_prod_oil+KLL_II_2020!CA_FP_lpg_nom*KLL_II_2020!CA_gross_prod_lpg)/(KLL_II_2020!CA_gross_prod_oil+KLL_II_2020!CA_gross_prod_lpg)),0)</f>
        <v>0.8920034596762757</v>
      </c>
      <c r="M557" s="49">
        <f ca="1">IFERROR((M316)/((KLL_II_2020!CA_FP_oil_nom*KLL_II_2020!CA_gross_prod_oil+KLL_II_2020!CA_FP_lpg_nom*KLL_II_2020!CA_gross_prod_lpg)/(KLL_II_2020!CA_gross_prod_oil+KLL_II_2020!CA_gross_prod_lpg)),0)</f>
        <v>1.0232665295414938</v>
      </c>
      <c r="N557" s="49">
        <f ca="1">IFERROR((N316)/((KLL_II_2020!CA_FP_oil_nom*KLL_II_2020!CA_gross_prod_oil+KLL_II_2020!CA_FP_lpg_nom*KLL_II_2020!CA_gross_prod_lpg)/(KLL_II_2020!CA_gross_prod_oil+KLL_II_2020!CA_gross_prod_lpg)),0)</f>
        <v>0.38918106348903109</v>
      </c>
      <c r="O557" s="49">
        <f ca="1">IFERROR((O316)/((KLL_II_2020!CA_FP_oil_nom*KLL_II_2020!CA_gross_prod_oil+KLL_II_2020!CA_FP_lpg_nom*KLL_II_2020!CA_gross_prod_lpg)/(KLL_II_2020!CA_gross_prod_oil+KLL_II_2020!CA_gross_prod_lpg)),0)</f>
        <v>8.8155019915355223E-2</v>
      </c>
      <c r="P557" s="49">
        <f ca="1">IFERROR((P316)/((KLL_II_2020!CA_FP_oil_nom*KLL_II_2020!CA_gross_prod_oil+KLL_II_2020!CA_FP_lpg_nom*KLL_II_2020!CA_gross_prod_lpg)/(KLL_II_2020!CA_gross_prod_oil+KLL_II_2020!CA_gross_prod_lpg)),0)</f>
        <v>0.44181706612672145</v>
      </c>
      <c r="Q557" s="49">
        <f ca="1">IFERROR((Q316)/((KLL_II_2020!CA_FP_oil_nom*KLL_II_2020!CA_gross_prod_oil+KLL_II_2020!CA_FP_lpg_nom*KLL_II_2020!CA_gross_prod_lpg)/(KLL_II_2020!CA_gross_prod_oil+KLL_II_2020!CA_gross_prod_lpg)),0)</f>
        <v>0.72642891357520878</v>
      </c>
      <c r="R557" s="49">
        <f ca="1">IFERROR((R316)/((KLL_II_2020!CA_FP_oil_nom*KLL_II_2020!CA_gross_prod_oil+KLL_II_2020!CA_FP_lpg_nom*KLL_II_2020!CA_gross_prod_lpg)/(KLL_II_2020!CA_gross_prod_oil+KLL_II_2020!CA_gross_prod_lpg)),0)</f>
        <v>0.6673016293301629</v>
      </c>
      <c r="S557" s="49">
        <f ca="1">IFERROR((S316)/((KLL_II_2020!CA_FP_oil_nom*KLL_II_2020!CA_gross_prod_oil+KLL_II_2020!CA_FP_lpg_nom*KLL_II_2020!CA_gross_prod_lpg)/(KLL_II_2020!CA_gross_prod_oil+KLL_II_2020!CA_gross_prod_lpg)),0)</f>
        <v>0</v>
      </c>
      <c r="T557" s="49">
        <f ca="1">IFERROR((T316)/((KLL_II_2020!CA_FP_oil_nom*KLL_II_2020!CA_gross_prod_oil+KLL_II_2020!CA_FP_lpg_nom*KLL_II_2020!CA_gross_prod_lpg)/(KLL_II_2020!CA_gross_prod_oil+KLL_II_2020!CA_gross_prod_lpg)),0)</f>
        <v>0.34880860632768063</v>
      </c>
      <c r="U557" s="49">
        <f ca="1">IFERROR((U316)/((KLL_II_2020!CA_FP_oil_nom*KLL_II_2020!CA_gross_prod_oil+KLL_II_2020!CA_FP_lpg_nom*KLL_II_2020!CA_gross_prod_lpg)/(KLL_II_2020!CA_gross_prod_oil+KLL_II_2020!CA_gross_prod_lpg)),0)</f>
        <v>0.37741621407300008</v>
      </c>
      <c r="V557" s="49">
        <f ca="1">IFERROR((V316)/((KLL_II_2020!CA_FP_oil_nom*KLL_II_2020!CA_gross_prod_oil+KLL_II_2020!CA_FP_lpg_nom*KLL_II_2020!CA_gross_prod_lpg)/(KLL_II_2020!CA_gross_prod_oil+KLL_II_2020!CA_gross_prod_lpg)),0)</f>
        <v>0.35099707908789007</v>
      </c>
      <c r="W557" s="49">
        <f ca="1">IFERROR((W316)/((KLL_II_2020!CA_FP_oil_nom*KLL_II_2020!CA_gross_prod_oil+KLL_II_2020!CA_FP_lpg_nom*KLL_II_2020!CA_gross_prod_lpg)/(KLL_II_2020!CA_gross_prod_oil+KLL_II_2020!CA_gross_prod_lpg)),0)</f>
        <v>0.32642728355173761</v>
      </c>
      <c r="X557" s="49">
        <f ca="1">IFERROR((X316)/((KLL_II_2020!CA_FP_oil_nom*KLL_II_2020!CA_gross_prod_oil+KLL_II_2020!CA_FP_lpg_nom*KLL_II_2020!CA_gross_prod_lpg)/(KLL_II_2020!CA_gross_prod_oil+KLL_II_2020!CA_gross_prod_lpg)),0)</f>
        <v>0.30357737370311605</v>
      </c>
      <c r="Y557" s="49">
        <f ca="1">IFERROR((Y316)/((KLL_II_2020!CA_FP_oil_nom*KLL_II_2020!CA_gross_prod_oil+KLL_II_2020!CA_FP_lpg_nom*KLL_II_2020!CA_gross_prod_lpg)/(KLL_II_2020!CA_gross_prod_oil+KLL_II_2020!CA_gross_prod_lpg)),0)</f>
        <v>0</v>
      </c>
      <c r="Z557" s="49">
        <f ca="1">IFERROR((Z316)/((KLL_II_2020!CA_FP_oil_nom*KLL_II_2020!CA_gross_prod_oil+KLL_II_2020!CA_FP_lpg_nom*KLL_II_2020!CA_gross_prod_lpg)/(KLL_II_2020!CA_gross_prod_oil+KLL_II_2020!CA_gross_prod_lpg)),0)</f>
        <v>0</v>
      </c>
      <c r="AA557" s="49">
        <f ca="1">IFERROR((AA316)/((KLL_II_2020!CA_FP_oil_nom*KLL_II_2020!CA_gross_prod_oil+KLL_II_2020!CA_FP_lpg_nom*KLL_II_2020!CA_gross_prod_lpg)/(KLL_II_2020!CA_gross_prod_oil+KLL_II_2020!CA_gross_prod_lpg)),0)</f>
        <v>0</v>
      </c>
      <c r="AB557" s="49">
        <f ca="1">IFERROR((AB316)/((KLL_II_2020!CA_FP_oil_nom*KLL_II_2020!CA_gross_prod_oil+KLL_II_2020!CA_FP_lpg_nom*KLL_II_2020!CA_gross_prod_lpg)/(KLL_II_2020!CA_gross_prod_oil+KLL_II_2020!CA_gross_prod_lpg)),0)</f>
        <v>0</v>
      </c>
      <c r="AC557" s="49">
        <f ca="1">IFERROR((AC316)/((KLL_II_2020!CA_FP_oil_nom*KLL_II_2020!CA_gross_prod_oil+KLL_II_2020!CA_FP_lpg_nom*KLL_II_2020!CA_gross_prod_lpg)/(KLL_II_2020!CA_gross_prod_oil+KLL_II_2020!CA_gross_prod_lpg)),0)</f>
        <v>0</v>
      </c>
      <c r="AD557" s="49">
        <f ca="1">IFERROR((AD316)/((KLL_II_2020!CA_FP_oil_nom*KLL_II_2020!CA_gross_prod_oil+KLL_II_2020!CA_FP_lpg_nom*KLL_II_2020!CA_gross_prod_lpg)/(KLL_II_2020!CA_gross_prod_oil+KLL_II_2020!CA_gross_prod_lpg)),0)</f>
        <v>0</v>
      </c>
      <c r="AE557" s="49">
        <f ca="1">IFERROR((AE316)/((KLL_II_2020!CA_FP_oil_nom*KLL_II_2020!CA_gross_prod_oil+KLL_II_2020!CA_FP_lpg_nom*KLL_II_2020!CA_gross_prod_lpg)/(KLL_II_2020!CA_gross_prod_oil+KLL_II_2020!CA_gross_prod_lpg)),0)</f>
        <v>0</v>
      </c>
      <c r="AF557" s="49">
        <f ca="1">IFERROR((AF316)/((KLL_II_2020!CA_FP_oil_nom*KLL_II_2020!CA_gross_prod_oil+KLL_II_2020!CA_FP_lpg_nom*KLL_II_2020!CA_gross_prod_lpg)/(KLL_II_2020!CA_gross_prod_oil+KLL_II_2020!CA_gross_prod_lpg)),0)</f>
        <v>0</v>
      </c>
      <c r="AG557" s="49">
        <f ca="1">IFERROR((AG316)/((KLL_II_2020!CA_FP_oil_nom*KLL_II_2020!CA_gross_prod_oil+KLL_II_2020!CA_FP_lpg_nom*KLL_II_2020!CA_gross_prod_lpg)/(KLL_II_2020!CA_gross_prod_oil+KLL_II_2020!CA_gross_prod_lpg)),0)</f>
        <v>0</v>
      </c>
      <c r="AH557" s="49">
        <f ca="1">IFERROR((AH316)/((KLL_II_2020!CA_FP_oil_nom*KLL_II_2020!CA_gross_prod_oil+KLL_II_2020!CA_FP_lpg_nom*KLL_II_2020!CA_gross_prod_lpg)/(KLL_II_2020!CA_gross_prod_oil+KLL_II_2020!CA_gross_prod_lpg)),0)</f>
        <v>0</v>
      </c>
      <c r="AI557" s="49">
        <f ca="1">IFERROR((AI316)/((KLL_II_2020!CA_FP_oil_nom*KLL_II_2020!CA_gross_prod_oil+KLL_II_2020!CA_FP_lpg_nom*KLL_II_2020!CA_gross_prod_lpg)/(KLL_II_2020!CA_gross_prod_oil+KLL_II_2020!CA_gross_prod_lpg)),0)</f>
        <v>0</v>
      </c>
      <c r="AJ557" s="49">
        <f ca="1">IFERROR((AJ316)/((KLL_II_2020!CA_FP_oil_nom*KLL_II_2020!CA_gross_prod_oil+KLL_II_2020!CA_FP_lpg_nom*KLL_II_2020!CA_gross_prod_lpg)/(KLL_II_2020!CA_gross_prod_oil+KLL_II_2020!CA_gross_prod_lpg)),0)</f>
        <v>0</v>
      </c>
      <c r="AK557" s="49">
        <f ca="1">IFERROR((AK316)/((KLL_II_2020!CA_FP_oil_nom*KLL_II_2020!CA_gross_prod_oil+KLL_II_2020!CA_FP_lpg_nom*KLL_II_2020!CA_gross_prod_lpg)/(KLL_II_2020!CA_gross_prod_oil+KLL_II_2020!CA_gross_prod_lpg)),0)</f>
        <v>0</v>
      </c>
      <c r="AL557" s="49">
        <f ca="1">IFERROR((AL316)/((KLL_II_2020!CA_FP_oil_nom*KLL_II_2020!CA_gross_prod_oil+KLL_II_2020!CA_FP_lpg_nom*KLL_II_2020!CA_gross_prod_lpg)/(KLL_II_2020!CA_gross_prod_oil+KLL_II_2020!CA_gross_prod_lpg)),0)</f>
        <v>0</v>
      </c>
      <c r="AM557" s="49">
        <f ca="1">IFERROR((AM316)/((KLL_II_2020!CA_FP_oil_nom*KLL_II_2020!CA_gross_prod_oil+KLL_II_2020!CA_FP_lpg_nom*KLL_II_2020!CA_gross_prod_lpg)/(KLL_II_2020!CA_gross_prod_oil+KLL_II_2020!CA_gross_prod_lpg)),0)</f>
        <v>0</v>
      </c>
      <c r="AN557" s="49">
        <f ca="1">IFERROR((AN316)/((KLL_II_2020!CA_FP_oil_nom*KLL_II_2020!CA_gross_prod_oil+KLL_II_2020!CA_FP_lpg_nom*KLL_II_2020!CA_gross_prod_lpg)/(KLL_II_2020!CA_gross_prod_oil+KLL_II_2020!CA_gross_prod_lpg)),0)</f>
        <v>0</v>
      </c>
      <c r="AO557" s="49">
        <f ca="1">IFERROR((AO316)/((KLL_II_2020!CA_FP_oil_nom*KLL_II_2020!CA_gross_prod_oil+KLL_II_2020!CA_FP_lpg_nom*KLL_II_2020!CA_gross_prod_lpg)/(KLL_II_2020!CA_gross_prod_oil+KLL_II_2020!CA_gross_prod_lpg)),0)</f>
        <v>0</v>
      </c>
      <c r="AP557" s="49">
        <f ca="1">IFERROR((AP316)/((KLL_II_2020!CA_FP_oil_nom*KLL_II_2020!CA_gross_prod_oil+KLL_II_2020!CA_FP_lpg_nom*KLL_II_2020!CA_gross_prod_lpg)/(KLL_II_2020!CA_gross_prod_oil+KLL_II_2020!CA_gross_prod_lpg)),0)</f>
        <v>0</v>
      </c>
      <c r="AQ557" s="49">
        <f ca="1">IFERROR((AQ316)/((KLL_II_2020!CA_FP_oil_nom*KLL_II_2020!CA_gross_prod_oil+KLL_II_2020!CA_FP_lpg_nom*KLL_II_2020!CA_gross_prod_lpg)/(KLL_II_2020!CA_gross_prod_oil+KLL_II_2020!CA_gross_prod_lpg)),0)</f>
        <v>0</v>
      </c>
      <c r="AR557" s="49">
        <f ca="1">IFERROR((AR316)/((KLL_II_2020!CA_FP_oil_nom*KLL_II_2020!CA_gross_prod_oil+KLL_II_2020!CA_FP_lpg_nom*KLL_II_2020!CA_gross_prod_lpg)/(KLL_II_2020!CA_gross_prod_oil+KLL_II_2020!CA_gross_prod_lpg)),0)</f>
        <v>0</v>
      </c>
      <c r="AS557" s="49">
        <f ca="1">IFERROR((AS316)/((KLL_II_2020!CA_FP_oil_nom*KLL_II_2020!CA_gross_prod_oil+KLL_II_2020!CA_FP_lpg_nom*KLL_II_2020!CA_gross_prod_lpg)/(KLL_II_2020!CA_gross_prod_oil+KLL_II_2020!CA_gross_prod_lpg)),0)</f>
        <v>0</v>
      </c>
      <c r="AT557" s="49">
        <f ca="1">IFERROR((AT316)/((KLL_II_2020!CA_FP_oil_nom*KLL_II_2020!CA_gross_prod_oil+KLL_II_2020!CA_FP_lpg_nom*KLL_II_2020!CA_gross_prod_lpg)/(KLL_II_2020!CA_gross_prod_oil+KLL_II_2020!CA_gross_prod_lpg)),0)</f>
        <v>0</v>
      </c>
      <c r="AU557" s="49">
        <f ca="1">IFERROR((AU316)/((KLL_II_2020!CA_FP_oil_nom*KLL_II_2020!CA_gross_prod_oil+KLL_II_2020!CA_FP_lpg_nom*KLL_II_2020!CA_gross_prod_lpg)/(KLL_II_2020!CA_gross_prod_oil+KLL_II_2020!CA_gross_prod_lpg)),0)</f>
        <v>0</v>
      </c>
      <c r="AV557" s="49">
        <f ca="1">IFERROR((AV316)/((KLL_II_2020!CA_FP_oil_nom*KLL_II_2020!CA_gross_prod_oil+KLL_II_2020!CA_FP_lpg_nom*KLL_II_2020!CA_gross_prod_lpg)/(KLL_II_2020!CA_gross_prod_oil+KLL_II_2020!CA_gross_prod_lpg)),0)</f>
        <v>0</v>
      </c>
      <c r="AW557" s="49">
        <f ca="1">IFERROR((AW316)/((KLL_II_2020!CA_FP_oil_nom*KLL_II_2020!CA_gross_prod_oil+KLL_II_2020!CA_FP_lpg_nom*KLL_II_2020!CA_gross_prod_lpg)/(KLL_II_2020!CA_gross_prod_oil+KLL_II_2020!CA_gross_prod_lpg)),0)</f>
        <v>0</v>
      </c>
      <c r="AX557" s="49">
        <f ca="1">IFERROR((AX316)/((KLL_II_2020!CA_FP_oil_nom*KLL_II_2020!CA_gross_prod_oil+KLL_II_2020!CA_FP_lpg_nom*KLL_II_2020!CA_gross_prod_lpg)/(KLL_II_2020!CA_gross_prod_oil+KLL_II_2020!CA_gross_prod_lpg)),0)</f>
        <v>0</v>
      </c>
      <c r="AY557" s="49">
        <f ca="1">IFERROR((AY316)/((KLL_II_2020!CA_FP_oil_nom*KLL_II_2020!CA_gross_prod_oil+KLL_II_2020!CA_FP_lpg_nom*KLL_II_2020!CA_gross_prod_lpg)/(KLL_II_2020!CA_gross_prod_oil+KLL_II_2020!CA_gross_prod_lpg)),0)</f>
        <v>0</v>
      </c>
      <c r="AZ557" s="49">
        <f ca="1">IFERROR((AZ316)/((KLL_II_2020!CA_FP_oil_nom*KLL_II_2020!CA_gross_prod_oil+KLL_II_2020!CA_FP_lpg_nom*KLL_II_2020!CA_gross_prod_lpg)/(KLL_II_2020!CA_gross_prod_oil+KLL_II_2020!CA_gross_prod_lpg)),0)</f>
        <v>0</v>
      </c>
      <c r="BA557" s="49">
        <f ca="1">IFERROR((BA316)/((KLL_II_2020!CA_FP_oil_nom*KLL_II_2020!CA_gross_prod_oil+KLL_II_2020!CA_FP_lpg_nom*KLL_II_2020!CA_gross_prod_lpg)/(KLL_II_2020!CA_gross_prod_oil+KLL_II_2020!CA_gross_prod_lpg)),0)</f>
        <v>0</v>
      </c>
      <c r="BB557" s="49">
        <f ca="1">IFERROR((BB316)/((KLL_II_2020!CA_FP_oil_nom*KLL_II_2020!CA_gross_prod_oil+KLL_II_2020!CA_FP_lpg_nom*KLL_II_2020!CA_gross_prod_lpg)/(KLL_II_2020!CA_gross_prod_oil+KLL_II_2020!CA_gross_prod_lpg)),0)</f>
        <v>0</v>
      </c>
      <c r="BC557" s="49">
        <f ca="1">IFERROR((BC316)/((KLL_II_2020!CA_FP_oil_nom*KLL_II_2020!CA_gross_prod_oil+KLL_II_2020!CA_FP_lpg_nom*KLL_II_2020!CA_gross_prod_lpg)/(KLL_II_2020!CA_gross_prod_oil+KLL_II_2020!CA_gross_prod_lpg)),0)</f>
        <v>0</v>
      </c>
      <c r="BD557" s="49">
        <f ca="1">IFERROR((BD316)/((KLL_II_2020!CA_FP_oil_nom*KLL_II_2020!CA_gross_prod_oil+KLL_II_2020!CA_FP_lpg_nom*KLL_II_2020!CA_gross_prod_lpg)/(KLL_II_2020!CA_gross_prod_oil+KLL_II_2020!CA_gross_prod_lpg)),0)</f>
        <v>0</v>
      </c>
      <c r="BE557" s="49">
        <f ca="1">IFERROR((BE316)/((KLL_II_2020!CA_FP_oil_nom*KLL_II_2020!CA_gross_prod_oil+KLL_II_2020!CA_FP_lpg_nom*KLL_II_2020!CA_gross_prod_lpg)/(KLL_II_2020!CA_gross_prod_oil+KLL_II_2020!CA_gross_prod_lpg)),0)</f>
        <v>0</v>
      </c>
      <c r="BF557" s="49">
        <f ca="1">IFERROR((BF316)/((KLL_II_2020!CA_FP_oil_nom*KLL_II_2020!CA_gross_prod_oil+KLL_II_2020!CA_FP_lpg_nom*KLL_II_2020!CA_gross_prod_lpg)/(KLL_II_2020!CA_gross_prod_oil+KLL_II_2020!CA_gross_prod_lpg)),0)</f>
        <v>0</v>
      </c>
      <c r="BG557" s="49">
        <f ca="1">IFERROR((BG316)/((KLL_II_2020!CA_FP_oil_nom*KLL_II_2020!CA_gross_prod_oil+KLL_II_2020!CA_FP_lpg_nom*KLL_II_2020!CA_gross_prod_lpg)/(KLL_II_2020!CA_gross_prod_oil+KLL_II_2020!CA_gross_prod_lpg)),0)</f>
        <v>0</v>
      </c>
      <c r="BH557" s="49">
        <f ca="1">IFERROR((BH316)/((KLL_II_2020!CA_FP_oil_nom*KLL_II_2020!CA_gross_prod_oil+KLL_II_2020!CA_FP_lpg_nom*KLL_II_2020!CA_gross_prod_lpg)/(KLL_II_2020!CA_gross_prod_oil+KLL_II_2020!CA_gross_prod_lpg)),0)</f>
        <v>0</v>
      </c>
      <c r="BI557" s="49">
        <f ca="1">IFERROR((BI316)/((KLL_II_2020!CA_FP_oil_nom*KLL_II_2020!CA_gross_prod_oil+KLL_II_2020!CA_FP_lpg_nom*KLL_II_2020!CA_gross_prod_lpg)/(KLL_II_2020!CA_gross_prod_oil+KLL_II_2020!CA_gross_prod_lpg)),0)</f>
        <v>0</v>
      </c>
      <c r="BJ557" s="49">
        <f ca="1">IFERROR((BJ316)/((KLL_II_2020!CA_FP_oil_nom*KLL_II_2020!CA_gross_prod_oil+KLL_II_2020!CA_FP_lpg_nom*KLL_II_2020!CA_gross_prod_lpg)/(KLL_II_2020!CA_gross_prod_oil+KLL_II_2020!CA_gross_prod_lpg)),0)</f>
        <v>0</v>
      </c>
      <c r="BK557" s="49">
        <f ca="1">IFERROR((BK316)/((KLL_II_2020!CA_FP_oil_nom*KLL_II_2020!CA_gross_prod_oil+KLL_II_2020!CA_FP_lpg_nom*KLL_II_2020!CA_gross_prod_lpg)/(KLL_II_2020!CA_gross_prod_oil+KLL_II_2020!CA_gross_prod_lpg)),0)</f>
        <v>0</v>
      </c>
      <c r="BL557" s="49">
        <f ca="1">IFERROR((BL316)/((KLL_II_2020!CA_FP_oil_nom*KLL_II_2020!CA_gross_prod_oil+KLL_II_2020!CA_FP_lpg_nom*KLL_II_2020!CA_gross_prod_lpg)/(KLL_II_2020!CA_gross_prod_oil+KLL_II_2020!CA_gross_prod_lpg)),0)</f>
        <v>0</v>
      </c>
      <c r="BM557" s="49">
        <f ca="1">IFERROR((BM316)/((KLL_II_2020!CA_FP_oil_nom*KLL_II_2020!CA_gross_prod_oil+KLL_II_2020!CA_FP_lpg_nom*KLL_II_2020!CA_gross_prod_lpg)/(KLL_II_2020!CA_gross_prod_oil+KLL_II_2020!CA_gross_prod_lpg)),0)</f>
        <v>0</v>
      </c>
      <c r="BN557" s="49">
        <f ca="1">IFERROR((BN316)/((KLL_II_2020!CA_FP_oil_nom*KLL_II_2020!CA_gross_prod_oil+KLL_II_2020!CA_FP_lpg_nom*KLL_II_2020!CA_gross_prod_lpg)/(KLL_II_2020!CA_gross_prod_oil+KLL_II_2020!CA_gross_prod_lpg)),0)</f>
        <v>0</v>
      </c>
      <c r="BO557" s="49">
        <f ca="1">IFERROR((BO316)/((KLL_II_2020!CA_FP_oil_nom*KLL_II_2020!CA_gross_prod_oil+KLL_II_2020!CA_FP_lpg_nom*KLL_II_2020!CA_gross_prod_lpg)/(KLL_II_2020!CA_gross_prod_oil+KLL_II_2020!CA_gross_prod_lpg)),0)</f>
        <v>0</v>
      </c>
      <c r="BP557" s="49">
        <f ca="1">IFERROR((BP316)/((KLL_II_2020!CA_FP_oil_nom*KLL_II_2020!CA_gross_prod_oil+KLL_II_2020!CA_FP_lpg_nom*KLL_II_2020!CA_gross_prod_lpg)/(KLL_II_2020!CA_gross_prod_oil+KLL_II_2020!CA_gross_prod_lpg)),0)</f>
        <v>0</v>
      </c>
      <c r="BQ557" s="49">
        <f ca="1">IFERROR((BQ316)/((KLL_II_2020!CA_FP_oil_nom*KLL_II_2020!CA_gross_prod_oil+KLL_II_2020!CA_FP_lpg_nom*KLL_II_2020!CA_gross_prod_lpg)/(KLL_II_2020!CA_gross_prod_oil+KLL_II_2020!CA_gross_prod_lpg)),0)</f>
        <v>0</v>
      </c>
      <c r="BR557" s="49">
        <f ca="1">IFERROR((BR316)/((KLL_II_2020!CA_FP_oil_nom*KLL_II_2020!CA_gross_prod_oil+KLL_II_2020!CA_FP_lpg_nom*KLL_II_2020!CA_gross_prod_lpg)/(KLL_II_2020!CA_gross_prod_oil+KLL_II_2020!CA_gross_prod_lpg)),0)</f>
        <v>0</v>
      </c>
      <c r="BS557" s="49">
        <f ca="1">IFERROR((BS316)/((KLL_II_2020!CA_FP_oil_nom*KLL_II_2020!CA_gross_prod_oil+KLL_II_2020!CA_FP_lpg_nom*KLL_II_2020!CA_gross_prod_lpg)/(KLL_II_2020!CA_gross_prod_oil+KLL_II_2020!CA_gross_prod_lpg)),0)</f>
        <v>0</v>
      </c>
    </row>
    <row r="558" spans="3:71" outlineLevel="1" x14ac:dyDescent="0.2">
      <c r="D558" t="str">
        <f>HM_ZB_Nsoko!D571</f>
        <v>Profit Oil Contracteur</v>
      </c>
      <c r="I558" s="30">
        <f t="shared" ca="1" si="145"/>
        <v>9.5520757547090298</v>
      </c>
      <c r="J558" s="26" t="s">
        <v>692</v>
      </c>
      <c r="L558" s="49">
        <f ca="1">IFERROR((L317)/((KLL_II_2020!CA_FP_oil_nom*KLL_II_2020!CA_gross_prod_oil+KLL_II_2020!CA_FP_lpg_nom*KLL_II_2020!CA_gross_prod_lpg+KLL_II_2020!CA_FP_gas_nom*KLL_II_2020!CA_gross_prod_gas)/KLL_II_2020!CA_gross_prod_Total),0)</f>
        <v>0.37388779575656544</v>
      </c>
      <c r="M558" s="49">
        <f ca="1">IFERROR((M317)/((KLL_II_2020!CA_FP_oil_nom*KLL_II_2020!CA_gross_prod_oil+KLL_II_2020!CA_FP_lpg_nom*KLL_II_2020!CA_gross_prod_lpg+KLL_II_2020!CA_FP_gas_nom*KLL_II_2020!CA_gross_prod_gas)/KLL_II_2020!CA_gross_prod_Total),0)</f>
        <v>0.31512413411185058</v>
      </c>
      <c r="N558" s="49">
        <f ca="1">IFERROR((N317)/((KLL_II_2020!CA_FP_oil_nom*KLL_II_2020!CA_gross_prod_oil+KLL_II_2020!CA_FP_lpg_nom*KLL_II_2020!CA_gross_prod_lpg+KLL_II_2020!CA_FP_gas_nom*KLL_II_2020!CA_gross_prod_gas)/KLL_II_2020!CA_gross_prod_Total),0)</f>
        <v>1.0580023366392579</v>
      </c>
      <c r="O558" s="49">
        <f ca="1">IFERROR((O317)/((KLL_II_2020!CA_FP_oil_nom*KLL_II_2020!CA_gross_prod_oil+KLL_II_2020!CA_FP_lpg_nom*KLL_II_2020!CA_gross_prod_lpg+KLL_II_2020!CA_FP_gas_nom*KLL_II_2020!CA_gross_prod_gas)/KLL_II_2020!CA_gross_prod_Total),0)</f>
        <v>1.3377050798547239</v>
      </c>
      <c r="P558" s="49">
        <f ca="1">IFERROR((P317)/((KLL_II_2020!CA_FP_oil_nom*KLL_II_2020!CA_gross_prod_oil+KLL_II_2020!CA_FP_lpg_nom*KLL_II_2020!CA_gross_prod_lpg+KLL_II_2020!CA_FP_gas_nom*KLL_II_2020!CA_gross_prod_gas)/KLL_II_2020!CA_gross_prod_Total),0)</f>
        <v>0.91749713727771665</v>
      </c>
      <c r="Q558" s="49">
        <f ca="1">IFERROR((Q317)/((KLL_II_2020!CA_FP_oil_nom*KLL_II_2020!CA_gross_prod_oil+KLL_II_2020!CA_FP_lpg_nom*KLL_II_2020!CA_gross_prod_lpg+KLL_II_2020!CA_FP_gas_nom*KLL_II_2020!CA_gross_prod_gas)/KLL_II_2020!CA_gross_prod_Total),0)</f>
        <v>0.79083030011756872</v>
      </c>
      <c r="R558" s="49">
        <f ca="1">IFERROR((R317)/((KLL_II_2020!CA_FP_oil_nom*KLL_II_2020!CA_gross_prod_oil+KLL_II_2020!CA_FP_lpg_nom*KLL_II_2020!CA_gross_prod_lpg+KLL_II_2020!CA_FP_gas_nom*KLL_II_2020!CA_gross_prod_gas)/KLL_II_2020!CA_gross_prod_Total),0)</f>
        <v>0.883420907093038</v>
      </c>
      <c r="S558" s="49">
        <f ca="1">IFERROR((S317)/((KLL_II_2020!CA_FP_oil_nom*KLL_II_2020!CA_gross_prod_oil+KLL_II_2020!CA_FP_lpg_nom*KLL_II_2020!CA_gross_prod_lpg+KLL_II_2020!CA_FP_gas_nom*KLL_II_2020!CA_gross_prod_gas)/KLL_II_2020!CA_gross_prod_Total),0)</f>
        <v>0.97350750000000019</v>
      </c>
      <c r="T558" s="49">
        <f ca="1">IFERROR((T317)/((KLL_II_2020!CA_FP_oil_nom*KLL_II_2020!CA_gross_prod_oil+KLL_II_2020!CA_FP_lpg_nom*KLL_II_2020!CA_gross_prod_lpg+KLL_II_2020!CA_FP_gas_nom*KLL_II_2020!CA_gross_prod_gas)/KLL_II_2020!CA_gross_prod_Total),0)</f>
        <v>0.69414569089154254</v>
      </c>
      <c r="U558" s="49">
        <f ca="1">IFERROR((U317)/((KLL_II_2020!CA_FP_oil_nom*KLL_II_2020!CA_gross_prod_oil+KLL_II_2020!CA_FP_lpg_nom*KLL_II_2020!CA_gross_prod_lpg+KLL_II_2020!CA_FP_gas_nom*KLL_II_2020!CA_gross_prod_gas)/KLL_II_2020!CA_gross_prod_Total),0)</f>
        <v>0.61344740677499987</v>
      </c>
      <c r="V558" s="49">
        <f ca="1">IFERROR((V317)/((KLL_II_2020!CA_FP_oil_nom*KLL_II_2020!CA_gross_prod_oil+KLL_II_2020!CA_FP_lpg_nom*KLL_II_2020!CA_gross_prod_lpg+KLL_II_2020!CA_FP_gas_nom*KLL_II_2020!CA_gross_prod_gas)/KLL_II_2020!CA_gross_prod_Total),0)</f>
        <v>0.57050608830074978</v>
      </c>
      <c r="W558" s="49">
        <f ca="1">IFERROR((W317)/((KLL_II_2020!CA_FP_oil_nom*KLL_II_2020!CA_gross_prod_oil+KLL_II_2020!CA_FP_lpg_nom*KLL_II_2020!CA_gross_prod_lpg+KLL_II_2020!CA_FP_gas_nom*KLL_II_2020!CA_gross_prod_gas)/KLL_II_2020!CA_gross_prod_Total),0)</f>
        <v>0.53057066211969728</v>
      </c>
      <c r="X558" s="49">
        <f ca="1">IFERROR((X317)/((KLL_II_2020!CA_FP_oil_nom*KLL_II_2020!CA_gross_prod_oil+KLL_II_2020!CA_FP_lpg_nom*KLL_II_2020!CA_gross_prod_lpg+KLL_II_2020!CA_FP_gas_nom*KLL_II_2020!CA_gross_prod_gas)/KLL_II_2020!CA_gross_prod_Total),0)</f>
        <v>0.49343071577131864</v>
      </c>
      <c r="Y558" s="49">
        <f ca="1">IFERROR((Y317)/((KLL_II_2020!CA_FP_oil_nom*KLL_II_2020!CA_gross_prod_oil+KLL_II_2020!CA_FP_lpg_nom*KLL_II_2020!CA_gross_prod_lpg+KLL_II_2020!CA_FP_gas_nom*KLL_II_2020!CA_gross_prod_gas)/KLL_II_2020!CA_gross_prod_Total),0)</f>
        <v>0</v>
      </c>
      <c r="Z558" s="49">
        <f ca="1">IFERROR((Z317)/((KLL_II_2020!CA_FP_oil_nom*KLL_II_2020!CA_gross_prod_oil+KLL_II_2020!CA_FP_lpg_nom*KLL_II_2020!CA_gross_prod_lpg+KLL_II_2020!CA_FP_gas_nom*KLL_II_2020!CA_gross_prod_gas)/KLL_II_2020!CA_gross_prod_Total),0)</f>
        <v>0</v>
      </c>
      <c r="AA558" s="49">
        <f ca="1">IFERROR((AA317)/((KLL_II_2020!CA_FP_oil_nom*KLL_II_2020!CA_gross_prod_oil+KLL_II_2020!CA_FP_lpg_nom*KLL_II_2020!CA_gross_prod_lpg+KLL_II_2020!CA_FP_gas_nom*KLL_II_2020!CA_gross_prod_gas)/KLL_II_2020!CA_gross_prod_Total),0)</f>
        <v>0</v>
      </c>
      <c r="AB558" s="49">
        <f ca="1">IFERROR((AB317)/((KLL_II_2020!CA_FP_oil_nom*KLL_II_2020!CA_gross_prod_oil+KLL_II_2020!CA_FP_lpg_nom*KLL_II_2020!CA_gross_prod_lpg+KLL_II_2020!CA_FP_gas_nom*KLL_II_2020!CA_gross_prod_gas)/KLL_II_2020!CA_gross_prod_Total),0)</f>
        <v>0</v>
      </c>
      <c r="AC558" s="49">
        <f ca="1">IFERROR((AC317)/((KLL_II_2020!CA_FP_oil_nom*KLL_II_2020!CA_gross_prod_oil+KLL_II_2020!CA_FP_lpg_nom*KLL_II_2020!CA_gross_prod_lpg+KLL_II_2020!CA_FP_gas_nom*KLL_II_2020!CA_gross_prod_gas)/KLL_II_2020!CA_gross_prod_Total),0)</f>
        <v>0</v>
      </c>
      <c r="AD558" s="49">
        <f ca="1">IFERROR((AD317)/((KLL_II_2020!CA_FP_oil_nom*KLL_II_2020!CA_gross_prod_oil+KLL_II_2020!CA_FP_lpg_nom*KLL_II_2020!CA_gross_prod_lpg+KLL_II_2020!CA_FP_gas_nom*KLL_II_2020!CA_gross_prod_gas)/KLL_II_2020!CA_gross_prod_Total),0)</f>
        <v>0</v>
      </c>
      <c r="AE558" s="49">
        <f ca="1">IFERROR((AE317)/((KLL_II_2020!CA_FP_oil_nom*KLL_II_2020!CA_gross_prod_oil+KLL_II_2020!CA_FP_lpg_nom*KLL_II_2020!CA_gross_prod_lpg+KLL_II_2020!CA_FP_gas_nom*KLL_II_2020!CA_gross_prod_gas)/KLL_II_2020!CA_gross_prod_Total),0)</f>
        <v>0</v>
      </c>
      <c r="AF558" s="49">
        <f ca="1">IFERROR((AF317)/((KLL_II_2020!CA_FP_oil_nom*KLL_II_2020!CA_gross_prod_oil+KLL_II_2020!CA_FP_lpg_nom*KLL_II_2020!CA_gross_prod_lpg+KLL_II_2020!CA_FP_gas_nom*KLL_II_2020!CA_gross_prod_gas)/KLL_II_2020!CA_gross_prod_Total),0)</f>
        <v>0</v>
      </c>
      <c r="AG558" s="49">
        <f ca="1">IFERROR((AG317)/((KLL_II_2020!CA_FP_oil_nom*KLL_II_2020!CA_gross_prod_oil+KLL_II_2020!CA_FP_lpg_nom*KLL_II_2020!CA_gross_prod_lpg+KLL_II_2020!CA_FP_gas_nom*KLL_II_2020!CA_gross_prod_gas)/KLL_II_2020!CA_gross_prod_Total),0)</f>
        <v>0</v>
      </c>
      <c r="AH558" s="49">
        <f ca="1">IFERROR((AH317)/((KLL_II_2020!CA_FP_oil_nom*KLL_II_2020!CA_gross_prod_oil+KLL_II_2020!CA_FP_lpg_nom*KLL_II_2020!CA_gross_prod_lpg+KLL_II_2020!CA_FP_gas_nom*KLL_II_2020!CA_gross_prod_gas)/KLL_II_2020!CA_gross_prod_Total),0)</f>
        <v>0</v>
      </c>
      <c r="AI558" s="49">
        <f ca="1">IFERROR((AI317)/((KLL_II_2020!CA_FP_oil_nom*KLL_II_2020!CA_gross_prod_oil+KLL_II_2020!CA_FP_lpg_nom*KLL_II_2020!CA_gross_prod_lpg+KLL_II_2020!CA_FP_gas_nom*KLL_II_2020!CA_gross_prod_gas)/KLL_II_2020!CA_gross_prod_Total),0)</f>
        <v>0</v>
      </c>
      <c r="AJ558" s="49">
        <f ca="1">IFERROR((AJ317)/((KLL_II_2020!CA_FP_oil_nom*KLL_II_2020!CA_gross_prod_oil+KLL_II_2020!CA_FP_lpg_nom*KLL_II_2020!CA_gross_prod_lpg+KLL_II_2020!CA_FP_gas_nom*KLL_II_2020!CA_gross_prod_gas)/KLL_II_2020!CA_gross_prod_Total),0)</f>
        <v>0</v>
      </c>
      <c r="AK558" s="49">
        <f ca="1">IFERROR((AK317)/((KLL_II_2020!CA_FP_oil_nom*KLL_II_2020!CA_gross_prod_oil+KLL_II_2020!CA_FP_lpg_nom*KLL_II_2020!CA_gross_prod_lpg+KLL_II_2020!CA_FP_gas_nom*KLL_II_2020!CA_gross_prod_gas)/KLL_II_2020!CA_gross_prod_Total),0)</f>
        <v>0</v>
      </c>
      <c r="AL558" s="49">
        <f ca="1">IFERROR((AL317)/((KLL_II_2020!CA_FP_oil_nom*KLL_II_2020!CA_gross_prod_oil+KLL_II_2020!CA_FP_lpg_nom*KLL_II_2020!CA_gross_prod_lpg+KLL_II_2020!CA_FP_gas_nom*KLL_II_2020!CA_gross_prod_gas)/KLL_II_2020!CA_gross_prod_Total),0)</f>
        <v>0</v>
      </c>
      <c r="AM558" s="49">
        <f ca="1">IFERROR((AM317)/((KLL_II_2020!CA_FP_oil_nom*KLL_II_2020!CA_gross_prod_oil+KLL_II_2020!CA_FP_lpg_nom*KLL_II_2020!CA_gross_prod_lpg+KLL_II_2020!CA_FP_gas_nom*KLL_II_2020!CA_gross_prod_gas)/KLL_II_2020!CA_gross_prod_Total),0)</f>
        <v>0</v>
      </c>
      <c r="AN558" s="49">
        <f ca="1">IFERROR((AN317)/((KLL_II_2020!CA_FP_oil_nom*KLL_II_2020!CA_gross_prod_oil+KLL_II_2020!CA_FP_lpg_nom*KLL_II_2020!CA_gross_prod_lpg+KLL_II_2020!CA_FP_gas_nom*KLL_II_2020!CA_gross_prod_gas)/KLL_II_2020!CA_gross_prod_Total),0)</f>
        <v>0</v>
      </c>
      <c r="AO558" s="49">
        <f ca="1">IFERROR((AO317)/((KLL_II_2020!CA_FP_oil_nom*KLL_II_2020!CA_gross_prod_oil+KLL_II_2020!CA_FP_lpg_nom*KLL_II_2020!CA_gross_prod_lpg+KLL_II_2020!CA_FP_gas_nom*KLL_II_2020!CA_gross_prod_gas)/KLL_II_2020!CA_gross_prod_Total),0)</f>
        <v>0</v>
      </c>
      <c r="AP558" s="49">
        <f ca="1">IFERROR((AP317)/((KLL_II_2020!CA_FP_oil_nom*KLL_II_2020!CA_gross_prod_oil+KLL_II_2020!CA_FP_lpg_nom*KLL_II_2020!CA_gross_prod_lpg+KLL_II_2020!CA_FP_gas_nom*KLL_II_2020!CA_gross_prod_gas)/KLL_II_2020!CA_gross_prod_Total),0)</f>
        <v>0</v>
      </c>
      <c r="AQ558" s="49">
        <f ca="1">IFERROR((AQ317)/((KLL_II_2020!CA_FP_oil_nom*KLL_II_2020!CA_gross_prod_oil+KLL_II_2020!CA_FP_lpg_nom*KLL_II_2020!CA_gross_prod_lpg+KLL_II_2020!CA_FP_gas_nom*KLL_II_2020!CA_gross_prod_gas)/KLL_II_2020!CA_gross_prod_Total),0)</f>
        <v>0</v>
      </c>
      <c r="AR558" s="49">
        <f ca="1">IFERROR((AR317)/((KLL_II_2020!CA_FP_oil_nom*KLL_II_2020!CA_gross_prod_oil+KLL_II_2020!CA_FP_lpg_nom*KLL_II_2020!CA_gross_prod_lpg+KLL_II_2020!CA_FP_gas_nom*KLL_II_2020!CA_gross_prod_gas)/KLL_II_2020!CA_gross_prod_Total),0)</f>
        <v>0</v>
      </c>
      <c r="AS558" s="49">
        <f ca="1">IFERROR((AS317)/((KLL_II_2020!CA_FP_oil_nom*KLL_II_2020!CA_gross_prod_oil+KLL_II_2020!CA_FP_lpg_nom*KLL_II_2020!CA_gross_prod_lpg+KLL_II_2020!CA_FP_gas_nom*KLL_II_2020!CA_gross_prod_gas)/KLL_II_2020!CA_gross_prod_Total),0)</f>
        <v>0</v>
      </c>
      <c r="AT558" s="49">
        <f ca="1">IFERROR((AT317)/((KLL_II_2020!CA_FP_oil_nom*KLL_II_2020!CA_gross_prod_oil+KLL_II_2020!CA_FP_lpg_nom*KLL_II_2020!CA_gross_prod_lpg+KLL_II_2020!CA_FP_gas_nom*KLL_II_2020!CA_gross_prod_gas)/KLL_II_2020!CA_gross_prod_Total),0)</f>
        <v>0</v>
      </c>
      <c r="AU558" s="49">
        <f ca="1">IFERROR((AU317)/((KLL_II_2020!CA_FP_oil_nom*KLL_II_2020!CA_gross_prod_oil+KLL_II_2020!CA_FP_lpg_nom*KLL_II_2020!CA_gross_prod_lpg+KLL_II_2020!CA_FP_gas_nom*KLL_II_2020!CA_gross_prod_gas)/KLL_II_2020!CA_gross_prod_Total),0)</f>
        <v>0</v>
      </c>
      <c r="AV558" s="49">
        <f ca="1">IFERROR((AV317)/((KLL_II_2020!CA_FP_oil_nom*KLL_II_2020!CA_gross_prod_oil+KLL_II_2020!CA_FP_lpg_nom*KLL_II_2020!CA_gross_prod_lpg+KLL_II_2020!CA_FP_gas_nom*KLL_II_2020!CA_gross_prod_gas)/KLL_II_2020!CA_gross_prod_Total),0)</f>
        <v>0</v>
      </c>
      <c r="AW558" s="49">
        <f ca="1">IFERROR((AW317)/((KLL_II_2020!CA_FP_oil_nom*KLL_II_2020!CA_gross_prod_oil+KLL_II_2020!CA_FP_lpg_nom*KLL_II_2020!CA_gross_prod_lpg+KLL_II_2020!CA_FP_gas_nom*KLL_II_2020!CA_gross_prod_gas)/KLL_II_2020!CA_gross_prod_Total),0)</f>
        <v>0</v>
      </c>
      <c r="AX558" s="49">
        <f ca="1">IFERROR((AX317)/((KLL_II_2020!CA_FP_oil_nom*KLL_II_2020!CA_gross_prod_oil+KLL_II_2020!CA_FP_lpg_nom*KLL_II_2020!CA_gross_prod_lpg+KLL_II_2020!CA_FP_gas_nom*KLL_II_2020!CA_gross_prod_gas)/KLL_II_2020!CA_gross_prod_Total),0)</f>
        <v>0</v>
      </c>
      <c r="AY558" s="49">
        <f ca="1">IFERROR((AY317)/((KLL_II_2020!CA_FP_oil_nom*KLL_II_2020!CA_gross_prod_oil+KLL_II_2020!CA_FP_lpg_nom*KLL_II_2020!CA_gross_prod_lpg+KLL_II_2020!CA_FP_gas_nom*KLL_II_2020!CA_gross_prod_gas)/KLL_II_2020!CA_gross_prod_Total),0)</f>
        <v>0</v>
      </c>
      <c r="AZ558" s="49">
        <f ca="1">IFERROR((AZ317)/((KLL_II_2020!CA_FP_oil_nom*KLL_II_2020!CA_gross_prod_oil+KLL_II_2020!CA_FP_lpg_nom*KLL_II_2020!CA_gross_prod_lpg+KLL_II_2020!CA_FP_gas_nom*KLL_II_2020!CA_gross_prod_gas)/KLL_II_2020!CA_gross_prod_Total),0)</f>
        <v>0</v>
      </c>
      <c r="BA558" s="49">
        <f ca="1">IFERROR((BA317)/((KLL_II_2020!CA_FP_oil_nom*KLL_II_2020!CA_gross_prod_oil+KLL_II_2020!CA_FP_lpg_nom*KLL_II_2020!CA_gross_prod_lpg+KLL_II_2020!CA_FP_gas_nom*KLL_II_2020!CA_gross_prod_gas)/KLL_II_2020!CA_gross_prod_Total),0)</f>
        <v>0</v>
      </c>
      <c r="BB558" s="49">
        <f ca="1">IFERROR((BB317)/((KLL_II_2020!CA_FP_oil_nom*KLL_II_2020!CA_gross_prod_oil+KLL_II_2020!CA_FP_lpg_nom*KLL_II_2020!CA_gross_prod_lpg+KLL_II_2020!CA_FP_gas_nom*KLL_II_2020!CA_gross_prod_gas)/KLL_II_2020!CA_gross_prod_Total),0)</f>
        <v>0</v>
      </c>
      <c r="BC558" s="49">
        <f ca="1">IFERROR((BC317)/((KLL_II_2020!CA_FP_oil_nom*KLL_II_2020!CA_gross_prod_oil+KLL_II_2020!CA_FP_lpg_nom*KLL_II_2020!CA_gross_prod_lpg+KLL_II_2020!CA_FP_gas_nom*KLL_II_2020!CA_gross_prod_gas)/KLL_II_2020!CA_gross_prod_Total),0)</f>
        <v>0</v>
      </c>
      <c r="BD558" s="49">
        <f ca="1">IFERROR((BD317)/((KLL_II_2020!CA_FP_oil_nom*KLL_II_2020!CA_gross_prod_oil+KLL_II_2020!CA_FP_lpg_nom*KLL_II_2020!CA_gross_prod_lpg+KLL_II_2020!CA_FP_gas_nom*KLL_II_2020!CA_gross_prod_gas)/KLL_II_2020!CA_gross_prod_Total),0)</f>
        <v>0</v>
      </c>
      <c r="BE558" s="49">
        <f ca="1">IFERROR((BE317)/((KLL_II_2020!CA_FP_oil_nom*KLL_II_2020!CA_gross_prod_oil+KLL_II_2020!CA_FP_lpg_nom*KLL_II_2020!CA_gross_prod_lpg+KLL_II_2020!CA_FP_gas_nom*KLL_II_2020!CA_gross_prod_gas)/KLL_II_2020!CA_gross_prod_Total),0)</f>
        <v>0</v>
      </c>
      <c r="BF558" s="49">
        <f ca="1">IFERROR((BF317)/((KLL_II_2020!CA_FP_oil_nom*KLL_II_2020!CA_gross_prod_oil+KLL_II_2020!CA_FP_lpg_nom*KLL_II_2020!CA_gross_prod_lpg+KLL_II_2020!CA_FP_gas_nom*KLL_II_2020!CA_gross_prod_gas)/KLL_II_2020!CA_gross_prod_Total),0)</f>
        <v>0</v>
      </c>
      <c r="BG558" s="49">
        <f ca="1">IFERROR((BG317)/((KLL_II_2020!CA_FP_oil_nom*KLL_II_2020!CA_gross_prod_oil+KLL_II_2020!CA_FP_lpg_nom*KLL_II_2020!CA_gross_prod_lpg+KLL_II_2020!CA_FP_gas_nom*KLL_II_2020!CA_gross_prod_gas)/KLL_II_2020!CA_gross_prod_Total),0)</f>
        <v>0</v>
      </c>
      <c r="BH558" s="49">
        <f ca="1">IFERROR((BH317)/((KLL_II_2020!CA_FP_oil_nom*KLL_II_2020!CA_gross_prod_oil+KLL_II_2020!CA_FP_lpg_nom*KLL_II_2020!CA_gross_prod_lpg+KLL_II_2020!CA_FP_gas_nom*KLL_II_2020!CA_gross_prod_gas)/KLL_II_2020!CA_gross_prod_Total),0)</f>
        <v>0</v>
      </c>
      <c r="BI558" s="49">
        <f ca="1">IFERROR((BI317)/((KLL_II_2020!CA_FP_oil_nom*KLL_II_2020!CA_gross_prod_oil+KLL_II_2020!CA_FP_lpg_nom*KLL_II_2020!CA_gross_prod_lpg+KLL_II_2020!CA_FP_gas_nom*KLL_II_2020!CA_gross_prod_gas)/KLL_II_2020!CA_gross_prod_Total),0)</f>
        <v>0</v>
      </c>
      <c r="BJ558" s="49">
        <f ca="1">IFERROR((BJ317)/((KLL_II_2020!CA_FP_oil_nom*KLL_II_2020!CA_gross_prod_oil+KLL_II_2020!CA_FP_lpg_nom*KLL_II_2020!CA_gross_prod_lpg+KLL_II_2020!CA_FP_gas_nom*KLL_II_2020!CA_gross_prod_gas)/KLL_II_2020!CA_gross_prod_Total),0)</f>
        <v>0</v>
      </c>
      <c r="BK558" s="49">
        <f ca="1">IFERROR((BK317)/((KLL_II_2020!CA_FP_oil_nom*KLL_II_2020!CA_gross_prod_oil+KLL_II_2020!CA_FP_lpg_nom*KLL_II_2020!CA_gross_prod_lpg+KLL_II_2020!CA_FP_gas_nom*KLL_II_2020!CA_gross_prod_gas)/KLL_II_2020!CA_gross_prod_Total),0)</f>
        <v>0</v>
      </c>
      <c r="BL558" s="49">
        <f ca="1">IFERROR((BL317)/((KLL_II_2020!CA_FP_oil_nom*KLL_II_2020!CA_gross_prod_oil+KLL_II_2020!CA_FP_lpg_nom*KLL_II_2020!CA_gross_prod_lpg+KLL_II_2020!CA_FP_gas_nom*KLL_II_2020!CA_gross_prod_gas)/KLL_II_2020!CA_gross_prod_Total),0)</f>
        <v>0</v>
      </c>
      <c r="BM558" s="49">
        <f ca="1">IFERROR((BM317)/((KLL_II_2020!CA_FP_oil_nom*KLL_II_2020!CA_gross_prod_oil+KLL_II_2020!CA_FP_lpg_nom*KLL_II_2020!CA_gross_prod_lpg+KLL_II_2020!CA_FP_gas_nom*KLL_II_2020!CA_gross_prod_gas)/KLL_II_2020!CA_gross_prod_Total),0)</f>
        <v>0</v>
      </c>
      <c r="BN558" s="49">
        <f ca="1">IFERROR((BN317)/((KLL_II_2020!CA_FP_oil_nom*KLL_II_2020!CA_gross_prod_oil+KLL_II_2020!CA_FP_lpg_nom*KLL_II_2020!CA_gross_prod_lpg+KLL_II_2020!CA_FP_gas_nom*KLL_II_2020!CA_gross_prod_gas)/KLL_II_2020!CA_gross_prod_Total),0)</f>
        <v>0</v>
      </c>
      <c r="BO558" s="49">
        <f ca="1">IFERROR((BO317)/((KLL_II_2020!CA_FP_oil_nom*KLL_II_2020!CA_gross_prod_oil+KLL_II_2020!CA_FP_lpg_nom*KLL_II_2020!CA_gross_prod_lpg+KLL_II_2020!CA_FP_gas_nom*KLL_II_2020!CA_gross_prod_gas)/KLL_II_2020!CA_gross_prod_Total),0)</f>
        <v>0</v>
      </c>
      <c r="BP558" s="49">
        <f ca="1">IFERROR((BP317)/((KLL_II_2020!CA_FP_oil_nom*KLL_II_2020!CA_gross_prod_oil+KLL_II_2020!CA_FP_lpg_nom*KLL_II_2020!CA_gross_prod_lpg+KLL_II_2020!CA_FP_gas_nom*KLL_II_2020!CA_gross_prod_gas)/KLL_II_2020!CA_gross_prod_Total),0)</f>
        <v>0</v>
      </c>
      <c r="BQ558" s="49">
        <f ca="1">IFERROR((BQ317)/((KLL_II_2020!CA_FP_oil_nom*KLL_II_2020!CA_gross_prod_oil+KLL_II_2020!CA_FP_lpg_nom*KLL_II_2020!CA_gross_prod_lpg+KLL_II_2020!CA_FP_gas_nom*KLL_II_2020!CA_gross_prod_gas)/KLL_II_2020!CA_gross_prod_Total),0)</f>
        <v>0</v>
      </c>
      <c r="BR558" s="49">
        <f ca="1">IFERROR((BR317)/((KLL_II_2020!CA_FP_oil_nom*KLL_II_2020!CA_gross_prod_oil+KLL_II_2020!CA_FP_lpg_nom*KLL_II_2020!CA_gross_prod_lpg+KLL_II_2020!CA_FP_gas_nom*KLL_II_2020!CA_gross_prod_gas)/KLL_II_2020!CA_gross_prod_Total),0)</f>
        <v>0</v>
      </c>
      <c r="BS558" s="49">
        <f ca="1">IFERROR((BS317)/((KLL_II_2020!CA_FP_oil_nom*KLL_II_2020!CA_gross_prod_oil+KLL_II_2020!CA_FP_lpg_nom*KLL_II_2020!CA_gross_prod_lpg+KLL_II_2020!CA_FP_gas_nom*KLL_II_2020!CA_gross_prod_gas)/KLL_II_2020!CA_gross_prod_Total),0)</f>
        <v>0</v>
      </c>
    </row>
    <row r="559" spans="3:71" x14ac:dyDescent="0.2">
      <c r="D559" t="str">
        <f>HM_ZB_Nsoko!D572</f>
        <v>Profit Gaz Contracteur</v>
      </c>
      <c r="I559" s="30">
        <f t="shared" si="145"/>
        <v>0</v>
      </c>
      <c r="J559" s="26" t="s">
        <v>692</v>
      </c>
      <c r="L559" s="49"/>
      <c r="M559" s="49"/>
      <c r="N559" s="49"/>
      <c r="O559" s="49"/>
      <c r="P559" s="49"/>
      <c r="Q559" s="49"/>
      <c r="R559" s="49"/>
      <c r="S559" s="49"/>
      <c r="T559" s="49"/>
      <c r="U559" s="49"/>
      <c r="V559" s="49"/>
      <c r="W559" s="49"/>
      <c r="X559" s="49"/>
      <c r="Y559" s="49"/>
      <c r="Z559" s="49"/>
      <c r="AA559" s="49"/>
      <c r="AB559" s="49"/>
      <c r="AC559" s="49"/>
      <c r="AD559" s="49"/>
      <c r="AE559" s="49"/>
      <c r="AF559" s="49"/>
      <c r="AG559" s="49"/>
      <c r="AH559" s="49"/>
      <c r="AI559" s="49"/>
      <c r="AJ559" s="49"/>
      <c r="AK559" s="49"/>
      <c r="AL559" s="49"/>
      <c r="AM559" s="49"/>
      <c r="AN559" s="49"/>
      <c r="AO559" s="49"/>
      <c r="AP559" s="49"/>
      <c r="AQ559" s="49"/>
      <c r="AR559" s="49"/>
      <c r="AS559" s="49"/>
      <c r="AT559" s="49"/>
      <c r="AU559" s="49"/>
      <c r="AV559" s="49"/>
      <c r="AW559" s="49"/>
      <c r="AX559" s="49"/>
      <c r="AY559" s="49"/>
      <c r="AZ559" s="49"/>
      <c r="BA559" s="49"/>
      <c r="BB559" s="49"/>
      <c r="BC559" s="49"/>
      <c r="BD559" s="49"/>
      <c r="BE559" s="49"/>
      <c r="BF559" s="49"/>
      <c r="BG559" s="49"/>
      <c r="BH559" s="49"/>
      <c r="BI559" s="49"/>
      <c r="BJ559" s="49"/>
      <c r="BK559" s="49"/>
      <c r="BL559" s="49"/>
      <c r="BM559" s="49"/>
      <c r="BN559" s="49"/>
      <c r="BO559" s="49"/>
      <c r="BP559" s="49"/>
      <c r="BQ559" s="49"/>
      <c r="BR559" s="49"/>
      <c r="BS559" s="49"/>
    </row>
    <row r="560" spans="3:71" x14ac:dyDescent="0.2">
      <c r="J560" s="26"/>
      <c r="L560" s="55"/>
      <c r="M560" s="55"/>
      <c r="N560" s="55"/>
      <c r="O560" s="55"/>
      <c r="P560" s="55"/>
      <c r="Q560" s="55"/>
      <c r="R560" s="55"/>
      <c r="S560" s="55"/>
      <c r="T560" s="55"/>
      <c r="U560" s="55"/>
      <c r="V560" s="55"/>
      <c r="W560" s="55"/>
      <c r="X560" s="55"/>
      <c r="Y560" s="55"/>
      <c r="Z560" s="55"/>
      <c r="AA560" s="55"/>
      <c r="AB560" s="55"/>
      <c r="AC560" s="55"/>
      <c r="AD560" s="55"/>
      <c r="AE560" s="55"/>
      <c r="AF560" s="55"/>
      <c r="AG560" s="55"/>
      <c r="AH560" s="55"/>
      <c r="AI560" s="55"/>
      <c r="AJ560" s="55"/>
      <c r="AK560" s="55"/>
      <c r="AL560" s="55"/>
      <c r="AM560" s="55"/>
      <c r="AN560" s="55"/>
      <c r="AO560" s="55"/>
      <c r="AP560" s="55"/>
      <c r="AQ560" s="55"/>
      <c r="AR560" s="55"/>
      <c r="AS560" s="55"/>
      <c r="AT560" s="55"/>
      <c r="AU560" s="55"/>
      <c r="AV560" s="55"/>
      <c r="AW560" s="55"/>
      <c r="AX560" s="55"/>
      <c r="AY560" s="55"/>
      <c r="AZ560" s="55"/>
      <c r="BA560" s="55"/>
      <c r="BB560" s="55"/>
      <c r="BC560" s="55"/>
      <c r="BD560" s="55"/>
      <c r="BE560" s="55"/>
      <c r="BF560" s="55"/>
      <c r="BG560" s="55"/>
      <c r="BH560" s="55"/>
      <c r="BI560" s="55"/>
      <c r="BJ560" s="55"/>
      <c r="BK560" s="55"/>
      <c r="BL560" s="55"/>
      <c r="BM560" s="55"/>
      <c r="BN560" s="55"/>
      <c r="BO560" s="55"/>
      <c r="BP560" s="55"/>
      <c r="BQ560" s="55"/>
      <c r="BR560" s="55"/>
      <c r="BS560" s="55"/>
    </row>
    <row r="561" spans="10:71" x14ac:dyDescent="0.2">
      <c r="J561" s="26"/>
      <c r="L561" s="55"/>
      <c r="M561" s="55"/>
      <c r="N561" s="55"/>
      <c r="O561" s="55"/>
      <c r="P561" s="55"/>
      <c r="Q561" s="55"/>
      <c r="R561" s="55"/>
      <c r="S561" s="55"/>
      <c r="T561" s="55"/>
      <c r="U561" s="55"/>
      <c r="V561" s="55"/>
      <c r="W561" s="55"/>
      <c r="X561" s="55"/>
      <c r="Y561" s="55"/>
      <c r="Z561" s="55"/>
      <c r="AA561" s="55"/>
      <c r="AB561" s="55"/>
      <c r="AC561" s="55"/>
      <c r="AD561" s="55"/>
      <c r="AE561" s="55"/>
      <c r="AF561" s="55"/>
      <c r="AG561" s="55"/>
      <c r="AH561" s="55"/>
      <c r="AI561" s="55"/>
      <c r="AJ561" s="55"/>
      <c r="AK561" s="55"/>
      <c r="AL561" s="55"/>
      <c r="AM561" s="55"/>
      <c r="AN561" s="55"/>
      <c r="AO561" s="55"/>
      <c r="AP561" s="55"/>
      <c r="AQ561" s="55"/>
      <c r="AR561" s="55"/>
      <c r="AS561" s="55"/>
      <c r="AT561" s="55"/>
      <c r="AU561" s="55"/>
      <c r="AV561" s="55"/>
      <c r="AW561" s="55"/>
      <c r="AX561" s="55"/>
      <c r="AY561" s="55"/>
      <c r="AZ561" s="55"/>
      <c r="BA561" s="55"/>
      <c r="BB561" s="55"/>
      <c r="BC561" s="55"/>
      <c r="BD561" s="55"/>
      <c r="BE561" s="55"/>
      <c r="BF561" s="55"/>
      <c r="BG561" s="55"/>
      <c r="BH561" s="55"/>
      <c r="BI561" s="55"/>
      <c r="BJ561" s="55"/>
      <c r="BK561" s="55"/>
      <c r="BL561" s="55"/>
      <c r="BM561" s="55"/>
      <c r="BN561" s="55"/>
      <c r="BO561" s="55"/>
      <c r="BP561" s="55"/>
      <c r="BQ561" s="55"/>
      <c r="BR561" s="55"/>
      <c r="BS561" s="55"/>
    </row>
    <row r="562" spans="10:71" x14ac:dyDescent="0.2">
      <c r="J562" s="26"/>
      <c r="L562" s="55"/>
      <c r="M562" s="55"/>
      <c r="N562" s="55"/>
      <c r="O562" s="55"/>
      <c r="P562" s="55"/>
      <c r="Q562" s="55"/>
      <c r="R562" s="55"/>
      <c r="S562" s="55"/>
      <c r="T562" s="55"/>
      <c r="U562" s="55"/>
      <c r="V562" s="55"/>
      <c r="W562" s="55"/>
      <c r="X562" s="55"/>
      <c r="Y562" s="55"/>
      <c r="Z562" s="55"/>
      <c r="AA562" s="55"/>
      <c r="AB562" s="55"/>
      <c r="AC562" s="55"/>
      <c r="AD562" s="55"/>
      <c r="AE562" s="55"/>
      <c r="AF562" s="55"/>
      <c r="AG562" s="55"/>
      <c r="AH562" s="55"/>
      <c r="AI562" s="55"/>
      <c r="AJ562" s="55"/>
      <c r="AK562" s="55"/>
      <c r="AL562" s="55"/>
      <c r="AM562" s="55"/>
      <c r="AN562" s="55"/>
      <c r="AO562" s="55"/>
      <c r="AP562" s="55"/>
      <c r="AQ562" s="55"/>
      <c r="AR562" s="55"/>
      <c r="AS562" s="55"/>
      <c r="AT562" s="55"/>
      <c r="AU562" s="55"/>
      <c r="AV562" s="55"/>
      <c r="AW562" s="55"/>
      <c r="AX562" s="55"/>
      <c r="AY562" s="55"/>
      <c r="AZ562" s="55"/>
      <c r="BA562" s="55"/>
      <c r="BB562" s="55"/>
      <c r="BC562" s="55"/>
      <c r="BD562" s="55"/>
      <c r="BE562" s="55"/>
      <c r="BF562" s="55"/>
      <c r="BG562" s="55"/>
      <c r="BH562" s="55"/>
      <c r="BI562" s="55"/>
      <c r="BJ562" s="55"/>
      <c r="BK562" s="55"/>
      <c r="BL562" s="55"/>
      <c r="BM562" s="55"/>
      <c r="BN562" s="55"/>
      <c r="BO562" s="55"/>
      <c r="BP562" s="55"/>
      <c r="BQ562" s="55"/>
      <c r="BR562" s="55"/>
      <c r="BS562" s="55"/>
    </row>
  </sheetData>
  <mergeCells count="4">
    <mergeCell ref="B7:E7"/>
    <mergeCell ref="B67:E67"/>
    <mergeCell ref="B106:E106"/>
    <mergeCell ref="B393:E393"/>
  </mergeCells>
  <pageMargins left="0.7" right="0.7" top="0.75" bottom="0.75" header="0.3" footer="0.3"/>
</worksheet>
</file>

<file path=xl/worksheets/sheet1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9F4CA-B518-4AFA-B4F5-9BB2E3278E85}">
  <sheetPr codeName="Sheet13"/>
  <dimension ref="A1:CP512"/>
  <sheetViews>
    <sheetView showGridLines="0" zoomScale="80" zoomScaleNormal="80" workbookViewId="0">
      <pane xSplit="11" ySplit="5" topLeftCell="L161" activePane="bottomRight" state="frozen"/>
      <selection activeCell="D42" sqref="D42"/>
      <selection pane="topRight" activeCell="D42" sqref="D42"/>
      <selection pane="bottomLeft" activeCell="D42" sqref="D42"/>
      <selection pane="bottomRight" activeCell="D42" sqref="D42"/>
    </sheetView>
  </sheetViews>
  <sheetFormatPr baseColWidth="10" defaultColWidth="0" defaultRowHeight="15" outlineLevelRow="1" x14ac:dyDescent="0.2"/>
  <cols>
    <col min="1" max="3" width="5.6640625" customWidth="1"/>
    <col min="4" max="10" width="14.6640625" customWidth="1"/>
    <col min="11" max="11" width="17.6640625" style="7" customWidth="1"/>
    <col min="12" max="93" width="9.1640625" customWidth="1"/>
    <col min="94" max="94" width="0" style="6" hidden="1" customWidth="1"/>
    <col min="95" max="16384" width="9.1640625" style="6" hidden="1"/>
  </cols>
  <sheetData>
    <row r="1" spans="1:93" s="5" customFormat="1" ht="20.25" customHeight="1" x14ac:dyDescent="0.2">
      <c r="A1" s="82" t="s">
        <v>395</v>
      </c>
      <c r="B1" s="82"/>
      <c r="C1" s="82"/>
      <c r="D1" s="82"/>
      <c r="E1" s="82"/>
      <c r="F1" s="82"/>
      <c r="G1" s="82"/>
      <c r="H1" s="82"/>
      <c r="I1" s="82"/>
      <c r="J1" s="82"/>
      <c r="K1" s="83"/>
      <c r="L1" s="82"/>
      <c r="M1" s="82"/>
      <c r="N1" s="82"/>
      <c r="O1" s="82"/>
      <c r="P1" s="82"/>
      <c r="Q1" s="82"/>
      <c r="R1" s="82"/>
      <c r="S1" s="82"/>
      <c r="T1" s="82"/>
      <c r="U1" s="82"/>
      <c r="V1" s="82"/>
      <c r="W1" s="82"/>
      <c r="X1" s="82"/>
      <c r="Y1" s="82"/>
      <c r="Z1" s="82"/>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row>
    <row r="2" spans="1:93" ht="9" customHeight="1" x14ac:dyDescent="0.2">
      <c r="A2" s="6"/>
      <c r="B2" s="6"/>
      <c r="C2" s="6"/>
      <c r="D2" s="6"/>
      <c r="E2" s="6"/>
      <c r="F2" s="6"/>
      <c r="G2" s="6"/>
      <c r="H2" s="6"/>
      <c r="I2" s="6"/>
      <c r="J2" s="6"/>
      <c r="K2" s="84"/>
      <c r="L2" s="6"/>
      <c r="M2" s="6"/>
      <c r="N2" s="6"/>
      <c r="O2" s="6"/>
      <c r="P2" s="6"/>
      <c r="Q2" s="6"/>
      <c r="R2" s="6"/>
      <c r="S2" s="6"/>
      <c r="T2" s="6"/>
      <c r="U2" s="6"/>
      <c r="V2" s="6"/>
      <c r="W2" s="6"/>
      <c r="X2" s="6"/>
      <c r="Y2" s="6"/>
      <c r="Z2" s="6"/>
    </row>
    <row r="3" spans="1:93" x14ac:dyDescent="0.2">
      <c r="L3" s="3">
        <f t="array" ref="L3:BS3">IA_Periods</f>
        <v>1</v>
      </c>
      <c r="M3" s="3">
        <v>2</v>
      </c>
      <c r="N3" s="3">
        <v>3</v>
      </c>
      <c r="O3" s="3">
        <v>4</v>
      </c>
      <c r="P3" s="3">
        <v>5</v>
      </c>
      <c r="Q3" s="3">
        <v>6</v>
      </c>
      <c r="R3" s="3">
        <v>7</v>
      </c>
      <c r="S3" s="3">
        <v>8</v>
      </c>
      <c r="T3" s="3">
        <v>9</v>
      </c>
      <c r="U3" s="3">
        <v>10</v>
      </c>
      <c r="V3" s="3">
        <v>11</v>
      </c>
      <c r="W3" s="3">
        <v>12</v>
      </c>
      <c r="X3" s="3">
        <v>13</v>
      </c>
      <c r="Y3" s="3">
        <v>14</v>
      </c>
      <c r="Z3" s="3">
        <v>15</v>
      </c>
      <c r="AA3" s="3">
        <v>16</v>
      </c>
      <c r="AB3" s="3">
        <v>17</v>
      </c>
      <c r="AC3" s="3">
        <v>18</v>
      </c>
      <c r="AD3" s="3">
        <v>19</v>
      </c>
      <c r="AE3" s="3">
        <v>20</v>
      </c>
      <c r="AF3" s="3">
        <v>21</v>
      </c>
      <c r="AG3" s="3">
        <v>22</v>
      </c>
      <c r="AH3" s="3">
        <v>23</v>
      </c>
      <c r="AI3" s="3">
        <v>24</v>
      </c>
      <c r="AJ3" s="3">
        <v>25</v>
      </c>
      <c r="AK3" s="3">
        <v>26</v>
      </c>
      <c r="AL3" s="3">
        <v>27</v>
      </c>
      <c r="AM3" s="3">
        <v>28</v>
      </c>
      <c r="AN3" s="3">
        <v>29</v>
      </c>
      <c r="AO3" s="3">
        <v>30</v>
      </c>
      <c r="AP3" s="3">
        <v>31</v>
      </c>
      <c r="AQ3" s="3">
        <v>32</v>
      </c>
      <c r="AR3" s="3">
        <v>33</v>
      </c>
      <c r="AS3" s="3">
        <v>34</v>
      </c>
      <c r="AT3" s="3">
        <v>35</v>
      </c>
      <c r="AU3" s="3">
        <v>36</v>
      </c>
      <c r="AV3" s="3">
        <v>37</v>
      </c>
      <c r="AW3" s="3">
        <v>38</v>
      </c>
      <c r="AX3" s="3">
        <v>39</v>
      </c>
      <c r="AY3" s="3">
        <v>40</v>
      </c>
      <c r="AZ3" s="3">
        <v>41</v>
      </c>
      <c r="BA3" s="3">
        <v>42</v>
      </c>
      <c r="BB3" s="3">
        <v>43</v>
      </c>
      <c r="BC3" s="3">
        <v>44</v>
      </c>
      <c r="BD3" s="3">
        <v>45</v>
      </c>
      <c r="BE3" s="3">
        <v>46</v>
      </c>
      <c r="BF3" s="3">
        <v>47</v>
      </c>
      <c r="BG3" s="3">
        <v>48</v>
      </c>
      <c r="BH3" s="3">
        <v>49</v>
      </c>
      <c r="BI3" s="3">
        <v>50</v>
      </c>
      <c r="BJ3" s="3">
        <v>51</v>
      </c>
      <c r="BK3" s="3">
        <v>52</v>
      </c>
      <c r="BL3" s="3">
        <v>53</v>
      </c>
      <c r="BM3" s="3">
        <v>54</v>
      </c>
      <c r="BN3" s="3">
        <v>55</v>
      </c>
      <c r="BO3" s="3">
        <v>56</v>
      </c>
      <c r="BP3" s="3">
        <v>57</v>
      </c>
      <c r="BQ3" s="3">
        <v>58</v>
      </c>
      <c r="BR3" s="3">
        <v>59</v>
      </c>
      <c r="BS3" s="3">
        <v>60</v>
      </c>
    </row>
    <row r="4" spans="1:93" x14ac:dyDescent="0.2">
      <c r="L4" s="4">
        <f>YEAR(G10)</f>
        <v>2013</v>
      </c>
      <c r="M4">
        <f>L4+1</f>
        <v>2014</v>
      </c>
      <c r="N4">
        <f t="shared" ref="N4:BS4" si="0">M4+1</f>
        <v>2015</v>
      </c>
      <c r="O4">
        <f t="shared" si="0"/>
        <v>2016</v>
      </c>
      <c r="P4">
        <f t="shared" si="0"/>
        <v>2017</v>
      </c>
      <c r="Q4">
        <f t="shared" si="0"/>
        <v>2018</v>
      </c>
      <c r="R4">
        <f t="shared" si="0"/>
        <v>2019</v>
      </c>
      <c r="S4">
        <f t="shared" si="0"/>
        <v>2020</v>
      </c>
      <c r="T4">
        <f t="shared" si="0"/>
        <v>2021</v>
      </c>
      <c r="U4">
        <f t="shared" si="0"/>
        <v>2022</v>
      </c>
      <c r="V4">
        <f t="shared" si="0"/>
        <v>2023</v>
      </c>
      <c r="W4">
        <f t="shared" si="0"/>
        <v>2024</v>
      </c>
      <c r="X4">
        <f t="shared" si="0"/>
        <v>2025</v>
      </c>
      <c r="Y4">
        <f t="shared" si="0"/>
        <v>2026</v>
      </c>
      <c r="Z4">
        <f t="shared" si="0"/>
        <v>2027</v>
      </c>
      <c r="AA4">
        <f t="shared" si="0"/>
        <v>2028</v>
      </c>
      <c r="AB4">
        <f t="shared" si="0"/>
        <v>2029</v>
      </c>
      <c r="AC4">
        <f t="shared" si="0"/>
        <v>2030</v>
      </c>
      <c r="AD4">
        <f t="shared" si="0"/>
        <v>2031</v>
      </c>
      <c r="AE4">
        <f t="shared" si="0"/>
        <v>2032</v>
      </c>
      <c r="AF4">
        <f t="shared" si="0"/>
        <v>2033</v>
      </c>
      <c r="AG4">
        <f t="shared" si="0"/>
        <v>2034</v>
      </c>
      <c r="AH4">
        <f t="shared" si="0"/>
        <v>2035</v>
      </c>
      <c r="AI4">
        <f t="shared" si="0"/>
        <v>2036</v>
      </c>
      <c r="AJ4">
        <f t="shared" si="0"/>
        <v>2037</v>
      </c>
      <c r="AK4">
        <f t="shared" si="0"/>
        <v>2038</v>
      </c>
      <c r="AL4">
        <f t="shared" si="0"/>
        <v>2039</v>
      </c>
      <c r="AM4">
        <f t="shared" si="0"/>
        <v>2040</v>
      </c>
      <c r="AN4">
        <f t="shared" si="0"/>
        <v>2041</v>
      </c>
      <c r="AO4">
        <f t="shared" si="0"/>
        <v>2042</v>
      </c>
      <c r="AP4">
        <f t="shared" si="0"/>
        <v>2043</v>
      </c>
      <c r="AQ4">
        <f t="shared" si="0"/>
        <v>2044</v>
      </c>
      <c r="AR4">
        <f t="shared" si="0"/>
        <v>2045</v>
      </c>
      <c r="AS4">
        <f t="shared" si="0"/>
        <v>2046</v>
      </c>
      <c r="AT4">
        <f t="shared" si="0"/>
        <v>2047</v>
      </c>
      <c r="AU4">
        <f t="shared" si="0"/>
        <v>2048</v>
      </c>
      <c r="AV4">
        <f t="shared" si="0"/>
        <v>2049</v>
      </c>
      <c r="AW4">
        <f t="shared" si="0"/>
        <v>2050</v>
      </c>
      <c r="AX4">
        <f t="shared" si="0"/>
        <v>2051</v>
      </c>
      <c r="AY4">
        <f t="shared" si="0"/>
        <v>2052</v>
      </c>
      <c r="AZ4">
        <f t="shared" si="0"/>
        <v>2053</v>
      </c>
      <c r="BA4">
        <f t="shared" si="0"/>
        <v>2054</v>
      </c>
      <c r="BB4">
        <f t="shared" si="0"/>
        <v>2055</v>
      </c>
      <c r="BC4">
        <f t="shared" si="0"/>
        <v>2056</v>
      </c>
      <c r="BD4">
        <f t="shared" si="0"/>
        <v>2057</v>
      </c>
      <c r="BE4">
        <f t="shared" si="0"/>
        <v>2058</v>
      </c>
      <c r="BF4">
        <f t="shared" si="0"/>
        <v>2059</v>
      </c>
      <c r="BG4">
        <f t="shared" si="0"/>
        <v>2060</v>
      </c>
      <c r="BH4">
        <f t="shared" si="0"/>
        <v>2061</v>
      </c>
      <c r="BI4">
        <f t="shared" si="0"/>
        <v>2062</v>
      </c>
      <c r="BJ4">
        <f t="shared" si="0"/>
        <v>2063</v>
      </c>
      <c r="BK4">
        <f t="shared" si="0"/>
        <v>2064</v>
      </c>
      <c r="BL4">
        <f t="shared" si="0"/>
        <v>2065</v>
      </c>
      <c r="BM4">
        <f t="shared" si="0"/>
        <v>2066</v>
      </c>
      <c r="BN4">
        <f t="shared" si="0"/>
        <v>2067</v>
      </c>
      <c r="BO4">
        <f t="shared" si="0"/>
        <v>2068</v>
      </c>
      <c r="BP4">
        <f t="shared" si="0"/>
        <v>2069</v>
      </c>
      <c r="BQ4">
        <f t="shared" si="0"/>
        <v>2070</v>
      </c>
      <c r="BR4">
        <f t="shared" si="0"/>
        <v>2071</v>
      </c>
      <c r="BS4">
        <f t="shared" si="0"/>
        <v>2072</v>
      </c>
    </row>
    <row r="5" spans="1:93" x14ac:dyDescent="0.2">
      <c r="L5" s="3">
        <f t="array" ref="L5:BS5">+IA_Days</f>
        <v>365</v>
      </c>
      <c r="M5" s="3">
        <v>365</v>
      </c>
      <c r="N5" s="3">
        <v>365</v>
      </c>
      <c r="O5" s="3">
        <v>366</v>
      </c>
      <c r="P5" s="3">
        <v>365</v>
      </c>
      <c r="Q5" s="3">
        <v>365</v>
      </c>
      <c r="R5" s="3">
        <v>365</v>
      </c>
      <c r="S5" s="3">
        <v>366</v>
      </c>
      <c r="T5" s="3">
        <v>365</v>
      </c>
      <c r="U5" s="3">
        <v>365</v>
      </c>
      <c r="V5" s="3">
        <v>365</v>
      </c>
      <c r="W5" s="3">
        <v>366</v>
      </c>
      <c r="X5" s="3">
        <v>365</v>
      </c>
      <c r="Y5" s="3">
        <v>365</v>
      </c>
      <c r="Z5" s="3">
        <v>365</v>
      </c>
      <c r="AA5" s="3">
        <v>366</v>
      </c>
      <c r="AB5" s="3">
        <v>365</v>
      </c>
      <c r="AC5" s="3">
        <v>365</v>
      </c>
      <c r="AD5" s="3">
        <v>365</v>
      </c>
      <c r="AE5" s="3">
        <v>366</v>
      </c>
      <c r="AF5" s="3">
        <v>365</v>
      </c>
      <c r="AG5" s="3">
        <v>365</v>
      </c>
      <c r="AH5" s="3">
        <v>365</v>
      </c>
      <c r="AI5" s="3">
        <v>366</v>
      </c>
      <c r="AJ5" s="3">
        <v>365</v>
      </c>
      <c r="AK5" s="3">
        <v>365</v>
      </c>
      <c r="AL5" s="3">
        <v>365</v>
      </c>
      <c r="AM5" s="3">
        <v>366</v>
      </c>
      <c r="AN5" s="3">
        <v>365</v>
      </c>
      <c r="AO5" s="3">
        <v>365</v>
      </c>
      <c r="AP5" s="3">
        <v>365</v>
      </c>
      <c r="AQ5" s="3">
        <v>366</v>
      </c>
      <c r="AR5" s="3">
        <v>365</v>
      </c>
      <c r="AS5" s="3">
        <v>365</v>
      </c>
      <c r="AT5" s="3">
        <v>365</v>
      </c>
      <c r="AU5" s="3">
        <v>366</v>
      </c>
      <c r="AV5" s="3">
        <v>365</v>
      </c>
      <c r="AW5" s="3">
        <v>365</v>
      </c>
      <c r="AX5" s="3">
        <v>365</v>
      </c>
      <c r="AY5" s="3">
        <v>366</v>
      </c>
      <c r="AZ5" s="3">
        <v>365</v>
      </c>
      <c r="BA5" s="3">
        <v>365</v>
      </c>
      <c r="BB5" s="3">
        <v>365</v>
      </c>
      <c r="BC5" s="3">
        <v>366</v>
      </c>
      <c r="BD5" s="3">
        <v>365</v>
      </c>
      <c r="BE5" s="3">
        <v>365</v>
      </c>
      <c r="BF5" s="3">
        <v>365</v>
      </c>
      <c r="BG5" s="3">
        <v>366</v>
      </c>
      <c r="BH5" s="3">
        <v>365</v>
      </c>
      <c r="BI5" s="3">
        <v>365</v>
      </c>
      <c r="BJ5" s="3">
        <v>365</v>
      </c>
      <c r="BK5" s="3">
        <v>366</v>
      </c>
      <c r="BL5" s="3">
        <v>365</v>
      </c>
      <c r="BM5" s="3">
        <v>365</v>
      </c>
      <c r="BN5" s="3">
        <v>365</v>
      </c>
      <c r="BO5" s="3">
        <v>366</v>
      </c>
      <c r="BP5" s="3">
        <v>365</v>
      </c>
      <c r="BQ5" s="3">
        <v>365</v>
      </c>
      <c r="BR5" s="3">
        <v>365</v>
      </c>
      <c r="BS5" s="3">
        <v>366</v>
      </c>
    </row>
    <row r="6" spans="1:93" ht="16" thickBot="1" x14ac:dyDescent="0.25"/>
    <row r="7" spans="1:93" ht="22" thickBot="1" x14ac:dyDescent="0.25">
      <c r="A7" s="8"/>
      <c r="B7" s="221" t="s">
        <v>65</v>
      </c>
      <c r="C7" s="222"/>
      <c r="D7" s="222"/>
      <c r="E7" s="223"/>
      <c r="F7" s="9"/>
      <c r="G7" s="9"/>
      <c r="H7" s="9"/>
      <c r="I7" s="9"/>
      <c r="J7" s="48"/>
      <c r="K7" s="10"/>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row>
    <row r="8" spans="1:93" outlineLevel="1" x14ac:dyDescent="0.2">
      <c r="J8" s="26"/>
    </row>
    <row r="9" spans="1:93" outlineLevel="1" x14ac:dyDescent="0.2">
      <c r="C9" s="11" t="s">
        <v>6</v>
      </c>
      <c r="J9" s="26"/>
    </row>
    <row r="10" spans="1:93" outlineLevel="1" x14ac:dyDescent="0.2">
      <c r="D10" t="s">
        <v>125</v>
      </c>
      <c r="G10" s="36" t="d">
        <v>2013-01-01</v>
      </c>
      <c r="H10" s="16" t="s">
        <v>396</v>
      </c>
      <c r="J10" s="26"/>
    </row>
    <row r="11" spans="1:93" outlineLevel="1" x14ac:dyDescent="0.2">
      <c r="D11" t="s">
        <v>127</v>
      </c>
      <c r="G11" s="40">
        <f>L4-YEAR(effective_date_Loango)</f>
        <v>0</v>
      </c>
      <c r="H11" s="16" t="s">
        <v>397</v>
      </c>
      <c r="J11" s="26"/>
    </row>
    <row r="12" spans="1:93" outlineLevel="1" x14ac:dyDescent="0.2">
      <c r="J12" s="26"/>
    </row>
    <row r="13" spans="1:93" outlineLevel="1" x14ac:dyDescent="0.2">
      <c r="C13" s="11" t="s">
        <v>66</v>
      </c>
      <c r="J13" s="26"/>
    </row>
    <row r="14" spans="1:93" outlineLevel="1" x14ac:dyDescent="0.2">
      <c r="D14" t="s">
        <v>67</v>
      </c>
      <c r="G14" s="21">
        <v>0.01</v>
      </c>
      <c r="H14" s="16" t="s">
        <v>68</v>
      </c>
      <c r="J14" s="26"/>
    </row>
    <row r="15" spans="1:93" outlineLevel="1" x14ac:dyDescent="0.2">
      <c r="J15" s="26"/>
    </row>
    <row r="16" spans="1:93" outlineLevel="1" x14ac:dyDescent="0.2">
      <c r="J16" s="26"/>
    </row>
    <row r="17" spans="3:10" outlineLevel="1" x14ac:dyDescent="0.2">
      <c r="C17" s="11" t="s">
        <v>69</v>
      </c>
      <c r="J17" s="26"/>
    </row>
    <row r="18" spans="3:10" outlineLevel="1" x14ac:dyDescent="0.2">
      <c r="J18" s="26"/>
    </row>
    <row r="19" spans="3:10" outlineLevel="1" x14ac:dyDescent="0.2">
      <c r="D19" t="s">
        <v>70</v>
      </c>
      <c r="G19" s="21">
        <v>0.15</v>
      </c>
      <c r="H19" s="16" t="s">
        <v>72</v>
      </c>
      <c r="J19" s="26"/>
    </row>
    <row r="20" spans="3:10" outlineLevel="1" x14ac:dyDescent="0.2">
      <c r="D20" t="s">
        <v>71</v>
      </c>
      <c r="G20" s="21">
        <v>0.15</v>
      </c>
      <c r="H20" s="16" t="s">
        <v>73</v>
      </c>
      <c r="J20" s="26"/>
    </row>
    <row r="21" spans="3:10" outlineLevel="1" x14ac:dyDescent="0.2">
      <c r="J21" s="26"/>
    </row>
    <row r="22" spans="3:10" outlineLevel="1" x14ac:dyDescent="0.2">
      <c r="J22" s="26"/>
    </row>
    <row r="23" spans="3:10" outlineLevel="1" x14ac:dyDescent="0.2">
      <c r="C23" s="11" t="s">
        <v>74</v>
      </c>
      <c r="J23" s="26"/>
    </row>
    <row r="24" spans="3:10" outlineLevel="1" x14ac:dyDescent="0.2">
      <c r="J24" s="26"/>
    </row>
    <row r="25" spans="3:10" outlineLevel="1" x14ac:dyDescent="0.2">
      <c r="D25" t="s">
        <v>76</v>
      </c>
      <c r="F25" s="38" t="s">
        <v>75</v>
      </c>
      <c r="G25" s="38" t="s">
        <v>77</v>
      </c>
      <c r="J25" s="26"/>
    </row>
    <row r="26" spans="3:10" outlineLevel="1" x14ac:dyDescent="0.2">
      <c r="D26" t="s">
        <v>81</v>
      </c>
      <c r="F26" s="36" t="d">
        <f>effective_date_Loango</f>
        <v>2013-01-01</v>
      </c>
      <c r="G26" s="37">
        <v>0.6</v>
      </c>
      <c r="J26" s="26"/>
    </row>
    <row r="27" spans="3:10" outlineLevel="1" x14ac:dyDescent="0.2">
      <c r="D27" s="39" t="s">
        <v>82</v>
      </c>
      <c r="F27" s="34" t="d">
        <f>EOMONTH(F26,71)+1</f>
        <v>2019-01-01</v>
      </c>
      <c r="G27" s="21">
        <v>0.5</v>
      </c>
      <c r="J27" s="26"/>
    </row>
    <row r="28" spans="3:10" outlineLevel="1" x14ac:dyDescent="0.2">
      <c r="F28" s="16" t="s">
        <v>78</v>
      </c>
      <c r="G28" s="16" t="s">
        <v>79</v>
      </c>
      <c r="J28" s="26"/>
    </row>
    <row r="29" spans="3:10" outlineLevel="1" x14ac:dyDescent="0.2">
      <c r="J29" s="26"/>
    </row>
    <row r="30" spans="3:10" outlineLevel="1" x14ac:dyDescent="0.2">
      <c r="D30" t="s">
        <v>308</v>
      </c>
      <c r="J30" s="26"/>
    </row>
    <row r="31" spans="3:10" outlineLevel="1" x14ac:dyDescent="0.2">
      <c r="D31" t="s">
        <v>80</v>
      </c>
      <c r="F31" s="34" t="d">
        <f>F27</f>
        <v>2019-01-01</v>
      </c>
      <c r="G31" s="21">
        <v>0.33</v>
      </c>
      <c r="J31" s="26"/>
    </row>
    <row r="32" spans="3:10" outlineLevel="1" x14ac:dyDescent="0.2">
      <c r="F32" s="16" t="s">
        <v>83</v>
      </c>
      <c r="G32" s="16" t="s">
        <v>84</v>
      </c>
      <c r="J32" s="26"/>
    </row>
    <row r="33" spans="3:10" outlineLevel="1" x14ac:dyDescent="0.2">
      <c r="J33" s="26"/>
    </row>
    <row r="34" spans="3:10" outlineLevel="1" x14ac:dyDescent="0.2">
      <c r="D34" t="s">
        <v>361</v>
      </c>
      <c r="G34" s="21">
        <v>0</v>
      </c>
      <c r="H34" s="16" t="s">
        <v>362</v>
      </c>
      <c r="J34" s="26"/>
    </row>
    <row r="35" spans="3:10" outlineLevel="1" x14ac:dyDescent="0.2">
      <c r="J35" s="26"/>
    </row>
    <row r="36" spans="3:10" outlineLevel="1" x14ac:dyDescent="0.2">
      <c r="J36" s="26"/>
    </row>
    <row r="37" spans="3:10" outlineLevel="1" x14ac:dyDescent="0.2">
      <c r="J37" s="26"/>
    </row>
    <row r="38" spans="3:10" outlineLevel="1" x14ac:dyDescent="0.2">
      <c r="C38" s="11" t="s">
        <v>91</v>
      </c>
      <c r="F38" s="33" t="s">
        <v>86</v>
      </c>
      <c r="G38" s="33" t="s">
        <v>87</v>
      </c>
      <c r="H38" s="33" t="s">
        <v>92</v>
      </c>
      <c r="I38" s="33" t="s">
        <v>93</v>
      </c>
      <c r="J38" s="26"/>
    </row>
    <row r="39" spans="3:10" outlineLevel="1" x14ac:dyDescent="0.2">
      <c r="F39" s="42" t="s">
        <v>88</v>
      </c>
      <c r="G39" s="42" t="s">
        <v>89</v>
      </c>
      <c r="H39" s="42" t="s">
        <v>90</v>
      </c>
      <c r="I39" s="42" t="s">
        <v>90</v>
      </c>
      <c r="J39" s="26"/>
    </row>
    <row r="40" spans="3:10" outlineLevel="1" x14ac:dyDescent="0.2">
      <c r="F40" s="19">
        <v>0</v>
      </c>
      <c r="G40" s="40">
        <f>F40*conv_BbltoMcf</f>
        <v>0</v>
      </c>
      <c r="H40" s="37">
        <v>0.5</v>
      </c>
      <c r="I40" s="41">
        <f>1-H40</f>
        <v>0.5</v>
      </c>
      <c r="J40" s="26"/>
    </row>
    <row r="41" spans="3:10" outlineLevel="1" x14ac:dyDescent="0.2">
      <c r="F41" s="19">
        <v>150</v>
      </c>
      <c r="G41" s="40">
        <f>F41*conv_BbltoMcf</f>
        <v>900</v>
      </c>
      <c r="H41" s="21">
        <v>0.75</v>
      </c>
      <c r="I41" s="41">
        <f>1-H41</f>
        <v>0.25</v>
      </c>
      <c r="J41" s="26"/>
    </row>
    <row r="42" spans="3:10" outlineLevel="1" x14ac:dyDescent="0.2">
      <c r="F42" s="16" t="s">
        <v>94</v>
      </c>
      <c r="G42" s="16" t="s">
        <v>95</v>
      </c>
      <c r="H42" s="16" t="s">
        <v>96</v>
      </c>
      <c r="I42" s="16" t="s">
        <v>97</v>
      </c>
      <c r="J42" s="26"/>
    </row>
    <row r="43" spans="3:10" outlineLevel="1" x14ac:dyDescent="0.2">
      <c r="J43" s="26"/>
    </row>
    <row r="44" spans="3:10" outlineLevel="1" x14ac:dyDescent="0.2">
      <c r="J44" s="26"/>
    </row>
    <row r="45" spans="3:10" outlineLevel="1" x14ac:dyDescent="0.2">
      <c r="C45" s="11" t="s">
        <v>100</v>
      </c>
      <c r="F45" s="33" t="s">
        <v>86</v>
      </c>
      <c r="G45" s="33" t="s">
        <v>101</v>
      </c>
      <c r="H45" s="33" t="s">
        <v>102</v>
      </c>
      <c r="J45" s="26"/>
    </row>
    <row r="46" spans="3:10" outlineLevel="1" x14ac:dyDescent="0.2">
      <c r="D46" t="s">
        <v>99</v>
      </c>
      <c r="F46" s="42" t="s">
        <v>88</v>
      </c>
      <c r="G46" s="42" t="s">
        <v>90</v>
      </c>
      <c r="H46" s="42" t="s">
        <v>90</v>
      </c>
      <c r="J46" s="26"/>
    </row>
    <row r="47" spans="3:10" outlineLevel="1" x14ac:dyDescent="0.2">
      <c r="F47" s="19">
        <v>0</v>
      </c>
      <c r="G47" s="37">
        <v>0.66</v>
      </c>
      <c r="H47" s="41">
        <f>1-G47</f>
        <v>0.33999999999999997</v>
      </c>
      <c r="J47" s="26"/>
    </row>
    <row r="48" spans="3:10" outlineLevel="1" x14ac:dyDescent="0.2">
      <c r="F48" s="19">
        <v>150</v>
      </c>
      <c r="G48" s="21">
        <v>0.7</v>
      </c>
      <c r="H48" s="41">
        <f>1-G48</f>
        <v>0.30000000000000004</v>
      </c>
      <c r="J48" s="26"/>
    </row>
    <row r="49" spans="3:10" outlineLevel="1" x14ac:dyDescent="0.2">
      <c r="F49" s="16" t="s">
        <v>103</v>
      </c>
      <c r="G49" s="16" t="s">
        <v>104</v>
      </c>
      <c r="H49" s="16" t="s">
        <v>105</v>
      </c>
      <c r="J49" s="26"/>
    </row>
    <row r="50" spans="3:10" outlineLevel="1" x14ac:dyDescent="0.2">
      <c r="J50" s="26"/>
    </row>
    <row r="51" spans="3:10" outlineLevel="1" x14ac:dyDescent="0.2">
      <c r="J51" s="26"/>
    </row>
    <row r="52" spans="3:10" outlineLevel="1" x14ac:dyDescent="0.2">
      <c r="C52" s="11" t="s">
        <v>107</v>
      </c>
      <c r="F52" s="33" t="s">
        <v>86</v>
      </c>
      <c r="G52" s="33" t="s">
        <v>87</v>
      </c>
      <c r="H52" s="33" t="s">
        <v>377</v>
      </c>
      <c r="I52" s="33" t="s">
        <v>378</v>
      </c>
      <c r="J52" s="26"/>
    </row>
    <row r="53" spans="3:10" outlineLevel="1" x14ac:dyDescent="0.2">
      <c r="F53" s="42" t="s">
        <v>88</v>
      </c>
      <c r="G53" s="42" t="s">
        <v>89</v>
      </c>
      <c r="H53" s="42" t="s">
        <v>90</v>
      </c>
      <c r="I53" s="42" t="s">
        <v>90</v>
      </c>
      <c r="J53" s="26"/>
    </row>
    <row r="54" spans="3:10" outlineLevel="1" x14ac:dyDescent="0.2">
      <c r="F54" s="19">
        <v>0</v>
      </c>
      <c r="G54" s="40">
        <f>F54*conv_BbltoMcf</f>
        <v>0</v>
      </c>
      <c r="H54" s="37">
        <v>0.5</v>
      </c>
      <c r="I54" s="41">
        <f>1-H54</f>
        <v>0.5</v>
      </c>
      <c r="J54" s="26"/>
    </row>
    <row r="55" spans="3:10" outlineLevel="1" x14ac:dyDescent="0.2">
      <c r="F55" s="19">
        <v>150</v>
      </c>
      <c r="G55" s="40">
        <f>F55*conv_BbltoMcf</f>
        <v>900</v>
      </c>
      <c r="H55" s="21">
        <v>0.75</v>
      </c>
      <c r="I55" s="41">
        <f>1-H55</f>
        <v>0.25</v>
      </c>
      <c r="J55" s="26"/>
    </row>
    <row r="56" spans="3:10" outlineLevel="1" x14ac:dyDescent="0.2">
      <c r="F56" s="16" t="s">
        <v>106</v>
      </c>
      <c r="G56" s="16" t="s">
        <v>108</v>
      </c>
      <c r="H56" s="16" t="s">
        <v>109</v>
      </c>
      <c r="I56" s="16" t="s">
        <v>110</v>
      </c>
      <c r="J56" s="26"/>
    </row>
    <row r="57" spans="3:10" outlineLevel="1" x14ac:dyDescent="0.2">
      <c r="J57" s="26"/>
    </row>
    <row r="58" spans="3:10" outlineLevel="1" x14ac:dyDescent="0.2">
      <c r="J58" s="26"/>
    </row>
    <row r="59" spans="3:10" outlineLevel="1" x14ac:dyDescent="0.2">
      <c r="C59" s="11" t="s">
        <v>309</v>
      </c>
      <c r="F59" s="38" t="s">
        <v>75</v>
      </c>
      <c r="G59" s="42" t="s">
        <v>46</v>
      </c>
      <c r="J59" s="26"/>
    </row>
    <row r="60" spans="3:10" outlineLevel="1" x14ac:dyDescent="0.2">
      <c r="D60" t="s">
        <v>111</v>
      </c>
      <c r="F60" s="36" t="d">
        <f>effective_date_Loango</f>
        <v>2013-01-01</v>
      </c>
      <c r="G60" s="43">
        <v>90</v>
      </c>
      <c r="J60" s="26"/>
    </row>
    <row r="61" spans="3:10" outlineLevel="1" x14ac:dyDescent="0.2">
      <c r="F61" s="34" t="d">
        <f>EOMONTH(F60,71)+1</f>
        <v>2019-01-01</v>
      </c>
      <c r="G61" s="43">
        <v>32</v>
      </c>
      <c r="J61" s="26"/>
    </row>
    <row r="62" spans="3:10" outlineLevel="1" x14ac:dyDescent="0.2">
      <c r="F62" s="16" t="s">
        <v>112</v>
      </c>
      <c r="G62" s="16" t="s">
        <v>113</v>
      </c>
      <c r="J62" s="26"/>
    </row>
    <row r="63" spans="3:10" outlineLevel="1" x14ac:dyDescent="0.2">
      <c r="J63" s="26"/>
    </row>
    <row r="64" spans="3:10" outlineLevel="1" x14ac:dyDescent="0.2">
      <c r="J64" s="26"/>
    </row>
    <row r="65" spans="1:93" ht="16" thickBot="1" x14ac:dyDescent="0.25">
      <c r="J65" s="26"/>
    </row>
    <row r="66" spans="1:93" ht="22" thickBot="1" x14ac:dyDescent="0.25">
      <c r="A66" s="8"/>
      <c r="B66" s="221" t="s">
        <v>114</v>
      </c>
      <c r="C66" s="222"/>
      <c r="D66" s="222"/>
      <c r="E66" s="223"/>
      <c r="F66" s="9"/>
      <c r="G66" s="9"/>
      <c r="H66" s="9"/>
      <c r="I66" s="9"/>
      <c r="J66" s="48"/>
      <c r="K66" s="10"/>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row>
    <row r="67" spans="1:93" outlineLevel="1" x14ac:dyDescent="0.2">
      <c r="J67" s="26"/>
    </row>
    <row r="68" spans="1:93" outlineLevel="1" x14ac:dyDescent="0.2">
      <c r="C68" s="11" t="s">
        <v>115</v>
      </c>
      <c r="J68" s="26"/>
    </row>
    <row r="69" spans="1:93" outlineLevel="1" x14ac:dyDescent="0.2">
      <c r="D69" t="s">
        <v>316</v>
      </c>
      <c r="G69" s="37">
        <v>0.1</v>
      </c>
      <c r="H69" s="16" t="s">
        <v>118</v>
      </c>
      <c r="J69" s="26"/>
    </row>
    <row r="70" spans="1:93" outlineLevel="1" x14ac:dyDescent="0.2">
      <c r="D70" t="s">
        <v>116</v>
      </c>
      <c r="G70" s="37">
        <f>1-G69</f>
        <v>0.9</v>
      </c>
      <c r="H70" s="16" t="s">
        <v>120</v>
      </c>
      <c r="J70" s="26"/>
    </row>
    <row r="71" spans="1:93" outlineLevel="1" x14ac:dyDescent="0.2">
      <c r="J71" s="26"/>
    </row>
    <row r="72" spans="1:93" outlineLevel="1" x14ac:dyDescent="0.2">
      <c r="D72" t="s">
        <v>117</v>
      </c>
      <c r="G72" s="44">
        <v>0</v>
      </c>
      <c r="H72" s="16" t="s">
        <v>119</v>
      </c>
      <c r="J72" s="26"/>
    </row>
    <row r="73" spans="1:93" outlineLevel="1" x14ac:dyDescent="0.2">
      <c r="J73" s="26"/>
    </row>
    <row r="74" spans="1:93" outlineLevel="1" x14ac:dyDescent="0.2">
      <c r="J74" s="26"/>
    </row>
    <row r="75" spans="1:93" outlineLevel="1" x14ac:dyDescent="0.2">
      <c r="C75" s="11" t="s">
        <v>121</v>
      </c>
      <c r="H75" s="38" t="s">
        <v>323</v>
      </c>
      <c r="J75" s="26"/>
    </row>
    <row r="76" spans="1:93" outlineLevel="1" x14ac:dyDescent="0.2">
      <c r="D76" t="s">
        <v>317</v>
      </c>
      <c r="F76" s="41">
        <f>NOC_WI_perc</f>
        <v>0.1</v>
      </c>
      <c r="G76" s="16" t="s">
        <v>319</v>
      </c>
      <c r="H76" s="44">
        <v>0</v>
      </c>
      <c r="I76" s="16" t="s">
        <v>324</v>
      </c>
      <c r="J76" s="26"/>
    </row>
    <row r="77" spans="1:93" outlineLevel="1" x14ac:dyDescent="0.2">
      <c r="D77" t="s">
        <v>318</v>
      </c>
      <c r="F77" s="41">
        <f>NOC_WI_perc</f>
        <v>0.1</v>
      </c>
      <c r="G77" s="16" t="s">
        <v>320</v>
      </c>
      <c r="H77" s="44">
        <v>1</v>
      </c>
      <c r="I77" s="16" t="s">
        <v>325</v>
      </c>
      <c r="J77" s="26"/>
    </row>
    <row r="78" spans="1:93" outlineLevel="1" x14ac:dyDescent="0.2">
      <c r="D78" t="s">
        <v>321</v>
      </c>
      <c r="F78" s="41"/>
      <c r="G78" s="16" t="s">
        <v>322</v>
      </c>
      <c r="H78" s="44">
        <v>0</v>
      </c>
      <c r="I78" s="16" t="s">
        <v>326</v>
      </c>
      <c r="J78" s="26"/>
    </row>
    <row r="79" spans="1:93" outlineLevel="1" x14ac:dyDescent="0.2">
      <c r="J79" s="26"/>
    </row>
    <row r="80" spans="1:93" outlineLevel="1" x14ac:dyDescent="0.2">
      <c r="J80" s="26"/>
    </row>
    <row r="81" spans="3:10" outlineLevel="1" x14ac:dyDescent="0.2">
      <c r="C81" s="11" t="s">
        <v>327</v>
      </c>
      <c r="G81" s="37">
        <v>0.75</v>
      </c>
      <c r="H81" s="16" t="s">
        <v>329</v>
      </c>
      <c r="J81" s="26"/>
    </row>
    <row r="82" spans="3:10" outlineLevel="1" x14ac:dyDescent="0.2">
      <c r="C82" t="s">
        <v>328</v>
      </c>
      <c r="J82" s="26"/>
    </row>
    <row r="83" spans="3:10" outlineLevel="1" x14ac:dyDescent="0.2">
      <c r="J83" s="26"/>
    </row>
    <row r="84" spans="3:10" outlineLevel="1" x14ac:dyDescent="0.2">
      <c r="J84" s="26"/>
    </row>
    <row r="85" spans="3:10" outlineLevel="1" x14ac:dyDescent="0.2">
      <c r="J85" s="26"/>
    </row>
    <row r="86" spans="3:10" outlineLevel="1" x14ac:dyDescent="0.2">
      <c r="J86" s="26"/>
    </row>
    <row r="87" spans="3:10" outlineLevel="1" x14ac:dyDescent="0.2">
      <c r="J87" s="26"/>
    </row>
    <row r="88" spans="3:10" outlineLevel="1" x14ac:dyDescent="0.2">
      <c r="J88" s="26"/>
    </row>
    <row r="89" spans="3:10" outlineLevel="1" x14ac:dyDescent="0.2">
      <c r="J89" s="26"/>
    </row>
    <row r="90" spans="3:10" outlineLevel="1" x14ac:dyDescent="0.2">
      <c r="J90" s="26"/>
    </row>
    <row r="91" spans="3:10" outlineLevel="1" x14ac:dyDescent="0.2">
      <c r="J91" s="26"/>
    </row>
    <row r="92" spans="3:10" outlineLevel="1" x14ac:dyDescent="0.2">
      <c r="J92" s="26"/>
    </row>
    <row r="93" spans="3:10" outlineLevel="1" x14ac:dyDescent="0.2">
      <c r="J93" s="26"/>
    </row>
    <row r="94" spans="3:10" outlineLevel="1" x14ac:dyDescent="0.2">
      <c r="J94" s="26"/>
    </row>
    <row r="95" spans="3:10" outlineLevel="1" x14ac:dyDescent="0.2">
      <c r="J95" s="26"/>
    </row>
    <row r="96" spans="3:10" outlineLevel="1" x14ac:dyDescent="0.2">
      <c r="J96" s="26"/>
    </row>
    <row r="97" spans="1:93" outlineLevel="1" x14ac:dyDescent="0.2">
      <c r="J97" s="26"/>
    </row>
    <row r="98" spans="1:93" outlineLevel="1" x14ac:dyDescent="0.2">
      <c r="J98" s="26"/>
    </row>
    <row r="99" spans="1:93" outlineLevel="1" x14ac:dyDescent="0.2">
      <c r="J99" s="26"/>
    </row>
    <row r="100" spans="1:93" outlineLevel="1" x14ac:dyDescent="0.2">
      <c r="J100" s="26"/>
    </row>
    <row r="101" spans="1:93" outlineLevel="1" x14ac:dyDescent="0.2">
      <c r="J101" s="26"/>
    </row>
    <row r="102" spans="1:93" outlineLevel="1" x14ac:dyDescent="0.2">
      <c r="J102" s="26"/>
    </row>
    <row r="103" spans="1:93" x14ac:dyDescent="0.2">
      <c r="J103" s="26"/>
    </row>
    <row r="104" spans="1:93" ht="16" thickBot="1" x14ac:dyDescent="0.25">
      <c r="J104" s="26"/>
    </row>
    <row r="105" spans="1:93" ht="22" thickBot="1" x14ac:dyDescent="0.25">
      <c r="A105" s="8"/>
      <c r="B105" s="221" t="s">
        <v>122</v>
      </c>
      <c r="C105" s="222"/>
      <c r="D105" s="222"/>
      <c r="E105" s="223"/>
      <c r="F105" s="9"/>
      <c r="G105" s="9"/>
      <c r="H105" s="9"/>
      <c r="I105" s="9"/>
      <c r="J105" s="48"/>
      <c r="K105" s="10"/>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row>
    <row r="106" spans="1:93" outlineLevel="1" x14ac:dyDescent="0.2">
      <c r="J106" s="26"/>
    </row>
    <row r="107" spans="1:93" outlineLevel="1" x14ac:dyDescent="0.2">
      <c r="A107" s="45"/>
      <c r="B107" s="38" t="s">
        <v>123</v>
      </c>
      <c r="C107" s="45"/>
      <c r="D107" s="45"/>
      <c r="E107" s="45"/>
      <c r="J107" s="26"/>
    </row>
    <row r="108" spans="1:93" outlineLevel="1" x14ac:dyDescent="0.2">
      <c r="J108" s="26"/>
    </row>
    <row r="109" spans="1:93" outlineLevel="1" x14ac:dyDescent="0.2">
      <c r="C109" s="11" t="s">
        <v>124</v>
      </c>
      <c r="J109" s="26"/>
    </row>
    <row r="110" spans="1:93" outlineLevel="1" x14ac:dyDescent="0.2">
      <c r="D110" t="s">
        <v>70</v>
      </c>
      <c r="I110" s="30">
        <f ca="1">SUM($L110:$BS110)</f>
        <v>175.91808291477389</v>
      </c>
      <c r="J110" s="26" t="s">
        <v>42</v>
      </c>
      <c r="K110" s="7" t="s">
        <v>131</v>
      </c>
      <c r="L110" s="49">
        <f t="shared" ref="L110:AQ110" ca="1" si="1">IF(L4&gt;=YEAR(effective_date_Loango),(OFFSET(_xlfn.SINGLE(IA_prod_oil),,date_offset_Loango)*_xlfn.SINGLE(IA_Days)/1000),0)</f>
        <v>7.0982879319049994</v>
      </c>
      <c r="M110" s="49">
        <f t="shared" ca="1" si="1"/>
        <v>7.3666552579249993</v>
      </c>
      <c r="N110" s="49">
        <f t="shared" ca="1" si="1"/>
        <v>5.5832165472149997</v>
      </c>
      <c r="O110" s="49">
        <f t="shared" ca="1" si="1"/>
        <v>6.2220890254739993</v>
      </c>
      <c r="P110" s="49">
        <f t="shared" ca="1" si="1"/>
        <v>12.875027128355001</v>
      </c>
      <c r="Q110" s="49">
        <f t="shared" ca="1" si="1"/>
        <v>20.306633656669998</v>
      </c>
      <c r="R110" s="49">
        <f t="shared" ca="1" si="1"/>
        <v>20.570378694594996</v>
      </c>
      <c r="S110" s="49">
        <f t="shared" ca="1" si="1"/>
        <v>19.049641200000003</v>
      </c>
      <c r="T110" s="49">
        <f t="shared" ca="1" si="1"/>
        <v>17.66776149</v>
      </c>
      <c r="U110" s="49">
        <f t="shared" ca="1" si="1"/>
        <v>16.431018185699998</v>
      </c>
      <c r="V110" s="49">
        <f t="shared" ca="1" si="1"/>
        <v>15.280846912700998</v>
      </c>
      <c r="W110" s="49">
        <f t="shared" ca="1" si="1"/>
        <v>14.250122389438808</v>
      </c>
      <c r="X110" s="49">
        <f t="shared" ca="1" si="1"/>
        <v>13.216404494795091</v>
      </c>
      <c r="Y110" s="49">
        <f t="shared" ca="1" si="1"/>
        <v>0</v>
      </c>
      <c r="Z110" s="49">
        <f t="shared" ca="1" si="1"/>
        <v>0</v>
      </c>
      <c r="AA110" s="49">
        <f t="shared" ca="1" si="1"/>
        <v>0</v>
      </c>
      <c r="AB110" s="49">
        <f t="shared" ca="1" si="1"/>
        <v>0</v>
      </c>
      <c r="AC110" s="49">
        <f t="shared" ca="1" si="1"/>
        <v>0</v>
      </c>
      <c r="AD110" s="49">
        <f t="shared" ca="1" si="1"/>
        <v>0</v>
      </c>
      <c r="AE110" s="49">
        <f t="shared" ca="1" si="1"/>
        <v>0</v>
      </c>
      <c r="AF110" s="49">
        <f t="shared" ca="1" si="1"/>
        <v>0</v>
      </c>
      <c r="AG110" s="49">
        <f t="shared" ca="1" si="1"/>
        <v>0</v>
      </c>
      <c r="AH110" s="49">
        <f t="shared" ca="1" si="1"/>
        <v>0</v>
      </c>
      <c r="AI110" s="49">
        <f t="shared" ca="1" si="1"/>
        <v>0</v>
      </c>
      <c r="AJ110" s="49">
        <f t="shared" ca="1" si="1"/>
        <v>0</v>
      </c>
      <c r="AK110" s="49">
        <f t="shared" ca="1" si="1"/>
        <v>0</v>
      </c>
      <c r="AL110" s="49">
        <f t="shared" ca="1" si="1"/>
        <v>0</v>
      </c>
      <c r="AM110" s="49">
        <f t="shared" ca="1" si="1"/>
        <v>0</v>
      </c>
      <c r="AN110" s="49">
        <f t="shared" ca="1" si="1"/>
        <v>0</v>
      </c>
      <c r="AO110" s="49">
        <f t="shared" ca="1" si="1"/>
        <v>0</v>
      </c>
      <c r="AP110" s="49">
        <f t="shared" ca="1" si="1"/>
        <v>0</v>
      </c>
      <c r="AQ110" s="49">
        <f t="shared" ca="1" si="1"/>
        <v>0</v>
      </c>
      <c r="AR110" s="49">
        <f t="shared" ref="AR110:BS110" ca="1" si="2">IF(AR4&gt;=YEAR(effective_date_Loango),(OFFSET(_xlfn.SINGLE(IA_prod_oil),,date_offset_Loango)*_xlfn.SINGLE(IA_Days)/1000),0)</f>
        <v>0</v>
      </c>
      <c r="AS110" s="49">
        <f t="shared" ca="1" si="2"/>
        <v>0</v>
      </c>
      <c r="AT110" s="49">
        <f t="shared" ca="1" si="2"/>
        <v>0</v>
      </c>
      <c r="AU110" s="49">
        <f t="shared" ca="1" si="2"/>
        <v>0</v>
      </c>
      <c r="AV110" s="49">
        <f t="shared" ca="1" si="2"/>
        <v>0</v>
      </c>
      <c r="AW110" s="49">
        <f t="shared" ca="1" si="2"/>
        <v>0</v>
      </c>
      <c r="AX110" s="49">
        <f t="shared" ca="1" si="2"/>
        <v>0</v>
      </c>
      <c r="AY110" s="49">
        <f t="shared" ca="1" si="2"/>
        <v>0</v>
      </c>
      <c r="AZ110" s="49">
        <f t="shared" ca="1" si="2"/>
        <v>0</v>
      </c>
      <c r="BA110" s="49">
        <f t="shared" ca="1" si="2"/>
        <v>0</v>
      </c>
      <c r="BB110" s="49">
        <f t="shared" ca="1" si="2"/>
        <v>0</v>
      </c>
      <c r="BC110" s="49">
        <f t="shared" ca="1" si="2"/>
        <v>0</v>
      </c>
      <c r="BD110" s="49">
        <f t="shared" ca="1" si="2"/>
        <v>0</v>
      </c>
      <c r="BE110" s="49">
        <f t="shared" ca="1" si="2"/>
        <v>0</v>
      </c>
      <c r="BF110" s="49">
        <f t="shared" ca="1" si="2"/>
        <v>0</v>
      </c>
      <c r="BG110" s="49">
        <f t="shared" ca="1" si="2"/>
        <v>0</v>
      </c>
      <c r="BH110" s="49">
        <f t="shared" ca="1" si="2"/>
        <v>0</v>
      </c>
      <c r="BI110" s="49">
        <f t="shared" ca="1" si="2"/>
        <v>0</v>
      </c>
      <c r="BJ110" s="49">
        <f t="shared" ca="1" si="2"/>
        <v>0</v>
      </c>
      <c r="BK110" s="49">
        <f t="shared" ca="1" si="2"/>
        <v>0</v>
      </c>
      <c r="BL110" s="49">
        <f t="shared" ca="1" si="2"/>
        <v>0</v>
      </c>
      <c r="BM110" s="49">
        <f t="shared" ca="1" si="2"/>
        <v>0</v>
      </c>
      <c r="BN110" s="49">
        <f t="shared" ca="1" si="2"/>
        <v>0</v>
      </c>
      <c r="BO110" s="49">
        <f t="shared" ca="1" si="2"/>
        <v>0</v>
      </c>
      <c r="BP110" s="49">
        <f t="shared" ca="1" si="2"/>
        <v>0</v>
      </c>
      <c r="BQ110" s="49">
        <f t="shared" ca="1" si="2"/>
        <v>0</v>
      </c>
      <c r="BR110" s="49">
        <f t="shared" ca="1" si="2"/>
        <v>0</v>
      </c>
      <c r="BS110" s="49">
        <f t="shared" ca="1" si="2"/>
        <v>0</v>
      </c>
    </row>
    <row r="111" spans="1:93" outlineLevel="1" x14ac:dyDescent="0.2">
      <c r="D111" t="s">
        <v>71</v>
      </c>
      <c r="I111" s="46">
        <f ca="1">SUM($L111:$BS111)</f>
        <v>0</v>
      </c>
      <c r="J111" s="26" t="s">
        <v>45</v>
      </c>
      <c r="K111" s="7" t="s">
        <v>132</v>
      </c>
      <c r="L111" s="54">
        <f t="shared" ref="L111:AQ111" ca="1" si="3">IF(L4&gt;=YEAR(effective_date_Loango),(OFFSET(_xlfn.SINGLE(IA_prod_gas),,date_offset_Loango)*_xlfn.SINGLE(IA_Days)/1000),0)</f>
        <v>0</v>
      </c>
      <c r="M111" s="54">
        <f t="shared" ca="1" si="3"/>
        <v>0</v>
      </c>
      <c r="N111" s="54">
        <f t="shared" ca="1" si="3"/>
        <v>0</v>
      </c>
      <c r="O111" s="54">
        <f t="shared" ca="1" si="3"/>
        <v>0</v>
      </c>
      <c r="P111" s="54">
        <f t="shared" ca="1" si="3"/>
        <v>0</v>
      </c>
      <c r="Q111" s="54">
        <f t="shared" ca="1" si="3"/>
        <v>0</v>
      </c>
      <c r="R111" s="54">
        <f t="shared" ca="1" si="3"/>
        <v>0</v>
      </c>
      <c r="S111" s="54">
        <f t="shared" ca="1" si="3"/>
        <v>0</v>
      </c>
      <c r="T111" s="54">
        <f t="shared" ca="1" si="3"/>
        <v>0</v>
      </c>
      <c r="U111" s="54">
        <f t="shared" ca="1" si="3"/>
        <v>0</v>
      </c>
      <c r="V111" s="54">
        <f t="shared" ca="1" si="3"/>
        <v>0</v>
      </c>
      <c r="W111" s="54">
        <f t="shared" ca="1" si="3"/>
        <v>0</v>
      </c>
      <c r="X111" s="54">
        <f t="shared" ca="1" si="3"/>
        <v>0</v>
      </c>
      <c r="Y111" s="54">
        <f t="shared" ca="1" si="3"/>
        <v>0</v>
      </c>
      <c r="Z111" s="54">
        <f t="shared" ca="1" si="3"/>
        <v>0</v>
      </c>
      <c r="AA111" s="54">
        <f t="shared" ca="1" si="3"/>
        <v>0</v>
      </c>
      <c r="AB111" s="54">
        <f t="shared" ca="1" si="3"/>
        <v>0</v>
      </c>
      <c r="AC111" s="54">
        <f t="shared" ca="1" si="3"/>
        <v>0</v>
      </c>
      <c r="AD111" s="54">
        <f t="shared" ca="1" si="3"/>
        <v>0</v>
      </c>
      <c r="AE111" s="54">
        <f t="shared" ca="1" si="3"/>
        <v>0</v>
      </c>
      <c r="AF111" s="54">
        <f t="shared" ca="1" si="3"/>
        <v>0</v>
      </c>
      <c r="AG111" s="54">
        <f t="shared" ca="1" si="3"/>
        <v>0</v>
      </c>
      <c r="AH111" s="54">
        <f t="shared" ca="1" si="3"/>
        <v>0</v>
      </c>
      <c r="AI111" s="54">
        <f t="shared" ca="1" si="3"/>
        <v>0</v>
      </c>
      <c r="AJ111" s="54">
        <f t="shared" ca="1" si="3"/>
        <v>0</v>
      </c>
      <c r="AK111" s="54">
        <f t="shared" ca="1" si="3"/>
        <v>0</v>
      </c>
      <c r="AL111" s="54">
        <f t="shared" ca="1" si="3"/>
        <v>0</v>
      </c>
      <c r="AM111" s="54">
        <f t="shared" ca="1" si="3"/>
        <v>0</v>
      </c>
      <c r="AN111" s="54">
        <f t="shared" ca="1" si="3"/>
        <v>0</v>
      </c>
      <c r="AO111" s="54">
        <f t="shared" ca="1" si="3"/>
        <v>0</v>
      </c>
      <c r="AP111" s="54">
        <f t="shared" ca="1" si="3"/>
        <v>0</v>
      </c>
      <c r="AQ111" s="54">
        <f t="shared" ca="1" si="3"/>
        <v>0</v>
      </c>
      <c r="AR111" s="54">
        <f t="shared" ref="AR111:BS111" ca="1" si="4">IF(AR4&gt;=YEAR(effective_date_Loango),(OFFSET(_xlfn.SINGLE(IA_prod_gas),,date_offset_Loango)*_xlfn.SINGLE(IA_Days)/1000),0)</f>
        <v>0</v>
      </c>
      <c r="AS111" s="54">
        <f t="shared" ca="1" si="4"/>
        <v>0</v>
      </c>
      <c r="AT111" s="54">
        <f t="shared" ca="1" si="4"/>
        <v>0</v>
      </c>
      <c r="AU111" s="54">
        <f t="shared" ca="1" si="4"/>
        <v>0</v>
      </c>
      <c r="AV111" s="54">
        <f t="shared" ca="1" si="4"/>
        <v>0</v>
      </c>
      <c r="AW111" s="54">
        <f t="shared" ca="1" si="4"/>
        <v>0</v>
      </c>
      <c r="AX111" s="54">
        <f t="shared" ca="1" si="4"/>
        <v>0</v>
      </c>
      <c r="AY111" s="54">
        <f t="shared" ca="1" si="4"/>
        <v>0</v>
      </c>
      <c r="AZ111" s="54">
        <f t="shared" ca="1" si="4"/>
        <v>0</v>
      </c>
      <c r="BA111" s="54">
        <f t="shared" ca="1" si="4"/>
        <v>0</v>
      </c>
      <c r="BB111" s="54">
        <f t="shared" ca="1" si="4"/>
        <v>0</v>
      </c>
      <c r="BC111" s="54">
        <f t="shared" ca="1" si="4"/>
        <v>0</v>
      </c>
      <c r="BD111" s="54">
        <f t="shared" ca="1" si="4"/>
        <v>0</v>
      </c>
      <c r="BE111" s="54">
        <f t="shared" ca="1" si="4"/>
        <v>0</v>
      </c>
      <c r="BF111" s="54">
        <f t="shared" ca="1" si="4"/>
        <v>0</v>
      </c>
      <c r="BG111" s="54">
        <f t="shared" ca="1" si="4"/>
        <v>0</v>
      </c>
      <c r="BH111" s="54">
        <f t="shared" ca="1" si="4"/>
        <v>0</v>
      </c>
      <c r="BI111" s="54">
        <f t="shared" ca="1" si="4"/>
        <v>0</v>
      </c>
      <c r="BJ111" s="54">
        <f t="shared" ca="1" si="4"/>
        <v>0</v>
      </c>
      <c r="BK111" s="54">
        <f t="shared" ca="1" si="4"/>
        <v>0</v>
      </c>
      <c r="BL111" s="54">
        <f t="shared" ca="1" si="4"/>
        <v>0</v>
      </c>
      <c r="BM111" s="54">
        <f t="shared" ca="1" si="4"/>
        <v>0</v>
      </c>
      <c r="BN111" s="54">
        <f t="shared" ca="1" si="4"/>
        <v>0</v>
      </c>
      <c r="BO111" s="54">
        <f t="shared" ca="1" si="4"/>
        <v>0</v>
      </c>
      <c r="BP111" s="54">
        <f t="shared" ca="1" si="4"/>
        <v>0</v>
      </c>
      <c r="BQ111" s="54">
        <f t="shared" ca="1" si="4"/>
        <v>0</v>
      </c>
      <c r="BR111" s="54">
        <f t="shared" ca="1" si="4"/>
        <v>0</v>
      </c>
      <c r="BS111" s="54">
        <f t="shared" ca="1" si="4"/>
        <v>0</v>
      </c>
    </row>
    <row r="112" spans="1:93" outlineLevel="1" x14ac:dyDescent="0.2">
      <c r="A112" s="6"/>
      <c r="B112" s="6"/>
      <c r="C112" s="6"/>
      <c r="D112" s="47" t="s">
        <v>129</v>
      </c>
      <c r="E112" s="6"/>
      <c r="F112" s="6"/>
      <c r="G112" s="6"/>
      <c r="H112" s="6"/>
      <c r="I112" s="30">
        <f ca="1">SUM($L112:$BS112)</f>
        <v>175.91808291477389</v>
      </c>
      <c r="J112" s="26" t="s">
        <v>130</v>
      </c>
      <c r="K112" s="7" t="s">
        <v>133</v>
      </c>
      <c r="L112" s="49">
        <f t="shared" ref="L112:BS112" ca="1" si="5">SUM(L110,L111/conv_BbltoMcf)</f>
        <v>7.0982879319049994</v>
      </c>
      <c r="M112" s="49">
        <f t="shared" ca="1" si="5"/>
        <v>7.3666552579249993</v>
      </c>
      <c r="N112" s="49">
        <f t="shared" ca="1" si="5"/>
        <v>5.5832165472149997</v>
      </c>
      <c r="O112" s="49">
        <f t="shared" ca="1" si="5"/>
        <v>6.2220890254739993</v>
      </c>
      <c r="P112" s="49">
        <f t="shared" ca="1" si="5"/>
        <v>12.875027128355001</v>
      </c>
      <c r="Q112" s="49">
        <f t="shared" ca="1" si="5"/>
        <v>20.306633656669998</v>
      </c>
      <c r="R112" s="49">
        <f t="shared" ca="1" si="5"/>
        <v>20.570378694594996</v>
      </c>
      <c r="S112" s="49">
        <f t="shared" ca="1" si="5"/>
        <v>19.049641200000003</v>
      </c>
      <c r="T112" s="49">
        <f t="shared" ca="1" si="5"/>
        <v>17.66776149</v>
      </c>
      <c r="U112" s="49">
        <f t="shared" ca="1" si="5"/>
        <v>16.431018185699998</v>
      </c>
      <c r="V112" s="49">
        <f t="shared" ca="1" si="5"/>
        <v>15.280846912700998</v>
      </c>
      <c r="W112" s="49">
        <f t="shared" ca="1" si="5"/>
        <v>14.250122389438808</v>
      </c>
      <c r="X112" s="49">
        <f t="shared" ca="1" si="5"/>
        <v>13.216404494795091</v>
      </c>
      <c r="Y112" s="49">
        <f t="shared" ca="1" si="5"/>
        <v>0</v>
      </c>
      <c r="Z112" s="49">
        <f t="shared" ca="1" si="5"/>
        <v>0</v>
      </c>
      <c r="AA112" s="49">
        <f t="shared" ca="1" si="5"/>
        <v>0</v>
      </c>
      <c r="AB112" s="49">
        <f t="shared" ca="1" si="5"/>
        <v>0</v>
      </c>
      <c r="AC112" s="49">
        <f t="shared" ca="1" si="5"/>
        <v>0</v>
      </c>
      <c r="AD112" s="49">
        <f t="shared" ca="1" si="5"/>
        <v>0</v>
      </c>
      <c r="AE112" s="49">
        <f t="shared" ca="1" si="5"/>
        <v>0</v>
      </c>
      <c r="AF112" s="49">
        <f t="shared" ca="1" si="5"/>
        <v>0</v>
      </c>
      <c r="AG112" s="49">
        <f t="shared" ca="1" si="5"/>
        <v>0</v>
      </c>
      <c r="AH112" s="49">
        <f t="shared" ca="1" si="5"/>
        <v>0</v>
      </c>
      <c r="AI112" s="49">
        <f t="shared" ca="1" si="5"/>
        <v>0</v>
      </c>
      <c r="AJ112" s="49">
        <f t="shared" ca="1" si="5"/>
        <v>0</v>
      </c>
      <c r="AK112" s="49">
        <f t="shared" ca="1" si="5"/>
        <v>0</v>
      </c>
      <c r="AL112" s="49">
        <f t="shared" ca="1" si="5"/>
        <v>0</v>
      </c>
      <c r="AM112" s="49">
        <f t="shared" ca="1" si="5"/>
        <v>0</v>
      </c>
      <c r="AN112" s="49">
        <f t="shared" ca="1" si="5"/>
        <v>0</v>
      </c>
      <c r="AO112" s="49">
        <f t="shared" ca="1" si="5"/>
        <v>0</v>
      </c>
      <c r="AP112" s="49">
        <f t="shared" ca="1" si="5"/>
        <v>0</v>
      </c>
      <c r="AQ112" s="49">
        <f t="shared" ca="1" si="5"/>
        <v>0</v>
      </c>
      <c r="AR112" s="49">
        <f t="shared" ca="1" si="5"/>
        <v>0</v>
      </c>
      <c r="AS112" s="49">
        <f t="shared" ca="1" si="5"/>
        <v>0</v>
      </c>
      <c r="AT112" s="49">
        <f t="shared" ca="1" si="5"/>
        <v>0</v>
      </c>
      <c r="AU112" s="49">
        <f t="shared" ca="1" si="5"/>
        <v>0</v>
      </c>
      <c r="AV112" s="49">
        <f t="shared" ca="1" si="5"/>
        <v>0</v>
      </c>
      <c r="AW112" s="49">
        <f t="shared" ca="1" si="5"/>
        <v>0</v>
      </c>
      <c r="AX112" s="49">
        <f t="shared" ca="1" si="5"/>
        <v>0</v>
      </c>
      <c r="AY112" s="49">
        <f t="shared" ca="1" si="5"/>
        <v>0</v>
      </c>
      <c r="AZ112" s="49">
        <f t="shared" ca="1" si="5"/>
        <v>0</v>
      </c>
      <c r="BA112" s="49">
        <f t="shared" ca="1" si="5"/>
        <v>0</v>
      </c>
      <c r="BB112" s="49">
        <f t="shared" ca="1" si="5"/>
        <v>0</v>
      </c>
      <c r="BC112" s="49">
        <f t="shared" ca="1" si="5"/>
        <v>0</v>
      </c>
      <c r="BD112" s="49">
        <f t="shared" ca="1" si="5"/>
        <v>0</v>
      </c>
      <c r="BE112" s="49">
        <f t="shared" ca="1" si="5"/>
        <v>0</v>
      </c>
      <c r="BF112" s="49">
        <f t="shared" ca="1" si="5"/>
        <v>0</v>
      </c>
      <c r="BG112" s="49">
        <f t="shared" ca="1" si="5"/>
        <v>0</v>
      </c>
      <c r="BH112" s="49">
        <f t="shared" ca="1" si="5"/>
        <v>0</v>
      </c>
      <c r="BI112" s="49">
        <f t="shared" ca="1" si="5"/>
        <v>0</v>
      </c>
      <c r="BJ112" s="49">
        <f t="shared" ca="1" si="5"/>
        <v>0</v>
      </c>
      <c r="BK112" s="49">
        <f t="shared" ca="1" si="5"/>
        <v>0</v>
      </c>
      <c r="BL112" s="49">
        <f t="shared" ca="1" si="5"/>
        <v>0</v>
      </c>
      <c r="BM112" s="49">
        <f t="shared" ca="1" si="5"/>
        <v>0</v>
      </c>
      <c r="BN112" s="49">
        <f t="shared" ca="1" si="5"/>
        <v>0</v>
      </c>
      <c r="BO112" s="49">
        <f t="shared" ca="1" si="5"/>
        <v>0</v>
      </c>
      <c r="BP112" s="49">
        <f t="shared" ca="1" si="5"/>
        <v>0</v>
      </c>
      <c r="BQ112" s="49">
        <f t="shared" ca="1" si="5"/>
        <v>0</v>
      </c>
      <c r="BR112" s="49">
        <f t="shared" ca="1" si="5"/>
        <v>0</v>
      </c>
      <c r="BS112" s="49">
        <f t="shared" ca="1" si="5"/>
        <v>0</v>
      </c>
      <c r="BT112" s="6"/>
      <c r="BU112" s="6"/>
      <c r="BV112" s="6"/>
      <c r="BW112" s="6"/>
      <c r="BX112" s="6"/>
      <c r="BY112" s="6"/>
      <c r="BZ112" s="6"/>
      <c r="CA112" s="6"/>
      <c r="CB112" s="6"/>
      <c r="CC112" s="6"/>
      <c r="CD112" s="6"/>
      <c r="CE112" s="6"/>
      <c r="CF112" s="6"/>
      <c r="CG112" s="6"/>
      <c r="CH112" s="6"/>
      <c r="CI112" s="6"/>
      <c r="CJ112" s="6"/>
      <c r="CK112" s="6"/>
      <c r="CL112" s="6"/>
      <c r="CM112" s="6"/>
      <c r="CN112" s="6"/>
      <c r="CO112" s="6"/>
    </row>
    <row r="113" spans="1:71" outlineLevel="1" x14ac:dyDescent="0.2">
      <c r="J113" s="26"/>
      <c r="L113" s="55"/>
      <c r="M113" s="55"/>
      <c r="N113" s="55"/>
      <c r="O113" s="55"/>
      <c r="P113" s="55"/>
      <c r="Q113" s="55"/>
      <c r="R113" s="55"/>
      <c r="S113" s="55"/>
      <c r="T113" s="55"/>
      <c r="U113" s="55"/>
      <c r="V113" s="55"/>
      <c r="W113" s="55"/>
      <c r="X113" s="55"/>
      <c r="Y113" s="55"/>
      <c r="Z113" s="55"/>
      <c r="AA113" s="55"/>
      <c r="AB113" s="55"/>
      <c r="AC113" s="55"/>
      <c r="AD113" s="55"/>
      <c r="AE113" s="55"/>
      <c r="AF113" s="55"/>
      <c r="AG113" s="55"/>
      <c r="AH113" s="55"/>
      <c r="AI113" s="55"/>
      <c r="AJ113" s="55"/>
      <c r="AK113" s="55"/>
      <c r="AL113" s="55"/>
      <c r="AM113" s="55"/>
      <c r="AN113" s="55"/>
      <c r="AO113" s="55"/>
      <c r="AP113" s="55"/>
      <c r="AQ113" s="55"/>
      <c r="AR113" s="55"/>
      <c r="AS113" s="55"/>
      <c r="AT113" s="55"/>
      <c r="AU113" s="55"/>
      <c r="AV113" s="55"/>
      <c r="AW113" s="55"/>
      <c r="AX113" s="55"/>
      <c r="AY113" s="55"/>
      <c r="AZ113" s="55"/>
      <c r="BA113" s="55"/>
      <c r="BB113" s="55"/>
      <c r="BC113" s="55"/>
      <c r="BD113" s="55"/>
      <c r="BE113" s="55"/>
      <c r="BF113" s="55"/>
      <c r="BG113" s="55"/>
      <c r="BH113" s="55"/>
      <c r="BI113" s="55"/>
      <c r="BJ113" s="55"/>
      <c r="BK113" s="55"/>
      <c r="BL113" s="55"/>
      <c r="BM113" s="55"/>
      <c r="BN113" s="55"/>
      <c r="BO113" s="55"/>
      <c r="BP113" s="55"/>
      <c r="BQ113" s="55"/>
      <c r="BR113" s="55"/>
      <c r="BS113" s="55"/>
    </row>
    <row r="114" spans="1:71" outlineLevel="1" x14ac:dyDescent="0.2">
      <c r="C114" s="11" t="s">
        <v>134</v>
      </c>
      <c r="J114" s="26"/>
      <c r="L114" s="55"/>
      <c r="M114" s="55"/>
      <c r="N114" s="55"/>
      <c r="O114" s="55"/>
      <c r="P114" s="55"/>
      <c r="Q114" s="55"/>
      <c r="R114" s="55"/>
      <c r="S114" s="55"/>
      <c r="T114" s="55"/>
      <c r="U114" s="55"/>
      <c r="V114" s="55"/>
      <c r="W114" s="55"/>
      <c r="X114" s="55"/>
      <c r="Y114" s="55"/>
      <c r="Z114" s="55"/>
      <c r="AA114" s="55"/>
      <c r="AB114" s="55"/>
      <c r="AC114" s="55"/>
      <c r="AD114" s="55"/>
      <c r="AE114" s="55"/>
      <c r="AF114" s="55"/>
      <c r="AG114" s="55"/>
      <c r="AH114" s="55"/>
      <c r="AI114" s="55"/>
      <c r="AJ114" s="55"/>
      <c r="AK114" s="55"/>
      <c r="AL114" s="55"/>
      <c r="AM114" s="55"/>
      <c r="AN114" s="55"/>
      <c r="AO114" s="55"/>
      <c r="AP114" s="55"/>
      <c r="AQ114" s="55"/>
      <c r="AR114" s="55"/>
      <c r="AS114" s="55"/>
      <c r="AT114" s="55"/>
      <c r="AU114" s="55"/>
      <c r="AV114" s="55"/>
      <c r="AW114" s="55"/>
      <c r="AX114" s="55"/>
      <c r="AY114" s="55"/>
      <c r="AZ114" s="55"/>
      <c r="BA114" s="55"/>
      <c r="BB114" s="55"/>
      <c r="BC114" s="55"/>
      <c r="BD114" s="55"/>
      <c r="BE114" s="55"/>
      <c r="BF114" s="55"/>
      <c r="BG114" s="55"/>
      <c r="BH114" s="55"/>
      <c r="BI114" s="55"/>
      <c r="BJ114" s="55"/>
      <c r="BK114" s="55"/>
      <c r="BL114" s="55"/>
      <c r="BM114" s="55"/>
      <c r="BN114" s="55"/>
      <c r="BO114" s="55"/>
      <c r="BP114" s="55"/>
      <c r="BQ114" s="55"/>
      <c r="BR114" s="55"/>
      <c r="BS114" s="55"/>
    </row>
    <row r="115" spans="1:71" outlineLevel="1" x14ac:dyDescent="0.2">
      <c r="D115" t="s">
        <v>70</v>
      </c>
      <c r="J115" s="26" t="s">
        <v>42</v>
      </c>
      <c r="K115" s="7" t="s">
        <v>135</v>
      </c>
      <c r="L115" s="49">
        <f ca="1">SUM(K115)+Loango_II!CA_gross_prod_oil</f>
        <v>7.0982879319049994</v>
      </c>
      <c r="M115" s="49">
        <f ca="1">SUM(L115)+Loango_II!CA_gross_prod_oil</f>
        <v>14.464943189829999</v>
      </c>
      <c r="N115" s="49">
        <f ca="1">SUM(M115)+Loango_II!CA_gross_prod_oil</f>
        <v>20.048159737044998</v>
      </c>
      <c r="O115" s="49">
        <f ca="1">SUM(N115)+Loango_II!CA_gross_prod_oil</f>
        <v>26.270248762518996</v>
      </c>
      <c r="P115" s="49">
        <f ca="1">SUM(O115)+Loango_II!CA_gross_prod_oil</f>
        <v>39.145275890873997</v>
      </c>
      <c r="Q115" s="49">
        <f ca="1">SUM(P115)+Loango_II!CA_gross_prod_oil</f>
        <v>59.451909547543991</v>
      </c>
      <c r="R115" s="49">
        <f ca="1">SUM(Q115)+Loango_II!CA_gross_prod_oil</f>
        <v>80.022288242138984</v>
      </c>
      <c r="S115" s="49">
        <f ca="1">SUM(R115)+Loango_II!CA_gross_prod_oil</f>
        <v>99.07192944213898</v>
      </c>
      <c r="T115" s="49">
        <f ca="1">SUM(S115)+Loango_II!CA_gross_prod_oil</f>
        <v>116.73969093213898</v>
      </c>
      <c r="U115" s="49">
        <f ca="1">SUM(T115)+Loango_II!CA_gross_prod_oil</f>
        <v>133.17070911783898</v>
      </c>
      <c r="V115" s="49">
        <f ca="1">SUM(U115)+Loango_II!CA_gross_prod_oil</f>
        <v>148.45155603053999</v>
      </c>
      <c r="W115" s="49">
        <f ca="1">SUM(V115)+Loango_II!CA_gross_prod_oil</f>
        <v>162.7016784199788</v>
      </c>
      <c r="X115" s="49">
        <f ca="1">SUM(W115)+Loango_II!CA_gross_prod_oil</f>
        <v>175.91808291477389</v>
      </c>
      <c r="Y115" s="49">
        <f ca="1">SUM(X115)+Loango_II!CA_gross_prod_oil</f>
        <v>175.91808291477389</v>
      </c>
      <c r="Z115" s="49">
        <f ca="1">SUM(Y115)+Loango_II!CA_gross_prod_oil</f>
        <v>175.91808291477389</v>
      </c>
      <c r="AA115" s="49">
        <f ca="1">SUM(Z115)+Loango_II!CA_gross_prod_oil</f>
        <v>175.91808291477389</v>
      </c>
      <c r="AB115" s="49">
        <f ca="1">SUM(AA115)+Loango_II!CA_gross_prod_oil</f>
        <v>175.91808291477389</v>
      </c>
      <c r="AC115" s="49">
        <f ca="1">SUM(AB115)+Loango_II!CA_gross_prod_oil</f>
        <v>175.91808291477389</v>
      </c>
      <c r="AD115" s="49">
        <f ca="1">SUM(AC115)+Loango_II!CA_gross_prod_oil</f>
        <v>175.91808291477389</v>
      </c>
      <c r="AE115" s="49">
        <f ca="1">SUM(AD115)+Loango_II!CA_gross_prod_oil</f>
        <v>175.91808291477389</v>
      </c>
      <c r="AF115" s="49">
        <f ca="1">SUM(AE115)+Loango_II!CA_gross_prod_oil</f>
        <v>175.91808291477389</v>
      </c>
      <c r="AG115" s="49">
        <f ca="1">SUM(AF115)+Loango_II!CA_gross_prod_oil</f>
        <v>175.91808291477389</v>
      </c>
      <c r="AH115" s="49">
        <f ca="1">SUM(AG115)+Loango_II!CA_gross_prod_oil</f>
        <v>175.91808291477389</v>
      </c>
      <c r="AI115" s="49">
        <f ca="1">SUM(AH115)+Loango_II!CA_gross_prod_oil</f>
        <v>175.91808291477389</v>
      </c>
      <c r="AJ115" s="49">
        <f ca="1">SUM(AI115)+Loango_II!CA_gross_prod_oil</f>
        <v>175.91808291477389</v>
      </c>
      <c r="AK115" s="49">
        <f ca="1">SUM(AJ115)+Loango_II!CA_gross_prod_oil</f>
        <v>175.91808291477389</v>
      </c>
      <c r="AL115" s="49">
        <f ca="1">SUM(AK115)+Loango_II!CA_gross_prod_oil</f>
        <v>175.91808291477389</v>
      </c>
      <c r="AM115" s="49">
        <f ca="1">SUM(AL115)+Loango_II!CA_gross_prod_oil</f>
        <v>175.91808291477389</v>
      </c>
      <c r="AN115" s="49">
        <f ca="1">SUM(AM115)+Loango_II!CA_gross_prod_oil</f>
        <v>175.91808291477389</v>
      </c>
      <c r="AO115" s="49">
        <f ca="1">SUM(AN115)+Loango_II!CA_gross_prod_oil</f>
        <v>175.91808291477389</v>
      </c>
      <c r="AP115" s="49">
        <f ca="1">SUM(AO115)+Loango_II!CA_gross_prod_oil</f>
        <v>175.91808291477389</v>
      </c>
      <c r="AQ115" s="49">
        <f ca="1">SUM(AP115)+Loango_II!CA_gross_prod_oil</f>
        <v>175.91808291477389</v>
      </c>
      <c r="AR115" s="49">
        <f ca="1">SUM(AQ115)+Loango_II!CA_gross_prod_oil</f>
        <v>175.91808291477389</v>
      </c>
      <c r="AS115" s="49">
        <f ca="1">SUM(AR115)+Loango_II!CA_gross_prod_oil</f>
        <v>175.91808291477389</v>
      </c>
      <c r="AT115" s="49">
        <f ca="1">SUM(AS115)+Loango_II!CA_gross_prod_oil</f>
        <v>175.91808291477389</v>
      </c>
      <c r="AU115" s="49">
        <f ca="1">SUM(AT115)+Loango_II!CA_gross_prod_oil</f>
        <v>175.91808291477389</v>
      </c>
      <c r="AV115" s="49">
        <f ca="1">SUM(AU115)+Loango_II!CA_gross_prod_oil</f>
        <v>175.91808291477389</v>
      </c>
      <c r="AW115" s="49">
        <f ca="1">SUM(AV115)+Loango_II!CA_gross_prod_oil</f>
        <v>175.91808291477389</v>
      </c>
      <c r="AX115" s="49">
        <f ca="1">SUM(AW115)+Loango_II!CA_gross_prod_oil</f>
        <v>175.91808291477389</v>
      </c>
      <c r="AY115" s="49">
        <f ca="1">SUM(AX115)+Loango_II!CA_gross_prod_oil</f>
        <v>175.91808291477389</v>
      </c>
      <c r="AZ115" s="49">
        <f ca="1">SUM(AY115)+Loango_II!CA_gross_prod_oil</f>
        <v>175.91808291477389</v>
      </c>
      <c r="BA115" s="49">
        <f ca="1">SUM(AZ115)+Loango_II!CA_gross_prod_oil</f>
        <v>175.91808291477389</v>
      </c>
      <c r="BB115" s="49">
        <f ca="1">SUM(BA115)+Loango_II!CA_gross_prod_oil</f>
        <v>175.91808291477389</v>
      </c>
      <c r="BC115" s="49">
        <f ca="1">SUM(BB115)+Loango_II!CA_gross_prod_oil</f>
        <v>175.91808291477389</v>
      </c>
      <c r="BD115" s="49">
        <f ca="1">SUM(BC115)+Loango_II!CA_gross_prod_oil</f>
        <v>175.91808291477389</v>
      </c>
      <c r="BE115" s="49">
        <f ca="1">SUM(BD115)+Loango_II!CA_gross_prod_oil</f>
        <v>175.91808291477389</v>
      </c>
      <c r="BF115" s="49">
        <f ca="1">SUM(BE115)+Loango_II!CA_gross_prod_oil</f>
        <v>175.91808291477389</v>
      </c>
      <c r="BG115" s="49">
        <f ca="1">SUM(BF115)+Loango_II!CA_gross_prod_oil</f>
        <v>175.91808291477389</v>
      </c>
      <c r="BH115" s="49">
        <f ca="1">SUM(BG115)+Loango_II!CA_gross_prod_oil</f>
        <v>175.91808291477389</v>
      </c>
      <c r="BI115" s="49">
        <f ca="1">SUM(BH115)+Loango_II!CA_gross_prod_oil</f>
        <v>175.91808291477389</v>
      </c>
      <c r="BJ115" s="49">
        <f ca="1">SUM(BI115)+Loango_II!CA_gross_prod_oil</f>
        <v>175.91808291477389</v>
      </c>
      <c r="BK115" s="49">
        <f ca="1">SUM(BJ115)+Loango_II!CA_gross_prod_oil</f>
        <v>175.91808291477389</v>
      </c>
      <c r="BL115" s="49">
        <f ca="1">SUM(BK115)+Loango_II!CA_gross_prod_oil</f>
        <v>175.91808291477389</v>
      </c>
      <c r="BM115" s="49">
        <f ca="1">SUM(BL115)+Loango_II!CA_gross_prod_oil</f>
        <v>175.91808291477389</v>
      </c>
      <c r="BN115" s="49">
        <f ca="1">SUM(BM115)+Loango_II!CA_gross_prod_oil</f>
        <v>175.91808291477389</v>
      </c>
      <c r="BO115" s="49">
        <f ca="1">SUM(BN115)+Loango_II!CA_gross_prod_oil</f>
        <v>175.91808291477389</v>
      </c>
      <c r="BP115" s="49">
        <f ca="1">SUM(BO115)+Loango_II!CA_gross_prod_oil</f>
        <v>175.91808291477389</v>
      </c>
      <c r="BQ115" s="49">
        <f ca="1">SUM(BP115)+Loango_II!CA_gross_prod_oil</f>
        <v>175.91808291477389</v>
      </c>
      <c r="BR115" s="49">
        <f ca="1">SUM(BQ115)+Loango_II!CA_gross_prod_oil</f>
        <v>175.91808291477389</v>
      </c>
      <c r="BS115" s="49">
        <f ca="1">SUM(BR115)+Loango_II!CA_gross_prod_oil</f>
        <v>175.91808291477389</v>
      </c>
    </row>
    <row r="116" spans="1:71" outlineLevel="1" x14ac:dyDescent="0.2">
      <c r="D116" t="s">
        <v>71</v>
      </c>
      <c r="J116" s="26" t="s">
        <v>45</v>
      </c>
      <c r="K116" s="7" t="s">
        <v>136</v>
      </c>
      <c r="L116" s="49">
        <f ca="1">SUM(K116)+Loango_II!CA_gross_prod_gas</f>
        <v>0</v>
      </c>
      <c r="M116" s="49">
        <f ca="1">SUM(L116)+Loango_II!CA_gross_prod_gas</f>
        <v>0</v>
      </c>
      <c r="N116" s="49">
        <f ca="1">SUM(M116)+Loango_II!CA_gross_prod_gas</f>
        <v>0</v>
      </c>
      <c r="O116" s="49">
        <f ca="1">SUM(N116)+Loango_II!CA_gross_prod_gas</f>
        <v>0</v>
      </c>
      <c r="P116" s="49">
        <f ca="1">SUM(O116)+Loango_II!CA_gross_prod_gas</f>
        <v>0</v>
      </c>
      <c r="Q116" s="49">
        <f ca="1">SUM(P116)+Loango_II!CA_gross_prod_gas</f>
        <v>0</v>
      </c>
      <c r="R116" s="49">
        <f ca="1">SUM(Q116)+Loango_II!CA_gross_prod_gas</f>
        <v>0</v>
      </c>
      <c r="S116" s="49">
        <f ca="1">SUM(R116)+Loango_II!CA_gross_prod_gas</f>
        <v>0</v>
      </c>
      <c r="T116" s="49">
        <f ca="1">SUM(S116)+Loango_II!CA_gross_prod_gas</f>
        <v>0</v>
      </c>
      <c r="U116" s="49">
        <f ca="1">SUM(T116)+Loango_II!CA_gross_prod_gas</f>
        <v>0</v>
      </c>
      <c r="V116" s="49">
        <f ca="1">SUM(U116)+Loango_II!CA_gross_prod_gas</f>
        <v>0</v>
      </c>
      <c r="W116" s="49">
        <f ca="1">SUM(V116)+Loango_II!CA_gross_prod_gas</f>
        <v>0</v>
      </c>
      <c r="X116" s="49">
        <f ca="1">SUM(W116)+Loango_II!CA_gross_prod_gas</f>
        <v>0</v>
      </c>
      <c r="Y116" s="49">
        <f ca="1">SUM(X116)+Loango_II!CA_gross_prod_gas</f>
        <v>0</v>
      </c>
      <c r="Z116" s="49">
        <f ca="1">SUM(Y116)+Loango_II!CA_gross_prod_gas</f>
        <v>0</v>
      </c>
      <c r="AA116" s="49">
        <f ca="1">SUM(Z116)+Loango_II!CA_gross_prod_gas</f>
        <v>0</v>
      </c>
      <c r="AB116" s="49">
        <f ca="1">SUM(AA116)+Loango_II!CA_gross_prod_gas</f>
        <v>0</v>
      </c>
      <c r="AC116" s="49">
        <f ca="1">SUM(AB116)+Loango_II!CA_gross_prod_gas</f>
        <v>0</v>
      </c>
      <c r="AD116" s="49">
        <f ca="1">SUM(AC116)+Loango_II!CA_gross_prod_gas</f>
        <v>0</v>
      </c>
      <c r="AE116" s="49">
        <f ca="1">SUM(AD116)+Loango_II!CA_gross_prod_gas</f>
        <v>0</v>
      </c>
      <c r="AF116" s="49">
        <f ca="1">SUM(AE116)+Loango_II!CA_gross_prod_gas</f>
        <v>0</v>
      </c>
      <c r="AG116" s="49">
        <f ca="1">SUM(AF116)+Loango_II!CA_gross_prod_gas</f>
        <v>0</v>
      </c>
      <c r="AH116" s="49">
        <f ca="1">SUM(AG116)+Loango_II!CA_gross_prod_gas</f>
        <v>0</v>
      </c>
      <c r="AI116" s="49">
        <f ca="1">SUM(AH116)+Loango_II!CA_gross_prod_gas</f>
        <v>0</v>
      </c>
      <c r="AJ116" s="49">
        <f ca="1">SUM(AI116)+Loango_II!CA_gross_prod_gas</f>
        <v>0</v>
      </c>
      <c r="AK116" s="49">
        <f ca="1">SUM(AJ116)+Loango_II!CA_gross_prod_gas</f>
        <v>0</v>
      </c>
      <c r="AL116" s="49">
        <f ca="1">SUM(AK116)+Loango_II!CA_gross_prod_gas</f>
        <v>0</v>
      </c>
      <c r="AM116" s="49">
        <f ca="1">SUM(AL116)+Loango_II!CA_gross_prod_gas</f>
        <v>0</v>
      </c>
      <c r="AN116" s="49">
        <f ca="1">SUM(AM116)+Loango_II!CA_gross_prod_gas</f>
        <v>0</v>
      </c>
      <c r="AO116" s="49">
        <f ca="1">SUM(AN116)+Loango_II!CA_gross_prod_gas</f>
        <v>0</v>
      </c>
      <c r="AP116" s="49">
        <f ca="1">SUM(AO116)+Loango_II!CA_gross_prod_gas</f>
        <v>0</v>
      </c>
      <c r="AQ116" s="49">
        <f ca="1">SUM(AP116)+Loango_II!CA_gross_prod_gas</f>
        <v>0</v>
      </c>
      <c r="AR116" s="49">
        <f ca="1">SUM(AQ116)+Loango_II!CA_gross_prod_gas</f>
        <v>0</v>
      </c>
      <c r="AS116" s="49">
        <f ca="1">SUM(AR116)+Loango_II!CA_gross_prod_gas</f>
        <v>0</v>
      </c>
      <c r="AT116" s="49">
        <f ca="1">SUM(AS116)+Loango_II!CA_gross_prod_gas</f>
        <v>0</v>
      </c>
      <c r="AU116" s="49">
        <f ca="1">SUM(AT116)+Loango_II!CA_gross_prod_gas</f>
        <v>0</v>
      </c>
      <c r="AV116" s="49">
        <f ca="1">SUM(AU116)+Loango_II!CA_gross_prod_gas</f>
        <v>0</v>
      </c>
      <c r="AW116" s="49">
        <f ca="1">SUM(AV116)+Loango_II!CA_gross_prod_gas</f>
        <v>0</v>
      </c>
      <c r="AX116" s="49">
        <f ca="1">SUM(AW116)+Loango_II!CA_gross_prod_gas</f>
        <v>0</v>
      </c>
      <c r="AY116" s="49">
        <f ca="1">SUM(AX116)+Loango_II!CA_gross_prod_gas</f>
        <v>0</v>
      </c>
      <c r="AZ116" s="49">
        <f ca="1">SUM(AY116)+Loango_II!CA_gross_prod_gas</f>
        <v>0</v>
      </c>
      <c r="BA116" s="49">
        <f ca="1">SUM(AZ116)+Loango_II!CA_gross_prod_gas</f>
        <v>0</v>
      </c>
      <c r="BB116" s="49">
        <f ca="1">SUM(BA116)+Loango_II!CA_gross_prod_gas</f>
        <v>0</v>
      </c>
      <c r="BC116" s="49">
        <f ca="1">SUM(BB116)+Loango_II!CA_gross_prod_gas</f>
        <v>0</v>
      </c>
      <c r="BD116" s="49">
        <f ca="1">SUM(BC116)+Loango_II!CA_gross_prod_gas</f>
        <v>0</v>
      </c>
      <c r="BE116" s="49">
        <f ca="1">SUM(BD116)+Loango_II!CA_gross_prod_gas</f>
        <v>0</v>
      </c>
      <c r="BF116" s="49">
        <f ca="1">SUM(BE116)+Loango_II!CA_gross_prod_gas</f>
        <v>0</v>
      </c>
      <c r="BG116" s="49">
        <f ca="1">SUM(BF116)+Loango_II!CA_gross_prod_gas</f>
        <v>0</v>
      </c>
      <c r="BH116" s="49">
        <f ca="1">SUM(BG116)+Loango_II!CA_gross_prod_gas</f>
        <v>0</v>
      </c>
      <c r="BI116" s="49">
        <f ca="1">SUM(BH116)+Loango_II!CA_gross_prod_gas</f>
        <v>0</v>
      </c>
      <c r="BJ116" s="49">
        <f ca="1">SUM(BI116)+Loango_II!CA_gross_prod_gas</f>
        <v>0</v>
      </c>
      <c r="BK116" s="49">
        <f ca="1">SUM(BJ116)+Loango_II!CA_gross_prod_gas</f>
        <v>0</v>
      </c>
      <c r="BL116" s="49">
        <f ca="1">SUM(BK116)+Loango_II!CA_gross_prod_gas</f>
        <v>0</v>
      </c>
      <c r="BM116" s="49">
        <f ca="1">SUM(BL116)+Loango_II!CA_gross_prod_gas</f>
        <v>0</v>
      </c>
      <c r="BN116" s="49">
        <f ca="1">SUM(BM116)+Loango_II!CA_gross_prod_gas</f>
        <v>0</v>
      </c>
      <c r="BO116" s="49">
        <f ca="1">SUM(BN116)+Loango_II!CA_gross_prod_gas</f>
        <v>0</v>
      </c>
      <c r="BP116" s="49">
        <f ca="1">SUM(BO116)+Loango_II!CA_gross_prod_gas</f>
        <v>0</v>
      </c>
      <c r="BQ116" s="49">
        <f ca="1">SUM(BP116)+Loango_II!CA_gross_prod_gas</f>
        <v>0</v>
      </c>
      <c r="BR116" s="49">
        <f ca="1">SUM(BQ116)+Loango_II!CA_gross_prod_gas</f>
        <v>0</v>
      </c>
      <c r="BS116" s="49">
        <f ca="1">SUM(BR116)+Loango_II!CA_gross_prod_gas</f>
        <v>0</v>
      </c>
    </row>
    <row r="117" spans="1:71" outlineLevel="1" x14ac:dyDescent="0.2">
      <c r="D117" s="47" t="s">
        <v>129</v>
      </c>
      <c r="E117" s="6"/>
      <c r="F117" s="6"/>
      <c r="G117" s="6"/>
      <c r="H117" s="6"/>
      <c r="J117" s="26" t="s">
        <v>149</v>
      </c>
      <c r="K117" s="7" t="s">
        <v>137</v>
      </c>
      <c r="L117" s="49">
        <f ca="1">SUM(L115:L116)</f>
        <v>7.0982879319049994</v>
      </c>
      <c r="M117" s="49">
        <f t="shared" ref="M117:BS117" ca="1" si="6">SUM(M115:M116)</f>
        <v>14.464943189829999</v>
      </c>
      <c r="N117" s="49">
        <f t="shared" ca="1" si="6"/>
        <v>20.048159737044998</v>
      </c>
      <c r="O117" s="49">
        <f t="shared" ca="1" si="6"/>
        <v>26.270248762518996</v>
      </c>
      <c r="P117" s="49">
        <f t="shared" ca="1" si="6"/>
        <v>39.145275890873997</v>
      </c>
      <c r="Q117" s="49">
        <f t="shared" ca="1" si="6"/>
        <v>59.451909547543991</v>
      </c>
      <c r="R117" s="49">
        <f t="shared" ca="1" si="6"/>
        <v>80.022288242138984</v>
      </c>
      <c r="S117" s="49">
        <f t="shared" ca="1" si="6"/>
        <v>99.07192944213898</v>
      </c>
      <c r="T117" s="49">
        <f t="shared" ca="1" si="6"/>
        <v>116.73969093213898</v>
      </c>
      <c r="U117" s="49">
        <f t="shared" ca="1" si="6"/>
        <v>133.17070911783898</v>
      </c>
      <c r="V117" s="49">
        <f t="shared" ca="1" si="6"/>
        <v>148.45155603053999</v>
      </c>
      <c r="W117" s="49">
        <f t="shared" ca="1" si="6"/>
        <v>162.7016784199788</v>
      </c>
      <c r="X117" s="49">
        <f t="shared" ca="1" si="6"/>
        <v>175.91808291477389</v>
      </c>
      <c r="Y117" s="49">
        <f t="shared" ca="1" si="6"/>
        <v>175.91808291477389</v>
      </c>
      <c r="Z117" s="49">
        <f t="shared" ca="1" si="6"/>
        <v>175.91808291477389</v>
      </c>
      <c r="AA117" s="49">
        <f t="shared" ca="1" si="6"/>
        <v>175.91808291477389</v>
      </c>
      <c r="AB117" s="49">
        <f t="shared" ca="1" si="6"/>
        <v>175.91808291477389</v>
      </c>
      <c r="AC117" s="49">
        <f t="shared" ca="1" si="6"/>
        <v>175.91808291477389</v>
      </c>
      <c r="AD117" s="49">
        <f t="shared" ca="1" si="6"/>
        <v>175.91808291477389</v>
      </c>
      <c r="AE117" s="49">
        <f t="shared" ca="1" si="6"/>
        <v>175.91808291477389</v>
      </c>
      <c r="AF117" s="49">
        <f t="shared" ca="1" si="6"/>
        <v>175.91808291477389</v>
      </c>
      <c r="AG117" s="49">
        <f t="shared" ca="1" si="6"/>
        <v>175.91808291477389</v>
      </c>
      <c r="AH117" s="49">
        <f t="shared" ca="1" si="6"/>
        <v>175.91808291477389</v>
      </c>
      <c r="AI117" s="49">
        <f t="shared" ca="1" si="6"/>
        <v>175.91808291477389</v>
      </c>
      <c r="AJ117" s="49">
        <f t="shared" ca="1" si="6"/>
        <v>175.91808291477389</v>
      </c>
      <c r="AK117" s="49">
        <f t="shared" ca="1" si="6"/>
        <v>175.91808291477389</v>
      </c>
      <c r="AL117" s="49">
        <f t="shared" ca="1" si="6"/>
        <v>175.91808291477389</v>
      </c>
      <c r="AM117" s="49">
        <f t="shared" ca="1" si="6"/>
        <v>175.91808291477389</v>
      </c>
      <c r="AN117" s="49">
        <f t="shared" ca="1" si="6"/>
        <v>175.91808291477389</v>
      </c>
      <c r="AO117" s="49">
        <f t="shared" ca="1" si="6"/>
        <v>175.91808291477389</v>
      </c>
      <c r="AP117" s="49">
        <f t="shared" ca="1" si="6"/>
        <v>175.91808291477389</v>
      </c>
      <c r="AQ117" s="49">
        <f t="shared" ca="1" si="6"/>
        <v>175.91808291477389</v>
      </c>
      <c r="AR117" s="49">
        <f t="shared" ca="1" si="6"/>
        <v>175.91808291477389</v>
      </c>
      <c r="AS117" s="49">
        <f t="shared" ca="1" si="6"/>
        <v>175.91808291477389</v>
      </c>
      <c r="AT117" s="49">
        <f t="shared" ca="1" si="6"/>
        <v>175.91808291477389</v>
      </c>
      <c r="AU117" s="49">
        <f t="shared" ca="1" si="6"/>
        <v>175.91808291477389</v>
      </c>
      <c r="AV117" s="49">
        <f t="shared" ca="1" si="6"/>
        <v>175.91808291477389</v>
      </c>
      <c r="AW117" s="49">
        <f t="shared" ca="1" si="6"/>
        <v>175.91808291477389</v>
      </c>
      <c r="AX117" s="49">
        <f t="shared" ca="1" si="6"/>
        <v>175.91808291477389</v>
      </c>
      <c r="AY117" s="49">
        <f t="shared" ca="1" si="6"/>
        <v>175.91808291477389</v>
      </c>
      <c r="AZ117" s="49">
        <f t="shared" ca="1" si="6"/>
        <v>175.91808291477389</v>
      </c>
      <c r="BA117" s="49">
        <f t="shared" ca="1" si="6"/>
        <v>175.91808291477389</v>
      </c>
      <c r="BB117" s="49">
        <f t="shared" ca="1" si="6"/>
        <v>175.91808291477389</v>
      </c>
      <c r="BC117" s="49">
        <f t="shared" ca="1" si="6"/>
        <v>175.91808291477389</v>
      </c>
      <c r="BD117" s="49">
        <f t="shared" ca="1" si="6"/>
        <v>175.91808291477389</v>
      </c>
      <c r="BE117" s="49">
        <f t="shared" ca="1" si="6"/>
        <v>175.91808291477389</v>
      </c>
      <c r="BF117" s="49">
        <f t="shared" ca="1" si="6"/>
        <v>175.91808291477389</v>
      </c>
      <c r="BG117" s="49">
        <f t="shared" ca="1" si="6"/>
        <v>175.91808291477389</v>
      </c>
      <c r="BH117" s="49">
        <f t="shared" ca="1" si="6"/>
        <v>175.91808291477389</v>
      </c>
      <c r="BI117" s="49">
        <f t="shared" ca="1" si="6"/>
        <v>175.91808291477389</v>
      </c>
      <c r="BJ117" s="49">
        <f t="shared" ca="1" si="6"/>
        <v>175.91808291477389</v>
      </c>
      <c r="BK117" s="49">
        <f t="shared" ca="1" si="6"/>
        <v>175.91808291477389</v>
      </c>
      <c r="BL117" s="49">
        <f t="shared" ca="1" si="6"/>
        <v>175.91808291477389</v>
      </c>
      <c r="BM117" s="49">
        <f t="shared" ca="1" si="6"/>
        <v>175.91808291477389</v>
      </c>
      <c r="BN117" s="49">
        <f t="shared" ca="1" si="6"/>
        <v>175.91808291477389</v>
      </c>
      <c r="BO117" s="49">
        <f t="shared" ca="1" si="6"/>
        <v>175.91808291477389</v>
      </c>
      <c r="BP117" s="49">
        <f t="shared" ca="1" si="6"/>
        <v>175.91808291477389</v>
      </c>
      <c r="BQ117" s="49">
        <f t="shared" ca="1" si="6"/>
        <v>175.91808291477389</v>
      </c>
      <c r="BR117" s="49">
        <f t="shared" ca="1" si="6"/>
        <v>175.91808291477389</v>
      </c>
      <c r="BS117" s="49">
        <f t="shared" ca="1" si="6"/>
        <v>175.91808291477389</v>
      </c>
    </row>
    <row r="118" spans="1:71" outlineLevel="1" x14ac:dyDescent="0.2">
      <c r="J118" s="26"/>
      <c r="L118" s="55"/>
      <c r="M118" s="55"/>
      <c r="N118" s="55"/>
      <c r="O118" s="55"/>
      <c r="P118" s="55"/>
      <c r="Q118" s="55"/>
      <c r="R118" s="55"/>
      <c r="S118" s="55"/>
      <c r="T118" s="55"/>
      <c r="U118" s="55"/>
      <c r="V118" s="55"/>
      <c r="W118" s="55"/>
      <c r="X118" s="55"/>
      <c r="Y118" s="55"/>
      <c r="Z118" s="55"/>
      <c r="AA118" s="55"/>
      <c r="AB118" s="55"/>
      <c r="AC118" s="55"/>
      <c r="AD118" s="55"/>
      <c r="AE118" s="55"/>
      <c r="AF118" s="55"/>
      <c r="AG118" s="55"/>
      <c r="AH118" s="55"/>
      <c r="AI118" s="55"/>
      <c r="AJ118" s="55"/>
      <c r="AK118" s="55"/>
      <c r="AL118" s="55"/>
      <c r="AM118" s="55"/>
      <c r="AN118" s="55"/>
      <c r="AO118" s="55"/>
      <c r="AP118" s="55"/>
      <c r="AQ118" s="55"/>
      <c r="AR118" s="55"/>
      <c r="AS118" s="55"/>
      <c r="AT118" s="55"/>
      <c r="AU118" s="55"/>
      <c r="AV118" s="55"/>
      <c r="AW118" s="55"/>
      <c r="AX118" s="55"/>
      <c r="AY118" s="55"/>
      <c r="AZ118" s="55"/>
      <c r="BA118" s="55"/>
      <c r="BB118" s="55"/>
      <c r="BC118" s="55"/>
      <c r="BD118" s="55"/>
      <c r="BE118" s="55"/>
      <c r="BF118" s="55"/>
      <c r="BG118" s="55"/>
      <c r="BH118" s="55"/>
      <c r="BI118" s="55"/>
      <c r="BJ118" s="55"/>
      <c r="BK118" s="55"/>
      <c r="BL118" s="55"/>
      <c r="BM118" s="55"/>
      <c r="BN118" s="55"/>
      <c r="BO118" s="55"/>
      <c r="BP118" s="55"/>
      <c r="BQ118" s="55"/>
      <c r="BR118" s="55"/>
      <c r="BS118" s="55"/>
    </row>
    <row r="119" spans="1:71" outlineLevel="1" x14ac:dyDescent="0.2">
      <c r="J119" s="26"/>
      <c r="L119" s="55"/>
      <c r="M119" s="55"/>
      <c r="N119" s="55"/>
      <c r="O119" s="55"/>
      <c r="P119" s="55"/>
      <c r="Q119" s="55"/>
      <c r="R119" s="55"/>
      <c r="S119" s="55"/>
      <c r="T119" s="55"/>
      <c r="U119" s="55"/>
      <c r="V119" s="55"/>
      <c r="W119" s="55"/>
      <c r="X119" s="55"/>
      <c r="Y119" s="55"/>
      <c r="Z119" s="55"/>
      <c r="AA119" s="55"/>
      <c r="AB119" s="55"/>
      <c r="AC119" s="55"/>
      <c r="AD119" s="55"/>
      <c r="AE119" s="55"/>
      <c r="AF119" s="55"/>
      <c r="AG119" s="55"/>
      <c r="AH119" s="55"/>
      <c r="AI119" s="55"/>
      <c r="AJ119" s="55"/>
      <c r="AK119" s="55"/>
      <c r="AL119" s="55"/>
      <c r="AM119" s="55"/>
      <c r="AN119" s="55"/>
      <c r="AO119" s="55"/>
      <c r="AP119" s="55"/>
      <c r="AQ119" s="55"/>
      <c r="AR119" s="55"/>
      <c r="AS119" s="55"/>
      <c r="AT119" s="55"/>
      <c r="AU119" s="55"/>
      <c r="AV119" s="55"/>
      <c r="AW119" s="55"/>
      <c r="AX119" s="55"/>
      <c r="AY119" s="55"/>
      <c r="AZ119" s="55"/>
      <c r="BA119" s="55"/>
      <c r="BB119" s="55"/>
      <c r="BC119" s="55"/>
      <c r="BD119" s="55"/>
      <c r="BE119" s="55"/>
      <c r="BF119" s="55"/>
      <c r="BG119" s="55"/>
      <c r="BH119" s="55"/>
      <c r="BI119" s="55"/>
      <c r="BJ119" s="55"/>
      <c r="BK119" s="55"/>
      <c r="BL119" s="55"/>
      <c r="BM119" s="55"/>
      <c r="BN119" s="55"/>
      <c r="BO119" s="55"/>
      <c r="BP119" s="55"/>
      <c r="BQ119" s="55"/>
      <c r="BR119" s="55"/>
      <c r="BS119" s="55"/>
    </row>
    <row r="120" spans="1:71" outlineLevel="1" x14ac:dyDescent="0.2">
      <c r="J120" s="26"/>
      <c r="L120" s="55"/>
      <c r="M120" s="55"/>
      <c r="N120" s="55"/>
      <c r="O120" s="55"/>
      <c r="P120" s="55"/>
      <c r="Q120" s="55"/>
      <c r="R120" s="55"/>
      <c r="S120" s="55"/>
      <c r="T120" s="55"/>
      <c r="U120" s="55"/>
      <c r="V120" s="55"/>
      <c r="W120" s="55"/>
      <c r="X120" s="55"/>
      <c r="Y120" s="55"/>
      <c r="Z120" s="55"/>
      <c r="AA120" s="55"/>
      <c r="AB120" s="55"/>
      <c r="AC120" s="55"/>
      <c r="AD120" s="55"/>
      <c r="AE120" s="55"/>
      <c r="AF120" s="55"/>
      <c r="AG120" s="55"/>
      <c r="AH120" s="55"/>
      <c r="AI120" s="55"/>
      <c r="AJ120" s="55"/>
      <c r="AK120" s="55"/>
      <c r="AL120" s="55"/>
      <c r="AM120" s="55"/>
      <c r="AN120" s="55"/>
      <c r="AO120" s="55"/>
      <c r="AP120" s="55"/>
      <c r="AQ120" s="55"/>
      <c r="AR120" s="55"/>
      <c r="AS120" s="55"/>
      <c r="AT120" s="55"/>
      <c r="AU120" s="55"/>
      <c r="AV120" s="55"/>
      <c r="AW120" s="55"/>
      <c r="AX120" s="55"/>
      <c r="AY120" s="55"/>
      <c r="AZ120" s="55"/>
      <c r="BA120" s="55"/>
      <c r="BB120" s="55"/>
      <c r="BC120" s="55"/>
      <c r="BD120" s="55"/>
      <c r="BE120" s="55"/>
      <c r="BF120" s="55"/>
      <c r="BG120" s="55"/>
      <c r="BH120" s="55"/>
      <c r="BI120" s="55"/>
      <c r="BJ120" s="55"/>
      <c r="BK120" s="55"/>
      <c r="BL120" s="55"/>
      <c r="BM120" s="55"/>
      <c r="BN120" s="55"/>
      <c r="BO120" s="55"/>
      <c r="BP120" s="55"/>
      <c r="BQ120" s="55"/>
      <c r="BR120" s="55"/>
      <c r="BS120" s="55"/>
    </row>
    <row r="121" spans="1:71" outlineLevel="1" x14ac:dyDescent="0.2">
      <c r="A121" s="45"/>
      <c r="B121" s="38" t="s">
        <v>51</v>
      </c>
      <c r="C121" s="45"/>
      <c r="D121" s="45"/>
      <c r="E121" s="45"/>
      <c r="J121" s="26"/>
      <c r="L121" s="55"/>
      <c r="M121" s="55"/>
      <c r="N121" s="55"/>
      <c r="O121" s="55"/>
      <c r="P121" s="55"/>
      <c r="Q121" s="55"/>
      <c r="R121" s="55"/>
      <c r="S121" s="55"/>
      <c r="T121" s="55"/>
      <c r="U121" s="55"/>
      <c r="V121" s="55"/>
      <c r="W121" s="55"/>
      <c r="X121" s="55"/>
      <c r="Y121" s="55"/>
      <c r="Z121" s="55"/>
      <c r="AA121" s="55"/>
      <c r="AB121" s="55"/>
      <c r="AC121" s="55"/>
      <c r="AD121" s="55"/>
      <c r="AE121" s="55"/>
      <c r="AF121" s="55"/>
      <c r="AG121" s="55"/>
      <c r="AH121" s="55"/>
      <c r="AI121" s="55"/>
      <c r="AJ121" s="55"/>
      <c r="AK121" s="55"/>
      <c r="AL121" s="55"/>
      <c r="AM121" s="55"/>
      <c r="AN121" s="55"/>
      <c r="AO121" s="55"/>
      <c r="AP121" s="55"/>
      <c r="AQ121" s="55"/>
      <c r="AR121" s="55"/>
      <c r="AS121" s="55"/>
      <c r="AT121" s="55"/>
      <c r="AU121" s="55"/>
      <c r="AV121" s="55"/>
      <c r="AW121" s="55"/>
      <c r="AX121" s="55"/>
      <c r="AY121" s="55"/>
      <c r="AZ121" s="55"/>
      <c r="BA121" s="55"/>
      <c r="BB121" s="55"/>
      <c r="BC121" s="55"/>
      <c r="BD121" s="55"/>
      <c r="BE121" s="55"/>
      <c r="BF121" s="55"/>
      <c r="BG121" s="55"/>
      <c r="BH121" s="55"/>
      <c r="BI121" s="55"/>
      <c r="BJ121" s="55"/>
      <c r="BK121" s="55"/>
      <c r="BL121" s="55"/>
      <c r="BM121" s="55"/>
      <c r="BN121" s="55"/>
      <c r="BO121" s="55"/>
      <c r="BP121" s="55"/>
      <c r="BQ121" s="55"/>
      <c r="BR121" s="55"/>
      <c r="BS121" s="55"/>
    </row>
    <row r="122" spans="1:71" outlineLevel="1" x14ac:dyDescent="0.2">
      <c r="J122" s="26"/>
      <c r="L122" s="55"/>
      <c r="M122" s="55"/>
      <c r="N122" s="55"/>
      <c r="O122" s="55"/>
      <c r="P122" s="55"/>
      <c r="Q122" s="55"/>
      <c r="R122" s="55"/>
      <c r="S122" s="55"/>
      <c r="T122" s="55"/>
      <c r="U122" s="55"/>
      <c r="V122" s="55"/>
      <c r="W122" s="55"/>
      <c r="X122" s="55"/>
      <c r="Y122" s="55"/>
      <c r="Z122" s="55"/>
      <c r="AA122" s="55"/>
      <c r="AB122" s="55"/>
      <c r="AC122" s="55"/>
      <c r="AD122" s="55"/>
      <c r="AE122" s="55"/>
      <c r="AF122" s="55"/>
      <c r="AG122" s="55"/>
      <c r="AH122" s="55"/>
      <c r="AI122" s="55"/>
      <c r="AJ122" s="55"/>
      <c r="AK122" s="55"/>
      <c r="AL122" s="55"/>
      <c r="AM122" s="55"/>
      <c r="AN122" s="55"/>
      <c r="AO122" s="55"/>
      <c r="AP122" s="55"/>
      <c r="AQ122" s="55"/>
      <c r="AR122" s="55"/>
      <c r="AS122" s="55"/>
      <c r="AT122" s="55"/>
      <c r="AU122" s="55"/>
      <c r="AV122" s="55"/>
      <c r="AW122" s="55"/>
      <c r="AX122" s="55"/>
      <c r="AY122" s="55"/>
      <c r="AZ122" s="55"/>
      <c r="BA122" s="55"/>
      <c r="BB122" s="55"/>
      <c r="BC122" s="55"/>
      <c r="BD122" s="55"/>
      <c r="BE122" s="55"/>
      <c r="BF122" s="55"/>
      <c r="BG122" s="55"/>
      <c r="BH122" s="55"/>
      <c r="BI122" s="55"/>
      <c r="BJ122" s="55"/>
      <c r="BK122" s="55"/>
      <c r="BL122" s="55"/>
      <c r="BM122" s="55"/>
      <c r="BN122" s="55"/>
      <c r="BO122" s="55"/>
      <c r="BP122" s="55"/>
      <c r="BQ122" s="55"/>
      <c r="BR122" s="55"/>
      <c r="BS122" s="55"/>
    </row>
    <row r="123" spans="1:71" outlineLevel="1" x14ac:dyDescent="0.2">
      <c r="C123" s="11" t="s">
        <v>138</v>
      </c>
      <c r="J123" s="26"/>
      <c r="L123" s="55"/>
      <c r="M123" s="55"/>
      <c r="N123" s="55"/>
      <c r="O123" s="55"/>
      <c r="P123" s="55"/>
      <c r="Q123" s="55"/>
      <c r="R123" s="55"/>
      <c r="S123" s="55"/>
      <c r="T123" s="55"/>
      <c r="U123" s="55"/>
      <c r="V123" s="55"/>
      <c r="W123" s="55"/>
      <c r="X123" s="55"/>
      <c r="Y123" s="55"/>
      <c r="Z123" s="55"/>
      <c r="AA123" s="55"/>
      <c r="AB123" s="55"/>
      <c r="AC123" s="55"/>
      <c r="AD123" s="55"/>
      <c r="AE123" s="55"/>
      <c r="AF123" s="55"/>
      <c r="AG123" s="55"/>
      <c r="AH123" s="55"/>
      <c r="AI123" s="55"/>
      <c r="AJ123" s="55"/>
      <c r="AK123" s="55"/>
      <c r="AL123" s="55"/>
      <c r="AM123" s="55"/>
      <c r="AN123" s="55"/>
      <c r="AO123" s="55"/>
      <c r="AP123" s="55"/>
      <c r="AQ123" s="55"/>
      <c r="AR123" s="55"/>
      <c r="AS123" s="55"/>
      <c r="AT123" s="55"/>
      <c r="AU123" s="55"/>
      <c r="AV123" s="55"/>
      <c r="AW123" s="55"/>
      <c r="AX123" s="55"/>
      <c r="AY123" s="55"/>
      <c r="AZ123" s="55"/>
      <c r="BA123" s="55"/>
      <c r="BB123" s="55"/>
      <c r="BC123" s="55"/>
      <c r="BD123" s="55"/>
      <c r="BE123" s="55"/>
      <c r="BF123" s="55"/>
      <c r="BG123" s="55"/>
      <c r="BH123" s="55"/>
      <c r="BI123" s="55"/>
      <c r="BJ123" s="55"/>
      <c r="BK123" s="55"/>
      <c r="BL123" s="55"/>
      <c r="BM123" s="55"/>
      <c r="BN123" s="55"/>
      <c r="BO123" s="55"/>
      <c r="BP123" s="55"/>
      <c r="BQ123" s="55"/>
      <c r="BR123" s="55"/>
      <c r="BS123" s="55"/>
    </row>
    <row r="124" spans="1:71" outlineLevel="1" x14ac:dyDescent="0.2">
      <c r="D124" t="s">
        <v>139</v>
      </c>
      <c r="J124" s="26" t="s">
        <v>46</v>
      </c>
      <c r="K124" s="7" t="s">
        <v>141</v>
      </c>
      <c r="L124" s="49">
        <f t="shared" ref="L124:AQ124" ca="1" si="7">IA_oilprice_nominal</f>
        <v>105.56594625304467</v>
      </c>
      <c r="M124" s="49">
        <f t="shared" ca="1" si="7"/>
        <v>96.087837772974183</v>
      </c>
      <c r="N124" s="49">
        <f t="shared" ca="1" si="7"/>
        <v>47.83306661001685</v>
      </c>
      <c r="O124" s="49">
        <f t="shared" ca="1" si="7"/>
        <v>40.514178138774625</v>
      </c>
      <c r="P124" s="49">
        <f t="shared" ca="1" si="7"/>
        <v>54.30988909203591</v>
      </c>
      <c r="Q124" s="49">
        <f t="shared" ca="1" si="7"/>
        <v>68.447232066727068</v>
      </c>
      <c r="R124" s="49">
        <f t="shared" ca="1" si="7"/>
        <v>64.497153078556039</v>
      </c>
      <c r="S124" s="49">
        <f t="shared" ca="1" si="7"/>
        <v>40.43</v>
      </c>
      <c r="T124" s="49">
        <f t="shared" ca="1" si="7"/>
        <v>66.5184</v>
      </c>
      <c r="U124" s="49">
        <f t="shared" ca="1" si="7"/>
        <v>71.400000000000006</v>
      </c>
      <c r="V124" s="49">
        <f t="shared" ca="1" si="7"/>
        <v>72.828000000000003</v>
      </c>
      <c r="W124" s="49">
        <f t="shared" ca="1" si="7"/>
        <v>74.284559999999999</v>
      </c>
      <c r="X124" s="49">
        <f t="shared" ca="1" si="7"/>
        <v>75.770251200000004</v>
      </c>
      <c r="Y124" s="49">
        <f t="shared" ca="1" si="7"/>
        <v>0</v>
      </c>
      <c r="Z124" s="49">
        <f t="shared" ca="1" si="7"/>
        <v>0</v>
      </c>
      <c r="AA124" s="49">
        <f t="shared" si="7"/>
        <v>0</v>
      </c>
      <c r="AB124" s="49">
        <f t="shared" si="7"/>
        <v>0</v>
      </c>
      <c r="AC124" s="49">
        <f t="shared" si="7"/>
        <v>0</v>
      </c>
      <c r="AD124" s="49">
        <f t="shared" si="7"/>
        <v>0</v>
      </c>
      <c r="AE124" s="49">
        <f t="shared" si="7"/>
        <v>0</v>
      </c>
      <c r="AF124" s="49">
        <f t="shared" si="7"/>
        <v>0</v>
      </c>
      <c r="AG124" s="49">
        <f t="shared" si="7"/>
        <v>0</v>
      </c>
      <c r="AH124" s="49">
        <f t="shared" si="7"/>
        <v>0</v>
      </c>
      <c r="AI124" s="49">
        <f t="shared" si="7"/>
        <v>0</v>
      </c>
      <c r="AJ124" s="49">
        <f t="shared" si="7"/>
        <v>0</v>
      </c>
      <c r="AK124" s="49">
        <f t="shared" si="7"/>
        <v>0</v>
      </c>
      <c r="AL124" s="49">
        <f t="shared" si="7"/>
        <v>0</v>
      </c>
      <c r="AM124" s="49">
        <f t="shared" si="7"/>
        <v>0</v>
      </c>
      <c r="AN124" s="49">
        <f t="shared" si="7"/>
        <v>0</v>
      </c>
      <c r="AO124" s="49">
        <f t="shared" si="7"/>
        <v>0</v>
      </c>
      <c r="AP124" s="49">
        <f t="shared" si="7"/>
        <v>0</v>
      </c>
      <c r="AQ124" s="49">
        <f t="shared" si="7"/>
        <v>0</v>
      </c>
      <c r="AR124" s="49">
        <f t="shared" ref="AR124:BS124" si="8">IA_oilprice_nominal</f>
        <v>0</v>
      </c>
      <c r="AS124" s="49">
        <f t="shared" si="8"/>
        <v>0</v>
      </c>
      <c r="AT124" s="49">
        <f t="shared" si="8"/>
        <v>0</v>
      </c>
      <c r="AU124" s="49">
        <f t="shared" si="8"/>
        <v>0</v>
      </c>
      <c r="AV124" s="49">
        <f t="shared" si="8"/>
        <v>0</v>
      </c>
      <c r="AW124" s="49">
        <f t="shared" si="8"/>
        <v>0</v>
      </c>
      <c r="AX124" s="49">
        <f t="shared" si="8"/>
        <v>0</v>
      </c>
      <c r="AY124" s="49">
        <f t="shared" si="8"/>
        <v>0</v>
      </c>
      <c r="AZ124" s="49">
        <f t="shared" si="8"/>
        <v>0</v>
      </c>
      <c r="BA124" s="49">
        <f t="shared" si="8"/>
        <v>0</v>
      </c>
      <c r="BB124" s="49">
        <f t="shared" si="8"/>
        <v>0</v>
      </c>
      <c r="BC124" s="49">
        <f t="shared" si="8"/>
        <v>0</v>
      </c>
      <c r="BD124" s="49">
        <f t="shared" si="8"/>
        <v>0</v>
      </c>
      <c r="BE124" s="49">
        <f t="shared" si="8"/>
        <v>0</v>
      </c>
      <c r="BF124" s="49">
        <f t="shared" si="8"/>
        <v>0</v>
      </c>
      <c r="BG124" s="49">
        <f t="shared" si="8"/>
        <v>0</v>
      </c>
      <c r="BH124" s="49">
        <f t="shared" si="8"/>
        <v>0</v>
      </c>
      <c r="BI124" s="49">
        <f t="shared" si="8"/>
        <v>0</v>
      </c>
      <c r="BJ124" s="49">
        <f t="shared" si="8"/>
        <v>0</v>
      </c>
      <c r="BK124" s="49">
        <f t="shared" si="8"/>
        <v>0</v>
      </c>
      <c r="BL124" s="49">
        <f t="shared" si="8"/>
        <v>0</v>
      </c>
      <c r="BM124" s="49">
        <f t="shared" si="8"/>
        <v>0</v>
      </c>
      <c r="BN124" s="49">
        <f t="shared" si="8"/>
        <v>0</v>
      </c>
      <c r="BO124" s="49">
        <f t="shared" si="8"/>
        <v>0</v>
      </c>
      <c r="BP124" s="49">
        <f t="shared" si="8"/>
        <v>0</v>
      </c>
      <c r="BQ124" s="49">
        <f t="shared" si="8"/>
        <v>0</v>
      </c>
      <c r="BR124" s="49">
        <f t="shared" si="8"/>
        <v>0</v>
      </c>
      <c r="BS124" s="49">
        <f t="shared" si="8"/>
        <v>0</v>
      </c>
    </row>
    <row r="125" spans="1:71" outlineLevel="1" x14ac:dyDescent="0.2">
      <c r="J125" s="26"/>
      <c r="L125" s="55"/>
      <c r="M125" s="55"/>
      <c r="N125" s="55"/>
      <c r="O125" s="55"/>
      <c r="P125" s="55"/>
      <c r="Q125" s="55"/>
      <c r="R125" s="55"/>
      <c r="S125" s="55"/>
      <c r="T125" s="55"/>
      <c r="U125" s="55"/>
      <c r="V125" s="55"/>
      <c r="W125" s="55"/>
      <c r="X125" s="55"/>
      <c r="Y125" s="55"/>
      <c r="Z125" s="55"/>
      <c r="AA125" s="55"/>
      <c r="AB125" s="55"/>
      <c r="AC125" s="55"/>
      <c r="AD125" s="55"/>
      <c r="AE125" s="55"/>
      <c r="AF125" s="55"/>
      <c r="AG125" s="55"/>
      <c r="AH125" s="55"/>
      <c r="AI125" s="55"/>
      <c r="AJ125" s="55"/>
      <c r="AK125" s="55"/>
      <c r="AL125" s="55"/>
      <c r="AM125" s="55"/>
      <c r="AN125" s="55"/>
      <c r="AO125" s="55"/>
      <c r="AP125" s="55"/>
      <c r="AQ125" s="55"/>
      <c r="AR125" s="55"/>
      <c r="AS125" s="55"/>
      <c r="AT125" s="55"/>
      <c r="AU125" s="55"/>
      <c r="AV125" s="55"/>
      <c r="AW125" s="55"/>
      <c r="AX125" s="55"/>
      <c r="AY125" s="55"/>
      <c r="AZ125" s="55"/>
      <c r="BA125" s="55"/>
      <c r="BB125" s="55"/>
      <c r="BC125" s="55"/>
      <c r="BD125" s="55"/>
      <c r="BE125" s="55"/>
      <c r="BF125" s="55"/>
      <c r="BG125" s="55"/>
      <c r="BH125" s="55"/>
      <c r="BI125" s="55"/>
      <c r="BJ125" s="55"/>
      <c r="BK125" s="55"/>
      <c r="BL125" s="55"/>
      <c r="BM125" s="55"/>
      <c r="BN125" s="55"/>
      <c r="BO125" s="55"/>
      <c r="BP125" s="55"/>
      <c r="BQ125" s="55"/>
      <c r="BR125" s="55"/>
      <c r="BS125" s="55"/>
    </row>
    <row r="126" spans="1:71" outlineLevel="1" x14ac:dyDescent="0.2">
      <c r="D126" t="s">
        <v>140</v>
      </c>
      <c r="J126" s="26" t="s">
        <v>47</v>
      </c>
      <c r="K126" s="7" t="s">
        <v>142</v>
      </c>
      <c r="L126" s="49">
        <f t="shared" ref="L126:AQ126" ca="1" si="9">IA_gasprice_nominal</f>
        <v>0</v>
      </c>
      <c r="M126" s="49">
        <f t="shared" ca="1" si="9"/>
        <v>0</v>
      </c>
      <c r="N126" s="49">
        <f t="shared" ca="1" si="9"/>
        <v>0</v>
      </c>
      <c r="O126" s="49">
        <f t="shared" ca="1" si="9"/>
        <v>0</v>
      </c>
      <c r="P126" s="49">
        <f t="shared" ca="1" si="9"/>
        <v>0</v>
      </c>
      <c r="Q126" s="49">
        <f t="shared" ca="1" si="9"/>
        <v>0</v>
      </c>
      <c r="R126" s="49">
        <f t="shared" ca="1" si="9"/>
        <v>0</v>
      </c>
      <c r="S126" s="49">
        <f t="shared" ca="1" si="9"/>
        <v>0</v>
      </c>
      <c r="T126" s="49">
        <f t="shared" ca="1" si="9"/>
        <v>0</v>
      </c>
      <c r="U126" s="49">
        <f t="shared" ca="1" si="9"/>
        <v>0</v>
      </c>
      <c r="V126" s="49">
        <f t="shared" ca="1" si="9"/>
        <v>0</v>
      </c>
      <c r="W126" s="49">
        <f t="shared" ca="1" si="9"/>
        <v>0</v>
      </c>
      <c r="X126" s="49">
        <f t="shared" ca="1" si="9"/>
        <v>0</v>
      </c>
      <c r="Y126" s="49">
        <f t="shared" ca="1" si="9"/>
        <v>0</v>
      </c>
      <c r="Z126" s="49">
        <f t="shared" ca="1" si="9"/>
        <v>0</v>
      </c>
      <c r="AA126" s="49">
        <f t="shared" si="9"/>
        <v>0</v>
      </c>
      <c r="AB126" s="49">
        <f t="shared" si="9"/>
        <v>0</v>
      </c>
      <c r="AC126" s="49">
        <f t="shared" si="9"/>
        <v>0</v>
      </c>
      <c r="AD126" s="49">
        <f t="shared" si="9"/>
        <v>0</v>
      </c>
      <c r="AE126" s="49">
        <f t="shared" si="9"/>
        <v>0</v>
      </c>
      <c r="AF126" s="49">
        <f t="shared" si="9"/>
        <v>0</v>
      </c>
      <c r="AG126" s="49">
        <f t="shared" si="9"/>
        <v>0</v>
      </c>
      <c r="AH126" s="49">
        <f t="shared" si="9"/>
        <v>0</v>
      </c>
      <c r="AI126" s="49">
        <f t="shared" si="9"/>
        <v>0</v>
      </c>
      <c r="AJ126" s="49">
        <f t="shared" si="9"/>
        <v>0</v>
      </c>
      <c r="AK126" s="49">
        <f t="shared" si="9"/>
        <v>0</v>
      </c>
      <c r="AL126" s="49">
        <f t="shared" si="9"/>
        <v>0</v>
      </c>
      <c r="AM126" s="49">
        <f t="shared" si="9"/>
        <v>0</v>
      </c>
      <c r="AN126" s="49">
        <f t="shared" si="9"/>
        <v>0</v>
      </c>
      <c r="AO126" s="49">
        <f t="shared" si="9"/>
        <v>0</v>
      </c>
      <c r="AP126" s="49">
        <f t="shared" si="9"/>
        <v>0</v>
      </c>
      <c r="AQ126" s="49">
        <f t="shared" si="9"/>
        <v>0</v>
      </c>
      <c r="AR126" s="49">
        <f t="shared" ref="AR126:BS126" si="10">IA_gasprice_nominal</f>
        <v>0</v>
      </c>
      <c r="AS126" s="49">
        <f t="shared" si="10"/>
        <v>0</v>
      </c>
      <c r="AT126" s="49">
        <f t="shared" si="10"/>
        <v>0</v>
      </c>
      <c r="AU126" s="49">
        <f t="shared" si="10"/>
        <v>0</v>
      </c>
      <c r="AV126" s="49">
        <f t="shared" si="10"/>
        <v>0</v>
      </c>
      <c r="AW126" s="49">
        <f t="shared" si="10"/>
        <v>0</v>
      </c>
      <c r="AX126" s="49">
        <f t="shared" si="10"/>
        <v>0</v>
      </c>
      <c r="AY126" s="49">
        <f t="shared" si="10"/>
        <v>0</v>
      </c>
      <c r="AZ126" s="49">
        <f t="shared" si="10"/>
        <v>0</v>
      </c>
      <c r="BA126" s="49">
        <f t="shared" si="10"/>
        <v>0</v>
      </c>
      <c r="BB126" s="49">
        <f t="shared" si="10"/>
        <v>0</v>
      </c>
      <c r="BC126" s="49">
        <f t="shared" si="10"/>
        <v>0</v>
      </c>
      <c r="BD126" s="49">
        <f t="shared" si="10"/>
        <v>0</v>
      </c>
      <c r="BE126" s="49">
        <f t="shared" si="10"/>
        <v>0</v>
      </c>
      <c r="BF126" s="49">
        <f t="shared" si="10"/>
        <v>0</v>
      </c>
      <c r="BG126" s="49">
        <f t="shared" si="10"/>
        <v>0</v>
      </c>
      <c r="BH126" s="49">
        <f t="shared" si="10"/>
        <v>0</v>
      </c>
      <c r="BI126" s="49">
        <f t="shared" si="10"/>
        <v>0</v>
      </c>
      <c r="BJ126" s="49">
        <f t="shared" si="10"/>
        <v>0</v>
      </c>
      <c r="BK126" s="49">
        <f t="shared" si="10"/>
        <v>0</v>
      </c>
      <c r="BL126" s="49">
        <f t="shared" si="10"/>
        <v>0</v>
      </c>
      <c r="BM126" s="49">
        <f t="shared" si="10"/>
        <v>0</v>
      </c>
      <c r="BN126" s="49">
        <f t="shared" si="10"/>
        <v>0</v>
      </c>
      <c r="BO126" s="49">
        <f t="shared" si="10"/>
        <v>0</v>
      </c>
      <c r="BP126" s="49">
        <f t="shared" si="10"/>
        <v>0</v>
      </c>
      <c r="BQ126" s="49">
        <f t="shared" si="10"/>
        <v>0</v>
      </c>
      <c r="BR126" s="49">
        <f t="shared" si="10"/>
        <v>0</v>
      </c>
      <c r="BS126" s="49">
        <f t="shared" si="10"/>
        <v>0</v>
      </c>
    </row>
    <row r="127" spans="1:71" outlineLevel="1" x14ac:dyDescent="0.2">
      <c r="J127" s="26"/>
      <c r="L127" s="55"/>
      <c r="M127" s="55"/>
      <c r="N127" s="55"/>
      <c r="O127" s="55"/>
      <c r="P127" s="55"/>
      <c r="Q127" s="55"/>
      <c r="R127" s="55"/>
      <c r="S127" s="55"/>
      <c r="T127" s="55"/>
      <c r="U127" s="55"/>
      <c r="V127" s="55"/>
      <c r="W127" s="55"/>
      <c r="X127" s="55"/>
      <c r="Y127" s="55"/>
      <c r="Z127" s="55"/>
      <c r="AA127" s="55"/>
      <c r="AB127" s="55"/>
      <c r="AC127" s="55"/>
      <c r="AD127" s="55"/>
      <c r="AE127" s="55"/>
      <c r="AF127" s="55"/>
      <c r="AG127" s="55"/>
      <c r="AH127" s="55"/>
      <c r="AI127" s="55"/>
      <c r="AJ127" s="55"/>
      <c r="AK127" s="55"/>
      <c r="AL127" s="55"/>
      <c r="AM127" s="55"/>
      <c r="AN127" s="55"/>
      <c r="AO127" s="55"/>
      <c r="AP127" s="55"/>
      <c r="AQ127" s="55"/>
      <c r="AR127" s="55"/>
      <c r="AS127" s="55"/>
      <c r="AT127" s="55"/>
      <c r="AU127" s="55"/>
      <c r="AV127" s="55"/>
      <c r="AW127" s="55"/>
      <c r="AX127" s="55"/>
      <c r="AY127" s="55"/>
      <c r="AZ127" s="55"/>
      <c r="BA127" s="55"/>
      <c r="BB127" s="55"/>
      <c r="BC127" s="55"/>
      <c r="BD127" s="55"/>
      <c r="BE127" s="55"/>
      <c r="BF127" s="55"/>
      <c r="BG127" s="55"/>
      <c r="BH127" s="55"/>
      <c r="BI127" s="55"/>
      <c r="BJ127" s="55"/>
      <c r="BK127" s="55"/>
      <c r="BL127" s="55"/>
      <c r="BM127" s="55"/>
      <c r="BN127" s="55"/>
      <c r="BO127" s="55"/>
      <c r="BP127" s="55"/>
      <c r="BQ127" s="55"/>
      <c r="BR127" s="55"/>
      <c r="BS127" s="55"/>
    </row>
    <row r="128" spans="1:71" outlineLevel="1" x14ac:dyDescent="0.2">
      <c r="C128" s="11" t="s">
        <v>111</v>
      </c>
      <c r="J128" s="26"/>
      <c r="L128" s="55"/>
      <c r="M128" s="55"/>
      <c r="N128" s="55"/>
      <c r="O128" s="55"/>
      <c r="P128" s="55"/>
      <c r="Q128" s="55"/>
      <c r="R128" s="55"/>
      <c r="S128" s="55"/>
      <c r="T128" s="55"/>
      <c r="U128" s="55"/>
      <c r="V128" s="55"/>
      <c r="W128" s="55"/>
      <c r="X128" s="55"/>
      <c r="Y128" s="55"/>
      <c r="Z128" s="55"/>
      <c r="AA128" s="55"/>
      <c r="AB128" s="55"/>
      <c r="AC128" s="55"/>
      <c r="AD128" s="55"/>
      <c r="AE128" s="55"/>
      <c r="AF128" s="55"/>
      <c r="AG128" s="55"/>
      <c r="AH128" s="55"/>
      <c r="AI128" s="55"/>
      <c r="AJ128" s="55"/>
      <c r="AK128" s="55"/>
      <c r="AL128" s="55"/>
      <c r="AM128" s="55"/>
      <c r="AN128" s="55"/>
      <c r="AO128" s="55"/>
      <c r="AP128" s="55"/>
      <c r="AQ128" s="55"/>
      <c r="AR128" s="55"/>
      <c r="AS128" s="55"/>
      <c r="AT128" s="55"/>
      <c r="AU128" s="55"/>
      <c r="AV128" s="55"/>
      <c r="AW128" s="55"/>
      <c r="AX128" s="55"/>
      <c r="AY128" s="55"/>
      <c r="AZ128" s="55"/>
      <c r="BA128" s="55"/>
      <c r="BB128" s="55"/>
      <c r="BC128" s="55"/>
      <c r="BD128" s="55"/>
      <c r="BE128" s="55"/>
      <c r="BF128" s="55"/>
      <c r="BG128" s="55"/>
      <c r="BH128" s="55"/>
      <c r="BI128" s="55"/>
      <c r="BJ128" s="55"/>
      <c r="BK128" s="55"/>
      <c r="BL128" s="55"/>
      <c r="BM128" s="55"/>
      <c r="BN128" s="55"/>
      <c r="BO128" s="55"/>
      <c r="BP128" s="55"/>
      <c r="BQ128" s="55"/>
      <c r="BR128" s="55"/>
      <c r="BS128" s="55"/>
    </row>
    <row r="129" spans="1:71" outlineLevel="1" x14ac:dyDescent="0.2">
      <c r="D129" t="s">
        <v>139</v>
      </c>
      <c r="J129" s="26" t="s">
        <v>46</v>
      </c>
      <c r="K129" s="7" t="s">
        <v>143</v>
      </c>
      <c r="L129" s="49" cm="1">
        <f t="array" ref="L129">IFERROR(INDEX(Loango_II!FA_HP,MATCH(L4,YEAR(Loango_II!FA_HP_date),1)),0)*_xlfn.SINGLE(IA_infl_index)</f>
        <v>90</v>
      </c>
      <c r="M129" s="49" cm="1">
        <f t="array" ref="M129">IFERROR(INDEX(Loango_II!FA_HP,MATCH(M4,YEAR(Loango_II!FA_HP_date),1)),0)*_xlfn.SINGLE(IA_infl_index)</f>
        <v>90</v>
      </c>
      <c r="N129" s="49" cm="1">
        <f t="array" ref="N129">IFERROR(INDEX(Loango_II!FA_HP,MATCH(N4,YEAR(Loango_II!FA_HP_date),1)),0)*_xlfn.SINGLE(IA_infl_index)</f>
        <v>90</v>
      </c>
      <c r="O129" s="49" cm="1">
        <f t="array" ref="O129">IFERROR(INDEX(Loango_II!FA_HP,MATCH(O4,YEAR(Loango_II!FA_HP_date),1)),0)*_xlfn.SINGLE(IA_infl_index)</f>
        <v>90</v>
      </c>
      <c r="P129" s="49" cm="1">
        <f t="array" ref="P129">IFERROR(INDEX(Loango_II!FA_HP,MATCH(P4,YEAR(Loango_II!FA_HP_date),1)),0)*_xlfn.SINGLE(IA_infl_index)</f>
        <v>90</v>
      </c>
      <c r="Q129" s="49" cm="1">
        <f t="array" ref="Q129">IFERROR(INDEX(Loango_II!FA_HP,MATCH(Q4,YEAR(Loango_II!FA_HP_date),1)),0)*_xlfn.SINGLE(IA_infl_index)</f>
        <v>90</v>
      </c>
      <c r="R129" s="49" cm="1">
        <f t="array" ref="R129">IFERROR(INDEX(Loango_II!FA_HP,MATCH(R4,YEAR(Loango_II!FA_HP_date),1)),0)*_xlfn.SINGLE(IA_infl_index)</f>
        <v>32</v>
      </c>
      <c r="S129" s="49" cm="1">
        <f t="array" ref="S129">IFERROR(INDEX(Loango_II!FA_HP,MATCH(S4,YEAR(Loango_II!FA_HP_date),1)),0)*_xlfn.SINGLE(IA_infl_index)</f>
        <v>32</v>
      </c>
      <c r="T129" s="49" cm="1">
        <f t="array" ref="T129">IFERROR(INDEX(Loango_II!FA_HP,MATCH(T4,YEAR(Loango_II!FA_HP_date),1)),0)*_xlfn.SINGLE(IA_infl_index)</f>
        <v>32</v>
      </c>
      <c r="U129" s="49" cm="1">
        <f t="array" ref="U129">IFERROR(INDEX(Loango_II!FA_HP,MATCH(U4,YEAR(Loango_II!FA_HP_date),1)),0)*_xlfn.SINGLE(IA_infl_index)</f>
        <v>32.64</v>
      </c>
      <c r="V129" s="49" cm="1">
        <f t="array" ref="V129">IFERROR(INDEX(Loango_II!FA_HP,MATCH(V4,YEAR(Loango_II!FA_HP_date),1)),0)*_xlfn.SINGLE(IA_infl_index)</f>
        <v>33.2928</v>
      </c>
      <c r="W129" s="49" cm="1">
        <f t="array" ref="W129">IFERROR(INDEX(Loango_II!FA_HP,MATCH(W4,YEAR(Loango_II!FA_HP_date),1)),0)*_xlfn.SINGLE(IA_infl_index)</f>
        <v>33.958655999999998</v>
      </c>
      <c r="X129" s="49" cm="1">
        <f t="array" ref="X129">IFERROR(INDEX(Loango_II!FA_HP,MATCH(X4,YEAR(Loango_II!FA_HP_date),1)),0)*_xlfn.SINGLE(IA_infl_index)</f>
        <v>34.637829119999999</v>
      </c>
      <c r="Y129" s="49" cm="1">
        <f t="array" ref="Y129">IFERROR(INDEX(Loango_II!FA_HP,MATCH(Y4,YEAR(Loango_II!FA_HP_date),1)),0)*_xlfn.SINGLE(IA_infl_index)</f>
        <v>35.330585702400001</v>
      </c>
      <c r="Z129" s="49" cm="1">
        <f t="array" ref="Z129">IFERROR(INDEX(Loango_II!FA_HP,MATCH(Z4,YEAR(Loango_II!FA_HP_date),1)),0)*_xlfn.SINGLE(IA_infl_index)</f>
        <v>36.037197416448002</v>
      </c>
      <c r="AA129" s="49" cm="1">
        <f t="array" ref="AA129">IFERROR(INDEX(Loango_II!FA_HP,MATCH(AA4,YEAR(Loango_II!FA_HP_date),1)),0)*_xlfn.SINGLE(IA_infl_index)</f>
        <v>0</v>
      </c>
      <c r="AB129" s="49" cm="1">
        <f t="array" ref="AB129">IFERROR(INDEX(Loango_II!FA_HP,MATCH(AB4,YEAR(Loango_II!FA_HP_date),1)),0)*_xlfn.SINGLE(IA_infl_index)</f>
        <v>0</v>
      </c>
      <c r="AC129" s="49" cm="1">
        <f t="array" ref="AC129">IFERROR(INDEX(Loango_II!FA_HP,MATCH(AC4,YEAR(Loango_II!FA_HP_date),1)),0)*_xlfn.SINGLE(IA_infl_index)</f>
        <v>0</v>
      </c>
      <c r="AD129" s="49" cm="1">
        <f t="array" ref="AD129">IFERROR(INDEX(Loango_II!FA_HP,MATCH(AD4,YEAR(Loango_II!FA_HP_date),1)),0)*_xlfn.SINGLE(IA_infl_index)</f>
        <v>0</v>
      </c>
      <c r="AE129" s="49" cm="1">
        <f t="array" ref="AE129">IFERROR(INDEX(Loango_II!FA_HP,MATCH(AE4,YEAR(Loango_II!FA_HP_date),1)),0)*_xlfn.SINGLE(IA_infl_index)</f>
        <v>0</v>
      </c>
      <c r="AF129" s="49" cm="1">
        <f t="array" ref="AF129">IFERROR(INDEX(Loango_II!FA_HP,MATCH(AF4,YEAR(Loango_II!FA_HP_date),1)),0)*_xlfn.SINGLE(IA_infl_index)</f>
        <v>0</v>
      </c>
      <c r="AG129" s="49" cm="1">
        <f t="array" ref="AG129">IFERROR(INDEX(Loango_II!FA_HP,MATCH(AG4,YEAR(Loango_II!FA_HP_date),1)),0)*_xlfn.SINGLE(IA_infl_index)</f>
        <v>0</v>
      </c>
      <c r="AH129" s="49" cm="1">
        <f t="array" ref="AH129">IFERROR(INDEX(Loango_II!FA_HP,MATCH(AH4,YEAR(Loango_II!FA_HP_date),1)),0)*_xlfn.SINGLE(IA_infl_index)</f>
        <v>0</v>
      </c>
      <c r="AI129" s="49" cm="1">
        <f t="array" ref="AI129">IFERROR(INDEX(Loango_II!FA_HP,MATCH(AI4,YEAR(Loango_II!FA_HP_date),1)),0)*_xlfn.SINGLE(IA_infl_index)</f>
        <v>0</v>
      </c>
      <c r="AJ129" s="49" cm="1">
        <f t="array" ref="AJ129">IFERROR(INDEX(Loango_II!FA_HP,MATCH(AJ4,YEAR(Loango_II!FA_HP_date),1)),0)*_xlfn.SINGLE(IA_infl_index)</f>
        <v>0</v>
      </c>
      <c r="AK129" s="49" cm="1">
        <f t="array" ref="AK129">IFERROR(INDEX(Loango_II!FA_HP,MATCH(AK4,YEAR(Loango_II!FA_HP_date),1)),0)*_xlfn.SINGLE(IA_infl_index)</f>
        <v>0</v>
      </c>
      <c r="AL129" s="49" cm="1">
        <f t="array" ref="AL129">IFERROR(INDEX(Loango_II!FA_HP,MATCH(AL4,YEAR(Loango_II!FA_HP_date),1)),0)*_xlfn.SINGLE(IA_infl_index)</f>
        <v>0</v>
      </c>
      <c r="AM129" s="49" cm="1">
        <f t="array" ref="AM129">IFERROR(INDEX(Loango_II!FA_HP,MATCH(AM4,YEAR(Loango_II!FA_HP_date),1)),0)*_xlfn.SINGLE(IA_infl_index)</f>
        <v>0</v>
      </c>
      <c r="AN129" s="49" cm="1">
        <f t="array" ref="AN129">IFERROR(INDEX(Loango_II!FA_HP,MATCH(AN4,YEAR(Loango_II!FA_HP_date),1)),0)*_xlfn.SINGLE(IA_infl_index)</f>
        <v>0</v>
      </c>
      <c r="AO129" s="49" cm="1">
        <f t="array" ref="AO129">IFERROR(INDEX(Loango_II!FA_HP,MATCH(AO4,YEAR(Loango_II!FA_HP_date),1)),0)*_xlfn.SINGLE(IA_infl_index)</f>
        <v>0</v>
      </c>
      <c r="AP129" s="49" cm="1">
        <f t="array" ref="AP129">IFERROR(INDEX(Loango_II!FA_HP,MATCH(AP4,YEAR(Loango_II!FA_HP_date),1)),0)*_xlfn.SINGLE(IA_infl_index)</f>
        <v>0</v>
      </c>
      <c r="AQ129" s="49" cm="1">
        <f t="array" ref="AQ129">IFERROR(INDEX(Loango_II!FA_HP,MATCH(AQ4,YEAR(Loango_II!FA_HP_date),1)),0)*_xlfn.SINGLE(IA_infl_index)</f>
        <v>0</v>
      </c>
      <c r="AR129" s="49" cm="1">
        <f t="array" ref="AR129">IFERROR(INDEX(Loango_II!FA_HP,MATCH(AR4,YEAR(Loango_II!FA_HP_date),1)),0)*_xlfn.SINGLE(IA_infl_index)</f>
        <v>0</v>
      </c>
      <c r="AS129" s="49" cm="1">
        <f t="array" ref="AS129">IFERROR(INDEX(Loango_II!FA_HP,MATCH(AS4,YEAR(Loango_II!FA_HP_date),1)),0)*_xlfn.SINGLE(IA_infl_index)</f>
        <v>0</v>
      </c>
      <c r="AT129" s="49" cm="1">
        <f t="array" ref="AT129">IFERROR(INDEX(Loango_II!FA_HP,MATCH(AT4,YEAR(Loango_II!FA_HP_date),1)),0)*_xlfn.SINGLE(IA_infl_index)</f>
        <v>0</v>
      </c>
      <c r="AU129" s="49" cm="1">
        <f t="array" ref="AU129">IFERROR(INDEX(Loango_II!FA_HP,MATCH(AU4,YEAR(Loango_II!FA_HP_date),1)),0)*_xlfn.SINGLE(IA_infl_index)</f>
        <v>0</v>
      </c>
      <c r="AV129" s="49" cm="1">
        <f t="array" ref="AV129">IFERROR(INDEX(Loango_II!FA_HP,MATCH(AV4,YEAR(Loango_II!FA_HP_date),1)),0)*_xlfn.SINGLE(IA_infl_index)</f>
        <v>0</v>
      </c>
      <c r="AW129" s="49" cm="1">
        <f t="array" ref="AW129">IFERROR(INDEX(Loango_II!FA_HP,MATCH(AW4,YEAR(Loango_II!FA_HP_date),1)),0)*_xlfn.SINGLE(IA_infl_index)</f>
        <v>0</v>
      </c>
      <c r="AX129" s="49" cm="1">
        <f t="array" ref="AX129">IFERROR(INDEX(Loango_II!FA_HP,MATCH(AX4,YEAR(Loango_II!FA_HP_date),1)),0)*_xlfn.SINGLE(IA_infl_index)</f>
        <v>0</v>
      </c>
      <c r="AY129" s="49" cm="1">
        <f t="array" ref="AY129">IFERROR(INDEX(Loango_II!FA_HP,MATCH(AY4,YEAR(Loango_II!FA_HP_date),1)),0)*_xlfn.SINGLE(IA_infl_index)</f>
        <v>0</v>
      </c>
      <c r="AZ129" s="49" cm="1">
        <f t="array" ref="AZ129">IFERROR(INDEX(Loango_II!FA_HP,MATCH(AZ4,YEAR(Loango_II!FA_HP_date),1)),0)*_xlfn.SINGLE(IA_infl_index)</f>
        <v>0</v>
      </c>
      <c r="BA129" s="49" cm="1">
        <f t="array" ref="BA129">IFERROR(INDEX(Loango_II!FA_HP,MATCH(BA4,YEAR(Loango_II!FA_HP_date),1)),0)*_xlfn.SINGLE(IA_infl_index)</f>
        <v>0</v>
      </c>
      <c r="BB129" s="49" cm="1">
        <f t="array" ref="BB129">IFERROR(INDEX(Loango_II!FA_HP,MATCH(BB4,YEAR(Loango_II!FA_HP_date),1)),0)*_xlfn.SINGLE(IA_infl_index)</f>
        <v>0</v>
      </c>
      <c r="BC129" s="49" cm="1">
        <f t="array" ref="BC129">IFERROR(INDEX(Loango_II!FA_HP,MATCH(BC4,YEAR(Loango_II!FA_HP_date),1)),0)*_xlfn.SINGLE(IA_infl_index)</f>
        <v>0</v>
      </c>
      <c r="BD129" s="49" cm="1">
        <f t="array" ref="BD129">IFERROR(INDEX(Loango_II!FA_HP,MATCH(BD4,YEAR(Loango_II!FA_HP_date),1)),0)*_xlfn.SINGLE(IA_infl_index)</f>
        <v>0</v>
      </c>
      <c r="BE129" s="49" cm="1">
        <f t="array" ref="BE129">IFERROR(INDEX(Loango_II!FA_HP,MATCH(BE4,YEAR(Loango_II!FA_HP_date),1)),0)*_xlfn.SINGLE(IA_infl_index)</f>
        <v>0</v>
      </c>
      <c r="BF129" s="49" cm="1">
        <f t="array" ref="BF129">IFERROR(INDEX(Loango_II!FA_HP,MATCH(BF4,YEAR(Loango_II!FA_HP_date),1)),0)*_xlfn.SINGLE(IA_infl_index)</f>
        <v>0</v>
      </c>
      <c r="BG129" s="49" cm="1">
        <f t="array" ref="BG129">IFERROR(INDEX(Loango_II!FA_HP,MATCH(BG4,YEAR(Loango_II!FA_HP_date),1)),0)*_xlfn.SINGLE(IA_infl_index)</f>
        <v>0</v>
      </c>
      <c r="BH129" s="49" cm="1">
        <f t="array" ref="BH129">IFERROR(INDEX(Loango_II!FA_HP,MATCH(BH4,YEAR(Loango_II!FA_HP_date),1)),0)*_xlfn.SINGLE(IA_infl_index)</f>
        <v>0</v>
      </c>
      <c r="BI129" s="49" cm="1">
        <f t="array" ref="BI129">IFERROR(INDEX(Loango_II!FA_HP,MATCH(BI4,YEAR(Loango_II!FA_HP_date),1)),0)*_xlfn.SINGLE(IA_infl_index)</f>
        <v>0</v>
      </c>
      <c r="BJ129" s="49" cm="1">
        <f t="array" ref="BJ129">IFERROR(INDEX(Loango_II!FA_HP,MATCH(BJ4,YEAR(Loango_II!FA_HP_date),1)),0)*_xlfn.SINGLE(IA_infl_index)</f>
        <v>0</v>
      </c>
      <c r="BK129" s="49" cm="1">
        <f t="array" ref="BK129">IFERROR(INDEX(Loango_II!FA_HP,MATCH(BK4,YEAR(Loango_II!FA_HP_date),1)),0)*_xlfn.SINGLE(IA_infl_index)</f>
        <v>0</v>
      </c>
      <c r="BL129" s="49" cm="1">
        <f t="array" ref="BL129">IFERROR(INDEX(Loango_II!FA_HP,MATCH(BL4,YEAR(Loango_II!FA_HP_date),1)),0)*_xlfn.SINGLE(IA_infl_index)</f>
        <v>0</v>
      </c>
      <c r="BM129" s="49" cm="1">
        <f t="array" ref="BM129">IFERROR(INDEX(Loango_II!FA_HP,MATCH(BM4,YEAR(Loango_II!FA_HP_date),1)),0)*_xlfn.SINGLE(IA_infl_index)</f>
        <v>0</v>
      </c>
      <c r="BN129" s="49" cm="1">
        <f t="array" ref="BN129">IFERROR(INDEX(Loango_II!FA_HP,MATCH(BN4,YEAR(Loango_II!FA_HP_date),1)),0)*_xlfn.SINGLE(IA_infl_index)</f>
        <v>0</v>
      </c>
      <c r="BO129" s="49" cm="1">
        <f t="array" ref="BO129">IFERROR(INDEX(Loango_II!FA_HP,MATCH(BO4,YEAR(Loango_II!FA_HP_date),1)),0)*_xlfn.SINGLE(IA_infl_index)</f>
        <v>0</v>
      </c>
      <c r="BP129" s="49" cm="1">
        <f t="array" ref="BP129">IFERROR(INDEX(Loango_II!FA_HP,MATCH(BP4,YEAR(Loango_II!FA_HP_date),1)),0)*_xlfn.SINGLE(IA_infl_index)</f>
        <v>0</v>
      </c>
      <c r="BQ129" s="49" cm="1">
        <f t="array" ref="BQ129">IFERROR(INDEX(Loango_II!FA_HP,MATCH(BQ4,YEAR(Loango_II!FA_HP_date),1)),0)*_xlfn.SINGLE(IA_infl_index)</f>
        <v>0</v>
      </c>
      <c r="BR129" s="49" cm="1">
        <f t="array" ref="BR129">IFERROR(INDEX(Loango_II!FA_HP,MATCH(BR4,YEAR(Loango_II!FA_HP_date),1)),0)*_xlfn.SINGLE(IA_infl_index)</f>
        <v>0</v>
      </c>
      <c r="BS129" s="49" cm="1">
        <f t="array" ref="BS129">IFERROR(INDEX(Loango_II!FA_HP,MATCH(BS4,YEAR(Loango_II!FA_HP_date),1)),0)*_xlfn.SINGLE(IA_infl_index)</f>
        <v>0</v>
      </c>
    </row>
    <row r="130" spans="1:71" outlineLevel="1" x14ac:dyDescent="0.2">
      <c r="J130" s="26"/>
      <c r="L130" s="55"/>
      <c r="M130" s="55"/>
      <c r="N130" s="55"/>
      <c r="O130" s="55"/>
      <c r="P130" s="55"/>
      <c r="Q130" s="55"/>
      <c r="R130" s="55"/>
      <c r="S130" s="55"/>
      <c r="T130" s="55"/>
      <c r="U130" s="55"/>
      <c r="V130" s="55"/>
      <c r="W130" s="55"/>
      <c r="X130" s="55"/>
      <c r="Y130" s="55"/>
      <c r="Z130" s="55"/>
      <c r="AA130" s="55"/>
      <c r="AB130" s="55"/>
      <c r="AC130" s="55"/>
      <c r="AD130" s="55"/>
      <c r="AE130" s="55"/>
      <c r="AF130" s="55"/>
      <c r="AG130" s="55"/>
      <c r="AH130" s="55"/>
      <c r="AI130" s="55"/>
      <c r="AJ130" s="55"/>
      <c r="AK130" s="55"/>
      <c r="AL130" s="55"/>
      <c r="AM130" s="55"/>
      <c r="AN130" s="55"/>
      <c r="AO130" s="55"/>
      <c r="AP130" s="55"/>
      <c r="AQ130" s="55"/>
      <c r="AR130" s="55"/>
      <c r="AS130" s="55"/>
      <c r="AT130" s="55"/>
      <c r="AU130" s="55"/>
      <c r="AV130" s="55"/>
      <c r="AW130" s="55"/>
      <c r="AX130" s="55"/>
      <c r="AY130" s="55"/>
      <c r="AZ130" s="55"/>
      <c r="BA130" s="55"/>
      <c r="BB130" s="55"/>
      <c r="BC130" s="55"/>
      <c r="BD130" s="55"/>
      <c r="BE130" s="55"/>
      <c r="BF130" s="55"/>
      <c r="BG130" s="55"/>
      <c r="BH130" s="55"/>
      <c r="BI130" s="55"/>
      <c r="BJ130" s="55"/>
      <c r="BK130" s="55"/>
      <c r="BL130" s="55"/>
      <c r="BM130" s="55"/>
      <c r="BN130" s="55"/>
      <c r="BO130" s="55"/>
      <c r="BP130" s="55"/>
      <c r="BQ130" s="55"/>
      <c r="BR130" s="55"/>
      <c r="BS130" s="55"/>
    </row>
    <row r="131" spans="1:71" outlineLevel="1" x14ac:dyDescent="0.2">
      <c r="J131" s="26"/>
      <c r="L131" s="55"/>
      <c r="M131" s="55"/>
      <c r="N131" s="55"/>
      <c r="O131" s="55"/>
      <c r="P131" s="55"/>
      <c r="Q131" s="55"/>
      <c r="R131" s="55"/>
      <c r="S131" s="55"/>
      <c r="T131" s="55"/>
      <c r="U131" s="55"/>
      <c r="V131" s="55"/>
      <c r="W131" s="55"/>
      <c r="X131" s="55"/>
      <c r="Y131" s="55"/>
      <c r="Z131" s="55"/>
      <c r="AA131" s="55"/>
      <c r="AB131" s="55"/>
      <c r="AC131" s="55"/>
      <c r="AD131" s="55"/>
      <c r="AE131" s="55"/>
      <c r="AF131" s="55"/>
      <c r="AG131" s="55"/>
      <c r="AH131" s="55"/>
      <c r="AI131" s="55"/>
      <c r="AJ131" s="55"/>
      <c r="AK131" s="55"/>
      <c r="AL131" s="55"/>
      <c r="AM131" s="55"/>
      <c r="AN131" s="55"/>
      <c r="AO131" s="55"/>
      <c r="AP131" s="55"/>
      <c r="AQ131" s="55"/>
      <c r="AR131" s="55"/>
      <c r="AS131" s="55"/>
      <c r="AT131" s="55"/>
      <c r="AU131" s="55"/>
      <c r="AV131" s="55"/>
      <c r="AW131" s="55"/>
      <c r="AX131" s="55"/>
      <c r="AY131" s="55"/>
      <c r="AZ131" s="55"/>
      <c r="BA131" s="55"/>
      <c r="BB131" s="55"/>
      <c r="BC131" s="55"/>
      <c r="BD131" s="55"/>
      <c r="BE131" s="55"/>
      <c r="BF131" s="55"/>
      <c r="BG131" s="55"/>
      <c r="BH131" s="55"/>
      <c r="BI131" s="55"/>
      <c r="BJ131" s="55"/>
      <c r="BK131" s="55"/>
      <c r="BL131" s="55"/>
      <c r="BM131" s="55"/>
      <c r="BN131" s="55"/>
      <c r="BO131" s="55"/>
      <c r="BP131" s="55"/>
      <c r="BQ131" s="55"/>
      <c r="BR131" s="55"/>
      <c r="BS131" s="55"/>
    </row>
    <row r="132" spans="1:71" outlineLevel="1" x14ac:dyDescent="0.2">
      <c r="A132" s="45"/>
      <c r="B132" s="38" t="s">
        <v>144</v>
      </c>
      <c r="C132" s="45"/>
      <c r="D132" s="45"/>
      <c r="E132" s="45"/>
      <c r="J132" s="26"/>
      <c r="L132" s="55"/>
      <c r="M132" s="55"/>
      <c r="N132" s="55"/>
      <c r="O132" s="55"/>
      <c r="P132" s="55"/>
      <c r="Q132" s="55"/>
      <c r="R132" s="55"/>
      <c r="S132" s="55"/>
      <c r="T132" s="55"/>
      <c r="U132" s="55"/>
      <c r="V132" s="55"/>
      <c r="W132" s="55"/>
      <c r="X132" s="55"/>
      <c r="Y132" s="55"/>
      <c r="Z132" s="55"/>
      <c r="AA132" s="55"/>
      <c r="AB132" s="55"/>
      <c r="AC132" s="55"/>
      <c r="AD132" s="55"/>
      <c r="AE132" s="55"/>
      <c r="AF132" s="55"/>
      <c r="AG132" s="55"/>
      <c r="AH132" s="55"/>
      <c r="AI132" s="55"/>
      <c r="AJ132" s="55"/>
      <c r="AK132" s="55"/>
      <c r="AL132" s="55"/>
      <c r="AM132" s="55"/>
      <c r="AN132" s="55"/>
      <c r="AO132" s="55"/>
      <c r="AP132" s="55"/>
      <c r="AQ132" s="55"/>
      <c r="AR132" s="55"/>
      <c r="AS132" s="55"/>
      <c r="AT132" s="55"/>
      <c r="AU132" s="55"/>
      <c r="AV132" s="55"/>
      <c r="AW132" s="55"/>
      <c r="AX132" s="55"/>
      <c r="AY132" s="55"/>
      <c r="AZ132" s="55"/>
      <c r="BA132" s="55"/>
      <c r="BB132" s="55"/>
      <c r="BC132" s="55"/>
      <c r="BD132" s="55"/>
      <c r="BE132" s="55"/>
      <c r="BF132" s="55"/>
      <c r="BG132" s="55"/>
      <c r="BH132" s="55"/>
      <c r="BI132" s="55"/>
      <c r="BJ132" s="55"/>
      <c r="BK132" s="55"/>
      <c r="BL132" s="55"/>
      <c r="BM132" s="55"/>
      <c r="BN132" s="55"/>
      <c r="BO132" s="55"/>
      <c r="BP132" s="55"/>
      <c r="BQ132" s="55"/>
      <c r="BR132" s="55"/>
      <c r="BS132" s="55"/>
    </row>
    <row r="133" spans="1:71" outlineLevel="1" x14ac:dyDescent="0.2">
      <c r="J133" s="26"/>
      <c r="L133" s="55"/>
      <c r="M133" s="55"/>
      <c r="N133" s="55"/>
      <c r="O133" s="55"/>
      <c r="P133" s="55"/>
      <c r="Q133" s="55"/>
      <c r="R133" s="55"/>
      <c r="S133" s="55"/>
      <c r="T133" s="55"/>
      <c r="U133" s="55"/>
      <c r="V133" s="55"/>
      <c r="W133" s="55"/>
      <c r="X133" s="55"/>
      <c r="Y133" s="55"/>
      <c r="Z133" s="55"/>
      <c r="AA133" s="55"/>
      <c r="AB133" s="55"/>
      <c r="AC133" s="55"/>
      <c r="AD133" s="55"/>
      <c r="AE133" s="55"/>
      <c r="AF133" s="55"/>
      <c r="AG133" s="55"/>
      <c r="AH133" s="55"/>
      <c r="AI133" s="55"/>
      <c r="AJ133" s="55"/>
      <c r="AK133" s="55"/>
      <c r="AL133" s="55"/>
      <c r="AM133" s="55"/>
      <c r="AN133" s="55"/>
      <c r="AO133" s="55"/>
      <c r="AP133" s="55"/>
      <c r="AQ133" s="55"/>
      <c r="AR133" s="55"/>
      <c r="AS133" s="55"/>
      <c r="AT133" s="55"/>
      <c r="AU133" s="55"/>
      <c r="AV133" s="55"/>
      <c r="AW133" s="55"/>
      <c r="AX133" s="55"/>
      <c r="AY133" s="55"/>
      <c r="AZ133" s="55"/>
      <c r="BA133" s="55"/>
      <c r="BB133" s="55"/>
      <c r="BC133" s="55"/>
      <c r="BD133" s="55"/>
      <c r="BE133" s="55"/>
      <c r="BF133" s="55"/>
      <c r="BG133" s="55"/>
      <c r="BH133" s="55"/>
      <c r="BI133" s="55"/>
      <c r="BJ133" s="55"/>
      <c r="BK133" s="55"/>
      <c r="BL133" s="55"/>
      <c r="BM133" s="55"/>
      <c r="BN133" s="55"/>
      <c r="BO133" s="55"/>
      <c r="BP133" s="55"/>
      <c r="BQ133" s="55"/>
      <c r="BR133" s="55"/>
      <c r="BS133" s="55"/>
    </row>
    <row r="134" spans="1:71" outlineLevel="1" x14ac:dyDescent="0.2">
      <c r="C134" s="11" t="s">
        <v>145</v>
      </c>
      <c r="J134" s="26"/>
      <c r="L134" s="55"/>
      <c r="M134" s="55"/>
      <c r="N134" s="55"/>
      <c r="O134" s="55"/>
      <c r="P134" s="55"/>
      <c r="Q134" s="55"/>
      <c r="R134" s="55"/>
      <c r="S134" s="55"/>
      <c r="T134" s="55"/>
      <c r="U134" s="55"/>
      <c r="V134" s="55"/>
      <c r="W134" s="55"/>
      <c r="X134" s="55"/>
      <c r="Y134" s="55"/>
      <c r="Z134" s="55"/>
      <c r="AA134" s="55"/>
      <c r="AB134" s="55"/>
      <c r="AC134" s="55"/>
      <c r="AD134" s="55"/>
      <c r="AE134" s="55"/>
      <c r="AF134" s="55"/>
      <c r="AG134" s="55"/>
      <c r="AH134" s="55"/>
      <c r="AI134" s="55"/>
      <c r="AJ134" s="55"/>
      <c r="AK134" s="55"/>
      <c r="AL134" s="55"/>
      <c r="AM134" s="55"/>
      <c r="AN134" s="55"/>
      <c r="AO134" s="55"/>
      <c r="AP134" s="55"/>
      <c r="AQ134" s="55"/>
      <c r="AR134" s="55"/>
      <c r="AS134" s="55"/>
      <c r="AT134" s="55"/>
      <c r="AU134" s="55"/>
      <c r="AV134" s="55"/>
      <c r="AW134" s="55"/>
      <c r="AX134" s="55"/>
      <c r="AY134" s="55"/>
      <c r="AZ134" s="55"/>
      <c r="BA134" s="55"/>
      <c r="BB134" s="55"/>
      <c r="BC134" s="55"/>
      <c r="BD134" s="55"/>
      <c r="BE134" s="55"/>
      <c r="BF134" s="55"/>
      <c r="BG134" s="55"/>
      <c r="BH134" s="55"/>
      <c r="BI134" s="55"/>
      <c r="BJ134" s="55"/>
      <c r="BK134" s="55"/>
      <c r="BL134" s="55"/>
      <c r="BM134" s="55"/>
      <c r="BN134" s="55"/>
      <c r="BO134" s="55"/>
      <c r="BP134" s="55"/>
      <c r="BQ134" s="55"/>
      <c r="BR134" s="55"/>
      <c r="BS134" s="55"/>
    </row>
    <row r="135" spans="1:71" outlineLevel="1" x14ac:dyDescent="0.2">
      <c r="D135" t="s">
        <v>146</v>
      </c>
      <c r="I135" s="30">
        <f ca="1">SUM($L135:$BS135)</f>
        <v>11683.664472381299</v>
      </c>
      <c r="J135" s="26" t="s">
        <v>148</v>
      </c>
      <c r="K135" s="7" t="s">
        <v>151</v>
      </c>
      <c r="L135" s="49" cm="1">
        <f t="array" aca="1" ref="L135:BS135" ca="1">Loango_II!CA_gross_prod_oil*Loango_II!CA_FP_oil_nom</f>
        <v>749.33748230811875</v>
      </c>
      <c r="M135" s="49">
        <f ca="1"/>
        <v>707.8459753529246</v>
      </c>
      <c r="N135" s="49">
        <f ca="1"/>
        <v>267.06236900108337</v>
      </c>
      <c r="O135" s="49">
        <f ca="1"/>
        <v>252.08282317336821</v>
      </c>
      <c r="P135" s="49">
        <f ca="1"/>
        <v>699.24129539791363</v>
      </c>
      <c r="Q135" s="49">
        <f ca="1"/>
        <v>1389.9328663921019</v>
      </c>
      <c r="R135" s="49">
        <f ca="1"/>
        <v>1326.7308635491613</v>
      </c>
      <c r="S135" s="49">
        <f ca="1"/>
        <v>770.17699371600008</v>
      </c>
      <c r="T135" s="49">
        <f ca="1"/>
        <v>1175.2312258964159</v>
      </c>
      <c r="U135" s="49">
        <f ca="1"/>
        <v>1173.1746984589799</v>
      </c>
      <c r="V135" s="49">
        <f ca="1"/>
        <v>1112.8735189581882</v>
      </c>
      <c r="W135" s="49">
        <f ca="1"/>
        <v>1058.5640716456105</v>
      </c>
      <c r="X135" s="49">
        <f ca="1"/>
        <v>1001.4102885314331</v>
      </c>
      <c r="Y135" s="49">
        <f ca="1"/>
        <v>0</v>
      </c>
      <c r="Z135" s="49">
        <f ca="1"/>
        <v>0</v>
      </c>
      <c r="AA135" s="49">
        <f ca="1"/>
        <v>0</v>
      </c>
      <c r="AB135" s="49">
        <f ca="1"/>
        <v>0</v>
      </c>
      <c r="AC135" s="49">
        <f ca="1"/>
        <v>0</v>
      </c>
      <c r="AD135" s="49">
        <f ca="1"/>
        <v>0</v>
      </c>
      <c r="AE135" s="49">
        <f ca="1"/>
        <v>0</v>
      </c>
      <c r="AF135" s="49">
        <f ca="1"/>
        <v>0</v>
      </c>
      <c r="AG135" s="49">
        <f ca="1"/>
        <v>0</v>
      </c>
      <c r="AH135" s="49">
        <f ca="1"/>
        <v>0</v>
      </c>
      <c r="AI135" s="49">
        <f ca="1"/>
        <v>0</v>
      </c>
      <c r="AJ135" s="49">
        <f ca="1"/>
        <v>0</v>
      </c>
      <c r="AK135" s="49">
        <f ca="1"/>
        <v>0</v>
      </c>
      <c r="AL135" s="49">
        <f ca="1"/>
        <v>0</v>
      </c>
      <c r="AM135" s="49">
        <f ca="1"/>
        <v>0</v>
      </c>
      <c r="AN135" s="49">
        <f ca="1"/>
        <v>0</v>
      </c>
      <c r="AO135" s="49">
        <f ca="1"/>
        <v>0</v>
      </c>
      <c r="AP135" s="49">
        <f ca="1"/>
        <v>0</v>
      </c>
      <c r="AQ135" s="49">
        <f ca="1"/>
        <v>0</v>
      </c>
      <c r="AR135" s="49">
        <f ca="1"/>
        <v>0</v>
      </c>
      <c r="AS135" s="49">
        <f ca="1"/>
        <v>0</v>
      </c>
      <c r="AT135" s="49">
        <f ca="1"/>
        <v>0</v>
      </c>
      <c r="AU135" s="49">
        <f ca="1"/>
        <v>0</v>
      </c>
      <c r="AV135" s="49">
        <f ca="1"/>
        <v>0</v>
      </c>
      <c r="AW135" s="49">
        <f ca="1"/>
        <v>0</v>
      </c>
      <c r="AX135" s="49">
        <f ca="1"/>
        <v>0</v>
      </c>
      <c r="AY135" s="49">
        <f ca="1"/>
        <v>0</v>
      </c>
      <c r="AZ135" s="49">
        <f ca="1"/>
        <v>0</v>
      </c>
      <c r="BA135" s="49">
        <f ca="1"/>
        <v>0</v>
      </c>
      <c r="BB135" s="49">
        <f ca="1"/>
        <v>0</v>
      </c>
      <c r="BC135" s="49">
        <f ca="1"/>
        <v>0</v>
      </c>
      <c r="BD135" s="49">
        <f ca="1"/>
        <v>0</v>
      </c>
      <c r="BE135" s="49">
        <f ca="1"/>
        <v>0</v>
      </c>
      <c r="BF135" s="49">
        <f ca="1"/>
        <v>0</v>
      </c>
      <c r="BG135" s="49">
        <f ca="1"/>
        <v>0</v>
      </c>
      <c r="BH135" s="49">
        <f ca="1"/>
        <v>0</v>
      </c>
      <c r="BI135" s="49">
        <f ca="1"/>
        <v>0</v>
      </c>
      <c r="BJ135" s="49">
        <f ca="1"/>
        <v>0</v>
      </c>
      <c r="BK135" s="49">
        <f ca="1"/>
        <v>0</v>
      </c>
      <c r="BL135" s="49">
        <f ca="1"/>
        <v>0</v>
      </c>
      <c r="BM135" s="49">
        <f ca="1"/>
        <v>0</v>
      </c>
      <c r="BN135" s="49">
        <f ca="1"/>
        <v>0</v>
      </c>
      <c r="BO135" s="49">
        <f ca="1"/>
        <v>0</v>
      </c>
      <c r="BP135" s="49">
        <f ca="1"/>
        <v>0</v>
      </c>
      <c r="BQ135" s="49">
        <f ca="1"/>
        <v>0</v>
      </c>
      <c r="BR135" s="49">
        <f ca="1"/>
        <v>0</v>
      </c>
      <c r="BS135" s="49">
        <f ca="1"/>
        <v>0</v>
      </c>
    </row>
    <row r="136" spans="1:71" outlineLevel="1" x14ac:dyDescent="0.2">
      <c r="D136" t="s">
        <v>147</v>
      </c>
      <c r="I136" s="30">
        <f ca="1">SUM($L136:$BS136)</f>
        <v>0</v>
      </c>
      <c r="J136" s="26" t="s">
        <v>148</v>
      </c>
      <c r="K136" s="7" t="s">
        <v>152</v>
      </c>
      <c r="L136" s="49" cm="1">
        <f t="array" aca="1" ref="L136:BS136" ca="1">Loango_II!CA_gross_prod_gas*Loango_II!CA_FP_gas_nom</f>
        <v>0</v>
      </c>
      <c r="M136" s="49">
        <f ca="1"/>
        <v>0</v>
      </c>
      <c r="N136" s="49">
        <f ca="1"/>
        <v>0</v>
      </c>
      <c r="O136" s="49">
        <f ca="1"/>
        <v>0</v>
      </c>
      <c r="P136" s="49">
        <f ca="1"/>
        <v>0</v>
      </c>
      <c r="Q136" s="49">
        <f ca="1"/>
        <v>0</v>
      </c>
      <c r="R136" s="49">
        <f ca="1"/>
        <v>0</v>
      </c>
      <c r="S136" s="49">
        <f ca="1"/>
        <v>0</v>
      </c>
      <c r="T136" s="49">
        <f ca="1"/>
        <v>0</v>
      </c>
      <c r="U136" s="49">
        <f ca="1"/>
        <v>0</v>
      </c>
      <c r="V136" s="49">
        <f ca="1"/>
        <v>0</v>
      </c>
      <c r="W136" s="49">
        <f ca="1"/>
        <v>0</v>
      </c>
      <c r="X136" s="49">
        <f ca="1"/>
        <v>0</v>
      </c>
      <c r="Y136" s="49">
        <f ca="1"/>
        <v>0</v>
      </c>
      <c r="Z136" s="49">
        <f ca="1"/>
        <v>0</v>
      </c>
      <c r="AA136" s="49">
        <f ca="1"/>
        <v>0</v>
      </c>
      <c r="AB136" s="49">
        <f ca="1"/>
        <v>0</v>
      </c>
      <c r="AC136" s="49">
        <f ca="1"/>
        <v>0</v>
      </c>
      <c r="AD136" s="49">
        <f ca="1"/>
        <v>0</v>
      </c>
      <c r="AE136" s="49">
        <f ca="1"/>
        <v>0</v>
      </c>
      <c r="AF136" s="49">
        <f ca="1"/>
        <v>0</v>
      </c>
      <c r="AG136" s="49">
        <f ca="1"/>
        <v>0</v>
      </c>
      <c r="AH136" s="49">
        <f ca="1"/>
        <v>0</v>
      </c>
      <c r="AI136" s="49">
        <f ca="1"/>
        <v>0</v>
      </c>
      <c r="AJ136" s="49">
        <f ca="1"/>
        <v>0</v>
      </c>
      <c r="AK136" s="49">
        <f ca="1"/>
        <v>0</v>
      </c>
      <c r="AL136" s="49">
        <f ca="1"/>
        <v>0</v>
      </c>
      <c r="AM136" s="49">
        <f ca="1"/>
        <v>0</v>
      </c>
      <c r="AN136" s="49">
        <f ca="1"/>
        <v>0</v>
      </c>
      <c r="AO136" s="49">
        <f ca="1"/>
        <v>0</v>
      </c>
      <c r="AP136" s="49">
        <f ca="1"/>
        <v>0</v>
      </c>
      <c r="AQ136" s="49">
        <f ca="1"/>
        <v>0</v>
      </c>
      <c r="AR136" s="49">
        <f ca="1"/>
        <v>0</v>
      </c>
      <c r="AS136" s="49">
        <f ca="1"/>
        <v>0</v>
      </c>
      <c r="AT136" s="49">
        <f ca="1"/>
        <v>0</v>
      </c>
      <c r="AU136" s="49">
        <f ca="1"/>
        <v>0</v>
      </c>
      <c r="AV136" s="49">
        <f ca="1"/>
        <v>0</v>
      </c>
      <c r="AW136" s="49">
        <f ca="1"/>
        <v>0</v>
      </c>
      <c r="AX136" s="49">
        <f ca="1"/>
        <v>0</v>
      </c>
      <c r="AY136" s="49">
        <f ca="1"/>
        <v>0</v>
      </c>
      <c r="AZ136" s="49">
        <f ca="1"/>
        <v>0</v>
      </c>
      <c r="BA136" s="49">
        <f ca="1"/>
        <v>0</v>
      </c>
      <c r="BB136" s="49">
        <f ca="1"/>
        <v>0</v>
      </c>
      <c r="BC136" s="49">
        <f ca="1"/>
        <v>0</v>
      </c>
      <c r="BD136" s="49">
        <f ca="1"/>
        <v>0</v>
      </c>
      <c r="BE136" s="49">
        <f ca="1"/>
        <v>0</v>
      </c>
      <c r="BF136" s="49">
        <f ca="1"/>
        <v>0</v>
      </c>
      <c r="BG136" s="49">
        <f ca="1"/>
        <v>0</v>
      </c>
      <c r="BH136" s="49">
        <f ca="1"/>
        <v>0</v>
      </c>
      <c r="BI136" s="49">
        <f ca="1"/>
        <v>0</v>
      </c>
      <c r="BJ136" s="49">
        <f ca="1"/>
        <v>0</v>
      </c>
      <c r="BK136" s="49">
        <f ca="1"/>
        <v>0</v>
      </c>
      <c r="BL136" s="49">
        <f ca="1"/>
        <v>0</v>
      </c>
      <c r="BM136" s="49">
        <f ca="1"/>
        <v>0</v>
      </c>
      <c r="BN136" s="49">
        <f ca="1"/>
        <v>0</v>
      </c>
      <c r="BO136" s="49">
        <f ca="1"/>
        <v>0</v>
      </c>
      <c r="BP136" s="49">
        <f ca="1"/>
        <v>0</v>
      </c>
      <c r="BQ136" s="49">
        <f ca="1"/>
        <v>0</v>
      </c>
      <c r="BR136" s="49">
        <f ca="1"/>
        <v>0</v>
      </c>
      <c r="BS136" s="49">
        <f ca="1"/>
        <v>0</v>
      </c>
    </row>
    <row r="137" spans="1:71" outlineLevel="1" x14ac:dyDescent="0.2">
      <c r="D137" s="11" t="s">
        <v>150</v>
      </c>
      <c r="I137" s="30">
        <f ca="1">SUM($L137:$BS137)</f>
        <v>11683.664472381299</v>
      </c>
      <c r="J137" s="26"/>
      <c r="K137" s="7" t="s">
        <v>153</v>
      </c>
      <c r="L137" s="49">
        <f ca="1">SUM(L135:L136)</f>
        <v>749.33748230811875</v>
      </c>
      <c r="M137" s="49">
        <f t="shared" ref="M137:BS137" ca="1" si="11">SUM(M135:M136)</f>
        <v>707.8459753529246</v>
      </c>
      <c r="N137" s="49">
        <f t="shared" ca="1" si="11"/>
        <v>267.06236900108337</v>
      </c>
      <c r="O137" s="49">
        <f t="shared" ca="1" si="11"/>
        <v>252.08282317336821</v>
      </c>
      <c r="P137" s="49">
        <f t="shared" ca="1" si="11"/>
        <v>699.24129539791363</v>
      </c>
      <c r="Q137" s="49">
        <f t="shared" ca="1" si="11"/>
        <v>1389.9328663921019</v>
      </c>
      <c r="R137" s="49">
        <f t="shared" ca="1" si="11"/>
        <v>1326.7308635491613</v>
      </c>
      <c r="S137" s="49">
        <f t="shared" ca="1" si="11"/>
        <v>770.17699371600008</v>
      </c>
      <c r="T137" s="49">
        <f t="shared" ca="1" si="11"/>
        <v>1175.2312258964159</v>
      </c>
      <c r="U137" s="49">
        <f t="shared" ca="1" si="11"/>
        <v>1173.1746984589799</v>
      </c>
      <c r="V137" s="49">
        <f t="shared" ca="1" si="11"/>
        <v>1112.8735189581882</v>
      </c>
      <c r="W137" s="49">
        <f t="shared" ca="1" si="11"/>
        <v>1058.5640716456105</v>
      </c>
      <c r="X137" s="49">
        <f t="shared" ca="1" si="11"/>
        <v>1001.4102885314331</v>
      </c>
      <c r="Y137" s="49">
        <f t="shared" ca="1" si="11"/>
        <v>0</v>
      </c>
      <c r="Z137" s="49">
        <f t="shared" ca="1" si="11"/>
        <v>0</v>
      </c>
      <c r="AA137" s="49">
        <f t="shared" ca="1" si="11"/>
        <v>0</v>
      </c>
      <c r="AB137" s="49">
        <f t="shared" ca="1" si="11"/>
        <v>0</v>
      </c>
      <c r="AC137" s="49">
        <f t="shared" ca="1" si="11"/>
        <v>0</v>
      </c>
      <c r="AD137" s="49">
        <f t="shared" ca="1" si="11"/>
        <v>0</v>
      </c>
      <c r="AE137" s="49">
        <f t="shared" ca="1" si="11"/>
        <v>0</v>
      </c>
      <c r="AF137" s="49">
        <f t="shared" ca="1" si="11"/>
        <v>0</v>
      </c>
      <c r="AG137" s="49">
        <f t="shared" ca="1" si="11"/>
        <v>0</v>
      </c>
      <c r="AH137" s="49">
        <f t="shared" ca="1" si="11"/>
        <v>0</v>
      </c>
      <c r="AI137" s="49">
        <f t="shared" ca="1" si="11"/>
        <v>0</v>
      </c>
      <c r="AJ137" s="49">
        <f t="shared" ca="1" si="11"/>
        <v>0</v>
      </c>
      <c r="AK137" s="49">
        <f t="shared" ca="1" si="11"/>
        <v>0</v>
      </c>
      <c r="AL137" s="49">
        <f t="shared" ca="1" si="11"/>
        <v>0</v>
      </c>
      <c r="AM137" s="49">
        <f t="shared" ca="1" si="11"/>
        <v>0</v>
      </c>
      <c r="AN137" s="49">
        <f t="shared" ca="1" si="11"/>
        <v>0</v>
      </c>
      <c r="AO137" s="49">
        <f t="shared" ca="1" si="11"/>
        <v>0</v>
      </c>
      <c r="AP137" s="49">
        <f t="shared" ca="1" si="11"/>
        <v>0</v>
      </c>
      <c r="AQ137" s="49">
        <f t="shared" ca="1" si="11"/>
        <v>0</v>
      </c>
      <c r="AR137" s="49">
        <f t="shared" ca="1" si="11"/>
        <v>0</v>
      </c>
      <c r="AS137" s="49">
        <f t="shared" ca="1" si="11"/>
        <v>0</v>
      </c>
      <c r="AT137" s="49">
        <f t="shared" ca="1" si="11"/>
        <v>0</v>
      </c>
      <c r="AU137" s="49">
        <f t="shared" ca="1" si="11"/>
        <v>0</v>
      </c>
      <c r="AV137" s="49">
        <f t="shared" ca="1" si="11"/>
        <v>0</v>
      </c>
      <c r="AW137" s="49">
        <f t="shared" ca="1" si="11"/>
        <v>0</v>
      </c>
      <c r="AX137" s="49">
        <f t="shared" ca="1" si="11"/>
        <v>0</v>
      </c>
      <c r="AY137" s="49">
        <f t="shared" ca="1" si="11"/>
        <v>0</v>
      </c>
      <c r="AZ137" s="49">
        <f t="shared" ca="1" si="11"/>
        <v>0</v>
      </c>
      <c r="BA137" s="49">
        <f t="shared" ca="1" si="11"/>
        <v>0</v>
      </c>
      <c r="BB137" s="49">
        <f t="shared" ca="1" si="11"/>
        <v>0</v>
      </c>
      <c r="BC137" s="49">
        <f t="shared" ca="1" si="11"/>
        <v>0</v>
      </c>
      <c r="BD137" s="49">
        <f t="shared" ca="1" si="11"/>
        <v>0</v>
      </c>
      <c r="BE137" s="49">
        <f t="shared" ca="1" si="11"/>
        <v>0</v>
      </c>
      <c r="BF137" s="49">
        <f t="shared" ca="1" si="11"/>
        <v>0</v>
      </c>
      <c r="BG137" s="49">
        <f t="shared" ca="1" si="11"/>
        <v>0</v>
      </c>
      <c r="BH137" s="49">
        <f t="shared" ca="1" si="11"/>
        <v>0</v>
      </c>
      <c r="BI137" s="49">
        <f t="shared" ca="1" si="11"/>
        <v>0</v>
      </c>
      <c r="BJ137" s="49">
        <f t="shared" ca="1" si="11"/>
        <v>0</v>
      </c>
      <c r="BK137" s="49">
        <f t="shared" ca="1" si="11"/>
        <v>0</v>
      </c>
      <c r="BL137" s="49">
        <f t="shared" ca="1" si="11"/>
        <v>0</v>
      </c>
      <c r="BM137" s="49">
        <f t="shared" ca="1" si="11"/>
        <v>0</v>
      </c>
      <c r="BN137" s="49">
        <f t="shared" ca="1" si="11"/>
        <v>0</v>
      </c>
      <c r="BO137" s="49">
        <f t="shared" ca="1" si="11"/>
        <v>0</v>
      </c>
      <c r="BP137" s="49">
        <f t="shared" ca="1" si="11"/>
        <v>0</v>
      </c>
      <c r="BQ137" s="49">
        <f t="shared" ca="1" si="11"/>
        <v>0</v>
      </c>
      <c r="BR137" s="49">
        <f t="shared" ca="1" si="11"/>
        <v>0</v>
      </c>
      <c r="BS137" s="49">
        <f t="shared" ca="1" si="11"/>
        <v>0</v>
      </c>
    </row>
    <row r="138" spans="1:71" outlineLevel="1" x14ac:dyDescent="0.2">
      <c r="J138" s="26"/>
      <c r="L138" s="55"/>
      <c r="M138" s="55"/>
      <c r="N138" s="55"/>
      <c r="O138" s="55"/>
      <c r="P138" s="55"/>
      <c r="Q138" s="55"/>
      <c r="R138" s="55"/>
      <c r="S138" s="55"/>
      <c r="T138" s="55"/>
      <c r="U138" s="55"/>
      <c r="V138" s="55"/>
      <c r="W138" s="55"/>
      <c r="X138" s="55"/>
      <c r="Y138" s="55"/>
      <c r="Z138" s="55"/>
      <c r="AA138" s="55"/>
      <c r="AB138" s="55"/>
      <c r="AC138" s="55"/>
      <c r="AD138" s="55"/>
      <c r="AE138" s="55"/>
      <c r="AF138" s="55"/>
      <c r="AG138" s="55"/>
      <c r="AH138" s="55"/>
      <c r="AI138" s="55"/>
      <c r="AJ138" s="55"/>
      <c r="AK138" s="55"/>
      <c r="AL138" s="55"/>
      <c r="AM138" s="55"/>
      <c r="AN138" s="55"/>
      <c r="AO138" s="55"/>
      <c r="AP138" s="55"/>
      <c r="AQ138" s="55"/>
      <c r="AR138" s="55"/>
      <c r="AS138" s="55"/>
      <c r="AT138" s="55"/>
      <c r="AU138" s="55"/>
      <c r="AV138" s="55"/>
      <c r="AW138" s="55"/>
      <c r="AX138" s="55"/>
      <c r="AY138" s="55"/>
      <c r="AZ138" s="55"/>
      <c r="BA138" s="55"/>
      <c r="BB138" s="55"/>
      <c r="BC138" s="55"/>
      <c r="BD138" s="55"/>
      <c r="BE138" s="55"/>
      <c r="BF138" s="55"/>
      <c r="BG138" s="55"/>
      <c r="BH138" s="55"/>
      <c r="BI138" s="55"/>
      <c r="BJ138" s="55"/>
      <c r="BK138" s="55"/>
      <c r="BL138" s="55"/>
      <c r="BM138" s="55"/>
      <c r="BN138" s="55"/>
      <c r="BO138" s="55"/>
      <c r="BP138" s="55"/>
      <c r="BQ138" s="55"/>
      <c r="BR138" s="55"/>
      <c r="BS138" s="55"/>
    </row>
    <row r="139" spans="1:71" outlineLevel="1" x14ac:dyDescent="0.2">
      <c r="J139" s="26"/>
      <c r="L139" s="55"/>
      <c r="M139" s="55"/>
      <c r="N139" s="55"/>
      <c r="O139" s="55"/>
      <c r="P139" s="55"/>
      <c r="Q139" s="55"/>
      <c r="R139" s="55"/>
      <c r="S139" s="55"/>
      <c r="T139" s="55"/>
      <c r="U139" s="55"/>
      <c r="V139" s="55"/>
      <c r="W139" s="55"/>
      <c r="X139" s="55"/>
      <c r="Y139" s="55"/>
      <c r="Z139" s="55"/>
      <c r="AA139" s="55"/>
      <c r="AB139" s="55"/>
      <c r="AC139" s="55"/>
      <c r="AD139" s="55"/>
      <c r="AE139" s="55"/>
      <c r="AF139" s="55"/>
      <c r="AG139" s="55"/>
      <c r="AH139" s="55"/>
      <c r="AI139" s="55"/>
      <c r="AJ139" s="55"/>
      <c r="AK139" s="55"/>
      <c r="AL139" s="55"/>
      <c r="AM139" s="55"/>
      <c r="AN139" s="55"/>
      <c r="AO139" s="55"/>
      <c r="AP139" s="55"/>
      <c r="AQ139" s="55"/>
      <c r="AR139" s="55"/>
      <c r="AS139" s="55"/>
      <c r="AT139" s="55"/>
      <c r="AU139" s="55"/>
      <c r="AV139" s="55"/>
      <c r="AW139" s="55"/>
      <c r="AX139" s="55"/>
      <c r="AY139" s="55"/>
      <c r="AZ139" s="55"/>
      <c r="BA139" s="55"/>
      <c r="BB139" s="55"/>
      <c r="BC139" s="55"/>
      <c r="BD139" s="55"/>
      <c r="BE139" s="55"/>
      <c r="BF139" s="55"/>
      <c r="BG139" s="55"/>
      <c r="BH139" s="55"/>
      <c r="BI139" s="55"/>
      <c r="BJ139" s="55"/>
      <c r="BK139" s="55"/>
      <c r="BL139" s="55"/>
      <c r="BM139" s="55"/>
      <c r="BN139" s="55"/>
      <c r="BO139" s="55"/>
      <c r="BP139" s="55"/>
      <c r="BQ139" s="55"/>
      <c r="BR139" s="55"/>
      <c r="BS139" s="55"/>
    </row>
    <row r="140" spans="1:71" outlineLevel="1" x14ac:dyDescent="0.2">
      <c r="D140" t="s">
        <v>154</v>
      </c>
      <c r="I140" s="30">
        <f ca="1">SUM($L140:$BS140)</f>
        <v>9170.6340419147818</v>
      </c>
      <c r="J140" s="26" t="s">
        <v>148</v>
      </c>
      <c r="K140" s="7" t="s">
        <v>155</v>
      </c>
      <c r="L140" s="49" cm="1">
        <f t="array" aca="1" ref="L140:BS140" ca="1">Loango_II!CA_gross_prod_oil*Loango_II!CA_HP_oil_nom</f>
        <v>638.84591387144997</v>
      </c>
      <c r="M140" s="49">
        <f ca="1"/>
        <v>662.99897321324988</v>
      </c>
      <c r="N140" s="49">
        <f ca="1"/>
        <v>502.48948924934996</v>
      </c>
      <c r="O140" s="49">
        <f ca="1"/>
        <v>559.98801229265996</v>
      </c>
      <c r="P140" s="49">
        <f ca="1"/>
        <v>1158.7524415519501</v>
      </c>
      <c r="Q140" s="49">
        <f ca="1"/>
        <v>1827.5970291002998</v>
      </c>
      <c r="R140" s="49">
        <f ca="1"/>
        <v>658.25211822703989</v>
      </c>
      <c r="S140" s="49">
        <f ca="1"/>
        <v>609.58851840000011</v>
      </c>
      <c r="T140" s="49">
        <f ca="1"/>
        <v>565.36836768000001</v>
      </c>
      <c r="U140" s="49">
        <f ca="1"/>
        <v>536.30843358124798</v>
      </c>
      <c r="V140" s="49">
        <f ca="1"/>
        <v>508.74218009517176</v>
      </c>
      <c r="W140" s="49">
        <f ca="1"/>
        <v>483.91500418085047</v>
      </c>
      <c r="X140" s="49">
        <f ca="1"/>
        <v>457.78756047151228</v>
      </c>
      <c r="Y140" s="49">
        <f ca="1"/>
        <v>0</v>
      </c>
      <c r="Z140" s="49">
        <f ca="1"/>
        <v>0</v>
      </c>
      <c r="AA140" s="49">
        <f ca="1"/>
        <v>0</v>
      </c>
      <c r="AB140" s="49">
        <f ca="1"/>
        <v>0</v>
      </c>
      <c r="AC140" s="49">
        <f ca="1"/>
        <v>0</v>
      </c>
      <c r="AD140" s="49">
        <f ca="1"/>
        <v>0</v>
      </c>
      <c r="AE140" s="49">
        <f ca="1"/>
        <v>0</v>
      </c>
      <c r="AF140" s="49">
        <f ca="1"/>
        <v>0</v>
      </c>
      <c r="AG140" s="49">
        <f ca="1"/>
        <v>0</v>
      </c>
      <c r="AH140" s="49">
        <f ca="1"/>
        <v>0</v>
      </c>
      <c r="AI140" s="49">
        <f ca="1"/>
        <v>0</v>
      </c>
      <c r="AJ140" s="49">
        <f ca="1"/>
        <v>0</v>
      </c>
      <c r="AK140" s="49">
        <f ca="1"/>
        <v>0</v>
      </c>
      <c r="AL140" s="49">
        <f ca="1"/>
        <v>0</v>
      </c>
      <c r="AM140" s="49">
        <f ca="1"/>
        <v>0</v>
      </c>
      <c r="AN140" s="49">
        <f ca="1"/>
        <v>0</v>
      </c>
      <c r="AO140" s="49">
        <f ca="1"/>
        <v>0</v>
      </c>
      <c r="AP140" s="49">
        <f ca="1"/>
        <v>0</v>
      </c>
      <c r="AQ140" s="49">
        <f ca="1"/>
        <v>0</v>
      </c>
      <c r="AR140" s="49">
        <f ca="1"/>
        <v>0</v>
      </c>
      <c r="AS140" s="49">
        <f ca="1"/>
        <v>0</v>
      </c>
      <c r="AT140" s="49">
        <f ca="1"/>
        <v>0</v>
      </c>
      <c r="AU140" s="49">
        <f ca="1"/>
        <v>0</v>
      </c>
      <c r="AV140" s="49">
        <f ca="1"/>
        <v>0</v>
      </c>
      <c r="AW140" s="49">
        <f ca="1"/>
        <v>0</v>
      </c>
      <c r="AX140" s="49">
        <f ca="1"/>
        <v>0</v>
      </c>
      <c r="AY140" s="49">
        <f ca="1"/>
        <v>0</v>
      </c>
      <c r="AZ140" s="49">
        <f ca="1"/>
        <v>0</v>
      </c>
      <c r="BA140" s="49">
        <f ca="1"/>
        <v>0</v>
      </c>
      <c r="BB140" s="49">
        <f ca="1"/>
        <v>0</v>
      </c>
      <c r="BC140" s="49">
        <f ca="1"/>
        <v>0</v>
      </c>
      <c r="BD140" s="49">
        <f ca="1"/>
        <v>0</v>
      </c>
      <c r="BE140" s="49">
        <f ca="1"/>
        <v>0</v>
      </c>
      <c r="BF140" s="49">
        <f ca="1"/>
        <v>0</v>
      </c>
      <c r="BG140" s="49">
        <f ca="1"/>
        <v>0</v>
      </c>
      <c r="BH140" s="49">
        <f ca="1"/>
        <v>0</v>
      </c>
      <c r="BI140" s="49">
        <f ca="1"/>
        <v>0</v>
      </c>
      <c r="BJ140" s="49">
        <f ca="1"/>
        <v>0</v>
      </c>
      <c r="BK140" s="49">
        <f ca="1"/>
        <v>0</v>
      </c>
      <c r="BL140" s="49">
        <f ca="1"/>
        <v>0</v>
      </c>
      <c r="BM140" s="49">
        <f ca="1"/>
        <v>0</v>
      </c>
      <c r="BN140" s="49">
        <f ca="1"/>
        <v>0</v>
      </c>
      <c r="BO140" s="49">
        <f ca="1"/>
        <v>0</v>
      </c>
      <c r="BP140" s="49">
        <f ca="1"/>
        <v>0</v>
      </c>
      <c r="BQ140" s="49">
        <f ca="1"/>
        <v>0</v>
      </c>
      <c r="BR140" s="49">
        <f ca="1"/>
        <v>0</v>
      </c>
      <c r="BS140" s="49">
        <f ca="1"/>
        <v>0</v>
      </c>
    </row>
    <row r="141" spans="1:71" outlineLevel="1" x14ac:dyDescent="0.2">
      <c r="J141" s="26"/>
      <c r="L141" s="55"/>
      <c r="M141" s="55"/>
      <c r="N141" s="55"/>
      <c r="O141" s="55"/>
      <c r="P141" s="55"/>
      <c r="Q141" s="55"/>
      <c r="R141" s="55"/>
      <c r="S141" s="55"/>
      <c r="T141" s="55"/>
      <c r="U141" s="55"/>
      <c r="V141" s="55"/>
      <c r="W141" s="55"/>
      <c r="X141" s="55"/>
      <c r="Y141" s="55"/>
      <c r="Z141" s="55"/>
      <c r="AA141" s="55"/>
      <c r="AB141" s="55"/>
      <c r="AC141" s="55"/>
      <c r="AD141" s="55"/>
      <c r="AE141" s="55"/>
      <c r="AF141" s="55"/>
      <c r="AG141" s="55"/>
      <c r="AH141" s="55"/>
      <c r="AI141" s="55"/>
      <c r="AJ141" s="55"/>
      <c r="AK141" s="55"/>
      <c r="AL141" s="55"/>
      <c r="AM141" s="55"/>
      <c r="AN141" s="55"/>
      <c r="AO141" s="55"/>
      <c r="AP141" s="55"/>
      <c r="AQ141" s="55"/>
      <c r="AR141" s="55"/>
      <c r="AS141" s="55"/>
      <c r="AT141" s="55"/>
      <c r="AU141" s="55"/>
      <c r="AV141" s="55"/>
      <c r="AW141" s="55"/>
      <c r="AX141" s="55"/>
      <c r="AY141" s="55"/>
      <c r="AZ141" s="55"/>
      <c r="BA141" s="55"/>
      <c r="BB141" s="55"/>
      <c r="BC141" s="55"/>
      <c r="BD141" s="55"/>
      <c r="BE141" s="55"/>
      <c r="BF141" s="55"/>
      <c r="BG141" s="55"/>
      <c r="BH141" s="55"/>
      <c r="BI141" s="55"/>
      <c r="BJ141" s="55"/>
      <c r="BK141" s="55"/>
      <c r="BL141" s="55"/>
      <c r="BM141" s="55"/>
      <c r="BN141" s="55"/>
      <c r="BO141" s="55"/>
      <c r="BP141" s="55"/>
      <c r="BQ141" s="55"/>
      <c r="BR141" s="55"/>
      <c r="BS141" s="55"/>
    </row>
    <row r="142" spans="1:71" outlineLevel="1" x14ac:dyDescent="0.2">
      <c r="J142" s="26"/>
      <c r="L142" s="55"/>
      <c r="M142" s="55"/>
      <c r="N142" s="55"/>
      <c r="O142" s="55"/>
      <c r="P142" s="55"/>
      <c r="Q142" s="55"/>
      <c r="R142" s="55"/>
      <c r="S142" s="55"/>
      <c r="T142" s="55"/>
      <c r="U142" s="55"/>
      <c r="V142" s="55"/>
      <c r="W142" s="55"/>
      <c r="X142" s="55"/>
      <c r="Y142" s="55"/>
      <c r="Z142" s="55"/>
      <c r="AA142" s="55"/>
      <c r="AB142" s="55"/>
      <c r="AC142" s="55"/>
      <c r="AD142" s="55"/>
      <c r="AE142" s="55"/>
      <c r="AF142" s="55"/>
      <c r="AG142" s="55"/>
      <c r="AH142" s="55"/>
      <c r="AI142" s="55"/>
      <c r="AJ142" s="55"/>
      <c r="AK142" s="55"/>
      <c r="AL142" s="55"/>
      <c r="AM142" s="55"/>
      <c r="AN142" s="55"/>
      <c r="AO142" s="55"/>
      <c r="AP142" s="55"/>
      <c r="AQ142" s="55"/>
      <c r="AR142" s="55"/>
      <c r="AS142" s="55"/>
      <c r="AT142" s="55"/>
      <c r="AU142" s="55"/>
      <c r="AV142" s="55"/>
      <c r="AW142" s="55"/>
      <c r="AX142" s="55"/>
      <c r="AY142" s="55"/>
      <c r="AZ142" s="55"/>
      <c r="BA142" s="55"/>
      <c r="BB142" s="55"/>
      <c r="BC142" s="55"/>
      <c r="BD142" s="55"/>
      <c r="BE142" s="55"/>
      <c r="BF142" s="55"/>
      <c r="BG142" s="55"/>
      <c r="BH142" s="55"/>
      <c r="BI142" s="55"/>
      <c r="BJ142" s="55"/>
      <c r="BK142" s="55"/>
      <c r="BL142" s="55"/>
      <c r="BM142" s="55"/>
      <c r="BN142" s="55"/>
      <c r="BO142" s="55"/>
      <c r="BP142" s="55"/>
      <c r="BQ142" s="55"/>
      <c r="BR142" s="55"/>
      <c r="BS142" s="55"/>
    </row>
    <row r="143" spans="1:71" outlineLevel="1" x14ac:dyDescent="0.2">
      <c r="D143" t="s">
        <v>156</v>
      </c>
      <c r="I143" s="30">
        <f ca="1">SUM($L143:$BS143)</f>
        <v>2513.0304304665174</v>
      </c>
      <c r="J143" s="26" t="s">
        <v>148</v>
      </c>
      <c r="K143" s="7" t="s">
        <v>157</v>
      </c>
      <c r="L143" s="49" cm="1">
        <f t="array" aca="1" ref="L143:BS143" ca="1">Loango_II!CA_gross_rev_oil_fp-Loango_II!CA_gross_rev_oil_hp</f>
        <v>110.49156843666879</v>
      </c>
      <c r="M143" s="49">
        <f ca="1"/>
        <v>44.847002139674714</v>
      </c>
      <c r="N143" s="49">
        <f ca="1"/>
        <v>-235.42712024826659</v>
      </c>
      <c r="O143" s="49">
        <f ca="1"/>
        <v>-307.90518911929178</v>
      </c>
      <c r="P143" s="49">
        <f ca="1"/>
        <v>-459.51114615403651</v>
      </c>
      <c r="Q143" s="49">
        <f ca="1"/>
        <v>-437.66416270819786</v>
      </c>
      <c r="R143" s="49">
        <f ca="1"/>
        <v>668.47874532212143</v>
      </c>
      <c r="S143" s="49">
        <f ca="1"/>
        <v>160.58847531599997</v>
      </c>
      <c r="T143" s="49">
        <f ca="1"/>
        <v>609.86285821641593</v>
      </c>
      <c r="U143" s="49">
        <f ca="1"/>
        <v>636.86626487773196</v>
      </c>
      <c r="V143" s="49">
        <f ca="1"/>
        <v>604.13133886301648</v>
      </c>
      <c r="W143" s="49">
        <f ca="1"/>
        <v>574.64906746476004</v>
      </c>
      <c r="X143" s="49">
        <f ca="1"/>
        <v>543.62272805992086</v>
      </c>
      <c r="Y143" s="49">
        <f ca="1"/>
        <v>0</v>
      </c>
      <c r="Z143" s="49">
        <f ca="1"/>
        <v>0</v>
      </c>
      <c r="AA143" s="49">
        <f ca="1"/>
        <v>0</v>
      </c>
      <c r="AB143" s="49">
        <f ca="1"/>
        <v>0</v>
      </c>
      <c r="AC143" s="49">
        <f ca="1"/>
        <v>0</v>
      </c>
      <c r="AD143" s="49">
        <f ca="1"/>
        <v>0</v>
      </c>
      <c r="AE143" s="49">
        <f ca="1"/>
        <v>0</v>
      </c>
      <c r="AF143" s="49">
        <f ca="1"/>
        <v>0</v>
      </c>
      <c r="AG143" s="49">
        <f ca="1"/>
        <v>0</v>
      </c>
      <c r="AH143" s="49">
        <f ca="1"/>
        <v>0</v>
      </c>
      <c r="AI143" s="49">
        <f ca="1"/>
        <v>0</v>
      </c>
      <c r="AJ143" s="49">
        <f ca="1"/>
        <v>0</v>
      </c>
      <c r="AK143" s="49">
        <f ca="1"/>
        <v>0</v>
      </c>
      <c r="AL143" s="49">
        <f ca="1"/>
        <v>0</v>
      </c>
      <c r="AM143" s="49">
        <f ca="1"/>
        <v>0</v>
      </c>
      <c r="AN143" s="49">
        <f ca="1"/>
        <v>0</v>
      </c>
      <c r="AO143" s="49">
        <f ca="1"/>
        <v>0</v>
      </c>
      <c r="AP143" s="49">
        <f ca="1"/>
        <v>0</v>
      </c>
      <c r="AQ143" s="49">
        <f ca="1"/>
        <v>0</v>
      </c>
      <c r="AR143" s="49">
        <f ca="1"/>
        <v>0</v>
      </c>
      <c r="AS143" s="49">
        <f ca="1"/>
        <v>0</v>
      </c>
      <c r="AT143" s="49">
        <f ca="1"/>
        <v>0</v>
      </c>
      <c r="AU143" s="49">
        <f ca="1"/>
        <v>0</v>
      </c>
      <c r="AV143" s="49">
        <f ca="1"/>
        <v>0</v>
      </c>
      <c r="AW143" s="49">
        <f ca="1"/>
        <v>0</v>
      </c>
      <c r="AX143" s="49">
        <f ca="1"/>
        <v>0</v>
      </c>
      <c r="AY143" s="49">
        <f ca="1"/>
        <v>0</v>
      </c>
      <c r="AZ143" s="49">
        <f ca="1"/>
        <v>0</v>
      </c>
      <c r="BA143" s="49">
        <f ca="1"/>
        <v>0</v>
      </c>
      <c r="BB143" s="49">
        <f ca="1"/>
        <v>0</v>
      </c>
      <c r="BC143" s="49">
        <f ca="1"/>
        <v>0</v>
      </c>
      <c r="BD143" s="49">
        <f ca="1"/>
        <v>0</v>
      </c>
      <c r="BE143" s="49">
        <f ca="1"/>
        <v>0</v>
      </c>
      <c r="BF143" s="49">
        <f ca="1"/>
        <v>0</v>
      </c>
      <c r="BG143" s="49">
        <f ca="1"/>
        <v>0</v>
      </c>
      <c r="BH143" s="49">
        <f ca="1"/>
        <v>0</v>
      </c>
      <c r="BI143" s="49">
        <f ca="1"/>
        <v>0</v>
      </c>
      <c r="BJ143" s="49">
        <f ca="1"/>
        <v>0</v>
      </c>
      <c r="BK143" s="49">
        <f ca="1"/>
        <v>0</v>
      </c>
      <c r="BL143" s="49">
        <f ca="1"/>
        <v>0</v>
      </c>
      <c r="BM143" s="49">
        <f ca="1"/>
        <v>0</v>
      </c>
      <c r="BN143" s="49">
        <f ca="1"/>
        <v>0</v>
      </c>
      <c r="BO143" s="49">
        <f ca="1"/>
        <v>0</v>
      </c>
      <c r="BP143" s="49">
        <f ca="1"/>
        <v>0</v>
      </c>
      <c r="BQ143" s="49">
        <f ca="1"/>
        <v>0</v>
      </c>
      <c r="BR143" s="49">
        <f ca="1"/>
        <v>0</v>
      </c>
      <c r="BS143" s="49">
        <f ca="1"/>
        <v>0</v>
      </c>
    </row>
    <row r="144" spans="1:71" outlineLevel="1" x14ac:dyDescent="0.2">
      <c r="J144" s="26"/>
      <c r="L144" s="55"/>
      <c r="M144" s="55"/>
      <c r="N144" s="55"/>
      <c r="O144" s="55"/>
      <c r="P144" s="55"/>
      <c r="Q144" s="55"/>
      <c r="R144" s="55"/>
      <c r="S144" s="55"/>
      <c r="T144" s="55"/>
      <c r="U144" s="55"/>
      <c r="V144" s="55"/>
      <c r="W144" s="55"/>
      <c r="X144" s="55"/>
      <c r="Y144" s="55"/>
      <c r="Z144" s="55"/>
      <c r="AA144" s="55"/>
      <c r="AB144" s="55"/>
      <c r="AC144" s="55"/>
      <c r="AD144" s="55"/>
      <c r="AE144" s="55"/>
      <c r="AF144" s="55"/>
      <c r="AG144" s="55"/>
      <c r="AH144" s="55"/>
      <c r="AI144" s="55"/>
      <c r="AJ144" s="55"/>
      <c r="AK144" s="55"/>
      <c r="AL144" s="55"/>
      <c r="AM144" s="55"/>
      <c r="AN144" s="55"/>
      <c r="AO144" s="55"/>
      <c r="AP144" s="55"/>
      <c r="AQ144" s="55"/>
      <c r="AR144" s="55"/>
      <c r="AS144" s="55"/>
      <c r="AT144" s="55"/>
      <c r="AU144" s="55"/>
      <c r="AV144" s="55"/>
      <c r="AW144" s="55"/>
      <c r="AX144" s="55"/>
      <c r="AY144" s="55"/>
      <c r="AZ144" s="55"/>
      <c r="BA144" s="55"/>
      <c r="BB144" s="55"/>
      <c r="BC144" s="55"/>
      <c r="BD144" s="55"/>
      <c r="BE144" s="55"/>
      <c r="BF144" s="55"/>
      <c r="BG144" s="55"/>
      <c r="BH144" s="55"/>
      <c r="BI144" s="55"/>
      <c r="BJ144" s="55"/>
      <c r="BK144" s="55"/>
      <c r="BL144" s="55"/>
      <c r="BM144" s="55"/>
      <c r="BN144" s="55"/>
      <c r="BO144" s="55"/>
      <c r="BP144" s="55"/>
      <c r="BQ144" s="55"/>
      <c r="BR144" s="55"/>
      <c r="BS144" s="55"/>
    </row>
    <row r="145" spans="1:71" outlineLevel="1" x14ac:dyDescent="0.2">
      <c r="C145" s="11" t="s">
        <v>228</v>
      </c>
      <c r="J145" s="26"/>
      <c r="L145" s="55"/>
      <c r="M145" s="55"/>
      <c r="N145" s="55"/>
      <c r="O145" s="55"/>
      <c r="P145" s="55"/>
      <c r="Q145" s="55"/>
      <c r="R145" s="55"/>
      <c r="S145" s="55"/>
      <c r="T145" s="55"/>
      <c r="U145" s="55"/>
      <c r="V145" s="55"/>
      <c r="W145" s="55"/>
      <c r="X145" s="55"/>
      <c r="Y145" s="55"/>
      <c r="Z145" s="55"/>
      <c r="AA145" s="55"/>
      <c r="AB145" s="55"/>
      <c r="AC145" s="55"/>
      <c r="AD145" s="55"/>
      <c r="AE145" s="55"/>
      <c r="AF145" s="55"/>
      <c r="AG145" s="55"/>
      <c r="AH145" s="55"/>
      <c r="AI145" s="55"/>
      <c r="AJ145" s="55"/>
      <c r="AK145" s="55"/>
      <c r="AL145" s="55"/>
      <c r="AM145" s="55"/>
      <c r="AN145" s="55"/>
      <c r="AO145" s="55"/>
      <c r="AP145" s="55"/>
      <c r="AQ145" s="55"/>
      <c r="AR145" s="55"/>
      <c r="AS145" s="55"/>
      <c r="AT145" s="55"/>
      <c r="AU145" s="55"/>
      <c r="AV145" s="55"/>
      <c r="AW145" s="55"/>
      <c r="AX145" s="55"/>
      <c r="AY145" s="55"/>
      <c r="AZ145" s="55"/>
      <c r="BA145" s="55"/>
      <c r="BB145" s="55"/>
      <c r="BC145" s="55"/>
      <c r="BD145" s="55"/>
      <c r="BE145" s="55"/>
      <c r="BF145" s="55"/>
      <c r="BG145" s="55"/>
      <c r="BH145" s="55"/>
      <c r="BI145" s="55"/>
      <c r="BJ145" s="55"/>
      <c r="BK145" s="55"/>
      <c r="BL145" s="55"/>
      <c r="BM145" s="55"/>
      <c r="BN145" s="55"/>
      <c r="BO145" s="55"/>
      <c r="BP145" s="55"/>
      <c r="BQ145" s="55"/>
      <c r="BR145" s="55"/>
      <c r="BS145" s="55"/>
    </row>
    <row r="146" spans="1:71" outlineLevel="1" x14ac:dyDescent="0.2">
      <c r="D146" t="s">
        <v>229</v>
      </c>
      <c r="I146" s="58">
        <f ca="1">IFERROR(I135/$I$137,0)</f>
        <v>1</v>
      </c>
      <c r="J146" s="26" t="s">
        <v>90</v>
      </c>
      <c r="K146" s="7" t="s">
        <v>231</v>
      </c>
      <c r="L146" s="53">
        <f ca="1">IFERROR(Loango_II!CA_gross_rev_oil_fp/Loango_II!CA_gross_rev_total_fp,0)</f>
        <v>1</v>
      </c>
      <c r="M146" s="53">
        <f ca="1">IFERROR(Loango_II!CA_gross_rev_oil_fp/Loango_II!CA_gross_rev_total_fp,0)</f>
        <v>1</v>
      </c>
      <c r="N146" s="53">
        <f ca="1">IFERROR(Loango_II!CA_gross_rev_oil_fp/Loango_II!CA_gross_rev_total_fp,0)</f>
        <v>1</v>
      </c>
      <c r="O146" s="53">
        <f ca="1">IFERROR(Loango_II!CA_gross_rev_oil_fp/Loango_II!CA_gross_rev_total_fp,0)</f>
        <v>1</v>
      </c>
      <c r="P146" s="53">
        <f ca="1">IFERROR(Loango_II!CA_gross_rev_oil_fp/Loango_II!CA_gross_rev_total_fp,0)</f>
        <v>1</v>
      </c>
      <c r="Q146" s="53">
        <f ca="1">IFERROR(Loango_II!CA_gross_rev_oil_fp/Loango_II!CA_gross_rev_total_fp,0)</f>
        <v>1</v>
      </c>
      <c r="R146" s="53">
        <f ca="1">IFERROR(Loango_II!CA_gross_rev_oil_fp/Loango_II!CA_gross_rev_total_fp,0)</f>
        <v>1</v>
      </c>
      <c r="S146" s="53">
        <f ca="1">IFERROR(Loango_II!CA_gross_rev_oil_fp/Loango_II!CA_gross_rev_total_fp,0)</f>
        <v>1</v>
      </c>
      <c r="T146" s="53">
        <f ca="1">IFERROR(Loango_II!CA_gross_rev_oil_fp/Loango_II!CA_gross_rev_total_fp,0)</f>
        <v>1</v>
      </c>
      <c r="U146" s="53">
        <f ca="1">IFERROR(Loango_II!CA_gross_rev_oil_fp/Loango_II!CA_gross_rev_total_fp,0)</f>
        <v>1</v>
      </c>
      <c r="V146" s="53">
        <f ca="1">IFERROR(Loango_II!CA_gross_rev_oil_fp/Loango_II!CA_gross_rev_total_fp,0)</f>
        <v>1</v>
      </c>
      <c r="W146" s="53">
        <f ca="1">IFERROR(Loango_II!CA_gross_rev_oil_fp/Loango_II!CA_gross_rev_total_fp,0)</f>
        <v>1</v>
      </c>
      <c r="X146" s="53">
        <f ca="1">IFERROR(Loango_II!CA_gross_rev_oil_fp/Loango_II!CA_gross_rev_total_fp,0)</f>
        <v>1</v>
      </c>
      <c r="Y146" s="53">
        <f ca="1">IFERROR(Loango_II!CA_gross_rev_oil_fp/Loango_II!CA_gross_rev_total_fp,0)</f>
        <v>0</v>
      </c>
      <c r="Z146" s="53">
        <f ca="1">IFERROR(Loango_II!CA_gross_rev_oil_fp/Loango_II!CA_gross_rev_total_fp,0)</f>
        <v>0</v>
      </c>
      <c r="AA146" s="53">
        <f ca="1">IFERROR(Loango_II!CA_gross_rev_oil_fp/Loango_II!CA_gross_rev_total_fp,0)</f>
        <v>0</v>
      </c>
      <c r="AB146" s="53">
        <f ca="1">IFERROR(Loango_II!CA_gross_rev_oil_fp/Loango_II!CA_gross_rev_total_fp,0)</f>
        <v>0</v>
      </c>
      <c r="AC146" s="53">
        <f ca="1">IFERROR(Loango_II!CA_gross_rev_oil_fp/Loango_II!CA_gross_rev_total_fp,0)</f>
        <v>0</v>
      </c>
      <c r="AD146" s="53">
        <f ca="1">IFERROR(Loango_II!CA_gross_rev_oil_fp/Loango_II!CA_gross_rev_total_fp,0)</f>
        <v>0</v>
      </c>
      <c r="AE146" s="53">
        <f ca="1">IFERROR(Loango_II!CA_gross_rev_oil_fp/Loango_II!CA_gross_rev_total_fp,0)</f>
        <v>0</v>
      </c>
      <c r="AF146" s="53">
        <f ca="1">IFERROR(Loango_II!CA_gross_rev_oil_fp/Loango_II!CA_gross_rev_total_fp,0)</f>
        <v>0</v>
      </c>
      <c r="AG146" s="53">
        <f ca="1">IFERROR(Loango_II!CA_gross_rev_oil_fp/Loango_II!CA_gross_rev_total_fp,0)</f>
        <v>0</v>
      </c>
      <c r="AH146" s="53">
        <f ca="1">IFERROR(Loango_II!CA_gross_rev_oil_fp/Loango_II!CA_gross_rev_total_fp,0)</f>
        <v>0</v>
      </c>
      <c r="AI146" s="53">
        <f ca="1">IFERROR(Loango_II!CA_gross_rev_oil_fp/Loango_II!CA_gross_rev_total_fp,0)</f>
        <v>0</v>
      </c>
      <c r="AJ146" s="53">
        <f ca="1">IFERROR(Loango_II!CA_gross_rev_oil_fp/Loango_II!CA_gross_rev_total_fp,0)</f>
        <v>0</v>
      </c>
      <c r="AK146" s="53">
        <f ca="1">IFERROR(Loango_II!CA_gross_rev_oil_fp/Loango_II!CA_gross_rev_total_fp,0)</f>
        <v>0</v>
      </c>
      <c r="AL146" s="53">
        <f ca="1">IFERROR(Loango_II!CA_gross_rev_oil_fp/Loango_II!CA_gross_rev_total_fp,0)</f>
        <v>0</v>
      </c>
      <c r="AM146" s="53">
        <f ca="1">IFERROR(Loango_II!CA_gross_rev_oil_fp/Loango_II!CA_gross_rev_total_fp,0)</f>
        <v>0</v>
      </c>
      <c r="AN146" s="53">
        <f ca="1">IFERROR(Loango_II!CA_gross_rev_oil_fp/Loango_II!CA_gross_rev_total_fp,0)</f>
        <v>0</v>
      </c>
      <c r="AO146" s="53">
        <f ca="1">IFERROR(Loango_II!CA_gross_rev_oil_fp/Loango_II!CA_gross_rev_total_fp,0)</f>
        <v>0</v>
      </c>
      <c r="AP146" s="53">
        <f ca="1">IFERROR(Loango_II!CA_gross_rev_oil_fp/Loango_II!CA_gross_rev_total_fp,0)</f>
        <v>0</v>
      </c>
      <c r="AQ146" s="53">
        <f ca="1">IFERROR(Loango_II!CA_gross_rev_oil_fp/Loango_II!CA_gross_rev_total_fp,0)</f>
        <v>0</v>
      </c>
      <c r="AR146" s="53">
        <f ca="1">IFERROR(Loango_II!CA_gross_rev_oil_fp/Loango_II!CA_gross_rev_total_fp,0)</f>
        <v>0</v>
      </c>
      <c r="AS146" s="53">
        <f ca="1">IFERROR(Loango_II!CA_gross_rev_oil_fp/Loango_II!CA_gross_rev_total_fp,0)</f>
        <v>0</v>
      </c>
      <c r="AT146" s="53">
        <f ca="1">IFERROR(Loango_II!CA_gross_rev_oil_fp/Loango_II!CA_gross_rev_total_fp,0)</f>
        <v>0</v>
      </c>
      <c r="AU146" s="53">
        <f ca="1">IFERROR(Loango_II!CA_gross_rev_oil_fp/Loango_II!CA_gross_rev_total_fp,0)</f>
        <v>0</v>
      </c>
      <c r="AV146" s="53">
        <f ca="1">IFERROR(Loango_II!CA_gross_rev_oil_fp/Loango_II!CA_gross_rev_total_fp,0)</f>
        <v>0</v>
      </c>
      <c r="AW146" s="53">
        <f ca="1">IFERROR(Loango_II!CA_gross_rev_oil_fp/Loango_II!CA_gross_rev_total_fp,0)</f>
        <v>0</v>
      </c>
      <c r="AX146" s="53">
        <f ca="1">IFERROR(Loango_II!CA_gross_rev_oil_fp/Loango_II!CA_gross_rev_total_fp,0)</f>
        <v>0</v>
      </c>
      <c r="AY146" s="53">
        <f ca="1">IFERROR(Loango_II!CA_gross_rev_oil_fp/Loango_II!CA_gross_rev_total_fp,0)</f>
        <v>0</v>
      </c>
      <c r="AZ146" s="53">
        <f ca="1">IFERROR(Loango_II!CA_gross_rev_oil_fp/Loango_II!CA_gross_rev_total_fp,0)</f>
        <v>0</v>
      </c>
      <c r="BA146" s="53">
        <f ca="1">IFERROR(Loango_II!CA_gross_rev_oil_fp/Loango_II!CA_gross_rev_total_fp,0)</f>
        <v>0</v>
      </c>
      <c r="BB146" s="53">
        <f ca="1">IFERROR(Loango_II!CA_gross_rev_oil_fp/Loango_II!CA_gross_rev_total_fp,0)</f>
        <v>0</v>
      </c>
      <c r="BC146" s="53">
        <f ca="1">IFERROR(Loango_II!CA_gross_rev_oil_fp/Loango_II!CA_gross_rev_total_fp,0)</f>
        <v>0</v>
      </c>
      <c r="BD146" s="53">
        <f ca="1">IFERROR(Loango_II!CA_gross_rev_oil_fp/Loango_II!CA_gross_rev_total_fp,0)</f>
        <v>0</v>
      </c>
      <c r="BE146" s="53">
        <f ca="1">IFERROR(Loango_II!CA_gross_rev_oil_fp/Loango_II!CA_gross_rev_total_fp,0)</f>
        <v>0</v>
      </c>
      <c r="BF146" s="53">
        <f ca="1">IFERROR(Loango_II!CA_gross_rev_oil_fp/Loango_II!CA_gross_rev_total_fp,0)</f>
        <v>0</v>
      </c>
      <c r="BG146" s="53">
        <f ca="1">IFERROR(Loango_II!CA_gross_rev_oil_fp/Loango_II!CA_gross_rev_total_fp,0)</f>
        <v>0</v>
      </c>
      <c r="BH146" s="53">
        <f ca="1">IFERROR(Loango_II!CA_gross_rev_oil_fp/Loango_II!CA_gross_rev_total_fp,0)</f>
        <v>0</v>
      </c>
      <c r="BI146" s="53">
        <f ca="1">IFERROR(Loango_II!CA_gross_rev_oil_fp/Loango_II!CA_gross_rev_total_fp,0)</f>
        <v>0</v>
      </c>
      <c r="BJ146" s="53">
        <f ca="1">IFERROR(Loango_II!CA_gross_rev_oil_fp/Loango_II!CA_gross_rev_total_fp,0)</f>
        <v>0</v>
      </c>
      <c r="BK146" s="53">
        <f ca="1">IFERROR(Loango_II!CA_gross_rev_oil_fp/Loango_II!CA_gross_rev_total_fp,0)</f>
        <v>0</v>
      </c>
      <c r="BL146" s="53">
        <f ca="1">IFERROR(Loango_II!CA_gross_rev_oil_fp/Loango_II!CA_gross_rev_total_fp,0)</f>
        <v>0</v>
      </c>
      <c r="BM146" s="53">
        <f ca="1">IFERROR(Loango_II!CA_gross_rev_oil_fp/Loango_II!CA_gross_rev_total_fp,0)</f>
        <v>0</v>
      </c>
      <c r="BN146" s="53">
        <f ca="1">IFERROR(Loango_II!CA_gross_rev_oil_fp/Loango_II!CA_gross_rev_total_fp,0)</f>
        <v>0</v>
      </c>
      <c r="BO146" s="53">
        <f ca="1">IFERROR(Loango_II!CA_gross_rev_oil_fp/Loango_II!CA_gross_rev_total_fp,0)</f>
        <v>0</v>
      </c>
      <c r="BP146" s="53">
        <f ca="1">IFERROR(Loango_II!CA_gross_rev_oil_fp/Loango_II!CA_gross_rev_total_fp,0)</f>
        <v>0</v>
      </c>
      <c r="BQ146" s="53">
        <f ca="1">IFERROR(Loango_II!CA_gross_rev_oil_fp/Loango_II!CA_gross_rev_total_fp,0)</f>
        <v>0</v>
      </c>
      <c r="BR146" s="53">
        <f ca="1">IFERROR(Loango_II!CA_gross_rev_oil_fp/Loango_II!CA_gross_rev_total_fp,0)</f>
        <v>0</v>
      </c>
      <c r="BS146" s="53">
        <f ca="1">IFERROR(Loango_II!CA_gross_rev_oil_fp/Loango_II!CA_gross_rev_total_fp,0)</f>
        <v>0</v>
      </c>
    </row>
    <row r="147" spans="1:71" outlineLevel="1" x14ac:dyDescent="0.2">
      <c r="D147" t="s">
        <v>230</v>
      </c>
      <c r="I147" s="58">
        <f ca="1">IFERROR(I136/$I$137,0)</f>
        <v>0</v>
      </c>
      <c r="J147" s="26" t="s">
        <v>90</v>
      </c>
      <c r="K147" s="7" t="s">
        <v>232</v>
      </c>
      <c r="L147" s="53">
        <f ca="1">IFERROR(Loango_II!CA_gross_rev_gas_fp/Loango_II!CA_gross_rev_total_fp,0)</f>
        <v>0</v>
      </c>
      <c r="M147" s="53">
        <f ca="1">IFERROR(Loango_II!CA_gross_rev_gas_fp/Loango_II!CA_gross_rev_total_fp,0)</f>
        <v>0</v>
      </c>
      <c r="N147" s="53">
        <f ca="1">IFERROR(Loango_II!CA_gross_rev_gas_fp/Loango_II!CA_gross_rev_total_fp,0)</f>
        <v>0</v>
      </c>
      <c r="O147" s="53">
        <f ca="1">IFERROR(Loango_II!CA_gross_rev_gas_fp/Loango_II!CA_gross_rev_total_fp,0)</f>
        <v>0</v>
      </c>
      <c r="P147" s="53">
        <f ca="1">IFERROR(Loango_II!CA_gross_rev_gas_fp/Loango_II!CA_gross_rev_total_fp,0)</f>
        <v>0</v>
      </c>
      <c r="Q147" s="53">
        <f ca="1">IFERROR(Loango_II!CA_gross_rev_gas_fp/Loango_II!CA_gross_rev_total_fp,0)</f>
        <v>0</v>
      </c>
      <c r="R147" s="53">
        <f ca="1">IFERROR(Loango_II!CA_gross_rev_gas_fp/Loango_II!CA_gross_rev_total_fp,0)</f>
        <v>0</v>
      </c>
      <c r="S147" s="53">
        <f ca="1">IFERROR(Loango_II!CA_gross_rev_gas_fp/Loango_II!CA_gross_rev_total_fp,0)</f>
        <v>0</v>
      </c>
      <c r="T147" s="53">
        <f ca="1">IFERROR(Loango_II!CA_gross_rev_gas_fp/Loango_II!CA_gross_rev_total_fp,0)</f>
        <v>0</v>
      </c>
      <c r="U147" s="53">
        <f ca="1">IFERROR(Loango_II!CA_gross_rev_gas_fp/Loango_II!CA_gross_rev_total_fp,0)</f>
        <v>0</v>
      </c>
      <c r="V147" s="53">
        <f ca="1">IFERROR(Loango_II!CA_gross_rev_gas_fp/Loango_II!CA_gross_rev_total_fp,0)</f>
        <v>0</v>
      </c>
      <c r="W147" s="53">
        <f ca="1">IFERROR(Loango_II!CA_gross_rev_gas_fp/Loango_II!CA_gross_rev_total_fp,0)</f>
        <v>0</v>
      </c>
      <c r="X147" s="53">
        <f ca="1">IFERROR(Loango_II!CA_gross_rev_gas_fp/Loango_II!CA_gross_rev_total_fp,0)</f>
        <v>0</v>
      </c>
      <c r="Y147" s="53">
        <f ca="1">IFERROR(Loango_II!CA_gross_rev_gas_fp/Loango_II!CA_gross_rev_total_fp,0)</f>
        <v>0</v>
      </c>
      <c r="Z147" s="53">
        <f ca="1">IFERROR(Loango_II!CA_gross_rev_gas_fp/Loango_II!CA_gross_rev_total_fp,0)</f>
        <v>0</v>
      </c>
      <c r="AA147" s="53">
        <f ca="1">IFERROR(Loango_II!CA_gross_rev_gas_fp/Loango_II!CA_gross_rev_total_fp,0)</f>
        <v>0</v>
      </c>
      <c r="AB147" s="53">
        <f ca="1">IFERROR(Loango_II!CA_gross_rev_gas_fp/Loango_II!CA_gross_rev_total_fp,0)</f>
        <v>0</v>
      </c>
      <c r="AC147" s="53">
        <f ca="1">IFERROR(Loango_II!CA_gross_rev_gas_fp/Loango_II!CA_gross_rev_total_fp,0)</f>
        <v>0</v>
      </c>
      <c r="AD147" s="53">
        <f ca="1">IFERROR(Loango_II!CA_gross_rev_gas_fp/Loango_II!CA_gross_rev_total_fp,0)</f>
        <v>0</v>
      </c>
      <c r="AE147" s="53">
        <f ca="1">IFERROR(Loango_II!CA_gross_rev_gas_fp/Loango_II!CA_gross_rev_total_fp,0)</f>
        <v>0</v>
      </c>
      <c r="AF147" s="53">
        <f ca="1">IFERROR(Loango_II!CA_gross_rev_gas_fp/Loango_II!CA_gross_rev_total_fp,0)</f>
        <v>0</v>
      </c>
      <c r="AG147" s="53">
        <f ca="1">IFERROR(Loango_II!CA_gross_rev_gas_fp/Loango_II!CA_gross_rev_total_fp,0)</f>
        <v>0</v>
      </c>
      <c r="AH147" s="53">
        <f ca="1">IFERROR(Loango_II!CA_gross_rev_gas_fp/Loango_II!CA_gross_rev_total_fp,0)</f>
        <v>0</v>
      </c>
      <c r="AI147" s="53">
        <f ca="1">IFERROR(Loango_II!CA_gross_rev_gas_fp/Loango_II!CA_gross_rev_total_fp,0)</f>
        <v>0</v>
      </c>
      <c r="AJ147" s="53">
        <f ca="1">IFERROR(Loango_II!CA_gross_rev_gas_fp/Loango_II!CA_gross_rev_total_fp,0)</f>
        <v>0</v>
      </c>
      <c r="AK147" s="53">
        <f ca="1">IFERROR(Loango_II!CA_gross_rev_gas_fp/Loango_II!CA_gross_rev_total_fp,0)</f>
        <v>0</v>
      </c>
      <c r="AL147" s="53">
        <f ca="1">IFERROR(Loango_II!CA_gross_rev_gas_fp/Loango_II!CA_gross_rev_total_fp,0)</f>
        <v>0</v>
      </c>
      <c r="AM147" s="53">
        <f ca="1">IFERROR(Loango_II!CA_gross_rev_gas_fp/Loango_II!CA_gross_rev_total_fp,0)</f>
        <v>0</v>
      </c>
      <c r="AN147" s="53">
        <f ca="1">IFERROR(Loango_II!CA_gross_rev_gas_fp/Loango_II!CA_gross_rev_total_fp,0)</f>
        <v>0</v>
      </c>
      <c r="AO147" s="53">
        <f ca="1">IFERROR(Loango_II!CA_gross_rev_gas_fp/Loango_II!CA_gross_rev_total_fp,0)</f>
        <v>0</v>
      </c>
      <c r="AP147" s="53">
        <f ca="1">IFERROR(Loango_II!CA_gross_rev_gas_fp/Loango_II!CA_gross_rev_total_fp,0)</f>
        <v>0</v>
      </c>
      <c r="AQ147" s="53">
        <f ca="1">IFERROR(Loango_II!CA_gross_rev_gas_fp/Loango_II!CA_gross_rev_total_fp,0)</f>
        <v>0</v>
      </c>
      <c r="AR147" s="53">
        <f ca="1">IFERROR(Loango_II!CA_gross_rev_gas_fp/Loango_II!CA_gross_rev_total_fp,0)</f>
        <v>0</v>
      </c>
      <c r="AS147" s="53">
        <f ca="1">IFERROR(Loango_II!CA_gross_rev_gas_fp/Loango_II!CA_gross_rev_total_fp,0)</f>
        <v>0</v>
      </c>
      <c r="AT147" s="53">
        <f ca="1">IFERROR(Loango_II!CA_gross_rev_gas_fp/Loango_II!CA_gross_rev_total_fp,0)</f>
        <v>0</v>
      </c>
      <c r="AU147" s="53">
        <f ca="1">IFERROR(Loango_II!CA_gross_rev_gas_fp/Loango_II!CA_gross_rev_total_fp,0)</f>
        <v>0</v>
      </c>
      <c r="AV147" s="53">
        <f ca="1">IFERROR(Loango_II!CA_gross_rev_gas_fp/Loango_II!CA_gross_rev_total_fp,0)</f>
        <v>0</v>
      </c>
      <c r="AW147" s="53">
        <f ca="1">IFERROR(Loango_II!CA_gross_rev_gas_fp/Loango_II!CA_gross_rev_total_fp,0)</f>
        <v>0</v>
      </c>
      <c r="AX147" s="53">
        <f ca="1">IFERROR(Loango_II!CA_gross_rev_gas_fp/Loango_II!CA_gross_rev_total_fp,0)</f>
        <v>0</v>
      </c>
      <c r="AY147" s="53">
        <f ca="1">IFERROR(Loango_II!CA_gross_rev_gas_fp/Loango_II!CA_gross_rev_total_fp,0)</f>
        <v>0</v>
      </c>
      <c r="AZ147" s="53">
        <f ca="1">IFERROR(Loango_II!CA_gross_rev_gas_fp/Loango_II!CA_gross_rev_total_fp,0)</f>
        <v>0</v>
      </c>
      <c r="BA147" s="53">
        <f ca="1">IFERROR(Loango_II!CA_gross_rev_gas_fp/Loango_II!CA_gross_rev_total_fp,0)</f>
        <v>0</v>
      </c>
      <c r="BB147" s="53">
        <f ca="1">IFERROR(Loango_II!CA_gross_rev_gas_fp/Loango_II!CA_gross_rev_total_fp,0)</f>
        <v>0</v>
      </c>
      <c r="BC147" s="53">
        <f ca="1">IFERROR(Loango_II!CA_gross_rev_gas_fp/Loango_II!CA_gross_rev_total_fp,0)</f>
        <v>0</v>
      </c>
      <c r="BD147" s="53">
        <f ca="1">IFERROR(Loango_II!CA_gross_rev_gas_fp/Loango_II!CA_gross_rev_total_fp,0)</f>
        <v>0</v>
      </c>
      <c r="BE147" s="53">
        <f ca="1">IFERROR(Loango_II!CA_gross_rev_gas_fp/Loango_II!CA_gross_rev_total_fp,0)</f>
        <v>0</v>
      </c>
      <c r="BF147" s="53">
        <f ca="1">IFERROR(Loango_II!CA_gross_rev_gas_fp/Loango_II!CA_gross_rev_total_fp,0)</f>
        <v>0</v>
      </c>
      <c r="BG147" s="53">
        <f ca="1">IFERROR(Loango_II!CA_gross_rev_gas_fp/Loango_II!CA_gross_rev_total_fp,0)</f>
        <v>0</v>
      </c>
      <c r="BH147" s="53">
        <f ca="1">IFERROR(Loango_II!CA_gross_rev_gas_fp/Loango_II!CA_gross_rev_total_fp,0)</f>
        <v>0</v>
      </c>
      <c r="BI147" s="53">
        <f ca="1">IFERROR(Loango_II!CA_gross_rev_gas_fp/Loango_II!CA_gross_rev_total_fp,0)</f>
        <v>0</v>
      </c>
      <c r="BJ147" s="53">
        <f ca="1">IFERROR(Loango_II!CA_gross_rev_gas_fp/Loango_II!CA_gross_rev_total_fp,0)</f>
        <v>0</v>
      </c>
      <c r="BK147" s="53">
        <f ca="1">IFERROR(Loango_II!CA_gross_rev_gas_fp/Loango_II!CA_gross_rev_total_fp,0)</f>
        <v>0</v>
      </c>
      <c r="BL147" s="53">
        <f ca="1">IFERROR(Loango_II!CA_gross_rev_gas_fp/Loango_II!CA_gross_rev_total_fp,0)</f>
        <v>0</v>
      </c>
      <c r="BM147" s="53">
        <f ca="1">IFERROR(Loango_II!CA_gross_rev_gas_fp/Loango_II!CA_gross_rev_total_fp,0)</f>
        <v>0</v>
      </c>
      <c r="BN147" s="53">
        <f ca="1">IFERROR(Loango_II!CA_gross_rev_gas_fp/Loango_II!CA_gross_rev_total_fp,0)</f>
        <v>0</v>
      </c>
      <c r="BO147" s="53">
        <f ca="1">IFERROR(Loango_II!CA_gross_rev_gas_fp/Loango_II!CA_gross_rev_total_fp,0)</f>
        <v>0</v>
      </c>
      <c r="BP147" s="53">
        <f ca="1">IFERROR(Loango_II!CA_gross_rev_gas_fp/Loango_II!CA_gross_rev_total_fp,0)</f>
        <v>0</v>
      </c>
      <c r="BQ147" s="53">
        <f ca="1">IFERROR(Loango_II!CA_gross_rev_gas_fp/Loango_II!CA_gross_rev_total_fp,0)</f>
        <v>0</v>
      </c>
      <c r="BR147" s="53">
        <f ca="1">IFERROR(Loango_II!CA_gross_rev_gas_fp/Loango_II!CA_gross_rev_total_fp,0)</f>
        <v>0</v>
      </c>
      <c r="BS147" s="53">
        <f ca="1">IFERROR(Loango_II!CA_gross_rev_gas_fp/Loango_II!CA_gross_rev_total_fp,0)</f>
        <v>0</v>
      </c>
    </row>
    <row r="148" spans="1:71" outlineLevel="1" x14ac:dyDescent="0.2">
      <c r="J148" s="26"/>
      <c r="L148" s="55"/>
      <c r="M148" s="55"/>
      <c r="N148" s="55"/>
      <c r="O148" s="55"/>
      <c r="P148" s="55"/>
      <c r="Q148" s="55"/>
      <c r="R148" s="55"/>
      <c r="S148" s="55"/>
      <c r="T148" s="55"/>
      <c r="U148" s="55"/>
      <c r="V148" s="55"/>
      <c r="W148" s="55"/>
      <c r="X148" s="55"/>
      <c r="Y148" s="55"/>
      <c r="Z148" s="55"/>
      <c r="AA148" s="55"/>
      <c r="AB148" s="55"/>
      <c r="AC148" s="55"/>
      <c r="AD148" s="55"/>
      <c r="AE148" s="55"/>
      <c r="AF148" s="55"/>
      <c r="AG148" s="55"/>
      <c r="AH148" s="55"/>
      <c r="AI148" s="55"/>
      <c r="AJ148" s="55"/>
      <c r="AK148" s="55"/>
      <c r="AL148" s="55"/>
      <c r="AM148" s="55"/>
      <c r="AN148" s="55"/>
      <c r="AO148" s="55"/>
      <c r="AP148" s="55"/>
      <c r="AQ148" s="55"/>
      <c r="AR148" s="55"/>
      <c r="AS148" s="55"/>
      <c r="AT148" s="55"/>
      <c r="AU148" s="55"/>
      <c r="AV148" s="55"/>
      <c r="AW148" s="55"/>
      <c r="AX148" s="55"/>
      <c r="AY148" s="55"/>
      <c r="AZ148" s="55"/>
      <c r="BA148" s="55"/>
      <c r="BB148" s="55"/>
      <c r="BC148" s="55"/>
      <c r="BD148" s="55"/>
      <c r="BE148" s="55"/>
      <c r="BF148" s="55"/>
      <c r="BG148" s="55"/>
      <c r="BH148" s="55"/>
      <c r="BI148" s="55"/>
      <c r="BJ148" s="55"/>
      <c r="BK148" s="55"/>
      <c r="BL148" s="55"/>
      <c r="BM148" s="55"/>
      <c r="BN148" s="55"/>
      <c r="BO148" s="55"/>
      <c r="BP148" s="55"/>
      <c r="BQ148" s="55"/>
      <c r="BR148" s="55"/>
      <c r="BS148" s="55"/>
    </row>
    <row r="149" spans="1:71" outlineLevel="1" x14ac:dyDescent="0.2">
      <c r="J149" s="26"/>
      <c r="L149" s="55"/>
      <c r="M149" s="55"/>
      <c r="N149" s="55"/>
      <c r="O149" s="55"/>
      <c r="P149" s="55"/>
      <c r="Q149" s="55"/>
      <c r="R149" s="55"/>
      <c r="S149" s="55"/>
      <c r="T149" s="55"/>
      <c r="U149" s="55"/>
      <c r="V149" s="55"/>
      <c r="W149" s="55"/>
      <c r="X149" s="55"/>
      <c r="Y149" s="55"/>
      <c r="Z149" s="55"/>
      <c r="AA149" s="55"/>
      <c r="AB149" s="55"/>
      <c r="AC149" s="55"/>
      <c r="AD149" s="55"/>
      <c r="AE149" s="55"/>
      <c r="AF149" s="55"/>
      <c r="AG149" s="55"/>
      <c r="AH149" s="55"/>
      <c r="AI149" s="55"/>
      <c r="AJ149" s="55"/>
      <c r="AK149" s="55"/>
      <c r="AL149" s="55"/>
      <c r="AM149" s="55"/>
      <c r="AN149" s="55"/>
      <c r="AO149" s="55"/>
      <c r="AP149" s="55"/>
      <c r="AQ149" s="55"/>
      <c r="AR149" s="55"/>
      <c r="AS149" s="55"/>
      <c r="AT149" s="55"/>
      <c r="AU149" s="55"/>
      <c r="AV149" s="55"/>
      <c r="AW149" s="55"/>
      <c r="AX149" s="55"/>
      <c r="AY149" s="55"/>
      <c r="AZ149" s="55"/>
      <c r="BA149" s="55"/>
      <c r="BB149" s="55"/>
      <c r="BC149" s="55"/>
      <c r="BD149" s="55"/>
      <c r="BE149" s="55"/>
      <c r="BF149" s="55"/>
      <c r="BG149" s="55"/>
      <c r="BH149" s="55"/>
      <c r="BI149" s="55"/>
      <c r="BJ149" s="55"/>
      <c r="BK149" s="55"/>
      <c r="BL149" s="55"/>
      <c r="BM149" s="55"/>
      <c r="BN149" s="55"/>
      <c r="BO149" s="55"/>
      <c r="BP149" s="55"/>
      <c r="BQ149" s="55"/>
      <c r="BR149" s="55"/>
      <c r="BS149" s="55"/>
    </row>
    <row r="150" spans="1:71" outlineLevel="1" x14ac:dyDescent="0.2">
      <c r="J150" s="26"/>
      <c r="L150" s="55"/>
      <c r="M150" s="55"/>
      <c r="N150" s="55"/>
      <c r="O150" s="55"/>
      <c r="P150" s="55"/>
      <c r="Q150" s="55"/>
      <c r="R150" s="55"/>
      <c r="S150" s="55"/>
      <c r="T150" s="55"/>
      <c r="U150" s="55"/>
      <c r="V150" s="55"/>
      <c r="W150" s="55"/>
      <c r="X150" s="55"/>
      <c r="Y150" s="55"/>
      <c r="Z150" s="55"/>
      <c r="AA150" s="55"/>
      <c r="AB150" s="55"/>
      <c r="AC150" s="55"/>
      <c r="AD150" s="55"/>
      <c r="AE150" s="55"/>
      <c r="AF150" s="55"/>
      <c r="AG150" s="55"/>
      <c r="AH150" s="55"/>
      <c r="AI150" s="55"/>
      <c r="AJ150" s="55"/>
      <c r="AK150" s="55"/>
      <c r="AL150" s="55"/>
      <c r="AM150" s="55"/>
      <c r="AN150" s="55"/>
      <c r="AO150" s="55"/>
      <c r="AP150" s="55"/>
      <c r="AQ150" s="55"/>
      <c r="AR150" s="55"/>
      <c r="AS150" s="55"/>
      <c r="AT150" s="55"/>
      <c r="AU150" s="55"/>
      <c r="AV150" s="55"/>
      <c r="AW150" s="55"/>
      <c r="AX150" s="55"/>
      <c r="AY150" s="55"/>
      <c r="AZ150" s="55"/>
      <c r="BA150" s="55"/>
      <c r="BB150" s="55"/>
      <c r="BC150" s="55"/>
      <c r="BD150" s="55"/>
      <c r="BE150" s="55"/>
      <c r="BF150" s="55"/>
      <c r="BG150" s="55"/>
      <c r="BH150" s="55"/>
      <c r="BI150" s="55"/>
      <c r="BJ150" s="55"/>
      <c r="BK150" s="55"/>
      <c r="BL150" s="55"/>
      <c r="BM150" s="55"/>
      <c r="BN150" s="55"/>
      <c r="BO150" s="55"/>
      <c r="BP150" s="55"/>
      <c r="BQ150" s="55"/>
      <c r="BR150" s="55"/>
      <c r="BS150" s="55"/>
    </row>
    <row r="151" spans="1:71" outlineLevel="1" x14ac:dyDescent="0.2">
      <c r="A151" s="45"/>
      <c r="B151" s="38" t="s">
        <v>50</v>
      </c>
      <c r="C151" s="45"/>
      <c r="D151" s="45"/>
      <c r="E151" s="45"/>
      <c r="J151" s="26"/>
      <c r="L151" s="55"/>
      <c r="M151" s="55"/>
      <c r="N151" s="55"/>
      <c r="O151" s="55"/>
      <c r="P151" s="55"/>
      <c r="Q151" s="55"/>
      <c r="R151" s="55"/>
      <c r="S151" s="55"/>
      <c r="T151" s="55"/>
      <c r="U151" s="55"/>
      <c r="V151" s="55"/>
      <c r="W151" s="55"/>
      <c r="X151" s="55"/>
      <c r="Y151" s="55"/>
      <c r="Z151" s="55"/>
      <c r="AA151" s="55"/>
      <c r="AB151" s="55"/>
      <c r="AC151" s="55"/>
      <c r="AD151" s="55"/>
      <c r="AE151" s="55"/>
      <c r="AF151" s="55"/>
      <c r="AG151" s="55"/>
      <c r="AH151" s="55"/>
      <c r="AI151" s="55"/>
      <c r="AJ151" s="55"/>
      <c r="AK151" s="55"/>
      <c r="AL151" s="55"/>
      <c r="AM151" s="55"/>
      <c r="AN151" s="55"/>
      <c r="AO151" s="55"/>
      <c r="AP151" s="55"/>
      <c r="AQ151" s="55"/>
      <c r="AR151" s="55"/>
      <c r="AS151" s="55"/>
      <c r="AT151" s="55"/>
      <c r="AU151" s="55"/>
      <c r="AV151" s="55"/>
      <c r="AW151" s="55"/>
      <c r="AX151" s="55"/>
      <c r="AY151" s="55"/>
      <c r="AZ151" s="55"/>
      <c r="BA151" s="55"/>
      <c r="BB151" s="55"/>
      <c r="BC151" s="55"/>
      <c r="BD151" s="55"/>
      <c r="BE151" s="55"/>
      <c r="BF151" s="55"/>
      <c r="BG151" s="55"/>
      <c r="BH151" s="55"/>
      <c r="BI151" s="55"/>
      <c r="BJ151" s="55"/>
      <c r="BK151" s="55"/>
      <c r="BL151" s="55"/>
      <c r="BM151" s="55"/>
      <c r="BN151" s="55"/>
      <c r="BO151" s="55"/>
      <c r="BP151" s="55"/>
      <c r="BQ151" s="55"/>
      <c r="BR151" s="55"/>
      <c r="BS151" s="55"/>
    </row>
    <row r="152" spans="1:71" outlineLevel="1" x14ac:dyDescent="0.2">
      <c r="J152" s="26"/>
      <c r="L152" s="55"/>
      <c r="M152" s="55"/>
      <c r="N152" s="55"/>
      <c r="O152" s="55"/>
      <c r="P152" s="55"/>
      <c r="Q152" s="55"/>
      <c r="R152" s="55"/>
      <c r="S152" s="55"/>
      <c r="T152" s="55"/>
      <c r="U152" s="55"/>
      <c r="V152" s="55"/>
      <c r="W152" s="55"/>
      <c r="X152" s="55"/>
      <c r="Y152" s="55"/>
      <c r="Z152" s="55"/>
      <c r="AA152" s="55"/>
      <c r="AB152" s="55"/>
      <c r="AC152" s="55"/>
      <c r="AD152" s="55"/>
      <c r="AE152" s="55"/>
      <c r="AF152" s="55"/>
      <c r="AG152" s="55"/>
      <c r="AH152" s="55"/>
      <c r="AI152" s="55"/>
      <c r="AJ152" s="55"/>
      <c r="AK152" s="55"/>
      <c r="AL152" s="55"/>
      <c r="AM152" s="55"/>
      <c r="AN152" s="55"/>
      <c r="AO152" s="55"/>
      <c r="AP152" s="55"/>
      <c r="AQ152" s="55"/>
      <c r="AR152" s="55"/>
      <c r="AS152" s="55"/>
      <c r="AT152" s="55"/>
      <c r="AU152" s="55"/>
      <c r="AV152" s="55"/>
      <c r="AW152" s="55"/>
      <c r="AX152" s="55"/>
      <c r="AY152" s="55"/>
      <c r="AZ152" s="55"/>
      <c r="BA152" s="55"/>
      <c r="BB152" s="55"/>
      <c r="BC152" s="55"/>
      <c r="BD152" s="55"/>
      <c r="BE152" s="55"/>
      <c r="BF152" s="55"/>
      <c r="BG152" s="55"/>
      <c r="BH152" s="55"/>
      <c r="BI152" s="55"/>
      <c r="BJ152" s="55"/>
      <c r="BK152" s="55"/>
      <c r="BL152" s="55"/>
      <c r="BM152" s="55"/>
      <c r="BN152" s="55"/>
      <c r="BO152" s="55"/>
      <c r="BP152" s="55"/>
      <c r="BQ152" s="55"/>
      <c r="BR152" s="55"/>
      <c r="BS152" s="55"/>
    </row>
    <row r="153" spans="1:71" outlineLevel="1" x14ac:dyDescent="0.2">
      <c r="C153" s="11" t="s">
        <v>162</v>
      </c>
      <c r="J153" s="26"/>
      <c r="L153" s="55"/>
      <c r="M153" s="55"/>
      <c r="N153" s="55"/>
      <c r="O153" s="55"/>
      <c r="P153" s="55"/>
      <c r="Q153" s="55"/>
      <c r="R153" s="55"/>
      <c r="S153" s="55"/>
      <c r="T153" s="55"/>
      <c r="U153" s="55"/>
      <c r="V153" s="55"/>
      <c r="W153" s="55"/>
      <c r="X153" s="55"/>
      <c r="Y153" s="55"/>
      <c r="Z153" s="55"/>
      <c r="AA153" s="55"/>
      <c r="AB153" s="55"/>
      <c r="AC153" s="55"/>
      <c r="AD153" s="55"/>
      <c r="AE153" s="55"/>
      <c r="AF153" s="55"/>
      <c r="AG153" s="55"/>
      <c r="AH153" s="55"/>
      <c r="AI153" s="55"/>
      <c r="AJ153" s="55"/>
      <c r="AK153" s="55"/>
      <c r="AL153" s="55"/>
      <c r="AM153" s="55"/>
      <c r="AN153" s="55"/>
      <c r="AO153" s="55"/>
      <c r="AP153" s="55"/>
      <c r="AQ153" s="55"/>
      <c r="AR153" s="55"/>
      <c r="AS153" s="55"/>
      <c r="AT153" s="55"/>
      <c r="AU153" s="55"/>
      <c r="AV153" s="55"/>
      <c r="AW153" s="55"/>
      <c r="AX153" s="55"/>
      <c r="AY153" s="55"/>
      <c r="AZ153" s="55"/>
      <c r="BA153" s="55"/>
      <c r="BB153" s="55"/>
      <c r="BC153" s="55"/>
      <c r="BD153" s="55"/>
      <c r="BE153" s="55"/>
      <c r="BF153" s="55"/>
      <c r="BG153" s="55"/>
      <c r="BH153" s="55"/>
      <c r="BI153" s="55"/>
      <c r="BJ153" s="55"/>
      <c r="BK153" s="55"/>
      <c r="BL153" s="55"/>
      <c r="BM153" s="55"/>
      <c r="BN153" s="55"/>
      <c r="BO153" s="55"/>
      <c r="BP153" s="55"/>
      <c r="BQ153" s="55"/>
      <c r="BR153" s="55"/>
      <c r="BS153" s="55"/>
    </row>
    <row r="154" spans="1:71" outlineLevel="1" x14ac:dyDescent="0.2">
      <c r="D154" t="s">
        <v>160</v>
      </c>
      <c r="I154" s="30">
        <f ca="1">SUM($L154:$BS154)</f>
        <v>3502.3183539519996</v>
      </c>
      <c r="J154" s="26" t="s">
        <v>148</v>
      </c>
      <c r="K154" s="7" t="s">
        <v>159</v>
      </c>
      <c r="L154" s="49">
        <f t="shared" ref="L154:AQ154" ca="1" si="12">IF(L4&gt;=YEAR(effective_date_Loango),(OFFSET(_xlfn.SINGLE(IA_varopex_real),,date_offset_Loango)*_xlfn.SINGLE(IA_esc_index)),0)</f>
        <v>148.06899999999999</v>
      </c>
      <c r="M154" s="49">
        <f t="shared" ca="1" si="12"/>
        <v>183.88499999999999</v>
      </c>
      <c r="N154" s="49">
        <f t="shared" ca="1" si="12"/>
        <v>135.70400000000001</v>
      </c>
      <c r="O154" s="49">
        <f t="shared" ca="1" si="12"/>
        <v>240.88499999999999</v>
      </c>
      <c r="P154" s="49">
        <f t="shared" ca="1" si="12"/>
        <v>536.79</v>
      </c>
      <c r="Q154" s="49">
        <f t="shared" ca="1" si="12"/>
        <v>243.78</v>
      </c>
      <c r="R154" s="49">
        <f t="shared" ca="1" si="12"/>
        <v>281.8</v>
      </c>
      <c r="S154" s="49">
        <f t="shared" ca="1" si="12"/>
        <v>286.3</v>
      </c>
      <c r="T154" s="49">
        <f t="shared" ca="1" si="12"/>
        <v>283.39999999999998</v>
      </c>
      <c r="U154" s="49">
        <f t="shared" ca="1" si="12"/>
        <v>286.21200000000005</v>
      </c>
      <c r="V154" s="49">
        <f t="shared" ca="1" si="12"/>
        <v>289.02312000000001</v>
      </c>
      <c r="W154" s="49">
        <f t="shared" ca="1" si="12"/>
        <v>291.8322</v>
      </c>
      <c r="X154" s="49">
        <f t="shared" ca="1" si="12"/>
        <v>294.638033952</v>
      </c>
      <c r="Y154" s="49">
        <f t="shared" ca="1" si="12"/>
        <v>0</v>
      </c>
      <c r="Z154" s="49">
        <f t="shared" ca="1" si="12"/>
        <v>0</v>
      </c>
      <c r="AA154" s="49">
        <f t="shared" ca="1" si="12"/>
        <v>0</v>
      </c>
      <c r="AB154" s="49">
        <f t="shared" ca="1" si="12"/>
        <v>0</v>
      </c>
      <c r="AC154" s="49">
        <f t="shared" ca="1" si="12"/>
        <v>0</v>
      </c>
      <c r="AD154" s="49">
        <f t="shared" ca="1" si="12"/>
        <v>0</v>
      </c>
      <c r="AE154" s="49">
        <f t="shared" ca="1" si="12"/>
        <v>0</v>
      </c>
      <c r="AF154" s="49">
        <f t="shared" ca="1" si="12"/>
        <v>0</v>
      </c>
      <c r="AG154" s="49">
        <f t="shared" ca="1" si="12"/>
        <v>0</v>
      </c>
      <c r="AH154" s="49">
        <f t="shared" ca="1" si="12"/>
        <v>0</v>
      </c>
      <c r="AI154" s="49">
        <f t="shared" ca="1" si="12"/>
        <v>0</v>
      </c>
      <c r="AJ154" s="49">
        <f t="shared" ca="1" si="12"/>
        <v>0</v>
      </c>
      <c r="AK154" s="49">
        <f t="shared" ca="1" si="12"/>
        <v>0</v>
      </c>
      <c r="AL154" s="49">
        <f t="shared" ca="1" si="12"/>
        <v>0</v>
      </c>
      <c r="AM154" s="49">
        <f t="shared" ca="1" si="12"/>
        <v>0</v>
      </c>
      <c r="AN154" s="49">
        <f t="shared" ca="1" si="12"/>
        <v>0</v>
      </c>
      <c r="AO154" s="49">
        <f t="shared" ca="1" si="12"/>
        <v>0</v>
      </c>
      <c r="AP154" s="49">
        <f t="shared" ca="1" si="12"/>
        <v>0</v>
      </c>
      <c r="AQ154" s="49">
        <f t="shared" ca="1" si="12"/>
        <v>0</v>
      </c>
      <c r="AR154" s="49">
        <f t="shared" ref="AR154:BS154" ca="1" si="13">IF(AR4&gt;=YEAR(effective_date_Loango),(OFFSET(_xlfn.SINGLE(IA_varopex_real),,date_offset_Loango)*_xlfn.SINGLE(IA_esc_index)),0)</f>
        <v>0</v>
      </c>
      <c r="AS154" s="49">
        <f t="shared" ca="1" si="13"/>
        <v>0</v>
      </c>
      <c r="AT154" s="49">
        <f t="shared" ca="1" si="13"/>
        <v>0</v>
      </c>
      <c r="AU154" s="49">
        <f t="shared" ca="1" si="13"/>
        <v>0</v>
      </c>
      <c r="AV154" s="49">
        <f t="shared" ca="1" si="13"/>
        <v>0</v>
      </c>
      <c r="AW154" s="49">
        <f t="shared" ca="1" si="13"/>
        <v>0</v>
      </c>
      <c r="AX154" s="49">
        <f t="shared" ca="1" si="13"/>
        <v>0</v>
      </c>
      <c r="AY154" s="49">
        <f t="shared" ca="1" si="13"/>
        <v>0</v>
      </c>
      <c r="AZ154" s="49">
        <f t="shared" ca="1" si="13"/>
        <v>0</v>
      </c>
      <c r="BA154" s="49">
        <f t="shared" ca="1" si="13"/>
        <v>0</v>
      </c>
      <c r="BB154" s="49">
        <f t="shared" ca="1" si="13"/>
        <v>0</v>
      </c>
      <c r="BC154" s="49">
        <f t="shared" ca="1" si="13"/>
        <v>0</v>
      </c>
      <c r="BD154" s="49">
        <f t="shared" ca="1" si="13"/>
        <v>0</v>
      </c>
      <c r="BE154" s="49">
        <f t="shared" ca="1" si="13"/>
        <v>0</v>
      </c>
      <c r="BF154" s="49">
        <f t="shared" ca="1" si="13"/>
        <v>0</v>
      </c>
      <c r="BG154" s="49">
        <f t="shared" ca="1" si="13"/>
        <v>0</v>
      </c>
      <c r="BH154" s="49">
        <f t="shared" ca="1" si="13"/>
        <v>0</v>
      </c>
      <c r="BI154" s="49">
        <f t="shared" ca="1" si="13"/>
        <v>0</v>
      </c>
      <c r="BJ154" s="49">
        <f t="shared" ca="1" si="13"/>
        <v>0</v>
      </c>
      <c r="BK154" s="49">
        <f t="shared" ca="1" si="13"/>
        <v>0</v>
      </c>
      <c r="BL154" s="49">
        <f t="shared" ca="1" si="13"/>
        <v>0</v>
      </c>
      <c r="BM154" s="49">
        <f t="shared" ca="1" si="13"/>
        <v>0</v>
      </c>
      <c r="BN154" s="49">
        <f t="shared" ca="1" si="13"/>
        <v>0</v>
      </c>
      <c r="BO154" s="49">
        <f t="shared" ca="1" si="13"/>
        <v>0</v>
      </c>
      <c r="BP154" s="49">
        <f t="shared" ca="1" si="13"/>
        <v>0</v>
      </c>
      <c r="BQ154" s="49">
        <f t="shared" ca="1" si="13"/>
        <v>0</v>
      </c>
      <c r="BR154" s="49">
        <f t="shared" ca="1" si="13"/>
        <v>0</v>
      </c>
      <c r="BS154" s="49">
        <f t="shared" ca="1" si="13"/>
        <v>0</v>
      </c>
    </row>
    <row r="155" spans="1:71" outlineLevel="1" x14ac:dyDescent="0.2">
      <c r="J155" s="26"/>
      <c r="L155" s="55"/>
      <c r="M155" s="55"/>
      <c r="N155" s="55"/>
      <c r="O155" s="55"/>
      <c r="P155" s="55"/>
      <c r="Q155" s="55"/>
      <c r="R155" s="55"/>
      <c r="S155" s="55"/>
      <c r="T155" s="55"/>
      <c r="U155" s="55"/>
      <c r="V155" s="55"/>
      <c r="W155" s="55"/>
      <c r="X155" s="55"/>
      <c r="Y155" s="55"/>
      <c r="Z155" s="55"/>
      <c r="AA155" s="55"/>
      <c r="AB155" s="55"/>
      <c r="AC155" s="55"/>
      <c r="AD155" s="55"/>
      <c r="AE155" s="55"/>
      <c r="AF155" s="55"/>
      <c r="AG155" s="55"/>
      <c r="AH155" s="55"/>
      <c r="AI155" s="55"/>
      <c r="AJ155" s="55"/>
      <c r="AK155" s="55"/>
      <c r="AL155" s="55"/>
      <c r="AM155" s="55"/>
      <c r="AN155" s="55"/>
      <c r="AO155" s="55"/>
      <c r="AP155" s="55"/>
      <c r="AQ155" s="55"/>
      <c r="AR155" s="55"/>
      <c r="AS155" s="55"/>
      <c r="AT155" s="55"/>
      <c r="AU155" s="55"/>
      <c r="AV155" s="55"/>
      <c r="AW155" s="55"/>
      <c r="AX155" s="55"/>
      <c r="AY155" s="55"/>
      <c r="AZ155" s="55"/>
      <c r="BA155" s="55"/>
      <c r="BB155" s="55"/>
      <c r="BC155" s="55"/>
      <c r="BD155" s="55"/>
      <c r="BE155" s="55"/>
      <c r="BF155" s="55"/>
      <c r="BG155" s="55"/>
      <c r="BH155" s="55"/>
      <c r="BI155" s="55"/>
      <c r="BJ155" s="55"/>
      <c r="BK155" s="55"/>
      <c r="BL155" s="55"/>
      <c r="BM155" s="55"/>
      <c r="BN155" s="55"/>
      <c r="BO155" s="55"/>
      <c r="BP155" s="55"/>
      <c r="BQ155" s="55"/>
      <c r="BR155" s="55"/>
      <c r="BS155" s="55"/>
    </row>
    <row r="156" spans="1:71" outlineLevel="1" x14ac:dyDescent="0.2">
      <c r="C156" s="11" t="s">
        <v>161</v>
      </c>
      <c r="J156" s="26"/>
      <c r="L156" s="55"/>
      <c r="M156" s="55"/>
      <c r="N156" s="55"/>
      <c r="O156" s="55"/>
      <c r="P156" s="55"/>
      <c r="Q156" s="55"/>
      <c r="R156" s="55"/>
      <c r="S156" s="55"/>
      <c r="T156" s="55"/>
      <c r="U156" s="55"/>
      <c r="V156" s="55"/>
      <c r="W156" s="55"/>
      <c r="X156" s="55"/>
      <c r="Y156" s="55"/>
      <c r="Z156" s="55"/>
      <c r="AA156" s="55"/>
      <c r="AB156" s="55"/>
      <c r="AC156" s="55"/>
      <c r="AD156" s="55"/>
      <c r="AE156" s="55"/>
      <c r="AF156" s="55"/>
      <c r="AG156" s="55"/>
      <c r="AH156" s="55"/>
      <c r="AI156" s="55"/>
      <c r="AJ156" s="55"/>
      <c r="AK156" s="55"/>
      <c r="AL156" s="55"/>
      <c r="AM156" s="55"/>
      <c r="AN156" s="55"/>
      <c r="AO156" s="55"/>
      <c r="AP156" s="55"/>
      <c r="AQ156" s="55"/>
      <c r="AR156" s="55"/>
      <c r="AS156" s="55"/>
      <c r="AT156" s="55"/>
      <c r="AU156" s="55"/>
      <c r="AV156" s="55"/>
      <c r="AW156" s="55"/>
      <c r="AX156" s="55"/>
      <c r="AY156" s="55"/>
      <c r="AZ156" s="55"/>
      <c r="BA156" s="55"/>
      <c r="BB156" s="55"/>
      <c r="BC156" s="55"/>
      <c r="BD156" s="55"/>
      <c r="BE156" s="55"/>
      <c r="BF156" s="55"/>
      <c r="BG156" s="55"/>
      <c r="BH156" s="55"/>
      <c r="BI156" s="55"/>
      <c r="BJ156" s="55"/>
      <c r="BK156" s="55"/>
      <c r="BL156" s="55"/>
      <c r="BM156" s="55"/>
      <c r="BN156" s="55"/>
      <c r="BO156" s="55"/>
      <c r="BP156" s="55"/>
      <c r="BQ156" s="55"/>
      <c r="BR156" s="55"/>
      <c r="BS156" s="55"/>
    </row>
    <row r="157" spans="1:71" outlineLevel="1" x14ac:dyDescent="0.2">
      <c r="D157" t="s">
        <v>163</v>
      </c>
      <c r="I157" s="30">
        <f ca="1">SUM($L157:$BS157)</f>
        <v>0</v>
      </c>
      <c r="J157" s="26" t="s">
        <v>148</v>
      </c>
      <c r="K157" s="7" t="s">
        <v>164</v>
      </c>
      <c r="L157" s="49">
        <f t="shared" ref="L157:AQ157" ca="1" si="14">IF(L$4&gt;=YEAR(effective_date_Loango),(OFFSET(_xlfn.SINGLE(IA_fixedopex_real),,date_offset_Loango)*_xlfn.SINGLE(IA_esc_index)),0)</f>
        <v>0</v>
      </c>
      <c r="M157" s="49">
        <f t="shared" ca="1" si="14"/>
        <v>0</v>
      </c>
      <c r="N157" s="49">
        <f t="shared" ca="1" si="14"/>
        <v>0</v>
      </c>
      <c r="O157" s="49">
        <f t="shared" ca="1" si="14"/>
        <v>0</v>
      </c>
      <c r="P157" s="49">
        <f t="shared" ca="1" si="14"/>
        <v>0</v>
      </c>
      <c r="Q157" s="49">
        <f t="shared" ca="1" si="14"/>
        <v>0</v>
      </c>
      <c r="R157" s="49">
        <f t="shared" ca="1" si="14"/>
        <v>0</v>
      </c>
      <c r="S157" s="49">
        <f t="shared" ca="1" si="14"/>
        <v>0</v>
      </c>
      <c r="T157" s="49">
        <f t="shared" ca="1" si="14"/>
        <v>0</v>
      </c>
      <c r="U157" s="49">
        <f t="shared" ca="1" si="14"/>
        <v>0</v>
      </c>
      <c r="V157" s="49">
        <f t="shared" ca="1" si="14"/>
        <v>0</v>
      </c>
      <c r="W157" s="49">
        <f t="shared" ca="1" si="14"/>
        <v>0</v>
      </c>
      <c r="X157" s="49">
        <f t="shared" ca="1" si="14"/>
        <v>0</v>
      </c>
      <c r="Y157" s="49">
        <f t="shared" ca="1" si="14"/>
        <v>0</v>
      </c>
      <c r="Z157" s="49">
        <f t="shared" ca="1" si="14"/>
        <v>0</v>
      </c>
      <c r="AA157" s="49">
        <f t="shared" ca="1" si="14"/>
        <v>0</v>
      </c>
      <c r="AB157" s="49">
        <f t="shared" ca="1" si="14"/>
        <v>0</v>
      </c>
      <c r="AC157" s="49">
        <f t="shared" ca="1" si="14"/>
        <v>0</v>
      </c>
      <c r="AD157" s="49">
        <f t="shared" ca="1" si="14"/>
        <v>0</v>
      </c>
      <c r="AE157" s="49">
        <f t="shared" ca="1" si="14"/>
        <v>0</v>
      </c>
      <c r="AF157" s="49">
        <f t="shared" ca="1" si="14"/>
        <v>0</v>
      </c>
      <c r="AG157" s="49">
        <f t="shared" ca="1" si="14"/>
        <v>0</v>
      </c>
      <c r="AH157" s="49">
        <f t="shared" ca="1" si="14"/>
        <v>0</v>
      </c>
      <c r="AI157" s="49">
        <f t="shared" ca="1" si="14"/>
        <v>0</v>
      </c>
      <c r="AJ157" s="49">
        <f t="shared" ca="1" si="14"/>
        <v>0</v>
      </c>
      <c r="AK157" s="49">
        <f t="shared" ca="1" si="14"/>
        <v>0</v>
      </c>
      <c r="AL157" s="49">
        <f t="shared" ca="1" si="14"/>
        <v>0</v>
      </c>
      <c r="AM157" s="49">
        <f t="shared" ca="1" si="14"/>
        <v>0</v>
      </c>
      <c r="AN157" s="49">
        <f t="shared" ca="1" si="14"/>
        <v>0</v>
      </c>
      <c r="AO157" s="49">
        <f t="shared" ca="1" si="14"/>
        <v>0</v>
      </c>
      <c r="AP157" s="49">
        <f t="shared" ca="1" si="14"/>
        <v>0</v>
      </c>
      <c r="AQ157" s="49">
        <f t="shared" ca="1" si="14"/>
        <v>0</v>
      </c>
      <c r="AR157" s="49">
        <f t="shared" ref="AR157:BS157" ca="1" si="15">IF(AR$4&gt;=YEAR(effective_date_Loango),(OFFSET(_xlfn.SINGLE(IA_fixedopex_real),,date_offset_Loango)*_xlfn.SINGLE(IA_esc_index)),0)</f>
        <v>0</v>
      </c>
      <c r="AS157" s="49">
        <f t="shared" ca="1" si="15"/>
        <v>0</v>
      </c>
      <c r="AT157" s="49">
        <f t="shared" ca="1" si="15"/>
        <v>0</v>
      </c>
      <c r="AU157" s="49">
        <f t="shared" ca="1" si="15"/>
        <v>0</v>
      </c>
      <c r="AV157" s="49">
        <f t="shared" ca="1" si="15"/>
        <v>0</v>
      </c>
      <c r="AW157" s="49">
        <f t="shared" ca="1" si="15"/>
        <v>0</v>
      </c>
      <c r="AX157" s="49">
        <f t="shared" ca="1" si="15"/>
        <v>0</v>
      </c>
      <c r="AY157" s="49">
        <f t="shared" ca="1" si="15"/>
        <v>0</v>
      </c>
      <c r="AZ157" s="49">
        <f t="shared" ca="1" si="15"/>
        <v>0</v>
      </c>
      <c r="BA157" s="49">
        <f t="shared" ca="1" si="15"/>
        <v>0</v>
      </c>
      <c r="BB157" s="49">
        <f t="shared" ca="1" si="15"/>
        <v>0</v>
      </c>
      <c r="BC157" s="49">
        <f t="shared" ca="1" si="15"/>
        <v>0</v>
      </c>
      <c r="BD157" s="49">
        <f t="shared" ca="1" si="15"/>
        <v>0</v>
      </c>
      <c r="BE157" s="49">
        <f t="shared" ca="1" si="15"/>
        <v>0</v>
      </c>
      <c r="BF157" s="49">
        <f t="shared" ca="1" si="15"/>
        <v>0</v>
      </c>
      <c r="BG157" s="49">
        <f t="shared" ca="1" si="15"/>
        <v>0</v>
      </c>
      <c r="BH157" s="49">
        <f t="shared" ca="1" si="15"/>
        <v>0</v>
      </c>
      <c r="BI157" s="49">
        <f t="shared" ca="1" si="15"/>
        <v>0</v>
      </c>
      <c r="BJ157" s="49">
        <f t="shared" ca="1" si="15"/>
        <v>0</v>
      </c>
      <c r="BK157" s="49">
        <f t="shared" ca="1" si="15"/>
        <v>0</v>
      </c>
      <c r="BL157" s="49">
        <f t="shared" ca="1" si="15"/>
        <v>0</v>
      </c>
      <c r="BM157" s="49">
        <f t="shared" ca="1" si="15"/>
        <v>0</v>
      </c>
      <c r="BN157" s="49">
        <f t="shared" ca="1" si="15"/>
        <v>0</v>
      </c>
      <c r="BO157" s="49">
        <f t="shared" ca="1" si="15"/>
        <v>0</v>
      </c>
      <c r="BP157" s="49">
        <f t="shared" ca="1" si="15"/>
        <v>0</v>
      </c>
      <c r="BQ157" s="49">
        <f t="shared" ca="1" si="15"/>
        <v>0</v>
      </c>
      <c r="BR157" s="49">
        <f t="shared" ca="1" si="15"/>
        <v>0</v>
      </c>
      <c r="BS157" s="49">
        <f t="shared" ca="1" si="15"/>
        <v>0</v>
      </c>
    </row>
    <row r="158" spans="1:71" outlineLevel="1" x14ac:dyDescent="0.2">
      <c r="J158" s="26"/>
      <c r="L158" s="55"/>
      <c r="M158" s="55"/>
      <c r="N158" s="55"/>
      <c r="O158" s="55"/>
      <c r="P158" s="55"/>
      <c r="Q158" s="55"/>
      <c r="R158" s="55"/>
      <c r="S158" s="55"/>
      <c r="T158" s="55"/>
      <c r="U158" s="55"/>
      <c r="V158" s="55"/>
      <c r="W158" s="55"/>
      <c r="X158" s="55"/>
      <c r="Y158" s="55"/>
      <c r="Z158" s="55"/>
      <c r="AA158" s="55"/>
      <c r="AB158" s="55"/>
      <c r="AC158" s="55"/>
      <c r="AD158" s="55"/>
      <c r="AE158" s="55"/>
      <c r="AF158" s="55"/>
      <c r="AG158" s="55"/>
      <c r="AH158" s="55"/>
      <c r="AI158" s="55"/>
      <c r="AJ158" s="55"/>
      <c r="AK158" s="55"/>
      <c r="AL158" s="55"/>
      <c r="AM158" s="55"/>
      <c r="AN158" s="55"/>
      <c r="AO158" s="55"/>
      <c r="AP158" s="55"/>
      <c r="AQ158" s="55"/>
      <c r="AR158" s="55"/>
      <c r="AS158" s="55"/>
      <c r="AT158" s="55"/>
      <c r="AU158" s="55"/>
      <c r="AV158" s="55"/>
      <c r="AW158" s="55"/>
      <c r="AX158" s="55"/>
      <c r="AY158" s="55"/>
      <c r="AZ158" s="55"/>
      <c r="BA158" s="55"/>
      <c r="BB158" s="55"/>
      <c r="BC158" s="55"/>
      <c r="BD158" s="55"/>
      <c r="BE158" s="55"/>
      <c r="BF158" s="55"/>
      <c r="BG158" s="55"/>
      <c r="BH158" s="55"/>
      <c r="BI158" s="55"/>
      <c r="BJ158" s="55"/>
      <c r="BK158" s="55"/>
      <c r="BL158" s="55"/>
      <c r="BM158" s="55"/>
      <c r="BN158" s="55"/>
      <c r="BO158" s="55"/>
      <c r="BP158" s="55"/>
      <c r="BQ158" s="55"/>
      <c r="BR158" s="55"/>
      <c r="BS158" s="55"/>
    </row>
    <row r="159" spans="1:71" outlineLevel="1" x14ac:dyDescent="0.2">
      <c r="J159" s="26"/>
      <c r="L159" s="55"/>
      <c r="M159" s="55"/>
      <c r="N159" s="55"/>
      <c r="O159" s="55"/>
      <c r="P159" s="55"/>
      <c r="Q159" s="55"/>
      <c r="R159" s="55"/>
      <c r="S159" s="55"/>
      <c r="T159" s="55"/>
      <c r="U159" s="55"/>
      <c r="V159" s="55"/>
      <c r="W159" s="55"/>
      <c r="X159" s="55"/>
      <c r="Y159" s="55"/>
      <c r="Z159" s="55"/>
      <c r="AA159" s="55"/>
      <c r="AB159" s="55"/>
      <c r="AC159" s="55"/>
      <c r="AD159" s="55"/>
      <c r="AE159" s="55"/>
      <c r="AF159" s="55"/>
      <c r="AG159" s="55"/>
      <c r="AH159" s="55"/>
      <c r="AI159" s="55"/>
      <c r="AJ159" s="55"/>
      <c r="AK159" s="55"/>
      <c r="AL159" s="55"/>
      <c r="AM159" s="55"/>
      <c r="AN159" s="55"/>
      <c r="AO159" s="55"/>
      <c r="AP159" s="55"/>
      <c r="AQ159" s="55"/>
      <c r="AR159" s="55"/>
      <c r="AS159" s="55"/>
      <c r="AT159" s="55"/>
      <c r="AU159" s="55"/>
      <c r="AV159" s="55"/>
      <c r="AW159" s="55"/>
      <c r="AX159" s="55"/>
      <c r="AY159" s="55"/>
      <c r="AZ159" s="55"/>
      <c r="BA159" s="55"/>
      <c r="BB159" s="55"/>
      <c r="BC159" s="55"/>
      <c r="BD159" s="55"/>
      <c r="BE159" s="55"/>
      <c r="BF159" s="55"/>
      <c r="BG159" s="55"/>
      <c r="BH159" s="55"/>
      <c r="BI159" s="55"/>
      <c r="BJ159" s="55"/>
      <c r="BK159" s="55"/>
      <c r="BL159" s="55"/>
      <c r="BM159" s="55"/>
      <c r="BN159" s="55"/>
      <c r="BO159" s="55"/>
      <c r="BP159" s="55"/>
      <c r="BQ159" s="55"/>
      <c r="BR159" s="55"/>
      <c r="BS159" s="55"/>
    </row>
    <row r="160" spans="1:71" outlineLevel="1" x14ac:dyDescent="0.2">
      <c r="D160" s="11" t="s">
        <v>165</v>
      </c>
      <c r="I160" s="30">
        <f ca="1">SUM($L160:$BS160)</f>
        <v>3502.3183539519996</v>
      </c>
      <c r="J160" s="26" t="s">
        <v>148</v>
      </c>
      <c r="K160" s="7" t="s">
        <v>166</v>
      </c>
      <c r="L160" s="49">
        <f ca="1">SUM(L157,L154)</f>
        <v>148.06899999999999</v>
      </c>
      <c r="M160" s="49">
        <f t="shared" ref="M160:BS160" ca="1" si="16">SUM(M157,M154)</f>
        <v>183.88499999999999</v>
      </c>
      <c r="N160" s="49">
        <f t="shared" ca="1" si="16"/>
        <v>135.70400000000001</v>
      </c>
      <c r="O160" s="49">
        <f t="shared" ca="1" si="16"/>
        <v>240.88499999999999</v>
      </c>
      <c r="P160" s="49">
        <f t="shared" ca="1" si="16"/>
        <v>536.79</v>
      </c>
      <c r="Q160" s="49">
        <f t="shared" ca="1" si="16"/>
        <v>243.78</v>
      </c>
      <c r="R160" s="49">
        <f t="shared" ca="1" si="16"/>
        <v>281.8</v>
      </c>
      <c r="S160" s="49">
        <f t="shared" ca="1" si="16"/>
        <v>286.3</v>
      </c>
      <c r="T160" s="49">
        <f t="shared" ca="1" si="16"/>
        <v>283.39999999999998</v>
      </c>
      <c r="U160" s="49">
        <f t="shared" ca="1" si="16"/>
        <v>286.21200000000005</v>
      </c>
      <c r="V160" s="49">
        <f t="shared" ca="1" si="16"/>
        <v>289.02312000000001</v>
      </c>
      <c r="W160" s="49">
        <f t="shared" ca="1" si="16"/>
        <v>291.8322</v>
      </c>
      <c r="X160" s="49">
        <f t="shared" ca="1" si="16"/>
        <v>294.638033952</v>
      </c>
      <c r="Y160" s="49">
        <f t="shared" ca="1" si="16"/>
        <v>0</v>
      </c>
      <c r="Z160" s="49">
        <f t="shared" ca="1" si="16"/>
        <v>0</v>
      </c>
      <c r="AA160" s="49">
        <f t="shared" ca="1" si="16"/>
        <v>0</v>
      </c>
      <c r="AB160" s="49">
        <f t="shared" ca="1" si="16"/>
        <v>0</v>
      </c>
      <c r="AC160" s="49">
        <f t="shared" ca="1" si="16"/>
        <v>0</v>
      </c>
      <c r="AD160" s="49">
        <f t="shared" ca="1" si="16"/>
        <v>0</v>
      </c>
      <c r="AE160" s="49">
        <f t="shared" ca="1" si="16"/>
        <v>0</v>
      </c>
      <c r="AF160" s="49">
        <f t="shared" ca="1" si="16"/>
        <v>0</v>
      </c>
      <c r="AG160" s="49">
        <f t="shared" ca="1" si="16"/>
        <v>0</v>
      </c>
      <c r="AH160" s="49">
        <f t="shared" ca="1" si="16"/>
        <v>0</v>
      </c>
      <c r="AI160" s="49">
        <f t="shared" ca="1" si="16"/>
        <v>0</v>
      </c>
      <c r="AJ160" s="49">
        <f t="shared" ca="1" si="16"/>
        <v>0</v>
      </c>
      <c r="AK160" s="49">
        <f t="shared" ca="1" si="16"/>
        <v>0</v>
      </c>
      <c r="AL160" s="49">
        <f t="shared" ca="1" si="16"/>
        <v>0</v>
      </c>
      <c r="AM160" s="49">
        <f t="shared" ca="1" si="16"/>
        <v>0</v>
      </c>
      <c r="AN160" s="49">
        <f t="shared" ca="1" si="16"/>
        <v>0</v>
      </c>
      <c r="AO160" s="49">
        <f t="shared" ca="1" si="16"/>
        <v>0</v>
      </c>
      <c r="AP160" s="49">
        <f t="shared" ca="1" si="16"/>
        <v>0</v>
      </c>
      <c r="AQ160" s="49">
        <f t="shared" ca="1" si="16"/>
        <v>0</v>
      </c>
      <c r="AR160" s="49">
        <f t="shared" ca="1" si="16"/>
        <v>0</v>
      </c>
      <c r="AS160" s="49">
        <f t="shared" ca="1" si="16"/>
        <v>0</v>
      </c>
      <c r="AT160" s="49">
        <f t="shared" ca="1" si="16"/>
        <v>0</v>
      </c>
      <c r="AU160" s="49">
        <f t="shared" ca="1" si="16"/>
        <v>0</v>
      </c>
      <c r="AV160" s="49">
        <f t="shared" ca="1" si="16"/>
        <v>0</v>
      </c>
      <c r="AW160" s="49">
        <f t="shared" ca="1" si="16"/>
        <v>0</v>
      </c>
      <c r="AX160" s="49">
        <f t="shared" ca="1" si="16"/>
        <v>0</v>
      </c>
      <c r="AY160" s="49">
        <f t="shared" ca="1" si="16"/>
        <v>0</v>
      </c>
      <c r="AZ160" s="49">
        <f t="shared" ca="1" si="16"/>
        <v>0</v>
      </c>
      <c r="BA160" s="49">
        <f t="shared" ca="1" si="16"/>
        <v>0</v>
      </c>
      <c r="BB160" s="49">
        <f t="shared" ca="1" si="16"/>
        <v>0</v>
      </c>
      <c r="BC160" s="49">
        <f t="shared" ca="1" si="16"/>
        <v>0</v>
      </c>
      <c r="BD160" s="49">
        <f t="shared" ca="1" si="16"/>
        <v>0</v>
      </c>
      <c r="BE160" s="49">
        <f t="shared" ca="1" si="16"/>
        <v>0</v>
      </c>
      <c r="BF160" s="49">
        <f t="shared" ca="1" si="16"/>
        <v>0</v>
      </c>
      <c r="BG160" s="49">
        <f t="shared" ca="1" si="16"/>
        <v>0</v>
      </c>
      <c r="BH160" s="49">
        <f t="shared" ca="1" si="16"/>
        <v>0</v>
      </c>
      <c r="BI160" s="49">
        <f t="shared" ca="1" si="16"/>
        <v>0</v>
      </c>
      <c r="BJ160" s="49">
        <f t="shared" ca="1" si="16"/>
        <v>0</v>
      </c>
      <c r="BK160" s="49">
        <f t="shared" ca="1" si="16"/>
        <v>0</v>
      </c>
      <c r="BL160" s="49">
        <f t="shared" ca="1" si="16"/>
        <v>0</v>
      </c>
      <c r="BM160" s="49">
        <f t="shared" ca="1" si="16"/>
        <v>0</v>
      </c>
      <c r="BN160" s="49">
        <f t="shared" ca="1" si="16"/>
        <v>0</v>
      </c>
      <c r="BO160" s="49">
        <f t="shared" ca="1" si="16"/>
        <v>0</v>
      </c>
      <c r="BP160" s="49">
        <f t="shared" ca="1" si="16"/>
        <v>0</v>
      </c>
      <c r="BQ160" s="49">
        <f t="shared" ca="1" si="16"/>
        <v>0</v>
      </c>
      <c r="BR160" s="49">
        <f t="shared" ca="1" si="16"/>
        <v>0</v>
      </c>
      <c r="BS160" s="49">
        <f t="shared" ca="1" si="16"/>
        <v>0</v>
      </c>
    </row>
    <row r="161" spans="1:71" outlineLevel="1" x14ac:dyDescent="0.2">
      <c r="J161" s="26"/>
      <c r="L161" s="55"/>
      <c r="M161" s="55"/>
      <c r="N161" s="55"/>
      <c r="O161" s="55"/>
      <c r="P161" s="55"/>
      <c r="Q161" s="55"/>
      <c r="R161" s="55"/>
      <c r="S161" s="55"/>
      <c r="T161" s="55"/>
      <c r="U161" s="55"/>
      <c r="V161" s="55"/>
      <c r="W161" s="55"/>
      <c r="X161" s="55"/>
      <c r="Y161" s="55"/>
      <c r="Z161" s="55"/>
      <c r="AA161" s="55"/>
      <c r="AB161" s="55"/>
      <c r="AC161" s="55"/>
      <c r="AD161" s="55"/>
      <c r="AE161" s="55"/>
      <c r="AF161" s="55"/>
      <c r="AG161" s="55"/>
      <c r="AH161" s="55"/>
      <c r="AI161" s="55"/>
      <c r="AJ161" s="55"/>
      <c r="AK161" s="55"/>
      <c r="AL161" s="55"/>
      <c r="AM161" s="55"/>
      <c r="AN161" s="55"/>
      <c r="AO161" s="55"/>
      <c r="AP161" s="55"/>
      <c r="AQ161" s="55"/>
      <c r="AR161" s="55"/>
      <c r="AS161" s="55"/>
      <c r="AT161" s="55"/>
      <c r="AU161" s="55"/>
      <c r="AV161" s="55"/>
      <c r="AW161" s="55"/>
      <c r="AX161" s="55"/>
      <c r="AY161" s="55"/>
      <c r="AZ161" s="55"/>
      <c r="BA161" s="55"/>
      <c r="BB161" s="55"/>
      <c r="BC161" s="55"/>
      <c r="BD161" s="55"/>
      <c r="BE161" s="55"/>
      <c r="BF161" s="55"/>
      <c r="BG161" s="55"/>
      <c r="BH161" s="55"/>
      <c r="BI161" s="55"/>
      <c r="BJ161" s="55"/>
      <c r="BK161" s="55"/>
      <c r="BL161" s="55"/>
      <c r="BM161" s="55"/>
      <c r="BN161" s="55"/>
      <c r="BO161" s="55"/>
      <c r="BP161" s="55"/>
      <c r="BQ161" s="55"/>
      <c r="BR161" s="55"/>
      <c r="BS161" s="55"/>
    </row>
    <row r="162" spans="1:71" outlineLevel="1" x14ac:dyDescent="0.2">
      <c r="J162" s="26"/>
      <c r="L162" s="55"/>
      <c r="M162" s="55"/>
      <c r="N162" s="55"/>
      <c r="O162" s="55"/>
      <c r="P162" s="55"/>
      <c r="Q162" s="55"/>
      <c r="R162" s="55"/>
      <c r="S162" s="55"/>
      <c r="T162" s="55"/>
      <c r="U162" s="55"/>
      <c r="V162" s="55"/>
      <c r="W162" s="55"/>
      <c r="X162" s="55"/>
      <c r="Y162" s="55"/>
      <c r="Z162" s="55"/>
      <c r="AA162" s="55"/>
      <c r="AB162" s="55"/>
      <c r="AC162" s="55"/>
      <c r="AD162" s="55"/>
      <c r="AE162" s="55"/>
      <c r="AF162" s="55"/>
      <c r="AG162" s="55"/>
      <c r="AH162" s="55"/>
      <c r="AI162" s="55"/>
      <c r="AJ162" s="55"/>
      <c r="AK162" s="55"/>
      <c r="AL162" s="55"/>
      <c r="AM162" s="55"/>
      <c r="AN162" s="55"/>
      <c r="AO162" s="55"/>
      <c r="AP162" s="55"/>
      <c r="AQ162" s="55"/>
      <c r="AR162" s="55"/>
      <c r="AS162" s="55"/>
      <c r="AT162" s="55"/>
      <c r="AU162" s="55"/>
      <c r="AV162" s="55"/>
      <c r="AW162" s="55"/>
      <c r="AX162" s="55"/>
      <c r="AY162" s="55"/>
      <c r="AZ162" s="55"/>
      <c r="BA162" s="55"/>
      <c r="BB162" s="55"/>
      <c r="BC162" s="55"/>
      <c r="BD162" s="55"/>
      <c r="BE162" s="55"/>
      <c r="BF162" s="55"/>
      <c r="BG162" s="55"/>
      <c r="BH162" s="55"/>
      <c r="BI162" s="55"/>
      <c r="BJ162" s="55"/>
      <c r="BK162" s="55"/>
      <c r="BL162" s="55"/>
      <c r="BM162" s="55"/>
      <c r="BN162" s="55"/>
      <c r="BO162" s="55"/>
      <c r="BP162" s="55"/>
      <c r="BQ162" s="55"/>
      <c r="BR162" s="55"/>
      <c r="BS162" s="55"/>
    </row>
    <row r="163" spans="1:71" outlineLevel="1" x14ac:dyDescent="0.2">
      <c r="A163" s="45"/>
      <c r="B163" s="38" t="s">
        <v>57</v>
      </c>
      <c r="C163" s="45"/>
      <c r="D163" s="45"/>
      <c r="E163" s="45"/>
      <c r="J163" s="26"/>
      <c r="L163" s="55"/>
      <c r="M163" s="55"/>
      <c r="N163" s="55"/>
      <c r="O163" s="55"/>
      <c r="P163" s="55"/>
      <c r="Q163" s="55"/>
      <c r="R163" s="55"/>
      <c r="S163" s="55"/>
      <c r="T163" s="55"/>
      <c r="U163" s="55"/>
      <c r="V163" s="55"/>
      <c r="W163" s="55"/>
      <c r="X163" s="55"/>
      <c r="Y163" s="55"/>
      <c r="Z163" s="55"/>
      <c r="AA163" s="55"/>
      <c r="AB163" s="55"/>
      <c r="AC163" s="55"/>
      <c r="AD163" s="55"/>
      <c r="AE163" s="55"/>
      <c r="AF163" s="55"/>
      <c r="AG163" s="55"/>
      <c r="AH163" s="55"/>
      <c r="AI163" s="55"/>
      <c r="AJ163" s="55"/>
      <c r="AK163" s="55"/>
      <c r="AL163" s="55"/>
      <c r="AM163" s="55"/>
      <c r="AN163" s="55"/>
      <c r="AO163" s="55"/>
      <c r="AP163" s="55"/>
      <c r="AQ163" s="55"/>
      <c r="AR163" s="55"/>
      <c r="AS163" s="55"/>
      <c r="AT163" s="55"/>
      <c r="AU163" s="55"/>
      <c r="AV163" s="55"/>
      <c r="AW163" s="55"/>
      <c r="AX163" s="55"/>
      <c r="AY163" s="55"/>
      <c r="AZ163" s="55"/>
      <c r="BA163" s="55"/>
      <c r="BB163" s="55"/>
      <c r="BC163" s="55"/>
      <c r="BD163" s="55"/>
      <c r="BE163" s="55"/>
      <c r="BF163" s="55"/>
      <c r="BG163" s="55"/>
      <c r="BH163" s="55"/>
      <c r="BI163" s="55"/>
      <c r="BJ163" s="55"/>
      <c r="BK163" s="55"/>
      <c r="BL163" s="55"/>
      <c r="BM163" s="55"/>
      <c r="BN163" s="55"/>
      <c r="BO163" s="55"/>
      <c r="BP163" s="55"/>
      <c r="BQ163" s="55"/>
      <c r="BR163" s="55"/>
      <c r="BS163" s="55"/>
    </row>
    <row r="164" spans="1:71" outlineLevel="1" x14ac:dyDescent="0.2">
      <c r="J164" s="26"/>
      <c r="L164" s="55"/>
      <c r="M164" s="55"/>
      <c r="N164" s="55"/>
      <c r="O164" s="55"/>
      <c r="P164" s="55"/>
      <c r="Q164" s="55"/>
      <c r="R164" s="55"/>
      <c r="S164" s="55"/>
      <c r="T164" s="55"/>
      <c r="U164" s="55"/>
      <c r="V164" s="55"/>
      <c r="W164" s="55"/>
      <c r="X164" s="55"/>
      <c r="Y164" s="55"/>
      <c r="Z164" s="55"/>
      <c r="AA164" s="55"/>
      <c r="AB164" s="55"/>
      <c r="AC164" s="55"/>
      <c r="AD164" s="55"/>
      <c r="AE164" s="55"/>
      <c r="AF164" s="55"/>
      <c r="AG164" s="55"/>
      <c r="AH164" s="55"/>
      <c r="AI164" s="55"/>
      <c r="AJ164" s="55"/>
      <c r="AK164" s="55"/>
      <c r="AL164" s="55"/>
      <c r="AM164" s="55"/>
      <c r="AN164" s="55"/>
      <c r="AO164" s="55"/>
      <c r="AP164" s="55"/>
      <c r="AQ164" s="55"/>
      <c r="AR164" s="55"/>
      <c r="AS164" s="55"/>
      <c r="AT164" s="55"/>
      <c r="AU164" s="55"/>
      <c r="AV164" s="55"/>
      <c r="AW164" s="55"/>
      <c r="AX164" s="55"/>
      <c r="AY164" s="55"/>
      <c r="AZ164" s="55"/>
      <c r="BA164" s="55"/>
      <c r="BB164" s="55"/>
      <c r="BC164" s="55"/>
      <c r="BD164" s="55"/>
      <c r="BE164" s="55"/>
      <c r="BF164" s="55"/>
      <c r="BG164" s="55"/>
      <c r="BH164" s="55"/>
      <c r="BI164" s="55"/>
      <c r="BJ164" s="55"/>
      <c r="BK164" s="55"/>
      <c r="BL164" s="55"/>
      <c r="BM164" s="55"/>
      <c r="BN164" s="55"/>
      <c r="BO164" s="55"/>
      <c r="BP164" s="55"/>
      <c r="BQ164" s="55"/>
      <c r="BR164" s="55"/>
      <c r="BS164" s="55"/>
    </row>
    <row r="165" spans="1:71" outlineLevel="1" x14ac:dyDescent="0.2">
      <c r="C165" s="11" t="s">
        <v>167</v>
      </c>
      <c r="J165" s="26"/>
      <c r="L165" s="55"/>
      <c r="M165" s="55"/>
      <c r="N165" s="55"/>
      <c r="O165" s="55"/>
      <c r="P165" s="55"/>
      <c r="Q165" s="55"/>
      <c r="R165" s="55"/>
      <c r="S165" s="55"/>
      <c r="T165" s="55"/>
      <c r="U165" s="55"/>
      <c r="V165" s="55"/>
      <c r="W165" s="55"/>
      <c r="X165" s="55"/>
      <c r="Y165" s="55"/>
      <c r="Z165" s="55"/>
      <c r="AA165" s="55"/>
      <c r="AB165" s="55"/>
      <c r="AC165" s="55"/>
      <c r="AD165" s="55"/>
      <c r="AE165" s="55"/>
      <c r="AF165" s="55"/>
      <c r="AG165" s="55"/>
      <c r="AH165" s="55"/>
      <c r="AI165" s="55"/>
      <c r="AJ165" s="55"/>
      <c r="AK165" s="55"/>
      <c r="AL165" s="55"/>
      <c r="AM165" s="55"/>
      <c r="AN165" s="55"/>
      <c r="AO165" s="55"/>
      <c r="AP165" s="55"/>
      <c r="AQ165" s="55"/>
      <c r="AR165" s="55"/>
      <c r="AS165" s="55"/>
      <c r="AT165" s="55"/>
      <c r="AU165" s="55"/>
      <c r="AV165" s="55"/>
      <c r="AW165" s="55"/>
      <c r="AX165" s="55"/>
      <c r="AY165" s="55"/>
      <c r="AZ165" s="55"/>
      <c r="BA165" s="55"/>
      <c r="BB165" s="55"/>
      <c r="BC165" s="55"/>
      <c r="BD165" s="55"/>
      <c r="BE165" s="55"/>
      <c r="BF165" s="55"/>
      <c r="BG165" s="55"/>
      <c r="BH165" s="55"/>
      <c r="BI165" s="55"/>
      <c r="BJ165" s="55"/>
      <c r="BK165" s="55"/>
      <c r="BL165" s="55"/>
      <c r="BM165" s="55"/>
      <c r="BN165" s="55"/>
      <c r="BO165" s="55"/>
      <c r="BP165" s="55"/>
      <c r="BQ165" s="55"/>
      <c r="BR165" s="55"/>
      <c r="BS165" s="55"/>
    </row>
    <row r="166" spans="1:71" outlineLevel="1" x14ac:dyDescent="0.2">
      <c r="D166" t="s">
        <v>168</v>
      </c>
      <c r="I166" s="30">
        <f ca="1">SUM($L166:$BS166)</f>
        <v>0</v>
      </c>
      <c r="J166" s="26" t="s">
        <v>148</v>
      </c>
      <c r="K166" s="7" t="s">
        <v>171</v>
      </c>
      <c r="L166" s="49">
        <f t="shared" ref="L166:AQ166" ca="1" si="17">IF(L$4&gt;=YEAR(effective_date_Loango),(OFFSET(_xlfn.SINGLE(IA_EandA_real),,date_offset_Loango)*_xlfn.SINGLE(IA_esc_index)),0)</f>
        <v>0</v>
      </c>
      <c r="M166" s="49">
        <f t="shared" ca="1" si="17"/>
        <v>0</v>
      </c>
      <c r="N166" s="49">
        <f t="shared" ca="1" si="17"/>
        <v>0</v>
      </c>
      <c r="O166" s="49">
        <f t="shared" ca="1" si="17"/>
        <v>0</v>
      </c>
      <c r="P166" s="49">
        <f t="shared" ca="1" si="17"/>
        <v>0</v>
      </c>
      <c r="Q166" s="49">
        <f t="shared" ca="1" si="17"/>
        <v>0</v>
      </c>
      <c r="R166" s="49">
        <f t="shared" ca="1" si="17"/>
        <v>0</v>
      </c>
      <c r="S166" s="49">
        <f t="shared" ca="1" si="17"/>
        <v>0</v>
      </c>
      <c r="T166" s="49">
        <f t="shared" ca="1" si="17"/>
        <v>0</v>
      </c>
      <c r="U166" s="49">
        <f t="shared" ca="1" si="17"/>
        <v>0</v>
      </c>
      <c r="V166" s="49">
        <f t="shared" ca="1" si="17"/>
        <v>0</v>
      </c>
      <c r="W166" s="49">
        <f t="shared" ca="1" si="17"/>
        <v>0</v>
      </c>
      <c r="X166" s="49">
        <f t="shared" ca="1" si="17"/>
        <v>0</v>
      </c>
      <c r="Y166" s="49">
        <f t="shared" ca="1" si="17"/>
        <v>0</v>
      </c>
      <c r="Z166" s="49">
        <f t="shared" ca="1" si="17"/>
        <v>0</v>
      </c>
      <c r="AA166" s="49">
        <f t="shared" ca="1" si="17"/>
        <v>0</v>
      </c>
      <c r="AB166" s="49">
        <f t="shared" ca="1" si="17"/>
        <v>0</v>
      </c>
      <c r="AC166" s="49">
        <f t="shared" ca="1" si="17"/>
        <v>0</v>
      </c>
      <c r="AD166" s="49">
        <f t="shared" ca="1" si="17"/>
        <v>0</v>
      </c>
      <c r="AE166" s="49">
        <f t="shared" ca="1" si="17"/>
        <v>0</v>
      </c>
      <c r="AF166" s="49">
        <f t="shared" ca="1" si="17"/>
        <v>0</v>
      </c>
      <c r="AG166" s="49">
        <f t="shared" ca="1" si="17"/>
        <v>0</v>
      </c>
      <c r="AH166" s="49">
        <f t="shared" ca="1" si="17"/>
        <v>0</v>
      </c>
      <c r="AI166" s="49">
        <f t="shared" ca="1" si="17"/>
        <v>0</v>
      </c>
      <c r="AJ166" s="49">
        <f t="shared" ca="1" si="17"/>
        <v>0</v>
      </c>
      <c r="AK166" s="49">
        <f t="shared" ca="1" si="17"/>
        <v>0</v>
      </c>
      <c r="AL166" s="49">
        <f t="shared" ca="1" si="17"/>
        <v>0</v>
      </c>
      <c r="AM166" s="49">
        <f t="shared" ca="1" si="17"/>
        <v>0</v>
      </c>
      <c r="AN166" s="49">
        <f t="shared" ca="1" si="17"/>
        <v>0</v>
      </c>
      <c r="AO166" s="49">
        <f t="shared" ca="1" si="17"/>
        <v>0</v>
      </c>
      <c r="AP166" s="49">
        <f t="shared" ca="1" si="17"/>
        <v>0</v>
      </c>
      <c r="AQ166" s="49">
        <f t="shared" ca="1" si="17"/>
        <v>0</v>
      </c>
      <c r="AR166" s="49">
        <f t="shared" ref="AR166:BS166" ca="1" si="18">IF(AR$4&gt;=YEAR(effective_date_Loango),(OFFSET(_xlfn.SINGLE(IA_EandA_real),,date_offset_Loango)*_xlfn.SINGLE(IA_esc_index)),0)</f>
        <v>0</v>
      </c>
      <c r="AS166" s="49">
        <f t="shared" ca="1" si="18"/>
        <v>0</v>
      </c>
      <c r="AT166" s="49">
        <f t="shared" ca="1" si="18"/>
        <v>0</v>
      </c>
      <c r="AU166" s="49">
        <f t="shared" ca="1" si="18"/>
        <v>0</v>
      </c>
      <c r="AV166" s="49">
        <f t="shared" ca="1" si="18"/>
        <v>0</v>
      </c>
      <c r="AW166" s="49">
        <f t="shared" ca="1" si="18"/>
        <v>0</v>
      </c>
      <c r="AX166" s="49">
        <f t="shared" ca="1" si="18"/>
        <v>0</v>
      </c>
      <c r="AY166" s="49">
        <f t="shared" ca="1" si="18"/>
        <v>0</v>
      </c>
      <c r="AZ166" s="49">
        <f t="shared" ca="1" si="18"/>
        <v>0</v>
      </c>
      <c r="BA166" s="49">
        <f t="shared" ca="1" si="18"/>
        <v>0</v>
      </c>
      <c r="BB166" s="49">
        <f t="shared" ca="1" si="18"/>
        <v>0</v>
      </c>
      <c r="BC166" s="49">
        <f t="shared" ca="1" si="18"/>
        <v>0</v>
      </c>
      <c r="BD166" s="49">
        <f t="shared" ca="1" si="18"/>
        <v>0</v>
      </c>
      <c r="BE166" s="49">
        <f t="shared" ca="1" si="18"/>
        <v>0</v>
      </c>
      <c r="BF166" s="49">
        <f t="shared" ca="1" si="18"/>
        <v>0</v>
      </c>
      <c r="BG166" s="49">
        <f t="shared" ca="1" si="18"/>
        <v>0</v>
      </c>
      <c r="BH166" s="49">
        <f t="shared" ca="1" si="18"/>
        <v>0</v>
      </c>
      <c r="BI166" s="49">
        <f t="shared" ca="1" si="18"/>
        <v>0</v>
      </c>
      <c r="BJ166" s="49">
        <f t="shared" ca="1" si="18"/>
        <v>0</v>
      </c>
      <c r="BK166" s="49">
        <f t="shared" ca="1" si="18"/>
        <v>0</v>
      </c>
      <c r="BL166" s="49">
        <f t="shared" ca="1" si="18"/>
        <v>0</v>
      </c>
      <c r="BM166" s="49">
        <f t="shared" ca="1" si="18"/>
        <v>0</v>
      </c>
      <c r="BN166" s="49">
        <f t="shared" ca="1" si="18"/>
        <v>0</v>
      </c>
      <c r="BO166" s="49">
        <f t="shared" ca="1" si="18"/>
        <v>0</v>
      </c>
      <c r="BP166" s="49">
        <f t="shared" ca="1" si="18"/>
        <v>0</v>
      </c>
      <c r="BQ166" s="49">
        <f t="shared" ca="1" si="18"/>
        <v>0</v>
      </c>
      <c r="BR166" s="49">
        <f t="shared" ca="1" si="18"/>
        <v>0</v>
      </c>
      <c r="BS166" s="49">
        <f t="shared" ca="1" si="18"/>
        <v>0</v>
      </c>
    </row>
    <row r="167" spans="1:71" outlineLevel="1" x14ac:dyDescent="0.2">
      <c r="J167" s="26"/>
      <c r="L167" s="55"/>
      <c r="M167" s="55"/>
      <c r="N167" s="55"/>
      <c r="O167" s="55"/>
      <c r="P167" s="55"/>
      <c r="Q167" s="55"/>
      <c r="R167" s="55"/>
      <c r="S167" s="55"/>
      <c r="T167" s="55"/>
      <c r="U167" s="55"/>
      <c r="V167" s="55"/>
      <c r="W167" s="55"/>
      <c r="X167" s="55"/>
      <c r="Y167" s="55"/>
      <c r="Z167" s="55"/>
      <c r="AA167" s="55"/>
      <c r="AB167" s="55"/>
      <c r="AC167" s="55"/>
      <c r="AD167" s="55"/>
      <c r="AE167" s="55"/>
      <c r="AF167" s="55"/>
      <c r="AG167" s="55"/>
      <c r="AH167" s="55"/>
      <c r="AI167" s="55"/>
      <c r="AJ167" s="55"/>
      <c r="AK167" s="55"/>
      <c r="AL167" s="55"/>
      <c r="AM167" s="55"/>
      <c r="AN167" s="55"/>
      <c r="AO167" s="55"/>
      <c r="AP167" s="55"/>
      <c r="AQ167" s="55"/>
      <c r="AR167" s="55"/>
      <c r="AS167" s="55"/>
      <c r="AT167" s="55"/>
      <c r="AU167" s="55"/>
      <c r="AV167" s="55"/>
      <c r="AW167" s="55"/>
      <c r="AX167" s="55"/>
      <c r="AY167" s="55"/>
      <c r="AZ167" s="55"/>
      <c r="BA167" s="55"/>
      <c r="BB167" s="55"/>
      <c r="BC167" s="55"/>
      <c r="BD167" s="55"/>
      <c r="BE167" s="55"/>
      <c r="BF167" s="55"/>
      <c r="BG167" s="55"/>
      <c r="BH167" s="55"/>
      <c r="BI167" s="55"/>
      <c r="BJ167" s="55"/>
      <c r="BK167" s="55"/>
      <c r="BL167" s="55"/>
      <c r="BM167" s="55"/>
      <c r="BN167" s="55"/>
      <c r="BO167" s="55"/>
      <c r="BP167" s="55"/>
      <c r="BQ167" s="55"/>
      <c r="BR167" s="55"/>
      <c r="BS167" s="55"/>
    </row>
    <row r="168" spans="1:71" outlineLevel="1" x14ac:dyDescent="0.2">
      <c r="C168" s="11" t="s">
        <v>57</v>
      </c>
      <c r="J168" s="26"/>
      <c r="L168" s="55"/>
      <c r="M168" s="55"/>
      <c r="N168" s="55"/>
      <c r="O168" s="55"/>
      <c r="P168" s="55"/>
      <c r="Q168" s="55"/>
      <c r="R168" s="55"/>
      <c r="S168" s="55"/>
      <c r="T168" s="55"/>
      <c r="U168" s="55"/>
      <c r="V168" s="55"/>
      <c r="W168" s="55"/>
      <c r="X168" s="55"/>
      <c r="Y168" s="55"/>
      <c r="Z168" s="55"/>
      <c r="AA168" s="55"/>
      <c r="AB168" s="55"/>
      <c r="AC168" s="55"/>
      <c r="AD168" s="55"/>
      <c r="AE168" s="55"/>
      <c r="AF168" s="55"/>
      <c r="AG168" s="55"/>
      <c r="AH168" s="55"/>
      <c r="AI168" s="55"/>
      <c r="AJ168" s="55"/>
      <c r="AK168" s="55"/>
      <c r="AL168" s="55"/>
      <c r="AM168" s="55"/>
      <c r="AN168" s="55"/>
      <c r="AO168" s="55"/>
      <c r="AP168" s="55"/>
      <c r="AQ168" s="55"/>
      <c r="AR168" s="55"/>
      <c r="AS168" s="55"/>
      <c r="AT168" s="55"/>
      <c r="AU168" s="55"/>
      <c r="AV168" s="55"/>
      <c r="AW168" s="55"/>
      <c r="AX168" s="55"/>
      <c r="AY168" s="55"/>
      <c r="AZ168" s="55"/>
      <c r="BA168" s="55"/>
      <c r="BB168" s="55"/>
      <c r="BC168" s="55"/>
      <c r="BD168" s="55"/>
      <c r="BE168" s="55"/>
      <c r="BF168" s="55"/>
      <c r="BG168" s="55"/>
      <c r="BH168" s="55"/>
      <c r="BI168" s="55"/>
      <c r="BJ168" s="55"/>
      <c r="BK168" s="55"/>
      <c r="BL168" s="55"/>
      <c r="BM168" s="55"/>
      <c r="BN168" s="55"/>
      <c r="BO168" s="55"/>
      <c r="BP168" s="55"/>
      <c r="BQ168" s="55"/>
      <c r="BR168" s="55"/>
      <c r="BS168" s="55"/>
    </row>
    <row r="169" spans="1:71" outlineLevel="1" x14ac:dyDescent="0.2">
      <c r="D169" t="s">
        <v>169</v>
      </c>
      <c r="I169" s="30">
        <f ca="1">SUM($L169:$BS169)</f>
        <v>10913.591</v>
      </c>
      <c r="J169" s="26" t="s">
        <v>148</v>
      </c>
      <c r="K169" s="7" t="s">
        <v>170</v>
      </c>
      <c r="L169" s="49">
        <f t="shared" ref="L169:AQ169" ca="1" si="19">IF(L$4&gt;=YEAR(effective_date_Loango),(OFFSET(_xlfn.SINGLE(IA_devcapex_real),,date_offset_Loango)*_xlfn.SINGLE(IA_esc_index)),0)</f>
        <v>1286.7819999999999</v>
      </c>
      <c r="M169" s="49">
        <f t="shared" ca="1" si="19"/>
        <v>2118.212</v>
      </c>
      <c r="N169" s="49">
        <f t="shared" ca="1" si="19"/>
        <v>3130.5740000000001</v>
      </c>
      <c r="O169" s="49">
        <f t="shared" ca="1" si="19"/>
        <v>2571.201</v>
      </c>
      <c r="P169" s="49">
        <f t="shared" ca="1" si="19"/>
        <v>1153.232</v>
      </c>
      <c r="Q169" s="49">
        <f t="shared" ca="1" si="19"/>
        <v>653.59</v>
      </c>
      <c r="R169" s="49">
        <f t="shared" ca="1" si="19"/>
        <v>0</v>
      </c>
      <c r="S169" s="49">
        <f t="shared" ca="1" si="19"/>
        <v>0</v>
      </c>
      <c r="T169" s="49">
        <f t="shared" ca="1" si="19"/>
        <v>0</v>
      </c>
      <c r="U169" s="49">
        <f t="shared" ca="1" si="19"/>
        <v>0</v>
      </c>
      <c r="V169" s="49">
        <f t="shared" ca="1" si="19"/>
        <v>0</v>
      </c>
      <c r="W169" s="49">
        <f t="shared" ca="1" si="19"/>
        <v>0</v>
      </c>
      <c r="X169" s="49">
        <f t="shared" ca="1" si="19"/>
        <v>0</v>
      </c>
      <c r="Y169" s="49">
        <f t="shared" ca="1" si="19"/>
        <v>0</v>
      </c>
      <c r="Z169" s="49">
        <f t="shared" ca="1" si="19"/>
        <v>0</v>
      </c>
      <c r="AA169" s="49">
        <f t="shared" ca="1" si="19"/>
        <v>0</v>
      </c>
      <c r="AB169" s="49">
        <f t="shared" ca="1" si="19"/>
        <v>0</v>
      </c>
      <c r="AC169" s="49">
        <f t="shared" ca="1" si="19"/>
        <v>0</v>
      </c>
      <c r="AD169" s="49">
        <f t="shared" ca="1" si="19"/>
        <v>0</v>
      </c>
      <c r="AE169" s="49">
        <f t="shared" ca="1" si="19"/>
        <v>0</v>
      </c>
      <c r="AF169" s="49">
        <f t="shared" ca="1" si="19"/>
        <v>0</v>
      </c>
      <c r="AG169" s="49">
        <f t="shared" ca="1" si="19"/>
        <v>0</v>
      </c>
      <c r="AH169" s="49">
        <f t="shared" ca="1" si="19"/>
        <v>0</v>
      </c>
      <c r="AI169" s="49">
        <f t="shared" ca="1" si="19"/>
        <v>0</v>
      </c>
      <c r="AJ169" s="49">
        <f t="shared" ca="1" si="19"/>
        <v>0</v>
      </c>
      <c r="AK169" s="49">
        <f t="shared" ca="1" si="19"/>
        <v>0</v>
      </c>
      <c r="AL169" s="49">
        <f t="shared" ca="1" si="19"/>
        <v>0</v>
      </c>
      <c r="AM169" s="49">
        <f t="shared" ca="1" si="19"/>
        <v>0</v>
      </c>
      <c r="AN169" s="49">
        <f t="shared" ca="1" si="19"/>
        <v>0</v>
      </c>
      <c r="AO169" s="49">
        <f t="shared" ca="1" si="19"/>
        <v>0</v>
      </c>
      <c r="AP169" s="49">
        <f t="shared" ca="1" si="19"/>
        <v>0</v>
      </c>
      <c r="AQ169" s="49">
        <f t="shared" ca="1" si="19"/>
        <v>0</v>
      </c>
      <c r="AR169" s="49">
        <f t="shared" ref="AR169:BS169" ca="1" si="20">IF(AR$4&gt;=YEAR(effective_date_Loango),(OFFSET(_xlfn.SINGLE(IA_devcapex_real),,date_offset_Loango)*_xlfn.SINGLE(IA_esc_index)),0)</f>
        <v>0</v>
      </c>
      <c r="AS169" s="49">
        <f t="shared" ca="1" si="20"/>
        <v>0</v>
      </c>
      <c r="AT169" s="49">
        <f t="shared" ca="1" si="20"/>
        <v>0</v>
      </c>
      <c r="AU169" s="49">
        <f t="shared" ca="1" si="20"/>
        <v>0</v>
      </c>
      <c r="AV169" s="49">
        <f t="shared" ca="1" si="20"/>
        <v>0</v>
      </c>
      <c r="AW169" s="49">
        <f t="shared" ca="1" si="20"/>
        <v>0</v>
      </c>
      <c r="AX169" s="49">
        <f t="shared" ca="1" si="20"/>
        <v>0</v>
      </c>
      <c r="AY169" s="49">
        <f t="shared" ca="1" si="20"/>
        <v>0</v>
      </c>
      <c r="AZ169" s="49">
        <f t="shared" ca="1" si="20"/>
        <v>0</v>
      </c>
      <c r="BA169" s="49">
        <f t="shared" ca="1" si="20"/>
        <v>0</v>
      </c>
      <c r="BB169" s="49">
        <f t="shared" ca="1" si="20"/>
        <v>0</v>
      </c>
      <c r="BC169" s="49">
        <f t="shared" ca="1" si="20"/>
        <v>0</v>
      </c>
      <c r="BD169" s="49">
        <f t="shared" ca="1" si="20"/>
        <v>0</v>
      </c>
      <c r="BE169" s="49">
        <f t="shared" ca="1" si="20"/>
        <v>0</v>
      </c>
      <c r="BF169" s="49">
        <f t="shared" ca="1" si="20"/>
        <v>0</v>
      </c>
      <c r="BG169" s="49">
        <f t="shared" ca="1" si="20"/>
        <v>0</v>
      </c>
      <c r="BH169" s="49">
        <f t="shared" ca="1" si="20"/>
        <v>0</v>
      </c>
      <c r="BI169" s="49">
        <f t="shared" ca="1" si="20"/>
        <v>0</v>
      </c>
      <c r="BJ169" s="49">
        <f t="shared" ca="1" si="20"/>
        <v>0</v>
      </c>
      <c r="BK169" s="49">
        <f t="shared" ca="1" si="20"/>
        <v>0</v>
      </c>
      <c r="BL169" s="49">
        <f t="shared" ca="1" si="20"/>
        <v>0</v>
      </c>
      <c r="BM169" s="49">
        <f t="shared" ca="1" si="20"/>
        <v>0</v>
      </c>
      <c r="BN169" s="49">
        <f t="shared" ca="1" si="20"/>
        <v>0</v>
      </c>
      <c r="BO169" s="49">
        <f t="shared" ca="1" si="20"/>
        <v>0</v>
      </c>
      <c r="BP169" s="49">
        <f t="shared" ca="1" si="20"/>
        <v>0</v>
      </c>
      <c r="BQ169" s="49">
        <f t="shared" ca="1" si="20"/>
        <v>0</v>
      </c>
      <c r="BR169" s="49">
        <f t="shared" ca="1" si="20"/>
        <v>0</v>
      </c>
      <c r="BS169" s="49">
        <f t="shared" ca="1" si="20"/>
        <v>0</v>
      </c>
    </row>
    <row r="170" spans="1:71" outlineLevel="1" x14ac:dyDescent="0.2">
      <c r="J170" s="26"/>
      <c r="L170" s="55"/>
      <c r="M170" s="55"/>
      <c r="N170" s="55"/>
      <c r="O170" s="55"/>
      <c r="P170" s="55"/>
      <c r="Q170" s="55"/>
      <c r="R170" s="55"/>
      <c r="S170" s="55"/>
      <c r="T170" s="55"/>
      <c r="U170" s="55"/>
      <c r="V170" s="55"/>
      <c r="W170" s="55"/>
      <c r="X170" s="55"/>
      <c r="Y170" s="55"/>
      <c r="Z170" s="55"/>
      <c r="AA170" s="55"/>
      <c r="AB170" s="55"/>
      <c r="AC170" s="55"/>
      <c r="AD170" s="55"/>
      <c r="AE170" s="55"/>
      <c r="AF170" s="55"/>
      <c r="AG170" s="55"/>
      <c r="AH170" s="55"/>
      <c r="AI170" s="55"/>
      <c r="AJ170" s="55"/>
      <c r="AK170" s="55"/>
      <c r="AL170" s="55"/>
      <c r="AM170" s="55"/>
      <c r="AN170" s="55"/>
      <c r="AO170" s="55"/>
      <c r="AP170" s="55"/>
      <c r="AQ170" s="55"/>
      <c r="AR170" s="55"/>
      <c r="AS170" s="55"/>
      <c r="AT170" s="55"/>
      <c r="AU170" s="55"/>
      <c r="AV170" s="55"/>
      <c r="AW170" s="55"/>
      <c r="AX170" s="55"/>
      <c r="AY170" s="55"/>
      <c r="AZ170" s="55"/>
      <c r="BA170" s="55"/>
      <c r="BB170" s="55"/>
      <c r="BC170" s="55"/>
      <c r="BD170" s="55"/>
      <c r="BE170" s="55"/>
      <c r="BF170" s="55"/>
      <c r="BG170" s="55"/>
      <c r="BH170" s="55"/>
      <c r="BI170" s="55"/>
      <c r="BJ170" s="55"/>
      <c r="BK170" s="55"/>
      <c r="BL170" s="55"/>
      <c r="BM170" s="55"/>
      <c r="BN170" s="55"/>
      <c r="BO170" s="55"/>
      <c r="BP170" s="55"/>
      <c r="BQ170" s="55"/>
      <c r="BR170" s="55"/>
      <c r="BS170" s="55"/>
    </row>
    <row r="171" spans="1:71" outlineLevel="1" x14ac:dyDescent="0.2">
      <c r="C171" s="11" t="s">
        <v>63</v>
      </c>
      <c r="J171" s="26"/>
      <c r="L171" s="55"/>
      <c r="M171" s="55"/>
      <c r="N171" s="55"/>
      <c r="O171" s="55"/>
      <c r="P171" s="55"/>
      <c r="Q171" s="55"/>
      <c r="R171" s="55"/>
      <c r="S171" s="55"/>
      <c r="T171" s="55"/>
      <c r="U171" s="55"/>
      <c r="V171" s="55"/>
      <c r="W171" s="55"/>
      <c r="X171" s="55"/>
      <c r="Y171" s="55"/>
      <c r="Z171" s="55"/>
      <c r="AA171" s="55"/>
      <c r="AB171" s="55"/>
      <c r="AC171" s="55"/>
      <c r="AD171" s="55"/>
      <c r="AE171" s="55"/>
      <c r="AF171" s="55"/>
      <c r="AG171" s="55"/>
      <c r="AH171" s="55"/>
      <c r="AI171" s="55"/>
      <c r="AJ171" s="55"/>
      <c r="AK171" s="55"/>
      <c r="AL171" s="55"/>
      <c r="AM171" s="55"/>
      <c r="AN171" s="55"/>
      <c r="AO171" s="55"/>
      <c r="AP171" s="55"/>
      <c r="AQ171" s="55"/>
      <c r="AR171" s="55"/>
      <c r="AS171" s="55"/>
      <c r="AT171" s="55"/>
      <c r="AU171" s="55"/>
      <c r="AV171" s="55"/>
      <c r="AW171" s="55"/>
      <c r="AX171" s="55"/>
      <c r="AY171" s="55"/>
      <c r="AZ171" s="55"/>
      <c r="BA171" s="55"/>
      <c r="BB171" s="55"/>
      <c r="BC171" s="55"/>
      <c r="BD171" s="55"/>
      <c r="BE171" s="55"/>
      <c r="BF171" s="55"/>
      <c r="BG171" s="55"/>
      <c r="BH171" s="55"/>
      <c r="BI171" s="55"/>
      <c r="BJ171" s="55"/>
      <c r="BK171" s="55"/>
      <c r="BL171" s="55"/>
      <c r="BM171" s="55"/>
      <c r="BN171" s="55"/>
      <c r="BO171" s="55"/>
      <c r="BP171" s="55"/>
      <c r="BQ171" s="55"/>
      <c r="BR171" s="55"/>
      <c r="BS171" s="55"/>
    </row>
    <row r="172" spans="1:71" outlineLevel="1" x14ac:dyDescent="0.2">
      <c r="D172" t="s">
        <v>312</v>
      </c>
      <c r="I172" s="30">
        <f ca="1">SUM($L172:$BS172)</f>
        <v>0</v>
      </c>
      <c r="J172" s="26" t="s">
        <v>148</v>
      </c>
      <c r="K172" s="7" t="s">
        <v>172</v>
      </c>
      <c r="L172" s="49">
        <f t="shared" ref="L172:AQ172" ca="1" si="21">IF(L$4&gt;=YEAR(effective_date_Loango),(OFFSET(_xlfn.SINGLE(IA_decom_real),,date_offset_Loango)*_xlfn.SINGLE(IA_esc_index)),0)</f>
        <v>0</v>
      </c>
      <c r="M172" s="49">
        <f t="shared" ca="1" si="21"/>
        <v>0</v>
      </c>
      <c r="N172" s="49">
        <f t="shared" ca="1" si="21"/>
        <v>0</v>
      </c>
      <c r="O172" s="49">
        <f t="shared" ca="1" si="21"/>
        <v>0</v>
      </c>
      <c r="P172" s="49">
        <f t="shared" ca="1" si="21"/>
        <v>0</v>
      </c>
      <c r="Q172" s="49">
        <f t="shared" ca="1" si="21"/>
        <v>0</v>
      </c>
      <c r="R172" s="49">
        <f t="shared" ca="1" si="21"/>
        <v>0</v>
      </c>
      <c r="S172" s="49">
        <f t="shared" ca="1" si="21"/>
        <v>0</v>
      </c>
      <c r="T172" s="49">
        <f t="shared" ca="1" si="21"/>
        <v>0</v>
      </c>
      <c r="U172" s="49">
        <f t="shared" ca="1" si="21"/>
        <v>0</v>
      </c>
      <c r="V172" s="49">
        <f t="shared" ca="1" si="21"/>
        <v>0</v>
      </c>
      <c r="W172" s="49">
        <f t="shared" ca="1" si="21"/>
        <v>0</v>
      </c>
      <c r="X172" s="49">
        <f t="shared" ca="1" si="21"/>
        <v>0</v>
      </c>
      <c r="Y172" s="49">
        <f t="shared" ca="1" si="21"/>
        <v>0</v>
      </c>
      <c r="Z172" s="49">
        <f t="shared" ca="1" si="21"/>
        <v>0</v>
      </c>
      <c r="AA172" s="49">
        <f t="shared" ca="1" si="21"/>
        <v>0</v>
      </c>
      <c r="AB172" s="49">
        <f t="shared" ca="1" si="21"/>
        <v>0</v>
      </c>
      <c r="AC172" s="49">
        <f t="shared" ca="1" si="21"/>
        <v>0</v>
      </c>
      <c r="AD172" s="49">
        <f t="shared" ca="1" si="21"/>
        <v>0</v>
      </c>
      <c r="AE172" s="49">
        <f t="shared" ca="1" si="21"/>
        <v>0</v>
      </c>
      <c r="AF172" s="49">
        <f t="shared" ca="1" si="21"/>
        <v>0</v>
      </c>
      <c r="AG172" s="49">
        <f t="shared" ca="1" si="21"/>
        <v>0</v>
      </c>
      <c r="AH172" s="49">
        <f t="shared" ca="1" si="21"/>
        <v>0</v>
      </c>
      <c r="AI172" s="49">
        <f t="shared" ca="1" si="21"/>
        <v>0</v>
      </c>
      <c r="AJ172" s="49">
        <f t="shared" ca="1" si="21"/>
        <v>0</v>
      </c>
      <c r="AK172" s="49">
        <f t="shared" ca="1" si="21"/>
        <v>0</v>
      </c>
      <c r="AL172" s="49">
        <f t="shared" ca="1" si="21"/>
        <v>0</v>
      </c>
      <c r="AM172" s="49">
        <f t="shared" ca="1" si="21"/>
        <v>0</v>
      </c>
      <c r="AN172" s="49">
        <f t="shared" ca="1" si="21"/>
        <v>0</v>
      </c>
      <c r="AO172" s="49">
        <f t="shared" ca="1" si="21"/>
        <v>0</v>
      </c>
      <c r="AP172" s="49">
        <f t="shared" ca="1" si="21"/>
        <v>0</v>
      </c>
      <c r="AQ172" s="49">
        <f t="shared" ca="1" si="21"/>
        <v>0</v>
      </c>
      <c r="AR172" s="49">
        <f t="shared" ref="AR172:BS172" ca="1" si="22">IF(AR$4&gt;=YEAR(effective_date_Loango),(OFFSET(_xlfn.SINGLE(IA_decom_real),,date_offset_Loango)*_xlfn.SINGLE(IA_esc_index)),0)</f>
        <v>0</v>
      </c>
      <c r="AS172" s="49">
        <f t="shared" ca="1" si="22"/>
        <v>0</v>
      </c>
      <c r="AT172" s="49">
        <f t="shared" ca="1" si="22"/>
        <v>0</v>
      </c>
      <c r="AU172" s="49">
        <f t="shared" ca="1" si="22"/>
        <v>0</v>
      </c>
      <c r="AV172" s="49">
        <f t="shared" ca="1" si="22"/>
        <v>0</v>
      </c>
      <c r="AW172" s="49">
        <f t="shared" ca="1" si="22"/>
        <v>0</v>
      </c>
      <c r="AX172" s="49">
        <f t="shared" ca="1" si="22"/>
        <v>0</v>
      </c>
      <c r="AY172" s="49">
        <f t="shared" ca="1" si="22"/>
        <v>0</v>
      </c>
      <c r="AZ172" s="49">
        <f t="shared" ca="1" si="22"/>
        <v>0</v>
      </c>
      <c r="BA172" s="49">
        <f t="shared" ca="1" si="22"/>
        <v>0</v>
      </c>
      <c r="BB172" s="49">
        <f t="shared" ca="1" si="22"/>
        <v>0</v>
      </c>
      <c r="BC172" s="49">
        <f t="shared" ca="1" si="22"/>
        <v>0</v>
      </c>
      <c r="BD172" s="49">
        <f t="shared" ca="1" si="22"/>
        <v>0</v>
      </c>
      <c r="BE172" s="49">
        <f t="shared" ca="1" si="22"/>
        <v>0</v>
      </c>
      <c r="BF172" s="49">
        <f t="shared" ca="1" si="22"/>
        <v>0</v>
      </c>
      <c r="BG172" s="49">
        <f t="shared" ca="1" si="22"/>
        <v>0</v>
      </c>
      <c r="BH172" s="49">
        <f t="shared" ca="1" si="22"/>
        <v>0</v>
      </c>
      <c r="BI172" s="49">
        <f t="shared" ca="1" si="22"/>
        <v>0</v>
      </c>
      <c r="BJ172" s="49">
        <f t="shared" ca="1" si="22"/>
        <v>0</v>
      </c>
      <c r="BK172" s="49">
        <f t="shared" ca="1" si="22"/>
        <v>0</v>
      </c>
      <c r="BL172" s="49">
        <f t="shared" ca="1" si="22"/>
        <v>0</v>
      </c>
      <c r="BM172" s="49">
        <f t="shared" ca="1" si="22"/>
        <v>0</v>
      </c>
      <c r="BN172" s="49">
        <f t="shared" ca="1" si="22"/>
        <v>0</v>
      </c>
      <c r="BO172" s="49">
        <f t="shared" ca="1" si="22"/>
        <v>0</v>
      </c>
      <c r="BP172" s="49">
        <f t="shared" ca="1" si="22"/>
        <v>0</v>
      </c>
      <c r="BQ172" s="49">
        <f t="shared" ca="1" si="22"/>
        <v>0</v>
      </c>
      <c r="BR172" s="49">
        <f t="shared" ca="1" si="22"/>
        <v>0</v>
      </c>
      <c r="BS172" s="49">
        <f t="shared" ca="1" si="22"/>
        <v>0</v>
      </c>
    </row>
    <row r="173" spans="1:71" outlineLevel="1" x14ac:dyDescent="0.2">
      <c r="J173" s="26"/>
      <c r="L173" s="55"/>
      <c r="M173" s="55"/>
      <c r="N173" s="55"/>
      <c r="O173" s="55"/>
      <c r="P173" s="55"/>
      <c r="Q173" s="55"/>
      <c r="R173" s="55"/>
      <c r="S173" s="55"/>
      <c r="T173" s="55"/>
      <c r="U173" s="55"/>
      <c r="V173" s="55"/>
      <c r="W173" s="55"/>
      <c r="X173" s="55"/>
      <c r="Y173" s="55"/>
      <c r="Z173" s="55"/>
      <c r="AA173" s="55"/>
      <c r="AB173" s="55"/>
      <c r="AC173" s="55"/>
      <c r="AD173" s="55"/>
      <c r="AE173" s="55"/>
      <c r="AF173" s="55"/>
      <c r="AG173" s="55"/>
      <c r="AH173" s="55"/>
      <c r="AI173" s="55"/>
      <c r="AJ173" s="55"/>
      <c r="AK173" s="55"/>
      <c r="AL173" s="55"/>
      <c r="AM173" s="55"/>
      <c r="AN173" s="55"/>
      <c r="AO173" s="55"/>
      <c r="AP173" s="55"/>
      <c r="AQ173" s="55"/>
      <c r="AR173" s="55"/>
      <c r="AS173" s="55"/>
      <c r="AT173" s="55"/>
      <c r="AU173" s="55"/>
      <c r="AV173" s="55"/>
      <c r="AW173" s="55"/>
      <c r="AX173" s="55"/>
      <c r="AY173" s="55"/>
      <c r="AZ173" s="55"/>
      <c r="BA173" s="55"/>
      <c r="BB173" s="55"/>
      <c r="BC173" s="55"/>
      <c r="BD173" s="55"/>
      <c r="BE173" s="55"/>
      <c r="BF173" s="55"/>
      <c r="BG173" s="55"/>
      <c r="BH173" s="55"/>
      <c r="BI173" s="55"/>
      <c r="BJ173" s="55"/>
      <c r="BK173" s="55"/>
      <c r="BL173" s="55"/>
      <c r="BM173" s="55"/>
      <c r="BN173" s="55"/>
      <c r="BO173" s="55"/>
      <c r="BP173" s="55"/>
      <c r="BQ173" s="55"/>
      <c r="BR173" s="55"/>
      <c r="BS173" s="55"/>
    </row>
    <row r="174" spans="1:71" outlineLevel="1" x14ac:dyDescent="0.2">
      <c r="J174" s="26"/>
      <c r="L174" s="55"/>
      <c r="M174" s="55"/>
      <c r="N174" s="55"/>
      <c r="O174" s="55"/>
      <c r="P174" s="55"/>
      <c r="Q174" s="55"/>
      <c r="R174" s="55"/>
      <c r="S174" s="55"/>
      <c r="T174" s="55"/>
      <c r="U174" s="55"/>
      <c r="V174" s="55"/>
      <c r="W174" s="55"/>
      <c r="X174" s="55"/>
      <c r="Y174" s="55"/>
      <c r="Z174" s="55"/>
      <c r="AA174" s="55"/>
      <c r="AB174" s="55"/>
      <c r="AC174" s="55"/>
      <c r="AD174" s="55"/>
      <c r="AE174" s="55"/>
      <c r="AF174" s="55"/>
      <c r="AG174" s="55"/>
      <c r="AH174" s="55"/>
      <c r="AI174" s="55"/>
      <c r="AJ174" s="55"/>
      <c r="AK174" s="55"/>
      <c r="AL174" s="55"/>
      <c r="AM174" s="55"/>
      <c r="AN174" s="55"/>
      <c r="AO174" s="55"/>
      <c r="AP174" s="55"/>
      <c r="AQ174" s="55"/>
      <c r="AR174" s="55"/>
      <c r="AS174" s="55"/>
      <c r="AT174" s="55"/>
      <c r="AU174" s="55"/>
      <c r="AV174" s="55"/>
      <c r="AW174" s="55"/>
      <c r="AX174" s="55"/>
      <c r="AY174" s="55"/>
      <c r="AZ174" s="55"/>
      <c r="BA174" s="55"/>
      <c r="BB174" s="55"/>
      <c r="BC174" s="55"/>
      <c r="BD174" s="55"/>
      <c r="BE174" s="55"/>
      <c r="BF174" s="55"/>
      <c r="BG174" s="55"/>
      <c r="BH174" s="55"/>
      <c r="BI174" s="55"/>
      <c r="BJ174" s="55"/>
      <c r="BK174" s="55"/>
      <c r="BL174" s="55"/>
      <c r="BM174" s="55"/>
      <c r="BN174" s="55"/>
      <c r="BO174" s="55"/>
      <c r="BP174" s="55"/>
      <c r="BQ174" s="55"/>
      <c r="BR174" s="55"/>
      <c r="BS174" s="55"/>
    </row>
    <row r="175" spans="1:71" outlineLevel="1" x14ac:dyDescent="0.2">
      <c r="A175" s="45"/>
      <c r="B175" s="38" t="s">
        <v>173</v>
      </c>
      <c r="C175" s="45"/>
      <c r="D175" s="45"/>
      <c r="E175" s="45"/>
      <c r="J175" s="26"/>
      <c r="L175" s="55"/>
      <c r="M175" s="55"/>
      <c r="N175" s="55"/>
      <c r="O175" s="55"/>
      <c r="P175" s="55"/>
      <c r="Q175" s="55"/>
      <c r="R175" s="55"/>
      <c r="S175" s="55"/>
      <c r="T175" s="55"/>
      <c r="U175" s="55"/>
      <c r="V175" s="55"/>
      <c r="W175" s="55"/>
      <c r="X175" s="55"/>
      <c r="Y175" s="55"/>
      <c r="Z175" s="55"/>
      <c r="AA175" s="55"/>
      <c r="AB175" s="55"/>
      <c r="AC175" s="55"/>
      <c r="AD175" s="55"/>
      <c r="AE175" s="55"/>
      <c r="AF175" s="55"/>
      <c r="AG175" s="55"/>
      <c r="AH175" s="55"/>
      <c r="AI175" s="55"/>
      <c r="AJ175" s="55"/>
      <c r="AK175" s="55"/>
      <c r="AL175" s="55"/>
      <c r="AM175" s="55"/>
      <c r="AN175" s="55"/>
      <c r="AO175" s="55"/>
      <c r="AP175" s="55"/>
      <c r="AQ175" s="55"/>
      <c r="AR175" s="55"/>
      <c r="AS175" s="55"/>
      <c r="AT175" s="55"/>
      <c r="AU175" s="55"/>
      <c r="AV175" s="55"/>
      <c r="AW175" s="55"/>
      <c r="AX175" s="55"/>
      <c r="AY175" s="55"/>
      <c r="AZ175" s="55"/>
      <c r="BA175" s="55"/>
      <c r="BB175" s="55"/>
      <c r="BC175" s="55"/>
      <c r="BD175" s="55"/>
      <c r="BE175" s="55"/>
      <c r="BF175" s="55"/>
      <c r="BG175" s="55"/>
      <c r="BH175" s="55"/>
      <c r="BI175" s="55"/>
      <c r="BJ175" s="55"/>
      <c r="BK175" s="55"/>
      <c r="BL175" s="55"/>
      <c r="BM175" s="55"/>
      <c r="BN175" s="55"/>
      <c r="BO175" s="55"/>
      <c r="BP175" s="55"/>
      <c r="BQ175" s="55"/>
      <c r="BR175" s="55"/>
      <c r="BS175" s="55"/>
    </row>
    <row r="176" spans="1:71" outlineLevel="1" x14ac:dyDescent="0.2">
      <c r="J176" s="26"/>
      <c r="L176" s="55"/>
      <c r="M176" s="55"/>
      <c r="N176" s="55"/>
      <c r="O176" s="55"/>
      <c r="P176" s="55"/>
      <c r="Q176" s="55"/>
      <c r="R176" s="55"/>
      <c r="S176" s="55"/>
      <c r="T176" s="55"/>
      <c r="U176" s="55"/>
      <c r="V176" s="55"/>
      <c r="W176" s="55"/>
      <c r="X176" s="55"/>
      <c r="Y176" s="55"/>
      <c r="Z176" s="55"/>
      <c r="AA176" s="55"/>
      <c r="AB176" s="55"/>
      <c r="AC176" s="55"/>
      <c r="AD176" s="55"/>
      <c r="AE176" s="55"/>
      <c r="AF176" s="55"/>
      <c r="AG176" s="55"/>
      <c r="AH176" s="55"/>
      <c r="AI176" s="55"/>
      <c r="AJ176" s="55"/>
      <c r="AK176" s="55"/>
      <c r="AL176" s="55"/>
      <c r="AM176" s="55"/>
      <c r="AN176" s="55"/>
      <c r="AO176" s="55"/>
      <c r="AP176" s="55"/>
      <c r="AQ176" s="55"/>
      <c r="AR176" s="55"/>
      <c r="AS176" s="55"/>
      <c r="AT176" s="55"/>
      <c r="AU176" s="55"/>
      <c r="AV176" s="55"/>
      <c r="AW176" s="55"/>
      <c r="AX176" s="55"/>
      <c r="AY176" s="55"/>
      <c r="AZ176" s="55"/>
      <c r="BA176" s="55"/>
      <c r="BB176" s="55"/>
      <c r="BC176" s="55"/>
      <c r="BD176" s="55"/>
      <c r="BE176" s="55"/>
      <c r="BF176" s="55"/>
      <c r="BG176" s="55"/>
      <c r="BH176" s="55"/>
      <c r="BI176" s="55"/>
      <c r="BJ176" s="55"/>
      <c r="BK176" s="55"/>
      <c r="BL176" s="55"/>
      <c r="BM176" s="55"/>
      <c r="BN176" s="55"/>
      <c r="BO176" s="55"/>
      <c r="BP176" s="55"/>
      <c r="BQ176" s="55"/>
      <c r="BR176" s="55"/>
      <c r="BS176" s="55"/>
    </row>
    <row r="177" spans="3:71" outlineLevel="1" x14ac:dyDescent="0.2">
      <c r="C177" s="11" t="s">
        <v>212</v>
      </c>
      <c r="J177" s="26"/>
      <c r="K177" s="7" t="s">
        <v>213</v>
      </c>
      <c r="L177" s="57">
        <f ca="1">1*(OR(Loango_II!CA_opex_total_nom&gt;0,Loango_II!CA_expex_nom&gt;0,Loango_II!CA_devex_nom&gt;0,Loango_II!CA_gross_prod_oil+Loango_II!CA_gross_prod_gas&gt;0))</f>
        <v>1</v>
      </c>
      <c r="M177" s="57">
        <f ca="1">1*(OR(Loango_II!CA_opex_total_nom&gt;0,Loango_II!CA_expex_nom&gt;0,Loango_II!CA_devex_nom&gt;0,Loango_II!CA_gross_prod_oil+Loango_II!CA_gross_prod_gas&gt;0))</f>
        <v>1</v>
      </c>
      <c r="N177" s="57">
        <f ca="1">1*(OR(Loango_II!CA_opex_total_nom&gt;0,Loango_II!CA_expex_nom&gt;0,Loango_II!CA_devex_nom&gt;0,Loango_II!CA_gross_prod_oil+Loango_II!CA_gross_prod_gas&gt;0))</f>
        <v>1</v>
      </c>
      <c r="O177" s="57">
        <f ca="1">1*(OR(Loango_II!CA_opex_total_nom&gt;0,Loango_II!CA_expex_nom&gt;0,Loango_II!CA_devex_nom&gt;0,Loango_II!CA_gross_prod_oil+Loango_II!CA_gross_prod_gas&gt;0))</f>
        <v>1</v>
      </c>
      <c r="P177" s="57">
        <f ca="1">1*(OR(Loango_II!CA_opex_total_nom&gt;0,Loango_II!CA_expex_nom&gt;0,Loango_II!CA_devex_nom&gt;0,Loango_II!CA_gross_prod_oil+Loango_II!CA_gross_prod_gas&gt;0))</f>
        <v>1</v>
      </c>
      <c r="Q177" s="57">
        <f ca="1">1*(OR(Loango_II!CA_opex_total_nom&gt;0,Loango_II!CA_expex_nom&gt;0,Loango_II!CA_devex_nom&gt;0,Loango_II!CA_gross_prod_oil+Loango_II!CA_gross_prod_gas&gt;0))</f>
        <v>1</v>
      </c>
      <c r="R177" s="57">
        <f ca="1">1*(OR(Loango_II!CA_opex_total_nom&gt;0,Loango_II!CA_expex_nom&gt;0,Loango_II!CA_devex_nom&gt;0,Loango_II!CA_gross_prod_oil+Loango_II!CA_gross_prod_gas&gt;0))</f>
        <v>1</v>
      </c>
      <c r="S177" s="57">
        <f ca="1">1*(OR(Loango_II!CA_opex_total_nom&gt;0,Loango_II!CA_expex_nom&gt;0,Loango_II!CA_devex_nom&gt;0,Loango_II!CA_gross_prod_oil+Loango_II!CA_gross_prod_gas&gt;0))</f>
        <v>1</v>
      </c>
      <c r="T177" s="57">
        <f ca="1">1*(OR(Loango_II!CA_opex_total_nom&gt;0,Loango_II!CA_expex_nom&gt;0,Loango_II!CA_devex_nom&gt;0,Loango_II!CA_gross_prod_oil+Loango_II!CA_gross_prod_gas&gt;0))</f>
        <v>1</v>
      </c>
      <c r="U177" s="57">
        <f ca="1">1*(OR(Loango_II!CA_opex_total_nom&gt;0,Loango_II!CA_expex_nom&gt;0,Loango_II!CA_devex_nom&gt;0,Loango_II!CA_gross_prod_oil+Loango_II!CA_gross_prod_gas&gt;0))</f>
        <v>1</v>
      </c>
      <c r="V177" s="57">
        <f ca="1">1*(OR(Loango_II!CA_opex_total_nom&gt;0,Loango_II!CA_expex_nom&gt;0,Loango_II!CA_devex_nom&gt;0,Loango_II!CA_gross_prod_oil+Loango_II!CA_gross_prod_gas&gt;0))</f>
        <v>1</v>
      </c>
      <c r="W177" s="57">
        <f ca="1">1*(OR(Loango_II!CA_opex_total_nom&gt;0,Loango_II!CA_expex_nom&gt;0,Loango_II!CA_devex_nom&gt;0,Loango_II!CA_gross_prod_oil+Loango_II!CA_gross_prod_gas&gt;0))</f>
        <v>1</v>
      </c>
      <c r="X177" s="57">
        <f ca="1">1*(OR(Loango_II!CA_opex_total_nom&gt;0,Loango_II!CA_expex_nom&gt;0,Loango_II!CA_devex_nom&gt;0,Loango_II!CA_gross_prod_oil+Loango_II!CA_gross_prod_gas&gt;0))</f>
        <v>1</v>
      </c>
      <c r="Y177" s="57">
        <f ca="1">1*(OR(Loango_II!CA_opex_total_nom&gt;0,Loango_II!CA_expex_nom&gt;0,Loango_II!CA_devex_nom&gt;0,Loango_II!CA_gross_prod_oil+Loango_II!CA_gross_prod_gas&gt;0))</f>
        <v>0</v>
      </c>
      <c r="Z177" s="57">
        <f ca="1">1*(OR(Loango_II!CA_opex_total_nom&gt;0,Loango_II!CA_expex_nom&gt;0,Loango_II!CA_devex_nom&gt;0,Loango_II!CA_gross_prod_oil+Loango_II!CA_gross_prod_gas&gt;0))</f>
        <v>0</v>
      </c>
      <c r="AA177" s="57">
        <f ca="1">1*(OR(Loango_II!CA_opex_total_nom&gt;0,Loango_II!CA_expex_nom&gt;0,Loango_II!CA_devex_nom&gt;0,Loango_II!CA_gross_prod_oil+Loango_II!CA_gross_prod_gas&gt;0))</f>
        <v>0</v>
      </c>
      <c r="AB177" s="57">
        <f ca="1">1*(OR(Loango_II!CA_opex_total_nom&gt;0,Loango_II!CA_expex_nom&gt;0,Loango_II!CA_devex_nom&gt;0,Loango_II!CA_gross_prod_oil+Loango_II!CA_gross_prod_gas&gt;0))</f>
        <v>0</v>
      </c>
      <c r="AC177" s="57">
        <f ca="1">1*(OR(Loango_II!CA_opex_total_nom&gt;0,Loango_II!CA_expex_nom&gt;0,Loango_II!CA_devex_nom&gt;0,Loango_II!CA_gross_prod_oil+Loango_II!CA_gross_prod_gas&gt;0))</f>
        <v>0</v>
      </c>
      <c r="AD177" s="57">
        <f ca="1">1*(OR(Loango_II!CA_opex_total_nom&gt;0,Loango_II!CA_expex_nom&gt;0,Loango_II!CA_devex_nom&gt;0,Loango_II!CA_gross_prod_oil+Loango_II!CA_gross_prod_gas&gt;0))</f>
        <v>0</v>
      </c>
      <c r="AE177" s="57">
        <f ca="1">1*(OR(Loango_II!CA_opex_total_nom&gt;0,Loango_II!CA_expex_nom&gt;0,Loango_II!CA_devex_nom&gt;0,Loango_II!CA_gross_prod_oil+Loango_II!CA_gross_prod_gas&gt;0))</f>
        <v>0</v>
      </c>
      <c r="AF177" s="57">
        <f ca="1">1*(OR(Loango_II!CA_opex_total_nom&gt;0,Loango_II!CA_expex_nom&gt;0,Loango_II!CA_devex_nom&gt;0,Loango_II!CA_gross_prod_oil+Loango_II!CA_gross_prod_gas&gt;0))</f>
        <v>0</v>
      </c>
      <c r="AG177" s="57">
        <f ca="1">1*(OR(Loango_II!CA_opex_total_nom&gt;0,Loango_II!CA_expex_nom&gt;0,Loango_II!CA_devex_nom&gt;0,Loango_II!CA_gross_prod_oil+Loango_II!CA_gross_prod_gas&gt;0))</f>
        <v>0</v>
      </c>
      <c r="AH177" s="57">
        <f ca="1">1*(OR(Loango_II!CA_opex_total_nom&gt;0,Loango_II!CA_expex_nom&gt;0,Loango_II!CA_devex_nom&gt;0,Loango_II!CA_gross_prod_oil+Loango_II!CA_gross_prod_gas&gt;0))</f>
        <v>0</v>
      </c>
      <c r="AI177" s="57">
        <f ca="1">1*(OR(Loango_II!CA_opex_total_nom&gt;0,Loango_II!CA_expex_nom&gt;0,Loango_II!CA_devex_nom&gt;0,Loango_II!CA_gross_prod_oil+Loango_II!CA_gross_prod_gas&gt;0))</f>
        <v>0</v>
      </c>
      <c r="AJ177" s="57">
        <f ca="1">1*(OR(Loango_II!CA_opex_total_nom&gt;0,Loango_II!CA_expex_nom&gt;0,Loango_II!CA_devex_nom&gt;0,Loango_II!CA_gross_prod_oil+Loango_II!CA_gross_prod_gas&gt;0))</f>
        <v>0</v>
      </c>
      <c r="AK177" s="57">
        <f ca="1">1*(OR(Loango_II!CA_opex_total_nom&gt;0,Loango_II!CA_expex_nom&gt;0,Loango_II!CA_devex_nom&gt;0,Loango_II!CA_gross_prod_oil+Loango_II!CA_gross_prod_gas&gt;0))</f>
        <v>0</v>
      </c>
      <c r="AL177" s="57">
        <f ca="1">1*(OR(Loango_II!CA_opex_total_nom&gt;0,Loango_II!CA_expex_nom&gt;0,Loango_II!CA_devex_nom&gt;0,Loango_II!CA_gross_prod_oil+Loango_II!CA_gross_prod_gas&gt;0))</f>
        <v>0</v>
      </c>
      <c r="AM177" s="57">
        <f ca="1">1*(OR(Loango_II!CA_opex_total_nom&gt;0,Loango_II!CA_expex_nom&gt;0,Loango_II!CA_devex_nom&gt;0,Loango_II!CA_gross_prod_oil+Loango_II!CA_gross_prod_gas&gt;0))</f>
        <v>0</v>
      </c>
      <c r="AN177" s="57">
        <f ca="1">1*(OR(Loango_II!CA_opex_total_nom&gt;0,Loango_II!CA_expex_nom&gt;0,Loango_II!CA_devex_nom&gt;0,Loango_II!CA_gross_prod_oil+Loango_II!CA_gross_prod_gas&gt;0))</f>
        <v>0</v>
      </c>
      <c r="AO177" s="57">
        <f ca="1">1*(OR(Loango_II!CA_opex_total_nom&gt;0,Loango_II!CA_expex_nom&gt;0,Loango_II!CA_devex_nom&gt;0,Loango_II!CA_gross_prod_oil+Loango_II!CA_gross_prod_gas&gt;0))</f>
        <v>0</v>
      </c>
      <c r="AP177" s="57">
        <f ca="1">1*(OR(Loango_II!CA_opex_total_nom&gt;0,Loango_II!CA_expex_nom&gt;0,Loango_II!CA_devex_nom&gt;0,Loango_II!CA_gross_prod_oil+Loango_II!CA_gross_prod_gas&gt;0))</f>
        <v>0</v>
      </c>
      <c r="AQ177" s="57">
        <f ca="1">1*(OR(Loango_II!CA_opex_total_nom&gt;0,Loango_II!CA_expex_nom&gt;0,Loango_II!CA_devex_nom&gt;0,Loango_II!CA_gross_prod_oil+Loango_II!CA_gross_prod_gas&gt;0))</f>
        <v>0</v>
      </c>
      <c r="AR177" s="57">
        <f ca="1">1*(OR(Loango_II!CA_opex_total_nom&gt;0,Loango_II!CA_expex_nom&gt;0,Loango_II!CA_devex_nom&gt;0,Loango_II!CA_gross_prod_oil+Loango_II!CA_gross_prod_gas&gt;0))</f>
        <v>0</v>
      </c>
      <c r="AS177" s="57">
        <f ca="1">1*(OR(Loango_II!CA_opex_total_nom&gt;0,Loango_II!CA_expex_nom&gt;0,Loango_II!CA_devex_nom&gt;0,Loango_II!CA_gross_prod_oil+Loango_II!CA_gross_prod_gas&gt;0))</f>
        <v>0</v>
      </c>
      <c r="AT177" s="57">
        <f ca="1">1*(OR(Loango_II!CA_opex_total_nom&gt;0,Loango_II!CA_expex_nom&gt;0,Loango_II!CA_devex_nom&gt;0,Loango_II!CA_gross_prod_oil+Loango_II!CA_gross_prod_gas&gt;0))</f>
        <v>0</v>
      </c>
      <c r="AU177" s="57">
        <f ca="1">1*(OR(Loango_II!CA_opex_total_nom&gt;0,Loango_II!CA_expex_nom&gt;0,Loango_II!CA_devex_nom&gt;0,Loango_II!CA_gross_prod_oil+Loango_II!CA_gross_prod_gas&gt;0))</f>
        <v>0</v>
      </c>
      <c r="AV177" s="57">
        <f ca="1">1*(OR(Loango_II!CA_opex_total_nom&gt;0,Loango_II!CA_expex_nom&gt;0,Loango_II!CA_devex_nom&gt;0,Loango_II!CA_gross_prod_oil+Loango_II!CA_gross_prod_gas&gt;0))</f>
        <v>0</v>
      </c>
      <c r="AW177" s="57">
        <f ca="1">1*(OR(Loango_II!CA_opex_total_nom&gt;0,Loango_II!CA_expex_nom&gt;0,Loango_II!CA_devex_nom&gt;0,Loango_II!CA_gross_prod_oil+Loango_II!CA_gross_prod_gas&gt;0))</f>
        <v>0</v>
      </c>
      <c r="AX177" s="57">
        <f ca="1">1*(OR(Loango_II!CA_opex_total_nom&gt;0,Loango_II!CA_expex_nom&gt;0,Loango_II!CA_devex_nom&gt;0,Loango_II!CA_gross_prod_oil+Loango_II!CA_gross_prod_gas&gt;0))</f>
        <v>0</v>
      </c>
      <c r="AY177" s="57">
        <f ca="1">1*(OR(Loango_II!CA_opex_total_nom&gt;0,Loango_II!CA_expex_nom&gt;0,Loango_II!CA_devex_nom&gt;0,Loango_II!CA_gross_prod_oil+Loango_II!CA_gross_prod_gas&gt;0))</f>
        <v>0</v>
      </c>
      <c r="AZ177" s="57">
        <f ca="1">1*(OR(Loango_II!CA_opex_total_nom&gt;0,Loango_II!CA_expex_nom&gt;0,Loango_II!CA_devex_nom&gt;0,Loango_II!CA_gross_prod_oil+Loango_II!CA_gross_prod_gas&gt;0))</f>
        <v>0</v>
      </c>
      <c r="BA177" s="57">
        <f ca="1">1*(OR(Loango_II!CA_opex_total_nom&gt;0,Loango_II!CA_expex_nom&gt;0,Loango_II!CA_devex_nom&gt;0,Loango_II!CA_gross_prod_oil+Loango_II!CA_gross_prod_gas&gt;0))</f>
        <v>0</v>
      </c>
      <c r="BB177" s="57">
        <f ca="1">1*(OR(Loango_II!CA_opex_total_nom&gt;0,Loango_II!CA_expex_nom&gt;0,Loango_II!CA_devex_nom&gt;0,Loango_II!CA_gross_prod_oil+Loango_II!CA_gross_prod_gas&gt;0))</f>
        <v>0</v>
      </c>
      <c r="BC177" s="57">
        <f ca="1">1*(OR(Loango_II!CA_opex_total_nom&gt;0,Loango_II!CA_expex_nom&gt;0,Loango_II!CA_devex_nom&gt;0,Loango_II!CA_gross_prod_oil+Loango_II!CA_gross_prod_gas&gt;0))</f>
        <v>0</v>
      </c>
      <c r="BD177" s="57">
        <f ca="1">1*(OR(Loango_II!CA_opex_total_nom&gt;0,Loango_II!CA_expex_nom&gt;0,Loango_II!CA_devex_nom&gt;0,Loango_II!CA_gross_prod_oil+Loango_II!CA_gross_prod_gas&gt;0))</f>
        <v>0</v>
      </c>
      <c r="BE177" s="57">
        <f ca="1">1*(OR(Loango_II!CA_opex_total_nom&gt;0,Loango_II!CA_expex_nom&gt;0,Loango_II!CA_devex_nom&gt;0,Loango_II!CA_gross_prod_oil+Loango_II!CA_gross_prod_gas&gt;0))</f>
        <v>0</v>
      </c>
      <c r="BF177" s="57">
        <f ca="1">1*(OR(Loango_II!CA_opex_total_nom&gt;0,Loango_II!CA_expex_nom&gt;0,Loango_II!CA_devex_nom&gt;0,Loango_II!CA_gross_prod_oil+Loango_II!CA_gross_prod_gas&gt;0))</f>
        <v>0</v>
      </c>
      <c r="BG177" s="57">
        <f ca="1">1*(OR(Loango_II!CA_opex_total_nom&gt;0,Loango_II!CA_expex_nom&gt;0,Loango_II!CA_devex_nom&gt;0,Loango_II!CA_gross_prod_oil+Loango_II!CA_gross_prod_gas&gt;0))</f>
        <v>0</v>
      </c>
      <c r="BH177" s="57">
        <f ca="1">1*(OR(Loango_II!CA_opex_total_nom&gt;0,Loango_II!CA_expex_nom&gt;0,Loango_II!CA_devex_nom&gt;0,Loango_II!CA_gross_prod_oil+Loango_II!CA_gross_prod_gas&gt;0))</f>
        <v>0</v>
      </c>
      <c r="BI177" s="57">
        <f ca="1">1*(OR(Loango_II!CA_opex_total_nom&gt;0,Loango_II!CA_expex_nom&gt;0,Loango_II!CA_devex_nom&gt;0,Loango_II!CA_gross_prod_oil+Loango_II!CA_gross_prod_gas&gt;0))</f>
        <v>0</v>
      </c>
      <c r="BJ177" s="57">
        <f ca="1">1*(OR(Loango_II!CA_opex_total_nom&gt;0,Loango_II!CA_expex_nom&gt;0,Loango_II!CA_devex_nom&gt;0,Loango_II!CA_gross_prod_oil+Loango_II!CA_gross_prod_gas&gt;0))</f>
        <v>0</v>
      </c>
      <c r="BK177" s="57">
        <f ca="1">1*(OR(Loango_II!CA_opex_total_nom&gt;0,Loango_II!CA_expex_nom&gt;0,Loango_II!CA_devex_nom&gt;0,Loango_II!CA_gross_prod_oil+Loango_II!CA_gross_prod_gas&gt;0))</f>
        <v>0</v>
      </c>
      <c r="BL177" s="57">
        <f ca="1">1*(OR(Loango_II!CA_opex_total_nom&gt;0,Loango_II!CA_expex_nom&gt;0,Loango_II!CA_devex_nom&gt;0,Loango_II!CA_gross_prod_oil+Loango_II!CA_gross_prod_gas&gt;0))</f>
        <v>0</v>
      </c>
      <c r="BM177" s="57">
        <f ca="1">1*(OR(Loango_II!CA_opex_total_nom&gt;0,Loango_II!CA_expex_nom&gt;0,Loango_II!CA_devex_nom&gt;0,Loango_II!CA_gross_prod_oil+Loango_II!CA_gross_prod_gas&gt;0))</f>
        <v>0</v>
      </c>
      <c r="BN177" s="57">
        <f ca="1">1*(OR(Loango_II!CA_opex_total_nom&gt;0,Loango_II!CA_expex_nom&gt;0,Loango_II!CA_devex_nom&gt;0,Loango_II!CA_gross_prod_oil+Loango_II!CA_gross_prod_gas&gt;0))</f>
        <v>0</v>
      </c>
      <c r="BO177" s="57">
        <f ca="1">1*(OR(Loango_II!CA_opex_total_nom&gt;0,Loango_II!CA_expex_nom&gt;0,Loango_II!CA_devex_nom&gt;0,Loango_II!CA_gross_prod_oil+Loango_II!CA_gross_prod_gas&gt;0))</f>
        <v>0</v>
      </c>
      <c r="BP177" s="57">
        <f ca="1">1*(OR(Loango_II!CA_opex_total_nom&gt;0,Loango_II!CA_expex_nom&gt;0,Loango_II!CA_devex_nom&gt;0,Loango_II!CA_gross_prod_oil+Loango_II!CA_gross_prod_gas&gt;0))</f>
        <v>0</v>
      </c>
      <c r="BQ177" s="57">
        <f ca="1">1*(OR(Loango_II!CA_opex_total_nom&gt;0,Loango_II!CA_expex_nom&gt;0,Loango_II!CA_devex_nom&gt;0,Loango_II!CA_gross_prod_oil+Loango_II!CA_gross_prod_gas&gt;0))</f>
        <v>0</v>
      </c>
      <c r="BR177" s="57">
        <f ca="1">1*(OR(Loango_II!CA_opex_total_nom&gt;0,Loango_II!CA_expex_nom&gt;0,Loango_II!CA_devex_nom&gt;0,Loango_II!CA_gross_prod_oil+Loango_II!CA_gross_prod_gas&gt;0))</f>
        <v>0</v>
      </c>
      <c r="BS177" s="57">
        <f ca="1">1*(OR(Loango_II!CA_opex_total_nom&gt;0,Loango_II!CA_expex_nom&gt;0,Loango_II!CA_devex_nom&gt;0,Loango_II!CA_gross_prod_oil+Loango_II!CA_gross_prod_gas&gt;0))</f>
        <v>0</v>
      </c>
    </row>
    <row r="178" spans="3:71" outlineLevel="1" x14ac:dyDescent="0.2">
      <c r="J178" s="26"/>
      <c r="L178" s="55"/>
      <c r="M178" s="55"/>
      <c r="N178" s="55"/>
      <c r="O178" s="55"/>
      <c r="P178" s="55"/>
      <c r="Q178" s="55"/>
      <c r="R178" s="55"/>
      <c r="S178" s="55"/>
      <c r="T178" s="55"/>
      <c r="U178" s="55"/>
      <c r="V178" s="55"/>
      <c r="W178" s="55"/>
      <c r="X178" s="55"/>
      <c r="Y178" s="55"/>
      <c r="Z178" s="55"/>
      <c r="AA178" s="55"/>
      <c r="AB178" s="55"/>
      <c r="AC178" s="55"/>
      <c r="AD178" s="55"/>
      <c r="AE178" s="55"/>
      <c r="AF178" s="55"/>
      <c r="AG178" s="55"/>
      <c r="AH178" s="55"/>
      <c r="AI178" s="55"/>
      <c r="AJ178" s="55"/>
      <c r="AK178" s="55"/>
      <c r="AL178" s="55"/>
      <c r="AM178" s="55"/>
      <c r="AN178" s="55"/>
      <c r="AO178" s="55"/>
      <c r="AP178" s="55"/>
      <c r="AQ178" s="55"/>
      <c r="AR178" s="55"/>
      <c r="AS178" s="55"/>
      <c r="AT178" s="55"/>
      <c r="AU178" s="55"/>
      <c r="AV178" s="55"/>
      <c r="AW178" s="55"/>
      <c r="AX178" s="55"/>
      <c r="AY178" s="55"/>
      <c r="AZ178" s="55"/>
      <c r="BA178" s="55"/>
      <c r="BB178" s="55"/>
      <c r="BC178" s="55"/>
      <c r="BD178" s="55"/>
      <c r="BE178" s="55"/>
      <c r="BF178" s="55"/>
      <c r="BG178" s="55"/>
      <c r="BH178" s="55"/>
      <c r="BI178" s="55"/>
      <c r="BJ178" s="55"/>
      <c r="BK178" s="55"/>
      <c r="BL178" s="55"/>
      <c r="BM178" s="55"/>
      <c r="BN178" s="55"/>
      <c r="BO178" s="55"/>
      <c r="BP178" s="55"/>
      <c r="BQ178" s="55"/>
      <c r="BR178" s="55"/>
      <c r="BS178" s="55"/>
    </row>
    <row r="179" spans="3:71" outlineLevel="1" x14ac:dyDescent="0.2">
      <c r="C179" s="11" t="s">
        <v>66</v>
      </c>
      <c r="J179" s="26"/>
      <c r="L179" s="55"/>
      <c r="M179" s="55"/>
      <c r="N179" s="55"/>
      <c r="O179" s="55"/>
      <c r="P179" s="55"/>
      <c r="Q179" s="55"/>
      <c r="R179" s="55"/>
      <c r="S179" s="55"/>
      <c r="T179" s="55"/>
      <c r="U179" s="55"/>
      <c r="V179" s="55"/>
      <c r="W179" s="55"/>
      <c r="X179" s="55"/>
      <c r="Y179" s="55"/>
      <c r="Z179" s="55"/>
      <c r="AA179" s="55"/>
      <c r="AB179" s="55"/>
      <c r="AC179" s="55"/>
      <c r="AD179" s="55"/>
      <c r="AE179" s="55"/>
      <c r="AF179" s="55"/>
      <c r="AG179" s="55"/>
      <c r="AH179" s="55"/>
      <c r="AI179" s="55"/>
      <c r="AJ179" s="55"/>
      <c r="AK179" s="55"/>
      <c r="AL179" s="55"/>
      <c r="AM179" s="55"/>
      <c r="AN179" s="55"/>
      <c r="AO179" s="55"/>
      <c r="AP179" s="55"/>
      <c r="AQ179" s="55"/>
      <c r="AR179" s="55"/>
      <c r="AS179" s="55"/>
      <c r="AT179" s="55"/>
      <c r="AU179" s="55"/>
      <c r="AV179" s="55"/>
      <c r="AW179" s="55"/>
      <c r="AX179" s="55"/>
      <c r="AY179" s="55"/>
      <c r="AZ179" s="55"/>
      <c r="BA179" s="55"/>
      <c r="BB179" s="55"/>
      <c r="BC179" s="55"/>
      <c r="BD179" s="55"/>
      <c r="BE179" s="55"/>
      <c r="BF179" s="55"/>
      <c r="BG179" s="55"/>
      <c r="BH179" s="55"/>
      <c r="BI179" s="55"/>
      <c r="BJ179" s="55"/>
      <c r="BK179" s="55"/>
      <c r="BL179" s="55"/>
      <c r="BM179" s="55"/>
      <c r="BN179" s="55"/>
      <c r="BO179" s="55"/>
      <c r="BP179" s="55"/>
      <c r="BQ179" s="55"/>
      <c r="BR179" s="55"/>
      <c r="BS179" s="55"/>
    </row>
    <row r="180" spans="3:71" outlineLevel="1" x14ac:dyDescent="0.2">
      <c r="D180" t="s">
        <v>67</v>
      </c>
      <c r="I180" s="30">
        <f ca="1">SUM($L180:$BS180)</f>
        <v>116.836644723813</v>
      </c>
      <c r="J180" s="26" t="s">
        <v>148</v>
      </c>
      <c r="K180" s="7" t="s">
        <v>174</v>
      </c>
      <c r="L180" s="49" cm="1">
        <f t="array" aca="1" ref="L180:BS180" ca="1">Loango_II!CA_gross_rev_total_fp*Loango_II!fees_PID_perc</f>
        <v>7.4933748230811874</v>
      </c>
      <c r="M180" s="49">
        <f ca="1"/>
        <v>7.0784597535292457</v>
      </c>
      <c r="N180" s="49">
        <f ca="1"/>
        <v>2.6706236900108338</v>
      </c>
      <c r="O180" s="49">
        <f ca="1"/>
        <v>2.5208282317336823</v>
      </c>
      <c r="P180" s="49">
        <f ca="1"/>
        <v>6.9924129539791364</v>
      </c>
      <c r="Q180" s="49">
        <f ca="1"/>
        <v>13.89932866392102</v>
      </c>
      <c r="R180" s="49">
        <f ca="1"/>
        <v>13.267308635491613</v>
      </c>
      <c r="S180" s="49">
        <f ca="1"/>
        <v>7.7017699371600008</v>
      </c>
      <c r="T180" s="49">
        <f ca="1"/>
        <v>11.75231225896416</v>
      </c>
      <c r="U180" s="49">
        <f ca="1"/>
        <v>11.731746984589799</v>
      </c>
      <c r="V180" s="49">
        <f ca="1"/>
        <v>11.128735189581883</v>
      </c>
      <c r="W180" s="49">
        <f ca="1"/>
        <v>10.585640716456105</v>
      </c>
      <c r="X180" s="49">
        <f ca="1"/>
        <v>10.014102885314331</v>
      </c>
      <c r="Y180" s="49">
        <f ca="1"/>
        <v>0</v>
      </c>
      <c r="Z180" s="49">
        <f ca="1"/>
        <v>0</v>
      </c>
      <c r="AA180" s="49">
        <f ca="1"/>
        <v>0</v>
      </c>
      <c r="AB180" s="49">
        <f ca="1"/>
        <v>0</v>
      </c>
      <c r="AC180" s="49">
        <f ca="1"/>
        <v>0</v>
      </c>
      <c r="AD180" s="49">
        <f ca="1"/>
        <v>0</v>
      </c>
      <c r="AE180" s="49">
        <f ca="1"/>
        <v>0</v>
      </c>
      <c r="AF180" s="49">
        <f ca="1"/>
        <v>0</v>
      </c>
      <c r="AG180" s="49">
        <f ca="1"/>
        <v>0</v>
      </c>
      <c r="AH180" s="49">
        <f ca="1"/>
        <v>0</v>
      </c>
      <c r="AI180" s="49">
        <f ca="1"/>
        <v>0</v>
      </c>
      <c r="AJ180" s="49">
        <f ca="1"/>
        <v>0</v>
      </c>
      <c r="AK180" s="49">
        <f ca="1"/>
        <v>0</v>
      </c>
      <c r="AL180" s="49">
        <f ca="1"/>
        <v>0</v>
      </c>
      <c r="AM180" s="49">
        <f ca="1"/>
        <v>0</v>
      </c>
      <c r="AN180" s="49">
        <f ca="1"/>
        <v>0</v>
      </c>
      <c r="AO180" s="49">
        <f ca="1"/>
        <v>0</v>
      </c>
      <c r="AP180" s="49">
        <f ca="1"/>
        <v>0</v>
      </c>
      <c r="AQ180" s="49">
        <f ca="1"/>
        <v>0</v>
      </c>
      <c r="AR180" s="49">
        <f ca="1"/>
        <v>0</v>
      </c>
      <c r="AS180" s="49">
        <f ca="1"/>
        <v>0</v>
      </c>
      <c r="AT180" s="49">
        <f ca="1"/>
        <v>0</v>
      </c>
      <c r="AU180" s="49">
        <f ca="1"/>
        <v>0</v>
      </c>
      <c r="AV180" s="49">
        <f ca="1"/>
        <v>0</v>
      </c>
      <c r="AW180" s="49">
        <f ca="1"/>
        <v>0</v>
      </c>
      <c r="AX180" s="49">
        <f ca="1"/>
        <v>0</v>
      </c>
      <c r="AY180" s="49">
        <f ca="1"/>
        <v>0</v>
      </c>
      <c r="AZ180" s="49">
        <f ca="1"/>
        <v>0</v>
      </c>
      <c r="BA180" s="49">
        <f ca="1"/>
        <v>0</v>
      </c>
      <c r="BB180" s="49">
        <f ca="1"/>
        <v>0</v>
      </c>
      <c r="BC180" s="49">
        <f ca="1"/>
        <v>0</v>
      </c>
      <c r="BD180" s="49">
        <f ca="1"/>
        <v>0</v>
      </c>
      <c r="BE180" s="49">
        <f ca="1"/>
        <v>0</v>
      </c>
      <c r="BF180" s="49">
        <f ca="1"/>
        <v>0</v>
      </c>
      <c r="BG180" s="49">
        <f ca="1"/>
        <v>0</v>
      </c>
      <c r="BH180" s="49">
        <f ca="1"/>
        <v>0</v>
      </c>
      <c r="BI180" s="49">
        <f ca="1"/>
        <v>0</v>
      </c>
      <c r="BJ180" s="49">
        <f ca="1"/>
        <v>0</v>
      </c>
      <c r="BK180" s="49">
        <f ca="1"/>
        <v>0</v>
      </c>
      <c r="BL180" s="49">
        <f ca="1"/>
        <v>0</v>
      </c>
      <c r="BM180" s="49">
        <f ca="1"/>
        <v>0</v>
      </c>
      <c r="BN180" s="49">
        <f ca="1"/>
        <v>0</v>
      </c>
      <c r="BO180" s="49">
        <f ca="1"/>
        <v>0</v>
      </c>
      <c r="BP180" s="49">
        <f ca="1"/>
        <v>0</v>
      </c>
      <c r="BQ180" s="49">
        <f ca="1"/>
        <v>0</v>
      </c>
      <c r="BR180" s="49">
        <f ca="1"/>
        <v>0</v>
      </c>
      <c r="BS180" s="49">
        <f ca="1"/>
        <v>0</v>
      </c>
    </row>
    <row r="181" spans="3:71" outlineLevel="1" x14ac:dyDescent="0.2">
      <c r="J181" s="26"/>
      <c r="L181" s="55"/>
      <c r="M181" s="55"/>
      <c r="N181" s="55"/>
      <c r="O181" s="55"/>
      <c r="P181" s="55"/>
      <c r="Q181" s="55"/>
      <c r="R181" s="55"/>
      <c r="S181" s="55"/>
      <c r="T181" s="55"/>
      <c r="U181" s="55"/>
      <c r="V181" s="55"/>
      <c r="W181" s="55"/>
      <c r="X181" s="55"/>
      <c r="Y181" s="55"/>
      <c r="Z181" s="55"/>
      <c r="AA181" s="55"/>
      <c r="AB181" s="55"/>
      <c r="AC181" s="55"/>
      <c r="AD181" s="55"/>
      <c r="AE181" s="55"/>
      <c r="AF181" s="55"/>
      <c r="AG181" s="55"/>
      <c r="AH181" s="55"/>
      <c r="AI181" s="55"/>
      <c r="AJ181" s="55"/>
      <c r="AK181" s="55"/>
      <c r="AL181" s="55"/>
      <c r="AM181" s="55"/>
      <c r="AN181" s="55"/>
      <c r="AO181" s="55"/>
      <c r="AP181" s="55"/>
      <c r="AQ181" s="55"/>
      <c r="AR181" s="55"/>
      <c r="AS181" s="55"/>
      <c r="AT181" s="55"/>
      <c r="AU181" s="55"/>
      <c r="AV181" s="55"/>
      <c r="AW181" s="55"/>
      <c r="AX181" s="55"/>
      <c r="AY181" s="55"/>
      <c r="AZ181" s="55"/>
      <c r="BA181" s="55"/>
      <c r="BB181" s="55"/>
      <c r="BC181" s="55"/>
      <c r="BD181" s="55"/>
      <c r="BE181" s="55"/>
      <c r="BF181" s="55"/>
      <c r="BG181" s="55"/>
      <c r="BH181" s="55"/>
      <c r="BI181" s="55"/>
      <c r="BJ181" s="55"/>
      <c r="BK181" s="55"/>
      <c r="BL181" s="55"/>
      <c r="BM181" s="55"/>
      <c r="BN181" s="55"/>
      <c r="BO181" s="55"/>
      <c r="BP181" s="55"/>
      <c r="BQ181" s="55"/>
      <c r="BR181" s="55"/>
      <c r="BS181" s="55"/>
    </row>
    <row r="182" spans="3:71" outlineLevel="1" x14ac:dyDescent="0.2">
      <c r="C182" s="11" t="s">
        <v>69</v>
      </c>
      <c r="J182" s="26"/>
      <c r="L182" s="55"/>
      <c r="M182" s="55"/>
      <c r="N182" s="55"/>
      <c r="O182" s="55"/>
      <c r="P182" s="55"/>
      <c r="Q182" s="55"/>
      <c r="R182" s="55"/>
      <c r="S182" s="55"/>
      <c r="T182" s="55"/>
      <c r="U182" s="55"/>
      <c r="V182" s="55"/>
      <c r="W182" s="55"/>
      <c r="X182" s="55"/>
      <c r="Y182" s="55"/>
      <c r="Z182" s="55"/>
      <c r="AA182" s="55"/>
      <c r="AB182" s="55"/>
      <c r="AC182" s="55"/>
      <c r="AD182" s="55"/>
      <c r="AE182" s="55"/>
      <c r="AF182" s="55"/>
      <c r="AG182" s="55"/>
      <c r="AH182" s="55"/>
      <c r="AI182" s="55"/>
      <c r="AJ182" s="55"/>
      <c r="AK182" s="55"/>
      <c r="AL182" s="55"/>
      <c r="AM182" s="55"/>
      <c r="AN182" s="55"/>
      <c r="AO182" s="55"/>
      <c r="AP182" s="55"/>
      <c r="AQ182" s="55"/>
      <c r="AR182" s="55"/>
      <c r="AS182" s="55"/>
      <c r="AT182" s="55"/>
      <c r="AU182" s="55"/>
      <c r="AV182" s="55"/>
      <c r="AW182" s="55"/>
      <c r="AX182" s="55"/>
      <c r="AY182" s="55"/>
      <c r="AZ182" s="55"/>
      <c r="BA182" s="55"/>
      <c r="BB182" s="55"/>
      <c r="BC182" s="55"/>
      <c r="BD182" s="55"/>
      <c r="BE182" s="55"/>
      <c r="BF182" s="55"/>
      <c r="BG182" s="55"/>
      <c r="BH182" s="55"/>
      <c r="BI182" s="55"/>
      <c r="BJ182" s="55"/>
      <c r="BK182" s="55"/>
      <c r="BL182" s="55"/>
      <c r="BM182" s="55"/>
      <c r="BN182" s="55"/>
      <c r="BO182" s="55"/>
      <c r="BP182" s="55"/>
      <c r="BQ182" s="55"/>
      <c r="BR182" s="55"/>
      <c r="BS182" s="55"/>
    </row>
    <row r="183" spans="3:71" outlineLevel="1" x14ac:dyDescent="0.2">
      <c r="D183" t="s">
        <v>175</v>
      </c>
      <c r="I183" s="30">
        <f ca="1">SUM($L183:$BS183)</f>
        <v>1752.549670857195</v>
      </c>
      <c r="J183" s="26" t="s">
        <v>148</v>
      </c>
      <c r="K183" s="7" t="s">
        <v>177</v>
      </c>
      <c r="L183" s="49" cm="1">
        <f t="array" aca="1" ref="L183:BS183" ca="1">Loango_II!CA_gross_rev_oil_fp*Loango_II!royalty_rate_oil</f>
        <v>112.40062234621782</v>
      </c>
      <c r="M183" s="49">
        <f ca="1"/>
        <v>106.17689630293869</v>
      </c>
      <c r="N183" s="49">
        <f ca="1"/>
        <v>40.059355350162505</v>
      </c>
      <c r="O183" s="49">
        <f ca="1"/>
        <v>37.812423476005229</v>
      </c>
      <c r="P183" s="49">
        <f ca="1"/>
        <v>104.88619430968704</v>
      </c>
      <c r="Q183" s="49">
        <f ca="1"/>
        <v>208.48992995881528</v>
      </c>
      <c r="R183" s="49">
        <f ca="1"/>
        <v>199.00962953237419</v>
      </c>
      <c r="S183" s="49">
        <f ca="1"/>
        <v>115.5265490574</v>
      </c>
      <c r="T183" s="49">
        <f ca="1"/>
        <v>176.2846838844624</v>
      </c>
      <c r="U183" s="49">
        <f ca="1"/>
        <v>175.976204768847</v>
      </c>
      <c r="V183" s="49">
        <f ca="1"/>
        <v>166.93102784372823</v>
      </c>
      <c r="W183" s="49">
        <f ca="1"/>
        <v>158.78461074684157</v>
      </c>
      <c r="X183" s="49">
        <f ca="1"/>
        <v>150.21154327971496</v>
      </c>
      <c r="Y183" s="49">
        <f ca="1"/>
        <v>0</v>
      </c>
      <c r="Z183" s="49">
        <f ca="1"/>
        <v>0</v>
      </c>
      <c r="AA183" s="49">
        <f ca="1"/>
        <v>0</v>
      </c>
      <c r="AB183" s="49">
        <f ca="1"/>
        <v>0</v>
      </c>
      <c r="AC183" s="49">
        <f ca="1"/>
        <v>0</v>
      </c>
      <c r="AD183" s="49">
        <f ca="1"/>
        <v>0</v>
      </c>
      <c r="AE183" s="49">
        <f ca="1"/>
        <v>0</v>
      </c>
      <c r="AF183" s="49">
        <f ca="1"/>
        <v>0</v>
      </c>
      <c r="AG183" s="49">
        <f ca="1"/>
        <v>0</v>
      </c>
      <c r="AH183" s="49">
        <f ca="1"/>
        <v>0</v>
      </c>
      <c r="AI183" s="49">
        <f ca="1"/>
        <v>0</v>
      </c>
      <c r="AJ183" s="49">
        <f ca="1"/>
        <v>0</v>
      </c>
      <c r="AK183" s="49">
        <f ca="1"/>
        <v>0</v>
      </c>
      <c r="AL183" s="49">
        <f ca="1"/>
        <v>0</v>
      </c>
      <c r="AM183" s="49">
        <f ca="1"/>
        <v>0</v>
      </c>
      <c r="AN183" s="49">
        <f ca="1"/>
        <v>0</v>
      </c>
      <c r="AO183" s="49">
        <f ca="1"/>
        <v>0</v>
      </c>
      <c r="AP183" s="49">
        <f ca="1"/>
        <v>0</v>
      </c>
      <c r="AQ183" s="49">
        <f ca="1"/>
        <v>0</v>
      </c>
      <c r="AR183" s="49">
        <f ca="1"/>
        <v>0</v>
      </c>
      <c r="AS183" s="49">
        <f ca="1"/>
        <v>0</v>
      </c>
      <c r="AT183" s="49">
        <f ca="1"/>
        <v>0</v>
      </c>
      <c r="AU183" s="49">
        <f ca="1"/>
        <v>0</v>
      </c>
      <c r="AV183" s="49">
        <f ca="1"/>
        <v>0</v>
      </c>
      <c r="AW183" s="49">
        <f ca="1"/>
        <v>0</v>
      </c>
      <c r="AX183" s="49">
        <f ca="1"/>
        <v>0</v>
      </c>
      <c r="AY183" s="49">
        <f ca="1"/>
        <v>0</v>
      </c>
      <c r="AZ183" s="49">
        <f ca="1"/>
        <v>0</v>
      </c>
      <c r="BA183" s="49">
        <f ca="1"/>
        <v>0</v>
      </c>
      <c r="BB183" s="49">
        <f ca="1"/>
        <v>0</v>
      </c>
      <c r="BC183" s="49">
        <f ca="1"/>
        <v>0</v>
      </c>
      <c r="BD183" s="49">
        <f ca="1"/>
        <v>0</v>
      </c>
      <c r="BE183" s="49">
        <f ca="1"/>
        <v>0</v>
      </c>
      <c r="BF183" s="49">
        <f ca="1"/>
        <v>0</v>
      </c>
      <c r="BG183" s="49">
        <f ca="1"/>
        <v>0</v>
      </c>
      <c r="BH183" s="49">
        <f ca="1"/>
        <v>0</v>
      </c>
      <c r="BI183" s="49">
        <f ca="1"/>
        <v>0</v>
      </c>
      <c r="BJ183" s="49">
        <f ca="1"/>
        <v>0</v>
      </c>
      <c r="BK183" s="49">
        <f ca="1"/>
        <v>0</v>
      </c>
      <c r="BL183" s="49">
        <f ca="1"/>
        <v>0</v>
      </c>
      <c r="BM183" s="49">
        <f ca="1"/>
        <v>0</v>
      </c>
      <c r="BN183" s="49">
        <f ca="1"/>
        <v>0</v>
      </c>
      <c r="BO183" s="49">
        <f ca="1"/>
        <v>0</v>
      </c>
      <c r="BP183" s="49">
        <f ca="1"/>
        <v>0</v>
      </c>
      <c r="BQ183" s="49">
        <f ca="1"/>
        <v>0</v>
      </c>
      <c r="BR183" s="49">
        <f ca="1"/>
        <v>0</v>
      </c>
      <c r="BS183" s="49">
        <f ca="1"/>
        <v>0</v>
      </c>
    </row>
    <row r="184" spans="3:71" outlineLevel="1" x14ac:dyDescent="0.2">
      <c r="D184" t="s">
        <v>176</v>
      </c>
      <c r="I184" s="30">
        <f ca="1">SUM($L184:$BS184)</f>
        <v>0</v>
      </c>
      <c r="J184" s="26" t="s">
        <v>148</v>
      </c>
      <c r="K184" s="7" t="s">
        <v>178</v>
      </c>
      <c r="L184" s="49" cm="1">
        <f t="array" aca="1" ref="L184:BS184" ca="1">Loango_II!CA_gross_rev_gas_fp*Loango_II!royalty_rate_gas</f>
        <v>0</v>
      </c>
      <c r="M184" s="49">
        <f ca="1"/>
        <v>0</v>
      </c>
      <c r="N184" s="49">
        <f ca="1"/>
        <v>0</v>
      </c>
      <c r="O184" s="49">
        <f ca="1"/>
        <v>0</v>
      </c>
      <c r="P184" s="49">
        <f ca="1"/>
        <v>0</v>
      </c>
      <c r="Q184" s="49">
        <f ca="1"/>
        <v>0</v>
      </c>
      <c r="R184" s="49">
        <f ca="1"/>
        <v>0</v>
      </c>
      <c r="S184" s="49">
        <f ca="1"/>
        <v>0</v>
      </c>
      <c r="T184" s="49">
        <f ca="1"/>
        <v>0</v>
      </c>
      <c r="U184" s="49">
        <f ca="1"/>
        <v>0</v>
      </c>
      <c r="V184" s="49">
        <f ca="1"/>
        <v>0</v>
      </c>
      <c r="W184" s="49">
        <f ca="1"/>
        <v>0</v>
      </c>
      <c r="X184" s="49">
        <f ca="1"/>
        <v>0</v>
      </c>
      <c r="Y184" s="49">
        <f ca="1"/>
        <v>0</v>
      </c>
      <c r="Z184" s="49">
        <f ca="1"/>
        <v>0</v>
      </c>
      <c r="AA184" s="49">
        <f ca="1"/>
        <v>0</v>
      </c>
      <c r="AB184" s="49">
        <f ca="1"/>
        <v>0</v>
      </c>
      <c r="AC184" s="49">
        <f ca="1"/>
        <v>0</v>
      </c>
      <c r="AD184" s="49">
        <f ca="1"/>
        <v>0</v>
      </c>
      <c r="AE184" s="49">
        <f ca="1"/>
        <v>0</v>
      </c>
      <c r="AF184" s="49">
        <f ca="1"/>
        <v>0</v>
      </c>
      <c r="AG184" s="49">
        <f ca="1"/>
        <v>0</v>
      </c>
      <c r="AH184" s="49">
        <f ca="1"/>
        <v>0</v>
      </c>
      <c r="AI184" s="49">
        <f ca="1"/>
        <v>0</v>
      </c>
      <c r="AJ184" s="49">
        <f ca="1"/>
        <v>0</v>
      </c>
      <c r="AK184" s="49">
        <f ca="1"/>
        <v>0</v>
      </c>
      <c r="AL184" s="49">
        <f ca="1"/>
        <v>0</v>
      </c>
      <c r="AM184" s="49">
        <f ca="1"/>
        <v>0</v>
      </c>
      <c r="AN184" s="49">
        <f ca="1"/>
        <v>0</v>
      </c>
      <c r="AO184" s="49">
        <f ca="1"/>
        <v>0</v>
      </c>
      <c r="AP184" s="49">
        <f ca="1"/>
        <v>0</v>
      </c>
      <c r="AQ184" s="49">
        <f ca="1"/>
        <v>0</v>
      </c>
      <c r="AR184" s="49">
        <f ca="1"/>
        <v>0</v>
      </c>
      <c r="AS184" s="49">
        <f ca="1"/>
        <v>0</v>
      </c>
      <c r="AT184" s="49">
        <f ca="1"/>
        <v>0</v>
      </c>
      <c r="AU184" s="49">
        <f ca="1"/>
        <v>0</v>
      </c>
      <c r="AV184" s="49">
        <f ca="1"/>
        <v>0</v>
      </c>
      <c r="AW184" s="49">
        <f ca="1"/>
        <v>0</v>
      </c>
      <c r="AX184" s="49">
        <f ca="1"/>
        <v>0</v>
      </c>
      <c r="AY184" s="49">
        <f ca="1"/>
        <v>0</v>
      </c>
      <c r="AZ184" s="49">
        <f ca="1"/>
        <v>0</v>
      </c>
      <c r="BA184" s="49">
        <f ca="1"/>
        <v>0</v>
      </c>
      <c r="BB184" s="49">
        <f ca="1"/>
        <v>0</v>
      </c>
      <c r="BC184" s="49">
        <f ca="1"/>
        <v>0</v>
      </c>
      <c r="BD184" s="49">
        <f ca="1"/>
        <v>0</v>
      </c>
      <c r="BE184" s="49">
        <f ca="1"/>
        <v>0</v>
      </c>
      <c r="BF184" s="49">
        <f ca="1"/>
        <v>0</v>
      </c>
      <c r="BG184" s="49">
        <f ca="1"/>
        <v>0</v>
      </c>
      <c r="BH184" s="49">
        <f ca="1"/>
        <v>0</v>
      </c>
      <c r="BI184" s="49">
        <f ca="1"/>
        <v>0</v>
      </c>
      <c r="BJ184" s="49">
        <f ca="1"/>
        <v>0</v>
      </c>
      <c r="BK184" s="49">
        <f ca="1"/>
        <v>0</v>
      </c>
      <c r="BL184" s="49">
        <f ca="1"/>
        <v>0</v>
      </c>
      <c r="BM184" s="49">
        <f ca="1"/>
        <v>0</v>
      </c>
      <c r="BN184" s="49">
        <f ca="1"/>
        <v>0</v>
      </c>
      <c r="BO184" s="49">
        <f ca="1"/>
        <v>0</v>
      </c>
      <c r="BP184" s="49">
        <f ca="1"/>
        <v>0</v>
      </c>
      <c r="BQ184" s="49">
        <f ca="1"/>
        <v>0</v>
      </c>
      <c r="BR184" s="49">
        <f ca="1"/>
        <v>0</v>
      </c>
      <c r="BS184" s="49">
        <f ca="1"/>
        <v>0</v>
      </c>
    </row>
    <row r="185" spans="3:71" outlineLevel="1" x14ac:dyDescent="0.2">
      <c r="D185" s="11" t="s">
        <v>179</v>
      </c>
      <c r="I185" s="30">
        <f ca="1">SUM($L185:$BS185)</f>
        <v>1752.549670857195</v>
      </c>
      <c r="J185" s="26" t="s">
        <v>148</v>
      </c>
      <c r="K185" s="7" t="s">
        <v>180</v>
      </c>
      <c r="L185" s="49">
        <f ca="1">SUM(L183:L184)</f>
        <v>112.40062234621782</v>
      </c>
      <c r="M185" s="49">
        <f t="shared" ref="M185:BS185" ca="1" si="23">SUM(M183:M184)</f>
        <v>106.17689630293869</v>
      </c>
      <c r="N185" s="49">
        <f t="shared" ca="1" si="23"/>
        <v>40.059355350162505</v>
      </c>
      <c r="O185" s="49">
        <f t="shared" ca="1" si="23"/>
        <v>37.812423476005229</v>
      </c>
      <c r="P185" s="49">
        <f t="shared" ca="1" si="23"/>
        <v>104.88619430968704</v>
      </c>
      <c r="Q185" s="49">
        <f t="shared" ca="1" si="23"/>
        <v>208.48992995881528</v>
      </c>
      <c r="R185" s="49">
        <f t="shared" ca="1" si="23"/>
        <v>199.00962953237419</v>
      </c>
      <c r="S185" s="49">
        <f t="shared" ca="1" si="23"/>
        <v>115.5265490574</v>
      </c>
      <c r="T185" s="49">
        <f t="shared" ca="1" si="23"/>
        <v>176.2846838844624</v>
      </c>
      <c r="U185" s="49">
        <f t="shared" ca="1" si="23"/>
        <v>175.976204768847</v>
      </c>
      <c r="V185" s="49">
        <f t="shared" ca="1" si="23"/>
        <v>166.93102784372823</v>
      </c>
      <c r="W185" s="49">
        <f t="shared" ca="1" si="23"/>
        <v>158.78461074684157</v>
      </c>
      <c r="X185" s="49">
        <f t="shared" ca="1" si="23"/>
        <v>150.21154327971496</v>
      </c>
      <c r="Y185" s="49">
        <f t="shared" ca="1" si="23"/>
        <v>0</v>
      </c>
      <c r="Z185" s="49">
        <f t="shared" ca="1" si="23"/>
        <v>0</v>
      </c>
      <c r="AA185" s="49">
        <f t="shared" ca="1" si="23"/>
        <v>0</v>
      </c>
      <c r="AB185" s="49">
        <f t="shared" ca="1" si="23"/>
        <v>0</v>
      </c>
      <c r="AC185" s="49">
        <f t="shared" ca="1" si="23"/>
        <v>0</v>
      </c>
      <c r="AD185" s="49">
        <f t="shared" ca="1" si="23"/>
        <v>0</v>
      </c>
      <c r="AE185" s="49">
        <f t="shared" ca="1" si="23"/>
        <v>0</v>
      </c>
      <c r="AF185" s="49">
        <f t="shared" ca="1" si="23"/>
        <v>0</v>
      </c>
      <c r="AG185" s="49">
        <f t="shared" ca="1" si="23"/>
        <v>0</v>
      </c>
      <c r="AH185" s="49">
        <f t="shared" ca="1" si="23"/>
        <v>0</v>
      </c>
      <c r="AI185" s="49">
        <f t="shared" ca="1" si="23"/>
        <v>0</v>
      </c>
      <c r="AJ185" s="49">
        <f t="shared" ca="1" si="23"/>
        <v>0</v>
      </c>
      <c r="AK185" s="49">
        <f t="shared" ca="1" si="23"/>
        <v>0</v>
      </c>
      <c r="AL185" s="49">
        <f t="shared" ca="1" si="23"/>
        <v>0</v>
      </c>
      <c r="AM185" s="49">
        <f t="shared" ca="1" si="23"/>
        <v>0</v>
      </c>
      <c r="AN185" s="49">
        <f t="shared" ca="1" si="23"/>
        <v>0</v>
      </c>
      <c r="AO185" s="49">
        <f t="shared" ca="1" si="23"/>
        <v>0</v>
      </c>
      <c r="AP185" s="49">
        <f t="shared" ca="1" si="23"/>
        <v>0</v>
      </c>
      <c r="AQ185" s="49">
        <f t="shared" ca="1" si="23"/>
        <v>0</v>
      </c>
      <c r="AR185" s="49">
        <f t="shared" ca="1" si="23"/>
        <v>0</v>
      </c>
      <c r="AS185" s="49">
        <f t="shared" ca="1" si="23"/>
        <v>0</v>
      </c>
      <c r="AT185" s="49">
        <f t="shared" ca="1" si="23"/>
        <v>0</v>
      </c>
      <c r="AU185" s="49">
        <f t="shared" ca="1" si="23"/>
        <v>0</v>
      </c>
      <c r="AV185" s="49">
        <f t="shared" ca="1" si="23"/>
        <v>0</v>
      </c>
      <c r="AW185" s="49">
        <f t="shared" ca="1" si="23"/>
        <v>0</v>
      </c>
      <c r="AX185" s="49">
        <f t="shared" ca="1" si="23"/>
        <v>0</v>
      </c>
      <c r="AY185" s="49">
        <f t="shared" ca="1" si="23"/>
        <v>0</v>
      </c>
      <c r="AZ185" s="49">
        <f t="shared" ca="1" si="23"/>
        <v>0</v>
      </c>
      <c r="BA185" s="49">
        <f t="shared" ca="1" si="23"/>
        <v>0</v>
      </c>
      <c r="BB185" s="49">
        <f t="shared" ca="1" si="23"/>
        <v>0</v>
      </c>
      <c r="BC185" s="49">
        <f t="shared" ca="1" si="23"/>
        <v>0</v>
      </c>
      <c r="BD185" s="49">
        <f t="shared" ca="1" si="23"/>
        <v>0</v>
      </c>
      <c r="BE185" s="49">
        <f t="shared" ca="1" si="23"/>
        <v>0</v>
      </c>
      <c r="BF185" s="49">
        <f t="shared" ca="1" si="23"/>
        <v>0</v>
      </c>
      <c r="BG185" s="49">
        <f t="shared" ca="1" si="23"/>
        <v>0</v>
      </c>
      <c r="BH185" s="49">
        <f t="shared" ca="1" si="23"/>
        <v>0</v>
      </c>
      <c r="BI185" s="49">
        <f t="shared" ca="1" si="23"/>
        <v>0</v>
      </c>
      <c r="BJ185" s="49">
        <f t="shared" ca="1" si="23"/>
        <v>0</v>
      </c>
      <c r="BK185" s="49">
        <f t="shared" ca="1" si="23"/>
        <v>0</v>
      </c>
      <c r="BL185" s="49">
        <f t="shared" ca="1" si="23"/>
        <v>0</v>
      </c>
      <c r="BM185" s="49">
        <f t="shared" ca="1" si="23"/>
        <v>0</v>
      </c>
      <c r="BN185" s="49">
        <f t="shared" ca="1" si="23"/>
        <v>0</v>
      </c>
      <c r="BO185" s="49">
        <f t="shared" ca="1" si="23"/>
        <v>0</v>
      </c>
      <c r="BP185" s="49">
        <f t="shared" ca="1" si="23"/>
        <v>0</v>
      </c>
      <c r="BQ185" s="49">
        <f t="shared" ca="1" si="23"/>
        <v>0</v>
      </c>
      <c r="BR185" s="49">
        <f t="shared" ca="1" si="23"/>
        <v>0</v>
      </c>
      <c r="BS185" s="49">
        <f t="shared" ca="1" si="23"/>
        <v>0</v>
      </c>
    </row>
    <row r="186" spans="3:71" outlineLevel="1" x14ac:dyDescent="0.2">
      <c r="J186" s="26"/>
      <c r="L186" s="55"/>
      <c r="M186" s="55"/>
      <c r="N186" s="55"/>
      <c r="O186" s="55"/>
      <c r="P186" s="55"/>
      <c r="Q186" s="55"/>
      <c r="R186" s="55"/>
      <c r="S186" s="55"/>
      <c r="T186" s="55"/>
      <c r="U186" s="55"/>
      <c r="V186" s="55"/>
      <c r="W186" s="55"/>
      <c r="X186" s="55"/>
      <c r="Y186" s="55"/>
      <c r="Z186" s="55"/>
      <c r="AA186" s="55"/>
      <c r="AB186" s="55"/>
      <c r="AC186" s="55"/>
      <c r="AD186" s="55"/>
      <c r="AE186" s="55"/>
      <c r="AF186" s="55"/>
      <c r="AG186" s="55"/>
      <c r="AH186" s="55"/>
      <c r="AI186" s="55"/>
      <c r="AJ186" s="55"/>
      <c r="AK186" s="55"/>
      <c r="AL186" s="55"/>
      <c r="AM186" s="55"/>
      <c r="AN186" s="55"/>
      <c r="AO186" s="55"/>
      <c r="AP186" s="55"/>
      <c r="AQ186" s="55"/>
      <c r="AR186" s="55"/>
      <c r="AS186" s="55"/>
      <c r="AT186" s="55"/>
      <c r="AU186" s="55"/>
      <c r="AV186" s="55"/>
      <c r="AW186" s="55"/>
      <c r="AX186" s="55"/>
      <c r="AY186" s="55"/>
      <c r="AZ186" s="55"/>
      <c r="BA186" s="55"/>
      <c r="BB186" s="55"/>
      <c r="BC186" s="55"/>
      <c r="BD186" s="55"/>
      <c r="BE186" s="55"/>
      <c r="BF186" s="55"/>
      <c r="BG186" s="55"/>
      <c r="BH186" s="55"/>
      <c r="BI186" s="55"/>
      <c r="BJ186" s="55"/>
      <c r="BK186" s="55"/>
      <c r="BL186" s="55"/>
      <c r="BM186" s="55"/>
      <c r="BN186" s="55"/>
      <c r="BO186" s="55"/>
      <c r="BP186" s="55"/>
      <c r="BQ186" s="55"/>
      <c r="BR186" s="55"/>
      <c r="BS186" s="55"/>
    </row>
    <row r="187" spans="3:71" outlineLevel="1" x14ac:dyDescent="0.2">
      <c r="J187" s="26"/>
      <c r="L187" s="55"/>
      <c r="M187" s="55"/>
      <c r="N187" s="55"/>
      <c r="O187" s="55"/>
      <c r="P187" s="55"/>
      <c r="Q187" s="55"/>
      <c r="R187" s="55"/>
      <c r="S187" s="55"/>
      <c r="T187" s="55"/>
      <c r="U187" s="55"/>
      <c r="V187" s="55"/>
      <c r="W187" s="55"/>
      <c r="X187" s="55"/>
      <c r="Y187" s="55"/>
      <c r="Z187" s="55"/>
      <c r="AA187" s="55"/>
      <c r="AB187" s="55"/>
      <c r="AC187" s="55"/>
      <c r="AD187" s="55"/>
      <c r="AE187" s="55"/>
      <c r="AF187" s="55"/>
      <c r="AG187" s="55"/>
      <c r="AH187" s="55"/>
      <c r="AI187" s="55"/>
      <c r="AJ187" s="55"/>
      <c r="AK187" s="55"/>
      <c r="AL187" s="55"/>
      <c r="AM187" s="55"/>
      <c r="AN187" s="55"/>
      <c r="AO187" s="55"/>
      <c r="AP187" s="55"/>
      <c r="AQ187" s="55"/>
      <c r="AR187" s="55"/>
      <c r="AS187" s="55"/>
      <c r="AT187" s="55"/>
      <c r="AU187" s="55"/>
      <c r="AV187" s="55"/>
      <c r="AW187" s="55"/>
      <c r="AX187" s="55"/>
      <c r="AY187" s="55"/>
      <c r="AZ187" s="55"/>
      <c r="BA187" s="55"/>
      <c r="BB187" s="55"/>
      <c r="BC187" s="55"/>
      <c r="BD187" s="55"/>
      <c r="BE187" s="55"/>
      <c r="BF187" s="55"/>
      <c r="BG187" s="55"/>
      <c r="BH187" s="55"/>
      <c r="BI187" s="55"/>
      <c r="BJ187" s="55"/>
      <c r="BK187" s="55"/>
      <c r="BL187" s="55"/>
      <c r="BM187" s="55"/>
      <c r="BN187" s="55"/>
      <c r="BO187" s="55"/>
      <c r="BP187" s="55"/>
      <c r="BQ187" s="55"/>
      <c r="BR187" s="55"/>
      <c r="BS187" s="55"/>
    </row>
    <row r="188" spans="3:71" outlineLevel="1" x14ac:dyDescent="0.2">
      <c r="C188" s="11" t="s">
        <v>74</v>
      </c>
      <c r="J188" s="26"/>
      <c r="L188" s="55"/>
      <c r="M188" s="55"/>
      <c r="N188" s="55"/>
      <c r="O188" s="55"/>
      <c r="P188" s="55"/>
      <c r="Q188" s="55"/>
      <c r="R188" s="55"/>
      <c r="S188" s="55"/>
      <c r="T188" s="55"/>
      <c r="U188" s="55"/>
      <c r="V188" s="55"/>
      <c r="W188" s="55"/>
      <c r="X188" s="55"/>
      <c r="Y188" s="55"/>
      <c r="Z188" s="55"/>
      <c r="AA188" s="55"/>
      <c r="AB188" s="55"/>
      <c r="AC188" s="55"/>
      <c r="AD188" s="55"/>
      <c r="AE188" s="55"/>
      <c r="AF188" s="55"/>
      <c r="AG188" s="55"/>
      <c r="AH188" s="55"/>
      <c r="AI188" s="55"/>
      <c r="AJ188" s="55"/>
      <c r="AK188" s="55"/>
      <c r="AL188" s="55"/>
      <c r="AM188" s="55"/>
      <c r="AN188" s="55"/>
      <c r="AO188" s="55"/>
      <c r="AP188" s="55"/>
      <c r="AQ188" s="55"/>
      <c r="AR188" s="55"/>
      <c r="AS188" s="55"/>
      <c r="AT188" s="55"/>
      <c r="AU188" s="55"/>
      <c r="AV188" s="55"/>
      <c r="AW188" s="55"/>
      <c r="AX188" s="55"/>
      <c r="AY188" s="55"/>
      <c r="AZ188" s="55"/>
      <c r="BA188" s="55"/>
      <c r="BB188" s="55"/>
      <c r="BC188" s="55"/>
      <c r="BD188" s="55"/>
      <c r="BE188" s="55"/>
      <c r="BF188" s="55"/>
      <c r="BG188" s="55"/>
      <c r="BH188" s="55"/>
      <c r="BI188" s="55"/>
      <c r="BJ188" s="55"/>
      <c r="BK188" s="55"/>
      <c r="BL188" s="55"/>
      <c r="BM188" s="55"/>
      <c r="BN188" s="55"/>
      <c r="BO188" s="55"/>
      <c r="BP188" s="55"/>
      <c r="BQ188" s="55"/>
      <c r="BR188" s="55"/>
      <c r="BS188" s="55"/>
    </row>
    <row r="189" spans="3:71" outlineLevel="1" x14ac:dyDescent="0.2">
      <c r="D189" s="11" t="s">
        <v>181</v>
      </c>
      <c r="J189" s="26"/>
      <c r="L189" s="55"/>
      <c r="M189" s="55"/>
      <c r="N189" s="55"/>
      <c r="O189" s="55"/>
      <c r="P189" s="55"/>
      <c r="Q189" s="55"/>
      <c r="R189" s="55"/>
      <c r="S189" s="55"/>
      <c r="T189" s="55"/>
      <c r="U189" s="55"/>
      <c r="V189" s="55"/>
      <c r="W189" s="55"/>
      <c r="X189" s="55"/>
      <c r="Y189" s="55"/>
      <c r="Z189" s="55"/>
      <c r="AA189" s="55"/>
      <c r="AB189" s="55"/>
      <c r="AC189" s="55"/>
      <c r="AD189" s="55"/>
      <c r="AE189" s="55"/>
      <c r="AF189" s="55"/>
      <c r="AG189" s="55"/>
      <c r="AH189" s="55"/>
      <c r="AI189" s="55"/>
      <c r="AJ189" s="55"/>
      <c r="AK189" s="55"/>
      <c r="AL189" s="55"/>
      <c r="AM189" s="55"/>
      <c r="AN189" s="55"/>
      <c r="AO189" s="55"/>
      <c r="AP189" s="55"/>
      <c r="AQ189" s="55"/>
      <c r="AR189" s="55"/>
      <c r="AS189" s="55"/>
      <c r="AT189" s="55"/>
      <c r="AU189" s="55"/>
      <c r="AV189" s="55"/>
      <c r="AW189" s="55"/>
      <c r="AX189" s="55"/>
      <c r="AY189" s="55"/>
      <c r="AZ189" s="55"/>
      <c r="BA189" s="55"/>
      <c r="BB189" s="55"/>
      <c r="BC189" s="55"/>
      <c r="BD189" s="55"/>
      <c r="BE189" s="55"/>
      <c r="BF189" s="55"/>
      <c r="BG189" s="55"/>
      <c r="BH189" s="55"/>
      <c r="BI189" s="55"/>
      <c r="BJ189" s="55"/>
      <c r="BK189" s="55"/>
      <c r="BL189" s="55"/>
      <c r="BM189" s="55"/>
      <c r="BN189" s="55"/>
      <c r="BO189" s="55"/>
      <c r="BP189" s="55"/>
      <c r="BQ189" s="55"/>
      <c r="BR189" s="55"/>
      <c r="BS189" s="55"/>
    </row>
    <row r="190" spans="3:71" outlineLevel="1" x14ac:dyDescent="0.2">
      <c r="D190" s="50" t="s">
        <v>182</v>
      </c>
      <c r="I190" s="30">
        <f ca="1">SUM($L190:$BS190)</f>
        <v>3502.3183539519996</v>
      </c>
      <c r="J190" s="26" t="s">
        <v>148</v>
      </c>
      <c r="K190" s="7" t="s">
        <v>196</v>
      </c>
      <c r="L190" s="49" cm="1">
        <f t="array" aca="1" ref="L190:BS190" ca="1">Loango_II!CA_opex_total_nom</f>
        <v>148.06899999999999</v>
      </c>
      <c r="M190" s="49">
        <f ca="1"/>
        <v>183.88499999999999</v>
      </c>
      <c r="N190" s="49">
        <f ca="1"/>
        <v>135.70400000000001</v>
      </c>
      <c r="O190" s="49">
        <f ca="1"/>
        <v>240.88499999999999</v>
      </c>
      <c r="P190" s="49">
        <f ca="1"/>
        <v>536.79</v>
      </c>
      <c r="Q190" s="49">
        <f ca="1"/>
        <v>243.78</v>
      </c>
      <c r="R190" s="49">
        <f ca="1"/>
        <v>281.8</v>
      </c>
      <c r="S190" s="49">
        <f ca="1"/>
        <v>286.3</v>
      </c>
      <c r="T190" s="49">
        <f ca="1"/>
        <v>283.39999999999998</v>
      </c>
      <c r="U190" s="49">
        <f ca="1"/>
        <v>286.21200000000005</v>
      </c>
      <c r="V190" s="49">
        <f ca="1"/>
        <v>289.02312000000001</v>
      </c>
      <c r="W190" s="49">
        <f ca="1"/>
        <v>291.8322</v>
      </c>
      <c r="X190" s="49">
        <f ca="1"/>
        <v>294.638033952</v>
      </c>
      <c r="Y190" s="49">
        <f ca="1"/>
        <v>0</v>
      </c>
      <c r="Z190" s="49">
        <f ca="1"/>
        <v>0</v>
      </c>
      <c r="AA190" s="49">
        <f ca="1"/>
        <v>0</v>
      </c>
      <c r="AB190" s="49">
        <f ca="1"/>
        <v>0</v>
      </c>
      <c r="AC190" s="49">
        <f ca="1"/>
        <v>0</v>
      </c>
      <c r="AD190" s="49">
        <f ca="1"/>
        <v>0</v>
      </c>
      <c r="AE190" s="49">
        <f ca="1"/>
        <v>0</v>
      </c>
      <c r="AF190" s="49">
        <f ca="1"/>
        <v>0</v>
      </c>
      <c r="AG190" s="49">
        <f ca="1"/>
        <v>0</v>
      </c>
      <c r="AH190" s="49">
        <f ca="1"/>
        <v>0</v>
      </c>
      <c r="AI190" s="49">
        <f ca="1"/>
        <v>0</v>
      </c>
      <c r="AJ190" s="49">
        <f ca="1"/>
        <v>0</v>
      </c>
      <c r="AK190" s="49">
        <f ca="1"/>
        <v>0</v>
      </c>
      <c r="AL190" s="49">
        <f ca="1"/>
        <v>0</v>
      </c>
      <c r="AM190" s="49">
        <f ca="1"/>
        <v>0</v>
      </c>
      <c r="AN190" s="49">
        <f ca="1"/>
        <v>0</v>
      </c>
      <c r="AO190" s="49">
        <f ca="1"/>
        <v>0</v>
      </c>
      <c r="AP190" s="49">
        <f ca="1"/>
        <v>0</v>
      </c>
      <c r="AQ190" s="49">
        <f ca="1"/>
        <v>0</v>
      </c>
      <c r="AR190" s="49">
        <f ca="1"/>
        <v>0</v>
      </c>
      <c r="AS190" s="49">
        <f ca="1"/>
        <v>0</v>
      </c>
      <c r="AT190" s="49">
        <f ca="1"/>
        <v>0</v>
      </c>
      <c r="AU190" s="49">
        <f ca="1"/>
        <v>0</v>
      </c>
      <c r="AV190" s="49">
        <f ca="1"/>
        <v>0</v>
      </c>
      <c r="AW190" s="49">
        <f ca="1"/>
        <v>0</v>
      </c>
      <c r="AX190" s="49">
        <f ca="1"/>
        <v>0</v>
      </c>
      <c r="AY190" s="49">
        <f ca="1"/>
        <v>0</v>
      </c>
      <c r="AZ190" s="49">
        <f ca="1"/>
        <v>0</v>
      </c>
      <c r="BA190" s="49">
        <f ca="1"/>
        <v>0</v>
      </c>
      <c r="BB190" s="49">
        <f ca="1"/>
        <v>0</v>
      </c>
      <c r="BC190" s="49">
        <f ca="1"/>
        <v>0</v>
      </c>
      <c r="BD190" s="49">
        <f ca="1"/>
        <v>0</v>
      </c>
      <c r="BE190" s="49">
        <f ca="1"/>
        <v>0</v>
      </c>
      <c r="BF190" s="49">
        <f ca="1"/>
        <v>0</v>
      </c>
      <c r="BG190" s="49">
        <f ca="1"/>
        <v>0</v>
      </c>
      <c r="BH190" s="49">
        <f ca="1"/>
        <v>0</v>
      </c>
      <c r="BI190" s="49">
        <f ca="1"/>
        <v>0</v>
      </c>
      <c r="BJ190" s="49">
        <f ca="1"/>
        <v>0</v>
      </c>
      <c r="BK190" s="49">
        <f ca="1"/>
        <v>0</v>
      </c>
      <c r="BL190" s="49">
        <f ca="1"/>
        <v>0</v>
      </c>
      <c r="BM190" s="49">
        <f ca="1"/>
        <v>0</v>
      </c>
      <c r="BN190" s="49">
        <f ca="1"/>
        <v>0</v>
      </c>
      <c r="BO190" s="49">
        <f ca="1"/>
        <v>0</v>
      </c>
      <c r="BP190" s="49">
        <f ca="1"/>
        <v>0</v>
      </c>
      <c r="BQ190" s="49">
        <f ca="1"/>
        <v>0</v>
      </c>
      <c r="BR190" s="49">
        <f ca="1"/>
        <v>0</v>
      </c>
      <c r="BS190" s="49">
        <f ca="1"/>
        <v>0</v>
      </c>
    </row>
    <row r="191" spans="3:71" outlineLevel="1" x14ac:dyDescent="0.2">
      <c r="D191" s="50" t="s">
        <v>67</v>
      </c>
      <c r="I191" s="30">
        <f t="shared" ref="I191:I196" ca="1" si="24">SUM($L191:$BS191)</f>
        <v>116.836644723813</v>
      </c>
      <c r="J191" s="26" t="s">
        <v>148</v>
      </c>
      <c r="K191" s="7" t="s">
        <v>197</v>
      </c>
      <c r="L191" s="49" cm="1">
        <f t="array" aca="1" ref="L191:BS191" ca="1">Loango_II!CA_pid_fees</f>
        <v>7.4933748230811874</v>
      </c>
      <c r="M191" s="49">
        <f ca="1"/>
        <v>7.0784597535292457</v>
      </c>
      <c r="N191" s="49">
        <f ca="1"/>
        <v>2.6706236900108338</v>
      </c>
      <c r="O191" s="49">
        <f ca="1"/>
        <v>2.5208282317336823</v>
      </c>
      <c r="P191" s="49">
        <f ca="1"/>
        <v>6.9924129539791364</v>
      </c>
      <c r="Q191" s="49">
        <f ca="1"/>
        <v>13.89932866392102</v>
      </c>
      <c r="R191" s="49">
        <f ca="1"/>
        <v>13.267308635491613</v>
      </c>
      <c r="S191" s="49">
        <f ca="1"/>
        <v>7.7017699371600008</v>
      </c>
      <c r="T191" s="49">
        <f ca="1"/>
        <v>11.75231225896416</v>
      </c>
      <c r="U191" s="49">
        <f ca="1"/>
        <v>11.731746984589799</v>
      </c>
      <c r="V191" s="49">
        <f ca="1"/>
        <v>11.128735189581883</v>
      </c>
      <c r="W191" s="49">
        <f ca="1"/>
        <v>10.585640716456105</v>
      </c>
      <c r="X191" s="49">
        <f ca="1"/>
        <v>10.014102885314331</v>
      </c>
      <c r="Y191" s="49">
        <f ca="1"/>
        <v>0</v>
      </c>
      <c r="Z191" s="49">
        <f ca="1"/>
        <v>0</v>
      </c>
      <c r="AA191" s="49">
        <f ca="1"/>
        <v>0</v>
      </c>
      <c r="AB191" s="49">
        <f ca="1"/>
        <v>0</v>
      </c>
      <c r="AC191" s="49">
        <f ca="1"/>
        <v>0</v>
      </c>
      <c r="AD191" s="49">
        <f ca="1"/>
        <v>0</v>
      </c>
      <c r="AE191" s="49">
        <f ca="1"/>
        <v>0</v>
      </c>
      <c r="AF191" s="49">
        <f ca="1"/>
        <v>0</v>
      </c>
      <c r="AG191" s="49">
        <f ca="1"/>
        <v>0</v>
      </c>
      <c r="AH191" s="49">
        <f ca="1"/>
        <v>0</v>
      </c>
      <c r="AI191" s="49">
        <f ca="1"/>
        <v>0</v>
      </c>
      <c r="AJ191" s="49">
        <f ca="1"/>
        <v>0</v>
      </c>
      <c r="AK191" s="49">
        <f ca="1"/>
        <v>0</v>
      </c>
      <c r="AL191" s="49">
        <f ca="1"/>
        <v>0</v>
      </c>
      <c r="AM191" s="49">
        <f ca="1"/>
        <v>0</v>
      </c>
      <c r="AN191" s="49">
        <f ca="1"/>
        <v>0</v>
      </c>
      <c r="AO191" s="49">
        <f ca="1"/>
        <v>0</v>
      </c>
      <c r="AP191" s="49">
        <f ca="1"/>
        <v>0</v>
      </c>
      <c r="AQ191" s="49">
        <f ca="1"/>
        <v>0</v>
      </c>
      <c r="AR191" s="49">
        <f ca="1"/>
        <v>0</v>
      </c>
      <c r="AS191" s="49">
        <f ca="1"/>
        <v>0</v>
      </c>
      <c r="AT191" s="49">
        <f ca="1"/>
        <v>0</v>
      </c>
      <c r="AU191" s="49">
        <f ca="1"/>
        <v>0</v>
      </c>
      <c r="AV191" s="49">
        <f ca="1"/>
        <v>0</v>
      </c>
      <c r="AW191" s="49">
        <f ca="1"/>
        <v>0</v>
      </c>
      <c r="AX191" s="49">
        <f ca="1"/>
        <v>0</v>
      </c>
      <c r="AY191" s="49">
        <f ca="1"/>
        <v>0</v>
      </c>
      <c r="AZ191" s="49">
        <f ca="1"/>
        <v>0</v>
      </c>
      <c r="BA191" s="49">
        <f ca="1"/>
        <v>0</v>
      </c>
      <c r="BB191" s="49">
        <f ca="1"/>
        <v>0</v>
      </c>
      <c r="BC191" s="49">
        <f ca="1"/>
        <v>0</v>
      </c>
      <c r="BD191" s="49">
        <f ca="1"/>
        <v>0</v>
      </c>
      <c r="BE191" s="49">
        <f ca="1"/>
        <v>0</v>
      </c>
      <c r="BF191" s="49">
        <f ca="1"/>
        <v>0</v>
      </c>
      <c r="BG191" s="49">
        <f ca="1"/>
        <v>0</v>
      </c>
      <c r="BH191" s="49">
        <f ca="1"/>
        <v>0</v>
      </c>
      <c r="BI191" s="49">
        <f ca="1"/>
        <v>0</v>
      </c>
      <c r="BJ191" s="49">
        <f ca="1"/>
        <v>0</v>
      </c>
      <c r="BK191" s="49">
        <f ca="1"/>
        <v>0</v>
      </c>
      <c r="BL191" s="49">
        <f ca="1"/>
        <v>0</v>
      </c>
      <c r="BM191" s="49">
        <f ca="1"/>
        <v>0</v>
      </c>
      <c r="BN191" s="49">
        <f ca="1"/>
        <v>0</v>
      </c>
      <c r="BO191" s="49">
        <f ca="1"/>
        <v>0</v>
      </c>
      <c r="BP191" s="49">
        <f ca="1"/>
        <v>0</v>
      </c>
      <c r="BQ191" s="49">
        <f ca="1"/>
        <v>0</v>
      </c>
      <c r="BR191" s="49">
        <f ca="1"/>
        <v>0</v>
      </c>
      <c r="BS191" s="49">
        <f ca="1"/>
        <v>0</v>
      </c>
    </row>
    <row r="192" spans="3:71" outlineLevel="1" x14ac:dyDescent="0.2">
      <c r="D192" s="50" t="s">
        <v>183</v>
      </c>
      <c r="I192" s="30">
        <f t="shared" ca="1" si="24"/>
        <v>10913.591</v>
      </c>
      <c r="J192" s="26" t="s">
        <v>148</v>
      </c>
      <c r="K192" s="7" t="s">
        <v>198</v>
      </c>
      <c r="L192" s="49" cm="1">
        <f t="array" aca="1" ref="L192:BS192" ca="1">Loango_II!CA_devex_nom</f>
        <v>1286.7819999999999</v>
      </c>
      <c r="M192" s="49">
        <f ca="1"/>
        <v>2118.212</v>
      </c>
      <c r="N192" s="49">
        <f ca="1"/>
        <v>3130.5740000000001</v>
      </c>
      <c r="O192" s="49">
        <f ca="1"/>
        <v>2571.201</v>
      </c>
      <c r="P192" s="49">
        <f ca="1"/>
        <v>1153.232</v>
      </c>
      <c r="Q192" s="49">
        <f ca="1"/>
        <v>653.59</v>
      </c>
      <c r="R192" s="49">
        <f ca="1"/>
        <v>0</v>
      </c>
      <c r="S192" s="49">
        <f ca="1"/>
        <v>0</v>
      </c>
      <c r="T192" s="49">
        <f ca="1"/>
        <v>0</v>
      </c>
      <c r="U192" s="49">
        <f ca="1"/>
        <v>0</v>
      </c>
      <c r="V192" s="49">
        <f ca="1"/>
        <v>0</v>
      </c>
      <c r="W192" s="49">
        <f ca="1"/>
        <v>0</v>
      </c>
      <c r="X192" s="49">
        <f ca="1"/>
        <v>0</v>
      </c>
      <c r="Y192" s="49">
        <f ca="1"/>
        <v>0</v>
      </c>
      <c r="Z192" s="49">
        <f ca="1"/>
        <v>0</v>
      </c>
      <c r="AA192" s="49">
        <f ca="1"/>
        <v>0</v>
      </c>
      <c r="AB192" s="49">
        <f ca="1"/>
        <v>0</v>
      </c>
      <c r="AC192" s="49">
        <f ca="1"/>
        <v>0</v>
      </c>
      <c r="AD192" s="49">
        <f ca="1"/>
        <v>0</v>
      </c>
      <c r="AE192" s="49">
        <f ca="1"/>
        <v>0</v>
      </c>
      <c r="AF192" s="49">
        <f ca="1"/>
        <v>0</v>
      </c>
      <c r="AG192" s="49">
        <f ca="1"/>
        <v>0</v>
      </c>
      <c r="AH192" s="49">
        <f ca="1"/>
        <v>0</v>
      </c>
      <c r="AI192" s="49">
        <f ca="1"/>
        <v>0</v>
      </c>
      <c r="AJ192" s="49">
        <f ca="1"/>
        <v>0</v>
      </c>
      <c r="AK192" s="49">
        <f ca="1"/>
        <v>0</v>
      </c>
      <c r="AL192" s="49">
        <f ca="1"/>
        <v>0</v>
      </c>
      <c r="AM192" s="49">
        <f ca="1"/>
        <v>0</v>
      </c>
      <c r="AN192" s="49">
        <f ca="1"/>
        <v>0</v>
      </c>
      <c r="AO192" s="49">
        <f ca="1"/>
        <v>0</v>
      </c>
      <c r="AP192" s="49">
        <f ca="1"/>
        <v>0</v>
      </c>
      <c r="AQ192" s="49">
        <f ca="1"/>
        <v>0</v>
      </c>
      <c r="AR192" s="49">
        <f ca="1"/>
        <v>0</v>
      </c>
      <c r="AS192" s="49">
        <f ca="1"/>
        <v>0</v>
      </c>
      <c r="AT192" s="49">
        <f ca="1"/>
        <v>0</v>
      </c>
      <c r="AU192" s="49">
        <f ca="1"/>
        <v>0</v>
      </c>
      <c r="AV192" s="49">
        <f ca="1"/>
        <v>0</v>
      </c>
      <c r="AW192" s="49">
        <f ca="1"/>
        <v>0</v>
      </c>
      <c r="AX192" s="49">
        <f ca="1"/>
        <v>0</v>
      </c>
      <c r="AY192" s="49">
        <f ca="1"/>
        <v>0</v>
      </c>
      <c r="AZ192" s="49">
        <f ca="1"/>
        <v>0</v>
      </c>
      <c r="BA192" s="49">
        <f ca="1"/>
        <v>0</v>
      </c>
      <c r="BB192" s="49">
        <f ca="1"/>
        <v>0</v>
      </c>
      <c r="BC192" s="49">
        <f ca="1"/>
        <v>0</v>
      </c>
      <c r="BD192" s="49">
        <f ca="1"/>
        <v>0</v>
      </c>
      <c r="BE192" s="49">
        <f ca="1"/>
        <v>0</v>
      </c>
      <c r="BF192" s="49">
        <f ca="1"/>
        <v>0</v>
      </c>
      <c r="BG192" s="49">
        <f ca="1"/>
        <v>0</v>
      </c>
      <c r="BH192" s="49">
        <f ca="1"/>
        <v>0</v>
      </c>
      <c r="BI192" s="49">
        <f ca="1"/>
        <v>0</v>
      </c>
      <c r="BJ192" s="49">
        <f ca="1"/>
        <v>0</v>
      </c>
      <c r="BK192" s="49">
        <f ca="1"/>
        <v>0</v>
      </c>
      <c r="BL192" s="49">
        <f ca="1"/>
        <v>0</v>
      </c>
      <c r="BM192" s="49">
        <f ca="1"/>
        <v>0</v>
      </c>
      <c r="BN192" s="49">
        <f ca="1"/>
        <v>0</v>
      </c>
      <c r="BO192" s="49">
        <f ca="1"/>
        <v>0</v>
      </c>
      <c r="BP192" s="49">
        <f ca="1"/>
        <v>0</v>
      </c>
      <c r="BQ192" s="49">
        <f ca="1"/>
        <v>0</v>
      </c>
      <c r="BR192" s="49">
        <f ca="1"/>
        <v>0</v>
      </c>
      <c r="BS192" s="49">
        <f ca="1"/>
        <v>0</v>
      </c>
    </row>
    <row r="193" spans="4:71" outlineLevel="1" x14ac:dyDescent="0.2">
      <c r="D193" s="50" t="s">
        <v>184</v>
      </c>
      <c r="I193" s="30">
        <f t="shared" ca="1" si="24"/>
        <v>0</v>
      </c>
      <c r="J193" s="26" t="s">
        <v>148</v>
      </c>
      <c r="K193" s="7" t="s">
        <v>199</v>
      </c>
      <c r="L193" s="49" cm="1">
        <f t="array" aca="1" ref="L193:BS193" ca="1">Loango_II!CA_expex_nom*recov_EandA_toggle</f>
        <v>0</v>
      </c>
      <c r="M193" s="49">
        <f ca="1"/>
        <v>0</v>
      </c>
      <c r="N193" s="49">
        <f ca="1"/>
        <v>0</v>
      </c>
      <c r="O193" s="49">
        <f ca="1"/>
        <v>0</v>
      </c>
      <c r="P193" s="49">
        <f ca="1"/>
        <v>0</v>
      </c>
      <c r="Q193" s="49">
        <f ca="1"/>
        <v>0</v>
      </c>
      <c r="R193" s="49">
        <f ca="1"/>
        <v>0</v>
      </c>
      <c r="S193" s="49">
        <f ca="1"/>
        <v>0</v>
      </c>
      <c r="T193" s="49">
        <f ca="1"/>
        <v>0</v>
      </c>
      <c r="U193" s="49">
        <f ca="1"/>
        <v>0</v>
      </c>
      <c r="V193" s="49">
        <f ca="1"/>
        <v>0</v>
      </c>
      <c r="W193" s="49">
        <f ca="1"/>
        <v>0</v>
      </c>
      <c r="X193" s="49">
        <f ca="1"/>
        <v>0</v>
      </c>
      <c r="Y193" s="49">
        <f ca="1"/>
        <v>0</v>
      </c>
      <c r="Z193" s="49">
        <f ca="1"/>
        <v>0</v>
      </c>
      <c r="AA193" s="49">
        <f ca="1"/>
        <v>0</v>
      </c>
      <c r="AB193" s="49">
        <f ca="1"/>
        <v>0</v>
      </c>
      <c r="AC193" s="49">
        <f ca="1"/>
        <v>0</v>
      </c>
      <c r="AD193" s="49">
        <f ca="1"/>
        <v>0</v>
      </c>
      <c r="AE193" s="49">
        <f ca="1"/>
        <v>0</v>
      </c>
      <c r="AF193" s="49">
        <f ca="1"/>
        <v>0</v>
      </c>
      <c r="AG193" s="49">
        <f ca="1"/>
        <v>0</v>
      </c>
      <c r="AH193" s="49">
        <f ca="1"/>
        <v>0</v>
      </c>
      <c r="AI193" s="49">
        <f ca="1"/>
        <v>0</v>
      </c>
      <c r="AJ193" s="49">
        <f ca="1"/>
        <v>0</v>
      </c>
      <c r="AK193" s="49">
        <f ca="1"/>
        <v>0</v>
      </c>
      <c r="AL193" s="49">
        <f ca="1"/>
        <v>0</v>
      </c>
      <c r="AM193" s="49">
        <f ca="1"/>
        <v>0</v>
      </c>
      <c r="AN193" s="49">
        <f ca="1"/>
        <v>0</v>
      </c>
      <c r="AO193" s="49">
        <f ca="1"/>
        <v>0</v>
      </c>
      <c r="AP193" s="49">
        <f ca="1"/>
        <v>0</v>
      </c>
      <c r="AQ193" s="49">
        <f ca="1"/>
        <v>0</v>
      </c>
      <c r="AR193" s="49">
        <f ca="1"/>
        <v>0</v>
      </c>
      <c r="AS193" s="49">
        <f ca="1"/>
        <v>0</v>
      </c>
      <c r="AT193" s="49">
        <f ca="1"/>
        <v>0</v>
      </c>
      <c r="AU193" s="49">
        <f ca="1"/>
        <v>0</v>
      </c>
      <c r="AV193" s="49">
        <f ca="1"/>
        <v>0</v>
      </c>
      <c r="AW193" s="49">
        <f ca="1"/>
        <v>0</v>
      </c>
      <c r="AX193" s="49">
        <f ca="1"/>
        <v>0</v>
      </c>
      <c r="AY193" s="49">
        <f ca="1"/>
        <v>0</v>
      </c>
      <c r="AZ193" s="49">
        <f ca="1"/>
        <v>0</v>
      </c>
      <c r="BA193" s="49">
        <f ca="1"/>
        <v>0</v>
      </c>
      <c r="BB193" s="49">
        <f ca="1"/>
        <v>0</v>
      </c>
      <c r="BC193" s="49">
        <f ca="1"/>
        <v>0</v>
      </c>
      <c r="BD193" s="49">
        <f ca="1"/>
        <v>0</v>
      </c>
      <c r="BE193" s="49">
        <f ca="1"/>
        <v>0</v>
      </c>
      <c r="BF193" s="49">
        <f ca="1"/>
        <v>0</v>
      </c>
      <c r="BG193" s="49">
        <f ca="1"/>
        <v>0</v>
      </c>
      <c r="BH193" s="49">
        <f ca="1"/>
        <v>0</v>
      </c>
      <c r="BI193" s="49">
        <f ca="1"/>
        <v>0</v>
      </c>
      <c r="BJ193" s="49">
        <f ca="1"/>
        <v>0</v>
      </c>
      <c r="BK193" s="49">
        <f ca="1"/>
        <v>0</v>
      </c>
      <c r="BL193" s="49">
        <f ca="1"/>
        <v>0</v>
      </c>
      <c r="BM193" s="49">
        <f ca="1"/>
        <v>0</v>
      </c>
      <c r="BN193" s="49">
        <f ca="1"/>
        <v>0</v>
      </c>
      <c r="BO193" s="49">
        <f ca="1"/>
        <v>0</v>
      </c>
      <c r="BP193" s="49">
        <f ca="1"/>
        <v>0</v>
      </c>
      <c r="BQ193" s="49">
        <f ca="1"/>
        <v>0</v>
      </c>
      <c r="BR193" s="49">
        <f ca="1"/>
        <v>0</v>
      </c>
      <c r="BS193" s="49">
        <f ca="1"/>
        <v>0</v>
      </c>
    </row>
    <row r="194" spans="4:71" outlineLevel="1" x14ac:dyDescent="0.2">
      <c r="D194" s="51" t="s">
        <v>185</v>
      </c>
      <c r="I194" s="30">
        <f t="shared" ca="1" si="24"/>
        <v>14532.745998675813</v>
      </c>
      <c r="J194" s="26" t="s">
        <v>148</v>
      </c>
      <c r="L194" s="49">
        <f ca="1">SUM(L190:L193)</f>
        <v>1442.3443748230811</v>
      </c>
      <c r="M194" s="49">
        <f t="shared" ref="M194:BS194" ca="1" si="25">SUM(M190:M193)</f>
        <v>2309.1754597535291</v>
      </c>
      <c r="N194" s="49">
        <f t="shared" ca="1" si="25"/>
        <v>3268.9486236900111</v>
      </c>
      <c r="O194" s="49">
        <f t="shared" ca="1" si="25"/>
        <v>2814.6068282317337</v>
      </c>
      <c r="P194" s="49">
        <f t="shared" ca="1" si="25"/>
        <v>1697.014412953979</v>
      </c>
      <c r="Q194" s="49">
        <f t="shared" ca="1" si="25"/>
        <v>911.26932866392099</v>
      </c>
      <c r="R194" s="49">
        <f t="shared" ca="1" si="25"/>
        <v>295.0673086354916</v>
      </c>
      <c r="S194" s="49">
        <f t="shared" ca="1" si="25"/>
        <v>294.00176993716002</v>
      </c>
      <c r="T194" s="49">
        <f t="shared" ca="1" si="25"/>
        <v>295.15231225896412</v>
      </c>
      <c r="U194" s="49">
        <f t="shared" ca="1" si="25"/>
        <v>297.94374698458984</v>
      </c>
      <c r="V194" s="49">
        <f t="shared" ca="1" si="25"/>
        <v>300.15185518958191</v>
      </c>
      <c r="W194" s="49">
        <f t="shared" ca="1" si="25"/>
        <v>302.41784071645611</v>
      </c>
      <c r="X194" s="49">
        <f t="shared" ca="1" si="25"/>
        <v>304.65213683731434</v>
      </c>
      <c r="Y194" s="49">
        <f t="shared" ca="1" si="25"/>
        <v>0</v>
      </c>
      <c r="Z194" s="49">
        <f t="shared" ca="1" si="25"/>
        <v>0</v>
      </c>
      <c r="AA194" s="49">
        <f t="shared" ca="1" si="25"/>
        <v>0</v>
      </c>
      <c r="AB194" s="49">
        <f t="shared" ca="1" si="25"/>
        <v>0</v>
      </c>
      <c r="AC194" s="49">
        <f t="shared" ca="1" si="25"/>
        <v>0</v>
      </c>
      <c r="AD194" s="49">
        <f t="shared" ca="1" si="25"/>
        <v>0</v>
      </c>
      <c r="AE194" s="49">
        <f t="shared" ca="1" si="25"/>
        <v>0</v>
      </c>
      <c r="AF194" s="49">
        <f t="shared" ca="1" si="25"/>
        <v>0</v>
      </c>
      <c r="AG194" s="49">
        <f t="shared" ca="1" si="25"/>
        <v>0</v>
      </c>
      <c r="AH194" s="49">
        <f t="shared" ca="1" si="25"/>
        <v>0</v>
      </c>
      <c r="AI194" s="49">
        <f t="shared" ca="1" si="25"/>
        <v>0</v>
      </c>
      <c r="AJ194" s="49">
        <f t="shared" ca="1" si="25"/>
        <v>0</v>
      </c>
      <c r="AK194" s="49">
        <f t="shared" ca="1" si="25"/>
        <v>0</v>
      </c>
      <c r="AL194" s="49">
        <f t="shared" ca="1" si="25"/>
        <v>0</v>
      </c>
      <c r="AM194" s="49">
        <f t="shared" ca="1" si="25"/>
        <v>0</v>
      </c>
      <c r="AN194" s="49">
        <f t="shared" ca="1" si="25"/>
        <v>0</v>
      </c>
      <c r="AO194" s="49">
        <f t="shared" ca="1" si="25"/>
        <v>0</v>
      </c>
      <c r="AP194" s="49">
        <f t="shared" ca="1" si="25"/>
        <v>0</v>
      </c>
      <c r="AQ194" s="49">
        <f t="shared" ca="1" si="25"/>
        <v>0</v>
      </c>
      <c r="AR194" s="49">
        <f t="shared" ca="1" si="25"/>
        <v>0</v>
      </c>
      <c r="AS194" s="49">
        <f t="shared" ca="1" si="25"/>
        <v>0</v>
      </c>
      <c r="AT194" s="49">
        <f t="shared" ca="1" si="25"/>
        <v>0</v>
      </c>
      <c r="AU194" s="49">
        <f t="shared" ca="1" si="25"/>
        <v>0</v>
      </c>
      <c r="AV194" s="49">
        <f t="shared" ca="1" si="25"/>
        <v>0</v>
      </c>
      <c r="AW194" s="49">
        <f t="shared" ca="1" si="25"/>
        <v>0</v>
      </c>
      <c r="AX194" s="49">
        <f t="shared" ca="1" si="25"/>
        <v>0</v>
      </c>
      <c r="AY194" s="49">
        <f t="shared" ca="1" si="25"/>
        <v>0</v>
      </c>
      <c r="AZ194" s="49">
        <f t="shared" ca="1" si="25"/>
        <v>0</v>
      </c>
      <c r="BA194" s="49">
        <f t="shared" ca="1" si="25"/>
        <v>0</v>
      </c>
      <c r="BB194" s="49">
        <f t="shared" ca="1" si="25"/>
        <v>0</v>
      </c>
      <c r="BC194" s="49">
        <f t="shared" ca="1" si="25"/>
        <v>0</v>
      </c>
      <c r="BD194" s="49">
        <f t="shared" ca="1" si="25"/>
        <v>0</v>
      </c>
      <c r="BE194" s="49">
        <f t="shared" ca="1" si="25"/>
        <v>0</v>
      </c>
      <c r="BF194" s="49">
        <f t="shared" ca="1" si="25"/>
        <v>0</v>
      </c>
      <c r="BG194" s="49">
        <f t="shared" ca="1" si="25"/>
        <v>0</v>
      </c>
      <c r="BH194" s="49">
        <f t="shared" ca="1" si="25"/>
        <v>0</v>
      </c>
      <c r="BI194" s="49">
        <f t="shared" ca="1" si="25"/>
        <v>0</v>
      </c>
      <c r="BJ194" s="49">
        <f t="shared" ca="1" si="25"/>
        <v>0</v>
      </c>
      <c r="BK194" s="49">
        <f t="shared" ca="1" si="25"/>
        <v>0</v>
      </c>
      <c r="BL194" s="49">
        <f t="shared" ca="1" si="25"/>
        <v>0</v>
      </c>
      <c r="BM194" s="49">
        <f t="shared" ca="1" si="25"/>
        <v>0</v>
      </c>
      <c r="BN194" s="49">
        <f t="shared" ca="1" si="25"/>
        <v>0</v>
      </c>
      <c r="BO194" s="49">
        <f t="shared" ca="1" si="25"/>
        <v>0</v>
      </c>
      <c r="BP194" s="49">
        <f t="shared" ca="1" si="25"/>
        <v>0</v>
      </c>
      <c r="BQ194" s="49">
        <f t="shared" ca="1" si="25"/>
        <v>0</v>
      </c>
      <c r="BR194" s="49">
        <f t="shared" ca="1" si="25"/>
        <v>0</v>
      </c>
      <c r="BS194" s="49">
        <f t="shared" ca="1" si="25"/>
        <v>0</v>
      </c>
    </row>
    <row r="195" spans="4:71" outlineLevel="1" x14ac:dyDescent="0.2">
      <c r="J195" s="26"/>
      <c r="L195" s="55"/>
      <c r="M195" s="55"/>
      <c r="N195" s="55"/>
      <c r="O195" s="55"/>
      <c r="P195" s="55"/>
      <c r="Q195" s="55"/>
      <c r="R195" s="55"/>
      <c r="S195" s="55"/>
      <c r="T195" s="55"/>
      <c r="U195" s="55"/>
      <c r="V195" s="55"/>
      <c r="W195" s="55"/>
      <c r="X195" s="55"/>
      <c r="Y195" s="55"/>
      <c r="Z195" s="55"/>
      <c r="AA195" s="55"/>
      <c r="AB195" s="55"/>
      <c r="AC195" s="55"/>
      <c r="AD195" s="55"/>
      <c r="AE195" s="55"/>
      <c r="AF195" s="55"/>
      <c r="AG195" s="55"/>
      <c r="AH195" s="55"/>
      <c r="AI195" s="55"/>
      <c r="AJ195" s="55"/>
      <c r="AK195" s="55"/>
      <c r="AL195" s="55"/>
      <c r="AM195" s="55"/>
      <c r="AN195" s="55"/>
      <c r="AO195" s="55"/>
      <c r="AP195" s="55"/>
      <c r="AQ195" s="55"/>
      <c r="AR195" s="55"/>
      <c r="AS195" s="55"/>
      <c r="AT195" s="55"/>
      <c r="AU195" s="55"/>
      <c r="AV195" s="55"/>
      <c r="AW195" s="55"/>
      <c r="AX195" s="55"/>
      <c r="AY195" s="55"/>
      <c r="AZ195" s="55"/>
      <c r="BA195" s="55"/>
      <c r="BB195" s="55"/>
      <c r="BC195" s="55"/>
      <c r="BD195" s="55"/>
      <c r="BE195" s="55"/>
      <c r="BF195" s="55"/>
      <c r="BG195" s="55"/>
      <c r="BH195" s="55"/>
      <c r="BI195" s="55"/>
      <c r="BJ195" s="55"/>
      <c r="BK195" s="55"/>
      <c r="BL195" s="55"/>
      <c r="BM195" s="55"/>
      <c r="BN195" s="55"/>
      <c r="BO195" s="55"/>
      <c r="BP195" s="55"/>
      <c r="BQ195" s="55"/>
      <c r="BR195" s="55"/>
      <c r="BS195" s="55"/>
    </row>
    <row r="196" spans="4:71" outlineLevel="1" x14ac:dyDescent="0.2">
      <c r="D196" s="52" t="s">
        <v>186</v>
      </c>
      <c r="I196" s="30">
        <f t="shared" ca="1" si="24"/>
        <v>2513.993348049411</v>
      </c>
      <c r="J196" s="26" t="s">
        <v>148</v>
      </c>
      <c r="K196" s="7" t="s">
        <v>190</v>
      </c>
      <c r="L196" s="49">
        <f>IF(L4&gt;=YEAR(Loango_II!GCO_date),Loango_II!CA_gross_rev_total_fp*Loango_II!GCO_perc,0)</f>
        <v>0</v>
      </c>
      <c r="M196" s="49">
        <f>IF(M4&gt;=YEAR(Loango_II!GCO_date),Loango_II!CA_gross_rev_total_fp*Loango_II!GCO_perc,0)</f>
        <v>0</v>
      </c>
      <c r="N196" s="49">
        <f>IF(N4&gt;=YEAR(Loango_II!GCO_date),Loango_II!CA_gross_rev_total_fp*Loango_II!GCO_perc,0)</f>
        <v>0</v>
      </c>
      <c r="O196" s="49">
        <f>IF(O4&gt;=YEAR(Loango_II!GCO_date),Loango_II!CA_gross_rev_total_fp*Loango_II!GCO_perc,0)</f>
        <v>0</v>
      </c>
      <c r="P196" s="49">
        <f>IF(P4&gt;=YEAR(Loango_II!GCO_date),Loango_II!CA_gross_rev_total_fp*Loango_II!GCO_perc,0)</f>
        <v>0</v>
      </c>
      <c r="Q196" s="49">
        <f>IF(Q4&gt;=YEAR(Loango_II!GCO_date),Loango_II!CA_gross_rev_total_fp*Loango_II!GCO_perc,0)</f>
        <v>0</v>
      </c>
      <c r="R196" s="49">
        <f ca="1">IF(R4&gt;=YEAR(Loango_II!GCO_date),Loango_II!CA_gross_rev_total_fp*Loango_II!GCO_perc,0)</f>
        <v>437.82118497122326</v>
      </c>
      <c r="S196" s="49">
        <f ca="1">IF(S4&gt;=YEAR(Loango_II!GCO_date),Loango_II!CA_gross_rev_total_fp*Loango_II!GCO_perc,0)</f>
        <v>254.15840792628003</v>
      </c>
      <c r="T196" s="49">
        <f ca="1">IF(T4&gt;=YEAR(Loango_II!GCO_date),Loango_II!CA_gross_rev_total_fp*Loango_II!GCO_perc,0)</f>
        <v>387.82630454581727</v>
      </c>
      <c r="U196" s="49">
        <f ca="1">IF(U4&gt;=YEAR(Loango_II!GCO_date),Loango_II!CA_gross_rev_total_fp*Loango_II!GCO_perc,0)</f>
        <v>387.14765049146342</v>
      </c>
      <c r="V196" s="49">
        <f ca="1">IF(V4&gt;=YEAR(Loango_II!GCO_date),Loango_II!CA_gross_rev_total_fp*Loango_II!GCO_perc,0)</f>
        <v>367.24826125620211</v>
      </c>
      <c r="W196" s="49">
        <f ca="1">IF(W4&gt;=YEAR(Loango_II!GCO_date),Loango_II!CA_gross_rev_total_fp*Loango_II!GCO_perc,0)</f>
        <v>349.32614364305147</v>
      </c>
      <c r="X196" s="49">
        <f ca="1">IF(X4&gt;=YEAR(Loango_II!GCO_date),Loango_II!CA_gross_rev_total_fp*Loango_II!GCO_perc,0)</f>
        <v>330.46539521537295</v>
      </c>
      <c r="Y196" s="49">
        <f ca="1">IF(Y4&gt;=YEAR(Loango_II!GCO_date),Loango_II!CA_gross_rev_total_fp*Loango_II!GCO_perc,0)</f>
        <v>0</v>
      </c>
      <c r="Z196" s="49">
        <f ca="1">IF(Z4&gt;=YEAR(Loango_II!GCO_date),Loango_II!CA_gross_rev_total_fp*Loango_II!GCO_perc,0)</f>
        <v>0</v>
      </c>
      <c r="AA196" s="49">
        <f ca="1">IF(AA4&gt;=YEAR(Loango_II!GCO_date),Loango_II!CA_gross_rev_total_fp*Loango_II!GCO_perc,0)</f>
        <v>0</v>
      </c>
      <c r="AB196" s="49">
        <f ca="1">IF(AB4&gt;=YEAR(Loango_II!GCO_date),Loango_II!CA_gross_rev_total_fp*Loango_II!GCO_perc,0)</f>
        <v>0</v>
      </c>
      <c r="AC196" s="49">
        <f ca="1">IF(AC4&gt;=YEAR(Loango_II!GCO_date),Loango_II!CA_gross_rev_total_fp*Loango_II!GCO_perc,0)</f>
        <v>0</v>
      </c>
      <c r="AD196" s="49">
        <f ca="1">IF(AD4&gt;=YEAR(Loango_II!GCO_date),Loango_II!CA_gross_rev_total_fp*Loango_II!GCO_perc,0)</f>
        <v>0</v>
      </c>
      <c r="AE196" s="49">
        <f ca="1">IF(AE4&gt;=YEAR(Loango_II!GCO_date),Loango_II!CA_gross_rev_total_fp*Loango_II!GCO_perc,0)</f>
        <v>0</v>
      </c>
      <c r="AF196" s="49">
        <f ca="1">IF(AF4&gt;=YEAR(Loango_II!GCO_date),Loango_II!CA_gross_rev_total_fp*Loango_II!GCO_perc,0)</f>
        <v>0</v>
      </c>
      <c r="AG196" s="49">
        <f ca="1">IF(AG4&gt;=YEAR(Loango_II!GCO_date),Loango_II!CA_gross_rev_total_fp*Loango_II!GCO_perc,0)</f>
        <v>0</v>
      </c>
      <c r="AH196" s="49">
        <f ca="1">IF(AH4&gt;=YEAR(Loango_II!GCO_date),Loango_II!CA_gross_rev_total_fp*Loango_II!GCO_perc,0)</f>
        <v>0</v>
      </c>
      <c r="AI196" s="49">
        <f ca="1">IF(AI4&gt;=YEAR(Loango_II!GCO_date),Loango_II!CA_gross_rev_total_fp*Loango_II!GCO_perc,0)</f>
        <v>0</v>
      </c>
      <c r="AJ196" s="49">
        <f ca="1">IF(AJ4&gt;=YEAR(Loango_II!GCO_date),Loango_II!CA_gross_rev_total_fp*Loango_II!GCO_perc,0)</f>
        <v>0</v>
      </c>
      <c r="AK196" s="49">
        <f ca="1">IF(AK4&gt;=YEAR(Loango_II!GCO_date),Loango_II!CA_gross_rev_total_fp*Loango_II!GCO_perc,0)</f>
        <v>0</v>
      </c>
      <c r="AL196" s="49">
        <f ca="1">IF(AL4&gt;=YEAR(Loango_II!GCO_date),Loango_II!CA_gross_rev_total_fp*Loango_II!GCO_perc,0)</f>
        <v>0</v>
      </c>
      <c r="AM196" s="49">
        <f ca="1">IF(AM4&gt;=YEAR(Loango_II!GCO_date),Loango_II!CA_gross_rev_total_fp*Loango_II!GCO_perc,0)</f>
        <v>0</v>
      </c>
      <c r="AN196" s="49">
        <f ca="1">IF(AN4&gt;=YEAR(Loango_II!GCO_date),Loango_II!CA_gross_rev_total_fp*Loango_II!GCO_perc,0)</f>
        <v>0</v>
      </c>
      <c r="AO196" s="49">
        <f ca="1">IF(AO4&gt;=YEAR(Loango_II!GCO_date),Loango_II!CA_gross_rev_total_fp*Loango_II!GCO_perc,0)</f>
        <v>0</v>
      </c>
      <c r="AP196" s="49">
        <f ca="1">IF(AP4&gt;=YEAR(Loango_II!GCO_date),Loango_II!CA_gross_rev_total_fp*Loango_II!GCO_perc,0)</f>
        <v>0</v>
      </c>
      <c r="AQ196" s="49">
        <f ca="1">IF(AQ4&gt;=YEAR(Loango_II!GCO_date),Loango_II!CA_gross_rev_total_fp*Loango_II!GCO_perc,0)</f>
        <v>0</v>
      </c>
      <c r="AR196" s="49">
        <f ca="1">IF(AR4&gt;=YEAR(Loango_II!GCO_date),Loango_II!CA_gross_rev_total_fp*Loango_II!GCO_perc,0)</f>
        <v>0</v>
      </c>
      <c r="AS196" s="49">
        <f ca="1">IF(AS4&gt;=YEAR(Loango_II!GCO_date),Loango_II!CA_gross_rev_total_fp*Loango_II!GCO_perc,0)</f>
        <v>0</v>
      </c>
      <c r="AT196" s="49">
        <f ca="1">IF(AT4&gt;=YEAR(Loango_II!GCO_date),Loango_II!CA_gross_rev_total_fp*Loango_II!GCO_perc,0)</f>
        <v>0</v>
      </c>
      <c r="AU196" s="49">
        <f ca="1">IF(AU4&gt;=YEAR(Loango_II!GCO_date),Loango_II!CA_gross_rev_total_fp*Loango_II!GCO_perc,0)</f>
        <v>0</v>
      </c>
      <c r="AV196" s="49">
        <f ca="1">IF(AV4&gt;=YEAR(Loango_II!GCO_date),Loango_II!CA_gross_rev_total_fp*Loango_II!GCO_perc,0)</f>
        <v>0</v>
      </c>
      <c r="AW196" s="49">
        <f ca="1">IF(AW4&gt;=YEAR(Loango_II!GCO_date),Loango_II!CA_gross_rev_total_fp*Loango_II!GCO_perc,0)</f>
        <v>0</v>
      </c>
      <c r="AX196" s="49">
        <f ca="1">IF(AX4&gt;=YEAR(Loango_II!GCO_date),Loango_II!CA_gross_rev_total_fp*Loango_II!GCO_perc,0)</f>
        <v>0</v>
      </c>
      <c r="AY196" s="49">
        <f ca="1">IF(AY4&gt;=YEAR(Loango_II!GCO_date),Loango_II!CA_gross_rev_total_fp*Loango_II!GCO_perc,0)</f>
        <v>0</v>
      </c>
      <c r="AZ196" s="49">
        <f ca="1">IF(AZ4&gt;=YEAR(Loango_II!GCO_date),Loango_II!CA_gross_rev_total_fp*Loango_II!GCO_perc,0)</f>
        <v>0</v>
      </c>
      <c r="BA196" s="49">
        <f ca="1">IF(BA4&gt;=YEAR(Loango_II!GCO_date),Loango_II!CA_gross_rev_total_fp*Loango_II!GCO_perc,0)</f>
        <v>0</v>
      </c>
      <c r="BB196" s="49">
        <f ca="1">IF(BB4&gt;=YEAR(Loango_II!GCO_date),Loango_II!CA_gross_rev_total_fp*Loango_II!GCO_perc,0)</f>
        <v>0</v>
      </c>
      <c r="BC196" s="49">
        <f ca="1">IF(BC4&gt;=YEAR(Loango_II!GCO_date),Loango_II!CA_gross_rev_total_fp*Loango_II!GCO_perc,0)</f>
        <v>0</v>
      </c>
      <c r="BD196" s="49">
        <f ca="1">IF(BD4&gt;=YEAR(Loango_II!GCO_date),Loango_II!CA_gross_rev_total_fp*Loango_II!GCO_perc,0)</f>
        <v>0</v>
      </c>
      <c r="BE196" s="49">
        <f ca="1">IF(BE4&gt;=YEAR(Loango_II!GCO_date),Loango_II!CA_gross_rev_total_fp*Loango_II!GCO_perc,0)</f>
        <v>0</v>
      </c>
      <c r="BF196" s="49">
        <f ca="1">IF(BF4&gt;=YEAR(Loango_II!GCO_date),Loango_II!CA_gross_rev_total_fp*Loango_II!GCO_perc,0)</f>
        <v>0</v>
      </c>
      <c r="BG196" s="49">
        <f ca="1">IF(BG4&gt;=YEAR(Loango_II!GCO_date),Loango_II!CA_gross_rev_total_fp*Loango_II!GCO_perc,0)</f>
        <v>0</v>
      </c>
      <c r="BH196" s="49">
        <f ca="1">IF(BH4&gt;=YEAR(Loango_II!GCO_date),Loango_II!CA_gross_rev_total_fp*Loango_II!GCO_perc,0)</f>
        <v>0</v>
      </c>
      <c r="BI196" s="49">
        <f ca="1">IF(BI4&gt;=YEAR(Loango_II!GCO_date),Loango_II!CA_gross_rev_total_fp*Loango_II!GCO_perc,0)</f>
        <v>0</v>
      </c>
      <c r="BJ196" s="49">
        <f ca="1">IF(BJ4&gt;=YEAR(Loango_II!GCO_date),Loango_II!CA_gross_rev_total_fp*Loango_II!GCO_perc,0)</f>
        <v>0</v>
      </c>
      <c r="BK196" s="49">
        <f ca="1">IF(BK4&gt;=YEAR(Loango_II!GCO_date),Loango_II!CA_gross_rev_total_fp*Loango_II!GCO_perc,0)</f>
        <v>0</v>
      </c>
      <c r="BL196" s="49">
        <f ca="1">IF(BL4&gt;=YEAR(Loango_II!GCO_date),Loango_II!CA_gross_rev_total_fp*Loango_II!GCO_perc,0)</f>
        <v>0</v>
      </c>
      <c r="BM196" s="49">
        <f ca="1">IF(BM4&gt;=YEAR(Loango_II!GCO_date),Loango_II!CA_gross_rev_total_fp*Loango_II!GCO_perc,0)</f>
        <v>0</v>
      </c>
      <c r="BN196" s="49">
        <f ca="1">IF(BN4&gt;=YEAR(Loango_II!GCO_date),Loango_II!CA_gross_rev_total_fp*Loango_II!GCO_perc,0)</f>
        <v>0</v>
      </c>
      <c r="BO196" s="49">
        <f ca="1">IF(BO4&gt;=YEAR(Loango_II!GCO_date),Loango_II!CA_gross_rev_total_fp*Loango_II!GCO_perc,0)</f>
        <v>0</v>
      </c>
      <c r="BP196" s="49">
        <f ca="1">IF(BP4&gt;=YEAR(Loango_II!GCO_date),Loango_II!CA_gross_rev_total_fp*Loango_II!GCO_perc,0)</f>
        <v>0</v>
      </c>
      <c r="BQ196" s="49">
        <f ca="1">IF(BQ4&gt;=YEAR(Loango_II!GCO_date),Loango_II!CA_gross_rev_total_fp*Loango_II!GCO_perc,0)</f>
        <v>0</v>
      </c>
      <c r="BR196" s="49">
        <f ca="1">IF(BR4&gt;=YEAR(Loango_II!GCO_date),Loango_II!CA_gross_rev_total_fp*Loango_II!GCO_perc,0)</f>
        <v>0</v>
      </c>
      <c r="BS196" s="49">
        <f ca="1">IF(BS4&gt;=YEAR(Loango_II!GCO_date),Loango_II!CA_gross_rev_total_fp*Loango_II!GCO_perc,0)</f>
        <v>0</v>
      </c>
    </row>
    <row r="197" spans="4:71" outlineLevel="1" x14ac:dyDescent="0.2">
      <c r="J197" s="26"/>
      <c r="L197" s="55"/>
      <c r="M197" s="55"/>
      <c r="N197" s="55"/>
      <c r="O197" s="55"/>
      <c r="P197" s="55"/>
      <c r="Q197" s="55"/>
      <c r="R197" s="55"/>
      <c r="S197" s="55"/>
      <c r="T197" s="55"/>
      <c r="U197" s="55"/>
      <c r="V197" s="55"/>
      <c r="W197" s="55"/>
      <c r="X197" s="55"/>
      <c r="Y197" s="55"/>
      <c r="Z197" s="55"/>
      <c r="AA197" s="55"/>
      <c r="AB197" s="55"/>
      <c r="AC197" s="55"/>
      <c r="AD197" s="55"/>
      <c r="AE197" s="55"/>
      <c r="AF197" s="55"/>
      <c r="AG197" s="55"/>
      <c r="AH197" s="55"/>
      <c r="AI197" s="55"/>
      <c r="AJ197" s="55"/>
      <c r="AK197" s="55"/>
      <c r="AL197" s="55"/>
      <c r="AM197" s="55"/>
      <c r="AN197" s="55"/>
      <c r="AO197" s="55"/>
      <c r="AP197" s="55"/>
      <c r="AQ197" s="55"/>
      <c r="AR197" s="55"/>
      <c r="AS197" s="55"/>
      <c r="AT197" s="55"/>
      <c r="AU197" s="55"/>
      <c r="AV197" s="55"/>
      <c r="AW197" s="55"/>
      <c r="AX197" s="55"/>
      <c r="AY197" s="55"/>
      <c r="AZ197" s="55"/>
      <c r="BA197" s="55"/>
      <c r="BB197" s="55"/>
      <c r="BC197" s="55"/>
      <c r="BD197" s="55"/>
      <c r="BE197" s="55"/>
      <c r="BF197" s="55"/>
      <c r="BG197" s="55"/>
      <c r="BH197" s="55"/>
      <c r="BI197" s="55"/>
      <c r="BJ197" s="55"/>
      <c r="BK197" s="55"/>
      <c r="BL197" s="55"/>
      <c r="BM197" s="55"/>
      <c r="BN197" s="55"/>
      <c r="BO197" s="55"/>
      <c r="BP197" s="55"/>
      <c r="BQ197" s="55"/>
      <c r="BR197" s="55"/>
      <c r="BS197" s="55"/>
    </row>
    <row r="198" spans="4:71" outlineLevel="1" x14ac:dyDescent="0.2">
      <c r="D198" s="35" t="s">
        <v>187</v>
      </c>
      <c r="J198" s="26" t="s">
        <v>90</v>
      </c>
      <c r="L198" s="49" cm="1">
        <f t="array" ref="L198">IFERROR(INDEX(Loango_II!FA_coststop_perc,MATCH(L$4,YEAR(Loango_II!FA_CR_date),1)),0)</f>
        <v>0.6</v>
      </c>
      <c r="M198" s="49" cm="1">
        <f t="array" ref="M198">IFERROR(INDEX(Loango_II!FA_coststop_perc,MATCH(M$4,YEAR(Loango_II!FA_CR_date),1)),0)</f>
        <v>0.6</v>
      </c>
      <c r="N198" s="49" cm="1">
        <f t="array" ref="N198">IFERROR(INDEX(Loango_II!FA_coststop_perc,MATCH(N$4,YEAR(Loango_II!FA_CR_date),1)),0)</f>
        <v>0.6</v>
      </c>
      <c r="O198" s="49" cm="1">
        <f t="array" ref="O198">IFERROR(INDEX(Loango_II!FA_coststop_perc,MATCH(O$4,YEAR(Loango_II!FA_CR_date),1)),0)</f>
        <v>0.6</v>
      </c>
      <c r="P198" s="49" cm="1">
        <f t="array" ref="P198">IFERROR(INDEX(Loango_II!FA_coststop_perc,MATCH(P$4,YEAR(Loango_II!FA_CR_date),1)),0)</f>
        <v>0.6</v>
      </c>
      <c r="Q198" s="49" cm="1">
        <f t="array" ref="Q198">IFERROR(INDEX(Loango_II!FA_coststop_perc,MATCH(Q$4,YEAR(Loango_II!FA_CR_date),1)),0)</f>
        <v>0.6</v>
      </c>
      <c r="R198" s="49" cm="1">
        <f t="array" ref="R198">IFERROR(INDEX(Loango_II!FA_coststop_perc,MATCH(R$4,YEAR(Loango_II!FA_CR_date),1)),0)</f>
        <v>0.5</v>
      </c>
      <c r="S198" s="49" cm="1">
        <f t="array" ref="S198">IFERROR(INDEX(Loango_II!FA_coststop_perc,MATCH(S$4,YEAR(Loango_II!FA_CR_date),1)),0)</f>
        <v>0.5</v>
      </c>
      <c r="T198" s="49" cm="1">
        <f t="array" ref="T198">IFERROR(INDEX(Loango_II!FA_coststop_perc,MATCH(T$4,YEAR(Loango_II!FA_CR_date),1)),0)</f>
        <v>0.5</v>
      </c>
      <c r="U198" s="49" cm="1">
        <f t="array" ref="U198">IFERROR(INDEX(Loango_II!FA_coststop_perc,MATCH(U$4,YEAR(Loango_II!FA_CR_date),1)),0)</f>
        <v>0.5</v>
      </c>
      <c r="V198" s="49" cm="1">
        <f t="array" ref="V198">IFERROR(INDEX(Loango_II!FA_coststop_perc,MATCH(V$4,YEAR(Loango_II!FA_CR_date),1)),0)</f>
        <v>0.5</v>
      </c>
      <c r="W198" s="49" cm="1">
        <f t="array" ref="W198">IFERROR(INDEX(Loango_II!FA_coststop_perc,MATCH(W$4,YEAR(Loango_II!FA_CR_date),1)),0)</f>
        <v>0.5</v>
      </c>
      <c r="X198" s="49" cm="1">
        <f t="array" ref="X198">IFERROR(INDEX(Loango_II!FA_coststop_perc,MATCH(X$4,YEAR(Loango_II!FA_CR_date),1)),0)</f>
        <v>0.5</v>
      </c>
      <c r="Y198" s="49" cm="1">
        <f t="array" ref="Y198">IFERROR(INDEX(Loango_II!FA_coststop_perc,MATCH(Y$4,YEAR(Loango_II!FA_CR_date),1)),0)</f>
        <v>0.5</v>
      </c>
      <c r="Z198" s="49" cm="1">
        <f t="array" ref="Z198">IFERROR(INDEX(Loango_II!FA_coststop_perc,MATCH(Z$4,YEAR(Loango_II!FA_CR_date),1)),0)</f>
        <v>0.5</v>
      </c>
      <c r="AA198" s="49" cm="1">
        <f t="array" ref="AA198">IFERROR(INDEX(Loango_II!FA_coststop_perc,MATCH(AA$4,YEAR(Loango_II!FA_CR_date),1)),0)</f>
        <v>0.5</v>
      </c>
      <c r="AB198" s="49" cm="1">
        <f t="array" ref="AB198">IFERROR(INDEX(Loango_II!FA_coststop_perc,MATCH(AB$4,YEAR(Loango_II!FA_CR_date),1)),0)</f>
        <v>0.5</v>
      </c>
      <c r="AC198" s="49" cm="1">
        <f t="array" ref="AC198">IFERROR(INDEX(Loango_II!FA_coststop_perc,MATCH(AC$4,YEAR(Loango_II!FA_CR_date),1)),0)</f>
        <v>0.5</v>
      </c>
      <c r="AD198" s="49" cm="1">
        <f t="array" ref="AD198">IFERROR(INDEX(Loango_II!FA_coststop_perc,MATCH(AD$4,YEAR(Loango_II!FA_CR_date),1)),0)</f>
        <v>0.5</v>
      </c>
      <c r="AE198" s="49" cm="1">
        <f t="array" ref="AE198">IFERROR(INDEX(Loango_II!FA_coststop_perc,MATCH(AE$4,YEAR(Loango_II!FA_CR_date),1)),0)</f>
        <v>0.5</v>
      </c>
      <c r="AF198" s="49" cm="1">
        <f t="array" ref="AF198">IFERROR(INDEX(Loango_II!FA_coststop_perc,MATCH(AF$4,YEAR(Loango_II!FA_CR_date),1)),0)</f>
        <v>0.5</v>
      </c>
      <c r="AG198" s="49" cm="1">
        <f t="array" ref="AG198">IFERROR(INDEX(Loango_II!FA_coststop_perc,MATCH(AG$4,YEAR(Loango_II!FA_CR_date),1)),0)</f>
        <v>0.5</v>
      </c>
      <c r="AH198" s="49" cm="1">
        <f t="array" ref="AH198">IFERROR(INDEX(Loango_II!FA_coststop_perc,MATCH(AH$4,YEAR(Loango_II!FA_CR_date),1)),0)</f>
        <v>0.5</v>
      </c>
      <c r="AI198" s="49" cm="1">
        <f t="array" ref="AI198">IFERROR(INDEX(Loango_II!FA_coststop_perc,MATCH(AI$4,YEAR(Loango_II!FA_CR_date),1)),0)</f>
        <v>0.5</v>
      </c>
      <c r="AJ198" s="49" cm="1">
        <f t="array" ref="AJ198">IFERROR(INDEX(Loango_II!FA_coststop_perc,MATCH(AJ$4,YEAR(Loango_II!FA_CR_date),1)),0)</f>
        <v>0.5</v>
      </c>
      <c r="AK198" s="49" cm="1">
        <f t="array" ref="AK198">IFERROR(INDEX(Loango_II!FA_coststop_perc,MATCH(AK$4,YEAR(Loango_II!FA_CR_date),1)),0)</f>
        <v>0.5</v>
      </c>
      <c r="AL198" s="49" cm="1">
        <f t="array" ref="AL198">IFERROR(INDEX(Loango_II!FA_coststop_perc,MATCH(AL$4,YEAR(Loango_II!FA_CR_date),1)),0)</f>
        <v>0.5</v>
      </c>
      <c r="AM198" s="49" cm="1">
        <f t="array" ref="AM198">IFERROR(INDEX(Loango_II!FA_coststop_perc,MATCH(AM$4,YEAR(Loango_II!FA_CR_date),1)),0)</f>
        <v>0.5</v>
      </c>
      <c r="AN198" s="49" cm="1">
        <f t="array" ref="AN198">IFERROR(INDEX(Loango_II!FA_coststop_perc,MATCH(AN$4,YEAR(Loango_II!FA_CR_date),1)),0)</f>
        <v>0.5</v>
      </c>
      <c r="AO198" s="49" cm="1">
        <f t="array" ref="AO198">IFERROR(INDEX(Loango_II!FA_coststop_perc,MATCH(AO$4,YEAR(Loango_II!FA_CR_date),1)),0)</f>
        <v>0.5</v>
      </c>
      <c r="AP198" s="49" cm="1">
        <f t="array" ref="AP198">IFERROR(INDEX(Loango_II!FA_coststop_perc,MATCH(AP$4,YEAR(Loango_II!FA_CR_date),1)),0)</f>
        <v>0.5</v>
      </c>
      <c r="AQ198" s="49" cm="1">
        <f t="array" ref="AQ198">IFERROR(INDEX(Loango_II!FA_coststop_perc,MATCH(AQ$4,YEAR(Loango_II!FA_CR_date),1)),0)</f>
        <v>0.5</v>
      </c>
      <c r="AR198" s="49" cm="1">
        <f t="array" ref="AR198">IFERROR(INDEX(Loango_II!FA_coststop_perc,MATCH(AR$4,YEAR(Loango_II!FA_CR_date),1)),0)</f>
        <v>0.5</v>
      </c>
      <c r="AS198" s="49" cm="1">
        <f t="array" ref="AS198">IFERROR(INDEX(Loango_II!FA_coststop_perc,MATCH(AS$4,YEAR(Loango_II!FA_CR_date),1)),0)</f>
        <v>0.5</v>
      </c>
      <c r="AT198" s="49" cm="1">
        <f t="array" ref="AT198">IFERROR(INDEX(Loango_II!FA_coststop_perc,MATCH(AT$4,YEAR(Loango_II!FA_CR_date),1)),0)</f>
        <v>0.5</v>
      </c>
      <c r="AU198" s="49" cm="1">
        <f t="array" ref="AU198">IFERROR(INDEX(Loango_II!FA_coststop_perc,MATCH(AU$4,YEAR(Loango_II!FA_CR_date),1)),0)</f>
        <v>0.5</v>
      </c>
      <c r="AV198" s="49" cm="1">
        <f t="array" ref="AV198">IFERROR(INDEX(Loango_II!FA_coststop_perc,MATCH(AV$4,YEAR(Loango_II!FA_CR_date),1)),0)</f>
        <v>0.5</v>
      </c>
      <c r="AW198" s="49" cm="1">
        <f t="array" ref="AW198">IFERROR(INDEX(Loango_II!FA_coststop_perc,MATCH(AW$4,YEAR(Loango_II!FA_CR_date),1)),0)</f>
        <v>0.5</v>
      </c>
      <c r="AX198" s="49" cm="1">
        <f t="array" ref="AX198">IFERROR(INDEX(Loango_II!FA_coststop_perc,MATCH(AX$4,YEAR(Loango_II!FA_CR_date),1)),0)</f>
        <v>0.5</v>
      </c>
      <c r="AY198" s="49" cm="1">
        <f t="array" ref="AY198">IFERROR(INDEX(Loango_II!FA_coststop_perc,MATCH(AY$4,YEAR(Loango_II!FA_CR_date),1)),0)</f>
        <v>0.5</v>
      </c>
      <c r="AZ198" s="49" cm="1">
        <f t="array" ref="AZ198">IFERROR(INDEX(Loango_II!FA_coststop_perc,MATCH(AZ$4,YEAR(Loango_II!FA_CR_date),1)),0)</f>
        <v>0.5</v>
      </c>
      <c r="BA198" s="49" cm="1">
        <f t="array" ref="BA198">IFERROR(INDEX(Loango_II!FA_coststop_perc,MATCH(BA$4,YEAR(Loango_II!FA_CR_date),1)),0)</f>
        <v>0.5</v>
      </c>
      <c r="BB198" s="49" cm="1">
        <f t="array" ref="BB198">IFERROR(INDEX(Loango_II!FA_coststop_perc,MATCH(BB$4,YEAR(Loango_II!FA_CR_date),1)),0)</f>
        <v>0.5</v>
      </c>
      <c r="BC198" s="49" cm="1">
        <f t="array" ref="BC198">IFERROR(INDEX(Loango_II!FA_coststop_perc,MATCH(BC$4,YEAR(Loango_II!FA_CR_date),1)),0)</f>
        <v>0.5</v>
      </c>
      <c r="BD198" s="49" cm="1">
        <f t="array" ref="BD198">IFERROR(INDEX(Loango_II!FA_coststop_perc,MATCH(BD$4,YEAR(Loango_II!FA_CR_date),1)),0)</f>
        <v>0.5</v>
      </c>
      <c r="BE198" s="49" cm="1">
        <f t="array" ref="BE198">IFERROR(INDEX(Loango_II!FA_coststop_perc,MATCH(BE$4,YEAR(Loango_II!FA_CR_date),1)),0)</f>
        <v>0.5</v>
      </c>
      <c r="BF198" s="49" cm="1">
        <f t="array" ref="BF198">IFERROR(INDEX(Loango_II!FA_coststop_perc,MATCH(BF$4,YEAR(Loango_II!FA_CR_date),1)),0)</f>
        <v>0.5</v>
      </c>
      <c r="BG198" s="49" cm="1">
        <f t="array" ref="BG198">IFERROR(INDEX(Loango_II!FA_coststop_perc,MATCH(BG$4,YEAR(Loango_II!FA_CR_date),1)),0)</f>
        <v>0.5</v>
      </c>
      <c r="BH198" s="49" cm="1">
        <f t="array" ref="BH198">IFERROR(INDEX(Loango_II!FA_coststop_perc,MATCH(BH$4,YEAR(Loango_II!FA_CR_date),1)),0)</f>
        <v>0.5</v>
      </c>
      <c r="BI198" s="49" cm="1">
        <f t="array" ref="BI198">IFERROR(INDEX(Loango_II!FA_coststop_perc,MATCH(BI$4,YEAR(Loango_II!FA_CR_date),1)),0)</f>
        <v>0.5</v>
      </c>
      <c r="BJ198" s="49" cm="1">
        <f t="array" ref="BJ198">IFERROR(INDEX(Loango_II!FA_coststop_perc,MATCH(BJ$4,YEAR(Loango_II!FA_CR_date),1)),0)</f>
        <v>0.5</v>
      </c>
      <c r="BK198" s="49" cm="1">
        <f t="array" ref="BK198">IFERROR(INDEX(Loango_II!FA_coststop_perc,MATCH(BK$4,YEAR(Loango_II!FA_CR_date),1)),0)</f>
        <v>0.5</v>
      </c>
      <c r="BL198" s="49" cm="1">
        <f t="array" ref="BL198">IFERROR(INDEX(Loango_II!FA_coststop_perc,MATCH(BL$4,YEAR(Loango_II!FA_CR_date),1)),0)</f>
        <v>0.5</v>
      </c>
      <c r="BM198" s="49" cm="1">
        <f t="array" ref="BM198">IFERROR(INDEX(Loango_II!FA_coststop_perc,MATCH(BM$4,YEAR(Loango_II!FA_CR_date),1)),0)</f>
        <v>0.5</v>
      </c>
      <c r="BN198" s="49" cm="1">
        <f t="array" ref="BN198">IFERROR(INDEX(Loango_II!FA_coststop_perc,MATCH(BN$4,YEAR(Loango_II!FA_CR_date),1)),0)</f>
        <v>0.5</v>
      </c>
      <c r="BO198" s="49" cm="1">
        <f t="array" ref="BO198">IFERROR(INDEX(Loango_II!FA_coststop_perc,MATCH(BO$4,YEAR(Loango_II!FA_CR_date),1)),0)</f>
        <v>0.5</v>
      </c>
      <c r="BP198" s="49" cm="1">
        <f t="array" ref="BP198">IFERROR(INDEX(Loango_II!FA_coststop_perc,MATCH(BP$4,YEAR(Loango_II!FA_CR_date),1)),0)</f>
        <v>0.5</v>
      </c>
      <c r="BQ198" s="49" cm="1">
        <f t="array" ref="BQ198">IFERROR(INDEX(Loango_II!FA_coststop_perc,MATCH(BQ$4,YEAR(Loango_II!FA_CR_date),1)),0)</f>
        <v>0.5</v>
      </c>
      <c r="BR198" s="49" cm="1">
        <f t="array" ref="BR198">IFERROR(INDEX(Loango_II!FA_coststop_perc,MATCH(BR$4,YEAR(Loango_II!FA_CR_date),1)),0)</f>
        <v>0.5</v>
      </c>
      <c r="BS198" s="49" cm="1">
        <f t="array" ref="BS198">IFERROR(INDEX(Loango_II!FA_coststop_perc,MATCH(BS$4,YEAR(Loango_II!FA_CR_date),1)),0)</f>
        <v>0.5</v>
      </c>
    </row>
    <row r="199" spans="4:71" outlineLevel="1" x14ac:dyDescent="0.2">
      <c r="J199" s="26"/>
      <c r="L199" s="55"/>
      <c r="M199" s="55"/>
      <c r="N199" s="55"/>
      <c r="O199" s="55"/>
      <c r="P199" s="55"/>
      <c r="Q199" s="55"/>
      <c r="R199" s="55"/>
      <c r="S199" s="55"/>
      <c r="T199" s="55"/>
      <c r="U199" s="55"/>
      <c r="V199" s="55"/>
      <c r="W199" s="55"/>
      <c r="X199" s="55"/>
      <c r="Y199" s="55"/>
      <c r="Z199" s="55"/>
      <c r="AA199" s="55"/>
      <c r="AB199" s="55"/>
      <c r="AC199" s="55"/>
      <c r="AD199" s="55"/>
      <c r="AE199" s="55"/>
      <c r="AF199" s="55"/>
      <c r="AG199" s="55"/>
      <c r="AH199" s="55"/>
      <c r="AI199" s="55"/>
      <c r="AJ199" s="55"/>
      <c r="AK199" s="55"/>
      <c r="AL199" s="55"/>
      <c r="AM199" s="55"/>
      <c r="AN199" s="55"/>
      <c r="AO199" s="55"/>
      <c r="AP199" s="55"/>
      <c r="AQ199" s="55"/>
      <c r="AR199" s="55"/>
      <c r="AS199" s="55"/>
      <c r="AT199" s="55"/>
      <c r="AU199" s="55"/>
      <c r="AV199" s="55"/>
      <c r="AW199" s="55"/>
      <c r="AX199" s="55"/>
      <c r="AY199" s="55"/>
      <c r="AZ199" s="55"/>
      <c r="BA199" s="55"/>
      <c r="BB199" s="55"/>
      <c r="BC199" s="55"/>
      <c r="BD199" s="55"/>
      <c r="BE199" s="55"/>
      <c r="BF199" s="55"/>
      <c r="BG199" s="55"/>
      <c r="BH199" s="55"/>
      <c r="BI199" s="55"/>
      <c r="BJ199" s="55"/>
      <c r="BK199" s="55"/>
      <c r="BL199" s="55"/>
      <c r="BM199" s="55"/>
      <c r="BN199" s="55"/>
      <c r="BO199" s="55"/>
      <c r="BP199" s="55"/>
      <c r="BQ199" s="55"/>
      <c r="BR199" s="55"/>
      <c r="BS199" s="55"/>
    </row>
    <row r="200" spans="4:71" outlineLevel="1" x14ac:dyDescent="0.2">
      <c r="D200" t="s">
        <v>188</v>
      </c>
      <c r="I200" s="30">
        <f t="shared" ref="I200:I202" ca="1" si="26">SUM($L200:$BS200)</f>
        <v>7730.1264236849893</v>
      </c>
      <c r="J200" s="26" t="s">
        <v>148</v>
      </c>
      <c r="L200" s="49">
        <f ca="1">MIN(_xlfn.SINGLE(Loango_II!CA_gross_rev_total_fp),_xlfn.SINGLE(Loango_II!CA_gross_rev_oil_hp))</f>
        <v>638.84591387144997</v>
      </c>
      <c r="M200" s="49">
        <f ca="1">MIN(_xlfn.SINGLE(Loango_II!CA_gross_rev_total_fp),_xlfn.SINGLE(Loango_II!CA_gross_rev_oil_hp))</f>
        <v>662.99897321324988</v>
      </c>
      <c r="N200" s="49">
        <f ca="1">MIN(_xlfn.SINGLE(Loango_II!CA_gross_rev_total_fp),_xlfn.SINGLE(Loango_II!CA_gross_rev_oil_hp))</f>
        <v>267.06236900108337</v>
      </c>
      <c r="O200" s="49">
        <f ca="1">MIN(_xlfn.SINGLE(Loango_II!CA_gross_rev_total_fp),_xlfn.SINGLE(Loango_II!CA_gross_rev_oil_hp))</f>
        <v>252.08282317336821</v>
      </c>
      <c r="P200" s="49">
        <f ca="1">MIN(_xlfn.SINGLE(Loango_II!CA_gross_rev_total_fp),_xlfn.SINGLE(Loango_II!CA_gross_rev_oil_hp))</f>
        <v>699.24129539791363</v>
      </c>
      <c r="Q200" s="49">
        <f ca="1">MIN(_xlfn.SINGLE(Loango_II!CA_gross_rev_total_fp),_xlfn.SINGLE(Loango_II!CA_gross_rev_oil_hp))</f>
        <v>1389.9328663921019</v>
      </c>
      <c r="R200" s="49">
        <f ca="1">MIN(_xlfn.SINGLE(Loango_II!CA_gross_rev_total_fp),_xlfn.SINGLE(Loango_II!CA_gross_rev_oil_hp))</f>
        <v>658.25211822703989</v>
      </c>
      <c r="S200" s="49">
        <f ca="1">MIN(_xlfn.SINGLE(Loango_II!CA_gross_rev_total_fp),_xlfn.SINGLE(Loango_II!CA_gross_rev_oil_hp))</f>
        <v>609.58851840000011</v>
      </c>
      <c r="T200" s="49">
        <f ca="1">MIN(_xlfn.SINGLE(Loango_II!CA_gross_rev_total_fp),_xlfn.SINGLE(Loango_II!CA_gross_rev_oil_hp))</f>
        <v>565.36836768000001</v>
      </c>
      <c r="U200" s="49">
        <f ca="1">MIN(_xlfn.SINGLE(Loango_II!CA_gross_rev_total_fp),_xlfn.SINGLE(Loango_II!CA_gross_rev_oil_hp))</f>
        <v>536.30843358124798</v>
      </c>
      <c r="V200" s="49">
        <f ca="1">MIN(_xlfn.SINGLE(Loango_II!CA_gross_rev_total_fp),_xlfn.SINGLE(Loango_II!CA_gross_rev_oil_hp))</f>
        <v>508.74218009517176</v>
      </c>
      <c r="W200" s="49">
        <f ca="1">MIN(_xlfn.SINGLE(Loango_II!CA_gross_rev_total_fp),_xlfn.SINGLE(Loango_II!CA_gross_rev_oil_hp))</f>
        <v>483.91500418085047</v>
      </c>
      <c r="X200" s="49">
        <f ca="1">MIN(_xlfn.SINGLE(Loango_II!CA_gross_rev_total_fp),_xlfn.SINGLE(Loango_II!CA_gross_rev_oil_hp))</f>
        <v>457.78756047151228</v>
      </c>
      <c r="Y200" s="49">
        <f ca="1">MIN(_xlfn.SINGLE(Loango_II!CA_gross_rev_total_fp),_xlfn.SINGLE(Loango_II!CA_gross_rev_oil_hp))</f>
        <v>0</v>
      </c>
      <c r="Z200" s="49">
        <f ca="1">MIN(_xlfn.SINGLE(Loango_II!CA_gross_rev_total_fp),_xlfn.SINGLE(Loango_II!CA_gross_rev_oil_hp))</f>
        <v>0</v>
      </c>
      <c r="AA200" s="49">
        <f ca="1">MIN(_xlfn.SINGLE(Loango_II!CA_gross_rev_total_fp),_xlfn.SINGLE(Loango_II!CA_gross_rev_oil_hp))</f>
        <v>0</v>
      </c>
      <c r="AB200" s="49">
        <f ca="1">MIN(_xlfn.SINGLE(Loango_II!CA_gross_rev_total_fp),_xlfn.SINGLE(Loango_II!CA_gross_rev_oil_hp))</f>
        <v>0</v>
      </c>
      <c r="AC200" s="49">
        <f ca="1">MIN(_xlfn.SINGLE(Loango_II!CA_gross_rev_total_fp),_xlfn.SINGLE(Loango_II!CA_gross_rev_oil_hp))</f>
        <v>0</v>
      </c>
      <c r="AD200" s="49">
        <f ca="1">MIN(_xlfn.SINGLE(Loango_II!CA_gross_rev_total_fp),_xlfn.SINGLE(Loango_II!CA_gross_rev_oil_hp))</f>
        <v>0</v>
      </c>
      <c r="AE200" s="49">
        <f ca="1">MIN(_xlfn.SINGLE(Loango_II!CA_gross_rev_total_fp),_xlfn.SINGLE(Loango_II!CA_gross_rev_oil_hp))</f>
        <v>0</v>
      </c>
      <c r="AF200" s="49">
        <f ca="1">MIN(_xlfn.SINGLE(Loango_II!CA_gross_rev_total_fp),_xlfn.SINGLE(Loango_II!CA_gross_rev_oil_hp))</f>
        <v>0</v>
      </c>
      <c r="AG200" s="49">
        <f ca="1">MIN(_xlfn.SINGLE(Loango_II!CA_gross_rev_total_fp),_xlfn.SINGLE(Loango_II!CA_gross_rev_oil_hp))</f>
        <v>0</v>
      </c>
      <c r="AH200" s="49">
        <f ca="1">MIN(_xlfn.SINGLE(Loango_II!CA_gross_rev_total_fp),_xlfn.SINGLE(Loango_II!CA_gross_rev_oil_hp))</f>
        <v>0</v>
      </c>
      <c r="AI200" s="49">
        <f ca="1">MIN(_xlfn.SINGLE(Loango_II!CA_gross_rev_total_fp),_xlfn.SINGLE(Loango_II!CA_gross_rev_oil_hp))</f>
        <v>0</v>
      </c>
      <c r="AJ200" s="49">
        <f ca="1">MIN(_xlfn.SINGLE(Loango_II!CA_gross_rev_total_fp),_xlfn.SINGLE(Loango_II!CA_gross_rev_oil_hp))</f>
        <v>0</v>
      </c>
      <c r="AK200" s="49">
        <f ca="1">MIN(_xlfn.SINGLE(Loango_II!CA_gross_rev_total_fp),_xlfn.SINGLE(Loango_II!CA_gross_rev_oil_hp))</f>
        <v>0</v>
      </c>
      <c r="AL200" s="49">
        <f ca="1">MIN(_xlfn.SINGLE(Loango_II!CA_gross_rev_total_fp),_xlfn.SINGLE(Loango_II!CA_gross_rev_oil_hp))</f>
        <v>0</v>
      </c>
      <c r="AM200" s="49">
        <f ca="1">MIN(_xlfn.SINGLE(Loango_II!CA_gross_rev_total_fp),_xlfn.SINGLE(Loango_II!CA_gross_rev_oil_hp))</f>
        <v>0</v>
      </c>
      <c r="AN200" s="49">
        <f ca="1">MIN(_xlfn.SINGLE(Loango_II!CA_gross_rev_total_fp),_xlfn.SINGLE(Loango_II!CA_gross_rev_oil_hp))</f>
        <v>0</v>
      </c>
      <c r="AO200" s="49">
        <f ca="1">MIN(_xlfn.SINGLE(Loango_II!CA_gross_rev_total_fp),_xlfn.SINGLE(Loango_II!CA_gross_rev_oil_hp))</f>
        <v>0</v>
      </c>
      <c r="AP200" s="49">
        <f ca="1">MIN(_xlfn.SINGLE(Loango_II!CA_gross_rev_total_fp),_xlfn.SINGLE(Loango_II!CA_gross_rev_oil_hp))</f>
        <v>0</v>
      </c>
      <c r="AQ200" s="49">
        <f ca="1">MIN(_xlfn.SINGLE(Loango_II!CA_gross_rev_total_fp),_xlfn.SINGLE(Loango_II!CA_gross_rev_oil_hp))</f>
        <v>0</v>
      </c>
      <c r="AR200" s="49">
        <f ca="1">MIN(_xlfn.SINGLE(Loango_II!CA_gross_rev_total_fp),_xlfn.SINGLE(Loango_II!CA_gross_rev_oil_hp))</f>
        <v>0</v>
      </c>
      <c r="AS200" s="49">
        <f ca="1">MIN(_xlfn.SINGLE(Loango_II!CA_gross_rev_total_fp),_xlfn.SINGLE(Loango_II!CA_gross_rev_oil_hp))</f>
        <v>0</v>
      </c>
      <c r="AT200" s="49">
        <f ca="1">MIN(_xlfn.SINGLE(Loango_II!CA_gross_rev_total_fp),_xlfn.SINGLE(Loango_II!CA_gross_rev_oil_hp))</f>
        <v>0</v>
      </c>
      <c r="AU200" s="49">
        <f ca="1">MIN(_xlfn.SINGLE(Loango_II!CA_gross_rev_total_fp),_xlfn.SINGLE(Loango_II!CA_gross_rev_oil_hp))</f>
        <v>0</v>
      </c>
      <c r="AV200" s="49">
        <f ca="1">MIN(_xlfn.SINGLE(Loango_II!CA_gross_rev_total_fp),_xlfn.SINGLE(Loango_II!CA_gross_rev_oil_hp))</f>
        <v>0</v>
      </c>
      <c r="AW200" s="49">
        <f ca="1">MIN(_xlfn.SINGLE(Loango_II!CA_gross_rev_total_fp),_xlfn.SINGLE(Loango_II!CA_gross_rev_oil_hp))</f>
        <v>0</v>
      </c>
      <c r="AX200" s="49">
        <f ca="1">MIN(_xlfn.SINGLE(Loango_II!CA_gross_rev_total_fp),_xlfn.SINGLE(Loango_II!CA_gross_rev_oil_hp))</f>
        <v>0</v>
      </c>
      <c r="AY200" s="49">
        <f ca="1">MIN(_xlfn.SINGLE(Loango_II!CA_gross_rev_total_fp),_xlfn.SINGLE(Loango_II!CA_gross_rev_oil_hp))</f>
        <v>0</v>
      </c>
      <c r="AZ200" s="49">
        <f ca="1">MIN(_xlfn.SINGLE(Loango_II!CA_gross_rev_total_fp),_xlfn.SINGLE(Loango_II!CA_gross_rev_oil_hp))</f>
        <v>0</v>
      </c>
      <c r="BA200" s="49">
        <f ca="1">MIN(_xlfn.SINGLE(Loango_II!CA_gross_rev_total_fp),_xlfn.SINGLE(Loango_II!CA_gross_rev_oil_hp))</f>
        <v>0</v>
      </c>
      <c r="BB200" s="49">
        <f ca="1">MIN(_xlfn.SINGLE(Loango_II!CA_gross_rev_total_fp),_xlfn.SINGLE(Loango_II!CA_gross_rev_oil_hp))</f>
        <v>0</v>
      </c>
      <c r="BC200" s="49">
        <f ca="1">MIN(_xlfn.SINGLE(Loango_II!CA_gross_rev_total_fp),_xlfn.SINGLE(Loango_II!CA_gross_rev_oil_hp))</f>
        <v>0</v>
      </c>
      <c r="BD200" s="49">
        <f ca="1">MIN(_xlfn.SINGLE(Loango_II!CA_gross_rev_total_fp),_xlfn.SINGLE(Loango_II!CA_gross_rev_oil_hp))</f>
        <v>0</v>
      </c>
      <c r="BE200" s="49">
        <f ca="1">MIN(_xlfn.SINGLE(Loango_II!CA_gross_rev_total_fp),_xlfn.SINGLE(Loango_II!CA_gross_rev_oil_hp))</f>
        <v>0</v>
      </c>
      <c r="BF200" s="49">
        <f ca="1">MIN(_xlfn.SINGLE(Loango_II!CA_gross_rev_total_fp),_xlfn.SINGLE(Loango_II!CA_gross_rev_oil_hp))</f>
        <v>0</v>
      </c>
      <c r="BG200" s="49">
        <f ca="1">MIN(_xlfn.SINGLE(Loango_II!CA_gross_rev_total_fp),_xlfn.SINGLE(Loango_II!CA_gross_rev_oil_hp))</f>
        <v>0</v>
      </c>
      <c r="BH200" s="49">
        <f ca="1">MIN(_xlfn.SINGLE(Loango_II!CA_gross_rev_total_fp),_xlfn.SINGLE(Loango_II!CA_gross_rev_oil_hp))</f>
        <v>0</v>
      </c>
      <c r="BI200" s="49">
        <f ca="1">MIN(_xlfn.SINGLE(Loango_II!CA_gross_rev_total_fp),_xlfn.SINGLE(Loango_II!CA_gross_rev_oil_hp))</f>
        <v>0</v>
      </c>
      <c r="BJ200" s="49">
        <f ca="1">MIN(_xlfn.SINGLE(Loango_II!CA_gross_rev_total_fp),_xlfn.SINGLE(Loango_II!CA_gross_rev_oil_hp))</f>
        <v>0</v>
      </c>
      <c r="BK200" s="49">
        <f ca="1">MIN(_xlfn.SINGLE(Loango_II!CA_gross_rev_total_fp),_xlfn.SINGLE(Loango_II!CA_gross_rev_oil_hp))</f>
        <v>0</v>
      </c>
      <c r="BL200" s="49">
        <f ca="1">MIN(_xlfn.SINGLE(Loango_II!CA_gross_rev_total_fp),_xlfn.SINGLE(Loango_II!CA_gross_rev_oil_hp))</f>
        <v>0</v>
      </c>
      <c r="BM200" s="49">
        <f ca="1">MIN(_xlfn.SINGLE(Loango_II!CA_gross_rev_total_fp),_xlfn.SINGLE(Loango_II!CA_gross_rev_oil_hp))</f>
        <v>0</v>
      </c>
      <c r="BN200" s="49">
        <f ca="1">MIN(_xlfn.SINGLE(Loango_II!CA_gross_rev_total_fp),_xlfn.SINGLE(Loango_II!CA_gross_rev_oil_hp))</f>
        <v>0</v>
      </c>
      <c r="BO200" s="49">
        <f ca="1">MIN(_xlfn.SINGLE(Loango_II!CA_gross_rev_total_fp),_xlfn.SINGLE(Loango_II!CA_gross_rev_oil_hp))</f>
        <v>0</v>
      </c>
      <c r="BP200" s="49">
        <f ca="1">MIN(_xlfn.SINGLE(Loango_II!CA_gross_rev_total_fp),_xlfn.SINGLE(Loango_II!CA_gross_rev_oil_hp))</f>
        <v>0</v>
      </c>
      <c r="BQ200" s="49">
        <f ca="1">MIN(_xlfn.SINGLE(Loango_II!CA_gross_rev_total_fp),_xlfn.SINGLE(Loango_II!CA_gross_rev_oil_hp))</f>
        <v>0</v>
      </c>
      <c r="BR200" s="49">
        <f ca="1">MIN(_xlfn.SINGLE(Loango_II!CA_gross_rev_total_fp),_xlfn.SINGLE(Loango_II!CA_gross_rev_oil_hp))</f>
        <v>0</v>
      </c>
      <c r="BS200" s="49">
        <f ca="1">MIN(_xlfn.SINGLE(Loango_II!CA_gross_rev_total_fp),_xlfn.SINGLE(Loango_II!CA_gross_rev_oil_hp))</f>
        <v>0</v>
      </c>
    </row>
    <row r="201" spans="4:71" outlineLevel="1" x14ac:dyDescent="0.2">
      <c r="J201" s="26"/>
      <c r="L201" s="55"/>
      <c r="M201" s="55"/>
      <c r="N201" s="55"/>
      <c r="O201" s="55"/>
      <c r="P201" s="55"/>
      <c r="Q201" s="55"/>
      <c r="R201" s="55"/>
      <c r="S201" s="55"/>
      <c r="T201" s="55"/>
      <c r="U201" s="55"/>
      <c r="V201" s="55"/>
      <c r="W201" s="55"/>
      <c r="X201" s="55"/>
      <c r="Y201" s="55"/>
      <c r="Z201" s="55"/>
      <c r="AA201" s="55"/>
      <c r="AB201" s="55"/>
      <c r="AC201" s="55"/>
      <c r="AD201" s="55"/>
      <c r="AE201" s="55"/>
      <c r="AF201" s="55"/>
      <c r="AG201" s="55"/>
      <c r="AH201" s="55"/>
      <c r="AI201" s="55"/>
      <c r="AJ201" s="55"/>
      <c r="AK201" s="55"/>
      <c r="AL201" s="55"/>
      <c r="AM201" s="55"/>
      <c r="AN201" s="55"/>
      <c r="AO201" s="55"/>
      <c r="AP201" s="55"/>
      <c r="AQ201" s="55"/>
      <c r="AR201" s="55"/>
      <c r="AS201" s="55"/>
      <c r="AT201" s="55"/>
      <c r="AU201" s="55"/>
      <c r="AV201" s="55"/>
      <c r="AW201" s="55"/>
      <c r="AX201" s="55"/>
      <c r="AY201" s="55"/>
      <c r="AZ201" s="55"/>
      <c r="BA201" s="55"/>
      <c r="BB201" s="55"/>
      <c r="BC201" s="55"/>
      <c r="BD201" s="55"/>
      <c r="BE201" s="55"/>
      <c r="BF201" s="55"/>
      <c r="BG201" s="55"/>
      <c r="BH201" s="55"/>
      <c r="BI201" s="55"/>
      <c r="BJ201" s="55"/>
      <c r="BK201" s="55"/>
      <c r="BL201" s="55"/>
      <c r="BM201" s="55"/>
      <c r="BN201" s="55"/>
      <c r="BO201" s="55"/>
      <c r="BP201" s="55"/>
      <c r="BQ201" s="55"/>
      <c r="BR201" s="55"/>
      <c r="BS201" s="55"/>
    </row>
    <row r="202" spans="4:71" outlineLevel="1" x14ac:dyDescent="0.2">
      <c r="D202" s="11" t="s">
        <v>76</v>
      </c>
      <c r="I202" s="30">
        <f t="shared" ca="1" si="26"/>
        <v>4256.0796359474116</v>
      </c>
      <c r="J202" s="26" t="s">
        <v>148</v>
      </c>
      <c r="K202" s="7" t="s">
        <v>189</v>
      </c>
      <c r="L202" s="49">
        <f ca="1">L198*L200</f>
        <v>383.30754832286999</v>
      </c>
      <c r="M202" s="49">
        <f t="shared" ref="M202:BS202" ca="1" si="27">M198*M200</f>
        <v>397.79938392794992</v>
      </c>
      <c r="N202" s="49">
        <f t="shared" ca="1" si="27"/>
        <v>160.23742140065002</v>
      </c>
      <c r="O202" s="49">
        <f t="shared" ca="1" si="27"/>
        <v>151.24969390402092</v>
      </c>
      <c r="P202" s="49">
        <f t="shared" ca="1" si="27"/>
        <v>419.54477723874817</v>
      </c>
      <c r="Q202" s="49">
        <f t="shared" ca="1" si="27"/>
        <v>833.95971983526113</v>
      </c>
      <c r="R202" s="49">
        <f t="shared" ca="1" si="27"/>
        <v>329.12605911351994</v>
      </c>
      <c r="S202" s="49">
        <f t="shared" ca="1" si="27"/>
        <v>304.79425920000006</v>
      </c>
      <c r="T202" s="49">
        <f t="shared" ca="1" si="27"/>
        <v>282.68418384</v>
      </c>
      <c r="U202" s="49">
        <f t="shared" ca="1" si="27"/>
        <v>268.15421679062399</v>
      </c>
      <c r="V202" s="49">
        <f t="shared" ca="1" si="27"/>
        <v>254.37109004758588</v>
      </c>
      <c r="W202" s="49">
        <f t="shared" ca="1" si="27"/>
        <v>241.95750209042524</v>
      </c>
      <c r="X202" s="49">
        <f t="shared" ca="1" si="27"/>
        <v>228.89378023575614</v>
      </c>
      <c r="Y202" s="49">
        <f t="shared" ca="1" si="27"/>
        <v>0</v>
      </c>
      <c r="Z202" s="49">
        <f t="shared" ca="1" si="27"/>
        <v>0</v>
      </c>
      <c r="AA202" s="49">
        <f t="shared" ca="1" si="27"/>
        <v>0</v>
      </c>
      <c r="AB202" s="49">
        <f t="shared" ca="1" si="27"/>
        <v>0</v>
      </c>
      <c r="AC202" s="49">
        <f t="shared" ca="1" si="27"/>
        <v>0</v>
      </c>
      <c r="AD202" s="49">
        <f t="shared" ca="1" si="27"/>
        <v>0</v>
      </c>
      <c r="AE202" s="49">
        <f t="shared" ca="1" si="27"/>
        <v>0</v>
      </c>
      <c r="AF202" s="49">
        <f t="shared" ca="1" si="27"/>
        <v>0</v>
      </c>
      <c r="AG202" s="49">
        <f t="shared" ca="1" si="27"/>
        <v>0</v>
      </c>
      <c r="AH202" s="49">
        <f t="shared" ca="1" si="27"/>
        <v>0</v>
      </c>
      <c r="AI202" s="49">
        <f t="shared" ca="1" si="27"/>
        <v>0</v>
      </c>
      <c r="AJ202" s="49">
        <f t="shared" ca="1" si="27"/>
        <v>0</v>
      </c>
      <c r="AK202" s="49">
        <f t="shared" ca="1" si="27"/>
        <v>0</v>
      </c>
      <c r="AL202" s="49">
        <f t="shared" ca="1" si="27"/>
        <v>0</v>
      </c>
      <c r="AM202" s="49">
        <f t="shared" ca="1" si="27"/>
        <v>0</v>
      </c>
      <c r="AN202" s="49">
        <f t="shared" ca="1" si="27"/>
        <v>0</v>
      </c>
      <c r="AO202" s="49">
        <f t="shared" ca="1" si="27"/>
        <v>0</v>
      </c>
      <c r="AP202" s="49">
        <f t="shared" ca="1" si="27"/>
        <v>0</v>
      </c>
      <c r="AQ202" s="49">
        <f t="shared" ca="1" si="27"/>
        <v>0</v>
      </c>
      <c r="AR202" s="49">
        <f t="shared" ca="1" si="27"/>
        <v>0</v>
      </c>
      <c r="AS202" s="49">
        <f t="shared" ca="1" si="27"/>
        <v>0</v>
      </c>
      <c r="AT202" s="49">
        <f t="shared" ca="1" si="27"/>
        <v>0</v>
      </c>
      <c r="AU202" s="49">
        <f t="shared" ca="1" si="27"/>
        <v>0</v>
      </c>
      <c r="AV202" s="49">
        <f t="shared" ca="1" si="27"/>
        <v>0</v>
      </c>
      <c r="AW202" s="49">
        <f t="shared" ca="1" si="27"/>
        <v>0</v>
      </c>
      <c r="AX202" s="49">
        <f t="shared" ca="1" si="27"/>
        <v>0</v>
      </c>
      <c r="AY202" s="49">
        <f t="shared" ca="1" si="27"/>
        <v>0</v>
      </c>
      <c r="AZ202" s="49">
        <f t="shared" ca="1" si="27"/>
        <v>0</v>
      </c>
      <c r="BA202" s="49">
        <f t="shared" ca="1" si="27"/>
        <v>0</v>
      </c>
      <c r="BB202" s="49">
        <f t="shared" ca="1" si="27"/>
        <v>0</v>
      </c>
      <c r="BC202" s="49">
        <f t="shared" ca="1" si="27"/>
        <v>0</v>
      </c>
      <c r="BD202" s="49">
        <f t="shared" ca="1" si="27"/>
        <v>0</v>
      </c>
      <c r="BE202" s="49">
        <f t="shared" ca="1" si="27"/>
        <v>0</v>
      </c>
      <c r="BF202" s="49">
        <f t="shared" ca="1" si="27"/>
        <v>0</v>
      </c>
      <c r="BG202" s="49">
        <f t="shared" ca="1" si="27"/>
        <v>0</v>
      </c>
      <c r="BH202" s="49">
        <f t="shared" ca="1" si="27"/>
        <v>0</v>
      </c>
      <c r="BI202" s="49">
        <f t="shared" ca="1" si="27"/>
        <v>0</v>
      </c>
      <c r="BJ202" s="49">
        <f t="shared" ca="1" si="27"/>
        <v>0</v>
      </c>
      <c r="BK202" s="49">
        <f t="shared" ca="1" si="27"/>
        <v>0</v>
      </c>
      <c r="BL202" s="49">
        <f t="shared" ca="1" si="27"/>
        <v>0</v>
      </c>
      <c r="BM202" s="49">
        <f t="shared" ca="1" si="27"/>
        <v>0</v>
      </c>
      <c r="BN202" s="49">
        <f t="shared" ca="1" si="27"/>
        <v>0</v>
      </c>
      <c r="BO202" s="49">
        <f t="shared" ca="1" si="27"/>
        <v>0</v>
      </c>
      <c r="BP202" s="49">
        <f t="shared" ca="1" si="27"/>
        <v>0</v>
      </c>
      <c r="BQ202" s="49">
        <f t="shared" ca="1" si="27"/>
        <v>0</v>
      </c>
      <c r="BR202" s="49">
        <f t="shared" ca="1" si="27"/>
        <v>0</v>
      </c>
      <c r="BS202" s="49">
        <f t="shared" ca="1" si="27"/>
        <v>0</v>
      </c>
    </row>
    <row r="203" spans="4:71" outlineLevel="1" x14ac:dyDescent="0.2">
      <c r="J203" s="26"/>
      <c r="L203" s="55"/>
      <c r="M203" s="55"/>
      <c r="N203" s="55"/>
      <c r="O203" s="55"/>
      <c r="P203" s="55"/>
      <c r="Q203" s="55"/>
      <c r="R203" s="55"/>
      <c r="S203" s="55"/>
      <c r="T203" s="55"/>
      <c r="U203" s="55"/>
      <c r="V203" s="55"/>
      <c r="W203" s="55"/>
      <c r="X203" s="55"/>
      <c r="Y203" s="55"/>
      <c r="Z203" s="55"/>
      <c r="AA203" s="55"/>
      <c r="AB203" s="55"/>
      <c r="AC203" s="55"/>
      <c r="AD203" s="55"/>
      <c r="AE203" s="55"/>
      <c r="AF203" s="55"/>
      <c r="AG203" s="55"/>
      <c r="AH203" s="55"/>
      <c r="AI203" s="55"/>
      <c r="AJ203" s="55"/>
      <c r="AK203" s="55"/>
      <c r="AL203" s="55"/>
      <c r="AM203" s="55"/>
      <c r="AN203" s="55"/>
      <c r="AO203" s="55"/>
      <c r="AP203" s="55"/>
      <c r="AQ203" s="55"/>
      <c r="AR203" s="55"/>
      <c r="AS203" s="55"/>
      <c r="AT203" s="55"/>
      <c r="AU203" s="55"/>
      <c r="AV203" s="55"/>
      <c r="AW203" s="55"/>
      <c r="AX203" s="55"/>
      <c r="AY203" s="55"/>
      <c r="AZ203" s="55"/>
      <c r="BA203" s="55"/>
      <c r="BB203" s="55"/>
      <c r="BC203" s="55"/>
      <c r="BD203" s="55"/>
      <c r="BE203" s="55"/>
      <c r="BF203" s="55"/>
      <c r="BG203" s="55"/>
      <c r="BH203" s="55"/>
      <c r="BI203" s="55"/>
      <c r="BJ203" s="55"/>
      <c r="BK203" s="55"/>
      <c r="BL203" s="55"/>
      <c r="BM203" s="55"/>
      <c r="BN203" s="55"/>
      <c r="BO203" s="55"/>
      <c r="BP203" s="55"/>
      <c r="BQ203" s="55"/>
      <c r="BR203" s="55"/>
      <c r="BS203" s="55"/>
    </row>
    <row r="204" spans="4:71" outlineLevel="1" x14ac:dyDescent="0.2">
      <c r="D204" s="11" t="s">
        <v>191</v>
      </c>
      <c r="J204" s="26"/>
      <c r="L204" s="55"/>
      <c r="M204" s="55"/>
      <c r="N204" s="55"/>
      <c r="O204" s="55"/>
      <c r="P204" s="55"/>
      <c r="Q204" s="55"/>
      <c r="R204" s="55"/>
      <c r="S204" s="55"/>
      <c r="T204" s="55"/>
      <c r="U204" s="55"/>
      <c r="V204" s="55"/>
      <c r="W204" s="55"/>
      <c r="X204" s="55"/>
      <c r="Y204" s="55"/>
      <c r="Z204" s="55"/>
      <c r="AA204" s="55"/>
      <c r="AB204" s="55"/>
      <c r="AC204" s="55"/>
      <c r="AD204" s="55"/>
      <c r="AE204" s="55"/>
      <c r="AF204" s="55"/>
      <c r="AG204" s="55"/>
      <c r="AH204" s="55"/>
      <c r="AI204" s="55"/>
      <c r="AJ204" s="55"/>
      <c r="AK204" s="55"/>
      <c r="AL204" s="55"/>
      <c r="AM204" s="55"/>
      <c r="AN204" s="55"/>
      <c r="AO204" s="55"/>
      <c r="AP204" s="55"/>
      <c r="AQ204" s="55"/>
      <c r="AR204" s="55"/>
      <c r="AS204" s="55"/>
      <c r="AT204" s="55"/>
      <c r="AU204" s="55"/>
      <c r="AV204" s="55"/>
      <c r="AW204" s="55"/>
      <c r="AX204" s="55"/>
      <c r="AY204" s="55"/>
      <c r="AZ204" s="55"/>
      <c r="BA204" s="55"/>
      <c r="BB204" s="55"/>
      <c r="BC204" s="55"/>
      <c r="BD204" s="55"/>
      <c r="BE204" s="55"/>
      <c r="BF204" s="55"/>
      <c r="BG204" s="55"/>
      <c r="BH204" s="55"/>
      <c r="BI204" s="55"/>
      <c r="BJ204" s="55"/>
      <c r="BK204" s="55"/>
      <c r="BL204" s="55"/>
      <c r="BM204" s="55"/>
      <c r="BN204" s="55"/>
      <c r="BO204" s="55"/>
      <c r="BP204" s="55"/>
      <c r="BQ204" s="55"/>
      <c r="BR204" s="55"/>
      <c r="BS204" s="55"/>
    </row>
    <row r="205" spans="4:71" outlineLevel="1" x14ac:dyDescent="0.2">
      <c r="D205" s="51" t="s">
        <v>182</v>
      </c>
      <c r="J205" s="26"/>
      <c r="L205" s="55"/>
      <c r="M205" s="55"/>
      <c r="N205" s="55"/>
      <c r="O205" s="55"/>
      <c r="P205" s="55"/>
      <c r="Q205" s="55"/>
      <c r="R205" s="55"/>
      <c r="S205" s="55"/>
      <c r="T205" s="55"/>
      <c r="U205" s="55"/>
      <c r="V205" s="55"/>
      <c r="W205" s="55"/>
      <c r="X205" s="55"/>
      <c r="Y205" s="55"/>
      <c r="Z205" s="55"/>
      <c r="AA205" s="55"/>
      <c r="AB205" s="55"/>
      <c r="AC205" s="55"/>
      <c r="AD205" s="55"/>
      <c r="AE205" s="55"/>
      <c r="AF205" s="55"/>
      <c r="AG205" s="55"/>
      <c r="AH205" s="55"/>
      <c r="AI205" s="55"/>
      <c r="AJ205" s="55"/>
      <c r="AK205" s="55"/>
      <c r="AL205" s="55"/>
      <c r="AM205" s="55"/>
      <c r="AN205" s="55"/>
      <c r="AO205" s="55"/>
      <c r="AP205" s="55"/>
      <c r="AQ205" s="55"/>
      <c r="AR205" s="55"/>
      <c r="AS205" s="55"/>
      <c r="AT205" s="55"/>
      <c r="AU205" s="55"/>
      <c r="AV205" s="55"/>
      <c r="AW205" s="55"/>
      <c r="AX205" s="55"/>
      <c r="AY205" s="55"/>
      <c r="AZ205" s="55"/>
      <c r="BA205" s="55"/>
      <c r="BB205" s="55"/>
      <c r="BC205" s="55"/>
      <c r="BD205" s="55"/>
      <c r="BE205" s="55"/>
      <c r="BF205" s="55"/>
      <c r="BG205" s="55"/>
      <c r="BH205" s="55"/>
      <c r="BI205" s="55"/>
      <c r="BJ205" s="55"/>
      <c r="BK205" s="55"/>
      <c r="BL205" s="55"/>
      <c r="BM205" s="55"/>
      <c r="BN205" s="55"/>
      <c r="BO205" s="55"/>
      <c r="BP205" s="55"/>
      <c r="BQ205" s="55"/>
      <c r="BR205" s="55"/>
      <c r="BS205" s="55"/>
    </row>
    <row r="206" spans="4:71" outlineLevel="1" x14ac:dyDescent="0.2">
      <c r="E206" t="s">
        <v>192</v>
      </c>
      <c r="I206" s="30">
        <f t="shared" ref="I206:I208" ca="1" si="28">SUM($L206:$BS206)</f>
        <v>4910.7277439526297</v>
      </c>
      <c r="J206" s="26" t="s">
        <v>148</v>
      </c>
      <c r="L206" s="49">
        <f ca="1">IF(AND((_xlfn.SINGLE(Loango_II!CA_cost_stop))&lt;K207,_xlfn.SINGLE(Loango_II!CA_gco)&gt;0),_xlfn.SINGLE(Loango_II!CA_gco),_xlfn.SINGLE(Loango_II!CA_cost_stop))</f>
        <v>383.30754832286999</v>
      </c>
      <c r="M206" s="49">
        <f ca="1">IF(AND((_xlfn.SINGLE(Loango_II!CA_cost_stop))&lt;L207,_xlfn.SINGLE(Loango_II!CA_gco)&gt;0),_xlfn.SINGLE(Loango_II!CA_gco),_xlfn.SINGLE(Loango_II!CA_cost_stop))</f>
        <v>397.79938392794992</v>
      </c>
      <c r="N206" s="49">
        <f ca="1">IF(AND((_xlfn.SINGLE(Loango_II!CA_cost_stop))&lt;M207,_xlfn.SINGLE(Loango_II!CA_gco)&gt;0),_xlfn.SINGLE(Loango_II!CA_gco),_xlfn.SINGLE(Loango_II!CA_cost_stop))</f>
        <v>160.23742140065002</v>
      </c>
      <c r="O206" s="49">
        <f ca="1">IF(AND((_xlfn.SINGLE(Loango_II!CA_cost_stop))&lt;N207,_xlfn.SINGLE(Loango_II!CA_gco)&gt;0),_xlfn.SINGLE(Loango_II!CA_gco),_xlfn.SINGLE(Loango_II!CA_cost_stop))</f>
        <v>151.24969390402092</v>
      </c>
      <c r="P206" s="49">
        <f ca="1">IF(AND((_xlfn.SINGLE(Loango_II!CA_cost_stop))&lt;O207,_xlfn.SINGLE(Loango_II!CA_gco)&gt;0),_xlfn.SINGLE(Loango_II!CA_gco),_xlfn.SINGLE(Loango_II!CA_cost_stop))</f>
        <v>419.54477723874817</v>
      </c>
      <c r="Q206" s="49">
        <f ca="1">IF(AND((_xlfn.SINGLE(Loango_II!CA_cost_stop))&lt;P207,_xlfn.SINGLE(Loango_II!CA_gco)&gt;0),_xlfn.SINGLE(Loango_II!CA_gco),_xlfn.SINGLE(Loango_II!CA_cost_stop))</f>
        <v>833.95971983526113</v>
      </c>
      <c r="R206" s="49">
        <f ca="1">IF(AND((_xlfn.SINGLE(Loango_II!CA_cost_stop))&lt;Q207,_xlfn.SINGLE(Loango_II!CA_gco)&gt;0),_xlfn.SINGLE(Loango_II!CA_gco),_xlfn.SINGLE(Loango_II!CA_cost_stop))</f>
        <v>437.82118497122326</v>
      </c>
      <c r="S206" s="49">
        <f ca="1">IF(AND((_xlfn.SINGLE(Loango_II!CA_cost_stop))&lt;R207,_xlfn.SINGLE(Loango_II!CA_gco)&gt;0),_xlfn.SINGLE(Loango_II!CA_gco),_xlfn.SINGLE(Loango_II!CA_cost_stop))</f>
        <v>304.79425920000006</v>
      </c>
      <c r="T206" s="49">
        <f ca="1">IF(AND((_xlfn.SINGLE(Loango_II!CA_cost_stop))&lt;S207,_xlfn.SINGLE(Loango_II!CA_gco)&gt;0),_xlfn.SINGLE(Loango_II!CA_gco),_xlfn.SINGLE(Loango_II!CA_cost_stop))</f>
        <v>387.82630454581727</v>
      </c>
      <c r="U206" s="49">
        <f ca="1">IF(AND((_xlfn.SINGLE(Loango_II!CA_cost_stop))&lt;T207,_xlfn.SINGLE(Loango_II!CA_gco)&gt;0),_xlfn.SINGLE(Loango_II!CA_gco),_xlfn.SINGLE(Loango_II!CA_cost_stop))</f>
        <v>387.14765049146342</v>
      </c>
      <c r="V206" s="49">
        <f ca="1">IF(AND((_xlfn.SINGLE(Loango_II!CA_cost_stop))&lt;U207,_xlfn.SINGLE(Loango_II!CA_gco)&gt;0),_xlfn.SINGLE(Loango_II!CA_gco),_xlfn.SINGLE(Loango_II!CA_cost_stop))</f>
        <v>367.24826125620211</v>
      </c>
      <c r="W206" s="49">
        <f ca="1">IF(AND((_xlfn.SINGLE(Loango_II!CA_cost_stop))&lt;V207,_xlfn.SINGLE(Loango_II!CA_gco)&gt;0),_xlfn.SINGLE(Loango_II!CA_gco),_xlfn.SINGLE(Loango_II!CA_cost_stop))</f>
        <v>349.32614364305147</v>
      </c>
      <c r="X206" s="49">
        <f ca="1">IF(AND((_xlfn.SINGLE(Loango_II!CA_cost_stop))&lt;W207,_xlfn.SINGLE(Loango_II!CA_gco)&gt;0),_xlfn.SINGLE(Loango_II!CA_gco),_xlfn.SINGLE(Loango_II!CA_cost_stop))</f>
        <v>330.46539521537295</v>
      </c>
      <c r="Y206" s="49">
        <f ca="1">IF(AND((_xlfn.SINGLE(Loango_II!CA_cost_stop))&lt;X207,_xlfn.SINGLE(Loango_II!CA_gco)&gt;0),_xlfn.SINGLE(Loango_II!CA_gco),_xlfn.SINGLE(Loango_II!CA_cost_stop))</f>
        <v>0</v>
      </c>
      <c r="Z206" s="49">
        <f ca="1">IF(AND((_xlfn.SINGLE(Loango_II!CA_cost_stop))&lt;Y207,_xlfn.SINGLE(Loango_II!CA_gco)&gt;0),_xlfn.SINGLE(Loango_II!CA_gco),_xlfn.SINGLE(Loango_II!CA_cost_stop))</f>
        <v>0</v>
      </c>
      <c r="AA206" s="49">
        <f ca="1">IF(AND((_xlfn.SINGLE(Loango_II!CA_cost_stop))&lt;Z207,_xlfn.SINGLE(Loango_II!CA_gco)&gt;0),_xlfn.SINGLE(Loango_II!CA_gco),_xlfn.SINGLE(Loango_II!CA_cost_stop))</f>
        <v>0</v>
      </c>
      <c r="AB206" s="49">
        <f ca="1">IF(AND((_xlfn.SINGLE(Loango_II!CA_cost_stop))&lt;AA207,_xlfn.SINGLE(Loango_II!CA_gco)&gt;0),_xlfn.SINGLE(Loango_II!CA_gco),_xlfn.SINGLE(Loango_II!CA_cost_stop))</f>
        <v>0</v>
      </c>
      <c r="AC206" s="49">
        <f ca="1">IF(AND((_xlfn.SINGLE(Loango_II!CA_cost_stop))&lt;AB207,_xlfn.SINGLE(Loango_II!CA_gco)&gt;0),_xlfn.SINGLE(Loango_II!CA_gco),_xlfn.SINGLE(Loango_II!CA_cost_stop))</f>
        <v>0</v>
      </c>
      <c r="AD206" s="49">
        <f ca="1">IF(AND((_xlfn.SINGLE(Loango_II!CA_cost_stop))&lt;AC207,_xlfn.SINGLE(Loango_II!CA_gco)&gt;0),_xlfn.SINGLE(Loango_II!CA_gco),_xlfn.SINGLE(Loango_II!CA_cost_stop))</f>
        <v>0</v>
      </c>
      <c r="AE206" s="49">
        <f ca="1">IF(AND((_xlfn.SINGLE(Loango_II!CA_cost_stop))&lt;AD207,_xlfn.SINGLE(Loango_II!CA_gco)&gt;0),_xlfn.SINGLE(Loango_II!CA_gco),_xlfn.SINGLE(Loango_II!CA_cost_stop))</f>
        <v>0</v>
      </c>
      <c r="AF206" s="49">
        <f ca="1">IF(AND((_xlfn.SINGLE(Loango_II!CA_cost_stop))&lt;AE207,_xlfn.SINGLE(Loango_II!CA_gco)&gt;0),_xlfn.SINGLE(Loango_II!CA_gco),_xlfn.SINGLE(Loango_II!CA_cost_stop))</f>
        <v>0</v>
      </c>
      <c r="AG206" s="49">
        <f ca="1">IF(AND((_xlfn.SINGLE(Loango_II!CA_cost_stop))&lt;AF207,_xlfn.SINGLE(Loango_II!CA_gco)&gt;0),_xlfn.SINGLE(Loango_II!CA_gco),_xlfn.SINGLE(Loango_II!CA_cost_stop))</f>
        <v>0</v>
      </c>
      <c r="AH206" s="49">
        <f ca="1">IF(AND((_xlfn.SINGLE(Loango_II!CA_cost_stop))&lt;AG207,_xlfn.SINGLE(Loango_II!CA_gco)&gt;0),_xlfn.SINGLE(Loango_II!CA_gco),_xlfn.SINGLE(Loango_II!CA_cost_stop))</f>
        <v>0</v>
      </c>
      <c r="AI206" s="49">
        <f ca="1">IF(AND((_xlfn.SINGLE(Loango_II!CA_cost_stop))&lt;AH207,_xlfn.SINGLE(Loango_II!CA_gco)&gt;0),_xlfn.SINGLE(Loango_II!CA_gco),_xlfn.SINGLE(Loango_II!CA_cost_stop))</f>
        <v>0</v>
      </c>
      <c r="AJ206" s="49">
        <f ca="1">IF(AND((_xlfn.SINGLE(Loango_II!CA_cost_stop))&lt;AI207,_xlfn.SINGLE(Loango_II!CA_gco)&gt;0),_xlfn.SINGLE(Loango_II!CA_gco),_xlfn.SINGLE(Loango_II!CA_cost_stop))</f>
        <v>0</v>
      </c>
      <c r="AK206" s="49">
        <f ca="1">IF(AND((_xlfn.SINGLE(Loango_II!CA_cost_stop))&lt;AJ207,_xlfn.SINGLE(Loango_II!CA_gco)&gt;0),_xlfn.SINGLE(Loango_II!CA_gco),_xlfn.SINGLE(Loango_II!CA_cost_stop))</f>
        <v>0</v>
      </c>
      <c r="AL206" s="49">
        <f ca="1">IF(AND((_xlfn.SINGLE(Loango_II!CA_cost_stop))&lt;AK207,_xlfn.SINGLE(Loango_II!CA_gco)&gt;0),_xlfn.SINGLE(Loango_II!CA_gco),_xlfn.SINGLE(Loango_II!CA_cost_stop))</f>
        <v>0</v>
      </c>
      <c r="AM206" s="49">
        <f ca="1">IF(AND((_xlfn.SINGLE(Loango_II!CA_cost_stop))&lt;AL207,_xlfn.SINGLE(Loango_II!CA_gco)&gt;0),_xlfn.SINGLE(Loango_II!CA_gco),_xlfn.SINGLE(Loango_II!CA_cost_stop))</f>
        <v>0</v>
      </c>
      <c r="AN206" s="49">
        <f ca="1">IF(AND((_xlfn.SINGLE(Loango_II!CA_cost_stop))&lt;AM207,_xlfn.SINGLE(Loango_II!CA_gco)&gt;0),_xlfn.SINGLE(Loango_II!CA_gco),_xlfn.SINGLE(Loango_II!CA_cost_stop))</f>
        <v>0</v>
      </c>
      <c r="AO206" s="49">
        <f ca="1">IF(AND((_xlfn.SINGLE(Loango_II!CA_cost_stop))&lt;AN207,_xlfn.SINGLE(Loango_II!CA_gco)&gt;0),_xlfn.SINGLE(Loango_II!CA_gco),_xlfn.SINGLE(Loango_II!CA_cost_stop))</f>
        <v>0</v>
      </c>
      <c r="AP206" s="49">
        <f ca="1">IF(AND((_xlfn.SINGLE(Loango_II!CA_cost_stop))&lt;AO207,_xlfn.SINGLE(Loango_II!CA_gco)&gt;0),_xlfn.SINGLE(Loango_II!CA_gco),_xlfn.SINGLE(Loango_II!CA_cost_stop))</f>
        <v>0</v>
      </c>
      <c r="AQ206" s="49">
        <f ca="1">IF(AND((_xlfn.SINGLE(Loango_II!CA_cost_stop))&lt;AP207,_xlfn.SINGLE(Loango_II!CA_gco)&gt;0),_xlfn.SINGLE(Loango_II!CA_gco),_xlfn.SINGLE(Loango_II!CA_cost_stop))</f>
        <v>0</v>
      </c>
      <c r="AR206" s="49">
        <f ca="1">IF(AND((_xlfn.SINGLE(Loango_II!CA_cost_stop))&lt;AQ207,_xlfn.SINGLE(Loango_II!CA_gco)&gt;0),_xlfn.SINGLE(Loango_II!CA_gco),_xlfn.SINGLE(Loango_II!CA_cost_stop))</f>
        <v>0</v>
      </c>
      <c r="AS206" s="49">
        <f ca="1">IF(AND((_xlfn.SINGLE(Loango_II!CA_cost_stop))&lt;AR207,_xlfn.SINGLE(Loango_II!CA_gco)&gt;0),_xlfn.SINGLE(Loango_II!CA_gco),_xlfn.SINGLE(Loango_II!CA_cost_stop))</f>
        <v>0</v>
      </c>
      <c r="AT206" s="49">
        <f ca="1">IF(AND((_xlfn.SINGLE(Loango_II!CA_cost_stop))&lt;AS207,_xlfn.SINGLE(Loango_II!CA_gco)&gt;0),_xlfn.SINGLE(Loango_II!CA_gco),_xlfn.SINGLE(Loango_II!CA_cost_stop))</f>
        <v>0</v>
      </c>
      <c r="AU206" s="49">
        <f ca="1">IF(AND((_xlfn.SINGLE(Loango_II!CA_cost_stop))&lt;AT207,_xlfn.SINGLE(Loango_II!CA_gco)&gt;0),_xlfn.SINGLE(Loango_II!CA_gco),_xlfn.SINGLE(Loango_II!CA_cost_stop))</f>
        <v>0</v>
      </c>
      <c r="AV206" s="49">
        <f ca="1">IF(AND((_xlfn.SINGLE(Loango_II!CA_cost_stop))&lt;AU207,_xlfn.SINGLE(Loango_II!CA_gco)&gt;0),_xlfn.SINGLE(Loango_II!CA_gco),_xlfn.SINGLE(Loango_II!CA_cost_stop))</f>
        <v>0</v>
      </c>
      <c r="AW206" s="49">
        <f ca="1">IF(AND((_xlfn.SINGLE(Loango_II!CA_cost_stop))&lt;AV207,_xlfn.SINGLE(Loango_II!CA_gco)&gt;0),_xlfn.SINGLE(Loango_II!CA_gco),_xlfn.SINGLE(Loango_II!CA_cost_stop))</f>
        <v>0</v>
      </c>
      <c r="AX206" s="49">
        <f ca="1">IF(AND((_xlfn.SINGLE(Loango_II!CA_cost_stop))&lt;AW207,_xlfn.SINGLE(Loango_II!CA_gco)&gt;0),_xlfn.SINGLE(Loango_II!CA_gco),_xlfn.SINGLE(Loango_II!CA_cost_stop))</f>
        <v>0</v>
      </c>
      <c r="AY206" s="49">
        <f ca="1">IF(AND((_xlfn.SINGLE(Loango_II!CA_cost_stop))&lt;AX207,_xlfn.SINGLE(Loango_II!CA_gco)&gt;0),_xlfn.SINGLE(Loango_II!CA_gco),_xlfn.SINGLE(Loango_II!CA_cost_stop))</f>
        <v>0</v>
      </c>
      <c r="AZ206" s="49">
        <f ca="1">IF(AND((_xlfn.SINGLE(Loango_II!CA_cost_stop))&lt;AY207,_xlfn.SINGLE(Loango_II!CA_gco)&gt;0),_xlfn.SINGLE(Loango_II!CA_gco),_xlfn.SINGLE(Loango_II!CA_cost_stop))</f>
        <v>0</v>
      </c>
      <c r="BA206" s="49">
        <f ca="1">IF(AND((_xlfn.SINGLE(Loango_II!CA_cost_stop))&lt;AZ207,_xlfn.SINGLE(Loango_II!CA_gco)&gt;0),_xlfn.SINGLE(Loango_II!CA_gco),_xlfn.SINGLE(Loango_II!CA_cost_stop))</f>
        <v>0</v>
      </c>
      <c r="BB206" s="49">
        <f ca="1">IF(AND((_xlfn.SINGLE(Loango_II!CA_cost_stop))&lt;BA207,_xlfn.SINGLE(Loango_II!CA_gco)&gt;0),_xlfn.SINGLE(Loango_II!CA_gco),_xlfn.SINGLE(Loango_II!CA_cost_stop))</f>
        <v>0</v>
      </c>
      <c r="BC206" s="49">
        <f ca="1">IF(AND((_xlfn.SINGLE(Loango_II!CA_cost_stop))&lt;BB207,_xlfn.SINGLE(Loango_II!CA_gco)&gt;0),_xlfn.SINGLE(Loango_II!CA_gco),_xlfn.SINGLE(Loango_II!CA_cost_stop))</f>
        <v>0</v>
      </c>
      <c r="BD206" s="49">
        <f ca="1">IF(AND((_xlfn.SINGLE(Loango_II!CA_cost_stop))&lt;BC207,_xlfn.SINGLE(Loango_II!CA_gco)&gt;0),_xlfn.SINGLE(Loango_II!CA_gco),_xlfn.SINGLE(Loango_II!CA_cost_stop))</f>
        <v>0</v>
      </c>
      <c r="BE206" s="49">
        <f ca="1">IF(AND((_xlfn.SINGLE(Loango_II!CA_cost_stop))&lt;BD207,_xlfn.SINGLE(Loango_II!CA_gco)&gt;0),_xlfn.SINGLE(Loango_II!CA_gco),_xlfn.SINGLE(Loango_II!CA_cost_stop))</f>
        <v>0</v>
      </c>
      <c r="BF206" s="49">
        <f ca="1">IF(AND((_xlfn.SINGLE(Loango_II!CA_cost_stop))&lt;BE207,_xlfn.SINGLE(Loango_II!CA_gco)&gt;0),_xlfn.SINGLE(Loango_II!CA_gco),_xlfn.SINGLE(Loango_II!CA_cost_stop))</f>
        <v>0</v>
      </c>
      <c r="BG206" s="49">
        <f ca="1">IF(AND((_xlfn.SINGLE(Loango_II!CA_cost_stop))&lt;BF207,_xlfn.SINGLE(Loango_II!CA_gco)&gt;0),_xlfn.SINGLE(Loango_II!CA_gco),_xlfn.SINGLE(Loango_II!CA_cost_stop))</f>
        <v>0</v>
      </c>
      <c r="BH206" s="49">
        <f ca="1">IF(AND((_xlfn.SINGLE(Loango_II!CA_cost_stop))&lt;BG207,_xlfn.SINGLE(Loango_II!CA_gco)&gt;0),_xlfn.SINGLE(Loango_II!CA_gco),_xlfn.SINGLE(Loango_II!CA_cost_stop))</f>
        <v>0</v>
      </c>
      <c r="BI206" s="49">
        <f ca="1">IF(AND((_xlfn.SINGLE(Loango_II!CA_cost_stop))&lt;BH207,_xlfn.SINGLE(Loango_II!CA_gco)&gt;0),_xlfn.SINGLE(Loango_II!CA_gco),_xlfn.SINGLE(Loango_II!CA_cost_stop))</f>
        <v>0</v>
      </c>
      <c r="BJ206" s="49">
        <f ca="1">IF(AND((_xlfn.SINGLE(Loango_II!CA_cost_stop))&lt;BI207,_xlfn.SINGLE(Loango_II!CA_gco)&gt;0),_xlfn.SINGLE(Loango_II!CA_gco),_xlfn.SINGLE(Loango_II!CA_cost_stop))</f>
        <v>0</v>
      </c>
      <c r="BK206" s="49">
        <f ca="1">IF(AND((_xlfn.SINGLE(Loango_II!CA_cost_stop))&lt;BJ207,_xlfn.SINGLE(Loango_II!CA_gco)&gt;0),_xlfn.SINGLE(Loango_II!CA_gco),_xlfn.SINGLE(Loango_II!CA_cost_stop))</f>
        <v>0</v>
      </c>
      <c r="BL206" s="49">
        <f ca="1">IF(AND((_xlfn.SINGLE(Loango_II!CA_cost_stop))&lt;BK207,_xlfn.SINGLE(Loango_II!CA_gco)&gt;0),_xlfn.SINGLE(Loango_II!CA_gco),_xlfn.SINGLE(Loango_II!CA_cost_stop))</f>
        <v>0</v>
      </c>
      <c r="BM206" s="49">
        <f ca="1">IF(AND((_xlfn.SINGLE(Loango_II!CA_cost_stop))&lt;BL207,_xlfn.SINGLE(Loango_II!CA_gco)&gt;0),_xlfn.SINGLE(Loango_II!CA_gco),_xlfn.SINGLE(Loango_II!CA_cost_stop))</f>
        <v>0</v>
      </c>
      <c r="BN206" s="49">
        <f ca="1">IF(AND((_xlfn.SINGLE(Loango_II!CA_cost_stop))&lt;BM207,_xlfn.SINGLE(Loango_II!CA_gco)&gt;0),_xlfn.SINGLE(Loango_II!CA_gco),_xlfn.SINGLE(Loango_II!CA_cost_stop))</f>
        <v>0</v>
      </c>
      <c r="BO206" s="49">
        <f ca="1">IF(AND((_xlfn.SINGLE(Loango_II!CA_cost_stop))&lt;BN207,_xlfn.SINGLE(Loango_II!CA_gco)&gt;0),_xlfn.SINGLE(Loango_II!CA_gco),_xlfn.SINGLE(Loango_II!CA_cost_stop))</f>
        <v>0</v>
      </c>
      <c r="BP206" s="49">
        <f ca="1">IF(AND((_xlfn.SINGLE(Loango_II!CA_cost_stop))&lt;BO207,_xlfn.SINGLE(Loango_II!CA_gco)&gt;0),_xlfn.SINGLE(Loango_II!CA_gco),_xlfn.SINGLE(Loango_II!CA_cost_stop))</f>
        <v>0</v>
      </c>
      <c r="BQ206" s="49">
        <f ca="1">IF(AND((_xlfn.SINGLE(Loango_II!CA_cost_stop))&lt;BP207,_xlfn.SINGLE(Loango_II!CA_gco)&gt;0),_xlfn.SINGLE(Loango_II!CA_gco),_xlfn.SINGLE(Loango_II!CA_cost_stop))</f>
        <v>0</v>
      </c>
      <c r="BR206" s="49">
        <f ca="1">IF(AND((_xlfn.SINGLE(Loango_II!CA_cost_stop))&lt;BQ207,_xlfn.SINGLE(Loango_II!CA_gco)&gt;0),_xlfn.SINGLE(Loango_II!CA_gco),_xlfn.SINGLE(Loango_II!CA_cost_stop))</f>
        <v>0</v>
      </c>
      <c r="BS206" s="49">
        <f ca="1">IF(AND((_xlfn.SINGLE(Loango_II!CA_cost_stop))&lt;BR207,_xlfn.SINGLE(Loango_II!CA_gco)&gt;0),_xlfn.SINGLE(Loango_II!CA_gco),_xlfn.SINGLE(Loango_II!CA_cost_stop))</f>
        <v>0</v>
      </c>
    </row>
    <row r="207" spans="4:71" outlineLevel="1" x14ac:dyDescent="0.2">
      <c r="E207" t="s">
        <v>193</v>
      </c>
      <c r="I207" s="30">
        <f ca="1">I190</f>
        <v>3502.3183539519996</v>
      </c>
      <c r="J207" s="26" t="s">
        <v>148</v>
      </c>
      <c r="L207" s="49">
        <f ca="1">Loango_II!CA_opex_to_recover+(K209*(1+Loango_II!int_rate_cf_costs))</f>
        <v>148.06899999999999</v>
      </c>
      <c r="M207" s="49">
        <f ca="1">Loango_II!CA_opex_to_recover+(L209*(1+Loango_II!int_rate_cf_costs))</f>
        <v>183.88499999999999</v>
      </c>
      <c r="N207" s="49">
        <f ca="1">Loango_II!CA_opex_to_recover+(M209*(1+Loango_II!int_rate_cf_costs))</f>
        <v>135.70400000000001</v>
      </c>
      <c r="O207" s="49">
        <f ca="1">Loango_II!CA_opex_to_recover+(N209*(1+Loango_II!int_rate_cf_costs))</f>
        <v>240.88499999999999</v>
      </c>
      <c r="P207" s="49">
        <f ca="1">Loango_II!CA_opex_to_recover+(O209*(1+Loango_II!int_rate_cf_costs))</f>
        <v>626.42530609597907</v>
      </c>
      <c r="Q207" s="49">
        <f ca="1">Loango_II!CA_opex_to_recover+(P209*(1+Loango_II!int_rate_cf_costs))</f>
        <v>450.66052885723093</v>
      </c>
      <c r="R207" s="49">
        <f ca="1">Loango_II!CA_opex_to_recover+(Q209*(1+Loango_II!int_rate_cf_costs))</f>
        <v>281.8</v>
      </c>
      <c r="S207" s="49">
        <f ca="1">Loango_II!CA_opex_to_recover+(R209*(1+Loango_II!int_rate_cf_costs))</f>
        <v>286.3</v>
      </c>
      <c r="T207" s="49">
        <f ca="1">Loango_II!CA_opex_to_recover+(S209*(1+Loango_II!int_rate_cf_costs))</f>
        <v>283.39999999999998</v>
      </c>
      <c r="U207" s="49">
        <f ca="1">Loango_II!CA_opex_to_recover+(T209*(1+Loango_II!int_rate_cf_costs))</f>
        <v>286.21200000000005</v>
      </c>
      <c r="V207" s="49">
        <f ca="1">Loango_II!CA_opex_to_recover+(U209*(1+Loango_II!int_rate_cf_costs))</f>
        <v>289.02312000000001</v>
      </c>
      <c r="W207" s="49">
        <f ca="1">Loango_II!CA_opex_to_recover+(V209*(1+Loango_II!int_rate_cf_costs))</f>
        <v>291.8322</v>
      </c>
      <c r="X207" s="49">
        <f ca="1">Loango_II!CA_opex_to_recover+(W209*(1+Loango_II!int_rate_cf_costs))</f>
        <v>294.638033952</v>
      </c>
      <c r="Y207" s="49">
        <f ca="1">Loango_II!CA_opex_to_recover+(X209*(1+Loango_II!int_rate_cf_costs))</f>
        <v>0</v>
      </c>
      <c r="Z207" s="49">
        <f ca="1">Loango_II!CA_opex_to_recover+(Y209*(1+Loango_II!int_rate_cf_costs))</f>
        <v>0</v>
      </c>
      <c r="AA207" s="49">
        <f ca="1">Loango_II!CA_opex_to_recover+(Z209*(1+Loango_II!int_rate_cf_costs))</f>
        <v>0</v>
      </c>
      <c r="AB207" s="49">
        <f ca="1">Loango_II!CA_opex_to_recover+(AA209*(1+Loango_II!int_rate_cf_costs))</f>
        <v>0</v>
      </c>
      <c r="AC207" s="49">
        <f ca="1">Loango_II!CA_opex_to_recover+(AB209*(1+Loango_II!int_rate_cf_costs))</f>
        <v>0</v>
      </c>
      <c r="AD207" s="49">
        <f ca="1">Loango_II!CA_opex_to_recover+(AC209*(1+Loango_II!int_rate_cf_costs))</f>
        <v>0</v>
      </c>
      <c r="AE207" s="49">
        <f ca="1">Loango_II!CA_opex_to_recover+(AD209*(1+Loango_II!int_rate_cf_costs))</f>
        <v>0</v>
      </c>
      <c r="AF207" s="49">
        <f ca="1">Loango_II!CA_opex_to_recover+(AE209*(1+Loango_II!int_rate_cf_costs))</f>
        <v>0</v>
      </c>
      <c r="AG207" s="49">
        <f ca="1">Loango_II!CA_opex_to_recover+(AF209*(1+Loango_II!int_rate_cf_costs))</f>
        <v>0</v>
      </c>
      <c r="AH207" s="49">
        <f ca="1">Loango_II!CA_opex_to_recover+(AG209*(1+Loango_II!int_rate_cf_costs))</f>
        <v>0</v>
      </c>
      <c r="AI207" s="49">
        <f ca="1">Loango_II!CA_opex_to_recover+(AH209*(1+Loango_II!int_rate_cf_costs))</f>
        <v>0</v>
      </c>
      <c r="AJ207" s="49">
        <f ca="1">Loango_II!CA_opex_to_recover+(AI209*(1+Loango_II!int_rate_cf_costs))</f>
        <v>0</v>
      </c>
      <c r="AK207" s="49">
        <f ca="1">Loango_II!CA_opex_to_recover+(AJ209*(1+Loango_II!int_rate_cf_costs))</f>
        <v>0</v>
      </c>
      <c r="AL207" s="49">
        <f ca="1">Loango_II!CA_opex_to_recover+(AK209*(1+Loango_II!int_rate_cf_costs))</f>
        <v>0</v>
      </c>
      <c r="AM207" s="49">
        <f ca="1">Loango_II!CA_opex_to_recover+(AL209*(1+Loango_II!int_rate_cf_costs))</f>
        <v>0</v>
      </c>
      <c r="AN207" s="49">
        <f ca="1">Loango_II!CA_opex_to_recover+(AM209*(1+Loango_II!int_rate_cf_costs))</f>
        <v>0</v>
      </c>
      <c r="AO207" s="49">
        <f ca="1">Loango_II!CA_opex_to_recover+(AN209*(1+Loango_II!int_rate_cf_costs))</f>
        <v>0</v>
      </c>
      <c r="AP207" s="49">
        <f ca="1">Loango_II!CA_opex_to_recover+(AO209*(1+Loango_II!int_rate_cf_costs))</f>
        <v>0</v>
      </c>
      <c r="AQ207" s="49">
        <f ca="1">Loango_II!CA_opex_to_recover+(AP209*(1+Loango_II!int_rate_cf_costs))</f>
        <v>0</v>
      </c>
      <c r="AR207" s="49">
        <f ca="1">Loango_II!CA_opex_to_recover+(AQ209*(1+Loango_II!int_rate_cf_costs))</f>
        <v>0</v>
      </c>
      <c r="AS207" s="49">
        <f ca="1">Loango_II!CA_opex_to_recover+(AR209*(1+Loango_II!int_rate_cf_costs))</f>
        <v>0</v>
      </c>
      <c r="AT207" s="49">
        <f ca="1">Loango_II!CA_opex_to_recover+(AS209*(1+Loango_II!int_rate_cf_costs))</f>
        <v>0</v>
      </c>
      <c r="AU207" s="49">
        <f ca="1">Loango_II!CA_opex_to_recover+(AT209*(1+Loango_II!int_rate_cf_costs))</f>
        <v>0</v>
      </c>
      <c r="AV207" s="49">
        <f ca="1">Loango_II!CA_opex_to_recover+(AU209*(1+Loango_II!int_rate_cf_costs))</f>
        <v>0</v>
      </c>
      <c r="AW207" s="49">
        <f ca="1">Loango_II!CA_opex_to_recover+(AV209*(1+Loango_II!int_rate_cf_costs))</f>
        <v>0</v>
      </c>
      <c r="AX207" s="49">
        <f ca="1">Loango_II!CA_opex_to_recover+(AW209*(1+Loango_II!int_rate_cf_costs))</f>
        <v>0</v>
      </c>
      <c r="AY207" s="49">
        <f ca="1">Loango_II!CA_opex_to_recover+(AX209*(1+Loango_II!int_rate_cf_costs))</f>
        <v>0</v>
      </c>
      <c r="AZ207" s="49">
        <f ca="1">Loango_II!CA_opex_to_recover+(AY209*(1+Loango_II!int_rate_cf_costs))</f>
        <v>0</v>
      </c>
      <c r="BA207" s="49">
        <f ca="1">Loango_II!CA_opex_to_recover+(AZ209*(1+Loango_II!int_rate_cf_costs))</f>
        <v>0</v>
      </c>
      <c r="BB207" s="49">
        <f ca="1">Loango_II!CA_opex_to_recover+(BA209*(1+Loango_II!int_rate_cf_costs))</f>
        <v>0</v>
      </c>
      <c r="BC207" s="49">
        <f ca="1">Loango_II!CA_opex_to_recover+(BB209*(1+Loango_II!int_rate_cf_costs))</f>
        <v>0</v>
      </c>
      <c r="BD207" s="49">
        <f ca="1">Loango_II!CA_opex_to_recover+(BC209*(1+Loango_II!int_rate_cf_costs))</f>
        <v>0</v>
      </c>
      <c r="BE207" s="49">
        <f ca="1">Loango_II!CA_opex_to_recover+(BD209*(1+Loango_II!int_rate_cf_costs))</f>
        <v>0</v>
      </c>
      <c r="BF207" s="49">
        <f ca="1">Loango_II!CA_opex_to_recover+(BE209*(1+Loango_II!int_rate_cf_costs))</f>
        <v>0</v>
      </c>
      <c r="BG207" s="49">
        <f ca="1">Loango_II!CA_opex_to_recover+(BF209*(1+Loango_II!int_rate_cf_costs))</f>
        <v>0</v>
      </c>
      <c r="BH207" s="49">
        <f ca="1">Loango_II!CA_opex_to_recover+(BG209*(1+Loango_II!int_rate_cf_costs))</f>
        <v>0</v>
      </c>
      <c r="BI207" s="49">
        <f ca="1">Loango_II!CA_opex_to_recover+(BH209*(1+Loango_II!int_rate_cf_costs))</f>
        <v>0</v>
      </c>
      <c r="BJ207" s="49">
        <f ca="1">Loango_II!CA_opex_to_recover+(BI209*(1+Loango_II!int_rate_cf_costs))</f>
        <v>0</v>
      </c>
      <c r="BK207" s="49">
        <f ca="1">Loango_II!CA_opex_to_recover+(BJ209*(1+Loango_II!int_rate_cf_costs))</f>
        <v>0</v>
      </c>
      <c r="BL207" s="49">
        <f ca="1">Loango_II!CA_opex_to_recover+(BK209*(1+Loango_II!int_rate_cf_costs))</f>
        <v>0</v>
      </c>
      <c r="BM207" s="49">
        <f ca="1">Loango_II!CA_opex_to_recover+(BL209*(1+Loango_II!int_rate_cf_costs))</f>
        <v>0</v>
      </c>
      <c r="BN207" s="49">
        <f ca="1">Loango_II!CA_opex_to_recover+(BM209*(1+Loango_II!int_rate_cf_costs))</f>
        <v>0</v>
      </c>
      <c r="BO207" s="49">
        <f ca="1">Loango_II!CA_opex_to_recover+(BN209*(1+Loango_II!int_rate_cf_costs))</f>
        <v>0</v>
      </c>
      <c r="BP207" s="49">
        <f ca="1">Loango_II!CA_opex_to_recover+(BO209*(1+Loango_II!int_rate_cf_costs))</f>
        <v>0</v>
      </c>
      <c r="BQ207" s="49">
        <f ca="1">Loango_II!CA_opex_to_recover+(BP209*(1+Loango_II!int_rate_cf_costs))</f>
        <v>0</v>
      </c>
      <c r="BR207" s="49">
        <f ca="1">Loango_II!CA_opex_to_recover+(BQ209*(1+Loango_II!int_rate_cf_costs))</f>
        <v>0</v>
      </c>
      <c r="BS207" s="49">
        <f ca="1">Loango_II!CA_opex_to_recover+(BR209*(1+Loango_II!int_rate_cf_costs))</f>
        <v>0</v>
      </c>
    </row>
    <row r="208" spans="4:71" outlineLevel="1" x14ac:dyDescent="0.2">
      <c r="E208" t="s">
        <v>194</v>
      </c>
      <c r="H208" s="56" t="b">
        <f ca="1">ROUND(I208,2)=-ROUND(I207,2)</f>
        <v>1</v>
      </c>
      <c r="I208" s="30">
        <f t="shared" ca="1" si="28"/>
        <v>-3502.3183539520001</v>
      </c>
      <c r="J208" s="26" t="s">
        <v>148</v>
      </c>
      <c r="L208" s="49">
        <f ca="1">-MIN(L207,L206)</f>
        <v>-148.06899999999999</v>
      </c>
      <c r="M208" s="49">
        <f t="shared" ref="M208:BS208" ca="1" si="29">-MIN(M207,M206)</f>
        <v>-183.88499999999999</v>
      </c>
      <c r="N208" s="49">
        <f t="shared" ca="1" si="29"/>
        <v>-135.70400000000001</v>
      </c>
      <c r="O208" s="49">
        <f t="shared" ca="1" si="29"/>
        <v>-151.24969390402092</v>
      </c>
      <c r="P208" s="49">
        <f t="shared" ca="1" si="29"/>
        <v>-419.54477723874817</v>
      </c>
      <c r="Q208" s="49">
        <f t="shared" ca="1" si="29"/>
        <v>-450.66052885723093</v>
      </c>
      <c r="R208" s="49">
        <f t="shared" ca="1" si="29"/>
        <v>-281.8</v>
      </c>
      <c r="S208" s="49">
        <f t="shared" ca="1" si="29"/>
        <v>-286.3</v>
      </c>
      <c r="T208" s="49">
        <f t="shared" ca="1" si="29"/>
        <v>-283.39999999999998</v>
      </c>
      <c r="U208" s="49">
        <f t="shared" ca="1" si="29"/>
        <v>-286.21200000000005</v>
      </c>
      <c r="V208" s="49">
        <f t="shared" ca="1" si="29"/>
        <v>-289.02312000000001</v>
      </c>
      <c r="W208" s="49">
        <f t="shared" ca="1" si="29"/>
        <v>-291.8322</v>
      </c>
      <c r="X208" s="49">
        <f t="shared" ca="1" si="29"/>
        <v>-294.638033952</v>
      </c>
      <c r="Y208" s="49">
        <f t="shared" ca="1" si="29"/>
        <v>0</v>
      </c>
      <c r="Z208" s="49">
        <f t="shared" ca="1" si="29"/>
        <v>0</v>
      </c>
      <c r="AA208" s="49">
        <f t="shared" ca="1" si="29"/>
        <v>0</v>
      </c>
      <c r="AB208" s="49">
        <f t="shared" ca="1" si="29"/>
        <v>0</v>
      </c>
      <c r="AC208" s="49">
        <f t="shared" ca="1" si="29"/>
        <v>0</v>
      </c>
      <c r="AD208" s="49">
        <f t="shared" ca="1" si="29"/>
        <v>0</v>
      </c>
      <c r="AE208" s="49">
        <f t="shared" ca="1" si="29"/>
        <v>0</v>
      </c>
      <c r="AF208" s="49">
        <f t="shared" ca="1" si="29"/>
        <v>0</v>
      </c>
      <c r="AG208" s="49">
        <f t="shared" ca="1" si="29"/>
        <v>0</v>
      </c>
      <c r="AH208" s="49">
        <f t="shared" ca="1" si="29"/>
        <v>0</v>
      </c>
      <c r="AI208" s="49">
        <f t="shared" ca="1" si="29"/>
        <v>0</v>
      </c>
      <c r="AJ208" s="49">
        <f t="shared" ca="1" si="29"/>
        <v>0</v>
      </c>
      <c r="AK208" s="49">
        <f t="shared" ca="1" si="29"/>
        <v>0</v>
      </c>
      <c r="AL208" s="49">
        <f t="shared" ca="1" si="29"/>
        <v>0</v>
      </c>
      <c r="AM208" s="49">
        <f t="shared" ca="1" si="29"/>
        <v>0</v>
      </c>
      <c r="AN208" s="49">
        <f t="shared" ca="1" si="29"/>
        <v>0</v>
      </c>
      <c r="AO208" s="49">
        <f t="shared" ca="1" si="29"/>
        <v>0</v>
      </c>
      <c r="AP208" s="49">
        <f t="shared" ca="1" si="29"/>
        <v>0</v>
      </c>
      <c r="AQ208" s="49">
        <f t="shared" ca="1" si="29"/>
        <v>0</v>
      </c>
      <c r="AR208" s="49">
        <f t="shared" ca="1" si="29"/>
        <v>0</v>
      </c>
      <c r="AS208" s="49">
        <f t="shared" ca="1" si="29"/>
        <v>0</v>
      </c>
      <c r="AT208" s="49">
        <f t="shared" ca="1" si="29"/>
        <v>0</v>
      </c>
      <c r="AU208" s="49">
        <f t="shared" ca="1" si="29"/>
        <v>0</v>
      </c>
      <c r="AV208" s="49">
        <f t="shared" ca="1" si="29"/>
        <v>0</v>
      </c>
      <c r="AW208" s="49">
        <f t="shared" ca="1" si="29"/>
        <v>0</v>
      </c>
      <c r="AX208" s="49">
        <f t="shared" ca="1" si="29"/>
        <v>0</v>
      </c>
      <c r="AY208" s="49">
        <f t="shared" ca="1" si="29"/>
        <v>0</v>
      </c>
      <c r="AZ208" s="49">
        <f t="shared" ca="1" si="29"/>
        <v>0</v>
      </c>
      <c r="BA208" s="49">
        <f t="shared" ca="1" si="29"/>
        <v>0</v>
      </c>
      <c r="BB208" s="49">
        <f t="shared" ca="1" si="29"/>
        <v>0</v>
      </c>
      <c r="BC208" s="49">
        <f t="shared" ca="1" si="29"/>
        <v>0</v>
      </c>
      <c r="BD208" s="49">
        <f t="shared" ca="1" si="29"/>
        <v>0</v>
      </c>
      <c r="BE208" s="49">
        <f t="shared" ca="1" si="29"/>
        <v>0</v>
      </c>
      <c r="BF208" s="49">
        <f t="shared" ca="1" si="29"/>
        <v>0</v>
      </c>
      <c r="BG208" s="49">
        <f t="shared" ca="1" si="29"/>
        <v>0</v>
      </c>
      <c r="BH208" s="49">
        <f t="shared" ca="1" si="29"/>
        <v>0</v>
      </c>
      <c r="BI208" s="49">
        <f t="shared" ca="1" si="29"/>
        <v>0</v>
      </c>
      <c r="BJ208" s="49">
        <f t="shared" ca="1" si="29"/>
        <v>0</v>
      </c>
      <c r="BK208" s="49">
        <f t="shared" ca="1" si="29"/>
        <v>0</v>
      </c>
      <c r="BL208" s="49">
        <f t="shared" ca="1" si="29"/>
        <v>0</v>
      </c>
      <c r="BM208" s="49">
        <f t="shared" ca="1" si="29"/>
        <v>0</v>
      </c>
      <c r="BN208" s="49">
        <f t="shared" ca="1" si="29"/>
        <v>0</v>
      </c>
      <c r="BO208" s="49">
        <f t="shared" ca="1" si="29"/>
        <v>0</v>
      </c>
      <c r="BP208" s="49">
        <f t="shared" ca="1" si="29"/>
        <v>0</v>
      </c>
      <c r="BQ208" s="49">
        <f t="shared" ca="1" si="29"/>
        <v>0</v>
      </c>
      <c r="BR208" s="49">
        <f t="shared" ca="1" si="29"/>
        <v>0</v>
      </c>
      <c r="BS208" s="49">
        <f t="shared" ca="1" si="29"/>
        <v>0</v>
      </c>
    </row>
    <row r="209" spans="4:71" outlineLevel="1" x14ac:dyDescent="0.2">
      <c r="E209" t="s">
        <v>195</v>
      </c>
      <c r="J209" s="26"/>
      <c r="L209" s="49">
        <f ca="1">L207+L208</f>
        <v>0</v>
      </c>
      <c r="M209" s="49">
        <f t="shared" ref="M209:BS209" ca="1" si="30">M207+M208</f>
        <v>0</v>
      </c>
      <c r="N209" s="49">
        <f t="shared" ca="1" si="30"/>
        <v>0</v>
      </c>
      <c r="O209" s="49">
        <f t="shared" ca="1" si="30"/>
        <v>89.635306095979075</v>
      </c>
      <c r="P209" s="49">
        <f t="shared" ca="1" si="30"/>
        <v>206.8805288572309</v>
      </c>
      <c r="Q209" s="49">
        <f t="shared" ca="1" si="30"/>
        <v>0</v>
      </c>
      <c r="R209" s="49">
        <f t="shared" ca="1" si="30"/>
        <v>0</v>
      </c>
      <c r="S209" s="49">
        <f t="shared" ca="1" si="30"/>
        <v>0</v>
      </c>
      <c r="T209" s="49">
        <f t="shared" ca="1" si="30"/>
        <v>0</v>
      </c>
      <c r="U209" s="49">
        <f t="shared" ca="1" si="30"/>
        <v>0</v>
      </c>
      <c r="V209" s="49">
        <f t="shared" ca="1" si="30"/>
        <v>0</v>
      </c>
      <c r="W209" s="49">
        <f t="shared" ca="1" si="30"/>
        <v>0</v>
      </c>
      <c r="X209" s="49">
        <f t="shared" ca="1" si="30"/>
        <v>0</v>
      </c>
      <c r="Y209" s="49">
        <f t="shared" ca="1" si="30"/>
        <v>0</v>
      </c>
      <c r="Z209" s="49">
        <f t="shared" ca="1" si="30"/>
        <v>0</v>
      </c>
      <c r="AA209" s="49">
        <f t="shared" ca="1" si="30"/>
        <v>0</v>
      </c>
      <c r="AB209" s="49">
        <f t="shared" ca="1" si="30"/>
        <v>0</v>
      </c>
      <c r="AC209" s="49">
        <f t="shared" ca="1" si="30"/>
        <v>0</v>
      </c>
      <c r="AD209" s="49">
        <f t="shared" ca="1" si="30"/>
        <v>0</v>
      </c>
      <c r="AE209" s="49">
        <f t="shared" ca="1" si="30"/>
        <v>0</v>
      </c>
      <c r="AF209" s="49">
        <f t="shared" ca="1" si="30"/>
        <v>0</v>
      </c>
      <c r="AG209" s="49">
        <f t="shared" ca="1" si="30"/>
        <v>0</v>
      </c>
      <c r="AH209" s="49">
        <f t="shared" ca="1" si="30"/>
        <v>0</v>
      </c>
      <c r="AI209" s="49">
        <f t="shared" ca="1" si="30"/>
        <v>0</v>
      </c>
      <c r="AJ209" s="49">
        <f t="shared" ca="1" si="30"/>
        <v>0</v>
      </c>
      <c r="AK209" s="49">
        <f t="shared" ca="1" si="30"/>
        <v>0</v>
      </c>
      <c r="AL209" s="49">
        <f t="shared" ca="1" si="30"/>
        <v>0</v>
      </c>
      <c r="AM209" s="49">
        <f t="shared" ca="1" si="30"/>
        <v>0</v>
      </c>
      <c r="AN209" s="49">
        <f t="shared" ca="1" si="30"/>
        <v>0</v>
      </c>
      <c r="AO209" s="49">
        <f t="shared" ca="1" si="30"/>
        <v>0</v>
      </c>
      <c r="AP209" s="49">
        <f t="shared" ca="1" si="30"/>
        <v>0</v>
      </c>
      <c r="AQ209" s="49">
        <f t="shared" ca="1" si="30"/>
        <v>0</v>
      </c>
      <c r="AR209" s="49">
        <f t="shared" ca="1" si="30"/>
        <v>0</v>
      </c>
      <c r="AS209" s="49">
        <f t="shared" ca="1" si="30"/>
        <v>0</v>
      </c>
      <c r="AT209" s="49">
        <f t="shared" ca="1" si="30"/>
        <v>0</v>
      </c>
      <c r="AU209" s="49">
        <f t="shared" ca="1" si="30"/>
        <v>0</v>
      </c>
      <c r="AV209" s="49">
        <f t="shared" ca="1" si="30"/>
        <v>0</v>
      </c>
      <c r="AW209" s="49">
        <f t="shared" ca="1" si="30"/>
        <v>0</v>
      </c>
      <c r="AX209" s="49">
        <f t="shared" ca="1" si="30"/>
        <v>0</v>
      </c>
      <c r="AY209" s="49">
        <f t="shared" ca="1" si="30"/>
        <v>0</v>
      </c>
      <c r="AZ209" s="49">
        <f t="shared" ca="1" si="30"/>
        <v>0</v>
      </c>
      <c r="BA209" s="49">
        <f t="shared" ca="1" si="30"/>
        <v>0</v>
      </c>
      <c r="BB209" s="49">
        <f t="shared" ca="1" si="30"/>
        <v>0</v>
      </c>
      <c r="BC209" s="49">
        <f t="shared" ca="1" si="30"/>
        <v>0</v>
      </c>
      <c r="BD209" s="49">
        <f t="shared" ca="1" si="30"/>
        <v>0</v>
      </c>
      <c r="BE209" s="49">
        <f t="shared" ca="1" si="30"/>
        <v>0</v>
      </c>
      <c r="BF209" s="49">
        <f t="shared" ca="1" si="30"/>
        <v>0</v>
      </c>
      <c r="BG209" s="49">
        <f t="shared" ca="1" si="30"/>
        <v>0</v>
      </c>
      <c r="BH209" s="49">
        <f t="shared" ca="1" si="30"/>
        <v>0</v>
      </c>
      <c r="BI209" s="49">
        <f t="shared" ca="1" si="30"/>
        <v>0</v>
      </c>
      <c r="BJ209" s="49">
        <f t="shared" ca="1" si="30"/>
        <v>0</v>
      </c>
      <c r="BK209" s="49">
        <f t="shared" ca="1" si="30"/>
        <v>0</v>
      </c>
      <c r="BL209" s="49">
        <f t="shared" ca="1" si="30"/>
        <v>0</v>
      </c>
      <c r="BM209" s="49">
        <f t="shared" ca="1" si="30"/>
        <v>0</v>
      </c>
      <c r="BN209" s="49">
        <f t="shared" ca="1" si="30"/>
        <v>0</v>
      </c>
      <c r="BO209" s="49">
        <f t="shared" ca="1" si="30"/>
        <v>0</v>
      </c>
      <c r="BP209" s="49">
        <f t="shared" ca="1" si="30"/>
        <v>0</v>
      </c>
      <c r="BQ209" s="49">
        <f t="shared" ca="1" si="30"/>
        <v>0</v>
      </c>
      <c r="BR209" s="49">
        <f t="shared" ca="1" si="30"/>
        <v>0</v>
      </c>
      <c r="BS209" s="49">
        <f t="shared" ca="1" si="30"/>
        <v>0</v>
      </c>
    </row>
    <row r="210" spans="4:71" outlineLevel="1" x14ac:dyDescent="0.2">
      <c r="J210" s="26"/>
      <c r="L210" s="55"/>
      <c r="M210" s="55"/>
      <c r="N210" s="55"/>
      <c r="O210" s="55"/>
      <c r="P210" s="55"/>
      <c r="Q210" s="55"/>
      <c r="R210" s="55"/>
      <c r="S210" s="55"/>
      <c r="T210" s="55"/>
      <c r="U210" s="55"/>
      <c r="V210" s="55"/>
      <c r="W210" s="55"/>
      <c r="X210" s="55"/>
      <c r="Y210" s="55"/>
      <c r="Z210" s="55"/>
      <c r="AA210" s="55"/>
      <c r="AB210" s="55"/>
      <c r="AC210" s="55"/>
      <c r="AD210" s="55"/>
      <c r="AE210" s="55"/>
      <c r="AF210" s="55"/>
      <c r="AG210" s="55"/>
      <c r="AH210" s="55"/>
      <c r="AI210" s="55"/>
      <c r="AJ210" s="55"/>
      <c r="AK210" s="55"/>
      <c r="AL210" s="55"/>
      <c r="AM210" s="55"/>
      <c r="AN210" s="55"/>
      <c r="AO210" s="55"/>
      <c r="AP210" s="55"/>
      <c r="AQ210" s="55"/>
      <c r="AR210" s="55"/>
      <c r="AS210" s="55"/>
      <c r="AT210" s="55"/>
      <c r="AU210" s="55"/>
      <c r="AV210" s="55"/>
      <c r="AW210" s="55"/>
      <c r="AX210" s="55"/>
      <c r="AY210" s="55"/>
      <c r="AZ210" s="55"/>
      <c r="BA210" s="55"/>
      <c r="BB210" s="55"/>
      <c r="BC210" s="55"/>
      <c r="BD210" s="55"/>
      <c r="BE210" s="55"/>
      <c r="BF210" s="55"/>
      <c r="BG210" s="55"/>
      <c r="BH210" s="55"/>
      <c r="BI210" s="55"/>
      <c r="BJ210" s="55"/>
      <c r="BK210" s="55"/>
      <c r="BL210" s="55"/>
      <c r="BM210" s="55"/>
      <c r="BN210" s="55"/>
      <c r="BO210" s="55"/>
      <c r="BP210" s="55"/>
      <c r="BQ210" s="55"/>
      <c r="BR210" s="55"/>
      <c r="BS210" s="55"/>
    </row>
    <row r="211" spans="4:71" outlineLevel="1" x14ac:dyDescent="0.2">
      <c r="D211" s="51" t="s">
        <v>200</v>
      </c>
      <c r="J211" s="26"/>
      <c r="L211" s="55"/>
      <c r="M211" s="55"/>
      <c r="N211" s="55"/>
      <c r="O211" s="55"/>
      <c r="P211" s="55"/>
      <c r="Q211" s="55"/>
      <c r="R211" s="55"/>
      <c r="S211" s="55"/>
      <c r="T211" s="55"/>
      <c r="U211" s="55"/>
      <c r="V211" s="55"/>
      <c r="W211" s="55"/>
      <c r="X211" s="55"/>
      <c r="Y211" s="55"/>
      <c r="Z211" s="55"/>
      <c r="AA211" s="55"/>
      <c r="AB211" s="55"/>
      <c r="AC211" s="55"/>
      <c r="AD211" s="55"/>
      <c r="AE211" s="55"/>
      <c r="AF211" s="55"/>
      <c r="AG211" s="55"/>
      <c r="AH211" s="55"/>
      <c r="AI211" s="55"/>
      <c r="AJ211" s="55"/>
      <c r="AK211" s="55"/>
      <c r="AL211" s="55"/>
      <c r="AM211" s="55"/>
      <c r="AN211" s="55"/>
      <c r="AO211" s="55"/>
      <c r="AP211" s="55"/>
      <c r="AQ211" s="55"/>
      <c r="AR211" s="55"/>
      <c r="AS211" s="55"/>
      <c r="AT211" s="55"/>
      <c r="AU211" s="55"/>
      <c r="AV211" s="55"/>
      <c r="AW211" s="55"/>
      <c r="AX211" s="55"/>
      <c r="AY211" s="55"/>
      <c r="AZ211" s="55"/>
      <c r="BA211" s="55"/>
      <c r="BB211" s="55"/>
      <c r="BC211" s="55"/>
      <c r="BD211" s="55"/>
      <c r="BE211" s="55"/>
      <c r="BF211" s="55"/>
      <c r="BG211" s="55"/>
      <c r="BH211" s="55"/>
      <c r="BI211" s="55"/>
      <c r="BJ211" s="55"/>
      <c r="BK211" s="55"/>
      <c r="BL211" s="55"/>
      <c r="BM211" s="55"/>
      <c r="BN211" s="55"/>
      <c r="BO211" s="55"/>
      <c r="BP211" s="55"/>
      <c r="BQ211" s="55"/>
      <c r="BR211" s="55"/>
      <c r="BS211" s="55"/>
    </row>
    <row r="212" spans="4:71" outlineLevel="1" x14ac:dyDescent="0.2">
      <c r="E212" t="s">
        <v>192</v>
      </c>
      <c r="I212" s="30">
        <f t="shared" ref="I212:I214" ca="1" si="31">SUM($L212:$BS212)</f>
        <v>1299.7142641429273</v>
      </c>
      <c r="J212" s="26" t="s">
        <v>148</v>
      </c>
      <c r="L212" s="49">
        <f ca="1">IF(AND((Loango_II!CA_cost_stop+L208)&lt;K213,Loango_II!CA_gco&gt;0),Loango_II!CA_gco+L208,Loango_II!CA_cost_stop+L208)</f>
        <v>235.23854832287</v>
      </c>
      <c r="M212" s="49">
        <f ca="1">IF(AND((Loango_II!CA_cost_stop+M208)&lt;L213,Loango_II!CA_gco&gt;0),Loango_II!CA_gco+M208,Loango_II!CA_cost_stop+M208)</f>
        <v>213.91438392794993</v>
      </c>
      <c r="N212" s="49">
        <f ca="1">IF(AND((Loango_II!CA_cost_stop+N208)&lt;M213,Loango_II!CA_gco&gt;0),Loango_II!CA_gco+N208,Loango_II!CA_cost_stop+N208)</f>
        <v>24.533421400650013</v>
      </c>
      <c r="O212" s="49">
        <f ca="1">IF(AND((Loango_II!CA_cost_stop+O208)&lt;N213,Loango_II!CA_gco&gt;0),Loango_II!CA_gco+O208,Loango_II!CA_cost_stop+O208)</f>
        <v>0</v>
      </c>
      <c r="P212" s="49">
        <f ca="1">IF(AND((Loango_II!CA_cost_stop+P208)&lt;O213,Loango_II!CA_gco&gt;0),Loango_II!CA_gco+P208,Loango_II!CA_cost_stop+P208)</f>
        <v>0</v>
      </c>
      <c r="Q212" s="49">
        <f ca="1">IF(AND((Loango_II!CA_cost_stop+Q208)&lt;P213,Loango_II!CA_gco&gt;0),Loango_II!CA_gco+Q208,Loango_II!CA_cost_stop+Q208)</f>
        <v>383.2991909780302</v>
      </c>
      <c r="R212" s="49">
        <f ca="1">IF(AND((Loango_II!CA_cost_stop+R208)&lt;Q213,Loango_II!CA_gco&gt;0),Loango_II!CA_gco+R208,Loango_II!CA_cost_stop+R208)</f>
        <v>47.326059113519932</v>
      </c>
      <c r="S212" s="49">
        <f ca="1">IF(AND((Loango_II!CA_cost_stop+S208)&lt;R213,Loango_II!CA_gco&gt;0),Loango_II!CA_gco+S208,Loango_II!CA_cost_stop+S208)</f>
        <v>18.494259200000045</v>
      </c>
      <c r="T212" s="49">
        <f ca="1">IF(AND((Loango_II!CA_cost_stop+T208)&lt;S213,Loango_II!CA_gco&gt;0),Loango_II!CA_gco+T208,Loango_II!CA_cost_stop+T208)</f>
        <v>104.42630454581729</v>
      </c>
      <c r="U212" s="49">
        <f ca="1">IF(AND((Loango_II!CA_cost_stop+U208)&lt;T213,Loango_II!CA_gco&gt;0),Loango_II!CA_gco+U208,Loango_II!CA_cost_stop+U208)</f>
        <v>100.93565049146338</v>
      </c>
      <c r="V212" s="49">
        <f ca="1">IF(AND((Loango_II!CA_cost_stop+V208)&lt;U213,Loango_II!CA_gco&gt;0),Loango_II!CA_gco+V208,Loango_II!CA_cost_stop+V208)</f>
        <v>78.225141256202107</v>
      </c>
      <c r="W212" s="49">
        <f ca="1">IF(AND((Loango_II!CA_cost_stop+W208)&lt;V213,Loango_II!CA_gco&gt;0),Loango_II!CA_gco+W208,Loango_II!CA_cost_stop+W208)</f>
        <v>57.493943643051466</v>
      </c>
      <c r="X212" s="49">
        <f ca="1">IF(AND((Loango_II!CA_cost_stop+X208)&lt;W213,Loango_II!CA_gco&gt;0),Loango_II!CA_gco+X208,Loango_II!CA_cost_stop+X208)</f>
        <v>35.82736126337295</v>
      </c>
      <c r="Y212" s="49">
        <f ca="1">IF(AND((Loango_II!CA_cost_stop+Y208)&lt;X213,Loango_II!CA_gco&gt;0),Loango_II!CA_gco+Y208,Loango_II!CA_cost_stop+Y208)</f>
        <v>0</v>
      </c>
      <c r="Z212" s="49">
        <f ca="1">IF(AND((Loango_II!CA_cost_stop+Z208)&lt;Y213,Loango_II!CA_gco&gt;0),Loango_II!CA_gco+Z208,Loango_II!CA_cost_stop+Z208)</f>
        <v>0</v>
      </c>
      <c r="AA212" s="49">
        <f ca="1">IF(AND((Loango_II!CA_cost_stop+AA208)&lt;Z213,Loango_II!CA_gco&gt;0),Loango_II!CA_gco+AA208,Loango_II!CA_cost_stop+AA208)</f>
        <v>0</v>
      </c>
      <c r="AB212" s="49">
        <f ca="1">IF(AND((Loango_II!CA_cost_stop+AB208)&lt;AA213,Loango_II!CA_gco&gt;0),Loango_II!CA_gco+AB208,Loango_II!CA_cost_stop+AB208)</f>
        <v>0</v>
      </c>
      <c r="AC212" s="49">
        <f ca="1">IF(AND((Loango_II!CA_cost_stop+AC208)&lt;AB213,Loango_II!CA_gco&gt;0),Loango_II!CA_gco+AC208,Loango_II!CA_cost_stop+AC208)</f>
        <v>0</v>
      </c>
      <c r="AD212" s="49">
        <f ca="1">IF(AND((Loango_II!CA_cost_stop+AD208)&lt;AC213,Loango_II!CA_gco&gt;0),Loango_II!CA_gco+AD208,Loango_II!CA_cost_stop+AD208)</f>
        <v>0</v>
      </c>
      <c r="AE212" s="49">
        <f ca="1">IF(AND((Loango_II!CA_cost_stop+AE208)&lt;AD213,Loango_II!CA_gco&gt;0),Loango_II!CA_gco+AE208,Loango_II!CA_cost_stop+AE208)</f>
        <v>0</v>
      </c>
      <c r="AF212" s="49">
        <f ca="1">IF(AND((Loango_II!CA_cost_stop+AF208)&lt;AE213,Loango_II!CA_gco&gt;0),Loango_II!CA_gco+AF208,Loango_II!CA_cost_stop+AF208)</f>
        <v>0</v>
      </c>
      <c r="AG212" s="49">
        <f ca="1">IF(AND((Loango_II!CA_cost_stop+AG208)&lt;AF213,Loango_II!CA_gco&gt;0),Loango_II!CA_gco+AG208,Loango_II!CA_cost_stop+AG208)</f>
        <v>0</v>
      </c>
      <c r="AH212" s="49">
        <f ca="1">IF(AND((Loango_II!CA_cost_stop+AH208)&lt;AG213,Loango_II!CA_gco&gt;0),Loango_II!CA_gco+AH208,Loango_II!CA_cost_stop+AH208)</f>
        <v>0</v>
      </c>
      <c r="AI212" s="49">
        <f ca="1">IF(AND((Loango_II!CA_cost_stop+AI208)&lt;AH213,Loango_II!CA_gco&gt;0),Loango_II!CA_gco+AI208,Loango_II!CA_cost_stop+AI208)</f>
        <v>0</v>
      </c>
      <c r="AJ212" s="49">
        <f ca="1">IF(AND((Loango_II!CA_cost_stop+AJ208)&lt;AI213,Loango_II!CA_gco&gt;0),Loango_II!CA_gco+AJ208,Loango_II!CA_cost_stop+AJ208)</f>
        <v>0</v>
      </c>
      <c r="AK212" s="49">
        <f ca="1">IF(AND((Loango_II!CA_cost_stop+AK208)&lt;AJ213,Loango_II!CA_gco&gt;0),Loango_II!CA_gco+AK208,Loango_II!CA_cost_stop+AK208)</f>
        <v>0</v>
      </c>
      <c r="AL212" s="49">
        <f ca="1">IF(AND((Loango_II!CA_cost_stop+AL208)&lt;AK213,Loango_II!CA_gco&gt;0),Loango_II!CA_gco+AL208,Loango_II!CA_cost_stop+AL208)</f>
        <v>0</v>
      </c>
      <c r="AM212" s="49">
        <f ca="1">IF(AND((Loango_II!CA_cost_stop+AM208)&lt;AL213,Loango_II!CA_gco&gt;0),Loango_II!CA_gco+AM208,Loango_II!CA_cost_stop+AM208)</f>
        <v>0</v>
      </c>
      <c r="AN212" s="49">
        <f ca="1">IF(AND((Loango_II!CA_cost_stop+AN208)&lt;AM213,Loango_II!CA_gco&gt;0),Loango_II!CA_gco+AN208,Loango_II!CA_cost_stop+AN208)</f>
        <v>0</v>
      </c>
      <c r="AO212" s="49">
        <f ca="1">IF(AND((Loango_II!CA_cost_stop+AO208)&lt;AN213,Loango_II!CA_gco&gt;0),Loango_II!CA_gco+AO208,Loango_II!CA_cost_stop+AO208)</f>
        <v>0</v>
      </c>
      <c r="AP212" s="49">
        <f ca="1">IF(AND((Loango_II!CA_cost_stop+AP208)&lt;AO213,Loango_II!CA_gco&gt;0),Loango_II!CA_gco+AP208,Loango_II!CA_cost_stop+AP208)</f>
        <v>0</v>
      </c>
      <c r="AQ212" s="49">
        <f ca="1">IF(AND((Loango_II!CA_cost_stop+AQ208)&lt;AP213,Loango_II!CA_gco&gt;0),Loango_II!CA_gco+AQ208,Loango_II!CA_cost_stop+AQ208)</f>
        <v>0</v>
      </c>
      <c r="AR212" s="49">
        <f ca="1">IF(AND((Loango_II!CA_cost_stop+AR208)&lt;AQ213,Loango_II!CA_gco&gt;0),Loango_II!CA_gco+AR208,Loango_II!CA_cost_stop+AR208)</f>
        <v>0</v>
      </c>
      <c r="AS212" s="49">
        <f ca="1">IF(AND((Loango_II!CA_cost_stop+AS208)&lt;AR213,Loango_II!CA_gco&gt;0),Loango_II!CA_gco+AS208,Loango_II!CA_cost_stop+AS208)</f>
        <v>0</v>
      </c>
      <c r="AT212" s="49">
        <f ca="1">IF(AND((Loango_II!CA_cost_stop+AT208)&lt;AS213,Loango_II!CA_gco&gt;0),Loango_II!CA_gco+AT208,Loango_II!CA_cost_stop+AT208)</f>
        <v>0</v>
      </c>
      <c r="AU212" s="49">
        <f ca="1">IF(AND((Loango_II!CA_cost_stop+AU208)&lt;AT213,Loango_II!CA_gco&gt;0),Loango_II!CA_gco+AU208,Loango_II!CA_cost_stop+AU208)</f>
        <v>0</v>
      </c>
      <c r="AV212" s="49">
        <f ca="1">IF(AND((Loango_II!CA_cost_stop+AV208)&lt;AU213,Loango_II!CA_gco&gt;0),Loango_II!CA_gco+AV208,Loango_II!CA_cost_stop+AV208)</f>
        <v>0</v>
      </c>
      <c r="AW212" s="49">
        <f ca="1">IF(AND((Loango_II!CA_cost_stop+AW208)&lt;AV213,Loango_II!CA_gco&gt;0),Loango_II!CA_gco+AW208,Loango_II!CA_cost_stop+AW208)</f>
        <v>0</v>
      </c>
      <c r="AX212" s="49">
        <f ca="1">IF(AND((Loango_II!CA_cost_stop+AX208)&lt;AW213,Loango_II!CA_gco&gt;0),Loango_II!CA_gco+AX208,Loango_II!CA_cost_stop+AX208)</f>
        <v>0</v>
      </c>
      <c r="AY212" s="49">
        <f ca="1">IF(AND((Loango_II!CA_cost_stop+AY208)&lt;AX213,Loango_II!CA_gco&gt;0),Loango_II!CA_gco+AY208,Loango_II!CA_cost_stop+AY208)</f>
        <v>0</v>
      </c>
      <c r="AZ212" s="49">
        <f ca="1">IF(AND((Loango_II!CA_cost_stop+AZ208)&lt;AY213,Loango_II!CA_gco&gt;0),Loango_II!CA_gco+AZ208,Loango_II!CA_cost_stop+AZ208)</f>
        <v>0</v>
      </c>
      <c r="BA212" s="49">
        <f ca="1">IF(AND((Loango_II!CA_cost_stop+BA208)&lt;AZ213,Loango_II!CA_gco&gt;0),Loango_II!CA_gco+BA208,Loango_II!CA_cost_stop+BA208)</f>
        <v>0</v>
      </c>
      <c r="BB212" s="49">
        <f ca="1">IF(AND((Loango_II!CA_cost_stop+BB208)&lt;BA213,Loango_II!CA_gco&gt;0),Loango_II!CA_gco+BB208,Loango_II!CA_cost_stop+BB208)</f>
        <v>0</v>
      </c>
      <c r="BC212" s="49">
        <f ca="1">IF(AND((Loango_II!CA_cost_stop+BC208)&lt;BB213,Loango_II!CA_gco&gt;0),Loango_II!CA_gco+BC208,Loango_II!CA_cost_stop+BC208)</f>
        <v>0</v>
      </c>
      <c r="BD212" s="49">
        <f ca="1">IF(AND((Loango_II!CA_cost_stop+BD208)&lt;BC213,Loango_II!CA_gco&gt;0),Loango_II!CA_gco+BD208,Loango_II!CA_cost_stop+BD208)</f>
        <v>0</v>
      </c>
      <c r="BE212" s="49">
        <f ca="1">IF(AND((Loango_II!CA_cost_stop+BE208)&lt;BD213,Loango_II!CA_gco&gt;0),Loango_II!CA_gco+BE208,Loango_II!CA_cost_stop+BE208)</f>
        <v>0</v>
      </c>
      <c r="BF212" s="49">
        <f ca="1">IF(AND((Loango_II!CA_cost_stop+BF208)&lt;BE213,Loango_II!CA_gco&gt;0),Loango_II!CA_gco+BF208,Loango_II!CA_cost_stop+BF208)</f>
        <v>0</v>
      </c>
      <c r="BG212" s="49">
        <f ca="1">IF(AND((Loango_II!CA_cost_stop+BG208)&lt;BF213,Loango_II!CA_gco&gt;0),Loango_II!CA_gco+BG208,Loango_II!CA_cost_stop+BG208)</f>
        <v>0</v>
      </c>
      <c r="BH212" s="49">
        <f ca="1">IF(AND((Loango_II!CA_cost_stop+BH208)&lt;BG213,Loango_II!CA_gco&gt;0),Loango_II!CA_gco+BH208,Loango_II!CA_cost_stop+BH208)</f>
        <v>0</v>
      </c>
      <c r="BI212" s="49">
        <f ca="1">IF(AND((Loango_II!CA_cost_stop+BI208)&lt;BH213,Loango_II!CA_gco&gt;0),Loango_II!CA_gco+BI208,Loango_II!CA_cost_stop+BI208)</f>
        <v>0</v>
      </c>
      <c r="BJ212" s="49">
        <f ca="1">IF(AND((Loango_II!CA_cost_stop+BJ208)&lt;BI213,Loango_II!CA_gco&gt;0),Loango_II!CA_gco+BJ208,Loango_II!CA_cost_stop+BJ208)</f>
        <v>0</v>
      </c>
      <c r="BK212" s="49">
        <f ca="1">IF(AND((Loango_II!CA_cost_stop+BK208)&lt;BJ213,Loango_II!CA_gco&gt;0),Loango_II!CA_gco+BK208,Loango_II!CA_cost_stop+BK208)</f>
        <v>0</v>
      </c>
      <c r="BL212" s="49">
        <f ca="1">IF(AND((Loango_II!CA_cost_stop+BL208)&lt;BK213,Loango_II!CA_gco&gt;0),Loango_II!CA_gco+BL208,Loango_II!CA_cost_stop+BL208)</f>
        <v>0</v>
      </c>
      <c r="BM212" s="49">
        <f ca="1">IF(AND((Loango_II!CA_cost_stop+BM208)&lt;BL213,Loango_II!CA_gco&gt;0),Loango_II!CA_gco+BM208,Loango_II!CA_cost_stop+BM208)</f>
        <v>0</v>
      </c>
      <c r="BN212" s="49">
        <f ca="1">IF(AND((Loango_II!CA_cost_stop+BN208)&lt;BM213,Loango_II!CA_gco&gt;0),Loango_II!CA_gco+BN208,Loango_II!CA_cost_stop+BN208)</f>
        <v>0</v>
      </c>
      <c r="BO212" s="49">
        <f ca="1">IF(AND((Loango_II!CA_cost_stop+BO208)&lt;BN213,Loango_II!CA_gco&gt;0),Loango_II!CA_gco+BO208,Loango_II!CA_cost_stop+BO208)</f>
        <v>0</v>
      </c>
      <c r="BP212" s="49">
        <f ca="1">IF(AND((Loango_II!CA_cost_stop+BP208)&lt;BO213,Loango_II!CA_gco&gt;0),Loango_II!CA_gco+BP208,Loango_II!CA_cost_stop+BP208)</f>
        <v>0</v>
      </c>
      <c r="BQ212" s="49">
        <f ca="1">IF(AND((Loango_II!CA_cost_stop+BQ208)&lt;BP213,Loango_II!CA_gco&gt;0),Loango_II!CA_gco+BQ208,Loango_II!CA_cost_stop+BQ208)</f>
        <v>0</v>
      </c>
      <c r="BR212" s="49">
        <f ca="1">IF(AND((Loango_II!CA_cost_stop+BR208)&lt;BQ213,Loango_II!CA_gco&gt;0),Loango_II!CA_gco+BR208,Loango_II!CA_cost_stop+BR208)</f>
        <v>0</v>
      </c>
      <c r="BS212" s="49">
        <f ca="1">IF(AND((Loango_II!CA_cost_stop+BS208)&lt;BR213,Loango_II!CA_gco&gt;0),Loango_II!CA_gco+BS208,Loango_II!CA_cost_stop+BS208)</f>
        <v>0</v>
      </c>
    </row>
    <row r="213" spans="4:71" outlineLevel="1" x14ac:dyDescent="0.2">
      <c r="E213" t="s">
        <v>201</v>
      </c>
      <c r="I213" s="30">
        <f ca="1">I191</f>
        <v>116.836644723813</v>
      </c>
      <c r="J213" s="26" t="s">
        <v>148</v>
      </c>
      <c r="L213" s="49">
        <f ca="1">Loango_II!CA_pid_to_recover+(K215*(1+Loango_II!int_rate_cf_costs))</f>
        <v>7.4933748230811874</v>
      </c>
      <c r="M213" s="49">
        <f ca="1">Loango_II!CA_pid_to_recover+(L215*(1+Loango_II!int_rate_cf_costs))</f>
        <v>7.0784597535292457</v>
      </c>
      <c r="N213" s="49">
        <f ca="1">Loango_II!CA_pid_to_recover+(M215*(1+Loango_II!int_rate_cf_costs))</f>
        <v>2.6706236900108338</v>
      </c>
      <c r="O213" s="49">
        <f ca="1">Loango_II!CA_pid_to_recover+(N215*(1+Loango_II!int_rate_cf_costs))</f>
        <v>2.5208282317336823</v>
      </c>
      <c r="P213" s="49">
        <f ca="1">Loango_II!CA_pid_to_recover+(O215*(1+Loango_II!int_rate_cf_costs))</f>
        <v>9.5132411857128183</v>
      </c>
      <c r="Q213" s="49">
        <f ca="1">Loango_II!CA_pid_to_recover+(P215*(1+Loango_II!int_rate_cf_costs))</f>
        <v>23.41256984963384</v>
      </c>
      <c r="R213" s="49">
        <f ca="1">Loango_II!CA_pid_to_recover+(Q215*(1+Loango_II!int_rate_cf_costs))</f>
        <v>13.267308635491613</v>
      </c>
      <c r="S213" s="49">
        <f ca="1">Loango_II!CA_pid_to_recover+(R215*(1+Loango_II!int_rate_cf_costs))</f>
        <v>7.7017699371600008</v>
      </c>
      <c r="T213" s="49">
        <f ca="1">Loango_II!CA_pid_to_recover+(S215*(1+Loango_II!int_rate_cf_costs))</f>
        <v>11.75231225896416</v>
      </c>
      <c r="U213" s="49">
        <f ca="1">Loango_II!CA_pid_to_recover+(T215*(1+Loango_II!int_rate_cf_costs))</f>
        <v>11.731746984589799</v>
      </c>
      <c r="V213" s="49">
        <f ca="1">Loango_II!CA_pid_to_recover+(U215*(1+Loango_II!int_rate_cf_costs))</f>
        <v>11.128735189581883</v>
      </c>
      <c r="W213" s="49">
        <f ca="1">Loango_II!CA_pid_to_recover+(V215*(1+Loango_II!int_rate_cf_costs))</f>
        <v>10.585640716456105</v>
      </c>
      <c r="X213" s="49">
        <f ca="1">Loango_II!CA_pid_to_recover+(W215*(1+Loango_II!int_rate_cf_costs))</f>
        <v>10.014102885314331</v>
      </c>
      <c r="Y213" s="49">
        <f ca="1">Loango_II!CA_pid_to_recover+(X215*(1+Loango_II!int_rate_cf_costs))</f>
        <v>0</v>
      </c>
      <c r="Z213" s="49">
        <f ca="1">Loango_II!CA_pid_to_recover+(Y215*(1+Loango_II!int_rate_cf_costs))</f>
        <v>0</v>
      </c>
      <c r="AA213" s="49">
        <f ca="1">Loango_II!CA_pid_to_recover+(Z215*(1+Loango_II!int_rate_cf_costs))</f>
        <v>0</v>
      </c>
      <c r="AB213" s="49">
        <f ca="1">Loango_II!CA_pid_to_recover+(AA215*(1+Loango_II!int_rate_cf_costs))</f>
        <v>0</v>
      </c>
      <c r="AC213" s="49">
        <f ca="1">Loango_II!CA_pid_to_recover+(AB215*(1+Loango_II!int_rate_cf_costs))</f>
        <v>0</v>
      </c>
      <c r="AD213" s="49">
        <f ca="1">Loango_II!CA_pid_to_recover+(AC215*(1+Loango_II!int_rate_cf_costs))</f>
        <v>0</v>
      </c>
      <c r="AE213" s="49">
        <f ca="1">Loango_II!CA_pid_to_recover+(AD215*(1+Loango_II!int_rate_cf_costs))</f>
        <v>0</v>
      </c>
      <c r="AF213" s="49">
        <f ca="1">Loango_II!CA_pid_to_recover+(AE215*(1+Loango_II!int_rate_cf_costs))</f>
        <v>0</v>
      </c>
      <c r="AG213" s="49">
        <f ca="1">Loango_II!CA_pid_to_recover+(AF215*(1+Loango_II!int_rate_cf_costs))</f>
        <v>0</v>
      </c>
      <c r="AH213" s="49">
        <f ca="1">Loango_II!CA_pid_to_recover+(AG215*(1+Loango_II!int_rate_cf_costs))</f>
        <v>0</v>
      </c>
      <c r="AI213" s="49">
        <f ca="1">Loango_II!CA_pid_to_recover+(AH215*(1+Loango_II!int_rate_cf_costs))</f>
        <v>0</v>
      </c>
      <c r="AJ213" s="49">
        <f ca="1">Loango_II!CA_pid_to_recover+(AI215*(1+Loango_II!int_rate_cf_costs))</f>
        <v>0</v>
      </c>
      <c r="AK213" s="49">
        <f ca="1">Loango_II!CA_pid_to_recover+(AJ215*(1+Loango_II!int_rate_cf_costs))</f>
        <v>0</v>
      </c>
      <c r="AL213" s="49">
        <f ca="1">Loango_II!CA_pid_to_recover+(AK215*(1+Loango_II!int_rate_cf_costs))</f>
        <v>0</v>
      </c>
      <c r="AM213" s="49">
        <f ca="1">Loango_II!CA_pid_to_recover+(AL215*(1+Loango_II!int_rate_cf_costs))</f>
        <v>0</v>
      </c>
      <c r="AN213" s="49">
        <f ca="1">Loango_II!CA_pid_to_recover+(AM215*(1+Loango_II!int_rate_cf_costs))</f>
        <v>0</v>
      </c>
      <c r="AO213" s="49">
        <f ca="1">Loango_II!CA_pid_to_recover+(AN215*(1+Loango_II!int_rate_cf_costs))</f>
        <v>0</v>
      </c>
      <c r="AP213" s="49">
        <f ca="1">Loango_II!CA_pid_to_recover+(AO215*(1+Loango_II!int_rate_cf_costs))</f>
        <v>0</v>
      </c>
      <c r="AQ213" s="49">
        <f ca="1">Loango_II!CA_pid_to_recover+(AP215*(1+Loango_II!int_rate_cf_costs))</f>
        <v>0</v>
      </c>
      <c r="AR213" s="49">
        <f ca="1">Loango_II!CA_pid_to_recover+(AQ215*(1+Loango_II!int_rate_cf_costs))</f>
        <v>0</v>
      </c>
      <c r="AS213" s="49">
        <f ca="1">Loango_II!CA_pid_to_recover+(AR215*(1+Loango_II!int_rate_cf_costs))</f>
        <v>0</v>
      </c>
      <c r="AT213" s="49">
        <f ca="1">Loango_II!CA_pid_to_recover+(AS215*(1+Loango_II!int_rate_cf_costs))</f>
        <v>0</v>
      </c>
      <c r="AU213" s="49">
        <f ca="1">Loango_II!CA_pid_to_recover+(AT215*(1+Loango_II!int_rate_cf_costs))</f>
        <v>0</v>
      </c>
      <c r="AV213" s="49">
        <f ca="1">Loango_II!CA_pid_to_recover+(AU215*(1+Loango_II!int_rate_cf_costs))</f>
        <v>0</v>
      </c>
      <c r="AW213" s="49">
        <f ca="1">Loango_II!CA_pid_to_recover+(AV215*(1+Loango_II!int_rate_cf_costs))</f>
        <v>0</v>
      </c>
      <c r="AX213" s="49">
        <f ca="1">Loango_II!CA_pid_to_recover+(AW215*(1+Loango_II!int_rate_cf_costs))</f>
        <v>0</v>
      </c>
      <c r="AY213" s="49">
        <f ca="1">Loango_II!CA_pid_to_recover+(AX215*(1+Loango_II!int_rate_cf_costs))</f>
        <v>0</v>
      </c>
      <c r="AZ213" s="49">
        <f ca="1">Loango_II!CA_pid_to_recover+(AY215*(1+Loango_II!int_rate_cf_costs))</f>
        <v>0</v>
      </c>
      <c r="BA213" s="49">
        <f ca="1">Loango_II!CA_pid_to_recover+(AZ215*(1+Loango_II!int_rate_cf_costs))</f>
        <v>0</v>
      </c>
      <c r="BB213" s="49">
        <f ca="1">Loango_II!CA_pid_to_recover+(BA215*(1+Loango_II!int_rate_cf_costs))</f>
        <v>0</v>
      </c>
      <c r="BC213" s="49">
        <f ca="1">Loango_II!CA_pid_to_recover+(BB215*(1+Loango_II!int_rate_cf_costs))</f>
        <v>0</v>
      </c>
      <c r="BD213" s="49">
        <f ca="1">Loango_II!CA_pid_to_recover+(BC215*(1+Loango_II!int_rate_cf_costs))</f>
        <v>0</v>
      </c>
      <c r="BE213" s="49">
        <f ca="1">Loango_II!CA_pid_to_recover+(BD215*(1+Loango_II!int_rate_cf_costs))</f>
        <v>0</v>
      </c>
      <c r="BF213" s="49">
        <f ca="1">Loango_II!CA_pid_to_recover+(BE215*(1+Loango_II!int_rate_cf_costs))</f>
        <v>0</v>
      </c>
      <c r="BG213" s="49">
        <f ca="1">Loango_II!CA_pid_to_recover+(BF215*(1+Loango_II!int_rate_cf_costs))</f>
        <v>0</v>
      </c>
      <c r="BH213" s="49">
        <f ca="1">Loango_II!CA_pid_to_recover+(BG215*(1+Loango_II!int_rate_cf_costs))</f>
        <v>0</v>
      </c>
      <c r="BI213" s="49">
        <f ca="1">Loango_II!CA_pid_to_recover+(BH215*(1+Loango_II!int_rate_cf_costs))</f>
        <v>0</v>
      </c>
      <c r="BJ213" s="49">
        <f ca="1">Loango_II!CA_pid_to_recover+(BI215*(1+Loango_II!int_rate_cf_costs))</f>
        <v>0</v>
      </c>
      <c r="BK213" s="49">
        <f ca="1">Loango_II!CA_pid_to_recover+(BJ215*(1+Loango_II!int_rate_cf_costs))</f>
        <v>0</v>
      </c>
      <c r="BL213" s="49">
        <f ca="1">Loango_II!CA_pid_to_recover+(BK215*(1+Loango_II!int_rate_cf_costs))</f>
        <v>0</v>
      </c>
      <c r="BM213" s="49">
        <f ca="1">Loango_II!CA_pid_to_recover+(BL215*(1+Loango_II!int_rate_cf_costs))</f>
        <v>0</v>
      </c>
      <c r="BN213" s="49">
        <f ca="1">Loango_II!CA_pid_to_recover+(BM215*(1+Loango_II!int_rate_cf_costs))</f>
        <v>0</v>
      </c>
      <c r="BO213" s="49">
        <f ca="1">Loango_II!CA_pid_to_recover+(BN215*(1+Loango_II!int_rate_cf_costs))</f>
        <v>0</v>
      </c>
      <c r="BP213" s="49">
        <f ca="1">Loango_II!CA_pid_to_recover+(BO215*(1+Loango_II!int_rate_cf_costs))</f>
        <v>0</v>
      </c>
      <c r="BQ213" s="49">
        <f ca="1">Loango_II!CA_pid_to_recover+(BP215*(1+Loango_II!int_rate_cf_costs))</f>
        <v>0</v>
      </c>
      <c r="BR213" s="49">
        <f ca="1">Loango_II!CA_pid_to_recover+(BQ215*(1+Loango_II!int_rate_cf_costs))</f>
        <v>0</v>
      </c>
      <c r="BS213" s="49">
        <f ca="1">Loango_II!CA_pid_to_recover+(BR215*(1+Loango_II!int_rate_cf_costs))</f>
        <v>0</v>
      </c>
    </row>
    <row r="214" spans="4:71" outlineLevel="1" x14ac:dyDescent="0.2">
      <c r="E214" t="s">
        <v>202</v>
      </c>
      <c r="H214" s="56" t="b">
        <f ca="1">ROUND(I214,2)=-ROUND(I213,2)</f>
        <v>1</v>
      </c>
      <c r="I214" s="30">
        <f t="shared" ca="1" si="31"/>
        <v>-116.83664472381302</v>
      </c>
      <c r="J214" s="26" t="s">
        <v>148</v>
      </c>
      <c r="L214" s="49">
        <f ca="1">-MIN(L213,L212)</f>
        <v>-7.4933748230811874</v>
      </c>
      <c r="M214" s="49">
        <f t="shared" ref="M214:BS214" ca="1" si="32">-MIN(M213,M212)</f>
        <v>-7.0784597535292457</v>
      </c>
      <c r="N214" s="49">
        <f t="shared" ca="1" si="32"/>
        <v>-2.6706236900108338</v>
      </c>
      <c r="O214" s="49">
        <f t="shared" ca="1" si="32"/>
        <v>0</v>
      </c>
      <c r="P214" s="49">
        <f t="shared" ca="1" si="32"/>
        <v>0</v>
      </c>
      <c r="Q214" s="49">
        <f t="shared" ca="1" si="32"/>
        <v>-23.41256984963384</v>
      </c>
      <c r="R214" s="49">
        <f t="shared" ca="1" si="32"/>
        <v>-13.267308635491613</v>
      </c>
      <c r="S214" s="49">
        <f t="shared" ca="1" si="32"/>
        <v>-7.7017699371600008</v>
      </c>
      <c r="T214" s="49">
        <f t="shared" ca="1" si="32"/>
        <v>-11.75231225896416</v>
      </c>
      <c r="U214" s="49">
        <f t="shared" ca="1" si="32"/>
        <v>-11.731746984589799</v>
      </c>
      <c r="V214" s="49">
        <f t="shared" ca="1" si="32"/>
        <v>-11.128735189581883</v>
      </c>
      <c r="W214" s="49">
        <f t="shared" ca="1" si="32"/>
        <v>-10.585640716456105</v>
      </c>
      <c r="X214" s="49">
        <f t="shared" ca="1" si="32"/>
        <v>-10.014102885314331</v>
      </c>
      <c r="Y214" s="49">
        <f t="shared" ca="1" si="32"/>
        <v>0</v>
      </c>
      <c r="Z214" s="49">
        <f t="shared" ca="1" si="32"/>
        <v>0</v>
      </c>
      <c r="AA214" s="49">
        <f t="shared" ca="1" si="32"/>
        <v>0</v>
      </c>
      <c r="AB214" s="49">
        <f t="shared" ca="1" si="32"/>
        <v>0</v>
      </c>
      <c r="AC214" s="49">
        <f t="shared" ca="1" si="32"/>
        <v>0</v>
      </c>
      <c r="AD214" s="49">
        <f t="shared" ca="1" si="32"/>
        <v>0</v>
      </c>
      <c r="AE214" s="49">
        <f t="shared" ca="1" si="32"/>
        <v>0</v>
      </c>
      <c r="AF214" s="49">
        <f t="shared" ca="1" si="32"/>
        <v>0</v>
      </c>
      <c r="AG214" s="49">
        <f t="shared" ca="1" si="32"/>
        <v>0</v>
      </c>
      <c r="AH214" s="49">
        <f t="shared" ca="1" si="32"/>
        <v>0</v>
      </c>
      <c r="AI214" s="49">
        <f t="shared" ca="1" si="32"/>
        <v>0</v>
      </c>
      <c r="AJ214" s="49">
        <f t="shared" ca="1" si="32"/>
        <v>0</v>
      </c>
      <c r="AK214" s="49">
        <f t="shared" ca="1" si="32"/>
        <v>0</v>
      </c>
      <c r="AL214" s="49">
        <f t="shared" ca="1" si="32"/>
        <v>0</v>
      </c>
      <c r="AM214" s="49">
        <f t="shared" ca="1" si="32"/>
        <v>0</v>
      </c>
      <c r="AN214" s="49">
        <f t="shared" ca="1" si="32"/>
        <v>0</v>
      </c>
      <c r="AO214" s="49">
        <f t="shared" ca="1" si="32"/>
        <v>0</v>
      </c>
      <c r="AP214" s="49">
        <f t="shared" ca="1" si="32"/>
        <v>0</v>
      </c>
      <c r="AQ214" s="49">
        <f t="shared" ca="1" si="32"/>
        <v>0</v>
      </c>
      <c r="AR214" s="49">
        <f t="shared" ca="1" si="32"/>
        <v>0</v>
      </c>
      <c r="AS214" s="49">
        <f t="shared" ca="1" si="32"/>
        <v>0</v>
      </c>
      <c r="AT214" s="49">
        <f t="shared" ca="1" si="32"/>
        <v>0</v>
      </c>
      <c r="AU214" s="49">
        <f t="shared" ca="1" si="32"/>
        <v>0</v>
      </c>
      <c r="AV214" s="49">
        <f t="shared" ca="1" si="32"/>
        <v>0</v>
      </c>
      <c r="AW214" s="49">
        <f t="shared" ca="1" si="32"/>
        <v>0</v>
      </c>
      <c r="AX214" s="49">
        <f t="shared" ca="1" si="32"/>
        <v>0</v>
      </c>
      <c r="AY214" s="49">
        <f t="shared" ca="1" si="32"/>
        <v>0</v>
      </c>
      <c r="AZ214" s="49">
        <f t="shared" ca="1" si="32"/>
        <v>0</v>
      </c>
      <c r="BA214" s="49">
        <f t="shared" ca="1" si="32"/>
        <v>0</v>
      </c>
      <c r="BB214" s="49">
        <f t="shared" ca="1" si="32"/>
        <v>0</v>
      </c>
      <c r="BC214" s="49">
        <f t="shared" ca="1" si="32"/>
        <v>0</v>
      </c>
      <c r="BD214" s="49">
        <f t="shared" ca="1" si="32"/>
        <v>0</v>
      </c>
      <c r="BE214" s="49">
        <f t="shared" ca="1" si="32"/>
        <v>0</v>
      </c>
      <c r="BF214" s="49">
        <f t="shared" ca="1" si="32"/>
        <v>0</v>
      </c>
      <c r="BG214" s="49">
        <f t="shared" ca="1" si="32"/>
        <v>0</v>
      </c>
      <c r="BH214" s="49">
        <f t="shared" ca="1" si="32"/>
        <v>0</v>
      </c>
      <c r="BI214" s="49">
        <f t="shared" ca="1" si="32"/>
        <v>0</v>
      </c>
      <c r="BJ214" s="49">
        <f t="shared" ca="1" si="32"/>
        <v>0</v>
      </c>
      <c r="BK214" s="49">
        <f t="shared" ca="1" si="32"/>
        <v>0</v>
      </c>
      <c r="BL214" s="49">
        <f t="shared" ca="1" si="32"/>
        <v>0</v>
      </c>
      <c r="BM214" s="49">
        <f t="shared" ca="1" si="32"/>
        <v>0</v>
      </c>
      <c r="BN214" s="49">
        <f t="shared" ca="1" si="32"/>
        <v>0</v>
      </c>
      <c r="BO214" s="49">
        <f t="shared" ca="1" si="32"/>
        <v>0</v>
      </c>
      <c r="BP214" s="49">
        <f t="shared" ca="1" si="32"/>
        <v>0</v>
      </c>
      <c r="BQ214" s="49">
        <f t="shared" ca="1" si="32"/>
        <v>0</v>
      </c>
      <c r="BR214" s="49">
        <f t="shared" ca="1" si="32"/>
        <v>0</v>
      </c>
      <c r="BS214" s="49">
        <f t="shared" ca="1" si="32"/>
        <v>0</v>
      </c>
    </row>
    <row r="215" spans="4:71" outlineLevel="1" x14ac:dyDescent="0.2">
      <c r="E215" t="s">
        <v>195</v>
      </c>
      <c r="J215" s="26"/>
      <c r="L215" s="49">
        <f ca="1">L213+L214</f>
        <v>0</v>
      </c>
      <c r="M215" s="49">
        <f t="shared" ref="M215:BS215" ca="1" si="33">M213+M214</f>
        <v>0</v>
      </c>
      <c r="N215" s="49">
        <f t="shared" ca="1" si="33"/>
        <v>0</v>
      </c>
      <c r="O215" s="49">
        <f t="shared" ca="1" si="33"/>
        <v>2.5208282317336823</v>
      </c>
      <c r="P215" s="49">
        <f t="shared" ca="1" si="33"/>
        <v>9.5132411857128183</v>
      </c>
      <c r="Q215" s="49">
        <f t="shared" ca="1" si="33"/>
        <v>0</v>
      </c>
      <c r="R215" s="49">
        <f t="shared" ca="1" si="33"/>
        <v>0</v>
      </c>
      <c r="S215" s="49">
        <f t="shared" ca="1" si="33"/>
        <v>0</v>
      </c>
      <c r="T215" s="49">
        <f t="shared" ca="1" si="33"/>
        <v>0</v>
      </c>
      <c r="U215" s="49">
        <f t="shared" ca="1" si="33"/>
        <v>0</v>
      </c>
      <c r="V215" s="49">
        <f t="shared" ca="1" si="33"/>
        <v>0</v>
      </c>
      <c r="W215" s="49">
        <f t="shared" ca="1" si="33"/>
        <v>0</v>
      </c>
      <c r="X215" s="49">
        <f t="shared" ca="1" si="33"/>
        <v>0</v>
      </c>
      <c r="Y215" s="49">
        <f t="shared" ca="1" si="33"/>
        <v>0</v>
      </c>
      <c r="Z215" s="49">
        <f t="shared" ca="1" si="33"/>
        <v>0</v>
      </c>
      <c r="AA215" s="49">
        <f t="shared" ca="1" si="33"/>
        <v>0</v>
      </c>
      <c r="AB215" s="49">
        <f t="shared" ca="1" si="33"/>
        <v>0</v>
      </c>
      <c r="AC215" s="49">
        <f t="shared" ca="1" si="33"/>
        <v>0</v>
      </c>
      <c r="AD215" s="49">
        <f t="shared" ca="1" si="33"/>
        <v>0</v>
      </c>
      <c r="AE215" s="49">
        <f t="shared" ca="1" si="33"/>
        <v>0</v>
      </c>
      <c r="AF215" s="49">
        <f t="shared" ca="1" si="33"/>
        <v>0</v>
      </c>
      <c r="AG215" s="49">
        <f t="shared" ca="1" si="33"/>
        <v>0</v>
      </c>
      <c r="AH215" s="49">
        <f t="shared" ca="1" si="33"/>
        <v>0</v>
      </c>
      <c r="AI215" s="49">
        <f t="shared" ca="1" si="33"/>
        <v>0</v>
      </c>
      <c r="AJ215" s="49">
        <f t="shared" ca="1" si="33"/>
        <v>0</v>
      </c>
      <c r="AK215" s="49">
        <f t="shared" ca="1" si="33"/>
        <v>0</v>
      </c>
      <c r="AL215" s="49">
        <f t="shared" ca="1" si="33"/>
        <v>0</v>
      </c>
      <c r="AM215" s="49">
        <f t="shared" ca="1" si="33"/>
        <v>0</v>
      </c>
      <c r="AN215" s="49">
        <f t="shared" ca="1" si="33"/>
        <v>0</v>
      </c>
      <c r="AO215" s="49">
        <f t="shared" ca="1" si="33"/>
        <v>0</v>
      </c>
      <c r="AP215" s="49">
        <f t="shared" ca="1" si="33"/>
        <v>0</v>
      </c>
      <c r="AQ215" s="49">
        <f t="shared" ca="1" si="33"/>
        <v>0</v>
      </c>
      <c r="AR215" s="49">
        <f t="shared" ca="1" si="33"/>
        <v>0</v>
      </c>
      <c r="AS215" s="49">
        <f t="shared" ca="1" si="33"/>
        <v>0</v>
      </c>
      <c r="AT215" s="49">
        <f t="shared" ca="1" si="33"/>
        <v>0</v>
      </c>
      <c r="AU215" s="49">
        <f t="shared" ca="1" si="33"/>
        <v>0</v>
      </c>
      <c r="AV215" s="49">
        <f t="shared" ca="1" si="33"/>
        <v>0</v>
      </c>
      <c r="AW215" s="49">
        <f t="shared" ca="1" si="33"/>
        <v>0</v>
      </c>
      <c r="AX215" s="49">
        <f t="shared" ca="1" si="33"/>
        <v>0</v>
      </c>
      <c r="AY215" s="49">
        <f t="shared" ca="1" si="33"/>
        <v>0</v>
      </c>
      <c r="AZ215" s="49">
        <f t="shared" ca="1" si="33"/>
        <v>0</v>
      </c>
      <c r="BA215" s="49">
        <f t="shared" ca="1" si="33"/>
        <v>0</v>
      </c>
      <c r="BB215" s="49">
        <f t="shared" ca="1" si="33"/>
        <v>0</v>
      </c>
      <c r="BC215" s="49">
        <f t="shared" ca="1" si="33"/>
        <v>0</v>
      </c>
      <c r="BD215" s="49">
        <f t="shared" ca="1" si="33"/>
        <v>0</v>
      </c>
      <c r="BE215" s="49">
        <f t="shared" ca="1" si="33"/>
        <v>0</v>
      </c>
      <c r="BF215" s="49">
        <f t="shared" ca="1" si="33"/>
        <v>0</v>
      </c>
      <c r="BG215" s="49">
        <f t="shared" ca="1" si="33"/>
        <v>0</v>
      </c>
      <c r="BH215" s="49">
        <f t="shared" ca="1" si="33"/>
        <v>0</v>
      </c>
      <c r="BI215" s="49">
        <f t="shared" ca="1" si="33"/>
        <v>0</v>
      </c>
      <c r="BJ215" s="49">
        <f t="shared" ca="1" si="33"/>
        <v>0</v>
      </c>
      <c r="BK215" s="49">
        <f t="shared" ca="1" si="33"/>
        <v>0</v>
      </c>
      <c r="BL215" s="49">
        <f t="shared" ca="1" si="33"/>
        <v>0</v>
      </c>
      <c r="BM215" s="49">
        <f t="shared" ca="1" si="33"/>
        <v>0</v>
      </c>
      <c r="BN215" s="49">
        <f t="shared" ca="1" si="33"/>
        <v>0</v>
      </c>
      <c r="BO215" s="49">
        <f t="shared" ca="1" si="33"/>
        <v>0</v>
      </c>
      <c r="BP215" s="49">
        <f t="shared" ca="1" si="33"/>
        <v>0</v>
      </c>
      <c r="BQ215" s="49">
        <f t="shared" ca="1" si="33"/>
        <v>0</v>
      </c>
      <c r="BR215" s="49">
        <f t="shared" ca="1" si="33"/>
        <v>0</v>
      </c>
      <c r="BS215" s="49">
        <f t="shared" ca="1" si="33"/>
        <v>0</v>
      </c>
    </row>
    <row r="216" spans="4:71" outlineLevel="1" x14ac:dyDescent="0.2">
      <c r="J216" s="26"/>
      <c r="L216" s="55"/>
      <c r="M216" s="55"/>
      <c r="N216" s="55"/>
      <c r="O216" s="55"/>
      <c r="P216" s="55"/>
      <c r="Q216" s="55"/>
      <c r="R216" s="55"/>
      <c r="S216" s="55"/>
      <c r="T216" s="55"/>
      <c r="U216" s="55"/>
      <c r="V216" s="55"/>
      <c r="W216" s="55"/>
      <c r="X216" s="55"/>
      <c r="Y216" s="55"/>
      <c r="Z216" s="55"/>
      <c r="AA216" s="55"/>
      <c r="AB216" s="55"/>
      <c r="AC216" s="55"/>
      <c r="AD216" s="55"/>
      <c r="AE216" s="55"/>
      <c r="AF216" s="55"/>
      <c r="AG216" s="55"/>
      <c r="AH216" s="55"/>
      <c r="AI216" s="55"/>
      <c r="AJ216" s="55"/>
      <c r="AK216" s="55"/>
      <c r="AL216" s="55"/>
      <c r="AM216" s="55"/>
      <c r="AN216" s="55"/>
      <c r="AO216" s="55"/>
      <c r="AP216" s="55"/>
      <c r="AQ216" s="55"/>
      <c r="AR216" s="55"/>
      <c r="AS216" s="55"/>
      <c r="AT216" s="55"/>
      <c r="AU216" s="55"/>
      <c r="AV216" s="55"/>
      <c r="AW216" s="55"/>
      <c r="AX216" s="55"/>
      <c r="AY216" s="55"/>
      <c r="AZ216" s="55"/>
      <c r="BA216" s="55"/>
      <c r="BB216" s="55"/>
      <c r="BC216" s="55"/>
      <c r="BD216" s="55"/>
      <c r="BE216" s="55"/>
      <c r="BF216" s="55"/>
      <c r="BG216" s="55"/>
      <c r="BH216" s="55"/>
      <c r="BI216" s="55"/>
      <c r="BJ216" s="55"/>
      <c r="BK216" s="55"/>
      <c r="BL216" s="55"/>
      <c r="BM216" s="55"/>
      <c r="BN216" s="55"/>
      <c r="BO216" s="55"/>
      <c r="BP216" s="55"/>
      <c r="BQ216" s="55"/>
      <c r="BR216" s="55"/>
      <c r="BS216" s="55"/>
    </row>
    <row r="217" spans="4:71" outlineLevel="1" x14ac:dyDescent="0.2">
      <c r="D217" s="51" t="s">
        <v>183</v>
      </c>
      <c r="J217" s="26"/>
      <c r="L217" s="55"/>
      <c r="M217" s="55"/>
      <c r="N217" s="55"/>
      <c r="O217" s="55"/>
      <c r="P217" s="55"/>
      <c r="Q217" s="55"/>
      <c r="R217" s="55"/>
      <c r="S217" s="55"/>
      <c r="T217" s="55"/>
      <c r="U217" s="55"/>
      <c r="V217" s="55"/>
      <c r="W217" s="55"/>
      <c r="X217" s="55"/>
      <c r="Y217" s="55"/>
      <c r="Z217" s="55"/>
      <c r="AA217" s="55"/>
      <c r="AB217" s="55"/>
      <c r="AC217" s="55"/>
      <c r="AD217" s="55"/>
      <c r="AE217" s="55"/>
      <c r="AF217" s="55"/>
      <c r="AG217" s="55"/>
      <c r="AH217" s="55"/>
      <c r="AI217" s="55"/>
      <c r="AJ217" s="55"/>
      <c r="AK217" s="55"/>
      <c r="AL217" s="55"/>
      <c r="AM217" s="55"/>
      <c r="AN217" s="55"/>
      <c r="AO217" s="55"/>
      <c r="AP217" s="55"/>
      <c r="AQ217" s="55"/>
      <c r="AR217" s="55"/>
      <c r="AS217" s="55"/>
      <c r="AT217" s="55"/>
      <c r="AU217" s="55"/>
      <c r="AV217" s="55"/>
      <c r="AW217" s="55"/>
      <c r="AX217" s="55"/>
      <c r="AY217" s="55"/>
      <c r="AZ217" s="55"/>
      <c r="BA217" s="55"/>
      <c r="BB217" s="55"/>
      <c r="BC217" s="55"/>
      <c r="BD217" s="55"/>
      <c r="BE217" s="55"/>
      <c r="BF217" s="55"/>
      <c r="BG217" s="55"/>
      <c r="BH217" s="55"/>
      <c r="BI217" s="55"/>
      <c r="BJ217" s="55"/>
      <c r="BK217" s="55"/>
      <c r="BL217" s="55"/>
      <c r="BM217" s="55"/>
      <c r="BN217" s="55"/>
      <c r="BO217" s="55"/>
      <c r="BP217" s="55"/>
      <c r="BQ217" s="55"/>
      <c r="BR217" s="55"/>
      <c r="BS217" s="55"/>
    </row>
    <row r="218" spans="4:71" outlineLevel="1" x14ac:dyDescent="0.2">
      <c r="E218" t="s">
        <v>192</v>
      </c>
      <c r="I218" s="30">
        <f t="shared" ref="I218:I220" ca="1" si="34">SUM($L218:$BS218)</f>
        <v>1240.9368940030977</v>
      </c>
      <c r="J218" s="26" t="s">
        <v>148</v>
      </c>
      <c r="L218" s="49">
        <f ca="1">IF(AND((Loango_II!CA_cost_stop+L208+L214)&lt;K219,Loango_II!CA_gco&gt;0),Loango_II!CA_gco+L208+L214,Loango_II!CA_cost_stop+L208+L214)</f>
        <v>227.74517349978882</v>
      </c>
      <c r="M218" s="49">
        <f ca="1">IF(AND((Loango_II!CA_cost_stop+M208+M214)&lt;L219,Loango_II!CA_gco&gt;0),Loango_II!CA_gco+M208+M214,Loango_II!CA_cost_stop+M208+M214)</f>
        <v>206.83592417442068</v>
      </c>
      <c r="N218" s="49">
        <f ca="1">IF(AND((Loango_II!CA_cost_stop+N208+N214)&lt;M219,Loango_II!CA_gco&gt;0),Loango_II!CA_gco+N208+N214,Loango_II!CA_cost_stop+N208+N214)</f>
        <v>21.862797710639178</v>
      </c>
      <c r="O218" s="49">
        <f ca="1">IF(AND((Loango_II!CA_cost_stop+O208+O214)&lt;N219,Loango_II!CA_gco&gt;0),Loango_II!CA_gco+O208+O214,Loango_II!CA_cost_stop+O208+O214)</f>
        <v>0</v>
      </c>
      <c r="P218" s="49">
        <f ca="1">IF(AND((Loango_II!CA_cost_stop+P208+P214)&lt;O219,Loango_II!CA_gco&gt;0),Loango_II!CA_gco+P208+P214,Loango_II!CA_cost_stop+P208+P214)</f>
        <v>0</v>
      </c>
      <c r="Q218" s="49">
        <f ca="1">IF(AND((Loango_II!CA_cost_stop+Q208+Q214)&lt;P219,Loango_II!CA_gco&gt;0),Loango_II!CA_gco+Q208+Q214,Loango_II!CA_cost_stop+Q208+Q214)</f>
        <v>359.88662112839637</v>
      </c>
      <c r="R218" s="49">
        <f ca="1">IF(AND((Loango_II!CA_cost_stop+R208+R214)&lt;Q219,Loango_II!CA_gco&gt;0),Loango_II!CA_gco+R208+R214,Loango_II!CA_cost_stop+R208+R214)</f>
        <v>142.75387633573163</v>
      </c>
      <c r="S218" s="49">
        <f ca="1">IF(AND((Loango_II!CA_cost_stop+S208+S214)&lt;R219,Loango_II!CA_gco&gt;0),Loango_II!CA_gco+S208+S214,Loango_II!CA_cost_stop+S208+S214)</f>
        <v>-39.843362010879979</v>
      </c>
      <c r="T218" s="49">
        <f ca="1">IF(AND((Loango_II!CA_cost_stop+T208+T214)&lt;S219,Loango_II!CA_gco&gt;0),Loango_II!CA_gco+T208+T214,Loango_II!CA_cost_stop+T208+T214)</f>
        <v>92.673992286853121</v>
      </c>
      <c r="U218" s="49">
        <f ca="1">IF(AND((Loango_II!CA_cost_stop+U208+U214)&lt;T219,Loango_II!CA_gco&gt;0),Loango_II!CA_gco+U208+U214,Loango_II!CA_cost_stop+U208+U214)</f>
        <v>89.203903506873573</v>
      </c>
      <c r="V218" s="49">
        <f ca="1">IF(AND((Loango_II!CA_cost_stop+V208+V214)&lt;U219,Loango_II!CA_gco&gt;0),Loango_II!CA_gco+V208+V214,Loango_II!CA_cost_stop+V208+V214)</f>
        <v>67.096406066620219</v>
      </c>
      <c r="W218" s="49">
        <f ca="1">IF(AND((Loango_II!CA_cost_stop+W208+W214)&lt;V219,Loango_II!CA_gco&gt;0),Loango_II!CA_gco+W208+W214,Loango_II!CA_cost_stop+W208+W214)</f>
        <v>46.908302926595361</v>
      </c>
      <c r="X218" s="49">
        <f ca="1">IF(AND((Loango_II!CA_cost_stop+X208+X214)&lt;W219,Loango_II!CA_gco&gt;0),Loango_II!CA_gco+X208+X214,Loango_II!CA_cost_stop+X208+X214)</f>
        <v>25.81325837805862</v>
      </c>
      <c r="Y218" s="49">
        <f ca="1">IF(AND((Loango_II!CA_cost_stop+Y208+Y214)&lt;X219,Loango_II!CA_gco&gt;0),Loango_II!CA_gco+Y208+Y214,Loango_II!CA_cost_stop+Y208+Y214)</f>
        <v>0</v>
      </c>
      <c r="Z218" s="49">
        <f ca="1">IF(AND((Loango_II!CA_cost_stop+Z208+Z214)&lt;Y219,Loango_II!CA_gco&gt;0),Loango_II!CA_gco+Z208+Z214,Loango_II!CA_cost_stop+Z208+Z214)</f>
        <v>0</v>
      </c>
      <c r="AA218" s="49">
        <f ca="1">IF(AND((Loango_II!CA_cost_stop+AA208+AA214)&lt;Z219,Loango_II!CA_gco&gt;0),Loango_II!CA_gco+AA208+AA214,Loango_II!CA_cost_stop+AA208+AA214)</f>
        <v>0</v>
      </c>
      <c r="AB218" s="49">
        <f ca="1">IF(AND((Loango_II!CA_cost_stop+AB208+AB214)&lt;AA219,Loango_II!CA_gco&gt;0),Loango_II!CA_gco+AB208+AB214,Loango_II!CA_cost_stop+AB208+AB214)</f>
        <v>0</v>
      </c>
      <c r="AC218" s="49">
        <f ca="1">IF(AND((Loango_II!CA_cost_stop+AC208+AC214)&lt;AB219,Loango_II!CA_gco&gt;0),Loango_II!CA_gco+AC208+AC214,Loango_II!CA_cost_stop+AC208+AC214)</f>
        <v>0</v>
      </c>
      <c r="AD218" s="49">
        <f ca="1">IF(AND((Loango_II!CA_cost_stop+AD208+AD214)&lt;AC219,Loango_II!CA_gco&gt;0),Loango_II!CA_gco+AD208+AD214,Loango_II!CA_cost_stop+AD208+AD214)</f>
        <v>0</v>
      </c>
      <c r="AE218" s="49">
        <f ca="1">IF(AND((Loango_II!CA_cost_stop+AE208+AE214)&lt;AD219,Loango_II!CA_gco&gt;0),Loango_II!CA_gco+AE208+AE214,Loango_II!CA_cost_stop+AE208+AE214)</f>
        <v>0</v>
      </c>
      <c r="AF218" s="49">
        <f ca="1">IF(AND((Loango_II!CA_cost_stop+AF208+AF214)&lt;AE219,Loango_II!CA_gco&gt;0),Loango_II!CA_gco+AF208+AF214,Loango_II!CA_cost_stop+AF208+AF214)</f>
        <v>0</v>
      </c>
      <c r="AG218" s="49">
        <f ca="1">IF(AND((Loango_II!CA_cost_stop+AG208+AG214)&lt;AF219,Loango_II!CA_gco&gt;0),Loango_II!CA_gco+AG208+AG214,Loango_II!CA_cost_stop+AG208+AG214)</f>
        <v>0</v>
      </c>
      <c r="AH218" s="49">
        <f ca="1">IF(AND((Loango_II!CA_cost_stop+AH208+AH214)&lt;AG219,Loango_II!CA_gco&gt;0),Loango_II!CA_gco+AH208+AH214,Loango_II!CA_cost_stop+AH208+AH214)</f>
        <v>0</v>
      </c>
      <c r="AI218" s="49">
        <f ca="1">IF(AND((Loango_II!CA_cost_stop+AI208+AI214)&lt;AH219,Loango_II!CA_gco&gt;0),Loango_II!CA_gco+AI208+AI214,Loango_II!CA_cost_stop+AI208+AI214)</f>
        <v>0</v>
      </c>
      <c r="AJ218" s="49">
        <f ca="1">IF(AND((Loango_II!CA_cost_stop+AJ208+AJ214)&lt;AI219,Loango_II!CA_gco&gt;0),Loango_II!CA_gco+AJ208+AJ214,Loango_II!CA_cost_stop+AJ208+AJ214)</f>
        <v>0</v>
      </c>
      <c r="AK218" s="49">
        <f ca="1">IF(AND((Loango_II!CA_cost_stop+AK208+AK214)&lt;AJ219,Loango_II!CA_gco&gt;0),Loango_II!CA_gco+AK208+AK214,Loango_II!CA_cost_stop+AK208+AK214)</f>
        <v>0</v>
      </c>
      <c r="AL218" s="49">
        <f ca="1">IF(AND((Loango_II!CA_cost_stop+AL208+AL214)&lt;AK219,Loango_II!CA_gco&gt;0),Loango_II!CA_gco+AL208+AL214,Loango_II!CA_cost_stop+AL208+AL214)</f>
        <v>0</v>
      </c>
      <c r="AM218" s="49">
        <f ca="1">IF(AND((Loango_II!CA_cost_stop+AM208+AM214)&lt;AL219,Loango_II!CA_gco&gt;0),Loango_II!CA_gco+AM208+AM214,Loango_II!CA_cost_stop+AM208+AM214)</f>
        <v>0</v>
      </c>
      <c r="AN218" s="49">
        <f ca="1">IF(AND((Loango_II!CA_cost_stop+AN208+AN214)&lt;AM219,Loango_II!CA_gco&gt;0),Loango_II!CA_gco+AN208+AN214,Loango_II!CA_cost_stop+AN208+AN214)</f>
        <v>0</v>
      </c>
      <c r="AO218" s="49">
        <f ca="1">IF(AND((Loango_II!CA_cost_stop+AO208+AO214)&lt;AN219,Loango_II!CA_gco&gt;0),Loango_II!CA_gco+AO208+AO214,Loango_II!CA_cost_stop+AO208+AO214)</f>
        <v>0</v>
      </c>
      <c r="AP218" s="49">
        <f ca="1">IF(AND((Loango_II!CA_cost_stop+AP208+AP214)&lt;AO219,Loango_II!CA_gco&gt;0),Loango_II!CA_gco+AP208+AP214,Loango_II!CA_cost_stop+AP208+AP214)</f>
        <v>0</v>
      </c>
      <c r="AQ218" s="49">
        <f ca="1">IF(AND((Loango_II!CA_cost_stop+AQ208+AQ214)&lt;AP219,Loango_II!CA_gco&gt;0),Loango_II!CA_gco+AQ208+AQ214,Loango_II!CA_cost_stop+AQ208+AQ214)</f>
        <v>0</v>
      </c>
      <c r="AR218" s="49">
        <f ca="1">IF(AND((Loango_II!CA_cost_stop+AR208+AR214)&lt;AQ219,Loango_II!CA_gco&gt;0),Loango_II!CA_gco+AR208+AR214,Loango_II!CA_cost_stop+AR208+AR214)</f>
        <v>0</v>
      </c>
      <c r="AS218" s="49">
        <f ca="1">IF(AND((Loango_II!CA_cost_stop+AS208+AS214)&lt;AR219,Loango_II!CA_gco&gt;0),Loango_II!CA_gco+AS208+AS214,Loango_II!CA_cost_stop+AS208+AS214)</f>
        <v>0</v>
      </c>
      <c r="AT218" s="49">
        <f ca="1">IF(AND((Loango_II!CA_cost_stop+AT208+AT214)&lt;AS219,Loango_II!CA_gco&gt;0),Loango_II!CA_gco+AT208+AT214,Loango_II!CA_cost_stop+AT208+AT214)</f>
        <v>0</v>
      </c>
      <c r="AU218" s="49">
        <f ca="1">IF(AND((Loango_II!CA_cost_stop+AU208+AU214)&lt;AT219,Loango_II!CA_gco&gt;0),Loango_II!CA_gco+AU208+AU214,Loango_II!CA_cost_stop+AU208+AU214)</f>
        <v>0</v>
      </c>
      <c r="AV218" s="49">
        <f ca="1">IF(AND((Loango_II!CA_cost_stop+AV208+AV214)&lt;AU219,Loango_II!CA_gco&gt;0),Loango_II!CA_gco+AV208+AV214,Loango_II!CA_cost_stop+AV208+AV214)</f>
        <v>0</v>
      </c>
      <c r="AW218" s="49">
        <f ca="1">IF(AND((Loango_II!CA_cost_stop+AW208+AW214)&lt;AV219,Loango_II!CA_gco&gt;0),Loango_II!CA_gco+AW208+AW214,Loango_II!CA_cost_stop+AW208+AW214)</f>
        <v>0</v>
      </c>
      <c r="AX218" s="49">
        <f ca="1">IF(AND((Loango_II!CA_cost_stop+AX208+AX214)&lt;AW219,Loango_II!CA_gco&gt;0),Loango_II!CA_gco+AX208+AX214,Loango_II!CA_cost_stop+AX208+AX214)</f>
        <v>0</v>
      </c>
      <c r="AY218" s="49">
        <f ca="1">IF(AND((Loango_II!CA_cost_stop+AY208+AY214)&lt;AX219,Loango_II!CA_gco&gt;0),Loango_II!CA_gco+AY208+AY214,Loango_II!CA_cost_stop+AY208+AY214)</f>
        <v>0</v>
      </c>
      <c r="AZ218" s="49">
        <f ca="1">IF(AND((Loango_II!CA_cost_stop+AZ208+AZ214)&lt;AY219,Loango_II!CA_gco&gt;0),Loango_II!CA_gco+AZ208+AZ214,Loango_II!CA_cost_stop+AZ208+AZ214)</f>
        <v>0</v>
      </c>
      <c r="BA218" s="49">
        <f ca="1">IF(AND((Loango_II!CA_cost_stop+BA208+BA214)&lt;AZ219,Loango_II!CA_gco&gt;0),Loango_II!CA_gco+BA208+BA214,Loango_II!CA_cost_stop+BA208+BA214)</f>
        <v>0</v>
      </c>
      <c r="BB218" s="49">
        <f ca="1">IF(AND((Loango_II!CA_cost_stop+BB208+BB214)&lt;BA219,Loango_II!CA_gco&gt;0),Loango_II!CA_gco+BB208+BB214,Loango_II!CA_cost_stop+BB208+BB214)</f>
        <v>0</v>
      </c>
      <c r="BC218" s="49">
        <f ca="1">IF(AND((Loango_II!CA_cost_stop+BC208+BC214)&lt;BB219,Loango_II!CA_gco&gt;0),Loango_II!CA_gco+BC208+BC214,Loango_II!CA_cost_stop+BC208+BC214)</f>
        <v>0</v>
      </c>
      <c r="BD218" s="49">
        <f ca="1">IF(AND((Loango_II!CA_cost_stop+BD208+BD214)&lt;BC219,Loango_II!CA_gco&gt;0),Loango_II!CA_gco+BD208+BD214,Loango_II!CA_cost_stop+BD208+BD214)</f>
        <v>0</v>
      </c>
      <c r="BE218" s="49">
        <f ca="1">IF(AND((Loango_II!CA_cost_stop+BE208+BE214)&lt;BD219,Loango_II!CA_gco&gt;0),Loango_II!CA_gco+BE208+BE214,Loango_II!CA_cost_stop+BE208+BE214)</f>
        <v>0</v>
      </c>
      <c r="BF218" s="49">
        <f ca="1">IF(AND((Loango_II!CA_cost_stop+BF208+BF214)&lt;BE219,Loango_II!CA_gco&gt;0),Loango_II!CA_gco+BF208+BF214,Loango_II!CA_cost_stop+BF208+BF214)</f>
        <v>0</v>
      </c>
      <c r="BG218" s="49">
        <f ca="1">IF(AND((Loango_II!CA_cost_stop+BG208+BG214)&lt;BF219,Loango_II!CA_gco&gt;0),Loango_II!CA_gco+BG208+BG214,Loango_II!CA_cost_stop+BG208+BG214)</f>
        <v>0</v>
      </c>
      <c r="BH218" s="49">
        <f ca="1">IF(AND((Loango_II!CA_cost_stop+BH208+BH214)&lt;BG219,Loango_II!CA_gco&gt;0),Loango_II!CA_gco+BH208+BH214,Loango_II!CA_cost_stop+BH208+BH214)</f>
        <v>0</v>
      </c>
      <c r="BI218" s="49">
        <f ca="1">IF(AND((Loango_II!CA_cost_stop+BI208+BI214)&lt;BH219,Loango_II!CA_gco&gt;0),Loango_II!CA_gco+BI208+BI214,Loango_II!CA_cost_stop+BI208+BI214)</f>
        <v>0</v>
      </c>
      <c r="BJ218" s="49">
        <f ca="1">IF(AND((Loango_II!CA_cost_stop+BJ208+BJ214)&lt;BI219,Loango_II!CA_gco&gt;0),Loango_II!CA_gco+BJ208+BJ214,Loango_II!CA_cost_stop+BJ208+BJ214)</f>
        <v>0</v>
      </c>
      <c r="BK218" s="49">
        <f ca="1">IF(AND((Loango_II!CA_cost_stop+BK208+BK214)&lt;BJ219,Loango_II!CA_gco&gt;0),Loango_II!CA_gco+BK208+BK214,Loango_II!CA_cost_stop+BK208+BK214)</f>
        <v>0</v>
      </c>
      <c r="BL218" s="49">
        <f ca="1">IF(AND((Loango_II!CA_cost_stop+BL208+BL214)&lt;BK219,Loango_II!CA_gco&gt;0),Loango_II!CA_gco+BL208+BL214,Loango_II!CA_cost_stop+BL208+BL214)</f>
        <v>0</v>
      </c>
      <c r="BM218" s="49">
        <f ca="1">IF(AND((Loango_II!CA_cost_stop+BM208+BM214)&lt;BL219,Loango_II!CA_gco&gt;0),Loango_II!CA_gco+BM208+BM214,Loango_II!CA_cost_stop+BM208+BM214)</f>
        <v>0</v>
      </c>
      <c r="BN218" s="49">
        <f ca="1">IF(AND((Loango_II!CA_cost_stop+BN208+BN214)&lt;BM219,Loango_II!CA_gco&gt;0),Loango_II!CA_gco+BN208+BN214,Loango_II!CA_cost_stop+BN208+BN214)</f>
        <v>0</v>
      </c>
      <c r="BO218" s="49">
        <f ca="1">IF(AND((Loango_II!CA_cost_stop+BO208+BO214)&lt;BN219,Loango_II!CA_gco&gt;0),Loango_II!CA_gco+BO208+BO214,Loango_II!CA_cost_stop+BO208+BO214)</f>
        <v>0</v>
      </c>
      <c r="BP218" s="49">
        <f ca="1">IF(AND((Loango_II!CA_cost_stop+BP208+BP214)&lt;BO219,Loango_II!CA_gco&gt;0),Loango_II!CA_gco+BP208+BP214,Loango_II!CA_cost_stop+BP208+BP214)</f>
        <v>0</v>
      </c>
      <c r="BQ218" s="49">
        <f ca="1">IF(AND((Loango_II!CA_cost_stop+BQ208+BQ214)&lt;BP219,Loango_II!CA_gco&gt;0),Loango_II!CA_gco+BQ208+BQ214,Loango_II!CA_cost_stop+BQ208+BQ214)</f>
        <v>0</v>
      </c>
      <c r="BR218" s="49">
        <f ca="1">IF(AND((Loango_II!CA_cost_stop+BR208+BR214)&lt;BQ219,Loango_II!CA_gco&gt;0),Loango_II!CA_gco+BR208+BR214,Loango_II!CA_cost_stop+BR208+BR214)</f>
        <v>0</v>
      </c>
      <c r="BS218" s="49">
        <f ca="1">IF(AND((Loango_II!CA_cost_stop+BS208+BS214)&lt;BR219,Loango_II!CA_gco&gt;0),Loango_II!CA_gco+BS208+BS214,Loango_II!CA_cost_stop+BS208+BS214)</f>
        <v>0</v>
      </c>
    </row>
    <row r="219" spans="4:71" outlineLevel="1" x14ac:dyDescent="0.2">
      <c r="E219" t="s">
        <v>203</v>
      </c>
      <c r="I219" s="30">
        <f ca="1">I192</f>
        <v>10913.591</v>
      </c>
      <c r="J219" s="26" t="s">
        <v>148</v>
      </c>
      <c r="L219" s="49">
        <f ca="1">Loango_II!CA_capex_to_recover+(K221*(1+Loango_II!int_rate_cf_costs))</f>
        <v>1286.7819999999999</v>
      </c>
      <c r="M219" s="49">
        <f ca="1">Loango_II!CA_capex_to_recover+(L221*(1+Loango_II!int_rate_cf_costs))</f>
        <v>3177.2488265002112</v>
      </c>
      <c r="N219" s="49">
        <f ca="1">Loango_II!CA_capex_to_recover+(M221*(1+Loango_II!int_rate_cf_costs))</f>
        <v>6100.9869023257907</v>
      </c>
      <c r="O219" s="49">
        <f ca="1">Loango_II!CA_capex_to_recover+(N221*(1+Loango_II!int_rate_cf_costs))</f>
        <v>8650.3251046151527</v>
      </c>
      <c r="P219" s="49">
        <f ca="1">Loango_II!CA_capex_to_recover+(O221*(1+Loango_II!int_rate_cf_costs))</f>
        <v>9803.5571046151526</v>
      </c>
      <c r="Q219" s="49">
        <f ca="1">Loango_II!CA_capex_to_recover+(P221*(1+Loango_II!int_rate_cf_costs))</f>
        <v>10457.147104615153</v>
      </c>
      <c r="R219" s="49">
        <f ca="1">Loango_II!CA_capex_to_recover+(Q221*(1+Loango_II!int_rate_cf_costs))</f>
        <v>10097.260483486756</v>
      </c>
      <c r="S219" s="49">
        <f ca="1">Loango_II!CA_capex_to_recover+(R221*(1+Loango_II!int_rate_cf_costs))</f>
        <v>9954.5066071510246</v>
      </c>
      <c r="T219" s="49">
        <f ca="1">Loango_II!CA_capex_to_recover+(S221*(1+Loango_II!int_rate_cf_costs))</f>
        <v>9994.3499691619054</v>
      </c>
      <c r="U219" s="49">
        <f ca="1">Loango_II!CA_capex_to_recover+(T221*(1+Loango_II!int_rate_cf_costs))</f>
        <v>9901.6759768750526</v>
      </c>
      <c r="V219" s="49">
        <f ca="1">Loango_II!CA_capex_to_recover+(U221*(1+Loango_II!int_rate_cf_costs))</f>
        <v>9812.4720733681788</v>
      </c>
      <c r="W219" s="49">
        <f ca="1">Loango_II!CA_capex_to_recover+(V221*(1+Loango_II!int_rate_cf_costs))</f>
        <v>9745.3756673015578</v>
      </c>
      <c r="X219" s="49">
        <f ca="1">Loango_II!CA_capex_to_recover+(W221*(1+Loango_II!int_rate_cf_costs))</f>
        <v>9698.4673643749629</v>
      </c>
      <c r="Y219" s="49">
        <f ca="1">Loango_II!CA_capex_to_recover+(X221*(1+Loango_II!int_rate_cf_costs))</f>
        <v>9672.654105996904</v>
      </c>
      <c r="Z219" s="49">
        <f ca="1">Loango_II!CA_capex_to_recover+(Y221*(1+Loango_II!int_rate_cf_costs))</f>
        <v>9672.654105996904</v>
      </c>
      <c r="AA219" s="49">
        <f ca="1">Loango_II!CA_capex_to_recover+(Z221*(1+Loango_II!int_rate_cf_costs))</f>
        <v>9672.654105996904</v>
      </c>
      <c r="AB219" s="49">
        <f ca="1">Loango_II!CA_capex_to_recover+(AA221*(1+Loango_II!int_rate_cf_costs))</f>
        <v>9672.654105996904</v>
      </c>
      <c r="AC219" s="49">
        <f ca="1">Loango_II!CA_capex_to_recover+(AB221*(1+Loango_II!int_rate_cf_costs))</f>
        <v>9672.654105996904</v>
      </c>
      <c r="AD219" s="49">
        <f ca="1">Loango_II!CA_capex_to_recover+(AC221*(1+Loango_II!int_rate_cf_costs))</f>
        <v>9672.654105996904</v>
      </c>
      <c r="AE219" s="49">
        <f ca="1">Loango_II!CA_capex_to_recover+(AD221*(1+Loango_II!int_rate_cf_costs))</f>
        <v>9672.654105996904</v>
      </c>
      <c r="AF219" s="49">
        <f ca="1">Loango_II!CA_capex_to_recover+(AE221*(1+Loango_II!int_rate_cf_costs))</f>
        <v>9672.654105996904</v>
      </c>
      <c r="AG219" s="49">
        <f ca="1">Loango_II!CA_capex_to_recover+(AF221*(1+Loango_II!int_rate_cf_costs))</f>
        <v>9672.654105996904</v>
      </c>
      <c r="AH219" s="49">
        <f ca="1">Loango_II!CA_capex_to_recover+(AG221*(1+Loango_II!int_rate_cf_costs))</f>
        <v>9672.654105996904</v>
      </c>
      <c r="AI219" s="49">
        <f ca="1">Loango_II!CA_capex_to_recover+(AH221*(1+Loango_II!int_rate_cf_costs))</f>
        <v>9672.654105996904</v>
      </c>
      <c r="AJ219" s="49">
        <f ca="1">Loango_II!CA_capex_to_recover+(AI221*(1+Loango_II!int_rate_cf_costs))</f>
        <v>9672.654105996904</v>
      </c>
      <c r="AK219" s="49">
        <f ca="1">Loango_II!CA_capex_to_recover+(AJ221*(1+Loango_II!int_rate_cf_costs))</f>
        <v>9672.654105996904</v>
      </c>
      <c r="AL219" s="49">
        <f ca="1">Loango_II!CA_capex_to_recover+(AK221*(1+Loango_II!int_rate_cf_costs))</f>
        <v>9672.654105996904</v>
      </c>
      <c r="AM219" s="49">
        <f ca="1">Loango_II!CA_capex_to_recover+(AL221*(1+Loango_II!int_rate_cf_costs))</f>
        <v>9672.654105996904</v>
      </c>
      <c r="AN219" s="49">
        <f ca="1">Loango_II!CA_capex_to_recover+(AM221*(1+Loango_II!int_rate_cf_costs))</f>
        <v>9672.654105996904</v>
      </c>
      <c r="AO219" s="49">
        <f ca="1">Loango_II!CA_capex_to_recover+(AN221*(1+Loango_II!int_rate_cf_costs))</f>
        <v>9672.654105996904</v>
      </c>
      <c r="AP219" s="49">
        <f ca="1">Loango_II!CA_capex_to_recover+(AO221*(1+Loango_II!int_rate_cf_costs))</f>
        <v>9672.654105996904</v>
      </c>
      <c r="AQ219" s="49">
        <f ca="1">Loango_II!CA_capex_to_recover+(AP221*(1+Loango_II!int_rate_cf_costs))</f>
        <v>9672.654105996904</v>
      </c>
      <c r="AR219" s="49">
        <f ca="1">Loango_II!CA_capex_to_recover+(AQ221*(1+Loango_II!int_rate_cf_costs))</f>
        <v>9672.654105996904</v>
      </c>
      <c r="AS219" s="49">
        <f ca="1">Loango_II!CA_capex_to_recover+(AR221*(1+Loango_II!int_rate_cf_costs))</f>
        <v>9672.654105996904</v>
      </c>
      <c r="AT219" s="49">
        <f ca="1">Loango_II!CA_capex_to_recover+(AS221*(1+Loango_II!int_rate_cf_costs))</f>
        <v>9672.654105996904</v>
      </c>
      <c r="AU219" s="49">
        <f ca="1">Loango_II!CA_capex_to_recover+(AT221*(1+Loango_II!int_rate_cf_costs))</f>
        <v>9672.654105996904</v>
      </c>
      <c r="AV219" s="49">
        <f ca="1">Loango_II!CA_capex_to_recover+(AU221*(1+Loango_II!int_rate_cf_costs))</f>
        <v>9672.654105996904</v>
      </c>
      <c r="AW219" s="49">
        <f ca="1">Loango_II!CA_capex_to_recover+(AV221*(1+Loango_II!int_rate_cf_costs))</f>
        <v>9672.654105996904</v>
      </c>
      <c r="AX219" s="49">
        <f ca="1">Loango_II!CA_capex_to_recover+(AW221*(1+Loango_II!int_rate_cf_costs))</f>
        <v>9672.654105996904</v>
      </c>
      <c r="AY219" s="49">
        <f ca="1">Loango_II!CA_capex_to_recover+(AX221*(1+Loango_II!int_rate_cf_costs))</f>
        <v>9672.654105996904</v>
      </c>
      <c r="AZ219" s="49">
        <f ca="1">Loango_II!CA_capex_to_recover+(AY221*(1+Loango_II!int_rate_cf_costs))</f>
        <v>9672.654105996904</v>
      </c>
      <c r="BA219" s="49">
        <f ca="1">Loango_II!CA_capex_to_recover+(AZ221*(1+Loango_II!int_rate_cf_costs))</f>
        <v>9672.654105996904</v>
      </c>
      <c r="BB219" s="49">
        <f ca="1">Loango_II!CA_capex_to_recover+(BA221*(1+Loango_II!int_rate_cf_costs))</f>
        <v>9672.654105996904</v>
      </c>
      <c r="BC219" s="49">
        <f ca="1">Loango_II!CA_capex_to_recover+(BB221*(1+Loango_II!int_rate_cf_costs))</f>
        <v>9672.654105996904</v>
      </c>
      <c r="BD219" s="49">
        <f ca="1">Loango_II!CA_capex_to_recover+(BC221*(1+Loango_II!int_rate_cf_costs))</f>
        <v>9672.654105996904</v>
      </c>
      <c r="BE219" s="49">
        <f ca="1">Loango_II!CA_capex_to_recover+(BD221*(1+Loango_II!int_rate_cf_costs))</f>
        <v>9672.654105996904</v>
      </c>
      <c r="BF219" s="49">
        <f ca="1">Loango_II!CA_capex_to_recover+(BE221*(1+Loango_II!int_rate_cf_costs))</f>
        <v>9672.654105996904</v>
      </c>
      <c r="BG219" s="49">
        <f ca="1">Loango_II!CA_capex_to_recover+(BF221*(1+Loango_II!int_rate_cf_costs))</f>
        <v>9672.654105996904</v>
      </c>
      <c r="BH219" s="49">
        <f ca="1">Loango_II!CA_capex_to_recover+(BG221*(1+Loango_II!int_rate_cf_costs))</f>
        <v>9672.654105996904</v>
      </c>
      <c r="BI219" s="49">
        <f ca="1">Loango_II!CA_capex_to_recover+(BH221*(1+Loango_II!int_rate_cf_costs))</f>
        <v>9672.654105996904</v>
      </c>
      <c r="BJ219" s="49">
        <f ca="1">Loango_II!CA_capex_to_recover+(BI221*(1+Loango_II!int_rate_cf_costs))</f>
        <v>9672.654105996904</v>
      </c>
      <c r="BK219" s="49">
        <f ca="1">Loango_II!CA_capex_to_recover+(BJ221*(1+Loango_II!int_rate_cf_costs))</f>
        <v>9672.654105996904</v>
      </c>
      <c r="BL219" s="49">
        <f ca="1">Loango_II!CA_capex_to_recover+(BK221*(1+Loango_II!int_rate_cf_costs))</f>
        <v>9672.654105996904</v>
      </c>
      <c r="BM219" s="49">
        <f ca="1">Loango_II!CA_capex_to_recover+(BL221*(1+Loango_II!int_rate_cf_costs))</f>
        <v>9672.654105996904</v>
      </c>
      <c r="BN219" s="49">
        <f ca="1">Loango_II!CA_capex_to_recover+(BM221*(1+Loango_II!int_rate_cf_costs))</f>
        <v>9672.654105996904</v>
      </c>
      <c r="BO219" s="49">
        <f ca="1">Loango_II!CA_capex_to_recover+(BN221*(1+Loango_II!int_rate_cf_costs))</f>
        <v>9672.654105996904</v>
      </c>
      <c r="BP219" s="49">
        <f ca="1">Loango_II!CA_capex_to_recover+(BO221*(1+Loango_II!int_rate_cf_costs))</f>
        <v>9672.654105996904</v>
      </c>
      <c r="BQ219" s="49">
        <f ca="1">Loango_II!CA_capex_to_recover+(BP221*(1+Loango_II!int_rate_cf_costs))</f>
        <v>9672.654105996904</v>
      </c>
      <c r="BR219" s="49">
        <f ca="1">Loango_II!CA_capex_to_recover+(BQ221*(1+Loango_II!int_rate_cf_costs))</f>
        <v>9672.654105996904</v>
      </c>
      <c r="BS219" s="49">
        <f ca="1">Loango_II!CA_capex_to_recover+(BR221*(1+Loango_II!int_rate_cf_costs))</f>
        <v>9672.654105996904</v>
      </c>
    </row>
    <row r="220" spans="4:71" outlineLevel="1" x14ac:dyDescent="0.2">
      <c r="E220" t="s">
        <v>204</v>
      </c>
      <c r="H220" s="56" t="b">
        <f ca="1">ROUND(I220,2)=-ROUND(I219,2)</f>
        <v>0</v>
      </c>
      <c r="I220" s="30">
        <f t="shared" ca="1" si="34"/>
        <v>-1240.9368940030977</v>
      </c>
      <c r="J220" s="26" t="s">
        <v>148</v>
      </c>
      <c r="L220" s="49">
        <f ca="1">-MIN(L219,L218)</f>
        <v>-227.74517349978882</v>
      </c>
      <c r="M220" s="49">
        <f t="shared" ref="M220:BS220" ca="1" si="35">-MIN(M219,M218)</f>
        <v>-206.83592417442068</v>
      </c>
      <c r="N220" s="49">
        <f t="shared" ca="1" si="35"/>
        <v>-21.862797710639178</v>
      </c>
      <c r="O220" s="49">
        <f t="shared" ca="1" si="35"/>
        <v>0</v>
      </c>
      <c r="P220" s="49">
        <f t="shared" ca="1" si="35"/>
        <v>0</v>
      </c>
      <c r="Q220" s="49">
        <f t="shared" ca="1" si="35"/>
        <v>-359.88662112839637</v>
      </c>
      <c r="R220" s="49">
        <f t="shared" ca="1" si="35"/>
        <v>-142.75387633573163</v>
      </c>
      <c r="S220" s="49">
        <f t="shared" ca="1" si="35"/>
        <v>39.843362010879979</v>
      </c>
      <c r="T220" s="49">
        <f t="shared" ca="1" si="35"/>
        <v>-92.673992286853121</v>
      </c>
      <c r="U220" s="49">
        <f t="shared" ca="1" si="35"/>
        <v>-89.203903506873573</v>
      </c>
      <c r="V220" s="49">
        <f t="shared" ca="1" si="35"/>
        <v>-67.096406066620219</v>
      </c>
      <c r="W220" s="49">
        <f t="shared" ca="1" si="35"/>
        <v>-46.908302926595361</v>
      </c>
      <c r="X220" s="49">
        <f t="shared" ca="1" si="35"/>
        <v>-25.81325837805862</v>
      </c>
      <c r="Y220" s="49">
        <f t="shared" ca="1" si="35"/>
        <v>0</v>
      </c>
      <c r="Z220" s="49">
        <f t="shared" ca="1" si="35"/>
        <v>0</v>
      </c>
      <c r="AA220" s="49">
        <f t="shared" ca="1" si="35"/>
        <v>0</v>
      </c>
      <c r="AB220" s="49">
        <f t="shared" ca="1" si="35"/>
        <v>0</v>
      </c>
      <c r="AC220" s="49">
        <f t="shared" ca="1" si="35"/>
        <v>0</v>
      </c>
      <c r="AD220" s="49">
        <f t="shared" ca="1" si="35"/>
        <v>0</v>
      </c>
      <c r="AE220" s="49">
        <f t="shared" ca="1" si="35"/>
        <v>0</v>
      </c>
      <c r="AF220" s="49">
        <f t="shared" ca="1" si="35"/>
        <v>0</v>
      </c>
      <c r="AG220" s="49">
        <f t="shared" ca="1" si="35"/>
        <v>0</v>
      </c>
      <c r="AH220" s="49">
        <f t="shared" ca="1" si="35"/>
        <v>0</v>
      </c>
      <c r="AI220" s="49">
        <f t="shared" ca="1" si="35"/>
        <v>0</v>
      </c>
      <c r="AJ220" s="49">
        <f t="shared" ca="1" si="35"/>
        <v>0</v>
      </c>
      <c r="AK220" s="49">
        <f t="shared" ca="1" si="35"/>
        <v>0</v>
      </c>
      <c r="AL220" s="49">
        <f t="shared" ca="1" si="35"/>
        <v>0</v>
      </c>
      <c r="AM220" s="49">
        <f t="shared" ca="1" si="35"/>
        <v>0</v>
      </c>
      <c r="AN220" s="49">
        <f t="shared" ca="1" si="35"/>
        <v>0</v>
      </c>
      <c r="AO220" s="49">
        <f t="shared" ca="1" si="35"/>
        <v>0</v>
      </c>
      <c r="AP220" s="49">
        <f t="shared" ca="1" si="35"/>
        <v>0</v>
      </c>
      <c r="AQ220" s="49">
        <f t="shared" ca="1" si="35"/>
        <v>0</v>
      </c>
      <c r="AR220" s="49">
        <f t="shared" ca="1" si="35"/>
        <v>0</v>
      </c>
      <c r="AS220" s="49">
        <f t="shared" ca="1" si="35"/>
        <v>0</v>
      </c>
      <c r="AT220" s="49">
        <f t="shared" ca="1" si="35"/>
        <v>0</v>
      </c>
      <c r="AU220" s="49">
        <f t="shared" ca="1" si="35"/>
        <v>0</v>
      </c>
      <c r="AV220" s="49">
        <f t="shared" ca="1" si="35"/>
        <v>0</v>
      </c>
      <c r="AW220" s="49">
        <f t="shared" ca="1" si="35"/>
        <v>0</v>
      </c>
      <c r="AX220" s="49">
        <f t="shared" ca="1" si="35"/>
        <v>0</v>
      </c>
      <c r="AY220" s="49">
        <f t="shared" ca="1" si="35"/>
        <v>0</v>
      </c>
      <c r="AZ220" s="49">
        <f t="shared" ca="1" si="35"/>
        <v>0</v>
      </c>
      <c r="BA220" s="49">
        <f t="shared" ca="1" si="35"/>
        <v>0</v>
      </c>
      <c r="BB220" s="49">
        <f t="shared" ca="1" si="35"/>
        <v>0</v>
      </c>
      <c r="BC220" s="49">
        <f t="shared" ca="1" si="35"/>
        <v>0</v>
      </c>
      <c r="BD220" s="49">
        <f t="shared" ca="1" si="35"/>
        <v>0</v>
      </c>
      <c r="BE220" s="49">
        <f t="shared" ca="1" si="35"/>
        <v>0</v>
      </c>
      <c r="BF220" s="49">
        <f t="shared" ca="1" si="35"/>
        <v>0</v>
      </c>
      <c r="BG220" s="49">
        <f t="shared" ca="1" si="35"/>
        <v>0</v>
      </c>
      <c r="BH220" s="49">
        <f t="shared" ca="1" si="35"/>
        <v>0</v>
      </c>
      <c r="BI220" s="49">
        <f t="shared" ca="1" si="35"/>
        <v>0</v>
      </c>
      <c r="BJ220" s="49">
        <f t="shared" ca="1" si="35"/>
        <v>0</v>
      </c>
      <c r="BK220" s="49">
        <f t="shared" ca="1" si="35"/>
        <v>0</v>
      </c>
      <c r="BL220" s="49">
        <f t="shared" ca="1" si="35"/>
        <v>0</v>
      </c>
      <c r="BM220" s="49">
        <f t="shared" ca="1" si="35"/>
        <v>0</v>
      </c>
      <c r="BN220" s="49">
        <f t="shared" ca="1" si="35"/>
        <v>0</v>
      </c>
      <c r="BO220" s="49">
        <f t="shared" ca="1" si="35"/>
        <v>0</v>
      </c>
      <c r="BP220" s="49">
        <f t="shared" ca="1" si="35"/>
        <v>0</v>
      </c>
      <c r="BQ220" s="49">
        <f t="shared" ca="1" si="35"/>
        <v>0</v>
      </c>
      <c r="BR220" s="49">
        <f t="shared" ca="1" si="35"/>
        <v>0</v>
      </c>
      <c r="BS220" s="49">
        <f t="shared" ca="1" si="35"/>
        <v>0</v>
      </c>
    </row>
    <row r="221" spans="4:71" outlineLevel="1" x14ac:dyDescent="0.2">
      <c r="E221" t="s">
        <v>195</v>
      </c>
      <c r="J221" s="26"/>
      <c r="L221" s="49">
        <f ca="1">L219+L220</f>
        <v>1059.0368265002112</v>
      </c>
      <c r="M221" s="49">
        <f t="shared" ref="M221:BS221" ca="1" si="36">M219+M220</f>
        <v>2970.4129023257906</v>
      </c>
      <c r="N221" s="49">
        <f t="shared" ca="1" si="36"/>
        <v>6079.1241046151517</v>
      </c>
      <c r="O221" s="49">
        <f t="shared" ca="1" si="36"/>
        <v>8650.3251046151527</v>
      </c>
      <c r="P221" s="49">
        <f t="shared" ca="1" si="36"/>
        <v>9803.5571046151526</v>
      </c>
      <c r="Q221" s="49">
        <f t="shared" ca="1" si="36"/>
        <v>10097.260483486756</v>
      </c>
      <c r="R221" s="49">
        <f t="shared" ca="1" si="36"/>
        <v>9954.5066071510246</v>
      </c>
      <c r="S221" s="49">
        <f t="shared" ca="1" si="36"/>
        <v>9994.3499691619054</v>
      </c>
      <c r="T221" s="49">
        <f t="shared" ca="1" si="36"/>
        <v>9901.6759768750526</v>
      </c>
      <c r="U221" s="49">
        <f t="shared" ca="1" si="36"/>
        <v>9812.4720733681788</v>
      </c>
      <c r="V221" s="49">
        <f t="shared" ca="1" si="36"/>
        <v>9745.3756673015578</v>
      </c>
      <c r="W221" s="49">
        <f t="shared" ca="1" si="36"/>
        <v>9698.4673643749629</v>
      </c>
      <c r="X221" s="49">
        <f t="shared" ca="1" si="36"/>
        <v>9672.654105996904</v>
      </c>
      <c r="Y221" s="49">
        <f t="shared" ca="1" si="36"/>
        <v>9672.654105996904</v>
      </c>
      <c r="Z221" s="49">
        <f t="shared" ca="1" si="36"/>
        <v>9672.654105996904</v>
      </c>
      <c r="AA221" s="49">
        <f t="shared" ca="1" si="36"/>
        <v>9672.654105996904</v>
      </c>
      <c r="AB221" s="49">
        <f t="shared" ca="1" si="36"/>
        <v>9672.654105996904</v>
      </c>
      <c r="AC221" s="49">
        <f t="shared" ca="1" si="36"/>
        <v>9672.654105996904</v>
      </c>
      <c r="AD221" s="49">
        <f t="shared" ca="1" si="36"/>
        <v>9672.654105996904</v>
      </c>
      <c r="AE221" s="49">
        <f t="shared" ca="1" si="36"/>
        <v>9672.654105996904</v>
      </c>
      <c r="AF221" s="49">
        <f t="shared" ca="1" si="36"/>
        <v>9672.654105996904</v>
      </c>
      <c r="AG221" s="49">
        <f t="shared" ca="1" si="36"/>
        <v>9672.654105996904</v>
      </c>
      <c r="AH221" s="49">
        <f t="shared" ca="1" si="36"/>
        <v>9672.654105996904</v>
      </c>
      <c r="AI221" s="49">
        <f t="shared" ca="1" si="36"/>
        <v>9672.654105996904</v>
      </c>
      <c r="AJ221" s="49">
        <f t="shared" ca="1" si="36"/>
        <v>9672.654105996904</v>
      </c>
      <c r="AK221" s="49">
        <f t="shared" ca="1" si="36"/>
        <v>9672.654105996904</v>
      </c>
      <c r="AL221" s="49">
        <f t="shared" ca="1" si="36"/>
        <v>9672.654105996904</v>
      </c>
      <c r="AM221" s="49">
        <f t="shared" ca="1" si="36"/>
        <v>9672.654105996904</v>
      </c>
      <c r="AN221" s="49">
        <f t="shared" ca="1" si="36"/>
        <v>9672.654105996904</v>
      </c>
      <c r="AO221" s="49">
        <f t="shared" ca="1" si="36"/>
        <v>9672.654105996904</v>
      </c>
      <c r="AP221" s="49">
        <f t="shared" ca="1" si="36"/>
        <v>9672.654105996904</v>
      </c>
      <c r="AQ221" s="49">
        <f t="shared" ca="1" si="36"/>
        <v>9672.654105996904</v>
      </c>
      <c r="AR221" s="49">
        <f t="shared" ca="1" si="36"/>
        <v>9672.654105996904</v>
      </c>
      <c r="AS221" s="49">
        <f t="shared" ca="1" si="36"/>
        <v>9672.654105996904</v>
      </c>
      <c r="AT221" s="49">
        <f t="shared" ca="1" si="36"/>
        <v>9672.654105996904</v>
      </c>
      <c r="AU221" s="49">
        <f t="shared" ca="1" si="36"/>
        <v>9672.654105996904</v>
      </c>
      <c r="AV221" s="49">
        <f t="shared" ca="1" si="36"/>
        <v>9672.654105996904</v>
      </c>
      <c r="AW221" s="49">
        <f t="shared" ca="1" si="36"/>
        <v>9672.654105996904</v>
      </c>
      <c r="AX221" s="49">
        <f t="shared" ca="1" si="36"/>
        <v>9672.654105996904</v>
      </c>
      <c r="AY221" s="49">
        <f t="shared" ca="1" si="36"/>
        <v>9672.654105996904</v>
      </c>
      <c r="AZ221" s="49">
        <f t="shared" ca="1" si="36"/>
        <v>9672.654105996904</v>
      </c>
      <c r="BA221" s="49">
        <f t="shared" ca="1" si="36"/>
        <v>9672.654105996904</v>
      </c>
      <c r="BB221" s="49">
        <f t="shared" ca="1" si="36"/>
        <v>9672.654105996904</v>
      </c>
      <c r="BC221" s="49">
        <f t="shared" ca="1" si="36"/>
        <v>9672.654105996904</v>
      </c>
      <c r="BD221" s="49">
        <f t="shared" ca="1" si="36"/>
        <v>9672.654105996904</v>
      </c>
      <c r="BE221" s="49">
        <f t="shared" ca="1" si="36"/>
        <v>9672.654105996904</v>
      </c>
      <c r="BF221" s="49">
        <f t="shared" ca="1" si="36"/>
        <v>9672.654105996904</v>
      </c>
      <c r="BG221" s="49">
        <f t="shared" ca="1" si="36"/>
        <v>9672.654105996904</v>
      </c>
      <c r="BH221" s="49">
        <f t="shared" ca="1" si="36"/>
        <v>9672.654105996904</v>
      </c>
      <c r="BI221" s="49">
        <f t="shared" ca="1" si="36"/>
        <v>9672.654105996904</v>
      </c>
      <c r="BJ221" s="49">
        <f t="shared" ca="1" si="36"/>
        <v>9672.654105996904</v>
      </c>
      <c r="BK221" s="49">
        <f t="shared" ca="1" si="36"/>
        <v>9672.654105996904</v>
      </c>
      <c r="BL221" s="49">
        <f t="shared" ca="1" si="36"/>
        <v>9672.654105996904</v>
      </c>
      <c r="BM221" s="49">
        <f t="shared" ca="1" si="36"/>
        <v>9672.654105996904</v>
      </c>
      <c r="BN221" s="49">
        <f t="shared" ca="1" si="36"/>
        <v>9672.654105996904</v>
      </c>
      <c r="BO221" s="49">
        <f t="shared" ca="1" si="36"/>
        <v>9672.654105996904</v>
      </c>
      <c r="BP221" s="49">
        <f t="shared" ca="1" si="36"/>
        <v>9672.654105996904</v>
      </c>
      <c r="BQ221" s="49">
        <f t="shared" ca="1" si="36"/>
        <v>9672.654105996904</v>
      </c>
      <c r="BR221" s="49">
        <f t="shared" ca="1" si="36"/>
        <v>9672.654105996904</v>
      </c>
      <c r="BS221" s="49">
        <f t="shared" ca="1" si="36"/>
        <v>9672.654105996904</v>
      </c>
    </row>
    <row r="222" spans="4:71" outlineLevel="1" x14ac:dyDescent="0.2">
      <c r="J222" s="26"/>
      <c r="L222" s="55"/>
      <c r="M222" s="55"/>
      <c r="N222" s="55"/>
      <c r="O222" s="55"/>
      <c r="P222" s="55"/>
      <c r="Q222" s="55"/>
      <c r="R222" s="55"/>
      <c r="S222" s="55"/>
      <c r="T222" s="55"/>
      <c r="U222" s="55"/>
      <c r="V222" s="55"/>
      <c r="W222" s="55"/>
      <c r="X222" s="55"/>
      <c r="Y222" s="55"/>
      <c r="Z222" s="55"/>
      <c r="AA222" s="55"/>
      <c r="AB222" s="55"/>
      <c r="AC222" s="55"/>
      <c r="AD222" s="55"/>
      <c r="AE222" s="55"/>
      <c r="AF222" s="55"/>
      <c r="AG222" s="55"/>
      <c r="AH222" s="55"/>
      <c r="AI222" s="55"/>
      <c r="AJ222" s="55"/>
      <c r="AK222" s="55"/>
      <c r="AL222" s="55"/>
      <c r="AM222" s="55"/>
      <c r="AN222" s="55"/>
      <c r="AO222" s="55"/>
      <c r="AP222" s="55"/>
      <c r="AQ222" s="55"/>
      <c r="AR222" s="55"/>
      <c r="AS222" s="55"/>
      <c r="AT222" s="55"/>
      <c r="AU222" s="55"/>
      <c r="AV222" s="55"/>
      <c r="AW222" s="55"/>
      <c r="AX222" s="55"/>
      <c r="AY222" s="55"/>
      <c r="AZ222" s="55"/>
      <c r="BA222" s="55"/>
      <c r="BB222" s="55"/>
      <c r="BC222" s="55"/>
      <c r="BD222" s="55"/>
      <c r="BE222" s="55"/>
      <c r="BF222" s="55"/>
      <c r="BG222" s="55"/>
      <c r="BH222" s="55"/>
      <c r="BI222" s="55"/>
      <c r="BJ222" s="55"/>
      <c r="BK222" s="55"/>
      <c r="BL222" s="55"/>
      <c r="BM222" s="55"/>
      <c r="BN222" s="55"/>
      <c r="BO222" s="55"/>
      <c r="BP222" s="55"/>
      <c r="BQ222" s="55"/>
      <c r="BR222" s="55"/>
      <c r="BS222" s="55"/>
    </row>
    <row r="223" spans="4:71" outlineLevel="1" x14ac:dyDescent="0.2">
      <c r="D223" s="51" t="s">
        <v>184</v>
      </c>
      <c r="J223" s="26"/>
      <c r="L223" s="55"/>
      <c r="M223" s="55"/>
      <c r="N223" s="55"/>
      <c r="O223" s="55"/>
      <c r="P223" s="55"/>
      <c r="Q223" s="55"/>
      <c r="R223" s="55"/>
      <c r="S223" s="55"/>
      <c r="T223" s="55"/>
      <c r="U223" s="55"/>
      <c r="V223" s="55"/>
      <c r="W223" s="55"/>
      <c r="X223" s="55"/>
      <c r="Y223" s="55"/>
      <c r="Z223" s="55"/>
      <c r="AA223" s="55"/>
      <c r="AB223" s="55"/>
      <c r="AC223" s="55"/>
      <c r="AD223" s="55"/>
      <c r="AE223" s="55"/>
      <c r="AF223" s="55"/>
      <c r="AG223" s="55"/>
      <c r="AH223" s="55"/>
      <c r="AI223" s="55"/>
      <c r="AJ223" s="55"/>
      <c r="AK223" s="55"/>
      <c r="AL223" s="55"/>
      <c r="AM223" s="55"/>
      <c r="AN223" s="55"/>
      <c r="AO223" s="55"/>
      <c r="AP223" s="55"/>
      <c r="AQ223" s="55"/>
      <c r="AR223" s="55"/>
      <c r="AS223" s="55"/>
      <c r="AT223" s="55"/>
      <c r="AU223" s="55"/>
      <c r="AV223" s="55"/>
      <c r="AW223" s="55"/>
      <c r="AX223" s="55"/>
      <c r="AY223" s="55"/>
      <c r="AZ223" s="55"/>
      <c r="BA223" s="55"/>
      <c r="BB223" s="55"/>
      <c r="BC223" s="55"/>
      <c r="BD223" s="55"/>
      <c r="BE223" s="55"/>
      <c r="BF223" s="55"/>
      <c r="BG223" s="55"/>
      <c r="BH223" s="55"/>
      <c r="BI223" s="55"/>
      <c r="BJ223" s="55"/>
      <c r="BK223" s="55"/>
      <c r="BL223" s="55"/>
      <c r="BM223" s="55"/>
      <c r="BN223" s="55"/>
      <c r="BO223" s="55"/>
      <c r="BP223" s="55"/>
      <c r="BQ223" s="55"/>
      <c r="BR223" s="55"/>
      <c r="BS223" s="55"/>
    </row>
    <row r="224" spans="4:71" outlineLevel="1" x14ac:dyDescent="0.2">
      <c r="E224" t="s">
        <v>192</v>
      </c>
      <c r="I224" s="30">
        <f t="shared" ref="I224:I229" ca="1" si="37">SUM($L224:$BS224)</f>
        <v>50.635851273720021</v>
      </c>
      <c r="J224" s="26" t="s">
        <v>148</v>
      </c>
      <c r="L224" s="49">
        <f ca="1">IF(AND((Loango_II!CA_cost_stop+L208+L214+L220)&lt;K225,Loango_II!CA_gco&gt;0),Loango_II!CA_gco+L208+L214+L220,Loango_II!CA_cost_stop+L208+L214+L220)</f>
        <v>0</v>
      </c>
      <c r="M224" s="49">
        <f ca="1">IF(AND((Loango_II!CA_cost_stop+M208+M214+M220)&lt;L225,Loango_II!CA_gco&gt;0),Loango_II!CA_gco+M208+M214+M220,Loango_II!CA_cost_stop+M208+M214+M220)</f>
        <v>0</v>
      </c>
      <c r="N224" s="49">
        <f ca="1">IF(AND((Loango_II!CA_cost_stop+N208+N214+N220)&lt;M225,Loango_II!CA_gco&gt;0),Loango_II!CA_gco+N208+N214+N220,Loango_II!CA_cost_stop+N208+N214+N220)</f>
        <v>0</v>
      </c>
      <c r="O224" s="49">
        <f ca="1">IF(AND((Loango_II!CA_cost_stop+O208+O214+O220)&lt;N225,Loango_II!CA_gco&gt;0),Loango_II!CA_gco+O208+O214+O220,Loango_II!CA_cost_stop+O208+O214+O220)</f>
        <v>0</v>
      </c>
      <c r="P224" s="49">
        <f ca="1">IF(AND((Loango_II!CA_cost_stop+P208+P214+P220)&lt;O225,Loango_II!CA_gco&gt;0),Loango_II!CA_gco+P208+P214+P220,Loango_II!CA_cost_stop+P208+P214+P220)</f>
        <v>0</v>
      </c>
      <c r="Q224" s="49">
        <f ca="1">IF(AND((Loango_II!CA_cost_stop+Q208+Q214+Q220)&lt;P225,Loango_II!CA_gco&gt;0),Loango_II!CA_gco+Q208+Q214+Q220,Loango_II!CA_cost_stop+Q208+Q214+Q220)</f>
        <v>0</v>
      </c>
      <c r="R224" s="49">
        <f ca="1">IF(AND((Loango_II!CA_cost_stop+R208+R214+R220)&lt;Q225,Loango_II!CA_gco&gt;0),Loango_II!CA_gco+R208+R214+R220,Loango_II!CA_cost_stop+R208+R214+R220)</f>
        <v>0</v>
      </c>
      <c r="S224" s="49">
        <f ca="1">IF(AND((Loango_II!CA_cost_stop+S208+S214+S220)&lt;R225,Loango_II!CA_gco&gt;0),Loango_II!CA_gco+S208+S214+S220,Loango_II!CA_cost_stop+S208+S214+S220)</f>
        <v>50.635851273720021</v>
      </c>
      <c r="T224" s="49">
        <f ca="1">IF(AND((Loango_II!CA_cost_stop+T208+T214+T220)&lt;S225,Loango_II!CA_gco&gt;0),Loango_II!CA_gco+T208+T214+T220,Loango_II!CA_cost_stop+T208+T214+T220)</f>
        <v>0</v>
      </c>
      <c r="U224" s="49">
        <f ca="1">IF(AND((Loango_II!CA_cost_stop+U208+U214+U220)&lt;T225,Loango_II!CA_gco&gt;0),Loango_II!CA_gco+U208+U214+U220,Loango_II!CA_cost_stop+U208+U214+U220)</f>
        <v>0</v>
      </c>
      <c r="V224" s="49">
        <f ca="1">IF(AND((Loango_II!CA_cost_stop+V208+V214+V220)&lt;U225,Loango_II!CA_gco&gt;0),Loango_II!CA_gco+V208+V214+V220,Loango_II!CA_cost_stop+V208+V214+V220)</f>
        <v>0</v>
      </c>
      <c r="W224" s="49">
        <f ca="1">IF(AND((Loango_II!CA_cost_stop+W208+W214+W220)&lt;V225,Loango_II!CA_gco&gt;0),Loango_II!CA_gco+W208+W214+W220,Loango_II!CA_cost_stop+W208+W214+W220)</f>
        <v>0</v>
      </c>
      <c r="X224" s="49">
        <f ca="1">IF(AND((Loango_II!CA_cost_stop+X208+X214+X220)&lt;W225,Loango_II!CA_gco&gt;0),Loango_II!CA_gco+X208+X214+X220,Loango_II!CA_cost_stop+X208+X214+X220)</f>
        <v>0</v>
      </c>
      <c r="Y224" s="49">
        <f ca="1">IF(AND((Loango_II!CA_cost_stop+Y208+Y214+Y220)&lt;X225,Loango_II!CA_gco&gt;0),Loango_II!CA_gco+Y208+Y214+Y220,Loango_II!CA_cost_stop+Y208+Y214+Y220)</f>
        <v>0</v>
      </c>
      <c r="Z224" s="49">
        <f ca="1">IF(AND((Loango_II!CA_cost_stop+Z208+Z214+Z220)&lt;Y225,Loango_II!CA_gco&gt;0),Loango_II!CA_gco+Z208+Z214+Z220,Loango_II!CA_cost_stop+Z208+Z214+Z220)</f>
        <v>0</v>
      </c>
      <c r="AA224" s="49">
        <f ca="1">IF(AND((Loango_II!CA_cost_stop+AA208+AA214+AA220)&lt;Z225,Loango_II!CA_gco&gt;0),Loango_II!CA_gco+AA208+AA214+AA220,Loango_II!CA_cost_stop+AA208+AA214+AA220)</f>
        <v>0</v>
      </c>
      <c r="AB224" s="49">
        <f ca="1">IF(AND((Loango_II!CA_cost_stop+AB208+AB214+AB220)&lt;AA225,Loango_II!CA_gco&gt;0),Loango_II!CA_gco+AB208+AB214+AB220,Loango_II!CA_cost_stop+AB208+AB214+AB220)</f>
        <v>0</v>
      </c>
      <c r="AC224" s="49">
        <f ca="1">IF(AND((Loango_II!CA_cost_stop+AC208+AC214+AC220)&lt;AB225,Loango_II!CA_gco&gt;0),Loango_II!CA_gco+AC208+AC214+AC220,Loango_II!CA_cost_stop+AC208+AC214+AC220)</f>
        <v>0</v>
      </c>
      <c r="AD224" s="49">
        <f ca="1">IF(AND((Loango_II!CA_cost_stop+AD208+AD214+AD220)&lt;AC225,Loango_II!CA_gco&gt;0),Loango_II!CA_gco+AD208+AD214+AD220,Loango_II!CA_cost_stop+AD208+AD214+AD220)</f>
        <v>0</v>
      </c>
      <c r="AE224" s="49">
        <f ca="1">IF(AND((Loango_II!CA_cost_stop+AE208+AE214+AE220)&lt;AD225,Loango_II!CA_gco&gt;0),Loango_II!CA_gco+AE208+AE214+AE220,Loango_II!CA_cost_stop+AE208+AE214+AE220)</f>
        <v>0</v>
      </c>
      <c r="AF224" s="49">
        <f ca="1">IF(AND((Loango_II!CA_cost_stop+AF208+AF214+AF220)&lt;AE225,Loango_II!CA_gco&gt;0),Loango_II!CA_gco+AF208+AF214+AF220,Loango_II!CA_cost_stop+AF208+AF214+AF220)</f>
        <v>0</v>
      </c>
      <c r="AG224" s="49">
        <f ca="1">IF(AND((Loango_II!CA_cost_stop+AG208+AG214+AG220)&lt;AF225,Loango_II!CA_gco&gt;0),Loango_II!CA_gco+AG208+AG214+AG220,Loango_II!CA_cost_stop+AG208+AG214+AG220)</f>
        <v>0</v>
      </c>
      <c r="AH224" s="49">
        <f ca="1">IF(AND((Loango_II!CA_cost_stop+AH208+AH214+AH220)&lt;AG225,Loango_II!CA_gco&gt;0),Loango_II!CA_gco+AH208+AH214+AH220,Loango_II!CA_cost_stop+AH208+AH214+AH220)</f>
        <v>0</v>
      </c>
      <c r="AI224" s="49">
        <f ca="1">IF(AND((Loango_II!CA_cost_stop+AI208+AI214+AI220)&lt;AH225,Loango_II!CA_gco&gt;0),Loango_II!CA_gco+AI208+AI214+AI220,Loango_II!CA_cost_stop+AI208+AI214+AI220)</f>
        <v>0</v>
      </c>
      <c r="AJ224" s="49">
        <f ca="1">IF(AND((Loango_II!CA_cost_stop+AJ208+AJ214+AJ220)&lt;AI225,Loango_II!CA_gco&gt;0),Loango_II!CA_gco+AJ208+AJ214+AJ220,Loango_II!CA_cost_stop+AJ208+AJ214+AJ220)</f>
        <v>0</v>
      </c>
      <c r="AK224" s="49">
        <f ca="1">IF(AND((Loango_II!CA_cost_stop+AK208+AK214+AK220)&lt;AJ225,Loango_II!CA_gco&gt;0),Loango_II!CA_gco+AK208+AK214+AK220,Loango_II!CA_cost_stop+AK208+AK214+AK220)</f>
        <v>0</v>
      </c>
      <c r="AL224" s="49">
        <f ca="1">IF(AND((Loango_II!CA_cost_stop+AL208+AL214+AL220)&lt;AK225,Loango_II!CA_gco&gt;0),Loango_II!CA_gco+AL208+AL214+AL220,Loango_II!CA_cost_stop+AL208+AL214+AL220)</f>
        <v>0</v>
      </c>
      <c r="AM224" s="49">
        <f ca="1">IF(AND((Loango_II!CA_cost_stop+AM208+AM214+AM220)&lt;AL225,Loango_II!CA_gco&gt;0),Loango_II!CA_gco+AM208+AM214+AM220,Loango_II!CA_cost_stop+AM208+AM214+AM220)</f>
        <v>0</v>
      </c>
      <c r="AN224" s="49">
        <f ca="1">IF(AND((Loango_II!CA_cost_stop+AN208+AN214+AN220)&lt;AM225,Loango_II!CA_gco&gt;0),Loango_II!CA_gco+AN208+AN214+AN220,Loango_II!CA_cost_stop+AN208+AN214+AN220)</f>
        <v>0</v>
      </c>
      <c r="AO224" s="49">
        <f ca="1">IF(AND((Loango_II!CA_cost_stop+AO208+AO214+AO220)&lt;AN225,Loango_II!CA_gco&gt;0),Loango_II!CA_gco+AO208+AO214+AO220,Loango_II!CA_cost_stop+AO208+AO214+AO220)</f>
        <v>0</v>
      </c>
      <c r="AP224" s="49">
        <f ca="1">IF(AND((Loango_II!CA_cost_stop+AP208+AP214+AP220)&lt;AO225,Loango_II!CA_gco&gt;0),Loango_II!CA_gco+AP208+AP214+AP220,Loango_II!CA_cost_stop+AP208+AP214+AP220)</f>
        <v>0</v>
      </c>
      <c r="AQ224" s="49">
        <f ca="1">IF(AND((Loango_II!CA_cost_stop+AQ208+AQ214+AQ220)&lt;AP225,Loango_II!CA_gco&gt;0),Loango_II!CA_gco+AQ208+AQ214+AQ220,Loango_II!CA_cost_stop+AQ208+AQ214+AQ220)</f>
        <v>0</v>
      </c>
      <c r="AR224" s="49">
        <f ca="1">IF(AND((Loango_II!CA_cost_stop+AR208+AR214+AR220)&lt;AQ225,Loango_II!CA_gco&gt;0),Loango_II!CA_gco+AR208+AR214+AR220,Loango_II!CA_cost_stop+AR208+AR214+AR220)</f>
        <v>0</v>
      </c>
      <c r="AS224" s="49">
        <f ca="1">IF(AND((Loango_II!CA_cost_stop+AS208+AS214+AS220)&lt;AR225,Loango_II!CA_gco&gt;0),Loango_II!CA_gco+AS208+AS214+AS220,Loango_II!CA_cost_stop+AS208+AS214+AS220)</f>
        <v>0</v>
      </c>
      <c r="AT224" s="49">
        <f ca="1">IF(AND((Loango_II!CA_cost_stop+AT208+AT214+AT220)&lt;AS225,Loango_II!CA_gco&gt;0),Loango_II!CA_gco+AT208+AT214+AT220,Loango_II!CA_cost_stop+AT208+AT214+AT220)</f>
        <v>0</v>
      </c>
      <c r="AU224" s="49">
        <f ca="1">IF(AND((Loango_II!CA_cost_stop+AU208+AU214+AU220)&lt;AT225,Loango_II!CA_gco&gt;0),Loango_II!CA_gco+AU208+AU214+AU220,Loango_II!CA_cost_stop+AU208+AU214+AU220)</f>
        <v>0</v>
      </c>
      <c r="AV224" s="49">
        <f ca="1">IF(AND((Loango_II!CA_cost_stop+AV208+AV214+AV220)&lt;AU225,Loango_II!CA_gco&gt;0),Loango_II!CA_gco+AV208+AV214+AV220,Loango_II!CA_cost_stop+AV208+AV214+AV220)</f>
        <v>0</v>
      </c>
      <c r="AW224" s="49">
        <f ca="1">IF(AND((Loango_II!CA_cost_stop+AW208+AW214+AW220)&lt;AV225,Loango_II!CA_gco&gt;0),Loango_II!CA_gco+AW208+AW214+AW220,Loango_II!CA_cost_stop+AW208+AW214+AW220)</f>
        <v>0</v>
      </c>
      <c r="AX224" s="49">
        <f ca="1">IF(AND((Loango_II!CA_cost_stop+AX208+AX214+AX220)&lt;AW225,Loango_II!CA_gco&gt;0),Loango_II!CA_gco+AX208+AX214+AX220,Loango_II!CA_cost_stop+AX208+AX214+AX220)</f>
        <v>0</v>
      </c>
      <c r="AY224" s="49">
        <f ca="1">IF(AND((Loango_II!CA_cost_stop+AY208+AY214+AY220)&lt;AX225,Loango_II!CA_gco&gt;0),Loango_II!CA_gco+AY208+AY214+AY220,Loango_II!CA_cost_stop+AY208+AY214+AY220)</f>
        <v>0</v>
      </c>
      <c r="AZ224" s="49">
        <f ca="1">IF(AND((Loango_II!CA_cost_stop+AZ208+AZ214+AZ220)&lt;AY225,Loango_II!CA_gco&gt;0),Loango_II!CA_gco+AZ208+AZ214+AZ220,Loango_II!CA_cost_stop+AZ208+AZ214+AZ220)</f>
        <v>0</v>
      </c>
      <c r="BA224" s="49">
        <f ca="1">IF(AND((Loango_II!CA_cost_stop+BA208+BA214+BA220)&lt;AZ225,Loango_II!CA_gco&gt;0),Loango_II!CA_gco+BA208+BA214+BA220,Loango_II!CA_cost_stop+BA208+BA214+BA220)</f>
        <v>0</v>
      </c>
      <c r="BB224" s="49">
        <f ca="1">IF(AND((Loango_II!CA_cost_stop+BB208+BB214+BB220)&lt;BA225,Loango_II!CA_gco&gt;0),Loango_II!CA_gco+BB208+BB214+BB220,Loango_II!CA_cost_stop+BB208+BB214+BB220)</f>
        <v>0</v>
      </c>
      <c r="BC224" s="49">
        <f ca="1">IF(AND((Loango_II!CA_cost_stop+BC208+BC214+BC220)&lt;BB225,Loango_II!CA_gco&gt;0),Loango_II!CA_gco+BC208+BC214+BC220,Loango_II!CA_cost_stop+BC208+BC214+BC220)</f>
        <v>0</v>
      </c>
      <c r="BD224" s="49">
        <f ca="1">IF(AND((Loango_II!CA_cost_stop+BD208+BD214+BD220)&lt;BC225,Loango_II!CA_gco&gt;0),Loango_II!CA_gco+BD208+BD214+BD220,Loango_II!CA_cost_stop+BD208+BD214+BD220)</f>
        <v>0</v>
      </c>
      <c r="BE224" s="49">
        <f ca="1">IF(AND((Loango_II!CA_cost_stop+BE208+BE214+BE220)&lt;BD225,Loango_II!CA_gco&gt;0),Loango_II!CA_gco+BE208+BE214+BE220,Loango_II!CA_cost_stop+BE208+BE214+BE220)</f>
        <v>0</v>
      </c>
      <c r="BF224" s="49">
        <f ca="1">IF(AND((Loango_II!CA_cost_stop+BF208+BF214+BF220)&lt;BE225,Loango_II!CA_gco&gt;0),Loango_II!CA_gco+BF208+BF214+BF220,Loango_II!CA_cost_stop+BF208+BF214+BF220)</f>
        <v>0</v>
      </c>
      <c r="BG224" s="49">
        <f ca="1">IF(AND((Loango_II!CA_cost_stop+BG208+BG214+BG220)&lt;BF225,Loango_II!CA_gco&gt;0),Loango_II!CA_gco+BG208+BG214+BG220,Loango_II!CA_cost_stop+BG208+BG214+BG220)</f>
        <v>0</v>
      </c>
      <c r="BH224" s="49">
        <f ca="1">IF(AND((Loango_II!CA_cost_stop+BH208+BH214+BH220)&lt;BG225,Loango_II!CA_gco&gt;0),Loango_II!CA_gco+BH208+BH214+BH220,Loango_II!CA_cost_stop+BH208+BH214+BH220)</f>
        <v>0</v>
      </c>
      <c r="BI224" s="49">
        <f ca="1">IF(AND((Loango_II!CA_cost_stop+BI208+BI214+BI220)&lt;BH225,Loango_II!CA_gco&gt;0),Loango_II!CA_gco+BI208+BI214+BI220,Loango_II!CA_cost_stop+BI208+BI214+BI220)</f>
        <v>0</v>
      </c>
      <c r="BJ224" s="49">
        <f ca="1">IF(AND((Loango_II!CA_cost_stop+BJ208+BJ214+BJ220)&lt;BI225,Loango_II!CA_gco&gt;0),Loango_II!CA_gco+BJ208+BJ214+BJ220,Loango_II!CA_cost_stop+BJ208+BJ214+BJ220)</f>
        <v>0</v>
      </c>
      <c r="BK224" s="49">
        <f ca="1">IF(AND((Loango_II!CA_cost_stop+BK208+BK214+BK220)&lt;BJ225,Loango_II!CA_gco&gt;0),Loango_II!CA_gco+BK208+BK214+BK220,Loango_II!CA_cost_stop+BK208+BK214+BK220)</f>
        <v>0</v>
      </c>
      <c r="BL224" s="49">
        <f ca="1">IF(AND((Loango_II!CA_cost_stop+BL208+BL214+BL220)&lt;BK225,Loango_II!CA_gco&gt;0),Loango_II!CA_gco+BL208+BL214+BL220,Loango_II!CA_cost_stop+BL208+BL214+BL220)</f>
        <v>0</v>
      </c>
      <c r="BM224" s="49">
        <f ca="1">IF(AND((Loango_II!CA_cost_stop+BM208+BM214+BM220)&lt;BL225,Loango_II!CA_gco&gt;0),Loango_II!CA_gco+BM208+BM214+BM220,Loango_II!CA_cost_stop+BM208+BM214+BM220)</f>
        <v>0</v>
      </c>
      <c r="BN224" s="49">
        <f ca="1">IF(AND((Loango_II!CA_cost_stop+BN208+BN214+BN220)&lt;BM225,Loango_II!CA_gco&gt;0),Loango_II!CA_gco+BN208+BN214+BN220,Loango_II!CA_cost_stop+BN208+BN214+BN220)</f>
        <v>0</v>
      </c>
      <c r="BO224" s="49">
        <f ca="1">IF(AND((Loango_II!CA_cost_stop+BO208+BO214+BO220)&lt;BN225,Loango_II!CA_gco&gt;0),Loango_II!CA_gco+BO208+BO214+BO220,Loango_II!CA_cost_stop+BO208+BO214+BO220)</f>
        <v>0</v>
      </c>
      <c r="BP224" s="49">
        <f ca="1">IF(AND((Loango_II!CA_cost_stop+BP208+BP214+BP220)&lt;BO225,Loango_II!CA_gco&gt;0),Loango_II!CA_gco+BP208+BP214+BP220,Loango_II!CA_cost_stop+BP208+BP214+BP220)</f>
        <v>0</v>
      </c>
      <c r="BQ224" s="49">
        <f ca="1">IF(AND((Loango_II!CA_cost_stop+BQ208+BQ214+BQ220)&lt;BP225,Loango_II!CA_gco&gt;0),Loango_II!CA_gco+BQ208+BQ214+BQ220,Loango_II!CA_cost_stop+BQ208+BQ214+BQ220)</f>
        <v>0</v>
      </c>
      <c r="BR224" s="49">
        <f ca="1">IF(AND((Loango_II!CA_cost_stop+BR208+BR214+BR220)&lt;BQ225,Loango_II!CA_gco&gt;0),Loango_II!CA_gco+BR208+BR214+BR220,Loango_II!CA_cost_stop+BR208+BR214+BR220)</f>
        <v>0</v>
      </c>
      <c r="BS224" s="49">
        <f ca="1">IF(AND((Loango_II!CA_cost_stop+BS208+BS214+BS220)&lt;BR225,Loango_II!CA_gco&gt;0),Loango_II!CA_gco+BS208+BS214+BS220,Loango_II!CA_cost_stop+BS208+BS214+BS220)</f>
        <v>0</v>
      </c>
    </row>
    <row r="225" spans="3:71" outlineLevel="1" x14ac:dyDescent="0.2">
      <c r="E225" t="s">
        <v>205</v>
      </c>
      <c r="I225" s="30">
        <f ca="1">I193</f>
        <v>0</v>
      </c>
      <c r="J225" s="26" t="s">
        <v>148</v>
      </c>
      <c r="L225" s="49">
        <f ca="1">Loango_II!CA_expex_to_recover+(K227*(1+Loango_II!int_rate_cf_costs))</f>
        <v>0</v>
      </c>
      <c r="M225" s="49">
        <f ca="1">Loango_II!CA_expex_to_recover+(L227*(1+Loango_II!int_rate_cf_costs))</f>
        <v>0</v>
      </c>
      <c r="N225" s="49">
        <f ca="1">Loango_II!CA_expex_to_recover+(M227*(1+Loango_II!int_rate_cf_costs))</f>
        <v>0</v>
      </c>
      <c r="O225" s="49">
        <f ca="1">Loango_II!CA_expex_to_recover+(N227*(1+Loango_II!int_rate_cf_costs))</f>
        <v>0</v>
      </c>
      <c r="P225" s="49">
        <f ca="1">Loango_II!CA_expex_to_recover+(O227*(1+Loango_II!int_rate_cf_costs))</f>
        <v>0</v>
      </c>
      <c r="Q225" s="49">
        <f ca="1">Loango_II!CA_expex_to_recover+(P227*(1+Loango_II!int_rate_cf_costs))</f>
        <v>0</v>
      </c>
      <c r="R225" s="49">
        <f ca="1">Loango_II!CA_expex_to_recover+(Q227*(1+Loango_II!int_rate_cf_costs))</f>
        <v>0</v>
      </c>
      <c r="S225" s="49">
        <f ca="1">Loango_II!CA_expex_to_recover+(R227*(1+Loango_II!int_rate_cf_costs))</f>
        <v>0</v>
      </c>
      <c r="T225" s="49">
        <f ca="1">Loango_II!CA_expex_to_recover+(S227*(1+Loango_II!int_rate_cf_costs))</f>
        <v>0</v>
      </c>
      <c r="U225" s="49">
        <f ca="1">Loango_II!CA_expex_to_recover+(T227*(1+Loango_II!int_rate_cf_costs))</f>
        <v>0</v>
      </c>
      <c r="V225" s="49">
        <f ca="1">Loango_II!CA_expex_to_recover+(U227*(1+Loango_II!int_rate_cf_costs))</f>
        <v>0</v>
      </c>
      <c r="W225" s="49">
        <f ca="1">Loango_II!CA_expex_to_recover+(V227*(1+Loango_II!int_rate_cf_costs))</f>
        <v>0</v>
      </c>
      <c r="X225" s="49">
        <f ca="1">Loango_II!CA_expex_to_recover+(W227*(1+Loango_II!int_rate_cf_costs))</f>
        <v>0</v>
      </c>
      <c r="Y225" s="49">
        <f ca="1">Loango_II!CA_expex_to_recover+(X227*(1+Loango_II!int_rate_cf_costs))</f>
        <v>0</v>
      </c>
      <c r="Z225" s="49">
        <f ca="1">Loango_II!CA_expex_to_recover+(Y227*(1+Loango_II!int_rate_cf_costs))</f>
        <v>0</v>
      </c>
      <c r="AA225" s="49">
        <f ca="1">Loango_II!CA_expex_to_recover+(Z227*(1+Loango_II!int_rate_cf_costs))</f>
        <v>0</v>
      </c>
      <c r="AB225" s="49">
        <f ca="1">Loango_II!CA_expex_to_recover+(AA227*(1+Loango_II!int_rate_cf_costs))</f>
        <v>0</v>
      </c>
      <c r="AC225" s="49">
        <f ca="1">Loango_II!CA_expex_to_recover+(AB227*(1+Loango_II!int_rate_cf_costs))</f>
        <v>0</v>
      </c>
      <c r="AD225" s="49">
        <f ca="1">Loango_II!CA_expex_to_recover+(AC227*(1+Loango_II!int_rate_cf_costs))</f>
        <v>0</v>
      </c>
      <c r="AE225" s="49">
        <f ca="1">Loango_II!CA_expex_to_recover+(AD227*(1+Loango_II!int_rate_cf_costs))</f>
        <v>0</v>
      </c>
      <c r="AF225" s="49">
        <f ca="1">Loango_II!CA_expex_to_recover+(AE227*(1+Loango_II!int_rate_cf_costs))</f>
        <v>0</v>
      </c>
      <c r="AG225" s="49">
        <f ca="1">Loango_II!CA_expex_to_recover+(AF227*(1+Loango_II!int_rate_cf_costs))</f>
        <v>0</v>
      </c>
      <c r="AH225" s="49">
        <f ca="1">Loango_II!CA_expex_to_recover+(AG227*(1+Loango_II!int_rate_cf_costs))</f>
        <v>0</v>
      </c>
      <c r="AI225" s="49">
        <f ca="1">Loango_II!CA_expex_to_recover+(AH227*(1+Loango_II!int_rate_cf_costs))</f>
        <v>0</v>
      </c>
      <c r="AJ225" s="49">
        <f ca="1">Loango_II!CA_expex_to_recover+(AI227*(1+Loango_II!int_rate_cf_costs))</f>
        <v>0</v>
      </c>
      <c r="AK225" s="49">
        <f ca="1">Loango_II!CA_expex_to_recover+(AJ227*(1+Loango_II!int_rate_cf_costs))</f>
        <v>0</v>
      </c>
      <c r="AL225" s="49">
        <f ca="1">Loango_II!CA_expex_to_recover+(AK227*(1+Loango_II!int_rate_cf_costs))</f>
        <v>0</v>
      </c>
      <c r="AM225" s="49">
        <f ca="1">Loango_II!CA_expex_to_recover+(AL227*(1+Loango_II!int_rate_cf_costs))</f>
        <v>0</v>
      </c>
      <c r="AN225" s="49">
        <f ca="1">Loango_II!CA_expex_to_recover+(AM227*(1+Loango_II!int_rate_cf_costs))</f>
        <v>0</v>
      </c>
      <c r="AO225" s="49">
        <f ca="1">Loango_II!CA_expex_to_recover+(AN227*(1+Loango_II!int_rate_cf_costs))</f>
        <v>0</v>
      </c>
      <c r="AP225" s="49">
        <f ca="1">Loango_II!CA_expex_to_recover+(AO227*(1+Loango_II!int_rate_cf_costs))</f>
        <v>0</v>
      </c>
      <c r="AQ225" s="49">
        <f ca="1">Loango_II!CA_expex_to_recover+(AP227*(1+Loango_II!int_rate_cf_costs))</f>
        <v>0</v>
      </c>
      <c r="AR225" s="49">
        <f ca="1">Loango_II!CA_expex_to_recover+(AQ227*(1+Loango_II!int_rate_cf_costs))</f>
        <v>0</v>
      </c>
      <c r="AS225" s="49">
        <f ca="1">Loango_II!CA_expex_to_recover+(AR227*(1+Loango_II!int_rate_cf_costs))</f>
        <v>0</v>
      </c>
      <c r="AT225" s="49">
        <f ca="1">Loango_II!CA_expex_to_recover+(AS227*(1+Loango_II!int_rate_cf_costs))</f>
        <v>0</v>
      </c>
      <c r="AU225" s="49">
        <f ca="1">Loango_II!CA_expex_to_recover+(AT227*(1+Loango_II!int_rate_cf_costs))</f>
        <v>0</v>
      </c>
      <c r="AV225" s="49">
        <f ca="1">Loango_II!CA_expex_to_recover+(AU227*(1+Loango_II!int_rate_cf_costs))</f>
        <v>0</v>
      </c>
      <c r="AW225" s="49">
        <f ca="1">Loango_II!CA_expex_to_recover+(AV227*(1+Loango_II!int_rate_cf_costs))</f>
        <v>0</v>
      </c>
      <c r="AX225" s="49">
        <f ca="1">Loango_II!CA_expex_to_recover+(AW227*(1+Loango_II!int_rate_cf_costs))</f>
        <v>0</v>
      </c>
      <c r="AY225" s="49">
        <f ca="1">Loango_II!CA_expex_to_recover+(AX227*(1+Loango_II!int_rate_cf_costs))</f>
        <v>0</v>
      </c>
      <c r="AZ225" s="49">
        <f ca="1">Loango_II!CA_expex_to_recover+(AY227*(1+Loango_II!int_rate_cf_costs))</f>
        <v>0</v>
      </c>
      <c r="BA225" s="49">
        <f ca="1">Loango_II!CA_expex_to_recover+(AZ227*(1+Loango_II!int_rate_cf_costs))</f>
        <v>0</v>
      </c>
      <c r="BB225" s="49">
        <f ca="1">Loango_II!CA_expex_to_recover+(BA227*(1+Loango_II!int_rate_cf_costs))</f>
        <v>0</v>
      </c>
      <c r="BC225" s="49">
        <f ca="1">Loango_II!CA_expex_to_recover+(BB227*(1+Loango_II!int_rate_cf_costs))</f>
        <v>0</v>
      </c>
      <c r="BD225" s="49">
        <f ca="1">Loango_II!CA_expex_to_recover+(BC227*(1+Loango_II!int_rate_cf_costs))</f>
        <v>0</v>
      </c>
      <c r="BE225" s="49">
        <f ca="1">Loango_II!CA_expex_to_recover+(BD227*(1+Loango_II!int_rate_cf_costs))</f>
        <v>0</v>
      </c>
      <c r="BF225" s="49">
        <f ca="1">Loango_II!CA_expex_to_recover+(BE227*(1+Loango_II!int_rate_cf_costs))</f>
        <v>0</v>
      </c>
      <c r="BG225" s="49">
        <f ca="1">Loango_II!CA_expex_to_recover+(BF227*(1+Loango_II!int_rate_cf_costs))</f>
        <v>0</v>
      </c>
      <c r="BH225" s="49">
        <f ca="1">Loango_II!CA_expex_to_recover+(BG227*(1+Loango_II!int_rate_cf_costs))</f>
        <v>0</v>
      </c>
      <c r="BI225" s="49">
        <f ca="1">Loango_II!CA_expex_to_recover+(BH227*(1+Loango_II!int_rate_cf_costs))</f>
        <v>0</v>
      </c>
      <c r="BJ225" s="49">
        <f ca="1">Loango_II!CA_expex_to_recover+(BI227*(1+Loango_II!int_rate_cf_costs))</f>
        <v>0</v>
      </c>
      <c r="BK225" s="49">
        <f ca="1">Loango_II!CA_expex_to_recover+(BJ227*(1+Loango_II!int_rate_cf_costs))</f>
        <v>0</v>
      </c>
      <c r="BL225" s="49">
        <f ca="1">Loango_II!CA_expex_to_recover+(BK227*(1+Loango_II!int_rate_cf_costs))</f>
        <v>0</v>
      </c>
      <c r="BM225" s="49">
        <f ca="1">Loango_II!CA_expex_to_recover+(BL227*(1+Loango_II!int_rate_cf_costs))</f>
        <v>0</v>
      </c>
      <c r="BN225" s="49">
        <f ca="1">Loango_II!CA_expex_to_recover+(BM227*(1+Loango_II!int_rate_cf_costs))</f>
        <v>0</v>
      </c>
      <c r="BO225" s="49">
        <f ca="1">Loango_II!CA_expex_to_recover+(BN227*(1+Loango_II!int_rate_cf_costs))</f>
        <v>0</v>
      </c>
      <c r="BP225" s="49">
        <f ca="1">Loango_II!CA_expex_to_recover+(BO227*(1+Loango_II!int_rate_cf_costs))</f>
        <v>0</v>
      </c>
      <c r="BQ225" s="49">
        <f ca="1">Loango_II!CA_expex_to_recover+(BP227*(1+Loango_II!int_rate_cf_costs))</f>
        <v>0</v>
      </c>
      <c r="BR225" s="49">
        <f ca="1">Loango_II!CA_expex_to_recover+(BQ227*(1+Loango_II!int_rate_cf_costs))</f>
        <v>0</v>
      </c>
      <c r="BS225" s="49">
        <f ca="1">Loango_II!CA_expex_to_recover+(BR227*(1+Loango_II!int_rate_cf_costs))</f>
        <v>0</v>
      </c>
    </row>
    <row r="226" spans="3:71" outlineLevel="1" x14ac:dyDescent="0.2">
      <c r="E226" t="s">
        <v>206</v>
      </c>
      <c r="H226" s="56" t="b">
        <f ca="1">ROUND(I226,2)=-ROUND(I225,2)</f>
        <v>1</v>
      </c>
      <c r="I226" s="30">
        <f t="shared" ca="1" si="37"/>
        <v>0</v>
      </c>
      <c r="J226" s="26" t="s">
        <v>148</v>
      </c>
      <c r="L226" s="49">
        <f ca="1">-MIN(L225,L224)</f>
        <v>0</v>
      </c>
      <c r="M226" s="49">
        <f t="shared" ref="M226:BS226" ca="1" si="38">-MIN(M225,M224)</f>
        <v>0</v>
      </c>
      <c r="N226" s="49">
        <f t="shared" ca="1" si="38"/>
        <v>0</v>
      </c>
      <c r="O226" s="49">
        <f t="shared" ca="1" si="38"/>
        <v>0</v>
      </c>
      <c r="P226" s="49">
        <f t="shared" ca="1" si="38"/>
        <v>0</v>
      </c>
      <c r="Q226" s="49">
        <f t="shared" ca="1" si="38"/>
        <v>0</v>
      </c>
      <c r="R226" s="49">
        <f t="shared" ca="1" si="38"/>
        <v>0</v>
      </c>
      <c r="S226" s="49">
        <f t="shared" ca="1" si="38"/>
        <v>0</v>
      </c>
      <c r="T226" s="49">
        <f t="shared" ca="1" si="38"/>
        <v>0</v>
      </c>
      <c r="U226" s="49">
        <f t="shared" ca="1" si="38"/>
        <v>0</v>
      </c>
      <c r="V226" s="49">
        <f t="shared" ca="1" si="38"/>
        <v>0</v>
      </c>
      <c r="W226" s="49">
        <f t="shared" ca="1" si="38"/>
        <v>0</v>
      </c>
      <c r="X226" s="49">
        <f t="shared" ca="1" si="38"/>
        <v>0</v>
      </c>
      <c r="Y226" s="49">
        <f t="shared" ca="1" si="38"/>
        <v>0</v>
      </c>
      <c r="Z226" s="49">
        <f t="shared" ca="1" si="38"/>
        <v>0</v>
      </c>
      <c r="AA226" s="49">
        <f t="shared" ca="1" si="38"/>
        <v>0</v>
      </c>
      <c r="AB226" s="49">
        <f t="shared" ca="1" si="38"/>
        <v>0</v>
      </c>
      <c r="AC226" s="49">
        <f t="shared" ca="1" si="38"/>
        <v>0</v>
      </c>
      <c r="AD226" s="49">
        <f t="shared" ca="1" si="38"/>
        <v>0</v>
      </c>
      <c r="AE226" s="49">
        <f t="shared" ca="1" si="38"/>
        <v>0</v>
      </c>
      <c r="AF226" s="49">
        <f t="shared" ca="1" si="38"/>
        <v>0</v>
      </c>
      <c r="AG226" s="49">
        <f t="shared" ca="1" si="38"/>
        <v>0</v>
      </c>
      <c r="AH226" s="49">
        <f t="shared" ca="1" si="38"/>
        <v>0</v>
      </c>
      <c r="AI226" s="49">
        <f t="shared" ca="1" si="38"/>
        <v>0</v>
      </c>
      <c r="AJ226" s="49">
        <f t="shared" ca="1" si="38"/>
        <v>0</v>
      </c>
      <c r="AK226" s="49">
        <f t="shared" ca="1" si="38"/>
        <v>0</v>
      </c>
      <c r="AL226" s="49">
        <f t="shared" ca="1" si="38"/>
        <v>0</v>
      </c>
      <c r="AM226" s="49">
        <f t="shared" ca="1" si="38"/>
        <v>0</v>
      </c>
      <c r="AN226" s="49">
        <f t="shared" ca="1" si="38"/>
        <v>0</v>
      </c>
      <c r="AO226" s="49">
        <f t="shared" ca="1" si="38"/>
        <v>0</v>
      </c>
      <c r="AP226" s="49">
        <f t="shared" ca="1" si="38"/>
        <v>0</v>
      </c>
      <c r="AQ226" s="49">
        <f t="shared" ca="1" si="38"/>
        <v>0</v>
      </c>
      <c r="AR226" s="49">
        <f t="shared" ca="1" si="38"/>
        <v>0</v>
      </c>
      <c r="AS226" s="49">
        <f t="shared" ca="1" si="38"/>
        <v>0</v>
      </c>
      <c r="AT226" s="49">
        <f t="shared" ca="1" si="38"/>
        <v>0</v>
      </c>
      <c r="AU226" s="49">
        <f t="shared" ca="1" si="38"/>
        <v>0</v>
      </c>
      <c r="AV226" s="49">
        <f t="shared" ca="1" si="38"/>
        <v>0</v>
      </c>
      <c r="AW226" s="49">
        <f t="shared" ca="1" si="38"/>
        <v>0</v>
      </c>
      <c r="AX226" s="49">
        <f t="shared" ca="1" si="38"/>
        <v>0</v>
      </c>
      <c r="AY226" s="49">
        <f t="shared" ca="1" si="38"/>
        <v>0</v>
      </c>
      <c r="AZ226" s="49">
        <f t="shared" ca="1" si="38"/>
        <v>0</v>
      </c>
      <c r="BA226" s="49">
        <f t="shared" ca="1" si="38"/>
        <v>0</v>
      </c>
      <c r="BB226" s="49">
        <f t="shared" ca="1" si="38"/>
        <v>0</v>
      </c>
      <c r="BC226" s="49">
        <f t="shared" ca="1" si="38"/>
        <v>0</v>
      </c>
      <c r="BD226" s="49">
        <f t="shared" ca="1" si="38"/>
        <v>0</v>
      </c>
      <c r="BE226" s="49">
        <f t="shared" ca="1" si="38"/>
        <v>0</v>
      </c>
      <c r="BF226" s="49">
        <f t="shared" ca="1" si="38"/>
        <v>0</v>
      </c>
      <c r="BG226" s="49">
        <f t="shared" ca="1" si="38"/>
        <v>0</v>
      </c>
      <c r="BH226" s="49">
        <f t="shared" ca="1" si="38"/>
        <v>0</v>
      </c>
      <c r="BI226" s="49">
        <f t="shared" ca="1" si="38"/>
        <v>0</v>
      </c>
      <c r="BJ226" s="49">
        <f t="shared" ca="1" si="38"/>
        <v>0</v>
      </c>
      <c r="BK226" s="49">
        <f t="shared" ca="1" si="38"/>
        <v>0</v>
      </c>
      <c r="BL226" s="49">
        <f t="shared" ca="1" si="38"/>
        <v>0</v>
      </c>
      <c r="BM226" s="49">
        <f t="shared" ca="1" si="38"/>
        <v>0</v>
      </c>
      <c r="BN226" s="49">
        <f t="shared" ca="1" si="38"/>
        <v>0</v>
      </c>
      <c r="BO226" s="49">
        <f t="shared" ca="1" si="38"/>
        <v>0</v>
      </c>
      <c r="BP226" s="49">
        <f t="shared" ca="1" si="38"/>
        <v>0</v>
      </c>
      <c r="BQ226" s="49">
        <f t="shared" ca="1" si="38"/>
        <v>0</v>
      </c>
      <c r="BR226" s="49">
        <f t="shared" ca="1" si="38"/>
        <v>0</v>
      </c>
      <c r="BS226" s="49">
        <f t="shared" ca="1" si="38"/>
        <v>0</v>
      </c>
    </row>
    <row r="227" spans="3:71" outlineLevel="1" x14ac:dyDescent="0.2">
      <c r="E227" t="s">
        <v>195</v>
      </c>
      <c r="J227" s="26"/>
      <c r="L227" s="49">
        <f ca="1">L225+L226</f>
        <v>0</v>
      </c>
      <c r="M227" s="49">
        <f t="shared" ref="M227:BS227" ca="1" si="39">M225+M226</f>
        <v>0</v>
      </c>
      <c r="N227" s="49">
        <f t="shared" ca="1" si="39"/>
        <v>0</v>
      </c>
      <c r="O227" s="49">
        <f t="shared" ca="1" si="39"/>
        <v>0</v>
      </c>
      <c r="P227" s="49">
        <f t="shared" ca="1" si="39"/>
        <v>0</v>
      </c>
      <c r="Q227" s="49">
        <f t="shared" ca="1" si="39"/>
        <v>0</v>
      </c>
      <c r="R227" s="49">
        <f t="shared" ca="1" si="39"/>
        <v>0</v>
      </c>
      <c r="S227" s="49">
        <f t="shared" ca="1" si="39"/>
        <v>0</v>
      </c>
      <c r="T227" s="49">
        <f t="shared" ca="1" si="39"/>
        <v>0</v>
      </c>
      <c r="U227" s="49">
        <f t="shared" ca="1" si="39"/>
        <v>0</v>
      </c>
      <c r="V227" s="49">
        <f t="shared" ca="1" si="39"/>
        <v>0</v>
      </c>
      <c r="W227" s="49">
        <f t="shared" ca="1" si="39"/>
        <v>0</v>
      </c>
      <c r="X227" s="49">
        <f t="shared" ca="1" si="39"/>
        <v>0</v>
      </c>
      <c r="Y227" s="49">
        <f t="shared" ca="1" si="39"/>
        <v>0</v>
      </c>
      <c r="Z227" s="49">
        <f t="shared" ca="1" si="39"/>
        <v>0</v>
      </c>
      <c r="AA227" s="49">
        <f t="shared" ca="1" si="39"/>
        <v>0</v>
      </c>
      <c r="AB227" s="49">
        <f t="shared" ca="1" si="39"/>
        <v>0</v>
      </c>
      <c r="AC227" s="49">
        <f t="shared" ca="1" si="39"/>
        <v>0</v>
      </c>
      <c r="AD227" s="49">
        <f t="shared" ca="1" si="39"/>
        <v>0</v>
      </c>
      <c r="AE227" s="49">
        <f t="shared" ca="1" si="39"/>
        <v>0</v>
      </c>
      <c r="AF227" s="49">
        <f t="shared" ca="1" si="39"/>
        <v>0</v>
      </c>
      <c r="AG227" s="49">
        <f t="shared" ca="1" si="39"/>
        <v>0</v>
      </c>
      <c r="AH227" s="49">
        <f t="shared" ca="1" si="39"/>
        <v>0</v>
      </c>
      <c r="AI227" s="49">
        <f t="shared" ca="1" si="39"/>
        <v>0</v>
      </c>
      <c r="AJ227" s="49">
        <f t="shared" ca="1" si="39"/>
        <v>0</v>
      </c>
      <c r="AK227" s="49">
        <f t="shared" ca="1" si="39"/>
        <v>0</v>
      </c>
      <c r="AL227" s="49">
        <f t="shared" ca="1" si="39"/>
        <v>0</v>
      </c>
      <c r="AM227" s="49">
        <f t="shared" ca="1" si="39"/>
        <v>0</v>
      </c>
      <c r="AN227" s="49">
        <f t="shared" ca="1" si="39"/>
        <v>0</v>
      </c>
      <c r="AO227" s="49">
        <f t="shared" ca="1" si="39"/>
        <v>0</v>
      </c>
      <c r="AP227" s="49">
        <f t="shared" ca="1" si="39"/>
        <v>0</v>
      </c>
      <c r="AQ227" s="49">
        <f t="shared" ca="1" si="39"/>
        <v>0</v>
      </c>
      <c r="AR227" s="49">
        <f t="shared" ca="1" si="39"/>
        <v>0</v>
      </c>
      <c r="AS227" s="49">
        <f t="shared" ca="1" si="39"/>
        <v>0</v>
      </c>
      <c r="AT227" s="49">
        <f t="shared" ca="1" si="39"/>
        <v>0</v>
      </c>
      <c r="AU227" s="49">
        <f t="shared" ca="1" si="39"/>
        <v>0</v>
      </c>
      <c r="AV227" s="49">
        <f t="shared" ca="1" si="39"/>
        <v>0</v>
      </c>
      <c r="AW227" s="49">
        <f t="shared" ca="1" si="39"/>
        <v>0</v>
      </c>
      <c r="AX227" s="49">
        <f t="shared" ca="1" si="39"/>
        <v>0</v>
      </c>
      <c r="AY227" s="49">
        <f t="shared" ca="1" si="39"/>
        <v>0</v>
      </c>
      <c r="AZ227" s="49">
        <f t="shared" ca="1" si="39"/>
        <v>0</v>
      </c>
      <c r="BA227" s="49">
        <f t="shared" ca="1" si="39"/>
        <v>0</v>
      </c>
      <c r="BB227" s="49">
        <f t="shared" ca="1" si="39"/>
        <v>0</v>
      </c>
      <c r="BC227" s="49">
        <f t="shared" ca="1" si="39"/>
        <v>0</v>
      </c>
      <c r="BD227" s="49">
        <f t="shared" ca="1" si="39"/>
        <v>0</v>
      </c>
      <c r="BE227" s="49">
        <f t="shared" ca="1" si="39"/>
        <v>0</v>
      </c>
      <c r="BF227" s="49">
        <f t="shared" ca="1" si="39"/>
        <v>0</v>
      </c>
      <c r="BG227" s="49">
        <f t="shared" ca="1" si="39"/>
        <v>0</v>
      </c>
      <c r="BH227" s="49">
        <f t="shared" ca="1" si="39"/>
        <v>0</v>
      </c>
      <c r="BI227" s="49">
        <f t="shared" ca="1" si="39"/>
        <v>0</v>
      </c>
      <c r="BJ227" s="49">
        <f t="shared" ca="1" si="39"/>
        <v>0</v>
      </c>
      <c r="BK227" s="49">
        <f t="shared" ca="1" si="39"/>
        <v>0</v>
      </c>
      <c r="BL227" s="49">
        <f t="shared" ca="1" si="39"/>
        <v>0</v>
      </c>
      <c r="BM227" s="49">
        <f t="shared" ca="1" si="39"/>
        <v>0</v>
      </c>
      <c r="BN227" s="49">
        <f t="shared" ca="1" si="39"/>
        <v>0</v>
      </c>
      <c r="BO227" s="49">
        <f t="shared" ca="1" si="39"/>
        <v>0</v>
      </c>
      <c r="BP227" s="49">
        <f t="shared" ca="1" si="39"/>
        <v>0</v>
      </c>
      <c r="BQ227" s="49">
        <f t="shared" ca="1" si="39"/>
        <v>0</v>
      </c>
      <c r="BR227" s="49">
        <f t="shared" ca="1" si="39"/>
        <v>0</v>
      </c>
      <c r="BS227" s="49">
        <f t="shared" ca="1" si="39"/>
        <v>0</v>
      </c>
    </row>
    <row r="228" spans="3:71" outlineLevel="1" x14ac:dyDescent="0.2">
      <c r="J228" s="26"/>
      <c r="L228" s="55"/>
      <c r="M228" s="55"/>
      <c r="N228" s="55"/>
      <c r="O228" s="55"/>
      <c r="P228" s="55"/>
      <c r="Q228" s="55"/>
      <c r="R228" s="55"/>
      <c r="S228" s="55"/>
      <c r="T228" s="55"/>
      <c r="U228" s="55"/>
      <c r="V228" s="55"/>
      <c r="W228" s="55"/>
      <c r="X228" s="55"/>
      <c r="Y228" s="55"/>
      <c r="Z228" s="55"/>
      <c r="AA228" s="55"/>
      <c r="AB228" s="55"/>
      <c r="AC228" s="55"/>
      <c r="AD228" s="55"/>
      <c r="AE228" s="55"/>
      <c r="AF228" s="55"/>
      <c r="AG228" s="55"/>
      <c r="AH228" s="55"/>
      <c r="AI228" s="55"/>
      <c r="AJ228" s="55"/>
      <c r="AK228" s="55"/>
      <c r="AL228" s="55"/>
      <c r="AM228" s="55"/>
      <c r="AN228" s="55"/>
      <c r="AO228" s="55"/>
      <c r="AP228" s="55"/>
      <c r="AQ228" s="55"/>
      <c r="AR228" s="55"/>
      <c r="AS228" s="55"/>
      <c r="AT228" s="55"/>
      <c r="AU228" s="55"/>
      <c r="AV228" s="55"/>
      <c r="AW228" s="55"/>
      <c r="AX228" s="55"/>
      <c r="AY228" s="55"/>
      <c r="AZ228" s="55"/>
      <c r="BA228" s="55"/>
      <c r="BB228" s="55"/>
      <c r="BC228" s="55"/>
      <c r="BD228" s="55"/>
      <c r="BE228" s="55"/>
      <c r="BF228" s="55"/>
      <c r="BG228" s="55"/>
      <c r="BH228" s="55"/>
      <c r="BI228" s="55"/>
      <c r="BJ228" s="55"/>
      <c r="BK228" s="55"/>
      <c r="BL228" s="55"/>
      <c r="BM228" s="55"/>
      <c r="BN228" s="55"/>
      <c r="BO228" s="55"/>
      <c r="BP228" s="55"/>
      <c r="BQ228" s="55"/>
      <c r="BR228" s="55"/>
      <c r="BS228" s="55"/>
    </row>
    <row r="229" spans="3:71" outlineLevel="1" x14ac:dyDescent="0.2">
      <c r="D229" s="11" t="s">
        <v>207</v>
      </c>
      <c r="H229" s="56" t="b">
        <f ca="1">ROUND(I229,2)=ROUND(I194,2)</f>
        <v>0</v>
      </c>
      <c r="I229" s="30">
        <f t="shared" ca="1" si="37"/>
        <v>4860.0918926789109</v>
      </c>
      <c r="J229" s="26" t="s">
        <v>148</v>
      </c>
      <c r="K229" s="7" t="s">
        <v>208</v>
      </c>
      <c r="L229" s="49">
        <f ca="1">-SUM(L226,L220,L214,L208)</f>
        <v>383.30754832286999</v>
      </c>
      <c r="M229" s="49">
        <f t="shared" ref="M229:BS229" ca="1" si="40">-SUM(M226,M220,M214,M208)</f>
        <v>397.79938392794992</v>
      </c>
      <c r="N229" s="49">
        <f t="shared" ca="1" si="40"/>
        <v>160.23742140065002</v>
      </c>
      <c r="O229" s="49">
        <f t="shared" ca="1" si="40"/>
        <v>151.24969390402092</v>
      </c>
      <c r="P229" s="49">
        <f t="shared" ca="1" si="40"/>
        <v>419.54477723874817</v>
      </c>
      <c r="Q229" s="49">
        <f t="shared" ca="1" si="40"/>
        <v>833.95971983526113</v>
      </c>
      <c r="R229" s="49">
        <f t="shared" ca="1" si="40"/>
        <v>437.82118497122326</v>
      </c>
      <c r="S229" s="49">
        <f t="shared" ca="1" si="40"/>
        <v>254.15840792628003</v>
      </c>
      <c r="T229" s="49">
        <f t="shared" ca="1" si="40"/>
        <v>387.82630454581727</v>
      </c>
      <c r="U229" s="49">
        <f t="shared" ca="1" si="40"/>
        <v>387.14765049146342</v>
      </c>
      <c r="V229" s="49">
        <f t="shared" ca="1" si="40"/>
        <v>367.24826125620211</v>
      </c>
      <c r="W229" s="49">
        <f t="shared" ca="1" si="40"/>
        <v>349.32614364305147</v>
      </c>
      <c r="X229" s="49">
        <f t="shared" ca="1" si="40"/>
        <v>330.46539521537295</v>
      </c>
      <c r="Y229" s="49">
        <f t="shared" ca="1" si="40"/>
        <v>0</v>
      </c>
      <c r="Z229" s="49">
        <f t="shared" ca="1" si="40"/>
        <v>0</v>
      </c>
      <c r="AA229" s="49">
        <f t="shared" ca="1" si="40"/>
        <v>0</v>
      </c>
      <c r="AB229" s="49">
        <f t="shared" ca="1" si="40"/>
        <v>0</v>
      </c>
      <c r="AC229" s="49">
        <f t="shared" ca="1" si="40"/>
        <v>0</v>
      </c>
      <c r="AD229" s="49">
        <f t="shared" ca="1" si="40"/>
        <v>0</v>
      </c>
      <c r="AE229" s="49">
        <f t="shared" ca="1" si="40"/>
        <v>0</v>
      </c>
      <c r="AF229" s="49">
        <f t="shared" ca="1" si="40"/>
        <v>0</v>
      </c>
      <c r="AG229" s="49">
        <f t="shared" ca="1" si="40"/>
        <v>0</v>
      </c>
      <c r="AH229" s="49">
        <f t="shared" ca="1" si="40"/>
        <v>0</v>
      </c>
      <c r="AI229" s="49">
        <f t="shared" ca="1" si="40"/>
        <v>0</v>
      </c>
      <c r="AJ229" s="49">
        <f t="shared" ca="1" si="40"/>
        <v>0</v>
      </c>
      <c r="AK229" s="49">
        <f t="shared" ca="1" si="40"/>
        <v>0</v>
      </c>
      <c r="AL229" s="49">
        <f t="shared" ca="1" si="40"/>
        <v>0</v>
      </c>
      <c r="AM229" s="49">
        <f t="shared" ca="1" si="40"/>
        <v>0</v>
      </c>
      <c r="AN229" s="49">
        <f t="shared" ca="1" si="40"/>
        <v>0</v>
      </c>
      <c r="AO229" s="49">
        <f t="shared" ca="1" si="40"/>
        <v>0</v>
      </c>
      <c r="AP229" s="49">
        <f t="shared" ca="1" si="40"/>
        <v>0</v>
      </c>
      <c r="AQ229" s="49">
        <f t="shared" ca="1" si="40"/>
        <v>0</v>
      </c>
      <c r="AR229" s="49">
        <f t="shared" ca="1" si="40"/>
        <v>0</v>
      </c>
      <c r="AS229" s="49">
        <f t="shared" ca="1" si="40"/>
        <v>0</v>
      </c>
      <c r="AT229" s="49">
        <f t="shared" ca="1" si="40"/>
        <v>0</v>
      </c>
      <c r="AU229" s="49">
        <f t="shared" ca="1" si="40"/>
        <v>0</v>
      </c>
      <c r="AV229" s="49">
        <f t="shared" ca="1" si="40"/>
        <v>0</v>
      </c>
      <c r="AW229" s="49">
        <f t="shared" ca="1" si="40"/>
        <v>0</v>
      </c>
      <c r="AX229" s="49">
        <f t="shared" ca="1" si="40"/>
        <v>0</v>
      </c>
      <c r="AY229" s="49">
        <f t="shared" ca="1" si="40"/>
        <v>0</v>
      </c>
      <c r="AZ229" s="49">
        <f t="shared" ca="1" si="40"/>
        <v>0</v>
      </c>
      <c r="BA229" s="49">
        <f t="shared" ca="1" si="40"/>
        <v>0</v>
      </c>
      <c r="BB229" s="49">
        <f t="shared" ca="1" si="40"/>
        <v>0</v>
      </c>
      <c r="BC229" s="49">
        <f t="shared" ca="1" si="40"/>
        <v>0</v>
      </c>
      <c r="BD229" s="49">
        <f t="shared" ca="1" si="40"/>
        <v>0</v>
      </c>
      <c r="BE229" s="49">
        <f t="shared" ca="1" si="40"/>
        <v>0</v>
      </c>
      <c r="BF229" s="49">
        <f t="shared" ca="1" si="40"/>
        <v>0</v>
      </c>
      <c r="BG229" s="49">
        <f t="shared" ca="1" si="40"/>
        <v>0</v>
      </c>
      <c r="BH229" s="49">
        <f t="shared" ca="1" si="40"/>
        <v>0</v>
      </c>
      <c r="BI229" s="49">
        <f t="shared" ca="1" si="40"/>
        <v>0</v>
      </c>
      <c r="BJ229" s="49">
        <f t="shared" ca="1" si="40"/>
        <v>0</v>
      </c>
      <c r="BK229" s="49">
        <f t="shared" ca="1" si="40"/>
        <v>0</v>
      </c>
      <c r="BL229" s="49">
        <f t="shared" ca="1" si="40"/>
        <v>0</v>
      </c>
      <c r="BM229" s="49">
        <f t="shared" ca="1" si="40"/>
        <v>0</v>
      </c>
      <c r="BN229" s="49">
        <f t="shared" ca="1" si="40"/>
        <v>0</v>
      </c>
      <c r="BO229" s="49">
        <f t="shared" ca="1" si="40"/>
        <v>0</v>
      </c>
      <c r="BP229" s="49">
        <f t="shared" ca="1" si="40"/>
        <v>0</v>
      </c>
      <c r="BQ229" s="49">
        <f t="shared" ca="1" si="40"/>
        <v>0</v>
      </c>
      <c r="BR229" s="49">
        <f t="shared" ca="1" si="40"/>
        <v>0</v>
      </c>
      <c r="BS229" s="49">
        <f t="shared" ca="1" si="40"/>
        <v>0</v>
      </c>
    </row>
    <row r="230" spans="3:71" outlineLevel="1" x14ac:dyDescent="0.2">
      <c r="J230" s="26"/>
      <c r="L230" s="55"/>
      <c r="M230" s="55"/>
      <c r="N230" s="55"/>
      <c r="O230" s="55"/>
      <c r="P230" s="55"/>
      <c r="Q230" s="55"/>
      <c r="R230" s="55"/>
      <c r="S230" s="55"/>
      <c r="T230" s="55"/>
      <c r="U230" s="55"/>
      <c r="V230" s="55"/>
      <c r="W230" s="55"/>
      <c r="X230" s="55"/>
      <c r="Y230" s="55"/>
      <c r="Z230" s="55"/>
      <c r="AA230" s="55"/>
      <c r="AB230" s="55"/>
      <c r="AC230" s="55"/>
      <c r="AD230" s="55"/>
      <c r="AE230" s="55"/>
      <c r="AF230" s="55"/>
      <c r="AG230" s="55"/>
      <c r="AH230" s="55"/>
      <c r="AI230" s="55"/>
      <c r="AJ230" s="55"/>
      <c r="AK230" s="55"/>
      <c r="AL230" s="55"/>
      <c r="AM230" s="55"/>
      <c r="AN230" s="55"/>
      <c r="AO230" s="55"/>
      <c r="AP230" s="55"/>
      <c r="AQ230" s="55"/>
      <c r="AR230" s="55"/>
      <c r="AS230" s="55"/>
      <c r="AT230" s="55"/>
      <c r="AU230" s="55"/>
      <c r="AV230" s="55"/>
      <c r="AW230" s="55"/>
      <c r="AX230" s="55"/>
      <c r="AY230" s="55"/>
      <c r="AZ230" s="55"/>
      <c r="BA230" s="55"/>
      <c r="BB230" s="55"/>
      <c r="BC230" s="55"/>
      <c r="BD230" s="55"/>
      <c r="BE230" s="55"/>
      <c r="BF230" s="55"/>
      <c r="BG230" s="55"/>
      <c r="BH230" s="55"/>
      <c r="BI230" s="55"/>
      <c r="BJ230" s="55"/>
      <c r="BK230" s="55"/>
      <c r="BL230" s="55"/>
      <c r="BM230" s="55"/>
      <c r="BN230" s="55"/>
      <c r="BO230" s="55"/>
      <c r="BP230" s="55"/>
      <c r="BQ230" s="55"/>
      <c r="BR230" s="55"/>
      <c r="BS230" s="55"/>
    </row>
    <row r="231" spans="3:71" outlineLevel="1" x14ac:dyDescent="0.2">
      <c r="C231" s="11" t="s">
        <v>85</v>
      </c>
      <c r="J231" s="26"/>
      <c r="L231" s="55"/>
      <c r="M231" s="55"/>
      <c r="N231" s="55"/>
      <c r="O231" s="55"/>
      <c r="P231" s="55"/>
      <c r="Q231" s="55"/>
      <c r="R231" s="55"/>
      <c r="S231" s="55"/>
      <c r="T231" s="55"/>
      <c r="U231" s="55"/>
      <c r="V231" s="55"/>
      <c r="W231" s="55"/>
      <c r="X231" s="55"/>
      <c r="Y231" s="55"/>
      <c r="Z231" s="55"/>
      <c r="AA231" s="55"/>
      <c r="AB231" s="55"/>
      <c r="AC231" s="55"/>
      <c r="AD231" s="55"/>
      <c r="AE231" s="55"/>
      <c r="AF231" s="55"/>
      <c r="AG231" s="55"/>
      <c r="AH231" s="55"/>
      <c r="AI231" s="55"/>
      <c r="AJ231" s="55"/>
      <c r="AK231" s="55"/>
      <c r="AL231" s="55"/>
      <c r="AM231" s="55"/>
      <c r="AN231" s="55"/>
      <c r="AO231" s="55"/>
      <c r="AP231" s="55"/>
      <c r="AQ231" s="55"/>
      <c r="AR231" s="55"/>
      <c r="AS231" s="55"/>
      <c r="AT231" s="55"/>
      <c r="AU231" s="55"/>
      <c r="AV231" s="55"/>
      <c r="AW231" s="55"/>
      <c r="AX231" s="55"/>
      <c r="AY231" s="55"/>
      <c r="AZ231" s="55"/>
      <c r="BA231" s="55"/>
      <c r="BB231" s="55"/>
      <c r="BC231" s="55"/>
      <c r="BD231" s="55"/>
      <c r="BE231" s="55"/>
      <c r="BF231" s="55"/>
      <c r="BG231" s="55"/>
      <c r="BH231" s="55"/>
      <c r="BI231" s="55"/>
      <c r="BJ231" s="55"/>
      <c r="BK231" s="55"/>
      <c r="BL231" s="55"/>
      <c r="BM231" s="55"/>
      <c r="BN231" s="55"/>
      <c r="BO231" s="55"/>
      <c r="BP231" s="55"/>
      <c r="BQ231" s="55"/>
      <c r="BR231" s="55"/>
      <c r="BS231" s="55"/>
    </row>
    <row r="232" spans="3:71" outlineLevel="1" x14ac:dyDescent="0.2">
      <c r="D232" t="s">
        <v>209</v>
      </c>
      <c r="I232" s="30">
        <f t="shared" ref="I232:I235" ca="1" si="41">SUM($L232:$BS232)</f>
        <v>50.635851273720021</v>
      </c>
      <c r="J232" s="26" t="s">
        <v>148</v>
      </c>
      <c r="K232" s="7" t="s">
        <v>210</v>
      </c>
      <c r="L232" s="49">
        <f ca="1">IF(Loango_II!CA_cost_stop-Loango_II!CA_cost_recovered_total&lt;0,0,Loango_II!CA_cost_stop-Loango_II!CA_cost_recovered_total)</f>
        <v>0</v>
      </c>
      <c r="M232" s="49">
        <f ca="1">IF(Loango_II!CA_cost_stop-Loango_II!CA_cost_recovered_total&lt;0,0,Loango_II!CA_cost_stop-Loango_II!CA_cost_recovered_total)</f>
        <v>0</v>
      </c>
      <c r="N232" s="49">
        <f ca="1">IF(Loango_II!CA_cost_stop-Loango_II!CA_cost_recovered_total&lt;0,0,Loango_II!CA_cost_stop-Loango_II!CA_cost_recovered_total)</f>
        <v>0</v>
      </c>
      <c r="O232" s="49">
        <f ca="1">IF(Loango_II!CA_cost_stop-Loango_II!CA_cost_recovered_total&lt;0,0,Loango_II!CA_cost_stop-Loango_II!CA_cost_recovered_total)</f>
        <v>0</v>
      </c>
      <c r="P232" s="49">
        <f ca="1">IF(Loango_II!CA_cost_stop-Loango_II!CA_cost_recovered_total&lt;0,0,Loango_II!CA_cost_stop-Loango_II!CA_cost_recovered_total)</f>
        <v>0</v>
      </c>
      <c r="Q232" s="49">
        <f ca="1">IF(Loango_II!CA_cost_stop-Loango_II!CA_cost_recovered_total&lt;0,0,Loango_II!CA_cost_stop-Loango_II!CA_cost_recovered_total)</f>
        <v>0</v>
      </c>
      <c r="R232" s="49">
        <f ca="1">IF(Loango_II!CA_cost_stop-Loango_II!CA_cost_recovered_total&lt;0,0,Loango_II!CA_cost_stop-Loango_II!CA_cost_recovered_total)</f>
        <v>0</v>
      </c>
      <c r="S232" s="49">
        <f ca="1">IF(Loango_II!CA_cost_stop-Loango_II!CA_cost_recovered_total&lt;0,0,Loango_II!CA_cost_stop-Loango_II!CA_cost_recovered_total)</f>
        <v>50.635851273720021</v>
      </c>
      <c r="T232" s="49">
        <f ca="1">IF(Loango_II!CA_cost_stop-Loango_II!CA_cost_recovered_total&lt;0,0,Loango_II!CA_cost_stop-Loango_II!CA_cost_recovered_total)</f>
        <v>0</v>
      </c>
      <c r="U232" s="49">
        <f ca="1">IF(Loango_II!CA_cost_stop-Loango_II!CA_cost_recovered_total&lt;0,0,Loango_II!CA_cost_stop-Loango_II!CA_cost_recovered_total)</f>
        <v>0</v>
      </c>
      <c r="V232" s="49">
        <f ca="1">IF(Loango_II!CA_cost_stop-Loango_II!CA_cost_recovered_total&lt;0,0,Loango_II!CA_cost_stop-Loango_II!CA_cost_recovered_total)</f>
        <v>0</v>
      </c>
      <c r="W232" s="49">
        <f ca="1">IF(Loango_II!CA_cost_stop-Loango_II!CA_cost_recovered_total&lt;0,0,Loango_II!CA_cost_stop-Loango_II!CA_cost_recovered_total)</f>
        <v>0</v>
      </c>
      <c r="X232" s="49">
        <f ca="1">IF(Loango_II!CA_cost_stop-Loango_II!CA_cost_recovered_total&lt;0,0,Loango_II!CA_cost_stop-Loango_II!CA_cost_recovered_total)</f>
        <v>0</v>
      </c>
      <c r="Y232" s="49">
        <f ca="1">IF(Loango_II!CA_cost_stop-Loango_II!CA_cost_recovered_total&lt;0,0,Loango_II!CA_cost_stop-Loango_II!CA_cost_recovered_total)</f>
        <v>0</v>
      </c>
      <c r="Z232" s="49">
        <f ca="1">IF(Loango_II!CA_cost_stop-Loango_II!CA_cost_recovered_total&lt;0,0,Loango_II!CA_cost_stop-Loango_II!CA_cost_recovered_total)</f>
        <v>0</v>
      </c>
      <c r="AA232" s="49">
        <f ca="1">IF(Loango_II!CA_cost_stop-Loango_II!CA_cost_recovered_total&lt;0,0,Loango_II!CA_cost_stop-Loango_II!CA_cost_recovered_total)</f>
        <v>0</v>
      </c>
      <c r="AB232" s="49">
        <f ca="1">IF(Loango_II!CA_cost_stop-Loango_II!CA_cost_recovered_total&lt;0,0,Loango_II!CA_cost_stop-Loango_II!CA_cost_recovered_total)</f>
        <v>0</v>
      </c>
      <c r="AC232" s="49">
        <f ca="1">IF(Loango_II!CA_cost_stop-Loango_II!CA_cost_recovered_total&lt;0,0,Loango_II!CA_cost_stop-Loango_II!CA_cost_recovered_total)</f>
        <v>0</v>
      </c>
      <c r="AD232" s="49">
        <f ca="1">IF(Loango_II!CA_cost_stop-Loango_II!CA_cost_recovered_total&lt;0,0,Loango_II!CA_cost_stop-Loango_II!CA_cost_recovered_total)</f>
        <v>0</v>
      </c>
      <c r="AE232" s="49">
        <f ca="1">IF(Loango_II!CA_cost_stop-Loango_II!CA_cost_recovered_total&lt;0,0,Loango_II!CA_cost_stop-Loango_II!CA_cost_recovered_total)</f>
        <v>0</v>
      </c>
      <c r="AF232" s="49">
        <f ca="1">IF(Loango_II!CA_cost_stop-Loango_II!CA_cost_recovered_total&lt;0,0,Loango_II!CA_cost_stop-Loango_II!CA_cost_recovered_total)</f>
        <v>0</v>
      </c>
      <c r="AG232" s="49">
        <f ca="1">IF(Loango_II!CA_cost_stop-Loango_II!CA_cost_recovered_total&lt;0,0,Loango_II!CA_cost_stop-Loango_II!CA_cost_recovered_total)</f>
        <v>0</v>
      </c>
      <c r="AH232" s="49">
        <f ca="1">IF(Loango_II!CA_cost_stop-Loango_II!CA_cost_recovered_total&lt;0,0,Loango_II!CA_cost_stop-Loango_II!CA_cost_recovered_total)</f>
        <v>0</v>
      </c>
      <c r="AI232" s="49">
        <f ca="1">IF(Loango_II!CA_cost_stop-Loango_II!CA_cost_recovered_total&lt;0,0,Loango_II!CA_cost_stop-Loango_II!CA_cost_recovered_total)</f>
        <v>0</v>
      </c>
      <c r="AJ232" s="49">
        <f ca="1">IF(Loango_II!CA_cost_stop-Loango_II!CA_cost_recovered_total&lt;0,0,Loango_II!CA_cost_stop-Loango_II!CA_cost_recovered_total)</f>
        <v>0</v>
      </c>
      <c r="AK232" s="49">
        <f ca="1">IF(Loango_II!CA_cost_stop-Loango_II!CA_cost_recovered_total&lt;0,0,Loango_II!CA_cost_stop-Loango_II!CA_cost_recovered_total)</f>
        <v>0</v>
      </c>
      <c r="AL232" s="49">
        <f ca="1">IF(Loango_II!CA_cost_stop-Loango_II!CA_cost_recovered_total&lt;0,0,Loango_II!CA_cost_stop-Loango_II!CA_cost_recovered_total)</f>
        <v>0</v>
      </c>
      <c r="AM232" s="49">
        <f ca="1">IF(Loango_II!CA_cost_stop-Loango_II!CA_cost_recovered_total&lt;0,0,Loango_II!CA_cost_stop-Loango_II!CA_cost_recovered_total)</f>
        <v>0</v>
      </c>
      <c r="AN232" s="49">
        <f ca="1">IF(Loango_II!CA_cost_stop-Loango_II!CA_cost_recovered_total&lt;0,0,Loango_II!CA_cost_stop-Loango_II!CA_cost_recovered_total)</f>
        <v>0</v>
      </c>
      <c r="AO232" s="49">
        <f ca="1">IF(Loango_II!CA_cost_stop-Loango_II!CA_cost_recovered_total&lt;0,0,Loango_II!CA_cost_stop-Loango_II!CA_cost_recovered_total)</f>
        <v>0</v>
      </c>
      <c r="AP232" s="49">
        <f ca="1">IF(Loango_II!CA_cost_stop-Loango_II!CA_cost_recovered_total&lt;0,0,Loango_II!CA_cost_stop-Loango_II!CA_cost_recovered_total)</f>
        <v>0</v>
      </c>
      <c r="AQ232" s="49">
        <f ca="1">IF(Loango_II!CA_cost_stop-Loango_II!CA_cost_recovered_total&lt;0,0,Loango_II!CA_cost_stop-Loango_II!CA_cost_recovered_total)</f>
        <v>0</v>
      </c>
      <c r="AR232" s="49">
        <f ca="1">IF(Loango_II!CA_cost_stop-Loango_II!CA_cost_recovered_total&lt;0,0,Loango_II!CA_cost_stop-Loango_II!CA_cost_recovered_total)</f>
        <v>0</v>
      </c>
      <c r="AS232" s="49">
        <f ca="1">IF(Loango_II!CA_cost_stop-Loango_II!CA_cost_recovered_total&lt;0,0,Loango_II!CA_cost_stop-Loango_II!CA_cost_recovered_total)</f>
        <v>0</v>
      </c>
      <c r="AT232" s="49">
        <f ca="1">IF(Loango_II!CA_cost_stop-Loango_II!CA_cost_recovered_total&lt;0,0,Loango_II!CA_cost_stop-Loango_II!CA_cost_recovered_total)</f>
        <v>0</v>
      </c>
      <c r="AU232" s="49">
        <f ca="1">IF(Loango_II!CA_cost_stop-Loango_II!CA_cost_recovered_total&lt;0,0,Loango_II!CA_cost_stop-Loango_II!CA_cost_recovered_total)</f>
        <v>0</v>
      </c>
      <c r="AV232" s="49">
        <f ca="1">IF(Loango_II!CA_cost_stop-Loango_II!CA_cost_recovered_total&lt;0,0,Loango_II!CA_cost_stop-Loango_II!CA_cost_recovered_total)</f>
        <v>0</v>
      </c>
      <c r="AW232" s="49">
        <f ca="1">IF(Loango_II!CA_cost_stop-Loango_II!CA_cost_recovered_total&lt;0,0,Loango_II!CA_cost_stop-Loango_II!CA_cost_recovered_total)</f>
        <v>0</v>
      </c>
      <c r="AX232" s="49">
        <f ca="1">IF(Loango_II!CA_cost_stop-Loango_II!CA_cost_recovered_total&lt;0,0,Loango_II!CA_cost_stop-Loango_II!CA_cost_recovered_total)</f>
        <v>0</v>
      </c>
      <c r="AY232" s="49">
        <f ca="1">IF(Loango_II!CA_cost_stop-Loango_II!CA_cost_recovered_total&lt;0,0,Loango_II!CA_cost_stop-Loango_II!CA_cost_recovered_total)</f>
        <v>0</v>
      </c>
      <c r="AZ232" s="49">
        <f ca="1">IF(Loango_II!CA_cost_stop-Loango_II!CA_cost_recovered_total&lt;0,0,Loango_II!CA_cost_stop-Loango_II!CA_cost_recovered_total)</f>
        <v>0</v>
      </c>
      <c r="BA232" s="49">
        <f ca="1">IF(Loango_II!CA_cost_stop-Loango_II!CA_cost_recovered_total&lt;0,0,Loango_II!CA_cost_stop-Loango_II!CA_cost_recovered_total)</f>
        <v>0</v>
      </c>
      <c r="BB232" s="49">
        <f ca="1">IF(Loango_II!CA_cost_stop-Loango_II!CA_cost_recovered_total&lt;0,0,Loango_II!CA_cost_stop-Loango_II!CA_cost_recovered_total)</f>
        <v>0</v>
      </c>
      <c r="BC232" s="49">
        <f ca="1">IF(Loango_II!CA_cost_stop-Loango_II!CA_cost_recovered_total&lt;0,0,Loango_II!CA_cost_stop-Loango_II!CA_cost_recovered_total)</f>
        <v>0</v>
      </c>
      <c r="BD232" s="49">
        <f ca="1">IF(Loango_II!CA_cost_stop-Loango_II!CA_cost_recovered_total&lt;0,0,Loango_II!CA_cost_stop-Loango_II!CA_cost_recovered_total)</f>
        <v>0</v>
      </c>
      <c r="BE232" s="49">
        <f ca="1">IF(Loango_II!CA_cost_stop-Loango_II!CA_cost_recovered_total&lt;0,0,Loango_II!CA_cost_stop-Loango_II!CA_cost_recovered_total)</f>
        <v>0</v>
      </c>
      <c r="BF232" s="49">
        <f ca="1">IF(Loango_II!CA_cost_stop-Loango_II!CA_cost_recovered_total&lt;0,0,Loango_II!CA_cost_stop-Loango_II!CA_cost_recovered_total)</f>
        <v>0</v>
      </c>
      <c r="BG232" s="49">
        <f ca="1">IF(Loango_II!CA_cost_stop-Loango_II!CA_cost_recovered_total&lt;0,0,Loango_II!CA_cost_stop-Loango_II!CA_cost_recovered_total)</f>
        <v>0</v>
      </c>
      <c r="BH232" s="49">
        <f ca="1">IF(Loango_II!CA_cost_stop-Loango_II!CA_cost_recovered_total&lt;0,0,Loango_II!CA_cost_stop-Loango_II!CA_cost_recovered_total)</f>
        <v>0</v>
      </c>
      <c r="BI232" s="49">
        <f ca="1">IF(Loango_II!CA_cost_stop-Loango_II!CA_cost_recovered_total&lt;0,0,Loango_II!CA_cost_stop-Loango_II!CA_cost_recovered_total)</f>
        <v>0</v>
      </c>
      <c r="BJ232" s="49">
        <f ca="1">IF(Loango_II!CA_cost_stop-Loango_II!CA_cost_recovered_total&lt;0,0,Loango_II!CA_cost_stop-Loango_II!CA_cost_recovered_total)</f>
        <v>0</v>
      </c>
      <c r="BK232" s="49">
        <f ca="1">IF(Loango_II!CA_cost_stop-Loango_II!CA_cost_recovered_total&lt;0,0,Loango_II!CA_cost_stop-Loango_II!CA_cost_recovered_total)</f>
        <v>0</v>
      </c>
      <c r="BL232" s="49">
        <f ca="1">IF(Loango_II!CA_cost_stop-Loango_II!CA_cost_recovered_total&lt;0,0,Loango_II!CA_cost_stop-Loango_II!CA_cost_recovered_total)</f>
        <v>0</v>
      </c>
      <c r="BM232" s="49">
        <f ca="1">IF(Loango_II!CA_cost_stop-Loango_II!CA_cost_recovered_total&lt;0,0,Loango_II!CA_cost_stop-Loango_II!CA_cost_recovered_total)</f>
        <v>0</v>
      </c>
      <c r="BN232" s="49">
        <f ca="1">IF(Loango_II!CA_cost_stop-Loango_II!CA_cost_recovered_total&lt;0,0,Loango_II!CA_cost_stop-Loango_II!CA_cost_recovered_total)</f>
        <v>0</v>
      </c>
      <c r="BO232" s="49">
        <f ca="1">IF(Loango_II!CA_cost_stop-Loango_II!CA_cost_recovered_total&lt;0,0,Loango_II!CA_cost_stop-Loango_II!CA_cost_recovered_total)</f>
        <v>0</v>
      </c>
      <c r="BP232" s="49">
        <f ca="1">IF(Loango_II!CA_cost_stop-Loango_II!CA_cost_recovered_total&lt;0,0,Loango_II!CA_cost_stop-Loango_II!CA_cost_recovered_total)</f>
        <v>0</v>
      </c>
      <c r="BQ232" s="49">
        <f ca="1">IF(Loango_II!CA_cost_stop-Loango_II!CA_cost_recovered_total&lt;0,0,Loango_II!CA_cost_stop-Loango_II!CA_cost_recovered_total)</f>
        <v>0</v>
      </c>
      <c r="BR232" s="49">
        <f ca="1">IF(Loango_II!CA_cost_stop-Loango_II!CA_cost_recovered_total&lt;0,0,Loango_II!CA_cost_stop-Loango_II!CA_cost_recovered_total)</f>
        <v>0</v>
      </c>
      <c r="BS232" s="49">
        <f ca="1">IF(Loango_II!CA_cost_stop-Loango_II!CA_cost_recovered_total&lt;0,0,Loango_II!CA_cost_stop-Loango_II!CA_cost_recovered_total)</f>
        <v>0</v>
      </c>
    </row>
    <row r="233" spans="3:71" outlineLevel="1" x14ac:dyDescent="0.2">
      <c r="J233" s="26"/>
      <c r="L233" s="55"/>
      <c r="M233" s="55"/>
      <c r="N233" s="55"/>
      <c r="O233" s="55"/>
      <c r="P233" s="55"/>
      <c r="Q233" s="55"/>
      <c r="R233" s="55"/>
      <c r="S233" s="55"/>
      <c r="T233" s="55"/>
      <c r="U233" s="55"/>
      <c r="V233" s="55"/>
      <c r="W233" s="55"/>
      <c r="X233" s="55"/>
      <c r="Y233" s="55"/>
      <c r="Z233" s="55"/>
      <c r="AA233" s="55"/>
      <c r="AB233" s="55"/>
      <c r="AC233" s="55"/>
      <c r="AD233" s="55"/>
      <c r="AE233" s="55"/>
      <c r="AF233" s="55"/>
      <c r="AG233" s="55"/>
      <c r="AH233" s="55"/>
      <c r="AI233" s="55"/>
      <c r="AJ233" s="55"/>
      <c r="AK233" s="55"/>
      <c r="AL233" s="55"/>
      <c r="AM233" s="55"/>
      <c r="AN233" s="55"/>
      <c r="AO233" s="55"/>
      <c r="AP233" s="55"/>
      <c r="AQ233" s="55"/>
      <c r="AR233" s="55"/>
      <c r="AS233" s="55"/>
      <c r="AT233" s="55"/>
      <c r="AU233" s="55"/>
      <c r="AV233" s="55"/>
      <c r="AW233" s="55"/>
      <c r="AX233" s="55"/>
      <c r="AY233" s="55"/>
      <c r="AZ233" s="55"/>
      <c r="BA233" s="55"/>
      <c r="BB233" s="55"/>
      <c r="BC233" s="55"/>
      <c r="BD233" s="55"/>
      <c r="BE233" s="55"/>
      <c r="BF233" s="55"/>
      <c r="BG233" s="55"/>
      <c r="BH233" s="55"/>
      <c r="BI233" s="55"/>
      <c r="BJ233" s="55"/>
      <c r="BK233" s="55"/>
      <c r="BL233" s="55"/>
      <c r="BM233" s="55"/>
      <c r="BN233" s="55"/>
      <c r="BO233" s="55"/>
      <c r="BP233" s="55"/>
      <c r="BQ233" s="55"/>
      <c r="BR233" s="55"/>
      <c r="BS233" s="55"/>
    </row>
    <row r="234" spans="3:71" outlineLevel="1" x14ac:dyDescent="0.2">
      <c r="D234" t="s">
        <v>211</v>
      </c>
      <c r="I234" s="30">
        <f t="shared" ca="1" si="41"/>
        <v>25.317925636860011</v>
      </c>
      <c r="J234" s="26" t="s">
        <v>148</v>
      </c>
      <c r="K234" s="7" t="s">
        <v>214</v>
      </c>
      <c r="L234" s="49">
        <f ca="1">INDEX(Loango_II!FA_ECR_cont_rate,MATCH(Loango_II!CA_cum_gross_prod_oil,Loango_II!FA_ECR_cumprod_oil,1))*Loango_II!CA_excess_cost_recovery</f>
        <v>0</v>
      </c>
      <c r="M234" s="49">
        <f ca="1">INDEX(Loango_II!FA_ECR_cont_rate,MATCH(Loango_II!CA_cum_gross_prod_oil,Loango_II!FA_ECR_cumprod_oil,1))*Loango_II!CA_excess_cost_recovery</f>
        <v>0</v>
      </c>
      <c r="N234" s="49">
        <f ca="1">INDEX(Loango_II!FA_ECR_cont_rate,MATCH(Loango_II!CA_cum_gross_prod_oil,Loango_II!FA_ECR_cumprod_oil,1))*Loango_II!CA_excess_cost_recovery</f>
        <v>0</v>
      </c>
      <c r="O234" s="49">
        <f ca="1">INDEX(Loango_II!FA_ECR_cont_rate,MATCH(Loango_II!CA_cum_gross_prod_oil,Loango_II!FA_ECR_cumprod_oil,1))*Loango_II!CA_excess_cost_recovery</f>
        <v>0</v>
      </c>
      <c r="P234" s="49">
        <f ca="1">INDEX(Loango_II!FA_ECR_cont_rate,MATCH(Loango_II!CA_cum_gross_prod_oil,Loango_II!FA_ECR_cumprod_oil,1))*Loango_II!CA_excess_cost_recovery</f>
        <v>0</v>
      </c>
      <c r="Q234" s="49">
        <f ca="1">INDEX(Loango_II!FA_ECR_cont_rate,MATCH(Loango_II!CA_cum_gross_prod_oil,Loango_II!FA_ECR_cumprod_oil,1))*Loango_II!CA_excess_cost_recovery</f>
        <v>0</v>
      </c>
      <c r="R234" s="49">
        <f ca="1">INDEX(Loango_II!FA_ECR_cont_rate,MATCH(Loango_II!CA_cum_gross_prod_oil,Loango_II!FA_ECR_cumprod_oil,1))*Loango_II!CA_excess_cost_recovery</f>
        <v>0</v>
      </c>
      <c r="S234" s="49">
        <f ca="1">INDEX(Loango_II!FA_ECR_cont_rate,MATCH(Loango_II!CA_cum_gross_prod_oil,Loango_II!FA_ECR_cumprod_oil,1))*Loango_II!CA_excess_cost_recovery</f>
        <v>25.317925636860011</v>
      </c>
      <c r="T234" s="49">
        <f ca="1">INDEX(Loango_II!FA_ECR_cont_rate,MATCH(Loango_II!CA_cum_gross_prod_oil,Loango_II!FA_ECR_cumprod_oil,1))*Loango_II!CA_excess_cost_recovery</f>
        <v>0</v>
      </c>
      <c r="U234" s="49">
        <f ca="1">INDEX(Loango_II!FA_ECR_cont_rate,MATCH(Loango_II!CA_cum_gross_prod_oil,Loango_II!FA_ECR_cumprod_oil,1))*Loango_II!CA_excess_cost_recovery</f>
        <v>0</v>
      </c>
      <c r="V234" s="49">
        <f ca="1">INDEX(Loango_II!FA_ECR_cont_rate,MATCH(Loango_II!CA_cum_gross_prod_oil,Loango_II!FA_ECR_cumprod_oil,1))*Loango_II!CA_excess_cost_recovery</f>
        <v>0</v>
      </c>
      <c r="W234" s="49">
        <f ca="1">INDEX(Loango_II!FA_ECR_cont_rate,MATCH(Loango_II!CA_cum_gross_prod_oil,Loango_II!FA_ECR_cumprod_oil,1))*Loango_II!CA_excess_cost_recovery</f>
        <v>0</v>
      </c>
      <c r="X234" s="49">
        <f ca="1">INDEX(Loango_II!FA_ECR_cont_rate,MATCH(Loango_II!CA_cum_gross_prod_oil,Loango_II!FA_ECR_cumprod_oil,1))*Loango_II!CA_excess_cost_recovery</f>
        <v>0</v>
      </c>
      <c r="Y234" s="49">
        <f ca="1">INDEX(Loango_II!FA_ECR_cont_rate,MATCH(Loango_II!CA_cum_gross_prod_oil,Loango_II!FA_ECR_cumprod_oil,1))*Loango_II!CA_excess_cost_recovery</f>
        <v>0</v>
      </c>
      <c r="Z234" s="49">
        <f ca="1">INDEX(Loango_II!FA_ECR_cont_rate,MATCH(Loango_II!CA_cum_gross_prod_oil,Loango_II!FA_ECR_cumprod_oil,1))*Loango_II!CA_excess_cost_recovery</f>
        <v>0</v>
      </c>
      <c r="AA234" s="49">
        <f ca="1">INDEX(Loango_II!FA_ECR_cont_rate,MATCH(Loango_II!CA_cum_gross_prod_oil,Loango_II!FA_ECR_cumprod_oil,1))*Loango_II!CA_excess_cost_recovery</f>
        <v>0</v>
      </c>
      <c r="AB234" s="49">
        <f ca="1">INDEX(Loango_II!FA_ECR_cont_rate,MATCH(Loango_II!CA_cum_gross_prod_oil,Loango_II!FA_ECR_cumprod_oil,1))*Loango_II!CA_excess_cost_recovery</f>
        <v>0</v>
      </c>
      <c r="AC234" s="49">
        <f ca="1">INDEX(Loango_II!FA_ECR_cont_rate,MATCH(Loango_II!CA_cum_gross_prod_oil,Loango_II!FA_ECR_cumprod_oil,1))*Loango_II!CA_excess_cost_recovery</f>
        <v>0</v>
      </c>
      <c r="AD234" s="49">
        <f ca="1">INDEX(Loango_II!FA_ECR_cont_rate,MATCH(Loango_II!CA_cum_gross_prod_oil,Loango_II!FA_ECR_cumprod_oil,1))*Loango_II!CA_excess_cost_recovery</f>
        <v>0</v>
      </c>
      <c r="AE234" s="49">
        <f ca="1">INDEX(Loango_II!FA_ECR_cont_rate,MATCH(Loango_II!CA_cum_gross_prod_oil,Loango_II!FA_ECR_cumprod_oil,1))*Loango_II!CA_excess_cost_recovery</f>
        <v>0</v>
      </c>
      <c r="AF234" s="49">
        <f ca="1">INDEX(Loango_II!FA_ECR_cont_rate,MATCH(Loango_II!CA_cum_gross_prod_oil,Loango_II!FA_ECR_cumprod_oil,1))*Loango_II!CA_excess_cost_recovery</f>
        <v>0</v>
      </c>
      <c r="AG234" s="49">
        <f ca="1">INDEX(Loango_II!FA_ECR_cont_rate,MATCH(Loango_II!CA_cum_gross_prod_oil,Loango_II!FA_ECR_cumprod_oil,1))*Loango_II!CA_excess_cost_recovery</f>
        <v>0</v>
      </c>
      <c r="AH234" s="49">
        <f ca="1">INDEX(Loango_II!FA_ECR_cont_rate,MATCH(Loango_II!CA_cum_gross_prod_oil,Loango_II!FA_ECR_cumprod_oil,1))*Loango_II!CA_excess_cost_recovery</f>
        <v>0</v>
      </c>
      <c r="AI234" s="49">
        <f ca="1">INDEX(Loango_II!FA_ECR_cont_rate,MATCH(Loango_II!CA_cum_gross_prod_oil,Loango_II!FA_ECR_cumprod_oil,1))*Loango_II!CA_excess_cost_recovery</f>
        <v>0</v>
      </c>
      <c r="AJ234" s="49">
        <f ca="1">INDEX(Loango_II!FA_ECR_cont_rate,MATCH(Loango_II!CA_cum_gross_prod_oil,Loango_II!FA_ECR_cumprod_oil,1))*Loango_II!CA_excess_cost_recovery</f>
        <v>0</v>
      </c>
      <c r="AK234" s="49">
        <f ca="1">INDEX(Loango_II!FA_ECR_cont_rate,MATCH(Loango_II!CA_cum_gross_prod_oil,Loango_II!FA_ECR_cumprod_oil,1))*Loango_II!CA_excess_cost_recovery</f>
        <v>0</v>
      </c>
      <c r="AL234" s="49">
        <f ca="1">INDEX(Loango_II!FA_ECR_cont_rate,MATCH(Loango_II!CA_cum_gross_prod_oil,Loango_II!FA_ECR_cumprod_oil,1))*Loango_II!CA_excess_cost_recovery</f>
        <v>0</v>
      </c>
      <c r="AM234" s="49">
        <f ca="1">INDEX(Loango_II!FA_ECR_cont_rate,MATCH(Loango_II!CA_cum_gross_prod_oil,Loango_II!FA_ECR_cumprod_oil,1))*Loango_II!CA_excess_cost_recovery</f>
        <v>0</v>
      </c>
      <c r="AN234" s="49">
        <f ca="1">INDEX(Loango_II!FA_ECR_cont_rate,MATCH(Loango_II!CA_cum_gross_prod_oil,Loango_II!FA_ECR_cumprod_oil,1))*Loango_II!CA_excess_cost_recovery</f>
        <v>0</v>
      </c>
      <c r="AO234" s="49">
        <f ca="1">INDEX(Loango_II!FA_ECR_cont_rate,MATCH(Loango_II!CA_cum_gross_prod_oil,Loango_II!FA_ECR_cumprod_oil,1))*Loango_II!CA_excess_cost_recovery</f>
        <v>0</v>
      </c>
      <c r="AP234" s="49">
        <f ca="1">INDEX(Loango_II!FA_ECR_cont_rate,MATCH(Loango_II!CA_cum_gross_prod_oil,Loango_II!FA_ECR_cumprod_oil,1))*Loango_II!CA_excess_cost_recovery</f>
        <v>0</v>
      </c>
      <c r="AQ234" s="49">
        <f ca="1">INDEX(Loango_II!FA_ECR_cont_rate,MATCH(Loango_II!CA_cum_gross_prod_oil,Loango_II!FA_ECR_cumprod_oil,1))*Loango_II!CA_excess_cost_recovery</f>
        <v>0</v>
      </c>
      <c r="AR234" s="49">
        <f ca="1">INDEX(Loango_II!FA_ECR_cont_rate,MATCH(Loango_II!CA_cum_gross_prod_oil,Loango_II!FA_ECR_cumprod_oil,1))*Loango_II!CA_excess_cost_recovery</f>
        <v>0</v>
      </c>
      <c r="AS234" s="49">
        <f ca="1">INDEX(Loango_II!FA_ECR_cont_rate,MATCH(Loango_II!CA_cum_gross_prod_oil,Loango_II!FA_ECR_cumprod_oil,1))*Loango_II!CA_excess_cost_recovery</f>
        <v>0</v>
      </c>
      <c r="AT234" s="49">
        <f ca="1">INDEX(Loango_II!FA_ECR_cont_rate,MATCH(Loango_II!CA_cum_gross_prod_oil,Loango_II!FA_ECR_cumprod_oil,1))*Loango_II!CA_excess_cost_recovery</f>
        <v>0</v>
      </c>
      <c r="AU234" s="49">
        <f ca="1">INDEX(Loango_II!FA_ECR_cont_rate,MATCH(Loango_II!CA_cum_gross_prod_oil,Loango_II!FA_ECR_cumprod_oil,1))*Loango_II!CA_excess_cost_recovery</f>
        <v>0</v>
      </c>
      <c r="AV234" s="49">
        <f ca="1">INDEX(Loango_II!FA_ECR_cont_rate,MATCH(Loango_II!CA_cum_gross_prod_oil,Loango_II!FA_ECR_cumprod_oil,1))*Loango_II!CA_excess_cost_recovery</f>
        <v>0</v>
      </c>
      <c r="AW234" s="49">
        <f ca="1">INDEX(Loango_II!FA_ECR_cont_rate,MATCH(Loango_II!CA_cum_gross_prod_oil,Loango_II!FA_ECR_cumprod_oil,1))*Loango_II!CA_excess_cost_recovery</f>
        <v>0</v>
      </c>
      <c r="AX234" s="49">
        <f ca="1">INDEX(Loango_II!FA_ECR_cont_rate,MATCH(Loango_II!CA_cum_gross_prod_oil,Loango_II!FA_ECR_cumprod_oil,1))*Loango_II!CA_excess_cost_recovery</f>
        <v>0</v>
      </c>
      <c r="AY234" s="49">
        <f ca="1">INDEX(Loango_II!FA_ECR_cont_rate,MATCH(Loango_II!CA_cum_gross_prod_oil,Loango_II!FA_ECR_cumprod_oil,1))*Loango_II!CA_excess_cost_recovery</f>
        <v>0</v>
      </c>
      <c r="AZ234" s="49">
        <f ca="1">INDEX(Loango_II!FA_ECR_cont_rate,MATCH(Loango_II!CA_cum_gross_prod_oil,Loango_II!FA_ECR_cumprod_oil,1))*Loango_II!CA_excess_cost_recovery</f>
        <v>0</v>
      </c>
      <c r="BA234" s="49">
        <f ca="1">INDEX(Loango_II!FA_ECR_cont_rate,MATCH(Loango_II!CA_cum_gross_prod_oil,Loango_II!FA_ECR_cumprod_oil,1))*Loango_II!CA_excess_cost_recovery</f>
        <v>0</v>
      </c>
      <c r="BB234" s="49">
        <f ca="1">INDEX(Loango_II!FA_ECR_cont_rate,MATCH(Loango_II!CA_cum_gross_prod_oil,Loango_II!FA_ECR_cumprod_oil,1))*Loango_II!CA_excess_cost_recovery</f>
        <v>0</v>
      </c>
      <c r="BC234" s="49">
        <f ca="1">INDEX(Loango_II!FA_ECR_cont_rate,MATCH(Loango_II!CA_cum_gross_prod_oil,Loango_II!FA_ECR_cumprod_oil,1))*Loango_II!CA_excess_cost_recovery</f>
        <v>0</v>
      </c>
      <c r="BD234" s="49">
        <f ca="1">INDEX(Loango_II!FA_ECR_cont_rate,MATCH(Loango_II!CA_cum_gross_prod_oil,Loango_II!FA_ECR_cumprod_oil,1))*Loango_II!CA_excess_cost_recovery</f>
        <v>0</v>
      </c>
      <c r="BE234" s="49">
        <f ca="1">INDEX(Loango_II!FA_ECR_cont_rate,MATCH(Loango_II!CA_cum_gross_prod_oil,Loango_II!FA_ECR_cumprod_oil,1))*Loango_II!CA_excess_cost_recovery</f>
        <v>0</v>
      </c>
      <c r="BF234" s="49">
        <f ca="1">INDEX(Loango_II!FA_ECR_cont_rate,MATCH(Loango_II!CA_cum_gross_prod_oil,Loango_II!FA_ECR_cumprod_oil,1))*Loango_II!CA_excess_cost_recovery</f>
        <v>0</v>
      </c>
      <c r="BG234" s="49">
        <f ca="1">INDEX(Loango_II!FA_ECR_cont_rate,MATCH(Loango_II!CA_cum_gross_prod_oil,Loango_II!FA_ECR_cumprod_oil,1))*Loango_II!CA_excess_cost_recovery</f>
        <v>0</v>
      </c>
      <c r="BH234" s="49">
        <f ca="1">INDEX(Loango_II!FA_ECR_cont_rate,MATCH(Loango_II!CA_cum_gross_prod_oil,Loango_II!FA_ECR_cumprod_oil,1))*Loango_II!CA_excess_cost_recovery</f>
        <v>0</v>
      </c>
      <c r="BI234" s="49">
        <f ca="1">INDEX(Loango_II!FA_ECR_cont_rate,MATCH(Loango_II!CA_cum_gross_prod_oil,Loango_II!FA_ECR_cumprod_oil,1))*Loango_II!CA_excess_cost_recovery</f>
        <v>0</v>
      </c>
      <c r="BJ234" s="49">
        <f ca="1">INDEX(Loango_II!FA_ECR_cont_rate,MATCH(Loango_II!CA_cum_gross_prod_oil,Loango_II!FA_ECR_cumprod_oil,1))*Loango_II!CA_excess_cost_recovery</f>
        <v>0</v>
      </c>
      <c r="BK234" s="49">
        <f ca="1">INDEX(Loango_II!FA_ECR_cont_rate,MATCH(Loango_II!CA_cum_gross_prod_oil,Loango_II!FA_ECR_cumprod_oil,1))*Loango_II!CA_excess_cost_recovery</f>
        <v>0</v>
      </c>
      <c r="BL234" s="49">
        <f ca="1">INDEX(Loango_II!FA_ECR_cont_rate,MATCH(Loango_II!CA_cum_gross_prod_oil,Loango_II!FA_ECR_cumprod_oil,1))*Loango_II!CA_excess_cost_recovery</f>
        <v>0</v>
      </c>
      <c r="BM234" s="49">
        <f ca="1">INDEX(Loango_II!FA_ECR_cont_rate,MATCH(Loango_II!CA_cum_gross_prod_oil,Loango_II!FA_ECR_cumprod_oil,1))*Loango_II!CA_excess_cost_recovery</f>
        <v>0</v>
      </c>
      <c r="BN234" s="49">
        <f ca="1">INDEX(Loango_II!FA_ECR_cont_rate,MATCH(Loango_II!CA_cum_gross_prod_oil,Loango_II!FA_ECR_cumprod_oil,1))*Loango_II!CA_excess_cost_recovery</f>
        <v>0</v>
      </c>
      <c r="BO234" s="49">
        <f ca="1">INDEX(Loango_II!FA_ECR_cont_rate,MATCH(Loango_II!CA_cum_gross_prod_oil,Loango_II!FA_ECR_cumprod_oil,1))*Loango_II!CA_excess_cost_recovery</f>
        <v>0</v>
      </c>
      <c r="BP234" s="49">
        <f ca="1">INDEX(Loango_II!FA_ECR_cont_rate,MATCH(Loango_II!CA_cum_gross_prod_oil,Loango_II!FA_ECR_cumprod_oil,1))*Loango_II!CA_excess_cost_recovery</f>
        <v>0</v>
      </c>
      <c r="BQ234" s="49">
        <f ca="1">INDEX(Loango_II!FA_ECR_cont_rate,MATCH(Loango_II!CA_cum_gross_prod_oil,Loango_II!FA_ECR_cumprod_oil,1))*Loango_II!CA_excess_cost_recovery</f>
        <v>0</v>
      </c>
      <c r="BR234" s="49">
        <f ca="1">INDEX(Loango_II!FA_ECR_cont_rate,MATCH(Loango_II!CA_cum_gross_prod_oil,Loango_II!FA_ECR_cumprod_oil,1))*Loango_II!CA_excess_cost_recovery</f>
        <v>0</v>
      </c>
      <c r="BS234" s="49">
        <f ca="1">INDEX(Loango_II!FA_ECR_cont_rate,MATCH(Loango_II!CA_cum_gross_prod_oil,Loango_II!FA_ECR_cumprod_oil,1))*Loango_II!CA_excess_cost_recovery</f>
        <v>0</v>
      </c>
    </row>
    <row r="235" spans="3:71" outlineLevel="1" x14ac:dyDescent="0.2">
      <c r="D235" t="s">
        <v>215</v>
      </c>
      <c r="I235" s="30">
        <f t="shared" ca="1" si="41"/>
        <v>25.317925636860011</v>
      </c>
      <c r="J235" s="26" t="s">
        <v>148</v>
      </c>
      <c r="K235" s="7" t="s">
        <v>216</v>
      </c>
      <c r="L235" s="49">
        <f ca="1">Loango_II!CA_excess_cost_recovery-Loango_II!CA_excess_CR_cont</f>
        <v>0</v>
      </c>
      <c r="M235" s="49">
        <f t="shared" ref="M235:BS235" ca="1" si="42">CA_excess_cost_recovery-CA_excess_CR_cont</f>
        <v>0</v>
      </c>
      <c r="N235" s="49">
        <f t="shared" ca="1" si="42"/>
        <v>0</v>
      </c>
      <c r="O235" s="49">
        <f t="shared" ca="1" si="42"/>
        <v>0</v>
      </c>
      <c r="P235" s="49">
        <f t="shared" ca="1" si="42"/>
        <v>0</v>
      </c>
      <c r="Q235" s="49">
        <f t="shared" ca="1" si="42"/>
        <v>0</v>
      </c>
      <c r="R235" s="49">
        <f t="shared" ca="1" si="42"/>
        <v>0</v>
      </c>
      <c r="S235" s="49">
        <f t="shared" ca="1" si="42"/>
        <v>25.317925636860011</v>
      </c>
      <c r="T235" s="49">
        <f t="shared" ca="1" si="42"/>
        <v>0</v>
      </c>
      <c r="U235" s="49">
        <f t="shared" ca="1" si="42"/>
        <v>0</v>
      </c>
      <c r="V235" s="49">
        <f t="shared" ca="1" si="42"/>
        <v>0</v>
      </c>
      <c r="W235" s="49">
        <f t="shared" ca="1" si="42"/>
        <v>0</v>
      </c>
      <c r="X235" s="49">
        <f t="shared" ca="1" si="42"/>
        <v>0</v>
      </c>
      <c r="Y235" s="49">
        <f t="shared" ca="1" si="42"/>
        <v>0</v>
      </c>
      <c r="Z235" s="49">
        <f t="shared" ca="1" si="42"/>
        <v>0</v>
      </c>
      <c r="AA235" s="49">
        <f t="shared" ca="1" si="42"/>
        <v>0</v>
      </c>
      <c r="AB235" s="49">
        <f t="shared" ca="1" si="42"/>
        <v>0</v>
      </c>
      <c r="AC235" s="49">
        <f t="shared" ca="1" si="42"/>
        <v>0</v>
      </c>
      <c r="AD235" s="49">
        <f t="shared" ca="1" si="42"/>
        <v>0</v>
      </c>
      <c r="AE235" s="49">
        <f t="shared" ca="1" si="42"/>
        <v>0</v>
      </c>
      <c r="AF235" s="49">
        <f t="shared" ca="1" si="42"/>
        <v>0</v>
      </c>
      <c r="AG235" s="49">
        <f t="shared" ca="1" si="42"/>
        <v>0</v>
      </c>
      <c r="AH235" s="49">
        <f t="shared" ca="1" si="42"/>
        <v>0</v>
      </c>
      <c r="AI235" s="49">
        <f t="shared" ca="1" si="42"/>
        <v>0</v>
      </c>
      <c r="AJ235" s="49">
        <f t="shared" ca="1" si="42"/>
        <v>0</v>
      </c>
      <c r="AK235" s="49">
        <f t="shared" ca="1" si="42"/>
        <v>0</v>
      </c>
      <c r="AL235" s="49">
        <f t="shared" ca="1" si="42"/>
        <v>0</v>
      </c>
      <c r="AM235" s="49">
        <f t="shared" ca="1" si="42"/>
        <v>0</v>
      </c>
      <c r="AN235" s="49">
        <f t="shared" ca="1" si="42"/>
        <v>0</v>
      </c>
      <c r="AO235" s="49">
        <f t="shared" ca="1" si="42"/>
        <v>0</v>
      </c>
      <c r="AP235" s="49">
        <f t="shared" ca="1" si="42"/>
        <v>0</v>
      </c>
      <c r="AQ235" s="49">
        <f t="shared" ca="1" si="42"/>
        <v>0</v>
      </c>
      <c r="AR235" s="49">
        <f t="shared" ca="1" si="42"/>
        <v>0</v>
      </c>
      <c r="AS235" s="49">
        <f t="shared" ca="1" si="42"/>
        <v>0</v>
      </c>
      <c r="AT235" s="49">
        <f t="shared" ca="1" si="42"/>
        <v>0</v>
      </c>
      <c r="AU235" s="49">
        <f t="shared" ca="1" si="42"/>
        <v>0</v>
      </c>
      <c r="AV235" s="49">
        <f t="shared" ca="1" si="42"/>
        <v>0</v>
      </c>
      <c r="AW235" s="49">
        <f t="shared" ca="1" si="42"/>
        <v>0</v>
      </c>
      <c r="AX235" s="49">
        <f t="shared" ca="1" si="42"/>
        <v>0</v>
      </c>
      <c r="AY235" s="49">
        <f t="shared" ca="1" si="42"/>
        <v>0</v>
      </c>
      <c r="AZ235" s="49">
        <f t="shared" ca="1" si="42"/>
        <v>0</v>
      </c>
      <c r="BA235" s="49">
        <f t="shared" ca="1" si="42"/>
        <v>0</v>
      </c>
      <c r="BB235" s="49">
        <f t="shared" ca="1" si="42"/>
        <v>0</v>
      </c>
      <c r="BC235" s="49">
        <f t="shared" ca="1" si="42"/>
        <v>0</v>
      </c>
      <c r="BD235" s="49">
        <f t="shared" ca="1" si="42"/>
        <v>0</v>
      </c>
      <c r="BE235" s="49">
        <f t="shared" ca="1" si="42"/>
        <v>0</v>
      </c>
      <c r="BF235" s="49">
        <f t="shared" ca="1" si="42"/>
        <v>0</v>
      </c>
      <c r="BG235" s="49">
        <f t="shared" ca="1" si="42"/>
        <v>0</v>
      </c>
      <c r="BH235" s="49">
        <f t="shared" ca="1" si="42"/>
        <v>0</v>
      </c>
      <c r="BI235" s="49">
        <f t="shared" ca="1" si="42"/>
        <v>0</v>
      </c>
      <c r="BJ235" s="49">
        <f t="shared" ca="1" si="42"/>
        <v>0</v>
      </c>
      <c r="BK235" s="49">
        <f t="shared" ca="1" si="42"/>
        <v>0</v>
      </c>
      <c r="BL235" s="49">
        <f t="shared" ca="1" si="42"/>
        <v>0</v>
      </c>
      <c r="BM235" s="49">
        <f t="shared" ca="1" si="42"/>
        <v>0</v>
      </c>
      <c r="BN235" s="49">
        <f t="shared" ca="1" si="42"/>
        <v>0</v>
      </c>
      <c r="BO235" s="49">
        <f t="shared" ca="1" si="42"/>
        <v>0</v>
      </c>
      <c r="BP235" s="49">
        <f t="shared" ca="1" si="42"/>
        <v>0</v>
      </c>
      <c r="BQ235" s="49">
        <f t="shared" ca="1" si="42"/>
        <v>0</v>
      </c>
      <c r="BR235" s="49">
        <f t="shared" ca="1" si="42"/>
        <v>0</v>
      </c>
      <c r="BS235" s="49">
        <f t="shared" ca="1" si="42"/>
        <v>0</v>
      </c>
    </row>
    <row r="236" spans="3:71" outlineLevel="1" x14ac:dyDescent="0.2">
      <c r="J236" s="26"/>
      <c r="L236" s="55"/>
      <c r="M236" s="55"/>
      <c r="N236" s="55"/>
      <c r="O236" s="55"/>
      <c r="P236" s="55"/>
      <c r="Q236" s="55"/>
      <c r="R236" s="55"/>
      <c r="S236" s="55"/>
      <c r="T236" s="55"/>
      <c r="U236" s="55"/>
      <c r="V236" s="55"/>
      <c r="W236" s="55"/>
      <c r="X236" s="55"/>
      <c r="Y236" s="55"/>
      <c r="Z236" s="55"/>
      <c r="AA236" s="55"/>
      <c r="AB236" s="55"/>
      <c r="AC236" s="55"/>
      <c r="AD236" s="55"/>
      <c r="AE236" s="55"/>
      <c r="AF236" s="55"/>
      <c r="AG236" s="55"/>
      <c r="AH236" s="55"/>
      <c r="AI236" s="55"/>
      <c r="AJ236" s="55"/>
      <c r="AK236" s="55"/>
      <c r="AL236" s="55"/>
      <c r="AM236" s="55"/>
      <c r="AN236" s="55"/>
      <c r="AO236" s="55"/>
      <c r="AP236" s="55"/>
      <c r="AQ236" s="55"/>
      <c r="AR236" s="55"/>
      <c r="AS236" s="55"/>
      <c r="AT236" s="55"/>
      <c r="AU236" s="55"/>
      <c r="AV236" s="55"/>
      <c r="AW236" s="55"/>
      <c r="AX236" s="55"/>
      <c r="AY236" s="55"/>
      <c r="AZ236" s="55"/>
      <c r="BA236" s="55"/>
      <c r="BB236" s="55"/>
      <c r="BC236" s="55"/>
      <c r="BD236" s="55"/>
      <c r="BE236" s="55"/>
      <c r="BF236" s="55"/>
      <c r="BG236" s="55"/>
      <c r="BH236" s="55"/>
      <c r="BI236" s="55"/>
      <c r="BJ236" s="55"/>
      <c r="BK236" s="55"/>
      <c r="BL236" s="55"/>
      <c r="BM236" s="55"/>
      <c r="BN236" s="55"/>
      <c r="BO236" s="55"/>
      <c r="BP236" s="55"/>
      <c r="BQ236" s="55"/>
      <c r="BR236" s="55"/>
      <c r="BS236" s="55"/>
    </row>
    <row r="237" spans="3:71" outlineLevel="1" x14ac:dyDescent="0.2">
      <c r="J237" s="26"/>
      <c r="L237" s="55"/>
      <c r="M237" s="55"/>
      <c r="N237" s="55"/>
      <c r="O237" s="55"/>
      <c r="P237" s="55"/>
      <c r="Q237" s="55"/>
      <c r="R237" s="55"/>
      <c r="S237" s="55"/>
      <c r="T237" s="55"/>
      <c r="U237" s="55"/>
      <c r="V237" s="55"/>
      <c r="W237" s="55"/>
      <c r="X237" s="55"/>
      <c r="Y237" s="55"/>
      <c r="Z237" s="55"/>
      <c r="AA237" s="55"/>
      <c r="AB237" s="55"/>
      <c r="AC237" s="55"/>
      <c r="AD237" s="55"/>
      <c r="AE237" s="55"/>
      <c r="AF237" s="55"/>
      <c r="AG237" s="55"/>
      <c r="AH237" s="55"/>
      <c r="AI237" s="55"/>
      <c r="AJ237" s="55"/>
      <c r="AK237" s="55"/>
      <c r="AL237" s="55"/>
      <c r="AM237" s="55"/>
      <c r="AN237" s="55"/>
      <c r="AO237" s="55"/>
      <c r="AP237" s="55"/>
      <c r="AQ237" s="55"/>
      <c r="AR237" s="55"/>
      <c r="AS237" s="55"/>
      <c r="AT237" s="55"/>
      <c r="AU237" s="55"/>
      <c r="AV237" s="55"/>
      <c r="AW237" s="55"/>
      <c r="AX237" s="55"/>
      <c r="AY237" s="55"/>
      <c r="AZ237" s="55"/>
      <c r="BA237" s="55"/>
      <c r="BB237" s="55"/>
      <c r="BC237" s="55"/>
      <c r="BD237" s="55"/>
      <c r="BE237" s="55"/>
      <c r="BF237" s="55"/>
      <c r="BG237" s="55"/>
      <c r="BH237" s="55"/>
      <c r="BI237" s="55"/>
      <c r="BJ237" s="55"/>
      <c r="BK237" s="55"/>
      <c r="BL237" s="55"/>
      <c r="BM237" s="55"/>
      <c r="BN237" s="55"/>
      <c r="BO237" s="55"/>
      <c r="BP237" s="55"/>
      <c r="BQ237" s="55"/>
      <c r="BR237" s="55"/>
      <c r="BS237" s="55"/>
    </row>
    <row r="238" spans="3:71" outlineLevel="1" x14ac:dyDescent="0.2">
      <c r="C238" s="11" t="s">
        <v>98</v>
      </c>
      <c r="J238" s="26"/>
      <c r="L238" s="55"/>
      <c r="M238" s="55"/>
      <c r="N238" s="55"/>
      <c r="O238" s="55"/>
      <c r="P238" s="55"/>
      <c r="Q238" s="55"/>
      <c r="R238" s="55"/>
      <c r="S238" s="55"/>
      <c r="T238" s="55"/>
      <c r="U238" s="55"/>
      <c r="V238" s="55"/>
      <c r="W238" s="55"/>
      <c r="X238" s="55"/>
      <c r="Y238" s="55"/>
      <c r="Z238" s="55"/>
      <c r="AA238" s="55"/>
      <c r="AB238" s="55"/>
      <c r="AC238" s="55"/>
      <c r="AD238" s="55"/>
      <c r="AE238" s="55"/>
      <c r="AF238" s="55"/>
      <c r="AG238" s="55"/>
      <c r="AH238" s="55"/>
      <c r="AI238" s="55"/>
      <c r="AJ238" s="55"/>
      <c r="AK238" s="55"/>
      <c r="AL238" s="55"/>
      <c r="AM238" s="55"/>
      <c r="AN238" s="55"/>
      <c r="AO238" s="55"/>
      <c r="AP238" s="55"/>
      <c r="AQ238" s="55"/>
      <c r="AR238" s="55"/>
      <c r="AS238" s="55"/>
      <c r="AT238" s="55"/>
      <c r="AU238" s="55"/>
      <c r="AV238" s="55"/>
      <c r="AW238" s="55"/>
      <c r="AX238" s="55"/>
      <c r="AY238" s="55"/>
      <c r="AZ238" s="55"/>
      <c r="BA238" s="55"/>
      <c r="BB238" s="55"/>
      <c r="BC238" s="55"/>
      <c r="BD238" s="55"/>
      <c r="BE238" s="55"/>
      <c r="BF238" s="55"/>
      <c r="BG238" s="55"/>
      <c r="BH238" s="55"/>
      <c r="BI238" s="55"/>
      <c r="BJ238" s="55"/>
      <c r="BK238" s="55"/>
      <c r="BL238" s="55"/>
      <c r="BM238" s="55"/>
      <c r="BN238" s="55"/>
      <c r="BO238" s="55"/>
      <c r="BP238" s="55"/>
      <c r="BQ238" s="55"/>
      <c r="BR238" s="55"/>
      <c r="BS238" s="55"/>
    </row>
    <row r="239" spans="3:71" outlineLevel="1" x14ac:dyDescent="0.2">
      <c r="J239" s="26"/>
      <c r="L239" s="55"/>
      <c r="M239" s="55"/>
      <c r="N239" s="55"/>
      <c r="O239" s="55"/>
      <c r="P239" s="55"/>
      <c r="Q239" s="55"/>
      <c r="R239" s="55"/>
      <c r="S239" s="55"/>
      <c r="T239" s="55"/>
      <c r="U239" s="55"/>
      <c r="V239" s="55"/>
      <c r="W239" s="55"/>
      <c r="X239" s="55"/>
      <c r="Y239" s="55"/>
      <c r="Z239" s="55"/>
      <c r="AA239" s="55"/>
      <c r="AB239" s="55"/>
      <c r="AC239" s="55"/>
      <c r="AD239" s="55"/>
      <c r="AE239" s="55"/>
      <c r="AF239" s="55"/>
      <c r="AG239" s="55"/>
      <c r="AH239" s="55"/>
      <c r="AI239" s="55"/>
      <c r="AJ239" s="55"/>
      <c r="AK239" s="55"/>
      <c r="AL239" s="55"/>
      <c r="AM239" s="55"/>
      <c r="AN239" s="55"/>
      <c r="AO239" s="55"/>
      <c r="AP239" s="55"/>
      <c r="AQ239" s="55"/>
      <c r="AR239" s="55"/>
      <c r="AS239" s="55"/>
      <c r="AT239" s="55"/>
      <c r="AU239" s="55"/>
      <c r="AV239" s="55"/>
      <c r="AW239" s="55"/>
      <c r="AX239" s="55"/>
      <c r="AY239" s="55"/>
      <c r="AZ239" s="55"/>
      <c r="BA239" s="55"/>
      <c r="BB239" s="55"/>
      <c r="BC239" s="55"/>
      <c r="BD239" s="55"/>
      <c r="BE239" s="55"/>
      <c r="BF239" s="55"/>
      <c r="BG239" s="55"/>
      <c r="BH239" s="55"/>
      <c r="BI239" s="55"/>
      <c r="BJ239" s="55"/>
      <c r="BK239" s="55"/>
      <c r="BL239" s="55"/>
      <c r="BM239" s="55"/>
      <c r="BN239" s="55"/>
      <c r="BO239" s="55"/>
      <c r="BP239" s="55"/>
      <c r="BQ239" s="55"/>
      <c r="BR239" s="55"/>
      <c r="BS239" s="55"/>
    </row>
    <row r="240" spans="3:71" outlineLevel="1" x14ac:dyDescent="0.2">
      <c r="D240" s="35" t="s">
        <v>217</v>
      </c>
      <c r="J240" s="26"/>
      <c r="K240" s="7" t="s">
        <v>219</v>
      </c>
      <c r="L240" s="49">
        <f ca="1">1*AND(Loango_II!CA_FP_oil_nom&gt;Loango_II!CA_HP_oil_nom,Loango_II!CA_op_trig=1)</f>
        <v>1</v>
      </c>
      <c r="M240" s="49">
        <f t="shared" ref="M240:BS240" ca="1" si="43">1*AND(CA_FP_oil_nom&gt;CA_HP_oil_nom,CA_op_trig=1)</f>
        <v>1</v>
      </c>
      <c r="N240" s="49">
        <f t="shared" ca="1" si="43"/>
        <v>0</v>
      </c>
      <c r="O240" s="49">
        <f t="shared" ca="1" si="43"/>
        <v>0</v>
      </c>
      <c r="P240" s="49">
        <f t="shared" ca="1" si="43"/>
        <v>0</v>
      </c>
      <c r="Q240" s="49">
        <f t="shared" ca="1" si="43"/>
        <v>0</v>
      </c>
      <c r="R240" s="49">
        <f t="shared" ca="1" si="43"/>
        <v>1</v>
      </c>
      <c r="S240" s="49">
        <f t="shared" ca="1" si="43"/>
        <v>1</v>
      </c>
      <c r="T240" s="49">
        <f t="shared" ca="1" si="43"/>
        <v>1</v>
      </c>
      <c r="U240" s="49">
        <f t="shared" ca="1" si="43"/>
        <v>1</v>
      </c>
      <c r="V240" s="49">
        <f t="shared" ca="1" si="43"/>
        <v>1</v>
      </c>
      <c r="W240" s="49">
        <f t="shared" ca="1" si="43"/>
        <v>1</v>
      </c>
      <c r="X240" s="49">
        <f t="shared" ca="1" si="43"/>
        <v>1</v>
      </c>
      <c r="Y240" s="49">
        <f t="shared" ca="1" si="43"/>
        <v>0</v>
      </c>
      <c r="Z240" s="49">
        <f t="shared" ca="1" si="43"/>
        <v>0</v>
      </c>
      <c r="AA240" s="49">
        <f t="shared" ca="1" si="43"/>
        <v>0</v>
      </c>
      <c r="AB240" s="49">
        <f t="shared" ca="1" si="43"/>
        <v>0</v>
      </c>
      <c r="AC240" s="49">
        <f t="shared" ca="1" si="43"/>
        <v>0</v>
      </c>
      <c r="AD240" s="49">
        <f t="shared" ca="1" si="43"/>
        <v>0</v>
      </c>
      <c r="AE240" s="49">
        <f t="shared" ca="1" si="43"/>
        <v>0</v>
      </c>
      <c r="AF240" s="49">
        <f t="shared" ca="1" si="43"/>
        <v>0</v>
      </c>
      <c r="AG240" s="49">
        <f t="shared" ca="1" si="43"/>
        <v>0</v>
      </c>
      <c r="AH240" s="49">
        <f t="shared" ca="1" si="43"/>
        <v>0</v>
      </c>
      <c r="AI240" s="49">
        <f t="shared" ca="1" si="43"/>
        <v>0</v>
      </c>
      <c r="AJ240" s="49">
        <f t="shared" ca="1" si="43"/>
        <v>0</v>
      </c>
      <c r="AK240" s="49">
        <f t="shared" ca="1" si="43"/>
        <v>0</v>
      </c>
      <c r="AL240" s="49">
        <f t="shared" ca="1" si="43"/>
        <v>0</v>
      </c>
      <c r="AM240" s="49">
        <f t="shared" ca="1" si="43"/>
        <v>0</v>
      </c>
      <c r="AN240" s="49">
        <f t="shared" ca="1" si="43"/>
        <v>0</v>
      </c>
      <c r="AO240" s="49">
        <f t="shared" ca="1" si="43"/>
        <v>0</v>
      </c>
      <c r="AP240" s="49">
        <f t="shared" ca="1" si="43"/>
        <v>0</v>
      </c>
      <c r="AQ240" s="49">
        <f t="shared" ca="1" si="43"/>
        <v>0</v>
      </c>
      <c r="AR240" s="49">
        <f t="shared" ca="1" si="43"/>
        <v>0</v>
      </c>
      <c r="AS240" s="49">
        <f t="shared" ca="1" si="43"/>
        <v>0</v>
      </c>
      <c r="AT240" s="49">
        <f t="shared" ca="1" si="43"/>
        <v>0</v>
      </c>
      <c r="AU240" s="49">
        <f t="shared" ca="1" si="43"/>
        <v>0</v>
      </c>
      <c r="AV240" s="49">
        <f t="shared" ca="1" si="43"/>
        <v>0</v>
      </c>
      <c r="AW240" s="49">
        <f t="shared" ca="1" si="43"/>
        <v>0</v>
      </c>
      <c r="AX240" s="49">
        <f t="shared" ca="1" si="43"/>
        <v>0</v>
      </c>
      <c r="AY240" s="49">
        <f t="shared" ca="1" si="43"/>
        <v>0</v>
      </c>
      <c r="AZ240" s="49">
        <f t="shared" ca="1" si="43"/>
        <v>0</v>
      </c>
      <c r="BA240" s="49">
        <f t="shared" ca="1" si="43"/>
        <v>0</v>
      </c>
      <c r="BB240" s="49">
        <f t="shared" ca="1" si="43"/>
        <v>0</v>
      </c>
      <c r="BC240" s="49">
        <f t="shared" ca="1" si="43"/>
        <v>0</v>
      </c>
      <c r="BD240" s="49">
        <f t="shared" ca="1" si="43"/>
        <v>0</v>
      </c>
      <c r="BE240" s="49">
        <f t="shared" ca="1" si="43"/>
        <v>0</v>
      </c>
      <c r="BF240" s="49">
        <f t="shared" ca="1" si="43"/>
        <v>0</v>
      </c>
      <c r="BG240" s="49">
        <f t="shared" ca="1" si="43"/>
        <v>0</v>
      </c>
      <c r="BH240" s="49">
        <f t="shared" ca="1" si="43"/>
        <v>0</v>
      </c>
      <c r="BI240" s="49">
        <f t="shared" ca="1" si="43"/>
        <v>0</v>
      </c>
      <c r="BJ240" s="49">
        <f t="shared" ca="1" si="43"/>
        <v>0</v>
      </c>
      <c r="BK240" s="49">
        <f t="shared" ca="1" si="43"/>
        <v>0</v>
      </c>
      <c r="BL240" s="49">
        <f t="shared" ca="1" si="43"/>
        <v>0</v>
      </c>
      <c r="BM240" s="49">
        <f t="shared" ca="1" si="43"/>
        <v>0</v>
      </c>
      <c r="BN240" s="49">
        <f t="shared" ca="1" si="43"/>
        <v>0</v>
      </c>
      <c r="BO240" s="49">
        <f t="shared" ca="1" si="43"/>
        <v>0</v>
      </c>
      <c r="BP240" s="49">
        <f t="shared" ca="1" si="43"/>
        <v>0</v>
      </c>
      <c r="BQ240" s="49">
        <f t="shared" ca="1" si="43"/>
        <v>0</v>
      </c>
      <c r="BR240" s="49">
        <f t="shared" ca="1" si="43"/>
        <v>0</v>
      </c>
      <c r="BS240" s="49">
        <f t="shared" ca="1" si="43"/>
        <v>0</v>
      </c>
    </row>
    <row r="241" spans="3:71" outlineLevel="1" x14ac:dyDescent="0.2">
      <c r="J241" s="26"/>
      <c r="L241" s="55"/>
      <c r="M241" s="55"/>
      <c r="N241" s="55"/>
      <c r="O241" s="55"/>
      <c r="P241" s="55"/>
      <c r="Q241" s="55"/>
      <c r="R241" s="55"/>
      <c r="S241" s="55"/>
      <c r="T241" s="55"/>
      <c r="U241" s="55"/>
      <c r="V241" s="55"/>
      <c r="W241" s="55"/>
      <c r="X241" s="55"/>
      <c r="Y241" s="55"/>
      <c r="Z241" s="55"/>
      <c r="AA241" s="55"/>
      <c r="AB241" s="55"/>
      <c r="AC241" s="55"/>
      <c r="AD241" s="55"/>
      <c r="AE241" s="55"/>
      <c r="AF241" s="55"/>
      <c r="AG241" s="55"/>
      <c r="AH241" s="55"/>
      <c r="AI241" s="55"/>
      <c r="AJ241" s="55"/>
      <c r="AK241" s="55"/>
      <c r="AL241" s="55"/>
      <c r="AM241" s="55"/>
      <c r="AN241" s="55"/>
      <c r="AO241" s="55"/>
      <c r="AP241" s="55"/>
      <c r="AQ241" s="55"/>
      <c r="AR241" s="55"/>
      <c r="AS241" s="55"/>
      <c r="AT241" s="55"/>
      <c r="AU241" s="55"/>
      <c r="AV241" s="55"/>
      <c r="AW241" s="55"/>
      <c r="AX241" s="55"/>
      <c r="AY241" s="55"/>
      <c r="AZ241" s="55"/>
      <c r="BA241" s="55"/>
      <c r="BB241" s="55"/>
      <c r="BC241" s="55"/>
      <c r="BD241" s="55"/>
      <c r="BE241" s="55"/>
      <c r="BF241" s="55"/>
      <c r="BG241" s="55"/>
      <c r="BH241" s="55"/>
      <c r="BI241" s="55"/>
      <c r="BJ241" s="55"/>
      <c r="BK241" s="55"/>
      <c r="BL241" s="55"/>
      <c r="BM241" s="55"/>
      <c r="BN241" s="55"/>
      <c r="BO241" s="55"/>
      <c r="BP241" s="55"/>
      <c r="BQ241" s="55"/>
      <c r="BR241" s="55"/>
      <c r="BS241" s="55"/>
    </row>
    <row r="242" spans="3:71" outlineLevel="1" x14ac:dyDescent="0.2">
      <c r="D242" t="s">
        <v>220</v>
      </c>
      <c r="I242" s="30">
        <f t="shared" ref="I242" ca="1" si="44">SUM($L242:$BS242)</f>
        <v>3953.5380486963099</v>
      </c>
      <c r="J242" s="26" t="s">
        <v>148</v>
      </c>
      <c r="L242" s="49" cm="1">
        <f t="array" aca="1" ref="L242:BS242" ca="1">Loango_II!CA_gross_rev_oil_difference*Loango_II!CA_SPO_trig</f>
        <v>110.49156843666879</v>
      </c>
      <c r="M242" s="49">
        <f ca="1"/>
        <v>44.847002139674714</v>
      </c>
      <c r="N242" s="49">
        <f ca="1"/>
        <v>0</v>
      </c>
      <c r="O242" s="49">
        <f ca="1"/>
        <v>0</v>
      </c>
      <c r="P242" s="49">
        <f ca="1"/>
        <v>0</v>
      </c>
      <c r="Q242" s="49">
        <f ca="1"/>
        <v>0</v>
      </c>
      <c r="R242" s="49">
        <f ca="1"/>
        <v>668.47874532212143</v>
      </c>
      <c r="S242" s="49">
        <f ca="1"/>
        <v>160.58847531599997</v>
      </c>
      <c r="T242" s="49">
        <f ca="1"/>
        <v>609.86285821641593</v>
      </c>
      <c r="U242" s="49">
        <f ca="1"/>
        <v>636.86626487773196</v>
      </c>
      <c r="V242" s="49">
        <f ca="1"/>
        <v>604.13133886301648</v>
      </c>
      <c r="W242" s="49">
        <f ca="1"/>
        <v>574.64906746476004</v>
      </c>
      <c r="X242" s="49">
        <f ca="1"/>
        <v>543.62272805992086</v>
      </c>
      <c r="Y242" s="49">
        <f ca="1"/>
        <v>0</v>
      </c>
      <c r="Z242" s="49">
        <f ca="1"/>
        <v>0</v>
      </c>
      <c r="AA242" s="49">
        <f ca="1"/>
        <v>0</v>
      </c>
      <c r="AB242" s="49">
        <f ca="1"/>
        <v>0</v>
      </c>
      <c r="AC242" s="49">
        <f ca="1"/>
        <v>0</v>
      </c>
      <c r="AD242" s="49">
        <f ca="1"/>
        <v>0</v>
      </c>
      <c r="AE242" s="49">
        <f ca="1"/>
        <v>0</v>
      </c>
      <c r="AF242" s="49">
        <f ca="1"/>
        <v>0</v>
      </c>
      <c r="AG242" s="49">
        <f ca="1"/>
        <v>0</v>
      </c>
      <c r="AH242" s="49">
        <f ca="1"/>
        <v>0</v>
      </c>
      <c r="AI242" s="49">
        <f ca="1"/>
        <v>0</v>
      </c>
      <c r="AJ242" s="49">
        <f ca="1"/>
        <v>0</v>
      </c>
      <c r="AK242" s="49">
        <f ca="1"/>
        <v>0</v>
      </c>
      <c r="AL242" s="49">
        <f ca="1"/>
        <v>0</v>
      </c>
      <c r="AM242" s="49">
        <f ca="1"/>
        <v>0</v>
      </c>
      <c r="AN242" s="49">
        <f ca="1"/>
        <v>0</v>
      </c>
      <c r="AO242" s="49">
        <f ca="1"/>
        <v>0</v>
      </c>
      <c r="AP242" s="49">
        <f ca="1"/>
        <v>0</v>
      </c>
      <c r="AQ242" s="49">
        <f ca="1"/>
        <v>0</v>
      </c>
      <c r="AR242" s="49">
        <f ca="1"/>
        <v>0</v>
      </c>
      <c r="AS242" s="49">
        <f ca="1"/>
        <v>0</v>
      </c>
      <c r="AT242" s="49">
        <f ca="1"/>
        <v>0</v>
      </c>
      <c r="AU242" s="49">
        <f ca="1"/>
        <v>0</v>
      </c>
      <c r="AV242" s="49">
        <f ca="1"/>
        <v>0</v>
      </c>
      <c r="AW242" s="49">
        <f ca="1"/>
        <v>0</v>
      </c>
      <c r="AX242" s="49">
        <f ca="1"/>
        <v>0</v>
      </c>
      <c r="AY242" s="49">
        <f ca="1"/>
        <v>0</v>
      </c>
      <c r="AZ242" s="49">
        <f ca="1"/>
        <v>0</v>
      </c>
      <c r="BA242" s="49">
        <f ca="1"/>
        <v>0</v>
      </c>
      <c r="BB242" s="49">
        <f ca="1"/>
        <v>0</v>
      </c>
      <c r="BC242" s="49">
        <f ca="1"/>
        <v>0</v>
      </c>
      <c r="BD242" s="49">
        <f ca="1"/>
        <v>0</v>
      </c>
      <c r="BE242" s="49">
        <f ca="1"/>
        <v>0</v>
      </c>
      <c r="BF242" s="49">
        <f ca="1"/>
        <v>0</v>
      </c>
      <c r="BG242" s="49">
        <f ca="1"/>
        <v>0</v>
      </c>
      <c r="BH242" s="49">
        <f ca="1"/>
        <v>0</v>
      </c>
      <c r="BI242" s="49">
        <f ca="1"/>
        <v>0</v>
      </c>
      <c r="BJ242" s="49">
        <f ca="1"/>
        <v>0</v>
      </c>
      <c r="BK242" s="49">
        <f ca="1"/>
        <v>0</v>
      </c>
      <c r="BL242" s="49">
        <f ca="1"/>
        <v>0</v>
      </c>
      <c r="BM242" s="49">
        <f ca="1"/>
        <v>0</v>
      </c>
      <c r="BN242" s="49">
        <f ca="1"/>
        <v>0</v>
      </c>
      <c r="BO242" s="49">
        <f ca="1"/>
        <v>0</v>
      </c>
      <c r="BP242" s="49">
        <f ca="1"/>
        <v>0</v>
      </c>
      <c r="BQ242" s="49">
        <f ca="1"/>
        <v>0</v>
      </c>
      <c r="BR242" s="49">
        <f ca="1"/>
        <v>0</v>
      </c>
      <c r="BS242" s="49">
        <f ca="1"/>
        <v>0</v>
      </c>
    </row>
    <row r="243" spans="3:71" outlineLevel="1" x14ac:dyDescent="0.2">
      <c r="J243" s="26"/>
      <c r="L243" s="55"/>
      <c r="M243" s="55"/>
      <c r="N243" s="55"/>
      <c r="O243" s="55"/>
      <c r="P243" s="55"/>
      <c r="Q243" s="55"/>
      <c r="R243" s="55"/>
      <c r="S243" s="55"/>
      <c r="T243" s="55"/>
      <c r="U243" s="55"/>
      <c r="V243" s="55"/>
      <c r="W243" s="55"/>
      <c r="X243" s="55"/>
      <c r="Y243" s="55"/>
      <c r="Z243" s="55"/>
      <c r="AA243" s="55"/>
      <c r="AB243" s="55"/>
      <c r="AC243" s="55"/>
      <c r="AD243" s="55"/>
      <c r="AE243" s="55"/>
      <c r="AF243" s="55"/>
      <c r="AG243" s="55"/>
      <c r="AH243" s="55"/>
      <c r="AI243" s="55"/>
      <c r="AJ243" s="55"/>
      <c r="AK243" s="55"/>
      <c r="AL243" s="55"/>
      <c r="AM243" s="55"/>
      <c r="AN243" s="55"/>
      <c r="AO243" s="55"/>
      <c r="AP243" s="55"/>
      <c r="AQ243" s="55"/>
      <c r="AR243" s="55"/>
      <c r="AS243" s="55"/>
      <c r="AT243" s="55"/>
      <c r="AU243" s="55"/>
      <c r="AV243" s="55"/>
      <c r="AW243" s="55"/>
      <c r="AX243" s="55"/>
      <c r="AY243" s="55"/>
      <c r="AZ243" s="55"/>
      <c r="BA243" s="55"/>
      <c r="BB243" s="55"/>
      <c r="BC243" s="55"/>
      <c r="BD243" s="55"/>
      <c r="BE243" s="55"/>
      <c r="BF243" s="55"/>
      <c r="BG243" s="55"/>
      <c r="BH243" s="55"/>
      <c r="BI243" s="55"/>
      <c r="BJ243" s="55"/>
      <c r="BK243" s="55"/>
      <c r="BL243" s="55"/>
      <c r="BM243" s="55"/>
      <c r="BN243" s="55"/>
      <c r="BO243" s="55"/>
      <c r="BP243" s="55"/>
      <c r="BQ243" s="55"/>
      <c r="BR243" s="55"/>
      <c r="BS243" s="55"/>
    </row>
    <row r="244" spans="3:71" outlineLevel="1" x14ac:dyDescent="0.2">
      <c r="D244" t="s">
        <v>218</v>
      </c>
      <c r="I244" s="30">
        <f t="shared" ref="I244:I246" ca="1" si="45">SUM($L244:$BS244)</f>
        <v>593.03070730444654</v>
      </c>
      <c r="J244" s="26" t="s">
        <v>148</v>
      </c>
      <c r="L244" s="49">
        <f ca="1">(Loango_II!CA_gross_rev_oil_difference*Loango_II!royalty_rate_oil)*Loango_II!CA_SPO_trig</f>
        <v>16.573735265500318</v>
      </c>
      <c r="M244" s="49">
        <f ca="1">(Loango_II!CA_gross_rev_oil_difference*Loango_II!royalty_rate_oil)*Loango_II!CA_SPO_trig</f>
        <v>6.7270503209512071</v>
      </c>
      <c r="N244" s="49">
        <f ca="1">(Loango_II!CA_gross_rev_oil_difference*Loango_II!royalty_rate_oil)*Loango_II!CA_SPO_trig</f>
        <v>0</v>
      </c>
      <c r="O244" s="49">
        <f ca="1">(Loango_II!CA_gross_rev_oil_difference*Loango_II!royalty_rate_oil)*Loango_II!CA_SPO_trig</f>
        <v>0</v>
      </c>
      <c r="P244" s="49">
        <f ca="1">(Loango_II!CA_gross_rev_oil_difference*Loango_II!royalty_rate_oil)*Loango_II!CA_SPO_trig</f>
        <v>0</v>
      </c>
      <c r="Q244" s="49">
        <f ca="1">(Loango_II!CA_gross_rev_oil_difference*Loango_II!royalty_rate_oil)*Loango_II!CA_SPO_trig</f>
        <v>0</v>
      </c>
      <c r="R244" s="49">
        <f ca="1">(Loango_II!CA_gross_rev_oil_difference*Loango_II!royalty_rate_oil)*Loango_II!CA_SPO_trig</f>
        <v>100.27181179831821</v>
      </c>
      <c r="S244" s="49">
        <f ca="1">(Loango_II!CA_gross_rev_oil_difference*Loango_II!royalty_rate_oil)*Loango_II!CA_SPO_trig</f>
        <v>24.088271297399995</v>
      </c>
      <c r="T244" s="49">
        <f ca="1">(Loango_II!CA_gross_rev_oil_difference*Loango_II!royalty_rate_oil)*Loango_II!CA_SPO_trig</f>
        <v>91.479428732462381</v>
      </c>
      <c r="U244" s="49">
        <f ca="1">(Loango_II!CA_gross_rev_oil_difference*Loango_II!royalty_rate_oil)*Loango_II!CA_SPO_trig</f>
        <v>95.529939731659795</v>
      </c>
      <c r="V244" s="49">
        <f ca="1">(Loango_II!CA_gross_rev_oil_difference*Loango_II!royalty_rate_oil)*Loango_II!CA_SPO_trig</f>
        <v>90.619700829452469</v>
      </c>
      <c r="W244" s="49">
        <f ca="1">(Loango_II!CA_gross_rev_oil_difference*Loango_II!royalty_rate_oil)*Loango_II!CA_SPO_trig</f>
        <v>86.197360119714006</v>
      </c>
      <c r="X244" s="49">
        <f ca="1">(Loango_II!CA_gross_rev_oil_difference*Loango_II!royalty_rate_oil)*Loango_II!CA_SPO_trig</f>
        <v>81.543409208988123</v>
      </c>
      <c r="Y244" s="49">
        <f ca="1">(Loango_II!CA_gross_rev_oil_difference*Loango_II!royalty_rate_oil)*Loango_II!CA_SPO_trig</f>
        <v>0</v>
      </c>
      <c r="Z244" s="49">
        <f ca="1">(Loango_II!CA_gross_rev_oil_difference*Loango_II!royalty_rate_oil)*Loango_II!CA_SPO_trig</f>
        <v>0</v>
      </c>
      <c r="AA244" s="49">
        <f ca="1">(Loango_II!CA_gross_rev_oil_difference*Loango_II!royalty_rate_oil)*Loango_II!CA_SPO_trig</f>
        <v>0</v>
      </c>
      <c r="AB244" s="49">
        <f ca="1">(Loango_II!CA_gross_rev_oil_difference*Loango_II!royalty_rate_oil)*Loango_II!CA_SPO_trig</f>
        <v>0</v>
      </c>
      <c r="AC244" s="49">
        <f ca="1">(Loango_II!CA_gross_rev_oil_difference*Loango_II!royalty_rate_oil)*Loango_II!CA_SPO_trig</f>
        <v>0</v>
      </c>
      <c r="AD244" s="49">
        <f ca="1">(Loango_II!CA_gross_rev_oil_difference*Loango_II!royalty_rate_oil)*Loango_II!CA_SPO_trig</f>
        <v>0</v>
      </c>
      <c r="AE244" s="49">
        <f ca="1">(Loango_II!CA_gross_rev_oil_difference*Loango_II!royalty_rate_oil)*Loango_II!CA_SPO_trig</f>
        <v>0</v>
      </c>
      <c r="AF244" s="49">
        <f ca="1">(Loango_II!CA_gross_rev_oil_difference*Loango_II!royalty_rate_oil)*Loango_II!CA_SPO_trig</f>
        <v>0</v>
      </c>
      <c r="AG244" s="49">
        <f ca="1">(Loango_II!CA_gross_rev_oil_difference*Loango_II!royalty_rate_oil)*Loango_II!CA_SPO_trig</f>
        <v>0</v>
      </c>
      <c r="AH244" s="49">
        <f ca="1">(Loango_II!CA_gross_rev_oil_difference*Loango_II!royalty_rate_oil)*Loango_II!CA_SPO_trig</f>
        <v>0</v>
      </c>
      <c r="AI244" s="49">
        <f ca="1">(Loango_II!CA_gross_rev_oil_difference*Loango_II!royalty_rate_oil)*Loango_II!CA_SPO_trig</f>
        <v>0</v>
      </c>
      <c r="AJ244" s="49">
        <f ca="1">(Loango_II!CA_gross_rev_oil_difference*Loango_II!royalty_rate_oil)*Loango_II!CA_SPO_trig</f>
        <v>0</v>
      </c>
      <c r="AK244" s="49">
        <f ca="1">(Loango_II!CA_gross_rev_oil_difference*Loango_II!royalty_rate_oil)*Loango_II!CA_SPO_trig</f>
        <v>0</v>
      </c>
      <c r="AL244" s="49">
        <f ca="1">(Loango_II!CA_gross_rev_oil_difference*Loango_II!royalty_rate_oil)*Loango_II!CA_SPO_trig</f>
        <v>0</v>
      </c>
      <c r="AM244" s="49">
        <f ca="1">(Loango_II!CA_gross_rev_oil_difference*Loango_II!royalty_rate_oil)*Loango_II!CA_SPO_trig</f>
        <v>0</v>
      </c>
      <c r="AN244" s="49">
        <f ca="1">(Loango_II!CA_gross_rev_oil_difference*Loango_II!royalty_rate_oil)*Loango_II!CA_SPO_trig</f>
        <v>0</v>
      </c>
      <c r="AO244" s="49">
        <f ca="1">(Loango_II!CA_gross_rev_oil_difference*Loango_II!royalty_rate_oil)*Loango_II!CA_SPO_trig</f>
        <v>0</v>
      </c>
      <c r="AP244" s="49">
        <f ca="1">(Loango_II!CA_gross_rev_oil_difference*Loango_II!royalty_rate_oil)*Loango_II!CA_SPO_trig</f>
        <v>0</v>
      </c>
      <c r="AQ244" s="49">
        <f ca="1">(Loango_II!CA_gross_rev_oil_difference*Loango_II!royalty_rate_oil)*Loango_II!CA_SPO_trig</f>
        <v>0</v>
      </c>
      <c r="AR244" s="49">
        <f ca="1">(Loango_II!CA_gross_rev_oil_difference*Loango_II!royalty_rate_oil)*Loango_II!CA_SPO_trig</f>
        <v>0</v>
      </c>
      <c r="AS244" s="49">
        <f ca="1">(Loango_II!CA_gross_rev_oil_difference*Loango_II!royalty_rate_oil)*Loango_II!CA_SPO_trig</f>
        <v>0</v>
      </c>
      <c r="AT244" s="49">
        <f ca="1">(Loango_II!CA_gross_rev_oil_difference*Loango_II!royalty_rate_oil)*Loango_II!CA_SPO_trig</f>
        <v>0</v>
      </c>
      <c r="AU244" s="49">
        <f ca="1">(Loango_II!CA_gross_rev_oil_difference*Loango_II!royalty_rate_oil)*Loango_II!CA_SPO_trig</f>
        <v>0</v>
      </c>
      <c r="AV244" s="49">
        <f ca="1">(Loango_II!CA_gross_rev_oil_difference*Loango_II!royalty_rate_oil)*Loango_II!CA_SPO_trig</f>
        <v>0</v>
      </c>
      <c r="AW244" s="49">
        <f ca="1">(Loango_II!CA_gross_rev_oil_difference*Loango_II!royalty_rate_oil)*Loango_II!CA_SPO_trig</f>
        <v>0</v>
      </c>
      <c r="AX244" s="49">
        <f ca="1">(Loango_II!CA_gross_rev_oil_difference*Loango_II!royalty_rate_oil)*Loango_II!CA_SPO_trig</f>
        <v>0</v>
      </c>
      <c r="AY244" s="49">
        <f ca="1">(Loango_II!CA_gross_rev_oil_difference*Loango_II!royalty_rate_oil)*Loango_II!CA_SPO_trig</f>
        <v>0</v>
      </c>
      <c r="AZ244" s="49">
        <f ca="1">(Loango_II!CA_gross_rev_oil_difference*Loango_II!royalty_rate_oil)*Loango_II!CA_SPO_trig</f>
        <v>0</v>
      </c>
      <c r="BA244" s="49">
        <f ca="1">(Loango_II!CA_gross_rev_oil_difference*Loango_II!royalty_rate_oil)*Loango_II!CA_SPO_trig</f>
        <v>0</v>
      </c>
      <c r="BB244" s="49">
        <f ca="1">(Loango_II!CA_gross_rev_oil_difference*Loango_II!royalty_rate_oil)*Loango_II!CA_SPO_trig</f>
        <v>0</v>
      </c>
      <c r="BC244" s="49">
        <f ca="1">(Loango_II!CA_gross_rev_oil_difference*Loango_II!royalty_rate_oil)*Loango_II!CA_SPO_trig</f>
        <v>0</v>
      </c>
      <c r="BD244" s="49">
        <f ca="1">(Loango_II!CA_gross_rev_oil_difference*Loango_II!royalty_rate_oil)*Loango_II!CA_SPO_trig</f>
        <v>0</v>
      </c>
      <c r="BE244" s="49">
        <f ca="1">(Loango_II!CA_gross_rev_oil_difference*Loango_II!royalty_rate_oil)*Loango_II!CA_SPO_trig</f>
        <v>0</v>
      </c>
      <c r="BF244" s="49">
        <f ca="1">(Loango_II!CA_gross_rev_oil_difference*Loango_II!royalty_rate_oil)*Loango_II!CA_SPO_trig</f>
        <v>0</v>
      </c>
      <c r="BG244" s="49">
        <f ca="1">(Loango_II!CA_gross_rev_oil_difference*Loango_II!royalty_rate_oil)*Loango_II!CA_SPO_trig</f>
        <v>0</v>
      </c>
      <c r="BH244" s="49">
        <f ca="1">(Loango_II!CA_gross_rev_oil_difference*Loango_II!royalty_rate_oil)*Loango_II!CA_SPO_trig</f>
        <v>0</v>
      </c>
      <c r="BI244" s="49">
        <f ca="1">(Loango_II!CA_gross_rev_oil_difference*Loango_II!royalty_rate_oil)*Loango_II!CA_SPO_trig</f>
        <v>0</v>
      </c>
      <c r="BJ244" s="49">
        <f ca="1">(Loango_II!CA_gross_rev_oil_difference*Loango_II!royalty_rate_oil)*Loango_II!CA_SPO_trig</f>
        <v>0</v>
      </c>
      <c r="BK244" s="49">
        <f ca="1">(Loango_II!CA_gross_rev_oil_difference*Loango_II!royalty_rate_oil)*Loango_II!CA_SPO_trig</f>
        <v>0</v>
      </c>
      <c r="BL244" s="49">
        <f ca="1">(Loango_II!CA_gross_rev_oil_difference*Loango_II!royalty_rate_oil)*Loango_II!CA_SPO_trig</f>
        <v>0</v>
      </c>
      <c r="BM244" s="49">
        <f ca="1">(Loango_II!CA_gross_rev_oil_difference*Loango_II!royalty_rate_oil)*Loango_II!CA_SPO_trig</f>
        <v>0</v>
      </c>
      <c r="BN244" s="49">
        <f ca="1">(Loango_II!CA_gross_rev_oil_difference*Loango_II!royalty_rate_oil)*Loango_II!CA_SPO_trig</f>
        <v>0</v>
      </c>
      <c r="BO244" s="49">
        <f ca="1">(Loango_II!CA_gross_rev_oil_difference*Loango_II!royalty_rate_oil)*Loango_II!CA_SPO_trig</f>
        <v>0</v>
      </c>
      <c r="BP244" s="49">
        <f ca="1">(Loango_II!CA_gross_rev_oil_difference*Loango_II!royalty_rate_oil)*Loango_II!CA_SPO_trig</f>
        <v>0</v>
      </c>
      <c r="BQ244" s="49">
        <f ca="1">(Loango_II!CA_gross_rev_oil_difference*Loango_II!royalty_rate_oil)*Loango_II!CA_SPO_trig</f>
        <v>0</v>
      </c>
      <c r="BR244" s="49">
        <f ca="1">(Loango_II!CA_gross_rev_oil_difference*Loango_II!royalty_rate_oil)*Loango_II!CA_SPO_trig</f>
        <v>0</v>
      </c>
      <c r="BS244" s="49">
        <f ca="1">(Loango_II!CA_gross_rev_oil_difference*Loango_II!royalty_rate_oil)*Loango_II!CA_SPO_trig</f>
        <v>0</v>
      </c>
    </row>
    <row r="245" spans="3:71" outlineLevel="1" x14ac:dyDescent="0.2">
      <c r="J245" s="26"/>
      <c r="L245" s="55"/>
      <c r="M245" s="55"/>
      <c r="N245" s="55"/>
      <c r="O245" s="55"/>
      <c r="P245" s="55"/>
      <c r="Q245" s="55"/>
      <c r="R245" s="55"/>
      <c r="S245" s="55"/>
      <c r="T245" s="55"/>
      <c r="U245" s="55"/>
      <c r="V245" s="55"/>
      <c r="W245" s="55"/>
      <c r="X245" s="55"/>
      <c r="Y245" s="55"/>
      <c r="Z245" s="55"/>
      <c r="AA245" s="55"/>
      <c r="AB245" s="55"/>
      <c r="AC245" s="55"/>
      <c r="AD245" s="55"/>
      <c r="AE245" s="55"/>
      <c r="AF245" s="55"/>
      <c r="AG245" s="55"/>
      <c r="AH245" s="55"/>
      <c r="AI245" s="55"/>
      <c r="AJ245" s="55"/>
      <c r="AK245" s="55"/>
      <c r="AL245" s="55"/>
      <c r="AM245" s="55"/>
      <c r="AN245" s="55"/>
      <c r="AO245" s="55"/>
      <c r="AP245" s="55"/>
      <c r="AQ245" s="55"/>
      <c r="AR245" s="55"/>
      <c r="AS245" s="55"/>
      <c r="AT245" s="55"/>
      <c r="AU245" s="55"/>
      <c r="AV245" s="55"/>
      <c r="AW245" s="55"/>
      <c r="AX245" s="55"/>
      <c r="AY245" s="55"/>
      <c r="AZ245" s="55"/>
      <c r="BA245" s="55"/>
      <c r="BB245" s="55"/>
      <c r="BC245" s="55"/>
      <c r="BD245" s="55"/>
      <c r="BE245" s="55"/>
      <c r="BF245" s="55"/>
      <c r="BG245" s="55"/>
      <c r="BH245" s="55"/>
      <c r="BI245" s="55"/>
      <c r="BJ245" s="55"/>
      <c r="BK245" s="55"/>
      <c r="BL245" s="55"/>
      <c r="BM245" s="55"/>
      <c r="BN245" s="55"/>
      <c r="BO245" s="55"/>
      <c r="BP245" s="55"/>
      <c r="BQ245" s="55"/>
      <c r="BR245" s="55"/>
      <c r="BS245" s="55"/>
    </row>
    <row r="246" spans="3:71" outlineLevel="1" x14ac:dyDescent="0.2">
      <c r="D246" t="s">
        <v>315</v>
      </c>
      <c r="I246" s="30">
        <f t="shared" ca="1" si="45"/>
        <v>654.64810800521934</v>
      </c>
      <c r="J246" s="26" t="s">
        <v>148</v>
      </c>
      <c r="L246" s="49">
        <f ca="1">MAX(Loango_II!CA_cost_recovered_total-Loango_II!CA_cost_stop,0)</f>
        <v>0</v>
      </c>
      <c r="M246" s="49">
        <f ca="1">MAX(Loango_II!CA_cost_recovered_total-Loango_II!CA_cost_stop,0)</f>
        <v>0</v>
      </c>
      <c r="N246" s="49">
        <f ca="1">MAX(Loango_II!CA_cost_recovered_total-Loango_II!CA_cost_stop,0)</f>
        <v>0</v>
      </c>
      <c r="O246" s="49">
        <f ca="1">MAX(Loango_II!CA_cost_recovered_total-Loango_II!CA_cost_stop,0)</f>
        <v>0</v>
      </c>
      <c r="P246" s="49">
        <f ca="1">MAX(Loango_II!CA_cost_recovered_total-Loango_II!CA_cost_stop,0)</f>
        <v>0</v>
      </c>
      <c r="Q246" s="49">
        <f ca="1">MAX(Loango_II!CA_cost_recovered_total-Loango_II!CA_cost_stop,0)</f>
        <v>0</v>
      </c>
      <c r="R246" s="49">
        <f ca="1">MAX(Loango_II!CA_cost_recovered_total-Loango_II!CA_cost_stop,0)</f>
        <v>108.69512585770332</v>
      </c>
      <c r="S246" s="49">
        <f ca="1">MAX(Loango_II!CA_cost_recovered_total-Loango_II!CA_cost_stop,0)</f>
        <v>0</v>
      </c>
      <c r="T246" s="49">
        <f ca="1">MAX(Loango_II!CA_cost_recovered_total-Loango_II!CA_cost_stop,0)</f>
        <v>105.14212070581726</v>
      </c>
      <c r="U246" s="49">
        <f ca="1">MAX(Loango_II!CA_cost_recovered_total-Loango_II!CA_cost_stop,0)</f>
        <v>118.99343370083943</v>
      </c>
      <c r="V246" s="49">
        <f ca="1">MAX(Loango_II!CA_cost_recovered_total-Loango_II!CA_cost_stop,0)</f>
        <v>112.87717120861623</v>
      </c>
      <c r="W246" s="49">
        <f ca="1">MAX(Loango_II!CA_cost_recovered_total-Loango_II!CA_cost_stop,0)</f>
        <v>107.36864155262623</v>
      </c>
      <c r="X246" s="49">
        <f ca="1">MAX(Loango_II!CA_cost_recovered_total-Loango_II!CA_cost_stop,0)</f>
        <v>101.57161497961681</v>
      </c>
      <c r="Y246" s="49">
        <f ca="1">MAX(Loango_II!CA_cost_recovered_total-Loango_II!CA_cost_stop,0)</f>
        <v>0</v>
      </c>
      <c r="Z246" s="49">
        <f ca="1">MAX(Loango_II!CA_cost_recovered_total-Loango_II!CA_cost_stop,0)</f>
        <v>0</v>
      </c>
      <c r="AA246" s="49">
        <f ca="1">MAX(Loango_II!CA_cost_recovered_total-Loango_II!CA_cost_stop,0)</f>
        <v>0</v>
      </c>
      <c r="AB246" s="49">
        <f ca="1">MAX(Loango_II!CA_cost_recovered_total-Loango_II!CA_cost_stop,0)</f>
        <v>0</v>
      </c>
      <c r="AC246" s="49">
        <f ca="1">MAX(Loango_II!CA_cost_recovered_total-Loango_II!CA_cost_stop,0)</f>
        <v>0</v>
      </c>
      <c r="AD246" s="49">
        <f ca="1">MAX(Loango_II!CA_cost_recovered_total-Loango_II!CA_cost_stop,0)</f>
        <v>0</v>
      </c>
      <c r="AE246" s="49">
        <f ca="1">MAX(Loango_II!CA_cost_recovered_total-Loango_II!CA_cost_stop,0)</f>
        <v>0</v>
      </c>
      <c r="AF246" s="49">
        <f ca="1">MAX(Loango_II!CA_cost_recovered_total-Loango_II!CA_cost_stop,0)</f>
        <v>0</v>
      </c>
      <c r="AG246" s="49">
        <f ca="1">MAX(Loango_II!CA_cost_recovered_total-Loango_II!CA_cost_stop,0)</f>
        <v>0</v>
      </c>
      <c r="AH246" s="49">
        <f ca="1">MAX(Loango_II!CA_cost_recovered_total-Loango_II!CA_cost_stop,0)</f>
        <v>0</v>
      </c>
      <c r="AI246" s="49">
        <f ca="1">MAX(Loango_II!CA_cost_recovered_total-Loango_II!CA_cost_stop,0)</f>
        <v>0</v>
      </c>
      <c r="AJ246" s="49">
        <f ca="1">MAX(Loango_II!CA_cost_recovered_total-Loango_II!CA_cost_stop,0)</f>
        <v>0</v>
      </c>
      <c r="AK246" s="49">
        <f ca="1">MAX(Loango_II!CA_cost_recovered_total-Loango_II!CA_cost_stop,0)</f>
        <v>0</v>
      </c>
      <c r="AL246" s="49">
        <f ca="1">MAX(Loango_II!CA_cost_recovered_total-Loango_II!CA_cost_stop,0)</f>
        <v>0</v>
      </c>
      <c r="AM246" s="49">
        <f ca="1">MAX(Loango_II!CA_cost_recovered_total-Loango_II!CA_cost_stop,0)</f>
        <v>0</v>
      </c>
      <c r="AN246" s="49">
        <f ca="1">MAX(Loango_II!CA_cost_recovered_total-Loango_II!CA_cost_stop,0)</f>
        <v>0</v>
      </c>
      <c r="AO246" s="49">
        <f ca="1">MAX(Loango_II!CA_cost_recovered_total-Loango_II!CA_cost_stop,0)</f>
        <v>0</v>
      </c>
      <c r="AP246" s="49">
        <f ca="1">MAX(Loango_II!CA_cost_recovered_total-Loango_II!CA_cost_stop,0)</f>
        <v>0</v>
      </c>
      <c r="AQ246" s="49">
        <f ca="1">MAX(Loango_II!CA_cost_recovered_total-Loango_II!CA_cost_stop,0)</f>
        <v>0</v>
      </c>
      <c r="AR246" s="49">
        <f ca="1">MAX(Loango_II!CA_cost_recovered_total-Loango_II!CA_cost_stop,0)</f>
        <v>0</v>
      </c>
      <c r="AS246" s="49">
        <f ca="1">MAX(Loango_II!CA_cost_recovered_total-Loango_II!CA_cost_stop,0)</f>
        <v>0</v>
      </c>
      <c r="AT246" s="49">
        <f ca="1">MAX(Loango_II!CA_cost_recovered_total-Loango_II!CA_cost_stop,0)</f>
        <v>0</v>
      </c>
      <c r="AU246" s="49">
        <f ca="1">MAX(Loango_II!CA_cost_recovered_total-Loango_II!CA_cost_stop,0)</f>
        <v>0</v>
      </c>
      <c r="AV246" s="49">
        <f ca="1">MAX(Loango_II!CA_cost_recovered_total-Loango_II!CA_cost_stop,0)</f>
        <v>0</v>
      </c>
      <c r="AW246" s="49">
        <f ca="1">MAX(Loango_II!CA_cost_recovered_total-Loango_II!CA_cost_stop,0)</f>
        <v>0</v>
      </c>
      <c r="AX246" s="49">
        <f ca="1">MAX(Loango_II!CA_cost_recovered_total-Loango_II!CA_cost_stop,0)</f>
        <v>0</v>
      </c>
      <c r="AY246" s="49">
        <f ca="1">MAX(Loango_II!CA_cost_recovered_total-Loango_II!CA_cost_stop,0)</f>
        <v>0</v>
      </c>
      <c r="AZ246" s="49">
        <f ca="1">MAX(Loango_II!CA_cost_recovered_total-Loango_II!CA_cost_stop,0)</f>
        <v>0</v>
      </c>
      <c r="BA246" s="49">
        <f ca="1">MAX(Loango_II!CA_cost_recovered_total-Loango_II!CA_cost_stop,0)</f>
        <v>0</v>
      </c>
      <c r="BB246" s="49">
        <f ca="1">MAX(Loango_II!CA_cost_recovered_total-Loango_II!CA_cost_stop,0)</f>
        <v>0</v>
      </c>
      <c r="BC246" s="49">
        <f ca="1">MAX(Loango_II!CA_cost_recovered_total-Loango_II!CA_cost_stop,0)</f>
        <v>0</v>
      </c>
      <c r="BD246" s="49">
        <f ca="1">MAX(Loango_II!CA_cost_recovered_total-Loango_II!CA_cost_stop,0)</f>
        <v>0</v>
      </c>
      <c r="BE246" s="49">
        <f ca="1">MAX(Loango_II!CA_cost_recovered_total-Loango_II!CA_cost_stop,0)</f>
        <v>0</v>
      </c>
      <c r="BF246" s="49">
        <f ca="1">MAX(Loango_II!CA_cost_recovered_total-Loango_II!CA_cost_stop,0)</f>
        <v>0</v>
      </c>
      <c r="BG246" s="49">
        <f ca="1">MAX(Loango_II!CA_cost_recovered_total-Loango_II!CA_cost_stop,0)</f>
        <v>0</v>
      </c>
      <c r="BH246" s="49">
        <f ca="1">MAX(Loango_II!CA_cost_recovered_total-Loango_II!CA_cost_stop,0)</f>
        <v>0</v>
      </c>
      <c r="BI246" s="49">
        <f ca="1">MAX(Loango_II!CA_cost_recovered_total-Loango_II!CA_cost_stop,0)</f>
        <v>0</v>
      </c>
      <c r="BJ246" s="49">
        <f ca="1">MAX(Loango_II!CA_cost_recovered_total-Loango_II!CA_cost_stop,0)</f>
        <v>0</v>
      </c>
      <c r="BK246" s="49">
        <f ca="1">MAX(Loango_II!CA_cost_recovered_total-Loango_II!CA_cost_stop,0)</f>
        <v>0</v>
      </c>
      <c r="BL246" s="49">
        <f ca="1">MAX(Loango_II!CA_cost_recovered_total-Loango_II!CA_cost_stop,0)</f>
        <v>0</v>
      </c>
      <c r="BM246" s="49">
        <f ca="1">MAX(Loango_II!CA_cost_recovered_total-Loango_II!CA_cost_stop,0)</f>
        <v>0</v>
      </c>
      <c r="BN246" s="49">
        <f ca="1">MAX(Loango_II!CA_cost_recovered_total-Loango_II!CA_cost_stop,0)</f>
        <v>0</v>
      </c>
      <c r="BO246" s="49">
        <f ca="1">MAX(Loango_II!CA_cost_recovered_total-Loango_II!CA_cost_stop,0)</f>
        <v>0</v>
      </c>
      <c r="BP246" s="49">
        <f ca="1">MAX(Loango_II!CA_cost_recovered_total-Loango_II!CA_cost_stop,0)</f>
        <v>0</v>
      </c>
      <c r="BQ246" s="49">
        <f ca="1">MAX(Loango_II!CA_cost_recovered_total-Loango_II!CA_cost_stop,0)</f>
        <v>0</v>
      </c>
      <c r="BR246" s="49">
        <f ca="1">MAX(Loango_II!CA_cost_recovered_total-Loango_II!CA_cost_stop,0)</f>
        <v>0</v>
      </c>
      <c r="BS246" s="49">
        <f ca="1">MAX(Loango_II!CA_cost_recovered_total-Loango_II!CA_cost_stop,0)</f>
        <v>0</v>
      </c>
    </row>
    <row r="247" spans="3:71" outlineLevel="1" x14ac:dyDescent="0.2">
      <c r="J247" s="26"/>
      <c r="L247" s="55"/>
      <c r="M247" s="55"/>
      <c r="N247" s="55"/>
      <c r="O247" s="55"/>
      <c r="P247" s="55"/>
      <c r="Q247" s="55"/>
      <c r="R247" s="55"/>
      <c r="S247" s="55"/>
      <c r="T247" s="55"/>
      <c r="U247" s="55"/>
      <c r="V247" s="55"/>
      <c r="W247" s="55"/>
      <c r="X247" s="55"/>
      <c r="Y247" s="55"/>
      <c r="Z247" s="55"/>
      <c r="AA247" s="55"/>
      <c r="AB247" s="55"/>
      <c r="AC247" s="55"/>
      <c r="AD247" s="55"/>
      <c r="AE247" s="55"/>
      <c r="AF247" s="55"/>
      <c r="AG247" s="55"/>
      <c r="AH247" s="55"/>
      <c r="AI247" s="55"/>
      <c r="AJ247" s="55"/>
      <c r="AK247" s="55"/>
      <c r="AL247" s="55"/>
      <c r="AM247" s="55"/>
      <c r="AN247" s="55"/>
      <c r="AO247" s="55"/>
      <c r="AP247" s="55"/>
      <c r="AQ247" s="55"/>
      <c r="AR247" s="55"/>
      <c r="AS247" s="55"/>
      <c r="AT247" s="55"/>
      <c r="AU247" s="55"/>
      <c r="AV247" s="55"/>
      <c r="AW247" s="55"/>
      <c r="AX247" s="55"/>
      <c r="AY247" s="55"/>
      <c r="AZ247" s="55"/>
      <c r="BA247" s="55"/>
      <c r="BB247" s="55"/>
      <c r="BC247" s="55"/>
      <c r="BD247" s="55"/>
      <c r="BE247" s="55"/>
      <c r="BF247" s="55"/>
      <c r="BG247" s="55"/>
      <c r="BH247" s="55"/>
      <c r="BI247" s="55"/>
      <c r="BJ247" s="55"/>
      <c r="BK247" s="55"/>
      <c r="BL247" s="55"/>
      <c r="BM247" s="55"/>
      <c r="BN247" s="55"/>
      <c r="BO247" s="55"/>
      <c r="BP247" s="55"/>
      <c r="BQ247" s="55"/>
      <c r="BR247" s="55"/>
      <c r="BS247" s="55"/>
    </row>
    <row r="248" spans="3:71" outlineLevel="1" x14ac:dyDescent="0.2">
      <c r="D248" t="s">
        <v>310</v>
      </c>
      <c r="I248" s="30">
        <f t="shared" ref="I248:I251" ca="1" si="46">SUM($L248:$BS248)</f>
        <v>2705.8592333866445</v>
      </c>
      <c r="J248" s="26" t="s">
        <v>148</v>
      </c>
      <c r="K248" s="7" t="s">
        <v>221</v>
      </c>
      <c r="L248" s="49">
        <f t="shared" ref="L248:BS248" ca="1" si="47">MAX(L242-L244-L246,0)</f>
        <v>93.917833171168468</v>
      </c>
      <c r="M248" s="49">
        <f t="shared" ca="1" si="47"/>
        <v>38.119951818723507</v>
      </c>
      <c r="N248" s="49">
        <f t="shared" ca="1" si="47"/>
        <v>0</v>
      </c>
      <c r="O248" s="49">
        <f t="shared" ca="1" si="47"/>
        <v>0</v>
      </c>
      <c r="P248" s="49">
        <f t="shared" ca="1" si="47"/>
        <v>0</v>
      </c>
      <c r="Q248" s="49">
        <f t="shared" ca="1" si="47"/>
        <v>0</v>
      </c>
      <c r="R248" s="49">
        <f t="shared" ca="1" si="47"/>
        <v>459.51180766609986</v>
      </c>
      <c r="S248" s="49">
        <f t="shared" ca="1" si="47"/>
        <v>136.50020401859999</v>
      </c>
      <c r="T248" s="49">
        <f t="shared" ca="1" si="47"/>
        <v>413.24130877813633</v>
      </c>
      <c r="U248" s="49">
        <f t="shared" ca="1" si="47"/>
        <v>422.34289144523268</v>
      </c>
      <c r="V248" s="49">
        <f t="shared" ca="1" si="47"/>
        <v>400.63446682494782</v>
      </c>
      <c r="W248" s="49">
        <f t="shared" ca="1" si="47"/>
        <v>381.0830657924198</v>
      </c>
      <c r="X248" s="49">
        <f t="shared" ca="1" si="47"/>
        <v>360.50770387131593</v>
      </c>
      <c r="Y248" s="49">
        <f t="shared" ca="1" si="47"/>
        <v>0</v>
      </c>
      <c r="Z248" s="49">
        <f t="shared" ca="1" si="47"/>
        <v>0</v>
      </c>
      <c r="AA248" s="49">
        <f t="shared" ca="1" si="47"/>
        <v>0</v>
      </c>
      <c r="AB248" s="49">
        <f t="shared" ca="1" si="47"/>
        <v>0</v>
      </c>
      <c r="AC248" s="49">
        <f t="shared" ca="1" si="47"/>
        <v>0</v>
      </c>
      <c r="AD248" s="49">
        <f t="shared" ca="1" si="47"/>
        <v>0</v>
      </c>
      <c r="AE248" s="49">
        <f t="shared" ca="1" si="47"/>
        <v>0</v>
      </c>
      <c r="AF248" s="49">
        <f t="shared" ca="1" si="47"/>
        <v>0</v>
      </c>
      <c r="AG248" s="49">
        <f t="shared" ca="1" si="47"/>
        <v>0</v>
      </c>
      <c r="AH248" s="49">
        <f t="shared" ca="1" si="47"/>
        <v>0</v>
      </c>
      <c r="AI248" s="49">
        <f t="shared" ca="1" si="47"/>
        <v>0</v>
      </c>
      <c r="AJ248" s="49">
        <f t="shared" ca="1" si="47"/>
        <v>0</v>
      </c>
      <c r="AK248" s="49">
        <f t="shared" ca="1" si="47"/>
        <v>0</v>
      </c>
      <c r="AL248" s="49">
        <f t="shared" ca="1" si="47"/>
        <v>0</v>
      </c>
      <c r="AM248" s="49">
        <f t="shared" ca="1" si="47"/>
        <v>0</v>
      </c>
      <c r="AN248" s="49">
        <f t="shared" ca="1" si="47"/>
        <v>0</v>
      </c>
      <c r="AO248" s="49">
        <f t="shared" ca="1" si="47"/>
        <v>0</v>
      </c>
      <c r="AP248" s="49">
        <f t="shared" ca="1" si="47"/>
        <v>0</v>
      </c>
      <c r="AQ248" s="49">
        <f t="shared" ca="1" si="47"/>
        <v>0</v>
      </c>
      <c r="AR248" s="49">
        <f t="shared" ca="1" si="47"/>
        <v>0</v>
      </c>
      <c r="AS248" s="49">
        <f t="shared" ca="1" si="47"/>
        <v>0</v>
      </c>
      <c r="AT248" s="49">
        <f t="shared" ca="1" si="47"/>
        <v>0</v>
      </c>
      <c r="AU248" s="49">
        <f t="shared" ca="1" si="47"/>
        <v>0</v>
      </c>
      <c r="AV248" s="49">
        <f t="shared" ca="1" si="47"/>
        <v>0</v>
      </c>
      <c r="AW248" s="49">
        <f t="shared" ca="1" si="47"/>
        <v>0</v>
      </c>
      <c r="AX248" s="49">
        <f t="shared" ca="1" si="47"/>
        <v>0</v>
      </c>
      <c r="AY248" s="49">
        <f t="shared" ca="1" si="47"/>
        <v>0</v>
      </c>
      <c r="AZ248" s="49">
        <f t="shared" ca="1" si="47"/>
        <v>0</v>
      </c>
      <c r="BA248" s="49">
        <f t="shared" ca="1" si="47"/>
        <v>0</v>
      </c>
      <c r="BB248" s="49">
        <f t="shared" ca="1" si="47"/>
        <v>0</v>
      </c>
      <c r="BC248" s="49">
        <f t="shared" ca="1" si="47"/>
        <v>0</v>
      </c>
      <c r="BD248" s="49">
        <f t="shared" ca="1" si="47"/>
        <v>0</v>
      </c>
      <c r="BE248" s="49">
        <f t="shared" ca="1" si="47"/>
        <v>0</v>
      </c>
      <c r="BF248" s="49">
        <f t="shared" ca="1" si="47"/>
        <v>0</v>
      </c>
      <c r="BG248" s="49">
        <f t="shared" ca="1" si="47"/>
        <v>0</v>
      </c>
      <c r="BH248" s="49">
        <f t="shared" ca="1" si="47"/>
        <v>0</v>
      </c>
      <c r="BI248" s="49">
        <f t="shared" ca="1" si="47"/>
        <v>0</v>
      </c>
      <c r="BJ248" s="49">
        <f t="shared" ca="1" si="47"/>
        <v>0</v>
      </c>
      <c r="BK248" s="49">
        <f t="shared" ca="1" si="47"/>
        <v>0</v>
      </c>
      <c r="BL248" s="49">
        <f t="shared" ca="1" si="47"/>
        <v>0</v>
      </c>
      <c r="BM248" s="49">
        <f t="shared" ca="1" si="47"/>
        <v>0</v>
      </c>
      <c r="BN248" s="49">
        <f t="shared" ca="1" si="47"/>
        <v>0</v>
      </c>
      <c r="BO248" s="49">
        <f t="shared" ca="1" si="47"/>
        <v>0</v>
      </c>
      <c r="BP248" s="49">
        <f t="shared" ca="1" si="47"/>
        <v>0</v>
      </c>
      <c r="BQ248" s="49">
        <f t="shared" ca="1" si="47"/>
        <v>0</v>
      </c>
      <c r="BR248" s="49">
        <f t="shared" ca="1" si="47"/>
        <v>0</v>
      </c>
      <c r="BS248" s="49">
        <f t="shared" ca="1" si="47"/>
        <v>0</v>
      </c>
    </row>
    <row r="249" spans="3:71" outlineLevel="1" x14ac:dyDescent="0.2">
      <c r="J249" s="26"/>
      <c r="L249" s="55"/>
      <c r="M249" s="55"/>
      <c r="N249" s="55"/>
      <c r="O249" s="55"/>
      <c r="P249" s="55"/>
      <c r="Q249" s="55"/>
      <c r="R249" s="55"/>
      <c r="S249" s="55"/>
      <c r="T249" s="55"/>
      <c r="U249" s="55"/>
      <c r="V249" s="55"/>
      <c r="W249" s="55"/>
      <c r="X249" s="55"/>
      <c r="Y249" s="55"/>
      <c r="Z249" s="55"/>
      <c r="AA249" s="55"/>
      <c r="AB249" s="55"/>
      <c r="AC249" s="55"/>
      <c r="AD249" s="55"/>
      <c r="AE249" s="55"/>
      <c r="AF249" s="55"/>
      <c r="AG249" s="55"/>
      <c r="AH249" s="55"/>
      <c r="AI249" s="55"/>
      <c r="AJ249" s="55"/>
      <c r="AK249" s="55"/>
      <c r="AL249" s="55"/>
      <c r="AM249" s="55"/>
      <c r="AN249" s="55"/>
      <c r="AO249" s="55"/>
      <c r="AP249" s="55"/>
      <c r="AQ249" s="55"/>
      <c r="AR249" s="55"/>
      <c r="AS249" s="55"/>
      <c r="AT249" s="55"/>
      <c r="AU249" s="55"/>
      <c r="AV249" s="55"/>
      <c r="AW249" s="55"/>
      <c r="AX249" s="55"/>
      <c r="AY249" s="55"/>
      <c r="AZ249" s="55"/>
      <c r="BA249" s="55"/>
      <c r="BB249" s="55"/>
      <c r="BC249" s="55"/>
      <c r="BD249" s="55"/>
      <c r="BE249" s="55"/>
      <c r="BF249" s="55"/>
      <c r="BG249" s="55"/>
      <c r="BH249" s="55"/>
      <c r="BI249" s="55"/>
      <c r="BJ249" s="55"/>
      <c r="BK249" s="55"/>
      <c r="BL249" s="55"/>
      <c r="BM249" s="55"/>
      <c r="BN249" s="55"/>
      <c r="BO249" s="55"/>
      <c r="BP249" s="55"/>
      <c r="BQ249" s="55"/>
      <c r="BR249" s="55"/>
      <c r="BS249" s="55"/>
    </row>
    <row r="250" spans="3:71" outlineLevel="1" x14ac:dyDescent="0.2">
      <c r="D250" s="11" t="s">
        <v>222</v>
      </c>
      <c r="I250" s="30">
        <f t="shared" ca="1" si="46"/>
        <v>890.32850856490973</v>
      </c>
      <c r="J250" s="26" t="s">
        <v>148</v>
      </c>
      <c r="K250" s="7" t="s">
        <v>224</v>
      </c>
      <c r="L250" s="49">
        <f ca="1">INDEX(Loango_II!FA_SPO_cont_rate,MATCH(Loango_II!CA_cum_gross_prod_oil,Loango_II!FA_SPO_cumprod_oil,1))*Loango_II!CA_rev_for_SPO</f>
        <v>31.932063278197276</v>
      </c>
      <c r="M250" s="49">
        <f ca="1">INDEX(Loango_II!FA_SPO_cont_rate,MATCH(Loango_II!CA_cum_gross_prod_oil,Loango_II!FA_SPO_cumprod_oil,1))*Loango_II!CA_rev_for_SPO</f>
        <v>12.960783618365991</v>
      </c>
      <c r="N250" s="49">
        <f ca="1">INDEX(Loango_II!FA_SPO_cont_rate,MATCH(Loango_II!CA_cum_gross_prod_oil,Loango_II!FA_SPO_cumprod_oil,1))*Loango_II!CA_rev_for_SPO</f>
        <v>0</v>
      </c>
      <c r="O250" s="49">
        <f ca="1">INDEX(Loango_II!FA_SPO_cont_rate,MATCH(Loango_II!CA_cum_gross_prod_oil,Loango_II!FA_SPO_cumprod_oil,1))*Loango_II!CA_rev_for_SPO</f>
        <v>0</v>
      </c>
      <c r="P250" s="49">
        <f ca="1">INDEX(Loango_II!FA_SPO_cont_rate,MATCH(Loango_II!CA_cum_gross_prod_oil,Loango_II!FA_SPO_cumprod_oil,1))*Loango_II!CA_rev_for_SPO</f>
        <v>0</v>
      </c>
      <c r="Q250" s="49">
        <f ca="1">INDEX(Loango_II!FA_SPO_cont_rate,MATCH(Loango_II!CA_cum_gross_prod_oil,Loango_II!FA_SPO_cumprod_oil,1))*Loango_II!CA_rev_for_SPO</f>
        <v>0</v>
      </c>
      <c r="R250" s="49">
        <f ca="1">INDEX(Loango_II!FA_SPO_cont_rate,MATCH(Loango_II!CA_cum_gross_prod_oil,Loango_II!FA_SPO_cumprod_oil,1))*Loango_II!CA_rev_for_SPO</f>
        <v>156.23401460647395</v>
      </c>
      <c r="S250" s="49">
        <f ca="1">INDEX(Loango_II!FA_SPO_cont_rate,MATCH(Loango_II!CA_cum_gross_prod_oil,Loango_II!FA_SPO_cumprod_oil,1))*Loango_II!CA_rev_for_SPO</f>
        <v>46.410069366323988</v>
      </c>
      <c r="T250" s="49">
        <f ca="1">INDEX(Loango_II!FA_SPO_cont_rate,MATCH(Loango_II!CA_cum_gross_prod_oil,Loango_II!FA_SPO_cumprod_oil,1))*Loango_II!CA_rev_for_SPO</f>
        <v>140.50204498456634</v>
      </c>
      <c r="U250" s="49">
        <f ca="1">INDEX(Loango_II!FA_SPO_cont_rate,MATCH(Loango_II!CA_cum_gross_prod_oil,Loango_II!FA_SPO_cumprod_oil,1))*Loango_II!CA_rev_for_SPO</f>
        <v>143.5965830913791</v>
      </c>
      <c r="V250" s="49">
        <f ca="1">INDEX(Loango_II!FA_SPO_cont_rate,MATCH(Loango_II!CA_cum_gross_prod_oil,Loango_II!FA_SPO_cumprod_oil,1))*Loango_II!CA_rev_for_SPO</f>
        <v>136.21571872048224</v>
      </c>
      <c r="W250" s="49">
        <f ca="1">INDEX(Loango_II!FA_SPO_cont_rate,MATCH(Loango_II!CA_cum_gross_prod_oil,Loango_II!FA_SPO_cumprod_oil,1))*Loango_II!CA_rev_for_SPO</f>
        <v>114.32491973772596</v>
      </c>
      <c r="X250" s="49">
        <f ca="1">INDEX(Loango_II!FA_SPO_cont_rate,MATCH(Loango_II!CA_cum_gross_prod_oil,Loango_II!FA_SPO_cumprod_oil,1))*Loango_II!CA_rev_for_SPO</f>
        <v>108.15231116139479</v>
      </c>
      <c r="Y250" s="49">
        <f ca="1">INDEX(Loango_II!FA_SPO_cont_rate,MATCH(Loango_II!CA_cum_gross_prod_oil,Loango_II!FA_SPO_cumprod_oil,1))*Loango_II!CA_rev_for_SPO</f>
        <v>0</v>
      </c>
      <c r="Z250" s="49">
        <f ca="1">INDEX(Loango_II!FA_SPO_cont_rate,MATCH(Loango_II!CA_cum_gross_prod_oil,Loango_II!FA_SPO_cumprod_oil,1))*Loango_II!CA_rev_for_SPO</f>
        <v>0</v>
      </c>
      <c r="AA250" s="49">
        <f ca="1">INDEX(Loango_II!FA_SPO_cont_rate,MATCH(Loango_II!CA_cum_gross_prod_oil,Loango_II!FA_SPO_cumprod_oil,1))*Loango_II!CA_rev_for_SPO</f>
        <v>0</v>
      </c>
      <c r="AB250" s="49">
        <f ca="1">INDEX(Loango_II!FA_SPO_cont_rate,MATCH(Loango_II!CA_cum_gross_prod_oil,Loango_II!FA_SPO_cumprod_oil,1))*Loango_II!CA_rev_for_SPO</f>
        <v>0</v>
      </c>
      <c r="AC250" s="49">
        <f ca="1">INDEX(Loango_II!FA_SPO_cont_rate,MATCH(Loango_II!CA_cum_gross_prod_oil,Loango_II!FA_SPO_cumprod_oil,1))*Loango_II!CA_rev_for_SPO</f>
        <v>0</v>
      </c>
      <c r="AD250" s="49">
        <f ca="1">INDEX(Loango_II!FA_SPO_cont_rate,MATCH(Loango_II!CA_cum_gross_prod_oil,Loango_II!FA_SPO_cumprod_oil,1))*Loango_II!CA_rev_for_SPO</f>
        <v>0</v>
      </c>
      <c r="AE250" s="49">
        <f ca="1">INDEX(Loango_II!FA_SPO_cont_rate,MATCH(Loango_II!CA_cum_gross_prod_oil,Loango_II!FA_SPO_cumprod_oil,1))*Loango_II!CA_rev_for_SPO</f>
        <v>0</v>
      </c>
      <c r="AF250" s="49">
        <f ca="1">INDEX(Loango_II!FA_SPO_cont_rate,MATCH(Loango_II!CA_cum_gross_prod_oil,Loango_II!FA_SPO_cumprod_oil,1))*Loango_II!CA_rev_for_SPO</f>
        <v>0</v>
      </c>
      <c r="AG250" s="49">
        <f ca="1">INDEX(Loango_II!FA_SPO_cont_rate,MATCH(Loango_II!CA_cum_gross_prod_oil,Loango_II!FA_SPO_cumprod_oil,1))*Loango_II!CA_rev_for_SPO</f>
        <v>0</v>
      </c>
      <c r="AH250" s="49">
        <f ca="1">INDEX(Loango_II!FA_SPO_cont_rate,MATCH(Loango_II!CA_cum_gross_prod_oil,Loango_II!FA_SPO_cumprod_oil,1))*Loango_II!CA_rev_for_SPO</f>
        <v>0</v>
      </c>
      <c r="AI250" s="49">
        <f ca="1">INDEX(Loango_II!FA_SPO_cont_rate,MATCH(Loango_II!CA_cum_gross_prod_oil,Loango_II!FA_SPO_cumprod_oil,1))*Loango_II!CA_rev_for_SPO</f>
        <v>0</v>
      </c>
      <c r="AJ250" s="49">
        <f ca="1">INDEX(Loango_II!FA_SPO_cont_rate,MATCH(Loango_II!CA_cum_gross_prod_oil,Loango_II!FA_SPO_cumprod_oil,1))*Loango_II!CA_rev_for_SPO</f>
        <v>0</v>
      </c>
      <c r="AK250" s="49">
        <f ca="1">INDEX(Loango_II!FA_SPO_cont_rate,MATCH(Loango_II!CA_cum_gross_prod_oil,Loango_II!FA_SPO_cumprod_oil,1))*Loango_II!CA_rev_for_SPO</f>
        <v>0</v>
      </c>
      <c r="AL250" s="49">
        <f ca="1">INDEX(Loango_II!FA_SPO_cont_rate,MATCH(Loango_II!CA_cum_gross_prod_oil,Loango_II!FA_SPO_cumprod_oil,1))*Loango_II!CA_rev_for_SPO</f>
        <v>0</v>
      </c>
      <c r="AM250" s="49">
        <f ca="1">INDEX(Loango_II!FA_SPO_cont_rate,MATCH(Loango_II!CA_cum_gross_prod_oil,Loango_II!FA_SPO_cumprod_oil,1))*Loango_II!CA_rev_for_SPO</f>
        <v>0</v>
      </c>
      <c r="AN250" s="49">
        <f ca="1">INDEX(Loango_II!FA_SPO_cont_rate,MATCH(Loango_II!CA_cum_gross_prod_oil,Loango_II!FA_SPO_cumprod_oil,1))*Loango_II!CA_rev_for_SPO</f>
        <v>0</v>
      </c>
      <c r="AO250" s="49">
        <f ca="1">INDEX(Loango_II!FA_SPO_cont_rate,MATCH(Loango_II!CA_cum_gross_prod_oil,Loango_II!FA_SPO_cumprod_oil,1))*Loango_II!CA_rev_for_SPO</f>
        <v>0</v>
      </c>
      <c r="AP250" s="49">
        <f ca="1">INDEX(Loango_II!FA_SPO_cont_rate,MATCH(Loango_II!CA_cum_gross_prod_oil,Loango_II!FA_SPO_cumprod_oil,1))*Loango_II!CA_rev_for_SPO</f>
        <v>0</v>
      </c>
      <c r="AQ250" s="49">
        <f ca="1">INDEX(Loango_II!FA_SPO_cont_rate,MATCH(Loango_II!CA_cum_gross_prod_oil,Loango_II!FA_SPO_cumprod_oil,1))*Loango_II!CA_rev_for_SPO</f>
        <v>0</v>
      </c>
      <c r="AR250" s="49">
        <f ca="1">INDEX(Loango_II!FA_SPO_cont_rate,MATCH(Loango_II!CA_cum_gross_prod_oil,Loango_II!FA_SPO_cumprod_oil,1))*Loango_II!CA_rev_for_SPO</f>
        <v>0</v>
      </c>
      <c r="AS250" s="49">
        <f ca="1">INDEX(Loango_II!FA_SPO_cont_rate,MATCH(Loango_II!CA_cum_gross_prod_oil,Loango_II!FA_SPO_cumprod_oil,1))*Loango_II!CA_rev_for_SPO</f>
        <v>0</v>
      </c>
      <c r="AT250" s="49">
        <f ca="1">INDEX(Loango_II!FA_SPO_cont_rate,MATCH(Loango_II!CA_cum_gross_prod_oil,Loango_II!FA_SPO_cumprod_oil,1))*Loango_II!CA_rev_for_SPO</f>
        <v>0</v>
      </c>
      <c r="AU250" s="49">
        <f ca="1">INDEX(Loango_II!FA_SPO_cont_rate,MATCH(Loango_II!CA_cum_gross_prod_oil,Loango_II!FA_SPO_cumprod_oil,1))*Loango_II!CA_rev_for_SPO</f>
        <v>0</v>
      </c>
      <c r="AV250" s="49">
        <f ca="1">INDEX(Loango_II!FA_SPO_cont_rate,MATCH(Loango_II!CA_cum_gross_prod_oil,Loango_II!FA_SPO_cumprod_oil,1))*Loango_II!CA_rev_for_SPO</f>
        <v>0</v>
      </c>
      <c r="AW250" s="49">
        <f ca="1">INDEX(Loango_II!FA_SPO_cont_rate,MATCH(Loango_II!CA_cum_gross_prod_oil,Loango_II!FA_SPO_cumprod_oil,1))*Loango_II!CA_rev_for_SPO</f>
        <v>0</v>
      </c>
      <c r="AX250" s="49">
        <f ca="1">INDEX(Loango_II!FA_SPO_cont_rate,MATCH(Loango_II!CA_cum_gross_prod_oil,Loango_II!FA_SPO_cumprod_oil,1))*Loango_II!CA_rev_for_SPO</f>
        <v>0</v>
      </c>
      <c r="AY250" s="49">
        <f ca="1">INDEX(Loango_II!FA_SPO_cont_rate,MATCH(Loango_II!CA_cum_gross_prod_oil,Loango_II!FA_SPO_cumprod_oil,1))*Loango_II!CA_rev_for_SPO</f>
        <v>0</v>
      </c>
      <c r="AZ250" s="49">
        <f ca="1">INDEX(Loango_II!FA_SPO_cont_rate,MATCH(Loango_II!CA_cum_gross_prod_oil,Loango_II!FA_SPO_cumprod_oil,1))*Loango_II!CA_rev_for_SPO</f>
        <v>0</v>
      </c>
      <c r="BA250" s="49">
        <f ca="1">INDEX(Loango_II!FA_SPO_cont_rate,MATCH(Loango_II!CA_cum_gross_prod_oil,Loango_II!FA_SPO_cumprod_oil,1))*Loango_II!CA_rev_for_SPO</f>
        <v>0</v>
      </c>
      <c r="BB250" s="49">
        <f ca="1">INDEX(Loango_II!FA_SPO_cont_rate,MATCH(Loango_II!CA_cum_gross_prod_oil,Loango_II!FA_SPO_cumprod_oil,1))*Loango_II!CA_rev_for_SPO</f>
        <v>0</v>
      </c>
      <c r="BC250" s="49">
        <f ca="1">INDEX(Loango_II!FA_SPO_cont_rate,MATCH(Loango_II!CA_cum_gross_prod_oil,Loango_II!FA_SPO_cumprod_oil,1))*Loango_II!CA_rev_for_SPO</f>
        <v>0</v>
      </c>
      <c r="BD250" s="49">
        <f ca="1">INDEX(Loango_II!FA_SPO_cont_rate,MATCH(Loango_II!CA_cum_gross_prod_oil,Loango_II!FA_SPO_cumprod_oil,1))*Loango_II!CA_rev_for_SPO</f>
        <v>0</v>
      </c>
      <c r="BE250" s="49">
        <f ca="1">INDEX(Loango_II!FA_SPO_cont_rate,MATCH(Loango_II!CA_cum_gross_prod_oil,Loango_II!FA_SPO_cumprod_oil,1))*Loango_II!CA_rev_for_SPO</f>
        <v>0</v>
      </c>
      <c r="BF250" s="49">
        <f ca="1">INDEX(Loango_II!FA_SPO_cont_rate,MATCH(Loango_II!CA_cum_gross_prod_oil,Loango_II!FA_SPO_cumprod_oil,1))*Loango_II!CA_rev_for_SPO</f>
        <v>0</v>
      </c>
      <c r="BG250" s="49">
        <f ca="1">INDEX(Loango_II!FA_SPO_cont_rate,MATCH(Loango_II!CA_cum_gross_prod_oil,Loango_II!FA_SPO_cumprod_oil,1))*Loango_II!CA_rev_for_SPO</f>
        <v>0</v>
      </c>
      <c r="BH250" s="49">
        <f ca="1">INDEX(Loango_II!FA_SPO_cont_rate,MATCH(Loango_II!CA_cum_gross_prod_oil,Loango_II!FA_SPO_cumprod_oil,1))*Loango_II!CA_rev_for_SPO</f>
        <v>0</v>
      </c>
      <c r="BI250" s="49">
        <f ca="1">INDEX(Loango_II!FA_SPO_cont_rate,MATCH(Loango_II!CA_cum_gross_prod_oil,Loango_II!FA_SPO_cumprod_oil,1))*Loango_II!CA_rev_for_SPO</f>
        <v>0</v>
      </c>
      <c r="BJ250" s="49">
        <f ca="1">INDEX(Loango_II!FA_SPO_cont_rate,MATCH(Loango_II!CA_cum_gross_prod_oil,Loango_II!FA_SPO_cumprod_oil,1))*Loango_II!CA_rev_for_SPO</f>
        <v>0</v>
      </c>
      <c r="BK250" s="49">
        <f ca="1">INDEX(Loango_II!FA_SPO_cont_rate,MATCH(Loango_II!CA_cum_gross_prod_oil,Loango_II!FA_SPO_cumprod_oil,1))*Loango_II!CA_rev_for_SPO</f>
        <v>0</v>
      </c>
      <c r="BL250" s="49">
        <f ca="1">INDEX(Loango_II!FA_SPO_cont_rate,MATCH(Loango_II!CA_cum_gross_prod_oil,Loango_II!FA_SPO_cumprod_oil,1))*Loango_II!CA_rev_for_SPO</f>
        <v>0</v>
      </c>
      <c r="BM250" s="49">
        <f ca="1">INDEX(Loango_II!FA_SPO_cont_rate,MATCH(Loango_II!CA_cum_gross_prod_oil,Loango_II!FA_SPO_cumprod_oil,1))*Loango_II!CA_rev_for_SPO</f>
        <v>0</v>
      </c>
      <c r="BN250" s="49">
        <f ca="1">INDEX(Loango_II!FA_SPO_cont_rate,MATCH(Loango_II!CA_cum_gross_prod_oil,Loango_II!FA_SPO_cumprod_oil,1))*Loango_II!CA_rev_for_SPO</f>
        <v>0</v>
      </c>
      <c r="BO250" s="49">
        <f ca="1">INDEX(Loango_II!FA_SPO_cont_rate,MATCH(Loango_II!CA_cum_gross_prod_oil,Loango_II!FA_SPO_cumprod_oil,1))*Loango_II!CA_rev_for_SPO</f>
        <v>0</v>
      </c>
      <c r="BP250" s="49">
        <f ca="1">INDEX(Loango_II!FA_SPO_cont_rate,MATCH(Loango_II!CA_cum_gross_prod_oil,Loango_II!FA_SPO_cumprod_oil,1))*Loango_II!CA_rev_for_SPO</f>
        <v>0</v>
      </c>
      <c r="BQ250" s="49">
        <f ca="1">INDEX(Loango_II!FA_SPO_cont_rate,MATCH(Loango_II!CA_cum_gross_prod_oil,Loango_II!FA_SPO_cumprod_oil,1))*Loango_II!CA_rev_for_SPO</f>
        <v>0</v>
      </c>
      <c r="BR250" s="49">
        <f ca="1">INDEX(Loango_II!FA_SPO_cont_rate,MATCH(Loango_II!CA_cum_gross_prod_oil,Loango_II!FA_SPO_cumprod_oil,1))*Loango_II!CA_rev_for_SPO</f>
        <v>0</v>
      </c>
      <c r="BS250" s="49">
        <f ca="1">INDEX(Loango_II!FA_SPO_cont_rate,MATCH(Loango_II!CA_cum_gross_prod_oil,Loango_II!FA_SPO_cumprod_oil,1))*Loango_II!CA_rev_for_SPO</f>
        <v>0</v>
      </c>
    </row>
    <row r="251" spans="3:71" outlineLevel="1" x14ac:dyDescent="0.2">
      <c r="D251" s="11" t="s">
        <v>223</v>
      </c>
      <c r="I251" s="30">
        <f t="shared" ca="1" si="46"/>
        <v>1815.5307248217346</v>
      </c>
      <c r="J251" s="26" t="s">
        <v>148</v>
      </c>
      <c r="K251" s="7" t="s">
        <v>225</v>
      </c>
      <c r="L251" s="49">
        <f ca="1">L248-L250</f>
        <v>61.985769892971192</v>
      </c>
      <c r="M251" s="49">
        <f t="shared" ref="M251:BS251" ca="1" si="48">M248-M250</f>
        <v>25.159168200357517</v>
      </c>
      <c r="N251" s="49">
        <f t="shared" ca="1" si="48"/>
        <v>0</v>
      </c>
      <c r="O251" s="49">
        <f t="shared" ca="1" si="48"/>
        <v>0</v>
      </c>
      <c r="P251" s="49">
        <f t="shared" ca="1" si="48"/>
        <v>0</v>
      </c>
      <c r="Q251" s="49">
        <f t="shared" ca="1" si="48"/>
        <v>0</v>
      </c>
      <c r="R251" s="49">
        <f t="shared" ca="1" si="48"/>
        <v>303.27779305962588</v>
      </c>
      <c r="S251" s="49">
        <f t="shared" ca="1" si="48"/>
        <v>90.090134652275992</v>
      </c>
      <c r="T251" s="49">
        <f t="shared" ca="1" si="48"/>
        <v>272.73926379356999</v>
      </c>
      <c r="U251" s="49">
        <f t="shared" ca="1" si="48"/>
        <v>278.74630835385358</v>
      </c>
      <c r="V251" s="49">
        <f t="shared" ca="1" si="48"/>
        <v>264.41874810446558</v>
      </c>
      <c r="W251" s="49">
        <f t="shared" ca="1" si="48"/>
        <v>266.75814605469384</v>
      </c>
      <c r="X251" s="49">
        <f t="shared" ca="1" si="48"/>
        <v>252.35539270992115</v>
      </c>
      <c r="Y251" s="49">
        <f t="shared" ca="1" si="48"/>
        <v>0</v>
      </c>
      <c r="Z251" s="49">
        <f t="shared" ca="1" si="48"/>
        <v>0</v>
      </c>
      <c r="AA251" s="49">
        <f t="shared" ca="1" si="48"/>
        <v>0</v>
      </c>
      <c r="AB251" s="49">
        <f t="shared" ca="1" si="48"/>
        <v>0</v>
      </c>
      <c r="AC251" s="49">
        <f t="shared" ca="1" si="48"/>
        <v>0</v>
      </c>
      <c r="AD251" s="49">
        <f t="shared" ca="1" si="48"/>
        <v>0</v>
      </c>
      <c r="AE251" s="49">
        <f t="shared" ca="1" si="48"/>
        <v>0</v>
      </c>
      <c r="AF251" s="49">
        <f t="shared" ca="1" si="48"/>
        <v>0</v>
      </c>
      <c r="AG251" s="49">
        <f t="shared" ca="1" si="48"/>
        <v>0</v>
      </c>
      <c r="AH251" s="49">
        <f t="shared" ca="1" si="48"/>
        <v>0</v>
      </c>
      <c r="AI251" s="49">
        <f t="shared" ca="1" si="48"/>
        <v>0</v>
      </c>
      <c r="AJ251" s="49">
        <f t="shared" ca="1" si="48"/>
        <v>0</v>
      </c>
      <c r="AK251" s="49">
        <f t="shared" ca="1" si="48"/>
        <v>0</v>
      </c>
      <c r="AL251" s="49">
        <f t="shared" ca="1" si="48"/>
        <v>0</v>
      </c>
      <c r="AM251" s="49">
        <f t="shared" ca="1" si="48"/>
        <v>0</v>
      </c>
      <c r="AN251" s="49">
        <f t="shared" ca="1" si="48"/>
        <v>0</v>
      </c>
      <c r="AO251" s="49">
        <f t="shared" ca="1" si="48"/>
        <v>0</v>
      </c>
      <c r="AP251" s="49">
        <f t="shared" ca="1" si="48"/>
        <v>0</v>
      </c>
      <c r="AQ251" s="49">
        <f t="shared" ca="1" si="48"/>
        <v>0</v>
      </c>
      <c r="AR251" s="49">
        <f t="shared" ca="1" si="48"/>
        <v>0</v>
      </c>
      <c r="AS251" s="49">
        <f t="shared" ca="1" si="48"/>
        <v>0</v>
      </c>
      <c r="AT251" s="49">
        <f t="shared" ca="1" si="48"/>
        <v>0</v>
      </c>
      <c r="AU251" s="49">
        <f t="shared" ca="1" si="48"/>
        <v>0</v>
      </c>
      <c r="AV251" s="49">
        <f t="shared" ca="1" si="48"/>
        <v>0</v>
      </c>
      <c r="AW251" s="49">
        <f t="shared" ca="1" si="48"/>
        <v>0</v>
      </c>
      <c r="AX251" s="49">
        <f t="shared" ca="1" si="48"/>
        <v>0</v>
      </c>
      <c r="AY251" s="49">
        <f t="shared" ca="1" si="48"/>
        <v>0</v>
      </c>
      <c r="AZ251" s="49">
        <f t="shared" ca="1" si="48"/>
        <v>0</v>
      </c>
      <c r="BA251" s="49">
        <f t="shared" ca="1" si="48"/>
        <v>0</v>
      </c>
      <c r="BB251" s="49">
        <f t="shared" ca="1" si="48"/>
        <v>0</v>
      </c>
      <c r="BC251" s="49">
        <f t="shared" ca="1" si="48"/>
        <v>0</v>
      </c>
      <c r="BD251" s="49">
        <f t="shared" ca="1" si="48"/>
        <v>0</v>
      </c>
      <c r="BE251" s="49">
        <f t="shared" ca="1" si="48"/>
        <v>0</v>
      </c>
      <c r="BF251" s="49">
        <f t="shared" ca="1" si="48"/>
        <v>0</v>
      </c>
      <c r="BG251" s="49">
        <f t="shared" ca="1" si="48"/>
        <v>0</v>
      </c>
      <c r="BH251" s="49">
        <f t="shared" ca="1" si="48"/>
        <v>0</v>
      </c>
      <c r="BI251" s="49">
        <f t="shared" ca="1" si="48"/>
        <v>0</v>
      </c>
      <c r="BJ251" s="49">
        <f t="shared" ca="1" si="48"/>
        <v>0</v>
      </c>
      <c r="BK251" s="49">
        <f t="shared" ca="1" si="48"/>
        <v>0</v>
      </c>
      <c r="BL251" s="49">
        <f t="shared" ca="1" si="48"/>
        <v>0</v>
      </c>
      <c r="BM251" s="49">
        <f t="shared" ca="1" si="48"/>
        <v>0</v>
      </c>
      <c r="BN251" s="49">
        <f t="shared" ca="1" si="48"/>
        <v>0</v>
      </c>
      <c r="BO251" s="49">
        <f t="shared" ca="1" si="48"/>
        <v>0</v>
      </c>
      <c r="BP251" s="49">
        <f t="shared" ca="1" si="48"/>
        <v>0</v>
      </c>
      <c r="BQ251" s="49">
        <f t="shared" ca="1" si="48"/>
        <v>0</v>
      </c>
      <c r="BR251" s="49">
        <f t="shared" ca="1" si="48"/>
        <v>0</v>
      </c>
      <c r="BS251" s="49">
        <f t="shared" ca="1" si="48"/>
        <v>0</v>
      </c>
    </row>
    <row r="252" spans="3:71" outlineLevel="1" x14ac:dyDescent="0.2">
      <c r="J252" s="26"/>
      <c r="L252" s="55"/>
      <c r="M252" s="55"/>
      <c r="N252" s="55"/>
      <c r="O252" s="55"/>
      <c r="P252" s="55"/>
      <c r="Q252" s="55"/>
      <c r="R252" s="55"/>
      <c r="S252" s="55"/>
      <c r="T252" s="55"/>
      <c r="U252" s="55"/>
      <c r="V252" s="55"/>
      <c r="W252" s="55"/>
      <c r="X252" s="55"/>
      <c r="Y252" s="55"/>
      <c r="Z252" s="55"/>
      <c r="AA252" s="55"/>
      <c r="AB252" s="55"/>
      <c r="AC252" s="55"/>
      <c r="AD252" s="55"/>
      <c r="AE252" s="55"/>
      <c r="AF252" s="55"/>
      <c r="AG252" s="55"/>
      <c r="AH252" s="55"/>
      <c r="AI252" s="55"/>
      <c r="AJ252" s="55"/>
      <c r="AK252" s="55"/>
      <c r="AL252" s="55"/>
      <c r="AM252" s="55"/>
      <c r="AN252" s="55"/>
      <c r="AO252" s="55"/>
      <c r="AP252" s="55"/>
      <c r="AQ252" s="55"/>
      <c r="AR252" s="55"/>
      <c r="AS252" s="55"/>
      <c r="AT252" s="55"/>
      <c r="AU252" s="55"/>
      <c r="AV252" s="55"/>
      <c r="AW252" s="55"/>
      <c r="AX252" s="55"/>
      <c r="AY252" s="55"/>
      <c r="AZ252" s="55"/>
      <c r="BA252" s="55"/>
      <c r="BB252" s="55"/>
      <c r="BC252" s="55"/>
      <c r="BD252" s="55"/>
      <c r="BE252" s="55"/>
      <c r="BF252" s="55"/>
      <c r="BG252" s="55"/>
      <c r="BH252" s="55"/>
      <c r="BI252" s="55"/>
      <c r="BJ252" s="55"/>
      <c r="BK252" s="55"/>
      <c r="BL252" s="55"/>
      <c r="BM252" s="55"/>
      <c r="BN252" s="55"/>
      <c r="BO252" s="55"/>
      <c r="BP252" s="55"/>
      <c r="BQ252" s="55"/>
      <c r="BR252" s="55"/>
      <c r="BS252" s="55"/>
    </row>
    <row r="253" spans="3:71" outlineLevel="1" x14ac:dyDescent="0.2">
      <c r="J253" s="26"/>
      <c r="L253" s="55"/>
      <c r="M253" s="55"/>
      <c r="N253" s="55"/>
      <c r="O253" s="55"/>
      <c r="P253" s="55"/>
      <c r="Q253" s="55"/>
      <c r="R253" s="55"/>
      <c r="S253" s="55"/>
      <c r="T253" s="55"/>
      <c r="U253" s="55"/>
      <c r="V253" s="55"/>
      <c r="W253" s="55"/>
      <c r="X253" s="55"/>
      <c r="Y253" s="55"/>
      <c r="Z253" s="55"/>
      <c r="AA253" s="55"/>
      <c r="AB253" s="55"/>
      <c r="AC253" s="55"/>
      <c r="AD253" s="55"/>
      <c r="AE253" s="55"/>
      <c r="AF253" s="55"/>
      <c r="AG253" s="55"/>
      <c r="AH253" s="55"/>
      <c r="AI253" s="55"/>
      <c r="AJ253" s="55"/>
      <c r="AK253" s="55"/>
      <c r="AL253" s="55"/>
      <c r="AM253" s="55"/>
      <c r="AN253" s="55"/>
      <c r="AO253" s="55"/>
      <c r="AP253" s="55"/>
      <c r="AQ253" s="55"/>
      <c r="AR253" s="55"/>
      <c r="AS253" s="55"/>
      <c r="AT253" s="55"/>
      <c r="AU253" s="55"/>
      <c r="AV253" s="55"/>
      <c r="AW253" s="55"/>
      <c r="AX253" s="55"/>
      <c r="AY253" s="55"/>
      <c r="AZ253" s="55"/>
      <c r="BA253" s="55"/>
      <c r="BB253" s="55"/>
      <c r="BC253" s="55"/>
      <c r="BD253" s="55"/>
      <c r="BE253" s="55"/>
      <c r="BF253" s="55"/>
      <c r="BG253" s="55"/>
      <c r="BH253" s="55"/>
      <c r="BI253" s="55"/>
      <c r="BJ253" s="55"/>
      <c r="BK253" s="55"/>
      <c r="BL253" s="55"/>
      <c r="BM253" s="55"/>
      <c r="BN253" s="55"/>
      <c r="BO253" s="55"/>
      <c r="BP253" s="55"/>
      <c r="BQ253" s="55"/>
      <c r="BR253" s="55"/>
      <c r="BS253" s="55"/>
    </row>
    <row r="254" spans="3:71" outlineLevel="1" x14ac:dyDescent="0.2">
      <c r="C254" s="11" t="s">
        <v>227</v>
      </c>
      <c r="J254" s="26"/>
      <c r="L254" s="55"/>
      <c r="M254" s="55"/>
      <c r="N254" s="55"/>
      <c r="O254" s="55"/>
      <c r="P254" s="55"/>
      <c r="Q254" s="55"/>
      <c r="R254" s="55"/>
      <c r="S254" s="55"/>
      <c r="T254" s="55"/>
      <c r="U254" s="55"/>
      <c r="V254" s="55"/>
      <c r="W254" s="55"/>
      <c r="X254" s="55"/>
      <c r="Y254" s="55"/>
      <c r="Z254" s="55"/>
      <c r="AA254" s="55"/>
      <c r="AB254" s="55"/>
      <c r="AC254" s="55"/>
      <c r="AD254" s="55"/>
      <c r="AE254" s="55"/>
      <c r="AF254" s="55"/>
      <c r="AG254" s="55"/>
      <c r="AH254" s="55"/>
      <c r="AI254" s="55"/>
      <c r="AJ254" s="55"/>
      <c r="AK254" s="55"/>
      <c r="AL254" s="55"/>
      <c r="AM254" s="55"/>
      <c r="AN254" s="55"/>
      <c r="AO254" s="55"/>
      <c r="AP254" s="55"/>
      <c r="AQ254" s="55"/>
      <c r="AR254" s="55"/>
      <c r="AS254" s="55"/>
      <c r="AT254" s="55"/>
      <c r="AU254" s="55"/>
      <c r="AV254" s="55"/>
      <c r="AW254" s="55"/>
      <c r="AX254" s="55"/>
      <c r="AY254" s="55"/>
      <c r="AZ254" s="55"/>
      <c r="BA254" s="55"/>
      <c r="BB254" s="55"/>
      <c r="BC254" s="55"/>
      <c r="BD254" s="55"/>
      <c r="BE254" s="55"/>
      <c r="BF254" s="55"/>
      <c r="BG254" s="55"/>
      <c r="BH254" s="55"/>
      <c r="BI254" s="55"/>
      <c r="BJ254" s="55"/>
      <c r="BK254" s="55"/>
      <c r="BL254" s="55"/>
      <c r="BM254" s="55"/>
      <c r="BN254" s="55"/>
      <c r="BO254" s="55"/>
      <c r="BP254" s="55"/>
      <c r="BQ254" s="55"/>
      <c r="BR254" s="55"/>
      <c r="BS254" s="55"/>
    </row>
    <row r="255" spans="3:71" outlineLevel="1" x14ac:dyDescent="0.2">
      <c r="J255" s="26"/>
      <c r="L255" s="55"/>
      <c r="M255" s="55"/>
      <c r="N255" s="55"/>
      <c r="O255" s="55"/>
      <c r="P255" s="55"/>
      <c r="Q255" s="55"/>
      <c r="R255" s="55"/>
      <c r="S255" s="55"/>
      <c r="T255" s="55"/>
      <c r="U255" s="55"/>
      <c r="V255" s="55"/>
      <c r="W255" s="55"/>
      <c r="X255" s="55"/>
      <c r="Y255" s="55"/>
      <c r="Z255" s="55"/>
      <c r="AA255" s="55"/>
      <c r="AB255" s="55"/>
      <c r="AC255" s="55"/>
      <c r="AD255" s="55"/>
      <c r="AE255" s="55"/>
      <c r="AF255" s="55"/>
      <c r="AG255" s="55"/>
      <c r="AH255" s="55"/>
      <c r="AI255" s="55"/>
      <c r="AJ255" s="55"/>
      <c r="AK255" s="55"/>
      <c r="AL255" s="55"/>
      <c r="AM255" s="55"/>
      <c r="AN255" s="55"/>
      <c r="AO255" s="55"/>
      <c r="AP255" s="55"/>
      <c r="AQ255" s="55"/>
      <c r="AR255" s="55"/>
      <c r="AS255" s="55"/>
      <c r="AT255" s="55"/>
      <c r="AU255" s="55"/>
      <c r="AV255" s="55"/>
      <c r="AW255" s="55"/>
      <c r="AX255" s="55"/>
      <c r="AY255" s="55"/>
      <c r="AZ255" s="55"/>
      <c r="BA255" s="55"/>
      <c r="BB255" s="55"/>
      <c r="BC255" s="55"/>
      <c r="BD255" s="55"/>
      <c r="BE255" s="55"/>
      <c r="BF255" s="55"/>
      <c r="BG255" s="55"/>
      <c r="BH255" s="55"/>
      <c r="BI255" s="55"/>
      <c r="BJ255" s="55"/>
      <c r="BK255" s="55"/>
      <c r="BL255" s="55"/>
      <c r="BM255" s="55"/>
      <c r="BN255" s="55"/>
      <c r="BO255" s="55"/>
      <c r="BP255" s="55"/>
      <c r="BQ255" s="55"/>
      <c r="BR255" s="55"/>
      <c r="BS255" s="55"/>
    </row>
    <row r="256" spans="3:71" outlineLevel="1" x14ac:dyDescent="0.2">
      <c r="D256" s="11" t="s">
        <v>226</v>
      </c>
      <c r="J256" s="26"/>
      <c r="L256" s="55"/>
      <c r="M256" s="55"/>
      <c r="N256" s="55"/>
      <c r="O256" s="55"/>
      <c r="P256" s="55"/>
      <c r="Q256" s="55"/>
      <c r="R256" s="55"/>
      <c r="S256" s="55"/>
      <c r="T256" s="55"/>
      <c r="U256" s="55"/>
      <c r="V256" s="55"/>
      <c r="W256" s="55"/>
      <c r="X256" s="55"/>
      <c r="Y256" s="55"/>
      <c r="Z256" s="55"/>
      <c r="AA256" s="55"/>
      <c r="AB256" s="55"/>
      <c r="AC256" s="55"/>
      <c r="AD256" s="55"/>
      <c r="AE256" s="55"/>
      <c r="AF256" s="55"/>
      <c r="AG256" s="55"/>
      <c r="AH256" s="55"/>
      <c r="AI256" s="55"/>
      <c r="AJ256" s="55"/>
      <c r="AK256" s="55"/>
      <c r="AL256" s="55"/>
      <c r="AM256" s="55"/>
      <c r="AN256" s="55"/>
      <c r="AO256" s="55"/>
      <c r="AP256" s="55"/>
      <c r="AQ256" s="55"/>
      <c r="AR256" s="55"/>
      <c r="AS256" s="55"/>
      <c r="AT256" s="55"/>
      <c r="AU256" s="55"/>
      <c r="AV256" s="55"/>
      <c r="AW256" s="55"/>
      <c r="AX256" s="55"/>
      <c r="AY256" s="55"/>
      <c r="AZ256" s="55"/>
      <c r="BA256" s="55"/>
      <c r="BB256" s="55"/>
      <c r="BC256" s="55"/>
      <c r="BD256" s="55"/>
      <c r="BE256" s="55"/>
      <c r="BF256" s="55"/>
      <c r="BG256" s="55"/>
      <c r="BH256" s="55"/>
      <c r="BI256" s="55"/>
      <c r="BJ256" s="55"/>
      <c r="BK256" s="55"/>
      <c r="BL256" s="55"/>
      <c r="BM256" s="55"/>
      <c r="BN256" s="55"/>
      <c r="BO256" s="55"/>
      <c r="BP256" s="55"/>
      <c r="BQ256" s="55"/>
      <c r="BR256" s="55"/>
      <c r="BS256" s="55"/>
    </row>
    <row r="257" spans="4:71" outlineLevel="1" x14ac:dyDescent="0.2">
      <c r="D257" s="50" t="s">
        <v>233</v>
      </c>
      <c r="I257" s="30">
        <f t="shared" ref="I257:I260" ca="1" si="49">SUM($L257:$BS257)</f>
        <v>2314.52782418483</v>
      </c>
      <c r="J257" s="26" t="s">
        <v>148</v>
      </c>
      <c r="L257" s="49">
        <f ca="1">MAX(Loango_II!CA_gross_rev_oil_fp-Loango_II!CA_roy_oil_fp-(Loango_II!CA_cost_recovered_total*Loango_II!CA_rev_oil_perc)-(Loango_II!CA_excess_cost_recovery*Loango_II!CA_rev_oil_perc)-Loango_II!CA_rev_for_SPO,0)</f>
        <v>159.71147846786249</v>
      </c>
      <c r="M257" s="49">
        <f ca="1">MAX(Loango_II!CA_gross_rev_oil_fp-Loango_II!CA_roy_oil_fp-(Loango_II!CA_cost_recovered_total*Loango_II!CA_rev_oil_perc)-(Loango_II!CA_excess_cost_recovery*Loango_II!CA_rev_oil_perc)-Loango_II!CA_rev_for_SPO,0)</f>
        <v>165.74974330331253</v>
      </c>
      <c r="N257" s="49">
        <f ca="1">MAX(Loango_II!CA_gross_rev_oil_fp-Loango_II!CA_roy_oil_fp-(Loango_II!CA_cost_recovered_total*Loango_II!CA_rev_oil_perc)-(Loango_II!CA_excess_cost_recovery*Loango_II!CA_rev_oil_perc)-Loango_II!CA_rev_for_SPO,0)</f>
        <v>66.765592250270856</v>
      </c>
      <c r="O257" s="49">
        <f ca="1">MAX(Loango_II!CA_gross_rev_oil_fp-Loango_II!CA_roy_oil_fp-(Loango_II!CA_cost_recovered_total*Loango_II!CA_rev_oil_perc)-(Loango_II!CA_excess_cost_recovery*Loango_II!CA_rev_oil_perc)-Loango_II!CA_rev_for_SPO,0)</f>
        <v>63.020705793342074</v>
      </c>
      <c r="P257" s="49">
        <f ca="1">MAX(Loango_II!CA_gross_rev_oil_fp-Loango_II!CA_roy_oil_fp-(Loango_II!CA_cost_recovered_total*Loango_II!CA_rev_oil_perc)-(Loango_II!CA_excess_cost_recovery*Loango_II!CA_rev_oil_perc)-Loango_II!CA_rev_for_SPO,0)</f>
        <v>174.81032384947838</v>
      </c>
      <c r="Q257" s="49">
        <f ca="1">MAX(Loango_II!CA_gross_rev_oil_fp-Loango_II!CA_roy_oil_fp-(Loango_II!CA_cost_recovered_total*Loango_II!CA_rev_oil_perc)-(Loango_II!CA_excess_cost_recovery*Loango_II!CA_rev_oil_perc)-Loango_II!CA_rev_for_SPO,0)</f>
        <v>347.48321659802548</v>
      </c>
      <c r="R257" s="49">
        <f ca="1">MAX(Loango_II!CA_gross_rev_oil_fp-Loango_II!CA_roy_oil_fp-(Loango_II!CA_cost_recovered_total*Loango_II!CA_rev_oil_perc)-(Loango_II!CA_excess_cost_recovery*Loango_II!CA_rev_oil_perc)-Loango_II!CA_rev_for_SPO,0)</f>
        <v>230.38824137946398</v>
      </c>
      <c r="S257" s="49">
        <f ca="1">MAX(Loango_II!CA_gross_rev_oil_fp-Loango_II!CA_roy_oil_fp-(Loango_II!CA_cost_recovered_total*Loango_II!CA_rev_oil_perc)-(Loango_II!CA_excess_cost_recovery*Loango_II!CA_rev_oil_perc)-Loango_II!CA_rev_for_SPO,0)</f>
        <v>213.35598144000008</v>
      </c>
      <c r="T257" s="49">
        <f ca="1">MAX(Loango_II!CA_gross_rev_oil_fp-Loango_II!CA_roy_oil_fp-(Loango_II!CA_cost_recovered_total*Loango_II!CA_rev_oil_perc)-(Loango_II!CA_excess_cost_recovery*Loango_II!CA_rev_oil_perc)-Loango_II!CA_rev_for_SPO,0)</f>
        <v>197.87892868799992</v>
      </c>
      <c r="U257" s="49">
        <f ca="1">MAX(Loango_II!CA_gross_rev_oil_fp-Loango_II!CA_roy_oil_fp-(Loango_II!CA_cost_recovered_total*Loango_II!CA_rev_oil_perc)-(Loango_II!CA_excess_cost_recovery*Loango_II!CA_rev_oil_perc)-Loango_II!CA_rev_for_SPO,0)</f>
        <v>187.70795175343687</v>
      </c>
      <c r="V257" s="49">
        <f ca="1">MAX(Loango_II!CA_gross_rev_oil_fp-Loango_II!CA_roy_oil_fp-(Loango_II!CA_cost_recovered_total*Loango_II!CA_rev_oil_perc)-(Loango_II!CA_excess_cost_recovery*Loango_II!CA_rev_oil_perc)-Loango_II!CA_rev_for_SPO,0)</f>
        <v>178.05976303331011</v>
      </c>
      <c r="W257" s="49">
        <f ca="1">MAX(Loango_II!CA_gross_rev_oil_fp-Loango_II!CA_roy_oil_fp-(Loango_II!CA_cost_recovered_total*Loango_II!CA_rev_oil_perc)-(Loango_II!CA_excess_cost_recovery*Loango_II!CA_rev_oil_perc)-Loango_II!CA_rev_for_SPO,0)</f>
        <v>169.37025146329779</v>
      </c>
      <c r="X257" s="49">
        <f ca="1">MAX(Loango_II!CA_gross_rev_oil_fp-Loango_II!CA_roy_oil_fp-(Loango_II!CA_cost_recovered_total*Loango_II!CA_rev_oil_perc)-(Loango_II!CA_excess_cost_recovery*Loango_II!CA_rev_oil_perc)-Loango_II!CA_rev_for_SPO,0)</f>
        <v>160.22564616502927</v>
      </c>
      <c r="Y257" s="49">
        <f ca="1">MAX(Loango_II!CA_gross_rev_oil_fp-Loango_II!CA_roy_oil_fp-(Loango_II!CA_cost_recovered_total*Loango_II!CA_rev_oil_perc)-(Loango_II!CA_excess_cost_recovery*Loango_II!CA_rev_oil_perc)-Loango_II!CA_rev_for_SPO,0)</f>
        <v>0</v>
      </c>
      <c r="Z257" s="49">
        <f ca="1">MAX(Loango_II!CA_gross_rev_oil_fp-Loango_II!CA_roy_oil_fp-(Loango_II!CA_cost_recovered_total*Loango_II!CA_rev_oil_perc)-(Loango_II!CA_excess_cost_recovery*Loango_II!CA_rev_oil_perc)-Loango_II!CA_rev_for_SPO,0)</f>
        <v>0</v>
      </c>
      <c r="AA257" s="49">
        <f ca="1">MAX(Loango_II!CA_gross_rev_oil_fp-Loango_II!CA_roy_oil_fp-(Loango_II!CA_cost_recovered_total*Loango_II!CA_rev_oil_perc)-(Loango_II!CA_excess_cost_recovery*Loango_II!CA_rev_oil_perc)-Loango_II!CA_rev_for_SPO,0)</f>
        <v>0</v>
      </c>
      <c r="AB257" s="49">
        <f ca="1">MAX(Loango_II!CA_gross_rev_oil_fp-Loango_II!CA_roy_oil_fp-(Loango_II!CA_cost_recovered_total*Loango_II!CA_rev_oil_perc)-(Loango_II!CA_excess_cost_recovery*Loango_II!CA_rev_oil_perc)-Loango_II!CA_rev_for_SPO,0)</f>
        <v>0</v>
      </c>
      <c r="AC257" s="49">
        <f ca="1">MAX(Loango_II!CA_gross_rev_oil_fp-Loango_II!CA_roy_oil_fp-(Loango_II!CA_cost_recovered_total*Loango_II!CA_rev_oil_perc)-(Loango_II!CA_excess_cost_recovery*Loango_II!CA_rev_oil_perc)-Loango_II!CA_rev_for_SPO,0)</f>
        <v>0</v>
      </c>
      <c r="AD257" s="49">
        <f ca="1">MAX(Loango_II!CA_gross_rev_oil_fp-Loango_II!CA_roy_oil_fp-(Loango_II!CA_cost_recovered_total*Loango_II!CA_rev_oil_perc)-(Loango_II!CA_excess_cost_recovery*Loango_II!CA_rev_oil_perc)-Loango_II!CA_rev_for_SPO,0)</f>
        <v>0</v>
      </c>
      <c r="AE257" s="49">
        <f ca="1">MAX(Loango_II!CA_gross_rev_oil_fp-Loango_II!CA_roy_oil_fp-(Loango_II!CA_cost_recovered_total*Loango_II!CA_rev_oil_perc)-(Loango_II!CA_excess_cost_recovery*Loango_II!CA_rev_oil_perc)-Loango_II!CA_rev_for_SPO,0)</f>
        <v>0</v>
      </c>
      <c r="AF257" s="49">
        <f ca="1">MAX(Loango_II!CA_gross_rev_oil_fp-Loango_II!CA_roy_oil_fp-(Loango_II!CA_cost_recovered_total*Loango_II!CA_rev_oil_perc)-(Loango_II!CA_excess_cost_recovery*Loango_II!CA_rev_oil_perc)-Loango_II!CA_rev_for_SPO,0)</f>
        <v>0</v>
      </c>
      <c r="AG257" s="49">
        <f ca="1">MAX(Loango_II!CA_gross_rev_oil_fp-Loango_II!CA_roy_oil_fp-(Loango_II!CA_cost_recovered_total*Loango_II!CA_rev_oil_perc)-(Loango_II!CA_excess_cost_recovery*Loango_II!CA_rev_oil_perc)-Loango_II!CA_rev_for_SPO,0)</f>
        <v>0</v>
      </c>
      <c r="AH257" s="49">
        <f ca="1">MAX(Loango_II!CA_gross_rev_oil_fp-Loango_II!CA_roy_oil_fp-(Loango_II!CA_cost_recovered_total*Loango_II!CA_rev_oil_perc)-(Loango_II!CA_excess_cost_recovery*Loango_II!CA_rev_oil_perc)-Loango_II!CA_rev_for_SPO,0)</f>
        <v>0</v>
      </c>
      <c r="AI257" s="49">
        <f ca="1">MAX(Loango_II!CA_gross_rev_oil_fp-Loango_II!CA_roy_oil_fp-(Loango_II!CA_cost_recovered_total*Loango_II!CA_rev_oil_perc)-(Loango_II!CA_excess_cost_recovery*Loango_II!CA_rev_oil_perc)-Loango_II!CA_rev_for_SPO,0)</f>
        <v>0</v>
      </c>
      <c r="AJ257" s="49">
        <f ca="1">MAX(Loango_II!CA_gross_rev_oil_fp-Loango_II!CA_roy_oil_fp-(Loango_II!CA_cost_recovered_total*Loango_II!CA_rev_oil_perc)-(Loango_II!CA_excess_cost_recovery*Loango_II!CA_rev_oil_perc)-Loango_II!CA_rev_for_SPO,0)</f>
        <v>0</v>
      </c>
      <c r="AK257" s="49">
        <f ca="1">MAX(Loango_II!CA_gross_rev_oil_fp-Loango_II!CA_roy_oil_fp-(Loango_II!CA_cost_recovered_total*Loango_II!CA_rev_oil_perc)-(Loango_II!CA_excess_cost_recovery*Loango_II!CA_rev_oil_perc)-Loango_II!CA_rev_for_SPO,0)</f>
        <v>0</v>
      </c>
      <c r="AL257" s="49">
        <f ca="1">MAX(Loango_II!CA_gross_rev_oil_fp-Loango_II!CA_roy_oil_fp-(Loango_II!CA_cost_recovered_total*Loango_II!CA_rev_oil_perc)-(Loango_II!CA_excess_cost_recovery*Loango_II!CA_rev_oil_perc)-Loango_II!CA_rev_for_SPO,0)</f>
        <v>0</v>
      </c>
      <c r="AM257" s="49">
        <f ca="1">MAX(Loango_II!CA_gross_rev_oil_fp-Loango_II!CA_roy_oil_fp-(Loango_II!CA_cost_recovered_total*Loango_II!CA_rev_oil_perc)-(Loango_II!CA_excess_cost_recovery*Loango_II!CA_rev_oil_perc)-Loango_II!CA_rev_for_SPO,0)</f>
        <v>0</v>
      </c>
      <c r="AN257" s="49">
        <f ca="1">MAX(Loango_II!CA_gross_rev_oil_fp-Loango_II!CA_roy_oil_fp-(Loango_II!CA_cost_recovered_total*Loango_II!CA_rev_oil_perc)-(Loango_II!CA_excess_cost_recovery*Loango_II!CA_rev_oil_perc)-Loango_II!CA_rev_for_SPO,0)</f>
        <v>0</v>
      </c>
      <c r="AO257" s="49">
        <f ca="1">MAX(Loango_II!CA_gross_rev_oil_fp-Loango_II!CA_roy_oil_fp-(Loango_II!CA_cost_recovered_total*Loango_II!CA_rev_oil_perc)-(Loango_II!CA_excess_cost_recovery*Loango_II!CA_rev_oil_perc)-Loango_II!CA_rev_for_SPO,0)</f>
        <v>0</v>
      </c>
      <c r="AP257" s="49">
        <f ca="1">MAX(Loango_II!CA_gross_rev_oil_fp-Loango_II!CA_roy_oil_fp-(Loango_II!CA_cost_recovered_total*Loango_II!CA_rev_oil_perc)-(Loango_II!CA_excess_cost_recovery*Loango_II!CA_rev_oil_perc)-Loango_II!CA_rev_for_SPO,0)</f>
        <v>0</v>
      </c>
      <c r="AQ257" s="49">
        <f ca="1">MAX(Loango_II!CA_gross_rev_oil_fp-Loango_II!CA_roy_oil_fp-(Loango_II!CA_cost_recovered_total*Loango_II!CA_rev_oil_perc)-(Loango_II!CA_excess_cost_recovery*Loango_II!CA_rev_oil_perc)-Loango_II!CA_rev_for_SPO,0)</f>
        <v>0</v>
      </c>
      <c r="AR257" s="49">
        <f ca="1">MAX(Loango_II!CA_gross_rev_oil_fp-Loango_II!CA_roy_oil_fp-(Loango_II!CA_cost_recovered_total*Loango_II!CA_rev_oil_perc)-(Loango_II!CA_excess_cost_recovery*Loango_II!CA_rev_oil_perc)-Loango_II!CA_rev_for_SPO,0)</f>
        <v>0</v>
      </c>
      <c r="AS257" s="49">
        <f ca="1">MAX(Loango_II!CA_gross_rev_oil_fp-Loango_II!CA_roy_oil_fp-(Loango_II!CA_cost_recovered_total*Loango_II!CA_rev_oil_perc)-(Loango_II!CA_excess_cost_recovery*Loango_II!CA_rev_oil_perc)-Loango_II!CA_rev_for_SPO,0)</f>
        <v>0</v>
      </c>
      <c r="AT257" s="49">
        <f ca="1">MAX(Loango_II!CA_gross_rev_oil_fp-Loango_II!CA_roy_oil_fp-(Loango_II!CA_cost_recovered_total*Loango_II!CA_rev_oil_perc)-(Loango_II!CA_excess_cost_recovery*Loango_II!CA_rev_oil_perc)-Loango_II!CA_rev_for_SPO,0)</f>
        <v>0</v>
      </c>
      <c r="AU257" s="49">
        <f ca="1">MAX(Loango_II!CA_gross_rev_oil_fp-Loango_II!CA_roy_oil_fp-(Loango_II!CA_cost_recovered_total*Loango_II!CA_rev_oil_perc)-(Loango_II!CA_excess_cost_recovery*Loango_II!CA_rev_oil_perc)-Loango_II!CA_rev_for_SPO,0)</f>
        <v>0</v>
      </c>
      <c r="AV257" s="49">
        <f ca="1">MAX(Loango_II!CA_gross_rev_oil_fp-Loango_II!CA_roy_oil_fp-(Loango_II!CA_cost_recovered_total*Loango_II!CA_rev_oil_perc)-(Loango_II!CA_excess_cost_recovery*Loango_II!CA_rev_oil_perc)-Loango_II!CA_rev_for_SPO,0)</f>
        <v>0</v>
      </c>
      <c r="AW257" s="49">
        <f ca="1">MAX(Loango_II!CA_gross_rev_oil_fp-Loango_II!CA_roy_oil_fp-(Loango_II!CA_cost_recovered_total*Loango_II!CA_rev_oil_perc)-(Loango_II!CA_excess_cost_recovery*Loango_II!CA_rev_oil_perc)-Loango_II!CA_rev_for_SPO,0)</f>
        <v>0</v>
      </c>
      <c r="AX257" s="49">
        <f ca="1">MAX(Loango_II!CA_gross_rev_oil_fp-Loango_II!CA_roy_oil_fp-(Loango_II!CA_cost_recovered_total*Loango_II!CA_rev_oil_perc)-(Loango_II!CA_excess_cost_recovery*Loango_II!CA_rev_oil_perc)-Loango_II!CA_rev_for_SPO,0)</f>
        <v>0</v>
      </c>
      <c r="AY257" s="49">
        <f ca="1">MAX(Loango_II!CA_gross_rev_oil_fp-Loango_II!CA_roy_oil_fp-(Loango_II!CA_cost_recovered_total*Loango_II!CA_rev_oil_perc)-(Loango_II!CA_excess_cost_recovery*Loango_II!CA_rev_oil_perc)-Loango_II!CA_rev_for_SPO,0)</f>
        <v>0</v>
      </c>
      <c r="AZ257" s="49">
        <f ca="1">MAX(Loango_II!CA_gross_rev_oil_fp-Loango_II!CA_roy_oil_fp-(Loango_II!CA_cost_recovered_total*Loango_II!CA_rev_oil_perc)-(Loango_II!CA_excess_cost_recovery*Loango_II!CA_rev_oil_perc)-Loango_II!CA_rev_for_SPO,0)</f>
        <v>0</v>
      </c>
      <c r="BA257" s="49">
        <f ca="1">MAX(Loango_II!CA_gross_rev_oil_fp-Loango_II!CA_roy_oil_fp-(Loango_II!CA_cost_recovered_total*Loango_II!CA_rev_oil_perc)-(Loango_II!CA_excess_cost_recovery*Loango_II!CA_rev_oil_perc)-Loango_II!CA_rev_for_SPO,0)</f>
        <v>0</v>
      </c>
      <c r="BB257" s="49">
        <f ca="1">MAX(Loango_II!CA_gross_rev_oil_fp-Loango_II!CA_roy_oil_fp-(Loango_II!CA_cost_recovered_total*Loango_II!CA_rev_oil_perc)-(Loango_II!CA_excess_cost_recovery*Loango_II!CA_rev_oil_perc)-Loango_II!CA_rev_for_SPO,0)</f>
        <v>0</v>
      </c>
      <c r="BC257" s="49">
        <f ca="1">MAX(Loango_II!CA_gross_rev_oil_fp-Loango_II!CA_roy_oil_fp-(Loango_II!CA_cost_recovered_total*Loango_II!CA_rev_oil_perc)-(Loango_II!CA_excess_cost_recovery*Loango_II!CA_rev_oil_perc)-Loango_II!CA_rev_for_SPO,0)</f>
        <v>0</v>
      </c>
      <c r="BD257" s="49">
        <f ca="1">MAX(Loango_II!CA_gross_rev_oil_fp-Loango_II!CA_roy_oil_fp-(Loango_II!CA_cost_recovered_total*Loango_II!CA_rev_oil_perc)-(Loango_II!CA_excess_cost_recovery*Loango_II!CA_rev_oil_perc)-Loango_II!CA_rev_for_SPO,0)</f>
        <v>0</v>
      </c>
      <c r="BE257" s="49">
        <f ca="1">MAX(Loango_II!CA_gross_rev_oil_fp-Loango_II!CA_roy_oil_fp-(Loango_II!CA_cost_recovered_total*Loango_II!CA_rev_oil_perc)-(Loango_II!CA_excess_cost_recovery*Loango_II!CA_rev_oil_perc)-Loango_II!CA_rev_for_SPO,0)</f>
        <v>0</v>
      </c>
      <c r="BF257" s="49">
        <f ca="1">MAX(Loango_II!CA_gross_rev_oil_fp-Loango_II!CA_roy_oil_fp-(Loango_II!CA_cost_recovered_total*Loango_II!CA_rev_oil_perc)-(Loango_II!CA_excess_cost_recovery*Loango_II!CA_rev_oil_perc)-Loango_II!CA_rev_for_SPO,0)</f>
        <v>0</v>
      </c>
      <c r="BG257" s="49">
        <f ca="1">MAX(Loango_II!CA_gross_rev_oil_fp-Loango_II!CA_roy_oil_fp-(Loango_II!CA_cost_recovered_total*Loango_II!CA_rev_oil_perc)-(Loango_II!CA_excess_cost_recovery*Loango_II!CA_rev_oil_perc)-Loango_II!CA_rev_for_SPO,0)</f>
        <v>0</v>
      </c>
      <c r="BH257" s="49">
        <f ca="1">MAX(Loango_II!CA_gross_rev_oil_fp-Loango_II!CA_roy_oil_fp-(Loango_II!CA_cost_recovered_total*Loango_II!CA_rev_oil_perc)-(Loango_II!CA_excess_cost_recovery*Loango_II!CA_rev_oil_perc)-Loango_II!CA_rev_for_SPO,0)</f>
        <v>0</v>
      </c>
      <c r="BI257" s="49">
        <f ca="1">MAX(Loango_II!CA_gross_rev_oil_fp-Loango_II!CA_roy_oil_fp-(Loango_II!CA_cost_recovered_total*Loango_II!CA_rev_oil_perc)-(Loango_II!CA_excess_cost_recovery*Loango_II!CA_rev_oil_perc)-Loango_II!CA_rev_for_SPO,0)</f>
        <v>0</v>
      </c>
      <c r="BJ257" s="49">
        <f ca="1">MAX(Loango_II!CA_gross_rev_oil_fp-Loango_II!CA_roy_oil_fp-(Loango_II!CA_cost_recovered_total*Loango_II!CA_rev_oil_perc)-(Loango_II!CA_excess_cost_recovery*Loango_II!CA_rev_oil_perc)-Loango_II!CA_rev_for_SPO,0)</f>
        <v>0</v>
      </c>
      <c r="BK257" s="49">
        <f ca="1">MAX(Loango_II!CA_gross_rev_oil_fp-Loango_II!CA_roy_oil_fp-(Loango_II!CA_cost_recovered_total*Loango_II!CA_rev_oil_perc)-(Loango_II!CA_excess_cost_recovery*Loango_II!CA_rev_oil_perc)-Loango_II!CA_rev_for_SPO,0)</f>
        <v>0</v>
      </c>
      <c r="BL257" s="49">
        <f ca="1">MAX(Loango_II!CA_gross_rev_oil_fp-Loango_II!CA_roy_oil_fp-(Loango_II!CA_cost_recovered_total*Loango_II!CA_rev_oil_perc)-(Loango_II!CA_excess_cost_recovery*Loango_II!CA_rev_oil_perc)-Loango_II!CA_rev_for_SPO,0)</f>
        <v>0</v>
      </c>
      <c r="BM257" s="49">
        <f ca="1">MAX(Loango_II!CA_gross_rev_oil_fp-Loango_II!CA_roy_oil_fp-(Loango_II!CA_cost_recovered_total*Loango_II!CA_rev_oil_perc)-(Loango_II!CA_excess_cost_recovery*Loango_II!CA_rev_oil_perc)-Loango_II!CA_rev_for_SPO,0)</f>
        <v>0</v>
      </c>
      <c r="BN257" s="49">
        <f ca="1">MAX(Loango_II!CA_gross_rev_oil_fp-Loango_II!CA_roy_oil_fp-(Loango_II!CA_cost_recovered_total*Loango_II!CA_rev_oil_perc)-(Loango_II!CA_excess_cost_recovery*Loango_II!CA_rev_oil_perc)-Loango_II!CA_rev_for_SPO,0)</f>
        <v>0</v>
      </c>
      <c r="BO257" s="49">
        <f ca="1">MAX(Loango_II!CA_gross_rev_oil_fp-Loango_II!CA_roy_oil_fp-(Loango_II!CA_cost_recovered_total*Loango_II!CA_rev_oil_perc)-(Loango_II!CA_excess_cost_recovery*Loango_II!CA_rev_oil_perc)-Loango_II!CA_rev_for_SPO,0)</f>
        <v>0</v>
      </c>
      <c r="BP257" s="49">
        <f ca="1">MAX(Loango_II!CA_gross_rev_oil_fp-Loango_II!CA_roy_oil_fp-(Loango_II!CA_cost_recovered_total*Loango_II!CA_rev_oil_perc)-(Loango_II!CA_excess_cost_recovery*Loango_II!CA_rev_oil_perc)-Loango_II!CA_rev_for_SPO,0)</f>
        <v>0</v>
      </c>
      <c r="BQ257" s="49">
        <f ca="1">MAX(Loango_II!CA_gross_rev_oil_fp-Loango_II!CA_roy_oil_fp-(Loango_II!CA_cost_recovered_total*Loango_II!CA_rev_oil_perc)-(Loango_II!CA_excess_cost_recovery*Loango_II!CA_rev_oil_perc)-Loango_II!CA_rev_for_SPO,0)</f>
        <v>0</v>
      </c>
      <c r="BR257" s="49">
        <f ca="1">MAX(Loango_II!CA_gross_rev_oil_fp-Loango_II!CA_roy_oil_fp-(Loango_II!CA_cost_recovered_total*Loango_II!CA_rev_oil_perc)-(Loango_II!CA_excess_cost_recovery*Loango_II!CA_rev_oil_perc)-Loango_II!CA_rev_for_SPO,0)</f>
        <v>0</v>
      </c>
      <c r="BS257" s="49">
        <f ca="1">MAX(Loango_II!CA_gross_rev_oil_fp-Loango_II!CA_roy_oil_fp-(Loango_II!CA_cost_recovered_total*Loango_II!CA_rev_oil_perc)-(Loango_II!CA_excess_cost_recovery*Loango_II!CA_rev_oil_perc)-Loango_II!CA_rev_for_SPO,0)</f>
        <v>0</v>
      </c>
    </row>
    <row r="258" spans="4:71" outlineLevel="1" x14ac:dyDescent="0.2">
      <c r="D258" s="50" t="s">
        <v>234</v>
      </c>
      <c r="J258" s="26"/>
      <c r="L258" s="53">
        <f ca="1">INDEX(Loango_II!FA_PS_cont_rate,MATCH(Loango_II!CA_cum_gross_prod_oil,Loango_II!FA_PS_cumprod_oil,1))*Loango_II!CA_op_trig</f>
        <v>0.5</v>
      </c>
      <c r="M258" s="53">
        <f ca="1">INDEX(Loango_II!FA_PS_cont_rate,MATCH(Loango_II!CA_cum_gross_prod_oil,Loango_II!FA_PS_cumprod_oil,1))*Loango_II!CA_op_trig</f>
        <v>0.5</v>
      </c>
      <c r="N258" s="53">
        <f ca="1">INDEX(Loango_II!FA_PS_cont_rate,MATCH(Loango_II!CA_cum_gross_prod_oil,Loango_II!FA_PS_cumprod_oil,1))*Loango_II!CA_op_trig</f>
        <v>0.5</v>
      </c>
      <c r="O258" s="53">
        <f ca="1">INDEX(Loango_II!FA_PS_cont_rate,MATCH(Loango_II!CA_cum_gross_prod_oil,Loango_II!FA_PS_cumprod_oil,1))*Loango_II!CA_op_trig</f>
        <v>0.5</v>
      </c>
      <c r="P258" s="53">
        <f ca="1">INDEX(Loango_II!FA_PS_cont_rate,MATCH(Loango_II!CA_cum_gross_prod_oil,Loango_II!FA_PS_cumprod_oil,1))*Loango_II!CA_op_trig</f>
        <v>0.5</v>
      </c>
      <c r="Q258" s="53">
        <f ca="1">INDEX(Loango_II!FA_PS_cont_rate,MATCH(Loango_II!CA_cum_gross_prod_oil,Loango_II!FA_PS_cumprod_oil,1))*Loango_II!CA_op_trig</f>
        <v>0.5</v>
      </c>
      <c r="R258" s="53">
        <f ca="1">INDEX(Loango_II!FA_PS_cont_rate,MATCH(Loango_II!CA_cum_gross_prod_oil,Loango_II!FA_PS_cumprod_oil,1))*Loango_II!CA_op_trig</f>
        <v>0.5</v>
      </c>
      <c r="S258" s="53">
        <f ca="1">INDEX(Loango_II!FA_PS_cont_rate,MATCH(Loango_II!CA_cum_gross_prod_oil,Loango_II!FA_PS_cumprod_oil,1))*Loango_II!CA_op_trig</f>
        <v>0.5</v>
      </c>
      <c r="T258" s="53">
        <f ca="1">INDEX(Loango_II!FA_PS_cont_rate,MATCH(Loango_II!CA_cum_gross_prod_oil,Loango_II!FA_PS_cumprod_oil,1))*Loango_II!CA_op_trig</f>
        <v>0.5</v>
      </c>
      <c r="U258" s="53">
        <f ca="1">INDEX(Loango_II!FA_PS_cont_rate,MATCH(Loango_II!CA_cum_gross_prod_oil,Loango_II!FA_PS_cumprod_oil,1))*Loango_II!CA_op_trig</f>
        <v>0.5</v>
      </c>
      <c r="V258" s="53">
        <f ca="1">INDEX(Loango_II!FA_PS_cont_rate,MATCH(Loango_II!CA_cum_gross_prod_oil,Loango_II!FA_PS_cumprod_oil,1))*Loango_II!CA_op_trig</f>
        <v>0.5</v>
      </c>
      <c r="W258" s="53">
        <f ca="1">INDEX(Loango_II!FA_PS_cont_rate,MATCH(Loango_II!CA_cum_gross_prod_oil,Loango_II!FA_PS_cumprod_oil,1))*Loango_II!CA_op_trig</f>
        <v>0.25</v>
      </c>
      <c r="X258" s="53">
        <f ca="1">INDEX(Loango_II!FA_PS_cont_rate,MATCH(Loango_II!CA_cum_gross_prod_oil,Loango_II!FA_PS_cumprod_oil,1))*Loango_II!CA_op_trig</f>
        <v>0.25</v>
      </c>
      <c r="Y258" s="53">
        <f ca="1">INDEX(Loango_II!FA_PS_cont_rate,MATCH(Loango_II!CA_cum_gross_prod_oil,Loango_II!FA_PS_cumprod_oil,1))*Loango_II!CA_op_trig</f>
        <v>0</v>
      </c>
      <c r="Z258" s="53">
        <f ca="1">INDEX(Loango_II!FA_PS_cont_rate,MATCH(Loango_II!CA_cum_gross_prod_oil,Loango_II!FA_PS_cumprod_oil,1))*Loango_II!CA_op_trig</f>
        <v>0</v>
      </c>
      <c r="AA258" s="53">
        <f ca="1">INDEX(Loango_II!FA_PS_cont_rate,MATCH(Loango_II!CA_cum_gross_prod_oil,Loango_II!FA_PS_cumprod_oil,1))*Loango_II!CA_op_trig</f>
        <v>0</v>
      </c>
      <c r="AB258" s="53">
        <f ca="1">INDEX(Loango_II!FA_PS_cont_rate,MATCH(Loango_II!CA_cum_gross_prod_oil,Loango_II!FA_PS_cumprod_oil,1))*Loango_II!CA_op_trig</f>
        <v>0</v>
      </c>
      <c r="AC258" s="53">
        <f ca="1">INDEX(Loango_II!FA_PS_cont_rate,MATCH(Loango_II!CA_cum_gross_prod_oil,Loango_II!FA_PS_cumprod_oil,1))*Loango_II!CA_op_trig</f>
        <v>0</v>
      </c>
      <c r="AD258" s="53">
        <f ca="1">INDEX(Loango_II!FA_PS_cont_rate,MATCH(Loango_II!CA_cum_gross_prod_oil,Loango_II!FA_PS_cumprod_oil,1))*Loango_II!CA_op_trig</f>
        <v>0</v>
      </c>
      <c r="AE258" s="53">
        <f ca="1">INDEX(Loango_II!FA_PS_cont_rate,MATCH(Loango_II!CA_cum_gross_prod_oil,Loango_II!FA_PS_cumprod_oil,1))*Loango_II!CA_op_trig</f>
        <v>0</v>
      </c>
      <c r="AF258" s="53">
        <f ca="1">INDEX(Loango_II!FA_PS_cont_rate,MATCH(Loango_II!CA_cum_gross_prod_oil,Loango_II!FA_PS_cumprod_oil,1))*Loango_II!CA_op_trig</f>
        <v>0</v>
      </c>
      <c r="AG258" s="53">
        <f ca="1">INDEX(Loango_II!FA_PS_cont_rate,MATCH(Loango_II!CA_cum_gross_prod_oil,Loango_II!FA_PS_cumprod_oil,1))*Loango_II!CA_op_trig</f>
        <v>0</v>
      </c>
      <c r="AH258" s="53">
        <f ca="1">INDEX(Loango_II!FA_PS_cont_rate,MATCH(Loango_II!CA_cum_gross_prod_oil,Loango_II!FA_PS_cumprod_oil,1))*Loango_II!CA_op_trig</f>
        <v>0</v>
      </c>
      <c r="AI258" s="53">
        <f ca="1">INDEX(Loango_II!FA_PS_cont_rate,MATCH(Loango_II!CA_cum_gross_prod_oil,Loango_II!FA_PS_cumprod_oil,1))*Loango_II!CA_op_trig</f>
        <v>0</v>
      </c>
      <c r="AJ258" s="53">
        <f ca="1">INDEX(Loango_II!FA_PS_cont_rate,MATCH(Loango_II!CA_cum_gross_prod_oil,Loango_II!FA_PS_cumprod_oil,1))*Loango_II!CA_op_trig</f>
        <v>0</v>
      </c>
      <c r="AK258" s="53">
        <f ca="1">INDEX(Loango_II!FA_PS_cont_rate,MATCH(Loango_II!CA_cum_gross_prod_oil,Loango_II!FA_PS_cumprod_oil,1))*Loango_II!CA_op_trig</f>
        <v>0</v>
      </c>
      <c r="AL258" s="53">
        <f ca="1">INDEX(Loango_II!FA_PS_cont_rate,MATCH(Loango_II!CA_cum_gross_prod_oil,Loango_II!FA_PS_cumprod_oil,1))*Loango_II!CA_op_trig</f>
        <v>0</v>
      </c>
      <c r="AM258" s="53">
        <f ca="1">INDEX(Loango_II!FA_PS_cont_rate,MATCH(Loango_II!CA_cum_gross_prod_oil,Loango_II!FA_PS_cumprod_oil,1))*Loango_II!CA_op_trig</f>
        <v>0</v>
      </c>
      <c r="AN258" s="53">
        <f ca="1">INDEX(Loango_II!FA_PS_cont_rate,MATCH(Loango_II!CA_cum_gross_prod_oil,Loango_II!FA_PS_cumprod_oil,1))*Loango_II!CA_op_trig</f>
        <v>0</v>
      </c>
      <c r="AO258" s="53">
        <f ca="1">INDEX(Loango_II!FA_PS_cont_rate,MATCH(Loango_II!CA_cum_gross_prod_oil,Loango_II!FA_PS_cumprod_oil,1))*Loango_II!CA_op_trig</f>
        <v>0</v>
      </c>
      <c r="AP258" s="53">
        <f ca="1">INDEX(Loango_II!FA_PS_cont_rate,MATCH(Loango_II!CA_cum_gross_prod_oil,Loango_II!FA_PS_cumprod_oil,1))*Loango_II!CA_op_trig</f>
        <v>0</v>
      </c>
      <c r="AQ258" s="53">
        <f ca="1">INDEX(Loango_II!FA_PS_cont_rate,MATCH(Loango_II!CA_cum_gross_prod_oil,Loango_II!FA_PS_cumprod_oil,1))*Loango_II!CA_op_trig</f>
        <v>0</v>
      </c>
      <c r="AR258" s="53">
        <f ca="1">INDEX(Loango_II!FA_PS_cont_rate,MATCH(Loango_II!CA_cum_gross_prod_oil,Loango_II!FA_PS_cumprod_oil,1))*Loango_II!CA_op_trig</f>
        <v>0</v>
      </c>
      <c r="AS258" s="53">
        <f ca="1">INDEX(Loango_II!FA_PS_cont_rate,MATCH(Loango_II!CA_cum_gross_prod_oil,Loango_II!FA_PS_cumprod_oil,1))*Loango_II!CA_op_trig</f>
        <v>0</v>
      </c>
      <c r="AT258" s="53">
        <f ca="1">INDEX(Loango_II!FA_PS_cont_rate,MATCH(Loango_II!CA_cum_gross_prod_oil,Loango_II!FA_PS_cumprod_oil,1))*Loango_II!CA_op_trig</f>
        <v>0</v>
      </c>
      <c r="AU258" s="53">
        <f ca="1">INDEX(Loango_II!FA_PS_cont_rate,MATCH(Loango_II!CA_cum_gross_prod_oil,Loango_II!FA_PS_cumprod_oil,1))*Loango_II!CA_op_trig</f>
        <v>0</v>
      </c>
      <c r="AV258" s="53">
        <f ca="1">INDEX(Loango_II!FA_PS_cont_rate,MATCH(Loango_II!CA_cum_gross_prod_oil,Loango_II!FA_PS_cumprod_oil,1))*Loango_II!CA_op_trig</f>
        <v>0</v>
      </c>
      <c r="AW258" s="53">
        <f ca="1">INDEX(Loango_II!FA_PS_cont_rate,MATCH(Loango_II!CA_cum_gross_prod_oil,Loango_II!FA_PS_cumprod_oil,1))*Loango_II!CA_op_trig</f>
        <v>0</v>
      </c>
      <c r="AX258" s="53">
        <f ca="1">INDEX(Loango_II!FA_PS_cont_rate,MATCH(Loango_II!CA_cum_gross_prod_oil,Loango_II!FA_PS_cumprod_oil,1))*Loango_II!CA_op_trig</f>
        <v>0</v>
      </c>
      <c r="AY258" s="53">
        <f ca="1">INDEX(Loango_II!FA_PS_cont_rate,MATCH(Loango_II!CA_cum_gross_prod_oil,Loango_II!FA_PS_cumprod_oil,1))*Loango_II!CA_op_trig</f>
        <v>0</v>
      </c>
      <c r="AZ258" s="53">
        <f ca="1">INDEX(Loango_II!FA_PS_cont_rate,MATCH(Loango_II!CA_cum_gross_prod_oil,Loango_II!FA_PS_cumprod_oil,1))*Loango_II!CA_op_trig</f>
        <v>0</v>
      </c>
      <c r="BA258" s="53">
        <f ca="1">INDEX(Loango_II!FA_PS_cont_rate,MATCH(Loango_II!CA_cum_gross_prod_oil,Loango_II!FA_PS_cumprod_oil,1))*Loango_II!CA_op_trig</f>
        <v>0</v>
      </c>
      <c r="BB258" s="53">
        <f ca="1">INDEX(Loango_II!FA_PS_cont_rate,MATCH(Loango_II!CA_cum_gross_prod_oil,Loango_II!FA_PS_cumprod_oil,1))*Loango_II!CA_op_trig</f>
        <v>0</v>
      </c>
      <c r="BC258" s="53">
        <f ca="1">INDEX(Loango_II!FA_PS_cont_rate,MATCH(Loango_II!CA_cum_gross_prod_oil,Loango_II!FA_PS_cumprod_oil,1))*Loango_II!CA_op_trig</f>
        <v>0</v>
      </c>
      <c r="BD258" s="53">
        <f ca="1">INDEX(Loango_II!FA_PS_cont_rate,MATCH(Loango_II!CA_cum_gross_prod_oil,Loango_II!FA_PS_cumprod_oil,1))*Loango_II!CA_op_trig</f>
        <v>0</v>
      </c>
      <c r="BE258" s="53">
        <f ca="1">INDEX(Loango_II!FA_PS_cont_rate,MATCH(Loango_II!CA_cum_gross_prod_oil,Loango_II!FA_PS_cumprod_oil,1))*Loango_II!CA_op_trig</f>
        <v>0</v>
      </c>
      <c r="BF258" s="53">
        <f ca="1">INDEX(Loango_II!FA_PS_cont_rate,MATCH(Loango_II!CA_cum_gross_prod_oil,Loango_II!FA_PS_cumprod_oil,1))*Loango_II!CA_op_trig</f>
        <v>0</v>
      </c>
      <c r="BG258" s="53">
        <f ca="1">INDEX(Loango_II!FA_PS_cont_rate,MATCH(Loango_II!CA_cum_gross_prod_oil,Loango_II!FA_PS_cumprod_oil,1))*Loango_II!CA_op_trig</f>
        <v>0</v>
      </c>
      <c r="BH258" s="53">
        <f ca="1">INDEX(Loango_II!FA_PS_cont_rate,MATCH(Loango_II!CA_cum_gross_prod_oil,Loango_II!FA_PS_cumprod_oil,1))*Loango_II!CA_op_trig</f>
        <v>0</v>
      </c>
      <c r="BI258" s="53">
        <f ca="1">INDEX(Loango_II!FA_PS_cont_rate,MATCH(Loango_II!CA_cum_gross_prod_oil,Loango_II!FA_PS_cumprod_oil,1))*Loango_II!CA_op_trig</f>
        <v>0</v>
      </c>
      <c r="BJ258" s="53">
        <f ca="1">INDEX(Loango_II!FA_PS_cont_rate,MATCH(Loango_II!CA_cum_gross_prod_oil,Loango_II!FA_PS_cumprod_oil,1))*Loango_II!CA_op_trig</f>
        <v>0</v>
      </c>
      <c r="BK258" s="53">
        <f ca="1">INDEX(Loango_II!FA_PS_cont_rate,MATCH(Loango_II!CA_cum_gross_prod_oil,Loango_II!FA_PS_cumprod_oil,1))*Loango_II!CA_op_trig</f>
        <v>0</v>
      </c>
      <c r="BL258" s="53">
        <f ca="1">INDEX(Loango_II!FA_PS_cont_rate,MATCH(Loango_II!CA_cum_gross_prod_oil,Loango_II!FA_PS_cumprod_oil,1))*Loango_II!CA_op_trig</f>
        <v>0</v>
      </c>
      <c r="BM258" s="53">
        <f ca="1">INDEX(Loango_II!FA_PS_cont_rate,MATCH(Loango_II!CA_cum_gross_prod_oil,Loango_II!FA_PS_cumprod_oil,1))*Loango_II!CA_op_trig</f>
        <v>0</v>
      </c>
      <c r="BN258" s="53">
        <f ca="1">INDEX(Loango_II!FA_PS_cont_rate,MATCH(Loango_II!CA_cum_gross_prod_oil,Loango_II!FA_PS_cumprod_oil,1))*Loango_II!CA_op_trig</f>
        <v>0</v>
      </c>
      <c r="BO258" s="53">
        <f ca="1">INDEX(Loango_II!FA_PS_cont_rate,MATCH(Loango_II!CA_cum_gross_prod_oil,Loango_II!FA_PS_cumprod_oil,1))*Loango_II!CA_op_trig</f>
        <v>0</v>
      </c>
      <c r="BP258" s="53">
        <f ca="1">INDEX(Loango_II!FA_PS_cont_rate,MATCH(Loango_II!CA_cum_gross_prod_oil,Loango_II!FA_PS_cumprod_oil,1))*Loango_II!CA_op_trig</f>
        <v>0</v>
      </c>
      <c r="BQ258" s="53">
        <f ca="1">INDEX(Loango_II!FA_PS_cont_rate,MATCH(Loango_II!CA_cum_gross_prod_oil,Loango_II!FA_PS_cumprod_oil,1))*Loango_II!CA_op_trig</f>
        <v>0</v>
      </c>
      <c r="BR258" s="53">
        <f ca="1">INDEX(Loango_II!FA_PS_cont_rate,MATCH(Loango_II!CA_cum_gross_prod_oil,Loango_II!FA_PS_cumprod_oil,1))*Loango_II!CA_op_trig</f>
        <v>0</v>
      </c>
      <c r="BS258" s="53">
        <f ca="1">INDEX(Loango_II!FA_PS_cont_rate,MATCH(Loango_II!CA_cum_gross_prod_oil,Loango_II!FA_PS_cumprod_oil,1))*Loango_II!CA_op_trig</f>
        <v>0</v>
      </c>
    </row>
    <row r="259" spans="4:71" outlineLevel="1" x14ac:dyDescent="0.2">
      <c r="D259" t="s">
        <v>235</v>
      </c>
      <c r="I259" s="30">
        <f t="shared" ca="1" si="49"/>
        <v>1074.8649376853332</v>
      </c>
      <c r="J259" s="26" t="s">
        <v>148</v>
      </c>
      <c r="L259" s="49">
        <f ca="1">L257*L258</f>
        <v>79.855739233931246</v>
      </c>
      <c r="M259" s="49">
        <f t="shared" ref="M259:BS259" ca="1" si="50">M257*M258</f>
        <v>82.874871651656264</v>
      </c>
      <c r="N259" s="49">
        <f t="shared" ca="1" si="50"/>
        <v>33.382796125135428</v>
      </c>
      <c r="O259" s="49">
        <f t="shared" ca="1" si="50"/>
        <v>31.510352896671037</v>
      </c>
      <c r="P259" s="49">
        <f t="shared" ca="1" si="50"/>
        <v>87.40516192473919</v>
      </c>
      <c r="Q259" s="49">
        <f t="shared" ca="1" si="50"/>
        <v>173.74160829901274</v>
      </c>
      <c r="R259" s="49">
        <f t="shared" ca="1" si="50"/>
        <v>115.19412068973199</v>
      </c>
      <c r="S259" s="49">
        <f t="shared" ca="1" si="50"/>
        <v>106.67799072000004</v>
      </c>
      <c r="T259" s="49">
        <f t="shared" ca="1" si="50"/>
        <v>98.939464343999958</v>
      </c>
      <c r="U259" s="49">
        <f t="shared" ca="1" si="50"/>
        <v>93.853975876718437</v>
      </c>
      <c r="V259" s="49">
        <f t="shared" ca="1" si="50"/>
        <v>89.029881516655053</v>
      </c>
      <c r="W259" s="49">
        <f t="shared" ca="1" si="50"/>
        <v>42.342562865824448</v>
      </c>
      <c r="X259" s="49">
        <f t="shared" ca="1" si="50"/>
        <v>40.056411541257319</v>
      </c>
      <c r="Y259" s="49">
        <f t="shared" ca="1" si="50"/>
        <v>0</v>
      </c>
      <c r="Z259" s="49">
        <f t="shared" ca="1" si="50"/>
        <v>0</v>
      </c>
      <c r="AA259" s="49">
        <f t="shared" ca="1" si="50"/>
        <v>0</v>
      </c>
      <c r="AB259" s="49">
        <f t="shared" ca="1" si="50"/>
        <v>0</v>
      </c>
      <c r="AC259" s="49">
        <f t="shared" ca="1" si="50"/>
        <v>0</v>
      </c>
      <c r="AD259" s="49">
        <f t="shared" ca="1" si="50"/>
        <v>0</v>
      </c>
      <c r="AE259" s="49">
        <f t="shared" ca="1" si="50"/>
        <v>0</v>
      </c>
      <c r="AF259" s="49">
        <f t="shared" ca="1" si="50"/>
        <v>0</v>
      </c>
      <c r="AG259" s="49">
        <f t="shared" ca="1" si="50"/>
        <v>0</v>
      </c>
      <c r="AH259" s="49">
        <f t="shared" ca="1" si="50"/>
        <v>0</v>
      </c>
      <c r="AI259" s="49">
        <f t="shared" ca="1" si="50"/>
        <v>0</v>
      </c>
      <c r="AJ259" s="49">
        <f t="shared" ca="1" si="50"/>
        <v>0</v>
      </c>
      <c r="AK259" s="49">
        <f t="shared" ca="1" si="50"/>
        <v>0</v>
      </c>
      <c r="AL259" s="49">
        <f t="shared" ca="1" si="50"/>
        <v>0</v>
      </c>
      <c r="AM259" s="49">
        <f t="shared" ca="1" si="50"/>
        <v>0</v>
      </c>
      <c r="AN259" s="49">
        <f t="shared" ca="1" si="50"/>
        <v>0</v>
      </c>
      <c r="AO259" s="49">
        <f t="shared" ca="1" si="50"/>
        <v>0</v>
      </c>
      <c r="AP259" s="49">
        <f t="shared" ca="1" si="50"/>
        <v>0</v>
      </c>
      <c r="AQ259" s="49">
        <f t="shared" ca="1" si="50"/>
        <v>0</v>
      </c>
      <c r="AR259" s="49">
        <f t="shared" ca="1" si="50"/>
        <v>0</v>
      </c>
      <c r="AS259" s="49">
        <f t="shared" ca="1" si="50"/>
        <v>0</v>
      </c>
      <c r="AT259" s="49">
        <f t="shared" ca="1" si="50"/>
        <v>0</v>
      </c>
      <c r="AU259" s="49">
        <f t="shared" ca="1" si="50"/>
        <v>0</v>
      </c>
      <c r="AV259" s="49">
        <f t="shared" ca="1" si="50"/>
        <v>0</v>
      </c>
      <c r="AW259" s="49">
        <f t="shared" ca="1" si="50"/>
        <v>0</v>
      </c>
      <c r="AX259" s="49">
        <f t="shared" ca="1" si="50"/>
        <v>0</v>
      </c>
      <c r="AY259" s="49">
        <f t="shared" ca="1" si="50"/>
        <v>0</v>
      </c>
      <c r="AZ259" s="49">
        <f t="shared" ca="1" si="50"/>
        <v>0</v>
      </c>
      <c r="BA259" s="49">
        <f t="shared" ca="1" si="50"/>
        <v>0</v>
      </c>
      <c r="BB259" s="49">
        <f t="shared" ca="1" si="50"/>
        <v>0</v>
      </c>
      <c r="BC259" s="49">
        <f t="shared" ca="1" si="50"/>
        <v>0</v>
      </c>
      <c r="BD259" s="49">
        <f t="shared" ca="1" si="50"/>
        <v>0</v>
      </c>
      <c r="BE259" s="49">
        <f t="shared" ca="1" si="50"/>
        <v>0</v>
      </c>
      <c r="BF259" s="49">
        <f t="shared" ca="1" si="50"/>
        <v>0</v>
      </c>
      <c r="BG259" s="49">
        <f t="shared" ca="1" si="50"/>
        <v>0</v>
      </c>
      <c r="BH259" s="49">
        <f t="shared" ca="1" si="50"/>
        <v>0</v>
      </c>
      <c r="BI259" s="49">
        <f t="shared" ca="1" si="50"/>
        <v>0</v>
      </c>
      <c r="BJ259" s="49">
        <f t="shared" ca="1" si="50"/>
        <v>0</v>
      </c>
      <c r="BK259" s="49">
        <f t="shared" ca="1" si="50"/>
        <v>0</v>
      </c>
      <c r="BL259" s="49">
        <f t="shared" ca="1" si="50"/>
        <v>0</v>
      </c>
      <c r="BM259" s="49">
        <f t="shared" ca="1" si="50"/>
        <v>0</v>
      </c>
      <c r="BN259" s="49">
        <f t="shared" ca="1" si="50"/>
        <v>0</v>
      </c>
      <c r="BO259" s="49">
        <f t="shared" ca="1" si="50"/>
        <v>0</v>
      </c>
      <c r="BP259" s="49">
        <f t="shared" ca="1" si="50"/>
        <v>0</v>
      </c>
      <c r="BQ259" s="49">
        <f t="shared" ca="1" si="50"/>
        <v>0</v>
      </c>
      <c r="BR259" s="49">
        <f t="shared" ca="1" si="50"/>
        <v>0</v>
      </c>
      <c r="BS259" s="49">
        <f t="shared" ca="1" si="50"/>
        <v>0</v>
      </c>
    </row>
    <row r="260" spans="4:71" outlineLevel="1" x14ac:dyDescent="0.2">
      <c r="D260" t="s">
        <v>236</v>
      </c>
      <c r="I260" s="30">
        <f t="shared" ca="1" si="49"/>
        <v>1239.6628864994966</v>
      </c>
      <c r="J260" s="26" t="s">
        <v>148</v>
      </c>
      <c r="L260" s="49">
        <f ca="1">L257-L259</f>
        <v>79.855739233931246</v>
      </c>
      <c r="M260" s="49">
        <f t="shared" ref="M260:BS260" ca="1" si="51">M257-M259</f>
        <v>82.874871651656264</v>
      </c>
      <c r="N260" s="49">
        <f t="shared" ca="1" si="51"/>
        <v>33.382796125135428</v>
      </c>
      <c r="O260" s="49">
        <f t="shared" ca="1" si="51"/>
        <v>31.510352896671037</v>
      </c>
      <c r="P260" s="49">
        <f t="shared" ca="1" si="51"/>
        <v>87.40516192473919</v>
      </c>
      <c r="Q260" s="49">
        <f t="shared" ca="1" si="51"/>
        <v>173.74160829901274</v>
      </c>
      <c r="R260" s="49">
        <f t="shared" ca="1" si="51"/>
        <v>115.19412068973199</v>
      </c>
      <c r="S260" s="49">
        <f t="shared" ca="1" si="51"/>
        <v>106.67799072000004</v>
      </c>
      <c r="T260" s="49">
        <f t="shared" ca="1" si="51"/>
        <v>98.939464343999958</v>
      </c>
      <c r="U260" s="49">
        <f t="shared" ca="1" si="51"/>
        <v>93.853975876718437</v>
      </c>
      <c r="V260" s="49">
        <f t="shared" ca="1" si="51"/>
        <v>89.029881516655053</v>
      </c>
      <c r="W260" s="49">
        <f t="shared" ca="1" si="51"/>
        <v>127.02768859747334</v>
      </c>
      <c r="X260" s="49">
        <f t="shared" ca="1" si="51"/>
        <v>120.16923462377196</v>
      </c>
      <c r="Y260" s="49">
        <f t="shared" ca="1" si="51"/>
        <v>0</v>
      </c>
      <c r="Z260" s="49">
        <f t="shared" ca="1" si="51"/>
        <v>0</v>
      </c>
      <c r="AA260" s="49">
        <f t="shared" ca="1" si="51"/>
        <v>0</v>
      </c>
      <c r="AB260" s="49">
        <f t="shared" ca="1" si="51"/>
        <v>0</v>
      </c>
      <c r="AC260" s="49">
        <f t="shared" ca="1" si="51"/>
        <v>0</v>
      </c>
      <c r="AD260" s="49">
        <f t="shared" ca="1" si="51"/>
        <v>0</v>
      </c>
      <c r="AE260" s="49">
        <f t="shared" ca="1" si="51"/>
        <v>0</v>
      </c>
      <c r="AF260" s="49">
        <f t="shared" ca="1" si="51"/>
        <v>0</v>
      </c>
      <c r="AG260" s="49">
        <f t="shared" ca="1" si="51"/>
        <v>0</v>
      </c>
      <c r="AH260" s="49">
        <f t="shared" ca="1" si="51"/>
        <v>0</v>
      </c>
      <c r="AI260" s="49">
        <f t="shared" ca="1" si="51"/>
        <v>0</v>
      </c>
      <c r="AJ260" s="49">
        <f t="shared" ca="1" si="51"/>
        <v>0</v>
      </c>
      <c r="AK260" s="49">
        <f t="shared" ca="1" si="51"/>
        <v>0</v>
      </c>
      <c r="AL260" s="49">
        <f t="shared" ca="1" si="51"/>
        <v>0</v>
      </c>
      <c r="AM260" s="49">
        <f t="shared" ca="1" si="51"/>
        <v>0</v>
      </c>
      <c r="AN260" s="49">
        <f t="shared" ca="1" si="51"/>
        <v>0</v>
      </c>
      <c r="AO260" s="49">
        <f t="shared" ca="1" si="51"/>
        <v>0</v>
      </c>
      <c r="AP260" s="49">
        <f t="shared" ca="1" si="51"/>
        <v>0</v>
      </c>
      <c r="AQ260" s="49">
        <f t="shared" ca="1" si="51"/>
        <v>0</v>
      </c>
      <c r="AR260" s="49">
        <f t="shared" ca="1" si="51"/>
        <v>0</v>
      </c>
      <c r="AS260" s="49">
        <f t="shared" ca="1" si="51"/>
        <v>0</v>
      </c>
      <c r="AT260" s="49">
        <f t="shared" ca="1" si="51"/>
        <v>0</v>
      </c>
      <c r="AU260" s="49">
        <f t="shared" ca="1" si="51"/>
        <v>0</v>
      </c>
      <c r="AV260" s="49">
        <f t="shared" ca="1" si="51"/>
        <v>0</v>
      </c>
      <c r="AW260" s="49">
        <f t="shared" ca="1" si="51"/>
        <v>0</v>
      </c>
      <c r="AX260" s="49">
        <f t="shared" ca="1" si="51"/>
        <v>0</v>
      </c>
      <c r="AY260" s="49">
        <f t="shared" ca="1" si="51"/>
        <v>0</v>
      </c>
      <c r="AZ260" s="49">
        <f t="shared" ca="1" si="51"/>
        <v>0</v>
      </c>
      <c r="BA260" s="49">
        <f t="shared" ca="1" si="51"/>
        <v>0</v>
      </c>
      <c r="BB260" s="49">
        <f t="shared" ca="1" si="51"/>
        <v>0</v>
      </c>
      <c r="BC260" s="49">
        <f t="shared" ca="1" si="51"/>
        <v>0</v>
      </c>
      <c r="BD260" s="49">
        <f t="shared" ca="1" si="51"/>
        <v>0</v>
      </c>
      <c r="BE260" s="49">
        <f t="shared" ca="1" si="51"/>
        <v>0</v>
      </c>
      <c r="BF260" s="49">
        <f t="shared" ca="1" si="51"/>
        <v>0</v>
      </c>
      <c r="BG260" s="49">
        <f t="shared" ca="1" si="51"/>
        <v>0</v>
      </c>
      <c r="BH260" s="49">
        <f t="shared" ca="1" si="51"/>
        <v>0</v>
      </c>
      <c r="BI260" s="49">
        <f t="shared" ca="1" si="51"/>
        <v>0</v>
      </c>
      <c r="BJ260" s="49">
        <f t="shared" ca="1" si="51"/>
        <v>0</v>
      </c>
      <c r="BK260" s="49">
        <f t="shared" ca="1" si="51"/>
        <v>0</v>
      </c>
      <c r="BL260" s="49">
        <f t="shared" ca="1" si="51"/>
        <v>0</v>
      </c>
      <c r="BM260" s="49">
        <f t="shared" ca="1" si="51"/>
        <v>0</v>
      </c>
      <c r="BN260" s="49">
        <f t="shared" ca="1" si="51"/>
        <v>0</v>
      </c>
      <c r="BO260" s="49">
        <f t="shared" ca="1" si="51"/>
        <v>0</v>
      </c>
      <c r="BP260" s="49">
        <f t="shared" ca="1" si="51"/>
        <v>0</v>
      </c>
      <c r="BQ260" s="49">
        <f t="shared" ca="1" si="51"/>
        <v>0</v>
      </c>
      <c r="BR260" s="49">
        <f t="shared" ca="1" si="51"/>
        <v>0</v>
      </c>
      <c r="BS260" s="49">
        <f t="shared" ca="1" si="51"/>
        <v>0</v>
      </c>
    </row>
    <row r="261" spans="4:71" outlineLevel="1" x14ac:dyDescent="0.2">
      <c r="J261" s="26"/>
      <c r="L261" s="55"/>
      <c r="M261" s="55"/>
      <c r="N261" s="55"/>
      <c r="O261" s="55"/>
      <c r="P261" s="55"/>
      <c r="Q261" s="55"/>
      <c r="R261" s="55"/>
      <c r="S261" s="55"/>
      <c r="T261" s="55"/>
      <c r="U261" s="55"/>
      <c r="V261" s="55"/>
      <c r="W261" s="55"/>
      <c r="X261" s="55"/>
      <c r="Y261" s="55"/>
      <c r="Z261" s="55"/>
      <c r="AA261" s="55"/>
      <c r="AB261" s="55"/>
      <c r="AC261" s="55"/>
      <c r="AD261" s="55"/>
      <c r="AE261" s="55"/>
      <c r="AF261" s="55"/>
      <c r="AG261" s="55"/>
      <c r="AH261" s="55"/>
      <c r="AI261" s="55"/>
      <c r="AJ261" s="55"/>
      <c r="AK261" s="55"/>
      <c r="AL261" s="55"/>
      <c r="AM261" s="55"/>
      <c r="AN261" s="55"/>
      <c r="AO261" s="55"/>
      <c r="AP261" s="55"/>
      <c r="AQ261" s="55"/>
      <c r="AR261" s="55"/>
      <c r="AS261" s="55"/>
      <c r="AT261" s="55"/>
      <c r="AU261" s="55"/>
      <c r="AV261" s="55"/>
      <c r="AW261" s="55"/>
      <c r="AX261" s="55"/>
      <c r="AY261" s="55"/>
      <c r="AZ261" s="55"/>
      <c r="BA261" s="55"/>
      <c r="BB261" s="55"/>
      <c r="BC261" s="55"/>
      <c r="BD261" s="55"/>
      <c r="BE261" s="55"/>
      <c r="BF261" s="55"/>
      <c r="BG261" s="55"/>
      <c r="BH261" s="55"/>
      <c r="BI261" s="55"/>
      <c r="BJ261" s="55"/>
      <c r="BK261" s="55"/>
      <c r="BL261" s="55"/>
      <c r="BM261" s="55"/>
      <c r="BN261" s="55"/>
      <c r="BO261" s="55"/>
      <c r="BP261" s="55"/>
      <c r="BQ261" s="55"/>
      <c r="BR261" s="55"/>
      <c r="BS261" s="55"/>
    </row>
    <row r="262" spans="4:71" outlineLevel="1" x14ac:dyDescent="0.2">
      <c r="D262" s="11" t="s">
        <v>237</v>
      </c>
      <c r="J262" s="26"/>
      <c r="L262" s="55"/>
      <c r="M262" s="55"/>
      <c r="N262" s="55"/>
      <c r="O262" s="55"/>
      <c r="P262" s="55"/>
      <c r="Q262" s="55"/>
      <c r="R262" s="55"/>
      <c r="S262" s="55"/>
      <c r="T262" s="55"/>
      <c r="U262" s="55"/>
      <c r="V262" s="55"/>
      <c r="W262" s="55"/>
      <c r="X262" s="55"/>
      <c r="Y262" s="55"/>
      <c r="Z262" s="55"/>
      <c r="AA262" s="55"/>
      <c r="AB262" s="55"/>
      <c r="AC262" s="55"/>
      <c r="AD262" s="55"/>
      <c r="AE262" s="55"/>
      <c r="AF262" s="55"/>
      <c r="AG262" s="55"/>
      <c r="AH262" s="55"/>
      <c r="AI262" s="55"/>
      <c r="AJ262" s="55"/>
      <c r="AK262" s="55"/>
      <c r="AL262" s="55"/>
      <c r="AM262" s="55"/>
      <c r="AN262" s="55"/>
      <c r="AO262" s="55"/>
      <c r="AP262" s="55"/>
      <c r="AQ262" s="55"/>
      <c r="AR262" s="55"/>
      <c r="AS262" s="55"/>
      <c r="AT262" s="55"/>
      <c r="AU262" s="55"/>
      <c r="AV262" s="55"/>
      <c r="AW262" s="55"/>
      <c r="AX262" s="55"/>
      <c r="AY262" s="55"/>
      <c r="AZ262" s="55"/>
      <c r="BA262" s="55"/>
      <c r="BB262" s="55"/>
      <c r="BC262" s="55"/>
      <c r="BD262" s="55"/>
      <c r="BE262" s="55"/>
      <c r="BF262" s="55"/>
      <c r="BG262" s="55"/>
      <c r="BH262" s="55"/>
      <c r="BI262" s="55"/>
      <c r="BJ262" s="55"/>
      <c r="BK262" s="55"/>
      <c r="BL262" s="55"/>
      <c r="BM262" s="55"/>
      <c r="BN262" s="55"/>
      <c r="BO262" s="55"/>
      <c r="BP262" s="55"/>
      <c r="BQ262" s="55"/>
      <c r="BR262" s="55"/>
      <c r="BS262" s="55"/>
    </row>
    <row r="263" spans="4:71" outlineLevel="1" x14ac:dyDescent="0.2">
      <c r="D263" s="50" t="s">
        <v>238</v>
      </c>
      <c r="I263" s="30">
        <f t="shared" ref="I263:I269" ca="1" si="52">SUM($L263:$BS263)</f>
        <v>0</v>
      </c>
      <c r="J263" s="26" t="s">
        <v>148</v>
      </c>
      <c r="L263" s="49">
        <f ca="1">MAX(Loango_II!CA_gross_rev_gas_fp-Loango_II!CA_roy_gas_fp-(Loango_II!CA_cost_recovered_total*Loango_II!CA_rev_gas_perc)-(Loango_II!CA_excess_cost_recovery*Loango_II!CA_rev_gas_perc),0)</f>
        <v>0</v>
      </c>
      <c r="M263" s="49">
        <f ca="1">MAX(Loango_II!CA_gross_rev_gas_fp-Loango_II!CA_roy_gas_fp-(Loango_II!CA_cost_recovered_total*Loango_II!CA_rev_gas_perc)-(Loango_II!CA_excess_cost_recovery*Loango_II!CA_rev_gas_perc),0)</f>
        <v>0</v>
      </c>
      <c r="N263" s="49">
        <f ca="1">MAX(Loango_II!CA_gross_rev_gas_fp-Loango_II!CA_roy_gas_fp-(Loango_II!CA_cost_recovered_total*Loango_II!CA_rev_gas_perc)-(Loango_II!CA_excess_cost_recovery*Loango_II!CA_rev_gas_perc),0)</f>
        <v>0</v>
      </c>
      <c r="O263" s="49">
        <f ca="1">MAX(Loango_II!CA_gross_rev_gas_fp-Loango_II!CA_roy_gas_fp-(Loango_II!CA_cost_recovered_total*Loango_II!CA_rev_gas_perc)-(Loango_II!CA_excess_cost_recovery*Loango_II!CA_rev_gas_perc),0)</f>
        <v>0</v>
      </c>
      <c r="P263" s="49">
        <f ca="1">MAX(Loango_II!CA_gross_rev_gas_fp-Loango_II!CA_roy_gas_fp-(Loango_II!CA_cost_recovered_total*Loango_II!CA_rev_gas_perc)-(Loango_II!CA_excess_cost_recovery*Loango_II!CA_rev_gas_perc),0)</f>
        <v>0</v>
      </c>
      <c r="Q263" s="49">
        <f ca="1">MAX(Loango_II!CA_gross_rev_gas_fp-Loango_II!CA_roy_gas_fp-(Loango_II!CA_cost_recovered_total*Loango_II!CA_rev_gas_perc)-(Loango_II!CA_excess_cost_recovery*Loango_II!CA_rev_gas_perc),0)</f>
        <v>0</v>
      </c>
      <c r="R263" s="49">
        <f ca="1">MAX(Loango_II!CA_gross_rev_gas_fp-Loango_II!CA_roy_gas_fp-(Loango_II!CA_cost_recovered_total*Loango_II!CA_rev_gas_perc)-(Loango_II!CA_excess_cost_recovery*Loango_II!CA_rev_gas_perc),0)</f>
        <v>0</v>
      </c>
      <c r="S263" s="49">
        <f ca="1">MAX(Loango_II!CA_gross_rev_gas_fp-Loango_II!CA_roy_gas_fp-(Loango_II!CA_cost_recovered_total*Loango_II!CA_rev_gas_perc)-(Loango_II!CA_excess_cost_recovery*Loango_II!CA_rev_gas_perc),0)</f>
        <v>0</v>
      </c>
      <c r="T263" s="49">
        <f ca="1">MAX(Loango_II!CA_gross_rev_gas_fp-Loango_II!CA_roy_gas_fp-(Loango_II!CA_cost_recovered_total*Loango_II!CA_rev_gas_perc)-(Loango_II!CA_excess_cost_recovery*Loango_II!CA_rev_gas_perc),0)</f>
        <v>0</v>
      </c>
      <c r="U263" s="49">
        <f ca="1">MAX(Loango_II!CA_gross_rev_gas_fp-Loango_II!CA_roy_gas_fp-(Loango_II!CA_cost_recovered_total*Loango_II!CA_rev_gas_perc)-(Loango_II!CA_excess_cost_recovery*Loango_II!CA_rev_gas_perc),0)</f>
        <v>0</v>
      </c>
      <c r="V263" s="49">
        <f ca="1">MAX(Loango_II!CA_gross_rev_gas_fp-Loango_II!CA_roy_gas_fp-(Loango_II!CA_cost_recovered_total*Loango_II!CA_rev_gas_perc)-(Loango_II!CA_excess_cost_recovery*Loango_II!CA_rev_gas_perc),0)</f>
        <v>0</v>
      </c>
      <c r="W263" s="49">
        <f ca="1">MAX(Loango_II!CA_gross_rev_gas_fp-Loango_II!CA_roy_gas_fp-(Loango_II!CA_cost_recovered_total*Loango_II!CA_rev_gas_perc)-(Loango_II!CA_excess_cost_recovery*Loango_II!CA_rev_gas_perc),0)</f>
        <v>0</v>
      </c>
      <c r="X263" s="49">
        <f ca="1">MAX(Loango_II!CA_gross_rev_gas_fp-Loango_II!CA_roy_gas_fp-(Loango_II!CA_cost_recovered_total*Loango_II!CA_rev_gas_perc)-(Loango_II!CA_excess_cost_recovery*Loango_II!CA_rev_gas_perc),0)</f>
        <v>0</v>
      </c>
      <c r="Y263" s="49">
        <f ca="1">MAX(Loango_II!CA_gross_rev_gas_fp-Loango_II!CA_roy_gas_fp-(Loango_II!CA_cost_recovered_total*Loango_II!CA_rev_gas_perc)-(Loango_II!CA_excess_cost_recovery*Loango_II!CA_rev_gas_perc),0)</f>
        <v>0</v>
      </c>
      <c r="Z263" s="49">
        <f ca="1">MAX(Loango_II!CA_gross_rev_gas_fp-Loango_II!CA_roy_gas_fp-(Loango_II!CA_cost_recovered_total*Loango_II!CA_rev_gas_perc)-(Loango_II!CA_excess_cost_recovery*Loango_II!CA_rev_gas_perc),0)</f>
        <v>0</v>
      </c>
      <c r="AA263" s="49">
        <f ca="1">MAX(Loango_II!CA_gross_rev_gas_fp-Loango_II!CA_roy_gas_fp-(Loango_II!CA_cost_recovered_total*Loango_II!CA_rev_gas_perc)-(Loango_II!CA_excess_cost_recovery*Loango_II!CA_rev_gas_perc),0)</f>
        <v>0</v>
      </c>
      <c r="AB263" s="49">
        <f ca="1">MAX(Loango_II!CA_gross_rev_gas_fp-Loango_II!CA_roy_gas_fp-(Loango_II!CA_cost_recovered_total*Loango_II!CA_rev_gas_perc)-(Loango_II!CA_excess_cost_recovery*Loango_II!CA_rev_gas_perc),0)</f>
        <v>0</v>
      </c>
      <c r="AC263" s="49">
        <f ca="1">MAX(Loango_II!CA_gross_rev_gas_fp-Loango_II!CA_roy_gas_fp-(Loango_II!CA_cost_recovered_total*Loango_II!CA_rev_gas_perc)-(Loango_II!CA_excess_cost_recovery*Loango_II!CA_rev_gas_perc),0)</f>
        <v>0</v>
      </c>
      <c r="AD263" s="49">
        <f ca="1">MAX(Loango_II!CA_gross_rev_gas_fp-Loango_II!CA_roy_gas_fp-(Loango_II!CA_cost_recovered_total*Loango_II!CA_rev_gas_perc)-(Loango_II!CA_excess_cost_recovery*Loango_II!CA_rev_gas_perc),0)</f>
        <v>0</v>
      </c>
      <c r="AE263" s="49">
        <f ca="1">MAX(Loango_II!CA_gross_rev_gas_fp-Loango_II!CA_roy_gas_fp-(Loango_II!CA_cost_recovered_total*Loango_II!CA_rev_gas_perc)-(Loango_II!CA_excess_cost_recovery*Loango_II!CA_rev_gas_perc),0)</f>
        <v>0</v>
      </c>
      <c r="AF263" s="49">
        <f ca="1">MAX(Loango_II!CA_gross_rev_gas_fp-Loango_II!CA_roy_gas_fp-(Loango_II!CA_cost_recovered_total*Loango_II!CA_rev_gas_perc)-(Loango_II!CA_excess_cost_recovery*Loango_II!CA_rev_gas_perc),0)</f>
        <v>0</v>
      </c>
      <c r="AG263" s="49">
        <f ca="1">MAX(Loango_II!CA_gross_rev_gas_fp-Loango_II!CA_roy_gas_fp-(Loango_II!CA_cost_recovered_total*Loango_II!CA_rev_gas_perc)-(Loango_II!CA_excess_cost_recovery*Loango_II!CA_rev_gas_perc),0)</f>
        <v>0</v>
      </c>
      <c r="AH263" s="49">
        <f ca="1">MAX(Loango_II!CA_gross_rev_gas_fp-Loango_II!CA_roy_gas_fp-(Loango_II!CA_cost_recovered_total*Loango_II!CA_rev_gas_perc)-(Loango_II!CA_excess_cost_recovery*Loango_II!CA_rev_gas_perc),0)</f>
        <v>0</v>
      </c>
      <c r="AI263" s="49">
        <f ca="1">MAX(Loango_II!CA_gross_rev_gas_fp-Loango_II!CA_roy_gas_fp-(Loango_II!CA_cost_recovered_total*Loango_II!CA_rev_gas_perc)-(Loango_II!CA_excess_cost_recovery*Loango_II!CA_rev_gas_perc),0)</f>
        <v>0</v>
      </c>
      <c r="AJ263" s="49">
        <f ca="1">MAX(Loango_II!CA_gross_rev_gas_fp-Loango_II!CA_roy_gas_fp-(Loango_II!CA_cost_recovered_total*Loango_II!CA_rev_gas_perc)-(Loango_II!CA_excess_cost_recovery*Loango_II!CA_rev_gas_perc),0)</f>
        <v>0</v>
      </c>
      <c r="AK263" s="49">
        <f ca="1">MAX(Loango_II!CA_gross_rev_gas_fp-Loango_II!CA_roy_gas_fp-(Loango_II!CA_cost_recovered_total*Loango_II!CA_rev_gas_perc)-(Loango_II!CA_excess_cost_recovery*Loango_II!CA_rev_gas_perc),0)</f>
        <v>0</v>
      </c>
      <c r="AL263" s="49">
        <f ca="1">MAX(Loango_II!CA_gross_rev_gas_fp-Loango_II!CA_roy_gas_fp-(Loango_II!CA_cost_recovered_total*Loango_II!CA_rev_gas_perc)-(Loango_II!CA_excess_cost_recovery*Loango_II!CA_rev_gas_perc),0)</f>
        <v>0</v>
      </c>
      <c r="AM263" s="49">
        <f ca="1">MAX(Loango_II!CA_gross_rev_gas_fp-Loango_II!CA_roy_gas_fp-(Loango_II!CA_cost_recovered_total*Loango_II!CA_rev_gas_perc)-(Loango_II!CA_excess_cost_recovery*Loango_II!CA_rev_gas_perc),0)</f>
        <v>0</v>
      </c>
      <c r="AN263" s="49">
        <f ca="1">MAX(Loango_II!CA_gross_rev_gas_fp-Loango_II!CA_roy_gas_fp-(Loango_II!CA_cost_recovered_total*Loango_II!CA_rev_gas_perc)-(Loango_II!CA_excess_cost_recovery*Loango_II!CA_rev_gas_perc),0)</f>
        <v>0</v>
      </c>
      <c r="AO263" s="49">
        <f ca="1">MAX(Loango_II!CA_gross_rev_gas_fp-Loango_II!CA_roy_gas_fp-(Loango_II!CA_cost_recovered_total*Loango_II!CA_rev_gas_perc)-(Loango_II!CA_excess_cost_recovery*Loango_II!CA_rev_gas_perc),0)</f>
        <v>0</v>
      </c>
      <c r="AP263" s="49">
        <f ca="1">MAX(Loango_II!CA_gross_rev_gas_fp-Loango_II!CA_roy_gas_fp-(Loango_II!CA_cost_recovered_total*Loango_II!CA_rev_gas_perc)-(Loango_II!CA_excess_cost_recovery*Loango_II!CA_rev_gas_perc),0)</f>
        <v>0</v>
      </c>
      <c r="AQ263" s="49">
        <f ca="1">MAX(Loango_II!CA_gross_rev_gas_fp-Loango_II!CA_roy_gas_fp-(Loango_II!CA_cost_recovered_total*Loango_II!CA_rev_gas_perc)-(Loango_II!CA_excess_cost_recovery*Loango_II!CA_rev_gas_perc),0)</f>
        <v>0</v>
      </c>
      <c r="AR263" s="49">
        <f ca="1">MAX(Loango_II!CA_gross_rev_gas_fp-Loango_II!CA_roy_gas_fp-(Loango_II!CA_cost_recovered_total*Loango_II!CA_rev_gas_perc)-(Loango_II!CA_excess_cost_recovery*Loango_II!CA_rev_gas_perc),0)</f>
        <v>0</v>
      </c>
      <c r="AS263" s="49">
        <f ca="1">MAX(Loango_II!CA_gross_rev_gas_fp-Loango_II!CA_roy_gas_fp-(Loango_II!CA_cost_recovered_total*Loango_II!CA_rev_gas_perc)-(Loango_II!CA_excess_cost_recovery*Loango_II!CA_rev_gas_perc),0)</f>
        <v>0</v>
      </c>
      <c r="AT263" s="49">
        <f ca="1">MAX(Loango_II!CA_gross_rev_gas_fp-Loango_II!CA_roy_gas_fp-(Loango_II!CA_cost_recovered_total*Loango_II!CA_rev_gas_perc)-(Loango_II!CA_excess_cost_recovery*Loango_II!CA_rev_gas_perc),0)</f>
        <v>0</v>
      </c>
      <c r="AU263" s="49">
        <f ca="1">MAX(Loango_II!CA_gross_rev_gas_fp-Loango_II!CA_roy_gas_fp-(Loango_II!CA_cost_recovered_total*Loango_II!CA_rev_gas_perc)-(Loango_II!CA_excess_cost_recovery*Loango_II!CA_rev_gas_perc),0)</f>
        <v>0</v>
      </c>
      <c r="AV263" s="49">
        <f ca="1">MAX(Loango_II!CA_gross_rev_gas_fp-Loango_II!CA_roy_gas_fp-(Loango_II!CA_cost_recovered_total*Loango_II!CA_rev_gas_perc)-(Loango_II!CA_excess_cost_recovery*Loango_II!CA_rev_gas_perc),0)</f>
        <v>0</v>
      </c>
      <c r="AW263" s="49">
        <f ca="1">MAX(Loango_II!CA_gross_rev_gas_fp-Loango_II!CA_roy_gas_fp-(Loango_II!CA_cost_recovered_total*Loango_II!CA_rev_gas_perc)-(Loango_II!CA_excess_cost_recovery*Loango_II!CA_rev_gas_perc),0)</f>
        <v>0</v>
      </c>
      <c r="AX263" s="49">
        <f ca="1">MAX(Loango_II!CA_gross_rev_gas_fp-Loango_II!CA_roy_gas_fp-(Loango_II!CA_cost_recovered_total*Loango_II!CA_rev_gas_perc)-(Loango_II!CA_excess_cost_recovery*Loango_II!CA_rev_gas_perc),0)</f>
        <v>0</v>
      </c>
      <c r="AY263" s="49">
        <f ca="1">MAX(Loango_II!CA_gross_rev_gas_fp-Loango_II!CA_roy_gas_fp-(Loango_II!CA_cost_recovered_total*Loango_II!CA_rev_gas_perc)-(Loango_II!CA_excess_cost_recovery*Loango_II!CA_rev_gas_perc),0)</f>
        <v>0</v>
      </c>
      <c r="AZ263" s="49">
        <f ca="1">MAX(Loango_II!CA_gross_rev_gas_fp-Loango_II!CA_roy_gas_fp-(Loango_II!CA_cost_recovered_total*Loango_II!CA_rev_gas_perc)-(Loango_II!CA_excess_cost_recovery*Loango_II!CA_rev_gas_perc),0)</f>
        <v>0</v>
      </c>
      <c r="BA263" s="49">
        <f ca="1">MAX(Loango_II!CA_gross_rev_gas_fp-Loango_II!CA_roy_gas_fp-(Loango_II!CA_cost_recovered_total*Loango_II!CA_rev_gas_perc)-(Loango_II!CA_excess_cost_recovery*Loango_II!CA_rev_gas_perc),0)</f>
        <v>0</v>
      </c>
      <c r="BB263" s="49">
        <f ca="1">MAX(Loango_II!CA_gross_rev_gas_fp-Loango_II!CA_roy_gas_fp-(Loango_II!CA_cost_recovered_total*Loango_II!CA_rev_gas_perc)-(Loango_II!CA_excess_cost_recovery*Loango_II!CA_rev_gas_perc),0)</f>
        <v>0</v>
      </c>
      <c r="BC263" s="49">
        <f ca="1">MAX(Loango_II!CA_gross_rev_gas_fp-Loango_II!CA_roy_gas_fp-(Loango_II!CA_cost_recovered_total*Loango_II!CA_rev_gas_perc)-(Loango_II!CA_excess_cost_recovery*Loango_II!CA_rev_gas_perc),0)</f>
        <v>0</v>
      </c>
      <c r="BD263" s="49">
        <f ca="1">MAX(Loango_II!CA_gross_rev_gas_fp-Loango_II!CA_roy_gas_fp-(Loango_II!CA_cost_recovered_total*Loango_II!CA_rev_gas_perc)-(Loango_II!CA_excess_cost_recovery*Loango_II!CA_rev_gas_perc),0)</f>
        <v>0</v>
      </c>
      <c r="BE263" s="49">
        <f ca="1">MAX(Loango_II!CA_gross_rev_gas_fp-Loango_II!CA_roy_gas_fp-(Loango_II!CA_cost_recovered_total*Loango_II!CA_rev_gas_perc)-(Loango_II!CA_excess_cost_recovery*Loango_II!CA_rev_gas_perc),0)</f>
        <v>0</v>
      </c>
      <c r="BF263" s="49">
        <f ca="1">MAX(Loango_II!CA_gross_rev_gas_fp-Loango_II!CA_roy_gas_fp-(Loango_II!CA_cost_recovered_total*Loango_II!CA_rev_gas_perc)-(Loango_II!CA_excess_cost_recovery*Loango_II!CA_rev_gas_perc),0)</f>
        <v>0</v>
      </c>
      <c r="BG263" s="49">
        <f ca="1">MAX(Loango_II!CA_gross_rev_gas_fp-Loango_II!CA_roy_gas_fp-(Loango_II!CA_cost_recovered_total*Loango_II!CA_rev_gas_perc)-(Loango_II!CA_excess_cost_recovery*Loango_II!CA_rev_gas_perc),0)</f>
        <v>0</v>
      </c>
      <c r="BH263" s="49">
        <f ca="1">MAX(Loango_II!CA_gross_rev_gas_fp-Loango_II!CA_roy_gas_fp-(Loango_II!CA_cost_recovered_total*Loango_II!CA_rev_gas_perc)-(Loango_II!CA_excess_cost_recovery*Loango_II!CA_rev_gas_perc),0)</f>
        <v>0</v>
      </c>
      <c r="BI263" s="49">
        <f ca="1">MAX(Loango_II!CA_gross_rev_gas_fp-Loango_II!CA_roy_gas_fp-(Loango_II!CA_cost_recovered_total*Loango_II!CA_rev_gas_perc)-(Loango_II!CA_excess_cost_recovery*Loango_II!CA_rev_gas_perc),0)</f>
        <v>0</v>
      </c>
      <c r="BJ263" s="49">
        <f ca="1">MAX(Loango_II!CA_gross_rev_gas_fp-Loango_II!CA_roy_gas_fp-(Loango_II!CA_cost_recovered_total*Loango_II!CA_rev_gas_perc)-(Loango_II!CA_excess_cost_recovery*Loango_II!CA_rev_gas_perc),0)</f>
        <v>0</v>
      </c>
      <c r="BK263" s="49">
        <f ca="1">MAX(Loango_II!CA_gross_rev_gas_fp-Loango_II!CA_roy_gas_fp-(Loango_II!CA_cost_recovered_total*Loango_II!CA_rev_gas_perc)-(Loango_II!CA_excess_cost_recovery*Loango_II!CA_rev_gas_perc),0)</f>
        <v>0</v>
      </c>
      <c r="BL263" s="49">
        <f ca="1">MAX(Loango_II!CA_gross_rev_gas_fp-Loango_II!CA_roy_gas_fp-(Loango_II!CA_cost_recovered_total*Loango_II!CA_rev_gas_perc)-(Loango_II!CA_excess_cost_recovery*Loango_II!CA_rev_gas_perc),0)</f>
        <v>0</v>
      </c>
      <c r="BM263" s="49">
        <f ca="1">MAX(Loango_II!CA_gross_rev_gas_fp-Loango_II!CA_roy_gas_fp-(Loango_II!CA_cost_recovered_total*Loango_II!CA_rev_gas_perc)-(Loango_II!CA_excess_cost_recovery*Loango_II!CA_rev_gas_perc),0)</f>
        <v>0</v>
      </c>
      <c r="BN263" s="49">
        <f ca="1">MAX(Loango_II!CA_gross_rev_gas_fp-Loango_II!CA_roy_gas_fp-(Loango_II!CA_cost_recovered_total*Loango_II!CA_rev_gas_perc)-(Loango_II!CA_excess_cost_recovery*Loango_II!CA_rev_gas_perc),0)</f>
        <v>0</v>
      </c>
      <c r="BO263" s="49">
        <f ca="1">MAX(Loango_II!CA_gross_rev_gas_fp-Loango_II!CA_roy_gas_fp-(Loango_II!CA_cost_recovered_total*Loango_II!CA_rev_gas_perc)-(Loango_II!CA_excess_cost_recovery*Loango_II!CA_rev_gas_perc),0)</f>
        <v>0</v>
      </c>
      <c r="BP263" s="49">
        <f ca="1">MAX(Loango_II!CA_gross_rev_gas_fp-Loango_II!CA_roy_gas_fp-(Loango_II!CA_cost_recovered_total*Loango_II!CA_rev_gas_perc)-(Loango_II!CA_excess_cost_recovery*Loango_II!CA_rev_gas_perc),0)</f>
        <v>0</v>
      </c>
      <c r="BQ263" s="49">
        <f ca="1">MAX(Loango_II!CA_gross_rev_gas_fp-Loango_II!CA_roy_gas_fp-(Loango_II!CA_cost_recovered_total*Loango_II!CA_rev_gas_perc)-(Loango_II!CA_excess_cost_recovery*Loango_II!CA_rev_gas_perc),0)</f>
        <v>0</v>
      </c>
      <c r="BR263" s="49">
        <f ca="1">MAX(Loango_II!CA_gross_rev_gas_fp-Loango_II!CA_roy_gas_fp-(Loango_II!CA_cost_recovered_total*Loango_II!CA_rev_gas_perc)-(Loango_II!CA_excess_cost_recovery*Loango_II!CA_rev_gas_perc),0)</f>
        <v>0</v>
      </c>
      <c r="BS263" s="49">
        <f ca="1">MAX(Loango_II!CA_gross_rev_gas_fp-Loango_II!CA_roy_gas_fp-(Loango_II!CA_cost_recovered_total*Loango_II!CA_rev_gas_perc)-(Loango_II!CA_excess_cost_recovery*Loango_II!CA_rev_gas_perc),0)</f>
        <v>0</v>
      </c>
    </row>
    <row r="264" spans="4:71" outlineLevel="1" x14ac:dyDescent="0.2">
      <c r="D264" s="50" t="s">
        <v>234</v>
      </c>
      <c r="J264" s="26"/>
      <c r="L264" s="53">
        <f ca="1">INDEX(Loango_II!FA_PS_cont_rate,MATCH(Loango_II!CA_cum_gross_prod_gas,Loango_II!FA_PS_cumprod_gas,1))*Loango_II!CA_op_trig</f>
        <v>0.5</v>
      </c>
      <c r="M264" s="53">
        <f ca="1">INDEX(Loango_II!FA_PS_cont_rate,MATCH(Loango_II!CA_cum_gross_prod_gas,Loango_II!FA_PS_cumprod_gas,1))*Loango_II!CA_op_trig</f>
        <v>0.5</v>
      </c>
      <c r="N264" s="53">
        <f ca="1">INDEX(Loango_II!FA_PS_cont_rate,MATCH(Loango_II!CA_cum_gross_prod_gas,Loango_II!FA_PS_cumprod_gas,1))*Loango_II!CA_op_trig</f>
        <v>0.5</v>
      </c>
      <c r="O264" s="53">
        <f ca="1">INDEX(Loango_II!FA_PS_cont_rate,MATCH(Loango_II!CA_cum_gross_prod_gas,Loango_II!FA_PS_cumprod_gas,1))*Loango_II!CA_op_trig</f>
        <v>0.5</v>
      </c>
      <c r="P264" s="53">
        <f ca="1">INDEX(Loango_II!FA_PS_cont_rate,MATCH(Loango_II!CA_cum_gross_prod_gas,Loango_II!FA_PS_cumprod_gas,1))*Loango_II!CA_op_trig</f>
        <v>0.5</v>
      </c>
      <c r="Q264" s="53">
        <f ca="1">INDEX(Loango_II!FA_PS_cont_rate,MATCH(Loango_II!CA_cum_gross_prod_gas,Loango_II!FA_PS_cumprod_gas,1))*Loango_II!CA_op_trig</f>
        <v>0.5</v>
      </c>
      <c r="R264" s="53">
        <f ca="1">INDEX(Loango_II!FA_PS_cont_rate,MATCH(Loango_II!CA_cum_gross_prod_gas,Loango_II!FA_PS_cumprod_gas,1))*Loango_II!CA_op_trig</f>
        <v>0.5</v>
      </c>
      <c r="S264" s="53">
        <f ca="1">INDEX(Loango_II!FA_PS_cont_rate,MATCH(Loango_II!CA_cum_gross_prod_gas,Loango_II!FA_PS_cumprod_gas,1))*Loango_II!CA_op_trig</f>
        <v>0.5</v>
      </c>
      <c r="T264" s="53">
        <f ca="1">INDEX(Loango_II!FA_PS_cont_rate,MATCH(Loango_II!CA_cum_gross_prod_gas,Loango_II!FA_PS_cumprod_gas,1))*Loango_II!CA_op_trig</f>
        <v>0.5</v>
      </c>
      <c r="U264" s="53">
        <f ca="1">INDEX(Loango_II!FA_PS_cont_rate,MATCH(Loango_II!CA_cum_gross_prod_gas,Loango_II!FA_PS_cumprod_gas,1))*Loango_II!CA_op_trig</f>
        <v>0.5</v>
      </c>
      <c r="V264" s="53">
        <f ca="1">INDEX(Loango_II!FA_PS_cont_rate,MATCH(Loango_II!CA_cum_gross_prod_gas,Loango_II!FA_PS_cumprod_gas,1))*Loango_II!CA_op_trig</f>
        <v>0.5</v>
      </c>
      <c r="W264" s="53">
        <f ca="1">INDEX(Loango_II!FA_PS_cont_rate,MATCH(Loango_II!CA_cum_gross_prod_gas,Loango_II!FA_PS_cumprod_gas,1))*Loango_II!CA_op_trig</f>
        <v>0.5</v>
      </c>
      <c r="X264" s="53">
        <f ca="1">INDEX(Loango_II!FA_PS_cont_rate,MATCH(Loango_II!CA_cum_gross_prod_gas,Loango_II!FA_PS_cumprod_gas,1))*Loango_II!CA_op_trig</f>
        <v>0.5</v>
      </c>
      <c r="Y264" s="53">
        <f ca="1">INDEX(Loango_II!FA_PS_cont_rate,MATCH(Loango_II!CA_cum_gross_prod_gas,Loango_II!FA_PS_cumprod_gas,1))*Loango_II!CA_op_trig</f>
        <v>0</v>
      </c>
      <c r="Z264" s="53">
        <f ca="1">INDEX(Loango_II!FA_PS_cont_rate,MATCH(Loango_II!CA_cum_gross_prod_gas,Loango_II!FA_PS_cumprod_gas,1))*Loango_II!CA_op_trig</f>
        <v>0</v>
      </c>
      <c r="AA264" s="53">
        <f ca="1">INDEX(Loango_II!FA_PS_cont_rate,MATCH(Loango_II!CA_cum_gross_prod_gas,Loango_II!FA_PS_cumprod_gas,1))*Loango_II!CA_op_trig</f>
        <v>0</v>
      </c>
      <c r="AB264" s="53">
        <f ca="1">INDEX(Loango_II!FA_PS_cont_rate,MATCH(Loango_II!CA_cum_gross_prod_gas,Loango_II!FA_PS_cumprod_gas,1))*Loango_II!CA_op_trig</f>
        <v>0</v>
      </c>
      <c r="AC264" s="53">
        <f ca="1">INDEX(Loango_II!FA_PS_cont_rate,MATCH(Loango_II!CA_cum_gross_prod_gas,Loango_II!FA_PS_cumprod_gas,1))*Loango_II!CA_op_trig</f>
        <v>0</v>
      </c>
      <c r="AD264" s="53">
        <f ca="1">INDEX(Loango_II!FA_PS_cont_rate,MATCH(Loango_II!CA_cum_gross_prod_gas,Loango_II!FA_PS_cumprod_gas,1))*Loango_II!CA_op_trig</f>
        <v>0</v>
      </c>
      <c r="AE264" s="53">
        <f ca="1">INDEX(Loango_II!FA_PS_cont_rate,MATCH(Loango_II!CA_cum_gross_prod_gas,Loango_II!FA_PS_cumprod_gas,1))*Loango_II!CA_op_trig</f>
        <v>0</v>
      </c>
      <c r="AF264" s="53">
        <f ca="1">INDEX(Loango_II!FA_PS_cont_rate,MATCH(Loango_II!CA_cum_gross_prod_gas,Loango_II!FA_PS_cumprod_gas,1))*Loango_II!CA_op_trig</f>
        <v>0</v>
      </c>
      <c r="AG264" s="53">
        <f ca="1">INDEX(Loango_II!FA_PS_cont_rate,MATCH(Loango_II!CA_cum_gross_prod_gas,Loango_II!FA_PS_cumprod_gas,1))*Loango_II!CA_op_trig</f>
        <v>0</v>
      </c>
      <c r="AH264" s="53">
        <f ca="1">INDEX(Loango_II!FA_PS_cont_rate,MATCH(Loango_II!CA_cum_gross_prod_gas,Loango_II!FA_PS_cumprod_gas,1))*Loango_II!CA_op_trig</f>
        <v>0</v>
      </c>
      <c r="AI264" s="53">
        <f ca="1">INDEX(Loango_II!FA_PS_cont_rate,MATCH(Loango_II!CA_cum_gross_prod_gas,Loango_II!FA_PS_cumprod_gas,1))*Loango_II!CA_op_trig</f>
        <v>0</v>
      </c>
      <c r="AJ264" s="53">
        <f ca="1">INDEX(Loango_II!FA_PS_cont_rate,MATCH(Loango_II!CA_cum_gross_prod_gas,Loango_II!FA_PS_cumprod_gas,1))*Loango_II!CA_op_trig</f>
        <v>0</v>
      </c>
      <c r="AK264" s="53">
        <f ca="1">INDEX(Loango_II!FA_PS_cont_rate,MATCH(Loango_II!CA_cum_gross_prod_gas,Loango_II!FA_PS_cumprod_gas,1))*Loango_II!CA_op_trig</f>
        <v>0</v>
      </c>
      <c r="AL264" s="53">
        <f ca="1">INDEX(Loango_II!FA_PS_cont_rate,MATCH(Loango_II!CA_cum_gross_prod_gas,Loango_II!FA_PS_cumprod_gas,1))*Loango_II!CA_op_trig</f>
        <v>0</v>
      </c>
      <c r="AM264" s="53">
        <f ca="1">INDEX(Loango_II!FA_PS_cont_rate,MATCH(Loango_II!CA_cum_gross_prod_gas,Loango_II!FA_PS_cumprod_gas,1))*Loango_II!CA_op_trig</f>
        <v>0</v>
      </c>
      <c r="AN264" s="53">
        <f ca="1">INDEX(Loango_II!FA_PS_cont_rate,MATCH(Loango_II!CA_cum_gross_prod_gas,Loango_II!FA_PS_cumprod_gas,1))*Loango_II!CA_op_trig</f>
        <v>0</v>
      </c>
      <c r="AO264" s="53">
        <f ca="1">INDEX(Loango_II!FA_PS_cont_rate,MATCH(Loango_II!CA_cum_gross_prod_gas,Loango_II!FA_PS_cumprod_gas,1))*Loango_II!CA_op_trig</f>
        <v>0</v>
      </c>
      <c r="AP264" s="53">
        <f ca="1">INDEX(Loango_II!FA_PS_cont_rate,MATCH(Loango_II!CA_cum_gross_prod_gas,Loango_II!FA_PS_cumprod_gas,1))*Loango_II!CA_op_trig</f>
        <v>0</v>
      </c>
      <c r="AQ264" s="53">
        <f ca="1">INDEX(Loango_II!FA_PS_cont_rate,MATCH(Loango_II!CA_cum_gross_prod_gas,Loango_II!FA_PS_cumprod_gas,1))*Loango_II!CA_op_trig</f>
        <v>0</v>
      </c>
      <c r="AR264" s="53">
        <f ca="1">INDEX(Loango_II!FA_PS_cont_rate,MATCH(Loango_II!CA_cum_gross_prod_gas,Loango_II!FA_PS_cumprod_gas,1))*Loango_II!CA_op_trig</f>
        <v>0</v>
      </c>
      <c r="AS264" s="53">
        <f ca="1">INDEX(Loango_II!FA_PS_cont_rate,MATCH(Loango_II!CA_cum_gross_prod_gas,Loango_II!FA_PS_cumprod_gas,1))*Loango_II!CA_op_trig</f>
        <v>0</v>
      </c>
      <c r="AT264" s="53">
        <f ca="1">INDEX(Loango_II!FA_PS_cont_rate,MATCH(Loango_II!CA_cum_gross_prod_gas,Loango_II!FA_PS_cumprod_gas,1))*Loango_II!CA_op_trig</f>
        <v>0</v>
      </c>
      <c r="AU264" s="53">
        <f ca="1">INDEX(Loango_II!FA_PS_cont_rate,MATCH(Loango_II!CA_cum_gross_prod_gas,Loango_II!FA_PS_cumprod_gas,1))*Loango_II!CA_op_trig</f>
        <v>0</v>
      </c>
      <c r="AV264" s="53">
        <f ca="1">INDEX(Loango_II!FA_PS_cont_rate,MATCH(Loango_II!CA_cum_gross_prod_gas,Loango_II!FA_PS_cumprod_gas,1))*Loango_II!CA_op_trig</f>
        <v>0</v>
      </c>
      <c r="AW264" s="53">
        <f ca="1">INDEX(Loango_II!FA_PS_cont_rate,MATCH(Loango_II!CA_cum_gross_prod_gas,Loango_II!FA_PS_cumprod_gas,1))*Loango_II!CA_op_trig</f>
        <v>0</v>
      </c>
      <c r="AX264" s="53">
        <f ca="1">INDEX(Loango_II!FA_PS_cont_rate,MATCH(Loango_II!CA_cum_gross_prod_gas,Loango_II!FA_PS_cumprod_gas,1))*Loango_II!CA_op_trig</f>
        <v>0</v>
      </c>
      <c r="AY264" s="53">
        <f ca="1">INDEX(Loango_II!FA_PS_cont_rate,MATCH(Loango_II!CA_cum_gross_prod_gas,Loango_II!FA_PS_cumprod_gas,1))*Loango_II!CA_op_trig</f>
        <v>0</v>
      </c>
      <c r="AZ264" s="53">
        <f ca="1">INDEX(Loango_II!FA_PS_cont_rate,MATCH(Loango_II!CA_cum_gross_prod_gas,Loango_II!FA_PS_cumprod_gas,1))*Loango_II!CA_op_trig</f>
        <v>0</v>
      </c>
      <c r="BA264" s="53">
        <f ca="1">INDEX(Loango_II!FA_PS_cont_rate,MATCH(Loango_II!CA_cum_gross_prod_gas,Loango_II!FA_PS_cumprod_gas,1))*Loango_II!CA_op_trig</f>
        <v>0</v>
      </c>
      <c r="BB264" s="53">
        <f ca="1">INDEX(Loango_II!FA_PS_cont_rate,MATCH(Loango_II!CA_cum_gross_prod_gas,Loango_II!FA_PS_cumprod_gas,1))*Loango_II!CA_op_trig</f>
        <v>0</v>
      </c>
      <c r="BC264" s="53">
        <f ca="1">INDEX(Loango_II!FA_PS_cont_rate,MATCH(Loango_II!CA_cum_gross_prod_gas,Loango_II!FA_PS_cumprod_gas,1))*Loango_II!CA_op_trig</f>
        <v>0</v>
      </c>
      <c r="BD264" s="53">
        <f ca="1">INDEX(Loango_II!FA_PS_cont_rate,MATCH(Loango_II!CA_cum_gross_prod_gas,Loango_II!FA_PS_cumprod_gas,1))*Loango_II!CA_op_trig</f>
        <v>0</v>
      </c>
      <c r="BE264" s="53">
        <f ca="1">INDEX(Loango_II!FA_PS_cont_rate,MATCH(Loango_II!CA_cum_gross_prod_gas,Loango_II!FA_PS_cumprod_gas,1))*Loango_II!CA_op_trig</f>
        <v>0</v>
      </c>
      <c r="BF264" s="53">
        <f ca="1">INDEX(Loango_II!FA_PS_cont_rate,MATCH(Loango_II!CA_cum_gross_prod_gas,Loango_II!FA_PS_cumprod_gas,1))*Loango_II!CA_op_trig</f>
        <v>0</v>
      </c>
      <c r="BG264" s="53">
        <f ca="1">INDEX(Loango_II!FA_PS_cont_rate,MATCH(Loango_II!CA_cum_gross_prod_gas,Loango_II!FA_PS_cumprod_gas,1))*Loango_II!CA_op_trig</f>
        <v>0</v>
      </c>
      <c r="BH264" s="53">
        <f ca="1">INDEX(Loango_II!FA_PS_cont_rate,MATCH(Loango_II!CA_cum_gross_prod_gas,Loango_II!FA_PS_cumprod_gas,1))*Loango_II!CA_op_trig</f>
        <v>0</v>
      </c>
      <c r="BI264" s="53">
        <f ca="1">INDEX(Loango_II!FA_PS_cont_rate,MATCH(Loango_II!CA_cum_gross_prod_gas,Loango_II!FA_PS_cumprod_gas,1))*Loango_II!CA_op_trig</f>
        <v>0</v>
      </c>
      <c r="BJ264" s="53">
        <f ca="1">INDEX(Loango_II!FA_PS_cont_rate,MATCH(Loango_II!CA_cum_gross_prod_gas,Loango_II!FA_PS_cumprod_gas,1))*Loango_II!CA_op_trig</f>
        <v>0</v>
      </c>
      <c r="BK264" s="53">
        <f ca="1">INDEX(Loango_II!FA_PS_cont_rate,MATCH(Loango_II!CA_cum_gross_prod_gas,Loango_II!FA_PS_cumprod_gas,1))*Loango_II!CA_op_trig</f>
        <v>0</v>
      </c>
      <c r="BL264" s="53">
        <f ca="1">INDEX(Loango_II!FA_PS_cont_rate,MATCH(Loango_II!CA_cum_gross_prod_gas,Loango_II!FA_PS_cumprod_gas,1))*Loango_II!CA_op_trig</f>
        <v>0</v>
      </c>
      <c r="BM264" s="53">
        <f ca="1">INDEX(Loango_II!FA_PS_cont_rate,MATCH(Loango_II!CA_cum_gross_prod_gas,Loango_II!FA_PS_cumprod_gas,1))*Loango_II!CA_op_trig</f>
        <v>0</v>
      </c>
      <c r="BN264" s="53">
        <f ca="1">INDEX(Loango_II!FA_PS_cont_rate,MATCH(Loango_II!CA_cum_gross_prod_gas,Loango_II!FA_PS_cumprod_gas,1))*Loango_II!CA_op_trig</f>
        <v>0</v>
      </c>
      <c r="BO264" s="53">
        <f ca="1">INDEX(Loango_II!FA_PS_cont_rate,MATCH(Loango_II!CA_cum_gross_prod_gas,Loango_II!FA_PS_cumprod_gas,1))*Loango_II!CA_op_trig</f>
        <v>0</v>
      </c>
      <c r="BP264" s="53">
        <f ca="1">INDEX(Loango_II!FA_PS_cont_rate,MATCH(Loango_II!CA_cum_gross_prod_gas,Loango_II!FA_PS_cumprod_gas,1))*Loango_II!CA_op_trig</f>
        <v>0</v>
      </c>
      <c r="BQ264" s="53">
        <f ca="1">INDEX(Loango_II!FA_PS_cont_rate,MATCH(Loango_II!CA_cum_gross_prod_gas,Loango_II!FA_PS_cumprod_gas,1))*Loango_II!CA_op_trig</f>
        <v>0</v>
      </c>
      <c r="BR264" s="53">
        <f ca="1">INDEX(Loango_II!FA_PS_cont_rate,MATCH(Loango_II!CA_cum_gross_prod_gas,Loango_II!FA_PS_cumprod_gas,1))*Loango_II!CA_op_trig</f>
        <v>0</v>
      </c>
      <c r="BS264" s="53">
        <f ca="1">INDEX(Loango_II!FA_PS_cont_rate,MATCH(Loango_II!CA_cum_gross_prod_gas,Loango_II!FA_PS_cumprod_gas,1))*Loango_II!CA_op_trig</f>
        <v>0</v>
      </c>
    </row>
    <row r="265" spans="4:71" outlineLevel="1" x14ac:dyDescent="0.2">
      <c r="D265" t="s">
        <v>235</v>
      </c>
      <c r="I265" s="30">
        <f t="shared" ca="1" si="52"/>
        <v>0</v>
      </c>
      <c r="J265" s="26" t="s">
        <v>148</v>
      </c>
      <c r="L265" s="49">
        <f ca="1">L263*L264</f>
        <v>0</v>
      </c>
      <c r="M265" s="49">
        <f t="shared" ref="M265:BS265" ca="1" si="53">M263*M264</f>
        <v>0</v>
      </c>
      <c r="N265" s="49">
        <f t="shared" ca="1" si="53"/>
        <v>0</v>
      </c>
      <c r="O265" s="49">
        <f t="shared" ca="1" si="53"/>
        <v>0</v>
      </c>
      <c r="P265" s="49">
        <f t="shared" ca="1" si="53"/>
        <v>0</v>
      </c>
      <c r="Q265" s="49">
        <f t="shared" ca="1" si="53"/>
        <v>0</v>
      </c>
      <c r="R265" s="49">
        <f t="shared" ca="1" si="53"/>
        <v>0</v>
      </c>
      <c r="S265" s="49">
        <f t="shared" ca="1" si="53"/>
        <v>0</v>
      </c>
      <c r="T265" s="49">
        <f t="shared" ca="1" si="53"/>
        <v>0</v>
      </c>
      <c r="U265" s="49">
        <f t="shared" ca="1" si="53"/>
        <v>0</v>
      </c>
      <c r="V265" s="49">
        <f t="shared" ca="1" si="53"/>
        <v>0</v>
      </c>
      <c r="W265" s="49">
        <f t="shared" ca="1" si="53"/>
        <v>0</v>
      </c>
      <c r="X265" s="49">
        <f t="shared" ca="1" si="53"/>
        <v>0</v>
      </c>
      <c r="Y265" s="49">
        <f t="shared" ca="1" si="53"/>
        <v>0</v>
      </c>
      <c r="Z265" s="49">
        <f t="shared" ca="1" si="53"/>
        <v>0</v>
      </c>
      <c r="AA265" s="49">
        <f t="shared" ca="1" si="53"/>
        <v>0</v>
      </c>
      <c r="AB265" s="49">
        <f t="shared" ca="1" si="53"/>
        <v>0</v>
      </c>
      <c r="AC265" s="49">
        <f t="shared" ca="1" si="53"/>
        <v>0</v>
      </c>
      <c r="AD265" s="49">
        <f t="shared" ca="1" si="53"/>
        <v>0</v>
      </c>
      <c r="AE265" s="49">
        <f t="shared" ca="1" si="53"/>
        <v>0</v>
      </c>
      <c r="AF265" s="49">
        <f t="shared" ca="1" si="53"/>
        <v>0</v>
      </c>
      <c r="AG265" s="49">
        <f t="shared" ca="1" si="53"/>
        <v>0</v>
      </c>
      <c r="AH265" s="49">
        <f t="shared" ca="1" si="53"/>
        <v>0</v>
      </c>
      <c r="AI265" s="49">
        <f t="shared" ca="1" si="53"/>
        <v>0</v>
      </c>
      <c r="AJ265" s="49">
        <f t="shared" ca="1" si="53"/>
        <v>0</v>
      </c>
      <c r="AK265" s="49">
        <f t="shared" ca="1" si="53"/>
        <v>0</v>
      </c>
      <c r="AL265" s="49">
        <f t="shared" ca="1" si="53"/>
        <v>0</v>
      </c>
      <c r="AM265" s="49">
        <f t="shared" ca="1" si="53"/>
        <v>0</v>
      </c>
      <c r="AN265" s="49">
        <f t="shared" ca="1" si="53"/>
        <v>0</v>
      </c>
      <c r="AO265" s="49">
        <f t="shared" ca="1" si="53"/>
        <v>0</v>
      </c>
      <c r="AP265" s="49">
        <f t="shared" ca="1" si="53"/>
        <v>0</v>
      </c>
      <c r="AQ265" s="49">
        <f t="shared" ca="1" si="53"/>
        <v>0</v>
      </c>
      <c r="AR265" s="49">
        <f t="shared" ca="1" si="53"/>
        <v>0</v>
      </c>
      <c r="AS265" s="49">
        <f t="shared" ca="1" si="53"/>
        <v>0</v>
      </c>
      <c r="AT265" s="49">
        <f t="shared" ca="1" si="53"/>
        <v>0</v>
      </c>
      <c r="AU265" s="49">
        <f t="shared" ca="1" si="53"/>
        <v>0</v>
      </c>
      <c r="AV265" s="49">
        <f t="shared" ca="1" si="53"/>
        <v>0</v>
      </c>
      <c r="AW265" s="49">
        <f t="shared" ca="1" si="53"/>
        <v>0</v>
      </c>
      <c r="AX265" s="49">
        <f t="shared" ca="1" si="53"/>
        <v>0</v>
      </c>
      <c r="AY265" s="49">
        <f t="shared" ca="1" si="53"/>
        <v>0</v>
      </c>
      <c r="AZ265" s="49">
        <f t="shared" ca="1" si="53"/>
        <v>0</v>
      </c>
      <c r="BA265" s="49">
        <f t="shared" ca="1" si="53"/>
        <v>0</v>
      </c>
      <c r="BB265" s="49">
        <f t="shared" ca="1" si="53"/>
        <v>0</v>
      </c>
      <c r="BC265" s="49">
        <f t="shared" ca="1" si="53"/>
        <v>0</v>
      </c>
      <c r="BD265" s="49">
        <f t="shared" ca="1" si="53"/>
        <v>0</v>
      </c>
      <c r="BE265" s="49">
        <f t="shared" ca="1" si="53"/>
        <v>0</v>
      </c>
      <c r="BF265" s="49">
        <f t="shared" ca="1" si="53"/>
        <v>0</v>
      </c>
      <c r="BG265" s="49">
        <f t="shared" ca="1" si="53"/>
        <v>0</v>
      </c>
      <c r="BH265" s="49">
        <f t="shared" ca="1" si="53"/>
        <v>0</v>
      </c>
      <c r="BI265" s="49">
        <f t="shared" ca="1" si="53"/>
        <v>0</v>
      </c>
      <c r="BJ265" s="49">
        <f t="shared" ca="1" si="53"/>
        <v>0</v>
      </c>
      <c r="BK265" s="49">
        <f t="shared" ca="1" si="53"/>
        <v>0</v>
      </c>
      <c r="BL265" s="49">
        <f t="shared" ca="1" si="53"/>
        <v>0</v>
      </c>
      <c r="BM265" s="49">
        <f t="shared" ca="1" si="53"/>
        <v>0</v>
      </c>
      <c r="BN265" s="49">
        <f t="shared" ca="1" si="53"/>
        <v>0</v>
      </c>
      <c r="BO265" s="49">
        <f t="shared" ca="1" si="53"/>
        <v>0</v>
      </c>
      <c r="BP265" s="49">
        <f t="shared" ca="1" si="53"/>
        <v>0</v>
      </c>
      <c r="BQ265" s="49">
        <f t="shared" ca="1" si="53"/>
        <v>0</v>
      </c>
      <c r="BR265" s="49">
        <f t="shared" ca="1" si="53"/>
        <v>0</v>
      </c>
      <c r="BS265" s="49">
        <f t="shared" ca="1" si="53"/>
        <v>0</v>
      </c>
    </row>
    <row r="266" spans="4:71" outlineLevel="1" x14ac:dyDescent="0.2">
      <c r="D266" t="s">
        <v>236</v>
      </c>
      <c r="I266" s="30">
        <f t="shared" ca="1" si="52"/>
        <v>0</v>
      </c>
      <c r="J266" s="26" t="s">
        <v>148</v>
      </c>
      <c r="L266" s="49">
        <f ca="1">L263-L265</f>
        <v>0</v>
      </c>
      <c r="M266" s="49">
        <f t="shared" ref="M266:BS266" ca="1" si="54">M263-M265</f>
        <v>0</v>
      </c>
      <c r="N266" s="49">
        <f t="shared" ca="1" si="54"/>
        <v>0</v>
      </c>
      <c r="O266" s="49">
        <f t="shared" ca="1" si="54"/>
        <v>0</v>
      </c>
      <c r="P266" s="49">
        <f t="shared" ca="1" si="54"/>
        <v>0</v>
      </c>
      <c r="Q266" s="49">
        <f t="shared" ca="1" si="54"/>
        <v>0</v>
      </c>
      <c r="R266" s="49">
        <f t="shared" ca="1" si="54"/>
        <v>0</v>
      </c>
      <c r="S266" s="49">
        <f t="shared" ca="1" si="54"/>
        <v>0</v>
      </c>
      <c r="T266" s="49">
        <f t="shared" ca="1" si="54"/>
        <v>0</v>
      </c>
      <c r="U266" s="49">
        <f t="shared" ca="1" si="54"/>
        <v>0</v>
      </c>
      <c r="V266" s="49">
        <f t="shared" ca="1" si="54"/>
        <v>0</v>
      </c>
      <c r="W266" s="49">
        <f t="shared" ca="1" si="54"/>
        <v>0</v>
      </c>
      <c r="X266" s="49">
        <f t="shared" ca="1" si="54"/>
        <v>0</v>
      </c>
      <c r="Y266" s="49">
        <f t="shared" ca="1" si="54"/>
        <v>0</v>
      </c>
      <c r="Z266" s="49">
        <f t="shared" ca="1" si="54"/>
        <v>0</v>
      </c>
      <c r="AA266" s="49">
        <f t="shared" ca="1" si="54"/>
        <v>0</v>
      </c>
      <c r="AB266" s="49">
        <f t="shared" ca="1" si="54"/>
        <v>0</v>
      </c>
      <c r="AC266" s="49">
        <f t="shared" ca="1" si="54"/>
        <v>0</v>
      </c>
      <c r="AD266" s="49">
        <f t="shared" ca="1" si="54"/>
        <v>0</v>
      </c>
      <c r="AE266" s="49">
        <f t="shared" ca="1" si="54"/>
        <v>0</v>
      </c>
      <c r="AF266" s="49">
        <f t="shared" ca="1" si="54"/>
        <v>0</v>
      </c>
      <c r="AG266" s="49">
        <f t="shared" ca="1" si="54"/>
        <v>0</v>
      </c>
      <c r="AH266" s="49">
        <f t="shared" ca="1" si="54"/>
        <v>0</v>
      </c>
      <c r="AI266" s="49">
        <f t="shared" ca="1" si="54"/>
        <v>0</v>
      </c>
      <c r="AJ266" s="49">
        <f t="shared" ca="1" si="54"/>
        <v>0</v>
      </c>
      <c r="AK266" s="49">
        <f t="shared" ca="1" si="54"/>
        <v>0</v>
      </c>
      <c r="AL266" s="49">
        <f t="shared" ca="1" si="54"/>
        <v>0</v>
      </c>
      <c r="AM266" s="49">
        <f t="shared" ca="1" si="54"/>
        <v>0</v>
      </c>
      <c r="AN266" s="49">
        <f t="shared" ca="1" si="54"/>
        <v>0</v>
      </c>
      <c r="AO266" s="49">
        <f t="shared" ca="1" si="54"/>
        <v>0</v>
      </c>
      <c r="AP266" s="49">
        <f t="shared" ca="1" si="54"/>
        <v>0</v>
      </c>
      <c r="AQ266" s="49">
        <f t="shared" ca="1" si="54"/>
        <v>0</v>
      </c>
      <c r="AR266" s="49">
        <f t="shared" ca="1" si="54"/>
        <v>0</v>
      </c>
      <c r="AS266" s="49">
        <f t="shared" ca="1" si="54"/>
        <v>0</v>
      </c>
      <c r="AT266" s="49">
        <f t="shared" ca="1" si="54"/>
        <v>0</v>
      </c>
      <c r="AU266" s="49">
        <f t="shared" ca="1" si="54"/>
        <v>0</v>
      </c>
      <c r="AV266" s="49">
        <f t="shared" ca="1" si="54"/>
        <v>0</v>
      </c>
      <c r="AW266" s="49">
        <f t="shared" ca="1" si="54"/>
        <v>0</v>
      </c>
      <c r="AX266" s="49">
        <f t="shared" ca="1" si="54"/>
        <v>0</v>
      </c>
      <c r="AY266" s="49">
        <f t="shared" ca="1" si="54"/>
        <v>0</v>
      </c>
      <c r="AZ266" s="49">
        <f t="shared" ca="1" si="54"/>
        <v>0</v>
      </c>
      <c r="BA266" s="49">
        <f t="shared" ca="1" si="54"/>
        <v>0</v>
      </c>
      <c r="BB266" s="49">
        <f t="shared" ca="1" si="54"/>
        <v>0</v>
      </c>
      <c r="BC266" s="49">
        <f t="shared" ca="1" si="54"/>
        <v>0</v>
      </c>
      <c r="BD266" s="49">
        <f t="shared" ca="1" si="54"/>
        <v>0</v>
      </c>
      <c r="BE266" s="49">
        <f t="shared" ca="1" si="54"/>
        <v>0</v>
      </c>
      <c r="BF266" s="49">
        <f t="shared" ca="1" si="54"/>
        <v>0</v>
      </c>
      <c r="BG266" s="49">
        <f t="shared" ca="1" si="54"/>
        <v>0</v>
      </c>
      <c r="BH266" s="49">
        <f t="shared" ca="1" si="54"/>
        <v>0</v>
      </c>
      <c r="BI266" s="49">
        <f t="shared" ca="1" si="54"/>
        <v>0</v>
      </c>
      <c r="BJ266" s="49">
        <f t="shared" ca="1" si="54"/>
        <v>0</v>
      </c>
      <c r="BK266" s="49">
        <f t="shared" ca="1" si="54"/>
        <v>0</v>
      </c>
      <c r="BL266" s="49">
        <f t="shared" ca="1" si="54"/>
        <v>0</v>
      </c>
      <c r="BM266" s="49">
        <f t="shared" ca="1" si="54"/>
        <v>0</v>
      </c>
      <c r="BN266" s="49">
        <f t="shared" ca="1" si="54"/>
        <v>0</v>
      </c>
      <c r="BO266" s="49">
        <f t="shared" ca="1" si="54"/>
        <v>0</v>
      </c>
      <c r="BP266" s="49">
        <f t="shared" ca="1" si="54"/>
        <v>0</v>
      </c>
      <c r="BQ266" s="49">
        <f t="shared" ca="1" si="54"/>
        <v>0</v>
      </c>
      <c r="BR266" s="49">
        <f t="shared" ca="1" si="54"/>
        <v>0</v>
      </c>
      <c r="BS266" s="49">
        <f t="shared" ca="1" si="54"/>
        <v>0</v>
      </c>
    </row>
    <row r="267" spans="4:71" outlineLevel="1" x14ac:dyDescent="0.2">
      <c r="J267" s="26"/>
      <c r="L267" s="55"/>
      <c r="M267" s="55"/>
      <c r="N267" s="55"/>
      <c r="O267" s="55"/>
      <c r="P267" s="55"/>
      <c r="Q267" s="55"/>
      <c r="R267" s="55"/>
      <c r="S267" s="55"/>
      <c r="T267" s="55"/>
      <c r="U267" s="55"/>
      <c r="V267" s="55"/>
      <c r="W267" s="55"/>
      <c r="X267" s="55"/>
      <c r="Y267" s="55"/>
      <c r="Z267" s="55"/>
      <c r="AA267" s="55"/>
      <c r="AB267" s="55"/>
      <c r="AC267" s="55"/>
      <c r="AD267" s="55"/>
      <c r="AE267" s="55"/>
      <c r="AF267" s="55"/>
      <c r="AG267" s="55"/>
      <c r="AH267" s="55"/>
      <c r="AI267" s="55"/>
      <c r="AJ267" s="55"/>
      <c r="AK267" s="55"/>
      <c r="AL267" s="55"/>
      <c r="AM267" s="55"/>
      <c r="AN267" s="55"/>
      <c r="AO267" s="55"/>
      <c r="AP267" s="55"/>
      <c r="AQ267" s="55"/>
      <c r="AR267" s="55"/>
      <c r="AS267" s="55"/>
      <c r="AT267" s="55"/>
      <c r="AU267" s="55"/>
      <c r="AV267" s="55"/>
      <c r="AW267" s="55"/>
      <c r="AX267" s="55"/>
      <c r="AY267" s="55"/>
      <c r="AZ267" s="55"/>
      <c r="BA267" s="55"/>
      <c r="BB267" s="55"/>
      <c r="BC267" s="55"/>
      <c r="BD267" s="55"/>
      <c r="BE267" s="55"/>
      <c r="BF267" s="55"/>
      <c r="BG267" s="55"/>
      <c r="BH267" s="55"/>
      <c r="BI267" s="55"/>
      <c r="BJ267" s="55"/>
      <c r="BK267" s="55"/>
      <c r="BL267" s="55"/>
      <c r="BM267" s="55"/>
      <c r="BN267" s="55"/>
      <c r="BO267" s="55"/>
      <c r="BP267" s="55"/>
      <c r="BQ267" s="55"/>
      <c r="BR267" s="55"/>
      <c r="BS267" s="55"/>
    </row>
    <row r="268" spans="4:71" outlineLevel="1" x14ac:dyDescent="0.2">
      <c r="D268" s="11" t="s">
        <v>239</v>
      </c>
      <c r="I268" s="30">
        <f t="shared" ca="1" si="52"/>
        <v>1074.8649376853332</v>
      </c>
      <c r="J268" s="26" t="s">
        <v>148</v>
      </c>
      <c r="K268" s="7" t="s">
        <v>241</v>
      </c>
      <c r="L268" s="49">
        <f ca="1">SUM(L259,L265)</f>
        <v>79.855739233931246</v>
      </c>
      <c r="M268" s="49">
        <f t="shared" ref="M268:BS269" ca="1" si="55">SUM(M259,M265)</f>
        <v>82.874871651656264</v>
      </c>
      <c r="N268" s="49">
        <f t="shared" ca="1" si="55"/>
        <v>33.382796125135428</v>
      </c>
      <c r="O268" s="49">
        <f t="shared" ca="1" si="55"/>
        <v>31.510352896671037</v>
      </c>
      <c r="P268" s="49">
        <f t="shared" ca="1" si="55"/>
        <v>87.40516192473919</v>
      </c>
      <c r="Q268" s="49">
        <f t="shared" ca="1" si="55"/>
        <v>173.74160829901274</v>
      </c>
      <c r="R268" s="49">
        <f t="shared" ca="1" si="55"/>
        <v>115.19412068973199</v>
      </c>
      <c r="S268" s="49">
        <f t="shared" ca="1" si="55"/>
        <v>106.67799072000004</v>
      </c>
      <c r="T268" s="49">
        <f t="shared" ca="1" si="55"/>
        <v>98.939464343999958</v>
      </c>
      <c r="U268" s="49">
        <f t="shared" ca="1" si="55"/>
        <v>93.853975876718437</v>
      </c>
      <c r="V268" s="49">
        <f t="shared" ca="1" si="55"/>
        <v>89.029881516655053</v>
      </c>
      <c r="W268" s="49">
        <f t="shared" ca="1" si="55"/>
        <v>42.342562865824448</v>
      </c>
      <c r="X268" s="49">
        <f t="shared" ca="1" si="55"/>
        <v>40.056411541257319</v>
      </c>
      <c r="Y268" s="49">
        <f t="shared" ca="1" si="55"/>
        <v>0</v>
      </c>
      <c r="Z268" s="49">
        <f t="shared" ca="1" si="55"/>
        <v>0</v>
      </c>
      <c r="AA268" s="49">
        <f t="shared" ca="1" si="55"/>
        <v>0</v>
      </c>
      <c r="AB268" s="49">
        <f t="shared" ca="1" si="55"/>
        <v>0</v>
      </c>
      <c r="AC268" s="49">
        <f t="shared" ca="1" si="55"/>
        <v>0</v>
      </c>
      <c r="AD268" s="49">
        <f t="shared" ca="1" si="55"/>
        <v>0</v>
      </c>
      <c r="AE268" s="49">
        <f t="shared" ca="1" si="55"/>
        <v>0</v>
      </c>
      <c r="AF268" s="49">
        <f t="shared" ca="1" si="55"/>
        <v>0</v>
      </c>
      <c r="AG268" s="49">
        <f t="shared" ca="1" si="55"/>
        <v>0</v>
      </c>
      <c r="AH268" s="49">
        <f t="shared" ca="1" si="55"/>
        <v>0</v>
      </c>
      <c r="AI268" s="49">
        <f t="shared" ca="1" si="55"/>
        <v>0</v>
      </c>
      <c r="AJ268" s="49">
        <f t="shared" ca="1" si="55"/>
        <v>0</v>
      </c>
      <c r="AK268" s="49">
        <f t="shared" ca="1" si="55"/>
        <v>0</v>
      </c>
      <c r="AL268" s="49">
        <f t="shared" ca="1" si="55"/>
        <v>0</v>
      </c>
      <c r="AM268" s="49">
        <f t="shared" ca="1" si="55"/>
        <v>0</v>
      </c>
      <c r="AN268" s="49">
        <f t="shared" ca="1" si="55"/>
        <v>0</v>
      </c>
      <c r="AO268" s="49">
        <f t="shared" ca="1" si="55"/>
        <v>0</v>
      </c>
      <c r="AP268" s="49">
        <f t="shared" ca="1" si="55"/>
        <v>0</v>
      </c>
      <c r="AQ268" s="49">
        <f t="shared" ca="1" si="55"/>
        <v>0</v>
      </c>
      <c r="AR268" s="49">
        <f t="shared" ca="1" si="55"/>
        <v>0</v>
      </c>
      <c r="AS268" s="49">
        <f t="shared" ca="1" si="55"/>
        <v>0</v>
      </c>
      <c r="AT268" s="49">
        <f t="shared" ca="1" si="55"/>
        <v>0</v>
      </c>
      <c r="AU268" s="49">
        <f t="shared" ca="1" si="55"/>
        <v>0</v>
      </c>
      <c r="AV268" s="49">
        <f t="shared" ca="1" si="55"/>
        <v>0</v>
      </c>
      <c r="AW268" s="49">
        <f t="shared" ca="1" si="55"/>
        <v>0</v>
      </c>
      <c r="AX268" s="49">
        <f t="shared" ca="1" si="55"/>
        <v>0</v>
      </c>
      <c r="AY268" s="49">
        <f t="shared" ca="1" si="55"/>
        <v>0</v>
      </c>
      <c r="AZ268" s="49">
        <f t="shared" ca="1" si="55"/>
        <v>0</v>
      </c>
      <c r="BA268" s="49">
        <f t="shared" ca="1" si="55"/>
        <v>0</v>
      </c>
      <c r="BB268" s="49">
        <f t="shared" ca="1" si="55"/>
        <v>0</v>
      </c>
      <c r="BC268" s="49">
        <f t="shared" ca="1" si="55"/>
        <v>0</v>
      </c>
      <c r="BD268" s="49">
        <f t="shared" ca="1" si="55"/>
        <v>0</v>
      </c>
      <c r="BE268" s="49">
        <f t="shared" ca="1" si="55"/>
        <v>0</v>
      </c>
      <c r="BF268" s="49">
        <f t="shared" ca="1" si="55"/>
        <v>0</v>
      </c>
      <c r="BG268" s="49">
        <f t="shared" ca="1" si="55"/>
        <v>0</v>
      </c>
      <c r="BH268" s="49">
        <f t="shared" ca="1" si="55"/>
        <v>0</v>
      </c>
      <c r="BI268" s="49">
        <f t="shared" ca="1" si="55"/>
        <v>0</v>
      </c>
      <c r="BJ268" s="49">
        <f t="shared" ca="1" si="55"/>
        <v>0</v>
      </c>
      <c r="BK268" s="49">
        <f t="shared" ca="1" si="55"/>
        <v>0</v>
      </c>
      <c r="BL268" s="49">
        <f t="shared" ca="1" si="55"/>
        <v>0</v>
      </c>
      <c r="BM268" s="49">
        <f t="shared" ca="1" si="55"/>
        <v>0</v>
      </c>
      <c r="BN268" s="49">
        <f t="shared" ca="1" si="55"/>
        <v>0</v>
      </c>
      <c r="BO268" s="49">
        <f t="shared" ca="1" si="55"/>
        <v>0</v>
      </c>
      <c r="BP268" s="49">
        <f t="shared" ca="1" si="55"/>
        <v>0</v>
      </c>
      <c r="BQ268" s="49">
        <f t="shared" ca="1" si="55"/>
        <v>0</v>
      </c>
      <c r="BR268" s="49">
        <f t="shared" ca="1" si="55"/>
        <v>0</v>
      </c>
      <c r="BS268" s="49">
        <f t="shared" ca="1" si="55"/>
        <v>0</v>
      </c>
    </row>
    <row r="269" spans="4:71" outlineLevel="1" x14ac:dyDescent="0.2">
      <c r="D269" s="11" t="s">
        <v>240</v>
      </c>
      <c r="I269" s="30">
        <f t="shared" ca="1" si="52"/>
        <v>1239.6628864994966</v>
      </c>
      <c r="J269" s="26" t="s">
        <v>148</v>
      </c>
      <c r="K269" s="7" t="s">
        <v>242</v>
      </c>
      <c r="L269" s="49">
        <f ca="1">SUM(L260,L266)</f>
        <v>79.855739233931246</v>
      </c>
      <c r="M269" s="49">
        <f t="shared" ca="1" si="55"/>
        <v>82.874871651656264</v>
      </c>
      <c r="N269" s="49">
        <f t="shared" ca="1" si="55"/>
        <v>33.382796125135428</v>
      </c>
      <c r="O269" s="49">
        <f t="shared" ca="1" si="55"/>
        <v>31.510352896671037</v>
      </c>
      <c r="P269" s="49">
        <f t="shared" ca="1" si="55"/>
        <v>87.40516192473919</v>
      </c>
      <c r="Q269" s="49">
        <f t="shared" ca="1" si="55"/>
        <v>173.74160829901274</v>
      </c>
      <c r="R269" s="49">
        <f t="shared" ca="1" si="55"/>
        <v>115.19412068973199</v>
      </c>
      <c r="S269" s="49">
        <f t="shared" ca="1" si="55"/>
        <v>106.67799072000004</v>
      </c>
      <c r="T269" s="49">
        <f t="shared" ca="1" si="55"/>
        <v>98.939464343999958</v>
      </c>
      <c r="U269" s="49">
        <f t="shared" ca="1" si="55"/>
        <v>93.853975876718437</v>
      </c>
      <c r="V269" s="49">
        <f t="shared" ca="1" si="55"/>
        <v>89.029881516655053</v>
      </c>
      <c r="W269" s="49">
        <f t="shared" ca="1" si="55"/>
        <v>127.02768859747334</v>
      </c>
      <c r="X269" s="49">
        <f t="shared" ca="1" si="55"/>
        <v>120.16923462377196</v>
      </c>
      <c r="Y269" s="49">
        <f t="shared" ca="1" si="55"/>
        <v>0</v>
      </c>
      <c r="Z269" s="49">
        <f t="shared" ca="1" si="55"/>
        <v>0</v>
      </c>
      <c r="AA269" s="49">
        <f t="shared" ca="1" si="55"/>
        <v>0</v>
      </c>
      <c r="AB269" s="49">
        <f t="shared" ca="1" si="55"/>
        <v>0</v>
      </c>
      <c r="AC269" s="49">
        <f t="shared" ca="1" si="55"/>
        <v>0</v>
      </c>
      <c r="AD269" s="49">
        <f t="shared" ca="1" si="55"/>
        <v>0</v>
      </c>
      <c r="AE269" s="49">
        <f t="shared" ca="1" si="55"/>
        <v>0</v>
      </c>
      <c r="AF269" s="49">
        <f t="shared" ca="1" si="55"/>
        <v>0</v>
      </c>
      <c r="AG269" s="49">
        <f t="shared" ca="1" si="55"/>
        <v>0</v>
      </c>
      <c r="AH269" s="49">
        <f t="shared" ca="1" si="55"/>
        <v>0</v>
      </c>
      <c r="AI269" s="49">
        <f t="shared" ca="1" si="55"/>
        <v>0</v>
      </c>
      <c r="AJ269" s="49">
        <f t="shared" ca="1" si="55"/>
        <v>0</v>
      </c>
      <c r="AK269" s="49">
        <f t="shared" ca="1" si="55"/>
        <v>0</v>
      </c>
      <c r="AL269" s="49">
        <f t="shared" ca="1" si="55"/>
        <v>0</v>
      </c>
      <c r="AM269" s="49">
        <f t="shared" ca="1" si="55"/>
        <v>0</v>
      </c>
      <c r="AN269" s="49">
        <f t="shared" ca="1" si="55"/>
        <v>0</v>
      </c>
      <c r="AO269" s="49">
        <f t="shared" ca="1" si="55"/>
        <v>0</v>
      </c>
      <c r="AP269" s="49">
        <f t="shared" ca="1" si="55"/>
        <v>0</v>
      </c>
      <c r="AQ269" s="49">
        <f t="shared" ca="1" si="55"/>
        <v>0</v>
      </c>
      <c r="AR269" s="49">
        <f t="shared" ca="1" si="55"/>
        <v>0</v>
      </c>
      <c r="AS269" s="49">
        <f t="shared" ca="1" si="55"/>
        <v>0</v>
      </c>
      <c r="AT269" s="49">
        <f t="shared" ca="1" si="55"/>
        <v>0</v>
      </c>
      <c r="AU269" s="49">
        <f t="shared" ca="1" si="55"/>
        <v>0</v>
      </c>
      <c r="AV269" s="49">
        <f t="shared" ca="1" si="55"/>
        <v>0</v>
      </c>
      <c r="AW269" s="49">
        <f t="shared" ca="1" si="55"/>
        <v>0</v>
      </c>
      <c r="AX269" s="49">
        <f t="shared" ca="1" si="55"/>
        <v>0</v>
      </c>
      <c r="AY269" s="49">
        <f t="shared" ca="1" si="55"/>
        <v>0</v>
      </c>
      <c r="AZ269" s="49">
        <f t="shared" ca="1" si="55"/>
        <v>0</v>
      </c>
      <c r="BA269" s="49">
        <f t="shared" ca="1" si="55"/>
        <v>0</v>
      </c>
      <c r="BB269" s="49">
        <f t="shared" ca="1" si="55"/>
        <v>0</v>
      </c>
      <c r="BC269" s="49">
        <f t="shared" ca="1" si="55"/>
        <v>0</v>
      </c>
      <c r="BD269" s="49">
        <f t="shared" ca="1" si="55"/>
        <v>0</v>
      </c>
      <c r="BE269" s="49">
        <f t="shared" ca="1" si="55"/>
        <v>0</v>
      </c>
      <c r="BF269" s="49">
        <f t="shared" ca="1" si="55"/>
        <v>0</v>
      </c>
      <c r="BG269" s="49">
        <f t="shared" ca="1" si="55"/>
        <v>0</v>
      </c>
      <c r="BH269" s="49">
        <f t="shared" ca="1" si="55"/>
        <v>0</v>
      </c>
      <c r="BI269" s="49">
        <f t="shared" ca="1" si="55"/>
        <v>0</v>
      </c>
      <c r="BJ269" s="49">
        <f t="shared" ca="1" si="55"/>
        <v>0</v>
      </c>
      <c r="BK269" s="49">
        <f t="shared" ca="1" si="55"/>
        <v>0</v>
      </c>
      <c r="BL269" s="49">
        <f t="shared" ca="1" si="55"/>
        <v>0</v>
      </c>
      <c r="BM269" s="49">
        <f t="shared" ca="1" si="55"/>
        <v>0</v>
      </c>
      <c r="BN269" s="49">
        <f t="shared" ca="1" si="55"/>
        <v>0</v>
      </c>
      <c r="BO269" s="49">
        <f t="shared" ca="1" si="55"/>
        <v>0</v>
      </c>
      <c r="BP269" s="49">
        <f t="shared" ca="1" si="55"/>
        <v>0</v>
      </c>
      <c r="BQ269" s="49">
        <f t="shared" ca="1" si="55"/>
        <v>0</v>
      </c>
      <c r="BR269" s="49">
        <f t="shared" ca="1" si="55"/>
        <v>0</v>
      </c>
      <c r="BS269" s="49">
        <f t="shared" ca="1" si="55"/>
        <v>0</v>
      </c>
    </row>
    <row r="270" spans="4:71" outlineLevel="1" x14ac:dyDescent="0.2">
      <c r="J270" s="26"/>
      <c r="L270" s="55"/>
      <c r="M270" s="55"/>
      <c r="N270" s="55"/>
      <c r="O270" s="55"/>
      <c r="P270" s="55"/>
      <c r="Q270" s="55"/>
      <c r="R270" s="55"/>
      <c r="S270" s="55"/>
      <c r="T270" s="55"/>
      <c r="U270" s="55"/>
      <c r="V270" s="55"/>
      <c r="W270" s="55"/>
      <c r="X270" s="55"/>
      <c r="Y270" s="55"/>
      <c r="Z270" s="55"/>
      <c r="AA270" s="55"/>
      <c r="AB270" s="55"/>
      <c r="AC270" s="55"/>
      <c r="AD270" s="55"/>
      <c r="AE270" s="55"/>
      <c r="AF270" s="55"/>
      <c r="AG270" s="55"/>
      <c r="AH270" s="55"/>
      <c r="AI270" s="55"/>
      <c r="AJ270" s="55"/>
      <c r="AK270" s="55"/>
      <c r="AL270" s="55"/>
      <c r="AM270" s="55"/>
      <c r="AN270" s="55"/>
      <c r="AO270" s="55"/>
      <c r="AP270" s="55"/>
      <c r="AQ270" s="55"/>
      <c r="AR270" s="55"/>
      <c r="AS270" s="55"/>
      <c r="AT270" s="55"/>
      <c r="AU270" s="55"/>
      <c r="AV270" s="55"/>
      <c r="AW270" s="55"/>
      <c r="AX270" s="55"/>
      <c r="AY270" s="55"/>
      <c r="AZ270" s="55"/>
      <c r="BA270" s="55"/>
      <c r="BB270" s="55"/>
      <c r="BC270" s="55"/>
      <c r="BD270" s="55"/>
      <c r="BE270" s="55"/>
      <c r="BF270" s="55"/>
      <c r="BG270" s="55"/>
      <c r="BH270" s="55"/>
      <c r="BI270" s="55"/>
      <c r="BJ270" s="55"/>
      <c r="BK270" s="55"/>
      <c r="BL270" s="55"/>
      <c r="BM270" s="55"/>
      <c r="BN270" s="55"/>
      <c r="BO270" s="55"/>
      <c r="BP270" s="55"/>
      <c r="BQ270" s="55"/>
      <c r="BR270" s="55"/>
      <c r="BS270" s="55"/>
    </row>
    <row r="271" spans="4:71" outlineLevel="1" x14ac:dyDescent="0.2">
      <c r="J271" s="26"/>
      <c r="L271" s="55"/>
      <c r="M271" s="55"/>
      <c r="N271" s="55"/>
      <c r="O271" s="55"/>
      <c r="P271" s="55"/>
      <c r="Q271" s="55"/>
      <c r="R271" s="55"/>
      <c r="S271" s="55"/>
      <c r="T271" s="55"/>
      <c r="U271" s="55"/>
      <c r="V271" s="55"/>
      <c r="W271" s="55"/>
      <c r="X271" s="55"/>
      <c r="Y271" s="55"/>
      <c r="Z271" s="55"/>
      <c r="AA271" s="55"/>
      <c r="AB271" s="55"/>
      <c r="AC271" s="55"/>
      <c r="AD271" s="55"/>
      <c r="AE271" s="55"/>
      <c r="AF271" s="55"/>
      <c r="AG271" s="55"/>
      <c r="AH271" s="55"/>
      <c r="AI271" s="55"/>
      <c r="AJ271" s="55"/>
      <c r="AK271" s="55"/>
      <c r="AL271" s="55"/>
      <c r="AM271" s="55"/>
      <c r="AN271" s="55"/>
      <c r="AO271" s="55"/>
      <c r="AP271" s="55"/>
      <c r="AQ271" s="55"/>
      <c r="AR271" s="55"/>
      <c r="AS271" s="55"/>
      <c r="AT271" s="55"/>
      <c r="AU271" s="55"/>
      <c r="AV271" s="55"/>
      <c r="AW271" s="55"/>
      <c r="AX271" s="55"/>
      <c r="AY271" s="55"/>
      <c r="AZ271" s="55"/>
      <c r="BA271" s="55"/>
      <c r="BB271" s="55"/>
      <c r="BC271" s="55"/>
      <c r="BD271" s="55"/>
      <c r="BE271" s="55"/>
      <c r="BF271" s="55"/>
      <c r="BG271" s="55"/>
      <c r="BH271" s="55"/>
      <c r="BI271" s="55"/>
      <c r="BJ271" s="55"/>
      <c r="BK271" s="55"/>
      <c r="BL271" s="55"/>
      <c r="BM271" s="55"/>
      <c r="BN271" s="55"/>
      <c r="BO271" s="55"/>
      <c r="BP271" s="55"/>
      <c r="BQ271" s="55"/>
      <c r="BR271" s="55"/>
      <c r="BS271" s="55"/>
    </row>
    <row r="272" spans="4:71" outlineLevel="1" x14ac:dyDescent="0.2">
      <c r="J272" s="26"/>
      <c r="L272" s="55"/>
      <c r="M272" s="55"/>
      <c r="N272" s="55"/>
      <c r="O272" s="55"/>
      <c r="P272" s="55"/>
      <c r="Q272" s="55"/>
      <c r="R272" s="55"/>
      <c r="S272" s="55"/>
      <c r="T272" s="55"/>
      <c r="U272" s="55"/>
      <c r="V272" s="55"/>
      <c r="W272" s="55"/>
      <c r="X272" s="55"/>
      <c r="Y272" s="55"/>
      <c r="Z272" s="55"/>
      <c r="AA272" s="55"/>
      <c r="AB272" s="55"/>
      <c r="AC272" s="55"/>
      <c r="AD272" s="55"/>
      <c r="AE272" s="55"/>
      <c r="AF272" s="55"/>
      <c r="AG272" s="55"/>
      <c r="AH272" s="55"/>
      <c r="AI272" s="55"/>
      <c r="AJ272" s="55"/>
      <c r="AK272" s="55"/>
      <c r="AL272" s="55"/>
      <c r="AM272" s="55"/>
      <c r="AN272" s="55"/>
      <c r="AO272" s="55"/>
      <c r="AP272" s="55"/>
      <c r="AQ272" s="55"/>
      <c r="AR272" s="55"/>
      <c r="AS272" s="55"/>
      <c r="AT272" s="55"/>
      <c r="AU272" s="55"/>
      <c r="AV272" s="55"/>
      <c r="AW272" s="55"/>
      <c r="AX272" s="55"/>
      <c r="AY272" s="55"/>
      <c r="AZ272" s="55"/>
      <c r="BA272" s="55"/>
      <c r="BB272" s="55"/>
      <c r="BC272" s="55"/>
      <c r="BD272" s="55"/>
      <c r="BE272" s="55"/>
      <c r="BF272" s="55"/>
      <c r="BG272" s="55"/>
      <c r="BH272" s="55"/>
      <c r="BI272" s="55"/>
      <c r="BJ272" s="55"/>
      <c r="BK272" s="55"/>
      <c r="BL272" s="55"/>
      <c r="BM272" s="55"/>
      <c r="BN272" s="55"/>
      <c r="BO272" s="55"/>
      <c r="BP272" s="55"/>
      <c r="BQ272" s="55"/>
      <c r="BR272" s="55"/>
      <c r="BS272" s="55"/>
    </row>
    <row r="273" spans="1:71" outlineLevel="1" x14ac:dyDescent="0.2">
      <c r="A273" s="45"/>
      <c r="B273" s="38" t="s">
        <v>243</v>
      </c>
      <c r="C273" s="45"/>
      <c r="D273" s="45"/>
      <c r="E273" s="45"/>
      <c r="J273" s="26"/>
      <c r="L273" s="55"/>
      <c r="M273" s="55"/>
      <c r="N273" s="55"/>
      <c r="O273" s="55"/>
      <c r="P273" s="55"/>
      <c r="Q273" s="55"/>
      <c r="R273" s="55"/>
      <c r="S273" s="55"/>
      <c r="T273" s="55"/>
      <c r="U273" s="55"/>
      <c r="V273" s="55"/>
      <c r="W273" s="55"/>
      <c r="X273" s="55"/>
      <c r="Y273" s="55"/>
      <c r="Z273" s="55"/>
      <c r="AA273" s="55"/>
      <c r="AB273" s="55"/>
      <c r="AC273" s="55"/>
      <c r="AD273" s="55"/>
      <c r="AE273" s="55"/>
      <c r="AF273" s="55"/>
      <c r="AG273" s="55"/>
      <c r="AH273" s="55"/>
      <c r="AI273" s="55"/>
      <c r="AJ273" s="55"/>
      <c r="AK273" s="55"/>
      <c r="AL273" s="55"/>
      <c r="AM273" s="55"/>
      <c r="AN273" s="55"/>
      <c r="AO273" s="55"/>
      <c r="AP273" s="55"/>
      <c r="AQ273" s="55"/>
      <c r="AR273" s="55"/>
      <c r="AS273" s="55"/>
      <c r="AT273" s="55"/>
      <c r="AU273" s="55"/>
      <c r="AV273" s="55"/>
      <c r="AW273" s="55"/>
      <c r="AX273" s="55"/>
      <c r="AY273" s="55"/>
      <c r="AZ273" s="55"/>
      <c r="BA273" s="55"/>
      <c r="BB273" s="55"/>
      <c r="BC273" s="55"/>
      <c r="BD273" s="55"/>
      <c r="BE273" s="55"/>
      <c r="BF273" s="55"/>
      <c r="BG273" s="55"/>
      <c r="BH273" s="55"/>
      <c r="BI273" s="55"/>
      <c r="BJ273" s="55"/>
      <c r="BK273" s="55"/>
      <c r="BL273" s="55"/>
      <c r="BM273" s="55"/>
      <c r="BN273" s="55"/>
      <c r="BO273" s="55"/>
      <c r="BP273" s="55"/>
      <c r="BQ273" s="55"/>
      <c r="BR273" s="55"/>
      <c r="BS273" s="55"/>
    </row>
    <row r="274" spans="1:71" outlineLevel="1" x14ac:dyDescent="0.2">
      <c r="J274" s="26"/>
      <c r="L274" s="55"/>
      <c r="M274" s="55"/>
      <c r="N274" s="55"/>
      <c r="O274" s="55"/>
      <c r="P274" s="55"/>
      <c r="Q274" s="55"/>
      <c r="R274" s="55"/>
      <c r="S274" s="55"/>
      <c r="T274" s="55"/>
      <c r="U274" s="55"/>
      <c r="V274" s="55"/>
      <c r="W274" s="55"/>
      <c r="X274" s="55"/>
      <c r="Y274" s="55"/>
      <c r="Z274" s="55"/>
      <c r="AA274" s="55"/>
      <c r="AB274" s="55"/>
      <c r="AC274" s="55"/>
      <c r="AD274" s="55"/>
      <c r="AE274" s="55"/>
      <c r="AF274" s="55"/>
      <c r="AG274" s="55"/>
      <c r="AH274" s="55"/>
      <c r="AI274" s="55"/>
      <c r="AJ274" s="55"/>
      <c r="AK274" s="55"/>
      <c r="AL274" s="55"/>
      <c r="AM274" s="55"/>
      <c r="AN274" s="55"/>
      <c r="AO274" s="55"/>
      <c r="AP274" s="55"/>
      <c r="AQ274" s="55"/>
      <c r="AR274" s="55"/>
      <c r="AS274" s="55"/>
      <c r="AT274" s="55"/>
      <c r="AU274" s="55"/>
      <c r="AV274" s="55"/>
      <c r="AW274" s="55"/>
      <c r="AX274" s="55"/>
      <c r="AY274" s="55"/>
      <c r="AZ274" s="55"/>
      <c r="BA274" s="55"/>
      <c r="BB274" s="55"/>
      <c r="BC274" s="55"/>
      <c r="BD274" s="55"/>
      <c r="BE274" s="55"/>
      <c r="BF274" s="55"/>
      <c r="BG274" s="55"/>
      <c r="BH274" s="55"/>
      <c r="BI274" s="55"/>
      <c r="BJ274" s="55"/>
      <c r="BK274" s="55"/>
      <c r="BL274" s="55"/>
      <c r="BM274" s="55"/>
      <c r="BN274" s="55"/>
      <c r="BO274" s="55"/>
      <c r="BP274" s="55"/>
      <c r="BQ274" s="55"/>
      <c r="BR274" s="55"/>
      <c r="BS274" s="55"/>
    </row>
    <row r="275" spans="1:71" outlineLevel="1" x14ac:dyDescent="0.2">
      <c r="C275" s="11" t="s">
        <v>244</v>
      </c>
      <c r="J275" s="26"/>
      <c r="L275" s="55"/>
      <c r="M275" s="55"/>
      <c r="N275" s="55"/>
      <c r="O275" s="55"/>
      <c r="P275" s="55"/>
      <c r="Q275" s="55"/>
      <c r="R275" s="55"/>
      <c r="S275" s="55"/>
      <c r="T275" s="55"/>
      <c r="U275" s="55"/>
      <c r="V275" s="55"/>
      <c r="W275" s="55"/>
      <c r="X275" s="55"/>
      <c r="Y275" s="55"/>
      <c r="Z275" s="55"/>
      <c r="AA275" s="55"/>
      <c r="AB275" s="55"/>
      <c r="AC275" s="55"/>
      <c r="AD275" s="55"/>
      <c r="AE275" s="55"/>
      <c r="AF275" s="55"/>
      <c r="AG275" s="55"/>
      <c r="AH275" s="55"/>
      <c r="AI275" s="55"/>
      <c r="AJ275" s="55"/>
      <c r="AK275" s="55"/>
      <c r="AL275" s="55"/>
      <c r="AM275" s="55"/>
      <c r="AN275" s="55"/>
      <c r="AO275" s="55"/>
      <c r="AP275" s="55"/>
      <c r="AQ275" s="55"/>
      <c r="AR275" s="55"/>
      <c r="AS275" s="55"/>
      <c r="AT275" s="55"/>
      <c r="AU275" s="55"/>
      <c r="AV275" s="55"/>
      <c r="AW275" s="55"/>
      <c r="AX275" s="55"/>
      <c r="AY275" s="55"/>
      <c r="AZ275" s="55"/>
      <c r="BA275" s="55"/>
      <c r="BB275" s="55"/>
      <c r="BC275" s="55"/>
      <c r="BD275" s="55"/>
      <c r="BE275" s="55"/>
      <c r="BF275" s="55"/>
      <c r="BG275" s="55"/>
      <c r="BH275" s="55"/>
      <c r="BI275" s="55"/>
      <c r="BJ275" s="55"/>
      <c r="BK275" s="55"/>
      <c r="BL275" s="55"/>
      <c r="BM275" s="55"/>
      <c r="BN275" s="55"/>
      <c r="BO275" s="55"/>
      <c r="BP275" s="55"/>
      <c r="BQ275" s="55"/>
      <c r="BR275" s="55"/>
      <c r="BS275" s="55"/>
    </row>
    <row r="276" spans="1:71" outlineLevel="1" x14ac:dyDescent="0.2">
      <c r="D276" t="s">
        <v>245</v>
      </c>
      <c r="I276" s="30">
        <f t="shared" ref="I276:I280" ca="1" si="56">SUM($L276:$BS276)</f>
        <v>4860.0918926789109</v>
      </c>
      <c r="J276" s="26" t="s">
        <v>148</v>
      </c>
      <c r="L276" s="49" cm="1">
        <f t="array" aca="1" ref="L276:BS276" ca="1">Loango_II!CA_cost_recovered_total*Loango_II!CA_rev_oil_perc</f>
        <v>383.30754832286999</v>
      </c>
      <c r="M276" s="49">
        <f ca="1"/>
        <v>397.79938392794992</v>
      </c>
      <c r="N276" s="49">
        <f ca="1"/>
        <v>160.23742140065002</v>
      </c>
      <c r="O276" s="49">
        <f ca="1"/>
        <v>151.24969390402092</v>
      </c>
      <c r="P276" s="49">
        <f ca="1"/>
        <v>419.54477723874817</v>
      </c>
      <c r="Q276" s="49">
        <f ca="1"/>
        <v>833.95971983526113</v>
      </c>
      <c r="R276" s="49">
        <f ca="1"/>
        <v>437.82118497122326</v>
      </c>
      <c r="S276" s="49">
        <f ca="1"/>
        <v>254.15840792628003</v>
      </c>
      <c r="T276" s="49">
        <f ca="1"/>
        <v>387.82630454581727</v>
      </c>
      <c r="U276" s="49">
        <f ca="1"/>
        <v>387.14765049146342</v>
      </c>
      <c r="V276" s="49">
        <f ca="1"/>
        <v>367.24826125620211</v>
      </c>
      <c r="W276" s="49">
        <f ca="1"/>
        <v>349.32614364305147</v>
      </c>
      <c r="X276" s="49">
        <f ca="1"/>
        <v>330.46539521537295</v>
      </c>
      <c r="Y276" s="49">
        <f ca="1"/>
        <v>0</v>
      </c>
      <c r="Z276" s="49">
        <f ca="1"/>
        <v>0</v>
      </c>
      <c r="AA276" s="49">
        <f ca="1"/>
        <v>0</v>
      </c>
      <c r="AB276" s="49">
        <f ca="1"/>
        <v>0</v>
      </c>
      <c r="AC276" s="49">
        <f ca="1"/>
        <v>0</v>
      </c>
      <c r="AD276" s="49">
        <f ca="1"/>
        <v>0</v>
      </c>
      <c r="AE276" s="49">
        <f ca="1"/>
        <v>0</v>
      </c>
      <c r="AF276" s="49">
        <f ca="1"/>
        <v>0</v>
      </c>
      <c r="AG276" s="49">
        <f ca="1"/>
        <v>0</v>
      </c>
      <c r="AH276" s="49">
        <f ca="1"/>
        <v>0</v>
      </c>
      <c r="AI276" s="49">
        <f ca="1"/>
        <v>0</v>
      </c>
      <c r="AJ276" s="49">
        <f ca="1"/>
        <v>0</v>
      </c>
      <c r="AK276" s="49">
        <f ca="1"/>
        <v>0</v>
      </c>
      <c r="AL276" s="49">
        <f ca="1"/>
        <v>0</v>
      </c>
      <c r="AM276" s="49">
        <f ca="1"/>
        <v>0</v>
      </c>
      <c r="AN276" s="49">
        <f ca="1"/>
        <v>0</v>
      </c>
      <c r="AO276" s="49">
        <f ca="1"/>
        <v>0</v>
      </c>
      <c r="AP276" s="49">
        <f ca="1"/>
        <v>0</v>
      </c>
      <c r="AQ276" s="49">
        <f ca="1"/>
        <v>0</v>
      </c>
      <c r="AR276" s="49">
        <f ca="1"/>
        <v>0</v>
      </c>
      <c r="AS276" s="49">
        <f ca="1"/>
        <v>0</v>
      </c>
      <c r="AT276" s="49">
        <f ca="1"/>
        <v>0</v>
      </c>
      <c r="AU276" s="49">
        <f ca="1"/>
        <v>0</v>
      </c>
      <c r="AV276" s="49">
        <f ca="1"/>
        <v>0</v>
      </c>
      <c r="AW276" s="49">
        <f ca="1"/>
        <v>0</v>
      </c>
      <c r="AX276" s="49">
        <f ca="1"/>
        <v>0</v>
      </c>
      <c r="AY276" s="49">
        <f ca="1"/>
        <v>0</v>
      </c>
      <c r="AZ276" s="49">
        <f ca="1"/>
        <v>0</v>
      </c>
      <c r="BA276" s="49">
        <f ca="1"/>
        <v>0</v>
      </c>
      <c r="BB276" s="49">
        <f ca="1"/>
        <v>0</v>
      </c>
      <c r="BC276" s="49">
        <f ca="1"/>
        <v>0</v>
      </c>
      <c r="BD276" s="49">
        <f ca="1"/>
        <v>0</v>
      </c>
      <c r="BE276" s="49">
        <f ca="1"/>
        <v>0</v>
      </c>
      <c r="BF276" s="49">
        <f ca="1"/>
        <v>0</v>
      </c>
      <c r="BG276" s="49">
        <f ca="1"/>
        <v>0</v>
      </c>
      <c r="BH276" s="49">
        <f ca="1"/>
        <v>0</v>
      </c>
      <c r="BI276" s="49">
        <f ca="1"/>
        <v>0</v>
      </c>
      <c r="BJ276" s="49">
        <f ca="1"/>
        <v>0</v>
      </c>
      <c r="BK276" s="49">
        <f ca="1"/>
        <v>0</v>
      </c>
      <c r="BL276" s="49">
        <f ca="1"/>
        <v>0</v>
      </c>
      <c r="BM276" s="49">
        <f ca="1"/>
        <v>0</v>
      </c>
      <c r="BN276" s="49">
        <f ca="1"/>
        <v>0</v>
      </c>
      <c r="BO276" s="49">
        <f ca="1"/>
        <v>0</v>
      </c>
      <c r="BP276" s="49">
        <f ca="1"/>
        <v>0</v>
      </c>
      <c r="BQ276" s="49">
        <f ca="1"/>
        <v>0</v>
      </c>
      <c r="BR276" s="49">
        <f ca="1"/>
        <v>0</v>
      </c>
      <c r="BS276" s="49">
        <f ca="1"/>
        <v>0</v>
      </c>
    </row>
    <row r="277" spans="1:71" outlineLevel="1" x14ac:dyDescent="0.2">
      <c r="D277" t="s">
        <v>246</v>
      </c>
      <c r="I277" s="30">
        <f t="shared" ca="1" si="56"/>
        <v>25.317925636860011</v>
      </c>
      <c r="J277" s="26" t="s">
        <v>148</v>
      </c>
      <c r="L277" s="49" cm="1">
        <f t="array" aca="1" ref="L277:BS277" ca="1">Loango_II!CA_excess_CR_cont*Loango_II!CA_rev_oil_perc</f>
        <v>0</v>
      </c>
      <c r="M277" s="49">
        <f ca="1"/>
        <v>0</v>
      </c>
      <c r="N277" s="49">
        <f ca="1"/>
        <v>0</v>
      </c>
      <c r="O277" s="49">
        <f ca="1"/>
        <v>0</v>
      </c>
      <c r="P277" s="49">
        <f ca="1"/>
        <v>0</v>
      </c>
      <c r="Q277" s="49">
        <f ca="1"/>
        <v>0</v>
      </c>
      <c r="R277" s="49">
        <f ca="1"/>
        <v>0</v>
      </c>
      <c r="S277" s="49">
        <f ca="1"/>
        <v>25.317925636860011</v>
      </c>
      <c r="T277" s="49">
        <f ca="1"/>
        <v>0</v>
      </c>
      <c r="U277" s="49">
        <f ca="1"/>
        <v>0</v>
      </c>
      <c r="V277" s="49">
        <f ca="1"/>
        <v>0</v>
      </c>
      <c r="W277" s="49">
        <f ca="1"/>
        <v>0</v>
      </c>
      <c r="X277" s="49">
        <f ca="1"/>
        <v>0</v>
      </c>
      <c r="Y277" s="49">
        <f ca="1"/>
        <v>0</v>
      </c>
      <c r="Z277" s="49">
        <f ca="1"/>
        <v>0</v>
      </c>
      <c r="AA277" s="49">
        <f ca="1"/>
        <v>0</v>
      </c>
      <c r="AB277" s="49">
        <f ca="1"/>
        <v>0</v>
      </c>
      <c r="AC277" s="49">
        <f ca="1"/>
        <v>0</v>
      </c>
      <c r="AD277" s="49">
        <f ca="1"/>
        <v>0</v>
      </c>
      <c r="AE277" s="49">
        <f ca="1"/>
        <v>0</v>
      </c>
      <c r="AF277" s="49">
        <f ca="1"/>
        <v>0</v>
      </c>
      <c r="AG277" s="49">
        <f ca="1"/>
        <v>0</v>
      </c>
      <c r="AH277" s="49">
        <f ca="1"/>
        <v>0</v>
      </c>
      <c r="AI277" s="49">
        <f ca="1"/>
        <v>0</v>
      </c>
      <c r="AJ277" s="49">
        <f ca="1"/>
        <v>0</v>
      </c>
      <c r="AK277" s="49">
        <f ca="1"/>
        <v>0</v>
      </c>
      <c r="AL277" s="49">
        <f ca="1"/>
        <v>0</v>
      </c>
      <c r="AM277" s="49">
        <f ca="1"/>
        <v>0</v>
      </c>
      <c r="AN277" s="49">
        <f ca="1"/>
        <v>0</v>
      </c>
      <c r="AO277" s="49">
        <f ca="1"/>
        <v>0</v>
      </c>
      <c r="AP277" s="49">
        <f ca="1"/>
        <v>0</v>
      </c>
      <c r="AQ277" s="49">
        <f ca="1"/>
        <v>0</v>
      </c>
      <c r="AR277" s="49">
        <f ca="1"/>
        <v>0</v>
      </c>
      <c r="AS277" s="49">
        <f ca="1"/>
        <v>0</v>
      </c>
      <c r="AT277" s="49">
        <f ca="1"/>
        <v>0</v>
      </c>
      <c r="AU277" s="49">
        <f ca="1"/>
        <v>0</v>
      </c>
      <c r="AV277" s="49">
        <f ca="1"/>
        <v>0</v>
      </c>
      <c r="AW277" s="49">
        <f ca="1"/>
        <v>0</v>
      </c>
      <c r="AX277" s="49">
        <f ca="1"/>
        <v>0</v>
      </c>
      <c r="AY277" s="49">
        <f ca="1"/>
        <v>0</v>
      </c>
      <c r="AZ277" s="49">
        <f ca="1"/>
        <v>0</v>
      </c>
      <c r="BA277" s="49">
        <f ca="1"/>
        <v>0</v>
      </c>
      <c r="BB277" s="49">
        <f ca="1"/>
        <v>0</v>
      </c>
      <c r="BC277" s="49">
        <f ca="1"/>
        <v>0</v>
      </c>
      <c r="BD277" s="49">
        <f ca="1"/>
        <v>0</v>
      </c>
      <c r="BE277" s="49">
        <f ca="1"/>
        <v>0</v>
      </c>
      <c r="BF277" s="49">
        <f ca="1"/>
        <v>0</v>
      </c>
      <c r="BG277" s="49">
        <f ca="1"/>
        <v>0</v>
      </c>
      <c r="BH277" s="49">
        <f ca="1"/>
        <v>0</v>
      </c>
      <c r="BI277" s="49">
        <f ca="1"/>
        <v>0</v>
      </c>
      <c r="BJ277" s="49">
        <f ca="1"/>
        <v>0</v>
      </c>
      <c r="BK277" s="49">
        <f ca="1"/>
        <v>0</v>
      </c>
      <c r="BL277" s="49">
        <f ca="1"/>
        <v>0</v>
      </c>
      <c r="BM277" s="49">
        <f ca="1"/>
        <v>0</v>
      </c>
      <c r="BN277" s="49">
        <f ca="1"/>
        <v>0</v>
      </c>
      <c r="BO277" s="49">
        <f ca="1"/>
        <v>0</v>
      </c>
      <c r="BP277" s="49">
        <f ca="1"/>
        <v>0</v>
      </c>
      <c r="BQ277" s="49">
        <f ca="1"/>
        <v>0</v>
      </c>
      <c r="BR277" s="49">
        <f ca="1"/>
        <v>0</v>
      </c>
      <c r="BS277" s="49">
        <f ca="1"/>
        <v>0</v>
      </c>
    </row>
    <row r="278" spans="1:71" outlineLevel="1" x14ac:dyDescent="0.2">
      <c r="D278" t="s">
        <v>98</v>
      </c>
      <c r="I278" s="30">
        <f t="shared" ca="1" si="56"/>
        <v>890.32850856490973</v>
      </c>
      <c r="J278" s="26" t="s">
        <v>148</v>
      </c>
      <c r="L278" s="49" cm="1">
        <f t="array" aca="1" ref="L278:BS278" ca="1">Loango_II!CA_SPO_cont</f>
        <v>31.932063278197276</v>
      </c>
      <c r="M278" s="49">
        <f ca="1"/>
        <v>12.960783618365991</v>
      </c>
      <c r="N278" s="49">
        <f ca="1"/>
        <v>0</v>
      </c>
      <c r="O278" s="49">
        <f ca="1"/>
        <v>0</v>
      </c>
      <c r="P278" s="49">
        <f ca="1"/>
        <v>0</v>
      </c>
      <c r="Q278" s="49">
        <f ca="1"/>
        <v>0</v>
      </c>
      <c r="R278" s="49">
        <f ca="1"/>
        <v>156.23401460647395</v>
      </c>
      <c r="S278" s="49">
        <f ca="1"/>
        <v>46.410069366323988</v>
      </c>
      <c r="T278" s="49">
        <f ca="1"/>
        <v>140.50204498456634</v>
      </c>
      <c r="U278" s="49">
        <f ca="1"/>
        <v>143.5965830913791</v>
      </c>
      <c r="V278" s="49">
        <f ca="1"/>
        <v>136.21571872048224</v>
      </c>
      <c r="W278" s="49">
        <f ca="1"/>
        <v>114.32491973772596</v>
      </c>
      <c r="X278" s="49">
        <f ca="1"/>
        <v>108.15231116139479</v>
      </c>
      <c r="Y278" s="49">
        <f ca="1"/>
        <v>0</v>
      </c>
      <c r="Z278" s="49">
        <f ca="1"/>
        <v>0</v>
      </c>
      <c r="AA278" s="49">
        <f ca="1"/>
        <v>0</v>
      </c>
      <c r="AB278" s="49">
        <f ca="1"/>
        <v>0</v>
      </c>
      <c r="AC278" s="49">
        <f ca="1"/>
        <v>0</v>
      </c>
      <c r="AD278" s="49">
        <f ca="1"/>
        <v>0</v>
      </c>
      <c r="AE278" s="49">
        <f ca="1"/>
        <v>0</v>
      </c>
      <c r="AF278" s="49">
        <f ca="1"/>
        <v>0</v>
      </c>
      <c r="AG278" s="49">
        <f ca="1"/>
        <v>0</v>
      </c>
      <c r="AH278" s="49">
        <f ca="1"/>
        <v>0</v>
      </c>
      <c r="AI278" s="49">
        <f ca="1"/>
        <v>0</v>
      </c>
      <c r="AJ278" s="49">
        <f ca="1"/>
        <v>0</v>
      </c>
      <c r="AK278" s="49">
        <f ca="1"/>
        <v>0</v>
      </c>
      <c r="AL278" s="49">
        <f ca="1"/>
        <v>0</v>
      </c>
      <c r="AM278" s="49">
        <f ca="1"/>
        <v>0</v>
      </c>
      <c r="AN278" s="49">
        <f ca="1"/>
        <v>0</v>
      </c>
      <c r="AO278" s="49">
        <f ca="1"/>
        <v>0</v>
      </c>
      <c r="AP278" s="49">
        <f ca="1"/>
        <v>0</v>
      </c>
      <c r="AQ278" s="49">
        <f ca="1"/>
        <v>0</v>
      </c>
      <c r="AR278" s="49">
        <f ca="1"/>
        <v>0</v>
      </c>
      <c r="AS278" s="49">
        <f ca="1"/>
        <v>0</v>
      </c>
      <c r="AT278" s="49">
        <f ca="1"/>
        <v>0</v>
      </c>
      <c r="AU278" s="49">
        <f ca="1"/>
        <v>0</v>
      </c>
      <c r="AV278" s="49">
        <f ca="1"/>
        <v>0</v>
      </c>
      <c r="AW278" s="49">
        <f ca="1"/>
        <v>0</v>
      </c>
      <c r="AX278" s="49">
        <f ca="1"/>
        <v>0</v>
      </c>
      <c r="AY278" s="49">
        <f ca="1"/>
        <v>0</v>
      </c>
      <c r="AZ278" s="49">
        <f ca="1"/>
        <v>0</v>
      </c>
      <c r="BA278" s="49">
        <f ca="1"/>
        <v>0</v>
      </c>
      <c r="BB278" s="49">
        <f ca="1"/>
        <v>0</v>
      </c>
      <c r="BC278" s="49">
        <f ca="1"/>
        <v>0</v>
      </c>
      <c r="BD278" s="49">
        <f ca="1"/>
        <v>0</v>
      </c>
      <c r="BE278" s="49">
        <f ca="1"/>
        <v>0</v>
      </c>
      <c r="BF278" s="49">
        <f ca="1"/>
        <v>0</v>
      </c>
      <c r="BG278" s="49">
        <f ca="1"/>
        <v>0</v>
      </c>
      <c r="BH278" s="49">
        <f ca="1"/>
        <v>0</v>
      </c>
      <c r="BI278" s="49">
        <f ca="1"/>
        <v>0</v>
      </c>
      <c r="BJ278" s="49">
        <f ca="1"/>
        <v>0</v>
      </c>
      <c r="BK278" s="49">
        <f ca="1"/>
        <v>0</v>
      </c>
      <c r="BL278" s="49">
        <f ca="1"/>
        <v>0</v>
      </c>
      <c r="BM278" s="49">
        <f ca="1"/>
        <v>0</v>
      </c>
      <c r="BN278" s="49">
        <f ca="1"/>
        <v>0</v>
      </c>
      <c r="BO278" s="49">
        <f ca="1"/>
        <v>0</v>
      </c>
      <c r="BP278" s="49">
        <f ca="1"/>
        <v>0</v>
      </c>
      <c r="BQ278" s="49">
        <f ca="1"/>
        <v>0</v>
      </c>
      <c r="BR278" s="49">
        <f ca="1"/>
        <v>0</v>
      </c>
      <c r="BS278" s="49">
        <f ca="1"/>
        <v>0</v>
      </c>
    </row>
    <row r="279" spans="1:71" outlineLevel="1" x14ac:dyDescent="0.2">
      <c r="D279" t="s">
        <v>226</v>
      </c>
      <c r="I279" s="30">
        <f t="shared" ca="1" si="56"/>
        <v>1074.8649376853332</v>
      </c>
      <c r="J279" s="26" t="s">
        <v>148</v>
      </c>
      <c r="L279" s="49" cm="1">
        <f t="array" aca="1" ref="L279:BS279" ca="1">Loango_II!CA_PS_cont*Loango_II!CA_rev_oil_perc</f>
        <v>79.855739233931246</v>
      </c>
      <c r="M279" s="49">
        <f ca="1"/>
        <v>82.874871651656264</v>
      </c>
      <c r="N279" s="49">
        <f ca="1"/>
        <v>33.382796125135428</v>
      </c>
      <c r="O279" s="49">
        <f ca="1"/>
        <v>31.510352896671037</v>
      </c>
      <c r="P279" s="49">
        <f ca="1"/>
        <v>87.40516192473919</v>
      </c>
      <c r="Q279" s="49">
        <f ca="1"/>
        <v>173.74160829901274</v>
      </c>
      <c r="R279" s="49">
        <f ca="1"/>
        <v>115.19412068973199</v>
      </c>
      <c r="S279" s="49">
        <f ca="1"/>
        <v>106.67799072000004</v>
      </c>
      <c r="T279" s="49">
        <f ca="1"/>
        <v>98.939464343999958</v>
      </c>
      <c r="U279" s="49">
        <f ca="1"/>
        <v>93.853975876718437</v>
      </c>
      <c r="V279" s="49">
        <f ca="1"/>
        <v>89.029881516655053</v>
      </c>
      <c r="W279" s="49">
        <f ca="1"/>
        <v>42.342562865824448</v>
      </c>
      <c r="X279" s="49">
        <f ca="1"/>
        <v>40.056411541257319</v>
      </c>
      <c r="Y279" s="49">
        <f ca="1"/>
        <v>0</v>
      </c>
      <c r="Z279" s="49">
        <f ca="1"/>
        <v>0</v>
      </c>
      <c r="AA279" s="49">
        <f ca="1"/>
        <v>0</v>
      </c>
      <c r="AB279" s="49">
        <f ca="1"/>
        <v>0</v>
      </c>
      <c r="AC279" s="49">
        <f ca="1"/>
        <v>0</v>
      </c>
      <c r="AD279" s="49">
        <f ca="1"/>
        <v>0</v>
      </c>
      <c r="AE279" s="49">
        <f ca="1"/>
        <v>0</v>
      </c>
      <c r="AF279" s="49">
        <f ca="1"/>
        <v>0</v>
      </c>
      <c r="AG279" s="49">
        <f ca="1"/>
        <v>0</v>
      </c>
      <c r="AH279" s="49">
        <f ca="1"/>
        <v>0</v>
      </c>
      <c r="AI279" s="49">
        <f ca="1"/>
        <v>0</v>
      </c>
      <c r="AJ279" s="49">
        <f ca="1"/>
        <v>0</v>
      </c>
      <c r="AK279" s="49">
        <f ca="1"/>
        <v>0</v>
      </c>
      <c r="AL279" s="49">
        <f ca="1"/>
        <v>0</v>
      </c>
      <c r="AM279" s="49">
        <f ca="1"/>
        <v>0</v>
      </c>
      <c r="AN279" s="49">
        <f ca="1"/>
        <v>0</v>
      </c>
      <c r="AO279" s="49">
        <f ca="1"/>
        <v>0</v>
      </c>
      <c r="AP279" s="49">
        <f ca="1"/>
        <v>0</v>
      </c>
      <c r="AQ279" s="49">
        <f ca="1"/>
        <v>0</v>
      </c>
      <c r="AR279" s="49">
        <f ca="1"/>
        <v>0</v>
      </c>
      <c r="AS279" s="49">
        <f ca="1"/>
        <v>0</v>
      </c>
      <c r="AT279" s="49">
        <f ca="1"/>
        <v>0</v>
      </c>
      <c r="AU279" s="49">
        <f ca="1"/>
        <v>0</v>
      </c>
      <c r="AV279" s="49">
        <f ca="1"/>
        <v>0</v>
      </c>
      <c r="AW279" s="49">
        <f ca="1"/>
        <v>0</v>
      </c>
      <c r="AX279" s="49">
        <f ca="1"/>
        <v>0</v>
      </c>
      <c r="AY279" s="49">
        <f ca="1"/>
        <v>0</v>
      </c>
      <c r="AZ279" s="49">
        <f ca="1"/>
        <v>0</v>
      </c>
      <c r="BA279" s="49">
        <f ca="1"/>
        <v>0</v>
      </c>
      <c r="BB279" s="49">
        <f ca="1"/>
        <v>0</v>
      </c>
      <c r="BC279" s="49">
        <f ca="1"/>
        <v>0</v>
      </c>
      <c r="BD279" s="49">
        <f ca="1"/>
        <v>0</v>
      </c>
      <c r="BE279" s="49">
        <f ca="1"/>
        <v>0</v>
      </c>
      <c r="BF279" s="49">
        <f ca="1"/>
        <v>0</v>
      </c>
      <c r="BG279" s="49">
        <f ca="1"/>
        <v>0</v>
      </c>
      <c r="BH279" s="49">
        <f ca="1"/>
        <v>0</v>
      </c>
      <c r="BI279" s="49">
        <f ca="1"/>
        <v>0</v>
      </c>
      <c r="BJ279" s="49">
        <f ca="1"/>
        <v>0</v>
      </c>
      <c r="BK279" s="49">
        <f ca="1"/>
        <v>0</v>
      </c>
      <c r="BL279" s="49">
        <f ca="1"/>
        <v>0</v>
      </c>
      <c r="BM279" s="49">
        <f ca="1"/>
        <v>0</v>
      </c>
      <c r="BN279" s="49">
        <f ca="1"/>
        <v>0</v>
      </c>
      <c r="BO279" s="49">
        <f ca="1"/>
        <v>0</v>
      </c>
      <c r="BP279" s="49">
        <f ca="1"/>
        <v>0</v>
      </c>
      <c r="BQ279" s="49">
        <f ca="1"/>
        <v>0</v>
      </c>
      <c r="BR279" s="49">
        <f ca="1"/>
        <v>0</v>
      </c>
      <c r="BS279" s="49">
        <f ca="1"/>
        <v>0</v>
      </c>
    </row>
    <row r="280" spans="1:71" outlineLevel="1" x14ac:dyDescent="0.2">
      <c r="D280" s="11" t="s">
        <v>129</v>
      </c>
      <c r="I280" s="30">
        <f t="shared" ca="1" si="56"/>
        <v>6850.6032645660134</v>
      </c>
      <c r="J280" s="26" t="s">
        <v>148</v>
      </c>
      <c r="K280" s="7" t="s">
        <v>247</v>
      </c>
      <c r="L280" s="49">
        <f ca="1">SUM(L276:L279)</f>
        <v>495.0953508349985</v>
      </c>
      <c r="M280" s="49">
        <f t="shared" ref="M280:BS280" ca="1" si="57">SUM(M276:M279)</f>
        <v>493.63503919797222</v>
      </c>
      <c r="N280" s="49">
        <f t="shared" ca="1" si="57"/>
        <v>193.62021752578545</v>
      </c>
      <c r="O280" s="49">
        <f t="shared" ca="1" si="57"/>
        <v>182.76004680069195</v>
      </c>
      <c r="P280" s="49">
        <f t="shared" ca="1" si="57"/>
        <v>506.94993916348733</v>
      </c>
      <c r="Q280" s="49">
        <f t="shared" ca="1" si="57"/>
        <v>1007.7013281342738</v>
      </c>
      <c r="R280" s="49">
        <f t="shared" ca="1" si="57"/>
        <v>709.2493202674292</v>
      </c>
      <c r="S280" s="49">
        <f t="shared" ca="1" si="57"/>
        <v>432.56439364946402</v>
      </c>
      <c r="T280" s="49">
        <f t="shared" ca="1" si="57"/>
        <v>627.26781387438348</v>
      </c>
      <c r="U280" s="49">
        <f t="shared" ca="1" si="57"/>
        <v>624.59820945956096</v>
      </c>
      <c r="V280" s="49">
        <f t="shared" ca="1" si="57"/>
        <v>592.49386149333941</v>
      </c>
      <c r="W280" s="49">
        <f t="shared" ca="1" si="57"/>
        <v>505.99362624660188</v>
      </c>
      <c r="X280" s="49">
        <f t="shared" ca="1" si="57"/>
        <v>478.67411791802505</v>
      </c>
      <c r="Y280" s="49">
        <f t="shared" ca="1" si="57"/>
        <v>0</v>
      </c>
      <c r="Z280" s="49">
        <f t="shared" ca="1" si="57"/>
        <v>0</v>
      </c>
      <c r="AA280" s="49">
        <f t="shared" ca="1" si="57"/>
        <v>0</v>
      </c>
      <c r="AB280" s="49">
        <f t="shared" ca="1" si="57"/>
        <v>0</v>
      </c>
      <c r="AC280" s="49">
        <f t="shared" ca="1" si="57"/>
        <v>0</v>
      </c>
      <c r="AD280" s="49">
        <f t="shared" ca="1" si="57"/>
        <v>0</v>
      </c>
      <c r="AE280" s="49">
        <f t="shared" ca="1" si="57"/>
        <v>0</v>
      </c>
      <c r="AF280" s="49">
        <f t="shared" ca="1" si="57"/>
        <v>0</v>
      </c>
      <c r="AG280" s="49">
        <f t="shared" ca="1" si="57"/>
        <v>0</v>
      </c>
      <c r="AH280" s="49">
        <f t="shared" ca="1" si="57"/>
        <v>0</v>
      </c>
      <c r="AI280" s="49">
        <f t="shared" ca="1" si="57"/>
        <v>0</v>
      </c>
      <c r="AJ280" s="49">
        <f t="shared" ca="1" si="57"/>
        <v>0</v>
      </c>
      <c r="AK280" s="49">
        <f t="shared" ca="1" si="57"/>
        <v>0</v>
      </c>
      <c r="AL280" s="49">
        <f t="shared" ca="1" si="57"/>
        <v>0</v>
      </c>
      <c r="AM280" s="49">
        <f t="shared" ca="1" si="57"/>
        <v>0</v>
      </c>
      <c r="AN280" s="49">
        <f t="shared" ca="1" si="57"/>
        <v>0</v>
      </c>
      <c r="AO280" s="49">
        <f t="shared" ca="1" si="57"/>
        <v>0</v>
      </c>
      <c r="AP280" s="49">
        <f t="shared" ca="1" si="57"/>
        <v>0</v>
      </c>
      <c r="AQ280" s="49">
        <f t="shared" ca="1" si="57"/>
        <v>0</v>
      </c>
      <c r="AR280" s="49">
        <f t="shared" ca="1" si="57"/>
        <v>0</v>
      </c>
      <c r="AS280" s="49">
        <f t="shared" ca="1" si="57"/>
        <v>0</v>
      </c>
      <c r="AT280" s="49">
        <f t="shared" ca="1" si="57"/>
        <v>0</v>
      </c>
      <c r="AU280" s="49">
        <f t="shared" ca="1" si="57"/>
        <v>0</v>
      </c>
      <c r="AV280" s="49">
        <f t="shared" ca="1" si="57"/>
        <v>0</v>
      </c>
      <c r="AW280" s="49">
        <f t="shared" ca="1" si="57"/>
        <v>0</v>
      </c>
      <c r="AX280" s="49">
        <f t="shared" ca="1" si="57"/>
        <v>0</v>
      </c>
      <c r="AY280" s="49">
        <f t="shared" ca="1" si="57"/>
        <v>0</v>
      </c>
      <c r="AZ280" s="49">
        <f t="shared" ca="1" si="57"/>
        <v>0</v>
      </c>
      <c r="BA280" s="49">
        <f t="shared" ca="1" si="57"/>
        <v>0</v>
      </c>
      <c r="BB280" s="49">
        <f t="shared" ca="1" si="57"/>
        <v>0</v>
      </c>
      <c r="BC280" s="49">
        <f t="shared" ca="1" si="57"/>
        <v>0</v>
      </c>
      <c r="BD280" s="49">
        <f t="shared" ca="1" si="57"/>
        <v>0</v>
      </c>
      <c r="BE280" s="49">
        <f t="shared" ca="1" si="57"/>
        <v>0</v>
      </c>
      <c r="BF280" s="49">
        <f t="shared" ca="1" si="57"/>
        <v>0</v>
      </c>
      <c r="BG280" s="49">
        <f t="shared" ca="1" si="57"/>
        <v>0</v>
      </c>
      <c r="BH280" s="49">
        <f t="shared" ca="1" si="57"/>
        <v>0</v>
      </c>
      <c r="BI280" s="49">
        <f t="shared" ca="1" si="57"/>
        <v>0</v>
      </c>
      <c r="BJ280" s="49">
        <f t="shared" ca="1" si="57"/>
        <v>0</v>
      </c>
      <c r="BK280" s="49">
        <f t="shared" ca="1" si="57"/>
        <v>0</v>
      </c>
      <c r="BL280" s="49">
        <f t="shared" ca="1" si="57"/>
        <v>0</v>
      </c>
      <c r="BM280" s="49">
        <f t="shared" ca="1" si="57"/>
        <v>0</v>
      </c>
      <c r="BN280" s="49">
        <f t="shared" ca="1" si="57"/>
        <v>0</v>
      </c>
      <c r="BO280" s="49">
        <f t="shared" ca="1" si="57"/>
        <v>0</v>
      </c>
      <c r="BP280" s="49">
        <f t="shared" ca="1" si="57"/>
        <v>0</v>
      </c>
      <c r="BQ280" s="49">
        <f t="shared" ca="1" si="57"/>
        <v>0</v>
      </c>
      <c r="BR280" s="49">
        <f t="shared" ca="1" si="57"/>
        <v>0</v>
      </c>
      <c r="BS280" s="49">
        <f t="shared" ca="1" si="57"/>
        <v>0</v>
      </c>
    </row>
    <row r="281" spans="1:71" outlineLevel="1" x14ac:dyDescent="0.2">
      <c r="J281" s="26"/>
      <c r="L281" s="55"/>
      <c r="M281" s="55"/>
      <c r="N281" s="55"/>
      <c r="O281" s="55"/>
      <c r="P281" s="55"/>
      <c r="Q281" s="55"/>
      <c r="R281" s="55"/>
      <c r="S281" s="55"/>
      <c r="T281" s="55"/>
      <c r="U281" s="55"/>
      <c r="V281" s="55"/>
      <c r="W281" s="55"/>
      <c r="X281" s="55"/>
      <c r="Y281" s="55"/>
      <c r="Z281" s="55"/>
      <c r="AA281" s="55"/>
      <c r="AB281" s="55"/>
      <c r="AC281" s="55"/>
      <c r="AD281" s="55"/>
      <c r="AE281" s="55"/>
      <c r="AF281" s="55"/>
      <c r="AG281" s="55"/>
      <c r="AH281" s="55"/>
      <c r="AI281" s="55"/>
      <c r="AJ281" s="55"/>
      <c r="AK281" s="55"/>
      <c r="AL281" s="55"/>
      <c r="AM281" s="55"/>
      <c r="AN281" s="55"/>
      <c r="AO281" s="55"/>
      <c r="AP281" s="55"/>
      <c r="AQ281" s="55"/>
      <c r="AR281" s="55"/>
      <c r="AS281" s="55"/>
      <c r="AT281" s="55"/>
      <c r="AU281" s="55"/>
      <c r="AV281" s="55"/>
      <c r="AW281" s="55"/>
      <c r="AX281" s="55"/>
      <c r="AY281" s="55"/>
      <c r="AZ281" s="55"/>
      <c r="BA281" s="55"/>
      <c r="BB281" s="55"/>
      <c r="BC281" s="55"/>
      <c r="BD281" s="55"/>
      <c r="BE281" s="55"/>
      <c r="BF281" s="55"/>
      <c r="BG281" s="55"/>
      <c r="BH281" s="55"/>
      <c r="BI281" s="55"/>
      <c r="BJ281" s="55"/>
      <c r="BK281" s="55"/>
      <c r="BL281" s="55"/>
      <c r="BM281" s="55"/>
      <c r="BN281" s="55"/>
      <c r="BO281" s="55"/>
      <c r="BP281" s="55"/>
      <c r="BQ281" s="55"/>
      <c r="BR281" s="55"/>
      <c r="BS281" s="55"/>
    </row>
    <row r="282" spans="1:71" outlineLevel="1" x14ac:dyDescent="0.2">
      <c r="C282" s="11" t="s">
        <v>248</v>
      </c>
      <c r="J282" s="26"/>
      <c r="L282" s="55"/>
      <c r="M282" s="55"/>
      <c r="N282" s="55"/>
      <c r="O282" s="55"/>
      <c r="P282" s="55"/>
      <c r="Q282" s="55"/>
      <c r="R282" s="55"/>
      <c r="S282" s="55"/>
      <c r="T282" s="55"/>
      <c r="U282" s="55"/>
      <c r="V282" s="55"/>
      <c r="W282" s="55"/>
      <c r="X282" s="55"/>
      <c r="Y282" s="55"/>
      <c r="Z282" s="55"/>
      <c r="AA282" s="55"/>
      <c r="AB282" s="55"/>
      <c r="AC282" s="55"/>
      <c r="AD282" s="55"/>
      <c r="AE282" s="55"/>
      <c r="AF282" s="55"/>
      <c r="AG282" s="55"/>
      <c r="AH282" s="55"/>
      <c r="AI282" s="55"/>
      <c r="AJ282" s="55"/>
      <c r="AK282" s="55"/>
      <c r="AL282" s="55"/>
      <c r="AM282" s="55"/>
      <c r="AN282" s="55"/>
      <c r="AO282" s="55"/>
      <c r="AP282" s="55"/>
      <c r="AQ282" s="55"/>
      <c r="AR282" s="55"/>
      <c r="AS282" s="55"/>
      <c r="AT282" s="55"/>
      <c r="AU282" s="55"/>
      <c r="AV282" s="55"/>
      <c r="AW282" s="55"/>
      <c r="AX282" s="55"/>
      <c r="AY282" s="55"/>
      <c r="AZ282" s="55"/>
      <c r="BA282" s="55"/>
      <c r="BB282" s="55"/>
      <c r="BC282" s="55"/>
      <c r="BD282" s="55"/>
      <c r="BE282" s="55"/>
      <c r="BF282" s="55"/>
      <c r="BG282" s="55"/>
      <c r="BH282" s="55"/>
      <c r="BI282" s="55"/>
      <c r="BJ282" s="55"/>
      <c r="BK282" s="55"/>
      <c r="BL282" s="55"/>
      <c r="BM282" s="55"/>
      <c r="BN282" s="55"/>
      <c r="BO282" s="55"/>
      <c r="BP282" s="55"/>
      <c r="BQ282" s="55"/>
      <c r="BR282" s="55"/>
      <c r="BS282" s="55"/>
    </row>
    <row r="283" spans="1:71" outlineLevel="1" x14ac:dyDescent="0.2">
      <c r="D283" t="s">
        <v>249</v>
      </c>
      <c r="I283" s="30">
        <f t="shared" ref="I283:I286" ca="1" si="58">SUM($L283:$BS283)</f>
        <v>0</v>
      </c>
      <c r="J283" s="26" t="s">
        <v>148</v>
      </c>
      <c r="L283" s="49" cm="1">
        <f t="array" aca="1" ref="L283:BS283" ca="1">Loango_II!CA_cost_recovered_total*Loango_II!CA_rev_gas_perc</f>
        <v>0</v>
      </c>
      <c r="M283" s="49">
        <f ca="1"/>
        <v>0</v>
      </c>
      <c r="N283" s="49">
        <f ca="1"/>
        <v>0</v>
      </c>
      <c r="O283" s="49">
        <f ca="1"/>
        <v>0</v>
      </c>
      <c r="P283" s="49">
        <f ca="1"/>
        <v>0</v>
      </c>
      <c r="Q283" s="49">
        <f ca="1"/>
        <v>0</v>
      </c>
      <c r="R283" s="49">
        <f ca="1"/>
        <v>0</v>
      </c>
      <c r="S283" s="49">
        <f ca="1"/>
        <v>0</v>
      </c>
      <c r="T283" s="49">
        <f ca="1"/>
        <v>0</v>
      </c>
      <c r="U283" s="49">
        <f ca="1"/>
        <v>0</v>
      </c>
      <c r="V283" s="49">
        <f ca="1"/>
        <v>0</v>
      </c>
      <c r="W283" s="49">
        <f ca="1"/>
        <v>0</v>
      </c>
      <c r="X283" s="49">
        <f ca="1"/>
        <v>0</v>
      </c>
      <c r="Y283" s="49">
        <f ca="1"/>
        <v>0</v>
      </c>
      <c r="Z283" s="49">
        <f ca="1"/>
        <v>0</v>
      </c>
      <c r="AA283" s="49">
        <f ca="1"/>
        <v>0</v>
      </c>
      <c r="AB283" s="49">
        <f ca="1"/>
        <v>0</v>
      </c>
      <c r="AC283" s="49">
        <f ca="1"/>
        <v>0</v>
      </c>
      <c r="AD283" s="49">
        <f ca="1"/>
        <v>0</v>
      </c>
      <c r="AE283" s="49">
        <f ca="1"/>
        <v>0</v>
      </c>
      <c r="AF283" s="49">
        <f ca="1"/>
        <v>0</v>
      </c>
      <c r="AG283" s="49">
        <f ca="1"/>
        <v>0</v>
      </c>
      <c r="AH283" s="49">
        <f ca="1"/>
        <v>0</v>
      </c>
      <c r="AI283" s="49">
        <f ca="1"/>
        <v>0</v>
      </c>
      <c r="AJ283" s="49">
        <f ca="1"/>
        <v>0</v>
      </c>
      <c r="AK283" s="49">
        <f ca="1"/>
        <v>0</v>
      </c>
      <c r="AL283" s="49">
        <f ca="1"/>
        <v>0</v>
      </c>
      <c r="AM283" s="49">
        <f ca="1"/>
        <v>0</v>
      </c>
      <c r="AN283" s="49">
        <f ca="1"/>
        <v>0</v>
      </c>
      <c r="AO283" s="49">
        <f ca="1"/>
        <v>0</v>
      </c>
      <c r="AP283" s="49">
        <f ca="1"/>
        <v>0</v>
      </c>
      <c r="AQ283" s="49">
        <f ca="1"/>
        <v>0</v>
      </c>
      <c r="AR283" s="49">
        <f ca="1"/>
        <v>0</v>
      </c>
      <c r="AS283" s="49">
        <f ca="1"/>
        <v>0</v>
      </c>
      <c r="AT283" s="49">
        <f ca="1"/>
        <v>0</v>
      </c>
      <c r="AU283" s="49">
        <f ca="1"/>
        <v>0</v>
      </c>
      <c r="AV283" s="49">
        <f ca="1"/>
        <v>0</v>
      </c>
      <c r="AW283" s="49">
        <f ca="1"/>
        <v>0</v>
      </c>
      <c r="AX283" s="49">
        <f ca="1"/>
        <v>0</v>
      </c>
      <c r="AY283" s="49">
        <f ca="1"/>
        <v>0</v>
      </c>
      <c r="AZ283" s="49">
        <f ca="1"/>
        <v>0</v>
      </c>
      <c r="BA283" s="49">
        <f ca="1"/>
        <v>0</v>
      </c>
      <c r="BB283" s="49">
        <f ca="1"/>
        <v>0</v>
      </c>
      <c r="BC283" s="49">
        <f ca="1"/>
        <v>0</v>
      </c>
      <c r="BD283" s="49">
        <f ca="1"/>
        <v>0</v>
      </c>
      <c r="BE283" s="49">
        <f ca="1"/>
        <v>0</v>
      </c>
      <c r="BF283" s="49">
        <f ca="1"/>
        <v>0</v>
      </c>
      <c r="BG283" s="49">
        <f ca="1"/>
        <v>0</v>
      </c>
      <c r="BH283" s="49">
        <f ca="1"/>
        <v>0</v>
      </c>
      <c r="BI283" s="49">
        <f ca="1"/>
        <v>0</v>
      </c>
      <c r="BJ283" s="49">
        <f ca="1"/>
        <v>0</v>
      </c>
      <c r="BK283" s="49">
        <f ca="1"/>
        <v>0</v>
      </c>
      <c r="BL283" s="49">
        <f ca="1"/>
        <v>0</v>
      </c>
      <c r="BM283" s="49">
        <f ca="1"/>
        <v>0</v>
      </c>
      <c r="BN283" s="49">
        <f ca="1"/>
        <v>0</v>
      </c>
      <c r="BO283" s="49">
        <f ca="1"/>
        <v>0</v>
      </c>
      <c r="BP283" s="49">
        <f ca="1"/>
        <v>0</v>
      </c>
      <c r="BQ283" s="49">
        <f ca="1"/>
        <v>0</v>
      </c>
      <c r="BR283" s="49">
        <f ca="1"/>
        <v>0</v>
      </c>
      <c r="BS283" s="49">
        <f ca="1"/>
        <v>0</v>
      </c>
    </row>
    <row r="284" spans="1:71" outlineLevel="1" x14ac:dyDescent="0.2">
      <c r="D284" t="s">
        <v>250</v>
      </c>
      <c r="I284" s="30">
        <f t="shared" ca="1" si="58"/>
        <v>0</v>
      </c>
      <c r="J284" s="26" t="s">
        <v>148</v>
      </c>
      <c r="L284" s="49" cm="1">
        <f t="array" aca="1" ref="L284:BS284" ca="1">Loango_II!CA_excess_CR_cont*Loango_II!CA_rev_gas_perc</f>
        <v>0</v>
      </c>
      <c r="M284" s="49">
        <f ca="1"/>
        <v>0</v>
      </c>
      <c r="N284" s="49">
        <f ca="1"/>
        <v>0</v>
      </c>
      <c r="O284" s="49">
        <f ca="1"/>
        <v>0</v>
      </c>
      <c r="P284" s="49">
        <f ca="1"/>
        <v>0</v>
      </c>
      <c r="Q284" s="49">
        <f ca="1"/>
        <v>0</v>
      </c>
      <c r="R284" s="49">
        <f ca="1"/>
        <v>0</v>
      </c>
      <c r="S284" s="49">
        <f ca="1"/>
        <v>0</v>
      </c>
      <c r="T284" s="49">
        <f ca="1"/>
        <v>0</v>
      </c>
      <c r="U284" s="49">
        <f ca="1"/>
        <v>0</v>
      </c>
      <c r="V284" s="49">
        <f ca="1"/>
        <v>0</v>
      </c>
      <c r="W284" s="49">
        <f ca="1"/>
        <v>0</v>
      </c>
      <c r="X284" s="49">
        <f ca="1"/>
        <v>0</v>
      </c>
      <c r="Y284" s="49">
        <f ca="1"/>
        <v>0</v>
      </c>
      <c r="Z284" s="49">
        <f ca="1"/>
        <v>0</v>
      </c>
      <c r="AA284" s="49">
        <f ca="1"/>
        <v>0</v>
      </c>
      <c r="AB284" s="49">
        <f ca="1"/>
        <v>0</v>
      </c>
      <c r="AC284" s="49">
        <f ca="1"/>
        <v>0</v>
      </c>
      <c r="AD284" s="49">
        <f ca="1"/>
        <v>0</v>
      </c>
      <c r="AE284" s="49">
        <f ca="1"/>
        <v>0</v>
      </c>
      <c r="AF284" s="49">
        <f ca="1"/>
        <v>0</v>
      </c>
      <c r="AG284" s="49">
        <f ca="1"/>
        <v>0</v>
      </c>
      <c r="AH284" s="49">
        <f ca="1"/>
        <v>0</v>
      </c>
      <c r="AI284" s="49">
        <f ca="1"/>
        <v>0</v>
      </c>
      <c r="AJ284" s="49">
        <f ca="1"/>
        <v>0</v>
      </c>
      <c r="AK284" s="49">
        <f ca="1"/>
        <v>0</v>
      </c>
      <c r="AL284" s="49">
        <f ca="1"/>
        <v>0</v>
      </c>
      <c r="AM284" s="49">
        <f ca="1"/>
        <v>0</v>
      </c>
      <c r="AN284" s="49">
        <f ca="1"/>
        <v>0</v>
      </c>
      <c r="AO284" s="49">
        <f ca="1"/>
        <v>0</v>
      </c>
      <c r="AP284" s="49">
        <f ca="1"/>
        <v>0</v>
      </c>
      <c r="AQ284" s="49">
        <f ca="1"/>
        <v>0</v>
      </c>
      <c r="AR284" s="49">
        <f ca="1"/>
        <v>0</v>
      </c>
      <c r="AS284" s="49">
        <f ca="1"/>
        <v>0</v>
      </c>
      <c r="AT284" s="49">
        <f ca="1"/>
        <v>0</v>
      </c>
      <c r="AU284" s="49">
        <f ca="1"/>
        <v>0</v>
      </c>
      <c r="AV284" s="49">
        <f ca="1"/>
        <v>0</v>
      </c>
      <c r="AW284" s="49">
        <f ca="1"/>
        <v>0</v>
      </c>
      <c r="AX284" s="49">
        <f ca="1"/>
        <v>0</v>
      </c>
      <c r="AY284" s="49">
        <f ca="1"/>
        <v>0</v>
      </c>
      <c r="AZ284" s="49">
        <f ca="1"/>
        <v>0</v>
      </c>
      <c r="BA284" s="49">
        <f ca="1"/>
        <v>0</v>
      </c>
      <c r="BB284" s="49">
        <f ca="1"/>
        <v>0</v>
      </c>
      <c r="BC284" s="49">
        <f ca="1"/>
        <v>0</v>
      </c>
      <c r="BD284" s="49">
        <f ca="1"/>
        <v>0</v>
      </c>
      <c r="BE284" s="49">
        <f ca="1"/>
        <v>0</v>
      </c>
      <c r="BF284" s="49">
        <f ca="1"/>
        <v>0</v>
      </c>
      <c r="BG284" s="49">
        <f ca="1"/>
        <v>0</v>
      </c>
      <c r="BH284" s="49">
        <f ca="1"/>
        <v>0</v>
      </c>
      <c r="BI284" s="49">
        <f ca="1"/>
        <v>0</v>
      </c>
      <c r="BJ284" s="49">
        <f ca="1"/>
        <v>0</v>
      </c>
      <c r="BK284" s="49">
        <f ca="1"/>
        <v>0</v>
      </c>
      <c r="BL284" s="49">
        <f ca="1"/>
        <v>0</v>
      </c>
      <c r="BM284" s="49">
        <f ca="1"/>
        <v>0</v>
      </c>
      <c r="BN284" s="49">
        <f ca="1"/>
        <v>0</v>
      </c>
      <c r="BO284" s="49">
        <f ca="1"/>
        <v>0</v>
      </c>
      <c r="BP284" s="49">
        <f ca="1"/>
        <v>0</v>
      </c>
      <c r="BQ284" s="49">
        <f ca="1"/>
        <v>0</v>
      </c>
      <c r="BR284" s="49">
        <f ca="1"/>
        <v>0</v>
      </c>
      <c r="BS284" s="49">
        <f ca="1"/>
        <v>0</v>
      </c>
    </row>
    <row r="285" spans="1:71" outlineLevel="1" x14ac:dyDescent="0.2">
      <c r="D285" t="s">
        <v>237</v>
      </c>
      <c r="I285" s="30">
        <f t="shared" ca="1" si="58"/>
        <v>0</v>
      </c>
      <c r="J285" s="26" t="s">
        <v>148</v>
      </c>
      <c r="L285" s="49" cm="1">
        <f t="array" aca="1" ref="L285:BS285" ca="1">Loango_II!CA_PS_cont*Loango_II!CA_rev_gas_perc</f>
        <v>0</v>
      </c>
      <c r="M285" s="49">
        <f ca="1"/>
        <v>0</v>
      </c>
      <c r="N285" s="49">
        <f ca="1"/>
        <v>0</v>
      </c>
      <c r="O285" s="49">
        <f ca="1"/>
        <v>0</v>
      </c>
      <c r="P285" s="49">
        <f ca="1"/>
        <v>0</v>
      </c>
      <c r="Q285" s="49">
        <f ca="1"/>
        <v>0</v>
      </c>
      <c r="R285" s="49">
        <f ca="1"/>
        <v>0</v>
      </c>
      <c r="S285" s="49">
        <f ca="1"/>
        <v>0</v>
      </c>
      <c r="T285" s="49">
        <f ca="1"/>
        <v>0</v>
      </c>
      <c r="U285" s="49">
        <f ca="1"/>
        <v>0</v>
      </c>
      <c r="V285" s="49">
        <f ca="1"/>
        <v>0</v>
      </c>
      <c r="W285" s="49">
        <f ca="1"/>
        <v>0</v>
      </c>
      <c r="X285" s="49">
        <f ca="1"/>
        <v>0</v>
      </c>
      <c r="Y285" s="49">
        <f ca="1"/>
        <v>0</v>
      </c>
      <c r="Z285" s="49">
        <f ca="1"/>
        <v>0</v>
      </c>
      <c r="AA285" s="49">
        <f ca="1"/>
        <v>0</v>
      </c>
      <c r="AB285" s="49">
        <f ca="1"/>
        <v>0</v>
      </c>
      <c r="AC285" s="49">
        <f ca="1"/>
        <v>0</v>
      </c>
      <c r="AD285" s="49">
        <f ca="1"/>
        <v>0</v>
      </c>
      <c r="AE285" s="49">
        <f ca="1"/>
        <v>0</v>
      </c>
      <c r="AF285" s="49">
        <f ca="1"/>
        <v>0</v>
      </c>
      <c r="AG285" s="49">
        <f ca="1"/>
        <v>0</v>
      </c>
      <c r="AH285" s="49">
        <f ca="1"/>
        <v>0</v>
      </c>
      <c r="AI285" s="49">
        <f ca="1"/>
        <v>0</v>
      </c>
      <c r="AJ285" s="49">
        <f ca="1"/>
        <v>0</v>
      </c>
      <c r="AK285" s="49">
        <f ca="1"/>
        <v>0</v>
      </c>
      <c r="AL285" s="49">
        <f ca="1"/>
        <v>0</v>
      </c>
      <c r="AM285" s="49">
        <f ca="1"/>
        <v>0</v>
      </c>
      <c r="AN285" s="49">
        <f ca="1"/>
        <v>0</v>
      </c>
      <c r="AO285" s="49">
        <f ca="1"/>
        <v>0</v>
      </c>
      <c r="AP285" s="49">
        <f ca="1"/>
        <v>0</v>
      </c>
      <c r="AQ285" s="49">
        <f ca="1"/>
        <v>0</v>
      </c>
      <c r="AR285" s="49">
        <f ca="1"/>
        <v>0</v>
      </c>
      <c r="AS285" s="49">
        <f ca="1"/>
        <v>0</v>
      </c>
      <c r="AT285" s="49">
        <f ca="1"/>
        <v>0</v>
      </c>
      <c r="AU285" s="49">
        <f ca="1"/>
        <v>0</v>
      </c>
      <c r="AV285" s="49">
        <f ca="1"/>
        <v>0</v>
      </c>
      <c r="AW285" s="49">
        <f ca="1"/>
        <v>0</v>
      </c>
      <c r="AX285" s="49">
        <f ca="1"/>
        <v>0</v>
      </c>
      <c r="AY285" s="49">
        <f ca="1"/>
        <v>0</v>
      </c>
      <c r="AZ285" s="49">
        <f ca="1"/>
        <v>0</v>
      </c>
      <c r="BA285" s="49">
        <f ca="1"/>
        <v>0</v>
      </c>
      <c r="BB285" s="49">
        <f ca="1"/>
        <v>0</v>
      </c>
      <c r="BC285" s="49">
        <f ca="1"/>
        <v>0</v>
      </c>
      <c r="BD285" s="49">
        <f ca="1"/>
        <v>0</v>
      </c>
      <c r="BE285" s="49">
        <f ca="1"/>
        <v>0</v>
      </c>
      <c r="BF285" s="49">
        <f ca="1"/>
        <v>0</v>
      </c>
      <c r="BG285" s="49">
        <f ca="1"/>
        <v>0</v>
      </c>
      <c r="BH285" s="49">
        <f ca="1"/>
        <v>0</v>
      </c>
      <c r="BI285" s="49">
        <f ca="1"/>
        <v>0</v>
      </c>
      <c r="BJ285" s="49">
        <f ca="1"/>
        <v>0</v>
      </c>
      <c r="BK285" s="49">
        <f ca="1"/>
        <v>0</v>
      </c>
      <c r="BL285" s="49">
        <f ca="1"/>
        <v>0</v>
      </c>
      <c r="BM285" s="49">
        <f ca="1"/>
        <v>0</v>
      </c>
      <c r="BN285" s="49">
        <f ca="1"/>
        <v>0</v>
      </c>
      <c r="BO285" s="49">
        <f ca="1"/>
        <v>0</v>
      </c>
      <c r="BP285" s="49">
        <f ca="1"/>
        <v>0</v>
      </c>
      <c r="BQ285" s="49">
        <f ca="1"/>
        <v>0</v>
      </c>
      <c r="BR285" s="49">
        <f ca="1"/>
        <v>0</v>
      </c>
      <c r="BS285" s="49">
        <f ca="1"/>
        <v>0</v>
      </c>
    </row>
    <row r="286" spans="1:71" outlineLevel="1" x14ac:dyDescent="0.2">
      <c r="D286" s="11" t="s">
        <v>129</v>
      </c>
      <c r="I286" s="30">
        <f t="shared" ca="1" si="58"/>
        <v>0</v>
      </c>
      <c r="J286" s="26" t="s">
        <v>148</v>
      </c>
      <c r="K286" s="7" t="s">
        <v>251</v>
      </c>
      <c r="L286" s="49">
        <f t="shared" ref="L286:AQ286" ca="1" si="59">SUM(L283:L285)</f>
        <v>0</v>
      </c>
      <c r="M286" s="49">
        <f t="shared" ca="1" si="59"/>
        <v>0</v>
      </c>
      <c r="N286" s="49">
        <f t="shared" ca="1" si="59"/>
        <v>0</v>
      </c>
      <c r="O286" s="49">
        <f t="shared" ca="1" si="59"/>
        <v>0</v>
      </c>
      <c r="P286" s="49">
        <f t="shared" ca="1" si="59"/>
        <v>0</v>
      </c>
      <c r="Q286" s="49">
        <f t="shared" ca="1" si="59"/>
        <v>0</v>
      </c>
      <c r="R286" s="49">
        <f t="shared" ca="1" si="59"/>
        <v>0</v>
      </c>
      <c r="S286" s="49">
        <f t="shared" ca="1" si="59"/>
        <v>0</v>
      </c>
      <c r="T286" s="49">
        <f t="shared" ca="1" si="59"/>
        <v>0</v>
      </c>
      <c r="U286" s="49">
        <f t="shared" ca="1" si="59"/>
        <v>0</v>
      </c>
      <c r="V286" s="49">
        <f t="shared" ca="1" si="59"/>
        <v>0</v>
      </c>
      <c r="W286" s="49">
        <f t="shared" ca="1" si="59"/>
        <v>0</v>
      </c>
      <c r="X286" s="49">
        <f t="shared" ca="1" si="59"/>
        <v>0</v>
      </c>
      <c r="Y286" s="49">
        <f t="shared" ca="1" si="59"/>
        <v>0</v>
      </c>
      <c r="Z286" s="49">
        <f t="shared" ca="1" si="59"/>
        <v>0</v>
      </c>
      <c r="AA286" s="49">
        <f t="shared" ca="1" si="59"/>
        <v>0</v>
      </c>
      <c r="AB286" s="49">
        <f t="shared" ca="1" si="59"/>
        <v>0</v>
      </c>
      <c r="AC286" s="49">
        <f t="shared" ca="1" si="59"/>
        <v>0</v>
      </c>
      <c r="AD286" s="49">
        <f t="shared" ca="1" si="59"/>
        <v>0</v>
      </c>
      <c r="AE286" s="49">
        <f t="shared" ca="1" si="59"/>
        <v>0</v>
      </c>
      <c r="AF286" s="49">
        <f t="shared" ca="1" si="59"/>
        <v>0</v>
      </c>
      <c r="AG286" s="49">
        <f t="shared" ca="1" si="59"/>
        <v>0</v>
      </c>
      <c r="AH286" s="49">
        <f t="shared" ca="1" si="59"/>
        <v>0</v>
      </c>
      <c r="AI286" s="49">
        <f t="shared" ca="1" si="59"/>
        <v>0</v>
      </c>
      <c r="AJ286" s="49">
        <f t="shared" ca="1" si="59"/>
        <v>0</v>
      </c>
      <c r="AK286" s="49">
        <f t="shared" ca="1" si="59"/>
        <v>0</v>
      </c>
      <c r="AL286" s="49">
        <f t="shared" ca="1" si="59"/>
        <v>0</v>
      </c>
      <c r="AM286" s="49">
        <f t="shared" ca="1" si="59"/>
        <v>0</v>
      </c>
      <c r="AN286" s="49">
        <f t="shared" ca="1" si="59"/>
        <v>0</v>
      </c>
      <c r="AO286" s="49">
        <f t="shared" ca="1" si="59"/>
        <v>0</v>
      </c>
      <c r="AP286" s="49">
        <f t="shared" ca="1" si="59"/>
        <v>0</v>
      </c>
      <c r="AQ286" s="49">
        <f t="shared" ca="1" si="59"/>
        <v>0</v>
      </c>
      <c r="AR286" s="49">
        <f t="shared" ref="AR286:BS286" ca="1" si="60">SUM(AR283:AR285)</f>
        <v>0</v>
      </c>
      <c r="AS286" s="49">
        <f t="shared" ca="1" si="60"/>
        <v>0</v>
      </c>
      <c r="AT286" s="49">
        <f t="shared" ca="1" si="60"/>
        <v>0</v>
      </c>
      <c r="AU286" s="49">
        <f t="shared" ca="1" si="60"/>
        <v>0</v>
      </c>
      <c r="AV286" s="49">
        <f t="shared" ca="1" si="60"/>
        <v>0</v>
      </c>
      <c r="AW286" s="49">
        <f t="shared" ca="1" si="60"/>
        <v>0</v>
      </c>
      <c r="AX286" s="49">
        <f t="shared" ca="1" si="60"/>
        <v>0</v>
      </c>
      <c r="AY286" s="49">
        <f t="shared" ca="1" si="60"/>
        <v>0</v>
      </c>
      <c r="AZ286" s="49">
        <f t="shared" ca="1" si="60"/>
        <v>0</v>
      </c>
      <c r="BA286" s="49">
        <f t="shared" ca="1" si="60"/>
        <v>0</v>
      </c>
      <c r="BB286" s="49">
        <f t="shared" ca="1" si="60"/>
        <v>0</v>
      </c>
      <c r="BC286" s="49">
        <f t="shared" ca="1" si="60"/>
        <v>0</v>
      </c>
      <c r="BD286" s="49">
        <f t="shared" ca="1" si="60"/>
        <v>0</v>
      </c>
      <c r="BE286" s="49">
        <f t="shared" ca="1" si="60"/>
        <v>0</v>
      </c>
      <c r="BF286" s="49">
        <f t="shared" ca="1" si="60"/>
        <v>0</v>
      </c>
      <c r="BG286" s="49">
        <f t="shared" ca="1" si="60"/>
        <v>0</v>
      </c>
      <c r="BH286" s="49">
        <f t="shared" ca="1" si="60"/>
        <v>0</v>
      </c>
      <c r="BI286" s="49">
        <f t="shared" ca="1" si="60"/>
        <v>0</v>
      </c>
      <c r="BJ286" s="49">
        <f t="shared" ca="1" si="60"/>
        <v>0</v>
      </c>
      <c r="BK286" s="49">
        <f t="shared" ca="1" si="60"/>
        <v>0</v>
      </c>
      <c r="BL286" s="49">
        <f t="shared" ca="1" si="60"/>
        <v>0</v>
      </c>
      <c r="BM286" s="49">
        <f t="shared" ca="1" si="60"/>
        <v>0</v>
      </c>
      <c r="BN286" s="49">
        <f t="shared" ca="1" si="60"/>
        <v>0</v>
      </c>
      <c r="BO286" s="49">
        <f t="shared" ca="1" si="60"/>
        <v>0</v>
      </c>
      <c r="BP286" s="49">
        <f t="shared" ca="1" si="60"/>
        <v>0</v>
      </c>
      <c r="BQ286" s="49">
        <f t="shared" ca="1" si="60"/>
        <v>0</v>
      </c>
      <c r="BR286" s="49">
        <f t="shared" ca="1" si="60"/>
        <v>0</v>
      </c>
      <c r="BS286" s="49">
        <f t="shared" ca="1" si="60"/>
        <v>0</v>
      </c>
    </row>
    <row r="287" spans="1:71" outlineLevel="1" x14ac:dyDescent="0.2">
      <c r="J287" s="26"/>
      <c r="L287" s="55"/>
      <c r="M287" s="55"/>
      <c r="N287" s="55"/>
      <c r="O287" s="55"/>
      <c r="P287" s="55"/>
      <c r="Q287" s="55"/>
      <c r="R287" s="55"/>
      <c r="S287" s="55"/>
      <c r="T287" s="55"/>
      <c r="U287" s="55"/>
      <c r="V287" s="55"/>
      <c r="W287" s="55"/>
      <c r="X287" s="55"/>
      <c r="Y287" s="55"/>
      <c r="Z287" s="55"/>
      <c r="AA287" s="55"/>
      <c r="AB287" s="55"/>
      <c r="AC287" s="55"/>
      <c r="AD287" s="55"/>
      <c r="AE287" s="55"/>
      <c r="AF287" s="55"/>
      <c r="AG287" s="55"/>
      <c r="AH287" s="55"/>
      <c r="AI287" s="55"/>
      <c r="AJ287" s="55"/>
      <c r="AK287" s="55"/>
      <c r="AL287" s="55"/>
      <c r="AM287" s="55"/>
      <c r="AN287" s="55"/>
      <c r="AO287" s="55"/>
      <c r="AP287" s="55"/>
      <c r="AQ287" s="55"/>
      <c r="AR287" s="55"/>
      <c r="AS287" s="55"/>
      <c r="AT287" s="55"/>
      <c r="AU287" s="55"/>
      <c r="AV287" s="55"/>
      <c r="AW287" s="55"/>
      <c r="AX287" s="55"/>
      <c r="AY287" s="55"/>
      <c r="AZ287" s="55"/>
      <c r="BA287" s="55"/>
      <c r="BB287" s="55"/>
      <c r="BC287" s="55"/>
      <c r="BD287" s="55"/>
      <c r="BE287" s="55"/>
      <c r="BF287" s="55"/>
      <c r="BG287" s="55"/>
      <c r="BH287" s="55"/>
      <c r="BI287" s="55"/>
      <c r="BJ287" s="55"/>
      <c r="BK287" s="55"/>
      <c r="BL287" s="55"/>
      <c r="BM287" s="55"/>
      <c r="BN287" s="55"/>
      <c r="BO287" s="55"/>
      <c r="BP287" s="55"/>
      <c r="BQ287" s="55"/>
      <c r="BR287" s="55"/>
      <c r="BS287" s="55"/>
    </row>
    <row r="288" spans="1:71" outlineLevel="1" x14ac:dyDescent="0.2">
      <c r="C288" s="11" t="s">
        <v>252</v>
      </c>
      <c r="J288" s="26"/>
      <c r="L288" s="55"/>
      <c r="M288" s="55"/>
      <c r="N288" s="55"/>
      <c r="O288" s="55"/>
      <c r="P288" s="55"/>
      <c r="Q288" s="55"/>
      <c r="R288" s="55"/>
      <c r="S288" s="55"/>
      <c r="T288" s="55"/>
      <c r="U288" s="55"/>
      <c r="V288" s="55"/>
      <c r="W288" s="55"/>
      <c r="X288" s="55"/>
      <c r="Y288" s="55"/>
      <c r="Z288" s="55"/>
      <c r="AA288" s="55"/>
      <c r="AB288" s="55"/>
      <c r="AC288" s="55"/>
      <c r="AD288" s="55"/>
      <c r="AE288" s="55"/>
      <c r="AF288" s="55"/>
      <c r="AG288" s="55"/>
      <c r="AH288" s="55"/>
      <c r="AI288" s="55"/>
      <c r="AJ288" s="55"/>
      <c r="AK288" s="55"/>
      <c r="AL288" s="55"/>
      <c r="AM288" s="55"/>
      <c r="AN288" s="55"/>
      <c r="AO288" s="55"/>
      <c r="AP288" s="55"/>
      <c r="AQ288" s="55"/>
      <c r="AR288" s="55"/>
      <c r="AS288" s="55"/>
      <c r="AT288" s="55"/>
      <c r="AU288" s="55"/>
      <c r="AV288" s="55"/>
      <c r="AW288" s="55"/>
      <c r="AX288" s="55"/>
      <c r="AY288" s="55"/>
      <c r="AZ288" s="55"/>
      <c r="BA288" s="55"/>
      <c r="BB288" s="55"/>
      <c r="BC288" s="55"/>
      <c r="BD288" s="55"/>
      <c r="BE288" s="55"/>
      <c r="BF288" s="55"/>
      <c r="BG288" s="55"/>
      <c r="BH288" s="55"/>
      <c r="BI288" s="55"/>
      <c r="BJ288" s="55"/>
      <c r="BK288" s="55"/>
      <c r="BL288" s="55"/>
      <c r="BM288" s="55"/>
      <c r="BN288" s="55"/>
      <c r="BO288" s="55"/>
      <c r="BP288" s="55"/>
      <c r="BQ288" s="55"/>
      <c r="BR288" s="55"/>
      <c r="BS288" s="55"/>
    </row>
    <row r="289" spans="3:71" outlineLevel="1" x14ac:dyDescent="0.2">
      <c r="D289" t="s">
        <v>70</v>
      </c>
      <c r="I289" s="30">
        <f t="shared" ref="I289:I291" ca="1" si="61">SUM($L289:$BS289)</f>
        <v>103.58087684227701</v>
      </c>
      <c r="J289" s="26" t="s">
        <v>88</v>
      </c>
      <c r="L289" s="49">
        <f ca="1">IFERROR(Loango_II!CA_ent_rev_oil/Loango_II!CA_FP_oil_nom,0)</f>
        <v>4.6899153411483701</v>
      </c>
      <c r="M289" s="49">
        <f ca="1">IFERROR(Loango_II!CA_ent_rev_oil/Loango_II!CA_FP_oil_nom,0)</f>
        <v>5.1373311195146156</v>
      </c>
      <c r="N289" s="49">
        <f ca="1">IFERROR(Loango_II!CA_ent_rev_oil/Loango_II!CA_FP_oil_nom,0)</f>
        <v>4.0478319967308751</v>
      </c>
      <c r="O289" s="49">
        <f ca="1">IFERROR(Loango_II!CA_ent_rev_oil/Loango_II!CA_FP_oil_nom,0)</f>
        <v>4.5110145434686491</v>
      </c>
      <c r="P289" s="49">
        <f ca="1">IFERROR(Loango_II!CA_ent_rev_oil/Loango_II!CA_FP_oil_nom,0)</f>
        <v>9.3343946680573744</v>
      </c>
      <c r="Q289" s="49">
        <f ca="1">IFERROR(Loango_II!CA_ent_rev_oil/Loango_II!CA_FP_oil_nom,0)</f>
        <v>14.722309401085749</v>
      </c>
      <c r="R289" s="49">
        <f ca="1">IFERROR(Loango_II!CA_ent_rev_oil/Loango_II!CA_FP_oil_nom,0)</f>
        <v>10.996598863884426</v>
      </c>
      <c r="S289" s="49">
        <f ca="1">IFERROR(Loango_II!CA_ent_rev_oil/Loango_II!CA_FP_oil_nom,0)</f>
        <v>10.69909457456008</v>
      </c>
      <c r="T289" s="49">
        <f ca="1">IFERROR(Loango_II!CA_ent_rev_oil/Loango_II!CA_FP_oil_nom,0)</f>
        <v>9.4299895047743707</v>
      </c>
      <c r="U289" s="49">
        <f ca="1">IFERROR(Loango_II!CA_ent_rev_oil/Loango_II!CA_FP_oil_nom,0)</f>
        <v>8.74787408206668</v>
      </c>
      <c r="V289" s="49">
        <f ca="1">IFERROR(Loango_II!CA_ent_rev_oil/Loango_II!CA_FP_oil_nom,0)</f>
        <v>8.1355228963220103</v>
      </c>
      <c r="W289" s="49">
        <f ca="1">IFERROR(Loango_II!CA_ent_rev_oil/Loango_II!CA_FP_oil_nom,0)</f>
        <v>6.8115585021517511</v>
      </c>
      <c r="X289" s="49">
        <f ca="1">IFERROR(Loango_II!CA_ent_rev_oil/Loango_II!CA_FP_oil_nom,0)</f>
        <v>6.3174413485120535</v>
      </c>
      <c r="Y289" s="49">
        <f ca="1">IFERROR(Loango_II!CA_ent_rev_oil/Loango_II!CA_FP_oil_nom,0)</f>
        <v>0</v>
      </c>
      <c r="Z289" s="49">
        <f ca="1">IFERROR(Loango_II!CA_ent_rev_oil/Loango_II!CA_FP_oil_nom,0)</f>
        <v>0</v>
      </c>
      <c r="AA289" s="49">
        <f ca="1">IFERROR(Loango_II!CA_ent_rev_oil/Loango_II!CA_FP_oil_nom,0)</f>
        <v>0</v>
      </c>
      <c r="AB289" s="49">
        <f ca="1">IFERROR(Loango_II!CA_ent_rev_oil/Loango_II!CA_FP_oil_nom,0)</f>
        <v>0</v>
      </c>
      <c r="AC289" s="49">
        <f ca="1">IFERROR(Loango_II!CA_ent_rev_oil/Loango_II!CA_FP_oil_nom,0)</f>
        <v>0</v>
      </c>
      <c r="AD289" s="49">
        <f ca="1">IFERROR(Loango_II!CA_ent_rev_oil/Loango_II!CA_FP_oil_nom,0)</f>
        <v>0</v>
      </c>
      <c r="AE289" s="49">
        <f ca="1">IFERROR(Loango_II!CA_ent_rev_oil/Loango_II!CA_FP_oil_nom,0)</f>
        <v>0</v>
      </c>
      <c r="AF289" s="49">
        <f ca="1">IFERROR(Loango_II!CA_ent_rev_oil/Loango_II!CA_FP_oil_nom,0)</f>
        <v>0</v>
      </c>
      <c r="AG289" s="49">
        <f ca="1">IFERROR(Loango_II!CA_ent_rev_oil/Loango_II!CA_FP_oil_nom,0)</f>
        <v>0</v>
      </c>
      <c r="AH289" s="49">
        <f ca="1">IFERROR(Loango_II!CA_ent_rev_oil/Loango_II!CA_FP_oil_nom,0)</f>
        <v>0</v>
      </c>
      <c r="AI289" s="49">
        <f ca="1">IFERROR(Loango_II!CA_ent_rev_oil/Loango_II!CA_FP_oil_nom,0)</f>
        <v>0</v>
      </c>
      <c r="AJ289" s="49">
        <f ca="1">IFERROR(Loango_II!CA_ent_rev_oil/Loango_II!CA_FP_oil_nom,0)</f>
        <v>0</v>
      </c>
      <c r="AK289" s="49">
        <f ca="1">IFERROR(Loango_II!CA_ent_rev_oil/Loango_II!CA_FP_oil_nom,0)</f>
        <v>0</v>
      </c>
      <c r="AL289" s="49">
        <f ca="1">IFERROR(Loango_II!CA_ent_rev_oil/Loango_II!CA_FP_oil_nom,0)</f>
        <v>0</v>
      </c>
      <c r="AM289" s="49">
        <f ca="1">IFERROR(Loango_II!CA_ent_rev_oil/Loango_II!CA_FP_oil_nom,0)</f>
        <v>0</v>
      </c>
      <c r="AN289" s="49">
        <f ca="1">IFERROR(Loango_II!CA_ent_rev_oil/Loango_II!CA_FP_oil_nom,0)</f>
        <v>0</v>
      </c>
      <c r="AO289" s="49">
        <f ca="1">IFERROR(Loango_II!CA_ent_rev_oil/Loango_II!CA_FP_oil_nom,0)</f>
        <v>0</v>
      </c>
      <c r="AP289" s="49">
        <f ca="1">IFERROR(Loango_II!CA_ent_rev_oil/Loango_II!CA_FP_oil_nom,0)</f>
        <v>0</v>
      </c>
      <c r="AQ289" s="49">
        <f ca="1">IFERROR(Loango_II!CA_ent_rev_oil/Loango_II!CA_FP_oil_nom,0)</f>
        <v>0</v>
      </c>
      <c r="AR289" s="49">
        <f ca="1">IFERROR(Loango_II!CA_ent_rev_oil/Loango_II!CA_FP_oil_nom,0)</f>
        <v>0</v>
      </c>
      <c r="AS289" s="49">
        <f ca="1">IFERROR(Loango_II!CA_ent_rev_oil/Loango_II!CA_FP_oil_nom,0)</f>
        <v>0</v>
      </c>
      <c r="AT289" s="49">
        <f ca="1">IFERROR(Loango_II!CA_ent_rev_oil/Loango_II!CA_FP_oil_nom,0)</f>
        <v>0</v>
      </c>
      <c r="AU289" s="49">
        <f ca="1">IFERROR(Loango_II!CA_ent_rev_oil/Loango_II!CA_FP_oil_nom,0)</f>
        <v>0</v>
      </c>
      <c r="AV289" s="49">
        <f ca="1">IFERROR(Loango_II!CA_ent_rev_oil/Loango_II!CA_FP_oil_nom,0)</f>
        <v>0</v>
      </c>
      <c r="AW289" s="49">
        <f ca="1">IFERROR(Loango_II!CA_ent_rev_oil/Loango_II!CA_FP_oil_nom,0)</f>
        <v>0</v>
      </c>
      <c r="AX289" s="49">
        <f ca="1">IFERROR(Loango_II!CA_ent_rev_oil/Loango_II!CA_FP_oil_nom,0)</f>
        <v>0</v>
      </c>
      <c r="AY289" s="49">
        <f ca="1">IFERROR(Loango_II!CA_ent_rev_oil/Loango_II!CA_FP_oil_nom,0)</f>
        <v>0</v>
      </c>
      <c r="AZ289" s="49">
        <f ca="1">IFERROR(Loango_II!CA_ent_rev_oil/Loango_II!CA_FP_oil_nom,0)</f>
        <v>0</v>
      </c>
      <c r="BA289" s="49">
        <f ca="1">IFERROR(Loango_II!CA_ent_rev_oil/Loango_II!CA_FP_oil_nom,0)</f>
        <v>0</v>
      </c>
      <c r="BB289" s="49">
        <f ca="1">IFERROR(Loango_II!CA_ent_rev_oil/Loango_II!CA_FP_oil_nom,0)</f>
        <v>0</v>
      </c>
      <c r="BC289" s="49">
        <f ca="1">IFERROR(Loango_II!CA_ent_rev_oil/Loango_II!CA_FP_oil_nom,0)</f>
        <v>0</v>
      </c>
      <c r="BD289" s="49">
        <f ca="1">IFERROR(Loango_II!CA_ent_rev_oil/Loango_II!CA_FP_oil_nom,0)</f>
        <v>0</v>
      </c>
      <c r="BE289" s="49">
        <f ca="1">IFERROR(Loango_II!CA_ent_rev_oil/Loango_II!CA_FP_oil_nom,0)</f>
        <v>0</v>
      </c>
      <c r="BF289" s="49">
        <f ca="1">IFERROR(Loango_II!CA_ent_rev_oil/Loango_II!CA_FP_oil_nom,0)</f>
        <v>0</v>
      </c>
      <c r="BG289" s="49">
        <f ca="1">IFERROR(Loango_II!CA_ent_rev_oil/Loango_II!CA_FP_oil_nom,0)</f>
        <v>0</v>
      </c>
      <c r="BH289" s="49">
        <f ca="1">IFERROR(Loango_II!CA_ent_rev_oil/Loango_II!CA_FP_oil_nom,0)</f>
        <v>0</v>
      </c>
      <c r="BI289" s="49">
        <f ca="1">IFERROR(Loango_II!CA_ent_rev_oil/Loango_II!CA_FP_oil_nom,0)</f>
        <v>0</v>
      </c>
      <c r="BJ289" s="49">
        <f ca="1">IFERROR(Loango_II!CA_ent_rev_oil/Loango_II!CA_FP_oil_nom,0)</f>
        <v>0</v>
      </c>
      <c r="BK289" s="49">
        <f ca="1">IFERROR(Loango_II!CA_ent_rev_oil/Loango_II!CA_FP_oil_nom,0)</f>
        <v>0</v>
      </c>
      <c r="BL289" s="49">
        <f ca="1">IFERROR(Loango_II!CA_ent_rev_oil/Loango_II!CA_FP_oil_nom,0)</f>
        <v>0</v>
      </c>
      <c r="BM289" s="49">
        <f ca="1">IFERROR(Loango_II!CA_ent_rev_oil/Loango_II!CA_FP_oil_nom,0)</f>
        <v>0</v>
      </c>
      <c r="BN289" s="49">
        <f ca="1">IFERROR(Loango_II!CA_ent_rev_oil/Loango_II!CA_FP_oil_nom,0)</f>
        <v>0</v>
      </c>
      <c r="BO289" s="49">
        <f ca="1">IFERROR(Loango_II!CA_ent_rev_oil/Loango_II!CA_FP_oil_nom,0)</f>
        <v>0</v>
      </c>
      <c r="BP289" s="49">
        <f ca="1">IFERROR(Loango_II!CA_ent_rev_oil/Loango_II!CA_FP_oil_nom,0)</f>
        <v>0</v>
      </c>
      <c r="BQ289" s="49">
        <f ca="1">IFERROR(Loango_II!CA_ent_rev_oil/Loango_II!CA_FP_oil_nom,0)</f>
        <v>0</v>
      </c>
      <c r="BR289" s="49">
        <f ca="1">IFERROR(Loango_II!CA_ent_rev_oil/Loango_II!CA_FP_oil_nom,0)</f>
        <v>0</v>
      </c>
      <c r="BS289" s="49">
        <f ca="1">IFERROR(Loango_II!CA_ent_rev_oil/Loango_II!CA_FP_oil_nom,0)</f>
        <v>0</v>
      </c>
    </row>
    <row r="290" spans="3:71" outlineLevel="1" x14ac:dyDescent="0.2">
      <c r="D290" t="s">
        <v>71</v>
      </c>
      <c r="I290" s="30">
        <f t="shared" ca="1" si="61"/>
        <v>0</v>
      </c>
      <c r="J290" s="26" t="s">
        <v>89</v>
      </c>
      <c r="L290" s="49">
        <f ca="1">IFERROR(Loango_II!CA_ent_rev_gas/Loango_II!CA_FP_gas_nom,0)</f>
        <v>0</v>
      </c>
      <c r="M290" s="49">
        <f ca="1">IFERROR(Loango_II!CA_ent_rev_gas/Loango_II!CA_FP_gas_nom,0)</f>
        <v>0</v>
      </c>
      <c r="N290" s="49">
        <f ca="1">IFERROR(Loango_II!CA_ent_rev_gas/Loango_II!CA_FP_gas_nom,0)</f>
        <v>0</v>
      </c>
      <c r="O290" s="49">
        <f ca="1">IFERROR(Loango_II!CA_ent_rev_gas/Loango_II!CA_FP_gas_nom,0)</f>
        <v>0</v>
      </c>
      <c r="P290" s="49">
        <f ca="1">IFERROR(Loango_II!CA_ent_rev_gas/Loango_II!CA_FP_gas_nom,0)</f>
        <v>0</v>
      </c>
      <c r="Q290" s="49">
        <f ca="1">IFERROR(Loango_II!CA_ent_rev_gas/Loango_II!CA_FP_gas_nom,0)</f>
        <v>0</v>
      </c>
      <c r="R290" s="49">
        <f ca="1">IFERROR(Loango_II!CA_ent_rev_gas/Loango_II!CA_FP_gas_nom,0)</f>
        <v>0</v>
      </c>
      <c r="S290" s="49">
        <f ca="1">IFERROR(Loango_II!CA_ent_rev_gas/Loango_II!CA_FP_gas_nom,0)</f>
        <v>0</v>
      </c>
      <c r="T290" s="49">
        <f ca="1">IFERROR(Loango_II!CA_ent_rev_gas/Loango_II!CA_FP_gas_nom,0)</f>
        <v>0</v>
      </c>
      <c r="U290" s="49">
        <f ca="1">IFERROR(Loango_II!CA_ent_rev_gas/Loango_II!CA_FP_gas_nom,0)</f>
        <v>0</v>
      </c>
      <c r="V290" s="49">
        <f ca="1">IFERROR(Loango_II!CA_ent_rev_gas/Loango_II!CA_FP_gas_nom,0)</f>
        <v>0</v>
      </c>
      <c r="W290" s="49">
        <f ca="1">IFERROR(Loango_II!CA_ent_rev_gas/Loango_II!CA_FP_gas_nom,0)</f>
        <v>0</v>
      </c>
      <c r="X290" s="49">
        <f ca="1">IFERROR(Loango_II!CA_ent_rev_gas/Loango_II!CA_FP_gas_nom,0)</f>
        <v>0</v>
      </c>
      <c r="Y290" s="49">
        <f ca="1">IFERROR(Loango_II!CA_ent_rev_gas/Loango_II!CA_FP_gas_nom,0)</f>
        <v>0</v>
      </c>
      <c r="Z290" s="49">
        <f ca="1">IFERROR(Loango_II!CA_ent_rev_gas/Loango_II!CA_FP_gas_nom,0)</f>
        <v>0</v>
      </c>
      <c r="AA290" s="49">
        <f ca="1">IFERROR(Loango_II!CA_ent_rev_gas/Loango_II!CA_FP_gas_nom,0)</f>
        <v>0</v>
      </c>
      <c r="AB290" s="49">
        <f ca="1">IFERROR(Loango_II!CA_ent_rev_gas/Loango_II!CA_FP_gas_nom,0)</f>
        <v>0</v>
      </c>
      <c r="AC290" s="49">
        <f ca="1">IFERROR(Loango_II!CA_ent_rev_gas/Loango_II!CA_FP_gas_nom,0)</f>
        <v>0</v>
      </c>
      <c r="AD290" s="49">
        <f ca="1">IFERROR(Loango_II!CA_ent_rev_gas/Loango_II!CA_FP_gas_nom,0)</f>
        <v>0</v>
      </c>
      <c r="AE290" s="49">
        <f ca="1">IFERROR(Loango_II!CA_ent_rev_gas/Loango_II!CA_FP_gas_nom,0)</f>
        <v>0</v>
      </c>
      <c r="AF290" s="49">
        <f ca="1">IFERROR(Loango_II!CA_ent_rev_gas/Loango_II!CA_FP_gas_nom,0)</f>
        <v>0</v>
      </c>
      <c r="AG290" s="49">
        <f ca="1">IFERROR(Loango_II!CA_ent_rev_gas/Loango_II!CA_FP_gas_nom,0)</f>
        <v>0</v>
      </c>
      <c r="AH290" s="49">
        <f ca="1">IFERROR(Loango_II!CA_ent_rev_gas/Loango_II!CA_FP_gas_nom,0)</f>
        <v>0</v>
      </c>
      <c r="AI290" s="49">
        <f ca="1">IFERROR(Loango_II!CA_ent_rev_gas/Loango_II!CA_FP_gas_nom,0)</f>
        <v>0</v>
      </c>
      <c r="AJ290" s="49">
        <f ca="1">IFERROR(Loango_II!CA_ent_rev_gas/Loango_II!CA_FP_gas_nom,0)</f>
        <v>0</v>
      </c>
      <c r="AK290" s="49">
        <f ca="1">IFERROR(Loango_II!CA_ent_rev_gas/Loango_II!CA_FP_gas_nom,0)</f>
        <v>0</v>
      </c>
      <c r="AL290" s="49">
        <f ca="1">IFERROR(Loango_II!CA_ent_rev_gas/Loango_II!CA_FP_gas_nom,0)</f>
        <v>0</v>
      </c>
      <c r="AM290" s="49">
        <f ca="1">IFERROR(Loango_II!CA_ent_rev_gas/Loango_II!CA_FP_gas_nom,0)</f>
        <v>0</v>
      </c>
      <c r="AN290" s="49">
        <f ca="1">IFERROR(Loango_II!CA_ent_rev_gas/Loango_II!CA_FP_gas_nom,0)</f>
        <v>0</v>
      </c>
      <c r="AO290" s="49">
        <f ca="1">IFERROR(Loango_II!CA_ent_rev_gas/Loango_II!CA_FP_gas_nom,0)</f>
        <v>0</v>
      </c>
      <c r="AP290" s="49">
        <f ca="1">IFERROR(Loango_II!CA_ent_rev_gas/Loango_II!CA_FP_gas_nom,0)</f>
        <v>0</v>
      </c>
      <c r="AQ290" s="49">
        <f ca="1">IFERROR(Loango_II!CA_ent_rev_gas/Loango_II!CA_FP_gas_nom,0)</f>
        <v>0</v>
      </c>
      <c r="AR290" s="49">
        <f ca="1">IFERROR(Loango_II!CA_ent_rev_gas/Loango_II!CA_FP_gas_nom,0)</f>
        <v>0</v>
      </c>
      <c r="AS290" s="49">
        <f ca="1">IFERROR(Loango_II!CA_ent_rev_gas/Loango_II!CA_FP_gas_nom,0)</f>
        <v>0</v>
      </c>
      <c r="AT290" s="49">
        <f ca="1">IFERROR(Loango_II!CA_ent_rev_gas/Loango_II!CA_FP_gas_nom,0)</f>
        <v>0</v>
      </c>
      <c r="AU290" s="49">
        <f ca="1">IFERROR(Loango_II!CA_ent_rev_gas/Loango_II!CA_FP_gas_nom,0)</f>
        <v>0</v>
      </c>
      <c r="AV290" s="49">
        <f ca="1">IFERROR(Loango_II!CA_ent_rev_gas/Loango_II!CA_FP_gas_nom,0)</f>
        <v>0</v>
      </c>
      <c r="AW290" s="49">
        <f ca="1">IFERROR(Loango_II!CA_ent_rev_gas/Loango_II!CA_FP_gas_nom,0)</f>
        <v>0</v>
      </c>
      <c r="AX290" s="49">
        <f ca="1">IFERROR(Loango_II!CA_ent_rev_gas/Loango_II!CA_FP_gas_nom,0)</f>
        <v>0</v>
      </c>
      <c r="AY290" s="49">
        <f ca="1">IFERROR(Loango_II!CA_ent_rev_gas/Loango_II!CA_FP_gas_nom,0)</f>
        <v>0</v>
      </c>
      <c r="AZ290" s="49">
        <f ca="1">IFERROR(Loango_II!CA_ent_rev_gas/Loango_II!CA_FP_gas_nom,0)</f>
        <v>0</v>
      </c>
      <c r="BA290" s="49">
        <f ca="1">IFERROR(Loango_II!CA_ent_rev_gas/Loango_II!CA_FP_gas_nom,0)</f>
        <v>0</v>
      </c>
      <c r="BB290" s="49">
        <f ca="1">IFERROR(Loango_II!CA_ent_rev_gas/Loango_II!CA_FP_gas_nom,0)</f>
        <v>0</v>
      </c>
      <c r="BC290" s="49">
        <f ca="1">IFERROR(Loango_II!CA_ent_rev_gas/Loango_II!CA_FP_gas_nom,0)</f>
        <v>0</v>
      </c>
      <c r="BD290" s="49">
        <f ca="1">IFERROR(Loango_II!CA_ent_rev_gas/Loango_II!CA_FP_gas_nom,0)</f>
        <v>0</v>
      </c>
      <c r="BE290" s="49">
        <f ca="1">IFERROR(Loango_II!CA_ent_rev_gas/Loango_II!CA_FP_gas_nom,0)</f>
        <v>0</v>
      </c>
      <c r="BF290" s="49">
        <f ca="1">IFERROR(Loango_II!CA_ent_rev_gas/Loango_II!CA_FP_gas_nom,0)</f>
        <v>0</v>
      </c>
      <c r="BG290" s="49">
        <f ca="1">IFERROR(Loango_II!CA_ent_rev_gas/Loango_II!CA_FP_gas_nom,0)</f>
        <v>0</v>
      </c>
      <c r="BH290" s="49">
        <f ca="1">IFERROR(Loango_II!CA_ent_rev_gas/Loango_II!CA_FP_gas_nom,0)</f>
        <v>0</v>
      </c>
      <c r="BI290" s="49">
        <f ca="1">IFERROR(Loango_II!CA_ent_rev_gas/Loango_II!CA_FP_gas_nom,0)</f>
        <v>0</v>
      </c>
      <c r="BJ290" s="49">
        <f ca="1">IFERROR(Loango_II!CA_ent_rev_gas/Loango_II!CA_FP_gas_nom,0)</f>
        <v>0</v>
      </c>
      <c r="BK290" s="49">
        <f ca="1">IFERROR(Loango_II!CA_ent_rev_gas/Loango_II!CA_FP_gas_nom,0)</f>
        <v>0</v>
      </c>
      <c r="BL290" s="49">
        <f ca="1">IFERROR(Loango_II!CA_ent_rev_gas/Loango_II!CA_FP_gas_nom,0)</f>
        <v>0</v>
      </c>
      <c r="BM290" s="49">
        <f ca="1">IFERROR(Loango_II!CA_ent_rev_gas/Loango_II!CA_FP_gas_nom,0)</f>
        <v>0</v>
      </c>
      <c r="BN290" s="49">
        <f ca="1">IFERROR(Loango_II!CA_ent_rev_gas/Loango_II!CA_FP_gas_nom,0)</f>
        <v>0</v>
      </c>
      <c r="BO290" s="49">
        <f ca="1">IFERROR(Loango_II!CA_ent_rev_gas/Loango_II!CA_FP_gas_nom,0)</f>
        <v>0</v>
      </c>
      <c r="BP290" s="49">
        <f ca="1">IFERROR(Loango_II!CA_ent_rev_gas/Loango_II!CA_FP_gas_nom,0)</f>
        <v>0</v>
      </c>
      <c r="BQ290" s="49">
        <f ca="1">IFERROR(Loango_II!CA_ent_rev_gas/Loango_II!CA_FP_gas_nom,0)</f>
        <v>0</v>
      </c>
      <c r="BR290" s="49">
        <f ca="1">IFERROR(Loango_II!CA_ent_rev_gas/Loango_II!CA_FP_gas_nom,0)</f>
        <v>0</v>
      </c>
      <c r="BS290" s="49">
        <f ca="1">IFERROR(Loango_II!CA_ent_rev_gas/Loango_II!CA_FP_gas_nom,0)</f>
        <v>0</v>
      </c>
    </row>
    <row r="291" spans="3:71" outlineLevel="1" x14ac:dyDescent="0.2">
      <c r="D291" s="11" t="s">
        <v>129</v>
      </c>
      <c r="I291" s="30">
        <f t="shared" ca="1" si="61"/>
        <v>103.58087684227701</v>
      </c>
      <c r="J291" s="26" t="s">
        <v>130</v>
      </c>
      <c r="K291" s="7" t="s">
        <v>253</v>
      </c>
      <c r="L291" s="49">
        <f t="shared" ref="L291:BS291" ca="1" si="62">L289+L290*conv_BbltoMcf</f>
        <v>4.6899153411483701</v>
      </c>
      <c r="M291" s="49">
        <f t="shared" ca="1" si="62"/>
        <v>5.1373311195146156</v>
      </c>
      <c r="N291" s="49">
        <f t="shared" ca="1" si="62"/>
        <v>4.0478319967308751</v>
      </c>
      <c r="O291" s="49">
        <f t="shared" ca="1" si="62"/>
        <v>4.5110145434686491</v>
      </c>
      <c r="P291" s="49">
        <f t="shared" ca="1" si="62"/>
        <v>9.3343946680573744</v>
      </c>
      <c r="Q291" s="49">
        <f t="shared" ca="1" si="62"/>
        <v>14.722309401085749</v>
      </c>
      <c r="R291" s="49">
        <f t="shared" ca="1" si="62"/>
        <v>10.996598863884426</v>
      </c>
      <c r="S291" s="49">
        <f t="shared" ca="1" si="62"/>
        <v>10.69909457456008</v>
      </c>
      <c r="T291" s="49">
        <f t="shared" ca="1" si="62"/>
        <v>9.4299895047743707</v>
      </c>
      <c r="U291" s="49">
        <f t="shared" ca="1" si="62"/>
        <v>8.74787408206668</v>
      </c>
      <c r="V291" s="49">
        <f t="shared" ca="1" si="62"/>
        <v>8.1355228963220103</v>
      </c>
      <c r="W291" s="49">
        <f t="shared" ca="1" si="62"/>
        <v>6.8115585021517511</v>
      </c>
      <c r="X291" s="49">
        <f t="shared" ca="1" si="62"/>
        <v>6.3174413485120535</v>
      </c>
      <c r="Y291" s="49">
        <f t="shared" ca="1" si="62"/>
        <v>0</v>
      </c>
      <c r="Z291" s="49">
        <f t="shared" ca="1" si="62"/>
        <v>0</v>
      </c>
      <c r="AA291" s="49">
        <f t="shared" ca="1" si="62"/>
        <v>0</v>
      </c>
      <c r="AB291" s="49">
        <f t="shared" ca="1" si="62"/>
        <v>0</v>
      </c>
      <c r="AC291" s="49">
        <f t="shared" ca="1" si="62"/>
        <v>0</v>
      </c>
      <c r="AD291" s="49">
        <f t="shared" ca="1" si="62"/>
        <v>0</v>
      </c>
      <c r="AE291" s="49">
        <f t="shared" ca="1" si="62"/>
        <v>0</v>
      </c>
      <c r="AF291" s="49">
        <f t="shared" ca="1" si="62"/>
        <v>0</v>
      </c>
      <c r="AG291" s="49">
        <f t="shared" ca="1" si="62"/>
        <v>0</v>
      </c>
      <c r="AH291" s="49">
        <f t="shared" ca="1" si="62"/>
        <v>0</v>
      </c>
      <c r="AI291" s="49">
        <f t="shared" ca="1" si="62"/>
        <v>0</v>
      </c>
      <c r="AJ291" s="49">
        <f t="shared" ca="1" si="62"/>
        <v>0</v>
      </c>
      <c r="AK291" s="49">
        <f t="shared" ca="1" si="62"/>
        <v>0</v>
      </c>
      <c r="AL291" s="49">
        <f t="shared" ca="1" si="62"/>
        <v>0</v>
      </c>
      <c r="AM291" s="49">
        <f t="shared" ca="1" si="62"/>
        <v>0</v>
      </c>
      <c r="AN291" s="49">
        <f t="shared" ca="1" si="62"/>
        <v>0</v>
      </c>
      <c r="AO291" s="49">
        <f t="shared" ca="1" si="62"/>
        <v>0</v>
      </c>
      <c r="AP291" s="49">
        <f t="shared" ca="1" si="62"/>
        <v>0</v>
      </c>
      <c r="AQ291" s="49">
        <f t="shared" ca="1" si="62"/>
        <v>0</v>
      </c>
      <c r="AR291" s="49">
        <f t="shared" ca="1" si="62"/>
        <v>0</v>
      </c>
      <c r="AS291" s="49">
        <f t="shared" ca="1" si="62"/>
        <v>0</v>
      </c>
      <c r="AT291" s="49">
        <f t="shared" ca="1" si="62"/>
        <v>0</v>
      </c>
      <c r="AU291" s="49">
        <f t="shared" ca="1" si="62"/>
        <v>0</v>
      </c>
      <c r="AV291" s="49">
        <f t="shared" ca="1" si="62"/>
        <v>0</v>
      </c>
      <c r="AW291" s="49">
        <f t="shared" ca="1" si="62"/>
        <v>0</v>
      </c>
      <c r="AX291" s="49">
        <f t="shared" ca="1" si="62"/>
        <v>0</v>
      </c>
      <c r="AY291" s="49">
        <f t="shared" ca="1" si="62"/>
        <v>0</v>
      </c>
      <c r="AZ291" s="49">
        <f t="shared" ca="1" si="62"/>
        <v>0</v>
      </c>
      <c r="BA291" s="49">
        <f t="shared" ca="1" si="62"/>
        <v>0</v>
      </c>
      <c r="BB291" s="49">
        <f t="shared" ca="1" si="62"/>
        <v>0</v>
      </c>
      <c r="BC291" s="49">
        <f t="shared" ca="1" si="62"/>
        <v>0</v>
      </c>
      <c r="BD291" s="49">
        <f t="shared" ca="1" si="62"/>
        <v>0</v>
      </c>
      <c r="BE291" s="49">
        <f t="shared" ca="1" si="62"/>
        <v>0</v>
      </c>
      <c r="BF291" s="49">
        <f t="shared" ca="1" si="62"/>
        <v>0</v>
      </c>
      <c r="BG291" s="49">
        <f t="shared" ca="1" si="62"/>
        <v>0</v>
      </c>
      <c r="BH291" s="49">
        <f t="shared" ca="1" si="62"/>
        <v>0</v>
      </c>
      <c r="BI291" s="49">
        <f t="shared" ca="1" si="62"/>
        <v>0</v>
      </c>
      <c r="BJ291" s="49">
        <f t="shared" ca="1" si="62"/>
        <v>0</v>
      </c>
      <c r="BK291" s="49">
        <f t="shared" ca="1" si="62"/>
        <v>0</v>
      </c>
      <c r="BL291" s="49">
        <f t="shared" ca="1" si="62"/>
        <v>0</v>
      </c>
      <c r="BM291" s="49">
        <f t="shared" ca="1" si="62"/>
        <v>0</v>
      </c>
      <c r="BN291" s="49">
        <f t="shared" ca="1" si="62"/>
        <v>0</v>
      </c>
      <c r="BO291" s="49">
        <f t="shared" ca="1" si="62"/>
        <v>0</v>
      </c>
      <c r="BP291" s="49">
        <f t="shared" ca="1" si="62"/>
        <v>0</v>
      </c>
      <c r="BQ291" s="49">
        <f t="shared" ca="1" si="62"/>
        <v>0</v>
      </c>
      <c r="BR291" s="49">
        <f t="shared" ca="1" si="62"/>
        <v>0</v>
      </c>
      <c r="BS291" s="49">
        <f t="shared" ca="1" si="62"/>
        <v>0</v>
      </c>
    </row>
    <row r="292" spans="3:71" outlineLevel="1" x14ac:dyDescent="0.2">
      <c r="J292" s="26"/>
      <c r="L292" s="55"/>
      <c r="M292" s="55"/>
      <c r="N292" s="55"/>
      <c r="O292" s="55"/>
      <c r="P292" s="55"/>
      <c r="Q292" s="55"/>
      <c r="R292" s="55"/>
      <c r="S292" s="55"/>
      <c r="T292" s="55"/>
      <c r="U292" s="55"/>
      <c r="V292" s="55"/>
      <c r="W292" s="55"/>
      <c r="X292" s="55"/>
      <c r="Y292" s="55"/>
      <c r="Z292" s="55"/>
      <c r="AA292" s="55"/>
      <c r="AB292" s="55"/>
      <c r="AC292" s="55"/>
      <c r="AD292" s="55"/>
      <c r="AE292" s="55"/>
      <c r="AF292" s="55"/>
      <c r="AG292" s="55"/>
      <c r="AH292" s="55"/>
      <c r="AI292" s="55"/>
      <c r="AJ292" s="55"/>
      <c r="AK292" s="55"/>
      <c r="AL292" s="55"/>
      <c r="AM292" s="55"/>
      <c r="AN292" s="55"/>
      <c r="AO292" s="55"/>
      <c r="AP292" s="55"/>
      <c r="AQ292" s="55"/>
      <c r="AR292" s="55"/>
      <c r="AS292" s="55"/>
      <c r="AT292" s="55"/>
      <c r="AU292" s="55"/>
      <c r="AV292" s="55"/>
      <c r="AW292" s="55"/>
      <c r="AX292" s="55"/>
      <c r="AY292" s="55"/>
      <c r="AZ292" s="55"/>
      <c r="BA292" s="55"/>
      <c r="BB292" s="55"/>
      <c r="BC292" s="55"/>
      <c r="BD292" s="55"/>
      <c r="BE292" s="55"/>
      <c r="BF292" s="55"/>
      <c r="BG292" s="55"/>
      <c r="BH292" s="55"/>
      <c r="BI292" s="55"/>
      <c r="BJ292" s="55"/>
      <c r="BK292" s="55"/>
      <c r="BL292" s="55"/>
      <c r="BM292" s="55"/>
      <c r="BN292" s="55"/>
      <c r="BO292" s="55"/>
      <c r="BP292" s="55"/>
      <c r="BQ292" s="55"/>
      <c r="BR292" s="55"/>
      <c r="BS292" s="55"/>
    </row>
    <row r="293" spans="3:71" outlineLevel="1" x14ac:dyDescent="0.2">
      <c r="C293" s="11" t="s">
        <v>338</v>
      </c>
      <c r="J293" s="26"/>
      <c r="L293" s="55"/>
      <c r="M293" s="55"/>
      <c r="N293" s="55"/>
      <c r="O293" s="55"/>
      <c r="P293" s="55"/>
      <c r="Q293" s="55"/>
      <c r="R293" s="55"/>
      <c r="S293" s="55"/>
      <c r="T293" s="55"/>
      <c r="U293" s="55"/>
      <c r="V293" s="55"/>
      <c r="W293" s="55"/>
      <c r="X293" s="55"/>
      <c r="Y293" s="55"/>
      <c r="Z293" s="55"/>
      <c r="AA293" s="55"/>
      <c r="AB293" s="55"/>
      <c r="AC293" s="55"/>
      <c r="AD293" s="55"/>
      <c r="AE293" s="55"/>
      <c r="AF293" s="55"/>
      <c r="AG293" s="55"/>
      <c r="AH293" s="55"/>
      <c r="AI293" s="55"/>
      <c r="AJ293" s="55"/>
      <c r="AK293" s="55"/>
      <c r="AL293" s="55"/>
      <c r="AM293" s="55"/>
      <c r="AN293" s="55"/>
      <c r="AO293" s="55"/>
      <c r="AP293" s="55"/>
      <c r="AQ293" s="55"/>
      <c r="AR293" s="55"/>
      <c r="AS293" s="55"/>
      <c r="AT293" s="55"/>
      <c r="AU293" s="55"/>
      <c r="AV293" s="55"/>
      <c r="AW293" s="55"/>
      <c r="AX293" s="55"/>
      <c r="AY293" s="55"/>
      <c r="AZ293" s="55"/>
      <c r="BA293" s="55"/>
      <c r="BB293" s="55"/>
      <c r="BC293" s="55"/>
      <c r="BD293" s="55"/>
      <c r="BE293" s="55"/>
      <c r="BF293" s="55"/>
      <c r="BG293" s="55"/>
      <c r="BH293" s="55"/>
      <c r="BI293" s="55"/>
      <c r="BJ293" s="55"/>
      <c r="BK293" s="55"/>
      <c r="BL293" s="55"/>
      <c r="BM293" s="55"/>
      <c r="BN293" s="55"/>
      <c r="BO293" s="55"/>
      <c r="BP293" s="55"/>
      <c r="BQ293" s="55"/>
      <c r="BR293" s="55"/>
      <c r="BS293" s="55"/>
    </row>
    <row r="294" spans="3:71" outlineLevel="1" x14ac:dyDescent="0.2">
      <c r="D294" t="s">
        <v>116</v>
      </c>
      <c r="J294" s="26" t="s">
        <v>90</v>
      </c>
      <c r="K294" s="7" t="s">
        <v>340</v>
      </c>
      <c r="L294" s="53">
        <f ca="1">Loango_II!IOC_WI_perc*Loango_II!CA_op_trig</f>
        <v>0.9</v>
      </c>
      <c r="M294" s="53">
        <f ca="1">Loango_II!IOC_WI_perc*Loango_II!CA_op_trig</f>
        <v>0.9</v>
      </c>
      <c r="N294" s="53">
        <f ca="1">Loango_II!IOC_WI_perc*Loango_II!CA_op_trig</f>
        <v>0.9</v>
      </c>
      <c r="O294" s="53">
        <f ca="1">Loango_II!IOC_WI_perc*Loango_II!CA_op_trig</f>
        <v>0.9</v>
      </c>
      <c r="P294" s="53">
        <f ca="1">Loango_II!IOC_WI_perc*Loango_II!CA_op_trig</f>
        <v>0.9</v>
      </c>
      <c r="Q294" s="53">
        <f ca="1">Loango_II!IOC_WI_perc*Loango_II!CA_op_trig</f>
        <v>0.9</v>
      </c>
      <c r="R294" s="53">
        <f ca="1">Loango_II!IOC_WI_perc*Loango_II!CA_op_trig</f>
        <v>0.9</v>
      </c>
      <c r="S294" s="53">
        <f ca="1">Loango_II!IOC_WI_perc*Loango_II!CA_op_trig</f>
        <v>0.9</v>
      </c>
      <c r="T294" s="53">
        <f ca="1">Loango_II!IOC_WI_perc*Loango_II!CA_op_trig</f>
        <v>0.9</v>
      </c>
      <c r="U294" s="53">
        <f ca="1">Loango_II!IOC_WI_perc*Loango_II!CA_op_trig</f>
        <v>0.9</v>
      </c>
      <c r="V294" s="53">
        <f ca="1">Loango_II!IOC_WI_perc*Loango_II!CA_op_trig</f>
        <v>0.9</v>
      </c>
      <c r="W294" s="53">
        <f ca="1">Loango_II!IOC_WI_perc*Loango_II!CA_op_trig</f>
        <v>0.9</v>
      </c>
      <c r="X294" s="53">
        <f ca="1">Loango_II!IOC_WI_perc*Loango_II!CA_op_trig</f>
        <v>0.9</v>
      </c>
      <c r="Y294" s="53">
        <f ca="1">Loango_II!IOC_WI_perc*Loango_II!CA_op_trig</f>
        <v>0</v>
      </c>
      <c r="Z294" s="53">
        <f ca="1">Loango_II!IOC_WI_perc*Loango_II!CA_op_trig</f>
        <v>0</v>
      </c>
      <c r="AA294" s="53">
        <f ca="1">Loango_II!IOC_WI_perc*Loango_II!CA_op_trig</f>
        <v>0</v>
      </c>
      <c r="AB294" s="53">
        <f ca="1">Loango_II!IOC_WI_perc*Loango_II!CA_op_trig</f>
        <v>0</v>
      </c>
      <c r="AC294" s="53">
        <f ca="1">Loango_II!IOC_WI_perc*Loango_II!CA_op_trig</f>
        <v>0</v>
      </c>
      <c r="AD294" s="53">
        <f ca="1">Loango_II!IOC_WI_perc*Loango_II!CA_op_trig</f>
        <v>0</v>
      </c>
      <c r="AE294" s="53">
        <f ca="1">Loango_II!IOC_WI_perc*Loango_II!CA_op_trig</f>
        <v>0</v>
      </c>
      <c r="AF294" s="53">
        <f ca="1">Loango_II!IOC_WI_perc*Loango_II!CA_op_trig</f>
        <v>0</v>
      </c>
      <c r="AG294" s="53">
        <f ca="1">Loango_II!IOC_WI_perc*Loango_II!CA_op_trig</f>
        <v>0</v>
      </c>
      <c r="AH294" s="53">
        <f ca="1">Loango_II!IOC_WI_perc*Loango_II!CA_op_trig</f>
        <v>0</v>
      </c>
      <c r="AI294" s="53">
        <f ca="1">Loango_II!IOC_WI_perc*Loango_II!CA_op_trig</f>
        <v>0</v>
      </c>
      <c r="AJ294" s="53">
        <f ca="1">Loango_II!IOC_WI_perc*Loango_II!CA_op_trig</f>
        <v>0</v>
      </c>
      <c r="AK294" s="53">
        <f ca="1">Loango_II!IOC_WI_perc*Loango_II!CA_op_trig</f>
        <v>0</v>
      </c>
      <c r="AL294" s="53">
        <f ca="1">Loango_II!IOC_WI_perc*Loango_II!CA_op_trig</f>
        <v>0</v>
      </c>
      <c r="AM294" s="53">
        <f ca="1">Loango_II!IOC_WI_perc*Loango_II!CA_op_trig</f>
        <v>0</v>
      </c>
      <c r="AN294" s="53">
        <f ca="1">Loango_II!IOC_WI_perc*Loango_II!CA_op_trig</f>
        <v>0</v>
      </c>
      <c r="AO294" s="53">
        <f ca="1">Loango_II!IOC_WI_perc*Loango_II!CA_op_trig</f>
        <v>0</v>
      </c>
      <c r="AP294" s="53">
        <f ca="1">Loango_II!IOC_WI_perc*Loango_II!CA_op_trig</f>
        <v>0</v>
      </c>
      <c r="AQ294" s="53">
        <f ca="1">Loango_II!IOC_WI_perc*Loango_II!CA_op_trig</f>
        <v>0</v>
      </c>
      <c r="AR294" s="53">
        <f ca="1">Loango_II!IOC_WI_perc*Loango_II!CA_op_trig</f>
        <v>0</v>
      </c>
      <c r="AS294" s="53">
        <f ca="1">Loango_II!IOC_WI_perc*Loango_II!CA_op_trig</f>
        <v>0</v>
      </c>
      <c r="AT294" s="53">
        <f ca="1">Loango_II!IOC_WI_perc*Loango_II!CA_op_trig</f>
        <v>0</v>
      </c>
      <c r="AU294" s="53">
        <f ca="1">Loango_II!IOC_WI_perc*Loango_II!CA_op_trig</f>
        <v>0</v>
      </c>
      <c r="AV294" s="53">
        <f ca="1">Loango_II!IOC_WI_perc*Loango_II!CA_op_trig</f>
        <v>0</v>
      </c>
      <c r="AW294" s="53">
        <f ca="1">Loango_II!IOC_WI_perc*Loango_II!CA_op_trig</f>
        <v>0</v>
      </c>
      <c r="AX294" s="53">
        <f ca="1">Loango_II!IOC_WI_perc*Loango_II!CA_op_trig</f>
        <v>0</v>
      </c>
      <c r="AY294" s="53">
        <f ca="1">Loango_II!IOC_WI_perc*Loango_II!CA_op_trig</f>
        <v>0</v>
      </c>
      <c r="AZ294" s="53">
        <f ca="1">Loango_II!IOC_WI_perc*Loango_II!CA_op_trig</f>
        <v>0</v>
      </c>
      <c r="BA294" s="53">
        <f ca="1">Loango_II!IOC_WI_perc*Loango_II!CA_op_trig</f>
        <v>0</v>
      </c>
      <c r="BB294" s="53">
        <f ca="1">Loango_II!IOC_WI_perc*Loango_II!CA_op_trig</f>
        <v>0</v>
      </c>
      <c r="BC294" s="53">
        <f ca="1">Loango_II!IOC_WI_perc*Loango_II!CA_op_trig</f>
        <v>0</v>
      </c>
      <c r="BD294" s="53">
        <f ca="1">Loango_II!IOC_WI_perc*Loango_II!CA_op_trig</f>
        <v>0</v>
      </c>
      <c r="BE294" s="53">
        <f ca="1">Loango_II!IOC_WI_perc*Loango_II!CA_op_trig</f>
        <v>0</v>
      </c>
      <c r="BF294" s="53">
        <f ca="1">Loango_II!IOC_WI_perc*Loango_II!CA_op_trig</f>
        <v>0</v>
      </c>
      <c r="BG294" s="53">
        <f ca="1">Loango_II!IOC_WI_perc*Loango_II!CA_op_trig</f>
        <v>0</v>
      </c>
      <c r="BH294" s="53">
        <f ca="1">Loango_II!IOC_WI_perc*Loango_II!CA_op_trig</f>
        <v>0</v>
      </c>
      <c r="BI294" s="53">
        <f ca="1">Loango_II!IOC_WI_perc*Loango_II!CA_op_trig</f>
        <v>0</v>
      </c>
      <c r="BJ294" s="53">
        <f ca="1">Loango_II!IOC_WI_perc*Loango_II!CA_op_trig</f>
        <v>0</v>
      </c>
      <c r="BK294" s="53">
        <f ca="1">Loango_II!IOC_WI_perc*Loango_II!CA_op_trig</f>
        <v>0</v>
      </c>
      <c r="BL294" s="53">
        <f ca="1">Loango_II!IOC_WI_perc*Loango_II!CA_op_trig</f>
        <v>0</v>
      </c>
      <c r="BM294" s="53">
        <f ca="1">Loango_II!IOC_WI_perc*Loango_II!CA_op_trig</f>
        <v>0</v>
      </c>
      <c r="BN294" s="53">
        <f ca="1">Loango_II!IOC_WI_perc*Loango_II!CA_op_trig</f>
        <v>0</v>
      </c>
      <c r="BO294" s="53">
        <f ca="1">Loango_II!IOC_WI_perc*Loango_II!CA_op_trig</f>
        <v>0</v>
      </c>
      <c r="BP294" s="53">
        <f ca="1">Loango_II!IOC_WI_perc*Loango_II!CA_op_trig</f>
        <v>0</v>
      </c>
      <c r="BQ294" s="53">
        <f ca="1">Loango_II!IOC_WI_perc*Loango_II!CA_op_trig</f>
        <v>0</v>
      </c>
      <c r="BR294" s="53">
        <f ca="1">Loango_II!IOC_WI_perc*Loango_II!CA_op_trig</f>
        <v>0</v>
      </c>
      <c r="BS294" s="53">
        <f ca="1">Loango_II!IOC_WI_perc*Loango_II!CA_op_trig</f>
        <v>0</v>
      </c>
    </row>
    <row r="295" spans="3:71" outlineLevel="1" x14ac:dyDescent="0.2">
      <c r="D295" t="s">
        <v>339</v>
      </c>
      <c r="J295" s="26" t="s">
        <v>90</v>
      </c>
      <c r="K295" s="7" t="s">
        <v>341</v>
      </c>
      <c r="L295" s="53">
        <f ca="1">Loango_II!NOC_WI_perc*Loango_II!CA_op_trig</f>
        <v>0.1</v>
      </c>
      <c r="M295" s="53">
        <f ca="1">Loango_II!NOC_WI_perc*Loango_II!CA_op_trig</f>
        <v>0.1</v>
      </c>
      <c r="N295" s="53">
        <f ca="1">Loango_II!NOC_WI_perc*Loango_II!CA_op_trig</f>
        <v>0.1</v>
      </c>
      <c r="O295" s="53">
        <f ca="1">Loango_II!NOC_WI_perc*Loango_II!CA_op_trig</f>
        <v>0.1</v>
      </c>
      <c r="P295" s="53">
        <f ca="1">Loango_II!NOC_WI_perc*Loango_II!CA_op_trig</f>
        <v>0.1</v>
      </c>
      <c r="Q295" s="53">
        <f ca="1">Loango_II!NOC_WI_perc*Loango_II!CA_op_trig</f>
        <v>0.1</v>
      </c>
      <c r="R295" s="53">
        <f ca="1">Loango_II!NOC_WI_perc*Loango_II!CA_op_trig</f>
        <v>0.1</v>
      </c>
      <c r="S295" s="53">
        <f ca="1">Loango_II!NOC_WI_perc*Loango_II!CA_op_trig</f>
        <v>0.1</v>
      </c>
      <c r="T295" s="53">
        <f ca="1">Loango_II!NOC_WI_perc*Loango_II!CA_op_trig</f>
        <v>0.1</v>
      </c>
      <c r="U295" s="53">
        <f ca="1">Loango_II!NOC_WI_perc*Loango_II!CA_op_trig</f>
        <v>0.1</v>
      </c>
      <c r="V295" s="53">
        <f ca="1">Loango_II!NOC_WI_perc*Loango_II!CA_op_trig</f>
        <v>0.1</v>
      </c>
      <c r="W295" s="53">
        <f ca="1">Loango_II!NOC_WI_perc*Loango_II!CA_op_trig</f>
        <v>0.1</v>
      </c>
      <c r="X295" s="53">
        <f ca="1">Loango_II!NOC_WI_perc*Loango_II!CA_op_trig</f>
        <v>0.1</v>
      </c>
      <c r="Y295" s="53">
        <f ca="1">Loango_II!NOC_WI_perc*Loango_II!CA_op_trig</f>
        <v>0</v>
      </c>
      <c r="Z295" s="53">
        <f ca="1">Loango_II!NOC_WI_perc*Loango_II!CA_op_trig</f>
        <v>0</v>
      </c>
      <c r="AA295" s="53">
        <f ca="1">Loango_II!NOC_WI_perc*Loango_II!CA_op_trig</f>
        <v>0</v>
      </c>
      <c r="AB295" s="53">
        <f ca="1">Loango_II!NOC_WI_perc*Loango_II!CA_op_trig</f>
        <v>0</v>
      </c>
      <c r="AC295" s="53">
        <f ca="1">Loango_II!NOC_WI_perc*Loango_II!CA_op_trig</f>
        <v>0</v>
      </c>
      <c r="AD295" s="53">
        <f ca="1">Loango_II!NOC_WI_perc*Loango_II!CA_op_trig</f>
        <v>0</v>
      </c>
      <c r="AE295" s="53">
        <f ca="1">Loango_II!NOC_WI_perc*Loango_II!CA_op_trig</f>
        <v>0</v>
      </c>
      <c r="AF295" s="53">
        <f ca="1">Loango_II!NOC_WI_perc*Loango_II!CA_op_trig</f>
        <v>0</v>
      </c>
      <c r="AG295" s="53">
        <f ca="1">Loango_II!NOC_WI_perc*Loango_II!CA_op_trig</f>
        <v>0</v>
      </c>
      <c r="AH295" s="53">
        <f ca="1">Loango_II!NOC_WI_perc*Loango_II!CA_op_trig</f>
        <v>0</v>
      </c>
      <c r="AI295" s="53">
        <f ca="1">Loango_II!NOC_WI_perc*Loango_II!CA_op_trig</f>
        <v>0</v>
      </c>
      <c r="AJ295" s="53">
        <f ca="1">Loango_II!NOC_WI_perc*Loango_II!CA_op_trig</f>
        <v>0</v>
      </c>
      <c r="AK295" s="53">
        <f ca="1">Loango_II!NOC_WI_perc*Loango_II!CA_op_trig</f>
        <v>0</v>
      </c>
      <c r="AL295" s="53">
        <f ca="1">Loango_II!NOC_WI_perc*Loango_II!CA_op_trig</f>
        <v>0</v>
      </c>
      <c r="AM295" s="53">
        <f ca="1">Loango_II!NOC_WI_perc*Loango_II!CA_op_trig</f>
        <v>0</v>
      </c>
      <c r="AN295" s="53">
        <f ca="1">Loango_II!NOC_WI_perc*Loango_II!CA_op_trig</f>
        <v>0</v>
      </c>
      <c r="AO295" s="53">
        <f ca="1">Loango_II!NOC_WI_perc*Loango_II!CA_op_trig</f>
        <v>0</v>
      </c>
      <c r="AP295" s="53">
        <f ca="1">Loango_II!NOC_WI_perc*Loango_II!CA_op_trig</f>
        <v>0</v>
      </c>
      <c r="AQ295" s="53">
        <f ca="1">Loango_II!NOC_WI_perc*Loango_II!CA_op_trig</f>
        <v>0</v>
      </c>
      <c r="AR295" s="53">
        <f ca="1">Loango_II!NOC_WI_perc*Loango_II!CA_op_trig</f>
        <v>0</v>
      </c>
      <c r="AS295" s="53">
        <f ca="1">Loango_II!NOC_WI_perc*Loango_II!CA_op_trig</f>
        <v>0</v>
      </c>
      <c r="AT295" s="53">
        <f ca="1">Loango_II!NOC_WI_perc*Loango_II!CA_op_trig</f>
        <v>0</v>
      </c>
      <c r="AU295" s="53">
        <f ca="1">Loango_II!NOC_WI_perc*Loango_II!CA_op_trig</f>
        <v>0</v>
      </c>
      <c r="AV295" s="53">
        <f ca="1">Loango_II!NOC_WI_perc*Loango_II!CA_op_trig</f>
        <v>0</v>
      </c>
      <c r="AW295" s="53">
        <f ca="1">Loango_II!NOC_WI_perc*Loango_II!CA_op_trig</f>
        <v>0</v>
      </c>
      <c r="AX295" s="53">
        <f ca="1">Loango_II!NOC_WI_perc*Loango_II!CA_op_trig</f>
        <v>0</v>
      </c>
      <c r="AY295" s="53">
        <f ca="1">Loango_II!NOC_WI_perc*Loango_II!CA_op_trig</f>
        <v>0</v>
      </c>
      <c r="AZ295" s="53">
        <f ca="1">Loango_II!NOC_WI_perc*Loango_II!CA_op_trig</f>
        <v>0</v>
      </c>
      <c r="BA295" s="53">
        <f ca="1">Loango_II!NOC_WI_perc*Loango_II!CA_op_trig</f>
        <v>0</v>
      </c>
      <c r="BB295" s="53">
        <f ca="1">Loango_II!NOC_WI_perc*Loango_II!CA_op_trig</f>
        <v>0</v>
      </c>
      <c r="BC295" s="53">
        <f ca="1">Loango_II!NOC_WI_perc*Loango_II!CA_op_trig</f>
        <v>0</v>
      </c>
      <c r="BD295" s="53">
        <f ca="1">Loango_II!NOC_WI_perc*Loango_II!CA_op_trig</f>
        <v>0</v>
      </c>
      <c r="BE295" s="53">
        <f ca="1">Loango_II!NOC_WI_perc*Loango_II!CA_op_trig</f>
        <v>0</v>
      </c>
      <c r="BF295" s="53">
        <f ca="1">Loango_II!NOC_WI_perc*Loango_II!CA_op_trig</f>
        <v>0</v>
      </c>
      <c r="BG295" s="53">
        <f ca="1">Loango_II!NOC_WI_perc*Loango_II!CA_op_trig</f>
        <v>0</v>
      </c>
      <c r="BH295" s="53">
        <f ca="1">Loango_II!NOC_WI_perc*Loango_II!CA_op_trig</f>
        <v>0</v>
      </c>
      <c r="BI295" s="53">
        <f ca="1">Loango_II!NOC_WI_perc*Loango_II!CA_op_trig</f>
        <v>0</v>
      </c>
      <c r="BJ295" s="53">
        <f ca="1">Loango_II!NOC_WI_perc*Loango_II!CA_op_trig</f>
        <v>0</v>
      </c>
      <c r="BK295" s="53">
        <f ca="1">Loango_II!NOC_WI_perc*Loango_II!CA_op_trig</f>
        <v>0</v>
      </c>
      <c r="BL295" s="53">
        <f ca="1">Loango_II!NOC_WI_perc*Loango_II!CA_op_trig</f>
        <v>0</v>
      </c>
      <c r="BM295" s="53">
        <f ca="1">Loango_II!NOC_WI_perc*Loango_II!CA_op_trig</f>
        <v>0</v>
      </c>
      <c r="BN295" s="53">
        <f ca="1">Loango_II!NOC_WI_perc*Loango_II!CA_op_trig</f>
        <v>0</v>
      </c>
      <c r="BO295" s="53">
        <f ca="1">Loango_II!NOC_WI_perc*Loango_II!CA_op_trig</f>
        <v>0</v>
      </c>
      <c r="BP295" s="53">
        <f ca="1">Loango_II!NOC_WI_perc*Loango_II!CA_op_trig</f>
        <v>0</v>
      </c>
      <c r="BQ295" s="53">
        <f ca="1">Loango_II!NOC_WI_perc*Loango_II!CA_op_trig</f>
        <v>0</v>
      </c>
      <c r="BR295" s="53">
        <f ca="1">Loango_II!NOC_WI_perc*Loango_II!CA_op_trig</f>
        <v>0</v>
      </c>
      <c r="BS295" s="53">
        <f ca="1">Loango_II!NOC_WI_perc*Loango_II!CA_op_trig</f>
        <v>0</v>
      </c>
    </row>
    <row r="296" spans="3:71" outlineLevel="1" x14ac:dyDescent="0.2">
      <c r="J296" s="26"/>
      <c r="L296" s="55"/>
      <c r="M296" s="55"/>
      <c r="N296" s="55"/>
      <c r="O296" s="55"/>
      <c r="P296" s="55"/>
      <c r="Q296" s="55"/>
      <c r="R296" s="55"/>
      <c r="S296" s="55"/>
      <c r="T296" s="55"/>
      <c r="U296" s="55"/>
      <c r="V296" s="55"/>
      <c r="W296" s="55"/>
      <c r="X296" s="55"/>
      <c r="Y296" s="55"/>
      <c r="Z296" s="55"/>
      <c r="AA296" s="55"/>
      <c r="AB296" s="55"/>
      <c r="AC296" s="55"/>
      <c r="AD296" s="55"/>
      <c r="AE296" s="55"/>
      <c r="AF296" s="55"/>
      <c r="AG296" s="55"/>
      <c r="AH296" s="55"/>
      <c r="AI296" s="55"/>
      <c r="AJ296" s="55"/>
      <c r="AK296" s="55"/>
      <c r="AL296" s="55"/>
      <c r="AM296" s="55"/>
      <c r="AN296" s="55"/>
      <c r="AO296" s="55"/>
      <c r="AP296" s="55"/>
      <c r="AQ296" s="55"/>
      <c r="AR296" s="55"/>
      <c r="AS296" s="55"/>
      <c r="AT296" s="55"/>
      <c r="AU296" s="55"/>
      <c r="AV296" s="55"/>
      <c r="AW296" s="55"/>
      <c r="AX296" s="55"/>
      <c r="AY296" s="55"/>
      <c r="AZ296" s="55"/>
      <c r="BA296" s="55"/>
      <c r="BB296" s="55"/>
      <c r="BC296" s="55"/>
      <c r="BD296" s="55"/>
      <c r="BE296" s="55"/>
      <c r="BF296" s="55"/>
      <c r="BG296" s="55"/>
      <c r="BH296" s="55"/>
      <c r="BI296" s="55"/>
      <c r="BJ296" s="55"/>
      <c r="BK296" s="55"/>
      <c r="BL296" s="55"/>
      <c r="BM296" s="55"/>
      <c r="BN296" s="55"/>
      <c r="BO296" s="55"/>
      <c r="BP296" s="55"/>
      <c r="BQ296" s="55"/>
      <c r="BR296" s="55"/>
      <c r="BS296" s="55"/>
    </row>
    <row r="297" spans="3:71" outlineLevel="1" x14ac:dyDescent="0.2">
      <c r="C297" s="11" t="s">
        <v>342</v>
      </c>
      <c r="J297" s="26"/>
      <c r="L297" s="55"/>
      <c r="M297" s="55"/>
      <c r="N297" s="55"/>
      <c r="O297" s="55"/>
      <c r="P297" s="55"/>
      <c r="Q297" s="55"/>
      <c r="R297" s="55"/>
      <c r="S297" s="55"/>
      <c r="T297" s="55"/>
      <c r="U297" s="55"/>
      <c r="V297" s="55"/>
      <c r="W297" s="55"/>
      <c r="X297" s="55"/>
      <c r="Y297" s="55"/>
      <c r="Z297" s="55"/>
      <c r="AA297" s="55"/>
      <c r="AB297" s="55"/>
      <c r="AC297" s="55"/>
      <c r="AD297" s="55"/>
      <c r="AE297" s="55"/>
      <c r="AF297" s="55"/>
      <c r="AG297" s="55"/>
      <c r="AH297" s="55"/>
      <c r="AI297" s="55"/>
      <c r="AJ297" s="55"/>
      <c r="AK297" s="55"/>
      <c r="AL297" s="55"/>
      <c r="AM297" s="55"/>
      <c r="AN297" s="55"/>
      <c r="AO297" s="55"/>
      <c r="AP297" s="55"/>
      <c r="AQ297" s="55"/>
      <c r="AR297" s="55"/>
      <c r="AS297" s="55"/>
      <c r="AT297" s="55"/>
      <c r="AU297" s="55"/>
      <c r="AV297" s="55"/>
      <c r="AW297" s="55"/>
      <c r="AX297" s="55"/>
      <c r="AY297" s="55"/>
      <c r="AZ297" s="55"/>
      <c r="BA297" s="55"/>
      <c r="BB297" s="55"/>
      <c r="BC297" s="55"/>
      <c r="BD297" s="55"/>
      <c r="BE297" s="55"/>
      <c r="BF297" s="55"/>
      <c r="BG297" s="55"/>
      <c r="BH297" s="55"/>
      <c r="BI297" s="55"/>
      <c r="BJ297" s="55"/>
      <c r="BK297" s="55"/>
      <c r="BL297" s="55"/>
      <c r="BM297" s="55"/>
      <c r="BN297" s="55"/>
      <c r="BO297" s="55"/>
      <c r="BP297" s="55"/>
      <c r="BQ297" s="55"/>
      <c r="BR297" s="55"/>
      <c r="BS297" s="55"/>
    </row>
    <row r="298" spans="3:71" outlineLevel="1" x14ac:dyDescent="0.2">
      <c r="D298" t="s">
        <v>116</v>
      </c>
      <c r="I298" s="30">
        <f t="shared" ref="I298:I300" ca="1" si="63">SUM($L298:$BS298)</f>
        <v>6165.5429381094127</v>
      </c>
      <c r="J298" s="26" t="s">
        <v>148</v>
      </c>
      <c r="L298" s="49">
        <f ca="1">Loango_II!CA_ent_rev_oil*Loango_II!CA_IOC_WI</f>
        <v>445.58581575149867</v>
      </c>
      <c r="M298" s="49">
        <f ca="1">Loango_II!CA_ent_rev_oil*Loango_II!CA_IOC_WI</f>
        <v>444.27153527817501</v>
      </c>
      <c r="N298" s="49">
        <f ca="1">Loango_II!CA_ent_rev_oil*Loango_II!CA_IOC_WI</f>
        <v>174.25819577320692</v>
      </c>
      <c r="O298" s="49">
        <f ca="1">Loango_II!CA_ent_rev_oil*Loango_II!CA_IOC_WI</f>
        <v>164.48404212062277</v>
      </c>
      <c r="P298" s="49">
        <f ca="1">Loango_II!CA_ent_rev_oil*Loango_II!CA_IOC_WI</f>
        <v>456.25494524713861</v>
      </c>
      <c r="Q298" s="49">
        <f ca="1">Loango_II!CA_ent_rev_oil*Loango_II!CA_IOC_WI</f>
        <v>906.93119532084643</v>
      </c>
      <c r="R298" s="49">
        <f ca="1">Loango_II!CA_ent_rev_oil*Loango_II!CA_IOC_WI</f>
        <v>638.32438824068629</v>
      </c>
      <c r="S298" s="49">
        <f ca="1">Loango_II!CA_ent_rev_oil*Loango_II!CA_IOC_WI</f>
        <v>389.30795428451762</v>
      </c>
      <c r="T298" s="49">
        <f ca="1">Loango_II!CA_ent_rev_oil*Loango_II!CA_IOC_WI</f>
        <v>564.54103248694514</v>
      </c>
      <c r="U298" s="49">
        <f ca="1">Loango_II!CA_ent_rev_oil*Loango_II!CA_IOC_WI</f>
        <v>562.13838851360492</v>
      </c>
      <c r="V298" s="49">
        <f ca="1">Loango_II!CA_ent_rev_oil*Loango_II!CA_IOC_WI</f>
        <v>533.24447534400554</v>
      </c>
      <c r="W298" s="49">
        <f ca="1">Loango_II!CA_ent_rev_oil*Loango_II!CA_IOC_WI</f>
        <v>455.39426362194172</v>
      </c>
      <c r="X298" s="49">
        <f ca="1">Loango_II!CA_ent_rev_oil*Loango_II!CA_IOC_WI</f>
        <v>430.80670612622254</v>
      </c>
      <c r="Y298" s="49">
        <f ca="1">Loango_II!CA_ent_rev_oil*Loango_II!CA_IOC_WI</f>
        <v>0</v>
      </c>
      <c r="Z298" s="49">
        <f ca="1">Loango_II!CA_ent_rev_oil*Loango_II!CA_IOC_WI</f>
        <v>0</v>
      </c>
      <c r="AA298" s="49">
        <f ca="1">Loango_II!CA_ent_rev_oil*Loango_II!CA_IOC_WI</f>
        <v>0</v>
      </c>
      <c r="AB298" s="49">
        <f ca="1">Loango_II!CA_ent_rev_oil*Loango_II!CA_IOC_WI</f>
        <v>0</v>
      </c>
      <c r="AC298" s="49">
        <f ca="1">Loango_II!CA_ent_rev_oil*Loango_II!CA_IOC_WI</f>
        <v>0</v>
      </c>
      <c r="AD298" s="49">
        <f ca="1">Loango_II!CA_ent_rev_oil*Loango_II!CA_IOC_WI</f>
        <v>0</v>
      </c>
      <c r="AE298" s="49">
        <f ca="1">Loango_II!CA_ent_rev_oil*Loango_II!CA_IOC_WI</f>
        <v>0</v>
      </c>
      <c r="AF298" s="49">
        <f ca="1">Loango_II!CA_ent_rev_oil*Loango_II!CA_IOC_WI</f>
        <v>0</v>
      </c>
      <c r="AG298" s="49">
        <f ca="1">Loango_II!CA_ent_rev_oil*Loango_II!CA_IOC_WI</f>
        <v>0</v>
      </c>
      <c r="AH298" s="49">
        <f ca="1">Loango_II!CA_ent_rev_oil*Loango_II!CA_IOC_WI</f>
        <v>0</v>
      </c>
      <c r="AI298" s="49">
        <f ca="1">Loango_II!CA_ent_rev_oil*Loango_II!CA_IOC_WI</f>
        <v>0</v>
      </c>
      <c r="AJ298" s="49">
        <f ca="1">Loango_II!CA_ent_rev_oil*Loango_II!CA_IOC_WI</f>
        <v>0</v>
      </c>
      <c r="AK298" s="49">
        <f ca="1">Loango_II!CA_ent_rev_oil*Loango_II!CA_IOC_WI</f>
        <v>0</v>
      </c>
      <c r="AL298" s="49">
        <f ca="1">Loango_II!CA_ent_rev_oil*Loango_II!CA_IOC_WI</f>
        <v>0</v>
      </c>
      <c r="AM298" s="49">
        <f ca="1">Loango_II!CA_ent_rev_oil*Loango_II!CA_IOC_WI</f>
        <v>0</v>
      </c>
      <c r="AN298" s="49">
        <f ca="1">Loango_II!CA_ent_rev_oil*Loango_II!CA_IOC_WI</f>
        <v>0</v>
      </c>
      <c r="AO298" s="49">
        <f ca="1">Loango_II!CA_ent_rev_oil*Loango_II!CA_IOC_WI</f>
        <v>0</v>
      </c>
      <c r="AP298" s="49">
        <f ca="1">Loango_II!CA_ent_rev_oil*Loango_II!CA_IOC_WI</f>
        <v>0</v>
      </c>
      <c r="AQ298" s="49">
        <f ca="1">Loango_II!CA_ent_rev_oil*Loango_II!CA_IOC_WI</f>
        <v>0</v>
      </c>
      <c r="AR298" s="49">
        <f ca="1">Loango_II!CA_ent_rev_oil*Loango_II!CA_IOC_WI</f>
        <v>0</v>
      </c>
      <c r="AS298" s="49">
        <f ca="1">Loango_II!CA_ent_rev_oil*Loango_II!CA_IOC_WI</f>
        <v>0</v>
      </c>
      <c r="AT298" s="49">
        <f ca="1">Loango_II!CA_ent_rev_oil*Loango_II!CA_IOC_WI</f>
        <v>0</v>
      </c>
      <c r="AU298" s="49">
        <f ca="1">Loango_II!CA_ent_rev_oil*Loango_II!CA_IOC_WI</f>
        <v>0</v>
      </c>
      <c r="AV298" s="49">
        <f ca="1">Loango_II!CA_ent_rev_oil*Loango_II!CA_IOC_WI</f>
        <v>0</v>
      </c>
      <c r="AW298" s="49">
        <f ca="1">Loango_II!CA_ent_rev_oil*Loango_II!CA_IOC_WI</f>
        <v>0</v>
      </c>
      <c r="AX298" s="49">
        <f ca="1">Loango_II!CA_ent_rev_oil*Loango_II!CA_IOC_WI</f>
        <v>0</v>
      </c>
      <c r="AY298" s="49">
        <f ca="1">Loango_II!CA_ent_rev_oil*Loango_II!CA_IOC_WI</f>
        <v>0</v>
      </c>
      <c r="AZ298" s="49">
        <f ca="1">Loango_II!CA_ent_rev_oil*Loango_II!CA_IOC_WI</f>
        <v>0</v>
      </c>
      <c r="BA298" s="49">
        <f ca="1">Loango_II!CA_ent_rev_oil*Loango_II!CA_IOC_WI</f>
        <v>0</v>
      </c>
      <c r="BB298" s="49">
        <f ca="1">Loango_II!CA_ent_rev_oil*Loango_II!CA_IOC_WI</f>
        <v>0</v>
      </c>
      <c r="BC298" s="49">
        <f ca="1">Loango_II!CA_ent_rev_oil*Loango_II!CA_IOC_WI</f>
        <v>0</v>
      </c>
      <c r="BD298" s="49">
        <f ca="1">Loango_II!CA_ent_rev_oil*Loango_II!CA_IOC_WI</f>
        <v>0</v>
      </c>
      <c r="BE298" s="49">
        <f ca="1">Loango_II!CA_ent_rev_oil*Loango_II!CA_IOC_WI</f>
        <v>0</v>
      </c>
      <c r="BF298" s="49">
        <f ca="1">Loango_II!CA_ent_rev_oil*Loango_II!CA_IOC_WI</f>
        <v>0</v>
      </c>
      <c r="BG298" s="49">
        <f ca="1">Loango_II!CA_ent_rev_oil*Loango_II!CA_IOC_WI</f>
        <v>0</v>
      </c>
      <c r="BH298" s="49">
        <f ca="1">Loango_II!CA_ent_rev_oil*Loango_II!CA_IOC_WI</f>
        <v>0</v>
      </c>
      <c r="BI298" s="49">
        <f ca="1">Loango_II!CA_ent_rev_oil*Loango_II!CA_IOC_WI</f>
        <v>0</v>
      </c>
      <c r="BJ298" s="49">
        <f ca="1">Loango_II!CA_ent_rev_oil*Loango_II!CA_IOC_WI</f>
        <v>0</v>
      </c>
      <c r="BK298" s="49">
        <f ca="1">Loango_II!CA_ent_rev_oil*Loango_II!CA_IOC_WI</f>
        <v>0</v>
      </c>
      <c r="BL298" s="49">
        <f ca="1">Loango_II!CA_ent_rev_oil*Loango_II!CA_IOC_WI</f>
        <v>0</v>
      </c>
      <c r="BM298" s="49">
        <f ca="1">Loango_II!CA_ent_rev_oil*Loango_II!CA_IOC_WI</f>
        <v>0</v>
      </c>
      <c r="BN298" s="49">
        <f ca="1">Loango_II!CA_ent_rev_oil*Loango_II!CA_IOC_WI</f>
        <v>0</v>
      </c>
      <c r="BO298" s="49">
        <f ca="1">Loango_II!CA_ent_rev_oil*Loango_II!CA_IOC_WI</f>
        <v>0</v>
      </c>
      <c r="BP298" s="49">
        <f ca="1">Loango_II!CA_ent_rev_oil*Loango_II!CA_IOC_WI</f>
        <v>0</v>
      </c>
      <c r="BQ298" s="49">
        <f ca="1">Loango_II!CA_ent_rev_oil*Loango_II!CA_IOC_WI</f>
        <v>0</v>
      </c>
      <c r="BR298" s="49">
        <f ca="1">Loango_II!CA_ent_rev_oil*Loango_II!CA_IOC_WI</f>
        <v>0</v>
      </c>
      <c r="BS298" s="49">
        <f ca="1">Loango_II!CA_ent_rev_oil*Loango_II!CA_IOC_WI</f>
        <v>0</v>
      </c>
    </row>
    <row r="299" spans="3:71" outlineLevel="1" x14ac:dyDescent="0.2">
      <c r="D299" t="s">
        <v>339</v>
      </c>
      <c r="I299" s="30">
        <f t="shared" ca="1" si="63"/>
        <v>685.06032645660139</v>
      </c>
      <c r="J299" s="26" t="s">
        <v>148</v>
      </c>
      <c r="L299" s="49">
        <f ca="1">Loango_II!CA_ent_rev_oil*Loango_II!CA_NOC_WI</f>
        <v>49.509535083499856</v>
      </c>
      <c r="M299" s="49">
        <f ca="1">Loango_II!CA_ent_rev_oil*Loango_II!CA_NOC_WI</f>
        <v>49.363503919797225</v>
      </c>
      <c r="N299" s="49">
        <f ca="1">Loango_II!CA_ent_rev_oil*Loango_II!CA_NOC_WI</f>
        <v>19.362021752578546</v>
      </c>
      <c r="O299" s="49">
        <f ca="1">Loango_II!CA_ent_rev_oil*Loango_II!CA_NOC_WI</f>
        <v>18.276004680069196</v>
      </c>
      <c r="P299" s="49">
        <f ca="1">Loango_II!CA_ent_rev_oil*Loango_II!CA_NOC_WI</f>
        <v>50.694993916348736</v>
      </c>
      <c r="Q299" s="49">
        <f ca="1">Loango_II!CA_ent_rev_oil*Loango_II!CA_NOC_WI</f>
        <v>100.77013281342738</v>
      </c>
      <c r="R299" s="49">
        <f ca="1">Loango_II!CA_ent_rev_oil*Loango_II!CA_NOC_WI</f>
        <v>70.924932026742923</v>
      </c>
      <c r="S299" s="49">
        <f ca="1">Loango_II!CA_ent_rev_oil*Loango_II!CA_NOC_WI</f>
        <v>43.256439364946402</v>
      </c>
      <c r="T299" s="49">
        <f ca="1">Loango_II!CA_ent_rev_oil*Loango_II!CA_NOC_WI</f>
        <v>62.726781387438351</v>
      </c>
      <c r="U299" s="49">
        <f ca="1">Loango_II!CA_ent_rev_oil*Loango_II!CA_NOC_WI</f>
        <v>62.459820945956096</v>
      </c>
      <c r="V299" s="49">
        <f ca="1">Loango_II!CA_ent_rev_oil*Loango_II!CA_NOC_WI</f>
        <v>59.249386149333944</v>
      </c>
      <c r="W299" s="49">
        <f ca="1">Loango_II!CA_ent_rev_oil*Loango_II!CA_NOC_WI</f>
        <v>50.599362624660188</v>
      </c>
      <c r="X299" s="49">
        <f ca="1">Loango_II!CA_ent_rev_oil*Loango_II!CA_NOC_WI</f>
        <v>47.86741179180251</v>
      </c>
      <c r="Y299" s="49">
        <f ca="1">Loango_II!CA_ent_rev_oil*Loango_II!CA_NOC_WI</f>
        <v>0</v>
      </c>
      <c r="Z299" s="49">
        <f ca="1">Loango_II!CA_ent_rev_oil*Loango_II!CA_NOC_WI</f>
        <v>0</v>
      </c>
      <c r="AA299" s="49">
        <f ca="1">Loango_II!CA_ent_rev_oil*Loango_II!CA_NOC_WI</f>
        <v>0</v>
      </c>
      <c r="AB299" s="49">
        <f ca="1">Loango_II!CA_ent_rev_oil*Loango_II!CA_NOC_WI</f>
        <v>0</v>
      </c>
      <c r="AC299" s="49">
        <f ca="1">Loango_II!CA_ent_rev_oil*Loango_II!CA_NOC_WI</f>
        <v>0</v>
      </c>
      <c r="AD299" s="49">
        <f ca="1">Loango_II!CA_ent_rev_oil*Loango_II!CA_NOC_WI</f>
        <v>0</v>
      </c>
      <c r="AE299" s="49">
        <f ca="1">Loango_II!CA_ent_rev_oil*Loango_II!CA_NOC_WI</f>
        <v>0</v>
      </c>
      <c r="AF299" s="49">
        <f ca="1">Loango_II!CA_ent_rev_oil*Loango_II!CA_NOC_WI</f>
        <v>0</v>
      </c>
      <c r="AG299" s="49">
        <f ca="1">Loango_II!CA_ent_rev_oil*Loango_II!CA_NOC_WI</f>
        <v>0</v>
      </c>
      <c r="AH299" s="49">
        <f ca="1">Loango_II!CA_ent_rev_oil*Loango_II!CA_NOC_WI</f>
        <v>0</v>
      </c>
      <c r="AI299" s="49">
        <f ca="1">Loango_II!CA_ent_rev_oil*Loango_II!CA_NOC_WI</f>
        <v>0</v>
      </c>
      <c r="AJ299" s="49">
        <f ca="1">Loango_II!CA_ent_rev_oil*Loango_II!CA_NOC_WI</f>
        <v>0</v>
      </c>
      <c r="AK299" s="49">
        <f ca="1">Loango_II!CA_ent_rev_oil*Loango_II!CA_NOC_WI</f>
        <v>0</v>
      </c>
      <c r="AL299" s="49">
        <f ca="1">Loango_II!CA_ent_rev_oil*Loango_II!CA_NOC_WI</f>
        <v>0</v>
      </c>
      <c r="AM299" s="49">
        <f ca="1">Loango_II!CA_ent_rev_oil*Loango_II!CA_NOC_WI</f>
        <v>0</v>
      </c>
      <c r="AN299" s="49">
        <f ca="1">Loango_II!CA_ent_rev_oil*Loango_II!CA_NOC_WI</f>
        <v>0</v>
      </c>
      <c r="AO299" s="49">
        <f ca="1">Loango_II!CA_ent_rev_oil*Loango_II!CA_NOC_WI</f>
        <v>0</v>
      </c>
      <c r="AP299" s="49">
        <f ca="1">Loango_II!CA_ent_rev_oil*Loango_II!CA_NOC_WI</f>
        <v>0</v>
      </c>
      <c r="AQ299" s="49">
        <f ca="1">Loango_II!CA_ent_rev_oil*Loango_II!CA_NOC_WI</f>
        <v>0</v>
      </c>
      <c r="AR299" s="49">
        <f ca="1">Loango_II!CA_ent_rev_oil*Loango_II!CA_NOC_WI</f>
        <v>0</v>
      </c>
      <c r="AS299" s="49">
        <f ca="1">Loango_II!CA_ent_rev_oil*Loango_II!CA_NOC_WI</f>
        <v>0</v>
      </c>
      <c r="AT299" s="49">
        <f ca="1">Loango_II!CA_ent_rev_oil*Loango_II!CA_NOC_WI</f>
        <v>0</v>
      </c>
      <c r="AU299" s="49">
        <f ca="1">Loango_II!CA_ent_rev_oil*Loango_II!CA_NOC_WI</f>
        <v>0</v>
      </c>
      <c r="AV299" s="49">
        <f ca="1">Loango_II!CA_ent_rev_oil*Loango_II!CA_NOC_WI</f>
        <v>0</v>
      </c>
      <c r="AW299" s="49">
        <f ca="1">Loango_II!CA_ent_rev_oil*Loango_II!CA_NOC_WI</f>
        <v>0</v>
      </c>
      <c r="AX299" s="49">
        <f ca="1">Loango_II!CA_ent_rev_oil*Loango_II!CA_NOC_WI</f>
        <v>0</v>
      </c>
      <c r="AY299" s="49">
        <f ca="1">Loango_II!CA_ent_rev_oil*Loango_II!CA_NOC_WI</f>
        <v>0</v>
      </c>
      <c r="AZ299" s="49">
        <f ca="1">Loango_II!CA_ent_rev_oil*Loango_II!CA_NOC_WI</f>
        <v>0</v>
      </c>
      <c r="BA299" s="49">
        <f ca="1">Loango_II!CA_ent_rev_oil*Loango_II!CA_NOC_WI</f>
        <v>0</v>
      </c>
      <c r="BB299" s="49">
        <f ca="1">Loango_II!CA_ent_rev_oil*Loango_II!CA_NOC_WI</f>
        <v>0</v>
      </c>
      <c r="BC299" s="49">
        <f ca="1">Loango_II!CA_ent_rev_oil*Loango_II!CA_NOC_WI</f>
        <v>0</v>
      </c>
      <c r="BD299" s="49">
        <f ca="1">Loango_II!CA_ent_rev_oil*Loango_II!CA_NOC_WI</f>
        <v>0</v>
      </c>
      <c r="BE299" s="49">
        <f ca="1">Loango_II!CA_ent_rev_oil*Loango_II!CA_NOC_WI</f>
        <v>0</v>
      </c>
      <c r="BF299" s="49">
        <f ca="1">Loango_II!CA_ent_rev_oil*Loango_II!CA_NOC_WI</f>
        <v>0</v>
      </c>
      <c r="BG299" s="49">
        <f ca="1">Loango_II!CA_ent_rev_oil*Loango_II!CA_NOC_WI</f>
        <v>0</v>
      </c>
      <c r="BH299" s="49">
        <f ca="1">Loango_II!CA_ent_rev_oil*Loango_II!CA_NOC_WI</f>
        <v>0</v>
      </c>
      <c r="BI299" s="49">
        <f ca="1">Loango_II!CA_ent_rev_oil*Loango_II!CA_NOC_WI</f>
        <v>0</v>
      </c>
      <c r="BJ299" s="49">
        <f ca="1">Loango_II!CA_ent_rev_oil*Loango_II!CA_NOC_WI</f>
        <v>0</v>
      </c>
      <c r="BK299" s="49">
        <f ca="1">Loango_II!CA_ent_rev_oil*Loango_II!CA_NOC_WI</f>
        <v>0</v>
      </c>
      <c r="BL299" s="49">
        <f ca="1">Loango_II!CA_ent_rev_oil*Loango_II!CA_NOC_WI</f>
        <v>0</v>
      </c>
      <c r="BM299" s="49">
        <f ca="1">Loango_II!CA_ent_rev_oil*Loango_II!CA_NOC_WI</f>
        <v>0</v>
      </c>
      <c r="BN299" s="49">
        <f ca="1">Loango_II!CA_ent_rev_oil*Loango_II!CA_NOC_WI</f>
        <v>0</v>
      </c>
      <c r="BO299" s="49">
        <f ca="1">Loango_II!CA_ent_rev_oil*Loango_II!CA_NOC_WI</f>
        <v>0</v>
      </c>
      <c r="BP299" s="49">
        <f ca="1">Loango_II!CA_ent_rev_oil*Loango_II!CA_NOC_WI</f>
        <v>0</v>
      </c>
      <c r="BQ299" s="49">
        <f ca="1">Loango_II!CA_ent_rev_oil*Loango_II!CA_NOC_WI</f>
        <v>0</v>
      </c>
      <c r="BR299" s="49">
        <f ca="1">Loango_II!CA_ent_rev_oil*Loango_II!CA_NOC_WI</f>
        <v>0</v>
      </c>
      <c r="BS299" s="49">
        <f ca="1">Loango_II!CA_ent_rev_oil*Loango_II!CA_NOC_WI</f>
        <v>0</v>
      </c>
    </row>
    <row r="300" spans="3:71" outlineLevel="1" x14ac:dyDescent="0.2">
      <c r="D300" s="11" t="s">
        <v>129</v>
      </c>
      <c r="I300" s="30">
        <f t="shared" ca="1" si="63"/>
        <v>6850.6032645660134</v>
      </c>
      <c r="J300" s="26" t="s">
        <v>148</v>
      </c>
      <c r="L300" s="49">
        <f ca="1">SUM(L298:L299)</f>
        <v>495.0953508349985</v>
      </c>
      <c r="M300" s="49">
        <f t="shared" ref="M300:BS300" ca="1" si="64">SUM(M298:M299)</f>
        <v>493.63503919797222</v>
      </c>
      <c r="N300" s="49">
        <f t="shared" ca="1" si="64"/>
        <v>193.62021752578548</v>
      </c>
      <c r="O300" s="49">
        <f t="shared" ca="1" si="64"/>
        <v>182.76004680069198</v>
      </c>
      <c r="P300" s="49">
        <f t="shared" ca="1" si="64"/>
        <v>506.94993916348733</v>
      </c>
      <c r="Q300" s="49">
        <f t="shared" ca="1" si="64"/>
        <v>1007.7013281342738</v>
      </c>
      <c r="R300" s="49">
        <f t="shared" ca="1" si="64"/>
        <v>709.2493202674292</v>
      </c>
      <c r="S300" s="49">
        <f t="shared" ca="1" si="64"/>
        <v>432.56439364946402</v>
      </c>
      <c r="T300" s="49">
        <f t="shared" ca="1" si="64"/>
        <v>627.26781387438348</v>
      </c>
      <c r="U300" s="49">
        <f t="shared" ca="1" si="64"/>
        <v>624.59820945956108</v>
      </c>
      <c r="V300" s="49">
        <f t="shared" ca="1" si="64"/>
        <v>592.49386149333952</v>
      </c>
      <c r="W300" s="49">
        <f t="shared" ca="1" si="64"/>
        <v>505.99362624660193</v>
      </c>
      <c r="X300" s="49">
        <f t="shared" ca="1" si="64"/>
        <v>478.67411791802505</v>
      </c>
      <c r="Y300" s="49">
        <f t="shared" ca="1" si="64"/>
        <v>0</v>
      </c>
      <c r="Z300" s="49">
        <f t="shared" ca="1" si="64"/>
        <v>0</v>
      </c>
      <c r="AA300" s="49">
        <f t="shared" ca="1" si="64"/>
        <v>0</v>
      </c>
      <c r="AB300" s="49">
        <f t="shared" ca="1" si="64"/>
        <v>0</v>
      </c>
      <c r="AC300" s="49">
        <f t="shared" ca="1" si="64"/>
        <v>0</v>
      </c>
      <c r="AD300" s="49">
        <f t="shared" ca="1" si="64"/>
        <v>0</v>
      </c>
      <c r="AE300" s="49">
        <f t="shared" ca="1" si="64"/>
        <v>0</v>
      </c>
      <c r="AF300" s="49">
        <f t="shared" ca="1" si="64"/>
        <v>0</v>
      </c>
      <c r="AG300" s="49">
        <f t="shared" ca="1" si="64"/>
        <v>0</v>
      </c>
      <c r="AH300" s="49">
        <f t="shared" ca="1" si="64"/>
        <v>0</v>
      </c>
      <c r="AI300" s="49">
        <f t="shared" ca="1" si="64"/>
        <v>0</v>
      </c>
      <c r="AJ300" s="49">
        <f t="shared" ca="1" si="64"/>
        <v>0</v>
      </c>
      <c r="AK300" s="49">
        <f t="shared" ca="1" si="64"/>
        <v>0</v>
      </c>
      <c r="AL300" s="49">
        <f t="shared" ca="1" si="64"/>
        <v>0</v>
      </c>
      <c r="AM300" s="49">
        <f t="shared" ca="1" si="64"/>
        <v>0</v>
      </c>
      <c r="AN300" s="49">
        <f t="shared" ca="1" si="64"/>
        <v>0</v>
      </c>
      <c r="AO300" s="49">
        <f t="shared" ca="1" si="64"/>
        <v>0</v>
      </c>
      <c r="AP300" s="49">
        <f t="shared" ca="1" si="64"/>
        <v>0</v>
      </c>
      <c r="AQ300" s="49">
        <f t="shared" ca="1" si="64"/>
        <v>0</v>
      </c>
      <c r="AR300" s="49">
        <f t="shared" ca="1" si="64"/>
        <v>0</v>
      </c>
      <c r="AS300" s="49">
        <f t="shared" ca="1" si="64"/>
        <v>0</v>
      </c>
      <c r="AT300" s="49">
        <f t="shared" ca="1" si="64"/>
        <v>0</v>
      </c>
      <c r="AU300" s="49">
        <f t="shared" ca="1" si="64"/>
        <v>0</v>
      </c>
      <c r="AV300" s="49">
        <f t="shared" ca="1" si="64"/>
        <v>0</v>
      </c>
      <c r="AW300" s="49">
        <f t="shared" ca="1" si="64"/>
        <v>0</v>
      </c>
      <c r="AX300" s="49">
        <f t="shared" ca="1" si="64"/>
        <v>0</v>
      </c>
      <c r="AY300" s="49">
        <f t="shared" ca="1" si="64"/>
        <v>0</v>
      </c>
      <c r="AZ300" s="49">
        <f t="shared" ca="1" si="64"/>
        <v>0</v>
      </c>
      <c r="BA300" s="49">
        <f t="shared" ca="1" si="64"/>
        <v>0</v>
      </c>
      <c r="BB300" s="49">
        <f t="shared" ca="1" si="64"/>
        <v>0</v>
      </c>
      <c r="BC300" s="49">
        <f t="shared" ca="1" si="64"/>
        <v>0</v>
      </c>
      <c r="BD300" s="49">
        <f t="shared" ca="1" si="64"/>
        <v>0</v>
      </c>
      <c r="BE300" s="49">
        <f t="shared" ca="1" si="64"/>
        <v>0</v>
      </c>
      <c r="BF300" s="49">
        <f t="shared" ca="1" si="64"/>
        <v>0</v>
      </c>
      <c r="BG300" s="49">
        <f t="shared" ca="1" si="64"/>
        <v>0</v>
      </c>
      <c r="BH300" s="49">
        <f t="shared" ca="1" si="64"/>
        <v>0</v>
      </c>
      <c r="BI300" s="49">
        <f t="shared" ca="1" si="64"/>
        <v>0</v>
      </c>
      <c r="BJ300" s="49">
        <f t="shared" ca="1" si="64"/>
        <v>0</v>
      </c>
      <c r="BK300" s="49">
        <f t="shared" ca="1" si="64"/>
        <v>0</v>
      </c>
      <c r="BL300" s="49">
        <f t="shared" ca="1" si="64"/>
        <v>0</v>
      </c>
      <c r="BM300" s="49">
        <f t="shared" ca="1" si="64"/>
        <v>0</v>
      </c>
      <c r="BN300" s="49">
        <f t="shared" ca="1" si="64"/>
        <v>0</v>
      </c>
      <c r="BO300" s="49">
        <f t="shared" ca="1" si="64"/>
        <v>0</v>
      </c>
      <c r="BP300" s="49">
        <f t="shared" ca="1" si="64"/>
        <v>0</v>
      </c>
      <c r="BQ300" s="49">
        <f t="shared" ca="1" si="64"/>
        <v>0</v>
      </c>
      <c r="BR300" s="49">
        <f t="shared" ca="1" si="64"/>
        <v>0</v>
      </c>
      <c r="BS300" s="49">
        <f t="shared" ca="1" si="64"/>
        <v>0</v>
      </c>
    </row>
    <row r="301" spans="3:71" outlineLevel="1" x14ac:dyDescent="0.2">
      <c r="J301" s="26"/>
      <c r="L301" s="55"/>
      <c r="M301" s="55"/>
      <c r="N301" s="55"/>
      <c r="O301" s="55"/>
      <c r="P301" s="55"/>
      <c r="Q301" s="55"/>
      <c r="R301" s="55"/>
      <c r="S301" s="55"/>
      <c r="T301" s="55"/>
      <c r="U301" s="55"/>
      <c r="V301" s="55"/>
      <c r="W301" s="55"/>
      <c r="X301" s="55"/>
      <c r="Y301" s="55"/>
      <c r="Z301" s="55"/>
      <c r="AA301" s="55"/>
      <c r="AB301" s="55"/>
      <c r="AC301" s="55"/>
      <c r="AD301" s="55"/>
      <c r="AE301" s="55"/>
      <c r="AF301" s="55"/>
      <c r="AG301" s="55"/>
      <c r="AH301" s="55"/>
      <c r="AI301" s="55"/>
      <c r="AJ301" s="55"/>
      <c r="AK301" s="55"/>
      <c r="AL301" s="55"/>
      <c r="AM301" s="55"/>
      <c r="AN301" s="55"/>
      <c r="AO301" s="55"/>
      <c r="AP301" s="55"/>
      <c r="AQ301" s="55"/>
      <c r="AR301" s="55"/>
      <c r="AS301" s="55"/>
      <c r="AT301" s="55"/>
      <c r="AU301" s="55"/>
      <c r="AV301" s="55"/>
      <c r="AW301" s="55"/>
      <c r="AX301" s="55"/>
      <c r="AY301" s="55"/>
      <c r="AZ301" s="55"/>
      <c r="BA301" s="55"/>
      <c r="BB301" s="55"/>
      <c r="BC301" s="55"/>
      <c r="BD301" s="55"/>
      <c r="BE301" s="55"/>
      <c r="BF301" s="55"/>
      <c r="BG301" s="55"/>
      <c r="BH301" s="55"/>
      <c r="BI301" s="55"/>
      <c r="BJ301" s="55"/>
      <c r="BK301" s="55"/>
      <c r="BL301" s="55"/>
      <c r="BM301" s="55"/>
      <c r="BN301" s="55"/>
      <c r="BO301" s="55"/>
      <c r="BP301" s="55"/>
      <c r="BQ301" s="55"/>
      <c r="BR301" s="55"/>
      <c r="BS301" s="55"/>
    </row>
    <row r="302" spans="3:71" outlineLevel="1" x14ac:dyDescent="0.2">
      <c r="C302" s="11" t="s">
        <v>343</v>
      </c>
      <c r="J302" s="26"/>
      <c r="L302" s="55"/>
      <c r="M302" s="55"/>
      <c r="N302" s="55"/>
      <c r="O302" s="55"/>
      <c r="P302" s="55"/>
      <c r="Q302" s="55"/>
      <c r="R302" s="55"/>
      <c r="S302" s="55"/>
      <c r="T302" s="55"/>
      <c r="U302" s="55"/>
      <c r="V302" s="55"/>
      <c r="W302" s="55"/>
      <c r="X302" s="55"/>
      <c r="Y302" s="55"/>
      <c r="Z302" s="55"/>
      <c r="AA302" s="55"/>
      <c r="AB302" s="55"/>
      <c r="AC302" s="55"/>
      <c r="AD302" s="55"/>
      <c r="AE302" s="55"/>
      <c r="AF302" s="55"/>
      <c r="AG302" s="55"/>
      <c r="AH302" s="55"/>
      <c r="AI302" s="55"/>
      <c r="AJ302" s="55"/>
      <c r="AK302" s="55"/>
      <c r="AL302" s="55"/>
      <c r="AM302" s="55"/>
      <c r="AN302" s="55"/>
      <c r="AO302" s="55"/>
      <c r="AP302" s="55"/>
      <c r="AQ302" s="55"/>
      <c r="AR302" s="55"/>
      <c r="AS302" s="55"/>
      <c r="AT302" s="55"/>
      <c r="AU302" s="55"/>
      <c r="AV302" s="55"/>
      <c r="AW302" s="55"/>
      <c r="AX302" s="55"/>
      <c r="AY302" s="55"/>
      <c r="AZ302" s="55"/>
      <c r="BA302" s="55"/>
      <c r="BB302" s="55"/>
      <c r="BC302" s="55"/>
      <c r="BD302" s="55"/>
      <c r="BE302" s="55"/>
      <c r="BF302" s="55"/>
      <c r="BG302" s="55"/>
      <c r="BH302" s="55"/>
      <c r="BI302" s="55"/>
      <c r="BJ302" s="55"/>
      <c r="BK302" s="55"/>
      <c r="BL302" s="55"/>
      <c r="BM302" s="55"/>
      <c r="BN302" s="55"/>
      <c r="BO302" s="55"/>
      <c r="BP302" s="55"/>
      <c r="BQ302" s="55"/>
      <c r="BR302" s="55"/>
      <c r="BS302" s="55"/>
    </row>
    <row r="303" spans="3:71" outlineLevel="1" x14ac:dyDescent="0.2">
      <c r="D303" t="s">
        <v>116</v>
      </c>
      <c r="I303" s="30">
        <f t="shared" ref="I303:I305" ca="1" si="65">SUM($L303:$BS303)</f>
        <v>0</v>
      </c>
      <c r="J303" s="26" t="s">
        <v>148</v>
      </c>
      <c r="L303" s="49">
        <f ca="1">Loango_II!CA_ent_rev_gas*Loango_II!CA_IOC_WI</f>
        <v>0</v>
      </c>
      <c r="M303" s="49">
        <f ca="1">Loango_II!CA_ent_rev_gas*Loango_II!CA_IOC_WI</f>
        <v>0</v>
      </c>
      <c r="N303" s="49">
        <f ca="1">Loango_II!CA_ent_rev_gas*Loango_II!CA_IOC_WI</f>
        <v>0</v>
      </c>
      <c r="O303" s="49">
        <f ca="1">Loango_II!CA_ent_rev_gas*Loango_II!CA_IOC_WI</f>
        <v>0</v>
      </c>
      <c r="P303" s="49">
        <f ca="1">Loango_II!CA_ent_rev_gas*Loango_II!CA_IOC_WI</f>
        <v>0</v>
      </c>
      <c r="Q303" s="49">
        <f ca="1">Loango_II!CA_ent_rev_gas*Loango_II!CA_IOC_WI</f>
        <v>0</v>
      </c>
      <c r="R303" s="49">
        <f ca="1">Loango_II!CA_ent_rev_gas*Loango_II!CA_IOC_WI</f>
        <v>0</v>
      </c>
      <c r="S303" s="49">
        <f ca="1">Loango_II!CA_ent_rev_gas*Loango_II!CA_IOC_WI</f>
        <v>0</v>
      </c>
      <c r="T303" s="49">
        <f ca="1">Loango_II!CA_ent_rev_gas*Loango_II!CA_IOC_WI</f>
        <v>0</v>
      </c>
      <c r="U303" s="49">
        <f ca="1">Loango_II!CA_ent_rev_gas*Loango_II!CA_IOC_WI</f>
        <v>0</v>
      </c>
      <c r="V303" s="49">
        <f ca="1">Loango_II!CA_ent_rev_gas*Loango_II!CA_IOC_WI</f>
        <v>0</v>
      </c>
      <c r="W303" s="49">
        <f ca="1">Loango_II!CA_ent_rev_gas*Loango_II!CA_IOC_WI</f>
        <v>0</v>
      </c>
      <c r="X303" s="49">
        <f ca="1">Loango_II!CA_ent_rev_gas*Loango_II!CA_IOC_WI</f>
        <v>0</v>
      </c>
      <c r="Y303" s="49">
        <f ca="1">Loango_II!CA_ent_rev_gas*Loango_II!CA_IOC_WI</f>
        <v>0</v>
      </c>
      <c r="Z303" s="49">
        <f ca="1">Loango_II!CA_ent_rev_gas*Loango_II!CA_IOC_WI</f>
        <v>0</v>
      </c>
      <c r="AA303" s="49">
        <f ca="1">Loango_II!CA_ent_rev_gas*Loango_II!CA_IOC_WI</f>
        <v>0</v>
      </c>
      <c r="AB303" s="49">
        <f ca="1">Loango_II!CA_ent_rev_gas*Loango_II!CA_IOC_WI</f>
        <v>0</v>
      </c>
      <c r="AC303" s="49">
        <f ca="1">Loango_II!CA_ent_rev_gas*Loango_II!CA_IOC_WI</f>
        <v>0</v>
      </c>
      <c r="AD303" s="49">
        <f ca="1">Loango_II!CA_ent_rev_gas*Loango_II!CA_IOC_WI</f>
        <v>0</v>
      </c>
      <c r="AE303" s="49">
        <f ca="1">Loango_II!CA_ent_rev_gas*Loango_II!CA_IOC_WI</f>
        <v>0</v>
      </c>
      <c r="AF303" s="49">
        <f ca="1">Loango_II!CA_ent_rev_gas*Loango_II!CA_IOC_WI</f>
        <v>0</v>
      </c>
      <c r="AG303" s="49">
        <f ca="1">Loango_II!CA_ent_rev_gas*Loango_II!CA_IOC_WI</f>
        <v>0</v>
      </c>
      <c r="AH303" s="49">
        <f ca="1">Loango_II!CA_ent_rev_gas*Loango_II!CA_IOC_WI</f>
        <v>0</v>
      </c>
      <c r="AI303" s="49">
        <f ca="1">Loango_II!CA_ent_rev_gas*Loango_II!CA_IOC_WI</f>
        <v>0</v>
      </c>
      <c r="AJ303" s="49">
        <f ca="1">Loango_II!CA_ent_rev_gas*Loango_II!CA_IOC_WI</f>
        <v>0</v>
      </c>
      <c r="AK303" s="49">
        <f ca="1">Loango_II!CA_ent_rev_gas*Loango_II!CA_IOC_WI</f>
        <v>0</v>
      </c>
      <c r="AL303" s="49">
        <f ca="1">Loango_II!CA_ent_rev_gas*Loango_II!CA_IOC_WI</f>
        <v>0</v>
      </c>
      <c r="AM303" s="49">
        <f ca="1">Loango_II!CA_ent_rev_gas*Loango_II!CA_IOC_WI</f>
        <v>0</v>
      </c>
      <c r="AN303" s="49">
        <f ca="1">Loango_II!CA_ent_rev_gas*Loango_II!CA_IOC_WI</f>
        <v>0</v>
      </c>
      <c r="AO303" s="49">
        <f ca="1">Loango_II!CA_ent_rev_gas*Loango_II!CA_IOC_WI</f>
        <v>0</v>
      </c>
      <c r="AP303" s="49">
        <f ca="1">Loango_II!CA_ent_rev_gas*Loango_II!CA_IOC_WI</f>
        <v>0</v>
      </c>
      <c r="AQ303" s="49">
        <f ca="1">Loango_II!CA_ent_rev_gas*Loango_II!CA_IOC_WI</f>
        <v>0</v>
      </c>
      <c r="AR303" s="49">
        <f ca="1">Loango_II!CA_ent_rev_gas*Loango_II!CA_IOC_WI</f>
        <v>0</v>
      </c>
      <c r="AS303" s="49">
        <f ca="1">Loango_II!CA_ent_rev_gas*Loango_II!CA_IOC_WI</f>
        <v>0</v>
      </c>
      <c r="AT303" s="49">
        <f ca="1">Loango_II!CA_ent_rev_gas*Loango_II!CA_IOC_WI</f>
        <v>0</v>
      </c>
      <c r="AU303" s="49">
        <f ca="1">Loango_II!CA_ent_rev_gas*Loango_II!CA_IOC_WI</f>
        <v>0</v>
      </c>
      <c r="AV303" s="49">
        <f ca="1">Loango_II!CA_ent_rev_gas*Loango_II!CA_IOC_WI</f>
        <v>0</v>
      </c>
      <c r="AW303" s="49">
        <f ca="1">Loango_II!CA_ent_rev_gas*Loango_II!CA_IOC_WI</f>
        <v>0</v>
      </c>
      <c r="AX303" s="49">
        <f ca="1">Loango_II!CA_ent_rev_gas*Loango_II!CA_IOC_WI</f>
        <v>0</v>
      </c>
      <c r="AY303" s="49">
        <f ca="1">Loango_II!CA_ent_rev_gas*Loango_II!CA_IOC_WI</f>
        <v>0</v>
      </c>
      <c r="AZ303" s="49">
        <f ca="1">Loango_II!CA_ent_rev_gas*Loango_II!CA_IOC_WI</f>
        <v>0</v>
      </c>
      <c r="BA303" s="49">
        <f ca="1">Loango_II!CA_ent_rev_gas*Loango_II!CA_IOC_WI</f>
        <v>0</v>
      </c>
      <c r="BB303" s="49">
        <f ca="1">Loango_II!CA_ent_rev_gas*Loango_II!CA_IOC_WI</f>
        <v>0</v>
      </c>
      <c r="BC303" s="49">
        <f ca="1">Loango_II!CA_ent_rev_gas*Loango_II!CA_IOC_WI</f>
        <v>0</v>
      </c>
      <c r="BD303" s="49">
        <f ca="1">Loango_II!CA_ent_rev_gas*Loango_II!CA_IOC_WI</f>
        <v>0</v>
      </c>
      <c r="BE303" s="49">
        <f ca="1">Loango_II!CA_ent_rev_gas*Loango_II!CA_IOC_WI</f>
        <v>0</v>
      </c>
      <c r="BF303" s="49">
        <f ca="1">Loango_II!CA_ent_rev_gas*Loango_II!CA_IOC_WI</f>
        <v>0</v>
      </c>
      <c r="BG303" s="49">
        <f ca="1">Loango_II!CA_ent_rev_gas*Loango_II!CA_IOC_WI</f>
        <v>0</v>
      </c>
      <c r="BH303" s="49">
        <f ca="1">Loango_II!CA_ent_rev_gas*Loango_II!CA_IOC_WI</f>
        <v>0</v>
      </c>
      <c r="BI303" s="49">
        <f ca="1">Loango_II!CA_ent_rev_gas*Loango_II!CA_IOC_WI</f>
        <v>0</v>
      </c>
      <c r="BJ303" s="49">
        <f ca="1">Loango_II!CA_ent_rev_gas*Loango_II!CA_IOC_WI</f>
        <v>0</v>
      </c>
      <c r="BK303" s="49">
        <f ca="1">Loango_II!CA_ent_rev_gas*Loango_II!CA_IOC_WI</f>
        <v>0</v>
      </c>
      <c r="BL303" s="49">
        <f ca="1">Loango_II!CA_ent_rev_gas*Loango_II!CA_IOC_WI</f>
        <v>0</v>
      </c>
      <c r="BM303" s="49">
        <f ca="1">Loango_II!CA_ent_rev_gas*Loango_II!CA_IOC_WI</f>
        <v>0</v>
      </c>
      <c r="BN303" s="49">
        <f ca="1">Loango_II!CA_ent_rev_gas*Loango_II!CA_IOC_WI</f>
        <v>0</v>
      </c>
      <c r="BO303" s="49">
        <f ca="1">Loango_II!CA_ent_rev_gas*Loango_II!CA_IOC_WI</f>
        <v>0</v>
      </c>
      <c r="BP303" s="49">
        <f ca="1">Loango_II!CA_ent_rev_gas*Loango_II!CA_IOC_WI</f>
        <v>0</v>
      </c>
      <c r="BQ303" s="49">
        <f ca="1">Loango_II!CA_ent_rev_gas*Loango_II!CA_IOC_WI</f>
        <v>0</v>
      </c>
      <c r="BR303" s="49">
        <f ca="1">Loango_II!CA_ent_rev_gas*Loango_II!CA_IOC_WI</f>
        <v>0</v>
      </c>
      <c r="BS303" s="49">
        <f ca="1">Loango_II!CA_ent_rev_gas*Loango_II!CA_IOC_WI</f>
        <v>0</v>
      </c>
    </row>
    <row r="304" spans="3:71" outlineLevel="1" x14ac:dyDescent="0.2">
      <c r="D304" t="s">
        <v>339</v>
      </c>
      <c r="I304" s="30">
        <f t="shared" ca="1" si="65"/>
        <v>0</v>
      </c>
      <c r="J304" s="26" t="s">
        <v>148</v>
      </c>
      <c r="L304" s="49">
        <f ca="1">Loango_II!CA_ent_rev_gas*Loango_II!CA_NOC_WI</f>
        <v>0</v>
      </c>
      <c r="M304" s="49">
        <f ca="1">Loango_II!CA_ent_rev_gas*Loango_II!CA_NOC_WI</f>
        <v>0</v>
      </c>
      <c r="N304" s="49">
        <f ca="1">Loango_II!CA_ent_rev_gas*Loango_II!CA_NOC_WI</f>
        <v>0</v>
      </c>
      <c r="O304" s="49">
        <f ca="1">Loango_II!CA_ent_rev_gas*Loango_II!CA_NOC_WI</f>
        <v>0</v>
      </c>
      <c r="P304" s="49">
        <f ca="1">Loango_II!CA_ent_rev_gas*Loango_II!CA_NOC_WI</f>
        <v>0</v>
      </c>
      <c r="Q304" s="49">
        <f ca="1">Loango_II!CA_ent_rev_gas*Loango_II!CA_NOC_WI</f>
        <v>0</v>
      </c>
      <c r="R304" s="49">
        <f ca="1">Loango_II!CA_ent_rev_gas*Loango_II!CA_NOC_WI</f>
        <v>0</v>
      </c>
      <c r="S304" s="49">
        <f ca="1">Loango_II!CA_ent_rev_gas*Loango_II!CA_NOC_WI</f>
        <v>0</v>
      </c>
      <c r="T304" s="49">
        <f ca="1">Loango_II!CA_ent_rev_gas*Loango_II!CA_NOC_WI</f>
        <v>0</v>
      </c>
      <c r="U304" s="49">
        <f ca="1">Loango_II!CA_ent_rev_gas*Loango_II!CA_NOC_WI</f>
        <v>0</v>
      </c>
      <c r="V304" s="49">
        <f ca="1">Loango_II!CA_ent_rev_gas*Loango_II!CA_NOC_WI</f>
        <v>0</v>
      </c>
      <c r="W304" s="49">
        <f ca="1">Loango_II!CA_ent_rev_gas*Loango_II!CA_NOC_WI</f>
        <v>0</v>
      </c>
      <c r="X304" s="49">
        <f ca="1">Loango_II!CA_ent_rev_gas*Loango_II!CA_NOC_WI</f>
        <v>0</v>
      </c>
      <c r="Y304" s="49">
        <f ca="1">Loango_II!CA_ent_rev_gas*Loango_II!CA_NOC_WI</f>
        <v>0</v>
      </c>
      <c r="Z304" s="49">
        <f ca="1">Loango_II!CA_ent_rev_gas*Loango_II!CA_NOC_WI</f>
        <v>0</v>
      </c>
      <c r="AA304" s="49">
        <f ca="1">Loango_II!CA_ent_rev_gas*Loango_II!CA_NOC_WI</f>
        <v>0</v>
      </c>
      <c r="AB304" s="49">
        <f ca="1">Loango_II!CA_ent_rev_gas*Loango_II!CA_NOC_WI</f>
        <v>0</v>
      </c>
      <c r="AC304" s="49">
        <f ca="1">Loango_II!CA_ent_rev_gas*Loango_II!CA_NOC_WI</f>
        <v>0</v>
      </c>
      <c r="AD304" s="49">
        <f ca="1">Loango_II!CA_ent_rev_gas*Loango_II!CA_NOC_WI</f>
        <v>0</v>
      </c>
      <c r="AE304" s="49">
        <f ca="1">Loango_II!CA_ent_rev_gas*Loango_II!CA_NOC_WI</f>
        <v>0</v>
      </c>
      <c r="AF304" s="49">
        <f ca="1">Loango_II!CA_ent_rev_gas*Loango_II!CA_NOC_WI</f>
        <v>0</v>
      </c>
      <c r="AG304" s="49">
        <f ca="1">Loango_II!CA_ent_rev_gas*Loango_II!CA_NOC_WI</f>
        <v>0</v>
      </c>
      <c r="AH304" s="49">
        <f ca="1">Loango_II!CA_ent_rev_gas*Loango_II!CA_NOC_WI</f>
        <v>0</v>
      </c>
      <c r="AI304" s="49">
        <f ca="1">Loango_II!CA_ent_rev_gas*Loango_II!CA_NOC_WI</f>
        <v>0</v>
      </c>
      <c r="AJ304" s="49">
        <f ca="1">Loango_II!CA_ent_rev_gas*Loango_II!CA_NOC_WI</f>
        <v>0</v>
      </c>
      <c r="AK304" s="49">
        <f ca="1">Loango_II!CA_ent_rev_gas*Loango_II!CA_NOC_WI</f>
        <v>0</v>
      </c>
      <c r="AL304" s="49">
        <f ca="1">Loango_II!CA_ent_rev_gas*Loango_II!CA_NOC_WI</f>
        <v>0</v>
      </c>
      <c r="AM304" s="49">
        <f ca="1">Loango_II!CA_ent_rev_gas*Loango_II!CA_NOC_WI</f>
        <v>0</v>
      </c>
      <c r="AN304" s="49">
        <f ca="1">Loango_II!CA_ent_rev_gas*Loango_II!CA_NOC_WI</f>
        <v>0</v>
      </c>
      <c r="AO304" s="49">
        <f ca="1">Loango_II!CA_ent_rev_gas*Loango_II!CA_NOC_WI</f>
        <v>0</v>
      </c>
      <c r="AP304" s="49">
        <f ca="1">Loango_II!CA_ent_rev_gas*Loango_II!CA_NOC_WI</f>
        <v>0</v>
      </c>
      <c r="AQ304" s="49">
        <f ca="1">Loango_II!CA_ent_rev_gas*Loango_II!CA_NOC_WI</f>
        <v>0</v>
      </c>
      <c r="AR304" s="49">
        <f ca="1">Loango_II!CA_ent_rev_gas*Loango_II!CA_NOC_WI</f>
        <v>0</v>
      </c>
      <c r="AS304" s="49">
        <f ca="1">Loango_II!CA_ent_rev_gas*Loango_II!CA_NOC_WI</f>
        <v>0</v>
      </c>
      <c r="AT304" s="49">
        <f ca="1">Loango_II!CA_ent_rev_gas*Loango_II!CA_NOC_WI</f>
        <v>0</v>
      </c>
      <c r="AU304" s="49">
        <f ca="1">Loango_II!CA_ent_rev_gas*Loango_II!CA_NOC_WI</f>
        <v>0</v>
      </c>
      <c r="AV304" s="49">
        <f ca="1">Loango_II!CA_ent_rev_gas*Loango_II!CA_NOC_WI</f>
        <v>0</v>
      </c>
      <c r="AW304" s="49">
        <f ca="1">Loango_II!CA_ent_rev_gas*Loango_II!CA_NOC_WI</f>
        <v>0</v>
      </c>
      <c r="AX304" s="49">
        <f ca="1">Loango_II!CA_ent_rev_gas*Loango_II!CA_NOC_WI</f>
        <v>0</v>
      </c>
      <c r="AY304" s="49">
        <f ca="1">Loango_II!CA_ent_rev_gas*Loango_II!CA_NOC_WI</f>
        <v>0</v>
      </c>
      <c r="AZ304" s="49">
        <f ca="1">Loango_II!CA_ent_rev_gas*Loango_II!CA_NOC_WI</f>
        <v>0</v>
      </c>
      <c r="BA304" s="49">
        <f ca="1">Loango_II!CA_ent_rev_gas*Loango_II!CA_NOC_WI</f>
        <v>0</v>
      </c>
      <c r="BB304" s="49">
        <f ca="1">Loango_II!CA_ent_rev_gas*Loango_II!CA_NOC_WI</f>
        <v>0</v>
      </c>
      <c r="BC304" s="49">
        <f ca="1">Loango_II!CA_ent_rev_gas*Loango_II!CA_NOC_WI</f>
        <v>0</v>
      </c>
      <c r="BD304" s="49">
        <f ca="1">Loango_II!CA_ent_rev_gas*Loango_II!CA_NOC_WI</f>
        <v>0</v>
      </c>
      <c r="BE304" s="49">
        <f ca="1">Loango_II!CA_ent_rev_gas*Loango_II!CA_NOC_WI</f>
        <v>0</v>
      </c>
      <c r="BF304" s="49">
        <f ca="1">Loango_II!CA_ent_rev_gas*Loango_II!CA_NOC_WI</f>
        <v>0</v>
      </c>
      <c r="BG304" s="49">
        <f ca="1">Loango_II!CA_ent_rev_gas*Loango_II!CA_NOC_WI</f>
        <v>0</v>
      </c>
      <c r="BH304" s="49">
        <f ca="1">Loango_II!CA_ent_rev_gas*Loango_II!CA_NOC_WI</f>
        <v>0</v>
      </c>
      <c r="BI304" s="49">
        <f ca="1">Loango_II!CA_ent_rev_gas*Loango_II!CA_NOC_WI</f>
        <v>0</v>
      </c>
      <c r="BJ304" s="49">
        <f ca="1">Loango_II!CA_ent_rev_gas*Loango_II!CA_NOC_WI</f>
        <v>0</v>
      </c>
      <c r="BK304" s="49">
        <f ca="1">Loango_II!CA_ent_rev_gas*Loango_II!CA_NOC_WI</f>
        <v>0</v>
      </c>
      <c r="BL304" s="49">
        <f ca="1">Loango_II!CA_ent_rev_gas*Loango_II!CA_NOC_WI</f>
        <v>0</v>
      </c>
      <c r="BM304" s="49">
        <f ca="1">Loango_II!CA_ent_rev_gas*Loango_II!CA_NOC_WI</f>
        <v>0</v>
      </c>
      <c r="BN304" s="49">
        <f ca="1">Loango_II!CA_ent_rev_gas*Loango_II!CA_NOC_WI</f>
        <v>0</v>
      </c>
      <c r="BO304" s="49">
        <f ca="1">Loango_II!CA_ent_rev_gas*Loango_II!CA_NOC_WI</f>
        <v>0</v>
      </c>
      <c r="BP304" s="49">
        <f ca="1">Loango_II!CA_ent_rev_gas*Loango_II!CA_NOC_WI</f>
        <v>0</v>
      </c>
      <c r="BQ304" s="49">
        <f ca="1">Loango_II!CA_ent_rev_gas*Loango_II!CA_NOC_WI</f>
        <v>0</v>
      </c>
      <c r="BR304" s="49">
        <f ca="1">Loango_II!CA_ent_rev_gas*Loango_II!CA_NOC_WI</f>
        <v>0</v>
      </c>
      <c r="BS304" s="49">
        <f ca="1">Loango_II!CA_ent_rev_gas*Loango_II!CA_NOC_WI</f>
        <v>0</v>
      </c>
    </row>
    <row r="305" spans="3:71" outlineLevel="1" x14ac:dyDescent="0.2">
      <c r="D305" s="11" t="s">
        <v>129</v>
      </c>
      <c r="I305" s="30">
        <f t="shared" ca="1" si="65"/>
        <v>0</v>
      </c>
      <c r="J305" s="26" t="s">
        <v>148</v>
      </c>
      <c r="L305" s="49">
        <f ca="1">SUM(L303:L304)</f>
        <v>0</v>
      </c>
      <c r="M305" s="49">
        <f t="shared" ref="M305:BS305" ca="1" si="66">SUM(M303:M304)</f>
        <v>0</v>
      </c>
      <c r="N305" s="49">
        <f t="shared" ca="1" si="66"/>
        <v>0</v>
      </c>
      <c r="O305" s="49">
        <f t="shared" ca="1" si="66"/>
        <v>0</v>
      </c>
      <c r="P305" s="49">
        <f t="shared" ca="1" si="66"/>
        <v>0</v>
      </c>
      <c r="Q305" s="49">
        <f t="shared" ca="1" si="66"/>
        <v>0</v>
      </c>
      <c r="R305" s="49">
        <f t="shared" ca="1" si="66"/>
        <v>0</v>
      </c>
      <c r="S305" s="49">
        <f t="shared" ca="1" si="66"/>
        <v>0</v>
      </c>
      <c r="T305" s="49">
        <f t="shared" ca="1" si="66"/>
        <v>0</v>
      </c>
      <c r="U305" s="49">
        <f t="shared" ca="1" si="66"/>
        <v>0</v>
      </c>
      <c r="V305" s="49">
        <f t="shared" ca="1" si="66"/>
        <v>0</v>
      </c>
      <c r="W305" s="49">
        <f t="shared" ca="1" si="66"/>
        <v>0</v>
      </c>
      <c r="X305" s="49">
        <f t="shared" ca="1" si="66"/>
        <v>0</v>
      </c>
      <c r="Y305" s="49">
        <f t="shared" ca="1" si="66"/>
        <v>0</v>
      </c>
      <c r="Z305" s="49">
        <f t="shared" ca="1" si="66"/>
        <v>0</v>
      </c>
      <c r="AA305" s="49">
        <f t="shared" ca="1" si="66"/>
        <v>0</v>
      </c>
      <c r="AB305" s="49">
        <f t="shared" ca="1" si="66"/>
        <v>0</v>
      </c>
      <c r="AC305" s="49">
        <f t="shared" ca="1" si="66"/>
        <v>0</v>
      </c>
      <c r="AD305" s="49">
        <f t="shared" ca="1" si="66"/>
        <v>0</v>
      </c>
      <c r="AE305" s="49">
        <f t="shared" ca="1" si="66"/>
        <v>0</v>
      </c>
      <c r="AF305" s="49">
        <f t="shared" ca="1" si="66"/>
        <v>0</v>
      </c>
      <c r="AG305" s="49">
        <f t="shared" ca="1" si="66"/>
        <v>0</v>
      </c>
      <c r="AH305" s="49">
        <f t="shared" ca="1" si="66"/>
        <v>0</v>
      </c>
      <c r="AI305" s="49">
        <f t="shared" ca="1" si="66"/>
        <v>0</v>
      </c>
      <c r="AJ305" s="49">
        <f t="shared" ca="1" si="66"/>
        <v>0</v>
      </c>
      <c r="AK305" s="49">
        <f t="shared" ca="1" si="66"/>
        <v>0</v>
      </c>
      <c r="AL305" s="49">
        <f t="shared" ca="1" si="66"/>
        <v>0</v>
      </c>
      <c r="AM305" s="49">
        <f t="shared" ca="1" si="66"/>
        <v>0</v>
      </c>
      <c r="AN305" s="49">
        <f t="shared" ca="1" si="66"/>
        <v>0</v>
      </c>
      <c r="AO305" s="49">
        <f t="shared" ca="1" si="66"/>
        <v>0</v>
      </c>
      <c r="AP305" s="49">
        <f t="shared" ca="1" si="66"/>
        <v>0</v>
      </c>
      <c r="AQ305" s="49">
        <f t="shared" ca="1" si="66"/>
        <v>0</v>
      </c>
      <c r="AR305" s="49">
        <f t="shared" ca="1" si="66"/>
        <v>0</v>
      </c>
      <c r="AS305" s="49">
        <f t="shared" ca="1" si="66"/>
        <v>0</v>
      </c>
      <c r="AT305" s="49">
        <f t="shared" ca="1" si="66"/>
        <v>0</v>
      </c>
      <c r="AU305" s="49">
        <f t="shared" ca="1" si="66"/>
        <v>0</v>
      </c>
      <c r="AV305" s="49">
        <f t="shared" ca="1" si="66"/>
        <v>0</v>
      </c>
      <c r="AW305" s="49">
        <f t="shared" ca="1" si="66"/>
        <v>0</v>
      </c>
      <c r="AX305" s="49">
        <f t="shared" ca="1" si="66"/>
        <v>0</v>
      </c>
      <c r="AY305" s="49">
        <f t="shared" ca="1" si="66"/>
        <v>0</v>
      </c>
      <c r="AZ305" s="49">
        <f t="shared" ca="1" si="66"/>
        <v>0</v>
      </c>
      <c r="BA305" s="49">
        <f t="shared" ca="1" si="66"/>
        <v>0</v>
      </c>
      <c r="BB305" s="49">
        <f t="shared" ca="1" si="66"/>
        <v>0</v>
      </c>
      <c r="BC305" s="49">
        <f t="shared" ca="1" si="66"/>
        <v>0</v>
      </c>
      <c r="BD305" s="49">
        <f t="shared" ca="1" si="66"/>
        <v>0</v>
      </c>
      <c r="BE305" s="49">
        <f t="shared" ca="1" si="66"/>
        <v>0</v>
      </c>
      <c r="BF305" s="49">
        <f t="shared" ca="1" si="66"/>
        <v>0</v>
      </c>
      <c r="BG305" s="49">
        <f t="shared" ca="1" si="66"/>
        <v>0</v>
      </c>
      <c r="BH305" s="49">
        <f t="shared" ca="1" si="66"/>
        <v>0</v>
      </c>
      <c r="BI305" s="49">
        <f t="shared" ca="1" si="66"/>
        <v>0</v>
      </c>
      <c r="BJ305" s="49">
        <f t="shared" ca="1" si="66"/>
        <v>0</v>
      </c>
      <c r="BK305" s="49">
        <f t="shared" ca="1" si="66"/>
        <v>0</v>
      </c>
      <c r="BL305" s="49">
        <f t="shared" ca="1" si="66"/>
        <v>0</v>
      </c>
      <c r="BM305" s="49">
        <f t="shared" ca="1" si="66"/>
        <v>0</v>
      </c>
      <c r="BN305" s="49">
        <f t="shared" ca="1" si="66"/>
        <v>0</v>
      </c>
      <c r="BO305" s="49">
        <f t="shared" ca="1" si="66"/>
        <v>0</v>
      </c>
      <c r="BP305" s="49">
        <f t="shared" ca="1" si="66"/>
        <v>0</v>
      </c>
      <c r="BQ305" s="49">
        <f t="shared" ca="1" si="66"/>
        <v>0</v>
      </c>
      <c r="BR305" s="49">
        <f t="shared" ca="1" si="66"/>
        <v>0</v>
      </c>
      <c r="BS305" s="49">
        <f t="shared" ca="1" si="66"/>
        <v>0</v>
      </c>
    </row>
    <row r="306" spans="3:71" outlineLevel="1" x14ac:dyDescent="0.2">
      <c r="J306" s="26"/>
      <c r="L306" s="55"/>
      <c r="M306" s="55"/>
      <c r="N306" s="55"/>
      <c r="O306" s="55"/>
      <c r="P306" s="55"/>
      <c r="Q306" s="55"/>
      <c r="R306" s="55"/>
      <c r="S306" s="55"/>
      <c r="T306" s="55"/>
      <c r="U306" s="55"/>
      <c r="V306" s="55"/>
      <c r="W306" s="55"/>
      <c r="X306" s="55"/>
      <c r="Y306" s="55"/>
      <c r="Z306" s="55"/>
      <c r="AA306" s="55"/>
      <c r="AB306" s="55"/>
      <c r="AC306" s="55"/>
      <c r="AD306" s="55"/>
      <c r="AE306" s="55"/>
      <c r="AF306" s="55"/>
      <c r="AG306" s="55"/>
      <c r="AH306" s="55"/>
      <c r="AI306" s="55"/>
      <c r="AJ306" s="55"/>
      <c r="AK306" s="55"/>
      <c r="AL306" s="55"/>
      <c r="AM306" s="55"/>
      <c r="AN306" s="55"/>
      <c r="AO306" s="55"/>
      <c r="AP306" s="55"/>
      <c r="AQ306" s="55"/>
      <c r="AR306" s="55"/>
      <c r="AS306" s="55"/>
      <c r="AT306" s="55"/>
      <c r="AU306" s="55"/>
      <c r="AV306" s="55"/>
      <c r="AW306" s="55"/>
      <c r="AX306" s="55"/>
      <c r="AY306" s="55"/>
      <c r="AZ306" s="55"/>
      <c r="BA306" s="55"/>
      <c r="BB306" s="55"/>
      <c r="BC306" s="55"/>
      <c r="BD306" s="55"/>
      <c r="BE306" s="55"/>
      <c r="BF306" s="55"/>
      <c r="BG306" s="55"/>
      <c r="BH306" s="55"/>
      <c r="BI306" s="55"/>
      <c r="BJ306" s="55"/>
      <c r="BK306" s="55"/>
      <c r="BL306" s="55"/>
      <c r="BM306" s="55"/>
      <c r="BN306" s="55"/>
      <c r="BO306" s="55"/>
      <c r="BP306" s="55"/>
      <c r="BQ306" s="55"/>
      <c r="BR306" s="55"/>
      <c r="BS306" s="55"/>
    </row>
    <row r="307" spans="3:71" outlineLevel="1" x14ac:dyDescent="0.2">
      <c r="C307" s="11" t="s">
        <v>344</v>
      </c>
      <c r="J307" s="26"/>
      <c r="L307" s="55"/>
      <c r="M307" s="55"/>
      <c r="N307" s="55"/>
      <c r="O307" s="55"/>
      <c r="P307" s="55"/>
      <c r="Q307" s="55"/>
      <c r="R307" s="55"/>
      <c r="S307" s="55"/>
      <c r="T307" s="55"/>
      <c r="U307" s="55"/>
      <c r="V307" s="55"/>
      <c r="W307" s="55"/>
      <c r="X307" s="55"/>
      <c r="Y307" s="55"/>
      <c r="Z307" s="55"/>
      <c r="AA307" s="55"/>
      <c r="AB307" s="55"/>
      <c r="AC307" s="55"/>
      <c r="AD307" s="55"/>
      <c r="AE307" s="55"/>
      <c r="AF307" s="55"/>
      <c r="AG307" s="55"/>
      <c r="AH307" s="55"/>
      <c r="AI307" s="55"/>
      <c r="AJ307" s="55"/>
      <c r="AK307" s="55"/>
      <c r="AL307" s="55"/>
      <c r="AM307" s="55"/>
      <c r="AN307" s="55"/>
      <c r="AO307" s="55"/>
      <c r="AP307" s="55"/>
      <c r="AQ307" s="55"/>
      <c r="AR307" s="55"/>
      <c r="AS307" s="55"/>
      <c r="AT307" s="55"/>
      <c r="AU307" s="55"/>
      <c r="AV307" s="55"/>
      <c r="AW307" s="55"/>
      <c r="AX307" s="55"/>
      <c r="AY307" s="55"/>
      <c r="AZ307" s="55"/>
      <c r="BA307" s="55"/>
      <c r="BB307" s="55"/>
      <c r="BC307" s="55"/>
      <c r="BD307" s="55"/>
      <c r="BE307" s="55"/>
      <c r="BF307" s="55"/>
      <c r="BG307" s="55"/>
      <c r="BH307" s="55"/>
      <c r="BI307" s="55"/>
      <c r="BJ307" s="55"/>
      <c r="BK307" s="55"/>
      <c r="BL307" s="55"/>
      <c r="BM307" s="55"/>
      <c r="BN307" s="55"/>
      <c r="BO307" s="55"/>
      <c r="BP307" s="55"/>
      <c r="BQ307" s="55"/>
      <c r="BR307" s="55"/>
      <c r="BS307" s="55"/>
    </row>
    <row r="308" spans="3:71" outlineLevel="1" x14ac:dyDescent="0.2">
      <c r="D308" t="s">
        <v>116</v>
      </c>
      <c r="I308" s="30">
        <f t="shared" ref="I308:I310" ca="1" si="67">SUM($L308:$BS308)</f>
        <v>93.222789158049309</v>
      </c>
      <c r="J308" s="26" t="s">
        <v>88</v>
      </c>
      <c r="L308" s="49">
        <f ca="1">L289*Loango_II!CA_IOC_WI</f>
        <v>4.2209238070335333</v>
      </c>
      <c r="M308" s="49">
        <f ca="1">M289*Loango_II!CA_IOC_WI</f>
        <v>4.623598007563154</v>
      </c>
      <c r="N308" s="49">
        <f ca="1">N289*Loango_II!CA_IOC_WI</f>
        <v>3.6430487970577876</v>
      </c>
      <c r="O308" s="49">
        <f ca="1">O289*Loango_II!CA_IOC_WI</f>
        <v>4.0599130891217845</v>
      </c>
      <c r="P308" s="49">
        <f ca="1">P289*Loango_II!CA_IOC_WI</f>
        <v>8.4009552012516373</v>
      </c>
      <c r="Q308" s="49">
        <f ca="1">Q289*Loango_II!CA_IOC_WI</f>
        <v>13.250078460977175</v>
      </c>
      <c r="R308" s="49">
        <f ca="1">R289*Loango_II!CA_IOC_WI</f>
        <v>9.8969389774959833</v>
      </c>
      <c r="S308" s="49">
        <f ca="1">S289*Loango_II!CA_IOC_WI</f>
        <v>9.6291851171040719</v>
      </c>
      <c r="T308" s="49">
        <f ca="1">T289*Loango_II!CA_IOC_WI</f>
        <v>8.4869905542969342</v>
      </c>
      <c r="U308" s="49">
        <f ca="1">U289*Loango_II!CA_IOC_WI</f>
        <v>7.873086673860012</v>
      </c>
      <c r="V308" s="49">
        <f ca="1">V289*Loango_II!CA_IOC_WI</f>
        <v>7.3219706066898098</v>
      </c>
      <c r="W308" s="49">
        <f ca="1">W289*Loango_II!CA_IOC_WI</f>
        <v>6.130402651936576</v>
      </c>
      <c r="X308" s="49">
        <f ca="1">X289*Loango_II!CA_IOC_WI</f>
        <v>5.6856972136608483</v>
      </c>
      <c r="Y308" s="49">
        <f ca="1">Y289*Loango_II!CA_IOC_WI</f>
        <v>0</v>
      </c>
      <c r="Z308" s="49">
        <f ca="1">Z289*Loango_II!CA_IOC_WI</f>
        <v>0</v>
      </c>
      <c r="AA308" s="49">
        <f ca="1">AA289*Loango_II!CA_IOC_WI</f>
        <v>0</v>
      </c>
      <c r="AB308" s="49">
        <f ca="1">AB289*Loango_II!CA_IOC_WI</f>
        <v>0</v>
      </c>
      <c r="AC308" s="49">
        <f ca="1">AC289*Loango_II!CA_IOC_WI</f>
        <v>0</v>
      </c>
      <c r="AD308" s="49">
        <f ca="1">AD289*Loango_II!CA_IOC_WI</f>
        <v>0</v>
      </c>
      <c r="AE308" s="49">
        <f ca="1">AE289*Loango_II!CA_IOC_WI</f>
        <v>0</v>
      </c>
      <c r="AF308" s="49">
        <f ca="1">AF289*Loango_II!CA_IOC_WI</f>
        <v>0</v>
      </c>
      <c r="AG308" s="49">
        <f ca="1">AG289*Loango_II!CA_IOC_WI</f>
        <v>0</v>
      </c>
      <c r="AH308" s="49">
        <f ca="1">AH289*Loango_II!CA_IOC_WI</f>
        <v>0</v>
      </c>
      <c r="AI308" s="49">
        <f ca="1">AI289*Loango_II!CA_IOC_WI</f>
        <v>0</v>
      </c>
      <c r="AJ308" s="49">
        <f ca="1">AJ289*Loango_II!CA_IOC_WI</f>
        <v>0</v>
      </c>
      <c r="AK308" s="49">
        <f ca="1">AK289*Loango_II!CA_IOC_WI</f>
        <v>0</v>
      </c>
      <c r="AL308" s="49">
        <f ca="1">AL289*Loango_II!CA_IOC_WI</f>
        <v>0</v>
      </c>
      <c r="AM308" s="49">
        <f ca="1">AM289*Loango_II!CA_IOC_WI</f>
        <v>0</v>
      </c>
      <c r="AN308" s="49">
        <f ca="1">AN289*Loango_II!CA_IOC_WI</f>
        <v>0</v>
      </c>
      <c r="AO308" s="49">
        <f ca="1">AO289*Loango_II!CA_IOC_WI</f>
        <v>0</v>
      </c>
      <c r="AP308" s="49">
        <f ca="1">AP289*Loango_II!CA_IOC_WI</f>
        <v>0</v>
      </c>
      <c r="AQ308" s="49">
        <f ca="1">AQ289*Loango_II!CA_IOC_WI</f>
        <v>0</v>
      </c>
      <c r="AR308" s="49">
        <f ca="1">AR289*Loango_II!CA_IOC_WI</f>
        <v>0</v>
      </c>
      <c r="AS308" s="49">
        <f ca="1">AS289*Loango_II!CA_IOC_WI</f>
        <v>0</v>
      </c>
      <c r="AT308" s="49">
        <f ca="1">AT289*Loango_II!CA_IOC_WI</f>
        <v>0</v>
      </c>
      <c r="AU308" s="49">
        <f ca="1">AU289*Loango_II!CA_IOC_WI</f>
        <v>0</v>
      </c>
      <c r="AV308" s="49">
        <f ca="1">AV289*Loango_II!CA_IOC_WI</f>
        <v>0</v>
      </c>
      <c r="AW308" s="49">
        <f ca="1">AW289*Loango_II!CA_IOC_WI</f>
        <v>0</v>
      </c>
      <c r="AX308" s="49">
        <f ca="1">AX289*Loango_II!CA_IOC_WI</f>
        <v>0</v>
      </c>
      <c r="AY308" s="49">
        <f ca="1">AY289*Loango_II!CA_IOC_WI</f>
        <v>0</v>
      </c>
      <c r="AZ308" s="49">
        <f ca="1">AZ289*Loango_II!CA_IOC_WI</f>
        <v>0</v>
      </c>
      <c r="BA308" s="49">
        <f ca="1">BA289*Loango_II!CA_IOC_WI</f>
        <v>0</v>
      </c>
      <c r="BB308" s="49">
        <f ca="1">BB289*Loango_II!CA_IOC_WI</f>
        <v>0</v>
      </c>
      <c r="BC308" s="49">
        <f ca="1">BC289*Loango_II!CA_IOC_WI</f>
        <v>0</v>
      </c>
      <c r="BD308" s="49">
        <f ca="1">BD289*Loango_II!CA_IOC_WI</f>
        <v>0</v>
      </c>
      <c r="BE308" s="49">
        <f ca="1">BE289*Loango_II!CA_IOC_WI</f>
        <v>0</v>
      </c>
      <c r="BF308" s="49">
        <f ca="1">BF289*Loango_II!CA_IOC_WI</f>
        <v>0</v>
      </c>
      <c r="BG308" s="49">
        <f ca="1">BG289*Loango_II!CA_IOC_WI</f>
        <v>0</v>
      </c>
      <c r="BH308" s="49">
        <f ca="1">BH289*Loango_II!CA_IOC_WI</f>
        <v>0</v>
      </c>
      <c r="BI308" s="49">
        <f ca="1">BI289*Loango_II!CA_IOC_WI</f>
        <v>0</v>
      </c>
      <c r="BJ308" s="49">
        <f ca="1">BJ289*Loango_II!CA_IOC_WI</f>
        <v>0</v>
      </c>
      <c r="BK308" s="49">
        <f ca="1">BK289*Loango_II!CA_IOC_WI</f>
        <v>0</v>
      </c>
      <c r="BL308" s="49">
        <f ca="1">BL289*Loango_II!CA_IOC_WI</f>
        <v>0</v>
      </c>
      <c r="BM308" s="49">
        <f ca="1">BM289*Loango_II!CA_IOC_WI</f>
        <v>0</v>
      </c>
      <c r="BN308" s="49">
        <f ca="1">BN289*Loango_II!CA_IOC_WI</f>
        <v>0</v>
      </c>
      <c r="BO308" s="49">
        <f ca="1">BO289*Loango_II!CA_IOC_WI</f>
        <v>0</v>
      </c>
      <c r="BP308" s="49">
        <f ca="1">BP289*Loango_II!CA_IOC_WI</f>
        <v>0</v>
      </c>
      <c r="BQ308" s="49">
        <f ca="1">BQ289*Loango_II!CA_IOC_WI</f>
        <v>0</v>
      </c>
      <c r="BR308" s="49">
        <f ca="1">BR289*Loango_II!CA_IOC_WI</f>
        <v>0</v>
      </c>
      <c r="BS308" s="49">
        <f ca="1">BS289*Loango_II!CA_IOC_WI</f>
        <v>0</v>
      </c>
    </row>
    <row r="309" spans="3:71" outlineLevel="1" x14ac:dyDescent="0.2">
      <c r="D309" t="s">
        <v>339</v>
      </c>
      <c r="I309" s="30">
        <f t="shared" ca="1" si="67"/>
        <v>10.3580876842277</v>
      </c>
      <c r="J309" s="26" t="s">
        <v>88</v>
      </c>
      <c r="L309" s="49">
        <f ca="1">L289*Loango_II!CA_NOC_WI</f>
        <v>0.46899153411483702</v>
      </c>
      <c r="M309" s="49">
        <f ca="1">M289*Loango_II!CA_NOC_WI</f>
        <v>0.51373311195146154</v>
      </c>
      <c r="N309" s="49">
        <f ca="1">N289*Loango_II!CA_NOC_WI</f>
        <v>0.40478319967308751</v>
      </c>
      <c r="O309" s="49">
        <f ca="1">O289*Loango_II!CA_NOC_WI</f>
        <v>0.45110145434686494</v>
      </c>
      <c r="P309" s="49">
        <f ca="1">P289*Loango_II!CA_NOC_WI</f>
        <v>0.93343946680573753</v>
      </c>
      <c r="Q309" s="49">
        <f ca="1">Q289*Loango_II!CA_NOC_WI</f>
        <v>1.4722309401085749</v>
      </c>
      <c r="R309" s="49">
        <f ca="1">R289*Loango_II!CA_NOC_WI</f>
        <v>1.0996598863884426</v>
      </c>
      <c r="S309" s="49">
        <f ca="1">S289*Loango_II!CA_NOC_WI</f>
        <v>1.069909457456008</v>
      </c>
      <c r="T309" s="49">
        <f ca="1">T289*Loango_II!CA_NOC_WI</f>
        <v>0.94299895047743709</v>
      </c>
      <c r="U309" s="49">
        <f ca="1">U289*Loango_II!CA_NOC_WI</f>
        <v>0.874787408206668</v>
      </c>
      <c r="V309" s="49">
        <f ca="1">V289*Loango_II!CA_NOC_WI</f>
        <v>0.81355228963220105</v>
      </c>
      <c r="W309" s="49">
        <f ca="1">W289*Loango_II!CA_NOC_WI</f>
        <v>0.68115585021517511</v>
      </c>
      <c r="X309" s="49">
        <f ca="1">X289*Loango_II!CA_NOC_WI</f>
        <v>0.6317441348512054</v>
      </c>
      <c r="Y309" s="49">
        <f ca="1">Y289*Loango_II!CA_NOC_WI</f>
        <v>0</v>
      </c>
      <c r="Z309" s="49">
        <f ca="1">Z289*Loango_II!CA_NOC_WI</f>
        <v>0</v>
      </c>
      <c r="AA309" s="49">
        <f ca="1">AA289*Loango_II!CA_NOC_WI</f>
        <v>0</v>
      </c>
      <c r="AB309" s="49">
        <f ca="1">AB289*Loango_II!CA_NOC_WI</f>
        <v>0</v>
      </c>
      <c r="AC309" s="49">
        <f ca="1">AC289*Loango_II!CA_NOC_WI</f>
        <v>0</v>
      </c>
      <c r="AD309" s="49">
        <f ca="1">AD289*Loango_II!CA_NOC_WI</f>
        <v>0</v>
      </c>
      <c r="AE309" s="49">
        <f ca="1">AE289*Loango_II!CA_NOC_WI</f>
        <v>0</v>
      </c>
      <c r="AF309" s="49">
        <f ca="1">AF289*Loango_II!CA_NOC_WI</f>
        <v>0</v>
      </c>
      <c r="AG309" s="49">
        <f ca="1">AG289*Loango_II!CA_NOC_WI</f>
        <v>0</v>
      </c>
      <c r="AH309" s="49">
        <f ca="1">AH289*Loango_II!CA_NOC_WI</f>
        <v>0</v>
      </c>
      <c r="AI309" s="49">
        <f ca="1">AI289*Loango_II!CA_NOC_WI</f>
        <v>0</v>
      </c>
      <c r="AJ309" s="49">
        <f ca="1">AJ289*Loango_II!CA_NOC_WI</f>
        <v>0</v>
      </c>
      <c r="AK309" s="49">
        <f ca="1">AK289*Loango_II!CA_NOC_WI</f>
        <v>0</v>
      </c>
      <c r="AL309" s="49">
        <f ca="1">AL289*Loango_II!CA_NOC_WI</f>
        <v>0</v>
      </c>
      <c r="AM309" s="49">
        <f ca="1">AM289*Loango_II!CA_NOC_WI</f>
        <v>0</v>
      </c>
      <c r="AN309" s="49">
        <f ca="1">AN289*Loango_II!CA_NOC_WI</f>
        <v>0</v>
      </c>
      <c r="AO309" s="49">
        <f ca="1">AO289*Loango_II!CA_NOC_WI</f>
        <v>0</v>
      </c>
      <c r="AP309" s="49">
        <f ca="1">AP289*Loango_II!CA_NOC_WI</f>
        <v>0</v>
      </c>
      <c r="AQ309" s="49">
        <f ca="1">AQ289*Loango_II!CA_NOC_WI</f>
        <v>0</v>
      </c>
      <c r="AR309" s="49">
        <f ca="1">AR289*Loango_II!CA_NOC_WI</f>
        <v>0</v>
      </c>
      <c r="AS309" s="49">
        <f ca="1">AS289*Loango_II!CA_NOC_WI</f>
        <v>0</v>
      </c>
      <c r="AT309" s="49">
        <f ca="1">AT289*Loango_II!CA_NOC_WI</f>
        <v>0</v>
      </c>
      <c r="AU309" s="49">
        <f ca="1">AU289*Loango_II!CA_NOC_WI</f>
        <v>0</v>
      </c>
      <c r="AV309" s="49">
        <f ca="1">AV289*Loango_II!CA_NOC_WI</f>
        <v>0</v>
      </c>
      <c r="AW309" s="49">
        <f ca="1">AW289*Loango_II!CA_NOC_WI</f>
        <v>0</v>
      </c>
      <c r="AX309" s="49">
        <f ca="1">AX289*Loango_II!CA_NOC_WI</f>
        <v>0</v>
      </c>
      <c r="AY309" s="49">
        <f ca="1">AY289*Loango_II!CA_NOC_WI</f>
        <v>0</v>
      </c>
      <c r="AZ309" s="49">
        <f ca="1">AZ289*Loango_II!CA_NOC_WI</f>
        <v>0</v>
      </c>
      <c r="BA309" s="49">
        <f ca="1">BA289*Loango_II!CA_NOC_WI</f>
        <v>0</v>
      </c>
      <c r="BB309" s="49">
        <f ca="1">BB289*Loango_II!CA_NOC_WI</f>
        <v>0</v>
      </c>
      <c r="BC309" s="49">
        <f ca="1">BC289*Loango_II!CA_NOC_WI</f>
        <v>0</v>
      </c>
      <c r="BD309" s="49">
        <f ca="1">BD289*Loango_II!CA_NOC_WI</f>
        <v>0</v>
      </c>
      <c r="BE309" s="49">
        <f ca="1">BE289*Loango_II!CA_NOC_WI</f>
        <v>0</v>
      </c>
      <c r="BF309" s="49">
        <f ca="1">BF289*Loango_II!CA_NOC_WI</f>
        <v>0</v>
      </c>
      <c r="BG309" s="49">
        <f ca="1">BG289*Loango_II!CA_NOC_WI</f>
        <v>0</v>
      </c>
      <c r="BH309" s="49">
        <f ca="1">BH289*Loango_II!CA_NOC_WI</f>
        <v>0</v>
      </c>
      <c r="BI309" s="49">
        <f ca="1">BI289*Loango_II!CA_NOC_WI</f>
        <v>0</v>
      </c>
      <c r="BJ309" s="49">
        <f ca="1">BJ289*Loango_II!CA_NOC_WI</f>
        <v>0</v>
      </c>
      <c r="BK309" s="49">
        <f ca="1">BK289*Loango_II!CA_NOC_WI</f>
        <v>0</v>
      </c>
      <c r="BL309" s="49">
        <f ca="1">BL289*Loango_II!CA_NOC_WI</f>
        <v>0</v>
      </c>
      <c r="BM309" s="49">
        <f ca="1">BM289*Loango_II!CA_NOC_WI</f>
        <v>0</v>
      </c>
      <c r="BN309" s="49">
        <f ca="1">BN289*Loango_II!CA_NOC_WI</f>
        <v>0</v>
      </c>
      <c r="BO309" s="49">
        <f ca="1">BO289*Loango_II!CA_NOC_WI</f>
        <v>0</v>
      </c>
      <c r="BP309" s="49">
        <f ca="1">BP289*Loango_II!CA_NOC_WI</f>
        <v>0</v>
      </c>
      <c r="BQ309" s="49">
        <f ca="1">BQ289*Loango_II!CA_NOC_WI</f>
        <v>0</v>
      </c>
      <c r="BR309" s="49">
        <f ca="1">BR289*Loango_II!CA_NOC_WI</f>
        <v>0</v>
      </c>
      <c r="BS309" s="49">
        <f ca="1">BS289*Loango_II!CA_NOC_WI</f>
        <v>0</v>
      </c>
    </row>
    <row r="310" spans="3:71" outlineLevel="1" x14ac:dyDescent="0.2">
      <c r="D310" s="11" t="s">
        <v>129</v>
      </c>
      <c r="I310" s="30">
        <f t="shared" ca="1" si="67"/>
        <v>103.58087684227701</v>
      </c>
      <c r="J310" s="26" t="s">
        <v>88</v>
      </c>
      <c r="L310" s="49">
        <f ca="1">SUM(L308:L309)</f>
        <v>4.6899153411483701</v>
      </c>
      <c r="M310" s="49">
        <f t="shared" ref="M310:BS310" ca="1" si="68">SUM(M308:M309)</f>
        <v>5.1373311195146156</v>
      </c>
      <c r="N310" s="49">
        <f t="shared" ca="1" si="68"/>
        <v>4.0478319967308751</v>
      </c>
      <c r="O310" s="49">
        <f t="shared" ca="1" si="68"/>
        <v>4.5110145434686491</v>
      </c>
      <c r="P310" s="49">
        <f t="shared" ca="1" si="68"/>
        <v>9.3343946680573744</v>
      </c>
      <c r="Q310" s="49">
        <f t="shared" ca="1" si="68"/>
        <v>14.72230940108575</v>
      </c>
      <c r="R310" s="49">
        <f t="shared" ca="1" si="68"/>
        <v>10.996598863884426</v>
      </c>
      <c r="S310" s="49">
        <f t="shared" ca="1" si="68"/>
        <v>10.69909457456008</v>
      </c>
      <c r="T310" s="49">
        <f t="shared" ca="1" si="68"/>
        <v>9.4299895047743707</v>
      </c>
      <c r="U310" s="49">
        <f t="shared" ca="1" si="68"/>
        <v>8.74787408206668</v>
      </c>
      <c r="V310" s="49">
        <f t="shared" ca="1" si="68"/>
        <v>8.1355228963220103</v>
      </c>
      <c r="W310" s="49">
        <f t="shared" ca="1" si="68"/>
        <v>6.8115585021517511</v>
      </c>
      <c r="X310" s="49">
        <f t="shared" ca="1" si="68"/>
        <v>6.3174413485120535</v>
      </c>
      <c r="Y310" s="49">
        <f t="shared" ca="1" si="68"/>
        <v>0</v>
      </c>
      <c r="Z310" s="49">
        <f t="shared" ca="1" si="68"/>
        <v>0</v>
      </c>
      <c r="AA310" s="49">
        <f t="shared" ca="1" si="68"/>
        <v>0</v>
      </c>
      <c r="AB310" s="49">
        <f t="shared" ca="1" si="68"/>
        <v>0</v>
      </c>
      <c r="AC310" s="49">
        <f t="shared" ca="1" si="68"/>
        <v>0</v>
      </c>
      <c r="AD310" s="49">
        <f t="shared" ca="1" si="68"/>
        <v>0</v>
      </c>
      <c r="AE310" s="49">
        <f t="shared" ca="1" si="68"/>
        <v>0</v>
      </c>
      <c r="AF310" s="49">
        <f t="shared" ca="1" si="68"/>
        <v>0</v>
      </c>
      <c r="AG310" s="49">
        <f t="shared" ca="1" si="68"/>
        <v>0</v>
      </c>
      <c r="AH310" s="49">
        <f t="shared" ca="1" si="68"/>
        <v>0</v>
      </c>
      <c r="AI310" s="49">
        <f t="shared" ca="1" si="68"/>
        <v>0</v>
      </c>
      <c r="AJ310" s="49">
        <f t="shared" ca="1" si="68"/>
        <v>0</v>
      </c>
      <c r="AK310" s="49">
        <f t="shared" ca="1" si="68"/>
        <v>0</v>
      </c>
      <c r="AL310" s="49">
        <f t="shared" ca="1" si="68"/>
        <v>0</v>
      </c>
      <c r="AM310" s="49">
        <f t="shared" ca="1" si="68"/>
        <v>0</v>
      </c>
      <c r="AN310" s="49">
        <f t="shared" ca="1" si="68"/>
        <v>0</v>
      </c>
      <c r="AO310" s="49">
        <f t="shared" ca="1" si="68"/>
        <v>0</v>
      </c>
      <c r="AP310" s="49">
        <f t="shared" ca="1" si="68"/>
        <v>0</v>
      </c>
      <c r="AQ310" s="49">
        <f t="shared" ca="1" si="68"/>
        <v>0</v>
      </c>
      <c r="AR310" s="49">
        <f t="shared" ca="1" si="68"/>
        <v>0</v>
      </c>
      <c r="AS310" s="49">
        <f t="shared" ca="1" si="68"/>
        <v>0</v>
      </c>
      <c r="AT310" s="49">
        <f t="shared" ca="1" si="68"/>
        <v>0</v>
      </c>
      <c r="AU310" s="49">
        <f t="shared" ca="1" si="68"/>
        <v>0</v>
      </c>
      <c r="AV310" s="49">
        <f t="shared" ca="1" si="68"/>
        <v>0</v>
      </c>
      <c r="AW310" s="49">
        <f t="shared" ca="1" si="68"/>
        <v>0</v>
      </c>
      <c r="AX310" s="49">
        <f t="shared" ca="1" si="68"/>
        <v>0</v>
      </c>
      <c r="AY310" s="49">
        <f t="shared" ca="1" si="68"/>
        <v>0</v>
      </c>
      <c r="AZ310" s="49">
        <f t="shared" ca="1" si="68"/>
        <v>0</v>
      </c>
      <c r="BA310" s="49">
        <f t="shared" ca="1" si="68"/>
        <v>0</v>
      </c>
      <c r="BB310" s="49">
        <f t="shared" ca="1" si="68"/>
        <v>0</v>
      </c>
      <c r="BC310" s="49">
        <f t="shared" ca="1" si="68"/>
        <v>0</v>
      </c>
      <c r="BD310" s="49">
        <f t="shared" ca="1" si="68"/>
        <v>0</v>
      </c>
      <c r="BE310" s="49">
        <f t="shared" ca="1" si="68"/>
        <v>0</v>
      </c>
      <c r="BF310" s="49">
        <f t="shared" ca="1" si="68"/>
        <v>0</v>
      </c>
      <c r="BG310" s="49">
        <f t="shared" ca="1" si="68"/>
        <v>0</v>
      </c>
      <c r="BH310" s="49">
        <f t="shared" ca="1" si="68"/>
        <v>0</v>
      </c>
      <c r="BI310" s="49">
        <f t="shared" ca="1" si="68"/>
        <v>0</v>
      </c>
      <c r="BJ310" s="49">
        <f t="shared" ca="1" si="68"/>
        <v>0</v>
      </c>
      <c r="BK310" s="49">
        <f t="shared" ca="1" si="68"/>
        <v>0</v>
      </c>
      <c r="BL310" s="49">
        <f t="shared" ca="1" si="68"/>
        <v>0</v>
      </c>
      <c r="BM310" s="49">
        <f t="shared" ca="1" si="68"/>
        <v>0</v>
      </c>
      <c r="BN310" s="49">
        <f t="shared" ca="1" si="68"/>
        <v>0</v>
      </c>
      <c r="BO310" s="49">
        <f t="shared" ca="1" si="68"/>
        <v>0</v>
      </c>
      <c r="BP310" s="49">
        <f t="shared" ca="1" si="68"/>
        <v>0</v>
      </c>
      <c r="BQ310" s="49">
        <f t="shared" ca="1" si="68"/>
        <v>0</v>
      </c>
      <c r="BR310" s="49">
        <f t="shared" ca="1" si="68"/>
        <v>0</v>
      </c>
      <c r="BS310" s="49">
        <f t="shared" ca="1" si="68"/>
        <v>0</v>
      </c>
    </row>
    <row r="311" spans="3:71" outlineLevel="1" x14ac:dyDescent="0.2">
      <c r="J311" s="26"/>
      <c r="L311" s="55"/>
      <c r="M311" s="55"/>
      <c r="N311" s="55"/>
      <c r="O311" s="55"/>
      <c r="P311" s="55"/>
      <c r="Q311" s="55"/>
      <c r="R311" s="55"/>
      <c r="S311" s="55"/>
      <c r="T311" s="55"/>
      <c r="U311" s="55"/>
      <c r="V311" s="55"/>
      <c r="W311" s="55"/>
      <c r="X311" s="55"/>
      <c r="Y311" s="55"/>
      <c r="Z311" s="55"/>
      <c r="AA311" s="55"/>
      <c r="AB311" s="55"/>
      <c r="AC311" s="55"/>
      <c r="AD311" s="55"/>
      <c r="AE311" s="55"/>
      <c r="AF311" s="55"/>
      <c r="AG311" s="55"/>
      <c r="AH311" s="55"/>
      <c r="AI311" s="55"/>
      <c r="AJ311" s="55"/>
      <c r="AK311" s="55"/>
      <c r="AL311" s="55"/>
      <c r="AM311" s="55"/>
      <c r="AN311" s="55"/>
      <c r="AO311" s="55"/>
      <c r="AP311" s="55"/>
      <c r="AQ311" s="55"/>
      <c r="AR311" s="55"/>
      <c r="AS311" s="55"/>
      <c r="AT311" s="55"/>
      <c r="AU311" s="55"/>
      <c r="AV311" s="55"/>
      <c r="AW311" s="55"/>
      <c r="AX311" s="55"/>
      <c r="AY311" s="55"/>
      <c r="AZ311" s="55"/>
      <c r="BA311" s="55"/>
      <c r="BB311" s="55"/>
      <c r="BC311" s="55"/>
      <c r="BD311" s="55"/>
      <c r="BE311" s="55"/>
      <c r="BF311" s="55"/>
      <c r="BG311" s="55"/>
      <c r="BH311" s="55"/>
      <c r="BI311" s="55"/>
      <c r="BJ311" s="55"/>
      <c r="BK311" s="55"/>
      <c r="BL311" s="55"/>
      <c r="BM311" s="55"/>
      <c r="BN311" s="55"/>
      <c r="BO311" s="55"/>
      <c r="BP311" s="55"/>
      <c r="BQ311" s="55"/>
      <c r="BR311" s="55"/>
      <c r="BS311" s="55"/>
    </row>
    <row r="312" spans="3:71" outlineLevel="1" x14ac:dyDescent="0.2">
      <c r="C312" s="11" t="s">
        <v>345</v>
      </c>
      <c r="J312" s="26"/>
      <c r="L312" s="55"/>
      <c r="M312" s="55"/>
      <c r="N312" s="55"/>
      <c r="O312" s="55"/>
      <c r="P312" s="55"/>
      <c r="Q312" s="55"/>
      <c r="R312" s="55"/>
      <c r="S312" s="55"/>
      <c r="T312" s="55"/>
      <c r="U312" s="55"/>
      <c r="V312" s="55"/>
      <c r="W312" s="55"/>
      <c r="X312" s="55"/>
      <c r="Y312" s="55"/>
      <c r="Z312" s="55"/>
      <c r="AA312" s="55"/>
      <c r="AB312" s="55"/>
      <c r="AC312" s="55"/>
      <c r="AD312" s="55"/>
      <c r="AE312" s="55"/>
      <c r="AF312" s="55"/>
      <c r="AG312" s="55"/>
      <c r="AH312" s="55"/>
      <c r="AI312" s="55"/>
      <c r="AJ312" s="55"/>
      <c r="AK312" s="55"/>
      <c r="AL312" s="55"/>
      <c r="AM312" s="55"/>
      <c r="AN312" s="55"/>
      <c r="AO312" s="55"/>
      <c r="AP312" s="55"/>
      <c r="AQ312" s="55"/>
      <c r="AR312" s="55"/>
      <c r="AS312" s="55"/>
      <c r="AT312" s="55"/>
      <c r="AU312" s="55"/>
      <c r="AV312" s="55"/>
      <c r="AW312" s="55"/>
      <c r="AX312" s="55"/>
      <c r="AY312" s="55"/>
      <c r="AZ312" s="55"/>
      <c r="BA312" s="55"/>
      <c r="BB312" s="55"/>
      <c r="BC312" s="55"/>
      <c r="BD312" s="55"/>
      <c r="BE312" s="55"/>
      <c r="BF312" s="55"/>
      <c r="BG312" s="55"/>
      <c r="BH312" s="55"/>
      <c r="BI312" s="55"/>
      <c r="BJ312" s="55"/>
      <c r="BK312" s="55"/>
      <c r="BL312" s="55"/>
      <c r="BM312" s="55"/>
      <c r="BN312" s="55"/>
      <c r="BO312" s="55"/>
      <c r="BP312" s="55"/>
      <c r="BQ312" s="55"/>
      <c r="BR312" s="55"/>
      <c r="BS312" s="55"/>
    </row>
    <row r="313" spans="3:71" outlineLevel="1" x14ac:dyDescent="0.2">
      <c r="D313" t="s">
        <v>116</v>
      </c>
      <c r="I313" s="30">
        <f t="shared" ref="I313:I315" ca="1" si="69">SUM($L313:$BS313)</f>
        <v>0</v>
      </c>
      <c r="J313" s="26" t="s">
        <v>148</v>
      </c>
      <c r="L313" s="49">
        <f ca="1">L290*Loango_II!CA_IOC_WI</f>
        <v>0</v>
      </c>
      <c r="M313" s="49">
        <f ca="1">M290*Loango_II!CA_IOC_WI</f>
        <v>0</v>
      </c>
      <c r="N313" s="49">
        <f ca="1">N290*Loango_II!CA_IOC_WI</f>
        <v>0</v>
      </c>
      <c r="O313" s="49">
        <f ca="1">O290*Loango_II!CA_IOC_WI</f>
        <v>0</v>
      </c>
      <c r="P313" s="49">
        <f ca="1">P290*Loango_II!CA_IOC_WI</f>
        <v>0</v>
      </c>
      <c r="Q313" s="49">
        <f ca="1">Q290*Loango_II!CA_IOC_WI</f>
        <v>0</v>
      </c>
      <c r="R313" s="49">
        <f ca="1">R290*Loango_II!CA_IOC_WI</f>
        <v>0</v>
      </c>
      <c r="S313" s="49">
        <f ca="1">S290*Loango_II!CA_IOC_WI</f>
        <v>0</v>
      </c>
      <c r="T313" s="49">
        <f ca="1">T290*Loango_II!CA_IOC_WI</f>
        <v>0</v>
      </c>
      <c r="U313" s="49">
        <f ca="1">U290*Loango_II!CA_IOC_WI</f>
        <v>0</v>
      </c>
      <c r="V313" s="49">
        <f ca="1">V290*Loango_II!CA_IOC_WI</f>
        <v>0</v>
      </c>
      <c r="W313" s="49">
        <f ca="1">W290*Loango_II!CA_IOC_WI</f>
        <v>0</v>
      </c>
      <c r="X313" s="49">
        <f ca="1">X290*Loango_II!CA_IOC_WI</f>
        <v>0</v>
      </c>
      <c r="Y313" s="49">
        <f ca="1">Y290*Loango_II!CA_IOC_WI</f>
        <v>0</v>
      </c>
      <c r="Z313" s="49">
        <f ca="1">Z290*Loango_II!CA_IOC_WI</f>
        <v>0</v>
      </c>
      <c r="AA313" s="49">
        <f ca="1">AA290*Loango_II!CA_IOC_WI</f>
        <v>0</v>
      </c>
      <c r="AB313" s="49">
        <f ca="1">AB290*Loango_II!CA_IOC_WI</f>
        <v>0</v>
      </c>
      <c r="AC313" s="49">
        <f ca="1">AC290*Loango_II!CA_IOC_WI</f>
        <v>0</v>
      </c>
      <c r="AD313" s="49">
        <f ca="1">AD290*Loango_II!CA_IOC_WI</f>
        <v>0</v>
      </c>
      <c r="AE313" s="49">
        <f ca="1">AE290*Loango_II!CA_IOC_WI</f>
        <v>0</v>
      </c>
      <c r="AF313" s="49">
        <f ca="1">AF290*Loango_II!CA_IOC_WI</f>
        <v>0</v>
      </c>
      <c r="AG313" s="49">
        <f ca="1">AG290*Loango_II!CA_IOC_WI</f>
        <v>0</v>
      </c>
      <c r="AH313" s="49">
        <f ca="1">AH290*Loango_II!CA_IOC_WI</f>
        <v>0</v>
      </c>
      <c r="AI313" s="49">
        <f ca="1">AI290*Loango_II!CA_IOC_WI</f>
        <v>0</v>
      </c>
      <c r="AJ313" s="49">
        <f ca="1">AJ290*Loango_II!CA_IOC_WI</f>
        <v>0</v>
      </c>
      <c r="AK313" s="49">
        <f ca="1">AK290*Loango_II!CA_IOC_WI</f>
        <v>0</v>
      </c>
      <c r="AL313" s="49">
        <f ca="1">AL290*Loango_II!CA_IOC_WI</f>
        <v>0</v>
      </c>
      <c r="AM313" s="49">
        <f ca="1">AM290*Loango_II!CA_IOC_WI</f>
        <v>0</v>
      </c>
      <c r="AN313" s="49">
        <f ca="1">AN290*Loango_II!CA_IOC_WI</f>
        <v>0</v>
      </c>
      <c r="AO313" s="49">
        <f ca="1">AO290*Loango_II!CA_IOC_WI</f>
        <v>0</v>
      </c>
      <c r="AP313" s="49">
        <f ca="1">AP290*Loango_II!CA_IOC_WI</f>
        <v>0</v>
      </c>
      <c r="AQ313" s="49">
        <f ca="1">AQ290*Loango_II!CA_IOC_WI</f>
        <v>0</v>
      </c>
      <c r="AR313" s="49">
        <f ca="1">AR290*Loango_II!CA_IOC_WI</f>
        <v>0</v>
      </c>
      <c r="AS313" s="49">
        <f ca="1">AS290*Loango_II!CA_IOC_WI</f>
        <v>0</v>
      </c>
      <c r="AT313" s="49">
        <f ca="1">AT290*Loango_II!CA_IOC_WI</f>
        <v>0</v>
      </c>
      <c r="AU313" s="49">
        <f ca="1">AU290*Loango_II!CA_IOC_WI</f>
        <v>0</v>
      </c>
      <c r="AV313" s="49">
        <f ca="1">AV290*Loango_II!CA_IOC_WI</f>
        <v>0</v>
      </c>
      <c r="AW313" s="49">
        <f ca="1">AW290*Loango_II!CA_IOC_WI</f>
        <v>0</v>
      </c>
      <c r="AX313" s="49">
        <f ca="1">AX290*Loango_II!CA_IOC_WI</f>
        <v>0</v>
      </c>
      <c r="AY313" s="49">
        <f ca="1">AY290*Loango_II!CA_IOC_WI</f>
        <v>0</v>
      </c>
      <c r="AZ313" s="49">
        <f ca="1">AZ290*Loango_II!CA_IOC_WI</f>
        <v>0</v>
      </c>
      <c r="BA313" s="49">
        <f ca="1">BA290*Loango_II!CA_IOC_WI</f>
        <v>0</v>
      </c>
      <c r="BB313" s="49">
        <f ca="1">BB290*Loango_II!CA_IOC_WI</f>
        <v>0</v>
      </c>
      <c r="BC313" s="49">
        <f ca="1">BC290*Loango_II!CA_IOC_WI</f>
        <v>0</v>
      </c>
      <c r="BD313" s="49">
        <f ca="1">BD290*Loango_II!CA_IOC_WI</f>
        <v>0</v>
      </c>
      <c r="BE313" s="49">
        <f ca="1">BE290*Loango_II!CA_IOC_WI</f>
        <v>0</v>
      </c>
      <c r="BF313" s="49">
        <f ca="1">BF290*Loango_II!CA_IOC_WI</f>
        <v>0</v>
      </c>
      <c r="BG313" s="49">
        <f ca="1">BG290*Loango_II!CA_IOC_WI</f>
        <v>0</v>
      </c>
      <c r="BH313" s="49">
        <f ca="1">BH290*Loango_II!CA_IOC_WI</f>
        <v>0</v>
      </c>
      <c r="BI313" s="49">
        <f ca="1">BI290*Loango_II!CA_IOC_WI</f>
        <v>0</v>
      </c>
      <c r="BJ313" s="49">
        <f ca="1">BJ290*Loango_II!CA_IOC_WI</f>
        <v>0</v>
      </c>
      <c r="BK313" s="49">
        <f ca="1">BK290*Loango_II!CA_IOC_WI</f>
        <v>0</v>
      </c>
      <c r="BL313" s="49">
        <f ca="1">BL290*Loango_II!CA_IOC_WI</f>
        <v>0</v>
      </c>
      <c r="BM313" s="49">
        <f ca="1">BM290*Loango_II!CA_IOC_WI</f>
        <v>0</v>
      </c>
      <c r="BN313" s="49">
        <f ca="1">BN290*Loango_II!CA_IOC_WI</f>
        <v>0</v>
      </c>
      <c r="BO313" s="49">
        <f ca="1">BO290*Loango_II!CA_IOC_WI</f>
        <v>0</v>
      </c>
      <c r="BP313" s="49">
        <f ca="1">BP290*Loango_II!CA_IOC_WI</f>
        <v>0</v>
      </c>
      <c r="BQ313" s="49">
        <f ca="1">BQ290*Loango_II!CA_IOC_WI</f>
        <v>0</v>
      </c>
      <c r="BR313" s="49">
        <f ca="1">BR290*Loango_II!CA_IOC_WI</f>
        <v>0</v>
      </c>
      <c r="BS313" s="49">
        <f ca="1">BS290*Loango_II!CA_IOC_WI</f>
        <v>0</v>
      </c>
    </row>
    <row r="314" spans="3:71" outlineLevel="1" x14ac:dyDescent="0.2">
      <c r="D314" t="s">
        <v>339</v>
      </c>
      <c r="I314" s="30">
        <f t="shared" ca="1" si="69"/>
        <v>0</v>
      </c>
      <c r="J314" s="26" t="s">
        <v>148</v>
      </c>
      <c r="L314" s="49">
        <f ca="1">L290*Loango_II!CA_NOC_WI</f>
        <v>0</v>
      </c>
      <c r="M314" s="49">
        <f ca="1">M290*Loango_II!CA_NOC_WI</f>
        <v>0</v>
      </c>
      <c r="N314" s="49">
        <f ca="1">N290*Loango_II!CA_NOC_WI</f>
        <v>0</v>
      </c>
      <c r="O314" s="49">
        <f ca="1">O290*Loango_II!CA_NOC_WI</f>
        <v>0</v>
      </c>
      <c r="P314" s="49">
        <f ca="1">P290*Loango_II!CA_NOC_WI</f>
        <v>0</v>
      </c>
      <c r="Q314" s="49">
        <f ca="1">Q290*Loango_II!CA_NOC_WI</f>
        <v>0</v>
      </c>
      <c r="R314" s="49">
        <f ca="1">R290*Loango_II!CA_NOC_WI</f>
        <v>0</v>
      </c>
      <c r="S314" s="49">
        <f ca="1">S290*Loango_II!CA_NOC_WI</f>
        <v>0</v>
      </c>
      <c r="T314" s="49">
        <f ca="1">T290*Loango_II!CA_NOC_WI</f>
        <v>0</v>
      </c>
      <c r="U314" s="49">
        <f ca="1">U290*Loango_II!CA_NOC_WI</f>
        <v>0</v>
      </c>
      <c r="V314" s="49">
        <f ca="1">V290*Loango_II!CA_NOC_WI</f>
        <v>0</v>
      </c>
      <c r="W314" s="49">
        <f ca="1">W290*Loango_II!CA_NOC_WI</f>
        <v>0</v>
      </c>
      <c r="X314" s="49">
        <f ca="1">X290*Loango_II!CA_NOC_WI</f>
        <v>0</v>
      </c>
      <c r="Y314" s="49">
        <f ca="1">Y290*Loango_II!CA_NOC_WI</f>
        <v>0</v>
      </c>
      <c r="Z314" s="49">
        <f ca="1">Z290*Loango_II!CA_NOC_WI</f>
        <v>0</v>
      </c>
      <c r="AA314" s="49">
        <f ca="1">AA290*Loango_II!CA_NOC_WI</f>
        <v>0</v>
      </c>
      <c r="AB314" s="49">
        <f ca="1">AB290*Loango_II!CA_NOC_WI</f>
        <v>0</v>
      </c>
      <c r="AC314" s="49">
        <f ca="1">AC290*Loango_II!CA_NOC_WI</f>
        <v>0</v>
      </c>
      <c r="AD314" s="49">
        <f ca="1">AD290*Loango_II!CA_NOC_WI</f>
        <v>0</v>
      </c>
      <c r="AE314" s="49">
        <f ca="1">AE290*Loango_II!CA_NOC_WI</f>
        <v>0</v>
      </c>
      <c r="AF314" s="49">
        <f ca="1">AF290*Loango_II!CA_NOC_WI</f>
        <v>0</v>
      </c>
      <c r="AG314" s="49">
        <f ca="1">AG290*Loango_II!CA_NOC_WI</f>
        <v>0</v>
      </c>
      <c r="AH314" s="49">
        <f ca="1">AH290*Loango_II!CA_NOC_WI</f>
        <v>0</v>
      </c>
      <c r="AI314" s="49">
        <f ca="1">AI290*Loango_II!CA_NOC_WI</f>
        <v>0</v>
      </c>
      <c r="AJ314" s="49">
        <f ca="1">AJ290*Loango_II!CA_NOC_WI</f>
        <v>0</v>
      </c>
      <c r="AK314" s="49">
        <f ca="1">AK290*Loango_II!CA_NOC_WI</f>
        <v>0</v>
      </c>
      <c r="AL314" s="49">
        <f ca="1">AL290*Loango_II!CA_NOC_WI</f>
        <v>0</v>
      </c>
      <c r="AM314" s="49">
        <f ca="1">AM290*Loango_II!CA_NOC_WI</f>
        <v>0</v>
      </c>
      <c r="AN314" s="49">
        <f ca="1">AN290*Loango_II!CA_NOC_WI</f>
        <v>0</v>
      </c>
      <c r="AO314" s="49">
        <f ca="1">AO290*Loango_II!CA_NOC_WI</f>
        <v>0</v>
      </c>
      <c r="AP314" s="49">
        <f ca="1">AP290*Loango_II!CA_NOC_WI</f>
        <v>0</v>
      </c>
      <c r="AQ314" s="49">
        <f ca="1">AQ290*Loango_II!CA_NOC_WI</f>
        <v>0</v>
      </c>
      <c r="AR314" s="49">
        <f ca="1">AR290*Loango_II!CA_NOC_WI</f>
        <v>0</v>
      </c>
      <c r="AS314" s="49">
        <f ca="1">AS290*Loango_II!CA_NOC_WI</f>
        <v>0</v>
      </c>
      <c r="AT314" s="49">
        <f ca="1">AT290*Loango_II!CA_NOC_WI</f>
        <v>0</v>
      </c>
      <c r="AU314" s="49">
        <f ca="1">AU290*Loango_II!CA_NOC_WI</f>
        <v>0</v>
      </c>
      <c r="AV314" s="49">
        <f ca="1">AV290*Loango_II!CA_NOC_WI</f>
        <v>0</v>
      </c>
      <c r="AW314" s="49">
        <f ca="1">AW290*Loango_II!CA_NOC_WI</f>
        <v>0</v>
      </c>
      <c r="AX314" s="49">
        <f ca="1">AX290*Loango_II!CA_NOC_WI</f>
        <v>0</v>
      </c>
      <c r="AY314" s="49">
        <f ca="1">AY290*Loango_II!CA_NOC_WI</f>
        <v>0</v>
      </c>
      <c r="AZ314" s="49">
        <f ca="1">AZ290*Loango_II!CA_NOC_WI</f>
        <v>0</v>
      </c>
      <c r="BA314" s="49">
        <f ca="1">BA290*Loango_II!CA_NOC_WI</f>
        <v>0</v>
      </c>
      <c r="BB314" s="49">
        <f ca="1">BB290*Loango_II!CA_NOC_WI</f>
        <v>0</v>
      </c>
      <c r="BC314" s="49">
        <f ca="1">BC290*Loango_II!CA_NOC_WI</f>
        <v>0</v>
      </c>
      <c r="BD314" s="49">
        <f ca="1">BD290*Loango_II!CA_NOC_WI</f>
        <v>0</v>
      </c>
      <c r="BE314" s="49">
        <f ca="1">BE290*Loango_II!CA_NOC_WI</f>
        <v>0</v>
      </c>
      <c r="BF314" s="49">
        <f ca="1">BF290*Loango_II!CA_NOC_WI</f>
        <v>0</v>
      </c>
      <c r="BG314" s="49">
        <f ca="1">BG290*Loango_II!CA_NOC_WI</f>
        <v>0</v>
      </c>
      <c r="BH314" s="49">
        <f ca="1">BH290*Loango_II!CA_NOC_WI</f>
        <v>0</v>
      </c>
      <c r="BI314" s="49">
        <f ca="1">BI290*Loango_II!CA_NOC_WI</f>
        <v>0</v>
      </c>
      <c r="BJ314" s="49">
        <f ca="1">BJ290*Loango_II!CA_NOC_WI</f>
        <v>0</v>
      </c>
      <c r="BK314" s="49">
        <f ca="1">BK290*Loango_II!CA_NOC_WI</f>
        <v>0</v>
      </c>
      <c r="BL314" s="49">
        <f ca="1">BL290*Loango_II!CA_NOC_WI</f>
        <v>0</v>
      </c>
      <c r="BM314" s="49">
        <f ca="1">BM290*Loango_II!CA_NOC_WI</f>
        <v>0</v>
      </c>
      <c r="BN314" s="49">
        <f ca="1">BN290*Loango_II!CA_NOC_WI</f>
        <v>0</v>
      </c>
      <c r="BO314" s="49">
        <f ca="1">BO290*Loango_II!CA_NOC_WI</f>
        <v>0</v>
      </c>
      <c r="BP314" s="49">
        <f ca="1">BP290*Loango_II!CA_NOC_WI</f>
        <v>0</v>
      </c>
      <c r="BQ314" s="49">
        <f ca="1">BQ290*Loango_II!CA_NOC_WI</f>
        <v>0</v>
      </c>
      <c r="BR314" s="49">
        <f ca="1">BR290*Loango_II!CA_NOC_WI</f>
        <v>0</v>
      </c>
      <c r="BS314" s="49">
        <f ca="1">BS290*Loango_II!CA_NOC_WI</f>
        <v>0</v>
      </c>
    </row>
    <row r="315" spans="3:71" outlineLevel="1" x14ac:dyDescent="0.2">
      <c r="D315" s="11" t="s">
        <v>129</v>
      </c>
      <c r="I315" s="30">
        <f t="shared" ca="1" si="69"/>
        <v>0</v>
      </c>
      <c r="J315" s="26" t="s">
        <v>148</v>
      </c>
      <c r="L315" s="49">
        <f ca="1">SUM(L313:L314)</f>
        <v>0</v>
      </c>
      <c r="M315" s="49">
        <f t="shared" ref="M315:BS315" ca="1" si="70">SUM(M313:M314)</f>
        <v>0</v>
      </c>
      <c r="N315" s="49">
        <f t="shared" ca="1" si="70"/>
        <v>0</v>
      </c>
      <c r="O315" s="49">
        <f t="shared" ca="1" si="70"/>
        <v>0</v>
      </c>
      <c r="P315" s="49">
        <f t="shared" ca="1" si="70"/>
        <v>0</v>
      </c>
      <c r="Q315" s="49">
        <f t="shared" ca="1" si="70"/>
        <v>0</v>
      </c>
      <c r="R315" s="49">
        <f t="shared" ca="1" si="70"/>
        <v>0</v>
      </c>
      <c r="S315" s="49">
        <f t="shared" ca="1" si="70"/>
        <v>0</v>
      </c>
      <c r="T315" s="49">
        <f t="shared" ca="1" si="70"/>
        <v>0</v>
      </c>
      <c r="U315" s="49">
        <f t="shared" ca="1" si="70"/>
        <v>0</v>
      </c>
      <c r="V315" s="49">
        <f t="shared" ca="1" si="70"/>
        <v>0</v>
      </c>
      <c r="W315" s="49">
        <f t="shared" ca="1" si="70"/>
        <v>0</v>
      </c>
      <c r="X315" s="49">
        <f t="shared" ca="1" si="70"/>
        <v>0</v>
      </c>
      <c r="Y315" s="49">
        <f t="shared" ca="1" si="70"/>
        <v>0</v>
      </c>
      <c r="Z315" s="49">
        <f t="shared" ca="1" si="70"/>
        <v>0</v>
      </c>
      <c r="AA315" s="49">
        <f t="shared" ca="1" si="70"/>
        <v>0</v>
      </c>
      <c r="AB315" s="49">
        <f t="shared" ca="1" si="70"/>
        <v>0</v>
      </c>
      <c r="AC315" s="49">
        <f t="shared" ca="1" si="70"/>
        <v>0</v>
      </c>
      <c r="AD315" s="49">
        <f t="shared" ca="1" si="70"/>
        <v>0</v>
      </c>
      <c r="AE315" s="49">
        <f t="shared" ca="1" si="70"/>
        <v>0</v>
      </c>
      <c r="AF315" s="49">
        <f t="shared" ca="1" si="70"/>
        <v>0</v>
      </c>
      <c r="AG315" s="49">
        <f t="shared" ca="1" si="70"/>
        <v>0</v>
      </c>
      <c r="AH315" s="49">
        <f t="shared" ca="1" si="70"/>
        <v>0</v>
      </c>
      <c r="AI315" s="49">
        <f t="shared" ca="1" si="70"/>
        <v>0</v>
      </c>
      <c r="AJ315" s="49">
        <f t="shared" ca="1" si="70"/>
        <v>0</v>
      </c>
      <c r="AK315" s="49">
        <f t="shared" ca="1" si="70"/>
        <v>0</v>
      </c>
      <c r="AL315" s="49">
        <f t="shared" ca="1" si="70"/>
        <v>0</v>
      </c>
      <c r="AM315" s="49">
        <f t="shared" ca="1" si="70"/>
        <v>0</v>
      </c>
      <c r="AN315" s="49">
        <f t="shared" ca="1" si="70"/>
        <v>0</v>
      </c>
      <c r="AO315" s="49">
        <f t="shared" ca="1" si="70"/>
        <v>0</v>
      </c>
      <c r="AP315" s="49">
        <f t="shared" ca="1" si="70"/>
        <v>0</v>
      </c>
      <c r="AQ315" s="49">
        <f t="shared" ca="1" si="70"/>
        <v>0</v>
      </c>
      <c r="AR315" s="49">
        <f t="shared" ca="1" si="70"/>
        <v>0</v>
      </c>
      <c r="AS315" s="49">
        <f t="shared" ca="1" si="70"/>
        <v>0</v>
      </c>
      <c r="AT315" s="49">
        <f t="shared" ca="1" si="70"/>
        <v>0</v>
      </c>
      <c r="AU315" s="49">
        <f t="shared" ca="1" si="70"/>
        <v>0</v>
      </c>
      <c r="AV315" s="49">
        <f t="shared" ca="1" si="70"/>
        <v>0</v>
      </c>
      <c r="AW315" s="49">
        <f t="shared" ca="1" si="70"/>
        <v>0</v>
      </c>
      <c r="AX315" s="49">
        <f t="shared" ca="1" si="70"/>
        <v>0</v>
      </c>
      <c r="AY315" s="49">
        <f t="shared" ca="1" si="70"/>
        <v>0</v>
      </c>
      <c r="AZ315" s="49">
        <f t="shared" ca="1" si="70"/>
        <v>0</v>
      </c>
      <c r="BA315" s="49">
        <f t="shared" ca="1" si="70"/>
        <v>0</v>
      </c>
      <c r="BB315" s="49">
        <f t="shared" ca="1" si="70"/>
        <v>0</v>
      </c>
      <c r="BC315" s="49">
        <f t="shared" ca="1" si="70"/>
        <v>0</v>
      </c>
      <c r="BD315" s="49">
        <f t="shared" ca="1" si="70"/>
        <v>0</v>
      </c>
      <c r="BE315" s="49">
        <f t="shared" ca="1" si="70"/>
        <v>0</v>
      </c>
      <c r="BF315" s="49">
        <f t="shared" ca="1" si="70"/>
        <v>0</v>
      </c>
      <c r="BG315" s="49">
        <f t="shared" ca="1" si="70"/>
        <v>0</v>
      </c>
      <c r="BH315" s="49">
        <f t="shared" ca="1" si="70"/>
        <v>0</v>
      </c>
      <c r="BI315" s="49">
        <f t="shared" ca="1" si="70"/>
        <v>0</v>
      </c>
      <c r="BJ315" s="49">
        <f t="shared" ca="1" si="70"/>
        <v>0</v>
      </c>
      <c r="BK315" s="49">
        <f t="shared" ca="1" si="70"/>
        <v>0</v>
      </c>
      <c r="BL315" s="49">
        <f t="shared" ca="1" si="70"/>
        <v>0</v>
      </c>
      <c r="BM315" s="49">
        <f t="shared" ca="1" si="70"/>
        <v>0</v>
      </c>
      <c r="BN315" s="49">
        <f t="shared" ca="1" si="70"/>
        <v>0</v>
      </c>
      <c r="BO315" s="49">
        <f t="shared" ca="1" si="70"/>
        <v>0</v>
      </c>
      <c r="BP315" s="49">
        <f t="shared" ca="1" si="70"/>
        <v>0</v>
      </c>
      <c r="BQ315" s="49">
        <f t="shared" ca="1" si="70"/>
        <v>0</v>
      </c>
      <c r="BR315" s="49">
        <f t="shared" ca="1" si="70"/>
        <v>0</v>
      </c>
      <c r="BS315" s="49">
        <f t="shared" ca="1" si="70"/>
        <v>0</v>
      </c>
    </row>
    <row r="316" spans="3:71" outlineLevel="1" x14ac:dyDescent="0.2">
      <c r="J316" s="26"/>
      <c r="L316" s="55"/>
      <c r="M316" s="55"/>
      <c r="N316" s="55"/>
      <c r="O316" s="55"/>
      <c r="P316" s="55"/>
      <c r="Q316" s="55"/>
      <c r="R316" s="55"/>
      <c r="S316" s="55"/>
      <c r="T316" s="55"/>
      <c r="U316" s="55"/>
      <c r="V316" s="55"/>
      <c r="W316" s="55"/>
      <c r="X316" s="55"/>
      <c r="Y316" s="55"/>
      <c r="Z316" s="55"/>
      <c r="AA316" s="55"/>
      <c r="AB316" s="55"/>
      <c r="AC316" s="55"/>
      <c r="AD316" s="55"/>
      <c r="AE316" s="55"/>
      <c r="AF316" s="55"/>
      <c r="AG316" s="55"/>
      <c r="AH316" s="55"/>
      <c r="AI316" s="55"/>
      <c r="AJ316" s="55"/>
      <c r="AK316" s="55"/>
      <c r="AL316" s="55"/>
      <c r="AM316" s="55"/>
      <c r="AN316" s="55"/>
      <c r="AO316" s="55"/>
      <c r="AP316" s="55"/>
      <c r="AQ316" s="55"/>
      <c r="AR316" s="55"/>
      <c r="AS316" s="55"/>
      <c r="AT316" s="55"/>
      <c r="AU316" s="55"/>
      <c r="AV316" s="55"/>
      <c r="AW316" s="55"/>
      <c r="AX316" s="55"/>
      <c r="AY316" s="55"/>
      <c r="AZ316" s="55"/>
      <c r="BA316" s="55"/>
      <c r="BB316" s="55"/>
      <c r="BC316" s="55"/>
      <c r="BD316" s="55"/>
      <c r="BE316" s="55"/>
      <c r="BF316" s="55"/>
      <c r="BG316" s="55"/>
      <c r="BH316" s="55"/>
      <c r="BI316" s="55"/>
      <c r="BJ316" s="55"/>
      <c r="BK316" s="55"/>
      <c r="BL316" s="55"/>
      <c r="BM316" s="55"/>
      <c r="BN316" s="55"/>
      <c r="BO316" s="55"/>
      <c r="BP316" s="55"/>
      <c r="BQ316" s="55"/>
      <c r="BR316" s="55"/>
      <c r="BS316" s="55"/>
    </row>
    <row r="317" spans="3:71" outlineLevel="1" x14ac:dyDescent="0.2">
      <c r="J317" s="26"/>
      <c r="L317" s="55"/>
      <c r="M317" s="55"/>
      <c r="N317" s="55"/>
      <c r="O317" s="55"/>
      <c r="P317" s="55"/>
      <c r="Q317" s="55"/>
      <c r="R317" s="55"/>
      <c r="S317" s="55"/>
      <c r="T317" s="55"/>
      <c r="U317" s="55"/>
      <c r="V317" s="55"/>
      <c r="W317" s="55"/>
      <c r="X317" s="55"/>
      <c r="Y317" s="55"/>
      <c r="Z317" s="55"/>
      <c r="AA317" s="55"/>
      <c r="AB317" s="55"/>
      <c r="AC317" s="55"/>
      <c r="AD317" s="55"/>
      <c r="AE317" s="55"/>
      <c r="AF317" s="55"/>
      <c r="AG317" s="55"/>
      <c r="AH317" s="55"/>
      <c r="AI317" s="55"/>
      <c r="AJ317" s="55"/>
      <c r="AK317" s="55"/>
      <c r="AL317" s="55"/>
      <c r="AM317" s="55"/>
      <c r="AN317" s="55"/>
      <c r="AO317" s="55"/>
      <c r="AP317" s="55"/>
      <c r="AQ317" s="55"/>
      <c r="AR317" s="55"/>
      <c r="AS317" s="55"/>
      <c r="AT317" s="55"/>
      <c r="AU317" s="55"/>
      <c r="AV317" s="55"/>
      <c r="AW317" s="55"/>
      <c r="AX317" s="55"/>
      <c r="AY317" s="55"/>
      <c r="AZ317" s="55"/>
      <c r="BA317" s="55"/>
      <c r="BB317" s="55"/>
      <c r="BC317" s="55"/>
      <c r="BD317" s="55"/>
      <c r="BE317" s="55"/>
      <c r="BF317" s="55"/>
      <c r="BG317" s="55"/>
      <c r="BH317" s="55"/>
      <c r="BI317" s="55"/>
      <c r="BJ317" s="55"/>
      <c r="BK317" s="55"/>
      <c r="BL317" s="55"/>
      <c r="BM317" s="55"/>
      <c r="BN317" s="55"/>
      <c r="BO317" s="55"/>
      <c r="BP317" s="55"/>
      <c r="BQ317" s="55"/>
      <c r="BR317" s="55"/>
      <c r="BS317" s="55"/>
    </row>
    <row r="318" spans="3:71" outlineLevel="1" x14ac:dyDescent="0.2">
      <c r="J318" s="26"/>
      <c r="L318" s="55"/>
      <c r="M318" s="55"/>
      <c r="N318" s="55"/>
      <c r="O318" s="55"/>
      <c r="P318" s="55"/>
      <c r="Q318" s="55"/>
      <c r="R318" s="55"/>
      <c r="S318" s="55"/>
      <c r="T318" s="55"/>
      <c r="U318" s="55"/>
      <c r="V318" s="55"/>
      <c r="W318" s="55"/>
      <c r="X318" s="55"/>
      <c r="Y318" s="55"/>
      <c r="Z318" s="55"/>
      <c r="AA318" s="55"/>
      <c r="AB318" s="55"/>
      <c r="AC318" s="55"/>
      <c r="AD318" s="55"/>
      <c r="AE318" s="55"/>
      <c r="AF318" s="55"/>
      <c r="AG318" s="55"/>
      <c r="AH318" s="55"/>
      <c r="AI318" s="55"/>
      <c r="AJ318" s="55"/>
      <c r="AK318" s="55"/>
      <c r="AL318" s="55"/>
      <c r="AM318" s="55"/>
      <c r="AN318" s="55"/>
      <c r="AO318" s="55"/>
      <c r="AP318" s="55"/>
      <c r="AQ318" s="55"/>
      <c r="AR318" s="55"/>
      <c r="AS318" s="55"/>
      <c r="AT318" s="55"/>
      <c r="AU318" s="55"/>
      <c r="AV318" s="55"/>
      <c r="AW318" s="55"/>
      <c r="AX318" s="55"/>
      <c r="AY318" s="55"/>
      <c r="AZ318" s="55"/>
      <c r="BA318" s="55"/>
      <c r="BB318" s="55"/>
      <c r="BC318" s="55"/>
      <c r="BD318" s="55"/>
      <c r="BE318" s="55"/>
      <c r="BF318" s="55"/>
      <c r="BG318" s="55"/>
      <c r="BH318" s="55"/>
      <c r="BI318" s="55"/>
      <c r="BJ318" s="55"/>
      <c r="BK318" s="55"/>
      <c r="BL318" s="55"/>
      <c r="BM318" s="55"/>
      <c r="BN318" s="55"/>
      <c r="BO318" s="55"/>
      <c r="BP318" s="55"/>
      <c r="BQ318" s="55"/>
      <c r="BR318" s="55"/>
      <c r="BS318" s="55"/>
    </row>
    <row r="319" spans="3:71" outlineLevel="1" x14ac:dyDescent="0.2">
      <c r="J319" s="26"/>
      <c r="L319" s="55"/>
      <c r="M319" s="55"/>
      <c r="N319" s="55"/>
      <c r="O319" s="55"/>
      <c r="P319" s="55"/>
      <c r="Q319" s="55"/>
      <c r="R319" s="55"/>
      <c r="S319" s="55"/>
      <c r="T319" s="55"/>
      <c r="U319" s="55"/>
      <c r="V319" s="55"/>
      <c r="W319" s="55"/>
      <c r="X319" s="55"/>
      <c r="Y319" s="55"/>
      <c r="Z319" s="55"/>
      <c r="AA319" s="55"/>
      <c r="AB319" s="55"/>
      <c r="AC319" s="55"/>
      <c r="AD319" s="55"/>
      <c r="AE319" s="55"/>
      <c r="AF319" s="55"/>
      <c r="AG319" s="55"/>
      <c r="AH319" s="55"/>
      <c r="AI319" s="55"/>
      <c r="AJ319" s="55"/>
      <c r="AK319" s="55"/>
      <c r="AL319" s="55"/>
      <c r="AM319" s="55"/>
      <c r="AN319" s="55"/>
      <c r="AO319" s="55"/>
      <c r="AP319" s="55"/>
      <c r="AQ319" s="55"/>
      <c r="AR319" s="55"/>
      <c r="AS319" s="55"/>
      <c r="AT319" s="55"/>
      <c r="AU319" s="55"/>
      <c r="AV319" s="55"/>
      <c r="AW319" s="55"/>
      <c r="AX319" s="55"/>
      <c r="AY319" s="55"/>
      <c r="AZ319" s="55"/>
      <c r="BA319" s="55"/>
      <c r="BB319" s="55"/>
      <c r="BC319" s="55"/>
      <c r="BD319" s="55"/>
      <c r="BE319" s="55"/>
      <c r="BF319" s="55"/>
      <c r="BG319" s="55"/>
      <c r="BH319" s="55"/>
      <c r="BI319" s="55"/>
      <c r="BJ319" s="55"/>
      <c r="BK319" s="55"/>
      <c r="BL319" s="55"/>
      <c r="BM319" s="55"/>
      <c r="BN319" s="55"/>
      <c r="BO319" s="55"/>
      <c r="BP319" s="55"/>
      <c r="BQ319" s="55"/>
      <c r="BR319" s="55"/>
      <c r="BS319" s="55"/>
    </row>
    <row r="320" spans="3:71" outlineLevel="1" x14ac:dyDescent="0.2">
      <c r="J320" s="26"/>
      <c r="L320" s="55"/>
      <c r="M320" s="55"/>
      <c r="N320" s="55"/>
      <c r="O320" s="55"/>
      <c r="P320" s="55"/>
      <c r="Q320" s="55"/>
      <c r="R320" s="55"/>
      <c r="S320" s="55"/>
      <c r="T320" s="55"/>
      <c r="U320" s="55"/>
      <c r="V320" s="55"/>
      <c r="W320" s="55"/>
      <c r="X320" s="55"/>
      <c r="Y320" s="55"/>
      <c r="Z320" s="55"/>
      <c r="AA320" s="55"/>
      <c r="AB320" s="55"/>
      <c r="AC320" s="55"/>
      <c r="AD320" s="55"/>
      <c r="AE320" s="55"/>
      <c r="AF320" s="55"/>
      <c r="AG320" s="55"/>
      <c r="AH320" s="55"/>
      <c r="AI320" s="55"/>
      <c r="AJ320" s="55"/>
      <c r="AK320" s="55"/>
      <c r="AL320" s="55"/>
      <c r="AM320" s="55"/>
      <c r="AN320" s="55"/>
      <c r="AO320" s="55"/>
      <c r="AP320" s="55"/>
      <c r="AQ320" s="55"/>
      <c r="AR320" s="55"/>
      <c r="AS320" s="55"/>
      <c r="AT320" s="55"/>
      <c r="AU320" s="55"/>
      <c r="AV320" s="55"/>
      <c r="AW320" s="55"/>
      <c r="AX320" s="55"/>
      <c r="AY320" s="55"/>
      <c r="AZ320" s="55"/>
      <c r="BA320" s="55"/>
      <c r="BB320" s="55"/>
      <c r="BC320" s="55"/>
      <c r="BD320" s="55"/>
      <c r="BE320" s="55"/>
      <c r="BF320" s="55"/>
      <c r="BG320" s="55"/>
      <c r="BH320" s="55"/>
      <c r="BI320" s="55"/>
      <c r="BJ320" s="55"/>
      <c r="BK320" s="55"/>
      <c r="BL320" s="55"/>
      <c r="BM320" s="55"/>
      <c r="BN320" s="55"/>
      <c r="BO320" s="55"/>
      <c r="BP320" s="55"/>
      <c r="BQ320" s="55"/>
      <c r="BR320" s="55"/>
      <c r="BS320" s="55"/>
    </row>
    <row r="321" spans="1:71" outlineLevel="1" x14ac:dyDescent="0.2">
      <c r="J321" s="26"/>
      <c r="L321" s="55"/>
      <c r="M321" s="55"/>
      <c r="N321" s="55"/>
      <c r="O321" s="55"/>
      <c r="P321" s="55"/>
      <c r="Q321" s="55"/>
      <c r="R321" s="55"/>
      <c r="S321" s="55"/>
      <c r="T321" s="55"/>
      <c r="U321" s="55"/>
      <c r="V321" s="55"/>
      <c r="W321" s="55"/>
      <c r="X321" s="55"/>
      <c r="Y321" s="55"/>
      <c r="Z321" s="55"/>
      <c r="AA321" s="55"/>
      <c r="AB321" s="55"/>
      <c r="AC321" s="55"/>
      <c r="AD321" s="55"/>
      <c r="AE321" s="55"/>
      <c r="AF321" s="55"/>
      <c r="AG321" s="55"/>
      <c r="AH321" s="55"/>
      <c r="AI321" s="55"/>
      <c r="AJ321" s="55"/>
      <c r="AK321" s="55"/>
      <c r="AL321" s="55"/>
      <c r="AM321" s="55"/>
      <c r="AN321" s="55"/>
      <c r="AO321" s="55"/>
      <c r="AP321" s="55"/>
      <c r="AQ321" s="55"/>
      <c r="AR321" s="55"/>
      <c r="AS321" s="55"/>
      <c r="AT321" s="55"/>
      <c r="AU321" s="55"/>
      <c r="AV321" s="55"/>
      <c r="AW321" s="55"/>
      <c r="AX321" s="55"/>
      <c r="AY321" s="55"/>
      <c r="AZ321" s="55"/>
      <c r="BA321" s="55"/>
      <c r="BB321" s="55"/>
      <c r="BC321" s="55"/>
      <c r="BD321" s="55"/>
      <c r="BE321" s="55"/>
      <c r="BF321" s="55"/>
      <c r="BG321" s="55"/>
      <c r="BH321" s="55"/>
      <c r="BI321" s="55"/>
      <c r="BJ321" s="55"/>
      <c r="BK321" s="55"/>
      <c r="BL321" s="55"/>
      <c r="BM321" s="55"/>
      <c r="BN321" s="55"/>
      <c r="BO321" s="55"/>
      <c r="BP321" s="55"/>
      <c r="BQ321" s="55"/>
      <c r="BR321" s="55"/>
      <c r="BS321" s="55"/>
    </row>
    <row r="322" spans="1:71" outlineLevel="1" x14ac:dyDescent="0.2">
      <c r="A322" s="45"/>
      <c r="B322" s="38" t="s">
        <v>254</v>
      </c>
      <c r="C322" s="45"/>
      <c r="D322" s="45"/>
      <c r="E322" s="45"/>
      <c r="J322" s="26"/>
      <c r="L322" s="55"/>
      <c r="M322" s="55"/>
      <c r="N322" s="55"/>
      <c r="O322" s="55"/>
      <c r="P322" s="55"/>
      <c r="Q322" s="55"/>
      <c r="R322" s="55"/>
      <c r="S322" s="55"/>
      <c r="T322" s="55"/>
      <c r="U322" s="55"/>
      <c r="V322" s="55"/>
      <c r="W322" s="55"/>
      <c r="X322" s="55"/>
      <c r="Y322" s="55"/>
      <c r="Z322" s="55"/>
      <c r="AA322" s="55"/>
      <c r="AB322" s="55"/>
      <c r="AC322" s="55"/>
      <c r="AD322" s="55"/>
      <c r="AE322" s="55"/>
      <c r="AF322" s="55"/>
      <c r="AG322" s="55"/>
      <c r="AH322" s="55"/>
      <c r="AI322" s="55"/>
      <c r="AJ322" s="55"/>
      <c r="AK322" s="55"/>
      <c r="AL322" s="55"/>
      <c r="AM322" s="55"/>
      <c r="AN322" s="55"/>
      <c r="AO322" s="55"/>
      <c r="AP322" s="55"/>
      <c r="AQ322" s="55"/>
      <c r="AR322" s="55"/>
      <c r="AS322" s="55"/>
      <c r="AT322" s="55"/>
      <c r="AU322" s="55"/>
      <c r="AV322" s="55"/>
      <c r="AW322" s="55"/>
      <c r="AX322" s="55"/>
      <c r="AY322" s="55"/>
      <c r="AZ322" s="55"/>
      <c r="BA322" s="55"/>
      <c r="BB322" s="55"/>
      <c r="BC322" s="55"/>
      <c r="BD322" s="55"/>
      <c r="BE322" s="55"/>
      <c r="BF322" s="55"/>
      <c r="BG322" s="55"/>
      <c r="BH322" s="55"/>
      <c r="BI322" s="55"/>
      <c r="BJ322" s="55"/>
      <c r="BK322" s="55"/>
      <c r="BL322" s="55"/>
      <c r="BM322" s="55"/>
      <c r="BN322" s="55"/>
      <c r="BO322" s="55"/>
      <c r="BP322" s="55"/>
      <c r="BQ322" s="55"/>
      <c r="BR322" s="55"/>
      <c r="BS322" s="55"/>
    </row>
    <row r="323" spans="1:71" outlineLevel="1" x14ac:dyDescent="0.2">
      <c r="J323" s="26"/>
      <c r="L323" s="55"/>
      <c r="M323" s="55"/>
      <c r="N323" s="55"/>
      <c r="O323" s="55"/>
      <c r="P323" s="55"/>
      <c r="Q323" s="55"/>
      <c r="R323" s="55"/>
      <c r="S323" s="55"/>
      <c r="T323" s="55"/>
      <c r="U323" s="55"/>
      <c r="V323" s="55"/>
      <c r="W323" s="55"/>
      <c r="X323" s="55"/>
      <c r="Y323" s="55"/>
      <c r="Z323" s="55"/>
      <c r="AA323" s="55"/>
      <c r="AB323" s="55"/>
      <c r="AC323" s="55"/>
      <c r="AD323" s="55"/>
      <c r="AE323" s="55"/>
      <c r="AF323" s="55"/>
      <c r="AG323" s="55"/>
      <c r="AH323" s="55"/>
      <c r="AI323" s="55"/>
      <c r="AJ323" s="55"/>
      <c r="AK323" s="55"/>
      <c r="AL323" s="55"/>
      <c r="AM323" s="55"/>
      <c r="AN323" s="55"/>
      <c r="AO323" s="55"/>
      <c r="AP323" s="55"/>
      <c r="AQ323" s="55"/>
      <c r="AR323" s="55"/>
      <c r="AS323" s="55"/>
      <c r="AT323" s="55"/>
      <c r="AU323" s="55"/>
      <c r="AV323" s="55"/>
      <c r="AW323" s="55"/>
      <c r="AX323" s="55"/>
      <c r="AY323" s="55"/>
      <c r="AZ323" s="55"/>
      <c r="BA323" s="55"/>
      <c r="BB323" s="55"/>
      <c r="BC323" s="55"/>
      <c r="BD323" s="55"/>
      <c r="BE323" s="55"/>
      <c r="BF323" s="55"/>
      <c r="BG323" s="55"/>
      <c r="BH323" s="55"/>
      <c r="BI323" s="55"/>
      <c r="BJ323" s="55"/>
      <c r="BK323" s="55"/>
      <c r="BL323" s="55"/>
      <c r="BM323" s="55"/>
      <c r="BN323" s="55"/>
      <c r="BO323" s="55"/>
      <c r="BP323" s="55"/>
      <c r="BQ323" s="55"/>
      <c r="BR323" s="55"/>
      <c r="BS323" s="55"/>
    </row>
    <row r="324" spans="1:71" outlineLevel="1" x14ac:dyDescent="0.2">
      <c r="C324" s="11" t="s">
        <v>330</v>
      </c>
      <c r="J324" s="26"/>
      <c r="L324" s="55"/>
      <c r="M324" s="55"/>
      <c r="N324" s="55"/>
      <c r="O324" s="55"/>
      <c r="P324" s="55"/>
      <c r="Q324" s="55"/>
      <c r="R324" s="55"/>
      <c r="S324" s="55"/>
      <c r="T324" s="55"/>
      <c r="U324" s="55"/>
      <c r="V324" s="55"/>
      <c r="W324" s="55"/>
      <c r="X324" s="55"/>
      <c r="Y324" s="55"/>
      <c r="Z324" s="55"/>
      <c r="AA324" s="55"/>
      <c r="AB324" s="55"/>
      <c r="AC324" s="55"/>
      <c r="AD324" s="55"/>
      <c r="AE324" s="55"/>
      <c r="AF324" s="55"/>
      <c r="AG324" s="55"/>
      <c r="AH324" s="55"/>
      <c r="AI324" s="55"/>
      <c r="AJ324" s="55"/>
      <c r="AK324" s="55"/>
      <c r="AL324" s="55"/>
      <c r="AM324" s="55"/>
      <c r="AN324" s="55"/>
      <c r="AO324" s="55"/>
      <c r="AP324" s="55"/>
      <c r="AQ324" s="55"/>
      <c r="AR324" s="55"/>
      <c r="AS324" s="55"/>
      <c r="AT324" s="55"/>
      <c r="AU324" s="55"/>
      <c r="AV324" s="55"/>
      <c r="AW324" s="55"/>
      <c r="AX324" s="55"/>
      <c r="AY324" s="55"/>
      <c r="AZ324" s="55"/>
      <c r="BA324" s="55"/>
      <c r="BB324" s="55"/>
      <c r="BC324" s="55"/>
      <c r="BD324" s="55"/>
      <c r="BE324" s="55"/>
      <c r="BF324" s="55"/>
      <c r="BG324" s="55"/>
      <c r="BH324" s="55"/>
      <c r="BI324" s="55"/>
      <c r="BJ324" s="55"/>
      <c r="BK324" s="55"/>
      <c r="BL324" s="55"/>
      <c r="BM324" s="55"/>
      <c r="BN324" s="55"/>
      <c r="BO324" s="55"/>
      <c r="BP324" s="55"/>
      <c r="BQ324" s="55"/>
      <c r="BR324" s="55"/>
      <c r="BS324" s="55"/>
    </row>
    <row r="325" spans="1:71" outlineLevel="1" x14ac:dyDescent="0.2">
      <c r="D325" t="s">
        <v>331</v>
      </c>
      <c r="I325" s="30">
        <f t="shared" ref="I325:I328" ca="1" si="71">SUM($L325:$BS325)</f>
        <v>0</v>
      </c>
      <c r="J325" s="26" t="s">
        <v>148</v>
      </c>
      <c r="K325" s="7" t="s">
        <v>358</v>
      </c>
      <c r="L325" s="49">
        <f ca="1">(Loango_II!CA_expex_nom*Loango_II!NOC_CI_expex)*Loango_II!CA_op_trig</f>
        <v>0</v>
      </c>
      <c r="M325" s="49">
        <f ca="1">(Loango_II!CA_expex_nom*Loango_II!NOC_CI_expex)*Loango_II!CA_op_trig</f>
        <v>0</v>
      </c>
      <c r="N325" s="49">
        <f ca="1">(Loango_II!CA_expex_nom*Loango_II!NOC_CI_expex)*Loango_II!CA_op_trig</f>
        <v>0</v>
      </c>
      <c r="O325" s="49">
        <f ca="1">(Loango_II!CA_expex_nom*Loango_II!NOC_CI_expex)*Loango_II!CA_op_trig</f>
        <v>0</v>
      </c>
      <c r="P325" s="49">
        <f ca="1">(Loango_II!CA_expex_nom*Loango_II!NOC_CI_expex)*Loango_II!CA_op_trig</f>
        <v>0</v>
      </c>
      <c r="Q325" s="49">
        <f ca="1">(Loango_II!CA_expex_nom*Loango_II!NOC_CI_expex)*Loango_II!CA_op_trig</f>
        <v>0</v>
      </c>
      <c r="R325" s="49">
        <f ca="1">(Loango_II!CA_expex_nom*Loango_II!NOC_CI_expex)*Loango_II!CA_op_trig</f>
        <v>0</v>
      </c>
      <c r="S325" s="49">
        <f ca="1">(Loango_II!CA_expex_nom*Loango_II!NOC_CI_expex)*Loango_II!CA_op_trig</f>
        <v>0</v>
      </c>
      <c r="T325" s="49">
        <f ca="1">(Loango_II!CA_expex_nom*Loango_II!NOC_CI_expex)*Loango_II!CA_op_trig</f>
        <v>0</v>
      </c>
      <c r="U325" s="49">
        <f ca="1">(Loango_II!CA_expex_nom*Loango_II!NOC_CI_expex)*Loango_II!CA_op_trig</f>
        <v>0</v>
      </c>
      <c r="V325" s="49">
        <f ca="1">(Loango_II!CA_expex_nom*Loango_II!NOC_CI_expex)*Loango_II!CA_op_trig</f>
        <v>0</v>
      </c>
      <c r="W325" s="49">
        <f ca="1">(Loango_II!CA_expex_nom*Loango_II!NOC_CI_expex)*Loango_II!CA_op_trig</f>
        <v>0</v>
      </c>
      <c r="X325" s="49">
        <f ca="1">(Loango_II!CA_expex_nom*Loango_II!NOC_CI_expex)*Loango_II!CA_op_trig</f>
        <v>0</v>
      </c>
      <c r="Y325" s="49">
        <f ca="1">(Loango_II!CA_expex_nom*Loango_II!NOC_CI_expex)*Loango_II!CA_op_trig</f>
        <v>0</v>
      </c>
      <c r="Z325" s="49">
        <f ca="1">(Loango_II!CA_expex_nom*Loango_II!NOC_CI_expex)*Loango_II!CA_op_trig</f>
        <v>0</v>
      </c>
      <c r="AA325" s="49">
        <f ca="1">(Loango_II!CA_expex_nom*Loango_II!NOC_CI_expex)*Loango_II!CA_op_trig</f>
        <v>0</v>
      </c>
      <c r="AB325" s="49">
        <f ca="1">(Loango_II!CA_expex_nom*Loango_II!NOC_CI_expex)*Loango_II!CA_op_trig</f>
        <v>0</v>
      </c>
      <c r="AC325" s="49">
        <f ca="1">(Loango_II!CA_expex_nom*Loango_II!NOC_CI_expex)*Loango_II!CA_op_trig</f>
        <v>0</v>
      </c>
      <c r="AD325" s="49">
        <f ca="1">(Loango_II!CA_expex_nom*Loango_II!NOC_CI_expex)*Loango_II!CA_op_trig</f>
        <v>0</v>
      </c>
      <c r="AE325" s="49">
        <f ca="1">(Loango_II!CA_expex_nom*Loango_II!NOC_CI_expex)*Loango_II!CA_op_trig</f>
        <v>0</v>
      </c>
      <c r="AF325" s="49">
        <f ca="1">(Loango_II!CA_expex_nom*Loango_II!NOC_CI_expex)*Loango_II!CA_op_trig</f>
        <v>0</v>
      </c>
      <c r="AG325" s="49">
        <f ca="1">(Loango_II!CA_expex_nom*Loango_II!NOC_CI_expex)*Loango_II!CA_op_trig</f>
        <v>0</v>
      </c>
      <c r="AH325" s="49">
        <f ca="1">(Loango_II!CA_expex_nom*Loango_II!NOC_CI_expex)*Loango_II!CA_op_trig</f>
        <v>0</v>
      </c>
      <c r="AI325" s="49">
        <f ca="1">(Loango_II!CA_expex_nom*Loango_II!NOC_CI_expex)*Loango_II!CA_op_trig</f>
        <v>0</v>
      </c>
      <c r="AJ325" s="49">
        <f ca="1">(Loango_II!CA_expex_nom*Loango_II!NOC_CI_expex)*Loango_II!CA_op_trig</f>
        <v>0</v>
      </c>
      <c r="AK325" s="49">
        <f ca="1">(Loango_II!CA_expex_nom*Loango_II!NOC_CI_expex)*Loango_II!CA_op_trig</f>
        <v>0</v>
      </c>
      <c r="AL325" s="49">
        <f ca="1">(Loango_II!CA_expex_nom*Loango_II!NOC_CI_expex)*Loango_II!CA_op_trig</f>
        <v>0</v>
      </c>
      <c r="AM325" s="49">
        <f ca="1">(Loango_II!CA_expex_nom*Loango_II!NOC_CI_expex)*Loango_II!CA_op_trig</f>
        <v>0</v>
      </c>
      <c r="AN325" s="49">
        <f ca="1">(Loango_II!CA_expex_nom*Loango_II!NOC_CI_expex)*Loango_II!CA_op_trig</f>
        <v>0</v>
      </c>
      <c r="AO325" s="49">
        <f ca="1">(Loango_II!CA_expex_nom*Loango_II!NOC_CI_expex)*Loango_II!CA_op_trig</f>
        <v>0</v>
      </c>
      <c r="AP325" s="49">
        <f ca="1">(Loango_II!CA_expex_nom*Loango_II!NOC_CI_expex)*Loango_II!CA_op_trig</f>
        <v>0</v>
      </c>
      <c r="AQ325" s="49">
        <f ca="1">(Loango_II!CA_expex_nom*Loango_II!NOC_CI_expex)*Loango_II!CA_op_trig</f>
        <v>0</v>
      </c>
      <c r="AR325" s="49">
        <f ca="1">(Loango_II!CA_expex_nom*Loango_II!NOC_CI_expex)*Loango_II!CA_op_trig</f>
        <v>0</v>
      </c>
      <c r="AS325" s="49">
        <f ca="1">(Loango_II!CA_expex_nom*Loango_II!NOC_CI_expex)*Loango_II!CA_op_trig</f>
        <v>0</v>
      </c>
      <c r="AT325" s="49">
        <f ca="1">(Loango_II!CA_expex_nom*Loango_II!NOC_CI_expex)*Loango_II!CA_op_trig</f>
        <v>0</v>
      </c>
      <c r="AU325" s="49">
        <f ca="1">(Loango_II!CA_expex_nom*Loango_II!NOC_CI_expex)*Loango_II!CA_op_trig</f>
        <v>0</v>
      </c>
      <c r="AV325" s="49">
        <f ca="1">(Loango_II!CA_expex_nom*Loango_II!NOC_CI_expex)*Loango_II!CA_op_trig</f>
        <v>0</v>
      </c>
      <c r="AW325" s="49">
        <f ca="1">(Loango_II!CA_expex_nom*Loango_II!NOC_CI_expex)*Loango_II!CA_op_trig</f>
        <v>0</v>
      </c>
      <c r="AX325" s="49">
        <f ca="1">(Loango_II!CA_expex_nom*Loango_II!NOC_CI_expex)*Loango_II!CA_op_trig</f>
        <v>0</v>
      </c>
      <c r="AY325" s="49">
        <f ca="1">(Loango_II!CA_expex_nom*Loango_II!NOC_CI_expex)*Loango_II!CA_op_trig</f>
        <v>0</v>
      </c>
      <c r="AZ325" s="49">
        <f ca="1">(Loango_II!CA_expex_nom*Loango_II!NOC_CI_expex)*Loango_II!CA_op_trig</f>
        <v>0</v>
      </c>
      <c r="BA325" s="49">
        <f ca="1">(Loango_II!CA_expex_nom*Loango_II!NOC_CI_expex)*Loango_II!CA_op_trig</f>
        <v>0</v>
      </c>
      <c r="BB325" s="49">
        <f ca="1">(Loango_II!CA_expex_nom*Loango_II!NOC_CI_expex)*Loango_II!CA_op_trig</f>
        <v>0</v>
      </c>
      <c r="BC325" s="49">
        <f ca="1">(Loango_II!CA_expex_nom*Loango_II!NOC_CI_expex)*Loango_II!CA_op_trig</f>
        <v>0</v>
      </c>
      <c r="BD325" s="49">
        <f ca="1">(Loango_II!CA_expex_nom*Loango_II!NOC_CI_expex)*Loango_II!CA_op_trig</f>
        <v>0</v>
      </c>
      <c r="BE325" s="49">
        <f ca="1">(Loango_II!CA_expex_nom*Loango_II!NOC_CI_expex)*Loango_II!CA_op_trig</f>
        <v>0</v>
      </c>
      <c r="BF325" s="49">
        <f ca="1">(Loango_II!CA_expex_nom*Loango_II!NOC_CI_expex)*Loango_II!CA_op_trig</f>
        <v>0</v>
      </c>
      <c r="BG325" s="49">
        <f ca="1">(Loango_II!CA_expex_nom*Loango_II!NOC_CI_expex)*Loango_II!CA_op_trig</f>
        <v>0</v>
      </c>
      <c r="BH325" s="49">
        <f ca="1">(Loango_II!CA_expex_nom*Loango_II!NOC_CI_expex)*Loango_II!CA_op_trig</f>
        <v>0</v>
      </c>
      <c r="BI325" s="49">
        <f ca="1">(Loango_II!CA_expex_nom*Loango_II!NOC_CI_expex)*Loango_II!CA_op_trig</f>
        <v>0</v>
      </c>
      <c r="BJ325" s="49">
        <f ca="1">(Loango_II!CA_expex_nom*Loango_II!NOC_CI_expex)*Loango_II!CA_op_trig</f>
        <v>0</v>
      </c>
      <c r="BK325" s="49">
        <f ca="1">(Loango_II!CA_expex_nom*Loango_II!NOC_CI_expex)*Loango_II!CA_op_trig</f>
        <v>0</v>
      </c>
      <c r="BL325" s="49">
        <f ca="1">(Loango_II!CA_expex_nom*Loango_II!NOC_CI_expex)*Loango_II!CA_op_trig</f>
        <v>0</v>
      </c>
      <c r="BM325" s="49">
        <f ca="1">(Loango_II!CA_expex_nom*Loango_II!NOC_CI_expex)*Loango_II!CA_op_trig</f>
        <v>0</v>
      </c>
      <c r="BN325" s="49">
        <f ca="1">(Loango_II!CA_expex_nom*Loango_II!NOC_CI_expex)*Loango_II!CA_op_trig</f>
        <v>0</v>
      </c>
      <c r="BO325" s="49">
        <f ca="1">(Loango_II!CA_expex_nom*Loango_II!NOC_CI_expex)*Loango_II!CA_op_trig</f>
        <v>0</v>
      </c>
      <c r="BP325" s="49">
        <f ca="1">(Loango_II!CA_expex_nom*Loango_II!NOC_CI_expex)*Loango_II!CA_op_trig</f>
        <v>0</v>
      </c>
      <c r="BQ325" s="49">
        <f ca="1">(Loango_II!CA_expex_nom*Loango_II!NOC_CI_expex)*Loango_II!CA_op_trig</f>
        <v>0</v>
      </c>
      <c r="BR325" s="49">
        <f ca="1">(Loango_II!CA_expex_nom*Loango_II!NOC_CI_expex)*Loango_II!CA_op_trig</f>
        <v>0</v>
      </c>
      <c r="BS325" s="49">
        <f ca="1">(Loango_II!CA_expex_nom*Loango_II!NOC_CI_expex)*Loango_II!CA_op_trig</f>
        <v>0</v>
      </c>
    </row>
    <row r="326" spans="1:71" outlineLevel="1" x14ac:dyDescent="0.2">
      <c r="D326" t="s">
        <v>332</v>
      </c>
      <c r="I326" s="30">
        <f t="shared" ca="1" si="71"/>
        <v>1091.3591000000001</v>
      </c>
      <c r="J326" s="26" t="s">
        <v>148</v>
      </c>
      <c r="K326" s="7" t="s">
        <v>359</v>
      </c>
      <c r="L326" s="49">
        <f ca="1">(Loango_II!CA_devex_nom*Loango_II!NOC_CI_devex)*(Loango_II!CA_op_trig)</f>
        <v>128.6782</v>
      </c>
      <c r="M326" s="49">
        <f ca="1">(Loango_II!CA_devex_nom*Loango_II!NOC_CI_devex)*(Loango_II!CA_op_trig)</f>
        <v>211.8212</v>
      </c>
      <c r="N326" s="49">
        <f ca="1">(Loango_II!CA_devex_nom*Loango_II!NOC_CI_devex)*(Loango_II!CA_op_trig)</f>
        <v>313.05740000000003</v>
      </c>
      <c r="O326" s="49">
        <f ca="1">(Loango_II!CA_devex_nom*Loango_II!NOC_CI_devex)*(Loango_II!CA_op_trig)</f>
        <v>257.12010000000004</v>
      </c>
      <c r="P326" s="49">
        <f ca="1">(Loango_II!CA_devex_nom*Loango_II!NOC_CI_devex)*(Loango_II!CA_op_trig)</f>
        <v>115.3232</v>
      </c>
      <c r="Q326" s="49">
        <f ca="1">(Loango_II!CA_devex_nom*Loango_II!NOC_CI_devex)*(Loango_II!CA_op_trig)</f>
        <v>65.359000000000009</v>
      </c>
      <c r="R326" s="49">
        <f ca="1">(Loango_II!CA_devex_nom*Loango_II!NOC_CI_devex)*(Loango_II!CA_op_trig)</f>
        <v>0</v>
      </c>
      <c r="S326" s="49">
        <f ca="1">(Loango_II!CA_devex_nom*Loango_II!NOC_CI_devex)*(Loango_II!CA_op_trig)</f>
        <v>0</v>
      </c>
      <c r="T326" s="49">
        <f ca="1">(Loango_II!CA_devex_nom*Loango_II!NOC_CI_devex)*(Loango_II!CA_op_trig)</f>
        <v>0</v>
      </c>
      <c r="U326" s="49">
        <f ca="1">(Loango_II!CA_devex_nom*Loango_II!NOC_CI_devex)*(Loango_II!CA_op_trig)</f>
        <v>0</v>
      </c>
      <c r="V326" s="49">
        <f ca="1">(Loango_II!CA_devex_nom*Loango_II!NOC_CI_devex)*(Loango_II!CA_op_trig)</f>
        <v>0</v>
      </c>
      <c r="W326" s="49">
        <f ca="1">(Loango_II!CA_devex_nom*Loango_II!NOC_CI_devex)*(Loango_II!CA_op_trig)</f>
        <v>0</v>
      </c>
      <c r="X326" s="49">
        <f ca="1">(Loango_II!CA_devex_nom*Loango_II!NOC_CI_devex)*(Loango_II!CA_op_trig)</f>
        <v>0</v>
      </c>
      <c r="Y326" s="49">
        <f ca="1">(Loango_II!CA_devex_nom*Loango_II!NOC_CI_devex)*(Loango_II!CA_op_trig)</f>
        <v>0</v>
      </c>
      <c r="Z326" s="49">
        <f ca="1">(Loango_II!CA_devex_nom*Loango_II!NOC_CI_devex)*(Loango_II!CA_op_trig)</f>
        <v>0</v>
      </c>
      <c r="AA326" s="49">
        <f ca="1">(Loango_II!CA_devex_nom*Loango_II!NOC_CI_devex)*(Loango_II!CA_op_trig)</f>
        <v>0</v>
      </c>
      <c r="AB326" s="49">
        <f ca="1">(Loango_II!CA_devex_nom*Loango_II!NOC_CI_devex)*(Loango_II!CA_op_trig)</f>
        <v>0</v>
      </c>
      <c r="AC326" s="49">
        <f ca="1">(Loango_II!CA_devex_nom*Loango_II!NOC_CI_devex)*(Loango_II!CA_op_trig)</f>
        <v>0</v>
      </c>
      <c r="AD326" s="49">
        <f ca="1">(Loango_II!CA_devex_nom*Loango_II!NOC_CI_devex)*(Loango_II!CA_op_trig)</f>
        <v>0</v>
      </c>
      <c r="AE326" s="49">
        <f ca="1">(Loango_II!CA_devex_nom*Loango_II!NOC_CI_devex)*(Loango_II!CA_op_trig)</f>
        <v>0</v>
      </c>
      <c r="AF326" s="49">
        <f ca="1">(Loango_II!CA_devex_nom*Loango_II!NOC_CI_devex)*(Loango_II!CA_op_trig)</f>
        <v>0</v>
      </c>
      <c r="AG326" s="49">
        <f ca="1">(Loango_II!CA_devex_nom*Loango_II!NOC_CI_devex)*(Loango_II!CA_op_trig)</f>
        <v>0</v>
      </c>
      <c r="AH326" s="49">
        <f ca="1">(Loango_II!CA_devex_nom*Loango_II!NOC_CI_devex)*(Loango_II!CA_op_trig)</f>
        <v>0</v>
      </c>
      <c r="AI326" s="49">
        <f ca="1">(Loango_II!CA_devex_nom*Loango_II!NOC_CI_devex)*(Loango_II!CA_op_trig)</f>
        <v>0</v>
      </c>
      <c r="AJ326" s="49">
        <f ca="1">(Loango_II!CA_devex_nom*Loango_II!NOC_CI_devex)*(Loango_II!CA_op_trig)</f>
        <v>0</v>
      </c>
      <c r="AK326" s="49">
        <f ca="1">(Loango_II!CA_devex_nom*Loango_II!NOC_CI_devex)*(Loango_II!CA_op_trig)</f>
        <v>0</v>
      </c>
      <c r="AL326" s="49">
        <f ca="1">(Loango_II!CA_devex_nom*Loango_II!NOC_CI_devex)*(Loango_II!CA_op_trig)</f>
        <v>0</v>
      </c>
      <c r="AM326" s="49">
        <f ca="1">(Loango_II!CA_devex_nom*Loango_II!NOC_CI_devex)*(Loango_II!CA_op_trig)</f>
        <v>0</v>
      </c>
      <c r="AN326" s="49">
        <f ca="1">(Loango_II!CA_devex_nom*Loango_II!NOC_CI_devex)*(Loango_II!CA_op_trig)</f>
        <v>0</v>
      </c>
      <c r="AO326" s="49">
        <f ca="1">(Loango_II!CA_devex_nom*Loango_II!NOC_CI_devex)*(Loango_II!CA_op_trig)</f>
        <v>0</v>
      </c>
      <c r="AP326" s="49">
        <f ca="1">(Loango_II!CA_devex_nom*Loango_II!NOC_CI_devex)*(Loango_II!CA_op_trig)</f>
        <v>0</v>
      </c>
      <c r="AQ326" s="49">
        <f ca="1">(Loango_II!CA_devex_nom*Loango_II!NOC_CI_devex)*(Loango_II!CA_op_trig)</f>
        <v>0</v>
      </c>
      <c r="AR326" s="49">
        <f ca="1">(Loango_II!CA_devex_nom*Loango_II!NOC_CI_devex)*(Loango_II!CA_op_trig)</f>
        <v>0</v>
      </c>
      <c r="AS326" s="49">
        <f ca="1">(Loango_II!CA_devex_nom*Loango_II!NOC_CI_devex)*(Loango_II!CA_op_trig)</f>
        <v>0</v>
      </c>
      <c r="AT326" s="49">
        <f ca="1">(Loango_II!CA_devex_nom*Loango_II!NOC_CI_devex)*(Loango_II!CA_op_trig)</f>
        <v>0</v>
      </c>
      <c r="AU326" s="49">
        <f ca="1">(Loango_II!CA_devex_nom*Loango_II!NOC_CI_devex)*(Loango_II!CA_op_trig)</f>
        <v>0</v>
      </c>
      <c r="AV326" s="49">
        <f ca="1">(Loango_II!CA_devex_nom*Loango_II!NOC_CI_devex)*(Loango_II!CA_op_trig)</f>
        <v>0</v>
      </c>
      <c r="AW326" s="49">
        <f ca="1">(Loango_II!CA_devex_nom*Loango_II!NOC_CI_devex)*(Loango_II!CA_op_trig)</f>
        <v>0</v>
      </c>
      <c r="AX326" s="49">
        <f ca="1">(Loango_II!CA_devex_nom*Loango_II!NOC_CI_devex)*(Loango_II!CA_op_trig)</f>
        <v>0</v>
      </c>
      <c r="AY326" s="49">
        <f ca="1">(Loango_II!CA_devex_nom*Loango_II!NOC_CI_devex)*(Loango_II!CA_op_trig)</f>
        <v>0</v>
      </c>
      <c r="AZ326" s="49">
        <f ca="1">(Loango_II!CA_devex_nom*Loango_II!NOC_CI_devex)*(Loango_II!CA_op_trig)</f>
        <v>0</v>
      </c>
      <c r="BA326" s="49">
        <f ca="1">(Loango_II!CA_devex_nom*Loango_II!NOC_CI_devex)*(Loango_II!CA_op_trig)</f>
        <v>0</v>
      </c>
      <c r="BB326" s="49">
        <f ca="1">(Loango_II!CA_devex_nom*Loango_II!NOC_CI_devex)*(Loango_II!CA_op_trig)</f>
        <v>0</v>
      </c>
      <c r="BC326" s="49">
        <f ca="1">(Loango_II!CA_devex_nom*Loango_II!NOC_CI_devex)*(Loango_II!CA_op_trig)</f>
        <v>0</v>
      </c>
      <c r="BD326" s="49">
        <f ca="1">(Loango_II!CA_devex_nom*Loango_II!NOC_CI_devex)*(Loango_II!CA_op_trig)</f>
        <v>0</v>
      </c>
      <c r="BE326" s="49">
        <f ca="1">(Loango_II!CA_devex_nom*Loango_II!NOC_CI_devex)*(Loango_II!CA_op_trig)</f>
        <v>0</v>
      </c>
      <c r="BF326" s="49">
        <f ca="1">(Loango_II!CA_devex_nom*Loango_II!NOC_CI_devex)*(Loango_II!CA_op_trig)</f>
        <v>0</v>
      </c>
      <c r="BG326" s="49">
        <f ca="1">(Loango_II!CA_devex_nom*Loango_II!NOC_CI_devex)*(Loango_II!CA_op_trig)</f>
        <v>0</v>
      </c>
      <c r="BH326" s="49">
        <f ca="1">(Loango_II!CA_devex_nom*Loango_II!NOC_CI_devex)*(Loango_II!CA_op_trig)</f>
        <v>0</v>
      </c>
      <c r="BI326" s="49">
        <f ca="1">(Loango_II!CA_devex_nom*Loango_II!NOC_CI_devex)*(Loango_II!CA_op_trig)</f>
        <v>0</v>
      </c>
      <c r="BJ326" s="49">
        <f ca="1">(Loango_II!CA_devex_nom*Loango_II!NOC_CI_devex)*(Loango_II!CA_op_trig)</f>
        <v>0</v>
      </c>
      <c r="BK326" s="49">
        <f ca="1">(Loango_II!CA_devex_nom*Loango_II!NOC_CI_devex)*(Loango_II!CA_op_trig)</f>
        <v>0</v>
      </c>
      <c r="BL326" s="49">
        <f ca="1">(Loango_II!CA_devex_nom*Loango_II!NOC_CI_devex)*(Loango_II!CA_op_trig)</f>
        <v>0</v>
      </c>
      <c r="BM326" s="49">
        <f ca="1">(Loango_II!CA_devex_nom*Loango_II!NOC_CI_devex)*(Loango_II!CA_op_trig)</f>
        <v>0</v>
      </c>
      <c r="BN326" s="49">
        <f ca="1">(Loango_II!CA_devex_nom*Loango_II!NOC_CI_devex)*(Loango_II!CA_op_trig)</f>
        <v>0</v>
      </c>
      <c r="BO326" s="49">
        <f ca="1">(Loango_II!CA_devex_nom*Loango_II!NOC_CI_devex)*(Loango_II!CA_op_trig)</f>
        <v>0</v>
      </c>
      <c r="BP326" s="49">
        <f ca="1">(Loango_II!CA_devex_nom*Loango_II!NOC_CI_devex)*(Loango_II!CA_op_trig)</f>
        <v>0</v>
      </c>
      <c r="BQ326" s="49">
        <f ca="1">(Loango_II!CA_devex_nom*Loango_II!NOC_CI_devex)*(Loango_II!CA_op_trig)</f>
        <v>0</v>
      </c>
      <c r="BR326" s="49">
        <f ca="1">(Loango_II!CA_devex_nom*Loango_II!NOC_CI_devex)*(Loango_II!CA_op_trig)</f>
        <v>0</v>
      </c>
      <c r="BS326" s="49">
        <f ca="1">(Loango_II!CA_devex_nom*Loango_II!NOC_CI_devex)*(Loango_II!CA_op_trig)</f>
        <v>0</v>
      </c>
    </row>
    <row r="327" spans="1:71" outlineLevel="1" x14ac:dyDescent="0.2">
      <c r="D327" t="s">
        <v>333</v>
      </c>
      <c r="I327" s="30">
        <f t="shared" ca="1" si="71"/>
        <v>0</v>
      </c>
      <c r="J327" s="26" t="s">
        <v>148</v>
      </c>
      <c r="K327" s="7" t="s">
        <v>360</v>
      </c>
      <c r="L327" s="49">
        <f ca="1">((Loango_II!CA_varopex_nom+Loango_II!CA_fixedopex_nom)*(Loango_II!NOC_CI_opex))*(Loango_II!CA_op_trig)</f>
        <v>0</v>
      </c>
      <c r="M327" s="49">
        <f ca="1">((Loango_II!CA_varopex_nom+Loango_II!CA_fixedopex_nom)*(Loango_II!NOC_CI_opex))*(Loango_II!CA_op_trig)</f>
        <v>0</v>
      </c>
      <c r="N327" s="49">
        <f ca="1">((Loango_II!CA_varopex_nom+Loango_II!CA_fixedopex_nom)*(Loango_II!NOC_CI_opex))*(Loango_II!CA_op_trig)</f>
        <v>0</v>
      </c>
      <c r="O327" s="49">
        <f ca="1">((Loango_II!CA_varopex_nom+Loango_II!CA_fixedopex_nom)*(Loango_II!NOC_CI_opex))*(Loango_II!CA_op_trig)</f>
        <v>0</v>
      </c>
      <c r="P327" s="49">
        <f ca="1">((Loango_II!CA_varopex_nom+Loango_II!CA_fixedopex_nom)*(Loango_II!NOC_CI_opex))*(Loango_II!CA_op_trig)</f>
        <v>0</v>
      </c>
      <c r="Q327" s="49">
        <f ca="1">((Loango_II!CA_varopex_nom+Loango_II!CA_fixedopex_nom)*(Loango_II!NOC_CI_opex))*(Loango_II!CA_op_trig)</f>
        <v>0</v>
      </c>
      <c r="R327" s="49">
        <f ca="1">((Loango_II!CA_varopex_nom+Loango_II!CA_fixedopex_nom)*(Loango_II!NOC_CI_opex))*(Loango_II!CA_op_trig)</f>
        <v>0</v>
      </c>
      <c r="S327" s="49">
        <f ca="1">((Loango_II!CA_varopex_nom+Loango_II!CA_fixedopex_nom)*(Loango_II!NOC_CI_opex))*(Loango_II!CA_op_trig)</f>
        <v>0</v>
      </c>
      <c r="T327" s="49">
        <f ca="1">((Loango_II!CA_varopex_nom+Loango_II!CA_fixedopex_nom)*(Loango_II!NOC_CI_opex))*(Loango_II!CA_op_trig)</f>
        <v>0</v>
      </c>
      <c r="U327" s="49">
        <f ca="1">((Loango_II!CA_varopex_nom+Loango_II!CA_fixedopex_nom)*(Loango_II!NOC_CI_opex))*(Loango_II!CA_op_trig)</f>
        <v>0</v>
      </c>
      <c r="V327" s="49">
        <f ca="1">((Loango_II!CA_varopex_nom+Loango_II!CA_fixedopex_nom)*(Loango_II!NOC_CI_opex))*(Loango_II!CA_op_trig)</f>
        <v>0</v>
      </c>
      <c r="W327" s="49">
        <f ca="1">((Loango_II!CA_varopex_nom+Loango_II!CA_fixedopex_nom)*(Loango_II!NOC_CI_opex))*(Loango_II!CA_op_trig)</f>
        <v>0</v>
      </c>
      <c r="X327" s="49">
        <f ca="1">((Loango_II!CA_varopex_nom+Loango_II!CA_fixedopex_nom)*(Loango_II!NOC_CI_opex))*(Loango_II!CA_op_trig)</f>
        <v>0</v>
      </c>
      <c r="Y327" s="49">
        <f ca="1">((Loango_II!CA_varopex_nom+Loango_II!CA_fixedopex_nom)*(Loango_II!NOC_CI_opex))*(Loango_II!CA_op_trig)</f>
        <v>0</v>
      </c>
      <c r="Z327" s="49">
        <f ca="1">((Loango_II!CA_varopex_nom+Loango_II!CA_fixedopex_nom)*(Loango_II!NOC_CI_opex))*(Loango_II!CA_op_trig)</f>
        <v>0</v>
      </c>
      <c r="AA327" s="49">
        <f ca="1">((Loango_II!CA_varopex_nom+Loango_II!CA_fixedopex_nom)*(Loango_II!NOC_CI_opex))*(Loango_II!CA_op_trig)</f>
        <v>0</v>
      </c>
      <c r="AB327" s="49">
        <f ca="1">((Loango_II!CA_varopex_nom+Loango_II!CA_fixedopex_nom)*(Loango_II!NOC_CI_opex))*(Loango_II!CA_op_trig)</f>
        <v>0</v>
      </c>
      <c r="AC327" s="49">
        <f ca="1">((Loango_II!CA_varopex_nom+Loango_II!CA_fixedopex_nom)*(Loango_II!NOC_CI_opex))*(Loango_II!CA_op_trig)</f>
        <v>0</v>
      </c>
      <c r="AD327" s="49">
        <f ca="1">((Loango_II!CA_varopex_nom+Loango_II!CA_fixedopex_nom)*(Loango_II!NOC_CI_opex))*(Loango_II!CA_op_trig)</f>
        <v>0</v>
      </c>
      <c r="AE327" s="49">
        <f ca="1">((Loango_II!CA_varopex_nom+Loango_II!CA_fixedopex_nom)*(Loango_II!NOC_CI_opex))*(Loango_II!CA_op_trig)</f>
        <v>0</v>
      </c>
      <c r="AF327" s="49">
        <f ca="1">((Loango_II!CA_varopex_nom+Loango_II!CA_fixedopex_nom)*(Loango_II!NOC_CI_opex))*(Loango_II!CA_op_trig)</f>
        <v>0</v>
      </c>
      <c r="AG327" s="49">
        <f ca="1">((Loango_II!CA_varopex_nom+Loango_II!CA_fixedopex_nom)*(Loango_II!NOC_CI_opex))*(Loango_II!CA_op_trig)</f>
        <v>0</v>
      </c>
      <c r="AH327" s="49">
        <f ca="1">((Loango_II!CA_varopex_nom+Loango_II!CA_fixedopex_nom)*(Loango_II!NOC_CI_opex))*(Loango_II!CA_op_trig)</f>
        <v>0</v>
      </c>
      <c r="AI327" s="49">
        <f ca="1">((Loango_II!CA_varopex_nom+Loango_II!CA_fixedopex_nom)*(Loango_II!NOC_CI_opex))*(Loango_II!CA_op_trig)</f>
        <v>0</v>
      </c>
      <c r="AJ327" s="49">
        <f ca="1">((Loango_II!CA_varopex_nom+Loango_II!CA_fixedopex_nom)*(Loango_II!NOC_CI_opex))*(Loango_II!CA_op_trig)</f>
        <v>0</v>
      </c>
      <c r="AK327" s="49">
        <f ca="1">((Loango_II!CA_varopex_nom+Loango_II!CA_fixedopex_nom)*(Loango_II!NOC_CI_opex))*(Loango_II!CA_op_trig)</f>
        <v>0</v>
      </c>
      <c r="AL327" s="49">
        <f ca="1">((Loango_II!CA_varopex_nom+Loango_II!CA_fixedopex_nom)*(Loango_II!NOC_CI_opex))*(Loango_II!CA_op_trig)</f>
        <v>0</v>
      </c>
      <c r="AM327" s="49">
        <f ca="1">((Loango_II!CA_varopex_nom+Loango_II!CA_fixedopex_nom)*(Loango_II!NOC_CI_opex))*(Loango_II!CA_op_trig)</f>
        <v>0</v>
      </c>
      <c r="AN327" s="49">
        <f ca="1">((Loango_II!CA_varopex_nom+Loango_II!CA_fixedopex_nom)*(Loango_II!NOC_CI_opex))*(Loango_II!CA_op_trig)</f>
        <v>0</v>
      </c>
      <c r="AO327" s="49">
        <f ca="1">((Loango_II!CA_varopex_nom+Loango_II!CA_fixedopex_nom)*(Loango_II!NOC_CI_opex))*(Loango_II!CA_op_trig)</f>
        <v>0</v>
      </c>
      <c r="AP327" s="49">
        <f ca="1">((Loango_II!CA_varopex_nom+Loango_II!CA_fixedopex_nom)*(Loango_II!NOC_CI_opex))*(Loango_II!CA_op_trig)</f>
        <v>0</v>
      </c>
      <c r="AQ327" s="49">
        <f ca="1">((Loango_II!CA_varopex_nom+Loango_II!CA_fixedopex_nom)*(Loango_II!NOC_CI_opex))*(Loango_II!CA_op_trig)</f>
        <v>0</v>
      </c>
      <c r="AR327" s="49">
        <f ca="1">((Loango_II!CA_varopex_nom+Loango_II!CA_fixedopex_nom)*(Loango_II!NOC_CI_opex))*(Loango_II!CA_op_trig)</f>
        <v>0</v>
      </c>
      <c r="AS327" s="49">
        <f ca="1">((Loango_II!CA_varopex_nom+Loango_II!CA_fixedopex_nom)*(Loango_II!NOC_CI_opex))*(Loango_II!CA_op_trig)</f>
        <v>0</v>
      </c>
      <c r="AT327" s="49">
        <f ca="1">((Loango_II!CA_varopex_nom+Loango_II!CA_fixedopex_nom)*(Loango_II!NOC_CI_opex))*(Loango_II!CA_op_trig)</f>
        <v>0</v>
      </c>
      <c r="AU327" s="49">
        <f ca="1">((Loango_II!CA_varopex_nom+Loango_II!CA_fixedopex_nom)*(Loango_II!NOC_CI_opex))*(Loango_II!CA_op_trig)</f>
        <v>0</v>
      </c>
      <c r="AV327" s="49">
        <f ca="1">((Loango_II!CA_varopex_nom+Loango_II!CA_fixedopex_nom)*(Loango_II!NOC_CI_opex))*(Loango_II!CA_op_trig)</f>
        <v>0</v>
      </c>
      <c r="AW327" s="49">
        <f ca="1">((Loango_II!CA_varopex_nom+Loango_II!CA_fixedopex_nom)*(Loango_II!NOC_CI_opex))*(Loango_II!CA_op_trig)</f>
        <v>0</v>
      </c>
      <c r="AX327" s="49">
        <f ca="1">((Loango_II!CA_varopex_nom+Loango_II!CA_fixedopex_nom)*(Loango_II!NOC_CI_opex))*(Loango_II!CA_op_trig)</f>
        <v>0</v>
      </c>
      <c r="AY327" s="49">
        <f ca="1">((Loango_II!CA_varopex_nom+Loango_II!CA_fixedopex_nom)*(Loango_II!NOC_CI_opex))*(Loango_II!CA_op_trig)</f>
        <v>0</v>
      </c>
      <c r="AZ327" s="49">
        <f ca="1">((Loango_II!CA_varopex_nom+Loango_II!CA_fixedopex_nom)*(Loango_II!NOC_CI_opex))*(Loango_II!CA_op_trig)</f>
        <v>0</v>
      </c>
      <c r="BA327" s="49">
        <f ca="1">((Loango_II!CA_varopex_nom+Loango_II!CA_fixedopex_nom)*(Loango_II!NOC_CI_opex))*(Loango_II!CA_op_trig)</f>
        <v>0</v>
      </c>
      <c r="BB327" s="49">
        <f ca="1">((Loango_II!CA_varopex_nom+Loango_II!CA_fixedopex_nom)*(Loango_II!NOC_CI_opex))*(Loango_II!CA_op_trig)</f>
        <v>0</v>
      </c>
      <c r="BC327" s="49">
        <f ca="1">((Loango_II!CA_varopex_nom+Loango_II!CA_fixedopex_nom)*(Loango_II!NOC_CI_opex))*(Loango_II!CA_op_trig)</f>
        <v>0</v>
      </c>
      <c r="BD327" s="49">
        <f ca="1">((Loango_II!CA_varopex_nom+Loango_II!CA_fixedopex_nom)*(Loango_II!NOC_CI_opex))*(Loango_II!CA_op_trig)</f>
        <v>0</v>
      </c>
      <c r="BE327" s="49">
        <f ca="1">((Loango_II!CA_varopex_nom+Loango_II!CA_fixedopex_nom)*(Loango_II!NOC_CI_opex))*(Loango_II!CA_op_trig)</f>
        <v>0</v>
      </c>
      <c r="BF327" s="49">
        <f ca="1">((Loango_II!CA_varopex_nom+Loango_II!CA_fixedopex_nom)*(Loango_II!NOC_CI_opex))*(Loango_II!CA_op_trig)</f>
        <v>0</v>
      </c>
      <c r="BG327" s="49">
        <f ca="1">((Loango_II!CA_varopex_nom+Loango_II!CA_fixedopex_nom)*(Loango_II!NOC_CI_opex))*(Loango_II!CA_op_trig)</f>
        <v>0</v>
      </c>
      <c r="BH327" s="49">
        <f ca="1">((Loango_II!CA_varopex_nom+Loango_II!CA_fixedopex_nom)*(Loango_II!NOC_CI_opex))*(Loango_II!CA_op_trig)</f>
        <v>0</v>
      </c>
      <c r="BI327" s="49">
        <f ca="1">((Loango_II!CA_varopex_nom+Loango_II!CA_fixedopex_nom)*(Loango_II!NOC_CI_opex))*(Loango_II!CA_op_trig)</f>
        <v>0</v>
      </c>
      <c r="BJ327" s="49">
        <f ca="1">((Loango_II!CA_varopex_nom+Loango_II!CA_fixedopex_nom)*(Loango_II!NOC_CI_opex))*(Loango_II!CA_op_trig)</f>
        <v>0</v>
      </c>
      <c r="BK327" s="49">
        <f ca="1">((Loango_II!CA_varopex_nom+Loango_II!CA_fixedopex_nom)*(Loango_II!NOC_CI_opex))*(Loango_II!CA_op_trig)</f>
        <v>0</v>
      </c>
      <c r="BL327" s="49">
        <f ca="1">((Loango_II!CA_varopex_nom+Loango_II!CA_fixedopex_nom)*(Loango_II!NOC_CI_opex))*(Loango_II!CA_op_trig)</f>
        <v>0</v>
      </c>
      <c r="BM327" s="49">
        <f ca="1">((Loango_II!CA_varopex_nom+Loango_II!CA_fixedopex_nom)*(Loango_II!NOC_CI_opex))*(Loango_II!CA_op_trig)</f>
        <v>0</v>
      </c>
      <c r="BN327" s="49">
        <f ca="1">((Loango_II!CA_varopex_nom+Loango_II!CA_fixedopex_nom)*(Loango_II!NOC_CI_opex))*(Loango_II!CA_op_trig)</f>
        <v>0</v>
      </c>
      <c r="BO327" s="49">
        <f ca="1">((Loango_II!CA_varopex_nom+Loango_II!CA_fixedopex_nom)*(Loango_II!NOC_CI_opex))*(Loango_II!CA_op_trig)</f>
        <v>0</v>
      </c>
      <c r="BP327" s="49">
        <f ca="1">((Loango_II!CA_varopex_nom+Loango_II!CA_fixedopex_nom)*(Loango_II!NOC_CI_opex))*(Loango_II!CA_op_trig)</f>
        <v>0</v>
      </c>
      <c r="BQ327" s="49">
        <f ca="1">((Loango_II!CA_varopex_nom+Loango_II!CA_fixedopex_nom)*(Loango_II!NOC_CI_opex))*(Loango_II!CA_op_trig)</f>
        <v>0</v>
      </c>
      <c r="BR327" s="49">
        <f ca="1">((Loango_II!CA_varopex_nom+Loango_II!CA_fixedopex_nom)*(Loango_II!NOC_CI_opex))*(Loango_II!CA_op_trig)</f>
        <v>0</v>
      </c>
      <c r="BS327" s="49">
        <f ca="1">((Loango_II!CA_varopex_nom+Loango_II!CA_fixedopex_nom)*(Loango_II!NOC_CI_opex))*(Loango_II!CA_op_trig)</f>
        <v>0</v>
      </c>
    </row>
    <row r="328" spans="1:71" outlineLevel="1" x14ac:dyDescent="0.2">
      <c r="D328" s="11" t="s">
        <v>129</v>
      </c>
      <c r="I328" s="30">
        <f t="shared" ca="1" si="71"/>
        <v>1091.3591000000001</v>
      </c>
      <c r="J328" s="26" t="s">
        <v>148</v>
      </c>
      <c r="L328" s="49">
        <f ca="1">SUM(L325:L327)</f>
        <v>128.6782</v>
      </c>
      <c r="M328" s="49">
        <f t="shared" ref="M328:BS328" ca="1" si="72">SUM(M325:M327)</f>
        <v>211.8212</v>
      </c>
      <c r="N328" s="49">
        <f t="shared" ca="1" si="72"/>
        <v>313.05740000000003</v>
      </c>
      <c r="O328" s="49">
        <f t="shared" ca="1" si="72"/>
        <v>257.12010000000004</v>
      </c>
      <c r="P328" s="49">
        <f t="shared" ca="1" si="72"/>
        <v>115.3232</v>
      </c>
      <c r="Q328" s="49">
        <f t="shared" ca="1" si="72"/>
        <v>65.359000000000009</v>
      </c>
      <c r="R328" s="49">
        <f t="shared" ca="1" si="72"/>
        <v>0</v>
      </c>
      <c r="S328" s="49">
        <f t="shared" ca="1" si="72"/>
        <v>0</v>
      </c>
      <c r="T328" s="49">
        <f t="shared" ca="1" si="72"/>
        <v>0</v>
      </c>
      <c r="U328" s="49">
        <f t="shared" ca="1" si="72"/>
        <v>0</v>
      </c>
      <c r="V328" s="49">
        <f t="shared" ca="1" si="72"/>
        <v>0</v>
      </c>
      <c r="W328" s="49">
        <f t="shared" ca="1" si="72"/>
        <v>0</v>
      </c>
      <c r="X328" s="49">
        <f t="shared" ca="1" si="72"/>
        <v>0</v>
      </c>
      <c r="Y328" s="49">
        <f t="shared" ca="1" si="72"/>
        <v>0</v>
      </c>
      <c r="Z328" s="49">
        <f t="shared" ca="1" si="72"/>
        <v>0</v>
      </c>
      <c r="AA328" s="49">
        <f t="shared" ca="1" si="72"/>
        <v>0</v>
      </c>
      <c r="AB328" s="49">
        <f t="shared" ca="1" si="72"/>
        <v>0</v>
      </c>
      <c r="AC328" s="49">
        <f t="shared" ca="1" si="72"/>
        <v>0</v>
      </c>
      <c r="AD328" s="49">
        <f t="shared" ca="1" si="72"/>
        <v>0</v>
      </c>
      <c r="AE328" s="49">
        <f t="shared" ca="1" si="72"/>
        <v>0</v>
      </c>
      <c r="AF328" s="49">
        <f t="shared" ca="1" si="72"/>
        <v>0</v>
      </c>
      <c r="AG328" s="49">
        <f t="shared" ca="1" si="72"/>
        <v>0</v>
      </c>
      <c r="AH328" s="49">
        <f t="shared" ca="1" si="72"/>
        <v>0</v>
      </c>
      <c r="AI328" s="49">
        <f t="shared" ca="1" si="72"/>
        <v>0</v>
      </c>
      <c r="AJ328" s="49">
        <f t="shared" ca="1" si="72"/>
        <v>0</v>
      </c>
      <c r="AK328" s="49">
        <f t="shared" ca="1" si="72"/>
        <v>0</v>
      </c>
      <c r="AL328" s="49">
        <f t="shared" ca="1" si="72"/>
        <v>0</v>
      </c>
      <c r="AM328" s="49">
        <f t="shared" ca="1" si="72"/>
        <v>0</v>
      </c>
      <c r="AN328" s="49">
        <f t="shared" ca="1" si="72"/>
        <v>0</v>
      </c>
      <c r="AO328" s="49">
        <f t="shared" ca="1" si="72"/>
        <v>0</v>
      </c>
      <c r="AP328" s="49">
        <f t="shared" ca="1" si="72"/>
        <v>0</v>
      </c>
      <c r="AQ328" s="49">
        <f t="shared" ca="1" si="72"/>
        <v>0</v>
      </c>
      <c r="AR328" s="49">
        <f t="shared" ca="1" si="72"/>
        <v>0</v>
      </c>
      <c r="AS328" s="49">
        <f t="shared" ca="1" si="72"/>
        <v>0</v>
      </c>
      <c r="AT328" s="49">
        <f t="shared" ca="1" si="72"/>
        <v>0</v>
      </c>
      <c r="AU328" s="49">
        <f t="shared" ca="1" si="72"/>
        <v>0</v>
      </c>
      <c r="AV328" s="49">
        <f t="shared" ca="1" si="72"/>
        <v>0</v>
      </c>
      <c r="AW328" s="49">
        <f t="shared" ca="1" si="72"/>
        <v>0</v>
      </c>
      <c r="AX328" s="49">
        <f t="shared" ca="1" si="72"/>
        <v>0</v>
      </c>
      <c r="AY328" s="49">
        <f t="shared" ca="1" si="72"/>
        <v>0</v>
      </c>
      <c r="AZ328" s="49">
        <f t="shared" ca="1" si="72"/>
        <v>0</v>
      </c>
      <c r="BA328" s="49">
        <f t="shared" ca="1" si="72"/>
        <v>0</v>
      </c>
      <c r="BB328" s="49">
        <f t="shared" ca="1" si="72"/>
        <v>0</v>
      </c>
      <c r="BC328" s="49">
        <f t="shared" ca="1" si="72"/>
        <v>0</v>
      </c>
      <c r="BD328" s="49">
        <f t="shared" ca="1" si="72"/>
        <v>0</v>
      </c>
      <c r="BE328" s="49">
        <f t="shared" ca="1" si="72"/>
        <v>0</v>
      </c>
      <c r="BF328" s="49">
        <f t="shared" ca="1" si="72"/>
        <v>0</v>
      </c>
      <c r="BG328" s="49">
        <f t="shared" ca="1" si="72"/>
        <v>0</v>
      </c>
      <c r="BH328" s="49">
        <f t="shared" ca="1" si="72"/>
        <v>0</v>
      </c>
      <c r="BI328" s="49">
        <f t="shared" ca="1" si="72"/>
        <v>0</v>
      </c>
      <c r="BJ328" s="49">
        <f t="shared" ca="1" si="72"/>
        <v>0</v>
      </c>
      <c r="BK328" s="49">
        <f t="shared" ca="1" si="72"/>
        <v>0</v>
      </c>
      <c r="BL328" s="49">
        <f t="shared" ca="1" si="72"/>
        <v>0</v>
      </c>
      <c r="BM328" s="49">
        <f t="shared" ca="1" si="72"/>
        <v>0</v>
      </c>
      <c r="BN328" s="49">
        <f t="shared" ca="1" si="72"/>
        <v>0</v>
      </c>
      <c r="BO328" s="49">
        <f t="shared" ca="1" si="72"/>
        <v>0</v>
      </c>
      <c r="BP328" s="49">
        <f t="shared" ca="1" si="72"/>
        <v>0</v>
      </c>
      <c r="BQ328" s="49">
        <f t="shared" ca="1" si="72"/>
        <v>0</v>
      </c>
      <c r="BR328" s="49">
        <f t="shared" ca="1" si="72"/>
        <v>0</v>
      </c>
      <c r="BS328" s="49">
        <f t="shared" ca="1" si="72"/>
        <v>0</v>
      </c>
    </row>
    <row r="329" spans="1:71" outlineLevel="1" x14ac:dyDescent="0.2">
      <c r="J329" s="26"/>
      <c r="L329" s="55"/>
      <c r="M329" s="55"/>
      <c r="N329" s="55"/>
      <c r="O329" s="55"/>
      <c r="P329" s="55"/>
      <c r="Q329" s="55"/>
      <c r="R329" s="55"/>
      <c r="S329" s="55"/>
      <c r="T329" s="55"/>
      <c r="U329" s="55"/>
      <c r="V329" s="55"/>
      <c r="W329" s="55"/>
      <c r="X329" s="55"/>
      <c r="Y329" s="55"/>
      <c r="Z329" s="55"/>
      <c r="AA329" s="55"/>
      <c r="AB329" s="55"/>
      <c r="AC329" s="55"/>
      <c r="AD329" s="55"/>
      <c r="AE329" s="55"/>
      <c r="AF329" s="55"/>
      <c r="AG329" s="55"/>
      <c r="AH329" s="55"/>
      <c r="AI329" s="55"/>
      <c r="AJ329" s="55"/>
      <c r="AK329" s="55"/>
      <c r="AL329" s="55"/>
      <c r="AM329" s="55"/>
      <c r="AN329" s="55"/>
      <c r="AO329" s="55"/>
      <c r="AP329" s="55"/>
      <c r="AQ329" s="55"/>
      <c r="AR329" s="55"/>
      <c r="AS329" s="55"/>
      <c r="AT329" s="55"/>
      <c r="AU329" s="55"/>
      <c r="AV329" s="55"/>
      <c r="AW329" s="55"/>
      <c r="AX329" s="55"/>
      <c r="AY329" s="55"/>
      <c r="AZ329" s="55"/>
      <c r="BA329" s="55"/>
      <c r="BB329" s="55"/>
      <c r="BC329" s="55"/>
      <c r="BD329" s="55"/>
      <c r="BE329" s="55"/>
      <c r="BF329" s="55"/>
      <c r="BG329" s="55"/>
      <c r="BH329" s="55"/>
      <c r="BI329" s="55"/>
      <c r="BJ329" s="55"/>
      <c r="BK329" s="55"/>
      <c r="BL329" s="55"/>
      <c r="BM329" s="55"/>
      <c r="BN329" s="55"/>
      <c r="BO329" s="55"/>
      <c r="BP329" s="55"/>
      <c r="BQ329" s="55"/>
      <c r="BR329" s="55"/>
      <c r="BS329" s="55"/>
    </row>
    <row r="330" spans="1:71" outlineLevel="1" x14ac:dyDescent="0.2">
      <c r="C330" s="11" t="s">
        <v>334</v>
      </c>
      <c r="J330" s="26"/>
      <c r="L330" s="55"/>
      <c r="M330" s="55"/>
      <c r="N330" s="55"/>
      <c r="O330" s="55"/>
      <c r="P330" s="55"/>
      <c r="Q330" s="55"/>
      <c r="R330" s="55"/>
      <c r="S330" s="55"/>
      <c r="T330" s="55"/>
      <c r="U330" s="55"/>
      <c r="V330" s="55"/>
      <c r="W330" s="55"/>
      <c r="X330" s="55"/>
      <c r="Y330" s="55"/>
      <c r="Z330" s="55"/>
      <c r="AA330" s="55"/>
      <c r="AB330" s="55"/>
      <c r="AC330" s="55"/>
      <c r="AD330" s="55"/>
      <c r="AE330" s="55"/>
      <c r="AF330" s="55"/>
      <c r="AG330" s="55"/>
      <c r="AH330" s="55"/>
      <c r="AI330" s="55"/>
      <c r="AJ330" s="55"/>
      <c r="AK330" s="55"/>
      <c r="AL330" s="55"/>
      <c r="AM330" s="55"/>
      <c r="AN330" s="55"/>
      <c r="AO330" s="55"/>
      <c r="AP330" s="55"/>
      <c r="AQ330" s="55"/>
      <c r="AR330" s="55"/>
      <c r="AS330" s="55"/>
      <c r="AT330" s="55"/>
      <c r="AU330" s="55"/>
      <c r="AV330" s="55"/>
      <c r="AW330" s="55"/>
      <c r="AX330" s="55"/>
      <c r="AY330" s="55"/>
      <c r="AZ330" s="55"/>
      <c r="BA330" s="55"/>
      <c r="BB330" s="55"/>
      <c r="BC330" s="55"/>
      <c r="BD330" s="55"/>
      <c r="BE330" s="55"/>
      <c r="BF330" s="55"/>
      <c r="BG330" s="55"/>
      <c r="BH330" s="55"/>
      <c r="BI330" s="55"/>
      <c r="BJ330" s="55"/>
      <c r="BK330" s="55"/>
      <c r="BL330" s="55"/>
      <c r="BM330" s="55"/>
      <c r="BN330" s="55"/>
      <c r="BO330" s="55"/>
      <c r="BP330" s="55"/>
      <c r="BQ330" s="55"/>
      <c r="BR330" s="55"/>
      <c r="BS330" s="55"/>
    </row>
    <row r="331" spans="1:71" outlineLevel="1" x14ac:dyDescent="0.2">
      <c r="D331" t="s">
        <v>337</v>
      </c>
      <c r="J331" s="26"/>
      <c r="L331" s="49">
        <f>K334</f>
        <v>0</v>
      </c>
      <c r="M331" s="49">
        <f t="shared" ref="M331:BS331" ca="1" si="73">L334</f>
        <v>0</v>
      </c>
      <c r="N331" s="49">
        <f t="shared" ca="1" si="73"/>
        <v>0</v>
      </c>
      <c r="O331" s="49">
        <f t="shared" ca="1" si="73"/>
        <v>0</v>
      </c>
      <c r="P331" s="49">
        <f t="shared" ca="1" si="73"/>
        <v>0</v>
      </c>
      <c r="Q331" s="49">
        <f t="shared" ca="1" si="73"/>
        <v>0</v>
      </c>
      <c r="R331" s="49">
        <f t="shared" ca="1" si="73"/>
        <v>0</v>
      </c>
      <c r="S331" s="49">
        <f t="shared" ca="1" si="73"/>
        <v>0</v>
      </c>
      <c r="T331" s="49">
        <f t="shared" ca="1" si="73"/>
        <v>0</v>
      </c>
      <c r="U331" s="49">
        <f t="shared" ca="1" si="73"/>
        <v>0</v>
      </c>
      <c r="V331" s="49">
        <f t="shared" ca="1" si="73"/>
        <v>0</v>
      </c>
      <c r="W331" s="49">
        <f t="shared" ca="1" si="73"/>
        <v>0</v>
      </c>
      <c r="X331" s="49">
        <f t="shared" ca="1" si="73"/>
        <v>0</v>
      </c>
      <c r="Y331" s="49">
        <f t="shared" ca="1" si="73"/>
        <v>0</v>
      </c>
      <c r="Z331" s="49">
        <f t="shared" ca="1" si="73"/>
        <v>0</v>
      </c>
      <c r="AA331" s="49">
        <f t="shared" ca="1" si="73"/>
        <v>0</v>
      </c>
      <c r="AB331" s="49">
        <f t="shared" ca="1" si="73"/>
        <v>0</v>
      </c>
      <c r="AC331" s="49">
        <f t="shared" ca="1" si="73"/>
        <v>0</v>
      </c>
      <c r="AD331" s="49">
        <f t="shared" ca="1" si="73"/>
        <v>0</v>
      </c>
      <c r="AE331" s="49">
        <f t="shared" ca="1" si="73"/>
        <v>0</v>
      </c>
      <c r="AF331" s="49">
        <f t="shared" ca="1" si="73"/>
        <v>0</v>
      </c>
      <c r="AG331" s="49">
        <f t="shared" ca="1" si="73"/>
        <v>0</v>
      </c>
      <c r="AH331" s="49">
        <f t="shared" ca="1" si="73"/>
        <v>0</v>
      </c>
      <c r="AI331" s="49">
        <f t="shared" ca="1" si="73"/>
        <v>0</v>
      </c>
      <c r="AJ331" s="49">
        <f t="shared" ca="1" si="73"/>
        <v>0</v>
      </c>
      <c r="AK331" s="49">
        <f t="shared" ca="1" si="73"/>
        <v>0</v>
      </c>
      <c r="AL331" s="49">
        <f t="shared" ca="1" si="73"/>
        <v>0</v>
      </c>
      <c r="AM331" s="49">
        <f t="shared" ca="1" si="73"/>
        <v>0</v>
      </c>
      <c r="AN331" s="49">
        <f t="shared" ca="1" si="73"/>
        <v>0</v>
      </c>
      <c r="AO331" s="49">
        <f t="shared" ca="1" si="73"/>
        <v>0</v>
      </c>
      <c r="AP331" s="49">
        <f t="shared" ca="1" si="73"/>
        <v>0</v>
      </c>
      <c r="AQ331" s="49">
        <f t="shared" ca="1" si="73"/>
        <v>0</v>
      </c>
      <c r="AR331" s="49">
        <f t="shared" ca="1" si="73"/>
        <v>0</v>
      </c>
      <c r="AS331" s="49">
        <f t="shared" ca="1" si="73"/>
        <v>0</v>
      </c>
      <c r="AT331" s="49">
        <f t="shared" ca="1" si="73"/>
        <v>0</v>
      </c>
      <c r="AU331" s="49">
        <f t="shared" ca="1" si="73"/>
        <v>0</v>
      </c>
      <c r="AV331" s="49">
        <f t="shared" ca="1" si="73"/>
        <v>0</v>
      </c>
      <c r="AW331" s="49">
        <f t="shared" ca="1" si="73"/>
        <v>0</v>
      </c>
      <c r="AX331" s="49">
        <f t="shared" ca="1" si="73"/>
        <v>0</v>
      </c>
      <c r="AY331" s="49">
        <f t="shared" ca="1" si="73"/>
        <v>0</v>
      </c>
      <c r="AZ331" s="49">
        <f t="shared" ca="1" si="73"/>
        <v>0</v>
      </c>
      <c r="BA331" s="49">
        <f t="shared" ca="1" si="73"/>
        <v>0</v>
      </c>
      <c r="BB331" s="49">
        <f t="shared" ca="1" si="73"/>
        <v>0</v>
      </c>
      <c r="BC331" s="49">
        <f t="shared" ca="1" si="73"/>
        <v>0</v>
      </c>
      <c r="BD331" s="49">
        <f t="shared" ca="1" si="73"/>
        <v>0</v>
      </c>
      <c r="BE331" s="49">
        <f t="shared" ca="1" si="73"/>
        <v>0</v>
      </c>
      <c r="BF331" s="49">
        <f t="shared" ca="1" si="73"/>
        <v>0</v>
      </c>
      <c r="BG331" s="49">
        <f t="shared" ca="1" si="73"/>
        <v>0</v>
      </c>
      <c r="BH331" s="49">
        <f t="shared" ca="1" si="73"/>
        <v>0</v>
      </c>
      <c r="BI331" s="49">
        <f t="shared" ca="1" si="73"/>
        <v>0</v>
      </c>
      <c r="BJ331" s="49">
        <f t="shared" ca="1" si="73"/>
        <v>0</v>
      </c>
      <c r="BK331" s="49">
        <f t="shared" ca="1" si="73"/>
        <v>0</v>
      </c>
      <c r="BL331" s="49">
        <f t="shared" ca="1" si="73"/>
        <v>0</v>
      </c>
      <c r="BM331" s="49">
        <f t="shared" ca="1" si="73"/>
        <v>0</v>
      </c>
      <c r="BN331" s="49">
        <f t="shared" ca="1" si="73"/>
        <v>0</v>
      </c>
      <c r="BO331" s="49">
        <f t="shared" ca="1" si="73"/>
        <v>0</v>
      </c>
      <c r="BP331" s="49">
        <f t="shared" ca="1" si="73"/>
        <v>0</v>
      </c>
      <c r="BQ331" s="49">
        <f t="shared" ca="1" si="73"/>
        <v>0</v>
      </c>
      <c r="BR331" s="49">
        <f t="shared" ca="1" si="73"/>
        <v>0</v>
      </c>
      <c r="BS331" s="49">
        <f t="shared" ca="1" si="73"/>
        <v>0</v>
      </c>
    </row>
    <row r="332" spans="1:71" outlineLevel="1" x14ac:dyDescent="0.2">
      <c r="D332" s="50" t="s">
        <v>348</v>
      </c>
      <c r="I332" s="30">
        <f t="shared" ref="I332:I333" ca="1" si="74">SUM($L332:$BS332)</f>
        <v>0</v>
      </c>
      <c r="J332" s="26" t="s">
        <v>148</v>
      </c>
      <c r="L332" s="49">
        <f ca="1">L325</f>
        <v>0</v>
      </c>
      <c r="M332" s="49">
        <f t="shared" ref="M332:BS332" ca="1" si="75">M325</f>
        <v>0</v>
      </c>
      <c r="N332" s="49">
        <f t="shared" ca="1" si="75"/>
        <v>0</v>
      </c>
      <c r="O332" s="49">
        <f t="shared" ca="1" si="75"/>
        <v>0</v>
      </c>
      <c r="P332" s="49">
        <f t="shared" ca="1" si="75"/>
        <v>0</v>
      </c>
      <c r="Q332" s="49">
        <f t="shared" ca="1" si="75"/>
        <v>0</v>
      </c>
      <c r="R332" s="49">
        <f t="shared" ca="1" si="75"/>
        <v>0</v>
      </c>
      <c r="S332" s="49">
        <f t="shared" ca="1" si="75"/>
        <v>0</v>
      </c>
      <c r="T332" s="49">
        <f t="shared" ca="1" si="75"/>
        <v>0</v>
      </c>
      <c r="U332" s="49">
        <f t="shared" ca="1" si="75"/>
        <v>0</v>
      </c>
      <c r="V332" s="49">
        <f t="shared" ca="1" si="75"/>
        <v>0</v>
      </c>
      <c r="W332" s="49">
        <f t="shared" ca="1" si="75"/>
        <v>0</v>
      </c>
      <c r="X332" s="49">
        <f t="shared" ca="1" si="75"/>
        <v>0</v>
      </c>
      <c r="Y332" s="49">
        <f t="shared" ca="1" si="75"/>
        <v>0</v>
      </c>
      <c r="Z332" s="49">
        <f t="shared" ca="1" si="75"/>
        <v>0</v>
      </c>
      <c r="AA332" s="49">
        <f t="shared" ca="1" si="75"/>
        <v>0</v>
      </c>
      <c r="AB332" s="49">
        <f t="shared" ca="1" si="75"/>
        <v>0</v>
      </c>
      <c r="AC332" s="49">
        <f t="shared" ca="1" si="75"/>
        <v>0</v>
      </c>
      <c r="AD332" s="49">
        <f t="shared" ca="1" si="75"/>
        <v>0</v>
      </c>
      <c r="AE332" s="49">
        <f t="shared" ca="1" si="75"/>
        <v>0</v>
      </c>
      <c r="AF332" s="49">
        <f t="shared" ca="1" si="75"/>
        <v>0</v>
      </c>
      <c r="AG332" s="49">
        <f t="shared" ca="1" si="75"/>
        <v>0</v>
      </c>
      <c r="AH332" s="49">
        <f t="shared" ca="1" si="75"/>
        <v>0</v>
      </c>
      <c r="AI332" s="49">
        <f t="shared" ca="1" si="75"/>
        <v>0</v>
      </c>
      <c r="AJ332" s="49">
        <f t="shared" ca="1" si="75"/>
        <v>0</v>
      </c>
      <c r="AK332" s="49">
        <f t="shared" ca="1" si="75"/>
        <v>0</v>
      </c>
      <c r="AL332" s="49">
        <f t="shared" ca="1" si="75"/>
        <v>0</v>
      </c>
      <c r="AM332" s="49">
        <f t="shared" ca="1" si="75"/>
        <v>0</v>
      </c>
      <c r="AN332" s="49">
        <f t="shared" ca="1" si="75"/>
        <v>0</v>
      </c>
      <c r="AO332" s="49">
        <f t="shared" ca="1" si="75"/>
        <v>0</v>
      </c>
      <c r="AP332" s="49">
        <f t="shared" ca="1" si="75"/>
        <v>0</v>
      </c>
      <c r="AQ332" s="49">
        <f t="shared" ca="1" si="75"/>
        <v>0</v>
      </c>
      <c r="AR332" s="49">
        <f t="shared" ca="1" si="75"/>
        <v>0</v>
      </c>
      <c r="AS332" s="49">
        <f t="shared" ca="1" si="75"/>
        <v>0</v>
      </c>
      <c r="AT332" s="49">
        <f t="shared" ca="1" si="75"/>
        <v>0</v>
      </c>
      <c r="AU332" s="49">
        <f t="shared" ca="1" si="75"/>
        <v>0</v>
      </c>
      <c r="AV332" s="49">
        <f t="shared" ca="1" si="75"/>
        <v>0</v>
      </c>
      <c r="AW332" s="49">
        <f t="shared" ca="1" si="75"/>
        <v>0</v>
      </c>
      <c r="AX332" s="49">
        <f t="shared" ca="1" si="75"/>
        <v>0</v>
      </c>
      <c r="AY332" s="49">
        <f t="shared" ca="1" si="75"/>
        <v>0</v>
      </c>
      <c r="AZ332" s="49">
        <f t="shared" ca="1" si="75"/>
        <v>0</v>
      </c>
      <c r="BA332" s="49">
        <f t="shared" ca="1" si="75"/>
        <v>0</v>
      </c>
      <c r="BB332" s="49">
        <f t="shared" ca="1" si="75"/>
        <v>0</v>
      </c>
      <c r="BC332" s="49">
        <f t="shared" ca="1" si="75"/>
        <v>0</v>
      </c>
      <c r="BD332" s="49">
        <f t="shared" ca="1" si="75"/>
        <v>0</v>
      </c>
      <c r="BE332" s="49">
        <f t="shared" ca="1" si="75"/>
        <v>0</v>
      </c>
      <c r="BF332" s="49">
        <f t="shared" ca="1" si="75"/>
        <v>0</v>
      </c>
      <c r="BG332" s="49">
        <f t="shared" ca="1" si="75"/>
        <v>0</v>
      </c>
      <c r="BH332" s="49">
        <f t="shared" ca="1" si="75"/>
        <v>0</v>
      </c>
      <c r="BI332" s="49">
        <f t="shared" ca="1" si="75"/>
        <v>0</v>
      </c>
      <c r="BJ332" s="49">
        <f t="shared" ca="1" si="75"/>
        <v>0</v>
      </c>
      <c r="BK332" s="49">
        <f t="shared" ca="1" si="75"/>
        <v>0</v>
      </c>
      <c r="BL332" s="49">
        <f t="shared" ca="1" si="75"/>
        <v>0</v>
      </c>
      <c r="BM332" s="49">
        <f t="shared" ca="1" si="75"/>
        <v>0</v>
      </c>
      <c r="BN332" s="49">
        <f t="shared" ca="1" si="75"/>
        <v>0</v>
      </c>
      <c r="BO332" s="49">
        <f t="shared" ca="1" si="75"/>
        <v>0</v>
      </c>
      <c r="BP332" s="49">
        <f t="shared" ca="1" si="75"/>
        <v>0</v>
      </c>
      <c r="BQ332" s="49">
        <f t="shared" ca="1" si="75"/>
        <v>0</v>
      </c>
      <c r="BR332" s="49">
        <f t="shared" ca="1" si="75"/>
        <v>0</v>
      </c>
      <c r="BS332" s="49">
        <f t="shared" ca="1" si="75"/>
        <v>0</v>
      </c>
    </row>
    <row r="333" spans="1:71" outlineLevel="1" x14ac:dyDescent="0.2">
      <c r="D333" s="50" t="s">
        <v>335</v>
      </c>
      <c r="I333" s="30">
        <f t="shared" ca="1" si="74"/>
        <v>0</v>
      </c>
      <c r="J333" s="26" t="s">
        <v>148</v>
      </c>
      <c r="L333" s="49">
        <f ca="1">-MIN(SUM(L331:L332),SUM(L$299,L$304)*Loango_II!NOC_rpmt_max_perc)*Loango_II!NOC_CI_expex_rpmt</f>
        <v>0</v>
      </c>
      <c r="M333" s="49">
        <f ca="1">-MIN(SUM(M331:M332),SUM(M$299,M$304)*Loango_II!NOC_rpmt_max_perc)*Loango_II!NOC_CI_expex_rpmt</f>
        <v>0</v>
      </c>
      <c r="N333" s="49">
        <f ca="1">-MIN(SUM(N331:N332),SUM(N$299,N$304)*Loango_II!NOC_rpmt_max_perc)*Loango_II!NOC_CI_expex_rpmt</f>
        <v>0</v>
      </c>
      <c r="O333" s="49">
        <f ca="1">-MIN(SUM(O331:O332),SUM(O$299,O$304)*Loango_II!NOC_rpmt_max_perc)*Loango_II!NOC_CI_expex_rpmt</f>
        <v>0</v>
      </c>
      <c r="P333" s="49">
        <f ca="1">-MIN(SUM(P331:P332),SUM(P$299,P$304)*Loango_II!NOC_rpmt_max_perc)*Loango_II!NOC_CI_expex_rpmt</f>
        <v>0</v>
      </c>
      <c r="Q333" s="49">
        <f ca="1">-MIN(SUM(Q331:Q332),SUM(Q$299,Q$304)*Loango_II!NOC_rpmt_max_perc)*Loango_II!NOC_CI_expex_rpmt</f>
        <v>0</v>
      </c>
      <c r="R333" s="49">
        <f ca="1">-MIN(SUM(R331:R332),SUM(R$299,R$304)*Loango_II!NOC_rpmt_max_perc)*Loango_II!NOC_CI_expex_rpmt</f>
        <v>0</v>
      </c>
      <c r="S333" s="49">
        <f ca="1">-MIN(SUM(S331:S332),SUM(S$299,S$304)*Loango_II!NOC_rpmt_max_perc)*Loango_II!NOC_CI_expex_rpmt</f>
        <v>0</v>
      </c>
      <c r="T333" s="49">
        <f ca="1">-MIN(SUM(T331:T332),SUM(T$299,T$304)*Loango_II!NOC_rpmt_max_perc)*Loango_II!NOC_CI_expex_rpmt</f>
        <v>0</v>
      </c>
      <c r="U333" s="49">
        <f ca="1">-MIN(SUM(U331:U332),SUM(U$299,U$304)*Loango_II!NOC_rpmt_max_perc)*Loango_II!NOC_CI_expex_rpmt</f>
        <v>0</v>
      </c>
      <c r="V333" s="49">
        <f ca="1">-MIN(SUM(V331:V332),SUM(V$299,V$304)*Loango_II!NOC_rpmt_max_perc)*Loango_II!NOC_CI_expex_rpmt</f>
        <v>0</v>
      </c>
      <c r="W333" s="49">
        <f ca="1">-MIN(SUM(W331:W332),SUM(W$299,W$304)*Loango_II!NOC_rpmt_max_perc)*Loango_II!NOC_CI_expex_rpmt</f>
        <v>0</v>
      </c>
      <c r="X333" s="49">
        <f ca="1">-MIN(SUM(X331:X332),SUM(X$299,X$304)*Loango_II!NOC_rpmt_max_perc)*Loango_II!NOC_CI_expex_rpmt</f>
        <v>0</v>
      </c>
      <c r="Y333" s="49">
        <f ca="1">-MIN(SUM(Y331:Y332),SUM(Y$299,Y$304)*Loango_II!NOC_rpmt_max_perc)*Loango_II!NOC_CI_expex_rpmt</f>
        <v>0</v>
      </c>
      <c r="Z333" s="49">
        <f ca="1">-MIN(SUM(Z331:Z332),SUM(Z$299,Z$304)*Loango_II!NOC_rpmt_max_perc)*Loango_II!NOC_CI_expex_rpmt</f>
        <v>0</v>
      </c>
      <c r="AA333" s="49">
        <f ca="1">-MIN(SUM(AA331:AA332),SUM(AA$299,AA$304)*Loango_II!NOC_rpmt_max_perc)*Loango_II!NOC_CI_expex_rpmt</f>
        <v>0</v>
      </c>
      <c r="AB333" s="49">
        <f ca="1">-MIN(SUM(AB331:AB332),SUM(AB$299,AB$304)*Loango_II!NOC_rpmt_max_perc)*Loango_II!NOC_CI_expex_rpmt</f>
        <v>0</v>
      </c>
      <c r="AC333" s="49">
        <f ca="1">-MIN(SUM(AC331:AC332),SUM(AC$299,AC$304)*Loango_II!NOC_rpmt_max_perc)*Loango_II!NOC_CI_expex_rpmt</f>
        <v>0</v>
      </c>
      <c r="AD333" s="49">
        <f ca="1">-MIN(SUM(AD331:AD332),SUM(AD$299,AD$304)*Loango_II!NOC_rpmt_max_perc)*Loango_II!NOC_CI_expex_rpmt</f>
        <v>0</v>
      </c>
      <c r="AE333" s="49">
        <f ca="1">-MIN(SUM(AE331:AE332),SUM(AE$299,AE$304)*Loango_II!NOC_rpmt_max_perc)*Loango_II!NOC_CI_expex_rpmt</f>
        <v>0</v>
      </c>
      <c r="AF333" s="49">
        <f ca="1">-MIN(SUM(AF331:AF332),SUM(AF$299,AF$304)*Loango_II!NOC_rpmt_max_perc)*Loango_II!NOC_CI_expex_rpmt</f>
        <v>0</v>
      </c>
      <c r="AG333" s="49">
        <f ca="1">-MIN(SUM(AG331:AG332),SUM(AG$299,AG$304)*Loango_II!NOC_rpmt_max_perc)*Loango_II!NOC_CI_expex_rpmt</f>
        <v>0</v>
      </c>
      <c r="AH333" s="49">
        <f ca="1">-MIN(SUM(AH331:AH332),SUM(AH$299,AH$304)*Loango_II!NOC_rpmt_max_perc)*Loango_II!NOC_CI_expex_rpmt</f>
        <v>0</v>
      </c>
      <c r="AI333" s="49">
        <f ca="1">-MIN(SUM(AI331:AI332),SUM(AI$299,AI$304)*Loango_II!NOC_rpmt_max_perc)*Loango_II!NOC_CI_expex_rpmt</f>
        <v>0</v>
      </c>
      <c r="AJ333" s="49">
        <f ca="1">-MIN(SUM(AJ331:AJ332),SUM(AJ$299,AJ$304)*Loango_II!NOC_rpmt_max_perc)*Loango_II!NOC_CI_expex_rpmt</f>
        <v>0</v>
      </c>
      <c r="AK333" s="49">
        <f ca="1">-MIN(SUM(AK331:AK332),SUM(AK$299,AK$304)*Loango_II!NOC_rpmt_max_perc)*Loango_II!NOC_CI_expex_rpmt</f>
        <v>0</v>
      </c>
      <c r="AL333" s="49">
        <f ca="1">-MIN(SUM(AL331:AL332),SUM(AL$299,AL$304)*Loango_II!NOC_rpmt_max_perc)*Loango_II!NOC_CI_expex_rpmt</f>
        <v>0</v>
      </c>
      <c r="AM333" s="49">
        <f ca="1">-MIN(SUM(AM331:AM332),SUM(AM$299,AM$304)*Loango_II!NOC_rpmt_max_perc)*Loango_II!NOC_CI_expex_rpmt</f>
        <v>0</v>
      </c>
      <c r="AN333" s="49">
        <f ca="1">-MIN(SUM(AN331:AN332),SUM(AN$299,AN$304)*Loango_II!NOC_rpmt_max_perc)*Loango_II!NOC_CI_expex_rpmt</f>
        <v>0</v>
      </c>
      <c r="AO333" s="49">
        <f ca="1">-MIN(SUM(AO331:AO332),SUM(AO$299,AO$304)*Loango_II!NOC_rpmt_max_perc)*Loango_II!NOC_CI_expex_rpmt</f>
        <v>0</v>
      </c>
      <c r="AP333" s="49">
        <f ca="1">-MIN(SUM(AP331:AP332),SUM(AP$299,AP$304)*Loango_II!NOC_rpmt_max_perc)*Loango_II!NOC_CI_expex_rpmt</f>
        <v>0</v>
      </c>
      <c r="AQ333" s="49">
        <f ca="1">-MIN(SUM(AQ331:AQ332),SUM(AQ$299,AQ$304)*Loango_II!NOC_rpmt_max_perc)*Loango_II!NOC_CI_expex_rpmt</f>
        <v>0</v>
      </c>
      <c r="AR333" s="49">
        <f ca="1">-MIN(SUM(AR331:AR332),SUM(AR$299,AR$304)*Loango_II!NOC_rpmt_max_perc)*Loango_II!NOC_CI_expex_rpmt</f>
        <v>0</v>
      </c>
      <c r="AS333" s="49">
        <f ca="1">-MIN(SUM(AS331:AS332),SUM(AS$299,AS$304)*Loango_II!NOC_rpmt_max_perc)*Loango_II!NOC_CI_expex_rpmt</f>
        <v>0</v>
      </c>
      <c r="AT333" s="49">
        <f ca="1">-MIN(SUM(AT331:AT332),SUM(AT$299,AT$304)*Loango_II!NOC_rpmt_max_perc)*Loango_II!NOC_CI_expex_rpmt</f>
        <v>0</v>
      </c>
      <c r="AU333" s="49">
        <f ca="1">-MIN(SUM(AU331:AU332),SUM(AU$299,AU$304)*Loango_II!NOC_rpmt_max_perc)*Loango_II!NOC_CI_expex_rpmt</f>
        <v>0</v>
      </c>
      <c r="AV333" s="49">
        <f ca="1">-MIN(SUM(AV331:AV332),SUM(AV$299,AV$304)*Loango_II!NOC_rpmt_max_perc)*Loango_II!NOC_CI_expex_rpmt</f>
        <v>0</v>
      </c>
      <c r="AW333" s="49">
        <f ca="1">-MIN(SUM(AW331:AW332),SUM(AW$299,AW$304)*Loango_II!NOC_rpmt_max_perc)*Loango_II!NOC_CI_expex_rpmt</f>
        <v>0</v>
      </c>
      <c r="AX333" s="49">
        <f ca="1">-MIN(SUM(AX331:AX332),SUM(AX$299,AX$304)*Loango_II!NOC_rpmt_max_perc)*Loango_II!NOC_CI_expex_rpmt</f>
        <v>0</v>
      </c>
      <c r="AY333" s="49">
        <f ca="1">-MIN(SUM(AY331:AY332),SUM(AY$299,AY$304)*Loango_II!NOC_rpmt_max_perc)*Loango_II!NOC_CI_expex_rpmt</f>
        <v>0</v>
      </c>
      <c r="AZ333" s="49">
        <f ca="1">-MIN(SUM(AZ331:AZ332),SUM(AZ$299,AZ$304)*Loango_II!NOC_rpmt_max_perc)*Loango_II!NOC_CI_expex_rpmt</f>
        <v>0</v>
      </c>
      <c r="BA333" s="49">
        <f ca="1">-MIN(SUM(BA331:BA332),SUM(BA$299,BA$304)*Loango_II!NOC_rpmt_max_perc)*Loango_II!NOC_CI_expex_rpmt</f>
        <v>0</v>
      </c>
      <c r="BB333" s="49">
        <f ca="1">-MIN(SUM(BB331:BB332),SUM(BB$299,BB$304)*Loango_II!NOC_rpmt_max_perc)*Loango_II!NOC_CI_expex_rpmt</f>
        <v>0</v>
      </c>
      <c r="BC333" s="49">
        <f ca="1">-MIN(SUM(BC331:BC332),SUM(BC$299,BC$304)*Loango_II!NOC_rpmt_max_perc)*Loango_II!NOC_CI_expex_rpmt</f>
        <v>0</v>
      </c>
      <c r="BD333" s="49">
        <f ca="1">-MIN(SUM(BD331:BD332),SUM(BD$299,BD$304)*Loango_II!NOC_rpmt_max_perc)*Loango_II!NOC_CI_expex_rpmt</f>
        <v>0</v>
      </c>
      <c r="BE333" s="49">
        <f ca="1">-MIN(SUM(BE331:BE332),SUM(BE$299,BE$304)*Loango_II!NOC_rpmt_max_perc)*Loango_II!NOC_CI_expex_rpmt</f>
        <v>0</v>
      </c>
      <c r="BF333" s="49">
        <f ca="1">-MIN(SUM(BF331:BF332),SUM(BF$299,BF$304)*Loango_II!NOC_rpmt_max_perc)*Loango_II!NOC_CI_expex_rpmt</f>
        <v>0</v>
      </c>
      <c r="BG333" s="49">
        <f ca="1">-MIN(SUM(BG331:BG332),SUM(BG$299,BG$304)*Loango_II!NOC_rpmt_max_perc)*Loango_II!NOC_CI_expex_rpmt</f>
        <v>0</v>
      </c>
      <c r="BH333" s="49">
        <f ca="1">-MIN(SUM(BH331:BH332),SUM(BH$299,BH$304)*Loango_II!NOC_rpmt_max_perc)*Loango_II!NOC_CI_expex_rpmt</f>
        <v>0</v>
      </c>
      <c r="BI333" s="49">
        <f ca="1">-MIN(SUM(BI331:BI332),SUM(BI$299,BI$304)*Loango_II!NOC_rpmt_max_perc)*Loango_II!NOC_CI_expex_rpmt</f>
        <v>0</v>
      </c>
      <c r="BJ333" s="49">
        <f ca="1">-MIN(SUM(BJ331:BJ332),SUM(BJ$299,BJ$304)*Loango_II!NOC_rpmt_max_perc)*Loango_II!NOC_CI_expex_rpmt</f>
        <v>0</v>
      </c>
      <c r="BK333" s="49">
        <f ca="1">-MIN(SUM(BK331:BK332),SUM(BK$299,BK$304)*Loango_II!NOC_rpmt_max_perc)*Loango_II!NOC_CI_expex_rpmt</f>
        <v>0</v>
      </c>
      <c r="BL333" s="49">
        <f ca="1">-MIN(SUM(BL331:BL332),SUM(BL$299,BL$304)*Loango_II!NOC_rpmt_max_perc)*Loango_II!NOC_CI_expex_rpmt</f>
        <v>0</v>
      </c>
      <c r="BM333" s="49">
        <f ca="1">-MIN(SUM(BM331:BM332),SUM(BM$299,BM$304)*Loango_II!NOC_rpmt_max_perc)*Loango_II!NOC_CI_expex_rpmt</f>
        <v>0</v>
      </c>
      <c r="BN333" s="49">
        <f ca="1">-MIN(SUM(BN331:BN332),SUM(BN$299,BN$304)*Loango_II!NOC_rpmt_max_perc)*Loango_II!NOC_CI_expex_rpmt</f>
        <v>0</v>
      </c>
      <c r="BO333" s="49">
        <f ca="1">-MIN(SUM(BO331:BO332),SUM(BO$299,BO$304)*Loango_II!NOC_rpmt_max_perc)*Loango_II!NOC_CI_expex_rpmt</f>
        <v>0</v>
      </c>
      <c r="BP333" s="49">
        <f ca="1">-MIN(SUM(BP331:BP332),SUM(BP$299,BP$304)*Loango_II!NOC_rpmt_max_perc)*Loango_II!NOC_CI_expex_rpmt</f>
        <v>0</v>
      </c>
      <c r="BQ333" s="49">
        <f ca="1">-MIN(SUM(BQ331:BQ332),SUM(BQ$299,BQ$304)*Loango_II!NOC_rpmt_max_perc)*Loango_II!NOC_CI_expex_rpmt</f>
        <v>0</v>
      </c>
      <c r="BR333" s="49">
        <f ca="1">-MIN(SUM(BR331:BR332),SUM(BR$299,BR$304)*Loango_II!NOC_rpmt_max_perc)*Loango_II!NOC_CI_expex_rpmt</f>
        <v>0</v>
      </c>
      <c r="BS333" s="49">
        <f ca="1">-MIN(SUM(BS331:BS332),SUM(BS$299,BS$304)*Loango_II!NOC_rpmt_max_perc)*Loango_II!NOC_CI_expex_rpmt</f>
        <v>0</v>
      </c>
    </row>
    <row r="334" spans="1:71" outlineLevel="1" x14ac:dyDescent="0.2">
      <c r="D334" t="s">
        <v>336</v>
      </c>
      <c r="J334" s="26"/>
      <c r="L334" s="49">
        <f ca="1">SUM(L331:L333)</f>
        <v>0</v>
      </c>
      <c r="M334" s="49">
        <f t="shared" ref="M334:BS334" ca="1" si="76">SUM(M331:M333)</f>
        <v>0</v>
      </c>
      <c r="N334" s="49">
        <f t="shared" ca="1" si="76"/>
        <v>0</v>
      </c>
      <c r="O334" s="49">
        <f t="shared" ca="1" si="76"/>
        <v>0</v>
      </c>
      <c r="P334" s="49">
        <f t="shared" ca="1" si="76"/>
        <v>0</v>
      </c>
      <c r="Q334" s="49">
        <f t="shared" ca="1" si="76"/>
        <v>0</v>
      </c>
      <c r="R334" s="49">
        <f t="shared" ca="1" si="76"/>
        <v>0</v>
      </c>
      <c r="S334" s="49">
        <f t="shared" ca="1" si="76"/>
        <v>0</v>
      </c>
      <c r="T334" s="49">
        <f t="shared" ca="1" si="76"/>
        <v>0</v>
      </c>
      <c r="U334" s="49">
        <f t="shared" ca="1" si="76"/>
        <v>0</v>
      </c>
      <c r="V334" s="49">
        <f t="shared" ca="1" si="76"/>
        <v>0</v>
      </c>
      <c r="W334" s="49">
        <f t="shared" ca="1" si="76"/>
        <v>0</v>
      </c>
      <c r="X334" s="49">
        <f t="shared" ca="1" si="76"/>
        <v>0</v>
      </c>
      <c r="Y334" s="49">
        <f t="shared" ca="1" si="76"/>
        <v>0</v>
      </c>
      <c r="Z334" s="49">
        <f t="shared" ca="1" si="76"/>
        <v>0</v>
      </c>
      <c r="AA334" s="49">
        <f t="shared" ca="1" si="76"/>
        <v>0</v>
      </c>
      <c r="AB334" s="49">
        <f t="shared" ca="1" si="76"/>
        <v>0</v>
      </c>
      <c r="AC334" s="49">
        <f t="shared" ca="1" si="76"/>
        <v>0</v>
      </c>
      <c r="AD334" s="49">
        <f t="shared" ca="1" si="76"/>
        <v>0</v>
      </c>
      <c r="AE334" s="49">
        <f t="shared" ca="1" si="76"/>
        <v>0</v>
      </c>
      <c r="AF334" s="49">
        <f t="shared" ca="1" si="76"/>
        <v>0</v>
      </c>
      <c r="AG334" s="49">
        <f t="shared" ca="1" si="76"/>
        <v>0</v>
      </c>
      <c r="AH334" s="49">
        <f t="shared" ca="1" si="76"/>
        <v>0</v>
      </c>
      <c r="AI334" s="49">
        <f t="shared" ca="1" si="76"/>
        <v>0</v>
      </c>
      <c r="AJ334" s="49">
        <f t="shared" ca="1" si="76"/>
        <v>0</v>
      </c>
      <c r="AK334" s="49">
        <f t="shared" ca="1" si="76"/>
        <v>0</v>
      </c>
      <c r="AL334" s="49">
        <f t="shared" ca="1" si="76"/>
        <v>0</v>
      </c>
      <c r="AM334" s="49">
        <f t="shared" ca="1" si="76"/>
        <v>0</v>
      </c>
      <c r="AN334" s="49">
        <f t="shared" ca="1" si="76"/>
        <v>0</v>
      </c>
      <c r="AO334" s="49">
        <f t="shared" ca="1" si="76"/>
        <v>0</v>
      </c>
      <c r="AP334" s="49">
        <f t="shared" ca="1" si="76"/>
        <v>0</v>
      </c>
      <c r="AQ334" s="49">
        <f t="shared" ca="1" si="76"/>
        <v>0</v>
      </c>
      <c r="AR334" s="49">
        <f t="shared" ca="1" si="76"/>
        <v>0</v>
      </c>
      <c r="AS334" s="49">
        <f t="shared" ca="1" si="76"/>
        <v>0</v>
      </c>
      <c r="AT334" s="49">
        <f t="shared" ca="1" si="76"/>
        <v>0</v>
      </c>
      <c r="AU334" s="49">
        <f t="shared" ca="1" si="76"/>
        <v>0</v>
      </c>
      <c r="AV334" s="49">
        <f t="shared" ca="1" si="76"/>
        <v>0</v>
      </c>
      <c r="AW334" s="49">
        <f t="shared" ca="1" si="76"/>
        <v>0</v>
      </c>
      <c r="AX334" s="49">
        <f t="shared" ca="1" si="76"/>
        <v>0</v>
      </c>
      <c r="AY334" s="49">
        <f t="shared" ca="1" si="76"/>
        <v>0</v>
      </c>
      <c r="AZ334" s="49">
        <f t="shared" ca="1" si="76"/>
        <v>0</v>
      </c>
      <c r="BA334" s="49">
        <f t="shared" ca="1" si="76"/>
        <v>0</v>
      </c>
      <c r="BB334" s="49">
        <f t="shared" ca="1" si="76"/>
        <v>0</v>
      </c>
      <c r="BC334" s="49">
        <f t="shared" ca="1" si="76"/>
        <v>0</v>
      </c>
      <c r="BD334" s="49">
        <f t="shared" ca="1" si="76"/>
        <v>0</v>
      </c>
      <c r="BE334" s="49">
        <f t="shared" ca="1" si="76"/>
        <v>0</v>
      </c>
      <c r="BF334" s="49">
        <f t="shared" ca="1" si="76"/>
        <v>0</v>
      </c>
      <c r="BG334" s="49">
        <f t="shared" ca="1" si="76"/>
        <v>0</v>
      </c>
      <c r="BH334" s="49">
        <f t="shared" ca="1" si="76"/>
        <v>0</v>
      </c>
      <c r="BI334" s="49">
        <f t="shared" ca="1" si="76"/>
        <v>0</v>
      </c>
      <c r="BJ334" s="49">
        <f t="shared" ca="1" si="76"/>
        <v>0</v>
      </c>
      <c r="BK334" s="49">
        <f t="shared" ca="1" si="76"/>
        <v>0</v>
      </c>
      <c r="BL334" s="49">
        <f t="shared" ca="1" si="76"/>
        <v>0</v>
      </c>
      <c r="BM334" s="49">
        <f t="shared" ca="1" si="76"/>
        <v>0</v>
      </c>
      <c r="BN334" s="49">
        <f t="shared" ca="1" si="76"/>
        <v>0</v>
      </c>
      <c r="BO334" s="49">
        <f t="shared" ca="1" si="76"/>
        <v>0</v>
      </c>
      <c r="BP334" s="49">
        <f t="shared" ca="1" si="76"/>
        <v>0</v>
      </c>
      <c r="BQ334" s="49">
        <f t="shared" ca="1" si="76"/>
        <v>0</v>
      </c>
      <c r="BR334" s="49">
        <f t="shared" ca="1" si="76"/>
        <v>0</v>
      </c>
      <c r="BS334" s="49">
        <f t="shared" ca="1" si="76"/>
        <v>0</v>
      </c>
    </row>
    <row r="335" spans="1:71" outlineLevel="1" x14ac:dyDescent="0.2">
      <c r="J335" s="26"/>
      <c r="L335" s="55"/>
      <c r="M335" s="55"/>
      <c r="N335" s="55"/>
      <c r="O335" s="55"/>
      <c r="P335" s="55"/>
      <c r="Q335" s="55"/>
      <c r="R335" s="55"/>
      <c r="S335" s="55"/>
      <c r="T335" s="55"/>
      <c r="U335" s="55"/>
      <c r="V335" s="55"/>
      <c r="W335" s="55"/>
      <c r="X335" s="55"/>
      <c r="Y335" s="55"/>
      <c r="Z335" s="55"/>
      <c r="AA335" s="55"/>
      <c r="AB335" s="55"/>
      <c r="AC335" s="55"/>
      <c r="AD335" s="55"/>
      <c r="AE335" s="55"/>
      <c r="AF335" s="55"/>
      <c r="AG335" s="55"/>
      <c r="AH335" s="55"/>
      <c r="AI335" s="55"/>
      <c r="AJ335" s="55"/>
      <c r="AK335" s="55"/>
      <c r="AL335" s="55"/>
      <c r="AM335" s="55"/>
      <c r="AN335" s="55"/>
      <c r="AO335" s="55"/>
      <c r="AP335" s="55"/>
      <c r="AQ335" s="55"/>
      <c r="AR335" s="55"/>
      <c r="AS335" s="55"/>
      <c r="AT335" s="55"/>
      <c r="AU335" s="55"/>
      <c r="AV335" s="55"/>
      <c r="AW335" s="55"/>
      <c r="AX335" s="55"/>
      <c r="AY335" s="55"/>
      <c r="AZ335" s="55"/>
      <c r="BA335" s="55"/>
      <c r="BB335" s="55"/>
      <c r="BC335" s="55"/>
      <c r="BD335" s="55"/>
      <c r="BE335" s="55"/>
      <c r="BF335" s="55"/>
      <c r="BG335" s="55"/>
      <c r="BH335" s="55"/>
      <c r="BI335" s="55"/>
      <c r="BJ335" s="55"/>
      <c r="BK335" s="55"/>
      <c r="BL335" s="55"/>
      <c r="BM335" s="55"/>
      <c r="BN335" s="55"/>
      <c r="BO335" s="55"/>
      <c r="BP335" s="55"/>
      <c r="BQ335" s="55"/>
      <c r="BR335" s="55"/>
      <c r="BS335" s="55"/>
    </row>
    <row r="336" spans="1:71" outlineLevel="1" x14ac:dyDescent="0.2">
      <c r="C336" s="11" t="s">
        <v>346</v>
      </c>
      <c r="J336" s="26"/>
      <c r="L336" s="55"/>
      <c r="M336" s="55"/>
      <c r="N336" s="55"/>
      <c r="O336" s="55"/>
      <c r="P336" s="55"/>
      <c r="Q336" s="55"/>
      <c r="R336" s="55"/>
      <c r="S336" s="55"/>
      <c r="T336" s="55"/>
      <c r="U336" s="55"/>
      <c r="V336" s="55"/>
      <c r="W336" s="55"/>
      <c r="X336" s="55"/>
      <c r="Y336" s="55"/>
      <c r="Z336" s="55"/>
      <c r="AA336" s="55"/>
      <c r="AB336" s="55"/>
      <c r="AC336" s="55"/>
      <c r="AD336" s="55"/>
      <c r="AE336" s="55"/>
      <c r="AF336" s="55"/>
      <c r="AG336" s="55"/>
      <c r="AH336" s="55"/>
      <c r="AI336" s="55"/>
      <c r="AJ336" s="55"/>
      <c r="AK336" s="55"/>
      <c r="AL336" s="55"/>
      <c r="AM336" s="55"/>
      <c r="AN336" s="55"/>
      <c r="AO336" s="55"/>
      <c r="AP336" s="55"/>
      <c r="AQ336" s="55"/>
      <c r="AR336" s="55"/>
      <c r="AS336" s="55"/>
      <c r="AT336" s="55"/>
      <c r="AU336" s="55"/>
      <c r="AV336" s="55"/>
      <c r="AW336" s="55"/>
      <c r="AX336" s="55"/>
      <c r="AY336" s="55"/>
      <c r="AZ336" s="55"/>
      <c r="BA336" s="55"/>
      <c r="BB336" s="55"/>
      <c r="BC336" s="55"/>
      <c r="BD336" s="55"/>
      <c r="BE336" s="55"/>
      <c r="BF336" s="55"/>
      <c r="BG336" s="55"/>
      <c r="BH336" s="55"/>
      <c r="BI336" s="55"/>
      <c r="BJ336" s="55"/>
      <c r="BK336" s="55"/>
      <c r="BL336" s="55"/>
      <c r="BM336" s="55"/>
      <c r="BN336" s="55"/>
      <c r="BO336" s="55"/>
      <c r="BP336" s="55"/>
      <c r="BQ336" s="55"/>
      <c r="BR336" s="55"/>
      <c r="BS336" s="55"/>
    </row>
    <row r="337" spans="3:71" outlineLevel="1" x14ac:dyDescent="0.2">
      <c r="D337" t="s">
        <v>337</v>
      </c>
      <c r="J337" s="26"/>
      <c r="L337" s="49">
        <f>K340</f>
        <v>0</v>
      </c>
      <c r="M337" s="49">
        <f t="shared" ref="M337:BS337" ca="1" si="77">L340</f>
        <v>91.546048687375105</v>
      </c>
      <c r="N337" s="49">
        <f t="shared" ca="1" si="77"/>
        <v>266.34462074752719</v>
      </c>
      <c r="O337" s="49">
        <f t="shared" ca="1" si="77"/>
        <v>564.88050443309328</v>
      </c>
      <c r="P337" s="49">
        <f t="shared" ca="1" si="77"/>
        <v>808.29360092304137</v>
      </c>
      <c r="Q337" s="49">
        <f t="shared" ca="1" si="77"/>
        <v>885.59555548577987</v>
      </c>
      <c r="R337" s="49">
        <f t="shared" ca="1" si="77"/>
        <v>875.37695587570943</v>
      </c>
      <c r="S337" s="49">
        <f t="shared" ca="1" si="77"/>
        <v>822.18325685565219</v>
      </c>
      <c r="T337" s="49">
        <f t="shared" ca="1" si="77"/>
        <v>789.74092733194243</v>
      </c>
      <c r="U337" s="49">
        <f t="shared" ca="1" si="77"/>
        <v>742.69584129136365</v>
      </c>
      <c r="V337" s="49">
        <f t="shared" ca="1" si="77"/>
        <v>695.85097558189659</v>
      </c>
      <c r="W337" s="49">
        <f t="shared" ca="1" si="77"/>
        <v>651.4139359698961</v>
      </c>
      <c r="X337" s="49">
        <f t="shared" ca="1" si="77"/>
        <v>613.464414001401</v>
      </c>
      <c r="Y337" s="49">
        <f t="shared" ca="1" si="77"/>
        <v>577.56385515754914</v>
      </c>
      <c r="Z337" s="49">
        <f t="shared" ca="1" si="77"/>
        <v>577.56385515754914</v>
      </c>
      <c r="AA337" s="49">
        <f t="shared" ca="1" si="77"/>
        <v>577.56385515754914</v>
      </c>
      <c r="AB337" s="49">
        <f t="shared" ca="1" si="77"/>
        <v>577.56385515754914</v>
      </c>
      <c r="AC337" s="49">
        <f t="shared" ca="1" si="77"/>
        <v>577.56385515754914</v>
      </c>
      <c r="AD337" s="49">
        <f t="shared" ca="1" si="77"/>
        <v>577.56385515754914</v>
      </c>
      <c r="AE337" s="49">
        <f t="shared" ca="1" si="77"/>
        <v>577.56385515754914</v>
      </c>
      <c r="AF337" s="49">
        <f t="shared" ca="1" si="77"/>
        <v>577.56385515754914</v>
      </c>
      <c r="AG337" s="49">
        <f t="shared" ca="1" si="77"/>
        <v>577.56385515754914</v>
      </c>
      <c r="AH337" s="49">
        <f t="shared" ca="1" si="77"/>
        <v>577.56385515754914</v>
      </c>
      <c r="AI337" s="49">
        <f t="shared" ca="1" si="77"/>
        <v>577.56385515754914</v>
      </c>
      <c r="AJ337" s="49">
        <f t="shared" ca="1" si="77"/>
        <v>577.56385515754914</v>
      </c>
      <c r="AK337" s="49">
        <f t="shared" ca="1" si="77"/>
        <v>577.56385515754914</v>
      </c>
      <c r="AL337" s="49">
        <f t="shared" ca="1" si="77"/>
        <v>577.56385515754914</v>
      </c>
      <c r="AM337" s="49">
        <f t="shared" ca="1" si="77"/>
        <v>577.56385515754914</v>
      </c>
      <c r="AN337" s="49">
        <f t="shared" ca="1" si="77"/>
        <v>577.56385515754914</v>
      </c>
      <c r="AO337" s="49">
        <f t="shared" ca="1" si="77"/>
        <v>577.56385515754914</v>
      </c>
      <c r="AP337" s="49">
        <f t="shared" ca="1" si="77"/>
        <v>577.56385515754914</v>
      </c>
      <c r="AQ337" s="49">
        <f t="shared" ca="1" si="77"/>
        <v>577.56385515754914</v>
      </c>
      <c r="AR337" s="49">
        <f t="shared" ca="1" si="77"/>
        <v>577.56385515754914</v>
      </c>
      <c r="AS337" s="49">
        <f t="shared" ca="1" si="77"/>
        <v>577.56385515754914</v>
      </c>
      <c r="AT337" s="49">
        <f t="shared" ca="1" si="77"/>
        <v>577.56385515754914</v>
      </c>
      <c r="AU337" s="49">
        <f t="shared" ca="1" si="77"/>
        <v>577.56385515754914</v>
      </c>
      <c r="AV337" s="49">
        <f t="shared" ca="1" si="77"/>
        <v>577.56385515754914</v>
      </c>
      <c r="AW337" s="49">
        <f t="shared" ca="1" si="77"/>
        <v>577.56385515754914</v>
      </c>
      <c r="AX337" s="49">
        <f t="shared" ca="1" si="77"/>
        <v>577.56385515754914</v>
      </c>
      <c r="AY337" s="49">
        <f t="shared" ca="1" si="77"/>
        <v>577.56385515754914</v>
      </c>
      <c r="AZ337" s="49">
        <f t="shared" ca="1" si="77"/>
        <v>577.56385515754914</v>
      </c>
      <c r="BA337" s="49">
        <f t="shared" ca="1" si="77"/>
        <v>577.56385515754914</v>
      </c>
      <c r="BB337" s="49">
        <f t="shared" ca="1" si="77"/>
        <v>577.56385515754914</v>
      </c>
      <c r="BC337" s="49">
        <f t="shared" ca="1" si="77"/>
        <v>577.56385515754914</v>
      </c>
      <c r="BD337" s="49">
        <f t="shared" ca="1" si="77"/>
        <v>577.56385515754914</v>
      </c>
      <c r="BE337" s="49">
        <f t="shared" ca="1" si="77"/>
        <v>577.56385515754914</v>
      </c>
      <c r="BF337" s="49">
        <f t="shared" ca="1" si="77"/>
        <v>577.56385515754914</v>
      </c>
      <c r="BG337" s="49">
        <f t="shared" ca="1" si="77"/>
        <v>577.56385515754914</v>
      </c>
      <c r="BH337" s="49">
        <f t="shared" ca="1" si="77"/>
        <v>577.56385515754914</v>
      </c>
      <c r="BI337" s="49">
        <f t="shared" ca="1" si="77"/>
        <v>577.56385515754914</v>
      </c>
      <c r="BJ337" s="49">
        <f t="shared" ca="1" si="77"/>
        <v>577.56385515754914</v>
      </c>
      <c r="BK337" s="49">
        <f t="shared" ca="1" si="77"/>
        <v>577.56385515754914</v>
      </c>
      <c r="BL337" s="49">
        <f t="shared" ca="1" si="77"/>
        <v>577.56385515754914</v>
      </c>
      <c r="BM337" s="49">
        <f t="shared" ca="1" si="77"/>
        <v>577.56385515754914</v>
      </c>
      <c r="BN337" s="49">
        <f t="shared" ca="1" si="77"/>
        <v>577.56385515754914</v>
      </c>
      <c r="BO337" s="49">
        <f t="shared" ca="1" si="77"/>
        <v>577.56385515754914</v>
      </c>
      <c r="BP337" s="49">
        <f t="shared" ca="1" si="77"/>
        <v>577.56385515754914</v>
      </c>
      <c r="BQ337" s="49">
        <f t="shared" ca="1" si="77"/>
        <v>577.56385515754914</v>
      </c>
      <c r="BR337" s="49">
        <f t="shared" ca="1" si="77"/>
        <v>577.56385515754914</v>
      </c>
      <c r="BS337" s="49">
        <f t="shared" ca="1" si="77"/>
        <v>577.56385515754914</v>
      </c>
    </row>
    <row r="338" spans="3:71" outlineLevel="1" x14ac:dyDescent="0.2">
      <c r="D338" s="50" t="s">
        <v>348</v>
      </c>
      <c r="I338" s="30">
        <f t="shared" ref="I338:I339" ca="1" si="78">SUM($L338:$BS338)</f>
        <v>1091.3591000000001</v>
      </c>
      <c r="J338" s="26" t="s">
        <v>148</v>
      </c>
      <c r="L338" s="49">
        <f ca="1">L326</f>
        <v>128.6782</v>
      </c>
      <c r="M338" s="49">
        <f t="shared" ref="M338:BS338" ca="1" si="79">M326</f>
        <v>211.8212</v>
      </c>
      <c r="N338" s="49">
        <f t="shared" ca="1" si="79"/>
        <v>313.05740000000003</v>
      </c>
      <c r="O338" s="49">
        <f t="shared" ca="1" si="79"/>
        <v>257.12010000000004</v>
      </c>
      <c r="P338" s="49">
        <f t="shared" ca="1" si="79"/>
        <v>115.3232</v>
      </c>
      <c r="Q338" s="49">
        <f t="shared" ca="1" si="79"/>
        <v>65.359000000000009</v>
      </c>
      <c r="R338" s="49">
        <f t="shared" ca="1" si="79"/>
        <v>0</v>
      </c>
      <c r="S338" s="49">
        <f t="shared" ca="1" si="79"/>
        <v>0</v>
      </c>
      <c r="T338" s="49">
        <f t="shared" ca="1" si="79"/>
        <v>0</v>
      </c>
      <c r="U338" s="49">
        <f t="shared" ca="1" si="79"/>
        <v>0</v>
      </c>
      <c r="V338" s="49">
        <f t="shared" ca="1" si="79"/>
        <v>0</v>
      </c>
      <c r="W338" s="49">
        <f t="shared" ca="1" si="79"/>
        <v>0</v>
      </c>
      <c r="X338" s="49">
        <f t="shared" ca="1" si="79"/>
        <v>0</v>
      </c>
      <c r="Y338" s="49">
        <f t="shared" ca="1" si="79"/>
        <v>0</v>
      </c>
      <c r="Z338" s="49">
        <f t="shared" ca="1" si="79"/>
        <v>0</v>
      </c>
      <c r="AA338" s="49">
        <f t="shared" ca="1" si="79"/>
        <v>0</v>
      </c>
      <c r="AB338" s="49">
        <f t="shared" ca="1" si="79"/>
        <v>0</v>
      </c>
      <c r="AC338" s="49">
        <f t="shared" ca="1" si="79"/>
        <v>0</v>
      </c>
      <c r="AD338" s="49">
        <f t="shared" ca="1" si="79"/>
        <v>0</v>
      </c>
      <c r="AE338" s="49">
        <f t="shared" ca="1" si="79"/>
        <v>0</v>
      </c>
      <c r="AF338" s="49">
        <f t="shared" ca="1" si="79"/>
        <v>0</v>
      </c>
      <c r="AG338" s="49">
        <f t="shared" ca="1" si="79"/>
        <v>0</v>
      </c>
      <c r="AH338" s="49">
        <f t="shared" ca="1" si="79"/>
        <v>0</v>
      </c>
      <c r="AI338" s="49">
        <f t="shared" ca="1" si="79"/>
        <v>0</v>
      </c>
      <c r="AJ338" s="49">
        <f t="shared" ca="1" si="79"/>
        <v>0</v>
      </c>
      <c r="AK338" s="49">
        <f t="shared" ca="1" si="79"/>
        <v>0</v>
      </c>
      <c r="AL338" s="49">
        <f t="shared" ca="1" si="79"/>
        <v>0</v>
      </c>
      <c r="AM338" s="49">
        <f t="shared" ca="1" si="79"/>
        <v>0</v>
      </c>
      <c r="AN338" s="49">
        <f t="shared" ca="1" si="79"/>
        <v>0</v>
      </c>
      <c r="AO338" s="49">
        <f t="shared" ca="1" si="79"/>
        <v>0</v>
      </c>
      <c r="AP338" s="49">
        <f t="shared" ca="1" si="79"/>
        <v>0</v>
      </c>
      <c r="AQ338" s="49">
        <f t="shared" ca="1" si="79"/>
        <v>0</v>
      </c>
      <c r="AR338" s="49">
        <f t="shared" ca="1" si="79"/>
        <v>0</v>
      </c>
      <c r="AS338" s="49">
        <f t="shared" ca="1" si="79"/>
        <v>0</v>
      </c>
      <c r="AT338" s="49">
        <f t="shared" ca="1" si="79"/>
        <v>0</v>
      </c>
      <c r="AU338" s="49">
        <f t="shared" ca="1" si="79"/>
        <v>0</v>
      </c>
      <c r="AV338" s="49">
        <f t="shared" ca="1" si="79"/>
        <v>0</v>
      </c>
      <c r="AW338" s="49">
        <f t="shared" ca="1" si="79"/>
        <v>0</v>
      </c>
      <c r="AX338" s="49">
        <f t="shared" ca="1" si="79"/>
        <v>0</v>
      </c>
      <c r="AY338" s="49">
        <f t="shared" ca="1" si="79"/>
        <v>0</v>
      </c>
      <c r="AZ338" s="49">
        <f t="shared" ca="1" si="79"/>
        <v>0</v>
      </c>
      <c r="BA338" s="49">
        <f t="shared" ca="1" si="79"/>
        <v>0</v>
      </c>
      <c r="BB338" s="49">
        <f t="shared" ca="1" si="79"/>
        <v>0</v>
      </c>
      <c r="BC338" s="49">
        <f t="shared" ca="1" si="79"/>
        <v>0</v>
      </c>
      <c r="BD338" s="49">
        <f t="shared" ca="1" si="79"/>
        <v>0</v>
      </c>
      <c r="BE338" s="49">
        <f t="shared" ca="1" si="79"/>
        <v>0</v>
      </c>
      <c r="BF338" s="49">
        <f t="shared" ca="1" si="79"/>
        <v>0</v>
      </c>
      <c r="BG338" s="49">
        <f t="shared" ca="1" si="79"/>
        <v>0</v>
      </c>
      <c r="BH338" s="49">
        <f t="shared" ca="1" si="79"/>
        <v>0</v>
      </c>
      <c r="BI338" s="49">
        <f t="shared" ca="1" si="79"/>
        <v>0</v>
      </c>
      <c r="BJ338" s="49">
        <f t="shared" ca="1" si="79"/>
        <v>0</v>
      </c>
      <c r="BK338" s="49">
        <f t="shared" ca="1" si="79"/>
        <v>0</v>
      </c>
      <c r="BL338" s="49">
        <f t="shared" ca="1" si="79"/>
        <v>0</v>
      </c>
      <c r="BM338" s="49">
        <f t="shared" ca="1" si="79"/>
        <v>0</v>
      </c>
      <c r="BN338" s="49">
        <f t="shared" ca="1" si="79"/>
        <v>0</v>
      </c>
      <c r="BO338" s="49">
        <f t="shared" ca="1" si="79"/>
        <v>0</v>
      </c>
      <c r="BP338" s="49">
        <f t="shared" ca="1" si="79"/>
        <v>0</v>
      </c>
      <c r="BQ338" s="49">
        <f t="shared" ca="1" si="79"/>
        <v>0</v>
      </c>
      <c r="BR338" s="49">
        <f t="shared" ca="1" si="79"/>
        <v>0</v>
      </c>
      <c r="BS338" s="49">
        <f t="shared" ca="1" si="79"/>
        <v>0</v>
      </c>
    </row>
    <row r="339" spans="3:71" outlineLevel="1" x14ac:dyDescent="0.2">
      <c r="D339" s="50" t="s">
        <v>335</v>
      </c>
      <c r="I339" s="30">
        <f t="shared" ca="1" si="78"/>
        <v>-513.7952448424511</v>
      </c>
      <c r="J339" s="26" t="s">
        <v>148</v>
      </c>
      <c r="L339" s="49">
        <f ca="1">-MIN(SUM(L337:L338),SUM(L$299,L$304)*Loango_II!NOC_rpmt_max_perc)*Loango_II!NOC_CI_devex_rpmt</f>
        <v>-37.132151312624892</v>
      </c>
      <c r="M339" s="49">
        <f ca="1">-MIN(SUM(M337:M338),SUM(M$299,M$304)*Loango_II!NOC_rpmt_max_perc)*Loango_II!NOC_CI_devex_rpmt</f>
        <v>-37.022627939847922</v>
      </c>
      <c r="N339" s="49">
        <f ca="1">-MIN(SUM(N337:N338),SUM(N$299,N$304)*Loango_II!NOC_rpmt_max_perc)*Loango_II!NOC_CI_devex_rpmt</f>
        <v>-14.52151631443391</v>
      </c>
      <c r="O339" s="49">
        <f ca="1">-MIN(SUM(O337:O338),SUM(O$299,O$304)*Loango_II!NOC_rpmt_max_perc)*Loango_II!NOC_CI_devex_rpmt</f>
        <v>-13.707003510051898</v>
      </c>
      <c r="P339" s="49">
        <f ca="1">-MIN(SUM(P337:P338),SUM(P$299,P$304)*Loango_II!NOC_rpmt_max_perc)*Loango_II!NOC_CI_devex_rpmt</f>
        <v>-38.021245437261555</v>
      </c>
      <c r="Q339" s="49">
        <f ca="1">-MIN(SUM(Q337:Q338),SUM(Q$299,Q$304)*Loango_II!NOC_rpmt_max_perc)*Loango_II!NOC_CI_devex_rpmt</f>
        <v>-75.577599610070536</v>
      </c>
      <c r="R339" s="49">
        <f ca="1">-MIN(SUM(R337:R338),SUM(R$299,R$304)*Loango_II!NOC_rpmt_max_perc)*Loango_II!NOC_CI_devex_rpmt</f>
        <v>-53.193699020057196</v>
      </c>
      <c r="S339" s="49">
        <f ca="1">-MIN(SUM(S337:S338),SUM(S$299,S$304)*Loango_II!NOC_rpmt_max_perc)*Loango_II!NOC_CI_devex_rpmt</f>
        <v>-32.442329523709802</v>
      </c>
      <c r="T339" s="49">
        <f ca="1">-MIN(SUM(T337:T338),SUM(T$299,T$304)*Loango_II!NOC_rpmt_max_perc)*Loango_II!NOC_CI_devex_rpmt</f>
        <v>-47.045086040578767</v>
      </c>
      <c r="U339" s="49">
        <f ca="1">-MIN(SUM(U337:U338),SUM(U$299,U$304)*Loango_II!NOC_rpmt_max_perc)*Loango_II!NOC_CI_devex_rpmt</f>
        <v>-46.844865709467072</v>
      </c>
      <c r="V339" s="49">
        <f ca="1">-MIN(SUM(V337:V338),SUM(V$299,V$304)*Loango_II!NOC_rpmt_max_perc)*Loango_II!NOC_CI_devex_rpmt</f>
        <v>-44.437039612000461</v>
      </c>
      <c r="W339" s="49">
        <f ca="1">-MIN(SUM(W337:W338),SUM(W$299,W$304)*Loango_II!NOC_rpmt_max_perc)*Loango_II!NOC_CI_devex_rpmt</f>
        <v>-37.949521968495141</v>
      </c>
      <c r="X339" s="49">
        <f ca="1">-MIN(SUM(X337:X338),SUM(X$299,X$304)*Loango_II!NOC_rpmt_max_perc)*Loango_II!NOC_CI_devex_rpmt</f>
        <v>-35.900558843851883</v>
      </c>
      <c r="Y339" s="49">
        <f ca="1">-MIN(SUM(Y337:Y338),SUM(Y$299,Y$304)*Loango_II!NOC_rpmt_max_perc)*Loango_II!NOC_CI_devex_rpmt</f>
        <v>0</v>
      </c>
      <c r="Z339" s="49">
        <f ca="1">-MIN(SUM(Z337:Z338),SUM(Z$299,Z$304)*Loango_II!NOC_rpmt_max_perc)*Loango_II!NOC_CI_devex_rpmt</f>
        <v>0</v>
      </c>
      <c r="AA339" s="49">
        <f ca="1">-MIN(SUM(AA337:AA338),SUM(AA$299,AA$304)*Loango_II!NOC_rpmt_max_perc)*Loango_II!NOC_CI_devex_rpmt</f>
        <v>0</v>
      </c>
      <c r="AB339" s="49">
        <f ca="1">-MIN(SUM(AB337:AB338),SUM(AB$299,AB$304)*Loango_II!NOC_rpmt_max_perc)*Loango_II!NOC_CI_devex_rpmt</f>
        <v>0</v>
      </c>
      <c r="AC339" s="49">
        <f ca="1">-MIN(SUM(AC337:AC338),SUM(AC$299,AC$304)*Loango_II!NOC_rpmt_max_perc)*Loango_II!NOC_CI_devex_rpmt</f>
        <v>0</v>
      </c>
      <c r="AD339" s="49">
        <f ca="1">-MIN(SUM(AD337:AD338),SUM(AD$299,AD$304)*Loango_II!NOC_rpmt_max_perc)*Loango_II!NOC_CI_devex_rpmt</f>
        <v>0</v>
      </c>
      <c r="AE339" s="49">
        <f ca="1">-MIN(SUM(AE337:AE338),SUM(AE$299,AE$304)*Loango_II!NOC_rpmt_max_perc)*Loango_II!NOC_CI_devex_rpmt</f>
        <v>0</v>
      </c>
      <c r="AF339" s="49">
        <f ca="1">-MIN(SUM(AF337:AF338),SUM(AF$299,AF$304)*Loango_II!NOC_rpmt_max_perc)*Loango_II!NOC_CI_devex_rpmt</f>
        <v>0</v>
      </c>
      <c r="AG339" s="49">
        <f ca="1">-MIN(SUM(AG337:AG338),SUM(AG$299,AG$304)*Loango_II!NOC_rpmt_max_perc)*Loango_II!NOC_CI_devex_rpmt</f>
        <v>0</v>
      </c>
      <c r="AH339" s="49">
        <f ca="1">-MIN(SUM(AH337:AH338),SUM(AH$299,AH$304)*Loango_II!NOC_rpmt_max_perc)*Loango_II!NOC_CI_devex_rpmt</f>
        <v>0</v>
      </c>
      <c r="AI339" s="49">
        <f ca="1">-MIN(SUM(AI337:AI338),SUM(AI$299,AI$304)*Loango_II!NOC_rpmt_max_perc)*Loango_II!NOC_CI_devex_rpmt</f>
        <v>0</v>
      </c>
      <c r="AJ339" s="49">
        <f ca="1">-MIN(SUM(AJ337:AJ338),SUM(AJ$299,AJ$304)*Loango_II!NOC_rpmt_max_perc)*Loango_II!NOC_CI_devex_rpmt</f>
        <v>0</v>
      </c>
      <c r="AK339" s="49">
        <f ca="1">-MIN(SUM(AK337:AK338),SUM(AK$299,AK$304)*Loango_II!NOC_rpmt_max_perc)*Loango_II!NOC_CI_devex_rpmt</f>
        <v>0</v>
      </c>
      <c r="AL339" s="49">
        <f ca="1">-MIN(SUM(AL337:AL338),SUM(AL$299,AL$304)*Loango_II!NOC_rpmt_max_perc)*Loango_II!NOC_CI_devex_rpmt</f>
        <v>0</v>
      </c>
      <c r="AM339" s="49">
        <f ca="1">-MIN(SUM(AM337:AM338),SUM(AM$299,AM$304)*Loango_II!NOC_rpmt_max_perc)*Loango_II!NOC_CI_devex_rpmt</f>
        <v>0</v>
      </c>
      <c r="AN339" s="49">
        <f ca="1">-MIN(SUM(AN337:AN338),SUM(AN$299,AN$304)*Loango_II!NOC_rpmt_max_perc)*Loango_II!NOC_CI_devex_rpmt</f>
        <v>0</v>
      </c>
      <c r="AO339" s="49">
        <f ca="1">-MIN(SUM(AO337:AO338),SUM(AO$299,AO$304)*Loango_II!NOC_rpmt_max_perc)*Loango_II!NOC_CI_devex_rpmt</f>
        <v>0</v>
      </c>
      <c r="AP339" s="49">
        <f ca="1">-MIN(SUM(AP337:AP338),SUM(AP$299,AP$304)*Loango_II!NOC_rpmt_max_perc)*Loango_II!NOC_CI_devex_rpmt</f>
        <v>0</v>
      </c>
      <c r="AQ339" s="49">
        <f ca="1">-MIN(SUM(AQ337:AQ338),SUM(AQ$299,AQ$304)*Loango_II!NOC_rpmt_max_perc)*Loango_II!NOC_CI_devex_rpmt</f>
        <v>0</v>
      </c>
      <c r="AR339" s="49">
        <f ca="1">-MIN(SUM(AR337:AR338),SUM(AR$299,AR$304)*Loango_II!NOC_rpmt_max_perc)*Loango_II!NOC_CI_devex_rpmt</f>
        <v>0</v>
      </c>
      <c r="AS339" s="49">
        <f ca="1">-MIN(SUM(AS337:AS338),SUM(AS$299,AS$304)*Loango_II!NOC_rpmt_max_perc)*Loango_II!NOC_CI_devex_rpmt</f>
        <v>0</v>
      </c>
      <c r="AT339" s="49">
        <f ca="1">-MIN(SUM(AT337:AT338),SUM(AT$299,AT$304)*Loango_II!NOC_rpmt_max_perc)*Loango_II!NOC_CI_devex_rpmt</f>
        <v>0</v>
      </c>
      <c r="AU339" s="49">
        <f ca="1">-MIN(SUM(AU337:AU338),SUM(AU$299,AU$304)*Loango_II!NOC_rpmt_max_perc)*Loango_II!NOC_CI_devex_rpmt</f>
        <v>0</v>
      </c>
      <c r="AV339" s="49">
        <f ca="1">-MIN(SUM(AV337:AV338),SUM(AV$299,AV$304)*Loango_II!NOC_rpmt_max_perc)*Loango_II!NOC_CI_devex_rpmt</f>
        <v>0</v>
      </c>
      <c r="AW339" s="49">
        <f ca="1">-MIN(SUM(AW337:AW338),SUM(AW$299,AW$304)*Loango_II!NOC_rpmt_max_perc)*Loango_II!NOC_CI_devex_rpmt</f>
        <v>0</v>
      </c>
      <c r="AX339" s="49">
        <f ca="1">-MIN(SUM(AX337:AX338),SUM(AX$299,AX$304)*Loango_II!NOC_rpmt_max_perc)*Loango_II!NOC_CI_devex_rpmt</f>
        <v>0</v>
      </c>
      <c r="AY339" s="49">
        <f ca="1">-MIN(SUM(AY337:AY338),SUM(AY$299,AY$304)*Loango_II!NOC_rpmt_max_perc)*Loango_II!NOC_CI_devex_rpmt</f>
        <v>0</v>
      </c>
      <c r="AZ339" s="49">
        <f ca="1">-MIN(SUM(AZ337:AZ338),SUM(AZ$299,AZ$304)*Loango_II!NOC_rpmt_max_perc)*Loango_II!NOC_CI_devex_rpmt</f>
        <v>0</v>
      </c>
      <c r="BA339" s="49">
        <f ca="1">-MIN(SUM(BA337:BA338),SUM(BA$299,BA$304)*Loango_II!NOC_rpmt_max_perc)*Loango_II!NOC_CI_devex_rpmt</f>
        <v>0</v>
      </c>
      <c r="BB339" s="49">
        <f ca="1">-MIN(SUM(BB337:BB338),SUM(BB$299,BB$304)*Loango_II!NOC_rpmt_max_perc)*Loango_II!NOC_CI_devex_rpmt</f>
        <v>0</v>
      </c>
      <c r="BC339" s="49">
        <f ca="1">-MIN(SUM(BC337:BC338),SUM(BC$299,BC$304)*Loango_II!NOC_rpmt_max_perc)*Loango_II!NOC_CI_devex_rpmt</f>
        <v>0</v>
      </c>
      <c r="BD339" s="49">
        <f ca="1">-MIN(SUM(BD337:BD338),SUM(BD$299,BD$304)*Loango_II!NOC_rpmt_max_perc)*Loango_II!NOC_CI_devex_rpmt</f>
        <v>0</v>
      </c>
      <c r="BE339" s="49">
        <f ca="1">-MIN(SUM(BE337:BE338),SUM(BE$299,BE$304)*Loango_II!NOC_rpmt_max_perc)*Loango_II!NOC_CI_devex_rpmt</f>
        <v>0</v>
      </c>
      <c r="BF339" s="49">
        <f ca="1">-MIN(SUM(BF337:BF338),SUM(BF$299,BF$304)*Loango_II!NOC_rpmt_max_perc)*Loango_II!NOC_CI_devex_rpmt</f>
        <v>0</v>
      </c>
      <c r="BG339" s="49">
        <f ca="1">-MIN(SUM(BG337:BG338),SUM(BG$299,BG$304)*Loango_II!NOC_rpmt_max_perc)*Loango_II!NOC_CI_devex_rpmt</f>
        <v>0</v>
      </c>
      <c r="BH339" s="49">
        <f ca="1">-MIN(SUM(BH337:BH338),SUM(BH$299,BH$304)*Loango_II!NOC_rpmt_max_perc)*Loango_II!NOC_CI_devex_rpmt</f>
        <v>0</v>
      </c>
      <c r="BI339" s="49">
        <f ca="1">-MIN(SUM(BI337:BI338),SUM(BI$299,BI$304)*Loango_II!NOC_rpmt_max_perc)*Loango_II!NOC_CI_devex_rpmt</f>
        <v>0</v>
      </c>
      <c r="BJ339" s="49">
        <f ca="1">-MIN(SUM(BJ337:BJ338),SUM(BJ$299,BJ$304)*Loango_II!NOC_rpmt_max_perc)*Loango_II!NOC_CI_devex_rpmt</f>
        <v>0</v>
      </c>
      <c r="BK339" s="49">
        <f ca="1">-MIN(SUM(BK337:BK338),SUM(BK$299,BK$304)*Loango_II!NOC_rpmt_max_perc)*Loango_II!NOC_CI_devex_rpmt</f>
        <v>0</v>
      </c>
      <c r="BL339" s="49">
        <f ca="1">-MIN(SUM(BL337:BL338),SUM(BL$299,BL$304)*Loango_II!NOC_rpmt_max_perc)*Loango_II!NOC_CI_devex_rpmt</f>
        <v>0</v>
      </c>
      <c r="BM339" s="49">
        <f ca="1">-MIN(SUM(BM337:BM338),SUM(BM$299,BM$304)*Loango_II!NOC_rpmt_max_perc)*Loango_II!NOC_CI_devex_rpmt</f>
        <v>0</v>
      </c>
      <c r="BN339" s="49">
        <f ca="1">-MIN(SUM(BN337:BN338),SUM(BN$299,BN$304)*Loango_II!NOC_rpmt_max_perc)*Loango_II!NOC_CI_devex_rpmt</f>
        <v>0</v>
      </c>
      <c r="BO339" s="49">
        <f ca="1">-MIN(SUM(BO337:BO338),SUM(BO$299,BO$304)*Loango_II!NOC_rpmt_max_perc)*Loango_II!NOC_CI_devex_rpmt</f>
        <v>0</v>
      </c>
      <c r="BP339" s="49">
        <f ca="1">-MIN(SUM(BP337:BP338),SUM(BP$299,BP$304)*Loango_II!NOC_rpmt_max_perc)*Loango_II!NOC_CI_devex_rpmt</f>
        <v>0</v>
      </c>
      <c r="BQ339" s="49">
        <f ca="1">-MIN(SUM(BQ337:BQ338),SUM(BQ$299,BQ$304)*Loango_II!NOC_rpmt_max_perc)*Loango_II!NOC_CI_devex_rpmt</f>
        <v>0</v>
      </c>
      <c r="BR339" s="49">
        <f ca="1">-MIN(SUM(BR337:BR338),SUM(BR$299,BR$304)*Loango_II!NOC_rpmt_max_perc)*Loango_II!NOC_CI_devex_rpmt</f>
        <v>0</v>
      </c>
      <c r="BS339" s="49">
        <f ca="1">-MIN(SUM(BS337:BS338),SUM(BS$299,BS$304)*Loango_II!NOC_rpmt_max_perc)*Loango_II!NOC_CI_devex_rpmt</f>
        <v>0</v>
      </c>
    </row>
    <row r="340" spans="3:71" outlineLevel="1" x14ac:dyDescent="0.2">
      <c r="D340" t="s">
        <v>336</v>
      </c>
      <c r="J340" s="26"/>
      <c r="L340" s="49">
        <f ca="1">SUM(L337:L339)</f>
        <v>91.546048687375105</v>
      </c>
      <c r="M340" s="49">
        <f t="shared" ref="M340:BS340" ca="1" si="80">SUM(M337:M339)</f>
        <v>266.34462074752719</v>
      </c>
      <c r="N340" s="49">
        <f t="shared" ca="1" si="80"/>
        <v>564.88050443309328</v>
      </c>
      <c r="O340" s="49">
        <f t="shared" ca="1" si="80"/>
        <v>808.29360092304137</v>
      </c>
      <c r="P340" s="49">
        <f t="shared" ca="1" si="80"/>
        <v>885.59555548577987</v>
      </c>
      <c r="Q340" s="49">
        <f t="shared" ca="1" si="80"/>
        <v>875.37695587570943</v>
      </c>
      <c r="R340" s="49">
        <f t="shared" ca="1" si="80"/>
        <v>822.18325685565219</v>
      </c>
      <c r="S340" s="49">
        <f t="shared" ca="1" si="80"/>
        <v>789.74092733194243</v>
      </c>
      <c r="T340" s="49">
        <f t="shared" ca="1" si="80"/>
        <v>742.69584129136365</v>
      </c>
      <c r="U340" s="49">
        <f t="shared" ca="1" si="80"/>
        <v>695.85097558189659</v>
      </c>
      <c r="V340" s="49">
        <f t="shared" ca="1" si="80"/>
        <v>651.4139359698961</v>
      </c>
      <c r="W340" s="49">
        <f t="shared" ca="1" si="80"/>
        <v>613.464414001401</v>
      </c>
      <c r="X340" s="49">
        <f t="shared" ca="1" si="80"/>
        <v>577.56385515754914</v>
      </c>
      <c r="Y340" s="49">
        <f t="shared" ca="1" si="80"/>
        <v>577.56385515754914</v>
      </c>
      <c r="Z340" s="49">
        <f t="shared" ca="1" si="80"/>
        <v>577.56385515754914</v>
      </c>
      <c r="AA340" s="49">
        <f t="shared" ca="1" si="80"/>
        <v>577.56385515754914</v>
      </c>
      <c r="AB340" s="49">
        <f t="shared" ca="1" si="80"/>
        <v>577.56385515754914</v>
      </c>
      <c r="AC340" s="49">
        <f t="shared" ca="1" si="80"/>
        <v>577.56385515754914</v>
      </c>
      <c r="AD340" s="49">
        <f t="shared" ca="1" si="80"/>
        <v>577.56385515754914</v>
      </c>
      <c r="AE340" s="49">
        <f t="shared" ca="1" si="80"/>
        <v>577.56385515754914</v>
      </c>
      <c r="AF340" s="49">
        <f t="shared" ca="1" si="80"/>
        <v>577.56385515754914</v>
      </c>
      <c r="AG340" s="49">
        <f t="shared" ca="1" si="80"/>
        <v>577.56385515754914</v>
      </c>
      <c r="AH340" s="49">
        <f t="shared" ca="1" si="80"/>
        <v>577.56385515754914</v>
      </c>
      <c r="AI340" s="49">
        <f t="shared" ca="1" si="80"/>
        <v>577.56385515754914</v>
      </c>
      <c r="AJ340" s="49">
        <f t="shared" ca="1" si="80"/>
        <v>577.56385515754914</v>
      </c>
      <c r="AK340" s="49">
        <f t="shared" ca="1" si="80"/>
        <v>577.56385515754914</v>
      </c>
      <c r="AL340" s="49">
        <f t="shared" ca="1" si="80"/>
        <v>577.56385515754914</v>
      </c>
      <c r="AM340" s="49">
        <f t="shared" ca="1" si="80"/>
        <v>577.56385515754914</v>
      </c>
      <c r="AN340" s="49">
        <f t="shared" ca="1" si="80"/>
        <v>577.56385515754914</v>
      </c>
      <c r="AO340" s="49">
        <f t="shared" ca="1" si="80"/>
        <v>577.56385515754914</v>
      </c>
      <c r="AP340" s="49">
        <f t="shared" ca="1" si="80"/>
        <v>577.56385515754914</v>
      </c>
      <c r="AQ340" s="49">
        <f t="shared" ca="1" si="80"/>
        <v>577.56385515754914</v>
      </c>
      <c r="AR340" s="49">
        <f t="shared" ca="1" si="80"/>
        <v>577.56385515754914</v>
      </c>
      <c r="AS340" s="49">
        <f t="shared" ca="1" si="80"/>
        <v>577.56385515754914</v>
      </c>
      <c r="AT340" s="49">
        <f t="shared" ca="1" si="80"/>
        <v>577.56385515754914</v>
      </c>
      <c r="AU340" s="49">
        <f t="shared" ca="1" si="80"/>
        <v>577.56385515754914</v>
      </c>
      <c r="AV340" s="49">
        <f t="shared" ca="1" si="80"/>
        <v>577.56385515754914</v>
      </c>
      <c r="AW340" s="49">
        <f t="shared" ca="1" si="80"/>
        <v>577.56385515754914</v>
      </c>
      <c r="AX340" s="49">
        <f t="shared" ca="1" si="80"/>
        <v>577.56385515754914</v>
      </c>
      <c r="AY340" s="49">
        <f t="shared" ca="1" si="80"/>
        <v>577.56385515754914</v>
      </c>
      <c r="AZ340" s="49">
        <f t="shared" ca="1" si="80"/>
        <v>577.56385515754914</v>
      </c>
      <c r="BA340" s="49">
        <f t="shared" ca="1" si="80"/>
        <v>577.56385515754914</v>
      </c>
      <c r="BB340" s="49">
        <f t="shared" ca="1" si="80"/>
        <v>577.56385515754914</v>
      </c>
      <c r="BC340" s="49">
        <f t="shared" ca="1" si="80"/>
        <v>577.56385515754914</v>
      </c>
      <c r="BD340" s="49">
        <f t="shared" ca="1" si="80"/>
        <v>577.56385515754914</v>
      </c>
      <c r="BE340" s="49">
        <f t="shared" ca="1" si="80"/>
        <v>577.56385515754914</v>
      </c>
      <c r="BF340" s="49">
        <f t="shared" ca="1" si="80"/>
        <v>577.56385515754914</v>
      </c>
      <c r="BG340" s="49">
        <f t="shared" ca="1" si="80"/>
        <v>577.56385515754914</v>
      </c>
      <c r="BH340" s="49">
        <f t="shared" ca="1" si="80"/>
        <v>577.56385515754914</v>
      </c>
      <c r="BI340" s="49">
        <f t="shared" ca="1" si="80"/>
        <v>577.56385515754914</v>
      </c>
      <c r="BJ340" s="49">
        <f t="shared" ca="1" si="80"/>
        <v>577.56385515754914</v>
      </c>
      <c r="BK340" s="49">
        <f t="shared" ca="1" si="80"/>
        <v>577.56385515754914</v>
      </c>
      <c r="BL340" s="49">
        <f t="shared" ca="1" si="80"/>
        <v>577.56385515754914</v>
      </c>
      <c r="BM340" s="49">
        <f t="shared" ca="1" si="80"/>
        <v>577.56385515754914</v>
      </c>
      <c r="BN340" s="49">
        <f t="shared" ca="1" si="80"/>
        <v>577.56385515754914</v>
      </c>
      <c r="BO340" s="49">
        <f t="shared" ca="1" si="80"/>
        <v>577.56385515754914</v>
      </c>
      <c r="BP340" s="49">
        <f t="shared" ca="1" si="80"/>
        <v>577.56385515754914</v>
      </c>
      <c r="BQ340" s="49">
        <f t="shared" ca="1" si="80"/>
        <v>577.56385515754914</v>
      </c>
      <c r="BR340" s="49">
        <f t="shared" ca="1" si="80"/>
        <v>577.56385515754914</v>
      </c>
      <c r="BS340" s="49">
        <f t="shared" ca="1" si="80"/>
        <v>577.56385515754914</v>
      </c>
    </row>
    <row r="341" spans="3:71" outlineLevel="1" x14ac:dyDescent="0.2">
      <c r="J341" s="26"/>
      <c r="L341" s="55"/>
      <c r="M341" s="55"/>
      <c r="N341" s="55"/>
      <c r="O341" s="55"/>
      <c r="P341" s="55"/>
      <c r="Q341" s="55"/>
      <c r="R341" s="55"/>
      <c r="S341" s="55"/>
      <c r="T341" s="55"/>
      <c r="U341" s="55"/>
      <c r="V341" s="55"/>
      <c r="W341" s="55"/>
      <c r="X341" s="55"/>
      <c r="Y341" s="55"/>
      <c r="Z341" s="55"/>
      <c r="AA341" s="55"/>
      <c r="AB341" s="55"/>
      <c r="AC341" s="55"/>
      <c r="AD341" s="55"/>
      <c r="AE341" s="55"/>
      <c r="AF341" s="55"/>
      <c r="AG341" s="55"/>
      <c r="AH341" s="55"/>
      <c r="AI341" s="55"/>
      <c r="AJ341" s="55"/>
      <c r="AK341" s="55"/>
      <c r="AL341" s="55"/>
      <c r="AM341" s="55"/>
      <c r="AN341" s="55"/>
      <c r="AO341" s="55"/>
      <c r="AP341" s="55"/>
      <c r="AQ341" s="55"/>
      <c r="AR341" s="55"/>
      <c r="AS341" s="55"/>
      <c r="AT341" s="55"/>
      <c r="AU341" s="55"/>
      <c r="AV341" s="55"/>
      <c r="AW341" s="55"/>
      <c r="AX341" s="55"/>
      <c r="AY341" s="55"/>
      <c r="AZ341" s="55"/>
      <c r="BA341" s="55"/>
      <c r="BB341" s="55"/>
      <c r="BC341" s="55"/>
      <c r="BD341" s="55"/>
      <c r="BE341" s="55"/>
      <c r="BF341" s="55"/>
      <c r="BG341" s="55"/>
      <c r="BH341" s="55"/>
      <c r="BI341" s="55"/>
      <c r="BJ341" s="55"/>
      <c r="BK341" s="55"/>
      <c r="BL341" s="55"/>
      <c r="BM341" s="55"/>
      <c r="BN341" s="55"/>
      <c r="BO341" s="55"/>
      <c r="BP341" s="55"/>
      <c r="BQ341" s="55"/>
      <c r="BR341" s="55"/>
      <c r="BS341" s="55"/>
    </row>
    <row r="342" spans="3:71" outlineLevel="1" x14ac:dyDescent="0.2">
      <c r="C342" s="11" t="s">
        <v>347</v>
      </c>
      <c r="J342" s="26"/>
      <c r="L342" s="55"/>
      <c r="M342" s="55"/>
      <c r="N342" s="55"/>
      <c r="O342" s="55"/>
      <c r="P342" s="55"/>
      <c r="Q342" s="55"/>
      <c r="R342" s="55"/>
      <c r="S342" s="55"/>
      <c r="T342" s="55"/>
      <c r="U342" s="55"/>
      <c r="V342" s="55"/>
      <c r="W342" s="55"/>
      <c r="X342" s="55"/>
      <c r="Y342" s="55"/>
      <c r="Z342" s="55"/>
      <c r="AA342" s="55"/>
      <c r="AB342" s="55"/>
      <c r="AC342" s="55"/>
      <c r="AD342" s="55"/>
      <c r="AE342" s="55"/>
      <c r="AF342" s="55"/>
      <c r="AG342" s="55"/>
      <c r="AH342" s="55"/>
      <c r="AI342" s="55"/>
      <c r="AJ342" s="55"/>
      <c r="AK342" s="55"/>
      <c r="AL342" s="55"/>
      <c r="AM342" s="55"/>
      <c r="AN342" s="55"/>
      <c r="AO342" s="55"/>
      <c r="AP342" s="55"/>
      <c r="AQ342" s="55"/>
      <c r="AR342" s="55"/>
      <c r="AS342" s="55"/>
      <c r="AT342" s="55"/>
      <c r="AU342" s="55"/>
      <c r="AV342" s="55"/>
      <c r="AW342" s="55"/>
      <c r="AX342" s="55"/>
      <c r="AY342" s="55"/>
      <c r="AZ342" s="55"/>
      <c r="BA342" s="55"/>
      <c r="BB342" s="55"/>
      <c r="BC342" s="55"/>
      <c r="BD342" s="55"/>
      <c r="BE342" s="55"/>
      <c r="BF342" s="55"/>
      <c r="BG342" s="55"/>
      <c r="BH342" s="55"/>
      <c r="BI342" s="55"/>
      <c r="BJ342" s="55"/>
      <c r="BK342" s="55"/>
      <c r="BL342" s="55"/>
      <c r="BM342" s="55"/>
      <c r="BN342" s="55"/>
      <c r="BO342" s="55"/>
      <c r="BP342" s="55"/>
      <c r="BQ342" s="55"/>
      <c r="BR342" s="55"/>
      <c r="BS342" s="55"/>
    </row>
    <row r="343" spans="3:71" outlineLevel="1" x14ac:dyDescent="0.2">
      <c r="D343" t="s">
        <v>337</v>
      </c>
      <c r="J343" s="26"/>
      <c r="L343" s="49">
        <f>K346</f>
        <v>0</v>
      </c>
      <c r="M343" s="49">
        <f t="shared" ref="M343:BS343" ca="1" si="81">L346</f>
        <v>0</v>
      </c>
      <c r="N343" s="49">
        <f t="shared" ca="1" si="81"/>
        <v>0</v>
      </c>
      <c r="O343" s="49">
        <f t="shared" ca="1" si="81"/>
        <v>0</v>
      </c>
      <c r="P343" s="49">
        <f t="shared" ca="1" si="81"/>
        <v>0</v>
      </c>
      <c r="Q343" s="49">
        <f t="shared" ca="1" si="81"/>
        <v>0</v>
      </c>
      <c r="R343" s="49">
        <f t="shared" ca="1" si="81"/>
        <v>0</v>
      </c>
      <c r="S343" s="49">
        <f t="shared" ca="1" si="81"/>
        <v>0</v>
      </c>
      <c r="T343" s="49">
        <f t="shared" ca="1" si="81"/>
        <v>0</v>
      </c>
      <c r="U343" s="49">
        <f t="shared" ca="1" si="81"/>
        <v>0</v>
      </c>
      <c r="V343" s="49">
        <f t="shared" ca="1" si="81"/>
        <v>0</v>
      </c>
      <c r="W343" s="49">
        <f t="shared" ca="1" si="81"/>
        <v>0</v>
      </c>
      <c r="X343" s="49">
        <f t="shared" ca="1" si="81"/>
        <v>0</v>
      </c>
      <c r="Y343" s="49">
        <f t="shared" ca="1" si="81"/>
        <v>0</v>
      </c>
      <c r="Z343" s="49">
        <f t="shared" ca="1" si="81"/>
        <v>0</v>
      </c>
      <c r="AA343" s="49">
        <f t="shared" ca="1" si="81"/>
        <v>0</v>
      </c>
      <c r="AB343" s="49">
        <f t="shared" ca="1" si="81"/>
        <v>0</v>
      </c>
      <c r="AC343" s="49">
        <f t="shared" ca="1" si="81"/>
        <v>0</v>
      </c>
      <c r="AD343" s="49">
        <f t="shared" ca="1" si="81"/>
        <v>0</v>
      </c>
      <c r="AE343" s="49">
        <f t="shared" ca="1" si="81"/>
        <v>0</v>
      </c>
      <c r="AF343" s="49">
        <f t="shared" ca="1" si="81"/>
        <v>0</v>
      </c>
      <c r="AG343" s="49">
        <f t="shared" ca="1" si="81"/>
        <v>0</v>
      </c>
      <c r="AH343" s="49">
        <f t="shared" ca="1" si="81"/>
        <v>0</v>
      </c>
      <c r="AI343" s="49">
        <f t="shared" ca="1" si="81"/>
        <v>0</v>
      </c>
      <c r="AJ343" s="49">
        <f t="shared" ca="1" si="81"/>
        <v>0</v>
      </c>
      <c r="AK343" s="49">
        <f t="shared" ca="1" si="81"/>
        <v>0</v>
      </c>
      <c r="AL343" s="49">
        <f t="shared" ca="1" si="81"/>
        <v>0</v>
      </c>
      <c r="AM343" s="49">
        <f t="shared" ca="1" si="81"/>
        <v>0</v>
      </c>
      <c r="AN343" s="49">
        <f t="shared" ca="1" si="81"/>
        <v>0</v>
      </c>
      <c r="AO343" s="49">
        <f t="shared" ca="1" si="81"/>
        <v>0</v>
      </c>
      <c r="AP343" s="49">
        <f t="shared" ca="1" si="81"/>
        <v>0</v>
      </c>
      <c r="AQ343" s="49">
        <f t="shared" ca="1" si="81"/>
        <v>0</v>
      </c>
      <c r="AR343" s="49">
        <f t="shared" ca="1" si="81"/>
        <v>0</v>
      </c>
      <c r="AS343" s="49">
        <f t="shared" ca="1" si="81"/>
        <v>0</v>
      </c>
      <c r="AT343" s="49">
        <f t="shared" ca="1" si="81"/>
        <v>0</v>
      </c>
      <c r="AU343" s="49">
        <f t="shared" ca="1" si="81"/>
        <v>0</v>
      </c>
      <c r="AV343" s="49">
        <f t="shared" ca="1" si="81"/>
        <v>0</v>
      </c>
      <c r="AW343" s="49">
        <f t="shared" ca="1" si="81"/>
        <v>0</v>
      </c>
      <c r="AX343" s="49">
        <f t="shared" ca="1" si="81"/>
        <v>0</v>
      </c>
      <c r="AY343" s="49">
        <f t="shared" ca="1" si="81"/>
        <v>0</v>
      </c>
      <c r="AZ343" s="49">
        <f t="shared" ca="1" si="81"/>
        <v>0</v>
      </c>
      <c r="BA343" s="49">
        <f t="shared" ca="1" si="81"/>
        <v>0</v>
      </c>
      <c r="BB343" s="49">
        <f t="shared" ca="1" si="81"/>
        <v>0</v>
      </c>
      <c r="BC343" s="49">
        <f t="shared" ca="1" si="81"/>
        <v>0</v>
      </c>
      <c r="BD343" s="49">
        <f t="shared" ca="1" si="81"/>
        <v>0</v>
      </c>
      <c r="BE343" s="49">
        <f t="shared" ca="1" si="81"/>
        <v>0</v>
      </c>
      <c r="BF343" s="49">
        <f t="shared" ca="1" si="81"/>
        <v>0</v>
      </c>
      <c r="BG343" s="49">
        <f t="shared" ca="1" si="81"/>
        <v>0</v>
      </c>
      <c r="BH343" s="49">
        <f t="shared" ca="1" si="81"/>
        <v>0</v>
      </c>
      <c r="BI343" s="49">
        <f t="shared" ca="1" si="81"/>
        <v>0</v>
      </c>
      <c r="BJ343" s="49">
        <f t="shared" ca="1" si="81"/>
        <v>0</v>
      </c>
      <c r="BK343" s="49">
        <f t="shared" ca="1" si="81"/>
        <v>0</v>
      </c>
      <c r="BL343" s="49">
        <f t="shared" ca="1" si="81"/>
        <v>0</v>
      </c>
      <c r="BM343" s="49">
        <f t="shared" ca="1" si="81"/>
        <v>0</v>
      </c>
      <c r="BN343" s="49">
        <f t="shared" ca="1" si="81"/>
        <v>0</v>
      </c>
      <c r="BO343" s="49">
        <f t="shared" ca="1" si="81"/>
        <v>0</v>
      </c>
      <c r="BP343" s="49">
        <f t="shared" ca="1" si="81"/>
        <v>0</v>
      </c>
      <c r="BQ343" s="49">
        <f t="shared" ca="1" si="81"/>
        <v>0</v>
      </c>
      <c r="BR343" s="49">
        <f t="shared" ca="1" si="81"/>
        <v>0</v>
      </c>
      <c r="BS343" s="49">
        <f t="shared" ca="1" si="81"/>
        <v>0</v>
      </c>
    </row>
    <row r="344" spans="3:71" outlineLevel="1" x14ac:dyDescent="0.2">
      <c r="D344" s="50" t="s">
        <v>348</v>
      </c>
      <c r="I344" s="30">
        <f t="shared" ref="I344:I345" ca="1" si="82">SUM($L344:$BS344)</f>
        <v>0</v>
      </c>
      <c r="J344" s="26" t="s">
        <v>148</v>
      </c>
      <c r="L344" s="49">
        <f ca="1">L327</f>
        <v>0</v>
      </c>
      <c r="M344" s="49">
        <f t="shared" ref="M344:BS344" ca="1" si="83">M327</f>
        <v>0</v>
      </c>
      <c r="N344" s="49">
        <f t="shared" ca="1" si="83"/>
        <v>0</v>
      </c>
      <c r="O344" s="49">
        <f t="shared" ca="1" si="83"/>
        <v>0</v>
      </c>
      <c r="P344" s="49">
        <f t="shared" ca="1" si="83"/>
        <v>0</v>
      </c>
      <c r="Q344" s="49">
        <f t="shared" ca="1" si="83"/>
        <v>0</v>
      </c>
      <c r="R344" s="49">
        <f t="shared" ca="1" si="83"/>
        <v>0</v>
      </c>
      <c r="S344" s="49">
        <f t="shared" ca="1" si="83"/>
        <v>0</v>
      </c>
      <c r="T344" s="49">
        <f t="shared" ca="1" si="83"/>
        <v>0</v>
      </c>
      <c r="U344" s="49">
        <f t="shared" ca="1" si="83"/>
        <v>0</v>
      </c>
      <c r="V344" s="49">
        <f t="shared" ca="1" si="83"/>
        <v>0</v>
      </c>
      <c r="W344" s="49">
        <f t="shared" ca="1" si="83"/>
        <v>0</v>
      </c>
      <c r="X344" s="49">
        <f t="shared" ca="1" si="83"/>
        <v>0</v>
      </c>
      <c r="Y344" s="49">
        <f t="shared" ca="1" si="83"/>
        <v>0</v>
      </c>
      <c r="Z344" s="49">
        <f t="shared" ca="1" si="83"/>
        <v>0</v>
      </c>
      <c r="AA344" s="49">
        <f t="shared" ca="1" si="83"/>
        <v>0</v>
      </c>
      <c r="AB344" s="49">
        <f t="shared" ca="1" si="83"/>
        <v>0</v>
      </c>
      <c r="AC344" s="49">
        <f t="shared" ca="1" si="83"/>
        <v>0</v>
      </c>
      <c r="AD344" s="49">
        <f t="shared" ca="1" si="83"/>
        <v>0</v>
      </c>
      <c r="AE344" s="49">
        <f t="shared" ca="1" si="83"/>
        <v>0</v>
      </c>
      <c r="AF344" s="49">
        <f t="shared" ca="1" si="83"/>
        <v>0</v>
      </c>
      <c r="AG344" s="49">
        <f t="shared" ca="1" si="83"/>
        <v>0</v>
      </c>
      <c r="AH344" s="49">
        <f t="shared" ca="1" si="83"/>
        <v>0</v>
      </c>
      <c r="AI344" s="49">
        <f t="shared" ca="1" si="83"/>
        <v>0</v>
      </c>
      <c r="AJ344" s="49">
        <f t="shared" ca="1" si="83"/>
        <v>0</v>
      </c>
      <c r="AK344" s="49">
        <f t="shared" ca="1" si="83"/>
        <v>0</v>
      </c>
      <c r="AL344" s="49">
        <f t="shared" ca="1" si="83"/>
        <v>0</v>
      </c>
      <c r="AM344" s="49">
        <f t="shared" ca="1" si="83"/>
        <v>0</v>
      </c>
      <c r="AN344" s="49">
        <f t="shared" ca="1" si="83"/>
        <v>0</v>
      </c>
      <c r="AO344" s="49">
        <f t="shared" ca="1" si="83"/>
        <v>0</v>
      </c>
      <c r="AP344" s="49">
        <f t="shared" ca="1" si="83"/>
        <v>0</v>
      </c>
      <c r="AQ344" s="49">
        <f t="shared" ca="1" si="83"/>
        <v>0</v>
      </c>
      <c r="AR344" s="49">
        <f t="shared" ca="1" si="83"/>
        <v>0</v>
      </c>
      <c r="AS344" s="49">
        <f t="shared" ca="1" si="83"/>
        <v>0</v>
      </c>
      <c r="AT344" s="49">
        <f t="shared" ca="1" si="83"/>
        <v>0</v>
      </c>
      <c r="AU344" s="49">
        <f t="shared" ca="1" si="83"/>
        <v>0</v>
      </c>
      <c r="AV344" s="49">
        <f t="shared" ca="1" si="83"/>
        <v>0</v>
      </c>
      <c r="AW344" s="49">
        <f t="shared" ca="1" si="83"/>
        <v>0</v>
      </c>
      <c r="AX344" s="49">
        <f t="shared" ca="1" si="83"/>
        <v>0</v>
      </c>
      <c r="AY344" s="49">
        <f t="shared" ca="1" si="83"/>
        <v>0</v>
      </c>
      <c r="AZ344" s="49">
        <f t="shared" ca="1" si="83"/>
        <v>0</v>
      </c>
      <c r="BA344" s="49">
        <f t="shared" ca="1" si="83"/>
        <v>0</v>
      </c>
      <c r="BB344" s="49">
        <f t="shared" ca="1" si="83"/>
        <v>0</v>
      </c>
      <c r="BC344" s="49">
        <f t="shared" ca="1" si="83"/>
        <v>0</v>
      </c>
      <c r="BD344" s="49">
        <f t="shared" ca="1" si="83"/>
        <v>0</v>
      </c>
      <c r="BE344" s="49">
        <f t="shared" ca="1" si="83"/>
        <v>0</v>
      </c>
      <c r="BF344" s="49">
        <f t="shared" ca="1" si="83"/>
        <v>0</v>
      </c>
      <c r="BG344" s="49">
        <f t="shared" ca="1" si="83"/>
        <v>0</v>
      </c>
      <c r="BH344" s="49">
        <f t="shared" ca="1" si="83"/>
        <v>0</v>
      </c>
      <c r="BI344" s="49">
        <f t="shared" ca="1" si="83"/>
        <v>0</v>
      </c>
      <c r="BJ344" s="49">
        <f t="shared" ca="1" si="83"/>
        <v>0</v>
      </c>
      <c r="BK344" s="49">
        <f t="shared" ca="1" si="83"/>
        <v>0</v>
      </c>
      <c r="BL344" s="49">
        <f t="shared" ca="1" si="83"/>
        <v>0</v>
      </c>
      <c r="BM344" s="49">
        <f t="shared" ca="1" si="83"/>
        <v>0</v>
      </c>
      <c r="BN344" s="49">
        <f t="shared" ca="1" si="83"/>
        <v>0</v>
      </c>
      <c r="BO344" s="49">
        <f t="shared" ca="1" si="83"/>
        <v>0</v>
      </c>
      <c r="BP344" s="49">
        <f t="shared" ca="1" si="83"/>
        <v>0</v>
      </c>
      <c r="BQ344" s="49">
        <f t="shared" ca="1" si="83"/>
        <v>0</v>
      </c>
      <c r="BR344" s="49">
        <f t="shared" ca="1" si="83"/>
        <v>0</v>
      </c>
      <c r="BS344" s="49">
        <f t="shared" ca="1" si="83"/>
        <v>0</v>
      </c>
    </row>
    <row r="345" spans="3:71" outlineLevel="1" x14ac:dyDescent="0.2">
      <c r="D345" s="50" t="s">
        <v>335</v>
      </c>
      <c r="I345" s="30">
        <f t="shared" ca="1" si="82"/>
        <v>0</v>
      </c>
      <c r="J345" s="26" t="s">
        <v>148</v>
      </c>
      <c r="L345" s="49">
        <f ca="1">-MIN(SUM(L343:L344),SUM(L$299,L$304)*Loango_II!NOC_rpmt_max_perc)*Loango_II!NOC_CI_opex_rpmt</f>
        <v>0</v>
      </c>
      <c r="M345" s="49">
        <f ca="1">-MIN(SUM(M343:M344),SUM(M$299,M$304)*Loango_II!NOC_rpmt_max_perc)*Loango_II!NOC_CI_opex_rpmt</f>
        <v>0</v>
      </c>
      <c r="N345" s="49">
        <f ca="1">-MIN(SUM(N343:N344),SUM(N$299,N$304)*Loango_II!NOC_rpmt_max_perc)*Loango_II!NOC_CI_opex_rpmt</f>
        <v>0</v>
      </c>
      <c r="O345" s="49">
        <f ca="1">-MIN(SUM(O343:O344),SUM(O$299,O$304)*Loango_II!NOC_rpmt_max_perc)*Loango_II!NOC_CI_opex_rpmt</f>
        <v>0</v>
      </c>
      <c r="P345" s="49">
        <f ca="1">-MIN(SUM(P343:P344),SUM(P$299,P$304)*Loango_II!NOC_rpmt_max_perc)*Loango_II!NOC_CI_opex_rpmt</f>
        <v>0</v>
      </c>
      <c r="Q345" s="49">
        <f ca="1">-MIN(SUM(Q343:Q344),SUM(Q$299,Q$304)*Loango_II!NOC_rpmt_max_perc)*Loango_II!NOC_CI_opex_rpmt</f>
        <v>0</v>
      </c>
      <c r="R345" s="49">
        <f ca="1">-MIN(SUM(R343:R344),SUM(R$299,R$304)*Loango_II!NOC_rpmt_max_perc)*Loango_II!NOC_CI_opex_rpmt</f>
        <v>0</v>
      </c>
      <c r="S345" s="49">
        <f ca="1">-MIN(SUM(S343:S344),SUM(S$299,S$304)*Loango_II!NOC_rpmt_max_perc)*Loango_II!NOC_CI_opex_rpmt</f>
        <v>0</v>
      </c>
      <c r="T345" s="49">
        <f ca="1">-MIN(SUM(T343:T344),SUM(T$299,T$304)*Loango_II!NOC_rpmt_max_perc)*Loango_II!NOC_CI_opex_rpmt</f>
        <v>0</v>
      </c>
      <c r="U345" s="49">
        <f ca="1">-MIN(SUM(U343:U344),SUM(U$299,U$304)*Loango_II!NOC_rpmt_max_perc)*Loango_II!NOC_CI_opex_rpmt</f>
        <v>0</v>
      </c>
      <c r="V345" s="49">
        <f ca="1">-MIN(SUM(V343:V344),SUM(V$299,V$304)*Loango_II!NOC_rpmt_max_perc)*Loango_II!NOC_CI_opex_rpmt</f>
        <v>0</v>
      </c>
      <c r="W345" s="49">
        <f ca="1">-MIN(SUM(W343:W344),SUM(W$299,W$304)*Loango_II!NOC_rpmt_max_perc)*Loango_II!NOC_CI_opex_rpmt</f>
        <v>0</v>
      </c>
      <c r="X345" s="49">
        <f ca="1">-MIN(SUM(X343:X344),SUM(X$299,X$304)*Loango_II!NOC_rpmt_max_perc)*Loango_II!NOC_CI_opex_rpmt</f>
        <v>0</v>
      </c>
      <c r="Y345" s="49">
        <f ca="1">-MIN(SUM(Y343:Y344),SUM(Y$299,Y$304)*Loango_II!NOC_rpmt_max_perc)*Loango_II!NOC_CI_opex_rpmt</f>
        <v>0</v>
      </c>
      <c r="Z345" s="49">
        <f ca="1">-MIN(SUM(Z343:Z344),SUM(Z$299,Z$304)*Loango_II!NOC_rpmt_max_perc)*Loango_II!NOC_CI_opex_rpmt</f>
        <v>0</v>
      </c>
      <c r="AA345" s="49">
        <f ca="1">-MIN(SUM(AA343:AA344),SUM(AA$299,AA$304)*Loango_II!NOC_rpmt_max_perc)*Loango_II!NOC_CI_opex_rpmt</f>
        <v>0</v>
      </c>
      <c r="AB345" s="49">
        <f ca="1">-MIN(SUM(AB343:AB344),SUM(AB$299,AB$304)*Loango_II!NOC_rpmt_max_perc)*Loango_II!NOC_CI_opex_rpmt</f>
        <v>0</v>
      </c>
      <c r="AC345" s="49">
        <f ca="1">-MIN(SUM(AC343:AC344),SUM(AC$299,AC$304)*Loango_II!NOC_rpmt_max_perc)*Loango_II!NOC_CI_opex_rpmt</f>
        <v>0</v>
      </c>
      <c r="AD345" s="49">
        <f ca="1">-MIN(SUM(AD343:AD344),SUM(AD$299,AD$304)*Loango_II!NOC_rpmt_max_perc)*Loango_II!NOC_CI_opex_rpmt</f>
        <v>0</v>
      </c>
      <c r="AE345" s="49">
        <f ca="1">-MIN(SUM(AE343:AE344),SUM(AE$299,AE$304)*Loango_II!NOC_rpmt_max_perc)*Loango_II!NOC_CI_opex_rpmt</f>
        <v>0</v>
      </c>
      <c r="AF345" s="49">
        <f ca="1">-MIN(SUM(AF343:AF344),SUM(AF$299,AF$304)*Loango_II!NOC_rpmt_max_perc)*Loango_II!NOC_CI_opex_rpmt</f>
        <v>0</v>
      </c>
      <c r="AG345" s="49">
        <f ca="1">-MIN(SUM(AG343:AG344),SUM(AG$299,AG$304)*Loango_II!NOC_rpmt_max_perc)*Loango_II!NOC_CI_opex_rpmt</f>
        <v>0</v>
      </c>
      <c r="AH345" s="49">
        <f ca="1">-MIN(SUM(AH343:AH344),SUM(AH$299,AH$304)*Loango_II!NOC_rpmt_max_perc)*Loango_II!NOC_CI_opex_rpmt</f>
        <v>0</v>
      </c>
      <c r="AI345" s="49">
        <f ca="1">-MIN(SUM(AI343:AI344),SUM(AI$299,AI$304)*Loango_II!NOC_rpmt_max_perc)*Loango_II!NOC_CI_opex_rpmt</f>
        <v>0</v>
      </c>
      <c r="AJ345" s="49">
        <f ca="1">-MIN(SUM(AJ343:AJ344),SUM(AJ$299,AJ$304)*Loango_II!NOC_rpmt_max_perc)*Loango_II!NOC_CI_opex_rpmt</f>
        <v>0</v>
      </c>
      <c r="AK345" s="49">
        <f ca="1">-MIN(SUM(AK343:AK344),SUM(AK$299,AK$304)*Loango_II!NOC_rpmt_max_perc)*Loango_II!NOC_CI_opex_rpmt</f>
        <v>0</v>
      </c>
      <c r="AL345" s="49">
        <f ca="1">-MIN(SUM(AL343:AL344),SUM(AL$299,AL$304)*Loango_II!NOC_rpmt_max_perc)*Loango_II!NOC_CI_opex_rpmt</f>
        <v>0</v>
      </c>
      <c r="AM345" s="49">
        <f ca="1">-MIN(SUM(AM343:AM344),SUM(AM$299,AM$304)*Loango_II!NOC_rpmt_max_perc)*Loango_II!NOC_CI_opex_rpmt</f>
        <v>0</v>
      </c>
      <c r="AN345" s="49">
        <f ca="1">-MIN(SUM(AN343:AN344),SUM(AN$299,AN$304)*Loango_II!NOC_rpmt_max_perc)*Loango_II!NOC_CI_opex_rpmt</f>
        <v>0</v>
      </c>
      <c r="AO345" s="49">
        <f ca="1">-MIN(SUM(AO343:AO344),SUM(AO$299,AO$304)*Loango_II!NOC_rpmt_max_perc)*Loango_II!NOC_CI_opex_rpmt</f>
        <v>0</v>
      </c>
      <c r="AP345" s="49">
        <f ca="1">-MIN(SUM(AP343:AP344),SUM(AP$299,AP$304)*Loango_II!NOC_rpmt_max_perc)*Loango_II!NOC_CI_opex_rpmt</f>
        <v>0</v>
      </c>
      <c r="AQ345" s="49">
        <f ca="1">-MIN(SUM(AQ343:AQ344),SUM(AQ$299,AQ$304)*Loango_II!NOC_rpmt_max_perc)*Loango_II!NOC_CI_opex_rpmt</f>
        <v>0</v>
      </c>
      <c r="AR345" s="49">
        <f ca="1">-MIN(SUM(AR343:AR344),SUM(AR$299,AR$304)*Loango_II!NOC_rpmt_max_perc)*Loango_II!NOC_CI_opex_rpmt</f>
        <v>0</v>
      </c>
      <c r="AS345" s="49">
        <f ca="1">-MIN(SUM(AS343:AS344),SUM(AS$299,AS$304)*Loango_II!NOC_rpmt_max_perc)*Loango_II!NOC_CI_opex_rpmt</f>
        <v>0</v>
      </c>
      <c r="AT345" s="49">
        <f ca="1">-MIN(SUM(AT343:AT344),SUM(AT$299,AT$304)*Loango_II!NOC_rpmt_max_perc)*Loango_II!NOC_CI_opex_rpmt</f>
        <v>0</v>
      </c>
      <c r="AU345" s="49">
        <f ca="1">-MIN(SUM(AU343:AU344),SUM(AU$299,AU$304)*Loango_II!NOC_rpmt_max_perc)*Loango_II!NOC_CI_opex_rpmt</f>
        <v>0</v>
      </c>
      <c r="AV345" s="49">
        <f ca="1">-MIN(SUM(AV343:AV344),SUM(AV$299,AV$304)*Loango_II!NOC_rpmt_max_perc)*Loango_II!NOC_CI_opex_rpmt</f>
        <v>0</v>
      </c>
      <c r="AW345" s="49">
        <f ca="1">-MIN(SUM(AW343:AW344),SUM(AW$299,AW$304)*Loango_II!NOC_rpmt_max_perc)*Loango_II!NOC_CI_opex_rpmt</f>
        <v>0</v>
      </c>
      <c r="AX345" s="49">
        <f ca="1">-MIN(SUM(AX343:AX344),SUM(AX$299,AX$304)*Loango_II!NOC_rpmt_max_perc)*Loango_II!NOC_CI_opex_rpmt</f>
        <v>0</v>
      </c>
      <c r="AY345" s="49">
        <f ca="1">-MIN(SUM(AY343:AY344),SUM(AY$299,AY$304)*Loango_II!NOC_rpmt_max_perc)*Loango_II!NOC_CI_opex_rpmt</f>
        <v>0</v>
      </c>
      <c r="AZ345" s="49">
        <f ca="1">-MIN(SUM(AZ343:AZ344),SUM(AZ$299,AZ$304)*Loango_II!NOC_rpmt_max_perc)*Loango_II!NOC_CI_opex_rpmt</f>
        <v>0</v>
      </c>
      <c r="BA345" s="49">
        <f ca="1">-MIN(SUM(BA343:BA344),SUM(BA$299,BA$304)*Loango_II!NOC_rpmt_max_perc)*Loango_II!NOC_CI_opex_rpmt</f>
        <v>0</v>
      </c>
      <c r="BB345" s="49">
        <f ca="1">-MIN(SUM(BB343:BB344),SUM(BB$299,BB$304)*Loango_II!NOC_rpmt_max_perc)*Loango_II!NOC_CI_opex_rpmt</f>
        <v>0</v>
      </c>
      <c r="BC345" s="49">
        <f ca="1">-MIN(SUM(BC343:BC344),SUM(BC$299,BC$304)*Loango_II!NOC_rpmt_max_perc)*Loango_II!NOC_CI_opex_rpmt</f>
        <v>0</v>
      </c>
      <c r="BD345" s="49">
        <f ca="1">-MIN(SUM(BD343:BD344),SUM(BD$299,BD$304)*Loango_II!NOC_rpmt_max_perc)*Loango_II!NOC_CI_opex_rpmt</f>
        <v>0</v>
      </c>
      <c r="BE345" s="49">
        <f ca="1">-MIN(SUM(BE343:BE344),SUM(BE$299,BE$304)*Loango_II!NOC_rpmt_max_perc)*Loango_II!NOC_CI_opex_rpmt</f>
        <v>0</v>
      </c>
      <c r="BF345" s="49">
        <f ca="1">-MIN(SUM(BF343:BF344),SUM(BF$299,BF$304)*Loango_II!NOC_rpmt_max_perc)*Loango_II!NOC_CI_opex_rpmt</f>
        <v>0</v>
      </c>
      <c r="BG345" s="49">
        <f ca="1">-MIN(SUM(BG343:BG344),SUM(BG$299,BG$304)*Loango_II!NOC_rpmt_max_perc)*Loango_II!NOC_CI_opex_rpmt</f>
        <v>0</v>
      </c>
      <c r="BH345" s="49">
        <f ca="1">-MIN(SUM(BH343:BH344),SUM(BH$299,BH$304)*Loango_II!NOC_rpmt_max_perc)*Loango_II!NOC_CI_opex_rpmt</f>
        <v>0</v>
      </c>
      <c r="BI345" s="49">
        <f ca="1">-MIN(SUM(BI343:BI344),SUM(BI$299,BI$304)*Loango_II!NOC_rpmt_max_perc)*Loango_II!NOC_CI_opex_rpmt</f>
        <v>0</v>
      </c>
      <c r="BJ345" s="49">
        <f ca="1">-MIN(SUM(BJ343:BJ344),SUM(BJ$299,BJ$304)*Loango_II!NOC_rpmt_max_perc)*Loango_II!NOC_CI_opex_rpmt</f>
        <v>0</v>
      </c>
      <c r="BK345" s="49">
        <f ca="1">-MIN(SUM(BK343:BK344),SUM(BK$299,BK$304)*Loango_II!NOC_rpmt_max_perc)*Loango_II!NOC_CI_opex_rpmt</f>
        <v>0</v>
      </c>
      <c r="BL345" s="49">
        <f ca="1">-MIN(SUM(BL343:BL344),SUM(BL$299,BL$304)*Loango_II!NOC_rpmt_max_perc)*Loango_II!NOC_CI_opex_rpmt</f>
        <v>0</v>
      </c>
      <c r="BM345" s="49">
        <f ca="1">-MIN(SUM(BM343:BM344),SUM(BM$299,BM$304)*Loango_II!NOC_rpmt_max_perc)*Loango_II!NOC_CI_opex_rpmt</f>
        <v>0</v>
      </c>
      <c r="BN345" s="49">
        <f ca="1">-MIN(SUM(BN343:BN344),SUM(BN$299,BN$304)*Loango_II!NOC_rpmt_max_perc)*Loango_II!NOC_CI_opex_rpmt</f>
        <v>0</v>
      </c>
      <c r="BO345" s="49">
        <f ca="1">-MIN(SUM(BO343:BO344),SUM(BO$299,BO$304)*Loango_II!NOC_rpmt_max_perc)*Loango_II!NOC_CI_opex_rpmt</f>
        <v>0</v>
      </c>
      <c r="BP345" s="49">
        <f ca="1">-MIN(SUM(BP343:BP344),SUM(BP$299,BP$304)*Loango_II!NOC_rpmt_max_perc)*Loango_II!NOC_CI_opex_rpmt</f>
        <v>0</v>
      </c>
      <c r="BQ345" s="49">
        <f ca="1">-MIN(SUM(BQ343:BQ344),SUM(BQ$299,BQ$304)*Loango_II!NOC_rpmt_max_perc)*Loango_II!NOC_CI_opex_rpmt</f>
        <v>0</v>
      </c>
      <c r="BR345" s="49">
        <f ca="1">-MIN(SUM(BR343:BR344),SUM(BR$299,BR$304)*Loango_II!NOC_rpmt_max_perc)*Loango_II!NOC_CI_opex_rpmt</f>
        <v>0</v>
      </c>
      <c r="BS345" s="49">
        <f ca="1">-MIN(SUM(BS343:BS344),SUM(BS$299,BS$304)*Loango_II!NOC_rpmt_max_perc)*Loango_II!NOC_CI_opex_rpmt</f>
        <v>0</v>
      </c>
    </row>
    <row r="346" spans="3:71" outlineLevel="1" x14ac:dyDescent="0.2">
      <c r="D346" t="s">
        <v>336</v>
      </c>
      <c r="J346" s="26"/>
      <c r="L346" s="49">
        <f ca="1">SUM(L343:L345)</f>
        <v>0</v>
      </c>
      <c r="M346" s="49">
        <f t="shared" ref="M346:BS346" ca="1" si="84">SUM(M343:M345)</f>
        <v>0</v>
      </c>
      <c r="N346" s="49">
        <f t="shared" ca="1" si="84"/>
        <v>0</v>
      </c>
      <c r="O346" s="49">
        <f t="shared" ca="1" si="84"/>
        <v>0</v>
      </c>
      <c r="P346" s="49">
        <f t="shared" ca="1" si="84"/>
        <v>0</v>
      </c>
      <c r="Q346" s="49">
        <f t="shared" ca="1" si="84"/>
        <v>0</v>
      </c>
      <c r="R346" s="49">
        <f t="shared" ca="1" si="84"/>
        <v>0</v>
      </c>
      <c r="S346" s="49">
        <f t="shared" ca="1" si="84"/>
        <v>0</v>
      </c>
      <c r="T346" s="49">
        <f t="shared" ca="1" si="84"/>
        <v>0</v>
      </c>
      <c r="U346" s="49">
        <f t="shared" ca="1" si="84"/>
        <v>0</v>
      </c>
      <c r="V346" s="49">
        <f t="shared" ca="1" si="84"/>
        <v>0</v>
      </c>
      <c r="W346" s="49">
        <f t="shared" ca="1" si="84"/>
        <v>0</v>
      </c>
      <c r="X346" s="49">
        <f t="shared" ca="1" si="84"/>
        <v>0</v>
      </c>
      <c r="Y346" s="49">
        <f t="shared" ca="1" si="84"/>
        <v>0</v>
      </c>
      <c r="Z346" s="49">
        <f t="shared" ca="1" si="84"/>
        <v>0</v>
      </c>
      <c r="AA346" s="49">
        <f t="shared" ca="1" si="84"/>
        <v>0</v>
      </c>
      <c r="AB346" s="49">
        <f t="shared" ca="1" si="84"/>
        <v>0</v>
      </c>
      <c r="AC346" s="49">
        <f t="shared" ca="1" si="84"/>
        <v>0</v>
      </c>
      <c r="AD346" s="49">
        <f t="shared" ca="1" si="84"/>
        <v>0</v>
      </c>
      <c r="AE346" s="49">
        <f t="shared" ca="1" si="84"/>
        <v>0</v>
      </c>
      <c r="AF346" s="49">
        <f t="shared" ca="1" si="84"/>
        <v>0</v>
      </c>
      <c r="AG346" s="49">
        <f t="shared" ca="1" si="84"/>
        <v>0</v>
      </c>
      <c r="AH346" s="49">
        <f t="shared" ca="1" si="84"/>
        <v>0</v>
      </c>
      <c r="AI346" s="49">
        <f t="shared" ca="1" si="84"/>
        <v>0</v>
      </c>
      <c r="AJ346" s="49">
        <f t="shared" ca="1" si="84"/>
        <v>0</v>
      </c>
      <c r="AK346" s="49">
        <f t="shared" ca="1" si="84"/>
        <v>0</v>
      </c>
      <c r="AL346" s="49">
        <f t="shared" ca="1" si="84"/>
        <v>0</v>
      </c>
      <c r="AM346" s="49">
        <f t="shared" ca="1" si="84"/>
        <v>0</v>
      </c>
      <c r="AN346" s="49">
        <f t="shared" ca="1" si="84"/>
        <v>0</v>
      </c>
      <c r="AO346" s="49">
        <f t="shared" ca="1" si="84"/>
        <v>0</v>
      </c>
      <c r="AP346" s="49">
        <f t="shared" ca="1" si="84"/>
        <v>0</v>
      </c>
      <c r="AQ346" s="49">
        <f t="shared" ca="1" si="84"/>
        <v>0</v>
      </c>
      <c r="AR346" s="49">
        <f t="shared" ca="1" si="84"/>
        <v>0</v>
      </c>
      <c r="AS346" s="49">
        <f t="shared" ca="1" si="84"/>
        <v>0</v>
      </c>
      <c r="AT346" s="49">
        <f t="shared" ca="1" si="84"/>
        <v>0</v>
      </c>
      <c r="AU346" s="49">
        <f t="shared" ca="1" si="84"/>
        <v>0</v>
      </c>
      <c r="AV346" s="49">
        <f t="shared" ca="1" si="84"/>
        <v>0</v>
      </c>
      <c r="AW346" s="49">
        <f t="shared" ca="1" si="84"/>
        <v>0</v>
      </c>
      <c r="AX346" s="49">
        <f t="shared" ca="1" si="84"/>
        <v>0</v>
      </c>
      <c r="AY346" s="49">
        <f t="shared" ca="1" si="84"/>
        <v>0</v>
      </c>
      <c r="AZ346" s="49">
        <f t="shared" ca="1" si="84"/>
        <v>0</v>
      </c>
      <c r="BA346" s="49">
        <f t="shared" ca="1" si="84"/>
        <v>0</v>
      </c>
      <c r="BB346" s="49">
        <f t="shared" ca="1" si="84"/>
        <v>0</v>
      </c>
      <c r="BC346" s="49">
        <f t="shared" ca="1" si="84"/>
        <v>0</v>
      </c>
      <c r="BD346" s="49">
        <f t="shared" ca="1" si="84"/>
        <v>0</v>
      </c>
      <c r="BE346" s="49">
        <f t="shared" ca="1" si="84"/>
        <v>0</v>
      </c>
      <c r="BF346" s="49">
        <f t="shared" ca="1" si="84"/>
        <v>0</v>
      </c>
      <c r="BG346" s="49">
        <f t="shared" ca="1" si="84"/>
        <v>0</v>
      </c>
      <c r="BH346" s="49">
        <f t="shared" ca="1" si="84"/>
        <v>0</v>
      </c>
      <c r="BI346" s="49">
        <f t="shared" ca="1" si="84"/>
        <v>0</v>
      </c>
      <c r="BJ346" s="49">
        <f t="shared" ca="1" si="84"/>
        <v>0</v>
      </c>
      <c r="BK346" s="49">
        <f t="shared" ca="1" si="84"/>
        <v>0</v>
      </c>
      <c r="BL346" s="49">
        <f t="shared" ca="1" si="84"/>
        <v>0</v>
      </c>
      <c r="BM346" s="49">
        <f t="shared" ca="1" si="84"/>
        <v>0</v>
      </c>
      <c r="BN346" s="49">
        <f t="shared" ca="1" si="84"/>
        <v>0</v>
      </c>
      <c r="BO346" s="49">
        <f t="shared" ca="1" si="84"/>
        <v>0</v>
      </c>
      <c r="BP346" s="49">
        <f t="shared" ca="1" si="84"/>
        <v>0</v>
      </c>
      <c r="BQ346" s="49">
        <f t="shared" ca="1" si="84"/>
        <v>0</v>
      </c>
      <c r="BR346" s="49">
        <f t="shared" ca="1" si="84"/>
        <v>0</v>
      </c>
      <c r="BS346" s="49">
        <f t="shared" ca="1" si="84"/>
        <v>0</v>
      </c>
    </row>
    <row r="347" spans="3:71" outlineLevel="1" x14ac:dyDescent="0.2">
      <c r="J347" s="26"/>
      <c r="L347" s="55"/>
      <c r="M347" s="55"/>
      <c r="N347" s="55"/>
      <c r="O347" s="55"/>
      <c r="P347" s="55"/>
      <c r="Q347" s="55"/>
      <c r="R347" s="55"/>
      <c r="S347" s="55"/>
      <c r="T347" s="55"/>
      <c r="U347" s="55"/>
      <c r="V347" s="55"/>
      <c r="W347" s="55"/>
      <c r="X347" s="55"/>
      <c r="Y347" s="55"/>
      <c r="Z347" s="55"/>
      <c r="AA347" s="55"/>
      <c r="AB347" s="55"/>
      <c r="AC347" s="55"/>
      <c r="AD347" s="55"/>
      <c r="AE347" s="55"/>
      <c r="AF347" s="55"/>
      <c r="AG347" s="55"/>
      <c r="AH347" s="55"/>
      <c r="AI347" s="55"/>
      <c r="AJ347" s="55"/>
      <c r="AK347" s="55"/>
      <c r="AL347" s="55"/>
      <c r="AM347" s="55"/>
      <c r="AN347" s="55"/>
      <c r="AO347" s="55"/>
      <c r="AP347" s="55"/>
      <c r="AQ347" s="55"/>
      <c r="AR347" s="55"/>
      <c r="AS347" s="55"/>
      <c r="AT347" s="55"/>
      <c r="AU347" s="55"/>
      <c r="AV347" s="55"/>
      <c r="AW347" s="55"/>
      <c r="AX347" s="55"/>
      <c r="AY347" s="55"/>
      <c r="AZ347" s="55"/>
      <c r="BA347" s="55"/>
      <c r="BB347" s="55"/>
      <c r="BC347" s="55"/>
      <c r="BD347" s="55"/>
      <c r="BE347" s="55"/>
      <c r="BF347" s="55"/>
      <c r="BG347" s="55"/>
      <c r="BH347" s="55"/>
      <c r="BI347" s="55"/>
      <c r="BJ347" s="55"/>
      <c r="BK347" s="55"/>
      <c r="BL347" s="55"/>
      <c r="BM347" s="55"/>
      <c r="BN347" s="55"/>
      <c r="BO347" s="55"/>
      <c r="BP347" s="55"/>
      <c r="BQ347" s="55"/>
      <c r="BR347" s="55"/>
      <c r="BS347" s="55"/>
    </row>
    <row r="348" spans="3:71" outlineLevel="1" x14ac:dyDescent="0.2">
      <c r="C348" t="s">
        <v>349</v>
      </c>
      <c r="I348" s="30">
        <f t="shared" ref="I348:I349" ca="1" si="85">SUM($L348:$BS348)</f>
        <v>1091.3591000000001</v>
      </c>
      <c r="J348" s="26" t="s">
        <v>148</v>
      </c>
      <c r="K348" s="7" t="s">
        <v>351</v>
      </c>
      <c r="L348" s="49">
        <f ca="1">L328</f>
        <v>128.6782</v>
      </c>
      <c r="M348" s="49">
        <f t="shared" ref="M348:BS348" ca="1" si="86">M328</f>
        <v>211.8212</v>
      </c>
      <c r="N348" s="49">
        <f t="shared" ca="1" si="86"/>
        <v>313.05740000000003</v>
      </c>
      <c r="O348" s="49">
        <f t="shared" ca="1" si="86"/>
        <v>257.12010000000004</v>
      </c>
      <c r="P348" s="49">
        <f t="shared" ca="1" si="86"/>
        <v>115.3232</v>
      </c>
      <c r="Q348" s="49">
        <f t="shared" ca="1" si="86"/>
        <v>65.359000000000009</v>
      </c>
      <c r="R348" s="49">
        <f t="shared" ca="1" si="86"/>
        <v>0</v>
      </c>
      <c r="S348" s="49">
        <f t="shared" ca="1" si="86"/>
        <v>0</v>
      </c>
      <c r="T348" s="49">
        <f t="shared" ca="1" si="86"/>
        <v>0</v>
      </c>
      <c r="U348" s="49">
        <f t="shared" ca="1" si="86"/>
        <v>0</v>
      </c>
      <c r="V348" s="49">
        <f t="shared" ca="1" si="86"/>
        <v>0</v>
      </c>
      <c r="W348" s="49">
        <f t="shared" ca="1" si="86"/>
        <v>0</v>
      </c>
      <c r="X348" s="49">
        <f t="shared" ca="1" si="86"/>
        <v>0</v>
      </c>
      <c r="Y348" s="49">
        <f t="shared" ca="1" si="86"/>
        <v>0</v>
      </c>
      <c r="Z348" s="49">
        <f t="shared" ca="1" si="86"/>
        <v>0</v>
      </c>
      <c r="AA348" s="49">
        <f t="shared" ca="1" si="86"/>
        <v>0</v>
      </c>
      <c r="AB348" s="49">
        <f t="shared" ca="1" si="86"/>
        <v>0</v>
      </c>
      <c r="AC348" s="49">
        <f t="shared" ca="1" si="86"/>
        <v>0</v>
      </c>
      <c r="AD348" s="49">
        <f t="shared" ca="1" si="86"/>
        <v>0</v>
      </c>
      <c r="AE348" s="49">
        <f t="shared" ca="1" si="86"/>
        <v>0</v>
      </c>
      <c r="AF348" s="49">
        <f t="shared" ca="1" si="86"/>
        <v>0</v>
      </c>
      <c r="AG348" s="49">
        <f t="shared" ca="1" si="86"/>
        <v>0</v>
      </c>
      <c r="AH348" s="49">
        <f t="shared" ca="1" si="86"/>
        <v>0</v>
      </c>
      <c r="AI348" s="49">
        <f t="shared" ca="1" si="86"/>
        <v>0</v>
      </c>
      <c r="AJ348" s="49">
        <f t="shared" ca="1" si="86"/>
        <v>0</v>
      </c>
      <c r="AK348" s="49">
        <f t="shared" ca="1" si="86"/>
        <v>0</v>
      </c>
      <c r="AL348" s="49">
        <f t="shared" ca="1" si="86"/>
        <v>0</v>
      </c>
      <c r="AM348" s="49">
        <f t="shared" ca="1" si="86"/>
        <v>0</v>
      </c>
      <c r="AN348" s="49">
        <f t="shared" ca="1" si="86"/>
        <v>0</v>
      </c>
      <c r="AO348" s="49">
        <f t="shared" ca="1" si="86"/>
        <v>0</v>
      </c>
      <c r="AP348" s="49">
        <f t="shared" ca="1" si="86"/>
        <v>0</v>
      </c>
      <c r="AQ348" s="49">
        <f t="shared" ca="1" si="86"/>
        <v>0</v>
      </c>
      <c r="AR348" s="49">
        <f t="shared" ca="1" si="86"/>
        <v>0</v>
      </c>
      <c r="AS348" s="49">
        <f t="shared" ca="1" si="86"/>
        <v>0</v>
      </c>
      <c r="AT348" s="49">
        <f t="shared" ca="1" si="86"/>
        <v>0</v>
      </c>
      <c r="AU348" s="49">
        <f t="shared" ca="1" si="86"/>
        <v>0</v>
      </c>
      <c r="AV348" s="49">
        <f t="shared" ca="1" si="86"/>
        <v>0</v>
      </c>
      <c r="AW348" s="49">
        <f t="shared" ca="1" si="86"/>
        <v>0</v>
      </c>
      <c r="AX348" s="49">
        <f t="shared" ca="1" si="86"/>
        <v>0</v>
      </c>
      <c r="AY348" s="49">
        <f t="shared" ca="1" si="86"/>
        <v>0</v>
      </c>
      <c r="AZ348" s="49">
        <f t="shared" ca="1" si="86"/>
        <v>0</v>
      </c>
      <c r="BA348" s="49">
        <f t="shared" ca="1" si="86"/>
        <v>0</v>
      </c>
      <c r="BB348" s="49">
        <f t="shared" ca="1" si="86"/>
        <v>0</v>
      </c>
      <c r="BC348" s="49">
        <f t="shared" ca="1" si="86"/>
        <v>0</v>
      </c>
      <c r="BD348" s="49">
        <f t="shared" ca="1" si="86"/>
        <v>0</v>
      </c>
      <c r="BE348" s="49">
        <f t="shared" ca="1" si="86"/>
        <v>0</v>
      </c>
      <c r="BF348" s="49">
        <f t="shared" ca="1" si="86"/>
        <v>0</v>
      </c>
      <c r="BG348" s="49">
        <f t="shared" ca="1" si="86"/>
        <v>0</v>
      </c>
      <c r="BH348" s="49">
        <f t="shared" ca="1" si="86"/>
        <v>0</v>
      </c>
      <c r="BI348" s="49">
        <f t="shared" ca="1" si="86"/>
        <v>0</v>
      </c>
      <c r="BJ348" s="49">
        <f t="shared" ca="1" si="86"/>
        <v>0</v>
      </c>
      <c r="BK348" s="49">
        <f t="shared" ca="1" si="86"/>
        <v>0</v>
      </c>
      <c r="BL348" s="49">
        <f t="shared" ca="1" si="86"/>
        <v>0</v>
      </c>
      <c r="BM348" s="49">
        <f t="shared" ca="1" si="86"/>
        <v>0</v>
      </c>
      <c r="BN348" s="49">
        <f t="shared" ca="1" si="86"/>
        <v>0</v>
      </c>
      <c r="BO348" s="49">
        <f t="shared" ca="1" si="86"/>
        <v>0</v>
      </c>
      <c r="BP348" s="49">
        <f t="shared" ca="1" si="86"/>
        <v>0</v>
      </c>
      <c r="BQ348" s="49">
        <f t="shared" ca="1" si="86"/>
        <v>0</v>
      </c>
      <c r="BR348" s="49">
        <f t="shared" ca="1" si="86"/>
        <v>0</v>
      </c>
      <c r="BS348" s="49">
        <f t="shared" ca="1" si="86"/>
        <v>0</v>
      </c>
    </row>
    <row r="349" spans="3:71" outlineLevel="1" x14ac:dyDescent="0.2">
      <c r="C349" t="s">
        <v>350</v>
      </c>
      <c r="I349" s="30">
        <f t="shared" ca="1" si="85"/>
        <v>-513.7952448424511</v>
      </c>
      <c r="J349" s="26" t="s">
        <v>148</v>
      </c>
      <c r="K349" s="7" t="s">
        <v>352</v>
      </c>
      <c r="L349" s="49">
        <f ca="1">SUM(L333,L339,L345)</f>
        <v>-37.132151312624892</v>
      </c>
      <c r="M349" s="49">
        <f t="shared" ref="M349:BS349" ca="1" si="87">SUM(M333,M339,M345)</f>
        <v>-37.022627939847922</v>
      </c>
      <c r="N349" s="49">
        <f t="shared" ca="1" si="87"/>
        <v>-14.52151631443391</v>
      </c>
      <c r="O349" s="49">
        <f t="shared" ca="1" si="87"/>
        <v>-13.707003510051898</v>
      </c>
      <c r="P349" s="49">
        <f t="shared" ca="1" si="87"/>
        <v>-38.021245437261555</v>
      </c>
      <c r="Q349" s="49">
        <f t="shared" ca="1" si="87"/>
        <v>-75.577599610070536</v>
      </c>
      <c r="R349" s="49">
        <f t="shared" ca="1" si="87"/>
        <v>-53.193699020057196</v>
      </c>
      <c r="S349" s="49">
        <f t="shared" ca="1" si="87"/>
        <v>-32.442329523709802</v>
      </c>
      <c r="T349" s="49">
        <f t="shared" ca="1" si="87"/>
        <v>-47.045086040578767</v>
      </c>
      <c r="U349" s="49">
        <f t="shared" ca="1" si="87"/>
        <v>-46.844865709467072</v>
      </c>
      <c r="V349" s="49">
        <f t="shared" ca="1" si="87"/>
        <v>-44.437039612000461</v>
      </c>
      <c r="W349" s="49">
        <f t="shared" ca="1" si="87"/>
        <v>-37.949521968495141</v>
      </c>
      <c r="X349" s="49">
        <f t="shared" ca="1" si="87"/>
        <v>-35.900558843851883</v>
      </c>
      <c r="Y349" s="49">
        <f t="shared" ca="1" si="87"/>
        <v>0</v>
      </c>
      <c r="Z349" s="49">
        <f t="shared" ca="1" si="87"/>
        <v>0</v>
      </c>
      <c r="AA349" s="49">
        <f t="shared" ca="1" si="87"/>
        <v>0</v>
      </c>
      <c r="AB349" s="49">
        <f t="shared" ca="1" si="87"/>
        <v>0</v>
      </c>
      <c r="AC349" s="49">
        <f t="shared" ca="1" si="87"/>
        <v>0</v>
      </c>
      <c r="AD349" s="49">
        <f t="shared" ca="1" si="87"/>
        <v>0</v>
      </c>
      <c r="AE349" s="49">
        <f t="shared" ca="1" si="87"/>
        <v>0</v>
      </c>
      <c r="AF349" s="49">
        <f t="shared" ca="1" si="87"/>
        <v>0</v>
      </c>
      <c r="AG349" s="49">
        <f t="shared" ca="1" si="87"/>
        <v>0</v>
      </c>
      <c r="AH349" s="49">
        <f t="shared" ca="1" si="87"/>
        <v>0</v>
      </c>
      <c r="AI349" s="49">
        <f t="shared" ca="1" si="87"/>
        <v>0</v>
      </c>
      <c r="AJ349" s="49">
        <f t="shared" ca="1" si="87"/>
        <v>0</v>
      </c>
      <c r="AK349" s="49">
        <f t="shared" ca="1" si="87"/>
        <v>0</v>
      </c>
      <c r="AL349" s="49">
        <f t="shared" ca="1" si="87"/>
        <v>0</v>
      </c>
      <c r="AM349" s="49">
        <f t="shared" ca="1" si="87"/>
        <v>0</v>
      </c>
      <c r="AN349" s="49">
        <f t="shared" ca="1" si="87"/>
        <v>0</v>
      </c>
      <c r="AO349" s="49">
        <f t="shared" ca="1" si="87"/>
        <v>0</v>
      </c>
      <c r="AP349" s="49">
        <f t="shared" ca="1" si="87"/>
        <v>0</v>
      </c>
      <c r="AQ349" s="49">
        <f t="shared" ca="1" si="87"/>
        <v>0</v>
      </c>
      <c r="AR349" s="49">
        <f t="shared" ca="1" si="87"/>
        <v>0</v>
      </c>
      <c r="AS349" s="49">
        <f t="shared" ca="1" si="87"/>
        <v>0</v>
      </c>
      <c r="AT349" s="49">
        <f t="shared" ca="1" si="87"/>
        <v>0</v>
      </c>
      <c r="AU349" s="49">
        <f t="shared" ca="1" si="87"/>
        <v>0</v>
      </c>
      <c r="AV349" s="49">
        <f t="shared" ca="1" si="87"/>
        <v>0</v>
      </c>
      <c r="AW349" s="49">
        <f t="shared" ca="1" si="87"/>
        <v>0</v>
      </c>
      <c r="AX349" s="49">
        <f t="shared" ca="1" si="87"/>
        <v>0</v>
      </c>
      <c r="AY349" s="49">
        <f t="shared" ca="1" si="87"/>
        <v>0</v>
      </c>
      <c r="AZ349" s="49">
        <f t="shared" ca="1" si="87"/>
        <v>0</v>
      </c>
      <c r="BA349" s="49">
        <f t="shared" ca="1" si="87"/>
        <v>0</v>
      </c>
      <c r="BB349" s="49">
        <f t="shared" ca="1" si="87"/>
        <v>0</v>
      </c>
      <c r="BC349" s="49">
        <f t="shared" ca="1" si="87"/>
        <v>0</v>
      </c>
      <c r="BD349" s="49">
        <f t="shared" ca="1" si="87"/>
        <v>0</v>
      </c>
      <c r="BE349" s="49">
        <f t="shared" ca="1" si="87"/>
        <v>0</v>
      </c>
      <c r="BF349" s="49">
        <f t="shared" ca="1" si="87"/>
        <v>0</v>
      </c>
      <c r="BG349" s="49">
        <f t="shared" ca="1" si="87"/>
        <v>0</v>
      </c>
      <c r="BH349" s="49">
        <f t="shared" ca="1" si="87"/>
        <v>0</v>
      </c>
      <c r="BI349" s="49">
        <f t="shared" ca="1" si="87"/>
        <v>0</v>
      </c>
      <c r="BJ349" s="49">
        <f t="shared" ca="1" si="87"/>
        <v>0</v>
      </c>
      <c r="BK349" s="49">
        <f t="shared" ca="1" si="87"/>
        <v>0</v>
      </c>
      <c r="BL349" s="49">
        <f t="shared" ca="1" si="87"/>
        <v>0</v>
      </c>
      <c r="BM349" s="49">
        <f t="shared" ca="1" si="87"/>
        <v>0</v>
      </c>
      <c r="BN349" s="49">
        <f t="shared" ca="1" si="87"/>
        <v>0</v>
      </c>
      <c r="BO349" s="49">
        <f t="shared" ca="1" si="87"/>
        <v>0</v>
      </c>
      <c r="BP349" s="49">
        <f t="shared" ca="1" si="87"/>
        <v>0</v>
      </c>
      <c r="BQ349" s="49">
        <f t="shared" ca="1" si="87"/>
        <v>0</v>
      </c>
      <c r="BR349" s="49">
        <f t="shared" ca="1" si="87"/>
        <v>0</v>
      </c>
      <c r="BS349" s="49">
        <f t="shared" ca="1" si="87"/>
        <v>0</v>
      </c>
    </row>
    <row r="350" spans="3:71" outlineLevel="1" x14ac:dyDescent="0.2">
      <c r="J350" s="26"/>
      <c r="L350" s="55"/>
      <c r="M350" s="55"/>
      <c r="N350" s="55"/>
      <c r="O350" s="55"/>
      <c r="P350" s="55"/>
      <c r="Q350" s="55"/>
      <c r="R350" s="55"/>
      <c r="S350" s="55"/>
      <c r="T350" s="55"/>
      <c r="U350" s="55"/>
      <c r="V350" s="55"/>
      <c r="W350" s="55"/>
      <c r="X350" s="55"/>
      <c r="Y350" s="55"/>
      <c r="Z350" s="55"/>
      <c r="AA350" s="55"/>
      <c r="AB350" s="55"/>
      <c r="AC350" s="55"/>
      <c r="AD350" s="55"/>
      <c r="AE350" s="55"/>
      <c r="AF350" s="55"/>
      <c r="AG350" s="55"/>
      <c r="AH350" s="55"/>
      <c r="AI350" s="55"/>
      <c r="AJ350" s="55"/>
      <c r="AK350" s="55"/>
      <c r="AL350" s="55"/>
      <c r="AM350" s="55"/>
      <c r="AN350" s="55"/>
      <c r="AO350" s="55"/>
      <c r="AP350" s="55"/>
      <c r="AQ350" s="55"/>
      <c r="AR350" s="55"/>
      <c r="AS350" s="55"/>
      <c r="AT350" s="55"/>
      <c r="AU350" s="55"/>
      <c r="AV350" s="55"/>
      <c r="AW350" s="55"/>
      <c r="AX350" s="55"/>
      <c r="AY350" s="55"/>
      <c r="AZ350" s="55"/>
      <c r="BA350" s="55"/>
      <c r="BB350" s="55"/>
      <c r="BC350" s="55"/>
      <c r="BD350" s="55"/>
      <c r="BE350" s="55"/>
      <c r="BF350" s="55"/>
      <c r="BG350" s="55"/>
      <c r="BH350" s="55"/>
      <c r="BI350" s="55"/>
      <c r="BJ350" s="55"/>
      <c r="BK350" s="55"/>
      <c r="BL350" s="55"/>
      <c r="BM350" s="55"/>
      <c r="BN350" s="55"/>
      <c r="BO350" s="55"/>
      <c r="BP350" s="55"/>
      <c r="BQ350" s="55"/>
      <c r="BR350" s="55"/>
      <c r="BS350" s="55"/>
    </row>
    <row r="351" spans="3:71" outlineLevel="1" x14ac:dyDescent="0.2">
      <c r="J351" s="26"/>
      <c r="L351" s="55"/>
      <c r="M351" s="55"/>
      <c r="N351" s="55"/>
      <c r="O351" s="55"/>
      <c r="P351" s="55"/>
      <c r="Q351" s="55"/>
      <c r="R351" s="55"/>
      <c r="S351" s="55"/>
      <c r="T351" s="55"/>
      <c r="U351" s="55"/>
      <c r="V351" s="55"/>
      <c r="W351" s="55"/>
      <c r="X351" s="55"/>
      <c r="Y351" s="55"/>
      <c r="Z351" s="55"/>
      <c r="AA351" s="55"/>
      <c r="AB351" s="55"/>
      <c r="AC351" s="55"/>
      <c r="AD351" s="55"/>
      <c r="AE351" s="55"/>
      <c r="AF351" s="55"/>
      <c r="AG351" s="55"/>
      <c r="AH351" s="55"/>
      <c r="AI351" s="55"/>
      <c r="AJ351" s="55"/>
      <c r="AK351" s="55"/>
      <c r="AL351" s="55"/>
      <c r="AM351" s="55"/>
      <c r="AN351" s="55"/>
      <c r="AO351" s="55"/>
      <c r="AP351" s="55"/>
      <c r="AQ351" s="55"/>
      <c r="AR351" s="55"/>
      <c r="AS351" s="55"/>
      <c r="AT351" s="55"/>
      <c r="AU351" s="55"/>
      <c r="AV351" s="55"/>
      <c r="AW351" s="55"/>
      <c r="AX351" s="55"/>
      <c r="AY351" s="55"/>
      <c r="AZ351" s="55"/>
      <c r="BA351" s="55"/>
      <c r="BB351" s="55"/>
      <c r="BC351" s="55"/>
      <c r="BD351" s="55"/>
      <c r="BE351" s="55"/>
      <c r="BF351" s="55"/>
      <c r="BG351" s="55"/>
      <c r="BH351" s="55"/>
      <c r="BI351" s="55"/>
      <c r="BJ351" s="55"/>
      <c r="BK351" s="55"/>
      <c r="BL351" s="55"/>
      <c r="BM351" s="55"/>
      <c r="BN351" s="55"/>
      <c r="BO351" s="55"/>
      <c r="BP351" s="55"/>
      <c r="BQ351" s="55"/>
      <c r="BR351" s="55"/>
      <c r="BS351" s="55"/>
    </row>
    <row r="352" spans="3:71" outlineLevel="1" x14ac:dyDescent="0.2">
      <c r="J352" s="26"/>
      <c r="L352" s="55"/>
      <c r="M352" s="55"/>
      <c r="N352" s="55"/>
      <c r="O352" s="55"/>
      <c r="P352" s="55"/>
      <c r="Q352" s="55"/>
      <c r="R352" s="55"/>
      <c r="S352" s="55"/>
      <c r="T352" s="55"/>
      <c r="U352" s="55"/>
      <c r="V352" s="55"/>
      <c r="W352" s="55"/>
      <c r="X352" s="55"/>
      <c r="Y352" s="55"/>
      <c r="Z352" s="55"/>
      <c r="AA352" s="55"/>
      <c r="AB352" s="55"/>
      <c r="AC352" s="55"/>
      <c r="AD352" s="55"/>
      <c r="AE352" s="55"/>
      <c r="AF352" s="55"/>
      <c r="AG352" s="55"/>
      <c r="AH352" s="55"/>
      <c r="AI352" s="55"/>
      <c r="AJ352" s="55"/>
      <c r="AK352" s="55"/>
      <c r="AL352" s="55"/>
      <c r="AM352" s="55"/>
      <c r="AN352" s="55"/>
      <c r="AO352" s="55"/>
      <c r="AP352" s="55"/>
      <c r="AQ352" s="55"/>
      <c r="AR352" s="55"/>
      <c r="AS352" s="55"/>
      <c r="AT352" s="55"/>
      <c r="AU352" s="55"/>
      <c r="AV352" s="55"/>
      <c r="AW352" s="55"/>
      <c r="AX352" s="55"/>
      <c r="AY352" s="55"/>
      <c r="AZ352" s="55"/>
      <c r="BA352" s="55"/>
      <c r="BB352" s="55"/>
      <c r="BC352" s="55"/>
      <c r="BD352" s="55"/>
      <c r="BE352" s="55"/>
      <c r="BF352" s="55"/>
      <c r="BG352" s="55"/>
      <c r="BH352" s="55"/>
      <c r="BI352" s="55"/>
      <c r="BJ352" s="55"/>
      <c r="BK352" s="55"/>
      <c r="BL352" s="55"/>
      <c r="BM352" s="55"/>
      <c r="BN352" s="55"/>
      <c r="BO352" s="55"/>
      <c r="BP352" s="55"/>
      <c r="BQ352" s="55"/>
      <c r="BR352" s="55"/>
      <c r="BS352" s="55"/>
    </row>
    <row r="353" spans="1:93" x14ac:dyDescent="0.2">
      <c r="J353" s="26"/>
      <c r="L353" s="55"/>
      <c r="M353" s="55"/>
      <c r="N353" s="55"/>
      <c r="O353" s="55"/>
      <c r="P353" s="55"/>
      <c r="Q353" s="55"/>
      <c r="R353" s="55"/>
      <c r="S353" s="55"/>
      <c r="T353" s="55"/>
      <c r="U353" s="55"/>
      <c r="V353" s="55"/>
      <c r="W353" s="55"/>
      <c r="X353" s="55"/>
      <c r="Y353" s="55"/>
      <c r="Z353" s="55"/>
      <c r="AA353" s="55"/>
      <c r="AB353" s="55"/>
      <c r="AC353" s="55"/>
      <c r="AD353" s="55"/>
      <c r="AE353" s="55"/>
      <c r="AF353" s="55"/>
      <c r="AG353" s="55"/>
      <c r="AH353" s="55"/>
      <c r="AI353" s="55"/>
      <c r="AJ353" s="55"/>
      <c r="AK353" s="55"/>
      <c r="AL353" s="55"/>
      <c r="AM353" s="55"/>
      <c r="AN353" s="55"/>
      <c r="AO353" s="55"/>
      <c r="AP353" s="55"/>
      <c r="AQ353" s="55"/>
      <c r="AR353" s="55"/>
      <c r="AS353" s="55"/>
      <c r="AT353" s="55"/>
      <c r="AU353" s="55"/>
      <c r="AV353" s="55"/>
      <c r="AW353" s="55"/>
      <c r="AX353" s="55"/>
      <c r="AY353" s="55"/>
      <c r="AZ353" s="55"/>
      <c r="BA353" s="55"/>
      <c r="BB353" s="55"/>
      <c r="BC353" s="55"/>
      <c r="BD353" s="55"/>
      <c r="BE353" s="55"/>
      <c r="BF353" s="55"/>
      <c r="BG353" s="55"/>
      <c r="BH353" s="55"/>
      <c r="BI353" s="55"/>
      <c r="BJ353" s="55"/>
      <c r="BK353" s="55"/>
      <c r="BL353" s="55"/>
      <c r="BM353" s="55"/>
      <c r="BN353" s="55"/>
      <c r="BO353" s="55"/>
      <c r="BP353" s="55"/>
      <c r="BQ353" s="55"/>
      <c r="BR353" s="55"/>
      <c r="BS353" s="55"/>
    </row>
    <row r="354" spans="1:93" ht="16" thickBot="1" x14ac:dyDescent="0.25">
      <c r="J354" s="26"/>
      <c r="L354" s="55"/>
      <c r="M354" s="55"/>
      <c r="N354" s="55"/>
      <c r="O354" s="55"/>
      <c r="P354" s="55"/>
      <c r="Q354" s="55"/>
      <c r="R354" s="55"/>
      <c r="S354" s="55"/>
      <c r="T354" s="55"/>
      <c r="U354" s="55"/>
      <c r="V354" s="55"/>
      <c r="W354" s="55"/>
      <c r="X354" s="55"/>
      <c r="Y354" s="55"/>
      <c r="Z354" s="55"/>
      <c r="AA354" s="55"/>
      <c r="AB354" s="55"/>
      <c r="AC354" s="55"/>
      <c r="AD354" s="55"/>
      <c r="AE354" s="55"/>
      <c r="AF354" s="55"/>
      <c r="AG354" s="55"/>
      <c r="AH354" s="55"/>
      <c r="AI354" s="55"/>
      <c r="AJ354" s="55"/>
      <c r="AK354" s="55"/>
      <c r="AL354" s="55"/>
      <c r="AM354" s="55"/>
      <c r="AN354" s="55"/>
      <c r="AO354" s="55"/>
      <c r="AP354" s="55"/>
      <c r="AQ354" s="55"/>
      <c r="AR354" s="55"/>
      <c r="AS354" s="55"/>
      <c r="AT354" s="55"/>
      <c r="AU354" s="55"/>
      <c r="AV354" s="55"/>
      <c r="AW354" s="55"/>
      <c r="AX354" s="55"/>
      <c r="AY354" s="55"/>
      <c r="AZ354" s="55"/>
      <c r="BA354" s="55"/>
      <c r="BB354" s="55"/>
      <c r="BC354" s="55"/>
      <c r="BD354" s="55"/>
      <c r="BE354" s="55"/>
      <c r="BF354" s="55"/>
      <c r="BG354" s="55"/>
      <c r="BH354" s="55"/>
      <c r="BI354" s="55"/>
      <c r="BJ354" s="55"/>
      <c r="BK354" s="55"/>
      <c r="BL354" s="55"/>
      <c r="BM354" s="55"/>
      <c r="BN354" s="55"/>
      <c r="BO354" s="55"/>
      <c r="BP354" s="55"/>
      <c r="BQ354" s="55"/>
      <c r="BR354" s="55"/>
      <c r="BS354" s="55"/>
    </row>
    <row r="355" spans="1:93" ht="22" thickBot="1" x14ac:dyDescent="0.25">
      <c r="A355" s="8"/>
      <c r="B355" s="221" t="s">
        <v>255</v>
      </c>
      <c r="C355" s="222"/>
      <c r="D355" s="222"/>
      <c r="E355" s="223"/>
      <c r="F355" s="9"/>
      <c r="G355" s="9"/>
      <c r="H355" s="9"/>
      <c r="I355" s="9"/>
      <c r="J355" s="48"/>
      <c r="K355" s="10"/>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c r="BY355" s="9"/>
      <c r="BZ355" s="9"/>
      <c r="CA355" s="9"/>
      <c r="CB355" s="9"/>
      <c r="CC355" s="9"/>
      <c r="CD355" s="9"/>
      <c r="CE355" s="9"/>
      <c r="CF355" s="9"/>
      <c r="CG355" s="9"/>
      <c r="CH355" s="9"/>
      <c r="CI355" s="9"/>
      <c r="CJ355" s="9"/>
      <c r="CK355" s="9"/>
      <c r="CL355" s="9"/>
      <c r="CM355" s="9"/>
      <c r="CN355" s="9"/>
      <c r="CO355" s="9"/>
    </row>
    <row r="356" spans="1:93" outlineLevel="1" x14ac:dyDescent="0.2">
      <c r="J356" s="26"/>
      <c r="L356" s="55"/>
      <c r="M356" s="55"/>
      <c r="N356" s="55"/>
      <c r="O356" s="55"/>
      <c r="P356" s="55"/>
      <c r="Q356" s="55"/>
      <c r="R356" s="55"/>
      <c r="S356" s="55"/>
      <c r="T356" s="55"/>
      <c r="U356" s="55"/>
      <c r="V356" s="55"/>
      <c r="W356" s="55"/>
      <c r="X356" s="55"/>
      <c r="Y356" s="55"/>
      <c r="Z356" s="55"/>
      <c r="AA356" s="55"/>
      <c r="AB356" s="55"/>
      <c r="AC356" s="55"/>
      <c r="AD356" s="55"/>
      <c r="AE356" s="55"/>
      <c r="AF356" s="55"/>
      <c r="AG356" s="55"/>
      <c r="AH356" s="55"/>
      <c r="AI356" s="55"/>
      <c r="AJ356" s="55"/>
      <c r="AK356" s="55"/>
      <c r="AL356" s="55"/>
      <c r="AM356" s="55"/>
      <c r="AN356" s="55"/>
      <c r="AO356" s="55"/>
      <c r="AP356" s="55"/>
      <c r="AQ356" s="55"/>
      <c r="AR356" s="55"/>
      <c r="AS356" s="55"/>
      <c r="AT356" s="55"/>
      <c r="AU356" s="55"/>
      <c r="AV356" s="55"/>
      <c r="AW356" s="55"/>
      <c r="AX356" s="55"/>
      <c r="AY356" s="55"/>
      <c r="AZ356" s="55"/>
      <c r="BA356" s="55"/>
      <c r="BB356" s="55"/>
      <c r="BC356" s="55"/>
      <c r="BD356" s="55"/>
      <c r="BE356" s="55"/>
      <c r="BF356" s="55"/>
      <c r="BG356" s="55"/>
      <c r="BH356" s="55"/>
      <c r="BI356" s="55"/>
      <c r="BJ356" s="55"/>
      <c r="BK356" s="55"/>
      <c r="BL356" s="55"/>
      <c r="BM356" s="55"/>
      <c r="BN356" s="55"/>
      <c r="BO356" s="55"/>
      <c r="BP356" s="55"/>
      <c r="BQ356" s="55"/>
      <c r="BR356" s="55"/>
      <c r="BS356" s="55"/>
    </row>
    <row r="357" spans="1:93" outlineLevel="1" x14ac:dyDescent="0.2">
      <c r="A357" s="45"/>
      <c r="B357" s="38" t="s">
        <v>311</v>
      </c>
      <c r="C357" s="45"/>
      <c r="D357" s="45"/>
      <c r="E357" s="45"/>
      <c r="J357" s="26"/>
      <c r="L357" s="55"/>
      <c r="M357" s="55"/>
      <c r="N357" s="55"/>
      <c r="O357" s="55"/>
      <c r="P357" s="55"/>
      <c r="Q357" s="55"/>
      <c r="R357" s="55"/>
      <c r="S357" s="55"/>
      <c r="T357" s="55"/>
      <c r="U357" s="55"/>
      <c r="V357" s="55"/>
      <c r="W357" s="55"/>
      <c r="X357" s="55"/>
      <c r="Y357" s="55"/>
      <c r="Z357" s="55"/>
      <c r="AA357" s="55"/>
      <c r="AB357" s="55"/>
      <c r="AC357" s="55"/>
      <c r="AD357" s="55"/>
      <c r="AE357" s="55"/>
      <c r="AF357" s="55"/>
      <c r="AG357" s="55"/>
      <c r="AH357" s="55"/>
      <c r="AI357" s="55"/>
      <c r="AJ357" s="55"/>
      <c r="AK357" s="55"/>
      <c r="AL357" s="55"/>
      <c r="AM357" s="55"/>
      <c r="AN357" s="55"/>
      <c r="AO357" s="55"/>
      <c r="AP357" s="55"/>
      <c r="AQ357" s="55"/>
      <c r="AR357" s="55"/>
      <c r="AS357" s="55"/>
      <c r="AT357" s="55"/>
      <c r="AU357" s="55"/>
      <c r="AV357" s="55"/>
      <c r="AW357" s="55"/>
      <c r="AX357" s="55"/>
      <c r="AY357" s="55"/>
      <c r="AZ357" s="55"/>
      <c r="BA357" s="55"/>
      <c r="BB357" s="55"/>
      <c r="BC357" s="55"/>
      <c r="BD357" s="55"/>
      <c r="BE357" s="55"/>
      <c r="BF357" s="55"/>
      <c r="BG357" s="55"/>
      <c r="BH357" s="55"/>
      <c r="BI357" s="55"/>
      <c r="BJ357" s="55"/>
      <c r="BK357" s="55"/>
      <c r="BL357" s="55"/>
      <c r="BM357" s="55"/>
      <c r="BN357" s="55"/>
      <c r="BO357" s="55"/>
      <c r="BP357" s="55"/>
      <c r="BQ357" s="55"/>
      <c r="BR357" s="55"/>
      <c r="BS357" s="55"/>
    </row>
    <row r="358" spans="1:93" outlineLevel="1" x14ac:dyDescent="0.2">
      <c r="J358" s="26"/>
      <c r="L358" s="55"/>
      <c r="M358" s="55"/>
      <c r="N358" s="55"/>
      <c r="O358" s="55"/>
      <c r="P358" s="55"/>
      <c r="Q358" s="55"/>
      <c r="R358" s="55"/>
      <c r="S358" s="55"/>
      <c r="T358" s="55"/>
      <c r="U358" s="55"/>
      <c r="V358" s="55"/>
      <c r="W358" s="55"/>
      <c r="X358" s="55"/>
      <c r="Y358" s="55"/>
      <c r="Z358" s="55"/>
      <c r="AA358" s="55"/>
      <c r="AB358" s="55"/>
      <c r="AC358" s="55"/>
      <c r="AD358" s="55"/>
      <c r="AE358" s="55"/>
      <c r="AF358" s="55"/>
      <c r="AG358" s="55"/>
      <c r="AH358" s="55"/>
      <c r="AI358" s="55"/>
      <c r="AJ358" s="55"/>
      <c r="AK358" s="55"/>
      <c r="AL358" s="55"/>
      <c r="AM358" s="55"/>
      <c r="AN358" s="55"/>
      <c r="AO358" s="55"/>
      <c r="AP358" s="55"/>
      <c r="AQ358" s="55"/>
      <c r="AR358" s="55"/>
      <c r="AS358" s="55"/>
      <c r="AT358" s="55"/>
      <c r="AU358" s="55"/>
      <c r="AV358" s="55"/>
      <c r="AW358" s="55"/>
      <c r="AX358" s="55"/>
      <c r="AY358" s="55"/>
      <c r="AZ358" s="55"/>
      <c r="BA358" s="55"/>
      <c r="BB358" s="55"/>
      <c r="BC358" s="55"/>
      <c r="BD358" s="55"/>
      <c r="BE358" s="55"/>
      <c r="BF358" s="55"/>
      <c r="BG358" s="55"/>
      <c r="BH358" s="55"/>
      <c r="BI358" s="55"/>
      <c r="BJ358" s="55"/>
      <c r="BK358" s="55"/>
      <c r="BL358" s="55"/>
      <c r="BM358" s="55"/>
      <c r="BN358" s="55"/>
      <c r="BO358" s="55"/>
      <c r="BP358" s="55"/>
      <c r="BQ358" s="55"/>
      <c r="BR358" s="55"/>
      <c r="BS358" s="55"/>
    </row>
    <row r="359" spans="1:93" outlineLevel="1" x14ac:dyDescent="0.2">
      <c r="C359" t="s">
        <v>278</v>
      </c>
      <c r="J359" s="26"/>
      <c r="L359" s="55"/>
      <c r="M359" s="55"/>
      <c r="N359" s="55"/>
      <c r="O359" s="55"/>
      <c r="P359" s="55"/>
      <c r="Q359" s="55"/>
      <c r="R359" s="55"/>
      <c r="S359" s="55"/>
      <c r="T359" s="55"/>
      <c r="U359" s="55"/>
      <c r="V359" s="55"/>
      <c r="W359" s="55"/>
      <c r="X359" s="55"/>
      <c r="Y359" s="55"/>
      <c r="Z359" s="55"/>
      <c r="AA359" s="55"/>
      <c r="AB359" s="55"/>
      <c r="AC359" s="55"/>
      <c r="AD359" s="55"/>
      <c r="AE359" s="55"/>
      <c r="AF359" s="55"/>
      <c r="AG359" s="55"/>
      <c r="AH359" s="55"/>
      <c r="AI359" s="55"/>
      <c r="AJ359" s="55"/>
      <c r="AK359" s="55"/>
      <c r="AL359" s="55"/>
      <c r="AM359" s="55"/>
      <c r="AN359" s="55"/>
      <c r="AO359" s="55"/>
      <c r="AP359" s="55"/>
      <c r="AQ359" s="55"/>
      <c r="AR359" s="55"/>
      <c r="AS359" s="55"/>
      <c r="AT359" s="55"/>
      <c r="AU359" s="55"/>
      <c r="AV359" s="55"/>
      <c r="AW359" s="55"/>
      <c r="AX359" s="55"/>
      <c r="AY359" s="55"/>
      <c r="AZ359" s="55"/>
      <c r="BA359" s="55"/>
      <c r="BB359" s="55"/>
      <c r="BC359" s="55"/>
      <c r="BD359" s="55"/>
      <c r="BE359" s="55"/>
      <c r="BF359" s="55"/>
      <c r="BG359" s="55"/>
      <c r="BH359" s="55"/>
      <c r="BI359" s="55"/>
      <c r="BJ359" s="55"/>
      <c r="BK359" s="55"/>
      <c r="BL359" s="55"/>
      <c r="BM359" s="55"/>
      <c r="BN359" s="55"/>
      <c r="BO359" s="55"/>
      <c r="BP359" s="55"/>
      <c r="BQ359" s="55"/>
      <c r="BR359" s="55"/>
      <c r="BS359" s="55"/>
    </row>
    <row r="360" spans="1:93" outlineLevel="1" x14ac:dyDescent="0.2">
      <c r="D360" t="s">
        <v>277</v>
      </c>
      <c r="G360" s="29">
        <f>YEAR(effective_date_Loango)</f>
        <v>2013</v>
      </c>
      <c r="J360" s="26"/>
      <c r="L360" s="49">
        <f>MAX(L4-$G360+1-0.5,0)</f>
        <v>0.5</v>
      </c>
      <c r="M360" s="49">
        <f t="shared" ref="M360:BS360" si="88">MAX(M4-$G360+1-0.5,0)</f>
        <v>1.5</v>
      </c>
      <c r="N360" s="49">
        <f t="shared" si="88"/>
        <v>2.5</v>
      </c>
      <c r="O360" s="49">
        <f t="shared" si="88"/>
        <v>3.5</v>
      </c>
      <c r="P360" s="49">
        <f t="shared" si="88"/>
        <v>4.5</v>
      </c>
      <c r="Q360" s="49">
        <f t="shared" si="88"/>
        <v>5.5</v>
      </c>
      <c r="R360" s="49">
        <f t="shared" si="88"/>
        <v>6.5</v>
      </c>
      <c r="S360" s="49">
        <f t="shared" si="88"/>
        <v>7.5</v>
      </c>
      <c r="T360" s="49">
        <f t="shared" si="88"/>
        <v>8.5</v>
      </c>
      <c r="U360" s="49">
        <f t="shared" si="88"/>
        <v>9.5</v>
      </c>
      <c r="V360" s="49">
        <f t="shared" si="88"/>
        <v>10.5</v>
      </c>
      <c r="W360" s="49">
        <f t="shared" si="88"/>
        <v>11.5</v>
      </c>
      <c r="X360" s="49">
        <f t="shared" si="88"/>
        <v>12.5</v>
      </c>
      <c r="Y360" s="49">
        <f t="shared" si="88"/>
        <v>13.5</v>
      </c>
      <c r="Z360" s="49">
        <f t="shared" si="88"/>
        <v>14.5</v>
      </c>
      <c r="AA360" s="49">
        <f t="shared" si="88"/>
        <v>15.5</v>
      </c>
      <c r="AB360" s="49">
        <f t="shared" si="88"/>
        <v>16.5</v>
      </c>
      <c r="AC360" s="49">
        <f t="shared" si="88"/>
        <v>17.5</v>
      </c>
      <c r="AD360" s="49">
        <f t="shared" si="88"/>
        <v>18.5</v>
      </c>
      <c r="AE360" s="49">
        <f t="shared" si="88"/>
        <v>19.5</v>
      </c>
      <c r="AF360" s="49">
        <f t="shared" si="88"/>
        <v>20.5</v>
      </c>
      <c r="AG360" s="49">
        <f t="shared" si="88"/>
        <v>21.5</v>
      </c>
      <c r="AH360" s="49">
        <f t="shared" si="88"/>
        <v>22.5</v>
      </c>
      <c r="AI360" s="49">
        <f t="shared" si="88"/>
        <v>23.5</v>
      </c>
      <c r="AJ360" s="49">
        <f t="shared" si="88"/>
        <v>24.5</v>
      </c>
      <c r="AK360" s="49">
        <f t="shared" si="88"/>
        <v>25.5</v>
      </c>
      <c r="AL360" s="49">
        <f t="shared" si="88"/>
        <v>26.5</v>
      </c>
      <c r="AM360" s="49">
        <f t="shared" si="88"/>
        <v>27.5</v>
      </c>
      <c r="AN360" s="49">
        <f t="shared" si="88"/>
        <v>28.5</v>
      </c>
      <c r="AO360" s="49">
        <f t="shared" si="88"/>
        <v>29.5</v>
      </c>
      <c r="AP360" s="49">
        <f t="shared" si="88"/>
        <v>30.5</v>
      </c>
      <c r="AQ360" s="49">
        <f t="shared" si="88"/>
        <v>31.5</v>
      </c>
      <c r="AR360" s="49">
        <f t="shared" si="88"/>
        <v>32.5</v>
      </c>
      <c r="AS360" s="49">
        <f t="shared" si="88"/>
        <v>33.5</v>
      </c>
      <c r="AT360" s="49">
        <f t="shared" si="88"/>
        <v>34.5</v>
      </c>
      <c r="AU360" s="49">
        <f t="shared" si="88"/>
        <v>35.5</v>
      </c>
      <c r="AV360" s="49">
        <f t="shared" si="88"/>
        <v>36.5</v>
      </c>
      <c r="AW360" s="49">
        <f t="shared" si="88"/>
        <v>37.5</v>
      </c>
      <c r="AX360" s="49">
        <f t="shared" si="88"/>
        <v>38.5</v>
      </c>
      <c r="AY360" s="49">
        <f t="shared" si="88"/>
        <v>39.5</v>
      </c>
      <c r="AZ360" s="49">
        <f t="shared" si="88"/>
        <v>40.5</v>
      </c>
      <c r="BA360" s="49">
        <f t="shared" si="88"/>
        <v>41.5</v>
      </c>
      <c r="BB360" s="49">
        <f t="shared" si="88"/>
        <v>42.5</v>
      </c>
      <c r="BC360" s="49">
        <f t="shared" si="88"/>
        <v>43.5</v>
      </c>
      <c r="BD360" s="49">
        <f t="shared" si="88"/>
        <v>44.5</v>
      </c>
      <c r="BE360" s="49">
        <f t="shared" si="88"/>
        <v>45.5</v>
      </c>
      <c r="BF360" s="49">
        <f t="shared" si="88"/>
        <v>46.5</v>
      </c>
      <c r="BG360" s="49">
        <f t="shared" si="88"/>
        <v>47.5</v>
      </c>
      <c r="BH360" s="49">
        <f t="shared" si="88"/>
        <v>48.5</v>
      </c>
      <c r="BI360" s="49">
        <f t="shared" si="88"/>
        <v>49.5</v>
      </c>
      <c r="BJ360" s="49">
        <f t="shared" si="88"/>
        <v>50.5</v>
      </c>
      <c r="BK360" s="49">
        <f t="shared" si="88"/>
        <v>51.5</v>
      </c>
      <c r="BL360" s="49">
        <f t="shared" si="88"/>
        <v>52.5</v>
      </c>
      <c r="BM360" s="49">
        <f t="shared" si="88"/>
        <v>53.5</v>
      </c>
      <c r="BN360" s="49">
        <f t="shared" si="88"/>
        <v>54.5</v>
      </c>
      <c r="BO360" s="49">
        <f t="shared" si="88"/>
        <v>55.5</v>
      </c>
      <c r="BP360" s="49">
        <f t="shared" si="88"/>
        <v>56.5</v>
      </c>
      <c r="BQ360" s="49">
        <f t="shared" si="88"/>
        <v>57.5</v>
      </c>
      <c r="BR360" s="49">
        <f t="shared" si="88"/>
        <v>58.5</v>
      </c>
      <c r="BS360" s="49">
        <f t="shared" si="88"/>
        <v>59.5</v>
      </c>
    </row>
    <row r="361" spans="1:93" outlineLevel="1" x14ac:dyDescent="0.2">
      <c r="D361" t="s">
        <v>279</v>
      </c>
      <c r="G361" s="29">
        <f>Current_year</f>
        <v>2021</v>
      </c>
      <c r="J361" s="26"/>
      <c r="L361" s="49">
        <f>MAX(L$4-$G361+1-0.5,0)</f>
        <v>0</v>
      </c>
      <c r="M361" s="49">
        <f t="shared" ref="M361:BS361" si="89">MAX(M$4-$G361+1-0.5,0)</f>
        <v>0</v>
      </c>
      <c r="N361" s="49">
        <f t="shared" si="89"/>
        <v>0</v>
      </c>
      <c r="O361" s="49">
        <f t="shared" si="89"/>
        <v>0</v>
      </c>
      <c r="P361" s="49">
        <f t="shared" si="89"/>
        <v>0</v>
      </c>
      <c r="Q361" s="49">
        <f t="shared" si="89"/>
        <v>0</v>
      </c>
      <c r="R361" s="49">
        <f t="shared" si="89"/>
        <v>0</v>
      </c>
      <c r="S361" s="49">
        <f t="shared" si="89"/>
        <v>0</v>
      </c>
      <c r="T361" s="49">
        <f t="shared" si="89"/>
        <v>0.5</v>
      </c>
      <c r="U361" s="49">
        <f t="shared" si="89"/>
        <v>1.5</v>
      </c>
      <c r="V361" s="49">
        <f t="shared" si="89"/>
        <v>2.5</v>
      </c>
      <c r="W361" s="49">
        <f t="shared" si="89"/>
        <v>3.5</v>
      </c>
      <c r="X361" s="49">
        <f t="shared" si="89"/>
        <v>4.5</v>
      </c>
      <c r="Y361" s="49">
        <f t="shared" si="89"/>
        <v>5.5</v>
      </c>
      <c r="Z361" s="49">
        <f t="shared" si="89"/>
        <v>6.5</v>
      </c>
      <c r="AA361" s="49">
        <f t="shared" si="89"/>
        <v>7.5</v>
      </c>
      <c r="AB361" s="49">
        <f t="shared" si="89"/>
        <v>8.5</v>
      </c>
      <c r="AC361" s="49">
        <f t="shared" si="89"/>
        <v>9.5</v>
      </c>
      <c r="AD361" s="49">
        <f t="shared" si="89"/>
        <v>10.5</v>
      </c>
      <c r="AE361" s="49">
        <f t="shared" si="89"/>
        <v>11.5</v>
      </c>
      <c r="AF361" s="49">
        <f t="shared" si="89"/>
        <v>12.5</v>
      </c>
      <c r="AG361" s="49">
        <f t="shared" si="89"/>
        <v>13.5</v>
      </c>
      <c r="AH361" s="49">
        <f t="shared" si="89"/>
        <v>14.5</v>
      </c>
      <c r="AI361" s="49">
        <f t="shared" si="89"/>
        <v>15.5</v>
      </c>
      <c r="AJ361" s="49">
        <f t="shared" si="89"/>
        <v>16.5</v>
      </c>
      <c r="AK361" s="49">
        <f t="shared" si="89"/>
        <v>17.5</v>
      </c>
      <c r="AL361" s="49">
        <f t="shared" si="89"/>
        <v>18.5</v>
      </c>
      <c r="AM361" s="49">
        <f t="shared" si="89"/>
        <v>19.5</v>
      </c>
      <c r="AN361" s="49">
        <f t="shared" si="89"/>
        <v>20.5</v>
      </c>
      <c r="AO361" s="49">
        <f t="shared" si="89"/>
        <v>21.5</v>
      </c>
      <c r="AP361" s="49">
        <f t="shared" si="89"/>
        <v>22.5</v>
      </c>
      <c r="AQ361" s="49">
        <f t="shared" si="89"/>
        <v>23.5</v>
      </c>
      <c r="AR361" s="49">
        <f t="shared" si="89"/>
        <v>24.5</v>
      </c>
      <c r="AS361" s="49">
        <f t="shared" si="89"/>
        <v>25.5</v>
      </c>
      <c r="AT361" s="49">
        <f t="shared" si="89"/>
        <v>26.5</v>
      </c>
      <c r="AU361" s="49">
        <f t="shared" si="89"/>
        <v>27.5</v>
      </c>
      <c r="AV361" s="49">
        <f t="shared" si="89"/>
        <v>28.5</v>
      </c>
      <c r="AW361" s="49">
        <f t="shared" si="89"/>
        <v>29.5</v>
      </c>
      <c r="AX361" s="49">
        <f t="shared" si="89"/>
        <v>30.5</v>
      </c>
      <c r="AY361" s="49">
        <f t="shared" si="89"/>
        <v>31.5</v>
      </c>
      <c r="AZ361" s="49">
        <f t="shared" si="89"/>
        <v>32.5</v>
      </c>
      <c r="BA361" s="49">
        <f t="shared" si="89"/>
        <v>33.5</v>
      </c>
      <c r="BB361" s="49">
        <f t="shared" si="89"/>
        <v>34.5</v>
      </c>
      <c r="BC361" s="49">
        <f t="shared" si="89"/>
        <v>35.5</v>
      </c>
      <c r="BD361" s="49">
        <f t="shared" si="89"/>
        <v>36.5</v>
      </c>
      <c r="BE361" s="49">
        <f t="shared" si="89"/>
        <v>37.5</v>
      </c>
      <c r="BF361" s="49">
        <f t="shared" si="89"/>
        <v>38.5</v>
      </c>
      <c r="BG361" s="49">
        <f t="shared" si="89"/>
        <v>39.5</v>
      </c>
      <c r="BH361" s="49">
        <f t="shared" si="89"/>
        <v>40.5</v>
      </c>
      <c r="BI361" s="49">
        <f t="shared" si="89"/>
        <v>41.5</v>
      </c>
      <c r="BJ361" s="49">
        <f t="shared" si="89"/>
        <v>42.5</v>
      </c>
      <c r="BK361" s="49">
        <f t="shared" si="89"/>
        <v>43.5</v>
      </c>
      <c r="BL361" s="49">
        <f t="shared" si="89"/>
        <v>44.5</v>
      </c>
      <c r="BM361" s="49">
        <f t="shared" si="89"/>
        <v>45.5</v>
      </c>
      <c r="BN361" s="49">
        <f t="shared" si="89"/>
        <v>46.5</v>
      </c>
      <c r="BO361" s="49">
        <f t="shared" si="89"/>
        <v>47.5</v>
      </c>
      <c r="BP361" s="49">
        <f t="shared" si="89"/>
        <v>48.5</v>
      </c>
      <c r="BQ361" s="49">
        <f t="shared" si="89"/>
        <v>49.5</v>
      </c>
      <c r="BR361" s="49">
        <f t="shared" si="89"/>
        <v>50.5</v>
      </c>
      <c r="BS361" s="49">
        <f t="shared" si="89"/>
        <v>51.5</v>
      </c>
    </row>
    <row r="362" spans="1:93" outlineLevel="1" x14ac:dyDescent="0.2">
      <c r="C362" t="s">
        <v>280</v>
      </c>
      <c r="E362" s="59">
        <f>input_DiscRate_nom</f>
        <v>0.1</v>
      </c>
      <c r="J362" s="26"/>
      <c r="L362" s="55"/>
      <c r="M362" s="55"/>
      <c r="N362" s="55"/>
      <c r="O362" s="55"/>
      <c r="P362" s="55"/>
      <c r="Q362" s="55"/>
      <c r="R362" s="55"/>
      <c r="S362" s="55"/>
      <c r="T362" s="55"/>
      <c r="U362" s="55"/>
      <c r="V362" s="55"/>
      <c r="W362" s="55"/>
      <c r="X362" s="55"/>
      <c r="Y362" s="55"/>
      <c r="Z362" s="55"/>
      <c r="AA362" s="55"/>
      <c r="AB362" s="55"/>
      <c r="AC362" s="55"/>
      <c r="AD362" s="55"/>
      <c r="AE362" s="55"/>
      <c r="AF362" s="55"/>
      <c r="AG362" s="55"/>
      <c r="AH362" s="55"/>
      <c r="AI362" s="55"/>
      <c r="AJ362" s="55"/>
      <c r="AK362" s="55"/>
      <c r="AL362" s="55"/>
      <c r="AM362" s="55"/>
      <c r="AN362" s="55"/>
      <c r="AO362" s="55"/>
      <c r="AP362" s="55"/>
      <c r="AQ362" s="55"/>
      <c r="AR362" s="55"/>
      <c r="AS362" s="55"/>
      <c r="AT362" s="55"/>
      <c r="AU362" s="55"/>
      <c r="AV362" s="55"/>
      <c r="AW362" s="55"/>
      <c r="AX362" s="55"/>
      <c r="AY362" s="55"/>
      <c r="AZ362" s="55"/>
      <c r="BA362" s="55"/>
      <c r="BB362" s="55"/>
      <c r="BC362" s="55"/>
      <c r="BD362" s="55"/>
      <c r="BE362" s="55"/>
      <c r="BF362" s="55"/>
      <c r="BG362" s="55"/>
      <c r="BH362" s="55"/>
      <c r="BI362" s="55"/>
      <c r="BJ362" s="55"/>
      <c r="BK362" s="55"/>
      <c r="BL362" s="55"/>
      <c r="BM362" s="55"/>
      <c r="BN362" s="55"/>
      <c r="BO362" s="55"/>
      <c r="BP362" s="55"/>
      <c r="BQ362" s="55"/>
      <c r="BR362" s="55"/>
      <c r="BS362" s="55"/>
    </row>
    <row r="363" spans="1:93" outlineLevel="1" x14ac:dyDescent="0.2">
      <c r="D363" t="s">
        <v>277</v>
      </c>
      <c r="J363" s="26"/>
      <c r="K363" s="7" t="s">
        <v>282</v>
      </c>
      <c r="L363" s="49">
        <f t="shared" ref="L363:BS364" si="90">IF(L360=0,0,(1+input_DiscRate_nom)^-L360)</f>
        <v>0.95346258924559224</v>
      </c>
      <c r="M363" s="49">
        <f t="shared" si="90"/>
        <v>0.86678417204144742</v>
      </c>
      <c r="N363" s="49">
        <f t="shared" si="90"/>
        <v>0.78798561094677033</v>
      </c>
      <c r="O363" s="49">
        <f t="shared" si="90"/>
        <v>0.71635055540615489</v>
      </c>
      <c r="P363" s="49">
        <f t="shared" si="90"/>
        <v>0.65122777764195883</v>
      </c>
      <c r="Q363" s="49">
        <f t="shared" si="90"/>
        <v>0.59202525240178083</v>
      </c>
      <c r="R363" s="49">
        <f t="shared" si="90"/>
        <v>0.53820477491070973</v>
      </c>
      <c r="S363" s="49">
        <f t="shared" si="90"/>
        <v>0.48927706810064514</v>
      </c>
      <c r="T363" s="49">
        <f t="shared" si="90"/>
        <v>0.44479733463695009</v>
      </c>
      <c r="U363" s="49">
        <f t="shared" si="90"/>
        <v>0.4043612133063183</v>
      </c>
      <c r="V363" s="49">
        <f t="shared" si="90"/>
        <v>0.36760110300574383</v>
      </c>
      <c r="W363" s="49">
        <f t="shared" si="90"/>
        <v>0.33418282091431251</v>
      </c>
      <c r="X363" s="49">
        <f t="shared" si="90"/>
        <v>0.30380256446755688</v>
      </c>
      <c r="Y363" s="49">
        <f t="shared" si="90"/>
        <v>0.27618414951596076</v>
      </c>
      <c r="Z363" s="49">
        <f t="shared" si="90"/>
        <v>0.25107649955996431</v>
      </c>
      <c r="AA363" s="49">
        <f t="shared" si="90"/>
        <v>0.22825136323633116</v>
      </c>
      <c r="AB363" s="49">
        <f t="shared" si="90"/>
        <v>0.20750123930575562</v>
      </c>
      <c r="AC363" s="49">
        <f t="shared" si="90"/>
        <v>0.18863749027795962</v>
      </c>
      <c r="AD363" s="49">
        <f t="shared" si="90"/>
        <v>0.17148862752541782</v>
      </c>
      <c r="AE363" s="49">
        <f t="shared" si="90"/>
        <v>0.15589875229583436</v>
      </c>
      <c r="AF363" s="49">
        <f t="shared" si="90"/>
        <v>0.14172613845075852</v>
      </c>
      <c r="AG363" s="49">
        <f t="shared" si="90"/>
        <v>0.1288419440461441</v>
      </c>
      <c r="AH363" s="49">
        <f t="shared" si="90"/>
        <v>0.11712904004194918</v>
      </c>
      <c r="AI363" s="49">
        <f t="shared" si="90"/>
        <v>0.10648094549268106</v>
      </c>
      <c r="AJ363" s="49">
        <f t="shared" si="90"/>
        <v>9.6800859538800965E-2</v>
      </c>
      <c r="AK363" s="49">
        <f t="shared" si="90"/>
        <v>8.8000781398909919E-2</v>
      </c>
      <c r="AL363" s="49">
        <f t="shared" si="90"/>
        <v>8.0000710362645402E-2</v>
      </c>
      <c r="AM363" s="49">
        <f t="shared" si="90"/>
        <v>7.272791851149582E-2</v>
      </c>
      <c r="AN363" s="49">
        <f t="shared" si="90"/>
        <v>6.6116289555905275E-2</v>
      </c>
      <c r="AO363" s="49">
        <f t="shared" si="90"/>
        <v>6.0105717778095702E-2</v>
      </c>
      <c r="AP363" s="49">
        <f t="shared" si="90"/>
        <v>5.4641561616450646E-2</v>
      </c>
      <c r="AQ363" s="49">
        <f t="shared" si="90"/>
        <v>4.967414692404603E-2</v>
      </c>
      <c r="AR363" s="49">
        <f t="shared" si="90"/>
        <v>4.5158315385496389E-2</v>
      </c>
      <c r="AS363" s="49">
        <f t="shared" si="90"/>
        <v>4.1053013986814886E-2</v>
      </c>
      <c r="AT363" s="49">
        <f t="shared" si="90"/>
        <v>3.7320921806195353E-2</v>
      </c>
      <c r="AU363" s="49">
        <f t="shared" si="90"/>
        <v>3.3928110732904866E-2</v>
      </c>
      <c r="AV363" s="49">
        <f t="shared" si="90"/>
        <v>3.0843737029913505E-2</v>
      </c>
      <c r="AW363" s="49">
        <f t="shared" si="90"/>
        <v>2.8039760936285012E-2</v>
      </c>
      <c r="AX363" s="49">
        <f t="shared" si="90"/>
        <v>2.5490691760259102E-2</v>
      </c>
      <c r="AY363" s="49">
        <f t="shared" si="90"/>
        <v>2.3173356145690084E-2</v>
      </c>
      <c r="AZ363" s="49">
        <f t="shared" si="90"/>
        <v>2.1066687405172806E-2</v>
      </c>
      <c r="BA363" s="49">
        <f t="shared" si="90"/>
        <v>1.9151534004702545E-2</v>
      </c>
      <c r="BB363" s="49">
        <f t="shared" si="90"/>
        <v>1.7410485458820502E-2</v>
      </c>
      <c r="BC363" s="49">
        <f t="shared" si="90"/>
        <v>1.5827714053473173E-2</v>
      </c>
      <c r="BD363" s="49">
        <f t="shared" si="90"/>
        <v>1.4388830957702884E-2</v>
      </c>
      <c r="BE363" s="49">
        <f t="shared" si="90"/>
        <v>1.3080755416093532E-2</v>
      </c>
      <c r="BF363" s="49">
        <f t="shared" si="90"/>
        <v>1.1891595832812305E-2</v>
      </c>
      <c r="BG363" s="49">
        <f t="shared" si="90"/>
        <v>1.0810541666193005E-2</v>
      </c>
      <c r="BH363" s="49">
        <f t="shared" si="90"/>
        <v>9.8277651510845412E-3</v>
      </c>
      <c r="BI363" s="49">
        <f t="shared" si="90"/>
        <v>8.9343319555314025E-3</v>
      </c>
      <c r="BJ363" s="49">
        <f t="shared" si="90"/>
        <v>8.1221199595740041E-3</v>
      </c>
      <c r="BK363" s="49">
        <f t="shared" si="90"/>
        <v>7.3837454177945487E-3</v>
      </c>
      <c r="BL363" s="49">
        <f t="shared" si="90"/>
        <v>6.7124958343586817E-3</v>
      </c>
      <c r="BM363" s="49">
        <f t="shared" si="90"/>
        <v>6.1022689403260697E-3</v>
      </c>
      <c r="BN363" s="49">
        <f t="shared" si="90"/>
        <v>5.5475172184782451E-3</v>
      </c>
      <c r="BO363" s="49">
        <f t="shared" si="90"/>
        <v>5.0431974713438599E-3</v>
      </c>
      <c r="BP363" s="49">
        <f t="shared" si="90"/>
        <v>4.5847249739489641E-3</v>
      </c>
      <c r="BQ363" s="49">
        <f t="shared" si="90"/>
        <v>4.1679317944990591E-3</v>
      </c>
      <c r="BR363" s="49">
        <f t="shared" si="90"/>
        <v>3.7890289040900535E-3</v>
      </c>
      <c r="BS363" s="49">
        <f t="shared" si="90"/>
        <v>3.4445717309909553E-3</v>
      </c>
    </row>
    <row r="364" spans="1:93" outlineLevel="1" x14ac:dyDescent="0.2">
      <c r="D364" t="s">
        <v>279</v>
      </c>
      <c r="J364" s="26"/>
      <c r="K364" s="7" t="s">
        <v>281</v>
      </c>
      <c r="L364" s="49">
        <f t="shared" si="90"/>
        <v>0</v>
      </c>
      <c r="M364" s="49">
        <f t="shared" si="90"/>
        <v>0</v>
      </c>
      <c r="N364" s="49">
        <f t="shared" si="90"/>
        <v>0</v>
      </c>
      <c r="O364" s="49">
        <f t="shared" si="90"/>
        <v>0</v>
      </c>
      <c r="P364" s="49">
        <f t="shared" si="90"/>
        <v>0</v>
      </c>
      <c r="Q364" s="49">
        <f t="shared" si="90"/>
        <v>0</v>
      </c>
      <c r="R364" s="49">
        <f t="shared" si="90"/>
        <v>0</v>
      </c>
      <c r="S364" s="49">
        <f t="shared" si="90"/>
        <v>0</v>
      </c>
      <c r="T364" s="49">
        <f t="shared" si="90"/>
        <v>0.95346258924559224</v>
      </c>
      <c r="U364" s="49">
        <f t="shared" si="90"/>
        <v>0.86678417204144742</v>
      </c>
      <c r="V364" s="49">
        <f t="shared" si="90"/>
        <v>0.78798561094677033</v>
      </c>
      <c r="W364" s="49">
        <f t="shared" si="90"/>
        <v>0.71635055540615489</v>
      </c>
      <c r="X364" s="49">
        <f t="shared" si="90"/>
        <v>0.65122777764195883</v>
      </c>
      <c r="Y364" s="49">
        <f t="shared" si="90"/>
        <v>0.59202525240178083</v>
      </c>
      <c r="Z364" s="49">
        <f t="shared" si="90"/>
        <v>0.53820477491070973</v>
      </c>
      <c r="AA364" s="49">
        <f t="shared" si="90"/>
        <v>0.48927706810064514</v>
      </c>
      <c r="AB364" s="49">
        <f t="shared" si="90"/>
        <v>0.44479733463695009</v>
      </c>
      <c r="AC364" s="49">
        <f t="shared" si="90"/>
        <v>0.4043612133063183</v>
      </c>
      <c r="AD364" s="49">
        <f t="shared" si="90"/>
        <v>0.36760110300574383</v>
      </c>
      <c r="AE364" s="49">
        <f t="shared" si="90"/>
        <v>0.33418282091431251</v>
      </c>
      <c r="AF364" s="49">
        <f t="shared" si="90"/>
        <v>0.30380256446755688</v>
      </c>
      <c r="AG364" s="49">
        <f t="shared" si="90"/>
        <v>0.27618414951596076</v>
      </c>
      <c r="AH364" s="49">
        <f t="shared" si="90"/>
        <v>0.25107649955996431</v>
      </c>
      <c r="AI364" s="49">
        <f t="shared" si="90"/>
        <v>0.22825136323633116</v>
      </c>
      <c r="AJ364" s="49">
        <f t="shared" si="90"/>
        <v>0.20750123930575562</v>
      </c>
      <c r="AK364" s="49">
        <f t="shared" si="90"/>
        <v>0.18863749027795962</v>
      </c>
      <c r="AL364" s="49">
        <f t="shared" si="90"/>
        <v>0.17148862752541782</v>
      </c>
      <c r="AM364" s="49">
        <f t="shared" si="90"/>
        <v>0.15589875229583436</v>
      </c>
      <c r="AN364" s="49">
        <f t="shared" si="90"/>
        <v>0.14172613845075852</v>
      </c>
      <c r="AO364" s="49">
        <f t="shared" si="90"/>
        <v>0.1288419440461441</v>
      </c>
      <c r="AP364" s="49">
        <f t="shared" si="90"/>
        <v>0.11712904004194918</v>
      </c>
      <c r="AQ364" s="49">
        <f t="shared" si="90"/>
        <v>0.10648094549268106</v>
      </c>
      <c r="AR364" s="49">
        <f t="shared" si="90"/>
        <v>9.6800859538800965E-2</v>
      </c>
      <c r="AS364" s="49">
        <f t="shared" si="90"/>
        <v>8.8000781398909919E-2</v>
      </c>
      <c r="AT364" s="49">
        <f t="shared" si="90"/>
        <v>8.0000710362645402E-2</v>
      </c>
      <c r="AU364" s="49">
        <f t="shared" si="90"/>
        <v>7.272791851149582E-2</v>
      </c>
      <c r="AV364" s="49">
        <f t="shared" si="90"/>
        <v>6.6116289555905275E-2</v>
      </c>
      <c r="AW364" s="49">
        <f t="shared" si="90"/>
        <v>6.0105717778095702E-2</v>
      </c>
      <c r="AX364" s="49">
        <f t="shared" si="90"/>
        <v>5.4641561616450646E-2</v>
      </c>
      <c r="AY364" s="49">
        <f t="shared" si="90"/>
        <v>4.967414692404603E-2</v>
      </c>
      <c r="AZ364" s="49">
        <f t="shared" si="90"/>
        <v>4.5158315385496389E-2</v>
      </c>
      <c r="BA364" s="49">
        <f t="shared" si="90"/>
        <v>4.1053013986814886E-2</v>
      </c>
      <c r="BB364" s="49">
        <f t="shared" si="90"/>
        <v>3.7320921806195353E-2</v>
      </c>
      <c r="BC364" s="49">
        <f t="shared" si="90"/>
        <v>3.3928110732904866E-2</v>
      </c>
      <c r="BD364" s="49">
        <f t="shared" si="90"/>
        <v>3.0843737029913505E-2</v>
      </c>
      <c r="BE364" s="49">
        <f t="shared" si="90"/>
        <v>2.8039760936285012E-2</v>
      </c>
      <c r="BF364" s="49">
        <f t="shared" si="90"/>
        <v>2.5490691760259102E-2</v>
      </c>
      <c r="BG364" s="49">
        <f t="shared" si="90"/>
        <v>2.3173356145690084E-2</v>
      </c>
      <c r="BH364" s="49">
        <f t="shared" si="90"/>
        <v>2.1066687405172806E-2</v>
      </c>
      <c r="BI364" s="49">
        <f t="shared" si="90"/>
        <v>1.9151534004702545E-2</v>
      </c>
      <c r="BJ364" s="49">
        <f t="shared" si="90"/>
        <v>1.7410485458820502E-2</v>
      </c>
      <c r="BK364" s="49">
        <f t="shared" si="90"/>
        <v>1.5827714053473173E-2</v>
      </c>
      <c r="BL364" s="49">
        <f t="shared" si="90"/>
        <v>1.4388830957702884E-2</v>
      </c>
      <c r="BM364" s="49">
        <f t="shared" si="90"/>
        <v>1.3080755416093532E-2</v>
      </c>
      <c r="BN364" s="49">
        <f t="shared" si="90"/>
        <v>1.1891595832812305E-2</v>
      </c>
      <c r="BO364" s="49">
        <f t="shared" si="90"/>
        <v>1.0810541666193005E-2</v>
      </c>
      <c r="BP364" s="49">
        <f t="shared" si="90"/>
        <v>9.8277651510845412E-3</v>
      </c>
      <c r="BQ364" s="49">
        <f t="shared" si="90"/>
        <v>8.9343319555314025E-3</v>
      </c>
      <c r="BR364" s="49">
        <f t="shared" si="90"/>
        <v>8.1221199595740041E-3</v>
      </c>
      <c r="BS364" s="49">
        <f t="shared" si="90"/>
        <v>7.3837454177945487E-3</v>
      </c>
    </row>
    <row r="365" spans="1:93" outlineLevel="1" x14ac:dyDescent="0.2">
      <c r="J365" s="26"/>
      <c r="L365" s="55"/>
      <c r="M365" s="55"/>
      <c r="N365" s="55"/>
      <c r="O365" s="55"/>
      <c r="P365" s="55"/>
      <c r="Q365" s="55"/>
      <c r="R365" s="55"/>
      <c r="S365" s="55"/>
      <c r="T365" s="55"/>
      <c r="U365" s="55"/>
      <c r="V365" s="55"/>
      <c r="W365" s="55"/>
      <c r="X365" s="55"/>
      <c r="Y365" s="55"/>
      <c r="Z365" s="55"/>
      <c r="AA365" s="55"/>
      <c r="AB365" s="55"/>
      <c r="AC365" s="55"/>
      <c r="AD365" s="55"/>
      <c r="AE365" s="55"/>
      <c r="AF365" s="55"/>
      <c r="AG365" s="55"/>
      <c r="AH365" s="55"/>
      <c r="AI365" s="55"/>
      <c r="AJ365" s="55"/>
      <c r="AK365" s="55"/>
      <c r="AL365" s="55"/>
      <c r="AM365" s="55"/>
      <c r="AN365" s="55"/>
      <c r="AO365" s="55"/>
      <c r="AP365" s="55"/>
      <c r="AQ365" s="55"/>
      <c r="AR365" s="55"/>
      <c r="AS365" s="55"/>
      <c r="AT365" s="55"/>
      <c r="AU365" s="55"/>
      <c r="AV365" s="55"/>
      <c r="AW365" s="55"/>
      <c r="AX365" s="55"/>
      <c r="AY365" s="55"/>
      <c r="AZ365" s="55"/>
      <c r="BA365" s="55"/>
      <c r="BB365" s="55"/>
      <c r="BC365" s="55"/>
      <c r="BD365" s="55"/>
      <c r="BE365" s="55"/>
      <c r="BF365" s="55"/>
      <c r="BG365" s="55"/>
      <c r="BH365" s="55"/>
      <c r="BI365" s="55"/>
      <c r="BJ365" s="55"/>
      <c r="BK365" s="55"/>
      <c r="BL365" s="55"/>
      <c r="BM365" s="55"/>
      <c r="BN365" s="55"/>
      <c r="BO365" s="55"/>
      <c r="BP365" s="55"/>
      <c r="BQ365" s="55"/>
      <c r="BR365" s="55"/>
      <c r="BS365" s="55"/>
    </row>
    <row r="366" spans="1:93" outlineLevel="1" x14ac:dyDescent="0.2">
      <c r="J366" s="26"/>
      <c r="L366" s="55"/>
      <c r="M366" s="55"/>
      <c r="N366" s="55"/>
      <c r="O366" s="55"/>
      <c r="P366" s="55"/>
      <c r="Q366" s="55"/>
      <c r="R366" s="55"/>
      <c r="S366" s="55"/>
      <c r="T366" s="55"/>
      <c r="U366" s="55"/>
      <c r="V366" s="55"/>
      <c r="W366" s="55"/>
      <c r="X366" s="55"/>
      <c r="Y366" s="55"/>
      <c r="Z366" s="55"/>
      <c r="AA366" s="55"/>
      <c r="AB366" s="55"/>
      <c r="AC366" s="55"/>
      <c r="AD366" s="55"/>
      <c r="AE366" s="55"/>
      <c r="AF366" s="55"/>
      <c r="AG366" s="55"/>
      <c r="AH366" s="55"/>
      <c r="AI366" s="55"/>
      <c r="AJ366" s="55"/>
      <c r="AK366" s="55"/>
      <c r="AL366" s="55"/>
      <c r="AM366" s="55"/>
      <c r="AN366" s="55"/>
      <c r="AO366" s="55"/>
      <c r="AP366" s="55"/>
      <c r="AQ366" s="55"/>
      <c r="AR366" s="55"/>
      <c r="AS366" s="55"/>
      <c r="AT366" s="55"/>
      <c r="AU366" s="55"/>
      <c r="AV366" s="55"/>
      <c r="AW366" s="55"/>
      <c r="AX366" s="55"/>
      <c r="AY366" s="55"/>
      <c r="AZ366" s="55"/>
      <c r="BA366" s="55"/>
      <c r="BB366" s="55"/>
      <c r="BC366" s="55"/>
      <c r="BD366" s="55"/>
      <c r="BE366" s="55"/>
      <c r="BF366" s="55"/>
      <c r="BG366" s="55"/>
      <c r="BH366" s="55"/>
      <c r="BI366" s="55"/>
      <c r="BJ366" s="55"/>
      <c r="BK366" s="55"/>
      <c r="BL366" s="55"/>
      <c r="BM366" s="55"/>
      <c r="BN366" s="55"/>
      <c r="BO366" s="55"/>
      <c r="BP366" s="55"/>
      <c r="BQ366" s="55"/>
      <c r="BR366" s="55"/>
      <c r="BS366" s="55"/>
    </row>
    <row r="367" spans="1:93" outlineLevel="1" x14ac:dyDescent="0.2">
      <c r="A367" s="45"/>
      <c r="B367" s="38" t="s">
        <v>257</v>
      </c>
      <c r="C367" s="45"/>
      <c r="D367" s="45"/>
      <c r="E367" s="45"/>
      <c r="J367" s="26"/>
      <c r="L367" s="55"/>
      <c r="M367" s="55"/>
      <c r="N367" s="55"/>
      <c r="O367" s="55"/>
      <c r="P367" s="55"/>
      <c r="Q367" s="55"/>
      <c r="R367" s="55"/>
      <c r="S367" s="55"/>
      <c r="T367" s="55"/>
      <c r="U367" s="55"/>
      <c r="V367" s="55"/>
      <c r="W367" s="55"/>
      <c r="X367" s="55"/>
      <c r="Y367" s="55"/>
      <c r="Z367" s="55"/>
      <c r="AA367" s="55"/>
      <c r="AB367" s="55"/>
      <c r="AC367" s="55"/>
      <c r="AD367" s="55"/>
      <c r="AE367" s="55"/>
      <c r="AF367" s="55"/>
      <c r="AG367" s="55"/>
      <c r="AH367" s="55"/>
      <c r="AI367" s="55"/>
      <c r="AJ367" s="55"/>
      <c r="AK367" s="55"/>
      <c r="AL367" s="55"/>
      <c r="AM367" s="55"/>
      <c r="AN367" s="55"/>
      <c r="AO367" s="55"/>
      <c r="AP367" s="55"/>
      <c r="AQ367" s="55"/>
      <c r="AR367" s="55"/>
      <c r="AS367" s="55"/>
      <c r="AT367" s="55"/>
      <c r="AU367" s="55"/>
      <c r="AV367" s="55"/>
      <c r="AW367" s="55"/>
      <c r="AX367" s="55"/>
      <c r="AY367" s="55"/>
      <c r="AZ367" s="55"/>
      <c r="BA367" s="55"/>
      <c r="BB367" s="55"/>
      <c r="BC367" s="55"/>
      <c r="BD367" s="55"/>
      <c r="BE367" s="55"/>
      <c r="BF367" s="55"/>
      <c r="BG367" s="55"/>
      <c r="BH367" s="55"/>
      <c r="BI367" s="55"/>
      <c r="BJ367" s="55"/>
      <c r="BK367" s="55"/>
      <c r="BL367" s="55"/>
      <c r="BM367" s="55"/>
      <c r="BN367" s="55"/>
      <c r="BO367" s="55"/>
      <c r="BP367" s="55"/>
      <c r="BQ367" s="55"/>
      <c r="BR367" s="55"/>
      <c r="BS367" s="55"/>
    </row>
    <row r="368" spans="1:93" outlineLevel="1" x14ac:dyDescent="0.2">
      <c r="J368" s="26"/>
      <c r="L368" s="55"/>
      <c r="M368" s="55"/>
      <c r="N368" s="55"/>
      <c r="O368" s="55"/>
      <c r="P368" s="55"/>
      <c r="Q368" s="55"/>
      <c r="R368" s="55"/>
      <c r="S368" s="55"/>
      <c r="T368" s="55"/>
      <c r="U368" s="55"/>
      <c r="V368" s="55"/>
      <c r="W368" s="55"/>
      <c r="X368" s="55"/>
      <c r="Y368" s="55"/>
      <c r="Z368" s="55"/>
      <c r="AA368" s="55"/>
      <c r="AB368" s="55"/>
      <c r="AC368" s="55"/>
      <c r="AD368" s="55"/>
      <c r="AE368" s="55"/>
      <c r="AF368" s="55"/>
      <c r="AG368" s="55"/>
      <c r="AH368" s="55"/>
      <c r="AI368" s="55"/>
      <c r="AJ368" s="55"/>
      <c r="AK368" s="55"/>
      <c r="AL368" s="55"/>
      <c r="AM368" s="55"/>
      <c r="AN368" s="55"/>
      <c r="AO368" s="55"/>
      <c r="AP368" s="55"/>
      <c r="AQ368" s="55"/>
      <c r="AR368" s="55"/>
      <c r="AS368" s="55"/>
      <c r="AT368" s="55"/>
      <c r="AU368" s="55"/>
      <c r="AV368" s="55"/>
      <c r="AW368" s="55"/>
      <c r="AX368" s="55"/>
      <c r="AY368" s="55"/>
      <c r="AZ368" s="55"/>
      <c r="BA368" s="55"/>
      <c r="BB368" s="55"/>
      <c r="BC368" s="55"/>
      <c r="BD368" s="55"/>
      <c r="BE368" s="55"/>
      <c r="BF368" s="55"/>
      <c r="BG368" s="55"/>
      <c r="BH368" s="55"/>
      <c r="BI368" s="55"/>
      <c r="BJ368" s="55"/>
      <c r="BK368" s="55"/>
      <c r="BL368" s="55"/>
      <c r="BM368" s="55"/>
      <c r="BN368" s="55"/>
      <c r="BO368" s="55"/>
      <c r="BP368" s="55"/>
      <c r="BQ368" s="55"/>
      <c r="BR368" s="55"/>
      <c r="BS368" s="55"/>
    </row>
    <row r="369" spans="3:71" outlineLevel="1" x14ac:dyDescent="0.2">
      <c r="C369" t="s">
        <v>144</v>
      </c>
      <c r="J369" s="26"/>
      <c r="L369" s="55"/>
      <c r="M369" s="55"/>
      <c r="N369" s="55"/>
      <c r="O369" s="55"/>
      <c r="P369" s="55"/>
      <c r="Q369" s="55"/>
      <c r="R369" s="55"/>
      <c r="S369" s="55"/>
      <c r="T369" s="55"/>
      <c r="U369" s="55"/>
      <c r="V369" s="55"/>
      <c r="W369" s="55"/>
      <c r="X369" s="55"/>
      <c r="Y369" s="55"/>
      <c r="Z369" s="55"/>
      <c r="AA369" s="55"/>
      <c r="AB369" s="55"/>
      <c r="AC369" s="55"/>
      <c r="AD369" s="55"/>
      <c r="AE369" s="55"/>
      <c r="AF369" s="55"/>
      <c r="AG369" s="55"/>
      <c r="AH369" s="55"/>
      <c r="AI369" s="55"/>
      <c r="AJ369" s="55"/>
      <c r="AK369" s="55"/>
      <c r="AL369" s="55"/>
      <c r="AM369" s="55"/>
      <c r="AN369" s="55"/>
      <c r="AO369" s="55"/>
      <c r="AP369" s="55"/>
      <c r="AQ369" s="55"/>
      <c r="AR369" s="55"/>
      <c r="AS369" s="55"/>
      <c r="AT369" s="55"/>
      <c r="AU369" s="55"/>
      <c r="AV369" s="55"/>
      <c r="AW369" s="55"/>
      <c r="AX369" s="55"/>
      <c r="AY369" s="55"/>
      <c r="AZ369" s="55"/>
      <c r="BA369" s="55"/>
      <c r="BB369" s="55"/>
      <c r="BC369" s="55"/>
      <c r="BD369" s="55"/>
      <c r="BE369" s="55"/>
      <c r="BF369" s="55"/>
      <c r="BG369" s="55"/>
      <c r="BH369" s="55"/>
      <c r="BI369" s="55"/>
      <c r="BJ369" s="55"/>
      <c r="BK369" s="55"/>
      <c r="BL369" s="55"/>
      <c r="BM369" s="55"/>
      <c r="BN369" s="55"/>
      <c r="BO369" s="55"/>
      <c r="BP369" s="55"/>
      <c r="BQ369" s="55"/>
      <c r="BR369" s="55"/>
      <c r="BS369" s="55"/>
    </row>
    <row r="370" spans="3:71" outlineLevel="1" x14ac:dyDescent="0.2">
      <c r="D370" t="s">
        <v>258</v>
      </c>
      <c r="I370" s="30">
        <f t="shared" ref="I370:I372" ca="1" si="91">SUM($L370:$BS370)</f>
        <v>11683.664472381299</v>
      </c>
      <c r="J370" s="26" t="s">
        <v>148</v>
      </c>
      <c r="L370" s="49" cm="1">
        <f t="array" aca="1" ref="L370:BS370" ca="1">Loango_II!CA_gross_rev_oil_fp</f>
        <v>749.33748230811875</v>
      </c>
      <c r="M370" s="49">
        <f ca="1"/>
        <v>707.8459753529246</v>
      </c>
      <c r="N370" s="49">
        <f ca="1"/>
        <v>267.06236900108337</v>
      </c>
      <c r="O370" s="49">
        <f ca="1"/>
        <v>252.08282317336821</v>
      </c>
      <c r="P370" s="49">
        <f ca="1"/>
        <v>699.24129539791363</v>
      </c>
      <c r="Q370" s="49">
        <f ca="1"/>
        <v>1389.9328663921019</v>
      </c>
      <c r="R370" s="49">
        <f ca="1"/>
        <v>1326.7308635491613</v>
      </c>
      <c r="S370" s="49">
        <f ca="1"/>
        <v>770.17699371600008</v>
      </c>
      <c r="T370" s="49">
        <f ca="1"/>
        <v>1175.2312258964159</v>
      </c>
      <c r="U370" s="49">
        <f ca="1"/>
        <v>1173.1746984589799</v>
      </c>
      <c r="V370" s="49">
        <f ca="1"/>
        <v>1112.8735189581882</v>
      </c>
      <c r="W370" s="49">
        <f ca="1"/>
        <v>1058.5640716456105</v>
      </c>
      <c r="X370" s="49">
        <f ca="1"/>
        <v>1001.4102885314331</v>
      </c>
      <c r="Y370" s="49">
        <f ca="1"/>
        <v>0</v>
      </c>
      <c r="Z370" s="49">
        <f ca="1"/>
        <v>0</v>
      </c>
      <c r="AA370" s="49">
        <f ca="1"/>
        <v>0</v>
      </c>
      <c r="AB370" s="49">
        <f ca="1"/>
        <v>0</v>
      </c>
      <c r="AC370" s="49">
        <f ca="1"/>
        <v>0</v>
      </c>
      <c r="AD370" s="49">
        <f ca="1"/>
        <v>0</v>
      </c>
      <c r="AE370" s="49">
        <f ca="1"/>
        <v>0</v>
      </c>
      <c r="AF370" s="49">
        <f ca="1"/>
        <v>0</v>
      </c>
      <c r="AG370" s="49">
        <f ca="1"/>
        <v>0</v>
      </c>
      <c r="AH370" s="49">
        <f ca="1"/>
        <v>0</v>
      </c>
      <c r="AI370" s="49">
        <f ca="1"/>
        <v>0</v>
      </c>
      <c r="AJ370" s="49">
        <f ca="1"/>
        <v>0</v>
      </c>
      <c r="AK370" s="49">
        <f ca="1"/>
        <v>0</v>
      </c>
      <c r="AL370" s="49">
        <f ca="1"/>
        <v>0</v>
      </c>
      <c r="AM370" s="49">
        <f ca="1"/>
        <v>0</v>
      </c>
      <c r="AN370" s="49">
        <f ca="1"/>
        <v>0</v>
      </c>
      <c r="AO370" s="49">
        <f ca="1"/>
        <v>0</v>
      </c>
      <c r="AP370" s="49">
        <f ca="1"/>
        <v>0</v>
      </c>
      <c r="AQ370" s="49">
        <f ca="1"/>
        <v>0</v>
      </c>
      <c r="AR370" s="49">
        <f ca="1"/>
        <v>0</v>
      </c>
      <c r="AS370" s="49">
        <f ca="1"/>
        <v>0</v>
      </c>
      <c r="AT370" s="49">
        <f ca="1"/>
        <v>0</v>
      </c>
      <c r="AU370" s="49">
        <f ca="1"/>
        <v>0</v>
      </c>
      <c r="AV370" s="49">
        <f ca="1"/>
        <v>0</v>
      </c>
      <c r="AW370" s="49">
        <f ca="1"/>
        <v>0</v>
      </c>
      <c r="AX370" s="49">
        <f ca="1"/>
        <v>0</v>
      </c>
      <c r="AY370" s="49">
        <f ca="1"/>
        <v>0</v>
      </c>
      <c r="AZ370" s="49">
        <f ca="1"/>
        <v>0</v>
      </c>
      <c r="BA370" s="49">
        <f ca="1"/>
        <v>0</v>
      </c>
      <c r="BB370" s="49">
        <f ca="1"/>
        <v>0</v>
      </c>
      <c r="BC370" s="49">
        <f ca="1"/>
        <v>0</v>
      </c>
      <c r="BD370" s="49">
        <f ca="1"/>
        <v>0</v>
      </c>
      <c r="BE370" s="49">
        <f ca="1"/>
        <v>0</v>
      </c>
      <c r="BF370" s="49">
        <f ca="1"/>
        <v>0</v>
      </c>
      <c r="BG370" s="49">
        <f ca="1"/>
        <v>0</v>
      </c>
      <c r="BH370" s="49">
        <f ca="1"/>
        <v>0</v>
      </c>
      <c r="BI370" s="49">
        <f ca="1"/>
        <v>0</v>
      </c>
      <c r="BJ370" s="49">
        <f ca="1"/>
        <v>0</v>
      </c>
      <c r="BK370" s="49">
        <f ca="1"/>
        <v>0</v>
      </c>
      <c r="BL370" s="49">
        <f ca="1"/>
        <v>0</v>
      </c>
      <c r="BM370" s="49">
        <f ca="1"/>
        <v>0</v>
      </c>
      <c r="BN370" s="49">
        <f ca="1"/>
        <v>0</v>
      </c>
      <c r="BO370" s="49">
        <f ca="1"/>
        <v>0</v>
      </c>
      <c r="BP370" s="49">
        <f ca="1"/>
        <v>0</v>
      </c>
      <c r="BQ370" s="49">
        <f ca="1"/>
        <v>0</v>
      </c>
      <c r="BR370" s="49">
        <f ca="1"/>
        <v>0</v>
      </c>
      <c r="BS370" s="49">
        <f ca="1"/>
        <v>0</v>
      </c>
    </row>
    <row r="371" spans="3:71" outlineLevel="1" x14ac:dyDescent="0.2">
      <c r="D371" t="s">
        <v>259</v>
      </c>
      <c r="I371" s="30">
        <f t="shared" ca="1" si="91"/>
        <v>0</v>
      </c>
      <c r="J371" s="26" t="s">
        <v>148</v>
      </c>
      <c r="L371" s="49" cm="1">
        <f t="array" aca="1" ref="L371:BS371" ca="1">Loango_II!CA_gross_rev_gas_fp</f>
        <v>0</v>
      </c>
      <c r="M371" s="49">
        <f ca="1"/>
        <v>0</v>
      </c>
      <c r="N371" s="49">
        <f ca="1"/>
        <v>0</v>
      </c>
      <c r="O371" s="49">
        <f ca="1"/>
        <v>0</v>
      </c>
      <c r="P371" s="49">
        <f ca="1"/>
        <v>0</v>
      </c>
      <c r="Q371" s="49">
        <f ca="1"/>
        <v>0</v>
      </c>
      <c r="R371" s="49">
        <f ca="1"/>
        <v>0</v>
      </c>
      <c r="S371" s="49">
        <f ca="1"/>
        <v>0</v>
      </c>
      <c r="T371" s="49">
        <f ca="1"/>
        <v>0</v>
      </c>
      <c r="U371" s="49">
        <f ca="1"/>
        <v>0</v>
      </c>
      <c r="V371" s="49">
        <f ca="1"/>
        <v>0</v>
      </c>
      <c r="W371" s="49">
        <f ca="1"/>
        <v>0</v>
      </c>
      <c r="X371" s="49">
        <f ca="1"/>
        <v>0</v>
      </c>
      <c r="Y371" s="49">
        <f ca="1"/>
        <v>0</v>
      </c>
      <c r="Z371" s="49">
        <f ca="1"/>
        <v>0</v>
      </c>
      <c r="AA371" s="49">
        <f ca="1"/>
        <v>0</v>
      </c>
      <c r="AB371" s="49">
        <f ca="1"/>
        <v>0</v>
      </c>
      <c r="AC371" s="49">
        <f ca="1"/>
        <v>0</v>
      </c>
      <c r="AD371" s="49">
        <f ca="1"/>
        <v>0</v>
      </c>
      <c r="AE371" s="49">
        <f ca="1"/>
        <v>0</v>
      </c>
      <c r="AF371" s="49">
        <f ca="1"/>
        <v>0</v>
      </c>
      <c r="AG371" s="49">
        <f ca="1"/>
        <v>0</v>
      </c>
      <c r="AH371" s="49">
        <f ca="1"/>
        <v>0</v>
      </c>
      <c r="AI371" s="49">
        <f ca="1"/>
        <v>0</v>
      </c>
      <c r="AJ371" s="49">
        <f ca="1"/>
        <v>0</v>
      </c>
      <c r="AK371" s="49">
        <f ca="1"/>
        <v>0</v>
      </c>
      <c r="AL371" s="49">
        <f ca="1"/>
        <v>0</v>
      </c>
      <c r="AM371" s="49">
        <f ca="1"/>
        <v>0</v>
      </c>
      <c r="AN371" s="49">
        <f ca="1"/>
        <v>0</v>
      </c>
      <c r="AO371" s="49">
        <f ca="1"/>
        <v>0</v>
      </c>
      <c r="AP371" s="49">
        <f ca="1"/>
        <v>0</v>
      </c>
      <c r="AQ371" s="49">
        <f ca="1"/>
        <v>0</v>
      </c>
      <c r="AR371" s="49">
        <f ca="1"/>
        <v>0</v>
      </c>
      <c r="AS371" s="49">
        <f ca="1"/>
        <v>0</v>
      </c>
      <c r="AT371" s="49">
        <f ca="1"/>
        <v>0</v>
      </c>
      <c r="AU371" s="49">
        <f ca="1"/>
        <v>0</v>
      </c>
      <c r="AV371" s="49">
        <f ca="1"/>
        <v>0</v>
      </c>
      <c r="AW371" s="49">
        <f ca="1"/>
        <v>0</v>
      </c>
      <c r="AX371" s="49">
        <f ca="1"/>
        <v>0</v>
      </c>
      <c r="AY371" s="49">
        <f ca="1"/>
        <v>0</v>
      </c>
      <c r="AZ371" s="49">
        <f ca="1"/>
        <v>0</v>
      </c>
      <c r="BA371" s="49">
        <f ca="1"/>
        <v>0</v>
      </c>
      <c r="BB371" s="49">
        <f ca="1"/>
        <v>0</v>
      </c>
      <c r="BC371" s="49">
        <f ca="1"/>
        <v>0</v>
      </c>
      <c r="BD371" s="49">
        <f ca="1"/>
        <v>0</v>
      </c>
      <c r="BE371" s="49">
        <f ca="1"/>
        <v>0</v>
      </c>
      <c r="BF371" s="49">
        <f ca="1"/>
        <v>0</v>
      </c>
      <c r="BG371" s="49">
        <f ca="1"/>
        <v>0</v>
      </c>
      <c r="BH371" s="49">
        <f ca="1"/>
        <v>0</v>
      </c>
      <c r="BI371" s="49">
        <f ca="1"/>
        <v>0</v>
      </c>
      <c r="BJ371" s="49">
        <f ca="1"/>
        <v>0</v>
      </c>
      <c r="BK371" s="49">
        <f ca="1"/>
        <v>0</v>
      </c>
      <c r="BL371" s="49">
        <f ca="1"/>
        <v>0</v>
      </c>
      <c r="BM371" s="49">
        <f ca="1"/>
        <v>0</v>
      </c>
      <c r="BN371" s="49">
        <f ca="1"/>
        <v>0</v>
      </c>
      <c r="BO371" s="49">
        <f ca="1"/>
        <v>0</v>
      </c>
      <c r="BP371" s="49">
        <f ca="1"/>
        <v>0</v>
      </c>
      <c r="BQ371" s="49">
        <f ca="1"/>
        <v>0</v>
      </c>
      <c r="BR371" s="49">
        <f ca="1"/>
        <v>0</v>
      </c>
      <c r="BS371" s="49">
        <f ca="1"/>
        <v>0</v>
      </c>
    </row>
    <row r="372" spans="3:71" outlineLevel="1" x14ac:dyDescent="0.2">
      <c r="D372" s="11" t="s">
        <v>260</v>
      </c>
      <c r="I372" s="30">
        <f t="shared" ca="1" si="91"/>
        <v>11683.664472381299</v>
      </c>
      <c r="J372" s="26" t="s">
        <v>148</v>
      </c>
      <c r="L372" s="49">
        <f ca="1">SUM(L370:L371)</f>
        <v>749.33748230811875</v>
      </c>
      <c r="M372" s="49">
        <f t="shared" ref="M372:BS372" ca="1" si="92">SUM(M370:M371)</f>
        <v>707.8459753529246</v>
      </c>
      <c r="N372" s="49">
        <f t="shared" ca="1" si="92"/>
        <v>267.06236900108337</v>
      </c>
      <c r="O372" s="49">
        <f t="shared" ca="1" si="92"/>
        <v>252.08282317336821</v>
      </c>
      <c r="P372" s="49">
        <f t="shared" ca="1" si="92"/>
        <v>699.24129539791363</v>
      </c>
      <c r="Q372" s="49">
        <f t="shared" ca="1" si="92"/>
        <v>1389.9328663921019</v>
      </c>
      <c r="R372" s="49">
        <f t="shared" ca="1" si="92"/>
        <v>1326.7308635491613</v>
      </c>
      <c r="S372" s="49">
        <f t="shared" ca="1" si="92"/>
        <v>770.17699371600008</v>
      </c>
      <c r="T372" s="49">
        <f t="shared" ca="1" si="92"/>
        <v>1175.2312258964159</v>
      </c>
      <c r="U372" s="49">
        <f t="shared" ca="1" si="92"/>
        <v>1173.1746984589799</v>
      </c>
      <c r="V372" s="49">
        <f t="shared" ca="1" si="92"/>
        <v>1112.8735189581882</v>
      </c>
      <c r="W372" s="49">
        <f t="shared" ca="1" si="92"/>
        <v>1058.5640716456105</v>
      </c>
      <c r="X372" s="49">
        <f t="shared" ca="1" si="92"/>
        <v>1001.4102885314331</v>
      </c>
      <c r="Y372" s="49">
        <f t="shared" ca="1" si="92"/>
        <v>0</v>
      </c>
      <c r="Z372" s="49">
        <f t="shared" ca="1" si="92"/>
        <v>0</v>
      </c>
      <c r="AA372" s="49">
        <f t="shared" ca="1" si="92"/>
        <v>0</v>
      </c>
      <c r="AB372" s="49">
        <f t="shared" ca="1" si="92"/>
        <v>0</v>
      </c>
      <c r="AC372" s="49">
        <f t="shared" ca="1" si="92"/>
        <v>0</v>
      </c>
      <c r="AD372" s="49">
        <f t="shared" ca="1" si="92"/>
        <v>0</v>
      </c>
      <c r="AE372" s="49">
        <f t="shared" ca="1" si="92"/>
        <v>0</v>
      </c>
      <c r="AF372" s="49">
        <f t="shared" ca="1" si="92"/>
        <v>0</v>
      </c>
      <c r="AG372" s="49">
        <f t="shared" ca="1" si="92"/>
        <v>0</v>
      </c>
      <c r="AH372" s="49">
        <f t="shared" ca="1" si="92"/>
        <v>0</v>
      </c>
      <c r="AI372" s="49">
        <f t="shared" ca="1" si="92"/>
        <v>0</v>
      </c>
      <c r="AJ372" s="49">
        <f t="shared" ca="1" si="92"/>
        <v>0</v>
      </c>
      <c r="AK372" s="49">
        <f t="shared" ca="1" si="92"/>
        <v>0</v>
      </c>
      <c r="AL372" s="49">
        <f t="shared" ca="1" si="92"/>
        <v>0</v>
      </c>
      <c r="AM372" s="49">
        <f t="shared" ca="1" si="92"/>
        <v>0</v>
      </c>
      <c r="AN372" s="49">
        <f t="shared" ca="1" si="92"/>
        <v>0</v>
      </c>
      <c r="AO372" s="49">
        <f t="shared" ca="1" si="92"/>
        <v>0</v>
      </c>
      <c r="AP372" s="49">
        <f t="shared" ca="1" si="92"/>
        <v>0</v>
      </c>
      <c r="AQ372" s="49">
        <f t="shared" ca="1" si="92"/>
        <v>0</v>
      </c>
      <c r="AR372" s="49">
        <f t="shared" ca="1" si="92"/>
        <v>0</v>
      </c>
      <c r="AS372" s="49">
        <f t="shared" ca="1" si="92"/>
        <v>0</v>
      </c>
      <c r="AT372" s="49">
        <f t="shared" ca="1" si="92"/>
        <v>0</v>
      </c>
      <c r="AU372" s="49">
        <f t="shared" ca="1" si="92"/>
        <v>0</v>
      </c>
      <c r="AV372" s="49">
        <f t="shared" ca="1" si="92"/>
        <v>0</v>
      </c>
      <c r="AW372" s="49">
        <f t="shared" ca="1" si="92"/>
        <v>0</v>
      </c>
      <c r="AX372" s="49">
        <f t="shared" ca="1" si="92"/>
        <v>0</v>
      </c>
      <c r="AY372" s="49">
        <f t="shared" ca="1" si="92"/>
        <v>0</v>
      </c>
      <c r="AZ372" s="49">
        <f t="shared" ca="1" si="92"/>
        <v>0</v>
      </c>
      <c r="BA372" s="49">
        <f t="shared" ca="1" si="92"/>
        <v>0</v>
      </c>
      <c r="BB372" s="49">
        <f t="shared" ca="1" si="92"/>
        <v>0</v>
      </c>
      <c r="BC372" s="49">
        <f t="shared" ca="1" si="92"/>
        <v>0</v>
      </c>
      <c r="BD372" s="49">
        <f t="shared" ca="1" si="92"/>
        <v>0</v>
      </c>
      <c r="BE372" s="49">
        <f t="shared" ca="1" si="92"/>
        <v>0</v>
      </c>
      <c r="BF372" s="49">
        <f t="shared" ca="1" si="92"/>
        <v>0</v>
      </c>
      <c r="BG372" s="49">
        <f t="shared" ca="1" si="92"/>
        <v>0</v>
      </c>
      <c r="BH372" s="49">
        <f t="shared" ca="1" si="92"/>
        <v>0</v>
      </c>
      <c r="BI372" s="49">
        <f t="shared" ca="1" si="92"/>
        <v>0</v>
      </c>
      <c r="BJ372" s="49">
        <f t="shared" ca="1" si="92"/>
        <v>0</v>
      </c>
      <c r="BK372" s="49">
        <f t="shared" ca="1" si="92"/>
        <v>0</v>
      </c>
      <c r="BL372" s="49">
        <f t="shared" ca="1" si="92"/>
        <v>0</v>
      </c>
      <c r="BM372" s="49">
        <f t="shared" ca="1" si="92"/>
        <v>0</v>
      </c>
      <c r="BN372" s="49">
        <f t="shared" ca="1" si="92"/>
        <v>0</v>
      </c>
      <c r="BO372" s="49">
        <f t="shared" ca="1" si="92"/>
        <v>0</v>
      </c>
      <c r="BP372" s="49">
        <f t="shared" ca="1" si="92"/>
        <v>0</v>
      </c>
      <c r="BQ372" s="49">
        <f t="shared" ca="1" si="92"/>
        <v>0</v>
      </c>
      <c r="BR372" s="49">
        <f t="shared" ca="1" si="92"/>
        <v>0</v>
      </c>
      <c r="BS372" s="49">
        <f t="shared" ca="1" si="92"/>
        <v>0</v>
      </c>
    </row>
    <row r="373" spans="3:71" outlineLevel="1" x14ac:dyDescent="0.2">
      <c r="J373" s="26"/>
      <c r="L373" s="55"/>
      <c r="M373" s="55"/>
      <c r="N373" s="55"/>
      <c r="O373" s="55"/>
      <c r="P373" s="55"/>
      <c r="Q373" s="55"/>
      <c r="R373" s="55"/>
      <c r="S373" s="55"/>
      <c r="T373" s="55"/>
      <c r="U373" s="55"/>
      <c r="V373" s="55"/>
      <c r="W373" s="55"/>
      <c r="X373" s="55"/>
      <c r="Y373" s="55"/>
      <c r="Z373" s="55"/>
      <c r="AA373" s="55"/>
      <c r="AB373" s="55"/>
      <c r="AC373" s="55"/>
      <c r="AD373" s="55"/>
      <c r="AE373" s="55"/>
      <c r="AF373" s="55"/>
      <c r="AG373" s="55"/>
      <c r="AH373" s="55"/>
      <c r="AI373" s="55"/>
      <c r="AJ373" s="55"/>
      <c r="AK373" s="55"/>
      <c r="AL373" s="55"/>
      <c r="AM373" s="55"/>
      <c r="AN373" s="55"/>
      <c r="AO373" s="55"/>
      <c r="AP373" s="55"/>
      <c r="AQ373" s="55"/>
      <c r="AR373" s="55"/>
      <c r="AS373" s="55"/>
      <c r="AT373" s="55"/>
      <c r="AU373" s="55"/>
      <c r="AV373" s="55"/>
      <c r="AW373" s="55"/>
      <c r="AX373" s="55"/>
      <c r="AY373" s="55"/>
      <c r="AZ373" s="55"/>
      <c r="BA373" s="55"/>
      <c r="BB373" s="55"/>
      <c r="BC373" s="55"/>
      <c r="BD373" s="55"/>
      <c r="BE373" s="55"/>
      <c r="BF373" s="55"/>
      <c r="BG373" s="55"/>
      <c r="BH373" s="55"/>
      <c r="BI373" s="55"/>
      <c r="BJ373" s="55"/>
      <c r="BK373" s="55"/>
      <c r="BL373" s="55"/>
      <c r="BM373" s="55"/>
      <c r="BN373" s="55"/>
      <c r="BO373" s="55"/>
      <c r="BP373" s="55"/>
      <c r="BQ373" s="55"/>
      <c r="BR373" s="55"/>
      <c r="BS373" s="55"/>
    </row>
    <row r="374" spans="3:71" outlineLevel="1" x14ac:dyDescent="0.2">
      <c r="C374" t="s">
        <v>50</v>
      </c>
      <c r="J374" s="26"/>
      <c r="L374" s="55"/>
      <c r="M374" s="55"/>
      <c r="N374" s="55"/>
      <c r="O374" s="55"/>
      <c r="P374" s="55"/>
      <c r="Q374" s="55"/>
      <c r="R374" s="55"/>
      <c r="S374" s="55"/>
      <c r="T374" s="55"/>
      <c r="U374" s="55"/>
      <c r="V374" s="55"/>
      <c r="W374" s="55"/>
      <c r="X374" s="55"/>
      <c r="Y374" s="55"/>
      <c r="Z374" s="55"/>
      <c r="AA374" s="55"/>
      <c r="AB374" s="55"/>
      <c r="AC374" s="55"/>
      <c r="AD374" s="55"/>
      <c r="AE374" s="55"/>
      <c r="AF374" s="55"/>
      <c r="AG374" s="55"/>
      <c r="AH374" s="55"/>
      <c r="AI374" s="55"/>
      <c r="AJ374" s="55"/>
      <c r="AK374" s="55"/>
      <c r="AL374" s="55"/>
      <c r="AM374" s="55"/>
      <c r="AN374" s="55"/>
      <c r="AO374" s="55"/>
      <c r="AP374" s="55"/>
      <c r="AQ374" s="55"/>
      <c r="AR374" s="55"/>
      <c r="AS374" s="55"/>
      <c r="AT374" s="55"/>
      <c r="AU374" s="55"/>
      <c r="AV374" s="55"/>
      <c r="AW374" s="55"/>
      <c r="AX374" s="55"/>
      <c r="AY374" s="55"/>
      <c r="AZ374" s="55"/>
      <c r="BA374" s="55"/>
      <c r="BB374" s="55"/>
      <c r="BC374" s="55"/>
      <c r="BD374" s="55"/>
      <c r="BE374" s="55"/>
      <c r="BF374" s="55"/>
      <c r="BG374" s="55"/>
      <c r="BH374" s="55"/>
      <c r="BI374" s="55"/>
      <c r="BJ374" s="55"/>
      <c r="BK374" s="55"/>
      <c r="BL374" s="55"/>
      <c r="BM374" s="55"/>
      <c r="BN374" s="55"/>
      <c r="BO374" s="55"/>
      <c r="BP374" s="55"/>
      <c r="BQ374" s="55"/>
      <c r="BR374" s="55"/>
      <c r="BS374" s="55"/>
    </row>
    <row r="375" spans="3:71" outlineLevel="1" x14ac:dyDescent="0.2">
      <c r="D375" t="s">
        <v>261</v>
      </c>
      <c r="I375" s="30">
        <f t="shared" ref="I375:I377" ca="1" si="93">SUM($L375:$BS375)</f>
        <v>0</v>
      </c>
      <c r="J375" s="26" t="s">
        <v>148</v>
      </c>
      <c r="L375" s="49" cm="1">
        <f t="array" aca="1" ref="L375:BS375" ca="1">Loango_II!CA_fixedopex_nom</f>
        <v>0</v>
      </c>
      <c r="M375" s="49">
        <f ca="1"/>
        <v>0</v>
      </c>
      <c r="N375" s="49">
        <f ca="1"/>
        <v>0</v>
      </c>
      <c r="O375" s="49">
        <f ca="1"/>
        <v>0</v>
      </c>
      <c r="P375" s="49">
        <f ca="1"/>
        <v>0</v>
      </c>
      <c r="Q375" s="49">
        <f ca="1"/>
        <v>0</v>
      </c>
      <c r="R375" s="49">
        <f ca="1"/>
        <v>0</v>
      </c>
      <c r="S375" s="49">
        <f ca="1"/>
        <v>0</v>
      </c>
      <c r="T375" s="49">
        <f ca="1"/>
        <v>0</v>
      </c>
      <c r="U375" s="49">
        <f ca="1"/>
        <v>0</v>
      </c>
      <c r="V375" s="49">
        <f ca="1"/>
        <v>0</v>
      </c>
      <c r="W375" s="49">
        <f ca="1"/>
        <v>0</v>
      </c>
      <c r="X375" s="49">
        <f ca="1"/>
        <v>0</v>
      </c>
      <c r="Y375" s="49">
        <f ca="1"/>
        <v>0</v>
      </c>
      <c r="Z375" s="49">
        <f ca="1"/>
        <v>0</v>
      </c>
      <c r="AA375" s="49">
        <f ca="1"/>
        <v>0</v>
      </c>
      <c r="AB375" s="49">
        <f ca="1"/>
        <v>0</v>
      </c>
      <c r="AC375" s="49">
        <f ca="1"/>
        <v>0</v>
      </c>
      <c r="AD375" s="49">
        <f ca="1"/>
        <v>0</v>
      </c>
      <c r="AE375" s="49">
        <f ca="1"/>
        <v>0</v>
      </c>
      <c r="AF375" s="49">
        <f ca="1"/>
        <v>0</v>
      </c>
      <c r="AG375" s="49">
        <f ca="1"/>
        <v>0</v>
      </c>
      <c r="AH375" s="49">
        <f ca="1"/>
        <v>0</v>
      </c>
      <c r="AI375" s="49">
        <f ca="1"/>
        <v>0</v>
      </c>
      <c r="AJ375" s="49">
        <f ca="1"/>
        <v>0</v>
      </c>
      <c r="AK375" s="49">
        <f ca="1"/>
        <v>0</v>
      </c>
      <c r="AL375" s="49">
        <f ca="1"/>
        <v>0</v>
      </c>
      <c r="AM375" s="49">
        <f ca="1"/>
        <v>0</v>
      </c>
      <c r="AN375" s="49">
        <f ca="1"/>
        <v>0</v>
      </c>
      <c r="AO375" s="49">
        <f ca="1"/>
        <v>0</v>
      </c>
      <c r="AP375" s="49">
        <f ca="1"/>
        <v>0</v>
      </c>
      <c r="AQ375" s="49">
        <f ca="1"/>
        <v>0</v>
      </c>
      <c r="AR375" s="49">
        <f ca="1"/>
        <v>0</v>
      </c>
      <c r="AS375" s="49">
        <f ca="1"/>
        <v>0</v>
      </c>
      <c r="AT375" s="49">
        <f ca="1"/>
        <v>0</v>
      </c>
      <c r="AU375" s="49">
        <f ca="1"/>
        <v>0</v>
      </c>
      <c r="AV375" s="49">
        <f ca="1"/>
        <v>0</v>
      </c>
      <c r="AW375" s="49">
        <f ca="1"/>
        <v>0</v>
      </c>
      <c r="AX375" s="49">
        <f ca="1"/>
        <v>0</v>
      </c>
      <c r="AY375" s="49">
        <f ca="1"/>
        <v>0</v>
      </c>
      <c r="AZ375" s="49">
        <f ca="1"/>
        <v>0</v>
      </c>
      <c r="BA375" s="49">
        <f ca="1"/>
        <v>0</v>
      </c>
      <c r="BB375" s="49">
        <f ca="1"/>
        <v>0</v>
      </c>
      <c r="BC375" s="49">
        <f ca="1"/>
        <v>0</v>
      </c>
      <c r="BD375" s="49">
        <f ca="1"/>
        <v>0</v>
      </c>
      <c r="BE375" s="49">
        <f ca="1"/>
        <v>0</v>
      </c>
      <c r="BF375" s="49">
        <f ca="1"/>
        <v>0</v>
      </c>
      <c r="BG375" s="49">
        <f ca="1"/>
        <v>0</v>
      </c>
      <c r="BH375" s="49">
        <f ca="1"/>
        <v>0</v>
      </c>
      <c r="BI375" s="49">
        <f ca="1"/>
        <v>0</v>
      </c>
      <c r="BJ375" s="49">
        <f ca="1"/>
        <v>0</v>
      </c>
      <c r="BK375" s="49">
        <f ca="1"/>
        <v>0</v>
      </c>
      <c r="BL375" s="49">
        <f ca="1"/>
        <v>0</v>
      </c>
      <c r="BM375" s="49">
        <f ca="1"/>
        <v>0</v>
      </c>
      <c r="BN375" s="49">
        <f ca="1"/>
        <v>0</v>
      </c>
      <c r="BO375" s="49">
        <f ca="1"/>
        <v>0</v>
      </c>
      <c r="BP375" s="49">
        <f ca="1"/>
        <v>0</v>
      </c>
      <c r="BQ375" s="49">
        <f ca="1"/>
        <v>0</v>
      </c>
      <c r="BR375" s="49">
        <f ca="1"/>
        <v>0</v>
      </c>
      <c r="BS375" s="49">
        <f ca="1"/>
        <v>0</v>
      </c>
    </row>
    <row r="376" spans="3:71" outlineLevel="1" x14ac:dyDescent="0.2">
      <c r="D376" t="s">
        <v>158</v>
      </c>
      <c r="I376" s="30">
        <f t="shared" ca="1" si="93"/>
        <v>3502.3183539519996</v>
      </c>
      <c r="J376" s="26" t="s">
        <v>148</v>
      </c>
      <c r="L376" s="49" cm="1">
        <f t="array" aca="1" ref="L376:BS376" ca="1">Loango_II!CA_varopex_nom</f>
        <v>148.06899999999999</v>
      </c>
      <c r="M376" s="49">
        <f ca="1"/>
        <v>183.88499999999999</v>
      </c>
      <c r="N376" s="49">
        <f ca="1"/>
        <v>135.70400000000001</v>
      </c>
      <c r="O376" s="49">
        <f ca="1"/>
        <v>240.88499999999999</v>
      </c>
      <c r="P376" s="49">
        <f ca="1"/>
        <v>536.79</v>
      </c>
      <c r="Q376" s="49">
        <f ca="1"/>
        <v>243.78</v>
      </c>
      <c r="R376" s="49">
        <f ca="1"/>
        <v>281.8</v>
      </c>
      <c r="S376" s="49">
        <f ca="1"/>
        <v>286.3</v>
      </c>
      <c r="T376" s="49">
        <f ca="1"/>
        <v>283.39999999999998</v>
      </c>
      <c r="U376" s="49">
        <f ca="1"/>
        <v>286.21200000000005</v>
      </c>
      <c r="V376" s="49">
        <f ca="1"/>
        <v>289.02312000000001</v>
      </c>
      <c r="W376" s="49">
        <f ca="1"/>
        <v>291.8322</v>
      </c>
      <c r="X376" s="49">
        <f ca="1"/>
        <v>294.638033952</v>
      </c>
      <c r="Y376" s="49">
        <f ca="1"/>
        <v>0</v>
      </c>
      <c r="Z376" s="49">
        <f ca="1"/>
        <v>0</v>
      </c>
      <c r="AA376" s="49">
        <f ca="1"/>
        <v>0</v>
      </c>
      <c r="AB376" s="49">
        <f ca="1"/>
        <v>0</v>
      </c>
      <c r="AC376" s="49">
        <f ca="1"/>
        <v>0</v>
      </c>
      <c r="AD376" s="49">
        <f ca="1"/>
        <v>0</v>
      </c>
      <c r="AE376" s="49">
        <f ca="1"/>
        <v>0</v>
      </c>
      <c r="AF376" s="49">
        <f ca="1"/>
        <v>0</v>
      </c>
      <c r="AG376" s="49">
        <f ca="1"/>
        <v>0</v>
      </c>
      <c r="AH376" s="49">
        <f ca="1"/>
        <v>0</v>
      </c>
      <c r="AI376" s="49">
        <f ca="1"/>
        <v>0</v>
      </c>
      <c r="AJ376" s="49">
        <f ca="1"/>
        <v>0</v>
      </c>
      <c r="AK376" s="49">
        <f ca="1"/>
        <v>0</v>
      </c>
      <c r="AL376" s="49">
        <f ca="1"/>
        <v>0</v>
      </c>
      <c r="AM376" s="49">
        <f ca="1"/>
        <v>0</v>
      </c>
      <c r="AN376" s="49">
        <f ca="1"/>
        <v>0</v>
      </c>
      <c r="AO376" s="49">
        <f ca="1"/>
        <v>0</v>
      </c>
      <c r="AP376" s="49">
        <f ca="1"/>
        <v>0</v>
      </c>
      <c r="AQ376" s="49">
        <f ca="1"/>
        <v>0</v>
      </c>
      <c r="AR376" s="49">
        <f ca="1"/>
        <v>0</v>
      </c>
      <c r="AS376" s="49">
        <f ca="1"/>
        <v>0</v>
      </c>
      <c r="AT376" s="49">
        <f ca="1"/>
        <v>0</v>
      </c>
      <c r="AU376" s="49">
        <f ca="1"/>
        <v>0</v>
      </c>
      <c r="AV376" s="49">
        <f ca="1"/>
        <v>0</v>
      </c>
      <c r="AW376" s="49">
        <f ca="1"/>
        <v>0</v>
      </c>
      <c r="AX376" s="49">
        <f ca="1"/>
        <v>0</v>
      </c>
      <c r="AY376" s="49">
        <f ca="1"/>
        <v>0</v>
      </c>
      <c r="AZ376" s="49">
        <f ca="1"/>
        <v>0</v>
      </c>
      <c r="BA376" s="49">
        <f ca="1"/>
        <v>0</v>
      </c>
      <c r="BB376" s="49">
        <f ca="1"/>
        <v>0</v>
      </c>
      <c r="BC376" s="49">
        <f ca="1"/>
        <v>0</v>
      </c>
      <c r="BD376" s="49">
        <f ca="1"/>
        <v>0</v>
      </c>
      <c r="BE376" s="49">
        <f ca="1"/>
        <v>0</v>
      </c>
      <c r="BF376" s="49">
        <f ca="1"/>
        <v>0</v>
      </c>
      <c r="BG376" s="49">
        <f ca="1"/>
        <v>0</v>
      </c>
      <c r="BH376" s="49">
        <f ca="1"/>
        <v>0</v>
      </c>
      <c r="BI376" s="49">
        <f ca="1"/>
        <v>0</v>
      </c>
      <c r="BJ376" s="49">
        <f ca="1"/>
        <v>0</v>
      </c>
      <c r="BK376" s="49">
        <f ca="1"/>
        <v>0</v>
      </c>
      <c r="BL376" s="49">
        <f ca="1"/>
        <v>0</v>
      </c>
      <c r="BM376" s="49">
        <f ca="1"/>
        <v>0</v>
      </c>
      <c r="BN376" s="49">
        <f ca="1"/>
        <v>0</v>
      </c>
      <c r="BO376" s="49">
        <f ca="1"/>
        <v>0</v>
      </c>
      <c r="BP376" s="49">
        <f ca="1"/>
        <v>0</v>
      </c>
      <c r="BQ376" s="49">
        <f ca="1"/>
        <v>0</v>
      </c>
      <c r="BR376" s="49">
        <f ca="1"/>
        <v>0</v>
      </c>
      <c r="BS376" s="49">
        <f ca="1"/>
        <v>0</v>
      </c>
    </row>
    <row r="377" spans="3:71" outlineLevel="1" x14ac:dyDescent="0.2">
      <c r="D377" s="11" t="s">
        <v>165</v>
      </c>
      <c r="I377" s="30">
        <f t="shared" ca="1" si="93"/>
        <v>3502.3183539519996</v>
      </c>
      <c r="J377" s="26" t="s">
        <v>148</v>
      </c>
      <c r="L377" s="49">
        <f ca="1">SUM(L375:L376)</f>
        <v>148.06899999999999</v>
      </c>
      <c r="M377" s="49">
        <f t="shared" ref="M377:BS377" ca="1" si="94">SUM(M375:M376)</f>
        <v>183.88499999999999</v>
      </c>
      <c r="N377" s="49">
        <f t="shared" ca="1" si="94"/>
        <v>135.70400000000001</v>
      </c>
      <c r="O377" s="49">
        <f t="shared" ca="1" si="94"/>
        <v>240.88499999999999</v>
      </c>
      <c r="P377" s="49">
        <f t="shared" ca="1" si="94"/>
        <v>536.79</v>
      </c>
      <c r="Q377" s="49">
        <f t="shared" ca="1" si="94"/>
        <v>243.78</v>
      </c>
      <c r="R377" s="49">
        <f t="shared" ca="1" si="94"/>
        <v>281.8</v>
      </c>
      <c r="S377" s="49">
        <f t="shared" ca="1" si="94"/>
        <v>286.3</v>
      </c>
      <c r="T377" s="49">
        <f t="shared" ca="1" si="94"/>
        <v>283.39999999999998</v>
      </c>
      <c r="U377" s="49">
        <f t="shared" ca="1" si="94"/>
        <v>286.21200000000005</v>
      </c>
      <c r="V377" s="49">
        <f t="shared" ca="1" si="94"/>
        <v>289.02312000000001</v>
      </c>
      <c r="W377" s="49">
        <f t="shared" ca="1" si="94"/>
        <v>291.8322</v>
      </c>
      <c r="X377" s="49">
        <f t="shared" ca="1" si="94"/>
        <v>294.638033952</v>
      </c>
      <c r="Y377" s="49">
        <f t="shared" ca="1" si="94"/>
        <v>0</v>
      </c>
      <c r="Z377" s="49">
        <f t="shared" ca="1" si="94"/>
        <v>0</v>
      </c>
      <c r="AA377" s="49">
        <f t="shared" ca="1" si="94"/>
        <v>0</v>
      </c>
      <c r="AB377" s="49">
        <f t="shared" ca="1" si="94"/>
        <v>0</v>
      </c>
      <c r="AC377" s="49">
        <f t="shared" ca="1" si="94"/>
        <v>0</v>
      </c>
      <c r="AD377" s="49">
        <f t="shared" ca="1" si="94"/>
        <v>0</v>
      </c>
      <c r="AE377" s="49">
        <f t="shared" ca="1" si="94"/>
        <v>0</v>
      </c>
      <c r="AF377" s="49">
        <f t="shared" ca="1" si="94"/>
        <v>0</v>
      </c>
      <c r="AG377" s="49">
        <f t="shared" ca="1" si="94"/>
        <v>0</v>
      </c>
      <c r="AH377" s="49">
        <f t="shared" ca="1" si="94"/>
        <v>0</v>
      </c>
      <c r="AI377" s="49">
        <f t="shared" ca="1" si="94"/>
        <v>0</v>
      </c>
      <c r="AJ377" s="49">
        <f t="shared" ca="1" si="94"/>
        <v>0</v>
      </c>
      <c r="AK377" s="49">
        <f t="shared" ca="1" si="94"/>
        <v>0</v>
      </c>
      <c r="AL377" s="49">
        <f t="shared" ca="1" si="94"/>
        <v>0</v>
      </c>
      <c r="AM377" s="49">
        <f t="shared" ca="1" si="94"/>
        <v>0</v>
      </c>
      <c r="AN377" s="49">
        <f t="shared" ca="1" si="94"/>
        <v>0</v>
      </c>
      <c r="AO377" s="49">
        <f t="shared" ca="1" si="94"/>
        <v>0</v>
      </c>
      <c r="AP377" s="49">
        <f t="shared" ca="1" si="94"/>
        <v>0</v>
      </c>
      <c r="AQ377" s="49">
        <f t="shared" ca="1" si="94"/>
        <v>0</v>
      </c>
      <c r="AR377" s="49">
        <f t="shared" ca="1" si="94"/>
        <v>0</v>
      </c>
      <c r="AS377" s="49">
        <f t="shared" ca="1" si="94"/>
        <v>0</v>
      </c>
      <c r="AT377" s="49">
        <f t="shared" ca="1" si="94"/>
        <v>0</v>
      </c>
      <c r="AU377" s="49">
        <f t="shared" ca="1" si="94"/>
        <v>0</v>
      </c>
      <c r="AV377" s="49">
        <f t="shared" ca="1" si="94"/>
        <v>0</v>
      </c>
      <c r="AW377" s="49">
        <f t="shared" ca="1" si="94"/>
        <v>0</v>
      </c>
      <c r="AX377" s="49">
        <f t="shared" ca="1" si="94"/>
        <v>0</v>
      </c>
      <c r="AY377" s="49">
        <f t="shared" ca="1" si="94"/>
        <v>0</v>
      </c>
      <c r="AZ377" s="49">
        <f t="shared" ca="1" si="94"/>
        <v>0</v>
      </c>
      <c r="BA377" s="49">
        <f t="shared" ca="1" si="94"/>
        <v>0</v>
      </c>
      <c r="BB377" s="49">
        <f t="shared" ca="1" si="94"/>
        <v>0</v>
      </c>
      <c r="BC377" s="49">
        <f t="shared" ca="1" si="94"/>
        <v>0</v>
      </c>
      <c r="BD377" s="49">
        <f t="shared" ca="1" si="94"/>
        <v>0</v>
      </c>
      <c r="BE377" s="49">
        <f t="shared" ca="1" si="94"/>
        <v>0</v>
      </c>
      <c r="BF377" s="49">
        <f t="shared" ca="1" si="94"/>
        <v>0</v>
      </c>
      <c r="BG377" s="49">
        <f t="shared" ca="1" si="94"/>
        <v>0</v>
      </c>
      <c r="BH377" s="49">
        <f t="shared" ca="1" si="94"/>
        <v>0</v>
      </c>
      <c r="BI377" s="49">
        <f t="shared" ca="1" si="94"/>
        <v>0</v>
      </c>
      <c r="BJ377" s="49">
        <f t="shared" ca="1" si="94"/>
        <v>0</v>
      </c>
      <c r="BK377" s="49">
        <f t="shared" ca="1" si="94"/>
        <v>0</v>
      </c>
      <c r="BL377" s="49">
        <f t="shared" ca="1" si="94"/>
        <v>0</v>
      </c>
      <c r="BM377" s="49">
        <f t="shared" ca="1" si="94"/>
        <v>0</v>
      </c>
      <c r="BN377" s="49">
        <f t="shared" ca="1" si="94"/>
        <v>0</v>
      </c>
      <c r="BO377" s="49">
        <f t="shared" ca="1" si="94"/>
        <v>0</v>
      </c>
      <c r="BP377" s="49">
        <f t="shared" ca="1" si="94"/>
        <v>0</v>
      </c>
      <c r="BQ377" s="49">
        <f t="shared" ca="1" si="94"/>
        <v>0</v>
      </c>
      <c r="BR377" s="49">
        <f t="shared" ca="1" si="94"/>
        <v>0</v>
      </c>
      <c r="BS377" s="49">
        <f t="shared" ca="1" si="94"/>
        <v>0</v>
      </c>
    </row>
    <row r="378" spans="3:71" outlineLevel="1" x14ac:dyDescent="0.2">
      <c r="J378" s="26"/>
      <c r="L378" s="55"/>
      <c r="M378" s="55"/>
      <c r="N378" s="55"/>
      <c r="O378" s="55"/>
      <c r="P378" s="55"/>
      <c r="Q378" s="55"/>
      <c r="R378" s="55"/>
      <c r="S378" s="55"/>
      <c r="T378" s="55"/>
      <c r="U378" s="55"/>
      <c r="V378" s="55"/>
      <c r="W378" s="55"/>
      <c r="X378" s="55"/>
      <c r="Y378" s="55"/>
      <c r="Z378" s="55"/>
      <c r="AA378" s="55"/>
      <c r="AB378" s="55"/>
      <c r="AC378" s="55"/>
      <c r="AD378" s="55"/>
      <c r="AE378" s="55"/>
      <c r="AF378" s="55"/>
      <c r="AG378" s="55"/>
      <c r="AH378" s="55"/>
      <c r="AI378" s="55"/>
      <c r="AJ378" s="55"/>
      <c r="AK378" s="55"/>
      <c r="AL378" s="55"/>
      <c r="AM378" s="55"/>
      <c r="AN378" s="55"/>
      <c r="AO378" s="55"/>
      <c r="AP378" s="55"/>
      <c r="AQ378" s="55"/>
      <c r="AR378" s="55"/>
      <c r="AS378" s="55"/>
      <c r="AT378" s="55"/>
      <c r="AU378" s="55"/>
      <c r="AV378" s="55"/>
      <c r="AW378" s="55"/>
      <c r="AX378" s="55"/>
      <c r="AY378" s="55"/>
      <c r="AZ378" s="55"/>
      <c r="BA378" s="55"/>
      <c r="BB378" s="55"/>
      <c r="BC378" s="55"/>
      <c r="BD378" s="55"/>
      <c r="BE378" s="55"/>
      <c r="BF378" s="55"/>
      <c r="BG378" s="55"/>
      <c r="BH378" s="55"/>
      <c r="BI378" s="55"/>
      <c r="BJ378" s="55"/>
      <c r="BK378" s="55"/>
      <c r="BL378" s="55"/>
      <c r="BM378" s="55"/>
      <c r="BN378" s="55"/>
      <c r="BO378" s="55"/>
      <c r="BP378" s="55"/>
      <c r="BQ378" s="55"/>
      <c r="BR378" s="55"/>
      <c r="BS378" s="55"/>
    </row>
    <row r="379" spans="3:71" outlineLevel="1" x14ac:dyDescent="0.2">
      <c r="C379" t="s">
        <v>262</v>
      </c>
      <c r="J379" s="26"/>
      <c r="L379" s="55"/>
      <c r="M379" s="55"/>
      <c r="N379" s="55"/>
      <c r="O379" s="55"/>
      <c r="P379" s="55"/>
      <c r="Q379" s="55"/>
      <c r="R379" s="55"/>
      <c r="S379" s="55"/>
      <c r="T379" s="55"/>
      <c r="U379" s="55"/>
      <c r="V379" s="55"/>
      <c r="W379" s="55"/>
      <c r="X379" s="55"/>
      <c r="Y379" s="55"/>
      <c r="Z379" s="55"/>
      <c r="AA379" s="55"/>
      <c r="AB379" s="55"/>
      <c r="AC379" s="55"/>
      <c r="AD379" s="55"/>
      <c r="AE379" s="55"/>
      <c r="AF379" s="55"/>
      <c r="AG379" s="55"/>
      <c r="AH379" s="55"/>
      <c r="AI379" s="55"/>
      <c r="AJ379" s="55"/>
      <c r="AK379" s="55"/>
      <c r="AL379" s="55"/>
      <c r="AM379" s="55"/>
      <c r="AN379" s="55"/>
      <c r="AO379" s="55"/>
      <c r="AP379" s="55"/>
      <c r="AQ379" s="55"/>
      <c r="AR379" s="55"/>
      <c r="AS379" s="55"/>
      <c r="AT379" s="55"/>
      <c r="AU379" s="55"/>
      <c r="AV379" s="55"/>
      <c r="AW379" s="55"/>
      <c r="AX379" s="55"/>
      <c r="AY379" s="55"/>
      <c r="AZ379" s="55"/>
      <c r="BA379" s="55"/>
      <c r="BB379" s="55"/>
      <c r="BC379" s="55"/>
      <c r="BD379" s="55"/>
      <c r="BE379" s="55"/>
      <c r="BF379" s="55"/>
      <c r="BG379" s="55"/>
      <c r="BH379" s="55"/>
      <c r="BI379" s="55"/>
      <c r="BJ379" s="55"/>
      <c r="BK379" s="55"/>
      <c r="BL379" s="55"/>
      <c r="BM379" s="55"/>
      <c r="BN379" s="55"/>
      <c r="BO379" s="55"/>
      <c r="BP379" s="55"/>
      <c r="BQ379" s="55"/>
      <c r="BR379" s="55"/>
      <c r="BS379" s="55"/>
    </row>
    <row r="380" spans="3:71" outlineLevel="1" x14ac:dyDescent="0.2">
      <c r="D380" t="s">
        <v>263</v>
      </c>
      <c r="I380" s="30">
        <f t="shared" ref="I380:I385" ca="1" si="95">SUM($L380:$BS380)</f>
        <v>0</v>
      </c>
      <c r="J380" s="26" t="s">
        <v>148</v>
      </c>
      <c r="L380" s="49" cm="1">
        <f t="array" aca="1" ref="L380:BS380" ca="1">Loango_II!CA_expex_nom</f>
        <v>0</v>
      </c>
      <c r="M380" s="49">
        <f ca="1"/>
        <v>0</v>
      </c>
      <c r="N380" s="49">
        <f ca="1"/>
        <v>0</v>
      </c>
      <c r="O380" s="49">
        <f ca="1"/>
        <v>0</v>
      </c>
      <c r="P380" s="49">
        <f ca="1"/>
        <v>0</v>
      </c>
      <c r="Q380" s="49">
        <f ca="1"/>
        <v>0</v>
      </c>
      <c r="R380" s="49">
        <f ca="1"/>
        <v>0</v>
      </c>
      <c r="S380" s="49">
        <f ca="1"/>
        <v>0</v>
      </c>
      <c r="T380" s="49">
        <f ca="1"/>
        <v>0</v>
      </c>
      <c r="U380" s="49">
        <f ca="1"/>
        <v>0</v>
      </c>
      <c r="V380" s="49">
        <f ca="1"/>
        <v>0</v>
      </c>
      <c r="W380" s="49">
        <f ca="1"/>
        <v>0</v>
      </c>
      <c r="X380" s="49">
        <f ca="1"/>
        <v>0</v>
      </c>
      <c r="Y380" s="49">
        <f ca="1"/>
        <v>0</v>
      </c>
      <c r="Z380" s="49">
        <f ca="1"/>
        <v>0</v>
      </c>
      <c r="AA380" s="49">
        <f ca="1"/>
        <v>0</v>
      </c>
      <c r="AB380" s="49">
        <f ca="1"/>
        <v>0</v>
      </c>
      <c r="AC380" s="49">
        <f ca="1"/>
        <v>0</v>
      </c>
      <c r="AD380" s="49">
        <f ca="1"/>
        <v>0</v>
      </c>
      <c r="AE380" s="49">
        <f ca="1"/>
        <v>0</v>
      </c>
      <c r="AF380" s="49">
        <f ca="1"/>
        <v>0</v>
      </c>
      <c r="AG380" s="49">
        <f ca="1"/>
        <v>0</v>
      </c>
      <c r="AH380" s="49">
        <f ca="1"/>
        <v>0</v>
      </c>
      <c r="AI380" s="49">
        <f ca="1"/>
        <v>0</v>
      </c>
      <c r="AJ380" s="49">
        <f ca="1"/>
        <v>0</v>
      </c>
      <c r="AK380" s="49">
        <f ca="1"/>
        <v>0</v>
      </c>
      <c r="AL380" s="49">
        <f ca="1"/>
        <v>0</v>
      </c>
      <c r="AM380" s="49">
        <f ca="1"/>
        <v>0</v>
      </c>
      <c r="AN380" s="49">
        <f ca="1"/>
        <v>0</v>
      </c>
      <c r="AO380" s="49">
        <f ca="1"/>
        <v>0</v>
      </c>
      <c r="AP380" s="49">
        <f ca="1"/>
        <v>0</v>
      </c>
      <c r="AQ380" s="49">
        <f ca="1"/>
        <v>0</v>
      </c>
      <c r="AR380" s="49">
        <f ca="1"/>
        <v>0</v>
      </c>
      <c r="AS380" s="49">
        <f ca="1"/>
        <v>0</v>
      </c>
      <c r="AT380" s="49">
        <f ca="1"/>
        <v>0</v>
      </c>
      <c r="AU380" s="49">
        <f ca="1"/>
        <v>0</v>
      </c>
      <c r="AV380" s="49">
        <f ca="1"/>
        <v>0</v>
      </c>
      <c r="AW380" s="49">
        <f ca="1"/>
        <v>0</v>
      </c>
      <c r="AX380" s="49">
        <f ca="1"/>
        <v>0</v>
      </c>
      <c r="AY380" s="49">
        <f ca="1"/>
        <v>0</v>
      </c>
      <c r="AZ380" s="49">
        <f ca="1"/>
        <v>0</v>
      </c>
      <c r="BA380" s="49">
        <f ca="1"/>
        <v>0</v>
      </c>
      <c r="BB380" s="49">
        <f ca="1"/>
        <v>0</v>
      </c>
      <c r="BC380" s="49">
        <f ca="1"/>
        <v>0</v>
      </c>
      <c r="BD380" s="49">
        <f ca="1"/>
        <v>0</v>
      </c>
      <c r="BE380" s="49">
        <f ca="1"/>
        <v>0</v>
      </c>
      <c r="BF380" s="49">
        <f ca="1"/>
        <v>0</v>
      </c>
      <c r="BG380" s="49">
        <f ca="1"/>
        <v>0</v>
      </c>
      <c r="BH380" s="49">
        <f ca="1"/>
        <v>0</v>
      </c>
      <c r="BI380" s="49">
        <f ca="1"/>
        <v>0</v>
      </c>
      <c r="BJ380" s="49">
        <f ca="1"/>
        <v>0</v>
      </c>
      <c r="BK380" s="49">
        <f ca="1"/>
        <v>0</v>
      </c>
      <c r="BL380" s="49">
        <f ca="1"/>
        <v>0</v>
      </c>
      <c r="BM380" s="49">
        <f ca="1"/>
        <v>0</v>
      </c>
      <c r="BN380" s="49">
        <f ca="1"/>
        <v>0</v>
      </c>
      <c r="BO380" s="49">
        <f ca="1"/>
        <v>0</v>
      </c>
      <c r="BP380" s="49">
        <f ca="1"/>
        <v>0</v>
      </c>
      <c r="BQ380" s="49">
        <f ca="1"/>
        <v>0</v>
      </c>
      <c r="BR380" s="49">
        <f ca="1"/>
        <v>0</v>
      </c>
      <c r="BS380" s="49">
        <f ca="1"/>
        <v>0</v>
      </c>
    </row>
    <row r="381" spans="3:71" outlineLevel="1" x14ac:dyDescent="0.2">
      <c r="D381" t="s">
        <v>57</v>
      </c>
      <c r="I381" s="30">
        <f t="shared" ca="1" si="95"/>
        <v>10913.591</v>
      </c>
      <c r="J381" s="26" t="s">
        <v>148</v>
      </c>
      <c r="L381" s="49" cm="1">
        <f t="array" aca="1" ref="L381:BS381" ca="1">Loango_II!CA_devex_nom</f>
        <v>1286.7819999999999</v>
      </c>
      <c r="M381" s="49">
        <f ca="1"/>
        <v>2118.212</v>
      </c>
      <c r="N381" s="49">
        <f ca="1"/>
        <v>3130.5740000000001</v>
      </c>
      <c r="O381" s="49">
        <f ca="1"/>
        <v>2571.201</v>
      </c>
      <c r="P381" s="49">
        <f ca="1"/>
        <v>1153.232</v>
      </c>
      <c r="Q381" s="49">
        <f ca="1"/>
        <v>653.59</v>
      </c>
      <c r="R381" s="49">
        <f ca="1"/>
        <v>0</v>
      </c>
      <c r="S381" s="49">
        <f ca="1"/>
        <v>0</v>
      </c>
      <c r="T381" s="49">
        <f ca="1"/>
        <v>0</v>
      </c>
      <c r="U381" s="49">
        <f ca="1"/>
        <v>0</v>
      </c>
      <c r="V381" s="49">
        <f ca="1"/>
        <v>0</v>
      </c>
      <c r="W381" s="49">
        <f ca="1"/>
        <v>0</v>
      </c>
      <c r="X381" s="49">
        <f ca="1"/>
        <v>0</v>
      </c>
      <c r="Y381" s="49">
        <f ca="1"/>
        <v>0</v>
      </c>
      <c r="Z381" s="49">
        <f ca="1"/>
        <v>0</v>
      </c>
      <c r="AA381" s="49">
        <f ca="1"/>
        <v>0</v>
      </c>
      <c r="AB381" s="49">
        <f ca="1"/>
        <v>0</v>
      </c>
      <c r="AC381" s="49">
        <f ca="1"/>
        <v>0</v>
      </c>
      <c r="AD381" s="49">
        <f ca="1"/>
        <v>0</v>
      </c>
      <c r="AE381" s="49">
        <f ca="1"/>
        <v>0</v>
      </c>
      <c r="AF381" s="49">
        <f ca="1"/>
        <v>0</v>
      </c>
      <c r="AG381" s="49">
        <f ca="1"/>
        <v>0</v>
      </c>
      <c r="AH381" s="49">
        <f ca="1"/>
        <v>0</v>
      </c>
      <c r="AI381" s="49">
        <f ca="1"/>
        <v>0</v>
      </c>
      <c r="AJ381" s="49">
        <f ca="1"/>
        <v>0</v>
      </c>
      <c r="AK381" s="49">
        <f ca="1"/>
        <v>0</v>
      </c>
      <c r="AL381" s="49">
        <f ca="1"/>
        <v>0</v>
      </c>
      <c r="AM381" s="49">
        <f ca="1"/>
        <v>0</v>
      </c>
      <c r="AN381" s="49">
        <f ca="1"/>
        <v>0</v>
      </c>
      <c r="AO381" s="49">
        <f ca="1"/>
        <v>0</v>
      </c>
      <c r="AP381" s="49">
        <f ca="1"/>
        <v>0</v>
      </c>
      <c r="AQ381" s="49">
        <f ca="1"/>
        <v>0</v>
      </c>
      <c r="AR381" s="49">
        <f ca="1"/>
        <v>0</v>
      </c>
      <c r="AS381" s="49">
        <f ca="1"/>
        <v>0</v>
      </c>
      <c r="AT381" s="49">
        <f ca="1"/>
        <v>0</v>
      </c>
      <c r="AU381" s="49">
        <f ca="1"/>
        <v>0</v>
      </c>
      <c r="AV381" s="49">
        <f ca="1"/>
        <v>0</v>
      </c>
      <c r="AW381" s="49">
        <f ca="1"/>
        <v>0</v>
      </c>
      <c r="AX381" s="49">
        <f ca="1"/>
        <v>0</v>
      </c>
      <c r="AY381" s="49">
        <f ca="1"/>
        <v>0</v>
      </c>
      <c r="AZ381" s="49">
        <f ca="1"/>
        <v>0</v>
      </c>
      <c r="BA381" s="49">
        <f ca="1"/>
        <v>0</v>
      </c>
      <c r="BB381" s="49">
        <f ca="1"/>
        <v>0</v>
      </c>
      <c r="BC381" s="49">
        <f ca="1"/>
        <v>0</v>
      </c>
      <c r="BD381" s="49">
        <f ca="1"/>
        <v>0</v>
      </c>
      <c r="BE381" s="49">
        <f ca="1"/>
        <v>0</v>
      </c>
      <c r="BF381" s="49">
        <f ca="1"/>
        <v>0</v>
      </c>
      <c r="BG381" s="49">
        <f ca="1"/>
        <v>0</v>
      </c>
      <c r="BH381" s="49">
        <f ca="1"/>
        <v>0</v>
      </c>
      <c r="BI381" s="49">
        <f ca="1"/>
        <v>0</v>
      </c>
      <c r="BJ381" s="49">
        <f ca="1"/>
        <v>0</v>
      </c>
      <c r="BK381" s="49">
        <f ca="1"/>
        <v>0</v>
      </c>
      <c r="BL381" s="49">
        <f ca="1"/>
        <v>0</v>
      </c>
      <c r="BM381" s="49">
        <f ca="1"/>
        <v>0</v>
      </c>
      <c r="BN381" s="49">
        <f ca="1"/>
        <v>0</v>
      </c>
      <c r="BO381" s="49">
        <f ca="1"/>
        <v>0</v>
      </c>
      <c r="BP381" s="49">
        <f ca="1"/>
        <v>0</v>
      </c>
      <c r="BQ381" s="49">
        <f ca="1"/>
        <v>0</v>
      </c>
      <c r="BR381" s="49">
        <f ca="1"/>
        <v>0</v>
      </c>
      <c r="BS381" s="49">
        <f ca="1"/>
        <v>0</v>
      </c>
    </row>
    <row r="382" spans="3:71" outlineLevel="1" x14ac:dyDescent="0.2">
      <c r="D382" t="s">
        <v>264</v>
      </c>
      <c r="I382" s="30">
        <f t="shared" ca="1" si="95"/>
        <v>0</v>
      </c>
      <c r="J382" s="26" t="s">
        <v>148</v>
      </c>
      <c r="L382" s="49" cm="1">
        <f t="array" aca="1" ref="L382:BS382" ca="1">Loango_II!CA_decom_nom</f>
        <v>0</v>
      </c>
      <c r="M382" s="49">
        <f ca="1"/>
        <v>0</v>
      </c>
      <c r="N382" s="49">
        <f ca="1"/>
        <v>0</v>
      </c>
      <c r="O382" s="49">
        <f ca="1"/>
        <v>0</v>
      </c>
      <c r="P382" s="49">
        <f ca="1"/>
        <v>0</v>
      </c>
      <c r="Q382" s="49">
        <f ca="1"/>
        <v>0</v>
      </c>
      <c r="R382" s="49">
        <f ca="1"/>
        <v>0</v>
      </c>
      <c r="S382" s="49">
        <f ca="1"/>
        <v>0</v>
      </c>
      <c r="T382" s="49">
        <f ca="1"/>
        <v>0</v>
      </c>
      <c r="U382" s="49">
        <f ca="1"/>
        <v>0</v>
      </c>
      <c r="V382" s="49">
        <f ca="1"/>
        <v>0</v>
      </c>
      <c r="W382" s="49">
        <f ca="1"/>
        <v>0</v>
      </c>
      <c r="X382" s="49">
        <f ca="1"/>
        <v>0</v>
      </c>
      <c r="Y382" s="49">
        <f ca="1"/>
        <v>0</v>
      </c>
      <c r="Z382" s="49">
        <f ca="1"/>
        <v>0</v>
      </c>
      <c r="AA382" s="49">
        <f ca="1"/>
        <v>0</v>
      </c>
      <c r="AB382" s="49">
        <f ca="1"/>
        <v>0</v>
      </c>
      <c r="AC382" s="49">
        <f ca="1"/>
        <v>0</v>
      </c>
      <c r="AD382" s="49">
        <f ca="1"/>
        <v>0</v>
      </c>
      <c r="AE382" s="49">
        <f ca="1"/>
        <v>0</v>
      </c>
      <c r="AF382" s="49">
        <f ca="1"/>
        <v>0</v>
      </c>
      <c r="AG382" s="49">
        <f ca="1"/>
        <v>0</v>
      </c>
      <c r="AH382" s="49">
        <f ca="1"/>
        <v>0</v>
      </c>
      <c r="AI382" s="49">
        <f ca="1"/>
        <v>0</v>
      </c>
      <c r="AJ382" s="49">
        <f ca="1"/>
        <v>0</v>
      </c>
      <c r="AK382" s="49">
        <f ca="1"/>
        <v>0</v>
      </c>
      <c r="AL382" s="49">
        <f ca="1"/>
        <v>0</v>
      </c>
      <c r="AM382" s="49">
        <f ca="1"/>
        <v>0</v>
      </c>
      <c r="AN382" s="49">
        <f ca="1"/>
        <v>0</v>
      </c>
      <c r="AO382" s="49">
        <f ca="1"/>
        <v>0</v>
      </c>
      <c r="AP382" s="49">
        <f ca="1"/>
        <v>0</v>
      </c>
      <c r="AQ382" s="49">
        <f ca="1"/>
        <v>0</v>
      </c>
      <c r="AR382" s="49">
        <f ca="1"/>
        <v>0</v>
      </c>
      <c r="AS382" s="49">
        <f ca="1"/>
        <v>0</v>
      </c>
      <c r="AT382" s="49">
        <f ca="1"/>
        <v>0</v>
      </c>
      <c r="AU382" s="49">
        <f ca="1"/>
        <v>0</v>
      </c>
      <c r="AV382" s="49">
        <f ca="1"/>
        <v>0</v>
      </c>
      <c r="AW382" s="49">
        <f ca="1"/>
        <v>0</v>
      </c>
      <c r="AX382" s="49">
        <f ca="1"/>
        <v>0</v>
      </c>
      <c r="AY382" s="49">
        <f ca="1"/>
        <v>0</v>
      </c>
      <c r="AZ382" s="49">
        <f ca="1"/>
        <v>0</v>
      </c>
      <c r="BA382" s="49">
        <f ca="1"/>
        <v>0</v>
      </c>
      <c r="BB382" s="49">
        <f ca="1"/>
        <v>0</v>
      </c>
      <c r="BC382" s="49">
        <f ca="1"/>
        <v>0</v>
      </c>
      <c r="BD382" s="49">
        <f ca="1"/>
        <v>0</v>
      </c>
      <c r="BE382" s="49">
        <f ca="1"/>
        <v>0</v>
      </c>
      <c r="BF382" s="49">
        <f ca="1"/>
        <v>0</v>
      </c>
      <c r="BG382" s="49">
        <f ca="1"/>
        <v>0</v>
      </c>
      <c r="BH382" s="49">
        <f ca="1"/>
        <v>0</v>
      </c>
      <c r="BI382" s="49">
        <f ca="1"/>
        <v>0</v>
      </c>
      <c r="BJ382" s="49">
        <f ca="1"/>
        <v>0</v>
      </c>
      <c r="BK382" s="49">
        <f ca="1"/>
        <v>0</v>
      </c>
      <c r="BL382" s="49">
        <f ca="1"/>
        <v>0</v>
      </c>
      <c r="BM382" s="49">
        <f ca="1"/>
        <v>0</v>
      </c>
      <c r="BN382" s="49">
        <f ca="1"/>
        <v>0</v>
      </c>
      <c r="BO382" s="49">
        <f ca="1"/>
        <v>0</v>
      </c>
      <c r="BP382" s="49">
        <f ca="1"/>
        <v>0</v>
      </c>
      <c r="BQ382" s="49">
        <f ca="1"/>
        <v>0</v>
      </c>
      <c r="BR382" s="49">
        <f ca="1"/>
        <v>0</v>
      </c>
      <c r="BS382" s="49">
        <f ca="1"/>
        <v>0</v>
      </c>
    </row>
    <row r="383" spans="3:71" outlineLevel="1" x14ac:dyDescent="0.2">
      <c r="D383" s="11" t="s">
        <v>265</v>
      </c>
      <c r="I383" s="30">
        <f t="shared" ca="1" si="95"/>
        <v>10913.591</v>
      </c>
      <c r="J383" s="26" t="s">
        <v>148</v>
      </c>
      <c r="L383" s="49">
        <f ca="1">SUM(L380:L382)</f>
        <v>1286.7819999999999</v>
      </c>
      <c r="M383" s="49">
        <f t="shared" ref="M383:BS383" ca="1" si="96">SUM(M380:M382)</f>
        <v>2118.212</v>
      </c>
      <c r="N383" s="49">
        <f t="shared" ca="1" si="96"/>
        <v>3130.5740000000001</v>
      </c>
      <c r="O383" s="49">
        <f t="shared" ca="1" si="96"/>
        <v>2571.201</v>
      </c>
      <c r="P383" s="49">
        <f t="shared" ca="1" si="96"/>
        <v>1153.232</v>
      </c>
      <c r="Q383" s="49">
        <f t="shared" ca="1" si="96"/>
        <v>653.59</v>
      </c>
      <c r="R383" s="49">
        <f t="shared" ca="1" si="96"/>
        <v>0</v>
      </c>
      <c r="S383" s="49">
        <f t="shared" ca="1" si="96"/>
        <v>0</v>
      </c>
      <c r="T383" s="49">
        <f t="shared" ca="1" si="96"/>
        <v>0</v>
      </c>
      <c r="U383" s="49">
        <f t="shared" ca="1" si="96"/>
        <v>0</v>
      </c>
      <c r="V383" s="49">
        <f t="shared" ca="1" si="96"/>
        <v>0</v>
      </c>
      <c r="W383" s="49">
        <f t="shared" ca="1" si="96"/>
        <v>0</v>
      </c>
      <c r="X383" s="49">
        <f t="shared" ca="1" si="96"/>
        <v>0</v>
      </c>
      <c r="Y383" s="49">
        <f t="shared" ca="1" si="96"/>
        <v>0</v>
      </c>
      <c r="Z383" s="49">
        <f t="shared" ca="1" si="96"/>
        <v>0</v>
      </c>
      <c r="AA383" s="49">
        <f t="shared" ca="1" si="96"/>
        <v>0</v>
      </c>
      <c r="AB383" s="49">
        <f t="shared" ca="1" si="96"/>
        <v>0</v>
      </c>
      <c r="AC383" s="49">
        <f t="shared" ca="1" si="96"/>
        <v>0</v>
      </c>
      <c r="AD383" s="49">
        <f t="shared" ca="1" si="96"/>
        <v>0</v>
      </c>
      <c r="AE383" s="49">
        <f t="shared" ca="1" si="96"/>
        <v>0</v>
      </c>
      <c r="AF383" s="49">
        <f t="shared" ca="1" si="96"/>
        <v>0</v>
      </c>
      <c r="AG383" s="49">
        <f t="shared" ca="1" si="96"/>
        <v>0</v>
      </c>
      <c r="AH383" s="49">
        <f t="shared" ca="1" si="96"/>
        <v>0</v>
      </c>
      <c r="AI383" s="49">
        <f t="shared" ca="1" si="96"/>
        <v>0</v>
      </c>
      <c r="AJ383" s="49">
        <f t="shared" ca="1" si="96"/>
        <v>0</v>
      </c>
      <c r="AK383" s="49">
        <f t="shared" ca="1" si="96"/>
        <v>0</v>
      </c>
      <c r="AL383" s="49">
        <f t="shared" ca="1" si="96"/>
        <v>0</v>
      </c>
      <c r="AM383" s="49">
        <f t="shared" ca="1" si="96"/>
        <v>0</v>
      </c>
      <c r="AN383" s="49">
        <f t="shared" ca="1" si="96"/>
        <v>0</v>
      </c>
      <c r="AO383" s="49">
        <f t="shared" ca="1" si="96"/>
        <v>0</v>
      </c>
      <c r="AP383" s="49">
        <f t="shared" ca="1" si="96"/>
        <v>0</v>
      </c>
      <c r="AQ383" s="49">
        <f t="shared" ca="1" si="96"/>
        <v>0</v>
      </c>
      <c r="AR383" s="49">
        <f t="shared" ca="1" si="96"/>
        <v>0</v>
      </c>
      <c r="AS383" s="49">
        <f t="shared" ca="1" si="96"/>
        <v>0</v>
      </c>
      <c r="AT383" s="49">
        <f t="shared" ca="1" si="96"/>
        <v>0</v>
      </c>
      <c r="AU383" s="49">
        <f t="shared" ca="1" si="96"/>
        <v>0</v>
      </c>
      <c r="AV383" s="49">
        <f t="shared" ca="1" si="96"/>
        <v>0</v>
      </c>
      <c r="AW383" s="49">
        <f t="shared" ca="1" si="96"/>
        <v>0</v>
      </c>
      <c r="AX383" s="49">
        <f t="shared" ca="1" si="96"/>
        <v>0</v>
      </c>
      <c r="AY383" s="49">
        <f t="shared" ca="1" si="96"/>
        <v>0</v>
      </c>
      <c r="AZ383" s="49">
        <f t="shared" ca="1" si="96"/>
        <v>0</v>
      </c>
      <c r="BA383" s="49">
        <f t="shared" ca="1" si="96"/>
        <v>0</v>
      </c>
      <c r="BB383" s="49">
        <f t="shared" ca="1" si="96"/>
        <v>0</v>
      </c>
      <c r="BC383" s="49">
        <f t="shared" ca="1" si="96"/>
        <v>0</v>
      </c>
      <c r="BD383" s="49">
        <f t="shared" ca="1" si="96"/>
        <v>0</v>
      </c>
      <c r="BE383" s="49">
        <f t="shared" ca="1" si="96"/>
        <v>0</v>
      </c>
      <c r="BF383" s="49">
        <f t="shared" ca="1" si="96"/>
        <v>0</v>
      </c>
      <c r="BG383" s="49">
        <f t="shared" ca="1" si="96"/>
        <v>0</v>
      </c>
      <c r="BH383" s="49">
        <f t="shared" ca="1" si="96"/>
        <v>0</v>
      </c>
      <c r="BI383" s="49">
        <f t="shared" ca="1" si="96"/>
        <v>0</v>
      </c>
      <c r="BJ383" s="49">
        <f t="shared" ca="1" si="96"/>
        <v>0</v>
      </c>
      <c r="BK383" s="49">
        <f t="shared" ca="1" si="96"/>
        <v>0</v>
      </c>
      <c r="BL383" s="49">
        <f t="shared" ca="1" si="96"/>
        <v>0</v>
      </c>
      <c r="BM383" s="49">
        <f t="shared" ca="1" si="96"/>
        <v>0</v>
      </c>
      <c r="BN383" s="49">
        <f t="shared" ca="1" si="96"/>
        <v>0</v>
      </c>
      <c r="BO383" s="49">
        <f t="shared" ca="1" si="96"/>
        <v>0</v>
      </c>
      <c r="BP383" s="49">
        <f t="shared" ca="1" si="96"/>
        <v>0</v>
      </c>
      <c r="BQ383" s="49">
        <f t="shared" ca="1" si="96"/>
        <v>0</v>
      </c>
      <c r="BR383" s="49">
        <f t="shared" ca="1" si="96"/>
        <v>0</v>
      </c>
      <c r="BS383" s="49">
        <f t="shared" ca="1" si="96"/>
        <v>0</v>
      </c>
    </row>
    <row r="384" spans="3:71" outlineLevel="1" x14ac:dyDescent="0.2">
      <c r="J384" s="26"/>
      <c r="L384" s="55"/>
      <c r="M384" s="55"/>
      <c r="N384" s="55"/>
      <c r="O384" s="55"/>
      <c r="P384" s="55"/>
      <c r="Q384" s="55"/>
      <c r="R384" s="55"/>
      <c r="S384" s="55"/>
      <c r="T384" s="55"/>
      <c r="U384" s="55"/>
      <c r="V384" s="55"/>
      <c r="W384" s="55"/>
      <c r="X384" s="55"/>
      <c r="Y384" s="55"/>
      <c r="Z384" s="55"/>
      <c r="AA384" s="55"/>
      <c r="AB384" s="55"/>
      <c r="AC384" s="55"/>
      <c r="AD384" s="55"/>
      <c r="AE384" s="55"/>
      <c r="AF384" s="55"/>
      <c r="AG384" s="55"/>
      <c r="AH384" s="55"/>
      <c r="AI384" s="55"/>
      <c r="AJ384" s="55"/>
      <c r="AK384" s="55"/>
      <c r="AL384" s="55"/>
      <c r="AM384" s="55"/>
      <c r="AN384" s="55"/>
      <c r="AO384" s="55"/>
      <c r="AP384" s="55"/>
      <c r="AQ384" s="55"/>
      <c r="AR384" s="55"/>
      <c r="AS384" s="55"/>
      <c r="AT384" s="55"/>
      <c r="AU384" s="55"/>
      <c r="AV384" s="55"/>
      <c r="AW384" s="55"/>
      <c r="AX384" s="55"/>
      <c r="AY384" s="55"/>
      <c r="AZ384" s="55"/>
      <c r="BA384" s="55"/>
      <c r="BB384" s="55"/>
      <c r="BC384" s="55"/>
      <c r="BD384" s="55"/>
      <c r="BE384" s="55"/>
      <c r="BF384" s="55"/>
      <c r="BG384" s="55"/>
      <c r="BH384" s="55"/>
      <c r="BI384" s="55"/>
      <c r="BJ384" s="55"/>
      <c r="BK384" s="55"/>
      <c r="BL384" s="55"/>
      <c r="BM384" s="55"/>
      <c r="BN384" s="55"/>
      <c r="BO384" s="55"/>
      <c r="BP384" s="55"/>
      <c r="BQ384" s="55"/>
      <c r="BR384" s="55"/>
      <c r="BS384" s="55"/>
    </row>
    <row r="385" spans="1:71" outlineLevel="1" x14ac:dyDescent="0.2">
      <c r="C385" s="11" t="s">
        <v>257</v>
      </c>
      <c r="F385" s="79" t="b">
        <f ca="1">I385=KLL_II_2020!I423</f>
        <v>0</v>
      </c>
      <c r="I385" s="30">
        <f t="shared" ca="1" si="95"/>
        <v>-2732.2448815707012</v>
      </c>
      <c r="J385" s="26" t="s">
        <v>148</v>
      </c>
      <c r="L385" s="49">
        <f ca="1">L372-L377-L383</f>
        <v>-685.51351769188113</v>
      </c>
      <c r="M385" s="49">
        <f t="shared" ref="M385:BS385" ca="1" si="97">M372-M377-M383</f>
        <v>-1594.2510246470754</v>
      </c>
      <c r="N385" s="49">
        <f t="shared" ca="1" si="97"/>
        <v>-2999.2156309989168</v>
      </c>
      <c r="O385" s="49">
        <f t="shared" ca="1" si="97"/>
        <v>-2560.0031768266317</v>
      </c>
      <c r="P385" s="49">
        <f t="shared" ca="1" si="97"/>
        <v>-990.7807046020863</v>
      </c>
      <c r="Q385" s="49">
        <f t="shared" ca="1" si="97"/>
        <v>492.56286639210191</v>
      </c>
      <c r="R385" s="49">
        <f t="shared" ca="1" si="97"/>
        <v>1044.9308635491614</v>
      </c>
      <c r="S385" s="49">
        <f t="shared" ca="1" si="97"/>
        <v>483.87699371600007</v>
      </c>
      <c r="T385" s="49">
        <f t="shared" ca="1" si="97"/>
        <v>891.83122589641596</v>
      </c>
      <c r="U385" s="49">
        <f t="shared" ca="1" si="97"/>
        <v>886.96269845897996</v>
      </c>
      <c r="V385" s="49">
        <f t="shared" ca="1" si="97"/>
        <v>823.85039895818818</v>
      </c>
      <c r="W385" s="49">
        <f t="shared" ca="1" si="97"/>
        <v>766.73187164561045</v>
      </c>
      <c r="X385" s="49">
        <f t="shared" ca="1" si="97"/>
        <v>706.77225457943314</v>
      </c>
      <c r="Y385" s="49">
        <f t="shared" ca="1" si="97"/>
        <v>0</v>
      </c>
      <c r="Z385" s="49">
        <f t="shared" ca="1" si="97"/>
        <v>0</v>
      </c>
      <c r="AA385" s="49">
        <f t="shared" ca="1" si="97"/>
        <v>0</v>
      </c>
      <c r="AB385" s="49">
        <f t="shared" ca="1" si="97"/>
        <v>0</v>
      </c>
      <c r="AC385" s="49">
        <f t="shared" ca="1" si="97"/>
        <v>0</v>
      </c>
      <c r="AD385" s="49">
        <f t="shared" ca="1" si="97"/>
        <v>0</v>
      </c>
      <c r="AE385" s="49">
        <f t="shared" ca="1" si="97"/>
        <v>0</v>
      </c>
      <c r="AF385" s="49">
        <f t="shared" ca="1" si="97"/>
        <v>0</v>
      </c>
      <c r="AG385" s="49">
        <f t="shared" ca="1" si="97"/>
        <v>0</v>
      </c>
      <c r="AH385" s="49">
        <f t="shared" ca="1" si="97"/>
        <v>0</v>
      </c>
      <c r="AI385" s="49">
        <f t="shared" ca="1" si="97"/>
        <v>0</v>
      </c>
      <c r="AJ385" s="49">
        <f t="shared" ca="1" si="97"/>
        <v>0</v>
      </c>
      <c r="AK385" s="49">
        <f t="shared" ca="1" si="97"/>
        <v>0</v>
      </c>
      <c r="AL385" s="49">
        <f t="shared" ca="1" si="97"/>
        <v>0</v>
      </c>
      <c r="AM385" s="49">
        <f t="shared" ca="1" si="97"/>
        <v>0</v>
      </c>
      <c r="AN385" s="49">
        <f t="shared" ca="1" si="97"/>
        <v>0</v>
      </c>
      <c r="AO385" s="49">
        <f t="shared" ca="1" si="97"/>
        <v>0</v>
      </c>
      <c r="AP385" s="49">
        <f t="shared" ca="1" si="97"/>
        <v>0</v>
      </c>
      <c r="AQ385" s="49">
        <f t="shared" ca="1" si="97"/>
        <v>0</v>
      </c>
      <c r="AR385" s="49">
        <f t="shared" ca="1" si="97"/>
        <v>0</v>
      </c>
      <c r="AS385" s="49">
        <f t="shared" ca="1" si="97"/>
        <v>0</v>
      </c>
      <c r="AT385" s="49">
        <f t="shared" ca="1" si="97"/>
        <v>0</v>
      </c>
      <c r="AU385" s="49">
        <f t="shared" ca="1" si="97"/>
        <v>0</v>
      </c>
      <c r="AV385" s="49">
        <f t="shared" ca="1" si="97"/>
        <v>0</v>
      </c>
      <c r="AW385" s="49">
        <f t="shared" ca="1" si="97"/>
        <v>0</v>
      </c>
      <c r="AX385" s="49">
        <f t="shared" ca="1" si="97"/>
        <v>0</v>
      </c>
      <c r="AY385" s="49">
        <f t="shared" ca="1" si="97"/>
        <v>0</v>
      </c>
      <c r="AZ385" s="49">
        <f t="shared" ca="1" si="97"/>
        <v>0</v>
      </c>
      <c r="BA385" s="49">
        <f t="shared" ca="1" si="97"/>
        <v>0</v>
      </c>
      <c r="BB385" s="49">
        <f t="shared" ca="1" si="97"/>
        <v>0</v>
      </c>
      <c r="BC385" s="49">
        <f t="shared" ca="1" si="97"/>
        <v>0</v>
      </c>
      <c r="BD385" s="49">
        <f t="shared" ca="1" si="97"/>
        <v>0</v>
      </c>
      <c r="BE385" s="49">
        <f t="shared" ca="1" si="97"/>
        <v>0</v>
      </c>
      <c r="BF385" s="49">
        <f t="shared" ca="1" si="97"/>
        <v>0</v>
      </c>
      <c r="BG385" s="49">
        <f t="shared" ca="1" si="97"/>
        <v>0</v>
      </c>
      <c r="BH385" s="49">
        <f t="shared" ca="1" si="97"/>
        <v>0</v>
      </c>
      <c r="BI385" s="49">
        <f t="shared" ca="1" si="97"/>
        <v>0</v>
      </c>
      <c r="BJ385" s="49">
        <f t="shared" ca="1" si="97"/>
        <v>0</v>
      </c>
      <c r="BK385" s="49">
        <f t="shared" ca="1" si="97"/>
        <v>0</v>
      </c>
      <c r="BL385" s="49">
        <f t="shared" ca="1" si="97"/>
        <v>0</v>
      </c>
      <c r="BM385" s="49">
        <f t="shared" ca="1" si="97"/>
        <v>0</v>
      </c>
      <c r="BN385" s="49">
        <f t="shared" ca="1" si="97"/>
        <v>0</v>
      </c>
      <c r="BO385" s="49">
        <f t="shared" ca="1" si="97"/>
        <v>0</v>
      </c>
      <c r="BP385" s="49">
        <f t="shared" ca="1" si="97"/>
        <v>0</v>
      </c>
      <c r="BQ385" s="49">
        <f t="shared" ca="1" si="97"/>
        <v>0</v>
      </c>
      <c r="BR385" s="49">
        <f t="shared" ca="1" si="97"/>
        <v>0</v>
      </c>
      <c r="BS385" s="49">
        <f t="shared" ca="1" si="97"/>
        <v>0</v>
      </c>
    </row>
    <row r="386" spans="1:71" outlineLevel="1" x14ac:dyDescent="0.2">
      <c r="J386" s="26"/>
      <c r="L386" s="55"/>
      <c r="M386" s="55"/>
      <c r="N386" s="55"/>
      <c r="O386" s="55"/>
      <c r="P386" s="55"/>
      <c r="Q386" s="55"/>
      <c r="R386" s="55"/>
      <c r="S386" s="55"/>
      <c r="T386" s="55"/>
      <c r="U386" s="55"/>
      <c r="V386" s="55"/>
      <c r="W386" s="55"/>
      <c r="X386" s="55"/>
      <c r="Y386" s="55"/>
      <c r="Z386" s="55"/>
      <c r="AA386" s="55"/>
      <c r="AB386" s="55"/>
      <c r="AC386" s="55"/>
      <c r="AD386" s="55"/>
      <c r="AE386" s="55"/>
      <c r="AF386" s="55"/>
      <c r="AG386" s="55"/>
      <c r="AH386" s="55"/>
      <c r="AI386" s="55"/>
      <c r="AJ386" s="55"/>
      <c r="AK386" s="55"/>
      <c r="AL386" s="55"/>
      <c r="AM386" s="55"/>
      <c r="AN386" s="55"/>
      <c r="AO386" s="55"/>
      <c r="AP386" s="55"/>
      <c r="AQ386" s="55"/>
      <c r="AR386" s="55"/>
      <c r="AS386" s="55"/>
      <c r="AT386" s="55"/>
      <c r="AU386" s="55"/>
      <c r="AV386" s="55"/>
      <c r="AW386" s="55"/>
      <c r="AX386" s="55"/>
      <c r="AY386" s="55"/>
      <c r="AZ386" s="55"/>
      <c r="BA386" s="55"/>
      <c r="BB386" s="55"/>
      <c r="BC386" s="55"/>
      <c r="BD386" s="55"/>
      <c r="BE386" s="55"/>
      <c r="BF386" s="55"/>
      <c r="BG386" s="55"/>
      <c r="BH386" s="55"/>
      <c r="BI386" s="55"/>
      <c r="BJ386" s="55"/>
      <c r="BK386" s="55"/>
      <c r="BL386" s="55"/>
      <c r="BM386" s="55"/>
      <c r="BN386" s="55"/>
      <c r="BO386" s="55"/>
      <c r="BP386" s="55"/>
      <c r="BQ386" s="55"/>
      <c r="BR386" s="55"/>
      <c r="BS386" s="55"/>
    </row>
    <row r="387" spans="1:71" outlineLevel="1" x14ac:dyDescent="0.2">
      <c r="J387" s="26"/>
      <c r="L387" s="55"/>
      <c r="M387" s="55"/>
      <c r="N387" s="55"/>
      <c r="O387" s="55"/>
      <c r="P387" s="55"/>
      <c r="Q387" s="55"/>
      <c r="R387" s="55"/>
      <c r="S387" s="55"/>
      <c r="T387" s="55"/>
      <c r="U387" s="55"/>
      <c r="V387" s="55"/>
      <c r="W387" s="55"/>
      <c r="X387" s="55"/>
      <c r="Y387" s="55"/>
      <c r="Z387" s="55"/>
      <c r="AA387" s="55"/>
      <c r="AB387" s="55"/>
      <c r="AC387" s="55"/>
      <c r="AD387" s="55"/>
      <c r="AE387" s="55"/>
      <c r="AF387" s="55"/>
      <c r="AG387" s="55"/>
      <c r="AH387" s="55"/>
      <c r="AI387" s="55"/>
      <c r="AJ387" s="55"/>
      <c r="AK387" s="55"/>
      <c r="AL387" s="55"/>
      <c r="AM387" s="55"/>
      <c r="AN387" s="55"/>
      <c r="AO387" s="55"/>
      <c r="AP387" s="55"/>
      <c r="AQ387" s="55"/>
      <c r="AR387" s="55"/>
      <c r="AS387" s="55"/>
      <c r="AT387" s="55"/>
      <c r="AU387" s="55"/>
      <c r="AV387" s="55"/>
      <c r="AW387" s="55"/>
      <c r="AX387" s="55"/>
      <c r="AY387" s="55"/>
      <c r="AZ387" s="55"/>
      <c r="BA387" s="55"/>
      <c r="BB387" s="55"/>
      <c r="BC387" s="55"/>
      <c r="BD387" s="55"/>
      <c r="BE387" s="55"/>
      <c r="BF387" s="55"/>
      <c r="BG387" s="55"/>
      <c r="BH387" s="55"/>
      <c r="BI387" s="55"/>
      <c r="BJ387" s="55"/>
      <c r="BK387" s="55"/>
      <c r="BL387" s="55"/>
      <c r="BM387" s="55"/>
      <c r="BN387" s="55"/>
      <c r="BO387" s="55"/>
      <c r="BP387" s="55"/>
      <c r="BQ387" s="55"/>
      <c r="BR387" s="55"/>
      <c r="BS387" s="55"/>
    </row>
    <row r="388" spans="1:71" outlineLevel="1" x14ac:dyDescent="0.2">
      <c r="J388" s="26"/>
      <c r="L388" s="55"/>
      <c r="M388" s="55"/>
      <c r="N388" s="55"/>
      <c r="O388" s="55"/>
      <c r="P388" s="55"/>
      <c r="Q388" s="55"/>
      <c r="R388" s="55"/>
      <c r="S388" s="55"/>
      <c r="T388" s="55"/>
      <c r="U388" s="55"/>
      <c r="V388" s="55"/>
      <c r="W388" s="55"/>
      <c r="X388" s="55"/>
      <c r="Y388" s="55"/>
      <c r="Z388" s="55"/>
      <c r="AA388" s="55"/>
      <c r="AB388" s="55"/>
      <c r="AC388" s="55"/>
      <c r="AD388" s="55"/>
      <c r="AE388" s="55"/>
      <c r="AF388" s="55"/>
      <c r="AG388" s="55"/>
      <c r="AH388" s="55"/>
      <c r="AI388" s="55"/>
      <c r="AJ388" s="55"/>
      <c r="AK388" s="55"/>
      <c r="AL388" s="55"/>
      <c r="AM388" s="55"/>
      <c r="AN388" s="55"/>
      <c r="AO388" s="55"/>
      <c r="AP388" s="55"/>
      <c r="AQ388" s="55"/>
      <c r="AR388" s="55"/>
      <c r="AS388" s="55"/>
      <c r="AT388" s="55"/>
      <c r="AU388" s="55"/>
      <c r="AV388" s="55"/>
      <c r="AW388" s="55"/>
      <c r="AX388" s="55"/>
      <c r="AY388" s="55"/>
      <c r="AZ388" s="55"/>
      <c r="BA388" s="55"/>
      <c r="BB388" s="55"/>
      <c r="BC388" s="55"/>
      <c r="BD388" s="55"/>
      <c r="BE388" s="55"/>
      <c r="BF388" s="55"/>
      <c r="BG388" s="55"/>
      <c r="BH388" s="55"/>
      <c r="BI388" s="55"/>
      <c r="BJ388" s="55"/>
      <c r="BK388" s="55"/>
      <c r="BL388" s="55"/>
      <c r="BM388" s="55"/>
      <c r="BN388" s="55"/>
      <c r="BO388" s="55"/>
      <c r="BP388" s="55"/>
      <c r="BQ388" s="55"/>
      <c r="BR388" s="55"/>
      <c r="BS388" s="55"/>
    </row>
    <row r="389" spans="1:71" outlineLevel="1" x14ac:dyDescent="0.2">
      <c r="J389" s="26"/>
      <c r="L389" s="55"/>
      <c r="M389" s="55"/>
      <c r="N389" s="55"/>
      <c r="O389" s="55"/>
      <c r="P389" s="55"/>
      <c r="Q389" s="55"/>
      <c r="R389" s="55"/>
      <c r="S389" s="55"/>
      <c r="T389" s="55"/>
      <c r="U389" s="55"/>
      <c r="V389" s="55"/>
      <c r="W389" s="55"/>
      <c r="X389" s="55"/>
      <c r="Y389" s="55"/>
      <c r="Z389" s="55"/>
      <c r="AA389" s="55"/>
      <c r="AB389" s="55"/>
      <c r="AC389" s="55"/>
      <c r="AD389" s="55"/>
      <c r="AE389" s="55"/>
      <c r="AF389" s="55"/>
      <c r="AG389" s="55"/>
      <c r="AH389" s="55"/>
      <c r="AI389" s="55"/>
      <c r="AJ389" s="55"/>
      <c r="AK389" s="55"/>
      <c r="AL389" s="55"/>
      <c r="AM389" s="55"/>
      <c r="AN389" s="55"/>
      <c r="AO389" s="55"/>
      <c r="AP389" s="55"/>
      <c r="AQ389" s="55"/>
      <c r="AR389" s="55"/>
      <c r="AS389" s="55"/>
      <c r="AT389" s="55"/>
      <c r="AU389" s="55"/>
      <c r="AV389" s="55"/>
      <c r="AW389" s="55"/>
      <c r="AX389" s="55"/>
      <c r="AY389" s="55"/>
      <c r="AZ389" s="55"/>
      <c r="BA389" s="55"/>
      <c r="BB389" s="55"/>
      <c r="BC389" s="55"/>
      <c r="BD389" s="55"/>
      <c r="BE389" s="55"/>
      <c r="BF389" s="55"/>
      <c r="BG389" s="55"/>
      <c r="BH389" s="55"/>
      <c r="BI389" s="55"/>
      <c r="BJ389" s="55"/>
      <c r="BK389" s="55"/>
      <c r="BL389" s="55"/>
      <c r="BM389" s="55"/>
      <c r="BN389" s="55"/>
      <c r="BO389" s="55"/>
      <c r="BP389" s="55"/>
      <c r="BQ389" s="55"/>
      <c r="BR389" s="55"/>
      <c r="BS389" s="55"/>
    </row>
    <row r="390" spans="1:71" outlineLevel="1" x14ac:dyDescent="0.2">
      <c r="A390" s="45"/>
      <c r="B390" s="38" t="s">
        <v>266</v>
      </c>
      <c r="C390" s="45"/>
      <c r="D390" s="45"/>
      <c r="E390" s="45"/>
      <c r="J390" s="26"/>
      <c r="L390" s="55"/>
      <c r="M390" s="55"/>
      <c r="N390" s="55"/>
      <c r="O390" s="55"/>
      <c r="P390" s="55"/>
      <c r="Q390" s="55"/>
      <c r="R390" s="55"/>
      <c r="S390" s="55"/>
      <c r="T390" s="55"/>
      <c r="U390" s="55"/>
      <c r="V390" s="55"/>
      <c r="W390" s="55"/>
      <c r="X390" s="55"/>
      <c r="Y390" s="55"/>
      <c r="Z390" s="55"/>
      <c r="AA390" s="55"/>
      <c r="AB390" s="55"/>
      <c r="AC390" s="55"/>
      <c r="AD390" s="55"/>
      <c r="AE390" s="55"/>
      <c r="AF390" s="55"/>
      <c r="AG390" s="55"/>
      <c r="AH390" s="55"/>
      <c r="AI390" s="55"/>
      <c r="AJ390" s="55"/>
      <c r="AK390" s="55"/>
      <c r="AL390" s="55"/>
      <c r="AM390" s="55"/>
      <c r="AN390" s="55"/>
      <c r="AO390" s="55"/>
      <c r="AP390" s="55"/>
      <c r="AQ390" s="55"/>
      <c r="AR390" s="55"/>
      <c r="AS390" s="55"/>
      <c r="AT390" s="55"/>
      <c r="AU390" s="55"/>
      <c r="AV390" s="55"/>
      <c r="AW390" s="55"/>
      <c r="AX390" s="55"/>
      <c r="AY390" s="55"/>
      <c r="AZ390" s="55"/>
      <c r="BA390" s="55"/>
      <c r="BB390" s="55"/>
      <c r="BC390" s="55"/>
      <c r="BD390" s="55"/>
      <c r="BE390" s="55"/>
      <c r="BF390" s="55"/>
      <c r="BG390" s="55"/>
      <c r="BH390" s="55"/>
      <c r="BI390" s="55"/>
      <c r="BJ390" s="55"/>
      <c r="BK390" s="55"/>
      <c r="BL390" s="55"/>
      <c r="BM390" s="55"/>
      <c r="BN390" s="55"/>
      <c r="BO390" s="55"/>
      <c r="BP390" s="55"/>
      <c r="BQ390" s="55"/>
      <c r="BR390" s="55"/>
      <c r="BS390" s="55"/>
    </row>
    <row r="391" spans="1:71" outlineLevel="1" x14ac:dyDescent="0.2">
      <c r="J391" s="26"/>
      <c r="L391" s="55"/>
      <c r="M391" s="55"/>
      <c r="N391" s="55"/>
      <c r="O391" s="55"/>
      <c r="P391" s="55"/>
      <c r="Q391" s="55"/>
      <c r="R391" s="55"/>
      <c r="S391" s="55"/>
      <c r="T391" s="55"/>
      <c r="U391" s="55"/>
      <c r="V391" s="55"/>
      <c r="W391" s="55"/>
      <c r="X391" s="55"/>
      <c r="Y391" s="55"/>
      <c r="Z391" s="55"/>
      <c r="AA391" s="55"/>
      <c r="AB391" s="55"/>
      <c r="AC391" s="55"/>
      <c r="AD391" s="55"/>
      <c r="AE391" s="55"/>
      <c r="AF391" s="55"/>
      <c r="AG391" s="55"/>
      <c r="AH391" s="55"/>
      <c r="AI391" s="55"/>
      <c r="AJ391" s="55"/>
      <c r="AK391" s="55"/>
      <c r="AL391" s="55"/>
      <c r="AM391" s="55"/>
      <c r="AN391" s="55"/>
      <c r="AO391" s="55"/>
      <c r="AP391" s="55"/>
      <c r="AQ391" s="55"/>
      <c r="AR391" s="55"/>
      <c r="AS391" s="55"/>
      <c r="AT391" s="55"/>
      <c r="AU391" s="55"/>
      <c r="AV391" s="55"/>
      <c r="AW391" s="55"/>
      <c r="AX391" s="55"/>
      <c r="AY391" s="55"/>
      <c r="AZ391" s="55"/>
      <c r="BA391" s="55"/>
      <c r="BB391" s="55"/>
      <c r="BC391" s="55"/>
      <c r="BD391" s="55"/>
      <c r="BE391" s="55"/>
      <c r="BF391" s="55"/>
      <c r="BG391" s="55"/>
      <c r="BH391" s="55"/>
      <c r="BI391" s="55"/>
      <c r="BJ391" s="55"/>
      <c r="BK391" s="55"/>
      <c r="BL391" s="55"/>
      <c r="BM391" s="55"/>
      <c r="BN391" s="55"/>
      <c r="BO391" s="55"/>
      <c r="BP391" s="55"/>
      <c r="BQ391" s="55"/>
      <c r="BR391" s="55"/>
      <c r="BS391" s="55"/>
    </row>
    <row r="392" spans="1:71" outlineLevel="1" x14ac:dyDescent="0.2">
      <c r="C392" s="11" t="s">
        <v>267</v>
      </c>
      <c r="J392" s="26"/>
      <c r="L392" s="55"/>
      <c r="M392" s="55"/>
      <c r="N392" s="55"/>
      <c r="O392" s="55"/>
      <c r="P392" s="55"/>
      <c r="Q392" s="55"/>
      <c r="R392" s="55"/>
      <c r="S392" s="55"/>
      <c r="T392" s="55"/>
      <c r="U392" s="55"/>
      <c r="V392" s="55"/>
      <c r="W392" s="55"/>
      <c r="X392" s="55"/>
      <c r="Y392" s="55"/>
      <c r="Z392" s="55"/>
      <c r="AA392" s="55"/>
      <c r="AB392" s="55"/>
      <c r="AC392" s="55"/>
      <c r="AD392" s="55"/>
      <c r="AE392" s="55"/>
      <c r="AF392" s="55"/>
      <c r="AG392" s="55"/>
      <c r="AH392" s="55"/>
      <c r="AI392" s="55"/>
      <c r="AJ392" s="55"/>
      <c r="AK392" s="55"/>
      <c r="AL392" s="55"/>
      <c r="AM392" s="55"/>
      <c r="AN392" s="55"/>
      <c r="AO392" s="55"/>
      <c r="AP392" s="55"/>
      <c r="AQ392" s="55"/>
      <c r="AR392" s="55"/>
      <c r="AS392" s="55"/>
      <c r="AT392" s="55"/>
      <c r="AU392" s="55"/>
      <c r="AV392" s="55"/>
      <c r="AW392" s="55"/>
      <c r="AX392" s="55"/>
      <c r="AY392" s="55"/>
      <c r="AZ392" s="55"/>
      <c r="BA392" s="55"/>
      <c r="BB392" s="55"/>
      <c r="BC392" s="55"/>
      <c r="BD392" s="55"/>
      <c r="BE392" s="55"/>
      <c r="BF392" s="55"/>
      <c r="BG392" s="55"/>
      <c r="BH392" s="55"/>
      <c r="BI392" s="55"/>
      <c r="BJ392" s="55"/>
      <c r="BK392" s="55"/>
      <c r="BL392" s="55"/>
      <c r="BM392" s="55"/>
      <c r="BN392" s="55"/>
      <c r="BO392" s="55"/>
      <c r="BP392" s="55"/>
      <c r="BQ392" s="55"/>
      <c r="BR392" s="55"/>
      <c r="BS392" s="55"/>
    </row>
    <row r="393" spans="1:71" outlineLevel="1" x14ac:dyDescent="0.2">
      <c r="D393" t="s">
        <v>268</v>
      </c>
      <c r="I393" s="30">
        <f t="shared" ref="I393:I399" ca="1" si="98">SUM($L393:$BS393)</f>
        <v>6850.6032645660134</v>
      </c>
      <c r="J393" s="26" t="s">
        <v>148</v>
      </c>
      <c r="L393" s="49" cm="1">
        <f t="array" aca="1" ref="L393:BS393" ca="1">Loango_II!CA_ent_rev_oil</f>
        <v>495.0953508349985</v>
      </c>
      <c r="M393" s="49">
        <f ca="1"/>
        <v>493.63503919797222</v>
      </c>
      <c r="N393" s="49">
        <f ca="1"/>
        <v>193.62021752578545</v>
      </c>
      <c r="O393" s="49">
        <f ca="1"/>
        <v>182.76004680069195</v>
      </c>
      <c r="P393" s="49">
        <f ca="1"/>
        <v>506.94993916348733</v>
      </c>
      <c r="Q393" s="49">
        <f ca="1"/>
        <v>1007.7013281342738</v>
      </c>
      <c r="R393" s="49">
        <f ca="1"/>
        <v>709.2493202674292</v>
      </c>
      <c r="S393" s="49">
        <f ca="1"/>
        <v>432.56439364946402</v>
      </c>
      <c r="T393" s="49">
        <f ca="1"/>
        <v>627.26781387438348</v>
      </c>
      <c r="U393" s="49">
        <f ca="1"/>
        <v>624.59820945956096</v>
      </c>
      <c r="V393" s="49">
        <f ca="1"/>
        <v>592.49386149333941</v>
      </c>
      <c r="W393" s="49">
        <f ca="1"/>
        <v>505.99362624660188</v>
      </c>
      <c r="X393" s="49">
        <f ca="1"/>
        <v>478.67411791802505</v>
      </c>
      <c r="Y393" s="49">
        <f ca="1"/>
        <v>0</v>
      </c>
      <c r="Z393" s="49">
        <f ca="1"/>
        <v>0</v>
      </c>
      <c r="AA393" s="49">
        <f ca="1"/>
        <v>0</v>
      </c>
      <c r="AB393" s="49">
        <f ca="1"/>
        <v>0</v>
      </c>
      <c r="AC393" s="49">
        <f ca="1"/>
        <v>0</v>
      </c>
      <c r="AD393" s="49">
        <f ca="1"/>
        <v>0</v>
      </c>
      <c r="AE393" s="49">
        <f ca="1"/>
        <v>0</v>
      </c>
      <c r="AF393" s="49">
        <f ca="1"/>
        <v>0</v>
      </c>
      <c r="AG393" s="49">
        <f ca="1"/>
        <v>0</v>
      </c>
      <c r="AH393" s="49">
        <f ca="1"/>
        <v>0</v>
      </c>
      <c r="AI393" s="49">
        <f ca="1"/>
        <v>0</v>
      </c>
      <c r="AJ393" s="49">
        <f ca="1"/>
        <v>0</v>
      </c>
      <c r="AK393" s="49">
        <f ca="1"/>
        <v>0</v>
      </c>
      <c r="AL393" s="49">
        <f ca="1"/>
        <v>0</v>
      </c>
      <c r="AM393" s="49">
        <f ca="1"/>
        <v>0</v>
      </c>
      <c r="AN393" s="49">
        <f ca="1"/>
        <v>0</v>
      </c>
      <c r="AO393" s="49">
        <f ca="1"/>
        <v>0</v>
      </c>
      <c r="AP393" s="49">
        <f ca="1"/>
        <v>0</v>
      </c>
      <c r="AQ393" s="49">
        <f ca="1"/>
        <v>0</v>
      </c>
      <c r="AR393" s="49">
        <f ca="1"/>
        <v>0</v>
      </c>
      <c r="AS393" s="49">
        <f ca="1"/>
        <v>0</v>
      </c>
      <c r="AT393" s="49">
        <f ca="1"/>
        <v>0</v>
      </c>
      <c r="AU393" s="49">
        <f ca="1"/>
        <v>0</v>
      </c>
      <c r="AV393" s="49">
        <f ca="1"/>
        <v>0</v>
      </c>
      <c r="AW393" s="49">
        <f ca="1"/>
        <v>0</v>
      </c>
      <c r="AX393" s="49">
        <f ca="1"/>
        <v>0</v>
      </c>
      <c r="AY393" s="49">
        <f ca="1"/>
        <v>0</v>
      </c>
      <c r="AZ393" s="49">
        <f ca="1"/>
        <v>0</v>
      </c>
      <c r="BA393" s="49">
        <f ca="1"/>
        <v>0</v>
      </c>
      <c r="BB393" s="49">
        <f ca="1"/>
        <v>0</v>
      </c>
      <c r="BC393" s="49">
        <f ca="1"/>
        <v>0</v>
      </c>
      <c r="BD393" s="49">
        <f ca="1"/>
        <v>0</v>
      </c>
      <c r="BE393" s="49">
        <f ca="1"/>
        <v>0</v>
      </c>
      <c r="BF393" s="49">
        <f ca="1"/>
        <v>0</v>
      </c>
      <c r="BG393" s="49">
        <f ca="1"/>
        <v>0</v>
      </c>
      <c r="BH393" s="49">
        <f ca="1"/>
        <v>0</v>
      </c>
      <c r="BI393" s="49">
        <f ca="1"/>
        <v>0</v>
      </c>
      <c r="BJ393" s="49">
        <f ca="1"/>
        <v>0</v>
      </c>
      <c r="BK393" s="49">
        <f ca="1"/>
        <v>0</v>
      </c>
      <c r="BL393" s="49">
        <f ca="1"/>
        <v>0</v>
      </c>
      <c r="BM393" s="49">
        <f ca="1"/>
        <v>0</v>
      </c>
      <c r="BN393" s="49">
        <f ca="1"/>
        <v>0</v>
      </c>
      <c r="BO393" s="49">
        <f ca="1"/>
        <v>0</v>
      </c>
      <c r="BP393" s="49">
        <f ca="1"/>
        <v>0</v>
      </c>
      <c r="BQ393" s="49">
        <f ca="1"/>
        <v>0</v>
      </c>
      <c r="BR393" s="49">
        <f ca="1"/>
        <v>0</v>
      </c>
      <c r="BS393" s="49">
        <f ca="1"/>
        <v>0</v>
      </c>
    </row>
    <row r="394" spans="1:71" outlineLevel="1" x14ac:dyDescent="0.2">
      <c r="D394" t="s">
        <v>269</v>
      </c>
      <c r="I394" s="30">
        <f t="shared" ca="1" si="98"/>
        <v>0</v>
      </c>
      <c r="J394" s="26" t="s">
        <v>148</v>
      </c>
      <c r="L394" s="49" cm="1">
        <f t="array" aca="1" ref="L394:BS394" ca="1">Loango_II!CA_ent_rev_gas</f>
        <v>0</v>
      </c>
      <c r="M394" s="49">
        <f ca="1"/>
        <v>0</v>
      </c>
      <c r="N394" s="49">
        <f ca="1"/>
        <v>0</v>
      </c>
      <c r="O394" s="49">
        <f ca="1"/>
        <v>0</v>
      </c>
      <c r="P394" s="49">
        <f ca="1"/>
        <v>0</v>
      </c>
      <c r="Q394" s="49">
        <f ca="1"/>
        <v>0</v>
      </c>
      <c r="R394" s="49">
        <f ca="1"/>
        <v>0</v>
      </c>
      <c r="S394" s="49">
        <f ca="1"/>
        <v>0</v>
      </c>
      <c r="T394" s="49">
        <f ca="1"/>
        <v>0</v>
      </c>
      <c r="U394" s="49">
        <f ca="1"/>
        <v>0</v>
      </c>
      <c r="V394" s="49">
        <f ca="1"/>
        <v>0</v>
      </c>
      <c r="W394" s="49">
        <f ca="1"/>
        <v>0</v>
      </c>
      <c r="X394" s="49">
        <f ca="1"/>
        <v>0</v>
      </c>
      <c r="Y394" s="49">
        <f ca="1"/>
        <v>0</v>
      </c>
      <c r="Z394" s="49">
        <f ca="1"/>
        <v>0</v>
      </c>
      <c r="AA394" s="49">
        <f ca="1"/>
        <v>0</v>
      </c>
      <c r="AB394" s="49">
        <f ca="1"/>
        <v>0</v>
      </c>
      <c r="AC394" s="49">
        <f ca="1"/>
        <v>0</v>
      </c>
      <c r="AD394" s="49">
        <f ca="1"/>
        <v>0</v>
      </c>
      <c r="AE394" s="49">
        <f ca="1"/>
        <v>0</v>
      </c>
      <c r="AF394" s="49">
        <f ca="1"/>
        <v>0</v>
      </c>
      <c r="AG394" s="49">
        <f ca="1"/>
        <v>0</v>
      </c>
      <c r="AH394" s="49">
        <f ca="1"/>
        <v>0</v>
      </c>
      <c r="AI394" s="49">
        <f ca="1"/>
        <v>0</v>
      </c>
      <c r="AJ394" s="49">
        <f ca="1"/>
        <v>0</v>
      </c>
      <c r="AK394" s="49">
        <f ca="1"/>
        <v>0</v>
      </c>
      <c r="AL394" s="49">
        <f ca="1"/>
        <v>0</v>
      </c>
      <c r="AM394" s="49">
        <f ca="1"/>
        <v>0</v>
      </c>
      <c r="AN394" s="49">
        <f ca="1"/>
        <v>0</v>
      </c>
      <c r="AO394" s="49">
        <f ca="1"/>
        <v>0</v>
      </c>
      <c r="AP394" s="49">
        <f ca="1"/>
        <v>0</v>
      </c>
      <c r="AQ394" s="49">
        <f ca="1"/>
        <v>0</v>
      </c>
      <c r="AR394" s="49">
        <f ca="1"/>
        <v>0</v>
      </c>
      <c r="AS394" s="49">
        <f ca="1"/>
        <v>0</v>
      </c>
      <c r="AT394" s="49">
        <f ca="1"/>
        <v>0</v>
      </c>
      <c r="AU394" s="49">
        <f ca="1"/>
        <v>0</v>
      </c>
      <c r="AV394" s="49">
        <f ca="1"/>
        <v>0</v>
      </c>
      <c r="AW394" s="49">
        <f ca="1"/>
        <v>0</v>
      </c>
      <c r="AX394" s="49">
        <f ca="1"/>
        <v>0</v>
      </c>
      <c r="AY394" s="49">
        <f ca="1"/>
        <v>0</v>
      </c>
      <c r="AZ394" s="49">
        <f ca="1"/>
        <v>0</v>
      </c>
      <c r="BA394" s="49">
        <f ca="1"/>
        <v>0</v>
      </c>
      <c r="BB394" s="49">
        <f ca="1"/>
        <v>0</v>
      </c>
      <c r="BC394" s="49">
        <f ca="1"/>
        <v>0</v>
      </c>
      <c r="BD394" s="49">
        <f ca="1"/>
        <v>0</v>
      </c>
      <c r="BE394" s="49">
        <f ca="1"/>
        <v>0</v>
      </c>
      <c r="BF394" s="49">
        <f ca="1"/>
        <v>0</v>
      </c>
      <c r="BG394" s="49">
        <f ca="1"/>
        <v>0</v>
      </c>
      <c r="BH394" s="49">
        <f ca="1"/>
        <v>0</v>
      </c>
      <c r="BI394" s="49">
        <f ca="1"/>
        <v>0</v>
      </c>
      <c r="BJ394" s="49">
        <f ca="1"/>
        <v>0</v>
      </c>
      <c r="BK394" s="49">
        <f ca="1"/>
        <v>0</v>
      </c>
      <c r="BL394" s="49">
        <f ca="1"/>
        <v>0</v>
      </c>
      <c r="BM394" s="49">
        <f ca="1"/>
        <v>0</v>
      </c>
      <c r="BN394" s="49">
        <f ca="1"/>
        <v>0</v>
      </c>
      <c r="BO394" s="49">
        <f ca="1"/>
        <v>0</v>
      </c>
      <c r="BP394" s="49">
        <f ca="1"/>
        <v>0</v>
      </c>
      <c r="BQ394" s="49">
        <f ca="1"/>
        <v>0</v>
      </c>
      <c r="BR394" s="49">
        <f ca="1"/>
        <v>0</v>
      </c>
      <c r="BS394" s="49">
        <f ca="1"/>
        <v>0</v>
      </c>
    </row>
    <row r="395" spans="1:71" outlineLevel="1" x14ac:dyDescent="0.2">
      <c r="D395" s="11" t="s">
        <v>270</v>
      </c>
      <c r="I395" s="30">
        <f t="shared" ca="1" si="98"/>
        <v>6850.6032645660134</v>
      </c>
      <c r="J395" s="26" t="s">
        <v>148</v>
      </c>
      <c r="L395" s="49">
        <f ca="1">SUM(L393:L394)</f>
        <v>495.0953508349985</v>
      </c>
      <c r="M395" s="49">
        <f t="shared" ref="M395:BS395" ca="1" si="99">SUM(M393:M394)</f>
        <v>493.63503919797222</v>
      </c>
      <c r="N395" s="49">
        <f t="shared" ca="1" si="99"/>
        <v>193.62021752578545</v>
      </c>
      <c r="O395" s="49">
        <f t="shared" ca="1" si="99"/>
        <v>182.76004680069195</v>
      </c>
      <c r="P395" s="49">
        <f t="shared" ca="1" si="99"/>
        <v>506.94993916348733</v>
      </c>
      <c r="Q395" s="49">
        <f t="shared" ca="1" si="99"/>
        <v>1007.7013281342738</v>
      </c>
      <c r="R395" s="49">
        <f t="shared" ca="1" si="99"/>
        <v>709.2493202674292</v>
      </c>
      <c r="S395" s="49">
        <f t="shared" ca="1" si="99"/>
        <v>432.56439364946402</v>
      </c>
      <c r="T395" s="49">
        <f t="shared" ca="1" si="99"/>
        <v>627.26781387438348</v>
      </c>
      <c r="U395" s="49">
        <f t="shared" ca="1" si="99"/>
        <v>624.59820945956096</v>
      </c>
      <c r="V395" s="49">
        <f t="shared" ca="1" si="99"/>
        <v>592.49386149333941</v>
      </c>
      <c r="W395" s="49">
        <f t="shared" ca="1" si="99"/>
        <v>505.99362624660188</v>
      </c>
      <c r="X395" s="49">
        <f t="shared" ca="1" si="99"/>
        <v>478.67411791802505</v>
      </c>
      <c r="Y395" s="49">
        <f t="shared" ca="1" si="99"/>
        <v>0</v>
      </c>
      <c r="Z395" s="49">
        <f t="shared" ca="1" si="99"/>
        <v>0</v>
      </c>
      <c r="AA395" s="49">
        <f t="shared" ca="1" si="99"/>
        <v>0</v>
      </c>
      <c r="AB395" s="49">
        <f t="shared" ca="1" si="99"/>
        <v>0</v>
      </c>
      <c r="AC395" s="49">
        <f t="shared" ca="1" si="99"/>
        <v>0</v>
      </c>
      <c r="AD395" s="49">
        <f t="shared" ca="1" si="99"/>
        <v>0</v>
      </c>
      <c r="AE395" s="49">
        <f t="shared" ca="1" si="99"/>
        <v>0</v>
      </c>
      <c r="AF395" s="49">
        <f t="shared" ca="1" si="99"/>
        <v>0</v>
      </c>
      <c r="AG395" s="49">
        <f t="shared" ca="1" si="99"/>
        <v>0</v>
      </c>
      <c r="AH395" s="49">
        <f t="shared" ca="1" si="99"/>
        <v>0</v>
      </c>
      <c r="AI395" s="49">
        <f t="shared" ca="1" si="99"/>
        <v>0</v>
      </c>
      <c r="AJ395" s="49">
        <f t="shared" ca="1" si="99"/>
        <v>0</v>
      </c>
      <c r="AK395" s="49">
        <f t="shared" ca="1" si="99"/>
        <v>0</v>
      </c>
      <c r="AL395" s="49">
        <f t="shared" ca="1" si="99"/>
        <v>0</v>
      </c>
      <c r="AM395" s="49">
        <f t="shared" ca="1" si="99"/>
        <v>0</v>
      </c>
      <c r="AN395" s="49">
        <f t="shared" ca="1" si="99"/>
        <v>0</v>
      </c>
      <c r="AO395" s="49">
        <f t="shared" ca="1" si="99"/>
        <v>0</v>
      </c>
      <c r="AP395" s="49">
        <f t="shared" ca="1" si="99"/>
        <v>0</v>
      </c>
      <c r="AQ395" s="49">
        <f t="shared" ca="1" si="99"/>
        <v>0</v>
      </c>
      <c r="AR395" s="49">
        <f t="shared" ca="1" si="99"/>
        <v>0</v>
      </c>
      <c r="AS395" s="49">
        <f t="shared" ca="1" si="99"/>
        <v>0</v>
      </c>
      <c r="AT395" s="49">
        <f t="shared" ca="1" si="99"/>
        <v>0</v>
      </c>
      <c r="AU395" s="49">
        <f t="shared" ca="1" si="99"/>
        <v>0</v>
      </c>
      <c r="AV395" s="49">
        <f t="shared" ca="1" si="99"/>
        <v>0</v>
      </c>
      <c r="AW395" s="49">
        <f t="shared" ca="1" si="99"/>
        <v>0</v>
      </c>
      <c r="AX395" s="49">
        <f t="shared" ca="1" si="99"/>
        <v>0</v>
      </c>
      <c r="AY395" s="49">
        <f t="shared" ca="1" si="99"/>
        <v>0</v>
      </c>
      <c r="AZ395" s="49">
        <f t="shared" ca="1" si="99"/>
        <v>0</v>
      </c>
      <c r="BA395" s="49">
        <f t="shared" ca="1" si="99"/>
        <v>0</v>
      </c>
      <c r="BB395" s="49">
        <f t="shared" ca="1" si="99"/>
        <v>0</v>
      </c>
      <c r="BC395" s="49">
        <f t="shared" ca="1" si="99"/>
        <v>0</v>
      </c>
      <c r="BD395" s="49">
        <f t="shared" ca="1" si="99"/>
        <v>0</v>
      </c>
      <c r="BE395" s="49">
        <f t="shared" ca="1" si="99"/>
        <v>0</v>
      </c>
      <c r="BF395" s="49">
        <f t="shared" ca="1" si="99"/>
        <v>0</v>
      </c>
      <c r="BG395" s="49">
        <f t="shared" ca="1" si="99"/>
        <v>0</v>
      </c>
      <c r="BH395" s="49">
        <f t="shared" ca="1" si="99"/>
        <v>0</v>
      </c>
      <c r="BI395" s="49">
        <f t="shared" ca="1" si="99"/>
        <v>0</v>
      </c>
      <c r="BJ395" s="49">
        <f t="shared" ca="1" si="99"/>
        <v>0</v>
      </c>
      <c r="BK395" s="49">
        <f t="shared" ca="1" si="99"/>
        <v>0</v>
      </c>
      <c r="BL395" s="49">
        <f t="shared" ca="1" si="99"/>
        <v>0</v>
      </c>
      <c r="BM395" s="49">
        <f t="shared" ca="1" si="99"/>
        <v>0</v>
      </c>
      <c r="BN395" s="49">
        <f t="shared" ca="1" si="99"/>
        <v>0</v>
      </c>
      <c r="BO395" s="49">
        <f t="shared" ca="1" si="99"/>
        <v>0</v>
      </c>
      <c r="BP395" s="49">
        <f t="shared" ca="1" si="99"/>
        <v>0</v>
      </c>
      <c r="BQ395" s="49">
        <f t="shared" ca="1" si="99"/>
        <v>0</v>
      </c>
      <c r="BR395" s="49">
        <f t="shared" ca="1" si="99"/>
        <v>0</v>
      </c>
      <c r="BS395" s="49">
        <f t="shared" ca="1" si="99"/>
        <v>0</v>
      </c>
    </row>
    <row r="396" spans="1:71" outlineLevel="1" x14ac:dyDescent="0.2">
      <c r="J396" s="26"/>
      <c r="L396" s="55"/>
      <c r="M396" s="55"/>
      <c r="N396" s="55"/>
      <c r="O396" s="55"/>
      <c r="P396" s="55"/>
      <c r="Q396" s="55"/>
      <c r="R396" s="55"/>
      <c r="S396" s="55"/>
      <c r="T396" s="55"/>
      <c r="U396" s="55"/>
      <c r="V396" s="55"/>
      <c r="W396" s="55"/>
      <c r="X396" s="55"/>
      <c r="Y396" s="55"/>
      <c r="Z396" s="55"/>
      <c r="AA396" s="55"/>
      <c r="AB396" s="55"/>
      <c r="AC396" s="55"/>
      <c r="AD396" s="55"/>
      <c r="AE396" s="55"/>
      <c r="AF396" s="55"/>
      <c r="AG396" s="55"/>
      <c r="AH396" s="55"/>
      <c r="AI396" s="55"/>
      <c r="AJ396" s="55"/>
      <c r="AK396" s="55"/>
      <c r="AL396" s="55"/>
      <c r="AM396" s="55"/>
      <c r="AN396" s="55"/>
      <c r="AO396" s="55"/>
      <c r="AP396" s="55"/>
      <c r="AQ396" s="55"/>
      <c r="AR396" s="55"/>
      <c r="AS396" s="55"/>
      <c r="AT396" s="55"/>
      <c r="AU396" s="55"/>
      <c r="AV396" s="55"/>
      <c r="AW396" s="55"/>
      <c r="AX396" s="55"/>
      <c r="AY396" s="55"/>
      <c r="AZ396" s="55"/>
      <c r="BA396" s="55"/>
      <c r="BB396" s="55"/>
      <c r="BC396" s="55"/>
      <c r="BD396" s="55"/>
      <c r="BE396" s="55"/>
      <c r="BF396" s="55"/>
      <c r="BG396" s="55"/>
      <c r="BH396" s="55"/>
      <c r="BI396" s="55"/>
      <c r="BJ396" s="55"/>
      <c r="BK396" s="55"/>
      <c r="BL396" s="55"/>
      <c r="BM396" s="55"/>
      <c r="BN396" s="55"/>
      <c r="BO396" s="55"/>
      <c r="BP396" s="55"/>
      <c r="BQ396" s="55"/>
      <c r="BR396" s="55"/>
      <c r="BS396" s="55"/>
    </row>
    <row r="397" spans="1:71" outlineLevel="1" x14ac:dyDescent="0.2">
      <c r="C397" s="11" t="s">
        <v>50</v>
      </c>
      <c r="I397" s="30">
        <f t="shared" ca="1" si="98"/>
        <v>3502.3183539519996</v>
      </c>
      <c r="J397" s="26" t="s">
        <v>148</v>
      </c>
      <c r="L397" s="49">
        <f ca="1">L377</f>
        <v>148.06899999999999</v>
      </c>
      <c r="M397" s="49">
        <f t="shared" ref="M397:BS397" ca="1" si="100">M377</f>
        <v>183.88499999999999</v>
      </c>
      <c r="N397" s="49">
        <f t="shared" ca="1" si="100"/>
        <v>135.70400000000001</v>
      </c>
      <c r="O397" s="49">
        <f t="shared" ca="1" si="100"/>
        <v>240.88499999999999</v>
      </c>
      <c r="P397" s="49">
        <f t="shared" ca="1" si="100"/>
        <v>536.79</v>
      </c>
      <c r="Q397" s="49">
        <f t="shared" ca="1" si="100"/>
        <v>243.78</v>
      </c>
      <c r="R397" s="49">
        <f t="shared" ca="1" si="100"/>
        <v>281.8</v>
      </c>
      <c r="S397" s="49">
        <f t="shared" ca="1" si="100"/>
        <v>286.3</v>
      </c>
      <c r="T397" s="49">
        <f t="shared" ca="1" si="100"/>
        <v>283.39999999999998</v>
      </c>
      <c r="U397" s="49">
        <f t="shared" ca="1" si="100"/>
        <v>286.21200000000005</v>
      </c>
      <c r="V397" s="49">
        <f t="shared" ca="1" si="100"/>
        <v>289.02312000000001</v>
      </c>
      <c r="W397" s="49">
        <f t="shared" ca="1" si="100"/>
        <v>291.8322</v>
      </c>
      <c r="X397" s="49">
        <f t="shared" ca="1" si="100"/>
        <v>294.638033952</v>
      </c>
      <c r="Y397" s="49">
        <f t="shared" ca="1" si="100"/>
        <v>0</v>
      </c>
      <c r="Z397" s="49">
        <f t="shared" ca="1" si="100"/>
        <v>0</v>
      </c>
      <c r="AA397" s="49">
        <f t="shared" ca="1" si="100"/>
        <v>0</v>
      </c>
      <c r="AB397" s="49">
        <f t="shared" ca="1" si="100"/>
        <v>0</v>
      </c>
      <c r="AC397" s="49">
        <f t="shared" ca="1" si="100"/>
        <v>0</v>
      </c>
      <c r="AD397" s="49">
        <f t="shared" ca="1" si="100"/>
        <v>0</v>
      </c>
      <c r="AE397" s="49">
        <f t="shared" ca="1" si="100"/>
        <v>0</v>
      </c>
      <c r="AF397" s="49">
        <f t="shared" ca="1" si="100"/>
        <v>0</v>
      </c>
      <c r="AG397" s="49">
        <f t="shared" ca="1" si="100"/>
        <v>0</v>
      </c>
      <c r="AH397" s="49">
        <f t="shared" ca="1" si="100"/>
        <v>0</v>
      </c>
      <c r="AI397" s="49">
        <f t="shared" ca="1" si="100"/>
        <v>0</v>
      </c>
      <c r="AJ397" s="49">
        <f t="shared" ca="1" si="100"/>
        <v>0</v>
      </c>
      <c r="AK397" s="49">
        <f t="shared" ca="1" si="100"/>
        <v>0</v>
      </c>
      <c r="AL397" s="49">
        <f t="shared" ca="1" si="100"/>
        <v>0</v>
      </c>
      <c r="AM397" s="49">
        <f t="shared" ca="1" si="100"/>
        <v>0</v>
      </c>
      <c r="AN397" s="49">
        <f t="shared" ca="1" si="100"/>
        <v>0</v>
      </c>
      <c r="AO397" s="49">
        <f t="shared" ca="1" si="100"/>
        <v>0</v>
      </c>
      <c r="AP397" s="49">
        <f t="shared" ca="1" si="100"/>
        <v>0</v>
      </c>
      <c r="AQ397" s="49">
        <f t="shared" ca="1" si="100"/>
        <v>0</v>
      </c>
      <c r="AR397" s="49">
        <f t="shared" ca="1" si="100"/>
        <v>0</v>
      </c>
      <c r="AS397" s="49">
        <f t="shared" ca="1" si="100"/>
        <v>0</v>
      </c>
      <c r="AT397" s="49">
        <f t="shared" ca="1" si="100"/>
        <v>0</v>
      </c>
      <c r="AU397" s="49">
        <f t="shared" ca="1" si="100"/>
        <v>0</v>
      </c>
      <c r="AV397" s="49">
        <f t="shared" ca="1" si="100"/>
        <v>0</v>
      </c>
      <c r="AW397" s="49">
        <f t="shared" ca="1" si="100"/>
        <v>0</v>
      </c>
      <c r="AX397" s="49">
        <f t="shared" ca="1" si="100"/>
        <v>0</v>
      </c>
      <c r="AY397" s="49">
        <f t="shared" ca="1" si="100"/>
        <v>0</v>
      </c>
      <c r="AZ397" s="49">
        <f t="shared" ca="1" si="100"/>
        <v>0</v>
      </c>
      <c r="BA397" s="49">
        <f t="shared" ca="1" si="100"/>
        <v>0</v>
      </c>
      <c r="BB397" s="49">
        <f t="shared" ca="1" si="100"/>
        <v>0</v>
      </c>
      <c r="BC397" s="49">
        <f t="shared" ca="1" si="100"/>
        <v>0</v>
      </c>
      <c r="BD397" s="49">
        <f t="shared" ca="1" si="100"/>
        <v>0</v>
      </c>
      <c r="BE397" s="49">
        <f t="shared" ca="1" si="100"/>
        <v>0</v>
      </c>
      <c r="BF397" s="49">
        <f t="shared" ca="1" si="100"/>
        <v>0</v>
      </c>
      <c r="BG397" s="49">
        <f t="shared" ca="1" si="100"/>
        <v>0</v>
      </c>
      <c r="BH397" s="49">
        <f t="shared" ca="1" si="100"/>
        <v>0</v>
      </c>
      <c r="BI397" s="49">
        <f t="shared" ca="1" si="100"/>
        <v>0</v>
      </c>
      <c r="BJ397" s="49">
        <f t="shared" ca="1" si="100"/>
        <v>0</v>
      </c>
      <c r="BK397" s="49">
        <f t="shared" ca="1" si="100"/>
        <v>0</v>
      </c>
      <c r="BL397" s="49">
        <f t="shared" ca="1" si="100"/>
        <v>0</v>
      </c>
      <c r="BM397" s="49">
        <f t="shared" ca="1" si="100"/>
        <v>0</v>
      </c>
      <c r="BN397" s="49">
        <f t="shared" ca="1" si="100"/>
        <v>0</v>
      </c>
      <c r="BO397" s="49">
        <f t="shared" ca="1" si="100"/>
        <v>0</v>
      </c>
      <c r="BP397" s="49">
        <f t="shared" ca="1" si="100"/>
        <v>0</v>
      </c>
      <c r="BQ397" s="49">
        <f t="shared" ca="1" si="100"/>
        <v>0</v>
      </c>
      <c r="BR397" s="49">
        <f t="shared" ca="1" si="100"/>
        <v>0</v>
      </c>
      <c r="BS397" s="49">
        <f t="shared" ca="1" si="100"/>
        <v>0</v>
      </c>
    </row>
    <row r="398" spans="1:71" outlineLevel="1" x14ac:dyDescent="0.2">
      <c r="J398" s="26"/>
      <c r="L398" s="55"/>
      <c r="M398" s="55"/>
      <c r="N398" s="55"/>
      <c r="O398" s="55"/>
      <c r="P398" s="55"/>
      <c r="Q398" s="55"/>
      <c r="R398" s="55"/>
      <c r="S398" s="55"/>
      <c r="T398" s="55"/>
      <c r="U398" s="55"/>
      <c r="V398" s="55"/>
      <c r="W398" s="55"/>
      <c r="X398" s="55"/>
      <c r="Y398" s="55"/>
      <c r="Z398" s="55"/>
      <c r="AA398" s="55"/>
      <c r="AB398" s="55"/>
      <c r="AC398" s="55"/>
      <c r="AD398" s="55"/>
      <c r="AE398" s="55"/>
      <c r="AF398" s="55"/>
      <c r="AG398" s="55"/>
      <c r="AH398" s="55"/>
      <c r="AI398" s="55"/>
      <c r="AJ398" s="55"/>
      <c r="AK398" s="55"/>
      <c r="AL398" s="55"/>
      <c r="AM398" s="55"/>
      <c r="AN398" s="55"/>
      <c r="AO398" s="55"/>
      <c r="AP398" s="55"/>
      <c r="AQ398" s="55"/>
      <c r="AR398" s="55"/>
      <c r="AS398" s="55"/>
      <c r="AT398" s="55"/>
      <c r="AU398" s="55"/>
      <c r="AV398" s="55"/>
      <c r="AW398" s="55"/>
      <c r="AX398" s="55"/>
      <c r="AY398" s="55"/>
      <c r="AZ398" s="55"/>
      <c r="BA398" s="55"/>
      <c r="BB398" s="55"/>
      <c r="BC398" s="55"/>
      <c r="BD398" s="55"/>
      <c r="BE398" s="55"/>
      <c r="BF398" s="55"/>
      <c r="BG398" s="55"/>
      <c r="BH398" s="55"/>
      <c r="BI398" s="55"/>
      <c r="BJ398" s="55"/>
      <c r="BK398" s="55"/>
      <c r="BL398" s="55"/>
      <c r="BM398" s="55"/>
      <c r="BN398" s="55"/>
      <c r="BO398" s="55"/>
      <c r="BP398" s="55"/>
      <c r="BQ398" s="55"/>
      <c r="BR398" s="55"/>
      <c r="BS398" s="55"/>
    </row>
    <row r="399" spans="1:71" outlineLevel="1" x14ac:dyDescent="0.2">
      <c r="C399" s="11" t="s">
        <v>271</v>
      </c>
      <c r="I399" s="30">
        <f t="shared" ca="1" si="98"/>
        <v>116.836644723813</v>
      </c>
      <c r="J399" s="26" t="s">
        <v>148</v>
      </c>
      <c r="L399" s="49" cm="1">
        <f t="array" aca="1" ref="L399:BS399" ca="1">Loango_II!CA_pid_fees</f>
        <v>7.4933748230811874</v>
      </c>
      <c r="M399" s="49">
        <f ca="1"/>
        <v>7.0784597535292457</v>
      </c>
      <c r="N399" s="49">
        <f ca="1"/>
        <v>2.6706236900108338</v>
      </c>
      <c r="O399" s="49">
        <f ca="1"/>
        <v>2.5208282317336823</v>
      </c>
      <c r="P399" s="49">
        <f ca="1"/>
        <v>6.9924129539791364</v>
      </c>
      <c r="Q399" s="49">
        <f ca="1"/>
        <v>13.89932866392102</v>
      </c>
      <c r="R399" s="49">
        <f ca="1"/>
        <v>13.267308635491613</v>
      </c>
      <c r="S399" s="49">
        <f ca="1"/>
        <v>7.7017699371600008</v>
      </c>
      <c r="T399" s="49">
        <f ca="1"/>
        <v>11.75231225896416</v>
      </c>
      <c r="U399" s="49">
        <f ca="1"/>
        <v>11.731746984589799</v>
      </c>
      <c r="V399" s="49">
        <f ca="1"/>
        <v>11.128735189581883</v>
      </c>
      <c r="W399" s="49">
        <f ca="1"/>
        <v>10.585640716456105</v>
      </c>
      <c r="X399" s="49">
        <f ca="1"/>
        <v>10.014102885314331</v>
      </c>
      <c r="Y399" s="49">
        <f ca="1"/>
        <v>0</v>
      </c>
      <c r="Z399" s="49">
        <f ca="1"/>
        <v>0</v>
      </c>
      <c r="AA399" s="49">
        <f ca="1"/>
        <v>0</v>
      </c>
      <c r="AB399" s="49">
        <f ca="1"/>
        <v>0</v>
      </c>
      <c r="AC399" s="49">
        <f ca="1"/>
        <v>0</v>
      </c>
      <c r="AD399" s="49">
        <f ca="1"/>
        <v>0</v>
      </c>
      <c r="AE399" s="49">
        <f ca="1"/>
        <v>0</v>
      </c>
      <c r="AF399" s="49">
        <f ca="1"/>
        <v>0</v>
      </c>
      <c r="AG399" s="49">
        <f ca="1"/>
        <v>0</v>
      </c>
      <c r="AH399" s="49">
        <f ca="1"/>
        <v>0</v>
      </c>
      <c r="AI399" s="49">
        <f ca="1"/>
        <v>0</v>
      </c>
      <c r="AJ399" s="49">
        <f ca="1"/>
        <v>0</v>
      </c>
      <c r="AK399" s="49">
        <f ca="1"/>
        <v>0</v>
      </c>
      <c r="AL399" s="49">
        <f ca="1"/>
        <v>0</v>
      </c>
      <c r="AM399" s="49">
        <f ca="1"/>
        <v>0</v>
      </c>
      <c r="AN399" s="49">
        <f ca="1"/>
        <v>0</v>
      </c>
      <c r="AO399" s="49">
        <f ca="1"/>
        <v>0</v>
      </c>
      <c r="AP399" s="49">
        <f ca="1"/>
        <v>0</v>
      </c>
      <c r="AQ399" s="49">
        <f ca="1"/>
        <v>0</v>
      </c>
      <c r="AR399" s="49">
        <f ca="1"/>
        <v>0</v>
      </c>
      <c r="AS399" s="49">
        <f ca="1"/>
        <v>0</v>
      </c>
      <c r="AT399" s="49">
        <f ca="1"/>
        <v>0</v>
      </c>
      <c r="AU399" s="49">
        <f ca="1"/>
        <v>0</v>
      </c>
      <c r="AV399" s="49">
        <f ca="1"/>
        <v>0</v>
      </c>
      <c r="AW399" s="49">
        <f ca="1"/>
        <v>0</v>
      </c>
      <c r="AX399" s="49">
        <f ca="1"/>
        <v>0</v>
      </c>
      <c r="AY399" s="49">
        <f ca="1"/>
        <v>0</v>
      </c>
      <c r="AZ399" s="49">
        <f ca="1"/>
        <v>0</v>
      </c>
      <c r="BA399" s="49">
        <f ca="1"/>
        <v>0</v>
      </c>
      <c r="BB399" s="49">
        <f ca="1"/>
        <v>0</v>
      </c>
      <c r="BC399" s="49">
        <f ca="1"/>
        <v>0</v>
      </c>
      <c r="BD399" s="49">
        <f ca="1"/>
        <v>0</v>
      </c>
      <c r="BE399" s="49">
        <f ca="1"/>
        <v>0</v>
      </c>
      <c r="BF399" s="49">
        <f ca="1"/>
        <v>0</v>
      </c>
      <c r="BG399" s="49">
        <f ca="1"/>
        <v>0</v>
      </c>
      <c r="BH399" s="49">
        <f ca="1"/>
        <v>0</v>
      </c>
      <c r="BI399" s="49">
        <f ca="1"/>
        <v>0</v>
      </c>
      <c r="BJ399" s="49">
        <f ca="1"/>
        <v>0</v>
      </c>
      <c r="BK399" s="49">
        <f ca="1"/>
        <v>0</v>
      </c>
      <c r="BL399" s="49">
        <f ca="1"/>
        <v>0</v>
      </c>
      <c r="BM399" s="49">
        <f ca="1"/>
        <v>0</v>
      </c>
      <c r="BN399" s="49">
        <f ca="1"/>
        <v>0</v>
      </c>
      <c r="BO399" s="49">
        <f ca="1"/>
        <v>0</v>
      </c>
      <c r="BP399" s="49">
        <f ca="1"/>
        <v>0</v>
      </c>
      <c r="BQ399" s="49">
        <f ca="1"/>
        <v>0</v>
      </c>
      <c r="BR399" s="49">
        <f ca="1"/>
        <v>0</v>
      </c>
      <c r="BS399" s="49">
        <f ca="1"/>
        <v>0</v>
      </c>
    </row>
    <row r="400" spans="1:71" outlineLevel="1" x14ac:dyDescent="0.2">
      <c r="J400" s="26"/>
      <c r="L400" s="55"/>
      <c r="M400" s="55"/>
      <c r="N400" s="55"/>
      <c r="O400" s="55"/>
      <c r="P400" s="55"/>
      <c r="Q400" s="55"/>
      <c r="R400" s="55"/>
      <c r="S400" s="55"/>
      <c r="T400" s="55"/>
      <c r="U400" s="55"/>
      <c r="V400" s="55"/>
      <c r="W400" s="55"/>
      <c r="X400" s="55"/>
      <c r="Y400" s="55"/>
      <c r="Z400" s="55"/>
      <c r="AA400" s="55"/>
      <c r="AB400" s="55"/>
      <c r="AC400" s="55"/>
      <c r="AD400" s="55"/>
      <c r="AE400" s="55"/>
      <c r="AF400" s="55"/>
      <c r="AG400" s="55"/>
      <c r="AH400" s="55"/>
      <c r="AI400" s="55"/>
      <c r="AJ400" s="55"/>
      <c r="AK400" s="55"/>
      <c r="AL400" s="55"/>
      <c r="AM400" s="55"/>
      <c r="AN400" s="55"/>
      <c r="AO400" s="55"/>
      <c r="AP400" s="55"/>
      <c r="AQ400" s="55"/>
      <c r="AR400" s="55"/>
      <c r="AS400" s="55"/>
      <c r="AT400" s="55"/>
      <c r="AU400" s="55"/>
      <c r="AV400" s="55"/>
      <c r="AW400" s="55"/>
      <c r="AX400" s="55"/>
      <c r="AY400" s="55"/>
      <c r="AZ400" s="55"/>
      <c r="BA400" s="55"/>
      <c r="BB400" s="55"/>
      <c r="BC400" s="55"/>
      <c r="BD400" s="55"/>
      <c r="BE400" s="55"/>
      <c r="BF400" s="55"/>
      <c r="BG400" s="55"/>
      <c r="BH400" s="55"/>
      <c r="BI400" s="55"/>
      <c r="BJ400" s="55"/>
      <c r="BK400" s="55"/>
      <c r="BL400" s="55"/>
      <c r="BM400" s="55"/>
      <c r="BN400" s="55"/>
      <c r="BO400" s="55"/>
      <c r="BP400" s="55"/>
      <c r="BQ400" s="55"/>
      <c r="BR400" s="55"/>
      <c r="BS400" s="55"/>
    </row>
    <row r="401" spans="3:71" outlineLevel="1" x14ac:dyDescent="0.2">
      <c r="C401" s="11" t="s">
        <v>272</v>
      </c>
      <c r="I401" s="30">
        <f t="shared" ref="I401:I411" si="101">SUM($L401:$BS401)</f>
        <v>0</v>
      </c>
      <c r="J401" s="26" t="s">
        <v>148</v>
      </c>
      <c r="L401" s="49">
        <v>0</v>
      </c>
      <c r="M401" s="49">
        <v>0</v>
      </c>
      <c r="N401" s="49">
        <v>0</v>
      </c>
      <c r="O401" s="49">
        <v>0</v>
      </c>
      <c r="P401" s="49">
        <v>0</v>
      </c>
      <c r="Q401" s="49">
        <v>0</v>
      </c>
      <c r="R401" s="49">
        <v>0</v>
      </c>
      <c r="S401" s="49">
        <v>0</v>
      </c>
      <c r="T401" s="49">
        <v>0</v>
      </c>
      <c r="U401" s="49">
        <v>0</v>
      </c>
      <c r="V401" s="49">
        <v>0</v>
      </c>
      <c r="W401" s="49">
        <v>0</v>
      </c>
      <c r="X401" s="49">
        <v>0</v>
      </c>
      <c r="Y401" s="49">
        <v>0</v>
      </c>
      <c r="Z401" s="49">
        <v>0</v>
      </c>
      <c r="AA401" s="49">
        <v>0</v>
      </c>
      <c r="AB401" s="49">
        <v>0</v>
      </c>
      <c r="AC401" s="49">
        <v>0</v>
      </c>
      <c r="AD401" s="49">
        <v>0</v>
      </c>
      <c r="AE401" s="49">
        <v>0</v>
      </c>
      <c r="AF401" s="49">
        <v>0</v>
      </c>
      <c r="AG401" s="49">
        <v>0</v>
      </c>
      <c r="AH401" s="49">
        <v>0</v>
      </c>
      <c r="AI401" s="49">
        <v>0</v>
      </c>
      <c r="AJ401" s="49">
        <v>0</v>
      </c>
      <c r="AK401" s="49">
        <v>0</v>
      </c>
      <c r="AL401" s="49">
        <v>0</v>
      </c>
      <c r="AM401" s="49">
        <v>0</v>
      </c>
      <c r="AN401" s="49">
        <v>0</v>
      </c>
      <c r="AO401" s="49">
        <v>0</v>
      </c>
      <c r="AP401" s="49">
        <v>0</v>
      </c>
      <c r="AQ401" s="49">
        <v>0</v>
      </c>
      <c r="AR401" s="49">
        <v>0</v>
      </c>
      <c r="AS401" s="49">
        <v>0</v>
      </c>
      <c r="AT401" s="49">
        <v>0</v>
      </c>
      <c r="AU401" s="49">
        <v>0</v>
      </c>
      <c r="AV401" s="49">
        <v>0</v>
      </c>
      <c r="AW401" s="49">
        <v>0</v>
      </c>
      <c r="AX401" s="49">
        <v>0</v>
      </c>
      <c r="AY401" s="49">
        <v>0</v>
      </c>
      <c r="AZ401" s="49">
        <v>0</v>
      </c>
      <c r="BA401" s="49">
        <v>0</v>
      </c>
      <c r="BB401" s="49">
        <v>0</v>
      </c>
      <c r="BC401" s="49">
        <v>0</v>
      </c>
      <c r="BD401" s="49">
        <v>0</v>
      </c>
      <c r="BE401" s="49">
        <v>0</v>
      </c>
      <c r="BF401" s="49">
        <v>0</v>
      </c>
      <c r="BG401" s="49">
        <v>0</v>
      </c>
      <c r="BH401" s="49">
        <v>0</v>
      </c>
      <c r="BI401" s="49">
        <v>0</v>
      </c>
      <c r="BJ401" s="49">
        <v>0</v>
      </c>
      <c r="BK401" s="49">
        <v>0</v>
      </c>
      <c r="BL401" s="49">
        <v>0</v>
      </c>
      <c r="BM401" s="49">
        <v>0</v>
      </c>
      <c r="BN401" s="49">
        <v>0</v>
      </c>
      <c r="BO401" s="49">
        <v>0</v>
      </c>
      <c r="BP401" s="49">
        <v>0</v>
      </c>
      <c r="BQ401" s="49">
        <v>0</v>
      </c>
      <c r="BR401" s="49">
        <v>0</v>
      </c>
      <c r="BS401" s="49">
        <v>0</v>
      </c>
    </row>
    <row r="402" spans="3:71" outlineLevel="1" x14ac:dyDescent="0.2">
      <c r="J402" s="26"/>
      <c r="L402" s="55"/>
      <c r="M402" s="55"/>
      <c r="N402" s="55"/>
      <c r="O402" s="55"/>
      <c r="P402" s="55"/>
      <c r="Q402" s="55"/>
      <c r="R402" s="55"/>
      <c r="S402" s="55"/>
      <c r="T402" s="55"/>
      <c r="U402" s="55"/>
      <c r="V402" s="55"/>
      <c r="W402" s="55"/>
      <c r="X402" s="55"/>
      <c r="Y402" s="55"/>
      <c r="Z402" s="55"/>
      <c r="AA402" s="55"/>
      <c r="AB402" s="55"/>
      <c r="AC402" s="55"/>
      <c r="AD402" s="55"/>
      <c r="AE402" s="55"/>
      <c r="AF402" s="55"/>
      <c r="AG402" s="55"/>
      <c r="AH402" s="55"/>
      <c r="AI402" s="55"/>
      <c r="AJ402" s="55"/>
      <c r="AK402" s="55"/>
      <c r="AL402" s="55"/>
      <c r="AM402" s="55"/>
      <c r="AN402" s="55"/>
      <c r="AO402" s="55"/>
      <c r="AP402" s="55"/>
      <c r="AQ402" s="55"/>
      <c r="AR402" s="55"/>
      <c r="AS402" s="55"/>
      <c r="AT402" s="55"/>
      <c r="AU402" s="55"/>
      <c r="AV402" s="55"/>
      <c r="AW402" s="55"/>
      <c r="AX402" s="55"/>
      <c r="AY402" s="55"/>
      <c r="AZ402" s="55"/>
      <c r="BA402" s="55"/>
      <c r="BB402" s="55"/>
      <c r="BC402" s="55"/>
      <c r="BD402" s="55"/>
      <c r="BE402" s="55"/>
      <c r="BF402" s="55"/>
      <c r="BG402" s="55"/>
      <c r="BH402" s="55"/>
      <c r="BI402" s="55"/>
      <c r="BJ402" s="55"/>
      <c r="BK402" s="55"/>
      <c r="BL402" s="55"/>
      <c r="BM402" s="55"/>
      <c r="BN402" s="55"/>
      <c r="BO402" s="55"/>
      <c r="BP402" s="55"/>
      <c r="BQ402" s="55"/>
      <c r="BR402" s="55"/>
      <c r="BS402" s="55"/>
    </row>
    <row r="403" spans="3:71" outlineLevel="1" x14ac:dyDescent="0.2">
      <c r="C403" s="11" t="s">
        <v>273</v>
      </c>
      <c r="I403" s="30">
        <f t="shared" ca="1" si="101"/>
        <v>10913.591</v>
      </c>
      <c r="J403" s="26" t="s">
        <v>148</v>
      </c>
      <c r="L403" s="49">
        <f ca="1">SUM(L380:L381)</f>
        <v>1286.7819999999999</v>
      </c>
      <c r="M403" s="49">
        <f t="shared" ref="M403:BS403" ca="1" si="102">SUM(M380:M381)</f>
        <v>2118.212</v>
      </c>
      <c r="N403" s="49">
        <f t="shared" ca="1" si="102"/>
        <v>3130.5740000000001</v>
      </c>
      <c r="O403" s="49">
        <f t="shared" ca="1" si="102"/>
        <v>2571.201</v>
      </c>
      <c r="P403" s="49">
        <f t="shared" ca="1" si="102"/>
        <v>1153.232</v>
      </c>
      <c r="Q403" s="49">
        <f t="shared" ca="1" si="102"/>
        <v>653.59</v>
      </c>
      <c r="R403" s="49">
        <f t="shared" ca="1" si="102"/>
        <v>0</v>
      </c>
      <c r="S403" s="49">
        <f t="shared" ca="1" si="102"/>
        <v>0</v>
      </c>
      <c r="T403" s="49">
        <f t="shared" ca="1" si="102"/>
        <v>0</v>
      </c>
      <c r="U403" s="49">
        <f t="shared" ca="1" si="102"/>
        <v>0</v>
      </c>
      <c r="V403" s="49">
        <f t="shared" ca="1" si="102"/>
        <v>0</v>
      </c>
      <c r="W403" s="49">
        <f t="shared" ca="1" si="102"/>
        <v>0</v>
      </c>
      <c r="X403" s="49">
        <f t="shared" ca="1" si="102"/>
        <v>0</v>
      </c>
      <c r="Y403" s="49">
        <f t="shared" ca="1" si="102"/>
        <v>0</v>
      </c>
      <c r="Z403" s="49">
        <f t="shared" ca="1" si="102"/>
        <v>0</v>
      </c>
      <c r="AA403" s="49">
        <f t="shared" ca="1" si="102"/>
        <v>0</v>
      </c>
      <c r="AB403" s="49">
        <f t="shared" ca="1" si="102"/>
        <v>0</v>
      </c>
      <c r="AC403" s="49">
        <f t="shared" ca="1" si="102"/>
        <v>0</v>
      </c>
      <c r="AD403" s="49">
        <f t="shared" ca="1" si="102"/>
        <v>0</v>
      </c>
      <c r="AE403" s="49">
        <f t="shared" ca="1" si="102"/>
        <v>0</v>
      </c>
      <c r="AF403" s="49">
        <f t="shared" ca="1" si="102"/>
        <v>0</v>
      </c>
      <c r="AG403" s="49">
        <f t="shared" ca="1" si="102"/>
        <v>0</v>
      </c>
      <c r="AH403" s="49">
        <f t="shared" ca="1" si="102"/>
        <v>0</v>
      </c>
      <c r="AI403" s="49">
        <f t="shared" ca="1" si="102"/>
        <v>0</v>
      </c>
      <c r="AJ403" s="49">
        <f t="shared" ca="1" si="102"/>
        <v>0</v>
      </c>
      <c r="AK403" s="49">
        <f t="shared" ca="1" si="102"/>
        <v>0</v>
      </c>
      <c r="AL403" s="49">
        <f t="shared" ca="1" si="102"/>
        <v>0</v>
      </c>
      <c r="AM403" s="49">
        <f t="shared" ca="1" si="102"/>
        <v>0</v>
      </c>
      <c r="AN403" s="49">
        <f t="shared" ca="1" si="102"/>
        <v>0</v>
      </c>
      <c r="AO403" s="49">
        <f t="shared" ca="1" si="102"/>
        <v>0</v>
      </c>
      <c r="AP403" s="49">
        <f t="shared" ca="1" si="102"/>
        <v>0</v>
      </c>
      <c r="AQ403" s="49">
        <f t="shared" ca="1" si="102"/>
        <v>0</v>
      </c>
      <c r="AR403" s="49">
        <f t="shared" ca="1" si="102"/>
        <v>0</v>
      </c>
      <c r="AS403" s="49">
        <f t="shared" ca="1" si="102"/>
        <v>0</v>
      </c>
      <c r="AT403" s="49">
        <f t="shared" ca="1" si="102"/>
        <v>0</v>
      </c>
      <c r="AU403" s="49">
        <f t="shared" ca="1" si="102"/>
        <v>0</v>
      </c>
      <c r="AV403" s="49">
        <f t="shared" ca="1" si="102"/>
        <v>0</v>
      </c>
      <c r="AW403" s="49">
        <f t="shared" ca="1" si="102"/>
        <v>0</v>
      </c>
      <c r="AX403" s="49">
        <f t="shared" ca="1" si="102"/>
        <v>0</v>
      </c>
      <c r="AY403" s="49">
        <f t="shared" ca="1" si="102"/>
        <v>0</v>
      </c>
      <c r="AZ403" s="49">
        <f t="shared" ca="1" si="102"/>
        <v>0</v>
      </c>
      <c r="BA403" s="49">
        <f t="shared" ca="1" si="102"/>
        <v>0</v>
      </c>
      <c r="BB403" s="49">
        <f t="shared" ca="1" si="102"/>
        <v>0</v>
      </c>
      <c r="BC403" s="49">
        <f t="shared" ca="1" si="102"/>
        <v>0</v>
      </c>
      <c r="BD403" s="49">
        <f t="shared" ca="1" si="102"/>
        <v>0</v>
      </c>
      <c r="BE403" s="49">
        <f t="shared" ca="1" si="102"/>
        <v>0</v>
      </c>
      <c r="BF403" s="49">
        <f t="shared" ca="1" si="102"/>
        <v>0</v>
      </c>
      <c r="BG403" s="49">
        <f t="shared" ca="1" si="102"/>
        <v>0</v>
      </c>
      <c r="BH403" s="49">
        <f t="shared" ca="1" si="102"/>
        <v>0</v>
      </c>
      <c r="BI403" s="49">
        <f t="shared" ca="1" si="102"/>
        <v>0</v>
      </c>
      <c r="BJ403" s="49">
        <f t="shared" ca="1" si="102"/>
        <v>0</v>
      </c>
      <c r="BK403" s="49">
        <f t="shared" ca="1" si="102"/>
        <v>0</v>
      </c>
      <c r="BL403" s="49">
        <f t="shared" ca="1" si="102"/>
        <v>0</v>
      </c>
      <c r="BM403" s="49">
        <f t="shared" ca="1" si="102"/>
        <v>0</v>
      </c>
      <c r="BN403" s="49">
        <f t="shared" ca="1" si="102"/>
        <v>0</v>
      </c>
      <c r="BO403" s="49">
        <f t="shared" ca="1" si="102"/>
        <v>0</v>
      </c>
      <c r="BP403" s="49">
        <f t="shared" ca="1" si="102"/>
        <v>0</v>
      </c>
      <c r="BQ403" s="49">
        <f t="shared" ca="1" si="102"/>
        <v>0</v>
      </c>
      <c r="BR403" s="49">
        <f t="shared" ca="1" si="102"/>
        <v>0</v>
      </c>
      <c r="BS403" s="49">
        <f t="shared" ca="1" si="102"/>
        <v>0</v>
      </c>
    </row>
    <row r="404" spans="3:71" outlineLevel="1" x14ac:dyDescent="0.2">
      <c r="J404" s="26"/>
      <c r="L404" s="55"/>
      <c r="M404" s="55"/>
      <c r="N404" s="55"/>
      <c r="O404" s="55"/>
      <c r="P404" s="55"/>
      <c r="Q404" s="55"/>
      <c r="R404" s="55"/>
      <c r="S404" s="55"/>
      <c r="T404" s="55"/>
      <c r="U404" s="55"/>
      <c r="V404" s="55"/>
      <c r="W404" s="55"/>
      <c r="X404" s="55"/>
      <c r="Y404" s="55"/>
      <c r="Z404" s="55"/>
      <c r="AA404" s="55"/>
      <c r="AB404" s="55"/>
      <c r="AC404" s="55"/>
      <c r="AD404" s="55"/>
      <c r="AE404" s="55"/>
      <c r="AF404" s="55"/>
      <c r="AG404" s="55"/>
      <c r="AH404" s="55"/>
      <c r="AI404" s="55"/>
      <c r="AJ404" s="55"/>
      <c r="AK404" s="55"/>
      <c r="AL404" s="55"/>
      <c r="AM404" s="55"/>
      <c r="AN404" s="55"/>
      <c r="AO404" s="55"/>
      <c r="AP404" s="55"/>
      <c r="AQ404" s="55"/>
      <c r="AR404" s="55"/>
      <c r="AS404" s="55"/>
      <c r="AT404" s="55"/>
      <c r="AU404" s="55"/>
      <c r="AV404" s="55"/>
      <c r="AW404" s="55"/>
      <c r="AX404" s="55"/>
      <c r="AY404" s="55"/>
      <c r="AZ404" s="55"/>
      <c r="BA404" s="55"/>
      <c r="BB404" s="55"/>
      <c r="BC404" s="55"/>
      <c r="BD404" s="55"/>
      <c r="BE404" s="55"/>
      <c r="BF404" s="55"/>
      <c r="BG404" s="55"/>
      <c r="BH404" s="55"/>
      <c r="BI404" s="55"/>
      <c r="BJ404" s="55"/>
      <c r="BK404" s="55"/>
      <c r="BL404" s="55"/>
      <c r="BM404" s="55"/>
      <c r="BN404" s="55"/>
      <c r="BO404" s="55"/>
      <c r="BP404" s="55"/>
      <c r="BQ404" s="55"/>
      <c r="BR404" s="55"/>
      <c r="BS404" s="55"/>
    </row>
    <row r="405" spans="3:71" outlineLevel="1" x14ac:dyDescent="0.2">
      <c r="C405" s="11" t="s">
        <v>264</v>
      </c>
      <c r="I405" s="30">
        <f t="shared" ca="1" si="101"/>
        <v>0</v>
      </c>
      <c r="J405" s="26" t="s">
        <v>148</v>
      </c>
      <c r="L405" s="49">
        <f ca="1">L382</f>
        <v>0</v>
      </c>
      <c r="M405" s="49">
        <f t="shared" ref="M405:BS405" ca="1" si="103">M382</f>
        <v>0</v>
      </c>
      <c r="N405" s="49">
        <f t="shared" ca="1" si="103"/>
        <v>0</v>
      </c>
      <c r="O405" s="49">
        <f t="shared" ca="1" si="103"/>
        <v>0</v>
      </c>
      <c r="P405" s="49">
        <f t="shared" ca="1" si="103"/>
        <v>0</v>
      </c>
      <c r="Q405" s="49">
        <f t="shared" ca="1" si="103"/>
        <v>0</v>
      </c>
      <c r="R405" s="49">
        <f t="shared" ca="1" si="103"/>
        <v>0</v>
      </c>
      <c r="S405" s="49">
        <f t="shared" ca="1" si="103"/>
        <v>0</v>
      </c>
      <c r="T405" s="49">
        <f t="shared" ca="1" si="103"/>
        <v>0</v>
      </c>
      <c r="U405" s="49">
        <f t="shared" ca="1" si="103"/>
        <v>0</v>
      </c>
      <c r="V405" s="49">
        <f t="shared" ca="1" si="103"/>
        <v>0</v>
      </c>
      <c r="W405" s="49">
        <f t="shared" ca="1" si="103"/>
        <v>0</v>
      </c>
      <c r="X405" s="49">
        <f t="shared" ca="1" si="103"/>
        <v>0</v>
      </c>
      <c r="Y405" s="49">
        <f t="shared" ca="1" si="103"/>
        <v>0</v>
      </c>
      <c r="Z405" s="49">
        <f t="shared" ca="1" si="103"/>
        <v>0</v>
      </c>
      <c r="AA405" s="49">
        <f t="shared" ca="1" si="103"/>
        <v>0</v>
      </c>
      <c r="AB405" s="49">
        <f t="shared" ca="1" si="103"/>
        <v>0</v>
      </c>
      <c r="AC405" s="49">
        <f t="shared" ca="1" si="103"/>
        <v>0</v>
      </c>
      <c r="AD405" s="49">
        <f t="shared" ca="1" si="103"/>
        <v>0</v>
      </c>
      <c r="AE405" s="49">
        <f t="shared" ca="1" si="103"/>
        <v>0</v>
      </c>
      <c r="AF405" s="49">
        <f t="shared" ca="1" si="103"/>
        <v>0</v>
      </c>
      <c r="AG405" s="49">
        <f t="shared" ca="1" si="103"/>
        <v>0</v>
      </c>
      <c r="AH405" s="49">
        <f t="shared" ca="1" si="103"/>
        <v>0</v>
      </c>
      <c r="AI405" s="49">
        <f t="shared" ca="1" si="103"/>
        <v>0</v>
      </c>
      <c r="AJ405" s="49">
        <f t="shared" ca="1" si="103"/>
        <v>0</v>
      </c>
      <c r="AK405" s="49">
        <f t="shared" ca="1" si="103"/>
        <v>0</v>
      </c>
      <c r="AL405" s="49">
        <f t="shared" ca="1" si="103"/>
        <v>0</v>
      </c>
      <c r="AM405" s="49">
        <f t="shared" ca="1" si="103"/>
        <v>0</v>
      </c>
      <c r="AN405" s="49">
        <f t="shared" ca="1" si="103"/>
        <v>0</v>
      </c>
      <c r="AO405" s="49">
        <f t="shared" ca="1" si="103"/>
        <v>0</v>
      </c>
      <c r="AP405" s="49">
        <f t="shared" ca="1" si="103"/>
        <v>0</v>
      </c>
      <c r="AQ405" s="49">
        <f t="shared" ca="1" si="103"/>
        <v>0</v>
      </c>
      <c r="AR405" s="49">
        <f t="shared" ca="1" si="103"/>
        <v>0</v>
      </c>
      <c r="AS405" s="49">
        <f t="shared" ca="1" si="103"/>
        <v>0</v>
      </c>
      <c r="AT405" s="49">
        <f t="shared" ca="1" si="103"/>
        <v>0</v>
      </c>
      <c r="AU405" s="49">
        <f t="shared" ca="1" si="103"/>
        <v>0</v>
      </c>
      <c r="AV405" s="49">
        <f t="shared" ca="1" si="103"/>
        <v>0</v>
      </c>
      <c r="AW405" s="49">
        <f t="shared" ca="1" si="103"/>
        <v>0</v>
      </c>
      <c r="AX405" s="49">
        <f t="shared" ca="1" si="103"/>
        <v>0</v>
      </c>
      <c r="AY405" s="49">
        <f t="shared" ca="1" si="103"/>
        <v>0</v>
      </c>
      <c r="AZ405" s="49">
        <f t="shared" ca="1" si="103"/>
        <v>0</v>
      </c>
      <c r="BA405" s="49">
        <f t="shared" ca="1" si="103"/>
        <v>0</v>
      </c>
      <c r="BB405" s="49">
        <f t="shared" ca="1" si="103"/>
        <v>0</v>
      </c>
      <c r="BC405" s="49">
        <f t="shared" ca="1" si="103"/>
        <v>0</v>
      </c>
      <c r="BD405" s="49">
        <f t="shared" ca="1" si="103"/>
        <v>0</v>
      </c>
      <c r="BE405" s="49">
        <f t="shared" ca="1" si="103"/>
        <v>0</v>
      </c>
      <c r="BF405" s="49">
        <f t="shared" ca="1" si="103"/>
        <v>0</v>
      </c>
      <c r="BG405" s="49">
        <f t="shared" ca="1" si="103"/>
        <v>0</v>
      </c>
      <c r="BH405" s="49">
        <f t="shared" ca="1" si="103"/>
        <v>0</v>
      </c>
      <c r="BI405" s="49">
        <f t="shared" ca="1" si="103"/>
        <v>0</v>
      </c>
      <c r="BJ405" s="49">
        <f t="shared" ca="1" si="103"/>
        <v>0</v>
      </c>
      <c r="BK405" s="49">
        <f t="shared" ca="1" si="103"/>
        <v>0</v>
      </c>
      <c r="BL405" s="49">
        <f t="shared" ca="1" si="103"/>
        <v>0</v>
      </c>
      <c r="BM405" s="49">
        <f t="shared" ca="1" si="103"/>
        <v>0</v>
      </c>
      <c r="BN405" s="49">
        <f t="shared" ca="1" si="103"/>
        <v>0</v>
      </c>
      <c r="BO405" s="49">
        <f t="shared" ca="1" si="103"/>
        <v>0</v>
      </c>
      <c r="BP405" s="49">
        <f t="shared" ca="1" si="103"/>
        <v>0</v>
      </c>
      <c r="BQ405" s="49">
        <f t="shared" ca="1" si="103"/>
        <v>0</v>
      </c>
      <c r="BR405" s="49">
        <f t="shared" ca="1" si="103"/>
        <v>0</v>
      </c>
      <c r="BS405" s="49">
        <f t="shared" ca="1" si="103"/>
        <v>0</v>
      </c>
    </row>
    <row r="406" spans="3:71" outlineLevel="1" x14ac:dyDescent="0.2">
      <c r="J406" s="26"/>
      <c r="L406" s="55"/>
      <c r="M406" s="55"/>
      <c r="N406" s="55"/>
      <c r="O406" s="55"/>
      <c r="P406" s="55"/>
      <c r="Q406" s="55"/>
      <c r="R406" s="55"/>
      <c r="S406" s="55"/>
      <c r="T406" s="55"/>
      <c r="U406" s="55"/>
      <c r="V406" s="55"/>
      <c r="W406" s="55"/>
      <c r="X406" s="55"/>
      <c r="Y406" s="55"/>
      <c r="Z406" s="55"/>
      <c r="AA406" s="55"/>
      <c r="AB406" s="55"/>
      <c r="AC406" s="55"/>
      <c r="AD406" s="55"/>
      <c r="AE406" s="55"/>
      <c r="AF406" s="55"/>
      <c r="AG406" s="55"/>
      <c r="AH406" s="55"/>
      <c r="AI406" s="55"/>
      <c r="AJ406" s="55"/>
      <c r="AK406" s="55"/>
      <c r="AL406" s="55"/>
      <c r="AM406" s="55"/>
      <c r="AN406" s="55"/>
      <c r="AO406" s="55"/>
      <c r="AP406" s="55"/>
      <c r="AQ406" s="55"/>
      <c r="AR406" s="55"/>
      <c r="AS406" s="55"/>
      <c r="AT406" s="55"/>
      <c r="AU406" s="55"/>
      <c r="AV406" s="55"/>
      <c r="AW406" s="55"/>
      <c r="AX406" s="55"/>
      <c r="AY406" s="55"/>
      <c r="AZ406" s="55"/>
      <c r="BA406" s="55"/>
      <c r="BB406" s="55"/>
      <c r="BC406" s="55"/>
      <c r="BD406" s="55"/>
      <c r="BE406" s="55"/>
      <c r="BF406" s="55"/>
      <c r="BG406" s="55"/>
      <c r="BH406" s="55"/>
      <c r="BI406" s="55"/>
      <c r="BJ406" s="55"/>
      <c r="BK406" s="55"/>
      <c r="BL406" s="55"/>
      <c r="BM406" s="55"/>
      <c r="BN406" s="55"/>
      <c r="BO406" s="55"/>
      <c r="BP406" s="55"/>
      <c r="BQ406" s="55"/>
      <c r="BR406" s="55"/>
      <c r="BS406" s="55"/>
    </row>
    <row r="407" spans="3:71" outlineLevel="1" x14ac:dyDescent="0.2">
      <c r="C407" s="11" t="s">
        <v>274</v>
      </c>
      <c r="I407" s="30">
        <f t="shared" si="101"/>
        <v>0</v>
      </c>
      <c r="J407" s="26" t="s">
        <v>148</v>
      </c>
      <c r="L407" s="49">
        <v>0</v>
      </c>
      <c r="M407" s="49">
        <v>0</v>
      </c>
      <c r="N407" s="49">
        <v>0</v>
      </c>
      <c r="O407" s="49">
        <v>0</v>
      </c>
      <c r="P407" s="49">
        <v>0</v>
      </c>
      <c r="Q407" s="49">
        <v>0</v>
      </c>
      <c r="R407" s="49">
        <v>0</v>
      </c>
      <c r="S407" s="49">
        <v>0</v>
      </c>
      <c r="T407" s="49">
        <v>0</v>
      </c>
      <c r="U407" s="49">
        <v>0</v>
      </c>
      <c r="V407" s="49">
        <v>0</v>
      </c>
      <c r="W407" s="49">
        <v>0</v>
      </c>
      <c r="X407" s="49">
        <v>0</v>
      </c>
      <c r="Y407" s="49">
        <v>0</v>
      </c>
      <c r="Z407" s="49">
        <v>0</v>
      </c>
      <c r="AA407" s="49">
        <v>0</v>
      </c>
      <c r="AB407" s="49">
        <v>0</v>
      </c>
      <c r="AC407" s="49">
        <v>0</v>
      </c>
      <c r="AD407" s="49">
        <v>0</v>
      </c>
      <c r="AE407" s="49">
        <v>0</v>
      </c>
      <c r="AF407" s="49">
        <v>0</v>
      </c>
      <c r="AG407" s="49">
        <v>0</v>
      </c>
      <c r="AH407" s="49">
        <v>0</v>
      </c>
      <c r="AI407" s="49">
        <v>0</v>
      </c>
      <c r="AJ407" s="49">
        <v>0</v>
      </c>
      <c r="AK407" s="49">
        <v>0</v>
      </c>
      <c r="AL407" s="49">
        <v>0</v>
      </c>
      <c r="AM407" s="49">
        <v>0</v>
      </c>
      <c r="AN407" s="49">
        <v>0</v>
      </c>
      <c r="AO407" s="49">
        <v>0</v>
      </c>
      <c r="AP407" s="49">
        <v>0</v>
      </c>
      <c r="AQ407" s="49">
        <v>0</v>
      </c>
      <c r="AR407" s="49">
        <v>0</v>
      </c>
      <c r="AS407" s="49">
        <v>0</v>
      </c>
      <c r="AT407" s="49">
        <v>0</v>
      </c>
      <c r="AU407" s="49">
        <v>0</v>
      </c>
      <c r="AV407" s="49">
        <v>0</v>
      </c>
      <c r="AW407" s="49">
        <v>0</v>
      </c>
      <c r="AX407" s="49">
        <v>0</v>
      </c>
      <c r="AY407" s="49">
        <v>0</v>
      </c>
      <c r="AZ407" s="49">
        <v>0</v>
      </c>
      <c r="BA407" s="49">
        <v>0</v>
      </c>
      <c r="BB407" s="49">
        <v>0</v>
      </c>
      <c r="BC407" s="49">
        <v>0</v>
      </c>
      <c r="BD407" s="49">
        <v>0</v>
      </c>
      <c r="BE407" s="49">
        <v>0</v>
      </c>
      <c r="BF407" s="49">
        <v>0</v>
      </c>
      <c r="BG407" s="49">
        <v>0</v>
      </c>
      <c r="BH407" s="49">
        <v>0</v>
      </c>
      <c r="BI407" s="49">
        <v>0</v>
      </c>
      <c r="BJ407" s="49">
        <v>0</v>
      </c>
      <c r="BK407" s="49">
        <v>0</v>
      </c>
      <c r="BL407" s="49">
        <v>0</v>
      </c>
      <c r="BM407" s="49">
        <v>0</v>
      </c>
      <c r="BN407" s="49">
        <v>0</v>
      </c>
      <c r="BO407" s="49">
        <v>0</v>
      </c>
      <c r="BP407" s="49">
        <v>0</v>
      </c>
      <c r="BQ407" s="49">
        <v>0</v>
      </c>
      <c r="BR407" s="49">
        <v>0</v>
      </c>
      <c r="BS407" s="49">
        <v>0</v>
      </c>
    </row>
    <row r="408" spans="3:71" outlineLevel="1" x14ac:dyDescent="0.2">
      <c r="J408" s="26"/>
      <c r="L408" s="55"/>
      <c r="M408" s="55"/>
      <c r="N408" s="55"/>
      <c r="O408" s="55"/>
      <c r="P408" s="55"/>
      <c r="Q408" s="55"/>
      <c r="R408" s="55"/>
      <c r="S408" s="55"/>
      <c r="T408" s="55"/>
      <c r="U408" s="55"/>
      <c r="V408" s="55"/>
      <c r="W408" s="55"/>
      <c r="X408" s="55"/>
      <c r="Y408" s="55"/>
      <c r="Z408" s="55"/>
      <c r="AA408" s="55"/>
      <c r="AB408" s="55"/>
      <c r="AC408" s="55"/>
      <c r="AD408" s="55"/>
      <c r="AE408" s="55"/>
      <c r="AF408" s="55"/>
      <c r="AG408" s="55"/>
      <c r="AH408" s="55"/>
      <c r="AI408" s="55"/>
      <c r="AJ408" s="55"/>
      <c r="AK408" s="55"/>
      <c r="AL408" s="55"/>
      <c r="AM408" s="55"/>
      <c r="AN408" s="55"/>
      <c r="AO408" s="55"/>
      <c r="AP408" s="55"/>
      <c r="AQ408" s="55"/>
      <c r="AR408" s="55"/>
      <c r="AS408" s="55"/>
      <c r="AT408" s="55"/>
      <c r="AU408" s="55"/>
      <c r="AV408" s="55"/>
      <c r="AW408" s="55"/>
      <c r="AX408" s="55"/>
      <c r="AY408" s="55"/>
      <c r="AZ408" s="55"/>
      <c r="BA408" s="55"/>
      <c r="BB408" s="55"/>
      <c r="BC408" s="55"/>
      <c r="BD408" s="55"/>
      <c r="BE408" s="55"/>
      <c r="BF408" s="55"/>
      <c r="BG408" s="55"/>
      <c r="BH408" s="55"/>
      <c r="BI408" s="55"/>
      <c r="BJ408" s="55"/>
      <c r="BK408" s="55"/>
      <c r="BL408" s="55"/>
      <c r="BM408" s="55"/>
      <c r="BN408" s="55"/>
      <c r="BO408" s="55"/>
      <c r="BP408" s="55"/>
      <c r="BQ408" s="55"/>
      <c r="BR408" s="55"/>
      <c r="BS408" s="55"/>
    </row>
    <row r="409" spans="3:71" outlineLevel="1" x14ac:dyDescent="0.2">
      <c r="C409" s="11" t="s">
        <v>275</v>
      </c>
      <c r="I409" s="30">
        <f t="shared" si="101"/>
        <v>0</v>
      </c>
      <c r="J409" s="26" t="s">
        <v>148</v>
      </c>
      <c r="L409" s="49">
        <v>0</v>
      </c>
      <c r="M409" s="49">
        <v>0</v>
      </c>
      <c r="N409" s="49">
        <v>0</v>
      </c>
      <c r="O409" s="49">
        <v>0</v>
      </c>
      <c r="P409" s="49">
        <v>0</v>
      </c>
      <c r="Q409" s="49">
        <v>0</v>
      </c>
      <c r="R409" s="49">
        <v>0</v>
      </c>
      <c r="S409" s="49">
        <v>0</v>
      </c>
      <c r="T409" s="49">
        <v>0</v>
      </c>
      <c r="U409" s="49">
        <v>0</v>
      </c>
      <c r="V409" s="49">
        <v>0</v>
      </c>
      <c r="W409" s="49">
        <v>0</v>
      </c>
      <c r="X409" s="49">
        <v>0</v>
      </c>
      <c r="Y409" s="49">
        <v>0</v>
      </c>
      <c r="Z409" s="49">
        <v>0</v>
      </c>
      <c r="AA409" s="49">
        <v>0</v>
      </c>
      <c r="AB409" s="49">
        <v>0</v>
      </c>
      <c r="AC409" s="49">
        <v>0</v>
      </c>
      <c r="AD409" s="49">
        <v>0</v>
      </c>
      <c r="AE409" s="49">
        <v>0</v>
      </c>
      <c r="AF409" s="49">
        <v>0</v>
      </c>
      <c r="AG409" s="49">
        <v>0</v>
      </c>
      <c r="AH409" s="49">
        <v>0</v>
      </c>
      <c r="AI409" s="49">
        <v>0</v>
      </c>
      <c r="AJ409" s="49">
        <v>0</v>
      </c>
      <c r="AK409" s="49">
        <v>0</v>
      </c>
      <c r="AL409" s="49">
        <v>0</v>
      </c>
      <c r="AM409" s="49">
        <v>0</v>
      </c>
      <c r="AN409" s="49">
        <v>0</v>
      </c>
      <c r="AO409" s="49">
        <v>0</v>
      </c>
      <c r="AP409" s="49">
        <v>0</v>
      </c>
      <c r="AQ409" s="49">
        <v>0</v>
      </c>
      <c r="AR409" s="49">
        <v>0</v>
      </c>
      <c r="AS409" s="49">
        <v>0</v>
      </c>
      <c r="AT409" s="49">
        <v>0</v>
      </c>
      <c r="AU409" s="49">
        <v>0</v>
      </c>
      <c r="AV409" s="49">
        <v>0</v>
      </c>
      <c r="AW409" s="49">
        <v>0</v>
      </c>
      <c r="AX409" s="49">
        <v>0</v>
      </c>
      <c r="AY409" s="49">
        <v>0</v>
      </c>
      <c r="AZ409" s="49">
        <v>0</v>
      </c>
      <c r="BA409" s="49">
        <v>0</v>
      </c>
      <c r="BB409" s="49">
        <v>0</v>
      </c>
      <c r="BC409" s="49">
        <v>0</v>
      </c>
      <c r="BD409" s="49">
        <v>0</v>
      </c>
      <c r="BE409" s="49">
        <v>0</v>
      </c>
      <c r="BF409" s="49">
        <v>0</v>
      </c>
      <c r="BG409" s="49">
        <v>0</v>
      </c>
      <c r="BH409" s="49">
        <v>0</v>
      </c>
      <c r="BI409" s="49">
        <v>0</v>
      </c>
      <c r="BJ409" s="49">
        <v>0</v>
      </c>
      <c r="BK409" s="49">
        <v>0</v>
      </c>
      <c r="BL409" s="49">
        <v>0</v>
      </c>
      <c r="BM409" s="49">
        <v>0</v>
      </c>
      <c r="BN409" s="49">
        <v>0</v>
      </c>
      <c r="BO409" s="49">
        <v>0</v>
      </c>
      <c r="BP409" s="49">
        <v>0</v>
      </c>
      <c r="BQ409" s="49">
        <v>0</v>
      </c>
      <c r="BR409" s="49">
        <v>0</v>
      </c>
      <c r="BS409" s="49">
        <v>0</v>
      </c>
    </row>
    <row r="410" spans="3:71" outlineLevel="1" x14ac:dyDescent="0.2">
      <c r="J410" s="26"/>
      <c r="L410" s="55"/>
      <c r="M410" s="55"/>
      <c r="N410" s="55"/>
      <c r="O410" s="55"/>
      <c r="P410" s="55"/>
      <c r="Q410" s="55"/>
      <c r="R410" s="55"/>
      <c r="S410" s="55"/>
      <c r="T410" s="55"/>
      <c r="U410" s="55"/>
      <c r="V410" s="55"/>
      <c r="W410" s="55"/>
      <c r="X410" s="55"/>
      <c r="Y410" s="55"/>
      <c r="Z410" s="55"/>
      <c r="AA410" s="55"/>
      <c r="AB410" s="55"/>
      <c r="AC410" s="55"/>
      <c r="AD410" s="55"/>
      <c r="AE410" s="55"/>
      <c r="AF410" s="55"/>
      <c r="AG410" s="55"/>
      <c r="AH410" s="55"/>
      <c r="AI410" s="55"/>
      <c r="AJ410" s="55"/>
      <c r="AK410" s="55"/>
      <c r="AL410" s="55"/>
      <c r="AM410" s="55"/>
      <c r="AN410" s="55"/>
      <c r="AO410" s="55"/>
      <c r="AP410" s="55"/>
      <c r="AQ410" s="55"/>
      <c r="AR410" s="55"/>
      <c r="AS410" s="55"/>
      <c r="AT410" s="55"/>
      <c r="AU410" s="55"/>
      <c r="AV410" s="55"/>
      <c r="AW410" s="55"/>
      <c r="AX410" s="55"/>
      <c r="AY410" s="55"/>
      <c r="AZ410" s="55"/>
      <c r="BA410" s="55"/>
      <c r="BB410" s="55"/>
      <c r="BC410" s="55"/>
      <c r="BD410" s="55"/>
      <c r="BE410" s="55"/>
      <c r="BF410" s="55"/>
      <c r="BG410" s="55"/>
      <c r="BH410" s="55"/>
      <c r="BI410" s="55"/>
      <c r="BJ410" s="55"/>
      <c r="BK410" s="55"/>
      <c r="BL410" s="55"/>
      <c r="BM410" s="55"/>
      <c r="BN410" s="55"/>
      <c r="BO410" s="55"/>
      <c r="BP410" s="55"/>
      <c r="BQ410" s="55"/>
      <c r="BR410" s="55"/>
      <c r="BS410" s="55"/>
    </row>
    <row r="411" spans="3:71" outlineLevel="1" x14ac:dyDescent="0.2">
      <c r="C411" s="11" t="s">
        <v>276</v>
      </c>
      <c r="I411" s="30">
        <f t="shared" ca="1" si="101"/>
        <v>-7682.1427341098006</v>
      </c>
      <c r="J411" s="26" t="s">
        <v>148</v>
      </c>
      <c r="K411" s="7" t="s">
        <v>398</v>
      </c>
      <c r="L411" s="49">
        <f ca="1">L395-L397-L399-L401-L403-L405-L407-L409</f>
        <v>-947.24902398808263</v>
      </c>
      <c r="M411" s="49">
        <f t="shared" ref="M411:BS411" ca="1" si="104">M395-M397-M399-M401-M403-M405-M407-M409</f>
        <v>-1815.5404205555569</v>
      </c>
      <c r="N411" s="49">
        <f t="shared" ca="1" si="104"/>
        <v>-3075.3284061642253</v>
      </c>
      <c r="O411" s="49">
        <f t="shared" ca="1" si="104"/>
        <v>-2631.8467814310416</v>
      </c>
      <c r="P411" s="49">
        <f t="shared" ca="1" si="104"/>
        <v>-1190.0644737904918</v>
      </c>
      <c r="Q411" s="49">
        <f t="shared" ca="1" si="104"/>
        <v>96.431999470352821</v>
      </c>
      <c r="R411" s="49">
        <f t="shared" ca="1" si="104"/>
        <v>414.1820116319376</v>
      </c>
      <c r="S411" s="49">
        <f t="shared" ca="1" si="104"/>
        <v>138.562623712304</v>
      </c>
      <c r="T411" s="49">
        <f t="shared" ca="1" si="104"/>
        <v>332.11550161541936</v>
      </c>
      <c r="U411" s="49">
        <f t="shared" ca="1" si="104"/>
        <v>326.65446247497113</v>
      </c>
      <c r="V411" s="49">
        <f t="shared" ca="1" si="104"/>
        <v>292.3420063037575</v>
      </c>
      <c r="W411" s="49">
        <f t="shared" ca="1" si="104"/>
        <v>203.57578553014577</v>
      </c>
      <c r="X411" s="49">
        <f t="shared" ca="1" si="104"/>
        <v>174.0219810807107</v>
      </c>
      <c r="Y411" s="49">
        <f t="shared" ca="1" si="104"/>
        <v>0</v>
      </c>
      <c r="Z411" s="49">
        <f t="shared" ca="1" si="104"/>
        <v>0</v>
      </c>
      <c r="AA411" s="49">
        <f t="shared" ca="1" si="104"/>
        <v>0</v>
      </c>
      <c r="AB411" s="49">
        <f t="shared" ca="1" si="104"/>
        <v>0</v>
      </c>
      <c r="AC411" s="49">
        <f t="shared" ca="1" si="104"/>
        <v>0</v>
      </c>
      <c r="AD411" s="49">
        <f t="shared" ca="1" si="104"/>
        <v>0</v>
      </c>
      <c r="AE411" s="49">
        <f t="shared" ca="1" si="104"/>
        <v>0</v>
      </c>
      <c r="AF411" s="49">
        <f t="shared" ca="1" si="104"/>
        <v>0</v>
      </c>
      <c r="AG411" s="49">
        <f t="shared" ca="1" si="104"/>
        <v>0</v>
      </c>
      <c r="AH411" s="49">
        <f t="shared" ca="1" si="104"/>
        <v>0</v>
      </c>
      <c r="AI411" s="49">
        <f t="shared" ca="1" si="104"/>
        <v>0</v>
      </c>
      <c r="AJ411" s="49">
        <f t="shared" ca="1" si="104"/>
        <v>0</v>
      </c>
      <c r="AK411" s="49">
        <f t="shared" ca="1" si="104"/>
        <v>0</v>
      </c>
      <c r="AL411" s="49">
        <f t="shared" ca="1" si="104"/>
        <v>0</v>
      </c>
      <c r="AM411" s="49">
        <f t="shared" ca="1" si="104"/>
        <v>0</v>
      </c>
      <c r="AN411" s="49">
        <f t="shared" ca="1" si="104"/>
        <v>0</v>
      </c>
      <c r="AO411" s="49">
        <f t="shared" ca="1" si="104"/>
        <v>0</v>
      </c>
      <c r="AP411" s="49">
        <f t="shared" ca="1" si="104"/>
        <v>0</v>
      </c>
      <c r="AQ411" s="49">
        <f t="shared" ca="1" si="104"/>
        <v>0</v>
      </c>
      <c r="AR411" s="49">
        <f t="shared" ca="1" si="104"/>
        <v>0</v>
      </c>
      <c r="AS411" s="49">
        <f t="shared" ca="1" si="104"/>
        <v>0</v>
      </c>
      <c r="AT411" s="49">
        <f t="shared" ca="1" si="104"/>
        <v>0</v>
      </c>
      <c r="AU411" s="49">
        <f t="shared" ca="1" si="104"/>
        <v>0</v>
      </c>
      <c r="AV411" s="49">
        <f t="shared" ca="1" si="104"/>
        <v>0</v>
      </c>
      <c r="AW411" s="49">
        <f t="shared" ca="1" si="104"/>
        <v>0</v>
      </c>
      <c r="AX411" s="49">
        <f t="shared" ca="1" si="104"/>
        <v>0</v>
      </c>
      <c r="AY411" s="49">
        <f t="shared" ca="1" si="104"/>
        <v>0</v>
      </c>
      <c r="AZ411" s="49">
        <f t="shared" ca="1" si="104"/>
        <v>0</v>
      </c>
      <c r="BA411" s="49">
        <f t="shared" ca="1" si="104"/>
        <v>0</v>
      </c>
      <c r="BB411" s="49">
        <f t="shared" ca="1" si="104"/>
        <v>0</v>
      </c>
      <c r="BC411" s="49">
        <f t="shared" ca="1" si="104"/>
        <v>0</v>
      </c>
      <c r="BD411" s="49">
        <f t="shared" ca="1" si="104"/>
        <v>0</v>
      </c>
      <c r="BE411" s="49">
        <f t="shared" ca="1" si="104"/>
        <v>0</v>
      </c>
      <c r="BF411" s="49">
        <f t="shared" ca="1" si="104"/>
        <v>0</v>
      </c>
      <c r="BG411" s="49">
        <f t="shared" ca="1" si="104"/>
        <v>0</v>
      </c>
      <c r="BH411" s="49">
        <f t="shared" ca="1" si="104"/>
        <v>0</v>
      </c>
      <c r="BI411" s="49">
        <f t="shared" ca="1" si="104"/>
        <v>0</v>
      </c>
      <c r="BJ411" s="49">
        <f t="shared" ca="1" si="104"/>
        <v>0</v>
      </c>
      <c r="BK411" s="49">
        <f t="shared" ca="1" si="104"/>
        <v>0</v>
      </c>
      <c r="BL411" s="49">
        <f t="shared" ca="1" si="104"/>
        <v>0</v>
      </c>
      <c r="BM411" s="49">
        <f t="shared" ca="1" si="104"/>
        <v>0</v>
      </c>
      <c r="BN411" s="49">
        <f t="shared" ca="1" si="104"/>
        <v>0</v>
      </c>
      <c r="BO411" s="49">
        <f t="shared" ca="1" si="104"/>
        <v>0</v>
      </c>
      <c r="BP411" s="49">
        <f t="shared" ca="1" si="104"/>
        <v>0</v>
      </c>
      <c r="BQ411" s="49">
        <f t="shared" ca="1" si="104"/>
        <v>0</v>
      </c>
      <c r="BR411" s="49">
        <f t="shared" ca="1" si="104"/>
        <v>0</v>
      </c>
      <c r="BS411" s="49">
        <f t="shared" ca="1" si="104"/>
        <v>0</v>
      </c>
    </row>
    <row r="412" spans="3:71" outlineLevel="1" x14ac:dyDescent="0.2">
      <c r="J412" s="26"/>
      <c r="L412" s="55"/>
      <c r="M412" s="55"/>
      <c r="N412" s="55"/>
      <c r="O412" s="55"/>
      <c r="P412" s="55"/>
      <c r="Q412" s="55"/>
      <c r="R412" s="55"/>
      <c r="S412" s="55"/>
      <c r="T412" s="55"/>
      <c r="U412" s="55"/>
      <c r="V412" s="55"/>
      <c r="W412" s="55"/>
      <c r="X412" s="55"/>
      <c r="Y412" s="55"/>
      <c r="Z412" s="55"/>
      <c r="AA412" s="55"/>
      <c r="AB412" s="55"/>
      <c r="AC412" s="55"/>
      <c r="AD412" s="55"/>
      <c r="AE412" s="55"/>
      <c r="AF412" s="55"/>
      <c r="AG412" s="55"/>
      <c r="AH412" s="55"/>
      <c r="AI412" s="55"/>
      <c r="AJ412" s="55"/>
      <c r="AK412" s="55"/>
      <c r="AL412" s="55"/>
      <c r="AM412" s="55"/>
      <c r="AN412" s="55"/>
      <c r="AO412" s="55"/>
      <c r="AP412" s="55"/>
      <c r="AQ412" s="55"/>
      <c r="AR412" s="55"/>
      <c r="AS412" s="55"/>
      <c r="AT412" s="55"/>
      <c r="AU412" s="55"/>
      <c r="AV412" s="55"/>
      <c r="AW412" s="55"/>
      <c r="AX412" s="55"/>
      <c r="AY412" s="55"/>
      <c r="AZ412" s="55"/>
      <c r="BA412" s="55"/>
      <c r="BB412" s="55"/>
      <c r="BC412" s="55"/>
      <c r="BD412" s="55"/>
      <c r="BE412" s="55"/>
      <c r="BF412" s="55"/>
      <c r="BG412" s="55"/>
      <c r="BH412" s="55"/>
      <c r="BI412" s="55"/>
      <c r="BJ412" s="55"/>
      <c r="BK412" s="55"/>
      <c r="BL412" s="55"/>
      <c r="BM412" s="55"/>
      <c r="BN412" s="55"/>
      <c r="BO412" s="55"/>
      <c r="BP412" s="55"/>
      <c r="BQ412" s="55"/>
      <c r="BR412" s="55"/>
      <c r="BS412" s="55"/>
    </row>
    <row r="413" spans="3:71" outlineLevel="1" x14ac:dyDescent="0.2">
      <c r="C413" s="11" t="s">
        <v>303</v>
      </c>
      <c r="J413" s="26"/>
      <c r="L413" s="66">
        <f ca="1">(K413+L411)*Loango_II!CA_op_trig</f>
        <v>-947.24902398808263</v>
      </c>
      <c r="M413" s="66">
        <f ca="1">(L413+M411)*Loango_II!CA_op_trig</f>
        <v>-2762.7894445436395</v>
      </c>
      <c r="N413" s="66">
        <f ca="1">(M413+N411)*Loango_II!CA_op_trig</f>
        <v>-5838.1178507078648</v>
      </c>
      <c r="O413" s="66">
        <f ca="1">(N413+O411)*Loango_II!CA_op_trig</f>
        <v>-8469.9646321389064</v>
      </c>
      <c r="P413" s="66">
        <f ca="1">(O413+P411)*Loango_II!CA_op_trig</f>
        <v>-9660.0291059293977</v>
      </c>
      <c r="Q413" s="66">
        <f ca="1">(P413+Q411)*Loango_II!CA_op_trig</f>
        <v>-9563.5971064590449</v>
      </c>
      <c r="R413" s="66">
        <f ca="1">(Q413+R411)*Loango_II!CA_op_trig</f>
        <v>-9149.4150948271072</v>
      </c>
      <c r="S413" s="66">
        <f ca="1">(R413+S411)*Loango_II!CA_op_trig</f>
        <v>-9010.8524711148038</v>
      </c>
      <c r="T413" s="66">
        <f ca="1">(S413+T411)*Loango_II!CA_op_trig</f>
        <v>-8678.7369694993849</v>
      </c>
      <c r="U413" s="66">
        <f ca="1">(T413+U411)*Loango_II!CA_op_trig</f>
        <v>-8352.0825070244136</v>
      </c>
      <c r="V413" s="66">
        <f ca="1">(U413+V411)*Loango_II!CA_op_trig</f>
        <v>-8059.7405007206562</v>
      </c>
      <c r="W413" s="66">
        <f ca="1">(V413+W411)*Loango_II!CA_op_trig</f>
        <v>-7856.1647151905108</v>
      </c>
      <c r="X413" s="66">
        <f ca="1">(W413+X411)*Loango_II!CA_op_trig</f>
        <v>-7682.1427341098006</v>
      </c>
      <c r="Y413" s="66">
        <f ca="1">(X413+Y411)*Loango_II!CA_op_trig</f>
        <v>0</v>
      </c>
      <c r="Z413" s="66">
        <f ca="1">(Y413+Z411)*Loango_II!CA_op_trig</f>
        <v>0</v>
      </c>
      <c r="AA413" s="66">
        <f ca="1">(Z413+AA411)*Loango_II!CA_op_trig</f>
        <v>0</v>
      </c>
      <c r="AB413" s="66">
        <f ca="1">(AA413+AB411)*Loango_II!CA_op_trig</f>
        <v>0</v>
      </c>
      <c r="AC413" s="66">
        <f ca="1">(AB413+AC411)*Loango_II!CA_op_trig</f>
        <v>0</v>
      </c>
      <c r="AD413" s="66">
        <f ca="1">(AC413+AD411)*Loango_II!CA_op_trig</f>
        <v>0</v>
      </c>
      <c r="AE413" s="66">
        <f ca="1">(AD413+AE411)*Loango_II!CA_op_trig</f>
        <v>0</v>
      </c>
      <c r="AF413" s="66">
        <f ca="1">(AE413+AF411)*Loango_II!CA_op_trig</f>
        <v>0</v>
      </c>
      <c r="AG413" s="66">
        <f ca="1">(AF413+AG411)*Loango_II!CA_op_trig</f>
        <v>0</v>
      </c>
      <c r="AH413" s="66">
        <f ca="1">(AG413+AH411)*Loango_II!CA_op_trig</f>
        <v>0</v>
      </c>
      <c r="AI413" s="66">
        <f ca="1">(AH413+AI411)*Loango_II!CA_op_trig</f>
        <v>0</v>
      </c>
      <c r="AJ413" s="66">
        <f ca="1">(AI413+AJ411)*Loango_II!CA_op_trig</f>
        <v>0</v>
      </c>
      <c r="AK413" s="66">
        <f ca="1">(AJ413+AK411)*Loango_II!CA_op_trig</f>
        <v>0</v>
      </c>
      <c r="AL413" s="66">
        <f ca="1">(AK413+AL411)*Loango_II!CA_op_trig</f>
        <v>0</v>
      </c>
      <c r="AM413" s="66">
        <f ca="1">(AL413+AM411)*Loango_II!CA_op_trig</f>
        <v>0</v>
      </c>
      <c r="AN413" s="66">
        <f ca="1">(AM413+AN411)*Loango_II!CA_op_trig</f>
        <v>0</v>
      </c>
      <c r="AO413" s="66">
        <f ca="1">(AN413+AO411)*Loango_II!CA_op_trig</f>
        <v>0</v>
      </c>
      <c r="AP413" s="66">
        <f ca="1">(AO413+AP411)*Loango_II!CA_op_trig</f>
        <v>0</v>
      </c>
      <c r="AQ413" s="66">
        <f ca="1">(AP413+AQ411)*Loango_II!CA_op_trig</f>
        <v>0</v>
      </c>
      <c r="AR413" s="66">
        <f ca="1">(AQ413+AR411)*Loango_II!CA_op_trig</f>
        <v>0</v>
      </c>
      <c r="AS413" s="66">
        <f ca="1">(AR413+AS411)*Loango_II!CA_op_trig</f>
        <v>0</v>
      </c>
      <c r="AT413" s="66">
        <f ca="1">(AS413+AT411)*Loango_II!CA_op_trig</f>
        <v>0</v>
      </c>
      <c r="AU413" s="66">
        <f ca="1">(AT413+AU411)*Loango_II!CA_op_trig</f>
        <v>0</v>
      </c>
      <c r="AV413" s="66">
        <f ca="1">(AU413+AV411)*Loango_II!CA_op_trig</f>
        <v>0</v>
      </c>
      <c r="AW413" s="66">
        <f ca="1">(AV413+AW411)*Loango_II!CA_op_trig</f>
        <v>0</v>
      </c>
      <c r="AX413" s="66">
        <f ca="1">(AW413+AX411)*Loango_II!CA_op_trig</f>
        <v>0</v>
      </c>
      <c r="AY413" s="66">
        <f ca="1">(AX413+AY411)*Loango_II!CA_op_trig</f>
        <v>0</v>
      </c>
      <c r="AZ413" s="66">
        <f ca="1">(AY413+AZ411)*Loango_II!CA_op_trig</f>
        <v>0</v>
      </c>
      <c r="BA413" s="66">
        <f ca="1">(AZ413+BA411)*Loango_II!CA_op_trig</f>
        <v>0</v>
      </c>
      <c r="BB413" s="66">
        <f ca="1">(BA413+BB411)*Loango_II!CA_op_trig</f>
        <v>0</v>
      </c>
      <c r="BC413" s="66">
        <f ca="1">(BB413+BC411)*Loango_II!CA_op_trig</f>
        <v>0</v>
      </c>
      <c r="BD413" s="66">
        <f ca="1">(BC413+BD411)*Loango_II!CA_op_trig</f>
        <v>0</v>
      </c>
      <c r="BE413" s="66">
        <f ca="1">(BD413+BE411)*Loango_II!CA_op_trig</f>
        <v>0</v>
      </c>
      <c r="BF413" s="66">
        <f ca="1">(BE413+BF411)*Loango_II!CA_op_trig</f>
        <v>0</v>
      </c>
      <c r="BG413" s="66">
        <f ca="1">(BF413+BG411)*Loango_II!CA_op_trig</f>
        <v>0</v>
      </c>
      <c r="BH413" s="66">
        <f ca="1">(BG413+BH411)*Loango_II!CA_op_trig</f>
        <v>0</v>
      </c>
      <c r="BI413" s="66">
        <f ca="1">(BH413+BI411)*Loango_II!CA_op_trig</f>
        <v>0</v>
      </c>
      <c r="BJ413" s="66">
        <f ca="1">(BI413+BJ411)*Loango_II!CA_op_trig</f>
        <v>0</v>
      </c>
      <c r="BK413" s="66">
        <f ca="1">(BJ413+BK411)*Loango_II!CA_op_trig</f>
        <v>0</v>
      </c>
      <c r="BL413" s="66">
        <f ca="1">(BK413+BL411)*Loango_II!CA_op_trig</f>
        <v>0</v>
      </c>
      <c r="BM413" s="66">
        <f ca="1">(BL413+BM411)*Loango_II!CA_op_trig</f>
        <v>0</v>
      </c>
      <c r="BN413" s="66">
        <f ca="1">(BM413+BN411)*Loango_II!CA_op_trig</f>
        <v>0</v>
      </c>
      <c r="BO413" s="66">
        <f ca="1">(BN413+BO411)*Loango_II!CA_op_trig</f>
        <v>0</v>
      </c>
      <c r="BP413" s="66">
        <f ca="1">(BO413+BP411)*Loango_II!CA_op_trig</f>
        <v>0</v>
      </c>
      <c r="BQ413" s="66">
        <f ca="1">(BP413+BQ411)*Loango_II!CA_op_trig</f>
        <v>0</v>
      </c>
      <c r="BR413" s="66">
        <f ca="1">(BQ413+BR411)*Loango_II!CA_op_trig</f>
        <v>0</v>
      </c>
      <c r="BS413" s="66">
        <f ca="1">(BR413+BS411)*Loango_II!CA_op_trig</f>
        <v>0</v>
      </c>
    </row>
    <row r="414" spans="3:71" outlineLevel="1" x14ac:dyDescent="0.2">
      <c r="J414" s="26"/>
      <c r="L414" s="55"/>
      <c r="M414" s="55"/>
      <c r="N414" s="55"/>
      <c r="O414" s="55"/>
      <c r="P414" s="55"/>
      <c r="Q414" s="55"/>
      <c r="R414" s="55"/>
      <c r="S414" s="55"/>
      <c r="T414" s="55"/>
      <c r="U414" s="55"/>
      <c r="V414" s="55"/>
      <c r="W414" s="55"/>
      <c r="X414" s="55"/>
      <c r="Y414" s="55"/>
      <c r="Z414" s="55"/>
      <c r="AA414" s="55"/>
      <c r="AB414" s="55"/>
      <c r="AC414" s="55"/>
      <c r="AD414" s="55"/>
      <c r="AE414" s="55"/>
      <c r="AF414" s="55"/>
      <c r="AG414" s="55"/>
      <c r="AH414" s="55"/>
      <c r="AI414" s="55"/>
      <c r="AJ414" s="55"/>
      <c r="AK414" s="55"/>
      <c r="AL414" s="55"/>
      <c r="AM414" s="55"/>
      <c r="AN414" s="55"/>
      <c r="AO414" s="55"/>
      <c r="AP414" s="55"/>
      <c r="AQ414" s="55"/>
      <c r="AR414" s="55"/>
      <c r="AS414" s="55"/>
      <c r="AT414" s="55"/>
      <c r="AU414" s="55"/>
      <c r="AV414" s="55"/>
      <c r="AW414" s="55"/>
      <c r="AX414" s="55"/>
      <c r="AY414" s="55"/>
      <c r="AZ414" s="55"/>
      <c r="BA414" s="55"/>
      <c r="BB414" s="55"/>
      <c r="BC414" s="55"/>
      <c r="BD414" s="55"/>
      <c r="BE414" s="55"/>
      <c r="BF414" s="55"/>
      <c r="BG414" s="55"/>
      <c r="BH414" s="55"/>
      <c r="BI414" s="55"/>
      <c r="BJ414" s="55"/>
      <c r="BK414" s="55"/>
      <c r="BL414" s="55"/>
      <c r="BM414" s="55"/>
      <c r="BN414" s="55"/>
      <c r="BO414" s="55"/>
      <c r="BP414" s="55"/>
      <c r="BQ414" s="55"/>
      <c r="BR414" s="55"/>
      <c r="BS414" s="55"/>
    </row>
    <row r="415" spans="3:71" outlineLevel="1" x14ac:dyDescent="0.2">
      <c r="C415" s="11" t="s">
        <v>284</v>
      </c>
      <c r="G415" s="60"/>
      <c r="I415" s="63">
        <f ca="1">SUMPRODUCT(OA_cont_ATCF_Loango,Loango_II!CA_disc_factor_fc)</f>
        <v>-6704.5146739318498</v>
      </c>
      <c r="J415" s="26" t="s">
        <v>148</v>
      </c>
      <c r="L415" s="55"/>
      <c r="M415" s="55"/>
      <c r="N415" s="55"/>
      <c r="O415" s="55"/>
      <c r="P415" s="55"/>
      <c r="Q415" s="55"/>
      <c r="R415" s="55"/>
      <c r="S415" s="55"/>
      <c r="T415" s="55"/>
      <c r="U415" s="55"/>
      <c r="V415" s="55"/>
      <c r="W415" s="55"/>
      <c r="X415" s="55"/>
      <c r="Y415" s="55"/>
      <c r="Z415" s="55"/>
      <c r="AA415" s="55"/>
      <c r="AB415" s="55"/>
      <c r="AC415" s="55"/>
      <c r="AD415" s="55"/>
      <c r="AE415" s="55"/>
      <c r="AF415" s="55"/>
      <c r="AG415" s="55"/>
      <c r="AH415" s="55"/>
      <c r="AI415" s="55"/>
      <c r="AJ415" s="55"/>
      <c r="AK415" s="55"/>
      <c r="AL415" s="55"/>
      <c r="AM415" s="55"/>
      <c r="AN415" s="55"/>
      <c r="AO415" s="55"/>
      <c r="AP415" s="55"/>
      <c r="AQ415" s="55"/>
      <c r="AR415" s="55"/>
      <c r="AS415" s="55"/>
      <c r="AT415" s="55"/>
      <c r="AU415" s="55"/>
      <c r="AV415" s="55"/>
      <c r="AW415" s="55"/>
      <c r="AX415" s="55"/>
      <c r="AY415" s="55"/>
      <c r="AZ415" s="55"/>
      <c r="BA415" s="55"/>
      <c r="BB415" s="55"/>
      <c r="BC415" s="55"/>
      <c r="BD415" s="55"/>
      <c r="BE415" s="55"/>
      <c r="BF415" s="55"/>
      <c r="BG415" s="55"/>
      <c r="BH415" s="55"/>
      <c r="BI415" s="55"/>
      <c r="BJ415" s="55"/>
      <c r="BK415" s="55"/>
      <c r="BL415" s="55"/>
      <c r="BM415" s="55"/>
      <c r="BN415" s="55"/>
      <c r="BO415" s="55"/>
      <c r="BP415" s="55"/>
      <c r="BQ415" s="55"/>
      <c r="BR415" s="55"/>
      <c r="BS415" s="55"/>
    </row>
    <row r="416" spans="3:71" outlineLevel="1" x14ac:dyDescent="0.2">
      <c r="C416" s="11" t="s">
        <v>285</v>
      </c>
      <c r="I416" s="63">
        <f ca="1">SUMPRODUCT(OA_cont_ATCF_Loango,Loango_II!CA_disc_factor_pf)</f>
        <v>1089.3194933733255</v>
      </c>
      <c r="J416" s="26" t="s">
        <v>148</v>
      </c>
      <c r="L416" s="55"/>
      <c r="M416" s="55"/>
      <c r="N416" s="55"/>
      <c r="O416" s="55"/>
      <c r="P416" s="55"/>
      <c r="Q416" s="55"/>
      <c r="R416" s="55"/>
      <c r="S416" s="55"/>
      <c r="T416" s="55"/>
      <c r="U416" s="55"/>
      <c r="V416" s="55"/>
      <c r="W416" s="55"/>
      <c r="X416" s="55"/>
      <c r="Y416" s="55"/>
      <c r="Z416" s="55"/>
      <c r="AA416" s="55"/>
      <c r="AB416" s="55"/>
      <c r="AC416" s="55"/>
      <c r="AD416" s="55"/>
      <c r="AE416" s="55"/>
      <c r="AF416" s="55"/>
      <c r="AG416" s="55"/>
      <c r="AH416" s="55"/>
      <c r="AI416" s="55"/>
      <c r="AJ416" s="55"/>
      <c r="AK416" s="55"/>
      <c r="AL416" s="55"/>
      <c r="AM416" s="55"/>
      <c r="AN416" s="55"/>
      <c r="AO416" s="55"/>
      <c r="AP416" s="55"/>
      <c r="AQ416" s="55"/>
      <c r="AR416" s="55"/>
      <c r="AS416" s="55"/>
      <c r="AT416" s="55"/>
      <c r="AU416" s="55"/>
      <c r="AV416" s="55"/>
      <c r="AW416" s="55"/>
      <c r="AX416" s="55"/>
      <c r="AY416" s="55"/>
      <c r="AZ416" s="55"/>
      <c r="BA416" s="55"/>
      <c r="BB416" s="55"/>
      <c r="BC416" s="55"/>
      <c r="BD416" s="55"/>
      <c r="BE416" s="55"/>
      <c r="BF416" s="55"/>
      <c r="BG416" s="55"/>
      <c r="BH416" s="55"/>
      <c r="BI416" s="55"/>
      <c r="BJ416" s="55"/>
      <c r="BK416" s="55"/>
      <c r="BL416" s="55"/>
      <c r="BM416" s="55"/>
      <c r="BN416" s="55"/>
      <c r="BO416" s="55"/>
      <c r="BP416" s="55"/>
      <c r="BQ416" s="55"/>
      <c r="BR416" s="55"/>
      <c r="BS416" s="55"/>
    </row>
    <row r="417" spans="1:71" outlineLevel="1" x14ac:dyDescent="0.2">
      <c r="I417" s="61"/>
      <c r="J417" s="26"/>
      <c r="L417" s="55"/>
      <c r="M417" s="55"/>
      <c r="N417" s="55"/>
      <c r="O417" s="55"/>
      <c r="P417" s="55"/>
      <c r="Q417" s="55"/>
      <c r="R417" s="55"/>
      <c r="S417" s="55"/>
      <c r="T417" s="55"/>
      <c r="U417" s="55"/>
      <c r="V417" s="55"/>
      <c r="W417" s="55"/>
      <c r="X417" s="55"/>
      <c r="Y417" s="55"/>
      <c r="Z417" s="55"/>
      <c r="AA417" s="55"/>
      <c r="AB417" s="55"/>
      <c r="AC417" s="55"/>
      <c r="AD417" s="55"/>
      <c r="AE417" s="55"/>
      <c r="AF417" s="55"/>
      <c r="AG417" s="55"/>
      <c r="AH417" s="55"/>
      <c r="AI417" s="55"/>
      <c r="AJ417" s="55"/>
      <c r="AK417" s="55"/>
      <c r="AL417" s="55"/>
      <c r="AM417" s="55"/>
      <c r="AN417" s="55"/>
      <c r="AO417" s="55"/>
      <c r="AP417" s="55"/>
      <c r="AQ417" s="55"/>
      <c r="AR417" s="55"/>
      <c r="AS417" s="55"/>
      <c r="AT417" s="55"/>
      <c r="AU417" s="55"/>
      <c r="AV417" s="55"/>
      <c r="AW417" s="55"/>
      <c r="AX417" s="55"/>
      <c r="AY417" s="55"/>
      <c r="AZ417" s="55"/>
      <c r="BA417" s="55"/>
      <c r="BB417" s="55"/>
      <c r="BC417" s="55"/>
      <c r="BD417" s="55"/>
      <c r="BE417" s="55"/>
      <c r="BF417" s="55"/>
      <c r="BG417" s="55"/>
      <c r="BH417" s="55"/>
      <c r="BI417" s="55"/>
      <c r="BJ417" s="55"/>
      <c r="BK417" s="55"/>
      <c r="BL417" s="55"/>
      <c r="BM417" s="55"/>
      <c r="BN417" s="55"/>
      <c r="BO417" s="55"/>
      <c r="BP417" s="55"/>
      <c r="BQ417" s="55"/>
      <c r="BR417" s="55"/>
      <c r="BS417" s="55"/>
    </row>
    <row r="418" spans="1:71" outlineLevel="1" x14ac:dyDescent="0.2">
      <c r="C418" s="11" t="s">
        <v>286</v>
      </c>
      <c r="I418" s="62">
        <f ca="1">IFERROR(IRR(INDEX(OA_cont_ATCF_Loango,1,MAX(1,$G$360-$L4+1)):INDEX(OA_cont_ATCF_Loango,1,last_model_year)),"na")</f>
        <v>-0.21108446437531503</v>
      </c>
      <c r="J418" s="26" t="s">
        <v>90</v>
      </c>
      <c r="L418" s="55"/>
      <c r="M418" s="55"/>
      <c r="N418" s="55"/>
      <c r="O418" s="55"/>
      <c r="P418" s="55"/>
      <c r="Q418" s="55"/>
      <c r="R418" s="55"/>
      <c r="S418" s="55"/>
      <c r="T418" s="55"/>
      <c r="U418" s="55"/>
      <c r="V418" s="55"/>
      <c r="W418" s="55"/>
      <c r="X418" s="55"/>
      <c r="Y418" s="55"/>
      <c r="Z418" s="55"/>
      <c r="AA418" s="55"/>
      <c r="AB418" s="55"/>
      <c r="AC418" s="55"/>
      <c r="AD418" s="55"/>
      <c r="AE418" s="55"/>
      <c r="AF418" s="55"/>
      <c r="AG418" s="55"/>
      <c r="AH418" s="55"/>
      <c r="AI418" s="55"/>
      <c r="AJ418" s="55"/>
      <c r="AK418" s="55"/>
      <c r="AL418" s="55"/>
      <c r="AM418" s="55"/>
      <c r="AN418" s="55"/>
      <c r="AO418" s="55"/>
      <c r="AP418" s="55"/>
      <c r="AQ418" s="55"/>
      <c r="AR418" s="55"/>
      <c r="AS418" s="55"/>
      <c r="AT418" s="55"/>
      <c r="AU418" s="55"/>
      <c r="AV418" s="55"/>
      <c r="AW418" s="55"/>
      <c r="AX418" s="55"/>
      <c r="AY418" s="55"/>
      <c r="AZ418" s="55"/>
      <c r="BA418" s="55"/>
      <c r="BB418" s="55"/>
      <c r="BC418" s="55"/>
      <c r="BD418" s="55"/>
      <c r="BE418" s="55"/>
      <c r="BF418" s="55"/>
      <c r="BG418" s="55"/>
      <c r="BH418" s="55"/>
      <c r="BI418" s="55"/>
      <c r="BJ418" s="55"/>
      <c r="BK418" s="55"/>
      <c r="BL418" s="55"/>
      <c r="BM418" s="55"/>
      <c r="BN418" s="55"/>
      <c r="BO418" s="55"/>
      <c r="BP418" s="55"/>
      <c r="BQ418" s="55"/>
      <c r="BR418" s="55"/>
      <c r="BS418" s="55"/>
    </row>
    <row r="419" spans="1:71" outlineLevel="1" x14ac:dyDescent="0.2">
      <c r="C419" s="11" t="s">
        <v>287</v>
      </c>
      <c r="I419" s="62" t="str">
        <f ca="1">IFERROR(IRR(INDEX(OA_cont_ATCF_Loango,1,MAX(1,$G$361-$L$4+1)):INDEX(OA_cont_ATCF_Loango,1,last_model_year)),"na")</f>
        <v>na</v>
      </c>
      <c r="J419" s="26" t="s">
        <v>90</v>
      </c>
      <c r="L419" s="55"/>
      <c r="M419" s="55"/>
      <c r="N419" s="55"/>
      <c r="O419" s="55"/>
      <c r="P419" s="55"/>
      <c r="Q419" s="55"/>
      <c r="R419" s="55"/>
      <c r="S419" s="55"/>
      <c r="T419" s="55"/>
      <c r="U419" s="55"/>
      <c r="V419" s="55"/>
      <c r="W419" s="55"/>
      <c r="X419" s="55"/>
      <c r="Y419" s="55"/>
      <c r="Z419" s="55"/>
      <c r="AA419" s="55"/>
      <c r="AB419" s="55"/>
      <c r="AC419" s="55"/>
      <c r="AD419" s="55"/>
      <c r="AE419" s="55"/>
      <c r="AF419" s="55"/>
      <c r="AG419" s="55"/>
      <c r="AH419" s="55"/>
      <c r="AI419" s="55"/>
      <c r="AJ419" s="55"/>
      <c r="AK419" s="55"/>
      <c r="AL419" s="55"/>
      <c r="AM419" s="55"/>
      <c r="AN419" s="55"/>
      <c r="AO419" s="55"/>
      <c r="AP419" s="55"/>
      <c r="AQ419" s="55"/>
      <c r="AR419" s="55"/>
      <c r="AS419" s="55"/>
      <c r="AT419" s="55"/>
      <c r="AU419" s="55"/>
      <c r="AV419" s="55"/>
      <c r="AW419" s="55"/>
      <c r="AX419" s="55"/>
      <c r="AY419" s="55"/>
      <c r="AZ419" s="55"/>
      <c r="BA419" s="55"/>
      <c r="BB419" s="55"/>
      <c r="BC419" s="55"/>
      <c r="BD419" s="55"/>
      <c r="BE419" s="55"/>
      <c r="BF419" s="55"/>
      <c r="BG419" s="55"/>
      <c r="BH419" s="55"/>
      <c r="BI419" s="55"/>
      <c r="BJ419" s="55"/>
      <c r="BK419" s="55"/>
      <c r="BL419" s="55"/>
      <c r="BM419" s="55"/>
      <c r="BN419" s="55"/>
      <c r="BO419" s="55"/>
      <c r="BP419" s="55"/>
      <c r="BQ419" s="55"/>
      <c r="BR419" s="55"/>
      <c r="BS419" s="55"/>
    </row>
    <row r="420" spans="1:71" outlineLevel="1" x14ac:dyDescent="0.2">
      <c r="J420" s="26"/>
      <c r="L420" s="55"/>
      <c r="M420" s="55"/>
      <c r="N420" s="55"/>
      <c r="O420" s="55"/>
      <c r="P420" s="55"/>
      <c r="Q420" s="55"/>
      <c r="R420" s="55"/>
      <c r="S420" s="55"/>
      <c r="T420" s="55"/>
      <c r="U420" s="55"/>
      <c r="V420" s="55"/>
      <c r="W420" s="55"/>
      <c r="X420" s="55"/>
      <c r="Y420" s="55"/>
      <c r="Z420" s="55"/>
      <c r="AA420" s="55"/>
      <c r="AB420" s="55"/>
      <c r="AC420" s="55"/>
      <c r="AD420" s="55"/>
      <c r="AE420" s="55"/>
      <c r="AF420" s="55"/>
      <c r="AG420" s="55"/>
      <c r="AH420" s="55"/>
      <c r="AI420" s="55"/>
      <c r="AJ420" s="55"/>
      <c r="AK420" s="55"/>
      <c r="AL420" s="55"/>
      <c r="AM420" s="55"/>
      <c r="AN420" s="55"/>
      <c r="AO420" s="55"/>
      <c r="AP420" s="55"/>
      <c r="AQ420" s="55"/>
      <c r="AR420" s="55"/>
      <c r="AS420" s="55"/>
      <c r="AT420" s="55"/>
      <c r="AU420" s="55"/>
      <c r="AV420" s="55"/>
      <c r="AW420" s="55"/>
      <c r="AX420" s="55"/>
      <c r="AY420" s="55"/>
      <c r="AZ420" s="55"/>
      <c r="BA420" s="55"/>
      <c r="BB420" s="55"/>
      <c r="BC420" s="55"/>
      <c r="BD420" s="55"/>
      <c r="BE420" s="55"/>
      <c r="BF420" s="55"/>
      <c r="BG420" s="55"/>
      <c r="BH420" s="55"/>
      <c r="BI420" s="55"/>
      <c r="BJ420" s="55"/>
      <c r="BK420" s="55"/>
      <c r="BL420" s="55"/>
      <c r="BM420" s="55"/>
      <c r="BN420" s="55"/>
      <c r="BO420" s="55"/>
      <c r="BP420" s="55"/>
      <c r="BQ420" s="55"/>
      <c r="BR420" s="55"/>
      <c r="BS420" s="55"/>
    </row>
    <row r="421" spans="1:71" outlineLevel="1" x14ac:dyDescent="0.2">
      <c r="C421" s="11" t="s">
        <v>304</v>
      </c>
      <c r="I421" s="67">
        <f ca="1">COUNTIF(L413:BS413,"&lt;0")+1</f>
        <v>14</v>
      </c>
      <c r="J421" s="26"/>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c r="BF421" s="7"/>
      <c r="BG421" s="7"/>
      <c r="BH421" s="7"/>
      <c r="BI421" s="7"/>
      <c r="BJ421" s="7"/>
      <c r="BK421" s="7"/>
      <c r="BL421" s="7"/>
      <c r="BM421" s="7"/>
      <c r="BN421" s="7"/>
      <c r="BO421" s="7"/>
      <c r="BP421" s="7"/>
      <c r="BQ421" s="7"/>
      <c r="BR421" s="7"/>
      <c r="BS421" s="7"/>
    </row>
    <row r="422" spans="1:71" outlineLevel="1" x14ac:dyDescent="0.2">
      <c r="J422" s="26"/>
      <c r="L422" s="55"/>
      <c r="M422" s="55"/>
      <c r="N422" s="55"/>
      <c r="O422" s="55"/>
      <c r="P422" s="55"/>
      <c r="Q422" s="55"/>
      <c r="R422" s="55"/>
      <c r="S422" s="55"/>
      <c r="T422" s="55"/>
      <c r="U422" s="55"/>
      <c r="V422" s="55"/>
      <c r="W422" s="55"/>
      <c r="X422" s="55"/>
      <c r="Y422" s="55"/>
      <c r="Z422" s="55"/>
      <c r="AA422" s="55"/>
      <c r="AB422" s="55"/>
      <c r="AC422" s="55"/>
      <c r="AD422" s="55"/>
      <c r="AE422" s="55"/>
      <c r="AF422" s="55"/>
      <c r="AG422" s="55"/>
      <c r="AH422" s="55"/>
      <c r="AI422" s="55"/>
      <c r="AJ422" s="55"/>
      <c r="AK422" s="55"/>
      <c r="AL422" s="55"/>
      <c r="AM422" s="55"/>
      <c r="AN422" s="55"/>
      <c r="AO422" s="55"/>
      <c r="AP422" s="55"/>
      <c r="AQ422" s="55"/>
      <c r="AR422" s="55"/>
      <c r="AS422" s="55"/>
      <c r="AT422" s="55"/>
      <c r="AU422" s="55"/>
      <c r="AV422" s="55"/>
      <c r="AW422" s="55"/>
      <c r="AX422" s="55"/>
      <c r="AY422" s="55"/>
      <c r="AZ422" s="55"/>
      <c r="BA422" s="55"/>
      <c r="BB422" s="55"/>
      <c r="BC422" s="55"/>
      <c r="BD422" s="55"/>
      <c r="BE422" s="55"/>
      <c r="BF422" s="55"/>
      <c r="BG422" s="55"/>
      <c r="BH422" s="55"/>
      <c r="BI422" s="55"/>
      <c r="BJ422" s="55"/>
      <c r="BK422" s="55"/>
      <c r="BL422" s="55"/>
      <c r="BM422" s="55"/>
      <c r="BN422" s="55"/>
      <c r="BO422" s="55"/>
      <c r="BP422" s="55"/>
      <c r="BQ422" s="55"/>
      <c r="BR422" s="55"/>
      <c r="BS422" s="55"/>
    </row>
    <row r="423" spans="1:71" outlineLevel="1" x14ac:dyDescent="0.2">
      <c r="J423" s="26"/>
      <c r="L423" s="55"/>
      <c r="M423" s="55"/>
      <c r="N423" s="55"/>
      <c r="O423" s="55"/>
      <c r="P423" s="55"/>
      <c r="Q423" s="55"/>
      <c r="R423" s="55"/>
      <c r="S423" s="55"/>
      <c r="T423" s="55"/>
      <c r="U423" s="55"/>
      <c r="V423" s="55"/>
      <c r="W423" s="55"/>
      <c r="X423" s="55"/>
      <c r="Y423" s="55"/>
      <c r="Z423" s="55"/>
      <c r="AA423" s="55"/>
      <c r="AB423" s="55"/>
      <c r="AC423" s="55"/>
      <c r="AD423" s="55"/>
      <c r="AE423" s="55"/>
      <c r="AF423" s="55"/>
      <c r="AG423" s="55"/>
      <c r="AH423" s="55"/>
      <c r="AI423" s="55"/>
      <c r="AJ423" s="55"/>
      <c r="AK423" s="55"/>
      <c r="AL423" s="55"/>
      <c r="AM423" s="55"/>
      <c r="AN423" s="55"/>
      <c r="AO423" s="55"/>
      <c r="AP423" s="55"/>
      <c r="AQ423" s="55"/>
      <c r="AR423" s="55"/>
      <c r="AS423" s="55"/>
      <c r="AT423" s="55"/>
      <c r="AU423" s="55"/>
      <c r="AV423" s="55"/>
      <c r="AW423" s="55"/>
      <c r="AX423" s="55"/>
      <c r="AY423" s="55"/>
      <c r="AZ423" s="55"/>
      <c r="BA423" s="55"/>
      <c r="BB423" s="55"/>
      <c r="BC423" s="55"/>
      <c r="BD423" s="55"/>
      <c r="BE423" s="55"/>
      <c r="BF423" s="55"/>
      <c r="BG423" s="55"/>
      <c r="BH423" s="55"/>
      <c r="BI423" s="55"/>
      <c r="BJ423" s="55"/>
      <c r="BK423" s="55"/>
      <c r="BL423" s="55"/>
      <c r="BM423" s="55"/>
      <c r="BN423" s="55"/>
      <c r="BO423" s="55"/>
      <c r="BP423" s="55"/>
      <c r="BQ423" s="55"/>
      <c r="BR423" s="55"/>
      <c r="BS423" s="55"/>
    </row>
    <row r="424" spans="1:71" outlineLevel="1" x14ac:dyDescent="0.2">
      <c r="J424" s="26"/>
      <c r="L424" s="55"/>
      <c r="M424" s="55"/>
      <c r="N424" s="55"/>
      <c r="O424" s="55"/>
      <c r="P424" s="55"/>
      <c r="Q424" s="55"/>
      <c r="R424" s="55"/>
      <c r="S424" s="55"/>
      <c r="T424" s="55"/>
      <c r="U424" s="55"/>
      <c r="V424" s="55"/>
      <c r="W424" s="55"/>
      <c r="X424" s="55"/>
      <c r="Y424" s="55"/>
      <c r="Z424" s="55"/>
      <c r="AA424" s="55"/>
      <c r="AB424" s="55"/>
      <c r="AC424" s="55"/>
      <c r="AD424" s="55"/>
      <c r="AE424" s="55"/>
      <c r="AF424" s="55"/>
      <c r="AG424" s="55"/>
      <c r="AH424" s="55"/>
      <c r="AI424" s="55"/>
      <c r="AJ424" s="55"/>
      <c r="AK424" s="55"/>
      <c r="AL424" s="55"/>
      <c r="AM424" s="55"/>
      <c r="AN424" s="55"/>
      <c r="AO424" s="55"/>
      <c r="AP424" s="55"/>
      <c r="AQ424" s="55"/>
      <c r="AR424" s="55"/>
      <c r="AS424" s="55"/>
      <c r="AT424" s="55"/>
      <c r="AU424" s="55"/>
      <c r="AV424" s="55"/>
      <c r="AW424" s="55"/>
      <c r="AX424" s="55"/>
      <c r="AY424" s="55"/>
      <c r="AZ424" s="55"/>
      <c r="BA424" s="55"/>
      <c r="BB424" s="55"/>
      <c r="BC424" s="55"/>
      <c r="BD424" s="55"/>
      <c r="BE424" s="55"/>
      <c r="BF424" s="55"/>
      <c r="BG424" s="55"/>
      <c r="BH424" s="55"/>
      <c r="BI424" s="55"/>
      <c r="BJ424" s="55"/>
      <c r="BK424" s="55"/>
      <c r="BL424" s="55"/>
      <c r="BM424" s="55"/>
      <c r="BN424" s="55"/>
      <c r="BO424" s="55"/>
      <c r="BP424" s="55"/>
      <c r="BQ424" s="55"/>
      <c r="BR424" s="55"/>
      <c r="BS424" s="55"/>
    </row>
    <row r="425" spans="1:71" outlineLevel="1" x14ac:dyDescent="0.2">
      <c r="A425" s="45"/>
      <c r="B425" s="38" t="s">
        <v>353</v>
      </c>
      <c r="C425" s="45"/>
      <c r="D425" s="45"/>
      <c r="E425" s="45"/>
      <c r="J425" s="26"/>
      <c r="L425" s="55"/>
      <c r="M425" s="55"/>
      <c r="N425" s="55"/>
      <c r="O425" s="55"/>
      <c r="P425" s="55"/>
      <c r="Q425" s="55"/>
      <c r="R425" s="55"/>
      <c r="S425" s="55"/>
      <c r="T425" s="55"/>
      <c r="U425" s="55"/>
      <c r="V425" s="55"/>
      <c r="W425" s="55"/>
      <c r="X425" s="55"/>
      <c r="Y425" s="55"/>
      <c r="Z425" s="55"/>
      <c r="AA425" s="55"/>
      <c r="AB425" s="55"/>
      <c r="AC425" s="55"/>
      <c r="AD425" s="55"/>
      <c r="AE425" s="55"/>
      <c r="AF425" s="55"/>
      <c r="AG425" s="55"/>
      <c r="AH425" s="55"/>
      <c r="AI425" s="55"/>
      <c r="AJ425" s="55"/>
      <c r="AK425" s="55"/>
      <c r="AL425" s="55"/>
      <c r="AM425" s="55"/>
      <c r="AN425" s="55"/>
      <c r="AO425" s="55"/>
      <c r="AP425" s="55"/>
      <c r="AQ425" s="55"/>
      <c r="AR425" s="55"/>
      <c r="AS425" s="55"/>
      <c r="AT425" s="55"/>
      <c r="AU425" s="55"/>
      <c r="AV425" s="55"/>
      <c r="AW425" s="55"/>
      <c r="AX425" s="55"/>
      <c r="AY425" s="55"/>
      <c r="AZ425" s="55"/>
      <c r="BA425" s="55"/>
      <c r="BB425" s="55"/>
      <c r="BC425" s="55"/>
      <c r="BD425" s="55"/>
      <c r="BE425" s="55"/>
      <c r="BF425" s="55"/>
      <c r="BG425" s="55"/>
      <c r="BH425" s="55"/>
      <c r="BI425" s="55"/>
      <c r="BJ425" s="55"/>
      <c r="BK425" s="55"/>
      <c r="BL425" s="55"/>
      <c r="BM425" s="55"/>
      <c r="BN425" s="55"/>
      <c r="BO425" s="55"/>
      <c r="BP425" s="55"/>
      <c r="BQ425" s="55"/>
      <c r="BR425" s="55"/>
      <c r="BS425" s="55"/>
    </row>
    <row r="426" spans="1:71" outlineLevel="1" x14ac:dyDescent="0.2">
      <c r="J426" s="26"/>
      <c r="L426" s="55"/>
      <c r="M426" s="55"/>
      <c r="N426" s="55"/>
      <c r="O426" s="55"/>
      <c r="P426" s="55"/>
      <c r="Q426" s="55"/>
      <c r="R426" s="55"/>
      <c r="S426" s="55"/>
      <c r="T426" s="55"/>
      <c r="U426" s="55"/>
      <c r="V426" s="55"/>
      <c r="W426" s="55"/>
      <c r="X426" s="55"/>
      <c r="Y426" s="55"/>
      <c r="Z426" s="55"/>
      <c r="AA426" s="55"/>
      <c r="AB426" s="55"/>
      <c r="AC426" s="55"/>
      <c r="AD426" s="55"/>
      <c r="AE426" s="55"/>
      <c r="AF426" s="55"/>
      <c r="AG426" s="55"/>
      <c r="AH426" s="55"/>
      <c r="AI426" s="55"/>
      <c r="AJ426" s="55"/>
      <c r="AK426" s="55"/>
      <c r="AL426" s="55"/>
      <c r="AM426" s="55"/>
      <c r="AN426" s="55"/>
      <c r="AO426" s="55"/>
      <c r="AP426" s="55"/>
      <c r="AQ426" s="55"/>
      <c r="AR426" s="55"/>
      <c r="AS426" s="55"/>
      <c r="AT426" s="55"/>
      <c r="AU426" s="55"/>
      <c r="AV426" s="55"/>
      <c r="AW426" s="55"/>
      <c r="AX426" s="55"/>
      <c r="AY426" s="55"/>
      <c r="AZ426" s="55"/>
      <c r="BA426" s="55"/>
      <c r="BB426" s="55"/>
      <c r="BC426" s="55"/>
      <c r="BD426" s="55"/>
      <c r="BE426" s="55"/>
      <c r="BF426" s="55"/>
      <c r="BG426" s="55"/>
      <c r="BH426" s="55"/>
      <c r="BI426" s="55"/>
      <c r="BJ426" s="55"/>
      <c r="BK426" s="55"/>
      <c r="BL426" s="55"/>
      <c r="BM426" s="55"/>
      <c r="BN426" s="55"/>
      <c r="BO426" s="55"/>
      <c r="BP426" s="55"/>
      <c r="BQ426" s="55"/>
      <c r="BR426" s="55"/>
      <c r="BS426" s="55"/>
    </row>
    <row r="427" spans="1:71" outlineLevel="1" x14ac:dyDescent="0.2">
      <c r="C427" s="11" t="s">
        <v>354</v>
      </c>
      <c r="I427" s="30">
        <f t="shared" ref="I427:I430" ca="1" si="105">SUM($L427:$BS427)</f>
        <v>-6913.9284606988203</v>
      </c>
      <c r="J427" s="26" t="s">
        <v>148</v>
      </c>
      <c r="L427" s="49" cm="1">
        <f t="array" aca="1" ref="L427:BS427" ca="1">OA_cont_ATCF_Loango*Loango_II!CA_IOC_WI</f>
        <v>-852.52412158927439</v>
      </c>
      <c r="M427" s="49">
        <f ca="1"/>
        <v>-1633.9863785000014</v>
      </c>
      <c r="N427" s="49">
        <f ca="1"/>
        <v>-2767.7955655478027</v>
      </c>
      <c r="O427" s="49">
        <f ca="1"/>
        <v>-2368.6621032879375</v>
      </c>
      <c r="P427" s="49">
        <f ca="1"/>
        <v>-1071.0580264114426</v>
      </c>
      <c r="Q427" s="49">
        <f ca="1"/>
        <v>86.788799523317536</v>
      </c>
      <c r="R427" s="49">
        <f ca="1"/>
        <v>372.76381046874383</v>
      </c>
      <c r="S427" s="49">
        <f ca="1"/>
        <v>124.7063613410736</v>
      </c>
      <c r="T427" s="49">
        <f ca="1"/>
        <v>298.90395145387743</v>
      </c>
      <c r="U427" s="49">
        <f ca="1"/>
        <v>293.989016227474</v>
      </c>
      <c r="V427" s="49">
        <f ca="1"/>
        <v>263.10780567338173</v>
      </c>
      <c r="W427" s="49">
        <f ca="1"/>
        <v>183.21820697713119</v>
      </c>
      <c r="X427" s="49">
        <f ca="1"/>
        <v>156.61978297263963</v>
      </c>
      <c r="Y427" s="49">
        <f ca="1"/>
        <v>0</v>
      </c>
      <c r="Z427" s="49">
        <f ca="1"/>
        <v>0</v>
      </c>
      <c r="AA427" s="49">
        <f ca="1"/>
        <v>0</v>
      </c>
      <c r="AB427" s="49">
        <f ca="1"/>
        <v>0</v>
      </c>
      <c r="AC427" s="49">
        <f ca="1"/>
        <v>0</v>
      </c>
      <c r="AD427" s="49">
        <f ca="1"/>
        <v>0</v>
      </c>
      <c r="AE427" s="49">
        <f ca="1"/>
        <v>0</v>
      </c>
      <c r="AF427" s="49">
        <f ca="1"/>
        <v>0</v>
      </c>
      <c r="AG427" s="49">
        <f ca="1"/>
        <v>0</v>
      </c>
      <c r="AH427" s="49">
        <f ca="1"/>
        <v>0</v>
      </c>
      <c r="AI427" s="49">
        <f ca="1"/>
        <v>0</v>
      </c>
      <c r="AJ427" s="49">
        <f ca="1"/>
        <v>0</v>
      </c>
      <c r="AK427" s="49">
        <f ca="1"/>
        <v>0</v>
      </c>
      <c r="AL427" s="49">
        <f ca="1"/>
        <v>0</v>
      </c>
      <c r="AM427" s="49">
        <f ca="1"/>
        <v>0</v>
      </c>
      <c r="AN427" s="49">
        <f ca="1"/>
        <v>0</v>
      </c>
      <c r="AO427" s="49">
        <f ca="1"/>
        <v>0</v>
      </c>
      <c r="AP427" s="49">
        <f ca="1"/>
        <v>0</v>
      </c>
      <c r="AQ427" s="49">
        <f ca="1"/>
        <v>0</v>
      </c>
      <c r="AR427" s="49">
        <f ca="1"/>
        <v>0</v>
      </c>
      <c r="AS427" s="49">
        <f ca="1"/>
        <v>0</v>
      </c>
      <c r="AT427" s="49">
        <f ca="1"/>
        <v>0</v>
      </c>
      <c r="AU427" s="49">
        <f ca="1"/>
        <v>0</v>
      </c>
      <c r="AV427" s="49">
        <f ca="1"/>
        <v>0</v>
      </c>
      <c r="AW427" s="49">
        <f ca="1"/>
        <v>0</v>
      </c>
      <c r="AX427" s="49">
        <f ca="1"/>
        <v>0</v>
      </c>
      <c r="AY427" s="49">
        <f ca="1"/>
        <v>0</v>
      </c>
      <c r="AZ427" s="49">
        <f ca="1"/>
        <v>0</v>
      </c>
      <c r="BA427" s="49">
        <f ca="1"/>
        <v>0</v>
      </c>
      <c r="BB427" s="49">
        <f ca="1"/>
        <v>0</v>
      </c>
      <c r="BC427" s="49">
        <f ca="1"/>
        <v>0</v>
      </c>
      <c r="BD427" s="49">
        <f ca="1"/>
        <v>0</v>
      </c>
      <c r="BE427" s="49">
        <f ca="1"/>
        <v>0</v>
      </c>
      <c r="BF427" s="49">
        <f ca="1"/>
        <v>0</v>
      </c>
      <c r="BG427" s="49">
        <f ca="1"/>
        <v>0</v>
      </c>
      <c r="BH427" s="49">
        <f ca="1"/>
        <v>0</v>
      </c>
      <c r="BI427" s="49">
        <f ca="1"/>
        <v>0</v>
      </c>
      <c r="BJ427" s="49">
        <f ca="1"/>
        <v>0</v>
      </c>
      <c r="BK427" s="49">
        <f ca="1"/>
        <v>0</v>
      </c>
      <c r="BL427" s="49">
        <f ca="1"/>
        <v>0</v>
      </c>
      <c r="BM427" s="49">
        <f ca="1"/>
        <v>0</v>
      </c>
      <c r="BN427" s="49">
        <f ca="1"/>
        <v>0</v>
      </c>
      <c r="BO427" s="49">
        <f ca="1"/>
        <v>0</v>
      </c>
      <c r="BP427" s="49">
        <f ca="1"/>
        <v>0</v>
      </c>
      <c r="BQ427" s="49">
        <f ca="1"/>
        <v>0</v>
      </c>
      <c r="BR427" s="49">
        <f ca="1"/>
        <v>0</v>
      </c>
      <c r="BS427" s="49">
        <f ca="1"/>
        <v>0</v>
      </c>
    </row>
    <row r="428" spans="1:71" outlineLevel="1" x14ac:dyDescent="0.2">
      <c r="C428" s="11" t="s">
        <v>355</v>
      </c>
      <c r="I428" s="30">
        <f t="shared" ca="1" si="105"/>
        <v>-1091.3591000000001</v>
      </c>
      <c r="J428" s="26" t="s">
        <v>148</v>
      </c>
      <c r="L428" s="49" cm="1">
        <f t="array" aca="1" ref="L428:BS428" ca="1">-Loango_II!CA_NOC_carried_costs</f>
        <v>-128.6782</v>
      </c>
      <c r="M428" s="49">
        <f ca="1"/>
        <v>-211.8212</v>
      </c>
      <c r="N428" s="49">
        <f ca="1"/>
        <v>-313.05740000000003</v>
      </c>
      <c r="O428" s="49">
        <f ca="1"/>
        <v>-257.12010000000004</v>
      </c>
      <c r="P428" s="49">
        <f ca="1"/>
        <v>-115.3232</v>
      </c>
      <c r="Q428" s="49">
        <f ca="1"/>
        <v>-65.359000000000009</v>
      </c>
      <c r="R428" s="49">
        <f ca="1"/>
        <v>0</v>
      </c>
      <c r="S428" s="49">
        <f ca="1"/>
        <v>0</v>
      </c>
      <c r="T428" s="49">
        <f ca="1"/>
        <v>0</v>
      </c>
      <c r="U428" s="49">
        <f ca="1"/>
        <v>0</v>
      </c>
      <c r="V428" s="49">
        <f ca="1"/>
        <v>0</v>
      </c>
      <c r="W428" s="49">
        <f ca="1"/>
        <v>0</v>
      </c>
      <c r="X428" s="49">
        <f ca="1"/>
        <v>0</v>
      </c>
      <c r="Y428" s="49">
        <f ca="1"/>
        <v>0</v>
      </c>
      <c r="Z428" s="49">
        <f ca="1"/>
        <v>0</v>
      </c>
      <c r="AA428" s="49">
        <f ca="1"/>
        <v>0</v>
      </c>
      <c r="AB428" s="49">
        <f ca="1"/>
        <v>0</v>
      </c>
      <c r="AC428" s="49">
        <f ca="1"/>
        <v>0</v>
      </c>
      <c r="AD428" s="49">
        <f ca="1"/>
        <v>0</v>
      </c>
      <c r="AE428" s="49">
        <f ca="1"/>
        <v>0</v>
      </c>
      <c r="AF428" s="49">
        <f ca="1"/>
        <v>0</v>
      </c>
      <c r="AG428" s="49">
        <f ca="1"/>
        <v>0</v>
      </c>
      <c r="AH428" s="49">
        <f ca="1"/>
        <v>0</v>
      </c>
      <c r="AI428" s="49">
        <f ca="1"/>
        <v>0</v>
      </c>
      <c r="AJ428" s="49">
        <f ca="1"/>
        <v>0</v>
      </c>
      <c r="AK428" s="49">
        <f ca="1"/>
        <v>0</v>
      </c>
      <c r="AL428" s="49">
        <f ca="1"/>
        <v>0</v>
      </c>
      <c r="AM428" s="49">
        <f ca="1"/>
        <v>0</v>
      </c>
      <c r="AN428" s="49">
        <f ca="1"/>
        <v>0</v>
      </c>
      <c r="AO428" s="49">
        <f ca="1"/>
        <v>0</v>
      </c>
      <c r="AP428" s="49">
        <f ca="1"/>
        <v>0</v>
      </c>
      <c r="AQ428" s="49">
        <f ca="1"/>
        <v>0</v>
      </c>
      <c r="AR428" s="49">
        <f ca="1"/>
        <v>0</v>
      </c>
      <c r="AS428" s="49">
        <f ca="1"/>
        <v>0</v>
      </c>
      <c r="AT428" s="49">
        <f ca="1"/>
        <v>0</v>
      </c>
      <c r="AU428" s="49">
        <f ca="1"/>
        <v>0</v>
      </c>
      <c r="AV428" s="49">
        <f ca="1"/>
        <v>0</v>
      </c>
      <c r="AW428" s="49">
        <f ca="1"/>
        <v>0</v>
      </c>
      <c r="AX428" s="49">
        <f ca="1"/>
        <v>0</v>
      </c>
      <c r="AY428" s="49">
        <f ca="1"/>
        <v>0</v>
      </c>
      <c r="AZ428" s="49">
        <f ca="1"/>
        <v>0</v>
      </c>
      <c r="BA428" s="49">
        <f ca="1"/>
        <v>0</v>
      </c>
      <c r="BB428" s="49">
        <f ca="1"/>
        <v>0</v>
      </c>
      <c r="BC428" s="49">
        <f ca="1"/>
        <v>0</v>
      </c>
      <c r="BD428" s="49">
        <f ca="1"/>
        <v>0</v>
      </c>
      <c r="BE428" s="49">
        <f ca="1"/>
        <v>0</v>
      </c>
      <c r="BF428" s="49">
        <f ca="1"/>
        <v>0</v>
      </c>
      <c r="BG428" s="49">
        <f ca="1"/>
        <v>0</v>
      </c>
      <c r="BH428" s="49">
        <f ca="1"/>
        <v>0</v>
      </c>
      <c r="BI428" s="49">
        <f ca="1"/>
        <v>0</v>
      </c>
      <c r="BJ428" s="49">
        <f ca="1"/>
        <v>0</v>
      </c>
      <c r="BK428" s="49">
        <f ca="1"/>
        <v>0</v>
      </c>
      <c r="BL428" s="49">
        <f ca="1"/>
        <v>0</v>
      </c>
      <c r="BM428" s="49">
        <f ca="1"/>
        <v>0</v>
      </c>
      <c r="BN428" s="49">
        <f ca="1"/>
        <v>0</v>
      </c>
      <c r="BO428" s="49">
        <f ca="1"/>
        <v>0</v>
      </c>
      <c r="BP428" s="49">
        <f ca="1"/>
        <v>0</v>
      </c>
      <c r="BQ428" s="49">
        <f ca="1"/>
        <v>0</v>
      </c>
      <c r="BR428" s="49">
        <f ca="1"/>
        <v>0</v>
      </c>
      <c r="BS428" s="49">
        <f ca="1"/>
        <v>0</v>
      </c>
    </row>
    <row r="429" spans="1:71" outlineLevel="1" x14ac:dyDescent="0.2">
      <c r="C429" s="11" t="s">
        <v>327</v>
      </c>
      <c r="I429" s="30">
        <f t="shared" ca="1" si="105"/>
        <v>513.7952448424511</v>
      </c>
      <c r="J429" s="26" t="s">
        <v>148</v>
      </c>
      <c r="L429" s="49" cm="1">
        <f t="array" aca="1" ref="L429:BS429" ca="1">-Loango_II!CA_NOC_carry_payback</f>
        <v>37.132151312624892</v>
      </c>
      <c r="M429" s="49">
        <f ca="1"/>
        <v>37.022627939847922</v>
      </c>
      <c r="N429" s="49">
        <f ca="1"/>
        <v>14.52151631443391</v>
      </c>
      <c r="O429" s="49">
        <f ca="1"/>
        <v>13.707003510051898</v>
      </c>
      <c r="P429" s="49">
        <f ca="1"/>
        <v>38.021245437261555</v>
      </c>
      <c r="Q429" s="49">
        <f ca="1"/>
        <v>75.577599610070536</v>
      </c>
      <c r="R429" s="49">
        <f ca="1"/>
        <v>53.193699020057196</v>
      </c>
      <c r="S429" s="49">
        <f ca="1"/>
        <v>32.442329523709802</v>
      </c>
      <c r="T429" s="49">
        <f ca="1"/>
        <v>47.045086040578767</v>
      </c>
      <c r="U429" s="49">
        <f ca="1"/>
        <v>46.844865709467072</v>
      </c>
      <c r="V429" s="49">
        <f ca="1"/>
        <v>44.437039612000461</v>
      </c>
      <c r="W429" s="49">
        <f ca="1"/>
        <v>37.949521968495141</v>
      </c>
      <c r="X429" s="49">
        <f ca="1"/>
        <v>35.900558843851883</v>
      </c>
      <c r="Y429" s="49">
        <f ca="1"/>
        <v>0</v>
      </c>
      <c r="Z429" s="49">
        <f ca="1"/>
        <v>0</v>
      </c>
      <c r="AA429" s="49">
        <f ca="1"/>
        <v>0</v>
      </c>
      <c r="AB429" s="49">
        <f ca="1"/>
        <v>0</v>
      </c>
      <c r="AC429" s="49">
        <f ca="1"/>
        <v>0</v>
      </c>
      <c r="AD429" s="49">
        <f ca="1"/>
        <v>0</v>
      </c>
      <c r="AE429" s="49">
        <f ca="1"/>
        <v>0</v>
      </c>
      <c r="AF429" s="49">
        <f ca="1"/>
        <v>0</v>
      </c>
      <c r="AG429" s="49">
        <f ca="1"/>
        <v>0</v>
      </c>
      <c r="AH429" s="49">
        <f ca="1"/>
        <v>0</v>
      </c>
      <c r="AI429" s="49">
        <f ca="1"/>
        <v>0</v>
      </c>
      <c r="AJ429" s="49">
        <f ca="1"/>
        <v>0</v>
      </c>
      <c r="AK429" s="49">
        <f ca="1"/>
        <v>0</v>
      </c>
      <c r="AL429" s="49">
        <f ca="1"/>
        <v>0</v>
      </c>
      <c r="AM429" s="49">
        <f ca="1"/>
        <v>0</v>
      </c>
      <c r="AN429" s="49">
        <f ca="1"/>
        <v>0</v>
      </c>
      <c r="AO429" s="49">
        <f ca="1"/>
        <v>0</v>
      </c>
      <c r="AP429" s="49">
        <f ca="1"/>
        <v>0</v>
      </c>
      <c r="AQ429" s="49">
        <f ca="1"/>
        <v>0</v>
      </c>
      <c r="AR429" s="49">
        <f ca="1"/>
        <v>0</v>
      </c>
      <c r="AS429" s="49">
        <f ca="1"/>
        <v>0</v>
      </c>
      <c r="AT429" s="49">
        <f ca="1"/>
        <v>0</v>
      </c>
      <c r="AU429" s="49">
        <f ca="1"/>
        <v>0</v>
      </c>
      <c r="AV429" s="49">
        <f ca="1"/>
        <v>0</v>
      </c>
      <c r="AW429" s="49">
        <f ca="1"/>
        <v>0</v>
      </c>
      <c r="AX429" s="49">
        <f ca="1"/>
        <v>0</v>
      </c>
      <c r="AY429" s="49">
        <f ca="1"/>
        <v>0</v>
      </c>
      <c r="AZ429" s="49">
        <f ca="1"/>
        <v>0</v>
      </c>
      <c r="BA429" s="49">
        <f ca="1"/>
        <v>0</v>
      </c>
      <c r="BB429" s="49">
        <f ca="1"/>
        <v>0</v>
      </c>
      <c r="BC429" s="49">
        <f ca="1"/>
        <v>0</v>
      </c>
      <c r="BD429" s="49">
        <f ca="1"/>
        <v>0</v>
      </c>
      <c r="BE429" s="49">
        <f ca="1"/>
        <v>0</v>
      </c>
      <c r="BF429" s="49">
        <f ca="1"/>
        <v>0</v>
      </c>
      <c r="BG429" s="49">
        <f ca="1"/>
        <v>0</v>
      </c>
      <c r="BH429" s="49">
        <f ca="1"/>
        <v>0</v>
      </c>
      <c r="BI429" s="49">
        <f ca="1"/>
        <v>0</v>
      </c>
      <c r="BJ429" s="49">
        <f ca="1"/>
        <v>0</v>
      </c>
      <c r="BK429" s="49">
        <f ca="1"/>
        <v>0</v>
      </c>
      <c r="BL429" s="49">
        <f ca="1"/>
        <v>0</v>
      </c>
      <c r="BM429" s="49">
        <f ca="1"/>
        <v>0</v>
      </c>
      <c r="BN429" s="49">
        <f ca="1"/>
        <v>0</v>
      </c>
      <c r="BO429" s="49">
        <f ca="1"/>
        <v>0</v>
      </c>
      <c r="BP429" s="49">
        <f ca="1"/>
        <v>0</v>
      </c>
      <c r="BQ429" s="49">
        <f ca="1"/>
        <v>0</v>
      </c>
      <c r="BR429" s="49">
        <f ca="1"/>
        <v>0</v>
      </c>
      <c r="BS429" s="49">
        <f ca="1"/>
        <v>0</v>
      </c>
    </row>
    <row r="430" spans="1:71" outlineLevel="1" x14ac:dyDescent="0.2">
      <c r="C430" s="11" t="s">
        <v>356</v>
      </c>
      <c r="H430" s="7" t="s">
        <v>542</v>
      </c>
      <c r="I430" s="30">
        <f t="shared" ca="1" si="105"/>
        <v>-7491.492315856367</v>
      </c>
      <c r="J430" s="26" t="s">
        <v>148</v>
      </c>
      <c r="K430" s="7" t="s">
        <v>399</v>
      </c>
      <c r="L430" s="49">
        <f ca="1">SUM(L427:L429)</f>
        <v>-944.07017027664949</v>
      </c>
      <c r="M430" s="49">
        <f t="shared" ref="M430:BS430" ca="1" si="106">SUM(M427:M429)</f>
        <v>-1808.7849505601534</v>
      </c>
      <c r="N430" s="49">
        <f t="shared" ca="1" si="106"/>
        <v>-3066.3314492333689</v>
      </c>
      <c r="O430" s="49">
        <f t="shared" ca="1" si="106"/>
        <v>-2612.0751997778857</v>
      </c>
      <c r="P430" s="49">
        <f t="shared" ca="1" si="106"/>
        <v>-1148.3599809741811</v>
      </c>
      <c r="Q430" s="49">
        <f t="shared" ca="1" si="106"/>
        <v>97.007399133388063</v>
      </c>
      <c r="R430" s="49">
        <f t="shared" ca="1" si="106"/>
        <v>425.95750948880101</v>
      </c>
      <c r="S430" s="49">
        <f t="shared" ca="1" si="106"/>
        <v>157.14869086478342</v>
      </c>
      <c r="T430" s="49">
        <f t="shared" ca="1" si="106"/>
        <v>345.94903749445621</v>
      </c>
      <c r="U430" s="49">
        <f t="shared" ca="1" si="106"/>
        <v>340.83388193694105</v>
      </c>
      <c r="V430" s="49">
        <f t="shared" ca="1" si="106"/>
        <v>307.54484528538217</v>
      </c>
      <c r="W430" s="49">
        <f t="shared" ca="1" si="106"/>
        <v>221.16772894562632</v>
      </c>
      <c r="X430" s="49">
        <f t="shared" ca="1" si="106"/>
        <v>192.52034181649151</v>
      </c>
      <c r="Y430" s="49">
        <f t="shared" ca="1" si="106"/>
        <v>0</v>
      </c>
      <c r="Z430" s="49">
        <f t="shared" ca="1" si="106"/>
        <v>0</v>
      </c>
      <c r="AA430" s="49">
        <f t="shared" ca="1" si="106"/>
        <v>0</v>
      </c>
      <c r="AB430" s="49">
        <f t="shared" ca="1" si="106"/>
        <v>0</v>
      </c>
      <c r="AC430" s="49">
        <f t="shared" ca="1" si="106"/>
        <v>0</v>
      </c>
      <c r="AD430" s="49">
        <f t="shared" ca="1" si="106"/>
        <v>0</v>
      </c>
      <c r="AE430" s="49">
        <f t="shared" ca="1" si="106"/>
        <v>0</v>
      </c>
      <c r="AF430" s="49">
        <f t="shared" ca="1" si="106"/>
        <v>0</v>
      </c>
      <c r="AG430" s="49">
        <f t="shared" ca="1" si="106"/>
        <v>0</v>
      </c>
      <c r="AH430" s="49">
        <f t="shared" ca="1" si="106"/>
        <v>0</v>
      </c>
      <c r="AI430" s="49">
        <f t="shared" ca="1" si="106"/>
        <v>0</v>
      </c>
      <c r="AJ430" s="49">
        <f t="shared" ca="1" si="106"/>
        <v>0</v>
      </c>
      <c r="AK430" s="49">
        <f t="shared" ca="1" si="106"/>
        <v>0</v>
      </c>
      <c r="AL430" s="49">
        <f t="shared" ca="1" si="106"/>
        <v>0</v>
      </c>
      <c r="AM430" s="49">
        <f t="shared" ca="1" si="106"/>
        <v>0</v>
      </c>
      <c r="AN430" s="49">
        <f t="shared" ca="1" si="106"/>
        <v>0</v>
      </c>
      <c r="AO430" s="49">
        <f t="shared" ca="1" si="106"/>
        <v>0</v>
      </c>
      <c r="AP430" s="49">
        <f t="shared" ca="1" si="106"/>
        <v>0</v>
      </c>
      <c r="AQ430" s="49">
        <f t="shared" ca="1" si="106"/>
        <v>0</v>
      </c>
      <c r="AR430" s="49">
        <f t="shared" ca="1" si="106"/>
        <v>0</v>
      </c>
      <c r="AS430" s="49">
        <f t="shared" ca="1" si="106"/>
        <v>0</v>
      </c>
      <c r="AT430" s="49">
        <f t="shared" ca="1" si="106"/>
        <v>0</v>
      </c>
      <c r="AU430" s="49">
        <f t="shared" ca="1" si="106"/>
        <v>0</v>
      </c>
      <c r="AV430" s="49">
        <f t="shared" ca="1" si="106"/>
        <v>0</v>
      </c>
      <c r="AW430" s="49">
        <f t="shared" ca="1" si="106"/>
        <v>0</v>
      </c>
      <c r="AX430" s="49">
        <f t="shared" ca="1" si="106"/>
        <v>0</v>
      </c>
      <c r="AY430" s="49">
        <f t="shared" ca="1" si="106"/>
        <v>0</v>
      </c>
      <c r="AZ430" s="49">
        <f t="shared" ca="1" si="106"/>
        <v>0</v>
      </c>
      <c r="BA430" s="49">
        <f t="shared" ca="1" si="106"/>
        <v>0</v>
      </c>
      <c r="BB430" s="49">
        <f t="shared" ca="1" si="106"/>
        <v>0</v>
      </c>
      <c r="BC430" s="49">
        <f t="shared" ca="1" si="106"/>
        <v>0</v>
      </c>
      <c r="BD430" s="49">
        <f t="shared" ca="1" si="106"/>
        <v>0</v>
      </c>
      <c r="BE430" s="49">
        <f t="shared" ca="1" si="106"/>
        <v>0</v>
      </c>
      <c r="BF430" s="49">
        <f t="shared" ca="1" si="106"/>
        <v>0</v>
      </c>
      <c r="BG430" s="49">
        <f t="shared" ca="1" si="106"/>
        <v>0</v>
      </c>
      <c r="BH430" s="49">
        <f t="shared" ca="1" si="106"/>
        <v>0</v>
      </c>
      <c r="BI430" s="49">
        <f t="shared" ca="1" si="106"/>
        <v>0</v>
      </c>
      <c r="BJ430" s="49">
        <f t="shared" ca="1" si="106"/>
        <v>0</v>
      </c>
      <c r="BK430" s="49">
        <f t="shared" ca="1" si="106"/>
        <v>0</v>
      </c>
      <c r="BL430" s="49">
        <f t="shared" ca="1" si="106"/>
        <v>0</v>
      </c>
      <c r="BM430" s="49">
        <f t="shared" ca="1" si="106"/>
        <v>0</v>
      </c>
      <c r="BN430" s="49">
        <f t="shared" ca="1" si="106"/>
        <v>0</v>
      </c>
      <c r="BO430" s="49">
        <f t="shared" ca="1" si="106"/>
        <v>0</v>
      </c>
      <c r="BP430" s="49">
        <f t="shared" ca="1" si="106"/>
        <v>0</v>
      </c>
      <c r="BQ430" s="49">
        <f t="shared" ca="1" si="106"/>
        <v>0</v>
      </c>
      <c r="BR430" s="49">
        <f t="shared" ca="1" si="106"/>
        <v>0</v>
      </c>
      <c r="BS430" s="49">
        <f t="shared" ca="1" si="106"/>
        <v>0</v>
      </c>
    </row>
    <row r="431" spans="1:71" outlineLevel="1" x14ac:dyDescent="0.2">
      <c r="J431" s="26"/>
      <c r="L431" s="55"/>
      <c r="M431" s="55"/>
      <c r="N431" s="55"/>
      <c r="O431" s="55"/>
      <c r="P431" s="55"/>
      <c r="Q431" s="55"/>
      <c r="R431" s="55"/>
      <c r="S431" s="55"/>
      <c r="T431" s="55"/>
      <c r="U431" s="55"/>
      <c r="V431" s="55"/>
      <c r="W431" s="55"/>
      <c r="X431" s="55"/>
      <c r="Y431" s="55"/>
      <c r="Z431" s="55"/>
      <c r="AA431" s="55"/>
      <c r="AB431" s="55"/>
      <c r="AC431" s="55"/>
      <c r="AD431" s="55"/>
      <c r="AE431" s="55"/>
      <c r="AF431" s="55"/>
      <c r="AG431" s="55"/>
      <c r="AH431" s="55"/>
      <c r="AI431" s="55"/>
      <c r="AJ431" s="55"/>
      <c r="AK431" s="55"/>
      <c r="AL431" s="55"/>
      <c r="AM431" s="55"/>
      <c r="AN431" s="55"/>
      <c r="AO431" s="55"/>
      <c r="AP431" s="55"/>
      <c r="AQ431" s="55"/>
      <c r="AR431" s="55"/>
      <c r="AS431" s="55"/>
      <c r="AT431" s="55"/>
      <c r="AU431" s="55"/>
      <c r="AV431" s="55"/>
      <c r="AW431" s="55"/>
      <c r="AX431" s="55"/>
      <c r="AY431" s="55"/>
      <c r="AZ431" s="55"/>
      <c r="BA431" s="55"/>
      <c r="BB431" s="55"/>
      <c r="BC431" s="55"/>
      <c r="BD431" s="55"/>
      <c r="BE431" s="55"/>
      <c r="BF431" s="55"/>
      <c r="BG431" s="55"/>
      <c r="BH431" s="55"/>
      <c r="BI431" s="55"/>
      <c r="BJ431" s="55"/>
      <c r="BK431" s="55"/>
      <c r="BL431" s="55"/>
      <c r="BM431" s="55"/>
      <c r="BN431" s="55"/>
      <c r="BO431" s="55"/>
      <c r="BP431" s="55"/>
      <c r="BQ431" s="55"/>
      <c r="BR431" s="55"/>
      <c r="BS431" s="55"/>
    </row>
    <row r="432" spans="1:71" outlineLevel="1" x14ac:dyDescent="0.2">
      <c r="C432" s="11" t="s">
        <v>303</v>
      </c>
      <c r="J432" s="26"/>
      <c r="L432" s="66">
        <f t="shared" ref="L432:BS432" ca="1" si="107">(K432+L430)*CA_op_trig</f>
        <v>-944.07017027664949</v>
      </c>
      <c r="M432" s="66">
        <f t="shared" ca="1" si="107"/>
        <v>-2752.8551208368031</v>
      </c>
      <c r="N432" s="66">
        <f t="shared" ca="1" si="107"/>
        <v>-5819.1865700701719</v>
      </c>
      <c r="O432" s="66">
        <f t="shared" ca="1" si="107"/>
        <v>-8431.2617698480572</v>
      </c>
      <c r="P432" s="66">
        <f t="shared" ca="1" si="107"/>
        <v>-9579.621750822238</v>
      </c>
      <c r="Q432" s="66">
        <f t="shared" ca="1" si="107"/>
        <v>-9482.6143516888496</v>
      </c>
      <c r="R432" s="66">
        <f t="shared" ca="1" si="107"/>
        <v>-9056.6568422000491</v>
      </c>
      <c r="S432" s="66">
        <f t="shared" ca="1" si="107"/>
        <v>-8899.5081513352652</v>
      </c>
      <c r="T432" s="66">
        <f t="shared" ca="1" si="107"/>
        <v>-8553.559113840809</v>
      </c>
      <c r="U432" s="66">
        <f t="shared" ca="1" si="107"/>
        <v>-8212.7252319038671</v>
      </c>
      <c r="V432" s="66">
        <f t="shared" ca="1" si="107"/>
        <v>-7905.1803866184846</v>
      </c>
      <c r="W432" s="66">
        <f t="shared" ca="1" si="107"/>
        <v>-7684.012657672858</v>
      </c>
      <c r="X432" s="66">
        <f t="shared" ca="1" si="107"/>
        <v>-7491.492315856367</v>
      </c>
      <c r="Y432" s="66">
        <f t="shared" ca="1" si="107"/>
        <v>0</v>
      </c>
      <c r="Z432" s="66">
        <f t="shared" ca="1" si="107"/>
        <v>0</v>
      </c>
      <c r="AA432" s="66">
        <f t="shared" ca="1" si="107"/>
        <v>0</v>
      </c>
      <c r="AB432" s="66">
        <f t="shared" ca="1" si="107"/>
        <v>0</v>
      </c>
      <c r="AC432" s="66">
        <f t="shared" ca="1" si="107"/>
        <v>0</v>
      </c>
      <c r="AD432" s="66">
        <f t="shared" ca="1" si="107"/>
        <v>0</v>
      </c>
      <c r="AE432" s="66">
        <f t="shared" ca="1" si="107"/>
        <v>0</v>
      </c>
      <c r="AF432" s="66">
        <f t="shared" ca="1" si="107"/>
        <v>0</v>
      </c>
      <c r="AG432" s="66">
        <f t="shared" ca="1" si="107"/>
        <v>0</v>
      </c>
      <c r="AH432" s="66">
        <f t="shared" ca="1" si="107"/>
        <v>0</v>
      </c>
      <c r="AI432" s="66">
        <f t="shared" ca="1" si="107"/>
        <v>0</v>
      </c>
      <c r="AJ432" s="66">
        <f t="shared" ca="1" si="107"/>
        <v>0</v>
      </c>
      <c r="AK432" s="66">
        <f t="shared" ca="1" si="107"/>
        <v>0</v>
      </c>
      <c r="AL432" s="66">
        <f t="shared" ca="1" si="107"/>
        <v>0</v>
      </c>
      <c r="AM432" s="66">
        <f t="shared" ca="1" si="107"/>
        <v>0</v>
      </c>
      <c r="AN432" s="66">
        <f t="shared" ca="1" si="107"/>
        <v>0</v>
      </c>
      <c r="AO432" s="66">
        <f t="shared" ca="1" si="107"/>
        <v>0</v>
      </c>
      <c r="AP432" s="66">
        <f t="shared" ca="1" si="107"/>
        <v>0</v>
      </c>
      <c r="AQ432" s="66">
        <f t="shared" ca="1" si="107"/>
        <v>0</v>
      </c>
      <c r="AR432" s="66">
        <f t="shared" ca="1" si="107"/>
        <v>0</v>
      </c>
      <c r="AS432" s="66">
        <f t="shared" ca="1" si="107"/>
        <v>0</v>
      </c>
      <c r="AT432" s="66">
        <f t="shared" ca="1" si="107"/>
        <v>0</v>
      </c>
      <c r="AU432" s="66">
        <f t="shared" ca="1" si="107"/>
        <v>0</v>
      </c>
      <c r="AV432" s="66">
        <f t="shared" ca="1" si="107"/>
        <v>0</v>
      </c>
      <c r="AW432" s="66">
        <f t="shared" ca="1" si="107"/>
        <v>0</v>
      </c>
      <c r="AX432" s="66">
        <f t="shared" ca="1" si="107"/>
        <v>0</v>
      </c>
      <c r="AY432" s="66">
        <f t="shared" ca="1" si="107"/>
        <v>0</v>
      </c>
      <c r="AZ432" s="66">
        <f t="shared" ca="1" si="107"/>
        <v>0</v>
      </c>
      <c r="BA432" s="66">
        <f t="shared" ca="1" si="107"/>
        <v>0</v>
      </c>
      <c r="BB432" s="66">
        <f t="shared" ca="1" si="107"/>
        <v>0</v>
      </c>
      <c r="BC432" s="66">
        <f t="shared" ca="1" si="107"/>
        <v>0</v>
      </c>
      <c r="BD432" s="66">
        <f t="shared" ca="1" si="107"/>
        <v>0</v>
      </c>
      <c r="BE432" s="66">
        <f t="shared" ca="1" si="107"/>
        <v>0</v>
      </c>
      <c r="BF432" s="66">
        <f t="shared" ca="1" si="107"/>
        <v>0</v>
      </c>
      <c r="BG432" s="66">
        <f t="shared" ca="1" si="107"/>
        <v>0</v>
      </c>
      <c r="BH432" s="66">
        <f t="shared" ca="1" si="107"/>
        <v>0</v>
      </c>
      <c r="BI432" s="66">
        <f t="shared" ca="1" si="107"/>
        <v>0</v>
      </c>
      <c r="BJ432" s="66">
        <f t="shared" ca="1" si="107"/>
        <v>0</v>
      </c>
      <c r="BK432" s="66">
        <f t="shared" ca="1" si="107"/>
        <v>0</v>
      </c>
      <c r="BL432" s="66">
        <f t="shared" ca="1" si="107"/>
        <v>0</v>
      </c>
      <c r="BM432" s="66">
        <f t="shared" ca="1" si="107"/>
        <v>0</v>
      </c>
      <c r="BN432" s="66">
        <f t="shared" ca="1" si="107"/>
        <v>0</v>
      </c>
      <c r="BO432" s="66">
        <f t="shared" ca="1" si="107"/>
        <v>0</v>
      </c>
      <c r="BP432" s="66">
        <f t="shared" ca="1" si="107"/>
        <v>0</v>
      </c>
      <c r="BQ432" s="66">
        <f t="shared" ca="1" si="107"/>
        <v>0</v>
      </c>
      <c r="BR432" s="66">
        <f t="shared" ca="1" si="107"/>
        <v>0</v>
      </c>
      <c r="BS432" s="66">
        <f t="shared" ca="1" si="107"/>
        <v>0</v>
      </c>
    </row>
    <row r="433" spans="1:71" outlineLevel="1" x14ac:dyDescent="0.2">
      <c r="J433" s="26"/>
      <c r="L433" s="55"/>
      <c r="M433" s="55"/>
      <c r="N433" s="55"/>
      <c r="O433" s="55"/>
      <c r="P433" s="55"/>
      <c r="Q433" s="55"/>
      <c r="R433" s="55"/>
      <c r="S433" s="55"/>
      <c r="T433" s="55"/>
      <c r="U433" s="55"/>
      <c r="V433" s="55"/>
      <c r="W433" s="55"/>
      <c r="X433" s="55"/>
      <c r="Y433" s="55"/>
      <c r="Z433" s="55"/>
      <c r="AA433" s="55"/>
      <c r="AB433" s="55"/>
      <c r="AC433" s="55"/>
      <c r="AD433" s="55"/>
      <c r="AE433" s="55"/>
      <c r="AF433" s="55"/>
      <c r="AG433" s="55"/>
      <c r="AH433" s="55"/>
      <c r="AI433" s="55"/>
      <c r="AJ433" s="55"/>
      <c r="AK433" s="55"/>
      <c r="AL433" s="55"/>
      <c r="AM433" s="55"/>
      <c r="AN433" s="55"/>
      <c r="AO433" s="55"/>
      <c r="AP433" s="55"/>
      <c r="AQ433" s="55"/>
      <c r="AR433" s="55"/>
      <c r="AS433" s="55"/>
      <c r="AT433" s="55"/>
      <c r="AU433" s="55"/>
      <c r="AV433" s="55"/>
      <c r="AW433" s="55"/>
      <c r="AX433" s="55"/>
      <c r="AY433" s="55"/>
      <c r="AZ433" s="55"/>
      <c r="BA433" s="55"/>
      <c r="BB433" s="55"/>
      <c r="BC433" s="55"/>
      <c r="BD433" s="55"/>
      <c r="BE433" s="55"/>
      <c r="BF433" s="55"/>
      <c r="BG433" s="55"/>
      <c r="BH433" s="55"/>
      <c r="BI433" s="55"/>
      <c r="BJ433" s="55"/>
      <c r="BK433" s="55"/>
      <c r="BL433" s="55"/>
      <c r="BM433" s="55"/>
      <c r="BN433" s="55"/>
      <c r="BO433" s="55"/>
      <c r="BP433" s="55"/>
      <c r="BQ433" s="55"/>
      <c r="BR433" s="55"/>
      <c r="BS433" s="55"/>
    </row>
    <row r="434" spans="1:71" outlineLevel="1" x14ac:dyDescent="0.2">
      <c r="C434" s="11" t="s">
        <v>284</v>
      </c>
      <c r="G434" s="60"/>
      <c r="H434" s="7" t="s">
        <v>543</v>
      </c>
      <c r="I434" s="63">
        <f ca="1">SUMPRODUCT(OA_IOC_ATCF_Loango,Loango_II!CA_disc_factor_fc)</f>
        <v>-6602.4701421200716</v>
      </c>
      <c r="J434" s="26" t="s">
        <v>148</v>
      </c>
      <c r="L434" s="55"/>
      <c r="M434" s="55"/>
      <c r="N434" s="55"/>
      <c r="O434" s="55"/>
      <c r="P434" s="55"/>
      <c r="Q434" s="55"/>
      <c r="R434" s="55"/>
      <c r="S434" s="55"/>
      <c r="T434" s="55"/>
      <c r="U434" s="55"/>
      <c r="V434" s="55"/>
      <c r="W434" s="55"/>
      <c r="X434" s="55"/>
      <c r="Y434" s="55"/>
      <c r="Z434" s="55"/>
      <c r="AA434" s="55"/>
      <c r="AB434" s="55"/>
      <c r="AC434" s="55"/>
      <c r="AD434" s="55"/>
      <c r="AE434" s="55"/>
      <c r="AF434" s="55"/>
      <c r="AG434" s="55"/>
      <c r="AH434" s="55"/>
      <c r="AI434" s="55"/>
      <c r="AJ434" s="55"/>
      <c r="AK434" s="55"/>
      <c r="AL434" s="55"/>
      <c r="AM434" s="55"/>
      <c r="AN434" s="55"/>
      <c r="AO434" s="55"/>
      <c r="AP434" s="55"/>
      <c r="AQ434" s="55"/>
      <c r="AR434" s="55"/>
      <c r="AS434" s="55"/>
      <c r="AT434" s="55"/>
      <c r="AU434" s="55"/>
      <c r="AV434" s="55"/>
      <c r="AW434" s="55"/>
      <c r="AX434" s="55"/>
      <c r="AY434" s="55"/>
      <c r="AZ434" s="55"/>
      <c r="BA434" s="55"/>
      <c r="BB434" s="55"/>
      <c r="BC434" s="55"/>
      <c r="BD434" s="55"/>
      <c r="BE434" s="55"/>
      <c r="BF434" s="55"/>
      <c r="BG434" s="55"/>
      <c r="BH434" s="55"/>
      <c r="BI434" s="55"/>
      <c r="BJ434" s="55"/>
      <c r="BK434" s="55"/>
      <c r="BL434" s="55"/>
      <c r="BM434" s="55"/>
      <c r="BN434" s="55"/>
      <c r="BO434" s="55"/>
      <c r="BP434" s="55"/>
      <c r="BQ434" s="55"/>
      <c r="BR434" s="55"/>
      <c r="BS434" s="55"/>
    </row>
    <row r="435" spans="1:71" outlineLevel="1" x14ac:dyDescent="0.2">
      <c r="C435" s="11" t="s">
        <v>285</v>
      </c>
      <c r="I435" s="63">
        <f ca="1">SUMPRODUCT(OA_IOC_ATCF_Loango,Loango_II!CA_disc_factor_pf)</f>
        <v>1151.4280118207419</v>
      </c>
      <c r="J435" s="26" t="s">
        <v>148</v>
      </c>
      <c r="L435" s="55"/>
      <c r="M435" s="55"/>
      <c r="N435" s="55"/>
      <c r="O435" s="55"/>
      <c r="P435" s="55"/>
      <c r="Q435" s="55"/>
      <c r="R435" s="55"/>
      <c r="S435" s="55"/>
      <c r="T435" s="55"/>
      <c r="U435" s="55"/>
      <c r="V435" s="55"/>
      <c r="W435" s="55"/>
      <c r="X435" s="55"/>
      <c r="Y435" s="55"/>
      <c r="Z435" s="55"/>
      <c r="AA435" s="55"/>
      <c r="AB435" s="55"/>
      <c r="AC435" s="55"/>
      <c r="AD435" s="55"/>
      <c r="AE435" s="55"/>
      <c r="AF435" s="55"/>
      <c r="AG435" s="55"/>
      <c r="AH435" s="55"/>
      <c r="AI435" s="55"/>
      <c r="AJ435" s="55"/>
      <c r="AK435" s="55"/>
      <c r="AL435" s="55"/>
      <c r="AM435" s="55"/>
      <c r="AN435" s="55"/>
      <c r="AO435" s="55"/>
      <c r="AP435" s="55"/>
      <c r="AQ435" s="55"/>
      <c r="AR435" s="55"/>
      <c r="AS435" s="55"/>
      <c r="AT435" s="55"/>
      <c r="AU435" s="55"/>
      <c r="AV435" s="55"/>
      <c r="AW435" s="55"/>
      <c r="AX435" s="55"/>
      <c r="AY435" s="55"/>
      <c r="AZ435" s="55"/>
      <c r="BA435" s="55"/>
      <c r="BB435" s="55"/>
      <c r="BC435" s="55"/>
      <c r="BD435" s="55"/>
      <c r="BE435" s="55"/>
      <c r="BF435" s="55"/>
      <c r="BG435" s="55"/>
      <c r="BH435" s="55"/>
      <c r="BI435" s="55"/>
      <c r="BJ435" s="55"/>
      <c r="BK435" s="55"/>
      <c r="BL435" s="55"/>
      <c r="BM435" s="55"/>
      <c r="BN435" s="55"/>
      <c r="BO435" s="55"/>
      <c r="BP435" s="55"/>
      <c r="BQ435" s="55"/>
      <c r="BR435" s="55"/>
      <c r="BS435" s="55"/>
    </row>
    <row r="436" spans="1:71" outlineLevel="1" x14ac:dyDescent="0.2">
      <c r="I436" s="61"/>
      <c r="J436" s="26"/>
      <c r="L436" s="55"/>
      <c r="M436" s="55"/>
      <c r="N436" s="55"/>
      <c r="O436" s="55"/>
      <c r="P436" s="55"/>
      <c r="Q436" s="55"/>
      <c r="R436" s="55"/>
      <c r="S436" s="55"/>
      <c r="T436" s="55"/>
      <c r="U436" s="55"/>
      <c r="V436" s="55"/>
      <c r="W436" s="55"/>
      <c r="X436" s="55"/>
      <c r="Y436" s="55"/>
      <c r="Z436" s="55"/>
      <c r="AA436" s="55"/>
      <c r="AB436" s="55"/>
      <c r="AC436" s="55"/>
      <c r="AD436" s="55"/>
      <c r="AE436" s="55"/>
      <c r="AF436" s="55"/>
      <c r="AG436" s="55"/>
      <c r="AH436" s="55"/>
      <c r="AI436" s="55"/>
      <c r="AJ436" s="55"/>
      <c r="AK436" s="55"/>
      <c r="AL436" s="55"/>
      <c r="AM436" s="55"/>
      <c r="AN436" s="55"/>
      <c r="AO436" s="55"/>
      <c r="AP436" s="55"/>
      <c r="AQ436" s="55"/>
      <c r="AR436" s="55"/>
      <c r="AS436" s="55"/>
      <c r="AT436" s="55"/>
      <c r="AU436" s="55"/>
      <c r="AV436" s="55"/>
      <c r="AW436" s="55"/>
      <c r="AX436" s="55"/>
      <c r="AY436" s="55"/>
      <c r="AZ436" s="55"/>
      <c r="BA436" s="55"/>
      <c r="BB436" s="55"/>
      <c r="BC436" s="55"/>
      <c r="BD436" s="55"/>
      <c r="BE436" s="55"/>
      <c r="BF436" s="55"/>
      <c r="BG436" s="55"/>
      <c r="BH436" s="55"/>
      <c r="BI436" s="55"/>
      <c r="BJ436" s="55"/>
      <c r="BK436" s="55"/>
      <c r="BL436" s="55"/>
      <c r="BM436" s="55"/>
      <c r="BN436" s="55"/>
      <c r="BO436" s="55"/>
      <c r="BP436" s="55"/>
      <c r="BQ436" s="55"/>
      <c r="BR436" s="55"/>
      <c r="BS436" s="55"/>
    </row>
    <row r="437" spans="1:71" outlineLevel="1" x14ac:dyDescent="0.2">
      <c r="C437" s="11" t="s">
        <v>286</v>
      </c>
      <c r="H437" s="7" t="s">
        <v>544</v>
      </c>
      <c r="I437" s="62">
        <f ca="1">IFERROR(IRR(INDEX(OA_IOC_ATCF_Loango,1,MAX(1,$G$360-$L$4+1)):INDEX(OA_IOC_ATCF_Loango,1,last_model_year)),"na")</f>
        <v>-0.20281554270914881</v>
      </c>
      <c r="J437" s="26" t="s">
        <v>90</v>
      </c>
      <c r="L437" s="55"/>
      <c r="M437" s="55"/>
      <c r="N437" s="55"/>
      <c r="O437" s="55"/>
      <c r="P437" s="55"/>
      <c r="Q437" s="55"/>
      <c r="R437" s="55"/>
      <c r="S437" s="55"/>
      <c r="T437" s="55"/>
      <c r="U437" s="55"/>
      <c r="V437" s="55"/>
      <c r="W437" s="55"/>
      <c r="X437" s="55"/>
      <c r="Y437" s="55"/>
      <c r="Z437" s="55"/>
      <c r="AA437" s="55"/>
      <c r="AB437" s="55"/>
      <c r="AC437" s="55"/>
      <c r="AD437" s="55"/>
      <c r="AE437" s="55"/>
      <c r="AF437" s="55"/>
      <c r="AG437" s="55"/>
      <c r="AH437" s="55"/>
      <c r="AI437" s="55"/>
      <c r="AJ437" s="55"/>
      <c r="AK437" s="55"/>
      <c r="AL437" s="55"/>
      <c r="AM437" s="55"/>
      <c r="AN437" s="55"/>
      <c r="AO437" s="55"/>
      <c r="AP437" s="55"/>
      <c r="AQ437" s="55"/>
      <c r="AR437" s="55"/>
      <c r="AS437" s="55"/>
      <c r="AT437" s="55"/>
      <c r="AU437" s="55"/>
      <c r="AV437" s="55"/>
      <c r="AW437" s="55"/>
      <c r="AX437" s="55"/>
      <c r="AY437" s="55"/>
      <c r="AZ437" s="55"/>
      <c r="BA437" s="55"/>
      <c r="BB437" s="55"/>
      <c r="BC437" s="55"/>
      <c r="BD437" s="55"/>
      <c r="BE437" s="55"/>
      <c r="BF437" s="55"/>
      <c r="BG437" s="55"/>
      <c r="BH437" s="55"/>
      <c r="BI437" s="55"/>
      <c r="BJ437" s="55"/>
      <c r="BK437" s="55"/>
      <c r="BL437" s="55"/>
      <c r="BM437" s="55"/>
      <c r="BN437" s="55"/>
      <c r="BO437" s="55"/>
      <c r="BP437" s="55"/>
      <c r="BQ437" s="55"/>
      <c r="BR437" s="55"/>
      <c r="BS437" s="55"/>
    </row>
    <row r="438" spans="1:71" outlineLevel="1" x14ac:dyDescent="0.2">
      <c r="C438" s="11" t="s">
        <v>287</v>
      </c>
      <c r="I438" s="62" t="str">
        <f ca="1">IFERROR(IRR(INDEX(OA_IOC_ATCF_Loango,1,MAX(1,$G$361-$L$4+1)):INDEX(OA_IOC_ATCF_Loango,1,last_model_year)),"na")</f>
        <v>na</v>
      </c>
      <c r="J438" s="26" t="s">
        <v>90</v>
      </c>
      <c r="L438" s="55"/>
      <c r="M438" s="55"/>
      <c r="N438" s="55"/>
      <c r="O438" s="55"/>
      <c r="P438" s="55"/>
      <c r="Q438" s="55"/>
      <c r="R438" s="55"/>
      <c r="S438" s="55"/>
      <c r="T438" s="55"/>
      <c r="U438" s="55"/>
      <c r="V438" s="55"/>
      <c r="W438" s="55"/>
      <c r="X438" s="55"/>
      <c r="Y438" s="55"/>
      <c r="Z438" s="55"/>
      <c r="AA438" s="55"/>
      <c r="AB438" s="55"/>
      <c r="AC438" s="55"/>
      <c r="AD438" s="55"/>
      <c r="AE438" s="55"/>
      <c r="AF438" s="55"/>
      <c r="AG438" s="55"/>
      <c r="AH438" s="55"/>
      <c r="AI438" s="55"/>
      <c r="AJ438" s="55"/>
      <c r="AK438" s="55"/>
      <c r="AL438" s="55"/>
      <c r="AM438" s="55"/>
      <c r="AN438" s="55"/>
      <c r="AO438" s="55"/>
      <c r="AP438" s="55"/>
      <c r="AQ438" s="55"/>
      <c r="AR438" s="55"/>
      <c r="AS438" s="55"/>
      <c r="AT438" s="55"/>
      <c r="AU438" s="55"/>
      <c r="AV438" s="55"/>
      <c r="AW438" s="55"/>
      <c r="AX438" s="55"/>
      <c r="AY438" s="55"/>
      <c r="AZ438" s="55"/>
      <c r="BA438" s="55"/>
      <c r="BB438" s="55"/>
      <c r="BC438" s="55"/>
      <c r="BD438" s="55"/>
      <c r="BE438" s="55"/>
      <c r="BF438" s="55"/>
      <c r="BG438" s="55"/>
      <c r="BH438" s="55"/>
      <c r="BI438" s="55"/>
      <c r="BJ438" s="55"/>
      <c r="BK438" s="55"/>
      <c r="BL438" s="55"/>
      <c r="BM438" s="55"/>
      <c r="BN438" s="55"/>
      <c r="BO438" s="55"/>
      <c r="BP438" s="55"/>
      <c r="BQ438" s="55"/>
      <c r="BR438" s="55"/>
      <c r="BS438" s="55"/>
    </row>
    <row r="439" spans="1:71" outlineLevel="1" x14ac:dyDescent="0.2">
      <c r="J439" s="26"/>
      <c r="L439" s="55"/>
      <c r="M439" s="55"/>
      <c r="N439" s="55"/>
      <c r="O439" s="55"/>
      <c r="P439" s="55"/>
      <c r="Q439" s="55"/>
      <c r="R439" s="55"/>
      <c r="S439" s="55"/>
      <c r="T439" s="55"/>
      <c r="U439" s="55"/>
      <c r="V439" s="55"/>
      <c r="W439" s="55"/>
      <c r="X439" s="55"/>
      <c r="Y439" s="55"/>
      <c r="Z439" s="55"/>
      <c r="AA439" s="55"/>
      <c r="AB439" s="55"/>
      <c r="AC439" s="55"/>
      <c r="AD439" s="55"/>
      <c r="AE439" s="55"/>
      <c r="AF439" s="55"/>
      <c r="AG439" s="55"/>
      <c r="AH439" s="55"/>
      <c r="AI439" s="55"/>
      <c r="AJ439" s="55"/>
      <c r="AK439" s="55"/>
      <c r="AL439" s="55"/>
      <c r="AM439" s="55"/>
      <c r="AN439" s="55"/>
      <c r="AO439" s="55"/>
      <c r="AP439" s="55"/>
      <c r="AQ439" s="55"/>
      <c r="AR439" s="55"/>
      <c r="AS439" s="55"/>
      <c r="AT439" s="55"/>
      <c r="AU439" s="55"/>
      <c r="AV439" s="55"/>
      <c r="AW439" s="55"/>
      <c r="AX439" s="55"/>
      <c r="AY439" s="55"/>
      <c r="AZ439" s="55"/>
      <c r="BA439" s="55"/>
      <c r="BB439" s="55"/>
      <c r="BC439" s="55"/>
      <c r="BD439" s="55"/>
      <c r="BE439" s="55"/>
      <c r="BF439" s="55"/>
      <c r="BG439" s="55"/>
      <c r="BH439" s="55"/>
      <c r="BI439" s="55"/>
      <c r="BJ439" s="55"/>
      <c r="BK439" s="55"/>
      <c r="BL439" s="55"/>
      <c r="BM439" s="55"/>
      <c r="BN439" s="55"/>
      <c r="BO439" s="55"/>
      <c r="BP439" s="55"/>
      <c r="BQ439" s="55"/>
      <c r="BR439" s="55"/>
      <c r="BS439" s="55"/>
    </row>
    <row r="440" spans="1:71" outlineLevel="1" x14ac:dyDescent="0.2">
      <c r="C440" s="11" t="s">
        <v>304</v>
      </c>
      <c r="H440" s="7" t="s">
        <v>545</v>
      </c>
      <c r="I440" s="67">
        <f ca="1">COUNTIF(L432:BS432,"&lt;0")+1</f>
        <v>14</v>
      </c>
      <c r="J440" s="26"/>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c r="BF440" s="7"/>
      <c r="BG440" s="7"/>
      <c r="BH440" s="7"/>
      <c r="BI440" s="7"/>
      <c r="BJ440" s="7"/>
      <c r="BK440" s="7"/>
      <c r="BL440" s="7"/>
      <c r="BM440" s="7"/>
      <c r="BN440" s="7"/>
      <c r="BO440" s="7"/>
      <c r="BP440" s="7"/>
      <c r="BQ440" s="7"/>
      <c r="BR440" s="7"/>
      <c r="BS440" s="7"/>
    </row>
    <row r="441" spans="1:71" outlineLevel="1" x14ac:dyDescent="0.2">
      <c r="J441" s="26"/>
      <c r="L441" s="55"/>
      <c r="M441" s="55"/>
      <c r="N441" s="55"/>
      <c r="O441" s="55"/>
      <c r="P441" s="55"/>
      <c r="Q441" s="55"/>
      <c r="R441" s="55"/>
      <c r="S441" s="55"/>
      <c r="T441" s="55"/>
      <c r="U441" s="55"/>
      <c r="V441" s="55"/>
      <c r="W441" s="55"/>
      <c r="X441" s="55"/>
      <c r="Y441" s="55"/>
      <c r="Z441" s="55"/>
      <c r="AA441" s="55"/>
      <c r="AB441" s="55"/>
      <c r="AC441" s="55"/>
      <c r="AD441" s="55"/>
      <c r="AE441" s="55"/>
      <c r="AF441" s="55"/>
      <c r="AG441" s="55"/>
      <c r="AH441" s="55"/>
      <c r="AI441" s="55"/>
      <c r="AJ441" s="55"/>
      <c r="AK441" s="55"/>
      <c r="AL441" s="55"/>
      <c r="AM441" s="55"/>
      <c r="AN441" s="55"/>
      <c r="AO441" s="55"/>
      <c r="AP441" s="55"/>
      <c r="AQ441" s="55"/>
      <c r="AR441" s="55"/>
      <c r="AS441" s="55"/>
      <c r="AT441" s="55"/>
      <c r="AU441" s="55"/>
      <c r="AV441" s="55"/>
      <c r="AW441" s="55"/>
      <c r="AX441" s="55"/>
      <c r="AY441" s="55"/>
      <c r="AZ441" s="55"/>
      <c r="BA441" s="55"/>
      <c r="BB441" s="55"/>
      <c r="BC441" s="55"/>
      <c r="BD441" s="55"/>
      <c r="BE441" s="55"/>
      <c r="BF441" s="55"/>
      <c r="BG441" s="55"/>
      <c r="BH441" s="55"/>
      <c r="BI441" s="55"/>
      <c r="BJ441" s="55"/>
      <c r="BK441" s="55"/>
      <c r="BL441" s="55"/>
      <c r="BM441" s="55"/>
      <c r="BN441" s="55"/>
      <c r="BO441" s="55"/>
      <c r="BP441" s="55"/>
      <c r="BQ441" s="55"/>
      <c r="BR441" s="55"/>
      <c r="BS441" s="55"/>
    </row>
    <row r="442" spans="1:71" outlineLevel="1" x14ac:dyDescent="0.2">
      <c r="J442" s="26"/>
      <c r="L442" s="55"/>
      <c r="M442" s="55"/>
      <c r="N442" s="55"/>
      <c r="O442" s="55"/>
      <c r="P442" s="55"/>
      <c r="Q442" s="55"/>
      <c r="R442" s="55"/>
      <c r="S442" s="55"/>
      <c r="T442" s="55"/>
      <c r="U442" s="55"/>
      <c r="V442" s="55"/>
      <c r="W442" s="55"/>
      <c r="X442" s="55"/>
      <c r="Y442" s="55"/>
      <c r="Z442" s="55"/>
      <c r="AA442" s="55"/>
      <c r="AB442" s="55"/>
      <c r="AC442" s="55"/>
      <c r="AD442" s="55"/>
      <c r="AE442" s="55"/>
      <c r="AF442" s="55"/>
      <c r="AG442" s="55"/>
      <c r="AH442" s="55"/>
      <c r="AI442" s="55"/>
      <c r="AJ442" s="55"/>
      <c r="AK442" s="55"/>
      <c r="AL442" s="55"/>
      <c r="AM442" s="55"/>
      <c r="AN442" s="55"/>
      <c r="AO442" s="55"/>
      <c r="AP442" s="55"/>
      <c r="AQ442" s="55"/>
      <c r="AR442" s="55"/>
      <c r="AS442" s="55"/>
      <c r="AT442" s="55"/>
      <c r="AU442" s="55"/>
      <c r="AV442" s="55"/>
      <c r="AW442" s="55"/>
      <c r="AX442" s="55"/>
      <c r="AY442" s="55"/>
      <c r="AZ442" s="55"/>
      <c r="BA442" s="55"/>
      <c r="BB442" s="55"/>
      <c r="BC442" s="55"/>
      <c r="BD442" s="55"/>
      <c r="BE442" s="55"/>
      <c r="BF442" s="55"/>
      <c r="BG442" s="55"/>
      <c r="BH442" s="55"/>
      <c r="BI442" s="55"/>
      <c r="BJ442" s="55"/>
      <c r="BK442" s="55"/>
      <c r="BL442" s="55"/>
      <c r="BM442" s="55"/>
      <c r="BN442" s="55"/>
      <c r="BO442" s="55"/>
      <c r="BP442" s="55"/>
      <c r="BQ442" s="55"/>
      <c r="BR442" s="55"/>
      <c r="BS442" s="55"/>
    </row>
    <row r="443" spans="1:71" outlineLevel="1" x14ac:dyDescent="0.2">
      <c r="A443" s="45"/>
      <c r="B443" s="38" t="s">
        <v>290</v>
      </c>
      <c r="C443" s="45"/>
      <c r="D443" s="45"/>
      <c r="E443" s="45"/>
      <c r="J443" s="26"/>
      <c r="L443" s="55"/>
      <c r="M443" s="55"/>
      <c r="N443" s="55"/>
      <c r="O443" s="55"/>
      <c r="P443" s="55"/>
      <c r="Q443" s="55"/>
      <c r="R443" s="55"/>
      <c r="S443" s="55"/>
      <c r="T443" s="55"/>
      <c r="U443" s="55"/>
      <c r="V443" s="55"/>
      <c r="W443" s="55"/>
      <c r="X443" s="55"/>
      <c r="Y443" s="55"/>
      <c r="Z443" s="55"/>
      <c r="AA443" s="55"/>
      <c r="AB443" s="55"/>
      <c r="AC443" s="55"/>
      <c r="AD443" s="55"/>
      <c r="AE443" s="55"/>
      <c r="AF443" s="55"/>
      <c r="AG443" s="55"/>
      <c r="AH443" s="55"/>
      <c r="AI443" s="55"/>
      <c r="AJ443" s="55"/>
      <c r="AK443" s="55"/>
      <c r="AL443" s="55"/>
      <c r="AM443" s="55"/>
      <c r="AN443" s="55"/>
      <c r="AO443" s="55"/>
      <c r="AP443" s="55"/>
      <c r="AQ443" s="55"/>
      <c r="AR443" s="55"/>
      <c r="AS443" s="55"/>
      <c r="AT443" s="55"/>
      <c r="AU443" s="55"/>
      <c r="AV443" s="55"/>
      <c r="AW443" s="55"/>
      <c r="AX443" s="55"/>
      <c r="AY443" s="55"/>
      <c r="AZ443" s="55"/>
      <c r="BA443" s="55"/>
      <c r="BB443" s="55"/>
      <c r="BC443" s="55"/>
      <c r="BD443" s="55"/>
      <c r="BE443" s="55"/>
      <c r="BF443" s="55"/>
      <c r="BG443" s="55"/>
      <c r="BH443" s="55"/>
      <c r="BI443" s="55"/>
      <c r="BJ443" s="55"/>
      <c r="BK443" s="55"/>
      <c r="BL443" s="55"/>
      <c r="BM443" s="55"/>
      <c r="BN443" s="55"/>
      <c r="BO443" s="55"/>
      <c r="BP443" s="55"/>
      <c r="BQ443" s="55"/>
      <c r="BR443" s="55"/>
      <c r="BS443" s="55"/>
    </row>
    <row r="444" spans="1:71" outlineLevel="1" x14ac:dyDescent="0.2">
      <c r="J444" s="26"/>
      <c r="L444" s="55"/>
      <c r="M444" s="55"/>
      <c r="N444" s="55"/>
      <c r="O444" s="55"/>
      <c r="P444" s="55"/>
      <c r="Q444" s="55"/>
      <c r="R444" s="55"/>
      <c r="S444" s="55"/>
      <c r="T444" s="55"/>
      <c r="U444" s="55"/>
      <c r="V444" s="55"/>
      <c r="W444" s="55"/>
      <c r="X444" s="55"/>
      <c r="Y444" s="55"/>
      <c r="Z444" s="55"/>
      <c r="AA444" s="55"/>
      <c r="AB444" s="55"/>
      <c r="AC444" s="55"/>
      <c r="AD444" s="55"/>
      <c r="AE444" s="55"/>
      <c r="AF444" s="55"/>
      <c r="AG444" s="55"/>
      <c r="AH444" s="55"/>
      <c r="AI444" s="55"/>
      <c r="AJ444" s="55"/>
      <c r="AK444" s="55"/>
      <c r="AL444" s="55"/>
      <c r="AM444" s="55"/>
      <c r="AN444" s="55"/>
      <c r="AO444" s="55"/>
      <c r="AP444" s="55"/>
      <c r="AQ444" s="55"/>
      <c r="AR444" s="55"/>
      <c r="AS444" s="55"/>
      <c r="AT444" s="55"/>
      <c r="AU444" s="55"/>
      <c r="AV444" s="55"/>
      <c r="AW444" s="55"/>
      <c r="AX444" s="55"/>
      <c r="AY444" s="55"/>
      <c r="AZ444" s="55"/>
      <c r="BA444" s="55"/>
      <c r="BB444" s="55"/>
      <c r="BC444" s="55"/>
      <c r="BD444" s="55"/>
      <c r="BE444" s="55"/>
      <c r="BF444" s="55"/>
      <c r="BG444" s="55"/>
      <c r="BH444" s="55"/>
      <c r="BI444" s="55"/>
      <c r="BJ444" s="55"/>
      <c r="BK444" s="55"/>
      <c r="BL444" s="55"/>
      <c r="BM444" s="55"/>
      <c r="BN444" s="55"/>
      <c r="BO444" s="55"/>
      <c r="BP444" s="55"/>
      <c r="BQ444" s="55"/>
      <c r="BR444" s="55"/>
      <c r="BS444" s="55"/>
    </row>
    <row r="445" spans="1:71" outlineLevel="1" x14ac:dyDescent="0.2">
      <c r="C445" s="11" t="s">
        <v>267</v>
      </c>
      <c r="J445" s="26"/>
      <c r="L445" s="55"/>
      <c r="M445" s="55"/>
      <c r="N445" s="55"/>
      <c r="O445" s="55"/>
      <c r="P445" s="55"/>
      <c r="Q445" s="55"/>
      <c r="R445" s="55"/>
      <c r="S445" s="55"/>
      <c r="T445" s="55"/>
      <c r="U445" s="55"/>
      <c r="V445" s="55"/>
      <c r="W445" s="55"/>
      <c r="X445" s="55"/>
      <c r="Y445" s="55"/>
      <c r="Z445" s="55"/>
      <c r="AA445" s="55"/>
      <c r="AB445" s="55"/>
      <c r="AC445" s="55"/>
      <c r="AD445" s="55"/>
      <c r="AE445" s="55"/>
      <c r="AF445" s="55"/>
      <c r="AG445" s="55"/>
      <c r="AH445" s="55"/>
      <c r="AI445" s="55"/>
      <c r="AJ445" s="55"/>
      <c r="AK445" s="55"/>
      <c r="AL445" s="55"/>
      <c r="AM445" s="55"/>
      <c r="AN445" s="55"/>
      <c r="AO445" s="55"/>
      <c r="AP445" s="55"/>
      <c r="AQ445" s="55"/>
      <c r="AR445" s="55"/>
      <c r="AS445" s="55"/>
      <c r="AT445" s="55"/>
      <c r="AU445" s="55"/>
      <c r="AV445" s="55"/>
      <c r="AW445" s="55"/>
      <c r="AX445" s="55"/>
      <c r="AY445" s="55"/>
      <c r="AZ445" s="55"/>
      <c r="BA445" s="55"/>
      <c r="BB445" s="55"/>
      <c r="BC445" s="55"/>
      <c r="BD445" s="55"/>
      <c r="BE445" s="55"/>
      <c r="BF445" s="55"/>
      <c r="BG445" s="55"/>
      <c r="BH445" s="55"/>
      <c r="BI445" s="55"/>
      <c r="BJ445" s="55"/>
      <c r="BK445" s="55"/>
      <c r="BL445" s="55"/>
      <c r="BM445" s="55"/>
      <c r="BN445" s="55"/>
      <c r="BO445" s="55"/>
      <c r="BP445" s="55"/>
      <c r="BQ445" s="55"/>
      <c r="BR445" s="55"/>
      <c r="BS445" s="55"/>
    </row>
    <row r="446" spans="1:71" outlineLevel="1" x14ac:dyDescent="0.2">
      <c r="D446" t="s">
        <v>267</v>
      </c>
      <c r="I446" s="30">
        <f t="shared" ref="I446:I452" ca="1" si="108">SUM($L446:$BS446)</f>
        <v>685.06032645660139</v>
      </c>
      <c r="J446" s="26" t="s">
        <v>148</v>
      </c>
      <c r="L446" s="49" cm="1">
        <f t="array" aca="1" ref="L446:BS446" ca="1">(Loango_II!CA_ent_rev_gas+Loango_II!CA_ent_rev_oil)*Loango_II!CA_NOC_WI</f>
        <v>49.509535083499856</v>
      </c>
      <c r="M446" s="49">
        <f ca="1"/>
        <v>49.363503919797225</v>
      </c>
      <c r="N446" s="49">
        <f ca="1"/>
        <v>19.362021752578546</v>
      </c>
      <c r="O446" s="49">
        <f ca="1"/>
        <v>18.276004680069196</v>
      </c>
      <c r="P446" s="49">
        <f ca="1"/>
        <v>50.694993916348736</v>
      </c>
      <c r="Q446" s="49">
        <f ca="1"/>
        <v>100.77013281342738</v>
      </c>
      <c r="R446" s="49">
        <f ca="1"/>
        <v>70.924932026742923</v>
      </c>
      <c r="S446" s="49">
        <f ca="1"/>
        <v>43.256439364946402</v>
      </c>
      <c r="T446" s="49">
        <f ca="1"/>
        <v>62.726781387438351</v>
      </c>
      <c r="U446" s="49">
        <f ca="1"/>
        <v>62.459820945956096</v>
      </c>
      <c r="V446" s="49">
        <f ca="1"/>
        <v>59.249386149333944</v>
      </c>
      <c r="W446" s="49">
        <f ca="1"/>
        <v>50.599362624660188</v>
      </c>
      <c r="X446" s="49">
        <f ca="1"/>
        <v>47.86741179180251</v>
      </c>
      <c r="Y446" s="49">
        <f ca="1"/>
        <v>0</v>
      </c>
      <c r="Z446" s="49">
        <f ca="1"/>
        <v>0</v>
      </c>
      <c r="AA446" s="49">
        <f ca="1"/>
        <v>0</v>
      </c>
      <c r="AB446" s="49">
        <f ca="1"/>
        <v>0</v>
      </c>
      <c r="AC446" s="49">
        <f ca="1"/>
        <v>0</v>
      </c>
      <c r="AD446" s="49">
        <f ca="1"/>
        <v>0</v>
      </c>
      <c r="AE446" s="49">
        <f ca="1"/>
        <v>0</v>
      </c>
      <c r="AF446" s="49">
        <f ca="1"/>
        <v>0</v>
      </c>
      <c r="AG446" s="49">
        <f ca="1"/>
        <v>0</v>
      </c>
      <c r="AH446" s="49">
        <f ca="1"/>
        <v>0</v>
      </c>
      <c r="AI446" s="49">
        <f ca="1"/>
        <v>0</v>
      </c>
      <c r="AJ446" s="49">
        <f ca="1"/>
        <v>0</v>
      </c>
      <c r="AK446" s="49">
        <f ca="1"/>
        <v>0</v>
      </c>
      <c r="AL446" s="49">
        <f ca="1"/>
        <v>0</v>
      </c>
      <c r="AM446" s="49">
        <f ca="1"/>
        <v>0</v>
      </c>
      <c r="AN446" s="49">
        <f ca="1"/>
        <v>0</v>
      </c>
      <c r="AO446" s="49">
        <f ca="1"/>
        <v>0</v>
      </c>
      <c r="AP446" s="49">
        <f ca="1"/>
        <v>0</v>
      </c>
      <c r="AQ446" s="49">
        <f ca="1"/>
        <v>0</v>
      </c>
      <c r="AR446" s="49">
        <f ca="1"/>
        <v>0</v>
      </c>
      <c r="AS446" s="49">
        <f ca="1"/>
        <v>0</v>
      </c>
      <c r="AT446" s="49">
        <f ca="1"/>
        <v>0</v>
      </c>
      <c r="AU446" s="49">
        <f ca="1"/>
        <v>0</v>
      </c>
      <c r="AV446" s="49">
        <f ca="1"/>
        <v>0</v>
      </c>
      <c r="AW446" s="49">
        <f ca="1"/>
        <v>0</v>
      </c>
      <c r="AX446" s="49">
        <f ca="1"/>
        <v>0</v>
      </c>
      <c r="AY446" s="49">
        <f ca="1"/>
        <v>0</v>
      </c>
      <c r="AZ446" s="49">
        <f ca="1"/>
        <v>0</v>
      </c>
      <c r="BA446" s="49">
        <f ca="1"/>
        <v>0</v>
      </c>
      <c r="BB446" s="49">
        <f ca="1"/>
        <v>0</v>
      </c>
      <c r="BC446" s="49">
        <f ca="1"/>
        <v>0</v>
      </c>
      <c r="BD446" s="49">
        <f ca="1"/>
        <v>0</v>
      </c>
      <c r="BE446" s="49">
        <f ca="1"/>
        <v>0</v>
      </c>
      <c r="BF446" s="49">
        <f ca="1"/>
        <v>0</v>
      </c>
      <c r="BG446" s="49">
        <f ca="1"/>
        <v>0</v>
      </c>
      <c r="BH446" s="49">
        <f ca="1"/>
        <v>0</v>
      </c>
      <c r="BI446" s="49">
        <f ca="1"/>
        <v>0</v>
      </c>
      <c r="BJ446" s="49">
        <f ca="1"/>
        <v>0</v>
      </c>
      <c r="BK446" s="49">
        <f ca="1"/>
        <v>0</v>
      </c>
      <c r="BL446" s="49">
        <f ca="1"/>
        <v>0</v>
      </c>
      <c r="BM446" s="49">
        <f ca="1"/>
        <v>0</v>
      </c>
      <c r="BN446" s="49">
        <f ca="1"/>
        <v>0</v>
      </c>
      <c r="BO446" s="49">
        <f ca="1"/>
        <v>0</v>
      </c>
      <c r="BP446" s="49">
        <f ca="1"/>
        <v>0</v>
      </c>
      <c r="BQ446" s="49">
        <f ca="1"/>
        <v>0</v>
      </c>
      <c r="BR446" s="49">
        <f ca="1"/>
        <v>0</v>
      </c>
      <c r="BS446" s="49">
        <f ca="1"/>
        <v>0</v>
      </c>
    </row>
    <row r="447" spans="1:71" outlineLevel="1" x14ac:dyDescent="0.2">
      <c r="D447" t="s">
        <v>335</v>
      </c>
      <c r="I447" s="30">
        <f t="shared" ca="1" si="108"/>
        <v>-513.7952448424511</v>
      </c>
      <c r="J447" s="26" t="s">
        <v>148</v>
      </c>
      <c r="L447" s="49" cm="1">
        <f t="array" aca="1" ref="L447:BS447" ca="1">Loango_II!CA_NOC_carry_payback</f>
        <v>-37.132151312624892</v>
      </c>
      <c r="M447" s="49">
        <f ca="1"/>
        <v>-37.022627939847922</v>
      </c>
      <c r="N447" s="49">
        <f ca="1"/>
        <v>-14.52151631443391</v>
      </c>
      <c r="O447" s="49">
        <f ca="1"/>
        <v>-13.707003510051898</v>
      </c>
      <c r="P447" s="49">
        <f ca="1"/>
        <v>-38.021245437261555</v>
      </c>
      <c r="Q447" s="49">
        <f ca="1"/>
        <v>-75.577599610070536</v>
      </c>
      <c r="R447" s="49">
        <f ca="1"/>
        <v>-53.193699020057196</v>
      </c>
      <c r="S447" s="49">
        <f ca="1"/>
        <v>-32.442329523709802</v>
      </c>
      <c r="T447" s="49">
        <f ca="1"/>
        <v>-47.045086040578767</v>
      </c>
      <c r="U447" s="49">
        <f ca="1"/>
        <v>-46.844865709467072</v>
      </c>
      <c r="V447" s="49">
        <f ca="1"/>
        <v>-44.437039612000461</v>
      </c>
      <c r="W447" s="49">
        <f ca="1"/>
        <v>-37.949521968495141</v>
      </c>
      <c r="X447" s="49">
        <f ca="1"/>
        <v>-35.900558843851883</v>
      </c>
      <c r="Y447" s="49">
        <f ca="1"/>
        <v>0</v>
      </c>
      <c r="Z447" s="49">
        <f ca="1"/>
        <v>0</v>
      </c>
      <c r="AA447" s="49">
        <f ca="1"/>
        <v>0</v>
      </c>
      <c r="AB447" s="49">
        <f ca="1"/>
        <v>0</v>
      </c>
      <c r="AC447" s="49">
        <f ca="1"/>
        <v>0</v>
      </c>
      <c r="AD447" s="49">
        <f ca="1"/>
        <v>0</v>
      </c>
      <c r="AE447" s="49">
        <f ca="1"/>
        <v>0</v>
      </c>
      <c r="AF447" s="49">
        <f ca="1"/>
        <v>0</v>
      </c>
      <c r="AG447" s="49">
        <f ca="1"/>
        <v>0</v>
      </c>
      <c r="AH447" s="49">
        <f ca="1"/>
        <v>0</v>
      </c>
      <c r="AI447" s="49">
        <f ca="1"/>
        <v>0</v>
      </c>
      <c r="AJ447" s="49">
        <f ca="1"/>
        <v>0</v>
      </c>
      <c r="AK447" s="49">
        <f ca="1"/>
        <v>0</v>
      </c>
      <c r="AL447" s="49">
        <f ca="1"/>
        <v>0</v>
      </c>
      <c r="AM447" s="49">
        <f ca="1"/>
        <v>0</v>
      </c>
      <c r="AN447" s="49">
        <f ca="1"/>
        <v>0</v>
      </c>
      <c r="AO447" s="49">
        <f ca="1"/>
        <v>0</v>
      </c>
      <c r="AP447" s="49">
        <f ca="1"/>
        <v>0</v>
      </c>
      <c r="AQ447" s="49">
        <f ca="1"/>
        <v>0</v>
      </c>
      <c r="AR447" s="49">
        <f ca="1"/>
        <v>0</v>
      </c>
      <c r="AS447" s="49">
        <f ca="1"/>
        <v>0</v>
      </c>
      <c r="AT447" s="49">
        <f ca="1"/>
        <v>0</v>
      </c>
      <c r="AU447" s="49">
        <f ca="1"/>
        <v>0</v>
      </c>
      <c r="AV447" s="49">
        <f ca="1"/>
        <v>0</v>
      </c>
      <c r="AW447" s="49">
        <f ca="1"/>
        <v>0</v>
      </c>
      <c r="AX447" s="49">
        <f ca="1"/>
        <v>0</v>
      </c>
      <c r="AY447" s="49">
        <f ca="1"/>
        <v>0</v>
      </c>
      <c r="AZ447" s="49">
        <f ca="1"/>
        <v>0</v>
      </c>
      <c r="BA447" s="49">
        <f ca="1"/>
        <v>0</v>
      </c>
      <c r="BB447" s="49">
        <f ca="1"/>
        <v>0</v>
      </c>
      <c r="BC447" s="49">
        <f ca="1"/>
        <v>0</v>
      </c>
      <c r="BD447" s="49">
        <f ca="1"/>
        <v>0</v>
      </c>
      <c r="BE447" s="49">
        <f ca="1"/>
        <v>0</v>
      </c>
      <c r="BF447" s="49">
        <f ca="1"/>
        <v>0</v>
      </c>
      <c r="BG447" s="49">
        <f ca="1"/>
        <v>0</v>
      </c>
      <c r="BH447" s="49">
        <f ca="1"/>
        <v>0</v>
      </c>
      <c r="BI447" s="49">
        <f ca="1"/>
        <v>0</v>
      </c>
      <c r="BJ447" s="49">
        <f ca="1"/>
        <v>0</v>
      </c>
      <c r="BK447" s="49">
        <f ca="1"/>
        <v>0</v>
      </c>
      <c r="BL447" s="49">
        <f ca="1"/>
        <v>0</v>
      </c>
      <c r="BM447" s="49">
        <f ca="1"/>
        <v>0</v>
      </c>
      <c r="BN447" s="49">
        <f ca="1"/>
        <v>0</v>
      </c>
      <c r="BO447" s="49">
        <f ca="1"/>
        <v>0</v>
      </c>
      <c r="BP447" s="49">
        <f ca="1"/>
        <v>0</v>
      </c>
      <c r="BQ447" s="49">
        <f ca="1"/>
        <v>0</v>
      </c>
      <c r="BR447" s="49">
        <f ca="1"/>
        <v>0</v>
      </c>
      <c r="BS447" s="49">
        <f ca="1"/>
        <v>0</v>
      </c>
    </row>
    <row r="448" spans="1:71" outlineLevel="1" x14ac:dyDescent="0.2">
      <c r="D448" s="11" t="s">
        <v>270</v>
      </c>
      <c r="I448" s="30">
        <f t="shared" ca="1" si="108"/>
        <v>171.26508161415032</v>
      </c>
      <c r="J448" s="26" t="s">
        <v>148</v>
      </c>
      <c r="L448" s="49">
        <f ca="1">SUM(L446:L447)</f>
        <v>12.377383770874964</v>
      </c>
      <c r="M448" s="49">
        <f t="shared" ref="M448:BS448" ca="1" si="109">SUM(M446:M447)</f>
        <v>12.340875979949303</v>
      </c>
      <c r="N448" s="49">
        <f t="shared" ca="1" si="109"/>
        <v>4.8405054381446355</v>
      </c>
      <c r="O448" s="49">
        <f t="shared" ca="1" si="109"/>
        <v>4.5690011700172981</v>
      </c>
      <c r="P448" s="49">
        <f t="shared" ca="1" si="109"/>
        <v>12.67374847908718</v>
      </c>
      <c r="Q448" s="49">
        <f t="shared" ca="1" si="109"/>
        <v>25.192533203356845</v>
      </c>
      <c r="R448" s="49">
        <f t="shared" ca="1" si="109"/>
        <v>17.731233006685727</v>
      </c>
      <c r="S448" s="49">
        <f t="shared" ca="1" si="109"/>
        <v>10.814109841236601</v>
      </c>
      <c r="T448" s="49">
        <f t="shared" ca="1" si="109"/>
        <v>15.681695346859584</v>
      </c>
      <c r="U448" s="49">
        <f t="shared" ca="1" si="109"/>
        <v>15.614955236489024</v>
      </c>
      <c r="V448" s="49">
        <f t="shared" ca="1" si="109"/>
        <v>14.812346537333482</v>
      </c>
      <c r="W448" s="49">
        <f t="shared" ca="1" si="109"/>
        <v>12.649840656165047</v>
      </c>
      <c r="X448" s="49">
        <f t="shared" ca="1" si="109"/>
        <v>11.966852947950628</v>
      </c>
      <c r="Y448" s="49">
        <f t="shared" ca="1" si="109"/>
        <v>0</v>
      </c>
      <c r="Z448" s="49">
        <f t="shared" ca="1" si="109"/>
        <v>0</v>
      </c>
      <c r="AA448" s="49">
        <f t="shared" ca="1" si="109"/>
        <v>0</v>
      </c>
      <c r="AB448" s="49">
        <f t="shared" ca="1" si="109"/>
        <v>0</v>
      </c>
      <c r="AC448" s="49">
        <f t="shared" ca="1" si="109"/>
        <v>0</v>
      </c>
      <c r="AD448" s="49">
        <f t="shared" ca="1" si="109"/>
        <v>0</v>
      </c>
      <c r="AE448" s="49">
        <f t="shared" ca="1" si="109"/>
        <v>0</v>
      </c>
      <c r="AF448" s="49">
        <f t="shared" ca="1" si="109"/>
        <v>0</v>
      </c>
      <c r="AG448" s="49">
        <f t="shared" ca="1" si="109"/>
        <v>0</v>
      </c>
      <c r="AH448" s="49">
        <f t="shared" ca="1" si="109"/>
        <v>0</v>
      </c>
      <c r="AI448" s="49">
        <f t="shared" ca="1" si="109"/>
        <v>0</v>
      </c>
      <c r="AJ448" s="49">
        <f t="shared" ca="1" si="109"/>
        <v>0</v>
      </c>
      <c r="AK448" s="49">
        <f t="shared" ca="1" si="109"/>
        <v>0</v>
      </c>
      <c r="AL448" s="49">
        <f t="shared" ca="1" si="109"/>
        <v>0</v>
      </c>
      <c r="AM448" s="49">
        <f t="shared" ca="1" si="109"/>
        <v>0</v>
      </c>
      <c r="AN448" s="49">
        <f t="shared" ca="1" si="109"/>
        <v>0</v>
      </c>
      <c r="AO448" s="49">
        <f t="shared" ca="1" si="109"/>
        <v>0</v>
      </c>
      <c r="AP448" s="49">
        <f t="shared" ca="1" si="109"/>
        <v>0</v>
      </c>
      <c r="AQ448" s="49">
        <f t="shared" ca="1" si="109"/>
        <v>0</v>
      </c>
      <c r="AR448" s="49">
        <f t="shared" ca="1" si="109"/>
        <v>0</v>
      </c>
      <c r="AS448" s="49">
        <f t="shared" ca="1" si="109"/>
        <v>0</v>
      </c>
      <c r="AT448" s="49">
        <f t="shared" ca="1" si="109"/>
        <v>0</v>
      </c>
      <c r="AU448" s="49">
        <f t="shared" ca="1" si="109"/>
        <v>0</v>
      </c>
      <c r="AV448" s="49">
        <f t="shared" ca="1" si="109"/>
        <v>0</v>
      </c>
      <c r="AW448" s="49">
        <f t="shared" ca="1" si="109"/>
        <v>0</v>
      </c>
      <c r="AX448" s="49">
        <f t="shared" ca="1" si="109"/>
        <v>0</v>
      </c>
      <c r="AY448" s="49">
        <f t="shared" ca="1" si="109"/>
        <v>0</v>
      </c>
      <c r="AZ448" s="49">
        <f t="shared" ca="1" si="109"/>
        <v>0</v>
      </c>
      <c r="BA448" s="49">
        <f t="shared" ca="1" si="109"/>
        <v>0</v>
      </c>
      <c r="BB448" s="49">
        <f t="shared" ca="1" si="109"/>
        <v>0</v>
      </c>
      <c r="BC448" s="49">
        <f t="shared" ca="1" si="109"/>
        <v>0</v>
      </c>
      <c r="BD448" s="49">
        <f t="shared" ca="1" si="109"/>
        <v>0</v>
      </c>
      <c r="BE448" s="49">
        <f t="shared" ca="1" si="109"/>
        <v>0</v>
      </c>
      <c r="BF448" s="49">
        <f t="shared" ca="1" si="109"/>
        <v>0</v>
      </c>
      <c r="BG448" s="49">
        <f t="shared" ca="1" si="109"/>
        <v>0</v>
      </c>
      <c r="BH448" s="49">
        <f t="shared" ca="1" si="109"/>
        <v>0</v>
      </c>
      <c r="BI448" s="49">
        <f t="shared" ca="1" si="109"/>
        <v>0</v>
      </c>
      <c r="BJ448" s="49">
        <f t="shared" ca="1" si="109"/>
        <v>0</v>
      </c>
      <c r="BK448" s="49">
        <f t="shared" ca="1" si="109"/>
        <v>0</v>
      </c>
      <c r="BL448" s="49">
        <f t="shared" ca="1" si="109"/>
        <v>0</v>
      </c>
      <c r="BM448" s="49">
        <f t="shared" ca="1" si="109"/>
        <v>0</v>
      </c>
      <c r="BN448" s="49">
        <f t="shared" ca="1" si="109"/>
        <v>0</v>
      </c>
      <c r="BO448" s="49">
        <f t="shared" ca="1" si="109"/>
        <v>0</v>
      </c>
      <c r="BP448" s="49">
        <f t="shared" ca="1" si="109"/>
        <v>0</v>
      </c>
      <c r="BQ448" s="49">
        <f t="shared" ca="1" si="109"/>
        <v>0</v>
      </c>
      <c r="BR448" s="49">
        <f t="shared" ca="1" si="109"/>
        <v>0</v>
      </c>
      <c r="BS448" s="49">
        <f t="shared" ca="1" si="109"/>
        <v>0</v>
      </c>
    </row>
    <row r="449" spans="3:71" outlineLevel="1" x14ac:dyDescent="0.2">
      <c r="J449" s="26"/>
      <c r="L449" s="55"/>
      <c r="M449" s="55"/>
      <c r="N449" s="55"/>
      <c r="O449" s="55"/>
      <c r="P449" s="55"/>
      <c r="Q449" s="55"/>
      <c r="R449" s="55"/>
      <c r="S449" s="55"/>
      <c r="T449" s="55"/>
      <c r="U449" s="55"/>
      <c r="V449" s="55"/>
      <c r="W449" s="55"/>
      <c r="X449" s="55"/>
      <c r="Y449" s="55"/>
      <c r="Z449" s="55"/>
      <c r="AA449" s="55"/>
      <c r="AB449" s="55"/>
      <c r="AC449" s="55"/>
      <c r="AD449" s="55"/>
      <c r="AE449" s="55"/>
      <c r="AF449" s="55"/>
      <c r="AG449" s="55"/>
      <c r="AH449" s="55"/>
      <c r="AI449" s="55"/>
      <c r="AJ449" s="55"/>
      <c r="AK449" s="55"/>
      <c r="AL449" s="55"/>
      <c r="AM449" s="55"/>
      <c r="AN449" s="55"/>
      <c r="AO449" s="55"/>
      <c r="AP449" s="55"/>
      <c r="AQ449" s="55"/>
      <c r="AR449" s="55"/>
      <c r="AS449" s="55"/>
      <c r="AT449" s="55"/>
      <c r="AU449" s="55"/>
      <c r="AV449" s="55"/>
      <c r="AW449" s="55"/>
      <c r="AX449" s="55"/>
      <c r="AY449" s="55"/>
      <c r="AZ449" s="55"/>
      <c r="BA449" s="55"/>
      <c r="BB449" s="55"/>
      <c r="BC449" s="55"/>
      <c r="BD449" s="55"/>
      <c r="BE449" s="55"/>
      <c r="BF449" s="55"/>
      <c r="BG449" s="55"/>
      <c r="BH449" s="55"/>
      <c r="BI449" s="55"/>
      <c r="BJ449" s="55"/>
      <c r="BK449" s="55"/>
      <c r="BL449" s="55"/>
      <c r="BM449" s="55"/>
      <c r="BN449" s="55"/>
      <c r="BO449" s="55"/>
      <c r="BP449" s="55"/>
      <c r="BQ449" s="55"/>
      <c r="BR449" s="55"/>
      <c r="BS449" s="55"/>
    </row>
    <row r="450" spans="3:71" outlineLevel="1" x14ac:dyDescent="0.2">
      <c r="C450" s="11" t="s">
        <v>50</v>
      </c>
      <c r="I450" s="30">
        <f t="shared" ca="1" si="108"/>
        <v>350.23183539519999</v>
      </c>
      <c r="J450" s="26" t="s">
        <v>148</v>
      </c>
      <c r="L450" s="49">
        <f ca="1">(L397*Loango_II!CA_NOC_WI)-Loango_II!CA_NOC_CI_opex</f>
        <v>14.806899999999999</v>
      </c>
      <c r="M450" s="49">
        <f ca="1">(M397*Loango_II!CA_NOC_WI)-Loango_II!CA_NOC_CI_opex</f>
        <v>18.388500000000001</v>
      </c>
      <c r="N450" s="49">
        <f ca="1">(N397*Loango_II!CA_NOC_WI)-Loango_II!CA_NOC_CI_opex</f>
        <v>13.570400000000001</v>
      </c>
      <c r="O450" s="49">
        <f ca="1">(O397*Loango_II!CA_NOC_WI)-Loango_II!CA_NOC_CI_opex</f>
        <v>24.0885</v>
      </c>
      <c r="P450" s="49">
        <f ca="1">(P397*Loango_II!CA_NOC_WI)-Loango_II!CA_NOC_CI_opex</f>
        <v>53.679000000000002</v>
      </c>
      <c r="Q450" s="49">
        <f ca="1">(Q397*Loango_II!CA_NOC_WI)-Loango_II!CA_NOC_CI_opex</f>
        <v>24.378</v>
      </c>
      <c r="R450" s="49">
        <f ca="1">(R397*Loango_II!CA_NOC_WI)-Loango_II!CA_NOC_CI_opex</f>
        <v>28.180000000000003</v>
      </c>
      <c r="S450" s="49">
        <f ca="1">(S397*Loango_II!CA_NOC_WI)-Loango_II!CA_NOC_CI_opex</f>
        <v>28.630000000000003</v>
      </c>
      <c r="T450" s="49">
        <f ca="1">(T397*Loango_II!CA_NOC_WI)-Loango_II!CA_NOC_CI_opex</f>
        <v>28.34</v>
      </c>
      <c r="U450" s="49">
        <f ca="1">(U397*Loango_II!CA_NOC_WI)-Loango_II!CA_NOC_CI_opex</f>
        <v>28.621200000000005</v>
      </c>
      <c r="V450" s="49">
        <f ca="1">(V397*Loango_II!CA_NOC_WI)-Loango_II!CA_NOC_CI_opex</f>
        <v>28.902312000000002</v>
      </c>
      <c r="W450" s="49">
        <f ca="1">(W397*Loango_II!CA_NOC_WI)-Loango_II!CA_NOC_CI_opex</f>
        <v>29.183220000000002</v>
      </c>
      <c r="X450" s="49">
        <f ca="1">(X397*Loango_II!CA_NOC_WI)-Loango_II!CA_NOC_CI_opex</f>
        <v>29.463803395200003</v>
      </c>
      <c r="Y450" s="49">
        <f ca="1">(Y397*Loango_II!CA_NOC_WI)-Loango_II!CA_NOC_CI_opex</f>
        <v>0</v>
      </c>
      <c r="Z450" s="49">
        <f ca="1">(Z397*Loango_II!CA_NOC_WI)-Loango_II!CA_NOC_CI_opex</f>
        <v>0</v>
      </c>
      <c r="AA450" s="49">
        <f ca="1">(AA397*Loango_II!CA_NOC_WI)-Loango_II!CA_NOC_CI_opex</f>
        <v>0</v>
      </c>
      <c r="AB450" s="49">
        <f ca="1">(AB397*Loango_II!CA_NOC_WI)-Loango_II!CA_NOC_CI_opex</f>
        <v>0</v>
      </c>
      <c r="AC450" s="49">
        <f ca="1">(AC397*Loango_II!CA_NOC_WI)-Loango_II!CA_NOC_CI_opex</f>
        <v>0</v>
      </c>
      <c r="AD450" s="49">
        <f ca="1">(AD397*Loango_II!CA_NOC_WI)-Loango_II!CA_NOC_CI_opex</f>
        <v>0</v>
      </c>
      <c r="AE450" s="49">
        <f ca="1">(AE397*Loango_II!CA_NOC_WI)-Loango_II!CA_NOC_CI_opex</f>
        <v>0</v>
      </c>
      <c r="AF450" s="49">
        <f ca="1">(AF397*Loango_II!CA_NOC_WI)-Loango_II!CA_NOC_CI_opex</f>
        <v>0</v>
      </c>
      <c r="AG450" s="49">
        <f ca="1">(AG397*Loango_II!CA_NOC_WI)-Loango_II!CA_NOC_CI_opex</f>
        <v>0</v>
      </c>
      <c r="AH450" s="49">
        <f ca="1">(AH397*Loango_II!CA_NOC_WI)-Loango_II!CA_NOC_CI_opex</f>
        <v>0</v>
      </c>
      <c r="AI450" s="49">
        <f ca="1">(AI397*Loango_II!CA_NOC_WI)-Loango_II!CA_NOC_CI_opex</f>
        <v>0</v>
      </c>
      <c r="AJ450" s="49">
        <f ca="1">(AJ397*Loango_II!CA_NOC_WI)-Loango_II!CA_NOC_CI_opex</f>
        <v>0</v>
      </c>
      <c r="AK450" s="49">
        <f ca="1">(AK397*Loango_II!CA_NOC_WI)-Loango_II!CA_NOC_CI_opex</f>
        <v>0</v>
      </c>
      <c r="AL450" s="49">
        <f ca="1">(AL397*Loango_II!CA_NOC_WI)-Loango_II!CA_NOC_CI_opex</f>
        <v>0</v>
      </c>
      <c r="AM450" s="49">
        <f ca="1">(AM397*Loango_II!CA_NOC_WI)-Loango_II!CA_NOC_CI_opex</f>
        <v>0</v>
      </c>
      <c r="AN450" s="49">
        <f ca="1">(AN397*Loango_II!CA_NOC_WI)-Loango_II!CA_NOC_CI_opex</f>
        <v>0</v>
      </c>
      <c r="AO450" s="49">
        <f ca="1">(AO397*Loango_II!CA_NOC_WI)-Loango_II!CA_NOC_CI_opex</f>
        <v>0</v>
      </c>
      <c r="AP450" s="49">
        <f ca="1">(AP397*Loango_II!CA_NOC_WI)-Loango_II!CA_NOC_CI_opex</f>
        <v>0</v>
      </c>
      <c r="AQ450" s="49">
        <f ca="1">(AQ397*Loango_II!CA_NOC_WI)-Loango_II!CA_NOC_CI_opex</f>
        <v>0</v>
      </c>
      <c r="AR450" s="49">
        <f ca="1">(AR397*Loango_II!CA_NOC_WI)-Loango_II!CA_NOC_CI_opex</f>
        <v>0</v>
      </c>
      <c r="AS450" s="49">
        <f ca="1">(AS397*Loango_II!CA_NOC_WI)-Loango_II!CA_NOC_CI_opex</f>
        <v>0</v>
      </c>
      <c r="AT450" s="49">
        <f ca="1">(AT397*Loango_II!CA_NOC_WI)-Loango_II!CA_NOC_CI_opex</f>
        <v>0</v>
      </c>
      <c r="AU450" s="49">
        <f ca="1">(AU397*Loango_II!CA_NOC_WI)-Loango_II!CA_NOC_CI_opex</f>
        <v>0</v>
      </c>
      <c r="AV450" s="49">
        <f ca="1">(AV397*Loango_II!CA_NOC_WI)-Loango_II!CA_NOC_CI_opex</f>
        <v>0</v>
      </c>
      <c r="AW450" s="49">
        <f ca="1">(AW397*Loango_II!CA_NOC_WI)-Loango_II!CA_NOC_CI_opex</f>
        <v>0</v>
      </c>
      <c r="AX450" s="49">
        <f ca="1">(AX397*Loango_II!CA_NOC_WI)-Loango_II!CA_NOC_CI_opex</f>
        <v>0</v>
      </c>
      <c r="AY450" s="49">
        <f ca="1">(AY397*Loango_II!CA_NOC_WI)-Loango_II!CA_NOC_CI_opex</f>
        <v>0</v>
      </c>
      <c r="AZ450" s="49">
        <f ca="1">(AZ397*Loango_II!CA_NOC_WI)-Loango_II!CA_NOC_CI_opex</f>
        <v>0</v>
      </c>
      <c r="BA450" s="49">
        <f ca="1">(BA397*Loango_II!CA_NOC_WI)-Loango_II!CA_NOC_CI_opex</f>
        <v>0</v>
      </c>
      <c r="BB450" s="49">
        <f ca="1">(BB397*Loango_II!CA_NOC_WI)-Loango_II!CA_NOC_CI_opex</f>
        <v>0</v>
      </c>
      <c r="BC450" s="49">
        <f ca="1">(BC397*Loango_II!CA_NOC_WI)-Loango_II!CA_NOC_CI_opex</f>
        <v>0</v>
      </c>
      <c r="BD450" s="49">
        <f ca="1">(BD397*Loango_II!CA_NOC_WI)-Loango_II!CA_NOC_CI_opex</f>
        <v>0</v>
      </c>
      <c r="BE450" s="49">
        <f ca="1">(BE397*Loango_II!CA_NOC_WI)-Loango_II!CA_NOC_CI_opex</f>
        <v>0</v>
      </c>
      <c r="BF450" s="49">
        <f ca="1">(BF397*Loango_II!CA_NOC_WI)-Loango_II!CA_NOC_CI_opex</f>
        <v>0</v>
      </c>
      <c r="BG450" s="49">
        <f ca="1">(BG397*Loango_II!CA_NOC_WI)-Loango_II!CA_NOC_CI_opex</f>
        <v>0</v>
      </c>
      <c r="BH450" s="49">
        <f ca="1">(BH397*Loango_II!CA_NOC_WI)-Loango_II!CA_NOC_CI_opex</f>
        <v>0</v>
      </c>
      <c r="BI450" s="49">
        <f ca="1">(BI397*Loango_II!CA_NOC_WI)-Loango_II!CA_NOC_CI_opex</f>
        <v>0</v>
      </c>
      <c r="BJ450" s="49">
        <f ca="1">(BJ397*Loango_II!CA_NOC_WI)-Loango_II!CA_NOC_CI_opex</f>
        <v>0</v>
      </c>
      <c r="BK450" s="49">
        <f ca="1">(BK397*Loango_II!CA_NOC_WI)-Loango_II!CA_NOC_CI_opex</f>
        <v>0</v>
      </c>
      <c r="BL450" s="49">
        <f ca="1">(BL397*Loango_II!CA_NOC_WI)-Loango_II!CA_NOC_CI_opex</f>
        <v>0</v>
      </c>
      <c r="BM450" s="49">
        <f ca="1">(BM397*Loango_II!CA_NOC_WI)-Loango_II!CA_NOC_CI_opex</f>
        <v>0</v>
      </c>
      <c r="BN450" s="49">
        <f ca="1">(BN397*Loango_II!CA_NOC_WI)-Loango_II!CA_NOC_CI_opex</f>
        <v>0</v>
      </c>
      <c r="BO450" s="49">
        <f ca="1">(BO397*Loango_II!CA_NOC_WI)-Loango_II!CA_NOC_CI_opex</f>
        <v>0</v>
      </c>
      <c r="BP450" s="49">
        <f ca="1">(BP397*Loango_II!CA_NOC_WI)-Loango_II!CA_NOC_CI_opex</f>
        <v>0</v>
      </c>
      <c r="BQ450" s="49">
        <f ca="1">(BQ397*Loango_II!CA_NOC_WI)-Loango_II!CA_NOC_CI_opex</f>
        <v>0</v>
      </c>
      <c r="BR450" s="49">
        <f ca="1">(BR397*Loango_II!CA_NOC_WI)-Loango_II!CA_NOC_CI_opex</f>
        <v>0</v>
      </c>
      <c r="BS450" s="49">
        <f ca="1">(BS397*Loango_II!CA_NOC_WI)-Loango_II!CA_NOC_CI_opex</f>
        <v>0</v>
      </c>
    </row>
    <row r="451" spans="3:71" outlineLevel="1" x14ac:dyDescent="0.2">
      <c r="J451" s="26"/>
      <c r="L451" s="55"/>
      <c r="M451" s="55"/>
      <c r="N451" s="55"/>
      <c r="O451" s="55"/>
      <c r="P451" s="55"/>
      <c r="Q451" s="55"/>
      <c r="R451" s="55"/>
      <c r="S451" s="55"/>
      <c r="T451" s="55"/>
      <c r="U451" s="55"/>
      <c r="V451" s="55"/>
      <c r="W451" s="55"/>
      <c r="X451" s="55"/>
      <c r="Y451" s="55"/>
      <c r="Z451" s="55"/>
      <c r="AA451" s="55"/>
      <c r="AB451" s="55"/>
      <c r="AC451" s="55"/>
      <c r="AD451" s="55"/>
      <c r="AE451" s="55"/>
      <c r="AF451" s="55"/>
      <c r="AG451" s="55"/>
      <c r="AH451" s="55"/>
      <c r="AI451" s="55"/>
      <c r="AJ451" s="55"/>
      <c r="AK451" s="55"/>
      <c r="AL451" s="55"/>
      <c r="AM451" s="55"/>
      <c r="AN451" s="55"/>
      <c r="AO451" s="55"/>
      <c r="AP451" s="55"/>
      <c r="AQ451" s="55"/>
      <c r="AR451" s="55"/>
      <c r="AS451" s="55"/>
      <c r="AT451" s="55"/>
      <c r="AU451" s="55"/>
      <c r="AV451" s="55"/>
      <c r="AW451" s="55"/>
      <c r="AX451" s="55"/>
      <c r="AY451" s="55"/>
      <c r="AZ451" s="55"/>
      <c r="BA451" s="55"/>
      <c r="BB451" s="55"/>
      <c r="BC451" s="55"/>
      <c r="BD451" s="55"/>
      <c r="BE451" s="55"/>
      <c r="BF451" s="55"/>
      <c r="BG451" s="55"/>
      <c r="BH451" s="55"/>
      <c r="BI451" s="55"/>
      <c r="BJ451" s="55"/>
      <c r="BK451" s="55"/>
      <c r="BL451" s="55"/>
      <c r="BM451" s="55"/>
      <c r="BN451" s="55"/>
      <c r="BO451" s="55"/>
      <c r="BP451" s="55"/>
      <c r="BQ451" s="55"/>
      <c r="BR451" s="55"/>
      <c r="BS451" s="55"/>
    </row>
    <row r="452" spans="3:71" outlineLevel="1" x14ac:dyDescent="0.2">
      <c r="C452" s="11" t="s">
        <v>271</v>
      </c>
      <c r="I452" s="30">
        <f t="shared" ca="1" si="108"/>
        <v>11.683664472381302</v>
      </c>
      <c r="J452" s="26" t="s">
        <v>148</v>
      </c>
      <c r="L452" s="49">
        <f ca="1">L399*Loango_II!CA_NOC_WI</f>
        <v>0.74933748230811881</v>
      </c>
      <c r="M452" s="49">
        <f ca="1">M399*Loango_II!CA_NOC_WI</f>
        <v>0.70784597535292459</v>
      </c>
      <c r="N452" s="49">
        <f ca="1">N399*Loango_II!CA_NOC_WI</f>
        <v>0.26706236900108338</v>
      </c>
      <c r="O452" s="49">
        <f ca="1">O399*Loango_II!CA_NOC_WI</f>
        <v>0.25208282317336822</v>
      </c>
      <c r="P452" s="49">
        <f ca="1">P399*Loango_II!CA_NOC_WI</f>
        <v>0.69924129539791369</v>
      </c>
      <c r="Q452" s="49">
        <f ca="1">Q399*Loango_II!CA_NOC_WI</f>
        <v>1.389932866392102</v>
      </c>
      <c r="R452" s="49">
        <f ca="1">R399*Loango_II!CA_NOC_WI</f>
        <v>1.3267308635491615</v>
      </c>
      <c r="S452" s="49">
        <f ca="1">S399*Loango_II!CA_NOC_WI</f>
        <v>0.77017699371600012</v>
      </c>
      <c r="T452" s="49">
        <f ca="1">T399*Loango_II!CA_NOC_WI</f>
        <v>1.1752312258964162</v>
      </c>
      <c r="U452" s="49">
        <f ca="1">U399*Loango_II!CA_NOC_WI</f>
        <v>1.1731746984589799</v>
      </c>
      <c r="V452" s="49">
        <f ca="1">V399*Loango_II!CA_NOC_WI</f>
        <v>1.1128735189581884</v>
      </c>
      <c r="W452" s="49">
        <f ca="1">W399*Loango_II!CA_NOC_WI</f>
        <v>1.0585640716456106</v>
      </c>
      <c r="X452" s="49">
        <f ca="1">X399*Loango_II!CA_NOC_WI</f>
        <v>1.0014102885314331</v>
      </c>
      <c r="Y452" s="49">
        <f ca="1">Y399*Loango_II!CA_NOC_WI</f>
        <v>0</v>
      </c>
      <c r="Z452" s="49">
        <f ca="1">Z399*Loango_II!CA_NOC_WI</f>
        <v>0</v>
      </c>
      <c r="AA452" s="49">
        <f ca="1">AA399*Loango_II!CA_NOC_WI</f>
        <v>0</v>
      </c>
      <c r="AB452" s="49">
        <f ca="1">AB399*Loango_II!CA_NOC_WI</f>
        <v>0</v>
      </c>
      <c r="AC452" s="49">
        <f ca="1">AC399*Loango_II!CA_NOC_WI</f>
        <v>0</v>
      </c>
      <c r="AD452" s="49">
        <f ca="1">AD399*Loango_II!CA_NOC_WI</f>
        <v>0</v>
      </c>
      <c r="AE452" s="49">
        <f ca="1">AE399*Loango_II!CA_NOC_WI</f>
        <v>0</v>
      </c>
      <c r="AF452" s="49">
        <f ca="1">AF399*Loango_II!CA_NOC_WI</f>
        <v>0</v>
      </c>
      <c r="AG452" s="49">
        <f ca="1">AG399*Loango_II!CA_NOC_WI</f>
        <v>0</v>
      </c>
      <c r="AH452" s="49">
        <f ca="1">AH399*Loango_II!CA_NOC_WI</f>
        <v>0</v>
      </c>
      <c r="AI452" s="49">
        <f ca="1">AI399*Loango_II!CA_NOC_WI</f>
        <v>0</v>
      </c>
      <c r="AJ452" s="49">
        <f ca="1">AJ399*Loango_II!CA_NOC_WI</f>
        <v>0</v>
      </c>
      <c r="AK452" s="49">
        <f ca="1">AK399*Loango_II!CA_NOC_WI</f>
        <v>0</v>
      </c>
      <c r="AL452" s="49">
        <f ca="1">AL399*Loango_II!CA_NOC_WI</f>
        <v>0</v>
      </c>
      <c r="AM452" s="49">
        <f ca="1">AM399*Loango_II!CA_NOC_WI</f>
        <v>0</v>
      </c>
      <c r="AN452" s="49">
        <f ca="1">AN399*Loango_II!CA_NOC_WI</f>
        <v>0</v>
      </c>
      <c r="AO452" s="49">
        <f ca="1">AO399*Loango_II!CA_NOC_WI</f>
        <v>0</v>
      </c>
      <c r="AP452" s="49">
        <f ca="1">AP399*Loango_II!CA_NOC_WI</f>
        <v>0</v>
      </c>
      <c r="AQ452" s="49">
        <f ca="1">AQ399*Loango_II!CA_NOC_WI</f>
        <v>0</v>
      </c>
      <c r="AR452" s="49">
        <f ca="1">AR399*Loango_II!CA_NOC_WI</f>
        <v>0</v>
      </c>
      <c r="AS452" s="49">
        <f ca="1">AS399*Loango_II!CA_NOC_WI</f>
        <v>0</v>
      </c>
      <c r="AT452" s="49">
        <f ca="1">AT399*Loango_II!CA_NOC_WI</f>
        <v>0</v>
      </c>
      <c r="AU452" s="49">
        <f ca="1">AU399*Loango_II!CA_NOC_WI</f>
        <v>0</v>
      </c>
      <c r="AV452" s="49">
        <f ca="1">AV399*Loango_II!CA_NOC_WI</f>
        <v>0</v>
      </c>
      <c r="AW452" s="49">
        <f ca="1">AW399*Loango_II!CA_NOC_WI</f>
        <v>0</v>
      </c>
      <c r="AX452" s="49">
        <f ca="1">AX399*Loango_II!CA_NOC_WI</f>
        <v>0</v>
      </c>
      <c r="AY452" s="49">
        <f ca="1">AY399*Loango_II!CA_NOC_WI</f>
        <v>0</v>
      </c>
      <c r="AZ452" s="49">
        <f ca="1">AZ399*Loango_II!CA_NOC_WI</f>
        <v>0</v>
      </c>
      <c r="BA452" s="49">
        <f ca="1">BA399*Loango_II!CA_NOC_WI</f>
        <v>0</v>
      </c>
      <c r="BB452" s="49">
        <f ca="1">BB399*Loango_II!CA_NOC_WI</f>
        <v>0</v>
      </c>
      <c r="BC452" s="49">
        <f ca="1">BC399*Loango_II!CA_NOC_WI</f>
        <v>0</v>
      </c>
      <c r="BD452" s="49">
        <f ca="1">BD399*Loango_II!CA_NOC_WI</f>
        <v>0</v>
      </c>
      <c r="BE452" s="49">
        <f ca="1">BE399*Loango_II!CA_NOC_WI</f>
        <v>0</v>
      </c>
      <c r="BF452" s="49">
        <f ca="1">BF399*Loango_II!CA_NOC_WI</f>
        <v>0</v>
      </c>
      <c r="BG452" s="49">
        <f ca="1">BG399*Loango_II!CA_NOC_WI</f>
        <v>0</v>
      </c>
      <c r="BH452" s="49">
        <f ca="1">BH399*Loango_II!CA_NOC_WI</f>
        <v>0</v>
      </c>
      <c r="BI452" s="49">
        <f ca="1">BI399*Loango_II!CA_NOC_WI</f>
        <v>0</v>
      </c>
      <c r="BJ452" s="49">
        <f ca="1">BJ399*Loango_II!CA_NOC_WI</f>
        <v>0</v>
      </c>
      <c r="BK452" s="49">
        <f ca="1">BK399*Loango_II!CA_NOC_WI</f>
        <v>0</v>
      </c>
      <c r="BL452" s="49">
        <f ca="1">BL399*Loango_II!CA_NOC_WI</f>
        <v>0</v>
      </c>
      <c r="BM452" s="49">
        <f ca="1">BM399*Loango_II!CA_NOC_WI</f>
        <v>0</v>
      </c>
      <c r="BN452" s="49">
        <f ca="1">BN399*Loango_II!CA_NOC_WI</f>
        <v>0</v>
      </c>
      <c r="BO452" s="49">
        <f ca="1">BO399*Loango_II!CA_NOC_WI</f>
        <v>0</v>
      </c>
      <c r="BP452" s="49">
        <f ca="1">BP399*Loango_II!CA_NOC_WI</f>
        <v>0</v>
      </c>
      <c r="BQ452" s="49">
        <f ca="1">BQ399*Loango_II!CA_NOC_WI</f>
        <v>0</v>
      </c>
      <c r="BR452" s="49">
        <f ca="1">BR399*Loango_II!CA_NOC_WI</f>
        <v>0</v>
      </c>
      <c r="BS452" s="49">
        <f ca="1">BS399*Loango_II!CA_NOC_WI</f>
        <v>0</v>
      </c>
    </row>
    <row r="453" spans="3:71" outlineLevel="1" x14ac:dyDescent="0.2">
      <c r="J453" s="26"/>
      <c r="L453" s="55"/>
      <c r="M453" s="55"/>
      <c r="N453" s="55"/>
      <c r="O453" s="55"/>
      <c r="P453" s="55"/>
      <c r="Q453" s="55"/>
      <c r="R453" s="55"/>
      <c r="S453" s="55"/>
      <c r="T453" s="55"/>
      <c r="U453" s="55"/>
      <c r="V453" s="55"/>
      <c r="W453" s="55"/>
      <c r="X453" s="55"/>
      <c r="Y453" s="55"/>
      <c r="Z453" s="55"/>
      <c r="AA453" s="55"/>
      <c r="AB453" s="55"/>
      <c r="AC453" s="55"/>
      <c r="AD453" s="55"/>
      <c r="AE453" s="55"/>
      <c r="AF453" s="55"/>
      <c r="AG453" s="55"/>
      <c r="AH453" s="55"/>
      <c r="AI453" s="55"/>
      <c r="AJ453" s="55"/>
      <c r="AK453" s="55"/>
      <c r="AL453" s="55"/>
      <c r="AM453" s="55"/>
      <c r="AN453" s="55"/>
      <c r="AO453" s="55"/>
      <c r="AP453" s="55"/>
      <c r="AQ453" s="55"/>
      <c r="AR453" s="55"/>
      <c r="AS453" s="55"/>
      <c r="AT453" s="55"/>
      <c r="AU453" s="55"/>
      <c r="AV453" s="55"/>
      <c r="AW453" s="55"/>
      <c r="AX453" s="55"/>
      <c r="AY453" s="55"/>
      <c r="AZ453" s="55"/>
      <c r="BA453" s="55"/>
      <c r="BB453" s="55"/>
      <c r="BC453" s="55"/>
      <c r="BD453" s="55"/>
      <c r="BE453" s="55"/>
      <c r="BF453" s="55"/>
      <c r="BG453" s="55"/>
      <c r="BH453" s="55"/>
      <c r="BI453" s="55"/>
      <c r="BJ453" s="55"/>
      <c r="BK453" s="55"/>
      <c r="BL453" s="55"/>
      <c r="BM453" s="55"/>
      <c r="BN453" s="55"/>
      <c r="BO453" s="55"/>
      <c r="BP453" s="55"/>
      <c r="BQ453" s="55"/>
      <c r="BR453" s="55"/>
      <c r="BS453" s="55"/>
    </row>
    <row r="454" spans="3:71" outlineLevel="1" x14ac:dyDescent="0.2">
      <c r="C454" s="11" t="s">
        <v>272</v>
      </c>
      <c r="I454" s="30">
        <f t="shared" ref="I454:I464" ca="1" si="110">SUM($L454:$BS454)</f>
        <v>0</v>
      </c>
      <c r="J454" s="26" t="s">
        <v>148</v>
      </c>
      <c r="L454" s="49">
        <f ca="1">L401*Loango_II!CA_NOC_WI</f>
        <v>0</v>
      </c>
      <c r="M454" s="49">
        <f ca="1">M401*Loango_II!CA_NOC_WI</f>
        <v>0</v>
      </c>
      <c r="N454" s="49">
        <f ca="1">N401*Loango_II!CA_NOC_WI</f>
        <v>0</v>
      </c>
      <c r="O454" s="49">
        <f ca="1">O401*Loango_II!CA_NOC_WI</f>
        <v>0</v>
      </c>
      <c r="P454" s="49">
        <f ca="1">P401*Loango_II!CA_NOC_WI</f>
        <v>0</v>
      </c>
      <c r="Q454" s="49">
        <f ca="1">Q401*Loango_II!CA_NOC_WI</f>
        <v>0</v>
      </c>
      <c r="R454" s="49">
        <f ca="1">R401*Loango_II!CA_NOC_WI</f>
        <v>0</v>
      </c>
      <c r="S454" s="49">
        <f ca="1">S401*Loango_II!CA_NOC_WI</f>
        <v>0</v>
      </c>
      <c r="T454" s="49">
        <f ca="1">T401*Loango_II!CA_NOC_WI</f>
        <v>0</v>
      </c>
      <c r="U454" s="49">
        <f ca="1">U401*Loango_II!CA_NOC_WI</f>
        <v>0</v>
      </c>
      <c r="V454" s="49">
        <f ca="1">V401*Loango_II!CA_NOC_WI</f>
        <v>0</v>
      </c>
      <c r="W454" s="49">
        <f ca="1">W401*Loango_II!CA_NOC_WI</f>
        <v>0</v>
      </c>
      <c r="X454" s="49">
        <f ca="1">X401*Loango_II!CA_NOC_WI</f>
        <v>0</v>
      </c>
      <c r="Y454" s="49">
        <f ca="1">Y401*Loango_II!CA_NOC_WI</f>
        <v>0</v>
      </c>
      <c r="Z454" s="49">
        <f ca="1">Z401*Loango_II!CA_NOC_WI</f>
        <v>0</v>
      </c>
      <c r="AA454" s="49">
        <f ca="1">AA401*Loango_II!CA_NOC_WI</f>
        <v>0</v>
      </c>
      <c r="AB454" s="49">
        <f ca="1">AB401*Loango_II!CA_NOC_WI</f>
        <v>0</v>
      </c>
      <c r="AC454" s="49">
        <f ca="1">AC401*Loango_II!CA_NOC_WI</f>
        <v>0</v>
      </c>
      <c r="AD454" s="49">
        <f ca="1">AD401*Loango_II!CA_NOC_WI</f>
        <v>0</v>
      </c>
      <c r="AE454" s="49">
        <f ca="1">AE401*Loango_II!CA_NOC_WI</f>
        <v>0</v>
      </c>
      <c r="AF454" s="49">
        <f ca="1">AF401*Loango_II!CA_NOC_WI</f>
        <v>0</v>
      </c>
      <c r="AG454" s="49">
        <f ca="1">AG401*Loango_II!CA_NOC_WI</f>
        <v>0</v>
      </c>
      <c r="AH454" s="49">
        <f ca="1">AH401*Loango_II!CA_NOC_WI</f>
        <v>0</v>
      </c>
      <c r="AI454" s="49">
        <f ca="1">AI401*Loango_II!CA_NOC_WI</f>
        <v>0</v>
      </c>
      <c r="AJ454" s="49">
        <f ca="1">AJ401*Loango_II!CA_NOC_WI</f>
        <v>0</v>
      </c>
      <c r="AK454" s="49">
        <f ca="1">AK401*Loango_II!CA_NOC_WI</f>
        <v>0</v>
      </c>
      <c r="AL454" s="49">
        <f ca="1">AL401*Loango_II!CA_NOC_WI</f>
        <v>0</v>
      </c>
      <c r="AM454" s="49">
        <f ca="1">AM401*Loango_II!CA_NOC_WI</f>
        <v>0</v>
      </c>
      <c r="AN454" s="49">
        <f ca="1">AN401*Loango_II!CA_NOC_WI</f>
        <v>0</v>
      </c>
      <c r="AO454" s="49">
        <f ca="1">AO401*Loango_II!CA_NOC_WI</f>
        <v>0</v>
      </c>
      <c r="AP454" s="49">
        <f ca="1">AP401*Loango_II!CA_NOC_WI</f>
        <v>0</v>
      </c>
      <c r="AQ454" s="49">
        <f ca="1">AQ401*Loango_II!CA_NOC_WI</f>
        <v>0</v>
      </c>
      <c r="AR454" s="49">
        <f ca="1">AR401*Loango_II!CA_NOC_WI</f>
        <v>0</v>
      </c>
      <c r="AS454" s="49">
        <f ca="1">AS401*Loango_II!CA_NOC_WI</f>
        <v>0</v>
      </c>
      <c r="AT454" s="49">
        <f ca="1">AT401*Loango_II!CA_NOC_WI</f>
        <v>0</v>
      </c>
      <c r="AU454" s="49">
        <f ca="1">AU401*Loango_II!CA_NOC_WI</f>
        <v>0</v>
      </c>
      <c r="AV454" s="49">
        <f ca="1">AV401*Loango_II!CA_NOC_WI</f>
        <v>0</v>
      </c>
      <c r="AW454" s="49">
        <f ca="1">AW401*Loango_II!CA_NOC_WI</f>
        <v>0</v>
      </c>
      <c r="AX454" s="49">
        <f ca="1">AX401*Loango_II!CA_NOC_WI</f>
        <v>0</v>
      </c>
      <c r="AY454" s="49">
        <f ca="1">AY401*Loango_II!CA_NOC_WI</f>
        <v>0</v>
      </c>
      <c r="AZ454" s="49">
        <f ca="1">AZ401*Loango_II!CA_NOC_WI</f>
        <v>0</v>
      </c>
      <c r="BA454" s="49">
        <f ca="1">BA401*Loango_II!CA_NOC_WI</f>
        <v>0</v>
      </c>
      <c r="BB454" s="49">
        <f ca="1">BB401*Loango_II!CA_NOC_WI</f>
        <v>0</v>
      </c>
      <c r="BC454" s="49">
        <f ca="1">BC401*Loango_II!CA_NOC_WI</f>
        <v>0</v>
      </c>
      <c r="BD454" s="49">
        <f ca="1">BD401*Loango_II!CA_NOC_WI</f>
        <v>0</v>
      </c>
      <c r="BE454" s="49">
        <f ca="1">BE401*Loango_II!CA_NOC_WI</f>
        <v>0</v>
      </c>
      <c r="BF454" s="49">
        <f ca="1">BF401*Loango_II!CA_NOC_WI</f>
        <v>0</v>
      </c>
      <c r="BG454" s="49">
        <f ca="1">BG401*Loango_II!CA_NOC_WI</f>
        <v>0</v>
      </c>
      <c r="BH454" s="49">
        <f ca="1">BH401*Loango_II!CA_NOC_WI</f>
        <v>0</v>
      </c>
      <c r="BI454" s="49">
        <f ca="1">BI401*Loango_II!CA_NOC_WI</f>
        <v>0</v>
      </c>
      <c r="BJ454" s="49">
        <f ca="1">BJ401*Loango_II!CA_NOC_WI</f>
        <v>0</v>
      </c>
      <c r="BK454" s="49">
        <f ca="1">BK401*Loango_II!CA_NOC_WI</f>
        <v>0</v>
      </c>
      <c r="BL454" s="49">
        <f ca="1">BL401*Loango_II!CA_NOC_WI</f>
        <v>0</v>
      </c>
      <c r="BM454" s="49">
        <f ca="1">BM401*Loango_II!CA_NOC_WI</f>
        <v>0</v>
      </c>
      <c r="BN454" s="49">
        <f ca="1">BN401*Loango_II!CA_NOC_WI</f>
        <v>0</v>
      </c>
      <c r="BO454" s="49">
        <f ca="1">BO401*Loango_II!CA_NOC_WI</f>
        <v>0</v>
      </c>
      <c r="BP454" s="49">
        <f ca="1">BP401*Loango_II!CA_NOC_WI</f>
        <v>0</v>
      </c>
      <c r="BQ454" s="49">
        <f ca="1">BQ401*Loango_II!CA_NOC_WI</f>
        <v>0</v>
      </c>
      <c r="BR454" s="49">
        <f ca="1">BR401*Loango_II!CA_NOC_WI</f>
        <v>0</v>
      </c>
      <c r="BS454" s="49">
        <f ca="1">BS401*Loango_II!CA_NOC_WI</f>
        <v>0</v>
      </c>
    </row>
    <row r="455" spans="3:71" outlineLevel="1" x14ac:dyDescent="0.2">
      <c r="J455" s="26"/>
      <c r="L455" s="55"/>
      <c r="M455" s="55"/>
      <c r="N455" s="55"/>
      <c r="O455" s="55"/>
      <c r="P455" s="55"/>
      <c r="Q455" s="55"/>
      <c r="R455" s="55"/>
      <c r="S455" s="55"/>
      <c r="T455" s="55"/>
      <c r="U455" s="55"/>
      <c r="V455" s="55"/>
      <c r="W455" s="55"/>
      <c r="X455" s="55"/>
      <c r="Y455" s="55"/>
      <c r="Z455" s="55"/>
      <c r="AA455" s="55"/>
      <c r="AB455" s="55"/>
      <c r="AC455" s="55"/>
      <c r="AD455" s="55"/>
      <c r="AE455" s="55"/>
      <c r="AF455" s="55"/>
      <c r="AG455" s="55"/>
      <c r="AH455" s="55"/>
      <c r="AI455" s="55"/>
      <c r="AJ455" s="55"/>
      <c r="AK455" s="55"/>
      <c r="AL455" s="55"/>
      <c r="AM455" s="55"/>
      <c r="AN455" s="55"/>
      <c r="AO455" s="55"/>
      <c r="AP455" s="55"/>
      <c r="AQ455" s="55"/>
      <c r="AR455" s="55"/>
      <c r="AS455" s="55"/>
      <c r="AT455" s="55"/>
      <c r="AU455" s="55"/>
      <c r="AV455" s="55"/>
      <c r="AW455" s="55"/>
      <c r="AX455" s="55"/>
      <c r="AY455" s="55"/>
      <c r="AZ455" s="55"/>
      <c r="BA455" s="55"/>
      <c r="BB455" s="55"/>
      <c r="BC455" s="55"/>
      <c r="BD455" s="55"/>
      <c r="BE455" s="55"/>
      <c r="BF455" s="55"/>
      <c r="BG455" s="55"/>
      <c r="BH455" s="55"/>
      <c r="BI455" s="55"/>
      <c r="BJ455" s="55"/>
      <c r="BK455" s="55"/>
      <c r="BL455" s="55"/>
      <c r="BM455" s="55"/>
      <c r="BN455" s="55"/>
      <c r="BO455" s="55"/>
      <c r="BP455" s="55"/>
      <c r="BQ455" s="55"/>
      <c r="BR455" s="55"/>
      <c r="BS455" s="55"/>
    </row>
    <row r="456" spans="3:71" outlineLevel="1" x14ac:dyDescent="0.2">
      <c r="C456" s="11" t="s">
        <v>273</v>
      </c>
      <c r="I456" s="30">
        <f t="shared" ca="1" si="110"/>
        <v>0</v>
      </c>
      <c r="J456" s="26" t="s">
        <v>148</v>
      </c>
      <c r="L456" s="49">
        <f ca="1">L403*(Loango_II!CA_NOC_WI)-(Loango_II!CA_NOC_CI_devex+Loango_II!CA_NOC_CI_expex)</f>
        <v>0</v>
      </c>
      <c r="M456" s="49">
        <f ca="1">M403*(Loango_II!CA_NOC_WI)-(Loango_II!CA_NOC_CI_devex+Loango_II!CA_NOC_CI_expex)</f>
        <v>0</v>
      </c>
      <c r="N456" s="49">
        <f ca="1">N403*(Loango_II!CA_NOC_WI)-(Loango_II!CA_NOC_CI_devex+Loango_II!CA_NOC_CI_expex)</f>
        <v>0</v>
      </c>
      <c r="O456" s="49">
        <f ca="1">O403*(Loango_II!CA_NOC_WI)-(Loango_II!CA_NOC_CI_devex+Loango_II!CA_NOC_CI_expex)</f>
        <v>0</v>
      </c>
      <c r="P456" s="49">
        <f ca="1">P403*(Loango_II!CA_NOC_WI)-(Loango_II!CA_NOC_CI_devex+Loango_II!CA_NOC_CI_expex)</f>
        <v>0</v>
      </c>
      <c r="Q456" s="49">
        <f ca="1">Q403*(Loango_II!CA_NOC_WI)-(Loango_II!CA_NOC_CI_devex+Loango_II!CA_NOC_CI_expex)</f>
        <v>0</v>
      </c>
      <c r="R456" s="49">
        <f ca="1">R403*(Loango_II!CA_NOC_WI)-(Loango_II!CA_NOC_CI_devex+Loango_II!CA_NOC_CI_expex)</f>
        <v>0</v>
      </c>
      <c r="S456" s="49">
        <f ca="1">S403*(Loango_II!CA_NOC_WI)-(Loango_II!CA_NOC_CI_devex+Loango_II!CA_NOC_CI_expex)</f>
        <v>0</v>
      </c>
      <c r="T456" s="49">
        <f ca="1">T403*(Loango_II!CA_NOC_WI)-(Loango_II!CA_NOC_CI_devex+Loango_II!CA_NOC_CI_expex)</f>
        <v>0</v>
      </c>
      <c r="U456" s="49">
        <f ca="1">U403*(Loango_II!CA_NOC_WI)-(Loango_II!CA_NOC_CI_devex+Loango_II!CA_NOC_CI_expex)</f>
        <v>0</v>
      </c>
      <c r="V456" s="49">
        <f ca="1">V403*(Loango_II!CA_NOC_WI)-(Loango_II!CA_NOC_CI_devex+Loango_II!CA_NOC_CI_expex)</f>
        <v>0</v>
      </c>
      <c r="W456" s="49">
        <f ca="1">W403*(Loango_II!CA_NOC_WI)-(Loango_II!CA_NOC_CI_devex+Loango_II!CA_NOC_CI_expex)</f>
        <v>0</v>
      </c>
      <c r="X456" s="49">
        <f ca="1">X403*(Loango_II!CA_NOC_WI)-(Loango_II!CA_NOC_CI_devex+Loango_II!CA_NOC_CI_expex)</f>
        <v>0</v>
      </c>
      <c r="Y456" s="49">
        <f ca="1">Y403*(Loango_II!CA_NOC_WI)-(Loango_II!CA_NOC_CI_devex+Loango_II!CA_NOC_CI_expex)</f>
        <v>0</v>
      </c>
      <c r="Z456" s="49">
        <f ca="1">Z403*(Loango_II!CA_NOC_WI)-(Loango_II!CA_NOC_CI_devex+Loango_II!CA_NOC_CI_expex)</f>
        <v>0</v>
      </c>
      <c r="AA456" s="49">
        <f ca="1">AA403*(Loango_II!CA_NOC_WI)-(Loango_II!CA_NOC_CI_devex+Loango_II!CA_NOC_CI_expex)</f>
        <v>0</v>
      </c>
      <c r="AB456" s="49">
        <f ca="1">AB403*(Loango_II!CA_NOC_WI)-(Loango_II!CA_NOC_CI_devex+Loango_II!CA_NOC_CI_expex)</f>
        <v>0</v>
      </c>
      <c r="AC456" s="49">
        <f ca="1">AC403*(Loango_II!CA_NOC_WI)-(Loango_II!CA_NOC_CI_devex+Loango_II!CA_NOC_CI_expex)</f>
        <v>0</v>
      </c>
      <c r="AD456" s="49">
        <f ca="1">AD403*(Loango_II!CA_NOC_WI)-(Loango_II!CA_NOC_CI_devex+Loango_II!CA_NOC_CI_expex)</f>
        <v>0</v>
      </c>
      <c r="AE456" s="49">
        <f ca="1">AE403*(Loango_II!CA_NOC_WI)-(Loango_II!CA_NOC_CI_devex+Loango_II!CA_NOC_CI_expex)</f>
        <v>0</v>
      </c>
      <c r="AF456" s="49">
        <f ca="1">AF403*(Loango_II!CA_NOC_WI)-(Loango_II!CA_NOC_CI_devex+Loango_II!CA_NOC_CI_expex)</f>
        <v>0</v>
      </c>
      <c r="AG456" s="49">
        <f ca="1">AG403*(Loango_II!CA_NOC_WI)-(Loango_II!CA_NOC_CI_devex+Loango_II!CA_NOC_CI_expex)</f>
        <v>0</v>
      </c>
      <c r="AH456" s="49">
        <f ca="1">AH403*(Loango_II!CA_NOC_WI)-(Loango_II!CA_NOC_CI_devex+Loango_II!CA_NOC_CI_expex)</f>
        <v>0</v>
      </c>
      <c r="AI456" s="49">
        <f ca="1">AI403*(Loango_II!CA_NOC_WI)-(Loango_II!CA_NOC_CI_devex+Loango_II!CA_NOC_CI_expex)</f>
        <v>0</v>
      </c>
      <c r="AJ456" s="49">
        <f ca="1">AJ403*(Loango_II!CA_NOC_WI)-(Loango_II!CA_NOC_CI_devex+Loango_II!CA_NOC_CI_expex)</f>
        <v>0</v>
      </c>
      <c r="AK456" s="49">
        <f ca="1">AK403*(Loango_II!CA_NOC_WI)-(Loango_II!CA_NOC_CI_devex+Loango_II!CA_NOC_CI_expex)</f>
        <v>0</v>
      </c>
      <c r="AL456" s="49">
        <f ca="1">AL403*(Loango_II!CA_NOC_WI)-(Loango_II!CA_NOC_CI_devex+Loango_II!CA_NOC_CI_expex)</f>
        <v>0</v>
      </c>
      <c r="AM456" s="49">
        <f ca="1">AM403*(Loango_II!CA_NOC_WI)-(Loango_II!CA_NOC_CI_devex+Loango_II!CA_NOC_CI_expex)</f>
        <v>0</v>
      </c>
      <c r="AN456" s="49">
        <f ca="1">AN403*(Loango_II!CA_NOC_WI)-(Loango_II!CA_NOC_CI_devex+Loango_II!CA_NOC_CI_expex)</f>
        <v>0</v>
      </c>
      <c r="AO456" s="49">
        <f ca="1">AO403*(Loango_II!CA_NOC_WI)-(Loango_II!CA_NOC_CI_devex+Loango_II!CA_NOC_CI_expex)</f>
        <v>0</v>
      </c>
      <c r="AP456" s="49">
        <f ca="1">AP403*(Loango_II!CA_NOC_WI)-(Loango_II!CA_NOC_CI_devex+Loango_II!CA_NOC_CI_expex)</f>
        <v>0</v>
      </c>
      <c r="AQ456" s="49">
        <f ca="1">AQ403*(Loango_II!CA_NOC_WI)-(Loango_II!CA_NOC_CI_devex+Loango_II!CA_NOC_CI_expex)</f>
        <v>0</v>
      </c>
      <c r="AR456" s="49">
        <f ca="1">AR403*(Loango_II!CA_NOC_WI)-(Loango_II!CA_NOC_CI_devex+Loango_II!CA_NOC_CI_expex)</f>
        <v>0</v>
      </c>
      <c r="AS456" s="49">
        <f ca="1">AS403*(Loango_II!CA_NOC_WI)-(Loango_II!CA_NOC_CI_devex+Loango_II!CA_NOC_CI_expex)</f>
        <v>0</v>
      </c>
      <c r="AT456" s="49">
        <f ca="1">AT403*(Loango_II!CA_NOC_WI)-(Loango_II!CA_NOC_CI_devex+Loango_II!CA_NOC_CI_expex)</f>
        <v>0</v>
      </c>
      <c r="AU456" s="49">
        <f ca="1">AU403*(Loango_II!CA_NOC_WI)-(Loango_II!CA_NOC_CI_devex+Loango_II!CA_NOC_CI_expex)</f>
        <v>0</v>
      </c>
      <c r="AV456" s="49">
        <f ca="1">AV403*(Loango_II!CA_NOC_WI)-(Loango_II!CA_NOC_CI_devex+Loango_II!CA_NOC_CI_expex)</f>
        <v>0</v>
      </c>
      <c r="AW456" s="49">
        <f ca="1">AW403*(Loango_II!CA_NOC_WI)-(Loango_II!CA_NOC_CI_devex+Loango_II!CA_NOC_CI_expex)</f>
        <v>0</v>
      </c>
      <c r="AX456" s="49">
        <f ca="1">AX403*(Loango_II!CA_NOC_WI)-(Loango_II!CA_NOC_CI_devex+Loango_II!CA_NOC_CI_expex)</f>
        <v>0</v>
      </c>
      <c r="AY456" s="49">
        <f ca="1">AY403*(Loango_II!CA_NOC_WI)-(Loango_II!CA_NOC_CI_devex+Loango_II!CA_NOC_CI_expex)</f>
        <v>0</v>
      </c>
      <c r="AZ456" s="49">
        <f ca="1">AZ403*(Loango_II!CA_NOC_WI)-(Loango_II!CA_NOC_CI_devex+Loango_II!CA_NOC_CI_expex)</f>
        <v>0</v>
      </c>
      <c r="BA456" s="49">
        <f ca="1">BA403*(Loango_II!CA_NOC_WI)-(Loango_II!CA_NOC_CI_devex+Loango_II!CA_NOC_CI_expex)</f>
        <v>0</v>
      </c>
      <c r="BB456" s="49">
        <f ca="1">BB403*(Loango_II!CA_NOC_WI)-(Loango_II!CA_NOC_CI_devex+Loango_II!CA_NOC_CI_expex)</f>
        <v>0</v>
      </c>
      <c r="BC456" s="49">
        <f ca="1">BC403*(Loango_II!CA_NOC_WI)-(Loango_II!CA_NOC_CI_devex+Loango_II!CA_NOC_CI_expex)</f>
        <v>0</v>
      </c>
      <c r="BD456" s="49">
        <f ca="1">BD403*(Loango_II!CA_NOC_WI)-(Loango_II!CA_NOC_CI_devex+Loango_II!CA_NOC_CI_expex)</f>
        <v>0</v>
      </c>
      <c r="BE456" s="49">
        <f ca="1">BE403*(Loango_II!CA_NOC_WI)-(Loango_II!CA_NOC_CI_devex+Loango_II!CA_NOC_CI_expex)</f>
        <v>0</v>
      </c>
      <c r="BF456" s="49">
        <f ca="1">BF403*(Loango_II!CA_NOC_WI)-(Loango_II!CA_NOC_CI_devex+Loango_II!CA_NOC_CI_expex)</f>
        <v>0</v>
      </c>
      <c r="BG456" s="49">
        <f ca="1">BG403*(Loango_II!CA_NOC_WI)-(Loango_II!CA_NOC_CI_devex+Loango_II!CA_NOC_CI_expex)</f>
        <v>0</v>
      </c>
      <c r="BH456" s="49">
        <f ca="1">BH403*(Loango_II!CA_NOC_WI)-(Loango_II!CA_NOC_CI_devex+Loango_II!CA_NOC_CI_expex)</f>
        <v>0</v>
      </c>
      <c r="BI456" s="49">
        <f ca="1">BI403*(Loango_II!CA_NOC_WI)-(Loango_II!CA_NOC_CI_devex+Loango_II!CA_NOC_CI_expex)</f>
        <v>0</v>
      </c>
      <c r="BJ456" s="49">
        <f ca="1">BJ403*(Loango_II!CA_NOC_WI)-(Loango_II!CA_NOC_CI_devex+Loango_II!CA_NOC_CI_expex)</f>
        <v>0</v>
      </c>
      <c r="BK456" s="49">
        <f ca="1">BK403*(Loango_II!CA_NOC_WI)-(Loango_II!CA_NOC_CI_devex+Loango_II!CA_NOC_CI_expex)</f>
        <v>0</v>
      </c>
      <c r="BL456" s="49">
        <f ca="1">BL403*(Loango_II!CA_NOC_WI)-(Loango_II!CA_NOC_CI_devex+Loango_II!CA_NOC_CI_expex)</f>
        <v>0</v>
      </c>
      <c r="BM456" s="49">
        <f ca="1">BM403*(Loango_II!CA_NOC_WI)-(Loango_II!CA_NOC_CI_devex+Loango_II!CA_NOC_CI_expex)</f>
        <v>0</v>
      </c>
      <c r="BN456" s="49">
        <f ca="1">BN403*(Loango_II!CA_NOC_WI)-(Loango_II!CA_NOC_CI_devex+Loango_II!CA_NOC_CI_expex)</f>
        <v>0</v>
      </c>
      <c r="BO456" s="49">
        <f ca="1">BO403*(Loango_II!CA_NOC_WI)-(Loango_II!CA_NOC_CI_devex+Loango_II!CA_NOC_CI_expex)</f>
        <v>0</v>
      </c>
      <c r="BP456" s="49">
        <f ca="1">BP403*(Loango_II!CA_NOC_WI)-(Loango_II!CA_NOC_CI_devex+Loango_II!CA_NOC_CI_expex)</f>
        <v>0</v>
      </c>
      <c r="BQ456" s="49">
        <f ca="1">BQ403*(Loango_II!CA_NOC_WI)-(Loango_II!CA_NOC_CI_devex+Loango_II!CA_NOC_CI_expex)</f>
        <v>0</v>
      </c>
      <c r="BR456" s="49">
        <f ca="1">BR403*(Loango_II!CA_NOC_WI)-(Loango_II!CA_NOC_CI_devex+Loango_II!CA_NOC_CI_expex)</f>
        <v>0</v>
      </c>
      <c r="BS456" s="49">
        <f ca="1">BS403*(Loango_II!CA_NOC_WI)-(Loango_II!CA_NOC_CI_devex+Loango_II!CA_NOC_CI_expex)</f>
        <v>0</v>
      </c>
    </row>
    <row r="457" spans="3:71" outlineLevel="1" x14ac:dyDescent="0.2">
      <c r="J457" s="26"/>
      <c r="L457" s="55"/>
      <c r="M457" s="55"/>
      <c r="N457" s="55"/>
      <c r="O457" s="55"/>
      <c r="P457" s="55"/>
      <c r="Q457" s="55"/>
      <c r="R457" s="55"/>
      <c r="S457" s="55"/>
      <c r="T457" s="55"/>
      <c r="U457" s="55"/>
      <c r="V457" s="55"/>
      <c r="W457" s="55"/>
      <c r="X457" s="55"/>
      <c r="Y457" s="55"/>
      <c r="Z457" s="55"/>
      <c r="AA457" s="55"/>
      <c r="AB457" s="55"/>
      <c r="AC457" s="55"/>
      <c r="AD457" s="55"/>
      <c r="AE457" s="55"/>
      <c r="AF457" s="55"/>
      <c r="AG457" s="55"/>
      <c r="AH457" s="55"/>
      <c r="AI457" s="55"/>
      <c r="AJ457" s="55"/>
      <c r="AK457" s="55"/>
      <c r="AL457" s="55"/>
      <c r="AM457" s="55"/>
      <c r="AN457" s="55"/>
      <c r="AO457" s="55"/>
      <c r="AP457" s="55"/>
      <c r="AQ457" s="55"/>
      <c r="AR457" s="55"/>
      <c r="AS457" s="55"/>
      <c r="AT457" s="55"/>
      <c r="AU457" s="55"/>
      <c r="AV457" s="55"/>
      <c r="AW457" s="55"/>
      <c r="AX457" s="55"/>
      <c r="AY457" s="55"/>
      <c r="AZ457" s="55"/>
      <c r="BA457" s="55"/>
      <c r="BB457" s="55"/>
      <c r="BC457" s="55"/>
      <c r="BD457" s="55"/>
      <c r="BE457" s="55"/>
      <c r="BF457" s="55"/>
      <c r="BG457" s="55"/>
      <c r="BH457" s="55"/>
      <c r="BI457" s="55"/>
      <c r="BJ457" s="55"/>
      <c r="BK457" s="55"/>
      <c r="BL457" s="55"/>
      <c r="BM457" s="55"/>
      <c r="BN457" s="55"/>
      <c r="BO457" s="55"/>
      <c r="BP457" s="55"/>
      <c r="BQ457" s="55"/>
      <c r="BR457" s="55"/>
      <c r="BS457" s="55"/>
    </row>
    <row r="458" spans="3:71" outlineLevel="1" x14ac:dyDescent="0.2">
      <c r="C458" s="11" t="s">
        <v>264</v>
      </c>
      <c r="I458" s="30">
        <f t="shared" ca="1" si="110"/>
        <v>0</v>
      </c>
      <c r="J458" s="26" t="s">
        <v>148</v>
      </c>
      <c r="L458" s="49">
        <f ca="1">L405*Loango_II!CA_NOC_WI</f>
        <v>0</v>
      </c>
      <c r="M458" s="49">
        <f ca="1">M405*Loango_II!CA_NOC_WI</f>
        <v>0</v>
      </c>
      <c r="N458" s="49">
        <f ca="1">N405*Loango_II!CA_NOC_WI</f>
        <v>0</v>
      </c>
      <c r="O458" s="49">
        <f ca="1">O405*Loango_II!CA_NOC_WI</f>
        <v>0</v>
      </c>
      <c r="P458" s="49">
        <f ca="1">P405*Loango_II!CA_NOC_WI</f>
        <v>0</v>
      </c>
      <c r="Q458" s="49">
        <f ca="1">Q405*Loango_II!CA_NOC_WI</f>
        <v>0</v>
      </c>
      <c r="R458" s="49">
        <f ca="1">R405*Loango_II!CA_NOC_WI</f>
        <v>0</v>
      </c>
      <c r="S458" s="49">
        <f ca="1">S405*Loango_II!CA_NOC_WI</f>
        <v>0</v>
      </c>
      <c r="T458" s="49">
        <f ca="1">T405*Loango_II!CA_NOC_WI</f>
        <v>0</v>
      </c>
      <c r="U458" s="49">
        <f ca="1">U405*Loango_II!CA_NOC_WI</f>
        <v>0</v>
      </c>
      <c r="V458" s="49">
        <f ca="1">V405*Loango_II!CA_NOC_WI</f>
        <v>0</v>
      </c>
      <c r="W458" s="49">
        <f ca="1">W405*Loango_II!CA_NOC_WI</f>
        <v>0</v>
      </c>
      <c r="X458" s="49">
        <f ca="1">X405*Loango_II!CA_NOC_WI</f>
        <v>0</v>
      </c>
      <c r="Y458" s="49">
        <f ca="1">Y405*Loango_II!CA_NOC_WI</f>
        <v>0</v>
      </c>
      <c r="Z458" s="49">
        <f ca="1">Z405*Loango_II!CA_NOC_WI</f>
        <v>0</v>
      </c>
      <c r="AA458" s="49">
        <f ca="1">AA405*Loango_II!CA_NOC_WI</f>
        <v>0</v>
      </c>
      <c r="AB458" s="49">
        <f ca="1">AB405*Loango_II!CA_NOC_WI</f>
        <v>0</v>
      </c>
      <c r="AC458" s="49">
        <f ca="1">AC405*Loango_II!CA_NOC_WI</f>
        <v>0</v>
      </c>
      <c r="AD458" s="49">
        <f ca="1">AD405*Loango_II!CA_NOC_WI</f>
        <v>0</v>
      </c>
      <c r="AE458" s="49">
        <f ca="1">AE405*Loango_II!CA_NOC_WI</f>
        <v>0</v>
      </c>
      <c r="AF458" s="49">
        <f ca="1">AF405*Loango_II!CA_NOC_WI</f>
        <v>0</v>
      </c>
      <c r="AG458" s="49">
        <f ca="1">AG405*Loango_II!CA_NOC_WI</f>
        <v>0</v>
      </c>
      <c r="AH458" s="49">
        <f ca="1">AH405*Loango_II!CA_NOC_WI</f>
        <v>0</v>
      </c>
      <c r="AI458" s="49">
        <f ca="1">AI405*Loango_II!CA_NOC_WI</f>
        <v>0</v>
      </c>
      <c r="AJ458" s="49">
        <f ca="1">AJ405*Loango_II!CA_NOC_WI</f>
        <v>0</v>
      </c>
      <c r="AK458" s="49">
        <f ca="1">AK405*Loango_II!CA_NOC_WI</f>
        <v>0</v>
      </c>
      <c r="AL458" s="49">
        <f ca="1">AL405*Loango_II!CA_NOC_WI</f>
        <v>0</v>
      </c>
      <c r="AM458" s="49">
        <f ca="1">AM405*Loango_II!CA_NOC_WI</f>
        <v>0</v>
      </c>
      <c r="AN458" s="49">
        <f ca="1">AN405*Loango_II!CA_NOC_WI</f>
        <v>0</v>
      </c>
      <c r="AO458" s="49">
        <f ca="1">AO405*Loango_II!CA_NOC_WI</f>
        <v>0</v>
      </c>
      <c r="AP458" s="49">
        <f ca="1">AP405*Loango_II!CA_NOC_WI</f>
        <v>0</v>
      </c>
      <c r="AQ458" s="49">
        <f ca="1">AQ405*Loango_II!CA_NOC_WI</f>
        <v>0</v>
      </c>
      <c r="AR458" s="49">
        <f ca="1">AR405*Loango_II!CA_NOC_WI</f>
        <v>0</v>
      </c>
      <c r="AS458" s="49">
        <f ca="1">AS405*Loango_II!CA_NOC_WI</f>
        <v>0</v>
      </c>
      <c r="AT458" s="49">
        <f ca="1">AT405*Loango_II!CA_NOC_WI</f>
        <v>0</v>
      </c>
      <c r="AU458" s="49">
        <f ca="1">AU405*Loango_II!CA_NOC_WI</f>
        <v>0</v>
      </c>
      <c r="AV458" s="49">
        <f ca="1">AV405*Loango_II!CA_NOC_WI</f>
        <v>0</v>
      </c>
      <c r="AW458" s="49">
        <f ca="1">AW405*Loango_II!CA_NOC_WI</f>
        <v>0</v>
      </c>
      <c r="AX458" s="49">
        <f ca="1">AX405*Loango_II!CA_NOC_WI</f>
        <v>0</v>
      </c>
      <c r="AY458" s="49">
        <f ca="1">AY405*Loango_II!CA_NOC_WI</f>
        <v>0</v>
      </c>
      <c r="AZ458" s="49">
        <f ca="1">AZ405*Loango_II!CA_NOC_WI</f>
        <v>0</v>
      </c>
      <c r="BA458" s="49">
        <f ca="1">BA405*Loango_II!CA_NOC_WI</f>
        <v>0</v>
      </c>
      <c r="BB458" s="49">
        <f ca="1">BB405*Loango_II!CA_NOC_WI</f>
        <v>0</v>
      </c>
      <c r="BC458" s="49">
        <f ca="1">BC405*Loango_II!CA_NOC_WI</f>
        <v>0</v>
      </c>
      <c r="BD458" s="49">
        <f ca="1">BD405*Loango_II!CA_NOC_WI</f>
        <v>0</v>
      </c>
      <c r="BE458" s="49">
        <f ca="1">BE405*Loango_II!CA_NOC_WI</f>
        <v>0</v>
      </c>
      <c r="BF458" s="49">
        <f ca="1">BF405*Loango_II!CA_NOC_WI</f>
        <v>0</v>
      </c>
      <c r="BG458" s="49">
        <f ca="1">BG405*Loango_II!CA_NOC_WI</f>
        <v>0</v>
      </c>
      <c r="BH458" s="49">
        <f ca="1">BH405*Loango_II!CA_NOC_WI</f>
        <v>0</v>
      </c>
      <c r="BI458" s="49">
        <f ca="1">BI405*Loango_II!CA_NOC_WI</f>
        <v>0</v>
      </c>
      <c r="BJ458" s="49">
        <f ca="1">BJ405*Loango_II!CA_NOC_WI</f>
        <v>0</v>
      </c>
      <c r="BK458" s="49">
        <f ca="1">BK405*Loango_II!CA_NOC_WI</f>
        <v>0</v>
      </c>
      <c r="BL458" s="49">
        <f ca="1">BL405*Loango_II!CA_NOC_WI</f>
        <v>0</v>
      </c>
      <c r="BM458" s="49">
        <f ca="1">BM405*Loango_II!CA_NOC_WI</f>
        <v>0</v>
      </c>
      <c r="BN458" s="49">
        <f ca="1">BN405*Loango_II!CA_NOC_WI</f>
        <v>0</v>
      </c>
      <c r="BO458" s="49">
        <f ca="1">BO405*Loango_II!CA_NOC_WI</f>
        <v>0</v>
      </c>
      <c r="BP458" s="49">
        <f ca="1">BP405*Loango_II!CA_NOC_WI</f>
        <v>0</v>
      </c>
      <c r="BQ458" s="49">
        <f ca="1">BQ405*Loango_II!CA_NOC_WI</f>
        <v>0</v>
      </c>
      <c r="BR458" s="49">
        <f ca="1">BR405*Loango_II!CA_NOC_WI</f>
        <v>0</v>
      </c>
      <c r="BS458" s="49">
        <f ca="1">BS405*Loango_II!CA_NOC_WI</f>
        <v>0</v>
      </c>
    </row>
    <row r="459" spans="3:71" outlineLevel="1" x14ac:dyDescent="0.2">
      <c r="J459" s="26"/>
      <c r="L459" s="55"/>
      <c r="M459" s="55"/>
      <c r="N459" s="55"/>
      <c r="O459" s="55"/>
      <c r="P459" s="55"/>
      <c r="Q459" s="55"/>
      <c r="R459" s="55"/>
      <c r="S459" s="55"/>
      <c r="T459" s="55"/>
      <c r="U459" s="55"/>
      <c r="V459" s="55"/>
      <c r="W459" s="55"/>
      <c r="X459" s="55"/>
      <c r="Y459" s="55"/>
      <c r="Z459" s="55"/>
      <c r="AA459" s="55"/>
      <c r="AB459" s="55"/>
      <c r="AC459" s="55"/>
      <c r="AD459" s="55"/>
      <c r="AE459" s="55"/>
      <c r="AF459" s="55"/>
      <c r="AG459" s="55"/>
      <c r="AH459" s="55"/>
      <c r="AI459" s="55"/>
      <c r="AJ459" s="55"/>
      <c r="AK459" s="55"/>
      <c r="AL459" s="55"/>
      <c r="AM459" s="55"/>
      <c r="AN459" s="55"/>
      <c r="AO459" s="55"/>
      <c r="AP459" s="55"/>
      <c r="AQ459" s="55"/>
      <c r="AR459" s="55"/>
      <c r="AS459" s="55"/>
      <c r="AT459" s="55"/>
      <c r="AU459" s="55"/>
      <c r="AV459" s="55"/>
      <c r="AW459" s="55"/>
      <c r="AX459" s="55"/>
      <c r="AY459" s="55"/>
      <c r="AZ459" s="55"/>
      <c r="BA459" s="55"/>
      <c r="BB459" s="55"/>
      <c r="BC459" s="55"/>
      <c r="BD459" s="55"/>
      <c r="BE459" s="55"/>
      <c r="BF459" s="55"/>
      <c r="BG459" s="55"/>
      <c r="BH459" s="55"/>
      <c r="BI459" s="55"/>
      <c r="BJ459" s="55"/>
      <c r="BK459" s="55"/>
      <c r="BL459" s="55"/>
      <c r="BM459" s="55"/>
      <c r="BN459" s="55"/>
      <c r="BO459" s="55"/>
      <c r="BP459" s="55"/>
      <c r="BQ459" s="55"/>
      <c r="BR459" s="55"/>
      <c r="BS459" s="55"/>
    </row>
    <row r="460" spans="3:71" outlineLevel="1" x14ac:dyDescent="0.2">
      <c r="C460" s="11" t="s">
        <v>274</v>
      </c>
      <c r="I460" s="30">
        <f t="shared" ca="1" si="110"/>
        <v>0</v>
      </c>
      <c r="J460" s="26" t="s">
        <v>148</v>
      </c>
      <c r="L460" s="49">
        <f ca="1">L407*Loango_II!CA_NOC_WI</f>
        <v>0</v>
      </c>
      <c r="M460" s="49">
        <f ca="1">M407*Loango_II!CA_NOC_WI</f>
        <v>0</v>
      </c>
      <c r="N460" s="49">
        <f ca="1">N407*Loango_II!CA_NOC_WI</f>
        <v>0</v>
      </c>
      <c r="O460" s="49">
        <f ca="1">O407*Loango_II!CA_NOC_WI</f>
        <v>0</v>
      </c>
      <c r="P460" s="49">
        <f ca="1">P407*Loango_II!CA_NOC_WI</f>
        <v>0</v>
      </c>
      <c r="Q460" s="49">
        <f ca="1">Q407*Loango_II!CA_NOC_WI</f>
        <v>0</v>
      </c>
      <c r="R460" s="49">
        <f ca="1">R407*Loango_II!CA_NOC_WI</f>
        <v>0</v>
      </c>
      <c r="S460" s="49">
        <f ca="1">S407*Loango_II!CA_NOC_WI</f>
        <v>0</v>
      </c>
      <c r="T460" s="49">
        <f ca="1">T407*Loango_II!CA_NOC_WI</f>
        <v>0</v>
      </c>
      <c r="U460" s="49">
        <f ca="1">U407*Loango_II!CA_NOC_WI</f>
        <v>0</v>
      </c>
      <c r="V460" s="49">
        <f ca="1">V407*Loango_II!CA_NOC_WI</f>
        <v>0</v>
      </c>
      <c r="W460" s="49">
        <f ca="1">W407*Loango_II!CA_NOC_WI</f>
        <v>0</v>
      </c>
      <c r="X460" s="49">
        <f ca="1">X407*Loango_II!CA_NOC_WI</f>
        <v>0</v>
      </c>
      <c r="Y460" s="49">
        <f ca="1">Y407*Loango_II!CA_NOC_WI</f>
        <v>0</v>
      </c>
      <c r="Z460" s="49">
        <f ca="1">Z407*Loango_II!CA_NOC_WI</f>
        <v>0</v>
      </c>
      <c r="AA460" s="49">
        <f ca="1">AA407*Loango_II!CA_NOC_WI</f>
        <v>0</v>
      </c>
      <c r="AB460" s="49">
        <f ca="1">AB407*Loango_II!CA_NOC_WI</f>
        <v>0</v>
      </c>
      <c r="AC460" s="49">
        <f ca="1">AC407*Loango_II!CA_NOC_WI</f>
        <v>0</v>
      </c>
      <c r="AD460" s="49">
        <f ca="1">AD407*Loango_II!CA_NOC_WI</f>
        <v>0</v>
      </c>
      <c r="AE460" s="49">
        <f ca="1">AE407*Loango_II!CA_NOC_WI</f>
        <v>0</v>
      </c>
      <c r="AF460" s="49">
        <f ca="1">AF407*Loango_II!CA_NOC_WI</f>
        <v>0</v>
      </c>
      <c r="AG460" s="49">
        <f ca="1">AG407*Loango_II!CA_NOC_WI</f>
        <v>0</v>
      </c>
      <c r="AH460" s="49">
        <f ca="1">AH407*Loango_II!CA_NOC_WI</f>
        <v>0</v>
      </c>
      <c r="AI460" s="49">
        <f ca="1">AI407*Loango_II!CA_NOC_WI</f>
        <v>0</v>
      </c>
      <c r="AJ460" s="49">
        <f ca="1">AJ407*Loango_II!CA_NOC_WI</f>
        <v>0</v>
      </c>
      <c r="AK460" s="49">
        <f ca="1">AK407*Loango_II!CA_NOC_WI</f>
        <v>0</v>
      </c>
      <c r="AL460" s="49">
        <f ca="1">AL407*Loango_II!CA_NOC_WI</f>
        <v>0</v>
      </c>
      <c r="AM460" s="49">
        <f ca="1">AM407*Loango_II!CA_NOC_WI</f>
        <v>0</v>
      </c>
      <c r="AN460" s="49">
        <f ca="1">AN407*Loango_II!CA_NOC_WI</f>
        <v>0</v>
      </c>
      <c r="AO460" s="49">
        <f ca="1">AO407*Loango_II!CA_NOC_WI</f>
        <v>0</v>
      </c>
      <c r="AP460" s="49">
        <f ca="1">AP407*Loango_II!CA_NOC_WI</f>
        <v>0</v>
      </c>
      <c r="AQ460" s="49">
        <f ca="1">AQ407*Loango_II!CA_NOC_WI</f>
        <v>0</v>
      </c>
      <c r="AR460" s="49">
        <f ca="1">AR407*Loango_II!CA_NOC_WI</f>
        <v>0</v>
      </c>
      <c r="AS460" s="49">
        <f ca="1">AS407*Loango_II!CA_NOC_WI</f>
        <v>0</v>
      </c>
      <c r="AT460" s="49">
        <f ca="1">AT407*Loango_II!CA_NOC_WI</f>
        <v>0</v>
      </c>
      <c r="AU460" s="49">
        <f ca="1">AU407*Loango_II!CA_NOC_WI</f>
        <v>0</v>
      </c>
      <c r="AV460" s="49">
        <f ca="1">AV407*Loango_II!CA_NOC_WI</f>
        <v>0</v>
      </c>
      <c r="AW460" s="49">
        <f ca="1">AW407*Loango_II!CA_NOC_WI</f>
        <v>0</v>
      </c>
      <c r="AX460" s="49">
        <f ca="1">AX407*Loango_II!CA_NOC_WI</f>
        <v>0</v>
      </c>
      <c r="AY460" s="49">
        <f ca="1">AY407*Loango_II!CA_NOC_WI</f>
        <v>0</v>
      </c>
      <c r="AZ460" s="49">
        <f ca="1">AZ407*Loango_II!CA_NOC_WI</f>
        <v>0</v>
      </c>
      <c r="BA460" s="49">
        <f ca="1">BA407*Loango_II!CA_NOC_WI</f>
        <v>0</v>
      </c>
      <c r="BB460" s="49">
        <f ca="1">BB407*Loango_II!CA_NOC_WI</f>
        <v>0</v>
      </c>
      <c r="BC460" s="49">
        <f ca="1">BC407*Loango_II!CA_NOC_WI</f>
        <v>0</v>
      </c>
      <c r="BD460" s="49">
        <f ca="1">BD407*Loango_II!CA_NOC_WI</f>
        <v>0</v>
      </c>
      <c r="BE460" s="49">
        <f ca="1">BE407*Loango_II!CA_NOC_WI</f>
        <v>0</v>
      </c>
      <c r="BF460" s="49">
        <f ca="1">BF407*Loango_II!CA_NOC_WI</f>
        <v>0</v>
      </c>
      <c r="BG460" s="49">
        <f ca="1">BG407*Loango_II!CA_NOC_WI</f>
        <v>0</v>
      </c>
      <c r="BH460" s="49">
        <f ca="1">BH407*Loango_II!CA_NOC_WI</f>
        <v>0</v>
      </c>
      <c r="BI460" s="49">
        <f ca="1">BI407*Loango_II!CA_NOC_WI</f>
        <v>0</v>
      </c>
      <c r="BJ460" s="49">
        <f ca="1">BJ407*Loango_II!CA_NOC_WI</f>
        <v>0</v>
      </c>
      <c r="BK460" s="49">
        <f ca="1">BK407*Loango_II!CA_NOC_WI</f>
        <v>0</v>
      </c>
      <c r="BL460" s="49">
        <f ca="1">BL407*Loango_II!CA_NOC_WI</f>
        <v>0</v>
      </c>
      <c r="BM460" s="49">
        <f ca="1">BM407*Loango_II!CA_NOC_WI</f>
        <v>0</v>
      </c>
      <c r="BN460" s="49">
        <f ca="1">BN407*Loango_II!CA_NOC_WI</f>
        <v>0</v>
      </c>
      <c r="BO460" s="49">
        <f ca="1">BO407*Loango_II!CA_NOC_WI</f>
        <v>0</v>
      </c>
      <c r="BP460" s="49">
        <f ca="1">BP407*Loango_II!CA_NOC_WI</f>
        <v>0</v>
      </c>
      <c r="BQ460" s="49">
        <f ca="1">BQ407*Loango_II!CA_NOC_WI</f>
        <v>0</v>
      </c>
      <c r="BR460" s="49">
        <f ca="1">BR407*Loango_II!CA_NOC_WI</f>
        <v>0</v>
      </c>
      <c r="BS460" s="49">
        <f ca="1">BS407*Loango_II!CA_NOC_WI</f>
        <v>0</v>
      </c>
    </row>
    <row r="461" spans="3:71" outlineLevel="1" x14ac:dyDescent="0.2">
      <c r="J461" s="26"/>
      <c r="L461" s="55"/>
      <c r="M461" s="55"/>
      <c r="N461" s="55"/>
      <c r="O461" s="55"/>
      <c r="P461" s="55"/>
      <c r="Q461" s="55"/>
      <c r="R461" s="55"/>
      <c r="S461" s="55"/>
      <c r="T461" s="55"/>
      <c r="U461" s="55"/>
      <c r="V461" s="55"/>
      <c r="W461" s="55"/>
      <c r="X461" s="55"/>
      <c r="Y461" s="55"/>
      <c r="Z461" s="55"/>
      <c r="AA461" s="55"/>
      <c r="AB461" s="55"/>
      <c r="AC461" s="55"/>
      <c r="AD461" s="55"/>
      <c r="AE461" s="55"/>
      <c r="AF461" s="55"/>
      <c r="AG461" s="55"/>
      <c r="AH461" s="55"/>
      <c r="AI461" s="55"/>
      <c r="AJ461" s="55"/>
      <c r="AK461" s="55"/>
      <c r="AL461" s="55"/>
      <c r="AM461" s="55"/>
      <c r="AN461" s="55"/>
      <c r="AO461" s="55"/>
      <c r="AP461" s="55"/>
      <c r="AQ461" s="55"/>
      <c r="AR461" s="55"/>
      <c r="AS461" s="55"/>
      <c r="AT461" s="55"/>
      <c r="AU461" s="55"/>
      <c r="AV461" s="55"/>
      <c r="AW461" s="55"/>
      <c r="AX461" s="55"/>
      <c r="AY461" s="55"/>
      <c r="AZ461" s="55"/>
      <c r="BA461" s="55"/>
      <c r="BB461" s="55"/>
      <c r="BC461" s="55"/>
      <c r="BD461" s="55"/>
      <c r="BE461" s="55"/>
      <c r="BF461" s="55"/>
      <c r="BG461" s="55"/>
      <c r="BH461" s="55"/>
      <c r="BI461" s="55"/>
      <c r="BJ461" s="55"/>
      <c r="BK461" s="55"/>
      <c r="BL461" s="55"/>
      <c r="BM461" s="55"/>
      <c r="BN461" s="55"/>
      <c r="BO461" s="55"/>
      <c r="BP461" s="55"/>
      <c r="BQ461" s="55"/>
      <c r="BR461" s="55"/>
      <c r="BS461" s="55"/>
    </row>
    <row r="462" spans="3:71" outlineLevel="1" x14ac:dyDescent="0.2">
      <c r="C462" s="11" t="s">
        <v>275</v>
      </c>
      <c r="I462" s="30">
        <f t="shared" ca="1" si="110"/>
        <v>0</v>
      </c>
      <c r="J462" s="26" t="s">
        <v>148</v>
      </c>
      <c r="L462" s="49">
        <f ca="1">L409*Loango_II!CA_NOC_WI</f>
        <v>0</v>
      </c>
      <c r="M462" s="49">
        <f ca="1">M409*Loango_II!CA_NOC_WI</f>
        <v>0</v>
      </c>
      <c r="N462" s="49">
        <f ca="1">N409*Loango_II!CA_NOC_WI</f>
        <v>0</v>
      </c>
      <c r="O462" s="49">
        <f ca="1">O409*Loango_II!CA_NOC_WI</f>
        <v>0</v>
      </c>
      <c r="P462" s="49">
        <f ca="1">P409*Loango_II!CA_NOC_WI</f>
        <v>0</v>
      </c>
      <c r="Q462" s="49">
        <f ca="1">Q409*Loango_II!CA_NOC_WI</f>
        <v>0</v>
      </c>
      <c r="R462" s="49">
        <f ca="1">R409*Loango_II!CA_NOC_WI</f>
        <v>0</v>
      </c>
      <c r="S462" s="49">
        <f ca="1">S409*Loango_II!CA_NOC_WI</f>
        <v>0</v>
      </c>
      <c r="T462" s="49">
        <f ca="1">T409*Loango_II!CA_NOC_WI</f>
        <v>0</v>
      </c>
      <c r="U462" s="49">
        <f ca="1">U409*Loango_II!CA_NOC_WI</f>
        <v>0</v>
      </c>
      <c r="V462" s="49">
        <f ca="1">V409*Loango_II!CA_NOC_WI</f>
        <v>0</v>
      </c>
      <c r="W462" s="49">
        <f ca="1">W409*Loango_II!CA_NOC_WI</f>
        <v>0</v>
      </c>
      <c r="X462" s="49">
        <f ca="1">X409*Loango_II!CA_NOC_WI</f>
        <v>0</v>
      </c>
      <c r="Y462" s="49">
        <f ca="1">Y409*Loango_II!CA_NOC_WI</f>
        <v>0</v>
      </c>
      <c r="Z462" s="49">
        <f ca="1">Z409*Loango_II!CA_NOC_WI</f>
        <v>0</v>
      </c>
      <c r="AA462" s="49">
        <f ca="1">AA409*Loango_II!CA_NOC_WI</f>
        <v>0</v>
      </c>
      <c r="AB462" s="49">
        <f ca="1">AB409*Loango_II!CA_NOC_WI</f>
        <v>0</v>
      </c>
      <c r="AC462" s="49">
        <f ca="1">AC409*Loango_II!CA_NOC_WI</f>
        <v>0</v>
      </c>
      <c r="AD462" s="49">
        <f ca="1">AD409*Loango_II!CA_NOC_WI</f>
        <v>0</v>
      </c>
      <c r="AE462" s="49">
        <f ca="1">AE409*Loango_II!CA_NOC_WI</f>
        <v>0</v>
      </c>
      <c r="AF462" s="49">
        <f ca="1">AF409*Loango_II!CA_NOC_WI</f>
        <v>0</v>
      </c>
      <c r="AG462" s="49">
        <f ca="1">AG409*Loango_II!CA_NOC_WI</f>
        <v>0</v>
      </c>
      <c r="AH462" s="49">
        <f ca="1">AH409*Loango_II!CA_NOC_WI</f>
        <v>0</v>
      </c>
      <c r="AI462" s="49">
        <f ca="1">AI409*Loango_II!CA_NOC_WI</f>
        <v>0</v>
      </c>
      <c r="AJ462" s="49">
        <f ca="1">AJ409*Loango_II!CA_NOC_WI</f>
        <v>0</v>
      </c>
      <c r="AK462" s="49">
        <f ca="1">AK409*Loango_II!CA_NOC_WI</f>
        <v>0</v>
      </c>
      <c r="AL462" s="49">
        <f ca="1">AL409*Loango_II!CA_NOC_WI</f>
        <v>0</v>
      </c>
      <c r="AM462" s="49">
        <f ca="1">AM409*Loango_II!CA_NOC_WI</f>
        <v>0</v>
      </c>
      <c r="AN462" s="49">
        <f ca="1">AN409*Loango_II!CA_NOC_WI</f>
        <v>0</v>
      </c>
      <c r="AO462" s="49">
        <f ca="1">AO409*Loango_II!CA_NOC_WI</f>
        <v>0</v>
      </c>
      <c r="AP462" s="49">
        <f ca="1">AP409*Loango_II!CA_NOC_WI</f>
        <v>0</v>
      </c>
      <c r="AQ462" s="49">
        <f ca="1">AQ409*Loango_II!CA_NOC_WI</f>
        <v>0</v>
      </c>
      <c r="AR462" s="49">
        <f ca="1">AR409*Loango_II!CA_NOC_WI</f>
        <v>0</v>
      </c>
      <c r="AS462" s="49">
        <f ca="1">AS409*Loango_II!CA_NOC_WI</f>
        <v>0</v>
      </c>
      <c r="AT462" s="49">
        <f ca="1">AT409*Loango_II!CA_NOC_WI</f>
        <v>0</v>
      </c>
      <c r="AU462" s="49">
        <f ca="1">AU409*Loango_II!CA_NOC_WI</f>
        <v>0</v>
      </c>
      <c r="AV462" s="49">
        <f ca="1">AV409*Loango_II!CA_NOC_WI</f>
        <v>0</v>
      </c>
      <c r="AW462" s="49">
        <f ca="1">AW409*Loango_II!CA_NOC_WI</f>
        <v>0</v>
      </c>
      <c r="AX462" s="49">
        <f ca="1">AX409*Loango_II!CA_NOC_WI</f>
        <v>0</v>
      </c>
      <c r="AY462" s="49">
        <f ca="1">AY409*Loango_II!CA_NOC_WI</f>
        <v>0</v>
      </c>
      <c r="AZ462" s="49">
        <f ca="1">AZ409*Loango_II!CA_NOC_WI</f>
        <v>0</v>
      </c>
      <c r="BA462" s="49">
        <f ca="1">BA409*Loango_II!CA_NOC_WI</f>
        <v>0</v>
      </c>
      <c r="BB462" s="49">
        <f ca="1">BB409*Loango_II!CA_NOC_WI</f>
        <v>0</v>
      </c>
      <c r="BC462" s="49">
        <f ca="1">BC409*Loango_II!CA_NOC_WI</f>
        <v>0</v>
      </c>
      <c r="BD462" s="49">
        <f ca="1">BD409*Loango_II!CA_NOC_WI</f>
        <v>0</v>
      </c>
      <c r="BE462" s="49">
        <f ca="1">BE409*Loango_II!CA_NOC_WI</f>
        <v>0</v>
      </c>
      <c r="BF462" s="49">
        <f ca="1">BF409*Loango_II!CA_NOC_WI</f>
        <v>0</v>
      </c>
      <c r="BG462" s="49">
        <f ca="1">BG409*Loango_II!CA_NOC_WI</f>
        <v>0</v>
      </c>
      <c r="BH462" s="49">
        <f ca="1">BH409*Loango_II!CA_NOC_WI</f>
        <v>0</v>
      </c>
      <c r="BI462" s="49">
        <f ca="1">BI409*Loango_II!CA_NOC_WI</f>
        <v>0</v>
      </c>
      <c r="BJ462" s="49">
        <f ca="1">BJ409*Loango_II!CA_NOC_WI</f>
        <v>0</v>
      </c>
      <c r="BK462" s="49">
        <f ca="1">BK409*Loango_II!CA_NOC_WI</f>
        <v>0</v>
      </c>
      <c r="BL462" s="49">
        <f ca="1">BL409*Loango_II!CA_NOC_WI</f>
        <v>0</v>
      </c>
      <c r="BM462" s="49">
        <f ca="1">BM409*Loango_II!CA_NOC_WI</f>
        <v>0</v>
      </c>
      <c r="BN462" s="49">
        <f ca="1">BN409*Loango_II!CA_NOC_WI</f>
        <v>0</v>
      </c>
      <c r="BO462" s="49">
        <f ca="1">BO409*Loango_II!CA_NOC_WI</f>
        <v>0</v>
      </c>
      <c r="BP462" s="49">
        <f ca="1">BP409*Loango_II!CA_NOC_WI</f>
        <v>0</v>
      </c>
      <c r="BQ462" s="49">
        <f ca="1">BQ409*Loango_II!CA_NOC_WI</f>
        <v>0</v>
      </c>
      <c r="BR462" s="49">
        <f ca="1">BR409*Loango_II!CA_NOC_WI</f>
        <v>0</v>
      </c>
      <c r="BS462" s="49">
        <f ca="1">BS409*Loango_II!CA_NOC_WI</f>
        <v>0</v>
      </c>
    </row>
    <row r="463" spans="3:71" outlineLevel="1" x14ac:dyDescent="0.2">
      <c r="J463" s="26"/>
      <c r="L463" s="55"/>
      <c r="M463" s="55"/>
      <c r="N463" s="55"/>
      <c r="O463" s="55"/>
      <c r="P463" s="55"/>
      <c r="Q463" s="55"/>
      <c r="R463" s="55"/>
      <c r="S463" s="55"/>
      <c r="T463" s="55"/>
      <c r="U463" s="55"/>
      <c r="V463" s="55"/>
      <c r="W463" s="55"/>
      <c r="X463" s="55"/>
      <c r="Y463" s="55"/>
      <c r="Z463" s="55"/>
      <c r="AA463" s="55"/>
      <c r="AB463" s="55"/>
      <c r="AC463" s="55"/>
      <c r="AD463" s="55"/>
      <c r="AE463" s="55"/>
      <c r="AF463" s="55"/>
      <c r="AG463" s="55"/>
      <c r="AH463" s="55"/>
      <c r="AI463" s="55"/>
      <c r="AJ463" s="55"/>
      <c r="AK463" s="55"/>
      <c r="AL463" s="55"/>
      <c r="AM463" s="55"/>
      <c r="AN463" s="55"/>
      <c r="AO463" s="55"/>
      <c r="AP463" s="55"/>
      <c r="AQ463" s="55"/>
      <c r="AR463" s="55"/>
      <c r="AS463" s="55"/>
      <c r="AT463" s="55"/>
      <c r="AU463" s="55"/>
      <c r="AV463" s="55"/>
      <c r="AW463" s="55"/>
      <c r="AX463" s="55"/>
      <c r="AY463" s="55"/>
      <c r="AZ463" s="55"/>
      <c r="BA463" s="55"/>
      <c r="BB463" s="55"/>
      <c r="BC463" s="55"/>
      <c r="BD463" s="55"/>
      <c r="BE463" s="55"/>
      <c r="BF463" s="55"/>
      <c r="BG463" s="55"/>
      <c r="BH463" s="55"/>
      <c r="BI463" s="55"/>
      <c r="BJ463" s="55"/>
      <c r="BK463" s="55"/>
      <c r="BL463" s="55"/>
      <c r="BM463" s="55"/>
      <c r="BN463" s="55"/>
      <c r="BO463" s="55"/>
      <c r="BP463" s="55"/>
      <c r="BQ463" s="55"/>
      <c r="BR463" s="55"/>
      <c r="BS463" s="55"/>
    </row>
    <row r="464" spans="3:71" outlineLevel="1" x14ac:dyDescent="0.2">
      <c r="C464" s="11" t="s">
        <v>276</v>
      </c>
      <c r="F464" s="64" t="b">
        <f ca="1">ROUND(I464+I430-I411,2)=0</f>
        <v>1</v>
      </c>
      <c r="H464" s="7" t="s">
        <v>540</v>
      </c>
      <c r="I464" s="30">
        <f t="shared" ca="1" si="110"/>
        <v>-190.65041825343098</v>
      </c>
      <c r="J464" s="26" t="s">
        <v>148</v>
      </c>
      <c r="K464" s="7" t="s">
        <v>400</v>
      </c>
      <c r="L464" s="49">
        <f ca="1">L448-L450-L452-L454-L456-L458-L460-L462</f>
        <v>-3.1788537114331539</v>
      </c>
      <c r="M464" s="49">
        <f t="shared" ref="M464:BS464" ca="1" si="111">M448-M450-M452-M454-M456-M458-M460-M462</f>
        <v>-6.7554699954036224</v>
      </c>
      <c r="N464" s="49">
        <f t="shared" ca="1" si="111"/>
        <v>-8.9969569308564488</v>
      </c>
      <c r="O464" s="49">
        <f t="shared" ca="1" si="111"/>
        <v>-19.771581653156069</v>
      </c>
      <c r="P464" s="49">
        <f t="shared" ca="1" si="111"/>
        <v>-41.704492816310733</v>
      </c>
      <c r="Q464" s="49">
        <f t="shared" ca="1" si="111"/>
        <v>-0.57539966303525691</v>
      </c>
      <c r="R464" s="49">
        <f t="shared" ca="1" si="111"/>
        <v>-11.775497856863439</v>
      </c>
      <c r="S464" s="49">
        <f t="shared" ca="1" si="111"/>
        <v>-18.586067152479401</v>
      </c>
      <c r="T464" s="49">
        <f t="shared" ca="1" si="111"/>
        <v>-13.833535879036832</v>
      </c>
      <c r="U464" s="49">
        <f t="shared" ca="1" si="111"/>
        <v>-14.17941946196996</v>
      </c>
      <c r="V464" s="49">
        <f t="shared" ca="1" si="111"/>
        <v>-15.202838981624708</v>
      </c>
      <c r="W464" s="49">
        <f t="shared" ca="1" si="111"/>
        <v>-17.591943415480564</v>
      </c>
      <c r="X464" s="49">
        <f t="shared" ca="1" si="111"/>
        <v>-18.498360735780807</v>
      </c>
      <c r="Y464" s="49">
        <f t="shared" ca="1" si="111"/>
        <v>0</v>
      </c>
      <c r="Z464" s="49">
        <f t="shared" ca="1" si="111"/>
        <v>0</v>
      </c>
      <c r="AA464" s="49">
        <f t="shared" ca="1" si="111"/>
        <v>0</v>
      </c>
      <c r="AB464" s="49">
        <f t="shared" ca="1" si="111"/>
        <v>0</v>
      </c>
      <c r="AC464" s="49">
        <f t="shared" ca="1" si="111"/>
        <v>0</v>
      </c>
      <c r="AD464" s="49">
        <f t="shared" ca="1" si="111"/>
        <v>0</v>
      </c>
      <c r="AE464" s="49">
        <f t="shared" ca="1" si="111"/>
        <v>0</v>
      </c>
      <c r="AF464" s="49">
        <f t="shared" ca="1" si="111"/>
        <v>0</v>
      </c>
      <c r="AG464" s="49">
        <f t="shared" ca="1" si="111"/>
        <v>0</v>
      </c>
      <c r="AH464" s="49">
        <f t="shared" ca="1" si="111"/>
        <v>0</v>
      </c>
      <c r="AI464" s="49">
        <f t="shared" ca="1" si="111"/>
        <v>0</v>
      </c>
      <c r="AJ464" s="49">
        <f t="shared" ca="1" si="111"/>
        <v>0</v>
      </c>
      <c r="AK464" s="49">
        <f t="shared" ca="1" si="111"/>
        <v>0</v>
      </c>
      <c r="AL464" s="49">
        <f t="shared" ca="1" si="111"/>
        <v>0</v>
      </c>
      <c r="AM464" s="49">
        <f t="shared" ca="1" si="111"/>
        <v>0</v>
      </c>
      <c r="AN464" s="49">
        <f t="shared" ca="1" si="111"/>
        <v>0</v>
      </c>
      <c r="AO464" s="49">
        <f t="shared" ca="1" si="111"/>
        <v>0</v>
      </c>
      <c r="AP464" s="49">
        <f t="shared" ca="1" si="111"/>
        <v>0</v>
      </c>
      <c r="AQ464" s="49">
        <f t="shared" ca="1" si="111"/>
        <v>0</v>
      </c>
      <c r="AR464" s="49">
        <f t="shared" ca="1" si="111"/>
        <v>0</v>
      </c>
      <c r="AS464" s="49">
        <f t="shared" ca="1" si="111"/>
        <v>0</v>
      </c>
      <c r="AT464" s="49">
        <f t="shared" ca="1" si="111"/>
        <v>0</v>
      </c>
      <c r="AU464" s="49">
        <f t="shared" ca="1" si="111"/>
        <v>0</v>
      </c>
      <c r="AV464" s="49">
        <f t="shared" ca="1" si="111"/>
        <v>0</v>
      </c>
      <c r="AW464" s="49">
        <f t="shared" ca="1" si="111"/>
        <v>0</v>
      </c>
      <c r="AX464" s="49">
        <f t="shared" ca="1" si="111"/>
        <v>0</v>
      </c>
      <c r="AY464" s="49">
        <f t="shared" ca="1" si="111"/>
        <v>0</v>
      </c>
      <c r="AZ464" s="49">
        <f t="shared" ca="1" si="111"/>
        <v>0</v>
      </c>
      <c r="BA464" s="49">
        <f t="shared" ca="1" si="111"/>
        <v>0</v>
      </c>
      <c r="BB464" s="49">
        <f t="shared" ca="1" si="111"/>
        <v>0</v>
      </c>
      <c r="BC464" s="49">
        <f t="shared" ca="1" si="111"/>
        <v>0</v>
      </c>
      <c r="BD464" s="49">
        <f t="shared" ca="1" si="111"/>
        <v>0</v>
      </c>
      <c r="BE464" s="49">
        <f t="shared" ca="1" si="111"/>
        <v>0</v>
      </c>
      <c r="BF464" s="49">
        <f t="shared" ca="1" si="111"/>
        <v>0</v>
      </c>
      <c r="BG464" s="49">
        <f t="shared" ca="1" si="111"/>
        <v>0</v>
      </c>
      <c r="BH464" s="49">
        <f t="shared" ca="1" si="111"/>
        <v>0</v>
      </c>
      <c r="BI464" s="49">
        <f t="shared" ca="1" si="111"/>
        <v>0</v>
      </c>
      <c r="BJ464" s="49">
        <f t="shared" ca="1" si="111"/>
        <v>0</v>
      </c>
      <c r="BK464" s="49">
        <f t="shared" ca="1" si="111"/>
        <v>0</v>
      </c>
      <c r="BL464" s="49">
        <f t="shared" ca="1" si="111"/>
        <v>0</v>
      </c>
      <c r="BM464" s="49">
        <f t="shared" ca="1" si="111"/>
        <v>0</v>
      </c>
      <c r="BN464" s="49">
        <f t="shared" ca="1" si="111"/>
        <v>0</v>
      </c>
      <c r="BO464" s="49">
        <f t="shared" ca="1" si="111"/>
        <v>0</v>
      </c>
      <c r="BP464" s="49">
        <f t="shared" ca="1" si="111"/>
        <v>0</v>
      </c>
      <c r="BQ464" s="49">
        <f t="shared" ca="1" si="111"/>
        <v>0</v>
      </c>
      <c r="BR464" s="49">
        <f t="shared" ca="1" si="111"/>
        <v>0</v>
      </c>
      <c r="BS464" s="49">
        <f t="shared" ca="1" si="111"/>
        <v>0</v>
      </c>
    </row>
    <row r="465" spans="1:71" outlineLevel="1" x14ac:dyDescent="0.2">
      <c r="J465" s="26"/>
      <c r="L465" s="55"/>
      <c r="M465" s="55"/>
      <c r="N465" s="55"/>
      <c r="O465" s="55"/>
      <c r="P465" s="55"/>
      <c r="Q465" s="55"/>
      <c r="R465" s="55"/>
      <c r="S465" s="55"/>
      <c r="T465" s="55"/>
      <c r="U465" s="55"/>
      <c r="V465" s="55"/>
      <c r="W465" s="55"/>
      <c r="X465" s="55"/>
      <c r="Y465" s="55"/>
      <c r="Z465" s="55"/>
      <c r="AA465" s="55"/>
      <c r="AB465" s="55"/>
      <c r="AC465" s="55"/>
      <c r="AD465" s="55"/>
      <c r="AE465" s="55"/>
      <c r="AF465" s="55"/>
      <c r="AG465" s="55"/>
      <c r="AH465" s="55"/>
      <c r="AI465" s="55"/>
      <c r="AJ465" s="55"/>
      <c r="AK465" s="55"/>
      <c r="AL465" s="55"/>
      <c r="AM465" s="55"/>
      <c r="AN465" s="55"/>
      <c r="AO465" s="55"/>
      <c r="AP465" s="55"/>
      <c r="AQ465" s="55"/>
      <c r="AR465" s="55"/>
      <c r="AS465" s="55"/>
      <c r="AT465" s="55"/>
      <c r="AU465" s="55"/>
      <c r="AV465" s="55"/>
      <c r="AW465" s="55"/>
      <c r="AX465" s="55"/>
      <c r="AY465" s="55"/>
      <c r="AZ465" s="55"/>
      <c r="BA465" s="55"/>
      <c r="BB465" s="55"/>
      <c r="BC465" s="55"/>
      <c r="BD465" s="55"/>
      <c r="BE465" s="55"/>
      <c r="BF465" s="55"/>
      <c r="BG465" s="55"/>
      <c r="BH465" s="55"/>
      <c r="BI465" s="55"/>
      <c r="BJ465" s="55"/>
      <c r="BK465" s="55"/>
      <c r="BL465" s="55"/>
      <c r="BM465" s="55"/>
      <c r="BN465" s="55"/>
      <c r="BO465" s="55"/>
      <c r="BP465" s="55"/>
      <c r="BQ465" s="55"/>
      <c r="BR465" s="55"/>
      <c r="BS465" s="55"/>
    </row>
    <row r="466" spans="1:71" outlineLevel="1" x14ac:dyDescent="0.2">
      <c r="C466" s="11" t="s">
        <v>303</v>
      </c>
      <c r="J466" s="26"/>
      <c r="L466" s="66">
        <f t="shared" ref="L466:BS466" ca="1" si="112">(K466+L464)*CA_op_trig</f>
        <v>-3.1788537114331539</v>
      </c>
      <c r="M466" s="66">
        <f t="shared" ca="1" si="112"/>
        <v>-9.9343237068367767</v>
      </c>
      <c r="N466" s="66">
        <f t="shared" ca="1" si="112"/>
        <v>-18.931280637693227</v>
      </c>
      <c r="O466" s="66">
        <f t="shared" ca="1" si="112"/>
        <v>-38.702862290849296</v>
      </c>
      <c r="P466" s="66">
        <f t="shared" ca="1" si="112"/>
        <v>-80.407355107160029</v>
      </c>
      <c r="Q466" s="66">
        <f t="shared" ca="1" si="112"/>
        <v>-80.982754770195285</v>
      </c>
      <c r="R466" s="66">
        <f t="shared" ca="1" si="112"/>
        <v>-92.758252627058724</v>
      </c>
      <c r="S466" s="66">
        <f t="shared" ca="1" si="112"/>
        <v>-111.34431977953813</v>
      </c>
      <c r="T466" s="66">
        <f t="shared" ca="1" si="112"/>
        <v>-125.17785565857496</v>
      </c>
      <c r="U466" s="66">
        <f t="shared" ca="1" si="112"/>
        <v>-139.35727512054493</v>
      </c>
      <c r="V466" s="66">
        <f t="shared" ca="1" si="112"/>
        <v>-154.56011410216962</v>
      </c>
      <c r="W466" s="66">
        <f t="shared" ca="1" si="112"/>
        <v>-172.15205751765018</v>
      </c>
      <c r="X466" s="66">
        <f t="shared" ca="1" si="112"/>
        <v>-190.65041825343098</v>
      </c>
      <c r="Y466" s="66">
        <f t="shared" ca="1" si="112"/>
        <v>0</v>
      </c>
      <c r="Z466" s="66">
        <f t="shared" ca="1" si="112"/>
        <v>0</v>
      </c>
      <c r="AA466" s="66">
        <f t="shared" ca="1" si="112"/>
        <v>0</v>
      </c>
      <c r="AB466" s="66">
        <f t="shared" ca="1" si="112"/>
        <v>0</v>
      </c>
      <c r="AC466" s="66">
        <f t="shared" ca="1" si="112"/>
        <v>0</v>
      </c>
      <c r="AD466" s="66">
        <f t="shared" ca="1" si="112"/>
        <v>0</v>
      </c>
      <c r="AE466" s="66">
        <f t="shared" ca="1" si="112"/>
        <v>0</v>
      </c>
      <c r="AF466" s="66">
        <f t="shared" ca="1" si="112"/>
        <v>0</v>
      </c>
      <c r="AG466" s="66">
        <f t="shared" ca="1" si="112"/>
        <v>0</v>
      </c>
      <c r="AH466" s="66">
        <f t="shared" ca="1" si="112"/>
        <v>0</v>
      </c>
      <c r="AI466" s="66">
        <f t="shared" ca="1" si="112"/>
        <v>0</v>
      </c>
      <c r="AJ466" s="66">
        <f t="shared" ca="1" si="112"/>
        <v>0</v>
      </c>
      <c r="AK466" s="66">
        <f t="shared" ca="1" si="112"/>
        <v>0</v>
      </c>
      <c r="AL466" s="66">
        <f t="shared" ca="1" si="112"/>
        <v>0</v>
      </c>
      <c r="AM466" s="66">
        <f t="shared" ca="1" si="112"/>
        <v>0</v>
      </c>
      <c r="AN466" s="66">
        <f t="shared" ca="1" si="112"/>
        <v>0</v>
      </c>
      <c r="AO466" s="66">
        <f t="shared" ca="1" si="112"/>
        <v>0</v>
      </c>
      <c r="AP466" s="66">
        <f t="shared" ca="1" si="112"/>
        <v>0</v>
      </c>
      <c r="AQ466" s="66">
        <f t="shared" ca="1" si="112"/>
        <v>0</v>
      </c>
      <c r="AR466" s="66">
        <f t="shared" ca="1" si="112"/>
        <v>0</v>
      </c>
      <c r="AS466" s="66">
        <f t="shared" ca="1" si="112"/>
        <v>0</v>
      </c>
      <c r="AT466" s="66">
        <f t="shared" ca="1" si="112"/>
        <v>0</v>
      </c>
      <c r="AU466" s="66">
        <f t="shared" ca="1" si="112"/>
        <v>0</v>
      </c>
      <c r="AV466" s="66">
        <f t="shared" ca="1" si="112"/>
        <v>0</v>
      </c>
      <c r="AW466" s="66">
        <f t="shared" ca="1" si="112"/>
        <v>0</v>
      </c>
      <c r="AX466" s="66">
        <f t="shared" ca="1" si="112"/>
        <v>0</v>
      </c>
      <c r="AY466" s="66">
        <f t="shared" ca="1" si="112"/>
        <v>0</v>
      </c>
      <c r="AZ466" s="66">
        <f t="shared" ca="1" si="112"/>
        <v>0</v>
      </c>
      <c r="BA466" s="66">
        <f t="shared" ca="1" si="112"/>
        <v>0</v>
      </c>
      <c r="BB466" s="66">
        <f t="shared" ca="1" si="112"/>
        <v>0</v>
      </c>
      <c r="BC466" s="66">
        <f t="shared" ca="1" si="112"/>
        <v>0</v>
      </c>
      <c r="BD466" s="66">
        <f t="shared" ca="1" si="112"/>
        <v>0</v>
      </c>
      <c r="BE466" s="66">
        <f t="shared" ca="1" si="112"/>
        <v>0</v>
      </c>
      <c r="BF466" s="66">
        <f t="shared" ca="1" si="112"/>
        <v>0</v>
      </c>
      <c r="BG466" s="66">
        <f t="shared" ca="1" si="112"/>
        <v>0</v>
      </c>
      <c r="BH466" s="66">
        <f t="shared" ca="1" si="112"/>
        <v>0</v>
      </c>
      <c r="BI466" s="66">
        <f t="shared" ca="1" si="112"/>
        <v>0</v>
      </c>
      <c r="BJ466" s="66">
        <f t="shared" ca="1" si="112"/>
        <v>0</v>
      </c>
      <c r="BK466" s="66">
        <f t="shared" ca="1" si="112"/>
        <v>0</v>
      </c>
      <c r="BL466" s="66">
        <f t="shared" ca="1" si="112"/>
        <v>0</v>
      </c>
      <c r="BM466" s="66">
        <f t="shared" ca="1" si="112"/>
        <v>0</v>
      </c>
      <c r="BN466" s="66">
        <f t="shared" ca="1" si="112"/>
        <v>0</v>
      </c>
      <c r="BO466" s="66">
        <f t="shared" ca="1" si="112"/>
        <v>0</v>
      </c>
      <c r="BP466" s="66">
        <f t="shared" ca="1" si="112"/>
        <v>0</v>
      </c>
      <c r="BQ466" s="66">
        <f t="shared" ca="1" si="112"/>
        <v>0</v>
      </c>
      <c r="BR466" s="66">
        <f t="shared" ca="1" si="112"/>
        <v>0</v>
      </c>
      <c r="BS466" s="66">
        <f t="shared" ca="1" si="112"/>
        <v>0</v>
      </c>
    </row>
    <row r="467" spans="1:71" outlineLevel="1" x14ac:dyDescent="0.2">
      <c r="J467" s="26"/>
      <c r="L467" s="55"/>
      <c r="M467" s="55"/>
      <c r="N467" s="55"/>
      <c r="O467" s="55"/>
      <c r="P467" s="55"/>
      <c r="Q467" s="55"/>
      <c r="R467" s="55"/>
      <c r="S467" s="55"/>
      <c r="T467" s="55"/>
      <c r="U467" s="55"/>
      <c r="V467" s="55"/>
      <c r="W467" s="55"/>
      <c r="X467" s="55"/>
      <c r="Y467" s="55"/>
      <c r="Z467" s="55"/>
      <c r="AA467" s="55"/>
      <c r="AB467" s="55"/>
      <c r="AC467" s="55"/>
      <c r="AD467" s="55"/>
      <c r="AE467" s="55"/>
      <c r="AF467" s="55"/>
      <c r="AG467" s="55"/>
      <c r="AH467" s="55"/>
      <c r="AI467" s="55"/>
      <c r="AJ467" s="55"/>
      <c r="AK467" s="55"/>
      <c r="AL467" s="55"/>
      <c r="AM467" s="55"/>
      <c r="AN467" s="55"/>
      <c r="AO467" s="55"/>
      <c r="AP467" s="55"/>
      <c r="AQ467" s="55"/>
      <c r="AR467" s="55"/>
      <c r="AS467" s="55"/>
      <c r="AT467" s="55"/>
      <c r="AU467" s="55"/>
      <c r="AV467" s="55"/>
      <c r="AW467" s="55"/>
      <c r="AX467" s="55"/>
      <c r="AY467" s="55"/>
      <c r="AZ467" s="55"/>
      <c r="BA467" s="55"/>
      <c r="BB467" s="55"/>
      <c r="BC467" s="55"/>
      <c r="BD467" s="55"/>
      <c r="BE467" s="55"/>
      <c r="BF467" s="55"/>
      <c r="BG467" s="55"/>
      <c r="BH467" s="55"/>
      <c r="BI467" s="55"/>
      <c r="BJ467" s="55"/>
      <c r="BK467" s="55"/>
      <c r="BL467" s="55"/>
      <c r="BM467" s="55"/>
      <c r="BN467" s="55"/>
      <c r="BO467" s="55"/>
      <c r="BP467" s="55"/>
      <c r="BQ467" s="55"/>
      <c r="BR467" s="55"/>
      <c r="BS467" s="55"/>
    </row>
    <row r="468" spans="1:71" outlineLevel="1" x14ac:dyDescent="0.2">
      <c r="C468" s="11" t="s">
        <v>284</v>
      </c>
      <c r="G468" s="60"/>
      <c r="H468" s="7" t="s">
        <v>541</v>
      </c>
      <c r="I468" s="63">
        <f ca="1">SUMPRODUCT(OA_noc_ATCF_Loango,Loango_II!CA_disc_factor_fc)</f>
        <v>-102.04453181177695</v>
      </c>
      <c r="J468" s="26" t="s">
        <v>148</v>
      </c>
      <c r="L468" s="55"/>
      <c r="M468" s="55"/>
      <c r="N468" s="55"/>
      <c r="O468" s="55"/>
      <c r="P468" s="55"/>
      <c r="Q468" s="55"/>
      <c r="R468" s="55"/>
      <c r="S468" s="55"/>
      <c r="T468" s="55"/>
      <c r="U468" s="55"/>
      <c r="V468" s="55"/>
      <c r="W468" s="55"/>
      <c r="X468" s="55"/>
      <c r="Y468" s="55"/>
      <c r="Z468" s="55"/>
      <c r="AA468" s="55"/>
      <c r="AB468" s="55"/>
      <c r="AC468" s="55"/>
      <c r="AD468" s="55"/>
      <c r="AE468" s="55"/>
      <c r="AF468" s="55"/>
      <c r="AG468" s="55"/>
      <c r="AH468" s="55"/>
      <c r="AI468" s="55"/>
      <c r="AJ468" s="55"/>
      <c r="AK468" s="55"/>
      <c r="AL468" s="55"/>
      <c r="AM468" s="55"/>
      <c r="AN468" s="55"/>
      <c r="AO468" s="55"/>
      <c r="AP468" s="55"/>
      <c r="AQ468" s="55"/>
      <c r="AR468" s="55"/>
      <c r="AS468" s="55"/>
      <c r="AT468" s="55"/>
      <c r="AU468" s="55"/>
      <c r="AV468" s="55"/>
      <c r="AW468" s="55"/>
      <c r="AX468" s="55"/>
      <c r="AY468" s="55"/>
      <c r="AZ468" s="55"/>
      <c r="BA468" s="55"/>
      <c r="BB468" s="55"/>
      <c r="BC468" s="55"/>
      <c r="BD468" s="55"/>
      <c r="BE468" s="55"/>
      <c r="BF468" s="55"/>
      <c r="BG468" s="55"/>
      <c r="BH468" s="55"/>
      <c r="BI468" s="55"/>
      <c r="BJ468" s="55"/>
      <c r="BK468" s="55"/>
      <c r="BL468" s="55"/>
      <c r="BM468" s="55"/>
      <c r="BN468" s="55"/>
      <c r="BO468" s="55"/>
      <c r="BP468" s="55"/>
      <c r="BQ468" s="55"/>
      <c r="BR468" s="55"/>
      <c r="BS468" s="55"/>
    </row>
    <row r="469" spans="1:71" outlineLevel="1" x14ac:dyDescent="0.2">
      <c r="C469" s="11" t="s">
        <v>285</v>
      </c>
      <c r="I469" s="63">
        <f ca="1">SUMPRODUCT(OA_noc_ATCF_Loango,Loango_II!CA_disc_factor_pf)</f>
        <v>-62.108518447416152</v>
      </c>
      <c r="J469" s="26" t="s">
        <v>148</v>
      </c>
      <c r="L469" s="55"/>
      <c r="M469" s="55"/>
      <c r="N469" s="55"/>
      <c r="O469" s="55"/>
      <c r="P469" s="55"/>
      <c r="Q469" s="55"/>
      <c r="R469" s="55"/>
      <c r="S469" s="55"/>
      <c r="T469" s="55"/>
      <c r="U469" s="55"/>
      <c r="V469" s="55"/>
      <c r="W469" s="55"/>
      <c r="X469" s="55"/>
      <c r="Y469" s="55"/>
      <c r="Z469" s="55"/>
      <c r="AA469" s="55"/>
      <c r="AB469" s="55"/>
      <c r="AC469" s="55"/>
      <c r="AD469" s="55"/>
      <c r="AE469" s="55"/>
      <c r="AF469" s="55"/>
      <c r="AG469" s="55"/>
      <c r="AH469" s="55"/>
      <c r="AI469" s="55"/>
      <c r="AJ469" s="55"/>
      <c r="AK469" s="55"/>
      <c r="AL469" s="55"/>
      <c r="AM469" s="55"/>
      <c r="AN469" s="55"/>
      <c r="AO469" s="55"/>
      <c r="AP469" s="55"/>
      <c r="AQ469" s="55"/>
      <c r="AR469" s="55"/>
      <c r="AS469" s="55"/>
      <c r="AT469" s="55"/>
      <c r="AU469" s="55"/>
      <c r="AV469" s="55"/>
      <c r="AW469" s="55"/>
      <c r="AX469" s="55"/>
      <c r="AY469" s="55"/>
      <c r="AZ469" s="55"/>
      <c r="BA469" s="55"/>
      <c r="BB469" s="55"/>
      <c r="BC469" s="55"/>
      <c r="BD469" s="55"/>
      <c r="BE469" s="55"/>
      <c r="BF469" s="55"/>
      <c r="BG469" s="55"/>
      <c r="BH469" s="55"/>
      <c r="BI469" s="55"/>
      <c r="BJ469" s="55"/>
      <c r="BK469" s="55"/>
      <c r="BL469" s="55"/>
      <c r="BM469" s="55"/>
      <c r="BN469" s="55"/>
      <c r="BO469" s="55"/>
      <c r="BP469" s="55"/>
      <c r="BQ469" s="55"/>
      <c r="BR469" s="55"/>
      <c r="BS469" s="55"/>
    </row>
    <row r="470" spans="1:71" outlineLevel="1" x14ac:dyDescent="0.2">
      <c r="I470" s="61"/>
      <c r="J470" s="26"/>
      <c r="L470" s="55"/>
      <c r="M470" s="55"/>
      <c r="N470" s="55"/>
      <c r="O470" s="55"/>
      <c r="P470" s="55"/>
      <c r="Q470" s="55"/>
      <c r="R470" s="55"/>
      <c r="S470" s="55"/>
      <c r="T470" s="55"/>
      <c r="U470" s="55"/>
      <c r="V470" s="55"/>
      <c r="W470" s="55"/>
      <c r="X470" s="55"/>
      <c r="Y470" s="55"/>
      <c r="Z470" s="55"/>
      <c r="AA470" s="55"/>
      <c r="AB470" s="55"/>
      <c r="AC470" s="55"/>
      <c r="AD470" s="55"/>
      <c r="AE470" s="55"/>
      <c r="AF470" s="55"/>
      <c r="AG470" s="55"/>
      <c r="AH470" s="55"/>
      <c r="AI470" s="55"/>
      <c r="AJ470" s="55"/>
      <c r="AK470" s="55"/>
      <c r="AL470" s="55"/>
      <c r="AM470" s="55"/>
      <c r="AN470" s="55"/>
      <c r="AO470" s="55"/>
      <c r="AP470" s="55"/>
      <c r="AQ470" s="55"/>
      <c r="AR470" s="55"/>
      <c r="AS470" s="55"/>
      <c r="AT470" s="55"/>
      <c r="AU470" s="55"/>
      <c r="AV470" s="55"/>
      <c r="AW470" s="55"/>
      <c r="AX470" s="55"/>
      <c r="AY470" s="55"/>
      <c r="AZ470" s="55"/>
      <c r="BA470" s="55"/>
      <c r="BB470" s="55"/>
      <c r="BC470" s="55"/>
      <c r="BD470" s="55"/>
      <c r="BE470" s="55"/>
      <c r="BF470" s="55"/>
      <c r="BG470" s="55"/>
      <c r="BH470" s="55"/>
      <c r="BI470" s="55"/>
      <c r="BJ470" s="55"/>
      <c r="BK470" s="55"/>
      <c r="BL470" s="55"/>
      <c r="BM470" s="55"/>
      <c r="BN470" s="55"/>
      <c r="BO470" s="55"/>
      <c r="BP470" s="55"/>
      <c r="BQ470" s="55"/>
      <c r="BR470" s="55"/>
      <c r="BS470" s="55"/>
    </row>
    <row r="471" spans="1:71" outlineLevel="1" x14ac:dyDescent="0.2">
      <c r="C471" s="11" t="s">
        <v>286</v>
      </c>
      <c r="I471" s="62" t="str">
        <f ca="1">IFERROR(IRR(INDEX(OA_noc_ATCF_Loango,1,MAX(1,$G$360-$L$4+1)):INDEX(OA_noc_ATCF_Loango,1,last_model_year)),"na")</f>
        <v>na</v>
      </c>
      <c r="J471" s="26" t="s">
        <v>90</v>
      </c>
      <c r="L471" s="55"/>
      <c r="M471" s="55"/>
      <c r="N471" s="55"/>
      <c r="O471" s="55"/>
      <c r="P471" s="55"/>
      <c r="Q471" s="55"/>
      <c r="R471" s="55"/>
      <c r="S471" s="55"/>
      <c r="T471" s="55"/>
      <c r="U471" s="55"/>
      <c r="V471" s="55"/>
      <c r="W471" s="55"/>
      <c r="X471" s="55"/>
      <c r="Y471" s="55"/>
      <c r="Z471" s="55"/>
      <c r="AA471" s="55"/>
      <c r="AB471" s="55"/>
      <c r="AC471" s="55"/>
      <c r="AD471" s="55"/>
      <c r="AE471" s="55"/>
      <c r="AF471" s="55"/>
      <c r="AG471" s="55"/>
      <c r="AH471" s="55"/>
      <c r="AI471" s="55"/>
      <c r="AJ471" s="55"/>
      <c r="AK471" s="55"/>
      <c r="AL471" s="55"/>
      <c r="AM471" s="55"/>
      <c r="AN471" s="55"/>
      <c r="AO471" s="55"/>
      <c r="AP471" s="55"/>
      <c r="AQ471" s="55"/>
      <c r="AR471" s="55"/>
      <c r="AS471" s="55"/>
      <c r="AT471" s="55"/>
      <c r="AU471" s="55"/>
      <c r="AV471" s="55"/>
      <c r="AW471" s="55"/>
      <c r="AX471" s="55"/>
      <c r="AY471" s="55"/>
      <c r="AZ471" s="55"/>
      <c r="BA471" s="55"/>
      <c r="BB471" s="55"/>
      <c r="BC471" s="55"/>
      <c r="BD471" s="55"/>
      <c r="BE471" s="55"/>
      <c r="BF471" s="55"/>
      <c r="BG471" s="55"/>
      <c r="BH471" s="55"/>
      <c r="BI471" s="55"/>
      <c r="BJ471" s="55"/>
      <c r="BK471" s="55"/>
      <c r="BL471" s="55"/>
      <c r="BM471" s="55"/>
      <c r="BN471" s="55"/>
      <c r="BO471" s="55"/>
      <c r="BP471" s="55"/>
      <c r="BQ471" s="55"/>
      <c r="BR471" s="55"/>
      <c r="BS471" s="55"/>
    </row>
    <row r="472" spans="1:71" outlineLevel="1" x14ac:dyDescent="0.2">
      <c r="C472" s="11" t="s">
        <v>287</v>
      </c>
      <c r="I472" s="62" t="str">
        <f ca="1">IFERROR(IRR(INDEX(OA_noc_ATCF_Loango,1,MAX(1,$G$361-$L$4+1)):INDEX(OA_noc_ATCF_Loango,1,last_model_year)),"na")</f>
        <v>na</v>
      </c>
      <c r="J472" s="26" t="s">
        <v>90</v>
      </c>
      <c r="L472" s="55"/>
      <c r="M472" s="55"/>
      <c r="N472" s="55"/>
      <c r="O472" s="55"/>
      <c r="P472" s="55"/>
      <c r="Q472" s="55"/>
      <c r="R472" s="55"/>
      <c r="S472" s="55"/>
      <c r="T472" s="55"/>
      <c r="U472" s="55"/>
      <c r="V472" s="55"/>
      <c r="W472" s="55"/>
      <c r="X472" s="55"/>
      <c r="Y472" s="55"/>
      <c r="Z472" s="55"/>
      <c r="AA472" s="55"/>
      <c r="AB472" s="55"/>
      <c r="AC472" s="55"/>
      <c r="AD472" s="55"/>
      <c r="AE472" s="55"/>
      <c r="AF472" s="55"/>
      <c r="AG472" s="55"/>
      <c r="AH472" s="55"/>
      <c r="AI472" s="55"/>
      <c r="AJ472" s="55"/>
      <c r="AK472" s="55"/>
      <c r="AL472" s="55"/>
      <c r="AM472" s="55"/>
      <c r="AN472" s="55"/>
      <c r="AO472" s="55"/>
      <c r="AP472" s="55"/>
      <c r="AQ472" s="55"/>
      <c r="AR472" s="55"/>
      <c r="AS472" s="55"/>
      <c r="AT472" s="55"/>
      <c r="AU472" s="55"/>
      <c r="AV472" s="55"/>
      <c r="AW472" s="55"/>
      <c r="AX472" s="55"/>
      <c r="AY472" s="55"/>
      <c r="AZ472" s="55"/>
      <c r="BA472" s="55"/>
      <c r="BB472" s="55"/>
      <c r="BC472" s="55"/>
      <c r="BD472" s="55"/>
      <c r="BE472" s="55"/>
      <c r="BF472" s="55"/>
      <c r="BG472" s="55"/>
      <c r="BH472" s="55"/>
      <c r="BI472" s="55"/>
      <c r="BJ472" s="55"/>
      <c r="BK472" s="55"/>
      <c r="BL472" s="55"/>
      <c r="BM472" s="55"/>
      <c r="BN472" s="55"/>
      <c r="BO472" s="55"/>
      <c r="BP472" s="55"/>
      <c r="BQ472" s="55"/>
      <c r="BR472" s="55"/>
      <c r="BS472" s="55"/>
    </row>
    <row r="473" spans="1:71" outlineLevel="1" x14ac:dyDescent="0.2">
      <c r="J473" s="26"/>
      <c r="L473" s="55"/>
      <c r="M473" s="55"/>
      <c r="N473" s="55"/>
      <c r="O473" s="55"/>
      <c r="P473" s="55"/>
      <c r="Q473" s="55"/>
      <c r="R473" s="55"/>
      <c r="S473" s="55"/>
      <c r="T473" s="55"/>
      <c r="U473" s="55"/>
      <c r="V473" s="55"/>
      <c r="W473" s="55"/>
      <c r="X473" s="55"/>
      <c r="Y473" s="55"/>
      <c r="Z473" s="55"/>
      <c r="AA473" s="55"/>
      <c r="AB473" s="55"/>
      <c r="AC473" s="55"/>
      <c r="AD473" s="55"/>
      <c r="AE473" s="55"/>
      <c r="AF473" s="55"/>
      <c r="AG473" s="55"/>
      <c r="AH473" s="55"/>
      <c r="AI473" s="55"/>
      <c r="AJ473" s="55"/>
      <c r="AK473" s="55"/>
      <c r="AL473" s="55"/>
      <c r="AM473" s="55"/>
      <c r="AN473" s="55"/>
      <c r="AO473" s="55"/>
      <c r="AP473" s="55"/>
      <c r="AQ473" s="55"/>
      <c r="AR473" s="55"/>
      <c r="AS473" s="55"/>
      <c r="AT473" s="55"/>
      <c r="AU473" s="55"/>
      <c r="AV473" s="55"/>
      <c r="AW473" s="55"/>
      <c r="AX473" s="55"/>
      <c r="AY473" s="55"/>
      <c r="AZ473" s="55"/>
      <c r="BA473" s="55"/>
      <c r="BB473" s="55"/>
      <c r="BC473" s="55"/>
      <c r="BD473" s="55"/>
      <c r="BE473" s="55"/>
      <c r="BF473" s="55"/>
      <c r="BG473" s="55"/>
      <c r="BH473" s="55"/>
      <c r="BI473" s="55"/>
      <c r="BJ473" s="55"/>
      <c r="BK473" s="55"/>
      <c r="BL473" s="55"/>
      <c r="BM473" s="55"/>
      <c r="BN473" s="55"/>
      <c r="BO473" s="55"/>
      <c r="BP473" s="55"/>
      <c r="BQ473" s="55"/>
      <c r="BR473" s="55"/>
      <c r="BS473" s="55"/>
    </row>
    <row r="474" spans="1:71" outlineLevel="1" x14ac:dyDescent="0.2">
      <c r="C474" s="11" t="s">
        <v>304</v>
      </c>
      <c r="I474" s="67">
        <f ca="1">COUNTIF(L466:BS466,"&lt;0")+1</f>
        <v>14</v>
      </c>
      <c r="J474" s="26"/>
      <c r="L474" s="55"/>
      <c r="M474" s="55"/>
      <c r="N474" s="55"/>
      <c r="O474" s="55"/>
      <c r="P474" s="55"/>
      <c r="Q474" s="55"/>
      <c r="R474" s="55"/>
      <c r="S474" s="55"/>
      <c r="T474" s="55"/>
      <c r="U474" s="55"/>
      <c r="V474" s="55"/>
      <c r="W474" s="55"/>
      <c r="X474" s="55"/>
      <c r="Y474" s="55"/>
      <c r="Z474" s="55"/>
      <c r="AA474" s="55"/>
      <c r="AB474" s="55"/>
      <c r="AC474" s="55"/>
      <c r="AD474" s="55"/>
      <c r="AE474" s="55"/>
      <c r="AF474" s="55"/>
      <c r="AG474" s="55"/>
      <c r="AH474" s="55"/>
      <c r="AI474" s="55"/>
      <c r="AJ474" s="55"/>
      <c r="AK474" s="55"/>
      <c r="AL474" s="55"/>
      <c r="AM474" s="55"/>
      <c r="AN474" s="55"/>
      <c r="AO474" s="55"/>
      <c r="AP474" s="55"/>
      <c r="AQ474" s="55"/>
      <c r="AR474" s="55"/>
      <c r="AS474" s="55"/>
      <c r="AT474" s="55"/>
      <c r="AU474" s="55"/>
      <c r="AV474" s="55"/>
      <c r="AW474" s="55"/>
      <c r="AX474" s="55"/>
      <c r="AY474" s="55"/>
      <c r="AZ474" s="55"/>
      <c r="BA474" s="55"/>
      <c r="BB474" s="55"/>
      <c r="BC474" s="55"/>
      <c r="BD474" s="55"/>
      <c r="BE474" s="55"/>
      <c r="BF474" s="55"/>
      <c r="BG474" s="55"/>
      <c r="BH474" s="55"/>
      <c r="BI474" s="55"/>
      <c r="BJ474" s="55"/>
      <c r="BK474" s="55"/>
      <c r="BL474" s="55"/>
      <c r="BM474" s="55"/>
      <c r="BN474" s="55"/>
      <c r="BO474" s="55"/>
      <c r="BP474" s="55"/>
      <c r="BQ474" s="55"/>
      <c r="BR474" s="55"/>
      <c r="BS474" s="55"/>
    </row>
    <row r="475" spans="1:71" outlineLevel="1" x14ac:dyDescent="0.2">
      <c r="J475" s="26"/>
      <c r="L475" s="55"/>
      <c r="M475" s="55"/>
      <c r="N475" s="55"/>
      <c r="O475" s="55"/>
      <c r="P475" s="55"/>
      <c r="Q475" s="55"/>
      <c r="R475" s="55"/>
      <c r="S475" s="55"/>
      <c r="T475" s="55"/>
      <c r="U475" s="55"/>
      <c r="V475" s="55"/>
      <c r="W475" s="55"/>
      <c r="X475" s="55"/>
      <c r="Y475" s="55"/>
      <c r="Z475" s="55"/>
      <c r="AA475" s="55"/>
      <c r="AB475" s="55"/>
      <c r="AC475" s="55"/>
      <c r="AD475" s="55"/>
      <c r="AE475" s="55"/>
      <c r="AF475" s="55"/>
      <c r="AG475" s="55"/>
      <c r="AH475" s="55"/>
      <c r="AI475" s="55"/>
      <c r="AJ475" s="55"/>
      <c r="AK475" s="55"/>
      <c r="AL475" s="55"/>
      <c r="AM475" s="55"/>
      <c r="AN475" s="55"/>
      <c r="AO475" s="55"/>
      <c r="AP475" s="55"/>
      <c r="AQ475" s="55"/>
      <c r="AR475" s="55"/>
      <c r="AS475" s="55"/>
      <c r="AT475" s="55"/>
      <c r="AU475" s="55"/>
      <c r="AV475" s="55"/>
      <c r="AW475" s="55"/>
      <c r="AX475" s="55"/>
      <c r="AY475" s="55"/>
      <c r="AZ475" s="55"/>
      <c r="BA475" s="55"/>
      <c r="BB475" s="55"/>
      <c r="BC475" s="55"/>
      <c r="BD475" s="55"/>
      <c r="BE475" s="55"/>
      <c r="BF475" s="55"/>
      <c r="BG475" s="55"/>
      <c r="BH475" s="55"/>
      <c r="BI475" s="55"/>
      <c r="BJ475" s="55"/>
      <c r="BK475" s="55"/>
      <c r="BL475" s="55"/>
      <c r="BM475" s="55"/>
      <c r="BN475" s="55"/>
      <c r="BO475" s="55"/>
      <c r="BP475" s="55"/>
      <c r="BQ475" s="55"/>
      <c r="BR475" s="55"/>
      <c r="BS475" s="55"/>
    </row>
    <row r="476" spans="1:71" outlineLevel="1" x14ac:dyDescent="0.2">
      <c r="J476" s="26"/>
      <c r="L476" s="55"/>
      <c r="M476" s="55"/>
      <c r="N476" s="55"/>
      <c r="O476" s="55"/>
      <c r="P476" s="55"/>
      <c r="Q476" s="55"/>
      <c r="R476" s="55"/>
      <c r="S476" s="55"/>
      <c r="T476" s="55"/>
      <c r="U476" s="55"/>
      <c r="V476" s="55"/>
      <c r="W476" s="55"/>
      <c r="X476" s="55"/>
      <c r="Y476" s="55"/>
      <c r="Z476" s="55"/>
      <c r="AA476" s="55"/>
      <c r="AB476" s="55"/>
      <c r="AC476" s="55"/>
      <c r="AD476" s="55"/>
      <c r="AE476" s="55"/>
      <c r="AF476" s="55"/>
      <c r="AG476" s="55"/>
      <c r="AH476" s="55"/>
      <c r="AI476" s="55"/>
      <c r="AJ476" s="55"/>
      <c r="AK476" s="55"/>
      <c r="AL476" s="55"/>
      <c r="AM476" s="55"/>
      <c r="AN476" s="55"/>
      <c r="AO476" s="55"/>
      <c r="AP476" s="55"/>
      <c r="AQ476" s="55"/>
      <c r="AR476" s="55"/>
      <c r="AS476" s="55"/>
      <c r="AT476" s="55"/>
      <c r="AU476" s="55"/>
      <c r="AV476" s="55"/>
      <c r="AW476" s="55"/>
      <c r="AX476" s="55"/>
      <c r="AY476" s="55"/>
      <c r="AZ476" s="55"/>
      <c r="BA476" s="55"/>
      <c r="BB476" s="55"/>
      <c r="BC476" s="55"/>
      <c r="BD476" s="55"/>
      <c r="BE476" s="55"/>
      <c r="BF476" s="55"/>
      <c r="BG476" s="55"/>
      <c r="BH476" s="55"/>
      <c r="BI476" s="55"/>
      <c r="BJ476" s="55"/>
      <c r="BK476" s="55"/>
      <c r="BL476" s="55"/>
      <c r="BM476" s="55"/>
      <c r="BN476" s="55"/>
      <c r="BO476" s="55"/>
      <c r="BP476" s="55"/>
      <c r="BQ476" s="55"/>
      <c r="BR476" s="55"/>
      <c r="BS476" s="55"/>
    </row>
    <row r="477" spans="1:71" outlineLevel="1" x14ac:dyDescent="0.2">
      <c r="J477" s="26"/>
      <c r="L477" s="55"/>
      <c r="M477" s="55"/>
      <c r="N477" s="55"/>
      <c r="O477" s="55"/>
      <c r="P477" s="55"/>
      <c r="Q477" s="55"/>
      <c r="R477" s="55"/>
      <c r="S477" s="55"/>
      <c r="T477" s="55"/>
      <c r="U477" s="55"/>
      <c r="V477" s="55"/>
      <c r="W477" s="55"/>
      <c r="X477" s="55"/>
      <c r="Y477" s="55"/>
      <c r="Z477" s="55"/>
      <c r="AA477" s="55"/>
      <c r="AB477" s="55"/>
      <c r="AC477" s="55"/>
      <c r="AD477" s="55"/>
      <c r="AE477" s="55"/>
      <c r="AF477" s="55"/>
      <c r="AG477" s="55"/>
      <c r="AH477" s="55"/>
      <c r="AI477" s="55"/>
      <c r="AJ477" s="55"/>
      <c r="AK477" s="55"/>
      <c r="AL477" s="55"/>
      <c r="AM477" s="55"/>
      <c r="AN477" s="55"/>
      <c r="AO477" s="55"/>
      <c r="AP477" s="55"/>
      <c r="AQ477" s="55"/>
      <c r="AR477" s="55"/>
      <c r="AS477" s="55"/>
      <c r="AT477" s="55"/>
      <c r="AU477" s="55"/>
      <c r="AV477" s="55"/>
      <c r="AW477" s="55"/>
      <c r="AX477" s="55"/>
      <c r="AY477" s="55"/>
      <c r="AZ477" s="55"/>
      <c r="BA477" s="55"/>
      <c r="BB477" s="55"/>
      <c r="BC477" s="55"/>
      <c r="BD477" s="55"/>
      <c r="BE477" s="55"/>
      <c r="BF477" s="55"/>
      <c r="BG477" s="55"/>
      <c r="BH477" s="55"/>
      <c r="BI477" s="55"/>
      <c r="BJ477" s="55"/>
      <c r="BK477" s="55"/>
      <c r="BL477" s="55"/>
      <c r="BM477" s="55"/>
      <c r="BN477" s="55"/>
      <c r="BO477" s="55"/>
      <c r="BP477" s="55"/>
      <c r="BQ477" s="55"/>
      <c r="BR477" s="55"/>
      <c r="BS477" s="55"/>
    </row>
    <row r="478" spans="1:71" outlineLevel="1" x14ac:dyDescent="0.2">
      <c r="J478" s="26"/>
      <c r="L478" s="55"/>
      <c r="M478" s="55"/>
      <c r="N478" s="55"/>
      <c r="O478" s="55"/>
      <c r="P478" s="55"/>
      <c r="Q478" s="55"/>
      <c r="R478" s="55"/>
      <c r="S478" s="55"/>
      <c r="T478" s="55"/>
      <c r="U478" s="55"/>
      <c r="V478" s="55"/>
      <c r="W478" s="55"/>
      <c r="X478" s="55"/>
      <c r="Y478" s="55"/>
      <c r="Z478" s="55"/>
      <c r="AA478" s="55"/>
      <c r="AB478" s="55"/>
      <c r="AC478" s="55"/>
      <c r="AD478" s="55"/>
      <c r="AE478" s="55"/>
      <c r="AF478" s="55"/>
      <c r="AG478" s="55"/>
      <c r="AH478" s="55"/>
      <c r="AI478" s="55"/>
      <c r="AJ478" s="55"/>
      <c r="AK478" s="55"/>
      <c r="AL478" s="55"/>
      <c r="AM478" s="55"/>
      <c r="AN478" s="55"/>
      <c r="AO478" s="55"/>
      <c r="AP478" s="55"/>
      <c r="AQ478" s="55"/>
      <c r="AR478" s="55"/>
      <c r="AS478" s="55"/>
      <c r="AT478" s="55"/>
      <c r="AU478" s="55"/>
      <c r="AV478" s="55"/>
      <c r="AW478" s="55"/>
      <c r="AX478" s="55"/>
      <c r="AY478" s="55"/>
      <c r="AZ478" s="55"/>
      <c r="BA478" s="55"/>
      <c r="BB478" s="55"/>
      <c r="BC478" s="55"/>
      <c r="BD478" s="55"/>
      <c r="BE478" s="55"/>
      <c r="BF478" s="55"/>
      <c r="BG478" s="55"/>
      <c r="BH478" s="55"/>
      <c r="BI478" s="55"/>
      <c r="BJ478" s="55"/>
      <c r="BK478" s="55"/>
      <c r="BL478" s="55"/>
      <c r="BM478" s="55"/>
      <c r="BN478" s="55"/>
      <c r="BO478" s="55"/>
      <c r="BP478" s="55"/>
      <c r="BQ478" s="55"/>
      <c r="BR478" s="55"/>
      <c r="BS478" s="55"/>
    </row>
    <row r="479" spans="1:71" outlineLevel="1" x14ac:dyDescent="0.2">
      <c r="J479" s="26"/>
      <c r="L479" s="55"/>
      <c r="M479" s="55"/>
      <c r="N479" s="55"/>
      <c r="O479" s="55"/>
      <c r="P479" s="55"/>
      <c r="Q479" s="55"/>
      <c r="R479" s="55"/>
      <c r="S479" s="55"/>
      <c r="T479" s="55"/>
      <c r="U479" s="55"/>
      <c r="V479" s="55"/>
      <c r="W479" s="55"/>
      <c r="X479" s="55"/>
      <c r="Y479" s="55"/>
      <c r="Z479" s="55"/>
      <c r="AA479" s="55"/>
      <c r="AB479" s="55"/>
      <c r="AC479" s="55"/>
      <c r="AD479" s="55"/>
      <c r="AE479" s="55"/>
      <c r="AF479" s="55"/>
      <c r="AG479" s="55"/>
      <c r="AH479" s="55"/>
      <c r="AI479" s="55"/>
      <c r="AJ479" s="55"/>
      <c r="AK479" s="55"/>
      <c r="AL479" s="55"/>
      <c r="AM479" s="55"/>
      <c r="AN479" s="55"/>
      <c r="AO479" s="55"/>
      <c r="AP479" s="55"/>
      <c r="AQ479" s="55"/>
      <c r="AR479" s="55"/>
      <c r="AS479" s="55"/>
      <c r="AT479" s="55"/>
      <c r="AU479" s="55"/>
      <c r="AV479" s="55"/>
      <c r="AW479" s="55"/>
      <c r="AX479" s="55"/>
      <c r="AY479" s="55"/>
      <c r="AZ479" s="55"/>
      <c r="BA479" s="55"/>
      <c r="BB479" s="55"/>
      <c r="BC479" s="55"/>
      <c r="BD479" s="55"/>
      <c r="BE479" s="55"/>
      <c r="BF479" s="55"/>
      <c r="BG479" s="55"/>
      <c r="BH479" s="55"/>
      <c r="BI479" s="55"/>
      <c r="BJ479" s="55"/>
      <c r="BK479" s="55"/>
      <c r="BL479" s="55"/>
      <c r="BM479" s="55"/>
      <c r="BN479" s="55"/>
      <c r="BO479" s="55"/>
      <c r="BP479" s="55"/>
      <c r="BQ479" s="55"/>
      <c r="BR479" s="55"/>
      <c r="BS479" s="55"/>
    </row>
    <row r="480" spans="1:71" outlineLevel="1" x14ac:dyDescent="0.2">
      <c r="A480" s="45"/>
      <c r="B480" s="38" t="s">
        <v>292</v>
      </c>
      <c r="C480" s="45"/>
      <c r="D480" s="45"/>
      <c r="E480" s="45"/>
      <c r="J480" s="26"/>
      <c r="L480" s="55"/>
      <c r="M480" s="55"/>
      <c r="N480" s="55"/>
      <c r="O480" s="55"/>
      <c r="P480" s="55"/>
      <c r="Q480" s="55"/>
      <c r="R480" s="55"/>
      <c r="S480" s="55"/>
      <c r="T480" s="55"/>
      <c r="U480" s="55"/>
      <c r="V480" s="55"/>
      <c r="W480" s="55"/>
      <c r="X480" s="55"/>
      <c r="Y480" s="55"/>
      <c r="Z480" s="55"/>
      <c r="AA480" s="55"/>
      <c r="AB480" s="55"/>
      <c r="AC480" s="55"/>
      <c r="AD480" s="55"/>
      <c r="AE480" s="55"/>
      <c r="AF480" s="55"/>
      <c r="AG480" s="55"/>
      <c r="AH480" s="55"/>
      <c r="AI480" s="55"/>
      <c r="AJ480" s="55"/>
      <c r="AK480" s="55"/>
      <c r="AL480" s="55"/>
      <c r="AM480" s="55"/>
      <c r="AN480" s="55"/>
      <c r="AO480" s="55"/>
      <c r="AP480" s="55"/>
      <c r="AQ480" s="55"/>
      <c r="AR480" s="55"/>
      <c r="AS480" s="55"/>
      <c r="AT480" s="55"/>
      <c r="AU480" s="55"/>
      <c r="AV480" s="55"/>
      <c r="AW480" s="55"/>
      <c r="AX480" s="55"/>
      <c r="AY480" s="55"/>
      <c r="AZ480" s="55"/>
      <c r="BA480" s="55"/>
      <c r="BB480" s="55"/>
      <c r="BC480" s="55"/>
      <c r="BD480" s="55"/>
      <c r="BE480" s="55"/>
      <c r="BF480" s="55"/>
      <c r="BG480" s="55"/>
      <c r="BH480" s="55"/>
      <c r="BI480" s="55"/>
      <c r="BJ480" s="55"/>
      <c r="BK480" s="55"/>
      <c r="BL480" s="55"/>
      <c r="BM480" s="55"/>
      <c r="BN480" s="55"/>
      <c r="BO480" s="55"/>
      <c r="BP480" s="55"/>
      <c r="BQ480" s="55"/>
      <c r="BR480" s="55"/>
      <c r="BS480" s="55"/>
    </row>
    <row r="481" spans="3:71" outlineLevel="1" x14ac:dyDescent="0.2">
      <c r="J481" s="26"/>
      <c r="L481" s="55"/>
      <c r="M481" s="55"/>
      <c r="N481" s="55"/>
      <c r="O481" s="55"/>
      <c r="P481" s="55"/>
      <c r="Q481" s="55"/>
      <c r="R481" s="55"/>
      <c r="S481" s="55"/>
      <c r="T481" s="55"/>
      <c r="U481" s="55"/>
      <c r="V481" s="55"/>
      <c r="W481" s="55"/>
      <c r="X481" s="55"/>
      <c r="Y481" s="55"/>
      <c r="Z481" s="55"/>
      <c r="AA481" s="55"/>
      <c r="AB481" s="55"/>
      <c r="AC481" s="55"/>
      <c r="AD481" s="55"/>
      <c r="AE481" s="55"/>
      <c r="AF481" s="55"/>
      <c r="AG481" s="55"/>
      <c r="AH481" s="55"/>
      <c r="AI481" s="55"/>
      <c r="AJ481" s="55"/>
      <c r="AK481" s="55"/>
      <c r="AL481" s="55"/>
      <c r="AM481" s="55"/>
      <c r="AN481" s="55"/>
      <c r="AO481" s="55"/>
      <c r="AP481" s="55"/>
      <c r="AQ481" s="55"/>
      <c r="AR481" s="55"/>
      <c r="AS481" s="55"/>
      <c r="AT481" s="55"/>
      <c r="AU481" s="55"/>
      <c r="AV481" s="55"/>
      <c r="AW481" s="55"/>
      <c r="AX481" s="55"/>
      <c r="AY481" s="55"/>
      <c r="AZ481" s="55"/>
      <c r="BA481" s="55"/>
      <c r="BB481" s="55"/>
      <c r="BC481" s="55"/>
      <c r="BD481" s="55"/>
      <c r="BE481" s="55"/>
      <c r="BF481" s="55"/>
      <c r="BG481" s="55"/>
      <c r="BH481" s="55"/>
      <c r="BI481" s="55"/>
      <c r="BJ481" s="55"/>
      <c r="BK481" s="55"/>
      <c r="BL481" s="55"/>
      <c r="BM481" s="55"/>
      <c r="BN481" s="55"/>
      <c r="BO481" s="55"/>
      <c r="BP481" s="55"/>
      <c r="BQ481" s="55"/>
      <c r="BR481" s="55"/>
      <c r="BS481" s="55"/>
    </row>
    <row r="482" spans="3:71" outlineLevel="1" x14ac:dyDescent="0.2">
      <c r="C482" s="11" t="s">
        <v>144</v>
      </c>
      <c r="J482" s="26"/>
      <c r="L482" s="55"/>
      <c r="M482" s="55"/>
      <c r="N482" s="55"/>
      <c r="O482" s="55"/>
      <c r="P482" s="55"/>
      <c r="Q482" s="55"/>
      <c r="R482" s="55"/>
      <c r="S482" s="55"/>
      <c r="T482" s="55"/>
      <c r="U482" s="55"/>
      <c r="V482" s="55"/>
      <c r="W482" s="55"/>
      <c r="X482" s="55"/>
      <c r="Y482" s="55"/>
      <c r="Z482" s="55"/>
      <c r="AA482" s="55"/>
      <c r="AB482" s="55"/>
      <c r="AC482" s="55"/>
      <c r="AD482" s="55"/>
      <c r="AE482" s="55"/>
      <c r="AF482" s="55"/>
      <c r="AG482" s="55"/>
      <c r="AH482" s="55"/>
      <c r="AI482" s="55"/>
      <c r="AJ482" s="55"/>
      <c r="AK482" s="55"/>
      <c r="AL482" s="55"/>
      <c r="AM482" s="55"/>
      <c r="AN482" s="55"/>
      <c r="AO482" s="55"/>
      <c r="AP482" s="55"/>
      <c r="AQ482" s="55"/>
      <c r="AR482" s="55"/>
      <c r="AS482" s="55"/>
      <c r="AT482" s="55"/>
      <c r="AU482" s="55"/>
      <c r="AV482" s="55"/>
      <c r="AW482" s="55"/>
      <c r="AX482" s="55"/>
      <c r="AY482" s="55"/>
      <c r="AZ482" s="55"/>
      <c r="BA482" s="55"/>
      <c r="BB482" s="55"/>
      <c r="BC482" s="55"/>
      <c r="BD482" s="55"/>
      <c r="BE482" s="55"/>
      <c r="BF482" s="55"/>
      <c r="BG482" s="55"/>
      <c r="BH482" s="55"/>
      <c r="BI482" s="55"/>
      <c r="BJ482" s="55"/>
      <c r="BK482" s="55"/>
      <c r="BL482" s="55"/>
      <c r="BM482" s="55"/>
      <c r="BN482" s="55"/>
      <c r="BO482" s="55"/>
      <c r="BP482" s="55"/>
      <c r="BQ482" s="55"/>
      <c r="BR482" s="55"/>
      <c r="BS482" s="55"/>
    </row>
    <row r="483" spans="3:71" outlineLevel="1" x14ac:dyDescent="0.2">
      <c r="D483" t="s">
        <v>293</v>
      </c>
      <c r="H483" s="7" t="s">
        <v>530</v>
      </c>
      <c r="I483" s="30">
        <f t="shared" ref="I483:I498" ca="1" si="113">SUM($L483:$BS483)</f>
        <v>1752.549670857195</v>
      </c>
      <c r="J483" s="26" t="s">
        <v>148</v>
      </c>
      <c r="L483" s="49" cm="1">
        <f t="array" aca="1" ref="L483:BS483" ca="1">Loango_II!CA_roy_total_fp</f>
        <v>112.40062234621782</v>
      </c>
      <c r="M483" s="49">
        <f ca="1"/>
        <v>106.17689630293869</v>
      </c>
      <c r="N483" s="49">
        <f ca="1"/>
        <v>40.059355350162505</v>
      </c>
      <c r="O483" s="49">
        <f ca="1"/>
        <v>37.812423476005229</v>
      </c>
      <c r="P483" s="49">
        <f ca="1"/>
        <v>104.88619430968704</v>
      </c>
      <c r="Q483" s="49">
        <f ca="1"/>
        <v>208.48992995881528</v>
      </c>
      <c r="R483" s="49">
        <f ca="1"/>
        <v>199.00962953237419</v>
      </c>
      <c r="S483" s="49">
        <f ca="1"/>
        <v>115.5265490574</v>
      </c>
      <c r="T483" s="49">
        <f ca="1"/>
        <v>176.2846838844624</v>
      </c>
      <c r="U483" s="49">
        <f ca="1"/>
        <v>175.976204768847</v>
      </c>
      <c r="V483" s="49">
        <f ca="1"/>
        <v>166.93102784372823</v>
      </c>
      <c r="W483" s="49">
        <f ca="1"/>
        <v>158.78461074684157</v>
      </c>
      <c r="X483" s="49">
        <f ca="1"/>
        <v>150.21154327971496</v>
      </c>
      <c r="Y483" s="49">
        <f ca="1"/>
        <v>0</v>
      </c>
      <c r="Z483" s="49">
        <f ca="1"/>
        <v>0</v>
      </c>
      <c r="AA483" s="49">
        <f ca="1"/>
        <v>0</v>
      </c>
      <c r="AB483" s="49">
        <f ca="1"/>
        <v>0</v>
      </c>
      <c r="AC483" s="49">
        <f ca="1"/>
        <v>0</v>
      </c>
      <c r="AD483" s="49">
        <f ca="1"/>
        <v>0</v>
      </c>
      <c r="AE483" s="49">
        <f ca="1"/>
        <v>0</v>
      </c>
      <c r="AF483" s="49">
        <f ca="1"/>
        <v>0</v>
      </c>
      <c r="AG483" s="49">
        <f ca="1"/>
        <v>0</v>
      </c>
      <c r="AH483" s="49">
        <f ca="1"/>
        <v>0</v>
      </c>
      <c r="AI483" s="49">
        <f ca="1"/>
        <v>0</v>
      </c>
      <c r="AJ483" s="49">
        <f ca="1"/>
        <v>0</v>
      </c>
      <c r="AK483" s="49">
        <f ca="1"/>
        <v>0</v>
      </c>
      <c r="AL483" s="49">
        <f ca="1"/>
        <v>0</v>
      </c>
      <c r="AM483" s="49">
        <f ca="1"/>
        <v>0</v>
      </c>
      <c r="AN483" s="49">
        <f ca="1"/>
        <v>0</v>
      </c>
      <c r="AO483" s="49">
        <f ca="1"/>
        <v>0</v>
      </c>
      <c r="AP483" s="49">
        <f ca="1"/>
        <v>0</v>
      </c>
      <c r="AQ483" s="49">
        <f ca="1"/>
        <v>0</v>
      </c>
      <c r="AR483" s="49">
        <f ca="1"/>
        <v>0</v>
      </c>
      <c r="AS483" s="49">
        <f ca="1"/>
        <v>0</v>
      </c>
      <c r="AT483" s="49">
        <f ca="1"/>
        <v>0</v>
      </c>
      <c r="AU483" s="49">
        <f ca="1"/>
        <v>0</v>
      </c>
      <c r="AV483" s="49">
        <f ca="1"/>
        <v>0</v>
      </c>
      <c r="AW483" s="49">
        <f ca="1"/>
        <v>0</v>
      </c>
      <c r="AX483" s="49">
        <f ca="1"/>
        <v>0</v>
      </c>
      <c r="AY483" s="49">
        <f ca="1"/>
        <v>0</v>
      </c>
      <c r="AZ483" s="49">
        <f ca="1"/>
        <v>0</v>
      </c>
      <c r="BA483" s="49">
        <f ca="1"/>
        <v>0</v>
      </c>
      <c r="BB483" s="49">
        <f ca="1"/>
        <v>0</v>
      </c>
      <c r="BC483" s="49">
        <f ca="1"/>
        <v>0</v>
      </c>
      <c r="BD483" s="49">
        <f ca="1"/>
        <v>0</v>
      </c>
      <c r="BE483" s="49">
        <f ca="1"/>
        <v>0</v>
      </c>
      <c r="BF483" s="49">
        <f ca="1"/>
        <v>0</v>
      </c>
      <c r="BG483" s="49">
        <f ca="1"/>
        <v>0</v>
      </c>
      <c r="BH483" s="49">
        <f ca="1"/>
        <v>0</v>
      </c>
      <c r="BI483" s="49">
        <f ca="1"/>
        <v>0</v>
      </c>
      <c r="BJ483" s="49">
        <f ca="1"/>
        <v>0</v>
      </c>
      <c r="BK483" s="49">
        <f ca="1"/>
        <v>0</v>
      </c>
      <c r="BL483" s="49">
        <f ca="1"/>
        <v>0</v>
      </c>
      <c r="BM483" s="49">
        <f ca="1"/>
        <v>0</v>
      </c>
      <c r="BN483" s="49">
        <f ca="1"/>
        <v>0</v>
      </c>
      <c r="BO483" s="49">
        <f ca="1"/>
        <v>0</v>
      </c>
      <c r="BP483" s="49">
        <f ca="1"/>
        <v>0</v>
      </c>
      <c r="BQ483" s="49">
        <f ca="1"/>
        <v>0</v>
      </c>
      <c r="BR483" s="49">
        <f ca="1"/>
        <v>0</v>
      </c>
      <c r="BS483" s="49">
        <f ca="1"/>
        <v>0</v>
      </c>
    </row>
    <row r="484" spans="3:71" outlineLevel="1" x14ac:dyDescent="0.2">
      <c r="D484" t="s">
        <v>67</v>
      </c>
      <c r="H484" s="7" t="s">
        <v>531</v>
      </c>
      <c r="I484" s="30">
        <f t="shared" ca="1" si="113"/>
        <v>116.836644723813</v>
      </c>
      <c r="J484" s="26" t="s">
        <v>148</v>
      </c>
      <c r="L484" s="49" cm="1">
        <f t="array" aca="1" ref="L484:BS484" ca="1">Loango_II!CA_pid_fees</f>
        <v>7.4933748230811874</v>
      </c>
      <c r="M484" s="49">
        <f ca="1"/>
        <v>7.0784597535292457</v>
      </c>
      <c r="N484" s="49">
        <f ca="1"/>
        <v>2.6706236900108338</v>
      </c>
      <c r="O484" s="49">
        <f ca="1"/>
        <v>2.5208282317336823</v>
      </c>
      <c r="P484" s="49">
        <f ca="1"/>
        <v>6.9924129539791364</v>
      </c>
      <c r="Q484" s="49">
        <f ca="1"/>
        <v>13.89932866392102</v>
      </c>
      <c r="R484" s="49">
        <f ca="1"/>
        <v>13.267308635491613</v>
      </c>
      <c r="S484" s="49">
        <f ca="1"/>
        <v>7.7017699371600008</v>
      </c>
      <c r="T484" s="49">
        <f ca="1"/>
        <v>11.75231225896416</v>
      </c>
      <c r="U484" s="49">
        <f ca="1"/>
        <v>11.731746984589799</v>
      </c>
      <c r="V484" s="49">
        <f ca="1"/>
        <v>11.128735189581883</v>
      </c>
      <c r="W484" s="49">
        <f ca="1"/>
        <v>10.585640716456105</v>
      </c>
      <c r="X484" s="49">
        <f ca="1"/>
        <v>10.014102885314331</v>
      </c>
      <c r="Y484" s="49">
        <f ca="1"/>
        <v>0</v>
      </c>
      <c r="Z484" s="49">
        <f ca="1"/>
        <v>0</v>
      </c>
      <c r="AA484" s="49">
        <f ca="1"/>
        <v>0</v>
      </c>
      <c r="AB484" s="49">
        <f ca="1"/>
        <v>0</v>
      </c>
      <c r="AC484" s="49">
        <f ca="1"/>
        <v>0</v>
      </c>
      <c r="AD484" s="49">
        <f ca="1"/>
        <v>0</v>
      </c>
      <c r="AE484" s="49">
        <f ca="1"/>
        <v>0</v>
      </c>
      <c r="AF484" s="49">
        <f ca="1"/>
        <v>0</v>
      </c>
      <c r="AG484" s="49">
        <f ca="1"/>
        <v>0</v>
      </c>
      <c r="AH484" s="49">
        <f ca="1"/>
        <v>0</v>
      </c>
      <c r="AI484" s="49">
        <f ca="1"/>
        <v>0</v>
      </c>
      <c r="AJ484" s="49">
        <f ca="1"/>
        <v>0</v>
      </c>
      <c r="AK484" s="49">
        <f ca="1"/>
        <v>0</v>
      </c>
      <c r="AL484" s="49">
        <f ca="1"/>
        <v>0</v>
      </c>
      <c r="AM484" s="49">
        <f ca="1"/>
        <v>0</v>
      </c>
      <c r="AN484" s="49">
        <f ca="1"/>
        <v>0</v>
      </c>
      <c r="AO484" s="49">
        <f ca="1"/>
        <v>0</v>
      </c>
      <c r="AP484" s="49">
        <f ca="1"/>
        <v>0</v>
      </c>
      <c r="AQ484" s="49">
        <f ca="1"/>
        <v>0</v>
      </c>
      <c r="AR484" s="49">
        <f ca="1"/>
        <v>0</v>
      </c>
      <c r="AS484" s="49">
        <f ca="1"/>
        <v>0</v>
      </c>
      <c r="AT484" s="49">
        <f ca="1"/>
        <v>0</v>
      </c>
      <c r="AU484" s="49">
        <f ca="1"/>
        <v>0</v>
      </c>
      <c r="AV484" s="49">
        <f ca="1"/>
        <v>0</v>
      </c>
      <c r="AW484" s="49">
        <f ca="1"/>
        <v>0</v>
      </c>
      <c r="AX484" s="49">
        <f ca="1"/>
        <v>0</v>
      </c>
      <c r="AY484" s="49">
        <f ca="1"/>
        <v>0</v>
      </c>
      <c r="AZ484" s="49">
        <f ca="1"/>
        <v>0</v>
      </c>
      <c r="BA484" s="49">
        <f ca="1"/>
        <v>0</v>
      </c>
      <c r="BB484" s="49">
        <f ca="1"/>
        <v>0</v>
      </c>
      <c r="BC484" s="49">
        <f ca="1"/>
        <v>0</v>
      </c>
      <c r="BD484" s="49">
        <f ca="1"/>
        <v>0</v>
      </c>
      <c r="BE484" s="49">
        <f ca="1"/>
        <v>0</v>
      </c>
      <c r="BF484" s="49">
        <f ca="1"/>
        <v>0</v>
      </c>
      <c r="BG484" s="49">
        <f ca="1"/>
        <v>0</v>
      </c>
      <c r="BH484" s="49">
        <f ca="1"/>
        <v>0</v>
      </c>
      <c r="BI484" s="49">
        <f ca="1"/>
        <v>0</v>
      </c>
      <c r="BJ484" s="49">
        <f ca="1"/>
        <v>0</v>
      </c>
      <c r="BK484" s="49">
        <f ca="1"/>
        <v>0</v>
      </c>
      <c r="BL484" s="49">
        <f ca="1"/>
        <v>0</v>
      </c>
      <c r="BM484" s="49">
        <f ca="1"/>
        <v>0</v>
      </c>
      <c r="BN484" s="49">
        <f ca="1"/>
        <v>0</v>
      </c>
      <c r="BO484" s="49">
        <f ca="1"/>
        <v>0</v>
      </c>
      <c r="BP484" s="49">
        <f ca="1"/>
        <v>0</v>
      </c>
      <c r="BQ484" s="49">
        <f ca="1"/>
        <v>0</v>
      </c>
      <c r="BR484" s="49">
        <f ca="1"/>
        <v>0</v>
      </c>
      <c r="BS484" s="49">
        <f ca="1"/>
        <v>0</v>
      </c>
    </row>
    <row r="485" spans="3:71" outlineLevel="1" x14ac:dyDescent="0.2">
      <c r="D485" t="s">
        <v>85</v>
      </c>
      <c r="H485" s="7" t="s">
        <v>532</v>
      </c>
      <c r="I485" s="30">
        <f t="shared" ca="1" si="113"/>
        <v>25.317925636860011</v>
      </c>
      <c r="J485" s="26" t="s">
        <v>148</v>
      </c>
      <c r="L485" s="49" cm="1">
        <f t="array" aca="1" ref="L485:BS485" ca="1">Loango_II!CA_excess_CR_gov</f>
        <v>0</v>
      </c>
      <c r="M485" s="49">
        <f ca="1"/>
        <v>0</v>
      </c>
      <c r="N485" s="49">
        <f ca="1"/>
        <v>0</v>
      </c>
      <c r="O485" s="49">
        <f ca="1"/>
        <v>0</v>
      </c>
      <c r="P485" s="49">
        <f ca="1"/>
        <v>0</v>
      </c>
      <c r="Q485" s="49">
        <f ca="1"/>
        <v>0</v>
      </c>
      <c r="R485" s="49">
        <f ca="1"/>
        <v>0</v>
      </c>
      <c r="S485" s="49">
        <f ca="1"/>
        <v>25.317925636860011</v>
      </c>
      <c r="T485" s="49">
        <f ca="1"/>
        <v>0</v>
      </c>
      <c r="U485" s="49">
        <f ca="1"/>
        <v>0</v>
      </c>
      <c r="V485" s="49">
        <f ca="1"/>
        <v>0</v>
      </c>
      <c r="W485" s="49">
        <f ca="1"/>
        <v>0</v>
      </c>
      <c r="X485" s="49">
        <f ca="1"/>
        <v>0</v>
      </c>
      <c r="Y485" s="49">
        <f ca="1"/>
        <v>0</v>
      </c>
      <c r="Z485" s="49">
        <f ca="1"/>
        <v>0</v>
      </c>
      <c r="AA485" s="49">
        <f ca="1"/>
        <v>0</v>
      </c>
      <c r="AB485" s="49">
        <f ca="1"/>
        <v>0</v>
      </c>
      <c r="AC485" s="49">
        <f ca="1"/>
        <v>0</v>
      </c>
      <c r="AD485" s="49">
        <f ca="1"/>
        <v>0</v>
      </c>
      <c r="AE485" s="49">
        <f ca="1"/>
        <v>0</v>
      </c>
      <c r="AF485" s="49">
        <f ca="1"/>
        <v>0</v>
      </c>
      <c r="AG485" s="49">
        <f ca="1"/>
        <v>0</v>
      </c>
      <c r="AH485" s="49">
        <f ca="1"/>
        <v>0</v>
      </c>
      <c r="AI485" s="49">
        <f ca="1"/>
        <v>0</v>
      </c>
      <c r="AJ485" s="49">
        <f ca="1"/>
        <v>0</v>
      </c>
      <c r="AK485" s="49">
        <f ca="1"/>
        <v>0</v>
      </c>
      <c r="AL485" s="49">
        <f ca="1"/>
        <v>0</v>
      </c>
      <c r="AM485" s="49">
        <f ca="1"/>
        <v>0</v>
      </c>
      <c r="AN485" s="49">
        <f ca="1"/>
        <v>0</v>
      </c>
      <c r="AO485" s="49">
        <f ca="1"/>
        <v>0</v>
      </c>
      <c r="AP485" s="49">
        <f ca="1"/>
        <v>0</v>
      </c>
      <c r="AQ485" s="49">
        <f ca="1"/>
        <v>0</v>
      </c>
      <c r="AR485" s="49">
        <f ca="1"/>
        <v>0</v>
      </c>
      <c r="AS485" s="49">
        <f ca="1"/>
        <v>0</v>
      </c>
      <c r="AT485" s="49">
        <f ca="1"/>
        <v>0</v>
      </c>
      <c r="AU485" s="49">
        <f ca="1"/>
        <v>0</v>
      </c>
      <c r="AV485" s="49">
        <f ca="1"/>
        <v>0</v>
      </c>
      <c r="AW485" s="49">
        <f ca="1"/>
        <v>0</v>
      </c>
      <c r="AX485" s="49">
        <f ca="1"/>
        <v>0</v>
      </c>
      <c r="AY485" s="49">
        <f ca="1"/>
        <v>0</v>
      </c>
      <c r="AZ485" s="49">
        <f ca="1"/>
        <v>0</v>
      </c>
      <c r="BA485" s="49">
        <f ca="1"/>
        <v>0</v>
      </c>
      <c r="BB485" s="49">
        <f ca="1"/>
        <v>0</v>
      </c>
      <c r="BC485" s="49">
        <f ca="1"/>
        <v>0</v>
      </c>
      <c r="BD485" s="49">
        <f ca="1"/>
        <v>0</v>
      </c>
      <c r="BE485" s="49">
        <f ca="1"/>
        <v>0</v>
      </c>
      <c r="BF485" s="49">
        <f ca="1"/>
        <v>0</v>
      </c>
      <c r="BG485" s="49">
        <f ca="1"/>
        <v>0</v>
      </c>
      <c r="BH485" s="49">
        <f ca="1"/>
        <v>0</v>
      </c>
      <c r="BI485" s="49">
        <f ca="1"/>
        <v>0</v>
      </c>
      <c r="BJ485" s="49">
        <f ca="1"/>
        <v>0</v>
      </c>
      <c r="BK485" s="49">
        <f ca="1"/>
        <v>0</v>
      </c>
      <c r="BL485" s="49">
        <f ca="1"/>
        <v>0</v>
      </c>
      <c r="BM485" s="49">
        <f ca="1"/>
        <v>0</v>
      </c>
      <c r="BN485" s="49">
        <f ca="1"/>
        <v>0</v>
      </c>
      <c r="BO485" s="49">
        <f ca="1"/>
        <v>0</v>
      </c>
      <c r="BP485" s="49">
        <f ca="1"/>
        <v>0</v>
      </c>
      <c r="BQ485" s="49">
        <f ca="1"/>
        <v>0</v>
      </c>
      <c r="BR485" s="49">
        <f ca="1"/>
        <v>0</v>
      </c>
      <c r="BS485" s="49">
        <f ca="1"/>
        <v>0</v>
      </c>
    </row>
    <row r="486" spans="3:71" outlineLevel="1" x14ac:dyDescent="0.2">
      <c r="D486" t="s">
        <v>294</v>
      </c>
      <c r="H486" s="7" t="s">
        <v>533</v>
      </c>
      <c r="I486" s="30">
        <f t="shared" ca="1" si="113"/>
        <v>1815.5307248217346</v>
      </c>
      <c r="J486" s="26" t="s">
        <v>148</v>
      </c>
      <c r="L486" s="49" cm="1">
        <f t="array" aca="1" ref="L486:BS486" ca="1">Loango_II!CA_Spo_gov</f>
        <v>61.985769892971192</v>
      </c>
      <c r="M486" s="49">
        <f ca="1"/>
        <v>25.159168200357517</v>
      </c>
      <c r="N486" s="49">
        <f ca="1"/>
        <v>0</v>
      </c>
      <c r="O486" s="49">
        <f ca="1"/>
        <v>0</v>
      </c>
      <c r="P486" s="49">
        <f ca="1"/>
        <v>0</v>
      </c>
      <c r="Q486" s="49">
        <f ca="1"/>
        <v>0</v>
      </c>
      <c r="R486" s="49">
        <f ca="1"/>
        <v>303.27779305962588</v>
      </c>
      <c r="S486" s="49">
        <f ca="1"/>
        <v>90.090134652275992</v>
      </c>
      <c r="T486" s="49">
        <f ca="1"/>
        <v>272.73926379356999</v>
      </c>
      <c r="U486" s="49">
        <f ca="1"/>
        <v>278.74630835385358</v>
      </c>
      <c r="V486" s="49">
        <f ca="1"/>
        <v>264.41874810446558</v>
      </c>
      <c r="W486" s="49">
        <f ca="1"/>
        <v>266.75814605469384</v>
      </c>
      <c r="X486" s="49">
        <f ca="1"/>
        <v>252.35539270992115</v>
      </c>
      <c r="Y486" s="49">
        <f ca="1"/>
        <v>0</v>
      </c>
      <c r="Z486" s="49">
        <f ca="1"/>
        <v>0</v>
      </c>
      <c r="AA486" s="49">
        <f ca="1"/>
        <v>0</v>
      </c>
      <c r="AB486" s="49">
        <f ca="1"/>
        <v>0</v>
      </c>
      <c r="AC486" s="49">
        <f ca="1"/>
        <v>0</v>
      </c>
      <c r="AD486" s="49">
        <f ca="1"/>
        <v>0</v>
      </c>
      <c r="AE486" s="49">
        <f ca="1"/>
        <v>0</v>
      </c>
      <c r="AF486" s="49">
        <f ca="1"/>
        <v>0</v>
      </c>
      <c r="AG486" s="49">
        <f ca="1"/>
        <v>0</v>
      </c>
      <c r="AH486" s="49">
        <f ca="1"/>
        <v>0</v>
      </c>
      <c r="AI486" s="49">
        <f ca="1"/>
        <v>0</v>
      </c>
      <c r="AJ486" s="49">
        <f ca="1"/>
        <v>0</v>
      </c>
      <c r="AK486" s="49">
        <f ca="1"/>
        <v>0</v>
      </c>
      <c r="AL486" s="49">
        <f ca="1"/>
        <v>0</v>
      </c>
      <c r="AM486" s="49">
        <f ca="1"/>
        <v>0</v>
      </c>
      <c r="AN486" s="49">
        <f ca="1"/>
        <v>0</v>
      </c>
      <c r="AO486" s="49">
        <f ca="1"/>
        <v>0</v>
      </c>
      <c r="AP486" s="49">
        <f ca="1"/>
        <v>0</v>
      </c>
      <c r="AQ486" s="49">
        <f ca="1"/>
        <v>0</v>
      </c>
      <c r="AR486" s="49">
        <f ca="1"/>
        <v>0</v>
      </c>
      <c r="AS486" s="49">
        <f ca="1"/>
        <v>0</v>
      </c>
      <c r="AT486" s="49">
        <f ca="1"/>
        <v>0</v>
      </c>
      <c r="AU486" s="49">
        <f ca="1"/>
        <v>0</v>
      </c>
      <c r="AV486" s="49">
        <f ca="1"/>
        <v>0</v>
      </c>
      <c r="AW486" s="49">
        <f ca="1"/>
        <v>0</v>
      </c>
      <c r="AX486" s="49">
        <f ca="1"/>
        <v>0</v>
      </c>
      <c r="AY486" s="49">
        <f ca="1"/>
        <v>0</v>
      </c>
      <c r="AZ486" s="49">
        <f ca="1"/>
        <v>0</v>
      </c>
      <c r="BA486" s="49">
        <f ca="1"/>
        <v>0</v>
      </c>
      <c r="BB486" s="49">
        <f ca="1"/>
        <v>0</v>
      </c>
      <c r="BC486" s="49">
        <f ca="1"/>
        <v>0</v>
      </c>
      <c r="BD486" s="49">
        <f ca="1"/>
        <v>0</v>
      </c>
      <c r="BE486" s="49">
        <f ca="1"/>
        <v>0</v>
      </c>
      <c r="BF486" s="49">
        <f ca="1"/>
        <v>0</v>
      </c>
      <c r="BG486" s="49">
        <f ca="1"/>
        <v>0</v>
      </c>
      <c r="BH486" s="49">
        <f ca="1"/>
        <v>0</v>
      </c>
      <c r="BI486" s="49">
        <f ca="1"/>
        <v>0</v>
      </c>
      <c r="BJ486" s="49">
        <f ca="1"/>
        <v>0</v>
      </c>
      <c r="BK486" s="49">
        <f ca="1"/>
        <v>0</v>
      </c>
      <c r="BL486" s="49">
        <f ca="1"/>
        <v>0</v>
      </c>
      <c r="BM486" s="49">
        <f ca="1"/>
        <v>0</v>
      </c>
      <c r="BN486" s="49">
        <f ca="1"/>
        <v>0</v>
      </c>
      <c r="BO486" s="49">
        <f ca="1"/>
        <v>0</v>
      </c>
      <c r="BP486" s="49">
        <f ca="1"/>
        <v>0</v>
      </c>
      <c r="BQ486" s="49">
        <f ca="1"/>
        <v>0</v>
      </c>
      <c r="BR486" s="49">
        <f ca="1"/>
        <v>0</v>
      </c>
      <c r="BS486" s="49">
        <f ca="1"/>
        <v>0</v>
      </c>
    </row>
    <row r="487" spans="3:71" outlineLevel="1" x14ac:dyDescent="0.2">
      <c r="D487" t="s">
        <v>226</v>
      </c>
      <c r="H487" s="7" t="s">
        <v>534</v>
      </c>
      <c r="I487" s="30">
        <f t="shared" ca="1" si="113"/>
        <v>1239.6628864994966</v>
      </c>
      <c r="J487" s="26" t="s">
        <v>148</v>
      </c>
      <c r="L487" s="49" cm="1">
        <f t="array" aca="1" ref="L487:BS487" ca="1">Loango_II!CA_PS_gov</f>
        <v>79.855739233931246</v>
      </c>
      <c r="M487" s="49">
        <f ca="1"/>
        <v>82.874871651656264</v>
      </c>
      <c r="N487" s="49">
        <f ca="1"/>
        <v>33.382796125135428</v>
      </c>
      <c r="O487" s="49">
        <f ca="1"/>
        <v>31.510352896671037</v>
      </c>
      <c r="P487" s="49">
        <f ca="1"/>
        <v>87.40516192473919</v>
      </c>
      <c r="Q487" s="49">
        <f ca="1"/>
        <v>173.74160829901274</v>
      </c>
      <c r="R487" s="49">
        <f ca="1"/>
        <v>115.19412068973199</v>
      </c>
      <c r="S487" s="49">
        <f ca="1"/>
        <v>106.67799072000004</v>
      </c>
      <c r="T487" s="49">
        <f ca="1"/>
        <v>98.939464343999958</v>
      </c>
      <c r="U487" s="49">
        <f ca="1"/>
        <v>93.853975876718437</v>
      </c>
      <c r="V487" s="49">
        <f ca="1"/>
        <v>89.029881516655053</v>
      </c>
      <c r="W487" s="49">
        <f ca="1"/>
        <v>127.02768859747334</v>
      </c>
      <c r="X487" s="49">
        <f ca="1"/>
        <v>120.16923462377196</v>
      </c>
      <c r="Y487" s="49">
        <f ca="1"/>
        <v>0</v>
      </c>
      <c r="Z487" s="49">
        <f ca="1"/>
        <v>0</v>
      </c>
      <c r="AA487" s="49">
        <f ca="1"/>
        <v>0</v>
      </c>
      <c r="AB487" s="49">
        <f ca="1"/>
        <v>0</v>
      </c>
      <c r="AC487" s="49">
        <f ca="1"/>
        <v>0</v>
      </c>
      <c r="AD487" s="49">
        <f ca="1"/>
        <v>0</v>
      </c>
      <c r="AE487" s="49">
        <f ca="1"/>
        <v>0</v>
      </c>
      <c r="AF487" s="49">
        <f ca="1"/>
        <v>0</v>
      </c>
      <c r="AG487" s="49">
        <f ca="1"/>
        <v>0</v>
      </c>
      <c r="AH487" s="49">
        <f ca="1"/>
        <v>0</v>
      </c>
      <c r="AI487" s="49">
        <f ca="1"/>
        <v>0</v>
      </c>
      <c r="AJ487" s="49">
        <f ca="1"/>
        <v>0</v>
      </c>
      <c r="AK487" s="49">
        <f ca="1"/>
        <v>0</v>
      </c>
      <c r="AL487" s="49">
        <f ca="1"/>
        <v>0</v>
      </c>
      <c r="AM487" s="49">
        <f ca="1"/>
        <v>0</v>
      </c>
      <c r="AN487" s="49">
        <f ca="1"/>
        <v>0</v>
      </c>
      <c r="AO487" s="49">
        <f ca="1"/>
        <v>0</v>
      </c>
      <c r="AP487" s="49">
        <f ca="1"/>
        <v>0</v>
      </c>
      <c r="AQ487" s="49">
        <f ca="1"/>
        <v>0</v>
      </c>
      <c r="AR487" s="49">
        <f ca="1"/>
        <v>0</v>
      </c>
      <c r="AS487" s="49">
        <f ca="1"/>
        <v>0</v>
      </c>
      <c r="AT487" s="49">
        <f ca="1"/>
        <v>0</v>
      </c>
      <c r="AU487" s="49">
        <f ca="1"/>
        <v>0</v>
      </c>
      <c r="AV487" s="49">
        <f ca="1"/>
        <v>0</v>
      </c>
      <c r="AW487" s="49">
        <f ca="1"/>
        <v>0</v>
      </c>
      <c r="AX487" s="49">
        <f ca="1"/>
        <v>0</v>
      </c>
      <c r="AY487" s="49">
        <f ca="1"/>
        <v>0</v>
      </c>
      <c r="AZ487" s="49">
        <f ca="1"/>
        <v>0</v>
      </c>
      <c r="BA487" s="49">
        <f ca="1"/>
        <v>0</v>
      </c>
      <c r="BB487" s="49">
        <f ca="1"/>
        <v>0</v>
      </c>
      <c r="BC487" s="49">
        <f ca="1"/>
        <v>0</v>
      </c>
      <c r="BD487" s="49">
        <f ca="1"/>
        <v>0</v>
      </c>
      <c r="BE487" s="49">
        <f ca="1"/>
        <v>0</v>
      </c>
      <c r="BF487" s="49">
        <f ca="1"/>
        <v>0</v>
      </c>
      <c r="BG487" s="49">
        <f ca="1"/>
        <v>0</v>
      </c>
      <c r="BH487" s="49">
        <f ca="1"/>
        <v>0</v>
      </c>
      <c r="BI487" s="49">
        <f ca="1"/>
        <v>0</v>
      </c>
      <c r="BJ487" s="49">
        <f ca="1"/>
        <v>0</v>
      </c>
      <c r="BK487" s="49">
        <f ca="1"/>
        <v>0</v>
      </c>
      <c r="BL487" s="49">
        <f ca="1"/>
        <v>0</v>
      </c>
      <c r="BM487" s="49">
        <f ca="1"/>
        <v>0</v>
      </c>
      <c r="BN487" s="49">
        <f ca="1"/>
        <v>0</v>
      </c>
      <c r="BO487" s="49">
        <f ca="1"/>
        <v>0</v>
      </c>
      <c r="BP487" s="49">
        <f ca="1"/>
        <v>0</v>
      </c>
      <c r="BQ487" s="49">
        <f ca="1"/>
        <v>0</v>
      </c>
      <c r="BR487" s="49">
        <f ca="1"/>
        <v>0</v>
      </c>
      <c r="BS487" s="49">
        <f ca="1"/>
        <v>0</v>
      </c>
    </row>
    <row r="488" spans="3:71" outlineLevel="1" x14ac:dyDescent="0.2">
      <c r="D488" t="s">
        <v>295</v>
      </c>
      <c r="I488" s="30">
        <f t="shared" si="113"/>
        <v>0</v>
      </c>
      <c r="J488" s="26" t="s">
        <v>148</v>
      </c>
      <c r="L488" s="49">
        <v>0</v>
      </c>
      <c r="M488" s="49">
        <v>0</v>
      </c>
      <c r="N488" s="49">
        <v>0</v>
      </c>
      <c r="O488" s="49">
        <v>0</v>
      </c>
      <c r="P488" s="49">
        <v>0</v>
      </c>
      <c r="Q488" s="49">
        <v>0</v>
      </c>
      <c r="R488" s="49">
        <v>0</v>
      </c>
      <c r="S488" s="49">
        <v>0</v>
      </c>
      <c r="T488" s="49">
        <v>0</v>
      </c>
      <c r="U488" s="49">
        <v>0</v>
      </c>
      <c r="V488" s="49">
        <v>0</v>
      </c>
      <c r="W488" s="49">
        <v>0</v>
      </c>
      <c r="X488" s="49">
        <v>0</v>
      </c>
      <c r="Y488" s="49">
        <v>0</v>
      </c>
      <c r="Z488" s="49">
        <v>0</v>
      </c>
      <c r="AA488" s="49">
        <v>0</v>
      </c>
      <c r="AB488" s="49">
        <v>0</v>
      </c>
      <c r="AC488" s="49">
        <v>0</v>
      </c>
      <c r="AD488" s="49">
        <v>0</v>
      </c>
      <c r="AE488" s="49">
        <v>0</v>
      </c>
      <c r="AF488" s="49">
        <v>0</v>
      </c>
      <c r="AG488" s="49">
        <v>0</v>
      </c>
      <c r="AH488" s="49">
        <v>0</v>
      </c>
      <c r="AI488" s="49">
        <v>0</v>
      </c>
      <c r="AJ488" s="49">
        <v>0</v>
      </c>
      <c r="AK488" s="49">
        <v>0</v>
      </c>
      <c r="AL488" s="49">
        <v>0</v>
      </c>
      <c r="AM488" s="49">
        <v>0</v>
      </c>
      <c r="AN488" s="49">
        <v>0</v>
      </c>
      <c r="AO488" s="49">
        <v>0</v>
      </c>
      <c r="AP488" s="49">
        <v>0</v>
      </c>
      <c r="AQ488" s="49">
        <v>0</v>
      </c>
      <c r="AR488" s="49">
        <v>0</v>
      </c>
      <c r="AS488" s="49">
        <v>0</v>
      </c>
      <c r="AT488" s="49">
        <v>0</v>
      </c>
      <c r="AU488" s="49">
        <v>0</v>
      </c>
      <c r="AV488" s="49">
        <v>0</v>
      </c>
      <c r="AW488" s="49">
        <v>0</v>
      </c>
      <c r="AX488" s="49">
        <v>0</v>
      </c>
      <c r="AY488" s="49">
        <v>0</v>
      </c>
      <c r="AZ488" s="49">
        <v>0</v>
      </c>
      <c r="BA488" s="49">
        <v>0</v>
      </c>
      <c r="BB488" s="49">
        <v>0</v>
      </c>
      <c r="BC488" s="49">
        <v>0</v>
      </c>
      <c r="BD488" s="49">
        <v>0</v>
      </c>
      <c r="BE488" s="49">
        <v>0</v>
      </c>
      <c r="BF488" s="49">
        <v>0</v>
      </c>
      <c r="BG488" s="49">
        <v>0</v>
      </c>
      <c r="BH488" s="49">
        <v>0</v>
      </c>
      <c r="BI488" s="49">
        <v>0</v>
      </c>
      <c r="BJ488" s="49">
        <v>0</v>
      </c>
      <c r="BK488" s="49">
        <v>0</v>
      </c>
      <c r="BL488" s="49">
        <v>0</v>
      </c>
      <c r="BM488" s="49">
        <v>0</v>
      </c>
      <c r="BN488" s="49">
        <v>0</v>
      </c>
      <c r="BO488" s="49">
        <v>0</v>
      </c>
      <c r="BP488" s="49">
        <v>0</v>
      </c>
      <c r="BQ488" s="49">
        <v>0</v>
      </c>
      <c r="BR488" s="49">
        <v>0</v>
      </c>
      <c r="BS488" s="49">
        <v>0</v>
      </c>
    </row>
    <row r="489" spans="3:71" outlineLevel="1" x14ac:dyDescent="0.2">
      <c r="D489" t="s">
        <v>274</v>
      </c>
      <c r="I489" s="30">
        <f t="shared" si="113"/>
        <v>0</v>
      </c>
      <c r="J489" s="26" t="s">
        <v>148</v>
      </c>
      <c r="L489" s="49">
        <v>0</v>
      </c>
      <c r="M489" s="49">
        <v>0</v>
      </c>
      <c r="N489" s="49">
        <v>0</v>
      </c>
      <c r="O489" s="49">
        <v>0</v>
      </c>
      <c r="P489" s="49">
        <v>0</v>
      </c>
      <c r="Q489" s="49">
        <v>0</v>
      </c>
      <c r="R489" s="49">
        <v>0</v>
      </c>
      <c r="S489" s="49">
        <v>0</v>
      </c>
      <c r="T489" s="49">
        <v>0</v>
      </c>
      <c r="U489" s="49">
        <v>0</v>
      </c>
      <c r="V489" s="49">
        <v>0</v>
      </c>
      <c r="W489" s="49">
        <v>0</v>
      </c>
      <c r="X489" s="49">
        <v>0</v>
      </c>
      <c r="Y489" s="49">
        <v>0</v>
      </c>
      <c r="Z489" s="49">
        <v>0</v>
      </c>
      <c r="AA489" s="49">
        <v>0</v>
      </c>
      <c r="AB489" s="49">
        <v>0</v>
      </c>
      <c r="AC489" s="49">
        <v>0</v>
      </c>
      <c r="AD489" s="49">
        <v>0</v>
      </c>
      <c r="AE489" s="49">
        <v>0</v>
      </c>
      <c r="AF489" s="49">
        <v>0</v>
      </c>
      <c r="AG489" s="49">
        <v>0</v>
      </c>
      <c r="AH489" s="49">
        <v>0</v>
      </c>
      <c r="AI489" s="49">
        <v>0</v>
      </c>
      <c r="AJ489" s="49">
        <v>0</v>
      </c>
      <c r="AK489" s="49">
        <v>0</v>
      </c>
      <c r="AL489" s="49">
        <v>0</v>
      </c>
      <c r="AM489" s="49">
        <v>0</v>
      </c>
      <c r="AN489" s="49">
        <v>0</v>
      </c>
      <c r="AO489" s="49">
        <v>0</v>
      </c>
      <c r="AP489" s="49">
        <v>0</v>
      </c>
      <c r="AQ489" s="49">
        <v>0</v>
      </c>
      <c r="AR489" s="49">
        <v>0</v>
      </c>
      <c r="AS489" s="49">
        <v>0</v>
      </c>
      <c r="AT489" s="49">
        <v>0</v>
      </c>
      <c r="AU489" s="49">
        <v>0</v>
      </c>
      <c r="AV489" s="49">
        <v>0</v>
      </c>
      <c r="AW489" s="49">
        <v>0</v>
      </c>
      <c r="AX489" s="49">
        <v>0</v>
      </c>
      <c r="AY489" s="49">
        <v>0</v>
      </c>
      <c r="AZ489" s="49">
        <v>0</v>
      </c>
      <c r="BA489" s="49">
        <v>0</v>
      </c>
      <c r="BB489" s="49">
        <v>0</v>
      </c>
      <c r="BC489" s="49">
        <v>0</v>
      </c>
      <c r="BD489" s="49">
        <v>0</v>
      </c>
      <c r="BE489" s="49">
        <v>0</v>
      </c>
      <c r="BF489" s="49">
        <v>0</v>
      </c>
      <c r="BG489" s="49">
        <v>0</v>
      </c>
      <c r="BH489" s="49">
        <v>0</v>
      </c>
      <c r="BI489" s="49">
        <v>0</v>
      </c>
      <c r="BJ489" s="49">
        <v>0</v>
      </c>
      <c r="BK489" s="49">
        <v>0</v>
      </c>
      <c r="BL489" s="49">
        <v>0</v>
      </c>
      <c r="BM489" s="49">
        <v>0</v>
      </c>
      <c r="BN489" s="49">
        <v>0</v>
      </c>
      <c r="BO489" s="49">
        <v>0</v>
      </c>
      <c r="BP489" s="49">
        <v>0</v>
      </c>
      <c r="BQ489" s="49">
        <v>0</v>
      </c>
      <c r="BR489" s="49">
        <v>0</v>
      </c>
      <c r="BS489" s="49">
        <v>0</v>
      </c>
    </row>
    <row r="490" spans="3:71" outlineLevel="1" x14ac:dyDescent="0.2">
      <c r="D490" t="s">
        <v>296</v>
      </c>
      <c r="I490" s="30">
        <f t="shared" si="113"/>
        <v>0</v>
      </c>
      <c r="J490" s="26" t="s">
        <v>148</v>
      </c>
      <c r="L490" s="49">
        <v>0</v>
      </c>
      <c r="M490" s="49">
        <v>0</v>
      </c>
      <c r="N490" s="49">
        <v>0</v>
      </c>
      <c r="O490" s="49">
        <v>0</v>
      </c>
      <c r="P490" s="49">
        <v>0</v>
      </c>
      <c r="Q490" s="49">
        <v>0</v>
      </c>
      <c r="R490" s="49">
        <v>0</v>
      </c>
      <c r="S490" s="49">
        <v>0</v>
      </c>
      <c r="T490" s="49">
        <v>0</v>
      </c>
      <c r="U490" s="49">
        <v>0</v>
      </c>
      <c r="V490" s="49">
        <v>0</v>
      </c>
      <c r="W490" s="49">
        <v>0</v>
      </c>
      <c r="X490" s="49">
        <v>0</v>
      </c>
      <c r="Y490" s="49">
        <v>0</v>
      </c>
      <c r="Z490" s="49">
        <v>0</v>
      </c>
      <c r="AA490" s="49">
        <v>0</v>
      </c>
      <c r="AB490" s="49">
        <v>0</v>
      </c>
      <c r="AC490" s="49">
        <v>0</v>
      </c>
      <c r="AD490" s="49">
        <v>0</v>
      </c>
      <c r="AE490" s="49">
        <v>0</v>
      </c>
      <c r="AF490" s="49">
        <v>0</v>
      </c>
      <c r="AG490" s="49">
        <v>0</v>
      </c>
      <c r="AH490" s="49">
        <v>0</v>
      </c>
      <c r="AI490" s="49">
        <v>0</v>
      </c>
      <c r="AJ490" s="49">
        <v>0</v>
      </c>
      <c r="AK490" s="49">
        <v>0</v>
      </c>
      <c r="AL490" s="49">
        <v>0</v>
      </c>
      <c r="AM490" s="49">
        <v>0</v>
      </c>
      <c r="AN490" s="49">
        <v>0</v>
      </c>
      <c r="AO490" s="49">
        <v>0</v>
      </c>
      <c r="AP490" s="49">
        <v>0</v>
      </c>
      <c r="AQ490" s="49">
        <v>0</v>
      </c>
      <c r="AR490" s="49">
        <v>0</v>
      </c>
      <c r="AS490" s="49">
        <v>0</v>
      </c>
      <c r="AT490" s="49">
        <v>0</v>
      </c>
      <c r="AU490" s="49">
        <v>0</v>
      </c>
      <c r="AV490" s="49">
        <v>0</v>
      </c>
      <c r="AW490" s="49">
        <v>0</v>
      </c>
      <c r="AX490" s="49">
        <v>0</v>
      </c>
      <c r="AY490" s="49">
        <v>0</v>
      </c>
      <c r="AZ490" s="49">
        <v>0</v>
      </c>
      <c r="BA490" s="49">
        <v>0</v>
      </c>
      <c r="BB490" s="49">
        <v>0</v>
      </c>
      <c r="BC490" s="49">
        <v>0</v>
      </c>
      <c r="BD490" s="49">
        <v>0</v>
      </c>
      <c r="BE490" s="49">
        <v>0</v>
      </c>
      <c r="BF490" s="49">
        <v>0</v>
      </c>
      <c r="BG490" s="49">
        <v>0</v>
      </c>
      <c r="BH490" s="49">
        <v>0</v>
      </c>
      <c r="BI490" s="49">
        <v>0</v>
      </c>
      <c r="BJ490" s="49">
        <v>0</v>
      </c>
      <c r="BK490" s="49">
        <v>0</v>
      </c>
      <c r="BL490" s="49">
        <v>0</v>
      </c>
      <c r="BM490" s="49">
        <v>0</v>
      </c>
      <c r="BN490" s="49">
        <v>0</v>
      </c>
      <c r="BO490" s="49">
        <v>0</v>
      </c>
      <c r="BP490" s="49">
        <v>0</v>
      </c>
      <c r="BQ490" s="49">
        <v>0</v>
      </c>
      <c r="BR490" s="49">
        <v>0</v>
      </c>
      <c r="BS490" s="49">
        <v>0</v>
      </c>
    </row>
    <row r="491" spans="3:71" outlineLevel="1" x14ac:dyDescent="0.2">
      <c r="C491" s="11" t="s">
        <v>297</v>
      </c>
      <c r="J491" s="26"/>
      <c r="L491" s="55"/>
      <c r="M491" s="55"/>
      <c r="N491" s="55"/>
      <c r="O491" s="55"/>
      <c r="P491" s="55"/>
      <c r="Q491" s="55"/>
      <c r="R491" s="55"/>
      <c r="S491" s="55"/>
      <c r="T491" s="55"/>
      <c r="U491" s="55"/>
      <c r="V491" s="55"/>
      <c r="W491" s="55"/>
      <c r="X491" s="55"/>
      <c r="Y491" s="55"/>
      <c r="Z491" s="55"/>
      <c r="AA491" s="55"/>
      <c r="AB491" s="55"/>
      <c r="AC491" s="55"/>
      <c r="AD491" s="55"/>
      <c r="AE491" s="55"/>
      <c r="AF491" s="55"/>
      <c r="AG491" s="55"/>
      <c r="AH491" s="55"/>
      <c r="AI491" s="55"/>
      <c r="AJ491" s="55"/>
      <c r="AK491" s="55"/>
      <c r="AL491" s="55"/>
      <c r="AM491" s="55"/>
      <c r="AN491" s="55"/>
      <c r="AO491" s="55"/>
      <c r="AP491" s="55"/>
      <c r="AQ491" s="55"/>
      <c r="AR491" s="55"/>
      <c r="AS491" s="55"/>
      <c r="AT491" s="55"/>
      <c r="AU491" s="55"/>
      <c r="AV491" s="55"/>
      <c r="AW491" s="55"/>
      <c r="AX491" s="55"/>
      <c r="AY491" s="55"/>
      <c r="AZ491" s="55"/>
      <c r="BA491" s="55"/>
      <c r="BB491" s="55"/>
      <c r="BC491" s="55"/>
      <c r="BD491" s="55"/>
      <c r="BE491" s="55"/>
      <c r="BF491" s="55"/>
      <c r="BG491" s="55"/>
      <c r="BH491" s="55"/>
      <c r="BI491" s="55"/>
      <c r="BJ491" s="55"/>
      <c r="BK491" s="55"/>
      <c r="BL491" s="55"/>
      <c r="BM491" s="55"/>
      <c r="BN491" s="55"/>
      <c r="BO491" s="55"/>
      <c r="BP491" s="55"/>
      <c r="BQ491" s="55"/>
      <c r="BR491" s="55"/>
      <c r="BS491" s="55"/>
    </row>
    <row r="492" spans="3:71" outlineLevel="1" x14ac:dyDescent="0.2">
      <c r="D492" t="s">
        <v>298</v>
      </c>
      <c r="I492" s="30">
        <f t="shared" si="113"/>
        <v>0</v>
      </c>
      <c r="J492" s="26" t="s">
        <v>148</v>
      </c>
      <c r="L492" s="49">
        <v>0</v>
      </c>
      <c r="M492" s="49">
        <v>0</v>
      </c>
      <c r="N492" s="49">
        <v>0</v>
      </c>
      <c r="O492" s="49">
        <v>0</v>
      </c>
      <c r="P492" s="49">
        <v>0</v>
      </c>
      <c r="Q492" s="49">
        <v>0</v>
      </c>
      <c r="R492" s="49">
        <v>0</v>
      </c>
      <c r="S492" s="49">
        <v>0</v>
      </c>
      <c r="T492" s="49">
        <v>0</v>
      </c>
      <c r="U492" s="49">
        <v>0</v>
      </c>
      <c r="V492" s="49">
        <v>0</v>
      </c>
      <c r="W492" s="49">
        <v>0</v>
      </c>
      <c r="X492" s="49">
        <v>0</v>
      </c>
      <c r="Y492" s="49">
        <v>0</v>
      </c>
      <c r="Z492" s="49">
        <v>0</v>
      </c>
      <c r="AA492" s="49">
        <v>0</v>
      </c>
      <c r="AB492" s="49">
        <v>0</v>
      </c>
      <c r="AC492" s="49">
        <v>0</v>
      </c>
      <c r="AD492" s="49">
        <v>0</v>
      </c>
      <c r="AE492" s="49">
        <v>0</v>
      </c>
      <c r="AF492" s="49">
        <v>0</v>
      </c>
      <c r="AG492" s="49">
        <v>0</v>
      </c>
      <c r="AH492" s="49">
        <v>0</v>
      </c>
      <c r="AI492" s="49">
        <v>0</v>
      </c>
      <c r="AJ492" s="49">
        <v>0</v>
      </c>
      <c r="AK492" s="49">
        <v>0</v>
      </c>
      <c r="AL492" s="49">
        <v>0</v>
      </c>
      <c r="AM492" s="49">
        <v>0</v>
      </c>
      <c r="AN492" s="49">
        <v>0</v>
      </c>
      <c r="AO492" s="49">
        <v>0</v>
      </c>
      <c r="AP492" s="49">
        <v>0</v>
      </c>
      <c r="AQ492" s="49">
        <v>0</v>
      </c>
      <c r="AR492" s="49">
        <v>0</v>
      </c>
      <c r="AS492" s="49">
        <v>0</v>
      </c>
      <c r="AT492" s="49">
        <v>0</v>
      </c>
      <c r="AU492" s="49">
        <v>0</v>
      </c>
      <c r="AV492" s="49">
        <v>0</v>
      </c>
      <c r="AW492" s="49">
        <v>0</v>
      </c>
      <c r="AX492" s="49">
        <v>0</v>
      </c>
      <c r="AY492" s="49">
        <v>0</v>
      </c>
      <c r="AZ492" s="49">
        <v>0</v>
      </c>
      <c r="BA492" s="49">
        <v>0</v>
      </c>
      <c r="BB492" s="49">
        <v>0</v>
      </c>
      <c r="BC492" s="49">
        <v>0</v>
      </c>
      <c r="BD492" s="49">
        <v>0</v>
      </c>
      <c r="BE492" s="49">
        <v>0</v>
      </c>
      <c r="BF492" s="49">
        <v>0</v>
      </c>
      <c r="BG492" s="49">
        <v>0</v>
      </c>
      <c r="BH492" s="49">
        <v>0</v>
      </c>
      <c r="BI492" s="49">
        <v>0</v>
      </c>
      <c r="BJ492" s="49">
        <v>0</v>
      </c>
      <c r="BK492" s="49">
        <v>0</v>
      </c>
      <c r="BL492" s="49">
        <v>0</v>
      </c>
      <c r="BM492" s="49">
        <v>0</v>
      </c>
      <c r="BN492" s="49">
        <v>0</v>
      </c>
      <c r="BO492" s="49">
        <v>0</v>
      </c>
      <c r="BP492" s="49">
        <v>0</v>
      </c>
      <c r="BQ492" s="49">
        <v>0</v>
      </c>
      <c r="BR492" s="49">
        <v>0</v>
      </c>
      <c r="BS492" s="49">
        <v>0</v>
      </c>
    </row>
    <row r="493" spans="3:71" outlineLevel="1" x14ac:dyDescent="0.2">
      <c r="D493" t="s">
        <v>299</v>
      </c>
      <c r="I493" s="30">
        <f t="shared" si="113"/>
        <v>0</v>
      </c>
      <c r="J493" s="26" t="s">
        <v>148</v>
      </c>
      <c r="L493" s="49">
        <v>0</v>
      </c>
      <c r="M493" s="49">
        <v>0</v>
      </c>
      <c r="N493" s="49">
        <v>0</v>
      </c>
      <c r="O493" s="49">
        <v>0</v>
      </c>
      <c r="P493" s="49">
        <v>0</v>
      </c>
      <c r="Q493" s="49">
        <v>0</v>
      </c>
      <c r="R493" s="49">
        <v>0</v>
      </c>
      <c r="S493" s="49">
        <v>0</v>
      </c>
      <c r="T493" s="49">
        <v>0</v>
      </c>
      <c r="U493" s="49">
        <v>0</v>
      </c>
      <c r="V493" s="49">
        <v>0</v>
      </c>
      <c r="W493" s="49">
        <v>0</v>
      </c>
      <c r="X493" s="49">
        <v>0</v>
      </c>
      <c r="Y493" s="49">
        <v>0</v>
      </c>
      <c r="Z493" s="49">
        <v>0</v>
      </c>
      <c r="AA493" s="49">
        <v>0</v>
      </c>
      <c r="AB493" s="49">
        <v>0</v>
      </c>
      <c r="AC493" s="49">
        <v>0</v>
      </c>
      <c r="AD493" s="49">
        <v>0</v>
      </c>
      <c r="AE493" s="49">
        <v>0</v>
      </c>
      <c r="AF493" s="49">
        <v>0</v>
      </c>
      <c r="AG493" s="49">
        <v>0</v>
      </c>
      <c r="AH493" s="49">
        <v>0</v>
      </c>
      <c r="AI493" s="49">
        <v>0</v>
      </c>
      <c r="AJ493" s="49">
        <v>0</v>
      </c>
      <c r="AK493" s="49">
        <v>0</v>
      </c>
      <c r="AL493" s="49">
        <v>0</v>
      </c>
      <c r="AM493" s="49">
        <v>0</v>
      </c>
      <c r="AN493" s="49">
        <v>0</v>
      </c>
      <c r="AO493" s="49">
        <v>0</v>
      </c>
      <c r="AP493" s="49">
        <v>0</v>
      </c>
      <c r="AQ493" s="49">
        <v>0</v>
      </c>
      <c r="AR493" s="49">
        <v>0</v>
      </c>
      <c r="AS493" s="49">
        <v>0</v>
      </c>
      <c r="AT493" s="49">
        <v>0</v>
      </c>
      <c r="AU493" s="49">
        <v>0</v>
      </c>
      <c r="AV493" s="49">
        <v>0</v>
      </c>
      <c r="AW493" s="49">
        <v>0</v>
      </c>
      <c r="AX493" s="49">
        <v>0</v>
      </c>
      <c r="AY493" s="49">
        <v>0</v>
      </c>
      <c r="AZ493" s="49">
        <v>0</v>
      </c>
      <c r="BA493" s="49">
        <v>0</v>
      </c>
      <c r="BB493" s="49">
        <v>0</v>
      </c>
      <c r="BC493" s="49">
        <v>0</v>
      </c>
      <c r="BD493" s="49">
        <v>0</v>
      </c>
      <c r="BE493" s="49">
        <v>0</v>
      </c>
      <c r="BF493" s="49">
        <v>0</v>
      </c>
      <c r="BG493" s="49">
        <v>0</v>
      </c>
      <c r="BH493" s="49">
        <v>0</v>
      </c>
      <c r="BI493" s="49">
        <v>0</v>
      </c>
      <c r="BJ493" s="49">
        <v>0</v>
      </c>
      <c r="BK493" s="49">
        <v>0</v>
      </c>
      <c r="BL493" s="49">
        <v>0</v>
      </c>
      <c r="BM493" s="49">
        <v>0</v>
      </c>
      <c r="BN493" s="49">
        <v>0</v>
      </c>
      <c r="BO493" s="49">
        <v>0</v>
      </c>
      <c r="BP493" s="49">
        <v>0</v>
      </c>
      <c r="BQ493" s="49">
        <v>0</v>
      </c>
      <c r="BR493" s="49">
        <v>0</v>
      </c>
      <c r="BS493" s="49">
        <v>0</v>
      </c>
    </row>
    <row r="494" spans="3:71" outlineLevel="1" x14ac:dyDescent="0.2">
      <c r="J494" s="26"/>
      <c r="L494" s="55"/>
      <c r="M494" s="55"/>
      <c r="N494" s="55"/>
      <c r="O494" s="55"/>
      <c r="P494" s="55"/>
      <c r="Q494" s="55"/>
      <c r="R494" s="55"/>
      <c r="S494" s="55"/>
      <c r="T494" s="55"/>
      <c r="U494" s="55"/>
      <c r="V494" s="55"/>
      <c r="W494" s="55"/>
      <c r="X494" s="55"/>
      <c r="Y494" s="55"/>
      <c r="Z494" s="55"/>
      <c r="AA494" s="55"/>
      <c r="AB494" s="55"/>
      <c r="AC494" s="55"/>
      <c r="AD494" s="55"/>
      <c r="AE494" s="55"/>
      <c r="AF494" s="55"/>
      <c r="AG494" s="55"/>
      <c r="AH494" s="55"/>
      <c r="AI494" s="55"/>
      <c r="AJ494" s="55"/>
      <c r="AK494" s="55"/>
      <c r="AL494" s="55"/>
      <c r="AM494" s="55"/>
      <c r="AN494" s="55"/>
      <c r="AO494" s="55"/>
      <c r="AP494" s="55"/>
      <c r="AQ494" s="55"/>
      <c r="AR494" s="55"/>
      <c r="AS494" s="55"/>
      <c r="AT494" s="55"/>
      <c r="AU494" s="55"/>
      <c r="AV494" s="55"/>
      <c r="AW494" s="55"/>
      <c r="AX494" s="55"/>
      <c r="AY494" s="55"/>
      <c r="AZ494" s="55"/>
      <c r="BA494" s="55"/>
      <c r="BB494" s="55"/>
      <c r="BC494" s="55"/>
      <c r="BD494" s="55"/>
      <c r="BE494" s="55"/>
      <c r="BF494" s="55"/>
      <c r="BG494" s="55"/>
      <c r="BH494" s="55"/>
      <c r="BI494" s="55"/>
      <c r="BJ494" s="55"/>
      <c r="BK494" s="55"/>
      <c r="BL494" s="55"/>
      <c r="BM494" s="55"/>
      <c r="BN494" s="55"/>
      <c r="BO494" s="55"/>
      <c r="BP494" s="55"/>
      <c r="BQ494" s="55"/>
      <c r="BR494" s="55"/>
      <c r="BS494" s="55"/>
    </row>
    <row r="495" spans="3:71" outlineLevel="1" x14ac:dyDescent="0.2">
      <c r="C495" s="11" t="s">
        <v>300</v>
      </c>
      <c r="F495" s="64" t="b">
        <f ca="1">ROUND(SUM(I495,I411),2)=ROUND(I385,2)</f>
        <v>1</v>
      </c>
      <c r="H495" s="7" t="s">
        <v>535</v>
      </c>
      <c r="I495" s="30">
        <f t="shared" ca="1" si="113"/>
        <v>4949.8978525390994</v>
      </c>
      <c r="J495" s="26" t="s">
        <v>148</v>
      </c>
      <c r="K495" s="7" t="s">
        <v>401</v>
      </c>
      <c r="L495" s="49">
        <f ca="1">SUM(L483:L490)-SUM(L492:L493)</f>
        <v>261.73550629620144</v>
      </c>
      <c r="M495" s="49">
        <f t="shared" ref="M495:BS495" ca="1" si="114">SUM(M483:M490)-SUM(M492:M493)</f>
        <v>221.28939590848171</v>
      </c>
      <c r="N495" s="49">
        <f t="shared" ca="1" si="114"/>
        <v>76.112775165308761</v>
      </c>
      <c r="O495" s="49">
        <f t="shared" ca="1" si="114"/>
        <v>71.843604604409947</v>
      </c>
      <c r="P495" s="49">
        <f t="shared" ca="1" si="114"/>
        <v>199.28376918840536</v>
      </c>
      <c r="Q495" s="49">
        <f t="shared" ca="1" si="114"/>
        <v>396.13086692174903</v>
      </c>
      <c r="R495" s="49">
        <f t="shared" ca="1" si="114"/>
        <v>630.74885191722365</v>
      </c>
      <c r="S495" s="49">
        <f t="shared" ca="1" si="114"/>
        <v>345.31437000369601</v>
      </c>
      <c r="T495" s="49">
        <f t="shared" ca="1" si="114"/>
        <v>559.71572428099648</v>
      </c>
      <c r="U495" s="49">
        <f t="shared" ca="1" si="114"/>
        <v>560.30823598400877</v>
      </c>
      <c r="V495" s="49">
        <f t="shared" ca="1" si="114"/>
        <v>531.50839265443074</v>
      </c>
      <c r="W495" s="49">
        <f t="shared" ca="1" si="114"/>
        <v>563.15608611546486</v>
      </c>
      <c r="X495" s="49">
        <f t="shared" ca="1" si="114"/>
        <v>532.75027349872244</v>
      </c>
      <c r="Y495" s="49">
        <f t="shared" ca="1" si="114"/>
        <v>0</v>
      </c>
      <c r="Z495" s="49">
        <f t="shared" ca="1" si="114"/>
        <v>0</v>
      </c>
      <c r="AA495" s="49">
        <f t="shared" ca="1" si="114"/>
        <v>0</v>
      </c>
      <c r="AB495" s="49">
        <f t="shared" ca="1" si="114"/>
        <v>0</v>
      </c>
      <c r="AC495" s="49">
        <f t="shared" ca="1" si="114"/>
        <v>0</v>
      </c>
      <c r="AD495" s="49">
        <f t="shared" ca="1" si="114"/>
        <v>0</v>
      </c>
      <c r="AE495" s="49">
        <f t="shared" ca="1" si="114"/>
        <v>0</v>
      </c>
      <c r="AF495" s="49">
        <f t="shared" ca="1" si="114"/>
        <v>0</v>
      </c>
      <c r="AG495" s="49">
        <f t="shared" ca="1" si="114"/>
        <v>0</v>
      </c>
      <c r="AH495" s="49">
        <f t="shared" ca="1" si="114"/>
        <v>0</v>
      </c>
      <c r="AI495" s="49">
        <f t="shared" ca="1" si="114"/>
        <v>0</v>
      </c>
      <c r="AJ495" s="49">
        <f t="shared" ca="1" si="114"/>
        <v>0</v>
      </c>
      <c r="AK495" s="49">
        <f t="shared" ca="1" si="114"/>
        <v>0</v>
      </c>
      <c r="AL495" s="49">
        <f t="shared" ca="1" si="114"/>
        <v>0</v>
      </c>
      <c r="AM495" s="49">
        <f t="shared" ca="1" si="114"/>
        <v>0</v>
      </c>
      <c r="AN495" s="49">
        <f t="shared" ca="1" si="114"/>
        <v>0</v>
      </c>
      <c r="AO495" s="49">
        <f t="shared" ca="1" si="114"/>
        <v>0</v>
      </c>
      <c r="AP495" s="49">
        <f t="shared" ca="1" si="114"/>
        <v>0</v>
      </c>
      <c r="AQ495" s="49">
        <f t="shared" ca="1" si="114"/>
        <v>0</v>
      </c>
      <c r="AR495" s="49">
        <f t="shared" ca="1" si="114"/>
        <v>0</v>
      </c>
      <c r="AS495" s="49">
        <f t="shared" ca="1" si="114"/>
        <v>0</v>
      </c>
      <c r="AT495" s="49">
        <f t="shared" ca="1" si="114"/>
        <v>0</v>
      </c>
      <c r="AU495" s="49">
        <f t="shared" ca="1" si="114"/>
        <v>0</v>
      </c>
      <c r="AV495" s="49">
        <f t="shared" ca="1" si="114"/>
        <v>0</v>
      </c>
      <c r="AW495" s="49">
        <f t="shared" ca="1" si="114"/>
        <v>0</v>
      </c>
      <c r="AX495" s="49">
        <f t="shared" ca="1" si="114"/>
        <v>0</v>
      </c>
      <c r="AY495" s="49">
        <f t="shared" ca="1" si="114"/>
        <v>0</v>
      </c>
      <c r="AZ495" s="49">
        <f t="shared" ca="1" si="114"/>
        <v>0</v>
      </c>
      <c r="BA495" s="49">
        <f t="shared" ca="1" si="114"/>
        <v>0</v>
      </c>
      <c r="BB495" s="49">
        <f t="shared" ca="1" si="114"/>
        <v>0</v>
      </c>
      <c r="BC495" s="49">
        <f t="shared" ca="1" si="114"/>
        <v>0</v>
      </c>
      <c r="BD495" s="49">
        <f t="shared" ca="1" si="114"/>
        <v>0</v>
      </c>
      <c r="BE495" s="49">
        <f t="shared" ca="1" si="114"/>
        <v>0</v>
      </c>
      <c r="BF495" s="49">
        <f t="shared" ca="1" si="114"/>
        <v>0</v>
      </c>
      <c r="BG495" s="49">
        <f t="shared" ca="1" si="114"/>
        <v>0</v>
      </c>
      <c r="BH495" s="49">
        <f t="shared" ca="1" si="114"/>
        <v>0</v>
      </c>
      <c r="BI495" s="49">
        <f t="shared" ca="1" si="114"/>
        <v>0</v>
      </c>
      <c r="BJ495" s="49">
        <f t="shared" ca="1" si="114"/>
        <v>0</v>
      </c>
      <c r="BK495" s="49">
        <f t="shared" ca="1" si="114"/>
        <v>0</v>
      </c>
      <c r="BL495" s="49">
        <f t="shared" ca="1" si="114"/>
        <v>0</v>
      </c>
      <c r="BM495" s="49">
        <f t="shared" ca="1" si="114"/>
        <v>0</v>
      </c>
      <c r="BN495" s="49">
        <f t="shared" ca="1" si="114"/>
        <v>0</v>
      </c>
      <c r="BO495" s="49">
        <f t="shared" ca="1" si="114"/>
        <v>0</v>
      </c>
      <c r="BP495" s="49">
        <f t="shared" ca="1" si="114"/>
        <v>0</v>
      </c>
      <c r="BQ495" s="49">
        <f t="shared" ca="1" si="114"/>
        <v>0</v>
      </c>
      <c r="BR495" s="49">
        <f t="shared" ca="1" si="114"/>
        <v>0</v>
      </c>
      <c r="BS495" s="49">
        <f t="shared" ca="1" si="114"/>
        <v>0</v>
      </c>
    </row>
    <row r="496" spans="3:71" outlineLevel="1" x14ac:dyDescent="0.2">
      <c r="J496" s="26"/>
      <c r="L496" s="55"/>
      <c r="M496" s="55"/>
      <c r="N496" s="55"/>
      <c r="O496" s="55"/>
      <c r="P496" s="55"/>
      <c r="Q496" s="55"/>
      <c r="R496" s="55"/>
      <c r="S496" s="55"/>
      <c r="T496" s="55"/>
      <c r="U496" s="55"/>
      <c r="V496" s="55"/>
      <c r="W496" s="55"/>
      <c r="X496" s="55"/>
      <c r="Y496" s="55"/>
      <c r="Z496" s="55"/>
      <c r="AA496" s="55"/>
      <c r="AB496" s="55"/>
      <c r="AC496" s="55"/>
      <c r="AD496" s="55"/>
      <c r="AE496" s="55"/>
      <c r="AF496" s="55"/>
      <c r="AG496" s="55"/>
      <c r="AH496" s="55"/>
      <c r="AI496" s="55"/>
      <c r="AJ496" s="55"/>
      <c r="AK496" s="55"/>
      <c r="AL496" s="55"/>
      <c r="AM496" s="55"/>
      <c r="AN496" s="55"/>
      <c r="AO496" s="55"/>
      <c r="AP496" s="55"/>
      <c r="AQ496" s="55"/>
      <c r="AR496" s="55"/>
      <c r="AS496" s="55"/>
      <c r="AT496" s="55"/>
      <c r="AU496" s="55"/>
      <c r="AV496" s="55"/>
      <c r="AW496" s="55"/>
      <c r="AX496" s="55"/>
      <c r="AY496" s="55"/>
      <c r="AZ496" s="55"/>
      <c r="BA496" s="55"/>
      <c r="BB496" s="55"/>
      <c r="BC496" s="55"/>
      <c r="BD496" s="55"/>
      <c r="BE496" s="55"/>
      <c r="BF496" s="55"/>
      <c r="BG496" s="55"/>
      <c r="BH496" s="55"/>
      <c r="BI496" s="55"/>
      <c r="BJ496" s="55"/>
      <c r="BK496" s="55"/>
      <c r="BL496" s="55"/>
      <c r="BM496" s="55"/>
      <c r="BN496" s="55"/>
      <c r="BO496" s="55"/>
      <c r="BP496" s="55"/>
      <c r="BQ496" s="55"/>
      <c r="BR496" s="55"/>
      <c r="BS496" s="55"/>
    </row>
    <row r="497" spans="3:71" outlineLevel="1" x14ac:dyDescent="0.2">
      <c r="C497" s="11" t="s">
        <v>284</v>
      </c>
      <c r="G497" s="60"/>
      <c r="H497" s="7" t="s">
        <v>536</v>
      </c>
      <c r="I497" s="65">
        <f t="shared" ca="1" si="113"/>
        <v>2446.4892266689039</v>
      </c>
      <c r="J497" s="26" t="s">
        <v>148</v>
      </c>
      <c r="L497" s="49">
        <f ca="1">OA_gov_CF_Loango*Loango_II!CA_disc_factor_fc</f>
        <v>249.55501353068223</v>
      </c>
      <c r="M497" s="49">
        <f ca="1">OA_gov_CF_Loango*Loango_II!CA_disc_factor_fc</f>
        <v>191.81014581408539</v>
      </c>
      <c r="N497" s="49">
        <f ca="1">OA_gov_CF_Loango*Loango_II!CA_disc_factor_fc</f>
        <v>59.975771639489992</v>
      </c>
      <c r="O497" s="49">
        <f ca="1">OA_gov_CF_Loango*Loango_II!CA_disc_factor_fc</f>
        <v>51.465206060749253</v>
      </c>
      <c r="P497" s="49">
        <f ca="1">OA_gov_CF_Loango*Loango_II!CA_disc_factor_fc</f>
        <v>129.77912612867829</v>
      </c>
      <c r="Q497" s="49">
        <f ca="1">OA_gov_CF_Loango*Loango_II!CA_disc_factor_fc</f>
        <v>234.51947647348473</v>
      </c>
      <c r="R497" s="49">
        <f ca="1">OA_gov_CF_Loango*Loango_II!CA_disc_factor_fc</f>
        <v>339.47204387129796</v>
      </c>
      <c r="S497" s="49">
        <f ca="1">OA_gov_CF_Loango*Loango_II!CA_disc_factor_fc</f>
        <v>168.95440252842974</v>
      </c>
      <c r="T497" s="49">
        <f ca="1">OA_gov_CF_Loango*Loango_II!CA_disc_factor_fc</f>
        <v>248.96006231457727</v>
      </c>
      <c r="U497" s="49">
        <f ca="1">OA_gov_CF_Loango*Loango_II!CA_disc_factor_fc</f>
        <v>226.56691812801671</v>
      </c>
      <c r="V497" s="49">
        <f ca="1">OA_gov_CF_Loango*Loango_II!CA_disc_factor_fc</f>
        <v>195.38307139657874</v>
      </c>
      <c r="W497" s="49">
        <f ca="1">OA_gov_CF_Loango*Loango_II!CA_disc_factor_fc</f>
        <v>188.19708947312955</v>
      </c>
      <c r="X497" s="49">
        <f ca="1">OA_gov_CF_Loango*Loango_II!CA_disc_factor_fc</f>
        <v>161.85089930970418</v>
      </c>
      <c r="Y497" s="49">
        <f ca="1">OA_gov_CF_Loango*Loango_II!CA_disc_factor_fc</f>
        <v>0</v>
      </c>
      <c r="Z497" s="49">
        <f ca="1">OA_gov_CF_Loango*Loango_II!CA_disc_factor_fc</f>
        <v>0</v>
      </c>
      <c r="AA497" s="49">
        <f ca="1">OA_gov_CF_Loango*Loango_II!CA_disc_factor_fc</f>
        <v>0</v>
      </c>
      <c r="AB497" s="49">
        <f ca="1">OA_gov_CF_Loango*Loango_II!CA_disc_factor_fc</f>
        <v>0</v>
      </c>
      <c r="AC497" s="49">
        <f ca="1">OA_gov_CF_Loango*Loango_II!CA_disc_factor_fc</f>
        <v>0</v>
      </c>
      <c r="AD497" s="49">
        <f ca="1">OA_gov_CF_Loango*Loango_II!CA_disc_factor_fc</f>
        <v>0</v>
      </c>
      <c r="AE497" s="49">
        <f ca="1">OA_gov_CF_Loango*Loango_II!CA_disc_factor_fc</f>
        <v>0</v>
      </c>
      <c r="AF497" s="49">
        <f ca="1">OA_gov_CF_Loango*Loango_II!CA_disc_factor_fc</f>
        <v>0</v>
      </c>
      <c r="AG497" s="49">
        <f ca="1">OA_gov_CF_Loango*Loango_II!CA_disc_factor_fc</f>
        <v>0</v>
      </c>
      <c r="AH497" s="49">
        <f ca="1">OA_gov_CF_Loango*Loango_II!CA_disc_factor_fc</f>
        <v>0</v>
      </c>
      <c r="AI497" s="49">
        <f ca="1">OA_gov_CF_Loango*Loango_II!CA_disc_factor_fc</f>
        <v>0</v>
      </c>
      <c r="AJ497" s="49">
        <f ca="1">OA_gov_CF_Loango*Loango_II!CA_disc_factor_fc</f>
        <v>0</v>
      </c>
      <c r="AK497" s="49">
        <f ca="1">OA_gov_CF_Loango*Loango_II!CA_disc_factor_fc</f>
        <v>0</v>
      </c>
      <c r="AL497" s="49">
        <f ca="1">OA_gov_CF_Loango*Loango_II!CA_disc_factor_fc</f>
        <v>0</v>
      </c>
      <c r="AM497" s="49">
        <f ca="1">OA_gov_CF_Loango*Loango_II!CA_disc_factor_fc</f>
        <v>0</v>
      </c>
      <c r="AN497" s="49">
        <f ca="1">OA_gov_CF_Loango*Loango_II!CA_disc_factor_fc</f>
        <v>0</v>
      </c>
      <c r="AO497" s="49">
        <f ca="1">OA_gov_CF_Loango*Loango_II!CA_disc_factor_fc</f>
        <v>0</v>
      </c>
      <c r="AP497" s="49">
        <f ca="1">OA_gov_CF_Loango*Loango_II!CA_disc_factor_fc</f>
        <v>0</v>
      </c>
      <c r="AQ497" s="49">
        <f ca="1">OA_gov_CF_Loango*Loango_II!CA_disc_factor_fc</f>
        <v>0</v>
      </c>
      <c r="AR497" s="49">
        <f ca="1">OA_gov_CF_Loango*Loango_II!CA_disc_factor_fc</f>
        <v>0</v>
      </c>
      <c r="AS497" s="49">
        <f ca="1">OA_gov_CF_Loango*Loango_II!CA_disc_factor_fc</f>
        <v>0</v>
      </c>
      <c r="AT497" s="49">
        <f ca="1">OA_gov_CF_Loango*Loango_II!CA_disc_factor_fc</f>
        <v>0</v>
      </c>
      <c r="AU497" s="49">
        <f ca="1">OA_gov_CF_Loango*Loango_II!CA_disc_factor_fc</f>
        <v>0</v>
      </c>
      <c r="AV497" s="49">
        <f ca="1">OA_gov_CF_Loango*Loango_II!CA_disc_factor_fc</f>
        <v>0</v>
      </c>
      <c r="AW497" s="49">
        <f ca="1">OA_gov_CF_Loango*Loango_II!CA_disc_factor_fc</f>
        <v>0</v>
      </c>
      <c r="AX497" s="49">
        <f ca="1">OA_gov_CF_Loango*Loango_II!CA_disc_factor_fc</f>
        <v>0</v>
      </c>
      <c r="AY497" s="49">
        <f ca="1">OA_gov_CF_Loango*Loango_II!CA_disc_factor_fc</f>
        <v>0</v>
      </c>
      <c r="AZ497" s="49">
        <f ca="1">OA_gov_CF_Loango*Loango_II!CA_disc_factor_fc</f>
        <v>0</v>
      </c>
      <c r="BA497" s="49">
        <f ca="1">OA_gov_CF_Loango*Loango_II!CA_disc_factor_fc</f>
        <v>0</v>
      </c>
      <c r="BB497" s="49">
        <f ca="1">OA_gov_CF_Loango*Loango_II!CA_disc_factor_fc</f>
        <v>0</v>
      </c>
      <c r="BC497" s="49">
        <f ca="1">OA_gov_CF_Loango*Loango_II!CA_disc_factor_fc</f>
        <v>0</v>
      </c>
      <c r="BD497" s="49">
        <f ca="1">OA_gov_CF_Loango*Loango_II!CA_disc_factor_fc</f>
        <v>0</v>
      </c>
      <c r="BE497" s="49">
        <f ca="1">OA_gov_CF_Loango*Loango_II!CA_disc_factor_fc</f>
        <v>0</v>
      </c>
      <c r="BF497" s="49">
        <f ca="1">OA_gov_CF_Loango*Loango_II!CA_disc_factor_fc</f>
        <v>0</v>
      </c>
      <c r="BG497" s="49">
        <f ca="1">OA_gov_CF_Loango*Loango_II!CA_disc_factor_fc</f>
        <v>0</v>
      </c>
      <c r="BH497" s="49">
        <f ca="1">OA_gov_CF_Loango*Loango_II!CA_disc_factor_fc</f>
        <v>0</v>
      </c>
      <c r="BI497" s="49">
        <f ca="1">OA_gov_CF_Loango*Loango_II!CA_disc_factor_fc</f>
        <v>0</v>
      </c>
      <c r="BJ497" s="49">
        <f ca="1">OA_gov_CF_Loango*Loango_II!CA_disc_factor_fc</f>
        <v>0</v>
      </c>
      <c r="BK497" s="49">
        <f ca="1">OA_gov_CF_Loango*Loango_II!CA_disc_factor_fc</f>
        <v>0</v>
      </c>
      <c r="BL497" s="49">
        <f ca="1">OA_gov_CF_Loango*Loango_II!CA_disc_factor_fc</f>
        <v>0</v>
      </c>
      <c r="BM497" s="49">
        <f ca="1">OA_gov_CF_Loango*Loango_II!CA_disc_factor_fc</f>
        <v>0</v>
      </c>
      <c r="BN497" s="49">
        <f ca="1">OA_gov_CF_Loango*Loango_II!CA_disc_factor_fc</f>
        <v>0</v>
      </c>
      <c r="BO497" s="49">
        <f ca="1">OA_gov_CF_Loango*Loango_II!CA_disc_factor_fc</f>
        <v>0</v>
      </c>
      <c r="BP497" s="49">
        <f ca="1">OA_gov_CF_Loango*Loango_II!CA_disc_factor_fc</f>
        <v>0</v>
      </c>
      <c r="BQ497" s="49">
        <f ca="1">OA_gov_CF_Loango*Loango_II!CA_disc_factor_fc</f>
        <v>0</v>
      </c>
      <c r="BR497" s="49">
        <f ca="1">OA_gov_CF_Loango*Loango_II!CA_disc_factor_fc</f>
        <v>0</v>
      </c>
      <c r="BS497" s="49">
        <f ca="1">OA_gov_CF_Loango*Loango_II!CA_disc_factor_fc</f>
        <v>0</v>
      </c>
    </row>
    <row r="498" spans="3:71" outlineLevel="1" x14ac:dyDescent="0.2">
      <c r="C498" s="11" t="s">
        <v>285</v>
      </c>
      <c r="I498" s="65">
        <f t="shared" ca="1" si="113"/>
        <v>2188.5142313568599</v>
      </c>
      <c r="J498" s="26" t="s">
        <v>148</v>
      </c>
      <c r="L498" s="49">
        <f ca="1">OA_gov_CF_Loango*Loango_II!CA_disc_factor_pf</f>
        <v>0</v>
      </c>
      <c r="M498" s="49">
        <f ca="1">OA_gov_CF_Loango*Loango_II!CA_disc_factor_pf</f>
        <v>0</v>
      </c>
      <c r="N498" s="49">
        <f ca="1">OA_gov_CF_Loango*Loango_II!CA_disc_factor_pf</f>
        <v>0</v>
      </c>
      <c r="O498" s="49">
        <f ca="1">OA_gov_CF_Loango*Loango_II!CA_disc_factor_pf</f>
        <v>0</v>
      </c>
      <c r="P498" s="49">
        <f ca="1">OA_gov_CF_Loango*Loango_II!CA_disc_factor_pf</f>
        <v>0</v>
      </c>
      <c r="Q498" s="49">
        <f ca="1">OA_gov_CF_Loango*Loango_II!CA_disc_factor_pf</f>
        <v>0</v>
      </c>
      <c r="R498" s="49">
        <f ca="1">OA_gov_CF_Loango*Loango_II!CA_disc_factor_pf</f>
        <v>0</v>
      </c>
      <c r="S498" s="49">
        <f ca="1">OA_gov_CF_Loango*Loango_II!CA_disc_factor_pf</f>
        <v>0</v>
      </c>
      <c r="T498" s="49">
        <f ca="1">OA_gov_CF_Loango*Loango_II!CA_disc_factor_pf</f>
        <v>533.66800371443094</v>
      </c>
      <c r="U498" s="49">
        <f ca="1">OA_gov_CF_Loango*Loango_II!CA_disc_factor_pf</f>
        <v>485.66631041540296</v>
      </c>
      <c r="V498" s="49">
        <f ca="1">OA_gov_CF_Loango*Loango_II!CA_disc_factor_pf</f>
        <v>418.82096550913752</v>
      </c>
      <c r="W498" s="49">
        <f ca="1">OA_gov_CF_Loango*Loango_II!CA_disc_factor_pf</f>
        <v>403.41717506916962</v>
      </c>
      <c r="X498" s="49">
        <f ca="1">OA_gov_CF_Loango*Loango_II!CA_disc_factor_pf</f>
        <v>346.94177664871876</v>
      </c>
      <c r="Y498" s="49">
        <f ca="1">OA_gov_CF_Loango*Loango_II!CA_disc_factor_pf</f>
        <v>0</v>
      </c>
      <c r="Z498" s="49">
        <f ca="1">OA_gov_CF_Loango*Loango_II!CA_disc_factor_pf</f>
        <v>0</v>
      </c>
      <c r="AA498" s="49">
        <f ca="1">OA_gov_CF_Loango*Loango_II!CA_disc_factor_pf</f>
        <v>0</v>
      </c>
      <c r="AB498" s="49">
        <f ca="1">OA_gov_CF_Loango*Loango_II!CA_disc_factor_pf</f>
        <v>0</v>
      </c>
      <c r="AC498" s="49">
        <f ca="1">OA_gov_CF_Loango*Loango_II!CA_disc_factor_pf</f>
        <v>0</v>
      </c>
      <c r="AD498" s="49">
        <f ca="1">OA_gov_CF_Loango*Loango_II!CA_disc_factor_pf</f>
        <v>0</v>
      </c>
      <c r="AE498" s="49">
        <f ca="1">OA_gov_CF_Loango*Loango_II!CA_disc_factor_pf</f>
        <v>0</v>
      </c>
      <c r="AF498" s="49">
        <f ca="1">OA_gov_CF_Loango*Loango_II!CA_disc_factor_pf</f>
        <v>0</v>
      </c>
      <c r="AG498" s="49">
        <f ca="1">OA_gov_CF_Loango*Loango_II!CA_disc_factor_pf</f>
        <v>0</v>
      </c>
      <c r="AH498" s="49">
        <f ca="1">OA_gov_CF_Loango*Loango_II!CA_disc_factor_pf</f>
        <v>0</v>
      </c>
      <c r="AI498" s="49">
        <f ca="1">OA_gov_CF_Loango*Loango_II!CA_disc_factor_pf</f>
        <v>0</v>
      </c>
      <c r="AJ498" s="49">
        <f ca="1">OA_gov_CF_Loango*Loango_II!CA_disc_factor_pf</f>
        <v>0</v>
      </c>
      <c r="AK498" s="49">
        <f ca="1">OA_gov_CF_Loango*Loango_II!CA_disc_factor_pf</f>
        <v>0</v>
      </c>
      <c r="AL498" s="49">
        <f ca="1">OA_gov_CF_Loango*Loango_II!CA_disc_factor_pf</f>
        <v>0</v>
      </c>
      <c r="AM498" s="49">
        <f ca="1">OA_gov_CF_Loango*Loango_II!CA_disc_factor_pf</f>
        <v>0</v>
      </c>
      <c r="AN498" s="49">
        <f ca="1">OA_gov_CF_Loango*Loango_II!CA_disc_factor_pf</f>
        <v>0</v>
      </c>
      <c r="AO498" s="49">
        <f ca="1">OA_gov_CF_Loango*Loango_II!CA_disc_factor_pf</f>
        <v>0</v>
      </c>
      <c r="AP498" s="49">
        <f ca="1">OA_gov_CF_Loango*Loango_II!CA_disc_factor_pf</f>
        <v>0</v>
      </c>
      <c r="AQ498" s="49">
        <f ca="1">OA_gov_CF_Loango*Loango_II!CA_disc_factor_pf</f>
        <v>0</v>
      </c>
      <c r="AR498" s="49">
        <f ca="1">OA_gov_CF_Loango*Loango_II!CA_disc_factor_pf</f>
        <v>0</v>
      </c>
      <c r="AS498" s="49">
        <f ca="1">OA_gov_CF_Loango*Loango_II!CA_disc_factor_pf</f>
        <v>0</v>
      </c>
      <c r="AT498" s="49">
        <f ca="1">OA_gov_CF_Loango*Loango_II!CA_disc_factor_pf</f>
        <v>0</v>
      </c>
      <c r="AU498" s="49">
        <f ca="1">OA_gov_CF_Loango*Loango_II!CA_disc_factor_pf</f>
        <v>0</v>
      </c>
      <c r="AV498" s="49">
        <f ca="1">OA_gov_CF_Loango*Loango_II!CA_disc_factor_pf</f>
        <v>0</v>
      </c>
      <c r="AW498" s="49">
        <f ca="1">OA_gov_CF_Loango*Loango_II!CA_disc_factor_pf</f>
        <v>0</v>
      </c>
      <c r="AX498" s="49">
        <f ca="1">OA_gov_CF_Loango*Loango_II!CA_disc_factor_pf</f>
        <v>0</v>
      </c>
      <c r="AY498" s="49">
        <f ca="1">OA_gov_CF_Loango*Loango_II!CA_disc_factor_pf</f>
        <v>0</v>
      </c>
      <c r="AZ498" s="49">
        <f ca="1">OA_gov_CF_Loango*Loango_II!CA_disc_factor_pf</f>
        <v>0</v>
      </c>
      <c r="BA498" s="49">
        <f ca="1">OA_gov_CF_Loango*Loango_II!CA_disc_factor_pf</f>
        <v>0</v>
      </c>
      <c r="BB498" s="49">
        <f ca="1">OA_gov_CF_Loango*Loango_II!CA_disc_factor_pf</f>
        <v>0</v>
      </c>
      <c r="BC498" s="49">
        <f ca="1">OA_gov_CF_Loango*Loango_II!CA_disc_factor_pf</f>
        <v>0</v>
      </c>
      <c r="BD498" s="49">
        <f ca="1">OA_gov_CF_Loango*Loango_II!CA_disc_factor_pf</f>
        <v>0</v>
      </c>
      <c r="BE498" s="49">
        <f ca="1">OA_gov_CF_Loango*Loango_II!CA_disc_factor_pf</f>
        <v>0</v>
      </c>
      <c r="BF498" s="49">
        <f ca="1">OA_gov_CF_Loango*Loango_II!CA_disc_factor_pf</f>
        <v>0</v>
      </c>
      <c r="BG498" s="49">
        <f ca="1">OA_gov_CF_Loango*Loango_II!CA_disc_factor_pf</f>
        <v>0</v>
      </c>
      <c r="BH498" s="49">
        <f ca="1">OA_gov_CF_Loango*Loango_II!CA_disc_factor_pf</f>
        <v>0</v>
      </c>
      <c r="BI498" s="49">
        <f ca="1">OA_gov_CF_Loango*Loango_II!CA_disc_factor_pf</f>
        <v>0</v>
      </c>
      <c r="BJ498" s="49">
        <f ca="1">OA_gov_CF_Loango*Loango_II!CA_disc_factor_pf</f>
        <v>0</v>
      </c>
      <c r="BK498" s="49">
        <f ca="1">OA_gov_CF_Loango*Loango_II!CA_disc_factor_pf</f>
        <v>0</v>
      </c>
      <c r="BL498" s="49">
        <f ca="1">OA_gov_CF_Loango*Loango_II!CA_disc_factor_pf</f>
        <v>0</v>
      </c>
      <c r="BM498" s="49">
        <f ca="1">OA_gov_CF_Loango*Loango_II!CA_disc_factor_pf</f>
        <v>0</v>
      </c>
      <c r="BN498" s="49">
        <f ca="1">OA_gov_CF_Loango*Loango_II!CA_disc_factor_pf</f>
        <v>0</v>
      </c>
      <c r="BO498" s="49">
        <f ca="1">OA_gov_CF_Loango*Loango_II!CA_disc_factor_pf</f>
        <v>0</v>
      </c>
      <c r="BP498" s="49">
        <f ca="1">OA_gov_CF_Loango*Loango_II!CA_disc_factor_pf</f>
        <v>0</v>
      </c>
      <c r="BQ498" s="49">
        <f ca="1">OA_gov_CF_Loango*Loango_II!CA_disc_factor_pf</f>
        <v>0</v>
      </c>
      <c r="BR498" s="49">
        <f ca="1">OA_gov_CF_Loango*Loango_II!CA_disc_factor_pf</f>
        <v>0</v>
      </c>
      <c r="BS498" s="49">
        <f ca="1">OA_gov_CF_Loango*Loango_II!CA_disc_factor_pf</f>
        <v>0</v>
      </c>
    </row>
    <row r="499" spans="3:71" outlineLevel="1" x14ac:dyDescent="0.2">
      <c r="I499" s="61"/>
      <c r="J499" s="26"/>
      <c r="L499" s="55"/>
      <c r="M499" s="55"/>
      <c r="N499" s="55"/>
      <c r="O499" s="55"/>
      <c r="P499" s="55"/>
      <c r="Q499" s="55"/>
      <c r="R499" s="55"/>
      <c r="S499" s="55"/>
      <c r="T499" s="55"/>
      <c r="U499" s="55"/>
      <c r="V499" s="55"/>
      <c r="W499" s="55"/>
      <c r="X499" s="55"/>
      <c r="Y499" s="55"/>
      <c r="Z499" s="55"/>
      <c r="AA499" s="55"/>
      <c r="AB499" s="55"/>
      <c r="AC499" s="55"/>
      <c r="AD499" s="55"/>
      <c r="AE499" s="55"/>
      <c r="AF499" s="55"/>
      <c r="AG499" s="55"/>
      <c r="AH499" s="55"/>
      <c r="AI499" s="55"/>
      <c r="AJ499" s="55"/>
      <c r="AK499" s="55"/>
      <c r="AL499" s="55"/>
      <c r="AM499" s="55"/>
      <c r="AN499" s="55"/>
      <c r="AO499" s="55"/>
      <c r="AP499" s="55"/>
      <c r="AQ499" s="55"/>
      <c r="AR499" s="55"/>
      <c r="AS499" s="55"/>
      <c r="AT499" s="55"/>
      <c r="AU499" s="55"/>
      <c r="AV499" s="55"/>
      <c r="AW499" s="55"/>
      <c r="AX499" s="55"/>
      <c r="AY499" s="55"/>
      <c r="AZ499" s="55"/>
      <c r="BA499" s="55"/>
      <c r="BB499" s="55"/>
      <c r="BC499" s="55"/>
      <c r="BD499" s="55"/>
      <c r="BE499" s="55"/>
      <c r="BF499" s="55"/>
      <c r="BG499" s="55"/>
      <c r="BH499" s="55"/>
      <c r="BI499" s="55"/>
      <c r="BJ499" s="55"/>
      <c r="BK499" s="55"/>
      <c r="BL499" s="55"/>
      <c r="BM499" s="55"/>
      <c r="BN499" s="55"/>
      <c r="BO499" s="55"/>
      <c r="BP499" s="55"/>
      <c r="BQ499" s="55"/>
      <c r="BR499" s="55"/>
      <c r="BS499" s="55"/>
    </row>
    <row r="500" spans="3:71" outlineLevel="1" x14ac:dyDescent="0.2">
      <c r="C500" s="11" t="s">
        <v>286</v>
      </c>
      <c r="I500" s="62" t="str">
        <f ca="1">IFERROR(IRR(INDEX(OA_gov_CF_Loango,1,MAX(1,$G$360-$L$4+1)):INDEX(OA_gov_CF_Loango,1,last_model_year)),"na")</f>
        <v>na</v>
      </c>
      <c r="J500" s="26" t="s">
        <v>90</v>
      </c>
      <c r="L500" s="55"/>
      <c r="M500" s="55"/>
      <c r="N500" s="55"/>
      <c r="O500" s="55"/>
      <c r="P500" s="55"/>
      <c r="Q500" s="55"/>
      <c r="R500" s="55"/>
      <c r="S500" s="55"/>
      <c r="T500" s="55"/>
      <c r="U500" s="55"/>
      <c r="V500" s="55"/>
      <c r="W500" s="55"/>
      <c r="X500" s="55"/>
      <c r="Y500" s="55"/>
      <c r="Z500" s="55"/>
      <c r="AA500" s="55"/>
      <c r="AB500" s="55"/>
      <c r="AC500" s="55"/>
      <c r="AD500" s="55"/>
      <c r="AE500" s="55"/>
      <c r="AF500" s="55"/>
      <c r="AG500" s="55"/>
      <c r="AH500" s="55"/>
      <c r="AI500" s="55"/>
      <c r="AJ500" s="55"/>
      <c r="AK500" s="55"/>
      <c r="AL500" s="55"/>
      <c r="AM500" s="55"/>
      <c r="AN500" s="55"/>
      <c r="AO500" s="55"/>
      <c r="AP500" s="55"/>
      <c r="AQ500" s="55"/>
      <c r="AR500" s="55"/>
      <c r="AS500" s="55"/>
      <c r="AT500" s="55"/>
      <c r="AU500" s="55"/>
      <c r="AV500" s="55"/>
      <c r="AW500" s="55"/>
      <c r="AX500" s="55"/>
      <c r="AY500" s="55"/>
      <c r="AZ500" s="55"/>
      <c r="BA500" s="55"/>
      <c r="BB500" s="55"/>
      <c r="BC500" s="55"/>
      <c r="BD500" s="55"/>
      <c r="BE500" s="55"/>
      <c r="BF500" s="55"/>
      <c r="BG500" s="55"/>
      <c r="BH500" s="55"/>
      <c r="BI500" s="55"/>
      <c r="BJ500" s="55"/>
      <c r="BK500" s="55"/>
      <c r="BL500" s="55"/>
      <c r="BM500" s="55"/>
      <c r="BN500" s="55"/>
      <c r="BO500" s="55"/>
      <c r="BP500" s="55"/>
      <c r="BQ500" s="55"/>
      <c r="BR500" s="55"/>
      <c r="BS500" s="55"/>
    </row>
    <row r="501" spans="3:71" outlineLevel="1" x14ac:dyDescent="0.2">
      <c r="C501" s="11" t="s">
        <v>287</v>
      </c>
      <c r="I501" s="62" t="str">
        <f ca="1">IFERROR(IRR(INDEX(OA_gov_CF_Loango,1,MAX(1,$G$361-$L$4+1)):INDEX(OA_gov_CF_Loango,1,last_model_year)),"na")</f>
        <v>na</v>
      </c>
      <c r="J501" s="26" t="s">
        <v>90</v>
      </c>
      <c r="L501" s="55"/>
      <c r="M501" s="55"/>
      <c r="N501" s="55"/>
      <c r="O501" s="55"/>
      <c r="P501" s="55"/>
      <c r="Q501" s="55"/>
      <c r="R501" s="55"/>
      <c r="S501" s="55"/>
      <c r="T501" s="55"/>
      <c r="U501" s="55"/>
      <c r="V501" s="55"/>
      <c r="W501" s="55"/>
      <c r="X501" s="55"/>
      <c r="Y501" s="55"/>
      <c r="Z501" s="55"/>
      <c r="AA501" s="55"/>
      <c r="AB501" s="55"/>
      <c r="AC501" s="55"/>
      <c r="AD501" s="55"/>
      <c r="AE501" s="55"/>
      <c r="AF501" s="55"/>
      <c r="AG501" s="55"/>
      <c r="AH501" s="55"/>
      <c r="AI501" s="55"/>
      <c r="AJ501" s="55"/>
      <c r="AK501" s="55"/>
      <c r="AL501" s="55"/>
      <c r="AM501" s="55"/>
      <c r="AN501" s="55"/>
      <c r="AO501" s="55"/>
      <c r="AP501" s="55"/>
      <c r="AQ501" s="55"/>
      <c r="AR501" s="55"/>
      <c r="AS501" s="55"/>
      <c r="AT501" s="55"/>
      <c r="AU501" s="55"/>
      <c r="AV501" s="55"/>
      <c r="AW501" s="55"/>
      <c r="AX501" s="55"/>
      <c r="AY501" s="55"/>
      <c r="AZ501" s="55"/>
      <c r="BA501" s="55"/>
      <c r="BB501" s="55"/>
      <c r="BC501" s="55"/>
      <c r="BD501" s="55"/>
      <c r="BE501" s="55"/>
      <c r="BF501" s="55"/>
      <c r="BG501" s="55"/>
      <c r="BH501" s="55"/>
      <c r="BI501" s="55"/>
      <c r="BJ501" s="55"/>
      <c r="BK501" s="55"/>
      <c r="BL501" s="55"/>
      <c r="BM501" s="55"/>
      <c r="BN501" s="55"/>
      <c r="BO501" s="55"/>
      <c r="BP501" s="55"/>
      <c r="BQ501" s="55"/>
      <c r="BR501" s="55"/>
      <c r="BS501" s="55"/>
    </row>
    <row r="502" spans="3:71" outlineLevel="1" x14ac:dyDescent="0.2">
      <c r="J502" s="26"/>
      <c r="L502" s="55"/>
      <c r="M502" s="55"/>
      <c r="N502" s="55"/>
      <c r="O502" s="55"/>
      <c r="P502" s="55"/>
      <c r="Q502" s="55"/>
      <c r="R502" s="55"/>
      <c r="S502" s="55"/>
      <c r="T502" s="55"/>
      <c r="U502" s="55"/>
      <c r="V502" s="55"/>
      <c r="W502" s="55"/>
      <c r="X502" s="55"/>
      <c r="Y502" s="55"/>
      <c r="Z502" s="55"/>
      <c r="AA502" s="55"/>
      <c r="AB502" s="55"/>
      <c r="AC502" s="55"/>
      <c r="AD502" s="55"/>
      <c r="AE502" s="55"/>
      <c r="AF502" s="55"/>
      <c r="AG502" s="55"/>
      <c r="AH502" s="55"/>
      <c r="AI502" s="55"/>
      <c r="AJ502" s="55"/>
      <c r="AK502" s="55"/>
      <c r="AL502" s="55"/>
      <c r="AM502" s="55"/>
      <c r="AN502" s="55"/>
      <c r="AO502" s="55"/>
      <c r="AP502" s="55"/>
      <c r="AQ502" s="55"/>
      <c r="AR502" s="55"/>
      <c r="AS502" s="55"/>
      <c r="AT502" s="55"/>
      <c r="AU502" s="55"/>
      <c r="AV502" s="55"/>
      <c r="AW502" s="55"/>
      <c r="AX502" s="55"/>
      <c r="AY502" s="55"/>
      <c r="AZ502" s="55"/>
      <c r="BA502" s="55"/>
      <c r="BB502" s="55"/>
      <c r="BC502" s="55"/>
      <c r="BD502" s="55"/>
      <c r="BE502" s="55"/>
      <c r="BF502" s="55"/>
      <c r="BG502" s="55"/>
      <c r="BH502" s="55"/>
      <c r="BI502" s="55"/>
      <c r="BJ502" s="55"/>
      <c r="BK502" s="55"/>
      <c r="BL502" s="55"/>
      <c r="BM502" s="55"/>
      <c r="BN502" s="55"/>
      <c r="BO502" s="55"/>
      <c r="BP502" s="55"/>
      <c r="BQ502" s="55"/>
      <c r="BR502" s="55"/>
      <c r="BS502" s="55"/>
    </row>
    <row r="503" spans="3:71" outlineLevel="1" x14ac:dyDescent="0.2">
      <c r="C503" s="11" t="s">
        <v>302</v>
      </c>
      <c r="H503" s="7" t="s">
        <v>537</v>
      </c>
      <c r="I503" s="62">
        <f ca="1">IFERROR(I495/I385,0)</f>
        <v>-1.8116596670842782</v>
      </c>
      <c r="J503" s="26" t="s">
        <v>90</v>
      </c>
      <c r="L503" s="55"/>
      <c r="M503" s="55"/>
      <c r="N503" s="55"/>
      <c r="O503" s="55"/>
      <c r="P503" s="55"/>
      <c r="Q503" s="55"/>
      <c r="R503" s="55"/>
      <c r="S503" s="55"/>
      <c r="T503" s="55"/>
      <c r="U503" s="55"/>
      <c r="V503" s="55"/>
      <c r="W503" s="55"/>
      <c r="X503" s="55"/>
      <c r="Y503" s="55"/>
      <c r="Z503" s="55"/>
      <c r="AA503" s="55"/>
      <c r="AB503" s="55"/>
      <c r="AC503" s="55"/>
      <c r="AD503" s="55"/>
      <c r="AE503" s="55"/>
      <c r="AF503" s="55"/>
      <c r="AG503" s="55"/>
      <c r="AH503" s="55"/>
      <c r="AI503" s="55"/>
      <c r="AJ503" s="55"/>
      <c r="AK503" s="55"/>
      <c r="AL503" s="55"/>
      <c r="AM503" s="55"/>
      <c r="AN503" s="55"/>
      <c r="AO503" s="55"/>
      <c r="AP503" s="55"/>
      <c r="AQ503" s="55"/>
      <c r="AR503" s="55"/>
      <c r="AS503" s="55"/>
      <c r="AT503" s="55"/>
      <c r="AU503" s="55"/>
      <c r="AV503" s="55"/>
      <c r="AW503" s="55"/>
      <c r="AX503" s="55"/>
      <c r="AY503" s="55"/>
      <c r="AZ503" s="55"/>
      <c r="BA503" s="55"/>
      <c r="BB503" s="55"/>
      <c r="BC503" s="55"/>
      <c r="BD503" s="55"/>
      <c r="BE503" s="55"/>
      <c r="BF503" s="55"/>
      <c r="BG503" s="55"/>
      <c r="BH503" s="55"/>
      <c r="BI503" s="55"/>
      <c r="BJ503" s="55"/>
      <c r="BK503" s="55"/>
      <c r="BL503" s="55"/>
      <c r="BM503" s="55"/>
      <c r="BN503" s="55"/>
      <c r="BO503" s="55"/>
      <c r="BP503" s="55"/>
      <c r="BQ503" s="55"/>
      <c r="BR503" s="55"/>
      <c r="BS503" s="55"/>
    </row>
    <row r="504" spans="3:71" outlineLevel="1" x14ac:dyDescent="0.2">
      <c r="J504" s="26"/>
      <c r="L504" s="55"/>
      <c r="M504" s="55"/>
      <c r="N504" s="55"/>
      <c r="O504" s="55"/>
      <c r="P504" s="55"/>
      <c r="Q504" s="55"/>
      <c r="R504" s="55"/>
      <c r="S504" s="55"/>
      <c r="T504" s="55"/>
      <c r="U504" s="55"/>
      <c r="V504" s="55"/>
      <c r="W504" s="55"/>
      <c r="X504" s="55"/>
      <c r="Y504" s="55"/>
      <c r="Z504" s="55"/>
      <c r="AA504" s="55"/>
      <c r="AB504" s="55"/>
      <c r="AC504" s="55"/>
      <c r="AD504" s="55"/>
      <c r="AE504" s="55"/>
      <c r="AF504" s="55"/>
      <c r="AG504" s="55"/>
      <c r="AH504" s="55"/>
      <c r="AI504" s="55"/>
      <c r="AJ504" s="55"/>
      <c r="AK504" s="55"/>
      <c r="AL504" s="55"/>
      <c r="AM504" s="55"/>
      <c r="AN504" s="55"/>
      <c r="AO504" s="55"/>
      <c r="AP504" s="55"/>
      <c r="AQ504" s="55"/>
      <c r="AR504" s="55"/>
      <c r="AS504" s="55"/>
      <c r="AT504" s="55"/>
      <c r="AU504" s="55"/>
      <c r="AV504" s="55"/>
      <c r="AW504" s="55"/>
      <c r="AX504" s="55"/>
      <c r="AY504" s="55"/>
      <c r="AZ504" s="55"/>
      <c r="BA504" s="55"/>
      <c r="BB504" s="55"/>
      <c r="BC504" s="55"/>
      <c r="BD504" s="55"/>
      <c r="BE504" s="55"/>
      <c r="BF504" s="55"/>
      <c r="BG504" s="55"/>
      <c r="BH504" s="55"/>
      <c r="BI504" s="55"/>
      <c r="BJ504" s="55"/>
      <c r="BK504" s="55"/>
      <c r="BL504" s="55"/>
      <c r="BM504" s="55"/>
      <c r="BN504" s="55"/>
      <c r="BO504" s="55"/>
      <c r="BP504" s="55"/>
      <c r="BQ504" s="55"/>
      <c r="BR504" s="55"/>
      <c r="BS504" s="55"/>
    </row>
    <row r="505" spans="3:71" outlineLevel="1" x14ac:dyDescent="0.2">
      <c r="C505" s="11" t="s">
        <v>490</v>
      </c>
      <c r="H505" s="7" t="s">
        <v>538</v>
      </c>
      <c r="I505" s="62">
        <f ca="1">IFERROR(SUM(gov_CF_Loango,I464)/I385,0)</f>
        <v>-1.7418817275081482</v>
      </c>
      <c r="J505" s="26"/>
      <c r="L505" s="55"/>
      <c r="M505" s="55"/>
      <c r="N505" s="55"/>
      <c r="O505" s="55"/>
      <c r="P505" s="55"/>
      <c r="Q505" s="55"/>
      <c r="R505" s="55"/>
      <c r="S505" s="55"/>
      <c r="T505" s="55"/>
      <c r="U505" s="55"/>
      <c r="V505" s="55"/>
      <c r="W505" s="55"/>
      <c r="X505" s="55"/>
      <c r="Y505" s="55"/>
      <c r="Z505" s="55"/>
      <c r="AA505" s="55"/>
      <c r="AB505" s="55"/>
      <c r="AC505" s="55"/>
      <c r="AD505" s="55"/>
      <c r="AE505" s="55"/>
      <c r="AF505" s="55"/>
      <c r="AG505" s="55"/>
      <c r="AH505" s="55"/>
      <c r="AI505" s="55"/>
      <c r="AJ505" s="55"/>
      <c r="AK505" s="55"/>
      <c r="AL505" s="55"/>
      <c r="AM505" s="55"/>
      <c r="AN505" s="55"/>
      <c r="AO505" s="55"/>
      <c r="AP505" s="55"/>
      <c r="AQ505" s="55"/>
      <c r="AR505" s="55"/>
      <c r="AS505" s="55"/>
      <c r="AT505" s="55"/>
      <c r="AU505" s="55"/>
      <c r="AV505" s="55"/>
      <c r="AW505" s="55"/>
      <c r="AX505" s="55"/>
      <c r="AY505" s="55"/>
      <c r="AZ505" s="55"/>
      <c r="BA505" s="55"/>
      <c r="BB505" s="55"/>
      <c r="BC505" s="55"/>
      <c r="BD505" s="55"/>
      <c r="BE505" s="55"/>
      <c r="BF505" s="55"/>
      <c r="BG505" s="55"/>
      <c r="BH505" s="55"/>
      <c r="BI505" s="55"/>
      <c r="BJ505" s="55"/>
      <c r="BK505" s="55"/>
      <c r="BL505" s="55"/>
      <c r="BM505" s="55"/>
      <c r="BN505" s="55"/>
      <c r="BO505" s="55"/>
      <c r="BP505" s="55"/>
      <c r="BQ505" s="55"/>
      <c r="BR505" s="55"/>
      <c r="BS505" s="55"/>
    </row>
    <row r="506" spans="3:71" outlineLevel="1" x14ac:dyDescent="0.2">
      <c r="J506" s="26"/>
      <c r="L506" s="55"/>
      <c r="M506" s="55"/>
      <c r="N506" s="55"/>
      <c r="O506" s="55"/>
      <c r="P506" s="55"/>
      <c r="Q506" s="55"/>
      <c r="R506" s="55"/>
      <c r="S506" s="55"/>
      <c r="T506" s="55"/>
      <c r="U506" s="55"/>
      <c r="V506" s="55"/>
      <c r="W506" s="55"/>
      <c r="X506" s="55"/>
      <c r="Y506" s="55"/>
      <c r="Z506" s="55"/>
      <c r="AA506" s="55"/>
      <c r="AB506" s="55"/>
      <c r="AC506" s="55"/>
      <c r="AD506" s="55"/>
      <c r="AE506" s="55"/>
      <c r="AF506" s="55"/>
      <c r="AG506" s="55"/>
      <c r="AH506" s="55"/>
      <c r="AI506" s="55"/>
      <c r="AJ506" s="55"/>
      <c r="AK506" s="55"/>
      <c r="AL506" s="55"/>
      <c r="AM506" s="55"/>
      <c r="AN506" s="55"/>
      <c r="AO506" s="55"/>
      <c r="AP506" s="55"/>
      <c r="AQ506" s="55"/>
      <c r="AR506" s="55"/>
      <c r="AS506" s="55"/>
      <c r="AT506" s="55"/>
      <c r="AU506" s="55"/>
      <c r="AV506" s="55"/>
      <c r="AW506" s="55"/>
      <c r="AX506" s="55"/>
      <c r="AY506" s="55"/>
      <c r="AZ506" s="55"/>
      <c r="BA506" s="55"/>
      <c r="BB506" s="55"/>
      <c r="BC506" s="55"/>
      <c r="BD506" s="55"/>
      <c r="BE506" s="55"/>
      <c r="BF506" s="55"/>
      <c r="BG506" s="55"/>
      <c r="BH506" s="55"/>
      <c r="BI506" s="55"/>
      <c r="BJ506" s="55"/>
      <c r="BK506" s="55"/>
      <c r="BL506" s="55"/>
      <c r="BM506" s="55"/>
      <c r="BN506" s="55"/>
      <c r="BO506" s="55"/>
      <c r="BP506" s="55"/>
      <c r="BQ506" s="55"/>
      <c r="BR506" s="55"/>
      <c r="BS506" s="55"/>
    </row>
    <row r="507" spans="3:71" outlineLevel="1" x14ac:dyDescent="0.2">
      <c r="C507" s="11" t="s">
        <v>313</v>
      </c>
      <c r="H507" s="7" t="s">
        <v>539</v>
      </c>
      <c r="I507" s="65">
        <f ca="1">(input_DiscRate_nom*$I$497)/(1-(1+input_DiscRate_nom)^-COUNTIF(Loango_II!CA_op_trig,"&lt;&gt;0"))</f>
        <v>344.41314174305694</v>
      </c>
      <c r="J507" s="26" t="s">
        <v>314</v>
      </c>
      <c r="L507" s="55"/>
      <c r="M507" s="55"/>
      <c r="N507" s="55"/>
      <c r="O507" s="55"/>
      <c r="P507" s="55"/>
      <c r="Q507" s="55"/>
      <c r="R507" s="55"/>
      <c r="S507" s="55"/>
      <c r="T507" s="55"/>
      <c r="U507" s="55"/>
      <c r="V507" s="55"/>
      <c r="W507" s="55"/>
      <c r="X507" s="55"/>
      <c r="Y507" s="55"/>
      <c r="Z507" s="55"/>
      <c r="AA507" s="55"/>
      <c r="AB507" s="55"/>
      <c r="AC507" s="55"/>
      <c r="AD507" s="55"/>
      <c r="AE507" s="55"/>
      <c r="AF507" s="55"/>
      <c r="AG507" s="55"/>
      <c r="AH507" s="55"/>
      <c r="AI507" s="55"/>
      <c r="AJ507" s="55"/>
      <c r="AK507" s="55"/>
      <c r="AL507" s="55"/>
      <c r="AM507" s="55"/>
      <c r="AN507" s="55"/>
      <c r="AO507" s="55"/>
      <c r="AP507" s="55"/>
      <c r="AQ507" s="55"/>
      <c r="AR507" s="55"/>
      <c r="AS507" s="55"/>
      <c r="AT507" s="55"/>
      <c r="AU507" s="55"/>
      <c r="AV507" s="55"/>
      <c r="AW507" s="55"/>
      <c r="AX507" s="55"/>
      <c r="AY507" s="55"/>
      <c r="AZ507" s="55"/>
      <c r="BA507" s="55"/>
      <c r="BB507" s="55"/>
      <c r="BC507" s="55"/>
      <c r="BD507" s="55"/>
      <c r="BE507" s="55"/>
      <c r="BF507" s="55"/>
      <c r="BG507" s="55"/>
      <c r="BH507" s="55"/>
      <c r="BI507" s="55"/>
      <c r="BJ507" s="55"/>
      <c r="BK507" s="55"/>
      <c r="BL507" s="55"/>
      <c r="BM507" s="55"/>
      <c r="BN507" s="55"/>
      <c r="BO507" s="55"/>
      <c r="BP507" s="55"/>
      <c r="BQ507" s="55"/>
      <c r="BR507" s="55"/>
      <c r="BS507" s="55"/>
    </row>
    <row r="508" spans="3:71" outlineLevel="1" x14ac:dyDescent="0.2">
      <c r="J508" s="26"/>
      <c r="L508" s="55"/>
      <c r="M508" s="55"/>
      <c r="N508" s="55"/>
      <c r="O508" s="55"/>
      <c r="P508" s="55"/>
      <c r="Q508" s="55"/>
      <c r="R508" s="55"/>
      <c r="S508" s="55"/>
      <c r="T508" s="55"/>
      <c r="U508" s="55"/>
      <c r="V508" s="55"/>
      <c r="W508" s="55"/>
      <c r="X508" s="55"/>
      <c r="Y508" s="55"/>
      <c r="Z508" s="55"/>
      <c r="AA508" s="55"/>
      <c r="AB508" s="55"/>
      <c r="AC508" s="55"/>
      <c r="AD508" s="55"/>
      <c r="AE508" s="55"/>
      <c r="AF508" s="55"/>
      <c r="AG508" s="55"/>
      <c r="AH508" s="55"/>
      <c r="AI508" s="55"/>
      <c r="AJ508" s="55"/>
      <c r="AK508" s="55"/>
      <c r="AL508" s="55"/>
      <c r="AM508" s="55"/>
      <c r="AN508" s="55"/>
      <c r="AO508" s="55"/>
      <c r="AP508" s="55"/>
      <c r="AQ508" s="55"/>
      <c r="AR508" s="55"/>
      <c r="AS508" s="55"/>
      <c r="AT508" s="55"/>
      <c r="AU508" s="55"/>
      <c r="AV508" s="55"/>
      <c r="AW508" s="55"/>
      <c r="AX508" s="55"/>
      <c r="AY508" s="55"/>
      <c r="AZ508" s="55"/>
      <c r="BA508" s="55"/>
      <c r="BB508" s="55"/>
      <c r="BC508" s="55"/>
      <c r="BD508" s="55"/>
      <c r="BE508" s="55"/>
      <c r="BF508" s="55"/>
      <c r="BG508" s="55"/>
      <c r="BH508" s="55"/>
      <c r="BI508" s="55"/>
      <c r="BJ508" s="55"/>
      <c r="BK508" s="55"/>
      <c r="BL508" s="55"/>
      <c r="BM508" s="55"/>
      <c r="BN508" s="55"/>
      <c r="BO508" s="55"/>
      <c r="BP508" s="55"/>
      <c r="BQ508" s="55"/>
      <c r="BR508" s="55"/>
      <c r="BS508" s="55"/>
    </row>
    <row r="509" spans="3:71" x14ac:dyDescent="0.2">
      <c r="J509" s="26"/>
      <c r="L509" s="55"/>
      <c r="M509" s="55"/>
      <c r="N509" s="55"/>
      <c r="O509" s="55"/>
      <c r="P509" s="55"/>
      <c r="Q509" s="55"/>
      <c r="R509" s="55"/>
      <c r="S509" s="55"/>
      <c r="T509" s="55"/>
      <c r="U509" s="55"/>
      <c r="V509" s="55"/>
      <c r="W509" s="55"/>
      <c r="X509" s="55"/>
      <c r="Y509" s="55"/>
      <c r="Z509" s="55"/>
      <c r="AA509" s="55"/>
      <c r="AB509" s="55"/>
      <c r="AC509" s="55"/>
      <c r="AD509" s="55"/>
      <c r="AE509" s="55"/>
      <c r="AF509" s="55"/>
      <c r="AG509" s="55"/>
      <c r="AH509" s="55"/>
      <c r="AI509" s="55"/>
      <c r="AJ509" s="55"/>
      <c r="AK509" s="55"/>
      <c r="AL509" s="55"/>
      <c r="AM509" s="55"/>
      <c r="AN509" s="55"/>
      <c r="AO509" s="55"/>
      <c r="AP509" s="55"/>
      <c r="AQ509" s="55"/>
      <c r="AR509" s="55"/>
      <c r="AS509" s="55"/>
      <c r="AT509" s="55"/>
      <c r="AU509" s="55"/>
      <c r="AV509" s="55"/>
      <c r="AW509" s="55"/>
      <c r="AX509" s="55"/>
      <c r="AY509" s="55"/>
      <c r="AZ509" s="55"/>
      <c r="BA509" s="55"/>
      <c r="BB509" s="55"/>
      <c r="BC509" s="55"/>
      <c r="BD509" s="55"/>
      <c r="BE509" s="55"/>
      <c r="BF509" s="55"/>
      <c r="BG509" s="55"/>
      <c r="BH509" s="55"/>
      <c r="BI509" s="55"/>
      <c r="BJ509" s="55"/>
      <c r="BK509" s="55"/>
      <c r="BL509" s="55"/>
      <c r="BM509" s="55"/>
      <c r="BN509" s="55"/>
      <c r="BO509" s="55"/>
      <c r="BP509" s="55"/>
      <c r="BQ509" s="55"/>
      <c r="BR509" s="55"/>
      <c r="BS509" s="55"/>
    </row>
    <row r="510" spans="3:71" x14ac:dyDescent="0.2">
      <c r="J510" s="26"/>
      <c r="L510" s="55"/>
      <c r="M510" s="55"/>
      <c r="N510" s="55"/>
      <c r="O510" s="55"/>
      <c r="P510" s="55"/>
      <c r="Q510" s="55"/>
      <c r="R510" s="55"/>
      <c r="S510" s="55"/>
      <c r="T510" s="55"/>
      <c r="U510" s="55"/>
      <c r="V510" s="55"/>
      <c r="W510" s="55"/>
      <c r="X510" s="55"/>
      <c r="Y510" s="55"/>
      <c r="Z510" s="55"/>
      <c r="AA510" s="55"/>
      <c r="AB510" s="55"/>
      <c r="AC510" s="55"/>
      <c r="AD510" s="55"/>
      <c r="AE510" s="55"/>
      <c r="AF510" s="55"/>
      <c r="AG510" s="55"/>
      <c r="AH510" s="55"/>
      <c r="AI510" s="55"/>
      <c r="AJ510" s="55"/>
      <c r="AK510" s="55"/>
      <c r="AL510" s="55"/>
      <c r="AM510" s="55"/>
      <c r="AN510" s="55"/>
      <c r="AO510" s="55"/>
      <c r="AP510" s="55"/>
      <c r="AQ510" s="55"/>
      <c r="AR510" s="55"/>
      <c r="AS510" s="55"/>
      <c r="AT510" s="55"/>
      <c r="AU510" s="55"/>
      <c r="AV510" s="55"/>
      <c r="AW510" s="55"/>
      <c r="AX510" s="55"/>
      <c r="AY510" s="55"/>
      <c r="AZ510" s="55"/>
      <c r="BA510" s="55"/>
      <c r="BB510" s="55"/>
      <c r="BC510" s="55"/>
      <c r="BD510" s="55"/>
      <c r="BE510" s="55"/>
      <c r="BF510" s="55"/>
      <c r="BG510" s="55"/>
      <c r="BH510" s="55"/>
      <c r="BI510" s="55"/>
      <c r="BJ510" s="55"/>
      <c r="BK510" s="55"/>
      <c r="BL510" s="55"/>
      <c r="BM510" s="55"/>
      <c r="BN510" s="55"/>
      <c r="BO510" s="55"/>
      <c r="BP510" s="55"/>
      <c r="BQ510" s="55"/>
      <c r="BR510" s="55"/>
      <c r="BS510" s="55"/>
    </row>
    <row r="511" spans="3:71" x14ac:dyDescent="0.2">
      <c r="J511" s="26"/>
      <c r="L511" s="55"/>
      <c r="M511" s="55"/>
      <c r="N511" s="55"/>
      <c r="O511" s="55"/>
      <c r="P511" s="55"/>
      <c r="Q511" s="55"/>
      <c r="R511" s="55"/>
      <c r="S511" s="55"/>
      <c r="T511" s="55"/>
      <c r="U511" s="55"/>
      <c r="V511" s="55"/>
      <c r="W511" s="55"/>
      <c r="X511" s="55"/>
      <c r="Y511" s="55"/>
      <c r="Z511" s="55"/>
      <c r="AA511" s="55"/>
      <c r="AB511" s="55"/>
      <c r="AC511" s="55"/>
      <c r="AD511" s="55"/>
      <c r="AE511" s="55"/>
      <c r="AF511" s="55"/>
      <c r="AG511" s="55"/>
      <c r="AH511" s="55"/>
      <c r="AI511" s="55"/>
      <c r="AJ511" s="55"/>
      <c r="AK511" s="55"/>
      <c r="AL511" s="55"/>
      <c r="AM511" s="55"/>
      <c r="AN511" s="55"/>
      <c r="AO511" s="55"/>
      <c r="AP511" s="55"/>
      <c r="AQ511" s="55"/>
      <c r="AR511" s="55"/>
      <c r="AS511" s="55"/>
      <c r="AT511" s="55"/>
      <c r="AU511" s="55"/>
      <c r="AV511" s="55"/>
      <c r="AW511" s="55"/>
      <c r="AX511" s="55"/>
      <c r="AY511" s="55"/>
      <c r="AZ511" s="55"/>
      <c r="BA511" s="55"/>
      <c r="BB511" s="55"/>
      <c r="BC511" s="55"/>
      <c r="BD511" s="55"/>
      <c r="BE511" s="55"/>
      <c r="BF511" s="55"/>
      <c r="BG511" s="55"/>
      <c r="BH511" s="55"/>
      <c r="BI511" s="55"/>
      <c r="BJ511" s="55"/>
      <c r="BK511" s="55"/>
      <c r="BL511" s="55"/>
      <c r="BM511" s="55"/>
      <c r="BN511" s="55"/>
      <c r="BO511" s="55"/>
      <c r="BP511" s="55"/>
      <c r="BQ511" s="55"/>
      <c r="BR511" s="55"/>
      <c r="BS511" s="55"/>
    </row>
    <row r="512" spans="3:71" x14ac:dyDescent="0.2">
      <c r="J512" s="26"/>
      <c r="L512" s="55"/>
      <c r="M512" s="55"/>
      <c r="N512" s="55"/>
      <c r="O512" s="55"/>
      <c r="P512" s="55"/>
      <c r="Q512" s="55"/>
      <c r="R512" s="55"/>
      <c r="S512" s="55"/>
      <c r="T512" s="55"/>
      <c r="U512" s="55"/>
      <c r="V512" s="55"/>
      <c r="W512" s="55"/>
      <c r="X512" s="55"/>
      <c r="Y512" s="55"/>
      <c r="Z512" s="55"/>
      <c r="AA512" s="55"/>
      <c r="AB512" s="55"/>
      <c r="AC512" s="55"/>
      <c r="AD512" s="55"/>
      <c r="AE512" s="55"/>
      <c r="AF512" s="55"/>
      <c r="AG512" s="55"/>
      <c r="AH512" s="55"/>
      <c r="AI512" s="55"/>
      <c r="AJ512" s="55"/>
      <c r="AK512" s="55"/>
      <c r="AL512" s="55"/>
      <c r="AM512" s="55"/>
      <c r="AN512" s="55"/>
      <c r="AO512" s="55"/>
      <c r="AP512" s="55"/>
      <c r="AQ512" s="55"/>
      <c r="AR512" s="55"/>
      <c r="AS512" s="55"/>
      <c r="AT512" s="55"/>
      <c r="AU512" s="55"/>
      <c r="AV512" s="55"/>
      <c r="AW512" s="55"/>
      <c r="AX512" s="55"/>
      <c r="AY512" s="55"/>
      <c r="AZ512" s="55"/>
      <c r="BA512" s="55"/>
      <c r="BB512" s="55"/>
      <c r="BC512" s="55"/>
      <c r="BD512" s="55"/>
      <c r="BE512" s="55"/>
      <c r="BF512" s="55"/>
      <c r="BG512" s="55"/>
      <c r="BH512" s="55"/>
      <c r="BI512" s="55"/>
      <c r="BJ512" s="55"/>
      <c r="BK512" s="55"/>
      <c r="BL512" s="55"/>
      <c r="BM512" s="55"/>
      <c r="BN512" s="55"/>
      <c r="BO512" s="55"/>
      <c r="BP512" s="55"/>
      <c r="BQ512" s="55"/>
      <c r="BR512" s="55"/>
      <c r="BS512" s="55"/>
    </row>
  </sheetData>
  <mergeCells count="4">
    <mergeCell ref="B7:E7"/>
    <mergeCell ref="B66:E66"/>
    <mergeCell ref="B105:E105"/>
    <mergeCell ref="B355:E355"/>
  </mergeCells>
  <pageMargins left="0.7" right="0.7" top="0.75" bottom="0.75" header="0.3" footer="0.3"/>
</worksheet>
</file>

<file path=xl/worksheets/sheet1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FB0F38-1643-4981-8272-17F01F97B0B2}">
  <sheetPr codeName="Sheet14"/>
  <dimension ref="A1:CP602"/>
  <sheetViews>
    <sheetView showGridLines="0" zoomScale="80" zoomScaleNormal="80" workbookViewId="0">
      <pane xSplit="11" ySplit="5" topLeftCell="L340" activePane="bottomRight" state="frozen"/>
      <selection pane="topRight" activeCell="L1" sqref="L1"/>
      <selection pane="bottomLeft" activeCell="A6" sqref="A6"/>
      <selection pane="bottomRight" activeCell="V171" sqref="V171:V172"/>
    </sheetView>
  </sheetViews>
  <sheetFormatPr baseColWidth="10" defaultColWidth="0" defaultRowHeight="15" outlineLevelRow="1" x14ac:dyDescent="0.2"/>
  <cols>
    <col min="1" max="3" width="5.6640625" customWidth="1"/>
    <col min="4" max="10" width="14.6640625" customWidth="1"/>
    <col min="11" max="11" width="17.6640625" style="7" customWidth="1"/>
    <col min="12" max="93" width="9.1640625" customWidth="1"/>
    <col min="94" max="94" width="0" style="6" hidden="1" customWidth="1"/>
    <col min="95" max="16384" width="9.1640625" style="6" hidden="1"/>
  </cols>
  <sheetData>
    <row r="1" spans="1:93" s="5" customFormat="1" ht="20.25" customHeight="1" x14ac:dyDescent="0.2">
      <c r="A1" s="82" t="s">
        <v>817</v>
      </c>
      <c r="B1" s="82"/>
      <c r="C1" s="82"/>
      <c r="D1" s="82"/>
      <c r="E1" s="82"/>
      <c r="F1" s="82"/>
      <c r="G1" s="82"/>
      <c r="H1" s="82"/>
      <c r="I1" s="82"/>
      <c r="J1" s="82"/>
      <c r="K1" s="83"/>
      <c r="L1" s="82"/>
      <c r="M1" s="82"/>
      <c r="N1" s="82"/>
      <c r="O1" s="82"/>
      <c r="P1" s="82"/>
      <c r="Q1" s="82"/>
      <c r="R1" s="82"/>
      <c r="S1" s="82"/>
      <c r="T1" s="82"/>
      <c r="U1" s="82"/>
      <c r="V1" s="82"/>
      <c r="W1" s="82"/>
      <c r="X1" s="82"/>
      <c r="Y1" s="82"/>
      <c r="Z1" s="82"/>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row>
    <row r="2" spans="1:93" ht="9" customHeight="1" x14ac:dyDescent="0.2">
      <c r="A2" s="6"/>
      <c r="B2" s="6"/>
      <c r="C2" s="6"/>
      <c r="D2" s="6"/>
      <c r="E2" s="6"/>
      <c r="F2" s="6"/>
      <c r="G2" s="6"/>
      <c r="H2" s="6"/>
      <c r="I2" s="6"/>
      <c r="J2" s="6"/>
      <c r="K2" s="84"/>
      <c r="L2" s="6"/>
      <c r="M2" s="6"/>
      <c r="N2" s="6"/>
      <c r="O2" s="6"/>
      <c r="P2" s="6"/>
      <c r="Q2" s="6"/>
      <c r="R2" s="6"/>
      <c r="S2" s="6"/>
      <c r="T2" s="6"/>
      <c r="U2" s="6"/>
      <c r="V2" s="6"/>
      <c r="W2" s="6"/>
      <c r="X2" s="6"/>
      <c r="Y2" s="6"/>
      <c r="Z2" s="6"/>
    </row>
    <row r="3" spans="1:93" x14ac:dyDescent="0.2">
      <c r="L3" s="3">
        <f t="array" ref="L3:BS3">IA_Periods</f>
        <v>1</v>
      </c>
      <c r="M3" s="3">
        <v>2</v>
      </c>
      <c r="N3" s="3">
        <v>3</v>
      </c>
      <c r="O3" s="3">
        <v>4</v>
      </c>
      <c r="P3" s="3">
        <v>5</v>
      </c>
      <c r="Q3" s="3">
        <v>6</v>
      </c>
      <c r="R3" s="3">
        <v>7</v>
      </c>
      <c r="S3" s="3">
        <v>8</v>
      </c>
      <c r="T3" s="3">
        <v>9</v>
      </c>
      <c r="U3" s="3">
        <v>10</v>
      </c>
      <c r="V3" s="3">
        <v>11</v>
      </c>
      <c r="W3" s="3">
        <v>12</v>
      </c>
      <c r="X3" s="3">
        <v>13</v>
      </c>
      <c r="Y3" s="3">
        <v>14</v>
      </c>
      <c r="Z3" s="3">
        <v>15</v>
      </c>
      <c r="AA3" s="3">
        <v>16</v>
      </c>
      <c r="AB3" s="3">
        <v>17</v>
      </c>
      <c r="AC3" s="3">
        <v>18</v>
      </c>
      <c r="AD3" s="3">
        <v>19</v>
      </c>
      <c r="AE3" s="3">
        <v>20</v>
      </c>
      <c r="AF3" s="3">
        <v>21</v>
      </c>
      <c r="AG3" s="3">
        <v>22</v>
      </c>
      <c r="AH3" s="3">
        <v>23</v>
      </c>
      <c r="AI3" s="3">
        <v>24</v>
      </c>
      <c r="AJ3" s="3">
        <v>25</v>
      </c>
      <c r="AK3" s="3">
        <v>26</v>
      </c>
      <c r="AL3" s="3">
        <v>27</v>
      </c>
      <c r="AM3" s="3">
        <v>28</v>
      </c>
      <c r="AN3" s="3">
        <v>29</v>
      </c>
      <c r="AO3" s="3">
        <v>30</v>
      </c>
      <c r="AP3" s="3">
        <v>31</v>
      </c>
      <c r="AQ3" s="3">
        <v>32</v>
      </c>
      <c r="AR3" s="3">
        <v>33</v>
      </c>
      <c r="AS3" s="3">
        <v>34</v>
      </c>
      <c r="AT3" s="3">
        <v>35</v>
      </c>
      <c r="AU3" s="3">
        <v>36</v>
      </c>
      <c r="AV3" s="3">
        <v>37</v>
      </c>
      <c r="AW3" s="3">
        <v>38</v>
      </c>
      <c r="AX3" s="3">
        <v>39</v>
      </c>
      <c r="AY3" s="3">
        <v>40</v>
      </c>
      <c r="AZ3" s="3">
        <v>41</v>
      </c>
      <c r="BA3" s="3">
        <v>42</v>
      </c>
      <c r="BB3" s="3">
        <v>43</v>
      </c>
      <c r="BC3" s="3">
        <v>44</v>
      </c>
      <c r="BD3" s="3">
        <v>45</v>
      </c>
      <c r="BE3" s="3">
        <v>46</v>
      </c>
      <c r="BF3" s="3">
        <v>47</v>
      </c>
      <c r="BG3" s="3">
        <v>48</v>
      </c>
      <c r="BH3" s="3">
        <v>49</v>
      </c>
      <c r="BI3" s="3">
        <v>50</v>
      </c>
      <c r="BJ3" s="3">
        <v>51</v>
      </c>
      <c r="BK3" s="3">
        <v>52</v>
      </c>
      <c r="BL3" s="3">
        <v>53</v>
      </c>
      <c r="BM3" s="3">
        <v>54</v>
      </c>
      <c r="BN3" s="3">
        <v>55</v>
      </c>
      <c r="BO3" s="3">
        <v>56</v>
      </c>
      <c r="BP3" s="3">
        <v>57</v>
      </c>
      <c r="BQ3" s="3">
        <v>58</v>
      </c>
      <c r="BR3" s="3">
        <v>59</v>
      </c>
      <c r="BS3" s="3">
        <v>60</v>
      </c>
    </row>
    <row r="4" spans="1:93" x14ac:dyDescent="0.2">
      <c r="L4" s="4">
        <f t="array" ref="L4:BS4">IA_Years</f>
        <v>2013</v>
      </c>
      <c r="M4">
        <v>2014</v>
      </c>
      <c r="N4">
        <v>2015</v>
      </c>
      <c r="O4">
        <v>2016</v>
      </c>
      <c r="P4">
        <v>2017</v>
      </c>
      <c r="Q4">
        <v>2018</v>
      </c>
      <c r="R4">
        <v>2019</v>
      </c>
      <c r="S4">
        <v>2020</v>
      </c>
      <c r="T4" s="76">
        <v>2021</v>
      </c>
      <c r="U4">
        <v>2022</v>
      </c>
      <c r="V4">
        <v>2023</v>
      </c>
      <c r="W4">
        <v>2024</v>
      </c>
      <c r="X4">
        <v>2025</v>
      </c>
      <c r="Y4">
        <v>2026</v>
      </c>
      <c r="Z4">
        <v>2027</v>
      </c>
      <c r="AA4">
        <v>2028</v>
      </c>
      <c r="AB4">
        <v>2029</v>
      </c>
      <c r="AC4">
        <v>2030</v>
      </c>
      <c r="AD4">
        <v>2031</v>
      </c>
      <c r="AE4">
        <v>2032</v>
      </c>
      <c r="AF4">
        <v>2033</v>
      </c>
      <c r="AG4">
        <v>2034</v>
      </c>
      <c r="AH4">
        <v>2035</v>
      </c>
      <c r="AI4">
        <v>2036</v>
      </c>
      <c r="AJ4">
        <v>2037</v>
      </c>
      <c r="AK4">
        <v>2038</v>
      </c>
      <c r="AL4">
        <v>2039</v>
      </c>
      <c r="AM4">
        <v>2040</v>
      </c>
      <c r="AN4">
        <v>2041</v>
      </c>
      <c r="AO4">
        <v>2042</v>
      </c>
      <c r="AP4">
        <v>2043</v>
      </c>
      <c r="AQ4">
        <v>2044</v>
      </c>
      <c r="AR4">
        <v>2045</v>
      </c>
      <c r="AS4">
        <v>2046</v>
      </c>
      <c r="AT4">
        <v>2047</v>
      </c>
      <c r="AU4">
        <v>2048</v>
      </c>
      <c r="AV4">
        <v>2049</v>
      </c>
      <c r="AW4">
        <v>2050</v>
      </c>
      <c r="AX4">
        <v>2051</v>
      </c>
      <c r="AY4">
        <v>2052</v>
      </c>
      <c r="AZ4">
        <v>2053</v>
      </c>
      <c r="BA4">
        <v>2054</v>
      </c>
      <c r="BB4">
        <v>2055</v>
      </c>
      <c r="BC4">
        <v>2056</v>
      </c>
      <c r="BD4">
        <v>2057</v>
      </c>
      <c r="BE4">
        <v>2058</v>
      </c>
      <c r="BF4">
        <v>2059</v>
      </c>
      <c r="BG4">
        <v>2060</v>
      </c>
      <c r="BH4">
        <v>2061</v>
      </c>
      <c r="BI4">
        <v>2062</v>
      </c>
      <c r="BJ4">
        <v>2063</v>
      </c>
      <c r="BK4">
        <v>2064</v>
      </c>
      <c r="BL4">
        <v>2065</v>
      </c>
      <c r="BM4">
        <v>2066</v>
      </c>
      <c r="BN4">
        <v>2067</v>
      </c>
      <c r="BO4">
        <v>2068</v>
      </c>
      <c r="BP4">
        <v>2069</v>
      </c>
      <c r="BQ4">
        <v>2070</v>
      </c>
      <c r="BR4">
        <v>2071</v>
      </c>
      <c r="BS4">
        <v>2072</v>
      </c>
    </row>
    <row r="5" spans="1:93" x14ac:dyDescent="0.2">
      <c r="L5" s="3">
        <f t="array" ref="L5:BS5">+IA_Days</f>
        <v>365</v>
      </c>
      <c r="M5" s="3">
        <v>365</v>
      </c>
      <c r="N5" s="3">
        <v>365</v>
      </c>
      <c r="O5" s="3">
        <v>366</v>
      </c>
      <c r="P5" s="3">
        <v>365</v>
      </c>
      <c r="Q5" s="3">
        <v>365</v>
      </c>
      <c r="R5" s="3">
        <v>365</v>
      </c>
      <c r="S5" s="3">
        <v>366</v>
      </c>
      <c r="T5" s="3">
        <v>365</v>
      </c>
      <c r="U5" s="3">
        <v>365</v>
      </c>
      <c r="V5" s="3">
        <v>365</v>
      </c>
      <c r="W5" s="3">
        <v>366</v>
      </c>
      <c r="X5" s="3">
        <v>365</v>
      </c>
      <c r="Y5" s="3">
        <v>365</v>
      </c>
      <c r="Z5" s="3">
        <v>365</v>
      </c>
      <c r="AA5" s="3">
        <v>366</v>
      </c>
      <c r="AB5" s="3">
        <v>365</v>
      </c>
      <c r="AC5" s="3">
        <v>365</v>
      </c>
      <c r="AD5" s="3">
        <v>365</v>
      </c>
      <c r="AE5" s="3">
        <v>366</v>
      </c>
      <c r="AF5" s="3">
        <v>365</v>
      </c>
      <c r="AG5" s="3">
        <v>365</v>
      </c>
      <c r="AH5" s="3">
        <v>365</v>
      </c>
      <c r="AI5" s="3">
        <v>366</v>
      </c>
      <c r="AJ5" s="3">
        <v>365</v>
      </c>
      <c r="AK5" s="3">
        <v>365</v>
      </c>
      <c r="AL5" s="3">
        <v>365</v>
      </c>
      <c r="AM5" s="3">
        <v>366</v>
      </c>
      <c r="AN5" s="3">
        <v>365</v>
      </c>
      <c r="AO5" s="3">
        <v>365</v>
      </c>
      <c r="AP5" s="3">
        <v>365</v>
      </c>
      <c r="AQ5" s="3">
        <v>366</v>
      </c>
      <c r="AR5" s="3">
        <v>365</v>
      </c>
      <c r="AS5" s="3">
        <v>365</v>
      </c>
      <c r="AT5" s="3">
        <v>365</v>
      </c>
      <c r="AU5" s="3">
        <v>366</v>
      </c>
      <c r="AV5" s="3">
        <v>365</v>
      </c>
      <c r="AW5" s="3">
        <v>365</v>
      </c>
      <c r="AX5" s="3">
        <v>365</v>
      </c>
      <c r="AY5" s="3">
        <v>366</v>
      </c>
      <c r="AZ5" s="3">
        <v>365</v>
      </c>
      <c r="BA5" s="3">
        <v>365</v>
      </c>
      <c r="BB5" s="3">
        <v>365</v>
      </c>
      <c r="BC5" s="3">
        <v>366</v>
      </c>
      <c r="BD5" s="3">
        <v>365</v>
      </c>
      <c r="BE5" s="3">
        <v>365</v>
      </c>
      <c r="BF5" s="3">
        <v>365</v>
      </c>
      <c r="BG5" s="3">
        <v>366</v>
      </c>
      <c r="BH5" s="3">
        <v>365</v>
      </c>
      <c r="BI5" s="3">
        <v>365</v>
      </c>
      <c r="BJ5" s="3">
        <v>365</v>
      </c>
      <c r="BK5" s="3">
        <v>366</v>
      </c>
      <c r="BL5" s="3">
        <v>365</v>
      </c>
      <c r="BM5" s="3">
        <v>365</v>
      </c>
      <c r="BN5" s="3">
        <v>365</v>
      </c>
      <c r="BO5" s="3">
        <v>366</v>
      </c>
      <c r="BP5" s="3">
        <v>365</v>
      </c>
      <c r="BQ5" s="3">
        <v>365</v>
      </c>
      <c r="BR5" s="3">
        <v>365</v>
      </c>
      <c r="BS5" s="3">
        <v>366</v>
      </c>
    </row>
    <row r="6" spans="1:93" ht="16" thickBot="1" x14ac:dyDescent="0.25"/>
    <row r="7" spans="1:93" ht="22" thickBot="1" x14ac:dyDescent="0.25">
      <c r="A7" s="8"/>
      <c r="B7" s="221" t="s">
        <v>65</v>
      </c>
      <c r="C7" s="222"/>
      <c r="D7" s="222"/>
      <c r="E7" s="223"/>
      <c r="F7" s="9"/>
      <c r="G7" s="9"/>
      <c r="H7" s="9"/>
      <c r="I7" s="9"/>
      <c r="J7" s="48"/>
      <c r="K7" s="10"/>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row>
    <row r="8" spans="1:93" outlineLevel="1" x14ac:dyDescent="0.2">
      <c r="J8" s="26"/>
    </row>
    <row r="9" spans="1:93" outlineLevel="1" x14ac:dyDescent="0.2">
      <c r="C9" s="11" t="s">
        <v>6</v>
      </c>
      <c r="J9" s="26"/>
    </row>
    <row r="10" spans="1:93" outlineLevel="1" x14ac:dyDescent="0.2">
      <c r="D10" t="s">
        <v>818</v>
      </c>
      <c r="G10" s="36" t="d">
        <v>2006-01-01</v>
      </c>
      <c r="H10" s="16" t="s">
        <v>819</v>
      </c>
      <c r="J10" s="26"/>
    </row>
    <row r="11" spans="1:93" outlineLevel="1" x14ac:dyDescent="0.2">
      <c r="D11" t="s">
        <v>127</v>
      </c>
      <c r="G11" s="40">
        <v>0</v>
      </c>
      <c r="H11" s="16" t="s">
        <v>851</v>
      </c>
      <c r="J11" s="26"/>
    </row>
    <row r="12" spans="1:93" outlineLevel="1" x14ac:dyDescent="0.2">
      <c r="J12" s="26"/>
    </row>
    <row r="13" spans="1:93" outlineLevel="1" x14ac:dyDescent="0.2">
      <c r="C13" s="11" t="s">
        <v>66</v>
      </c>
      <c r="J13" s="26"/>
    </row>
    <row r="14" spans="1:93" outlineLevel="1" x14ac:dyDescent="0.2">
      <c r="D14" t="s">
        <v>67</v>
      </c>
      <c r="G14" s="21">
        <v>0.01</v>
      </c>
      <c r="H14" s="16" t="s">
        <v>68</v>
      </c>
      <c r="J14" s="26"/>
    </row>
    <row r="15" spans="1:93" outlineLevel="1" x14ac:dyDescent="0.2">
      <c r="J15" s="26"/>
    </row>
    <row r="16" spans="1:93" outlineLevel="1" x14ac:dyDescent="0.2">
      <c r="J16" s="26"/>
    </row>
    <row r="17" spans="3:10" outlineLevel="1" x14ac:dyDescent="0.2">
      <c r="C17" s="11" t="s">
        <v>69</v>
      </c>
      <c r="J17" s="26"/>
    </row>
    <row r="18" spans="3:10" outlineLevel="1" x14ac:dyDescent="0.2">
      <c r="J18" s="26"/>
    </row>
    <row r="19" spans="3:10" outlineLevel="1" x14ac:dyDescent="0.2">
      <c r="D19" t="s">
        <v>70</v>
      </c>
      <c r="G19" s="21">
        <v>0.15</v>
      </c>
      <c r="H19" s="16" t="s">
        <v>72</v>
      </c>
      <c r="J19" s="26"/>
    </row>
    <row r="20" spans="3:10" outlineLevel="1" x14ac:dyDescent="0.2">
      <c r="D20" t="s">
        <v>821</v>
      </c>
      <c r="G20" s="21">
        <v>0.15</v>
      </c>
      <c r="H20" s="16" t="s">
        <v>73</v>
      </c>
      <c r="J20" s="26"/>
    </row>
    <row r="21" spans="3:10" outlineLevel="1" x14ac:dyDescent="0.2">
      <c r="D21" t="s">
        <v>820</v>
      </c>
      <c r="G21" s="21">
        <v>0.02</v>
      </c>
      <c r="H21" s="16" t="s">
        <v>822</v>
      </c>
      <c r="J21" s="26"/>
    </row>
    <row r="22" spans="3:10" outlineLevel="1" x14ac:dyDescent="0.2">
      <c r="J22" s="26"/>
    </row>
    <row r="23" spans="3:10" outlineLevel="1" x14ac:dyDescent="0.2">
      <c r="C23" s="11" t="s">
        <v>74</v>
      </c>
      <c r="J23" s="26"/>
    </row>
    <row r="24" spans="3:10" outlineLevel="1" x14ac:dyDescent="0.2">
      <c r="J24" s="26"/>
    </row>
    <row r="25" spans="3:10" outlineLevel="1" x14ac:dyDescent="0.2">
      <c r="D25" t="s">
        <v>76</v>
      </c>
      <c r="F25" s="38"/>
      <c r="G25" s="38" t="s">
        <v>823</v>
      </c>
      <c r="H25" s="38" t="s">
        <v>824</v>
      </c>
      <c r="J25" s="26"/>
    </row>
    <row r="26" spans="3:10" outlineLevel="1" x14ac:dyDescent="0.2">
      <c r="D26" t="s">
        <v>80</v>
      </c>
      <c r="F26" s="34" t="s">
        <v>449</v>
      </c>
      <c r="G26" s="21">
        <v>0.7</v>
      </c>
      <c r="H26" s="21">
        <v>0.7</v>
      </c>
      <c r="J26" s="26"/>
    </row>
    <row r="27" spans="3:10" outlineLevel="1" x14ac:dyDescent="0.2">
      <c r="D27" s="39"/>
      <c r="F27" s="34" t="s">
        <v>450</v>
      </c>
      <c r="G27" s="21">
        <v>0.5</v>
      </c>
      <c r="H27" s="21">
        <v>0.7</v>
      </c>
      <c r="J27" s="26"/>
    </row>
    <row r="28" spans="3:10" outlineLevel="1" x14ac:dyDescent="0.2">
      <c r="F28" s="16"/>
      <c r="G28" s="16" t="s">
        <v>825</v>
      </c>
      <c r="H28" s="16" t="s">
        <v>826</v>
      </c>
      <c r="J28" s="26"/>
    </row>
    <row r="29" spans="3:10" outlineLevel="1" x14ac:dyDescent="0.2">
      <c r="J29" s="26"/>
    </row>
    <row r="30" spans="3:10" outlineLevel="1" x14ac:dyDescent="0.2">
      <c r="D30" t="s">
        <v>361</v>
      </c>
      <c r="G30" s="21">
        <v>0</v>
      </c>
      <c r="H30" s="16" t="s">
        <v>362</v>
      </c>
      <c r="J30" s="26"/>
    </row>
    <row r="31" spans="3:10" outlineLevel="1" x14ac:dyDescent="0.2">
      <c r="J31" s="26"/>
    </row>
    <row r="32" spans="3:10" outlineLevel="1" x14ac:dyDescent="0.2">
      <c r="J32" s="26"/>
    </row>
    <row r="33" spans="3:10" outlineLevel="1" x14ac:dyDescent="0.2">
      <c r="J33" s="26"/>
    </row>
    <row r="34" spans="3:10" outlineLevel="1" x14ac:dyDescent="0.2">
      <c r="C34" s="11" t="s">
        <v>91</v>
      </c>
      <c r="F34" s="80" t="s">
        <v>92</v>
      </c>
      <c r="G34" s="80" t="s">
        <v>93</v>
      </c>
      <c r="H34" s="80"/>
      <c r="I34" s="80"/>
      <c r="J34" s="26"/>
    </row>
    <row r="35" spans="3:10" outlineLevel="1" x14ac:dyDescent="0.2">
      <c r="F35" s="81" t="s">
        <v>90</v>
      </c>
      <c r="G35" s="81" t="s">
        <v>90</v>
      </c>
      <c r="H35" s="80"/>
      <c r="I35" s="80"/>
      <c r="J35" s="26"/>
    </row>
    <row r="36" spans="3:10" outlineLevel="1" x14ac:dyDescent="0.2">
      <c r="D36" t="s">
        <v>70</v>
      </c>
      <c r="F36" s="37">
        <v>0.6</v>
      </c>
      <c r="G36" s="41">
        <f>1-F36</f>
        <v>0.4</v>
      </c>
      <c r="H36" s="80"/>
      <c r="I36" s="80"/>
      <c r="J36" s="26"/>
    </row>
    <row r="37" spans="3:10" outlineLevel="1" x14ac:dyDescent="0.2">
      <c r="D37" t="s">
        <v>71</v>
      </c>
      <c r="F37" s="37">
        <v>0.5</v>
      </c>
      <c r="G37" s="41">
        <f>1-F37</f>
        <v>0.5</v>
      </c>
      <c r="H37" s="80"/>
      <c r="I37" s="80"/>
      <c r="J37" s="26"/>
    </row>
    <row r="38" spans="3:10" outlineLevel="1" x14ac:dyDescent="0.2">
      <c r="F38" s="16" t="s">
        <v>96</v>
      </c>
      <c r="G38" s="16" t="s">
        <v>97</v>
      </c>
      <c r="H38" s="80"/>
      <c r="I38" s="80"/>
      <c r="J38" s="26"/>
    </row>
    <row r="39" spans="3:10" outlineLevel="1" x14ac:dyDescent="0.2">
      <c r="J39" s="26"/>
    </row>
    <row r="40" spans="3:10" outlineLevel="1" x14ac:dyDescent="0.2">
      <c r="J40" s="26"/>
    </row>
    <row r="41" spans="3:10" outlineLevel="1" x14ac:dyDescent="0.2">
      <c r="C41" s="11" t="s">
        <v>100</v>
      </c>
      <c r="F41" s="80" t="s">
        <v>101</v>
      </c>
      <c r="G41" s="80" t="s">
        <v>102</v>
      </c>
      <c r="H41" s="6"/>
      <c r="J41" s="26"/>
    </row>
    <row r="42" spans="3:10" outlineLevel="1" x14ac:dyDescent="0.2">
      <c r="D42" t="s">
        <v>99</v>
      </c>
      <c r="F42" s="81" t="s">
        <v>90</v>
      </c>
      <c r="G42" s="81" t="s">
        <v>90</v>
      </c>
      <c r="H42" s="6"/>
      <c r="J42" s="26"/>
    </row>
    <row r="43" spans="3:10" outlineLevel="1" x14ac:dyDescent="0.2">
      <c r="F43" s="37">
        <v>0.65</v>
      </c>
      <c r="G43" s="41">
        <f>1-F43</f>
        <v>0.35</v>
      </c>
      <c r="H43" s="6"/>
      <c r="J43" s="26"/>
    </row>
    <row r="44" spans="3:10" outlineLevel="1" x14ac:dyDescent="0.2">
      <c r="F44" s="16" t="s">
        <v>375</v>
      </c>
      <c r="G44" s="16" t="s">
        <v>376</v>
      </c>
      <c r="H44" s="6"/>
      <c r="J44" s="26"/>
    </row>
    <row r="45" spans="3:10" outlineLevel="1" x14ac:dyDescent="0.2">
      <c r="F45" s="6"/>
      <c r="G45" s="6"/>
      <c r="H45" s="6"/>
      <c r="J45" s="26"/>
    </row>
    <row r="46" spans="3:10" outlineLevel="1" x14ac:dyDescent="0.2">
      <c r="J46" s="26"/>
    </row>
    <row r="47" spans="3:10" outlineLevel="1" x14ac:dyDescent="0.2">
      <c r="J47" s="26"/>
    </row>
    <row r="48" spans="3:10" outlineLevel="1" x14ac:dyDescent="0.2">
      <c r="C48" s="11" t="s">
        <v>107</v>
      </c>
      <c r="F48" s="80" t="s">
        <v>86</v>
      </c>
      <c r="G48" s="80" t="s">
        <v>377</v>
      </c>
      <c r="H48" s="80" t="s">
        <v>378</v>
      </c>
      <c r="J48" s="26"/>
    </row>
    <row r="49" spans="3:10" outlineLevel="1" x14ac:dyDescent="0.2">
      <c r="F49" s="81" t="s">
        <v>88</v>
      </c>
      <c r="G49" s="81" t="s">
        <v>90</v>
      </c>
      <c r="H49" s="81" t="s">
        <v>90</v>
      </c>
      <c r="J49" s="26"/>
    </row>
    <row r="50" spans="3:10" outlineLevel="1" x14ac:dyDescent="0.2">
      <c r="F50" s="19">
        <v>0</v>
      </c>
      <c r="G50" s="37">
        <v>0.4</v>
      </c>
      <c r="H50" s="41">
        <f>1-G50</f>
        <v>0.6</v>
      </c>
      <c r="J50" s="26"/>
    </row>
    <row r="51" spans="3:10" outlineLevel="1" x14ac:dyDescent="0.2">
      <c r="F51" s="19">
        <v>30</v>
      </c>
      <c r="G51" s="21">
        <v>0.5</v>
      </c>
      <c r="H51" s="41">
        <f>1-G51</f>
        <v>0.5</v>
      </c>
      <c r="J51" s="26"/>
    </row>
    <row r="52" spans="3:10" outlineLevel="1" x14ac:dyDescent="0.2">
      <c r="F52" s="19">
        <v>60</v>
      </c>
      <c r="G52" s="21">
        <v>0.6</v>
      </c>
      <c r="H52" s="41">
        <f>1-G52</f>
        <v>0.4</v>
      </c>
      <c r="J52" s="26"/>
    </row>
    <row r="53" spans="3:10" outlineLevel="1" x14ac:dyDescent="0.2">
      <c r="F53" s="16" t="s">
        <v>106</v>
      </c>
      <c r="G53" s="16" t="s">
        <v>109</v>
      </c>
      <c r="H53" s="16" t="s">
        <v>110</v>
      </c>
      <c r="J53" s="26"/>
    </row>
    <row r="54" spans="3:10" outlineLevel="1" x14ac:dyDescent="0.2">
      <c r="J54" s="26"/>
    </row>
    <row r="55" spans="3:10" outlineLevel="1" x14ac:dyDescent="0.2">
      <c r="D55" t="s">
        <v>827</v>
      </c>
      <c r="F55" s="16" t="s">
        <v>829</v>
      </c>
      <c r="G55" s="21">
        <v>0.5</v>
      </c>
      <c r="H55" s="41">
        <f>1-G55</f>
        <v>0.5</v>
      </c>
      <c r="I55" s="16" t="s">
        <v>831</v>
      </c>
      <c r="J55" s="26"/>
    </row>
    <row r="56" spans="3:10" outlineLevel="1" x14ac:dyDescent="0.2">
      <c r="D56" t="s">
        <v>828</v>
      </c>
      <c r="F56" s="16" t="s">
        <v>830</v>
      </c>
      <c r="G56" s="21">
        <v>0.15</v>
      </c>
      <c r="H56" s="41">
        <f>1-G56</f>
        <v>0.85</v>
      </c>
      <c r="I56" s="16" t="s">
        <v>832</v>
      </c>
      <c r="J56" s="26"/>
    </row>
    <row r="57" spans="3:10" outlineLevel="1" x14ac:dyDescent="0.2">
      <c r="G57" s="6"/>
      <c r="H57" s="6"/>
      <c r="J57" s="26"/>
    </row>
    <row r="58" spans="3:10" outlineLevel="1" x14ac:dyDescent="0.2">
      <c r="J58" s="26"/>
    </row>
    <row r="59" spans="3:10" outlineLevel="1" x14ac:dyDescent="0.2">
      <c r="C59" s="11" t="s">
        <v>309</v>
      </c>
      <c r="F59" s="38" t="s">
        <v>75</v>
      </c>
      <c r="G59" s="81" t="s">
        <v>46</v>
      </c>
      <c r="J59" s="26"/>
    </row>
    <row r="60" spans="3:10" outlineLevel="1" x14ac:dyDescent="0.2">
      <c r="D60" t="s">
        <v>833</v>
      </c>
      <c r="F60" s="36" t="d">
        <v>2008-01-01</v>
      </c>
      <c r="G60" s="43">
        <v>35</v>
      </c>
      <c r="J60" s="26"/>
    </row>
    <row r="61" spans="3:10" outlineLevel="1" x14ac:dyDescent="0.2">
      <c r="F61" s="16" t="s">
        <v>381</v>
      </c>
      <c r="G61" s="16" t="s">
        <v>367</v>
      </c>
      <c r="J61" s="26"/>
    </row>
    <row r="62" spans="3:10" outlineLevel="1" x14ac:dyDescent="0.2">
      <c r="J62" s="26"/>
    </row>
    <row r="63" spans="3:10" outlineLevel="1" x14ac:dyDescent="0.2">
      <c r="D63" t="s">
        <v>834</v>
      </c>
      <c r="J63" s="26"/>
    </row>
    <row r="64" spans="3:10" ht="16" thickBot="1" x14ac:dyDescent="0.25">
      <c r="J64" s="26"/>
    </row>
    <row r="65" spans="1:93" ht="22" thickBot="1" x14ac:dyDescent="0.25">
      <c r="A65" s="8"/>
      <c r="B65" s="221" t="s">
        <v>114</v>
      </c>
      <c r="C65" s="222"/>
      <c r="D65" s="222"/>
      <c r="E65" s="223"/>
      <c r="F65" s="9"/>
      <c r="G65" s="9"/>
      <c r="H65" s="9"/>
      <c r="I65" s="9"/>
      <c r="J65" s="48"/>
      <c r="K65" s="10"/>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row>
    <row r="66" spans="1:93" outlineLevel="1" x14ac:dyDescent="0.2">
      <c r="J66" s="26"/>
    </row>
    <row r="67" spans="1:93" outlineLevel="1" x14ac:dyDescent="0.2">
      <c r="C67" s="11" t="s">
        <v>115</v>
      </c>
      <c r="J67" s="26"/>
    </row>
    <row r="68" spans="1:93" outlineLevel="1" x14ac:dyDescent="0.2">
      <c r="D68" t="s">
        <v>316</v>
      </c>
      <c r="G68" s="37">
        <v>0.1</v>
      </c>
      <c r="H68" s="16" t="s">
        <v>118</v>
      </c>
      <c r="J68" s="26"/>
    </row>
    <row r="69" spans="1:93" outlineLevel="1" x14ac:dyDescent="0.2">
      <c r="D69" t="s">
        <v>116</v>
      </c>
      <c r="G69" s="37">
        <v>0.9</v>
      </c>
      <c r="H69" s="16" t="s">
        <v>120</v>
      </c>
      <c r="J69" s="26"/>
    </row>
    <row r="70" spans="1:93" outlineLevel="1" x14ac:dyDescent="0.2">
      <c r="J70" s="26"/>
    </row>
    <row r="71" spans="1:93" outlineLevel="1" x14ac:dyDescent="0.2">
      <c r="D71" t="s">
        <v>117</v>
      </c>
      <c r="G71" s="44">
        <v>0</v>
      </c>
      <c r="H71" s="16" t="s">
        <v>119</v>
      </c>
      <c r="J71" s="26"/>
    </row>
    <row r="72" spans="1:93" outlineLevel="1" x14ac:dyDescent="0.2">
      <c r="J72" s="26"/>
    </row>
    <row r="73" spans="1:93" outlineLevel="1" x14ac:dyDescent="0.2">
      <c r="J73" s="26"/>
    </row>
    <row r="74" spans="1:93" outlineLevel="1" x14ac:dyDescent="0.2">
      <c r="C74" s="11" t="s">
        <v>121</v>
      </c>
      <c r="H74" s="38" t="s">
        <v>323</v>
      </c>
      <c r="J74" s="26"/>
    </row>
    <row r="75" spans="1:93" outlineLevel="1" x14ac:dyDescent="0.2">
      <c r="D75" t="s">
        <v>317</v>
      </c>
      <c r="F75" s="41">
        <f>Marine!NOC_WI_perc</f>
        <v>0.1</v>
      </c>
      <c r="G75" s="16" t="s">
        <v>319</v>
      </c>
      <c r="H75" s="44">
        <v>0</v>
      </c>
      <c r="I75" s="16" t="s">
        <v>324</v>
      </c>
      <c r="J75" s="26"/>
    </row>
    <row r="76" spans="1:93" outlineLevel="1" x14ac:dyDescent="0.2">
      <c r="D76" t="s">
        <v>318</v>
      </c>
      <c r="F76" s="41">
        <f>Marine!NOC_WI_perc</f>
        <v>0.1</v>
      </c>
      <c r="G76" s="16" t="s">
        <v>320</v>
      </c>
      <c r="H76" s="44">
        <v>1</v>
      </c>
      <c r="I76" s="16" t="s">
        <v>325</v>
      </c>
      <c r="J76" s="26"/>
    </row>
    <row r="77" spans="1:93" outlineLevel="1" x14ac:dyDescent="0.2">
      <c r="D77" t="s">
        <v>321</v>
      </c>
      <c r="F77" s="41"/>
      <c r="G77" s="16" t="s">
        <v>322</v>
      </c>
      <c r="H77" s="44">
        <v>0</v>
      </c>
      <c r="I77" s="16" t="s">
        <v>326</v>
      </c>
      <c r="J77" s="26"/>
    </row>
    <row r="78" spans="1:93" outlineLevel="1" x14ac:dyDescent="0.2">
      <c r="J78" s="26"/>
    </row>
    <row r="79" spans="1:93" outlineLevel="1" x14ac:dyDescent="0.2">
      <c r="J79" s="26"/>
    </row>
    <row r="80" spans="1:93" outlineLevel="1" x14ac:dyDescent="0.2">
      <c r="C80" s="11" t="s">
        <v>327</v>
      </c>
      <c r="G80" s="37">
        <v>0.75</v>
      </c>
      <c r="H80" s="16" t="s">
        <v>329</v>
      </c>
      <c r="J80" s="26"/>
    </row>
    <row r="81" spans="3:10" outlineLevel="1" x14ac:dyDescent="0.2">
      <c r="C81" t="s">
        <v>328</v>
      </c>
      <c r="J81" s="26"/>
    </row>
    <row r="82" spans="3:10" outlineLevel="1" x14ac:dyDescent="0.2">
      <c r="J82" s="26"/>
    </row>
    <row r="83" spans="3:10" outlineLevel="1" x14ac:dyDescent="0.2">
      <c r="J83" s="26"/>
    </row>
    <row r="84" spans="3:10" outlineLevel="1" x14ac:dyDescent="0.2">
      <c r="J84" s="26"/>
    </row>
    <row r="85" spans="3:10" outlineLevel="1" x14ac:dyDescent="0.2">
      <c r="J85" s="26"/>
    </row>
    <row r="86" spans="3:10" outlineLevel="1" x14ac:dyDescent="0.2">
      <c r="J86" s="26"/>
    </row>
    <row r="87" spans="3:10" outlineLevel="1" x14ac:dyDescent="0.2">
      <c r="J87" s="26"/>
    </row>
    <row r="88" spans="3:10" outlineLevel="1" x14ac:dyDescent="0.2">
      <c r="J88" s="26"/>
    </row>
    <row r="89" spans="3:10" outlineLevel="1" x14ac:dyDescent="0.2">
      <c r="J89" s="26"/>
    </row>
    <row r="90" spans="3:10" outlineLevel="1" x14ac:dyDescent="0.2">
      <c r="J90" s="26"/>
    </row>
    <row r="91" spans="3:10" outlineLevel="1" x14ac:dyDescent="0.2">
      <c r="J91" s="26"/>
    </row>
    <row r="92" spans="3:10" outlineLevel="1" x14ac:dyDescent="0.2">
      <c r="J92" s="26"/>
    </row>
    <row r="93" spans="3:10" outlineLevel="1" x14ac:dyDescent="0.2">
      <c r="J93" s="26"/>
    </row>
    <row r="94" spans="3:10" outlineLevel="1" x14ac:dyDescent="0.2">
      <c r="J94" s="26"/>
    </row>
    <row r="95" spans="3:10" outlineLevel="1" x14ac:dyDescent="0.2">
      <c r="J95" s="26"/>
    </row>
    <row r="96" spans="3:10" outlineLevel="1" x14ac:dyDescent="0.2">
      <c r="J96" s="26"/>
    </row>
    <row r="97" spans="1:93" outlineLevel="1" x14ac:dyDescent="0.2">
      <c r="J97" s="26"/>
    </row>
    <row r="98" spans="1:93" outlineLevel="1" x14ac:dyDescent="0.2">
      <c r="J98" s="26"/>
    </row>
    <row r="99" spans="1:93" outlineLevel="1" x14ac:dyDescent="0.2">
      <c r="J99" s="26"/>
    </row>
    <row r="100" spans="1:93" outlineLevel="1" x14ac:dyDescent="0.2">
      <c r="J100" s="26"/>
    </row>
    <row r="101" spans="1:93" outlineLevel="1" x14ac:dyDescent="0.2">
      <c r="J101" s="26"/>
    </row>
    <row r="102" spans="1:93" x14ac:dyDescent="0.2">
      <c r="J102" s="26"/>
    </row>
    <row r="103" spans="1:93" ht="16" thickBot="1" x14ac:dyDescent="0.25">
      <c r="J103" s="26"/>
    </row>
    <row r="104" spans="1:93" ht="22" thickBot="1" x14ac:dyDescent="0.25">
      <c r="A104" s="8"/>
      <c r="B104" s="221" t="s">
        <v>122</v>
      </c>
      <c r="C104" s="222"/>
      <c r="D104" s="222"/>
      <c r="E104" s="223"/>
      <c r="F104" s="9"/>
      <c r="G104" s="9"/>
      <c r="H104" s="9"/>
      <c r="I104" s="9"/>
      <c r="J104" s="48"/>
      <c r="K104" s="10"/>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row>
    <row r="105" spans="1:93" outlineLevel="1" x14ac:dyDescent="0.2">
      <c r="J105" s="26"/>
    </row>
    <row r="106" spans="1:93" outlineLevel="1" x14ac:dyDescent="0.2">
      <c r="A106" s="45"/>
      <c r="B106" s="38" t="s">
        <v>123</v>
      </c>
      <c r="C106" s="45"/>
      <c r="D106" s="45"/>
      <c r="E106" s="45"/>
      <c r="J106" s="26"/>
    </row>
    <row r="107" spans="1:93" outlineLevel="1" x14ac:dyDescent="0.2">
      <c r="J107" s="26"/>
    </row>
    <row r="108" spans="1:93" outlineLevel="1" x14ac:dyDescent="0.2">
      <c r="C108" s="11" t="s">
        <v>124</v>
      </c>
      <c r="J108" s="26"/>
    </row>
    <row r="109" spans="1:93" outlineLevel="1" x14ac:dyDescent="0.2">
      <c r="D109" t="s">
        <v>70</v>
      </c>
      <c r="I109" s="30">
        <f ca="1">SUM($L109:$BS109)</f>
        <v>72.259852838624681</v>
      </c>
      <c r="J109" s="26" t="s">
        <v>42</v>
      </c>
      <c r="K109" s="7" t="s">
        <v>131</v>
      </c>
      <c r="L109" s="49">
        <f t="shared" ref="L109:AQ109" ca="1" si="0">OFFSET(_xlfn.SINGLE(IA_prod_oil),6,)</f>
        <v>0</v>
      </c>
      <c r="M109" s="66">
        <f t="shared" ca="1" si="0"/>
        <v>2.4969890000000002E-3</v>
      </c>
      <c r="N109" s="49">
        <f t="shared" ca="1" si="0"/>
        <v>1.6571122753991308</v>
      </c>
      <c r="O109" s="49">
        <f t="shared" ca="1" si="0"/>
        <v>2.9500777230539699</v>
      </c>
      <c r="P109" s="49">
        <f t="shared" ca="1" si="0"/>
        <v>5.5107276499922282</v>
      </c>
      <c r="Q109" s="49">
        <f t="shared" ca="1" si="0"/>
        <v>9.4090187889681651</v>
      </c>
      <c r="R109" s="49">
        <f t="shared" ca="1" si="0"/>
        <v>9.6455713021616614</v>
      </c>
      <c r="S109" s="49">
        <f t="shared" ca="1" si="0"/>
        <v>8.5434999999999999</v>
      </c>
      <c r="T109" s="49">
        <f t="shared" ca="1" si="0"/>
        <v>7.945454999999999</v>
      </c>
      <c r="U109" s="49">
        <f t="shared" ca="1" si="0"/>
        <v>7.3892731499999984</v>
      </c>
      <c r="V109" s="49">
        <f t="shared" ca="1" si="0"/>
        <v>6.8720240294999977</v>
      </c>
      <c r="W109" s="49">
        <f t="shared" ca="1" si="0"/>
        <v>6.3909823474349974</v>
      </c>
      <c r="X109" s="49">
        <f t="shared" ca="1" si="0"/>
        <v>5.9436135831145469</v>
      </c>
      <c r="Y109" s="49">
        <f t="shared" ca="1" si="0"/>
        <v>0</v>
      </c>
      <c r="Z109" s="49">
        <f t="shared" ca="1" si="0"/>
        <v>0</v>
      </c>
      <c r="AA109" s="49">
        <f t="shared" ca="1" si="0"/>
        <v>0</v>
      </c>
      <c r="AB109" s="49">
        <f t="shared" ca="1" si="0"/>
        <v>0</v>
      </c>
      <c r="AC109" s="49">
        <f t="shared" ca="1" si="0"/>
        <v>0</v>
      </c>
      <c r="AD109" s="49">
        <f t="shared" ca="1" si="0"/>
        <v>0</v>
      </c>
      <c r="AE109" s="49">
        <f t="shared" ca="1" si="0"/>
        <v>0</v>
      </c>
      <c r="AF109" s="49">
        <f t="shared" ca="1" si="0"/>
        <v>0</v>
      </c>
      <c r="AG109" s="49">
        <f t="shared" ca="1" si="0"/>
        <v>0</v>
      </c>
      <c r="AH109" s="49">
        <f t="shared" ca="1" si="0"/>
        <v>0</v>
      </c>
      <c r="AI109" s="49">
        <f t="shared" ca="1" si="0"/>
        <v>0</v>
      </c>
      <c r="AJ109" s="49">
        <f t="shared" ca="1" si="0"/>
        <v>0</v>
      </c>
      <c r="AK109" s="49">
        <f t="shared" ca="1" si="0"/>
        <v>0</v>
      </c>
      <c r="AL109" s="49">
        <f t="shared" ca="1" si="0"/>
        <v>0</v>
      </c>
      <c r="AM109" s="49">
        <f t="shared" ca="1" si="0"/>
        <v>0</v>
      </c>
      <c r="AN109" s="49">
        <f t="shared" ca="1" si="0"/>
        <v>0</v>
      </c>
      <c r="AO109" s="49">
        <f t="shared" ca="1" si="0"/>
        <v>0</v>
      </c>
      <c r="AP109" s="49">
        <f t="shared" ca="1" si="0"/>
        <v>0</v>
      </c>
      <c r="AQ109" s="49">
        <f t="shared" ca="1" si="0"/>
        <v>0</v>
      </c>
      <c r="AR109" s="49">
        <f t="shared" ref="AR109:BS109" ca="1" si="1">OFFSET(_xlfn.SINGLE(IA_prod_oil),6,)</f>
        <v>0</v>
      </c>
      <c r="AS109" s="49">
        <f t="shared" ca="1" si="1"/>
        <v>0</v>
      </c>
      <c r="AT109" s="49">
        <f t="shared" ca="1" si="1"/>
        <v>0</v>
      </c>
      <c r="AU109" s="49">
        <f t="shared" ca="1" si="1"/>
        <v>0</v>
      </c>
      <c r="AV109" s="49">
        <f t="shared" ca="1" si="1"/>
        <v>0</v>
      </c>
      <c r="AW109" s="49">
        <f t="shared" ca="1" si="1"/>
        <v>0</v>
      </c>
      <c r="AX109" s="49">
        <f t="shared" ca="1" si="1"/>
        <v>0</v>
      </c>
      <c r="AY109" s="49">
        <f t="shared" ca="1" si="1"/>
        <v>0</v>
      </c>
      <c r="AZ109" s="49">
        <f t="shared" ca="1" si="1"/>
        <v>0</v>
      </c>
      <c r="BA109" s="49">
        <f t="shared" ca="1" si="1"/>
        <v>0</v>
      </c>
      <c r="BB109" s="49">
        <f t="shared" ca="1" si="1"/>
        <v>0</v>
      </c>
      <c r="BC109" s="49">
        <f t="shared" ca="1" si="1"/>
        <v>0</v>
      </c>
      <c r="BD109" s="49">
        <f t="shared" ca="1" si="1"/>
        <v>0</v>
      </c>
      <c r="BE109" s="49">
        <f t="shared" ca="1" si="1"/>
        <v>0</v>
      </c>
      <c r="BF109" s="49">
        <f t="shared" ca="1" si="1"/>
        <v>0</v>
      </c>
      <c r="BG109" s="49">
        <f t="shared" ca="1" si="1"/>
        <v>0</v>
      </c>
      <c r="BH109" s="49">
        <f t="shared" ca="1" si="1"/>
        <v>0</v>
      </c>
      <c r="BI109" s="49">
        <f t="shared" ca="1" si="1"/>
        <v>0</v>
      </c>
      <c r="BJ109" s="49">
        <f t="shared" ca="1" si="1"/>
        <v>0</v>
      </c>
      <c r="BK109" s="49">
        <f t="shared" ca="1" si="1"/>
        <v>0</v>
      </c>
      <c r="BL109" s="49">
        <f t="shared" ca="1" si="1"/>
        <v>0</v>
      </c>
      <c r="BM109" s="49">
        <f t="shared" ca="1" si="1"/>
        <v>0</v>
      </c>
      <c r="BN109" s="49">
        <f t="shared" ca="1" si="1"/>
        <v>0</v>
      </c>
      <c r="BO109" s="49">
        <f t="shared" ca="1" si="1"/>
        <v>0</v>
      </c>
      <c r="BP109" s="49">
        <f t="shared" ca="1" si="1"/>
        <v>0</v>
      </c>
      <c r="BQ109" s="49">
        <f t="shared" ca="1" si="1"/>
        <v>0</v>
      </c>
      <c r="BR109" s="49">
        <f t="shared" ca="1" si="1"/>
        <v>0</v>
      </c>
      <c r="BS109" s="49">
        <f t="shared" ca="1" si="1"/>
        <v>0</v>
      </c>
    </row>
    <row r="110" spans="1:93" outlineLevel="1" x14ac:dyDescent="0.2">
      <c r="D110" t="s">
        <v>683</v>
      </c>
      <c r="I110" s="65">
        <f ca="1">SUM($L110:$BS110)</f>
        <v>0</v>
      </c>
      <c r="J110" s="26" t="s">
        <v>42</v>
      </c>
      <c r="K110" s="7" t="s">
        <v>684</v>
      </c>
      <c r="L110" s="49">
        <f t="shared" ref="L110:AQ110" ca="1" si="2">OFFSET(_xlfn.SINGLE(IA_prod_lpg),6,)</f>
        <v>0</v>
      </c>
      <c r="M110" s="49">
        <f t="shared" ca="1" si="2"/>
        <v>0</v>
      </c>
      <c r="N110" s="49">
        <f t="shared" ca="1" si="2"/>
        <v>0</v>
      </c>
      <c r="O110" s="49">
        <f t="shared" ca="1" si="2"/>
        <v>0</v>
      </c>
      <c r="P110" s="49">
        <f t="shared" ca="1" si="2"/>
        <v>0</v>
      </c>
      <c r="Q110" s="49">
        <f t="shared" ca="1" si="2"/>
        <v>0</v>
      </c>
      <c r="R110" s="49">
        <f t="shared" ca="1" si="2"/>
        <v>0</v>
      </c>
      <c r="S110" s="49">
        <f t="shared" ca="1" si="2"/>
        <v>0</v>
      </c>
      <c r="T110" s="49">
        <f t="shared" ca="1" si="2"/>
        <v>0</v>
      </c>
      <c r="U110" s="49">
        <f t="shared" ca="1" si="2"/>
        <v>0</v>
      </c>
      <c r="V110" s="49">
        <f t="shared" ca="1" si="2"/>
        <v>0</v>
      </c>
      <c r="W110" s="49">
        <f t="shared" ca="1" si="2"/>
        <v>0</v>
      </c>
      <c r="X110" s="49">
        <f t="shared" ca="1" si="2"/>
        <v>0</v>
      </c>
      <c r="Y110" s="49">
        <f t="shared" ca="1" si="2"/>
        <v>0</v>
      </c>
      <c r="Z110" s="49">
        <f t="shared" ca="1" si="2"/>
        <v>0</v>
      </c>
      <c r="AA110" s="49">
        <f t="shared" ca="1" si="2"/>
        <v>0</v>
      </c>
      <c r="AB110" s="49">
        <f t="shared" ca="1" si="2"/>
        <v>0</v>
      </c>
      <c r="AC110" s="49">
        <f t="shared" ca="1" si="2"/>
        <v>0</v>
      </c>
      <c r="AD110" s="49">
        <f t="shared" ca="1" si="2"/>
        <v>0</v>
      </c>
      <c r="AE110" s="49">
        <f t="shared" ca="1" si="2"/>
        <v>0</v>
      </c>
      <c r="AF110" s="49">
        <f t="shared" ca="1" si="2"/>
        <v>0</v>
      </c>
      <c r="AG110" s="49">
        <f t="shared" ca="1" si="2"/>
        <v>0</v>
      </c>
      <c r="AH110" s="49">
        <f t="shared" ca="1" si="2"/>
        <v>0</v>
      </c>
      <c r="AI110" s="49">
        <f t="shared" ca="1" si="2"/>
        <v>0</v>
      </c>
      <c r="AJ110" s="49">
        <f t="shared" ca="1" si="2"/>
        <v>0</v>
      </c>
      <c r="AK110" s="49">
        <f t="shared" ca="1" si="2"/>
        <v>0</v>
      </c>
      <c r="AL110" s="49">
        <f t="shared" ca="1" si="2"/>
        <v>0</v>
      </c>
      <c r="AM110" s="49">
        <f t="shared" ca="1" si="2"/>
        <v>0</v>
      </c>
      <c r="AN110" s="49">
        <f t="shared" ca="1" si="2"/>
        <v>0</v>
      </c>
      <c r="AO110" s="49">
        <f t="shared" ca="1" si="2"/>
        <v>0</v>
      </c>
      <c r="AP110" s="49">
        <f t="shared" ca="1" si="2"/>
        <v>0</v>
      </c>
      <c r="AQ110" s="49">
        <f t="shared" ca="1" si="2"/>
        <v>0</v>
      </c>
      <c r="AR110" s="49">
        <f t="shared" ref="AR110:BS110" ca="1" si="3">OFFSET(_xlfn.SINGLE(IA_prod_lpg),6,)</f>
        <v>0</v>
      </c>
      <c r="AS110" s="49">
        <f t="shared" ca="1" si="3"/>
        <v>0</v>
      </c>
      <c r="AT110" s="49">
        <f t="shared" ca="1" si="3"/>
        <v>0</v>
      </c>
      <c r="AU110" s="49">
        <f t="shared" ca="1" si="3"/>
        <v>0</v>
      </c>
      <c r="AV110" s="49">
        <f t="shared" ca="1" si="3"/>
        <v>0</v>
      </c>
      <c r="AW110" s="49">
        <f t="shared" ca="1" si="3"/>
        <v>0</v>
      </c>
      <c r="AX110" s="49">
        <f t="shared" ca="1" si="3"/>
        <v>0</v>
      </c>
      <c r="AY110" s="49">
        <f t="shared" ca="1" si="3"/>
        <v>0</v>
      </c>
      <c r="AZ110" s="49">
        <f t="shared" ca="1" si="3"/>
        <v>0</v>
      </c>
      <c r="BA110" s="49">
        <f t="shared" ca="1" si="3"/>
        <v>0</v>
      </c>
      <c r="BB110" s="49">
        <f t="shared" ca="1" si="3"/>
        <v>0</v>
      </c>
      <c r="BC110" s="49">
        <f t="shared" ca="1" si="3"/>
        <v>0</v>
      </c>
      <c r="BD110" s="49">
        <f t="shared" ca="1" si="3"/>
        <v>0</v>
      </c>
      <c r="BE110" s="49">
        <f t="shared" ca="1" si="3"/>
        <v>0</v>
      </c>
      <c r="BF110" s="49">
        <f t="shared" ca="1" si="3"/>
        <v>0</v>
      </c>
      <c r="BG110" s="49">
        <f t="shared" ca="1" si="3"/>
        <v>0</v>
      </c>
      <c r="BH110" s="49">
        <f t="shared" ca="1" si="3"/>
        <v>0</v>
      </c>
      <c r="BI110" s="49">
        <f t="shared" ca="1" si="3"/>
        <v>0</v>
      </c>
      <c r="BJ110" s="49">
        <f t="shared" ca="1" si="3"/>
        <v>0</v>
      </c>
      <c r="BK110" s="49">
        <f t="shared" ca="1" si="3"/>
        <v>0</v>
      </c>
      <c r="BL110" s="49">
        <f t="shared" ca="1" si="3"/>
        <v>0</v>
      </c>
      <c r="BM110" s="49">
        <f t="shared" ca="1" si="3"/>
        <v>0</v>
      </c>
      <c r="BN110" s="49">
        <f t="shared" ca="1" si="3"/>
        <v>0</v>
      </c>
      <c r="BO110" s="49">
        <f t="shared" ca="1" si="3"/>
        <v>0</v>
      </c>
      <c r="BP110" s="49">
        <f t="shared" ca="1" si="3"/>
        <v>0</v>
      </c>
      <c r="BQ110" s="49">
        <f t="shared" ca="1" si="3"/>
        <v>0</v>
      </c>
      <c r="BR110" s="49">
        <f t="shared" ca="1" si="3"/>
        <v>0</v>
      </c>
      <c r="BS110" s="49">
        <f t="shared" ca="1" si="3"/>
        <v>0</v>
      </c>
    </row>
    <row r="111" spans="1:93" outlineLevel="1" x14ac:dyDescent="0.2">
      <c r="D111" t="s">
        <v>71</v>
      </c>
      <c r="I111" s="46">
        <f ca="1">SUM($L111:$BS111)</f>
        <v>7.0220484578474576</v>
      </c>
      <c r="J111" s="26" t="s">
        <v>653</v>
      </c>
      <c r="K111" s="7" t="s">
        <v>132</v>
      </c>
      <c r="L111" s="54">
        <f t="shared" ref="L111:AQ111" ca="1" si="4">OFFSET(_xlfn.SINGLE(IA_prod_gas),6,)</f>
        <v>0</v>
      </c>
      <c r="M111" s="54">
        <f t="shared" ca="1" si="4"/>
        <v>8.628911029682812E-2</v>
      </c>
      <c r="N111" s="54">
        <f t="shared" ca="1" si="4"/>
        <v>0.42813948700000004</v>
      </c>
      <c r="O111" s="54">
        <f t="shared" ca="1" si="4"/>
        <v>0.65880000000000005</v>
      </c>
      <c r="P111" s="54">
        <f t="shared" ca="1" si="4"/>
        <v>0.59554779799999991</v>
      </c>
      <c r="Q111" s="54">
        <f t="shared" ca="1" si="4"/>
        <v>0.64051102599999998</v>
      </c>
      <c r="R111" s="54">
        <f t="shared" ca="1" si="4"/>
        <v>6.4051102600000003E-7</v>
      </c>
      <c r="S111" s="54">
        <f t="shared" ca="1" si="4"/>
        <v>0.80879999999999996</v>
      </c>
      <c r="T111" s="54">
        <f t="shared" ca="1" si="4"/>
        <v>0.79179632248939169</v>
      </c>
      <c r="U111" s="54">
        <f t="shared" ca="1" si="4"/>
        <v>0.77595473833097595</v>
      </c>
      <c r="V111" s="54">
        <f t="shared" ca="1" si="4"/>
        <v>0.76039603960396029</v>
      </c>
      <c r="W111" s="54">
        <f t="shared" ca="1" si="4"/>
        <v>0.74540311173974538</v>
      </c>
      <c r="X111" s="54">
        <f t="shared" ca="1" si="4"/>
        <v>0.73041018387553036</v>
      </c>
      <c r="Y111" s="54">
        <f t="shared" ca="1" si="4"/>
        <v>0</v>
      </c>
      <c r="Z111" s="54">
        <f t="shared" ca="1" si="4"/>
        <v>0</v>
      </c>
      <c r="AA111" s="54">
        <f t="shared" ca="1" si="4"/>
        <v>0</v>
      </c>
      <c r="AB111" s="54">
        <f t="shared" ca="1" si="4"/>
        <v>0</v>
      </c>
      <c r="AC111" s="54">
        <f t="shared" ca="1" si="4"/>
        <v>0</v>
      </c>
      <c r="AD111" s="54">
        <f t="shared" ca="1" si="4"/>
        <v>0</v>
      </c>
      <c r="AE111" s="54">
        <f t="shared" ca="1" si="4"/>
        <v>0</v>
      </c>
      <c r="AF111" s="54">
        <f t="shared" ca="1" si="4"/>
        <v>0</v>
      </c>
      <c r="AG111" s="54">
        <f t="shared" ca="1" si="4"/>
        <v>0</v>
      </c>
      <c r="AH111" s="54">
        <f t="shared" ca="1" si="4"/>
        <v>0</v>
      </c>
      <c r="AI111" s="54">
        <f t="shared" ca="1" si="4"/>
        <v>0</v>
      </c>
      <c r="AJ111" s="54">
        <f t="shared" ca="1" si="4"/>
        <v>0</v>
      </c>
      <c r="AK111" s="54">
        <f t="shared" ca="1" si="4"/>
        <v>0</v>
      </c>
      <c r="AL111" s="54">
        <f t="shared" ca="1" si="4"/>
        <v>0</v>
      </c>
      <c r="AM111" s="54">
        <f t="shared" ca="1" si="4"/>
        <v>0</v>
      </c>
      <c r="AN111" s="54">
        <f t="shared" ca="1" si="4"/>
        <v>0</v>
      </c>
      <c r="AO111" s="54">
        <f t="shared" ca="1" si="4"/>
        <v>0</v>
      </c>
      <c r="AP111" s="54">
        <f t="shared" ca="1" si="4"/>
        <v>0</v>
      </c>
      <c r="AQ111" s="54">
        <f t="shared" ca="1" si="4"/>
        <v>0</v>
      </c>
      <c r="AR111" s="54">
        <f t="shared" ref="AR111:BS111" ca="1" si="5">OFFSET(_xlfn.SINGLE(IA_prod_gas),6,)</f>
        <v>0</v>
      </c>
      <c r="AS111" s="54">
        <f t="shared" ca="1" si="5"/>
        <v>0</v>
      </c>
      <c r="AT111" s="54">
        <f t="shared" ca="1" si="5"/>
        <v>0</v>
      </c>
      <c r="AU111" s="54">
        <f t="shared" ca="1" si="5"/>
        <v>0</v>
      </c>
      <c r="AV111" s="54">
        <f t="shared" ca="1" si="5"/>
        <v>0</v>
      </c>
      <c r="AW111" s="54">
        <f t="shared" ca="1" si="5"/>
        <v>0</v>
      </c>
      <c r="AX111" s="54">
        <f t="shared" ca="1" si="5"/>
        <v>0</v>
      </c>
      <c r="AY111" s="54">
        <f t="shared" ca="1" si="5"/>
        <v>0</v>
      </c>
      <c r="AZ111" s="54">
        <f t="shared" ca="1" si="5"/>
        <v>0</v>
      </c>
      <c r="BA111" s="54">
        <f t="shared" ca="1" si="5"/>
        <v>0</v>
      </c>
      <c r="BB111" s="54">
        <f t="shared" ca="1" si="5"/>
        <v>0</v>
      </c>
      <c r="BC111" s="54">
        <f t="shared" ca="1" si="5"/>
        <v>0</v>
      </c>
      <c r="BD111" s="54">
        <f t="shared" ca="1" si="5"/>
        <v>0</v>
      </c>
      <c r="BE111" s="54">
        <f t="shared" ca="1" si="5"/>
        <v>0</v>
      </c>
      <c r="BF111" s="54">
        <f t="shared" ca="1" si="5"/>
        <v>0</v>
      </c>
      <c r="BG111" s="54">
        <f t="shared" ca="1" si="5"/>
        <v>0</v>
      </c>
      <c r="BH111" s="54">
        <f t="shared" ca="1" si="5"/>
        <v>0</v>
      </c>
      <c r="BI111" s="54">
        <f t="shared" ca="1" si="5"/>
        <v>0</v>
      </c>
      <c r="BJ111" s="54">
        <f t="shared" ca="1" si="5"/>
        <v>0</v>
      </c>
      <c r="BK111" s="54">
        <f t="shared" ca="1" si="5"/>
        <v>0</v>
      </c>
      <c r="BL111" s="54">
        <f t="shared" ca="1" si="5"/>
        <v>0</v>
      </c>
      <c r="BM111" s="54">
        <f t="shared" ca="1" si="5"/>
        <v>0</v>
      </c>
      <c r="BN111" s="54">
        <f t="shared" ca="1" si="5"/>
        <v>0</v>
      </c>
      <c r="BO111" s="54">
        <f t="shared" ca="1" si="5"/>
        <v>0</v>
      </c>
      <c r="BP111" s="54">
        <f t="shared" ca="1" si="5"/>
        <v>0</v>
      </c>
      <c r="BQ111" s="54">
        <f t="shared" ca="1" si="5"/>
        <v>0</v>
      </c>
      <c r="BR111" s="54">
        <f t="shared" ca="1" si="5"/>
        <v>0</v>
      </c>
      <c r="BS111" s="54">
        <f t="shared" ca="1" si="5"/>
        <v>0</v>
      </c>
    </row>
    <row r="112" spans="1:93" outlineLevel="1" x14ac:dyDescent="0.2">
      <c r="A112" s="6"/>
      <c r="B112" s="6"/>
      <c r="C112" s="6"/>
      <c r="D112" s="47" t="s">
        <v>129</v>
      </c>
      <c r="E112" s="6"/>
      <c r="F112" s="6"/>
      <c r="G112" s="6"/>
      <c r="H112" s="6"/>
      <c r="I112" s="30">
        <f ca="1">SUM($L112:$BS112)</f>
        <v>116.42853763848521</v>
      </c>
      <c r="J112" s="26" t="s">
        <v>130</v>
      </c>
      <c r="K112" s="7" t="s">
        <v>133</v>
      </c>
      <c r="L112" s="49">
        <f t="shared" ref="L112:AQ112" ca="1" si="6">SUM(L109,L110,L111*conv_CMtoBbls)</f>
        <v>0</v>
      </c>
      <c r="M112" s="49">
        <f t="shared" ca="1" si="6"/>
        <v>0.54525549276704888</v>
      </c>
      <c r="N112" s="49">
        <f t="shared" ca="1" si="6"/>
        <v>4.3501096486291306</v>
      </c>
      <c r="O112" s="49">
        <f t="shared" ca="1" si="6"/>
        <v>7.0939297230539706</v>
      </c>
      <c r="P112" s="49">
        <f t="shared" ca="1" si="6"/>
        <v>9.2567232994122275</v>
      </c>
      <c r="Q112" s="49">
        <f t="shared" ca="1" si="6"/>
        <v>13.437833142508165</v>
      </c>
      <c r="R112" s="49">
        <f t="shared" ca="1" si="6"/>
        <v>9.6455753309760155</v>
      </c>
      <c r="S112" s="49">
        <f t="shared" ca="1" si="6"/>
        <v>13.630852000000001</v>
      </c>
      <c r="T112" s="49">
        <f t="shared" ca="1" si="6"/>
        <v>12.925853868458272</v>
      </c>
      <c r="U112" s="49">
        <f t="shared" ca="1" si="6"/>
        <v>12.270028454101837</v>
      </c>
      <c r="V112" s="49">
        <f t="shared" ca="1" si="6"/>
        <v>11.654915118608908</v>
      </c>
      <c r="W112" s="49">
        <f t="shared" ca="1" si="6"/>
        <v>11.079567920277995</v>
      </c>
      <c r="X112" s="49">
        <f t="shared" ca="1" si="6"/>
        <v>10.537893639691632</v>
      </c>
      <c r="Y112" s="49">
        <f t="shared" ca="1" si="6"/>
        <v>0</v>
      </c>
      <c r="Z112" s="49">
        <f t="shared" ca="1" si="6"/>
        <v>0</v>
      </c>
      <c r="AA112" s="49">
        <f t="shared" ca="1" si="6"/>
        <v>0</v>
      </c>
      <c r="AB112" s="49">
        <f t="shared" ca="1" si="6"/>
        <v>0</v>
      </c>
      <c r="AC112" s="49">
        <f t="shared" ca="1" si="6"/>
        <v>0</v>
      </c>
      <c r="AD112" s="49">
        <f t="shared" ca="1" si="6"/>
        <v>0</v>
      </c>
      <c r="AE112" s="49">
        <f t="shared" ca="1" si="6"/>
        <v>0</v>
      </c>
      <c r="AF112" s="49">
        <f t="shared" ca="1" si="6"/>
        <v>0</v>
      </c>
      <c r="AG112" s="49">
        <f t="shared" ca="1" si="6"/>
        <v>0</v>
      </c>
      <c r="AH112" s="49">
        <f t="shared" ca="1" si="6"/>
        <v>0</v>
      </c>
      <c r="AI112" s="49">
        <f t="shared" ca="1" si="6"/>
        <v>0</v>
      </c>
      <c r="AJ112" s="49">
        <f t="shared" ca="1" si="6"/>
        <v>0</v>
      </c>
      <c r="AK112" s="49">
        <f t="shared" ca="1" si="6"/>
        <v>0</v>
      </c>
      <c r="AL112" s="49">
        <f t="shared" ca="1" si="6"/>
        <v>0</v>
      </c>
      <c r="AM112" s="49">
        <f t="shared" ca="1" si="6"/>
        <v>0</v>
      </c>
      <c r="AN112" s="49">
        <f t="shared" ca="1" si="6"/>
        <v>0</v>
      </c>
      <c r="AO112" s="49">
        <f t="shared" ca="1" si="6"/>
        <v>0</v>
      </c>
      <c r="AP112" s="49">
        <f t="shared" ca="1" si="6"/>
        <v>0</v>
      </c>
      <c r="AQ112" s="49">
        <f t="shared" ca="1" si="6"/>
        <v>0</v>
      </c>
      <c r="AR112" s="49">
        <f t="shared" ref="AR112:BS112" ca="1" si="7">SUM(AR109,AR110,AR111*conv_CMtoBbls)</f>
        <v>0</v>
      </c>
      <c r="AS112" s="49">
        <f t="shared" ca="1" si="7"/>
        <v>0</v>
      </c>
      <c r="AT112" s="49">
        <f t="shared" ca="1" si="7"/>
        <v>0</v>
      </c>
      <c r="AU112" s="49">
        <f t="shared" ca="1" si="7"/>
        <v>0</v>
      </c>
      <c r="AV112" s="49">
        <f t="shared" ca="1" si="7"/>
        <v>0</v>
      </c>
      <c r="AW112" s="49">
        <f t="shared" ca="1" si="7"/>
        <v>0</v>
      </c>
      <c r="AX112" s="49">
        <f t="shared" ca="1" si="7"/>
        <v>0</v>
      </c>
      <c r="AY112" s="49">
        <f t="shared" ca="1" si="7"/>
        <v>0</v>
      </c>
      <c r="AZ112" s="49">
        <f t="shared" ca="1" si="7"/>
        <v>0</v>
      </c>
      <c r="BA112" s="49">
        <f t="shared" ca="1" si="7"/>
        <v>0</v>
      </c>
      <c r="BB112" s="49">
        <f t="shared" ca="1" si="7"/>
        <v>0</v>
      </c>
      <c r="BC112" s="49">
        <f t="shared" ca="1" si="7"/>
        <v>0</v>
      </c>
      <c r="BD112" s="49">
        <f t="shared" ca="1" si="7"/>
        <v>0</v>
      </c>
      <c r="BE112" s="49">
        <f t="shared" ca="1" si="7"/>
        <v>0</v>
      </c>
      <c r="BF112" s="49">
        <f t="shared" ca="1" si="7"/>
        <v>0</v>
      </c>
      <c r="BG112" s="49">
        <f t="shared" ca="1" si="7"/>
        <v>0</v>
      </c>
      <c r="BH112" s="49">
        <f t="shared" ca="1" si="7"/>
        <v>0</v>
      </c>
      <c r="BI112" s="49">
        <f t="shared" ca="1" si="7"/>
        <v>0</v>
      </c>
      <c r="BJ112" s="49">
        <f t="shared" ca="1" si="7"/>
        <v>0</v>
      </c>
      <c r="BK112" s="49">
        <f t="shared" ca="1" si="7"/>
        <v>0</v>
      </c>
      <c r="BL112" s="49">
        <f t="shared" ca="1" si="7"/>
        <v>0</v>
      </c>
      <c r="BM112" s="49">
        <f t="shared" ca="1" si="7"/>
        <v>0</v>
      </c>
      <c r="BN112" s="49">
        <f t="shared" ca="1" si="7"/>
        <v>0</v>
      </c>
      <c r="BO112" s="49">
        <f t="shared" ca="1" si="7"/>
        <v>0</v>
      </c>
      <c r="BP112" s="49">
        <f t="shared" ca="1" si="7"/>
        <v>0</v>
      </c>
      <c r="BQ112" s="49">
        <f t="shared" ca="1" si="7"/>
        <v>0</v>
      </c>
      <c r="BR112" s="49">
        <f t="shared" ca="1" si="7"/>
        <v>0</v>
      </c>
      <c r="BS112" s="49">
        <f t="shared" ca="1" si="7"/>
        <v>0</v>
      </c>
      <c r="BT112" s="6"/>
      <c r="BU112" s="6"/>
      <c r="BV112" s="6"/>
      <c r="BW112" s="6"/>
      <c r="BX112" s="6"/>
      <c r="BY112" s="6"/>
      <c r="BZ112" s="6"/>
      <c r="CA112" s="6"/>
      <c r="CB112" s="6"/>
      <c r="CC112" s="6"/>
      <c r="CD112" s="6"/>
      <c r="CE112" s="6"/>
      <c r="CF112" s="6"/>
      <c r="CG112" s="6"/>
      <c r="CH112" s="6"/>
      <c r="CI112" s="6"/>
      <c r="CJ112" s="6"/>
      <c r="CK112" s="6"/>
      <c r="CL112" s="6"/>
      <c r="CM112" s="6"/>
      <c r="CN112" s="6"/>
      <c r="CO112" s="6"/>
    </row>
    <row r="113" spans="1:93" outlineLevel="1" x14ac:dyDescent="0.2">
      <c r="J113" s="26"/>
      <c r="L113" s="55"/>
      <c r="M113" s="55"/>
      <c r="N113" s="55"/>
      <c r="O113" s="55"/>
      <c r="P113" s="55"/>
      <c r="Q113" s="55"/>
      <c r="R113" s="55"/>
      <c r="S113" s="55"/>
      <c r="T113" s="55"/>
      <c r="U113" s="55"/>
      <c r="V113" s="55"/>
      <c r="W113" s="55"/>
      <c r="X113" s="55"/>
      <c r="Y113" s="55"/>
      <c r="Z113" s="55"/>
      <c r="AA113" s="55"/>
      <c r="AB113" s="55"/>
      <c r="AC113" s="55"/>
      <c r="AD113" s="55"/>
      <c r="AE113" s="55"/>
      <c r="AF113" s="55"/>
      <c r="AG113" s="55"/>
      <c r="AH113" s="55"/>
      <c r="AI113" s="55"/>
      <c r="AJ113" s="55"/>
      <c r="AK113" s="55"/>
      <c r="AL113" s="55"/>
      <c r="AM113" s="55"/>
      <c r="AN113" s="55"/>
      <c r="AO113" s="55"/>
      <c r="AP113" s="55"/>
      <c r="AQ113" s="55"/>
      <c r="AR113" s="55"/>
      <c r="AS113" s="55"/>
      <c r="AT113" s="55"/>
      <c r="AU113" s="55"/>
      <c r="AV113" s="55"/>
      <c r="AW113" s="55"/>
      <c r="AX113" s="55"/>
      <c r="AY113" s="55"/>
      <c r="AZ113" s="55"/>
      <c r="BA113" s="55"/>
      <c r="BB113" s="55"/>
      <c r="BC113" s="55"/>
      <c r="BD113" s="55"/>
      <c r="BE113" s="55"/>
      <c r="BF113" s="55"/>
      <c r="BG113" s="55"/>
      <c r="BH113" s="55"/>
      <c r="BI113" s="55"/>
      <c r="BJ113" s="55"/>
      <c r="BK113" s="55"/>
      <c r="BL113" s="55"/>
      <c r="BM113" s="55"/>
      <c r="BN113" s="55"/>
      <c r="BO113" s="55"/>
      <c r="BP113" s="55"/>
      <c r="BQ113" s="55"/>
      <c r="BR113" s="55"/>
      <c r="BS113" s="55"/>
    </row>
    <row r="114" spans="1:93" outlineLevel="1" x14ac:dyDescent="0.2">
      <c r="C114" s="11" t="s">
        <v>134</v>
      </c>
      <c r="J114" s="26"/>
      <c r="L114" s="55"/>
      <c r="M114" s="55"/>
      <c r="N114" s="55"/>
      <c r="O114" s="55"/>
      <c r="P114" s="55"/>
      <c r="Q114" s="55"/>
      <c r="R114" s="55"/>
      <c r="S114" s="55"/>
      <c r="T114" s="55"/>
      <c r="U114" s="55"/>
      <c r="V114" s="55"/>
      <c r="W114" s="55"/>
      <c r="X114" s="55"/>
      <c r="Y114" s="55"/>
      <c r="Z114" s="55"/>
      <c r="AA114" s="55"/>
      <c r="AB114" s="55"/>
      <c r="AC114" s="55"/>
      <c r="AD114" s="55"/>
      <c r="AE114" s="55"/>
      <c r="AF114" s="55"/>
      <c r="AG114" s="55"/>
      <c r="AH114" s="55"/>
      <c r="AI114" s="55"/>
      <c r="AJ114" s="55"/>
      <c r="AK114" s="55"/>
      <c r="AL114" s="55"/>
      <c r="AM114" s="55"/>
      <c r="AN114" s="55"/>
      <c r="AO114" s="55"/>
      <c r="AP114" s="55"/>
      <c r="AQ114" s="55"/>
      <c r="AR114" s="55"/>
      <c r="AS114" s="55"/>
      <c r="AT114" s="55"/>
      <c r="AU114" s="55"/>
      <c r="AV114" s="55"/>
      <c r="AW114" s="55"/>
      <c r="AX114" s="55"/>
      <c r="AY114" s="55"/>
      <c r="AZ114" s="55"/>
      <c r="BA114" s="55"/>
      <c r="BB114" s="55"/>
      <c r="BC114" s="55"/>
      <c r="BD114" s="55"/>
      <c r="BE114" s="55"/>
      <c r="BF114" s="55"/>
      <c r="BG114" s="55"/>
      <c r="BH114" s="55"/>
      <c r="BI114" s="55"/>
      <c r="BJ114" s="55"/>
      <c r="BK114" s="55"/>
      <c r="BL114" s="55"/>
      <c r="BM114" s="55"/>
      <c r="BN114" s="55"/>
      <c r="BO114" s="55"/>
      <c r="BP114" s="55"/>
      <c r="BQ114" s="55"/>
      <c r="BR114" s="55"/>
      <c r="BS114" s="55"/>
    </row>
    <row r="115" spans="1:93" outlineLevel="1" x14ac:dyDescent="0.2">
      <c r="D115" t="s">
        <v>70</v>
      </c>
      <c r="J115" s="26" t="s">
        <v>42</v>
      </c>
      <c r="K115" s="7" t="s">
        <v>135</v>
      </c>
      <c r="L115" s="49">
        <f ca="1">SUM(K115)+Marine!CA_gross_prod_oil</f>
        <v>0</v>
      </c>
      <c r="M115" s="49">
        <f ca="1">SUM(L115)+Marine!CA_gross_prod_oil</f>
        <v>2.4969890000000002E-3</v>
      </c>
      <c r="N115" s="49">
        <f ca="1">SUM(M115)+Marine!CA_gross_prod_oil</f>
        <v>1.6596092643991307</v>
      </c>
      <c r="O115" s="49">
        <f ca="1">SUM(N115)+Marine!CA_gross_prod_oil</f>
        <v>4.6096869874531006</v>
      </c>
      <c r="P115" s="49">
        <f ca="1">SUM(O115)+Marine!CA_gross_prod_oil</f>
        <v>10.120414637445329</v>
      </c>
      <c r="Q115" s="49">
        <f ca="1">SUM(P115)+Marine!CA_gross_prod_oil</f>
        <v>19.529433426413494</v>
      </c>
      <c r="R115" s="49">
        <f ca="1">SUM(Q115)+Marine!CA_gross_prod_oil</f>
        <v>29.175004728575153</v>
      </c>
      <c r="S115" s="49">
        <f ca="1">SUM(R115)+Marine!CA_gross_prod_oil</f>
        <v>37.718504728575155</v>
      </c>
      <c r="T115" s="49">
        <f ca="1">SUM(S115)+Marine!CA_gross_prod_oil</f>
        <v>45.663959728575151</v>
      </c>
      <c r="U115" s="49">
        <f ca="1">SUM(T115)+Marine!CA_gross_prod_oil</f>
        <v>53.053232878575152</v>
      </c>
      <c r="V115" s="49">
        <f ca="1">SUM(U115)+Marine!CA_gross_prod_oil</f>
        <v>59.925256908075148</v>
      </c>
      <c r="W115" s="49">
        <f ca="1">SUM(V115)+Marine!CA_gross_prod_oil</f>
        <v>66.316239255510141</v>
      </c>
      <c r="X115" s="49">
        <f ca="1">SUM(W115)+Marine!CA_gross_prod_oil</f>
        <v>72.259852838624681</v>
      </c>
      <c r="Y115" s="49">
        <f ca="1">SUM(X115)+Marine!CA_gross_prod_oil</f>
        <v>72.259852838624681</v>
      </c>
      <c r="Z115" s="49">
        <f ca="1">SUM(Y115)+Marine!CA_gross_prod_oil</f>
        <v>72.259852838624681</v>
      </c>
      <c r="AA115" s="49">
        <f ca="1">SUM(Z115)+Marine!CA_gross_prod_oil</f>
        <v>72.259852838624681</v>
      </c>
      <c r="AB115" s="49">
        <f ca="1">SUM(AA115)+Marine!CA_gross_prod_oil</f>
        <v>72.259852838624681</v>
      </c>
      <c r="AC115" s="49">
        <f ca="1">SUM(AB115)+Marine!CA_gross_prod_oil</f>
        <v>72.259852838624681</v>
      </c>
      <c r="AD115" s="49">
        <f ca="1">SUM(AC115)+Marine!CA_gross_prod_oil</f>
        <v>72.259852838624681</v>
      </c>
      <c r="AE115" s="49">
        <f ca="1">SUM(AD115)+Marine!CA_gross_prod_oil</f>
        <v>72.259852838624681</v>
      </c>
      <c r="AF115" s="49">
        <f ca="1">SUM(AE115)+Marine!CA_gross_prod_oil</f>
        <v>72.259852838624681</v>
      </c>
      <c r="AG115" s="49">
        <f ca="1">SUM(AF115)+Marine!CA_gross_prod_oil</f>
        <v>72.259852838624681</v>
      </c>
      <c r="AH115" s="49">
        <f ca="1">SUM(AG115)+Marine!CA_gross_prod_oil</f>
        <v>72.259852838624681</v>
      </c>
      <c r="AI115" s="49">
        <f ca="1">SUM(AH115)+Marine!CA_gross_prod_oil</f>
        <v>72.259852838624681</v>
      </c>
      <c r="AJ115" s="49">
        <f ca="1">SUM(AI115)+Marine!CA_gross_prod_oil</f>
        <v>72.259852838624681</v>
      </c>
      <c r="AK115" s="49">
        <f ca="1">SUM(AJ115)+Marine!CA_gross_prod_oil</f>
        <v>72.259852838624681</v>
      </c>
      <c r="AL115" s="49">
        <f ca="1">SUM(AK115)+Marine!CA_gross_prod_oil</f>
        <v>72.259852838624681</v>
      </c>
      <c r="AM115" s="49">
        <f ca="1">SUM(AL115)+Marine!CA_gross_prod_oil</f>
        <v>72.259852838624681</v>
      </c>
      <c r="AN115" s="49">
        <f ca="1">SUM(AM115)+Marine!CA_gross_prod_oil</f>
        <v>72.259852838624681</v>
      </c>
      <c r="AO115" s="49">
        <f ca="1">SUM(AN115)+Marine!CA_gross_prod_oil</f>
        <v>72.259852838624681</v>
      </c>
      <c r="AP115" s="49">
        <f ca="1">SUM(AO115)+Marine!CA_gross_prod_oil</f>
        <v>72.259852838624681</v>
      </c>
      <c r="AQ115" s="49">
        <f ca="1">SUM(AP115)+Marine!CA_gross_prod_oil</f>
        <v>72.259852838624681</v>
      </c>
      <c r="AR115" s="49">
        <f ca="1">SUM(AQ115)+Marine!CA_gross_prod_oil</f>
        <v>72.259852838624681</v>
      </c>
      <c r="AS115" s="49">
        <f ca="1">SUM(AR115)+Marine!CA_gross_prod_oil</f>
        <v>72.259852838624681</v>
      </c>
      <c r="AT115" s="49">
        <f ca="1">SUM(AS115)+Marine!CA_gross_prod_oil</f>
        <v>72.259852838624681</v>
      </c>
      <c r="AU115" s="49">
        <f ca="1">SUM(AT115)+Marine!CA_gross_prod_oil</f>
        <v>72.259852838624681</v>
      </c>
      <c r="AV115" s="49">
        <f ca="1">SUM(AU115)+Marine!CA_gross_prod_oil</f>
        <v>72.259852838624681</v>
      </c>
      <c r="AW115" s="49">
        <f ca="1">SUM(AV115)+Marine!CA_gross_prod_oil</f>
        <v>72.259852838624681</v>
      </c>
      <c r="AX115" s="49">
        <f ca="1">SUM(AW115)+Marine!CA_gross_prod_oil</f>
        <v>72.259852838624681</v>
      </c>
      <c r="AY115" s="49">
        <f ca="1">SUM(AX115)+Marine!CA_gross_prod_oil</f>
        <v>72.259852838624681</v>
      </c>
      <c r="AZ115" s="49">
        <f ca="1">SUM(AY115)+Marine!CA_gross_prod_oil</f>
        <v>72.259852838624681</v>
      </c>
      <c r="BA115" s="49">
        <f ca="1">SUM(AZ115)+Marine!CA_gross_prod_oil</f>
        <v>72.259852838624681</v>
      </c>
      <c r="BB115" s="49">
        <f ca="1">SUM(BA115)+Marine!CA_gross_prod_oil</f>
        <v>72.259852838624681</v>
      </c>
      <c r="BC115" s="49">
        <f ca="1">SUM(BB115)+Marine!CA_gross_prod_oil</f>
        <v>72.259852838624681</v>
      </c>
      <c r="BD115" s="49">
        <f ca="1">SUM(BC115)+Marine!CA_gross_prod_oil</f>
        <v>72.259852838624681</v>
      </c>
      <c r="BE115" s="49">
        <f ca="1">SUM(BD115)+Marine!CA_gross_prod_oil</f>
        <v>72.259852838624681</v>
      </c>
      <c r="BF115" s="49">
        <f ca="1">SUM(BE115)+Marine!CA_gross_prod_oil</f>
        <v>72.259852838624681</v>
      </c>
      <c r="BG115" s="49">
        <f ca="1">SUM(BF115)+Marine!CA_gross_prod_oil</f>
        <v>72.259852838624681</v>
      </c>
      <c r="BH115" s="49">
        <f ca="1">SUM(BG115)+Marine!CA_gross_prod_oil</f>
        <v>72.259852838624681</v>
      </c>
      <c r="BI115" s="49">
        <f ca="1">SUM(BH115)+Marine!CA_gross_prod_oil</f>
        <v>72.259852838624681</v>
      </c>
      <c r="BJ115" s="49">
        <f ca="1">SUM(BI115)+Marine!CA_gross_prod_oil</f>
        <v>72.259852838624681</v>
      </c>
      <c r="BK115" s="49">
        <f ca="1">SUM(BJ115)+Marine!CA_gross_prod_oil</f>
        <v>72.259852838624681</v>
      </c>
      <c r="BL115" s="49">
        <f ca="1">SUM(BK115)+Marine!CA_gross_prod_oil</f>
        <v>72.259852838624681</v>
      </c>
      <c r="BM115" s="49">
        <f ca="1">SUM(BL115)+Marine!CA_gross_prod_oil</f>
        <v>72.259852838624681</v>
      </c>
      <c r="BN115" s="49">
        <f ca="1">SUM(BM115)+Marine!CA_gross_prod_oil</f>
        <v>72.259852838624681</v>
      </c>
      <c r="BO115" s="49">
        <f ca="1">SUM(BN115)+Marine!CA_gross_prod_oil</f>
        <v>72.259852838624681</v>
      </c>
      <c r="BP115" s="49">
        <f ca="1">SUM(BO115)+Marine!CA_gross_prod_oil</f>
        <v>72.259852838624681</v>
      </c>
      <c r="BQ115" s="49">
        <f ca="1">SUM(BP115)+Marine!CA_gross_prod_oil</f>
        <v>72.259852838624681</v>
      </c>
      <c r="BR115" s="49">
        <f ca="1">SUM(BQ115)+Marine!CA_gross_prod_oil</f>
        <v>72.259852838624681</v>
      </c>
      <c r="BS115" s="49">
        <f ca="1">SUM(BR115)+Marine!CA_gross_prod_oil</f>
        <v>72.259852838624681</v>
      </c>
    </row>
    <row r="116" spans="1:93" outlineLevel="1" x14ac:dyDescent="0.2">
      <c r="D116" t="s">
        <v>683</v>
      </c>
      <c r="J116" s="26" t="s">
        <v>42</v>
      </c>
      <c r="K116" s="7" t="s">
        <v>686</v>
      </c>
      <c r="L116" s="49">
        <f ca="1">SUM(K116)+Marine!CA_gross_prod_lpg</f>
        <v>0</v>
      </c>
      <c r="M116" s="49">
        <f ca="1">SUM(L116)+Marine!CA_gross_prod_lpg</f>
        <v>0</v>
      </c>
      <c r="N116" s="49">
        <f ca="1">SUM(M116)+Marine!CA_gross_prod_lpg</f>
        <v>0</v>
      </c>
      <c r="O116" s="49">
        <f ca="1">SUM(N116)+Marine!CA_gross_prod_lpg</f>
        <v>0</v>
      </c>
      <c r="P116" s="49">
        <f ca="1">SUM(O116)+Marine!CA_gross_prod_lpg</f>
        <v>0</v>
      </c>
      <c r="Q116" s="49">
        <f ca="1">SUM(P116)+Marine!CA_gross_prod_lpg</f>
        <v>0</v>
      </c>
      <c r="R116" s="49">
        <f ca="1">SUM(Q116)+Marine!CA_gross_prod_lpg</f>
        <v>0</v>
      </c>
      <c r="S116" s="49">
        <f ca="1">SUM(R116)+Marine!CA_gross_prod_lpg</f>
        <v>0</v>
      </c>
      <c r="T116" s="49">
        <f ca="1">SUM(S116)+Marine!CA_gross_prod_lpg</f>
        <v>0</v>
      </c>
      <c r="U116" s="49">
        <f ca="1">SUM(T116)+Marine!CA_gross_prod_lpg</f>
        <v>0</v>
      </c>
      <c r="V116" s="49">
        <f ca="1">SUM(U116)+Marine!CA_gross_prod_lpg</f>
        <v>0</v>
      </c>
      <c r="W116" s="49">
        <f ca="1">SUM(V116)+Marine!CA_gross_prod_lpg</f>
        <v>0</v>
      </c>
      <c r="X116" s="49">
        <f ca="1">SUM(W116)+Marine!CA_gross_prod_lpg</f>
        <v>0</v>
      </c>
      <c r="Y116" s="49">
        <f ca="1">SUM(X116)+Marine!CA_gross_prod_lpg</f>
        <v>0</v>
      </c>
      <c r="Z116" s="49">
        <f ca="1">SUM(Y116)+Marine!CA_gross_prod_lpg</f>
        <v>0</v>
      </c>
      <c r="AA116" s="49">
        <f ca="1">SUM(Z116)+Marine!CA_gross_prod_lpg</f>
        <v>0</v>
      </c>
      <c r="AB116" s="49">
        <f ca="1">SUM(AA116)+Marine!CA_gross_prod_lpg</f>
        <v>0</v>
      </c>
      <c r="AC116" s="49">
        <f ca="1">SUM(AB116)+Marine!CA_gross_prod_lpg</f>
        <v>0</v>
      </c>
      <c r="AD116" s="49">
        <f ca="1">SUM(AC116)+Marine!CA_gross_prod_lpg</f>
        <v>0</v>
      </c>
      <c r="AE116" s="49">
        <f ca="1">SUM(AD116)+Marine!CA_gross_prod_lpg</f>
        <v>0</v>
      </c>
      <c r="AF116" s="49">
        <f ca="1">SUM(AE116)+Marine!CA_gross_prod_lpg</f>
        <v>0</v>
      </c>
      <c r="AG116" s="49">
        <f ca="1">SUM(AF116)+Marine!CA_gross_prod_lpg</f>
        <v>0</v>
      </c>
      <c r="AH116" s="49">
        <f ca="1">SUM(AG116)+Marine!CA_gross_prod_lpg</f>
        <v>0</v>
      </c>
      <c r="AI116" s="49">
        <f ca="1">SUM(AH116)+Marine!CA_gross_prod_lpg</f>
        <v>0</v>
      </c>
      <c r="AJ116" s="49">
        <f ca="1">SUM(AI116)+Marine!CA_gross_prod_lpg</f>
        <v>0</v>
      </c>
      <c r="AK116" s="49">
        <f ca="1">SUM(AJ116)+Marine!CA_gross_prod_lpg</f>
        <v>0</v>
      </c>
      <c r="AL116" s="49">
        <f ca="1">SUM(AK116)+Marine!CA_gross_prod_lpg</f>
        <v>0</v>
      </c>
      <c r="AM116" s="49">
        <f ca="1">SUM(AL116)+Marine!CA_gross_prod_lpg</f>
        <v>0</v>
      </c>
      <c r="AN116" s="49">
        <f ca="1">SUM(AM116)+Marine!CA_gross_prod_lpg</f>
        <v>0</v>
      </c>
      <c r="AO116" s="49">
        <f ca="1">SUM(AN116)+Marine!CA_gross_prod_lpg</f>
        <v>0</v>
      </c>
      <c r="AP116" s="49">
        <f ca="1">SUM(AO116)+Marine!CA_gross_prod_lpg</f>
        <v>0</v>
      </c>
      <c r="AQ116" s="49">
        <f ca="1">SUM(AP116)+Marine!CA_gross_prod_lpg</f>
        <v>0</v>
      </c>
      <c r="AR116" s="49">
        <f ca="1">SUM(AQ116)+Marine!CA_gross_prod_lpg</f>
        <v>0</v>
      </c>
      <c r="AS116" s="49">
        <f ca="1">SUM(AR116)+Marine!CA_gross_prod_lpg</f>
        <v>0</v>
      </c>
      <c r="AT116" s="49">
        <f ca="1">SUM(AS116)+Marine!CA_gross_prod_lpg</f>
        <v>0</v>
      </c>
      <c r="AU116" s="49">
        <f ca="1">SUM(AT116)+Marine!CA_gross_prod_lpg</f>
        <v>0</v>
      </c>
      <c r="AV116" s="49">
        <f ca="1">SUM(AU116)+Marine!CA_gross_prod_lpg</f>
        <v>0</v>
      </c>
      <c r="AW116" s="49">
        <f ca="1">SUM(AV116)+Marine!CA_gross_prod_lpg</f>
        <v>0</v>
      </c>
      <c r="AX116" s="49">
        <f ca="1">SUM(AW116)+Marine!CA_gross_prod_lpg</f>
        <v>0</v>
      </c>
      <c r="AY116" s="49">
        <f ca="1">SUM(AX116)+Marine!CA_gross_prod_lpg</f>
        <v>0</v>
      </c>
      <c r="AZ116" s="49">
        <f ca="1">SUM(AY116)+Marine!CA_gross_prod_lpg</f>
        <v>0</v>
      </c>
      <c r="BA116" s="49">
        <f ca="1">SUM(AZ116)+Marine!CA_gross_prod_lpg</f>
        <v>0</v>
      </c>
      <c r="BB116" s="49">
        <f ca="1">SUM(BA116)+Marine!CA_gross_prod_lpg</f>
        <v>0</v>
      </c>
      <c r="BC116" s="49">
        <f ca="1">SUM(BB116)+Marine!CA_gross_prod_lpg</f>
        <v>0</v>
      </c>
      <c r="BD116" s="49">
        <f ca="1">SUM(BC116)+Marine!CA_gross_prod_lpg</f>
        <v>0</v>
      </c>
      <c r="BE116" s="49">
        <f ca="1">SUM(BD116)+Marine!CA_gross_prod_lpg</f>
        <v>0</v>
      </c>
      <c r="BF116" s="49">
        <f ca="1">SUM(BE116)+Marine!CA_gross_prod_lpg</f>
        <v>0</v>
      </c>
      <c r="BG116" s="49">
        <f ca="1">SUM(BF116)+Marine!CA_gross_prod_lpg</f>
        <v>0</v>
      </c>
      <c r="BH116" s="49">
        <f ca="1">SUM(BG116)+Marine!CA_gross_prod_lpg</f>
        <v>0</v>
      </c>
      <c r="BI116" s="49">
        <f ca="1">SUM(BH116)+Marine!CA_gross_prod_lpg</f>
        <v>0</v>
      </c>
      <c r="BJ116" s="49">
        <f ca="1">SUM(BI116)+Marine!CA_gross_prod_lpg</f>
        <v>0</v>
      </c>
      <c r="BK116" s="49">
        <f ca="1">SUM(BJ116)+Marine!CA_gross_prod_lpg</f>
        <v>0</v>
      </c>
      <c r="BL116" s="49">
        <f ca="1">SUM(BK116)+Marine!CA_gross_prod_lpg</f>
        <v>0</v>
      </c>
      <c r="BM116" s="49">
        <f ca="1">SUM(BL116)+Marine!CA_gross_prod_lpg</f>
        <v>0</v>
      </c>
      <c r="BN116" s="49">
        <f ca="1">SUM(BM116)+Marine!CA_gross_prod_lpg</f>
        <v>0</v>
      </c>
      <c r="BO116" s="49">
        <f ca="1">SUM(BN116)+Marine!CA_gross_prod_lpg</f>
        <v>0</v>
      </c>
      <c r="BP116" s="49">
        <f ca="1">SUM(BO116)+Marine!CA_gross_prod_lpg</f>
        <v>0</v>
      </c>
      <c r="BQ116" s="49">
        <f ca="1">SUM(BP116)+Marine!CA_gross_prod_lpg</f>
        <v>0</v>
      </c>
      <c r="BR116" s="49">
        <f ca="1">SUM(BQ116)+Marine!CA_gross_prod_lpg</f>
        <v>0</v>
      </c>
      <c r="BS116" s="49">
        <f ca="1">SUM(BR116)+Marine!CA_gross_prod_lpg</f>
        <v>0</v>
      </c>
    </row>
    <row r="117" spans="1:93" outlineLevel="1" x14ac:dyDescent="0.2">
      <c r="D117" t="s">
        <v>71</v>
      </c>
      <c r="J117" s="26" t="s">
        <v>653</v>
      </c>
      <c r="K117" s="7" t="s">
        <v>136</v>
      </c>
      <c r="L117" s="49">
        <f ca="1">SUM(K117)+Marine!CA_gross_prod_gas</f>
        <v>0</v>
      </c>
      <c r="M117" s="49">
        <f ca="1">SUM(L117)+Marine!CA_gross_prod_gas</f>
        <v>8.628911029682812E-2</v>
      </c>
      <c r="N117" s="49">
        <f ca="1">SUM(M117)+Marine!CA_gross_prod_gas</f>
        <v>0.51442859729682811</v>
      </c>
      <c r="O117" s="49">
        <f ca="1">SUM(N117)+Marine!CA_gross_prod_gas</f>
        <v>1.1732285972968282</v>
      </c>
      <c r="P117" s="49">
        <f ca="1">SUM(O117)+Marine!CA_gross_prod_gas</f>
        <v>1.7687763952968281</v>
      </c>
      <c r="Q117" s="49">
        <f ca="1">SUM(P117)+Marine!CA_gross_prod_gas</f>
        <v>2.409287421296828</v>
      </c>
      <c r="R117" s="49">
        <f ca="1">SUM(Q117)+Marine!CA_gross_prod_gas</f>
        <v>2.409288061807854</v>
      </c>
      <c r="S117" s="49">
        <f ca="1">SUM(R117)+Marine!CA_gross_prod_gas</f>
        <v>3.2180880618078538</v>
      </c>
      <c r="T117" s="49">
        <f ca="1">SUM(S117)+Marine!CA_gross_prod_gas</f>
        <v>4.0098843842972451</v>
      </c>
      <c r="U117" s="49">
        <f ca="1">SUM(T117)+Marine!CA_gross_prod_gas</f>
        <v>4.7858391226282215</v>
      </c>
      <c r="V117" s="49">
        <f ca="1">SUM(U117)+Marine!CA_gross_prod_gas</f>
        <v>5.5462351622321817</v>
      </c>
      <c r="W117" s="49">
        <f ca="1">SUM(V117)+Marine!CA_gross_prod_gas</f>
        <v>6.2916382739719268</v>
      </c>
      <c r="X117" s="49">
        <f ca="1">SUM(W117)+Marine!CA_gross_prod_gas</f>
        <v>7.0220484578474576</v>
      </c>
      <c r="Y117" s="49">
        <f ca="1">SUM(X117)+Marine!CA_gross_prod_gas</f>
        <v>7.0220484578474576</v>
      </c>
      <c r="Z117" s="49">
        <f ca="1">SUM(Y117)+Marine!CA_gross_prod_gas</f>
        <v>7.0220484578474576</v>
      </c>
      <c r="AA117" s="49">
        <f ca="1">SUM(Z117)+Marine!CA_gross_prod_gas</f>
        <v>7.0220484578474576</v>
      </c>
      <c r="AB117" s="49">
        <f ca="1">SUM(AA117)+Marine!CA_gross_prod_gas</f>
        <v>7.0220484578474576</v>
      </c>
      <c r="AC117" s="49">
        <f ca="1">SUM(AB117)+Marine!CA_gross_prod_gas</f>
        <v>7.0220484578474576</v>
      </c>
      <c r="AD117" s="49">
        <f ca="1">SUM(AC117)+Marine!CA_gross_prod_gas</f>
        <v>7.0220484578474576</v>
      </c>
      <c r="AE117" s="49">
        <f ca="1">SUM(AD117)+Marine!CA_gross_prod_gas</f>
        <v>7.0220484578474576</v>
      </c>
      <c r="AF117" s="49">
        <f ca="1">SUM(AE117)+Marine!CA_gross_prod_gas</f>
        <v>7.0220484578474576</v>
      </c>
      <c r="AG117" s="49">
        <f ca="1">SUM(AF117)+Marine!CA_gross_prod_gas</f>
        <v>7.0220484578474576</v>
      </c>
      <c r="AH117" s="49">
        <f ca="1">SUM(AG117)+Marine!CA_gross_prod_gas</f>
        <v>7.0220484578474576</v>
      </c>
      <c r="AI117" s="49">
        <f ca="1">SUM(AH117)+Marine!CA_gross_prod_gas</f>
        <v>7.0220484578474576</v>
      </c>
      <c r="AJ117" s="49">
        <f ca="1">SUM(AI117)+Marine!CA_gross_prod_gas</f>
        <v>7.0220484578474576</v>
      </c>
      <c r="AK117" s="49">
        <f ca="1">SUM(AJ117)+Marine!CA_gross_prod_gas</f>
        <v>7.0220484578474576</v>
      </c>
      <c r="AL117" s="49">
        <f ca="1">SUM(AK117)+Marine!CA_gross_prod_gas</f>
        <v>7.0220484578474576</v>
      </c>
      <c r="AM117" s="49">
        <f ca="1">SUM(AL117)+Marine!CA_gross_prod_gas</f>
        <v>7.0220484578474576</v>
      </c>
      <c r="AN117" s="49">
        <f ca="1">SUM(AM117)+Marine!CA_gross_prod_gas</f>
        <v>7.0220484578474576</v>
      </c>
      <c r="AO117" s="49">
        <f ca="1">SUM(AN117)+Marine!CA_gross_prod_gas</f>
        <v>7.0220484578474576</v>
      </c>
      <c r="AP117" s="49">
        <f ca="1">SUM(AO117)+Marine!CA_gross_prod_gas</f>
        <v>7.0220484578474576</v>
      </c>
      <c r="AQ117" s="49">
        <f ca="1">SUM(AP117)+Marine!CA_gross_prod_gas</f>
        <v>7.0220484578474576</v>
      </c>
      <c r="AR117" s="49">
        <f ca="1">SUM(AQ117)+Marine!CA_gross_prod_gas</f>
        <v>7.0220484578474576</v>
      </c>
      <c r="AS117" s="49">
        <f ca="1">SUM(AR117)+Marine!CA_gross_prod_gas</f>
        <v>7.0220484578474576</v>
      </c>
      <c r="AT117" s="49">
        <f ca="1">SUM(AS117)+Marine!CA_gross_prod_gas</f>
        <v>7.0220484578474576</v>
      </c>
      <c r="AU117" s="49">
        <f ca="1">SUM(AT117)+Marine!CA_gross_prod_gas</f>
        <v>7.0220484578474576</v>
      </c>
      <c r="AV117" s="49">
        <f ca="1">SUM(AU117)+Marine!CA_gross_prod_gas</f>
        <v>7.0220484578474576</v>
      </c>
      <c r="AW117" s="49">
        <f ca="1">SUM(AV117)+Marine!CA_gross_prod_gas</f>
        <v>7.0220484578474576</v>
      </c>
      <c r="AX117" s="49">
        <f ca="1">SUM(AW117)+Marine!CA_gross_prod_gas</f>
        <v>7.0220484578474576</v>
      </c>
      <c r="AY117" s="49">
        <f ca="1">SUM(AX117)+Marine!CA_gross_prod_gas</f>
        <v>7.0220484578474576</v>
      </c>
      <c r="AZ117" s="49">
        <f ca="1">SUM(AY117)+Marine!CA_gross_prod_gas</f>
        <v>7.0220484578474576</v>
      </c>
      <c r="BA117" s="49">
        <f ca="1">SUM(AZ117)+Marine!CA_gross_prod_gas</f>
        <v>7.0220484578474576</v>
      </c>
      <c r="BB117" s="49">
        <f ca="1">SUM(BA117)+Marine!CA_gross_prod_gas</f>
        <v>7.0220484578474576</v>
      </c>
      <c r="BC117" s="49">
        <f ca="1">SUM(BB117)+Marine!CA_gross_prod_gas</f>
        <v>7.0220484578474576</v>
      </c>
      <c r="BD117" s="49">
        <f ca="1">SUM(BC117)+Marine!CA_gross_prod_gas</f>
        <v>7.0220484578474576</v>
      </c>
      <c r="BE117" s="49">
        <f ca="1">SUM(BD117)+Marine!CA_gross_prod_gas</f>
        <v>7.0220484578474576</v>
      </c>
      <c r="BF117" s="49">
        <f ca="1">SUM(BE117)+Marine!CA_gross_prod_gas</f>
        <v>7.0220484578474576</v>
      </c>
      <c r="BG117" s="49">
        <f ca="1">SUM(BF117)+Marine!CA_gross_prod_gas</f>
        <v>7.0220484578474576</v>
      </c>
      <c r="BH117" s="49">
        <f ca="1">SUM(BG117)+Marine!CA_gross_prod_gas</f>
        <v>7.0220484578474576</v>
      </c>
      <c r="BI117" s="49">
        <f ca="1">SUM(BH117)+Marine!CA_gross_prod_gas</f>
        <v>7.0220484578474576</v>
      </c>
      <c r="BJ117" s="49">
        <f ca="1">SUM(BI117)+Marine!CA_gross_prod_gas</f>
        <v>7.0220484578474576</v>
      </c>
      <c r="BK117" s="49">
        <f ca="1">SUM(BJ117)+Marine!CA_gross_prod_gas</f>
        <v>7.0220484578474576</v>
      </c>
      <c r="BL117" s="49">
        <f ca="1">SUM(BK117)+Marine!CA_gross_prod_gas</f>
        <v>7.0220484578474576</v>
      </c>
      <c r="BM117" s="49">
        <f ca="1">SUM(BL117)+Marine!CA_gross_prod_gas</f>
        <v>7.0220484578474576</v>
      </c>
      <c r="BN117" s="49">
        <f ca="1">SUM(BM117)+Marine!CA_gross_prod_gas</f>
        <v>7.0220484578474576</v>
      </c>
      <c r="BO117" s="49">
        <f ca="1">SUM(BN117)+Marine!CA_gross_prod_gas</f>
        <v>7.0220484578474576</v>
      </c>
      <c r="BP117" s="49">
        <f ca="1">SUM(BO117)+Marine!CA_gross_prod_gas</f>
        <v>7.0220484578474576</v>
      </c>
      <c r="BQ117" s="49">
        <f ca="1">SUM(BP117)+Marine!CA_gross_prod_gas</f>
        <v>7.0220484578474576</v>
      </c>
      <c r="BR117" s="49">
        <f ca="1">SUM(BQ117)+Marine!CA_gross_prod_gas</f>
        <v>7.0220484578474576</v>
      </c>
      <c r="BS117" s="49">
        <f ca="1">SUM(BR117)+Marine!CA_gross_prod_gas</f>
        <v>7.0220484578474576</v>
      </c>
    </row>
    <row r="118" spans="1:93" outlineLevel="1" x14ac:dyDescent="0.2">
      <c r="D118" s="47" t="s">
        <v>129</v>
      </c>
      <c r="E118" s="6"/>
      <c r="F118" s="6"/>
      <c r="G118" s="6"/>
      <c r="H118" s="6"/>
      <c r="I118" s="6"/>
      <c r="J118" s="26" t="s">
        <v>130</v>
      </c>
      <c r="K118" s="7" t="s">
        <v>137</v>
      </c>
      <c r="L118" s="49">
        <f t="shared" ref="L118:AQ118" ca="1" si="8">SUM(L115,L116,L117*conv_CMtoBbls)</f>
        <v>0</v>
      </c>
      <c r="M118" s="49">
        <f t="shared" ca="1" si="8"/>
        <v>0.54525549276704888</v>
      </c>
      <c r="N118" s="49">
        <f t="shared" ca="1" si="8"/>
        <v>4.8953651413961801</v>
      </c>
      <c r="O118" s="49">
        <f t="shared" ca="1" si="8"/>
        <v>11.98929486445015</v>
      </c>
      <c r="P118" s="49">
        <f t="shared" ca="1" si="8"/>
        <v>21.246018163862377</v>
      </c>
      <c r="Q118" s="49">
        <f t="shared" ca="1" si="8"/>
        <v>34.683851306370542</v>
      </c>
      <c r="R118" s="49">
        <f t="shared" ca="1" si="8"/>
        <v>44.329426637346558</v>
      </c>
      <c r="S118" s="49">
        <f t="shared" ca="1" si="8"/>
        <v>57.960278637346555</v>
      </c>
      <c r="T118" s="49">
        <f t="shared" ca="1" si="8"/>
        <v>70.886132505804824</v>
      </c>
      <c r="U118" s="49">
        <f t="shared" ca="1" si="8"/>
        <v>83.156160959906657</v>
      </c>
      <c r="V118" s="49">
        <f t="shared" ca="1" si="8"/>
        <v>94.811076078515569</v>
      </c>
      <c r="W118" s="49">
        <f t="shared" ca="1" si="8"/>
        <v>105.89064399879356</v>
      </c>
      <c r="X118" s="49">
        <f t="shared" ca="1" si="8"/>
        <v>116.42853763848518</v>
      </c>
      <c r="Y118" s="49">
        <f t="shared" ca="1" si="8"/>
        <v>116.42853763848518</v>
      </c>
      <c r="Z118" s="49">
        <f t="shared" ca="1" si="8"/>
        <v>116.42853763848518</v>
      </c>
      <c r="AA118" s="49">
        <f t="shared" ca="1" si="8"/>
        <v>116.42853763848518</v>
      </c>
      <c r="AB118" s="49">
        <f t="shared" ca="1" si="8"/>
        <v>116.42853763848518</v>
      </c>
      <c r="AC118" s="49">
        <f t="shared" ca="1" si="8"/>
        <v>116.42853763848518</v>
      </c>
      <c r="AD118" s="49">
        <f t="shared" ca="1" si="8"/>
        <v>116.42853763848518</v>
      </c>
      <c r="AE118" s="49">
        <f t="shared" ca="1" si="8"/>
        <v>116.42853763848518</v>
      </c>
      <c r="AF118" s="49">
        <f t="shared" ca="1" si="8"/>
        <v>116.42853763848518</v>
      </c>
      <c r="AG118" s="49">
        <f t="shared" ca="1" si="8"/>
        <v>116.42853763848518</v>
      </c>
      <c r="AH118" s="49">
        <f t="shared" ca="1" si="8"/>
        <v>116.42853763848518</v>
      </c>
      <c r="AI118" s="49">
        <f t="shared" ca="1" si="8"/>
        <v>116.42853763848518</v>
      </c>
      <c r="AJ118" s="49">
        <f t="shared" ca="1" si="8"/>
        <v>116.42853763848518</v>
      </c>
      <c r="AK118" s="49">
        <f t="shared" ca="1" si="8"/>
        <v>116.42853763848518</v>
      </c>
      <c r="AL118" s="49">
        <f t="shared" ca="1" si="8"/>
        <v>116.42853763848518</v>
      </c>
      <c r="AM118" s="49">
        <f t="shared" ca="1" si="8"/>
        <v>116.42853763848518</v>
      </c>
      <c r="AN118" s="49">
        <f t="shared" ca="1" si="8"/>
        <v>116.42853763848518</v>
      </c>
      <c r="AO118" s="49">
        <f t="shared" ca="1" si="8"/>
        <v>116.42853763848518</v>
      </c>
      <c r="AP118" s="49">
        <f t="shared" ca="1" si="8"/>
        <v>116.42853763848518</v>
      </c>
      <c r="AQ118" s="49">
        <f t="shared" ca="1" si="8"/>
        <v>116.42853763848518</v>
      </c>
      <c r="AR118" s="49">
        <f t="shared" ref="AR118:BS118" ca="1" si="9">SUM(AR115,AR116,AR117*conv_CMtoBbls)</f>
        <v>116.42853763848518</v>
      </c>
      <c r="AS118" s="49">
        <f t="shared" ca="1" si="9"/>
        <v>116.42853763848518</v>
      </c>
      <c r="AT118" s="49">
        <f t="shared" ca="1" si="9"/>
        <v>116.42853763848518</v>
      </c>
      <c r="AU118" s="49">
        <f t="shared" ca="1" si="9"/>
        <v>116.42853763848518</v>
      </c>
      <c r="AV118" s="49">
        <f t="shared" ca="1" si="9"/>
        <v>116.42853763848518</v>
      </c>
      <c r="AW118" s="49">
        <f t="shared" ca="1" si="9"/>
        <v>116.42853763848518</v>
      </c>
      <c r="AX118" s="49">
        <f t="shared" ca="1" si="9"/>
        <v>116.42853763848518</v>
      </c>
      <c r="AY118" s="49">
        <f t="shared" ca="1" si="9"/>
        <v>116.42853763848518</v>
      </c>
      <c r="AZ118" s="49">
        <f t="shared" ca="1" si="9"/>
        <v>116.42853763848518</v>
      </c>
      <c r="BA118" s="49">
        <f t="shared" ca="1" si="9"/>
        <v>116.42853763848518</v>
      </c>
      <c r="BB118" s="49">
        <f t="shared" ca="1" si="9"/>
        <v>116.42853763848518</v>
      </c>
      <c r="BC118" s="49">
        <f t="shared" ca="1" si="9"/>
        <v>116.42853763848518</v>
      </c>
      <c r="BD118" s="49">
        <f t="shared" ca="1" si="9"/>
        <v>116.42853763848518</v>
      </c>
      <c r="BE118" s="49">
        <f t="shared" ca="1" si="9"/>
        <v>116.42853763848518</v>
      </c>
      <c r="BF118" s="49">
        <f t="shared" ca="1" si="9"/>
        <v>116.42853763848518</v>
      </c>
      <c r="BG118" s="49">
        <f t="shared" ca="1" si="9"/>
        <v>116.42853763848518</v>
      </c>
      <c r="BH118" s="49">
        <f t="shared" ca="1" si="9"/>
        <v>116.42853763848518</v>
      </c>
      <c r="BI118" s="49">
        <f t="shared" ca="1" si="9"/>
        <v>116.42853763848518</v>
      </c>
      <c r="BJ118" s="49">
        <f t="shared" ca="1" si="9"/>
        <v>116.42853763848518</v>
      </c>
      <c r="BK118" s="49">
        <f t="shared" ca="1" si="9"/>
        <v>116.42853763848518</v>
      </c>
      <c r="BL118" s="49">
        <f t="shared" ca="1" si="9"/>
        <v>116.42853763848518</v>
      </c>
      <c r="BM118" s="49">
        <f t="shared" ca="1" si="9"/>
        <v>116.42853763848518</v>
      </c>
      <c r="BN118" s="49">
        <f t="shared" ca="1" si="9"/>
        <v>116.42853763848518</v>
      </c>
      <c r="BO118" s="49">
        <f t="shared" ca="1" si="9"/>
        <v>116.42853763848518</v>
      </c>
      <c r="BP118" s="49">
        <f t="shared" ca="1" si="9"/>
        <v>116.42853763848518</v>
      </c>
      <c r="BQ118" s="49">
        <f t="shared" ca="1" si="9"/>
        <v>116.42853763848518</v>
      </c>
      <c r="BR118" s="49">
        <f t="shared" ca="1" si="9"/>
        <v>116.42853763848518</v>
      </c>
      <c r="BS118" s="49">
        <f t="shared" ca="1" si="9"/>
        <v>116.42853763848518</v>
      </c>
    </row>
    <row r="119" spans="1:93" outlineLevel="1" x14ac:dyDescent="0.2">
      <c r="J119" s="26"/>
      <c r="L119" s="55"/>
      <c r="M119" s="55"/>
      <c r="N119" s="55"/>
      <c r="O119" s="55"/>
      <c r="P119" s="55"/>
      <c r="Q119" s="55"/>
      <c r="R119" s="55"/>
      <c r="S119" s="55"/>
      <c r="T119" s="55"/>
      <c r="U119" s="55"/>
      <c r="V119" s="55"/>
      <c r="W119" s="55"/>
      <c r="X119" s="55"/>
      <c r="Y119" s="55"/>
      <c r="Z119" s="55"/>
      <c r="AA119" s="55"/>
      <c r="AB119" s="55"/>
      <c r="AC119" s="55"/>
      <c r="AD119" s="55"/>
      <c r="AE119" s="55"/>
      <c r="AF119" s="55"/>
      <c r="AG119" s="55"/>
      <c r="AH119" s="55"/>
      <c r="AI119" s="55"/>
      <c r="AJ119" s="55"/>
      <c r="AK119" s="55"/>
      <c r="AL119" s="55"/>
      <c r="AM119" s="55"/>
      <c r="AN119" s="55"/>
      <c r="AO119" s="55"/>
      <c r="AP119" s="55"/>
      <c r="AQ119" s="55"/>
      <c r="AR119" s="55"/>
      <c r="AS119" s="55"/>
      <c r="AT119" s="55"/>
      <c r="AU119" s="55"/>
      <c r="AV119" s="55"/>
      <c r="AW119" s="55"/>
      <c r="AX119" s="55"/>
      <c r="AY119" s="55"/>
      <c r="AZ119" s="55"/>
      <c r="BA119" s="55"/>
      <c r="BB119" s="55"/>
      <c r="BC119" s="55"/>
      <c r="BD119" s="55"/>
      <c r="BE119" s="55"/>
      <c r="BF119" s="55"/>
      <c r="BG119" s="55"/>
      <c r="BH119" s="55"/>
      <c r="BI119" s="55"/>
      <c r="BJ119" s="55"/>
      <c r="BK119" s="55"/>
      <c r="BL119" s="55"/>
      <c r="BM119" s="55"/>
      <c r="BN119" s="55"/>
      <c r="BO119" s="55"/>
      <c r="BP119" s="55"/>
      <c r="BQ119" s="55"/>
      <c r="BR119" s="55"/>
      <c r="BS119" s="55"/>
    </row>
    <row r="120" spans="1:93" outlineLevel="1" x14ac:dyDescent="0.2">
      <c r="C120" s="11" t="s">
        <v>667</v>
      </c>
      <c r="J120" s="26"/>
    </row>
    <row r="121" spans="1:93" outlineLevel="1" x14ac:dyDescent="0.2">
      <c r="D121" t="s">
        <v>70</v>
      </c>
      <c r="I121" s="30">
        <f ca="1">SUM($L121:$BS121)</f>
        <v>72.259852838624681</v>
      </c>
      <c r="J121" s="26" t="s">
        <v>42</v>
      </c>
      <c r="K121" s="7" t="s">
        <v>669</v>
      </c>
      <c r="L121" s="49">
        <f t="shared" ref="L121:AQ121" ca="1" si="10">OFFSET(_xlfn.SINGLE(IA_sales_oil),6,)</f>
        <v>0</v>
      </c>
      <c r="M121" s="49">
        <f t="shared" ca="1" si="10"/>
        <v>2.4969890000000002E-3</v>
      </c>
      <c r="N121" s="49">
        <f t="shared" ca="1" si="10"/>
        <v>1.6571122753991308</v>
      </c>
      <c r="O121" s="49">
        <f t="shared" ca="1" si="10"/>
        <v>2.9500777230539699</v>
      </c>
      <c r="P121" s="49">
        <f t="shared" ca="1" si="10"/>
        <v>5.5107276499922282</v>
      </c>
      <c r="Q121" s="49">
        <f t="shared" ca="1" si="10"/>
        <v>9.4090187889681651</v>
      </c>
      <c r="R121" s="49">
        <f t="shared" ca="1" si="10"/>
        <v>9.6455713021616614</v>
      </c>
      <c r="S121" s="49">
        <f t="shared" ca="1" si="10"/>
        <v>8.5434999999999999</v>
      </c>
      <c r="T121" s="49">
        <f t="shared" ca="1" si="10"/>
        <v>7.945454999999999</v>
      </c>
      <c r="U121" s="49">
        <f t="shared" ca="1" si="10"/>
        <v>7.3892731499999984</v>
      </c>
      <c r="V121" s="49">
        <f t="shared" ca="1" si="10"/>
        <v>6.8720240294999977</v>
      </c>
      <c r="W121" s="49">
        <f t="shared" ca="1" si="10"/>
        <v>6.3909823474349974</v>
      </c>
      <c r="X121" s="49">
        <f t="shared" ca="1" si="10"/>
        <v>5.9436135831145469</v>
      </c>
      <c r="Y121" s="49">
        <f t="shared" ca="1" si="10"/>
        <v>0</v>
      </c>
      <c r="Z121" s="49">
        <f t="shared" ca="1" si="10"/>
        <v>0</v>
      </c>
      <c r="AA121" s="49">
        <f t="shared" ca="1" si="10"/>
        <v>0</v>
      </c>
      <c r="AB121" s="49">
        <f t="shared" ca="1" si="10"/>
        <v>0</v>
      </c>
      <c r="AC121" s="49">
        <f t="shared" ca="1" si="10"/>
        <v>0</v>
      </c>
      <c r="AD121" s="49">
        <f t="shared" ca="1" si="10"/>
        <v>0</v>
      </c>
      <c r="AE121" s="49">
        <f t="shared" ca="1" si="10"/>
        <v>0</v>
      </c>
      <c r="AF121" s="49">
        <f t="shared" ca="1" si="10"/>
        <v>0</v>
      </c>
      <c r="AG121" s="49">
        <f t="shared" ca="1" si="10"/>
        <v>0</v>
      </c>
      <c r="AH121" s="49">
        <f t="shared" ca="1" si="10"/>
        <v>0</v>
      </c>
      <c r="AI121" s="49">
        <f t="shared" ca="1" si="10"/>
        <v>0</v>
      </c>
      <c r="AJ121" s="49">
        <f t="shared" ca="1" si="10"/>
        <v>0</v>
      </c>
      <c r="AK121" s="49">
        <f t="shared" ca="1" si="10"/>
        <v>0</v>
      </c>
      <c r="AL121" s="49">
        <f t="shared" ca="1" si="10"/>
        <v>0</v>
      </c>
      <c r="AM121" s="49">
        <f t="shared" ca="1" si="10"/>
        <v>0</v>
      </c>
      <c r="AN121" s="49">
        <f t="shared" ca="1" si="10"/>
        <v>0</v>
      </c>
      <c r="AO121" s="49">
        <f t="shared" ca="1" si="10"/>
        <v>0</v>
      </c>
      <c r="AP121" s="49">
        <f t="shared" ca="1" si="10"/>
        <v>0</v>
      </c>
      <c r="AQ121" s="49">
        <f t="shared" ca="1" si="10"/>
        <v>0</v>
      </c>
      <c r="AR121" s="49">
        <f t="shared" ref="AR121:BS121" ca="1" si="11">OFFSET(_xlfn.SINGLE(IA_sales_oil),6,)</f>
        <v>0</v>
      </c>
      <c r="AS121" s="49">
        <f t="shared" ca="1" si="11"/>
        <v>0</v>
      </c>
      <c r="AT121" s="49">
        <f t="shared" ca="1" si="11"/>
        <v>0</v>
      </c>
      <c r="AU121" s="49">
        <f t="shared" ca="1" si="11"/>
        <v>0</v>
      </c>
      <c r="AV121" s="49">
        <f t="shared" ca="1" si="11"/>
        <v>0</v>
      </c>
      <c r="AW121" s="49">
        <f t="shared" ca="1" si="11"/>
        <v>0</v>
      </c>
      <c r="AX121" s="49">
        <f t="shared" ca="1" si="11"/>
        <v>0</v>
      </c>
      <c r="AY121" s="49">
        <f t="shared" ca="1" si="11"/>
        <v>0</v>
      </c>
      <c r="AZ121" s="49">
        <f t="shared" ca="1" si="11"/>
        <v>0</v>
      </c>
      <c r="BA121" s="49">
        <f t="shared" ca="1" si="11"/>
        <v>0</v>
      </c>
      <c r="BB121" s="49">
        <f t="shared" ca="1" si="11"/>
        <v>0</v>
      </c>
      <c r="BC121" s="49">
        <f t="shared" ca="1" si="11"/>
        <v>0</v>
      </c>
      <c r="BD121" s="49">
        <f t="shared" ca="1" si="11"/>
        <v>0</v>
      </c>
      <c r="BE121" s="49">
        <f t="shared" ca="1" si="11"/>
        <v>0</v>
      </c>
      <c r="BF121" s="49">
        <f t="shared" ca="1" si="11"/>
        <v>0</v>
      </c>
      <c r="BG121" s="49">
        <f t="shared" ca="1" si="11"/>
        <v>0</v>
      </c>
      <c r="BH121" s="49">
        <f t="shared" ca="1" si="11"/>
        <v>0</v>
      </c>
      <c r="BI121" s="49">
        <f t="shared" ca="1" si="11"/>
        <v>0</v>
      </c>
      <c r="BJ121" s="49">
        <f t="shared" ca="1" si="11"/>
        <v>0</v>
      </c>
      <c r="BK121" s="49">
        <f t="shared" ca="1" si="11"/>
        <v>0</v>
      </c>
      <c r="BL121" s="49">
        <f t="shared" ca="1" si="11"/>
        <v>0</v>
      </c>
      <c r="BM121" s="49">
        <f t="shared" ca="1" si="11"/>
        <v>0</v>
      </c>
      <c r="BN121" s="49">
        <f t="shared" ca="1" si="11"/>
        <v>0</v>
      </c>
      <c r="BO121" s="49">
        <f t="shared" ca="1" si="11"/>
        <v>0</v>
      </c>
      <c r="BP121" s="49">
        <f t="shared" ca="1" si="11"/>
        <v>0</v>
      </c>
      <c r="BQ121" s="49">
        <f t="shared" ca="1" si="11"/>
        <v>0</v>
      </c>
      <c r="BR121" s="49">
        <f t="shared" ca="1" si="11"/>
        <v>0</v>
      </c>
      <c r="BS121" s="49">
        <f t="shared" ca="1" si="11"/>
        <v>0</v>
      </c>
    </row>
    <row r="122" spans="1:93" outlineLevel="1" x14ac:dyDescent="0.2">
      <c r="D122" t="s">
        <v>683</v>
      </c>
      <c r="I122" s="30">
        <f ca="1">SUM($L122:$BS122)</f>
        <v>0</v>
      </c>
      <c r="J122" s="26" t="s">
        <v>42</v>
      </c>
      <c r="K122" s="7" t="s">
        <v>685</v>
      </c>
      <c r="L122" s="49">
        <f t="shared" ref="L122:AQ122" ca="1" si="12">OFFSET(_xlfn.SINGLE(IA_sales_lpg),6,)</f>
        <v>0</v>
      </c>
      <c r="M122" s="49">
        <f t="shared" ca="1" si="12"/>
        <v>0</v>
      </c>
      <c r="N122" s="49">
        <f t="shared" ca="1" si="12"/>
        <v>0</v>
      </c>
      <c r="O122" s="49">
        <f t="shared" ca="1" si="12"/>
        <v>0</v>
      </c>
      <c r="P122" s="49">
        <f t="shared" ca="1" si="12"/>
        <v>0</v>
      </c>
      <c r="Q122" s="49">
        <f t="shared" ca="1" si="12"/>
        <v>0</v>
      </c>
      <c r="R122" s="49">
        <f t="shared" ca="1" si="12"/>
        <v>0</v>
      </c>
      <c r="S122" s="49">
        <f t="shared" ca="1" si="12"/>
        <v>0</v>
      </c>
      <c r="T122" s="49">
        <f t="shared" ca="1" si="12"/>
        <v>0</v>
      </c>
      <c r="U122" s="49">
        <f t="shared" ca="1" si="12"/>
        <v>0</v>
      </c>
      <c r="V122" s="49">
        <f t="shared" ca="1" si="12"/>
        <v>0</v>
      </c>
      <c r="W122" s="49">
        <f t="shared" ca="1" si="12"/>
        <v>0</v>
      </c>
      <c r="X122" s="49">
        <f t="shared" ca="1" si="12"/>
        <v>0</v>
      </c>
      <c r="Y122" s="49">
        <f t="shared" ca="1" si="12"/>
        <v>0</v>
      </c>
      <c r="Z122" s="49">
        <f t="shared" ca="1" si="12"/>
        <v>0</v>
      </c>
      <c r="AA122" s="49">
        <f t="shared" ca="1" si="12"/>
        <v>0</v>
      </c>
      <c r="AB122" s="49">
        <f t="shared" ca="1" si="12"/>
        <v>0</v>
      </c>
      <c r="AC122" s="49">
        <f t="shared" ca="1" si="12"/>
        <v>0</v>
      </c>
      <c r="AD122" s="49">
        <f t="shared" ca="1" si="12"/>
        <v>0</v>
      </c>
      <c r="AE122" s="49">
        <f t="shared" ca="1" si="12"/>
        <v>0</v>
      </c>
      <c r="AF122" s="49">
        <f t="shared" ca="1" si="12"/>
        <v>0</v>
      </c>
      <c r="AG122" s="49">
        <f t="shared" ca="1" si="12"/>
        <v>0</v>
      </c>
      <c r="AH122" s="49">
        <f t="shared" ca="1" si="12"/>
        <v>0</v>
      </c>
      <c r="AI122" s="49">
        <f t="shared" ca="1" si="12"/>
        <v>0</v>
      </c>
      <c r="AJ122" s="49">
        <f t="shared" ca="1" si="12"/>
        <v>0</v>
      </c>
      <c r="AK122" s="49">
        <f t="shared" ca="1" si="12"/>
        <v>0</v>
      </c>
      <c r="AL122" s="49">
        <f t="shared" ca="1" si="12"/>
        <v>0</v>
      </c>
      <c r="AM122" s="49">
        <f t="shared" ca="1" si="12"/>
        <v>0</v>
      </c>
      <c r="AN122" s="49">
        <f t="shared" ca="1" si="12"/>
        <v>0</v>
      </c>
      <c r="AO122" s="49">
        <f t="shared" ca="1" si="12"/>
        <v>0</v>
      </c>
      <c r="AP122" s="49">
        <f t="shared" ca="1" si="12"/>
        <v>0</v>
      </c>
      <c r="AQ122" s="49">
        <f t="shared" ca="1" si="12"/>
        <v>0</v>
      </c>
      <c r="AR122" s="49">
        <f t="shared" ref="AR122:BS122" ca="1" si="13">OFFSET(_xlfn.SINGLE(IA_sales_lpg),6,)</f>
        <v>0</v>
      </c>
      <c r="AS122" s="49">
        <f t="shared" ca="1" si="13"/>
        <v>0</v>
      </c>
      <c r="AT122" s="49">
        <f t="shared" ca="1" si="13"/>
        <v>0</v>
      </c>
      <c r="AU122" s="49">
        <f t="shared" ca="1" si="13"/>
        <v>0</v>
      </c>
      <c r="AV122" s="49">
        <f t="shared" ca="1" si="13"/>
        <v>0</v>
      </c>
      <c r="AW122" s="49">
        <f t="shared" ca="1" si="13"/>
        <v>0</v>
      </c>
      <c r="AX122" s="49">
        <f t="shared" ca="1" si="13"/>
        <v>0</v>
      </c>
      <c r="AY122" s="49">
        <f t="shared" ca="1" si="13"/>
        <v>0</v>
      </c>
      <c r="AZ122" s="49">
        <f t="shared" ca="1" si="13"/>
        <v>0</v>
      </c>
      <c r="BA122" s="49">
        <f t="shared" ca="1" si="13"/>
        <v>0</v>
      </c>
      <c r="BB122" s="49">
        <f t="shared" ca="1" si="13"/>
        <v>0</v>
      </c>
      <c r="BC122" s="49">
        <f t="shared" ca="1" si="13"/>
        <v>0</v>
      </c>
      <c r="BD122" s="49">
        <f t="shared" ca="1" si="13"/>
        <v>0</v>
      </c>
      <c r="BE122" s="49">
        <f t="shared" ca="1" si="13"/>
        <v>0</v>
      </c>
      <c r="BF122" s="49">
        <f t="shared" ca="1" si="13"/>
        <v>0</v>
      </c>
      <c r="BG122" s="49">
        <f t="shared" ca="1" si="13"/>
        <v>0</v>
      </c>
      <c r="BH122" s="49">
        <f t="shared" ca="1" si="13"/>
        <v>0</v>
      </c>
      <c r="BI122" s="49">
        <f t="shared" ca="1" si="13"/>
        <v>0</v>
      </c>
      <c r="BJ122" s="49">
        <f t="shared" ca="1" si="13"/>
        <v>0</v>
      </c>
      <c r="BK122" s="49">
        <f t="shared" ca="1" si="13"/>
        <v>0</v>
      </c>
      <c r="BL122" s="49">
        <f t="shared" ca="1" si="13"/>
        <v>0</v>
      </c>
      <c r="BM122" s="49">
        <f t="shared" ca="1" si="13"/>
        <v>0</v>
      </c>
      <c r="BN122" s="49">
        <f t="shared" ca="1" si="13"/>
        <v>0</v>
      </c>
      <c r="BO122" s="49">
        <f t="shared" ca="1" si="13"/>
        <v>0</v>
      </c>
      <c r="BP122" s="49">
        <f t="shared" ca="1" si="13"/>
        <v>0</v>
      </c>
      <c r="BQ122" s="49">
        <f t="shared" ca="1" si="13"/>
        <v>0</v>
      </c>
      <c r="BR122" s="49">
        <f t="shared" ca="1" si="13"/>
        <v>0</v>
      </c>
      <c r="BS122" s="49">
        <f t="shared" ca="1" si="13"/>
        <v>0</v>
      </c>
    </row>
    <row r="123" spans="1:93" outlineLevel="1" x14ac:dyDescent="0.2">
      <c r="D123" t="s">
        <v>71</v>
      </c>
      <c r="I123" s="46">
        <f ca="1">SUM($L123:$BS123)</f>
        <v>7.0220484578474576</v>
      </c>
      <c r="J123" s="26" t="s">
        <v>653</v>
      </c>
      <c r="K123" s="7" t="s">
        <v>670</v>
      </c>
      <c r="L123" s="54">
        <f t="shared" ref="L123:AQ123" ca="1" si="14">OFFSET(_xlfn.SINGLE(IA_sales_gas),6,)</f>
        <v>0</v>
      </c>
      <c r="M123" s="54">
        <f t="shared" ca="1" si="14"/>
        <v>8.628911029682812E-2</v>
      </c>
      <c r="N123" s="54">
        <f t="shared" ca="1" si="14"/>
        <v>0.42813948700000004</v>
      </c>
      <c r="O123" s="54">
        <f t="shared" ca="1" si="14"/>
        <v>0.65880000000000005</v>
      </c>
      <c r="P123" s="54">
        <f t="shared" ca="1" si="14"/>
        <v>0.59554779799999991</v>
      </c>
      <c r="Q123" s="54">
        <f t="shared" ca="1" si="14"/>
        <v>0.64051102599999998</v>
      </c>
      <c r="R123" s="54">
        <f t="shared" ca="1" si="14"/>
        <v>6.4051102600000003E-7</v>
      </c>
      <c r="S123" s="54">
        <f t="shared" ca="1" si="14"/>
        <v>0.80879999999999996</v>
      </c>
      <c r="T123" s="54">
        <f t="shared" ca="1" si="14"/>
        <v>0.79179632248939169</v>
      </c>
      <c r="U123" s="54">
        <f t="shared" ca="1" si="14"/>
        <v>0.77595473833097595</v>
      </c>
      <c r="V123" s="54">
        <f t="shared" ca="1" si="14"/>
        <v>0.76039603960396029</v>
      </c>
      <c r="W123" s="54">
        <f t="shared" ca="1" si="14"/>
        <v>0.74540311173974538</v>
      </c>
      <c r="X123" s="54">
        <f t="shared" ca="1" si="14"/>
        <v>0.73041018387553036</v>
      </c>
      <c r="Y123" s="54">
        <f t="shared" ca="1" si="14"/>
        <v>0</v>
      </c>
      <c r="Z123" s="54">
        <f t="shared" ca="1" si="14"/>
        <v>0</v>
      </c>
      <c r="AA123" s="54">
        <f t="shared" ca="1" si="14"/>
        <v>0</v>
      </c>
      <c r="AB123" s="54">
        <f t="shared" ca="1" si="14"/>
        <v>0</v>
      </c>
      <c r="AC123" s="54">
        <f t="shared" ca="1" si="14"/>
        <v>0</v>
      </c>
      <c r="AD123" s="54">
        <f t="shared" ca="1" si="14"/>
        <v>0</v>
      </c>
      <c r="AE123" s="54">
        <f t="shared" ca="1" si="14"/>
        <v>0</v>
      </c>
      <c r="AF123" s="54">
        <f t="shared" ca="1" si="14"/>
        <v>0</v>
      </c>
      <c r="AG123" s="54">
        <f t="shared" ca="1" si="14"/>
        <v>0</v>
      </c>
      <c r="AH123" s="54">
        <f t="shared" ca="1" si="14"/>
        <v>0</v>
      </c>
      <c r="AI123" s="54">
        <f t="shared" ca="1" si="14"/>
        <v>0</v>
      </c>
      <c r="AJ123" s="54">
        <f t="shared" ca="1" si="14"/>
        <v>0</v>
      </c>
      <c r="AK123" s="54">
        <f t="shared" ca="1" si="14"/>
        <v>0</v>
      </c>
      <c r="AL123" s="54">
        <f t="shared" ca="1" si="14"/>
        <v>0</v>
      </c>
      <c r="AM123" s="54">
        <f t="shared" ca="1" si="14"/>
        <v>0</v>
      </c>
      <c r="AN123" s="54">
        <f t="shared" ca="1" si="14"/>
        <v>0</v>
      </c>
      <c r="AO123" s="54">
        <f t="shared" ca="1" si="14"/>
        <v>0</v>
      </c>
      <c r="AP123" s="54">
        <f t="shared" ca="1" si="14"/>
        <v>0</v>
      </c>
      <c r="AQ123" s="54">
        <f t="shared" ca="1" si="14"/>
        <v>0</v>
      </c>
      <c r="AR123" s="54">
        <f t="shared" ref="AR123:BS123" ca="1" si="15">OFFSET(_xlfn.SINGLE(IA_sales_gas),6,)</f>
        <v>0</v>
      </c>
      <c r="AS123" s="54">
        <f t="shared" ca="1" si="15"/>
        <v>0</v>
      </c>
      <c r="AT123" s="54">
        <f t="shared" ca="1" si="15"/>
        <v>0</v>
      </c>
      <c r="AU123" s="54">
        <f t="shared" ca="1" si="15"/>
        <v>0</v>
      </c>
      <c r="AV123" s="54">
        <f t="shared" ca="1" si="15"/>
        <v>0</v>
      </c>
      <c r="AW123" s="54">
        <f t="shared" ca="1" si="15"/>
        <v>0</v>
      </c>
      <c r="AX123" s="54">
        <f t="shared" ca="1" si="15"/>
        <v>0</v>
      </c>
      <c r="AY123" s="54">
        <f t="shared" ca="1" si="15"/>
        <v>0</v>
      </c>
      <c r="AZ123" s="54">
        <f t="shared" ca="1" si="15"/>
        <v>0</v>
      </c>
      <c r="BA123" s="54">
        <f t="shared" ca="1" si="15"/>
        <v>0</v>
      </c>
      <c r="BB123" s="54">
        <f t="shared" ca="1" si="15"/>
        <v>0</v>
      </c>
      <c r="BC123" s="54">
        <f t="shared" ca="1" si="15"/>
        <v>0</v>
      </c>
      <c r="BD123" s="54">
        <f t="shared" ca="1" si="15"/>
        <v>0</v>
      </c>
      <c r="BE123" s="54">
        <f t="shared" ca="1" si="15"/>
        <v>0</v>
      </c>
      <c r="BF123" s="54">
        <f t="shared" ca="1" si="15"/>
        <v>0</v>
      </c>
      <c r="BG123" s="54">
        <f t="shared" ca="1" si="15"/>
        <v>0</v>
      </c>
      <c r="BH123" s="54">
        <f t="shared" ca="1" si="15"/>
        <v>0</v>
      </c>
      <c r="BI123" s="54">
        <f t="shared" ca="1" si="15"/>
        <v>0</v>
      </c>
      <c r="BJ123" s="54">
        <f t="shared" ca="1" si="15"/>
        <v>0</v>
      </c>
      <c r="BK123" s="54">
        <f t="shared" ca="1" si="15"/>
        <v>0</v>
      </c>
      <c r="BL123" s="54">
        <f t="shared" ca="1" si="15"/>
        <v>0</v>
      </c>
      <c r="BM123" s="54">
        <f t="shared" ca="1" si="15"/>
        <v>0</v>
      </c>
      <c r="BN123" s="54">
        <f t="shared" ca="1" si="15"/>
        <v>0</v>
      </c>
      <c r="BO123" s="54">
        <f t="shared" ca="1" si="15"/>
        <v>0</v>
      </c>
      <c r="BP123" s="54">
        <f t="shared" ca="1" si="15"/>
        <v>0</v>
      </c>
      <c r="BQ123" s="54">
        <f t="shared" ca="1" si="15"/>
        <v>0</v>
      </c>
      <c r="BR123" s="54">
        <f t="shared" ca="1" si="15"/>
        <v>0</v>
      </c>
      <c r="BS123" s="54">
        <f t="shared" ca="1" si="15"/>
        <v>0</v>
      </c>
    </row>
    <row r="124" spans="1:93" outlineLevel="1" x14ac:dyDescent="0.2">
      <c r="A124" s="6"/>
      <c r="B124" s="6"/>
      <c r="C124" s="6"/>
      <c r="D124" s="47" t="s">
        <v>129</v>
      </c>
      <c r="E124" s="6"/>
      <c r="F124" s="6"/>
      <c r="G124" s="6"/>
      <c r="H124" s="6"/>
      <c r="I124" s="30">
        <f ca="1">SUM($L124:$BS124)</f>
        <v>116.42853763848521</v>
      </c>
      <c r="J124" s="26" t="s">
        <v>130</v>
      </c>
      <c r="K124" s="7" t="s">
        <v>671</v>
      </c>
      <c r="L124" s="49">
        <f t="shared" ref="L124:AQ124" ca="1" si="16">SUM(L121,L122,L123*conv_CMtoBbls)</f>
        <v>0</v>
      </c>
      <c r="M124" s="49">
        <f t="shared" ca="1" si="16"/>
        <v>0.54525549276704888</v>
      </c>
      <c r="N124" s="49">
        <f t="shared" ca="1" si="16"/>
        <v>4.3501096486291306</v>
      </c>
      <c r="O124" s="49">
        <f t="shared" ca="1" si="16"/>
        <v>7.0939297230539706</v>
      </c>
      <c r="P124" s="49">
        <f t="shared" ca="1" si="16"/>
        <v>9.2567232994122275</v>
      </c>
      <c r="Q124" s="49">
        <f t="shared" ca="1" si="16"/>
        <v>13.437833142508165</v>
      </c>
      <c r="R124" s="49">
        <f t="shared" ca="1" si="16"/>
        <v>9.6455753309760155</v>
      </c>
      <c r="S124" s="49">
        <f t="shared" ca="1" si="16"/>
        <v>13.630852000000001</v>
      </c>
      <c r="T124" s="49">
        <f t="shared" ca="1" si="16"/>
        <v>12.925853868458272</v>
      </c>
      <c r="U124" s="49">
        <f t="shared" ca="1" si="16"/>
        <v>12.270028454101837</v>
      </c>
      <c r="V124" s="49">
        <f t="shared" ca="1" si="16"/>
        <v>11.654915118608908</v>
      </c>
      <c r="W124" s="49">
        <f t="shared" ca="1" si="16"/>
        <v>11.079567920277995</v>
      </c>
      <c r="X124" s="49">
        <f t="shared" ca="1" si="16"/>
        <v>10.537893639691632</v>
      </c>
      <c r="Y124" s="49">
        <f t="shared" ca="1" si="16"/>
        <v>0</v>
      </c>
      <c r="Z124" s="49">
        <f t="shared" ca="1" si="16"/>
        <v>0</v>
      </c>
      <c r="AA124" s="49">
        <f t="shared" ca="1" si="16"/>
        <v>0</v>
      </c>
      <c r="AB124" s="49">
        <f t="shared" ca="1" si="16"/>
        <v>0</v>
      </c>
      <c r="AC124" s="49">
        <f t="shared" ca="1" si="16"/>
        <v>0</v>
      </c>
      <c r="AD124" s="49">
        <f t="shared" ca="1" si="16"/>
        <v>0</v>
      </c>
      <c r="AE124" s="49">
        <f t="shared" ca="1" si="16"/>
        <v>0</v>
      </c>
      <c r="AF124" s="49">
        <f t="shared" ca="1" si="16"/>
        <v>0</v>
      </c>
      <c r="AG124" s="49">
        <f t="shared" ca="1" si="16"/>
        <v>0</v>
      </c>
      <c r="AH124" s="49">
        <f t="shared" ca="1" si="16"/>
        <v>0</v>
      </c>
      <c r="AI124" s="49">
        <f t="shared" ca="1" si="16"/>
        <v>0</v>
      </c>
      <c r="AJ124" s="49">
        <f t="shared" ca="1" si="16"/>
        <v>0</v>
      </c>
      <c r="AK124" s="49">
        <f t="shared" ca="1" si="16"/>
        <v>0</v>
      </c>
      <c r="AL124" s="49">
        <f t="shared" ca="1" si="16"/>
        <v>0</v>
      </c>
      <c r="AM124" s="49">
        <f t="shared" ca="1" si="16"/>
        <v>0</v>
      </c>
      <c r="AN124" s="49">
        <f t="shared" ca="1" si="16"/>
        <v>0</v>
      </c>
      <c r="AO124" s="49">
        <f t="shared" ca="1" si="16"/>
        <v>0</v>
      </c>
      <c r="AP124" s="49">
        <f t="shared" ca="1" si="16"/>
        <v>0</v>
      </c>
      <c r="AQ124" s="49">
        <f t="shared" ca="1" si="16"/>
        <v>0</v>
      </c>
      <c r="AR124" s="49">
        <f t="shared" ref="AR124:BS124" ca="1" si="17">SUM(AR121,AR122,AR123*conv_CMtoBbls)</f>
        <v>0</v>
      </c>
      <c r="AS124" s="49">
        <f t="shared" ca="1" si="17"/>
        <v>0</v>
      </c>
      <c r="AT124" s="49">
        <f t="shared" ca="1" si="17"/>
        <v>0</v>
      </c>
      <c r="AU124" s="49">
        <f t="shared" ca="1" si="17"/>
        <v>0</v>
      </c>
      <c r="AV124" s="49">
        <f t="shared" ca="1" si="17"/>
        <v>0</v>
      </c>
      <c r="AW124" s="49">
        <f t="shared" ca="1" si="17"/>
        <v>0</v>
      </c>
      <c r="AX124" s="49">
        <f t="shared" ca="1" si="17"/>
        <v>0</v>
      </c>
      <c r="AY124" s="49">
        <f t="shared" ca="1" si="17"/>
        <v>0</v>
      </c>
      <c r="AZ124" s="49">
        <f t="shared" ca="1" si="17"/>
        <v>0</v>
      </c>
      <c r="BA124" s="49">
        <f t="shared" ca="1" si="17"/>
        <v>0</v>
      </c>
      <c r="BB124" s="49">
        <f t="shared" ca="1" si="17"/>
        <v>0</v>
      </c>
      <c r="BC124" s="49">
        <f t="shared" ca="1" si="17"/>
        <v>0</v>
      </c>
      <c r="BD124" s="49">
        <f t="shared" ca="1" si="17"/>
        <v>0</v>
      </c>
      <c r="BE124" s="49">
        <f t="shared" ca="1" si="17"/>
        <v>0</v>
      </c>
      <c r="BF124" s="49">
        <f t="shared" ca="1" si="17"/>
        <v>0</v>
      </c>
      <c r="BG124" s="49">
        <f t="shared" ca="1" si="17"/>
        <v>0</v>
      </c>
      <c r="BH124" s="49">
        <f t="shared" ca="1" si="17"/>
        <v>0</v>
      </c>
      <c r="BI124" s="49">
        <f t="shared" ca="1" si="17"/>
        <v>0</v>
      </c>
      <c r="BJ124" s="49">
        <f t="shared" ca="1" si="17"/>
        <v>0</v>
      </c>
      <c r="BK124" s="49">
        <f t="shared" ca="1" si="17"/>
        <v>0</v>
      </c>
      <c r="BL124" s="49">
        <f t="shared" ca="1" si="17"/>
        <v>0</v>
      </c>
      <c r="BM124" s="49">
        <f t="shared" ca="1" si="17"/>
        <v>0</v>
      </c>
      <c r="BN124" s="49">
        <f t="shared" ca="1" si="17"/>
        <v>0</v>
      </c>
      <c r="BO124" s="49">
        <f t="shared" ca="1" si="17"/>
        <v>0</v>
      </c>
      <c r="BP124" s="49">
        <f t="shared" ca="1" si="17"/>
        <v>0</v>
      </c>
      <c r="BQ124" s="49">
        <f t="shared" ca="1" si="17"/>
        <v>0</v>
      </c>
      <c r="BR124" s="49">
        <f t="shared" ca="1" si="17"/>
        <v>0</v>
      </c>
      <c r="BS124" s="49">
        <f t="shared" ca="1" si="17"/>
        <v>0</v>
      </c>
      <c r="BT124" s="6"/>
      <c r="BU124" s="6"/>
      <c r="BV124" s="6"/>
      <c r="BW124" s="6"/>
      <c r="BX124" s="6"/>
      <c r="BY124" s="6"/>
      <c r="BZ124" s="6"/>
      <c r="CA124" s="6"/>
      <c r="CB124" s="6"/>
      <c r="CC124" s="6"/>
      <c r="CD124" s="6"/>
      <c r="CE124" s="6"/>
      <c r="CF124" s="6"/>
      <c r="CG124" s="6"/>
      <c r="CH124" s="6"/>
      <c r="CI124" s="6"/>
      <c r="CJ124" s="6"/>
      <c r="CK124" s="6"/>
      <c r="CL124" s="6"/>
      <c r="CM124" s="6"/>
      <c r="CN124" s="6"/>
      <c r="CO124" s="6"/>
    </row>
    <row r="125" spans="1:93" outlineLevel="1" x14ac:dyDescent="0.2">
      <c r="J125" s="26"/>
      <c r="L125" s="55"/>
      <c r="M125" s="55"/>
      <c r="N125" s="55"/>
      <c r="O125" s="55"/>
      <c r="P125" s="55"/>
      <c r="Q125" s="55"/>
      <c r="R125" s="55"/>
      <c r="S125" s="55"/>
      <c r="T125" s="55"/>
      <c r="U125" s="55"/>
      <c r="V125" s="55"/>
      <c r="W125" s="55"/>
      <c r="X125" s="55"/>
      <c r="Y125" s="55"/>
      <c r="Z125" s="55"/>
      <c r="AA125" s="55"/>
      <c r="AB125" s="55"/>
      <c r="AC125" s="55"/>
      <c r="AD125" s="55"/>
      <c r="AE125" s="55"/>
      <c r="AF125" s="55"/>
      <c r="AG125" s="55"/>
      <c r="AH125" s="55"/>
      <c r="AI125" s="55"/>
      <c r="AJ125" s="55"/>
      <c r="AK125" s="55"/>
      <c r="AL125" s="55"/>
      <c r="AM125" s="55"/>
      <c r="AN125" s="55"/>
      <c r="AO125" s="55"/>
      <c r="AP125" s="55"/>
      <c r="AQ125" s="55"/>
      <c r="AR125" s="55"/>
      <c r="AS125" s="55"/>
      <c r="AT125" s="55"/>
      <c r="AU125" s="55"/>
      <c r="AV125" s="55"/>
      <c r="AW125" s="55"/>
      <c r="AX125" s="55"/>
      <c r="AY125" s="55"/>
      <c r="AZ125" s="55"/>
      <c r="BA125" s="55"/>
      <c r="BB125" s="55"/>
      <c r="BC125" s="55"/>
      <c r="BD125" s="55"/>
      <c r="BE125" s="55"/>
      <c r="BF125" s="55"/>
      <c r="BG125" s="55"/>
      <c r="BH125" s="55"/>
      <c r="BI125" s="55"/>
      <c r="BJ125" s="55"/>
      <c r="BK125" s="55"/>
      <c r="BL125" s="55"/>
      <c r="BM125" s="55"/>
      <c r="BN125" s="55"/>
      <c r="BO125" s="55"/>
      <c r="BP125" s="55"/>
      <c r="BQ125" s="55"/>
      <c r="BR125" s="55"/>
      <c r="BS125" s="55"/>
    </row>
    <row r="126" spans="1:93" outlineLevel="1" x14ac:dyDescent="0.2">
      <c r="C126" s="11" t="s">
        <v>668</v>
      </c>
      <c r="J126" s="26"/>
      <c r="L126" s="55"/>
      <c r="M126" s="55"/>
      <c r="N126" s="55"/>
      <c r="O126" s="55"/>
      <c r="P126" s="55"/>
      <c r="Q126" s="55"/>
      <c r="R126" s="55"/>
      <c r="S126" s="55"/>
      <c r="T126" s="55"/>
      <c r="U126" s="55"/>
      <c r="V126" s="55"/>
      <c r="W126" s="55"/>
      <c r="X126" s="55"/>
      <c r="Y126" s="55"/>
      <c r="Z126" s="55"/>
      <c r="AA126" s="55"/>
      <c r="AB126" s="55"/>
      <c r="AC126" s="55"/>
      <c r="AD126" s="55"/>
      <c r="AE126" s="55"/>
      <c r="AF126" s="55"/>
      <c r="AG126" s="55"/>
      <c r="AH126" s="55"/>
      <c r="AI126" s="55"/>
      <c r="AJ126" s="55"/>
      <c r="AK126" s="55"/>
      <c r="AL126" s="55"/>
      <c r="AM126" s="55"/>
      <c r="AN126" s="55"/>
      <c r="AO126" s="55"/>
      <c r="AP126" s="55"/>
      <c r="AQ126" s="55"/>
      <c r="AR126" s="55"/>
      <c r="AS126" s="55"/>
      <c r="AT126" s="55"/>
      <c r="AU126" s="55"/>
      <c r="AV126" s="55"/>
      <c r="AW126" s="55"/>
      <c r="AX126" s="55"/>
      <c r="AY126" s="55"/>
      <c r="AZ126" s="55"/>
      <c r="BA126" s="55"/>
      <c r="BB126" s="55"/>
      <c r="BC126" s="55"/>
      <c r="BD126" s="55"/>
      <c r="BE126" s="55"/>
      <c r="BF126" s="55"/>
      <c r="BG126" s="55"/>
      <c r="BH126" s="55"/>
      <c r="BI126" s="55"/>
      <c r="BJ126" s="55"/>
      <c r="BK126" s="55"/>
      <c r="BL126" s="55"/>
      <c r="BM126" s="55"/>
      <c r="BN126" s="55"/>
      <c r="BO126" s="55"/>
      <c r="BP126" s="55"/>
      <c r="BQ126" s="55"/>
      <c r="BR126" s="55"/>
      <c r="BS126" s="55"/>
    </row>
    <row r="127" spans="1:93" outlineLevel="1" x14ac:dyDescent="0.2">
      <c r="D127" t="s">
        <v>70</v>
      </c>
      <c r="K127" s="7" t="s">
        <v>672</v>
      </c>
      <c r="L127" s="49">
        <f ca="1">SUM(K127)+Marine!CA_gross_sales_oil</f>
        <v>0</v>
      </c>
      <c r="M127" s="49">
        <f ca="1">SUM(L127)+Marine!CA_gross_sales_oil</f>
        <v>2.4969890000000002E-3</v>
      </c>
      <c r="N127" s="49">
        <f ca="1">SUM(M127)+Marine!CA_gross_sales_oil</f>
        <v>1.6596092643991307</v>
      </c>
      <c r="O127" s="49">
        <f ca="1">SUM(N127)+Marine!CA_gross_sales_oil</f>
        <v>4.6096869874531006</v>
      </c>
      <c r="P127" s="49">
        <f ca="1">SUM(O127)+Marine!CA_gross_sales_oil</f>
        <v>10.120414637445329</v>
      </c>
      <c r="Q127" s="49">
        <f ca="1">SUM(P127)+Marine!CA_gross_sales_oil</f>
        <v>19.529433426413494</v>
      </c>
      <c r="R127" s="49">
        <f ca="1">SUM(Q127)+Marine!CA_gross_sales_oil</f>
        <v>29.175004728575153</v>
      </c>
      <c r="S127" s="49">
        <f ca="1">SUM(R127)+Marine!CA_gross_sales_oil</f>
        <v>37.718504728575155</v>
      </c>
      <c r="T127" s="49">
        <f ca="1">SUM(S127)+Marine!CA_gross_sales_oil</f>
        <v>45.663959728575151</v>
      </c>
      <c r="U127" s="49">
        <f ca="1">SUM(T127)+Marine!CA_gross_sales_oil</f>
        <v>53.053232878575152</v>
      </c>
      <c r="V127" s="49">
        <f ca="1">SUM(U127)+Marine!CA_gross_sales_oil</f>
        <v>59.925256908075148</v>
      </c>
      <c r="W127" s="49">
        <f ca="1">SUM(V127)+Marine!CA_gross_sales_oil</f>
        <v>66.316239255510141</v>
      </c>
      <c r="X127" s="49">
        <f ca="1">SUM(W127)+Marine!CA_gross_sales_oil</f>
        <v>72.259852838624681</v>
      </c>
      <c r="Y127" s="49">
        <f ca="1">SUM(X127)+Marine!CA_gross_sales_oil</f>
        <v>72.259852838624681</v>
      </c>
      <c r="Z127" s="49">
        <f ca="1">SUM(Y127)+Marine!CA_gross_sales_oil</f>
        <v>72.259852838624681</v>
      </c>
      <c r="AA127" s="49">
        <f ca="1">SUM(Z127)+Marine!CA_gross_sales_oil</f>
        <v>72.259852838624681</v>
      </c>
      <c r="AB127" s="49">
        <f ca="1">SUM(AA127)+Marine!CA_gross_sales_oil</f>
        <v>72.259852838624681</v>
      </c>
      <c r="AC127" s="49">
        <f ca="1">SUM(AB127)+Marine!CA_gross_sales_oil</f>
        <v>72.259852838624681</v>
      </c>
      <c r="AD127" s="49">
        <f ca="1">SUM(AC127)+Marine!CA_gross_sales_oil</f>
        <v>72.259852838624681</v>
      </c>
      <c r="AE127" s="49">
        <f ca="1">SUM(AD127)+Marine!CA_gross_sales_oil</f>
        <v>72.259852838624681</v>
      </c>
      <c r="AF127" s="49">
        <f ca="1">SUM(AE127)+Marine!CA_gross_sales_oil</f>
        <v>72.259852838624681</v>
      </c>
      <c r="AG127" s="49">
        <f ca="1">SUM(AF127)+Marine!CA_gross_sales_oil</f>
        <v>72.259852838624681</v>
      </c>
      <c r="AH127" s="49">
        <f ca="1">SUM(AG127)+Marine!CA_gross_sales_oil</f>
        <v>72.259852838624681</v>
      </c>
      <c r="AI127" s="49">
        <f ca="1">SUM(AH127)+Marine!CA_gross_sales_oil</f>
        <v>72.259852838624681</v>
      </c>
      <c r="AJ127" s="49">
        <f ca="1">SUM(AI127)+Marine!CA_gross_sales_oil</f>
        <v>72.259852838624681</v>
      </c>
      <c r="AK127" s="49">
        <f ca="1">SUM(AJ127)+Marine!CA_gross_sales_oil</f>
        <v>72.259852838624681</v>
      </c>
      <c r="AL127" s="49">
        <f ca="1">SUM(AK127)+Marine!CA_gross_sales_oil</f>
        <v>72.259852838624681</v>
      </c>
      <c r="AM127" s="49">
        <f ca="1">SUM(AL127)+Marine!CA_gross_sales_oil</f>
        <v>72.259852838624681</v>
      </c>
      <c r="AN127" s="49">
        <f ca="1">SUM(AM127)+Marine!CA_gross_sales_oil</f>
        <v>72.259852838624681</v>
      </c>
      <c r="AO127" s="49">
        <f ca="1">SUM(AN127)+Marine!CA_gross_sales_oil</f>
        <v>72.259852838624681</v>
      </c>
      <c r="AP127" s="49">
        <f ca="1">SUM(AO127)+Marine!CA_gross_sales_oil</f>
        <v>72.259852838624681</v>
      </c>
      <c r="AQ127" s="49">
        <f ca="1">SUM(AP127)+Marine!CA_gross_sales_oil</f>
        <v>72.259852838624681</v>
      </c>
      <c r="AR127" s="49">
        <f ca="1">SUM(AQ127)+Marine!CA_gross_sales_oil</f>
        <v>72.259852838624681</v>
      </c>
      <c r="AS127" s="49">
        <f ca="1">SUM(AR127)+Marine!CA_gross_sales_oil</f>
        <v>72.259852838624681</v>
      </c>
      <c r="AT127" s="49">
        <f ca="1">SUM(AS127)+Marine!CA_gross_sales_oil</f>
        <v>72.259852838624681</v>
      </c>
      <c r="AU127" s="49">
        <f ca="1">SUM(AT127)+Marine!CA_gross_sales_oil</f>
        <v>72.259852838624681</v>
      </c>
      <c r="AV127" s="49">
        <f ca="1">SUM(AU127)+Marine!CA_gross_sales_oil</f>
        <v>72.259852838624681</v>
      </c>
      <c r="AW127" s="49">
        <f ca="1">SUM(AV127)+Marine!CA_gross_sales_oil</f>
        <v>72.259852838624681</v>
      </c>
      <c r="AX127" s="49">
        <f ca="1">SUM(AW127)+Marine!CA_gross_sales_oil</f>
        <v>72.259852838624681</v>
      </c>
      <c r="AY127" s="49">
        <f ca="1">SUM(AX127)+Marine!CA_gross_sales_oil</f>
        <v>72.259852838624681</v>
      </c>
      <c r="AZ127" s="49">
        <f ca="1">SUM(AY127)+Marine!CA_gross_sales_oil</f>
        <v>72.259852838624681</v>
      </c>
      <c r="BA127" s="49">
        <f ca="1">SUM(AZ127)+Marine!CA_gross_sales_oil</f>
        <v>72.259852838624681</v>
      </c>
      <c r="BB127" s="49">
        <f ca="1">SUM(BA127)+Marine!CA_gross_sales_oil</f>
        <v>72.259852838624681</v>
      </c>
      <c r="BC127" s="49">
        <f ca="1">SUM(BB127)+Marine!CA_gross_sales_oil</f>
        <v>72.259852838624681</v>
      </c>
      <c r="BD127" s="49">
        <f ca="1">SUM(BC127)+Marine!CA_gross_sales_oil</f>
        <v>72.259852838624681</v>
      </c>
      <c r="BE127" s="49">
        <f ca="1">SUM(BD127)+Marine!CA_gross_sales_oil</f>
        <v>72.259852838624681</v>
      </c>
      <c r="BF127" s="49">
        <f ca="1">SUM(BE127)+Marine!CA_gross_sales_oil</f>
        <v>72.259852838624681</v>
      </c>
      <c r="BG127" s="49">
        <f ca="1">SUM(BF127)+Marine!CA_gross_sales_oil</f>
        <v>72.259852838624681</v>
      </c>
      <c r="BH127" s="49">
        <f ca="1">SUM(BG127)+Marine!CA_gross_sales_oil</f>
        <v>72.259852838624681</v>
      </c>
      <c r="BI127" s="49">
        <f ca="1">SUM(BH127)+Marine!CA_gross_sales_oil</f>
        <v>72.259852838624681</v>
      </c>
      <c r="BJ127" s="49">
        <f ca="1">SUM(BI127)+Marine!CA_gross_sales_oil</f>
        <v>72.259852838624681</v>
      </c>
      <c r="BK127" s="49">
        <f ca="1">SUM(BJ127)+Marine!CA_gross_sales_oil</f>
        <v>72.259852838624681</v>
      </c>
      <c r="BL127" s="49">
        <f ca="1">SUM(BK127)+Marine!CA_gross_sales_oil</f>
        <v>72.259852838624681</v>
      </c>
      <c r="BM127" s="49">
        <f ca="1">SUM(BL127)+Marine!CA_gross_sales_oil</f>
        <v>72.259852838624681</v>
      </c>
      <c r="BN127" s="49">
        <f ca="1">SUM(BM127)+Marine!CA_gross_sales_oil</f>
        <v>72.259852838624681</v>
      </c>
      <c r="BO127" s="49">
        <f ca="1">SUM(BN127)+Marine!CA_gross_sales_oil</f>
        <v>72.259852838624681</v>
      </c>
      <c r="BP127" s="49">
        <f ca="1">SUM(BO127)+Marine!CA_gross_sales_oil</f>
        <v>72.259852838624681</v>
      </c>
      <c r="BQ127" s="49">
        <f ca="1">SUM(BP127)+Marine!CA_gross_sales_oil</f>
        <v>72.259852838624681</v>
      </c>
      <c r="BR127" s="49">
        <f ca="1">SUM(BQ127)+Marine!CA_gross_sales_oil</f>
        <v>72.259852838624681</v>
      </c>
      <c r="BS127" s="49">
        <f ca="1">SUM(BR127)+Marine!CA_gross_sales_oil</f>
        <v>72.259852838624681</v>
      </c>
    </row>
    <row r="128" spans="1:93" outlineLevel="1" x14ac:dyDescent="0.2">
      <c r="D128" t="s">
        <v>683</v>
      </c>
      <c r="K128" s="7" t="s">
        <v>687</v>
      </c>
      <c r="L128" s="49">
        <f ca="1">SUM(K128)+Marine!CA_gross_sales_lpg</f>
        <v>0</v>
      </c>
      <c r="M128" s="49">
        <f ca="1">SUM(L128)+Marine!CA_gross_sales_lpg</f>
        <v>0</v>
      </c>
      <c r="N128" s="49">
        <f ca="1">SUM(M128)+Marine!CA_gross_sales_lpg</f>
        <v>0</v>
      </c>
      <c r="O128" s="49">
        <f ca="1">SUM(N128)+Marine!CA_gross_sales_lpg</f>
        <v>0</v>
      </c>
      <c r="P128" s="49">
        <f ca="1">SUM(O128)+Marine!CA_gross_sales_lpg</f>
        <v>0</v>
      </c>
      <c r="Q128" s="49">
        <f ca="1">SUM(P128)+Marine!CA_gross_sales_lpg</f>
        <v>0</v>
      </c>
      <c r="R128" s="49">
        <f ca="1">SUM(Q128)+Marine!CA_gross_sales_lpg</f>
        <v>0</v>
      </c>
      <c r="S128" s="49">
        <f ca="1">SUM(R128)+Marine!CA_gross_sales_lpg</f>
        <v>0</v>
      </c>
      <c r="T128" s="49">
        <f ca="1">SUM(S128)+Marine!CA_gross_sales_lpg</f>
        <v>0</v>
      </c>
      <c r="U128" s="49">
        <f ca="1">SUM(T128)+Marine!CA_gross_sales_lpg</f>
        <v>0</v>
      </c>
      <c r="V128" s="49">
        <f ca="1">SUM(U128)+Marine!CA_gross_sales_lpg</f>
        <v>0</v>
      </c>
      <c r="W128" s="49">
        <f ca="1">SUM(V128)+Marine!CA_gross_sales_lpg</f>
        <v>0</v>
      </c>
      <c r="X128" s="49">
        <f ca="1">SUM(W128)+Marine!CA_gross_sales_lpg</f>
        <v>0</v>
      </c>
      <c r="Y128" s="49">
        <f ca="1">SUM(X128)+Marine!CA_gross_sales_lpg</f>
        <v>0</v>
      </c>
      <c r="Z128" s="49">
        <f ca="1">SUM(Y128)+Marine!CA_gross_sales_lpg</f>
        <v>0</v>
      </c>
      <c r="AA128" s="49">
        <f ca="1">SUM(Z128)+Marine!CA_gross_sales_lpg</f>
        <v>0</v>
      </c>
      <c r="AB128" s="49">
        <f ca="1">SUM(AA128)+Marine!CA_gross_sales_lpg</f>
        <v>0</v>
      </c>
      <c r="AC128" s="49">
        <f ca="1">SUM(AB128)+Marine!CA_gross_sales_lpg</f>
        <v>0</v>
      </c>
      <c r="AD128" s="49">
        <f ca="1">SUM(AC128)+Marine!CA_gross_sales_lpg</f>
        <v>0</v>
      </c>
      <c r="AE128" s="49">
        <f ca="1">SUM(AD128)+Marine!CA_gross_sales_lpg</f>
        <v>0</v>
      </c>
      <c r="AF128" s="49">
        <f ca="1">SUM(AE128)+Marine!CA_gross_sales_lpg</f>
        <v>0</v>
      </c>
      <c r="AG128" s="49">
        <f ca="1">SUM(AF128)+Marine!CA_gross_sales_lpg</f>
        <v>0</v>
      </c>
      <c r="AH128" s="49">
        <f ca="1">SUM(AG128)+Marine!CA_gross_sales_lpg</f>
        <v>0</v>
      </c>
      <c r="AI128" s="49">
        <f ca="1">SUM(AH128)+Marine!CA_gross_sales_lpg</f>
        <v>0</v>
      </c>
      <c r="AJ128" s="49">
        <f ca="1">SUM(AI128)+Marine!CA_gross_sales_lpg</f>
        <v>0</v>
      </c>
      <c r="AK128" s="49">
        <f ca="1">SUM(AJ128)+Marine!CA_gross_sales_lpg</f>
        <v>0</v>
      </c>
      <c r="AL128" s="49">
        <f ca="1">SUM(AK128)+Marine!CA_gross_sales_lpg</f>
        <v>0</v>
      </c>
      <c r="AM128" s="49">
        <f ca="1">SUM(AL128)+Marine!CA_gross_sales_lpg</f>
        <v>0</v>
      </c>
      <c r="AN128" s="49">
        <f ca="1">SUM(AM128)+Marine!CA_gross_sales_lpg</f>
        <v>0</v>
      </c>
      <c r="AO128" s="49">
        <f ca="1">SUM(AN128)+Marine!CA_gross_sales_lpg</f>
        <v>0</v>
      </c>
      <c r="AP128" s="49">
        <f ca="1">SUM(AO128)+Marine!CA_gross_sales_lpg</f>
        <v>0</v>
      </c>
      <c r="AQ128" s="49">
        <f ca="1">SUM(AP128)+Marine!CA_gross_sales_lpg</f>
        <v>0</v>
      </c>
      <c r="AR128" s="49">
        <f ca="1">SUM(AQ128)+Marine!CA_gross_sales_lpg</f>
        <v>0</v>
      </c>
      <c r="AS128" s="49">
        <f ca="1">SUM(AR128)+Marine!CA_gross_sales_lpg</f>
        <v>0</v>
      </c>
      <c r="AT128" s="49">
        <f ca="1">SUM(AS128)+Marine!CA_gross_sales_lpg</f>
        <v>0</v>
      </c>
      <c r="AU128" s="49">
        <f ca="1">SUM(AT128)+Marine!CA_gross_sales_lpg</f>
        <v>0</v>
      </c>
      <c r="AV128" s="49">
        <f ca="1">SUM(AU128)+Marine!CA_gross_sales_lpg</f>
        <v>0</v>
      </c>
      <c r="AW128" s="49">
        <f ca="1">SUM(AV128)+Marine!CA_gross_sales_lpg</f>
        <v>0</v>
      </c>
      <c r="AX128" s="49">
        <f ca="1">SUM(AW128)+Marine!CA_gross_sales_lpg</f>
        <v>0</v>
      </c>
      <c r="AY128" s="49">
        <f ca="1">SUM(AX128)+Marine!CA_gross_sales_lpg</f>
        <v>0</v>
      </c>
      <c r="AZ128" s="49">
        <f ca="1">SUM(AY128)+Marine!CA_gross_sales_lpg</f>
        <v>0</v>
      </c>
      <c r="BA128" s="49">
        <f ca="1">SUM(AZ128)+Marine!CA_gross_sales_lpg</f>
        <v>0</v>
      </c>
      <c r="BB128" s="49">
        <f ca="1">SUM(BA128)+Marine!CA_gross_sales_lpg</f>
        <v>0</v>
      </c>
      <c r="BC128" s="49">
        <f ca="1">SUM(BB128)+Marine!CA_gross_sales_lpg</f>
        <v>0</v>
      </c>
      <c r="BD128" s="49">
        <f ca="1">SUM(BC128)+Marine!CA_gross_sales_lpg</f>
        <v>0</v>
      </c>
      <c r="BE128" s="49">
        <f ca="1">SUM(BD128)+Marine!CA_gross_sales_lpg</f>
        <v>0</v>
      </c>
      <c r="BF128" s="49">
        <f ca="1">SUM(BE128)+Marine!CA_gross_sales_lpg</f>
        <v>0</v>
      </c>
      <c r="BG128" s="49">
        <f ca="1">SUM(BF128)+Marine!CA_gross_sales_lpg</f>
        <v>0</v>
      </c>
      <c r="BH128" s="49">
        <f ca="1">SUM(BG128)+Marine!CA_gross_sales_lpg</f>
        <v>0</v>
      </c>
      <c r="BI128" s="49">
        <f ca="1">SUM(BH128)+Marine!CA_gross_sales_lpg</f>
        <v>0</v>
      </c>
      <c r="BJ128" s="49">
        <f ca="1">SUM(BI128)+Marine!CA_gross_sales_lpg</f>
        <v>0</v>
      </c>
      <c r="BK128" s="49">
        <f ca="1">SUM(BJ128)+Marine!CA_gross_sales_lpg</f>
        <v>0</v>
      </c>
      <c r="BL128" s="49">
        <f ca="1">SUM(BK128)+Marine!CA_gross_sales_lpg</f>
        <v>0</v>
      </c>
      <c r="BM128" s="49">
        <f ca="1">SUM(BL128)+Marine!CA_gross_sales_lpg</f>
        <v>0</v>
      </c>
      <c r="BN128" s="49">
        <f ca="1">SUM(BM128)+Marine!CA_gross_sales_lpg</f>
        <v>0</v>
      </c>
      <c r="BO128" s="49">
        <f ca="1">SUM(BN128)+Marine!CA_gross_sales_lpg</f>
        <v>0</v>
      </c>
      <c r="BP128" s="49">
        <f ca="1">SUM(BO128)+Marine!CA_gross_sales_lpg</f>
        <v>0</v>
      </c>
      <c r="BQ128" s="49">
        <f ca="1">SUM(BP128)+Marine!CA_gross_sales_lpg</f>
        <v>0</v>
      </c>
      <c r="BR128" s="49">
        <f ca="1">SUM(BQ128)+Marine!CA_gross_sales_lpg</f>
        <v>0</v>
      </c>
      <c r="BS128" s="49">
        <f ca="1">SUM(BR128)+Marine!CA_gross_sales_lpg</f>
        <v>0</v>
      </c>
    </row>
    <row r="129" spans="1:71" outlineLevel="1" x14ac:dyDescent="0.2">
      <c r="D129" t="s">
        <v>71</v>
      </c>
      <c r="K129" s="7" t="s">
        <v>673</v>
      </c>
      <c r="L129" s="49">
        <f ca="1">SUM(K129)+Marine!CA_gross_sales_gas</f>
        <v>0</v>
      </c>
      <c r="M129" s="49">
        <f ca="1">SUM(L129)+Marine!CA_gross_sales_gas</f>
        <v>8.628911029682812E-2</v>
      </c>
      <c r="N129" s="49">
        <f ca="1">SUM(M129)+Marine!CA_gross_sales_gas</f>
        <v>0.51442859729682811</v>
      </c>
      <c r="O129" s="49">
        <f ca="1">SUM(N129)+Marine!CA_gross_sales_gas</f>
        <v>1.1732285972968282</v>
      </c>
      <c r="P129" s="49">
        <f ca="1">SUM(O129)+Marine!CA_gross_sales_gas</f>
        <v>1.7687763952968281</v>
      </c>
      <c r="Q129" s="49">
        <f ca="1">SUM(P129)+Marine!CA_gross_sales_gas</f>
        <v>2.409287421296828</v>
      </c>
      <c r="R129" s="49">
        <f ca="1">SUM(Q129)+Marine!CA_gross_sales_gas</f>
        <v>2.409288061807854</v>
      </c>
      <c r="S129" s="49">
        <f ca="1">SUM(R129)+Marine!CA_gross_sales_gas</f>
        <v>3.2180880618078538</v>
      </c>
      <c r="T129" s="49">
        <f ca="1">SUM(S129)+Marine!CA_gross_sales_gas</f>
        <v>4.0098843842972451</v>
      </c>
      <c r="U129" s="49">
        <f ca="1">SUM(T129)+Marine!CA_gross_sales_gas</f>
        <v>4.7858391226282215</v>
      </c>
      <c r="V129" s="49">
        <f ca="1">SUM(U129)+Marine!CA_gross_sales_gas</f>
        <v>5.5462351622321817</v>
      </c>
      <c r="W129" s="49">
        <f ca="1">SUM(V129)+Marine!CA_gross_sales_gas</f>
        <v>6.2916382739719268</v>
      </c>
      <c r="X129" s="49">
        <f ca="1">SUM(W129)+Marine!CA_gross_sales_gas</f>
        <v>7.0220484578474576</v>
      </c>
      <c r="Y129" s="49">
        <f ca="1">SUM(X129)+Marine!CA_gross_sales_gas</f>
        <v>7.0220484578474576</v>
      </c>
      <c r="Z129" s="49">
        <f ca="1">SUM(Y129)+Marine!CA_gross_sales_gas</f>
        <v>7.0220484578474576</v>
      </c>
      <c r="AA129" s="49">
        <f ca="1">SUM(Z129)+Marine!CA_gross_sales_gas</f>
        <v>7.0220484578474576</v>
      </c>
      <c r="AB129" s="49">
        <f ca="1">SUM(AA129)+Marine!CA_gross_sales_gas</f>
        <v>7.0220484578474576</v>
      </c>
      <c r="AC129" s="49">
        <f ca="1">SUM(AB129)+Marine!CA_gross_sales_gas</f>
        <v>7.0220484578474576</v>
      </c>
      <c r="AD129" s="49">
        <f ca="1">SUM(AC129)+Marine!CA_gross_sales_gas</f>
        <v>7.0220484578474576</v>
      </c>
      <c r="AE129" s="49">
        <f ca="1">SUM(AD129)+Marine!CA_gross_sales_gas</f>
        <v>7.0220484578474576</v>
      </c>
      <c r="AF129" s="49">
        <f ca="1">SUM(AE129)+Marine!CA_gross_sales_gas</f>
        <v>7.0220484578474576</v>
      </c>
      <c r="AG129" s="49">
        <f ca="1">SUM(AF129)+Marine!CA_gross_sales_gas</f>
        <v>7.0220484578474576</v>
      </c>
      <c r="AH129" s="49">
        <f ca="1">SUM(AG129)+Marine!CA_gross_sales_gas</f>
        <v>7.0220484578474576</v>
      </c>
      <c r="AI129" s="49">
        <f ca="1">SUM(AH129)+Marine!CA_gross_sales_gas</f>
        <v>7.0220484578474576</v>
      </c>
      <c r="AJ129" s="49">
        <f ca="1">SUM(AI129)+Marine!CA_gross_sales_gas</f>
        <v>7.0220484578474576</v>
      </c>
      <c r="AK129" s="49">
        <f ca="1">SUM(AJ129)+Marine!CA_gross_sales_gas</f>
        <v>7.0220484578474576</v>
      </c>
      <c r="AL129" s="49">
        <f ca="1">SUM(AK129)+Marine!CA_gross_sales_gas</f>
        <v>7.0220484578474576</v>
      </c>
      <c r="AM129" s="49">
        <f ca="1">SUM(AL129)+Marine!CA_gross_sales_gas</f>
        <v>7.0220484578474576</v>
      </c>
      <c r="AN129" s="49">
        <f ca="1">SUM(AM129)+Marine!CA_gross_sales_gas</f>
        <v>7.0220484578474576</v>
      </c>
      <c r="AO129" s="49">
        <f ca="1">SUM(AN129)+Marine!CA_gross_sales_gas</f>
        <v>7.0220484578474576</v>
      </c>
      <c r="AP129" s="49">
        <f ca="1">SUM(AO129)+Marine!CA_gross_sales_gas</f>
        <v>7.0220484578474576</v>
      </c>
      <c r="AQ129" s="49">
        <f ca="1">SUM(AP129)+Marine!CA_gross_sales_gas</f>
        <v>7.0220484578474576</v>
      </c>
      <c r="AR129" s="49">
        <f ca="1">SUM(AQ129)+Marine!CA_gross_sales_gas</f>
        <v>7.0220484578474576</v>
      </c>
      <c r="AS129" s="49">
        <f ca="1">SUM(AR129)+Marine!CA_gross_sales_gas</f>
        <v>7.0220484578474576</v>
      </c>
      <c r="AT129" s="49">
        <f ca="1">SUM(AS129)+Marine!CA_gross_sales_gas</f>
        <v>7.0220484578474576</v>
      </c>
      <c r="AU129" s="49">
        <f ca="1">SUM(AT129)+Marine!CA_gross_sales_gas</f>
        <v>7.0220484578474576</v>
      </c>
      <c r="AV129" s="49">
        <f ca="1">SUM(AU129)+Marine!CA_gross_sales_gas</f>
        <v>7.0220484578474576</v>
      </c>
      <c r="AW129" s="49">
        <f ca="1">SUM(AV129)+Marine!CA_gross_sales_gas</f>
        <v>7.0220484578474576</v>
      </c>
      <c r="AX129" s="49">
        <f ca="1">SUM(AW129)+Marine!CA_gross_sales_gas</f>
        <v>7.0220484578474576</v>
      </c>
      <c r="AY129" s="49">
        <f ca="1">SUM(AX129)+Marine!CA_gross_sales_gas</f>
        <v>7.0220484578474576</v>
      </c>
      <c r="AZ129" s="49">
        <f ca="1">SUM(AY129)+Marine!CA_gross_sales_gas</f>
        <v>7.0220484578474576</v>
      </c>
      <c r="BA129" s="49">
        <f ca="1">SUM(AZ129)+Marine!CA_gross_sales_gas</f>
        <v>7.0220484578474576</v>
      </c>
      <c r="BB129" s="49">
        <f ca="1">SUM(BA129)+Marine!CA_gross_sales_gas</f>
        <v>7.0220484578474576</v>
      </c>
      <c r="BC129" s="49">
        <f ca="1">SUM(BB129)+Marine!CA_gross_sales_gas</f>
        <v>7.0220484578474576</v>
      </c>
      <c r="BD129" s="49">
        <f ca="1">SUM(BC129)+Marine!CA_gross_sales_gas</f>
        <v>7.0220484578474576</v>
      </c>
      <c r="BE129" s="49">
        <f ca="1">SUM(BD129)+Marine!CA_gross_sales_gas</f>
        <v>7.0220484578474576</v>
      </c>
      <c r="BF129" s="49">
        <f ca="1">SUM(BE129)+Marine!CA_gross_sales_gas</f>
        <v>7.0220484578474576</v>
      </c>
      <c r="BG129" s="49">
        <f ca="1">SUM(BF129)+Marine!CA_gross_sales_gas</f>
        <v>7.0220484578474576</v>
      </c>
      <c r="BH129" s="49">
        <f ca="1">SUM(BG129)+Marine!CA_gross_sales_gas</f>
        <v>7.0220484578474576</v>
      </c>
      <c r="BI129" s="49">
        <f ca="1">SUM(BH129)+Marine!CA_gross_sales_gas</f>
        <v>7.0220484578474576</v>
      </c>
      <c r="BJ129" s="49">
        <f ca="1">SUM(BI129)+Marine!CA_gross_sales_gas</f>
        <v>7.0220484578474576</v>
      </c>
      <c r="BK129" s="49">
        <f ca="1">SUM(BJ129)+Marine!CA_gross_sales_gas</f>
        <v>7.0220484578474576</v>
      </c>
      <c r="BL129" s="49">
        <f ca="1">SUM(BK129)+Marine!CA_gross_sales_gas</f>
        <v>7.0220484578474576</v>
      </c>
      <c r="BM129" s="49">
        <f ca="1">SUM(BL129)+Marine!CA_gross_sales_gas</f>
        <v>7.0220484578474576</v>
      </c>
      <c r="BN129" s="49">
        <f ca="1">SUM(BM129)+Marine!CA_gross_sales_gas</f>
        <v>7.0220484578474576</v>
      </c>
      <c r="BO129" s="49">
        <f ca="1">SUM(BN129)+Marine!CA_gross_sales_gas</f>
        <v>7.0220484578474576</v>
      </c>
      <c r="BP129" s="49">
        <f ca="1">SUM(BO129)+Marine!CA_gross_sales_gas</f>
        <v>7.0220484578474576</v>
      </c>
      <c r="BQ129" s="49">
        <f ca="1">SUM(BP129)+Marine!CA_gross_sales_gas</f>
        <v>7.0220484578474576</v>
      </c>
      <c r="BR129" s="49">
        <f ca="1">SUM(BQ129)+Marine!CA_gross_sales_gas</f>
        <v>7.0220484578474576</v>
      </c>
      <c r="BS129" s="49">
        <f ca="1">SUM(BR129)+Marine!CA_gross_sales_gas</f>
        <v>7.0220484578474576</v>
      </c>
    </row>
    <row r="130" spans="1:71" outlineLevel="1" x14ac:dyDescent="0.2">
      <c r="D130" s="47" t="s">
        <v>129</v>
      </c>
      <c r="E130" s="6"/>
      <c r="F130" s="6"/>
      <c r="G130" s="6"/>
      <c r="H130" s="6"/>
      <c r="I130" s="6"/>
      <c r="J130" s="6"/>
      <c r="K130" s="7" t="s">
        <v>674</v>
      </c>
      <c r="L130" s="49">
        <f t="shared" ref="L130:AQ130" ca="1" si="18">SUM(L127,L128,L129*conv_CMtoBbls)</f>
        <v>0</v>
      </c>
      <c r="M130" s="49">
        <f t="shared" ca="1" si="18"/>
        <v>0.54525549276704888</v>
      </c>
      <c r="N130" s="49">
        <f t="shared" ca="1" si="18"/>
        <v>4.8953651413961801</v>
      </c>
      <c r="O130" s="49">
        <f t="shared" ca="1" si="18"/>
        <v>11.98929486445015</v>
      </c>
      <c r="P130" s="49">
        <f t="shared" ca="1" si="18"/>
        <v>21.246018163862377</v>
      </c>
      <c r="Q130" s="49">
        <f t="shared" ca="1" si="18"/>
        <v>34.683851306370542</v>
      </c>
      <c r="R130" s="49">
        <f t="shared" ca="1" si="18"/>
        <v>44.329426637346558</v>
      </c>
      <c r="S130" s="49">
        <f t="shared" ca="1" si="18"/>
        <v>57.960278637346555</v>
      </c>
      <c r="T130" s="49">
        <f t="shared" ca="1" si="18"/>
        <v>70.886132505804824</v>
      </c>
      <c r="U130" s="49">
        <f t="shared" ca="1" si="18"/>
        <v>83.156160959906657</v>
      </c>
      <c r="V130" s="49">
        <f t="shared" ca="1" si="18"/>
        <v>94.811076078515569</v>
      </c>
      <c r="W130" s="49">
        <f t="shared" ca="1" si="18"/>
        <v>105.89064399879356</v>
      </c>
      <c r="X130" s="49">
        <f t="shared" ca="1" si="18"/>
        <v>116.42853763848518</v>
      </c>
      <c r="Y130" s="49">
        <f t="shared" ca="1" si="18"/>
        <v>116.42853763848518</v>
      </c>
      <c r="Z130" s="49">
        <f t="shared" ca="1" si="18"/>
        <v>116.42853763848518</v>
      </c>
      <c r="AA130" s="49">
        <f t="shared" ca="1" si="18"/>
        <v>116.42853763848518</v>
      </c>
      <c r="AB130" s="49">
        <f t="shared" ca="1" si="18"/>
        <v>116.42853763848518</v>
      </c>
      <c r="AC130" s="49">
        <f t="shared" ca="1" si="18"/>
        <v>116.42853763848518</v>
      </c>
      <c r="AD130" s="49">
        <f t="shared" ca="1" si="18"/>
        <v>116.42853763848518</v>
      </c>
      <c r="AE130" s="49">
        <f t="shared" ca="1" si="18"/>
        <v>116.42853763848518</v>
      </c>
      <c r="AF130" s="49">
        <f t="shared" ca="1" si="18"/>
        <v>116.42853763848518</v>
      </c>
      <c r="AG130" s="49">
        <f t="shared" ca="1" si="18"/>
        <v>116.42853763848518</v>
      </c>
      <c r="AH130" s="49">
        <f t="shared" ca="1" si="18"/>
        <v>116.42853763848518</v>
      </c>
      <c r="AI130" s="49">
        <f t="shared" ca="1" si="18"/>
        <v>116.42853763848518</v>
      </c>
      <c r="AJ130" s="49">
        <f t="shared" ca="1" si="18"/>
        <v>116.42853763848518</v>
      </c>
      <c r="AK130" s="49">
        <f t="shared" ca="1" si="18"/>
        <v>116.42853763848518</v>
      </c>
      <c r="AL130" s="49">
        <f t="shared" ca="1" si="18"/>
        <v>116.42853763848518</v>
      </c>
      <c r="AM130" s="49">
        <f t="shared" ca="1" si="18"/>
        <v>116.42853763848518</v>
      </c>
      <c r="AN130" s="49">
        <f t="shared" ca="1" si="18"/>
        <v>116.42853763848518</v>
      </c>
      <c r="AO130" s="49">
        <f t="shared" ca="1" si="18"/>
        <v>116.42853763848518</v>
      </c>
      <c r="AP130" s="49">
        <f t="shared" ca="1" si="18"/>
        <v>116.42853763848518</v>
      </c>
      <c r="AQ130" s="49">
        <f t="shared" ca="1" si="18"/>
        <v>116.42853763848518</v>
      </c>
      <c r="AR130" s="49">
        <f t="shared" ref="AR130:BS130" ca="1" si="19">SUM(AR127,AR128,AR129*conv_CMtoBbls)</f>
        <v>116.42853763848518</v>
      </c>
      <c r="AS130" s="49">
        <f t="shared" ca="1" si="19"/>
        <v>116.42853763848518</v>
      </c>
      <c r="AT130" s="49">
        <f t="shared" ca="1" si="19"/>
        <v>116.42853763848518</v>
      </c>
      <c r="AU130" s="49">
        <f t="shared" ca="1" si="19"/>
        <v>116.42853763848518</v>
      </c>
      <c r="AV130" s="49">
        <f t="shared" ca="1" si="19"/>
        <v>116.42853763848518</v>
      </c>
      <c r="AW130" s="49">
        <f t="shared" ca="1" si="19"/>
        <v>116.42853763848518</v>
      </c>
      <c r="AX130" s="49">
        <f t="shared" ca="1" si="19"/>
        <v>116.42853763848518</v>
      </c>
      <c r="AY130" s="49">
        <f t="shared" ca="1" si="19"/>
        <v>116.42853763848518</v>
      </c>
      <c r="AZ130" s="49">
        <f t="shared" ca="1" si="19"/>
        <v>116.42853763848518</v>
      </c>
      <c r="BA130" s="49">
        <f t="shared" ca="1" si="19"/>
        <v>116.42853763848518</v>
      </c>
      <c r="BB130" s="49">
        <f t="shared" ca="1" si="19"/>
        <v>116.42853763848518</v>
      </c>
      <c r="BC130" s="49">
        <f t="shared" ca="1" si="19"/>
        <v>116.42853763848518</v>
      </c>
      <c r="BD130" s="49">
        <f t="shared" ca="1" si="19"/>
        <v>116.42853763848518</v>
      </c>
      <c r="BE130" s="49">
        <f t="shared" ca="1" si="19"/>
        <v>116.42853763848518</v>
      </c>
      <c r="BF130" s="49">
        <f t="shared" ca="1" si="19"/>
        <v>116.42853763848518</v>
      </c>
      <c r="BG130" s="49">
        <f t="shared" ca="1" si="19"/>
        <v>116.42853763848518</v>
      </c>
      <c r="BH130" s="49">
        <f t="shared" ca="1" si="19"/>
        <v>116.42853763848518</v>
      </c>
      <c r="BI130" s="49">
        <f t="shared" ca="1" si="19"/>
        <v>116.42853763848518</v>
      </c>
      <c r="BJ130" s="49">
        <f t="shared" ca="1" si="19"/>
        <v>116.42853763848518</v>
      </c>
      <c r="BK130" s="49">
        <f t="shared" ca="1" si="19"/>
        <v>116.42853763848518</v>
      </c>
      <c r="BL130" s="49">
        <f t="shared" ca="1" si="19"/>
        <v>116.42853763848518</v>
      </c>
      <c r="BM130" s="49">
        <f t="shared" ca="1" si="19"/>
        <v>116.42853763848518</v>
      </c>
      <c r="BN130" s="49">
        <f t="shared" ca="1" si="19"/>
        <v>116.42853763848518</v>
      </c>
      <c r="BO130" s="49">
        <f t="shared" ca="1" si="19"/>
        <v>116.42853763848518</v>
      </c>
      <c r="BP130" s="49">
        <f t="shared" ca="1" si="19"/>
        <v>116.42853763848518</v>
      </c>
      <c r="BQ130" s="49">
        <f t="shared" ca="1" si="19"/>
        <v>116.42853763848518</v>
      </c>
      <c r="BR130" s="49">
        <f t="shared" ca="1" si="19"/>
        <v>116.42853763848518</v>
      </c>
      <c r="BS130" s="49">
        <f t="shared" ca="1" si="19"/>
        <v>116.42853763848518</v>
      </c>
    </row>
    <row r="131" spans="1:71" outlineLevel="1" x14ac:dyDescent="0.2">
      <c r="J131" s="26"/>
      <c r="L131" s="55"/>
      <c r="M131" s="55"/>
      <c r="N131" s="55"/>
      <c r="O131" s="55"/>
      <c r="P131" s="55"/>
      <c r="Q131" s="55"/>
      <c r="R131" s="55"/>
      <c r="S131" s="55"/>
      <c r="T131" s="55"/>
      <c r="U131" s="55"/>
      <c r="V131" s="55"/>
      <c r="W131" s="55"/>
      <c r="X131" s="55"/>
      <c r="Y131" s="55"/>
      <c r="Z131" s="55"/>
      <c r="AA131" s="55"/>
      <c r="AB131" s="55"/>
      <c r="AC131" s="55"/>
      <c r="AD131" s="55"/>
      <c r="AE131" s="55"/>
      <c r="AF131" s="55"/>
      <c r="AG131" s="55"/>
      <c r="AH131" s="55"/>
      <c r="AI131" s="55"/>
      <c r="AJ131" s="55"/>
      <c r="AK131" s="55"/>
      <c r="AL131" s="55"/>
      <c r="AM131" s="55"/>
      <c r="AN131" s="55"/>
      <c r="AO131" s="55"/>
      <c r="AP131" s="55"/>
      <c r="AQ131" s="55"/>
      <c r="AR131" s="55"/>
      <c r="AS131" s="55"/>
      <c r="AT131" s="55"/>
      <c r="AU131" s="55"/>
      <c r="AV131" s="55"/>
      <c r="AW131" s="55"/>
      <c r="AX131" s="55"/>
      <c r="AY131" s="55"/>
      <c r="AZ131" s="55"/>
      <c r="BA131" s="55"/>
      <c r="BB131" s="55"/>
      <c r="BC131" s="55"/>
      <c r="BD131" s="55"/>
      <c r="BE131" s="55"/>
      <c r="BF131" s="55"/>
      <c r="BG131" s="55"/>
      <c r="BH131" s="55"/>
      <c r="BI131" s="55"/>
      <c r="BJ131" s="55"/>
      <c r="BK131" s="55"/>
      <c r="BL131" s="55"/>
      <c r="BM131" s="55"/>
      <c r="BN131" s="55"/>
      <c r="BO131" s="55"/>
      <c r="BP131" s="55"/>
      <c r="BQ131" s="55"/>
      <c r="BR131" s="55"/>
      <c r="BS131" s="55"/>
    </row>
    <row r="132" spans="1:71" outlineLevel="1" x14ac:dyDescent="0.2">
      <c r="C132" s="11" t="s">
        <v>835</v>
      </c>
      <c r="J132" s="26"/>
      <c r="L132" s="55"/>
      <c r="M132" s="55"/>
      <c r="N132" s="55"/>
      <c r="O132" s="55"/>
      <c r="P132" s="55"/>
      <c r="Q132" s="55"/>
      <c r="R132" s="55"/>
      <c r="S132" s="55"/>
      <c r="T132" s="55"/>
      <c r="U132" s="55"/>
      <c r="V132" s="55"/>
      <c r="W132" s="55"/>
      <c r="X132" s="55"/>
      <c r="Y132" s="55"/>
      <c r="Z132" s="55"/>
      <c r="AA132" s="55"/>
      <c r="AB132" s="55"/>
      <c r="AC132" s="55"/>
      <c r="AD132" s="55"/>
      <c r="AE132" s="55"/>
      <c r="AF132" s="55"/>
      <c r="AG132" s="55"/>
      <c r="AH132" s="55"/>
      <c r="AI132" s="55"/>
      <c r="AJ132" s="55"/>
      <c r="AK132" s="55"/>
      <c r="AL132" s="55"/>
      <c r="AM132" s="55"/>
      <c r="AN132" s="55"/>
      <c r="AO132" s="55"/>
      <c r="AP132" s="55"/>
      <c r="AQ132" s="55"/>
      <c r="AR132" s="55"/>
      <c r="AS132" s="55"/>
      <c r="AT132" s="55"/>
      <c r="AU132" s="55"/>
      <c r="AV132" s="55"/>
      <c r="AW132" s="55"/>
      <c r="AX132" s="55"/>
      <c r="AY132" s="55"/>
      <c r="AZ132" s="55"/>
      <c r="BA132" s="55"/>
      <c r="BB132" s="55"/>
      <c r="BC132" s="55"/>
      <c r="BD132" s="55"/>
      <c r="BE132" s="55"/>
      <c r="BF132" s="55"/>
      <c r="BG132" s="55"/>
      <c r="BH132" s="55"/>
      <c r="BI132" s="55"/>
      <c r="BJ132" s="55"/>
      <c r="BK132" s="55"/>
      <c r="BL132" s="55"/>
      <c r="BM132" s="55"/>
      <c r="BN132" s="55"/>
      <c r="BO132" s="55"/>
      <c r="BP132" s="55"/>
      <c r="BQ132" s="55"/>
      <c r="BR132" s="55"/>
      <c r="BS132" s="55"/>
    </row>
    <row r="133" spans="1:71" outlineLevel="1" x14ac:dyDescent="0.2">
      <c r="D133" t="s">
        <v>836</v>
      </c>
      <c r="J133" s="26" t="s">
        <v>90</v>
      </c>
      <c r="K133" s="7" t="s">
        <v>837</v>
      </c>
      <c r="L133" s="37">
        <v>0.8</v>
      </c>
      <c r="M133" s="37">
        <f>L133</f>
        <v>0.8</v>
      </c>
      <c r="N133" s="37">
        <f t="shared" ref="N133:BS133" si="20">M133</f>
        <v>0.8</v>
      </c>
      <c r="O133" s="37">
        <f t="shared" si="20"/>
        <v>0.8</v>
      </c>
      <c r="P133" s="37">
        <f t="shared" si="20"/>
        <v>0.8</v>
      </c>
      <c r="Q133" s="37">
        <f t="shared" si="20"/>
        <v>0.8</v>
      </c>
      <c r="R133" s="37">
        <f t="shared" si="20"/>
        <v>0.8</v>
      </c>
      <c r="S133" s="37">
        <f t="shared" si="20"/>
        <v>0.8</v>
      </c>
      <c r="T133" s="37">
        <f t="shared" si="20"/>
        <v>0.8</v>
      </c>
      <c r="U133" s="37">
        <f t="shared" si="20"/>
        <v>0.8</v>
      </c>
      <c r="V133" s="37">
        <f t="shared" si="20"/>
        <v>0.8</v>
      </c>
      <c r="W133" s="37">
        <f t="shared" si="20"/>
        <v>0.8</v>
      </c>
      <c r="X133" s="37">
        <f t="shared" si="20"/>
        <v>0.8</v>
      </c>
      <c r="Y133" s="37">
        <f t="shared" si="20"/>
        <v>0.8</v>
      </c>
      <c r="Z133" s="37">
        <f t="shared" si="20"/>
        <v>0.8</v>
      </c>
      <c r="AA133" s="37">
        <f t="shared" si="20"/>
        <v>0.8</v>
      </c>
      <c r="AB133" s="37">
        <f t="shared" si="20"/>
        <v>0.8</v>
      </c>
      <c r="AC133" s="37">
        <f t="shared" si="20"/>
        <v>0.8</v>
      </c>
      <c r="AD133" s="37">
        <f t="shared" si="20"/>
        <v>0.8</v>
      </c>
      <c r="AE133" s="37">
        <f t="shared" si="20"/>
        <v>0.8</v>
      </c>
      <c r="AF133" s="37">
        <f t="shared" si="20"/>
        <v>0.8</v>
      </c>
      <c r="AG133" s="37">
        <f t="shared" si="20"/>
        <v>0.8</v>
      </c>
      <c r="AH133" s="37">
        <f t="shared" si="20"/>
        <v>0.8</v>
      </c>
      <c r="AI133" s="37">
        <f t="shared" si="20"/>
        <v>0.8</v>
      </c>
      <c r="AJ133" s="37">
        <f t="shared" si="20"/>
        <v>0.8</v>
      </c>
      <c r="AK133" s="37">
        <f t="shared" si="20"/>
        <v>0.8</v>
      </c>
      <c r="AL133" s="37">
        <f t="shared" si="20"/>
        <v>0.8</v>
      </c>
      <c r="AM133" s="37">
        <f t="shared" si="20"/>
        <v>0.8</v>
      </c>
      <c r="AN133" s="37">
        <f t="shared" si="20"/>
        <v>0.8</v>
      </c>
      <c r="AO133" s="37">
        <f t="shared" si="20"/>
        <v>0.8</v>
      </c>
      <c r="AP133" s="37">
        <f t="shared" si="20"/>
        <v>0.8</v>
      </c>
      <c r="AQ133" s="37">
        <f t="shared" si="20"/>
        <v>0.8</v>
      </c>
      <c r="AR133" s="37">
        <f t="shared" si="20"/>
        <v>0.8</v>
      </c>
      <c r="AS133" s="37">
        <f t="shared" si="20"/>
        <v>0.8</v>
      </c>
      <c r="AT133" s="37">
        <f t="shared" si="20"/>
        <v>0.8</v>
      </c>
      <c r="AU133" s="37">
        <f t="shared" si="20"/>
        <v>0.8</v>
      </c>
      <c r="AV133" s="37">
        <f t="shared" si="20"/>
        <v>0.8</v>
      </c>
      <c r="AW133" s="37">
        <f t="shared" si="20"/>
        <v>0.8</v>
      </c>
      <c r="AX133" s="37">
        <f t="shared" si="20"/>
        <v>0.8</v>
      </c>
      <c r="AY133" s="37">
        <f t="shared" si="20"/>
        <v>0.8</v>
      </c>
      <c r="AZ133" s="37">
        <f t="shared" si="20"/>
        <v>0.8</v>
      </c>
      <c r="BA133" s="37">
        <f t="shared" si="20"/>
        <v>0.8</v>
      </c>
      <c r="BB133" s="37">
        <f t="shared" si="20"/>
        <v>0.8</v>
      </c>
      <c r="BC133" s="37">
        <f t="shared" si="20"/>
        <v>0.8</v>
      </c>
      <c r="BD133" s="37">
        <f t="shared" si="20"/>
        <v>0.8</v>
      </c>
      <c r="BE133" s="37">
        <f t="shared" si="20"/>
        <v>0.8</v>
      </c>
      <c r="BF133" s="37">
        <f t="shared" si="20"/>
        <v>0.8</v>
      </c>
      <c r="BG133" s="37">
        <f t="shared" si="20"/>
        <v>0.8</v>
      </c>
      <c r="BH133" s="37">
        <f t="shared" si="20"/>
        <v>0.8</v>
      </c>
      <c r="BI133" s="37">
        <f t="shared" si="20"/>
        <v>0.8</v>
      </c>
      <c r="BJ133" s="37">
        <f t="shared" si="20"/>
        <v>0.8</v>
      </c>
      <c r="BK133" s="37">
        <f t="shared" si="20"/>
        <v>0.8</v>
      </c>
      <c r="BL133" s="37">
        <f t="shared" si="20"/>
        <v>0.8</v>
      </c>
      <c r="BM133" s="37">
        <f t="shared" si="20"/>
        <v>0.8</v>
      </c>
      <c r="BN133" s="37">
        <f t="shared" si="20"/>
        <v>0.8</v>
      </c>
      <c r="BO133" s="37">
        <f t="shared" si="20"/>
        <v>0.8</v>
      </c>
      <c r="BP133" s="37">
        <f t="shared" si="20"/>
        <v>0.8</v>
      </c>
      <c r="BQ133" s="37">
        <f t="shared" si="20"/>
        <v>0.8</v>
      </c>
      <c r="BR133" s="37">
        <f t="shared" si="20"/>
        <v>0.8</v>
      </c>
      <c r="BS133" s="37">
        <f t="shared" si="20"/>
        <v>0.8</v>
      </c>
    </row>
    <row r="134" spans="1:71" outlineLevel="1" x14ac:dyDescent="0.2">
      <c r="D134" t="s">
        <v>838</v>
      </c>
      <c r="J134" s="26" t="s">
        <v>653</v>
      </c>
      <c r="K134" s="7" t="s">
        <v>840</v>
      </c>
      <c r="L134" s="54">
        <f ca="1">Marine!CA_gross_sales_gas*CA_exportgas_perc</f>
        <v>0</v>
      </c>
      <c r="M134" s="54">
        <f ca="1">Marine!CA_gross_sales_gas*CA_exportgas_perc</f>
        <v>6.9031288237462504E-2</v>
      </c>
      <c r="N134" s="54">
        <f ca="1">Marine!CA_gross_sales_gas*CA_exportgas_perc</f>
        <v>0.34251158960000005</v>
      </c>
      <c r="O134" s="54">
        <f ca="1">Marine!CA_gross_sales_gas*CA_exportgas_perc</f>
        <v>0.52704000000000006</v>
      </c>
      <c r="P134" s="54">
        <f ca="1">Marine!CA_gross_sales_gas*CA_exportgas_perc</f>
        <v>0.47643823839999994</v>
      </c>
      <c r="Q134" s="54">
        <f ca="1">Marine!CA_gross_sales_gas*CA_exportgas_perc</f>
        <v>0.51240882080000005</v>
      </c>
      <c r="R134" s="54">
        <f ca="1">Marine!CA_gross_sales_gas*CA_exportgas_perc</f>
        <v>5.1240882080000004E-7</v>
      </c>
      <c r="S134" s="54">
        <f ca="1">Marine!CA_gross_sales_gas*CA_exportgas_perc</f>
        <v>0.64704000000000006</v>
      </c>
      <c r="T134" s="54">
        <f ca="1">Marine!CA_gross_sales_gas*CA_exportgas_perc</f>
        <v>0.6334370579915134</v>
      </c>
      <c r="U134" s="54">
        <f ca="1">Marine!CA_gross_sales_gas*CA_exportgas_perc</f>
        <v>0.62076379066478082</v>
      </c>
      <c r="V134" s="54">
        <f ca="1">Marine!CA_gross_sales_gas*CA_exportgas_perc</f>
        <v>0.6083168316831683</v>
      </c>
      <c r="W134" s="54">
        <f ca="1">Marine!CA_gross_sales_gas*CA_exportgas_perc</f>
        <v>0.59632248939179633</v>
      </c>
      <c r="X134" s="54">
        <f ca="1">Marine!CA_gross_sales_gas*CA_exportgas_perc</f>
        <v>0.58432814710042436</v>
      </c>
      <c r="Y134" s="54">
        <f ca="1">Marine!CA_gross_sales_gas*CA_exportgas_perc</f>
        <v>0</v>
      </c>
      <c r="Z134" s="54">
        <f ca="1">Marine!CA_gross_sales_gas*CA_exportgas_perc</f>
        <v>0</v>
      </c>
      <c r="AA134" s="54">
        <f ca="1">Marine!CA_gross_sales_gas*CA_exportgas_perc</f>
        <v>0</v>
      </c>
      <c r="AB134" s="54">
        <f ca="1">Marine!CA_gross_sales_gas*CA_exportgas_perc</f>
        <v>0</v>
      </c>
      <c r="AC134" s="54">
        <f ca="1">Marine!CA_gross_sales_gas*CA_exportgas_perc</f>
        <v>0</v>
      </c>
      <c r="AD134" s="54">
        <f ca="1">Marine!CA_gross_sales_gas*CA_exportgas_perc</f>
        <v>0</v>
      </c>
      <c r="AE134" s="54">
        <f ca="1">Marine!CA_gross_sales_gas*CA_exportgas_perc</f>
        <v>0</v>
      </c>
      <c r="AF134" s="54">
        <f ca="1">Marine!CA_gross_sales_gas*CA_exportgas_perc</f>
        <v>0</v>
      </c>
      <c r="AG134" s="54">
        <f ca="1">Marine!CA_gross_sales_gas*CA_exportgas_perc</f>
        <v>0</v>
      </c>
      <c r="AH134" s="54">
        <f ca="1">Marine!CA_gross_sales_gas*CA_exportgas_perc</f>
        <v>0</v>
      </c>
      <c r="AI134" s="54">
        <f ca="1">Marine!CA_gross_sales_gas*CA_exportgas_perc</f>
        <v>0</v>
      </c>
      <c r="AJ134" s="54">
        <f ca="1">Marine!CA_gross_sales_gas*CA_exportgas_perc</f>
        <v>0</v>
      </c>
      <c r="AK134" s="54">
        <f ca="1">Marine!CA_gross_sales_gas*CA_exportgas_perc</f>
        <v>0</v>
      </c>
      <c r="AL134" s="54">
        <f ca="1">Marine!CA_gross_sales_gas*CA_exportgas_perc</f>
        <v>0</v>
      </c>
      <c r="AM134" s="54">
        <f ca="1">Marine!CA_gross_sales_gas*CA_exportgas_perc</f>
        <v>0</v>
      </c>
      <c r="AN134" s="54">
        <f ca="1">Marine!CA_gross_sales_gas*CA_exportgas_perc</f>
        <v>0</v>
      </c>
      <c r="AO134" s="54">
        <f ca="1">Marine!CA_gross_sales_gas*CA_exportgas_perc</f>
        <v>0</v>
      </c>
      <c r="AP134" s="54">
        <f ca="1">Marine!CA_gross_sales_gas*CA_exportgas_perc</f>
        <v>0</v>
      </c>
      <c r="AQ134" s="54">
        <f ca="1">Marine!CA_gross_sales_gas*CA_exportgas_perc</f>
        <v>0</v>
      </c>
      <c r="AR134" s="54">
        <f ca="1">Marine!CA_gross_sales_gas*CA_exportgas_perc</f>
        <v>0</v>
      </c>
      <c r="AS134" s="54">
        <f ca="1">Marine!CA_gross_sales_gas*CA_exportgas_perc</f>
        <v>0</v>
      </c>
      <c r="AT134" s="54">
        <f ca="1">Marine!CA_gross_sales_gas*CA_exportgas_perc</f>
        <v>0</v>
      </c>
      <c r="AU134" s="54">
        <f ca="1">Marine!CA_gross_sales_gas*CA_exportgas_perc</f>
        <v>0</v>
      </c>
      <c r="AV134" s="54">
        <f ca="1">Marine!CA_gross_sales_gas*CA_exportgas_perc</f>
        <v>0</v>
      </c>
      <c r="AW134" s="54">
        <f ca="1">Marine!CA_gross_sales_gas*CA_exportgas_perc</f>
        <v>0</v>
      </c>
      <c r="AX134" s="54">
        <f ca="1">Marine!CA_gross_sales_gas*CA_exportgas_perc</f>
        <v>0</v>
      </c>
      <c r="AY134" s="54">
        <f ca="1">Marine!CA_gross_sales_gas*CA_exportgas_perc</f>
        <v>0</v>
      </c>
      <c r="AZ134" s="54">
        <f ca="1">Marine!CA_gross_sales_gas*CA_exportgas_perc</f>
        <v>0</v>
      </c>
      <c r="BA134" s="54">
        <f ca="1">Marine!CA_gross_sales_gas*CA_exportgas_perc</f>
        <v>0</v>
      </c>
      <c r="BB134" s="54">
        <f ca="1">Marine!CA_gross_sales_gas*CA_exportgas_perc</f>
        <v>0</v>
      </c>
      <c r="BC134" s="54">
        <f ca="1">Marine!CA_gross_sales_gas*CA_exportgas_perc</f>
        <v>0</v>
      </c>
      <c r="BD134" s="54">
        <f ca="1">Marine!CA_gross_sales_gas*CA_exportgas_perc</f>
        <v>0</v>
      </c>
      <c r="BE134" s="54">
        <f ca="1">Marine!CA_gross_sales_gas*CA_exportgas_perc</f>
        <v>0</v>
      </c>
      <c r="BF134" s="54">
        <f ca="1">Marine!CA_gross_sales_gas*CA_exportgas_perc</f>
        <v>0</v>
      </c>
      <c r="BG134" s="54">
        <f ca="1">Marine!CA_gross_sales_gas*CA_exportgas_perc</f>
        <v>0</v>
      </c>
      <c r="BH134" s="54">
        <f ca="1">Marine!CA_gross_sales_gas*CA_exportgas_perc</f>
        <v>0</v>
      </c>
      <c r="BI134" s="54">
        <f ca="1">Marine!CA_gross_sales_gas*CA_exportgas_perc</f>
        <v>0</v>
      </c>
      <c r="BJ134" s="54">
        <f ca="1">Marine!CA_gross_sales_gas*CA_exportgas_perc</f>
        <v>0</v>
      </c>
      <c r="BK134" s="54">
        <f ca="1">Marine!CA_gross_sales_gas*CA_exportgas_perc</f>
        <v>0</v>
      </c>
      <c r="BL134" s="54">
        <f ca="1">Marine!CA_gross_sales_gas*CA_exportgas_perc</f>
        <v>0</v>
      </c>
      <c r="BM134" s="54">
        <f ca="1">Marine!CA_gross_sales_gas*CA_exportgas_perc</f>
        <v>0</v>
      </c>
      <c r="BN134" s="54">
        <f ca="1">Marine!CA_gross_sales_gas*CA_exportgas_perc</f>
        <v>0</v>
      </c>
      <c r="BO134" s="54">
        <f ca="1">Marine!CA_gross_sales_gas*CA_exportgas_perc</f>
        <v>0</v>
      </c>
      <c r="BP134" s="54">
        <f ca="1">Marine!CA_gross_sales_gas*CA_exportgas_perc</f>
        <v>0</v>
      </c>
      <c r="BQ134" s="54">
        <f ca="1">Marine!CA_gross_sales_gas*CA_exportgas_perc</f>
        <v>0</v>
      </c>
      <c r="BR134" s="54">
        <f ca="1">Marine!CA_gross_sales_gas*CA_exportgas_perc</f>
        <v>0</v>
      </c>
      <c r="BS134" s="54">
        <f ca="1">Marine!CA_gross_sales_gas*CA_exportgas_perc</f>
        <v>0</v>
      </c>
    </row>
    <row r="135" spans="1:71" outlineLevel="1" x14ac:dyDescent="0.2">
      <c r="D135" t="s">
        <v>839</v>
      </c>
      <c r="J135" s="26" t="s">
        <v>653</v>
      </c>
      <c r="K135" s="7" t="s">
        <v>841</v>
      </c>
      <c r="L135" s="54">
        <f ca="1">Marine!CA_gross_sales_gas-CA_export_sales_gas</f>
        <v>0</v>
      </c>
      <c r="M135" s="54">
        <f ca="1">Marine!CA_gross_sales_gas-CA_export_sales_gas</f>
        <v>1.7257822059365616E-2</v>
      </c>
      <c r="N135" s="54">
        <f ca="1">Marine!CA_gross_sales_gas-CA_export_sales_gas</f>
        <v>8.5627897399999986E-2</v>
      </c>
      <c r="O135" s="54">
        <f ca="1">Marine!CA_gross_sales_gas-CA_export_sales_gas</f>
        <v>0.13175999999999999</v>
      </c>
      <c r="P135" s="54">
        <f ca="1">Marine!CA_gross_sales_gas-CA_export_sales_gas</f>
        <v>0.11910955959999997</v>
      </c>
      <c r="Q135" s="54">
        <f ca="1">Marine!CA_gross_sales_gas-CA_export_sales_gas</f>
        <v>0.12810220519999993</v>
      </c>
      <c r="R135" s="54">
        <f ca="1">Marine!CA_gross_sales_gas-CA_export_sales_gas</f>
        <v>1.2810220519999998E-7</v>
      </c>
      <c r="S135" s="54">
        <f ca="1">Marine!CA_gross_sales_gas-CA_export_sales_gas</f>
        <v>0.1617599999999999</v>
      </c>
      <c r="T135" s="54">
        <f ca="1">Marine!CA_gross_sales_gas-CA_export_sales_gas</f>
        <v>0.15835926449787829</v>
      </c>
      <c r="U135" s="54">
        <f ca="1">Marine!CA_gross_sales_gas-CA_export_sales_gas</f>
        <v>0.15519094766619512</v>
      </c>
      <c r="V135" s="54">
        <f ca="1">Marine!CA_gross_sales_gas-CA_export_sales_gas</f>
        <v>0.15207920792079199</v>
      </c>
      <c r="W135" s="54">
        <f ca="1">Marine!CA_gross_sales_gas-CA_export_sales_gas</f>
        <v>0.14908062234794905</v>
      </c>
      <c r="X135" s="54">
        <f ca="1">Marine!CA_gross_sales_gas-CA_export_sales_gas</f>
        <v>0.14608203677510601</v>
      </c>
      <c r="Y135" s="54">
        <f ca="1">Marine!CA_gross_sales_gas-CA_export_sales_gas</f>
        <v>0</v>
      </c>
      <c r="Z135" s="54">
        <f ca="1">Marine!CA_gross_sales_gas-CA_export_sales_gas</f>
        <v>0</v>
      </c>
      <c r="AA135" s="54">
        <f ca="1">Marine!CA_gross_sales_gas-CA_export_sales_gas</f>
        <v>0</v>
      </c>
      <c r="AB135" s="54">
        <f ca="1">Marine!CA_gross_sales_gas-CA_export_sales_gas</f>
        <v>0</v>
      </c>
      <c r="AC135" s="54">
        <f ca="1">Marine!CA_gross_sales_gas-CA_export_sales_gas</f>
        <v>0</v>
      </c>
      <c r="AD135" s="54">
        <f ca="1">Marine!CA_gross_sales_gas-CA_export_sales_gas</f>
        <v>0</v>
      </c>
      <c r="AE135" s="54">
        <f ca="1">Marine!CA_gross_sales_gas-CA_export_sales_gas</f>
        <v>0</v>
      </c>
      <c r="AF135" s="54">
        <f ca="1">Marine!CA_gross_sales_gas-CA_export_sales_gas</f>
        <v>0</v>
      </c>
      <c r="AG135" s="54">
        <f ca="1">Marine!CA_gross_sales_gas-CA_export_sales_gas</f>
        <v>0</v>
      </c>
      <c r="AH135" s="54">
        <f ca="1">Marine!CA_gross_sales_gas-CA_export_sales_gas</f>
        <v>0</v>
      </c>
      <c r="AI135" s="54">
        <f ca="1">Marine!CA_gross_sales_gas-CA_export_sales_gas</f>
        <v>0</v>
      </c>
      <c r="AJ135" s="54">
        <f ca="1">Marine!CA_gross_sales_gas-CA_export_sales_gas</f>
        <v>0</v>
      </c>
      <c r="AK135" s="54">
        <f ca="1">Marine!CA_gross_sales_gas-CA_export_sales_gas</f>
        <v>0</v>
      </c>
      <c r="AL135" s="54">
        <f ca="1">Marine!CA_gross_sales_gas-CA_export_sales_gas</f>
        <v>0</v>
      </c>
      <c r="AM135" s="54">
        <f ca="1">Marine!CA_gross_sales_gas-CA_export_sales_gas</f>
        <v>0</v>
      </c>
      <c r="AN135" s="54">
        <f ca="1">Marine!CA_gross_sales_gas-CA_export_sales_gas</f>
        <v>0</v>
      </c>
      <c r="AO135" s="54">
        <f ca="1">Marine!CA_gross_sales_gas-CA_export_sales_gas</f>
        <v>0</v>
      </c>
      <c r="AP135" s="54">
        <f ca="1">Marine!CA_gross_sales_gas-CA_export_sales_gas</f>
        <v>0</v>
      </c>
      <c r="AQ135" s="54">
        <f ca="1">Marine!CA_gross_sales_gas-CA_export_sales_gas</f>
        <v>0</v>
      </c>
      <c r="AR135" s="54">
        <f ca="1">Marine!CA_gross_sales_gas-CA_export_sales_gas</f>
        <v>0</v>
      </c>
      <c r="AS135" s="54">
        <f ca="1">Marine!CA_gross_sales_gas-CA_export_sales_gas</f>
        <v>0</v>
      </c>
      <c r="AT135" s="54">
        <f ca="1">Marine!CA_gross_sales_gas-CA_export_sales_gas</f>
        <v>0</v>
      </c>
      <c r="AU135" s="54">
        <f ca="1">Marine!CA_gross_sales_gas-CA_export_sales_gas</f>
        <v>0</v>
      </c>
      <c r="AV135" s="54">
        <f ca="1">Marine!CA_gross_sales_gas-CA_export_sales_gas</f>
        <v>0</v>
      </c>
      <c r="AW135" s="54">
        <f ca="1">Marine!CA_gross_sales_gas-CA_export_sales_gas</f>
        <v>0</v>
      </c>
      <c r="AX135" s="54">
        <f ca="1">Marine!CA_gross_sales_gas-CA_export_sales_gas</f>
        <v>0</v>
      </c>
      <c r="AY135" s="54">
        <f ca="1">Marine!CA_gross_sales_gas-CA_export_sales_gas</f>
        <v>0</v>
      </c>
      <c r="AZ135" s="54">
        <f ca="1">Marine!CA_gross_sales_gas-CA_export_sales_gas</f>
        <v>0</v>
      </c>
      <c r="BA135" s="54">
        <f ca="1">Marine!CA_gross_sales_gas-CA_export_sales_gas</f>
        <v>0</v>
      </c>
      <c r="BB135" s="54">
        <f ca="1">Marine!CA_gross_sales_gas-CA_export_sales_gas</f>
        <v>0</v>
      </c>
      <c r="BC135" s="54">
        <f ca="1">Marine!CA_gross_sales_gas-CA_export_sales_gas</f>
        <v>0</v>
      </c>
      <c r="BD135" s="54">
        <f ca="1">Marine!CA_gross_sales_gas-CA_export_sales_gas</f>
        <v>0</v>
      </c>
      <c r="BE135" s="54">
        <f ca="1">Marine!CA_gross_sales_gas-CA_export_sales_gas</f>
        <v>0</v>
      </c>
      <c r="BF135" s="54">
        <f ca="1">Marine!CA_gross_sales_gas-CA_export_sales_gas</f>
        <v>0</v>
      </c>
      <c r="BG135" s="54">
        <f ca="1">Marine!CA_gross_sales_gas-CA_export_sales_gas</f>
        <v>0</v>
      </c>
      <c r="BH135" s="54">
        <f ca="1">Marine!CA_gross_sales_gas-CA_export_sales_gas</f>
        <v>0</v>
      </c>
      <c r="BI135" s="54">
        <f ca="1">Marine!CA_gross_sales_gas-CA_export_sales_gas</f>
        <v>0</v>
      </c>
      <c r="BJ135" s="54">
        <f ca="1">Marine!CA_gross_sales_gas-CA_export_sales_gas</f>
        <v>0</v>
      </c>
      <c r="BK135" s="54">
        <f ca="1">Marine!CA_gross_sales_gas-CA_export_sales_gas</f>
        <v>0</v>
      </c>
      <c r="BL135" s="54">
        <f ca="1">Marine!CA_gross_sales_gas-CA_export_sales_gas</f>
        <v>0</v>
      </c>
      <c r="BM135" s="54">
        <f ca="1">Marine!CA_gross_sales_gas-CA_export_sales_gas</f>
        <v>0</v>
      </c>
      <c r="BN135" s="54">
        <f ca="1">Marine!CA_gross_sales_gas-CA_export_sales_gas</f>
        <v>0</v>
      </c>
      <c r="BO135" s="54">
        <f ca="1">Marine!CA_gross_sales_gas-CA_export_sales_gas</f>
        <v>0</v>
      </c>
      <c r="BP135" s="54">
        <f ca="1">Marine!CA_gross_sales_gas-CA_export_sales_gas</f>
        <v>0</v>
      </c>
      <c r="BQ135" s="54">
        <f ca="1">Marine!CA_gross_sales_gas-CA_export_sales_gas</f>
        <v>0</v>
      </c>
      <c r="BR135" s="54">
        <f ca="1">Marine!CA_gross_sales_gas-CA_export_sales_gas</f>
        <v>0</v>
      </c>
      <c r="BS135" s="54">
        <f ca="1">Marine!CA_gross_sales_gas-CA_export_sales_gas</f>
        <v>0</v>
      </c>
    </row>
    <row r="136" spans="1:71" outlineLevel="1" x14ac:dyDescent="0.2">
      <c r="J136" s="26"/>
      <c r="L136" s="55"/>
      <c r="M136" s="55"/>
      <c r="N136" s="55"/>
      <c r="O136" s="55"/>
      <c r="P136" s="55"/>
      <c r="Q136" s="55"/>
      <c r="R136" s="55"/>
      <c r="S136" s="55"/>
      <c r="T136" s="55"/>
      <c r="U136" s="55"/>
      <c r="V136" s="55"/>
      <c r="W136" s="55"/>
      <c r="X136" s="55"/>
      <c r="Y136" s="55"/>
      <c r="Z136" s="55"/>
      <c r="AA136" s="55"/>
      <c r="AB136" s="55"/>
      <c r="AC136" s="55"/>
      <c r="AD136" s="55"/>
      <c r="AE136" s="55"/>
      <c r="AF136" s="55"/>
      <c r="AG136" s="55"/>
      <c r="AH136" s="55"/>
      <c r="AI136" s="55"/>
      <c r="AJ136" s="55"/>
      <c r="AK136" s="55"/>
      <c r="AL136" s="55"/>
      <c r="AM136" s="55"/>
      <c r="AN136" s="55"/>
      <c r="AO136" s="55"/>
      <c r="AP136" s="55"/>
      <c r="AQ136" s="55"/>
      <c r="AR136" s="55"/>
      <c r="AS136" s="55"/>
      <c r="AT136" s="55"/>
      <c r="AU136" s="55"/>
      <c r="AV136" s="55"/>
      <c r="AW136" s="55"/>
      <c r="AX136" s="55"/>
      <c r="AY136" s="55"/>
      <c r="AZ136" s="55"/>
      <c r="BA136" s="55"/>
      <c r="BB136" s="55"/>
      <c r="BC136" s="55"/>
      <c r="BD136" s="55"/>
      <c r="BE136" s="55"/>
      <c r="BF136" s="55"/>
      <c r="BG136" s="55"/>
      <c r="BH136" s="55"/>
      <c r="BI136" s="55"/>
      <c r="BJ136" s="55"/>
      <c r="BK136" s="55"/>
      <c r="BL136" s="55"/>
      <c r="BM136" s="55"/>
      <c r="BN136" s="55"/>
      <c r="BO136" s="55"/>
      <c r="BP136" s="55"/>
      <c r="BQ136" s="55"/>
      <c r="BR136" s="55"/>
      <c r="BS136" s="55"/>
    </row>
    <row r="137" spans="1:71" outlineLevel="1" x14ac:dyDescent="0.2">
      <c r="J137" s="26"/>
      <c r="L137" s="55"/>
      <c r="M137" s="55"/>
      <c r="N137" s="55"/>
      <c r="O137" s="55"/>
      <c r="P137" s="55"/>
      <c r="Q137" s="55"/>
      <c r="R137" s="55"/>
      <c r="S137" s="55"/>
      <c r="T137" s="55"/>
      <c r="U137" s="55"/>
      <c r="V137" s="55"/>
      <c r="W137" s="55"/>
      <c r="X137" s="55"/>
      <c r="Y137" s="55"/>
      <c r="Z137" s="55"/>
      <c r="AA137" s="55"/>
      <c r="AB137" s="55"/>
      <c r="AC137" s="55"/>
      <c r="AD137" s="55"/>
      <c r="AE137" s="55"/>
      <c r="AF137" s="55"/>
      <c r="AG137" s="55"/>
      <c r="AH137" s="55"/>
      <c r="AI137" s="55"/>
      <c r="AJ137" s="55"/>
      <c r="AK137" s="55"/>
      <c r="AL137" s="55"/>
      <c r="AM137" s="55"/>
      <c r="AN137" s="55"/>
      <c r="AO137" s="55"/>
      <c r="AP137" s="55"/>
      <c r="AQ137" s="55"/>
      <c r="AR137" s="55"/>
      <c r="AS137" s="55"/>
      <c r="AT137" s="55"/>
      <c r="AU137" s="55"/>
      <c r="AV137" s="55"/>
      <c r="AW137" s="55"/>
      <c r="AX137" s="55"/>
      <c r="AY137" s="55"/>
      <c r="AZ137" s="55"/>
      <c r="BA137" s="55"/>
      <c r="BB137" s="55"/>
      <c r="BC137" s="55"/>
      <c r="BD137" s="55"/>
      <c r="BE137" s="55"/>
      <c r="BF137" s="55"/>
      <c r="BG137" s="55"/>
      <c r="BH137" s="55"/>
      <c r="BI137" s="55"/>
      <c r="BJ137" s="55"/>
      <c r="BK137" s="55"/>
      <c r="BL137" s="55"/>
      <c r="BM137" s="55"/>
      <c r="BN137" s="55"/>
      <c r="BO137" s="55"/>
      <c r="BP137" s="55"/>
      <c r="BQ137" s="55"/>
      <c r="BR137" s="55"/>
      <c r="BS137" s="55"/>
    </row>
    <row r="138" spans="1:71" outlineLevel="1" x14ac:dyDescent="0.2">
      <c r="A138" s="45"/>
      <c r="B138" s="38" t="s">
        <v>51</v>
      </c>
      <c r="C138" s="45"/>
      <c r="D138" s="45"/>
      <c r="E138" s="45"/>
      <c r="J138" s="26"/>
      <c r="L138" s="55"/>
      <c r="M138" s="55"/>
      <c r="N138" s="55"/>
      <c r="O138" s="55"/>
      <c r="P138" s="55"/>
      <c r="Q138" s="55"/>
      <c r="R138" s="55"/>
      <c r="S138" s="55"/>
      <c r="T138" s="55"/>
      <c r="U138" s="55"/>
      <c r="V138" s="55"/>
      <c r="W138" s="55"/>
      <c r="X138" s="55"/>
      <c r="Y138" s="55"/>
      <c r="Z138" s="55"/>
      <c r="AA138" s="55"/>
      <c r="AB138" s="55"/>
      <c r="AC138" s="55"/>
      <c r="AD138" s="55"/>
      <c r="AE138" s="55"/>
      <c r="AF138" s="55"/>
      <c r="AG138" s="55"/>
      <c r="AH138" s="55"/>
      <c r="AI138" s="55"/>
      <c r="AJ138" s="55"/>
      <c r="AK138" s="55"/>
      <c r="AL138" s="55"/>
      <c r="AM138" s="55"/>
      <c r="AN138" s="55"/>
      <c r="AO138" s="55"/>
      <c r="AP138" s="55"/>
      <c r="AQ138" s="55"/>
      <c r="AR138" s="55"/>
      <c r="AS138" s="55"/>
      <c r="AT138" s="55"/>
      <c r="AU138" s="55"/>
      <c r="AV138" s="55"/>
      <c r="AW138" s="55"/>
      <c r="AX138" s="55"/>
      <c r="AY138" s="55"/>
      <c r="AZ138" s="55"/>
      <c r="BA138" s="55"/>
      <c r="BB138" s="55"/>
      <c r="BC138" s="55"/>
      <c r="BD138" s="55"/>
      <c r="BE138" s="55"/>
      <c r="BF138" s="55"/>
      <c r="BG138" s="55"/>
      <c r="BH138" s="55"/>
      <c r="BI138" s="55"/>
      <c r="BJ138" s="55"/>
      <c r="BK138" s="55"/>
      <c r="BL138" s="55"/>
      <c r="BM138" s="55"/>
      <c r="BN138" s="55"/>
      <c r="BO138" s="55"/>
      <c r="BP138" s="55"/>
      <c r="BQ138" s="55"/>
      <c r="BR138" s="55"/>
      <c r="BS138" s="55"/>
    </row>
    <row r="139" spans="1:71" outlineLevel="1" x14ac:dyDescent="0.2">
      <c r="J139" s="26"/>
      <c r="L139" s="55"/>
      <c r="M139" s="55"/>
      <c r="N139" s="55"/>
      <c r="O139" s="55"/>
      <c r="P139" s="55"/>
      <c r="Q139" s="55"/>
      <c r="R139" s="55"/>
      <c r="S139" s="55"/>
      <c r="T139" s="55"/>
      <c r="U139" s="55"/>
      <c r="V139" s="55"/>
      <c r="W139" s="55"/>
      <c r="X139" s="55"/>
      <c r="Y139" s="55"/>
      <c r="Z139" s="55"/>
      <c r="AA139" s="55"/>
      <c r="AB139" s="55"/>
      <c r="AC139" s="55"/>
      <c r="AD139" s="55"/>
      <c r="AE139" s="55"/>
      <c r="AF139" s="55"/>
      <c r="AG139" s="55"/>
      <c r="AH139" s="55"/>
      <c r="AI139" s="55"/>
      <c r="AJ139" s="55"/>
      <c r="AK139" s="55"/>
      <c r="AL139" s="55"/>
      <c r="AM139" s="55"/>
      <c r="AN139" s="55"/>
      <c r="AO139" s="55"/>
      <c r="AP139" s="55"/>
      <c r="AQ139" s="55"/>
      <c r="AR139" s="55"/>
      <c r="AS139" s="55"/>
      <c r="AT139" s="55"/>
      <c r="AU139" s="55"/>
      <c r="AV139" s="55"/>
      <c r="AW139" s="55"/>
      <c r="AX139" s="55"/>
      <c r="AY139" s="55"/>
      <c r="AZ139" s="55"/>
      <c r="BA139" s="55"/>
      <c r="BB139" s="55"/>
      <c r="BC139" s="55"/>
      <c r="BD139" s="55"/>
      <c r="BE139" s="55"/>
      <c r="BF139" s="55"/>
      <c r="BG139" s="55"/>
      <c r="BH139" s="55"/>
      <c r="BI139" s="55"/>
      <c r="BJ139" s="55"/>
      <c r="BK139" s="55"/>
      <c r="BL139" s="55"/>
      <c r="BM139" s="55"/>
      <c r="BN139" s="55"/>
      <c r="BO139" s="55"/>
      <c r="BP139" s="55"/>
      <c r="BQ139" s="55"/>
      <c r="BR139" s="55"/>
      <c r="BS139" s="55"/>
    </row>
    <row r="140" spans="1:71" outlineLevel="1" x14ac:dyDescent="0.2">
      <c r="C140" s="11" t="s">
        <v>138</v>
      </c>
      <c r="J140" s="26"/>
      <c r="L140" s="55"/>
      <c r="M140" s="55"/>
      <c r="N140" s="55"/>
      <c r="O140" s="55"/>
      <c r="P140" s="55"/>
      <c r="Q140" s="55"/>
      <c r="R140" s="55"/>
      <c r="S140" s="55"/>
      <c r="T140" s="55"/>
      <c r="U140" s="55"/>
      <c r="V140" s="55"/>
      <c r="W140" s="55"/>
      <c r="X140" s="55"/>
      <c r="Y140" s="55"/>
      <c r="Z140" s="55"/>
      <c r="AA140" s="55"/>
      <c r="AB140" s="55"/>
      <c r="AC140" s="55"/>
      <c r="AD140" s="55"/>
      <c r="AE140" s="55"/>
      <c r="AF140" s="55"/>
      <c r="AG140" s="55"/>
      <c r="AH140" s="55"/>
      <c r="AI140" s="55"/>
      <c r="AJ140" s="55"/>
      <c r="AK140" s="55"/>
      <c r="AL140" s="55"/>
      <c r="AM140" s="55"/>
      <c r="AN140" s="55"/>
      <c r="AO140" s="55"/>
      <c r="AP140" s="55"/>
      <c r="AQ140" s="55"/>
      <c r="AR140" s="55"/>
      <c r="AS140" s="55"/>
      <c r="AT140" s="55"/>
      <c r="AU140" s="55"/>
      <c r="AV140" s="55"/>
      <c r="AW140" s="55"/>
      <c r="AX140" s="55"/>
      <c r="AY140" s="55"/>
      <c r="AZ140" s="55"/>
      <c r="BA140" s="55"/>
      <c r="BB140" s="55"/>
      <c r="BC140" s="55"/>
      <c r="BD140" s="55"/>
      <c r="BE140" s="55"/>
      <c r="BF140" s="55"/>
      <c r="BG140" s="55"/>
      <c r="BH140" s="55"/>
      <c r="BI140" s="55"/>
      <c r="BJ140" s="55"/>
      <c r="BK140" s="55"/>
      <c r="BL140" s="55"/>
      <c r="BM140" s="55"/>
      <c r="BN140" s="55"/>
      <c r="BO140" s="55"/>
      <c r="BP140" s="55"/>
      <c r="BQ140" s="55"/>
      <c r="BR140" s="55"/>
      <c r="BS140" s="55"/>
    </row>
    <row r="141" spans="1:71" outlineLevel="1" x14ac:dyDescent="0.2">
      <c r="D141" t="s">
        <v>139</v>
      </c>
      <c r="J141" s="26" t="s">
        <v>46</v>
      </c>
      <c r="K141" s="7" t="s">
        <v>141</v>
      </c>
      <c r="L141" s="49">
        <f t="shared" ref="L141:AQ141" ca="1" si="21">OFFSET(_xlfn.SINGLE(IA_oilprice_nominal),6,)</f>
        <v>0</v>
      </c>
      <c r="M141" s="49">
        <f t="shared" ca="1" si="21"/>
        <v>97.113585750154002</v>
      </c>
      <c r="N141" s="49">
        <f t="shared" ca="1" si="21"/>
        <v>50.419480057823343</v>
      </c>
      <c r="O141" s="49">
        <f t="shared" ca="1" si="21"/>
        <v>43.820750000000004</v>
      </c>
      <c r="P141" s="49">
        <f t="shared" ca="1" si="21"/>
        <v>54.210749999999997</v>
      </c>
      <c r="Q141" s="49">
        <f t="shared" ca="1" si="21"/>
        <v>70.636833333333342</v>
      </c>
      <c r="R141" s="49">
        <f t="shared" ca="1" si="21"/>
        <v>64.037416666666672</v>
      </c>
      <c r="S141" s="49">
        <f t="shared" ca="1" si="21"/>
        <v>41.00483333333333</v>
      </c>
      <c r="T141" s="49">
        <f t="shared" ca="1" si="21"/>
        <v>66.5184</v>
      </c>
      <c r="U141" s="49">
        <f t="shared" ca="1" si="21"/>
        <v>71.400000000000006</v>
      </c>
      <c r="V141" s="49">
        <f t="shared" ca="1" si="21"/>
        <v>72.828000000000003</v>
      </c>
      <c r="W141" s="49">
        <f t="shared" ca="1" si="21"/>
        <v>74.284559999999999</v>
      </c>
      <c r="X141" s="49">
        <f t="shared" ca="1" si="21"/>
        <v>75.770251200000004</v>
      </c>
      <c r="Y141" s="49">
        <f t="shared" ca="1" si="21"/>
        <v>0</v>
      </c>
      <c r="Z141" s="49">
        <f t="shared" ca="1" si="21"/>
        <v>0</v>
      </c>
      <c r="AA141" s="49">
        <f t="shared" ca="1" si="21"/>
        <v>0</v>
      </c>
      <c r="AB141" s="49">
        <f t="shared" ca="1" si="21"/>
        <v>0</v>
      </c>
      <c r="AC141" s="49">
        <f t="shared" ca="1" si="21"/>
        <v>0</v>
      </c>
      <c r="AD141" s="49">
        <f t="shared" ca="1" si="21"/>
        <v>0</v>
      </c>
      <c r="AE141" s="49">
        <f t="shared" ca="1" si="21"/>
        <v>0</v>
      </c>
      <c r="AF141" s="49">
        <f t="shared" ca="1" si="21"/>
        <v>0</v>
      </c>
      <c r="AG141" s="49">
        <f t="shared" ca="1" si="21"/>
        <v>0</v>
      </c>
      <c r="AH141" s="49">
        <f t="shared" ca="1" si="21"/>
        <v>0</v>
      </c>
      <c r="AI141" s="49">
        <f t="shared" ca="1" si="21"/>
        <v>0</v>
      </c>
      <c r="AJ141" s="49">
        <f t="shared" ca="1" si="21"/>
        <v>0</v>
      </c>
      <c r="AK141" s="49">
        <f t="shared" ca="1" si="21"/>
        <v>0</v>
      </c>
      <c r="AL141" s="49">
        <f t="shared" ca="1" si="21"/>
        <v>0</v>
      </c>
      <c r="AM141" s="49">
        <f t="shared" ca="1" si="21"/>
        <v>0</v>
      </c>
      <c r="AN141" s="49">
        <f t="shared" ca="1" si="21"/>
        <v>0</v>
      </c>
      <c r="AO141" s="49">
        <f t="shared" ca="1" si="21"/>
        <v>0</v>
      </c>
      <c r="AP141" s="49">
        <f t="shared" ca="1" si="21"/>
        <v>0</v>
      </c>
      <c r="AQ141" s="49">
        <f t="shared" ca="1" si="21"/>
        <v>0</v>
      </c>
      <c r="AR141" s="49">
        <f t="shared" ref="AR141:BS141" ca="1" si="22">OFFSET(_xlfn.SINGLE(IA_oilprice_nominal),6,)</f>
        <v>0</v>
      </c>
      <c r="AS141" s="49">
        <f t="shared" ca="1" si="22"/>
        <v>0</v>
      </c>
      <c r="AT141" s="49">
        <f t="shared" ca="1" si="22"/>
        <v>0</v>
      </c>
      <c r="AU141" s="49">
        <f t="shared" ca="1" si="22"/>
        <v>0</v>
      </c>
      <c r="AV141" s="49">
        <f t="shared" ca="1" si="22"/>
        <v>0</v>
      </c>
      <c r="AW141" s="49">
        <f t="shared" ca="1" si="22"/>
        <v>0</v>
      </c>
      <c r="AX141" s="49">
        <f t="shared" ca="1" si="22"/>
        <v>0</v>
      </c>
      <c r="AY141" s="49">
        <f t="shared" ca="1" si="22"/>
        <v>0</v>
      </c>
      <c r="AZ141" s="49">
        <f t="shared" ca="1" si="22"/>
        <v>0</v>
      </c>
      <c r="BA141" s="49">
        <f t="shared" ca="1" si="22"/>
        <v>0</v>
      </c>
      <c r="BB141" s="49">
        <f t="shared" ca="1" si="22"/>
        <v>0</v>
      </c>
      <c r="BC141" s="49">
        <f t="shared" ca="1" si="22"/>
        <v>0</v>
      </c>
      <c r="BD141" s="49">
        <f t="shared" ca="1" si="22"/>
        <v>0</v>
      </c>
      <c r="BE141" s="49">
        <f t="shared" ca="1" si="22"/>
        <v>0</v>
      </c>
      <c r="BF141" s="49">
        <f t="shared" ca="1" si="22"/>
        <v>0</v>
      </c>
      <c r="BG141" s="49">
        <f t="shared" ca="1" si="22"/>
        <v>0</v>
      </c>
      <c r="BH141" s="49">
        <f t="shared" ca="1" si="22"/>
        <v>0</v>
      </c>
      <c r="BI141" s="49">
        <f t="shared" ca="1" si="22"/>
        <v>0</v>
      </c>
      <c r="BJ141" s="49">
        <f t="shared" ca="1" si="22"/>
        <v>0</v>
      </c>
      <c r="BK141" s="49">
        <f t="shared" ca="1" si="22"/>
        <v>0</v>
      </c>
      <c r="BL141" s="49">
        <f t="shared" ca="1" si="22"/>
        <v>0</v>
      </c>
      <c r="BM141" s="49">
        <f t="shared" ca="1" si="22"/>
        <v>0</v>
      </c>
      <c r="BN141" s="49">
        <f t="shared" ca="1" si="22"/>
        <v>0</v>
      </c>
      <c r="BO141" s="49">
        <f t="shared" ca="1" si="22"/>
        <v>0</v>
      </c>
      <c r="BP141" s="49">
        <f t="shared" ca="1" si="22"/>
        <v>0</v>
      </c>
      <c r="BQ141" s="49">
        <f t="shared" ca="1" si="22"/>
        <v>0</v>
      </c>
      <c r="BR141" s="49">
        <f t="shared" ca="1" si="22"/>
        <v>0</v>
      </c>
      <c r="BS141" s="49">
        <f t="shared" ca="1" si="22"/>
        <v>0</v>
      </c>
    </row>
    <row r="142" spans="1:71" outlineLevel="1" x14ac:dyDescent="0.2">
      <c r="J142" s="26"/>
      <c r="L142" s="55"/>
      <c r="M142" s="55"/>
      <c r="N142" s="55"/>
      <c r="O142" s="55"/>
      <c r="P142" s="55"/>
      <c r="Q142" s="55"/>
      <c r="R142" s="55"/>
      <c r="S142" s="55"/>
      <c r="T142" s="55"/>
      <c r="U142" s="55"/>
      <c r="V142" s="55"/>
      <c r="W142" s="55"/>
      <c r="X142" s="55"/>
      <c r="Y142" s="55"/>
      <c r="Z142" s="55"/>
      <c r="AA142" s="55"/>
      <c r="AB142" s="55"/>
      <c r="AC142" s="55"/>
      <c r="AD142" s="55"/>
      <c r="AE142" s="55"/>
      <c r="AF142" s="55"/>
      <c r="AG142" s="55"/>
      <c r="AH142" s="55"/>
      <c r="AI142" s="55"/>
      <c r="AJ142" s="55"/>
      <c r="AK142" s="55"/>
      <c r="AL142" s="55"/>
      <c r="AM142" s="55"/>
      <c r="AN142" s="55"/>
      <c r="AO142" s="55"/>
      <c r="AP142" s="55"/>
      <c r="AQ142" s="55"/>
      <c r="AR142" s="55"/>
      <c r="AS142" s="55"/>
      <c r="AT142" s="55"/>
      <c r="AU142" s="55"/>
      <c r="AV142" s="55"/>
      <c r="AW142" s="55"/>
      <c r="AX142" s="55"/>
      <c r="AY142" s="55"/>
      <c r="AZ142" s="55"/>
      <c r="BA142" s="55"/>
      <c r="BB142" s="55"/>
      <c r="BC142" s="55"/>
      <c r="BD142" s="55"/>
      <c r="BE142" s="55"/>
      <c r="BF142" s="55"/>
      <c r="BG142" s="55"/>
      <c r="BH142" s="55"/>
      <c r="BI142" s="55"/>
      <c r="BJ142" s="55"/>
      <c r="BK142" s="55"/>
      <c r="BL142" s="55"/>
      <c r="BM142" s="55"/>
      <c r="BN142" s="55"/>
      <c r="BO142" s="55"/>
      <c r="BP142" s="55"/>
      <c r="BQ142" s="55"/>
      <c r="BR142" s="55"/>
      <c r="BS142" s="55"/>
    </row>
    <row r="143" spans="1:71" outlineLevel="1" x14ac:dyDescent="0.2">
      <c r="D143" t="s">
        <v>688</v>
      </c>
      <c r="J143" s="26" t="s">
        <v>46</v>
      </c>
      <c r="K143" s="7" t="s">
        <v>689</v>
      </c>
      <c r="L143" s="49">
        <f t="shared" ref="L143:AQ143" ca="1" si="23">OFFSET(_xlfn.SINGLE(IA_lpgprice_nominal),6,)</f>
        <v>0</v>
      </c>
      <c r="M143" s="49">
        <f t="shared" ca="1" si="23"/>
        <v>0</v>
      </c>
      <c r="N143" s="49">
        <f t="shared" ca="1" si="23"/>
        <v>0</v>
      </c>
      <c r="O143" s="49">
        <f t="shared" ca="1" si="23"/>
        <v>0</v>
      </c>
      <c r="P143" s="49">
        <f t="shared" ca="1" si="23"/>
        <v>0</v>
      </c>
      <c r="Q143" s="49">
        <f t="shared" ca="1" si="23"/>
        <v>0</v>
      </c>
      <c r="R143" s="49">
        <f t="shared" ca="1" si="23"/>
        <v>0</v>
      </c>
      <c r="S143" s="49">
        <f t="shared" ca="1" si="23"/>
        <v>0</v>
      </c>
      <c r="T143" s="49">
        <f t="shared" ca="1" si="23"/>
        <v>0</v>
      </c>
      <c r="U143" s="49">
        <f t="shared" ca="1" si="23"/>
        <v>0</v>
      </c>
      <c r="V143" s="49">
        <f t="shared" ca="1" si="23"/>
        <v>0</v>
      </c>
      <c r="W143" s="49">
        <f t="shared" ca="1" si="23"/>
        <v>0</v>
      </c>
      <c r="X143" s="49">
        <f t="shared" ca="1" si="23"/>
        <v>0</v>
      </c>
      <c r="Y143" s="49">
        <f t="shared" ca="1" si="23"/>
        <v>0</v>
      </c>
      <c r="Z143" s="49">
        <f t="shared" ca="1" si="23"/>
        <v>0</v>
      </c>
      <c r="AA143" s="49">
        <f t="shared" ca="1" si="23"/>
        <v>0</v>
      </c>
      <c r="AB143" s="49">
        <f t="shared" ca="1" si="23"/>
        <v>0</v>
      </c>
      <c r="AC143" s="49">
        <f t="shared" ca="1" si="23"/>
        <v>0</v>
      </c>
      <c r="AD143" s="49">
        <f t="shared" ca="1" si="23"/>
        <v>0</v>
      </c>
      <c r="AE143" s="49">
        <f t="shared" ca="1" si="23"/>
        <v>0</v>
      </c>
      <c r="AF143" s="49">
        <f t="shared" ca="1" si="23"/>
        <v>0</v>
      </c>
      <c r="AG143" s="49">
        <f t="shared" ca="1" si="23"/>
        <v>0</v>
      </c>
      <c r="AH143" s="49">
        <f t="shared" ca="1" si="23"/>
        <v>0</v>
      </c>
      <c r="AI143" s="49">
        <f t="shared" ca="1" si="23"/>
        <v>0</v>
      </c>
      <c r="AJ143" s="49">
        <f t="shared" ca="1" si="23"/>
        <v>0</v>
      </c>
      <c r="AK143" s="49">
        <f t="shared" ca="1" si="23"/>
        <v>0</v>
      </c>
      <c r="AL143" s="49">
        <f t="shared" ca="1" si="23"/>
        <v>0</v>
      </c>
      <c r="AM143" s="49">
        <f t="shared" ca="1" si="23"/>
        <v>0</v>
      </c>
      <c r="AN143" s="49">
        <f t="shared" ca="1" si="23"/>
        <v>0</v>
      </c>
      <c r="AO143" s="49">
        <f t="shared" ca="1" si="23"/>
        <v>0</v>
      </c>
      <c r="AP143" s="49">
        <f t="shared" ca="1" si="23"/>
        <v>0</v>
      </c>
      <c r="AQ143" s="49">
        <f t="shared" ca="1" si="23"/>
        <v>0</v>
      </c>
      <c r="AR143" s="49">
        <f t="shared" ref="AR143:BS143" ca="1" si="24">OFFSET(_xlfn.SINGLE(IA_lpgprice_nominal),6,)</f>
        <v>0</v>
      </c>
      <c r="AS143" s="49">
        <f t="shared" ca="1" si="24"/>
        <v>0</v>
      </c>
      <c r="AT143" s="49">
        <f t="shared" ca="1" si="24"/>
        <v>0</v>
      </c>
      <c r="AU143" s="49">
        <f t="shared" ca="1" si="24"/>
        <v>0</v>
      </c>
      <c r="AV143" s="49">
        <f t="shared" ca="1" si="24"/>
        <v>0</v>
      </c>
      <c r="AW143" s="49">
        <f t="shared" ca="1" si="24"/>
        <v>0</v>
      </c>
      <c r="AX143" s="49">
        <f t="shared" ca="1" si="24"/>
        <v>0</v>
      </c>
      <c r="AY143" s="49">
        <f t="shared" ca="1" si="24"/>
        <v>0</v>
      </c>
      <c r="AZ143" s="49">
        <f t="shared" ca="1" si="24"/>
        <v>0</v>
      </c>
      <c r="BA143" s="49">
        <f t="shared" ca="1" si="24"/>
        <v>0</v>
      </c>
      <c r="BB143" s="49">
        <f t="shared" ca="1" si="24"/>
        <v>0</v>
      </c>
      <c r="BC143" s="49">
        <f t="shared" ca="1" si="24"/>
        <v>0</v>
      </c>
      <c r="BD143" s="49">
        <f t="shared" ca="1" si="24"/>
        <v>0</v>
      </c>
      <c r="BE143" s="49">
        <f t="shared" ca="1" si="24"/>
        <v>0</v>
      </c>
      <c r="BF143" s="49">
        <f t="shared" ca="1" si="24"/>
        <v>0</v>
      </c>
      <c r="BG143" s="49">
        <f t="shared" ca="1" si="24"/>
        <v>0</v>
      </c>
      <c r="BH143" s="49">
        <f t="shared" ca="1" si="24"/>
        <v>0</v>
      </c>
      <c r="BI143" s="49">
        <f t="shared" ca="1" si="24"/>
        <v>0</v>
      </c>
      <c r="BJ143" s="49">
        <f t="shared" ca="1" si="24"/>
        <v>0</v>
      </c>
      <c r="BK143" s="49">
        <f t="shared" ca="1" si="24"/>
        <v>0</v>
      </c>
      <c r="BL143" s="49">
        <f t="shared" ca="1" si="24"/>
        <v>0</v>
      </c>
      <c r="BM143" s="49">
        <f t="shared" ca="1" si="24"/>
        <v>0</v>
      </c>
      <c r="BN143" s="49">
        <f t="shared" ca="1" si="24"/>
        <v>0</v>
      </c>
      <c r="BO143" s="49">
        <f t="shared" ca="1" si="24"/>
        <v>0</v>
      </c>
      <c r="BP143" s="49">
        <f t="shared" ca="1" si="24"/>
        <v>0</v>
      </c>
      <c r="BQ143" s="49">
        <f t="shared" ca="1" si="24"/>
        <v>0</v>
      </c>
      <c r="BR143" s="49">
        <f t="shared" ca="1" si="24"/>
        <v>0</v>
      </c>
      <c r="BS143" s="49">
        <f t="shared" ca="1" si="24"/>
        <v>0</v>
      </c>
    </row>
    <row r="144" spans="1:71" outlineLevel="1" x14ac:dyDescent="0.2">
      <c r="J144" s="26"/>
      <c r="L144" s="55"/>
      <c r="M144" s="55"/>
      <c r="N144" s="55"/>
      <c r="O144" s="55"/>
      <c r="P144" s="55"/>
      <c r="Q144" s="55"/>
      <c r="R144" s="55"/>
      <c r="S144" s="55"/>
      <c r="T144" s="55"/>
      <c r="U144" s="55"/>
      <c r="V144" s="55"/>
      <c r="W144" s="55"/>
      <c r="X144" s="55"/>
      <c r="Y144" s="55"/>
      <c r="Z144" s="55"/>
      <c r="AA144" s="55"/>
      <c r="AB144" s="55"/>
      <c r="AC144" s="55"/>
      <c r="AD144" s="55"/>
      <c r="AE144" s="55"/>
      <c r="AF144" s="55"/>
      <c r="AG144" s="55"/>
      <c r="AH144" s="55"/>
      <c r="AI144" s="55"/>
      <c r="AJ144" s="55"/>
      <c r="AK144" s="55"/>
      <c r="AL144" s="55"/>
      <c r="AM144" s="55"/>
      <c r="AN144" s="55"/>
      <c r="AO144" s="55"/>
      <c r="AP144" s="55"/>
      <c r="AQ144" s="55"/>
      <c r="AR144" s="55"/>
      <c r="AS144" s="55"/>
      <c r="AT144" s="55"/>
      <c r="AU144" s="55"/>
      <c r="AV144" s="55"/>
      <c r="AW144" s="55"/>
      <c r="AX144" s="55"/>
      <c r="AY144" s="55"/>
      <c r="AZ144" s="55"/>
      <c r="BA144" s="55"/>
      <c r="BB144" s="55"/>
      <c r="BC144" s="55"/>
      <c r="BD144" s="55"/>
      <c r="BE144" s="55"/>
      <c r="BF144" s="55"/>
      <c r="BG144" s="55"/>
      <c r="BH144" s="55"/>
      <c r="BI144" s="55"/>
      <c r="BJ144" s="55"/>
      <c r="BK144" s="55"/>
      <c r="BL144" s="55"/>
      <c r="BM144" s="55"/>
      <c r="BN144" s="55"/>
      <c r="BO144" s="55"/>
      <c r="BP144" s="55"/>
      <c r="BQ144" s="55"/>
      <c r="BR144" s="55"/>
      <c r="BS144" s="55"/>
    </row>
    <row r="145" spans="1:71" outlineLevel="1" x14ac:dyDescent="0.2">
      <c r="D145" t="s">
        <v>842</v>
      </c>
      <c r="J145" s="26" t="s">
        <v>682</v>
      </c>
      <c r="K145" s="7" t="s">
        <v>142</v>
      </c>
      <c r="L145" s="49">
        <f t="shared" ref="L145:AQ145" ca="1" si="25">OFFSET(_xlfn.SINGLE(IA_gasprice_nominal),6,)</f>
        <v>0</v>
      </c>
      <c r="M145" s="49">
        <f t="shared" ca="1" si="25"/>
        <v>106.10636437157464</v>
      </c>
      <c r="N145" s="49">
        <f t="shared" ca="1" si="25"/>
        <v>108.22849165900614</v>
      </c>
      <c r="O145" s="49">
        <f t="shared" ca="1" si="25"/>
        <v>110.39306149218626</v>
      </c>
      <c r="P145" s="49">
        <f t="shared" ca="1" si="25"/>
        <v>112.60092272202999</v>
      </c>
      <c r="Q145" s="49">
        <f t="shared" ca="1" si="25"/>
        <v>114.85294117647059</v>
      </c>
      <c r="R145" s="49">
        <f t="shared" ca="1" si="25"/>
        <v>117.15</v>
      </c>
      <c r="S145" s="49">
        <f t="shared" ca="1" si="25"/>
        <v>119.5</v>
      </c>
      <c r="T145" s="49">
        <f t="shared" ca="1" si="25"/>
        <v>121.89</v>
      </c>
      <c r="U145" s="49">
        <f t="shared" ca="1" si="25"/>
        <v>124.32</v>
      </c>
      <c r="V145" s="49">
        <f t="shared" ca="1" si="25"/>
        <v>126.81</v>
      </c>
      <c r="W145" s="49">
        <f t="shared" ca="1" si="25"/>
        <v>129.35</v>
      </c>
      <c r="X145" s="49">
        <f t="shared" ca="1" si="25"/>
        <v>131.93</v>
      </c>
      <c r="Y145" s="49">
        <f t="shared" ca="1" si="25"/>
        <v>0</v>
      </c>
      <c r="Z145" s="49">
        <f t="shared" ca="1" si="25"/>
        <v>0</v>
      </c>
      <c r="AA145" s="49">
        <f t="shared" ca="1" si="25"/>
        <v>0</v>
      </c>
      <c r="AB145" s="49">
        <f t="shared" ca="1" si="25"/>
        <v>0</v>
      </c>
      <c r="AC145" s="49">
        <f t="shared" ca="1" si="25"/>
        <v>0</v>
      </c>
      <c r="AD145" s="49">
        <f t="shared" ca="1" si="25"/>
        <v>0</v>
      </c>
      <c r="AE145" s="49">
        <f t="shared" ca="1" si="25"/>
        <v>0</v>
      </c>
      <c r="AF145" s="49">
        <f t="shared" ca="1" si="25"/>
        <v>0</v>
      </c>
      <c r="AG145" s="49">
        <f t="shared" ca="1" si="25"/>
        <v>0</v>
      </c>
      <c r="AH145" s="49">
        <f t="shared" ca="1" si="25"/>
        <v>0</v>
      </c>
      <c r="AI145" s="49">
        <f t="shared" ca="1" si="25"/>
        <v>0</v>
      </c>
      <c r="AJ145" s="49">
        <f t="shared" ca="1" si="25"/>
        <v>0</v>
      </c>
      <c r="AK145" s="49">
        <f t="shared" ca="1" si="25"/>
        <v>0</v>
      </c>
      <c r="AL145" s="49">
        <f t="shared" ca="1" si="25"/>
        <v>0</v>
      </c>
      <c r="AM145" s="49">
        <f t="shared" ca="1" si="25"/>
        <v>0</v>
      </c>
      <c r="AN145" s="49">
        <f t="shared" ca="1" si="25"/>
        <v>0</v>
      </c>
      <c r="AO145" s="49">
        <f t="shared" ca="1" si="25"/>
        <v>0</v>
      </c>
      <c r="AP145" s="49">
        <f t="shared" ca="1" si="25"/>
        <v>0</v>
      </c>
      <c r="AQ145" s="49">
        <f t="shared" ca="1" si="25"/>
        <v>0</v>
      </c>
      <c r="AR145" s="49">
        <f t="shared" ref="AR145:BS145" ca="1" si="26">OFFSET(_xlfn.SINGLE(IA_gasprice_nominal),6,)</f>
        <v>0</v>
      </c>
      <c r="AS145" s="49">
        <f t="shared" ca="1" si="26"/>
        <v>0</v>
      </c>
      <c r="AT145" s="49">
        <f t="shared" ca="1" si="26"/>
        <v>0</v>
      </c>
      <c r="AU145" s="49">
        <f t="shared" ca="1" si="26"/>
        <v>0</v>
      </c>
      <c r="AV145" s="49">
        <f t="shared" ca="1" si="26"/>
        <v>0</v>
      </c>
      <c r="AW145" s="49">
        <f t="shared" ca="1" si="26"/>
        <v>0</v>
      </c>
      <c r="AX145" s="49">
        <f t="shared" ca="1" si="26"/>
        <v>0</v>
      </c>
      <c r="AY145" s="49">
        <f t="shared" ca="1" si="26"/>
        <v>0</v>
      </c>
      <c r="AZ145" s="49">
        <f t="shared" ca="1" si="26"/>
        <v>0</v>
      </c>
      <c r="BA145" s="49">
        <f t="shared" ca="1" si="26"/>
        <v>0</v>
      </c>
      <c r="BB145" s="49">
        <f t="shared" ca="1" si="26"/>
        <v>0</v>
      </c>
      <c r="BC145" s="49">
        <f t="shared" ca="1" si="26"/>
        <v>0</v>
      </c>
      <c r="BD145" s="49">
        <f t="shared" ca="1" si="26"/>
        <v>0</v>
      </c>
      <c r="BE145" s="49">
        <f t="shared" ca="1" si="26"/>
        <v>0</v>
      </c>
      <c r="BF145" s="49">
        <f t="shared" ca="1" si="26"/>
        <v>0</v>
      </c>
      <c r="BG145" s="49">
        <f t="shared" ca="1" si="26"/>
        <v>0</v>
      </c>
      <c r="BH145" s="49">
        <f t="shared" ca="1" si="26"/>
        <v>0</v>
      </c>
      <c r="BI145" s="49">
        <f t="shared" ca="1" si="26"/>
        <v>0</v>
      </c>
      <c r="BJ145" s="49">
        <f t="shared" ca="1" si="26"/>
        <v>0</v>
      </c>
      <c r="BK145" s="49">
        <f t="shared" ca="1" si="26"/>
        <v>0</v>
      </c>
      <c r="BL145" s="49">
        <f t="shared" ca="1" si="26"/>
        <v>0</v>
      </c>
      <c r="BM145" s="49">
        <f t="shared" ca="1" si="26"/>
        <v>0</v>
      </c>
      <c r="BN145" s="49">
        <f t="shared" ca="1" si="26"/>
        <v>0</v>
      </c>
      <c r="BO145" s="49">
        <f t="shared" ca="1" si="26"/>
        <v>0</v>
      </c>
      <c r="BP145" s="49">
        <f t="shared" ca="1" si="26"/>
        <v>0</v>
      </c>
      <c r="BQ145" s="49">
        <f t="shared" ca="1" si="26"/>
        <v>0</v>
      </c>
      <c r="BR145" s="49">
        <f t="shared" ca="1" si="26"/>
        <v>0</v>
      </c>
      <c r="BS145" s="49">
        <f t="shared" ca="1" si="26"/>
        <v>0</v>
      </c>
    </row>
    <row r="146" spans="1:71" outlineLevel="1" x14ac:dyDescent="0.2">
      <c r="J146" s="26"/>
      <c r="L146" s="55"/>
      <c r="M146" s="55"/>
      <c r="N146" s="55"/>
      <c r="O146" s="55"/>
      <c r="P146" s="55"/>
      <c r="Q146" s="55"/>
      <c r="R146" s="55"/>
      <c r="S146" s="55"/>
      <c r="T146" s="55"/>
      <c r="U146" s="55"/>
      <c r="V146" s="55"/>
      <c r="W146" s="55"/>
      <c r="X146" s="55"/>
      <c r="Y146" s="55"/>
      <c r="Z146" s="55"/>
      <c r="AA146" s="55"/>
      <c r="AB146" s="55"/>
      <c r="AC146" s="55"/>
      <c r="AD146" s="55"/>
      <c r="AE146" s="55"/>
      <c r="AF146" s="55"/>
      <c r="AG146" s="55"/>
      <c r="AH146" s="55"/>
      <c r="AI146" s="55"/>
      <c r="AJ146" s="55"/>
      <c r="AK146" s="55"/>
      <c r="AL146" s="55"/>
      <c r="AM146" s="55"/>
      <c r="AN146" s="55"/>
      <c r="AO146" s="55"/>
      <c r="AP146" s="55"/>
      <c r="AQ146" s="55"/>
      <c r="AR146" s="55"/>
      <c r="AS146" s="55"/>
      <c r="AT146" s="55"/>
      <c r="AU146" s="55"/>
      <c r="AV146" s="55"/>
      <c r="AW146" s="55"/>
      <c r="AX146" s="55"/>
      <c r="AY146" s="55"/>
      <c r="AZ146" s="55"/>
      <c r="BA146" s="55"/>
      <c r="BB146" s="55"/>
      <c r="BC146" s="55"/>
      <c r="BD146" s="55"/>
      <c r="BE146" s="55"/>
      <c r="BF146" s="55"/>
      <c r="BG146" s="55"/>
      <c r="BH146" s="55"/>
      <c r="BI146" s="55"/>
      <c r="BJ146" s="55"/>
      <c r="BK146" s="55"/>
      <c r="BL146" s="55"/>
      <c r="BM146" s="55"/>
      <c r="BN146" s="55"/>
      <c r="BO146" s="55"/>
      <c r="BP146" s="55"/>
      <c r="BQ146" s="55"/>
      <c r="BR146" s="55"/>
      <c r="BS146" s="55"/>
    </row>
    <row r="147" spans="1:71" outlineLevel="1" x14ac:dyDescent="0.2">
      <c r="D147" t="s">
        <v>843</v>
      </c>
      <c r="J147" s="26" t="s">
        <v>682</v>
      </c>
      <c r="K147" s="7" t="s">
        <v>844</v>
      </c>
      <c r="L147" s="49">
        <f t="shared" ref="L147:AQ147" ca="1" si="27">OFFSET(_xlfn.SINGLE(IA_gasprice_nominal),6,)</f>
        <v>0</v>
      </c>
      <c r="M147" s="49">
        <f t="shared" ca="1" si="27"/>
        <v>106.10636437157464</v>
      </c>
      <c r="N147" s="49">
        <f t="shared" ca="1" si="27"/>
        <v>108.22849165900614</v>
      </c>
      <c r="O147" s="49">
        <f t="shared" ca="1" si="27"/>
        <v>110.39306149218626</v>
      </c>
      <c r="P147" s="49">
        <f t="shared" ca="1" si="27"/>
        <v>112.60092272202999</v>
      </c>
      <c r="Q147" s="49">
        <f t="shared" ca="1" si="27"/>
        <v>114.85294117647059</v>
      </c>
      <c r="R147" s="49">
        <f t="shared" ca="1" si="27"/>
        <v>117.15</v>
      </c>
      <c r="S147" s="49">
        <f t="shared" ca="1" si="27"/>
        <v>119.5</v>
      </c>
      <c r="T147" s="49">
        <f t="shared" ca="1" si="27"/>
        <v>121.89</v>
      </c>
      <c r="U147" s="49">
        <f t="shared" ca="1" si="27"/>
        <v>124.32</v>
      </c>
      <c r="V147" s="49">
        <f t="shared" ca="1" si="27"/>
        <v>126.81</v>
      </c>
      <c r="W147" s="49">
        <f t="shared" ca="1" si="27"/>
        <v>129.35</v>
      </c>
      <c r="X147" s="49">
        <f t="shared" ca="1" si="27"/>
        <v>131.93</v>
      </c>
      <c r="Y147" s="49">
        <f t="shared" ca="1" si="27"/>
        <v>0</v>
      </c>
      <c r="Z147" s="49">
        <f t="shared" ca="1" si="27"/>
        <v>0</v>
      </c>
      <c r="AA147" s="49">
        <f t="shared" ca="1" si="27"/>
        <v>0</v>
      </c>
      <c r="AB147" s="49">
        <f t="shared" ca="1" si="27"/>
        <v>0</v>
      </c>
      <c r="AC147" s="49">
        <f t="shared" ca="1" si="27"/>
        <v>0</v>
      </c>
      <c r="AD147" s="49">
        <f t="shared" ca="1" si="27"/>
        <v>0</v>
      </c>
      <c r="AE147" s="49">
        <f t="shared" ca="1" si="27"/>
        <v>0</v>
      </c>
      <c r="AF147" s="49">
        <f t="shared" ca="1" si="27"/>
        <v>0</v>
      </c>
      <c r="AG147" s="49">
        <f t="shared" ca="1" si="27"/>
        <v>0</v>
      </c>
      <c r="AH147" s="49">
        <f t="shared" ca="1" si="27"/>
        <v>0</v>
      </c>
      <c r="AI147" s="49">
        <f t="shared" ca="1" si="27"/>
        <v>0</v>
      </c>
      <c r="AJ147" s="49">
        <f t="shared" ca="1" si="27"/>
        <v>0</v>
      </c>
      <c r="AK147" s="49">
        <f t="shared" ca="1" si="27"/>
        <v>0</v>
      </c>
      <c r="AL147" s="49">
        <f t="shared" ca="1" si="27"/>
        <v>0</v>
      </c>
      <c r="AM147" s="49">
        <f t="shared" ca="1" si="27"/>
        <v>0</v>
      </c>
      <c r="AN147" s="49">
        <f t="shared" ca="1" si="27"/>
        <v>0</v>
      </c>
      <c r="AO147" s="49">
        <f t="shared" ca="1" si="27"/>
        <v>0</v>
      </c>
      <c r="AP147" s="49">
        <f t="shared" ca="1" si="27"/>
        <v>0</v>
      </c>
      <c r="AQ147" s="49">
        <f t="shared" ca="1" si="27"/>
        <v>0</v>
      </c>
      <c r="AR147" s="49">
        <f t="shared" ref="AR147:BS147" ca="1" si="28">OFFSET(_xlfn.SINGLE(IA_gasprice_nominal),6,)</f>
        <v>0</v>
      </c>
      <c r="AS147" s="49">
        <f t="shared" ca="1" si="28"/>
        <v>0</v>
      </c>
      <c r="AT147" s="49">
        <f t="shared" ca="1" si="28"/>
        <v>0</v>
      </c>
      <c r="AU147" s="49">
        <f t="shared" ca="1" si="28"/>
        <v>0</v>
      </c>
      <c r="AV147" s="49">
        <f t="shared" ca="1" si="28"/>
        <v>0</v>
      </c>
      <c r="AW147" s="49">
        <f t="shared" ca="1" si="28"/>
        <v>0</v>
      </c>
      <c r="AX147" s="49">
        <f t="shared" ca="1" si="28"/>
        <v>0</v>
      </c>
      <c r="AY147" s="49">
        <f t="shared" ca="1" si="28"/>
        <v>0</v>
      </c>
      <c r="AZ147" s="49">
        <f t="shared" ca="1" si="28"/>
        <v>0</v>
      </c>
      <c r="BA147" s="49">
        <f t="shared" ca="1" si="28"/>
        <v>0</v>
      </c>
      <c r="BB147" s="49">
        <f t="shared" ca="1" si="28"/>
        <v>0</v>
      </c>
      <c r="BC147" s="49">
        <f t="shared" ca="1" si="28"/>
        <v>0</v>
      </c>
      <c r="BD147" s="49">
        <f t="shared" ca="1" si="28"/>
        <v>0</v>
      </c>
      <c r="BE147" s="49">
        <f t="shared" ca="1" si="28"/>
        <v>0</v>
      </c>
      <c r="BF147" s="49">
        <f t="shared" ca="1" si="28"/>
        <v>0</v>
      </c>
      <c r="BG147" s="49">
        <f t="shared" ca="1" si="28"/>
        <v>0</v>
      </c>
      <c r="BH147" s="49">
        <f t="shared" ca="1" si="28"/>
        <v>0</v>
      </c>
      <c r="BI147" s="49">
        <f t="shared" ca="1" si="28"/>
        <v>0</v>
      </c>
      <c r="BJ147" s="49">
        <f t="shared" ca="1" si="28"/>
        <v>0</v>
      </c>
      <c r="BK147" s="49">
        <f t="shared" ca="1" si="28"/>
        <v>0</v>
      </c>
      <c r="BL147" s="49">
        <f t="shared" ca="1" si="28"/>
        <v>0</v>
      </c>
      <c r="BM147" s="49">
        <f t="shared" ca="1" si="28"/>
        <v>0</v>
      </c>
      <c r="BN147" s="49">
        <f t="shared" ca="1" si="28"/>
        <v>0</v>
      </c>
      <c r="BO147" s="49">
        <f t="shared" ca="1" si="28"/>
        <v>0</v>
      </c>
      <c r="BP147" s="49">
        <f t="shared" ca="1" si="28"/>
        <v>0</v>
      </c>
      <c r="BQ147" s="49">
        <f t="shared" ca="1" si="28"/>
        <v>0</v>
      </c>
      <c r="BR147" s="49">
        <f t="shared" ca="1" si="28"/>
        <v>0</v>
      </c>
      <c r="BS147" s="49">
        <f t="shared" ca="1" si="28"/>
        <v>0</v>
      </c>
    </row>
    <row r="148" spans="1:71" outlineLevel="1" x14ac:dyDescent="0.2">
      <c r="J148" s="26"/>
      <c r="L148" s="55"/>
      <c r="M148" s="55"/>
      <c r="N148" s="55"/>
      <c r="O148" s="55"/>
      <c r="P148" s="55"/>
      <c r="Q148" s="55"/>
      <c r="R148" s="55"/>
      <c r="S148" s="55"/>
      <c r="T148" s="55"/>
      <c r="U148" s="55"/>
      <c r="V148" s="55"/>
      <c r="W148" s="55"/>
      <c r="X148" s="55"/>
      <c r="Y148" s="55"/>
      <c r="Z148" s="55"/>
      <c r="AA148" s="55"/>
      <c r="AB148" s="55"/>
      <c r="AC148" s="55"/>
      <c r="AD148" s="55"/>
      <c r="AE148" s="55"/>
      <c r="AF148" s="55"/>
      <c r="AG148" s="55"/>
      <c r="AH148" s="55"/>
      <c r="AI148" s="55"/>
      <c r="AJ148" s="55"/>
      <c r="AK148" s="55"/>
      <c r="AL148" s="55"/>
      <c r="AM148" s="55"/>
      <c r="AN148" s="55"/>
      <c r="AO148" s="55"/>
      <c r="AP148" s="55"/>
      <c r="AQ148" s="55"/>
      <c r="AR148" s="55"/>
      <c r="AS148" s="55"/>
      <c r="AT148" s="55"/>
      <c r="AU148" s="55"/>
      <c r="AV148" s="55"/>
      <c r="AW148" s="55"/>
      <c r="AX148" s="55"/>
      <c r="AY148" s="55"/>
      <c r="AZ148" s="55"/>
      <c r="BA148" s="55"/>
      <c r="BB148" s="55"/>
      <c r="BC148" s="55"/>
      <c r="BD148" s="55"/>
      <c r="BE148" s="55"/>
      <c r="BF148" s="55"/>
      <c r="BG148" s="55"/>
      <c r="BH148" s="55"/>
      <c r="BI148" s="55"/>
      <c r="BJ148" s="55"/>
      <c r="BK148" s="55"/>
      <c r="BL148" s="55"/>
      <c r="BM148" s="55"/>
      <c r="BN148" s="55"/>
      <c r="BO148" s="55"/>
      <c r="BP148" s="55"/>
      <c r="BQ148" s="55"/>
      <c r="BR148" s="55"/>
      <c r="BS148" s="55"/>
    </row>
    <row r="149" spans="1:71" outlineLevel="1" x14ac:dyDescent="0.2">
      <c r="C149" s="11" t="s">
        <v>111</v>
      </c>
      <c r="J149" s="26"/>
      <c r="L149" s="55"/>
      <c r="M149" s="55"/>
      <c r="N149" s="55"/>
      <c r="O149" s="55"/>
      <c r="P149" s="55"/>
      <c r="Q149" s="55"/>
      <c r="R149" s="55"/>
      <c r="S149" s="55"/>
      <c r="T149" s="55"/>
      <c r="U149" s="55"/>
      <c r="V149" s="55"/>
      <c r="W149" s="55"/>
      <c r="X149" s="55"/>
      <c r="Y149" s="55"/>
      <c r="Z149" s="55"/>
      <c r="AA149" s="55"/>
      <c r="AB149" s="55"/>
      <c r="AC149" s="55"/>
      <c r="AD149" s="55"/>
      <c r="AE149" s="55"/>
      <c r="AF149" s="55"/>
      <c r="AG149" s="55"/>
      <c r="AH149" s="55"/>
      <c r="AI149" s="55"/>
      <c r="AJ149" s="55"/>
      <c r="AK149" s="55"/>
      <c r="AL149" s="55"/>
      <c r="AM149" s="55"/>
      <c r="AN149" s="55"/>
      <c r="AO149" s="55"/>
      <c r="AP149" s="55"/>
      <c r="AQ149" s="55"/>
      <c r="AR149" s="55"/>
      <c r="AS149" s="55"/>
      <c r="AT149" s="55"/>
      <c r="AU149" s="55"/>
      <c r="AV149" s="55"/>
      <c r="AW149" s="55"/>
      <c r="AX149" s="55"/>
      <c r="AY149" s="55"/>
      <c r="AZ149" s="55"/>
      <c r="BA149" s="55"/>
      <c r="BB149" s="55"/>
      <c r="BC149" s="55"/>
      <c r="BD149" s="55"/>
      <c r="BE149" s="55"/>
      <c r="BF149" s="55"/>
      <c r="BG149" s="55"/>
      <c r="BH149" s="55"/>
      <c r="BI149" s="55"/>
      <c r="BJ149" s="55"/>
      <c r="BK149" s="55"/>
      <c r="BL149" s="55"/>
      <c r="BM149" s="55"/>
      <c r="BN149" s="55"/>
      <c r="BO149" s="55"/>
      <c r="BP149" s="55"/>
      <c r="BQ149" s="55"/>
      <c r="BR149" s="55"/>
      <c r="BS149" s="55"/>
    </row>
    <row r="150" spans="1:71" outlineLevel="1" x14ac:dyDescent="0.2">
      <c r="D150" t="s">
        <v>845</v>
      </c>
      <c r="J150" s="26" t="s">
        <v>46</v>
      </c>
      <c r="K150" s="7" t="s">
        <v>143</v>
      </c>
      <c r="L150" s="49">
        <f ca="1">IF(L$4&lt;2020,OFFSET(_xlfn.SINGLE(IA_historic_HP),6,),Marine!HP*_xlfn.SINGLE(Marine!CA_infl_index_HP))</f>
        <v>0</v>
      </c>
      <c r="M150" s="49">
        <f ca="1">IF(M$4&lt;2020,OFFSET(_xlfn.SINGLE(IA_historic_HP),6,),Marine!HP*_xlfn.SINGLE(Marine!CA_infl_index_HP))</f>
        <v>34.859000000000002</v>
      </c>
      <c r="N150" s="49">
        <f ca="1">IF(N$4&lt;2020,OFFSET(_xlfn.SINGLE(IA_historic_HP),6,),Marine!HP*_xlfn.SINGLE(Marine!CA_infl_index_HP))</f>
        <v>35.18</v>
      </c>
      <c r="O150" s="49">
        <f ca="1">IF(O$4&lt;2020,OFFSET(_xlfn.SINGLE(IA_historic_HP),6,),Marine!HP*_xlfn.SINGLE(Marine!CA_infl_index_HP))</f>
        <v>35.844500000000004</v>
      </c>
      <c r="P150" s="49">
        <f ca="1">IF(P$4&lt;2020,OFFSET(_xlfn.SINGLE(IA_historic_HP),6,),Marine!HP*_xlfn.SINGLE(Marine!CA_infl_index_HP))</f>
        <v>36.519999999999996</v>
      </c>
      <c r="Q150" s="49">
        <f ca="1">IF(Q$4&lt;2020,OFFSET(_xlfn.SINGLE(IA_historic_HP),6,),Marine!HP*_xlfn.SINGLE(Marine!CA_infl_index_HP))</f>
        <v>36.548749999999998</v>
      </c>
      <c r="R150" s="49">
        <f ca="1">IF(R$4&lt;2020,OFFSET(_xlfn.SINGLE(IA_historic_HP),6,),Marine!HP*_xlfn.SINGLE(Marine!CA_infl_index_HP))</f>
        <v>37.829250000000002</v>
      </c>
      <c r="S150" s="49">
        <f ca="1">IF(S$4&lt;2020,OFFSET(_xlfn.SINGLE(IA_historic_HP),6,),Marine!HP*_xlfn.SINGLE(Marine!CA_infl_index_HP))</f>
        <v>46.181756707200528</v>
      </c>
      <c r="T150" s="49">
        <f ca="1">IF(T$4&lt;2020,OFFSET(_xlfn.SINGLE(IA_historic_HP),6,),Marine!HP*_xlfn.SINGLE(Marine!CA_infl_index_HP))</f>
        <v>47.10539184134452</v>
      </c>
      <c r="U150" s="49">
        <f ca="1">IF(U$4&lt;2020,OFFSET(_xlfn.SINGLE(IA_historic_HP),6,),Marine!HP*_xlfn.SINGLE(Marine!CA_infl_index_HP))</f>
        <v>48.04749967817142</v>
      </c>
      <c r="V150" s="49">
        <f ca="1">IF(V$4&lt;2020,OFFSET(_xlfn.SINGLE(IA_historic_HP),6,),Marine!HP*_xlfn.SINGLE(Marine!CA_infl_index_HP))</f>
        <v>49.008449671734851</v>
      </c>
      <c r="W150" s="49">
        <f ca="1">IF(W$4&lt;2020,OFFSET(_xlfn.SINGLE(IA_historic_HP),6,),Marine!HP*_xlfn.SINGLE(Marine!CA_infl_index_HP))</f>
        <v>49.988618665169547</v>
      </c>
      <c r="X150" s="49">
        <f ca="1">IF(X$4&lt;2020,OFFSET(_xlfn.SINGLE(IA_historic_HP),6,),Marine!HP*_xlfn.SINGLE(Marine!CA_infl_index_HP))</f>
        <v>50.988391038472933</v>
      </c>
      <c r="Y150" s="49">
        <f ca="1">IF(Y$4&lt;2020,OFFSET(_xlfn.SINGLE(IA_historic_HP),6,),Marine!HP*_xlfn.SINGLE(Marine!CA_infl_index_HP))</f>
        <v>52.0081588592424</v>
      </c>
      <c r="Z150" s="49">
        <f ca="1">IF(Z$4&lt;2020,OFFSET(_xlfn.SINGLE(IA_historic_HP),6,),Marine!HP*_xlfn.SINGLE(Marine!CA_infl_index_HP))</f>
        <v>53.048322036427244</v>
      </c>
      <c r="AA150" s="49">
        <f ca="1">IF(AA$4&lt;2020,OFFSET(_xlfn.SINGLE(IA_historic_HP),6,),Marine!HP*_xlfn.SINGLE(Marine!CA_infl_index_HP))</f>
        <v>54.109288477155793</v>
      </c>
      <c r="AB150" s="49">
        <f ca="1">IF(AB$4&lt;2020,OFFSET(_xlfn.SINGLE(IA_historic_HP),6,),Marine!HP*_xlfn.SINGLE(Marine!CA_infl_index_HP))</f>
        <v>55.191474246698895</v>
      </c>
      <c r="AC150" s="49">
        <f ca="1">IF(AC$4&lt;2020,OFFSET(_xlfn.SINGLE(IA_historic_HP),6,),Marine!HP*_xlfn.SINGLE(Marine!CA_infl_index_HP))</f>
        <v>56.295303731632877</v>
      </c>
      <c r="AD150" s="49">
        <f ca="1">IF(AD$4&lt;2020,OFFSET(_xlfn.SINGLE(IA_historic_HP),6,),Marine!HP*_xlfn.SINGLE(Marine!CA_infl_index_HP))</f>
        <v>57.421209806265537</v>
      </c>
      <c r="AE150" s="49">
        <f ca="1">IF(AE$4&lt;2020,OFFSET(_xlfn.SINGLE(IA_historic_HP),6,),Marine!HP*_xlfn.SINGLE(Marine!CA_infl_index_HP))</f>
        <v>58.569634002390849</v>
      </c>
      <c r="AF150" s="49">
        <f ca="1">IF(AF$4&lt;2020,OFFSET(_xlfn.SINGLE(IA_historic_HP),6,),Marine!HP*_xlfn.SINGLE(Marine!CA_infl_index_HP))</f>
        <v>59.741026682438658</v>
      </c>
      <c r="AG150" s="49">
        <f ca="1">IF(AG$4&lt;2020,OFFSET(_xlfn.SINGLE(IA_historic_HP),6,),Marine!HP*_xlfn.SINGLE(Marine!CA_infl_index_HP))</f>
        <v>60.935847216087446</v>
      </c>
      <c r="AH150" s="49">
        <f ca="1">IF(AH$4&lt;2020,OFFSET(_xlfn.SINGLE(IA_historic_HP),6,),Marine!HP*_xlfn.SINGLE(Marine!CA_infl_index_HP))</f>
        <v>62.15456416040918</v>
      </c>
      <c r="AI150" s="49">
        <f ca="1">IF(AI$4&lt;2020,OFFSET(_xlfn.SINGLE(IA_historic_HP),6,),Marine!HP*_xlfn.SINGLE(Marine!CA_infl_index_HP))</f>
        <v>63.397655443617374</v>
      </c>
      <c r="AJ150" s="49">
        <f ca="1">IF(AJ$4&lt;2020,OFFSET(_xlfn.SINGLE(IA_historic_HP),6,),Marine!HP*_xlfn.SINGLE(Marine!CA_infl_index_HP))</f>
        <v>64.665608552489701</v>
      </c>
      <c r="AK150" s="49">
        <f ca="1">IF(AK$4&lt;2020,OFFSET(_xlfn.SINGLE(IA_historic_HP),6,),Marine!HP*_xlfn.SINGLE(Marine!CA_infl_index_HP))</f>
        <v>65.958920723539507</v>
      </c>
      <c r="AL150" s="49">
        <f ca="1">IF(AL$4&lt;2020,OFFSET(_xlfn.SINGLE(IA_historic_HP),6,),Marine!HP*_xlfn.SINGLE(Marine!CA_infl_index_HP))</f>
        <v>67.278099138010305</v>
      </c>
      <c r="AM150" s="49">
        <f ca="1">IF(AM$4&lt;2020,OFFSET(_xlfn.SINGLE(IA_historic_HP),6,),Marine!HP*_xlfn.SINGLE(Marine!CA_infl_index_HP))</f>
        <v>68.623661120770507</v>
      </c>
      <c r="AN150" s="49">
        <f ca="1">IF(AN$4&lt;2020,OFFSET(_xlfn.SINGLE(IA_historic_HP),6,),Marine!HP*_xlfn.SINGLE(Marine!CA_infl_index_HP))</f>
        <v>69.996134343185915</v>
      </c>
      <c r="AO150" s="49">
        <f ca="1">IF(AO$4&lt;2020,OFFSET(_xlfn.SINGLE(IA_historic_HP),6,),Marine!HP*_xlfn.SINGLE(Marine!CA_infl_index_HP))</f>
        <v>71.396057030049633</v>
      </c>
      <c r="AP150" s="49">
        <f ca="1">IF(AP$4&lt;2020,OFFSET(_xlfn.SINGLE(IA_historic_HP),6,),Marine!HP*_xlfn.SINGLE(Marine!CA_infl_index_HP))</f>
        <v>72.823978170650634</v>
      </c>
      <c r="AQ150" s="49">
        <f ca="1">IF(AQ$4&lt;2020,OFFSET(_xlfn.SINGLE(IA_historic_HP),6,),Marine!HP*_xlfn.SINGLE(Marine!CA_infl_index_HP))</f>
        <v>74.280457734063646</v>
      </c>
      <c r="AR150" s="49">
        <f ca="1">IF(AR$4&lt;2020,OFFSET(_xlfn.SINGLE(IA_historic_HP),6,),Marine!HP*_xlfn.SINGLE(Marine!CA_infl_index_HP))</f>
        <v>75.766066888744902</v>
      </c>
      <c r="AS150" s="49">
        <f ca="1">IF(AS$4&lt;2020,OFFSET(_xlfn.SINGLE(IA_historic_HP),6,),Marine!HP*_xlfn.SINGLE(Marine!CA_infl_index_HP))</f>
        <v>77.281388226519809</v>
      </c>
      <c r="AT150" s="49">
        <f ca="1">IF(AT$4&lt;2020,OFFSET(_xlfn.SINGLE(IA_historic_HP),6,),Marine!HP*_xlfn.SINGLE(Marine!CA_infl_index_HP))</f>
        <v>78.827015991050203</v>
      </c>
      <c r="AU150" s="49">
        <f ca="1">IF(AU$4&lt;2020,OFFSET(_xlfn.SINGLE(IA_historic_HP),6,),Marine!HP*_xlfn.SINGLE(Marine!CA_infl_index_HP))</f>
        <v>80.40355631087121</v>
      </c>
      <c r="AV150" s="49">
        <f ca="1">IF(AV$4&lt;2020,OFFSET(_xlfn.SINGLE(IA_historic_HP),6,),Marine!HP*_xlfn.SINGLE(Marine!CA_infl_index_HP))</f>
        <v>82.01162743708862</v>
      </c>
      <c r="AW150" s="49">
        <f ca="1">IF(AW$4&lt;2020,OFFSET(_xlfn.SINGLE(IA_historic_HP),6,),Marine!HP*_xlfn.SINGLE(Marine!CA_infl_index_HP))</f>
        <v>83.651859985830413</v>
      </c>
      <c r="AX150" s="49">
        <f ca="1">IF(AX$4&lt;2020,OFFSET(_xlfn.SINGLE(IA_historic_HP),6,),Marine!HP*_xlfn.SINGLE(Marine!CA_infl_index_HP))</f>
        <v>85.324897185547016</v>
      </c>
      <c r="AY150" s="49">
        <f ca="1">IF(AY$4&lt;2020,OFFSET(_xlfn.SINGLE(IA_historic_HP),6,),Marine!HP*_xlfn.SINGLE(Marine!CA_infl_index_HP))</f>
        <v>87.031395129257959</v>
      </c>
      <c r="AZ150" s="49">
        <f ca="1">IF(AZ$4&lt;2020,OFFSET(_xlfn.SINGLE(IA_historic_HP),6,),Marine!HP*_xlfn.SINGLE(Marine!CA_infl_index_HP))</f>
        <v>88.772023031843091</v>
      </c>
      <c r="BA150" s="49">
        <f ca="1">IF(BA$4&lt;2020,OFFSET(_xlfn.SINGLE(IA_historic_HP),6,),Marine!HP*_xlfn.SINGLE(Marine!CA_infl_index_HP))</f>
        <v>90.547463492479963</v>
      </c>
      <c r="BB150" s="49">
        <f ca="1">IF(BB$4&lt;2020,OFFSET(_xlfn.SINGLE(IA_historic_HP),6,),Marine!HP*_xlfn.SINGLE(Marine!CA_infl_index_HP))</f>
        <v>92.358412762329579</v>
      </c>
      <c r="BC150" s="49">
        <f ca="1">IF(BC$4&lt;2020,OFFSET(_xlfn.SINGLE(IA_historic_HP),6,),Marine!HP*_xlfn.SINGLE(Marine!CA_infl_index_HP))</f>
        <v>94.205581017576165</v>
      </c>
      <c r="BD150" s="49">
        <f ca="1">IF(BD$4&lt;2020,OFFSET(_xlfn.SINGLE(IA_historic_HP),6,),Marine!HP*_xlfn.SINGLE(Marine!CA_infl_index_HP))</f>
        <v>96.089692637927683</v>
      </c>
      <c r="BE150" s="49">
        <f ca="1">IF(BE$4&lt;2020,OFFSET(_xlfn.SINGLE(IA_historic_HP),6,),Marine!HP*_xlfn.SINGLE(Marine!CA_infl_index_HP))</f>
        <v>98.011486490686252</v>
      </c>
      <c r="BF150" s="49">
        <f ca="1">IF(BF$4&lt;2020,OFFSET(_xlfn.SINGLE(IA_historic_HP),6,),Marine!HP*_xlfn.SINGLE(Marine!CA_infl_index_HP))</f>
        <v>99.971716220499957</v>
      </c>
      <c r="BG150" s="49">
        <f ca="1">IF(BG$4&lt;2020,OFFSET(_xlfn.SINGLE(IA_historic_HP),6,),Marine!HP*_xlfn.SINGLE(Marine!CA_infl_index_HP))</f>
        <v>101.97115054490997</v>
      </c>
      <c r="BH150" s="49">
        <f ca="1">IF(BH$4&lt;2020,OFFSET(_xlfn.SINGLE(IA_historic_HP),6,),Marine!HP*_xlfn.SINGLE(Marine!CA_infl_index_HP))</f>
        <v>104.01057355580814</v>
      </c>
      <c r="BI150" s="49">
        <f ca="1">IF(BI$4&lt;2020,OFFSET(_xlfn.SINGLE(IA_historic_HP),6,),Marine!HP*_xlfn.SINGLE(Marine!CA_infl_index_HP))</f>
        <v>106.09078502692431</v>
      </c>
      <c r="BJ150" s="49">
        <f ca="1">IF(BJ$4&lt;2020,OFFSET(_xlfn.SINGLE(IA_historic_HP),6,),Marine!HP*_xlfn.SINGLE(Marine!CA_infl_index_HP))</f>
        <v>108.2126007274628</v>
      </c>
      <c r="BK150" s="49">
        <f ca="1">IF(BK$4&lt;2020,OFFSET(_xlfn.SINGLE(IA_historic_HP),6,),Marine!HP*_xlfn.SINGLE(Marine!CA_infl_index_HP))</f>
        <v>110.37685274201206</v>
      </c>
      <c r="BL150" s="49">
        <f ca="1">IF(BL$4&lt;2020,OFFSET(_xlfn.SINGLE(IA_historic_HP),6,),Marine!HP*_xlfn.SINGLE(Marine!CA_infl_index_HP))</f>
        <v>112.58438979685228</v>
      </c>
      <c r="BM150" s="49">
        <f ca="1">IF(BM$4&lt;2020,OFFSET(_xlfn.SINGLE(IA_historic_HP),6,),Marine!HP*_xlfn.SINGLE(Marine!CA_infl_index_HP))</f>
        <v>114.83607759278935</v>
      </c>
      <c r="BN150" s="49">
        <f ca="1">IF(BN$4&lt;2020,OFFSET(_xlfn.SINGLE(IA_historic_HP),6,),Marine!HP*_xlfn.SINGLE(Marine!CA_infl_index_HP))</f>
        <v>117.13279914464513</v>
      </c>
      <c r="BO150" s="49">
        <f ca="1">IF(BO$4&lt;2020,OFFSET(_xlfn.SINGLE(IA_historic_HP),6,),Marine!HP*_xlfn.SINGLE(Marine!CA_infl_index_HP))</f>
        <v>119.47545512753804</v>
      </c>
      <c r="BP150" s="49">
        <f ca="1">IF(BP$4&lt;2020,OFFSET(_xlfn.SINGLE(IA_historic_HP),6,),Marine!HP*_xlfn.SINGLE(Marine!CA_infl_index_HP))</f>
        <v>121.86496423008877</v>
      </c>
      <c r="BQ150" s="49">
        <f ca="1">IF(BQ$4&lt;2020,OFFSET(_xlfn.SINGLE(IA_historic_HP),6,),Marine!HP*_xlfn.SINGLE(Marine!CA_infl_index_HP))</f>
        <v>124.30226351469058</v>
      </c>
      <c r="BR150" s="49">
        <f ca="1">IF(BR$4&lt;2020,OFFSET(_xlfn.SINGLE(IA_historic_HP),6,),Marine!HP*_xlfn.SINGLE(Marine!CA_infl_index_HP))</f>
        <v>126.78830878498439</v>
      </c>
      <c r="BS150" s="49">
        <f ca="1">IF(BS$4&lt;2020,OFFSET(_xlfn.SINGLE(IA_historic_HP),6,),Marine!HP*_xlfn.SINGLE(Marine!CA_infl_index_HP))</f>
        <v>129.32407496068407</v>
      </c>
    </row>
    <row r="151" spans="1:71" outlineLevel="1" x14ac:dyDescent="0.2">
      <c r="J151" s="26"/>
      <c r="L151" s="55"/>
      <c r="M151" s="55"/>
      <c r="N151" s="55"/>
      <c r="O151" s="55"/>
      <c r="P151" s="55"/>
      <c r="Q151" s="55"/>
      <c r="R151" s="55"/>
      <c r="S151" s="55"/>
      <c r="T151" s="55"/>
      <c r="U151" s="55"/>
      <c r="V151" s="55"/>
      <c r="W151" s="55"/>
      <c r="X151" s="55"/>
      <c r="Y151" s="55"/>
      <c r="Z151" s="55"/>
      <c r="AA151" s="55"/>
      <c r="AB151" s="55"/>
      <c r="AC151" s="55"/>
      <c r="AD151" s="55"/>
      <c r="AE151" s="55"/>
      <c r="AF151" s="55"/>
      <c r="AG151" s="55"/>
      <c r="AH151" s="55"/>
      <c r="AI151" s="55"/>
      <c r="AJ151" s="55"/>
      <c r="AK151" s="55"/>
      <c r="AL151" s="55"/>
      <c r="AM151" s="55"/>
      <c r="AN151" s="55"/>
      <c r="AO151" s="55"/>
      <c r="AP151" s="55"/>
      <c r="AQ151" s="55"/>
      <c r="AR151" s="55"/>
      <c r="AS151" s="55"/>
      <c r="AT151" s="55"/>
      <c r="AU151" s="55"/>
      <c r="AV151" s="55"/>
      <c r="AW151" s="55"/>
      <c r="AX151" s="55"/>
      <c r="AY151" s="55"/>
      <c r="AZ151" s="55"/>
      <c r="BA151" s="55"/>
      <c r="BB151" s="55"/>
      <c r="BC151" s="55"/>
      <c r="BD151" s="55"/>
      <c r="BE151" s="55"/>
      <c r="BF151" s="55"/>
      <c r="BG151" s="55"/>
      <c r="BH151" s="55"/>
      <c r="BI151" s="55"/>
      <c r="BJ151" s="55"/>
      <c r="BK151" s="55"/>
      <c r="BL151" s="55"/>
      <c r="BM151" s="55"/>
      <c r="BN151" s="55"/>
      <c r="BO151" s="55"/>
      <c r="BP151" s="55"/>
      <c r="BQ151" s="55"/>
      <c r="BR151" s="55"/>
      <c r="BS151" s="55"/>
    </row>
    <row r="152" spans="1:71" outlineLevel="1" x14ac:dyDescent="0.2">
      <c r="D152" t="s">
        <v>424</v>
      </c>
      <c r="J152" s="26"/>
      <c r="K152" s="7" t="s">
        <v>425</v>
      </c>
      <c r="L152" s="49">
        <f t="shared" ref="L152:AQ152" si="29">IF(L$4&lt;=YEAR(effective_date_Marine),1,(1+input_US_inflation_perc)^(L$4-YEAR(effective_date_Marine)))</f>
        <v>1.1486856676492798</v>
      </c>
      <c r="M152" s="49">
        <f t="shared" si="29"/>
        <v>1.1716593810022655</v>
      </c>
      <c r="N152" s="49">
        <f t="shared" si="29"/>
        <v>1.1950925686223108</v>
      </c>
      <c r="O152" s="49">
        <f t="shared" si="29"/>
        <v>1.2189944199947571</v>
      </c>
      <c r="P152" s="49">
        <f t="shared" si="29"/>
        <v>1.243374308394652</v>
      </c>
      <c r="Q152" s="49">
        <f t="shared" si="29"/>
        <v>1.2682417945625453</v>
      </c>
      <c r="R152" s="49">
        <f t="shared" si="29"/>
        <v>1.2936066304537961</v>
      </c>
      <c r="S152" s="49">
        <f t="shared" si="29"/>
        <v>1.3194787630628722</v>
      </c>
      <c r="T152" s="49">
        <f t="shared" si="29"/>
        <v>1.3458683383241292</v>
      </c>
      <c r="U152" s="49">
        <f t="shared" si="29"/>
        <v>1.372785705090612</v>
      </c>
      <c r="V152" s="49">
        <f t="shared" si="29"/>
        <v>1.4002414191924244</v>
      </c>
      <c r="W152" s="49">
        <f t="shared" si="29"/>
        <v>1.4282462475762727</v>
      </c>
      <c r="X152" s="49">
        <f t="shared" si="29"/>
        <v>1.4568111725277981</v>
      </c>
      <c r="Y152" s="49">
        <f t="shared" si="29"/>
        <v>1.4859473959783542</v>
      </c>
      <c r="Z152" s="49">
        <f t="shared" si="29"/>
        <v>1.5156663438979212</v>
      </c>
      <c r="AA152" s="49">
        <f t="shared" si="29"/>
        <v>1.5459796707758797</v>
      </c>
      <c r="AB152" s="49">
        <f t="shared" si="29"/>
        <v>1.576899264191397</v>
      </c>
      <c r="AC152" s="49">
        <f t="shared" si="29"/>
        <v>1.608437249475225</v>
      </c>
      <c r="AD152" s="49">
        <f t="shared" si="29"/>
        <v>1.6406059944647295</v>
      </c>
      <c r="AE152" s="49">
        <f t="shared" si="29"/>
        <v>1.6734181143540243</v>
      </c>
      <c r="AF152" s="49">
        <f t="shared" si="29"/>
        <v>1.7068864766411045</v>
      </c>
      <c r="AG152" s="49">
        <f t="shared" si="29"/>
        <v>1.7410242061739269</v>
      </c>
      <c r="AH152" s="49">
        <f t="shared" si="29"/>
        <v>1.7758446902974052</v>
      </c>
      <c r="AI152" s="49">
        <f t="shared" si="29"/>
        <v>1.8113615841033535</v>
      </c>
      <c r="AJ152" s="49">
        <f t="shared" si="29"/>
        <v>1.8475888157854201</v>
      </c>
      <c r="AK152" s="49">
        <f t="shared" si="29"/>
        <v>1.8845405921011289</v>
      </c>
      <c r="AL152" s="49">
        <f t="shared" si="29"/>
        <v>1.9222314039431516</v>
      </c>
      <c r="AM152" s="49">
        <f t="shared" si="29"/>
        <v>1.9606760320220145</v>
      </c>
      <c r="AN152" s="49">
        <f t="shared" si="29"/>
        <v>1.9998895526624547</v>
      </c>
      <c r="AO152" s="49">
        <f t="shared" si="29"/>
        <v>2.0398873437157037</v>
      </c>
      <c r="AP152" s="49">
        <f t="shared" si="29"/>
        <v>2.080685090590018</v>
      </c>
      <c r="AQ152" s="49">
        <f t="shared" si="29"/>
        <v>2.1222987924018186</v>
      </c>
      <c r="AR152" s="49">
        <f t="shared" ref="AR152:BS152" si="30">IF(AR$4&lt;=YEAR(effective_date_Marine),1,(1+input_US_inflation_perc)^(AR$4-YEAR(effective_date_Marine)))</f>
        <v>2.1647447682498542</v>
      </c>
      <c r="AS152" s="49">
        <f t="shared" si="30"/>
        <v>2.2080396636148518</v>
      </c>
      <c r="AT152" s="49">
        <f t="shared" si="30"/>
        <v>2.2522004568871488</v>
      </c>
      <c r="AU152" s="49">
        <f t="shared" si="30"/>
        <v>2.2972444660248916</v>
      </c>
      <c r="AV152" s="49">
        <f t="shared" si="30"/>
        <v>2.3431893553453893</v>
      </c>
      <c r="AW152" s="49">
        <f t="shared" si="30"/>
        <v>2.3900531424522975</v>
      </c>
      <c r="AX152" s="49">
        <f t="shared" si="30"/>
        <v>2.4378542053013432</v>
      </c>
      <c r="AY152" s="49">
        <f t="shared" si="30"/>
        <v>2.4866112894073704</v>
      </c>
      <c r="AZ152" s="49">
        <f t="shared" si="30"/>
        <v>2.5363435151955169</v>
      </c>
      <c r="BA152" s="49">
        <f t="shared" si="30"/>
        <v>2.5870703854994277</v>
      </c>
      <c r="BB152" s="49">
        <f t="shared" si="30"/>
        <v>2.6388117932094164</v>
      </c>
      <c r="BC152" s="49">
        <f t="shared" si="30"/>
        <v>2.6915880290736047</v>
      </c>
      <c r="BD152" s="49">
        <f t="shared" si="30"/>
        <v>2.7454197896550765</v>
      </c>
      <c r="BE152" s="49">
        <f t="shared" si="30"/>
        <v>2.8003281854481785</v>
      </c>
      <c r="BF152" s="49">
        <f t="shared" si="30"/>
        <v>2.8563347491571416</v>
      </c>
      <c r="BG152" s="49">
        <f t="shared" si="30"/>
        <v>2.9134614441402849</v>
      </c>
      <c r="BH152" s="49">
        <f t="shared" si="30"/>
        <v>2.9717306730230897</v>
      </c>
      <c r="BI152" s="49">
        <f t="shared" si="30"/>
        <v>3.0311652864835517</v>
      </c>
      <c r="BJ152" s="49">
        <f t="shared" si="30"/>
        <v>3.0917885922132227</v>
      </c>
      <c r="BK152" s="49">
        <f t="shared" si="30"/>
        <v>3.1536243640574875</v>
      </c>
      <c r="BL152" s="49">
        <f t="shared" si="30"/>
        <v>3.2166968513386367</v>
      </c>
      <c r="BM152" s="49">
        <f t="shared" si="30"/>
        <v>3.2810307883654102</v>
      </c>
      <c r="BN152" s="49">
        <f t="shared" si="30"/>
        <v>3.346651404132718</v>
      </c>
      <c r="BO152" s="49">
        <f t="shared" si="30"/>
        <v>3.4135844322153726</v>
      </c>
      <c r="BP152" s="49">
        <f t="shared" si="30"/>
        <v>3.4818561208596792</v>
      </c>
      <c r="BQ152" s="49">
        <f t="shared" si="30"/>
        <v>3.5514932432768735</v>
      </c>
      <c r="BR152" s="49">
        <f t="shared" si="30"/>
        <v>3.6225231081424112</v>
      </c>
      <c r="BS152" s="49">
        <f t="shared" si="30"/>
        <v>3.6949735703052591</v>
      </c>
    </row>
    <row r="153" spans="1:71" outlineLevel="1" x14ac:dyDescent="0.2">
      <c r="J153" s="26"/>
      <c r="L153" s="55"/>
      <c r="M153" s="55"/>
      <c r="N153" s="55"/>
      <c r="O153" s="55"/>
      <c r="P153" s="55"/>
      <c r="Q153" s="55"/>
      <c r="R153" s="55"/>
      <c r="S153" s="55"/>
      <c r="T153" s="55"/>
      <c r="U153" s="55"/>
      <c r="V153" s="55"/>
      <c r="W153" s="55"/>
      <c r="X153" s="55"/>
      <c r="Y153" s="55"/>
      <c r="Z153" s="55"/>
      <c r="AA153" s="55"/>
      <c r="AB153" s="55"/>
      <c r="AC153" s="55"/>
      <c r="AD153" s="55"/>
      <c r="AE153" s="55"/>
      <c r="AF153" s="55"/>
      <c r="AG153" s="55"/>
      <c r="AH153" s="55"/>
      <c r="AI153" s="55"/>
      <c r="AJ153" s="55"/>
      <c r="AK153" s="55"/>
      <c r="AL153" s="55"/>
      <c r="AM153" s="55"/>
      <c r="AN153" s="55"/>
      <c r="AO153" s="55"/>
      <c r="AP153" s="55"/>
      <c r="AQ153" s="55"/>
      <c r="AR153" s="55"/>
      <c r="AS153" s="55"/>
      <c r="AT153" s="55"/>
      <c r="AU153" s="55"/>
      <c r="AV153" s="55"/>
      <c r="AW153" s="55"/>
      <c r="AX153" s="55"/>
      <c r="AY153" s="55"/>
      <c r="AZ153" s="55"/>
      <c r="BA153" s="55"/>
      <c r="BB153" s="55"/>
      <c r="BC153" s="55"/>
      <c r="BD153" s="55"/>
      <c r="BE153" s="55"/>
      <c r="BF153" s="55"/>
      <c r="BG153" s="55"/>
      <c r="BH153" s="55"/>
      <c r="BI153" s="55"/>
      <c r="BJ153" s="55"/>
      <c r="BK153" s="55"/>
      <c r="BL153" s="55"/>
      <c r="BM153" s="55"/>
      <c r="BN153" s="55"/>
      <c r="BO153" s="55"/>
      <c r="BP153" s="55"/>
      <c r="BQ153" s="55"/>
      <c r="BR153" s="55"/>
      <c r="BS153" s="55"/>
    </row>
    <row r="154" spans="1:71" outlineLevel="1" x14ac:dyDescent="0.2">
      <c r="D154" t="s">
        <v>721</v>
      </c>
      <c r="J154" s="26" t="s">
        <v>46</v>
      </c>
      <c r="K154" s="7" t="s">
        <v>722</v>
      </c>
      <c r="L154" s="49" cm="1">
        <f t="array" aca="1" ref="L154:BS154" ca="1">Marine!CA_HP_oil_nom</f>
        <v>0</v>
      </c>
      <c r="M154" s="49">
        <f ca="1"/>
        <v>34.859000000000002</v>
      </c>
      <c r="N154" s="49">
        <f ca="1"/>
        <v>35.18</v>
      </c>
      <c r="O154" s="49">
        <f ca="1"/>
        <v>35.844500000000004</v>
      </c>
      <c r="P154" s="49">
        <f ca="1"/>
        <v>36.519999999999996</v>
      </c>
      <c r="Q154" s="49">
        <f ca="1"/>
        <v>36.548749999999998</v>
      </c>
      <c r="R154" s="49">
        <f ca="1"/>
        <v>37.829250000000002</v>
      </c>
      <c r="S154" s="49">
        <f ca="1"/>
        <v>46.181756707200528</v>
      </c>
      <c r="T154" s="49">
        <f ca="1"/>
        <v>47.10539184134452</v>
      </c>
      <c r="U154" s="49">
        <f ca="1"/>
        <v>48.04749967817142</v>
      </c>
      <c r="V154" s="49">
        <f ca="1"/>
        <v>49.008449671734851</v>
      </c>
      <c r="W154" s="49">
        <f ca="1"/>
        <v>49.988618665169547</v>
      </c>
      <c r="X154" s="49">
        <f ca="1"/>
        <v>50.988391038472933</v>
      </c>
      <c r="Y154" s="49">
        <f ca="1"/>
        <v>52.0081588592424</v>
      </c>
      <c r="Z154" s="49">
        <f ca="1"/>
        <v>53.048322036427244</v>
      </c>
      <c r="AA154" s="49">
        <f ca="1"/>
        <v>54.109288477155793</v>
      </c>
      <c r="AB154" s="49">
        <f ca="1"/>
        <v>55.191474246698895</v>
      </c>
      <c r="AC154" s="49">
        <f ca="1"/>
        <v>56.295303731632877</v>
      </c>
      <c r="AD154" s="49">
        <f ca="1"/>
        <v>57.421209806265537</v>
      </c>
      <c r="AE154" s="49">
        <f ca="1"/>
        <v>58.569634002390849</v>
      </c>
      <c r="AF154" s="49">
        <f ca="1"/>
        <v>59.741026682438658</v>
      </c>
      <c r="AG154" s="49">
        <f ca="1"/>
        <v>60.935847216087446</v>
      </c>
      <c r="AH154" s="49">
        <f ca="1"/>
        <v>62.15456416040918</v>
      </c>
      <c r="AI154" s="49">
        <f ca="1"/>
        <v>63.397655443617374</v>
      </c>
      <c r="AJ154" s="49">
        <f ca="1"/>
        <v>64.665608552489701</v>
      </c>
      <c r="AK154" s="49">
        <f ca="1"/>
        <v>65.958920723539507</v>
      </c>
      <c r="AL154" s="49">
        <f ca="1"/>
        <v>67.278099138010305</v>
      </c>
      <c r="AM154" s="49">
        <f ca="1"/>
        <v>68.623661120770507</v>
      </c>
      <c r="AN154" s="49">
        <f ca="1"/>
        <v>69.996134343185915</v>
      </c>
      <c r="AO154" s="49">
        <f ca="1"/>
        <v>71.396057030049633</v>
      </c>
      <c r="AP154" s="49">
        <f ca="1"/>
        <v>72.823978170650634</v>
      </c>
      <c r="AQ154" s="49">
        <f ca="1"/>
        <v>74.280457734063646</v>
      </c>
      <c r="AR154" s="49">
        <f ca="1"/>
        <v>75.766066888744902</v>
      </c>
      <c r="AS154" s="49">
        <f ca="1"/>
        <v>77.281388226519809</v>
      </c>
      <c r="AT154" s="49">
        <f ca="1"/>
        <v>78.827015991050203</v>
      </c>
      <c r="AU154" s="49">
        <f ca="1"/>
        <v>80.40355631087121</v>
      </c>
      <c r="AV154" s="49">
        <f ca="1"/>
        <v>82.01162743708862</v>
      </c>
      <c r="AW154" s="49">
        <f ca="1"/>
        <v>83.651859985830413</v>
      </c>
      <c r="AX154" s="49">
        <f ca="1"/>
        <v>85.324897185547016</v>
      </c>
      <c r="AY154" s="49">
        <f ca="1"/>
        <v>87.031395129257959</v>
      </c>
      <c r="AZ154" s="49">
        <f ca="1"/>
        <v>88.772023031843091</v>
      </c>
      <c r="BA154" s="49">
        <f ca="1"/>
        <v>90.547463492479963</v>
      </c>
      <c r="BB154" s="49">
        <f ca="1"/>
        <v>92.358412762329579</v>
      </c>
      <c r="BC154" s="49">
        <f ca="1"/>
        <v>94.205581017576165</v>
      </c>
      <c r="BD154" s="49">
        <f ca="1"/>
        <v>96.089692637927683</v>
      </c>
      <c r="BE154" s="49">
        <f ca="1"/>
        <v>98.011486490686252</v>
      </c>
      <c r="BF154" s="49">
        <f ca="1"/>
        <v>99.971716220499957</v>
      </c>
      <c r="BG154" s="49">
        <f ca="1"/>
        <v>101.97115054490997</v>
      </c>
      <c r="BH154" s="49">
        <f ca="1"/>
        <v>104.01057355580814</v>
      </c>
      <c r="BI154" s="49">
        <f ca="1"/>
        <v>106.09078502692431</v>
      </c>
      <c r="BJ154" s="49">
        <f ca="1"/>
        <v>108.2126007274628</v>
      </c>
      <c r="BK154" s="49">
        <f ca="1"/>
        <v>110.37685274201206</v>
      </c>
      <c r="BL154" s="49">
        <f ca="1"/>
        <v>112.58438979685228</v>
      </c>
      <c r="BM154" s="49">
        <f ca="1"/>
        <v>114.83607759278935</v>
      </c>
      <c r="BN154" s="49">
        <f ca="1"/>
        <v>117.13279914464513</v>
      </c>
      <c r="BO154" s="49">
        <f ca="1"/>
        <v>119.47545512753804</v>
      </c>
      <c r="BP154" s="49">
        <f ca="1"/>
        <v>121.86496423008877</v>
      </c>
      <c r="BQ154" s="49">
        <f ca="1"/>
        <v>124.30226351469058</v>
      </c>
      <c r="BR154" s="49">
        <f ca="1"/>
        <v>126.78830878498439</v>
      </c>
      <c r="BS154" s="49">
        <f ca="1"/>
        <v>129.32407496068407</v>
      </c>
    </row>
    <row r="155" spans="1:71" outlineLevel="1" x14ac:dyDescent="0.2">
      <c r="J155" s="26"/>
      <c r="L155" s="55"/>
      <c r="M155" s="55"/>
      <c r="N155" s="55"/>
      <c r="O155" s="55"/>
      <c r="P155" s="55"/>
      <c r="Q155" s="55"/>
      <c r="R155" s="55"/>
      <c r="S155" s="55"/>
      <c r="T155" s="55"/>
      <c r="U155" s="55"/>
      <c r="V155" s="55"/>
      <c r="W155" s="55"/>
      <c r="X155" s="55"/>
      <c r="Y155" s="55"/>
      <c r="Z155" s="55"/>
      <c r="AA155" s="55"/>
      <c r="AB155" s="55"/>
      <c r="AC155" s="55"/>
      <c r="AD155" s="55"/>
      <c r="AE155" s="55"/>
      <c r="AF155" s="55"/>
      <c r="AG155" s="55"/>
      <c r="AH155" s="55"/>
      <c r="AI155" s="55"/>
      <c r="AJ155" s="55"/>
      <c r="AK155" s="55"/>
      <c r="AL155" s="55"/>
      <c r="AM155" s="55"/>
      <c r="AN155" s="55"/>
      <c r="AO155" s="55"/>
      <c r="AP155" s="55"/>
      <c r="AQ155" s="55"/>
      <c r="AR155" s="55"/>
      <c r="AS155" s="55"/>
      <c r="AT155" s="55"/>
      <c r="AU155" s="55"/>
      <c r="AV155" s="55"/>
      <c r="AW155" s="55"/>
      <c r="AX155" s="55"/>
      <c r="AY155" s="55"/>
      <c r="AZ155" s="55"/>
      <c r="BA155" s="55"/>
      <c r="BB155" s="55"/>
      <c r="BC155" s="55"/>
      <c r="BD155" s="55"/>
      <c r="BE155" s="55"/>
      <c r="BF155" s="55"/>
      <c r="BG155" s="55"/>
      <c r="BH155" s="55"/>
      <c r="BI155" s="55"/>
      <c r="BJ155" s="55"/>
      <c r="BK155" s="55"/>
      <c r="BL155" s="55"/>
      <c r="BM155" s="55"/>
      <c r="BN155" s="55"/>
      <c r="BO155" s="55"/>
      <c r="BP155" s="55"/>
      <c r="BQ155" s="55"/>
      <c r="BR155" s="55"/>
      <c r="BS155" s="55"/>
    </row>
    <row r="156" spans="1:71" outlineLevel="1" x14ac:dyDescent="0.2">
      <c r="A156" s="45"/>
      <c r="B156" s="38" t="s">
        <v>144</v>
      </c>
      <c r="C156" s="45"/>
      <c r="D156" s="45"/>
      <c r="E156" s="45"/>
      <c r="J156" s="26"/>
      <c r="L156" s="55"/>
      <c r="M156" s="55"/>
      <c r="N156" s="55"/>
      <c r="O156" s="55"/>
      <c r="P156" s="55"/>
      <c r="Q156" s="55"/>
      <c r="R156" s="55"/>
      <c r="S156" s="55"/>
      <c r="T156" s="55"/>
      <c r="U156" s="55"/>
      <c r="V156" s="55"/>
      <c r="W156" s="55"/>
      <c r="X156" s="55"/>
      <c r="Y156" s="55"/>
      <c r="Z156" s="55"/>
      <c r="AA156" s="55"/>
      <c r="AB156" s="55"/>
      <c r="AC156" s="55"/>
      <c r="AD156" s="55"/>
      <c r="AE156" s="55"/>
      <c r="AF156" s="55"/>
      <c r="AG156" s="55"/>
      <c r="AH156" s="55"/>
      <c r="AI156" s="55"/>
      <c r="AJ156" s="55"/>
      <c r="AK156" s="55"/>
      <c r="AL156" s="55"/>
      <c r="AM156" s="55"/>
      <c r="AN156" s="55"/>
      <c r="AO156" s="55"/>
      <c r="AP156" s="55"/>
      <c r="AQ156" s="55"/>
      <c r="AR156" s="55"/>
      <c r="AS156" s="55"/>
      <c r="AT156" s="55"/>
      <c r="AU156" s="55"/>
      <c r="AV156" s="55"/>
      <c r="AW156" s="55"/>
      <c r="AX156" s="55"/>
      <c r="AY156" s="55"/>
      <c r="AZ156" s="55"/>
      <c r="BA156" s="55"/>
      <c r="BB156" s="55"/>
      <c r="BC156" s="55"/>
      <c r="BD156" s="55"/>
      <c r="BE156" s="55"/>
      <c r="BF156" s="55"/>
      <c r="BG156" s="55"/>
      <c r="BH156" s="55"/>
      <c r="BI156" s="55"/>
      <c r="BJ156" s="55"/>
      <c r="BK156" s="55"/>
      <c r="BL156" s="55"/>
      <c r="BM156" s="55"/>
      <c r="BN156" s="55"/>
      <c r="BO156" s="55"/>
      <c r="BP156" s="55"/>
      <c r="BQ156" s="55"/>
      <c r="BR156" s="55"/>
      <c r="BS156" s="55"/>
    </row>
    <row r="157" spans="1:71" outlineLevel="1" x14ac:dyDescent="0.2">
      <c r="J157" s="26"/>
      <c r="L157" s="55"/>
      <c r="M157" s="55"/>
      <c r="N157" s="55"/>
      <c r="O157" s="55"/>
      <c r="P157" s="55"/>
      <c r="Q157" s="55"/>
      <c r="R157" s="55"/>
      <c r="S157" s="55"/>
      <c r="T157" s="55"/>
      <c r="U157" s="55"/>
      <c r="V157" s="55"/>
      <c r="W157" s="55"/>
      <c r="X157" s="55"/>
      <c r="Y157" s="55"/>
      <c r="Z157" s="55"/>
      <c r="AA157" s="55"/>
      <c r="AB157" s="55"/>
      <c r="AC157" s="55"/>
      <c r="AD157" s="55"/>
      <c r="AE157" s="55"/>
      <c r="AF157" s="55"/>
      <c r="AG157" s="55"/>
      <c r="AH157" s="55"/>
      <c r="AI157" s="55"/>
      <c r="AJ157" s="55"/>
      <c r="AK157" s="55"/>
      <c r="AL157" s="55"/>
      <c r="AM157" s="55"/>
      <c r="AN157" s="55"/>
      <c r="AO157" s="55"/>
      <c r="AP157" s="55"/>
      <c r="AQ157" s="55"/>
      <c r="AR157" s="55"/>
      <c r="AS157" s="55"/>
      <c r="AT157" s="55"/>
      <c r="AU157" s="55"/>
      <c r="AV157" s="55"/>
      <c r="AW157" s="55"/>
      <c r="AX157" s="55"/>
      <c r="AY157" s="55"/>
      <c r="AZ157" s="55"/>
      <c r="BA157" s="55"/>
      <c r="BB157" s="55"/>
      <c r="BC157" s="55"/>
      <c r="BD157" s="55"/>
      <c r="BE157" s="55"/>
      <c r="BF157" s="55"/>
      <c r="BG157" s="55"/>
      <c r="BH157" s="55"/>
      <c r="BI157" s="55"/>
      <c r="BJ157" s="55"/>
      <c r="BK157" s="55"/>
      <c r="BL157" s="55"/>
      <c r="BM157" s="55"/>
      <c r="BN157" s="55"/>
      <c r="BO157" s="55"/>
      <c r="BP157" s="55"/>
      <c r="BQ157" s="55"/>
      <c r="BR157" s="55"/>
      <c r="BS157" s="55"/>
    </row>
    <row r="158" spans="1:71" outlineLevel="1" x14ac:dyDescent="0.2">
      <c r="C158" s="11" t="s">
        <v>145</v>
      </c>
      <c r="J158" s="26"/>
      <c r="L158" s="55"/>
      <c r="M158" s="55"/>
      <c r="N158" s="55"/>
      <c r="O158" s="55"/>
      <c r="P158" s="55"/>
      <c r="Q158" s="55"/>
      <c r="R158" s="55"/>
      <c r="S158" s="55"/>
      <c r="T158" s="55"/>
      <c r="U158" s="55"/>
      <c r="V158" s="55"/>
      <c r="W158" s="55"/>
      <c r="X158" s="55"/>
      <c r="Y158" s="55"/>
      <c r="Z158" s="55"/>
      <c r="AA158" s="55"/>
      <c r="AB158" s="55"/>
      <c r="AC158" s="55"/>
      <c r="AD158" s="55"/>
      <c r="AE158" s="55"/>
      <c r="AF158" s="55"/>
      <c r="AG158" s="55"/>
      <c r="AH158" s="55"/>
      <c r="AI158" s="55"/>
      <c r="AJ158" s="55"/>
      <c r="AK158" s="55"/>
      <c r="AL158" s="55"/>
      <c r="AM158" s="55"/>
      <c r="AN158" s="55"/>
      <c r="AO158" s="55"/>
      <c r="AP158" s="55"/>
      <c r="AQ158" s="55"/>
      <c r="AR158" s="55"/>
      <c r="AS158" s="55"/>
      <c r="AT158" s="55"/>
      <c r="AU158" s="55"/>
      <c r="AV158" s="55"/>
      <c r="AW158" s="55"/>
      <c r="AX158" s="55"/>
      <c r="AY158" s="55"/>
      <c r="AZ158" s="55"/>
      <c r="BA158" s="55"/>
      <c r="BB158" s="55"/>
      <c r="BC158" s="55"/>
      <c r="BD158" s="55"/>
      <c r="BE158" s="55"/>
      <c r="BF158" s="55"/>
      <c r="BG158" s="55"/>
      <c r="BH158" s="55"/>
      <c r="BI158" s="55"/>
      <c r="BJ158" s="55"/>
      <c r="BK158" s="55"/>
      <c r="BL158" s="55"/>
      <c r="BM158" s="55"/>
      <c r="BN158" s="55"/>
      <c r="BO158" s="55"/>
      <c r="BP158" s="55"/>
      <c r="BQ158" s="55"/>
      <c r="BR158" s="55"/>
      <c r="BS158" s="55"/>
    </row>
    <row r="159" spans="1:71" outlineLevel="1" x14ac:dyDescent="0.2">
      <c r="D159" t="s">
        <v>146</v>
      </c>
      <c r="I159" s="30">
        <f ca="1">SUM($L159:$BS159)</f>
        <v>4626.1233109649347</v>
      </c>
      <c r="J159" s="26" t="s">
        <v>148</v>
      </c>
      <c r="K159" s="7" t="s">
        <v>151</v>
      </c>
      <c r="L159" s="49">
        <f ca="1">Marine!CA_gross_sales_oil*Marine!CA_FP_oil_nom+Marine!CA_gross_sales_lpg*Marine!CA_FP_lpg_nom</f>
        <v>0</v>
      </c>
      <c r="M159" s="49">
        <f ca="1">Marine!CA_gross_sales_oil*Marine!CA_FP_oil_nom+Marine!CA_gross_sales_lpg*Marine!CA_FP_lpg_nom</f>
        <v>0.24249155536869132</v>
      </c>
      <c r="N159" s="49">
        <f ca="1">Marine!CA_gross_sales_oil*Marine!CA_FP_oil_nom+Marine!CA_gross_sales_lpg*Marine!CA_FP_lpg_nom</f>
        <v>83.550739323060739</v>
      </c>
      <c r="O159" s="49">
        <f ca="1">Marine!CA_gross_sales_oil*Marine!CA_FP_oil_nom+Marine!CA_gross_sales_lpg*Marine!CA_FP_lpg_nom</f>
        <v>129.27461838251727</v>
      </c>
      <c r="P159" s="49">
        <f ca="1">Marine!CA_gross_sales_oil*Marine!CA_FP_oil_nom+Marine!CA_gross_sales_lpg*Marine!CA_FP_lpg_nom</f>
        <v>298.74067895181616</v>
      </c>
      <c r="Q159" s="49">
        <f ca="1">Marine!CA_gross_sales_oil*Marine!CA_FP_oil_nom+Marine!CA_gross_sales_lpg*Marine!CA_FP_lpg_nom</f>
        <v>664.62329202654621</v>
      </c>
      <c r="R159" s="49">
        <f ca="1">Marine!CA_gross_sales_oil*Marine!CA_FP_oil_nom+Marine!CA_gross_sales_lpg*Marine!CA_FP_lpg_nom</f>
        <v>617.67746846456896</v>
      </c>
      <c r="S159" s="49">
        <f ca="1">Marine!CA_gross_sales_oil*Marine!CA_FP_oil_nom+Marine!CA_gross_sales_lpg*Marine!CA_FP_lpg_nom</f>
        <v>350.3247935833333</v>
      </c>
      <c r="T159" s="49">
        <f ca="1">Marine!CA_gross_sales_oil*Marine!CA_FP_oil_nom+Marine!CA_gross_sales_lpg*Marine!CA_FP_lpg_nom</f>
        <v>528.51895387199988</v>
      </c>
      <c r="U159" s="49">
        <f ca="1">Marine!CA_gross_sales_oil*Marine!CA_FP_oil_nom+Marine!CA_gross_sales_lpg*Marine!CA_FP_lpg_nom</f>
        <v>527.59410290999995</v>
      </c>
      <c r="V159" s="49">
        <f ca="1">Marine!CA_gross_sales_oil*Marine!CA_FP_oil_nom+Marine!CA_gross_sales_lpg*Marine!CA_FP_lpg_nom</f>
        <v>500.47576602042585</v>
      </c>
      <c r="W159" s="49">
        <f ca="1">Marine!CA_gross_sales_oil*Marine!CA_FP_oil_nom+Marine!CA_gross_sales_lpg*Marine!CA_FP_lpg_nom</f>
        <v>474.75131164697592</v>
      </c>
      <c r="X159" s="49">
        <f ca="1">Marine!CA_gross_sales_oil*Marine!CA_FP_oil_nom+Marine!CA_gross_sales_lpg*Marine!CA_FP_lpg_nom</f>
        <v>450.34909422832135</v>
      </c>
      <c r="Y159" s="49">
        <f ca="1">Marine!CA_gross_sales_oil*Marine!CA_FP_oil_nom+Marine!CA_gross_sales_lpg*Marine!CA_FP_lpg_nom</f>
        <v>0</v>
      </c>
      <c r="Z159" s="49">
        <f ca="1">Marine!CA_gross_sales_oil*Marine!CA_FP_oil_nom+Marine!CA_gross_sales_lpg*Marine!CA_FP_lpg_nom</f>
        <v>0</v>
      </c>
      <c r="AA159" s="49">
        <f ca="1">Marine!CA_gross_sales_oil*Marine!CA_FP_oil_nom+Marine!CA_gross_sales_lpg*Marine!CA_FP_lpg_nom</f>
        <v>0</v>
      </c>
      <c r="AB159" s="49">
        <f ca="1">Marine!CA_gross_sales_oil*Marine!CA_FP_oil_nom+Marine!CA_gross_sales_lpg*Marine!CA_FP_lpg_nom</f>
        <v>0</v>
      </c>
      <c r="AC159" s="49">
        <f ca="1">Marine!CA_gross_sales_oil*Marine!CA_FP_oil_nom+Marine!CA_gross_sales_lpg*Marine!CA_FP_lpg_nom</f>
        <v>0</v>
      </c>
      <c r="AD159" s="49">
        <f ca="1">Marine!CA_gross_sales_oil*Marine!CA_FP_oil_nom+Marine!CA_gross_sales_lpg*Marine!CA_FP_lpg_nom</f>
        <v>0</v>
      </c>
      <c r="AE159" s="49">
        <f ca="1">Marine!CA_gross_sales_oil*Marine!CA_FP_oil_nom+Marine!CA_gross_sales_lpg*Marine!CA_FP_lpg_nom</f>
        <v>0</v>
      </c>
      <c r="AF159" s="49">
        <f ca="1">Marine!CA_gross_sales_oil*Marine!CA_FP_oil_nom+Marine!CA_gross_sales_lpg*Marine!CA_FP_lpg_nom</f>
        <v>0</v>
      </c>
      <c r="AG159" s="49">
        <f ca="1">Marine!CA_gross_sales_oil*Marine!CA_FP_oil_nom+Marine!CA_gross_sales_lpg*Marine!CA_FP_lpg_nom</f>
        <v>0</v>
      </c>
      <c r="AH159" s="49">
        <f ca="1">Marine!CA_gross_sales_oil*Marine!CA_FP_oil_nom+Marine!CA_gross_sales_lpg*Marine!CA_FP_lpg_nom</f>
        <v>0</v>
      </c>
      <c r="AI159" s="49">
        <f ca="1">Marine!CA_gross_sales_oil*Marine!CA_FP_oil_nom+Marine!CA_gross_sales_lpg*Marine!CA_FP_lpg_nom</f>
        <v>0</v>
      </c>
      <c r="AJ159" s="49">
        <f ca="1">Marine!CA_gross_sales_oil*Marine!CA_FP_oil_nom+Marine!CA_gross_sales_lpg*Marine!CA_FP_lpg_nom</f>
        <v>0</v>
      </c>
      <c r="AK159" s="49">
        <f ca="1">Marine!CA_gross_sales_oil*Marine!CA_FP_oil_nom+Marine!CA_gross_sales_lpg*Marine!CA_FP_lpg_nom</f>
        <v>0</v>
      </c>
      <c r="AL159" s="49">
        <f ca="1">Marine!CA_gross_sales_oil*Marine!CA_FP_oil_nom+Marine!CA_gross_sales_lpg*Marine!CA_FP_lpg_nom</f>
        <v>0</v>
      </c>
      <c r="AM159" s="49">
        <f ca="1">Marine!CA_gross_sales_oil*Marine!CA_FP_oil_nom+Marine!CA_gross_sales_lpg*Marine!CA_FP_lpg_nom</f>
        <v>0</v>
      </c>
      <c r="AN159" s="49">
        <f ca="1">Marine!CA_gross_sales_oil*Marine!CA_FP_oil_nom+Marine!CA_gross_sales_lpg*Marine!CA_FP_lpg_nom</f>
        <v>0</v>
      </c>
      <c r="AO159" s="49">
        <f ca="1">Marine!CA_gross_sales_oil*Marine!CA_FP_oil_nom+Marine!CA_gross_sales_lpg*Marine!CA_FP_lpg_nom</f>
        <v>0</v>
      </c>
      <c r="AP159" s="49">
        <f ca="1">Marine!CA_gross_sales_oil*Marine!CA_FP_oil_nom+Marine!CA_gross_sales_lpg*Marine!CA_FP_lpg_nom</f>
        <v>0</v>
      </c>
      <c r="AQ159" s="49">
        <f ca="1">Marine!CA_gross_sales_oil*Marine!CA_FP_oil_nom+Marine!CA_gross_sales_lpg*Marine!CA_FP_lpg_nom</f>
        <v>0</v>
      </c>
      <c r="AR159" s="49">
        <f ca="1">Marine!CA_gross_sales_oil*Marine!CA_FP_oil_nom+Marine!CA_gross_sales_lpg*Marine!CA_FP_lpg_nom</f>
        <v>0</v>
      </c>
      <c r="AS159" s="49">
        <f ca="1">Marine!CA_gross_sales_oil*Marine!CA_FP_oil_nom+Marine!CA_gross_sales_lpg*Marine!CA_FP_lpg_nom</f>
        <v>0</v>
      </c>
      <c r="AT159" s="49">
        <f ca="1">Marine!CA_gross_sales_oil*Marine!CA_FP_oil_nom+Marine!CA_gross_sales_lpg*Marine!CA_FP_lpg_nom</f>
        <v>0</v>
      </c>
      <c r="AU159" s="49">
        <f ca="1">Marine!CA_gross_sales_oil*Marine!CA_FP_oil_nom+Marine!CA_gross_sales_lpg*Marine!CA_FP_lpg_nom</f>
        <v>0</v>
      </c>
      <c r="AV159" s="49">
        <f ca="1">Marine!CA_gross_sales_oil*Marine!CA_FP_oil_nom+Marine!CA_gross_sales_lpg*Marine!CA_FP_lpg_nom</f>
        <v>0</v>
      </c>
      <c r="AW159" s="49">
        <f ca="1">Marine!CA_gross_sales_oil*Marine!CA_FP_oil_nom+Marine!CA_gross_sales_lpg*Marine!CA_FP_lpg_nom</f>
        <v>0</v>
      </c>
      <c r="AX159" s="49">
        <f ca="1">Marine!CA_gross_sales_oil*Marine!CA_FP_oil_nom+Marine!CA_gross_sales_lpg*Marine!CA_FP_lpg_nom</f>
        <v>0</v>
      </c>
      <c r="AY159" s="49">
        <f ca="1">Marine!CA_gross_sales_oil*Marine!CA_FP_oil_nom+Marine!CA_gross_sales_lpg*Marine!CA_FP_lpg_nom</f>
        <v>0</v>
      </c>
      <c r="AZ159" s="49">
        <f ca="1">Marine!CA_gross_sales_oil*Marine!CA_FP_oil_nom+Marine!CA_gross_sales_lpg*Marine!CA_FP_lpg_nom</f>
        <v>0</v>
      </c>
      <c r="BA159" s="49">
        <f ca="1">Marine!CA_gross_sales_oil*Marine!CA_FP_oil_nom+Marine!CA_gross_sales_lpg*Marine!CA_FP_lpg_nom</f>
        <v>0</v>
      </c>
      <c r="BB159" s="49">
        <f ca="1">Marine!CA_gross_sales_oil*Marine!CA_FP_oil_nom+Marine!CA_gross_sales_lpg*Marine!CA_FP_lpg_nom</f>
        <v>0</v>
      </c>
      <c r="BC159" s="49">
        <f ca="1">Marine!CA_gross_sales_oil*Marine!CA_FP_oil_nom+Marine!CA_gross_sales_lpg*Marine!CA_FP_lpg_nom</f>
        <v>0</v>
      </c>
      <c r="BD159" s="49">
        <f ca="1">Marine!CA_gross_sales_oil*Marine!CA_FP_oil_nom+Marine!CA_gross_sales_lpg*Marine!CA_FP_lpg_nom</f>
        <v>0</v>
      </c>
      <c r="BE159" s="49">
        <f ca="1">Marine!CA_gross_sales_oil*Marine!CA_FP_oil_nom+Marine!CA_gross_sales_lpg*Marine!CA_FP_lpg_nom</f>
        <v>0</v>
      </c>
      <c r="BF159" s="49">
        <f ca="1">Marine!CA_gross_sales_oil*Marine!CA_FP_oil_nom+Marine!CA_gross_sales_lpg*Marine!CA_FP_lpg_nom</f>
        <v>0</v>
      </c>
      <c r="BG159" s="49">
        <f ca="1">Marine!CA_gross_sales_oil*Marine!CA_FP_oil_nom+Marine!CA_gross_sales_lpg*Marine!CA_FP_lpg_nom</f>
        <v>0</v>
      </c>
      <c r="BH159" s="49">
        <f ca="1">Marine!CA_gross_sales_oil*Marine!CA_FP_oil_nom+Marine!CA_gross_sales_lpg*Marine!CA_FP_lpg_nom</f>
        <v>0</v>
      </c>
      <c r="BI159" s="49">
        <f ca="1">Marine!CA_gross_sales_oil*Marine!CA_FP_oil_nom+Marine!CA_gross_sales_lpg*Marine!CA_FP_lpg_nom</f>
        <v>0</v>
      </c>
      <c r="BJ159" s="49">
        <f ca="1">Marine!CA_gross_sales_oil*Marine!CA_FP_oil_nom+Marine!CA_gross_sales_lpg*Marine!CA_FP_lpg_nom</f>
        <v>0</v>
      </c>
      <c r="BK159" s="49">
        <f ca="1">Marine!CA_gross_sales_oil*Marine!CA_FP_oil_nom+Marine!CA_gross_sales_lpg*Marine!CA_FP_lpg_nom</f>
        <v>0</v>
      </c>
      <c r="BL159" s="49">
        <f ca="1">Marine!CA_gross_sales_oil*Marine!CA_FP_oil_nom+Marine!CA_gross_sales_lpg*Marine!CA_FP_lpg_nom</f>
        <v>0</v>
      </c>
      <c r="BM159" s="49">
        <f ca="1">Marine!CA_gross_sales_oil*Marine!CA_FP_oil_nom+Marine!CA_gross_sales_lpg*Marine!CA_FP_lpg_nom</f>
        <v>0</v>
      </c>
      <c r="BN159" s="49">
        <f ca="1">Marine!CA_gross_sales_oil*Marine!CA_FP_oil_nom+Marine!CA_gross_sales_lpg*Marine!CA_FP_lpg_nom</f>
        <v>0</v>
      </c>
      <c r="BO159" s="49">
        <f ca="1">Marine!CA_gross_sales_oil*Marine!CA_FP_oil_nom+Marine!CA_gross_sales_lpg*Marine!CA_FP_lpg_nom</f>
        <v>0</v>
      </c>
      <c r="BP159" s="49">
        <f ca="1">Marine!CA_gross_sales_oil*Marine!CA_FP_oil_nom+Marine!CA_gross_sales_lpg*Marine!CA_FP_lpg_nom</f>
        <v>0</v>
      </c>
      <c r="BQ159" s="49">
        <f ca="1">Marine!CA_gross_sales_oil*Marine!CA_FP_oil_nom+Marine!CA_gross_sales_lpg*Marine!CA_FP_lpg_nom</f>
        <v>0</v>
      </c>
      <c r="BR159" s="49">
        <f ca="1">Marine!CA_gross_sales_oil*Marine!CA_FP_oil_nom+Marine!CA_gross_sales_lpg*Marine!CA_FP_lpg_nom</f>
        <v>0</v>
      </c>
      <c r="BS159" s="49">
        <f ca="1">Marine!CA_gross_sales_oil*Marine!CA_FP_oil_nom+Marine!CA_gross_sales_lpg*Marine!CA_FP_lpg_nom</f>
        <v>0</v>
      </c>
    </row>
    <row r="160" spans="1:71" outlineLevel="1" x14ac:dyDescent="0.2">
      <c r="D160" t="s">
        <v>846</v>
      </c>
      <c r="I160" s="30">
        <f ca="1">SUM($L160:$BS160)</f>
        <v>678.14449764554229</v>
      </c>
      <c r="J160" s="26" t="s">
        <v>148</v>
      </c>
      <c r="K160" s="7" t="s">
        <v>152</v>
      </c>
      <c r="L160" s="49">
        <f ca="1">CA_export_sales_gas*Marine!CA_FP_gas_nom</f>
        <v>0</v>
      </c>
      <c r="M160" s="49">
        <f ca="1">CA_export_sales_gas*Marine!CA_FP_gas_nom</f>
        <v>7.3246590227633908</v>
      </c>
      <c r="N160" s="49">
        <f ca="1">CA_export_sales_gas*Marine!CA_FP_gas_nom</f>
        <v>37.069512718136536</v>
      </c>
      <c r="O160" s="49">
        <f ca="1">CA_export_sales_gas*Marine!CA_FP_gas_nom</f>
        <v>58.181559128841855</v>
      </c>
      <c r="P160" s="49">
        <f ca="1">CA_export_sales_gas*Marine!CA_FP_gas_nom</f>
        <v>53.647385263898492</v>
      </c>
      <c r="Q160" s="49">
        <f ca="1">CA_export_sales_gas*Marine!CA_FP_gas_nom</f>
        <v>58.851660153647067</v>
      </c>
      <c r="R160" s="49">
        <f ca="1">CA_export_sales_gas*Marine!CA_FP_gas_nom</f>
        <v>6.0028693356720009E-5</v>
      </c>
      <c r="S160" s="49">
        <f ca="1">CA_export_sales_gas*Marine!CA_FP_gas_nom</f>
        <v>77.321280000000002</v>
      </c>
      <c r="T160" s="49">
        <f ca="1">CA_export_sales_gas*Marine!CA_FP_gas_nom</f>
        <v>77.209642998585565</v>
      </c>
      <c r="U160" s="49">
        <f ca="1">CA_export_sales_gas*Marine!CA_FP_gas_nom</f>
        <v>77.173354455445548</v>
      </c>
      <c r="V160" s="49">
        <f ca="1">CA_export_sales_gas*Marine!CA_FP_gas_nom</f>
        <v>77.140657425742575</v>
      </c>
      <c r="W160" s="49">
        <f ca="1">CA_export_sales_gas*Marine!CA_FP_gas_nom</f>
        <v>77.134314002828859</v>
      </c>
      <c r="X160" s="49">
        <f ca="1">CA_export_sales_gas*Marine!CA_FP_gas_nom</f>
        <v>77.090412446958993</v>
      </c>
      <c r="Y160" s="49">
        <f ca="1">CA_export_sales_gas*Marine!CA_FP_gas_nom</f>
        <v>0</v>
      </c>
      <c r="Z160" s="49">
        <f ca="1">CA_export_sales_gas*Marine!CA_FP_gas_nom</f>
        <v>0</v>
      </c>
      <c r="AA160" s="49">
        <f ca="1">CA_export_sales_gas*Marine!CA_FP_gas_nom</f>
        <v>0</v>
      </c>
      <c r="AB160" s="49">
        <f ca="1">CA_export_sales_gas*Marine!CA_FP_gas_nom</f>
        <v>0</v>
      </c>
      <c r="AC160" s="49">
        <f ca="1">CA_export_sales_gas*Marine!CA_FP_gas_nom</f>
        <v>0</v>
      </c>
      <c r="AD160" s="49">
        <f ca="1">CA_export_sales_gas*Marine!CA_FP_gas_nom</f>
        <v>0</v>
      </c>
      <c r="AE160" s="49">
        <f ca="1">CA_export_sales_gas*Marine!CA_FP_gas_nom</f>
        <v>0</v>
      </c>
      <c r="AF160" s="49">
        <f ca="1">CA_export_sales_gas*Marine!CA_FP_gas_nom</f>
        <v>0</v>
      </c>
      <c r="AG160" s="49">
        <f ca="1">CA_export_sales_gas*Marine!CA_FP_gas_nom</f>
        <v>0</v>
      </c>
      <c r="AH160" s="49">
        <f ca="1">CA_export_sales_gas*Marine!CA_FP_gas_nom</f>
        <v>0</v>
      </c>
      <c r="AI160" s="49">
        <f ca="1">CA_export_sales_gas*Marine!CA_FP_gas_nom</f>
        <v>0</v>
      </c>
      <c r="AJ160" s="49">
        <f ca="1">CA_export_sales_gas*Marine!CA_FP_gas_nom</f>
        <v>0</v>
      </c>
      <c r="AK160" s="49">
        <f ca="1">CA_export_sales_gas*Marine!CA_FP_gas_nom</f>
        <v>0</v>
      </c>
      <c r="AL160" s="49">
        <f ca="1">CA_export_sales_gas*Marine!CA_FP_gas_nom</f>
        <v>0</v>
      </c>
      <c r="AM160" s="49">
        <f ca="1">CA_export_sales_gas*Marine!CA_FP_gas_nom</f>
        <v>0</v>
      </c>
      <c r="AN160" s="49">
        <f ca="1">CA_export_sales_gas*Marine!CA_FP_gas_nom</f>
        <v>0</v>
      </c>
      <c r="AO160" s="49">
        <f ca="1">CA_export_sales_gas*Marine!CA_FP_gas_nom</f>
        <v>0</v>
      </c>
      <c r="AP160" s="49">
        <f ca="1">CA_export_sales_gas*Marine!CA_FP_gas_nom</f>
        <v>0</v>
      </c>
      <c r="AQ160" s="49">
        <f ca="1">CA_export_sales_gas*Marine!CA_FP_gas_nom</f>
        <v>0</v>
      </c>
      <c r="AR160" s="49">
        <f ca="1">CA_export_sales_gas*Marine!CA_FP_gas_nom</f>
        <v>0</v>
      </c>
      <c r="AS160" s="49">
        <f ca="1">CA_export_sales_gas*Marine!CA_FP_gas_nom</f>
        <v>0</v>
      </c>
      <c r="AT160" s="49">
        <f ca="1">CA_export_sales_gas*Marine!CA_FP_gas_nom</f>
        <v>0</v>
      </c>
      <c r="AU160" s="49">
        <f ca="1">CA_export_sales_gas*Marine!CA_FP_gas_nom</f>
        <v>0</v>
      </c>
      <c r="AV160" s="49">
        <f ca="1">CA_export_sales_gas*Marine!CA_FP_gas_nom</f>
        <v>0</v>
      </c>
      <c r="AW160" s="49">
        <f ca="1">CA_export_sales_gas*Marine!CA_FP_gas_nom</f>
        <v>0</v>
      </c>
      <c r="AX160" s="49">
        <f ca="1">CA_export_sales_gas*Marine!CA_FP_gas_nom</f>
        <v>0</v>
      </c>
      <c r="AY160" s="49">
        <f ca="1">CA_export_sales_gas*Marine!CA_FP_gas_nom</f>
        <v>0</v>
      </c>
      <c r="AZ160" s="49">
        <f ca="1">CA_export_sales_gas*Marine!CA_FP_gas_nom</f>
        <v>0</v>
      </c>
      <c r="BA160" s="49">
        <f ca="1">CA_export_sales_gas*Marine!CA_FP_gas_nom</f>
        <v>0</v>
      </c>
      <c r="BB160" s="49">
        <f ca="1">CA_export_sales_gas*Marine!CA_FP_gas_nom</f>
        <v>0</v>
      </c>
      <c r="BC160" s="49">
        <f ca="1">CA_export_sales_gas*Marine!CA_FP_gas_nom</f>
        <v>0</v>
      </c>
      <c r="BD160" s="49">
        <f ca="1">CA_export_sales_gas*Marine!CA_FP_gas_nom</f>
        <v>0</v>
      </c>
      <c r="BE160" s="49">
        <f ca="1">CA_export_sales_gas*Marine!CA_FP_gas_nom</f>
        <v>0</v>
      </c>
      <c r="BF160" s="49">
        <f ca="1">CA_export_sales_gas*Marine!CA_FP_gas_nom</f>
        <v>0</v>
      </c>
      <c r="BG160" s="49">
        <f ca="1">CA_export_sales_gas*Marine!CA_FP_gas_nom</f>
        <v>0</v>
      </c>
      <c r="BH160" s="49">
        <f ca="1">CA_export_sales_gas*Marine!CA_FP_gas_nom</f>
        <v>0</v>
      </c>
      <c r="BI160" s="49">
        <f ca="1">CA_export_sales_gas*Marine!CA_FP_gas_nom</f>
        <v>0</v>
      </c>
      <c r="BJ160" s="49">
        <f ca="1">CA_export_sales_gas*Marine!CA_FP_gas_nom</f>
        <v>0</v>
      </c>
      <c r="BK160" s="49">
        <f ca="1">CA_export_sales_gas*Marine!CA_FP_gas_nom</f>
        <v>0</v>
      </c>
      <c r="BL160" s="49">
        <f ca="1">CA_export_sales_gas*Marine!CA_FP_gas_nom</f>
        <v>0</v>
      </c>
      <c r="BM160" s="49">
        <f ca="1">CA_export_sales_gas*Marine!CA_FP_gas_nom</f>
        <v>0</v>
      </c>
      <c r="BN160" s="49">
        <f ca="1">CA_export_sales_gas*Marine!CA_FP_gas_nom</f>
        <v>0</v>
      </c>
      <c r="BO160" s="49">
        <f ca="1">CA_export_sales_gas*Marine!CA_FP_gas_nom</f>
        <v>0</v>
      </c>
      <c r="BP160" s="49">
        <f ca="1">CA_export_sales_gas*Marine!CA_FP_gas_nom</f>
        <v>0</v>
      </c>
      <c r="BQ160" s="49">
        <f ca="1">CA_export_sales_gas*Marine!CA_FP_gas_nom</f>
        <v>0</v>
      </c>
      <c r="BR160" s="49">
        <f ca="1">CA_export_sales_gas*Marine!CA_FP_gas_nom</f>
        <v>0</v>
      </c>
      <c r="BS160" s="49">
        <f ca="1">CA_export_sales_gas*Marine!CA_FP_gas_nom</f>
        <v>0</v>
      </c>
    </row>
    <row r="161" spans="1:71" outlineLevel="1" x14ac:dyDescent="0.2">
      <c r="D161" t="s">
        <v>847</v>
      </c>
      <c r="I161" s="30">
        <f ca="1">SUM($L161:$BS161)</f>
        <v>169.53612441138546</v>
      </c>
      <c r="J161" s="26" t="s">
        <v>148</v>
      </c>
      <c r="K161" s="7" t="s">
        <v>848</v>
      </c>
      <c r="L161" s="49">
        <f ca="1">CA_domestic_sales_gas*[0]!CA_FP_domestic_gas_nom</f>
        <v>0</v>
      </c>
      <c r="M161" s="49">
        <f ca="1">CA_domestic_sales_gas*[0]!CA_FP_domestic_gas_nom</f>
        <v>1.8311647556908466</v>
      </c>
      <c r="N161" s="49">
        <f ca="1">CA_domestic_sales_gas*[0]!CA_FP_domestic_gas_nom</f>
        <v>9.2673781795341323</v>
      </c>
      <c r="O161" s="49">
        <f ca="1">CA_domestic_sales_gas*[0]!CA_FP_domestic_gas_nom</f>
        <v>14.54538978221046</v>
      </c>
      <c r="P161" s="49">
        <f ca="1">CA_domestic_sales_gas*[0]!CA_FP_domestic_gas_nom</f>
        <v>13.411846315974623</v>
      </c>
      <c r="Q161" s="49">
        <f ca="1">CA_domestic_sales_gas*[0]!CA_FP_domestic_gas_nom</f>
        <v>14.712915038411758</v>
      </c>
      <c r="R161" s="49">
        <f ca="1">CA_domestic_sales_gas*[0]!CA_FP_domestic_gas_nom</f>
        <v>1.5007173339179999E-5</v>
      </c>
      <c r="S161" s="49">
        <f ca="1">CA_domestic_sales_gas*[0]!CA_FP_domestic_gas_nom</f>
        <v>19.33031999999999</v>
      </c>
      <c r="T161" s="49">
        <f ca="1">CA_domestic_sales_gas*[0]!CA_FP_domestic_gas_nom</f>
        <v>19.302410749646384</v>
      </c>
      <c r="U161" s="49">
        <f ca="1">CA_domestic_sales_gas*[0]!CA_FP_domestic_gas_nom</f>
        <v>19.293338613861376</v>
      </c>
      <c r="V161" s="49">
        <f ca="1">CA_domestic_sales_gas*[0]!CA_FP_domestic_gas_nom</f>
        <v>19.285164356435633</v>
      </c>
      <c r="W161" s="49">
        <f ca="1">CA_domestic_sales_gas*[0]!CA_FP_domestic_gas_nom</f>
        <v>19.283578500707208</v>
      </c>
      <c r="X161" s="49">
        <f ca="1">CA_domestic_sales_gas*[0]!CA_FP_domestic_gas_nom</f>
        <v>19.272603111739738</v>
      </c>
      <c r="Y161" s="49">
        <f ca="1">CA_domestic_sales_gas*[0]!CA_FP_domestic_gas_nom</f>
        <v>0</v>
      </c>
      <c r="Z161" s="49">
        <f ca="1">CA_domestic_sales_gas*[0]!CA_FP_domestic_gas_nom</f>
        <v>0</v>
      </c>
      <c r="AA161" s="49">
        <f ca="1">CA_domestic_sales_gas*[0]!CA_FP_domestic_gas_nom</f>
        <v>0</v>
      </c>
      <c r="AB161" s="49">
        <f ca="1">CA_domestic_sales_gas*[0]!CA_FP_domestic_gas_nom</f>
        <v>0</v>
      </c>
      <c r="AC161" s="49">
        <f ca="1">CA_domestic_sales_gas*[0]!CA_FP_domestic_gas_nom</f>
        <v>0</v>
      </c>
      <c r="AD161" s="49">
        <f ca="1">CA_domestic_sales_gas*[0]!CA_FP_domestic_gas_nom</f>
        <v>0</v>
      </c>
      <c r="AE161" s="49">
        <f ca="1">CA_domestic_sales_gas*[0]!CA_FP_domestic_gas_nom</f>
        <v>0</v>
      </c>
      <c r="AF161" s="49">
        <f ca="1">CA_domestic_sales_gas*[0]!CA_FP_domestic_gas_nom</f>
        <v>0</v>
      </c>
      <c r="AG161" s="49">
        <f ca="1">CA_domestic_sales_gas*[0]!CA_FP_domestic_gas_nom</f>
        <v>0</v>
      </c>
      <c r="AH161" s="49">
        <f ca="1">CA_domestic_sales_gas*[0]!CA_FP_domestic_gas_nom</f>
        <v>0</v>
      </c>
      <c r="AI161" s="49">
        <f ca="1">CA_domestic_sales_gas*[0]!CA_FP_domestic_gas_nom</f>
        <v>0</v>
      </c>
      <c r="AJ161" s="49">
        <f ca="1">CA_domestic_sales_gas*[0]!CA_FP_domestic_gas_nom</f>
        <v>0</v>
      </c>
      <c r="AK161" s="49">
        <f ca="1">CA_domestic_sales_gas*[0]!CA_FP_domestic_gas_nom</f>
        <v>0</v>
      </c>
      <c r="AL161" s="49">
        <f ca="1">CA_domestic_sales_gas*[0]!CA_FP_domestic_gas_nom</f>
        <v>0</v>
      </c>
      <c r="AM161" s="49">
        <f ca="1">CA_domestic_sales_gas*[0]!CA_FP_domestic_gas_nom</f>
        <v>0</v>
      </c>
      <c r="AN161" s="49">
        <f ca="1">CA_domestic_sales_gas*[0]!CA_FP_domestic_gas_nom</f>
        <v>0</v>
      </c>
      <c r="AO161" s="49">
        <f ca="1">CA_domestic_sales_gas*[0]!CA_FP_domestic_gas_nom</f>
        <v>0</v>
      </c>
      <c r="AP161" s="49">
        <f ca="1">CA_domestic_sales_gas*[0]!CA_FP_domestic_gas_nom</f>
        <v>0</v>
      </c>
      <c r="AQ161" s="49">
        <f ca="1">CA_domestic_sales_gas*[0]!CA_FP_domestic_gas_nom</f>
        <v>0</v>
      </c>
      <c r="AR161" s="49">
        <f ca="1">CA_domestic_sales_gas*[0]!CA_FP_domestic_gas_nom</f>
        <v>0</v>
      </c>
      <c r="AS161" s="49">
        <f ca="1">CA_domestic_sales_gas*[0]!CA_FP_domestic_gas_nom</f>
        <v>0</v>
      </c>
      <c r="AT161" s="49">
        <f ca="1">CA_domestic_sales_gas*[0]!CA_FP_domestic_gas_nom</f>
        <v>0</v>
      </c>
      <c r="AU161" s="49">
        <f ca="1">CA_domestic_sales_gas*[0]!CA_FP_domestic_gas_nom</f>
        <v>0</v>
      </c>
      <c r="AV161" s="49">
        <f ca="1">CA_domestic_sales_gas*[0]!CA_FP_domestic_gas_nom</f>
        <v>0</v>
      </c>
      <c r="AW161" s="49">
        <f ca="1">CA_domestic_sales_gas*[0]!CA_FP_domestic_gas_nom</f>
        <v>0</v>
      </c>
      <c r="AX161" s="49">
        <f ca="1">CA_domestic_sales_gas*[0]!CA_FP_domestic_gas_nom</f>
        <v>0</v>
      </c>
      <c r="AY161" s="49">
        <f ca="1">CA_domestic_sales_gas*[0]!CA_FP_domestic_gas_nom</f>
        <v>0</v>
      </c>
      <c r="AZ161" s="49">
        <f ca="1">CA_domestic_sales_gas*[0]!CA_FP_domestic_gas_nom</f>
        <v>0</v>
      </c>
      <c r="BA161" s="49">
        <f ca="1">CA_domestic_sales_gas*[0]!CA_FP_domestic_gas_nom</f>
        <v>0</v>
      </c>
      <c r="BB161" s="49">
        <f ca="1">CA_domestic_sales_gas*[0]!CA_FP_domestic_gas_nom</f>
        <v>0</v>
      </c>
      <c r="BC161" s="49">
        <f ca="1">CA_domestic_sales_gas*[0]!CA_FP_domestic_gas_nom</f>
        <v>0</v>
      </c>
      <c r="BD161" s="49">
        <f ca="1">CA_domestic_sales_gas*[0]!CA_FP_domestic_gas_nom</f>
        <v>0</v>
      </c>
      <c r="BE161" s="49">
        <f ca="1">CA_domestic_sales_gas*[0]!CA_FP_domestic_gas_nom</f>
        <v>0</v>
      </c>
      <c r="BF161" s="49">
        <f ca="1">CA_domestic_sales_gas*[0]!CA_FP_domestic_gas_nom</f>
        <v>0</v>
      </c>
      <c r="BG161" s="49">
        <f ca="1">CA_domestic_sales_gas*[0]!CA_FP_domestic_gas_nom</f>
        <v>0</v>
      </c>
      <c r="BH161" s="49">
        <f ca="1">CA_domestic_sales_gas*[0]!CA_FP_domestic_gas_nom</f>
        <v>0</v>
      </c>
      <c r="BI161" s="49">
        <f ca="1">CA_domestic_sales_gas*[0]!CA_FP_domestic_gas_nom</f>
        <v>0</v>
      </c>
      <c r="BJ161" s="49">
        <f ca="1">CA_domestic_sales_gas*[0]!CA_FP_domestic_gas_nom</f>
        <v>0</v>
      </c>
      <c r="BK161" s="49">
        <f ca="1">CA_domestic_sales_gas*[0]!CA_FP_domestic_gas_nom</f>
        <v>0</v>
      </c>
      <c r="BL161" s="49">
        <f ca="1">CA_domestic_sales_gas*[0]!CA_FP_domestic_gas_nom</f>
        <v>0</v>
      </c>
      <c r="BM161" s="49">
        <f ca="1">CA_domestic_sales_gas*[0]!CA_FP_domestic_gas_nom</f>
        <v>0</v>
      </c>
      <c r="BN161" s="49">
        <f ca="1">CA_domestic_sales_gas*[0]!CA_FP_domestic_gas_nom</f>
        <v>0</v>
      </c>
      <c r="BO161" s="49">
        <f ca="1">CA_domestic_sales_gas*[0]!CA_FP_domestic_gas_nom</f>
        <v>0</v>
      </c>
      <c r="BP161" s="49">
        <f ca="1">CA_domestic_sales_gas*[0]!CA_FP_domestic_gas_nom</f>
        <v>0</v>
      </c>
      <c r="BQ161" s="49">
        <f ca="1">CA_domestic_sales_gas*[0]!CA_FP_domestic_gas_nom</f>
        <v>0</v>
      </c>
      <c r="BR161" s="49">
        <f ca="1">CA_domestic_sales_gas*[0]!CA_FP_domestic_gas_nom</f>
        <v>0</v>
      </c>
      <c r="BS161" s="49">
        <f ca="1">CA_domestic_sales_gas*[0]!CA_FP_domestic_gas_nom</f>
        <v>0</v>
      </c>
    </row>
    <row r="162" spans="1:71" outlineLevel="1" x14ac:dyDescent="0.2">
      <c r="D162" s="11" t="s">
        <v>150</v>
      </c>
      <c r="I162" s="30">
        <f ca="1">SUM($L162:$BS162)</f>
        <v>5473.8039330218626</v>
      </c>
      <c r="J162" s="26" t="s">
        <v>148</v>
      </c>
      <c r="K162" s="7" t="s">
        <v>153</v>
      </c>
      <c r="L162" s="49">
        <f ca="1">SUM(L159:L161)</f>
        <v>0</v>
      </c>
      <c r="M162" s="49">
        <f t="shared" ref="M162:BS162" ca="1" si="31">SUM(M159:M161)</f>
        <v>9.3983153338229286</v>
      </c>
      <c r="N162" s="49">
        <f t="shared" ca="1" si="31"/>
        <v>129.88763022073141</v>
      </c>
      <c r="O162" s="49">
        <f t="shared" ca="1" si="31"/>
        <v>202.00156729356959</v>
      </c>
      <c r="P162" s="49">
        <f t="shared" ca="1" si="31"/>
        <v>365.79991053168931</v>
      </c>
      <c r="Q162" s="49">
        <f t="shared" ca="1" si="31"/>
        <v>738.18786721860511</v>
      </c>
      <c r="R162" s="49">
        <f t="shared" ca="1" si="31"/>
        <v>617.67754350043572</v>
      </c>
      <c r="S162" s="49">
        <f t="shared" ca="1" si="31"/>
        <v>446.97639358333328</v>
      </c>
      <c r="T162" s="49">
        <f t="shared" ca="1" si="31"/>
        <v>625.03100762023178</v>
      </c>
      <c r="U162" s="49">
        <f t="shared" ca="1" si="31"/>
        <v>624.06079597930682</v>
      </c>
      <c r="V162" s="49">
        <f t="shared" ca="1" si="31"/>
        <v>596.90158780260413</v>
      </c>
      <c r="W162" s="49">
        <f t="shared" ca="1" si="31"/>
        <v>571.16920415051197</v>
      </c>
      <c r="X162" s="49">
        <f t="shared" ca="1" si="31"/>
        <v>546.71210978702004</v>
      </c>
      <c r="Y162" s="49">
        <f t="shared" ca="1" si="31"/>
        <v>0</v>
      </c>
      <c r="Z162" s="49">
        <f t="shared" ca="1" si="31"/>
        <v>0</v>
      </c>
      <c r="AA162" s="49">
        <f t="shared" ca="1" si="31"/>
        <v>0</v>
      </c>
      <c r="AB162" s="49">
        <f t="shared" ca="1" si="31"/>
        <v>0</v>
      </c>
      <c r="AC162" s="49">
        <f t="shared" ca="1" si="31"/>
        <v>0</v>
      </c>
      <c r="AD162" s="49">
        <f t="shared" ca="1" si="31"/>
        <v>0</v>
      </c>
      <c r="AE162" s="49">
        <f t="shared" ca="1" si="31"/>
        <v>0</v>
      </c>
      <c r="AF162" s="49">
        <f t="shared" ca="1" si="31"/>
        <v>0</v>
      </c>
      <c r="AG162" s="49">
        <f t="shared" ca="1" si="31"/>
        <v>0</v>
      </c>
      <c r="AH162" s="49">
        <f t="shared" ca="1" si="31"/>
        <v>0</v>
      </c>
      <c r="AI162" s="49">
        <f t="shared" ca="1" si="31"/>
        <v>0</v>
      </c>
      <c r="AJ162" s="49">
        <f t="shared" ca="1" si="31"/>
        <v>0</v>
      </c>
      <c r="AK162" s="49">
        <f t="shared" ca="1" si="31"/>
        <v>0</v>
      </c>
      <c r="AL162" s="49">
        <f t="shared" ca="1" si="31"/>
        <v>0</v>
      </c>
      <c r="AM162" s="49">
        <f t="shared" ca="1" si="31"/>
        <v>0</v>
      </c>
      <c r="AN162" s="49">
        <f t="shared" ca="1" si="31"/>
        <v>0</v>
      </c>
      <c r="AO162" s="49">
        <f t="shared" ca="1" si="31"/>
        <v>0</v>
      </c>
      <c r="AP162" s="49">
        <f t="shared" ca="1" si="31"/>
        <v>0</v>
      </c>
      <c r="AQ162" s="49">
        <f t="shared" ca="1" si="31"/>
        <v>0</v>
      </c>
      <c r="AR162" s="49">
        <f t="shared" ca="1" si="31"/>
        <v>0</v>
      </c>
      <c r="AS162" s="49">
        <f t="shared" ca="1" si="31"/>
        <v>0</v>
      </c>
      <c r="AT162" s="49">
        <f t="shared" ca="1" si="31"/>
        <v>0</v>
      </c>
      <c r="AU162" s="49">
        <f t="shared" ca="1" si="31"/>
        <v>0</v>
      </c>
      <c r="AV162" s="49">
        <f t="shared" ca="1" si="31"/>
        <v>0</v>
      </c>
      <c r="AW162" s="49">
        <f t="shared" ca="1" si="31"/>
        <v>0</v>
      </c>
      <c r="AX162" s="49">
        <f t="shared" ca="1" si="31"/>
        <v>0</v>
      </c>
      <c r="AY162" s="49">
        <f t="shared" ca="1" si="31"/>
        <v>0</v>
      </c>
      <c r="AZ162" s="49">
        <f t="shared" ca="1" si="31"/>
        <v>0</v>
      </c>
      <c r="BA162" s="49">
        <f t="shared" ca="1" si="31"/>
        <v>0</v>
      </c>
      <c r="BB162" s="49">
        <f t="shared" ca="1" si="31"/>
        <v>0</v>
      </c>
      <c r="BC162" s="49">
        <f t="shared" ca="1" si="31"/>
        <v>0</v>
      </c>
      <c r="BD162" s="49">
        <f t="shared" ca="1" si="31"/>
        <v>0</v>
      </c>
      <c r="BE162" s="49">
        <f t="shared" ca="1" si="31"/>
        <v>0</v>
      </c>
      <c r="BF162" s="49">
        <f t="shared" ca="1" si="31"/>
        <v>0</v>
      </c>
      <c r="BG162" s="49">
        <f t="shared" ca="1" si="31"/>
        <v>0</v>
      </c>
      <c r="BH162" s="49">
        <f t="shared" ca="1" si="31"/>
        <v>0</v>
      </c>
      <c r="BI162" s="49">
        <f t="shared" ca="1" si="31"/>
        <v>0</v>
      </c>
      <c r="BJ162" s="49">
        <f t="shared" ca="1" si="31"/>
        <v>0</v>
      </c>
      <c r="BK162" s="49">
        <f t="shared" ca="1" si="31"/>
        <v>0</v>
      </c>
      <c r="BL162" s="49">
        <f t="shared" ca="1" si="31"/>
        <v>0</v>
      </c>
      <c r="BM162" s="49">
        <f t="shared" ca="1" si="31"/>
        <v>0</v>
      </c>
      <c r="BN162" s="49">
        <f t="shared" ca="1" si="31"/>
        <v>0</v>
      </c>
      <c r="BO162" s="49">
        <f t="shared" ca="1" si="31"/>
        <v>0</v>
      </c>
      <c r="BP162" s="49">
        <f t="shared" ca="1" si="31"/>
        <v>0</v>
      </c>
      <c r="BQ162" s="49">
        <f t="shared" ca="1" si="31"/>
        <v>0</v>
      </c>
      <c r="BR162" s="49">
        <f t="shared" ca="1" si="31"/>
        <v>0</v>
      </c>
      <c r="BS162" s="49">
        <f t="shared" ca="1" si="31"/>
        <v>0</v>
      </c>
    </row>
    <row r="163" spans="1:71" outlineLevel="1" x14ac:dyDescent="0.2">
      <c r="J163" s="26"/>
      <c r="L163" s="55"/>
      <c r="M163" s="55"/>
      <c r="N163" s="55"/>
      <c r="O163" s="55"/>
      <c r="P163" s="55"/>
      <c r="Q163" s="55"/>
      <c r="R163" s="55"/>
      <c r="S163" s="55"/>
      <c r="T163" s="55"/>
      <c r="U163" s="55"/>
      <c r="V163" s="55"/>
      <c r="W163" s="55"/>
      <c r="X163" s="55"/>
      <c r="Y163" s="55"/>
      <c r="Z163" s="55"/>
      <c r="AA163" s="55"/>
      <c r="AB163" s="55"/>
      <c r="AC163" s="55"/>
      <c r="AD163" s="55"/>
      <c r="AE163" s="55"/>
      <c r="AF163" s="55"/>
      <c r="AG163" s="55"/>
      <c r="AH163" s="55"/>
      <c r="AI163" s="55"/>
      <c r="AJ163" s="55"/>
      <c r="AK163" s="55"/>
      <c r="AL163" s="55"/>
      <c r="AM163" s="55"/>
      <c r="AN163" s="55"/>
      <c r="AO163" s="55"/>
      <c r="AP163" s="55"/>
      <c r="AQ163" s="55"/>
      <c r="AR163" s="55"/>
      <c r="AS163" s="55"/>
      <c r="AT163" s="55"/>
      <c r="AU163" s="55"/>
      <c r="AV163" s="55"/>
      <c r="AW163" s="55"/>
      <c r="AX163" s="55"/>
      <c r="AY163" s="55"/>
      <c r="AZ163" s="55"/>
      <c r="BA163" s="55"/>
      <c r="BB163" s="55"/>
      <c r="BC163" s="55"/>
      <c r="BD163" s="55"/>
      <c r="BE163" s="55"/>
      <c r="BF163" s="55"/>
      <c r="BG163" s="55"/>
      <c r="BH163" s="55"/>
      <c r="BI163" s="55"/>
      <c r="BJ163" s="55"/>
      <c r="BK163" s="55"/>
      <c r="BL163" s="55"/>
      <c r="BM163" s="55"/>
      <c r="BN163" s="55"/>
      <c r="BO163" s="55"/>
      <c r="BP163" s="55"/>
      <c r="BQ163" s="55"/>
      <c r="BR163" s="55"/>
      <c r="BS163" s="55"/>
    </row>
    <row r="164" spans="1:71" outlineLevel="1" x14ac:dyDescent="0.2">
      <c r="J164" s="26"/>
      <c r="L164" s="55"/>
      <c r="M164" s="55"/>
      <c r="N164" s="55"/>
      <c r="O164" s="55"/>
      <c r="P164" s="55"/>
      <c r="Q164" s="55"/>
      <c r="R164" s="55"/>
      <c r="S164" s="55"/>
      <c r="T164" s="55"/>
      <c r="U164" s="55"/>
      <c r="V164" s="55"/>
      <c r="W164" s="55"/>
      <c r="X164" s="55"/>
      <c r="Y164" s="55"/>
      <c r="Z164" s="55"/>
      <c r="AA164" s="55"/>
      <c r="AB164" s="55"/>
      <c r="AC164" s="55"/>
      <c r="AD164" s="55"/>
      <c r="AE164" s="55"/>
      <c r="AF164" s="55"/>
      <c r="AG164" s="55"/>
      <c r="AH164" s="55"/>
      <c r="AI164" s="55"/>
      <c r="AJ164" s="55"/>
      <c r="AK164" s="55"/>
      <c r="AL164" s="55"/>
      <c r="AM164" s="55"/>
      <c r="AN164" s="55"/>
      <c r="AO164" s="55"/>
      <c r="AP164" s="55"/>
      <c r="AQ164" s="55"/>
      <c r="AR164" s="55"/>
      <c r="AS164" s="55"/>
      <c r="AT164" s="55"/>
      <c r="AU164" s="55"/>
      <c r="AV164" s="55"/>
      <c r="AW164" s="55"/>
      <c r="AX164" s="55"/>
      <c r="AY164" s="55"/>
      <c r="AZ164" s="55"/>
      <c r="BA164" s="55"/>
      <c r="BB164" s="55"/>
      <c r="BC164" s="55"/>
      <c r="BD164" s="55"/>
      <c r="BE164" s="55"/>
      <c r="BF164" s="55"/>
      <c r="BG164" s="55"/>
      <c r="BH164" s="55"/>
      <c r="BI164" s="55"/>
      <c r="BJ164" s="55"/>
      <c r="BK164" s="55"/>
      <c r="BL164" s="55"/>
      <c r="BM164" s="55"/>
      <c r="BN164" s="55"/>
      <c r="BO164" s="55"/>
      <c r="BP164" s="55"/>
      <c r="BQ164" s="55"/>
      <c r="BR164" s="55"/>
      <c r="BS164" s="55"/>
    </row>
    <row r="165" spans="1:71" outlineLevel="1" x14ac:dyDescent="0.2">
      <c r="D165" t="s">
        <v>154</v>
      </c>
      <c r="I165" s="30">
        <f ca="1">SUM($L165:$BS165)</f>
        <v>3157.3353164245846</v>
      </c>
      <c r="J165" s="26" t="s">
        <v>148</v>
      </c>
      <c r="K165" s="7" t="s">
        <v>155</v>
      </c>
      <c r="L165" s="49">
        <f ca="1">(Marine!CA_gross_sales_oil+Marine!CA_gross_sales_lpg)*Marine!CA_HP_oil_nom</f>
        <v>0</v>
      </c>
      <c r="M165" s="49">
        <f ca="1">(Marine!CA_gross_sales_oil+Marine!CA_gross_sales_lpg)*Marine!CA_HP_oil_nom</f>
        <v>8.7042539551000012E-2</v>
      </c>
      <c r="N165" s="49">
        <f ca="1">(Marine!CA_gross_sales_oil+Marine!CA_gross_sales_lpg)*Marine!CA_HP_oil_nom</f>
        <v>58.297209848541421</v>
      </c>
      <c r="O165" s="49">
        <f ca="1">(Marine!CA_gross_sales_oil+Marine!CA_gross_sales_lpg)*Marine!CA_HP_oil_nom</f>
        <v>105.74406094400803</v>
      </c>
      <c r="P165" s="49">
        <f ca="1">(Marine!CA_gross_sales_oil+Marine!CA_gross_sales_lpg)*Marine!CA_HP_oil_nom</f>
        <v>201.25177377771615</v>
      </c>
      <c r="Q165" s="49">
        <f ca="1">(Marine!CA_gross_sales_oil+Marine!CA_gross_sales_lpg)*Marine!CA_HP_oil_nom</f>
        <v>343.88787546330019</v>
      </c>
      <c r="R165" s="49">
        <f ca="1">(Marine!CA_gross_sales_oil+Marine!CA_gross_sales_lpg)*Marine!CA_HP_oil_nom</f>
        <v>364.88472818229906</v>
      </c>
      <c r="S165" s="49">
        <f ca="1">(Marine!CA_gross_sales_oil+Marine!CA_gross_sales_lpg)*Marine!CA_HP_oil_nom</f>
        <v>394.55383842796772</v>
      </c>
      <c r="T165" s="49">
        <f ca="1">(Marine!CA_gross_sales_oil+Marine!CA_gross_sales_lpg)*Marine!CA_HP_oil_nom</f>
        <v>374.27377113276998</v>
      </c>
      <c r="U165" s="49">
        <f ca="1">(Marine!CA_gross_sales_oil+Marine!CA_gross_sales_lpg)*Marine!CA_HP_oil_nom</f>
        <v>355.03609929654561</v>
      </c>
      <c r="V165" s="49">
        <f ca="1">(Marine!CA_gross_sales_oil+Marine!CA_gross_sales_lpg)*Marine!CA_HP_oil_nom</f>
        <v>336.78724379270318</v>
      </c>
      <c r="W165" s="49">
        <f ca="1">(Marine!CA_gross_sales_oil+Marine!CA_gross_sales_lpg)*Marine!CA_HP_oil_nom</f>
        <v>319.4763794617582</v>
      </c>
      <c r="X165" s="49">
        <f ca="1">(Marine!CA_gross_sales_oil+Marine!CA_gross_sales_lpg)*Marine!CA_HP_oil_nom</f>
        <v>303.05529355742374</v>
      </c>
      <c r="Y165" s="49">
        <f ca="1">(Marine!CA_gross_sales_oil+Marine!CA_gross_sales_lpg)*Marine!CA_HP_oil_nom</f>
        <v>0</v>
      </c>
      <c r="Z165" s="49">
        <f ca="1">(Marine!CA_gross_sales_oil+Marine!CA_gross_sales_lpg)*Marine!CA_HP_oil_nom</f>
        <v>0</v>
      </c>
      <c r="AA165" s="49">
        <f ca="1">(Marine!CA_gross_sales_oil+Marine!CA_gross_sales_lpg)*Marine!CA_HP_oil_nom</f>
        <v>0</v>
      </c>
      <c r="AB165" s="49">
        <f ca="1">(Marine!CA_gross_sales_oil+Marine!CA_gross_sales_lpg)*Marine!CA_HP_oil_nom</f>
        <v>0</v>
      </c>
      <c r="AC165" s="49">
        <f ca="1">(Marine!CA_gross_sales_oil+Marine!CA_gross_sales_lpg)*Marine!CA_HP_oil_nom</f>
        <v>0</v>
      </c>
      <c r="AD165" s="49">
        <f ca="1">(Marine!CA_gross_sales_oil+Marine!CA_gross_sales_lpg)*Marine!CA_HP_oil_nom</f>
        <v>0</v>
      </c>
      <c r="AE165" s="49">
        <f ca="1">(Marine!CA_gross_sales_oil+Marine!CA_gross_sales_lpg)*Marine!CA_HP_oil_nom</f>
        <v>0</v>
      </c>
      <c r="AF165" s="49">
        <f ca="1">(Marine!CA_gross_sales_oil+Marine!CA_gross_sales_lpg)*Marine!CA_HP_oil_nom</f>
        <v>0</v>
      </c>
      <c r="AG165" s="49">
        <f ca="1">(Marine!CA_gross_sales_oil+Marine!CA_gross_sales_lpg)*Marine!CA_HP_oil_nom</f>
        <v>0</v>
      </c>
      <c r="AH165" s="49">
        <f ca="1">(Marine!CA_gross_sales_oil+Marine!CA_gross_sales_lpg)*Marine!CA_HP_oil_nom</f>
        <v>0</v>
      </c>
      <c r="AI165" s="49">
        <f ca="1">(Marine!CA_gross_sales_oil+Marine!CA_gross_sales_lpg)*Marine!CA_HP_oil_nom</f>
        <v>0</v>
      </c>
      <c r="AJ165" s="49">
        <f ca="1">(Marine!CA_gross_sales_oil+Marine!CA_gross_sales_lpg)*Marine!CA_HP_oil_nom</f>
        <v>0</v>
      </c>
      <c r="AK165" s="49">
        <f ca="1">(Marine!CA_gross_sales_oil+Marine!CA_gross_sales_lpg)*Marine!CA_HP_oil_nom</f>
        <v>0</v>
      </c>
      <c r="AL165" s="49">
        <f ca="1">(Marine!CA_gross_sales_oil+Marine!CA_gross_sales_lpg)*Marine!CA_HP_oil_nom</f>
        <v>0</v>
      </c>
      <c r="AM165" s="49">
        <f ca="1">(Marine!CA_gross_sales_oil+Marine!CA_gross_sales_lpg)*Marine!CA_HP_oil_nom</f>
        <v>0</v>
      </c>
      <c r="AN165" s="49">
        <f ca="1">(Marine!CA_gross_sales_oil+Marine!CA_gross_sales_lpg)*Marine!CA_HP_oil_nom</f>
        <v>0</v>
      </c>
      <c r="AO165" s="49">
        <f ca="1">(Marine!CA_gross_sales_oil+Marine!CA_gross_sales_lpg)*Marine!CA_HP_oil_nom</f>
        <v>0</v>
      </c>
      <c r="AP165" s="49">
        <f ca="1">(Marine!CA_gross_sales_oil+Marine!CA_gross_sales_lpg)*Marine!CA_HP_oil_nom</f>
        <v>0</v>
      </c>
      <c r="AQ165" s="49">
        <f ca="1">(Marine!CA_gross_sales_oil+Marine!CA_gross_sales_lpg)*Marine!CA_HP_oil_nom</f>
        <v>0</v>
      </c>
      <c r="AR165" s="49">
        <f ca="1">(Marine!CA_gross_sales_oil+Marine!CA_gross_sales_lpg)*Marine!CA_HP_oil_nom</f>
        <v>0</v>
      </c>
      <c r="AS165" s="49">
        <f ca="1">(Marine!CA_gross_sales_oil+Marine!CA_gross_sales_lpg)*Marine!CA_HP_oil_nom</f>
        <v>0</v>
      </c>
      <c r="AT165" s="49">
        <f ca="1">(Marine!CA_gross_sales_oil+Marine!CA_gross_sales_lpg)*Marine!CA_HP_oil_nom</f>
        <v>0</v>
      </c>
      <c r="AU165" s="49">
        <f ca="1">(Marine!CA_gross_sales_oil+Marine!CA_gross_sales_lpg)*Marine!CA_HP_oil_nom</f>
        <v>0</v>
      </c>
      <c r="AV165" s="49">
        <f ca="1">(Marine!CA_gross_sales_oil+Marine!CA_gross_sales_lpg)*Marine!CA_HP_oil_nom</f>
        <v>0</v>
      </c>
      <c r="AW165" s="49">
        <f ca="1">(Marine!CA_gross_sales_oil+Marine!CA_gross_sales_lpg)*Marine!CA_HP_oil_nom</f>
        <v>0</v>
      </c>
      <c r="AX165" s="49">
        <f ca="1">(Marine!CA_gross_sales_oil+Marine!CA_gross_sales_lpg)*Marine!CA_HP_oil_nom</f>
        <v>0</v>
      </c>
      <c r="AY165" s="49">
        <f ca="1">(Marine!CA_gross_sales_oil+Marine!CA_gross_sales_lpg)*Marine!CA_HP_oil_nom</f>
        <v>0</v>
      </c>
      <c r="AZ165" s="49">
        <f ca="1">(Marine!CA_gross_sales_oil+Marine!CA_gross_sales_lpg)*Marine!CA_HP_oil_nom</f>
        <v>0</v>
      </c>
      <c r="BA165" s="49">
        <f ca="1">(Marine!CA_gross_sales_oil+Marine!CA_gross_sales_lpg)*Marine!CA_HP_oil_nom</f>
        <v>0</v>
      </c>
      <c r="BB165" s="49">
        <f ca="1">(Marine!CA_gross_sales_oil+Marine!CA_gross_sales_lpg)*Marine!CA_HP_oil_nom</f>
        <v>0</v>
      </c>
      <c r="BC165" s="49">
        <f ca="1">(Marine!CA_gross_sales_oil+Marine!CA_gross_sales_lpg)*Marine!CA_HP_oil_nom</f>
        <v>0</v>
      </c>
      <c r="BD165" s="49">
        <f ca="1">(Marine!CA_gross_sales_oil+Marine!CA_gross_sales_lpg)*Marine!CA_HP_oil_nom</f>
        <v>0</v>
      </c>
      <c r="BE165" s="49">
        <f ca="1">(Marine!CA_gross_sales_oil+Marine!CA_gross_sales_lpg)*Marine!CA_HP_oil_nom</f>
        <v>0</v>
      </c>
      <c r="BF165" s="49">
        <f ca="1">(Marine!CA_gross_sales_oil+Marine!CA_gross_sales_lpg)*Marine!CA_HP_oil_nom</f>
        <v>0</v>
      </c>
      <c r="BG165" s="49">
        <f ca="1">(Marine!CA_gross_sales_oil+Marine!CA_gross_sales_lpg)*Marine!CA_HP_oil_nom</f>
        <v>0</v>
      </c>
      <c r="BH165" s="49">
        <f ca="1">(Marine!CA_gross_sales_oil+Marine!CA_gross_sales_lpg)*Marine!CA_HP_oil_nom</f>
        <v>0</v>
      </c>
      <c r="BI165" s="49">
        <f ca="1">(Marine!CA_gross_sales_oil+Marine!CA_gross_sales_lpg)*Marine!CA_HP_oil_nom</f>
        <v>0</v>
      </c>
      <c r="BJ165" s="49">
        <f ca="1">(Marine!CA_gross_sales_oil+Marine!CA_gross_sales_lpg)*Marine!CA_HP_oil_nom</f>
        <v>0</v>
      </c>
      <c r="BK165" s="49">
        <f ca="1">(Marine!CA_gross_sales_oil+Marine!CA_gross_sales_lpg)*Marine!CA_HP_oil_nom</f>
        <v>0</v>
      </c>
      <c r="BL165" s="49">
        <f ca="1">(Marine!CA_gross_sales_oil+Marine!CA_gross_sales_lpg)*Marine!CA_HP_oil_nom</f>
        <v>0</v>
      </c>
      <c r="BM165" s="49">
        <f ca="1">(Marine!CA_gross_sales_oil+Marine!CA_gross_sales_lpg)*Marine!CA_HP_oil_nom</f>
        <v>0</v>
      </c>
      <c r="BN165" s="49">
        <f ca="1">(Marine!CA_gross_sales_oil+Marine!CA_gross_sales_lpg)*Marine!CA_HP_oil_nom</f>
        <v>0</v>
      </c>
      <c r="BO165" s="49">
        <f ca="1">(Marine!CA_gross_sales_oil+Marine!CA_gross_sales_lpg)*Marine!CA_HP_oil_nom</f>
        <v>0</v>
      </c>
      <c r="BP165" s="49">
        <f ca="1">(Marine!CA_gross_sales_oil+Marine!CA_gross_sales_lpg)*Marine!CA_HP_oil_nom</f>
        <v>0</v>
      </c>
      <c r="BQ165" s="49">
        <f ca="1">(Marine!CA_gross_sales_oil+Marine!CA_gross_sales_lpg)*Marine!CA_HP_oil_nom</f>
        <v>0</v>
      </c>
      <c r="BR165" s="49">
        <f ca="1">(Marine!CA_gross_sales_oil+Marine!CA_gross_sales_lpg)*Marine!CA_HP_oil_nom</f>
        <v>0</v>
      </c>
      <c r="BS165" s="49">
        <f ca="1">(Marine!CA_gross_sales_oil+Marine!CA_gross_sales_lpg)*Marine!CA_HP_oil_nom</f>
        <v>0</v>
      </c>
    </row>
    <row r="166" spans="1:71" outlineLevel="1" x14ac:dyDescent="0.2">
      <c r="J166" s="26"/>
      <c r="L166" s="55"/>
      <c r="M166" s="55"/>
      <c r="N166" s="55"/>
      <c r="O166" s="55"/>
      <c r="P166" s="55"/>
      <c r="Q166" s="55"/>
      <c r="R166" s="55"/>
      <c r="S166" s="55"/>
      <c r="T166" s="55"/>
      <c r="U166" s="55"/>
      <c r="V166" s="55"/>
      <c r="W166" s="55"/>
      <c r="X166" s="55"/>
      <c r="Y166" s="55"/>
      <c r="Z166" s="55"/>
      <c r="AA166" s="55"/>
      <c r="AB166" s="55"/>
      <c r="AC166" s="55"/>
      <c r="AD166" s="55"/>
      <c r="AE166" s="55"/>
      <c r="AF166" s="55"/>
      <c r="AG166" s="55"/>
      <c r="AH166" s="55"/>
      <c r="AI166" s="55"/>
      <c r="AJ166" s="55"/>
      <c r="AK166" s="55"/>
      <c r="AL166" s="55"/>
      <c r="AM166" s="55"/>
      <c r="AN166" s="55"/>
      <c r="AO166" s="55"/>
      <c r="AP166" s="55"/>
      <c r="AQ166" s="55"/>
      <c r="AR166" s="55"/>
      <c r="AS166" s="55"/>
      <c r="AT166" s="55"/>
      <c r="AU166" s="55"/>
      <c r="AV166" s="55"/>
      <c r="AW166" s="55"/>
      <c r="AX166" s="55"/>
      <c r="AY166" s="55"/>
      <c r="AZ166" s="55"/>
      <c r="BA166" s="55"/>
      <c r="BB166" s="55"/>
      <c r="BC166" s="55"/>
      <c r="BD166" s="55"/>
      <c r="BE166" s="55"/>
      <c r="BF166" s="55"/>
      <c r="BG166" s="55"/>
      <c r="BH166" s="55"/>
      <c r="BI166" s="55"/>
      <c r="BJ166" s="55"/>
      <c r="BK166" s="55"/>
      <c r="BL166" s="55"/>
      <c r="BM166" s="55"/>
      <c r="BN166" s="55"/>
      <c r="BO166" s="55"/>
      <c r="BP166" s="55"/>
      <c r="BQ166" s="55"/>
      <c r="BR166" s="55"/>
      <c r="BS166" s="55"/>
    </row>
    <row r="167" spans="1:71" outlineLevel="1" x14ac:dyDescent="0.2">
      <c r="D167" t="s">
        <v>156</v>
      </c>
      <c r="I167" s="30">
        <f ca="1">SUM($L167:$BS167)</f>
        <v>1468.7879945403497</v>
      </c>
      <c r="J167" s="26" t="s">
        <v>148</v>
      </c>
      <c r="K167" s="7" t="s">
        <v>157</v>
      </c>
      <c r="L167" s="49" cm="1">
        <f t="array" aca="1" ref="L167:BS167" ca="1">Marine!CA_gross_rev_oil_fp-Marine!CA_gross_rev_oil_hp</f>
        <v>0</v>
      </c>
      <c r="M167" s="49">
        <f ca="1"/>
        <v>0.15544901581769133</v>
      </c>
      <c r="N167" s="49">
        <f ca="1"/>
        <v>25.253529474519318</v>
      </c>
      <c r="O167" s="49">
        <f ca="1"/>
        <v>23.530557438509248</v>
      </c>
      <c r="P167" s="49">
        <f ca="1"/>
        <v>97.488905174100012</v>
      </c>
      <c r="Q167" s="49">
        <f ca="1"/>
        <v>320.73541656324602</v>
      </c>
      <c r="R167" s="49">
        <f ca="1"/>
        <v>252.7927402822699</v>
      </c>
      <c r="S167" s="49">
        <f ca="1"/>
        <v>-44.229044844634416</v>
      </c>
      <c r="T167" s="49">
        <f ca="1"/>
        <v>154.2451827392299</v>
      </c>
      <c r="U167" s="49">
        <f ca="1"/>
        <v>172.55800361345433</v>
      </c>
      <c r="V167" s="49">
        <f ca="1"/>
        <v>163.68852222772267</v>
      </c>
      <c r="W167" s="49">
        <f ca="1"/>
        <v>155.27493218521772</v>
      </c>
      <c r="X167" s="49">
        <f ca="1"/>
        <v>147.29380067089761</v>
      </c>
      <c r="Y167" s="49">
        <f ca="1"/>
        <v>0</v>
      </c>
      <c r="Z167" s="49">
        <f ca="1"/>
        <v>0</v>
      </c>
      <c r="AA167" s="49">
        <f ca="1"/>
        <v>0</v>
      </c>
      <c r="AB167" s="49">
        <f ca="1"/>
        <v>0</v>
      </c>
      <c r="AC167" s="49">
        <f ca="1"/>
        <v>0</v>
      </c>
      <c r="AD167" s="49">
        <f ca="1"/>
        <v>0</v>
      </c>
      <c r="AE167" s="49">
        <f ca="1"/>
        <v>0</v>
      </c>
      <c r="AF167" s="49">
        <f ca="1"/>
        <v>0</v>
      </c>
      <c r="AG167" s="49">
        <f ca="1"/>
        <v>0</v>
      </c>
      <c r="AH167" s="49">
        <f ca="1"/>
        <v>0</v>
      </c>
      <c r="AI167" s="49">
        <f ca="1"/>
        <v>0</v>
      </c>
      <c r="AJ167" s="49">
        <f ca="1"/>
        <v>0</v>
      </c>
      <c r="AK167" s="49">
        <f ca="1"/>
        <v>0</v>
      </c>
      <c r="AL167" s="49">
        <f ca="1"/>
        <v>0</v>
      </c>
      <c r="AM167" s="49">
        <f ca="1"/>
        <v>0</v>
      </c>
      <c r="AN167" s="49">
        <f ca="1"/>
        <v>0</v>
      </c>
      <c r="AO167" s="49">
        <f ca="1"/>
        <v>0</v>
      </c>
      <c r="AP167" s="49">
        <f ca="1"/>
        <v>0</v>
      </c>
      <c r="AQ167" s="49">
        <f ca="1"/>
        <v>0</v>
      </c>
      <c r="AR167" s="49">
        <f ca="1"/>
        <v>0</v>
      </c>
      <c r="AS167" s="49">
        <f ca="1"/>
        <v>0</v>
      </c>
      <c r="AT167" s="49">
        <f ca="1"/>
        <v>0</v>
      </c>
      <c r="AU167" s="49">
        <f ca="1"/>
        <v>0</v>
      </c>
      <c r="AV167" s="49">
        <f ca="1"/>
        <v>0</v>
      </c>
      <c r="AW167" s="49">
        <f ca="1"/>
        <v>0</v>
      </c>
      <c r="AX167" s="49">
        <f ca="1"/>
        <v>0</v>
      </c>
      <c r="AY167" s="49">
        <f ca="1"/>
        <v>0</v>
      </c>
      <c r="AZ167" s="49">
        <f ca="1"/>
        <v>0</v>
      </c>
      <c r="BA167" s="49">
        <f ca="1"/>
        <v>0</v>
      </c>
      <c r="BB167" s="49">
        <f ca="1"/>
        <v>0</v>
      </c>
      <c r="BC167" s="49">
        <f ca="1"/>
        <v>0</v>
      </c>
      <c r="BD167" s="49">
        <f ca="1"/>
        <v>0</v>
      </c>
      <c r="BE167" s="49">
        <f ca="1"/>
        <v>0</v>
      </c>
      <c r="BF167" s="49">
        <f ca="1"/>
        <v>0</v>
      </c>
      <c r="BG167" s="49">
        <f ca="1"/>
        <v>0</v>
      </c>
      <c r="BH167" s="49">
        <f ca="1"/>
        <v>0</v>
      </c>
      <c r="BI167" s="49">
        <f ca="1"/>
        <v>0</v>
      </c>
      <c r="BJ167" s="49">
        <f ca="1"/>
        <v>0</v>
      </c>
      <c r="BK167" s="49">
        <f ca="1"/>
        <v>0</v>
      </c>
      <c r="BL167" s="49">
        <f ca="1"/>
        <v>0</v>
      </c>
      <c r="BM167" s="49">
        <f ca="1"/>
        <v>0</v>
      </c>
      <c r="BN167" s="49">
        <f ca="1"/>
        <v>0</v>
      </c>
      <c r="BO167" s="49">
        <f ca="1"/>
        <v>0</v>
      </c>
      <c r="BP167" s="49">
        <f ca="1"/>
        <v>0</v>
      </c>
      <c r="BQ167" s="49">
        <f ca="1"/>
        <v>0</v>
      </c>
      <c r="BR167" s="49">
        <f ca="1"/>
        <v>0</v>
      </c>
      <c r="BS167" s="49">
        <f ca="1"/>
        <v>0</v>
      </c>
    </row>
    <row r="168" spans="1:71" outlineLevel="1" x14ac:dyDescent="0.2">
      <c r="J168" s="26"/>
      <c r="L168" s="55"/>
      <c r="M168" s="55"/>
      <c r="N168" s="55"/>
      <c r="O168" s="55"/>
      <c r="P168" s="55"/>
      <c r="Q168" s="55"/>
      <c r="R168" s="55"/>
      <c r="S168" s="55"/>
      <c r="T168" s="55"/>
      <c r="U168" s="55"/>
      <c r="V168" s="55"/>
      <c r="W168" s="55"/>
      <c r="X168" s="55"/>
      <c r="Y168" s="55"/>
      <c r="Z168" s="55"/>
      <c r="AA168" s="55"/>
      <c r="AB168" s="55"/>
      <c r="AC168" s="55"/>
      <c r="AD168" s="55"/>
      <c r="AE168" s="55"/>
      <c r="AF168" s="55"/>
      <c r="AG168" s="55"/>
      <c r="AH168" s="55"/>
      <c r="AI168" s="55"/>
      <c r="AJ168" s="55"/>
      <c r="AK168" s="55"/>
      <c r="AL168" s="55"/>
      <c r="AM168" s="55"/>
      <c r="AN168" s="55"/>
      <c r="AO168" s="55"/>
      <c r="AP168" s="55"/>
      <c r="AQ168" s="55"/>
      <c r="AR168" s="55"/>
      <c r="AS168" s="55"/>
      <c r="AT168" s="55"/>
      <c r="AU168" s="55"/>
      <c r="AV168" s="55"/>
      <c r="AW168" s="55"/>
      <c r="AX168" s="55"/>
      <c r="AY168" s="55"/>
      <c r="AZ168" s="55"/>
      <c r="BA168" s="55"/>
      <c r="BB168" s="55"/>
      <c r="BC168" s="55"/>
      <c r="BD168" s="55"/>
      <c r="BE168" s="55"/>
      <c r="BF168" s="55"/>
      <c r="BG168" s="55"/>
      <c r="BH168" s="55"/>
      <c r="BI168" s="55"/>
      <c r="BJ168" s="55"/>
      <c r="BK168" s="55"/>
      <c r="BL168" s="55"/>
      <c r="BM168" s="55"/>
      <c r="BN168" s="55"/>
      <c r="BO168" s="55"/>
      <c r="BP168" s="55"/>
      <c r="BQ168" s="55"/>
      <c r="BR168" s="55"/>
      <c r="BS168" s="55"/>
    </row>
    <row r="169" spans="1:71" outlineLevel="1" x14ac:dyDescent="0.2">
      <c r="C169" s="11" t="s">
        <v>228</v>
      </c>
      <c r="J169" s="26"/>
      <c r="L169" s="55"/>
      <c r="M169" s="55"/>
      <c r="N169" s="55"/>
      <c r="O169" s="55"/>
      <c r="P169" s="55"/>
      <c r="Q169" s="55"/>
      <c r="R169" s="55"/>
      <c r="S169" s="55"/>
      <c r="T169" s="55"/>
      <c r="U169" s="55"/>
      <c r="V169" s="55"/>
      <c r="W169" s="55"/>
      <c r="X169" s="55"/>
      <c r="Y169" s="55"/>
      <c r="Z169" s="55"/>
      <c r="AA169" s="55"/>
      <c r="AB169" s="55"/>
      <c r="AC169" s="55"/>
      <c r="AD169" s="55"/>
      <c r="AE169" s="55"/>
      <c r="AF169" s="55"/>
      <c r="AG169" s="55"/>
      <c r="AH169" s="55"/>
      <c r="AI169" s="55"/>
      <c r="AJ169" s="55"/>
      <c r="AK169" s="55"/>
      <c r="AL169" s="55"/>
      <c r="AM169" s="55"/>
      <c r="AN169" s="55"/>
      <c r="AO169" s="55"/>
      <c r="AP169" s="55"/>
      <c r="AQ169" s="55"/>
      <c r="AR169" s="55"/>
      <c r="AS169" s="55"/>
      <c r="AT169" s="55"/>
      <c r="AU169" s="55"/>
      <c r="AV169" s="55"/>
      <c r="AW169" s="55"/>
      <c r="AX169" s="55"/>
      <c r="AY169" s="55"/>
      <c r="AZ169" s="55"/>
      <c r="BA169" s="55"/>
      <c r="BB169" s="55"/>
      <c r="BC169" s="55"/>
      <c r="BD169" s="55"/>
      <c r="BE169" s="55"/>
      <c r="BF169" s="55"/>
      <c r="BG169" s="55"/>
      <c r="BH169" s="55"/>
      <c r="BI169" s="55"/>
      <c r="BJ169" s="55"/>
      <c r="BK169" s="55"/>
      <c r="BL169" s="55"/>
      <c r="BM169" s="55"/>
      <c r="BN169" s="55"/>
      <c r="BO169" s="55"/>
      <c r="BP169" s="55"/>
      <c r="BQ169" s="55"/>
      <c r="BR169" s="55"/>
      <c r="BS169" s="55"/>
    </row>
    <row r="170" spans="1:71" outlineLevel="1" x14ac:dyDescent="0.2">
      <c r="D170" t="s">
        <v>229</v>
      </c>
      <c r="I170" s="58">
        <f ca="1">IFERROR(I159/$I$162,0)</f>
        <v>0.84513865815632927</v>
      </c>
      <c r="J170" s="26" t="s">
        <v>90</v>
      </c>
      <c r="K170" s="7" t="s">
        <v>231</v>
      </c>
      <c r="L170" s="53">
        <f ca="1">IFERROR(Marine!CA_gross_rev_oil_fp/Marine!CA_gross_rev_total_fp,0)</f>
        <v>0</v>
      </c>
      <c r="M170" s="53">
        <f ca="1">IFERROR(Marine!CA_gross_rev_oil_fp/Marine!CA_gross_rev_total_fp,0)</f>
        <v>2.5801598132806389E-2</v>
      </c>
      <c r="N170" s="53">
        <f ca="1">IFERROR(Marine!CA_gross_rev_oil_fp/Marine!CA_gross_rev_total_fp,0)</f>
        <v>0.64325401257282444</v>
      </c>
      <c r="O170" s="53">
        <f ca="1">IFERROR(Marine!CA_gross_rev_oil_fp/Marine!CA_gross_rev_total_fp,0)</f>
        <v>0.63996839289193241</v>
      </c>
      <c r="P170" s="53">
        <f ca="1">IFERROR(Marine!CA_gross_rev_oil_fp/Marine!CA_gross_rev_total_fp,0)</f>
        <v>0.81667783493330359</v>
      </c>
      <c r="Q170" s="53">
        <f ca="1">IFERROR(Marine!CA_gross_rev_oil_fp/Marine!CA_gross_rev_total_fp,0)</f>
        <v>0.90034437240313836</v>
      </c>
      <c r="R170" s="53">
        <f ca="1">IFERROR(Marine!CA_gross_rev_oil_fp/Marine!CA_gross_rev_total_fp,0)</f>
        <v>0.99999987851935435</v>
      </c>
      <c r="S170" s="53">
        <f ca="1">IFERROR(Marine!CA_gross_rev_oil_fp/Marine!CA_gross_rev_total_fp,0)</f>
        <v>0.78376576171023116</v>
      </c>
      <c r="T170" s="53">
        <f ca="1">IFERROR(Marine!CA_gross_rev_oil_fp/Marine!CA_gross_rev_total_fp,0)</f>
        <v>0.84558837470208759</v>
      </c>
      <c r="U170" s="53">
        <f ca="1">IFERROR(Marine!CA_gross_rev_oil_fp/Marine!CA_gross_rev_total_fp,0)</f>
        <v>0.84542100114152086</v>
      </c>
      <c r="V170" s="53">
        <f ca="1">IFERROR(Marine!CA_gross_rev_oil_fp/Marine!CA_gross_rev_total_fp,0)</f>
        <v>0.83845608094769153</v>
      </c>
      <c r="W170" s="53">
        <f ca="1">IFERROR(Marine!CA_gross_rev_oil_fp/Marine!CA_gross_rev_total_fp,0)</f>
        <v>0.83119206742433471</v>
      </c>
      <c r="X170" s="53">
        <f ca="1">IFERROR(Marine!CA_gross_rev_oil_fp/Marine!CA_gross_rev_total_fp,0)</f>
        <v>0.82374084306228668</v>
      </c>
      <c r="Y170" s="53">
        <f ca="1">IFERROR(Marine!CA_gross_rev_oil_fp/Marine!CA_gross_rev_total_fp,0)</f>
        <v>0</v>
      </c>
      <c r="Z170" s="53">
        <f ca="1">IFERROR(Marine!CA_gross_rev_oil_fp/Marine!CA_gross_rev_total_fp,0)</f>
        <v>0</v>
      </c>
      <c r="AA170" s="53">
        <f ca="1">IFERROR(Marine!CA_gross_rev_oil_fp/Marine!CA_gross_rev_total_fp,0)</f>
        <v>0</v>
      </c>
      <c r="AB170" s="53">
        <f ca="1">IFERROR(Marine!CA_gross_rev_oil_fp/Marine!CA_gross_rev_total_fp,0)</f>
        <v>0</v>
      </c>
      <c r="AC170" s="53">
        <f ca="1">IFERROR(Marine!CA_gross_rev_oil_fp/Marine!CA_gross_rev_total_fp,0)</f>
        <v>0</v>
      </c>
      <c r="AD170" s="53">
        <f ca="1">IFERROR(Marine!CA_gross_rev_oil_fp/Marine!CA_gross_rev_total_fp,0)</f>
        <v>0</v>
      </c>
      <c r="AE170" s="53">
        <f ca="1">IFERROR(Marine!CA_gross_rev_oil_fp/Marine!CA_gross_rev_total_fp,0)</f>
        <v>0</v>
      </c>
      <c r="AF170" s="53">
        <f ca="1">IFERROR(Marine!CA_gross_rev_oil_fp/Marine!CA_gross_rev_total_fp,0)</f>
        <v>0</v>
      </c>
      <c r="AG170" s="53">
        <f ca="1">IFERROR(Marine!CA_gross_rev_oil_fp/Marine!CA_gross_rev_total_fp,0)</f>
        <v>0</v>
      </c>
      <c r="AH170" s="53">
        <f ca="1">IFERROR(Marine!CA_gross_rev_oil_fp/Marine!CA_gross_rev_total_fp,0)</f>
        <v>0</v>
      </c>
      <c r="AI170" s="53">
        <f ca="1">IFERROR(Marine!CA_gross_rev_oil_fp/Marine!CA_gross_rev_total_fp,0)</f>
        <v>0</v>
      </c>
      <c r="AJ170" s="53">
        <f ca="1">IFERROR(Marine!CA_gross_rev_oil_fp/Marine!CA_gross_rev_total_fp,0)</f>
        <v>0</v>
      </c>
      <c r="AK170" s="53">
        <f ca="1">IFERROR(Marine!CA_gross_rev_oil_fp/Marine!CA_gross_rev_total_fp,0)</f>
        <v>0</v>
      </c>
      <c r="AL170" s="53">
        <f ca="1">IFERROR(Marine!CA_gross_rev_oil_fp/Marine!CA_gross_rev_total_fp,0)</f>
        <v>0</v>
      </c>
      <c r="AM170" s="53">
        <f ca="1">IFERROR(Marine!CA_gross_rev_oil_fp/Marine!CA_gross_rev_total_fp,0)</f>
        <v>0</v>
      </c>
      <c r="AN170" s="53">
        <f ca="1">IFERROR(Marine!CA_gross_rev_oil_fp/Marine!CA_gross_rev_total_fp,0)</f>
        <v>0</v>
      </c>
      <c r="AO170" s="53">
        <f ca="1">IFERROR(Marine!CA_gross_rev_oil_fp/Marine!CA_gross_rev_total_fp,0)</f>
        <v>0</v>
      </c>
      <c r="AP170" s="53">
        <f ca="1">IFERROR(Marine!CA_gross_rev_oil_fp/Marine!CA_gross_rev_total_fp,0)</f>
        <v>0</v>
      </c>
      <c r="AQ170" s="53">
        <f ca="1">IFERROR(Marine!CA_gross_rev_oil_fp/Marine!CA_gross_rev_total_fp,0)</f>
        <v>0</v>
      </c>
      <c r="AR170" s="53">
        <f ca="1">IFERROR(Marine!CA_gross_rev_oil_fp/Marine!CA_gross_rev_total_fp,0)</f>
        <v>0</v>
      </c>
      <c r="AS170" s="53">
        <f ca="1">IFERROR(Marine!CA_gross_rev_oil_fp/Marine!CA_gross_rev_total_fp,0)</f>
        <v>0</v>
      </c>
      <c r="AT170" s="53">
        <f ca="1">IFERROR(Marine!CA_gross_rev_oil_fp/Marine!CA_gross_rev_total_fp,0)</f>
        <v>0</v>
      </c>
      <c r="AU170" s="53">
        <f ca="1">IFERROR(Marine!CA_gross_rev_oil_fp/Marine!CA_gross_rev_total_fp,0)</f>
        <v>0</v>
      </c>
      <c r="AV170" s="53">
        <f ca="1">IFERROR(Marine!CA_gross_rev_oil_fp/Marine!CA_gross_rev_total_fp,0)</f>
        <v>0</v>
      </c>
      <c r="AW170" s="53">
        <f ca="1">IFERROR(Marine!CA_gross_rev_oil_fp/Marine!CA_gross_rev_total_fp,0)</f>
        <v>0</v>
      </c>
      <c r="AX170" s="53">
        <f ca="1">IFERROR(Marine!CA_gross_rev_oil_fp/Marine!CA_gross_rev_total_fp,0)</f>
        <v>0</v>
      </c>
      <c r="AY170" s="53">
        <f ca="1">IFERROR(Marine!CA_gross_rev_oil_fp/Marine!CA_gross_rev_total_fp,0)</f>
        <v>0</v>
      </c>
      <c r="AZ170" s="53">
        <f ca="1">IFERROR(Marine!CA_gross_rev_oil_fp/Marine!CA_gross_rev_total_fp,0)</f>
        <v>0</v>
      </c>
      <c r="BA170" s="53">
        <f ca="1">IFERROR(Marine!CA_gross_rev_oil_fp/Marine!CA_gross_rev_total_fp,0)</f>
        <v>0</v>
      </c>
      <c r="BB170" s="53">
        <f ca="1">IFERROR(Marine!CA_gross_rev_oil_fp/Marine!CA_gross_rev_total_fp,0)</f>
        <v>0</v>
      </c>
      <c r="BC170" s="53">
        <f ca="1">IFERROR(Marine!CA_gross_rev_oil_fp/Marine!CA_gross_rev_total_fp,0)</f>
        <v>0</v>
      </c>
      <c r="BD170" s="53">
        <f ca="1">IFERROR(Marine!CA_gross_rev_oil_fp/Marine!CA_gross_rev_total_fp,0)</f>
        <v>0</v>
      </c>
      <c r="BE170" s="53">
        <f ca="1">IFERROR(Marine!CA_gross_rev_oil_fp/Marine!CA_gross_rev_total_fp,0)</f>
        <v>0</v>
      </c>
      <c r="BF170" s="53">
        <f ca="1">IFERROR(Marine!CA_gross_rev_oil_fp/Marine!CA_gross_rev_total_fp,0)</f>
        <v>0</v>
      </c>
      <c r="BG170" s="53">
        <f ca="1">IFERROR(Marine!CA_gross_rev_oil_fp/Marine!CA_gross_rev_total_fp,0)</f>
        <v>0</v>
      </c>
      <c r="BH170" s="53">
        <f ca="1">IFERROR(Marine!CA_gross_rev_oil_fp/Marine!CA_gross_rev_total_fp,0)</f>
        <v>0</v>
      </c>
      <c r="BI170" s="53">
        <f ca="1">IFERROR(Marine!CA_gross_rev_oil_fp/Marine!CA_gross_rev_total_fp,0)</f>
        <v>0</v>
      </c>
      <c r="BJ170" s="53">
        <f ca="1">IFERROR(Marine!CA_gross_rev_oil_fp/Marine!CA_gross_rev_total_fp,0)</f>
        <v>0</v>
      </c>
      <c r="BK170" s="53">
        <f ca="1">IFERROR(Marine!CA_gross_rev_oil_fp/Marine!CA_gross_rev_total_fp,0)</f>
        <v>0</v>
      </c>
      <c r="BL170" s="53">
        <f ca="1">IFERROR(Marine!CA_gross_rev_oil_fp/Marine!CA_gross_rev_total_fp,0)</f>
        <v>0</v>
      </c>
      <c r="BM170" s="53">
        <f ca="1">IFERROR(Marine!CA_gross_rev_oil_fp/Marine!CA_gross_rev_total_fp,0)</f>
        <v>0</v>
      </c>
      <c r="BN170" s="53">
        <f ca="1">IFERROR(Marine!CA_gross_rev_oil_fp/Marine!CA_gross_rev_total_fp,0)</f>
        <v>0</v>
      </c>
      <c r="BO170" s="53">
        <f ca="1">IFERROR(Marine!CA_gross_rev_oil_fp/Marine!CA_gross_rev_total_fp,0)</f>
        <v>0</v>
      </c>
      <c r="BP170" s="53">
        <f ca="1">IFERROR(Marine!CA_gross_rev_oil_fp/Marine!CA_gross_rev_total_fp,0)</f>
        <v>0</v>
      </c>
      <c r="BQ170" s="53">
        <f ca="1">IFERROR(Marine!CA_gross_rev_oil_fp/Marine!CA_gross_rev_total_fp,0)</f>
        <v>0</v>
      </c>
      <c r="BR170" s="53">
        <f ca="1">IFERROR(Marine!CA_gross_rev_oil_fp/Marine!CA_gross_rev_total_fp,0)</f>
        <v>0</v>
      </c>
      <c r="BS170" s="53">
        <f ca="1">IFERROR(Marine!CA_gross_rev_oil_fp/Marine!CA_gross_rev_total_fp,0)</f>
        <v>0</v>
      </c>
    </row>
    <row r="171" spans="1:71" outlineLevel="1" x14ac:dyDescent="0.2">
      <c r="D171" t="s">
        <v>230</v>
      </c>
      <c r="I171" s="58">
        <f ca="1">IFERROR(I160/$I$162,0)</f>
        <v>0.12388907347493656</v>
      </c>
      <c r="J171" s="26" t="s">
        <v>90</v>
      </c>
      <c r="K171" s="7" t="s">
        <v>232</v>
      </c>
      <c r="L171" s="53">
        <f ca="1">IFERROR(Marine!CA_gross_rev_gas_fp/Marine!CA_gross_rev_total_fp,0)</f>
        <v>0</v>
      </c>
      <c r="M171" s="53">
        <f ca="1">IFERROR(Marine!CA_gross_rev_gas_fp/Marine!CA_gross_rev_total_fp,0)</f>
        <v>0.77935872149375496</v>
      </c>
      <c r="N171" s="53">
        <f ca="1">IFERROR(Marine!CA_gross_rev_gas_fp/Marine!CA_gross_rev_total_fp,0)</f>
        <v>0.28539678994174039</v>
      </c>
      <c r="O171" s="53">
        <f ca="1">IFERROR(Marine!CA_gross_rev_gas_fp/Marine!CA_gross_rev_total_fp,0)</f>
        <v>0.28802528568645402</v>
      </c>
      <c r="P171" s="53">
        <f ca="1">IFERROR(Marine!CA_gross_rev_gas_fp/Marine!CA_gross_rev_total_fp,0)</f>
        <v>0.14665773205335711</v>
      </c>
      <c r="Q171" s="53">
        <f ca="1">IFERROR(Marine!CA_gross_rev_gas_fp/Marine!CA_gross_rev_total_fp,0)</f>
        <v>7.9724502077489282E-2</v>
      </c>
      <c r="R171" s="53">
        <f ca="1">IFERROR(Marine!CA_gross_rev_gas_fp/Marine!CA_gross_rev_total_fp,0)</f>
        <v>9.7184516400793621E-8</v>
      </c>
      <c r="S171" s="53">
        <f ca="1">IFERROR(Marine!CA_gross_rev_gas_fp/Marine!CA_gross_rev_total_fp,0)</f>
        <v>0.17298739063181509</v>
      </c>
      <c r="T171" s="53">
        <f ca="1">IFERROR(Marine!CA_gross_rev_gas_fp/Marine!CA_gross_rev_total_fp,0)</f>
        <v>0.12352930023833004</v>
      </c>
      <c r="U171" s="53">
        <f ca="1">IFERROR(Marine!CA_gross_rev_gas_fp/Marine!CA_gross_rev_total_fp,0)</f>
        <v>0.12366319908678342</v>
      </c>
      <c r="V171" s="53">
        <f ca="1">IFERROR(Marine!CA_gross_rev_gas_fp/Marine!CA_gross_rev_total_fp,0)</f>
        <v>0.12923513524184668</v>
      </c>
      <c r="W171" s="53">
        <f ca="1">IFERROR(Marine!CA_gross_rev_gas_fp/Marine!CA_gross_rev_total_fp,0)</f>
        <v>0.13504634606053229</v>
      </c>
      <c r="X171" s="53">
        <f ca="1">IFERROR(Marine!CA_gross_rev_gas_fp/Marine!CA_gross_rev_total_fp,0)</f>
        <v>0.14100732555017068</v>
      </c>
      <c r="Y171" s="53">
        <f ca="1">IFERROR(Marine!CA_gross_rev_gas_fp/Marine!CA_gross_rev_total_fp,0)</f>
        <v>0</v>
      </c>
      <c r="Z171" s="53">
        <f ca="1">IFERROR(Marine!CA_gross_rev_gas_fp/Marine!CA_gross_rev_total_fp,0)</f>
        <v>0</v>
      </c>
      <c r="AA171" s="53">
        <f ca="1">IFERROR(Marine!CA_gross_rev_gas_fp/Marine!CA_gross_rev_total_fp,0)</f>
        <v>0</v>
      </c>
      <c r="AB171" s="53">
        <f ca="1">IFERROR(Marine!CA_gross_rev_gas_fp/Marine!CA_gross_rev_total_fp,0)</f>
        <v>0</v>
      </c>
      <c r="AC171" s="53">
        <f ca="1">IFERROR(Marine!CA_gross_rev_gas_fp/Marine!CA_gross_rev_total_fp,0)</f>
        <v>0</v>
      </c>
      <c r="AD171" s="53">
        <f ca="1">IFERROR(Marine!CA_gross_rev_gas_fp/Marine!CA_gross_rev_total_fp,0)</f>
        <v>0</v>
      </c>
      <c r="AE171" s="53">
        <f ca="1">IFERROR(Marine!CA_gross_rev_gas_fp/Marine!CA_gross_rev_total_fp,0)</f>
        <v>0</v>
      </c>
      <c r="AF171" s="53">
        <f ca="1">IFERROR(Marine!CA_gross_rev_gas_fp/Marine!CA_gross_rev_total_fp,0)</f>
        <v>0</v>
      </c>
      <c r="AG171" s="53">
        <f ca="1">IFERROR(Marine!CA_gross_rev_gas_fp/Marine!CA_gross_rev_total_fp,0)</f>
        <v>0</v>
      </c>
      <c r="AH171" s="53">
        <f ca="1">IFERROR(Marine!CA_gross_rev_gas_fp/Marine!CA_gross_rev_total_fp,0)</f>
        <v>0</v>
      </c>
      <c r="AI171" s="53">
        <f ca="1">IFERROR(Marine!CA_gross_rev_gas_fp/Marine!CA_gross_rev_total_fp,0)</f>
        <v>0</v>
      </c>
      <c r="AJ171" s="53">
        <f ca="1">IFERROR(Marine!CA_gross_rev_gas_fp/Marine!CA_gross_rev_total_fp,0)</f>
        <v>0</v>
      </c>
      <c r="AK171" s="53">
        <f ca="1">IFERROR(Marine!CA_gross_rev_gas_fp/Marine!CA_gross_rev_total_fp,0)</f>
        <v>0</v>
      </c>
      <c r="AL171" s="53">
        <f ca="1">IFERROR(Marine!CA_gross_rev_gas_fp/Marine!CA_gross_rev_total_fp,0)</f>
        <v>0</v>
      </c>
      <c r="AM171" s="53">
        <f ca="1">IFERROR(Marine!CA_gross_rev_gas_fp/Marine!CA_gross_rev_total_fp,0)</f>
        <v>0</v>
      </c>
      <c r="AN171" s="53">
        <f ca="1">IFERROR(Marine!CA_gross_rev_gas_fp/Marine!CA_gross_rev_total_fp,0)</f>
        <v>0</v>
      </c>
      <c r="AO171" s="53">
        <f ca="1">IFERROR(Marine!CA_gross_rev_gas_fp/Marine!CA_gross_rev_total_fp,0)</f>
        <v>0</v>
      </c>
      <c r="AP171" s="53">
        <f ca="1">IFERROR(Marine!CA_gross_rev_gas_fp/Marine!CA_gross_rev_total_fp,0)</f>
        <v>0</v>
      </c>
      <c r="AQ171" s="53">
        <f ca="1">IFERROR(Marine!CA_gross_rev_gas_fp/Marine!CA_gross_rev_total_fp,0)</f>
        <v>0</v>
      </c>
      <c r="AR171" s="53">
        <f ca="1">IFERROR(Marine!CA_gross_rev_gas_fp/Marine!CA_gross_rev_total_fp,0)</f>
        <v>0</v>
      </c>
      <c r="AS171" s="53">
        <f ca="1">IFERROR(Marine!CA_gross_rev_gas_fp/Marine!CA_gross_rev_total_fp,0)</f>
        <v>0</v>
      </c>
      <c r="AT171" s="53">
        <f ca="1">IFERROR(Marine!CA_gross_rev_gas_fp/Marine!CA_gross_rev_total_fp,0)</f>
        <v>0</v>
      </c>
      <c r="AU171" s="53">
        <f ca="1">IFERROR(Marine!CA_gross_rev_gas_fp/Marine!CA_gross_rev_total_fp,0)</f>
        <v>0</v>
      </c>
      <c r="AV171" s="53">
        <f ca="1">IFERROR(Marine!CA_gross_rev_gas_fp/Marine!CA_gross_rev_total_fp,0)</f>
        <v>0</v>
      </c>
      <c r="AW171" s="53">
        <f ca="1">IFERROR(Marine!CA_gross_rev_gas_fp/Marine!CA_gross_rev_total_fp,0)</f>
        <v>0</v>
      </c>
      <c r="AX171" s="53">
        <f ca="1">IFERROR(Marine!CA_gross_rev_gas_fp/Marine!CA_gross_rev_total_fp,0)</f>
        <v>0</v>
      </c>
      <c r="AY171" s="53">
        <f ca="1">IFERROR(Marine!CA_gross_rev_gas_fp/Marine!CA_gross_rev_total_fp,0)</f>
        <v>0</v>
      </c>
      <c r="AZ171" s="53">
        <f ca="1">IFERROR(Marine!CA_gross_rev_gas_fp/Marine!CA_gross_rev_total_fp,0)</f>
        <v>0</v>
      </c>
      <c r="BA171" s="53">
        <f ca="1">IFERROR(Marine!CA_gross_rev_gas_fp/Marine!CA_gross_rev_total_fp,0)</f>
        <v>0</v>
      </c>
      <c r="BB171" s="53">
        <f ca="1">IFERROR(Marine!CA_gross_rev_gas_fp/Marine!CA_gross_rev_total_fp,0)</f>
        <v>0</v>
      </c>
      <c r="BC171" s="53">
        <f ca="1">IFERROR(Marine!CA_gross_rev_gas_fp/Marine!CA_gross_rev_total_fp,0)</f>
        <v>0</v>
      </c>
      <c r="BD171" s="53">
        <f ca="1">IFERROR(Marine!CA_gross_rev_gas_fp/Marine!CA_gross_rev_total_fp,0)</f>
        <v>0</v>
      </c>
      <c r="BE171" s="53">
        <f ca="1">IFERROR(Marine!CA_gross_rev_gas_fp/Marine!CA_gross_rev_total_fp,0)</f>
        <v>0</v>
      </c>
      <c r="BF171" s="53">
        <f ca="1">IFERROR(Marine!CA_gross_rev_gas_fp/Marine!CA_gross_rev_total_fp,0)</f>
        <v>0</v>
      </c>
      <c r="BG171" s="53">
        <f ca="1">IFERROR(Marine!CA_gross_rev_gas_fp/Marine!CA_gross_rev_total_fp,0)</f>
        <v>0</v>
      </c>
      <c r="BH171" s="53">
        <f ca="1">IFERROR(Marine!CA_gross_rev_gas_fp/Marine!CA_gross_rev_total_fp,0)</f>
        <v>0</v>
      </c>
      <c r="BI171" s="53">
        <f ca="1">IFERROR(Marine!CA_gross_rev_gas_fp/Marine!CA_gross_rev_total_fp,0)</f>
        <v>0</v>
      </c>
      <c r="BJ171" s="53">
        <f ca="1">IFERROR(Marine!CA_gross_rev_gas_fp/Marine!CA_gross_rev_total_fp,0)</f>
        <v>0</v>
      </c>
      <c r="BK171" s="53">
        <f ca="1">IFERROR(Marine!CA_gross_rev_gas_fp/Marine!CA_gross_rev_total_fp,0)</f>
        <v>0</v>
      </c>
      <c r="BL171" s="53">
        <f ca="1">IFERROR(Marine!CA_gross_rev_gas_fp/Marine!CA_gross_rev_total_fp,0)</f>
        <v>0</v>
      </c>
      <c r="BM171" s="53">
        <f ca="1">IFERROR(Marine!CA_gross_rev_gas_fp/Marine!CA_gross_rev_total_fp,0)</f>
        <v>0</v>
      </c>
      <c r="BN171" s="53">
        <f ca="1">IFERROR(Marine!CA_gross_rev_gas_fp/Marine!CA_gross_rev_total_fp,0)</f>
        <v>0</v>
      </c>
      <c r="BO171" s="53">
        <f ca="1">IFERROR(Marine!CA_gross_rev_gas_fp/Marine!CA_gross_rev_total_fp,0)</f>
        <v>0</v>
      </c>
      <c r="BP171" s="53">
        <f ca="1">IFERROR(Marine!CA_gross_rev_gas_fp/Marine!CA_gross_rev_total_fp,0)</f>
        <v>0</v>
      </c>
      <c r="BQ171" s="53">
        <f ca="1">IFERROR(Marine!CA_gross_rev_gas_fp/Marine!CA_gross_rev_total_fp,0)</f>
        <v>0</v>
      </c>
      <c r="BR171" s="53">
        <f ca="1">IFERROR(Marine!CA_gross_rev_gas_fp/Marine!CA_gross_rev_total_fp,0)</f>
        <v>0</v>
      </c>
      <c r="BS171" s="53">
        <f ca="1">IFERROR(Marine!CA_gross_rev_gas_fp/Marine!CA_gross_rev_total_fp,0)</f>
        <v>0</v>
      </c>
    </row>
    <row r="172" spans="1:71" outlineLevel="1" x14ac:dyDescent="0.2">
      <c r="D172" t="s">
        <v>849</v>
      </c>
      <c r="I172" s="58">
        <f ca="1">IFERROR(I161/$I$162,0)</f>
        <v>3.097226836873412E-2</v>
      </c>
      <c r="J172" s="26" t="s">
        <v>90</v>
      </c>
      <c r="K172" s="7" t="s">
        <v>850</v>
      </c>
      <c r="L172" s="53">
        <f ca="1">IFERROR(CA_gross_rev_domestic_gas_fp/Marine!CA_gross_rev_total_fp,0)</f>
        <v>0</v>
      </c>
      <c r="M172" s="53">
        <f ca="1">IFERROR(CA_gross_rev_domestic_gas_fp/Marine!CA_gross_rev_total_fp,0)</f>
        <v>0.19483968037343863</v>
      </c>
      <c r="N172" s="53">
        <f ca="1">IFERROR(CA_gross_rev_domestic_gas_fp/Marine!CA_gross_rev_total_fp,0)</f>
        <v>7.1349197485435084E-2</v>
      </c>
      <c r="O172" s="53">
        <f ca="1">IFERROR(CA_gross_rev_domestic_gas_fp/Marine!CA_gross_rev_total_fp,0)</f>
        <v>7.2006321421613492E-2</v>
      </c>
      <c r="P172" s="53">
        <f ca="1">IFERROR(CA_gross_rev_domestic_gas_fp/Marine!CA_gross_rev_total_fp,0)</f>
        <v>3.6664433013339277E-2</v>
      </c>
      <c r="Q172" s="53">
        <f ca="1">IFERROR(CA_gross_rev_domestic_gas_fp/Marine!CA_gross_rev_total_fp,0)</f>
        <v>1.993112551937231E-2</v>
      </c>
      <c r="R172" s="53">
        <f ca="1">IFERROR(CA_gross_rev_domestic_gas_fp/Marine!CA_gross_rev_total_fp,0)</f>
        <v>2.4296129100198399E-8</v>
      </c>
      <c r="S172" s="53">
        <f ca="1">IFERROR(CA_gross_rev_domestic_gas_fp/Marine!CA_gross_rev_total_fp,0)</f>
        <v>4.3246847657953752E-2</v>
      </c>
      <c r="T172" s="53">
        <f ca="1">IFERROR(CA_gross_rev_domestic_gas_fp/Marine!CA_gross_rev_total_fp,0)</f>
        <v>3.0882325059582501E-2</v>
      </c>
      <c r="U172" s="53">
        <f ca="1">IFERROR(CA_gross_rev_domestic_gas_fp/Marine!CA_gross_rev_total_fp,0)</f>
        <v>3.0915799771695836E-2</v>
      </c>
      <c r="V172" s="53">
        <f ca="1">IFERROR(CA_gross_rev_domestic_gas_fp/Marine!CA_gross_rev_total_fp,0)</f>
        <v>3.2308783810461657E-2</v>
      </c>
      <c r="W172" s="53">
        <f ca="1">IFERROR(CA_gross_rev_domestic_gas_fp/Marine!CA_gross_rev_total_fp,0)</f>
        <v>3.3761586515133064E-2</v>
      </c>
      <c r="X172" s="53">
        <f ca="1">IFERROR(CA_gross_rev_domestic_gas_fp/Marine!CA_gross_rev_total_fp,0)</f>
        <v>3.5251831387542655E-2</v>
      </c>
      <c r="Y172" s="53">
        <f ca="1">IFERROR(CA_gross_rev_domestic_gas_fp/Marine!CA_gross_rev_total_fp,0)</f>
        <v>0</v>
      </c>
      <c r="Z172" s="53">
        <f ca="1">IFERROR(CA_gross_rev_domestic_gas_fp/Marine!CA_gross_rev_total_fp,0)</f>
        <v>0</v>
      </c>
      <c r="AA172" s="53">
        <f ca="1">IFERROR(CA_gross_rev_domestic_gas_fp/Marine!CA_gross_rev_total_fp,0)</f>
        <v>0</v>
      </c>
      <c r="AB172" s="53">
        <f ca="1">IFERROR(CA_gross_rev_domestic_gas_fp/Marine!CA_gross_rev_total_fp,0)</f>
        <v>0</v>
      </c>
      <c r="AC172" s="53">
        <f ca="1">IFERROR(CA_gross_rev_domestic_gas_fp/Marine!CA_gross_rev_total_fp,0)</f>
        <v>0</v>
      </c>
      <c r="AD172" s="53">
        <f ca="1">IFERROR(CA_gross_rev_domestic_gas_fp/Marine!CA_gross_rev_total_fp,0)</f>
        <v>0</v>
      </c>
      <c r="AE172" s="53">
        <f ca="1">IFERROR(CA_gross_rev_domestic_gas_fp/Marine!CA_gross_rev_total_fp,0)</f>
        <v>0</v>
      </c>
      <c r="AF172" s="53">
        <f ca="1">IFERROR(CA_gross_rev_domestic_gas_fp/Marine!CA_gross_rev_total_fp,0)</f>
        <v>0</v>
      </c>
      <c r="AG172" s="53">
        <f ca="1">IFERROR(CA_gross_rev_domestic_gas_fp/Marine!CA_gross_rev_total_fp,0)</f>
        <v>0</v>
      </c>
      <c r="AH172" s="53">
        <f ca="1">IFERROR(CA_gross_rev_domestic_gas_fp/Marine!CA_gross_rev_total_fp,0)</f>
        <v>0</v>
      </c>
      <c r="AI172" s="53">
        <f ca="1">IFERROR(CA_gross_rev_domestic_gas_fp/Marine!CA_gross_rev_total_fp,0)</f>
        <v>0</v>
      </c>
      <c r="AJ172" s="53">
        <f ca="1">IFERROR(CA_gross_rev_domestic_gas_fp/Marine!CA_gross_rev_total_fp,0)</f>
        <v>0</v>
      </c>
      <c r="AK172" s="53">
        <f ca="1">IFERROR(CA_gross_rev_domestic_gas_fp/Marine!CA_gross_rev_total_fp,0)</f>
        <v>0</v>
      </c>
      <c r="AL172" s="53">
        <f ca="1">IFERROR(CA_gross_rev_domestic_gas_fp/Marine!CA_gross_rev_total_fp,0)</f>
        <v>0</v>
      </c>
      <c r="AM172" s="53">
        <f ca="1">IFERROR(CA_gross_rev_domestic_gas_fp/Marine!CA_gross_rev_total_fp,0)</f>
        <v>0</v>
      </c>
      <c r="AN172" s="53">
        <f ca="1">IFERROR(CA_gross_rev_domestic_gas_fp/Marine!CA_gross_rev_total_fp,0)</f>
        <v>0</v>
      </c>
      <c r="AO172" s="53">
        <f ca="1">IFERROR(CA_gross_rev_domestic_gas_fp/Marine!CA_gross_rev_total_fp,0)</f>
        <v>0</v>
      </c>
      <c r="AP172" s="53">
        <f ca="1">IFERROR(CA_gross_rev_domestic_gas_fp/Marine!CA_gross_rev_total_fp,0)</f>
        <v>0</v>
      </c>
      <c r="AQ172" s="53">
        <f ca="1">IFERROR(CA_gross_rev_domestic_gas_fp/Marine!CA_gross_rev_total_fp,0)</f>
        <v>0</v>
      </c>
      <c r="AR172" s="53">
        <f ca="1">IFERROR(CA_gross_rev_domestic_gas_fp/Marine!CA_gross_rev_total_fp,0)</f>
        <v>0</v>
      </c>
      <c r="AS172" s="53">
        <f ca="1">IFERROR(CA_gross_rev_domestic_gas_fp/Marine!CA_gross_rev_total_fp,0)</f>
        <v>0</v>
      </c>
      <c r="AT172" s="53">
        <f ca="1">IFERROR(CA_gross_rev_domestic_gas_fp/Marine!CA_gross_rev_total_fp,0)</f>
        <v>0</v>
      </c>
      <c r="AU172" s="53">
        <f ca="1">IFERROR(CA_gross_rev_domestic_gas_fp/Marine!CA_gross_rev_total_fp,0)</f>
        <v>0</v>
      </c>
      <c r="AV172" s="53">
        <f ca="1">IFERROR(CA_gross_rev_domestic_gas_fp/Marine!CA_gross_rev_total_fp,0)</f>
        <v>0</v>
      </c>
      <c r="AW172" s="53">
        <f ca="1">IFERROR(CA_gross_rev_domestic_gas_fp/Marine!CA_gross_rev_total_fp,0)</f>
        <v>0</v>
      </c>
      <c r="AX172" s="53">
        <f ca="1">IFERROR(CA_gross_rev_domestic_gas_fp/Marine!CA_gross_rev_total_fp,0)</f>
        <v>0</v>
      </c>
      <c r="AY172" s="53">
        <f ca="1">IFERROR(CA_gross_rev_domestic_gas_fp/Marine!CA_gross_rev_total_fp,0)</f>
        <v>0</v>
      </c>
      <c r="AZ172" s="53">
        <f ca="1">IFERROR(CA_gross_rev_domestic_gas_fp/Marine!CA_gross_rev_total_fp,0)</f>
        <v>0</v>
      </c>
      <c r="BA172" s="53">
        <f ca="1">IFERROR(CA_gross_rev_domestic_gas_fp/Marine!CA_gross_rev_total_fp,0)</f>
        <v>0</v>
      </c>
      <c r="BB172" s="53">
        <f ca="1">IFERROR(CA_gross_rev_domestic_gas_fp/Marine!CA_gross_rev_total_fp,0)</f>
        <v>0</v>
      </c>
      <c r="BC172" s="53">
        <f ca="1">IFERROR(CA_gross_rev_domestic_gas_fp/Marine!CA_gross_rev_total_fp,0)</f>
        <v>0</v>
      </c>
      <c r="BD172" s="53">
        <f ca="1">IFERROR(CA_gross_rev_domestic_gas_fp/Marine!CA_gross_rev_total_fp,0)</f>
        <v>0</v>
      </c>
      <c r="BE172" s="53">
        <f ca="1">IFERROR(CA_gross_rev_domestic_gas_fp/Marine!CA_gross_rev_total_fp,0)</f>
        <v>0</v>
      </c>
      <c r="BF172" s="53">
        <f ca="1">IFERROR(CA_gross_rev_domestic_gas_fp/Marine!CA_gross_rev_total_fp,0)</f>
        <v>0</v>
      </c>
      <c r="BG172" s="53">
        <f ca="1">IFERROR(CA_gross_rev_domestic_gas_fp/Marine!CA_gross_rev_total_fp,0)</f>
        <v>0</v>
      </c>
      <c r="BH172" s="53">
        <f ca="1">IFERROR(CA_gross_rev_domestic_gas_fp/Marine!CA_gross_rev_total_fp,0)</f>
        <v>0</v>
      </c>
      <c r="BI172" s="53">
        <f ca="1">IFERROR(CA_gross_rev_domestic_gas_fp/Marine!CA_gross_rev_total_fp,0)</f>
        <v>0</v>
      </c>
      <c r="BJ172" s="53">
        <f ca="1">IFERROR(CA_gross_rev_domestic_gas_fp/Marine!CA_gross_rev_total_fp,0)</f>
        <v>0</v>
      </c>
      <c r="BK172" s="53">
        <f ca="1">IFERROR(CA_gross_rev_domestic_gas_fp/Marine!CA_gross_rev_total_fp,0)</f>
        <v>0</v>
      </c>
      <c r="BL172" s="53">
        <f ca="1">IFERROR(CA_gross_rev_domestic_gas_fp/Marine!CA_gross_rev_total_fp,0)</f>
        <v>0</v>
      </c>
      <c r="BM172" s="53">
        <f ca="1">IFERROR(CA_gross_rev_domestic_gas_fp/Marine!CA_gross_rev_total_fp,0)</f>
        <v>0</v>
      </c>
      <c r="BN172" s="53">
        <f ca="1">IFERROR(CA_gross_rev_domestic_gas_fp/Marine!CA_gross_rev_total_fp,0)</f>
        <v>0</v>
      </c>
      <c r="BO172" s="53">
        <f ca="1">IFERROR(CA_gross_rev_domestic_gas_fp/Marine!CA_gross_rev_total_fp,0)</f>
        <v>0</v>
      </c>
      <c r="BP172" s="53">
        <f ca="1">IFERROR(CA_gross_rev_domestic_gas_fp/Marine!CA_gross_rev_total_fp,0)</f>
        <v>0</v>
      </c>
      <c r="BQ172" s="53">
        <f ca="1">IFERROR(CA_gross_rev_domestic_gas_fp/Marine!CA_gross_rev_total_fp,0)</f>
        <v>0</v>
      </c>
      <c r="BR172" s="53">
        <f ca="1">IFERROR(CA_gross_rev_domestic_gas_fp/Marine!CA_gross_rev_total_fp,0)</f>
        <v>0</v>
      </c>
      <c r="BS172" s="53">
        <f ca="1">IFERROR(CA_gross_rev_domestic_gas_fp/Marine!CA_gross_rev_total_fp,0)</f>
        <v>0</v>
      </c>
    </row>
    <row r="173" spans="1:71" outlineLevel="1" x14ac:dyDescent="0.2">
      <c r="J173" s="26"/>
      <c r="L173" s="55"/>
      <c r="M173" s="55"/>
      <c r="N173" s="55"/>
      <c r="O173" s="55"/>
      <c r="P173" s="55"/>
      <c r="Q173" s="55"/>
      <c r="R173" s="55"/>
      <c r="S173" s="55"/>
      <c r="T173" s="55"/>
      <c r="U173" s="55"/>
      <c r="V173" s="55"/>
      <c r="W173" s="55"/>
      <c r="X173" s="55"/>
      <c r="Y173" s="55"/>
      <c r="Z173" s="55"/>
      <c r="AA173" s="55"/>
      <c r="AB173" s="55"/>
      <c r="AC173" s="55"/>
      <c r="AD173" s="55"/>
      <c r="AE173" s="55"/>
      <c r="AF173" s="55"/>
      <c r="AG173" s="55"/>
      <c r="AH173" s="55"/>
      <c r="AI173" s="55"/>
      <c r="AJ173" s="55"/>
      <c r="AK173" s="55"/>
      <c r="AL173" s="55"/>
      <c r="AM173" s="55"/>
      <c r="AN173" s="55"/>
      <c r="AO173" s="55"/>
      <c r="AP173" s="55"/>
      <c r="AQ173" s="55"/>
      <c r="AR173" s="55"/>
      <c r="AS173" s="55"/>
      <c r="AT173" s="55"/>
      <c r="AU173" s="55"/>
      <c r="AV173" s="55"/>
      <c r="AW173" s="55"/>
      <c r="AX173" s="55"/>
      <c r="AY173" s="55"/>
      <c r="AZ173" s="55"/>
      <c r="BA173" s="55"/>
      <c r="BB173" s="55"/>
      <c r="BC173" s="55"/>
      <c r="BD173" s="55"/>
      <c r="BE173" s="55"/>
      <c r="BF173" s="55"/>
      <c r="BG173" s="55"/>
      <c r="BH173" s="55"/>
      <c r="BI173" s="55"/>
      <c r="BJ173" s="55"/>
      <c r="BK173" s="55"/>
      <c r="BL173" s="55"/>
      <c r="BM173" s="55"/>
      <c r="BN173" s="55"/>
      <c r="BO173" s="55"/>
      <c r="BP173" s="55"/>
      <c r="BQ173" s="55"/>
      <c r="BR173" s="55"/>
      <c r="BS173" s="55"/>
    </row>
    <row r="174" spans="1:71" outlineLevel="1" x14ac:dyDescent="0.2">
      <c r="J174" s="26"/>
      <c r="L174" s="55"/>
      <c r="M174" s="55"/>
      <c r="N174" s="55"/>
      <c r="O174" s="55"/>
      <c r="P174" s="55"/>
      <c r="Q174" s="55"/>
      <c r="R174" s="55"/>
      <c r="S174" s="55"/>
      <c r="T174" s="55"/>
      <c r="U174" s="55"/>
      <c r="V174" s="55"/>
      <c r="W174" s="55"/>
      <c r="X174" s="55"/>
      <c r="Y174" s="55"/>
      <c r="Z174" s="55"/>
      <c r="AA174" s="55"/>
      <c r="AB174" s="55"/>
      <c r="AC174" s="55"/>
      <c r="AD174" s="55"/>
      <c r="AE174" s="55"/>
      <c r="AF174" s="55"/>
      <c r="AG174" s="55"/>
      <c r="AH174" s="55"/>
      <c r="AI174" s="55"/>
      <c r="AJ174" s="55"/>
      <c r="AK174" s="55"/>
      <c r="AL174" s="55"/>
      <c r="AM174" s="55"/>
      <c r="AN174" s="55"/>
      <c r="AO174" s="55"/>
      <c r="AP174" s="55"/>
      <c r="AQ174" s="55"/>
      <c r="AR174" s="55"/>
      <c r="AS174" s="55"/>
      <c r="AT174" s="55"/>
      <c r="AU174" s="55"/>
      <c r="AV174" s="55"/>
      <c r="AW174" s="55"/>
      <c r="AX174" s="55"/>
      <c r="AY174" s="55"/>
      <c r="AZ174" s="55"/>
      <c r="BA174" s="55"/>
      <c r="BB174" s="55"/>
      <c r="BC174" s="55"/>
      <c r="BD174" s="55"/>
      <c r="BE174" s="55"/>
      <c r="BF174" s="55"/>
      <c r="BG174" s="55"/>
      <c r="BH174" s="55"/>
      <c r="BI174" s="55"/>
      <c r="BJ174" s="55"/>
      <c r="BK174" s="55"/>
      <c r="BL174" s="55"/>
      <c r="BM174" s="55"/>
      <c r="BN174" s="55"/>
      <c r="BO174" s="55"/>
      <c r="BP174" s="55"/>
      <c r="BQ174" s="55"/>
      <c r="BR174" s="55"/>
      <c r="BS174" s="55"/>
    </row>
    <row r="175" spans="1:71" outlineLevel="1" x14ac:dyDescent="0.2">
      <c r="A175" s="45"/>
      <c r="B175" s="38" t="s">
        <v>50</v>
      </c>
      <c r="C175" s="45"/>
      <c r="D175" s="45"/>
      <c r="E175" s="45"/>
      <c r="J175" s="26"/>
      <c r="L175" s="55"/>
      <c r="M175" s="55"/>
      <c r="N175" s="55"/>
      <c r="O175" s="55"/>
      <c r="P175" s="55"/>
      <c r="Q175" s="55"/>
      <c r="R175" s="55"/>
      <c r="S175" s="55"/>
      <c r="T175" s="55"/>
      <c r="U175" s="55"/>
      <c r="V175" s="55"/>
      <c r="W175" s="55"/>
      <c r="X175" s="55"/>
      <c r="Y175" s="55"/>
      <c r="Z175" s="55"/>
      <c r="AA175" s="55"/>
      <c r="AB175" s="55"/>
      <c r="AC175" s="55"/>
      <c r="AD175" s="55"/>
      <c r="AE175" s="55"/>
      <c r="AF175" s="55"/>
      <c r="AG175" s="55"/>
      <c r="AH175" s="55"/>
      <c r="AI175" s="55"/>
      <c r="AJ175" s="55"/>
      <c r="AK175" s="55"/>
      <c r="AL175" s="55"/>
      <c r="AM175" s="55"/>
      <c r="AN175" s="55"/>
      <c r="AO175" s="55"/>
      <c r="AP175" s="55"/>
      <c r="AQ175" s="55"/>
      <c r="AR175" s="55"/>
      <c r="AS175" s="55"/>
      <c r="AT175" s="55"/>
      <c r="AU175" s="55"/>
      <c r="AV175" s="55"/>
      <c r="AW175" s="55"/>
      <c r="AX175" s="55"/>
      <c r="AY175" s="55"/>
      <c r="AZ175" s="55"/>
      <c r="BA175" s="55"/>
      <c r="BB175" s="55"/>
      <c r="BC175" s="55"/>
      <c r="BD175" s="55"/>
      <c r="BE175" s="55"/>
      <c r="BF175" s="55"/>
      <c r="BG175" s="55"/>
      <c r="BH175" s="55"/>
      <c r="BI175" s="55"/>
      <c r="BJ175" s="55"/>
      <c r="BK175" s="55"/>
      <c r="BL175" s="55"/>
      <c r="BM175" s="55"/>
      <c r="BN175" s="55"/>
      <c r="BO175" s="55"/>
      <c r="BP175" s="55"/>
      <c r="BQ175" s="55"/>
      <c r="BR175" s="55"/>
      <c r="BS175" s="55"/>
    </row>
    <row r="176" spans="1:71" outlineLevel="1" x14ac:dyDescent="0.2">
      <c r="J176" s="26"/>
      <c r="L176" s="55"/>
      <c r="M176" s="55"/>
      <c r="N176" s="55"/>
      <c r="O176" s="55"/>
      <c r="P176" s="55"/>
      <c r="Q176" s="55"/>
      <c r="R176" s="55"/>
      <c r="S176" s="55"/>
      <c r="T176" s="55"/>
      <c r="U176" s="55"/>
      <c r="V176" s="55"/>
      <c r="W176" s="55"/>
      <c r="X176" s="55"/>
      <c r="Y176" s="55"/>
      <c r="Z176" s="55"/>
      <c r="AA176" s="55"/>
      <c r="AB176" s="55"/>
      <c r="AC176" s="55"/>
      <c r="AD176" s="55"/>
      <c r="AE176" s="55"/>
      <c r="AF176" s="55"/>
      <c r="AG176" s="55"/>
      <c r="AH176" s="55"/>
      <c r="AI176" s="55"/>
      <c r="AJ176" s="55"/>
      <c r="AK176" s="55"/>
      <c r="AL176" s="55"/>
      <c r="AM176" s="55"/>
      <c r="AN176" s="55"/>
      <c r="AO176" s="55"/>
      <c r="AP176" s="55"/>
      <c r="AQ176" s="55"/>
      <c r="AR176" s="55"/>
      <c r="AS176" s="55"/>
      <c r="AT176" s="55"/>
      <c r="AU176" s="55"/>
      <c r="AV176" s="55"/>
      <c r="AW176" s="55"/>
      <c r="AX176" s="55"/>
      <c r="AY176" s="55"/>
      <c r="AZ176" s="55"/>
      <c r="BA176" s="55"/>
      <c r="BB176" s="55"/>
      <c r="BC176" s="55"/>
      <c r="BD176" s="55"/>
      <c r="BE176" s="55"/>
      <c r="BF176" s="55"/>
      <c r="BG176" s="55"/>
      <c r="BH176" s="55"/>
      <c r="BI176" s="55"/>
      <c r="BJ176" s="55"/>
      <c r="BK176" s="55"/>
      <c r="BL176" s="55"/>
      <c r="BM176" s="55"/>
      <c r="BN176" s="55"/>
      <c r="BO176" s="55"/>
      <c r="BP176" s="55"/>
      <c r="BQ176" s="55"/>
      <c r="BR176" s="55"/>
      <c r="BS176" s="55"/>
    </row>
    <row r="177" spans="1:71" outlineLevel="1" x14ac:dyDescent="0.2">
      <c r="C177" s="11" t="s">
        <v>162</v>
      </c>
      <c r="J177" s="26"/>
      <c r="L177" s="55"/>
      <c r="M177" s="55"/>
      <c r="N177" s="55"/>
      <c r="O177" s="55"/>
      <c r="P177" s="55"/>
      <c r="Q177" s="55"/>
      <c r="R177" s="55"/>
      <c r="S177" s="55"/>
      <c r="T177" s="55"/>
      <c r="U177" s="55"/>
      <c r="V177" s="55"/>
      <c r="W177" s="55"/>
      <c r="X177" s="55"/>
      <c r="Y177" s="55"/>
      <c r="Z177" s="55"/>
      <c r="AA177" s="55"/>
      <c r="AB177" s="55"/>
      <c r="AC177" s="55"/>
      <c r="AD177" s="55"/>
      <c r="AE177" s="55"/>
      <c r="AF177" s="55"/>
      <c r="AG177" s="55"/>
      <c r="AH177" s="55"/>
      <c r="AI177" s="55"/>
      <c r="AJ177" s="55"/>
      <c r="AK177" s="55"/>
      <c r="AL177" s="55"/>
      <c r="AM177" s="55"/>
      <c r="AN177" s="55"/>
      <c r="AO177" s="55"/>
      <c r="AP177" s="55"/>
      <c r="AQ177" s="55"/>
      <c r="AR177" s="55"/>
      <c r="AS177" s="55"/>
      <c r="AT177" s="55"/>
      <c r="AU177" s="55"/>
      <c r="AV177" s="55"/>
      <c r="AW177" s="55"/>
      <c r="AX177" s="55"/>
      <c r="AY177" s="55"/>
      <c r="AZ177" s="55"/>
      <c r="BA177" s="55"/>
      <c r="BB177" s="55"/>
      <c r="BC177" s="55"/>
      <c r="BD177" s="55"/>
      <c r="BE177" s="55"/>
      <c r="BF177" s="55"/>
      <c r="BG177" s="55"/>
      <c r="BH177" s="55"/>
      <c r="BI177" s="55"/>
      <c r="BJ177" s="55"/>
      <c r="BK177" s="55"/>
      <c r="BL177" s="55"/>
      <c r="BM177" s="55"/>
      <c r="BN177" s="55"/>
      <c r="BO177" s="55"/>
      <c r="BP177" s="55"/>
      <c r="BQ177" s="55"/>
      <c r="BR177" s="55"/>
      <c r="BS177" s="55"/>
    </row>
    <row r="178" spans="1:71" outlineLevel="1" x14ac:dyDescent="0.2">
      <c r="D178" t="s">
        <v>160</v>
      </c>
      <c r="I178" s="30">
        <f ca="1">SUM($L178:$BS178)</f>
        <v>2321.8359572160002</v>
      </c>
      <c r="J178" s="26" t="s">
        <v>148</v>
      </c>
      <c r="K178" s="7" t="s">
        <v>159</v>
      </c>
      <c r="L178" s="49">
        <f t="shared" ref="L178:S178" ca="1" si="32">IF(L4&gt;=YEAR(effective_date_Marine),((OFFSET(_xlfn.SINGLE(IA_varopex_real),6,date_offset_Marine)+OFFSET(_xlfn.SINGLE(IA_othercosts_real),6,date_offset_Marine))*_xlfn.SINGLE(IA_esc_index)),0)</f>
        <v>37.1</v>
      </c>
      <c r="M178" s="49">
        <f t="shared" ca="1" si="32"/>
        <v>101.941</v>
      </c>
      <c r="N178" s="49">
        <f t="shared" ca="1" si="32"/>
        <v>119.428</v>
      </c>
      <c r="O178" s="49">
        <f t="shared" ca="1" si="32"/>
        <v>178.69499999999999</v>
      </c>
      <c r="P178" s="49">
        <f t="shared" ca="1" si="32"/>
        <v>147.94900000000001</v>
      </c>
      <c r="Q178" s="49">
        <f t="shared" ca="1" si="32"/>
        <v>226.411</v>
      </c>
      <c r="R178" s="49">
        <f t="shared" ca="1" si="32"/>
        <v>176</v>
      </c>
      <c r="S178" s="49">
        <f t="shared" ca="1" si="32"/>
        <v>198.9</v>
      </c>
      <c r="T178" s="49">
        <f t="shared" ref="T178:AY178" ca="1" si="33">IF(T4&gt;=YEAR(effective_date_Marine),((OFFSET(_xlfn.SINGLE(IA_varopex_real),6,date_offset_Marine)+OFFSET(_xlfn.SINGLE(IA_othercosts_real),6,date_offset_Marine))*_xlfn.SINGLE(IA_esc_index)),0)*(1+df_opex_sens)</f>
        <v>204.4</v>
      </c>
      <c r="U178" s="49">
        <f t="shared" ca="1" si="33"/>
        <v>214.81200000000001</v>
      </c>
      <c r="V178" s="49">
        <f t="shared" ca="1" si="33"/>
        <v>226.07892000000001</v>
      </c>
      <c r="W178" s="49">
        <f t="shared" ca="1" si="33"/>
        <v>238.34731679999999</v>
      </c>
      <c r="X178" s="49">
        <f t="shared" ca="1" si="33"/>
        <v>251.77372041599997</v>
      </c>
      <c r="Y178" s="49">
        <f t="shared" ca="1" si="33"/>
        <v>0</v>
      </c>
      <c r="Z178" s="49">
        <f t="shared" ca="1" si="33"/>
        <v>0</v>
      </c>
      <c r="AA178" s="49">
        <f t="shared" ca="1" si="33"/>
        <v>0</v>
      </c>
      <c r="AB178" s="49">
        <f t="shared" ca="1" si="33"/>
        <v>0</v>
      </c>
      <c r="AC178" s="49">
        <f t="shared" ca="1" si="33"/>
        <v>0</v>
      </c>
      <c r="AD178" s="49">
        <f t="shared" ca="1" si="33"/>
        <v>0</v>
      </c>
      <c r="AE178" s="49">
        <f t="shared" ca="1" si="33"/>
        <v>0</v>
      </c>
      <c r="AF178" s="49">
        <f t="shared" ca="1" si="33"/>
        <v>0</v>
      </c>
      <c r="AG178" s="49">
        <f t="shared" ca="1" si="33"/>
        <v>0</v>
      </c>
      <c r="AH178" s="49">
        <f t="shared" ca="1" si="33"/>
        <v>0</v>
      </c>
      <c r="AI178" s="49">
        <f t="shared" ca="1" si="33"/>
        <v>0</v>
      </c>
      <c r="AJ178" s="49">
        <f t="shared" ca="1" si="33"/>
        <v>0</v>
      </c>
      <c r="AK178" s="49">
        <f t="shared" ca="1" si="33"/>
        <v>0</v>
      </c>
      <c r="AL178" s="49">
        <f t="shared" ca="1" si="33"/>
        <v>0</v>
      </c>
      <c r="AM178" s="49">
        <f t="shared" ca="1" si="33"/>
        <v>0</v>
      </c>
      <c r="AN178" s="49">
        <f t="shared" ca="1" si="33"/>
        <v>0</v>
      </c>
      <c r="AO178" s="49">
        <f t="shared" ca="1" si="33"/>
        <v>0</v>
      </c>
      <c r="AP178" s="49">
        <f t="shared" ca="1" si="33"/>
        <v>0</v>
      </c>
      <c r="AQ178" s="49">
        <f t="shared" ca="1" si="33"/>
        <v>0</v>
      </c>
      <c r="AR178" s="49">
        <f t="shared" ca="1" si="33"/>
        <v>0</v>
      </c>
      <c r="AS178" s="49">
        <f t="shared" ca="1" si="33"/>
        <v>0</v>
      </c>
      <c r="AT178" s="49">
        <f t="shared" ca="1" si="33"/>
        <v>0</v>
      </c>
      <c r="AU178" s="49">
        <f t="shared" ca="1" si="33"/>
        <v>0</v>
      </c>
      <c r="AV178" s="49">
        <f t="shared" ca="1" si="33"/>
        <v>0</v>
      </c>
      <c r="AW178" s="49">
        <f t="shared" ca="1" si="33"/>
        <v>0</v>
      </c>
      <c r="AX178" s="49">
        <f t="shared" ca="1" si="33"/>
        <v>0</v>
      </c>
      <c r="AY178" s="49">
        <f t="shared" ca="1" si="33"/>
        <v>0</v>
      </c>
      <c r="AZ178" s="49">
        <f t="shared" ref="AZ178:BS178" ca="1" si="34">IF(AZ4&gt;=YEAR(effective_date_Marine),((OFFSET(_xlfn.SINGLE(IA_varopex_real),6,date_offset_Marine)+OFFSET(_xlfn.SINGLE(IA_othercosts_real),6,date_offset_Marine))*_xlfn.SINGLE(IA_esc_index)),0)*(1+df_opex_sens)</f>
        <v>0</v>
      </c>
      <c r="BA178" s="49">
        <f t="shared" ca="1" si="34"/>
        <v>0</v>
      </c>
      <c r="BB178" s="49">
        <f t="shared" ca="1" si="34"/>
        <v>0</v>
      </c>
      <c r="BC178" s="49">
        <f t="shared" ca="1" si="34"/>
        <v>0</v>
      </c>
      <c r="BD178" s="49">
        <f t="shared" ca="1" si="34"/>
        <v>0</v>
      </c>
      <c r="BE178" s="49">
        <f t="shared" ca="1" si="34"/>
        <v>0</v>
      </c>
      <c r="BF178" s="49">
        <f t="shared" ca="1" si="34"/>
        <v>0</v>
      </c>
      <c r="BG178" s="49">
        <f t="shared" ca="1" si="34"/>
        <v>0</v>
      </c>
      <c r="BH178" s="49">
        <f t="shared" ca="1" si="34"/>
        <v>0</v>
      </c>
      <c r="BI178" s="49">
        <f t="shared" ca="1" si="34"/>
        <v>0</v>
      </c>
      <c r="BJ178" s="49">
        <f t="shared" ca="1" si="34"/>
        <v>0</v>
      </c>
      <c r="BK178" s="49">
        <f t="shared" ca="1" si="34"/>
        <v>0</v>
      </c>
      <c r="BL178" s="49">
        <f t="shared" ca="1" si="34"/>
        <v>0</v>
      </c>
      <c r="BM178" s="49">
        <f t="shared" ca="1" si="34"/>
        <v>0</v>
      </c>
      <c r="BN178" s="49">
        <f t="shared" ca="1" si="34"/>
        <v>0</v>
      </c>
      <c r="BO178" s="49">
        <f t="shared" ca="1" si="34"/>
        <v>0</v>
      </c>
      <c r="BP178" s="49">
        <f t="shared" ca="1" si="34"/>
        <v>0</v>
      </c>
      <c r="BQ178" s="49">
        <f t="shared" ca="1" si="34"/>
        <v>0</v>
      </c>
      <c r="BR178" s="49">
        <f t="shared" ca="1" si="34"/>
        <v>0</v>
      </c>
      <c r="BS178" s="49">
        <f t="shared" ca="1" si="34"/>
        <v>0</v>
      </c>
    </row>
    <row r="179" spans="1:71" outlineLevel="1" x14ac:dyDescent="0.2">
      <c r="J179" s="26"/>
      <c r="L179" s="55"/>
      <c r="M179" s="55"/>
      <c r="N179" s="55"/>
      <c r="O179" s="55"/>
      <c r="P179" s="55"/>
      <c r="Q179" s="55"/>
      <c r="R179" s="55"/>
      <c r="S179" s="55"/>
      <c r="T179" s="55"/>
      <c r="U179" s="55"/>
      <c r="V179" s="55"/>
      <c r="W179" s="55"/>
      <c r="X179" s="55"/>
      <c r="Y179" s="55"/>
      <c r="Z179" s="55"/>
      <c r="AA179" s="55"/>
      <c r="AB179" s="55"/>
      <c r="AC179" s="55"/>
      <c r="AD179" s="55"/>
      <c r="AE179" s="55"/>
      <c r="AF179" s="55"/>
      <c r="AG179" s="55"/>
      <c r="AH179" s="55"/>
      <c r="AI179" s="55"/>
      <c r="AJ179" s="55"/>
      <c r="AK179" s="55"/>
      <c r="AL179" s="55"/>
      <c r="AM179" s="55"/>
      <c r="AN179" s="55"/>
      <c r="AO179" s="55"/>
      <c r="AP179" s="55"/>
      <c r="AQ179" s="55"/>
      <c r="AR179" s="55"/>
      <c r="AS179" s="55"/>
      <c r="AT179" s="55"/>
      <c r="AU179" s="55"/>
      <c r="AV179" s="55"/>
      <c r="AW179" s="55"/>
      <c r="AX179" s="55"/>
      <c r="AY179" s="55"/>
      <c r="AZ179" s="55"/>
      <c r="BA179" s="55"/>
      <c r="BB179" s="55"/>
      <c r="BC179" s="55"/>
      <c r="BD179" s="55"/>
      <c r="BE179" s="55"/>
      <c r="BF179" s="55"/>
      <c r="BG179" s="55"/>
      <c r="BH179" s="55"/>
      <c r="BI179" s="55"/>
      <c r="BJ179" s="55"/>
      <c r="BK179" s="55"/>
      <c r="BL179" s="55"/>
      <c r="BM179" s="55"/>
      <c r="BN179" s="55"/>
      <c r="BO179" s="55"/>
      <c r="BP179" s="55"/>
      <c r="BQ179" s="55"/>
      <c r="BR179" s="55"/>
      <c r="BS179" s="55"/>
    </row>
    <row r="180" spans="1:71" outlineLevel="1" x14ac:dyDescent="0.2">
      <c r="C180" s="11" t="s">
        <v>161</v>
      </c>
      <c r="J180" s="26"/>
      <c r="L180" s="55"/>
      <c r="M180" s="55"/>
      <c r="N180" s="55"/>
      <c r="O180" s="55"/>
      <c r="P180" s="55"/>
      <c r="Q180" s="55"/>
      <c r="R180" s="55"/>
      <c r="S180" s="55"/>
      <c r="T180" s="55"/>
      <c r="U180" s="55"/>
      <c r="V180" s="55"/>
      <c r="W180" s="55"/>
      <c r="X180" s="55"/>
      <c r="Y180" s="55"/>
      <c r="Z180" s="55"/>
      <c r="AA180" s="55"/>
      <c r="AB180" s="55"/>
      <c r="AC180" s="55"/>
      <c r="AD180" s="55"/>
      <c r="AE180" s="55"/>
      <c r="AF180" s="55"/>
      <c r="AG180" s="55"/>
      <c r="AH180" s="55"/>
      <c r="AI180" s="55"/>
      <c r="AJ180" s="55"/>
      <c r="AK180" s="55"/>
      <c r="AL180" s="55"/>
      <c r="AM180" s="55"/>
      <c r="AN180" s="55"/>
      <c r="AO180" s="55"/>
      <c r="AP180" s="55"/>
      <c r="AQ180" s="55"/>
      <c r="AR180" s="55"/>
      <c r="AS180" s="55"/>
      <c r="AT180" s="55"/>
      <c r="AU180" s="55"/>
      <c r="AV180" s="55"/>
      <c r="AW180" s="55"/>
      <c r="AX180" s="55"/>
      <c r="AY180" s="55"/>
      <c r="AZ180" s="55"/>
      <c r="BA180" s="55"/>
      <c r="BB180" s="55"/>
      <c r="BC180" s="55"/>
      <c r="BD180" s="55"/>
      <c r="BE180" s="55"/>
      <c r="BF180" s="55"/>
      <c r="BG180" s="55"/>
      <c r="BH180" s="55"/>
      <c r="BI180" s="55"/>
      <c r="BJ180" s="55"/>
      <c r="BK180" s="55"/>
      <c r="BL180" s="55"/>
      <c r="BM180" s="55"/>
      <c r="BN180" s="55"/>
      <c r="BO180" s="55"/>
      <c r="BP180" s="55"/>
      <c r="BQ180" s="55"/>
      <c r="BR180" s="55"/>
      <c r="BS180" s="55"/>
    </row>
    <row r="181" spans="1:71" outlineLevel="1" x14ac:dyDescent="0.2">
      <c r="D181" t="s">
        <v>163</v>
      </c>
      <c r="I181" s="30">
        <f ca="1">SUM($L181:$BS181)</f>
        <v>0</v>
      </c>
      <c r="J181" s="26" t="s">
        <v>148</v>
      </c>
      <c r="K181" s="7" t="s">
        <v>164</v>
      </c>
      <c r="L181" s="49">
        <f t="shared" ref="L181:S181" ca="1" si="35">IF(L4&gt;=YEAR(effective_date_Marine),(OFFSET(_xlfn.SINGLE(IA_fixedopex_real),6,date_offset_Marine)*_xlfn.SINGLE(IA_esc_index)),0)</f>
        <v>0</v>
      </c>
      <c r="M181" s="49">
        <f t="shared" ca="1" si="35"/>
        <v>0</v>
      </c>
      <c r="N181" s="49">
        <f t="shared" ca="1" si="35"/>
        <v>0</v>
      </c>
      <c r="O181" s="49">
        <f t="shared" ca="1" si="35"/>
        <v>0</v>
      </c>
      <c r="P181" s="49">
        <f t="shared" ca="1" si="35"/>
        <v>0</v>
      </c>
      <c r="Q181" s="49">
        <f t="shared" ca="1" si="35"/>
        <v>0</v>
      </c>
      <c r="R181" s="49">
        <f t="shared" ca="1" si="35"/>
        <v>0</v>
      </c>
      <c r="S181" s="49">
        <f t="shared" ca="1" si="35"/>
        <v>0</v>
      </c>
      <c r="T181" s="49">
        <f t="shared" ref="T181:AY181" ca="1" si="36">IF(T4&gt;=YEAR(effective_date_Marine),(OFFSET(_xlfn.SINGLE(IA_fixedopex_real),6,date_offset_Marine)*_xlfn.SINGLE(IA_esc_index)),0)*(1+df_opex_sens)</f>
        <v>0</v>
      </c>
      <c r="U181" s="49">
        <f t="shared" ca="1" si="36"/>
        <v>0</v>
      </c>
      <c r="V181" s="49">
        <f t="shared" ca="1" si="36"/>
        <v>0</v>
      </c>
      <c r="W181" s="49">
        <f t="shared" ca="1" si="36"/>
        <v>0</v>
      </c>
      <c r="X181" s="49">
        <f t="shared" ca="1" si="36"/>
        <v>0</v>
      </c>
      <c r="Y181" s="49">
        <f t="shared" ca="1" si="36"/>
        <v>0</v>
      </c>
      <c r="Z181" s="49">
        <f t="shared" ca="1" si="36"/>
        <v>0</v>
      </c>
      <c r="AA181" s="49">
        <f t="shared" ca="1" si="36"/>
        <v>0</v>
      </c>
      <c r="AB181" s="49">
        <f t="shared" ca="1" si="36"/>
        <v>0</v>
      </c>
      <c r="AC181" s="49">
        <f t="shared" ca="1" si="36"/>
        <v>0</v>
      </c>
      <c r="AD181" s="49">
        <f t="shared" ca="1" si="36"/>
        <v>0</v>
      </c>
      <c r="AE181" s="49">
        <f t="shared" ca="1" si="36"/>
        <v>0</v>
      </c>
      <c r="AF181" s="49">
        <f t="shared" ca="1" si="36"/>
        <v>0</v>
      </c>
      <c r="AG181" s="49">
        <f t="shared" ca="1" si="36"/>
        <v>0</v>
      </c>
      <c r="AH181" s="49">
        <f t="shared" ca="1" si="36"/>
        <v>0</v>
      </c>
      <c r="AI181" s="49">
        <f t="shared" ca="1" si="36"/>
        <v>0</v>
      </c>
      <c r="AJ181" s="49">
        <f t="shared" ca="1" si="36"/>
        <v>0</v>
      </c>
      <c r="AK181" s="49">
        <f t="shared" ca="1" si="36"/>
        <v>0</v>
      </c>
      <c r="AL181" s="49">
        <f t="shared" ca="1" si="36"/>
        <v>0</v>
      </c>
      <c r="AM181" s="49">
        <f t="shared" ca="1" si="36"/>
        <v>0</v>
      </c>
      <c r="AN181" s="49">
        <f t="shared" ca="1" si="36"/>
        <v>0</v>
      </c>
      <c r="AO181" s="49">
        <f t="shared" ca="1" si="36"/>
        <v>0</v>
      </c>
      <c r="AP181" s="49">
        <f t="shared" ca="1" si="36"/>
        <v>0</v>
      </c>
      <c r="AQ181" s="49">
        <f t="shared" ca="1" si="36"/>
        <v>0</v>
      </c>
      <c r="AR181" s="49">
        <f t="shared" ca="1" si="36"/>
        <v>0</v>
      </c>
      <c r="AS181" s="49">
        <f t="shared" ca="1" si="36"/>
        <v>0</v>
      </c>
      <c r="AT181" s="49">
        <f t="shared" ca="1" si="36"/>
        <v>0</v>
      </c>
      <c r="AU181" s="49">
        <f t="shared" ca="1" si="36"/>
        <v>0</v>
      </c>
      <c r="AV181" s="49">
        <f t="shared" ca="1" si="36"/>
        <v>0</v>
      </c>
      <c r="AW181" s="49">
        <f t="shared" ca="1" si="36"/>
        <v>0</v>
      </c>
      <c r="AX181" s="49">
        <f t="shared" ca="1" si="36"/>
        <v>0</v>
      </c>
      <c r="AY181" s="49">
        <f t="shared" ca="1" si="36"/>
        <v>0</v>
      </c>
      <c r="AZ181" s="49">
        <f t="shared" ref="AZ181:BS181" ca="1" si="37">IF(AZ4&gt;=YEAR(effective_date_Marine),(OFFSET(_xlfn.SINGLE(IA_fixedopex_real),6,date_offset_Marine)*_xlfn.SINGLE(IA_esc_index)),0)*(1+df_opex_sens)</f>
        <v>0</v>
      </c>
      <c r="BA181" s="49">
        <f t="shared" ca="1" si="37"/>
        <v>0</v>
      </c>
      <c r="BB181" s="49">
        <f t="shared" ca="1" si="37"/>
        <v>0</v>
      </c>
      <c r="BC181" s="49">
        <f t="shared" ca="1" si="37"/>
        <v>0</v>
      </c>
      <c r="BD181" s="49">
        <f t="shared" ca="1" si="37"/>
        <v>0</v>
      </c>
      <c r="BE181" s="49">
        <f t="shared" ca="1" si="37"/>
        <v>0</v>
      </c>
      <c r="BF181" s="49">
        <f t="shared" ca="1" si="37"/>
        <v>0</v>
      </c>
      <c r="BG181" s="49">
        <f t="shared" ca="1" si="37"/>
        <v>0</v>
      </c>
      <c r="BH181" s="49">
        <f t="shared" ca="1" si="37"/>
        <v>0</v>
      </c>
      <c r="BI181" s="49">
        <f t="shared" ca="1" si="37"/>
        <v>0</v>
      </c>
      <c r="BJ181" s="49">
        <f t="shared" ca="1" si="37"/>
        <v>0</v>
      </c>
      <c r="BK181" s="49">
        <f t="shared" ca="1" si="37"/>
        <v>0</v>
      </c>
      <c r="BL181" s="49">
        <f t="shared" ca="1" si="37"/>
        <v>0</v>
      </c>
      <c r="BM181" s="49">
        <f t="shared" ca="1" si="37"/>
        <v>0</v>
      </c>
      <c r="BN181" s="49">
        <f t="shared" ca="1" si="37"/>
        <v>0</v>
      </c>
      <c r="BO181" s="49">
        <f t="shared" ca="1" si="37"/>
        <v>0</v>
      </c>
      <c r="BP181" s="49">
        <f t="shared" ca="1" si="37"/>
        <v>0</v>
      </c>
      <c r="BQ181" s="49">
        <f t="shared" ca="1" si="37"/>
        <v>0</v>
      </c>
      <c r="BR181" s="49">
        <f t="shared" ca="1" si="37"/>
        <v>0</v>
      </c>
      <c r="BS181" s="49">
        <f t="shared" ca="1" si="37"/>
        <v>0</v>
      </c>
    </row>
    <row r="182" spans="1:71" outlineLevel="1" x14ac:dyDescent="0.2">
      <c r="J182" s="26"/>
      <c r="L182" s="55"/>
      <c r="M182" s="55"/>
      <c r="N182" s="55"/>
      <c r="O182" s="55"/>
      <c r="P182" s="55"/>
      <c r="Q182" s="55"/>
      <c r="R182" s="55"/>
      <c r="S182" s="55"/>
      <c r="T182" s="55"/>
      <c r="U182" s="55"/>
      <c r="V182" s="55"/>
      <c r="W182" s="55"/>
      <c r="X182" s="55"/>
      <c r="Y182" s="55"/>
      <c r="Z182" s="55"/>
      <c r="AA182" s="55"/>
      <c r="AB182" s="55"/>
      <c r="AC182" s="55"/>
      <c r="AD182" s="55"/>
      <c r="AE182" s="55"/>
      <c r="AF182" s="55"/>
      <c r="AG182" s="55"/>
      <c r="AH182" s="55"/>
      <c r="AI182" s="55"/>
      <c r="AJ182" s="55"/>
      <c r="AK182" s="55"/>
      <c r="AL182" s="55"/>
      <c r="AM182" s="55"/>
      <c r="AN182" s="55"/>
      <c r="AO182" s="55"/>
      <c r="AP182" s="55"/>
      <c r="AQ182" s="55"/>
      <c r="AR182" s="55"/>
      <c r="AS182" s="55"/>
      <c r="AT182" s="55"/>
      <c r="AU182" s="55"/>
      <c r="AV182" s="55"/>
      <c r="AW182" s="55"/>
      <c r="AX182" s="55"/>
      <c r="AY182" s="55"/>
      <c r="AZ182" s="55"/>
      <c r="BA182" s="55"/>
      <c r="BB182" s="55"/>
      <c r="BC182" s="55"/>
      <c r="BD182" s="55"/>
      <c r="BE182" s="55"/>
      <c r="BF182" s="55"/>
      <c r="BG182" s="55"/>
      <c r="BH182" s="55"/>
      <c r="BI182" s="55"/>
      <c r="BJ182" s="55"/>
      <c r="BK182" s="55"/>
      <c r="BL182" s="55"/>
      <c r="BM182" s="55"/>
      <c r="BN182" s="55"/>
      <c r="BO182" s="55"/>
      <c r="BP182" s="55"/>
      <c r="BQ182" s="55"/>
      <c r="BR182" s="55"/>
      <c r="BS182" s="55"/>
    </row>
    <row r="183" spans="1:71" outlineLevel="1" x14ac:dyDescent="0.2">
      <c r="J183" s="26"/>
      <c r="L183" s="55"/>
      <c r="M183" s="55"/>
      <c r="N183" s="55"/>
      <c r="O183" s="55"/>
      <c r="P183" s="55"/>
      <c r="Q183" s="55"/>
      <c r="R183" s="55"/>
      <c r="S183" s="55"/>
      <c r="T183" s="55"/>
      <c r="U183" s="55"/>
      <c r="V183" s="55"/>
      <c r="W183" s="55"/>
      <c r="X183" s="55"/>
      <c r="Y183" s="55"/>
      <c r="Z183" s="55"/>
      <c r="AA183" s="55"/>
      <c r="AB183" s="55"/>
      <c r="AC183" s="55"/>
      <c r="AD183" s="55"/>
      <c r="AE183" s="55"/>
      <c r="AF183" s="55"/>
      <c r="AG183" s="55"/>
      <c r="AH183" s="55"/>
      <c r="AI183" s="55"/>
      <c r="AJ183" s="55"/>
      <c r="AK183" s="55"/>
      <c r="AL183" s="55"/>
      <c r="AM183" s="55"/>
      <c r="AN183" s="55"/>
      <c r="AO183" s="55"/>
      <c r="AP183" s="55"/>
      <c r="AQ183" s="55"/>
      <c r="AR183" s="55"/>
      <c r="AS183" s="55"/>
      <c r="AT183" s="55"/>
      <c r="AU183" s="55"/>
      <c r="AV183" s="55"/>
      <c r="AW183" s="55"/>
      <c r="AX183" s="55"/>
      <c r="AY183" s="55"/>
      <c r="AZ183" s="55"/>
      <c r="BA183" s="55"/>
      <c r="BB183" s="55"/>
      <c r="BC183" s="55"/>
      <c r="BD183" s="55"/>
      <c r="BE183" s="55"/>
      <c r="BF183" s="55"/>
      <c r="BG183" s="55"/>
      <c r="BH183" s="55"/>
      <c r="BI183" s="55"/>
      <c r="BJ183" s="55"/>
      <c r="BK183" s="55"/>
      <c r="BL183" s="55"/>
      <c r="BM183" s="55"/>
      <c r="BN183" s="55"/>
      <c r="BO183" s="55"/>
      <c r="BP183" s="55"/>
      <c r="BQ183" s="55"/>
      <c r="BR183" s="55"/>
      <c r="BS183" s="55"/>
    </row>
    <row r="184" spans="1:71" outlineLevel="1" x14ac:dyDescent="0.2">
      <c r="D184" s="11" t="s">
        <v>165</v>
      </c>
      <c r="I184" s="30">
        <f ca="1">SUM($L184:$BS184)</f>
        <v>2321.8359572160002</v>
      </c>
      <c r="J184" s="26" t="s">
        <v>148</v>
      </c>
      <c r="K184" s="7" t="s">
        <v>166</v>
      </c>
      <c r="L184" s="49">
        <f ca="1">SUM(L181,L178)</f>
        <v>37.1</v>
      </c>
      <c r="M184" s="49">
        <f t="shared" ref="M184:BS184" ca="1" si="38">SUM(M181,M178)</f>
        <v>101.941</v>
      </c>
      <c r="N184" s="49">
        <f t="shared" ca="1" si="38"/>
        <v>119.428</v>
      </c>
      <c r="O184" s="49">
        <f t="shared" ca="1" si="38"/>
        <v>178.69499999999999</v>
      </c>
      <c r="P184" s="49">
        <f t="shared" ca="1" si="38"/>
        <v>147.94900000000001</v>
      </c>
      <c r="Q184" s="49">
        <f t="shared" ca="1" si="38"/>
        <v>226.411</v>
      </c>
      <c r="R184" s="49">
        <f t="shared" ca="1" si="38"/>
        <v>176</v>
      </c>
      <c r="S184" s="49">
        <f t="shared" ca="1" si="38"/>
        <v>198.9</v>
      </c>
      <c r="T184" s="49">
        <f t="shared" ca="1" si="38"/>
        <v>204.4</v>
      </c>
      <c r="U184" s="49">
        <f t="shared" ca="1" si="38"/>
        <v>214.81200000000001</v>
      </c>
      <c r="V184" s="49">
        <f t="shared" ca="1" si="38"/>
        <v>226.07892000000001</v>
      </c>
      <c r="W184" s="49">
        <f t="shared" ca="1" si="38"/>
        <v>238.34731679999999</v>
      </c>
      <c r="X184" s="49">
        <f t="shared" ca="1" si="38"/>
        <v>251.77372041599997</v>
      </c>
      <c r="Y184" s="49">
        <f t="shared" ca="1" si="38"/>
        <v>0</v>
      </c>
      <c r="Z184" s="49">
        <f t="shared" ca="1" si="38"/>
        <v>0</v>
      </c>
      <c r="AA184" s="49">
        <f t="shared" ca="1" si="38"/>
        <v>0</v>
      </c>
      <c r="AB184" s="49">
        <f t="shared" ca="1" si="38"/>
        <v>0</v>
      </c>
      <c r="AC184" s="49">
        <f t="shared" ca="1" si="38"/>
        <v>0</v>
      </c>
      <c r="AD184" s="49">
        <f t="shared" ca="1" si="38"/>
        <v>0</v>
      </c>
      <c r="AE184" s="49">
        <f t="shared" ca="1" si="38"/>
        <v>0</v>
      </c>
      <c r="AF184" s="49">
        <f t="shared" ca="1" si="38"/>
        <v>0</v>
      </c>
      <c r="AG184" s="49">
        <f t="shared" ca="1" si="38"/>
        <v>0</v>
      </c>
      <c r="AH184" s="49">
        <f t="shared" ca="1" si="38"/>
        <v>0</v>
      </c>
      <c r="AI184" s="49">
        <f t="shared" ca="1" si="38"/>
        <v>0</v>
      </c>
      <c r="AJ184" s="49">
        <f t="shared" ca="1" si="38"/>
        <v>0</v>
      </c>
      <c r="AK184" s="49">
        <f t="shared" ca="1" si="38"/>
        <v>0</v>
      </c>
      <c r="AL184" s="49">
        <f t="shared" ca="1" si="38"/>
        <v>0</v>
      </c>
      <c r="AM184" s="49">
        <f t="shared" ca="1" si="38"/>
        <v>0</v>
      </c>
      <c r="AN184" s="49">
        <f t="shared" ca="1" si="38"/>
        <v>0</v>
      </c>
      <c r="AO184" s="49">
        <f t="shared" ca="1" si="38"/>
        <v>0</v>
      </c>
      <c r="AP184" s="49">
        <f t="shared" ca="1" si="38"/>
        <v>0</v>
      </c>
      <c r="AQ184" s="49">
        <f t="shared" ca="1" si="38"/>
        <v>0</v>
      </c>
      <c r="AR184" s="49">
        <f t="shared" ca="1" si="38"/>
        <v>0</v>
      </c>
      <c r="AS184" s="49">
        <f t="shared" ca="1" si="38"/>
        <v>0</v>
      </c>
      <c r="AT184" s="49">
        <f t="shared" ca="1" si="38"/>
        <v>0</v>
      </c>
      <c r="AU184" s="49">
        <f t="shared" ca="1" si="38"/>
        <v>0</v>
      </c>
      <c r="AV184" s="49">
        <f t="shared" ca="1" si="38"/>
        <v>0</v>
      </c>
      <c r="AW184" s="49">
        <f t="shared" ca="1" si="38"/>
        <v>0</v>
      </c>
      <c r="AX184" s="49">
        <f t="shared" ca="1" si="38"/>
        <v>0</v>
      </c>
      <c r="AY184" s="49">
        <f t="shared" ca="1" si="38"/>
        <v>0</v>
      </c>
      <c r="AZ184" s="49">
        <f t="shared" ca="1" si="38"/>
        <v>0</v>
      </c>
      <c r="BA184" s="49">
        <f t="shared" ca="1" si="38"/>
        <v>0</v>
      </c>
      <c r="BB184" s="49">
        <f t="shared" ca="1" si="38"/>
        <v>0</v>
      </c>
      <c r="BC184" s="49">
        <f t="shared" ca="1" si="38"/>
        <v>0</v>
      </c>
      <c r="BD184" s="49">
        <f t="shared" ca="1" si="38"/>
        <v>0</v>
      </c>
      <c r="BE184" s="49">
        <f t="shared" ca="1" si="38"/>
        <v>0</v>
      </c>
      <c r="BF184" s="49">
        <f t="shared" ca="1" si="38"/>
        <v>0</v>
      </c>
      <c r="BG184" s="49">
        <f t="shared" ca="1" si="38"/>
        <v>0</v>
      </c>
      <c r="BH184" s="49">
        <f t="shared" ca="1" si="38"/>
        <v>0</v>
      </c>
      <c r="BI184" s="49">
        <f t="shared" ca="1" si="38"/>
        <v>0</v>
      </c>
      <c r="BJ184" s="49">
        <f t="shared" ca="1" si="38"/>
        <v>0</v>
      </c>
      <c r="BK184" s="49">
        <f t="shared" ca="1" si="38"/>
        <v>0</v>
      </c>
      <c r="BL184" s="49">
        <f t="shared" ca="1" si="38"/>
        <v>0</v>
      </c>
      <c r="BM184" s="49">
        <f t="shared" ca="1" si="38"/>
        <v>0</v>
      </c>
      <c r="BN184" s="49">
        <f t="shared" ca="1" si="38"/>
        <v>0</v>
      </c>
      <c r="BO184" s="49">
        <f t="shared" ca="1" si="38"/>
        <v>0</v>
      </c>
      <c r="BP184" s="49">
        <f t="shared" ca="1" si="38"/>
        <v>0</v>
      </c>
      <c r="BQ184" s="49">
        <f t="shared" ca="1" si="38"/>
        <v>0</v>
      </c>
      <c r="BR184" s="49">
        <f t="shared" ca="1" si="38"/>
        <v>0</v>
      </c>
      <c r="BS184" s="49">
        <f t="shared" ca="1" si="38"/>
        <v>0</v>
      </c>
    </row>
    <row r="185" spans="1:71" outlineLevel="1" x14ac:dyDescent="0.2">
      <c r="J185" s="26"/>
      <c r="L185" s="55"/>
      <c r="M185" s="55"/>
      <c r="N185" s="55"/>
      <c r="O185" s="55"/>
      <c r="P185" s="55"/>
      <c r="Q185" s="55"/>
      <c r="R185" s="55"/>
      <c r="S185" s="55"/>
      <c r="T185" s="55"/>
      <c r="U185" s="55"/>
      <c r="V185" s="55"/>
      <c r="W185" s="55"/>
      <c r="X185" s="55"/>
      <c r="Y185" s="55"/>
      <c r="Z185" s="55"/>
      <c r="AA185" s="55"/>
      <c r="AB185" s="55"/>
      <c r="AC185" s="55"/>
      <c r="AD185" s="55"/>
      <c r="AE185" s="55"/>
      <c r="AF185" s="55"/>
      <c r="AG185" s="55"/>
      <c r="AH185" s="55"/>
      <c r="AI185" s="55"/>
      <c r="AJ185" s="55"/>
      <c r="AK185" s="55"/>
      <c r="AL185" s="55"/>
      <c r="AM185" s="55"/>
      <c r="AN185" s="55"/>
      <c r="AO185" s="55"/>
      <c r="AP185" s="55"/>
      <c r="AQ185" s="55"/>
      <c r="AR185" s="55"/>
      <c r="AS185" s="55"/>
      <c r="AT185" s="55"/>
      <c r="AU185" s="55"/>
      <c r="AV185" s="55"/>
      <c r="AW185" s="55"/>
      <c r="AX185" s="55"/>
      <c r="AY185" s="55"/>
      <c r="AZ185" s="55"/>
      <c r="BA185" s="55"/>
      <c r="BB185" s="55"/>
      <c r="BC185" s="55"/>
      <c r="BD185" s="55"/>
      <c r="BE185" s="55"/>
      <c r="BF185" s="55"/>
      <c r="BG185" s="55"/>
      <c r="BH185" s="55"/>
      <c r="BI185" s="55"/>
      <c r="BJ185" s="55"/>
      <c r="BK185" s="55"/>
      <c r="BL185" s="55"/>
      <c r="BM185" s="55"/>
      <c r="BN185" s="55"/>
      <c r="BO185" s="55"/>
      <c r="BP185" s="55"/>
      <c r="BQ185" s="55"/>
      <c r="BR185" s="55"/>
      <c r="BS185" s="55"/>
    </row>
    <row r="186" spans="1:71" outlineLevel="1" x14ac:dyDescent="0.2">
      <c r="J186" s="26"/>
      <c r="L186" s="55"/>
      <c r="M186" s="55"/>
      <c r="N186" s="55"/>
      <c r="O186" s="55"/>
      <c r="P186" s="55"/>
      <c r="Q186" s="55"/>
      <c r="R186" s="55"/>
      <c r="S186" s="55"/>
      <c r="T186" s="55"/>
      <c r="U186" s="55"/>
      <c r="V186" s="55"/>
      <c r="W186" s="55"/>
      <c r="X186" s="55"/>
      <c r="Y186" s="55"/>
      <c r="Z186" s="55"/>
      <c r="AA186" s="55"/>
      <c r="AB186" s="55"/>
      <c r="AC186" s="55"/>
      <c r="AD186" s="55"/>
      <c r="AE186" s="55"/>
      <c r="AF186" s="55"/>
      <c r="AG186" s="55"/>
      <c r="AH186" s="55"/>
      <c r="AI186" s="55"/>
      <c r="AJ186" s="55"/>
      <c r="AK186" s="55"/>
      <c r="AL186" s="55"/>
      <c r="AM186" s="55"/>
      <c r="AN186" s="55"/>
      <c r="AO186" s="55"/>
      <c r="AP186" s="55"/>
      <c r="AQ186" s="55"/>
      <c r="AR186" s="55"/>
      <c r="AS186" s="55"/>
      <c r="AT186" s="55"/>
      <c r="AU186" s="55"/>
      <c r="AV186" s="55"/>
      <c r="AW186" s="55"/>
      <c r="AX186" s="55"/>
      <c r="AY186" s="55"/>
      <c r="AZ186" s="55"/>
      <c r="BA186" s="55"/>
      <c r="BB186" s="55"/>
      <c r="BC186" s="55"/>
      <c r="BD186" s="55"/>
      <c r="BE186" s="55"/>
      <c r="BF186" s="55"/>
      <c r="BG186" s="55"/>
      <c r="BH186" s="55"/>
      <c r="BI186" s="55"/>
      <c r="BJ186" s="55"/>
      <c r="BK186" s="55"/>
      <c r="BL186" s="55"/>
      <c r="BM186" s="55"/>
      <c r="BN186" s="55"/>
      <c r="BO186" s="55"/>
      <c r="BP186" s="55"/>
      <c r="BQ186" s="55"/>
      <c r="BR186" s="55"/>
      <c r="BS186" s="55"/>
    </row>
    <row r="187" spans="1:71" outlineLevel="1" x14ac:dyDescent="0.2">
      <c r="A187" s="45"/>
      <c r="B187" s="38" t="s">
        <v>57</v>
      </c>
      <c r="C187" s="45"/>
      <c r="D187" s="45"/>
      <c r="E187" s="45"/>
      <c r="J187" s="26"/>
      <c r="L187" s="55"/>
      <c r="M187" s="55"/>
      <c r="N187" s="55"/>
      <c r="O187" s="55"/>
      <c r="P187" s="55"/>
      <c r="Q187" s="55"/>
      <c r="R187" s="55"/>
      <c r="S187" s="55"/>
      <c r="T187" s="55"/>
      <c r="U187" s="55"/>
      <c r="V187" s="55"/>
      <c r="W187" s="55"/>
      <c r="X187" s="55"/>
      <c r="Y187" s="55"/>
      <c r="Z187" s="55"/>
      <c r="AA187" s="55"/>
      <c r="AB187" s="55"/>
      <c r="AC187" s="55"/>
      <c r="AD187" s="55"/>
      <c r="AE187" s="55"/>
      <c r="AF187" s="55"/>
      <c r="AG187" s="55"/>
      <c r="AH187" s="55"/>
      <c r="AI187" s="55"/>
      <c r="AJ187" s="55"/>
      <c r="AK187" s="55"/>
      <c r="AL187" s="55"/>
      <c r="AM187" s="55"/>
      <c r="AN187" s="55"/>
      <c r="AO187" s="55"/>
      <c r="AP187" s="55"/>
      <c r="AQ187" s="55"/>
      <c r="AR187" s="55"/>
      <c r="AS187" s="55"/>
      <c r="AT187" s="55"/>
      <c r="AU187" s="55"/>
      <c r="AV187" s="55"/>
      <c r="AW187" s="55"/>
      <c r="AX187" s="55"/>
      <c r="AY187" s="55"/>
      <c r="AZ187" s="55"/>
      <c r="BA187" s="55"/>
      <c r="BB187" s="55"/>
      <c r="BC187" s="55"/>
      <c r="BD187" s="55"/>
      <c r="BE187" s="55"/>
      <c r="BF187" s="55"/>
      <c r="BG187" s="55"/>
      <c r="BH187" s="55"/>
      <c r="BI187" s="55"/>
      <c r="BJ187" s="55"/>
      <c r="BK187" s="55"/>
      <c r="BL187" s="55"/>
      <c r="BM187" s="55"/>
      <c r="BN187" s="55"/>
      <c r="BO187" s="55"/>
      <c r="BP187" s="55"/>
      <c r="BQ187" s="55"/>
      <c r="BR187" s="55"/>
      <c r="BS187" s="55"/>
    </row>
    <row r="188" spans="1:71" outlineLevel="1" x14ac:dyDescent="0.2">
      <c r="J188" s="26"/>
      <c r="L188" s="55"/>
      <c r="M188" s="55"/>
      <c r="N188" s="55"/>
      <c r="O188" s="55"/>
      <c r="P188" s="55"/>
      <c r="Q188" s="55"/>
      <c r="R188" s="55"/>
      <c r="S188" s="55"/>
      <c r="T188" s="55"/>
      <c r="U188" s="55"/>
      <c r="V188" s="55"/>
      <c r="W188" s="55"/>
      <c r="X188" s="55"/>
      <c r="Y188" s="55"/>
      <c r="Z188" s="55"/>
      <c r="AA188" s="55"/>
      <c r="AB188" s="55"/>
      <c r="AC188" s="55"/>
      <c r="AD188" s="55"/>
      <c r="AE188" s="55"/>
      <c r="AF188" s="55"/>
      <c r="AG188" s="55"/>
      <c r="AH188" s="55"/>
      <c r="AI188" s="55"/>
      <c r="AJ188" s="55"/>
      <c r="AK188" s="55"/>
      <c r="AL188" s="55"/>
      <c r="AM188" s="55"/>
      <c r="AN188" s="55"/>
      <c r="AO188" s="55"/>
      <c r="AP188" s="55"/>
      <c r="AQ188" s="55"/>
      <c r="AR188" s="55"/>
      <c r="AS188" s="55"/>
      <c r="AT188" s="55"/>
      <c r="AU188" s="55"/>
      <c r="AV188" s="55"/>
      <c r="AW188" s="55"/>
      <c r="AX188" s="55"/>
      <c r="AY188" s="55"/>
      <c r="AZ188" s="55"/>
      <c r="BA188" s="55"/>
      <c r="BB188" s="55"/>
      <c r="BC188" s="55"/>
      <c r="BD188" s="55"/>
      <c r="BE188" s="55"/>
      <c r="BF188" s="55"/>
      <c r="BG188" s="55"/>
      <c r="BH188" s="55"/>
      <c r="BI188" s="55"/>
      <c r="BJ188" s="55"/>
      <c r="BK188" s="55"/>
      <c r="BL188" s="55"/>
      <c r="BM188" s="55"/>
      <c r="BN188" s="55"/>
      <c r="BO188" s="55"/>
      <c r="BP188" s="55"/>
      <c r="BQ188" s="55"/>
      <c r="BR188" s="55"/>
      <c r="BS188" s="55"/>
    </row>
    <row r="189" spans="1:71" outlineLevel="1" x14ac:dyDescent="0.2">
      <c r="C189" s="11" t="s">
        <v>167</v>
      </c>
      <c r="J189" s="26"/>
      <c r="L189" s="55"/>
      <c r="M189" s="55"/>
      <c r="N189" s="55"/>
      <c r="O189" s="55"/>
      <c r="P189" s="55"/>
      <c r="Q189" s="55"/>
      <c r="R189" s="55"/>
      <c r="S189" s="55"/>
      <c r="T189" s="55"/>
      <c r="U189" s="55"/>
      <c r="V189" s="55"/>
      <c r="W189" s="55"/>
      <c r="X189" s="55"/>
      <c r="Y189" s="55"/>
      <c r="Z189" s="55"/>
      <c r="AA189" s="55"/>
      <c r="AB189" s="55"/>
      <c r="AC189" s="55"/>
      <c r="AD189" s="55"/>
      <c r="AE189" s="55"/>
      <c r="AF189" s="55"/>
      <c r="AG189" s="55"/>
      <c r="AH189" s="55"/>
      <c r="AI189" s="55"/>
      <c r="AJ189" s="55"/>
      <c r="AK189" s="55"/>
      <c r="AL189" s="55"/>
      <c r="AM189" s="55"/>
      <c r="AN189" s="55"/>
      <c r="AO189" s="55"/>
      <c r="AP189" s="55"/>
      <c r="AQ189" s="55"/>
      <c r="AR189" s="55"/>
      <c r="AS189" s="55"/>
      <c r="AT189" s="55"/>
      <c r="AU189" s="55"/>
      <c r="AV189" s="55"/>
      <c r="AW189" s="55"/>
      <c r="AX189" s="55"/>
      <c r="AY189" s="55"/>
      <c r="AZ189" s="55"/>
      <c r="BA189" s="55"/>
      <c r="BB189" s="55"/>
      <c r="BC189" s="55"/>
      <c r="BD189" s="55"/>
      <c r="BE189" s="55"/>
      <c r="BF189" s="55"/>
      <c r="BG189" s="55"/>
      <c r="BH189" s="55"/>
      <c r="BI189" s="55"/>
      <c r="BJ189" s="55"/>
      <c r="BK189" s="55"/>
      <c r="BL189" s="55"/>
      <c r="BM189" s="55"/>
      <c r="BN189" s="55"/>
      <c r="BO189" s="55"/>
      <c r="BP189" s="55"/>
      <c r="BQ189" s="55"/>
      <c r="BR189" s="55"/>
      <c r="BS189" s="55"/>
    </row>
    <row r="190" spans="1:71" outlineLevel="1" x14ac:dyDescent="0.2">
      <c r="D190" t="s">
        <v>168</v>
      </c>
      <c r="I190" s="30">
        <f ca="1">SUM($L190:$BS190)</f>
        <v>366.815</v>
      </c>
      <c r="J190" s="26" t="s">
        <v>148</v>
      </c>
      <c r="K190" s="7" t="s">
        <v>171</v>
      </c>
      <c r="L190" s="49">
        <f t="shared" ref="L190:S190" ca="1" si="39">IF(L4&gt;=YEAR(effective_date_Marine),(OFFSET(_xlfn.SINGLE(IA_EandA_real),6,date_offset_Marine)*_xlfn.SINGLE(IA_esc_index)),0)</f>
        <v>170.22300000000001</v>
      </c>
      <c r="M190" s="49">
        <f t="shared" ca="1" si="39"/>
        <v>70.763000000000005</v>
      </c>
      <c r="N190" s="49">
        <f t="shared" ca="1" si="39"/>
        <v>95.635999999999996</v>
      </c>
      <c r="O190" s="49">
        <f t="shared" ca="1" si="39"/>
        <v>26.408999999999999</v>
      </c>
      <c r="P190" s="49">
        <f t="shared" ca="1" si="39"/>
        <v>0.76</v>
      </c>
      <c r="Q190" s="49">
        <f t="shared" ca="1" si="39"/>
        <v>3.024</v>
      </c>
      <c r="R190" s="49">
        <f t="shared" ca="1" si="39"/>
        <v>0</v>
      </c>
      <c r="S190" s="49">
        <f t="shared" ca="1" si="39"/>
        <v>0</v>
      </c>
      <c r="T190" s="49">
        <f t="shared" ref="T190:AY190" ca="1" si="40">IF(T4&gt;=YEAR(effective_date_Marine),(OFFSET(_xlfn.SINGLE(IA_EandA_real),6,date_offset_Marine)*_xlfn.SINGLE(IA_esc_index)),0)*(1+df_capex_sens)</f>
        <v>0</v>
      </c>
      <c r="U190" s="49">
        <f t="shared" ca="1" si="40"/>
        <v>0</v>
      </c>
      <c r="V190" s="49">
        <f t="shared" ca="1" si="40"/>
        <v>0</v>
      </c>
      <c r="W190" s="49">
        <f t="shared" ca="1" si="40"/>
        <v>0</v>
      </c>
      <c r="X190" s="49">
        <f t="shared" ca="1" si="40"/>
        <v>0</v>
      </c>
      <c r="Y190" s="49">
        <f t="shared" ca="1" si="40"/>
        <v>0</v>
      </c>
      <c r="Z190" s="49">
        <f t="shared" ca="1" si="40"/>
        <v>0</v>
      </c>
      <c r="AA190" s="49">
        <f t="shared" ca="1" si="40"/>
        <v>0</v>
      </c>
      <c r="AB190" s="49">
        <f t="shared" ca="1" si="40"/>
        <v>0</v>
      </c>
      <c r="AC190" s="49">
        <f t="shared" ca="1" si="40"/>
        <v>0</v>
      </c>
      <c r="AD190" s="49">
        <f t="shared" ca="1" si="40"/>
        <v>0</v>
      </c>
      <c r="AE190" s="49">
        <f t="shared" ca="1" si="40"/>
        <v>0</v>
      </c>
      <c r="AF190" s="49">
        <f t="shared" ca="1" si="40"/>
        <v>0</v>
      </c>
      <c r="AG190" s="49">
        <f t="shared" ca="1" si="40"/>
        <v>0</v>
      </c>
      <c r="AH190" s="49">
        <f t="shared" ca="1" si="40"/>
        <v>0</v>
      </c>
      <c r="AI190" s="49">
        <f t="shared" ca="1" si="40"/>
        <v>0</v>
      </c>
      <c r="AJ190" s="49">
        <f t="shared" ca="1" si="40"/>
        <v>0</v>
      </c>
      <c r="AK190" s="49">
        <f t="shared" ca="1" si="40"/>
        <v>0</v>
      </c>
      <c r="AL190" s="49">
        <f t="shared" ca="1" si="40"/>
        <v>0</v>
      </c>
      <c r="AM190" s="49">
        <f t="shared" ca="1" si="40"/>
        <v>0</v>
      </c>
      <c r="AN190" s="49">
        <f t="shared" ca="1" si="40"/>
        <v>0</v>
      </c>
      <c r="AO190" s="49">
        <f t="shared" ca="1" si="40"/>
        <v>0</v>
      </c>
      <c r="AP190" s="49">
        <f t="shared" ca="1" si="40"/>
        <v>0</v>
      </c>
      <c r="AQ190" s="49">
        <f t="shared" ca="1" si="40"/>
        <v>0</v>
      </c>
      <c r="AR190" s="49">
        <f t="shared" ca="1" si="40"/>
        <v>0</v>
      </c>
      <c r="AS190" s="49">
        <f t="shared" ca="1" si="40"/>
        <v>0</v>
      </c>
      <c r="AT190" s="49">
        <f t="shared" ca="1" si="40"/>
        <v>0</v>
      </c>
      <c r="AU190" s="49">
        <f t="shared" ca="1" si="40"/>
        <v>0</v>
      </c>
      <c r="AV190" s="49">
        <f t="shared" ca="1" si="40"/>
        <v>0</v>
      </c>
      <c r="AW190" s="49">
        <f t="shared" ca="1" si="40"/>
        <v>0</v>
      </c>
      <c r="AX190" s="49">
        <f t="shared" ca="1" si="40"/>
        <v>0</v>
      </c>
      <c r="AY190" s="49">
        <f t="shared" ca="1" si="40"/>
        <v>0</v>
      </c>
      <c r="AZ190" s="49">
        <f t="shared" ref="AZ190:BS190" ca="1" si="41">IF(AZ4&gt;=YEAR(effective_date_Marine),(OFFSET(_xlfn.SINGLE(IA_EandA_real),6,date_offset_Marine)*_xlfn.SINGLE(IA_esc_index)),0)*(1+df_capex_sens)</f>
        <v>0</v>
      </c>
      <c r="BA190" s="49">
        <f t="shared" ca="1" si="41"/>
        <v>0</v>
      </c>
      <c r="BB190" s="49">
        <f t="shared" ca="1" si="41"/>
        <v>0</v>
      </c>
      <c r="BC190" s="49">
        <f t="shared" ca="1" si="41"/>
        <v>0</v>
      </c>
      <c r="BD190" s="49">
        <f t="shared" ca="1" si="41"/>
        <v>0</v>
      </c>
      <c r="BE190" s="49">
        <f t="shared" ca="1" si="41"/>
        <v>0</v>
      </c>
      <c r="BF190" s="49">
        <f t="shared" ca="1" si="41"/>
        <v>0</v>
      </c>
      <c r="BG190" s="49">
        <f t="shared" ca="1" si="41"/>
        <v>0</v>
      </c>
      <c r="BH190" s="49">
        <f t="shared" ca="1" si="41"/>
        <v>0</v>
      </c>
      <c r="BI190" s="49">
        <f t="shared" ca="1" si="41"/>
        <v>0</v>
      </c>
      <c r="BJ190" s="49">
        <f t="shared" ca="1" si="41"/>
        <v>0</v>
      </c>
      <c r="BK190" s="49">
        <f t="shared" ca="1" si="41"/>
        <v>0</v>
      </c>
      <c r="BL190" s="49">
        <f t="shared" ca="1" si="41"/>
        <v>0</v>
      </c>
      <c r="BM190" s="49">
        <f t="shared" ca="1" si="41"/>
        <v>0</v>
      </c>
      <c r="BN190" s="49">
        <f t="shared" ca="1" si="41"/>
        <v>0</v>
      </c>
      <c r="BO190" s="49">
        <f t="shared" ca="1" si="41"/>
        <v>0</v>
      </c>
      <c r="BP190" s="49">
        <f t="shared" ca="1" si="41"/>
        <v>0</v>
      </c>
      <c r="BQ190" s="49">
        <f t="shared" ca="1" si="41"/>
        <v>0</v>
      </c>
      <c r="BR190" s="49">
        <f t="shared" ca="1" si="41"/>
        <v>0</v>
      </c>
      <c r="BS190" s="49">
        <f t="shared" ca="1" si="41"/>
        <v>0</v>
      </c>
    </row>
    <row r="191" spans="1:71" outlineLevel="1" x14ac:dyDescent="0.2">
      <c r="J191" s="26"/>
      <c r="L191" s="55"/>
      <c r="M191" s="55"/>
      <c r="N191" s="55"/>
      <c r="O191" s="55"/>
      <c r="P191" s="55"/>
      <c r="Q191" s="55"/>
      <c r="R191" s="55"/>
      <c r="S191" s="55"/>
      <c r="T191" s="55"/>
      <c r="U191" s="55"/>
      <c r="V191" s="55"/>
      <c r="W191" s="55"/>
      <c r="X191" s="55"/>
      <c r="Y191" s="55"/>
      <c r="Z191" s="55"/>
      <c r="AA191" s="55"/>
      <c r="AB191" s="55"/>
      <c r="AC191" s="55"/>
      <c r="AD191" s="55"/>
      <c r="AE191" s="55"/>
      <c r="AF191" s="55"/>
      <c r="AG191" s="55"/>
      <c r="AH191" s="55"/>
      <c r="AI191" s="55"/>
      <c r="AJ191" s="55"/>
      <c r="AK191" s="55"/>
      <c r="AL191" s="55"/>
      <c r="AM191" s="55"/>
      <c r="AN191" s="55"/>
      <c r="AO191" s="55"/>
      <c r="AP191" s="55"/>
      <c r="AQ191" s="55"/>
      <c r="AR191" s="55"/>
      <c r="AS191" s="55"/>
      <c r="AT191" s="55"/>
      <c r="AU191" s="55"/>
      <c r="AV191" s="55"/>
      <c r="AW191" s="55"/>
      <c r="AX191" s="55"/>
      <c r="AY191" s="55"/>
      <c r="AZ191" s="55"/>
      <c r="BA191" s="55"/>
      <c r="BB191" s="55"/>
      <c r="BC191" s="55"/>
      <c r="BD191" s="55"/>
      <c r="BE191" s="55"/>
      <c r="BF191" s="55"/>
      <c r="BG191" s="55"/>
      <c r="BH191" s="55"/>
      <c r="BI191" s="55"/>
      <c r="BJ191" s="55"/>
      <c r="BK191" s="55"/>
      <c r="BL191" s="55"/>
      <c r="BM191" s="55"/>
      <c r="BN191" s="55"/>
      <c r="BO191" s="55"/>
      <c r="BP191" s="55"/>
      <c r="BQ191" s="55"/>
      <c r="BR191" s="55"/>
      <c r="BS191" s="55"/>
    </row>
    <row r="192" spans="1:71" outlineLevel="1" x14ac:dyDescent="0.2">
      <c r="C192" s="11" t="s">
        <v>57</v>
      </c>
      <c r="J192" s="26"/>
      <c r="L192" s="55"/>
      <c r="M192" s="55"/>
      <c r="N192" s="55"/>
      <c r="O192" s="55"/>
      <c r="P192" s="55"/>
      <c r="Q192" s="55"/>
      <c r="R192" s="55"/>
      <c r="S192" s="55"/>
      <c r="T192" s="55"/>
      <c r="U192" s="55"/>
      <c r="V192" s="55"/>
      <c r="W192" s="55"/>
      <c r="X192" s="55"/>
      <c r="Y192" s="55"/>
      <c r="Z192" s="55"/>
      <c r="AA192" s="55"/>
      <c r="AB192" s="55"/>
      <c r="AC192" s="55"/>
      <c r="AD192" s="55"/>
      <c r="AE192" s="55"/>
      <c r="AF192" s="55"/>
      <c r="AG192" s="55"/>
      <c r="AH192" s="55"/>
      <c r="AI192" s="55"/>
      <c r="AJ192" s="55"/>
      <c r="AK192" s="55"/>
      <c r="AL192" s="55"/>
      <c r="AM192" s="55"/>
      <c r="AN192" s="55"/>
      <c r="AO192" s="55"/>
      <c r="AP192" s="55"/>
      <c r="AQ192" s="55"/>
      <c r="AR192" s="55"/>
      <c r="AS192" s="55"/>
      <c r="AT192" s="55"/>
      <c r="AU192" s="55"/>
      <c r="AV192" s="55"/>
      <c r="AW192" s="55"/>
      <c r="AX192" s="55"/>
      <c r="AY192" s="55"/>
      <c r="AZ192" s="55"/>
      <c r="BA192" s="55"/>
      <c r="BB192" s="55"/>
      <c r="BC192" s="55"/>
      <c r="BD192" s="55"/>
      <c r="BE192" s="55"/>
      <c r="BF192" s="55"/>
      <c r="BG192" s="55"/>
      <c r="BH192" s="55"/>
      <c r="BI192" s="55"/>
      <c r="BJ192" s="55"/>
      <c r="BK192" s="55"/>
      <c r="BL192" s="55"/>
      <c r="BM192" s="55"/>
      <c r="BN192" s="55"/>
      <c r="BO192" s="55"/>
      <c r="BP192" s="55"/>
      <c r="BQ192" s="55"/>
      <c r="BR192" s="55"/>
      <c r="BS192" s="55"/>
    </row>
    <row r="193" spans="1:71" outlineLevel="1" x14ac:dyDescent="0.2">
      <c r="D193" t="s">
        <v>169</v>
      </c>
      <c r="I193" s="30">
        <f ca="1">SUM($L193:$BS193)</f>
        <v>2393.6419999999998</v>
      </c>
      <c r="J193" s="26" t="s">
        <v>148</v>
      </c>
      <c r="K193" s="7" t="s">
        <v>170</v>
      </c>
      <c r="L193" s="49">
        <f t="shared" ref="L193:S193" ca="1" si="42">IF(L4&gt;=YEAR(effective_date_Marine),(OFFSET(_xlfn.SINGLE(IA_devcapex_real),6,date_offset_Marine)*_xlfn.SINGLE(IA_esc_index)),0)</f>
        <v>217.36199999999999</v>
      </c>
      <c r="M193" s="49">
        <f t="shared" ca="1" si="42"/>
        <v>432.14400000000001</v>
      </c>
      <c r="N193" s="49">
        <f t="shared" ca="1" si="42"/>
        <v>682.33</v>
      </c>
      <c r="O193" s="49">
        <f t="shared" ca="1" si="42"/>
        <v>428.005</v>
      </c>
      <c r="P193" s="49">
        <f t="shared" ca="1" si="42"/>
        <v>406.53100000000001</v>
      </c>
      <c r="Q193" s="49">
        <f t="shared" ca="1" si="42"/>
        <v>227.27</v>
      </c>
      <c r="R193" s="49">
        <f t="shared" ca="1" si="42"/>
        <v>0</v>
      </c>
      <c r="S193" s="49">
        <f t="shared" ca="1" si="42"/>
        <v>0</v>
      </c>
      <c r="T193" s="49">
        <f t="shared" ref="T193:AY193" ca="1" si="43">IF(T4&gt;=YEAR(effective_date_Marine),(OFFSET(_xlfn.SINGLE(IA_devcapex_real),6,date_offset_Marine)*_xlfn.SINGLE(IA_esc_index)),0)*(1+df_capex_sens)</f>
        <v>0</v>
      </c>
      <c r="U193" s="49">
        <f t="shared" ca="1" si="43"/>
        <v>0</v>
      </c>
      <c r="V193" s="49">
        <f t="shared" ca="1" si="43"/>
        <v>0</v>
      </c>
      <c r="W193" s="49">
        <f t="shared" ca="1" si="43"/>
        <v>0</v>
      </c>
      <c r="X193" s="49">
        <f t="shared" ca="1" si="43"/>
        <v>0</v>
      </c>
      <c r="Y193" s="49">
        <f t="shared" ca="1" si="43"/>
        <v>0</v>
      </c>
      <c r="Z193" s="49">
        <f t="shared" ca="1" si="43"/>
        <v>0</v>
      </c>
      <c r="AA193" s="49">
        <f t="shared" ca="1" si="43"/>
        <v>0</v>
      </c>
      <c r="AB193" s="49">
        <f t="shared" ca="1" si="43"/>
        <v>0</v>
      </c>
      <c r="AC193" s="49">
        <f t="shared" ca="1" si="43"/>
        <v>0</v>
      </c>
      <c r="AD193" s="49">
        <f t="shared" ca="1" si="43"/>
        <v>0</v>
      </c>
      <c r="AE193" s="49">
        <f t="shared" ca="1" si="43"/>
        <v>0</v>
      </c>
      <c r="AF193" s="49">
        <f t="shared" ca="1" si="43"/>
        <v>0</v>
      </c>
      <c r="AG193" s="49">
        <f t="shared" ca="1" si="43"/>
        <v>0</v>
      </c>
      <c r="AH193" s="49">
        <f t="shared" ca="1" si="43"/>
        <v>0</v>
      </c>
      <c r="AI193" s="49">
        <f t="shared" ca="1" si="43"/>
        <v>0</v>
      </c>
      <c r="AJ193" s="49">
        <f t="shared" ca="1" si="43"/>
        <v>0</v>
      </c>
      <c r="AK193" s="49">
        <f t="shared" ca="1" si="43"/>
        <v>0</v>
      </c>
      <c r="AL193" s="49">
        <f t="shared" ca="1" si="43"/>
        <v>0</v>
      </c>
      <c r="AM193" s="49">
        <f t="shared" ca="1" si="43"/>
        <v>0</v>
      </c>
      <c r="AN193" s="49">
        <f t="shared" ca="1" si="43"/>
        <v>0</v>
      </c>
      <c r="AO193" s="49">
        <f t="shared" ca="1" si="43"/>
        <v>0</v>
      </c>
      <c r="AP193" s="49">
        <f t="shared" ca="1" si="43"/>
        <v>0</v>
      </c>
      <c r="AQ193" s="49">
        <f t="shared" ca="1" si="43"/>
        <v>0</v>
      </c>
      <c r="AR193" s="49">
        <f t="shared" ca="1" si="43"/>
        <v>0</v>
      </c>
      <c r="AS193" s="49">
        <f t="shared" ca="1" si="43"/>
        <v>0</v>
      </c>
      <c r="AT193" s="49">
        <f t="shared" ca="1" si="43"/>
        <v>0</v>
      </c>
      <c r="AU193" s="49">
        <f t="shared" ca="1" si="43"/>
        <v>0</v>
      </c>
      <c r="AV193" s="49">
        <f t="shared" ca="1" si="43"/>
        <v>0</v>
      </c>
      <c r="AW193" s="49">
        <f t="shared" ca="1" si="43"/>
        <v>0</v>
      </c>
      <c r="AX193" s="49">
        <f t="shared" ca="1" si="43"/>
        <v>0</v>
      </c>
      <c r="AY193" s="49">
        <f t="shared" ca="1" si="43"/>
        <v>0</v>
      </c>
      <c r="AZ193" s="49">
        <f t="shared" ref="AZ193:BS193" ca="1" si="44">IF(AZ4&gt;=YEAR(effective_date_Marine),(OFFSET(_xlfn.SINGLE(IA_devcapex_real),6,date_offset_Marine)*_xlfn.SINGLE(IA_esc_index)),0)*(1+df_capex_sens)</f>
        <v>0</v>
      </c>
      <c r="BA193" s="49">
        <f t="shared" ca="1" si="44"/>
        <v>0</v>
      </c>
      <c r="BB193" s="49">
        <f t="shared" ca="1" si="44"/>
        <v>0</v>
      </c>
      <c r="BC193" s="49">
        <f t="shared" ca="1" si="44"/>
        <v>0</v>
      </c>
      <c r="BD193" s="49">
        <f t="shared" ca="1" si="44"/>
        <v>0</v>
      </c>
      <c r="BE193" s="49">
        <f t="shared" ca="1" si="44"/>
        <v>0</v>
      </c>
      <c r="BF193" s="49">
        <f t="shared" ca="1" si="44"/>
        <v>0</v>
      </c>
      <c r="BG193" s="49">
        <f t="shared" ca="1" si="44"/>
        <v>0</v>
      </c>
      <c r="BH193" s="49">
        <f t="shared" ca="1" si="44"/>
        <v>0</v>
      </c>
      <c r="BI193" s="49">
        <f t="shared" ca="1" si="44"/>
        <v>0</v>
      </c>
      <c r="BJ193" s="49">
        <f t="shared" ca="1" si="44"/>
        <v>0</v>
      </c>
      <c r="BK193" s="49">
        <f t="shared" ca="1" si="44"/>
        <v>0</v>
      </c>
      <c r="BL193" s="49">
        <f t="shared" ca="1" si="44"/>
        <v>0</v>
      </c>
      <c r="BM193" s="49">
        <f t="shared" ca="1" si="44"/>
        <v>0</v>
      </c>
      <c r="BN193" s="49">
        <f t="shared" ca="1" si="44"/>
        <v>0</v>
      </c>
      <c r="BO193" s="49">
        <f t="shared" ca="1" si="44"/>
        <v>0</v>
      </c>
      <c r="BP193" s="49">
        <f t="shared" ca="1" si="44"/>
        <v>0</v>
      </c>
      <c r="BQ193" s="49">
        <f t="shared" ca="1" si="44"/>
        <v>0</v>
      </c>
      <c r="BR193" s="49">
        <f t="shared" ca="1" si="44"/>
        <v>0</v>
      </c>
      <c r="BS193" s="49">
        <f t="shared" ca="1" si="44"/>
        <v>0</v>
      </c>
    </row>
    <row r="194" spans="1:71" outlineLevel="1" x14ac:dyDescent="0.2">
      <c r="J194" s="26"/>
      <c r="L194" s="55"/>
      <c r="M194" s="55"/>
      <c r="N194" s="55"/>
      <c r="O194" s="55"/>
      <c r="P194" s="55"/>
      <c r="Q194" s="55"/>
      <c r="R194" s="55"/>
      <c r="S194" s="55"/>
      <c r="T194" s="55"/>
      <c r="U194" s="55"/>
      <c r="V194" s="55"/>
      <c r="W194" s="55"/>
      <c r="X194" s="55"/>
      <c r="Y194" s="55"/>
      <c r="Z194" s="55"/>
      <c r="AA194" s="55"/>
      <c r="AB194" s="55"/>
      <c r="AC194" s="55"/>
      <c r="AD194" s="55"/>
      <c r="AE194" s="55"/>
      <c r="AF194" s="55"/>
      <c r="AG194" s="55"/>
      <c r="AH194" s="55"/>
      <c r="AI194" s="55"/>
      <c r="AJ194" s="55"/>
      <c r="AK194" s="55"/>
      <c r="AL194" s="55"/>
      <c r="AM194" s="55"/>
      <c r="AN194" s="55"/>
      <c r="AO194" s="55"/>
      <c r="AP194" s="55"/>
      <c r="AQ194" s="55"/>
      <c r="AR194" s="55"/>
      <c r="AS194" s="55"/>
      <c r="AT194" s="55"/>
      <c r="AU194" s="55"/>
      <c r="AV194" s="55"/>
      <c r="AW194" s="55"/>
      <c r="AX194" s="55"/>
      <c r="AY194" s="55"/>
      <c r="AZ194" s="55"/>
      <c r="BA194" s="55"/>
      <c r="BB194" s="55"/>
      <c r="BC194" s="55"/>
      <c r="BD194" s="55"/>
      <c r="BE194" s="55"/>
      <c r="BF194" s="55"/>
      <c r="BG194" s="55"/>
      <c r="BH194" s="55"/>
      <c r="BI194" s="55"/>
      <c r="BJ194" s="55"/>
      <c r="BK194" s="55"/>
      <c r="BL194" s="55"/>
      <c r="BM194" s="55"/>
      <c r="BN194" s="55"/>
      <c r="BO194" s="55"/>
      <c r="BP194" s="55"/>
      <c r="BQ194" s="55"/>
      <c r="BR194" s="55"/>
      <c r="BS194" s="55"/>
    </row>
    <row r="195" spans="1:71" outlineLevel="1" x14ac:dyDescent="0.2">
      <c r="C195" s="11" t="s">
        <v>63</v>
      </c>
      <c r="J195" s="26"/>
      <c r="L195" s="55"/>
      <c r="M195" s="55"/>
      <c r="N195" s="55"/>
      <c r="O195" s="55"/>
      <c r="P195" s="55"/>
      <c r="Q195" s="55"/>
      <c r="R195" s="55"/>
      <c r="S195" s="55"/>
      <c r="T195" s="55"/>
      <c r="U195" s="55"/>
      <c r="V195" s="55"/>
      <c r="W195" s="55"/>
      <c r="X195" s="55"/>
      <c r="Y195" s="55"/>
      <c r="Z195" s="55"/>
      <c r="AA195" s="55"/>
      <c r="AB195" s="55"/>
      <c r="AC195" s="55"/>
      <c r="AD195" s="55"/>
      <c r="AE195" s="55"/>
      <c r="AF195" s="55"/>
      <c r="AG195" s="55"/>
      <c r="AH195" s="55"/>
      <c r="AI195" s="55"/>
      <c r="AJ195" s="55"/>
      <c r="AK195" s="55"/>
      <c r="AL195" s="55"/>
      <c r="AM195" s="55"/>
      <c r="AN195" s="55"/>
      <c r="AO195" s="55"/>
      <c r="AP195" s="55"/>
      <c r="AQ195" s="55"/>
      <c r="AR195" s="55"/>
      <c r="AS195" s="55"/>
      <c r="AT195" s="55"/>
      <c r="AU195" s="55"/>
      <c r="AV195" s="55"/>
      <c r="AW195" s="55"/>
      <c r="AX195" s="55"/>
      <c r="AY195" s="55"/>
      <c r="AZ195" s="55"/>
      <c r="BA195" s="55"/>
      <c r="BB195" s="55"/>
      <c r="BC195" s="55"/>
      <c r="BD195" s="55"/>
      <c r="BE195" s="55"/>
      <c r="BF195" s="55"/>
      <c r="BG195" s="55"/>
      <c r="BH195" s="55"/>
      <c r="BI195" s="55"/>
      <c r="BJ195" s="55"/>
      <c r="BK195" s="55"/>
      <c r="BL195" s="55"/>
      <c r="BM195" s="55"/>
      <c r="BN195" s="55"/>
      <c r="BO195" s="55"/>
      <c r="BP195" s="55"/>
      <c r="BQ195" s="55"/>
      <c r="BR195" s="55"/>
      <c r="BS195" s="55"/>
    </row>
    <row r="196" spans="1:71" outlineLevel="1" x14ac:dyDescent="0.2">
      <c r="D196" t="s">
        <v>312</v>
      </c>
      <c r="I196" s="30">
        <f ca="1">SUM($L196:$BS196)</f>
        <v>0</v>
      </c>
      <c r="J196" s="26" t="s">
        <v>148</v>
      </c>
      <c r="K196" s="7" t="s">
        <v>172</v>
      </c>
      <c r="L196" s="49">
        <f t="shared" ref="L196:S196" ca="1" si="45">IF(L4&gt;=YEAR(effective_date_Marine),(OFFSET(_xlfn.SINGLE(IA_decom_real),6,date_offset_Marine)*_xlfn.SINGLE(IA_esc_index)),0)*decom_toggle</f>
        <v>0</v>
      </c>
      <c r="M196" s="49">
        <f t="shared" ca="1" si="45"/>
        <v>0</v>
      </c>
      <c r="N196" s="49">
        <f t="shared" ca="1" si="45"/>
        <v>0</v>
      </c>
      <c r="O196" s="49">
        <f t="shared" ca="1" si="45"/>
        <v>0</v>
      </c>
      <c r="P196" s="49">
        <f t="shared" ca="1" si="45"/>
        <v>0</v>
      </c>
      <c r="Q196" s="49">
        <f t="shared" ca="1" si="45"/>
        <v>0</v>
      </c>
      <c r="R196" s="49">
        <f t="shared" ca="1" si="45"/>
        <v>0</v>
      </c>
      <c r="S196" s="49">
        <f t="shared" ca="1" si="45"/>
        <v>0</v>
      </c>
      <c r="T196" s="49">
        <f t="shared" ref="T196:AY196" ca="1" si="46">IF(T4&gt;=YEAR(effective_date_Marine),(OFFSET(_xlfn.SINGLE(IA_decom_real),6,date_offset_Marine)*_xlfn.SINGLE(IA_esc_index)),0)*(1*(df_decom_switch="Yes"))*(1+df_capex_sens)</f>
        <v>0</v>
      </c>
      <c r="U196" s="49">
        <f t="shared" ca="1" si="46"/>
        <v>0</v>
      </c>
      <c r="V196" s="49">
        <f t="shared" ca="1" si="46"/>
        <v>0</v>
      </c>
      <c r="W196" s="49">
        <f t="shared" ca="1" si="46"/>
        <v>0</v>
      </c>
      <c r="X196" s="49">
        <f t="shared" ca="1" si="46"/>
        <v>0</v>
      </c>
      <c r="Y196" s="49">
        <f t="shared" ca="1" si="46"/>
        <v>0</v>
      </c>
      <c r="Z196" s="49">
        <f t="shared" ca="1" si="46"/>
        <v>0</v>
      </c>
      <c r="AA196" s="49">
        <f t="shared" ca="1" si="46"/>
        <v>0</v>
      </c>
      <c r="AB196" s="49">
        <f t="shared" ca="1" si="46"/>
        <v>0</v>
      </c>
      <c r="AC196" s="49">
        <f t="shared" ca="1" si="46"/>
        <v>0</v>
      </c>
      <c r="AD196" s="49">
        <f t="shared" ca="1" si="46"/>
        <v>0</v>
      </c>
      <c r="AE196" s="49">
        <f t="shared" ca="1" si="46"/>
        <v>0</v>
      </c>
      <c r="AF196" s="49">
        <f t="shared" ca="1" si="46"/>
        <v>0</v>
      </c>
      <c r="AG196" s="49">
        <f t="shared" ca="1" si="46"/>
        <v>0</v>
      </c>
      <c r="AH196" s="49">
        <f t="shared" ca="1" si="46"/>
        <v>0</v>
      </c>
      <c r="AI196" s="49">
        <f t="shared" ca="1" si="46"/>
        <v>0</v>
      </c>
      <c r="AJ196" s="49">
        <f t="shared" ca="1" si="46"/>
        <v>0</v>
      </c>
      <c r="AK196" s="49">
        <f t="shared" ca="1" si="46"/>
        <v>0</v>
      </c>
      <c r="AL196" s="49">
        <f t="shared" ca="1" si="46"/>
        <v>0</v>
      </c>
      <c r="AM196" s="49">
        <f t="shared" ca="1" si="46"/>
        <v>0</v>
      </c>
      <c r="AN196" s="49">
        <f t="shared" ca="1" si="46"/>
        <v>0</v>
      </c>
      <c r="AO196" s="49">
        <f t="shared" ca="1" si="46"/>
        <v>0</v>
      </c>
      <c r="AP196" s="49">
        <f t="shared" ca="1" si="46"/>
        <v>0</v>
      </c>
      <c r="AQ196" s="49">
        <f t="shared" ca="1" si="46"/>
        <v>0</v>
      </c>
      <c r="AR196" s="49">
        <f t="shared" ca="1" si="46"/>
        <v>0</v>
      </c>
      <c r="AS196" s="49">
        <f t="shared" ca="1" si="46"/>
        <v>0</v>
      </c>
      <c r="AT196" s="49">
        <f t="shared" ca="1" si="46"/>
        <v>0</v>
      </c>
      <c r="AU196" s="49">
        <f t="shared" ca="1" si="46"/>
        <v>0</v>
      </c>
      <c r="AV196" s="49">
        <f t="shared" ca="1" si="46"/>
        <v>0</v>
      </c>
      <c r="AW196" s="49">
        <f t="shared" ca="1" si="46"/>
        <v>0</v>
      </c>
      <c r="AX196" s="49">
        <f t="shared" ca="1" si="46"/>
        <v>0</v>
      </c>
      <c r="AY196" s="49">
        <f t="shared" ca="1" si="46"/>
        <v>0</v>
      </c>
      <c r="AZ196" s="49">
        <f t="shared" ref="AZ196:BS196" ca="1" si="47">IF(AZ4&gt;=YEAR(effective_date_Marine),(OFFSET(_xlfn.SINGLE(IA_decom_real),6,date_offset_Marine)*_xlfn.SINGLE(IA_esc_index)),0)*(1*(df_decom_switch="Yes"))*(1+df_capex_sens)</f>
        <v>0</v>
      </c>
      <c r="BA196" s="49">
        <f t="shared" ca="1" si="47"/>
        <v>0</v>
      </c>
      <c r="BB196" s="49">
        <f t="shared" ca="1" si="47"/>
        <v>0</v>
      </c>
      <c r="BC196" s="49">
        <f t="shared" ca="1" si="47"/>
        <v>0</v>
      </c>
      <c r="BD196" s="49">
        <f t="shared" ca="1" si="47"/>
        <v>0</v>
      </c>
      <c r="BE196" s="49">
        <f t="shared" ca="1" si="47"/>
        <v>0</v>
      </c>
      <c r="BF196" s="49">
        <f t="shared" ca="1" si="47"/>
        <v>0</v>
      </c>
      <c r="BG196" s="49">
        <f t="shared" ca="1" si="47"/>
        <v>0</v>
      </c>
      <c r="BH196" s="49">
        <f t="shared" ca="1" si="47"/>
        <v>0</v>
      </c>
      <c r="BI196" s="49">
        <f t="shared" ca="1" si="47"/>
        <v>0</v>
      </c>
      <c r="BJ196" s="49">
        <f t="shared" ca="1" si="47"/>
        <v>0</v>
      </c>
      <c r="BK196" s="49">
        <f t="shared" ca="1" si="47"/>
        <v>0</v>
      </c>
      <c r="BL196" s="49">
        <f t="shared" ca="1" si="47"/>
        <v>0</v>
      </c>
      <c r="BM196" s="49">
        <f t="shared" ca="1" si="47"/>
        <v>0</v>
      </c>
      <c r="BN196" s="49">
        <f t="shared" ca="1" si="47"/>
        <v>0</v>
      </c>
      <c r="BO196" s="49">
        <f t="shared" ca="1" si="47"/>
        <v>0</v>
      </c>
      <c r="BP196" s="49">
        <f t="shared" ca="1" si="47"/>
        <v>0</v>
      </c>
      <c r="BQ196" s="49">
        <f t="shared" ca="1" si="47"/>
        <v>0</v>
      </c>
      <c r="BR196" s="49">
        <f t="shared" ca="1" si="47"/>
        <v>0</v>
      </c>
      <c r="BS196" s="49">
        <f t="shared" ca="1" si="47"/>
        <v>0</v>
      </c>
    </row>
    <row r="197" spans="1:71" outlineLevel="1" x14ac:dyDescent="0.2">
      <c r="J197" s="26"/>
      <c r="L197" s="55"/>
      <c r="M197" s="55"/>
      <c r="N197" s="55"/>
      <c r="O197" s="55"/>
      <c r="P197" s="55"/>
      <c r="Q197" s="55"/>
      <c r="R197" s="55"/>
      <c r="S197" s="55"/>
      <c r="T197" s="55"/>
      <c r="U197" s="55"/>
      <c r="V197" s="55"/>
      <c r="W197" s="55"/>
      <c r="X197" s="55"/>
      <c r="Y197" s="55"/>
      <c r="Z197" s="55"/>
      <c r="AA197" s="55"/>
      <c r="AB197" s="55"/>
      <c r="AC197" s="55"/>
      <c r="AD197" s="55"/>
      <c r="AE197" s="55"/>
      <c r="AF197" s="55"/>
      <c r="AG197" s="55"/>
      <c r="AH197" s="55"/>
      <c r="AI197" s="55"/>
      <c r="AJ197" s="55"/>
      <c r="AK197" s="55"/>
      <c r="AL197" s="55"/>
      <c r="AM197" s="55"/>
      <c r="AN197" s="55"/>
      <c r="AO197" s="55"/>
      <c r="AP197" s="55"/>
      <c r="AQ197" s="55"/>
      <c r="AR197" s="55"/>
      <c r="AS197" s="55"/>
      <c r="AT197" s="55"/>
      <c r="AU197" s="55"/>
      <c r="AV197" s="55"/>
      <c r="AW197" s="55"/>
      <c r="AX197" s="55"/>
      <c r="AY197" s="55"/>
      <c r="AZ197" s="55"/>
      <c r="BA197" s="55"/>
      <c r="BB197" s="55"/>
      <c r="BC197" s="55"/>
      <c r="BD197" s="55"/>
      <c r="BE197" s="55"/>
      <c r="BF197" s="55"/>
      <c r="BG197" s="55"/>
      <c r="BH197" s="55"/>
      <c r="BI197" s="55"/>
      <c r="BJ197" s="55"/>
      <c r="BK197" s="55"/>
      <c r="BL197" s="55"/>
      <c r="BM197" s="55"/>
      <c r="BN197" s="55"/>
      <c r="BO197" s="55"/>
      <c r="BP197" s="55"/>
      <c r="BQ197" s="55"/>
      <c r="BR197" s="55"/>
      <c r="BS197" s="55"/>
    </row>
    <row r="198" spans="1:71" outlineLevel="1" x14ac:dyDescent="0.2">
      <c r="J198" s="26"/>
      <c r="L198" s="55"/>
      <c r="M198" s="55"/>
      <c r="N198" s="55"/>
      <c r="O198" s="55"/>
      <c r="P198" s="55"/>
      <c r="Q198" s="55"/>
      <c r="R198" s="55"/>
      <c r="S198" s="55"/>
      <c r="T198" s="55"/>
      <c r="U198" s="55"/>
      <c r="V198" s="55"/>
      <c r="W198" s="55"/>
      <c r="X198" s="55"/>
      <c r="Y198" s="55"/>
      <c r="Z198" s="55"/>
      <c r="AA198" s="55"/>
      <c r="AB198" s="55"/>
      <c r="AC198" s="55"/>
      <c r="AD198" s="55"/>
      <c r="AE198" s="55"/>
      <c r="AF198" s="55"/>
      <c r="AG198" s="55"/>
      <c r="AH198" s="55"/>
      <c r="AI198" s="55"/>
      <c r="AJ198" s="55"/>
      <c r="AK198" s="55"/>
      <c r="AL198" s="55"/>
      <c r="AM198" s="55"/>
      <c r="AN198" s="55"/>
      <c r="AO198" s="55"/>
      <c r="AP198" s="55"/>
      <c r="AQ198" s="55"/>
      <c r="AR198" s="55"/>
      <c r="AS198" s="55"/>
      <c r="AT198" s="55"/>
      <c r="AU198" s="55"/>
      <c r="AV198" s="55"/>
      <c r="AW198" s="55"/>
      <c r="AX198" s="55"/>
      <c r="AY198" s="55"/>
      <c r="AZ198" s="55"/>
      <c r="BA198" s="55"/>
      <c r="BB198" s="55"/>
      <c r="BC198" s="55"/>
      <c r="BD198" s="55"/>
      <c r="BE198" s="55"/>
      <c r="BF198" s="55"/>
      <c r="BG198" s="55"/>
      <c r="BH198" s="55"/>
      <c r="BI198" s="55"/>
      <c r="BJ198" s="55"/>
      <c r="BK198" s="55"/>
      <c r="BL198" s="55"/>
      <c r="BM198" s="55"/>
      <c r="BN198" s="55"/>
      <c r="BO198" s="55"/>
      <c r="BP198" s="55"/>
      <c r="BQ198" s="55"/>
      <c r="BR198" s="55"/>
      <c r="BS198" s="55"/>
    </row>
    <row r="199" spans="1:71" outlineLevel="1" x14ac:dyDescent="0.2">
      <c r="A199" s="45"/>
      <c r="B199" s="38" t="s">
        <v>173</v>
      </c>
      <c r="C199" s="45"/>
      <c r="D199" s="45"/>
      <c r="E199" s="45"/>
      <c r="J199" s="26"/>
      <c r="L199" s="55"/>
      <c r="M199" s="55"/>
      <c r="N199" s="55"/>
      <c r="O199" s="55"/>
      <c r="P199" s="55"/>
      <c r="Q199" s="55"/>
      <c r="R199" s="55"/>
      <c r="S199" s="55"/>
      <c r="T199" s="55"/>
      <c r="U199" s="55"/>
      <c r="V199" s="55"/>
      <c r="W199" s="55"/>
      <c r="X199" s="55"/>
      <c r="Y199" s="55"/>
      <c r="Z199" s="55"/>
      <c r="AA199" s="55"/>
      <c r="AB199" s="55"/>
      <c r="AC199" s="55"/>
      <c r="AD199" s="55"/>
      <c r="AE199" s="55"/>
      <c r="AF199" s="55"/>
      <c r="AG199" s="55"/>
      <c r="AH199" s="55"/>
      <c r="AI199" s="55"/>
      <c r="AJ199" s="55"/>
      <c r="AK199" s="55"/>
      <c r="AL199" s="55"/>
      <c r="AM199" s="55"/>
      <c r="AN199" s="55"/>
      <c r="AO199" s="55"/>
      <c r="AP199" s="55"/>
      <c r="AQ199" s="55"/>
      <c r="AR199" s="55"/>
      <c r="AS199" s="55"/>
      <c r="AT199" s="55"/>
      <c r="AU199" s="55"/>
      <c r="AV199" s="55"/>
      <c r="AW199" s="55"/>
      <c r="AX199" s="55"/>
      <c r="AY199" s="55"/>
      <c r="AZ199" s="55"/>
      <c r="BA199" s="55"/>
      <c r="BB199" s="55"/>
      <c r="BC199" s="55"/>
      <c r="BD199" s="55"/>
      <c r="BE199" s="55"/>
      <c r="BF199" s="55"/>
      <c r="BG199" s="55"/>
      <c r="BH199" s="55"/>
      <c r="BI199" s="55"/>
      <c r="BJ199" s="55"/>
      <c r="BK199" s="55"/>
      <c r="BL199" s="55"/>
      <c r="BM199" s="55"/>
      <c r="BN199" s="55"/>
      <c r="BO199" s="55"/>
      <c r="BP199" s="55"/>
      <c r="BQ199" s="55"/>
      <c r="BR199" s="55"/>
      <c r="BS199" s="55"/>
    </row>
    <row r="200" spans="1:71" outlineLevel="1" x14ac:dyDescent="0.2">
      <c r="J200" s="26"/>
      <c r="L200" s="55"/>
      <c r="M200" s="55"/>
      <c r="N200" s="55"/>
      <c r="O200" s="55"/>
      <c r="P200" s="55"/>
      <c r="Q200" s="55"/>
      <c r="R200" s="55"/>
      <c r="S200" s="55"/>
      <c r="T200" s="55"/>
      <c r="U200" s="55"/>
      <c r="V200" s="55"/>
      <c r="W200" s="55"/>
      <c r="X200" s="55"/>
      <c r="Y200" s="55"/>
      <c r="Z200" s="55"/>
      <c r="AA200" s="55"/>
      <c r="AB200" s="55"/>
      <c r="AC200" s="55"/>
      <c r="AD200" s="55"/>
      <c r="AE200" s="55"/>
      <c r="AF200" s="55"/>
      <c r="AG200" s="55"/>
      <c r="AH200" s="55"/>
      <c r="AI200" s="55"/>
      <c r="AJ200" s="55"/>
      <c r="AK200" s="55"/>
      <c r="AL200" s="55"/>
      <c r="AM200" s="55"/>
      <c r="AN200" s="55"/>
      <c r="AO200" s="55"/>
      <c r="AP200" s="55"/>
      <c r="AQ200" s="55"/>
      <c r="AR200" s="55"/>
      <c r="AS200" s="55"/>
      <c r="AT200" s="55"/>
      <c r="AU200" s="55"/>
      <c r="AV200" s="55"/>
      <c r="AW200" s="55"/>
      <c r="AX200" s="55"/>
      <c r="AY200" s="55"/>
      <c r="AZ200" s="55"/>
      <c r="BA200" s="55"/>
      <c r="BB200" s="55"/>
      <c r="BC200" s="55"/>
      <c r="BD200" s="55"/>
      <c r="BE200" s="55"/>
      <c r="BF200" s="55"/>
      <c r="BG200" s="55"/>
      <c r="BH200" s="55"/>
      <c r="BI200" s="55"/>
      <c r="BJ200" s="55"/>
      <c r="BK200" s="55"/>
      <c r="BL200" s="55"/>
      <c r="BM200" s="55"/>
      <c r="BN200" s="55"/>
      <c r="BO200" s="55"/>
      <c r="BP200" s="55"/>
      <c r="BQ200" s="55"/>
      <c r="BR200" s="55"/>
      <c r="BS200" s="55"/>
    </row>
    <row r="201" spans="1:71" outlineLevel="1" x14ac:dyDescent="0.2">
      <c r="C201" s="11" t="s">
        <v>212</v>
      </c>
      <c r="J201" s="26"/>
      <c r="K201" s="7" t="s">
        <v>213</v>
      </c>
      <c r="L201" s="57">
        <f ca="1">1*(OR(Marine!CA_opex_total_nom&gt;0,Marine!CA_expex_nom&gt;0,Marine!CA_devex_nom&gt;0,Marine!CA_gross_prod_oil+Marine!CA_gross_prod_gas&gt;0))</f>
        <v>1</v>
      </c>
      <c r="M201" s="57">
        <f ca="1">1*(OR(Marine!CA_opex_total_nom&gt;0,Marine!CA_expex_nom&gt;0,Marine!CA_devex_nom&gt;0,Marine!CA_gross_prod_oil+Marine!CA_gross_prod_gas&gt;0))</f>
        <v>1</v>
      </c>
      <c r="N201" s="57">
        <f ca="1">1*(OR(Marine!CA_opex_total_nom&gt;0,Marine!CA_expex_nom&gt;0,Marine!CA_devex_nom&gt;0,Marine!CA_gross_prod_oil+Marine!CA_gross_prod_gas&gt;0))</f>
        <v>1</v>
      </c>
      <c r="O201" s="57">
        <f ca="1">1*(OR(Marine!CA_opex_total_nom&gt;0,Marine!CA_expex_nom&gt;0,Marine!CA_devex_nom&gt;0,Marine!CA_gross_prod_oil+Marine!CA_gross_prod_gas&gt;0))</f>
        <v>1</v>
      </c>
      <c r="P201" s="57">
        <f ca="1">1*(OR(Marine!CA_opex_total_nom&gt;0,Marine!CA_expex_nom&gt;0,Marine!CA_devex_nom&gt;0,Marine!CA_gross_prod_oil+Marine!CA_gross_prod_gas&gt;0))</f>
        <v>1</v>
      </c>
      <c r="Q201" s="57">
        <f ca="1">1*(OR(Marine!CA_opex_total_nom&gt;0,Marine!CA_expex_nom&gt;0,Marine!CA_devex_nom&gt;0,Marine!CA_gross_prod_oil+Marine!CA_gross_prod_gas&gt;0))</f>
        <v>1</v>
      </c>
      <c r="R201" s="57">
        <f ca="1">1*(OR(Marine!CA_opex_total_nom&gt;0,Marine!CA_expex_nom&gt;0,Marine!CA_devex_nom&gt;0,Marine!CA_gross_prod_oil+Marine!CA_gross_prod_gas&gt;0))</f>
        <v>1</v>
      </c>
      <c r="S201" s="57">
        <f ca="1">1*(OR(Marine!CA_opex_total_nom&gt;0,Marine!CA_expex_nom&gt;0,Marine!CA_devex_nom&gt;0,Marine!CA_gross_prod_oil+Marine!CA_gross_prod_gas&gt;0))</f>
        <v>1</v>
      </c>
      <c r="T201" s="57">
        <f ca="1">1*(OR(Marine!CA_opex_total_nom&gt;0,Marine!CA_expex_nom&gt;0,Marine!CA_devex_nom&gt;0,Marine!CA_gross_prod_oil+Marine!CA_gross_prod_gas&gt;0))</f>
        <v>1</v>
      </c>
      <c r="U201" s="57">
        <f ca="1">1*(OR(Marine!CA_opex_total_nom&gt;0,Marine!CA_expex_nom&gt;0,Marine!CA_devex_nom&gt;0,Marine!CA_gross_prod_oil+Marine!CA_gross_prod_gas&gt;0))</f>
        <v>1</v>
      </c>
      <c r="V201" s="57">
        <f ca="1">1*(OR(Marine!CA_opex_total_nom&gt;0,Marine!CA_expex_nom&gt;0,Marine!CA_devex_nom&gt;0,Marine!CA_gross_prod_oil+Marine!CA_gross_prod_gas&gt;0))</f>
        <v>1</v>
      </c>
      <c r="W201" s="57">
        <f ca="1">1*(OR(Marine!CA_opex_total_nom&gt;0,Marine!CA_expex_nom&gt;0,Marine!CA_devex_nom&gt;0,Marine!CA_gross_prod_oil+Marine!CA_gross_prod_gas&gt;0))</f>
        <v>1</v>
      </c>
      <c r="X201" s="57">
        <f ca="1">1*(OR(Marine!CA_opex_total_nom&gt;0,Marine!CA_expex_nom&gt;0,Marine!CA_devex_nom&gt;0,Marine!CA_gross_prod_oil+Marine!CA_gross_prod_gas&gt;0))</f>
        <v>1</v>
      </c>
      <c r="Y201" s="57">
        <f ca="1">1*(OR(Marine!CA_opex_total_nom&gt;0,Marine!CA_expex_nom&gt;0,Marine!CA_devex_nom&gt;0,Marine!CA_gross_prod_oil+Marine!CA_gross_prod_gas&gt;0))</f>
        <v>0</v>
      </c>
      <c r="Z201" s="57">
        <f ca="1">1*(OR(Marine!CA_opex_total_nom&gt;0,Marine!CA_expex_nom&gt;0,Marine!CA_devex_nom&gt;0,Marine!CA_gross_prod_oil+Marine!CA_gross_prod_gas&gt;0))</f>
        <v>0</v>
      </c>
      <c r="AA201" s="57">
        <f ca="1">1*(OR(Marine!CA_opex_total_nom&gt;0,Marine!CA_expex_nom&gt;0,Marine!CA_devex_nom&gt;0,Marine!CA_gross_prod_oil+Marine!CA_gross_prod_gas&gt;0))</f>
        <v>0</v>
      </c>
      <c r="AB201" s="57">
        <f ca="1">1*(OR(Marine!CA_opex_total_nom&gt;0,Marine!CA_expex_nom&gt;0,Marine!CA_devex_nom&gt;0,Marine!CA_gross_prod_oil+Marine!CA_gross_prod_gas&gt;0))</f>
        <v>0</v>
      </c>
      <c r="AC201" s="57">
        <f ca="1">1*(OR(Marine!CA_opex_total_nom&gt;0,Marine!CA_expex_nom&gt;0,Marine!CA_devex_nom&gt;0,Marine!CA_gross_prod_oil+Marine!CA_gross_prod_gas&gt;0))</f>
        <v>0</v>
      </c>
      <c r="AD201" s="57">
        <f ca="1">1*(OR(Marine!CA_opex_total_nom&gt;0,Marine!CA_expex_nom&gt;0,Marine!CA_devex_nom&gt;0,Marine!CA_gross_prod_oil+Marine!CA_gross_prod_gas&gt;0))</f>
        <v>0</v>
      </c>
      <c r="AE201" s="57">
        <f ca="1">1*(OR(Marine!CA_opex_total_nom&gt;0,Marine!CA_expex_nom&gt;0,Marine!CA_devex_nom&gt;0,Marine!CA_gross_prod_oil+Marine!CA_gross_prod_gas&gt;0))</f>
        <v>0</v>
      </c>
      <c r="AF201" s="57">
        <f ca="1">1*(OR(Marine!CA_opex_total_nom&gt;0,Marine!CA_expex_nom&gt;0,Marine!CA_devex_nom&gt;0,Marine!CA_gross_prod_oil+Marine!CA_gross_prod_gas&gt;0))</f>
        <v>0</v>
      </c>
      <c r="AG201" s="57">
        <f ca="1">1*(OR(Marine!CA_opex_total_nom&gt;0,Marine!CA_expex_nom&gt;0,Marine!CA_devex_nom&gt;0,Marine!CA_gross_prod_oil+Marine!CA_gross_prod_gas&gt;0))</f>
        <v>0</v>
      </c>
      <c r="AH201" s="57">
        <f ca="1">1*(OR(Marine!CA_opex_total_nom&gt;0,Marine!CA_expex_nom&gt;0,Marine!CA_devex_nom&gt;0,Marine!CA_gross_prod_oil+Marine!CA_gross_prod_gas&gt;0))</f>
        <v>0</v>
      </c>
      <c r="AI201" s="57">
        <f ca="1">1*(OR(Marine!CA_opex_total_nom&gt;0,Marine!CA_expex_nom&gt;0,Marine!CA_devex_nom&gt;0,Marine!CA_gross_prod_oil+Marine!CA_gross_prod_gas&gt;0))</f>
        <v>0</v>
      </c>
      <c r="AJ201" s="57">
        <f ca="1">1*(OR(Marine!CA_opex_total_nom&gt;0,Marine!CA_expex_nom&gt;0,Marine!CA_devex_nom&gt;0,Marine!CA_gross_prod_oil+Marine!CA_gross_prod_gas&gt;0))</f>
        <v>0</v>
      </c>
      <c r="AK201" s="57">
        <f ca="1">1*(OR(Marine!CA_opex_total_nom&gt;0,Marine!CA_expex_nom&gt;0,Marine!CA_devex_nom&gt;0,Marine!CA_gross_prod_oil+Marine!CA_gross_prod_gas&gt;0))</f>
        <v>0</v>
      </c>
      <c r="AL201" s="57">
        <f ca="1">1*(OR(Marine!CA_opex_total_nom&gt;0,Marine!CA_expex_nom&gt;0,Marine!CA_devex_nom&gt;0,Marine!CA_gross_prod_oil+Marine!CA_gross_prod_gas&gt;0))</f>
        <v>0</v>
      </c>
      <c r="AM201" s="57">
        <f ca="1">1*(OR(Marine!CA_opex_total_nom&gt;0,Marine!CA_expex_nom&gt;0,Marine!CA_devex_nom&gt;0,Marine!CA_gross_prod_oil+Marine!CA_gross_prod_gas&gt;0))</f>
        <v>0</v>
      </c>
      <c r="AN201" s="57">
        <f ca="1">1*(OR(Marine!CA_opex_total_nom&gt;0,Marine!CA_expex_nom&gt;0,Marine!CA_devex_nom&gt;0,Marine!CA_gross_prod_oil+Marine!CA_gross_prod_gas&gt;0))</f>
        <v>0</v>
      </c>
      <c r="AO201" s="57">
        <f ca="1">1*(OR(Marine!CA_opex_total_nom&gt;0,Marine!CA_expex_nom&gt;0,Marine!CA_devex_nom&gt;0,Marine!CA_gross_prod_oil+Marine!CA_gross_prod_gas&gt;0))</f>
        <v>0</v>
      </c>
      <c r="AP201" s="57">
        <f ca="1">1*(OR(Marine!CA_opex_total_nom&gt;0,Marine!CA_expex_nom&gt;0,Marine!CA_devex_nom&gt;0,Marine!CA_gross_prod_oil+Marine!CA_gross_prod_gas&gt;0))</f>
        <v>0</v>
      </c>
      <c r="AQ201" s="57">
        <f ca="1">1*(OR(Marine!CA_opex_total_nom&gt;0,Marine!CA_expex_nom&gt;0,Marine!CA_devex_nom&gt;0,Marine!CA_gross_prod_oil+Marine!CA_gross_prod_gas&gt;0))</f>
        <v>0</v>
      </c>
      <c r="AR201" s="57">
        <f ca="1">1*(OR(Marine!CA_opex_total_nom&gt;0,Marine!CA_expex_nom&gt;0,Marine!CA_devex_nom&gt;0,Marine!CA_gross_prod_oil+Marine!CA_gross_prod_gas&gt;0))</f>
        <v>0</v>
      </c>
      <c r="AS201" s="57">
        <f ca="1">1*(OR(Marine!CA_opex_total_nom&gt;0,Marine!CA_expex_nom&gt;0,Marine!CA_devex_nom&gt;0,Marine!CA_gross_prod_oil+Marine!CA_gross_prod_gas&gt;0))</f>
        <v>0</v>
      </c>
      <c r="AT201" s="57">
        <f ca="1">1*(OR(Marine!CA_opex_total_nom&gt;0,Marine!CA_expex_nom&gt;0,Marine!CA_devex_nom&gt;0,Marine!CA_gross_prod_oil+Marine!CA_gross_prod_gas&gt;0))</f>
        <v>0</v>
      </c>
      <c r="AU201" s="57">
        <f ca="1">1*(OR(Marine!CA_opex_total_nom&gt;0,Marine!CA_expex_nom&gt;0,Marine!CA_devex_nom&gt;0,Marine!CA_gross_prod_oil+Marine!CA_gross_prod_gas&gt;0))</f>
        <v>0</v>
      </c>
      <c r="AV201" s="57">
        <f ca="1">1*(OR(Marine!CA_opex_total_nom&gt;0,Marine!CA_expex_nom&gt;0,Marine!CA_devex_nom&gt;0,Marine!CA_gross_prod_oil+Marine!CA_gross_prod_gas&gt;0))</f>
        <v>0</v>
      </c>
      <c r="AW201" s="57">
        <f ca="1">1*(OR(Marine!CA_opex_total_nom&gt;0,Marine!CA_expex_nom&gt;0,Marine!CA_devex_nom&gt;0,Marine!CA_gross_prod_oil+Marine!CA_gross_prod_gas&gt;0))</f>
        <v>0</v>
      </c>
      <c r="AX201" s="57">
        <f ca="1">1*(OR(Marine!CA_opex_total_nom&gt;0,Marine!CA_expex_nom&gt;0,Marine!CA_devex_nom&gt;0,Marine!CA_gross_prod_oil+Marine!CA_gross_prod_gas&gt;0))</f>
        <v>0</v>
      </c>
      <c r="AY201" s="57">
        <f ca="1">1*(OR(Marine!CA_opex_total_nom&gt;0,Marine!CA_expex_nom&gt;0,Marine!CA_devex_nom&gt;0,Marine!CA_gross_prod_oil+Marine!CA_gross_prod_gas&gt;0))</f>
        <v>0</v>
      </c>
      <c r="AZ201" s="57">
        <f ca="1">1*(OR(Marine!CA_opex_total_nom&gt;0,Marine!CA_expex_nom&gt;0,Marine!CA_devex_nom&gt;0,Marine!CA_gross_prod_oil+Marine!CA_gross_prod_gas&gt;0))</f>
        <v>0</v>
      </c>
      <c r="BA201" s="57">
        <f ca="1">1*(OR(Marine!CA_opex_total_nom&gt;0,Marine!CA_expex_nom&gt;0,Marine!CA_devex_nom&gt;0,Marine!CA_gross_prod_oil+Marine!CA_gross_prod_gas&gt;0))</f>
        <v>0</v>
      </c>
      <c r="BB201" s="57">
        <f ca="1">1*(OR(Marine!CA_opex_total_nom&gt;0,Marine!CA_expex_nom&gt;0,Marine!CA_devex_nom&gt;0,Marine!CA_gross_prod_oil+Marine!CA_gross_prod_gas&gt;0))</f>
        <v>0</v>
      </c>
      <c r="BC201" s="57">
        <f ca="1">1*(OR(Marine!CA_opex_total_nom&gt;0,Marine!CA_expex_nom&gt;0,Marine!CA_devex_nom&gt;0,Marine!CA_gross_prod_oil+Marine!CA_gross_prod_gas&gt;0))</f>
        <v>0</v>
      </c>
      <c r="BD201" s="57">
        <f ca="1">1*(OR(Marine!CA_opex_total_nom&gt;0,Marine!CA_expex_nom&gt;0,Marine!CA_devex_nom&gt;0,Marine!CA_gross_prod_oil+Marine!CA_gross_prod_gas&gt;0))</f>
        <v>0</v>
      </c>
      <c r="BE201" s="57">
        <f ca="1">1*(OR(Marine!CA_opex_total_nom&gt;0,Marine!CA_expex_nom&gt;0,Marine!CA_devex_nom&gt;0,Marine!CA_gross_prod_oil+Marine!CA_gross_prod_gas&gt;0))</f>
        <v>0</v>
      </c>
      <c r="BF201" s="57">
        <f ca="1">1*(OR(Marine!CA_opex_total_nom&gt;0,Marine!CA_expex_nom&gt;0,Marine!CA_devex_nom&gt;0,Marine!CA_gross_prod_oil+Marine!CA_gross_prod_gas&gt;0))</f>
        <v>0</v>
      </c>
      <c r="BG201" s="57">
        <f ca="1">1*(OR(Marine!CA_opex_total_nom&gt;0,Marine!CA_expex_nom&gt;0,Marine!CA_devex_nom&gt;0,Marine!CA_gross_prod_oil+Marine!CA_gross_prod_gas&gt;0))</f>
        <v>0</v>
      </c>
      <c r="BH201" s="57">
        <f ca="1">1*(OR(Marine!CA_opex_total_nom&gt;0,Marine!CA_expex_nom&gt;0,Marine!CA_devex_nom&gt;0,Marine!CA_gross_prod_oil+Marine!CA_gross_prod_gas&gt;0))</f>
        <v>0</v>
      </c>
      <c r="BI201" s="57">
        <f ca="1">1*(OR(Marine!CA_opex_total_nom&gt;0,Marine!CA_expex_nom&gt;0,Marine!CA_devex_nom&gt;0,Marine!CA_gross_prod_oil+Marine!CA_gross_prod_gas&gt;0))</f>
        <v>0</v>
      </c>
      <c r="BJ201" s="57">
        <f ca="1">1*(OR(Marine!CA_opex_total_nom&gt;0,Marine!CA_expex_nom&gt;0,Marine!CA_devex_nom&gt;0,Marine!CA_gross_prod_oil+Marine!CA_gross_prod_gas&gt;0))</f>
        <v>0</v>
      </c>
      <c r="BK201" s="57">
        <f ca="1">1*(OR(Marine!CA_opex_total_nom&gt;0,Marine!CA_expex_nom&gt;0,Marine!CA_devex_nom&gt;0,Marine!CA_gross_prod_oil+Marine!CA_gross_prod_gas&gt;0))</f>
        <v>0</v>
      </c>
      <c r="BL201" s="57">
        <f ca="1">1*(OR(Marine!CA_opex_total_nom&gt;0,Marine!CA_expex_nom&gt;0,Marine!CA_devex_nom&gt;0,Marine!CA_gross_prod_oil+Marine!CA_gross_prod_gas&gt;0))</f>
        <v>0</v>
      </c>
      <c r="BM201" s="57">
        <f ca="1">1*(OR(Marine!CA_opex_total_nom&gt;0,Marine!CA_expex_nom&gt;0,Marine!CA_devex_nom&gt;0,Marine!CA_gross_prod_oil+Marine!CA_gross_prod_gas&gt;0))</f>
        <v>0</v>
      </c>
      <c r="BN201" s="57">
        <f ca="1">1*(OR(Marine!CA_opex_total_nom&gt;0,Marine!CA_expex_nom&gt;0,Marine!CA_devex_nom&gt;0,Marine!CA_gross_prod_oil+Marine!CA_gross_prod_gas&gt;0))</f>
        <v>0</v>
      </c>
      <c r="BO201" s="57">
        <f ca="1">1*(OR(Marine!CA_opex_total_nom&gt;0,Marine!CA_expex_nom&gt;0,Marine!CA_devex_nom&gt;0,Marine!CA_gross_prod_oil+Marine!CA_gross_prod_gas&gt;0))</f>
        <v>0</v>
      </c>
      <c r="BP201" s="57">
        <f ca="1">1*(OR(Marine!CA_opex_total_nom&gt;0,Marine!CA_expex_nom&gt;0,Marine!CA_devex_nom&gt;0,Marine!CA_gross_prod_oil+Marine!CA_gross_prod_gas&gt;0))</f>
        <v>0</v>
      </c>
      <c r="BQ201" s="57">
        <f ca="1">1*(OR(Marine!CA_opex_total_nom&gt;0,Marine!CA_expex_nom&gt;0,Marine!CA_devex_nom&gt;0,Marine!CA_gross_prod_oil+Marine!CA_gross_prod_gas&gt;0))</f>
        <v>0</v>
      </c>
      <c r="BR201" s="57">
        <f ca="1">1*(OR(Marine!CA_opex_total_nom&gt;0,Marine!CA_expex_nom&gt;0,Marine!CA_devex_nom&gt;0,Marine!CA_gross_prod_oil+Marine!CA_gross_prod_gas&gt;0))</f>
        <v>0</v>
      </c>
      <c r="BS201" s="57">
        <f ca="1">1*(OR(Marine!CA_opex_total_nom&gt;0,Marine!CA_expex_nom&gt;0,Marine!CA_devex_nom&gt;0,Marine!CA_gross_prod_oil+Marine!CA_gross_prod_gas&gt;0))</f>
        <v>0</v>
      </c>
    </row>
    <row r="202" spans="1:71" outlineLevel="1" x14ac:dyDescent="0.2">
      <c r="J202" s="26"/>
      <c r="L202" s="55"/>
      <c r="M202" s="55"/>
      <c r="N202" s="55"/>
      <c r="O202" s="55"/>
      <c r="P202" s="55"/>
      <c r="Q202" s="55"/>
      <c r="R202" s="55"/>
      <c r="S202" s="55"/>
      <c r="T202" s="55"/>
      <c r="U202" s="55"/>
      <c r="V202" s="55"/>
      <c r="W202" s="55"/>
      <c r="X202" s="55"/>
      <c r="Y202" s="55"/>
      <c r="Z202" s="55"/>
      <c r="AA202" s="55"/>
      <c r="AB202" s="55"/>
      <c r="AC202" s="55"/>
      <c r="AD202" s="55"/>
      <c r="AE202" s="55"/>
      <c r="AF202" s="55"/>
      <c r="AG202" s="55"/>
      <c r="AH202" s="55"/>
      <c r="AI202" s="55"/>
      <c r="AJ202" s="55"/>
      <c r="AK202" s="55"/>
      <c r="AL202" s="55"/>
      <c r="AM202" s="55"/>
      <c r="AN202" s="55"/>
      <c r="AO202" s="55"/>
      <c r="AP202" s="55"/>
      <c r="AQ202" s="55"/>
      <c r="AR202" s="55"/>
      <c r="AS202" s="55"/>
      <c r="AT202" s="55"/>
      <c r="AU202" s="55"/>
      <c r="AV202" s="55"/>
      <c r="AW202" s="55"/>
      <c r="AX202" s="55"/>
      <c r="AY202" s="55"/>
      <c r="AZ202" s="55"/>
      <c r="BA202" s="55"/>
      <c r="BB202" s="55"/>
      <c r="BC202" s="55"/>
      <c r="BD202" s="55"/>
      <c r="BE202" s="55"/>
      <c r="BF202" s="55"/>
      <c r="BG202" s="55"/>
      <c r="BH202" s="55"/>
      <c r="BI202" s="55"/>
      <c r="BJ202" s="55"/>
      <c r="BK202" s="55"/>
      <c r="BL202" s="55"/>
      <c r="BM202" s="55"/>
      <c r="BN202" s="55"/>
      <c r="BO202" s="55"/>
      <c r="BP202" s="55"/>
      <c r="BQ202" s="55"/>
      <c r="BR202" s="55"/>
      <c r="BS202" s="55"/>
    </row>
    <row r="203" spans="1:71" outlineLevel="1" x14ac:dyDescent="0.2">
      <c r="C203" s="11" t="s">
        <v>852</v>
      </c>
      <c r="J203" s="26"/>
      <c r="K203" s="7" t="s">
        <v>853</v>
      </c>
      <c r="L203" s="57">
        <f ca="1">IF(-(SUM($K245:K245)+SUM($K294:K294))&lt;=$I$219,1,2)</f>
        <v>1</v>
      </c>
      <c r="M203" s="57">
        <f ca="1">IF(-(SUM($K245:L245)+SUM($K294:L294))&lt;=$I$219,1,2)</f>
        <v>1</v>
      </c>
      <c r="N203" s="57">
        <f ca="1">IF(-(SUM($K245:M245)+SUM($K294:M294))&lt;=$I$219,1,2)</f>
        <v>1</v>
      </c>
      <c r="O203" s="57">
        <f ca="1">IF(-(SUM($K245:N245)+SUM($K294:N294))&lt;=$I$219,1,2)</f>
        <v>1</v>
      </c>
      <c r="P203" s="57">
        <f ca="1">IF(-(SUM($K245:O245)+SUM($K294:O294))&lt;=$I$219,1,2)</f>
        <v>1</v>
      </c>
      <c r="Q203" s="57">
        <f ca="1">IF(-(SUM($K245:P245)+SUM($K294:P294))&lt;=$I$219,1,2)</f>
        <v>1</v>
      </c>
      <c r="R203" s="57">
        <f ca="1">IF(-(SUM($K245:Q245)+SUM($K294:Q294))&lt;=$I$219,1,2)</f>
        <v>1</v>
      </c>
      <c r="S203" s="57">
        <f ca="1">IF(-(SUM($K245:R245)+SUM($K294:R294))&lt;=$I$219,1,2)</f>
        <v>1</v>
      </c>
      <c r="T203" s="57">
        <f ca="1">IF(-(SUM($K245:S245)+SUM($K294:S294))&lt;=$I$219,1,2)</f>
        <v>1</v>
      </c>
      <c r="U203" s="57">
        <f ca="1">IF(-(SUM($K245:T245)+SUM($K294:T294))&lt;=$I$219,1,2)</f>
        <v>1</v>
      </c>
      <c r="V203" s="57">
        <f ca="1">IF(-(SUM($K245:U245)+SUM($K294:U294))&lt;=$I$219,1,2)</f>
        <v>1</v>
      </c>
      <c r="W203" s="57">
        <f ca="1">IF(-(SUM($K245:V245)+SUM($K294:V294))&lt;=$I$219,1,2)</f>
        <v>1</v>
      </c>
      <c r="X203" s="57">
        <f ca="1">IF(-(SUM($K245:W245)+SUM($K294:W294))&lt;=$I$219,1,2)</f>
        <v>1</v>
      </c>
      <c r="Y203" s="57">
        <f ca="1">IF(-(SUM($K245:X245)+SUM($K294:X294))&lt;=$I$219,1,2)</f>
        <v>1</v>
      </c>
      <c r="Z203" s="57">
        <f ca="1">IF(-(SUM($K245:Y245)+SUM($K294:Y294))&lt;=$I$219,1,2)</f>
        <v>1</v>
      </c>
      <c r="AA203" s="57">
        <f ca="1">IF(-(SUM($K245:Z245)+SUM($K294:Z294))&lt;=$I$219,1,2)</f>
        <v>1</v>
      </c>
      <c r="AB203" s="57">
        <f ca="1">IF(-(SUM($K245:AA245)+SUM($K294:AA294))&lt;=$I$219,1,2)</f>
        <v>1</v>
      </c>
      <c r="AC203" s="57">
        <f ca="1">IF(-(SUM($K245:AB245)+SUM($K294:AB294))&lt;=$I$219,1,2)</f>
        <v>1</v>
      </c>
      <c r="AD203" s="57">
        <f ca="1">IF(-(SUM($K245:AC245)+SUM($K294:AC294))&lt;=$I$219,1,2)</f>
        <v>1</v>
      </c>
      <c r="AE203" s="57">
        <f ca="1">IF(-(SUM($K245:AD245)+SUM($K294:AD294))&lt;=$I$219,1,2)</f>
        <v>1</v>
      </c>
      <c r="AF203" s="57">
        <f ca="1">IF(-(SUM($K245:AE245)+SUM($K294:AE294))&lt;=$I$219,1,2)</f>
        <v>1</v>
      </c>
      <c r="AG203" s="57">
        <f ca="1">IF(-(SUM($K245:AF245)+SUM($K294:AF294))&lt;=$I$219,1,2)</f>
        <v>1</v>
      </c>
      <c r="AH203" s="57">
        <f ca="1">IF(-(SUM($K245:AG245)+SUM($K294:AG294))&lt;=$I$219,1,2)</f>
        <v>1</v>
      </c>
      <c r="AI203" s="57">
        <f ca="1">IF(-(SUM($K245:AH245)+SUM($K294:AH294))&lt;=$I$219,1,2)</f>
        <v>1</v>
      </c>
      <c r="AJ203" s="57">
        <f ca="1">IF(-(SUM($K245:AI245)+SUM($K294:AI294))&lt;=$I$219,1,2)</f>
        <v>1</v>
      </c>
      <c r="AK203" s="57">
        <f ca="1">IF(-(SUM($K245:AJ245)+SUM($K294:AJ294))&lt;=$I$219,1,2)</f>
        <v>1</v>
      </c>
      <c r="AL203" s="57">
        <f ca="1">IF(-(SUM($K245:AK245)+SUM($K294:AK294))&lt;=$I$219,1,2)</f>
        <v>1</v>
      </c>
      <c r="AM203" s="57">
        <f ca="1">IF(-(SUM($K245:AL245)+SUM($K294:AL294))&lt;=$I$219,1,2)</f>
        <v>1</v>
      </c>
      <c r="AN203" s="57">
        <f ca="1">IF(-(SUM($K245:AM245)+SUM($K294:AM294))&lt;=$I$219,1,2)</f>
        <v>1</v>
      </c>
      <c r="AO203" s="57">
        <f ca="1">IF(-(SUM($K245:AN245)+SUM($K294:AN294))&lt;=$I$219,1,2)</f>
        <v>1</v>
      </c>
      <c r="AP203" s="57">
        <f ca="1">IF(-(SUM($K245:AO245)+SUM($K294:AO294))&lt;=$I$219,1,2)</f>
        <v>1</v>
      </c>
      <c r="AQ203" s="57">
        <f ca="1">IF(-(SUM($K245:AP245)+SUM($K294:AP294))&lt;=$I$219,1,2)</f>
        <v>1</v>
      </c>
      <c r="AR203" s="57">
        <f ca="1">IF(-(SUM($K245:AQ245)+SUM($K294:AQ294))&lt;=$I$219,1,2)</f>
        <v>1</v>
      </c>
      <c r="AS203" s="57">
        <f ca="1">IF(-(SUM($K245:AR245)+SUM($K294:AR294))&lt;=$I$219,1,2)</f>
        <v>1</v>
      </c>
      <c r="AT203" s="57">
        <f ca="1">IF(-(SUM($K245:AS245)+SUM($K294:AS294))&lt;=$I$219,1,2)</f>
        <v>1</v>
      </c>
      <c r="AU203" s="57">
        <f ca="1">IF(-(SUM($K245:AT245)+SUM($K294:AT294))&lt;=$I$219,1,2)</f>
        <v>1</v>
      </c>
      <c r="AV203" s="57">
        <f ca="1">IF(-(SUM($K245:AU245)+SUM($K294:AU294))&lt;=$I$219,1,2)</f>
        <v>1</v>
      </c>
      <c r="AW203" s="57">
        <f ca="1">IF(-(SUM($K245:AV245)+SUM($K294:AV294))&lt;=$I$219,1,2)</f>
        <v>1</v>
      </c>
      <c r="AX203" s="57">
        <f ca="1">IF(-(SUM($K245:AW245)+SUM($K294:AW294))&lt;=$I$219,1,2)</f>
        <v>1</v>
      </c>
      <c r="AY203" s="57">
        <f ca="1">IF(-(SUM($K245:AX245)+SUM($K294:AX294))&lt;=$I$219,1,2)</f>
        <v>1</v>
      </c>
      <c r="AZ203" s="57">
        <f ca="1">IF(-(SUM($K245:AY245)+SUM($K294:AY294))&lt;=$I$219,1,2)</f>
        <v>1</v>
      </c>
      <c r="BA203" s="57">
        <f ca="1">IF(-(SUM($K245:AZ245)+SUM($K294:AZ294))&lt;=$I$219,1,2)</f>
        <v>1</v>
      </c>
      <c r="BB203" s="57">
        <f ca="1">IF(-(SUM($K245:BA245)+SUM($K294:BA294))&lt;=$I$219,1,2)</f>
        <v>1</v>
      </c>
      <c r="BC203" s="57">
        <f ca="1">IF(-(SUM($K245:BB245)+SUM($K294:BB294))&lt;=$I$219,1,2)</f>
        <v>1</v>
      </c>
      <c r="BD203" s="57">
        <f ca="1">IF(-(SUM($K245:BC245)+SUM($K294:BC294))&lt;=$I$219,1,2)</f>
        <v>1</v>
      </c>
      <c r="BE203" s="57">
        <f ca="1">IF(-(SUM($K245:BD245)+SUM($K294:BD294))&lt;=$I$219,1,2)</f>
        <v>1</v>
      </c>
      <c r="BF203" s="57">
        <f ca="1">IF(-(SUM($K245:BE245)+SUM($K294:BE294))&lt;=$I$219,1,2)</f>
        <v>1</v>
      </c>
      <c r="BG203" s="57">
        <f ca="1">IF(-(SUM($K245:BF245)+SUM($K294:BF294))&lt;=$I$219,1,2)</f>
        <v>1</v>
      </c>
      <c r="BH203" s="57">
        <f ca="1">IF(-(SUM($K245:BG245)+SUM($K294:BG294))&lt;=$I$219,1,2)</f>
        <v>1</v>
      </c>
      <c r="BI203" s="57">
        <f ca="1">IF(-(SUM($K245:BH245)+SUM($K294:BH294))&lt;=$I$219,1,2)</f>
        <v>1</v>
      </c>
      <c r="BJ203" s="57">
        <f ca="1">IF(-(SUM($K245:BI245)+SUM($K294:BI294))&lt;=$I$219,1,2)</f>
        <v>1</v>
      </c>
      <c r="BK203" s="57">
        <f ca="1">IF(-(SUM($K245:BJ245)+SUM($K294:BJ294))&lt;=$I$219,1,2)</f>
        <v>1</v>
      </c>
      <c r="BL203" s="57">
        <f ca="1">IF(-(SUM($K245:BK245)+SUM($K294:BK294))&lt;=$I$219,1,2)</f>
        <v>1</v>
      </c>
      <c r="BM203" s="57">
        <f ca="1">IF(-(SUM($K245:BL245)+SUM($K294:BL294))&lt;=$I$219,1,2)</f>
        <v>1</v>
      </c>
      <c r="BN203" s="57">
        <f ca="1">IF(-(SUM($K245:BM245)+SUM($K294:BM294))&lt;=$I$219,1,2)</f>
        <v>1</v>
      </c>
      <c r="BO203" s="57">
        <f ca="1">IF(-(SUM($K245:BN245)+SUM($K294:BN294))&lt;=$I$219,1,2)</f>
        <v>1</v>
      </c>
      <c r="BP203" s="57">
        <f ca="1">IF(-(SUM($K245:BO245)+SUM($K294:BO294))&lt;=$I$219,1,2)</f>
        <v>1</v>
      </c>
      <c r="BQ203" s="57">
        <f ca="1">IF(-(SUM($K245:BP245)+SUM($K294:BP294))&lt;=$I$219,1,2)</f>
        <v>1</v>
      </c>
      <c r="BR203" s="57">
        <f ca="1">IF(-(SUM($K245:BQ245)+SUM($K294:BQ294))&lt;=$I$219,1,2)</f>
        <v>1</v>
      </c>
      <c r="BS203" s="57">
        <f ca="1">IF(-(SUM($K245:BR245)+SUM($K294:BR294))&lt;=$I$219,1,2)</f>
        <v>1</v>
      </c>
    </row>
    <row r="204" spans="1:71" outlineLevel="1" x14ac:dyDescent="0.2">
      <c r="J204" s="26"/>
      <c r="L204" s="55"/>
      <c r="M204" s="55"/>
      <c r="N204" s="55"/>
      <c r="O204" s="55"/>
      <c r="P204" s="55"/>
      <c r="Q204" s="55"/>
      <c r="R204" s="55"/>
      <c r="S204" s="55"/>
      <c r="T204" s="55"/>
      <c r="U204" s="55"/>
      <c r="V204" s="55"/>
      <c r="W204" s="55"/>
      <c r="X204" s="55"/>
      <c r="Y204" s="55"/>
      <c r="Z204" s="55"/>
      <c r="AA204" s="55"/>
      <c r="AB204" s="55"/>
      <c r="AC204" s="55"/>
      <c r="AD204" s="55"/>
      <c r="AE204" s="55"/>
      <c r="AF204" s="55"/>
      <c r="AG204" s="55"/>
      <c r="AH204" s="55"/>
      <c r="AI204" s="55"/>
      <c r="AJ204" s="55"/>
      <c r="AK204" s="55"/>
      <c r="AL204" s="55"/>
      <c r="AM204" s="55"/>
      <c r="AN204" s="55"/>
      <c r="AO204" s="55"/>
      <c r="AP204" s="55"/>
      <c r="AQ204" s="55"/>
      <c r="AR204" s="55"/>
      <c r="AS204" s="55"/>
      <c r="AT204" s="55"/>
      <c r="AU204" s="55"/>
      <c r="AV204" s="55"/>
      <c r="AW204" s="55"/>
      <c r="AX204" s="55"/>
      <c r="AY204" s="55"/>
      <c r="AZ204" s="55"/>
      <c r="BA204" s="55"/>
      <c r="BB204" s="55"/>
      <c r="BC204" s="55"/>
      <c r="BD204" s="55"/>
      <c r="BE204" s="55"/>
      <c r="BF204" s="55"/>
      <c r="BG204" s="55"/>
      <c r="BH204" s="55"/>
      <c r="BI204" s="55"/>
      <c r="BJ204" s="55"/>
      <c r="BK204" s="55"/>
      <c r="BL204" s="55"/>
      <c r="BM204" s="55"/>
      <c r="BN204" s="55"/>
      <c r="BO204" s="55"/>
      <c r="BP204" s="55"/>
      <c r="BQ204" s="55"/>
      <c r="BR204" s="55"/>
      <c r="BS204" s="55"/>
    </row>
    <row r="205" spans="1:71" outlineLevel="1" x14ac:dyDescent="0.2">
      <c r="C205" s="11" t="s">
        <v>66</v>
      </c>
      <c r="J205" s="26"/>
      <c r="L205" s="55"/>
      <c r="M205" s="55"/>
      <c r="N205" s="55"/>
      <c r="O205" s="55"/>
      <c r="P205" s="55"/>
      <c r="Q205" s="55"/>
      <c r="R205" s="55"/>
      <c r="S205" s="55"/>
      <c r="T205" s="55"/>
      <c r="U205" s="55"/>
      <c r="V205" s="55"/>
      <c r="W205" s="55"/>
      <c r="X205" s="55"/>
      <c r="Y205" s="55"/>
      <c r="Z205" s="55"/>
      <c r="AA205" s="55"/>
      <c r="AB205" s="55"/>
      <c r="AC205" s="55"/>
      <c r="AD205" s="55"/>
      <c r="AE205" s="55"/>
      <c r="AF205" s="55"/>
      <c r="AG205" s="55"/>
      <c r="AH205" s="55"/>
      <c r="AI205" s="55"/>
      <c r="AJ205" s="55"/>
      <c r="AK205" s="55"/>
      <c r="AL205" s="55"/>
      <c r="AM205" s="55"/>
      <c r="AN205" s="55"/>
      <c r="AO205" s="55"/>
      <c r="AP205" s="55"/>
      <c r="AQ205" s="55"/>
      <c r="AR205" s="55"/>
      <c r="AS205" s="55"/>
      <c r="AT205" s="55"/>
      <c r="AU205" s="55"/>
      <c r="AV205" s="55"/>
      <c r="AW205" s="55"/>
      <c r="AX205" s="55"/>
      <c r="AY205" s="55"/>
      <c r="AZ205" s="55"/>
      <c r="BA205" s="55"/>
      <c r="BB205" s="55"/>
      <c r="BC205" s="55"/>
      <c r="BD205" s="55"/>
      <c r="BE205" s="55"/>
      <c r="BF205" s="55"/>
      <c r="BG205" s="55"/>
      <c r="BH205" s="55"/>
      <c r="BI205" s="55"/>
      <c r="BJ205" s="55"/>
      <c r="BK205" s="55"/>
      <c r="BL205" s="55"/>
      <c r="BM205" s="55"/>
      <c r="BN205" s="55"/>
      <c r="BO205" s="55"/>
      <c r="BP205" s="55"/>
      <c r="BQ205" s="55"/>
      <c r="BR205" s="55"/>
      <c r="BS205" s="55"/>
    </row>
    <row r="206" spans="1:71" outlineLevel="1" x14ac:dyDescent="0.2">
      <c r="D206" t="s">
        <v>67</v>
      </c>
      <c r="I206" s="30">
        <f ca="1">SUM($L206:$BS206)</f>
        <v>54.738039330218619</v>
      </c>
      <c r="J206" s="26" t="s">
        <v>148</v>
      </c>
      <c r="K206" s="7" t="s">
        <v>174</v>
      </c>
      <c r="L206" s="49" cm="1">
        <f t="array" aca="1" ref="L206:BS206" ca="1">Marine!CA_gross_rev_total_fp*Marine!fees_PID_perc</f>
        <v>0</v>
      </c>
      <c r="M206" s="49">
        <f ca="1"/>
        <v>9.3983153338229292E-2</v>
      </c>
      <c r="N206" s="49">
        <f ca="1"/>
        <v>1.2988763022073142</v>
      </c>
      <c r="O206" s="49">
        <f ca="1"/>
        <v>2.0200156729356959</v>
      </c>
      <c r="P206" s="49">
        <f ca="1"/>
        <v>3.6579991053168932</v>
      </c>
      <c r="Q206" s="49">
        <f ca="1"/>
        <v>7.3818786721860512</v>
      </c>
      <c r="R206" s="49">
        <f ca="1"/>
        <v>6.1767754350043571</v>
      </c>
      <c r="S206" s="49">
        <f ca="1"/>
        <v>4.469763935833333</v>
      </c>
      <c r="T206" s="49">
        <f ca="1"/>
        <v>6.250310076202318</v>
      </c>
      <c r="U206" s="49">
        <f ca="1"/>
        <v>6.2406079597930679</v>
      </c>
      <c r="V206" s="49">
        <f ca="1"/>
        <v>5.9690158780260418</v>
      </c>
      <c r="W206" s="49">
        <f ca="1"/>
        <v>5.7116920415051196</v>
      </c>
      <c r="X206" s="49">
        <f ca="1"/>
        <v>5.4671210978702005</v>
      </c>
      <c r="Y206" s="49">
        <f ca="1"/>
        <v>0</v>
      </c>
      <c r="Z206" s="49">
        <f ca="1"/>
        <v>0</v>
      </c>
      <c r="AA206" s="49">
        <f ca="1"/>
        <v>0</v>
      </c>
      <c r="AB206" s="49">
        <f ca="1"/>
        <v>0</v>
      </c>
      <c r="AC206" s="49">
        <f ca="1"/>
        <v>0</v>
      </c>
      <c r="AD206" s="49">
        <f ca="1"/>
        <v>0</v>
      </c>
      <c r="AE206" s="49">
        <f ca="1"/>
        <v>0</v>
      </c>
      <c r="AF206" s="49">
        <f ca="1"/>
        <v>0</v>
      </c>
      <c r="AG206" s="49">
        <f ca="1"/>
        <v>0</v>
      </c>
      <c r="AH206" s="49">
        <f ca="1"/>
        <v>0</v>
      </c>
      <c r="AI206" s="49">
        <f ca="1"/>
        <v>0</v>
      </c>
      <c r="AJ206" s="49">
        <f ca="1"/>
        <v>0</v>
      </c>
      <c r="AK206" s="49">
        <f ca="1"/>
        <v>0</v>
      </c>
      <c r="AL206" s="49">
        <f ca="1"/>
        <v>0</v>
      </c>
      <c r="AM206" s="49">
        <f ca="1"/>
        <v>0</v>
      </c>
      <c r="AN206" s="49">
        <f ca="1"/>
        <v>0</v>
      </c>
      <c r="AO206" s="49">
        <f ca="1"/>
        <v>0</v>
      </c>
      <c r="AP206" s="49">
        <f ca="1"/>
        <v>0</v>
      </c>
      <c r="AQ206" s="49">
        <f ca="1"/>
        <v>0</v>
      </c>
      <c r="AR206" s="49">
        <f ca="1"/>
        <v>0</v>
      </c>
      <c r="AS206" s="49">
        <f ca="1"/>
        <v>0</v>
      </c>
      <c r="AT206" s="49">
        <f ca="1"/>
        <v>0</v>
      </c>
      <c r="AU206" s="49">
        <f ca="1"/>
        <v>0</v>
      </c>
      <c r="AV206" s="49">
        <f ca="1"/>
        <v>0</v>
      </c>
      <c r="AW206" s="49">
        <f ca="1"/>
        <v>0</v>
      </c>
      <c r="AX206" s="49">
        <f ca="1"/>
        <v>0</v>
      </c>
      <c r="AY206" s="49">
        <f ca="1"/>
        <v>0</v>
      </c>
      <c r="AZ206" s="49">
        <f ca="1"/>
        <v>0</v>
      </c>
      <c r="BA206" s="49">
        <f ca="1"/>
        <v>0</v>
      </c>
      <c r="BB206" s="49">
        <f ca="1"/>
        <v>0</v>
      </c>
      <c r="BC206" s="49">
        <f ca="1"/>
        <v>0</v>
      </c>
      <c r="BD206" s="49">
        <f ca="1"/>
        <v>0</v>
      </c>
      <c r="BE206" s="49">
        <f ca="1"/>
        <v>0</v>
      </c>
      <c r="BF206" s="49">
        <f ca="1"/>
        <v>0</v>
      </c>
      <c r="BG206" s="49">
        <f ca="1"/>
        <v>0</v>
      </c>
      <c r="BH206" s="49">
        <f ca="1"/>
        <v>0</v>
      </c>
      <c r="BI206" s="49">
        <f ca="1"/>
        <v>0</v>
      </c>
      <c r="BJ206" s="49">
        <f ca="1"/>
        <v>0</v>
      </c>
      <c r="BK206" s="49">
        <f ca="1"/>
        <v>0</v>
      </c>
      <c r="BL206" s="49">
        <f ca="1"/>
        <v>0</v>
      </c>
      <c r="BM206" s="49">
        <f ca="1"/>
        <v>0</v>
      </c>
      <c r="BN206" s="49">
        <f ca="1"/>
        <v>0</v>
      </c>
      <c r="BO206" s="49">
        <f ca="1"/>
        <v>0</v>
      </c>
      <c r="BP206" s="49">
        <f ca="1"/>
        <v>0</v>
      </c>
      <c r="BQ206" s="49">
        <f ca="1"/>
        <v>0</v>
      </c>
      <c r="BR206" s="49">
        <f ca="1"/>
        <v>0</v>
      </c>
      <c r="BS206" s="49">
        <f ca="1"/>
        <v>0</v>
      </c>
    </row>
    <row r="207" spans="1:71" outlineLevel="1" x14ac:dyDescent="0.2">
      <c r="J207" s="26"/>
      <c r="L207" s="55"/>
      <c r="M207" s="55"/>
      <c r="N207" s="55"/>
      <c r="O207" s="55"/>
      <c r="P207" s="55"/>
      <c r="Q207" s="55"/>
      <c r="R207" s="55"/>
      <c r="S207" s="55"/>
      <c r="T207" s="55"/>
      <c r="U207" s="55"/>
      <c r="V207" s="55"/>
      <c r="W207" s="55"/>
      <c r="X207" s="55"/>
      <c r="Y207" s="55"/>
      <c r="Z207" s="55"/>
      <c r="AA207" s="55"/>
      <c r="AB207" s="55"/>
      <c r="AC207" s="55"/>
      <c r="AD207" s="55"/>
      <c r="AE207" s="55"/>
      <c r="AF207" s="55"/>
      <c r="AG207" s="55"/>
      <c r="AH207" s="55"/>
      <c r="AI207" s="55"/>
      <c r="AJ207" s="55"/>
      <c r="AK207" s="55"/>
      <c r="AL207" s="55"/>
      <c r="AM207" s="55"/>
      <c r="AN207" s="55"/>
      <c r="AO207" s="55"/>
      <c r="AP207" s="55"/>
      <c r="AQ207" s="55"/>
      <c r="AR207" s="55"/>
      <c r="AS207" s="55"/>
      <c r="AT207" s="55"/>
      <c r="AU207" s="55"/>
      <c r="AV207" s="55"/>
      <c r="AW207" s="55"/>
      <c r="AX207" s="55"/>
      <c r="AY207" s="55"/>
      <c r="AZ207" s="55"/>
      <c r="BA207" s="55"/>
      <c r="BB207" s="55"/>
      <c r="BC207" s="55"/>
      <c r="BD207" s="55"/>
      <c r="BE207" s="55"/>
      <c r="BF207" s="55"/>
      <c r="BG207" s="55"/>
      <c r="BH207" s="55"/>
      <c r="BI207" s="55"/>
      <c r="BJ207" s="55"/>
      <c r="BK207" s="55"/>
      <c r="BL207" s="55"/>
      <c r="BM207" s="55"/>
      <c r="BN207" s="55"/>
      <c r="BO207" s="55"/>
      <c r="BP207" s="55"/>
      <c r="BQ207" s="55"/>
      <c r="BR207" s="55"/>
      <c r="BS207" s="55"/>
    </row>
    <row r="208" spans="1:71" outlineLevel="1" x14ac:dyDescent="0.2">
      <c r="C208" s="11" t="s">
        <v>69</v>
      </c>
      <c r="J208" s="26"/>
      <c r="L208" s="55"/>
      <c r="M208" s="55"/>
      <c r="N208" s="55"/>
      <c r="O208" s="55"/>
      <c r="P208" s="55"/>
      <c r="Q208" s="55"/>
      <c r="R208" s="55"/>
      <c r="S208" s="55"/>
      <c r="T208" s="55"/>
      <c r="U208" s="55"/>
      <c r="V208" s="55"/>
      <c r="W208" s="55"/>
      <c r="X208" s="55"/>
      <c r="Y208" s="55"/>
      <c r="Z208" s="55"/>
      <c r="AA208" s="55"/>
      <c r="AB208" s="55"/>
      <c r="AC208" s="55"/>
      <c r="AD208" s="55"/>
      <c r="AE208" s="55"/>
      <c r="AF208" s="55"/>
      <c r="AG208" s="55"/>
      <c r="AH208" s="55"/>
      <c r="AI208" s="55"/>
      <c r="AJ208" s="55"/>
      <c r="AK208" s="55"/>
      <c r="AL208" s="55"/>
      <c r="AM208" s="55"/>
      <c r="AN208" s="55"/>
      <c r="AO208" s="55"/>
      <c r="AP208" s="55"/>
      <c r="AQ208" s="55"/>
      <c r="AR208" s="55"/>
      <c r="AS208" s="55"/>
      <c r="AT208" s="55"/>
      <c r="AU208" s="55"/>
      <c r="AV208" s="55"/>
      <c r="AW208" s="55"/>
      <c r="AX208" s="55"/>
      <c r="AY208" s="55"/>
      <c r="AZ208" s="55"/>
      <c r="BA208" s="55"/>
      <c r="BB208" s="55"/>
      <c r="BC208" s="55"/>
      <c r="BD208" s="55"/>
      <c r="BE208" s="55"/>
      <c r="BF208" s="55"/>
      <c r="BG208" s="55"/>
      <c r="BH208" s="55"/>
      <c r="BI208" s="55"/>
      <c r="BJ208" s="55"/>
      <c r="BK208" s="55"/>
      <c r="BL208" s="55"/>
      <c r="BM208" s="55"/>
      <c r="BN208" s="55"/>
      <c r="BO208" s="55"/>
      <c r="BP208" s="55"/>
      <c r="BQ208" s="55"/>
      <c r="BR208" s="55"/>
      <c r="BS208" s="55"/>
    </row>
    <row r="209" spans="3:71" outlineLevel="1" x14ac:dyDescent="0.2">
      <c r="D209" t="s">
        <v>175</v>
      </c>
      <c r="I209" s="30">
        <f ca="1">SUM($L209:$BS209)</f>
        <v>693.91849664474012</v>
      </c>
      <c r="J209" s="26" t="s">
        <v>148</v>
      </c>
      <c r="K209" s="7" t="s">
        <v>177</v>
      </c>
      <c r="L209" s="49">
        <f ca="1">_xlfn.SINGLE(Marine!CA_gross_rev_oil_fp)*_xlfn.SINGLE(Marine!royalty_rate_oil)</f>
        <v>0</v>
      </c>
      <c r="M209" s="49">
        <f ca="1">_xlfn.SINGLE(Marine!CA_gross_rev_oil_fp)*_xlfn.SINGLE(Marine!royalty_rate_oil)</f>
        <v>3.6373733305303697E-2</v>
      </c>
      <c r="N209" s="49">
        <f ca="1">_xlfn.SINGLE(Marine!CA_gross_rev_oil_fp)*_xlfn.SINGLE(Marine!royalty_rate_oil)</f>
        <v>12.53261089845911</v>
      </c>
      <c r="O209" s="49">
        <f ca="1">_xlfn.SINGLE(Marine!CA_gross_rev_oil_fp)*_xlfn.SINGLE(Marine!royalty_rate_oil)</f>
        <v>19.391192757377592</v>
      </c>
      <c r="P209" s="49">
        <f ca="1">_xlfn.SINGLE(Marine!CA_gross_rev_oil_fp)*_xlfn.SINGLE(Marine!royalty_rate_oil)</f>
        <v>44.811101842772423</v>
      </c>
      <c r="Q209" s="49">
        <f ca="1">_xlfn.SINGLE(Marine!CA_gross_rev_oil_fp)*_xlfn.SINGLE(Marine!royalty_rate_oil)</f>
        <v>99.693493803981923</v>
      </c>
      <c r="R209" s="49">
        <f ca="1">_xlfn.SINGLE(Marine!CA_gross_rev_oil_fp)*_xlfn.SINGLE(Marine!royalty_rate_oil)</f>
        <v>92.651620269685338</v>
      </c>
      <c r="S209" s="49">
        <f ca="1">_xlfn.SINGLE(Marine!CA_gross_rev_oil_fp)*_xlfn.SINGLE(Marine!royalty_rate_oil)</f>
        <v>52.548719037499993</v>
      </c>
      <c r="T209" s="49">
        <f ca="1">_xlfn.SINGLE(Marine!CA_gross_rev_oil_fp)*_xlfn.SINGLE(Marine!royalty_rate_oil)</f>
        <v>79.277843080799983</v>
      </c>
      <c r="U209" s="49">
        <f ca="1">_xlfn.SINGLE(Marine!CA_gross_rev_oil_fp)*_xlfn.SINGLE(Marine!royalty_rate_oil)</f>
        <v>79.139115436499992</v>
      </c>
      <c r="V209" s="49">
        <f ca="1">_xlfn.SINGLE(Marine!CA_gross_rev_oil_fp)*_xlfn.SINGLE(Marine!royalty_rate_oil)</f>
        <v>75.071364903063881</v>
      </c>
      <c r="W209" s="49">
        <f ca="1">_xlfn.SINGLE(Marine!CA_gross_rev_oil_fp)*_xlfn.SINGLE(Marine!royalty_rate_oil)</f>
        <v>71.21269674704638</v>
      </c>
      <c r="X209" s="49">
        <f ca="1">_xlfn.SINGLE(Marine!CA_gross_rev_oil_fp)*_xlfn.SINGLE(Marine!royalty_rate_oil)</f>
        <v>67.552364134248194</v>
      </c>
      <c r="Y209" s="49">
        <f ca="1">_xlfn.SINGLE(Marine!CA_gross_rev_oil_fp)*_xlfn.SINGLE(Marine!royalty_rate_oil)</f>
        <v>0</v>
      </c>
      <c r="Z209" s="49">
        <f ca="1">_xlfn.SINGLE(Marine!CA_gross_rev_oil_fp)*_xlfn.SINGLE(Marine!royalty_rate_oil)</f>
        <v>0</v>
      </c>
      <c r="AA209" s="49">
        <f ca="1">_xlfn.SINGLE(Marine!CA_gross_rev_oil_fp)*_xlfn.SINGLE(Marine!royalty_rate_oil)</f>
        <v>0</v>
      </c>
      <c r="AB209" s="49">
        <f ca="1">_xlfn.SINGLE(Marine!CA_gross_rev_oil_fp)*_xlfn.SINGLE(Marine!royalty_rate_oil)</f>
        <v>0</v>
      </c>
      <c r="AC209" s="49">
        <f ca="1">_xlfn.SINGLE(Marine!CA_gross_rev_oil_fp)*_xlfn.SINGLE(Marine!royalty_rate_oil)</f>
        <v>0</v>
      </c>
      <c r="AD209" s="49">
        <f ca="1">_xlfn.SINGLE(Marine!CA_gross_rev_oil_fp)*_xlfn.SINGLE(Marine!royalty_rate_oil)</f>
        <v>0</v>
      </c>
      <c r="AE209" s="49">
        <f ca="1">_xlfn.SINGLE(Marine!CA_gross_rev_oil_fp)*_xlfn.SINGLE(Marine!royalty_rate_oil)</f>
        <v>0</v>
      </c>
      <c r="AF209" s="49">
        <f ca="1">_xlfn.SINGLE(Marine!CA_gross_rev_oil_fp)*_xlfn.SINGLE(Marine!royalty_rate_oil)</f>
        <v>0</v>
      </c>
      <c r="AG209" s="49">
        <f ca="1">_xlfn.SINGLE(Marine!CA_gross_rev_oil_fp)*_xlfn.SINGLE(Marine!royalty_rate_oil)</f>
        <v>0</v>
      </c>
      <c r="AH209" s="49">
        <f ca="1">_xlfn.SINGLE(Marine!CA_gross_rev_oil_fp)*_xlfn.SINGLE(Marine!royalty_rate_oil)</f>
        <v>0</v>
      </c>
      <c r="AI209" s="49">
        <f ca="1">_xlfn.SINGLE(Marine!CA_gross_rev_oil_fp)*_xlfn.SINGLE(Marine!royalty_rate_oil)</f>
        <v>0</v>
      </c>
      <c r="AJ209" s="49">
        <f ca="1">_xlfn.SINGLE(Marine!CA_gross_rev_oil_fp)*_xlfn.SINGLE(Marine!royalty_rate_oil)</f>
        <v>0</v>
      </c>
      <c r="AK209" s="49">
        <f ca="1">_xlfn.SINGLE(Marine!CA_gross_rev_oil_fp)*_xlfn.SINGLE(Marine!royalty_rate_oil)</f>
        <v>0</v>
      </c>
      <c r="AL209" s="49">
        <f ca="1">_xlfn.SINGLE(Marine!CA_gross_rev_oil_fp)*_xlfn.SINGLE(Marine!royalty_rate_oil)</f>
        <v>0</v>
      </c>
      <c r="AM209" s="49">
        <f ca="1">_xlfn.SINGLE(Marine!CA_gross_rev_oil_fp)*_xlfn.SINGLE(Marine!royalty_rate_oil)</f>
        <v>0</v>
      </c>
      <c r="AN209" s="49">
        <f ca="1">_xlfn.SINGLE(Marine!CA_gross_rev_oil_fp)*_xlfn.SINGLE(Marine!royalty_rate_oil)</f>
        <v>0</v>
      </c>
      <c r="AO209" s="49">
        <f ca="1">_xlfn.SINGLE(Marine!CA_gross_rev_oil_fp)*_xlfn.SINGLE(Marine!royalty_rate_oil)</f>
        <v>0</v>
      </c>
      <c r="AP209" s="49">
        <f ca="1">_xlfn.SINGLE(Marine!CA_gross_rev_oil_fp)*_xlfn.SINGLE(Marine!royalty_rate_oil)</f>
        <v>0</v>
      </c>
      <c r="AQ209" s="49">
        <f ca="1">_xlfn.SINGLE(Marine!CA_gross_rev_oil_fp)*_xlfn.SINGLE(Marine!royalty_rate_oil)</f>
        <v>0</v>
      </c>
      <c r="AR209" s="49">
        <f ca="1">_xlfn.SINGLE(Marine!CA_gross_rev_oil_fp)*_xlfn.SINGLE(Marine!royalty_rate_oil)</f>
        <v>0</v>
      </c>
      <c r="AS209" s="49">
        <f ca="1">_xlfn.SINGLE(Marine!CA_gross_rev_oil_fp)*_xlfn.SINGLE(Marine!royalty_rate_oil)</f>
        <v>0</v>
      </c>
      <c r="AT209" s="49">
        <f ca="1">_xlfn.SINGLE(Marine!CA_gross_rev_oil_fp)*_xlfn.SINGLE(Marine!royalty_rate_oil)</f>
        <v>0</v>
      </c>
      <c r="AU209" s="49">
        <f ca="1">_xlfn.SINGLE(Marine!CA_gross_rev_oil_fp)*_xlfn.SINGLE(Marine!royalty_rate_oil)</f>
        <v>0</v>
      </c>
      <c r="AV209" s="49">
        <f ca="1">_xlfn.SINGLE(Marine!CA_gross_rev_oil_fp)*_xlfn.SINGLE(Marine!royalty_rate_oil)</f>
        <v>0</v>
      </c>
      <c r="AW209" s="49">
        <f ca="1">_xlfn.SINGLE(Marine!CA_gross_rev_oil_fp)*_xlfn.SINGLE(Marine!royalty_rate_oil)</f>
        <v>0</v>
      </c>
      <c r="AX209" s="49">
        <f ca="1">_xlfn.SINGLE(Marine!CA_gross_rev_oil_fp)*_xlfn.SINGLE(Marine!royalty_rate_oil)</f>
        <v>0</v>
      </c>
      <c r="AY209" s="49">
        <f ca="1">_xlfn.SINGLE(Marine!CA_gross_rev_oil_fp)*_xlfn.SINGLE(Marine!royalty_rate_oil)</f>
        <v>0</v>
      </c>
      <c r="AZ209" s="49">
        <f ca="1">_xlfn.SINGLE(Marine!CA_gross_rev_oil_fp)*_xlfn.SINGLE(Marine!royalty_rate_oil)</f>
        <v>0</v>
      </c>
      <c r="BA209" s="49">
        <f ca="1">_xlfn.SINGLE(Marine!CA_gross_rev_oil_fp)*_xlfn.SINGLE(Marine!royalty_rate_oil)</f>
        <v>0</v>
      </c>
      <c r="BB209" s="49">
        <f ca="1">_xlfn.SINGLE(Marine!CA_gross_rev_oil_fp)*_xlfn.SINGLE(Marine!royalty_rate_oil)</f>
        <v>0</v>
      </c>
      <c r="BC209" s="49">
        <f ca="1">_xlfn.SINGLE(Marine!CA_gross_rev_oil_fp)*_xlfn.SINGLE(Marine!royalty_rate_oil)</f>
        <v>0</v>
      </c>
      <c r="BD209" s="49">
        <f ca="1">_xlfn.SINGLE(Marine!CA_gross_rev_oil_fp)*_xlfn.SINGLE(Marine!royalty_rate_oil)</f>
        <v>0</v>
      </c>
      <c r="BE209" s="49">
        <f ca="1">_xlfn.SINGLE(Marine!CA_gross_rev_oil_fp)*_xlfn.SINGLE(Marine!royalty_rate_oil)</f>
        <v>0</v>
      </c>
      <c r="BF209" s="49">
        <f ca="1">_xlfn.SINGLE(Marine!CA_gross_rev_oil_fp)*_xlfn.SINGLE(Marine!royalty_rate_oil)</f>
        <v>0</v>
      </c>
      <c r="BG209" s="49">
        <f ca="1">_xlfn.SINGLE(Marine!CA_gross_rev_oil_fp)*_xlfn.SINGLE(Marine!royalty_rate_oil)</f>
        <v>0</v>
      </c>
      <c r="BH209" s="49">
        <f ca="1">_xlfn.SINGLE(Marine!CA_gross_rev_oil_fp)*_xlfn.SINGLE(Marine!royalty_rate_oil)</f>
        <v>0</v>
      </c>
      <c r="BI209" s="49">
        <f ca="1">_xlfn.SINGLE(Marine!CA_gross_rev_oil_fp)*_xlfn.SINGLE(Marine!royalty_rate_oil)</f>
        <v>0</v>
      </c>
      <c r="BJ209" s="49">
        <f ca="1">_xlfn.SINGLE(Marine!CA_gross_rev_oil_fp)*_xlfn.SINGLE(Marine!royalty_rate_oil)</f>
        <v>0</v>
      </c>
      <c r="BK209" s="49">
        <f ca="1">_xlfn.SINGLE(Marine!CA_gross_rev_oil_fp)*_xlfn.SINGLE(Marine!royalty_rate_oil)</f>
        <v>0</v>
      </c>
      <c r="BL209" s="49">
        <f ca="1">_xlfn.SINGLE(Marine!CA_gross_rev_oil_fp)*_xlfn.SINGLE(Marine!royalty_rate_oil)</f>
        <v>0</v>
      </c>
      <c r="BM209" s="49">
        <f ca="1">_xlfn.SINGLE(Marine!CA_gross_rev_oil_fp)*_xlfn.SINGLE(Marine!royalty_rate_oil)</f>
        <v>0</v>
      </c>
      <c r="BN209" s="49">
        <f ca="1">_xlfn.SINGLE(Marine!CA_gross_rev_oil_fp)*_xlfn.SINGLE(Marine!royalty_rate_oil)</f>
        <v>0</v>
      </c>
      <c r="BO209" s="49">
        <f ca="1">_xlfn.SINGLE(Marine!CA_gross_rev_oil_fp)*_xlfn.SINGLE(Marine!royalty_rate_oil)</f>
        <v>0</v>
      </c>
      <c r="BP209" s="49">
        <f ca="1">_xlfn.SINGLE(Marine!CA_gross_rev_oil_fp)*_xlfn.SINGLE(Marine!royalty_rate_oil)</f>
        <v>0</v>
      </c>
      <c r="BQ209" s="49">
        <f ca="1">_xlfn.SINGLE(Marine!CA_gross_rev_oil_fp)*_xlfn.SINGLE(Marine!royalty_rate_oil)</f>
        <v>0</v>
      </c>
      <c r="BR209" s="49">
        <f ca="1">_xlfn.SINGLE(Marine!CA_gross_rev_oil_fp)*_xlfn.SINGLE(Marine!royalty_rate_oil)</f>
        <v>0</v>
      </c>
      <c r="BS209" s="49">
        <f ca="1">_xlfn.SINGLE(Marine!CA_gross_rev_oil_fp)*_xlfn.SINGLE(Marine!royalty_rate_oil)</f>
        <v>0</v>
      </c>
    </row>
    <row r="210" spans="3:71" outlineLevel="1" x14ac:dyDescent="0.2">
      <c r="D210" t="s">
        <v>176</v>
      </c>
      <c r="I210" s="30">
        <f ca="1">SUM($L210:$BS210)</f>
        <v>101.72167464683132</v>
      </c>
      <c r="J210" s="26" t="s">
        <v>148</v>
      </c>
      <c r="K210" s="7" t="s">
        <v>178</v>
      </c>
      <c r="L210" s="49">
        <f ca="1">Marine!CA_gross_rev_gas_fp*Marine!royalty_rate_gas</f>
        <v>0</v>
      </c>
      <c r="M210" s="49">
        <f ca="1">Marine!CA_gross_rev_gas_fp*Marine!royalty_rate_gas</f>
        <v>1.0986988534145086</v>
      </c>
      <c r="N210" s="49">
        <f ca="1">Marine!CA_gross_rev_gas_fp*Marine!royalty_rate_gas</f>
        <v>5.5604269077204806</v>
      </c>
      <c r="O210" s="49">
        <f ca="1">Marine!CA_gross_rev_gas_fp*Marine!royalty_rate_gas</f>
        <v>8.7272338693262785</v>
      </c>
      <c r="P210" s="49">
        <f ca="1">Marine!CA_gross_rev_gas_fp*Marine!royalty_rate_gas</f>
        <v>8.0471077895847731</v>
      </c>
      <c r="Q210" s="49">
        <f ca="1">Marine!CA_gross_rev_gas_fp*Marine!royalty_rate_gas</f>
        <v>8.8277490230470601</v>
      </c>
      <c r="R210" s="49">
        <f ca="1">Marine!CA_gross_rev_gas_fp*Marine!royalty_rate_gas</f>
        <v>9.004304003508001E-6</v>
      </c>
      <c r="S210" s="49">
        <f ca="1">Marine!CA_gross_rev_gas_fp*Marine!royalty_rate_gas</f>
        <v>11.598191999999999</v>
      </c>
      <c r="T210" s="49">
        <f ca="1">Marine!CA_gross_rev_gas_fp*Marine!royalty_rate_gas</f>
        <v>11.581446449787835</v>
      </c>
      <c r="U210" s="49">
        <f ca="1">Marine!CA_gross_rev_gas_fp*Marine!royalty_rate_gas</f>
        <v>11.576003168316833</v>
      </c>
      <c r="V210" s="49">
        <f ca="1">Marine!CA_gross_rev_gas_fp*Marine!royalty_rate_gas</f>
        <v>11.571098613861386</v>
      </c>
      <c r="W210" s="49">
        <f ca="1">Marine!CA_gross_rev_gas_fp*Marine!royalty_rate_gas</f>
        <v>11.570147100424329</v>
      </c>
      <c r="X210" s="49">
        <f ca="1">Marine!CA_gross_rev_gas_fp*Marine!royalty_rate_gas</f>
        <v>11.563561867043848</v>
      </c>
      <c r="Y210" s="49">
        <f ca="1">Marine!CA_gross_rev_gas_fp*Marine!royalty_rate_gas</f>
        <v>0</v>
      </c>
      <c r="Z210" s="49">
        <f ca="1">Marine!CA_gross_rev_gas_fp*Marine!royalty_rate_gas</f>
        <v>0</v>
      </c>
      <c r="AA210" s="49">
        <f ca="1">Marine!CA_gross_rev_gas_fp*Marine!royalty_rate_gas</f>
        <v>0</v>
      </c>
      <c r="AB210" s="49">
        <f ca="1">Marine!CA_gross_rev_gas_fp*Marine!royalty_rate_gas</f>
        <v>0</v>
      </c>
      <c r="AC210" s="49">
        <f ca="1">Marine!CA_gross_rev_gas_fp*Marine!royalty_rate_gas</f>
        <v>0</v>
      </c>
      <c r="AD210" s="49">
        <f ca="1">Marine!CA_gross_rev_gas_fp*Marine!royalty_rate_gas</f>
        <v>0</v>
      </c>
      <c r="AE210" s="49">
        <f ca="1">Marine!CA_gross_rev_gas_fp*Marine!royalty_rate_gas</f>
        <v>0</v>
      </c>
      <c r="AF210" s="49">
        <f ca="1">Marine!CA_gross_rev_gas_fp*Marine!royalty_rate_gas</f>
        <v>0</v>
      </c>
      <c r="AG210" s="49">
        <f ca="1">Marine!CA_gross_rev_gas_fp*Marine!royalty_rate_gas</f>
        <v>0</v>
      </c>
      <c r="AH210" s="49">
        <f ca="1">Marine!CA_gross_rev_gas_fp*Marine!royalty_rate_gas</f>
        <v>0</v>
      </c>
      <c r="AI210" s="49">
        <f ca="1">Marine!CA_gross_rev_gas_fp*Marine!royalty_rate_gas</f>
        <v>0</v>
      </c>
      <c r="AJ210" s="49">
        <f ca="1">Marine!CA_gross_rev_gas_fp*Marine!royalty_rate_gas</f>
        <v>0</v>
      </c>
      <c r="AK210" s="49">
        <f ca="1">Marine!CA_gross_rev_gas_fp*Marine!royalty_rate_gas</f>
        <v>0</v>
      </c>
      <c r="AL210" s="49">
        <f ca="1">Marine!CA_gross_rev_gas_fp*Marine!royalty_rate_gas</f>
        <v>0</v>
      </c>
      <c r="AM210" s="49">
        <f ca="1">Marine!CA_gross_rev_gas_fp*Marine!royalty_rate_gas</f>
        <v>0</v>
      </c>
      <c r="AN210" s="49">
        <f ca="1">Marine!CA_gross_rev_gas_fp*Marine!royalty_rate_gas</f>
        <v>0</v>
      </c>
      <c r="AO210" s="49">
        <f ca="1">Marine!CA_gross_rev_gas_fp*Marine!royalty_rate_gas</f>
        <v>0</v>
      </c>
      <c r="AP210" s="49">
        <f ca="1">Marine!CA_gross_rev_gas_fp*Marine!royalty_rate_gas</f>
        <v>0</v>
      </c>
      <c r="AQ210" s="49">
        <f ca="1">Marine!CA_gross_rev_gas_fp*Marine!royalty_rate_gas</f>
        <v>0</v>
      </c>
      <c r="AR210" s="49">
        <f ca="1">Marine!CA_gross_rev_gas_fp*Marine!royalty_rate_gas</f>
        <v>0</v>
      </c>
      <c r="AS210" s="49">
        <f ca="1">Marine!CA_gross_rev_gas_fp*Marine!royalty_rate_gas</f>
        <v>0</v>
      </c>
      <c r="AT210" s="49">
        <f ca="1">Marine!CA_gross_rev_gas_fp*Marine!royalty_rate_gas</f>
        <v>0</v>
      </c>
      <c r="AU210" s="49">
        <f ca="1">Marine!CA_gross_rev_gas_fp*Marine!royalty_rate_gas</f>
        <v>0</v>
      </c>
      <c r="AV210" s="49">
        <f ca="1">Marine!CA_gross_rev_gas_fp*Marine!royalty_rate_gas</f>
        <v>0</v>
      </c>
      <c r="AW210" s="49">
        <f ca="1">Marine!CA_gross_rev_gas_fp*Marine!royalty_rate_gas</f>
        <v>0</v>
      </c>
      <c r="AX210" s="49">
        <f ca="1">Marine!CA_gross_rev_gas_fp*Marine!royalty_rate_gas</f>
        <v>0</v>
      </c>
      <c r="AY210" s="49">
        <f ca="1">Marine!CA_gross_rev_gas_fp*Marine!royalty_rate_gas</f>
        <v>0</v>
      </c>
      <c r="AZ210" s="49">
        <f ca="1">Marine!CA_gross_rev_gas_fp*Marine!royalty_rate_gas</f>
        <v>0</v>
      </c>
      <c r="BA210" s="49">
        <f ca="1">Marine!CA_gross_rev_gas_fp*Marine!royalty_rate_gas</f>
        <v>0</v>
      </c>
      <c r="BB210" s="49">
        <f ca="1">Marine!CA_gross_rev_gas_fp*Marine!royalty_rate_gas</f>
        <v>0</v>
      </c>
      <c r="BC210" s="49">
        <f ca="1">Marine!CA_gross_rev_gas_fp*Marine!royalty_rate_gas</f>
        <v>0</v>
      </c>
      <c r="BD210" s="49">
        <f ca="1">Marine!CA_gross_rev_gas_fp*Marine!royalty_rate_gas</f>
        <v>0</v>
      </c>
      <c r="BE210" s="49">
        <f ca="1">Marine!CA_gross_rev_gas_fp*Marine!royalty_rate_gas</f>
        <v>0</v>
      </c>
      <c r="BF210" s="49">
        <f ca="1">Marine!CA_gross_rev_gas_fp*Marine!royalty_rate_gas</f>
        <v>0</v>
      </c>
      <c r="BG210" s="49">
        <f ca="1">Marine!CA_gross_rev_gas_fp*Marine!royalty_rate_gas</f>
        <v>0</v>
      </c>
      <c r="BH210" s="49">
        <f ca="1">Marine!CA_gross_rev_gas_fp*Marine!royalty_rate_gas</f>
        <v>0</v>
      </c>
      <c r="BI210" s="49">
        <f ca="1">Marine!CA_gross_rev_gas_fp*Marine!royalty_rate_gas</f>
        <v>0</v>
      </c>
      <c r="BJ210" s="49">
        <f ca="1">Marine!CA_gross_rev_gas_fp*Marine!royalty_rate_gas</f>
        <v>0</v>
      </c>
      <c r="BK210" s="49">
        <f ca="1">Marine!CA_gross_rev_gas_fp*Marine!royalty_rate_gas</f>
        <v>0</v>
      </c>
      <c r="BL210" s="49">
        <f ca="1">Marine!CA_gross_rev_gas_fp*Marine!royalty_rate_gas</f>
        <v>0</v>
      </c>
      <c r="BM210" s="49">
        <f ca="1">Marine!CA_gross_rev_gas_fp*Marine!royalty_rate_gas</f>
        <v>0</v>
      </c>
      <c r="BN210" s="49">
        <f ca="1">Marine!CA_gross_rev_gas_fp*Marine!royalty_rate_gas</f>
        <v>0</v>
      </c>
      <c r="BO210" s="49">
        <f ca="1">Marine!CA_gross_rev_gas_fp*Marine!royalty_rate_gas</f>
        <v>0</v>
      </c>
      <c r="BP210" s="49">
        <f ca="1">Marine!CA_gross_rev_gas_fp*Marine!royalty_rate_gas</f>
        <v>0</v>
      </c>
      <c r="BQ210" s="49">
        <f ca="1">Marine!CA_gross_rev_gas_fp*Marine!royalty_rate_gas</f>
        <v>0</v>
      </c>
      <c r="BR210" s="49">
        <f ca="1">Marine!CA_gross_rev_gas_fp*Marine!royalty_rate_gas</f>
        <v>0</v>
      </c>
      <c r="BS210" s="49">
        <f ca="1">Marine!CA_gross_rev_gas_fp*Marine!royalty_rate_gas</f>
        <v>0</v>
      </c>
    </row>
    <row r="211" spans="3:71" outlineLevel="1" x14ac:dyDescent="0.2">
      <c r="D211" t="s">
        <v>854</v>
      </c>
      <c r="I211" s="30">
        <f ca="1">SUM($L211:$BS211)</f>
        <v>3.3907224882277101</v>
      </c>
      <c r="J211" s="26" t="s">
        <v>148</v>
      </c>
      <c r="K211" s="7" t="s">
        <v>855</v>
      </c>
      <c r="L211" s="49">
        <f t="shared" ref="L211:AQ211" ca="1" si="48">CA_gross_rev_domestic_gas_fp*royalty_rate_gas_domestic</f>
        <v>0</v>
      </c>
      <c r="M211" s="49">
        <f t="shared" ca="1" si="48"/>
        <v>3.6623295113816935E-2</v>
      </c>
      <c r="N211" s="49">
        <f t="shared" ca="1" si="48"/>
        <v>0.18534756359068266</v>
      </c>
      <c r="O211" s="49">
        <f t="shared" ca="1" si="48"/>
        <v>0.29090779564420921</v>
      </c>
      <c r="P211" s="49">
        <f t="shared" ca="1" si="48"/>
        <v>0.26823692631949247</v>
      </c>
      <c r="Q211" s="49">
        <f t="shared" ca="1" si="48"/>
        <v>0.29425830076823517</v>
      </c>
      <c r="R211" s="49">
        <f t="shared" ca="1" si="48"/>
        <v>3.0014346678359999E-7</v>
      </c>
      <c r="S211" s="49">
        <f t="shared" ca="1" si="48"/>
        <v>0.38660639999999979</v>
      </c>
      <c r="T211" s="49">
        <f t="shared" ca="1" si="48"/>
        <v>0.38604821499292769</v>
      </c>
      <c r="U211" s="49">
        <f t="shared" ca="1" si="48"/>
        <v>0.38586677227722754</v>
      </c>
      <c r="V211" s="49">
        <f t="shared" ca="1" si="48"/>
        <v>0.38570328712871266</v>
      </c>
      <c r="W211" s="49">
        <f t="shared" ca="1" si="48"/>
        <v>0.38567157001414415</v>
      </c>
      <c r="X211" s="49">
        <f t="shared" ca="1" si="48"/>
        <v>0.38545206223479478</v>
      </c>
      <c r="Y211" s="49">
        <f t="shared" ca="1" si="48"/>
        <v>0</v>
      </c>
      <c r="Z211" s="49">
        <f t="shared" ca="1" si="48"/>
        <v>0</v>
      </c>
      <c r="AA211" s="49">
        <f t="shared" ca="1" si="48"/>
        <v>0</v>
      </c>
      <c r="AB211" s="49">
        <f t="shared" ca="1" si="48"/>
        <v>0</v>
      </c>
      <c r="AC211" s="49">
        <f t="shared" ca="1" si="48"/>
        <v>0</v>
      </c>
      <c r="AD211" s="49">
        <f t="shared" ca="1" si="48"/>
        <v>0</v>
      </c>
      <c r="AE211" s="49">
        <f t="shared" ca="1" si="48"/>
        <v>0</v>
      </c>
      <c r="AF211" s="49">
        <f t="shared" ca="1" si="48"/>
        <v>0</v>
      </c>
      <c r="AG211" s="49">
        <f t="shared" ca="1" si="48"/>
        <v>0</v>
      </c>
      <c r="AH211" s="49">
        <f t="shared" ca="1" si="48"/>
        <v>0</v>
      </c>
      <c r="AI211" s="49">
        <f t="shared" ca="1" si="48"/>
        <v>0</v>
      </c>
      <c r="AJ211" s="49">
        <f t="shared" ca="1" si="48"/>
        <v>0</v>
      </c>
      <c r="AK211" s="49">
        <f t="shared" ca="1" si="48"/>
        <v>0</v>
      </c>
      <c r="AL211" s="49">
        <f t="shared" ca="1" si="48"/>
        <v>0</v>
      </c>
      <c r="AM211" s="49">
        <f t="shared" ca="1" si="48"/>
        <v>0</v>
      </c>
      <c r="AN211" s="49">
        <f t="shared" ca="1" si="48"/>
        <v>0</v>
      </c>
      <c r="AO211" s="49">
        <f t="shared" ca="1" si="48"/>
        <v>0</v>
      </c>
      <c r="AP211" s="49">
        <f t="shared" ca="1" si="48"/>
        <v>0</v>
      </c>
      <c r="AQ211" s="49">
        <f t="shared" ca="1" si="48"/>
        <v>0</v>
      </c>
      <c r="AR211" s="49">
        <f t="shared" ref="AR211:BS211" ca="1" si="49">CA_gross_rev_domestic_gas_fp*royalty_rate_gas_domestic</f>
        <v>0</v>
      </c>
      <c r="AS211" s="49">
        <f t="shared" ca="1" si="49"/>
        <v>0</v>
      </c>
      <c r="AT211" s="49">
        <f t="shared" ca="1" si="49"/>
        <v>0</v>
      </c>
      <c r="AU211" s="49">
        <f t="shared" ca="1" si="49"/>
        <v>0</v>
      </c>
      <c r="AV211" s="49">
        <f t="shared" ca="1" si="49"/>
        <v>0</v>
      </c>
      <c r="AW211" s="49">
        <f t="shared" ca="1" si="49"/>
        <v>0</v>
      </c>
      <c r="AX211" s="49">
        <f t="shared" ca="1" si="49"/>
        <v>0</v>
      </c>
      <c r="AY211" s="49">
        <f t="shared" ca="1" si="49"/>
        <v>0</v>
      </c>
      <c r="AZ211" s="49">
        <f t="shared" ca="1" si="49"/>
        <v>0</v>
      </c>
      <c r="BA211" s="49">
        <f t="shared" ca="1" si="49"/>
        <v>0</v>
      </c>
      <c r="BB211" s="49">
        <f t="shared" ca="1" si="49"/>
        <v>0</v>
      </c>
      <c r="BC211" s="49">
        <f t="shared" ca="1" si="49"/>
        <v>0</v>
      </c>
      <c r="BD211" s="49">
        <f t="shared" ca="1" si="49"/>
        <v>0</v>
      </c>
      <c r="BE211" s="49">
        <f t="shared" ca="1" si="49"/>
        <v>0</v>
      </c>
      <c r="BF211" s="49">
        <f t="shared" ca="1" si="49"/>
        <v>0</v>
      </c>
      <c r="BG211" s="49">
        <f t="shared" ca="1" si="49"/>
        <v>0</v>
      </c>
      <c r="BH211" s="49">
        <f t="shared" ca="1" si="49"/>
        <v>0</v>
      </c>
      <c r="BI211" s="49">
        <f t="shared" ca="1" si="49"/>
        <v>0</v>
      </c>
      <c r="BJ211" s="49">
        <f t="shared" ca="1" si="49"/>
        <v>0</v>
      </c>
      <c r="BK211" s="49">
        <f t="shared" ca="1" si="49"/>
        <v>0</v>
      </c>
      <c r="BL211" s="49">
        <f t="shared" ca="1" si="49"/>
        <v>0</v>
      </c>
      <c r="BM211" s="49">
        <f t="shared" ca="1" si="49"/>
        <v>0</v>
      </c>
      <c r="BN211" s="49">
        <f t="shared" ca="1" si="49"/>
        <v>0</v>
      </c>
      <c r="BO211" s="49">
        <f t="shared" ca="1" si="49"/>
        <v>0</v>
      </c>
      <c r="BP211" s="49">
        <f t="shared" ca="1" si="49"/>
        <v>0</v>
      </c>
      <c r="BQ211" s="49">
        <f t="shared" ca="1" si="49"/>
        <v>0</v>
      </c>
      <c r="BR211" s="49">
        <f t="shared" ca="1" si="49"/>
        <v>0</v>
      </c>
      <c r="BS211" s="49">
        <f t="shared" ca="1" si="49"/>
        <v>0</v>
      </c>
    </row>
    <row r="212" spans="3:71" outlineLevel="1" x14ac:dyDescent="0.2">
      <c r="D212" s="11" t="s">
        <v>179</v>
      </c>
      <c r="I212" s="30">
        <f ca="1">SUM($L212:$BS212)</f>
        <v>799.03089377979904</v>
      </c>
      <c r="J212" s="26" t="s">
        <v>148</v>
      </c>
      <c r="K212" s="7" t="s">
        <v>180</v>
      </c>
      <c r="L212" s="49">
        <f ca="1">SUM(L209:L211)</f>
        <v>0</v>
      </c>
      <c r="M212" s="49">
        <f t="shared" ref="M212:BS212" ca="1" si="50">SUM(M209:M211)</f>
        <v>1.1716958818336294</v>
      </c>
      <c r="N212" s="49">
        <f t="shared" ca="1" si="50"/>
        <v>18.278385369770273</v>
      </c>
      <c r="O212" s="49">
        <f t="shared" ca="1" si="50"/>
        <v>28.409334422348081</v>
      </c>
      <c r="P212" s="49">
        <f t="shared" ca="1" si="50"/>
        <v>53.12644655867669</v>
      </c>
      <c r="Q212" s="49">
        <f t="shared" ca="1" si="50"/>
        <v>108.81550112779722</v>
      </c>
      <c r="R212" s="49">
        <f t="shared" ca="1" si="50"/>
        <v>92.651629574132812</v>
      </c>
      <c r="S212" s="49">
        <f t="shared" ca="1" si="50"/>
        <v>64.533517437499995</v>
      </c>
      <c r="T212" s="49">
        <f t="shared" ca="1" si="50"/>
        <v>91.245337745580741</v>
      </c>
      <c r="U212" s="49">
        <f t="shared" ca="1" si="50"/>
        <v>91.100985377094048</v>
      </c>
      <c r="V212" s="49">
        <f t="shared" ca="1" si="50"/>
        <v>87.028166804053967</v>
      </c>
      <c r="W212" s="49">
        <f t="shared" ca="1" si="50"/>
        <v>83.168515417484841</v>
      </c>
      <c r="X212" s="49">
        <f t="shared" ca="1" si="50"/>
        <v>79.501378063526829</v>
      </c>
      <c r="Y212" s="49">
        <f t="shared" ca="1" si="50"/>
        <v>0</v>
      </c>
      <c r="Z212" s="49">
        <f t="shared" ca="1" si="50"/>
        <v>0</v>
      </c>
      <c r="AA212" s="49">
        <f t="shared" ca="1" si="50"/>
        <v>0</v>
      </c>
      <c r="AB212" s="49">
        <f t="shared" ca="1" si="50"/>
        <v>0</v>
      </c>
      <c r="AC212" s="49">
        <f t="shared" ca="1" si="50"/>
        <v>0</v>
      </c>
      <c r="AD212" s="49">
        <f t="shared" ca="1" si="50"/>
        <v>0</v>
      </c>
      <c r="AE212" s="49">
        <f t="shared" ca="1" si="50"/>
        <v>0</v>
      </c>
      <c r="AF212" s="49">
        <f t="shared" ca="1" si="50"/>
        <v>0</v>
      </c>
      <c r="AG212" s="49">
        <f t="shared" ca="1" si="50"/>
        <v>0</v>
      </c>
      <c r="AH212" s="49">
        <f t="shared" ca="1" si="50"/>
        <v>0</v>
      </c>
      <c r="AI212" s="49">
        <f t="shared" ca="1" si="50"/>
        <v>0</v>
      </c>
      <c r="AJ212" s="49">
        <f t="shared" ca="1" si="50"/>
        <v>0</v>
      </c>
      <c r="AK212" s="49">
        <f t="shared" ca="1" si="50"/>
        <v>0</v>
      </c>
      <c r="AL212" s="49">
        <f t="shared" ca="1" si="50"/>
        <v>0</v>
      </c>
      <c r="AM212" s="49">
        <f t="shared" ca="1" si="50"/>
        <v>0</v>
      </c>
      <c r="AN212" s="49">
        <f t="shared" ca="1" si="50"/>
        <v>0</v>
      </c>
      <c r="AO212" s="49">
        <f t="shared" ca="1" si="50"/>
        <v>0</v>
      </c>
      <c r="AP212" s="49">
        <f t="shared" ca="1" si="50"/>
        <v>0</v>
      </c>
      <c r="AQ212" s="49">
        <f t="shared" ca="1" si="50"/>
        <v>0</v>
      </c>
      <c r="AR212" s="49">
        <f t="shared" ca="1" si="50"/>
        <v>0</v>
      </c>
      <c r="AS212" s="49">
        <f t="shared" ca="1" si="50"/>
        <v>0</v>
      </c>
      <c r="AT212" s="49">
        <f t="shared" ca="1" si="50"/>
        <v>0</v>
      </c>
      <c r="AU212" s="49">
        <f t="shared" ca="1" si="50"/>
        <v>0</v>
      </c>
      <c r="AV212" s="49">
        <f t="shared" ca="1" si="50"/>
        <v>0</v>
      </c>
      <c r="AW212" s="49">
        <f t="shared" ca="1" si="50"/>
        <v>0</v>
      </c>
      <c r="AX212" s="49">
        <f t="shared" ca="1" si="50"/>
        <v>0</v>
      </c>
      <c r="AY212" s="49">
        <f t="shared" ca="1" si="50"/>
        <v>0</v>
      </c>
      <c r="AZ212" s="49">
        <f t="shared" ca="1" si="50"/>
        <v>0</v>
      </c>
      <c r="BA212" s="49">
        <f t="shared" ca="1" si="50"/>
        <v>0</v>
      </c>
      <c r="BB212" s="49">
        <f t="shared" ca="1" si="50"/>
        <v>0</v>
      </c>
      <c r="BC212" s="49">
        <f t="shared" ca="1" si="50"/>
        <v>0</v>
      </c>
      <c r="BD212" s="49">
        <f t="shared" ca="1" si="50"/>
        <v>0</v>
      </c>
      <c r="BE212" s="49">
        <f t="shared" ca="1" si="50"/>
        <v>0</v>
      </c>
      <c r="BF212" s="49">
        <f t="shared" ca="1" si="50"/>
        <v>0</v>
      </c>
      <c r="BG212" s="49">
        <f t="shared" ca="1" si="50"/>
        <v>0</v>
      </c>
      <c r="BH212" s="49">
        <f t="shared" ca="1" si="50"/>
        <v>0</v>
      </c>
      <c r="BI212" s="49">
        <f t="shared" ca="1" si="50"/>
        <v>0</v>
      </c>
      <c r="BJ212" s="49">
        <f t="shared" ca="1" si="50"/>
        <v>0</v>
      </c>
      <c r="BK212" s="49">
        <f t="shared" ca="1" si="50"/>
        <v>0</v>
      </c>
      <c r="BL212" s="49">
        <f t="shared" ca="1" si="50"/>
        <v>0</v>
      </c>
      <c r="BM212" s="49">
        <f t="shared" ca="1" si="50"/>
        <v>0</v>
      </c>
      <c r="BN212" s="49">
        <f t="shared" ca="1" si="50"/>
        <v>0</v>
      </c>
      <c r="BO212" s="49">
        <f t="shared" ca="1" si="50"/>
        <v>0</v>
      </c>
      <c r="BP212" s="49">
        <f t="shared" ca="1" si="50"/>
        <v>0</v>
      </c>
      <c r="BQ212" s="49">
        <f t="shared" ca="1" si="50"/>
        <v>0</v>
      </c>
      <c r="BR212" s="49">
        <f t="shared" ca="1" si="50"/>
        <v>0</v>
      </c>
      <c r="BS212" s="49">
        <f t="shared" ca="1" si="50"/>
        <v>0</v>
      </c>
    </row>
    <row r="213" spans="3:71" outlineLevel="1" x14ac:dyDescent="0.2">
      <c r="J213" s="26"/>
      <c r="L213" s="55"/>
      <c r="M213" s="55"/>
      <c r="N213" s="55"/>
      <c r="O213" s="55"/>
      <c r="P213" s="55"/>
      <c r="Q213" s="55"/>
      <c r="R213" s="55"/>
      <c r="S213" s="55"/>
      <c r="T213" s="55"/>
      <c r="U213" s="55"/>
      <c r="V213" s="55"/>
      <c r="W213" s="55"/>
      <c r="X213" s="55"/>
      <c r="Y213" s="55"/>
      <c r="Z213" s="55"/>
      <c r="AA213" s="55"/>
      <c r="AB213" s="55"/>
      <c r="AC213" s="55"/>
      <c r="AD213" s="55"/>
      <c r="AE213" s="55"/>
      <c r="AF213" s="55"/>
      <c r="AG213" s="55"/>
      <c r="AH213" s="55"/>
      <c r="AI213" s="55"/>
      <c r="AJ213" s="55"/>
      <c r="AK213" s="55"/>
      <c r="AL213" s="55"/>
      <c r="AM213" s="55"/>
      <c r="AN213" s="55"/>
      <c r="AO213" s="55"/>
      <c r="AP213" s="55"/>
      <c r="AQ213" s="55"/>
      <c r="AR213" s="55"/>
      <c r="AS213" s="55"/>
      <c r="AT213" s="55"/>
      <c r="AU213" s="55"/>
      <c r="AV213" s="55"/>
      <c r="AW213" s="55"/>
      <c r="AX213" s="55"/>
      <c r="AY213" s="55"/>
      <c r="AZ213" s="55"/>
      <c r="BA213" s="55"/>
      <c r="BB213" s="55"/>
      <c r="BC213" s="55"/>
      <c r="BD213" s="55"/>
      <c r="BE213" s="55"/>
      <c r="BF213" s="55"/>
      <c r="BG213" s="55"/>
      <c r="BH213" s="55"/>
      <c r="BI213" s="55"/>
      <c r="BJ213" s="55"/>
      <c r="BK213" s="55"/>
      <c r="BL213" s="55"/>
      <c r="BM213" s="55"/>
      <c r="BN213" s="55"/>
      <c r="BO213" s="55"/>
      <c r="BP213" s="55"/>
      <c r="BQ213" s="55"/>
      <c r="BR213" s="55"/>
      <c r="BS213" s="55"/>
    </row>
    <row r="214" spans="3:71" outlineLevel="1" x14ac:dyDescent="0.2">
      <c r="J214" s="26"/>
      <c r="L214" s="55"/>
      <c r="M214" s="55"/>
      <c r="N214" s="55"/>
      <c r="O214" s="55"/>
      <c r="P214" s="55"/>
      <c r="Q214" s="55"/>
      <c r="R214" s="55"/>
      <c r="S214" s="55"/>
      <c r="T214" s="55"/>
      <c r="U214" s="55"/>
      <c r="V214" s="55"/>
      <c r="W214" s="55"/>
      <c r="X214" s="55"/>
      <c r="Y214" s="55"/>
      <c r="Z214" s="55"/>
      <c r="AA214" s="55"/>
      <c r="AB214" s="55"/>
      <c r="AC214" s="55"/>
      <c r="AD214" s="55"/>
      <c r="AE214" s="55"/>
      <c r="AF214" s="55"/>
      <c r="AG214" s="55"/>
      <c r="AH214" s="55"/>
      <c r="AI214" s="55"/>
      <c r="AJ214" s="55"/>
      <c r="AK214" s="55"/>
      <c r="AL214" s="55"/>
      <c r="AM214" s="55"/>
      <c r="AN214" s="55"/>
      <c r="AO214" s="55"/>
      <c r="AP214" s="55"/>
      <c r="AQ214" s="55"/>
      <c r="AR214" s="55"/>
      <c r="AS214" s="55"/>
      <c r="AT214" s="55"/>
      <c r="AU214" s="55"/>
      <c r="AV214" s="55"/>
      <c r="AW214" s="55"/>
      <c r="AX214" s="55"/>
      <c r="AY214" s="55"/>
      <c r="AZ214" s="55"/>
      <c r="BA214" s="55"/>
      <c r="BB214" s="55"/>
      <c r="BC214" s="55"/>
      <c r="BD214" s="55"/>
      <c r="BE214" s="55"/>
      <c r="BF214" s="55"/>
      <c r="BG214" s="55"/>
      <c r="BH214" s="55"/>
      <c r="BI214" s="55"/>
      <c r="BJ214" s="55"/>
      <c r="BK214" s="55"/>
      <c r="BL214" s="55"/>
      <c r="BM214" s="55"/>
      <c r="BN214" s="55"/>
      <c r="BO214" s="55"/>
      <c r="BP214" s="55"/>
      <c r="BQ214" s="55"/>
      <c r="BR214" s="55"/>
      <c r="BS214" s="55"/>
    </row>
    <row r="215" spans="3:71" outlineLevel="1" x14ac:dyDescent="0.2">
      <c r="C215" s="11" t="s">
        <v>74</v>
      </c>
      <c r="J215" s="26"/>
      <c r="L215" s="55"/>
      <c r="M215" s="55"/>
      <c r="N215" s="55"/>
      <c r="O215" s="55"/>
      <c r="P215" s="55"/>
      <c r="Q215" s="55"/>
      <c r="R215" s="55"/>
      <c r="S215" s="55"/>
      <c r="T215" s="55"/>
      <c r="U215" s="55"/>
      <c r="V215" s="55"/>
      <c r="W215" s="55"/>
      <c r="X215" s="55"/>
      <c r="Y215" s="55"/>
      <c r="Z215" s="55"/>
      <c r="AA215" s="55"/>
      <c r="AB215" s="55"/>
      <c r="AC215" s="55"/>
      <c r="AD215" s="55"/>
      <c r="AE215" s="55"/>
      <c r="AF215" s="55"/>
      <c r="AG215" s="55"/>
      <c r="AH215" s="55"/>
      <c r="AI215" s="55"/>
      <c r="AJ215" s="55"/>
      <c r="AK215" s="55"/>
      <c r="AL215" s="55"/>
      <c r="AM215" s="55"/>
      <c r="AN215" s="55"/>
      <c r="AO215" s="55"/>
      <c r="AP215" s="55"/>
      <c r="AQ215" s="55"/>
      <c r="AR215" s="55"/>
      <c r="AS215" s="55"/>
      <c r="AT215" s="55"/>
      <c r="AU215" s="55"/>
      <c r="AV215" s="55"/>
      <c r="AW215" s="55"/>
      <c r="AX215" s="55"/>
      <c r="AY215" s="55"/>
      <c r="AZ215" s="55"/>
      <c r="BA215" s="55"/>
      <c r="BB215" s="55"/>
      <c r="BC215" s="55"/>
      <c r="BD215" s="55"/>
      <c r="BE215" s="55"/>
      <c r="BF215" s="55"/>
      <c r="BG215" s="55"/>
      <c r="BH215" s="55"/>
      <c r="BI215" s="55"/>
      <c r="BJ215" s="55"/>
      <c r="BK215" s="55"/>
      <c r="BL215" s="55"/>
      <c r="BM215" s="55"/>
      <c r="BN215" s="55"/>
      <c r="BO215" s="55"/>
      <c r="BP215" s="55"/>
      <c r="BQ215" s="55"/>
      <c r="BR215" s="55"/>
      <c r="BS215" s="55"/>
    </row>
    <row r="216" spans="3:71" outlineLevel="1" x14ac:dyDescent="0.2">
      <c r="D216" s="11" t="s">
        <v>181</v>
      </c>
      <c r="J216" s="26"/>
      <c r="L216" s="55"/>
      <c r="M216" s="55"/>
      <c r="N216" s="55"/>
      <c r="O216" s="55"/>
      <c r="P216" s="55"/>
      <c r="Q216" s="55"/>
      <c r="R216" s="55"/>
      <c r="S216" s="55"/>
      <c r="T216" s="55"/>
      <c r="U216" s="55"/>
      <c r="V216" s="55"/>
      <c r="W216" s="55"/>
      <c r="X216" s="55"/>
      <c r="Y216" s="55"/>
      <c r="Z216" s="55"/>
      <c r="AA216" s="55"/>
      <c r="AB216" s="55"/>
      <c r="AC216" s="55"/>
      <c r="AD216" s="55"/>
      <c r="AE216" s="55"/>
      <c r="AF216" s="55"/>
      <c r="AG216" s="55"/>
      <c r="AH216" s="55"/>
      <c r="AI216" s="55"/>
      <c r="AJ216" s="55"/>
      <c r="AK216" s="55"/>
      <c r="AL216" s="55"/>
      <c r="AM216" s="55"/>
      <c r="AN216" s="55"/>
      <c r="AO216" s="55"/>
      <c r="AP216" s="55"/>
      <c r="AQ216" s="55"/>
      <c r="AR216" s="55"/>
      <c r="AS216" s="55"/>
      <c r="AT216" s="55"/>
      <c r="AU216" s="55"/>
      <c r="AV216" s="55"/>
      <c r="AW216" s="55"/>
      <c r="AX216" s="55"/>
      <c r="AY216" s="55"/>
      <c r="AZ216" s="55"/>
      <c r="BA216" s="55"/>
      <c r="BB216" s="55"/>
      <c r="BC216" s="55"/>
      <c r="BD216" s="55"/>
      <c r="BE216" s="55"/>
      <c r="BF216" s="55"/>
      <c r="BG216" s="55"/>
      <c r="BH216" s="55"/>
      <c r="BI216" s="55"/>
      <c r="BJ216" s="55"/>
      <c r="BK216" s="55"/>
      <c r="BL216" s="55"/>
      <c r="BM216" s="55"/>
      <c r="BN216" s="55"/>
      <c r="BO216" s="55"/>
      <c r="BP216" s="55"/>
      <c r="BQ216" s="55"/>
      <c r="BR216" s="55"/>
      <c r="BS216" s="55"/>
    </row>
    <row r="217" spans="3:71" outlineLevel="1" x14ac:dyDescent="0.2">
      <c r="D217" s="50" t="s">
        <v>182</v>
      </c>
      <c r="I217" s="30">
        <f ca="1">SUM($L217:$BS217)</f>
        <v>2321.8359572160002</v>
      </c>
      <c r="J217" s="26" t="s">
        <v>148</v>
      </c>
      <c r="K217" s="7" t="s">
        <v>196</v>
      </c>
      <c r="L217" s="49" cm="1">
        <f t="array" aca="1" ref="L217:BS217" ca="1">Marine!CA_opex_total_nom</f>
        <v>37.1</v>
      </c>
      <c r="M217" s="49">
        <f ca="1"/>
        <v>101.941</v>
      </c>
      <c r="N217" s="49">
        <f ca="1"/>
        <v>119.428</v>
      </c>
      <c r="O217" s="49">
        <f ca="1"/>
        <v>178.69499999999999</v>
      </c>
      <c r="P217" s="49">
        <f ca="1"/>
        <v>147.94900000000001</v>
      </c>
      <c r="Q217" s="49">
        <f ca="1"/>
        <v>226.411</v>
      </c>
      <c r="R217" s="49">
        <f ca="1"/>
        <v>176</v>
      </c>
      <c r="S217" s="49">
        <f ca="1"/>
        <v>198.9</v>
      </c>
      <c r="T217" s="49">
        <f ca="1"/>
        <v>204.4</v>
      </c>
      <c r="U217" s="49">
        <f ca="1"/>
        <v>214.81200000000001</v>
      </c>
      <c r="V217" s="49">
        <f ca="1"/>
        <v>226.07892000000001</v>
      </c>
      <c r="W217" s="49">
        <f ca="1"/>
        <v>238.34731679999999</v>
      </c>
      <c r="X217" s="49">
        <f ca="1"/>
        <v>251.77372041599997</v>
      </c>
      <c r="Y217" s="49">
        <f ca="1"/>
        <v>0</v>
      </c>
      <c r="Z217" s="49">
        <f ca="1"/>
        <v>0</v>
      </c>
      <c r="AA217" s="49">
        <f ca="1"/>
        <v>0</v>
      </c>
      <c r="AB217" s="49">
        <f ca="1"/>
        <v>0</v>
      </c>
      <c r="AC217" s="49">
        <f ca="1"/>
        <v>0</v>
      </c>
      <c r="AD217" s="49">
        <f ca="1"/>
        <v>0</v>
      </c>
      <c r="AE217" s="49">
        <f ca="1"/>
        <v>0</v>
      </c>
      <c r="AF217" s="49">
        <f ca="1"/>
        <v>0</v>
      </c>
      <c r="AG217" s="49">
        <f ca="1"/>
        <v>0</v>
      </c>
      <c r="AH217" s="49">
        <f ca="1"/>
        <v>0</v>
      </c>
      <c r="AI217" s="49">
        <f ca="1"/>
        <v>0</v>
      </c>
      <c r="AJ217" s="49">
        <f ca="1"/>
        <v>0</v>
      </c>
      <c r="AK217" s="49">
        <f ca="1"/>
        <v>0</v>
      </c>
      <c r="AL217" s="49">
        <f ca="1"/>
        <v>0</v>
      </c>
      <c r="AM217" s="49">
        <f ca="1"/>
        <v>0</v>
      </c>
      <c r="AN217" s="49">
        <f ca="1"/>
        <v>0</v>
      </c>
      <c r="AO217" s="49">
        <f ca="1"/>
        <v>0</v>
      </c>
      <c r="AP217" s="49">
        <f ca="1"/>
        <v>0</v>
      </c>
      <c r="AQ217" s="49">
        <f ca="1"/>
        <v>0</v>
      </c>
      <c r="AR217" s="49">
        <f ca="1"/>
        <v>0</v>
      </c>
      <c r="AS217" s="49">
        <f ca="1"/>
        <v>0</v>
      </c>
      <c r="AT217" s="49">
        <f ca="1"/>
        <v>0</v>
      </c>
      <c r="AU217" s="49">
        <f ca="1"/>
        <v>0</v>
      </c>
      <c r="AV217" s="49">
        <f ca="1"/>
        <v>0</v>
      </c>
      <c r="AW217" s="49">
        <f ca="1"/>
        <v>0</v>
      </c>
      <c r="AX217" s="49">
        <f ca="1"/>
        <v>0</v>
      </c>
      <c r="AY217" s="49">
        <f ca="1"/>
        <v>0</v>
      </c>
      <c r="AZ217" s="49">
        <f ca="1"/>
        <v>0</v>
      </c>
      <c r="BA217" s="49">
        <f ca="1"/>
        <v>0</v>
      </c>
      <c r="BB217" s="49">
        <f ca="1"/>
        <v>0</v>
      </c>
      <c r="BC217" s="49">
        <f ca="1"/>
        <v>0</v>
      </c>
      <c r="BD217" s="49">
        <f ca="1"/>
        <v>0</v>
      </c>
      <c r="BE217" s="49">
        <f ca="1"/>
        <v>0</v>
      </c>
      <c r="BF217" s="49">
        <f ca="1"/>
        <v>0</v>
      </c>
      <c r="BG217" s="49">
        <f ca="1"/>
        <v>0</v>
      </c>
      <c r="BH217" s="49">
        <f ca="1"/>
        <v>0</v>
      </c>
      <c r="BI217" s="49">
        <f ca="1"/>
        <v>0</v>
      </c>
      <c r="BJ217" s="49">
        <f ca="1"/>
        <v>0</v>
      </c>
      <c r="BK217" s="49">
        <f ca="1"/>
        <v>0</v>
      </c>
      <c r="BL217" s="49">
        <f ca="1"/>
        <v>0</v>
      </c>
      <c r="BM217" s="49">
        <f ca="1"/>
        <v>0</v>
      </c>
      <c r="BN217" s="49">
        <f ca="1"/>
        <v>0</v>
      </c>
      <c r="BO217" s="49">
        <f ca="1"/>
        <v>0</v>
      </c>
      <c r="BP217" s="49">
        <f ca="1"/>
        <v>0</v>
      </c>
      <c r="BQ217" s="49">
        <f ca="1"/>
        <v>0</v>
      </c>
      <c r="BR217" s="49">
        <f ca="1"/>
        <v>0</v>
      </c>
      <c r="BS217" s="49">
        <f ca="1"/>
        <v>0</v>
      </c>
    </row>
    <row r="218" spans="3:71" outlineLevel="1" x14ac:dyDescent="0.2">
      <c r="D218" s="50" t="s">
        <v>67</v>
      </c>
      <c r="I218" s="30">
        <f t="shared" ref="I218:I223" ca="1" si="51">SUM($L218:$BS218)</f>
        <v>54.738039330218619</v>
      </c>
      <c r="J218" s="26" t="s">
        <v>148</v>
      </c>
      <c r="K218" s="7" t="s">
        <v>197</v>
      </c>
      <c r="L218" s="49" cm="1">
        <f t="array" aca="1" ref="L218:BS218" ca="1">Marine!CA_pid_fees</f>
        <v>0</v>
      </c>
      <c r="M218" s="49">
        <f ca="1"/>
        <v>9.3983153338229292E-2</v>
      </c>
      <c r="N218" s="49">
        <f ca="1"/>
        <v>1.2988763022073142</v>
      </c>
      <c r="O218" s="49">
        <f ca="1"/>
        <v>2.0200156729356959</v>
      </c>
      <c r="P218" s="49">
        <f ca="1"/>
        <v>3.6579991053168932</v>
      </c>
      <c r="Q218" s="49">
        <f ca="1"/>
        <v>7.3818786721860512</v>
      </c>
      <c r="R218" s="49">
        <f ca="1"/>
        <v>6.1767754350043571</v>
      </c>
      <c r="S218" s="49">
        <f ca="1"/>
        <v>4.469763935833333</v>
      </c>
      <c r="T218" s="49">
        <f ca="1"/>
        <v>6.250310076202318</v>
      </c>
      <c r="U218" s="49">
        <f ca="1"/>
        <v>6.2406079597930679</v>
      </c>
      <c r="V218" s="49">
        <f ca="1"/>
        <v>5.9690158780260418</v>
      </c>
      <c r="W218" s="49">
        <f ca="1"/>
        <v>5.7116920415051196</v>
      </c>
      <c r="X218" s="49">
        <f ca="1"/>
        <v>5.4671210978702005</v>
      </c>
      <c r="Y218" s="49">
        <f ca="1"/>
        <v>0</v>
      </c>
      <c r="Z218" s="49">
        <f ca="1"/>
        <v>0</v>
      </c>
      <c r="AA218" s="49">
        <f ca="1"/>
        <v>0</v>
      </c>
      <c r="AB218" s="49">
        <f ca="1"/>
        <v>0</v>
      </c>
      <c r="AC218" s="49">
        <f ca="1"/>
        <v>0</v>
      </c>
      <c r="AD218" s="49">
        <f ca="1"/>
        <v>0</v>
      </c>
      <c r="AE218" s="49">
        <f ca="1"/>
        <v>0</v>
      </c>
      <c r="AF218" s="49">
        <f ca="1"/>
        <v>0</v>
      </c>
      <c r="AG218" s="49">
        <f ca="1"/>
        <v>0</v>
      </c>
      <c r="AH218" s="49">
        <f ca="1"/>
        <v>0</v>
      </c>
      <c r="AI218" s="49">
        <f ca="1"/>
        <v>0</v>
      </c>
      <c r="AJ218" s="49">
        <f ca="1"/>
        <v>0</v>
      </c>
      <c r="AK218" s="49">
        <f ca="1"/>
        <v>0</v>
      </c>
      <c r="AL218" s="49">
        <f ca="1"/>
        <v>0</v>
      </c>
      <c r="AM218" s="49">
        <f ca="1"/>
        <v>0</v>
      </c>
      <c r="AN218" s="49">
        <f ca="1"/>
        <v>0</v>
      </c>
      <c r="AO218" s="49">
        <f ca="1"/>
        <v>0</v>
      </c>
      <c r="AP218" s="49">
        <f ca="1"/>
        <v>0</v>
      </c>
      <c r="AQ218" s="49">
        <f ca="1"/>
        <v>0</v>
      </c>
      <c r="AR218" s="49">
        <f ca="1"/>
        <v>0</v>
      </c>
      <c r="AS218" s="49">
        <f ca="1"/>
        <v>0</v>
      </c>
      <c r="AT218" s="49">
        <f ca="1"/>
        <v>0</v>
      </c>
      <c r="AU218" s="49">
        <f ca="1"/>
        <v>0</v>
      </c>
      <c r="AV218" s="49">
        <f ca="1"/>
        <v>0</v>
      </c>
      <c r="AW218" s="49">
        <f ca="1"/>
        <v>0</v>
      </c>
      <c r="AX218" s="49">
        <f ca="1"/>
        <v>0</v>
      </c>
      <c r="AY218" s="49">
        <f ca="1"/>
        <v>0</v>
      </c>
      <c r="AZ218" s="49">
        <f ca="1"/>
        <v>0</v>
      </c>
      <c r="BA218" s="49">
        <f ca="1"/>
        <v>0</v>
      </c>
      <c r="BB218" s="49">
        <f ca="1"/>
        <v>0</v>
      </c>
      <c r="BC218" s="49">
        <f ca="1"/>
        <v>0</v>
      </c>
      <c r="BD218" s="49">
        <f ca="1"/>
        <v>0</v>
      </c>
      <c r="BE218" s="49">
        <f ca="1"/>
        <v>0</v>
      </c>
      <c r="BF218" s="49">
        <f ca="1"/>
        <v>0</v>
      </c>
      <c r="BG218" s="49">
        <f ca="1"/>
        <v>0</v>
      </c>
      <c r="BH218" s="49">
        <f ca="1"/>
        <v>0</v>
      </c>
      <c r="BI218" s="49">
        <f ca="1"/>
        <v>0</v>
      </c>
      <c r="BJ218" s="49">
        <f ca="1"/>
        <v>0</v>
      </c>
      <c r="BK218" s="49">
        <f ca="1"/>
        <v>0</v>
      </c>
      <c r="BL218" s="49">
        <f ca="1"/>
        <v>0</v>
      </c>
      <c r="BM218" s="49">
        <f ca="1"/>
        <v>0</v>
      </c>
      <c r="BN218" s="49">
        <f ca="1"/>
        <v>0</v>
      </c>
      <c r="BO218" s="49">
        <f ca="1"/>
        <v>0</v>
      </c>
      <c r="BP218" s="49">
        <f ca="1"/>
        <v>0</v>
      </c>
      <c r="BQ218" s="49">
        <f ca="1"/>
        <v>0</v>
      </c>
      <c r="BR218" s="49">
        <f ca="1"/>
        <v>0</v>
      </c>
      <c r="BS218" s="49">
        <f ca="1"/>
        <v>0</v>
      </c>
    </row>
    <row r="219" spans="3:71" outlineLevel="1" x14ac:dyDescent="0.2">
      <c r="D219" s="50" t="s">
        <v>183</v>
      </c>
      <c r="I219" s="30">
        <f t="shared" ca="1" si="51"/>
        <v>2393.6419999999998</v>
      </c>
      <c r="J219" s="26" t="s">
        <v>148</v>
      </c>
      <c r="K219" s="7" t="s">
        <v>198</v>
      </c>
      <c r="L219" s="49" cm="1">
        <f t="array" aca="1" ref="L219:BS219" ca="1">Marine!CA_devex_nom</f>
        <v>217.36199999999999</v>
      </c>
      <c r="M219" s="49">
        <f ca="1"/>
        <v>432.14400000000001</v>
      </c>
      <c r="N219" s="49">
        <f ca="1"/>
        <v>682.33</v>
      </c>
      <c r="O219" s="49">
        <f ca="1"/>
        <v>428.005</v>
      </c>
      <c r="P219" s="49">
        <f ca="1"/>
        <v>406.53100000000001</v>
      </c>
      <c r="Q219" s="49">
        <f ca="1"/>
        <v>227.27</v>
      </c>
      <c r="R219" s="49">
        <f ca="1"/>
        <v>0</v>
      </c>
      <c r="S219" s="49">
        <f ca="1"/>
        <v>0</v>
      </c>
      <c r="T219" s="49">
        <f ca="1"/>
        <v>0</v>
      </c>
      <c r="U219" s="49">
        <f ca="1"/>
        <v>0</v>
      </c>
      <c r="V219" s="49">
        <f ca="1"/>
        <v>0</v>
      </c>
      <c r="W219" s="49">
        <f ca="1"/>
        <v>0</v>
      </c>
      <c r="X219" s="49">
        <f ca="1"/>
        <v>0</v>
      </c>
      <c r="Y219" s="49">
        <f ca="1"/>
        <v>0</v>
      </c>
      <c r="Z219" s="49">
        <f ca="1"/>
        <v>0</v>
      </c>
      <c r="AA219" s="49">
        <f ca="1"/>
        <v>0</v>
      </c>
      <c r="AB219" s="49">
        <f ca="1"/>
        <v>0</v>
      </c>
      <c r="AC219" s="49">
        <f ca="1"/>
        <v>0</v>
      </c>
      <c r="AD219" s="49">
        <f ca="1"/>
        <v>0</v>
      </c>
      <c r="AE219" s="49">
        <f ca="1"/>
        <v>0</v>
      </c>
      <c r="AF219" s="49">
        <f ca="1"/>
        <v>0</v>
      </c>
      <c r="AG219" s="49">
        <f ca="1"/>
        <v>0</v>
      </c>
      <c r="AH219" s="49">
        <f ca="1"/>
        <v>0</v>
      </c>
      <c r="AI219" s="49">
        <f ca="1"/>
        <v>0</v>
      </c>
      <c r="AJ219" s="49">
        <f ca="1"/>
        <v>0</v>
      </c>
      <c r="AK219" s="49">
        <f ca="1"/>
        <v>0</v>
      </c>
      <c r="AL219" s="49">
        <f ca="1"/>
        <v>0</v>
      </c>
      <c r="AM219" s="49">
        <f ca="1"/>
        <v>0</v>
      </c>
      <c r="AN219" s="49">
        <f ca="1"/>
        <v>0</v>
      </c>
      <c r="AO219" s="49">
        <f ca="1"/>
        <v>0</v>
      </c>
      <c r="AP219" s="49">
        <f ca="1"/>
        <v>0</v>
      </c>
      <c r="AQ219" s="49">
        <f ca="1"/>
        <v>0</v>
      </c>
      <c r="AR219" s="49">
        <f ca="1"/>
        <v>0</v>
      </c>
      <c r="AS219" s="49">
        <f ca="1"/>
        <v>0</v>
      </c>
      <c r="AT219" s="49">
        <f ca="1"/>
        <v>0</v>
      </c>
      <c r="AU219" s="49">
        <f ca="1"/>
        <v>0</v>
      </c>
      <c r="AV219" s="49">
        <f ca="1"/>
        <v>0</v>
      </c>
      <c r="AW219" s="49">
        <f ca="1"/>
        <v>0</v>
      </c>
      <c r="AX219" s="49">
        <f ca="1"/>
        <v>0</v>
      </c>
      <c r="AY219" s="49">
        <f ca="1"/>
        <v>0</v>
      </c>
      <c r="AZ219" s="49">
        <f ca="1"/>
        <v>0</v>
      </c>
      <c r="BA219" s="49">
        <f ca="1"/>
        <v>0</v>
      </c>
      <c r="BB219" s="49">
        <f ca="1"/>
        <v>0</v>
      </c>
      <c r="BC219" s="49">
        <f ca="1"/>
        <v>0</v>
      </c>
      <c r="BD219" s="49">
        <f ca="1"/>
        <v>0</v>
      </c>
      <c r="BE219" s="49">
        <f ca="1"/>
        <v>0</v>
      </c>
      <c r="BF219" s="49">
        <f ca="1"/>
        <v>0</v>
      </c>
      <c r="BG219" s="49">
        <f ca="1"/>
        <v>0</v>
      </c>
      <c r="BH219" s="49">
        <f ca="1"/>
        <v>0</v>
      </c>
      <c r="BI219" s="49">
        <f ca="1"/>
        <v>0</v>
      </c>
      <c r="BJ219" s="49">
        <f ca="1"/>
        <v>0</v>
      </c>
      <c r="BK219" s="49">
        <f ca="1"/>
        <v>0</v>
      </c>
      <c r="BL219" s="49">
        <f ca="1"/>
        <v>0</v>
      </c>
      <c r="BM219" s="49">
        <f ca="1"/>
        <v>0</v>
      </c>
      <c r="BN219" s="49">
        <f ca="1"/>
        <v>0</v>
      </c>
      <c r="BO219" s="49">
        <f ca="1"/>
        <v>0</v>
      </c>
      <c r="BP219" s="49">
        <f ca="1"/>
        <v>0</v>
      </c>
      <c r="BQ219" s="49">
        <f ca="1"/>
        <v>0</v>
      </c>
      <c r="BR219" s="49">
        <f ca="1"/>
        <v>0</v>
      </c>
      <c r="BS219" s="49">
        <f ca="1"/>
        <v>0</v>
      </c>
    </row>
    <row r="220" spans="3:71" outlineLevel="1" x14ac:dyDescent="0.2">
      <c r="D220" s="50" t="s">
        <v>184</v>
      </c>
      <c r="I220" s="30">
        <f t="shared" ca="1" si="51"/>
        <v>366.815</v>
      </c>
      <c r="J220" s="26" t="s">
        <v>148</v>
      </c>
      <c r="K220" s="7" t="s">
        <v>199</v>
      </c>
      <c r="L220" s="49" cm="1">
        <f t="array" aca="1" ref="L220:BS220" ca="1">Marine!CA_expex_nom*recov_EandA_toggle</f>
        <v>170.22300000000001</v>
      </c>
      <c r="M220" s="49">
        <f ca="1"/>
        <v>70.763000000000005</v>
      </c>
      <c r="N220" s="49">
        <f ca="1"/>
        <v>95.635999999999996</v>
      </c>
      <c r="O220" s="49">
        <f ca="1"/>
        <v>26.408999999999999</v>
      </c>
      <c r="P220" s="49">
        <f ca="1"/>
        <v>0.76</v>
      </c>
      <c r="Q220" s="49">
        <f ca="1"/>
        <v>3.024</v>
      </c>
      <c r="R220" s="49">
        <f ca="1"/>
        <v>0</v>
      </c>
      <c r="S220" s="49">
        <f ca="1"/>
        <v>0</v>
      </c>
      <c r="T220" s="49">
        <f ca="1"/>
        <v>0</v>
      </c>
      <c r="U220" s="49">
        <f ca="1"/>
        <v>0</v>
      </c>
      <c r="V220" s="49">
        <f ca="1"/>
        <v>0</v>
      </c>
      <c r="W220" s="49">
        <f ca="1"/>
        <v>0</v>
      </c>
      <c r="X220" s="49">
        <f ca="1"/>
        <v>0</v>
      </c>
      <c r="Y220" s="49">
        <f ca="1"/>
        <v>0</v>
      </c>
      <c r="Z220" s="49">
        <f ca="1"/>
        <v>0</v>
      </c>
      <c r="AA220" s="49">
        <f ca="1"/>
        <v>0</v>
      </c>
      <c r="AB220" s="49">
        <f ca="1"/>
        <v>0</v>
      </c>
      <c r="AC220" s="49">
        <f ca="1"/>
        <v>0</v>
      </c>
      <c r="AD220" s="49">
        <f ca="1"/>
        <v>0</v>
      </c>
      <c r="AE220" s="49">
        <f ca="1"/>
        <v>0</v>
      </c>
      <c r="AF220" s="49">
        <f ca="1"/>
        <v>0</v>
      </c>
      <c r="AG220" s="49">
        <f ca="1"/>
        <v>0</v>
      </c>
      <c r="AH220" s="49">
        <f ca="1"/>
        <v>0</v>
      </c>
      <c r="AI220" s="49">
        <f ca="1"/>
        <v>0</v>
      </c>
      <c r="AJ220" s="49">
        <f ca="1"/>
        <v>0</v>
      </c>
      <c r="AK220" s="49">
        <f ca="1"/>
        <v>0</v>
      </c>
      <c r="AL220" s="49">
        <f ca="1"/>
        <v>0</v>
      </c>
      <c r="AM220" s="49">
        <f ca="1"/>
        <v>0</v>
      </c>
      <c r="AN220" s="49">
        <f ca="1"/>
        <v>0</v>
      </c>
      <c r="AO220" s="49">
        <f ca="1"/>
        <v>0</v>
      </c>
      <c r="AP220" s="49">
        <f ca="1"/>
        <v>0</v>
      </c>
      <c r="AQ220" s="49">
        <f ca="1"/>
        <v>0</v>
      </c>
      <c r="AR220" s="49">
        <f ca="1"/>
        <v>0</v>
      </c>
      <c r="AS220" s="49">
        <f ca="1"/>
        <v>0</v>
      </c>
      <c r="AT220" s="49">
        <f ca="1"/>
        <v>0</v>
      </c>
      <c r="AU220" s="49">
        <f ca="1"/>
        <v>0</v>
      </c>
      <c r="AV220" s="49">
        <f ca="1"/>
        <v>0</v>
      </c>
      <c r="AW220" s="49">
        <f ca="1"/>
        <v>0</v>
      </c>
      <c r="AX220" s="49">
        <f ca="1"/>
        <v>0</v>
      </c>
      <c r="AY220" s="49">
        <f ca="1"/>
        <v>0</v>
      </c>
      <c r="AZ220" s="49">
        <f ca="1"/>
        <v>0</v>
      </c>
      <c r="BA220" s="49">
        <f ca="1"/>
        <v>0</v>
      </c>
      <c r="BB220" s="49">
        <f ca="1"/>
        <v>0</v>
      </c>
      <c r="BC220" s="49">
        <f ca="1"/>
        <v>0</v>
      </c>
      <c r="BD220" s="49">
        <f ca="1"/>
        <v>0</v>
      </c>
      <c r="BE220" s="49">
        <f ca="1"/>
        <v>0</v>
      </c>
      <c r="BF220" s="49">
        <f ca="1"/>
        <v>0</v>
      </c>
      <c r="BG220" s="49">
        <f ca="1"/>
        <v>0</v>
      </c>
      <c r="BH220" s="49">
        <f ca="1"/>
        <v>0</v>
      </c>
      <c r="BI220" s="49">
        <f ca="1"/>
        <v>0</v>
      </c>
      <c r="BJ220" s="49">
        <f ca="1"/>
        <v>0</v>
      </c>
      <c r="BK220" s="49">
        <f ca="1"/>
        <v>0</v>
      </c>
      <c r="BL220" s="49">
        <f ca="1"/>
        <v>0</v>
      </c>
      <c r="BM220" s="49">
        <f ca="1"/>
        <v>0</v>
      </c>
      <c r="BN220" s="49">
        <f ca="1"/>
        <v>0</v>
      </c>
      <c r="BO220" s="49">
        <f ca="1"/>
        <v>0</v>
      </c>
      <c r="BP220" s="49">
        <f ca="1"/>
        <v>0</v>
      </c>
      <c r="BQ220" s="49">
        <f ca="1"/>
        <v>0</v>
      </c>
      <c r="BR220" s="49">
        <f ca="1"/>
        <v>0</v>
      </c>
      <c r="BS220" s="49">
        <f ca="1"/>
        <v>0</v>
      </c>
    </row>
    <row r="221" spans="3:71" outlineLevel="1" x14ac:dyDescent="0.2">
      <c r="D221" s="50" t="s">
        <v>677</v>
      </c>
      <c r="I221" s="30">
        <f t="shared" ca="1" si="51"/>
        <v>0</v>
      </c>
      <c r="J221" s="26" t="s">
        <v>148</v>
      </c>
      <c r="K221" s="7" t="s">
        <v>679</v>
      </c>
      <c r="L221" s="49">
        <f ca="1">Marine!CA_decom_nom</f>
        <v>0</v>
      </c>
      <c r="M221" s="49">
        <f ca="1">Marine!CA_decom_nom</f>
        <v>0</v>
      </c>
      <c r="N221" s="49">
        <f ca="1">Marine!CA_decom_nom</f>
        <v>0</v>
      </c>
      <c r="O221" s="49">
        <f ca="1">Marine!CA_decom_nom</f>
        <v>0</v>
      </c>
      <c r="P221" s="49">
        <f ca="1">Marine!CA_decom_nom</f>
        <v>0</v>
      </c>
      <c r="Q221" s="49">
        <f ca="1">Marine!CA_decom_nom</f>
        <v>0</v>
      </c>
      <c r="R221" s="49">
        <f ca="1">Marine!CA_decom_nom</f>
        <v>0</v>
      </c>
      <c r="S221" s="49">
        <f ca="1">Marine!CA_decom_nom</f>
        <v>0</v>
      </c>
      <c r="T221" s="49">
        <f ca="1">Marine!CA_decom_nom</f>
        <v>0</v>
      </c>
      <c r="U221" s="49">
        <f ca="1">Marine!CA_decom_nom</f>
        <v>0</v>
      </c>
      <c r="V221" s="49">
        <f ca="1">Marine!CA_decom_nom</f>
        <v>0</v>
      </c>
      <c r="W221" s="49">
        <f ca="1">Marine!CA_decom_nom</f>
        <v>0</v>
      </c>
      <c r="X221" s="49">
        <f ca="1">Marine!CA_decom_nom</f>
        <v>0</v>
      </c>
      <c r="Y221" s="49">
        <f ca="1">Marine!CA_decom_nom</f>
        <v>0</v>
      </c>
      <c r="Z221" s="49">
        <f ca="1">Marine!CA_decom_nom</f>
        <v>0</v>
      </c>
      <c r="AA221" s="49">
        <f ca="1">Marine!CA_decom_nom</f>
        <v>0</v>
      </c>
      <c r="AB221" s="49">
        <f ca="1">Marine!CA_decom_nom</f>
        <v>0</v>
      </c>
      <c r="AC221" s="49">
        <f ca="1">Marine!CA_decom_nom</f>
        <v>0</v>
      </c>
      <c r="AD221" s="49">
        <f ca="1">Marine!CA_decom_nom</f>
        <v>0</v>
      </c>
      <c r="AE221" s="49">
        <f ca="1">Marine!CA_decom_nom</f>
        <v>0</v>
      </c>
      <c r="AF221" s="49">
        <f ca="1">Marine!CA_decom_nom</f>
        <v>0</v>
      </c>
      <c r="AG221" s="49">
        <f ca="1">Marine!CA_decom_nom</f>
        <v>0</v>
      </c>
      <c r="AH221" s="49">
        <f ca="1">Marine!CA_decom_nom</f>
        <v>0</v>
      </c>
      <c r="AI221" s="49">
        <f ca="1">Marine!CA_decom_nom</f>
        <v>0</v>
      </c>
      <c r="AJ221" s="49">
        <f ca="1">Marine!CA_decom_nom</f>
        <v>0</v>
      </c>
      <c r="AK221" s="49">
        <f ca="1">Marine!CA_decom_nom</f>
        <v>0</v>
      </c>
      <c r="AL221" s="49">
        <f ca="1">Marine!CA_decom_nom</f>
        <v>0</v>
      </c>
      <c r="AM221" s="49">
        <f ca="1">Marine!CA_decom_nom</f>
        <v>0</v>
      </c>
      <c r="AN221" s="49">
        <f ca="1">Marine!CA_decom_nom</f>
        <v>0</v>
      </c>
      <c r="AO221" s="49">
        <f ca="1">Marine!CA_decom_nom</f>
        <v>0</v>
      </c>
      <c r="AP221" s="49">
        <f ca="1">Marine!CA_decom_nom</f>
        <v>0</v>
      </c>
      <c r="AQ221" s="49">
        <f ca="1">Marine!CA_decom_nom</f>
        <v>0</v>
      </c>
      <c r="AR221" s="49">
        <f ca="1">Marine!CA_decom_nom</f>
        <v>0</v>
      </c>
      <c r="AS221" s="49">
        <f ca="1">Marine!CA_decom_nom</f>
        <v>0</v>
      </c>
      <c r="AT221" s="49">
        <f ca="1">Marine!CA_decom_nom</f>
        <v>0</v>
      </c>
      <c r="AU221" s="49">
        <f ca="1">Marine!CA_decom_nom</f>
        <v>0</v>
      </c>
      <c r="AV221" s="49">
        <f ca="1">Marine!CA_decom_nom</f>
        <v>0</v>
      </c>
      <c r="AW221" s="49">
        <f ca="1">Marine!CA_decom_nom</f>
        <v>0</v>
      </c>
      <c r="AX221" s="49">
        <f ca="1">Marine!CA_decom_nom</f>
        <v>0</v>
      </c>
      <c r="AY221" s="49">
        <f ca="1">Marine!CA_decom_nom</f>
        <v>0</v>
      </c>
      <c r="AZ221" s="49">
        <f ca="1">Marine!CA_decom_nom</f>
        <v>0</v>
      </c>
      <c r="BA221" s="49">
        <f ca="1">Marine!CA_decom_nom</f>
        <v>0</v>
      </c>
      <c r="BB221" s="49">
        <f ca="1">Marine!CA_decom_nom</f>
        <v>0</v>
      </c>
      <c r="BC221" s="49">
        <f ca="1">Marine!CA_decom_nom</f>
        <v>0</v>
      </c>
      <c r="BD221" s="49">
        <f ca="1">Marine!CA_decom_nom</f>
        <v>0</v>
      </c>
      <c r="BE221" s="49">
        <f ca="1">Marine!CA_decom_nom</f>
        <v>0</v>
      </c>
      <c r="BF221" s="49">
        <f ca="1">Marine!CA_decom_nom</f>
        <v>0</v>
      </c>
      <c r="BG221" s="49">
        <f ca="1">Marine!CA_decom_nom</f>
        <v>0</v>
      </c>
      <c r="BH221" s="49">
        <f ca="1">Marine!CA_decom_nom</f>
        <v>0</v>
      </c>
      <c r="BI221" s="49">
        <f ca="1">Marine!CA_decom_nom</f>
        <v>0</v>
      </c>
      <c r="BJ221" s="49">
        <f ca="1">Marine!CA_decom_nom</f>
        <v>0</v>
      </c>
      <c r="BK221" s="49">
        <f ca="1">Marine!CA_decom_nom</f>
        <v>0</v>
      </c>
      <c r="BL221" s="49">
        <f ca="1">Marine!CA_decom_nom</f>
        <v>0</v>
      </c>
      <c r="BM221" s="49">
        <f ca="1">Marine!CA_decom_nom</f>
        <v>0</v>
      </c>
      <c r="BN221" s="49">
        <f ca="1">Marine!CA_decom_nom</f>
        <v>0</v>
      </c>
      <c r="BO221" s="49">
        <f ca="1">Marine!CA_decom_nom</f>
        <v>0</v>
      </c>
      <c r="BP221" s="49">
        <f ca="1">Marine!CA_decom_nom</f>
        <v>0</v>
      </c>
      <c r="BQ221" s="49">
        <f ca="1">Marine!CA_decom_nom</f>
        <v>0</v>
      </c>
      <c r="BR221" s="49">
        <f ca="1">Marine!CA_decom_nom</f>
        <v>0</v>
      </c>
      <c r="BS221" s="49">
        <f ca="1">Marine!CA_decom_nom</f>
        <v>0</v>
      </c>
    </row>
    <row r="222" spans="3:71" outlineLevel="1" x14ac:dyDescent="0.2">
      <c r="D222" s="50" t="s">
        <v>675</v>
      </c>
      <c r="I222" s="30">
        <f t="shared" ca="1" si="51"/>
        <v>0</v>
      </c>
      <c r="J222" s="26" t="s">
        <v>148</v>
      </c>
      <c r="K222" s="7" t="s">
        <v>676</v>
      </c>
      <c r="L222" s="49">
        <f ca="1">OFFSET(_xlfn.SINGLE(IA_unrec_cost_bal_real),6,)</f>
        <v>0</v>
      </c>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c r="AL222" s="49"/>
      <c r="AM222" s="49"/>
      <c r="AN222" s="49"/>
      <c r="AO222" s="49"/>
      <c r="AP222" s="49"/>
      <c r="AQ222" s="49"/>
      <c r="AR222" s="49"/>
      <c r="AS222" s="49"/>
      <c r="AT222" s="49"/>
      <c r="AU222" s="49"/>
      <c r="AV222" s="49"/>
      <c r="AW222" s="49"/>
      <c r="AX222" s="49"/>
      <c r="AY222" s="49"/>
      <c r="AZ222" s="49"/>
      <c r="BA222" s="49"/>
      <c r="BB222" s="49"/>
      <c r="BC222" s="49"/>
      <c r="BD222" s="49"/>
      <c r="BE222" s="49"/>
      <c r="BF222" s="49"/>
      <c r="BG222" s="49"/>
      <c r="BH222" s="49"/>
      <c r="BI222" s="49"/>
      <c r="BJ222" s="49"/>
      <c r="BK222" s="49"/>
      <c r="BL222" s="49"/>
      <c r="BM222" s="49"/>
      <c r="BN222" s="49"/>
      <c r="BO222" s="49"/>
      <c r="BP222" s="49"/>
      <c r="BQ222" s="49"/>
      <c r="BR222" s="49"/>
      <c r="BS222" s="49"/>
    </row>
    <row r="223" spans="3:71" outlineLevel="1" x14ac:dyDescent="0.2">
      <c r="D223" s="51" t="s">
        <v>185</v>
      </c>
      <c r="I223" s="30">
        <f t="shared" ca="1" si="51"/>
        <v>5137.0309965462175</v>
      </c>
      <c r="J223" s="26" t="s">
        <v>148</v>
      </c>
      <c r="L223" s="49">
        <f ca="1">SUM(L217:L222)</f>
        <v>424.685</v>
      </c>
      <c r="M223" s="49">
        <f t="shared" ref="M223:BS223" ca="1" si="52">SUM(M217:M222)</f>
        <v>604.94198315333824</v>
      </c>
      <c r="N223" s="49">
        <f t="shared" ca="1" si="52"/>
        <v>898.69287630220731</v>
      </c>
      <c r="O223" s="49">
        <f t="shared" ca="1" si="52"/>
        <v>635.12901567293568</v>
      </c>
      <c r="P223" s="49">
        <f t="shared" ca="1" si="52"/>
        <v>558.8979991053169</v>
      </c>
      <c r="Q223" s="49">
        <f t="shared" ca="1" si="52"/>
        <v>464.08687867218606</v>
      </c>
      <c r="R223" s="49">
        <f t="shared" ca="1" si="52"/>
        <v>182.17677543500434</v>
      </c>
      <c r="S223" s="49">
        <f t="shared" ca="1" si="52"/>
        <v>203.36976393583333</v>
      </c>
      <c r="T223" s="49">
        <f t="shared" ca="1" si="52"/>
        <v>210.65031007620232</v>
      </c>
      <c r="U223" s="49">
        <f t="shared" ca="1" si="52"/>
        <v>221.05260795979308</v>
      </c>
      <c r="V223" s="49">
        <f t="shared" ca="1" si="52"/>
        <v>232.04793587802607</v>
      </c>
      <c r="W223" s="49">
        <f t="shared" ca="1" si="52"/>
        <v>244.05900884150512</v>
      </c>
      <c r="X223" s="49">
        <f t="shared" ca="1" si="52"/>
        <v>257.24084151387018</v>
      </c>
      <c r="Y223" s="49">
        <f t="shared" ca="1" si="52"/>
        <v>0</v>
      </c>
      <c r="Z223" s="49">
        <f t="shared" ca="1" si="52"/>
        <v>0</v>
      </c>
      <c r="AA223" s="49">
        <f t="shared" ca="1" si="52"/>
        <v>0</v>
      </c>
      <c r="AB223" s="49">
        <f t="shared" ca="1" si="52"/>
        <v>0</v>
      </c>
      <c r="AC223" s="49">
        <f t="shared" ca="1" si="52"/>
        <v>0</v>
      </c>
      <c r="AD223" s="49">
        <f t="shared" ca="1" si="52"/>
        <v>0</v>
      </c>
      <c r="AE223" s="49">
        <f t="shared" ca="1" si="52"/>
        <v>0</v>
      </c>
      <c r="AF223" s="49">
        <f t="shared" ca="1" si="52"/>
        <v>0</v>
      </c>
      <c r="AG223" s="49">
        <f t="shared" ca="1" si="52"/>
        <v>0</v>
      </c>
      <c r="AH223" s="49">
        <f t="shared" ca="1" si="52"/>
        <v>0</v>
      </c>
      <c r="AI223" s="49">
        <f t="shared" ca="1" si="52"/>
        <v>0</v>
      </c>
      <c r="AJ223" s="49">
        <f t="shared" ca="1" si="52"/>
        <v>0</v>
      </c>
      <c r="AK223" s="49">
        <f t="shared" ca="1" si="52"/>
        <v>0</v>
      </c>
      <c r="AL223" s="49">
        <f t="shared" ca="1" si="52"/>
        <v>0</v>
      </c>
      <c r="AM223" s="49">
        <f t="shared" ca="1" si="52"/>
        <v>0</v>
      </c>
      <c r="AN223" s="49">
        <f t="shared" ca="1" si="52"/>
        <v>0</v>
      </c>
      <c r="AO223" s="49">
        <f t="shared" ca="1" si="52"/>
        <v>0</v>
      </c>
      <c r="AP223" s="49">
        <f t="shared" ca="1" si="52"/>
        <v>0</v>
      </c>
      <c r="AQ223" s="49">
        <f t="shared" ca="1" si="52"/>
        <v>0</v>
      </c>
      <c r="AR223" s="49">
        <f t="shared" ca="1" si="52"/>
        <v>0</v>
      </c>
      <c r="AS223" s="49">
        <f t="shared" ca="1" si="52"/>
        <v>0</v>
      </c>
      <c r="AT223" s="49">
        <f t="shared" ca="1" si="52"/>
        <v>0</v>
      </c>
      <c r="AU223" s="49">
        <f t="shared" ca="1" si="52"/>
        <v>0</v>
      </c>
      <c r="AV223" s="49">
        <f t="shared" ca="1" si="52"/>
        <v>0</v>
      </c>
      <c r="AW223" s="49">
        <f t="shared" ca="1" si="52"/>
        <v>0</v>
      </c>
      <c r="AX223" s="49">
        <f t="shared" ca="1" si="52"/>
        <v>0</v>
      </c>
      <c r="AY223" s="49">
        <f t="shared" ca="1" si="52"/>
        <v>0</v>
      </c>
      <c r="AZ223" s="49">
        <f t="shared" ca="1" si="52"/>
        <v>0</v>
      </c>
      <c r="BA223" s="49">
        <f t="shared" ca="1" si="52"/>
        <v>0</v>
      </c>
      <c r="BB223" s="49">
        <f t="shared" ca="1" si="52"/>
        <v>0</v>
      </c>
      <c r="BC223" s="49">
        <f t="shared" ca="1" si="52"/>
        <v>0</v>
      </c>
      <c r="BD223" s="49">
        <f t="shared" ca="1" si="52"/>
        <v>0</v>
      </c>
      <c r="BE223" s="49">
        <f t="shared" ca="1" si="52"/>
        <v>0</v>
      </c>
      <c r="BF223" s="49">
        <f t="shared" ca="1" si="52"/>
        <v>0</v>
      </c>
      <c r="BG223" s="49">
        <f t="shared" ca="1" si="52"/>
        <v>0</v>
      </c>
      <c r="BH223" s="49">
        <f t="shared" ca="1" si="52"/>
        <v>0</v>
      </c>
      <c r="BI223" s="49">
        <f t="shared" ca="1" si="52"/>
        <v>0</v>
      </c>
      <c r="BJ223" s="49">
        <f t="shared" ca="1" si="52"/>
        <v>0</v>
      </c>
      <c r="BK223" s="49">
        <f t="shared" ca="1" si="52"/>
        <v>0</v>
      </c>
      <c r="BL223" s="49">
        <f t="shared" ca="1" si="52"/>
        <v>0</v>
      </c>
      <c r="BM223" s="49">
        <f t="shared" ca="1" si="52"/>
        <v>0</v>
      </c>
      <c r="BN223" s="49">
        <f t="shared" ca="1" si="52"/>
        <v>0</v>
      </c>
      <c r="BO223" s="49">
        <f t="shared" ca="1" si="52"/>
        <v>0</v>
      </c>
      <c r="BP223" s="49">
        <f t="shared" ca="1" si="52"/>
        <v>0</v>
      </c>
      <c r="BQ223" s="49">
        <f t="shared" ca="1" si="52"/>
        <v>0</v>
      </c>
      <c r="BR223" s="49">
        <f t="shared" ca="1" si="52"/>
        <v>0</v>
      </c>
      <c r="BS223" s="49">
        <f t="shared" ca="1" si="52"/>
        <v>0</v>
      </c>
    </row>
    <row r="224" spans="3:71" outlineLevel="1" x14ac:dyDescent="0.2">
      <c r="J224" s="26"/>
      <c r="L224" s="55"/>
      <c r="M224" s="55"/>
      <c r="N224" s="55"/>
      <c r="O224" s="55"/>
      <c r="P224" s="55"/>
      <c r="Q224" s="55"/>
      <c r="R224" s="55"/>
      <c r="S224" s="55"/>
      <c r="T224" s="55"/>
      <c r="U224" s="55"/>
      <c r="V224" s="55"/>
      <c r="W224" s="55"/>
      <c r="X224" s="55"/>
      <c r="Y224" s="55"/>
      <c r="Z224" s="55"/>
      <c r="AA224" s="55"/>
      <c r="AB224" s="55"/>
      <c r="AC224" s="55"/>
      <c r="AD224" s="55"/>
      <c r="AE224" s="55"/>
      <c r="AF224" s="55"/>
      <c r="AG224" s="55"/>
      <c r="AH224" s="55"/>
      <c r="AI224" s="55"/>
      <c r="AJ224" s="55"/>
      <c r="AK224" s="55"/>
      <c r="AL224" s="55"/>
      <c r="AM224" s="55"/>
      <c r="AN224" s="55"/>
      <c r="AO224" s="55"/>
      <c r="AP224" s="55"/>
      <c r="AQ224" s="55"/>
      <c r="AR224" s="55"/>
      <c r="AS224" s="55"/>
      <c r="AT224" s="55"/>
      <c r="AU224" s="55"/>
      <c r="AV224" s="55"/>
      <c r="AW224" s="55"/>
      <c r="AX224" s="55"/>
      <c r="AY224" s="55"/>
      <c r="AZ224" s="55"/>
      <c r="BA224" s="55"/>
      <c r="BB224" s="55"/>
      <c r="BC224" s="55"/>
      <c r="BD224" s="55"/>
      <c r="BE224" s="55"/>
      <c r="BF224" s="55"/>
      <c r="BG224" s="55"/>
      <c r="BH224" s="55"/>
      <c r="BI224" s="55"/>
      <c r="BJ224" s="55"/>
      <c r="BK224" s="55"/>
      <c r="BL224" s="55"/>
      <c r="BM224" s="55"/>
      <c r="BN224" s="55"/>
      <c r="BO224" s="55"/>
      <c r="BP224" s="55"/>
      <c r="BQ224" s="55"/>
      <c r="BR224" s="55"/>
      <c r="BS224" s="55"/>
    </row>
    <row r="225" spans="4:71" outlineLevel="1" x14ac:dyDescent="0.2">
      <c r="D225" s="35" t="s">
        <v>859</v>
      </c>
      <c r="J225" s="26" t="s">
        <v>90</v>
      </c>
      <c r="L225" s="53">
        <f t="shared" ref="L225:AQ225" ca="1" si="53">IF(CA_PSC_period_trig=1,INDEX(FA_cost_stop_perc_oil,1),INDEX(FA_cost_stop_perc_oil,2))</f>
        <v>0.7</v>
      </c>
      <c r="M225" s="53">
        <f t="shared" ca="1" si="53"/>
        <v>0.7</v>
      </c>
      <c r="N225" s="53">
        <f t="shared" ca="1" si="53"/>
        <v>0.7</v>
      </c>
      <c r="O225" s="53">
        <f t="shared" ca="1" si="53"/>
        <v>0.7</v>
      </c>
      <c r="P225" s="53">
        <f t="shared" ca="1" si="53"/>
        <v>0.7</v>
      </c>
      <c r="Q225" s="53">
        <f t="shared" ca="1" si="53"/>
        <v>0.7</v>
      </c>
      <c r="R225" s="53">
        <f t="shared" ca="1" si="53"/>
        <v>0.7</v>
      </c>
      <c r="S225" s="53">
        <f t="shared" ca="1" si="53"/>
        <v>0.7</v>
      </c>
      <c r="T225" s="53">
        <f t="shared" ca="1" si="53"/>
        <v>0.7</v>
      </c>
      <c r="U225" s="53">
        <f t="shared" ca="1" si="53"/>
        <v>0.7</v>
      </c>
      <c r="V225" s="53">
        <f t="shared" ca="1" si="53"/>
        <v>0.7</v>
      </c>
      <c r="W225" s="53">
        <f t="shared" ca="1" si="53"/>
        <v>0.7</v>
      </c>
      <c r="X225" s="53">
        <f t="shared" ca="1" si="53"/>
        <v>0.7</v>
      </c>
      <c r="Y225" s="53">
        <f t="shared" ca="1" si="53"/>
        <v>0.7</v>
      </c>
      <c r="Z225" s="53">
        <f t="shared" ca="1" si="53"/>
        <v>0.7</v>
      </c>
      <c r="AA225" s="53">
        <f t="shared" ca="1" si="53"/>
        <v>0.7</v>
      </c>
      <c r="AB225" s="53">
        <f t="shared" ca="1" si="53"/>
        <v>0.7</v>
      </c>
      <c r="AC225" s="53">
        <f t="shared" ca="1" si="53"/>
        <v>0.7</v>
      </c>
      <c r="AD225" s="53">
        <f t="shared" ca="1" si="53"/>
        <v>0.7</v>
      </c>
      <c r="AE225" s="53">
        <f t="shared" ca="1" si="53"/>
        <v>0.7</v>
      </c>
      <c r="AF225" s="53">
        <f t="shared" ca="1" si="53"/>
        <v>0.7</v>
      </c>
      <c r="AG225" s="53">
        <f t="shared" ca="1" si="53"/>
        <v>0.7</v>
      </c>
      <c r="AH225" s="53">
        <f t="shared" ca="1" si="53"/>
        <v>0.7</v>
      </c>
      <c r="AI225" s="53">
        <f t="shared" ca="1" si="53"/>
        <v>0.7</v>
      </c>
      <c r="AJ225" s="53">
        <f t="shared" ca="1" si="53"/>
        <v>0.7</v>
      </c>
      <c r="AK225" s="53">
        <f t="shared" ca="1" si="53"/>
        <v>0.7</v>
      </c>
      <c r="AL225" s="53">
        <f t="shared" ca="1" si="53"/>
        <v>0.7</v>
      </c>
      <c r="AM225" s="53">
        <f t="shared" ca="1" si="53"/>
        <v>0.7</v>
      </c>
      <c r="AN225" s="53">
        <f t="shared" ca="1" si="53"/>
        <v>0.7</v>
      </c>
      <c r="AO225" s="53">
        <f t="shared" ca="1" si="53"/>
        <v>0.7</v>
      </c>
      <c r="AP225" s="53">
        <f t="shared" ca="1" si="53"/>
        <v>0.7</v>
      </c>
      <c r="AQ225" s="53">
        <f t="shared" ca="1" si="53"/>
        <v>0.7</v>
      </c>
      <c r="AR225" s="53">
        <f t="shared" ref="AR225:BS225" ca="1" si="54">IF(CA_PSC_period_trig=1,INDEX(FA_cost_stop_perc_oil,1),INDEX(FA_cost_stop_perc_oil,2))</f>
        <v>0.7</v>
      </c>
      <c r="AS225" s="53">
        <f t="shared" ca="1" si="54"/>
        <v>0.7</v>
      </c>
      <c r="AT225" s="53">
        <f t="shared" ca="1" si="54"/>
        <v>0.7</v>
      </c>
      <c r="AU225" s="53">
        <f t="shared" ca="1" si="54"/>
        <v>0.7</v>
      </c>
      <c r="AV225" s="53">
        <f t="shared" ca="1" si="54"/>
        <v>0.7</v>
      </c>
      <c r="AW225" s="53">
        <f t="shared" ca="1" si="54"/>
        <v>0.7</v>
      </c>
      <c r="AX225" s="53">
        <f t="shared" ca="1" si="54"/>
        <v>0.7</v>
      </c>
      <c r="AY225" s="53">
        <f t="shared" ca="1" si="54"/>
        <v>0.7</v>
      </c>
      <c r="AZ225" s="53">
        <f t="shared" ca="1" si="54"/>
        <v>0.7</v>
      </c>
      <c r="BA225" s="53">
        <f t="shared" ca="1" si="54"/>
        <v>0.7</v>
      </c>
      <c r="BB225" s="53">
        <f t="shared" ca="1" si="54"/>
        <v>0.7</v>
      </c>
      <c r="BC225" s="53">
        <f t="shared" ca="1" si="54"/>
        <v>0.7</v>
      </c>
      <c r="BD225" s="53">
        <f t="shared" ca="1" si="54"/>
        <v>0.7</v>
      </c>
      <c r="BE225" s="53">
        <f t="shared" ca="1" si="54"/>
        <v>0.7</v>
      </c>
      <c r="BF225" s="53">
        <f t="shared" ca="1" si="54"/>
        <v>0.7</v>
      </c>
      <c r="BG225" s="53">
        <f t="shared" ca="1" si="54"/>
        <v>0.7</v>
      </c>
      <c r="BH225" s="53">
        <f t="shared" ca="1" si="54"/>
        <v>0.7</v>
      </c>
      <c r="BI225" s="53">
        <f t="shared" ca="1" si="54"/>
        <v>0.7</v>
      </c>
      <c r="BJ225" s="53">
        <f t="shared" ca="1" si="54"/>
        <v>0.7</v>
      </c>
      <c r="BK225" s="53">
        <f t="shared" ca="1" si="54"/>
        <v>0.7</v>
      </c>
      <c r="BL225" s="53">
        <f t="shared" ca="1" si="54"/>
        <v>0.7</v>
      </c>
      <c r="BM225" s="53">
        <f t="shared" ca="1" si="54"/>
        <v>0.7</v>
      </c>
      <c r="BN225" s="53">
        <f t="shared" ca="1" si="54"/>
        <v>0.7</v>
      </c>
      <c r="BO225" s="53">
        <f t="shared" ca="1" si="54"/>
        <v>0.7</v>
      </c>
      <c r="BP225" s="53">
        <f t="shared" ca="1" si="54"/>
        <v>0.7</v>
      </c>
      <c r="BQ225" s="53">
        <f t="shared" ca="1" si="54"/>
        <v>0.7</v>
      </c>
      <c r="BR225" s="53">
        <f t="shared" ca="1" si="54"/>
        <v>0.7</v>
      </c>
      <c r="BS225" s="53">
        <f t="shared" ca="1" si="54"/>
        <v>0.7</v>
      </c>
    </row>
    <row r="226" spans="4:71" outlineLevel="1" x14ac:dyDescent="0.2">
      <c r="J226" s="26"/>
      <c r="L226" s="55"/>
      <c r="M226" s="55"/>
      <c r="N226" s="55"/>
      <c r="O226" s="55"/>
      <c r="P226" s="55"/>
      <c r="Q226" s="55"/>
      <c r="R226" s="55"/>
      <c r="S226" s="55"/>
      <c r="T226" s="55"/>
      <c r="U226" s="55"/>
      <c r="V226" s="55"/>
      <c r="W226" s="55"/>
      <c r="X226" s="55"/>
      <c r="Y226" s="55"/>
      <c r="Z226" s="55"/>
      <c r="AA226" s="55"/>
      <c r="AB226" s="55"/>
      <c r="AC226" s="55"/>
      <c r="AD226" s="55"/>
      <c r="AE226" s="55"/>
      <c r="AF226" s="55"/>
      <c r="AG226" s="55"/>
      <c r="AH226" s="55"/>
      <c r="AI226" s="55"/>
      <c r="AJ226" s="55"/>
      <c r="AK226" s="55"/>
      <c r="AL226" s="55"/>
      <c r="AM226" s="55"/>
      <c r="AN226" s="55"/>
      <c r="AO226" s="55"/>
      <c r="AP226" s="55"/>
      <c r="AQ226" s="55"/>
      <c r="AR226" s="55"/>
      <c r="AS226" s="55"/>
      <c r="AT226" s="55"/>
      <c r="AU226" s="55"/>
      <c r="AV226" s="55"/>
      <c r="AW226" s="55"/>
      <c r="AX226" s="55"/>
      <c r="AY226" s="55"/>
      <c r="AZ226" s="55"/>
      <c r="BA226" s="55"/>
      <c r="BB226" s="55"/>
      <c r="BC226" s="55"/>
      <c r="BD226" s="55"/>
      <c r="BE226" s="55"/>
      <c r="BF226" s="55"/>
      <c r="BG226" s="55"/>
      <c r="BH226" s="55"/>
      <c r="BI226" s="55"/>
      <c r="BJ226" s="55"/>
      <c r="BK226" s="55"/>
      <c r="BL226" s="55"/>
      <c r="BM226" s="55"/>
      <c r="BN226" s="55"/>
      <c r="BO226" s="55"/>
      <c r="BP226" s="55"/>
      <c r="BQ226" s="55"/>
      <c r="BR226" s="55"/>
      <c r="BS226" s="55"/>
    </row>
    <row r="227" spans="4:71" outlineLevel="1" x14ac:dyDescent="0.2">
      <c r="D227" s="11" t="s">
        <v>856</v>
      </c>
      <c r="I227" s="30">
        <f t="shared" ref="I227" ca="1" si="55">SUM($L227:$BS227)</f>
        <v>3238.2863176754536</v>
      </c>
      <c r="J227" s="26" t="s">
        <v>148</v>
      </c>
      <c r="K227" s="7" t="s">
        <v>857</v>
      </c>
      <c r="L227" s="49">
        <f ca="1">L225*Marine!CA_gross_rev_oil_fp</f>
        <v>0</v>
      </c>
      <c r="M227" s="49">
        <f ca="1">M225*Marine!CA_gross_rev_oil_fp</f>
        <v>0.16974408875808392</v>
      </c>
      <c r="N227" s="49">
        <f ca="1">N225*Marine!CA_gross_rev_oil_fp</f>
        <v>58.485517526142516</v>
      </c>
      <c r="O227" s="49">
        <f ca="1">O225*Marine!CA_gross_rev_oil_fp</f>
        <v>90.492232867762084</v>
      </c>
      <c r="P227" s="49">
        <f ca="1">P225*Marine!CA_gross_rev_oil_fp</f>
        <v>209.1184752662713</v>
      </c>
      <c r="Q227" s="49">
        <f ca="1">Q225*Marine!CA_gross_rev_oil_fp</f>
        <v>465.23630441858234</v>
      </c>
      <c r="R227" s="49">
        <f ca="1">R225*Marine!CA_gross_rev_oil_fp</f>
        <v>432.37422792519823</v>
      </c>
      <c r="S227" s="49">
        <f ca="1">S225*Marine!CA_gross_rev_oil_fp</f>
        <v>245.22735550833329</v>
      </c>
      <c r="T227" s="49">
        <f ca="1">T225*Marine!CA_gross_rev_oil_fp</f>
        <v>369.96326771039992</v>
      </c>
      <c r="U227" s="49">
        <f ca="1">U225*Marine!CA_gross_rev_oil_fp</f>
        <v>369.31587203699996</v>
      </c>
      <c r="V227" s="49">
        <f ca="1">V225*Marine!CA_gross_rev_oil_fp</f>
        <v>350.33303621429809</v>
      </c>
      <c r="W227" s="49">
        <f ca="1">W225*Marine!CA_gross_rev_oil_fp</f>
        <v>332.3259181528831</v>
      </c>
      <c r="X227" s="49">
        <f ca="1">X225*Marine!CA_gross_rev_oil_fp</f>
        <v>315.2443659598249</v>
      </c>
      <c r="Y227" s="49">
        <f ca="1">Y225*Marine!CA_gross_rev_oil_fp</f>
        <v>0</v>
      </c>
      <c r="Z227" s="49">
        <f ca="1">Z225*Marine!CA_gross_rev_oil_fp</f>
        <v>0</v>
      </c>
      <c r="AA227" s="49">
        <f ca="1">AA225*Marine!CA_gross_rev_oil_fp</f>
        <v>0</v>
      </c>
      <c r="AB227" s="49">
        <f ca="1">AB225*Marine!CA_gross_rev_oil_fp</f>
        <v>0</v>
      </c>
      <c r="AC227" s="49">
        <f ca="1">AC225*Marine!CA_gross_rev_oil_fp</f>
        <v>0</v>
      </c>
      <c r="AD227" s="49">
        <f ca="1">AD225*Marine!CA_gross_rev_oil_fp</f>
        <v>0</v>
      </c>
      <c r="AE227" s="49">
        <f ca="1">AE225*Marine!CA_gross_rev_oil_fp</f>
        <v>0</v>
      </c>
      <c r="AF227" s="49">
        <f ca="1">AF225*Marine!CA_gross_rev_oil_fp</f>
        <v>0</v>
      </c>
      <c r="AG227" s="49">
        <f ca="1">AG225*Marine!CA_gross_rev_oil_fp</f>
        <v>0</v>
      </c>
      <c r="AH227" s="49">
        <f ca="1">AH225*Marine!CA_gross_rev_oil_fp</f>
        <v>0</v>
      </c>
      <c r="AI227" s="49">
        <f ca="1">AI225*Marine!CA_gross_rev_oil_fp</f>
        <v>0</v>
      </c>
      <c r="AJ227" s="49">
        <f ca="1">AJ225*Marine!CA_gross_rev_oil_fp</f>
        <v>0</v>
      </c>
      <c r="AK227" s="49">
        <f ca="1">AK225*Marine!CA_gross_rev_oil_fp</f>
        <v>0</v>
      </c>
      <c r="AL227" s="49">
        <f ca="1">AL225*Marine!CA_gross_rev_oil_fp</f>
        <v>0</v>
      </c>
      <c r="AM227" s="49">
        <f ca="1">AM225*Marine!CA_gross_rev_oil_fp</f>
        <v>0</v>
      </c>
      <c r="AN227" s="49">
        <f ca="1">AN225*Marine!CA_gross_rev_oil_fp</f>
        <v>0</v>
      </c>
      <c r="AO227" s="49">
        <f ca="1">AO225*Marine!CA_gross_rev_oil_fp</f>
        <v>0</v>
      </c>
      <c r="AP227" s="49">
        <f ca="1">AP225*Marine!CA_gross_rev_oil_fp</f>
        <v>0</v>
      </c>
      <c r="AQ227" s="49">
        <f ca="1">AQ225*Marine!CA_gross_rev_oil_fp</f>
        <v>0</v>
      </c>
      <c r="AR227" s="49">
        <f ca="1">AR225*Marine!CA_gross_rev_oil_fp</f>
        <v>0</v>
      </c>
      <c r="AS227" s="49">
        <f ca="1">AS225*Marine!CA_gross_rev_oil_fp</f>
        <v>0</v>
      </c>
      <c r="AT227" s="49">
        <f ca="1">AT225*Marine!CA_gross_rev_oil_fp</f>
        <v>0</v>
      </c>
      <c r="AU227" s="49">
        <f ca="1">AU225*Marine!CA_gross_rev_oil_fp</f>
        <v>0</v>
      </c>
      <c r="AV227" s="49">
        <f ca="1">AV225*Marine!CA_gross_rev_oil_fp</f>
        <v>0</v>
      </c>
      <c r="AW227" s="49">
        <f ca="1">AW225*Marine!CA_gross_rev_oil_fp</f>
        <v>0</v>
      </c>
      <c r="AX227" s="49">
        <f ca="1">AX225*Marine!CA_gross_rev_oil_fp</f>
        <v>0</v>
      </c>
      <c r="AY227" s="49">
        <f ca="1">AY225*Marine!CA_gross_rev_oil_fp</f>
        <v>0</v>
      </c>
      <c r="AZ227" s="49">
        <f ca="1">AZ225*Marine!CA_gross_rev_oil_fp</f>
        <v>0</v>
      </c>
      <c r="BA227" s="49">
        <f ca="1">BA225*Marine!CA_gross_rev_oil_fp</f>
        <v>0</v>
      </c>
      <c r="BB227" s="49">
        <f ca="1">BB225*Marine!CA_gross_rev_oil_fp</f>
        <v>0</v>
      </c>
      <c r="BC227" s="49">
        <f ca="1">BC225*Marine!CA_gross_rev_oil_fp</f>
        <v>0</v>
      </c>
      <c r="BD227" s="49">
        <f ca="1">BD225*Marine!CA_gross_rev_oil_fp</f>
        <v>0</v>
      </c>
      <c r="BE227" s="49">
        <f ca="1">BE225*Marine!CA_gross_rev_oil_fp</f>
        <v>0</v>
      </c>
      <c r="BF227" s="49">
        <f ca="1">BF225*Marine!CA_gross_rev_oil_fp</f>
        <v>0</v>
      </c>
      <c r="BG227" s="49">
        <f ca="1">BG225*Marine!CA_gross_rev_oil_fp</f>
        <v>0</v>
      </c>
      <c r="BH227" s="49">
        <f ca="1">BH225*Marine!CA_gross_rev_oil_fp</f>
        <v>0</v>
      </c>
      <c r="BI227" s="49">
        <f ca="1">BI225*Marine!CA_gross_rev_oil_fp</f>
        <v>0</v>
      </c>
      <c r="BJ227" s="49">
        <f ca="1">BJ225*Marine!CA_gross_rev_oil_fp</f>
        <v>0</v>
      </c>
      <c r="BK227" s="49">
        <f ca="1">BK225*Marine!CA_gross_rev_oil_fp</f>
        <v>0</v>
      </c>
      <c r="BL227" s="49">
        <f ca="1">BL225*Marine!CA_gross_rev_oil_fp</f>
        <v>0</v>
      </c>
      <c r="BM227" s="49">
        <f ca="1">BM225*Marine!CA_gross_rev_oil_fp</f>
        <v>0</v>
      </c>
      <c r="BN227" s="49">
        <f ca="1">BN225*Marine!CA_gross_rev_oil_fp</f>
        <v>0</v>
      </c>
      <c r="BO227" s="49">
        <f ca="1">BO225*Marine!CA_gross_rev_oil_fp</f>
        <v>0</v>
      </c>
      <c r="BP227" s="49">
        <f ca="1">BP225*Marine!CA_gross_rev_oil_fp</f>
        <v>0</v>
      </c>
      <c r="BQ227" s="49">
        <f ca="1">BQ225*Marine!CA_gross_rev_oil_fp</f>
        <v>0</v>
      </c>
      <c r="BR227" s="49">
        <f ca="1">BR225*Marine!CA_gross_rev_oil_fp</f>
        <v>0</v>
      </c>
      <c r="BS227" s="49">
        <f ca="1">BS225*Marine!CA_gross_rev_oil_fp</f>
        <v>0</v>
      </c>
    </row>
    <row r="228" spans="4:71" outlineLevel="1" x14ac:dyDescent="0.2">
      <c r="J228" s="26"/>
      <c r="L228" s="55"/>
      <c r="M228" s="55"/>
      <c r="N228" s="55"/>
      <c r="O228" s="55"/>
      <c r="P228" s="55"/>
      <c r="Q228" s="55"/>
      <c r="R228" s="55"/>
      <c r="S228" s="55"/>
      <c r="T228" s="55"/>
      <c r="U228" s="55"/>
      <c r="V228" s="55"/>
      <c r="W228" s="55"/>
      <c r="X228" s="55"/>
      <c r="Y228" s="55"/>
      <c r="Z228" s="55"/>
      <c r="AA228" s="55"/>
      <c r="AB228" s="55"/>
      <c r="AC228" s="55"/>
      <c r="AD228" s="55"/>
      <c r="AE228" s="55"/>
      <c r="AF228" s="55"/>
      <c r="AG228" s="55"/>
      <c r="AH228" s="55"/>
      <c r="AI228" s="55"/>
      <c r="AJ228" s="55"/>
      <c r="AK228" s="55"/>
      <c r="AL228" s="55"/>
      <c r="AM228" s="55"/>
      <c r="AN228" s="55"/>
      <c r="AO228" s="55"/>
      <c r="AP228" s="55"/>
      <c r="AQ228" s="55"/>
      <c r="AR228" s="55"/>
      <c r="AS228" s="55"/>
      <c r="AT228" s="55"/>
      <c r="AU228" s="55"/>
      <c r="AV228" s="55"/>
      <c r="AW228" s="55"/>
      <c r="AX228" s="55"/>
      <c r="AY228" s="55"/>
      <c r="AZ228" s="55"/>
      <c r="BA228" s="55"/>
      <c r="BB228" s="55"/>
      <c r="BC228" s="55"/>
      <c r="BD228" s="55"/>
      <c r="BE228" s="55"/>
      <c r="BF228" s="55"/>
      <c r="BG228" s="55"/>
      <c r="BH228" s="55"/>
      <c r="BI228" s="55"/>
      <c r="BJ228" s="55"/>
      <c r="BK228" s="55"/>
      <c r="BL228" s="55"/>
      <c r="BM228" s="55"/>
      <c r="BN228" s="55"/>
      <c r="BO228" s="55"/>
      <c r="BP228" s="55"/>
      <c r="BQ228" s="55"/>
      <c r="BR228" s="55"/>
      <c r="BS228" s="55"/>
    </row>
    <row r="229" spans="4:71" outlineLevel="1" x14ac:dyDescent="0.2">
      <c r="D229" s="11" t="s">
        <v>858</v>
      </c>
      <c r="J229" s="26"/>
      <c r="L229" s="55"/>
      <c r="M229" s="55"/>
      <c r="N229" s="55"/>
      <c r="O229" s="55"/>
      <c r="P229" s="55"/>
      <c r="Q229" s="55"/>
      <c r="R229" s="55"/>
      <c r="S229" s="55"/>
      <c r="T229" s="55"/>
      <c r="U229" s="55"/>
      <c r="V229" s="55"/>
      <c r="W229" s="55"/>
      <c r="X229" s="55"/>
      <c r="Y229" s="55"/>
      <c r="Z229" s="55"/>
      <c r="AA229" s="55"/>
      <c r="AB229" s="55"/>
      <c r="AC229" s="55"/>
      <c r="AD229" s="55"/>
      <c r="AE229" s="55"/>
      <c r="AF229" s="55"/>
      <c r="AG229" s="55"/>
      <c r="AH229" s="55"/>
      <c r="AI229" s="55"/>
      <c r="AJ229" s="55"/>
      <c r="AK229" s="55"/>
      <c r="AL229" s="55"/>
      <c r="AM229" s="55"/>
      <c r="AN229" s="55"/>
      <c r="AO229" s="55"/>
      <c r="AP229" s="55"/>
      <c r="AQ229" s="55"/>
      <c r="AR229" s="55"/>
      <c r="AS229" s="55"/>
      <c r="AT229" s="55"/>
      <c r="AU229" s="55"/>
      <c r="AV229" s="55"/>
      <c r="AW229" s="55"/>
      <c r="AX229" s="55"/>
      <c r="AY229" s="55"/>
      <c r="AZ229" s="55"/>
      <c r="BA229" s="55"/>
      <c r="BB229" s="55"/>
      <c r="BC229" s="55"/>
      <c r="BD229" s="55"/>
      <c r="BE229" s="55"/>
      <c r="BF229" s="55"/>
      <c r="BG229" s="55"/>
      <c r="BH229" s="55"/>
      <c r="BI229" s="55"/>
      <c r="BJ229" s="55"/>
      <c r="BK229" s="55"/>
      <c r="BL229" s="55"/>
      <c r="BM229" s="55"/>
      <c r="BN229" s="55"/>
      <c r="BO229" s="55"/>
      <c r="BP229" s="55"/>
      <c r="BQ229" s="55"/>
      <c r="BR229" s="55"/>
      <c r="BS229" s="55"/>
    </row>
    <row r="230" spans="4:71" outlineLevel="1" x14ac:dyDescent="0.2">
      <c r="D230" s="51" t="s">
        <v>182</v>
      </c>
      <c r="J230" s="26"/>
      <c r="L230" s="55"/>
      <c r="M230" s="55"/>
      <c r="N230" s="55"/>
      <c r="O230" s="55"/>
      <c r="P230" s="55"/>
      <c r="Q230" s="55"/>
      <c r="R230" s="55"/>
      <c r="S230" s="55"/>
      <c r="T230" s="55"/>
      <c r="U230" s="55"/>
      <c r="V230" s="55"/>
      <c r="W230" s="55"/>
      <c r="X230" s="55"/>
      <c r="Y230" s="55"/>
      <c r="Z230" s="55"/>
      <c r="AA230" s="55"/>
      <c r="AB230" s="55"/>
      <c r="AC230" s="55"/>
      <c r="AD230" s="55"/>
      <c r="AE230" s="55"/>
      <c r="AF230" s="55"/>
      <c r="AG230" s="55"/>
      <c r="AH230" s="55"/>
      <c r="AI230" s="55"/>
      <c r="AJ230" s="55"/>
      <c r="AK230" s="55"/>
      <c r="AL230" s="55"/>
      <c r="AM230" s="55"/>
      <c r="AN230" s="55"/>
      <c r="AO230" s="55"/>
      <c r="AP230" s="55"/>
      <c r="AQ230" s="55"/>
      <c r="AR230" s="55"/>
      <c r="AS230" s="55"/>
      <c r="AT230" s="55"/>
      <c r="AU230" s="55"/>
      <c r="AV230" s="55"/>
      <c r="AW230" s="55"/>
      <c r="AX230" s="55"/>
      <c r="AY230" s="55"/>
      <c r="AZ230" s="55"/>
      <c r="BA230" s="55"/>
      <c r="BB230" s="55"/>
      <c r="BC230" s="55"/>
      <c r="BD230" s="55"/>
      <c r="BE230" s="55"/>
      <c r="BF230" s="55"/>
      <c r="BG230" s="55"/>
      <c r="BH230" s="55"/>
      <c r="BI230" s="55"/>
      <c r="BJ230" s="55"/>
      <c r="BK230" s="55"/>
      <c r="BL230" s="55"/>
      <c r="BM230" s="55"/>
      <c r="BN230" s="55"/>
      <c r="BO230" s="55"/>
      <c r="BP230" s="55"/>
      <c r="BQ230" s="55"/>
      <c r="BR230" s="55"/>
      <c r="BS230" s="55"/>
    </row>
    <row r="231" spans="4:71" outlineLevel="1" x14ac:dyDescent="0.2">
      <c r="E231" t="s">
        <v>192</v>
      </c>
      <c r="I231" s="30">
        <f t="shared" ref="I231:I233" ca="1" si="56">SUM($L231:$BS231)</f>
        <v>3238.2863176754536</v>
      </c>
      <c r="J231" s="26" t="s">
        <v>148</v>
      </c>
      <c r="L231" s="49">
        <f t="shared" ref="L231:AQ231" ca="1" si="57">CA_cost_stop_oil</f>
        <v>0</v>
      </c>
      <c r="M231" s="49">
        <f t="shared" ca="1" si="57"/>
        <v>0.16974408875808392</v>
      </c>
      <c r="N231" s="49">
        <f t="shared" ca="1" si="57"/>
        <v>58.485517526142516</v>
      </c>
      <c r="O231" s="49">
        <f t="shared" ca="1" si="57"/>
        <v>90.492232867762084</v>
      </c>
      <c r="P231" s="49">
        <f t="shared" ca="1" si="57"/>
        <v>209.1184752662713</v>
      </c>
      <c r="Q231" s="49">
        <f t="shared" ca="1" si="57"/>
        <v>465.23630441858234</v>
      </c>
      <c r="R231" s="49">
        <f t="shared" ca="1" si="57"/>
        <v>432.37422792519823</v>
      </c>
      <c r="S231" s="49">
        <f t="shared" ca="1" si="57"/>
        <v>245.22735550833329</v>
      </c>
      <c r="T231" s="49">
        <f t="shared" ca="1" si="57"/>
        <v>369.96326771039992</v>
      </c>
      <c r="U231" s="49">
        <f t="shared" ca="1" si="57"/>
        <v>369.31587203699996</v>
      </c>
      <c r="V231" s="49">
        <f t="shared" ca="1" si="57"/>
        <v>350.33303621429809</v>
      </c>
      <c r="W231" s="49">
        <f t="shared" ca="1" si="57"/>
        <v>332.3259181528831</v>
      </c>
      <c r="X231" s="49">
        <f t="shared" ca="1" si="57"/>
        <v>315.2443659598249</v>
      </c>
      <c r="Y231" s="49">
        <f t="shared" ca="1" si="57"/>
        <v>0</v>
      </c>
      <c r="Z231" s="49">
        <f t="shared" ca="1" si="57"/>
        <v>0</v>
      </c>
      <c r="AA231" s="49">
        <f t="shared" ca="1" si="57"/>
        <v>0</v>
      </c>
      <c r="AB231" s="49">
        <f t="shared" ca="1" si="57"/>
        <v>0</v>
      </c>
      <c r="AC231" s="49">
        <f t="shared" ca="1" si="57"/>
        <v>0</v>
      </c>
      <c r="AD231" s="49">
        <f t="shared" ca="1" si="57"/>
        <v>0</v>
      </c>
      <c r="AE231" s="49">
        <f t="shared" ca="1" si="57"/>
        <v>0</v>
      </c>
      <c r="AF231" s="49">
        <f t="shared" ca="1" si="57"/>
        <v>0</v>
      </c>
      <c r="AG231" s="49">
        <f t="shared" ca="1" si="57"/>
        <v>0</v>
      </c>
      <c r="AH231" s="49">
        <f t="shared" ca="1" si="57"/>
        <v>0</v>
      </c>
      <c r="AI231" s="49">
        <f t="shared" ca="1" si="57"/>
        <v>0</v>
      </c>
      <c r="AJ231" s="49">
        <f t="shared" ca="1" si="57"/>
        <v>0</v>
      </c>
      <c r="AK231" s="49">
        <f t="shared" ca="1" si="57"/>
        <v>0</v>
      </c>
      <c r="AL231" s="49">
        <f t="shared" ca="1" si="57"/>
        <v>0</v>
      </c>
      <c r="AM231" s="49">
        <f t="shared" ca="1" si="57"/>
        <v>0</v>
      </c>
      <c r="AN231" s="49">
        <f t="shared" ca="1" si="57"/>
        <v>0</v>
      </c>
      <c r="AO231" s="49">
        <f t="shared" ca="1" si="57"/>
        <v>0</v>
      </c>
      <c r="AP231" s="49">
        <f t="shared" ca="1" si="57"/>
        <v>0</v>
      </c>
      <c r="AQ231" s="49">
        <f t="shared" ca="1" si="57"/>
        <v>0</v>
      </c>
      <c r="AR231" s="49">
        <f t="shared" ref="AR231:BS231" ca="1" si="58">CA_cost_stop_oil</f>
        <v>0</v>
      </c>
      <c r="AS231" s="49">
        <f t="shared" ca="1" si="58"/>
        <v>0</v>
      </c>
      <c r="AT231" s="49">
        <f t="shared" ca="1" si="58"/>
        <v>0</v>
      </c>
      <c r="AU231" s="49">
        <f t="shared" ca="1" si="58"/>
        <v>0</v>
      </c>
      <c r="AV231" s="49">
        <f t="shared" ca="1" si="58"/>
        <v>0</v>
      </c>
      <c r="AW231" s="49">
        <f t="shared" ca="1" si="58"/>
        <v>0</v>
      </c>
      <c r="AX231" s="49">
        <f t="shared" ca="1" si="58"/>
        <v>0</v>
      </c>
      <c r="AY231" s="49">
        <f t="shared" ca="1" si="58"/>
        <v>0</v>
      </c>
      <c r="AZ231" s="49">
        <f t="shared" ca="1" si="58"/>
        <v>0</v>
      </c>
      <c r="BA231" s="49">
        <f t="shared" ca="1" si="58"/>
        <v>0</v>
      </c>
      <c r="BB231" s="49">
        <f t="shared" ca="1" si="58"/>
        <v>0</v>
      </c>
      <c r="BC231" s="49">
        <f t="shared" ca="1" si="58"/>
        <v>0</v>
      </c>
      <c r="BD231" s="49">
        <f t="shared" ca="1" si="58"/>
        <v>0</v>
      </c>
      <c r="BE231" s="49">
        <f t="shared" ca="1" si="58"/>
        <v>0</v>
      </c>
      <c r="BF231" s="49">
        <f t="shared" ca="1" si="58"/>
        <v>0</v>
      </c>
      <c r="BG231" s="49">
        <f t="shared" ca="1" si="58"/>
        <v>0</v>
      </c>
      <c r="BH231" s="49">
        <f t="shared" ca="1" si="58"/>
        <v>0</v>
      </c>
      <c r="BI231" s="49">
        <f t="shared" ca="1" si="58"/>
        <v>0</v>
      </c>
      <c r="BJ231" s="49">
        <f t="shared" ca="1" si="58"/>
        <v>0</v>
      </c>
      <c r="BK231" s="49">
        <f t="shared" ca="1" si="58"/>
        <v>0</v>
      </c>
      <c r="BL231" s="49">
        <f t="shared" ca="1" si="58"/>
        <v>0</v>
      </c>
      <c r="BM231" s="49">
        <f t="shared" ca="1" si="58"/>
        <v>0</v>
      </c>
      <c r="BN231" s="49">
        <f t="shared" ca="1" si="58"/>
        <v>0</v>
      </c>
      <c r="BO231" s="49">
        <f t="shared" ca="1" si="58"/>
        <v>0</v>
      </c>
      <c r="BP231" s="49">
        <f t="shared" ca="1" si="58"/>
        <v>0</v>
      </c>
      <c r="BQ231" s="49">
        <f t="shared" ca="1" si="58"/>
        <v>0</v>
      </c>
      <c r="BR231" s="49">
        <f t="shared" ca="1" si="58"/>
        <v>0</v>
      </c>
      <c r="BS231" s="49">
        <f t="shared" ca="1" si="58"/>
        <v>0</v>
      </c>
    </row>
    <row r="232" spans="4:71" outlineLevel="1" x14ac:dyDescent="0.2">
      <c r="E232" t="s">
        <v>193</v>
      </c>
      <c r="I232" s="30">
        <f ca="1">I217</f>
        <v>2321.8359572160002</v>
      </c>
      <c r="J232" s="26" t="s">
        <v>148</v>
      </c>
      <c r="L232" s="49">
        <f ca="1">Marine!CA_opex_to_recover+(K234*(1+Marine!int_rate_cf_costs))</f>
        <v>37.1</v>
      </c>
      <c r="M232" s="49">
        <f ca="1">Marine!CA_opex_to_recover+(L234*(1+Marine!int_rate_cf_costs))</f>
        <v>139.041</v>
      </c>
      <c r="N232" s="49">
        <f ca="1">Marine!CA_opex_to_recover+(M234*(1+Marine!int_rate_cf_costs))</f>
        <v>258.29925591124191</v>
      </c>
      <c r="O232" s="49">
        <f ca="1">Marine!CA_opex_to_recover+(N234*(1+Marine!int_rate_cf_costs))</f>
        <v>378.50873838509938</v>
      </c>
      <c r="P232" s="49">
        <f ca="1">Marine!CA_opex_to_recover+(O234*(1+Marine!int_rate_cf_costs))</f>
        <v>435.96550551733731</v>
      </c>
      <c r="Q232" s="49">
        <f ca="1">Marine!CA_opex_to_recover+(P234*(1+Marine!int_rate_cf_costs))</f>
        <v>453.25803025106597</v>
      </c>
      <c r="R232" s="49">
        <f ca="1">Marine!CA_opex_to_recover+(Q234*(1+Marine!int_rate_cf_costs))</f>
        <v>176</v>
      </c>
      <c r="S232" s="49">
        <f ca="1">Marine!CA_opex_to_recover+(R234*(1+Marine!int_rate_cf_costs))</f>
        <v>198.9</v>
      </c>
      <c r="T232" s="49">
        <f ca="1">Marine!CA_opex_to_recover+(S234*(1+Marine!int_rate_cf_costs))</f>
        <v>204.4</v>
      </c>
      <c r="U232" s="49">
        <f ca="1">Marine!CA_opex_to_recover+(T234*(1+Marine!int_rate_cf_costs))</f>
        <v>214.81200000000001</v>
      </c>
      <c r="V232" s="49">
        <f ca="1">Marine!CA_opex_to_recover+(U234*(1+Marine!int_rate_cf_costs))</f>
        <v>226.07892000000001</v>
      </c>
      <c r="W232" s="49">
        <f ca="1">Marine!CA_opex_to_recover+(V234*(1+Marine!int_rate_cf_costs))</f>
        <v>238.34731679999999</v>
      </c>
      <c r="X232" s="49">
        <f ca="1">Marine!CA_opex_to_recover+(W234*(1+Marine!int_rate_cf_costs))</f>
        <v>251.77372041599997</v>
      </c>
      <c r="Y232" s="49">
        <f ca="1">Marine!CA_opex_to_recover+(X234*(1+Marine!int_rate_cf_costs))</f>
        <v>0</v>
      </c>
      <c r="Z232" s="49">
        <f ca="1">Marine!CA_opex_to_recover+(Y234*(1+Marine!int_rate_cf_costs))</f>
        <v>0</v>
      </c>
      <c r="AA232" s="49">
        <f ca="1">Marine!CA_opex_to_recover+(Z234*(1+Marine!int_rate_cf_costs))</f>
        <v>0</v>
      </c>
      <c r="AB232" s="49">
        <f ca="1">Marine!CA_opex_to_recover+(AA234*(1+Marine!int_rate_cf_costs))</f>
        <v>0</v>
      </c>
      <c r="AC232" s="49">
        <f ca="1">Marine!CA_opex_to_recover+(AB234*(1+Marine!int_rate_cf_costs))</f>
        <v>0</v>
      </c>
      <c r="AD232" s="49">
        <f ca="1">Marine!CA_opex_to_recover+(AC234*(1+Marine!int_rate_cf_costs))</f>
        <v>0</v>
      </c>
      <c r="AE232" s="49">
        <f ca="1">Marine!CA_opex_to_recover+(AD234*(1+Marine!int_rate_cf_costs))</f>
        <v>0</v>
      </c>
      <c r="AF232" s="49">
        <f ca="1">Marine!CA_opex_to_recover+(AE234*(1+Marine!int_rate_cf_costs))</f>
        <v>0</v>
      </c>
      <c r="AG232" s="49">
        <f ca="1">Marine!CA_opex_to_recover+(AF234*(1+Marine!int_rate_cf_costs))</f>
        <v>0</v>
      </c>
      <c r="AH232" s="49">
        <f ca="1">Marine!CA_opex_to_recover+(AG234*(1+Marine!int_rate_cf_costs))</f>
        <v>0</v>
      </c>
      <c r="AI232" s="49">
        <f ca="1">Marine!CA_opex_to_recover+(AH234*(1+Marine!int_rate_cf_costs))</f>
        <v>0</v>
      </c>
      <c r="AJ232" s="49">
        <f ca="1">Marine!CA_opex_to_recover+(AI234*(1+Marine!int_rate_cf_costs))</f>
        <v>0</v>
      </c>
      <c r="AK232" s="49">
        <f ca="1">Marine!CA_opex_to_recover+(AJ234*(1+Marine!int_rate_cf_costs))</f>
        <v>0</v>
      </c>
      <c r="AL232" s="49">
        <f ca="1">Marine!CA_opex_to_recover+(AK234*(1+Marine!int_rate_cf_costs))</f>
        <v>0</v>
      </c>
      <c r="AM232" s="49">
        <f ca="1">Marine!CA_opex_to_recover+(AL234*(1+Marine!int_rate_cf_costs))</f>
        <v>0</v>
      </c>
      <c r="AN232" s="49">
        <f ca="1">Marine!CA_opex_to_recover+(AM234*(1+Marine!int_rate_cf_costs))</f>
        <v>0</v>
      </c>
      <c r="AO232" s="49">
        <f ca="1">Marine!CA_opex_to_recover+(AN234*(1+Marine!int_rate_cf_costs))</f>
        <v>0</v>
      </c>
      <c r="AP232" s="49">
        <f ca="1">Marine!CA_opex_to_recover+(AO234*(1+Marine!int_rate_cf_costs))</f>
        <v>0</v>
      </c>
      <c r="AQ232" s="49">
        <f ca="1">Marine!CA_opex_to_recover+(AP234*(1+Marine!int_rate_cf_costs))</f>
        <v>0</v>
      </c>
      <c r="AR232" s="49">
        <f ca="1">Marine!CA_opex_to_recover+(AQ234*(1+Marine!int_rate_cf_costs))</f>
        <v>0</v>
      </c>
      <c r="AS232" s="49">
        <f ca="1">Marine!CA_opex_to_recover+(AR234*(1+Marine!int_rate_cf_costs))</f>
        <v>0</v>
      </c>
      <c r="AT232" s="49">
        <f ca="1">Marine!CA_opex_to_recover+(AS234*(1+Marine!int_rate_cf_costs))</f>
        <v>0</v>
      </c>
      <c r="AU232" s="49">
        <f ca="1">Marine!CA_opex_to_recover+(AT234*(1+Marine!int_rate_cf_costs))</f>
        <v>0</v>
      </c>
      <c r="AV232" s="49">
        <f ca="1">Marine!CA_opex_to_recover+(AU234*(1+Marine!int_rate_cf_costs))</f>
        <v>0</v>
      </c>
      <c r="AW232" s="49">
        <f ca="1">Marine!CA_opex_to_recover+(AV234*(1+Marine!int_rate_cf_costs))</f>
        <v>0</v>
      </c>
      <c r="AX232" s="49">
        <f ca="1">Marine!CA_opex_to_recover+(AW234*(1+Marine!int_rate_cf_costs))</f>
        <v>0</v>
      </c>
      <c r="AY232" s="49">
        <f ca="1">Marine!CA_opex_to_recover+(AX234*(1+Marine!int_rate_cf_costs))</f>
        <v>0</v>
      </c>
      <c r="AZ232" s="49">
        <f ca="1">Marine!CA_opex_to_recover+(AY234*(1+Marine!int_rate_cf_costs))</f>
        <v>0</v>
      </c>
      <c r="BA232" s="49">
        <f ca="1">Marine!CA_opex_to_recover+(AZ234*(1+Marine!int_rate_cf_costs))</f>
        <v>0</v>
      </c>
      <c r="BB232" s="49">
        <f ca="1">Marine!CA_opex_to_recover+(BA234*(1+Marine!int_rate_cf_costs))</f>
        <v>0</v>
      </c>
      <c r="BC232" s="49">
        <f ca="1">Marine!CA_opex_to_recover+(BB234*(1+Marine!int_rate_cf_costs))</f>
        <v>0</v>
      </c>
      <c r="BD232" s="49">
        <f ca="1">Marine!CA_opex_to_recover+(BC234*(1+Marine!int_rate_cf_costs))</f>
        <v>0</v>
      </c>
      <c r="BE232" s="49">
        <f ca="1">Marine!CA_opex_to_recover+(BD234*(1+Marine!int_rate_cf_costs))</f>
        <v>0</v>
      </c>
      <c r="BF232" s="49">
        <f ca="1">Marine!CA_opex_to_recover+(BE234*(1+Marine!int_rate_cf_costs))</f>
        <v>0</v>
      </c>
      <c r="BG232" s="49">
        <f ca="1">Marine!CA_opex_to_recover+(BF234*(1+Marine!int_rate_cf_costs))</f>
        <v>0</v>
      </c>
      <c r="BH232" s="49">
        <f ca="1">Marine!CA_opex_to_recover+(BG234*(1+Marine!int_rate_cf_costs))</f>
        <v>0</v>
      </c>
      <c r="BI232" s="49">
        <f ca="1">Marine!CA_opex_to_recover+(BH234*(1+Marine!int_rate_cf_costs))</f>
        <v>0</v>
      </c>
      <c r="BJ232" s="49">
        <f ca="1">Marine!CA_opex_to_recover+(BI234*(1+Marine!int_rate_cf_costs))</f>
        <v>0</v>
      </c>
      <c r="BK232" s="49">
        <f ca="1">Marine!CA_opex_to_recover+(BJ234*(1+Marine!int_rate_cf_costs))</f>
        <v>0</v>
      </c>
      <c r="BL232" s="49">
        <f ca="1">Marine!CA_opex_to_recover+(BK234*(1+Marine!int_rate_cf_costs))</f>
        <v>0</v>
      </c>
      <c r="BM232" s="49">
        <f ca="1">Marine!CA_opex_to_recover+(BL234*(1+Marine!int_rate_cf_costs))</f>
        <v>0</v>
      </c>
      <c r="BN232" s="49">
        <f ca="1">Marine!CA_opex_to_recover+(BM234*(1+Marine!int_rate_cf_costs))</f>
        <v>0</v>
      </c>
      <c r="BO232" s="49">
        <f ca="1">Marine!CA_opex_to_recover+(BN234*(1+Marine!int_rate_cf_costs))</f>
        <v>0</v>
      </c>
      <c r="BP232" s="49">
        <f ca="1">Marine!CA_opex_to_recover+(BO234*(1+Marine!int_rate_cf_costs))</f>
        <v>0</v>
      </c>
      <c r="BQ232" s="49">
        <f ca="1">Marine!CA_opex_to_recover+(BP234*(1+Marine!int_rate_cf_costs))</f>
        <v>0</v>
      </c>
      <c r="BR232" s="49">
        <f ca="1">Marine!CA_opex_to_recover+(BQ234*(1+Marine!int_rate_cf_costs))</f>
        <v>0</v>
      </c>
      <c r="BS232" s="49">
        <f ca="1">Marine!CA_opex_to_recover+(BR234*(1+Marine!int_rate_cf_costs))</f>
        <v>0</v>
      </c>
    </row>
    <row r="233" spans="4:71" outlineLevel="1" x14ac:dyDescent="0.2">
      <c r="E233" t="s">
        <v>194</v>
      </c>
      <c r="H233" s="56" t="b">
        <f ca="1">ROUND(I233,2)=-ROUND(I232,2)</f>
        <v>1</v>
      </c>
      <c r="I233" s="30">
        <f t="shared" ca="1" si="56"/>
        <v>-2321.8359572159998</v>
      </c>
      <c r="J233" s="26" t="s">
        <v>148</v>
      </c>
      <c r="L233" s="49">
        <f ca="1">-MIN(L232,L231)</f>
        <v>0</v>
      </c>
      <c r="M233" s="49">
        <f t="shared" ref="M233:BS233" ca="1" si="59">-MIN(M232,M231)</f>
        <v>-0.16974408875808392</v>
      </c>
      <c r="N233" s="49">
        <f t="shared" ca="1" si="59"/>
        <v>-58.485517526142516</v>
      </c>
      <c r="O233" s="49">
        <f t="shared" ca="1" si="59"/>
        <v>-90.492232867762084</v>
      </c>
      <c r="P233" s="49">
        <f t="shared" ca="1" si="59"/>
        <v>-209.1184752662713</v>
      </c>
      <c r="Q233" s="49">
        <f t="shared" ca="1" si="59"/>
        <v>-453.25803025106597</v>
      </c>
      <c r="R233" s="49">
        <f t="shared" ca="1" si="59"/>
        <v>-176</v>
      </c>
      <c r="S233" s="49">
        <f t="shared" ca="1" si="59"/>
        <v>-198.9</v>
      </c>
      <c r="T233" s="49">
        <f t="shared" ca="1" si="59"/>
        <v>-204.4</v>
      </c>
      <c r="U233" s="49">
        <f t="shared" ca="1" si="59"/>
        <v>-214.81200000000001</v>
      </c>
      <c r="V233" s="49">
        <f t="shared" ca="1" si="59"/>
        <v>-226.07892000000001</v>
      </c>
      <c r="W233" s="49">
        <f t="shared" ca="1" si="59"/>
        <v>-238.34731679999999</v>
      </c>
      <c r="X233" s="49">
        <f t="shared" ca="1" si="59"/>
        <v>-251.77372041599997</v>
      </c>
      <c r="Y233" s="49">
        <f t="shared" ca="1" si="59"/>
        <v>0</v>
      </c>
      <c r="Z233" s="49">
        <f t="shared" ca="1" si="59"/>
        <v>0</v>
      </c>
      <c r="AA233" s="49">
        <f t="shared" ca="1" si="59"/>
        <v>0</v>
      </c>
      <c r="AB233" s="49">
        <f t="shared" ca="1" si="59"/>
        <v>0</v>
      </c>
      <c r="AC233" s="49">
        <f t="shared" ca="1" si="59"/>
        <v>0</v>
      </c>
      <c r="AD233" s="49">
        <f t="shared" ca="1" si="59"/>
        <v>0</v>
      </c>
      <c r="AE233" s="49">
        <f t="shared" ca="1" si="59"/>
        <v>0</v>
      </c>
      <c r="AF233" s="49">
        <f t="shared" ca="1" si="59"/>
        <v>0</v>
      </c>
      <c r="AG233" s="49">
        <f t="shared" ca="1" si="59"/>
        <v>0</v>
      </c>
      <c r="AH233" s="49">
        <f t="shared" ca="1" si="59"/>
        <v>0</v>
      </c>
      <c r="AI233" s="49">
        <f t="shared" ca="1" si="59"/>
        <v>0</v>
      </c>
      <c r="AJ233" s="49">
        <f t="shared" ca="1" si="59"/>
        <v>0</v>
      </c>
      <c r="AK233" s="49">
        <f t="shared" ca="1" si="59"/>
        <v>0</v>
      </c>
      <c r="AL233" s="49">
        <f t="shared" ca="1" si="59"/>
        <v>0</v>
      </c>
      <c r="AM233" s="49">
        <f t="shared" ca="1" si="59"/>
        <v>0</v>
      </c>
      <c r="AN233" s="49">
        <f t="shared" ca="1" si="59"/>
        <v>0</v>
      </c>
      <c r="AO233" s="49">
        <f t="shared" ca="1" si="59"/>
        <v>0</v>
      </c>
      <c r="AP233" s="49">
        <f t="shared" ca="1" si="59"/>
        <v>0</v>
      </c>
      <c r="AQ233" s="49">
        <f t="shared" ca="1" si="59"/>
        <v>0</v>
      </c>
      <c r="AR233" s="49">
        <f t="shared" ca="1" si="59"/>
        <v>0</v>
      </c>
      <c r="AS233" s="49">
        <f t="shared" ca="1" si="59"/>
        <v>0</v>
      </c>
      <c r="AT233" s="49">
        <f t="shared" ca="1" si="59"/>
        <v>0</v>
      </c>
      <c r="AU233" s="49">
        <f t="shared" ca="1" si="59"/>
        <v>0</v>
      </c>
      <c r="AV233" s="49">
        <f t="shared" ca="1" si="59"/>
        <v>0</v>
      </c>
      <c r="AW233" s="49">
        <f t="shared" ca="1" si="59"/>
        <v>0</v>
      </c>
      <c r="AX233" s="49">
        <f t="shared" ca="1" si="59"/>
        <v>0</v>
      </c>
      <c r="AY233" s="49">
        <f t="shared" ca="1" si="59"/>
        <v>0</v>
      </c>
      <c r="AZ233" s="49">
        <f t="shared" ca="1" si="59"/>
        <v>0</v>
      </c>
      <c r="BA233" s="49">
        <f t="shared" ca="1" si="59"/>
        <v>0</v>
      </c>
      <c r="BB233" s="49">
        <f t="shared" ca="1" si="59"/>
        <v>0</v>
      </c>
      <c r="BC233" s="49">
        <f t="shared" ca="1" si="59"/>
        <v>0</v>
      </c>
      <c r="BD233" s="49">
        <f t="shared" ca="1" si="59"/>
        <v>0</v>
      </c>
      <c r="BE233" s="49">
        <f t="shared" ca="1" si="59"/>
        <v>0</v>
      </c>
      <c r="BF233" s="49">
        <f t="shared" ca="1" si="59"/>
        <v>0</v>
      </c>
      <c r="BG233" s="49">
        <f t="shared" ca="1" si="59"/>
        <v>0</v>
      </c>
      <c r="BH233" s="49">
        <f t="shared" ca="1" si="59"/>
        <v>0</v>
      </c>
      <c r="BI233" s="49">
        <f t="shared" ca="1" si="59"/>
        <v>0</v>
      </c>
      <c r="BJ233" s="49">
        <f t="shared" ca="1" si="59"/>
        <v>0</v>
      </c>
      <c r="BK233" s="49">
        <f t="shared" ca="1" si="59"/>
        <v>0</v>
      </c>
      <c r="BL233" s="49">
        <f t="shared" ca="1" si="59"/>
        <v>0</v>
      </c>
      <c r="BM233" s="49">
        <f t="shared" ca="1" si="59"/>
        <v>0</v>
      </c>
      <c r="BN233" s="49">
        <f t="shared" ca="1" si="59"/>
        <v>0</v>
      </c>
      <c r="BO233" s="49">
        <f t="shared" ca="1" si="59"/>
        <v>0</v>
      </c>
      <c r="BP233" s="49">
        <f t="shared" ca="1" si="59"/>
        <v>0</v>
      </c>
      <c r="BQ233" s="49">
        <f t="shared" ca="1" si="59"/>
        <v>0</v>
      </c>
      <c r="BR233" s="49">
        <f t="shared" ca="1" si="59"/>
        <v>0</v>
      </c>
      <c r="BS233" s="49">
        <f t="shared" ca="1" si="59"/>
        <v>0</v>
      </c>
    </row>
    <row r="234" spans="4:71" outlineLevel="1" x14ac:dyDescent="0.2">
      <c r="E234" t="s">
        <v>195</v>
      </c>
      <c r="J234" s="26"/>
      <c r="L234" s="49">
        <f ca="1">L232+L233</f>
        <v>37.1</v>
      </c>
      <c r="M234" s="49">
        <f t="shared" ref="M234:BS234" ca="1" si="60">M232+M233</f>
        <v>138.87125591124192</v>
      </c>
      <c r="N234" s="49">
        <f t="shared" ca="1" si="60"/>
        <v>199.81373838509938</v>
      </c>
      <c r="O234" s="49">
        <f t="shared" ca="1" si="60"/>
        <v>288.01650551733729</v>
      </c>
      <c r="P234" s="49">
        <f t="shared" ca="1" si="60"/>
        <v>226.847030251066</v>
      </c>
      <c r="Q234" s="49">
        <f t="shared" ca="1" si="60"/>
        <v>0</v>
      </c>
      <c r="R234" s="49">
        <f t="shared" ca="1" si="60"/>
        <v>0</v>
      </c>
      <c r="S234" s="49">
        <f t="shared" ca="1" si="60"/>
        <v>0</v>
      </c>
      <c r="T234" s="49">
        <f t="shared" ca="1" si="60"/>
        <v>0</v>
      </c>
      <c r="U234" s="49">
        <f t="shared" ca="1" si="60"/>
        <v>0</v>
      </c>
      <c r="V234" s="49">
        <f t="shared" ca="1" si="60"/>
        <v>0</v>
      </c>
      <c r="W234" s="49">
        <f t="shared" ca="1" si="60"/>
        <v>0</v>
      </c>
      <c r="X234" s="49">
        <f t="shared" ca="1" si="60"/>
        <v>0</v>
      </c>
      <c r="Y234" s="49">
        <f t="shared" ca="1" si="60"/>
        <v>0</v>
      </c>
      <c r="Z234" s="49">
        <f t="shared" ca="1" si="60"/>
        <v>0</v>
      </c>
      <c r="AA234" s="49">
        <f t="shared" ca="1" si="60"/>
        <v>0</v>
      </c>
      <c r="AB234" s="49">
        <f t="shared" ca="1" si="60"/>
        <v>0</v>
      </c>
      <c r="AC234" s="49">
        <f t="shared" ca="1" si="60"/>
        <v>0</v>
      </c>
      <c r="AD234" s="49">
        <f t="shared" ca="1" si="60"/>
        <v>0</v>
      </c>
      <c r="AE234" s="49">
        <f t="shared" ca="1" si="60"/>
        <v>0</v>
      </c>
      <c r="AF234" s="49">
        <f t="shared" ca="1" si="60"/>
        <v>0</v>
      </c>
      <c r="AG234" s="49">
        <f t="shared" ca="1" si="60"/>
        <v>0</v>
      </c>
      <c r="AH234" s="49">
        <f t="shared" ca="1" si="60"/>
        <v>0</v>
      </c>
      <c r="AI234" s="49">
        <f t="shared" ca="1" si="60"/>
        <v>0</v>
      </c>
      <c r="AJ234" s="49">
        <f t="shared" ca="1" si="60"/>
        <v>0</v>
      </c>
      <c r="AK234" s="49">
        <f t="shared" ca="1" si="60"/>
        <v>0</v>
      </c>
      <c r="AL234" s="49">
        <f t="shared" ca="1" si="60"/>
        <v>0</v>
      </c>
      <c r="AM234" s="49">
        <f t="shared" ca="1" si="60"/>
        <v>0</v>
      </c>
      <c r="AN234" s="49">
        <f t="shared" ca="1" si="60"/>
        <v>0</v>
      </c>
      <c r="AO234" s="49">
        <f t="shared" ca="1" si="60"/>
        <v>0</v>
      </c>
      <c r="AP234" s="49">
        <f t="shared" ca="1" si="60"/>
        <v>0</v>
      </c>
      <c r="AQ234" s="49">
        <f t="shared" ca="1" si="60"/>
        <v>0</v>
      </c>
      <c r="AR234" s="49">
        <f t="shared" ca="1" si="60"/>
        <v>0</v>
      </c>
      <c r="AS234" s="49">
        <f t="shared" ca="1" si="60"/>
        <v>0</v>
      </c>
      <c r="AT234" s="49">
        <f t="shared" ca="1" si="60"/>
        <v>0</v>
      </c>
      <c r="AU234" s="49">
        <f t="shared" ca="1" si="60"/>
        <v>0</v>
      </c>
      <c r="AV234" s="49">
        <f t="shared" ca="1" si="60"/>
        <v>0</v>
      </c>
      <c r="AW234" s="49">
        <f t="shared" ca="1" si="60"/>
        <v>0</v>
      </c>
      <c r="AX234" s="49">
        <f t="shared" ca="1" si="60"/>
        <v>0</v>
      </c>
      <c r="AY234" s="49">
        <f t="shared" ca="1" si="60"/>
        <v>0</v>
      </c>
      <c r="AZ234" s="49">
        <f t="shared" ca="1" si="60"/>
        <v>0</v>
      </c>
      <c r="BA234" s="49">
        <f t="shared" ca="1" si="60"/>
        <v>0</v>
      </c>
      <c r="BB234" s="49">
        <f t="shared" ca="1" si="60"/>
        <v>0</v>
      </c>
      <c r="BC234" s="49">
        <f t="shared" ca="1" si="60"/>
        <v>0</v>
      </c>
      <c r="BD234" s="49">
        <f t="shared" ca="1" si="60"/>
        <v>0</v>
      </c>
      <c r="BE234" s="49">
        <f t="shared" ca="1" si="60"/>
        <v>0</v>
      </c>
      <c r="BF234" s="49">
        <f t="shared" ca="1" si="60"/>
        <v>0</v>
      </c>
      <c r="BG234" s="49">
        <f t="shared" ca="1" si="60"/>
        <v>0</v>
      </c>
      <c r="BH234" s="49">
        <f t="shared" ca="1" si="60"/>
        <v>0</v>
      </c>
      <c r="BI234" s="49">
        <f t="shared" ca="1" si="60"/>
        <v>0</v>
      </c>
      <c r="BJ234" s="49">
        <f t="shared" ca="1" si="60"/>
        <v>0</v>
      </c>
      <c r="BK234" s="49">
        <f t="shared" ca="1" si="60"/>
        <v>0</v>
      </c>
      <c r="BL234" s="49">
        <f t="shared" ca="1" si="60"/>
        <v>0</v>
      </c>
      <c r="BM234" s="49">
        <f t="shared" ca="1" si="60"/>
        <v>0</v>
      </c>
      <c r="BN234" s="49">
        <f t="shared" ca="1" si="60"/>
        <v>0</v>
      </c>
      <c r="BO234" s="49">
        <f t="shared" ca="1" si="60"/>
        <v>0</v>
      </c>
      <c r="BP234" s="49">
        <f t="shared" ca="1" si="60"/>
        <v>0</v>
      </c>
      <c r="BQ234" s="49">
        <f t="shared" ca="1" si="60"/>
        <v>0</v>
      </c>
      <c r="BR234" s="49">
        <f t="shared" ca="1" si="60"/>
        <v>0</v>
      </c>
      <c r="BS234" s="49">
        <f t="shared" ca="1" si="60"/>
        <v>0</v>
      </c>
    </row>
    <row r="235" spans="4:71" outlineLevel="1" x14ac:dyDescent="0.2">
      <c r="J235" s="26"/>
      <c r="L235" s="55"/>
      <c r="M235" s="55"/>
      <c r="N235" s="55"/>
      <c r="O235" s="55"/>
      <c r="P235" s="55"/>
      <c r="Q235" s="55"/>
      <c r="R235" s="55"/>
      <c r="S235" s="55"/>
      <c r="T235" s="55"/>
      <c r="U235" s="55"/>
      <c r="V235" s="55"/>
      <c r="W235" s="55"/>
      <c r="X235" s="55"/>
      <c r="Y235" s="55"/>
      <c r="Z235" s="55"/>
      <c r="AA235" s="55"/>
      <c r="AB235" s="55"/>
      <c r="AC235" s="55"/>
      <c r="AD235" s="55"/>
      <c r="AE235" s="55"/>
      <c r="AF235" s="55"/>
      <c r="AG235" s="55"/>
      <c r="AH235" s="55"/>
      <c r="AI235" s="55"/>
      <c r="AJ235" s="55"/>
      <c r="AK235" s="55"/>
      <c r="AL235" s="55"/>
      <c r="AM235" s="55"/>
      <c r="AN235" s="55"/>
      <c r="AO235" s="55"/>
      <c r="AP235" s="55"/>
      <c r="AQ235" s="55"/>
      <c r="AR235" s="55"/>
      <c r="AS235" s="55"/>
      <c r="AT235" s="55"/>
      <c r="AU235" s="55"/>
      <c r="AV235" s="55"/>
      <c r="AW235" s="55"/>
      <c r="AX235" s="55"/>
      <c r="AY235" s="55"/>
      <c r="AZ235" s="55"/>
      <c r="BA235" s="55"/>
      <c r="BB235" s="55"/>
      <c r="BC235" s="55"/>
      <c r="BD235" s="55"/>
      <c r="BE235" s="55"/>
      <c r="BF235" s="55"/>
      <c r="BG235" s="55"/>
      <c r="BH235" s="55"/>
      <c r="BI235" s="55"/>
      <c r="BJ235" s="55"/>
      <c r="BK235" s="55"/>
      <c r="BL235" s="55"/>
      <c r="BM235" s="55"/>
      <c r="BN235" s="55"/>
      <c r="BO235" s="55"/>
      <c r="BP235" s="55"/>
      <c r="BQ235" s="55"/>
      <c r="BR235" s="55"/>
      <c r="BS235" s="55"/>
    </row>
    <row r="236" spans="4:71" outlineLevel="1" x14ac:dyDescent="0.2">
      <c r="D236" s="51" t="s">
        <v>200</v>
      </c>
      <c r="J236" s="26"/>
      <c r="L236" s="55"/>
      <c r="M236" s="55"/>
      <c r="N236" s="55"/>
      <c r="O236" s="55"/>
      <c r="P236" s="55"/>
      <c r="Q236" s="55"/>
      <c r="R236" s="55"/>
      <c r="S236" s="55"/>
      <c r="T236" s="55"/>
      <c r="U236" s="55"/>
      <c r="V236" s="55"/>
      <c r="W236" s="55"/>
      <c r="X236" s="55"/>
      <c r="Y236" s="55"/>
      <c r="Z236" s="55"/>
      <c r="AA236" s="55"/>
      <c r="AB236" s="55"/>
      <c r="AC236" s="55"/>
      <c r="AD236" s="55"/>
      <c r="AE236" s="55"/>
      <c r="AF236" s="55"/>
      <c r="AG236" s="55"/>
      <c r="AH236" s="55"/>
      <c r="AI236" s="55"/>
      <c r="AJ236" s="55"/>
      <c r="AK236" s="55"/>
      <c r="AL236" s="55"/>
      <c r="AM236" s="55"/>
      <c r="AN236" s="55"/>
      <c r="AO236" s="55"/>
      <c r="AP236" s="55"/>
      <c r="AQ236" s="55"/>
      <c r="AR236" s="55"/>
      <c r="AS236" s="55"/>
      <c r="AT236" s="55"/>
      <c r="AU236" s="55"/>
      <c r="AV236" s="55"/>
      <c r="AW236" s="55"/>
      <c r="AX236" s="55"/>
      <c r="AY236" s="55"/>
      <c r="AZ236" s="55"/>
      <c r="BA236" s="55"/>
      <c r="BB236" s="55"/>
      <c r="BC236" s="55"/>
      <c r="BD236" s="55"/>
      <c r="BE236" s="55"/>
      <c r="BF236" s="55"/>
      <c r="BG236" s="55"/>
      <c r="BH236" s="55"/>
      <c r="BI236" s="55"/>
      <c r="BJ236" s="55"/>
      <c r="BK236" s="55"/>
      <c r="BL236" s="55"/>
      <c r="BM236" s="55"/>
      <c r="BN236" s="55"/>
      <c r="BO236" s="55"/>
      <c r="BP236" s="55"/>
      <c r="BQ236" s="55"/>
      <c r="BR236" s="55"/>
      <c r="BS236" s="55"/>
    </row>
    <row r="237" spans="4:71" outlineLevel="1" x14ac:dyDescent="0.2">
      <c r="E237" t="s">
        <v>192</v>
      </c>
      <c r="I237" s="30">
        <f t="shared" ref="I237:I239" ca="1" si="61">SUM($L237:$BS237)</f>
        <v>916.4503604594538</v>
      </c>
      <c r="J237" s="26" t="s">
        <v>148</v>
      </c>
      <c r="L237" s="49">
        <f t="shared" ref="L237:AQ237" ca="1" si="62">CA_cost_stop_oil+L233</f>
        <v>0</v>
      </c>
      <c r="M237" s="49">
        <f t="shared" ca="1" si="62"/>
        <v>0</v>
      </c>
      <c r="N237" s="49">
        <f t="shared" ca="1" si="62"/>
        <v>0</v>
      </c>
      <c r="O237" s="49">
        <f t="shared" ca="1" si="62"/>
        <v>0</v>
      </c>
      <c r="P237" s="49">
        <f t="shared" ca="1" si="62"/>
        <v>0</v>
      </c>
      <c r="Q237" s="49">
        <f t="shared" ca="1" si="62"/>
        <v>11.978274167516361</v>
      </c>
      <c r="R237" s="49">
        <f t="shared" ca="1" si="62"/>
        <v>256.37422792519823</v>
      </c>
      <c r="S237" s="49">
        <f t="shared" ca="1" si="62"/>
        <v>46.327355508333284</v>
      </c>
      <c r="T237" s="49">
        <f t="shared" ca="1" si="62"/>
        <v>165.56326771039991</v>
      </c>
      <c r="U237" s="49">
        <f t="shared" ca="1" si="62"/>
        <v>154.50387203699995</v>
      </c>
      <c r="V237" s="49">
        <f t="shared" ca="1" si="62"/>
        <v>124.25411621429808</v>
      </c>
      <c r="W237" s="49">
        <f t="shared" ca="1" si="62"/>
        <v>93.978601352883118</v>
      </c>
      <c r="X237" s="49">
        <f t="shared" ca="1" si="62"/>
        <v>63.470645543824929</v>
      </c>
      <c r="Y237" s="49">
        <f t="shared" ca="1" si="62"/>
        <v>0</v>
      </c>
      <c r="Z237" s="49">
        <f t="shared" ca="1" si="62"/>
        <v>0</v>
      </c>
      <c r="AA237" s="49">
        <f t="shared" ca="1" si="62"/>
        <v>0</v>
      </c>
      <c r="AB237" s="49">
        <f t="shared" ca="1" si="62"/>
        <v>0</v>
      </c>
      <c r="AC237" s="49">
        <f t="shared" ca="1" si="62"/>
        <v>0</v>
      </c>
      <c r="AD237" s="49">
        <f t="shared" ca="1" si="62"/>
        <v>0</v>
      </c>
      <c r="AE237" s="49">
        <f t="shared" ca="1" si="62"/>
        <v>0</v>
      </c>
      <c r="AF237" s="49">
        <f t="shared" ca="1" si="62"/>
        <v>0</v>
      </c>
      <c r="AG237" s="49">
        <f t="shared" ca="1" si="62"/>
        <v>0</v>
      </c>
      <c r="AH237" s="49">
        <f t="shared" ca="1" si="62"/>
        <v>0</v>
      </c>
      <c r="AI237" s="49">
        <f t="shared" ca="1" si="62"/>
        <v>0</v>
      </c>
      <c r="AJ237" s="49">
        <f t="shared" ca="1" si="62"/>
        <v>0</v>
      </c>
      <c r="AK237" s="49">
        <f t="shared" ca="1" si="62"/>
        <v>0</v>
      </c>
      <c r="AL237" s="49">
        <f t="shared" ca="1" si="62"/>
        <v>0</v>
      </c>
      <c r="AM237" s="49">
        <f t="shared" ca="1" si="62"/>
        <v>0</v>
      </c>
      <c r="AN237" s="49">
        <f t="shared" ca="1" si="62"/>
        <v>0</v>
      </c>
      <c r="AO237" s="49">
        <f t="shared" ca="1" si="62"/>
        <v>0</v>
      </c>
      <c r="AP237" s="49">
        <f t="shared" ca="1" si="62"/>
        <v>0</v>
      </c>
      <c r="AQ237" s="49">
        <f t="shared" ca="1" si="62"/>
        <v>0</v>
      </c>
      <c r="AR237" s="49">
        <f t="shared" ref="AR237:BS237" ca="1" si="63">CA_cost_stop_oil+AR233</f>
        <v>0</v>
      </c>
      <c r="AS237" s="49">
        <f t="shared" ca="1" si="63"/>
        <v>0</v>
      </c>
      <c r="AT237" s="49">
        <f t="shared" ca="1" si="63"/>
        <v>0</v>
      </c>
      <c r="AU237" s="49">
        <f t="shared" ca="1" si="63"/>
        <v>0</v>
      </c>
      <c r="AV237" s="49">
        <f t="shared" ca="1" si="63"/>
        <v>0</v>
      </c>
      <c r="AW237" s="49">
        <f t="shared" ca="1" si="63"/>
        <v>0</v>
      </c>
      <c r="AX237" s="49">
        <f t="shared" ca="1" si="63"/>
        <v>0</v>
      </c>
      <c r="AY237" s="49">
        <f t="shared" ca="1" si="63"/>
        <v>0</v>
      </c>
      <c r="AZ237" s="49">
        <f t="shared" ca="1" si="63"/>
        <v>0</v>
      </c>
      <c r="BA237" s="49">
        <f t="shared" ca="1" si="63"/>
        <v>0</v>
      </c>
      <c r="BB237" s="49">
        <f t="shared" ca="1" si="63"/>
        <v>0</v>
      </c>
      <c r="BC237" s="49">
        <f t="shared" ca="1" si="63"/>
        <v>0</v>
      </c>
      <c r="BD237" s="49">
        <f t="shared" ca="1" si="63"/>
        <v>0</v>
      </c>
      <c r="BE237" s="49">
        <f t="shared" ca="1" si="63"/>
        <v>0</v>
      </c>
      <c r="BF237" s="49">
        <f t="shared" ca="1" si="63"/>
        <v>0</v>
      </c>
      <c r="BG237" s="49">
        <f t="shared" ca="1" si="63"/>
        <v>0</v>
      </c>
      <c r="BH237" s="49">
        <f t="shared" ca="1" si="63"/>
        <v>0</v>
      </c>
      <c r="BI237" s="49">
        <f t="shared" ca="1" si="63"/>
        <v>0</v>
      </c>
      <c r="BJ237" s="49">
        <f t="shared" ca="1" si="63"/>
        <v>0</v>
      </c>
      <c r="BK237" s="49">
        <f t="shared" ca="1" si="63"/>
        <v>0</v>
      </c>
      <c r="BL237" s="49">
        <f t="shared" ca="1" si="63"/>
        <v>0</v>
      </c>
      <c r="BM237" s="49">
        <f t="shared" ca="1" si="63"/>
        <v>0</v>
      </c>
      <c r="BN237" s="49">
        <f t="shared" ca="1" si="63"/>
        <v>0</v>
      </c>
      <c r="BO237" s="49">
        <f t="shared" ca="1" si="63"/>
        <v>0</v>
      </c>
      <c r="BP237" s="49">
        <f t="shared" ca="1" si="63"/>
        <v>0</v>
      </c>
      <c r="BQ237" s="49">
        <f t="shared" ca="1" si="63"/>
        <v>0</v>
      </c>
      <c r="BR237" s="49">
        <f t="shared" ca="1" si="63"/>
        <v>0</v>
      </c>
      <c r="BS237" s="49">
        <f t="shared" ca="1" si="63"/>
        <v>0</v>
      </c>
    </row>
    <row r="238" spans="4:71" outlineLevel="1" x14ac:dyDescent="0.2">
      <c r="E238" t="s">
        <v>201</v>
      </c>
      <c r="I238" s="30">
        <f ca="1">I218</f>
        <v>54.738039330218619</v>
      </c>
      <c r="J238" s="26" t="s">
        <v>148</v>
      </c>
      <c r="L238" s="49">
        <f ca="1">Marine!CA_pid_to_recover+(K240*(1+Marine!int_rate_cf_costs))</f>
        <v>0</v>
      </c>
      <c r="M238" s="49">
        <f ca="1">Marine!CA_pid_to_recover+(L240*(1+Marine!int_rate_cf_costs))</f>
        <v>9.3983153338229292E-2</v>
      </c>
      <c r="N238" s="49">
        <f ca="1">Marine!CA_pid_to_recover+(M240*(1+Marine!int_rate_cf_costs))</f>
        <v>1.3928594555455436</v>
      </c>
      <c r="O238" s="49">
        <f ca="1">Marine!CA_pid_to_recover+(N240*(1+Marine!int_rate_cf_costs))</f>
        <v>3.4128751284812395</v>
      </c>
      <c r="P238" s="49">
        <f ca="1">Marine!CA_pid_to_recover+(O240*(1+Marine!int_rate_cf_costs))</f>
        <v>7.0708742337981327</v>
      </c>
      <c r="Q238" s="49">
        <f ca="1">Marine!CA_pid_to_recover+(P240*(1+Marine!int_rate_cf_costs))</f>
        <v>14.452752905984184</v>
      </c>
      <c r="R238" s="49">
        <f ca="1">Marine!CA_pid_to_recover+(Q240*(1+Marine!int_rate_cf_costs))</f>
        <v>8.6512541734721804</v>
      </c>
      <c r="S238" s="49">
        <f ca="1">Marine!CA_pid_to_recover+(R240*(1+Marine!int_rate_cf_costs))</f>
        <v>4.469763935833333</v>
      </c>
      <c r="T238" s="49">
        <f ca="1">Marine!CA_pid_to_recover+(S240*(1+Marine!int_rate_cf_costs))</f>
        <v>6.250310076202318</v>
      </c>
      <c r="U238" s="49">
        <f ca="1">Marine!CA_pid_to_recover+(T240*(1+Marine!int_rate_cf_costs))</f>
        <v>6.2406079597930679</v>
      </c>
      <c r="V238" s="49">
        <f ca="1">Marine!CA_pid_to_recover+(U240*(1+Marine!int_rate_cf_costs))</f>
        <v>5.9690158780260418</v>
      </c>
      <c r="W238" s="49">
        <f ca="1">Marine!CA_pid_to_recover+(V240*(1+Marine!int_rate_cf_costs))</f>
        <v>5.7116920415051196</v>
      </c>
      <c r="X238" s="49">
        <f ca="1">Marine!CA_pid_to_recover+(W240*(1+Marine!int_rate_cf_costs))</f>
        <v>5.4671210978702005</v>
      </c>
      <c r="Y238" s="49">
        <f ca="1">Marine!CA_pid_to_recover+(X240*(1+Marine!int_rate_cf_costs))</f>
        <v>0</v>
      </c>
      <c r="Z238" s="49">
        <f ca="1">Marine!CA_pid_to_recover+(Y240*(1+Marine!int_rate_cf_costs))</f>
        <v>0</v>
      </c>
      <c r="AA238" s="49">
        <f ca="1">Marine!CA_pid_to_recover+(Z240*(1+Marine!int_rate_cf_costs))</f>
        <v>0</v>
      </c>
      <c r="AB238" s="49">
        <f ca="1">Marine!CA_pid_to_recover+(AA240*(1+Marine!int_rate_cf_costs))</f>
        <v>0</v>
      </c>
      <c r="AC238" s="49">
        <f ca="1">Marine!CA_pid_to_recover+(AB240*(1+Marine!int_rate_cf_costs))</f>
        <v>0</v>
      </c>
      <c r="AD238" s="49">
        <f ca="1">Marine!CA_pid_to_recover+(AC240*(1+Marine!int_rate_cf_costs))</f>
        <v>0</v>
      </c>
      <c r="AE238" s="49">
        <f ca="1">Marine!CA_pid_to_recover+(AD240*(1+Marine!int_rate_cf_costs))</f>
        <v>0</v>
      </c>
      <c r="AF238" s="49">
        <f ca="1">Marine!CA_pid_to_recover+(AE240*(1+Marine!int_rate_cf_costs))</f>
        <v>0</v>
      </c>
      <c r="AG238" s="49">
        <f ca="1">Marine!CA_pid_to_recover+(AF240*(1+Marine!int_rate_cf_costs))</f>
        <v>0</v>
      </c>
      <c r="AH238" s="49">
        <f ca="1">Marine!CA_pid_to_recover+(AG240*(1+Marine!int_rate_cf_costs))</f>
        <v>0</v>
      </c>
      <c r="AI238" s="49">
        <f ca="1">Marine!CA_pid_to_recover+(AH240*(1+Marine!int_rate_cf_costs))</f>
        <v>0</v>
      </c>
      <c r="AJ238" s="49">
        <f ca="1">Marine!CA_pid_to_recover+(AI240*(1+Marine!int_rate_cf_costs))</f>
        <v>0</v>
      </c>
      <c r="AK238" s="49">
        <f ca="1">Marine!CA_pid_to_recover+(AJ240*(1+Marine!int_rate_cf_costs))</f>
        <v>0</v>
      </c>
      <c r="AL238" s="49">
        <f ca="1">Marine!CA_pid_to_recover+(AK240*(1+Marine!int_rate_cf_costs))</f>
        <v>0</v>
      </c>
      <c r="AM238" s="49">
        <f ca="1">Marine!CA_pid_to_recover+(AL240*(1+Marine!int_rate_cf_costs))</f>
        <v>0</v>
      </c>
      <c r="AN238" s="49">
        <f ca="1">Marine!CA_pid_to_recover+(AM240*(1+Marine!int_rate_cf_costs))</f>
        <v>0</v>
      </c>
      <c r="AO238" s="49">
        <f ca="1">Marine!CA_pid_to_recover+(AN240*(1+Marine!int_rate_cf_costs))</f>
        <v>0</v>
      </c>
      <c r="AP238" s="49">
        <f ca="1">Marine!CA_pid_to_recover+(AO240*(1+Marine!int_rate_cf_costs))</f>
        <v>0</v>
      </c>
      <c r="AQ238" s="49">
        <f ca="1">Marine!CA_pid_to_recover+(AP240*(1+Marine!int_rate_cf_costs))</f>
        <v>0</v>
      </c>
      <c r="AR238" s="49">
        <f ca="1">Marine!CA_pid_to_recover+(AQ240*(1+Marine!int_rate_cf_costs))</f>
        <v>0</v>
      </c>
      <c r="AS238" s="49">
        <f ca="1">Marine!CA_pid_to_recover+(AR240*(1+Marine!int_rate_cf_costs))</f>
        <v>0</v>
      </c>
      <c r="AT238" s="49">
        <f ca="1">Marine!CA_pid_to_recover+(AS240*(1+Marine!int_rate_cf_costs))</f>
        <v>0</v>
      </c>
      <c r="AU238" s="49">
        <f ca="1">Marine!CA_pid_to_recover+(AT240*(1+Marine!int_rate_cf_costs))</f>
        <v>0</v>
      </c>
      <c r="AV238" s="49">
        <f ca="1">Marine!CA_pid_to_recover+(AU240*(1+Marine!int_rate_cf_costs))</f>
        <v>0</v>
      </c>
      <c r="AW238" s="49">
        <f ca="1">Marine!CA_pid_to_recover+(AV240*(1+Marine!int_rate_cf_costs))</f>
        <v>0</v>
      </c>
      <c r="AX238" s="49">
        <f ca="1">Marine!CA_pid_to_recover+(AW240*(1+Marine!int_rate_cf_costs))</f>
        <v>0</v>
      </c>
      <c r="AY238" s="49">
        <f ca="1">Marine!CA_pid_to_recover+(AX240*(1+Marine!int_rate_cf_costs))</f>
        <v>0</v>
      </c>
      <c r="AZ238" s="49">
        <f ca="1">Marine!CA_pid_to_recover+(AY240*(1+Marine!int_rate_cf_costs))</f>
        <v>0</v>
      </c>
      <c r="BA238" s="49">
        <f ca="1">Marine!CA_pid_to_recover+(AZ240*(1+Marine!int_rate_cf_costs))</f>
        <v>0</v>
      </c>
      <c r="BB238" s="49">
        <f ca="1">Marine!CA_pid_to_recover+(BA240*(1+Marine!int_rate_cf_costs))</f>
        <v>0</v>
      </c>
      <c r="BC238" s="49">
        <f ca="1">Marine!CA_pid_to_recover+(BB240*(1+Marine!int_rate_cf_costs))</f>
        <v>0</v>
      </c>
      <c r="BD238" s="49">
        <f ca="1">Marine!CA_pid_to_recover+(BC240*(1+Marine!int_rate_cf_costs))</f>
        <v>0</v>
      </c>
      <c r="BE238" s="49">
        <f ca="1">Marine!CA_pid_to_recover+(BD240*(1+Marine!int_rate_cf_costs))</f>
        <v>0</v>
      </c>
      <c r="BF238" s="49">
        <f ca="1">Marine!CA_pid_to_recover+(BE240*(1+Marine!int_rate_cf_costs))</f>
        <v>0</v>
      </c>
      <c r="BG238" s="49">
        <f ca="1">Marine!CA_pid_to_recover+(BF240*(1+Marine!int_rate_cf_costs))</f>
        <v>0</v>
      </c>
      <c r="BH238" s="49">
        <f ca="1">Marine!CA_pid_to_recover+(BG240*(1+Marine!int_rate_cf_costs))</f>
        <v>0</v>
      </c>
      <c r="BI238" s="49">
        <f ca="1">Marine!CA_pid_to_recover+(BH240*(1+Marine!int_rate_cf_costs))</f>
        <v>0</v>
      </c>
      <c r="BJ238" s="49">
        <f ca="1">Marine!CA_pid_to_recover+(BI240*(1+Marine!int_rate_cf_costs))</f>
        <v>0</v>
      </c>
      <c r="BK238" s="49">
        <f ca="1">Marine!CA_pid_to_recover+(BJ240*(1+Marine!int_rate_cf_costs))</f>
        <v>0</v>
      </c>
      <c r="BL238" s="49">
        <f ca="1">Marine!CA_pid_to_recover+(BK240*(1+Marine!int_rate_cf_costs))</f>
        <v>0</v>
      </c>
      <c r="BM238" s="49">
        <f ca="1">Marine!CA_pid_to_recover+(BL240*(1+Marine!int_rate_cf_costs))</f>
        <v>0</v>
      </c>
      <c r="BN238" s="49">
        <f ca="1">Marine!CA_pid_to_recover+(BM240*(1+Marine!int_rate_cf_costs))</f>
        <v>0</v>
      </c>
      <c r="BO238" s="49">
        <f ca="1">Marine!CA_pid_to_recover+(BN240*(1+Marine!int_rate_cf_costs))</f>
        <v>0</v>
      </c>
      <c r="BP238" s="49">
        <f ca="1">Marine!CA_pid_to_recover+(BO240*(1+Marine!int_rate_cf_costs))</f>
        <v>0</v>
      </c>
      <c r="BQ238" s="49">
        <f ca="1">Marine!CA_pid_to_recover+(BP240*(1+Marine!int_rate_cf_costs))</f>
        <v>0</v>
      </c>
      <c r="BR238" s="49">
        <f ca="1">Marine!CA_pid_to_recover+(BQ240*(1+Marine!int_rate_cf_costs))</f>
        <v>0</v>
      </c>
      <c r="BS238" s="49">
        <f ca="1">Marine!CA_pid_to_recover+(BR240*(1+Marine!int_rate_cf_costs))</f>
        <v>0</v>
      </c>
    </row>
    <row r="239" spans="4:71" outlineLevel="1" x14ac:dyDescent="0.2">
      <c r="E239" t="s">
        <v>202</v>
      </c>
      <c r="H239" s="56" t="b">
        <f ca="1">ROUND(I239,2)=-ROUND(I238,2)</f>
        <v>1</v>
      </c>
      <c r="I239" s="30">
        <f t="shared" ca="1" si="61"/>
        <v>-54.738039330218619</v>
      </c>
      <c r="J239" s="26" t="s">
        <v>148</v>
      </c>
      <c r="L239" s="49">
        <f ca="1">-MIN(L238,L237)</f>
        <v>0</v>
      </c>
      <c r="M239" s="49">
        <f t="shared" ref="M239:BS239" ca="1" si="64">-MIN(M238,M237)</f>
        <v>0</v>
      </c>
      <c r="N239" s="49">
        <f t="shared" ca="1" si="64"/>
        <v>0</v>
      </c>
      <c r="O239" s="49">
        <f t="shared" ca="1" si="64"/>
        <v>0</v>
      </c>
      <c r="P239" s="49">
        <f t="shared" ca="1" si="64"/>
        <v>0</v>
      </c>
      <c r="Q239" s="49">
        <f t="shared" ca="1" si="64"/>
        <v>-11.978274167516361</v>
      </c>
      <c r="R239" s="49">
        <f t="shared" ca="1" si="64"/>
        <v>-8.6512541734721804</v>
      </c>
      <c r="S239" s="49">
        <f t="shared" ca="1" si="64"/>
        <v>-4.469763935833333</v>
      </c>
      <c r="T239" s="49">
        <f t="shared" ca="1" si="64"/>
        <v>-6.250310076202318</v>
      </c>
      <c r="U239" s="49">
        <f t="shared" ca="1" si="64"/>
        <v>-6.2406079597930679</v>
      </c>
      <c r="V239" s="49">
        <f t="shared" ca="1" si="64"/>
        <v>-5.9690158780260418</v>
      </c>
      <c r="W239" s="49">
        <f t="shared" ca="1" si="64"/>
        <v>-5.7116920415051196</v>
      </c>
      <c r="X239" s="49">
        <f t="shared" ca="1" si="64"/>
        <v>-5.4671210978702005</v>
      </c>
      <c r="Y239" s="49">
        <f t="shared" ca="1" si="64"/>
        <v>0</v>
      </c>
      <c r="Z239" s="49">
        <f t="shared" ca="1" si="64"/>
        <v>0</v>
      </c>
      <c r="AA239" s="49">
        <f t="shared" ca="1" si="64"/>
        <v>0</v>
      </c>
      <c r="AB239" s="49">
        <f t="shared" ca="1" si="64"/>
        <v>0</v>
      </c>
      <c r="AC239" s="49">
        <f t="shared" ca="1" si="64"/>
        <v>0</v>
      </c>
      <c r="AD239" s="49">
        <f t="shared" ca="1" si="64"/>
        <v>0</v>
      </c>
      <c r="AE239" s="49">
        <f t="shared" ca="1" si="64"/>
        <v>0</v>
      </c>
      <c r="AF239" s="49">
        <f t="shared" ca="1" si="64"/>
        <v>0</v>
      </c>
      <c r="AG239" s="49">
        <f t="shared" ca="1" si="64"/>
        <v>0</v>
      </c>
      <c r="AH239" s="49">
        <f t="shared" ca="1" si="64"/>
        <v>0</v>
      </c>
      <c r="AI239" s="49">
        <f t="shared" ca="1" si="64"/>
        <v>0</v>
      </c>
      <c r="AJ239" s="49">
        <f t="shared" ca="1" si="64"/>
        <v>0</v>
      </c>
      <c r="AK239" s="49">
        <f t="shared" ca="1" si="64"/>
        <v>0</v>
      </c>
      <c r="AL239" s="49">
        <f t="shared" ca="1" si="64"/>
        <v>0</v>
      </c>
      <c r="AM239" s="49">
        <f t="shared" ca="1" si="64"/>
        <v>0</v>
      </c>
      <c r="AN239" s="49">
        <f t="shared" ca="1" si="64"/>
        <v>0</v>
      </c>
      <c r="AO239" s="49">
        <f t="shared" ca="1" si="64"/>
        <v>0</v>
      </c>
      <c r="AP239" s="49">
        <f t="shared" ca="1" si="64"/>
        <v>0</v>
      </c>
      <c r="AQ239" s="49">
        <f t="shared" ca="1" si="64"/>
        <v>0</v>
      </c>
      <c r="AR239" s="49">
        <f t="shared" ca="1" si="64"/>
        <v>0</v>
      </c>
      <c r="AS239" s="49">
        <f t="shared" ca="1" si="64"/>
        <v>0</v>
      </c>
      <c r="AT239" s="49">
        <f t="shared" ca="1" si="64"/>
        <v>0</v>
      </c>
      <c r="AU239" s="49">
        <f t="shared" ca="1" si="64"/>
        <v>0</v>
      </c>
      <c r="AV239" s="49">
        <f t="shared" ca="1" si="64"/>
        <v>0</v>
      </c>
      <c r="AW239" s="49">
        <f t="shared" ca="1" si="64"/>
        <v>0</v>
      </c>
      <c r="AX239" s="49">
        <f t="shared" ca="1" si="64"/>
        <v>0</v>
      </c>
      <c r="AY239" s="49">
        <f t="shared" ca="1" si="64"/>
        <v>0</v>
      </c>
      <c r="AZ239" s="49">
        <f t="shared" ca="1" si="64"/>
        <v>0</v>
      </c>
      <c r="BA239" s="49">
        <f t="shared" ca="1" si="64"/>
        <v>0</v>
      </c>
      <c r="BB239" s="49">
        <f t="shared" ca="1" si="64"/>
        <v>0</v>
      </c>
      <c r="BC239" s="49">
        <f t="shared" ca="1" si="64"/>
        <v>0</v>
      </c>
      <c r="BD239" s="49">
        <f t="shared" ca="1" si="64"/>
        <v>0</v>
      </c>
      <c r="BE239" s="49">
        <f t="shared" ca="1" si="64"/>
        <v>0</v>
      </c>
      <c r="BF239" s="49">
        <f t="shared" ca="1" si="64"/>
        <v>0</v>
      </c>
      <c r="BG239" s="49">
        <f t="shared" ca="1" si="64"/>
        <v>0</v>
      </c>
      <c r="BH239" s="49">
        <f t="shared" ca="1" si="64"/>
        <v>0</v>
      </c>
      <c r="BI239" s="49">
        <f t="shared" ca="1" si="64"/>
        <v>0</v>
      </c>
      <c r="BJ239" s="49">
        <f t="shared" ca="1" si="64"/>
        <v>0</v>
      </c>
      <c r="BK239" s="49">
        <f t="shared" ca="1" si="64"/>
        <v>0</v>
      </c>
      <c r="BL239" s="49">
        <f t="shared" ca="1" si="64"/>
        <v>0</v>
      </c>
      <c r="BM239" s="49">
        <f t="shared" ca="1" si="64"/>
        <v>0</v>
      </c>
      <c r="BN239" s="49">
        <f t="shared" ca="1" si="64"/>
        <v>0</v>
      </c>
      <c r="BO239" s="49">
        <f t="shared" ca="1" si="64"/>
        <v>0</v>
      </c>
      <c r="BP239" s="49">
        <f t="shared" ca="1" si="64"/>
        <v>0</v>
      </c>
      <c r="BQ239" s="49">
        <f t="shared" ca="1" si="64"/>
        <v>0</v>
      </c>
      <c r="BR239" s="49">
        <f t="shared" ca="1" si="64"/>
        <v>0</v>
      </c>
      <c r="BS239" s="49">
        <f t="shared" ca="1" si="64"/>
        <v>0</v>
      </c>
    </row>
    <row r="240" spans="4:71" outlineLevel="1" x14ac:dyDescent="0.2">
      <c r="E240" t="s">
        <v>195</v>
      </c>
      <c r="J240" s="26"/>
      <c r="L240" s="49">
        <f ca="1">L238+L239</f>
        <v>0</v>
      </c>
      <c r="M240" s="49">
        <f t="shared" ref="M240:BS240" ca="1" si="65">M238+M239</f>
        <v>9.3983153338229292E-2</v>
      </c>
      <c r="N240" s="49">
        <f t="shared" ca="1" si="65"/>
        <v>1.3928594555455436</v>
      </c>
      <c r="O240" s="49">
        <f t="shared" ca="1" si="65"/>
        <v>3.4128751284812395</v>
      </c>
      <c r="P240" s="49">
        <f t="shared" ca="1" si="65"/>
        <v>7.0708742337981327</v>
      </c>
      <c r="Q240" s="49">
        <f t="shared" ca="1" si="65"/>
        <v>2.4744787384678233</v>
      </c>
      <c r="R240" s="49">
        <f t="shared" ca="1" si="65"/>
        <v>0</v>
      </c>
      <c r="S240" s="49">
        <f t="shared" ca="1" si="65"/>
        <v>0</v>
      </c>
      <c r="T240" s="49">
        <f t="shared" ca="1" si="65"/>
        <v>0</v>
      </c>
      <c r="U240" s="49">
        <f t="shared" ca="1" si="65"/>
        <v>0</v>
      </c>
      <c r="V240" s="49">
        <f t="shared" ca="1" si="65"/>
        <v>0</v>
      </c>
      <c r="W240" s="49">
        <f t="shared" ca="1" si="65"/>
        <v>0</v>
      </c>
      <c r="X240" s="49">
        <f t="shared" ca="1" si="65"/>
        <v>0</v>
      </c>
      <c r="Y240" s="49">
        <f t="shared" ca="1" si="65"/>
        <v>0</v>
      </c>
      <c r="Z240" s="49">
        <f t="shared" ca="1" si="65"/>
        <v>0</v>
      </c>
      <c r="AA240" s="49">
        <f t="shared" ca="1" si="65"/>
        <v>0</v>
      </c>
      <c r="AB240" s="49">
        <f t="shared" ca="1" si="65"/>
        <v>0</v>
      </c>
      <c r="AC240" s="49">
        <f t="shared" ca="1" si="65"/>
        <v>0</v>
      </c>
      <c r="AD240" s="49">
        <f t="shared" ca="1" si="65"/>
        <v>0</v>
      </c>
      <c r="AE240" s="49">
        <f t="shared" ca="1" si="65"/>
        <v>0</v>
      </c>
      <c r="AF240" s="49">
        <f t="shared" ca="1" si="65"/>
        <v>0</v>
      </c>
      <c r="AG240" s="49">
        <f t="shared" ca="1" si="65"/>
        <v>0</v>
      </c>
      <c r="AH240" s="49">
        <f t="shared" ca="1" si="65"/>
        <v>0</v>
      </c>
      <c r="AI240" s="49">
        <f t="shared" ca="1" si="65"/>
        <v>0</v>
      </c>
      <c r="AJ240" s="49">
        <f t="shared" ca="1" si="65"/>
        <v>0</v>
      </c>
      <c r="AK240" s="49">
        <f t="shared" ca="1" si="65"/>
        <v>0</v>
      </c>
      <c r="AL240" s="49">
        <f t="shared" ca="1" si="65"/>
        <v>0</v>
      </c>
      <c r="AM240" s="49">
        <f t="shared" ca="1" si="65"/>
        <v>0</v>
      </c>
      <c r="AN240" s="49">
        <f t="shared" ca="1" si="65"/>
        <v>0</v>
      </c>
      <c r="AO240" s="49">
        <f t="shared" ca="1" si="65"/>
        <v>0</v>
      </c>
      <c r="AP240" s="49">
        <f t="shared" ca="1" si="65"/>
        <v>0</v>
      </c>
      <c r="AQ240" s="49">
        <f t="shared" ca="1" si="65"/>
        <v>0</v>
      </c>
      <c r="AR240" s="49">
        <f t="shared" ca="1" si="65"/>
        <v>0</v>
      </c>
      <c r="AS240" s="49">
        <f t="shared" ca="1" si="65"/>
        <v>0</v>
      </c>
      <c r="AT240" s="49">
        <f t="shared" ca="1" si="65"/>
        <v>0</v>
      </c>
      <c r="AU240" s="49">
        <f t="shared" ca="1" si="65"/>
        <v>0</v>
      </c>
      <c r="AV240" s="49">
        <f t="shared" ca="1" si="65"/>
        <v>0</v>
      </c>
      <c r="AW240" s="49">
        <f t="shared" ca="1" si="65"/>
        <v>0</v>
      </c>
      <c r="AX240" s="49">
        <f t="shared" ca="1" si="65"/>
        <v>0</v>
      </c>
      <c r="AY240" s="49">
        <f t="shared" ca="1" si="65"/>
        <v>0</v>
      </c>
      <c r="AZ240" s="49">
        <f t="shared" ca="1" si="65"/>
        <v>0</v>
      </c>
      <c r="BA240" s="49">
        <f t="shared" ca="1" si="65"/>
        <v>0</v>
      </c>
      <c r="BB240" s="49">
        <f t="shared" ca="1" si="65"/>
        <v>0</v>
      </c>
      <c r="BC240" s="49">
        <f t="shared" ca="1" si="65"/>
        <v>0</v>
      </c>
      <c r="BD240" s="49">
        <f t="shared" ca="1" si="65"/>
        <v>0</v>
      </c>
      <c r="BE240" s="49">
        <f t="shared" ca="1" si="65"/>
        <v>0</v>
      </c>
      <c r="BF240" s="49">
        <f t="shared" ca="1" si="65"/>
        <v>0</v>
      </c>
      <c r="BG240" s="49">
        <f t="shared" ca="1" si="65"/>
        <v>0</v>
      </c>
      <c r="BH240" s="49">
        <f t="shared" ca="1" si="65"/>
        <v>0</v>
      </c>
      <c r="BI240" s="49">
        <f t="shared" ca="1" si="65"/>
        <v>0</v>
      </c>
      <c r="BJ240" s="49">
        <f t="shared" ca="1" si="65"/>
        <v>0</v>
      </c>
      <c r="BK240" s="49">
        <f t="shared" ca="1" si="65"/>
        <v>0</v>
      </c>
      <c r="BL240" s="49">
        <f t="shared" ca="1" si="65"/>
        <v>0</v>
      </c>
      <c r="BM240" s="49">
        <f t="shared" ca="1" si="65"/>
        <v>0</v>
      </c>
      <c r="BN240" s="49">
        <f t="shared" ca="1" si="65"/>
        <v>0</v>
      </c>
      <c r="BO240" s="49">
        <f t="shared" ca="1" si="65"/>
        <v>0</v>
      </c>
      <c r="BP240" s="49">
        <f t="shared" ca="1" si="65"/>
        <v>0</v>
      </c>
      <c r="BQ240" s="49">
        <f t="shared" ca="1" si="65"/>
        <v>0</v>
      </c>
      <c r="BR240" s="49">
        <f t="shared" ca="1" si="65"/>
        <v>0</v>
      </c>
      <c r="BS240" s="49">
        <f t="shared" ca="1" si="65"/>
        <v>0</v>
      </c>
    </row>
    <row r="241" spans="4:71" outlineLevel="1" x14ac:dyDescent="0.2">
      <c r="J241" s="26"/>
      <c r="L241" s="55"/>
      <c r="M241" s="55"/>
      <c r="N241" s="55"/>
      <c r="O241" s="55"/>
      <c r="P241" s="55"/>
      <c r="Q241" s="55"/>
      <c r="R241" s="55"/>
      <c r="S241" s="55"/>
      <c r="T241" s="55"/>
      <c r="U241" s="55"/>
      <c r="V241" s="55"/>
      <c r="W241" s="55"/>
      <c r="X241" s="55"/>
      <c r="Y241" s="55"/>
      <c r="Z241" s="55"/>
      <c r="AA241" s="55"/>
      <c r="AB241" s="55"/>
      <c r="AC241" s="55"/>
      <c r="AD241" s="55"/>
      <c r="AE241" s="55"/>
      <c r="AF241" s="55"/>
      <c r="AG241" s="55"/>
      <c r="AH241" s="55"/>
      <c r="AI241" s="55"/>
      <c r="AJ241" s="55"/>
      <c r="AK241" s="55"/>
      <c r="AL241" s="55"/>
      <c r="AM241" s="55"/>
      <c r="AN241" s="55"/>
      <c r="AO241" s="55"/>
      <c r="AP241" s="55"/>
      <c r="AQ241" s="55"/>
      <c r="AR241" s="55"/>
      <c r="AS241" s="55"/>
      <c r="AT241" s="55"/>
      <c r="AU241" s="55"/>
      <c r="AV241" s="55"/>
      <c r="AW241" s="55"/>
      <c r="AX241" s="55"/>
      <c r="AY241" s="55"/>
      <c r="AZ241" s="55"/>
      <c r="BA241" s="55"/>
      <c r="BB241" s="55"/>
      <c r="BC241" s="55"/>
      <c r="BD241" s="55"/>
      <c r="BE241" s="55"/>
      <c r="BF241" s="55"/>
      <c r="BG241" s="55"/>
      <c r="BH241" s="55"/>
      <c r="BI241" s="55"/>
      <c r="BJ241" s="55"/>
      <c r="BK241" s="55"/>
      <c r="BL241" s="55"/>
      <c r="BM241" s="55"/>
      <c r="BN241" s="55"/>
      <c r="BO241" s="55"/>
      <c r="BP241" s="55"/>
      <c r="BQ241" s="55"/>
      <c r="BR241" s="55"/>
      <c r="BS241" s="55"/>
    </row>
    <row r="242" spans="4:71" outlineLevel="1" x14ac:dyDescent="0.2">
      <c r="D242" s="51" t="s">
        <v>183</v>
      </c>
      <c r="J242" s="26"/>
      <c r="L242" s="55"/>
      <c r="M242" s="55"/>
      <c r="N242" s="55"/>
      <c r="O242" s="55"/>
      <c r="P242" s="55"/>
      <c r="Q242" s="55"/>
      <c r="R242" s="55"/>
      <c r="S242" s="55"/>
      <c r="T242" s="55"/>
      <c r="U242" s="55"/>
      <c r="V242" s="55"/>
      <c r="W242" s="55"/>
      <c r="X242" s="55"/>
      <c r="Y242" s="55"/>
      <c r="Z242" s="55"/>
      <c r="AA242" s="55"/>
      <c r="AB242" s="55"/>
      <c r="AC242" s="55"/>
      <c r="AD242" s="55"/>
      <c r="AE242" s="55"/>
      <c r="AF242" s="55"/>
      <c r="AG242" s="55"/>
      <c r="AH242" s="55"/>
      <c r="AI242" s="55"/>
      <c r="AJ242" s="55"/>
      <c r="AK242" s="55"/>
      <c r="AL242" s="55"/>
      <c r="AM242" s="55"/>
      <c r="AN242" s="55"/>
      <c r="AO242" s="55"/>
      <c r="AP242" s="55"/>
      <c r="AQ242" s="55"/>
      <c r="AR242" s="55"/>
      <c r="AS242" s="55"/>
      <c r="AT242" s="55"/>
      <c r="AU242" s="55"/>
      <c r="AV242" s="55"/>
      <c r="AW242" s="55"/>
      <c r="AX242" s="55"/>
      <c r="AY242" s="55"/>
      <c r="AZ242" s="55"/>
      <c r="BA242" s="55"/>
      <c r="BB242" s="55"/>
      <c r="BC242" s="55"/>
      <c r="BD242" s="55"/>
      <c r="BE242" s="55"/>
      <c r="BF242" s="55"/>
      <c r="BG242" s="55"/>
      <c r="BH242" s="55"/>
      <c r="BI242" s="55"/>
      <c r="BJ242" s="55"/>
      <c r="BK242" s="55"/>
      <c r="BL242" s="55"/>
      <c r="BM242" s="55"/>
      <c r="BN242" s="55"/>
      <c r="BO242" s="55"/>
      <c r="BP242" s="55"/>
      <c r="BQ242" s="55"/>
      <c r="BR242" s="55"/>
      <c r="BS242" s="55"/>
    </row>
    <row r="243" spans="4:71" outlineLevel="1" x14ac:dyDescent="0.2">
      <c r="E243" t="s">
        <v>192</v>
      </c>
      <c r="I243" s="30">
        <f t="shared" ref="I243:I245" ca="1" si="66">SUM($L243:$BS243)</f>
        <v>861.71232112923531</v>
      </c>
      <c r="J243" s="26" t="s">
        <v>148</v>
      </c>
      <c r="L243" s="49">
        <f t="shared" ref="L243:AQ243" ca="1" si="67">CA_cost_stop_oil+L233+L239</f>
        <v>0</v>
      </c>
      <c r="M243" s="49">
        <f t="shared" ca="1" si="67"/>
        <v>0</v>
      </c>
      <c r="N243" s="49">
        <f t="shared" ca="1" si="67"/>
        <v>0</v>
      </c>
      <c r="O243" s="49">
        <f t="shared" ca="1" si="67"/>
        <v>0</v>
      </c>
      <c r="P243" s="49">
        <f t="shared" ca="1" si="67"/>
        <v>0</v>
      </c>
      <c r="Q243" s="49">
        <f t="shared" ca="1" si="67"/>
        <v>0</v>
      </c>
      <c r="R243" s="49">
        <f t="shared" ca="1" si="67"/>
        <v>247.72297375172604</v>
      </c>
      <c r="S243" s="49">
        <f t="shared" ca="1" si="67"/>
        <v>41.857591572499949</v>
      </c>
      <c r="T243" s="49">
        <f t="shared" ca="1" si="67"/>
        <v>159.3129576341976</v>
      </c>
      <c r="U243" s="49">
        <f t="shared" ca="1" si="67"/>
        <v>148.26326407720688</v>
      </c>
      <c r="V243" s="49">
        <f t="shared" ca="1" si="67"/>
        <v>118.28510033627204</v>
      </c>
      <c r="W243" s="49">
        <f t="shared" ca="1" si="67"/>
        <v>88.266909311378001</v>
      </c>
      <c r="X243" s="49">
        <f t="shared" ca="1" si="67"/>
        <v>58.003524445954731</v>
      </c>
      <c r="Y243" s="49">
        <f t="shared" ca="1" si="67"/>
        <v>0</v>
      </c>
      <c r="Z243" s="49">
        <f t="shared" ca="1" si="67"/>
        <v>0</v>
      </c>
      <c r="AA243" s="49">
        <f t="shared" ca="1" si="67"/>
        <v>0</v>
      </c>
      <c r="AB243" s="49">
        <f t="shared" ca="1" si="67"/>
        <v>0</v>
      </c>
      <c r="AC243" s="49">
        <f t="shared" ca="1" si="67"/>
        <v>0</v>
      </c>
      <c r="AD243" s="49">
        <f t="shared" ca="1" si="67"/>
        <v>0</v>
      </c>
      <c r="AE243" s="49">
        <f t="shared" ca="1" si="67"/>
        <v>0</v>
      </c>
      <c r="AF243" s="49">
        <f t="shared" ca="1" si="67"/>
        <v>0</v>
      </c>
      <c r="AG243" s="49">
        <f t="shared" ca="1" si="67"/>
        <v>0</v>
      </c>
      <c r="AH243" s="49">
        <f t="shared" ca="1" si="67"/>
        <v>0</v>
      </c>
      <c r="AI243" s="49">
        <f t="shared" ca="1" si="67"/>
        <v>0</v>
      </c>
      <c r="AJ243" s="49">
        <f t="shared" ca="1" si="67"/>
        <v>0</v>
      </c>
      <c r="AK243" s="49">
        <f t="shared" ca="1" si="67"/>
        <v>0</v>
      </c>
      <c r="AL243" s="49">
        <f t="shared" ca="1" si="67"/>
        <v>0</v>
      </c>
      <c r="AM243" s="49">
        <f t="shared" ca="1" si="67"/>
        <v>0</v>
      </c>
      <c r="AN243" s="49">
        <f t="shared" ca="1" si="67"/>
        <v>0</v>
      </c>
      <c r="AO243" s="49">
        <f t="shared" ca="1" si="67"/>
        <v>0</v>
      </c>
      <c r="AP243" s="49">
        <f t="shared" ca="1" si="67"/>
        <v>0</v>
      </c>
      <c r="AQ243" s="49">
        <f t="shared" ca="1" si="67"/>
        <v>0</v>
      </c>
      <c r="AR243" s="49">
        <f t="shared" ref="AR243:BS243" ca="1" si="68">CA_cost_stop_oil+AR233+AR239</f>
        <v>0</v>
      </c>
      <c r="AS243" s="49">
        <f t="shared" ca="1" si="68"/>
        <v>0</v>
      </c>
      <c r="AT243" s="49">
        <f t="shared" ca="1" si="68"/>
        <v>0</v>
      </c>
      <c r="AU243" s="49">
        <f t="shared" ca="1" si="68"/>
        <v>0</v>
      </c>
      <c r="AV243" s="49">
        <f t="shared" ca="1" si="68"/>
        <v>0</v>
      </c>
      <c r="AW243" s="49">
        <f t="shared" ca="1" si="68"/>
        <v>0</v>
      </c>
      <c r="AX243" s="49">
        <f t="shared" ca="1" si="68"/>
        <v>0</v>
      </c>
      <c r="AY243" s="49">
        <f t="shared" ca="1" si="68"/>
        <v>0</v>
      </c>
      <c r="AZ243" s="49">
        <f t="shared" ca="1" si="68"/>
        <v>0</v>
      </c>
      <c r="BA243" s="49">
        <f t="shared" ca="1" si="68"/>
        <v>0</v>
      </c>
      <c r="BB243" s="49">
        <f t="shared" ca="1" si="68"/>
        <v>0</v>
      </c>
      <c r="BC243" s="49">
        <f t="shared" ca="1" si="68"/>
        <v>0</v>
      </c>
      <c r="BD243" s="49">
        <f t="shared" ca="1" si="68"/>
        <v>0</v>
      </c>
      <c r="BE243" s="49">
        <f t="shared" ca="1" si="68"/>
        <v>0</v>
      </c>
      <c r="BF243" s="49">
        <f t="shared" ca="1" si="68"/>
        <v>0</v>
      </c>
      <c r="BG243" s="49">
        <f t="shared" ca="1" si="68"/>
        <v>0</v>
      </c>
      <c r="BH243" s="49">
        <f t="shared" ca="1" si="68"/>
        <v>0</v>
      </c>
      <c r="BI243" s="49">
        <f t="shared" ca="1" si="68"/>
        <v>0</v>
      </c>
      <c r="BJ243" s="49">
        <f t="shared" ca="1" si="68"/>
        <v>0</v>
      </c>
      <c r="BK243" s="49">
        <f t="shared" ca="1" si="68"/>
        <v>0</v>
      </c>
      <c r="BL243" s="49">
        <f t="shared" ca="1" si="68"/>
        <v>0</v>
      </c>
      <c r="BM243" s="49">
        <f t="shared" ca="1" si="68"/>
        <v>0</v>
      </c>
      <c r="BN243" s="49">
        <f t="shared" ca="1" si="68"/>
        <v>0</v>
      </c>
      <c r="BO243" s="49">
        <f t="shared" ca="1" si="68"/>
        <v>0</v>
      </c>
      <c r="BP243" s="49">
        <f t="shared" ca="1" si="68"/>
        <v>0</v>
      </c>
      <c r="BQ243" s="49">
        <f t="shared" ca="1" si="68"/>
        <v>0</v>
      </c>
      <c r="BR243" s="49">
        <f t="shared" ca="1" si="68"/>
        <v>0</v>
      </c>
      <c r="BS243" s="49">
        <f t="shared" ca="1" si="68"/>
        <v>0</v>
      </c>
    </row>
    <row r="244" spans="4:71" outlineLevel="1" x14ac:dyDescent="0.2">
      <c r="E244" t="s">
        <v>203</v>
      </c>
      <c r="I244" s="30">
        <f ca="1">I219</f>
        <v>2393.6419999999998</v>
      </c>
      <c r="J244" s="26" t="s">
        <v>148</v>
      </c>
      <c r="L244" s="49">
        <f ca="1">(Marine!CA_capex_to_recover+Marine!CA_unrecov_costs_to_recover)+(K246*(1+Marine!int_rate_cf_costs))</f>
        <v>217.36199999999999</v>
      </c>
      <c r="M244" s="49">
        <f ca="1">(Marine!CA_capex_to_recover+Marine!CA_unrecov_costs_to_recover)+(L246*(1+Marine!int_rate_cf_costs))</f>
        <v>649.50599999999997</v>
      </c>
      <c r="N244" s="49">
        <f ca="1">(Marine!CA_capex_to_recover+Marine!CA_unrecov_costs_to_recover)+(M246*(1+Marine!int_rate_cf_costs))</f>
        <v>1331.836</v>
      </c>
      <c r="O244" s="49">
        <f ca="1">(Marine!CA_capex_to_recover+Marine!CA_unrecov_costs_to_recover)+(N246*(1+Marine!int_rate_cf_costs))</f>
        <v>1759.8409999999999</v>
      </c>
      <c r="P244" s="49">
        <f ca="1">(Marine!CA_capex_to_recover+Marine!CA_unrecov_costs_to_recover)+(O246*(1+Marine!int_rate_cf_costs))</f>
        <v>2166.3719999999998</v>
      </c>
      <c r="Q244" s="49">
        <f ca="1">(Marine!CA_capex_to_recover+Marine!CA_unrecov_costs_to_recover)+(P246*(1+Marine!int_rate_cf_costs))</f>
        <v>2393.6419999999998</v>
      </c>
      <c r="R244" s="49">
        <f ca="1">(Marine!CA_capex_to_recover+Marine!CA_unrecov_costs_to_recover)+(Q246*(1+Marine!int_rate_cf_costs))</f>
        <v>2393.6419999999998</v>
      </c>
      <c r="S244" s="49">
        <f ca="1">(Marine!CA_capex_to_recover+Marine!CA_unrecov_costs_to_recover)+(R246*(1+Marine!int_rate_cf_costs))</f>
        <v>2145.9190262482739</v>
      </c>
      <c r="T244" s="49">
        <f ca="1">(Marine!CA_capex_to_recover+Marine!CA_unrecov_costs_to_recover)+(S246*(1+Marine!int_rate_cf_costs))</f>
        <v>2104.0614346757739</v>
      </c>
      <c r="U244" s="49">
        <f ca="1">(Marine!CA_capex_to_recover+Marine!CA_unrecov_costs_to_recover)+(T246*(1+Marine!int_rate_cf_costs))</f>
        <v>1944.7484770415763</v>
      </c>
      <c r="V244" s="49">
        <f ca="1">(Marine!CA_capex_to_recover+Marine!CA_unrecov_costs_to_recover)+(U246*(1+Marine!int_rate_cf_costs))</f>
        <v>1796.4852129643693</v>
      </c>
      <c r="W244" s="49">
        <f ca="1">(Marine!CA_capex_to_recover+Marine!CA_unrecov_costs_to_recover)+(V246*(1+Marine!int_rate_cf_costs))</f>
        <v>1678.2001126280973</v>
      </c>
      <c r="X244" s="49">
        <f ca="1">(Marine!CA_capex_to_recover+Marine!CA_unrecov_costs_to_recover)+(W246*(1+Marine!int_rate_cf_costs))</f>
        <v>1589.9332033167193</v>
      </c>
      <c r="Y244" s="49">
        <f ca="1">(Marine!CA_capex_to_recover+Marine!CA_unrecov_costs_to_recover)+(X246*(1+Marine!int_rate_cf_costs))</f>
        <v>1531.9296788707645</v>
      </c>
      <c r="Z244" s="49">
        <f ca="1">(Marine!CA_capex_to_recover+Marine!CA_unrecov_costs_to_recover)+(Y246*(1+Marine!int_rate_cf_costs))</f>
        <v>1531.9296788707645</v>
      </c>
      <c r="AA244" s="49">
        <f ca="1">(Marine!CA_capex_to_recover+Marine!CA_unrecov_costs_to_recover)+(Z246*(1+Marine!int_rate_cf_costs))</f>
        <v>1531.9296788707645</v>
      </c>
      <c r="AB244" s="49">
        <f ca="1">(Marine!CA_capex_to_recover+Marine!CA_unrecov_costs_to_recover)+(AA246*(1+Marine!int_rate_cf_costs))</f>
        <v>1531.9296788707645</v>
      </c>
      <c r="AC244" s="49">
        <f ca="1">(Marine!CA_capex_to_recover+Marine!CA_unrecov_costs_to_recover)+(AB246*(1+Marine!int_rate_cf_costs))</f>
        <v>1531.9296788707645</v>
      </c>
      <c r="AD244" s="49">
        <f ca="1">(Marine!CA_capex_to_recover+Marine!CA_unrecov_costs_to_recover)+(AC246*(1+Marine!int_rate_cf_costs))</f>
        <v>1531.9296788707645</v>
      </c>
      <c r="AE244" s="49">
        <f ca="1">(Marine!CA_capex_to_recover+Marine!CA_unrecov_costs_to_recover)+(AD246*(1+Marine!int_rate_cf_costs))</f>
        <v>1531.9296788707645</v>
      </c>
      <c r="AF244" s="49">
        <f ca="1">(Marine!CA_capex_to_recover+Marine!CA_unrecov_costs_to_recover)+(AE246*(1+Marine!int_rate_cf_costs))</f>
        <v>1531.9296788707645</v>
      </c>
      <c r="AG244" s="49">
        <f ca="1">(Marine!CA_capex_to_recover+Marine!CA_unrecov_costs_to_recover)+(AF246*(1+Marine!int_rate_cf_costs))</f>
        <v>1531.9296788707645</v>
      </c>
      <c r="AH244" s="49">
        <f ca="1">(Marine!CA_capex_to_recover+Marine!CA_unrecov_costs_to_recover)+(AG246*(1+Marine!int_rate_cf_costs))</f>
        <v>1531.9296788707645</v>
      </c>
      <c r="AI244" s="49">
        <f ca="1">(Marine!CA_capex_to_recover+Marine!CA_unrecov_costs_to_recover)+(AH246*(1+Marine!int_rate_cf_costs))</f>
        <v>1531.9296788707645</v>
      </c>
      <c r="AJ244" s="49">
        <f ca="1">(Marine!CA_capex_to_recover+Marine!CA_unrecov_costs_to_recover)+(AI246*(1+Marine!int_rate_cf_costs))</f>
        <v>1531.9296788707645</v>
      </c>
      <c r="AK244" s="49">
        <f ca="1">(Marine!CA_capex_to_recover+Marine!CA_unrecov_costs_to_recover)+(AJ246*(1+Marine!int_rate_cf_costs))</f>
        <v>1531.9296788707645</v>
      </c>
      <c r="AL244" s="49">
        <f ca="1">(Marine!CA_capex_to_recover+Marine!CA_unrecov_costs_to_recover)+(AK246*(1+Marine!int_rate_cf_costs))</f>
        <v>1531.9296788707645</v>
      </c>
      <c r="AM244" s="49">
        <f ca="1">(Marine!CA_capex_to_recover+Marine!CA_unrecov_costs_to_recover)+(AL246*(1+Marine!int_rate_cf_costs))</f>
        <v>1531.9296788707645</v>
      </c>
      <c r="AN244" s="49">
        <f ca="1">(Marine!CA_capex_to_recover+Marine!CA_unrecov_costs_to_recover)+(AM246*(1+Marine!int_rate_cf_costs))</f>
        <v>1531.9296788707645</v>
      </c>
      <c r="AO244" s="49">
        <f ca="1">(Marine!CA_capex_to_recover+Marine!CA_unrecov_costs_to_recover)+(AN246*(1+Marine!int_rate_cf_costs))</f>
        <v>1531.9296788707645</v>
      </c>
      <c r="AP244" s="49">
        <f ca="1">(Marine!CA_capex_to_recover+Marine!CA_unrecov_costs_to_recover)+(AO246*(1+Marine!int_rate_cf_costs))</f>
        <v>1531.9296788707645</v>
      </c>
      <c r="AQ244" s="49">
        <f ca="1">(Marine!CA_capex_to_recover+Marine!CA_unrecov_costs_to_recover)+(AP246*(1+Marine!int_rate_cf_costs))</f>
        <v>1531.9296788707645</v>
      </c>
      <c r="AR244" s="49">
        <f ca="1">(Marine!CA_capex_to_recover+Marine!CA_unrecov_costs_to_recover)+(AQ246*(1+Marine!int_rate_cf_costs))</f>
        <v>1531.9296788707645</v>
      </c>
      <c r="AS244" s="49">
        <f ca="1">(Marine!CA_capex_to_recover+Marine!CA_unrecov_costs_to_recover)+(AR246*(1+Marine!int_rate_cf_costs))</f>
        <v>1531.9296788707645</v>
      </c>
      <c r="AT244" s="49">
        <f ca="1">(Marine!CA_capex_to_recover+Marine!CA_unrecov_costs_to_recover)+(AS246*(1+Marine!int_rate_cf_costs))</f>
        <v>1531.9296788707645</v>
      </c>
      <c r="AU244" s="49">
        <f ca="1">(Marine!CA_capex_to_recover+Marine!CA_unrecov_costs_to_recover)+(AT246*(1+Marine!int_rate_cf_costs))</f>
        <v>1531.9296788707645</v>
      </c>
      <c r="AV244" s="49">
        <f ca="1">(Marine!CA_capex_to_recover+Marine!CA_unrecov_costs_to_recover)+(AU246*(1+Marine!int_rate_cf_costs))</f>
        <v>1531.9296788707645</v>
      </c>
      <c r="AW244" s="49">
        <f ca="1">(Marine!CA_capex_to_recover+Marine!CA_unrecov_costs_to_recover)+(AV246*(1+Marine!int_rate_cf_costs))</f>
        <v>1531.9296788707645</v>
      </c>
      <c r="AX244" s="49">
        <f ca="1">(Marine!CA_capex_to_recover+Marine!CA_unrecov_costs_to_recover)+(AW246*(1+Marine!int_rate_cf_costs))</f>
        <v>1531.9296788707645</v>
      </c>
      <c r="AY244" s="49">
        <f ca="1">(Marine!CA_capex_to_recover+Marine!CA_unrecov_costs_to_recover)+(AX246*(1+Marine!int_rate_cf_costs))</f>
        <v>1531.9296788707645</v>
      </c>
      <c r="AZ244" s="49">
        <f ca="1">(Marine!CA_capex_to_recover+Marine!CA_unrecov_costs_to_recover)+(AY246*(1+Marine!int_rate_cf_costs))</f>
        <v>1531.9296788707645</v>
      </c>
      <c r="BA244" s="49">
        <f ca="1">(Marine!CA_capex_to_recover+Marine!CA_unrecov_costs_to_recover)+(AZ246*(1+Marine!int_rate_cf_costs))</f>
        <v>1531.9296788707645</v>
      </c>
      <c r="BB244" s="49">
        <f ca="1">(Marine!CA_capex_to_recover+Marine!CA_unrecov_costs_to_recover)+(BA246*(1+Marine!int_rate_cf_costs))</f>
        <v>1531.9296788707645</v>
      </c>
      <c r="BC244" s="49">
        <f ca="1">(Marine!CA_capex_to_recover+Marine!CA_unrecov_costs_to_recover)+(BB246*(1+Marine!int_rate_cf_costs))</f>
        <v>1531.9296788707645</v>
      </c>
      <c r="BD244" s="49">
        <f ca="1">(Marine!CA_capex_to_recover+Marine!CA_unrecov_costs_to_recover)+(BC246*(1+Marine!int_rate_cf_costs))</f>
        <v>1531.9296788707645</v>
      </c>
      <c r="BE244" s="49">
        <f ca="1">(Marine!CA_capex_to_recover+Marine!CA_unrecov_costs_to_recover)+(BD246*(1+Marine!int_rate_cf_costs))</f>
        <v>1531.9296788707645</v>
      </c>
      <c r="BF244" s="49">
        <f ca="1">(Marine!CA_capex_to_recover+Marine!CA_unrecov_costs_to_recover)+(BE246*(1+Marine!int_rate_cf_costs))</f>
        <v>1531.9296788707645</v>
      </c>
      <c r="BG244" s="49">
        <f ca="1">(Marine!CA_capex_to_recover+Marine!CA_unrecov_costs_to_recover)+(BF246*(1+Marine!int_rate_cf_costs))</f>
        <v>1531.9296788707645</v>
      </c>
      <c r="BH244" s="49">
        <f ca="1">(Marine!CA_capex_to_recover+Marine!CA_unrecov_costs_to_recover)+(BG246*(1+Marine!int_rate_cf_costs))</f>
        <v>1531.9296788707645</v>
      </c>
      <c r="BI244" s="49">
        <f ca="1">(Marine!CA_capex_to_recover+Marine!CA_unrecov_costs_to_recover)+(BH246*(1+Marine!int_rate_cf_costs))</f>
        <v>1531.9296788707645</v>
      </c>
      <c r="BJ244" s="49">
        <f ca="1">(Marine!CA_capex_to_recover+Marine!CA_unrecov_costs_to_recover)+(BI246*(1+Marine!int_rate_cf_costs))</f>
        <v>1531.9296788707645</v>
      </c>
      <c r="BK244" s="49">
        <f ca="1">(Marine!CA_capex_to_recover+Marine!CA_unrecov_costs_to_recover)+(BJ246*(1+Marine!int_rate_cf_costs))</f>
        <v>1531.9296788707645</v>
      </c>
      <c r="BL244" s="49">
        <f ca="1">(Marine!CA_capex_to_recover+Marine!CA_unrecov_costs_to_recover)+(BK246*(1+Marine!int_rate_cf_costs))</f>
        <v>1531.9296788707645</v>
      </c>
      <c r="BM244" s="49">
        <f ca="1">(Marine!CA_capex_to_recover+Marine!CA_unrecov_costs_to_recover)+(BL246*(1+Marine!int_rate_cf_costs))</f>
        <v>1531.9296788707645</v>
      </c>
      <c r="BN244" s="49">
        <f ca="1">(Marine!CA_capex_to_recover+Marine!CA_unrecov_costs_to_recover)+(BM246*(1+Marine!int_rate_cf_costs))</f>
        <v>1531.9296788707645</v>
      </c>
      <c r="BO244" s="49">
        <f ca="1">(Marine!CA_capex_to_recover+Marine!CA_unrecov_costs_to_recover)+(BN246*(1+Marine!int_rate_cf_costs))</f>
        <v>1531.9296788707645</v>
      </c>
      <c r="BP244" s="49">
        <f ca="1">(Marine!CA_capex_to_recover+Marine!CA_unrecov_costs_to_recover)+(BO246*(1+Marine!int_rate_cf_costs))</f>
        <v>1531.9296788707645</v>
      </c>
      <c r="BQ244" s="49">
        <f ca="1">(Marine!CA_capex_to_recover+Marine!CA_unrecov_costs_to_recover)+(BP246*(1+Marine!int_rate_cf_costs))</f>
        <v>1531.9296788707645</v>
      </c>
      <c r="BR244" s="49">
        <f ca="1">(Marine!CA_capex_to_recover+Marine!CA_unrecov_costs_to_recover)+(BQ246*(1+Marine!int_rate_cf_costs))</f>
        <v>1531.9296788707645</v>
      </c>
      <c r="BS244" s="49">
        <f ca="1">(Marine!CA_capex_to_recover+Marine!CA_unrecov_costs_to_recover)+(BR246*(1+Marine!int_rate_cf_costs))</f>
        <v>1531.9296788707645</v>
      </c>
    </row>
    <row r="245" spans="4:71" outlineLevel="1" x14ac:dyDescent="0.2">
      <c r="E245" t="s">
        <v>204</v>
      </c>
      <c r="H245" s="56" t="b">
        <f ca="1">ROUND(I245,2)=-ROUND(I244,2)</f>
        <v>0</v>
      </c>
      <c r="I245" s="30">
        <f t="shared" ca="1" si="66"/>
        <v>-861.71232112923531</v>
      </c>
      <c r="J245" s="26" t="s">
        <v>148</v>
      </c>
      <c r="L245" s="49">
        <f ca="1">-MIN(L244,L243)</f>
        <v>0</v>
      </c>
      <c r="M245" s="49">
        <f t="shared" ref="M245:BS245" ca="1" si="69">-MIN(M244,M243)</f>
        <v>0</v>
      </c>
      <c r="N245" s="49">
        <f t="shared" ca="1" si="69"/>
        <v>0</v>
      </c>
      <c r="O245" s="49">
        <f t="shared" ca="1" si="69"/>
        <v>0</v>
      </c>
      <c r="P245" s="49">
        <f t="shared" ca="1" si="69"/>
        <v>0</v>
      </c>
      <c r="Q245" s="49">
        <f t="shared" ca="1" si="69"/>
        <v>0</v>
      </c>
      <c r="R245" s="49">
        <f t="shared" ca="1" si="69"/>
        <v>-247.72297375172604</v>
      </c>
      <c r="S245" s="49">
        <f t="shared" ca="1" si="69"/>
        <v>-41.857591572499949</v>
      </c>
      <c r="T245" s="49">
        <f t="shared" ca="1" si="69"/>
        <v>-159.3129576341976</v>
      </c>
      <c r="U245" s="49">
        <f t="shared" ca="1" si="69"/>
        <v>-148.26326407720688</v>
      </c>
      <c r="V245" s="49">
        <f t="shared" ca="1" si="69"/>
        <v>-118.28510033627204</v>
      </c>
      <c r="W245" s="49">
        <f t="shared" ca="1" si="69"/>
        <v>-88.266909311378001</v>
      </c>
      <c r="X245" s="49">
        <f t="shared" ca="1" si="69"/>
        <v>-58.003524445954731</v>
      </c>
      <c r="Y245" s="49">
        <f t="shared" ca="1" si="69"/>
        <v>0</v>
      </c>
      <c r="Z245" s="49">
        <f t="shared" ca="1" si="69"/>
        <v>0</v>
      </c>
      <c r="AA245" s="49">
        <f t="shared" ca="1" si="69"/>
        <v>0</v>
      </c>
      <c r="AB245" s="49">
        <f t="shared" ca="1" si="69"/>
        <v>0</v>
      </c>
      <c r="AC245" s="49">
        <f t="shared" ca="1" si="69"/>
        <v>0</v>
      </c>
      <c r="AD245" s="49">
        <f t="shared" ca="1" si="69"/>
        <v>0</v>
      </c>
      <c r="AE245" s="49">
        <f t="shared" ca="1" si="69"/>
        <v>0</v>
      </c>
      <c r="AF245" s="49">
        <f t="shared" ca="1" si="69"/>
        <v>0</v>
      </c>
      <c r="AG245" s="49">
        <f t="shared" ca="1" si="69"/>
        <v>0</v>
      </c>
      <c r="AH245" s="49">
        <f t="shared" ca="1" si="69"/>
        <v>0</v>
      </c>
      <c r="AI245" s="49">
        <f t="shared" ca="1" si="69"/>
        <v>0</v>
      </c>
      <c r="AJ245" s="49">
        <f t="shared" ca="1" si="69"/>
        <v>0</v>
      </c>
      <c r="AK245" s="49">
        <f t="shared" ca="1" si="69"/>
        <v>0</v>
      </c>
      <c r="AL245" s="49">
        <f t="shared" ca="1" si="69"/>
        <v>0</v>
      </c>
      <c r="AM245" s="49">
        <f t="shared" ca="1" si="69"/>
        <v>0</v>
      </c>
      <c r="AN245" s="49">
        <f t="shared" ca="1" si="69"/>
        <v>0</v>
      </c>
      <c r="AO245" s="49">
        <f t="shared" ca="1" si="69"/>
        <v>0</v>
      </c>
      <c r="AP245" s="49">
        <f t="shared" ca="1" si="69"/>
        <v>0</v>
      </c>
      <c r="AQ245" s="49">
        <f t="shared" ca="1" si="69"/>
        <v>0</v>
      </c>
      <c r="AR245" s="49">
        <f t="shared" ca="1" si="69"/>
        <v>0</v>
      </c>
      <c r="AS245" s="49">
        <f t="shared" ca="1" si="69"/>
        <v>0</v>
      </c>
      <c r="AT245" s="49">
        <f t="shared" ca="1" si="69"/>
        <v>0</v>
      </c>
      <c r="AU245" s="49">
        <f t="shared" ca="1" si="69"/>
        <v>0</v>
      </c>
      <c r="AV245" s="49">
        <f t="shared" ca="1" si="69"/>
        <v>0</v>
      </c>
      <c r="AW245" s="49">
        <f t="shared" ca="1" si="69"/>
        <v>0</v>
      </c>
      <c r="AX245" s="49">
        <f t="shared" ca="1" si="69"/>
        <v>0</v>
      </c>
      <c r="AY245" s="49">
        <f t="shared" ca="1" si="69"/>
        <v>0</v>
      </c>
      <c r="AZ245" s="49">
        <f t="shared" ca="1" si="69"/>
        <v>0</v>
      </c>
      <c r="BA245" s="49">
        <f t="shared" ca="1" si="69"/>
        <v>0</v>
      </c>
      <c r="BB245" s="49">
        <f t="shared" ca="1" si="69"/>
        <v>0</v>
      </c>
      <c r="BC245" s="49">
        <f t="shared" ca="1" si="69"/>
        <v>0</v>
      </c>
      <c r="BD245" s="49">
        <f t="shared" ca="1" si="69"/>
        <v>0</v>
      </c>
      <c r="BE245" s="49">
        <f t="shared" ca="1" si="69"/>
        <v>0</v>
      </c>
      <c r="BF245" s="49">
        <f t="shared" ca="1" si="69"/>
        <v>0</v>
      </c>
      <c r="BG245" s="49">
        <f t="shared" ca="1" si="69"/>
        <v>0</v>
      </c>
      <c r="BH245" s="49">
        <f t="shared" ca="1" si="69"/>
        <v>0</v>
      </c>
      <c r="BI245" s="49">
        <f t="shared" ca="1" si="69"/>
        <v>0</v>
      </c>
      <c r="BJ245" s="49">
        <f t="shared" ca="1" si="69"/>
        <v>0</v>
      </c>
      <c r="BK245" s="49">
        <f t="shared" ca="1" si="69"/>
        <v>0</v>
      </c>
      <c r="BL245" s="49">
        <f t="shared" ca="1" si="69"/>
        <v>0</v>
      </c>
      <c r="BM245" s="49">
        <f t="shared" ca="1" si="69"/>
        <v>0</v>
      </c>
      <c r="BN245" s="49">
        <f t="shared" ca="1" si="69"/>
        <v>0</v>
      </c>
      <c r="BO245" s="49">
        <f t="shared" ca="1" si="69"/>
        <v>0</v>
      </c>
      <c r="BP245" s="49">
        <f t="shared" ca="1" si="69"/>
        <v>0</v>
      </c>
      <c r="BQ245" s="49">
        <f t="shared" ca="1" si="69"/>
        <v>0</v>
      </c>
      <c r="BR245" s="49">
        <f t="shared" ca="1" si="69"/>
        <v>0</v>
      </c>
      <c r="BS245" s="49">
        <f t="shared" ca="1" si="69"/>
        <v>0</v>
      </c>
    </row>
    <row r="246" spans="4:71" outlineLevel="1" x14ac:dyDescent="0.2">
      <c r="E246" t="s">
        <v>195</v>
      </c>
      <c r="J246" s="26"/>
      <c r="L246" s="49">
        <f ca="1">L244+L245</f>
        <v>217.36199999999999</v>
      </c>
      <c r="M246" s="49">
        <f t="shared" ref="M246:BS246" ca="1" si="70">M244+M245</f>
        <v>649.50599999999997</v>
      </c>
      <c r="N246" s="49">
        <f t="shared" ca="1" si="70"/>
        <v>1331.836</v>
      </c>
      <c r="O246" s="49">
        <f t="shared" ca="1" si="70"/>
        <v>1759.8409999999999</v>
      </c>
      <c r="P246" s="49">
        <f t="shared" ca="1" si="70"/>
        <v>2166.3719999999998</v>
      </c>
      <c r="Q246" s="49">
        <f t="shared" ca="1" si="70"/>
        <v>2393.6419999999998</v>
      </c>
      <c r="R246" s="49">
        <f t="shared" ca="1" si="70"/>
        <v>2145.9190262482739</v>
      </c>
      <c r="S246" s="49">
        <f t="shared" ca="1" si="70"/>
        <v>2104.0614346757739</v>
      </c>
      <c r="T246" s="49">
        <f t="shared" ca="1" si="70"/>
        <v>1944.7484770415763</v>
      </c>
      <c r="U246" s="49">
        <f t="shared" ca="1" si="70"/>
        <v>1796.4852129643693</v>
      </c>
      <c r="V246" s="49">
        <f t="shared" ca="1" si="70"/>
        <v>1678.2001126280973</v>
      </c>
      <c r="W246" s="49">
        <f t="shared" ca="1" si="70"/>
        <v>1589.9332033167193</v>
      </c>
      <c r="X246" s="49">
        <f t="shared" ca="1" si="70"/>
        <v>1531.9296788707645</v>
      </c>
      <c r="Y246" s="49">
        <f t="shared" ca="1" si="70"/>
        <v>1531.9296788707645</v>
      </c>
      <c r="Z246" s="49">
        <f t="shared" ca="1" si="70"/>
        <v>1531.9296788707645</v>
      </c>
      <c r="AA246" s="49">
        <f t="shared" ca="1" si="70"/>
        <v>1531.9296788707645</v>
      </c>
      <c r="AB246" s="49">
        <f t="shared" ca="1" si="70"/>
        <v>1531.9296788707645</v>
      </c>
      <c r="AC246" s="49">
        <f t="shared" ca="1" si="70"/>
        <v>1531.9296788707645</v>
      </c>
      <c r="AD246" s="49">
        <f t="shared" ca="1" si="70"/>
        <v>1531.9296788707645</v>
      </c>
      <c r="AE246" s="49">
        <f t="shared" ca="1" si="70"/>
        <v>1531.9296788707645</v>
      </c>
      <c r="AF246" s="49">
        <f t="shared" ca="1" si="70"/>
        <v>1531.9296788707645</v>
      </c>
      <c r="AG246" s="49">
        <f t="shared" ca="1" si="70"/>
        <v>1531.9296788707645</v>
      </c>
      <c r="AH246" s="49">
        <f t="shared" ca="1" si="70"/>
        <v>1531.9296788707645</v>
      </c>
      <c r="AI246" s="49">
        <f t="shared" ca="1" si="70"/>
        <v>1531.9296788707645</v>
      </c>
      <c r="AJ246" s="49">
        <f t="shared" ca="1" si="70"/>
        <v>1531.9296788707645</v>
      </c>
      <c r="AK246" s="49">
        <f t="shared" ca="1" si="70"/>
        <v>1531.9296788707645</v>
      </c>
      <c r="AL246" s="49">
        <f t="shared" ca="1" si="70"/>
        <v>1531.9296788707645</v>
      </c>
      <c r="AM246" s="49">
        <f t="shared" ca="1" si="70"/>
        <v>1531.9296788707645</v>
      </c>
      <c r="AN246" s="49">
        <f t="shared" ca="1" si="70"/>
        <v>1531.9296788707645</v>
      </c>
      <c r="AO246" s="49">
        <f t="shared" ca="1" si="70"/>
        <v>1531.9296788707645</v>
      </c>
      <c r="AP246" s="49">
        <f t="shared" ca="1" si="70"/>
        <v>1531.9296788707645</v>
      </c>
      <c r="AQ246" s="49">
        <f t="shared" ca="1" si="70"/>
        <v>1531.9296788707645</v>
      </c>
      <c r="AR246" s="49">
        <f t="shared" ca="1" si="70"/>
        <v>1531.9296788707645</v>
      </c>
      <c r="AS246" s="49">
        <f t="shared" ca="1" si="70"/>
        <v>1531.9296788707645</v>
      </c>
      <c r="AT246" s="49">
        <f t="shared" ca="1" si="70"/>
        <v>1531.9296788707645</v>
      </c>
      <c r="AU246" s="49">
        <f t="shared" ca="1" si="70"/>
        <v>1531.9296788707645</v>
      </c>
      <c r="AV246" s="49">
        <f t="shared" ca="1" si="70"/>
        <v>1531.9296788707645</v>
      </c>
      <c r="AW246" s="49">
        <f t="shared" ca="1" si="70"/>
        <v>1531.9296788707645</v>
      </c>
      <c r="AX246" s="49">
        <f t="shared" ca="1" si="70"/>
        <v>1531.9296788707645</v>
      </c>
      <c r="AY246" s="49">
        <f t="shared" ca="1" si="70"/>
        <v>1531.9296788707645</v>
      </c>
      <c r="AZ246" s="49">
        <f t="shared" ca="1" si="70"/>
        <v>1531.9296788707645</v>
      </c>
      <c r="BA246" s="49">
        <f t="shared" ca="1" si="70"/>
        <v>1531.9296788707645</v>
      </c>
      <c r="BB246" s="49">
        <f t="shared" ca="1" si="70"/>
        <v>1531.9296788707645</v>
      </c>
      <c r="BC246" s="49">
        <f t="shared" ca="1" si="70"/>
        <v>1531.9296788707645</v>
      </c>
      <c r="BD246" s="49">
        <f t="shared" ca="1" si="70"/>
        <v>1531.9296788707645</v>
      </c>
      <c r="BE246" s="49">
        <f t="shared" ca="1" si="70"/>
        <v>1531.9296788707645</v>
      </c>
      <c r="BF246" s="49">
        <f t="shared" ca="1" si="70"/>
        <v>1531.9296788707645</v>
      </c>
      <c r="BG246" s="49">
        <f t="shared" ca="1" si="70"/>
        <v>1531.9296788707645</v>
      </c>
      <c r="BH246" s="49">
        <f t="shared" ca="1" si="70"/>
        <v>1531.9296788707645</v>
      </c>
      <c r="BI246" s="49">
        <f t="shared" ca="1" si="70"/>
        <v>1531.9296788707645</v>
      </c>
      <c r="BJ246" s="49">
        <f t="shared" ca="1" si="70"/>
        <v>1531.9296788707645</v>
      </c>
      <c r="BK246" s="49">
        <f t="shared" ca="1" si="70"/>
        <v>1531.9296788707645</v>
      </c>
      <c r="BL246" s="49">
        <f t="shared" ca="1" si="70"/>
        <v>1531.9296788707645</v>
      </c>
      <c r="BM246" s="49">
        <f t="shared" ca="1" si="70"/>
        <v>1531.9296788707645</v>
      </c>
      <c r="BN246" s="49">
        <f t="shared" ca="1" si="70"/>
        <v>1531.9296788707645</v>
      </c>
      <c r="BO246" s="49">
        <f t="shared" ca="1" si="70"/>
        <v>1531.9296788707645</v>
      </c>
      <c r="BP246" s="49">
        <f t="shared" ca="1" si="70"/>
        <v>1531.9296788707645</v>
      </c>
      <c r="BQ246" s="49">
        <f t="shared" ca="1" si="70"/>
        <v>1531.9296788707645</v>
      </c>
      <c r="BR246" s="49">
        <f t="shared" ca="1" si="70"/>
        <v>1531.9296788707645</v>
      </c>
      <c r="BS246" s="49">
        <f t="shared" ca="1" si="70"/>
        <v>1531.9296788707645</v>
      </c>
    </row>
    <row r="247" spans="4:71" outlineLevel="1" x14ac:dyDescent="0.2">
      <c r="J247" s="26"/>
      <c r="L247" s="55"/>
      <c r="M247" s="55"/>
      <c r="N247" s="55"/>
      <c r="O247" s="55"/>
      <c r="P247" s="55"/>
      <c r="Q247" s="55"/>
      <c r="R247" s="55"/>
      <c r="S247" s="55"/>
      <c r="T247" s="55"/>
      <c r="U247" s="55"/>
      <c r="V247" s="55"/>
      <c r="W247" s="55"/>
      <c r="X247" s="55"/>
      <c r="Y247" s="55"/>
      <c r="Z247" s="55"/>
      <c r="AA247" s="55"/>
      <c r="AB247" s="55"/>
      <c r="AC247" s="55"/>
      <c r="AD247" s="55"/>
      <c r="AE247" s="55"/>
      <c r="AF247" s="55"/>
      <c r="AG247" s="55"/>
      <c r="AH247" s="55"/>
      <c r="AI247" s="55"/>
      <c r="AJ247" s="55"/>
      <c r="AK247" s="55"/>
      <c r="AL247" s="55"/>
      <c r="AM247" s="55"/>
      <c r="AN247" s="55"/>
      <c r="AO247" s="55"/>
      <c r="AP247" s="55"/>
      <c r="AQ247" s="55"/>
      <c r="AR247" s="55"/>
      <c r="AS247" s="55"/>
      <c r="AT247" s="55"/>
      <c r="AU247" s="55"/>
      <c r="AV247" s="55"/>
      <c r="AW247" s="55"/>
      <c r="AX247" s="55"/>
      <c r="AY247" s="55"/>
      <c r="AZ247" s="55"/>
      <c r="BA247" s="55"/>
      <c r="BB247" s="55"/>
      <c r="BC247" s="55"/>
      <c r="BD247" s="55"/>
      <c r="BE247" s="55"/>
      <c r="BF247" s="55"/>
      <c r="BG247" s="55"/>
      <c r="BH247" s="55"/>
      <c r="BI247" s="55"/>
      <c r="BJ247" s="55"/>
      <c r="BK247" s="55"/>
      <c r="BL247" s="55"/>
      <c r="BM247" s="55"/>
      <c r="BN247" s="55"/>
      <c r="BO247" s="55"/>
      <c r="BP247" s="55"/>
      <c r="BQ247" s="55"/>
      <c r="BR247" s="55"/>
      <c r="BS247" s="55"/>
    </row>
    <row r="248" spans="4:71" outlineLevel="1" x14ac:dyDescent="0.2">
      <c r="D248" s="51" t="s">
        <v>184</v>
      </c>
      <c r="J248" s="26"/>
      <c r="L248" s="55"/>
      <c r="M248" s="55"/>
      <c r="N248" s="55"/>
      <c r="O248" s="55"/>
      <c r="P248" s="55"/>
      <c r="Q248" s="55"/>
      <c r="R248" s="55"/>
      <c r="S248" s="55"/>
      <c r="T248" s="55"/>
      <c r="U248" s="55"/>
      <c r="V248" s="55"/>
      <c r="W248" s="55"/>
      <c r="X248" s="55"/>
      <c r="Y248" s="55"/>
      <c r="Z248" s="55"/>
      <c r="AA248" s="55"/>
      <c r="AB248" s="55"/>
      <c r="AC248" s="55"/>
      <c r="AD248" s="55"/>
      <c r="AE248" s="55"/>
      <c r="AF248" s="55"/>
      <c r="AG248" s="55"/>
      <c r="AH248" s="55"/>
      <c r="AI248" s="55"/>
      <c r="AJ248" s="55"/>
      <c r="AK248" s="55"/>
      <c r="AL248" s="55"/>
      <c r="AM248" s="55"/>
      <c r="AN248" s="55"/>
      <c r="AO248" s="55"/>
      <c r="AP248" s="55"/>
      <c r="AQ248" s="55"/>
      <c r="AR248" s="55"/>
      <c r="AS248" s="55"/>
      <c r="AT248" s="55"/>
      <c r="AU248" s="55"/>
      <c r="AV248" s="55"/>
      <c r="AW248" s="55"/>
      <c r="AX248" s="55"/>
      <c r="AY248" s="55"/>
      <c r="AZ248" s="55"/>
      <c r="BA248" s="55"/>
      <c r="BB248" s="55"/>
      <c r="BC248" s="55"/>
      <c r="BD248" s="55"/>
      <c r="BE248" s="55"/>
      <c r="BF248" s="55"/>
      <c r="BG248" s="55"/>
      <c r="BH248" s="55"/>
      <c r="BI248" s="55"/>
      <c r="BJ248" s="55"/>
      <c r="BK248" s="55"/>
      <c r="BL248" s="55"/>
      <c r="BM248" s="55"/>
      <c r="BN248" s="55"/>
      <c r="BO248" s="55"/>
      <c r="BP248" s="55"/>
      <c r="BQ248" s="55"/>
      <c r="BR248" s="55"/>
      <c r="BS248" s="55"/>
    </row>
    <row r="249" spans="4:71" outlineLevel="1" x14ac:dyDescent="0.2">
      <c r="E249" t="s">
        <v>192</v>
      </c>
      <c r="I249" s="30">
        <f t="shared" ref="I249:I299" ca="1" si="71">SUM($L249:$BS249)</f>
        <v>0</v>
      </c>
      <c r="J249" s="26" t="s">
        <v>148</v>
      </c>
      <c r="L249" s="49">
        <f t="shared" ref="L249:AQ249" ca="1" si="72">CA_cost_stop_oil+L233+L239+L245</f>
        <v>0</v>
      </c>
      <c r="M249" s="49">
        <f t="shared" ca="1" si="72"/>
        <v>0</v>
      </c>
      <c r="N249" s="49">
        <f t="shared" ca="1" si="72"/>
        <v>0</v>
      </c>
      <c r="O249" s="49">
        <f t="shared" ca="1" si="72"/>
        <v>0</v>
      </c>
      <c r="P249" s="49">
        <f t="shared" ca="1" si="72"/>
        <v>0</v>
      </c>
      <c r="Q249" s="49">
        <f t="shared" ca="1" si="72"/>
        <v>0</v>
      </c>
      <c r="R249" s="49">
        <f t="shared" ca="1" si="72"/>
        <v>0</v>
      </c>
      <c r="S249" s="49">
        <f t="shared" ca="1" si="72"/>
        <v>0</v>
      </c>
      <c r="T249" s="49">
        <f t="shared" ca="1" si="72"/>
        <v>0</v>
      </c>
      <c r="U249" s="49">
        <f t="shared" ca="1" si="72"/>
        <v>0</v>
      </c>
      <c r="V249" s="49">
        <f t="shared" ca="1" si="72"/>
        <v>0</v>
      </c>
      <c r="W249" s="49">
        <f t="shared" ca="1" si="72"/>
        <v>0</v>
      </c>
      <c r="X249" s="49">
        <f t="shared" ca="1" si="72"/>
        <v>0</v>
      </c>
      <c r="Y249" s="49">
        <f t="shared" ca="1" si="72"/>
        <v>0</v>
      </c>
      <c r="Z249" s="49">
        <f t="shared" ca="1" si="72"/>
        <v>0</v>
      </c>
      <c r="AA249" s="49">
        <f t="shared" ca="1" si="72"/>
        <v>0</v>
      </c>
      <c r="AB249" s="49">
        <f t="shared" ca="1" si="72"/>
        <v>0</v>
      </c>
      <c r="AC249" s="49">
        <f t="shared" ca="1" si="72"/>
        <v>0</v>
      </c>
      <c r="AD249" s="49">
        <f t="shared" ca="1" si="72"/>
        <v>0</v>
      </c>
      <c r="AE249" s="49">
        <f t="shared" ca="1" si="72"/>
        <v>0</v>
      </c>
      <c r="AF249" s="49">
        <f t="shared" ca="1" si="72"/>
        <v>0</v>
      </c>
      <c r="AG249" s="49">
        <f t="shared" ca="1" si="72"/>
        <v>0</v>
      </c>
      <c r="AH249" s="49">
        <f t="shared" ca="1" si="72"/>
        <v>0</v>
      </c>
      <c r="AI249" s="49">
        <f t="shared" ca="1" si="72"/>
        <v>0</v>
      </c>
      <c r="AJ249" s="49">
        <f t="shared" ca="1" si="72"/>
        <v>0</v>
      </c>
      <c r="AK249" s="49">
        <f t="shared" ca="1" si="72"/>
        <v>0</v>
      </c>
      <c r="AL249" s="49">
        <f t="shared" ca="1" si="72"/>
        <v>0</v>
      </c>
      <c r="AM249" s="49">
        <f t="shared" ca="1" si="72"/>
        <v>0</v>
      </c>
      <c r="AN249" s="49">
        <f t="shared" ca="1" si="72"/>
        <v>0</v>
      </c>
      <c r="AO249" s="49">
        <f t="shared" ca="1" si="72"/>
        <v>0</v>
      </c>
      <c r="AP249" s="49">
        <f t="shared" ca="1" si="72"/>
        <v>0</v>
      </c>
      <c r="AQ249" s="49">
        <f t="shared" ca="1" si="72"/>
        <v>0</v>
      </c>
      <c r="AR249" s="49">
        <f t="shared" ref="AR249:BS249" ca="1" si="73">CA_cost_stop_oil+AR233+AR239+AR245</f>
        <v>0</v>
      </c>
      <c r="AS249" s="49">
        <f t="shared" ca="1" si="73"/>
        <v>0</v>
      </c>
      <c r="AT249" s="49">
        <f t="shared" ca="1" si="73"/>
        <v>0</v>
      </c>
      <c r="AU249" s="49">
        <f t="shared" ca="1" si="73"/>
        <v>0</v>
      </c>
      <c r="AV249" s="49">
        <f t="shared" ca="1" si="73"/>
        <v>0</v>
      </c>
      <c r="AW249" s="49">
        <f t="shared" ca="1" si="73"/>
        <v>0</v>
      </c>
      <c r="AX249" s="49">
        <f t="shared" ca="1" si="73"/>
        <v>0</v>
      </c>
      <c r="AY249" s="49">
        <f t="shared" ca="1" si="73"/>
        <v>0</v>
      </c>
      <c r="AZ249" s="49">
        <f t="shared" ca="1" si="73"/>
        <v>0</v>
      </c>
      <c r="BA249" s="49">
        <f t="shared" ca="1" si="73"/>
        <v>0</v>
      </c>
      <c r="BB249" s="49">
        <f t="shared" ca="1" si="73"/>
        <v>0</v>
      </c>
      <c r="BC249" s="49">
        <f t="shared" ca="1" si="73"/>
        <v>0</v>
      </c>
      <c r="BD249" s="49">
        <f t="shared" ca="1" si="73"/>
        <v>0</v>
      </c>
      <c r="BE249" s="49">
        <f t="shared" ca="1" si="73"/>
        <v>0</v>
      </c>
      <c r="BF249" s="49">
        <f t="shared" ca="1" si="73"/>
        <v>0</v>
      </c>
      <c r="BG249" s="49">
        <f t="shared" ca="1" si="73"/>
        <v>0</v>
      </c>
      <c r="BH249" s="49">
        <f t="shared" ca="1" si="73"/>
        <v>0</v>
      </c>
      <c r="BI249" s="49">
        <f t="shared" ca="1" si="73"/>
        <v>0</v>
      </c>
      <c r="BJ249" s="49">
        <f t="shared" ca="1" si="73"/>
        <v>0</v>
      </c>
      <c r="BK249" s="49">
        <f t="shared" ca="1" si="73"/>
        <v>0</v>
      </c>
      <c r="BL249" s="49">
        <f t="shared" ca="1" si="73"/>
        <v>0</v>
      </c>
      <c r="BM249" s="49">
        <f t="shared" ca="1" si="73"/>
        <v>0</v>
      </c>
      <c r="BN249" s="49">
        <f t="shared" ca="1" si="73"/>
        <v>0</v>
      </c>
      <c r="BO249" s="49">
        <f t="shared" ca="1" si="73"/>
        <v>0</v>
      </c>
      <c r="BP249" s="49">
        <f t="shared" ca="1" si="73"/>
        <v>0</v>
      </c>
      <c r="BQ249" s="49">
        <f t="shared" ca="1" si="73"/>
        <v>0</v>
      </c>
      <c r="BR249" s="49">
        <f t="shared" ca="1" si="73"/>
        <v>0</v>
      </c>
      <c r="BS249" s="49">
        <f t="shared" ca="1" si="73"/>
        <v>0</v>
      </c>
    </row>
    <row r="250" spans="4:71" outlineLevel="1" x14ac:dyDescent="0.2">
      <c r="E250" t="s">
        <v>205</v>
      </c>
      <c r="I250" s="30">
        <f ca="1">I220</f>
        <v>366.815</v>
      </c>
      <c r="J250" s="26" t="s">
        <v>148</v>
      </c>
      <c r="L250" s="49">
        <f ca="1">Marine!CA_expex_to_recover+(K252*(1+Marine!int_rate_cf_costs))</f>
        <v>170.22300000000001</v>
      </c>
      <c r="M250" s="49">
        <f ca="1">Marine!CA_expex_to_recover+(L252*(1+Marine!int_rate_cf_costs))</f>
        <v>240.98600000000002</v>
      </c>
      <c r="N250" s="49">
        <f ca="1">Marine!CA_expex_to_recover+(M252*(1+Marine!int_rate_cf_costs))</f>
        <v>336.62200000000001</v>
      </c>
      <c r="O250" s="49">
        <f ca="1">Marine!CA_expex_to_recover+(N252*(1+Marine!int_rate_cf_costs))</f>
        <v>363.03100000000001</v>
      </c>
      <c r="P250" s="49">
        <f ca="1">Marine!CA_expex_to_recover+(O252*(1+Marine!int_rate_cf_costs))</f>
        <v>363.791</v>
      </c>
      <c r="Q250" s="49">
        <f ca="1">Marine!CA_expex_to_recover+(P252*(1+Marine!int_rate_cf_costs))</f>
        <v>366.815</v>
      </c>
      <c r="R250" s="49">
        <f ca="1">Marine!CA_expex_to_recover+(Q252*(1+Marine!int_rate_cf_costs))</f>
        <v>366.815</v>
      </c>
      <c r="S250" s="49">
        <f ca="1">Marine!CA_expex_to_recover+(R252*(1+Marine!int_rate_cf_costs))</f>
        <v>366.815</v>
      </c>
      <c r="T250" s="49">
        <f ca="1">Marine!CA_expex_to_recover+(S252*(1+Marine!int_rate_cf_costs))</f>
        <v>366.815</v>
      </c>
      <c r="U250" s="49">
        <f ca="1">Marine!CA_expex_to_recover+(T252*(1+Marine!int_rate_cf_costs))</f>
        <v>366.815</v>
      </c>
      <c r="V250" s="49">
        <f ca="1">Marine!CA_expex_to_recover+(U252*(1+Marine!int_rate_cf_costs))</f>
        <v>366.815</v>
      </c>
      <c r="W250" s="49">
        <f ca="1">Marine!CA_expex_to_recover+(V252*(1+Marine!int_rate_cf_costs))</f>
        <v>366.815</v>
      </c>
      <c r="X250" s="49">
        <f ca="1">Marine!CA_expex_to_recover+(W252*(1+Marine!int_rate_cf_costs))</f>
        <v>366.815</v>
      </c>
      <c r="Y250" s="49">
        <f ca="1">Marine!CA_expex_to_recover+(X252*(1+Marine!int_rate_cf_costs))</f>
        <v>366.815</v>
      </c>
      <c r="Z250" s="49">
        <f ca="1">Marine!CA_expex_to_recover+(Y252*(1+Marine!int_rate_cf_costs))</f>
        <v>366.815</v>
      </c>
      <c r="AA250" s="49">
        <f ca="1">Marine!CA_expex_to_recover+(Z252*(1+Marine!int_rate_cf_costs))</f>
        <v>366.815</v>
      </c>
      <c r="AB250" s="49">
        <f ca="1">Marine!CA_expex_to_recover+(AA252*(1+Marine!int_rate_cf_costs))</f>
        <v>366.815</v>
      </c>
      <c r="AC250" s="49">
        <f ca="1">Marine!CA_expex_to_recover+(AB252*(1+Marine!int_rate_cf_costs))</f>
        <v>366.815</v>
      </c>
      <c r="AD250" s="49">
        <f ca="1">Marine!CA_expex_to_recover+(AC252*(1+Marine!int_rate_cf_costs))</f>
        <v>366.815</v>
      </c>
      <c r="AE250" s="49">
        <f ca="1">Marine!CA_expex_to_recover+(AD252*(1+Marine!int_rate_cf_costs))</f>
        <v>366.815</v>
      </c>
      <c r="AF250" s="49">
        <f ca="1">Marine!CA_expex_to_recover+(AE252*(1+Marine!int_rate_cf_costs))</f>
        <v>366.815</v>
      </c>
      <c r="AG250" s="49">
        <f ca="1">Marine!CA_expex_to_recover+(AF252*(1+Marine!int_rate_cf_costs))</f>
        <v>366.815</v>
      </c>
      <c r="AH250" s="49">
        <f ca="1">Marine!CA_expex_to_recover+(AG252*(1+Marine!int_rate_cf_costs))</f>
        <v>366.815</v>
      </c>
      <c r="AI250" s="49">
        <f ca="1">Marine!CA_expex_to_recover+(AH252*(1+Marine!int_rate_cf_costs))</f>
        <v>366.815</v>
      </c>
      <c r="AJ250" s="49">
        <f ca="1">Marine!CA_expex_to_recover+(AI252*(1+Marine!int_rate_cf_costs))</f>
        <v>366.815</v>
      </c>
      <c r="AK250" s="49">
        <f ca="1">Marine!CA_expex_to_recover+(AJ252*(1+Marine!int_rate_cf_costs))</f>
        <v>366.815</v>
      </c>
      <c r="AL250" s="49">
        <f ca="1">Marine!CA_expex_to_recover+(AK252*(1+Marine!int_rate_cf_costs))</f>
        <v>366.815</v>
      </c>
      <c r="AM250" s="49">
        <f ca="1">Marine!CA_expex_to_recover+(AL252*(1+Marine!int_rate_cf_costs))</f>
        <v>366.815</v>
      </c>
      <c r="AN250" s="49">
        <f ca="1">Marine!CA_expex_to_recover+(AM252*(1+Marine!int_rate_cf_costs))</f>
        <v>366.815</v>
      </c>
      <c r="AO250" s="49">
        <f ca="1">Marine!CA_expex_to_recover+(AN252*(1+Marine!int_rate_cf_costs))</f>
        <v>366.815</v>
      </c>
      <c r="AP250" s="49">
        <f ca="1">Marine!CA_expex_to_recover+(AO252*(1+Marine!int_rate_cf_costs))</f>
        <v>366.815</v>
      </c>
      <c r="AQ250" s="49">
        <f ca="1">Marine!CA_expex_to_recover+(AP252*(1+Marine!int_rate_cf_costs))</f>
        <v>366.815</v>
      </c>
      <c r="AR250" s="49">
        <f ca="1">Marine!CA_expex_to_recover+(AQ252*(1+Marine!int_rate_cf_costs))</f>
        <v>366.815</v>
      </c>
      <c r="AS250" s="49">
        <f ca="1">Marine!CA_expex_to_recover+(AR252*(1+Marine!int_rate_cf_costs))</f>
        <v>366.815</v>
      </c>
      <c r="AT250" s="49">
        <f ca="1">Marine!CA_expex_to_recover+(AS252*(1+Marine!int_rate_cf_costs))</f>
        <v>366.815</v>
      </c>
      <c r="AU250" s="49">
        <f ca="1">Marine!CA_expex_to_recover+(AT252*(1+Marine!int_rate_cf_costs))</f>
        <v>366.815</v>
      </c>
      <c r="AV250" s="49">
        <f ca="1">Marine!CA_expex_to_recover+(AU252*(1+Marine!int_rate_cf_costs))</f>
        <v>366.815</v>
      </c>
      <c r="AW250" s="49">
        <f ca="1">Marine!CA_expex_to_recover+(AV252*(1+Marine!int_rate_cf_costs))</f>
        <v>366.815</v>
      </c>
      <c r="AX250" s="49">
        <f ca="1">Marine!CA_expex_to_recover+(AW252*(1+Marine!int_rate_cf_costs))</f>
        <v>366.815</v>
      </c>
      <c r="AY250" s="49">
        <f ca="1">Marine!CA_expex_to_recover+(AX252*(1+Marine!int_rate_cf_costs))</f>
        <v>366.815</v>
      </c>
      <c r="AZ250" s="49">
        <f ca="1">Marine!CA_expex_to_recover+(AY252*(1+Marine!int_rate_cf_costs))</f>
        <v>366.815</v>
      </c>
      <c r="BA250" s="49">
        <f ca="1">Marine!CA_expex_to_recover+(AZ252*(1+Marine!int_rate_cf_costs))</f>
        <v>366.815</v>
      </c>
      <c r="BB250" s="49">
        <f ca="1">Marine!CA_expex_to_recover+(BA252*(1+Marine!int_rate_cf_costs))</f>
        <v>366.815</v>
      </c>
      <c r="BC250" s="49">
        <f ca="1">Marine!CA_expex_to_recover+(BB252*(1+Marine!int_rate_cf_costs))</f>
        <v>366.815</v>
      </c>
      <c r="BD250" s="49">
        <f ca="1">Marine!CA_expex_to_recover+(BC252*(1+Marine!int_rate_cf_costs))</f>
        <v>366.815</v>
      </c>
      <c r="BE250" s="49">
        <f ca="1">Marine!CA_expex_to_recover+(BD252*(1+Marine!int_rate_cf_costs))</f>
        <v>366.815</v>
      </c>
      <c r="BF250" s="49">
        <f ca="1">Marine!CA_expex_to_recover+(BE252*(1+Marine!int_rate_cf_costs))</f>
        <v>366.815</v>
      </c>
      <c r="BG250" s="49">
        <f ca="1">Marine!CA_expex_to_recover+(BF252*(1+Marine!int_rate_cf_costs))</f>
        <v>366.815</v>
      </c>
      <c r="BH250" s="49">
        <f ca="1">Marine!CA_expex_to_recover+(BG252*(1+Marine!int_rate_cf_costs))</f>
        <v>366.815</v>
      </c>
      <c r="BI250" s="49">
        <f ca="1">Marine!CA_expex_to_recover+(BH252*(1+Marine!int_rate_cf_costs))</f>
        <v>366.815</v>
      </c>
      <c r="BJ250" s="49">
        <f ca="1">Marine!CA_expex_to_recover+(BI252*(1+Marine!int_rate_cf_costs))</f>
        <v>366.815</v>
      </c>
      <c r="BK250" s="49">
        <f ca="1">Marine!CA_expex_to_recover+(BJ252*(1+Marine!int_rate_cf_costs))</f>
        <v>366.815</v>
      </c>
      <c r="BL250" s="49">
        <f ca="1">Marine!CA_expex_to_recover+(BK252*(1+Marine!int_rate_cf_costs))</f>
        <v>366.815</v>
      </c>
      <c r="BM250" s="49">
        <f ca="1">Marine!CA_expex_to_recover+(BL252*(1+Marine!int_rate_cf_costs))</f>
        <v>366.815</v>
      </c>
      <c r="BN250" s="49">
        <f ca="1">Marine!CA_expex_to_recover+(BM252*(1+Marine!int_rate_cf_costs))</f>
        <v>366.815</v>
      </c>
      <c r="BO250" s="49">
        <f ca="1">Marine!CA_expex_to_recover+(BN252*(1+Marine!int_rate_cf_costs))</f>
        <v>366.815</v>
      </c>
      <c r="BP250" s="49">
        <f ca="1">Marine!CA_expex_to_recover+(BO252*(1+Marine!int_rate_cf_costs))</f>
        <v>366.815</v>
      </c>
      <c r="BQ250" s="49">
        <f ca="1">Marine!CA_expex_to_recover+(BP252*(1+Marine!int_rate_cf_costs))</f>
        <v>366.815</v>
      </c>
      <c r="BR250" s="49">
        <f ca="1">Marine!CA_expex_to_recover+(BQ252*(1+Marine!int_rate_cf_costs))</f>
        <v>366.815</v>
      </c>
      <c r="BS250" s="49">
        <f ca="1">Marine!CA_expex_to_recover+(BR252*(1+Marine!int_rate_cf_costs))</f>
        <v>366.815</v>
      </c>
    </row>
    <row r="251" spans="4:71" outlineLevel="1" x14ac:dyDescent="0.2">
      <c r="E251" t="s">
        <v>206</v>
      </c>
      <c r="H251" s="56" t="b">
        <f ca="1">ROUND(I251,2)=-ROUND(I250,2)</f>
        <v>0</v>
      </c>
      <c r="I251" s="30">
        <f t="shared" ca="1" si="71"/>
        <v>0</v>
      </c>
      <c r="J251" s="26" t="s">
        <v>148</v>
      </c>
      <c r="L251" s="49">
        <f ca="1">-MIN(L250,L249)</f>
        <v>0</v>
      </c>
      <c r="M251" s="49">
        <f t="shared" ref="M251:BS251" ca="1" si="74">-MIN(M250,M249)</f>
        <v>0</v>
      </c>
      <c r="N251" s="49">
        <f t="shared" ca="1" si="74"/>
        <v>0</v>
      </c>
      <c r="O251" s="49">
        <f t="shared" ca="1" si="74"/>
        <v>0</v>
      </c>
      <c r="P251" s="49">
        <f t="shared" ca="1" si="74"/>
        <v>0</v>
      </c>
      <c r="Q251" s="49">
        <f t="shared" ca="1" si="74"/>
        <v>0</v>
      </c>
      <c r="R251" s="49">
        <f t="shared" ca="1" si="74"/>
        <v>0</v>
      </c>
      <c r="S251" s="49">
        <f t="shared" ca="1" si="74"/>
        <v>0</v>
      </c>
      <c r="T251" s="49">
        <f t="shared" ca="1" si="74"/>
        <v>0</v>
      </c>
      <c r="U251" s="49">
        <f t="shared" ca="1" si="74"/>
        <v>0</v>
      </c>
      <c r="V251" s="49">
        <f t="shared" ca="1" si="74"/>
        <v>0</v>
      </c>
      <c r="W251" s="49">
        <f t="shared" ca="1" si="74"/>
        <v>0</v>
      </c>
      <c r="X251" s="49">
        <f t="shared" ca="1" si="74"/>
        <v>0</v>
      </c>
      <c r="Y251" s="49">
        <f t="shared" ca="1" si="74"/>
        <v>0</v>
      </c>
      <c r="Z251" s="49">
        <f t="shared" ca="1" si="74"/>
        <v>0</v>
      </c>
      <c r="AA251" s="49">
        <f t="shared" ca="1" si="74"/>
        <v>0</v>
      </c>
      <c r="AB251" s="49">
        <f t="shared" ca="1" si="74"/>
        <v>0</v>
      </c>
      <c r="AC251" s="49">
        <f t="shared" ca="1" si="74"/>
        <v>0</v>
      </c>
      <c r="AD251" s="49">
        <f t="shared" ca="1" si="74"/>
        <v>0</v>
      </c>
      <c r="AE251" s="49">
        <f t="shared" ca="1" si="74"/>
        <v>0</v>
      </c>
      <c r="AF251" s="49">
        <f t="shared" ca="1" si="74"/>
        <v>0</v>
      </c>
      <c r="AG251" s="49">
        <f t="shared" ca="1" si="74"/>
        <v>0</v>
      </c>
      <c r="AH251" s="49">
        <f t="shared" ca="1" si="74"/>
        <v>0</v>
      </c>
      <c r="AI251" s="49">
        <f t="shared" ca="1" si="74"/>
        <v>0</v>
      </c>
      <c r="AJ251" s="49">
        <f t="shared" ca="1" si="74"/>
        <v>0</v>
      </c>
      <c r="AK251" s="49">
        <f t="shared" ca="1" si="74"/>
        <v>0</v>
      </c>
      <c r="AL251" s="49">
        <f t="shared" ca="1" si="74"/>
        <v>0</v>
      </c>
      <c r="AM251" s="49">
        <f t="shared" ca="1" si="74"/>
        <v>0</v>
      </c>
      <c r="AN251" s="49">
        <f t="shared" ca="1" si="74"/>
        <v>0</v>
      </c>
      <c r="AO251" s="49">
        <f t="shared" ca="1" si="74"/>
        <v>0</v>
      </c>
      <c r="AP251" s="49">
        <f t="shared" ca="1" si="74"/>
        <v>0</v>
      </c>
      <c r="AQ251" s="49">
        <f t="shared" ca="1" si="74"/>
        <v>0</v>
      </c>
      <c r="AR251" s="49">
        <f t="shared" ca="1" si="74"/>
        <v>0</v>
      </c>
      <c r="AS251" s="49">
        <f t="shared" ca="1" si="74"/>
        <v>0</v>
      </c>
      <c r="AT251" s="49">
        <f t="shared" ca="1" si="74"/>
        <v>0</v>
      </c>
      <c r="AU251" s="49">
        <f t="shared" ca="1" si="74"/>
        <v>0</v>
      </c>
      <c r="AV251" s="49">
        <f t="shared" ca="1" si="74"/>
        <v>0</v>
      </c>
      <c r="AW251" s="49">
        <f t="shared" ca="1" si="74"/>
        <v>0</v>
      </c>
      <c r="AX251" s="49">
        <f t="shared" ca="1" si="74"/>
        <v>0</v>
      </c>
      <c r="AY251" s="49">
        <f t="shared" ca="1" si="74"/>
        <v>0</v>
      </c>
      <c r="AZ251" s="49">
        <f t="shared" ca="1" si="74"/>
        <v>0</v>
      </c>
      <c r="BA251" s="49">
        <f t="shared" ca="1" si="74"/>
        <v>0</v>
      </c>
      <c r="BB251" s="49">
        <f t="shared" ca="1" si="74"/>
        <v>0</v>
      </c>
      <c r="BC251" s="49">
        <f t="shared" ca="1" si="74"/>
        <v>0</v>
      </c>
      <c r="BD251" s="49">
        <f t="shared" ca="1" si="74"/>
        <v>0</v>
      </c>
      <c r="BE251" s="49">
        <f t="shared" ca="1" si="74"/>
        <v>0</v>
      </c>
      <c r="BF251" s="49">
        <f t="shared" ca="1" si="74"/>
        <v>0</v>
      </c>
      <c r="BG251" s="49">
        <f t="shared" ca="1" si="74"/>
        <v>0</v>
      </c>
      <c r="BH251" s="49">
        <f t="shared" ca="1" si="74"/>
        <v>0</v>
      </c>
      <c r="BI251" s="49">
        <f t="shared" ca="1" si="74"/>
        <v>0</v>
      </c>
      <c r="BJ251" s="49">
        <f t="shared" ca="1" si="74"/>
        <v>0</v>
      </c>
      <c r="BK251" s="49">
        <f t="shared" ca="1" si="74"/>
        <v>0</v>
      </c>
      <c r="BL251" s="49">
        <f t="shared" ca="1" si="74"/>
        <v>0</v>
      </c>
      <c r="BM251" s="49">
        <f t="shared" ca="1" si="74"/>
        <v>0</v>
      </c>
      <c r="BN251" s="49">
        <f t="shared" ca="1" si="74"/>
        <v>0</v>
      </c>
      <c r="BO251" s="49">
        <f t="shared" ca="1" si="74"/>
        <v>0</v>
      </c>
      <c r="BP251" s="49">
        <f t="shared" ca="1" si="74"/>
        <v>0</v>
      </c>
      <c r="BQ251" s="49">
        <f t="shared" ca="1" si="74"/>
        <v>0</v>
      </c>
      <c r="BR251" s="49">
        <f t="shared" ca="1" si="74"/>
        <v>0</v>
      </c>
      <c r="BS251" s="49">
        <f t="shared" ca="1" si="74"/>
        <v>0</v>
      </c>
    </row>
    <row r="252" spans="4:71" outlineLevel="1" x14ac:dyDescent="0.2">
      <c r="E252" t="s">
        <v>195</v>
      </c>
      <c r="J252" s="26"/>
      <c r="L252" s="49">
        <f ca="1">L250+L251</f>
        <v>170.22300000000001</v>
      </c>
      <c r="M252" s="49">
        <f t="shared" ref="M252:BS252" ca="1" si="75">M250+M251</f>
        <v>240.98600000000002</v>
      </c>
      <c r="N252" s="49">
        <f t="shared" ca="1" si="75"/>
        <v>336.62200000000001</v>
      </c>
      <c r="O252" s="49">
        <f t="shared" ca="1" si="75"/>
        <v>363.03100000000001</v>
      </c>
      <c r="P252" s="49">
        <f t="shared" ca="1" si="75"/>
        <v>363.791</v>
      </c>
      <c r="Q252" s="49">
        <f t="shared" ca="1" si="75"/>
        <v>366.815</v>
      </c>
      <c r="R252" s="49">
        <f t="shared" ca="1" si="75"/>
        <v>366.815</v>
      </c>
      <c r="S252" s="49">
        <f t="shared" ca="1" si="75"/>
        <v>366.815</v>
      </c>
      <c r="T252" s="49">
        <f t="shared" ca="1" si="75"/>
        <v>366.815</v>
      </c>
      <c r="U252" s="49">
        <f t="shared" ca="1" si="75"/>
        <v>366.815</v>
      </c>
      <c r="V252" s="49">
        <f t="shared" ca="1" si="75"/>
        <v>366.815</v>
      </c>
      <c r="W252" s="49">
        <f t="shared" ca="1" si="75"/>
        <v>366.815</v>
      </c>
      <c r="X252" s="49">
        <f t="shared" ca="1" si="75"/>
        <v>366.815</v>
      </c>
      <c r="Y252" s="49">
        <f t="shared" ca="1" si="75"/>
        <v>366.815</v>
      </c>
      <c r="Z252" s="49">
        <f t="shared" ca="1" si="75"/>
        <v>366.815</v>
      </c>
      <c r="AA252" s="49">
        <f t="shared" ca="1" si="75"/>
        <v>366.815</v>
      </c>
      <c r="AB252" s="49">
        <f t="shared" ca="1" si="75"/>
        <v>366.815</v>
      </c>
      <c r="AC252" s="49">
        <f t="shared" ca="1" si="75"/>
        <v>366.815</v>
      </c>
      <c r="AD252" s="49">
        <f t="shared" ca="1" si="75"/>
        <v>366.815</v>
      </c>
      <c r="AE252" s="49">
        <f t="shared" ca="1" si="75"/>
        <v>366.815</v>
      </c>
      <c r="AF252" s="49">
        <f t="shared" ca="1" si="75"/>
        <v>366.815</v>
      </c>
      <c r="AG252" s="49">
        <f t="shared" ca="1" si="75"/>
        <v>366.815</v>
      </c>
      <c r="AH252" s="49">
        <f t="shared" ca="1" si="75"/>
        <v>366.815</v>
      </c>
      <c r="AI252" s="49">
        <f t="shared" ca="1" si="75"/>
        <v>366.815</v>
      </c>
      <c r="AJ252" s="49">
        <f t="shared" ca="1" si="75"/>
        <v>366.815</v>
      </c>
      <c r="AK252" s="49">
        <f t="shared" ca="1" si="75"/>
        <v>366.815</v>
      </c>
      <c r="AL252" s="49">
        <f t="shared" ca="1" si="75"/>
        <v>366.815</v>
      </c>
      <c r="AM252" s="49">
        <f t="shared" ca="1" si="75"/>
        <v>366.815</v>
      </c>
      <c r="AN252" s="49">
        <f t="shared" ca="1" si="75"/>
        <v>366.815</v>
      </c>
      <c r="AO252" s="49">
        <f t="shared" ca="1" si="75"/>
        <v>366.815</v>
      </c>
      <c r="AP252" s="49">
        <f t="shared" ca="1" si="75"/>
        <v>366.815</v>
      </c>
      <c r="AQ252" s="49">
        <f t="shared" ca="1" si="75"/>
        <v>366.815</v>
      </c>
      <c r="AR252" s="49">
        <f t="shared" ca="1" si="75"/>
        <v>366.815</v>
      </c>
      <c r="AS252" s="49">
        <f t="shared" ca="1" si="75"/>
        <v>366.815</v>
      </c>
      <c r="AT252" s="49">
        <f t="shared" ca="1" si="75"/>
        <v>366.815</v>
      </c>
      <c r="AU252" s="49">
        <f t="shared" ca="1" si="75"/>
        <v>366.815</v>
      </c>
      <c r="AV252" s="49">
        <f t="shared" ca="1" si="75"/>
        <v>366.815</v>
      </c>
      <c r="AW252" s="49">
        <f t="shared" ca="1" si="75"/>
        <v>366.815</v>
      </c>
      <c r="AX252" s="49">
        <f t="shared" ca="1" si="75"/>
        <v>366.815</v>
      </c>
      <c r="AY252" s="49">
        <f t="shared" ca="1" si="75"/>
        <v>366.815</v>
      </c>
      <c r="AZ252" s="49">
        <f t="shared" ca="1" si="75"/>
        <v>366.815</v>
      </c>
      <c r="BA252" s="49">
        <f t="shared" ca="1" si="75"/>
        <v>366.815</v>
      </c>
      <c r="BB252" s="49">
        <f t="shared" ca="1" si="75"/>
        <v>366.815</v>
      </c>
      <c r="BC252" s="49">
        <f t="shared" ca="1" si="75"/>
        <v>366.815</v>
      </c>
      <c r="BD252" s="49">
        <f t="shared" ca="1" si="75"/>
        <v>366.815</v>
      </c>
      <c r="BE252" s="49">
        <f t="shared" ca="1" si="75"/>
        <v>366.815</v>
      </c>
      <c r="BF252" s="49">
        <f t="shared" ca="1" si="75"/>
        <v>366.815</v>
      </c>
      <c r="BG252" s="49">
        <f t="shared" ca="1" si="75"/>
        <v>366.815</v>
      </c>
      <c r="BH252" s="49">
        <f t="shared" ca="1" si="75"/>
        <v>366.815</v>
      </c>
      <c r="BI252" s="49">
        <f t="shared" ca="1" si="75"/>
        <v>366.815</v>
      </c>
      <c r="BJ252" s="49">
        <f t="shared" ca="1" si="75"/>
        <v>366.815</v>
      </c>
      <c r="BK252" s="49">
        <f t="shared" ca="1" si="75"/>
        <v>366.815</v>
      </c>
      <c r="BL252" s="49">
        <f t="shared" ca="1" si="75"/>
        <v>366.815</v>
      </c>
      <c r="BM252" s="49">
        <f t="shared" ca="1" si="75"/>
        <v>366.815</v>
      </c>
      <c r="BN252" s="49">
        <f t="shared" ca="1" si="75"/>
        <v>366.815</v>
      </c>
      <c r="BO252" s="49">
        <f t="shared" ca="1" si="75"/>
        <v>366.815</v>
      </c>
      <c r="BP252" s="49">
        <f t="shared" ca="1" si="75"/>
        <v>366.815</v>
      </c>
      <c r="BQ252" s="49">
        <f t="shared" ca="1" si="75"/>
        <v>366.815</v>
      </c>
      <c r="BR252" s="49">
        <f t="shared" ca="1" si="75"/>
        <v>366.815</v>
      </c>
      <c r="BS252" s="49">
        <f t="shared" ca="1" si="75"/>
        <v>366.815</v>
      </c>
    </row>
    <row r="253" spans="4:71" outlineLevel="1" x14ac:dyDescent="0.2">
      <c r="J253" s="26"/>
      <c r="L253" s="55"/>
      <c r="M253" s="55"/>
      <c r="N253" s="55"/>
      <c r="O253" s="55"/>
      <c r="P253" s="55"/>
      <c r="Q253" s="55"/>
      <c r="R253" s="55"/>
      <c r="S253" s="55"/>
      <c r="T253" s="55"/>
      <c r="U253" s="55"/>
      <c r="V253" s="55"/>
      <c r="W253" s="55"/>
      <c r="X253" s="55"/>
      <c r="Y253" s="55"/>
      <c r="Z253" s="55"/>
      <c r="AA253" s="55"/>
      <c r="AB253" s="55"/>
      <c r="AC253" s="55"/>
      <c r="AD253" s="55"/>
      <c r="AE253" s="55"/>
      <c r="AF253" s="55"/>
      <c r="AG253" s="55"/>
      <c r="AH253" s="55"/>
      <c r="AI253" s="55"/>
      <c r="AJ253" s="55"/>
      <c r="AK253" s="55"/>
      <c r="AL253" s="55"/>
      <c r="AM253" s="55"/>
      <c r="AN253" s="55"/>
      <c r="AO253" s="55"/>
      <c r="AP253" s="55"/>
      <c r="AQ253" s="55"/>
      <c r="AR253" s="55"/>
      <c r="AS253" s="55"/>
      <c r="AT253" s="55"/>
      <c r="AU253" s="55"/>
      <c r="AV253" s="55"/>
      <c r="AW253" s="55"/>
      <c r="AX253" s="55"/>
      <c r="AY253" s="55"/>
      <c r="AZ253" s="55"/>
      <c r="BA253" s="55"/>
      <c r="BB253" s="55"/>
      <c r="BC253" s="55"/>
      <c r="BD253" s="55"/>
      <c r="BE253" s="55"/>
      <c r="BF253" s="55"/>
      <c r="BG253" s="55"/>
      <c r="BH253" s="55"/>
      <c r="BI253" s="55"/>
      <c r="BJ253" s="55"/>
      <c r="BK253" s="55"/>
      <c r="BL253" s="55"/>
      <c r="BM253" s="55"/>
      <c r="BN253" s="55"/>
      <c r="BO253" s="55"/>
      <c r="BP253" s="55"/>
      <c r="BQ253" s="55"/>
      <c r="BR253" s="55"/>
      <c r="BS253" s="55"/>
    </row>
    <row r="254" spans="4:71" outlineLevel="1" x14ac:dyDescent="0.2">
      <c r="D254" s="51" t="s">
        <v>678</v>
      </c>
      <c r="J254" s="26"/>
      <c r="L254" s="55"/>
      <c r="M254" s="55"/>
      <c r="N254" s="55"/>
      <c r="O254" s="55"/>
      <c r="P254" s="55"/>
      <c r="Q254" s="55"/>
      <c r="R254" s="55"/>
      <c r="S254" s="55"/>
      <c r="T254" s="55"/>
      <c r="U254" s="55"/>
      <c r="V254" s="55"/>
      <c r="W254" s="55"/>
      <c r="X254" s="55"/>
      <c r="Y254" s="55"/>
      <c r="Z254" s="55"/>
      <c r="AA254" s="55"/>
      <c r="AB254" s="55"/>
      <c r="AC254" s="55"/>
      <c r="AD254" s="55"/>
      <c r="AE254" s="55"/>
      <c r="AF254" s="55"/>
      <c r="AG254" s="55"/>
      <c r="AH254" s="55"/>
      <c r="AI254" s="55"/>
      <c r="AJ254" s="55"/>
      <c r="AK254" s="55"/>
      <c r="AL254" s="55"/>
      <c r="AM254" s="55"/>
      <c r="AN254" s="55"/>
      <c r="AO254" s="55"/>
      <c r="AP254" s="55"/>
      <c r="AQ254" s="55"/>
      <c r="AR254" s="55"/>
      <c r="AS254" s="55"/>
      <c r="AT254" s="55"/>
      <c r="AU254" s="55"/>
      <c r="AV254" s="55"/>
      <c r="AW254" s="55"/>
      <c r="AX254" s="55"/>
      <c r="AY254" s="55"/>
      <c r="AZ254" s="55"/>
      <c r="BA254" s="55"/>
      <c r="BB254" s="55"/>
      <c r="BC254" s="55"/>
      <c r="BD254" s="55"/>
      <c r="BE254" s="55"/>
      <c r="BF254" s="55"/>
      <c r="BG254" s="55"/>
      <c r="BH254" s="55"/>
      <c r="BI254" s="55"/>
      <c r="BJ254" s="55"/>
      <c r="BK254" s="55"/>
      <c r="BL254" s="55"/>
      <c r="BM254" s="55"/>
      <c r="BN254" s="55"/>
      <c r="BO254" s="55"/>
      <c r="BP254" s="55"/>
      <c r="BQ254" s="55"/>
      <c r="BR254" s="55"/>
      <c r="BS254" s="55"/>
    </row>
    <row r="255" spans="4:71" outlineLevel="1" x14ac:dyDescent="0.2">
      <c r="E255" t="s">
        <v>192</v>
      </c>
      <c r="I255" s="30">
        <f t="shared" ref="I255:I257" ca="1" si="76">SUM($L255:$BS255)</f>
        <v>0</v>
      </c>
      <c r="J255" s="26" t="s">
        <v>148</v>
      </c>
      <c r="L255" s="49">
        <f t="shared" ref="L255:AQ255" ca="1" si="77">CA_cost_stop_oil+L233+L239+L245+L2558</f>
        <v>0</v>
      </c>
      <c r="M255" s="49">
        <f t="shared" ca="1" si="77"/>
        <v>0</v>
      </c>
      <c r="N255" s="49">
        <f t="shared" ca="1" si="77"/>
        <v>0</v>
      </c>
      <c r="O255" s="49">
        <f t="shared" ca="1" si="77"/>
        <v>0</v>
      </c>
      <c r="P255" s="49">
        <f t="shared" ca="1" si="77"/>
        <v>0</v>
      </c>
      <c r="Q255" s="49">
        <f t="shared" ca="1" si="77"/>
        <v>0</v>
      </c>
      <c r="R255" s="49">
        <f t="shared" ca="1" si="77"/>
        <v>0</v>
      </c>
      <c r="S255" s="49">
        <f t="shared" ca="1" si="77"/>
        <v>0</v>
      </c>
      <c r="T255" s="49">
        <f t="shared" ca="1" si="77"/>
        <v>0</v>
      </c>
      <c r="U255" s="49">
        <f t="shared" ca="1" si="77"/>
        <v>0</v>
      </c>
      <c r="V255" s="49">
        <f t="shared" ca="1" si="77"/>
        <v>0</v>
      </c>
      <c r="W255" s="49">
        <f t="shared" ca="1" si="77"/>
        <v>0</v>
      </c>
      <c r="X255" s="49">
        <f t="shared" ca="1" si="77"/>
        <v>0</v>
      </c>
      <c r="Y255" s="49">
        <f t="shared" ca="1" si="77"/>
        <v>0</v>
      </c>
      <c r="Z255" s="49">
        <f t="shared" ca="1" si="77"/>
        <v>0</v>
      </c>
      <c r="AA255" s="49">
        <f t="shared" ca="1" si="77"/>
        <v>0</v>
      </c>
      <c r="AB255" s="49">
        <f t="shared" ca="1" si="77"/>
        <v>0</v>
      </c>
      <c r="AC255" s="49">
        <f t="shared" ca="1" si="77"/>
        <v>0</v>
      </c>
      <c r="AD255" s="49">
        <f t="shared" ca="1" si="77"/>
        <v>0</v>
      </c>
      <c r="AE255" s="49">
        <f t="shared" ca="1" si="77"/>
        <v>0</v>
      </c>
      <c r="AF255" s="49">
        <f t="shared" ca="1" si="77"/>
        <v>0</v>
      </c>
      <c r="AG255" s="49">
        <f t="shared" ca="1" si="77"/>
        <v>0</v>
      </c>
      <c r="AH255" s="49">
        <f t="shared" ca="1" si="77"/>
        <v>0</v>
      </c>
      <c r="AI255" s="49">
        <f t="shared" ca="1" si="77"/>
        <v>0</v>
      </c>
      <c r="AJ255" s="49">
        <f t="shared" ca="1" si="77"/>
        <v>0</v>
      </c>
      <c r="AK255" s="49">
        <f t="shared" ca="1" si="77"/>
        <v>0</v>
      </c>
      <c r="AL255" s="49">
        <f t="shared" ca="1" si="77"/>
        <v>0</v>
      </c>
      <c r="AM255" s="49">
        <f t="shared" ca="1" si="77"/>
        <v>0</v>
      </c>
      <c r="AN255" s="49">
        <f t="shared" ca="1" si="77"/>
        <v>0</v>
      </c>
      <c r="AO255" s="49">
        <f t="shared" ca="1" si="77"/>
        <v>0</v>
      </c>
      <c r="AP255" s="49">
        <f t="shared" ca="1" si="77"/>
        <v>0</v>
      </c>
      <c r="AQ255" s="49">
        <f t="shared" ca="1" si="77"/>
        <v>0</v>
      </c>
      <c r="AR255" s="49">
        <f t="shared" ref="AR255:BS255" ca="1" si="78">CA_cost_stop_oil+AR233+AR239+AR245+AR2558</f>
        <v>0</v>
      </c>
      <c r="AS255" s="49">
        <f t="shared" ca="1" si="78"/>
        <v>0</v>
      </c>
      <c r="AT255" s="49">
        <f t="shared" ca="1" si="78"/>
        <v>0</v>
      </c>
      <c r="AU255" s="49">
        <f t="shared" ca="1" si="78"/>
        <v>0</v>
      </c>
      <c r="AV255" s="49">
        <f t="shared" ca="1" si="78"/>
        <v>0</v>
      </c>
      <c r="AW255" s="49">
        <f t="shared" ca="1" si="78"/>
        <v>0</v>
      </c>
      <c r="AX255" s="49">
        <f t="shared" ca="1" si="78"/>
        <v>0</v>
      </c>
      <c r="AY255" s="49">
        <f t="shared" ca="1" si="78"/>
        <v>0</v>
      </c>
      <c r="AZ255" s="49">
        <f t="shared" ca="1" si="78"/>
        <v>0</v>
      </c>
      <c r="BA255" s="49">
        <f t="shared" ca="1" si="78"/>
        <v>0</v>
      </c>
      <c r="BB255" s="49">
        <f t="shared" ca="1" si="78"/>
        <v>0</v>
      </c>
      <c r="BC255" s="49">
        <f t="shared" ca="1" si="78"/>
        <v>0</v>
      </c>
      <c r="BD255" s="49">
        <f t="shared" ca="1" si="78"/>
        <v>0</v>
      </c>
      <c r="BE255" s="49">
        <f t="shared" ca="1" si="78"/>
        <v>0</v>
      </c>
      <c r="BF255" s="49">
        <f t="shared" ca="1" si="78"/>
        <v>0</v>
      </c>
      <c r="BG255" s="49">
        <f t="shared" ca="1" si="78"/>
        <v>0</v>
      </c>
      <c r="BH255" s="49">
        <f t="shared" ca="1" si="78"/>
        <v>0</v>
      </c>
      <c r="BI255" s="49">
        <f t="shared" ca="1" si="78"/>
        <v>0</v>
      </c>
      <c r="BJ255" s="49">
        <f t="shared" ca="1" si="78"/>
        <v>0</v>
      </c>
      <c r="BK255" s="49">
        <f t="shared" ca="1" si="78"/>
        <v>0</v>
      </c>
      <c r="BL255" s="49">
        <f t="shared" ca="1" si="78"/>
        <v>0</v>
      </c>
      <c r="BM255" s="49">
        <f t="shared" ca="1" si="78"/>
        <v>0</v>
      </c>
      <c r="BN255" s="49">
        <f t="shared" ca="1" si="78"/>
        <v>0</v>
      </c>
      <c r="BO255" s="49">
        <f t="shared" ca="1" si="78"/>
        <v>0</v>
      </c>
      <c r="BP255" s="49">
        <f t="shared" ca="1" si="78"/>
        <v>0</v>
      </c>
      <c r="BQ255" s="49">
        <f t="shared" ca="1" si="78"/>
        <v>0</v>
      </c>
      <c r="BR255" s="49">
        <f t="shared" ca="1" si="78"/>
        <v>0</v>
      </c>
      <c r="BS255" s="49">
        <f t="shared" ca="1" si="78"/>
        <v>0</v>
      </c>
    </row>
    <row r="256" spans="4:71" outlineLevel="1" x14ac:dyDescent="0.2">
      <c r="E256" t="s">
        <v>866</v>
      </c>
      <c r="I256" s="30">
        <f>I225</f>
        <v>0</v>
      </c>
      <c r="J256" s="26" t="s">
        <v>148</v>
      </c>
      <c r="L256" s="49">
        <f ca="1">Marine!CA_decom_to_recover+(K258*(1+Marine!int_rate_cf_costs))</f>
        <v>0</v>
      </c>
      <c r="M256" s="49">
        <f ca="1">Marine!CA_decom_to_recover+(L258*(1+Marine!int_rate_cf_costs))</f>
        <v>0</v>
      </c>
      <c r="N256" s="49">
        <f ca="1">Marine!CA_decom_to_recover+(M258*(1+Marine!int_rate_cf_costs))</f>
        <v>0</v>
      </c>
      <c r="O256" s="49">
        <f ca="1">Marine!CA_decom_to_recover+(N258*(1+Marine!int_rate_cf_costs))</f>
        <v>0</v>
      </c>
      <c r="P256" s="49">
        <f ca="1">Marine!CA_decom_to_recover+(O258*(1+Marine!int_rate_cf_costs))</f>
        <v>0</v>
      </c>
      <c r="Q256" s="49">
        <f ca="1">Marine!CA_decom_to_recover+(P258*(1+Marine!int_rate_cf_costs))</f>
        <v>0</v>
      </c>
      <c r="R256" s="49">
        <f ca="1">Marine!CA_decom_to_recover+(Q258*(1+Marine!int_rate_cf_costs))</f>
        <v>0</v>
      </c>
      <c r="S256" s="49">
        <f ca="1">Marine!CA_decom_to_recover+(R258*(1+Marine!int_rate_cf_costs))</f>
        <v>0</v>
      </c>
      <c r="T256" s="49">
        <f ca="1">Marine!CA_decom_to_recover+(S258*(1+Marine!int_rate_cf_costs))</f>
        <v>0</v>
      </c>
      <c r="U256" s="49">
        <f ca="1">Marine!CA_decom_to_recover+(T258*(1+Marine!int_rate_cf_costs))</f>
        <v>0</v>
      </c>
      <c r="V256" s="49">
        <f ca="1">Marine!CA_decom_to_recover+(U258*(1+Marine!int_rate_cf_costs))</f>
        <v>0</v>
      </c>
      <c r="W256" s="49">
        <f ca="1">Marine!CA_decom_to_recover+(V258*(1+Marine!int_rate_cf_costs))</f>
        <v>0</v>
      </c>
      <c r="X256" s="49">
        <f ca="1">Marine!CA_decom_to_recover+(W258*(1+Marine!int_rate_cf_costs))</f>
        <v>0</v>
      </c>
      <c r="Y256" s="49">
        <f ca="1">Marine!CA_decom_to_recover+(X258*(1+Marine!int_rate_cf_costs))</f>
        <v>0</v>
      </c>
      <c r="Z256" s="49">
        <f ca="1">Marine!CA_decom_to_recover+(Y258*(1+Marine!int_rate_cf_costs))</f>
        <v>0</v>
      </c>
      <c r="AA256" s="49">
        <f ca="1">Marine!CA_decom_to_recover+(Z258*(1+Marine!int_rate_cf_costs))</f>
        <v>0</v>
      </c>
      <c r="AB256" s="49">
        <f ca="1">Marine!CA_decom_to_recover+(AA258*(1+Marine!int_rate_cf_costs))</f>
        <v>0</v>
      </c>
      <c r="AC256" s="49">
        <f ca="1">Marine!CA_decom_to_recover+(AB258*(1+Marine!int_rate_cf_costs))</f>
        <v>0</v>
      </c>
      <c r="AD256" s="49">
        <f ca="1">Marine!CA_decom_to_recover+(AC258*(1+Marine!int_rate_cf_costs))</f>
        <v>0</v>
      </c>
      <c r="AE256" s="49">
        <f ca="1">Marine!CA_decom_to_recover+(AD258*(1+Marine!int_rate_cf_costs))</f>
        <v>0</v>
      </c>
      <c r="AF256" s="49">
        <f ca="1">Marine!CA_decom_to_recover+(AE258*(1+Marine!int_rate_cf_costs))</f>
        <v>0</v>
      </c>
      <c r="AG256" s="49">
        <f ca="1">Marine!CA_decom_to_recover+(AF258*(1+Marine!int_rate_cf_costs))</f>
        <v>0</v>
      </c>
      <c r="AH256" s="49">
        <f ca="1">Marine!CA_decom_to_recover+(AG258*(1+Marine!int_rate_cf_costs))</f>
        <v>0</v>
      </c>
      <c r="AI256" s="49">
        <f ca="1">Marine!CA_decom_to_recover+(AH258*(1+Marine!int_rate_cf_costs))</f>
        <v>0</v>
      </c>
      <c r="AJ256" s="49">
        <f ca="1">Marine!CA_decom_to_recover+(AI258*(1+Marine!int_rate_cf_costs))</f>
        <v>0</v>
      </c>
      <c r="AK256" s="49">
        <f ca="1">Marine!CA_decom_to_recover+(AJ258*(1+Marine!int_rate_cf_costs))</f>
        <v>0</v>
      </c>
      <c r="AL256" s="49">
        <f ca="1">Marine!CA_decom_to_recover+(AK258*(1+Marine!int_rate_cf_costs))</f>
        <v>0</v>
      </c>
      <c r="AM256" s="49">
        <f ca="1">Marine!CA_decom_to_recover+(AL258*(1+Marine!int_rate_cf_costs))</f>
        <v>0</v>
      </c>
      <c r="AN256" s="49">
        <f ca="1">Marine!CA_decom_to_recover+(AM258*(1+Marine!int_rate_cf_costs))</f>
        <v>0</v>
      </c>
      <c r="AO256" s="49">
        <f ca="1">Marine!CA_decom_to_recover+(AN258*(1+Marine!int_rate_cf_costs))</f>
        <v>0</v>
      </c>
      <c r="AP256" s="49">
        <f ca="1">Marine!CA_decom_to_recover+(AO258*(1+Marine!int_rate_cf_costs))</f>
        <v>0</v>
      </c>
      <c r="AQ256" s="49">
        <f ca="1">Marine!CA_decom_to_recover+(AP258*(1+Marine!int_rate_cf_costs))</f>
        <v>0</v>
      </c>
      <c r="AR256" s="49">
        <f ca="1">Marine!CA_decom_to_recover+(AQ258*(1+Marine!int_rate_cf_costs))</f>
        <v>0</v>
      </c>
      <c r="AS256" s="49">
        <f ca="1">Marine!CA_decom_to_recover+(AR258*(1+Marine!int_rate_cf_costs))</f>
        <v>0</v>
      </c>
      <c r="AT256" s="49">
        <f ca="1">Marine!CA_decom_to_recover+(AS258*(1+Marine!int_rate_cf_costs))</f>
        <v>0</v>
      </c>
      <c r="AU256" s="49">
        <f ca="1">Marine!CA_decom_to_recover+(AT258*(1+Marine!int_rate_cf_costs))</f>
        <v>0</v>
      </c>
      <c r="AV256" s="49">
        <f ca="1">Marine!CA_decom_to_recover+(AU258*(1+Marine!int_rate_cf_costs))</f>
        <v>0</v>
      </c>
      <c r="AW256" s="49">
        <f ca="1">Marine!CA_decom_to_recover+(AV258*(1+Marine!int_rate_cf_costs))</f>
        <v>0</v>
      </c>
      <c r="AX256" s="49">
        <f ca="1">Marine!CA_decom_to_recover+(AW258*(1+Marine!int_rate_cf_costs))</f>
        <v>0</v>
      </c>
      <c r="AY256" s="49">
        <f ca="1">Marine!CA_decom_to_recover+(AX258*(1+Marine!int_rate_cf_costs))</f>
        <v>0</v>
      </c>
      <c r="AZ256" s="49">
        <f ca="1">Marine!CA_decom_to_recover+(AY258*(1+Marine!int_rate_cf_costs))</f>
        <v>0</v>
      </c>
      <c r="BA256" s="49">
        <f ca="1">Marine!CA_decom_to_recover+(AZ258*(1+Marine!int_rate_cf_costs))</f>
        <v>0</v>
      </c>
      <c r="BB256" s="49">
        <f ca="1">Marine!CA_decom_to_recover+(BA258*(1+Marine!int_rate_cf_costs))</f>
        <v>0</v>
      </c>
      <c r="BC256" s="49">
        <f ca="1">Marine!CA_decom_to_recover+(BB258*(1+Marine!int_rate_cf_costs))</f>
        <v>0</v>
      </c>
      <c r="BD256" s="49">
        <f ca="1">Marine!CA_decom_to_recover+(BC258*(1+Marine!int_rate_cf_costs))</f>
        <v>0</v>
      </c>
      <c r="BE256" s="49">
        <f ca="1">Marine!CA_decom_to_recover+(BD258*(1+Marine!int_rate_cf_costs))</f>
        <v>0</v>
      </c>
      <c r="BF256" s="49">
        <f ca="1">Marine!CA_decom_to_recover+(BE258*(1+Marine!int_rate_cf_costs))</f>
        <v>0</v>
      </c>
      <c r="BG256" s="49">
        <f ca="1">Marine!CA_decom_to_recover+(BF258*(1+Marine!int_rate_cf_costs))</f>
        <v>0</v>
      </c>
      <c r="BH256" s="49">
        <f ca="1">Marine!CA_decom_to_recover+(BG258*(1+Marine!int_rate_cf_costs))</f>
        <v>0</v>
      </c>
      <c r="BI256" s="49">
        <f ca="1">Marine!CA_decom_to_recover+(BH258*(1+Marine!int_rate_cf_costs))</f>
        <v>0</v>
      </c>
      <c r="BJ256" s="49">
        <f ca="1">Marine!CA_decom_to_recover+(BI258*(1+Marine!int_rate_cf_costs))</f>
        <v>0</v>
      </c>
      <c r="BK256" s="49">
        <f ca="1">Marine!CA_decom_to_recover+(BJ258*(1+Marine!int_rate_cf_costs))</f>
        <v>0</v>
      </c>
      <c r="BL256" s="49">
        <f ca="1">Marine!CA_decom_to_recover+(BK258*(1+Marine!int_rate_cf_costs))</f>
        <v>0</v>
      </c>
      <c r="BM256" s="49">
        <f ca="1">Marine!CA_decom_to_recover+(BL258*(1+Marine!int_rate_cf_costs))</f>
        <v>0</v>
      </c>
      <c r="BN256" s="49">
        <f ca="1">Marine!CA_decom_to_recover+(BM258*(1+Marine!int_rate_cf_costs))</f>
        <v>0</v>
      </c>
      <c r="BO256" s="49">
        <f ca="1">Marine!CA_decom_to_recover+(BN258*(1+Marine!int_rate_cf_costs))</f>
        <v>0</v>
      </c>
      <c r="BP256" s="49">
        <f ca="1">Marine!CA_decom_to_recover+(BO258*(1+Marine!int_rate_cf_costs))</f>
        <v>0</v>
      </c>
      <c r="BQ256" s="49">
        <f ca="1">Marine!CA_decom_to_recover+(BP258*(1+Marine!int_rate_cf_costs))</f>
        <v>0</v>
      </c>
      <c r="BR256" s="49">
        <f ca="1">Marine!CA_decom_to_recover+(BQ258*(1+Marine!int_rate_cf_costs))</f>
        <v>0</v>
      </c>
      <c r="BS256" s="49">
        <f ca="1">Marine!CA_decom_to_recover+(BR258*(1+Marine!int_rate_cf_costs))</f>
        <v>0</v>
      </c>
    </row>
    <row r="257" spans="4:71" outlineLevel="1" x14ac:dyDescent="0.2">
      <c r="E257" t="s">
        <v>865</v>
      </c>
      <c r="H257" s="56" t="b">
        <f ca="1">ROUND(I257,2)=-ROUND(I256,2)</f>
        <v>1</v>
      </c>
      <c r="I257" s="30">
        <f t="shared" ca="1" si="76"/>
        <v>0</v>
      </c>
      <c r="J257" s="26" t="s">
        <v>148</v>
      </c>
      <c r="L257" s="49">
        <f ca="1">-MIN(L256,L255)</f>
        <v>0</v>
      </c>
      <c r="M257" s="49">
        <f t="shared" ref="M257:BS257" ca="1" si="79">-MIN(M256,M255)</f>
        <v>0</v>
      </c>
      <c r="N257" s="49">
        <f t="shared" ca="1" si="79"/>
        <v>0</v>
      </c>
      <c r="O257" s="49">
        <f t="shared" ca="1" si="79"/>
        <v>0</v>
      </c>
      <c r="P257" s="49">
        <f t="shared" ca="1" si="79"/>
        <v>0</v>
      </c>
      <c r="Q257" s="49">
        <f t="shared" ca="1" si="79"/>
        <v>0</v>
      </c>
      <c r="R257" s="49">
        <f t="shared" ca="1" si="79"/>
        <v>0</v>
      </c>
      <c r="S257" s="49">
        <f t="shared" ca="1" si="79"/>
        <v>0</v>
      </c>
      <c r="T257" s="49">
        <f t="shared" ca="1" si="79"/>
        <v>0</v>
      </c>
      <c r="U257" s="49">
        <f t="shared" ca="1" si="79"/>
        <v>0</v>
      </c>
      <c r="V257" s="49">
        <f t="shared" ca="1" si="79"/>
        <v>0</v>
      </c>
      <c r="W257" s="49">
        <f t="shared" ca="1" si="79"/>
        <v>0</v>
      </c>
      <c r="X257" s="49">
        <f t="shared" ca="1" si="79"/>
        <v>0</v>
      </c>
      <c r="Y257" s="49">
        <f t="shared" ca="1" si="79"/>
        <v>0</v>
      </c>
      <c r="Z257" s="49">
        <f t="shared" ca="1" si="79"/>
        <v>0</v>
      </c>
      <c r="AA257" s="49">
        <f t="shared" ca="1" si="79"/>
        <v>0</v>
      </c>
      <c r="AB257" s="49">
        <f t="shared" ca="1" si="79"/>
        <v>0</v>
      </c>
      <c r="AC257" s="49">
        <f t="shared" ca="1" si="79"/>
        <v>0</v>
      </c>
      <c r="AD257" s="49">
        <f t="shared" ca="1" si="79"/>
        <v>0</v>
      </c>
      <c r="AE257" s="49">
        <f t="shared" ca="1" si="79"/>
        <v>0</v>
      </c>
      <c r="AF257" s="49">
        <f t="shared" ca="1" si="79"/>
        <v>0</v>
      </c>
      <c r="AG257" s="49">
        <f t="shared" ca="1" si="79"/>
        <v>0</v>
      </c>
      <c r="AH257" s="49">
        <f t="shared" ca="1" si="79"/>
        <v>0</v>
      </c>
      <c r="AI257" s="49">
        <f t="shared" ca="1" si="79"/>
        <v>0</v>
      </c>
      <c r="AJ257" s="49">
        <f t="shared" ca="1" si="79"/>
        <v>0</v>
      </c>
      <c r="AK257" s="49">
        <f t="shared" ca="1" si="79"/>
        <v>0</v>
      </c>
      <c r="AL257" s="49">
        <f t="shared" ca="1" si="79"/>
        <v>0</v>
      </c>
      <c r="AM257" s="49">
        <f t="shared" ca="1" si="79"/>
        <v>0</v>
      </c>
      <c r="AN257" s="49">
        <f t="shared" ca="1" si="79"/>
        <v>0</v>
      </c>
      <c r="AO257" s="49">
        <f t="shared" ca="1" si="79"/>
        <v>0</v>
      </c>
      <c r="AP257" s="49">
        <f t="shared" ca="1" si="79"/>
        <v>0</v>
      </c>
      <c r="AQ257" s="49">
        <f t="shared" ca="1" si="79"/>
        <v>0</v>
      </c>
      <c r="AR257" s="49">
        <f t="shared" ca="1" si="79"/>
        <v>0</v>
      </c>
      <c r="AS257" s="49">
        <f t="shared" ca="1" si="79"/>
        <v>0</v>
      </c>
      <c r="AT257" s="49">
        <f t="shared" ca="1" si="79"/>
        <v>0</v>
      </c>
      <c r="AU257" s="49">
        <f t="shared" ca="1" si="79"/>
        <v>0</v>
      </c>
      <c r="AV257" s="49">
        <f t="shared" ca="1" si="79"/>
        <v>0</v>
      </c>
      <c r="AW257" s="49">
        <f t="shared" ca="1" si="79"/>
        <v>0</v>
      </c>
      <c r="AX257" s="49">
        <f t="shared" ca="1" si="79"/>
        <v>0</v>
      </c>
      <c r="AY257" s="49">
        <f t="shared" ca="1" si="79"/>
        <v>0</v>
      </c>
      <c r="AZ257" s="49">
        <f t="shared" ca="1" si="79"/>
        <v>0</v>
      </c>
      <c r="BA257" s="49">
        <f t="shared" ca="1" si="79"/>
        <v>0</v>
      </c>
      <c r="BB257" s="49">
        <f t="shared" ca="1" si="79"/>
        <v>0</v>
      </c>
      <c r="BC257" s="49">
        <f t="shared" ca="1" si="79"/>
        <v>0</v>
      </c>
      <c r="BD257" s="49">
        <f t="shared" ca="1" si="79"/>
        <v>0</v>
      </c>
      <c r="BE257" s="49">
        <f t="shared" ca="1" si="79"/>
        <v>0</v>
      </c>
      <c r="BF257" s="49">
        <f t="shared" ca="1" si="79"/>
        <v>0</v>
      </c>
      <c r="BG257" s="49">
        <f t="shared" ca="1" si="79"/>
        <v>0</v>
      </c>
      <c r="BH257" s="49">
        <f t="shared" ca="1" si="79"/>
        <v>0</v>
      </c>
      <c r="BI257" s="49">
        <f t="shared" ca="1" si="79"/>
        <v>0</v>
      </c>
      <c r="BJ257" s="49">
        <f t="shared" ca="1" si="79"/>
        <v>0</v>
      </c>
      <c r="BK257" s="49">
        <f t="shared" ca="1" si="79"/>
        <v>0</v>
      </c>
      <c r="BL257" s="49">
        <f t="shared" ca="1" si="79"/>
        <v>0</v>
      </c>
      <c r="BM257" s="49">
        <f t="shared" ca="1" si="79"/>
        <v>0</v>
      </c>
      <c r="BN257" s="49">
        <f t="shared" ca="1" si="79"/>
        <v>0</v>
      </c>
      <c r="BO257" s="49">
        <f t="shared" ca="1" si="79"/>
        <v>0</v>
      </c>
      <c r="BP257" s="49">
        <f t="shared" ca="1" si="79"/>
        <v>0</v>
      </c>
      <c r="BQ257" s="49">
        <f t="shared" ca="1" si="79"/>
        <v>0</v>
      </c>
      <c r="BR257" s="49">
        <f t="shared" ca="1" si="79"/>
        <v>0</v>
      </c>
      <c r="BS257" s="49">
        <f t="shared" ca="1" si="79"/>
        <v>0</v>
      </c>
    </row>
    <row r="258" spans="4:71" outlineLevel="1" x14ac:dyDescent="0.2">
      <c r="E258" t="s">
        <v>195</v>
      </c>
      <c r="J258" s="26"/>
      <c r="L258" s="49">
        <f ca="1">L256+L257</f>
        <v>0</v>
      </c>
      <c r="M258" s="49">
        <f t="shared" ref="M258:BS258" ca="1" si="80">M256+M257</f>
        <v>0</v>
      </c>
      <c r="N258" s="49">
        <f t="shared" ca="1" si="80"/>
        <v>0</v>
      </c>
      <c r="O258" s="49">
        <f t="shared" ca="1" si="80"/>
        <v>0</v>
      </c>
      <c r="P258" s="49">
        <f t="shared" ca="1" si="80"/>
        <v>0</v>
      </c>
      <c r="Q258" s="49">
        <f t="shared" ca="1" si="80"/>
        <v>0</v>
      </c>
      <c r="R258" s="49">
        <f t="shared" ca="1" si="80"/>
        <v>0</v>
      </c>
      <c r="S258" s="49">
        <f t="shared" ca="1" si="80"/>
        <v>0</v>
      </c>
      <c r="T258" s="49">
        <f t="shared" ca="1" si="80"/>
        <v>0</v>
      </c>
      <c r="U258" s="49">
        <f t="shared" ca="1" si="80"/>
        <v>0</v>
      </c>
      <c r="V258" s="49">
        <f t="shared" ca="1" si="80"/>
        <v>0</v>
      </c>
      <c r="W258" s="49">
        <f t="shared" ca="1" si="80"/>
        <v>0</v>
      </c>
      <c r="X258" s="49">
        <f t="shared" ca="1" si="80"/>
        <v>0</v>
      </c>
      <c r="Y258" s="49">
        <f t="shared" ca="1" si="80"/>
        <v>0</v>
      </c>
      <c r="Z258" s="49">
        <f t="shared" ca="1" si="80"/>
        <v>0</v>
      </c>
      <c r="AA258" s="49">
        <f t="shared" ca="1" si="80"/>
        <v>0</v>
      </c>
      <c r="AB258" s="49">
        <f t="shared" ca="1" si="80"/>
        <v>0</v>
      </c>
      <c r="AC258" s="49">
        <f t="shared" ca="1" si="80"/>
        <v>0</v>
      </c>
      <c r="AD258" s="49">
        <f t="shared" ca="1" si="80"/>
        <v>0</v>
      </c>
      <c r="AE258" s="49">
        <f t="shared" ca="1" si="80"/>
        <v>0</v>
      </c>
      <c r="AF258" s="49">
        <f t="shared" ca="1" si="80"/>
        <v>0</v>
      </c>
      <c r="AG258" s="49">
        <f t="shared" ca="1" si="80"/>
        <v>0</v>
      </c>
      <c r="AH258" s="49">
        <f t="shared" ca="1" si="80"/>
        <v>0</v>
      </c>
      <c r="AI258" s="49">
        <f t="shared" ca="1" si="80"/>
        <v>0</v>
      </c>
      <c r="AJ258" s="49">
        <f t="shared" ca="1" si="80"/>
        <v>0</v>
      </c>
      <c r="AK258" s="49">
        <f t="shared" ca="1" si="80"/>
        <v>0</v>
      </c>
      <c r="AL258" s="49">
        <f t="shared" ca="1" si="80"/>
        <v>0</v>
      </c>
      <c r="AM258" s="49">
        <f t="shared" ca="1" si="80"/>
        <v>0</v>
      </c>
      <c r="AN258" s="49">
        <f t="shared" ca="1" si="80"/>
        <v>0</v>
      </c>
      <c r="AO258" s="49">
        <f t="shared" ca="1" si="80"/>
        <v>0</v>
      </c>
      <c r="AP258" s="49">
        <f t="shared" ca="1" si="80"/>
        <v>0</v>
      </c>
      <c r="AQ258" s="49">
        <f t="shared" ca="1" si="80"/>
        <v>0</v>
      </c>
      <c r="AR258" s="49">
        <f t="shared" ca="1" si="80"/>
        <v>0</v>
      </c>
      <c r="AS258" s="49">
        <f t="shared" ca="1" si="80"/>
        <v>0</v>
      </c>
      <c r="AT258" s="49">
        <f t="shared" ca="1" si="80"/>
        <v>0</v>
      </c>
      <c r="AU258" s="49">
        <f t="shared" ca="1" si="80"/>
        <v>0</v>
      </c>
      <c r="AV258" s="49">
        <f t="shared" ca="1" si="80"/>
        <v>0</v>
      </c>
      <c r="AW258" s="49">
        <f t="shared" ca="1" si="80"/>
        <v>0</v>
      </c>
      <c r="AX258" s="49">
        <f t="shared" ca="1" si="80"/>
        <v>0</v>
      </c>
      <c r="AY258" s="49">
        <f t="shared" ca="1" si="80"/>
        <v>0</v>
      </c>
      <c r="AZ258" s="49">
        <f t="shared" ca="1" si="80"/>
        <v>0</v>
      </c>
      <c r="BA258" s="49">
        <f t="shared" ca="1" si="80"/>
        <v>0</v>
      </c>
      <c r="BB258" s="49">
        <f t="shared" ca="1" si="80"/>
        <v>0</v>
      </c>
      <c r="BC258" s="49">
        <f t="shared" ca="1" si="80"/>
        <v>0</v>
      </c>
      <c r="BD258" s="49">
        <f t="shared" ca="1" si="80"/>
        <v>0</v>
      </c>
      <c r="BE258" s="49">
        <f t="shared" ca="1" si="80"/>
        <v>0</v>
      </c>
      <c r="BF258" s="49">
        <f t="shared" ca="1" si="80"/>
        <v>0</v>
      </c>
      <c r="BG258" s="49">
        <f t="shared" ca="1" si="80"/>
        <v>0</v>
      </c>
      <c r="BH258" s="49">
        <f t="shared" ca="1" si="80"/>
        <v>0</v>
      </c>
      <c r="BI258" s="49">
        <f t="shared" ca="1" si="80"/>
        <v>0</v>
      </c>
      <c r="BJ258" s="49">
        <f t="shared" ca="1" si="80"/>
        <v>0</v>
      </c>
      <c r="BK258" s="49">
        <f t="shared" ca="1" si="80"/>
        <v>0</v>
      </c>
      <c r="BL258" s="49">
        <f t="shared" ca="1" si="80"/>
        <v>0</v>
      </c>
      <c r="BM258" s="49">
        <f t="shared" ca="1" si="80"/>
        <v>0</v>
      </c>
      <c r="BN258" s="49">
        <f t="shared" ca="1" si="80"/>
        <v>0</v>
      </c>
      <c r="BO258" s="49">
        <f t="shared" ca="1" si="80"/>
        <v>0</v>
      </c>
      <c r="BP258" s="49">
        <f t="shared" ca="1" si="80"/>
        <v>0</v>
      </c>
      <c r="BQ258" s="49">
        <f t="shared" ca="1" si="80"/>
        <v>0</v>
      </c>
      <c r="BR258" s="49">
        <f t="shared" ca="1" si="80"/>
        <v>0</v>
      </c>
      <c r="BS258" s="49">
        <f t="shared" ca="1" si="80"/>
        <v>0</v>
      </c>
    </row>
    <row r="259" spans="4:71" outlineLevel="1" x14ac:dyDescent="0.2">
      <c r="J259" s="26"/>
      <c r="L259" s="55"/>
      <c r="M259" s="55"/>
      <c r="N259" s="55"/>
      <c r="O259" s="55"/>
      <c r="P259" s="55"/>
      <c r="Q259" s="55"/>
      <c r="R259" s="55"/>
      <c r="S259" s="55"/>
      <c r="T259" s="55"/>
      <c r="U259" s="55"/>
      <c r="V259" s="55"/>
      <c r="W259" s="55"/>
      <c r="X259" s="55"/>
      <c r="Y259" s="55"/>
      <c r="Z259" s="55"/>
      <c r="AA259" s="55"/>
      <c r="AB259" s="55"/>
      <c r="AC259" s="55"/>
      <c r="AD259" s="55"/>
      <c r="AE259" s="55"/>
      <c r="AF259" s="55"/>
      <c r="AG259" s="55"/>
      <c r="AH259" s="55"/>
      <c r="AI259" s="55"/>
      <c r="AJ259" s="55"/>
      <c r="AK259" s="55"/>
      <c r="AL259" s="55"/>
      <c r="AM259" s="55"/>
      <c r="AN259" s="55"/>
      <c r="AO259" s="55"/>
      <c r="AP259" s="55"/>
      <c r="AQ259" s="55"/>
      <c r="AR259" s="55"/>
      <c r="AS259" s="55"/>
      <c r="AT259" s="55"/>
      <c r="AU259" s="55"/>
      <c r="AV259" s="55"/>
      <c r="AW259" s="55"/>
      <c r="AX259" s="55"/>
      <c r="AY259" s="55"/>
      <c r="AZ259" s="55"/>
      <c r="BA259" s="55"/>
      <c r="BB259" s="55"/>
      <c r="BC259" s="55"/>
      <c r="BD259" s="55"/>
      <c r="BE259" s="55"/>
      <c r="BF259" s="55"/>
      <c r="BG259" s="55"/>
      <c r="BH259" s="55"/>
      <c r="BI259" s="55"/>
      <c r="BJ259" s="55"/>
      <c r="BK259" s="55"/>
      <c r="BL259" s="55"/>
      <c r="BM259" s="55"/>
      <c r="BN259" s="55"/>
      <c r="BO259" s="55"/>
      <c r="BP259" s="55"/>
      <c r="BQ259" s="55"/>
      <c r="BR259" s="55"/>
      <c r="BS259" s="55"/>
    </row>
    <row r="260" spans="4:71" outlineLevel="1" x14ac:dyDescent="0.2">
      <c r="D260" s="6"/>
      <c r="E260" s="11" t="s">
        <v>862</v>
      </c>
      <c r="J260" s="26"/>
      <c r="K260" s="7" t="s">
        <v>873</v>
      </c>
      <c r="L260" s="49">
        <f ca="1">-SUM(L251,L245,L239,L233,L257)</f>
        <v>0</v>
      </c>
      <c r="M260" s="49">
        <f t="shared" ref="M260:BS260" ca="1" si="81">-SUM(M251,M245,M239,M233,M257)</f>
        <v>0.16974408875808392</v>
      </c>
      <c r="N260" s="49">
        <f t="shared" ca="1" si="81"/>
        <v>58.485517526142516</v>
      </c>
      <c r="O260" s="49">
        <f t="shared" ca="1" si="81"/>
        <v>90.492232867762084</v>
      </c>
      <c r="P260" s="49">
        <f t="shared" ca="1" si="81"/>
        <v>209.1184752662713</v>
      </c>
      <c r="Q260" s="49">
        <f t="shared" ca="1" si="81"/>
        <v>465.23630441858234</v>
      </c>
      <c r="R260" s="49">
        <f t="shared" ca="1" si="81"/>
        <v>432.37422792519823</v>
      </c>
      <c r="S260" s="49">
        <f t="shared" ca="1" si="81"/>
        <v>245.22735550833329</v>
      </c>
      <c r="T260" s="49">
        <f t="shared" ca="1" si="81"/>
        <v>369.96326771039992</v>
      </c>
      <c r="U260" s="49">
        <f t="shared" ca="1" si="81"/>
        <v>369.31587203699996</v>
      </c>
      <c r="V260" s="49">
        <f t="shared" ca="1" si="81"/>
        <v>350.33303621429809</v>
      </c>
      <c r="W260" s="49">
        <f t="shared" ca="1" si="81"/>
        <v>332.3259181528831</v>
      </c>
      <c r="X260" s="49">
        <f t="shared" ca="1" si="81"/>
        <v>315.2443659598249</v>
      </c>
      <c r="Y260" s="49">
        <f t="shared" ca="1" si="81"/>
        <v>0</v>
      </c>
      <c r="Z260" s="49">
        <f t="shared" ca="1" si="81"/>
        <v>0</v>
      </c>
      <c r="AA260" s="49">
        <f t="shared" ca="1" si="81"/>
        <v>0</v>
      </c>
      <c r="AB260" s="49">
        <f t="shared" ca="1" si="81"/>
        <v>0</v>
      </c>
      <c r="AC260" s="49">
        <f t="shared" ca="1" si="81"/>
        <v>0</v>
      </c>
      <c r="AD260" s="49">
        <f t="shared" ca="1" si="81"/>
        <v>0</v>
      </c>
      <c r="AE260" s="49">
        <f t="shared" ca="1" si="81"/>
        <v>0</v>
      </c>
      <c r="AF260" s="49">
        <f t="shared" ca="1" si="81"/>
        <v>0</v>
      </c>
      <c r="AG260" s="49">
        <f t="shared" ca="1" si="81"/>
        <v>0</v>
      </c>
      <c r="AH260" s="49">
        <f t="shared" ca="1" si="81"/>
        <v>0</v>
      </c>
      <c r="AI260" s="49">
        <f t="shared" ca="1" si="81"/>
        <v>0</v>
      </c>
      <c r="AJ260" s="49">
        <f t="shared" ca="1" si="81"/>
        <v>0</v>
      </c>
      <c r="AK260" s="49">
        <f t="shared" ca="1" si="81"/>
        <v>0</v>
      </c>
      <c r="AL260" s="49">
        <f t="shared" ca="1" si="81"/>
        <v>0</v>
      </c>
      <c r="AM260" s="49">
        <f t="shared" ca="1" si="81"/>
        <v>0</v>
      </c>
      <c r="AN260" s="49">
        <f t="shared" ca="1" si="81"/>
        <v>0</v>
      </c>
      <c r="AO260" s="49">
        <f t="shared" ca="1" si="81"/>
        <v>0</v>
      </c>
      <c r="AP260" s="49">
        <f t="shared" ca="1" si="81"/>
        <v>0</v>
      </c>
      <c r="AQ260" s="49">
        <f t="shared" ca="1" si="81"/>
        <v>0</v>
      </c>
      <c r="AR260" s="49">
        <f t="shared" ca="1" si="81"/>
        <v>0</v>
      </c>
      <c r="AS260" s="49">
        <f t="shared" ca="1" si="81"/>
        <v>0</v>
      </c>
      <c r="AT260" s="49">
        <f t="shared" ca="1" si="81"/>
        <v>0</v>
      </c>
      <c r="AU260" s="49">
        <f t="shared" ca="1" si="81"/>
        <v>0</v>
      </c>
      <c r="AV260" s="49">
        <f t="shared" ca="1" si="81"/>
        <v>0</v>
      </c>
      <c r="AW260" s="49">
        <f t="shared" ca="1" si="81"/>
        <v>0</v>
      </c>
      <c r="AX260" s="49">
        <f t="shared" ca="1" si="81"/>
        <v>0</v>
      </c>
      <c r="AY260" s="49">
        <f t="shared" ca="1" si="81"/>
        <v>0</v>
      </c>
      <c r="AZ260" s="49">
        <f t="shared" ca="1" si="81"/>
        <v>0</v>
      </c>
      <c r="BA260" s="49">
        <f t="shared" ca="1" si="81"/>
        <v>0</v>
      </c>
      <c r="BB260" s="49">
        <f t="shared" ca="1" si="81"/>
        <v>0</v>
      </c>
      <c r="BC260" s="49">
        <f t="shared" ca="1" si="81"/>
        <v>0</v>
      </c>
      <c r="BD260" s="49">
        <f t="shared" ca="1" si="81"/>
        <v>0</v>
      </c>
      <c r="BE260" s="49">
        <f t="shared" ca="1" si="81"/>
        <v>0</v>
      </c>
      <c r="BF260" s="49">
        <f t="shared" ca="1" si="81"/>
        <v>0</v>
      </c>
      <c r="BG260" s="49">
        <f t="shared" ca="1" si="81"/>
        <v>0</v>
      </c>
      <c r="BH260" s="49">
        <f t="shared" ca="1" si="81"/>
        <v>0</v>
      </c>
      <c r="BI260" s="49">
        <f t="shared" ca="1" si="81"/>
        <v>0</v>
      </c>
      <c r="BJ260" s="49">
        <f t="shared" ca="1" si="81"/>
        <v>0</v>
      </c>
      <c r="BK260" s="49">
        <f t="shared" ca="1" si="81"/>
        <v>0</v>
      </c>
      <c r="BL260" s="49">
        <f t="shared" ca="1" si="81"/>
        <v>0</v>
      </c>
      <c r="BM260" s="49">
        <f t="shared" ca="1" si="81"/>
        <v>0</v>
      </c>
      <c r="BN260" s="49">
        <f t="shared" ca="1" si="81"/>
        <v>0</v>
      </c>
      <c r="BO260" s="49">
        <f t="shared" ca="1" si="81"/>
        <v>0</v>
      </c>
      <c r="BP260" s="49">
        <f t="shared" ca="1" si="81"/>
        <v>0</v>
      </c>
      <c r="BQ260" s="49">
        <f t="shared" ca="1" si="81"/>
        <v>0</v>
      </c>
      <c r="BR260" s="49">
        <f t="shared" ca="1" si="81"/>
        <v>0</v>
      </c>
      <c r="BS260" s="49">
        <f t="shared" ca="1" si="81"/>
        <v>0</v>
      </c>
    </row>
    <row r="261" spans="4:71" outlineLevel="1" x14ac:dyDescent="0.2">
      <c r="J261" s="26"/>
      <c r="L261" s="55"/>
      <c r="M261" s="55"/>
      <c r="N261" s="55"/>
      <c r="O261" s="55"/>
      <c r="P261" s="55"/>
      <c r="Q261" s="55"/>
      <c r="R261" s="55"/>
      <c r="S261" s="55"/>
      <c r="T261" s="55"/>
      <c r="U261" s="55"/>
      <c r="V261" s="55"/>
      <c r="W261" s="55"/>
      <c r="X261" s="55"/>
      <c r="Y261" s="55"/>
      <c r="Z261" s="55"/>
      <c r="AA261" s="55"/>
      <c r="AB261" s="55"/>
      <c r="AC261" s="55"/>
      <c r="AD261" s="55"/>
      <c r="AE261" s="55"/>
      <c r="AF261" s="55"/>
      <c r="AG261" s="55"/>
      <c r="AH261" s="55"/>
      <c r="AI261" s="55"/>
      <c r="AJ261" s="55"/>
      <c r="AK261" s="55"/>
      <c r="AL261" s="55"/>
      <c r="AM261" s="55"/>
      <c r="AN261" s="55"/>
      <c r="AO261" s="55"/>
      <c r="AP261" s="55"/>
      <c r="AQ261" s="55"/>
      <c r="AR261" s="55"/>
      <c r="AS261" s="55"/>
      <c r="AT261" s="55"/>
      <c r="AU261" s="55"/>
      <c r="AV261" s="55"/>
      <c r="AW261" s="55"/>
      <c r="AX261" s="55"/>
      <c r="AY261" s="55"/>
      <c r="AZ261" s="55"/>
      <c r="BA261" s="55"/>
      <c r="BB261" s="55"/>
      <c r="BC261" s="55"/>
      <c r="BD261" s="55"/>
      <c r="BE261" s="55"/>
      <c r="BF261" s="55"/>
      <c r="BG261" s="55"/>
      <c r="BH261" s="55"/>
      <c r="BI261" s="55"/>
      <c r="BJ261" s="55"/>
      <c r="BK261" s="55"/>
      <c r="BL261" s="55"/>
      <c r="BM261" s="55"/>
      <c r="BN261" s="55"/>
      <c r="BO261" s="55"/>
      <c r="BP261" s="55"/>
      <c r="BQ261" s="55"/>
      <c r="BR261" s="55"/>
      <c r="BS261" s="55"/>
    </row>
    <row r="262" spans="4:71" outlineLevel="1" x14ac:dyDescent="0.2">
      <c r="D262" s="35" t="s">
        <v>860</v>
      </c>
      <c r="J262" s="26" t="s">
        <v>90</v>
      </c>
      <c r="L262" s="53">
        <f t="shared" ref="L262:AQ262" ca="1" si="82">IF(CA_PSC_period_trig=1,INDEX(FA_cost_stop_perc_gas,1),INDEX(FA_cost_stop_perc_gas,2))</f>
        <v>0.7</v>
      </c>
      <c r="M262" s="53">
        <f t="shared" ca="1" si="82"/>
        <v>0.7</v>
      </c>
      <c r="N262" s="53">
        <f t="shared" ca="1" si="82"/>
        <v>0.7</v>
      </c>
      <c r="O262" s="53">
        <f t="shared" ca="1" si="82"/>
        <v>0.7</v>
      </c>
      <c r="P262" s="53">
        <f t="shared" ca="1" si="82"/>
        <v>0.7</v>
      </c>
      <c r="Q262" s="53">
        <f t="shared" ca="1" si="82"/>
        <v>0.7</v>
      </c>
      <c r="R262" s="53">
        <f t="shared" ca="1" si="82"/>
        <v>0.7</v>
      </c>
      <c r="S262" s="53">
        <f t="shared" ca="1" si="82"/>
        <v>0.7</v>
      </c>
      <c r="T262" s="53">
        <f t="shared" ca="1" si="82"/>
        <v>0.7</v>
      </c>
      <c r="U262" s="53">
        <f t="shared" ca="1" si="82"/>
        <v>0.7</v>
      </c>
      <c r="V262" s="53">
        <f t="shared" ca="1" si="82"/>
        <v>0.7</v>
      </c>
      <c r="W262" s="53">
        <f t="shared" ca="1" si="82"/>
        <v>0.7</v>
      </c>
      <c r="X262" s="53">
        <f t="shared" ca="1" si="82"/>
        <v>0.7</v>
      </c>
      <c r="Y262" s="53">
        <f t="shared" ca="1" si="82"/>
        <v>0.7</v>
      </c>
      <c r="Z262" s="53">
        <f t="shared" ca="1" si="82"/>
        <v>0.7</v>
      </c>
      <c r="AA262" s="53">
        <f t="shared" ca="1" si="82"/>
        <v>0.7</v>
      </c>
      <c r="AB262" s="53">
        <f t="shared" ca="1" si="82"/>
        <v>0.7</v>
      </c>
      <c r="AC262" s="53">
        <f t="shared" ca="1" si="82"/>
        <v>0.7</v>
      </c>
      <c r="AD262" s="53">
        <f t="shared" ca="1" si="82"/>
        <v>0.7</v>
      </c>
      <c r="AE262" s="53">
        <f t="shared" ca="1" si="82"/>
        <v>0.7</v>
      </c>
      <c r="AF262" s="53">
        <f t="shared" ca="1" si="82"/>
        <v>0.7</v>
      </c>
      <c r="AG262" s="53">
        <f t="shared" ca="1" si="82"/>
        <v>0.7</v>
      </c>
      <c r="AH262" s="53">
        <f t="shared" ca="1" si="82"/>
        <v>0.7</v>
      </c>
      <c r="AI262" s="53">
        <f t="shared" ca="1" si="82"/>
        <v>0.7</v>
      </c>
      <c r="AJ262" s="53">
        <f t="shared" ca="1" si="82"/>
        <v>0.7</v>
      </c>
      <c r="AK262" s="53">
        <f t="shared" ca="1" si="82"/>
        <v>0.7</v>
      </c>
      <c r="AL262" s="53">
        <f t="shared" ca="1" si="82"/>
        <v>0.7</v>
      </c>
      <c r="AM262" s="53">
        <f t="shared" ca="1" si="82"/>
        <v>0.7</v>
      </c>
      <c r="AN262" s="53">
        <f t="shared" ca="1" si="82"/>
        <v>0.7</v>
      </c>
      <c r="AO262" s="53">
        <f t="shared" ca="1" si="82"/>
        <v>0.7</v>
      </c>
      <c r="AP262" s="53">
        <f t="shared" ca="1" si="82"/>
        <v>0.7</v>
      </c>
      <c r="AQ262" s="53">
        <f t="shared" ca="1" si="82"/>
        <v>0.7</v>
      </c>
      <c r="AR262" s="53">
        <f t="shared" ref="AR262:BS262" ca="1" si="83">IF(CA_PSC_period_trig=1,INDEX(FA_cost_stop_perc_gas,1),INDEX(FA_cost_stop_perc_gas,2))</f>
        <v>0.7</v>
      </c>
      <c r="AS262" s="53">
        <f t="shared" ca="1" si="83"/>
        <v>0.7</v>
      </c>
      <c r="AT262" s="53">
        <f t="shared" ca="1" si="83"/>
        <v>0.7</v>
      </c>
      <c r="AU262" s="53">
        <f t="shared" ca="1" si="83"/>
        <v>0.7</v>
      </c>
      <c r="AV262" s="53">
        <f t="shared" ca="1" si="83"/>
        <v>0.7</v>
      </c>
      <c r="AW262" s="53">
        <f t="shared" ca="1" si="83"/>
        <v>0.7</v>
      </c>
      <c r="AX262" s="53">
        <f t="shared" ca="1" si="83"/>
        <v>0.7</v>
      </c>
      <c r="AY262" s="53">
        <f t="shared" ca="1" si="83"/>
        <v>0.7</v>
      </c>
      <c r="AZ262" s="53">
        <f t="shared" ca="1" si="83"/>
        <v>0.7</v>
      </c>
      <c r="BA262" s="53">
        <f t="shared" ca="1" si="83"/>
        <v>0.7</v>
      </c>
      <c r="BB262" s="53">
        <f t="shared" ca="1" si="83"/>
        <v>0.7</v>
      </c>
      <c r="BC262" s="53">
        <f t="shared" ca="1" si="83"/>
        <v>0.7</v>
      </c>
      <c r="BD262" s="53">
        <f t="shared" ca="1" si="83"/>
        <v>0.7</v>
      </c>
      <c r="BE262" s="53">
        <f t="shared" ca="1" si="83"/>
        <v>0.7</v>
      </c>
      <c r="BF262" s="53">
        <f t="shared" ca="1" si="83"/>
        <v>0.7</v>
      </c>
      <c r="BG262" s="53">
        <f t="shared" ca="1" si="83"/>
        <v>0.7</v>
      </c>
      <c r="BH262" s="53">
        <f t="shared" ca="1" si="83"/>
        <v>0.7</v>
      </c>
      <c r="BI262" s="53">
        <f t="shared" ca="1" si="83"/>
        <v>0.7</v>
      </c>
      <c r="BJ262" s="53">
        <f t="shared" ca="1" si="83"/>
        <v>0.7</v>
      </c>
      <c r="BK262" s="53">
        <f t="shared" ca="1" si="83"/>
        <v>0.7</v>
      </c>
      <c r="BL262" s="53">
        <f t="shared" ca="1" si="83"/>
        <v>0.7</v>
      </c>
      <c r="BM262" s="53">
        <f t="shared" ca="1" si="83"/>
        <v>0.7</v>
      </c>
      <c r="BN262" s="53">
        <f t="shared" ca="1" si="83"/>
        <v>0.7</v>
      </c>
      <c r="BO262" s="53">
        <f t="shared" ca="1" si="83"/>
        <v>0.7</v>
      </c>
      <c r="BP262" s="53">
        <f t="shared" ca="1" si="83"/>
        <v>0.7</v>
      </c>
      <c r="BQ262" s="53">
        <f t="shared" ca="1" si="83"/>
        <v>0.7</v>
      </c>
      <c r="BR262" s="53">
        <f t="shared" ca="1" si="83"/>
        <v>0.7</v>
      </c>
      <c r="BS262" s="53">
        <f t="shared" ca="1" si="83"/>
        <v>0.7</v>
      </c>
    </row>
    <row r="263" spans="4:71" outlineLevel="1" x14ac:dyDescent="0.2">
      <c r="J263" s="26"/>
      <c r="L263" s="55"/>
      <c r="M263" s="55"/>
      <c r="N263" s="55"/>
      <c r="O263" s="55"/>
      <c r="P263" s="55"/>
      <c r="Q263" s="55"/>
      <c r="R263" s="55"/>
      <c r="S263" s="55"/>
      <c r="T263" s="55"/>
      <c r="U263" s="55"/>
      <c r="V263" s="55"/>
      <c r="W263" s="55"/>
      <c r="X263" s="55"/>
      <c r="Y263" s="55"/>
      <c r="Z263" s="55"/>
      <c r="AA263" s="55"/>
      <c r="AB263" s="55"/>
      <c r="AC263" s="55"/>
      <c r="AD263" s="55"/>
      <c r="AE263" s="55"/>
      <c r="AF263" s="55"/>
      <c r="AG263" s="55"/>
      <c r="AH263" s="55"/>
      <c r="AI263" s="55"/>
      <c r="AJ263" s="55"/>
      <c r="AK263" s="55"/>
      <c r="AL263" s="55"/>
      <c r="AM263" s="55"/>
      <c r="AN263" s="55"/>
      <c r="AO263" s="55"/>
      <c r="AP263" s="55"/>
      <c r="AQ263" s="55"/>
      <c r="AR263" s="55"/>
      <c r="AS263" s="55"/>
      <c r="AT263" s="55"/>
      <c r="AU263" s="55"/>
      <c r="AV263" s="55"/>
      <c r="AW263" s="55"/>
      <c r="AX263" s="55"/>
      <c r="AY263" s="55"/>
      <c r="AZ263" s="55"/>
      <c r="BA263" s="55"/>
      <c r="BB263" s="55"/>
      <c r="BC263" s="55"/>
      <c r="BD263" s="55"/>
      <c r="BE263" s="55"/>
      <c r="BF263" s="55"/>
      <c r="BG263" s="55"/>
      <c r="BH263" s="55"/>
      <c r="BI263" s="55"/>
      <c r="BJ263" s="55"/>
      <c r="BK263" s="55"/>
      <c r="BL263" s="55"/>
      <c r="BM263" s="55"/>
      <c r="BN263" s="55"/>
      <c r="BO263" s="55"/>
      <c r="BP263" s="55"/>
      <c r="BQ263" s="55"/>
      <c r="BR263" s="55"/>
      <c r="BS263" s="55"/>
    </row>
    <row r="264" spans="4:71" outlineLevel="1" x14ac:dyDescent="0.2">
      <c r="D264" s="11" t="s">
        <v>861</v>
      </c>
      <c r="I264" s="30">
        <f t="shared" ref="I264" ca="1" si="84">SUM($L264:$BS264)</f>
        <v>593.37643543984939</v>
      </c>
      <c r="J264" s="26" t="s">
        <v>148</v>
      </c>
      <c r="K264" s="7" t="s">
        <v>864</v>
      </c>
      <c r="L264" s="49">
        <f ca="1">L262*(Marine!CA_gross_rev_gas_fp+CA_gross_rev_domestic_gas_fp)</f>
        <v>0</v>
      </c>
      <c r="M264" s="49">
        <f ca="1">M262*(Marine!CA_gross_rev_gas_fp+CA_gross_rev_domestic_gas_fp)</f>
        <v>6.4090766449179659</v>
      </c>
      <c r="N264" s="49">
        <f ca="1">N262*(Marine!CA_gross_rev_gas_fp+CA_gross_rev_domestic_gas_fp)</f>
        <v>32.435823628369469</v>
      </c>
      <c r="O264" s="49">
        <f ca="1">O262*(Marine!CA_gross_rev_gas_fp+CA_gross_rev_domestic_gas_fp)</f>
        <v>50.908864237736623</v>
      </c>
      <c r="P264" s="49">
        <f ca="1">P262*(Marine!CA_gross_rev_gas_fp+CA_gross_rev_domestic_gas_fp)</f>
        <v>46.941462105911178</v>
      </c>
      <c r="Q264" s="49">
        <f ca="1">Q262*(Marine!CA_gross_rev_gas_fp+CA_gross_rev_domestic_gas_fp)</f>
        <v>51.495202634441178</v>
      </c>
      <c r="R264" s="49">
        <f ca="1">R262*(Marine!CA_gross_rev_gas_fp+CA_gross_rev_domestic_gas_fp)</f>
        <v>5.2525106687130006E-5</v>
      </c>
      <c r="S264" s="49">
        <f ca="1">S262*(Marine!CA_gross_rev_gas_fp+CA_gross_rev_domestic_gas_fp)</f>
        <v>67.656119999999987</v>
      </c>
      <c r="T264" s="49">
        <f ca="1">T262*(Marine!CA_gross_rev_gas_fp+CA_gross_rev_domestic_gas_fp)</f>
        <v>67.558437623762359</v>
      </c>
      <c r="U264" s="49">
        <f ca="1">U262*(Marine!CA_gross_rev_gas_fp+CA_gross_rev_domestic_gas_fp)</f>
        <v>67.526685148514844</v>
      </c>
      <c r="V264" s="49">
        <f ca="1">V262*(Marine!CA_gross_rev_gas_fp+CA_gross_rev_domestic_gas_fp)</f>
        <v>67.498075247524739</v>
      </c>
      <c r="W264" s="49">
        <f ca="1">W262*(Marine!CA_gross_rev_gas_fp+CA_gross_rev_domestic_gas_fp)</f>
        <v>67.492524752475248</v>
      </c>
      <c r="X264" s="49">
        <f ca="1">X262*(Marine!CA_gross_rev_gas_fp+CA_gross_rev_domestic_gas_fp)</f>
        <v>67.454110891089115</v>
      </c>
      <c r="Y264" s="49">
        <f ca="1">Y262*(Marine!CA_gross_rev_gas_fp+CA_gross_rev_domestic_gas_fp)</f>
        <v>0</v>
      </c>
      <c r="Z264" s="49">
        <f ca="1">Z262*(Marine!CA_gross_rev_gas_fp+CA_gross_rev_domestic_gas_fp)</f>
        <v>0</v>
      </c>
      <c r="AA264" s="49">
        <f ca="1">AA262*(Marine!CA_gross_rev_gas_fp+CA_gross_rev_domestic_gas_fp)</f>
        <v>0</v>
      </c>
      <c r="AB264" s="49">
        <f ca="1">AB262*(Marine!CA_gross_rev_gas_fp+CA_gross_rev_domestic_gas_fp)</f>
        <v>0</v>
      </c>
      <c r="AC264" s="49">
        <f ca="1">AC262*(Marine!CA_gross_rev_gas_fp+CA_gross_rev_domestic_gas_fp)</f>
        <v>0</v>
      </c>
      <c r="AD264" s="49">
        <f ca="1">AD262*(Marine!CA_gross_rev_gas_fp+CA_gross_rev_domestic_gas_fp)</f>
        <v>0</v>
      </c>
      <c r="AE264" s="49">
        <f ca="1">AE262*(Marine!CA_gross_rev_gas_fp+CA_gross_rev_domestic_gas_fp)</f>
        <v>0</v>
      </c>
      <c r="AF264" s="49">
        <f ca="1">AF262*(Marine!CA_gross_rev_gas_fp+CA_gross_rev_domestic_gas_fp)</f>
        <v>0</v>
      </c>
      <c r="AG264" s="49">
        <f ca="1">AG262*(Marine!CA_gross_rev_gas_fp+CA_gross_rev_domestic_gas_fp)</f>
        <v>0</v>
      </c>
      <c r="AH264" s="49">
        <f ca="1">AH262*(Marine!CA_gross_rev_gas_fp+CA_gross_rev_domestic_gas_fp)</f>
        <v>0</v>
      </c>
      <c r="AI264" s="49">
        <f ca="1">AI262*(Marine!CA_gross_rev_gas_fp+CA_gross_rev_domestic_gas_fp)</f>
        <v>0</v>
      </c>
      <c r="AJ264" s="49">
        <f ca="1">AJ262*(Marine!CA_gross_rev_gas_fp+CA_gross_rev_domestic_gas_fp)</f>
        <v>0</v>
      </c>
      <c r="AK264" s="49">
        <f ca="1">AK262*(Marine!CA_gross_rev_gas_fp+CA_gross_rev_domestic_gas_fp)</f>
        <v>0</v>
      </c>
      <c r="AL264" s="49">
        <f ca="1">AL262*(Marine!CA_gross_rev_gas_fp+CA_gross_rev_domestic_gas_fp)</f>
        <v>0</v>
      </c>
      <c r="AM264" s="49">
        <f ca="1">AM262*(Marine!CA_gross_rev_gas_fp+CA_gross_rev_domestic_gas_fp)</f>
        <v>0</v>
      </c>
      <c r="AN264" s="49">
        <f ca="1">AN262*(Marine!CA_gross_rev_gas_fp+CA_gross_rev_domestic_gas_fp)</f>
        <v>0</v>
      </c>
      <c r="AO264" s="49">
        <f ca="1">AO262*(Marine!CA_gross_rev_gas_fp+CA_gross_rev_domestic_gas_fp)</f>
        <v>0</v>
      </c>
      <c r="AP264" s="49">
        <f ca="1">AP262*(Marine!CA_gross_rev_gas_fp+CA_gross_rev_domestic_gas_fp)</f>
        <v>0</v>
      </c>
      <c r="AQ264" s="49">
        <f ca="1">AQ262*(Marine!CA_gross_rev_gas_fp+CA_gross_rev_domestic_gas_fp)</f>
        <v>0</v>
      </c>
      <c r="AR264" s="49">
        <f ca="1">AR262*(Marine!CA_gross_rev_gas_fp+CA_gross_rev_domestic_gas_fp)</f>
        <v>0</v>
      </c>
      <c r="AS264" s="49">
        <f ca="1">AS262*(Marine!CA_gross_rev_gas_fp+CA_gross_rev_domestic_gas_fp)</f>
        <v>0</v>
      </c>
      <c r="AT264" s="49">
        <f ca="1">AT262*(Marine!CA_gross_rev_gas_fp+CA_gross_rev_domestic_gas_fp)</f>
        <v>0</v>
      </c>
      <c r="AU264" s="49">
        <f ca="1">AU262*(Marine!CA_gross_rev_gas_fp+CA_gross_rev_domestic_gas_fp)</f>
        <v>0</v>
      </c>
      <c r="AV264" s="49">
        <f ca="1">AV262*(Marine!CA_gross_rev_gas_fp+CA_gross_rev_domestic_gas_fp)</f>
        <v>0</v>
      </c>
      <c r="AW264" s="49">
        <f ca="1">AW262*(Marine!CA_gross_rev_gas_fp+CA_gross_rev_domestic_gas_fp)</f>
        <v>0</v>
      </c>
      <c r="AX264" s="49">
        <f ca="1">AX262*(Marine!CA_gross_rev_gas_fp+CA_gross_rev_domestic_gas_fp)</f>
        <v>0</v>
      </c>
      <c r="AY264" s="49">
        <f ca="1">AY262*(Marine!CA_gross_rev_gas_fp+CA_gross_rev_domestic_gas_fp)</f>
        <v>0</v>
      </c>
      <c r="AZ264" s="49">
        <f ca="1">AZ262*(Marine!CA_gross_rev_gas_fp+CA_gross_rev_domestic_gas_fp)</f>
        <v>0</v>
      </c>
      <c r="BA264" s="49">
        <f ca="1">BA262*(Marine!CA_gross_rev_gas_fp+CA_gross_rev_domestic_gas_fp)</f>
        <v>0</v>
      </c>
      <c r="BB264" s="49">
        <f ca="1">BB262*(Marine!CA_gross_rev_gas_fp+CA_gross_rev_domestic_gas_fp)</f>
        <v>0</v>
      </c>
      <c r="BC264" s="49">
        <f ca="1">BC262*(Marine!CA_gross_rev_gas_fp+CA_gross_rev_domestic_gas_fp)</f>
        <v>0</v>
      </c>
      <c r="BD264" s="49">
        <f ca="1">BD262*(Marine!CA_gross_rev_gas_fp+CA_gross_rev_domestic_gas_fp)</f>
        <v>0</v>
      </c>
      <c r="BE264" s="49">
        <f ca="1">BE262*(Marine!CA_gross_rev_gas_fp+CA_gross_rev_domestic_gas_fp)</f>
        <v>0</v>
      </c>
      <c r="BF264" s="49">
        <f ca="1">BF262*(Marine!CA_gross_rev_gas_fp+CA_gross_rev_domestic_gas_fp)</f>
        <v>0</v>
      </c>
      <c r="BG264" s="49">
        <f ca="1">BG262*(Marine!CA_gross_rev_gas_fp+CA_gross_rev_domestic_gas_fp)</f>
        <v>0</v>
      </c>
      <c r="BH264" s="49">
        <f ca="1">BH262*(Marine!CA_gross_rev_gas_fp+CA_gross_rev_domestic_gas_fp)</f>
        <v>0</v>
      </c>
      <c r="BI264" s="49">
        <f ca="1">BI262*(Marine!CA_gross_rev_gas_fp+CA_gross_rev_domestic_gas_fp)</f>
        <v>0</v>
      </c>
      <c r="BJ264" s="49">
        <f ca="1">BJ262*(Marine!CA_gross_rev_gas_fp+CA_gross_rev_domestic_gas_fp)</f>
        <v>0</v>
      </c>
      <c r="BK264" s="49">
        <f ca="1">BK262*(Marine!CA_gross_rev_gas_fp+CA_gross_rev_domestic_gas_fp)</f>
        <v>0</v>
      </c>
      <c r="BL264" s="49">
        <f ca="1">BL262*(Marine!CA_gross_rev_gas_fp+CA_gross_rev_domestic_gas_fp)</f>
        <v>0</v>
      </c>
      <c r="BM264" s="49">
        <f ca="1">BM262*(Marine!CA_gross_rev_gas_fp+CA_gross_rev_domestic_gas_fp)</f>
        <v>0</v>
      </c>
      <c r="BN264" s="49">
        <f ca="1">BN262*(Marine!CA_gross_rev_gas_fp+CA_gross_rev_domestic_gas_fp)</f>
        <v>0</v>
      </c>
      <c r="BO264" s="49">
        <f ca="1">BO262*(Marine!CA_gross_rev_gas_fp+CA_gross_rev_domestic_gas_fp)</f>
        <v>0</v>
      </c>
      <c r="BP264" s="49">
        <f ca="1">BP262*(Marine!CA_gross_rev_gas_fp+CA_gross_rev_domestic_gas_fp)</f>
        <v>0</v>
      </c>
      <c r="BQ264" s="49">
        <f ca="1">BQ262*(Marine!CA_gross_rev_gas_fp+CA_gross_rev_domestic_gas_fp)</f>
        <v>0</v>
      </c>
      <c r="BR264" s="49">
        <f ca="1">BR262*(Marine!CA_gross_rev_gas_fp+CA_gross_rev_domestic_gas_fp)</f>
        <v>0</v>
      </c>
      <c r="BS264" s="49">
        <f ca="1">BS262*(Marine!CA_gross_rev_gas_fp+CA_gross_rev_domestic_gas_fp)</f>
        <v>0</v>
      </c>
    </row>
    <row r="265" spans="4:71" outlineLevel="1" x14ac:dyDescent="0.2">
      <c r="J265" s="26"/>
      <c r="L265" s="55"/>
      <c r="M265" s="55"/>
      <c r="N265" s="55"/>
      <c r="O265" s="55"/>
      <c r="P265" s="55"/>
      <c r="Q265" s="55"/>
      <c r="R265" s="55"/>
      <c r="S265" s="55"/>
      <c r="T265" s="55"/>
      <c r="U265" s="55"/>
      <c r="V265" s="55"/>
      <c r="W265" s="55"/>
      <c r="X265" s="55"/>
      <c r="Y265" s="55"/>
      <c r="Z265" s="55"/>
      <c r="AA265" s="55"/>
      <c r="AB265" s="55"/>
      <c r="AC265" s="55"/>
      <c r="AD265" s="55"/>
      <c r="AE265" s="55"/>
      <c r="AF265" s="55"/>
      <c r="AG265" s="55"/>
      <c r="AH265" s="55"/>
      <c r="AI265" s="55"/>
      <c r="AJ265" s="55"/>
      <c r="AK265" s="55"/>
      <c r="AL265" s="55"/>
      <c r="AM265" s="55"/>
      <c r="AN265" s="55"/>
      <c r="AO265" s="55"/>
      <c r="AP265" s="55"/>
      <c r="AQ265" s="55"/>
      <c r="AR265" s="55"/>
      <c r="AS265" s="55"/>
      <c r="AT265" s="55"/>
      <c r="AU265" s="55"/>
      <c r="AV265" s="55"/>
      <c r="AW265" s="55"/>
      <c r="AX265" s="55"/>
      <c r="AY265" s="55"/>
      <c r="AZ265" s="55"/>
      <c r="BA265" s="55"/>
      <c r="BB265" s="55"/>
      <c r="BC265" s="55"/>
      <c r="BD265" s="55"/>
      <c r="BE265" s="55"/>
      <c r="BF265" s="55"/>
      <c r="BG265" s="55"/>
      <c r="BH265" s="55"/>
      <c r="BI265" s="55"/>
      <c r="BJ265" s="55"/>
      <c r="BK265" s="55"/>
      <c r="BL265" s="55"/>
      <c r="BM265" s="55"/>
      <c r="BN265" s="55"/>
      <c r="BO265" s="55"/>
      <c r="BP265" s="55"/>
      <c r="BQ265" s="55"/>
      <c r="BR265" s="55"/>
      <c r="BS265" s="55"/>
    </row>
    <row r="266" spans="4:71" outlineLevel="1" x14ac:dyDescent="0.2">
      <c r="D266" s="11" t="s">
        <v>863</v>
      </c>
      <c r="J266" s="26"/>
      <c r="L266" s="55"/>
      <c r="M266" s="55"/>
      <c r="N266" s="55"/>
      <c r="O266" s="55"/>
      <c r="P266" s="55"/>
      <c r="Q266" s="55"/>
      <c r="R266" s="55"/>
      <c r="S266" s="55"/>
      <c r="T266" s="55"/>
      <c r="U266" s="55"/>
      <c r="V266" s="55"/>
      <c r="W266" s="55"/>
      <c r="X266" s="55"/>
      <c r="Y266" s="55"/>
      <c r="Z266" s="55"/>
      <c r="AA266" s="55"/>
      <c r="AB266" s="55"/>
      <c r="AC266" s="55"/>
      <c r="AD266" s="55"/>
      <c r="AE266" s="55"/>
      <c r="AF266" s="55"/>
      <c r="AG266" s="55"/>
      <c r="AH266" s="55"/>
      <c r="AI266" s="55"/>
      <c r="AJ266" s="55"/>
      <c r="AK266" s="55"/>
      <c r="AL266" s="55"/>
      <c r="AM266" s="55"/>
      <c r="AN266" s="55"/>
      <c r="AO266" s="55"/>
      <c r="AP266" s="55"/>
      <c r="AQ266" s="55"/>
      <c r="AR266" s="55"/>
      <c r="AS266" s="55"/>
      <c r="AT266" s="55"/>
      <c r="AU266" s="55"/>
      <c r="AV266" s="55"/>
      <c r="AW266" s="55"/>
      <c r="AX266" s="55"/>
      <c r="AY266" s="55"/>
      <c r="AZ266" s="55"/>
      <c r="BA266" s="55"/>
      <c r="BB266" s="55"/>
      <c r="BC266" s="55"/>
      <c r="BD266" s="55"/>
      <c r="BE266" s="55"/>
      <c r="BF266" s="55"/>
      <c r="BG266" s="55"/>
      <c r="BH266" s="55"/>
      <c r="BI266" s="55"/>
      <c r="BJ266" s="55"/>
      <c r="BK266" s="55"/>
      <c r="BL266" s="55"/>
      <c r="BM266" s="55"/>
      <c r="BN266" s="55"/>
      <c r="BO266" s="55"/>
      <c r="BP266" s="55"/>
      <c r="BQ266" s="55"/>
      <c r="BR266" s="55"/>
      <c r="BS266" s="55"/>
    </row>
    <row r="267" spans="4:71" outlineLevel="1" x14ac:dyDescent="0.2">
      <c r="D267" s="51" t="s">
        <v>182</v>
      </c>
      <c r="J267" s="26"/>
      <c r="L267" s="55"/>
      <c r="M267" s="55"/>
      <c r="N267" s="55"/>
      <c r="O267" s="55"/>
      <c r="P267" s="55"/>
      <c r="Q267" s="55"/>
      <c r="R267" s="55"/>
      <c r="S267" s="55"/>
      <c r="T267" s="55"/>
      <c r="U267" s="55"/>
      <c r="V267" s="55"/>
      <c r="W267" s="55"/>
      <c r="X267" s="55"/>
      <c r="Y267" s="55"/>
      <c r="Z267" s="55"/>
      <c r="AA267" s="55"/>
      <c r="AB267" s="55"/>
      <c r="AC267" s="55"/>
      <c r="AD267" s="55"/>
      <c r="AE267" s="55"/>
      <c r="AF267" s="55"/>
      <c r="AG267" s="55"/>
      <c r="AH267" s="55"/>
      <c r="AI267" s="55"/>
      <c r="AJ267" s="55"/>
      <c r="AK267" s="55"/>
      <c r="AL267" s="55"/>
      <c r="AM267" s="55"/>
      <c r="AN267" s="55"/>
      <c r="AO267" s="55"/>
      <c r="AP267" s="55"/>
      <c r="AQ267" s="55"/>
      <c r="AR267" s="55"/>
      <c r="AS267" s="55"/>
      <c r="AT267" s="55"/>
      <c r="AU267" s="55"/>
      <c r="AV267" s="55"/>
      <c r="AW267" s="55"/>
      <c r="AX267" s="55"/>
      <c r="AY267" s="55"/>
      <c r="AZ267" s="55"/>
      <c r="BA267" s="55"/>
      <c r="BB267" s="55"/>
      <c r="BC267" s="55"/>
      <c r="BD267" s="55"/>
      <c r="BE267" s="55"/>
      <c r="BF267" s="55"/>
      <c r="BG267" s="55"/>
      <c r="BH267" s="55"/>
      <c r="BI267" s="55"/>
      <c r="BJ267" s="55"/>
      <c r="BK267" s="55"/>
      <c r="BL267" s="55"/>
      <c r="BM267" s="55"/>
      <c r="BN267" s="55"/>
      <c r="BO267" s="55"/>
      <c r="BP267" s="55"/>
      <c r="BQ267" s="55"/>
      <c r="BR267" s="55"/>
      <c r="BS267" s="55"/>
    </row>
    <row r="268" spans="4:71" outlineLevel="1" x14ac:dyDescent="0.2">
      <c r="E268" t="s">
        <v>192</v>
      </c>
      <c r="I268" s="30">
        <f t="shared" ref="I268:I270" ca="1" si="85">SUM($L268:$BS268)</f>
        <v>593.37643543984939</v>
      </c>
      <c r="J268" s="26" t="s">
        <v>148</v>
      </c>
      <c r="L268" s="49">
        <f t="shared" ref="L268:AQ268" ca="1" si="86">CA_cost_stop_gas</f>
        <v>0</v>
      </c>
      <c r="M268" s="49">
        <f t="shared" ca="1" si="86"/>
        <v>6.4090766449179659</v>
      </c>
      <c r="N268" s="49">
        <f t="shared" ca="1" si="86"/>
        <v>32.435823628369469</v>
      </c>
      <c r="O268" s="49">
        <f t="shared" ca="1" si="86"/>
        <v>50.908864237736623</v>
      </c>
      <c r="P268" s="49">
        <f t="shared" ca="1" si="86"/>
        <v>46.941462105911178</v>
      </c>
      <c r="Q268" s="49">
        <f t="shared" ca="1" si="86"/>
        <v>51.495202634441178</v>
      </c>
      <c r="R268" s="49">
        <f t="shared" ca="1" si="86"/>
        <v>5.2525106687130006E-5</v>
      </c>
      <c r="S268" s="49">
        <f t="shared" ca="1" si="86"/>
        <v>67.656119999999987</v>
      </c>
      <c r="T268" s="49">
        <f t="shared" ca="1" si="86"/>
        <v>67.558437623762359</v>
      </c>
      <c r="U268" s="49">
        <f t="shared" ca="1" si="86"/>
        <v>67.526685148514844</v>
      </c>
      <c r="V268" s="49">
        <f t="shared" ca="1" si="86"/>
        <v>67.498075247524739</v>
      </c>
      <c r="W268" s="49">
        <f t="shared" ca="1" si="86"/>
        <v>67.492524752475248</v>
      </c>
      <c r="X268" s="49">
        <f t="shared" ca="1" si="86"/>
        <v>67.454110891089115</v>
      </c>
      <c r="Y268" s="49">
        <f t="shared" ca="1" si="86"/>
        <v>0</v>
      </c>
      <c r="Z268" s="49">
        <f t="shared" ca="1" si="86"/>
        <v>0</v>
      </c>
      <c r="AA268" s="49">
        <f t="shared" ca="1" si="86"/>
        <v>0</v>
      </c>
      <c r="AB268" s="49">
        <f t="shared" ca="1" si="86"/>
        <v>0</v>
      </c>
      <c r="AC268" s="49">
        <f t="shared" ca="1" si="86"/>
        <v>0</v>
      </c>
      <c r="AD268" s="49">
        <f t="shared" ca="1" si="86"/>
        <v>0</v>
      </c>
      <c r="AE268" s="49">
        <f t="shared" ca="1" si="86"/>
        <v>0</v>
      </c>
      <c r="AF268" s="49">
        <f t="shared" ca="1" si="86"/>
        <v>0</v>
      </c>
      <c r="AG268" s="49">
        <f t="shared" ca="1" si="86"/>
        <v>0</v>
      </c>
      <c r="AH268" s="49">
        <f t="shared" ca="1" si="86"/>
        <v>0</v>
      </c>
      <c r="AI268" s="49">
        <f t="shared" ca="1" si="86"/>
        <v>0</v>
      </c>
      <c r="AJ268" s="49">
        <f t="shared" ca="1" si="86"/>
        <v>0</v>
      </c>
      <c r="AK268" s="49">
        <f t="shared" ca="1" si="86"/>
        <v>0</v>
      </c>
      <c r="AL268" s="49">
        <f t="shared" ca="1" si="86"/>
        <v>0</v>
      </c>
      <c r="AM268" s="49">
        <f t="shared" ca="1" si="86"/>
        <v>0</v>
      </c>
      <c r="AN268" s="49">
        <f t="shared" ca="1" si="86"/>
        <v>0</v>
      </c>
      <c r="AO268" s="49">
        <f t="shared" ca="1" si="86"/>
        <v>0</v>
      </c>
      <c r="AP268" s="49">
        <f t="shared" ca="1" si="86"/>
        <v>0</v>
      </c>
      <c r="AQ268" s="49">
        <f t="shared" ca="1" si="86"/>
        <v>0</v>
      </c>
      <c r="AR268" s="49">
        <f t="shared" ref="AR268:BS268" ca="1" si="87">CA_cost_stop_gas</f>
        <v>0</v>
      </c>
      <c r="AS268" s="49">
        <f t="shared" ca="1" si="87"/>
        <v>0</v>
      </c>
      <c r="AT268" s="49">
        <f t="shared" ca="1" si="87"/>
        <v>0</v>
      </c>
      <c r="AU268" s="49">
        <f t="shared" ca="1" si="87"/>
        <v>0</v>
      </c>
      <c r="AV268" s="49">
        <f t="shared" ca="1" si="87"/>
        <v>0</v>
      </c>
      <c r="AW268" s="49">
        <f t="shared" ca="1" si="87"/>
        <v>0</v>
      </c>
      <c r="AX268" s="49">
        <f t="shared" ca="1" si="87"/>
        <v>0</v>
      </c>
      <c r="AY268" s="49">
        <f t="shared" ca="1" si="87"/>
        <v>0</v>
      </c>
      <c r="AZ268" s="49">
        <f t="shared" ca="1" si="87"/>
        <v>0</v>
      </c>
      <c r="BA268" s="49">
        <f t="shared" ca="1" si="87"/>
        <v>0</v>
      </c>
      <c r="BB268" s="49">
        <f t="shared" ca="1" si="87"/>
        <v>0</v>
      </c>
      <c r="BC268" s="49">
        <f t="shared" ca="1" si="87"/>
        <v>0</v>
      </c>
      <c r="BD268" s="49">
        <f t="shared" ca="1" si="87"/>
        <v>0</v>
      </c>
      <c r="BE268" s="49">
        <f t="shared" ca="1" si="87"/>
        <v>0</v>
      </c>
      <c r="BF268" s="49">
        <f t="shared" ca="1" si="87"/>
        <v>0</v>
      </c>
      <c r="BG268" s="49">
        <f t="shared" ca="1" si="87"/>
        <v>0</v>
      </c>
      <c r="BH268" s="49">
        <f t="shared" ca="1" si="87"/>
        <v>0</v>
      </c>
      <c r="BI268" s="49">
        <f t="shared" ca="1" si="87"/>
        <v>0</v>
      </c>
      <c r="BJ268" s="49">
        <f t="shared" ca="1" si="87"/>
        <v>0</v>
      </c>
      <c r="BK268" s="49">
        <f t="shared" ca="1" si="87"/>
        <v>0</v>
      </c>
      <c r="BL268" s="49">
        <f t="shared" ca="1" si="87"/>
        <v>0</v>
      </c>
      <c r="BM268" s="49">
        <f t="shared" ca="1" si="87"/>
        <v>0</v>
      </c>
      <c r="BN268" s="49">
        <f t="shared" ca="1" si="87"/>
        <v>0</v>
      </c>
      <c r="BO268" s="49">
        <f t="shared" ca="1" si="87"/>
        <v>0</v>
      </c>
      <c r="BP268" s="49">
        <f t="shared" ca="1" si="87"/>
        <v>0</v>
      </c>
      <c r="BQ268" s="49">
        <f t="shared" ca="1" si="87"/>
        <v>0</v>
      </c>
      <c r="BR268" s="49">
        <f t="shared" ca="1" si="87"/>
        <v>0</v>
      </c>
      <c r="BS268" s="49">
        <f t="shared" ca="1" si="87"/>
        <v>0</v>
      </c>
    </row>
    <row r="269" spans="4:71" outlineLevel="1" x14ac:dyDescent="0.2">
      <c r="E269" t="s">
        <v>193</v>
      </c>
      <c r="I269" s="30">
        <f>I252</f>
        <v>0</v>
      </c>
      <c r="J269" s="26" t="s">
        <v>148</v>
      </c>
      <c r="L269" s="49">
        <f ca="1">(Marine!CA_opex_to_recover+L233)+(K271*(1+Marine!int_rate_cf_costs))</f>
        <v>37.1</v>
      </c>
      <c r="M269" s="49">
        <f ca="1">(Marine!CA_opex_to_recover+M233)+(L271*(1+Marine!int_rate_cf_costs))</f>
        <v>138.87125591124192</v>
      </c>
      <c r="N269" s="49">
        <f ca="1">(Marine!CA_opex_to_recover+N233)+(M271*(1+Marine!int_rate_cf_costs))</f>
        <v>193.40466174018144</v>
      </c>
      <c r="O269" s="49">
        <f ca="1">(Marine!CA_opex_to_recover+O233)+(N271*(1+Marine!int_rate_cf_costs))</f>
        <v>249.17160524404989</v>
      </c>
      <c r="P269" s="49">
        <f ca="1">(Marine!CA_opex_to_recover+P233)+(O271*(1+Marine!int_rate_cf_costs))</f>
        <v>137.09326574004197</v>
      </c>
      <c r="Q269" s="49">
        <f ca="1">(Marine!CA_opex_to_recover+Q233)+(P271*(1+Marine!int_rate_cf_costs))</f>
        <v>-136.69522661693517</v>
      </c>
      <c r="R269" s="49">
        <f ca="1">(Marine!CA_opex_to_recover+R233)+(Q271*(1+Marine!int_rate_cf_costs))</f>
        <v>0</v>
      </c>
      <c r="S269" s="49">
        <f ca="1">(Marine!CA_opex_to_recover+S233)+(R271*(1+Marine!int_rate_cf_costs))</f>
        <v>0</v>
      </c>
      <c r="T269" s="49">
        <f ca="1">(Marine!CA_opex_to_recover+T233)+(S271*(1+Marine!int_rate_cf_costs))</f>
        <v>0</v>
      </c>
      <c r="U269" s="49">
        <f ca="1">(Marine!CA_opex_to_recover+U233)+(T271*(1+Marine!int_rate_cf_costs))</f>
        <v>0</v>
      </c>
      <c r="V269" s="49">
        <f ca="1">(Marine!CA_opex_to_recover+V233)+(U271*(1+Marine!int_rate_cf_costs))</f>
        <v>0</v>
      </c>
      <c r="W269" s="49">
        <f ca="1">(Marine!CA_opex_to_recover+W233)+(V271*(1+Marine!int_rate_cf_costs))</f>
        <v>0</v>
      </c>
      <c r="X269" s="49">
        <f ca="1">(Marine!CA_opex_to_recover+X233)+(W271*(1+Marine!int_rate_cf_costs))</f>
        <v>0</v>
      </c>
      <c r="Y269" s="49">
        <f ca="1">(Marine!CA_opex_to_recover+Y233)+(X271*(1+Marine!int_rate_cf_costs))</f>
        <v>0</v>
      </c>
      <c r="Z269" s="49">
        <f ca="1">(Marine!CA_opex_to_recover+Z233)+(Y271*(1+Marine!int_rate_cf_costs))</f>
        <v>0</v>
      </c>
      <c r="AA269" s="49">
        <f ca="1">(Marine!CA_opex_to_recover+AA233)+(Z271*(1+Marine!int_rate_cf_costs))</f>
        <v>0</v>
      </c>
      <c r="AB269" s="49">
        <f ca="1">(Marine!CA_opex_to_recover+AB233)+(AA271*(1+Marine!int_rate_cf_costs))</f>
        <v>0</v>
      </c>
      <c r="AC269" s="49">
        <f ca="1">(Marine!CA_opex_to_recover+AC233)+(AB271*(1+Marine!int_rate_cf_costs))</f>
        <v>0</v>
      </c>
      <c r="AD269" s="49">
        <f ca="1">(Marine!CA_opex_to_recover+AD233)+(AC271*(1+Marine!int_rate_cf_costs))</f>
        <v>0</v>
      </c>
      <c r="AE269" s="49">
        <f ca="1">(Marine!CA_opex_to_recover+AE233)+(AD271*(1+Marine!int_rate_cf_costs))</f>
        <v>0</v>
      </c>
      <c r="AF269" s="49">
        <f ca="1">(Marine!CA_opex_to_recover+AF233)+(AE271*(1+Marine!int_rate_cf_costs))</f>
        <v>0</v>
      </c>
      <c r="AG269" s="49">
        <f ca="1">(Marine!CA_opex_to_recover+AG233)+(AF271*(1+Marine!int_rate_cf_costs))</f>
        <v>0</v>
      </c>
      <c r="AH269" s="49">
        <f ca="1">(Marine!CA_opex_to_recover+AH233)+(AG271*(1+Marine!int_rate_cf_costs))</f>
        <v>0</v>
      </c>
      <c r="AI269" s="49">
        <f ca="1">(Marine!CA_opex_to_recover+AI233)+(AH271*(1+Marine!int_rate_cf_costs))</f>
        <v>0</v>
      </c>
      <c r="AJ269" s="49">
        <f ca="1">(Marine!CA_opex_to_recover+AJ233)+(AI271*(1+Marine!int_rate_cf_costs))</f>
        <v>0</v>
      </c>
      <c r="AK269" s="49">
        <f ca="1">(Marine!CA_opex_to_recover+AK233)+(AJ271*(1+Marine!int_rate_cf_costs))</f>
        <v>0</v>
      </c>
      <c r="AL269" s="49">
        <f ca="1">(Marine!CA_opex_to_recover+AL233)+(AK271*(1+Marine!int_rate_cf_costs))</f>
        <v>0</v>
      </c>
      <c r="AM269" s="49">
        <f ca="1">(Marine!CA_opex_to_recover+AM233)+(AL271*(1+Marine!int_rate_cf_costs))</f>
        <v>0</v>
      </c>
      <c r="AN269" s="49">
        <f ca="1">(Marine!CA_opex_to_recover+AN233)+(AM271*(1+Marine!int_rate_cf_costs))</f>
        <v>0</v>
      </c>
      <c r="AO269" s="49">
        <f ca="1">(Marine!CA_opex_to_recover+AO233)+(AN271*(1+Marine!int_rate_cf_costs))</f>
        <v>0</v>
      </c>
      <c r="AP269" s="49">
        <f ca="1">(Marine!CA_opex_to_recover+AP233)+(AO271*(1+Marine!int_rate_cf_costs))</f>
        <v>0</v>
      </c>
      <c r="AQ269" s="49">
        <f ca="1">(Marine!CA_opex_to_recover+AQ233)+(AP271*(1+Marine!int_rate_cf_costs))</f>
        <v>0</v>
      </c>
      <c r="AR269" s="49">
        <f ca="1">(Marine!CA_opex_to_recover+AR233)+(AQ271*(1+Marine!int_rate_cf_costs))</f>
        <v>0</v>
      </c>
      <c r="AS269" s="49">
        <f ca="1">(Marine!CA_opex_to_recover+AS233)+(AR271*(1+Marine!int_rate_cf_costs))</f>
        <v>0</v>
      </c>
      <c r="AT269" s="49">
        <f ca="1">(Marine!CA_opex_to_recover+AT233)+(AS271*(1+Marine!int_rate_cf_costs))</f>
        <v>0</v>
      </c>
      <c r="AU269" s="49">
        <f ca="1">(Marine!CA_opex_to_recover+AU233)+(AT271*(1+Marine!int_rate_cf_costs))</f>
        <v>0</v>
      </c>
      <c r="AV269" s="49">
        <f ca="1">(Marine!CA_opex_to_recover+AV233)+(AU271*(1+Marine!int_rate_cf_costs))</f>
        <v>0</v>
      </c>
      <c r="AW269" s="49">
        <f ca="1">(Marine!CA_opex_to_recover+AW233)+(AV271*(1+Marine!int_rate_cf_costs))</f>
        <v>0</v>
      </c>
      <c r="AX269" s="49">
        <f ca="1">(Marine!CA_opex_to_recover+AX233)+(AW271*(1+Marine!int_rate_cf_costs))</f>
        <v>0</v>
      </c>
      <c r="AY269" s="49">
        <f ca="1">(Marine!CA_opex_to_recover+AY233)+(AX271*(1+Marine!int_rate_cf_costs))</f>
        <v>0</v>
      </c>
      <c r="AZ269" s="49">
        <f ca="1">(Marine!CA_opex_to_recover+AZ233)+(AY271*(1+Marine!int_rate_cf_costs))</f>
        <v>0</v>
      </c>
      <c r="BA269" s="49">
        <f ca="1">(Marine!CA_opex_to_recover+BA233)+(AZ271*(1+Marine!int_rate_cf_costs))</f>
        <v>0</v>
      </c>
      <c r="BB269" s="49">
        <f ca="1">(Marine!CA_opex_to_recover+BB233)+(BA271*(1+Marine!int_rate_cf_costs))</f>
        <v>0</v>
      </c>
      <c r="BC269" s="49">
        <f ca="1">(Marine!CA_opex_to_recover+BC233)+(BB271*(1+Marine!int_rate_cf_costs))</f>
        <v>0</v>
      </c>
      <c r="BD269" s="49">
        <f ca="1">(Marine!CA_opex_to_recover+BD233)+(BC271*(1+Marine!int_rate_cf_costs))</f>
        <v>0</v>
      </c>
      <c r="BE269" s="49">
        <f ca="1">(Marine!CA_opex_to_recover+BE233)+(BD271*(1+Marine!int_rate_cf_costs))</f>
        <v>0</v>
      </c>
      <c r="BF269" s="49">
        <f ca="1">(Marine!CA_opex_to_recover+BF233)+(BE271*(1+Marine!int_rate_cf_costs))</f>
        <v>0</v>
      </c>
      <c r="BG269" s="49">
        <f ca="1">(Marine!CA_opex_to_recover+BG233)+(BF271*(1+Marine!int_rate_cf_costs))</f>
        <v>0</v>
      </c>
      <c r="BH269" s="49">
        <f ca="1">(Marine!CA_opex_to_recover+BH233)+(BG271*(1+Marine!int_rate_cf_costs))</f>
        <v>0</v>
      </c>
      <c r="BI269" s="49">
        <f ca="1">(Marine!CA_opex_to_recover+BI233)+(BH271*(1+Marine!int_rate_cf_costs))</f>
        <v>0</v>
      </c>
      <c r="BJ269" s="49">
        <f ca="1">(Marine!CA_opex_to_recover+BJ233)+(BI271*(1+Marine!int_rate_cf_costs))</f>
        <v>0</v>
      </c>
      <c r="BK269" s="49">
        <f ca="1">(Marine!CA_opex_to_recover+BK233)+(BJ271*(1+Marine!int_rate_cf_costs))</f>
        <v>0</v>
      </c>
      <c r="BL269" s="49">
        <f ca="1">(Marine!CA_opex_to_recover+BL233)+(BK271*(1+Marine!int_rate_cf_costs))</f>
        <v>0</v>
      </c>
      <c r="BM269" s="49">
        <f ca="1">(Marine!CA_opex_to_recover+BM233)+(BL271*(1+Marine!int_rate_cf_costs))</f>
        <v>0</v>
      </c>
      <c r="BN269" s="49">
        <f ca="1">(Marine!CA_opex_to_recover+BN233)+(BM271*(1+Marine!int_rate_cf_costs))</f>
        <v>0</v>
      </c>
      <c r="BO269" s="49">
        <f ca="1">(Marine!CA_opex_to_recover+BO233)+(BN271*(1+Marine!int_rate_cf_costs))</f>
        <v>0</v>
      </c>
      <c r="BP269" s="49">
        <f ca="1">(Marine!CA_opex_to_recover+BP233)+(BO271*(1+Marine!int_rate_cf_costs))</f>
        <v>0</v>
      </c>
      <c r="BQ269" s="49">
        <f ca="1">(Marine!CA_opex_to_recover+BQ233)+(BP271*(1+Marine!int_rate_cf_costs))</f>
        <v>0</v>
      </c>
      <c r="BR269" s="49">
        <f ca="1">(Marine!CA_opex_to_recover+BR233)+(BQ271*(1+Marine!int_rate_cf_costs))</f>
        <v>0</v>
      </c>
      <c r="BS269" s="49">
        <f ca="1">(Marine!CA_opex_to_recover+BS233)+(BR271*(1+Marine!int_rate_cf_costs))</f>
        <v>0</v>
      </c>
    </row>
    <row r="270" spans="4:71" outlineLevel="1" x14ac:dyDescent="0.2">
      <c r="E270" t="s">
        <v>194</v>
      </c>
      <c r="H270" s="56" t="b">
        <f ca="1">ROUND(I270,2)=-ROUND(I269,2)</f>
        <v>1</v>
      </c>
      <c r="I270" s="30">
        <f t="shared" ca="1" si="85"/>
        <v>-5.6843418860808015E-14</v>
      </c>
      <c r="J270" s="26" t="s">
        <v>148</v>
      </c>
      <c r="L270" s="49">
        <f ca="1">-MIN(L269,L268)</f>
        <v>0</v>
      </c>
      <c r="M270" s="49">
        <f t="shared" ref="M270:BS270" ca="1" si="88">-MIN(M269,M268)</f>
        <v>-6.4090766449179659</v>
      </c>
      <c r="N270" s="49">
        <f t="shared" ca="1" si="88"/>
        <v>-32.435823628369469</v>
      </c>
      <c r="O270" s="49">
        <f t="shared" ca="1" si="88"/>
        <v>-50.908864237736623</v>
      </c>
      <c r="P270" s="49">
        <f t="shared" ca="1" si="88"/>
        <v>-46.941462105911178</v>
      </c>
      <c r="Q270" s="49">
        <f t="shared" ca="1" si="88"/>
        <v>136.69522661693517</v>
      </c>
      <c r="R270" s="49">
        <f t="shared" ca="1" si="88"/>
        <v>0</v>
      </c>
      <c r="S270" s="49">
        <f t="shared" ca="1" si="88"/>
        <v>0</v>
      </c>
      <c r="T270" s="49">
        <f t="shared" ca="1" si="88"/>
        <v>0</v>
      </c>
      <c r="U270" s="49">
        <f t="shared" ca="1" si="88"/>
        <v>0</v>
      </c>
      <c r="V270" s="49">
        <f t="shared" ca="1" si="88"/>
        <v>0</v>
      </c>
      <c r="W270" s="49">
        <f t="shared" ca="1" si="88"/>
        <v>0</v>
      </c>
      <c r="X270" s="49">
        <f t="shared" ca="1" si="88"/>
        <v>0</v>
      </c>
      <c r="Y270" s="49">
        <f t="shared" ca="1" si="88"/>
        <v>0</v>
      </c>
      <c r="Z270" s="49">
        <f t="shared" ca="1" si="88"/>
        <v>0</v>
      </c>
      <c r="AA270" s="49">
        <f t="shared" ca="1" si="88"/>
        <v>0</v>
      </c>
      <c r="AB270" s="49">
        <f t="shared" ca="1" si="88"/>
        <v>0</v>
      </c>
      <c r="AC270" s="49">
        <f t="shared" ca="1" si="88"/>
        <v>0</v>
      </c>
      <c r="AD270" s="49">
        <f t="shared" ca="1" si="88"/>
        <v>0</v>
      </c>
      <c r="AE270" s="49">
        <f t="shared" ca="1" si="88"/>
        <v>0</v>
      </c>
      <c r="AF270" s="49">
        <f t="shared" ca="1" si="88"/>
        <v>0</v>
      </c>
      <c r="AG270" s="49">
        <f t="shared" ca="1" si="88"/>
        <v>0</v>
      </c>
      <c r="AH270" s="49">
        <f t="shared" ca="1" si="88"/>
        <v>0</v>
      </c>
      <c r="AI270" s="49">
        <f t="shared" ca="1" si="88"/>
        <v>0</v>
      </c>
      <c r="AJ270" s="49">
        <f t="shared" ca="1" si="88"/>
        <v>0</v>
      </c>
      <c r="AK270" s="49">
        <f t="shared" ca="1" si="88"/>
        <v>0</v>
      </c>
      <c r="AL270" s="49">
        <f t="shared" ca="1" si="88"/>
        <v>0</v>
      </c>
      <c r="AM270" s="49">
        <f t="shared" ca="1" si="88"/>
        <v>0</v>
      </c>
      <c r="AN270" s="49">
        <f t="shared" ca="1" si="88"/>
        <v>0</v>
      </c>
      <c r="AO270" s="49">
        <f t="shared" ca="1" si="88"/>
        <v>0</v>
      </c>
      <c r="AP270" s="49">
        <f t="shared" ca="1" si="88"/>
        <v>0</v>
      </c>
      <c r="AQ270" s="49">
        <f t="shared" ca="1" si="88"/>
        <v>0</v>
      </c>
      <c r="AR270" s="49">
        <f t="shared" ca="1" si="88"/>
        <v>0</v>
      </c>
      <c r="AS270" s="49">
        <f t="shared" ca="1" si="88"/>
        <v>0</v>
      </c>
      <c r="AT270" s="49">
        <f t="shared" ca="1" si="88"/>
        <v>0</v>
      </c>
      <c r="AU270" s="49">
        <f t="shared" ca="1" si="88"/>
        <v>0</v>
      </c>
      <c r="AV270" s="49">
        <f t="shared" ca="1" si="88"/>
        <v>0</v>
      </c>
      <c r="AW270" s="49">
        <f t="shared" ca="1" si="88"/>
        <v>0</v>
      </c>
      <c r="AX270" s="49">
        <f t="shared" ca="1" si="88"/>
        <v>0</v>
      </c>
      <c r="AY270" s="49">
        <f t="shared" ca="1" si="88"/>
        <v>0</v>
      </c>
      <c r="AZ270" s="49">
        <f t="shared" ca="1" si="88"/>
        <v>0</v>
      </c>
      <c r="BA270" s="49">
        <f t="shared" ca="1" si="88"/>
        <v>0</v>
      </c>
      <c r="BB270" s="49">
        <f t="shared" ca="1" si="88"/>
        <v>0</v>
      </c>
      <c r="BC270" s="49">
        <f t="shared" ca="1" si="88"/>
        <v>0</v>
      </c>
      <c r="BD270" s="49">
        <f t="shared" ca="1" si="88"/>
        <v>0</v>
      </c>
      <c r="BE270" s="49">
        <f t="shared" ca="1" si="88"/>
        <v>0</v>
      </c>
      <c r="BF270" s="49">
        <f t="shared" ca="1" si="88"/>
        <v>0</v>
      </c>
      <c r="BG270" s="49">
        <f t="shared" ca="1" si="88"/>
        <v>0</v>
      </c>
      <c r="BH270" s="49">
        <f t="shared" ca="1" si="88"/>
        <v>0</v>
      </c>
      <c r="BI270" s="49">
        <f t="shared" ca="1" si="88"/>
        <v>0</v>
      </c>
      <c r="BJ270" s="49">
        <f t="shared" ca="1" si="88"/>
        <v>0</v>
      </c>
      <c r="BK270" s="49">
        <f t="shared" ca="1" si="88"/>
        <v>0</v>
      </c>
      <c r="BL270" s="49">
        <f t="shared" ca="1" si="88"/>
        <v>0</v>
      </c>
      <c r="BM270" s="49">
        <f t="shared" ca="1" si="88"/>
        <v>0</v>
      </c>
      <c r="BN270" s="49">
        <f t="shared" ca="1" si="88"/>
        <v>0</v>
      </c>
      <c r="BO270" s="49">
        <f t="shared" ca="1" si="88"/>
        <v>0</v>
      </c>
      <c r="BP270" s="49">
        <f t="shared" ca="1" si="88"/>
        <v>0</v>
      </c>
      <c r="BQ270" s="49">
        <f t="shared" ca="1" si="88"/>
        <v>0</v>
      </c>
      <c r="BR270" s="49">
        <f t="shared" ca="1" si="88"/>
        <v>0</v>
      </c>
      <c r="BS270" s="49">
        <f t="shared" ca="1" si="88"/>
        <v>0</v>
      </c>
    </row>
    <row r="271" spans="4:71" outlineLevel="1" x14ac:dyDescent="0.2">
      <c r="E271" t="s">
        <v>195</v>
      </c>
      <c r="J271" s="26"/>
      <c r="L271" s="49">
        <f ca="1">L269+L270</f>
        <v>37.1</v>
      </c>
      <c r="M271" s="49">
        <f t="shared" ref="M271:BS271" ca="1" si="89">M269+M270</f>
        <v>132.46217926632394</v>
      </c>
      <c r="N271" s="49">
        <f t="shared" ca="1" si="89"/>
        <v>160.96883811181198</v>
      </c>
      <c r="O271" s="49">
        <f t="shared" ca="1" si="89"/>
        <v>198.26274100631326</v>
      </c>
      <c r="P271" s="49">
        <f t="shared" ca="1" si="89"/>
        <v>90.1518036341308</v>
      </c>
      <c r="Q271" s="49">
        <f t="shared" ca="1" si="89"/>
        <v>0</v>
      </c>
      <c r="R271" s="49">
        <f t="shared" ca="1" si="89"/>
        <v>0</v>
      </c>
      <c r="S271" s="49">
        <f t="shared" ca="1" si="89"/>
        <v>0</v>
      </c>
      <c r="T271" s="49">
        <f t="shared" ca="1" si="89"/>
        <v>0</v>
      </c>
      <c r="U271" s="49">
        <f t="shared" ca="1" si="89"/>
        <v>0</v>
      </c>
      <c r="V271" s="49">
        <f t="shared" ca="1" si="89"/>
        <v>0</v>
      </c>
      <c r="W271" s="49">
        <f t="shared" ca="1" si="89"/>
        <v>0</v>
      </c>
      <c r="X271" s="49">
        <f t="shared" ca="1" si="89"/>
        <v>0</v>
      </c>
      <c r="Y271" s="49">
        <f t="shared" ca="1" si="89"/>
        <v>0</v>
      </c>
      <c r="Z271" s="49">
        <f t="shared" ca="1" si="89"/>
        <v>0</v>
      </c>
      <c r="AA271" s="49">
        <f t="shared" ca="1" si="89"/>
        <v>0</v>
      </c>
      <c r="AB271" s="49">
        <f t="shared" ca="1" si="89"/>
        <v>0</v>
      </c>
      <c r="AC271" s="49">
        <f t="shared" ca="1" si="89"/>
        <v>0</v>
      </c>
      <c r="AD271" s="49">
        <f t="shared" ca="1" si="89"/>
        <v>0</v>
      </c>
      <c r="AE271" s="49">
        <f t="shared" ca="1" si="89"/>
        <v>0</v>
      </c>
      <c r="AF271" s="49">
        <f t="shared" ca="1" si="89"/>
        <v>0</v>
      </c>
      <c r="AG271" s="49">
        <f t="shared" ca="1" si="89"/>
        <v>0</v>
      </c>
      <c r="AH271" s="49">
        <f t="shared" ca="1" si="89"/>
        <v>0</v>
      </c>
      <c r="AI271" s="49">
        <f t="shared" ca="1" si="89"/>
        <v>0</v>
      </c>
      <c r="AJ271" s="49">
        <f t="shared" ca="1" si="89"/>
        <v>0</v>
      </c>
      <c r="AK271" s="49">
        <f t="shared" ca="1" si="89"/>
        <v>0</v>
      </c>
      <c r="AL271" s="49">
        <f t="shared" ca="1" si="89"/>
        <v>0</v>
      </c>
      <c r="AM271" s="49">
        <f t="shared" ca="1" si="89"/>
        <v>0</v>
      </c>
      <c r="AN271" s="49">
        <f t="shared" ca="1" si="89"/>
        <v>0</v>
      </c>
      <c r="AO271" s="49">
        <f t="shared" ca="1" si="89"/>
        <v>0</v>
      </c>
      <c r="AP271" s="49">
        <f t="shared" ca="1" si="89"/>
        <v>0</v>
      </c>
      <c r="AQ271" s="49">
        <f t="shared" ca="1" si="89"/>
        <v>0</v>
      </c>
      <c r="AR271" s="49">
        <f t="shared" ca="1" si="89"/>
        <v>0</v>
      </c>
      <c r="AS271" s="49">
        <f t="shared" ca="1" si="89"/>
        <v>0</v>
      </c>
      <c r="AT271" s="49">
        <f t="shared" ca="1" si="89"/>
        <v>0</v>
      </c>
      <c r="AU271" s="49">
        <f t="shared" ca="1" si="89"/>
        <v>0</v>
      </c>
      <c r="AV271" s="49">
        <f t="shared" ca="1" si="89"/>
        <v>0</v>
      </c>
      <c r="AW271" s="49">
        <f t="shared" ca="1" si="89"/>
        <v>0</v>
      </c>
      <c r="AX271" s="49">
        <f t="shared" ca="1" si="89"/>
        <v>0</v>
      </c>
      <c r="AY271" s="49">
        <f t="shared" ca="1" si="89"/>
        <v>0</v>
      </c>
      <c r="AZ271" s="49">
        <f t="shared" ca="1" si="89"/>
        <v>0</v>
      </c>
      <c r="BA271" s="49">
        <f t="shared" ca="1" si="89"/>
        <v>0</v>
      </c>
      <c r="BB271" s="49">
        <f t="shared" ca="1" si="89"/>
        <v>0</v>
      </c>
      <c r="BC271" s="49">
        <f t="shared" ca="1" si="89"/>
        <v>0</v>
      </c>
      <c r="BD271" s="49">
        <f t="shared" ca="1" si="89"/>
        <v>0</v>
      </c>
      <c r="BE271" s="49">
        <f t="shared" ca="1" si="89"/>
        <v>0</v>
      </c>
      <c r="BF271" s="49">
        <f t="shared" ca="1" si="89"/>
        <v>0</v>
      </c>
      <c r="BG271" s="49">
        <f t="shared" ca="1" si="89"/>
        <v>0</v>
      </c>
      <c r="BH271" s="49">
        <f t="shared" ca="1" si="89"/>
        <v>0</v>
      </c>
      <c r="BI271" s="49">
        <f t="shared" ca="1" si="89"/>
        <v>0</v>
      </c>
      <c r="BJ271" s="49">
        <f t="shared" ca="1" si="89"/>
        <v>0</v>
      </c>
      <c r="BK271" s="49">
        <f t="shared" ca="1" si="89"/>
        <v>0</v>
      </c>
      <c r="BL271" s="49">
        <f t="shared" ca="1" si="89"/>
        <v>0</v>
      </c>
      <c r="BM271" s="49">
        <f t="shared" ca="1" si="89"/>
        <v>0</v>
      </c>
      <c r="BN271" s="49">
        <f t="shared" ca="1" si="89"/>
        <v>0</v>
      </c>
      <c r="BO271" s="49">
        <f t="shared" ca="1" si="89"/>
        <v>0</v>
      </c>
      <c r="BP271" s="49">
        <f t="shared" ca="1" si="89"/>
        <v>0</v>
      </c>
      <c r="BQ271" s="49">
        <f t="shared" ca="1" si="89"/>
        <v>0</v>
      </c>
      <c r="BR271" s="49">
        <f t="shared" ca="1" si="89"/>
        <v>0</v>
      </c>
      <c r="BS271" s="49">
        <f t="shared" ca="1" si="89"/>
        <v>0</v>
      </c>
    </row>
    <row r="272" spans="4:71" outlineLevel="1" x14ac:dyDescent="0.2">
      <c r="J272" s="26"/>
      <c r="L272" s="55"/>
      <c r="M272" s="55"/>
      <c r="N272" s="55"/>
      <c r="O272" s="55"/>
      <c r="P272" s="55"/>
      <c r="Q272" s="55"/>
      <c r="R272" s="55"/>
      <c r="S272" s="55"/>
      <c r="T272" s="55"/>
      <c r="U272" s="55"/>
      <c r="V272" s="55"/>
      <c r="W272" s="55"/>
      <c r="X272" s="55"/>
      <c r="Y272" s="55"/>
      <c r="Z272" s="55"/>
      <c r="AA272" s="55"/>
      <c r="AB272" s="55"/>
      <c r="AC272" s="55"/>
      <c r="AD272" s="55"/>
      <c r="AE272" s="55"/>
      <c r="AF272" s="55"/>
      <c r="AG272" s="55"/>
      <c r="AH272" s="55"/>
      <c r="AI272" s="55"/>
      <c r="AJ272" s="55"/>
      <c r="AK272" s="55"/>
      <c r="AL272" s="55"/>
      <c r="AM272" s="55"/>
      <c r="AN272" s="55"/>
      <c r="AO272" s="55"/>
      <c r="AP272" s="55"/>
      <c r="AQ272" s="55"/>
      <c r="AR272" s="55"/>
      <c r="AS272" s="55"/>
      <c r="AT272" s="55"/>
      <c r="AU272" s="55"/>
      <c r="AV272" s="55"/>
      <c r="AW272" s="55"/>
      <c r="AX272" s="55"/>
      <c r="AY272" s="55"/>
      <c r="AZ272" s="55"/>
      <c r="BA272" s="55"/>
      <c r="BB272" s="55"/>
      <c r="BC272" s="55"/>
      <c r="BD272" s="55"/>
      <c r="BE272" s="55"/>
      <c r="BF272" s="55"/>
      <c r="BG272" s="55"/>
      <c r="BH272" s="55"/>
      <c r="BI272" s="55"/>
      <c r="BJ272" s="55"/>
      <c r="BK272" s="55"/>
      <c r="BL272" s="55"/>
      <c r="BM272" s="55"/>
      <c r="BN272" s="55"/>
      <c r="BO272" s="55"/>
      <c r="BP272" s="55"/>
      <c r="BQ272" s="55"/>
      <c r="BR272" s="55"/>
      <c r="BS272" s="55"/>
    </row>
    <row r="273" spans="4:71" outlineLevel="1" x14ac:dyDescent="0.2">
      <c r="D273" s="51" t="s">
        <v>200</v>
      </c>
      <c r="J273" s="26"/>
      <c r="L273" s="55"/>
      <c r="M273" s="55"/>
      <c r="N273" s="55"/>
      <c r="O273" s="55"/>
      <c r="P273" s="55"/>
      <c r="Q273" s="55"/>
      <c r="R273" s="55"/>
      <c r="S273" s="55"/>
      <c r="T273" s="55"/>
      <c r="U273" s="55"/>
      <c r="V273" s="55"/>
      <c r="W273" s="55"/>
      <c r="X273" s="55"/>
      <c r="Y273" s="55"/>
      <c r="Z273" s="55"/>
      <c r="AA273" s="55"/>
      <c r="AB273" s="55"/>
      <c r="AC273" s="55"/>
      <c r="AD273" s="55"/>
      <c r="AE273" s="55"/>
      <c r="AF273" s="55"/>
      <c r="AG273" s="55"/>
      <c r="AH273" s="55"/>
      <c r="AI273" s="55"/>
      <c r="AJ273" s="55"/>
      <c r="AK273" s="55"/>
      <c r="AL273" s="55"/>
      <c r="AM273" s="55"/>
      <c r="AN273" s="55"/>
      <c r="AO273" s="55"/>
      <c r="AP273" s="55"/>
      <c r="AQ273" s="55"/>
      <c r="AR273" s="55"/>
      <c r="AS273" s="55"/>
      <c r="AT273" s="55"/>
      <c r="AU273" s="55"/>
      <c r="AV273" s="55"/>
      <c r="AW273" s="55"/>
      <c r="AX273" s="55"/>
      <c r="AY273" s="55"/>
      <c r="AZ273" s="55"/>
      <c r="BA273" s="55"/>
      <c r="BB273" s="55"/>
      <c r="BC273" s="55"/>
      <c r="BD273" s="55"/>
      <c r="BE273" s="55"/>
      <c r="BF273" s="55"/>
      <c r="BG273" s="55"/>
      <c r="BH273" s="55"/>
      <c r="BI273" s="55"/>
      <c r="BJ273" s="55"/>
      <c r="BK273" s="55"/>
      <c r="BL273" s="55"/>
      <c r="BM273" s="55"/>
      <c r="BN273" s="55"/>
      <c r="BO273" s="55"/>
      <c r="BP273" s="55"/>
      <c r="BQ273" s="55"/>
      <c r="BR273" s="55"/>
      <c r="BS273" s="55"/>
    </row>
    <row r="274" spans="4:71" outlineLevel="1" x14ac:dyDescent="0.2">
      <c r="E274" t="s">
        <v>192</v>
      </c>
      <c r="I274" s="30">
        <f t="shared" ref="I274:I276" ca="1" si="90">SUM($L274:$BS274)</f>
        <v>593.37643543984939</v>
      </c>
      <c r="J274" s="26" t="s">
        <v>148</v>
      </c>
      <c r="L274" s="49">
        <f t="shared" ref="L274:AQ274" ca="1" si="91">CA_cost_stop_gas+L270</f>
        <v>0</v>
      </c>
      <c r="M274" s="49">
        <f t="shared" ca="1" si="91"/>
        <v>0</v>
      </c>
      <c r="N274" s="49">
        <f t="shared" ca="1" si="91"/>
        <v>0</v>
      </c>
      <c r="O274" s="49">
        <f t="shared" ca="1" si="91"/>
        <v>0</v>
      </c>
      <c r="P274" s="49">
        <f t="shared" ca="1" si="91"/>
        <v>0</v>
      </c>
      <c r="Q274" s="49">
        <f t="shared" ca="1" si="91"/>
        <v>188.19042925137634</v>
      </c>
      <c r="R274" s="49">
        <f t="shared" ca="1" si="91"/>
        <v>5.2525106687130006E-5</v>
      </c>
      <c r="S274" s="49">
        <f t="shared" ca="1" si="91"/>
        <v>67.656119999999987</v>
      </c>
      <c r="T274" s="49">
        <f t="shared" ca="1" si="91"/>
        <v>67.558437623762359</v>
      </c>
      <c r="U274" s="49">
        <f t="shared" ca="1" si="91"/>
        <v>67.526685148514844</v>
      </c>
      <c r="V274" s="49">
        <f t="shared" ca="1" si="91"/>
        <v>67.498075247524739</v>
      </c>
      <c r="W274" s="49">
        <f t="shared" ca="1" si="91"/>
        <v>67.492524752475248</v>
      </c>
      <c r="X274" s="49">
        <f t="shared" ca="1" si="91"/>
        <v>67.454110891089115</v>
      </c>
      <c r="Y274" s="49">
        <f t="shared" ca="1" si="91"/>
        <v>0</v>
      </c>
      <c r="Z274" s="49">
        <f t="shared" ca="1" si="91"/>
        <v>0</v>
      </c>
      <c r="AA274" s="49">
        <f t="shared" ca="1" si="91"/>
        <v>0</v>
      </c>
      <c r="AB274" s="49">
        <f t="shared" ca="1" si="91"/>
        <v>0</v>
      </c>
      <c r="AC274" s="49">
        <f t="shared" ca="1" si="91"/>
        <v>0</v>
      </c>
      <c r="AD274" s="49">
        <f t="shared" ca="1" si="91"/>
        <v>0</v>
      </c>
      <c r="AE274" s="49">
        <f t="shared" ca="1" si="91"/>
        <v>0</v>
      </c>
      <c r="AF274" s="49">
        <f t="shared" ca="1" si="91"/>
        <v>0</v>
      </c>
      <c r="AG274" s="49">
        <f t="shared" ca="1" si="91"/>
        <v>0</v>
      </c>
      <c r="AH274" s="49">
        <f t="shared" ca="1" si="91"/>
        <v>0</v>
      </c>
      <c r="AI274" s="49">
        <f t="shared" ca="1" si="91"/>
        <v>0</v>
      </c>
      <c r="AJ274" s="49">
        <f t="shared" ca="1" si="91"/>
        <v>0</v>
      </c>
      <c r="AK274" s="49">
        <f t="shared" ca="1" si="91"/>
        <v>0</v>
      </c>
      <c r="AL274" s="49">
        <f t="shared" ca="1" si="91"/>
        <v>0</v>
      </c>
      <c r="AM274" s="49">
        <f t="shared" ca="1" si="91"/>
        <v>0</v>
      </c>
      <c r="AN274" s="49">
        <f t="shared" ca="1" si="91"/>
        <v>0</v>
      </c>
      <c r="AO274" s="49">
        <f t="shared" ca="1" si="91"/>
        <v>0</v>
      </c>
      <c r="AP274" s="49">
        <f t="shared" ca="1" si="91"/>
        <v>0</v>
      </c>
      <c r="AQ274" s="49">
        <f t="shared" ca="1" si="91"/>
        <v>0</v>
      </c>
      <c r="AR274" s="49">
        <f t="shared" ref="AR274:BS274" ca="1" si="92">CA_cost_stop_gas+AR270</f>
        <v>0</v>
      </c>
      <c r="AS274" s="49">
        <f t="shared" ca="1" si="92"/>
        <v>0</v>
      </c>
      <c r="AT274" s="49">
        <f t="shared" ca="1" si="92"/>
        <v>0</v>
      </c>
      <c r="AU274" s="49">
        <f t="shared" ca="1" si="92"/>
        <v>0</v>
      </c>
      <c r="AV274" s="49">
        <f t="shared" ca="1" si="92"/>
        <v>0</v>
      </c>
      <c r="AW274" s="49">
        <f t="shared" ca="1" si="92"/>
        <v>0</v>
      </c>
      <c r="AX274" s="49">
        <f t="shared" ca="1" si="92"/>
        <v>0</v>
      </c>
      <c r="AY274" s="49">
        <f t="shared" ca="1" si="92"/>
        <v>0</v>
      </c>
      <c r="AZ274" s="49">
        <f t="shared" ca="1" si="92"/>
        <v>0</v>
      </c>
      <c r="BA274" s="49">
        <f t="shared" ca="1" si="92"/>
        <v>0</v>
      </c>
      <c r="BB274" s="49">
        <f t="shared" ca="1" si="92"/>
        <v>0</v>
      </c>
      <c r="BC274" s="49">
        <f t="shared" ca="1" si="92"/>
        <v>0</v>
      </c>
      <c r="BD274" s="49">
        <f t="shared" ca="1" si="92"/>
        <v>0</v>
      </c>
      <c r="BE274" s="49">
        <f t="shared" ca="1" si="92"/>
        <v>0</v>
      </c>
      <c r="BF274" s="49">
        <f t="shared" ca="1" si="92"/>
        <v>0</v>
      </c>
      <c r="BG274" s="49">
        <f t="shared" ca="1" si="92"/>
        <v>0</v>
      </c>
      <c r="BH274" s="49">
        <f t="shared" ca="1" si="92"/>
        <v>0</v>
      </c>
      <c r="BI274" s="49">
        <f t="shared" ca="1" si="92"/>
        <v>0</v>
      </c>
      <c r="BJ274" s="49">
        <f t="shared" ca="1" si="92"/>
        <v>0</v>
      </c>
      <c r="BK274" s="49">
        <f t="shared" ca="1" si="92"/>
        <v>0</v>
      </c>
      <c r="BL274" s="49">
        <f t="shared" ca="1" si="92"/>
        <v>0</v>
      </c>
      <c r="BM274" s="49">
        <f t="shared" ca="1" si="92"/>
        <v>0</v>
      </c>
      <c r="BN274" s="49">
        <f t="shared" ca="1" si="92"/>
        <v>0</v>
      </c>
      <c r="BO274" s="49">
        <f t="shared" ca="1" si="92"/>
        <v>0</v>
      </c>
      <c r="BP274" s="49">
        <f t="shared" ca="1" si="92"/>
        <v>0</v>
      </c>
      <c r="BQ274" s="49">
        <f t="shared" ca="1" si="92"/>
        <v>0</v>
      </c>
      <c r="BR274" s="49">
        <f t="shared" ca="1" si="92"/>
        <v>0</v>
      </c>
      <c r="BS274" s="49">
        <f t="shared" ca="1" si="92"/>
        <v>0</v>
      </c>
    </row>
    <row r="275" spans="4:71" outlineLevel="1" x14ac:dyDescent="0.2">
      <c r="E275" t="s">
        <v>201</v>
      </c>
      <c r="I275" s="30">
        <f>I253</f>
        <v>0</v>
      </c>
      <c r="J275" s="26" t="s">
        <v>148</v>
      </c>
      <c r="L275" s="49">
        <f ca="1">(Marine!CA_pid_to_recover+L239)+(K277*(1+Marine!int_rate_cf_costs))</f>
        <v>0</v>
      </c>
      <c r="M275" s="49">
        <f ca="1">(Marine!CA_pid_to_recover+M239)+(L277*(1+Marine!int_rate_cf_costs))</f>
        <v>9.3983153338229292E-2</v>
      </c>
      <c r="N275" s="49">
        <f ca="1">(Marine!CA_pid_to_recover+N239)+(M277*(1+Marine!int_rate_cf_costs))</f>
        <v>1.3928594555455436</v>
      </c>
      <c r="O275" s="49">
        <f ca="1">(Marine!CA_pid_to_recover+O239)+(N277*(1+Marine!int_rate_cf_costs))</f>
        <v>3.4128751284812395</v>
      </c>
      <c r="P275" s="49">
        <f ca="1">(Marine!CA_pid_to_recover+P239)+(O277*(1+Marine!int_rate_cf_costs))</f>
        <v>7.0708742337981327</v>
      </c>
      <c r="Q275" s="49">
        <f ca="1">(Marine!CA_pid_to_recover+Q239)+(P277*(1+Marine!int_rate_cf_costs))</f>
        <v>2.4744787384678233</v>
      </c>
      <c r="R275" s="49">
        <f ca="1">(Marine!CA_pid_to_recover+R239)+(Q277*(1+Marine!int_rate_cf_costs))</f>
        <v>-2.4744787384678233</v>
      </c>
      <c r="S275" s="49">
        <f ca="1">(Marine!CA_pid_to_recover+S239)+(R277*(1+Marine!int_rate_cf_costs))</f>
        <v>0</v>
      </c>
      <c r="T275" s="49">
        <f ca="1">(Marine!CA_pid_to_recover+T239)+(S277*(1+Marine!int_rate_cf_costs))</f>
        <v>0</v>
      </c>
      <c r="U275" s="49">
        <f ca="1">(Marine!CA_pid_to_recover+U239)+(T277*(1+Marine!int_rate_cf_costs))</f>
        <v>0</v>
      </c>
      <c r="V275" s="49">
        <f ca="1">(Marine!CA_pid_to_recover+V239)+(U277*(1+Marine!int_rate_cf_costs))</f>
        <v>0</v>
      </c>
      <c r="W275" s="49">
        <f ca="1">(Marine!CA_pid_to_recover+W239)+(V277*(1+Marine!int_rate_cf_costs))</f>
        <v>0</v>
      </c>
      <c r="X275" s="49">
        <f ca="1">(Marine!CA_pid_to_recover+X239)+(W277*(1+Marine!int_rate_cf_costs))</f>
        <v>0</v>
      </c>
      <c r="Y275" s="49">
        <f ca="1">(Marine!CA_pid_to_recover+Y239)+(X277*(1+Marine!int_rate_cf_costs))</f>
        <v>0</v>
      </c>
      <c r="Z275" s="49">
        <f ca="1">(Marine!CA_pid_to_recover+Z239)+(Y277*(1+Marine!int_rate_cf_costs))</f>
        <v>0</v>
      </c>
      <c r="AA275" s="49">
        <f ca="1">(Marine!CA_pid_to_recover+AA239)+(Z277*(1+Marine!int_rate_cf_costs))</f>
        <v>0</v>
      </c>
      <c r="AB275" s="49">
        <f ca="1">(Marine!CA_pid_to_recover+AB239)+(AA277*(1+Marine!int_rate_cf_costs))</f>
        <v>0</v>
      </c>
      <c r="AC275" s="49">
        <f ca="1">(Marine!CA_pid_to_recover+AC239)+(AB277*(1+Marine!int_rate_cf_costs))</f>
        <v>0</v>
      </c>
      <c r="AD275" s="49">
        <f ca="1">(Marine!CA_pid_to_recover+AD239)+(AC277*(1+Marine!int_rate_cf_costs))</f>
        <v>0</v>
      </c>
      <c r="AE275" s="49">
        <f ca="1">(Marine!CA_pid_to_recover+AE239)+(AD277*(1+Marine!int_rate_cf_costs))</f>
        <v>0</v>
      </c>
      <c r="AF275" s="49">
        <f ca="1">(Marine!CA_pid_to_recover+AF239)+(AE277*(1+Marine!int_rate_cf_costs))</f>
        <v>0</v>
      </c>
      <c r="AG275" s="49">
        <f ca="1">(Marine!CA_pid_to_recover+AG239)+(AF277*(1+Marine!int_rate_cf_costs))</f>
        <v>0</v>
      </c>
      <c r="AH275" s="49">
        <f ca="1">(Marine!CA_pid_to_recover+AH239)+(AG277*(1+Marine!int_rate_cf_costs))</f>
        <v>0</v>
      </c>
      <c r="AI275" s="49">
        <f ca="1">(Marine!CA_pid_to_recover+AI239)+(AH277*(1+Marine!int_rate_cf_costs))</f>
        <v>0</v>
      </c>
      <c r="AJ275" s="49">
        <f ca="1">(Marine!CA_pid_to_recover+AJ239)+(AI277*(1+Marine!int_rate_cf_costs))</f>
        <v>0</v>
      </c>
      <c r="AK275" s="49">
        <f ca="1">(Marine!CA_pid_to_recover+AK239)+(AJ277*(1+Marine!int_rate_cf_costs))</f>
        <v>0</v>
      </c>
      <c r="AL275" s="49">
        <f ca="1">(Marine!CA_pid_to_recover+AL239)+(AK277*(1+Marine!int_rate_cf_costs))</f>
        <v>0</v>
      </c>
      <c r="AM275" s="49">
        <f ca="1">(Marine!CA_pid_to_recover+AM239)+(AL277*(1+Marine!int_rate_cf_costs))</f>
        <v>0</v>
      </c>
      <c r="AN275" s="49">
        <f ca="1">(Marine!CA_pid_to_recover+AN239)+(AM277*(1+Marine!int_rate_cf_costs))</f>
        <v>0</v>
      </c>
      <c r="AO275" s="49">
        <f ca="1">(Marine!CA_pid_to_recover+AO239)+(AN277*(1+Marine!int_rate_cf_costs))</f>
        <v>0</v>
      </c>
      <c r="AP275" s="49">
        <f ca="1">(Marine!CA_pid_to_recover+AP239)+(AO277*(1+Marine!int_rate_cf_costs))</f>
        <v>0</v>
      </c>
      <c r="AQ275" s="49">
        <f ca="1">(Marine!CA_pid_to_recover+AQ239)+(AP277*(1+Marine!int_rate_cf_costs))</f>
        <v>0</v>
      </c>
      <c r="AR275" s="49">
        <f ca="1">(Marine!CA_pid_to_recover+AR239)+(AQ277*(1+Marine!int_rate_cf_costs))</f>
        <v>0</v>
      </c>
      <c r="AS275" s="49">
        <f ca="1">(Marine!CA_pid_to_recover+AS239)+(AR277*(1+Marine!int_rate_cf_costs))</f>
        <v>0</v>
      </c>
      <c r="AT275" s="49">
        <f ca="1">(Marine!CA_pid_to_recover+AT239)+(AS277*(1+Marine!int_rate_cf_costs))</f>
        <v>0</v>
      </c>
      <c r="AU275" s="49">
        <f ca="1">(Marine!CA_pid_to_recover+AU239)+(AT277*(1+Marine!int_rate_cf_costs))</f>
        <v>0</v>
      </c>
      <c r="AV275" s="49">
        <f ca="1">(Marine!CA_pid_to_recover+AV239)+(AU277*(1+Marine!int_rate_cf_costs))</f>
        <v>0</v>
      </c>
      <c r="AW275" s="49">
        <f ca="1">(Marine!CA_pid_to_recover+AW239)+(AV277*(1+Marine!int_rate_cf_costs))</f>
        <v>0</v>
      </c>
      <c r="AX275" s="49">
        <f ca="1">(Marine!CA_pid_to_recover+AX239)+(AW277*(1+Marine!int_rate_cf_costs))</f>
        <v>0</v>
      </c>
      <c r="AY275" s="49">
        <f ca="1">(Marine!CA_pid_to_recover+AY239)+(AX277*(1+Marine!int_rate_cf_costs))</f>
        <v>0</v>
      </c>
      <c r="AZ275" s="49">
        <f ca="1">(Marine!CA_pid_to_recover+AZ239)+(AY277*(1+Marine!int_rate_cf_costs))</f>
        <v>0</v>
      </c>
      <c r="BA275" s="49">
        <f ca="1">(Marine!CA_pid_to_recover+BA239)+(AZ277*(1+Marine!int_rate_cf_costs))</f>
        <v>0</v>
      </c>
      <c r="BB275" s="49">
        <f ca="1">(Marine!CA_pid_to_recover+BB239)+(BA277*(1+Marine!int_rate_cf_costs))</f>
        <v>0</v>
      </c>
      <c r="BC275" s="49">
        <f ca="1">(Marine!CA_pid_to_recover+BC239)+(BB277*(1+Marine!int_rate_cf_costs))</f>
        <v>0</v>
      </c>
      <c r="BD275" s="49">
        <f ca="1">(Marine!CA_pid_to_recover+BD239)+(BC277*(1+Marine!int_rate_cf_costs))</f>
        <v>0</v>
      </c>
      <c r="BE275" s="49">
        <f ca="1">(Marine!CA_pid_to_recover+BE239)+(BD277*(1+Marine!int_rate_cf_costs))</f>
        <v>0</v>
      </c>
      <c r="BF275" s="49">
        <f ca="1">(Marine!CA_pid_to_recover+BF239)+(BE277*(1+Marine!int_rate_cf_costs))</f>
        <v>0</v>
      </c>
      <c r="BG275" s="49">
        <f ca="1">(Marine!CA_pid_to_recover+BG239)+(BF277*(1+Marine!int_rate_cf_costs))</f>
        <v>0</v>
      </c>
      <c r="BH275" s="49">
        <f ca="1">(Marine!CA_pid_to_recover+BH239)+(BG277*(1+Marine!int_rate_cf_costs))</f>
        <v>0</v>
      </c>
      <c r="BI275" s="49">
        <f ca="1">(Marine!CA_pid_to_recover+BI239)+(BH277*(1+Marine!int_rate_cf_costs))</f>
        <v>0</v>
      </c>
      <c r="BJ275" s="49">
        <f ca="1">(Marine!CA_pid_to_recover+BJ239)+(BI277*(1+Marine!int_rate_cf_costs))</f>
        <v>0</v>
      </c>
      <c r="BK275" s="49">
        <f ca="1">(Marine!CA_pid_to_recover+BK239)+(BJ277*(1+Marine!int_rate_cf_costs))</f>
        <v>0</v>
      </c>
      <c r="BL275" s="49">
        <f ca="1">(Marine!CA_pid_to_recover+BL239)+(BK277*(1+Marine!int_rate_cf_costs))</f>
        <v>0</v>
      </c>
      <c r="BM275" s="49">
        <f ca="1">(Marine!CA_pid_to_recover+BM239)+(BL277*(1+Marine!int_rate_cf_costs))</f>
        <v>0</v>
      </c>
      <c r="BN275" s="49">
        <f ca="1">(Marine!CA_pid_to_recover+BN239)+(BM277*(1+Marine!int_rate_cf_costs))</f>
        <v>0</v>
      </c>
      <c r="BO275" s="49">
        <f ca="1">(Marine!CA_pid_to_recover+BO239)+(BN277*(1+Marine!int_rate_cf_costs))</f>
        <v>0</v>
      </c>
      <c r="BP275" s="49">
        <f ca="1">(Marine!CA_pid_to_recover+BP239)+(BO277*(1+Marine!int_rate_cf_costs))</f>
        <v>0</v>
      </c>
      <c r="BQ275" s="49">
        <f ca="1">(Marine!CA_pid_to_recover+BQ239)+(BP277*(1+Marine!int_rate_cf_costs))</f>
        <v>0</v>
      </c>
      <c r="BR275" s="49">
        <f ca="1">(Marine!CA_pid_to_recover+BR239)+(BQ277*(1+Marine!int_rate_cf_costs))</f>
        <v>0</v>
      </c>
      <c r="BS275" s="49">
        <f ca="1">(Marine!CA_pid_to_recover+BS239)+(BR277*(1+Marine!int_rate_cf_costs))</f>
        <v>0</v>
      </c>
    </row>
    <row r="276" spans="4:71" outlineLevel="1" x14ac:dyDescent="0.2">
      <c r="E276" t="s">
        <v>202</v>
      </c>
      <c r="H276" s="56" t="b">
        <f ca="1">ROUND(I276,2)=-ROUND(I275,2)</f>
        <v>1</v>
      </c>
      <c r="I276" s="30">
        <f t="shared" ca="1" si="90"/>
        <v>0</v>
      </c>
      <c r="J276" s="26" t="s">
        <v>148</v>
      </c>
      <c r="L276" s="49">
        <f ca="1">-MIN(L275,L274)</f>
        <v>0</v>
      </c>
      <c r="M276" s="49">
        <f t="shared" ref="M276:BS276" ca="1" si="93">-MIN(M275,M274)</f>
        <v>0</v>
      </c>
      <c r="N276" s="49">
        <f t="shared" ca="1" si="93"/>
        <v>0</v>
      </c>
      <c r="O276" s="49">
        <f t="shared" ca="1" si="93"/>
        <v>0</v>
      </c>
      <c r="P276" s="49">
        <f t="shared" ca="1" si="93"/>
        <v>0</v>
      </c>
      <c r="Q276" s="49">
        <f t="shared" ca="1" si="93"/>
        <v>-2.4744787384678233</v>
      </c>
      <c r="R276" s="49">
        <f t="shared" ca="1" si="93"/>
        <v>2.4744787384678233</v>
      </c>
      <c r="S276" s="49">
        <f t="shared" ca="1" si="93"/>
        <v>0</v>
      </c>
      <c r="T276" s="49">
        <f t="shared" ca="1" si="93"/>
        <v>0</v>
      </c>
      <c r="U276" s="49">
        <f t="shared" ca="1" si="93"/>
        <v>0</v>
      </c>
      <c r="V276" s="49">
        <f t="shared" ca="1" si="93"/>
        <v>0</v>
      </c>
      <c r="W276" s="49">
        <f t="shared" ca="1" si="93"/>
        <v>0</v>
      </c>
      <c r="X276" s="49">
        <f t="shared" ca="1" si="93"/>
        <v>0</v>
      </c>
      <c r="Y276" s="49">
        <f t="shared" ca="1" si="93"/>
        <v>0</v>
      </c>
      <c r="Z276" s="49">
        <f t="shared" ca="1" si="93"/>
        <v>0</v>
      </c>
      <c r="AA276" s="49">
        <f t="shared" ca="1" si="93"/>
        <v>0</v>
      </c>
      <c r="AB276" s="49">
        <f t="shared" ca="1" si="93"/>
        <v>0</v>
      </c>
      <c r="AC276" s="49">
        <f t="shared" ca="1" si="93"/>
        <v>0</v>
      </c>
      <c r="AD276" s="49">
        <f t="shared" ca="1" si="93"/>
        <v>0</v>
      </c>
      <c r="AE276" s="49">
        <f t="shared" ca="1" si="93"/>
        <v>0</v>
      </c>
      <c r="AF276" s="49">
        <f t="shared" ca="1" si="93"/>
        <v>0</v>
      </c>
      <c r="AG276" s="49">
        <f t="shared" ca="1" si="93"/>
        <v>0</v>
      </c>
      <c r="AH276" s="49">
        <f t="shared" ca="1" si="93"/>
        <v>0</v>
      </c>
      <c r="AI276" s="49">
        <f t="shared" ca="1" si="93"/>
        <v>0</v>
      </c>
      <c r="AJ276" s="49">
        <f t="shared" ca="1" si="93"/>
        <v>0</v>
      </c>
      <c r="AK276" s="49">
        <f t="shared" ca="1" si="93"/>
        <v>0</v>
      </c>
      <c r="AL276" s="49">
        <f t="shared" ca="1" si="93"/>
        <v>0</v>
      </c>
      <c r="AM276" s="49">
        <f t="shared" ca="1" si="93"/>
        <v>0</v>
      </c>
      <c r="AN276" s="49">
        <f t="shared" ca="1" si="93"/>
        <v>0</v>
      </c>
      <c r="AO276" s="49">
        <f t="shared" ca="1" si="93"/>
        <v>0</v>
      </c>
      <c r="AP276" s="49">
        <f t="shared" ca="1" si="93"/>
        <v>0</v>
      </c>
      <c r="AQ276" s="49">
        <f t="shared" ca="1" si="93"/>
        <v>0</v>
      </c>
      <c r="AR276" s="49">
        <f t="shared" ca="1" si="93"/>
        <v>0</v>
      </c>
      <c r="AS276" s="49">
        <f t="shared" ca="1" si="93"/>
        <v>0</v>
      </c>
      <c r="AT276" s="49">
        <f t="shared" ca="1" si="93"/>
        <v>0</v>
      </c>
      <c r="AU276" s="49">
        <f t="shared" ca="1" si="93"/>
        <v>0</v>
      </c>
      <c r="AV276" s="49">
        <f t="shared" ca="1" si="93"/>
        <v>0</v>
      </c>
      <c r="AW276" s="49">
        <f t="shared" ca="1" si="93"/>
        <v>0</v>
      </c>
      <c r="AX276" s="49">
        <f t="shared" ca="1" si="93"/>
        <v>0</v>
      </c>
      <c r="AY276" s="49">
        <f t="shared" ca="1" si="93"/>
        <v>0</v>
      </c>
      <c r="AZ276" s="49">
        <f t="shared" ca="1" si="93"/>
        <v>0</v>
      </c>
      <c r="BA276" s="49">
        <f t="shared" ca="1" si="93"/>
        <v>0</v>
      </c>
      <c r="BB276" s="49">
        <f t="shared" ca="1" si="93"/>
        <v>0</v>
      </c>
      <c r="BC276" s="49">
        <f t="shared" ca="1" si="93"/>
        <v>0</v>
      </c>
      <c r="BD276" s="49">
        <f t="shared" ca="1" si="93"/>
        <v>0</v>
      </c>
      <c r="BE276" s="49">
        <f t="shared" ca="1" si="93"/>
        <v>0</v>
      </c>
      <c r="BF276" s="49">
        <f t="shared" ca="1" si="93"/>
        <v>0</v>
      </c>
      <c r="BG276" s="49">
        <f t="shared" ca="1" si="93"/>
        <v>0</v>
      </c>
      <c r="BH276" s="49">
        <f t="shared" ca="1" si="93"/>
        <v>0</v>
      </c>
      <c r="BI276" s="49">
        <f t="shared" ca="1" si="93"/>
        <v>0</v>
      </c>
      <c r="BJ276" s="49">
        <f t="shared" ca="1" si="93"/>
        <v>0</v>
      </c>
      <c r="BK276" s="49">
        <f t="shared" ca="1" si="93"/>
        <v>0</v>
      </c>
      <c r="BL276" s="49">
        <f t="shared" ca="1" si="93"/>
        <v>0</v>
      </c>
      <c r="BM276" s="49">
        <f t="shared" ca="1" si="93"/>
        <v>0</v>
      </c>
      <c r="BN276" s="49">
        <f t="shared" ca="1" si="93"/>
        <v>0</v>
      </c>
      <c r="BO276" s="49">
        <f t="shared" ca="1" si="93"/>
        <v>0</v>
      </c>
      <c r="BP276" s="49">
        <f t="shared" ca="1" si="93"/>
        <v>0</v>
      </c>
      <c r="BQ276" s="49">
        <f t="shared" ca="1" si="93"/>
        <v>0</v>
      </c>
      <c r="BR276" s="49">
        <f t="shared" ca="1" si="93"/>
        <v>0</v>
      </c>
      <c r="BS276" s="49">
        <f t="shared" ca="1" si="93"/>
        <v>0</v>
      </c>
    </row>
    <row r="277" spans="4:71" outlineLevel="1" x14ac:dyDescent="0.2">
      <c r="E277" t="s">
        <v>195</v>
      </c>
      <c r="J277" s="26"/>
      <c r="L277" s="49">
        <f ca="1">L275+L276</f>
        <v>0</v>
      </c>
      <c r="M277" s="49">
        <f t="shared" ref="M277:BS277" ca="1" si="94">M275+M276</f>
        <v>9.3983153338229292E-2</v>
      </c>
      <c r="N277" s="49">
        <f t="shared" ca="1" si="94"/>
        <v>1.3928594555455436</v>
      </c>
      <c r="O277" s="49">
        <f t="shared" ca="1" si="94"/>
        <v>3.4128751284812395</v>
      </c>
      <c r="P277" s="49">
        <f t="shared" ca="1" si="94"/>
        <v>7.0708742337981327</v>
      </c>
      <c r="Q277" s="49">
        <f t="shared" ca="1" si="94"/>
        <v>0</v>
      </c>
      <c r="R277" s="49">
        <f t="shared" ca="1" si="94"/>
        <v>0</v>
      </c>
      <c r="S277" s="49">
        <f t="shared" ca="1" si="94"/>
        <v>0</v>
      </c>
      <c r="T277" s="49">
        <f t="shared" ca="1" si="94"/>
        <v>0</v>
      </c>
      <c r="U277" s="49">
        <f t="shared" ca="1" si="94"/>
        <v>0</v>
      </c>
      <c r="V277" s="49">
        <f t="shared" ca="1" si="94"/>
        <v>0</v>
      </c>
      <c r="W277" s="49">
        <f t="shared" ca="1" si="94"/>
        <v>0</v>
      </c>
      <c r="X277" s="49">
        <f t="shared" ca="1" si="94"/>
        <v>0</v>
      </c>
      <c r="Y277" s="49">
        <f t="shared" ca="1" si="94"/>
        <v>0</v>
      </c>
      <c r="Z277" s="49">
        <f t="shared" ca="1" si="94"/>
        <v>0</v>
      </c>
      <c r="AA277" s="49">
        <f t="shared" ca="1" si="94"/>
        <v>0</v>
      </c>
      <c r="AB277" s="49">
        <f t="shared" ca="1" si="94"/>
        <v>0</v>
      </c>
      <c r="AC277" s="49">
        <f t="shared" ca="1" si="94"/>
        <v>0</v>
      </c>
      <c r="AD277" s="49">
        <f t="shared" ca="1" si="94"/>
        <v>0</v>
      </c>
      <c r="AE277" s="49">
        <f t="shared" ca="1" si="94"/>
        <v>0</v>
      </c>
      <c r="AF277" s="49">
        <f t="shared" ca="1" si="94"/>
        <v>0</v>
      </c>
      <c r="AG277" s="49">
        <f t="shared" ca="1" si="94"/>
        <v>0</v>
      </c>
      <c r="AH277" s="49">
        <f t="shared" ca="1" si="94"/>
        <v>0</v>
      </c>
      <c r="AI277" s="49">
        <f t="shared" ca="1" si="94"/>
        <v>0</v>
      </c>
      <c r="AJ277" s="49">
        <f t="shared" ca="1" si="94"/>
        <v>0</v>
      </c>
      <c r="AK277" s="49">
        <f t="shared" ca="1" si="94"/>
        <v>0</v>
      </c>
      <c r="AL277" s="49">
        <f t="shared" ca="1" si="94"/>
        <v>0</v>
      </c>
      <c r="AM277" s="49">
        <f t="shared" ca="1" si="94"/>
        <v>0</v>
      </c>
      <c r="AN277" s="49">
        <f t="shared" ca="1" si="94"/>
        <v>0</v>
      </c>
      <c r="AO277" s="49">
        <f t="shared" ca="1" si="94"/>
        <v>0</v>
      </c>
      <c r="AP277" s="49">
        <f t="shared" ca="1" si="94"/>
        <v>0</v>
      </c>
      <c r="AQ277" s="49">
        <f t="shared" ca="1" si="94"/>
        <v>0</v>
      </c>
      <c r="AR277" s="49">
        <f t="shared" ca="1" si="94"/>
        <v>0</v>
      </c>
      <c r="AS277" s="49">
        <f t="shared" ca="1" si="94"/>
        <v>0</v>
      </c>
      <c r="AT277" s="49">
        <f t="shared" ca="1" si="94"/>
        <v>0</v>
      </c>
      <c r="AU277" s="49">
        <f t="shared" ca="1" si="94"/>
        <v>0</v>
      </c>
      <c r="AV277" s="49">
        <f t="shared" ca="1" si="94"/>
        <v>0</v>
      </c>
      <c r="AW277" s="49">
        <f t="shared" ca="1" si="94"/>
        <v>0</v>
      </c>
      <c r="AX277" s="49">
        <f t="shared" ca="1" si="94"/>
        <v>0</v>
      </c>
      <c r="AY277" s="49">
        <f t="shared" ca="1" si="94"/>
        <v>0</v>
      </c>
      <c r="AZ277" s="49">
        <f t="shared" ca="1" si="94"/>
        <v>0</v>
      </c>
      <c r="BA277" s="49">
        <f t="shared" ca="1" si="94"/>
        <v>0</v>
      </c>
      <c r="BB277" s="49">
        <f t="shared" ca="1" si="94"/>
        <v>0</v>
      </c>
      <c r="BC277" s="49">
        <f t="shared" ca="1" si="94"/>
        <v>0</v>
      </c>
      <c r="BD277" s="49">
        <f t="shared" ca="1" si="94"/>
        <v>0</v>
      </c>
      <c r="BE277" s="49">
        <f t="shared" ca="1" si="94"/>
        <v>0</v>
      </c>
      <c r="BF277" s="49">
        <f t="shared" ca="1" si="94"/>
        <v>0</v>
      </c>
      <c r="BG277" s="49">
        <f t="shared" ca="1" si="94"/>
        <v>0</v>
      </c>
      <c r="BH277" s="49">
        <f t="shared" ca="1" si="94"/>
        <v>0</v>
      </c>
      <c r="BI277" s="49">
        <f t="shared" ca="1" si="94"/>
        <v>0</v>
      </c>
      <c r="BJ277" s="49">
        <f t="shared" ca="1" si="94"/>
        <v>0</v>
      </c>
      <c r="BK277" s="49">
        <f t="shared" ca="1" si="94"/>
        <v>0</v>
      </c>
      <c r="BL277" s="49">
        <f t="shared" ca="1" si="94"/>
        <v>0</v>
      </c>
      <c r="BM277" s="49">
        <f t="shared" ca="1" si="94"/>
        <v>0</v>
      </c>
      <c r="BN277" s="49">
        <f t="shared" ca="1" si="94"/>
        <v>0</v>
      </c>
      <c r="BO277" s="49">
        <f t="shared" ca="1" si="94"/>
        <v>0</v>
      </c>
      <c r="BP277" s="49">
        <f t="shared" ca="1" si="94"/>
        <v>0</v>
      </c>
      <c r="BQ277" s="49">
        <f t="shared" ca="1" si="94"/>
        <v>0</v>
      </c>
      <c r="BR277" s="49">
        <f t="shared" ca="1" si="94"/>
        <v>0</v>
      </c>
      <c r="BS277" s="49">
        <f t="shared" ca="1" si="94"/>
        <v>0</v>
      </c>
    </row>
    <row r="278" spans="4:71" outlineLevel="1" x14ac:dyDescent="0.2">
      <c r="J278" s="26"/>
      <c r="L278" s="55"/>
      <c r="M278" s="55"/>
      <c r="N278" s="55"/>
      <c r="O278" s="55"/>
      <c r="P278" s="55"/>
      <c r="Q278" s="55"/>
      <c r="R278" s="55"/>
      <c r="S278" s="55"/>
      <c r="T278" s="55"/>
      <c r="U278" s="55"/>
      <c r="V278" s="55"/>
      <c r="W278" s="5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55"/>
      <c r="BR278" s="55"/>
      <c r="BS278" s="55"/>
    </row>
    <row r="279" spans="4:71" outlineLevel="1" x14ac:dyDescent="0.2">
      <c r="D279" s="51" t="s">
        <v>183</v>
      </c>
      <c r="J279" s="26"/>
      <c r="L279" s="55"/>
      <c r="M279" s="55"/>
      <c r="N279" s="55"/>
      <c r="O279" s="55"/>
      <c r="P279" s="55"/>
      <c r="Q279" s="55"/>
      <c r="R279" s="55"/>
      <c r="S279" s="55"/>
      <c r="T279" s="55"/>
      <c r="U279" s="55"/>
      <c r="V279" s="55"/>
      <c r="W279" s="55"/>
      <c r="X279" s="55"/>
      <c r="Y279" s="55"/>
      <c r="Z279" s="55"/>
      <c r="AA279" s="55"/>
      <c r="AB279" s="55"/>
      <c r="AC279" s="55"/>
      <c r="AD279" s="55"/>
      <c r="AE279" s="55"/>
      <c r="AF279" s="55"/>
      <c r="AG279" s="55"/>
      <c r="AH279" s="55"/>
      <c r="AI279" s="55"/>
      <c r="AJ279" s="55"/>
      <c r="AK279" s="55"/>
      <c r="AL279" s="55"/>
      <c r="AM279" s="55"/>
      <c r="AN279" s="55"/>
      <c r="AO279" s="55"/>
      <c r="AP279" s="55"/>
      <c r="AQ279" s="55"/>
      <c r="AR279" s="55"/>
      <c r="AS279" s="55"/>
      <c r="AT279" s="55"/>
      <c r="AU279" s="55"/>
      <c r="AV279" s="55"/>
      <c r="AW279" s="55"/>
      <c r="AX279" s="55"/>
      <c r="AY279" s="55"/>
      <c r="AZ279" s="55"/>
      <c r="BA279" s="55"/>
      <c r="BB279" s="55"/>
      <c r="BC279" s="55"/>
      <c r="BD279" s="55"/>
      <c r="BE279" s="55"/>
      <c r="BF279" s="55"/>
      <c r="BG279" s="55"/>
      <c r="BH279" s="55"/>
      <c r="BI279" s="55"/>
      <c r="BJ279" s="55"/>
      <c r="BK279" s="55"/>
      <c r="BL279" s="55"/>
      <c r="BM279" s="55"/>
      <c r="BN279" s="55"/>
      <c r="BO279" s="55"/>
      <c r="BP279" s="55"/>
      <c r="BQ279" s="55"/>
      <c r="BR279" s="55"/>
      <c r="BS279" s="55"/>
    </row>
    <row r="280" spans="4:71" outlineLevel="1" x14ac:dyDescent="0.2">
      <c r="E280" t="s">
        <v>192</v>
      </c>
      <c r="I280" s="30">
        <f t="shared" ref="I280:I282" ca="1" si="95">SUM($L280:$BS280)</f>
        <v>593.37643543984939</v>
      </c>
      <c r="J280" s="26" t="s">
        <v>148</v>
      </c>
      <c r="L280" s="49">
        <f t="shared" ref="L280:AQ280" ca="1" si="96">CA_cost_stop_gas+L270+L276</f>
        <v>0</v>
      </c>
      <c r="M280" s="49">
        <f t="shared" ca="1" si="96"/>
        <v>0</v>
      </c>
      <c r="N280" s="49">
        <f t="shared" ca="1" si="96"/>
        <v>0</v>
      </c>
      <c r="O280" s="49">
        <f t="shared" ca="1" si="96"/>
        <v>0</v>
      </c>
      <c r="P280" s="49">
        <f t="shared" ca="1" si="96"/>
        <v>0</v>
      </c>
      <c r="Q280" s="49">
        <f t="shared" ca="1" si="96"/>
        <v>185.71595051290853</v>
      </c>
      <c r="R280" s="49">
        <f t="shared" ca="1" si="96"/>
        <v>2.4745312635745105</v>
      </c>
      <c r="S280" s="49">
        <f t="shared" ca="1" si="96"/>
        <v>67.656119999999987</v>
      </c>
      <c r="T280" s="49">
        <f t="shared" ca="1" si="96"/>
        <v>67.558437623762359</v>
      </c>
      <c r="U280" s="49">
        <f t="shared" ca="1" si="96"/>
        <v>67.526685148514844</v>
      </c>
      <c r="V280" s="49">
        <f t="shared" ca="1" si="96"/>
        <v>67.498075247524739</v>
      </c>
      <c r="W280" s="49">
        <f t="shared" ca="1" si="96"/>
        <v>67.492524752475248</v>
      </c>
      <c r="X280" s="49">
        <f t="shared" ca="1" si="96"/>
        <v>67.454110891089115</v>
      </c>
      <c r="Y280" s="49">
        <f t="shared" ca="1" si="96"/>
        <v>0</v>
      </c>
      <c r="Z280" s="49">
        <f t="shared" ca="1" si="96"/>
        <v>0</v>
      </c>
      <c r="AA280" s="49">
        <f t="shared" ca="1" si="96"/>
        <v>0</v>
      </c>
      <c r="AB280" s="49">
        <f t="shared" ca="1" si="96"/>
        <v>0</v>
      </c>
      <c r="AC280" s="49">
        <f t="shared" ca="1" si="96"/>
        <v>0</v>
      </c>
      <c r="AD280" s="49">
        <f t="shared" ca="1" si="96"/>
        <v>0</v>
      </c>
      <c r="AE280" s="49">
        <f t="shared" ca="1" si="96"/>
        <v>0</v>
      </c>
      <c r="AF280" s="49">
        <f t="shared" ca="1" si="96"/>
        <v>0</v>
      </c>
      <c r="AG280" s="49">
        <f t="shared" ca="1" si="96"/>
        <v>0</v>
      </c>
      <c r="AH280" s="49">
        <f t="shared" ca="1" si="96"/>
        <v>0</v>
      </c>
      <c r="AI280" s="49">
        <f t="shared" ca="1" si="96"/>
        <v>0</v>
      </c>
      <c r="AJ280" s="49">
        <f t="shared" ca="1" si="96"/>
        <v>0</v>
      </c>
      <c r="AK280" s="49">
        <f t="shared" ca="1" si="96"/>
        <v>0</v>
      </c>
      <c r="AL280" s="49">
        <f t="shared" ca="1" si="96"/>
        <v>0</v>
      </c>
      <c r="AM280" s="49">
        <f t="shared" ca="1" si="96"/>
        <v>0</v>
      </c>
      <c r="AN280" s="49">
        <f t="shared" ca="1" si="96"/>
        <v>0</v>
      </c>
      <c r="AO280" s="49">
        <f t="shared" ca="1" si="96"/>
        <v>0</v>
      </c>
      <c r="AP280" s="49">
        <f t="shared" ca="1" si="96"/>
        <v>0</v>
      </c>
      <c r="AQ280" s="49">
        <f t="shared" ca="1" si="96"/>
        <v>0</v>
      </c>
      <c r="AR280" s="49">
        <f t="shared" ref="AR280:BS280" ca="1" si="97">CA_cost_stop_gas+AR270+AR276</f>
        <v>0</v>
      </c>
      <c r="AS280" s="49">
        <f t="shared" ca="1" si="97"/>
        <v>0</v>
      </c>
      <c r="AT280" s="49">
        <f t="shared" ca="1" si="97"/>
        <v>0</v>
      </c>
      <c r="AU280" s="49">
        <f t="shared" ca="1" si="97"/>
        <v>0</v>
      </c>
      <c r="AV280" s="49">
        <f t="shared" ca="1" si="97"/>
        <v>0</v>
      </c>
      <c r="AW280" s="49">
        <f t="shared" ca="1" si="97"/>
        <v>0</v>
      </c>
      <c r="AX280" s="49">
        <f t="shared" ca="1" si="97"/>
        <v>0</v>
      </c>
      <c r="AY280" s="49">
        <f t="shared" ca="1" si="97"/>
        <v>0</v>
      </c>
      <c r="AZ280" s="49">
        <f t="shared" ca="1" si="97"/>
        <v>0</v>
      </c>
      <c r="BA280" s="49">
        <f t="shared" ca="1" si="97"/>
        <v>0</v>
      </c>
      <c r="BB280" s="49">
        <f t="shared" ca="1" si="97"/>
        <v>0</v>
      </c>
      <c r="BC280" s="49">
        <f t="shared" ca="1" si="97"/>
        <v>0</v>
      </c>
      <c r="BD280" s="49">
        <f t="shared" ca="1" si="97"/>
        <v>0</v>
      </c>
      <c r="BE280" s="49">
        <f t="shared" ca="1" si="97"/>
        <v>0</v>
      </c>
      <c r="BF280" s="49">
        <f t="shared" ca="1" si="97"/>
        <v>0</v>
      </c>
      <c r="BG280" s="49">
        <f t="shared" ca="1" si="97"/>
        <v>0</v>
      </c>
      <c r="BH280" s="49">
        <f t="shared" ca="1" si="97"/>
        <v>0</v>
      </c>
      <c r="BI280" s="49">
        <f t="shared" ca="1" si="97"/>
        <v>0</v>
      </c>
      <c r="BJ280" s="49">
        <f t="shared" ca="1" si="97"/>
        <v>0</v>
      </c>
      <c r="BK280" s="49">
        <f t="shared" ca="1" si="97"/>
        <v>0</v>
      </c>
      <c r="BL280" s="49">
        <f t="shared" ca="1" si="97"/>
        <v>0</v>
      </c>
      <c r="BM280" s="49">
        <f t="shared" ca="1" si="97"/>
        <v>0</v>
      </c>
      <c r="BN280" s="49">
        <f t="shared" ca="1" si="97"/>
        <v>0</v>
      </c>
      <c r="BO280" s="49">
        <f t="shared" ca="1" si="97"/>
        <v>0</v>
      </c>
      <c r="BP280" s="49">
        <f t="shared" ca="1" si="97"/>
        <v>0</v>
      </c>
      <c r="BQ280" s="49">
        <f t="shared" ca="1" si="97"/>
        <v>0</v>
      </c>
      <c r="BR280" s="49">
        <f t="shared" ca="1" si="97"/>
        <v>0</v>
      </c>
      <c r="BS280" s="49">
        <f t="shared" ca="1" si="97"/>
        <v>0</v>
      </c>
    </row>
    <row r="281" spans="4:71" outlineLevel="1" x14ac:dyDescent="0.2">
      <c r="E281" t="s">
        <v>203</v>
      </c>
      <c r="I281" s="30">
        <f>I254</f>
        <v>0</v>
      </c>
      <c r="J281" s="26" t="s">
        <v>148</v>
      </c>
      <c r="L281" s="49">
        <f ca="1">(Marine!CA_capex_to_recover+Marine!CA_unrecov_costs_to_recover+L245)+(K283*(1+Marine!int_rate_cf_costs))</f>
        <v>217.36199999999999</v>
      </c>
      <c r="M281" s="49">
        <f ca="1">(Marine!CA_capex_to_recover+Marine!CA_unrecov_costs_to_recover+M245)+(L283*(1+Marine!int_rate_cf_costs))</f>
        <v>649.50599999999997</v>
      </c>
      <c r="N281" s="49">
        <f ca="1">(Marine!CA_capex_to_recover+Marine!CA_unrecov_costs_to_recover+N245)+(M283*(1+Marine!int_rate_cf_costs))</f>
        <v>1331.836</v>
      </c>
      <c r="O281" s="49">
        <f ca="1">(Marine!CA_capex_to_recover+Marine!CA_unrecov_costs_to_recover+O245)+(N283*(1+Marine!int_rate_cf_costs))</f>
        <v>1759.8409999999999</v>
      </c>
      <c r="P281" s="49">
        <f ca="1">(Marine!CA_capex_to_recover+Marine!CA_unrecov_costs_to_recover+P245)+(O283*(1+Marine!int_rate_cf_costs))</f>
        <v>2166.3719999999998</v>
      </c>
      <c r="Q281" s="49">
        <f ca="1">(Marine!CA_capex_to_recover+Marine!CA_unrecov_costs_to_recover+Q245)+(P283*(1+Marine!int_rate_cf_costs))</f>
        <v>2393.6419999999998</v>
      </c>
      <c r="R281" s="49">
        <f ca="1">(Marine!CA_capex_to_recover+Marine!CA_unrecov_costs_to_recover+R245)+(Q283*(1+Marine!int_rate_cf_costs))</f>
        <v>1960.2030757353655</v>
      </c>
      <c r="S281" s="49">
        <f ca="1">(Marine!CA_capex_to_recover+Marine!CA_unrecov_costs_to_recover+S245)+(R283*(1+Marine!int_rate_cf_costs))</f>
        <v>1915.8709528992908</v>
      </c>
      <c r="T281" s="49">
        <f ca="1">(Marine!CA_capex_to_recover+Marine!CA_unrecov_costs_to_recover+T245)+(S283*(1+Marine!int_rate_cf_costs))</f>
        <v>1688.9018752650932</v>
      </c>
      <c r="U281" s="49">
        <f ca="1">(Marine!CA_capex_to_recover+Marine!CA_unrecov_costs_to_recover+U245)+(T283*(1+Marine!int_rate_cf_costs))</f>
        <v>1473.0801735641239</v>
      </c>
      <c r="V281" s="49">
        <f ca="1">(Marine!CA_capex_to_recover+Marine!CA_unrecov_costs_to_recover+V245)+(U283*(1+Marine!int_rate_cf_costs))</f>
        <v>1287.268388079337</v>
      </c>
      <c r="W281" s="49">
        <f ca="1">(Marine!CA_capex_to_recover+Marine!CA_unrecov_costs_to_recover+W245)+(V283*(1+Marine!int_rate_cf_costs))</f>
        <v>1131.5034035204344</v>
      </c>
      <c r="X281" s="49">
        <f ca="1">(Marine!CA_capex_to_recover+Marine!CA_unrecov_costs_to_recover+X245)+(W283*(1+Marine!int_rate_cf_costs))</f>
        <v>1006.0073543220044</v>
      </c>
      <c r="Y281" s="49">
        <f ca="1">(Marine!CA_capex_to_recover+Marine!CA_unrecov_costs_to_recover+Y245)+(X283*(1+Marine!int_rate_cf_costs))</f>
        <v>938.55324343091524</v>
      </c>
      <c r="Z281" s="49">
        <f ca="1">(Marine!CA_capex_to_recover+Marine!CA_unrecov_costs_to_recover+Z245)+(Y283*(1+Marine!int_rate_cf_costs))</f>
        <v>938.55324343091524</v>
      </c>
      <c r="AA281" s="49">
        <f ca="1">(Marine!CA_capex_to_recover+Marine!CA_unrecov_costs_to_recover+AA245)+(Z283*(1+Marine!int_rate_cf_costs))</f>
        <v>938.55324343091524</v>
      </c>
      <c r="AB281" s="49">
        <f ca="1">(Marine!CA_capex_to_recover+Marine!CA_unrecov_costs_to_recover+AB245)+(AA283*(1+Marine!int_rate_cf_costs))</f>
        <v>938.55324343091524</v>
      </c>
      <c r="AC281" s="49">
        <f ca="1">(Marine!CA_capex_to_recover+Marine!CA_unrecov_costs_to_recover+AC245)+(AB283*(1+Marine!int_rate_cf_costs))</f>
        <v>938.55324343091524</v>
      </c>
      <c r="AD281" s="49">
        <f ca="1">(Marine!CA_capex_to_recover+Marine!CA_unrecov_costs_to_recover+AD245)+(AC283*(1+Marine!int_rate_cf_costs))</f>
        <v>938.55324343091524</v>
      </c>
      <c r="AE281" s="49">
        <f ca="1">(Marine!CA_capex_to_recover+Marine!CA_unrecov_costs_to_recover+AE245)+(AD283*(1+Marine!int_rate_cf_costs))</f>
        <v>938.55324343091524</v>
      </c>
      <c r="AF281" s="49">
        <f ca="1">(Marine!CA_capex_to_recover+Marine!CA_unrecov_costs_to_recover+AF245)+(AE283*(1+Marine!int_rate_cf_costs))</f>
        <v>938.55324343091524</v>
      </c>
      <c r="AG281" s="49">
        <f ca="1">(Marine!CA_capex_to_recover+Marine!CA_unrecov_costs_to_recover+AG245)+(AF283*(1+Marine!int_rate_cf_costs))</f>
        <v>938.55324343091524</v>
      </c>
      <c r="AH281" s="49">
        <f ca="1">(Marine!CA_capex_to_recover+Marine!CA_unrecov_costs_to_recover+AH245)+(AG283*(1+Marine!int_rate_cf_costs))</f>
        <v>938.55324343091524</v>
      </c>
      <c r="AI281" s="49">
        <f ca="1">(Marine!CA_capex_to_recover+Marine!CA_unrecov_costs_to_recover+AI245)+(AH283*(1+Marine!int_rate_cf_costs))</f>
        <v>938.55324343091524</v>
      </c>
      <c r="AJ281" s="49">
        <f ca="1">(Marine!CA_capex_to_recover+Marine!CA_unrecov_costs_to_recover+AJ245)+(AI283*(1+Marine!int_rate_cf_costs))</f>
        <v>938.55324343091524</v>
      </c>
      <c r="AK281" s="49">
        <f ca="1">(Marine!CA_capex_to_recover+Marine!CA_unrecov_costs_to_recover+AK245)+(AJ283*(1+Marine!int_rate_cf_costs))</f>
        <v>938.55324343091524</v>
      </c>
      <c r="AL281" s="49">
        <f ca="1">(Marine!CA_capex_to_recover+Marine!CA_unrecov_costs_to_recover+AL245)+(AK283*(1+Marine!int_rate_cf_costs))</f>
        <v>938.55324343091524</v>
      </c>
      <c r="AM281" s="49">
        <f ca="1">(Marine!CA_capex_to_recover+Marine!CA_unrecov_costs_to_recover+AM245)+(AL283*(1+Marine!int_rate_cf_costs))</f>
        <v>938.55324343091524</v>
      </c>
      <c r="AN281" s="49">
        <f ca="1">(Marine!CA_capex_to_recover+Marine!CA_unrecov_costs_to_recover+AN245)+(AM283*(1+Marine!int_rate_cf_costs))</f>
        <v>938.55324343091524</v>
      </c>
      <c r="AO281" s="49">
        <f ca="1">(Marine!CA_capex_to_recover+Marine!CA_unrecov_costs_to_recover+AO245)+(AN283*(1+Marine!int_rate_cf_costs))</f>
        <v>938.55324343091524</v>
      </c>
      <c r="AP281" s="49">
        <f ca="1">(Marine!CA_capex_to_recover+Marine!CA_unrecov_costs_to_recover+AP245)+(AO283*(1+Marine!int_rate_cf_costs))</f>
        <v>938.55324343091524</v>
      </c>
      <c r="AQ281" s="49">
        <f ca="1">(Marine!CA_capex_to_recover+Marine!CA_unrecov_costs_to_recover+AQ245)+(AP283*(1+Marine!int_rate_cf_costs))</f>
        <v>938.55324343091524</v>
      </c>
      <c r="AR281" s="49">
        <f ca="1">(Marine!CA_capex_to_recover+Marine!CA_unrecov_costs_to_recover+AR245)+(AQ283*(1+Marine!int_rate_cf_costs))</f>
        <v>938.55324343091524</v>
      </c>
      <c r="AS281" s="49">
        <f ca="1">(Marine!CA_capex_to_recover+Marine!CA_unrecov_costs_to_recover+AS245)+(AR283*(1+Marine!int_rate_cf_costs))</f>
        <v>938.55324343091524</v>
      </c>
      <c r="AT281" s="49">
        <f ca="1">(Marine!CA_capex_to_recover+Marine!CA_unrecov_costs_to_recover+AT245)+(AS283*(1+Marine!int_rate_cf_costs))</f>
        <v>938.55324343091524</v>
      </c>
      <c r="AU281" s="49">
        <f ca="1">(Marine!CA_capex_to_recover+Marine!CA_unrecov_costs_to_recover+AU245)+(AT283*(1+Marine!int_rate_cf_costs))</f>
        <v>938.55324343091524</v>
      </c>
      <c r="AV281" s="49">
        <f ca="1">(Marine!CA_capex_to_recover+Marine!CA_unrecov_costs_to_recover+AV245)+(AU283*(1+Marine!int_rate_cf_costs))</f>
        <v>938.55324343091524</v>
      </c>
      <c r="AW281" s="49">
        <f ca="1">(Marine!CA_capex_to_recover+Marine!CA_unrecov_costs_to_recover+AW245)+(AV283*(1+Marine!int_rate_cf_costs))</f>
        <v>938.55324343091524</v>
      </c>
      <c r="AX281" s="49">
        <f ca="1">(Marine!CA_capex_to_recover+Marine!CA_unrecov_costs_to_recover+AX245)+(AW283*(1+Marine!int_rate_cf_costs))</f>
        <v>938.55324343091524</v>
      </c>
      <c r="AY281" s="49">
        <f ca="1">(Marine!CA_capex_to_recover+Marine!CA_unrecov_costs_to_recover+AY245)+(AX283*(1+Marine!int_rate_cf_costs))</f>
        <v>938.55324343091524</v>
      </c>
      <c r="AZ281" s="49">
        <f ca="1">(Marine!CA_capex_to_recover+Marine!CA_unrecov_costs_to_recover+AZ245)+(AY283*(1+Marine!int_rate_cf_costs))</f>
        <v>938.55324343091524</v>
      </c>
      <c r="BA281" s="49">
        <f ca="1">(Marine!CA_capex_to_recover+Marine!CA_unrecov_costs_to_recover+BA245)+(AZ283*(1+Marine!int_rate_cf_costs))</f>
        <v>938.55324343091524</v>
      </c>
      <c r="BB281" s="49">
        <f ca="1">(Marine!CA_capex_to_recover+Marine!CA_unrecov_costs_to_recover+BB245)+(BA283*(1+Marine!int_rate_cf_costs))</f>
        <v>938.55324343091524</v>
      </c>
      <c r="BC281" s="49">
        <f ca="1">(Marine!CA_capex_to_recover+Marine!CA_unrecov_costs_to_recover+BC245)+(BB283*(1+Marine!int_rate_cf_costs))</f>
        <v>938.55324343091524</v>
      </c>
      <c r="BD281" s="49">
        <f ca="1">(Marine!CA_capex_to_recover+Marine!CA_unrecov_costs_to_recover+BD245)+(BC283*(1+Marine!int_rate_cf_costs))</f>
        <v>938.55324343091524</v>
      </c>
      <c r="BE281" s="49">
        <f ca="1">(Marine!CA_capex_to_recover+Marine!CA_unrecov_costs_to_recover+BE245)+(BD283*(1+Marine!int_rate_cf_costs))</f>
        <v>938.55324343091524</v>
      </c>
      <c r="BF281" s="49">
        <f ca="1">(Marine!CA_capex_to_recover+Marine!CA_unrecov_costs_to_recover+BF245)+(BE283*(1+Marine!int_rate_cf_costs))</f>
        <v>938.55324343091524</v>
      </c>
      <c r="BG281" s="49">
        <f ca="1">(Marine!CA_capex_to_recover+Marine!CA_unrecov_costs_to_recover+BG245)+(BF283*(1+Marine!int_rate_cf_costs))</f>
        <v>938.55324343091524</v>
      </c>
      <c r="BH281" s="49">
        <f ca="1">(Marine!CA_capex_to_recover+Marine!CA_unrecov_costs_to_recover+BH245)+(BG283*(1+Marine!int_rate_cf_costs))</f>
        <v>938.55324343091524</v>
      </c>
      <c r="BI281" s="49">
        <f ca="1">(Marine!CA_capex_to_recover+Marine!CA_unrecov_costs_to_recover+BI245)+(BH283*(1+Marine!int_rate_cf_costs))</f>
        <v>938.55324343091524</v>
      </c>
      <c r="BJ281" s="49">
        <f ca="1">(Marine!CA_capex_to_recover+Marine!CA_unrecov_costs_to_recover+BJ245)+(BI283*(1+Marine!int_rate_cf_costs))</f>
        <v>938.55324343091524</v>
      </c>
      <c r="BK281" s="49">
        <f ca="1">(Marine!CA_capex_to_recover+Marine!CA_unrecov_costs_to_recover+BK245)+(BJ283*(1+Marine!int_rate_cf_costs))</f>
        <v>938.55324343091524</v>
      </c>
      <c r="BL281" s="49">
        <f ca="1">(Marine!CA_capex_to_recover+Marine!CA_unrecov_costs_to_recover+BL245)+(BK283*(1+Marine!int_rate_cf_costs))</f>
        <v>938.55324343091524</v>
      </c>
      <c r="BM281" s="49">
        <f ca="1">(Marine!CA_capex_to_recover+Marine!CA_unrecov_costs_to_recover+BM245)+(BL283*(1+Marine!int_rate_cf_costs))</f>
        <v>938.55324343091524</v>
      </c>
      <c r="BN281" s="49">
        <f ca="1">(Marine!CA_capex_to_recover+Marine!CA_unrecov_costs_to_recover+BN245)+(BM283*(1+Marine!int_rate_cf_costs))</f>
        <v>938.55324343091524</v>
      </c>
      <c r="BO281" s="49">
        <f ca="1">(Marine!CA_capex_to_recover+Marine!CA_unrecov_costs_to_recover+BO245)+(BN283*(1+Marine!int_rate_cf_costs))</f>
        <v>938.55324343091524</v>
      </c>
      <c r="BP281" s="49">
        <f ca="1">(Marine!CA_capex_to_recover+Marine!CA_unrecov_costs_to_recover+BP245)+(BO283*(1+Marine!int_rate_cf_costs))</f>
        <v>938.55324343091524</v>
      </c>
      <c r="BQ281" s="49">
        <f ca="1">(Marine!CA_capex_to_recover+Marine!CA_unrecov_costs_to_recover+BQ245)+(BP283*(1+Marine!int_rate_cf_costs))</f>
        <v>938.55324343091524</v>
      </c>
      <c r="BR281" s="49">
        <f ca="1">(Marine!CA_capex_to_recover+Marine!CA_unrecov_costs_to_recover+BR245)+(BQ283*(1+Marine!int_rate_cf_costs))</f>
        <v>938.55324343091524</v>
      </c>
      <c r="BS281" s="49">
        <f ca="1">(Marine!CA_capex_to_recover+Marine!CA_unrecov_costs_to_recover+BS245)+(BR283*(1+Marine!int_rate_cf_costs))</f>
        <v>938.55324343091524</v>
      </c>
    </row>
    <row r="282" spans="4:71" outlineLevel="1" x14ac:dyDescent="0.2">
      <c r="E282" t="s">
        <v>204</v>
      </c>
      <c r="H282" s="56" t="b">
        <f ca="1">ROUND(I282,2)=-ROUND(I281,2)</f>
        <v>0</v>
      </c>
      <c r="I282" s="30">
        <f t="shared" ca="1" si="95"/>
        <v>-593.37643543984939</v>
      </c>
      <c r="J282" s="26" t="s">
        <v>148</v>
      </c>
      <c r="L282" s="49">
        <f ca="1">-MIN(L281,L280)</f>
        <v>0</v>
      </c>
      <c r="M282" s="49">
        <f t="shared" ref="M282:BS282" ca="1" si="98">-MIN(M281,M280)</f>
        <v>0</v>
      </c>
      <c r="N282" s="49">
        <f t="shared" ca="1" si="98"/>
        <v>0</v>
      </c>
      <c r="O282" s="49">
        <f t="shared" ca="1" si="98"/>
        <v>0</v>
      </c>
      <c r="P282" s="49">
        <f t="shared" ca="1" si="98"/>
        <v>0</v>
      </c>
      <c r="Q282" s="49">
        <f t="shared" ca="1" si="98"/>
        <v>-185.71595051290853</v>
      </c>
      <c r="R282" s="49">
        <f t="shared" ca="1" si="98"/>
        <v>-2.4745312635745105</v>
      </c>
      <c r="S282" s="49">
        <f t="shared" ca="1" si="98"/>
        <v>-67.656119999999987</v>
      </c>
      <c r="T282" s="49">
        <f t="shared" ca="1" si="98"/>
        <v>-67.558437623762359</v>
      </c>
      <c r="U282" s="49">
        <f t="shared" ca="1" si="98"/>
        <v>-67.526685148514844</v>
      </c>
      <c r="V282" s="49">
        <f t="shared" ca="1" si="98"/>
        <v>-67.498075247524739</v>
      </c>
      <c r="W282" s="49">
        <f t="shared" ca="1" si="98"/>
        <v>-67.492524752475248</v>
      </c>
      <c r="X282" s="49">
        <f t="shared" ca="1" si="98"/>
        <v>-67.454110891089115</v>
      </c>
      <c r="Y282" s="49">
        <f t="shared" ca="1" si="98"/>
        <v>0</v>
      </c>
      <c r="Z282" s="49">
        <f t="shared" ca="1" si="98"/>
        <v>0</v>
      </c>
      <c r="AA282" s="49">
        <f t="shared" ca="1" si="98"/>
        <v>0</v>
      </c>
      <c r="AB282" s="49">
        <f t="shared" ca="1" si="98"/>
        <v>0</v>
      </c>
      <c r="AC282" s="49">
        <f t="shared" ca="1" si="98"/>
        <v>0</v>
      </c>
      <c r="AD282" s="49">
        <f t="shared" ca="1" si="98"/>
        <v>0</v>
      </c>
      <c r="AE282" s="49">
        <f t="shared" ca="1" si="98"/>
        <v>0</v>
      </c>
      <c r="AF282" s="49">
        <f t="shared" ca="1" si="98"/>
        <v>0</v>
      </c>
      <c r="AG282" s="49">
        <f t="shared" ca="1" si="98"/>
        <v>0</v>
      </c>
      <c r="AH282" s="49">
        <f t="shared" ca="1" si="98"/>
        <v>0</v>
      </c>
      <c r="AI282" s="49">
        <f t="shared" ca="1" si="98"/>
        <v>0</v>
      </c>
      <c r="AJ282" s="49">
        <f t="shared" ca="1" si="98"/>
        <v>0</v>
      </c>
      <c r="AK282" s="49">
        <f t="shared" ca="1" si="98"/>
        <v>0</v>
      </c>
      <c r="AL282" s="49">
        <f t="shared" ca="1" si="98"/>
        <v>0</v>
      </c>
      <c r="AM282" s="49">
        <f t="shared" ca="1" si="98"/>
        <v>0</v>
      </c>
      <c r="AN282" s="49">
        <f t="shared" ca="1" si="98"/>
        <v>0</v>
      </c>
      <c r="AO282" s="49">
        <f t="shared" ca="1" si="98"/>
        <v>0</v>
      </c>
      <c r="AP282" s="49">
        <f t="shared" ca="1" si="98"/>
        <v>0</v>
      </c>
      <c r="AQ282" s="49">
        <f t="shared" ca="1" si="98"/>
        <v>0</v>
      </c>
      <c r="AR282" s="49">
        <f t="shared" ca="1" si="98"/>
        <v>0</v>
      </c>
      <c r="AS282" s="49">
        <f t="shared" ca="1" si="98"/>
        <v>0</v>
      </c>
      <c r="AT282" s="49">
        <f t="shared" ca="1" si="98"/>
        <v>0</v>
      </c>
      <c r="AU282" s="49">
        <f t="shared" ca="1" si="98"/>
        <v>0</v>
      </c>
      <c r="AV282" s="49">
        <f t="shared" ca="1" si="98"/>
        <v>0</v>
      </c>
      <c r="AW282" s="49">
        <f t="shared" ca="1" si="98"/>
        <v>0</v>
      </c>
      <c r="AX282" s="49">
        <f t="shared" ca="1" si="98"/>
        <v>0</v>
      </c>
      <c r="AY282" s="49">
        <f t="shared" ca="1" si="98"/>
        <v>0</v>
      </c>
      <c r="AZ282" s="49">
        <f t="shared" ca="1" si="98"/>
        <v>0</v>
      </c>
      <c r="BA282" s="49">
        <f t="shared" ca="1" si="98"/>
        <v>0</v>
      </c>
      <c r="BB282" s="49">
        <f t="shared" ca="1" si="98"/>
        <v>0</v>
      </c>
      <c r="BC282" s="49">
        <f t="shared" ca="1" si="98"/>
        <v>0</v>
      </c>
      <c r="BD282" s="49">
        <f t="shared" ca="1" si="98"/>
        <v>0</v>
      </c>
      <c r="BE282" s="49">
        <f t="shared" ca="1" si="98"/>
        <v>0</v>
      </c>
      <c r="BF282" s="49">
        <f t="shared" ca="1" si="98"/>
        <v>0</v>
      </c>
      <c r="BG282" s="49">
        <f t="shared" ca="1" si="98"/>
        <v>0</v>
      </c>
      <c r="BH282" s="49">
        <f t="shared" ca="1" si="98"/>
        <v>0</v>
      </c>
      <c r="BI282" s="49">
        <f t="shared" ca="1" si="98"/>
        <v>0</v>
      </c>
      <c r="BJ282" s="49">
        <f t="shared" ca="1" si="98"/>
        <v>0</v>
      </c>
      <c r="BK282" s="49">
        <f t="shared" ca="1" si="98"/>
        <v>0</v>
      </c>
      <c r="BL282" s="49">
        <f t="shared" ca="1" si="98"/>
        <v>0</v>
      </c>
      <c r="BM282" s="49">
        <f t="shared" ca="1" si="98"/>
        <v>0</v>
      </c>
      <c r="BN282" s="49">
        <f t="shared" ca="1" si="98"/>
        <v>0</v>
      </c>
      <c r="BO282" s="49">
        <f t="shared" ca="1" si="98"/>
        <v>0</v>
      </c>
      <c r="BP282" s="49">
        <f t="shared" ca="1" si="98"/>
        <v>0</v>
      </c>
      <c r="BQ282" s="49">
        <f t="shared" ca="1" si="98"/>
        <v>0</v>
      </c>
      <c r="BR282" s="49">
        <f t="shared" ca="1" si="98"/>
        <v>0</v>
      </c>
      <c r="BS282" s="49">
        <f t="shared" ca="1" si="98"/>
        <v>0</v>
      </c>
    </row>
    <row r="283" spans="4:71" outlineLevel="1" x14ac:dyDescent="0.2">
      <c r="E283" t="s">
        <v>195</v>
      </c>
      <c r="J283" s="26"/>
      <c r="L283" s="49">
        <f ca="1">L281+L282</f>
        <v>217.36199999999999</v>
      </c>
      <c r="M283" s="49">
        <f t="shared" ref="M283:BS283" ca="1" si="99">M281+M282</f>
        <v>649.50599999999997</v>
      </c>
      <c r="N283" s="49">
        <f t="shared" ca="1" si="99"/>
        <v>1331.836</v>
      </c>
      <c r="O283" s="49">
        <f t="shared" ca="1" si="99"/>
        <v>1759.8409999999999</v>
      </c>
      <c r="P283" s="49">
        <f t="shared" ca="1" si="99"/>
        <v>2166.3719999999998</v>
      </c>
      <c r="Q283" s="49">
        <f t="shared" ca="1" si="99"/>
        <v>2207.9260494870914</v>
      </c>
      <c r="R283" s="49">
        <f t="shared" ca="1" si="99"/>
        <v>1957.7285444717909</v>
      </c>
      <c r="S283" s="49">
        <f t="shared" ca="1" si="99"/>
        <v>1848.2148328992907</v>
      </c>
      <c r="T283" s="49">
        <f t="shared" ca="1" si="99"/>
        <v>1621.3434376413309</v>
      </c>
      <c r="U283" s="49">
        <f t="shared" ca="1" si="99"/>
        <v>1405.5534884156091</v>
      </c>
      <c r="V283" s="49">
        <f t="shared" ca="1" si="99"/>
        <v>1219.7703128318124</v>
      </c>
      <c r="W283" s="49">
        <f t="shared" ca="1" si="99"/>
        <v>1064.0108787679592</v>
      </c>
      <c r="X283" s="49">
        <f t="shared" ca="1" si="99"/>
        <v>938.55324343091524</v>
      </c>
      <c r="Y283" s="49">
        <f t="shared" ca="1" si="99"/>
        <v>938.55324343091524</v>
      </c>
      <c r="Z283" s="49">
        <f t="shared" ca="1" si="99"/>
        <v>938.55324343091524</v>
      </c>
      <c r="AA283" s="49">
        <f t="shared" ca="1" si="99"/>
        <v>938.55324343091524</v>
      </c>
      <c r="AB283" s="49">
        <f t="shared" ca="1" si="99"/>
        <v>938.55324343091524</v>
      </c>
      <c r="AC283" s="49">
        <f t="shared" ca="1" si="99"/>
        <v>938.55324343091524</v>
      </c>
      <c r="AD283" s="49">
        <f t="shared" ca="1" si="99"/>
        <v>938.55324343091524</v>
      </c>
      <c r="AE283" s="49">
        <f t="shared" ca="1" si="99"/>
        <v>938.55324343091524</v>
      </c>
      <c r="AF283" s="49">
        <f t="shared" ca="1" si="99"/>
        <v>938.55324343091524</v>
      </c>
      <c r="AG283" s="49">
        <f t="shared" ca="1" si="99"/>
        <v>938.55324343091524</v>
      </c>
      <c r="AH283" s="49">
        <f t="shared" ca="1" si="99"/>
        <v>938.55324343091524</v>
      </c>
      <c r="AI283" s="49">
        <f t="shared" ca="1" si="99"/>
        <v>938.55324343091524</v>
      </c>
      <c r="AJ283" s="49">
        <f t="shared" ca="1" si="99"/>
        <v>938.55324343091524</v>
      </c>
      <c r="AK283" s="49">
        <f t="shared" ca="1" si="99"/>
        <v>938.55324343091524</v>
      </c>
      <c r="AL283" s="49">
        <f t="shared" ca="1" si="99"/>
        <v>938.55324343091524</v>
      </c>
      <c r="AM283" s="49">
        <f t="shared" ca="1" si="99"/>
        <v>938.55324343091524</v>
      </c>
      <c r="AN283" s="49">
        <f t="shared" ca="1" si="99"/>
        <v>938.55324343091524</v>
      </c>
      <c r="AO283" s="49">
        <f t="shared" ca="1" si="99"/>
        <v>938.55324343091524</v>
      </c>
      <c r="AP283" s="49">
        <f t="shared" ca="1" si="99"/>
        <v>938.55324343091524</v>
      </c>
      <c r="AQ283" s="49">
        <f t="shared" ca="1" si="99"/>
        <v>938.55324343091524</v>
      </c>
      <c r="AR283" s="49">
        <f t="shared" ca="1" si="99"/>
        <v>938.55324343091524</v>
      </c>
      <c r="AS283" s="49">
        <f t="shared" ca="1" si="99"/>
        <v>938.55324343091524</v>
      </c>
      <c r="AT283" s="49">
        <f t="shared" ca="1" si="99"/>
        <v>938.55324343091524</v>
      </c>
      <c r="AU283" s="49">
        <f t="shared" ca="1" si="99"/>
        <v>938.55324343091524</v>
      </c>
      <c r="AV283" s="49">
        <f t="shared" ca="1" si="99"/>
        <v>938.55324343091524</v>
      </c>
      <c r="AW283" s="49">
        <f t="shared" ca="1" si="99"/>
        <v>938.55324343091524</v>
      </c>
      <c r="AX283" s="49">
        <f t="shared" ca="1" si="99"/>
        <v>938.55324343091524</v>
      </c>
      <c r="AY283" s="49">
        <f t="shared" ca="1" si="99"/>
        <v>938.55324343091524</v>
      </c>
      <c r="AZ283" s="49">
        <f t="shared" ca="1" si="99"/>
        <v>938.55324343091524</v>
      </c>
      <c r="BA283" s="49">
        <f t="shared" ca="1" si="99"/>
        <v>938.55324343091524</v>
      </c>
      <c r="BB283" s="49">
        <f t="shared" ca="1" si="99"/>
        <v>938.55324343091524</v>
      </c>
      <c r="BC283" s="49">
        <f t="shared" ca="1" si="99"/>
        <v>938.55324343091524</v>
      </c>
      <c r="BD283" s="49">
        <f t="shared" ca="1" si="99"/>
        <v>938.55324343091524</v>
      </c>
      <c r="BE283" s="49">
        <f t="shared" ca="1" si="99"/>
        <v>938.55324343091524</v>
      </c>
      <c r="BF283" s="49">
        <f t="shared" ca="1" si="99"/>
        <v>938.55324343091524</v>
      </c>
      <c r="BG283" s="49">
        <f t="shared" ca="1" si="99"/>
        <v>938.55324343091524</v>
      </c>
      <c r="BH283" s="49">
        <f t="shared" ca="1" si="99"/>
        <v>938.55324343091524</v>
      </c>
      <c r="BI283" s="49">
        <f t="shared" ca="1" si="99"/>
        <v>938.55324343091524</v>
      </c>
      <c r="BJ283" s="49">
        <f t="shared" ca="1" si="99"/>
        <v>938.55324343091524</v>
      </c>
      <c r="BK283" s="49">
        <f t="shared" ca="1" si="99"/>
        <v>938.55324343091524</v>
      </c>
      <c r="BL283" s="49">
        <f t="shared" ca="1" si="99"/>
        <v>938.55324343091524</v>
      </c>
      <c r="BM283" s="49">
        <f t="shared" ca="1" si="99"/>
        <v>938.55324343091524</v>
      </c>
      <c r="BN283" s="49">
        <f t="shared" ca="1" si="99"/>
        <v>938.55324343091524</v>
      </c>
      <c r="BO283" s="49">
        <f t="shared" ca="1" si="99"/>
        <v>938.55324343091524</v>
      </c>
      <c r="BP283" s="49">
        <f t="shared" ca="1" si="99"/>
        <v>938.55324343091524</v>
      </c>
      <c r="BQ283" s="49">
        <f t="shared" ca="1" si="99"/>
        <v>938.55324343091524</v>
      </c>
      <c r="BR283" s="49">
        <f t="shared" ca="1" si="99"/>
        <v>938.55324343091524</v>
      </c>
      <c r="BS283" s="49">
        <f t="shared" ca="1" si="99"/>
        <v>938.55324343091524</v>
      </c>
    </row>
    <row r="284" spans="4:71" outlineLevel="1" x14ac:dyDescent="0.2">
      <c r="J284" s="26"/>
      <c r="L284" s="55"/>
      <c r="M284" s="55"/>
      <c r="N284" s="55"/>
      <c r="O284" s="55"/>
      <c r="P284" s="55"/>
      <c r="Q284" s="55"/>
      <c r="R284" s="55"/>
      <c r="S284" s="55"/>
      <c r="T284" s="55"/>
      <c r="U284" s="55"/>
      <c r="V284" s="55"/>
      <c r="W284" s="55"/>
      <c r="X284" s="55"/>
      <c r="Y284" s="55"/>
      <c r="Z284" s="55"/>
      <c r="AA284" s="55"/>
      <c r="AB284" s="55"/>
      <c r="AC284" s="55"/>
      <c r="AD284" s="55"/>
      <c r="AE284" s="55"/>
      <c r="AF284" s="55"/>
      <c r="AG284" s="55"/>
      <c r="AH284" s="55"/>
      <c r="AI284" s="55"/>
      <c r="AJ284" s="55"/>
      <c r="AK284" s="55"/>
      <c r="AL284" s="55"/>
      <c r="AM284" s="55"/>
      <c r="AN284" s="55"/>
      <c r="AO284" s="55"/>
      <c r="AP284" s="55"/>
      <c r="AQ284" s="55"/>
      <c r="AR284" s="55"/>
      <c r="AS284" s="55"/>
      <c r="AT284" s="55"/>
      <c r="AU284" s="55"/>
      <c r="AV284" s="55"/>
      <c r="AW284" s="55"/>
      <c r="AX284" s="55"/>
      <c r="AY284" s="55"/>
      <c r="AZ284" s="55"/>
      <c r="BA284" s="55"/>
      <c r="BB284" s="55"/>
      <c r="BC284" s="55"/>
      <c r="BD284" s="55"/>
      <c r="BE284" s="55"/>
      <c r="BF284" s="55"/>
      <c r="BG284" s="55"/>
      <c r="BH284" s="55"/>
      <c r="BI284" s="55"/>
      <c r="BJ284" s="55"/>
      <c r="BK284" s="55"/>
      <c r="BL284" s="55"/>
      <c r="BM284" s="55"/>
      <c r="BN284" s="55"/>
      <c r="BO284" s="55"/>
      <c r="BP284" s="55"/>
      <c r="BQ284" s="55"/>
      <c r="BR284" s="55"/>
      <c r="BS284" s="55"/>
    </row>
    <row r="285" spans="4:71" outlineLevel="1" x14ac:dyDescent="0.2">
      <c r="D285" s="51" t="s">
        <v>184</v>
      </c>
      <c r="J285" s="26"/>
      <c r="L285" s="55"/>
      <c r="M285" s="55"/>
      <c r="N285" s="55"/>
      <c r="O285" s="55"/>
      <c r="P285" s="55"/>
      <c r="Q285" s="55"/>
      <c r="R285" s="55"/>
      <c r="S285" s="55"/>
      <c r="T285" s="55"/>
      <c r="U285" s="55"/>
      <c r="V285" s="55"/>
      <c r="W285" s="55"/>
      <c r="X285" s="55"/>
      <c r="Y285" s="55"/>
      <c r="Z285" s="55"/>
      <c r="AA285" s="55"/>
      <c r="AB285" s="55"/>
      <c r="AC285" s="55"/>
      <c r="AD285" s="55"/>
      <c r="AE285" s="55"/>
      <c r="AF285" s="55"/>
      <c r="AG285" s="55"/>
      <c r="AH285" s="55"/>
      <c r="AI285" s="55"/>
      <c r="AJ285" s="55"/>
      <c r="AK285" s="55"/>
      <c r="AL285" s="55"/>
      <c r="AM285" s="55"/>
      <c r="AN285" s="55"/>
      <c r="AO285" s="55"/>
      <c r="AP285" s="55"/>
      <c r="AQ285" s="55"/>
      <c r="AR285" s="55"/>
      <c r="AS285" s="55"/>
      <c r="AT285" s="55"/>
      <c r="AU285" s="55"/>
      <c r="AV285" s="55"/>
      <c r="AW285" s="55"/>
      <c r="AX285" s="55"/>
      <c r="AY285" s="55"/>
      <c r="AZ285" s="55"/>
      <c r="BA285" s="55"/>
      <c r="BB285" s="55"/>
      <c r="BC285" s="55"/>
      <c r="BD285" s="55"/>
      <c r="BE285" s="55"/>
      <c r="BF285" s="55"/>
      <c r="BG285" s="55"/>
      <c r="BH285" s="55"/>
      <c r="BI285" s="55"/>
      <c r="BJ285" s="55"/>
      <c r="BK285" s="55"/>
      <c r="BL285" s="55"/>
      <c r="BM285" s="55"/>
      <c r="BN285" s="55"/>
      <c r="BO285" s="55"/>
      <c r="BP285" s="55"/>
      <c r="BQ285" s="55"/>
      <c r="BR285" s="55"/>
      <c r="BS285" s="55"/>
    </row>
    <row r="286" spans="4:71" outlineLevel="1" x14ac:dyDescent="0.2">
      <c r="E286" t="s">
        <v>192</v>
      </c>
      <c r="I286" s="30">
        <f t="shared" ca="1" si="71"/>
        <v>0</v>
      </c>
      <c r="J286" s="26" t="s">
        <v>148</v>
      </c>
      <c r="L286" s="49">
        <f t="shared" ref="L286:AQ286" ca="1" si="100">CA_cost_stop_gas+L270+L276+L282</f>
        <v>0</v>
      </c>
      <c r="M286" s="49">
        <f t="shared" ca="1" si="100"/>
        <v>0</v>
      </c>
      <c r="N286" s="49">
        <f t="shared" ca="1" si="100"/>
        <v>0</v>
      </c>
      <c r="O286" s="49">
        <f t="shared" ca="1" si="100"/>
        <v>0</v>
      </c>
      <c r="P286" s="49">
        <f t="shared" ca="1" si="100"/>
        <v>0</v>
      </c>
      <c r="Q286" s="49">
        <f t="shared" ca="1" si="100"/>
        <v>0</v>
      </c>
      <c r="R286" s="49">
        <f t="shared" ca="1" si="100"/>
        <v>0</v>
      </c>
      <c r="S286" s="49">
        <f t="shared" ca="1" si="100"/>
        <v>0</v>
      </c>
      <c r="T286" s="49">
        <f t="shared" ca="1" si="100"/>
        <v>0</v>
      </c>
      <c r="U286" s="49">
        <f t="shared" ca="1" si="100"/>
        <v>0</v>
      </c>
      <c r="V286" s="49">
        <f t="shared" ca="1" si="100"/>
        <v>0</v>
      </c>
      <c r="W286" s="49">
        <f t="shared" ca="1" si="100"/>
        <v>0</v>
      </c>
      <c r="X286" s="49">
        <f t="shared" ca="1" si="100"/>
        <v>0</v>
      </c>
      <c r="Y286" s="49">
        <f t="shared" ca="1" si="100"/>
        <v>0</v>
      </c>
      <c r="Z286" s="49">
        <f t="shared" ca="1" si="100"/>
        <v>0</v>
      </c>
      <c r="AA286" s="49">
        <f t="shared" ca="1" si="100"/>
        <v>0</v>
      </c>
      <c r="AB286" s="49">
        <f t="shared" ca="1" si="100"/>
        <v>0</v>
      </c>
      <c r="AC286" s="49">
        <f t="shared" ca="1" si="100"/>
        <v>0</v>
      </c>
      <c r="AD286" s="49">
        <f t="shared" ca="1" si="100"/>
        <v>0</v>
      </c>
      <c r="AE286" s="49">
        <f t="shared" ca="1" si="100"/>
        <v>0</v>
      </c>
      <c r="AF286" s="49">
        <f t="shared" ca="1" si="100"/>
        <v>0</v>
      </c>
      <c r="AG286" s="49">
        <f t="shared" ca="1" si="100"/>
        <v>0</v>
      </c>
      <c r="AH286" s="49">
        <f t="shared" ca="1" si="100"/>
        <v>0</v>
      </c>
      <c r="AI286" s="49">
        <f t="shared" ca="1" si="100"/>
        <v>0</v>
      </c>
      <c r="AJ286" s="49">
        <f t="shared" ca="1" si="100"/>
        <v>0</v>
      </c>
      <c r="AK286" s="49">
        <f t="shared" ca="1" si="100"/>
        <v>0</v>
      </c>
      <c r="AL286" s="49">
        <f t="shared" ca="1" si="100"/>
        <v>0</v>
      </c>
      <c r="AM286" s="49">
        <f t="shared" ca="1" si="100"/>
        <v>0</v>
      </c>
      <c r="AN286" s="49">
        <f t="shared" ca="1" si="100"/>
        <v>0</v>
      </c>
      <c r="AO286" s="49">
        <f t="shared" ca="1" si="100"/>
        <v>0</v>
      </c>
      <c r="AP286" s="49">
        <f t="shared" ca="1" si="100"/>
        <v>0</v>
      </c>
      <c r="AQ286" s="49">
        <f t="shared" ca="1" si="100"/>
        <v>0</v>
      </c>
      <c r="AR286" s="49">
        <f t="shared" ref="AR286:BS286" ca="1" si="101">CA_cost_stop_gas+AR270+AR276+AR282</f>
        <v>0</v>
      </c>
      <c r="AS286" s="49">
        <f t="shared" ca="1" si="101"/>
        <v>0</v>
      </c>
      <c r="AT286" s="49">
        <f t="shared" ca="1" si="101"/>
        <v>0</v>
      </c>
      <c r="AU286" s="49">
        <f t="shared" ca="1" si="101"/>
        <v>0</v>
      </c>
      <c r="AV286" s="49">
        <f t="shared" ca="1" si="101"/>
        <v>0</v>
      </c>
      <c r="AW286" s="49">
        <f t="shared" ca="1" si="101"/>
        <v>0</v>
      </c>
      <c r="AX286" s="49">
        <f t="shared" ca="1" si="101"/>
        <v>0</v>
      </c>
      <c r="AY286" s="49">
        <f t="shared" ca="1" si="101"/>
        <v>0</v>
      </c>
      <c r="AZ286" s="49">
        <f t="shared" ca="1" si="101"/>
        <v>0</v>
      </c>
      <c r="BA286" s="49">
        <f t="shared" ca="1" si="101"/>
        <v>0</v>
      </c>
      <c r="BB286" s="49">
        <f t="shared" ca="1" si="101"/>
        <v>0</v>
      </c>
      <c r="BC286" s="49">
        <f t="shared" ca="1" si="101"/>
        <v>0</v>
      </c>
      <c r="BD286" s="49">
        <f t="shared" ca="1" si="101"/>
        <v>0</v>
      </c>
      <c r="BE286" s="49">
        <f t="shared" ca="1" si="101"/>
        <v>0</v>
      </c>
      <c r="BF286" s="49">
        <f t="shared" ca="1" si="101"/>
        <v>0</v>
      </c>
      <c r="BG286" s="49">
        <f t="shared" ca="1" si="101"/>
        <v>0</v>
      </c>
      <c r="BH286" s="49">
        <f t="shared" ca="1" si="101"/>
        <v>0</v>
      </c>
      <c r="BI286" s="49">
        <f t="shared" ca="1" si="101"/>
        <v>0</v>
      </c>
      <c r="BJ286" s="49">
        <f t="shared" ca="1" si="101"/>
        <v>0</v>
      </c>
      <c r="BK286" s="49">
        <f t="shared" ca="1" si="101"/>
        <v>0</v>
      </c>
      <c r="BL286" s="49">
        <f t="shared" ca="1" si="101"/>
        <v>0</v>
      </c>
      <c r="BM286" s="49">
        <f t="shared" ca="1" si="101"/>
        <v>0</v>
      </c>
      <c r="BN286" s="49">
        <f t="shared" ca="1" si="101"/>
        <v>0</v>
      </c>
      <c r="BO286" s="49">
        <f t="shared" ca="1" si="101"/>
        <v>0</v>
      </c>
      <c r="BP286" s="49">
        <f t="shared" ca="1" si="101"/>
        <v>0</v>
      </c>
      <c r="BQ286" s="49">
        <f t="shared" ca="1" si="101"/>
        <v>0</v>
      </c>
      <c r="BR286" s="49">
        <f t="shared" ca="1" si="101"/>
        <v>0</v>
      </c>
      <c r="BS286" s="49">
        <f t="shared" ca="1" si="101"/>
        <v>0</v>
      </c>
    </row>
    <row r="287" spans="4:71" outlineLevel="1" x14ac:dyDescent="0.2">
      <c r="E287" t="s">
        <v>205</v>
      </c>
      <c r="I287" s="30">
        <f ca="1">I255</f>
        <v>0</v>
      </c>
      <c r="J287" s="26" t="s">
        <v>148</v>
      </c>
      <c r="L287" s="49">
        <f ca="1">(Marine!CA_expex_to_recover+L251)+(K289*(1+Marine!int_rate_cf_costs))</f>
        <v>170.22300000000001</v>
      </c>
      <c r="M287" s="49">
        <f ca="1">(Marine!CA_expex_to_recover+M251)+(L289*(1+Marine!int_rate_cf_costs))</f>
        <v>240.98600000000002</v>
      </c>
      <c r="N287" s="49">
        <f ca="1">(Marine!CA_expex_to_recover+N251)+(M289*(1+Marine!int_rate_cf_costs))</f>
        <v>336.62200000000001</v>
      </c>
      <c r="O287" s="49">
        <f ca="1">(Marine!CA_expex_to_recover+O251)+(N289*(1+Marine!int_rate_cf_costs))</f>
        <v>363.03100000000001</v>
      </c>
      <c r="P287" s="49">
        <f ca="1">(Marine!CA_expex_to_recover+P251)+(O289*(1+Marine!int_rate_cf_costs))</f>
        <v>363.791</v>
      </c>
      <c r="Q287" s="49">
        <f ca="1">(Marine!CA_expex_to_recover+Q251)+(P289*(1+Marine!int_rate_cf_costs))</f>
        <v>366.815</v>
      </c>
      <c r="R287" s="49">
        <f ca="1">(Marine!CA_expex_to_recover+R251)+(Q289*(1+Marine!int_rate_cf_costs))</f>
        <v>366.815</v>
      </c>
      <c r="S287" s="49">
        <f ca="1">(Marine!CA_expex_to_recover+S251)+(R289*(1+Marine!int_rate_cf_costs))</f>
        <v>366.815</v>
      </c>
      <c r="T287" s="49">
        <f ca="1">(Marine!CA_expex_to_recover+T251)+(S289*(1+Marine!int_rate_cf_costs))</f>
        <v>366.815</v>
      </c>
      <c r="U287" s="49">
        <f ca="1">(Marine!CA_expex_to_recover+U251)+(T289*(1+Marine!int_rate_cf_costs))</f>
        <v>366.815</v>
      </c>
      <c r="V287" s="49">
        <f ca="1">(Marine!CA_expex_to_recover+V251)+(U289*(1+Marine!int_rate_cf_costs))</f>
        <v>366.815</v>
      </c>
      <c r="W287" s="49">
        <f ca="1">(Marine!CA_expex_to_recover+W251)+(V289*(1+Marine!int_rate_cf_costs))</f>
        <v>366.815</v>
      </c>
      <c r="X287" s="49">
        <f ca="1">(Marine!CA_expex_to_recover+X251)+(W289*(1+Marine!int_rate_cf_costs))</f>
        <v>366.815</v>
      </c>
      <c r="Y287" s="49">
        <f ca="1">(Marine!CA_expex_to_recover+Y251)+(X289*(1+Marine!int_rate_cf_costs))</f>
        <v>366.815</v>
      </c>
      <c r="Z287" s="49">
        <f ca="1">(Marine!CA_expex_to_recover+Z251)+(Y289*(1+Marine!int_rate_cf_costs))</f>
        <v>366.815</v>
      </c>
      <c r="AA287" s="49">
        <f ca="1">(Marine!CA_expex_to_recover+AA251)+(Z289*(1+Marine!int_rate_cf_costs))</f>
        <v>366.815</v>
      </c>
      <c r="AB287" s="49">
        <f ca="1">(Marine!CA_expex_to_recover+AB251)+(AA289*(1+Marine!int_rate_cf_costs))</f>
        <v>366.815</v>
      </c>
      <c r="AC287" s="49">
        <f ca="1">(Marine!CA_expex_to_recover+AC251)+(AB289*(1+Marine!int_rate_cf_costs))</f>
        <v>366.815</v>
      </c>
      <c r="AD287" s="49">
        <f ca="1">(Marine!CA_expex_to_recover+AD251)+(AC289*(1+Marine!int_rate_cf_costs))</f>
        <v>366.815</v>
      </c>
      <c r="AE287" s="49">
        <f ca="1">(Marine!CA_expex_to_recover+AE251)+(AD289*(1+Marine!int_rate_cf_costs))</f>
        <v>366.815</v>
      </c>
      <c r="AF287" s="49">
        <f ca="1">(Marine!CA_expex_to_recover+AF251)+(AE289*(1+Marine!int_rate_cf_costs))</f>
        <v>366.815</v>
      </c>
      <c r="AG287" s="49">
        <f ca="1">(Marine!CA_expex_to_recover+AG251)+(AF289*(1+Marine!int_rate_cf_costs))</f>
        <v>366.815</v>
      </c>
      <c r="AH287" s="49">
        <f ca="1">(Marine!CA_expex_to_recover+AH251)+(AG289*(1+Marine!int_rate_cf_costs))</f>
        <v>366.815</v>
      </c>
      <c r="AI287" s="49">
        <f ca="1">(Marine!CA_expex_to_recover+AI251)+(AH289*(1+Marine!int_rate_cf_costs))</f>
        <v>366.815</v>
      </c>
      <c r="AJ287" s="49">
        <f ca="1">(Marine!CA_expex_to_recover+AJ251)+(AI289*(1+Marine!int_rate_cf_costs))</f>
        <v>366.815</v>
      </c>
      <c r="AK287" s="49">
        <f ca="1">(Marine!CA_expex_to_recover+AK251)+(AJ289*(1+Marine!int_rate_cf_costs))</f>
        <v>366.815</v>
      </c>
      <c r="AL287" s="49">
        <f ca="1">(Marine!CA_expex_to_recover+AL251)+(AK289*(1+Marine!int_rate_cf_costs))</f>
        <v>366.815</v>
      </c>
      <c r="AM287" s="49">
        <f ca="1">(Marine!CA_expex_to_recover+AM251)+(AL289*(1+Marine!int_rate_cf_costs))</f>
        <v>366.815</v>
      </c>
      <c r="AN287" s="49">
        <f ca="1">(Marine!CA_expex_to_recover+AN251)+(AM289*(1+Marine!int_rate_cf_costs))</f>
        <v>366.815</v>
      </c>
      <c r="AO287" s="49">
        <f ca="1">(Marine!CA_expex_to_recover+AO251)+(AN289*(1+Marine!int_rate_cf_costs))</f>
        <v>366.815</v>
      </c>
      <c r="AP287" s="49">
        <f ca="1">(Marine!CA_expex_to_recover+AP251)+(AO289*(1+Marine!int_rate_cf_costs))</f>
        <v>366.815</v>
      </c>
      <c r="AQ287" s="49">
        <f ca="1">(Marine!CA_expex_to_recover+AQ251)+(AP289*(1+Marine!int_rate_cf_costs))</f>
        <v>366.815</v>
      </c>
      <c r="AR287" s="49">
        <f ca="1">(Marine!CA_expex_to_recover+AR251)+(AQ289*(1+Marine!int_rate_cf_costs))</f>
        <v>366.815</v>
      </c>
      <c r="AS287" s="49">
        <f ca="1">(Marine!CA_expex_to_recover+AS251)+(AR289*(1+Marine!int_rate_cf_costs))</f>
        <v>366.815</v>
      </c>
      <c r="AT287" s="49">
        <f ca="1">(Marine!CA_expex_to_recover+AT251)+(AS289*(1+Marine!int_rate_cf_costs))</f>
        <v>366.815</v>
      </c>
      <c r="AU287" s="49">
        <f ca="1">(Marine!CA_expex_to_recover+AU251)+(AT289*(1+Marine!int_rate_cf_costs))</f>
        <v>366.815</v>
      </c>
      <c r="AV287" s="49">
        <f ca="1">(Marine!CA_expex_to_recover+AV251)+(AU289*(1+Marine!int_rate_cf_costs))</f>
        <v>366.815</v>
      </c>
      <c r="AW287" s="49">
        <f ca="1">(Marine!CA_expex_to_recover+AW251)+(AV289*(1+Marine!int_rate_cf_costs))</f>
        <v>366.815</v>
      </c>
      <c r="AX287" s="49">
        <f ca="1">(Marine!CA_expex_to_recover+AX251)+(AW289*(1+Marine!int_rate_cf_costs))</f>
        <v>366.815</v>
      </c>
      <c r="AY287" s="49">
        <f ca="1">(Marine!CA_expex_to_recover+AY251)+(AX289*(1+Marine!int_rate_cf_costs))</f>
        <v>366.815</v>
      </c>
      <c r="AZ287" s="49">
        <f ca="1">(Marine!CA_expex_to_recover+AZ251)+(AY289*(1+Marine!int_rate_cf_costs))</f>
        <v>366.815</v>
      </c>
      <c r="BA287" s="49">
        <f ca="1">(Marine!CA_expex_to_recover+BA251)+(AZ289*(1+Marine!int_rate_cf_costs))</f>
        <v>366.815</v>
      </c>
      <c r="BB287" s="49">
        <f ca="1">(Marine!CA_expex_to_recover+BB251)+(BA289*(1+Marine!int_rate_cf_costs))</f>
        <v>366.815</v>
      </c>
      <c r="BC287" s="49">
        <f ca="1">(Marine!CA_expex_to_recover+BC251)+(BB289*(1+Marine!int_rate_cf_costs))</f>
        <v>366.815</v>
      </c>
      <c r="BD287" s="49">
        <f ca="1">(Marine!CA_expex_to_recover+BD251)+(BC289*(1+Marine!int_rate_cf_costs))</f>
        <v>366.815</v>
      </c>
      <c r="BE287" s="49">
        <f ca="1">(Marine!CA_expex_to_recover+BE251)+(BD289*(1+Marine!int_rate_cf_costs))</f>
        <v>366.815</v>
      </c>
      <c r="BF287" s="49">
        <f ca="1">(Marine!CA_expex_to_recover+BF251)+(BE289*(1+Marine!int_rate_cf_costs))</f>
        <v>366.815</v>
      </c>
      <c r="BG287" s="49">
        <f ca="1">(Marine!CA_expex_to_recover+BG251)+(BF289*(1+Marine!int_rate_cf_costs))</f>
        <v>366.815</v>
      </c>
      <c r="BH287" s="49">
        <f ca="1">(Marine!CA_expex_to_recover+BH251)+(BG289*(1+Marine!int_rate_cf_costs))</f>
        <v>366.815</v>
      </c>
      <c r="BI287" s="49">
        <f ca="1">(Marine!CA_expex_to_recover+BI251)+(BH289*(1+Marine!int_rate_cf_costs))</f>
        <v>366.815</v>
      </c>
      <c r="BJ287" s="49">
        <f ca="1">(Marine!CA_expex_to_recover+BJ251)+(BI289*(1+Marine!int_rate_cf_costs))</f>
        <v>366.815</v>
      </c>
      <c r="BK287" s="49">
        <f ca="1">(Marine!CA_expex_to_recover+BK251)+(BJ289*(1+Marine!int_rate_cf_costs))</f>
        <v>366.815</v>
      </c>
      <c r="BL287" s="49">
        <f ca="1">(Marine!CA_expex_to_recover+BL251)+(BK289*(1+Marine!int_rate_cf_costs))</f>
        <v>366.815</v>
      </c>
      <c r="BM287" s="49">
        <f ca="1">(Marine!CA_expex_to_recover+BM251)+(BL289*(1+Marine!int_rate_cf_costs))</f>
        <v>366.815</v>
      </c>
      <c r="BN287" s="49">
        <f ca="1">(Marine!CA_expex_to_recover+BN251)+(BM289*(1+Marine!int_rate_cf_costs))</f>
        <v>366.815</v>
      </c>
      <c r="BO287" s="49">
        <f ca="1">(Marine!CA_expex_to_recover+BO251)+(BN289*(1+Marine!int_rate_cf_costs))</f>
        <v>366.815</v>
      </c>
      <c r="BP287" s="49">
        <f ca="1">(Marine!CA_expex_to_recover+BP251)+(BO289*(1+Marine!int_rate_cf_costs))</f>
        <v>366.815</v>
      </c>
      <c r="BQ287" s="49">
        <f ca="1">(Marine!CA_expex_to_recover+BQ251)+(BP289*(1+Marine!int_rate_cf_costs))</f>
        <v>366.815</v>
      </c>
      <c r="BR287" s="49">
        <f ca="1">(Marine!CA_expex_to_recover+BR251)+(BQ289*(1+Marine!int_rate_cf_costs))</f>
        <v>366.815</v>
      </c>
      <c r="BS287" s="49">
        <f ca="1">(Marine!CA_expex_to_recover+BS251)+(BR289*(1+Marine!int_rate_cf_costs))</f>
        <v>366.815</v>
      </c>
    </row>
    <row r="288" spans="4:71" outlineLevel="1" x14ac:dyDescent="0.2">
      <c r="E288" t="s">
        <v>206</v>
      </c>
      <c r="H288" s="56" t="b">
        <f ca="1">ROUND(I288,2)=-ROUND(I287,2)</f>
        <v>1</v>
      </c>
      <c r="I288" s="30">
        <f t="shared" ca="1" si="71"/>
        <v>0</v>
      </c>
      <c r="J288" s="26" t="s">
        <v>148</v>
      </c>
      <c r="L288" s="49">
        <f ca="1">-MIN(L287,L286)</f>
        <v>0</v>
      </c>
      <c r="M288" s="49">
        <f t="shared" ref="M288:BS288" ca="1" si="102">-MIN(M287,M286)</f>
        <v>0</v>
      </c>
      <c r="N288" s="49">
        <f t="shared" ca="1" si="102"/>
        <v>0</v>
      </c>
      <c r="O288" s="49">
        <f t="shared" ca="1" si="102"/>
        <v>0</v>
      </c>
      <c r="P288" s="49">
        <f t="shared" ca="1" si="102"/>
        <v>0</v>
      </c>
      <c r="Q288" s="49">
        <f t="shared" ca="1" si="102"/>
        <v>0</v>
      </c>
      <c r="R288" s="49">
        <f t="shared" ca="1" si="102"/>
        <v>0</v>
      </c>
      <c r="S288" s="49">
        <f t="shared" ca="1" si="102"/>
        <v>0</v>
      </c>
      <c r="T288" s="49">
        <f t="shared" ca="1" si="102"/>
        <v>0</v>
      </c>
      <c r="U288" s="49">
        <f t="shared" ca="1" si="102"/>
        <v>0</v>
      </c>
      <c r="V288" s="49">
        <f t="shared" ca="1" si="102"/>
        <v>0</v>
      </c>
      <c r="W288" s="49">
        <f t="shared" ca="1" si="102"/>
        <v>0</v>
      </c>
      <c r="X288" s="49">
        <f t="shared" ca="1" si="102"/>
        <v>0</v>
      </c>
      <c r="Y288" s="49">
        <f t="shared" ca="1" si="102"/>
        <v>0</v>
      </c>
      <c r="Z288" s="49">
        <f t="shared" ca="1" si="102"/>
        <v>0</v>
      </c>
      <c r="AA288" s="49">
        <f t="shared" ca="1" si="102"/>
        <v>0</v>
      </c>
      <c r="AB288" s="49">
        <f t="shared" ca="1" si="102"/>
        <v>0</v>
      </c>
      <c r="AC288" s="49">
        <f t="shared" ca="1" si="102"/>
        <v>0</v>
      </c>
      <c r="AD288" s="49">
        <f t="shared" ca="1" si="102"/>
        <v>0</v>
      </c>
      <c r="AE288" s="49">
        <f t="shared" ca="1" si="102"/>
        <v>0</v>
      </c>
      <c r="AF288" s="49">
        <f t="shared" ca="1" si="102"/>
        <v>0</v>
      </c>
      <c r="AG288" s="49">
        <f t="shared" ca="1" si="102"/>
        <v>0</v>
      </c>
      <c r="AH288" s="49">
        <f t="shared" ca="1" si="102"/>
        <v>0</v>
      </c>
      <c r="AI288" s="49">
        <f t="shared" ca="1" si="102"/>
        <v>0</v>
      </c>
      <c r="AJ288" s="49">
        <f t="shared" ca="1" si="102"/>
        <v>0</v>
      </c>
      <c r="AK288" s="49">
        <f t="shared" ca="1" si="102"/>
        <v>0</v>
      </c>
      <c r="AL288" s="49">
        <f t="shared" ca="1" si="102"/>
        <v>0</v>
      </c>
      <c r="AM288" s="49">
        <f t="shared" ca="1" si="102"/>
        <v>0</v>
      </c>
      <c r="AN288" s="49">
        <f t="shared" ca="1" si="102"/>
        <v>0</v>
      </c>
      <c r="AO288" s="49">
        <f t="shared" ca="1" si="102"/>
        <v>0</v>
      </c>
      <c r="AP288" s="49">
        <f t="shared" ca="1" si="102"/>
        <v>0</v>
      </c>
      <c r="AQ288" s="49">
        <f t="shared" ca="1" si="102"/>
        <v>0</v>
      </c>
      <c r="AR288" s="49">
        <f t="shared" ca="1" si="102"/>
        <v>0</v>
      </c>
      <c r="AS288" s="49">
        <f t="shared" ca="1" si="102"/>
        <v>0</v>
      </c>
      <c r="AT288" s="49">
        <f t="shared" ca="1" si="102"/>
        <v>0</v>
      </c>
      <c r="AU288" s="49">
        <f t="shared" ca="1" si="102"/>
        <v>0</v>
      </c>
      <c r="AV288" s="49">
        <f t="shared" ca="1" si="102"/>
        <v>0</v>
      </c>
      <c r="AW288" s="49">
        <f t="shared" ca="1" si="102"/>
        <v>0</v>
      </c>
      <c r="AX288" s="49">
        <f t="shared" ca="1" si="102"/>
        <v>0</v>
      </c>
      <c r="AY288" s="49">
        <f t="shared" ca="1" si="102"/>
        <v>0</v>
      </c>
      <c r="AZ288" s="49">
        <f t="shared" ca="1" si="102"/>
        <v>0</v>
      </c>
      <c r="BA288" s="49">
        <f t="shared" ca="1" si="102"/>
        <v>0</v>
      </c>
      <c r="BB288" s="49">
        <f t="shared" ca="1" si="102"/>
        <v>0</v>
      </c>
      <c r="BC288" s="49">
        <f t="shared" ca="1" si="102"/>
        <v>0</v>
      </c>
      <c r="BD288" s="49">
        <f t="shared" ca="1" si="102"/>
        <v>0</v>
      </c>
      <c r="BE288" s="49">
        <f t="shared" ca="1" si="102"/>
        <v>0</v>
      </c>
      <c r="BF288" s="49">
        <f t="shared" ca="1" si="102"/>
        <v>0</v>
      </c>
      <c r="BG288" s="49">
        <f t="shared" ca="1" si="102"/>
        <v>0</v>
      </c>
      <c r="BH288" s="49">
        <f t="shared" ca="1" si="102"/>
        <v>0</v>
      </c>
      <c r="BI288" s="49">
        <f t="shared" ca="1" si="102"/>
        <v>0</v>
      </c>
      <c r="BJ288" s="49">
        <f t="shared" ca="1" si="102"/>
        <v>0</v>
      </c>
      <c r="BK288" s="49">
        <f t="shared" ca="1" si="102"/>
        <v>0</v>
      </c>
      <c r="BL288" s="49">
        <f t="shared" ca="1" si="102"/>
        <v>0</v>
      </c>
      <c r="BM288" s="49">
        <f t="shared" ca="1" si="102"/>
        <v>0</v>
      </c>
      <c r="BN288" s="49">
        <f t="shared" ca="1" si="102"/>
        <v>0</v>
      </c>
      <c r="BO288" s="49">
        <f t="shared" ca="1" si="102"/>
        <v>0</v>
      </c>
      <c r="BP288" s="49">
        <f t="shared" ca="1" si="102"/>
        <v>0</v>
      </c>
      <c r="BQ288" s="49">
        <f t="shared" ca="1" si="102"/>
        <v>0</v>
      </c>
      <c r="BR288" s="49">
        <f t="shared" ca="1" si="102"/>
        <v>0</v>
      </c>
      <c r="BS288" s="49">
        <f t="shared" ca="1" si="102"/>
        <v>0</v>
      </c>
    </row>
    <row r="289" spans="3:71" outlineLevel="1" x14ac:dyDescent="0.2">
      <c r="E289" t="s">
        <v>195</v>
      </c>
      <c r="J289" s="26"/>
      <c r="L289" s="49">
        <f ca="1">L287+L288</f>
        <v>170.22300000000001</v>
      </c>
      <c r="M289" s="49">
        <f t="shared" ref="M289:BS289" ca="1" si="103">M287+M288</f>
        <v>240.98600000000002</v>
      </c>
      <c r="N289" s="49">
        <f t="shared" ca="1" si="103"/>
        <v>336.62200000000001</v>
      </c>
      <c r="O289" s="49">
        <f t="shared" ca="1" si="103"/>
        <v>363.03100000000001</v>
      </c>
      <c r="P289" s="49">
        <f t="shared" ca="1" si="103"/>
        <v>363.791</v>
      </c>
      <c r="Q289" s="49">
        <f t="shared" ca="1" si="103"/>
        <v>366.815</v>
      </c>
      <c r="R289" s="49">
        <f t="shared" ca="1" si="103"/>
        <v>366.815</v>
      </c>
      <c r="S289" s="49">
        <f t="shared" ca="1" si="103"/>
        <v>366.815</v>
      </c>
      <c r="T289" s="49">
        <f t="shared" ca="1" si="103"/>
        <v>366.815</v>
      </c>
      <c r="U289" s="49">
        <f t="shared" ca="1" si="103"/>
        <v>366.815</v>
      </c>
      <c r="V289" s="49">
        <f t="shared" ca="1" si="103"/>
        <v>366.815</v>
      </c>
      <c r="W289" s="49">
        <f t="shared" ca="1" si="103"/>
        <v>366.815</v>
      </c>
      <c r="X289" s="49">
        <f t="shared" ca="1" si="103"/>
        <v>366.815</v>
      </c>
      <c r="Y289" s="49">
        <f t="shared" ca="1" si="103"/>
        <v>366.815</v>
      </c>
      <c r="Z289" s="49">
        <f t="shared" ca="1" si="103"/>
        <v>366.815</v>
      </c>
      <c r="AA289" s="49">
        <f t="shared" ca="1" si="103"/>
        <v>366.815</v>
      </c>
      <c r="AB289" s="49">
        <f t="shared" ca="1" si="103"/>
        <v>366.815</v>
      </c>
      <c r="AC289" s="49">
        <f t="shared" ca="1" si="103"/>
        <v>366.815</v>
      </c>
      <c r="AD289" s="49">
        <f t="shared" ca="1" si="103"/>
        <v>366.815</v>
      </c>
      <c r="AE289" s="49">
        <f t="shared" ca="1" si="103"/>
        <v>366.815</v>
      </c>
      <c r="AF289" s="49">
        <f t="shared" ca="1" si="103"/>
        <v>366.815</v>
      </c>
      <c r="AG289" s="49">
        <f t="shared" ca="1" si="103"/>
        <v>366.815</v>
      </c>
      <c r="AH289" s="49">
        <f t="shared" ca="1" si="103"/>
        <v>366.815</v>
      </c>
      <c r="AI289" s="49">
        <f t="shared" ca="1" si="103"/>
        <v>366.815</v>
      </c>
      <c r="AJ289" s="49">
        <f t="shared" ca="1" si="103"/>
        <v>366.815</v>
      </c>
      <c r="AK289" s="49">
        <f t="shared" ca="1" si="103"/>
        <v>366.815</v>
      </c>
      <c r="AL289" s="49">
        <f t="shared" ca="1" si="103"/>
        <v>366.815</v>
      </c>
      <c r="AM289" s="49">
        <f t="shared" ca="1" si="103"/>
        <v>366.815</v>
      </c>
      <c r="AN289" s="49">
        <f t="shared" ca="1" si="103"/>
        <v>366.815</v>
      </c>
      <c r="AO289" s="49">
        <f t="shared" ca="1" si="103"/>
        <v>366.815</v>
      </c>
      <c r="AP289" s="49">
        <f t="shared" ca="1" si="103"/>
        <v>366.815</v>
      </c>
      <c r="AQ289" s="49">
        <f t="shared" ca="1" si="103"/>
        <v>366.815</v>
      </c>
      <c r="AR289" s="49">
        <f t="shared" ca="1" si="103"/>
        <v>366.815</v>
      </c>
      <c r="AS289" s="49">
        <f t="shared" ca="1" si="103"/>
        <v>366.815</v>
      </c>
      <c r="AT289" s="49">
        <f t="shared" ca="1" si="103"/>
        <v>366.815</v>
      </c>
      <c r="AU289" s="49">
        <f t="shared" ca="1" si="103"/>
        <v>366.815</v>
      </c>
      <c r="AV289" s="49">
        <f t="shared" ca="1" si="103"/>
        <v>366.815</v>
      </c>
      <c r="AW289" s="49">
        <f t="shared" ca="1" si="103"/>
        <v>366.815</v>
      </c>
      <c r="AX289" s="49">
        <f t="shared" ca="1" si="103"/>
        <v>366.815</v>
      </c>
      <c r="AY289" s="49">
        <f t="shared" ca="1" si="103"/>
        <v>366.815</v>
      </c>
      <c r="AZ289" s="49">
        <f t="shared" ca="1" si="103"/>
        <v>366.815</v>
      </c>
      <c r="BA289" s="49">
        <f t="shared" ca="1" si="103"/>
        <v>366.815</v>
      </c>
      <c r="BB289" s="49">
        <f t="shared" ca="1" si="103"/>
        <v>366.815</v>
      </c>
      <c r="BC289" s="49">
        <f t="shared" ca="1" si="103"/>
        <v>366.815</v>
      </c>
      <c r="BD289" s="49">
        <f t="shared" ca="1" si="103"/>
        <v>366.815</v>
      </c>
      <c r="BE289" s="49">
        <f t="shared" ca="1" si="103"/>
        <v>366.815</v>
      </c>
      <c r="BF289" s="49">
        <f t="shared" ca="1" si="103"/>
        <v>366.815</v>
      </c>
      <c r="BG289" s="49">
        <f t="shared" ca="1" si="103"/>
        <v>366.815</v>
      </c>
      <c r="BH289" s="49">
        <f t="shared" ca="1" si="103"/>
        <v>366.815</v>
      </c>
      <c r="BI289" s="49">
        <f t="shared" ca="1" si="103"/>
        <v>366.815</v>
      </c>
      <c r="BJ289" s="49">
        <f t="shared" ca="1" si="103"/>
        <v>366.815</v>
      </c>
      <c r="BK289" s="49">
        <f t="shared" ca="1" si="103"/>
        <v>366.815</v>
      </c>
      <c r="BL289" s="49">
        <f t="shared" ca="1" si="103"/>
        <v>366.815</v>
      </c>
      <c r="BM289" s="49">
        <f t="shared" ca="1" si="103"/>
        <v>366.815</v>
      </c>
      <c r="BN289" s="49">
        <f t="shared" ca="1" si="103"/>
        <v>366.815</v>
      </c>
      <c r="BO289" s="49">
        <f t="shared" ca="1" si="103"/>
        <v>366.815</v>
      </c>
      <c r="BP289" s="49">
        <f t="shared" ca="1" si="103"/>
        <v>366.815</v>
      </c>
      <c r="BQ289" s="49">
        <f t="shared" ca="1" si="103"/>
        <v>366.815</v>
      </c>
      <c r="BR289" s="49">
        <f t="shared" ca="1" si="103"/>
        <v>366.815</v>
      </c>
      <c r="BS289" s="49">
        <f t="shared" ca="1" si="103"/>
        <v>366.815</v>
      </c>
    </row>
    <row r="290" spans="3:71" outlineLevel="1" x14ac:dyDescent="0.2">
      <c r="J290" s="26"/>
      <c r="L290" s="55"/>
      <c r="M290" s="55"/>
      <c r="N290" s="55"/>
      <c r="O290" s="55"/>
      <c r="P290" s="55"/>
      <c r="Q290" s="55"/>
      <c r="R290" s="55"/>
      <c r="S290" s="55"/>
      <c r="T290" s="55"/>
      <c r="U290" s="55"/>
      <c r="V290" s="55"/>
      <c r="W290" s="55"/>
      <c r="X290" s="55"/>
      <c r="Y290" s="55"/>
      <c r="Z290" s="55"/>
      <c r="AA290" s="55"/>
      <c r="AB290" s="55"/>
      <c r="AC290" s="55"/>
      <c r="AD290" s="55"/>
      <c r="AE290" s="55"/>
      <c r="AF290" s="55"/>
      <c r="AG290" s="55"/>
      <c r="AH290" s="55"/>
      <c r="AI290" s="55"/>
      <c r="AJ290" s="55"/>
      <c r="AK290" s="55"/>
      <c r="AL290" s="55"/>
      <c r="AM290" s="55"/>
      <c r="AN290" s="55"/>
      <c r="AO290" s="55"/>
      <c r="AP290" s="55"/>
      <c r="AQ290" s="55"/>
      <c r="AR290" s="55"/>
      <c r="AS290" s="55"/>
      <c r="AT290" s="55"/>
      <c r="AU290" s="55"/>
      <c r="AV290" s="55"/>
      <c r="AW290" s="55"/>
      <c r="AX290" s="55"/>
      <c r="AY290" s="55"/>
      <c r="AZ290" s="55"/>
      <c r="BA290" s="55"/>
      <c r="BB290" s="55"/>
      <c r="BC290" s="55"/>
      <c r="BD290" s="55"/>
      <c r="BE290" s="55"/>
      <c r="BF290" s="55"/>
      <c r="BG290" s="55"/>
      <c r="BH290" s="55"/>
      <c r="BI290" s="55"/>
      <c r="BJ290" s="55"/>
      <c r="BK290" s="55"/>
      <c r="BL290" s="55"/>
      <c r="BM290" s="55"/>
      <c r="BN290" s="55"/>
      <c r="BO290" s="55"/>
      <c r="BP290" s="55"/>
      <c r="BQ290" s="55"/>
      <c r="BR290" s="55"/>
      <c r="BS290" s="55"/>
    </row>
    <row r="291" spans="3:71" outlineLevel="1" x14ac:dyDescent="0.2">
      <c r="D291" s="51" t="s">
        <v>678</v>
      </c>
      <c r="J291" s="26"/>
      <c r="L291" s="55"/>
      <c r="M291" s="55"/>
      <c r="N291" s="55"/>
      <c r="O291" s="55"/>
      <c r="P291" s="55"/>
      <c r="Q291" s="55"/>
      <c r="R291" s="55"/>
      <c r="S291" s="55"/>
      <c r="T291" s="55"/>
      <c r="U291" s="55"/>
      <c r="V291" s="55"/>
      <c r="W291" s="55"/>
      <c r="X291" s="55"/>
      <c r="Y291" s="55"/>
      <c r="Z291" s="55"/>
      <c r="AA291" s="55"/>
      <c r="AB291" s="55"/>
      <c r="AC291" s="55"/>
      <c r="AD291" s="55"/>
      <c r="AE291" s="55"/>
      <c r="AF291" s="55"/>
      <c r="AG291" s="55"/>
      <c r="AH291" s="55"/>
      <c r="AI291" s="55"/>
      <c r="AJ291" s="55"/>
      <c r="AK291" s="55"/>
      <c r="AL291" s="55"/>
      <c r="AM291" s="55"/>
      <c r="AN291" s="55"/>
      <c r="AO291" s="55"/>
      <c r="AP291" s="55"/>
      <c r="AQ291" s="55"/>
      <c r="AR291" s="55"/>
      <c r="AS291" s="55"/>
      <c r="AT291" s="55"/>
      <c r="AU291" s="55"/>
      <c r="AV291" s="55"/>
      <c r="AW291" s="55"/>
      <c r="AX291" s="55"/>
      <c r="AY291" s="55"/>
      <c r="AZ291" s="55"/>
      <c r="BA291" s="55"/>
      <c r="BB291" s="55"/>
      <c r="BC291" s="55"/>
      <c r="BD291" s="55"/>
      <c r="BE291" s="55"/>
      <c r="BF291" s="55"/>
      <c r="BG291" s="55"/>
      <c r="BH291" s="55"/>
      <c r="BI291" s="55"/>
      <c r="BJ291" s="55"/>
      <c r="BK291" s="55"/>
      <c r="BL291" s="55"/>
      <c r="BM291" s="55"/>
      <c r="BN291" s="55"/>
      <c r="BO291" s="55"/>
      <c r="BP291" s="55"/>
      <c r="BQ291" s="55"/>
      <c r="BR291" s="55"/>
      <c r="BS291" s="55"/>
    </row>
    <row r="292" spans="3:71" outlineLevel="1" x14ac:dyDescent="0.2">
      <c r="E292" t="s">
        <v>192</v>
      </c>
      <c r="I292" s="30">
        <f t="shared" ref="I292:I294" ca="1" si="104">SUM($L292:$BS292)</f>
        <v>0</v>
      </c>
      <c r="J292" s="26" t="s">
        <v>148</v>
      </c>
      <c r="L292" s="49">
        <f t="shared" ref="L292:AQ292" ca="1" si="105">CA_cost_stop_gas+L270+L276+L282+L2593</f>
        <v>0</v>
      </c>
      <c r="M292" s="49">
        <f t="shared" ca="1" si="105"/>
        <v>0</v>
      </c>
      <c r="N292" s="49">
        <f t="shared" ca="1" si="105"/>
        <v>0</v>
      </c>
      <c r="O292" s="49">
        <f t="shared" ca="1" si="105"/>
        <v>0</v>
      </c>
      <c r="P292" s="49">
        <f t="shared" ca="1" si="105"/>
        <v>0</v>
      </c>
      <c r="Q292" s="49">
        <f t="shared" ca="1" si="105"/>
        <v>0</v>
      </c>
      <c r="R292" s="49">
        <f t="shared" ca="1" si="105"/>
        <v>0</v>
      </c>
      <c r="S292" s="49">
        <f t="shared" ca="1" si="105"/>
        <v>0</v>
      </c>
      <c r="T292" s="49">
        <f t="shared" ca="1" si="105"/>
        <v>0</v>
      </c>
      <c r="U292" s="49">
        <f t="shared" ca="1" si="105"/>
        <v>0</v>
      </c>
      <c r="V292" s="49">
        <f t="shared" ca="1" si="105"/>
        <v>0</v>
      </c>
      <c r="W292" s="49">
        <f t="shared" ca="1" si="105"/>
        <v>0</v>
      </c>
      <c r="X292" s="49">
        <f t="shared" ca="1" si="105"/>
        <v>0</v>
      </c>
      <c r="Y292" s="49">
        <f t="shared" ca="1" si="105"/>
        <v>0</v>
      </c>
      <c r="Z292" s="49">
        <f t="shared" ca="1" si="105"/>
        <v>0</v>
      </c>
      <c r="AA292" s="49">
        <f t="shared" ca="1" si="105"/>
        <v>0</v>
      </c>
      <c r="AB292" s="49">
        <f t="shared" ca="1" si="105"/>
        <v>0</v>
      </c>
      <c r="AC292" s="49">
        <f t="shared" ca="1" si="105"/>
        <v>0</v>
      </c>
      <c r="AD292" s="49">
        <f t="shared" ca="1" si="105"/>
        <v>0</v>
      </c>
      <c r="AE292" s="49">
        <f t="shared" ca="1" si="105"/>
        <v>0</v>
      </c>
      <c r="AF292" s="49">
        <f t="shared" ca="1" si="105"/>
        <v>0</v>
      </c>
      <c r="AG292" s="49">
        <f t="shared" ca="1" si="105"/>
        <v>0</v>
      </c>
      <c r="AH292" s="49">
        <f t="shared" ca="1" si="105"/>
        <v>0</v>
      </c>
      <c r="AI292" s="49">
        <f t="shared" ca="1" si="105"/>
        <v>0</v>
      </c>
      <c r="AJ292" s="49">
        <f t="shared" ca="1" si="105"/>
        <v>0</v>
      </c>
      <c r="AK292" s="49">
        <f t="shared" ca="1" si="105"/>
        <v>0</v>
      </c>
      <c r="AL292" s="49">
        <f t="shared" ca="1" si="105"/>
        <v>0</v>
      </c>
      <c r="AM292" s="49">
        <f t="shared" ca="1" si="105"/>
        <v>0</v>
      </c>
      <c r="AN292" s="49">
        <f t="shared" ca="1" si="105"/>
        <v>0</v>
      </c>
      <c r="AO292" s="49">
        <f t="shared" ca="1" si="105"/>
        <v>0</v>
      </c>
      <c r="AP292" s="49">
        <f t="shared" ca="1" si="105"/>
        <v>0</v>
      </c>
      <c r="AQ292" s="49">
        <f t="shared" ca="1" si="105"/>
        <v>0</v>
      </c>
      <c r="AR292" s="49">
        <f t="shared" ref="AR292:BS292" ca="1" si="106">CA_cost_stop_gas+AR270+AR276+AR282+AR2593</f>
        <v>0</v>
      </c>
      <c r="AS292" s="49">
        <f t="shared" ca="1" si="106"/>
        <v>0</v>
      </c>
      <c r="AT292" s="49">
        <f t="shared" ca="1" si="106"/>
        <v>0</v>
      </c>
      <c r="AU292" s="49">
        <f t="shared" ca="1" si="106"/>
        <v>0</v>
      </c>
      <c r="AV292" s="49">
        <f t="shared" ca="1" si="106"/>
        <v>0</v>
      </c>
      <c r="AW292" s="49">
        <f t="shared" ca="1" si="106"/>
        <v>0</v>
      </c>
      <c r="AX292" s="49">
        <f t="shared" ca="1" si="106"/>
        <v>0</v>
      </c>
      <c r="AY292" s="49">
        <f t="shared" ca="1" si="106"/>
        <v>0</v>
      </c>
      <c r="AZ292" s="49">
        <f t="shared" ca="1" si="106"/>
        <v>0</v>
      </c>
      <c r="BA292" s="49">
        <f t="shared" ca="1" si="106"/>
        <v>0</v>
      </c>
      <c r="BB292" s="49">
        <f t="shared" ca="1" si="106"/>
        <v>0</v>
      </c>
      <c r="BC292" s="49">
        <f t="shared" ca="1" si="106"/>
        <v>0</v>
      </c>
      <c r="BD292" s="49">
        <f t="shared" ca="1" si="106"/>
        <v>0</v>
      </c>
      <c r="BE292" s="49">
        <f t="shared" ca="1" si="106"/>
        <v>0</v>
      </c>
      <c r="BF292" s="49">
        <f t="shared" ca="1" si="106"/>
        <v>0</v>
      </c>
      <c r="BG292" s="49">
        <f t="shared" ca="1" si="106"/>
        <v>0</v>
      </c>
      <c r="BH292" s="49">
        <f t="shared" ca="1" si="106"/>
        <v>0</v>
      </c>
      <c r="BI292" s="49">
        <f t="shared" ca="1" si="106"/>
        <v>0</v>
      </c>
      <c r="BJ292" s="49">
        <f t="shared" ca="1" si="106"/>
        <v>0</v>
      </c>
      <c r="BK292" s="49">
        <f t="shared" ca="1" si="106"/>
        <v>0</v>
      </c>
      <c r="BL292" s="49">
        <f t="shared" ca="1" si="106"/>
        <v>0</v>
      </c>
      <c r="BM292" s="49">
        <f t="shared" ca="1" si="106"/>
        <v>0</v>
      </c>
      <c r="BN292" s="49">
        <f t="shared" ca="1" si="106"/>
        <v>0</v>
      </c>
      <c r="BO292" s="49">
        <f t="shared" ca="1" si="106"/>
        <v>0</v>
      </c>
      <c r="BP292" s="49">
        <f t="shared" ca="1" si="106"/>
        <v>0</v>
      </c>
      <c r="BQ292" s="49">
        <f t="shared" ca="1" si="106"/>
        <v>0</v>
      </c>
      <c r="BR292" s="49">
        <f t="shared" ca="1" si="106"/>
        <v>0</v>
      </c>
      <c r="BS292" s="49">
        <f t="shared" ca="1" si="106"/>
        <v>0</v>
      </c>
    </row>
    <row r="293" spans="3:71" outlineLevel="1" x14ac:dyDescent="0.2">
      <c r="E293" t="s">
        <v>866</v>
      </c>
      <c r="I293" s="30">
        <f>I262</f>
        <v>0</v>
      </c>
      <c r="J293" s="26" t="s">
        <v>148</v>
      </c>
      <c r="L293" s="49">
        <f ca="1">(Marine!CA_decom_to_recover+L257)+(K295*(1+Marine!int_rate_cf_costs))</f>
        <v>0</v>
      </c>
      <c r="M293" s="49">
        <f ca="1">(Marine!CA_decom_to_recover+M257)+(L295*(1+Marine!int_rate_cf_costs))</f>
        <v>0</v>
      </c>
      <c r="N293" s="49">
        <f ca="1">(Marine!CA_decom_to_recover+N257)+(M295*(1+Marine!int_rate_cf_costs))</f>
        <v>0</v>
      </c>
      <c r="O293" s="49">
        <f ca="1">(Marine!CA_decom_to_recover+O257)+(N295*(1+Marine!int_rate_cf_costs))</f>
        <v>0</v>
      </c>
      <c r="P293" s="49">
        <f ca="1">(Marine!CA_decom_to_recover+P257)+(O295*(1+Marine!int_rate_cf_costs))</f>
        <v>0</v>
      </c>
      <c r="Q293" s="49">
        <f ca="1">(Marine!CA_decom_to_recover+Q257)+(P295*(1+Marine!int_rate_cf_costs))</f>
        <v>0</v>
      </c>
      <c r="R293" s="49">
        <f ca="1">(Marine!CA_decom_to_recover+R257)+(Q295*(1+Marine!int_rate_cf_costs))</f>
        <v>0</v>
      </c>
      <c r="S293" s="49">
        <f ca="1">(Marine!CA_decom_to_recover+S257)+(R295*(1+Marine!int_rate_cf_costs))</f>
        <v>0</v>
      </c>
      <c r="T293" s="49">
        <f ca="1">(Marine!CA_decom_to_recover+T257)+(S295*(1+Marine!int_rate_cf_costs))</f>
        <v>0</v>
      </c>
      <c r="U293" s="49">
        <f ca="1">(Marine!CA_decom_to_recover+U257)+(T295*(1+Marine!int_rate_cf_costs))</f>
        <v>0</v>
      </c>
      <c r="V293" s="49">
        <f ca="1">(Marine!CA_decom_to_recover+V257)+(U295*(1+Marine!int_rate_cf_costs))</f>
        <v>0</v>
      </c>
      <c r="W293" s="49">
        <f ca="1">(Marine!CA_decom_to_recover+W257)+(V295*(1+Marine!int_rate_cf_costs))</f>
        <v>0</v>
      </c>
      <c r="X293" s="49">
        <f ca="1">(Marine!CA_decom_to_recover+X257)+(W295*(1+Marine!int_rate_cf_costs))</f>
        <v>0</v>
      </c>
      <c r="Y293" s="49">
        <f ca="1">(Marine!CA_decom_to_recover+Y257)+(X295*(1+Marine!int_rate_cf_costs))</f>
        <v>0</v>
      </c>
      <c r="Z293" s="49">
        <f ca="1">(Marine!CA_decom_to_recover+Z257)+(Y295*(1+Marine!int_rate_cf_costs))</f>
        <v>0</v>
      </c>
      <c r="AA293" s="49">
        <f ca="1">(Marine!CA_decom_to_recover+AA257)+(Z295*(1+Marine!int_rate_cf_costs))</f>
        <v>0</v>
      </c>
      <c r="AB293" s="49">
        <f ca="1">(Marine!CA_decom_to_recover+AB257)+(AA295*(1+Marine!int_rate_cf_costs))</f>
        <v>0</v>
      </c>
      <c r="AC293" s="49">
        <f ca="1">(Marine!CA_decom_to_recover+AC257)+(AB295*(1+Marine!int_rate_cf_costs))</f>
        <v>0</v>
      </c>
      <c r="AD293" s="49">
        <f ca="1">(Marine!CA_decom_to_recover+AD257)+(AC295*(1+Marine!int_rate_cf_costs))</f>
        <v>0</v>
      </c>
      <c r="AE293" s="49">
        <f ca="1">(Marine!CA_decom_to_recover+AE257)+(AD295*(1+Marine!int_rate_cf_costs))</f>
        <v>0</v>
      </c>
      <c r="AF293" s="49">
        <f ca="1">(Marine!CA_decom_to_recover+AF257)+(AE295*(1+Marine!int_rate_cf_costs))</f>
        <v>0</v>
      </c>
      <c r="AG293" s="49">
        <f ca="1">(Marine!CA_decom_to_recover+AG257)+(AF295*(1+Marine!int_rate_cf_costs))</f>
        <v>0</v>
      </c>
      <c r="AH293" s="49">
        <f ca="1">(Marine!CA_decom_to_recover+AH257)+(AG295*(1+Marine!int_rate_cf_costs))</f>
        <v>0</v>
      </c>
      <c r="AI293" s="49">
        <f ca="1">(Marine!CA_decom_to_recover+AI257)+(AH295*(1+Marine!int_rate_cf_costs))</f>
        <v>0</v>
      </c>
      <c r="AJ293" s="49">
        <f ca="1">(Marine!CA_decom_to_recover+AJ257)+(AI295*(1+Marine!int_rate_cf_costs))</f>
        <v>0</v>
      </c>
      <c r="AK293" s="49">
        <f ca="1">(Marine!CA_decom_to_recover+AK257)+(AJ295*(1+Marine!int_rate_cf_costs))</f>
        <v>0</v>
      </c>
      <c r="AL293" s="49">
        <f ca="1">(Marine!CA_decom_to_recover+AL257)+(AK295*(1+Marine!int_rate_cf_costs))</f>
        <v>0</v>
      </c>
      <c r="AM293" s="49">
        <f ca="1">(Marine!CA_decom_to_recover+AM257)+(AL295*(1+Marine!int_rate_cf_costs))</f>
        <v>0</v>
      </c>
      <c r="AN293" s="49">
        <f ca="1">(Marine!CA_decom_to_recover+AN257)+(AM295*(1+Marine!int_rate_cf_costs))</f>
        <v>0</v>
      </c>
      <c r="AO293" s="49">
        <f ca="1">(Marine!CA_decom_to_recover+AO257)+(AN295*(1+Marine!int_rate_cf_costs))</f>
        <v>0</v>
      </c>
      <c r="AP293" s="49">
        <f ca="1">(Marine!CA_decom_to_recover+AP257)+(AO295*(1+Marine!int_rate_cf_costs))</f>
        <v>0</v>
      </c>
      <c r="AQ293" s="49">
        <f ca="1">(Marine!CA_decom_to_recover+AQ257)+(AP295*(1+Marine!int_rate_cf_costs))</f>
        <v>0</v>
      </c>
      <c r="AR293" s="49">
        <f ca="1">(Marine!CA_decom_to_recover+AR257)+(AQ295*(1+Marine!int_rate_cf_costs))</f>
        <v>0</v>
      </c>
      <c r="AS293" s="49">
        <f ca="1">(Marine!CA_decom_to_recover+AS257)+(AR295*(1+Marine!int_rate_cf_costs))</f>
        <v>0</v>
      </c>
      <c r="AT293" s="49">
        <f ca="1">(Marine!CA_decom_to_recover+AT257)+(AS295*(1+Marine!int_rate_cf_costs))</f>
        <v>0</v>
      </c>
      <c r="AU293" s="49">
        <f ca="1">(Marine!CA_decom_to_recover+AU257)+(AT295*(1+Marine!int_rate_cf_costs))</f>
        <v>0</v>
      </c>
      <c r="AV293" s="49">
        <f ca="1">(Marine!CA_decom_to_recover+AV257)+(AU295*(1+Marine!int_rate_cf_costs))</f>
        <v>0</v>
      </c>
      <c r="AW293" s="49">
        <f ca="1">(Marine!CA_decom_to_recover+AW257)+(AV295*(1+Marine!int_rate_cf_costs))</f>
        <v>0</v>
      </c>
      <c r="AX293" s="49">
        <f ca="1">(Marine!CA_decom_to_recover+AX257)+(AW295*(1+Marine!int_rate_cf_costs))</f>
        <v>0</v>
      </c>
      <c r="AY293" s="49">
        <f ca="1">(Marine!CA_decom_to_recover+AY257)+(AX295*(1+Marine!int_rate_cf_costs))</f>
        <v>0</v>
      </c>
      <c r="AZ293" s="49">
        <f ca="1">(Marine!CA_decom_to_recover+AZ257)+(AY295*(1+Marine!int_rate_cf_costs))</f>
        <v>0</v>
      </c>
      <c r="BA293" s="49">
        <f ca="1">(Marine!CA_decom_to_recover+BA257)+(AZ295*(1+Marine!int_rate_cf_costs))</f>
        <v>0</v>
      </c>
      <c r="BB293" s="49">
        <f ca="1">(Marine!CA_decom_to_recover+BB257)+(BA295*(1+Marine!int_rate_cf_costs))</f>
        <v>0</v>
      </c>
      <c r="BC293" s="49">
        <f ca="1">(Marine!CA_decom_to_recover+BC257)+(BB295*(1+Marine!int_rate_cf_costs))</f>
        <v>0</v>
      </c>
      <c r="BD293" s="49">
        <f ca="1">(Marine!CA_decom_to_recover+BD257)+(BC295*(1+Marine!int_rate_cf_costs))</f>
        <v>0</v>
      </c>
      <c r="BE293" s="49">
        <f ca="1">(Marine!CA_decom_to_recover+BE257)+(BD295*(1+Marine!int_rate_cf_costs))</f>
        <v>0</v>
      </c>
      <c r="BF293" s="49">
        <f ca="1">(Marine!CA_decom_to_recover+BF257)+(BE295*(1+Marine!int_rate_cf_costs))</f>
        <v>0</v>
      </c>
      <c r="BG293" s="49">
        <f ca="1">(Marine!CA_decom_to_recover+BG257)+(BF295*(1+Marine!int_rate_cf_costs))</f>
        <v>0</v>
      </c>
      <c r="BH293" s="49">
        <f ca="1">(Marine!CA_decom_to_recover+BH257)+(BG295*(1+Marine!int_rate_cf_costs))</f>
        <v>0</v>
      </c>
      <c r="BI293" s="49">
        <f ca="1">(Marine!CA_decom_to_recover+BI257)+(BH295*(1+Marine!int_rate_cf_costs))</f>
        <v>0</v>
      </c>
      <c r="BJ293" s="49">
        <f ca="1">(Marine!CA_decom_to_recover+BJ257)+(BI295*(1+Marine!int_rate_cf_costs))</f>
        <v>0</v>
      </c>
      <c r="BK293" s="49">
        <f ca="1">(Marine!CA_decom_to_recover+BK257)+(BJ295*(1+Marine!int_rate_cf_costs))</f>
        <v>0</v>
      </c>
      <c r="BL293" s="49">
        <f ca="1">(Marine!CA_decom_to_recover+BL257)+(BK295*(1+Marine!int_rate_cf_costs))</f>
        <v>0</v>
      </c>
      <c r="BM293" s="49">
        <f ca="1">(Marine!CA_decom_to_recover+BM257)+(BL295*(1+Marine!int_rate_cf_costs))</f>
        <v>0</v>
      </c>
      <c r="BN293" s="49">
        <f ca="1">(Marine!CA_decom_to_recover+BN257)+(BM295*(1+Marine!int_rate_cf_costs))</f>
        <v>0</v>
      </c>
      <c r="BO293" s="49">
        <f ca="1">(Marine!CA_decom_to_recover+BO257)+(BN295*(1+Marine!int_rate_cf_costs))</f>
        <v>0</v>
      </c>
      <c r="BP293" s="49">
        <f ca="1">(Marine!CA_decom_to_recover+BP257)+(BO295*(1+Marine!int_rate_cf_costs))</f>
        <v>0</v>
      </c>
      <c r="BQ293" s="49">
        <f ca="1">(Marine!CA_decom_to_recover+BQ257)+(BP295*(1+Marine!int_rate_cf_costs))</f>
        <v>0</v>
      </c>
      <c r="BR293" s="49">
        <f ca="1">(Marine!CA_decom_to_recover+BR257)+(BQ295*(1+Marine!int_rate_cf_costs))</f>
        <v>0</v>
      </c>
      <c r="BS293" s="49">
        <f ca="1">(Marine!CA_decom_to_recover+BS257)+(BR295*(1+Marine!int_rate_cf_costs))</f>
        <v>0</v>
      </c>
    </row>
    <row r="294" spans="3:71" outlineLevel="1" x14ac:dyDescent="0.2">
      <c r="E294" t="s">
        <v>865</v>
      </c>
      <c r="H294" s="56" t="b">
        <f ca="1">ROUND(I294,2)=-ROUND(I293,2)</f>
        <v>1</v>
      </c>
      <c r="I294" s="30">
        <f t="shared" ca="1" si="104"/>
        <v>0</v>
      </c>
      <c r="J294" s="26" t="s">
        <v>148</v>
      </c>
      <c r="L294" s="49">
        <f ca="1">-MIN(L293,L292)</f>
        <v>0</v>
      </c>
      <c r="M294" s="49">
        <f t="shared" ref="M294:BS294" ca="1" si="107">-MIN(M293,M292)</f>
        <v>0</v>
      </c>
      <c r="N294" s="49">
        <f t="shared" ca="1" si="107"/>
        <v>0</v>
      </c>
      <c r="O294" s="49">
        <f t="shared" ca="1" si="107"/>
        <v>0</v>
      </c>
      <c r="P294" s="49">
        <f t="shared" ca="1" si="107"/>
        <v>0</v>
      </c>
      <c r="Q294" s="49">
        <f t="shared" ca="1" si="107"/>
        <v>0</v>
      </c>
      <c r="R294" s="49">
        <f t="shared" ca="1" si="107"/>
        <v>0</v>
      </c>
      <c r="S294" s="49">
        <f t="shared" ca="1" si="107"/>
        <v>0</v>
      </c>
      <c r="T294" s="49">
        <f t="shared" ca="1" si="107"/>
        <v>0</v>
      </c>
      <c r="U294" s="49">
        <f t="shared" ca="1" si="107"/>
        <v>0</v>
      </c>
      <c r="V294" s="49">
        <f t="shared" ca="1" si="107"/>
        <v>0</v>
      </c>
      <c r="W294" s="49">
        <f t="shared" ca="1" si="107"/>
        <v>0</v>
      </c>
      <c r="X294" s="49">
        <f t="shared" ca="1" si="107"/>
        <v>0</v>
      </c>
      <c r="Y294" s="49">
        <f t="shared" ca="1" si="107"/>
        <v>0</v>
      </c>
      <c r="Z294" s="49">
        <f t="shared" ca="1" si="107"/>
        <v>0</v>
      </c>
      <c r="AA294" s="49">
        <f t="shared" ca="1" si="107"/>
        <v>0</v>
      </c>
      <c r="AB294" s="49">
        <f t="shared" ca="1" si="107"/>
        <v>0</v>
      </c>
      <c r="AC294" s="49">
        <f t="shared" ca="1" si="107"/>
        <v>0</v>
      </c>
      <c r="AD294" s="49">
        <f t="shared" ca="1" si="107"/>
        <v>0</v>
      </c>
      <c r="AE294" s="49">
        <f t="shared" ca="1" si="107"/>
        <v>0</v>
      </c>
      <c r="AF294" s="49">
        <f t="shared" ca="1" si="107"/>
        <v>0</v>
      </c>
      <c r="AG294" s="49">
        <f t="shared" ca="1" si="107"/>
        <v>0</v>
      </c>
      <c r="AH294" s="49">
        <f t="shared" ca="1" si="107"/>
        <v>0</v>
      </c>
      <c r="AI294" s="49">
        <f t="shared" ca="1" si="107"/>
        <v>0</v>
      </c>
      <c r="AJ294" s="49">
        <f t="shared" ca="1" si="107"/>
        <v>0</v>
      </c>
      <c r="AK294" s="49">
        <f t="shared" ca="1" si="107"/>
        <v>0</v>
      </c>
      <c r="AL294" s="49">
        <f t="shared" ca="1" si="107"/>
        <v>0</v>
      </c>
      <c r="AM294" s="49">
        <f t="shared" ca="1" si="107"/>
        <v>0</v>
      </c>
      <c r="AN294" s="49">
        <f t="shared" ca="1" si="107"/>
        <v>0</v>
      </c>
      <c r="AO294" s="49">
        <f t="shared" ca="1" si="107"/>
        <v>0</v>
      </c>
      <c r="AP294" s="49">
        <f t="shared" ca="1" si="107"/>
        <v>0</v>
      </c>
      <c r="AQ294" s="49">
        <f t="shared" ca="1" si="107"/>
        <v>0</v>
      </c>
      <c r="AR294" s="49">
        <f t="shared" ca="1" si="107"/>
        <v>0</v>
      </c>
      <c r="AS294" s="49">
        <f t="shared" ca="1" si="107"/>
        <v>0</v>
      </c>
      <c r="AT294" s="49">
        <f t="shared" ca="1" si="107"/>
        <v>0</v>
      </c>
      <c r="AU294" s="49">
        <f t="shared" ca="1" si="107"/>
        <v>0</v>
      </c>
      <c r="AV294" s="49">
        <f t="shared" ca="1" si="107"/>
        <v>0</v>
      </c>
      <c r="AW294" s="49">
        <f t="shared" ca="1" si="107"/>
        <v>0</v>
      </c>
      <c r="AX294" s="49">
        <f t="shared" ca="1" si="107"/>
        <v>0</v>
      </c>
      <c r="AY294" s="49">
        <f t="shared" ca="1" si="107"/>
        <v>0</v>
      </c>
      <c r="AZ294" s="49">
        <f t="shared" ca="1" si="107"/>
        <v>0</v>
      </c>
      <c r="BA294" s="49">
        <f t="shared" ca="1" si="107"/>
        <v>0</v>
      </c>
      <c r="BB294" s="49">
        <f t="shared" ca="1" si="107"/>
        <v>0</v>
      </c>
      <c r="BC294" s="49">
        <f t="shared" ca="1" si="107"/>
        <v>0</v>
      </c>
      <c r="BD294" s="49">
        <f t="shared" ca="1" si="107"/>
        <v>0</v>
      </c>
      <c r="BE294" s="49">
        <f t="shared" ca="1" si="107"/>
        <v>0</v>
      </c>
      <c r="BF294" s="49">
        <f t="shared" ca="1" si="107"/>
        <v>0</v>
      </c>
      <c r="BG294" s="49">
        <f t="shared" ca="1" si="107"/>
        <v>0</v>
      </c>
      <c r="BH294" s="49">
        <f t="shared" ca="1" si="107"/>
        <v>0</v>
      </c>
      <c r="BI294" s="49">
        <f t="shared" ca="1" si="107"/>
        <v>0</v>
      </c>
      <c r="BJ294" s="49">
        <f t="shared" ca="1" si="107"/>
        <v>0</v>
      </c>
      <c r="BK294" s="49">
        <f t="shared" ca="1" si="107"/>
        <v>0</v>
      </c>
      <c r="BL294" s="49">
        <f t="shared" ca="1" si="107"/>
        <v>0</v>
      </c>
      <c r="BM294" s="49">
        <f t="shared" ca="1" si="107"/>
        <v>0</v>
      </c>
      <c r="BN294" s="49">
        <f t="shared" ca="1" si="107"/>
        <v>0</v>
      </c>
      <c r="BO294" s="49">
        <f t="shared" ca="1" si="107"/>
        <v>0</v>
      </c>
      <c r="BP294" s="49">
        <f t="shared" ca="1" si="107"/>
        <v>0</v>
      </c>
      <c r="BQ294" s="49">
        <f t="shared" ca="1" si="107"/>
        <v>0</v>
      </c>
      <c r="BR294" s="49">
        <f t="shared" ca="1" si="107"/>
        <v>0</v>
      </c>
      <c r="BS294" s="49">
        <f t="shared" ca="1" si="107"/>
        <v>0</v>
      </c>
    </row>
    <row r="295" spans="3:71" outlineLevel="1" x14ac:dyDescent="0.2">
      <c r="E295" t="s">
        <v>195</v>
      </c>
      <c r="J295" s="26"/>
      <c r="L295" s="49">
        <f ca="1">L293+L294</f>
        <v>0</v>
      </c>
      <c r="M295" s="49">
        <f t="shared" ref="M295:BS295" ca="1" si="108">M293+M294</f>
        <v>0</v>
      </c>
      <c r="N295" s="49">
        <f t="shared" ca="1" si="108"/>
        <v>0</v>
      </c>
      <c r="O295" s="49">
        <f t="shared" ca="1" si="108"/>
        <v>0</v>
      </c>
      <c r="P295" s="49">
        <f t="shared" ca="1" si="108"/>
        <v>0</v>
      </c>
      <c r="Q295" s="49">
        <f t="shared" ca="1" si="108"/>
        <v>0</v>
      </c>
      <c r="R295" s="49">
        <f t="shared" ca="1" si="108"/>
        <v>0</v>
      </c>
      <c r="S295" s="49">
        <f t="shared" ca="1" si="108"/>
        <v>0</v>
      </c>
      <c r="T295" s="49">
        <f t="shared" ca="1" si="108"/>
        <v>0</v>
      </c>
      <c r="U295" s="49">
        <f t="shared" ca="1" si="108"/>
        <v>0</v>
      </c>
      <c r="V295" s="49">
        <f t="shared" ca="1" si="108"/>
        <v>0</v>
      </c>
      <c r="W295" s="49">
        <f t="shared" ca="1" si="108"/>
        <v>0</v>
      </c>
      <c r="X295" s="49">
        <f t="shared" ca="1" si="108"/>
        <v>0</v>
      </c>
      <c r="Y295" s="49">
        <f t="shared" ca="1" si="108"/>
        <v>0</v>
      </c>
      <c r="Z295" s="49">
        <f t="shared" ca="1" si="108"/>
        <v>0</v>
      </c>
      <c r="AA295" s="49">
        <f t="shared" ca="1" si="108"/>
        <v>0</v>
      </c>
      <c r="AB295" s="49">
        <f t="shared" ca="1" si="108"/>
        <v>0</v>
      </c>
      <c r="AC295" s="49">
        <f t="shared" ca="1" si="108"/>
        <v>0</v>
      </c>
      <c r="AD295" s="49">
        <f t="shared" ca="1" si="108"/>
        <v>0</v>
      </c>
      <c r="AE295" s="49">
        <f t="shared" ca="1" si="108"/>
        <v>0</v>
      </c>
      <c r="AF295" s="49">
        <f t="shared" ca="1" si="108"/>
        <v>0</v>
      </c>
      <c r="AG295" s="49">
        <f t="shared" ca="1" si="108"/>
        <v>0</v>
      </c>
      <c r="AH295" s="49">
        <f t="shared" ca="1" si="108"/>
        <v>0</v>
      </c>
      <c r="AI295" s="49">
        <f t="shared" ca="1" si="108"/>
        <v>0</v>
      </c>
      <c r="AJ295" s="49">
        <f t="shared" ca="1" si="108"/>
        <v>0</v>
      </c>
      <c r="AK295" s="49">
        <f t="shared" ca="1" si="108"/>
        <v>0</v>
      </c>
      <c r="AL295" s="49">
        <f t="shared" ca="1" si="108"/>
        <v>0</v>
      </c>
      <c r="AM295" s="49">
        <f t="shared" ca="1" si="108"/>
        <v>0</v>
      </c>
      <c r="AN295" s="49">
        <f t="shared" ca="1" si="108"/>
        <v>0</v>
      </c>
      <c r="AO295" s="49">
        <f t="shared" ca="1" si="108"/>
        <v>0</v>
      </c>
      <c r="AP295" s="49">
        <f t="shared" ca="1" si="108"/>
        <v>0</v>
      </c>
      <c r="AQ295" s="49">
        <f t="shared" ca="1" si="108"/>
        <v>0</v>
      </c>
      <c r="AR295" s="49">
        <f t="shared" ca="1" si="108"/>
        <v>0</v>
      </c>
      <c r="AS295" s="49">
        <f t="shared" ca="1" si="108"/>
        <v>0</v>
      </c>
      <c r="AT295" s="49">
        <f t="shared" ca="1" si="108"/>
        <v>0</v>
      </c>
      <c r="AU295" s="49">
        <f t="shared" ca="1" si="108"/>
        <v>0</v>
      </c>
      <c r="AV295" s="49">
        <f t="shared" ca="1" si="108"/>
        <v>0</v>
      </c>
      <c r="AW295" s="49">
        <f t="shared" ca="1" si="108"/>
        <v>0</v>
      </c>
      <c r="AX295" s="49">
        <f t="shared" ca="1" si="108"/>
        <v>0</v>
      </c>
      <c r="AY295" s="49">
        <f t="shared" ca="1" si="108"/>
        <v>0</v>
      </c>
      <c r="AZ295" s="49">
        <f t="shared" ca="1" si="108"/>
        <v>0</v>
      </c>
      <c r="BA295" s="49">
        <f t="shared" ca="1" si="108"/>
        <v>0</v>
      </c>
      <c r="BB295" s="49">
        <f t="shared" ca="1" si="108"/>
        <v>0</v>
      </c>
      <c r="BC295" s="49">
        <f t="shared" ca="1" si="108"/>
        <v>0</v>
      </c>
      <c r="BD295" s="49">
        <f t="shared" ca="1" si="108"/>
        <v>0</v>
      </c>
      <c r="BE295" s="49">
        <f t="shared" ca="1" si="108"/>
        <v>0</v>
      </c>
      <c r="BF295" s="49">
        <f t="shared" ca="1" si="108"/>
        <v>0</v>
      </c>
      <c r="BG295" s="49">
        <f t="shared" ca="1" si="108"/>
        <v>0</v>
      </c>
      <c r="BH295" s="49">
        <f t="shared" ca="1" si="108"/>
        <v>0</v>
      </c>
      <c r="BI295" s="49">
        <f t="shared" ca="1" si="108"/>
        <v>0</v>
      </c>
      <c r="BJ295" s="49">
        <f t="shared" ca="1" si="108"/>
        <v>0</v>
      </c>
      <c r="BK295" s="49">
        <f t="shared" ca="1" si="108"/>
        <v>0</v>
      </c>
      <c r="BL295" s="49">
        <f t="shared" ca="1" si="108"/>
        <v>0</v>
      </c>
      <c r="BM295" s="49">
        <f t="shared" ca="1" si="108"/>
        <v>0</v>
      </c>
      <c r="BN295" s="49">
        <f t="shared" ca="1" si="108"/>
        <v>0</v>
      </c>
      <c r="BO295" s="49">
        <f t="shared" ca="1" si="108"/>
        <v>0</v>
      </c>
      <c r="BP295" s="49">
        <f t="shared" ca="1" si="108"/>
        <v>0</v>
      </c>
      <c r="BQ295" s="49">
        <f t="shared" ca="1" si="108"/>
        <v>0</v>
      </c>
      <c r="BR295" s="49">
        <f t="shared" ca="1" si="108"/>
        <v>0</v>
      </c>
      <c r="BS295" s="49">
        <f t="shared" ca="1" si="108"/>
        <v>0</v>
      </c>
    </row>
    <row r="296" spans="3:71" outlineLevel="1" x14ac:dyDescent="0.2">
      <c r="J296" s="26"/>
      <c r="L296" s="55"/>
      <c r="M296" s="55"/>
      <c r="N296" s="55"/>
      <c r="O296" s="55"/>
      <c r="P296" s="55"/>
      <c r="Q296" s="55"/>
      <c r="R296" s="55"/>
      <c r="S296" s="55"/>
      <c r="T296" s="55"/>
      <c r="U296" s="55"/>
      <c r="V296" s="55"/>
      <c r="W296" s="55"/>
      <c r="X296" s="55"/>
      <c r="Y296" s="55"/>
      <c r="Z296" s="55"/>
      <c r="AA296" s="55"/>
      <c r="AB296" s="55"/>
      <c r="AC296" s="55"/>
      <c r="AD296" s="55"/>
      <c r="AE296" s="55"/>
      <c r="AF296" s="55"/>
      <c r="AG296" s="55"/>
      <c r="AH296" s="55"/>
      <c r="AI296" s="55"/>
      <c r="AJ296" s="55"/>
      <c r="AK296" s="55"/>
      <c r="AL296" s="55"/>
      <c r="AM296" s="55"/>
      <c r="AN296" s="55"/>
      <c r="AO296" s="55"/>
      <c r="AP296" s="55"/>
      <c r="AQ296" s="55"/>
      <c r="AR296" s="55"/>
      <c r="AS296" s="55"/>
      <c r="AT296" s="55"/>
      <c r="AU296" s="55"/>
      <c r="AV296" s="55"/>
      <c r="AW296" s="55"/>
      <c r="AX296" s="55"/>
      <c r="AY296" s="55"/>
      <c r="AZ296" s="55"/>
      <c r="BA296" s="55"/>
      <c r="BB296" s="55"/>
      <c r="BC296" s="55"/>
      <c r="BD296" s="55"/>
      <c r="BE296" s="55"/>
      <c r="BF296" s="55"/>
      <c r="BG296" s="55"/>
      <c r="BH296" s="55"/>
      <c r="BI296" s="55"/>
      <c r="BJ296" s="55"/>
      <c r="BK296" s="55"/>
      <c r="BL296" s="55"/>
      <c r="BM296" s="55"/>
      <c r="BN296" s="55"/>
      <c r="BO296" s="55"/>
      <c r="BP296" s="55"/>
      <c r="BQ296" s="55"/>
      <c r="BR296" s="55"/>
      <c r="BS296" s="55"/>
    </row>
    <row r="297" spans="3:71" outlineLevel="1" x14ac:dyDescent="0.2">
      <c r="E297" s="11" t="s">
        <v>867</v>
      </c>
      <c r="J297" s="26"/>
      <c r="K297" s="7" t="s">
        <v>872</v>
      </c>
      <c r="L297" s="49">
        <f ca="1">-SUM(L288,L282,L276,L270,L294)</f>
        <v>0</v>
      </c>
      <c r="M297" s="49">
        <f t="shared" ref="M297:BS297" ca="1" si="109">-SUM(M288,M282,M276,M270,M294)</f>
        <v>6.4090766449179659</v>
      </c>
      <c r="N297" s="49">
        <f t="shared" ca="1" si="109"/>
        <v>32.435823628369469</v>
      </c>
      <c r="O297" s="49">
        <f t="shared" ca="1" si="109"/>
        <v>50.908864237736623</v>
      </c>
      <c r="P297" s="49">
        <f t="shared" ca="1" si="109"/>
        <v>46.941462105911178</v>
      </c>
      <c r="Q297" s="49">
        <f t="shared" ca="1" si="109"/>
        <v>51.495202634441199</v>
      </c>
      <c r="R297" s="49">
        <f t="shared" ca="1" si="109"/>
        <v>5.2525106687184575E-5</v>
      </c>
      <c r="S297" s="49">
        <f t="shared" ca="1" si="109"/>
        <v>67.656119999999987</v>
      </c>
      <c r="T297" s="49">
        <f t="shared" ca="1" si="109"/>
        <v>67.558437623762359</v>
      </c>
      <c r="U297" s="49">
        <f t="shared" ca="1" si="109"/>
        <v>67.526685148514844</v>
      </c>
      <c r="V297" s="49">
        <f t="shared" ca="1" si="109"/>
        <v>67.498075247524739</v>
      </c>
      <c r="W297" s="49">
        <f t="shared" ca="1" si="109"/>
        <v>67.492524752475248</v>
      </c>
      <c r="X297" s="49">
        <f t="shared" ca="1" si="109"/>
        <v>67.454110891089115</v>
      </c>
      <c r="Y297" s="49">
        <f t="shared" ca="1" si="109"/>
        <v>0</v>
      </c>
      <c r="Z297" s="49">
        <f t="shared" ca="1" si="109"/>
        <v>0</v>
      </c>
      <c r="AA297" s="49">
        <f t="shared" ca="1" si="109"/>
        <v>0</v>
      </c>
      <c r="AB297" s="49">
        <f t="shared" ca="1" si="109"/>
        <v>0</v>
      </c>
      <c r="AC297" s="49">
        <f t="shared" ca="1" si="109"/>
        <v>0</v>
      </c>
      <c r="AD297" s="49">
        <f t="shared" ca="1" si="109"/>
        <v>0</v>
      </c>
      <c r="AE297" s="49">
        <f t="shared" ca="1" si="109"/>
        <v>0</v>
      </c>
      <c r="AF297" s="49">
        <f t="shared" ca="1" si="109"/>
        <v>0</v>
      </c>
      <c r="AG297" s="49">
        <f t="shared" ca="1" si="109"/>
        <v>0</v>
      </c>
      <c r="AH297" s="49">
        <f t="shared" ca="1" si="109"/>
        <v>0</v>
      </c>
      <c r="AI297" s="49">
        <f t="shared" ca="1" si="109"/>
        <v>0</v>
      </c>
      <c r="AJ297" s="49">
        <f t="shared" ca="1" si="109"/>
        <v>0</v>
      </c>
      <c r="AK297" s="49">
        <f t="shared" ca="1" si="109"/>
        <v>0</v>
      </c>
      <c r="AL297" s="49">
        <f t="shared" ca="1" si="109"/>
        <v>0</v>
      </c>
      <c r="AM297" s="49">
        <f t="shared" ca="1" si="109"/>
        <v>0</v>
      </c>
      <c r="AN297" s="49">
        <f t="shared" ca="1" si="109"/>
        <v>0</v>
      </c>
      <c r="AO297" s="49">
        <f t="shared" ca="1" si="109"/>
        <v>0</v>
      </c>
      <c r="AP297" s="49">
        <f t="shared" ca="1" si="109"/>
        <v>0</v>
      </c>
      <c r="AQ297" s="49">
        <f t="shared" ca="1" si="109"/>
        <v>0</v>
      </c>
      <c r="AR297" s="49">
        <f t="shared" ca="1" si="109"/>
        <v>0</v>
      </c>
      <c r="AS297" s="49">
        <f t="shared" ca="1" si="109"/>
        <v>0</v>
      </c>
      <c r="AT297" s="49">
        <f t="shared" ca="1" si="109"/>
        <v>0</v>
      </c>
      <c r="AU297" s="49">
        <f t="shared" ca="1" si="109"/>
        <v>0</v>
      </c>
      <c r="AV297" s="49">
        <f t="shared" ca="1" si="109"/>
        <v>0</v>
      </c>
      <c r="AW297" s="49">
        <f t="shared" ca="1" si="109"/>
        <v>0</v>
      </c>
      <c r="AX297" s="49">
        <f t="shared" ca="1" si="109"/>
        <v>0</v>
      </c>
      <c r="AY297" s="49">
        <f t="shared" ca="1" si="109"/>
        <v>0</v>
      </c>
      <c r="AZ297" s="49">
        <f t="shared" ca="1" si="109"/>
        <v>0</v>
      </c>
      <c r="BA297" s="49">
        <f t="shared" ca="1" si="109"/>
        <v>0</v>
      </c>
      <c r="BB297" s="49">
        <f t="shared" ca="1" si="109"/>
        <v>0</v>
      </c>
      <c r="BC297" s="49">
        <f t="shared" ca="1" si="109"/>
        <v>0</v>
      </c>
      <c r="BD297" s="49">
        <f t="shared" ca="1" si="109"/>
        <v>0</v>
      </c>
      <c r="BE297" s="49">
        <f t="shared" ca="1" si="109"/>
        <v>0</v>
      </c>
      <c r="BF297" s="49">
        <f t="shared" ca="1" si="109"/>
        <v>0</v>
      </c>
      <c r="BG297" s="49">
        <f t="shared" ca="1" si="109"/>
        <v>0</v>
      </c>
      <c r="BH297" s="49">
        <f t="shared" ca="1" si="109"/>
        <v>0</v>
      </c>
      <c r="BI297" s="49">
        <f t="shared" ca="1" si="109"/>
        <v>0</v>
      </c>
      <c r="BJ297" s="49">
        <f t="shared" ca="1" si="109"/>
        <v>0</v>
      </c>
      <c r="BK297" s="49">
        <f t="shared" ca="1" si="109"/>
        <v>0</v>
      </c>
      <c r="BL297" s="49">
        <f t="shared" ca="1" si="109"/>
        <v>0</v>
      </c>
      <c r="BM297" s="49">
        <f t="shared" ca="1" si="109"/>
        <v>0</v>
      </c>
      <c r="BN297" s="49">
        <f t="shared" ca="1" si="109"/>
        <v>0</v>
      </c>
      <c r="BO297" s="49">
        <f t="shared" ca="1" si="109"/>
        <v>0</v>
      </c>
      <c r="BP297" s="49">
        <f t="shared" ca="1" si="109"/>
        <v>0</v>
      </c>
      <c r="BQ297" s="49">
        <f t="shared" ca="1" si="109"/>
        <v>0</v>
      </c>
      <c r="BR297" s="49">
        <f t="shared" ca="1" si="109"/>
        <v>0</v>
      </c>
      <c r="BS297" s="49">
        <f t="shared" ca="1" si="109"/>
        <v>0</v>
      </c>
    </row>
    <row r="298" spans="3:71" outlineLevel="1" x14ac:dyDescent="0.2">
      <c r="J298" s="26"/>
      <c r="L298" s="55"/>
      <c r="M298" s="55"/>
      <c r="N298" s="55"/>
      <c r="O298" s="55"/>
      <c r="P298" s="55"/>
      <c r="Q298" s="55"/>
      <c r="R298" s="55"/>
      <c r="S298" s="55"/>
      <c r="T298" s="55"/>
      <c r="U298" s="55"/>
      <c r="V298" s="55"/>
      <c r="W298" s="55"/>
      <c r="X298" s="55"/>
      <c r="Y298" s="55"/>
      <c r="Z298" s="55"/>
      <c r="AA298" s="55"/>
      <c r="AB298" s="55"/>
      <c r="AC298" s="55"/>
      <c r="AD298" s="55"/>
      <c r="AE298" s="55"/>
      <c r="AF298" s="55"/>
      <c r="AG298" s="55"/>
      <c r="AH298" s="55"/>
      <c r="AI298" s="55"/>
      <c r="AJ298" s="55"/>
      <c r="AK298" s="55"/>
      <c r="AL298" s="55"/>
      <c r="AM298" s="55"/>
      <c r="AN298" s="55"/>
      <c r="AO298" s="55"/>
      <c r="AP298" s="55"/>
      <c r="AQ298" s="55"/>
      <c r="AR298" s="55"/>
      <c r="AS298" s="55"/>
      <c r="AT298" s="55"/>
      <c r="AU298" s="55"/>
      <c r="AV298" s="55"/>
      <c r="AW298" s="55"/>
      <c r="AX298" s="55"/>
      <c r="AY298" s="55"/>
      <c r="AZ298" s="55"/>
      <c r="BA298" s="55"/>
      <c r="BB298" s="55"/>
      <c r="BC298" s="55"/>
      <c r="BD298" s="55"/>
      <c r="BE298" s="55"/>
      <c r="BF298" s="55"/>
      <c r="BG298" s="55"/>
      <c r="BH298" s="55"/>
      <c r="BI298" s="55"/>
      <c r="BJ298" s="55"/>
      <c r="BK298" s="55"/>
      <c r="BL298" s="55"/>
      <c r="BM298" s="55"/>
      <c r="BN298" s="55"/>
      <c r="BO298" s="55"/>
      <c r="BP298" s="55"/>
      <c r="BQ298" s="55"/>
      <c r="BR298" s="55"/>
      <c r="BS298" s="55"/>
    </row>
    <row r="299" spans="3:71" outlineLevel="1" x14ac:dyDescent="0.2">
      <c r="D299" s="11" t="s">
        <v>207</v>
      </c>
      <c r="H299" s="56" t="b">
        <f ca="1">ROUND(I299,2)=ROUND(I223,2)</f>
        <v>0</v>
      </c>
      <c r="I299" s="30">
        <f t="shared" ca="1" si="71"/>
        <v>3831.6627531153031</v>
      </c>
      <c r="J299" s="26" t="s">
        <v>148</v>
      </c>
      <c r="K299" s="7" t="s">
        <v>208</v>
      </c>
      <c r="L299" s="49">
        <f ca="1">L297+L260</f>
        <v>0</v>
      </c>
      <c r="M299" s="49">
        <f t="shared" ref="M299:BS299" ca="1" si="110">M297+M260</f>
        <v>6.57882073367605</v>
      </c>
      <c r="N299" s="49">
        <f t="shared" ca="1" si="110"/>
        <v>90.921341154511992</v>
      </c>
      <c r="O299" s="49">
        <f t="shared" ca="1" si="110"/>
        <v>141.40109710549871</v>
      </c>
      <c r="P299" s="49">
        <f t="shared" ca="1" si="110"/>
        <v>256.0599373721825</v>
      </c>
      <c r="Q299" s="49">
        <f t="shared" ca="1" si="110"/>
        <v>516.73150705302351</v>
      </c>
      <c r="R299" s="49">
        <f t="shared" ca="1" si="110"/>
        <v>432.37428045030492</v>
      </c>
      <c r="S299" s="49">
        <f t="shared" ca="1" si="110"/>
        <v>312.88347550833328</v>
      </c>
      <c r="T299" s="49">
        <f t="shared" ca="1" si="110"/>
        <v>437.52170533416228</v>
      </c>
      <c r="U299" s="49">
        <f t="shared" ca="1" si="110"/>
        <v>436.84255718551481</v>
      </c>
      <c r="V299" s="49">
        <f t="shared" ca="1" si="110"/>
        <v>417.83111146182284</v>
      </c>
      <c r="W299" s="49">
        <f t="shared" ca="1" si="110"/>
        <v>399.81844290535832</v>
      </c>
      <c r="X299" s="49">
        <f t="shared" ca="1" si="110"/>
        <v>382.69847685091401</v>
      </c>
      <c r="Y299" s="49">
        <f t="shared" ca="1" si="110"/>
        <v>0</v>
      </c>
      <c r="Z299" s="49">
        <f t="shared" ca="1" si="110"/>
        <v>0</v>
      </c>
      <c r="AA299" s="49">
        <f t="shared" ca="1" si="110"/>
        <v>0</v>
      </c>
      <c r="AB299" s="49">
        <f t="shared" ca="1" si="110"/>
        <v>0</v>
      </c>
      <c r="AC299" s="49">
        <f t="shared" ca="1" si="110"/>
        <v>0</v>
      </c>
      <c r="AD299" s="49">
        <f t="shared" ca="1" si="110"/>
        <v>0</v>
      </c>
      <c r="AE299" s="49">
        <f t="shared" ca="1" si="110"/>
        <v>0</v>
      </c>
      <c r="AF299" s="49">
        <f t="shared" ca="1" si="110"/>
        <v>0</v>
      </c>
      <c r="AG299" s="49">
        <f t="shared" ca="1" si="110"/>
        <v>0</v>
      </c>
      <c r="AH299" s="49">
        <f t="shared" ca="1" si="110"/>
        <v>0</v>
      </c>
      <c r="AI299" s="49">
        <f t="shared" ca="1" si="110"/>
        <v>0</v>
      </c>
      <c r="AJ299" s="49">
        <f t="shared" ca="1" si="110"/>
        <v>0</v>
      </c>
      <c r="AK299" s="49">
        <f t="shared" ca="1" si="110"/>
        <v>0</v>
      </c>
      <c r="AL299" s="49">
        <f t="shared" ca="1" si="110"/>
        <v>0</v>
      </c>
      <c r="AM299" s="49">
        <f t="shared" ca="1" si="110"/>
        <v>0</v>
      </c>
      <c r="AN299" s="49">
        <f t="shared" ca="1" si="110"/>
        <v>0</v>
      </c>
      <c r="AO299" s="49">
        <f t="shared" ca="1" si="110"/>
        <v>0</v>
      </c>
      <c r="AP299" s="49">
        <f t="shared" ca="1" si="110"/>
        <v>0</v>
      </c>
      <c r="AQ299" s="49">
        <f t="shared" ca="1" si="110"/>
        <v>0</v>
      </c>
      <c r="AR299" s="49">
        <f t="shared" ca="1" si="110"/>
        <v>0</v>
      </c>
      <c r="AS299" s="49">
        <f t="shared" ca="1" si="110"/>
        <v>0</v>
      </c>
      <c r="AT299" s="49">
        <f t="shared" ca="1" si="110"/>
        <v>0</v>
      </c>
      <c r="AU299" s="49">
        <f t="shared" ca="1" si="110"/>
        <v>0</v>
      </c>
      <c r="AV299" s="49">
        <f t="shared" ca="1" si="110"/>
        <v>0</v>
      </c>
      <c r="AW299" s="49">
        <f t="shared" ca="1" si="110"/>
        <v>0</v>
      </c>
      <c r="AX299" s="49">
        <f t="shared" ca="1" si="110"/>
        <v>0</v>
      </c>
      <c r="AY299" s="49">
        <f t="shared" ca="1" si="110"/>
        <v>0</v>
      </c>
      <c r="AZ299" s="49">
        <f t="shared" ca="1" si="110"/>
        <v>0</v>
      </c>
      <c r="BA299" s="49">
        <f t="shared" ca="1" si="110"/>
        <v>0</v>
      </c>
      <c r="BB299" s="49">
        <f t="shared" ca="1" si="110"/>
        <v>0</v>
      </c>
      <c r="BC299" s="49">
        <f t="shared" ca="1" si="110"/>
        <v>0</v>
      </c>
      <c r="BD299" s="49">
        <f t="shared" ca="1" si="110"/>
        <v>0</v>
      </c>
      <c r="BE299" s="49">
        <f t="shared" ca="1" si="110"/>
        <v>0</v>
      </c>
      <c r="BF299" s="49">
        <f t="shared" ca="1" si="110"/>
        <v>0</v>
      </c>
      <c r="BG299" s="49">
        <f t="shared" ca="1" si="110"/>
        <v>0</v>
      </c>
      <c r="BH299" s="49">
        <f t="shared" ca="1" si="110"/>
        <v>0</v>
      </c>
      <c r="BI299" s="49">
        <f t="shared" ca="1" si="110"/>
        <v>0</v>
      </c>
      <c r="BJ299" s="49">
        <f t="shared" ca="1" si="110"/>
        <v>0</v>
      </c>
      <c r="BK299" s="49">
        <f t="shared" ca="1" si="110"/>
        <v>0</v>
      </c>
      <c r="BL299" s="49">
        <f t="shared" ca="1" si="110"/>
        <v>0</v>
      </c>
      <c r="BM299" s="49">
        <f t="shared" ca="1" si="110"/>
        <v>0</v>
      </c>
      <c r="BN299" s="49">
        <f t="shared" ca="1" si="110"/>
        <v>0</v>
      </c>
      <c r="BO299" s="49">
        <f t="shared" ca="1" si="110"/>
        <v>0</v>
      </c>
      <c r="BP299" s="49">
        <f t="shared" ca="1" si="110"/>
        <v>0</v>
      </c>
      <c r="BQ299" s="49">
        <f t="shared" ca="1" si="110"/>
        <v>0</v>
      </c>
      <c r="BR299" s="49">
        <f t="shared" ca="1" si="110"/>
        <v>0</v>
      </c>
      <c r="BS299" s="49">
        <f t="shared" ca="1" si="110"/>
        <v>0</v>
      </c>
    </row>
    <row r="300" spans="3:71" outlineLevel="1" x14ac:dyDescent="0.2">
      <c r="J300" s="26"/>
      <c r="L300" s="55"/>
      <c r="M300" s="55"/>
      <c r="N300" s="55"/>
      <c r="O300" s="55"/>
      <c r="P300" s="55"/>
      <c r="Q300" s="55"/>
      <c r="R300" s="55"/>
      <c r="S300" s="55"/>
      <c r="T300" s="55"/>
      <c r="U300" s="55"/>
      <c r="V300" s="55"/>
      <c r="W300" s="55"/>
      <c r="X300" s="55"/>
      <c r="Y300" s="55"/>
      <c r="Z300" s="55"/>
      <c r="AA300" s="55"/>
      <c r="AB300" s="55"/>
      <c r="AC300" s="55"/>
      <c r="AD300" s="55"/>
      <c r="AE300" s="55"/>
      <c r="AF300" s="55"/>
      <c r="AG300" s="55"/>
      <c r="AH300" s="55"/>
      <c r="AI300" s="55"/>
      <c r="AJ300" s="55"/>
      <c r="AK300" s="55"/>
      <c r="AL300" s="55"/>
      <c r="AM300" s="55"/>
      <c r="AN300" s="55"/>
      <c r="AO300" s="55"/>
      <c r="AP300" s="55"/>
      <c r="AQ300" s="55"/>
      <c r="AR300" s="55"/>
      <c r="AS300" s="55"/>
      <c r="AT300" s="55"/>
      <c r="AU300" s="55"/>
      <c r="AV300" s="55"/>
      <c r="AW300" s="55"/>
      <c r="AX300" s="55"/>
      <c r="AY300" s="55"/>
      <c r="AZ300" s="55"/>
      <c r="BA300" s="55"/>
      <c r="BB300" s="55"/>
      <c r="BC300" s="55"/>
      <c r="BD300" s="55"/>
      <c r="BE300" s="55"/>
      <c r="BF300" s="55"/>
      <c r="BG300" s="55"/>
      <c r="BH300" s="55"/>
      <c r="BI300" s="55"/>
      <c r="BJ300" s="55"/>
      <c r="BK300" s="55"/>
      <c r="BL300" s="55"/>
      <c r="BM300" s="55"/>
      <c r="BN300" s="55"/>
      <c r="BO300" s="55"/>
      <c r="BP300" s="55"/>
      <c r="BQ300" s="55"/>
      <c r="BR300" s="55"/>
      <c r="BS300" s="55"/>
    </row>
    <row r="301" spans="3:71" outlineLevel="1" x14ac:dyDescent="0.2">
      <c r="C301" s="11" t="s">
        <v>85</v>
      </c>
      <c r="J301" s="26"/>
      <c r="L301" s="55"/>
      <c r="M301" s="55"/>
      <c r="N301" s="55"/>
      <c r="O301" s="55"/>
      <c r="P301" s="55"/>
      <c r="Q301" s="55"/>
      <c r="R301" s="55"/>
      <c r="S301" s="55"/>
      <c r="T301" s="55"/>
      <c r="U301" s="55"/>
      <c r="V301" s="55"/>
      <c r="W301" s="55"/>
      <c r="X301" s="55"/>
      <c r="Y301" s="55"/>
      <c r="Z301" s="55"/>
      <c r="AA301" s="55"/>
      <c r="AB301" s="55"/>
      <c r="AC301" s="55"/>
      <c r="AD301" s="55"/>
      <c r="AE301" s="55"/>
      <c r="AF301" s="55"/>
      <c r="AG301" s="55"/>
      <c r="AH301" s="55"/>
      <c r="AI301" s="55"/>
      <c r="AJ301" s="55"/>
      <c r="AK301" s="55"/>
      <c r="AL301" s="55"/>
      <c r="AM301" s="55"/>
      <c r="AN301" s="55"/>
      <c r="AO301" s="55"/>
      <c r="AP301" s="55"/>
      <c r="AQ301" s="55"/>
      <c r="AR301" s="55"/>
      <c r="AS301" s="55"/>
      <c r="AT301" s="55"/>
      <c r="AU301" s="55"/>
      <c r="AV301" s="55"/>
      <c r="AW301" s="55"/>
      <c r="AX301" s="55"/>
      <c r="AY301" s="55"/>
      <c r="AZ301" s="55"/>
      <c r="BA301" s="55"/>
      <c r="BB301" s="55"/>
      <c r="BC301" s="55"/>
      <c r="BD301" s="55"/>
      <c r="BE301" s="55"/>
      <c r="BF301" s="55"/>
      <c r="BG301" s="55"/>
      <c r="BH301" s="55"/>
      <c r="BI301" s="55"/>
      <c r="BJ301" s="55"/>
      <c r="BK301" s="55"/>
      <c r="BL301" s="55"/>
      <c r="BM301" s="55"/>
      <c r="BN301" s="55"/>
      <c r="BO301" s="55"/>
      <c r="BP301" s="55"/>
      <c r="BQ301" s="55"/>
      <c r="BR301" s="55"/>
      <c r="BS301" s="55"/>
    </row>
    <row r="302" spans="3:71" outlineLevel="1" x14ac:dyDescent="0.2">
      <c r="D302" t="s">
        <v>868</v>
      </c>
      <c r="I302" s="30">
        <f t="shared" ref="I302:I306" ca="1" si="111">SUM($L302:$BS302)</f>
        <v>0</v>
      </c>
      <c r="J302" s="26" t="s">
        <v>148</v>
      </c>
      <c r="K302" s="7" t="s">
        <v>870</v>
      </c>
      <c r="L302" s="49">
        <f t="shared" ref="L302:AQ302" ca="1" si="112">IF((CA_cost_stop_oil)-L260&lt;=0,0,(CA_cost_stop_oil)-L260)</f>
        <v>0</v>
      </c>
      <c r="M302" s="49">
        <f t="shared" ca="1" si="112"/>
        <v>0</v>
      </c>
      <c r="N302" s="49">
        <f t="shared" ca="1" si="112"/>
        <v>0</v>
      </c>
      <c r="O302" s="49">
        <f t="shared" ca="1" si="112"/>
        <v>0</v>
      </c>
      <c r="P302" s="49">
        <f t="shared" ca="1" si="112"/>
        <v>0</v>
      </c>
      <c r="Q302" s="49">
        <f t="shared" ca="1" si="112"/>
        <v>0</v>
      </c>
      <c r="R302" s="49">
        <f t="shared" ca="1" si="112"/>
        <v>0</v>
      </c>
      <c r="S302" s="49">
        <f t="shared" ca="1" si="112"/>
        <v>0</v>
      </c>
      <c r="T302" s="49">
        <f t="shared" ca="1" si="112"/>
        <v>0</v>
      </c>
      <c r="U302" s="49">
        <f t="shared" ca="1" si="112"/>
        <v>0</v>
      </c>
      <c r="V302" s="49">
        <f t="shared" ca="1" si="112"/>
        <v>0</v>
      </c>
      <c r="W302" s="49">
        <f t="shared" ca="1" si="112"/>
        <v>0</v>
      </c>
      <c r="X302" s="49">
        <f t="shared" ca="1" si="112"/>
        <v>0</v>
      </c>
      <c r="Y302" s="49">
        <f t="shared" ca="1" si="112"/>
        <v>0</v>
      </c>
      <c r="Z302" s="49">
        <f t="shared" ca="1" si="112"/>
        <v>0</v>
      </c>
      <c r="AA302" s="49">
        <f t="shared" ca="1" si="112"/>
        <v>0</v>
      </c>
      <c r="AB302" s="49">
        <f t="shared" ca="1" si="112"/>
        <v>0</v>
      </c>
      <c r="AC302" s="49">
        <f t="shared" ca="1" si="112"/>
        <v>0</v>
      </c>
      <c r="AD302" s="49">
        <f t="shared" ca="1" si="112"/>
        <v>0</v>
      </c>
      <c r="AE302" s="49">
        <f t="shared" ca="1" si="112"/>
        <v>0</v>
      </c>
      <c r="AF302" s="49">
        <f t="shared" ca="1" si="112"/>
        <v>0</v>
      </c>
      <c r="AG302" s="49">
        <f t="shared" ca="1" si="112"/>
        <v>0</v>
      </c>
      <c r="AH302" s="49">
        <f t="shared" ca="1" si="112"/>
        <v>0</v>
      </c>
      <c r="AI302" s="49">
        <f t="shared" ca="1" si="112"/>
        <v>0</v>
      </c>
      <c r="AJ302" s="49">
        <f t="shared" ca="1" si="112"/>
        <v>0</v>
      </c>
      <c r="AK302" s="49">
        <f t="shared" ca="1" si="112"/>
        <v>0</v>
      </c>
      <c r="AL302" s="49">
        <f t="shared" ca="1" si="112"/>
        <v>0</v>
      </c>
      <c r="AM302" s="49">
        <f t="shared" ca="1" si="112"/>
        <v>0</v>
      </c>
      <c r="AN302" s="49">
        <f t="shared" ca="1" si="112"/>
        <v>0</v>
      </c>
      <c r="AO302" s="49">
        <f t="shared" ca="1" si="112"/>
        <v>0</v>
      </c>
      <c r="AP302" s="49">
        <f t="shared" ca="1" si="112"/>
        <v>0</v>
      </c>
      <c r="AQ302" s="49">
        <f t="shared" ca="1" si="112"/>
        <v>0</v>
      </c>
      <c r="AR302" s="49">
        <f t="shared" ref="AR302:BS302" ca="1" si="113">IF((CA_cost_stop_oil)-AR260&lt;=0,0,(CA_cost_stop_oil)-AR260)</f>
        <v>0</v>
      </c>
      <c r="AS302" s="49">
        <f t="shared" ca="1" si="113"/>
        <v>0</v>
      </c>
      <c r="AT302" s="49">
        <f t="shared" ca="1" si="113"/>
        <v>0</v>
      </c>
      <c r="AU302" s="49">
        <f t="shared" ca="1" si="113"/>
        <v>0</v>
      </c>
      <c r="AV302" s="49">
        <f t="shared" ca="1" si="113"/>
        <v>0</v>
      </c>
      <c r="AW302" s="49">
        <f t="shared" ca="1" si="113"/>
        <v>0</v>
      </c>
      <c r="AX302" s="49">
        <f t="shared" ca="1" si="113"/>
        <v>0</v>
      </c>
      <c r="AY302" s="49">
        <f t="shared" ca="1" si="113"/>
        <v>0</v>
      </c>
      <c r="AZ302" s="49">
        <f t="shared" ca="1" si="113"/>
        <v>0</v>
      </c>
      <c r="BA302" s="49">
        <f t="shared" ca="1" si="113"/>
        <v>0</v>
      </c>
      <c r="BB302" s="49">
        <f t="shared" ca="1" si="113"/>
        <v>0</v>
      </c>
      <c r="BC302" s="49">
        <f t="shared" ca="1" si="113"/>
        <v>0</v>
      </c>
      <c r="BD302" s="49">
        <f t="shared" ca="1" si="113"/>
        <v>0</v>
      </c>
      <c r="BE302" s="49">
        <f t="shared" ca="1" si="113"/>
        <v>0</v>
      </c>
      <c r="BF302" s="49">
        <f t="shared" ca="1" si="113"/>
        <v>0</v>
      </c>
      <c r="BG302" s="49">
        <f t="shared" ca="1" si="113"/>
        <v>0</v>
      </c>
      <c r="BH302" s="49">
        <f t="shared" ca="1" si="113"/>
        <v>0</v>
      </c>
      <c r="BI302" s="49">
        <f t="shared" ca="1" si="113"/>
        <v>0</v>
      </c>
      <c r="BJ302" s="49">
        <f t="shared" ca="1" si="113"/>
        <v>0</v>
      </c>
      <c r="BK302" s="49">
        <f t="shared" ca="1" si="113"/>
        <v>0</v>
      </c>
      <c r="BL302" s="49">
        <f t="shared" ca="1" si="113"/>
        <v>0</v>
      </c>
      <c r="BM302" s="49">
        <f t="shared" ca="1" si="113"/>
        <v>0</v>
      </c>
      <c r="BN302" s="49">
        <f t="shared" ca="1" si="113"/>
        <v>0</v>
      </c>
      <c r="BO302" s="49">
        <f t="shared" ca="1" si="113"/>
        <v>0</v>
      </c>
      <c r="BP302" s="49">
        <f t="shared" ca="1" si="113"/>
        <v>0</v>
      </c>
      <c r="BQ302" s="49">
        <f t="shared" ca="1" si="113"/>
        <v>0</v>
      </c>
      <c r="BR302" s="49">
        <f t="shared" ca="1" si="113"/>
        <v>0</v>
      </c>
      <c r="BS302" s="49">
        <f t="shared" ca="1" si="113"/>
        <v>0</v>
      </c>
    </row>
    <row r="303" spans="3:71" outlineLevel="1" x14ac:dyDescent="0.2">
      <c r="D303" t="s">
        <v>869</v>
      </c>
      <c r="I303" s="30">
        <f t="shared" ca="1" si="111"/>
        <v>0</v>
      </c>
      <c r="J303" s="26" t="s">
        <v>148</v>
      </c>
      <c r="K303" s="7" t="s">
        <v>871</v>
      </c>
      <c r="L303" s="49">
        <f t="shared" ref="L303:AQ303" ca="1" si="114">IF(CA_cost_stop_gas-L297&lt;=0,0,CA_cost_stop_gas-L297)</f>
        <v>0</v>
      </c>
      <c r="M303" s="49">
        <f t="shared" ca="1" si="114"/>
        <v>0</v>
      </c>
      <c r="N303" s="49">
        <f t="shared" ca="1" si="114"/>
        <v>0</v>
      </c>
      <c r="O303" s="49">
        <f t="shared" ca="1" si="114"/>
        <v>0</v>
      </c>
      <c r="P303" s="49">
        <f t="shared" ca="1" si="114"/>
        <v>0</v>
      </c>
      <c r="Q303" s="49">
        <f t="shared" ca="1" si="114"/>
        <v>0</v>
      </c>
      <c r="R303" s="49">
        <f t="shared" ca="1" si="114"/>
        <v>0</v>
      </c>
      <c r="S303" s="49">
        <f t="shared" ca="1" si="114"/>
        <v>0</v>
      </c>
      <c r="T303" s="49">
        <f t="shared" ca="1" si="114"/>
        <v>0</v>
      </c>
      <c r="U303" s="49">
        <f t="shared" ca="1" si="114"/>
        <v>0</v>
      </c>
      <c r="V303" s="49">
        <f t="shared" ca="1" si="114"/>
        <v>0</v>
      </c>
      <c r="W303" s="49">
        <f t="shared" ca="1" si="114"/>
        <v>0</v>
      </c>
      <c r="X303" s="49">
        <f t="shared" ca="1" si="114"/>
        <v>0</v>
      </c>
      <c r="Y303" s="49">
        <f t="shared" ca="1" si="114"/>
        <v>0</v>
      </c>
      <c r="Z303" s="49">
        <f t="shared" ca="1" si="114"/>
        <v>0</v>
      </c>
      <c r="AA303" s="49">
        <f t="shared" ca="1" si="114"/>
        <v>0</v>
      </c>
      <c r="AB303" s="49">
        <f t="shared" ca="1" si="114"/>
        <v>0</v>
      </c>
      <c r="AC303" s="49">
        <f t="shared" ca="1" si="114"/>
        <v>0</v>
      </c>
      <c r="AD303" s="49">
        <f t="shared" ca="1" si="114"/>
        <v>0</v>
      </c>
      <c r="AE303" s="49">
        <f t="shared" ca="1" si="114"/>
        <v>0</v>
      </c>
      <c r="AF303" s="49">
        <f t="shared" ca="1" si="114"/>
        <v>0</v>
      </c>
      <c r="AG303" s="49">
        <f t="shared" ca="1" si="114"/>
        <v>0</v>
      </c>
      <c r="AH303" s="49">
        <f t="shared" ca="1" si="114"/>
        <v>0</v>
      </c>
      <c r="AI303" s="49">
        <f t="shared" ca="1" si="114"/>
        <v>0</v>
      </c>
      <c r="AJ303" s="49">
        <f t="shared" ca="1" si="114"/>
        <v>0</v>
      </c>
      <c r="AK303" s="49">
        <f t="shared" ca="1" si="114"/>
        <v>0</v>
      </c>
      <c r="AL303" s="49">
        <f t="shared" ca="1" si="114"/>
        <v>0</v>
      </c>
      <c r="AM303" s="49">
        <f t="shared" ca="1" si="114"/>
        <v>0</v>
      </c>
      <c r="AN303" s="49">
        <f t="shared" ca="1" si="114"/>
        <v>0</v>
      </c>
      <c r="AO303" s="49">
        <f t="shared" ca="1" si="114"/>
        <v>0</v>
      </c>
      <c r="AP303" s="49">
        <f t="shared" ca="1" si="114"/>
        <v>0</v>
      </c>
      <c r="AQ303" s="49">
        <f t="shared" ca="1" si="114"/>
        <v>0</v>
      </c>
      <c r="AR303" s="49">
        <f t="shared" ref="AR303:BS303" ca="1" si="115">IF(CA_cost_stop_gas-AR297&lt;=0,0,CA_cost_stop_gas-AR297)</f>
        <v>0</v>
      </c>
      <c r="AS303" s="49">
        <f t="shared" ca="1" si="115"/>
        <v>0</v>
      </c>
      <c r="AT303" s="49">
        <f t="shared" ca="1" si="115"/>
        <v>0</v>
      </c>
      <c r="AU303" s="49">
        <f t="shared" ca="1" si="115"/>
        <v>0</v>
      </c>
      <c r="AV303" s="49">
        <f t="shared" ca="1" si="115"/>
        <v>0</v>
      </c>
      <c r="AW303" s="49">
        <f t="shared" ca="1" si="115"/>
        <v>0</v>
      </c>
      <c r="AX303" s="49">
        <f t="shared" ca="1" si="115"/>
        <v>0</v>
      </c>
      <c r="AY303" s="49">
        <f t="shared" ca="1" si="115"/>
        <v>0</v>
      </c>
      <c r="AZ303" s="49">
        <f t="shared" ca="1" si="115"/>
        <v>0</v>
      </c>
      <c r="BA303" s="49">
        <f t="shared" ca="1" si="115"/>
        <v>0</v>
      </c>
      <c r="BB303" s="49">
        <f t="shared" ca="1" si="115"/>
        <v>0</v>
      </c>
      <c r="BC303" s="49">
        <f t="shared" ca="1" si="115"/>
        <v>0</v>
      </c>
      <c r="BD303" s="49">
        <f t="shared" ca="1" si="115"/>
        <v>0</v>
      </c>
      <c r="BE303" s="49">
        <f t="shared" ca="1" si="115"/>
        <v>0</v>
      </c>
      <c r="BF303" s="49">
        <f t="shared" ca="1" si="115"/>
        <v>0</v>
      </c>
      <c r="BG303" s="49">
        <f t="shared" ca="1" si="115"/>
        <v>0</v>
      </c>
      <c r="BH303" s="49">
        <f t="shared" ca="1" si="115"/>
        <v>0</v>
      </c>
      <c r="BI303" s="49">
        <f t="shared" ca="1" si="115"/>
        <v>0</v>
      </c>
      <c r="BJ303" s="49">
        <f t="shared" ca="1" si="115"/>
        <v>0</v>
      </c>
      <c r="BK303" s="49">
        <f t="shared" ca="1" si="115"/>
        <v>0</v>
      </c>
      <c r="BL303" s="49">
        <f t="shared" ca="1" si="115"/>
        <v>0</v>
      </c>
      <c r="BM303" s="49">
        <f t="shared" ca="1" si="115"/>
        <v>0</v>
      </c>
      <c r="BN303" s="49">
        <f t="shared" ca="1" si="115"/>
        <v>0</v>
      </c>
      <c r="BO303" s="49">
        <f t="shared" ca="1" si="115"/>
        <v>0</v>
      </c>
      <c r="BP303" s="49">
        <f t="shared" ca="1" si="115"/>
        <v>0</v>
      </c>
      <c r="BQ303" s="49">
        <f t="shared" ca="1" si="115"/>
        <v>0</v>
      </c>
      <c r="BR303" s="49">
        <f t="shared" ca="1" si="115"/>
        <v>0</v>
      </c>
      <c r="BS303" s="49">
        <f t="shared" ca="1" si="115"/>
        <v>0</v>
      </c>
    </row>
    <row r="304" spans="3:71" outlineLevel="1" x14ac:dyDescent="0.2">
      <c r="J304" s="26"/>
      <c r="L304" s="55"/>
      <c r="M304" s="55"/>
      <c r="N304" s="55"/>
      <c r="O304" s="55"/>
      <c r="P304" s="55"/>
      <c r="Q304" s="55"/>
      <c r="R304" s="55"/>
      <c r="S304" s="55"/>
      <c r="T304" s="55"/>
      <c r="U304" s="55"/>
      <c r="V304" s="55"/>
      <c r="W304" s="55"/>
      <c r="X304" s="55"/>
      <c r="Y304" s="55"/>
      <c r="Z304" s="55"/>
      <c r="AA304" s="55"/>
      <c r="AB304" s="55"/>
      <c r="AC304" s="55"/>
      <c r="AD304" s="55"/>
      <c r="AE304" s="55"/>
      <c r="AF304" s="55"/>
      <c r="AG304" s="55"/>
      <c r="AH304" s="55"/>
      <c r="AI304" s="55"/>
      <c r="AJ304" s="55"/>
      <c r="AK304" s="55"/>
      <c r="AL304" s="55"/>
      <c r="AM304" s="55"/>
      <c r="AN304" s="55"/>
      <c r="AO304" s="55"/>
      <c r="AP304" s="55"/>
      <c r="AQ304" s="55"/>
      <c r="AR304" s="55"/>
      <c r="AS304" s="55"/>
      <c r="AT304" s="55"/>
      <c r="AU304" s="55"/>
      <c r="AV304" s="55"/>
      <c r="AW304" s="55"/>
      <c r="AX304" s="55"/>
      <c r="AY304" s="55"/>
      <c r="AZ304" s="55"/>
      <c r="BA304" s="55"/>
      <c r="BB304" s="55"/>
      <c r="BC304" s="55"/>
      <c r="BD304" s="55"/>
      <c r="BE304" s="55"/>
      <c r="BF304" s="55"/>
      <c r="BG304" s="55"/>
      <c r="BH304" s="55"/>
      <c r="BI304" s="55"/>
      <c r="BJ304" s="55"/>
      <c r="BK304" s="55"/>
      <c r="BL304" s="55"/>
      <c r="BM304" s="55"/>
      <c r="BN304" s="55"/>
      <c r="BO304" s="55"/>
      <c r="BP304" s="55"/>
      <c r="BQ304" s="55"/>
      <c r="BR304" s="55"/>
      <c r="BS304" s="55"/>
    </row>
    <row r="305" spans="3:71" outlineLevel="1" x14ac:dyDescent="0.2">
      <c r="D305" t="s">
        <v>211</v>
      </c>
      <c r="I305" s="30">
        <f t="shared" ca="1" si="111"/>
        <v>0</v>
      </c>
      <c r="J305" s="26" t="s">
        <v>148</v>
      </c>
      <c r="K305" s="7" t="s">
        <v>214</v>
      </c>
      <c r="L305" s="49">
        <f ca="1">INDEX(Marine!FA_ECR_cont_rate,1)*CA_excess_cost_recovery_oil+INDEX(Marine!FA_ECR_cont_rate,2)*CA_excess_cost_recovery_gas</f>
        <v>0</v>
      </c>
      <c r="M305" s="49">
        <f ca="1">INDEX(Marine!FA_ECR_cont_rate,1)*CA_excess_cost_recovery_oil+INDEX(Marine!FA_ECR_cont_rate,2)*CA_excess_cost_recovery_gas</f>
        <v>0</v>
      </c>
      <c r="N305" s="49">
        <f ca="1">INDEX(Marine!FA_ECR_cont_rate,1)*CA_excess_cost_recovery_oil+INDEX(Marine!FA_ECR_cont_rate,2)*CA_excess_cost_recovery_gas</f>
        <v>0</v>
      </c>
      <c r="O305" s="49">
        <f ca="1">INDEX(Marine!FA_ECR_cont_rate,1)*CA_excess_cost_recovery_oil+INDEX(Marine!FA_ECR_cont_rate,2)*CA_excess_cost_recovery_gas</f>
        <v>0</v>
      </c>
      <c r="P305" s="49">
        <f ca="1">INDEX(Marine!FA_ECR_cont_rate,1)*CA_excess_cost_recovery_oil+INDEX(Marine!FA_ECR_cont_rate,2)*CA_excess_cost_recovery_gas</f>
        <v>0</v>
      </c>
      <c r="Q305" s="49">
        <f ca="1">INDEX(Marine!FA_ECR_cont_rate,1)*CA_excess_cost_recovery_oil+INDEX(Marine!FA_ECR_cont_rate,2)*CA_excess_cost_recovery_gas</f>
        <v>0</v>
      </c>
      <c r="R305" s="49">
        <f ca="1">INDEX(Marine!FA_ECR_cont_rate,1)*CA_excess_cost_recovery_oil+INDEX(Marine!FA_ECR_cont_rate,2)*CA_excess_cost_recovery_gas</f>
        <v>0</v>
      </c>
      <c r="S305" s="49">
        <f ca="1">INDEX(Marine!FA_ECR_cont_rate,1)*CA_excess_cost_recovery_oil+INDEX(Marine!FA_ECR_cont_rate,2)*CA_excess_cost_recovery_gas</f>
        <v>0</v>
      </c>
      <c r="T305" s="49">
        <f ca="1">INDEX(Marine!FA_ECR_cont_rate,1)*CA_excess_cost_recovery_oil+INDEX(Marine!FA_ECR_cont_rate,2)*CA_excess_cost_recovery_gas</f>
        <v>0</v>
      </c>
      <c r="U305" s="49">
        <f ca="1">INDEX(Marine!FA_ECR_cont_rate,1)*CA_excess_cost_recovery_oil+INDEX(Marine!FA_ECR_cont_rate,2)*CA_excess_cost_recovery_gas</f>
        <v>0</v>
      </c>
      <c r="V305" s="49">
        <f ca="1">INDEX(Marine!FA_ECR_cont_rate,1)*CA_excess_cost_recovery_oil+INDEX(Marine!FA_ECR_cont_rate,2)*CA_excess_cost_recovery_gas</f>
        <v>0</v>
      </c>
      <c r="W305" s="49">
        <f ca="1">INDEX(Marine!FA_ECR_cont_rate,1)*CA_excess_cost_recovery_oil+INDEX(Marine!FA_ECR_cont_rate,2)*CA_excess_cost_recovery_gas</f>
        <v>0</v>
      </c>
      <c r="X305" s="49">
        <f ca="1">INDEX(Marine!FA_ECR_cont_rate,1)*CA_excess_cost_recovery_oil+INDEX(Marine!FA_ECR_cont_rate,2)*CA_excess_cost_recovery_gas</f>
        <v>0</v>
      </c>
      <c r="Y305" s="49">
        <f ca="1">INDEX(Marine!FA_ECR_cont_rate,1)*CA_excess_cost_recovery_oil+INDEX(Marine!FA_ECR_cont_rate,2)*CA_excess_cost_recovery_gas</f>
        <v>0</v>
      </c>
      <c r="Z305" s="49">
        <f ca="1">INDEX(Marine!FA_ECR_cont_rate,1)*CA_excess_cost_recovery_oil+INDEX(Marine!FA_ECR_cont_rate,2)*CA_excess_cost_recovery_gas</f>
        <v>0</v>
      </c>
      <c r="AA305" s="49">
        <f ca="1">INDEX(Marine!FA_ECR_cont_rate,1)*CA_excess_cost_recovery_oil+INDEX(Marine!FA_ECR_cont_rate,2)*CA_excess_cost_recovery_gas</f>
        <v>0</v>
      </c>
      <c r="AB305" s="49">
        <f ca="1">INDEX(Marine!FA_ECR_cont_rate,1)*CA_excess_cost_recovery_oil+INDEX(Marine!FA_ECR_cont_rate,2)*CA_excess_cost_recovery_gas</f>
        <v>0</v>
      </c>
      <c r="AC305" s="49">
        <f ca="1">INDEX(Marine!FA_ECR_cont_rate,1)*CA_excess_cost_recovery_oil+INDEX(Marine!FA_ECR_cont_rate,2)*CA_excess_cost_recovery_gas</f>
        <v>0</v>
      </c>
      <c r="AD305" s="49">
        <f ca="1">INDEX(Marine!FA_ECR_cont_rate,1)*CA_excess_cost_recovery_oil+INDEX(Marine!FA_ECR_cont_rate,2)*CA_excess_cost_recovery_gas</f>
        <v>0</v>
      </c>
      <c r="AE305" s="49">
        <f ca="1">INDEX(Marine!FA_ECR_cont_rate,1)*CA_excess_cost_recovery_oil+INDEX(Marine!FA_ECR_cont_rate,2)*CA_excess_cost_recovery_gas</f>
        <v>0</v>
      </c>
      <c r="AF305" s="49">
        <f ca="1">INDEX(Marine!FA_ECR_cont_rate,1)*CA_excess_cost_recovery_oil+INDEX(Marine!FA_ECR_cont_rate,2)*CA_excess_cost_recovery_gas</f>
        <v>0</v>
      </c>
      <c r="AG305" s="49">
        <f ca="1">INDEX(Marine!FA_ECR_cont_rate,1)*CA_excess_cost_recovery_oil+INDEX(Marine!FA_ECR_cont_rate,2)*CA_excess_cost_recovery_gas</f>
        <v>0</v>
      </c>
      <c r="AH305" s="49">
        <f ca="1">INDEX(Marine!FA_ECR_cont_rate,1)*CA_excess_cost_recovery_oil+INDEX(Marine!FA_ECR_cont_rate,2)*CA_excess_cost_recovery_gas</f>
        <v>0</v>
      </c>
      <c r="AI305" s="49">
        <f ca="1">INDEX(Marine!FA_ECR_cont_rate,1)*CA_excess_cost_recovery_oil+INDEX(Marine!FA_ECR_cont_rate,2)*CA_excess_cost_recovery_gas</f>
        <v>0</v>
      </c>
      <c r="AJ305" s="49">
        <f ca="1">INDEX(Marine!FA_ECR_cont_rate,1)*CA_excess_cost_recovery_oil+INDEX(Marine!FA_ECR_cont_rate,2)*CA_excess_cost_recovery_gas</f>
        <v>0</v>
      </c>
      <c r="AK305" s="49">
        <f ca="1">INDEX(Marine!FA_ECR_cont_rate,1)*CA_excess_cost_recovery_oil+INDEX(Marine!FA_ECR_cont_rate,2)*CA_excess_cost_recovery_gas</f>
        <v>0</v>
      </c>
      <c r="AL305" s="49">
        <f ca="1">INDEX(Marine!FA_ECR_cont_rate,1)*CA_excess_cost_recovery_oil+INDEX(Marine!FA_ECR_cont_rate,2)*CA_excess_cost_recovery_gas</f>
        <v>0</v>
      </c>
      <c r="AM305" s="49">
        <f ca="1">INDEX(Marine!FA_ECR_cont_rate,1)*CA_excess_cost_recovery_oil+INDEX(Marine!FA_ECR_cont_rate,2)*CA_excess_cost_recovery_gas</f>
        <v>0</v>
      </c>
      <c r="AN305" s="49">
        <f ca="1">INDEX(Marine!FA_ECR_cont_rate,1)*CA_excess_cost_recovery_oil+INDEX(Marine!FA_ECR_cont_rate,2)*CA_excess_cost_recovery_gas</f>
        <v>0</v>
      </c>
      <c r="AO305" s="49">
        <f ca="1">INDEX(Marine!FA_ECR_cont_rate,1)*CA_excess_cost_recovery_oil+INDEX(Marine!FA_ECR_cont_rate,2)*CA_excess_cost_recovery_gas</f>
        <v>0</v>
      </c>
      <c r="AP305" s="49">
        <f ca="1">INDEX(Marine!FA_ECR_cont_rate,1)*CA_excess_cost_recovery_oil+INDEX(Marine!FA_ECR_cont_rate,2)*CA_excess_cost_recovery_gas</f>
        <v>0</v>
      </c>
      <c r="AQ305" s="49">
        <f ca="1">INDEX(Marine!FA_ECR_cont_rate,1)*CA_excess_cost_recovery_oil+INDEX(Marine!FA_ECR_cont_rate,2)*CA_excess_cost_recovery_gas</f>
        <v>0</v>
      </c>
      <c r="AR305" s="49">
        <f ca="1">INDEX(Marine!FA_ECR_cont_rate,1)*CA_excess_cost_recovery_oil+INDEX(Marine!FA_ECR_cont_rate,2)*CA_excess_cost_recovery_gas</f>
        <v>0</v>
      </c>
      <c r="AS305" s="49">
        <f ca="1">INDEX(Marine!FA_ECR_cont_rate,1)*CA_excess_cost_recovery_oil+INDEX(Marine!FA_ECR_cont_rate,2)*CA_excess_cost_recovery_gas</f>
        <v>0</v>
      </c>
      <c r="AT305" s="49">
        <f ca="1">INDEX(Marine!FA_ECR_cont_rate,1)*CA_excess_cost_recovery_oil+INDEX(Marine!FA_ECR_cont_rate,2)*CA_excess_cost_recovery_gas</f>
        <v>0</v>
      </c>
      <c r="AU305" s="49">
        <f ca="1">INDEX(Marine!FA_ECR_cont_rate,1)*CA_excess_cost_recovery_oil+INDEX(Marine!FA_ECR_cont_rate,2)*CA_excess_cost_recovery_gas</f>
        <v>0</v>
      </c>
      <c r="AV305" s="49">
        <f ca="1">INDEX(Marine!FA_ECR_cont_rate,1)*CA_excess_cost_recovery_oil+INDEX(Marine!FA_ECR_cont_rate,2)*CA_excess_cost_recovery_gas</f>
        <v>0</v>
      </c>
      <c r="AW305" s="49">
        <f ca="1">INDEX(Marine!FA_ECR_cont_rate,1)*CA_excess_cost_recovery_oil+INDEX(Marine!FA_ECR_cont_rate,2)*CA_excess_cost_recovery_gas</f>
        <v>0</v>
      </c>
      <c r="AX305" s="49">
        <f ca="1">INDEX(Marine!FA_ECR_cont_rate,1)*CA_excess_cost_recovery_oil+INDEX(Marine!FA_ECR_cont_rate,2)*CA_excess_cost_recovery_gas</f>
        <v>0</v>
      </c>
      <c r="AY305" s="49">
        <f ca="1">INDEX(Marine!FA_ECR_cont_rate,1)*CA_excess_cost_recovery_oil+INDEX(Marine!FA_ECR_cont_rate,2)*CA_excess_cost_recovery_gas</f>
        <v>0</v>
      </c>
      <c r="AZ305" s="49">
        <f ca="1">INDEX(Marine!FA_ECR_cont_rate,1)*CA_excess_cost_recovery_oil+INDEX(Marine!FA_ECR_cont_rate,2)*CA_excess_cost_recovery_gas</f>
        <v>0</v>
      </c>
      <c r="BA305" s="49">
        <f ca="1">INDEX(Marine!FA_ECR_cont_rate,1)*CA_excess_cost_recovery_oil+INDEX(Marine!FA_ECR_cont_rate,2)*CA_excess_cost_recovery_gas</f>
        <v>0</v>
      </c>
      <c r="BB305" s="49">
        <f ca="1">INDEX(Marine!FA_ECR_cont_rate,1)*CA_excess_cost_recovery_oil+INDEX(Marine!FA_ECR_cont_rate,2)*CA_excess_cost_recovery_gas</f>
        <v>0</v>
      </c>
      <c r="BC305" s="49">
        <f ca="1">INDEX(Marine!FA_ECR_cont_rate,1)*CA_excess_cost_recovery_oil+INDEX(Marine!FA_ECR_cont_rate,2)*CA_excess_cost_recovery_gas</f>
        <v>0</v>
      </c>
      <c r="BD305" s="49">
        <f ca="1">INDEX(Marine!FA_ECR_cont_rate,1)*CA_excess_cost_recovery_oil+INDEX(Marine!FA_ECR_cont_rate,2)*CA_excess_cost_recovery_gas</f>
        <v>0</v>
      </c>
      <c r="BE305" s="49">
        <f ca="1">INDEX(Marine!FA_ECR_cont_rate,1)*CA_excess_cost_recovery_oil+INDEX(Marine!FA_ECR_cont_rate,2)*CA_excess_cost_recovery_gas</f>
        <v>0</v>
      </c>
      <c r="BF305" s="49">
        <f ca="1">INDEX(Marine!FA_ECR_cont_rate,1)*CA_excess_cost_recovery_oil+INDEX(Marine!FA_ECR_cont_rate,2)*CA_excess_cost_recovery_gas</f>
        <v>0</v>
      </c>
      <c r="BG305" s="49">
        <f ca="1">INDEX(Marine!FA_ECR_cont_rate,1)*CA_excess_cost_recovery_oil+INDEX(Marine!FA_ECR_cont_rate,2)*CA_excess_cost_recovery_gas</f>
        <v>0</v>
      </c>
      <c r="BH305" s="49">
        <f ca="1">INDEX(Marine!FA_ECR_cont_rate,1)*CA_excess_cost_recovery_oil+INDEX(Marine!FA_ECR_cont_rate,2)*CA_excess_cost_recovery_gas</f>
        <v>0</v>
      </c>
      <c r="BI305" s="49">
        <f ca="1">INDEX(Marine!FA_ECR_cont_rate,1)*CA_excess_cost_recovery_oil+INDEX(Marine!FA_ECR_cont_rate,2)*CA_excess_cost_recovery_gas</f>
        <v>0</v>
      </c>
      <c r="BJ305" s="49">
        <f ca="1">INDEX(Marine!FA_ECR_cont_rate,1)*CA_excess_cost_recovery_oil+INDEX(Marine!FA_ECR_cont_rate,2)*CA_excess_cost_recovery_gas</f>
        <v>0</v>
      </c>
      <c r="BK305" s="49">
        <f ca="1">INDEX(Marine!FA_ECR_cont_rate,1)*CA_excess_cost_recovery_oil+INDEX(Marine!FA_ECR_cont_rate,2)*CA_excess_cost_recovery_gas</f>
        <v>0</v>
      </c>
      <c r="BL305" s="49">
        <f ca="1">INDEX(Marine!FA_ECR_cont_rate,1)*CA_excess_cost_recovery_oil+INDEX(Marine!FA_ECR_cont_rate,2)*CA_excess_cost_recovery_gas</f>
        <v>0</v>
      </c>
      <c r="BM305" s="49">
        <f ca="1">INDEX(Marine!FA_ECR_cont_rate,1)*CA_excess_cost_recovery_oil+INDEX(Marine!FA_ECR_cont_rate,2)*CA_excess_cost_recovery_gas</f>
        <v>0</v>
      </c>
      <c r="BN305" s="49">
        <f ca="1">INDEX(Marine!FA_ECR_cont_rate,1)*CA_excess_cost_recovery_oil+INDEX(Marine!FA_ECR_cont_rate,2)*CA_excess_cost_recovery_gas</f>
        <v>0</v>
      </c>
      <c r="BO305" s="49">
        <f ca="1">INDEX(Marine!FA_ECR_cont_rate,1)*CA_excess_cost_recovery_oil+INDEX(Marine!FA_ECR_cont_rate,2)*CA_excess_cost_recovery_gas</f>
        <v>0</v>
      </c>
      <c r="BP305" s="49">
        <f ca="1">INDEX(Marine!FA_ECR_cont_rate,1)*CA_excess_cost_recovery_oil+INDEX(Marine!FA_ECR_cont_rate,2)*CA_excess_cost_recovery_gas</f>
        <v>0</v>
      </c>
      <c r="BQ305" s="49">
        <f ca="1">INDEX(Marine!FA_ECR_cont_rate,1)*CA_excess_cost_recovery_oil+INDEX(Marine!FA_ECR_cont_rate,2)*CA_excess_cost_recovery_gas</f>
        <v>0</v>
      </c>
      <c r="BR305" s="49">
        <f ca="1">INDEX(Marine!FA_ECR_cont_rate,1)*CA_excess_cost_recovery_oil+INDEX(Marine!FA_ECR_cont_rate,2)*CA_excess_cost_recovery_gas</f>
        <v>0</v>
      </c>
      <c r="BS305" s="49">
        <f ca="1">INDEX(Marine!FA_ECR_cont_rate,1)*CA_excess_cost_recovery_oil+INDEX(Marine!FA_ECR_cont_rate,2)*CA_excess_cost_recovery_gas</f>
        <v>0</v>
      </c>
    </row>
    <row r="306" spans="3:71" outlineLevel="1" x14ac:dyDescent="0.2">
      <c r="D306" t="s">
        <v>215</v>
      </c>
      <c r="I306" s="30">
        <f t="shared" ca="1" si="111"/>
        <v>0</v>
      </c>
      <c r="J306" s="26" t="s">
        <v>148</v>
      </c>
      <c r="K306" s="7" t="s">
        <v>216</v>
      </c>
      <c r="L306" s="49">
        <f ca="1">(CA_excess_cost_recovery_oil+CA_excess_cost_recovery_gas)-Marine!CA_excess_CR_cont</f>
        <v>0</v>
      </c>
      <c r="M306" s="49">
        <f ca="1">(CA_excess_cost_recovery_oil+CA_excess_cost_recovery_gas)-Marine!CA_excess_CR_cont</f>
        <v>0</v>
      </c>
      <c r="N306" s="49">
        <f ca="1">(CA_excess_cost_recovery_oil+CA_excess_cost_recovery_gas)-Marine!CA_excess_CR_cont</f>
        <v>0</v>
      </c>
      <c r="O306" s="49">
        <f ca="1">(CA_excess_cost_recovery_oil+CA_excess_cost_recovery_gas)-Marine!CA_excess_CR_cont</f>
        <v>0</v>
      </c>
      <c r="P306" s="49">
        <f ca="1">(CA_excess_cost_recovery_oil+CA_excess_cost_recovery_gas)-Marine!CA_excess_CR_cont</f>
        <v>0</v>
      </c>
      <c r="Q306" s="49">
        <f ca="1">(CA_excess_cost_recovery_oil+CA_excess_cost_recovery_gas)-Marine!CA_excess_CR_cont</f>
        <v>0</v>
      </c>
      <c r="R306" s="49">
        <f ca="1">(CA_excess_cost_recovery_oil+CA_excess_cost_recovery_gas)-Marine!CA_excess_CR_cont</f>
        <v>0</v>
      </c>
      <c r="S306" s="49">
        <f ca="1">(CA_excess_cost_recovery_oil+CA_excess_cost_recovery_gas)-Marine!CA_excess_CR_cont</f>
        <v>0</v>
      </c>
      <c r="T306" s="49">
        <f ca="1">(CA_excess_cost_recovery_oil+CA_excess_cost_recovery_gas)-Marine!CA_excess_CR_cont</f>
        <v>0</v>
      </c>
      <c r="U306" s="49">
        <f ca="1">(CA_excess_cost_recovery_oil+CA_excess_cost_recovery_gas)-Marine!CA_excess_CR_cont</f>
        <v>0</v>
      </c>
      <c r="V306" s="49">
        <f ca="1">(CA_excess_cost_recovery_oil+CA_excess_cost_recovery_gas)-Marine!CA_excess_CR_cont</f>
        <v>0</v>
      </c>
      <c r="W306" s="49">
        <f ca="1">(CA_excess_cost_recovery_oil+CA_excess_cost_recovery_gas)-Marine!CA_excess_CR_cont</f>
        <v>0</v>
      </c>
      <c r="X306" s="49">
        <f ca="1">(CA_excess_cost_recovery_oil+CA_excess_cost_recovery_gas)-Marine!CA_excess_CR_cont</f>
        <v>0</v>
      </c>
      <c r="Y306" s="49">
        <f ca="1">(CA_excess_cost_recovery_oil+CA_excess_cost_recovery_gas)-Marine!CA_excess_CR_cont</f>
        <v>0</v>
      </c>
      <c r="Z306" s="49">
        <f ca="1">(CA_excess_cost_recovery_oil+CA_excess_cost_recovery_gas)-Marine!CA_excess_CR_cont</f>
        <v>0</v>
      </c>
      <c r="AA306" s="49">
        <f ca="1">(CA_excess_cost_recovery_oil+CA_excess_cost_recovery_gas)-Marine!CA_excess_CR_cont</f>
        <v>0</v>
      </c>
      <c r="AB306" s="49">
        <f ca="1">(CA_excess_cost_recovery_oil+CA_excess_cost_recovery_gas)-Marine!CA_excess_CR_cont</f>
        <v>0</v>
      </c>
      <c r="AC306" s="49">
        <f ca="1">(CA_excess_cost_recovery_oil+CA_excess_cost_recovery_gas)-Marine!CA_excess_CR_cont</f>
        <v>0</v>
      </c>
      <c r="AD306" s="49">
        <f ca="1">(CA_excess_cost_recovery_oil+CA_excess_cost_recovery_gas)-Marine!CA_excess_CR_cont</f>
        <v>0</v>
      </c>
      <c r="AE306" s="49">
        <f ca="1">(CA_excess_cost_recovery_oil+CA_excess_cost_recovery_gas)-Marine!CA_excess_CR_cont</f>
        <v>0</v>
      </c>
      <c r="AF306" s="49">
        <f ca="1">(CA_excess_cost_recovery_oil+CA_excess_cost_recovery_gas)-Marine!CA_excess_CR_cont</f>
        <v>0</v>
      </c>
      <c r="AG306" s="49">
        <f ca="1">(CA_excess_cost_recovery_oil+CA_excess_cost_recovery_gas)-Marine!CA_excess_CR_cont</f>
        <v>0</v>
      </c>
      <c r="AH306" s="49">
        <f ca="1">(CA_excess_cost_recovery_oil+CA_excess_cost_recovery_gas)-Marine!CA_excess_CR_cont</f>
        <v>0</v>
      </c>
      <c r="AI306" s="49">
        <f ca="1">(CA_excess_cost_recovery_oil+CA_excess_cost_recovery_gas)-Marine!CA_excess_CR_cont</f>
        <v>0</v>
      </c>
      <c r="AJ306" s="49">
        <f ca="1">(CA_excess_cost_recovery_oil+CA_excess_cost_recovery_gas)-Marine!CA_excess_CR_cont</f>
        <v>0</v>
      </c>
      <c r="AK306" s="49">
        <f ca="1">(CA_excess_cost_recovery_oil+CA_excess_cost_recovery_gas)-Marine!CA_excess_CR_cont</f>
        <v>0</v>
      </c>
      <c r="AL306" s="49">
        <f ca="1">(CA_excess_cost_recovery_oil+CA_excess_cost_recovery_gas)-Marine!CA_excess_CR_cont</f>
        <v>0</v>
      </c>
      <c r="AM306" s="49">
        <f ca="1">(CA_excess_cost_recovery_oil+CA_excess_cost_recovery_gas)-Marine!CA_excess_CR_cont</f>
        <v>0</v>
      </c>
      <c r="AN306" s="49">
        <f ca="1">(CA_excess_cost_recovery_oil+CA_excess_cost_recovery_gas)-Marine!CA_excess_CR_cont</f>
        <v>0</v>
      </c>
      <c r="AO306" s="49">
        <f ca="1">(CA_excess_cost_recovery_oil+CA_excess_cost_recovery_gas)-Marine!CA_excess_CR_cont</f>
        <v>0</v>
      </c>
      <c r="AP306" s="49">
        <f ca="1">(CA_excess_cost_recovery_oil+CA_excess_cost_recovery_gas)-Marine!CA_excess_CR_cont</f>
        <v>0</v>
      </c>
      <c r="AQ306" s="49">
        <f ca="1">(CA_excess_cost_recovery_oil+CA_excess_cost_recovery_gas)-Marine!CA_excess_CR_cont</f>
        <v>0</v>
      </c>
      <c r="AR306" s="49">
        <f ca="1">(CA_excess_cost_recovery_oil+CA_excess_cost_recovery_gas)-Marine!CA_excess_CR_cont</f>
        <v>0</v>
      </c>
      <c r="AS306" s="49">
        <f ca="1">(CA_excess_cost_recovery_oil+CA_excess_cost_recovery_gas)-Marine!CA_excess_CR_cont</f>
        <v>0</v>
      </c>
      <c r="AT306" s="49">
        <f ca="1">(CA_excess_cost_recovery_oil+CA_excess_cost_recovery_gas)-Marine!CA_excess_CR_cont</f>
        <v>0</v>
      </c>
      <c r="AU306" s="49">
        <f ca="1">(CA_excess_cost_recovery_oil+CA_excess_cost_recovery_gas)-Marine!CA_excess_CR_cont</f>
        <v>0</v>
      </c>
      <c r="AV306" s="49">
        <f ca="1">(CA_excess_cost_recovery_oil+CA_excess_cost_recovery_gas)-Marine!CA_excess_CR_cont</f>
        <v>0</v>
      </c>
      <c r="AW306" s="49">
        <f ca="1">(CA_excess_cost_recovery_oil+CA_excess_cost_recovery_gas)-Marine!CA_excess_CR_cont</f>
        <v>0</v>
      </c>
      <c r="AX306" s="49">
        <f ca="1">(CA_excess_cost_recovery_oil+CA_excess_cost_recovery_gas)-Marine!CA_excess_CR_cont</f>
        <v>0</v>
      </c>
      <c r="AY306" s="49">
        <f ca="1">(CA_excess_cost_recovery_oil+CA_excess_cost_recovery_gas)-Marine!CA_excess_CR_cont</f>
        <v>0</v>
      </c>
      <c r="AZ306" s="49">
        <f ca="1">(CA_excess_cost_recovery_oil+CA_excess_cost_recovery_gas)-Marine!CA_excess_CR_cont</f>
        <v>0</v>
      </c>
      <c r="BA306" s="49">
        <f ca="1">(CA_excess_cost_recovery_oil+CA_excess_cost_recovery_gas)-Marine!CA_excess_CR_cont</f>
        <v>0</v>
      </c>
      <c r="BB306" s="49">
        <f ca="1">(CA_excess_cost_recovery_oil+CA_excess_cost_recovery_gas)-Marine!CA_excess_CR_cont</f>
        <v>0</v>
      </c>
      <c r="BC306" s="49">
        <f ca="1">(CA_excess_cost_recovery_oil+CA_excess_cost_recovery_gas)-Marine!CA_excess_CR_cont</f>
        <v>0</v>
      </c>
      <c r="BD306" s="49">
        <f ca="1">(CA_excess_cost_recovery_oil+CA_excess_cost_recovery_gas)-Marine!CA_excess_CR_cont</f>
        <v>0</v>
      </c>
      <c r="BE306" s="49">
        <f ca="1">(CA_excess_cost_recovery_oil+CA_excess_cost_recovery_gas)-Marine!CA_excess_CR_cont</f>
        <v>0</v>
      </c>
      <c r="BF306" s="49">
        <f ca="1">(CA_excess_cost_recovery_oil+CA_excess_cost_recovery_gas)-Marine!CA_excess_CR_cont</f>
        <v>0</v>
      </c>
      <c r="BG306" s="49">
        <f ca="1">(CA_excess_cost_recovery_oil+CA_excess_cost_recovery_gas)-Marine!CA_excess_CR_cont</f>
        <v>0</v>
      </c>
      <c r="BH306" s="49">
        <f ca="1">(CA_excess_cost_recovery_oil+CA_excess_cost_recovery_gas)-Marine!CA_excess_CR_cont</f>
        <v>0</v>
      </c>
      <c r="BI306" s="49">
        <f ca="1">(CA_excess_cost_recovery_oil+CA_excess_cost_recovery_gas)-Marine!CA_excess_CR_cont</f>
        <v>0</v>
      </c>
      <c r="BJ306" s="49">
        <f ca="1">(CA_excess_cost_recovery_oil+CA_excess_cost_recovery_gas)-Marine!CA_excess_CR_cont</f>
        <v>0</v>
      </c>
      <c r="BK306" s="49">
        <f ca="1">(CA_excess_cost_recovery_oil+CA_excess_cost_recovery_gas)-Marine!CA_excess_CR_cont</f>
        <v>0</v>
      </c>
      <c r="BL306" s="49">
        <f ca="1">(CA_excess_cost_recovery_oil+CA_excess_cost_recovery_gas)-Marine!CA_excess_CR_cont</f>
        <v>0</v>
      </c>
      <c r="BM306" s="49">
        <f ca="1">(CA_excess_cost_recovery_oil+CA_excess_cost_recovery_gas)-Marine!CA_excess_CR_cont</f>
        <v>0</v>
      </c>
      <c r="BN306" s="49">
        <f ca="1">(CA_excess_cost_recovery_oil+CA_excess_cost_recovery_gas)-Marine!CA_excess_CR_cont</f>
        <v>0</v>
      </c>
      <c r="BO306" s="49">
        <f ca="1">(CA_excess_cost_recovery_oil+CA_excess_cost_recovery_gas)-Marine!CA_excess_CR_cont</f>
        <v>0</v>
      </c>
      <c r="BP306" s="49">
        <f ca="1">(CA_excess_cost_recovery_oil+CA_excess_cost_recovery_gas)-Marine!CA_excess_CR_cont</f>
        <v>0</v>
      </c>
      <c r="BQ306" s="49">
        <f ca="1">(CA_excess_cost_recovery_oil+CA_excess_cost_recovery_gas)-Marine!CA_excess_CR_cont</f>
        <v>0</v>
      </c>
      <c r="BR306" s="49">
        <f ca="1">(CA_excess_cost_recovery_oil+CA_excess_cost_recovery_gas)-Marine!CA_excess_CR_cont</f>
        <v>0</v>
      </c>
      <c r="BS306" s="49">
        <f ca="1">(CA_excess_cost_recovery_oil+CA_excess_cost_recovery_gas)-Marine!CA_excess_CR_cont</f>
        <v>0</v>
      </c>
    </row>
    <row r="307" spans="3:71" outlineLevel="1" x14ac:dyDescent="0.2">
      <c r="J307" s="26"/>
      <c r="L307" s="55"/>
      <c r="M307" s="55"/>
      <c r="N307" s="55"/>
      <c r="O307" s="55"/>
      <c r="P307" s="55"/>
      <c r="Q307" s="55"/>
      <c r="R307" s="55"/>
      <c r="S307" s="55"/>
      <c r="T307" s="55"/>
      <c r="U307" s="55"/>
      <c r="V307" s="55"/>
      <c r="W307" s="55"/>
      <c r="X307" s="55"/>
      <c r="Y307" s="55"/>
      <c r="Z307" s="55"/>
      <c r="AA307" s="55"/>
      <c r="AB307" s="55"/>
      <c r="AC307" s="55"/>
      <c r="AD307" s="55"/>
      <c r="AE307" s="55"/>
      <c r="AF307" s="55"/>
      <c r="AG307" s="55"/>
      <c r="AH307" s="55"/>
      <c r="AI307" s="55"/>
      <c r="AJ307" s="55"/>
      <c r="AK307" s="55"/>
      <c r="AL307" s="55"/>
      <c r="AM307" s="55"/>
      <c r="AN307" s="55"/>
      <c r="AO307" s="55"/>
      <c r="AP307" s="55"/>
      <c r="AQ307" s="55"/>
      <c r="AR307" s="55"/>
      <c r="AS307" s="55"/>
      <c r="AT307" s="55"/>
      <c r="AU307" s="55"/>
      <c r="AV307" s="55"/>
      <c r="AW307" s="55"/>
      <c r="AX307" s="55"/>
      <c r="AY307" s="55"/>
      <c r="AZ307" s="55"/>
      <c r="BA307" s="55"/>
      <c r="BB307" s="55"/>
      <c r="BC307" s="55"/>
      <c r="BD307" s="55"/>
      <c r="BE307" s="55"/>
      <c r="BF307" s="55"/>
      <c r="BG307" s="55"/>
      <c r="BH307" s="55"/>
      <c r="BI307" s="55"/>
      <c r="BJ307" s="55"/>
      <c r="BK307" s="55"/>
      <c r="BL307" s="55"/>
      <c r="BM307" s="55"/>
      <c r="BN307" s="55"/>
      <c r="BO307" s="55"/>
      <c r="BP307" s="55"/>
      <c r="BQ307" s="55"/>
      <c r="BR307" s="55"/>
      <c r="BS307" s="55"/>
    </row>
    <row r="308" spans="3:71" outlineLevel="1" x14ac:dyDescent="0.2">
      <c r="J308" s="26"/>
      <c r="L308" s="55"/>
      <c r="M308" s="55"/>
      <c r="N308" s="55"/>
      <c r="O308" s="55"/>
      <c r="P308" s="55"/>
      <c r="Q308" s="55"/>
      <c r="R308" s="55"/>
      <c r="S308" s="55"/>
      <c r="T308" s="55"/>
      <c r="U308" s="55"/>
      <c r="V308" s="55"/>
      <c r="W308" s="55"/>
      <c r="X308" s="55"/>
      <c r="Y308" s="55"/>
      <c r="Z308" s="55"/>
      <c r="AA308" s="55"/>
      <c r="AB308" s="55"/>
      <c r="AC308" s="55"/>
      <c r="AD308" s="55"/>
      <c r="AE308" s="55"/>
      <c r="AF308" s="55"/>
      <c r="AG308" s="55"/>
      <c r="AH308" s="55"/>
      <c r="AI308" s="55"/>
      <c r="AJ308" s="55"/>
      <c r="AK308" s="55"/>
      <c r="AL308" s="55"/>
      <c r="AM308" s="55"/>
      <c r="AN308" s="55"/>
      <c r="AO308" s="55"/>
      <c r="AP308" s="55"/>
      <c r="AQ308" s="55"/>
      <c r="AR308" s="55"/>
      <c r="AS308" s="55"/>
      <c r="AT308" s="55"/>
      <c r="AU308" s="55"/>
      <c r="AV308" s="55"/>
      <c r="AW308" s="55"/>
      <c r="AX308" s="55"/>
      <c r="AY308" s="55"/>
      <c r="AZ308" s="55"/>
      <c r="BA308" s="55"/>
      <c r="BB308" s="55"/>
      <c r="BC308" s="55"/>
      <c r="BD308" s="55"/>
      <c r="BE308" s="55"/>
      <c r="BF308" s="55"/>
      <c r="BG308" s="55"/>
      <c r="BH308" s="55"/>
      <c r="BI308" s="55"/>
      <c r="BJ308" s="55"/>
      <c r="BK308" s="55"/>
      <c r="BL308" s="55"/>
      <c r="BM308" s="55"/>
      <c r="BN308" s="55"/>
      <c r="BO308" s="55"/>
      <c r="BP308" s="55"/>
      <c r="BQ308" s="55"/>
      <c r="BR308" s="55"/>
      <c r="BS308" s="55"/>
    </row>
    <row r="309" spans="3:71" outlineLevel="1" x14ac:dyDescent="0.2">
      <c r="C309" s="11" t="s">
        <v>98</v>
      </c>
      <c r="J309" s="26"/>
      <c r="L309" s="55"/>
      <c r="M309" s="55"/>
      <c r="N309" s="55"/>
      <c r="O309" s="55"/>
      <c r="P309" s="55"/>
      <c r="Q309" s="55"/>
      <c r="R309" s="55"/>
      <c r="S309" s="55"/>
      <c r="T309" s="55"/>
      <c r="U309" s="55"/>
      <c r="V309" s="55"/>
      <c r="W309" s="55"/>
      <c r="X309" s="55"/>
      <c r="Y309" s="55"/>
      <c r="Z309" s="55"/>
      <c r="AA309" s="55"/>
      <c r="AB309" s="55"/>
      <c r="AC309" s="55"/>
      <c r="AD309" s="55"/>
      <c r="AE309" s="55"/>
      <c r="AF309" s="55"/>
      <c r="AG309" s="55"/>
      <c r="AH309" s="55"/>
      <c r="AI309" s="55"/>
      <c r="AJ309" s="55"/>
      <c r="AK309" s="55"/>
      <c r="AL309" s="55"/>
      <c r="AM309" s="55"/>
      <c r="AN309" s="55"/>
      <c r="AO309" s="55"/>
      <c r="AP309" s="55"/>
      <c r="AQ309" s="55"/>
      <c r="AR309" s="55"/>
      <c r="AS309" s="55"/>
      <c r="AT309" s="55"/>
      <c r="AU309" s="55"/>
      <c r="AV309" s="55"/>
      <c r="AW309" s="55"/>
      <c r="AX309" s="55"/>
      <c r="AY309" s="55"/>
      <c r="AZ309" s="55"/>
      <c r="BA309" s="55"/>
      <c r="BB309" s="55"/>
      <c r="BC309" s="55"/>
      <c r="BD309" s="55"/>
      <c r="BE309" s="55"/>
      <c r="BF309" s="55"/>
      <c r="BG309" s="55"/>
      <c r="BH309" s="55"/>
      <c r="BI309" s="55"/>
      <c r="BJ309" s="55"/>
      <c r="BK309" s="55"/>
      <c r="BL309" s="55"/>
      <c r="BM309" s="55"/>
      <c r="BN309" s="55"/>
      <c r="BO309" s="55"/>
      <c r="BP309" s="55"/>
      <c r="BQ309" s="55"/>
      <c r="BR309" s="55"/>
      <c r="BS309" s="55"/>
    </row>
    <row r="310" spans="3:71" outlineLevel="1" x14ac:dyDescent="0.2">
      <c r="J310" s="26"/>
      <c r="L310" s="55"/>
      <c r="M310" s="55"/>
      <c r="N310" s="55"/>
      <c r="O310" s="55"/>
      <c r="P310" s="55"/>
      <c r="Q310" s="55"/>
      <c r="R310" s="55"/>
      <c r="S310" s="55"/>
      <c r="T310" s="55"/>
      <c r="U310" s="55"/>
      <c r="V310" s="55"/>
      <c r="W310" s="55"/>
      <c r="X310" s="55"/>
      <c r="Y310" s="55"/>
      <c r="Z310" s="55"/>
      <c r="AA310" s="55"/>
      <c r="AB310" s="55"/>
      <c r="AC310" s="55"/>
      <c r="AD310" s="55"/>
      <c r="AE310" s="55"/>
      <c r="AF310" s="55"/>
      <c r="AG310" s="55"/>
      <c r="AH310" s="55"/>
      <c r="AI310" s="55"/>
      <c r="AJ310" s="55"/>
      <c r="AK310" s="55"/>
      <c r="AL310" s="55"/>
      <c r="AM310" s="55"/>
      <c r="AN310" s="55"/>
      <c r="AO310" s="55"/>
      <c r="AP310" s="55"/>
      <c r="AQ310" s="55"/>
      <c r="AR310" s="55"/>
      <c r="AS310" s="55"/>
      <c r="AT310" s="55"/>
      <c r="AU310" s="55"/>
      <c r="AV310" s="55"/>
      <c r="AW310" s="55"/>
      <c r="AX310" s="55"/>
      <c r="AY310" s="55"/>
      <c r="AZ310" s="55"/>
      <c r="BA310" s="55"/>
      <c r="BB310" s="55"/>
      <c r="BC310" s="55"/>
      <c r="BD310" s="55"/>
      <c r="BE310" s="55"/>
      <c r="BF310" s="55"/>
      <c r="BG310" s="55"/>
      <c r="BH310" s="55"/>
      <c r="BI310" s="55"/>
      <c r="BJ310" s="55"/>
      <c r="BK310" s="55"/>
      <c r="BL310" s="55"/>
      <c r="BM310" s="55"/>
      <c r="BN310" s="55"/>
      <c r="BO310" s="55"/>
      <c r="BP310" s="55"/>
      <c r="BQ310" s="55"/>
      <c r="BR310" s="55"/>
      <c r="BS310" s="55"/>
    </row>
    <row r="311" spans="3:71" outlineLevel="1" x14ac:dyDescent="0.2">
      <c r="D311" s="35" t="s">
        <v>217</v>
      </c>
      <c r="J311" s="26"/>
      <c r="K311" s="7" t="s">
        <v>219</v>
      </c>
      <c r="L311" s="49">
        <f ca="1">1*AND(Marine!CA_FP_oil_nom&gt;Marine!CA_HP_oil_nom,Marine!CA_op_trig=1,CA_PSC_period_trig=2)</f>
        <v>0</v>
      </c>
      <c r="M311" s="49">
        <f ca="1">1*AND(Marine!CA_FP_oil_nom&gt;Marine!CA_HP_oil_nom,Marine!CA_op_trig=1,CA_PSC_period_trig=2)</f>
        <v>0</v>
      </c>
      <c r="N311" s="49">
        <f ca="1">1*AND(Marine!CA_FP_oil_nom&gt;Marine!CA_HP_oil_nom,Marine!CA_op_trig=1,CA_PSC_period_trig=2)</f>
        <v>0</v>
      </c>
      <c r="O311" s="49">
        <f ca="1">1*AND(Marine!CA_FP_oil_nom&gt;Marine!CA_HP_oil_nom,Marine!CA_op_trig=1,CA_PSC_period_trig=2)</f>
        <v>0</v>
      </c>
      <c r="P311" s="49">
        <f ca="1">1*AND(Marine!CA_FP_oil_nom&gt;Marine!CA_HP_oil_nom,Marine!CA_op_trig=1,CA_PSC_period_trig=2)</f>
        <v>0</v>
      </c>
      <c r="Q311" s="49">
        <f ca="1">1*AND(Marine!CA_FP_oil_nom&gt;Marine!CA_HP_oil_nom,Marine!CA_op_trig=1,CA_PSC_period_trig=2)</f>
        <v>0</v>
      </c>
      <c r="R311" s="49">
        <f ca="1">1*AND(Marine!CA_FP_oil_nom&gt;Marine!CA_HP_oil_nom,Marine!CA_op_trig=1,CA_PSC_period_trig=2)</f>
        <v>0</v>
      </c>
      <c r="S311" s="49">
        <f ca="1">1*AND(Marine!CA_FP_oil_nom&gt;Marine!CA_HP_oil_nom,Marine!CA_op_trig=1,CA_PSC_period_trig=2)</f>
        <v>0</v>
      </c>
      <c r="T311" s="49">
        <f ca="1">1*AND(Marine!CA_FP_oil_nom&gt;Marine!CA_HP_oil_nom,Marine!CA_op_trig=1,CA_PSC_period_trig=2)</f>
        <v>0</v>
      </c>
      <c r="U311" s="49">
        <f ca="1">1*AND(Marine!CA_FP_oil_nom&gt;Marine!CA_HP_oil_nom,Marine!CA_op_trig=1,CA_PSC_period_trig=2)</f>
        <v>0</v>
      </c>
      <c r="V311" s="49">
        <f ca="1">1*AND(Marine!CA_FP_oil_nom&gt;Marine!CA_HP_oil_nom,Marine!CA_op_trig=1,CA_PSC_period_trig=2)</f>
        <v>0</v>
      </c>
      <c r="W311" s="49">
        <f ca="1">1*AND(Marine!CA_FP_oil_nom&gt;Marine!CA_HP_oil_nom,Marine!CA_op_trig=1,CA_PSC_period_trig=2)</f>
        <v>0</v>
      </c>
      <c r="X311" s="49">
        <f ca="1">1*AND(Marine!CA_FP_oil_nom&gt;Marine!CA_HP_oil_nom,Marine!CA_op_trig=1,CA_PSC_period_trig=2)</f>
        <v>0</v>
      </c>
      <c r="Y311" s="49">
        <f ca="1">1*AND(Marine!CA_FP_oil_nom&gt;Marine!CA_HP_oil_nom,Marine!CA_op_trig=1,CA_PSC_period_trig=2)</f>
        <v>0</v>
      </c>
      <c r="Z311" s="49">
        <f ca="1">1*AND(Marine!CA_FP_oil_nom&gt;Marine!CA_HP_oil_nom,Marine!CA_op_trig=1,CA_PSC_period_trig=2)</f>
        <v>0</v>
      </c>
      <c r="AA311" s="49">
        <f ca="1">1*AND(Marine!CA_FP_oil_nom&gt;Marine!CA_HP_oil_nom,Marine!CA_op_trig=1,CA_PSC_period_trig=2)</f>
        <v>0</v>
      </c>
      <c r="AB311" s="49">
        <f ca="1">1*AND(Marine!CA_FP_oil_nom&gt;Marine!CA_HP_oil_nom,Marine!CA_op_trig=1,CA_PSC_period_trig=2)</f>
        <v>0</v>
      </c>
      <c r="AC311" s="49">
        <f ca="1">1*AND(Marine!CA_FP_oil_nom&gt;Marine!CA_HP_oil_nom,Marine!CA_op_trig=1,CA_PSC_period_trig=2)</f>
        <v>0</v>
      </c>
      <c r="AD311" s="49">
        <f ca="1">1*AND(Marine!CA_FP_oil_nom&gt;Marine!CA_HP_oil_nom,Marine!CA_op_trig=1,CA_PSC_period_trig=2)</f>
        <v>0</v>
      </c>
      <c r="AE311" s="49">
        <f ca="1">1*AND(Marine!CA_FP_oil_nom&gt;Marine!CA_HP_oil_nom,Marine!CA_op_trig=1,CA_PSC_period_trig=2)</f>
        <v>0</v>
      </c>
      <c r="AF311" s="49">
        <f ca="1">1*AND(Marine!CA_FP_oil_nom&gt;Marine!CA_HP_oil_nom,Marine!CA_op_trig=1,CA_PSC_period_trig=2)</f>
        <v>0</v>
      </c>
      <c r="AG311" s="49">
        <f ca="1">1*AND(Marine!CA_FP_oil_nom&gt;Marine!CA_HP_oil_nom,Marine!CA_op_trig=1,CA_PSC_period_trig=2)</f>
        <v>0</v>
      </c>
      <c r="AH311" s="49">
        <f ca="1">1*AND(Marine!CA_FP_oil_nom&gt;Marine!CA_HP_oil_nom,Marine!CA_op_trig=1,CA_PSC_period_trig=2)</f>
        <v>0</v>
      </c>
      <c r="AI311" s="49">
        <f ca="1">1*AND(Marine!CA_FP_oil_nom&gt;Marine!CA_HP_oil_nom,Marine!CA_op_trig=1,CA_PSC_period_trig=2)</f>
        <v>0</v>
      </c>
      <c r="AJ311" s="49">
        <f ca="1">1*AND(Marine!CA_FP_oil_nom&gt;Marine!CA_HP_oil_nom,Marine!CA_op_trig=1,CA_PSC_period_trig=2)</f>
        <v>0</v>
      </c>
      <c r="AK311" s="49">
        <f ca="1">1*AND(Marine!CA_FP_oil_nom&gt;Marine!CA_HP_oil_nom,Marine!CA_op_trig=1,CA_PSC_period_trig=2)</f>
        <v>0</v>
      </c>
      <c r="AL311" s="49">
        <f ca="1">1*AND(Marine!CA_FP_oil_nom&gt;Marine!CA_HP_oil_nom,Marine!CA_op_trig=1,CA_PSC_period_trig=2)</f>
        <v>0</v>
      </c>
      <c r="AM311" s="49">
        <f ca="1">1*AND(Marine!CA_FP_oil_nom&gt;Marine!CA_HP_oil_nom,Marine!CA_op_trig=1,CA_PSC_period_trig=2)</f>
        <v>0</v>
      </c>
      <c r="AN311" s="49">
        <f ca="1">1*AND(Marine!CA_FP_oil_nom&gt;Marine!CA_HP_oil_nom,Marine!CA_op_trig=1,CA_PSC_period_trig=2)</f>
        <v>0</v>
      </c>
      <c r="AO311" s="49">
        <f ca="1">1*AND(Marine!CA_FP_oil_nom&gt;Marine!CA_HP_oil_nom,Marine!CA_op_trig=1,CA_PSC_period_trig=2)</f>
        <v>0</v>
      </c>
      <c r="AP311" s="49">
        <f ca="1">1*AND(Marine!CA_FP_oil_nom&gt;Marine!CA_HP_oil_nom,Marine!CA_op_trig=1,CA_PSC_period_trig=2)</f>
        <v>0</v>
      </c>
      <c r="AQ311" s="49">
        <f ca="1">1*AND(Marine!CA_FP_oil_nom&gt;Marine!CA_HP_oil_nom,Marine!CA_op_trig=1,CA_PSC_period_trig=2)</f>
        <v>0</v>
      </c>
      <c r="AR311" s="49">
        <f ca="1">1*AND(Marine!CA_FP_oil_nom&gt;Marine!CA_HP_oil_nom,Marine!CA_op_trig=1,CA_PSC_period_trig=2)</f>
        <v>0</v>
      </c>
      <c r="AS311" s="49">
        <f ca="1">1*AND(Marine!CA_FP_oil_nom&gt;Marine!CA_HP_oil_nom,Marine!CA_op_trig=1,CA_PSC_period_trig=2)</f>
        <v>0</v>
      </c>
      <c r="AT311" s="49">
        <f ca="1">1*AND(Marine!CA_FP_oil_nom&gt;Marine!CA_HP_oil_nom,Marine!CA_op_trig=1,CA_PSC_period_trig=2)</f>
        <v>0</v>
      </c>
      <c r="AU311" s="49">
        <f ca="1">1*AND(Marine!CA_FP_oil_nom&gt;Marine!CA_HP_oil_nom,Marine!CA_op_trig=1,CA_PSC_period_trig=2)</f>
        <v>0</v>
      </c>
      <c r="AV311" s="49">
        <f ca="1">1*AND(Marine!CA_FP_oil_nom&gt;Marine!CA_HP_oil_nom,Marine!CA_op_trig=1,CA_PSC_period_trig=2)</f>
        <v>0</v>
      </c>
      <c r="AW311" s="49">
        <f ca="1">1*AND(Marine!CA_FP_oil_nom&gt;Marine!CA_HP_oil_nom,Marine!CA_op_trig=1,CA_PSC_period_trig=2)</f>
        <v>0</v>
      </c>
      <c r="AX311" s="49">
        <f ca="1">1*AND(Marine!CA_FP_oil_nom&gt;Marine!CA_HP_oil_nom,Marine!CA_op_trig=1,CA_PSC_period_trig=2)</f>
        <v>0</v>
      </c>
      <c r="AY311" s="49">
        <f ca="1">1*AND(Marine!CA_FP_oil_nom&gt;Marine!CA_HP_oil_nom,Marine!CA_op_trig=1,CA_PSC_period_trig=2)</f>
        <v>0</v>
      </c>
      <c r="AZ311" s="49">
        <f ca="1">1*AND(Marine!CA_FP_oil_nom&gt;Marine!CA_HP_oil_nom,Marine!CA_op_trig=1,CA_PSC_period_trig=2)</f>
        <v>0</v>
      </c>
      <c r="BA311" s="49">
        <f ca="1">1*AND(Marine!CA_FP_oil_nom&gt;Marine!CA_HP_oil_nom,Marine!CA_op_trig=1,CA_PSC_period_trig=2)</f>
        <v>0</v>
      </c>
      <c r="BB311" s="49">
        <f ca="1">1*AND(Marine!CA_FP_oil_nom&gt;Marine!CA_HP_oil_nom,Marine!CA_op_trig=1,CA_PSC_period_trig=2)</f>
        <v>0</v>
      </c>
      <c r="BC311" s="49">
        <f ca="1">1*AND(Marine!CA_FP_oil_nom&gt;Marine!CA_HP_oil_nom,Marine!CA_op_trig=1,CA_PSC_period_trig=2)</f>
        <v>0</v>
      </c>
      <c r="BD311" s="49">
        <f ca="1">1*AND(Marine!CA_FP_oil_nom&gt;Marine!CA_HP_oil_nom,Marine!CA_op_trig=1,CA_PSC_period_trig=2)</f>
        <v>0</v>
      </c>
      <c r="BE311" s="49">
        <f ca="1">1*AND(Marine!CA_FP_oil_nom&gt;Marine!CA_HP_oil_nom,Marine!CA_op_trig=1,CA_PSC_period_trig=2)</f>
        <v>0</v>
      </c>
      <c r="BF311" s="49">
        <f ca="1">1*AND(Marine!CA_FP_oil_nom&gt;Marine!CA_HP_oil_nom,Marine!CA_op_trig=1,CA_PSC_period_trig=2)</f>
        <v>0</v>
      </c>
      <c r="BG311" s="49">
        <f ca="1">1*AND(Marine!CA_FP_oil_nom&gt;Marine!CA_HP_oil_nom,Marine!CA_op_trig=1,CA_PSC_period_trig=2)</f>
        <v>0</v>
      </c>
      <c r="BH311" s="49">
        <f ca="1">1*AND(Marine!CA_FP_oil_nom&gt;Marine!CA_HP_oil_nom,Marine!CA_op_trig=1,CA_PSC_period_trig=2)</f>
        <v>0</v>
      </c>
      <c r="BI311" s="49">
        <f ca="1">1*AND(Marine!CA_FP_oil_nom&gt;Marine!CA_HP_oil_nom,Marine!CA_op_trig=1,CA_PSC_period_trig=2)</f>
        <v>0</v>
      </c>
      <c r="BJ311" s="49">
        <f ca="1">1*AND(Marine!CA_FP_oil_nom&gt;Marine!CA_HP_oil_nom,Marine!CA_op_trig=1,CA_PSC_period_trig=2)</f>
        <v>0</v>
      </c>
      <c r="BK311" s="49">
        <f ca="1">1*AND(Marine!CA_FP_oil_nom&gt;Marine!CA_HP_oil_nom,Marine!CA_op_trig=1,CA_PSC_period_trig=2)</f>
        <v>0</v>
      </c>
      <c r="BL311" s="49">
        <f ca="1">1*AND(Marine!CA_FP_oil_nom&gt;Marine!CA_HP_oil_nom,Marine!CA_op_trig=1,CA_PSC_period_trig=2)</f>
        <v>0</v>
      </c>
      <c r="BM311" s="49">
        <f ca="1">1*AND(Marine!CA_FP_oil_nom&gt;Marine!CA_HP_oil_nom,Marine!CA_op_trig=1,CA_PSC_period_trig=2)</f>
        <v>0</v>
      </c>
      <c r="BN311" s="49">
        <f ca="1">1*AND(Marine!CA_FP_oil_nom&gt;Marine!CA_HP_oil_nom,Marine!CA_op_trig=1,CA_PSC_period_trig=2)</f>
        <v>0</v>
      </c>
      <c r="BO311" s="49">
        <f ca="1">1*AND(Marine!CA_FP_oil_nom&gt;Marine!CA_HP_oil_nom,Marine!CA_op_trig=1,CA_PSC_period_trig=2)</f>
        <v>0</v>
      </c>
      <c r="BP311" s="49">
        <f ca="1">1*AND(Marine!CA_FP_oil_nom&gt;Marine!CA_HP_oil_nom,Marine!CA_op_trig=1,CA_PSC_period_trig=2)</f>
        <v>0</v>
      </c>
      <c r="BQ311" s="49">
        <f ca="1">1*AND(Marine!CA_FP_oil_nom&gt;Marine!CA_HP_oil_nom,Marine!CA_op_trig=1,CA_PSC_period_trig=2)</f>
        <v>0</v>
      </c>
      <c r="BR311" s="49">
        <f ca="1">1*AND(Marine!CA_FP_oil_nom&gt;Marine!CA_HP_oil_nom,Marine!CA_op_trig=1,CA_PSC_period_trig=2)</f>
        <v>0</v>
      </c>
      <c r="BS311" s="49">
        <f ca="1">1*AND(Marine!CA_FP_oil_nom&gt;Marine!CA_HP_oil_nom,Marine!CA_op_trig=1,CA_PSC_period_trig=2)</f>
        <v>0</v>
      </c>
    </row>
    <row r="312" spans="3:71" outlineLevel="1" x14ac:dyDescent="0.2">
      <c r="J312" s="26"/>
      <c r="L312" s="55"/>
      <c r="M312" s="55"/>
      <c r="N312" s="55"/>
      <c r="O312" s="55"/>
      <c r="P312" s="55"/>
      <c r="Q312" s="55"/>
      <c r="R312" s="55"/>
      <c r="S312" s="55"/>
      <c r="T312" s="55"/>
      <c r="U312" s="55"/>
      <c r="V312" s="55"/>
      <c r="W312" s="55"/>
      <c r="X312" s="55"/>
      <c r="Y312" s="55"/>
      <c r="Z312" s="55"/>
      <c r="AA312" s="55"/>
      <c r="AB312" s="55"/>
      <c r="AC312" s="55"/>
      <c r="AD312" s="55"/>
      <c r="AE312" s="55"/>
      <c r="AF312" s="55"/>
      <c r="AG312" s="55"/>
      <c r="AH312" s="55"/>
      <c r="AI312" s="55"/>
      <c r="AJ312" s="55"/>
      <c r="AK312" s="55"/>
      <c r="AL312" s="55"/>
      <c r="AM312" s="55"/>
      <c r="AN312" s="55"/>
      <c r="AO312" s="55"/>
      <c r="AP312" s="55"/>
      <c r="AQ312" s="55"/>
      <c r="AR312" s="55"/>
      <c r="AS312" s="55"/>
      <c r="AT312" s="55"/>
      <c r="AU312" s="55"/>
      <c r="AV312" s="55"/>
      <c r="AW312" s="55"/>
      <c r="AX312" s="55"/>
      <c r="AY312" s="55"/>
      <c r="AZ312" s="55"/>
      <c r="BA312" s="55"/>
      <c r="BB312" s="55"/>
      <c r="BC312" s="55"/>
      <c r="BD312" s="55"/>
      <c r="BE312" s="55"/>
      <c r="BF312" s="55"/>
      <c r="BG312" s="55"/>
      <c r="BH312" s="55"/>
      <c r="BI312" s="55"/>
      <c r="BJ312" s="55"/>
      <c r="BK312" s="55"/>
      <c r="BL312" s="55"/>
      <c r="BM312" s="55"/>
      <c r="BN312" s="55"/>
      <c r="BO312" s="55"/>
      <c r="BP312" s="55"/>
      <c r="BQ312" s="55"/>
      <c r="BR312" s="55"/>
      <c r="BS312" s="55"/>
    </row>
    <row r="313" spans="3:71" outlineLevel="1" x14ac:dyDescent="0.2">
      <c r="D313" t="s">
        <v>220</v>
      </c>
      <c r="I313" s="30">
        <f t="shared" ref="I313" ca="1" si="116">SUM($L313:$BS313)</f>
        <v>0</v>
      </c>
      <c r="J313" s="26" t="s">
        <v>148</v>
      </c>
      <c r="L313" s="49">
        <f ca="1">(Marine!CA_gross_rev_oil_difference*Marine!CA_SPO_trig)</f>
        <v>0</v>
      </c>
      <c r="M313" s="49">
        <f ca="1">(Marine!CA_gross_rev_oil_difference*Marine!CA_SPO_trig)</f>
        <v>0</v>
      </c>
      <c r="N313" s="49">
        <f ca="1">(Marine!CA_gross_rev_oil_difference*Marine!CA_SPO_trig)</f>
        <v>0</v>
      </c>
      <c r="O313" s="49">
        <f ca="1">(Marine!CA_gross_rev_oil_difference*Marine!CA_SPO_trig)</f>
        <v>0</v>
      </c>
      <c r="P313" s="49">
        <f ca="1">(Marine!CA_gross_rev_oil_difference*Marine!CA_SPO_trig)</f>
        <v>0</v>
      </c>
      <c r="Q313" s="49">
        <f ca="1">(Marine!CA_gross_rev_oil_difference*Marine!CA_SPO_trig)</f>
        <v>0</v>
      </c>
      <c r="R313" s="49">
        <f ca="1">(Marine!CA_gross_rev_oil_difference*Marine!CA_SPO_trig)</f>
        <v>0</v>
      </c>
      <c r="S313" s="49">
        <f ca="1">(Marine!CA_gross_rev_oil_difference*Marine!CA_SPO_trig)</f>
        <v>0</v>
      </c>
      <c r="T313" s="49">
        <f ca="1">(Marine!CA_gross_rev_oil_difference*Marine!CA_SPO_trig)</f>
        <v>0</v>
      </c>
      <c r="U313" s="49">
        <f ca="1">(Marine!CA_gross_rev_oil_difference*Marine!CA_SPO_trig)</f>
        <v>0</v>
      </c>
      <c r="V313" s="49">
        <f ca="1">(Marine!CA_gross_rev_oil_difference*Marine!CA_SPO_trig)</f>
        <v>0</v>
      </c>
      <c r="W313" s="49">
        <f ca="1">(Marine!CA_gross_rev_oil_difference*Marine!CA_SPO_trig)</f>
        <v>0</v>
      </c>
      <c r="X313" s="49">
        <f ca="1">(Marine!CA_gross_rev_oil_difference*Marine!CA_SPO_trig)</f>
        <v>0</v>
      </c>
      <c r="Y313" s="49">
        <f ca="1">(Marine!CA_gross_rev_oil_difference*Marine!CA_SPO_trig)</f>
        <v>0</v>
      </c>
      <c r="Z313" s="49">
        <f ca="1">(Marine!CA_gross_rev_oil_difference*Marine!CA_SPO_trig)</f>
        <v>0</v>
      </c>
      <c r="AA313" s="49">
        <f ca="1">(Marine!CA_gross_rev_oil_difference*Marine!CA_SPO_trig)</f>
        <v>0</v>
      </c>
      <c r="AB313" s="49">
        <f ca="1">(Marine!CA_gross_rev_oil_difference*Marine!CA_SPO_trig)</f>
        <v>0</v>
      </c>
      <c r="AC313" s="49">
        <f ca="1">(Marine!CA_gross_rev_oil_difference*Marine!CA_SPO_trig)</f>
        <v>0</v>
      </c>
      <c r="AD313" s="49">
        <f ca="1">(Marine!CA_gross_rev_oil_difference*Marine!CA_SPO_trig)</f>
        <v>0</v>
      </c>
      <c r="AE313" s="49">
        <f ca="1">(Marine!CA_gross_rev_oil_difference*Marine!CA_SPO_trig)</f>
        <v>0</v>
      </c>
      <c r="AF313" s="49">
        <f ca="1">(Marine!CA_gross_rev_oil_difference*Marine!CA_SPO_trig)</f>
        <v>0</v>
      </c>
      <c r="AG313" s="49">
        <f ca="1">(Marine!CA_gross_rev_oil_difference*Marine!CA_SPO_trig)</f>
        <v>0</v>
      </c>
      <c r="AH313" s="49">
        <f ca="1">(Marine!CA_gross_rev_oil_difference*Marine!CA_SPO_trig)</f>
        <v>0</v>
      </c>
      <c r="AI313" s="49">
        <f ca="1">(Marine!CA_gross_rev_oil_difference*Marine!CA_SPO_trig)</f>
        <v>0</v>
      </c>
      <c r="AJ313" s="49">
        <f ca="1">(Marine!CA_gross_rev_oil_difference*Marine!CA_SPO_trig)</f>
        <v>0</v>
      </c>
      <c r="AK313" s="49">
        <f ca="1">(Marine!CA_gross_rev_oil_difference*Marine!CA_SPO_trig)</f>
        <v>0</v>
      </c>
      <c r="AL313" s="49">
        <f ca="1">(Marine!CA_gross_rev_oil_difference*Marine!CA_SPO_trig)</f>
        <v>0</v>
      </c>
      <c r="AM313" s="49">
        <f ca="1">(Marine!CA_gross_rev_oil_difference*Marine!CA_SPO_trig)</f>
        <v>0</v>
      </c>
      <c r="AN313" s="49">
        <f ca="1">(Marine!CA_gross_rev_oil_difference*Marine!CA_SPO_trig)</f>
        <v>0</v>
      </c>
      <c r="AO313" s="49">
        <f ca="1">(Marine!CA_gross_rev_oil_difference*Marine!CA_SPO_trig)</f>
        <v>0</v>
      </c>
      <c r="AP313" s="49">
        <f ca="1">(Marine!CA_gross_rev_oil_difference*Marine!CA_SPO_trig)</f>
        <v>0</v>
      </c>
      <c r="AQ313" s="49">
        <f ca="1">(Marine!CA_gross_rev_oil_difference*Marine!CA_SPO_trig)</f>
        <v>0</v>
      </c>
      <c r="AR313" s="49">
        <f ca="1">(Marine!CA_gross_rev_oil_difference*Marine!CA_SPO_trig)</f>
        <v>0</v>
      </c>
      <c r="AS313" s="49">
        <f ca="1">(Marine!CA_gross_rev_oil_difference*Marine!CA_SPO_trig)</f>
        <v>0</v>
      </c>
      <c r="AT313" s="49">
        <f ca="1">(Marine!CA_gross_rev_oil_difference*Marine!CA_SPO_trig)</f>
        <v>0</v>
      </c>
      <c r="AU313" s="49">
        <f ca="1">(Marine!CA_gross_rev_oil_difference*Marine!CA_SPO_trig)</f>
        <v>0</v>
      </c>
      <c r="AV313" s="49">
        <f ca="1">(Marine!CA_gross_rev_oil_difference*Marine!CA_SPO_trig)</f>
        <v>0</v>
      </c>
      <c r="AW313" s="49">
        <f ca="1">(Marine!CA_gross_rev_oil_difference*Marine!CA_SPO_trig)</f>
        <v>0</v>
      </c>
      <c r="AX313" s="49">
        <f ca="1">(Marine!CA_gross_rev_oil_difference*Marine!CA_SPO_trig)</f>
        <v>0</v>
      </c>
      <c r="AY313" s="49">
        <f ca="1">(Marine!CA_gross_rev_oil_difference*Marine!CA_SPO_trig)</f>
        <v>0</v>
      </c>
      <c r="AZ313" s="49">
        <f ca="1">(Marine!CA_gross_rev_oil_difference*Marine!CA_SPO_trig)</f>
        <v>0</v>
      </c>
      <c r="BA313" s="49">
        <f ca="1">(Marine!CA_gross_rev_oil_difference*Marine!CA_SPO_trig)</f>
        <v>0</v>
      </c>
      <c r="BB313" s="49">
        <f ca="1">(Marine!CA_gross_rev_oil_difference*Marine!CA_SPO_trig)</f>
        <v>0</v>
      </c>
      <c r="BC313" s="49">
        <f ca="1">(Marine!CA_gross_rev_oil_difference*Marine!CA_SPO_trig)</f>
        <v>0</v>
      </c>
      <c r="BD313" s="49">
        <f ca="1">(Marine!CA_gross_rev_oil_difference*Marine!CA_SPO_trig)</f>
        <v>0</v>
      </c>
      <c r="BE313" s="49">
        <f ca="1">(Marine!CA_gross_rev_oil_difference*Marine!CA_SPO_trig)</f>
        <v>0</v>
      </c>
      <c r="BF313" s="49">
        <f ca="1">(Marine!CA_gross_rev_oil_difference*Marine!CA_SPO_trig)</f>
        <v>0</v>
      </c>
      <c r="BG313" s="49">
        <f ca="1">(Marine!CA_gross_rev_oil_difference*Marine!CA_SPO_trig)</f>
        <v>0</v>
      </c>
      <c r="BH313" s="49">
        <f ca="1">(Marine!CA_gross_rev_oil_difference*Marine!CA_SPO_trig)</f>
        <v>0</v>
      </c>
      <c r="BI313" s="49">
        <f ca="1">(Marine!CA_gross_rev_oil_difference*Marine!CA_SPO_trig)</f>
        <v>0</v>
      </c>
      <c r="BJ313" s="49">
        <f ca="1">(Marine!CA_gross_rev_oil_difference*Marine!CA_SPO_trig)</f>
        <v>0</v>
      </c>
      <c r="BK313" s="49">
        <f ca="1">(Marine!CA_gross_rev_oil_difference*Marine!CA_SPO_trig)</f>
        <v>0</v>
      </c>
      <c r="BL313" s="49">
        <f ca="1">(Marine!CA_gross_rev_oil_difference*Marine!CA_SPO_trig)</f>
        <v>0</v>
      </c>
      <c r="BM313" s="49">
        <f ca="1">(Marine!CA_gross_rev_oil_difference*Marine!CA_SPO_trig)</f>
        <v>0</v>
      </c>
      <c r="BN313" s="49">
        <f ca="1">(Marine!CA_gross_rev_oil_difference*Marine!CA_SPO_trig)</f>
        <v>0</v>
      </c>
      <c r="BO313" s="49">
        <f ca="1">(Marine!CA_gross_rev_oil_difference*Marine!CA_SPO_trig)</f>
        <v>0</v>
      </c>
      <c r="BP313" s="49">
        <f ca="1">(Marine!CA_gross_rev_oil_difference*Marine!CA_SPO_trig)</f>
        <v>0</v>
      </c>
      <c r="BQ313" s="49">
        <f ca="1">(Marine!CA_gross_rev_oil_difference*Marine!CA_SPO_trig)</f>
        <v>0</v>
      </c>
      <c r="BR313" s="49">
        <f ca="1">(Marine!CA_gross_rev_oil_difference*Marine!CA_SPO_trig)</f>
        <v>0</v>
      </c>
      <c r="BS313" s="49">
        <f ca="1">(Marine!CA_gross_rev_oil_difference*Marine!CA_SPO_trig)</f>
        <v>0</v>
      </c>
    </row>
    <row r="314" spans="3:71" outlineLevel="1" x14ac:dyDescent="0.2">
      <c r="J314" s="26"/>
      <c r="L314" s="55"/>
      <c r="M314" s="55"/>
      <c r="N314" s="55"/>
      <c r="O314" s="55"/>
      <c r="P314" s="55"/>
      <c r="Q314" s="55"/>
      <c r="R314" s="55"/>
      <c r="S314" s="55"/>
      <c r="T314" s="55"/>
      <c r="U314" s="55"/>
      <c r="V314" s="55"/>
      <c r="W314" s="55"/>
      <c r="X314" s="55"/>
      <c r="Y314" s="55"/>
      <c r="Z314" s="55"/>
      <c r="AA314" s="55"/>
      <c r="AB314" s="55"/>
      <c r="AC314" s="55"/>
      <c r="AD314" s="55"/>
      <c r="AE314" s="55"/>
      <c r="AF314" s="55"/>
      <c r="AG314" s="55"/>
      <c r="AH314" s="55"/>
      <c r="AI314" s="55"/>
      <c r="AJ314" s="55"/>
      <c r="AK314" s="55"/>
      <c r="AL314" s="55"/>
      <c r="AM314" s="55"/>
      <c r="AN314" s="55"/>
      <c r="AO314" s="55"/>
      <c r="AP314" s="55"/>
      <c r="AQ314" s="55"/>
      <c r="AR314" s="55"/>
      <c r="AS314" s="55"/>
      <c r="AT314" s="55"/>
      <c r="AU314" s="55"/>
      <c r="AV314" s="55"/>
      <c r="AW314" s="55"/>
      <c r="AX314" s="55"/>
      <c r="AY314" s="55"/>
      <c r="AZ314" s="55"/>
      <c r="BA314" s="55"/>
      <c r="BB314" s="55"/>
      <c r="BC314" s="55"/>
      <c r="BD314" s="55"/>
      <c r="BE314" s="55"/>
      <c r="BF314" s="55"/>
      <c r="BG314" s="55"/>
      <c r="BH314" s="55"/>
      <c r="BI314" s="55"/>
      <c r="BJ314" s="55"/>
      <c r="BK314" s="55"/>
      <c r="BL314" s="55"/>
      <c r="BM314" s="55"/>
      <c r="BN314" s="55"/>
      <c r="BO314" s="55"/>
      <c r="BP314" s="55"/>
      <c r="BQ314" s="55"/>
      <c r="BR314" s="55"/>
      <c r="BS314" s="55"/>
    </row>
    <row r="315" spans="3:71" outlineLevel="1" x14ac:dyDescent="0.2">
      <c r="D315" t="s">
        <v>218</v>
      </c>
      <c r="I315" s="30">
        <f t="shared" ref="I315:I317" ca="1" si="117">SUM($L315:$BS315)</f>
        <v>0</v>
      </c>
      <c r="J315" s="26" t="s">
        <v>148</v>
      </c>
      <c r="L315" s="49">
        <f ca="1">((Marine!CA_gross_rev_oil_difference*Marine!royalty_rate_oil)*Marine!CA_SPO_trig)</f>
        <v>0</v>
      </c>
      <c r="M315" s="49">
        <f ca="1">((Marine!CA_gross_rev_oil_difference*Marine!royalty_rate_oil)*Marine!CA_SPO_trig)</f>
        <v>0</v>
      </c>
      <c r="N315" s="49">
        <f ca="1">((Marine!CA_gross_rev_oil_difference*Marine!royalty_rate_oil)*Marine!CA_SPO_trig)</f>
        <v>0</v>
      </c>
      <c r="O315" s="49">
        <f ca="1">((Marine!CA_gross_rev_oil_difference*Marine!royalty_rate_oil)*Marine!CA_SPO_trig)</f>
        <v>0</v>
      </c>
      <c r="P315" s="49">
        <f ca="1">((Marine!CA_gross_rev_oil_difference*Marine!royalty_rate_oil)*Marine!CA_SPO_trig)</f>
        <v>0</v>
      </c>
      <c r="Q315" s="49">
        <f ca="1">((Marine!CA_gross_rev_oil_difference*Marine!royalty_rate_oil)*Marine!CA_SPO_trig)</f>
        <v>0</v>
      </c>
      <c r="R315" s="49">
        <f ca="1">((Marine!CA_gross_rev_oil_difference*Marine!royalty_rate_oil)*Marine!CA_SPO_trig)</f>
        <v>0</v>
      </c>
      <c r="S315" s="49">
        <f ca="1">((Marine!CA_gross_rev_oil_difference*Marine!royalty_rate_oil)*Marine!CA_SPO_trig)</f>
        <v>0</v>
      </c>
      <c r="T315" s="49">
        <f ca="1">((Marine!CA_gross_rev_oil_difference*Marine!royalty_rate_oil)*Marine!CA_SPO_trig)</f>
        <v>0</v>
      </c>
      <c r="U315" s="49">
        <f ca="1">((Marine!CA_gross_rev_oil_difference*Marine!royalty_rate_oil)*Marine!CA_SPO_trig)</f>
        <v>0</v>
      </c>
      <c r="V315" s="49">
        <f ca="1">((Marine!CA_gross_rev_oil_difference*Marine!royalty_rate_oil)*Marine!CA_SPO_trig)</f>
        <v>0</v>
      </c>
      <c r="W315" s="49">
        <f ca="1">((Marine!CA_gross_rev_oil_difference*Marine!royalty_rate_oil)*Marine!CA_SPO_trig)</f>
        <v>0</v>
      </c>
      <c r="X315" s="49">
        <f ca="1">((Marine!CA_gross_rev_oil_difference*Marine!royalty_rate_oil)*Marine!CA_SPO_trig)</f>
        <v>0</v>
      </c>
      <c r="Y315" s="49">
        <f ca="1">((Marine!CA_gross_rev_oil_difference*Marine!royalty_rate_oil)*Marine!CA_SPO_trig)</f>
        <v>0</v>
      </c>
      <c r="Z315" s="49">
        <f ca="1">((Marine!CA_gross_rev_oil_difference*Marine!royalty_rate_oil)*Marine!CA_SPO_trig)</f>
        <v>0</v>
      </c>
      <c r="AA315" s="49">
        <f ca="1">((Marine!CA_gross_rev_oil_difference*Marine!royalty_rate_oil)*Marine!CA_SPO_trig)</f>
        <v>0</v>
      </c>
      <c r="AB315" s="49">
        <f ca="1">((Marine!CA_gross_rev_oil_difference*Marine!royalty_rate_oil)*Marine!CA_SPO_trig)</f>
        <v>0</v>
      </c>
      <c r="AC315" s="49">
        <f ca="1">((Marine!CA_gross_rev_oil_difference*Marine!royalty_rate_oil)*Marine!CA_SPO_trig)</f>
        <v>0</v>
      </c>
      <c r="AD315" s="49">
        <f ca="1">((Marine!CA_gross_rev_oil_difference*Marine!royalty_rate_oil)*Marine!CA_SPO_trig)</f>
        <v>0</v>
      </c>
      <c r="AE315" s="49">
        <f ca="1">((Marine!CA_gross_rev_oil_difference*Marine!royalty_rate_oil)*Marine!CA_SPO_trig)</f>
        <v>0</v>
      </c>
      <c r="AF315" s="49">
        <f ca="1">((Marine!CA_gross_rev_oil_difference*Marine!royalty_rate_oil)*Marine!CA_SPO_trig)</f>
        <v>0</v>
      </c>
      <c r="AG315" s="49">
        <f ca="1">((Marine!CA_gross_rev_oil_difference*Marine!royalty_rate_oil)*Marine!CA_SPO_trig)</f>
        <v>0</v>
      </c>
      <c r="AH315" s="49">
        <f ca="1">((Marine!CA_gross_rev_oil_difference*Marine!royalty_rate_oil)*Marine!CA_SPO_trig)</f>
        <v>0</v>
      </c>
      <c r="AI315" s="49">
        <f ca="1">((Marine!CA_gross_rev_oil_difference*Marine!royalty_rate_oil)*Marine!CA_SPO_trig)</f>
        <v>0</v>
      </c>
      <c r="AJ315" s="49">
        <f ca="1">((Marine!CA_gross_rev_oil_difference*Marine!royalty_rate_oil)*Marine!CA_SPO_trig)</f>
        <v>0</v>
      </c>
      <c r="AK315" s="49">
        <f ca="1">((Marine!CA_gross_rev_oil_difference*Marine!royalty_rate_oil)*Marine!CA_SPO_trig)</f>
        <v>0</v>
      </c>
      <c r="AL315" s="49">
        <f ca="1">((Marine!CA_gross_rev_oil_difference*Marine!royalty_rate_oil)*Marine!CA_SPO_trig)</f>
        <v>0</v>
      </c>
      <c r="AM315" s="49">
        <f ca="1">((Marine!CA_gross_rev_oil_difference*Marine!royalty_rate_oil)*Marine!CA_SPO_trig)</f>
        <v>0</v>
      </c>
      <c r="AN315" s="49">
        <f ca="1">((Marine!CA_gross_rev_oil_difference*Marine!royalty_rate_oil)*Marine!CA_SPO_trig)</f>
        <v>0</v>
      </c>
      <c r="AO315" s="49">
        <f ca="1">((Marine!CA_gross_rev_oil_difference*Marine!royalty_rate_oil)*Marine!CA_SPO_trig)</f>
        <v>0</v>
      </c>
      <c r="AP315" s="49">
        <f ca="1">((Marine!CA_gross_rev_oil_difference*Marine!royalty_rate_oil)*Marine!CA_SPO_trig)</f>
        <v>0</v>
      </c>
      <c r="AQ315" s="49">
        <f ca="1">((Marine!CA_gross_rev_oil_difference*Marine!royalty_rate_oil)*Marine!CA_SPO_trig)</f>
        <v>0</v>
      </c>
      <c r="AR315" s="49">
        <f ca="1">((Marine!CA_gross_rev_oil_difference*Marine!royalty_rate_oil)*Marine!CA_SPO_trig)</f>
        <v>0</v>
      </c>
      <c r="AS315" s="49">
        <f ca="1">((Marine!CA_gross_rev_oil_difference*Marine!royalty_rate_oil)*Marine!CA_SPO_trig)</f>
        <v>0</v>
      </c>
      <c r="AT315" s="49">
        <f ca="1">((Marine!CA_gross_rev_oil_difference*Marine!royalty_rate_oil)*Marine!CA_SPO_trig)</f>
        <v>0</v>
      </c>
      <c r="AU315" s="49">
        <f ca="1">((Marine!CA_gross_rev_oil_difference*Marine!royalty_rate_oil)*Marine!CA_SPO_trig)</f>
        <v>0</v>
      </c>
      <c r="AV315" s="49">
        <f ca="1">((Marine!CA_gross_rev_oil_difference*Marine!royalty_rate_oil)*Marine!CA_SPO_trig)</f>
        <v>0</v>
      </c>
      <c r="AW315" s="49">
        <f ca="1">((Marine!CA_gross_rev_oil_difference*Marine!royalty_rate_oil)*Marine!CA_SPO_trig)</f>
        <v>0</v>
      </c>
      <c r="AX315" s="49">
        <f ca="1">((Marine!CA_gross_rev_oil_difference*Marine!royalty_rate_oil)*Marine!CA_SPO_trig)</f>
        <v>0</v>
      </c>
      <c r="AY315" s="49">
        <f ca="1">((Marine!CA_gross_rev_oil_difference*Marine!royalty_rate_oil)*Marine!CA_SPO_trig)</f>
        <v>0</v>
      </c>
      <c r="AZ315" s="49">
        <f ca="1">((Marine!CA_gross_rev_oil_difference*Marine!royalty_rate_oil)*Marine!CA_SPO_trig)</f>
        <v>0</v>
      </c>
      <c r="BA315" s="49">
        <f ca="1">((Marine!CA_gross_rev_oil_difference*Marine!royalty_rate_oil)*Marine!CA_SPO_trig)</f>
        <v>0</v>
      </c>
      <c r="BB315" s="49">
        <f ca="1">((Marine!CA_gross_rev_oil_difference*Marine!royalty_rate_oil)*Marine!CA_SPO_trig)</f>
        <v>0</v>
      </c>
      <c r="BC315" s="49">
        <f ca="1">((Marine!CA_gross_rev_oil_difference*Marine!royalty_rate_oil)*Marine!CA_SPO_trig)</f>
        <v>0</v>
      </c>
      <c r="BD315" s="49">
        <f ca="1">((Marine!CA_gross_rev_oil_difference*Marine!royalty_rate_oil)*Marine!CA_SPO_trig)</f>
        <v>0</v>
      </c>
      <c r="BE315" s="49">
        <f ca="1">((Marine!CA_gross_rev_oil_difference*Marine!royalty_rate_oil)*Marine!CA_SPO_trig)</f>
        <v>0</v>
      </c>
      <c r="BF315" s="49">
        <f ca="1">((Marine!CA_gross_rev_oil_difference*Marine!royalty_rate_oil)*Marine!CA_SPO_trig)</f>
        <v>0</v>
      </c>
      <c r="BG315" s="49">
        <f ca="1">((Marine!CA_gross_rev_oil_difference*Marine!royalty_rate_oil)*Marine!CA_SPO_trig)</f>
        <v>0</v>
      </c>
      <c r="BH315" s="49">
        <f ca="1">((Marine!CA_gross_rev_oil_difference*Marine!royalty_rate_oil)*Marine!CA_SPO_trig)</f>
        <v>0</v>
      </c>
      <c r="BI315" s="49">
        <f ca="1">((Marine!CA_gross_rev_oil_difference*Marine!royalty_rate_oil)*Marine!CA_SPO_trig)</f>
        <v>0</v>
      </c>
      <c r="BJ315" s="49">
        <f ca="1">((Marine!CA_gross_rev_oil_difference*Marine!royalty_rate_oil)*Marine!CA_SPO_trig)</f>
        <v>0</v>
      </c>
      <c r="BK315" s="49">
        <f ca="1">((Marine!CA_gross_rev_oil_difference*Marine!royalty_rate_oil)*Marine!CA_SPO_trig)</f>
        <v>0</v>
      </c>
      <c r="BL315" s="49">
        <f ca="1">((Marine!CA_gross_rev_oil_difference*Marine!royalty_rate_oil)*Marine!CA_SPO_trig)</f>
        <v>0</v>
      </c>
      <c r="BM315" s="49">
        <f ca="1">((Marine!CA_gross_rev_oil_difference*Marine!royalty_rate_oil)*Marine!CA_SPO_trig)</f>
        <v>0</v>
      </c>
      <c r="BN315" s="49">
        <f ca="1">((Marine!CA_gross_rev_oil_difference*Marine!royalty_rate_oil)*Marine!CA_SPO_trig)</f>
        <v>0</v>
      </c>
      <c r="BO315" s="49">
        <f ca="1">((Marine!CA_gross_rev_oil_difference*Marine!royalty_rate_oil)*Marine!CA_SPO_trig)</f>
        <v>0</v>
      </c>
      <c r="BP315" s="49">
        <f ca="1">((Marine!CA_gross_rev_oil_difference*Marine!royalty_rate_oil)*Marine!CA_SPO_trig)</f>
        <v>0</v>
      </c>
      <c r="BQ315" s="49">
        <f ca="1">((Marine!CA_gross_rev_oil_difference*Marine!royalty_rate_oil)*Marine!CA_SPO_trig)</f>
        <v>0</v>
      </c>
      <c r="BR315" s="49">
        <f ca="1">((Marine!CA_gross_rev_oil_difference*Marine!royalty_rate_oil)*Marine!CA_SPO_trig)</f>
        <v>0</v>
      </c>
      <c r="BS315" s="49">
        <f ca="1">((Marine!CA_gross_rev_oil_difference*Marine!royalty_rate_oil)*Marine!CA_SPO_trig)</f>
        <v>0</v>
      </c>
    </row>
    <row r="316" spans="3:71" outlineLevel="1" x14ac:dyDescent="0.2">
      <c r="J316" s="26"/>
      <c r="L316" s="55"/>
      <c r="M316" s="55"/>
      <c r="N316" s="55"/>
      <c r="O316" s="55"/>
      <c r="P316" s="55"/>
      <c r="Q316" s="55"/>
      <c r="R316" s="55"/>
      <c r="S316" s="55"/>
      <c r="T316" s="55"/>
      <c r="U316" s="55"/>
      <c r="V316" s="55"/>
      <c r="W316" s="55"/>
      <c r="X316" s="55"/>
      <c r="Y316" s="55"/>
      <c r="Z316" s="55"/>
      <c r="AA316" s="55"/>
      <c r="AB316" s="55"/>
      <c r="AC316" s="55"/>
      <c r="AD316" s="55"/>
      <c r="AE316" s="55"/>
      <c r="AF316" s="55"/>
      <c r="AG316" s="55"/>
      <c r="AH316" s="55"/>
      <c r="AI316" s="55"/>
      <c r="AJ316" s="55"/>
      <c r="AK316" s="55"/>
      <c r="AL316" s="55"/>
      <c r="AM316" s="55"/>
      <c r="AN316" s="55"/>
      <c r="AO316" s="55"/>
      <c r="AP316" s="55"/>
      <c r="AQ316" s="55"/>
      <c r="AR316" s="55"/>
      <c r="AS316" s="55"/>
      <c r="AT316" s="55"/>
      <c r="AU316" s="55"/>
      <c r="AV316" s="55"/>
      <c r="AW316" s="55"/>
      <c r="AX316" s="55"/>
      <c r="AY316" s="55"/>
      <c r="AZ316" s="55"/>
      <c r="BA316" s="55"/>
      <c r="BB316" s="55"/>
      <c r="BC316" s="55"/>
      <c r="BD316" s="55"/>
      <c r="BE316" s="55"/>
      <c r="BF316" s="55"/>
      <c r="BG316" s="55"/>
      <c r="BH316" s="55"/>
      <c r="BI316" s="55"/>
      <c r="BJ316" s="55"/>
      <c r="BK316" s="55"/>
      <c r="BL316" s="55"/>
      <c r="BM316" s="55"/>
      <c r="BN316" s="55"/>
      <c r="BO316" s="55"/>
      <c r="BP316" s="55"/>
      <c r="BQ316" s="55"/>
      <c r="BR316" s="55"/>
      <c r="BS316" s="55"/>
    </row>
    <row r="317" spans="3:71" outlineLevel="1" x14ac:dyDescent="0.2">
      <c r="D317" t="s">
        <v>315</v>
      </c>
      <c r="I317" s="30">
        <f t="shared" ca="1" si="117"/>
        <v>0</v>
      </c>
      <c r="J317" s="26" t="s">
        <v>148</v>
      </c>
      <c r="L317" s="49">
        <f t="shared" ref="L317:AQ317" ca="1" si="118">MAX(L260-CA_cost_stop_oil,0)</f>
        <v>0</v>
      </c>
      <c r="M317" s="49">
        <f t="shared" ca="1" si="118"/>
        <v>0</v>
      </c>
      <c r="N317" s="49">
        <f t="shared" ca="1" si="118"/>
        <v>0</v>
      </c>
      <c r="O317" s="49">
        <f t="shared" ca="1" si="118"/>
        <v>0</v>
      </c>
      <c r="P317" s="49">
        <f t="shared" ca="1" si="118"/>
        <v>0</v>
      </c>
      <c r="Q317" s="49">
        <f t="shared" ca="1" si="118"/>
        <v>0</v>
      </c>
      <c r="R317" s="49">
        <f t="shared" ca="1" si="118"/>
        <v>0</v>
      </c>
      <c r="S317" s="49">
        <f t="shared" ca="1" si="118"/>
        <v>0</v>
      </c>
      <c r="T317" s="49">
        <f t="shared" ca="1" si="118"/>
        <v>0</v>
      </c>
      <c r="U317" s="49">
        <f t="shared" ca="1" si="118"/>
        <v>0</v>
      </c>
      <c r="V317" s="49">
        <f t="shared" ca="1" si="118"/>
        <v>0</v>
      </c>
      <c r="W317" s="49">
        <f t="shared" ca="1" si="118"/>
        <v>0</v>
      </c>
      <c r="X317" s="49">
        <f t="shared" ca="1" si="118"/>
        <v>0</v>
      </c>
      <c r="Y317" s="49">
        <f t="shared" ca="1" si="118"/>
        <v>0</v>
      </c>
      <c r="Z317" s="49">
        <f t="shared" ca="1" si="118"/>
        <v>0</v>
      </c>
      <c r="AA317" s="49">
        <f t="shared" ca="1" si="118"/>
        <v>0</v>
      </c>
      <c r="AB317" s="49">
        <f t="shared" ca="1" si="118"/>
        <v>0</v>
      </c>
      <c r="AC317" s="49">
        <f t="shared" ca="1" si="118"/>
        <v>0</v>
      </c>
      <c r="AD317" s="49">
        <f t="shared" ca="1" si="118"/>
        <v>0</v>
      </c>
      <c r="AE317" s="49">
        <f t="shared" ca="1" si="118"/>
        <v>0</v>
      </c>
      <c r="AF317" s="49">
        <f t="shared" ca="1" si="118"/>
        <v>0</v>
      </c>
      <c r="AG317" s="49">
        <f t="shared" ca="1" si="118"/>
        <v>0</v>
      </c>
      <c r="AH317" s="49">
        <f t="shared" ca="1" si="118"/>
        <v>0</v>
      </c>
      <c r="AI317" s="49">
        <f t="shared" ca="1" si="118"/>
        <v>0</v>
      </c>
      <c r="AJ317" s="49">
        <f t="shared" ca="1" si="118"/>
        <v>0</v>
      </c>
      <c r="AK317" s="49">
        <f t="shared" ca="1" si="118"/>
        <v>0</v>
      </c>
      <c r="AL317" s="49">
        <f t="shared" ca="1" si="118"/>
        <v>0</v>
      </c>
      <c r="AM317" s="49">
        <f t="shared" ca="1" si="118"/>
        <v>0</v>
      </c>
      <c r="AN317" s="49">
        <f t="shared" ca="1" si="118"/>
        <v>0</v>
      </c>
      <c r="AO317" s="49">
        <f t="shared" ca="1" si="118"/>
        <v>0</v>
      </c>
      <c r="AP317" s="49">
        <f t="shared" ca="1" si="118"/>
        <v>0</v>
      </c>
      <c r="AQ317" s="49">
        <f t="shared" ca="1" si="118"/>
        <v>0</v>
      </c>
      <c r="AR317" s="49">
        <f t="shared" ref="AR317:BS317" ca="1" si="119">MAX(AR260-CA_cost_stop_oil,0)</f>
        <v>0</v>
      </c>
      <c r="AS317" s="49">
        <f t="shared" ca="1" si="119"/>
        <v>0</v>
      </c>
      <c r="AT317" s="49">
        <f t="shared" ca="1" si="119"/>
        <v>0</v>
      </c>
      <c r="AU317" s="49">
        <f t="shared" ca="1" si="119"/>
        <v>0</v>
      </c>
      <c r="AV317" s="49">
        <f t="shared" ca="1" si="119"/>
        <v>0</v>
      </c>
      <c r="AW317" s="49">
        <f t="shared" ca="1" si="119"/>
        <v>0</v>
      </c>
      <c r="AX317" s="49">
        <f t="shared" ca="1" si="119"/>
        <v>0</v>
      </c>
      <c r="AY317" s="49">
        <f t="shared" ca="1" si="119"/>
        <v>0</v>
      </c>
      <c r="AZ317" s="49">
        <f t="shared" ca="1" si="119"/>
        <v>0</v>
      </c>
      <c r="BA317" s="49">
        <f t="shared" ca="1" si="119"/>
        <v>0</v>
      </c>
      <c r="BB317" s="49">
        <f t="shared" ca="1" si="119"/>
        <v>0</v>
      </c>
      <c r="BC317" s="49">
        <f t="shared" ca="1" si="119"/>
        <v>0</v>
      </c>
      <c r="BD317" s="49">
        <f t="shared" ca="1" si="119"/>
        <v>0</v>
      </c>
      <c r="BE317" s="49">
        <f t="shared" ca="1" si="119"/>
        <v>0</v>
      </c>
      <c r="BF317" s="49">
        <f t="shared" ca="1" si="119"/>
        <v>0</v>
      </c>
      <c r="BG317" s="49">
        <f t="shared" ca="1" si="119"/>
        <v>0</v>
      </c>
      <c r="BH317" s="49">
        <f t="shared" ca="1" si="119"/>
        <v>0</v>
      </c>
      <c r="BI317" s="49">
        <f t="shared" ca="1" si="119"/>
        <v>0</v>
      </c>
      <c r="BJ317" s="49">
        <f t="shared" ca="1" si="119"/>
        <v>0</v>
      </c>
      <c r="BK317" s="49">
        <f t="shared" ca="1" si="119"/>
        <v>0</v>
      </c>
      <c r="BL317" s="49">
        <f t="shared" ca="1" si="119"/>
        <v>0</v>
      </c>
      <c r="BM317" s="49">
        <f t="shared" ca="1" si="119"/>
        <v>0</v>
      </c>
      <c r="BN317" s="49">
        <f t="shared" ca="1" si="119"/>
        <v>0</v>
      </c>
      <c r="BO317" s="49">
        <f t="shared" ca="1" si="119"/>
        <v>0</v>
      </c>
      <c r="BP317" s="49">
        <f t="shared" ca="1" si="119"/>
        <v>0</v>
      </c>
      <c r="BQ317" s="49">
        <f t="shared" ca="1" si="119"/>
        <v>0</v>
      </c>
      <c r="BR317" s="49">
        <f t="shared" ca="1" si="119"/>
        <v>0</v>
      </c>
      <c r="BS317" s="49">
        <f t="shared" ca="1" si="119"/>
        <v>0</v>
      </c>
    </row>
    <row r="318" spans="3:71" outlineLevel="1" x14ac:dyDescent="0.2">
      <c r="J318" s="26"/>
      <c r="L318" s="55"/>
      <c r="M318" s="55"/>
      <c r="N318" s="55"/>
      <c r="O318" s="55"/>
      <c r="P318" s="55"/>
      <c r="Q318" s="55"/>
      <c r="R318" s="55"/>
      <c r="S318" s="55"/>
      <c r="T318" s="55"/>
      <c r="U318" s="55"/>
      <c r="V318" s="55"/>
      <c r="W318" s="55"/>
      <c r="X318" s="55"/>
      <c r="Y318" s="55"/>
      <c r="Z318" s="55"/>
      <c r="AA318" s="55"/>
      <c r="AB318" s="55"/>
      <c r="AC318" s="55"/>
      <c r="AD318" s="55"/>
      <c r="AE318" s="55"/>
      <c r="AF318" s="55"/>
      <c r="AG318" s="55"/>
      <c r="AH318" s="55"/>
      <c r="AI318" s="55"/>
      <c r="AJ318" s="55"/>
      <c r="AK318" s="55"/>
      <c r="AL318" s="55"/>
      <c r="AM318" s="55"/>
      <c r="AN318" s="55"/>
      <c r="AO318" s="55"/>
      <c r="AP318" s="55"/>
      <c r="AQ318" s="55"/>
      <c r="AR318" s="55"/>
      <c r="AS318" s="55"/>
      <c r="AT318" s="55"/>
      <c r="AU318" s="55"/>
      <c r="AV318" s="55"/>
      <c r="AW318" s="55"/>
      <c r="AX318" s="55"/>
      <c r="AY318" s="55"/>
      <c r="AZ318" s="55"/>
      <c r="BA318" s="55"/>
      <c r="BB318" s="55"/>
      <c r="BC318" s="55"/>
      <c r="BD318" s="55"/>
      <c r="BE318" s="55"/>
      <c r="BF318" s="55"/>
      <c r="BG318" s="55"/>
      <c r="BH318" s="55"/>
      <c r="BI318" s="55"/>
      <c r="BJ318" s="55"/>
      <c r="BK318" s="55"/>
      <c r="BL318" s="55"/>
      <c r="BM318" s="55"/>
      <c r="BN318" s="55"/>
      <c r="BO318" s="55"/>
      <c r="BP318" s="55"/>
      <c r="BQ318" s="55"/>
      <c r="BR318" s="55"/>
      <c r="BS318" s="55"/>
    </row>
    <row r="319" spans="3:71" outlineLevel="1" x14ac:dyDescent="0.2">
      <c r="D319" t="s">
        <v>310</v>
      </c>
      <c r="I319" s="30">
        <f t="shared" ref="I319:I322" ca="1" si="120">SUM($L319:$BS319)</f>
        <v>0</v>
      </c>
      <c r="J319" s="26" t="s">
        <v>148</v>
      </c>
      <c r="K319" s="7" t="s">
        <v>221</v>
      </c>
      <c r="L319" s="49">
        <f ca="1">MAX(L313-L315,0)</f>
        <v>0</v>
      </c>
      <c r="M319" s="49">
        <f t="shared" ref="M319:BS319" ca="1" si="121">MAX(M313-M315,0)</f>
        <v>0</v>
      </c>
      <c r="N319" s="49">
        <f t="shared" ca="1" si="121"/>
        <v>0</v>
      </c>
      <c r="O319" s="49">
        <f t="shared" ca="1" si="121"/>
        <v>0</v>
      </c>
      <c r="P319" s="49">
        <f t="shared" ca="1" si="121"/>
        <v>0</v>
      </c>
      <c r="Q319" s="49">
        <f t="shared" ca="1" si="121"/>
        <v>0</v>
      </c>
      <c r="R319" s="49">
        <f t="shared" ca="1" si="121"/>
        <v>0</v>
      </c>
      <c r="S319" s="49">
        <f t="shared" ca="1" si="121"/>
        <v>0</v>
      </c>
      <c r="T319" s="49">
        <f t="shared" ca="1" si="121"/>
        <v>0</v>
      </c>
      <c r="U319" s="49">
        <f t="shared" ca="1" si="121"/>
        <v>0</v>
      </c>
      <c r="V319" s="49">
        <f t="shared" ca="1" si="121"/>
        <v>0</v>
      </c>
      <c r="W319" s="49">
        <f t="shared" ca="1" si="121"/>
        <v>0</v>
      </c>
      <c r="X319" s="49">
        <f t="shared" ca="1" si="121"/>
        <v>0</v>
      </c>
      <c r="Y319" s="49">
        <f t="shared" ca="1" si="121"/>
        <v>0</v>
      </c>
      <c r="Z319" s="49">
        <f t="shared" ca="1" si="121"/>
        <v>0</v>
      </c>
      <c r="AA319" s="49">
        <f t="shared" ca="1" si="121"/>
        <v>0</v>
      </c>
      <c r="AB319" s="49">
        <f t="shared" ca="1" si="121"/>
        <v>0</v>
      </c>
      <c r="AC319" s="49">
        <f t="shared" ca="1" si="121"/>
        <v>0</v>
      </c>
      <c r="AD319" s="49">
        <f t="shared" ca="1" si="121"/>
        <v>0</v>
      </c>
      <c r="AE319" s="49">
        <f t="shared" ca="1" si="121"/>
        <v>0</v>
      </c>
      <c r="AF319" s="49">
        <f t="shared" ca="1" si="121"/>
        <v>0</v>
      </c>
      <c r="AG319" s="49">
        <f t="shared" ca="1" si="121"/>
        <v>0</v>
      </c>
      <c r="AH319" s="49">
        <f t="shared" ca="1" si="121"/>
        <v>0</v>
      </c>
      <c r="AI319" s="49">
        <f t="shared" ca="1" si="121"/>
        <v>0</v>
      </c>
      <c r="AJ319" s="49">
        <f t="shared" ca="1" si="121"/>
        <v>0</v>
      </c>
      <c r="AK319" s="49">
        <f t="shared" ca="1" si="121"/>
        <v>0</v>
      </c>
      <c r="AL319" s="49">
        <f t="shared" ca="1" si="121"/>
        <v>0</v>
      </c>
      <c r="AM319" s="49">
        <f t="shared" ca="1" si="121"/>
        <v>0</v>
      </c>
      <c r="AN319" s="49">
        <f t="shared" ca="1" si="121"/>
        <v>0</v>
      </c>
      <c r="AO319" s="49">
        <f t="shared" ca="1" si="121"/>
        <v>0</v>
      </c>
      <c r="AP319" s="49">
        <f t="shared" ca="1" si="121"/>
        <v>0</v>
      </c>
      <c r="AQ319" s="49">
        <f t="shared" ca="1" si="121"/>
        <v>0</v>
      </c>
      <c r="AR319" s="49">
        <f t="shared" ca="1" si="121"/>
        <v>0</v>
      </c>
      <c r="AS319" s="49">
        <f t="shared" ca="1" si="121"/>
        <v>0</v>
      </c>
      <c r="AT319" s="49">
        <f t="shared" ca="1" si="121"/>
        <v>0</v>
      </c>
      <c r="AU319" s="49">
        <f t="shared" ca="1" si="121"/>
        <v>0</v>
      </c>
      <c r="AV319" s="49">
        <f t="shared" ca="1" si="121"/>
        <v>0</v>
      </c>
      <c r="AW319" s="49">
        <f t="shared" ca="1" si="121"/>
        <v>0</v>
      </c>
      <c r="AX319" s="49">
        <f t="shared" ca="1" si="121"/>
        <v>0</v>
      </c>
      <c r="AY319" s="49">
        <f t="shared" ca="1" si="121"/>
        <v>0</v>
      </c>
      <c r="AZ319" s="49">
        <f t="shared" ca="1" si="121"/>
        <v>0</v>
      </c>
      <c r="BA319" s="49">
        <f t="shared" ca="1" si="121"/>
        <v>0</v>
      </c>
      <c r="BB319" s="49">
        <f t="shared" ca="1" si="121"/>
        <v>0</v>
      </c>
      <c r="BC319" s="49">
        <f t="shared" ca="1" si="121"/>
        <v>0</v>
      </c>
      <c r="BD319" s="49">
        <f t="shared" ca="1" si="121"/>
        <v>0</v>
      </c>
      <c r="BE319" s="49">
        <f t="shared" ca="1" si="121"/>
        <v>0</v>
      </c>
      <c r="BF319" s="49">
        <f t="shared" ca="1" si="121"/>
        <v>0</v>
      </c>
      <c r="BG319" s="49">
        <f t="shared" ca="1" si="121"/>
        <v>0</v>
      </c>
      <c r="BH319" s="49">
        <f t="shared" ca="1" si="121"/>
        <v>0</v>
      </c>
      <c r="BI319" s="49">
        <f t="shared" ca="1" si="121"/>
        <v>0</v>
      </c>
      <c r="BJ319" s="49">
        <f t="shared" ca="1" si="121"/>
        <v>0</v>
      </c>
      <c r="BK319" s="49">
        <f t="shared" ca="1" si="121"/>
        <v>0</v>
      </c>
      <c r="BL319" s="49">
        <f t="shared" ca="1" si="121"/>
        <v>0</v>
      </c>
      <c r="BM319" s="49">
        <f t="shared" ca="1" si="121"/>
        <v>0</v>
      </c>
      <c r="BN319" s="49">
        <f t="shared" ca="1" si="121"/>
        <v>0</v>
      </c>
      <c r="BO319" s="49">
        <f t="shared" ca="1" si="121"/>
        <v>0</v>
      </c>
      <c r="BP319" s="49">
        <f t="shared" ca="1" si="121"/>
        <v>0</v>
      </c>
      <c r="BQ319" s="49">
        <f t="shared" ca="1" si="121"/>
        <v>0</v>
      </c>
      <c r="BR319" s="49">
        <f t="shared" ca="1" si="121"/>
        <v>0</v>
      </c>
      <c r="BS319" s="49">
        <f t="shared" ca="1" si="121"/>
        <v>0</v>
      </c>
    </row>
    <row r="320" spans="3:71" outlineLevel="1" x14ac:dyDescent="0.2">
      <c r="J320" s="26"/>
      <c r="L320" s="55"/>
      <c r="M320" s="55"/>
      <c r="N320" s="55"/>
      <c r="O320" s="55"/>
      <c r="P320" s="55"/>
      <c r="Q320" s="55"/>
      <c r="R320" s="55"/>
      <c r="S320" s="55"/>
      <c r="T320" s="55"/>
      <c r="U320" s="55"/>
      <c r="V320" s="55"/>
      <c r="W320" s="55"/>
      <c r="X320" s="55"/>
      <c r="Y320" s="55"/>
      <c r="Z320" s="55"/>
      <c r="AA320" s="55"/>
      <c r="AB320" s="55"/>
      <c r="AC320" s="55"/>
      <c r="AD320" s="55"/>
      <c r="AE320" s="55"/>
      <c r="AF320" s="55"/>
      <c r="AG320" s="55"/>
      <c r="AH320" s="55"/>
      <c r="AI320" s="55"/>
      <c r="AJ320" s="55"/>
      <c r="AK320" s="55"/>
      <c r="AL320" s="55"/>
      <c r="AM320" s="55"/>
      <c r="AN320" s="55"/>
      <c r="AO320" s="55"/>
      <c r="AP320" s="55"/>
      <c r="AQ320" s="55"/>
      <c r="AR320" s="55"/>
      <c r="AS320" s="55"/>
      <c r="AT320" s="55"/>
      <c r="AU320" s="55"/>
      <c r="AV320" s="55"/>
      <c r="AW320" s="55"/>
      <c r="AX320" s="55"/>
      <c r="AY320" s="55"/>
      <c r="AZ320" s="55"/>
      <c r="BA320" s="55"/>
      <c r="BB320" s="55"/>
      <c r="BC320" s="55"/>
      <c r="BD320" s="55"/>
      <c r="BE320" s="55"/>
      <c r="BF320" s="55"/>
      <c r="BG320" s="55"/>
      <c r="BH320" s="55"/>
      <c r="BI320" s="55"/>
      <c r="BJ320" s="55"/>
      <c r="BK320" s="55"/>
      <c r="BL320" s="55"/>
      <c r="BM320" s="55"/>
      <c r="BN320" s="55"/>
      <c r="BO320" s="55"/>
      <c r="BP320" s="55"/>
      <c r="BQ320" s="55"/>
      <c r="BR320" s="55"/>
      <c r="BS320" s="55"/>
    </row>
    <row r="321" spans="3:71" outlineLevel="1" x14ac:dyDescent="0.2">
      <c r="D321" s="11" t="s">
        <v>222</v>
      </c>
      <c r="I321" s="30">
        <f t="shared" ca="1" si="120"/>
        <v>0</v>
      </c>
      <c r="J321" s="26" t="s">
        <v>148</v>
      </c>
      <c r="K321" s="7" t="s">
        <v>224</v>
      </c>
      <c r="L321" s="49">
        <f ca="1">Marine!SPO_cont_rate*Marine!CA_rev_for_SPO</f>
        <v>0</v>
      </c>
      <c r="M321" s="49">
        <f ca="1">Marine!SPO_cont_rate*Marine!CA_rev_for_SPO</f>
        <v>0</v>
      </c>
      <c r="N321" s="49">
        <f ca="1">Marine!SPO_cont_rate*Marine!CA_rev_for_SPO</f>
        <v>0</v>
      </c>
      <c r="O321" s="49">
        <f ca="1">Marine!SPO_cont_rate*Marine!CA_rev_for_SPO</f>
        <v>0</v>
      </c>
      <c r="P321" s="49">
        <f ca="1">Marine!SPO_cont_rate*Marine!CA_rev_for_SPO</f>
        <v>0</v>
      </c>
      <c r="Q321" s="49">
        <f ca="1">Marine!SPO_cont_rate*Marine!CA_rev_for_SPO</f>
        <v>0</v>
      </c>
      <c r="R321" s="49">
        <f ca="1">Marine!SPO_cont_rate*Marine!CA_rev_for_SPO</f>
        <v>0</v>
      </c>
      <c r="S321" s="49">
        <f ca="1">Marine!SPO_cont_rate*Marine!CA_rev_for_SPO</f>
        <v>0</v>
      </c>
      <c r="T321" s="49">
        <f ca="1">Marine!SPO_cont_rate*Marine!CA_rev_for_SPO</f>
        <v>0</v>
      </c>
      <c r="U321" s="49">
        <f ca="1">Marine!SPO_cont_rate*Marine!CA_rev_for_SPO</f>
        <v>0</v>
      </c>
      <c r="V321" s="49">
        <f ca="1">Marine!SPO_cont_rate*Marine!CA_rev_for_SPO</f>
        <v>0</v>
      </c>
      <c r="W321" s="49">
        <f ca="1">Marine!SPO_cont_rate*Marine!CA_rev_for_SPO</f>
        <v>0</v>
      </c>
      <c r="X321" s="49">
        <f ca="1">Marine!SPO_cont_rate*Marine!CA_rev_for_SPO</f>
        <v>0</v>
      </c>
      <c r="Y321" s="49">
        <f ca="1">Marine!SPO_cont_rate*Marine!CA_rev_for_SPO</f>
        <v>0</v>
      </c>
      <c r="Z321" s="49">
        <f ca="1">Marine!SPO_cont_rate*Marine!CA_rev_for_SPO</f>
        <v>0</v>
      </c>
      <c r="AA321" s="49">
        <f ca="1">Marine!SPO_cont_rate*Marine!CA_rev_for_SPO</f>
        <v>0</v>
      </c>
      <c r="AB321" s="49">
        <f ca="1">Marine!SPO_cont_rate*Marine!CA_rev_for_SPO</f>
        <v>0</v>
      </c>
      <c r="AC321" s="49">
        <f ca="1">Marine!SPO_cont_rate*Marine!CA_rev_for_SPO</f>
        <v>0</v>
      </c>
      <c r="AD321" s="49">
        <f ca="1">Marine!SPO_cont_rate*Marine!CA_rev_for_SPO</f>
        <v>0</v>
      </c>
      <c r="AE321" s="49">
        <f ca="1">Marine!SPO_cont_rate*Marine!CA_rev_for_SPO</f>
        <v>0</v>
      </c>
      <c r="AF321" s="49">
        <f ca="1">Marine!SPO_cont_rate*Marine!CA_rev_for_SPO</f>
        <v>0</v>
      </c>
      <c r="AG321" s="49">
        <f ca="1">Marine!SPO_cont_rate*Marine!CA_rev_for_SPO</f>
        <v>0</v>
      </c>
      <c r="AH321" s="49">
        <f ca="1">Marine!SPO_cont_rate*Marine!CA_rev_for_SPO</f>
        <v>0</v>
      </c>
      <c r="AI321" s="49">
        <f ca="1">Marine!SPO_cont_rate*Marine!CA_rev_for_SPO</f>
        <v>0</v>
      </c>
      <c r="AJ321" s="49">
        <f ca="1">Marine!SPO_cont_rate*Marine!CA_rev_for_SPO</f>
        <v>0</v>
      </c>
      <c r="AK321" s="49">
        <f ca="1">Marine!SPO_cont_rate*Marine!CA_rev_for_SPO</f>
        <v>0</v>
      </c>
      <c r="AL321" s="49">
        <f ca="1">Marine!SPO_cont_rate*Marine!CA_rev_for_SPO</f>
        <v>0</v>
      </c>
      <c r="AM321" s="49">
        <f ca="1">Marine!SPO_cont_rate*Marine!CA_rev_for_SPO</f>
        <v>0</v>
      </c>
      <c r="AN321" s="49">
        <f ca="1">Marine!SPO_cont_rate*Marine!CA_rev_for_SPO</f>
        <v>0</v>
      </c>
      <c r="AO321" s="49">
        <f ca="1">Marine!SPO_cont_rate*Marine!CA_rev_for_SPO</f>
        <v>0</v>
      </c>
      <c r="AP321" s="49">
        <f ca="1">Marine!SPO_cont_rate*Marine!CA_rev_for_SPO</f>
        <v>0</v>
      </c>
      <c r="AQ321" s="49">
        <f ca="1">Marine!SPO_cont_rate*Marine!CA_rev_for_SPO</f>
        <v>0</v>
      </c>
      <c r="AR321" s="49">
        <f ca="1">Marine!SPO_cont_rate*Marine!CA_rev_for_SPO</f>
        <v>0</v>
      </c>
      <c r="AS321" s="49">
        <f ca="1">Marine!SPO_cont_rate*Marine!CA_rev_for_SPO</f>
        <v>0</v>
      </c>
      <c r="AT321" s="49">
        <f ca="1">Marine!SPO_cont_rate*Marine!CA_rev_for_SPO</f>
        <v>0</v>
      </c>
      <c r="AU321" s="49">
        <f ca="1">Marine!SPO_cont_rate*Marine!CA_rev_for_SPO</f>
        <v>0</v>
      </c>
      <c r="AV321" s="49">
        <f ca="1">Marine!SPO_cont_rate*Marine!CA_rev_for_SPO</f>
        <v>0</v>
      </c>
      <c r="AW321" s="49">
        <f ca="1">Marine!SPO_cont_rate*Marine!CA_rev_for_SPO</f>
        <v>0</v>
      </c>
      <c r="AX321" s="49">
        <f ca="1">Marine!SPO_cont_rate*Marine!CA_rev_for_SPO</f>
        <v>0</v>
      </c>
      <c r="AY321" s="49">
        <f ca="1">Marine!SPO_cont_rate*Marine!CA_rev_for_SPO</f>
        <v>0</v>
      </c>
      <c r="AZ321" s="49">
        <f ca="1">Marine!SPO_cont_rate*Marine!CA_rev_for_SPO</f>
        <v>0</v>
      </c>
      <c r="BA321" s="49">
        <f ca="1">Marine!SPO_cont_rate*Marine!CA_rev_for_SPO</f>
        <v>0</v>
      </c>
      <c r="BB321" s="49">
        <f ca="1">Marine!SPO_cont_rate*Marine!CA_rev_for_SPO</f>
        <v>0</v>
      </c>
      <c r="BC321" s="49">
        <f ca="1">Marine!SPO_cont_rate*Marine!CA_rev_for_SPO</f>
        <v>0</v>
      </c>
      <c r="BD321" s="49">
        <f ca="1">Marine!SPO_cont_rate*Marine!CA_rev_for_SPO</f>
        <v>0</v>
      </c>
      <c r="BE321" s="49">
        <f ca="1">Marine!SPO_cont_rate*Marine!CA_rev_for_SPO</f>
        <v>0</v>
      </c>
      <c r="BF321" s="49">
        <f ca="1">Marine!SPO_cont_rate*Marine!CA_rev_for_SPO</f>
        <v>0</v>
      </c>
      <c r="BG321" s="49">
        <f ca="1">Marine!SPO_cont_rate*Marine!CA_rev_for_SPO</f>
        <v>0</v>
      </c>
      <c r="BH321" s="49">
        <f ca="1">Marine!SPO_cont_rate*Marine!CA_rev_for_SPO</f>
        <v>0</v>
      </c>
      <c r="BI321" s="49">
        <f ca="1">Marine!SPO_cont_rate*Marine!CA_rev_for_SPO</f>
        <v>0</v>
      </c>
      <c r="BJ321" s="49">
        <f ca="1">Marine!SPO_cont_rate*Marine!CA_rev_for_SPO</f>
        <v>0</v>
      </c>
      <c r="BK321" s="49">
        <f ca="1">Marine!SPO_cont_rate*Marine!CA_rev_for_SPO</f>
        <v>0</v>
      </c>
      <c r="BL321" s="49">
        <f ca="1">Marine!SPO_cont_rate*Marine!CA_rev_for_SPO</f>
        <v>0</v>
      </c>
      <c r="BM321" s="49">
        <f ca="1">Marine!SPO_cont_rate*Marine!CA_rev_for_SPO</f>
        <v>0</v>
      </c>
      <c r="BN321" s="49">
        <f ca="1">Marine!SPO_cont_rate*Marine!CA_rev_for_SPO</f>
        <v>0</v>
      </c>
      <c r="BO321" s="49">
        <f ca="1">Marine!SPO_cont_rate*Marine!CA_rev_for_SPO</f>
        <v>0</v>
      </c>
      <c r="BP321" s="49">
        <f ca="1">Marine!SPO_cont_rate*Marine!CA_rev_for_SPO</f>
        <v>0</v>
      </c>
      <c r="BQ321" s="49">
        <f ca="1">Marine!SPO_cont_rate*Marine!CA_rev_for_SPO</f>
        <v>0</v>
      </c>
      <c r="BR321" s="49">
        <f ca="1">Marine!SPO_cont_rate*Marine!CA_rev_for_SPO</f>
        <v>0</v>
      </c>
      <c r="BS321" s="49">
        <f ca="1">Marine!SPO_cont_rate*Marine!CA_rev_for_SPO</f>
        <v>0</v>
      </c>
    </row>
    <row r="322" spans="3:71" outlineLevel="1" x14ac:dyDescent="0.2">
      <c r="D322" s="11" t="s">
        <v>223</v>
      </c>
      <c r="I322" s="30">
        <f t="shared" ca="1" si="120"/>
        <v>0</v>
      </c>
      <c r="J322" s="26" t="s">
        <v>148</v>
      </c>
      <c r="K322" s="7" t="s">
        <v>225</v>
      </c>
      <c r="L322" s="49">
        <f ca="1">L319-L321</f>
        <v>0</v>
      </c>
      <c r="M322" s="49">
        <f t="shared" ref="M322:BS322" ca="1" si="122">M319-M321</f>
        <v>0</v>
      </c>
      <c r="N322" s="49">
        <f t="shared" ca="1" si="122"/>
        <v>0</v>
      </c>
      <c r="O322" s="49">
        <f t="shared" ca="1" si="122"/>
        <v>0</v>
      </c>
      <c r="P322" s="49">
        <f t="shared" ca="1" si="122"/>
        <v>0</v>
      </c>
      <c r="Q322" s="49">
        <f t="shared" ca="1" si="122"/>
        <v>0</v>
      </c>
      <c r="R322" s="49">
        <f t="shared" ca="1" si="122"/>
        <v>0</v>
      </c>
      <c r="S322" s="49">
        <f t="shared" ca="1" si="122"/>
        <v>0</v>
      </c>
      <c r="T322" s="49">
        <f t="shared" ca="1" si="122"/>
        <v>0</v>
      </c>
      <c r="U322" s="49">
        <f t="shared" ca="1" si="122"/>
        <v>0</v>
      </c>
      <c r="V322" s="49">
        <f t="shared" ca="1" si="122"/>
        <v>0</v>
      </c>
      <c r="W322" s="49">
        <f t="shared" ca="1" si="122"/>
        <v>0</v>
      </c>
      <c r="X322" s="49">
        <f t="shared" ca="1" si="122"/>
        <v>0</v>
      </c>
      <c r="Y322" s="49">
        <f t="shared" ca="1" si="122"/>
        <v>0</v>
      </c>
      <c r="Z322" s="49">
        <f t="shared" ca="1" si="122"/>
        <v>0</v>
      </c>
      <c r="AA322" s="49">
        <f t="shared" ca="1" si="122"/>
        <v>0</v>
      </c>
      <c r="AB322" s="49">
        <f t="shared" ca="1" si="122"/>
        <v>0</v>
      </c>
      <c r="AC322" s="49">
        <f t="shared" ca="1" si="122"/>
        <v>0</v>
      </c>
      <c r="AD322" s="49">
        <f t="shared" ca="1" si="122"/>
        <v>0</v>
      </c>
      <c r="AE322" s="49">
        <f t="shared" ca="1" si="122"/>
        <v>0</v>
      </c>
      <c r="AF322" s="49">
        <f t="shared" ca="1" si="122"/>
        <v>0</v>
      </c>
      <c r="AG322" s="49">
        <f t="shared" ca="1" si="122"/>
        <v>0</v>
      </c>
      <c r="AH322" s="49">
        <f t="shared" ca="1" si="122"/>
        <v>0</v>
      </c>
      <c r="AI322" s="49">
        <f t="shared" ca="1" si="122"/>
        <v>0</v>
      </c>
      <c r="AJ322" s="49">
        <f t="shared" ca="1" si="122"/>
        <v>0</v>
      </c>
      <c r="AK322" s="49">
        <f t="shared" ca="1" si="122"/>
        <v>0</v>
      </c>
      <c r="AL322" s="49">
        <f t="shared" ca="1" si="122"/>
        <v>0</v>
      </c>
      <c r="AM322" s="49">
        <f t="shared" ca="1" si="122"/>
        <v>0</v>
      </c>
      <c r="AN322" s="49">
        <f t="shared" ca="1" si="122"/>
        <v>0</v>
      </c>
      <c r="AO322" s="49">
        <f t="shared" ca="1" si="122"/>
        <v>0</v>
      </c>
      <c r="AP322" s="49">
        <f t="shared" ca="1" si="122"/>
        <v>0</v>
      </c>
      <c r="AQ322" s="49">
        <f t="shared" ca="1" si="122"/>
        <v>0</v>
      </c>
      <c r="AR322" s="49">
        <f t="shared" ca="1" si="122"/>
        <v>0</v>
      </c>
      <c r="AS322" s="49">
        <f t="shared" ca="1" si="122"/>
        <v>0</v>
      </c>
      <c r="AT322" s="49">
        <f t="shared" ca="1" si="122"/>
        <v>0</v>
      </c>
      <c r="AU322" s="49">
        <f t="shared" ca="1" si="122"/>
        <v>0</v>
      </c>
      <c r="AV322" s="49">
        <f t="shared" ca="1" si="122"/>
        <v>0</v>
      </c>
      <c r="AW322" s="49">
        <f t="shared" ca="1" si="122"/>
        <v>0</v>
      </c>
      <c r="AX322" s="49">
        <f t="shared" ca="1" si="122"/>
        <v>0</v>
      </c>
      <c r="AY322" s="49">
        <f t="shared" ca="1" si="122"/>
        <v>0</v>
      </c>
      <c r="AZ322" s="49">
        <f t="shared" ca="1" si="122"/>
        <v>0</v>
      </c>
      <c r="BA322" s="49">
        <f t="shared" ca="1" si="122"/>
        <v>0</v>
      </c>
      <c r="BB322" s="49">
        <f t="shared" ca="1" si="122"/>
        <v>0</v>
      </c>
      <c r="BC322" s="49">
        <f t="shared" ca="1" si="122"/>
        <v>0</v>
      </c>
      <c r="BD322" s="49">
        <f t="shared" ca="1" si="122"/>
        <v>0</v>
      </c>
      <c r="BE322" s="49">
        <f t="shared" ca="1" si="122"/>
        <v>0</v>
      </c>
      <c r="BF322" s="49">
        <f t="shared" ca="1" si="122"/>
        <v>0</v>
      </c>
      <c r="BG322" s="49">
        <f t="shared" ca="1" si="122"/>
        <v>0</v>
      </c>
      <c r="BH322" s="49">
        <f t="shared" ca="1" si="122"/>
        <v>0</v>
      </c>
      <c r="BI322" s="49">
        <f t="shared" ca="1" si="122"/>
        <v>0</v>
      </c>
      <c r="BJ322" s="49">
        <f t="shared" ca="1" si="122"/>
        <v>0</v>
      </c>
      <c r="BK322" s="49">
        <f t="shared" ca="1" si="122"/>
        <v>0</v>
      </c>
      <c r="BL322" s="49">
        <f t="shared" ca="1" si="122"/>
        <v>0</v>
      </c>
      <c r="BM322" s="49">
        <f t="shared" ca="1" si="122"/>
        <v>0</v>
      </c>
      <c r="BN322" s="49">
        <f t="shared" ca="1" si="122"/>
        <v>0</v>
      </c>
      <c r="BO322" s="49">
        <f t="shared" ca="1" si="122"/>
        <v>0</v>
      </c>
      <c r="BP322" s="49">
        <f t="shared" ca="1" si="122"/>
        <v>0</v>
      </c>
      <c r="BQ322" s="49">
        <f t="shared" ca="1" si="122"/>
        <v>0</v>
      </c>
      <c r="BR322" s="49">
        <f t="shared" ca="1" si="122"/>
        <v>0</v>
      </c>
      <c r="BS322" s="49">
        <f t="shared" ca="1" si="122"/>
        <v>0</v>
      </c>
    </row>
    <row r="323" spans="3:71" outlineLevel="1" x14ac:dyDescent="0.2">
      <c r="J323" s="26"/>
      <c r="L323" s="55"/>
      <c r="M323" s="55"/>
      <c r="N323" s="55"/>
      <c r="O323" s="55"/>
      <c r="P323" s="55"/>
      <c r="Q323" s="55"/>
      <c r="R323" s="55"/>
      <c r="S323" s="55"/>
      <c r="T323" s="55"/>
      <c r="U323" s="55"/>
      <c r="V323" s="55"/>
      <c r="W323" s="55"/>
      <c r="X323" s="55"/>
      <c r="Y323" s="55"/>
      <c r="Z323" s="55"/>
      <c r="AA323" s="55"/>
      <c r="AB323" s="55"/>
      <c r="AC323" s="55"/>
      <c r="AD323" s="55"/>
      <c r="AE323" s="55"/>
      <c r="AF323" s="55"/>
      <c r="AG323" s="55"/>
      <c r="AH323" s="55"/>
      <c r="AI323" s="55"/>
      <c r="AJ323" s="55"/>
      <c r="AK323" s="55"/>
      <c r="AL323" s="55"/>
      <c r="AM323" s="55"/>
      <c r="AN323" s="55"/>
      <c r="AO323" s="55"/>
      <c r="AP323" s="55"/>
      <c r="AQ323" s="55"/>
      <c r="AR323" s="55"/>
      <c r="AS323" s="55"/>
      <c r="AT323" s="55"/>
      <c r="AU323" s="55"/>
      <c r="AV323" s="55"/>
      <c r="AW323" s="55"/>
      <c r="AX323" s="55"/>
      <c r="AY323" s="55"/>
      <c r="AZ323" s="55"/>
      <c r="BA323" s="55"/>
      <c r="BB323" s="55"/>
      <c r="BC323" s="55"/>
      <c r="BD323" s="55"/>
      <c r="BE323" s="55"/>
      <c r="BF323" s="55"/>
      <c r="BG323" s="55"/>
      <c r="BH323" s="55"/>
      <c r="BI323" s="55"/>
      <c r="BJ323" s="55"/>
      <c r="BK323" s="55"/>
      <c r="BL323" s="55"/>
      <c r="BM323" s="55"/>
      <c r="BN323" s="55"/>
      <c r="BO323" s="55"/>
      <c r="BP323" s="55"/>
      <c r="BQ323" s="55"/>
      <c r="BR323" s="55"/>
      <c r="BS323" s="55"/>
    </row>
    <row r="324" spans="3:71" outlineLevel="1" x14ac:dyDescent="0.2">
      <c r="J324" s="26"/>
      <c r="L324" s="55"/>
      <c r="M324" s="55"/>
      <c r="N324" s="55"/>
      <c r="O324" s="55"/>
      <c r="P324" s="55"/>
      <c r="Q324" s="55"/>
      <c r="R324" s="55"/>
      <c r="S324" s="55"/>
      <c r="T324" s="55"/>
      <c r="U324" s="55"/>
      <c r="V324" s="55"/>
      <c r="W324" s="55"/>
      <c r="X324" s="55"/>
      <c r="Y324" s="55"/>
      <c r="Z324" s="55"/>
      <c r="AA324" s="55"/>
      <c r="AB324" s="55"/>
      <c r="AC324" s="55"/>
      <c r="AD324" s="55"/>
      <c r="AE324" s="55"/>
      <c r="AF324" s="55"/>
      <c r="AG324" s="55"/>
      <c r="AH324" s="55"/>
      <c r="AI324" s="55"/>
      <c r="AJ324" s="55"/>
      <c r="AK324" s="55"/>
      <c r="AL324" s="55"/>
      <c r="AM324" s="55"/>
      <c r="AN324" s="55"/>
      <c r="AO324" s="55"/>
      <c r="AP324" s="55"/>
      <c r="AQ324" s="55"/>
      <c r="AR324" s="55"/>
      <c r="AS324" s="55"/>
      <c r="AT324" s="55"/>
      <c r="AU324" s="55"/>
      <c r="AV324" s="55"/>
      <c r="AW324" s="55"/>
      <c r="AX324" s="55"/>
      <c r="AY324" s="55"/>
      <c r="AZ324" s="55"/>
      <c r="BA324" s="55"/>
      <c r="BB324" s="55"/>
      <c r="BC324" s="55"/>
      <c r="BD324" s="55"/>
      <c r="BE324" s="55"/>
      <c r="BF324" s="55"/>
      <c r="BG324" s="55"/>
      <c r="BH324" s="55"/>
      <c r="BI324" s="55"/>
      <c r="BJ324" s="55"/>
      <c r="BK324" s="55"/>
      <c r="BL324" s="55"/>
      <c r="BM324" s="55"/>
      <c r="BN324" s="55"/>
      <c r="BO324" s="55"/>
      <c r="BP324" s="55"/>
      <c r="BQ324" s="55"/>
      <c r="BR324" s="55"/>
      <c r="BS324" s="55"/>
    </row>
    <row r="325" spans="3:71" outlineLevel="1" x14ac:dyDescent="0.2">
      <c r="C325" s="11" t="s">
        <v>227</v>
      </c>
      <c r="J325" s="26"/>
      <c r="L325" s="55"/>
      <c r="M325" s="55"/>
      <c r="N325" s="55"/>
      <c r="O325" s="55"/>
      <c r="P325" s="55"/>
      <c r="Q325" s="55"/>
      <c r="R325" s="55"/>
      <c r="S325" s="55"/>
      <c r="T325" s="55"/>
      <c r="U325" s="55"/>
      <c r="V325" s="55"/>
      <c r="W325" s="55"/>
      <c r="X325" s="55"/>
      <c r="Y325" s="55"/>
      <c r="Z325" s="55"/>
      <c r="AA325" s="55"/>
      <c r="AB325" s="55"/>
      <c r="AC325" s="55"/>
      <c r="AD325" s="55"/>
      <c r="AE325" s="55"/>
      <c r="AF325" s="55"/>
      <c r="AG325" s="55"/>
      <c r="AH325" s="55"/>
      <c r="AI325" s="55"/>
      <c r="AJ325" s="55"/>
      <c r="AK325" s="55"/>
      <c r="AL325" s="55"/>
      <c r="AM325" s="55"/>
      <c r="AN325" s="55"/>
      <c r="AO325" s="55"/>
      <c r="AP325" s="55"/>
      <c r="AQ325" s="55"/>
      <c r="AR325" s="55"/>
      <c r="AS325" s="55"/>
      <c r="AT325" s="55"/>
      <c r="AU325" s="55"/>
      <c r="AV325" s="55"/>
      <c r="AW325" s="55"/>
      <c r="AX325" s="55"/>
      <c r="AY325" s="55"/>
      <c r="AZ325" s="55"/>
      <c r="BA325" s="55"/>
      <c r="BB325" s="55"/>
      <c r="BC325" s="55"/>
      <c r="BD325" s="55"/>
      <c r="BE325" s="55"/>
      <c r="BF325" s="55"/>
      <c r="BG325" s="55"/>
      <c r="BH325" s="55"/>
      <c r="BI325" s="55"/>
      <c r="BJ325" s="55"/>
      <c r="BK325" s="55"/>
      <c r="BL325" s="55"/>
      <c r="BM325" s="55"/>
      <c r="BN325" s="55"/>
      <c r="BO325" s="55"/>
      <c r="BP325" s="55"/>
      <c r="BQ325" s="55"/>
      <c r="BR325" s="55"/>
      <c r="BS325" s="55"/>
    </row>
    <row r="326" spans="3:71" outlineLevel="1" x14ac:dyDescent="0.2">
      <c r="J326" s="26"/>
      <c r="L326" s="55"/>
      <c r="M326" s="55"/>
      <c r="N326" s="55"/>
      <c r="O326" s="55"/>
      <c r="P326" s="55"/>
      <c r="Q326" s="55"/>
      <c r="R326" s="55"/>
      <c r="S326" s="55"/>
      <c r="T326" s="55"/>
      <c r="U326" s="55"/>
      <c r="V326" s="55"/>
      <c r="W326" s="55"/>
      <c r="X326" s="55"/>
      <c r="Y326" s="55"/>
      <c r="Z326" s="55"/>
      <c r="AA326" s="55"/>
      <c r="AB326" s="55"/>
      <c r="AC326" s="55"/>
      <c r="AD326" s="55"/>
      <c r="AE326" s="55"/>
      <c r="AF326" s="55"/>
      <c r="AG326" s="55"/>
      <c r="AH326" s="55"/>
      <c r="AI326" s="55"/>
      <c r="AJ326" s="55"/>
      <c r="AK326" s="55"/>
      <c r="AL326" s="55"/>
      <c r="AM326" s="55"/>
      <c r="AN326" s="55"/>
      <c r="AO326" s="55"/>
      <c r="AP326" s="55"/>
      <c r="AQ326" s="55"/>
      <c r="AR326" s="55"/>
      <c r="AS326" s="55"/>
      <c r="AT326" s="55"/>
      <c r="AU326" s="55"/>
      <c r="AV326" s="55"/>
      <c r="AW326" s="55"/>
      <c r="AX326" s="55"/>
      <c r="AY326" s="55"/>
      <c r="AZ326" s="55"/>
      <c r="BA326" s="55"/>
      <c r="BB326" s="55"/>
      <c r="BC326" s="55"/>
      <c r="BD326" s="55"/>
      <c r="BE326" s="55"/>
      <c r="BF326" s="55"/>
      <c r="BG326" s="55"/>
      <c r="BH326" s="55"/>
      <c r="BI326" s="55"/>
      <c r="BJ326" s="55"/>
      <c r="BK326" s="55"/>
      <c r="BL326" s="55"/>
      <c r="BM326" s="55"/>
      <c r="BN326" s="55"/>
      <c r="BO326" s="55"/>
      <c r="BP326" s="55"/>
      <c r="BQ326" s="55"/>
      <c r="BR326" s="55"/>
      <c r="BS326" s="55"/>
    </row>
    <row r="327" spans="3:71" outlineLevel="1" x14ac:dyDescent="0.2">
      <c r="D327" s="11" t="s">
        <v>226</v>
      </c>
      <c r="J327" s="26"/>
      <c r="L327" s="55"/>
      <c r="M327" s="55"/>
      <c r="N327" s="55"/>
      <c r="O327" s="55"/>
      <c r="P327" s="55"/>
      <c r="Q327" s="55"/>
      <c r="R327" s="55"/>
      <c r="S327" s="55"/>
      <c r="T327" s="55"/>
      <c r="U327" s="55"/>
      <c r="V327" s="55"/>
      <c r="W327" s="55"/>
      <c r="X327" s="55"/>
      <c r="Y327" s="55"/>
      <c r="Z327" s="55"/>
      <c r="AA327" s="55"/>
      <c r="AB327" s="55"/>
      <c r="AC327" s="55"/>
      <c r="AD327" s="55"/>
      <c r="AE327" s="55"/>
      <c r="AF327" s="55"/>
      <c r="AG327" s="55"/>
      <c r="AH327" s="55"/>
      <c r="AI327" s="55"/>
      <c r="AJ327" s="55"/>
      <c r="AK327" s="55"/>
      <c r="AL327" s="55"/>
      <c r="AM327" s="55"/>
      <c r="AN327" s="55"/>
      <c r="AO327" s="55"/>
      <c r="AP327" s="55"/>
      <c r="AQ327" s="55"/>
      <c r="AR327" s="55"/>
      <c r="AS327" s="55"/>
      <c r="AT327" s="55"/>
      <c r="AU327" s="55"/>
      <c r="AV327" s="55"/>
      <c r="AW327" s="55"/>
      <c r="AX327" s="55"/>
      <c r="AY327" s="55"/>
      <c r="AZ327" s="55"/>
      <c r="BA327" s="55"/>
      <c r="BB327" s="55"/>
      <c r="BC327" s="55"/>
      <c r="BD327" s="55"/>
      <c r="BE327" s="55"/>
      <c r="BF327" s="55"/>
      <c r="BG327" s="55"/>
      <c r="BH327" s="55"/>
      <c r="BI327" s="55"/>
      <c r="BJ327" s="55"/>
      <c r="BK327" s="55"/>
      <c r="BL327" s="55"/>
      <c r="BM327" s="55"/>
      <c r="BN327" s="55"/>
      <c r="BO327" s="55"/>
      <c r="BP327" s="55"/>
      <c r="BQ327" s="55"/>
      <c r="BR327" s="55"/>
      <c r="BS327" s="55"/>
    </row>
    <row r="328" spans="3:71" outlineLevel="1" x14ac:dyDescent="0.2">
      <c r="D328" s="50" t="s">
        <v>233</v>
      </c>
      <c r="I328" s="30">
        <f t="shared" ref="I328:I331" ca="1" si="123">SUM($L328:$BS328)</f>
        <v>693.91849664474023</v>
      </c>
      <c r="J328" s="26" t="s">
        <v>148</v>
      </c>
      <c r="L328" s="49">
        <f ca="1">MAX(Marine!CA_gross_rev_oil_fp-Marine!CA_roy_oil_fp-(CA_cost_recovered_oil)-(CA_excess_cost_recovery_oil)-Marine!CA_rev_for_SPO,0)</f>
        <v>0</v>
      </c>
      <c r="M328" s="49">
        <f ca="1">MAX(Marine!CA_gross_rev_oil_fp-Marine!CA_roy_oil_fp-(CA_cost_recovered_oil)-(CA_excess_cost_recovery_oil)-Marine!CA_rev_for_SPO,0)</f>
        <v>3.6373733305303718E-2</v>
      </c>
      <c r="N328" s="49">
        <f ca="1">MAX(Marine!CA_gross_rev_oil_fp-Marine!CA_roy_oil_fp-(CA_cost_recovered_oil)-(CA_excess_cost_recovery_oil)-Marine!CA_rev_for_SPO,0)</f>
        <v>12.532610898459112</v>
      </c>
      <c r="O328" s="49">
        <f ca="1">MAX(Marine!CA_gross_rev_oil_fp-Marine!CA_roy_oil_fp-(CA_cost_recovered_oil)-(CA_excess_cost_recovery_oil)-Marine!CA_rev_for_SPO,0)</f>
        <v>19.391192757377596</v>
      </c>
      <c r="P328" s="49">
        <f ca="1">MAX(Marine!CA_gross_rev_oil_fp-Marine!CA_roy_oil_fp-(CA_cost_recovered_oil)-(CA_excess_cost_recovery_oil)-Marine!CA_rev_for_SPO,0)</f>
        <v>44.811101842772445</v>
      </c>
      <c r="Q328" s="49">
        <f ca="1">MAX(Marine!CA_gross_rev_oil_fp-Marine!CA_roy_oil_fp-(CA_cost_recovered_oil)-(CA_excess_cost_recovery_oil)-Marine!CA_rev_for_SPO,0)</f>
        <v>99.693493803981937</v>
      </c>
      <c r="R328" s="49">
        <f ca="1">MAX(Marine!CA_gross_rev_oil_fp-Marine!CA_roy_oil_fp-(CA_cost_recovered_oil)-(CA_excess_cost_recovery_oil)-Marine!CA_rev_for_SPO,0)</f>
        <v>92.651620269685338</v>
      </c>
      <c r="S328" s="49">
        <f ca="1">MAX(Marine!CA_gross_rev_oil_fp-Marine!CA_roy_oil_fp-(CA_cost_recovered_oil)-(CA_excess_cost_recovery_oil)-Marine!CA_rev_for_SPO,0)</f>
        <v>52.548719037500007</v>
      </c>
      <c r="T328" s="49">
        <f ca="1">MAX(Marine!CA_gross_rev_oil_fp-Marine!CA_roy_oil_fp-(CA_cost_recovered_oil)-(CA_excess_cost_recovery_oil)-Marine!CA_rev_for_SPO,0)</f>
        <v>79.277843080799983</v>
      </c>
      <c r="U328" s="49">
        <f ca="1">MAX(Marine!CA_gross_rev_oil_fp-Marine!CA_roy_oil_fp-(CA_cost_recovered_oil)-(CA_excess_cost_recovery_oil)-Marine!CA_rev_for_SPO,0)</f>
        <v>79.139115436499992</v>
      </c>
      <c r="V328" s="49">
        <f ca="1">MAX(Marine!CA_gross_rev_oil_fp-Marine!CA_roy_oil_fp-(CA_cost_recovered_oil)-(CA_excess_cost_recovery_oil)-Marine!CA_rev_for_SPO,0)</f>
        <v>75.071364903063909</v>
      </c>
      <c r="W328" s="49">
        <f ca="1">MAX(Marine!CA_gross_rev_oil_fp-Marine!CA_roy_oil_fp-(CA_cost_recovered_oil)-(CA_excess_cost_recovery_oil)-Marine!CA_rev_for_SPO,0)</f>
        <v>71.212696747046436</v>
      </c>
      <c r="X328" s="49">
        <f ca="1">MAX(Marine!CA_gross_rev_oil_fp-Marine!CA_roy_oil_fp-(CA_cost_recovered_oil)-(CA_excess_cost_recovery_oil)-Marine!CA_rev_for_SPO,0)</f>
        <v>67.552364134248251</v>
      </c>
      <c r="Y328" s="49">
        <f ca="1">MAX(Marine!CA_gross_rev_oil_fp-Marine!CA_roy_oil_fp-(CA_cost_recovered_oil)-(CA_excess_cost_recovery_oil)-Marine!CA_rev_for_SPO,0)</f>
        <v>0</v>
      </c>
      <c r="Z328" s="49">
        <f ca="1">MAX(Marine!CA_gross_rev_oil_fp-Marine!CA_roy_oil_fp-(CA_cost_recovered_oil)-(CA_excess_cost_recovery_oil)-Marine!CA_rev_for_SPO,0)</f>
        <v>0</v>
      </c>
      <c r="AA328" s="49">
        <f ca="1">MAX(Marine!CA_gross_rev_oil_fp-Marine!CA_roy_oil_fp-(CA_cost_recovered_oil)-(CA_excess_cost_recovery_oil)-Marine!CA_rev_for_SPO,0)</f>
        <v>0</v>
      </c>
      <c r="AB328" s="49">
        <f ca="1">MAX(Marine!CA_gross_rev_oil_fp-Marine!CA_roy_oil_fp-(CA_cost_recovered_oil)-(CA_excess_cost_recovery_oil)-Marine!CA_rev_for_SPO,0)</f>
        <v>0</v>
      </c>
      <c r="AC328" s="49">
        <f ca="1">MAX(Marine!CA_gross_rev_oil_fp-Marine!CA_roy_oil_fp-(CA_cost_recovered_oil)-(CA_excess_cost_recovery_oil)-Marine!CA_rev_for_SPO,0)</f>
        <v>0</v>
      </c>
      <c r="AD328" s="49">
        <f ca="1">MAX(Marine!CA_gross_rev_oil_fp-Marine!CA_roy_oil_fp-(CA_cost_recovered_oil)-(CA_excess_cost_recovery_oil)-Marine!CA_rev_for_SPO,0)</f>
        <v>0</v>
      </c>
      <c r="AE328" s="49">
        <f ca="1">MAX(Marine!CA_gross_rev_oil_fp-Marine!CA_roy_oil_fp-(CA_cost_recovered_oil)-(CA_excess_cost_recovery_oil)-Marine!CA_rev_for_SPO,0)</f>
        <v>0</v>
      </c>
      <c r="AF328" s="49">
        <f ca="1">MAX(Marine!CA_gross_rev_oil_fp-Marine!CA_roy_oil_fp-(CA_cost_recovered_oil)-(CA_excess_cost_recovery_oil)-Marine!CA_rev_for_SPO,0)</f>
        <v>0</v>
      </c>
      <c r="AG328" s="49">
        <f ca="1">MAX(Marine!CA_gross_rev_oil_fp-Marine!CA_roy_oil_fp-(CA_cost_recovered_oil)-(CA_excess_cost_recovery_oil)-Marine!CA_rev_for_SPO,0)</f>
        <v>0</v>
      </c>
      <c r="AH328" s="49">
        <f ca="1">MAX(Marine!CA_gross_rev_oil_fp-Marine!CA_roy_oil_fp-(CA_cost_recovered_oil)-(CA_excess_cost_recovery_oil)-Marine!CA_rev_for_SPO,0)</f>
        <v>0</v>
      </c>
      <c r="AI328" s="49">
        <f ca="1">MAX(Marine!CA_gross_rev_oil_fp-Marine!CA_roy_oil_fp-(CA_cost_recovered_oil)-(CA_excess_cost_recovery_oil)-Marine!CA_rev_for_SPO,0)</f>
        <v>0</v>
      </c>
      <c r="AJ328" s="49">
        <f ca="1">MAX(Marine!CA_gross_rev_oil_fp-Marine!CA_roy_oil_fp-(CA_cost_recovered_oil)-(CA_excess_cost_recovery_oil)-Marine!CA_rev_for_SPO,0)</f>
        <v>0</v>
      </c>
      <c r="AK328" s="49">
        <f ca="1">MAX(Marine!CA_gross_rev_oil_fp-Marine!CA_roy_oil_fp-(CA_cost_recovered_oil)-(CA_excess_cost_recovery_oil)-Marine!CA_rev_for_SPO,0)</f>
        <v>0</v>
      </c>
      <c r="AL328" s="49">
        <f ca="1">MAX(Marine!CA_gross_rev_oil_fp-Marine!CA_roy_oil_fp-(CA_cost_recovered_oil)-(CA_excess_cost_recovery_oil)-Marine!CA_rev_for_SPO,0)</f>
        <v>0</v>
      </c>
      <c r="AM328" s="49">
        <f ca="1">MAX(Marine!CA_gross_rev_oil_fp-Marine!CA_roy_oil_fp-(CA_cost_recovered_oil)-(CA_excess_cost_recovery_oil)-Marine!CA_rev_for_SPO,0)</f>
        <v>0</v>
      </c>
      <c r="AN328" s="49">
        <f ca="1">MAX(Marine!CA_gross_rev_oil_fp-Marine!CA_roy_oil_fp-(CA_cost_recovered_oil)-(CA_excess_cost_recovery_oil)-Marine!CA_rev_for_SPO,0)</f>
        <v>0</v>
      </c>
      <c r="AO328" s="49">
        <f ca="1">MAX(Marine!CA_gross_rev_oil_fp-Marine!CA_roy_oil_fp-(CA_cost_recovered_oil)-(CA_excess_cost_recovery_oil)-Marine!CA_rev_for_SPO,0)</f>
        <v>0</v>
      </c>
      <c r="AP328" s="49">
        <f ca="1">MAX(Marine!CA_gross_rev_oil_fp-Marine!CA_roy_oil_fp-(CA_cost_recovered_oil)-(CA_excess_cost_recovery_oil)-Marine!CA_rev_for_SPO,0)</f>
        <v>0</v>
      </c>
      <c r="AQ328" s="49">
        <f ca="1">MAX(Marine!CA_gross_rev_oil_fp-Marine!CA_roy_oil_fp-(CA_cost_recovered_oil)-(CA_excess_cost_recovery_oil)-Marine!CA_rev_for_SPO,0)</f>
        <v>0</v>
      </c>
      <c r="AR328" s="49">
        <f ca="1">MAX(Marine!CA_gross_rev_oil_fp-Marine!CA_roy_oil_fp-(CA_cost_recovered_oil)-(CA_excess_cost_recovery_oil)-Marine!CA_rev_for_SPO,0)</f>
        <v>0</v>
      </c>
      <c r="AS328" s="49">
        <f ca="1">MAX(Marine!CA_gross_rev_oil_fp-Marine!CA_roy_oil_fp-(CA_cost_recovered_oil)-(CA_excess_cost_recovery_oil)-Marine!CA_rev_for_SPO,0)</f>
        <v>0</v>
      </c>
      <c r="AT328" s="49">
        <f ca="1">MAX(Marine!CA_gross_rev_oil_fp-Marine!CA_roy_oil_fp-(CA_cost_recovered_oil)-(CA_excess_cost_recovery_oil)-Marine!CA_rev_for_SPO,0)</f>
        <v>0</v>
      </c>
      <c r="AU328" s="49">
        <f ca="1">MAX(Marine!CA_gross_rev_oil_fp-Marine!CA_roy_oil_fp-(CA_cost_recovered_oil)-(CA_excess_cost_recovery_oil)-Marine!CA_rev_for_SPO,0)</f>
        <v>0</v>
      </c>
      <c r="AV328" s="49">
        <f ca="1">MAX(Marine!CA_gross_rev_oil_fp-Marine!CA_roy_oil_fp-(CA_cost_recovered_oil)-(CA_excess_cost_recovery_oil)-Marine!CA_rev_for_SPO,0)</f>
        <v>0</v>
      </c>
      <c r="AW328" s="49">
        <f ca="1">MAX(Marine!CA_gross_rev_oil_fp-Marine!CA_roy_oil_fp-(CA_cost_recovered_oil)-(CA_excess_cost_recovery_oil)-Marine!CA_rev_for_SPO,0)</f>
        <v>0</v>
      </c>
      <c r="AX328" s="49">
        <f ca="1">MAX(Marine!CA_gross_rev_oil_fp-Marine!CA_roy_oil_fp-(CA_cost_recovered_oil)-(CA_excess_cost_recovery_oil)-Marine!CA_rev_for_SPO,0)</f>
        <v>0</v>
      </c>
      <c r="AY328" s="49">
        <f ca="1">MAX(Marine!CA_gross_rev_oil_fp-Marine!CA_roy_oil_fp-(CA_cost_recovered_oil)-(CA_excess_cost_recovery_oil)-Marine!CA_rev_for_SPO,0)</f>
        <v>0</v>
      </c>
      <c r="AZ328" s="49">
        <f ca="1">MAX(Marine!CA_gross_rev_oil_fp-Marine!CA_roy_oil_fp-(CA_cost_recovered_oil)-(CA_excess_cost_recovery_oil)-Marine!CA_rev_for_SPO,0)</f>
        <v>0</v>
      </c>
      <c r="BA328" s="49">
        <f ca="1">MAX(Marine!CA_gross_rev_oil_fp-Marine!CA_roy_oil_fp-(CA_cost_recovered_oil)-(CA_excess_cost_recovery_oil)-Marine!CA_rev_for_SPO,0)</f>
        <v>0</v>
      </c>
      <c r="BB328" s="49">
        <f ca="1">MAX(Marine!CA_gross_rev_oil_fp-Marine!CA_roy_oil_fp-(CA_cost_recovered_oil)-(CA_excess_cost_recovery_oil)-Marine!CA_rev_for_SPO,0)</f>
        <v>0</v>
      </c>
      <c r="BC328" s="49">
        <f ca="1">MAX(Marine!CA_gross_rev_oil_fp-Marine!CA_roy_oil_fp-(CA_cost_recovered_oil)-(CA_excess_cost_recovery_oil)-Marine!CA_rev_for_SPO,0)</f>
        <v>0</v>
      </c>
      <c r="BD328" s="49">
        <f ca="1">MAX(Marine!CA_gross_rev_oil_fp-Marine!CA_roy_oil_fp-(CA_cost_recovered_oil)-(CA_excess_cost_recovery_oil)-Marine!CA_rev_for_SPO,0)</f>
        <v>0</v>
      </c>
      <c r="BE328" s="49">
        <f ca="1">MAX(Marine!CA_gross_rev_oil_fp-Marine!CA_roy_oil_fp-(CA_cost_recovered_oil)-(CA_excess_cost_recovery_oil)-Marine!CA_rev_for_SPO,0)</f>
        <v>0</v>
      </c>
      <c r="BF328" s="49">
        <f ca="1">MAX(Marine!CA_gross_rev_oil_fp-Marine!CA_roy_oil_fp-(CA_cost_recovered_oil)-(CA_excess_cost_recovery_oil)-Marine!CA_rev_for_SPO,0)</f>
        <v>0</v>
      </c>
      <c r="BG328" s="49">
        <f ca="1">MAX(Marine!CA_gross_rev_oil_fp-Marine!CA_roy_oil_fp-(CA_cost_recovered_oil)-(CA_excess_cost_recovery_oil)-Marine!CA_rev_for_SPO,0)</f>
        <v>0</v>
      </c>
      <c r="BH328" s="49">
        <f ca="1">MAX(Marine!CA_gross_rev_oil_fp-Marine!CA_roy_oil_fp-(CA_cost_recovered_oil)-(CA_excess_cost_recovery_oil)-Marine!CA_rev_for_SPO,0)</f>
        <v>0</v>
      </c>
      <c r="BI328" s="49">
        <f ca="1">MAX(Marine!CA_gross_rev_oil_fp-Marine!CA_roy_oil_fp-(CA_cost_recovered_oil)-(CA_excess_cost_recovery_oil)-Marine!CA_rev_for_SPO,0)</f>
        <v>0</v>
      </c>
      <c r="BJ328" s="49">
        <f ca="1">MAX(Marine!CA_gross_rev_oil_fp-Marine!CA_roy_oil_fp-(CA_cost_recovered_oil)-(CA_excess_cost_recovery_oil)-Marine!CA_rev_for_SPO,0)</f>
        <v>0</v>
      </c>
      <c r="BK328" s="49">
        <f ca="1">MAX(Marine!CA_gross_rev_oil_fp-Marine!CA_roy_oil_fp-(CA_cost_recovered_oil)-(CA_excess_cost_recovery_oil)-Marine!CA_rev_for_SPO,0)</f>
        <v>0</v>
      </c>
      <c r="BL328" s="49">
        <f ca="1">MAX(Marine!CA_gross_rev_oil_fp-Marine!CA_roy_oil_fp-(CA_cost_recovered_oil)-(CA_excess_cost_recovery_oil)-Marine!CA_rev_for_SPO,0)</f>
        <v>0</v>
      </c>
      <c r="BM328" s="49">
        <f ca="1">MAX(Marine!CA_gross_rev_oil_fp-Marine!CA_roy_oil_fp-(CA_cost_recovered_oil)-(CA_excess_cost_recovery_oil)-Marine!CA_rev_for_SPO,0)</f>
        <v>0</v>
      </c>
      <c r="BN328" s="49">
        <f ca="1">MAX(Marine!CA_gross_rev_oil_fp-Marine!CA_roy_oil_fp-(CA_cost_recovered_oil)-(CA_excess_cost_recovery_oil)-Marine!CA_rev_for_SPO,0)</f>
        <v>0</v>
      </c>
      <c r="BO328" s="49">
        <f ca="1">MAX(Marine!CA_gross_rev_oil_fp-Marine!CA_roy_oil_fp-(CA_cost_recovered_oil)-(CA_excess_cost_recovery_oil)-Marine!CA_rev_for_SPO,0)</f>
        <v>0</v>
      </c>
      <c r="BP328" s="49">
        <f ca="1">MAX(Marine!CA_gross_rev_oil_fp-Marine!CA_roy_oil_fp-(CA_cost_recovered_oil)-(CA_excess_cost_recovery_oil)-Marine!CA_rev_for_SPO,0)</f>
        <v>0</v>
      </c>
      <c r="BQ328" s="49">
        <f ca="1">MAX(Marine!CA_gross_rev_oil_fp-Marine!CA_roy_oil_fp-(CA_cost_recovered_oil)-(CA_excess_cost_recovery_oil)-Marine!CA_rev_for_SPO,0)</f>
        <v>0</v>
      </c>
      <c r="BR328" s="49">
        <f ca="1">MAX(Marine!CA_gross_rev_oil_fp-Marine!CA_roy_oil_fp-(CA_cost_recovered_oil)-(CA_excess_cost_recovery_oil)-Marine!CA_rev_for_SPO,0)</f>
        <v>0</v>
      </c>
      <c r="BS328" s="49">
        <f ca="1">MAX(Marine!CA_gross_rev_oil_fp-Marine!CA_roy_oil_fp-(CA_cost_recovered_oil)-(CA_excess_cost_recovery_oil)-Marine!CA_rev_for_SPO,0)</f>
        <v>0</v>
      </c>
    </row>
    <row r="329" spans="3:71" outlineLevel="1" x14ac:dyDescent="0.2">
      <c r="D329" s="50" t="s">
        <v>234</v>
      </c>
      <c r="J329" s="26"/>
      <c r="L329" s="53">
        <f ca="1">INDEX(Marine!FA_PS_cont_rate,MATCH(Marine!CA_cum_gross_sales_oil,Marine!FA_PS_cumprod_oil,1))*(Marine!CA_op_trig)</f>
        <v>0.6</v>
      </c>
      <c r="M329" s="53">
        <f ca="1">INDEX(Marine!FA_PS_cont_rate,MATCH(Marine!CA_cum_gross_sales_oil,Marine!FA_PS_cumprod_oil,1))*(Marine!CA_op_trig)</f>
        <v>0.6</v>
      </c>
      <c r="N329" s="53">
        <f ca="1">INDEX(Marine!FA_PS_cont_rate,MATCH(Marine!CA_cum_gross_sales_oil,Marine!FA_PS_cumprod_oil,1))*(Marine!CA_op_trig)</f>
        <v>0.6</v>
      </c>
      <c r="O329" s="53">
        <f ca="1">INDEX(Marine!FA_PS_cont_rate,MATCH(Marine!CA_cum_gross_sales_oil,Marine!FA_PS_cumprod_oil,1))*(Marine!CA_op_trig)</f>
        <v>0.6</v>
      </c>
      <c r="P329" s="53">
        <f ca="1">INDEX(Marine!FA_PS_cont_rate,MATCH(Marine!CA_cum_gross_sales_oil,Marine!FA_PS_cumprod_oil,1))*(Marine!CA_op_trig)</f>
        <v>0.6</v>
      </c>
      <c r="Q329" s="53">
        <f ca="1">INDEX(Marine!FA_PS_cont_rate,MATCH(Marine!CA_cum_gross_sales_oil,Marine!FA_PS_cumprod_oil,1))*(Marine!CA_op_trig)</f>
        <v>0.6</v>
      </c>
      <c r="R329" s="53">
        <f ca="1">INDEX(Marine!FA_PS_cont_rate,MATCH(Marine!CA_cum_gross_sales_oil,Marine!FA_PS_cumprod_oil,1))*(Marine!CA_op_trig)</f>
        <v>0.6</v>
      </c>
      <c r="S329" s="53">
        <f ca="1">INDEX(Marine!FA_PS_cont_rate,MATCH(Marine!CA_cum_gross_sales_oil,Marine!FA_PS_cumprod_oil,1))*(Marine!CA_op_trig)</f>
        <v>0.5</v>
      </c>
      <c r="T329" s="53">
        <f ca="1">INDEX(Marine!FA_PS_cont_rate,MATCH(Marine!CA_cum_gross_sales_oil,Marine!FA_PS_cumprod_oil,1))*(Marine!CA_op_trig)</f>
        <v>0.5</v>
      </c>
      <c r="U329" s="53">
        <f ca="1">INDEX(Marine!FA_PS_cont_rate,MATCH(Marine!CA_cum_gross_sales_oil,Marine!FA_PS_cumprod_oil,1))*(Marine!CA_op_trig)</f>
        <v>0.5</v>
      </c>
      <c r="V329" s="53">
        <f ca="1">INDEX(Marine!FA_PS_cont_rate,MATCH(Marine!CA_cum_gross_sales_oil,Marine!FA_PS_cumprod_oil,1))*(Marine!CA_op_trig)</f>
        <v>0.5</v>
      </c>
      <c r="W329" s="53">
        <f ca="1">INDEX(Marine!FA_PS_cont_rate,MATCH(Marine!CA_cum_gross_sales_oil,Marine!FA_PS_cumprod_oil,1))*(Marine!CA_op_trig)</f>
        <v>0.4</v>
      </c>
      <c r="X329" s="53">
        <f ca="1">INDEX(Marine!FA_PS_cont_rate,MATCH(Marine!CA_cum_gross_sales_oil,Marine!FA_PS_cumprod_oil,1))*(Marine!CA_op_trig)</f>
        <v>0.4</v>
      </c>
      <c r="Y329" s="53">
        <f ca="1">INDEX(Marine!FA_PS_cont_rate,MATCH(Marine!CA_cum_gross_sales_oil,Marine!FA_PS_cumprod_oil,1))*(Marine!CA_op_trig)</f>
        <v>0</v>
      </c>
      <c r="Z329" s="53">
        <f ca="1">INDEX(Marine!FA_PS_cont_rate,MATCH(Marine!CA_cum_gross_sales_oil,Marine!FA_PS_cumprod_oil,1))*(Marine!CA_op_trig)</f>
        <v>0</v>
      </c>
      <c r="AA329" s="53">
        <f ca="1">INDEX(Marine!FA_PS_cont_rate,MATCH(Marine!CA_cum_gross_sales_oil,Marine!FA_PS_cumprod_oil,1))*(Marine!CA_op_trig)</f>
        <v>0</v>
      </c>
      <c r="AB329" s="53">
        <f ca="1">INDEX(Marine!FA_PS_cont_rate,MATCH(Marine!CA_cum_gross_sales_oil,Marine!FA_PS_cumprod_oil,1))*(Marine!CA_op_trig)</f>
        <v>0</v>
      </c>
      <c r="AC329" s="53">
        <f ca="1">INDEX(Marine!FA_PS_cont_rate,MATCH(Marine!CA_cum_gross_sales_oil,Marine!FA_PS_cumprod_oil,1))*(Marine!CA_op_trig)</f>
        <v>0</v>
      </c>
      <c r="AD329" s="53">
        <f ca="1">INDEX(Marine!FA_PS_cont_rate,MATCH(Marine!CA_cum_gross_sales_oil,Marine!FA_PS_cumprod_oil,1))*(Marine!CA_op_trig)</f>
        <v>0</v>
      </c>
      <c r="AE329" s="53">
        <f ca="1">INDEX(Marine!FA_PS_cont_rate,MATCH(Marine!CA_cum_gross_sales_oil,Marine!FA_PS_cumprod_oil,1))*(Marine!CA_op_trig)</f>
        <v>0</v>
      </c>
      <c r="AF329" s="53">
        <f ca="1">INDEX(Marine!FA_PS_cont_rate,MATCH(Marine!CA_cum_gross_sales_oil,Marine!FA_PS_cumprod_oil,1))*(Marine!CA_op_trig)</f>
        <v>0</v>
      </c>
      <c r="AG329" s="53">
        <f ca="1">INDEX(Marine!FA_PS_cont_rate,MATCH(Marine!CA_cum_gross_sales_oil,Marine!FA_PS_cumprod_oil,1))*(Marine!CA_op_trig)</f>
        <v>0</v>
      </c>
      <c r="AH329" s="53">
        <f ca="1">INDEX(Marine!FA_PS_cont_rate,MATCH(Marine!CA_cum_gross_sales_oil,Marine!FA_PS_cumprod_oil,1))*(Marine!CA_op_trig)</f>
        <v>0</v>
      </c>
      <c r="AI329" s="53">
        <f ca="1">INDEX(Marine!FA_PS_cont_rate,MATCH(Marine!CA_cum_gross_sales_oil,Marine!FA_PS_cumprod_oil,1))*(Marine!CA_op_trig)</f>
        <v>0</v>
      </c>
      <c r="AJ329" s="53">
        <f ca="1">INDEX(Marine!FA_PS_cont_rate,MATCH(Marine!CA_cum_gross_sales_oil,Marine!FA_PS_cumprod_oil,1))*(Marine!CA_op_trig)</f>
        <v>0</v>
      </c>
      <c r="AK329" s="53">
        <f ca="1">INDEX(Marine!FA_PS_cont_rate,MATCH(Marine!CA_cum_gross_sales_oil,Marine!FA_PS_cumprod_oil,1))*(Marine!CA_op_trig)</f>
        <v>0</v>
      </c>
      <c r="AL329" s="53">
        <f ca="1">INDEX(Marine!FA_PS_cont_rate,MATCH(Marine!CA_cum_gross_sales_oil,Marine!FA_PS_cumprod_oil,1))*(Marine!CA_op_trig)</f>
        <v>0</v>
      </c>
      <c r="AM329" s="53">
        <f ca="1">INDEX(Marine!FA_PS_cont_rate,MATCH(Marine!CA_cum_gross_sales_oil,Marine!FA_PS_cumprod_oil,1))*(Marine!CA_op_trig)</f>
        <v>0</v>
      </c>
      <c r="AN329" s="53">
        <f ca="1">INDEX(Marine!FA_PS_cont_rate,MATCH(Marine!CA_cum_gross_sales_oil,Marine!FA_PS_cumprod_oil,1))*(Marine!CA_op_trig)</f>
        <v>0</v>
      </c>
      <c r="AO329" s="53">
        <f ca="1">INDEX(Marine!FA_PS_cont_rate,MATCH(Marine!CA_cum_gross_sales_oil,Marine!FA_PS_cumprod_oil,1))*(Marine!CA_op_trig)</f>
        <v>0</v>
      </c>
      <c r="AP329" s="53">
        <f ca="1">INDEX(Marine!FA_PS_cont_rate,MATCH(Marine!CA_cum_gross_sales_oil,Marine!FA_PS_cumprod_oil,1))*(Marine!CA_op_trig)</f>
        <v>0</v>
      </c>
      <c r="AQ329" s="53">
        <f ca="1">INDEX(Marine!FA_PS_cont_rate,MATCH(Marine!CA_cum_gross_sales_oil,Marine!FA_PS_cumprod_oil,1))*(Marine!CA_op_trig)</f>
        <v>0</v>
      </c>
      <c r="AR329" s="53">
        <f ca="1">INDEX(Marine!FA_PS_cont_rate,MATCH(Marine!CA_cum_gross_sales_oil,Marine!FA_PS_cumprod_oil,1))*(Marine!CA_op_trig)</f>
        <v>0</v>
      </c>
      <c r="AS329" s="53">
        <f ca="1">INDEX(Marine!FA_PS_cont_rate,MATCH(Marine!CA_cum_gross_sales_oil,Marine!FA_PS_cumprod_oil,1))*(Marine!CA_op_trig)</f>
        <v>0</v>
      </c>
      <c r="AT329" s="53">
        <f ca="1">INDEX(Marine!FA_PS_cont_rate,MATCH(Marine!CA_cum_gross_sales_oil,Marine!FA_PS_cumprod_oil,1))*(Marine!CA_op_trig)</f>
        <v>0</v>
      </c>
      <c r="AU329" s="53">
        <f ca="1">INDEX(Marine!FA_PS_cont_rate,MATCH(Marine!CA_cum_gross_sales_oil,Marine!FA_PS_cumprod_oil,1))*(Marine!CA_op_trig)</f>
        <v>0</v>
      </c>
      <c r="AV329" s="53">
        <f ca="1">INDEX(Marine!FA_PS_cont_rate,MATCH(Marine!CA_cum_gross_sales_oil,Marine!FA_PS_cumprod_oil,1))*(Marine!CA_op_trig)</f>
        <v>0</v>
      </c>
      <c r="AW329" s="53">
        <f ca="1">INDEX(Marine!FA_PS_cont_rate,MATCH(Marine!CA_cum_gross_sales_oil,Marine!FA_PS_cumprod_oil,1))*(Marine!CA_op_trig)</f>
        <v>0</v>
      </c>
      <c r="AX329" s="53">
        <f ca="1">INDEX(Marine!FA_PS_cont_rate,MATCH(Marine!CA_cum_gross_sales_oil,Marine!FA_PS_cumprod_oil,1))*(Marine!CA_op_trig)</f>
        <v>0</v>
      </c>
      <c r="AY329" s="53">
        <f ca="1">INDEX(Marine!FA_PS_cont_rate,MATCH(Marine!CA_cum_gross_sales_oil,Marine!FA_PS_cumprod_oil,1))*(Marine!CA_op_trig)</f>
        <v>0</v>
      </c>
      <c r="AZ329" s="53">
        <f ca="1">INDEX(Marine!FA_PS_cont_rate,MATCH(Marine!CA_cum_gross_sales_oil,Marine!FA_PS_cumprod_oil,1))*(Marine!CA_op_trig)</f>
        <v>0</v>
      </c>
      <c r="BA329" s="53">
        <f ca="1">INDEX(Marine!FA_PS_cont_rate,MATCH(Marine!CA_cum_gross_sales_oil,Marine!FA_PS_cumprod_oil,1))*(Marine!CA_op_trig)</f>
        <v>0</v>
      </c>
      <c r="BB329" s="53">
        <f ca="1">INDEX(Marine!FA_PS_cont_rate,MATCH(Marine!CA_cum_gross_sales_oil,Marine!FA_PS_cumprod_oil,1))*(Marine!CA_op_trig)</f>
        <v>0</v>
      </c>
      <c r="BC329" s="53">
        <f ca="1">INDEX(Marine!FA_PS_cont_rate,MATCH(Marine!CA_cum_gross_sales_oil,Marine!FA_PS_cumprod_oil,1))*(Marine!CA_op_trig)</f>
        <v>0</v>
      </c>
      <c r="BD329" s="53">
        <f ca="1">INDEX(Marine!FA_PS_cont_rate,MATCH(Marine!CA_cum_gross_sales_oil,Marine!FA_PS_cumprod_oil,1))*(Marine!CA_op_trig)</f>
        <v>0</v>
      </c>
      <c r="BE329" s="53">
        <f ca="1">INDEX(Marine!FA_PS_cont_rate,MATCH(Marine!CA_cum_gross_sales_oil,Marine!FA_PS_cumprod_oil,1))*(Marine!CA_op_trig)</f>
        <v>0</v>
      </c>
      <c r="BF329" s="53">
        <f ca="1">INDEX(Marine!FA_PS_cont_rate,MATCH(Marine!CA_cum_gross_sales_oil,Marine!FA_PS_cumprod_oil,1))*(Marine!CA_op_trig)</f>
        <v>0</v>
      </c>
      <c r="BG329" s="53">
        <f ca="1">INDEX(Marine!FA_PS_cont_rate,MATCH(Marine!CA_cum_gross_sales_oil,Marine!FA_PS_cumprod_oil,1))*(Marine!CA_op_trig)</f>
        <v>0</v>
      </c>
      <c r="BH329" s="53">
        <f ca="1">INDEX(Marine!FA_PS_cont_rate,MATCH(Marine!CA_cum_gross_sales_oil,Marine!FA_PS_cumprod_oil,1))*(Marine!CA_op_trig)</f>
        <v>0</v>
      </c>
      <c r="BI329" s="53">
        <f ca="1">INDEX(Marine!FA_PS_cont_rate,MATCH(Marine!CA_cum_gross_sales_oil,Marine!FA_PS_cumprod_oil,1))*(Marine!CA_op_trig)</f>
        <v>0</v>
      </c>
      <c r="BJ329" s="53">
        <f ca="1">INDEX(Marine!FA_PS_cont_rate,MATCH(Marine!CA_cum_gross_sales_oil,Marine!FA_PS_cumprod_oil,1))*(Marine!CA_op_trig)</f>
        <v>0</v>
      </c>
      <c r="BK329" s="53">
        <f ca="1">INDEX(Marine!FA_PS_cont_rate,MATCH(Marine!CA_cum_gross_sales_oil,Marine!FA_PS_cumprod_oil,1))*(Marine!CA_op_trig)</f>
        <v>0</v>
      </c>
      <c r="BL329" s="53">
        <f ca="1">INDEX(Marine!FA_PS_cont_rate,MATCH(Marine!CA_cum_gross_sales_oil,Marine!FA_PS_cumprod_oil,1))*(Marine!CA_op_trig)</f>
        <v>0</v>
      </c>
      <c r="BM329" s="53">
        <f ca="1">INDEX(Marine!FA_PS_cont_rate,MATCH(Marine!CA_cum_gross_sales_oil,Marine!FA_PS_cumprod_oil,1))*(Marine!CA_op_trig)</f>
        <v>0</v>
      </c>
      <c r="BN329" s="53">
        <f ca="1">INDEX(Marine!FA_PS_cont_rate,MATCH(Marine!CA_cum_gross_sales_oil,Marine!FA_PS_cumprod_oil,1))*(Marine!CA_op_trig)</f>
        <v>0</v>
      </c>
      <c r="BO329" s="53">
        <f ca="1">INDEX(Marine!FA_PS_cont_rate,MATCH(Marine!CA_cum_gross_sales_oil,Marine!FA_PS_cumprod_oil,1))*(Marine!CA_op_trig)</f>
        <v>0</v>
      </c>
      <c r="BP329" s="53">
        <f ca="1">INDEX(Marine!FA_PS_cont_rate,MATCH(Marine!CA_cum_gross_sales_oil,Marine!FA_PS_cumprod_oil,1))*(Marine!CA_op_trig)</f>
        <v>0</v>
      </c>
      <c r="BQ329" s="53">
        <f ca="1">INDEX(Marine!FA_PS_cont_rate,MATCH(Marine!CA_cum_gross_sales_oil,Marine!FA_PS_cumprod_oil,1))*(Marine!CA_op_trig)</f>
        <v>0</v>
      </c>
      <c r="BR329" s="53">
        <f ca="1">INDEX(Marine!FA_PS_cont_rate,MATCH(Marine!CA_cum_gross_sales_oil,Marine!FA_PS_cumprod_oil,1))*(Marine!CA_op_trig)</f>
        <v>0</v>
      </c>
      <c r="BS329" s="53">
        <f ca="1">INDEX(Marine!FA_PS_cont_rate,MATCH(Marine!CA_cum_gross_sales_oil,Marine!FA_PS_cumprod_oil,1))*(Marine!CA_op_trig)</f>
        <v>0</v>
      </c>
    </row>
    <row r="330" spans="3:71" outlineLevel="1" x14ac:dyDescent="0.2">
      <c r="D330" t="s">
        <v>235</v>
      </c>
      <c r="I330" s="30">
        <f t="shared" ca="1" si="123"/>
        <v>359.99438156479886</v>
      </c>
      <c r="J330" s="26" t="s">
        <v>148</v>
      </c>
      <c r="L330" s="49">
        <f ca="1">L328*L329</f>
        <v>0</v>
      </c>
      <c r="M330" s="49">
        <f t="shared" ref="M330:BS330" ca="1" si="124">M328*M329</f>
        <v>2.1824239983182229E-2</v>
      </c>
      <c r="N330" s="49">
        <f t="shared" ca="1" si="124"/>
        <v>7.5195665390754662</v>
      </c>
      <c r="O330" s="49">
        <f t="shared" ca="1" si="124"/>
        <v>11.634715654426557</v>
      </c>
      <c r="P330" s="49">
        <f t="shared" ca="1" si="124"/>
        <v>26.886661105663467</v>
      </c>
      <c r="Q330" s="49">
        <f t="shared" ca="1" si="124"/>
        <v>59.816096282389161</v>
      </c>
      <c r="R330" s="49">
        <f t="shared" ca="1" si="124"/>
        <v>55.590972161811202</v>
      </c>
      <c r="S330" s="49">
        <f t="shared" ca="1" si="124"/>
        <v>26.274359518750003</v>
      </c>
      <c r="T330" s="49">
        <f t="shared" ca="1" si="124"/>
        <v>39.638921540399991</v>
      </c>
      <c r="U330" s="49">
        <f t="shared" ca="1" si="124"/>
        <v>39.569557718249996</v>
      </c>
      <c r="V330" s="49">
        <f t="shared" ca="1" si="124"/>
        <v>37.535682451531954</v>
      </c>
      <c r="W330" s="49">
        <f t="shared" ca="1" si="124"/>
        <v>28.485078698818576</v>
      </c>
      <c r="X330" s="49">
        <f t="shared" ca="1" si="124"/>
        <v>27.0209456536993</v>
      </c>
      <c r="Y330" s="49">
        <f t="shared" ca="1" si="124"/>
        <v>0</v>
      </c>
      <c r="Z330" s="49">
        <f t="shared" ca="1" si="124"/>
        <v>0</v>
      </c>
      <c r="AA330" s="49">
        <f t="shared" ca="1" si="124"/>
        <v>0</v>
      </c>
      <c r="AB330" s="49">
        <f t="shared" ca="1" si="124"/>
        <v>0</v>
      </c>
      <c r="AC330" s="49">
        <f t="shared" ca="1" si="124"/>
        <v>0</v>
      </c>
      <c r="AD330" s="49">
        <f t="shared" ca="1" si="124"/>
        <v>0</v>
      </c>
      <c r="AE330" s="49">
        <f t="shared" ca="1" si="124"/>
        <v>0</v>
      </c>
      <c r="AF330" s="49">
        <f t="shared" ca="1" si="124"/>
        <v>0</v>
      </c>
      <c r="AG330" s="49">
        <f t="shared" ca="1" si="124"/>
        <v>0</v>
      </c>
      <c r="AH330" s="49">
        <f t="shared" ca="1" si="124"/>
        <v>0</v>
      </c>
      <c r="AI330" s="49">
        <f t="shared" ca="1" si="124"/>
        <v>0</v>
      </c>
      <c r="AJ330" s="49">
        <f t="shared" ca="1" si="124"/>
        <v>0</v>
      </c>
      <c r="AK330" s="49">
        <f t="shared" ca="1" si="124"/>
        <v>0</v>
      </c>
      <c r="AL330" s="49">
        <f t="shared" ca="1" si="124"/>
        <v>0</v>
      </c>
      <c r="AM330" s="49">
        <f t="shared" ca="1" si="124"/>
        <v>0</v>
      </c>
      <c r="AN330" s="49">
        <f t="shared" ca="1" si="124"/>
        <v>0</v>
      </c>
      <c r="AO330" s="49">
        <f t="shared" ca="1" si="124"/>
        <v>0</v>
      </c>
      <c r="AP330" s="49">
        <f t="shared" ca="1" si="124"/>
        <v>0</v>
      </c>
      <c r="AQ330" s="49">
        <f t="shared" ca="1" si="124"/>
        <v>0</v>
      </c>
      <c r="AR330" s="49">
        <f t="shared" ca="1" si="124"/>
        <v>0</v>
      </c>
      <c r="AS330" s="49">
        <f t="shared" ca="1" si="124"/>
        <v>0</v>
      </c>
      <c r="AT330" s="49">
        <f t="shared" ca="1" si="124"/>
        <v>0</v>
      </c>
      <c r="AU330" s="49">
        <f t="shared" ca="1" si="124"/>
        <v>0</v>
      </c>
      <c r="AV330" s="49">
        <f t="shared" ca="1" si="124"/>
        <v>0</v>
      </c>
      <c r="AW330" s="49">
        <f t="shared" ca="1" si="124"/>
        <v>0</v>
      </c>
      <c r="AX330" s="49">
        <f t="shared" ca="1" si="124"/>
        <v>0</v>
      </c>
      <c r="AY330" s="49">
        <f t="shared" ca="1" si="124"/>
        <v>0</v>
      </c>
      <c r="AZ330" s="49">
        <f t="shared" ca="1" si="124"/>
        <v>0</v>
      </c>
      <c r="BA330" s="49">
        <f t="shared" ca="1" si="124"/>
        <v>0</v>
      </c>
      <c r="BB330" s="49">
        <f t="shared" ca="1" si="124"/>
        <v>0</v>
      </c>
      <c r="BC330" s="49">
        <f t="shared" ca="1" si="124"/>
        <v>0</v>
      </c>
      <c r="BD330" s="49">
        <f t="shared" ca="1" si="124"/>
        <v>0</v>
      </c>
      <c r="BE330" s="49">
        <f t="shared" ca="1" si="124"/>
        <v>0</v>
      </c>
      <c r="BF330" s="49">
        <f t="shared" ca="1" si="124"/>
        <v>0</v>
      </c>
      <c r="BG330" s="49">
        <f t="shared" ca="1" si="124"/>
        <v>0</v>
      </c>
      <c r="BH330" s="49">
        <f t="shared" ca="1" si="124"/>
        <v>0</v>
      </c>
      <c r="BI330" s="49">
        <f t="shared" ca="1" si="124"/>
        <v>0</v>
      </c>
      <c r="BJ330" s="49">
        <f t="shared" ca="1" si="124"/>
        <v>0</v>
      </c>
      <c r="BK330" s="49">
        <f t="shared" ca="1" si="124"/>
        <v>0</v>
      </c>
      <c r="BL330" s="49">
        <f t="shared" ca="1" si="124"/>
        <v>0</v>
      </c>
      <c r="BM330" s="49">
        <f t="shared" ca="1" si="124"/>
        <v>0</v>
      </c>
      <c r="BN330" s="49">
        <f t="shared" ca="1" si="124"/>
        <v>0</v>
      </c>
      <c r="BO330" s="49">
        <f t="shared" ca="1" si="124"/>
        <v>0</v>
      </c>
      <c r="BP330" s="49">
        <f t="shared" ca="1" si="124"/>
        <v>0</v>
      </c>
      <c r="BQ330" s="49">
        <f t="shared" ca="1" si="124"/>
        <v>0</v>
      </c>
      <c r="BR330" s="49">
        <f t="shared" ca="1" si="124"/>
        <v>0</v>
      </c>
      <c r="BS330" s="49">
        <f t="shared" ca="1" si="124"/>
        <v>0</v>
      </c>
    </row>
    <row r="331" spans="3:71" outlineLevel="1" x14ac:dyDescent="0.2">
      <c r="D331" t="s">
        <v>236</v>
      </c>
      <c r="I331" s="30">
        <f t="shared" ca="1" si="123"/>
        <v>333.92411507994143</v>
      </c>
      <c r="J331" s="26" t="s">
        <v>148</v>
      </c>
      <c r="L331" s="49">
        <f ca="1">L328-L330</f>
        <v>0</v>
      </c>
      <c r="M331" s="49">
        <f t="shared" ref="M331:BS331" ca="1" si="125">M328-M330</f>
        <v>1.4549493322121489E-2</v>
      </c>
      <c r="N331" s="49">
        <f t="shared" ca="1" si="125"/>
        <v>5.0130443593836453</v>
      </c>
      <c r="O331" s="49">
        <f t="shared" ca="1" si="125"/>
        <v>7.7564771029510382</v>
      </c>
      <c r="P331" s="49">
        <f t="shared" ca="1" si="125"/>
        <v>17.924440737108977</v>
      </c>
      <c r="Q331" s="49">
        <f t="shared" ca="1" si="125"/>
        <v>39.877397521592776</v>
      </c>
      <c r="R331" s="49">
        <f t="shared" ca="1" si="125"/>
        <v>37.060648107874137</v>
      </c>
      <c r="S331" s="49">
        <f t="shared" ca="1" si="125"/>
        <v>26.274359518750003</v>
      </c>
      <c r="T331" s="49">
        <f t="shared" ca="1" si="125"/>
        <v>39.638921540399991</v>
      </c>
      <c r="U331" s="49">
        <f t="shared" ca="1" si="125"/>
        <v>39.569557718249996</v>
      </c>
      <c r="V331" s="49">
        <f t="shared" ca="1" si="125"/>
        <v>37.535682451531954</v>
      </c>
      <c r="W331" s="49">
        <f t="shared" ca="1" si="125"/>
        <v>42.72761804822786</v>
      </c>
      <c r="X331" s="49">
        <f t="shared" ca="1" si="125"/>
        <v>40.53141848054895</v>
      </c>
      <c r="Y331" s="49">
        <f t="shared" ca="1" si="125"/>
        <v>0</v>
      </c>
      <c r="Z331" s="49">
        <f t="shared" ca="1" si="125"/>
        <v>0</v>
      </c>
      <c r="AA331" s="49">
        <f t="shared" ca="1" si="125"/>
        <v>0</v>
      </c>
      <c r="AB331" s="49">
        <f t="shared" ca="1" si="125"/>
        <v>0</v>
      </c>
      <c r="AC331" s="49">
        <f t="shared" ca="1" si="125"/>
        <v>0</v>
      </c>
      <c r="AD331" s="49">
        <f t="shared" ca="1" si="125"/>
        <v>0</v>
      </c>
      <c r="AE331" s="49">
        <f t="shared" ca="1" si="125"/>
        <v>0</v>
      </c>
      <c r="AF331" s="49">
        <f t="shared" ca="1" si="125"/>
        <v>0</v>
      </c>
      <c r="AG331" s="49">
        <f t="shared" ca="1" si="125"/>
        <v>0</v>
      </c>
      <c r="AH331" s="49">
        <f t="shared" ca="1" si="125"/>
        <v>0</v>
      </c>
      <c r="AI331" s="49">
        <f t="shared" ca="1" si="125"/>
        <v>0</v>
      </c>
      <c r="AJ331" s="49">
        <f t="shared" ca="1" si="125"/>
        <v>0</v>
      </c>
      <c r="AK331" s="49">
        <f t="shared" ca="1" si="125"/>
        <v>0</v>
      </c>
      <c r="AL331" s="49">
        <f t="shared" ca="1" si="125"/>
        <v>0</v>
      </c>
      <c r="AM331" s="49">
        <f t="shared" ca="1" si="125"/>
        <v>0</v>
      </c>
      <c r="AN331" s="49">
        <f t="shared" ca="1" si="125"/>
        <v>0</v>
      </c>
      <c r="AO331" s="49">
        <f t="shared" ca="1" si="125"/>
        <v>0</v>
      </c>
      <c r="AP331" s="49">
        <f t="shared" ca="1" si="125"/>
        <v>0</v>
      </c>
      <c r="AQ331" s="49">
        <f t="shared" ca="1" si="125"/>
        <v>0</v>
      </c>
      <c r="AR331" s="49">
        <f t="shared" ca="1" si="125"/>
        <v>0</v>
      </c>
      <c r="AS331" s="49">
        <f t="shared" ca="1" si="125"/>
        <v>0</v>
      </c>
      <c r="AT331" s="49">
        <f t="shared" ca="1" si="125"/>
        <v>0</v>
      </c>
      <c r="AU331" s="49">
        <f t="shared" ca="1" si="125"/>
        <v>0</v>
      </c>
      <c r="AV331" s="49">
        <f t="shared" ca="1" si="125"/>
        <v>0</v>
      </c>
      <c r="AW331" s="49">
        <f t="shared" ca="1" si="125"/>
        <v>0</v>
      </c>
      <c r="AX331" s="49">
        <f t="shared" ca="1" si="125"/>
        <v>0</v>
      </c>
      <c r="AY331" s="49">
        <f t="shared" ca="1" si="125"/>
        <v>0</v>
      </c>
      <c r="AZ331" s="49">
        <f t="shared" ca="1" si="125"/>
        <v>0</v>
      </c>
      <c r="BA331" s="49">
        <f t="shared" ca="1" si="125"/>
        <v>0</v>
      </c>
      <c r="BB331" s="49">
        <f t="shared" ca="1" si="125"/>
        <v>0</v>
      </c>
      <c r="BC331" s="49">
        <f t="shared" ca="1" si="125"/>
        <v>0</v>
      </c>
      <c r="BD331" s="49">
        <f t="shared" ca="1" si="125"/>
        <v>0</v>
      </c>
      <c r="BE331" s="49">
        <f t="shared" ca="1" si="125"/>
        <v>0</v>
      </c>
      <c r="BF331" s="49">
        <f t="shared" ca="1" si="125"/>
        <v>0</v>
      </c>
      <c r="BG331" s="49">
        <f t="shared" ca="1" si="125"/>
        <v>0</v>
      </c>
      <c r="BH331" s="49">
        <f t="shared" ca="1" si="125"/>
        <v>0</v>
      </c>
      <c r="BI331" s="49">
        <f t="shared" ca="1" si="125"/>
        <v>0</v>
      </c>
      <c r="BJ331" s="49">
        <f t="shared" ca="1" si="125"/>
        <v>0</v>
      </c>
      <c r="BK331" s="49">
        <f t="shared" ca="1" si="125"/>
        <v>0</v>
      </c>
      <c r="BL331" s="49">
        <f t="shared" ca="1" si="125"/>
        <v>0</v>
      </c>
      <c r="BM331" s="49">
        <f t="shared" ca="1" si="125"/>
        <v>0</v>
      </c>
      <c r="BN331" s="49">
        <f t="shared" ca="1" si="125"/>
        <v>0</v>
      </c>
      <c r="BO331" s="49">
        <f t="shared" ca="1" si="125"/>
        <v>0</v>
      </c>
      <c r="BP331" s="49">
        <f t="shared" ca="1" si="125"/>
        <v>0</v>
      </c>
      <c r="BQ331" s="49">
        <f t="shared" ca="1" si="125"/>
        <v>0</v>
      </c>
      <c r="BR331" s="49">
        <f t="shared" ca="1" si="125"/>
        <v>0</v>
      </c>
      <c r="BS331" s="49">
        <f t="shared" ca="1" si="125"/>
        <v>0</v>
      </c>
    </row>
    <row r="332" spans="3:71" outlineLevel="1" x14ac:dyDescent="0.2">
      <c r="J332" s="26"/>
      <c r="L332" s="55"/>
      <c r="M332" s="55"/>
      <c r="N332" s="55"/>
      <c r="O332" s="55"/>
      <c r="P332" s="55"/>
      <c r="Q332" s="55"/>
      <c r="R332" s="55"/>
      <c r="S332" s="55"/>
      <c r="T332" s="55"/>
      <c r="U332" s="55"/>
      <c r="V332" s="55"/>
      <c r="W332" s="55"/>
      <c r="X332" s="55"/>
      <c r="Y332" s="55"/>
      <c r="Z332" s="55"/>
      <c r="AA332" s="55"/>
      <c r="AB332" s="55"/>
      <c r="AC332" s="55"/>
      <c r="AD332" s="55"/>
      <c r="AE332" s="55"/>
      <c r="AF332" s="55"/>
      <c r="AG332" s="55"/>
      <c r="AH332" s="55"/>
      <c r="AI332" s="55"/>
      <c r="AJ332" s="55"/>
      <c r="AK332" s="55"/>
      <c r="AL332" s="55"/>
      <c r="AM332" s="55"/>
      <c r="AN332" s="55"/>
      <c r="AO332" s="55"/>
      <c r="AP332" s="55"/>
      <c r="AQ332" s="55"/>
      <c r="AR332" s="55"/>
      <c r="AS332" s="55"/>
      <c r="AT332" s="55"/>
      <c r="AU332" s="55"/>
      <c r="AV332" s="55"/>
      <c r="AW332" s="55"/>
      <c r="AX332" s="55"/>
      <c r="AY332" s="55"/>
      <c r="AZ332" s="55"/>
      <c r="BA332" s="55"/>
      <c r="BB332" s="55"/>
      <c r="BC332" s="55"/>
      <c r="BD332" s="55"/>
      <c r="BE332" s="55"/>
      <c r="BF332" s="55"/>
      <c r="BG332" s="55"/>
      <c r="BH332" s="55"/>
      <c r="BI332" s="55"/>
      <c r="BJ332" s="55"/>
      <c r="BK332" s="55"/>
      <c r="BL332" s="55"/>
      <c r="BM332" s="55"/>
      <c r="BN332" s="55"/>
      <c r="BO332" s="55"/>
      <c r="BP332" s="55"/>
      <c r="BQ332" s="55"/>
      <c r="BR332" s="55"/>
      <c r="BS332" s="55"/>
    </row>
    <row r="333" spans="3:71" outlineLevel="1" x14ac:dyDescent="0.2">
      <c r="D333" s="11" t="s">
        <v>874</v>
      </c>
      <c r="J333" s="26"/>
      <c r="L333" s="55"/>
      <c r="M333" s="55"/>
      <c r="N333" s="55"/>
      <c r="O333" s="55"/>
      <c r="P333" s="55"/>
      <c r="Q333" s="55"/>
      <c r="R333" s="55"/>
      <c r="S333" s="55"/>
      <c r="T333" s="55"/>
      <c r="U333" s="55"/>
      <c r="V333" s="55"/>
      <c r="W333" s="55"/>
      <c r="X333" s="55"/>
      <c r="Y333" s="55"/>
      <c r="Z333" s="55"/>
      <c r="AA333" s="55"/>
      <c r="AB333" s="55"/>
      <c r="AC333" s="55"/>
      <c r="AD333" s="55"/>
      <c r="AE333" s="55"/>
      <c r="AF333" s="55"/>
      <c r="AG333" s="55"/>
      <c r="AH333" s="55"/>
      <c r="AI333" s="55"/>
      <c r="AJ333" s="55"/>
      <c r="AK333" s="55"/>
      <c r="AL333" s="55"/>
      <c r="AM333" s="55"/>
      <c r="AN333" s="55"/>
      <c r="AO333" s="55"/>
      <c r="AP333" s="55"/>
      <c r="AQ333" s="55"/>
      <c r="AR333" s="55"/>
      <c r="AS333" s="55"/>
      <c r="AT333" s="55"/>
      <c r="AU333" s="55"/>
      <c r="AV333" s="55"/>
      <c r="AW333" s="55"/>
      <c r="AX333" s="55"/>
      <c r="AY333" s="55"/>
      <c r="AZ333" s="55"/>
      <c r="BA333" s="55"/>
      <c r="BB333" s="55"/>
      <c r="BC333" s="55"/>
      <c r="BD333" s="55"/>
      <c r="BE333" s="55"/>
      <c r="BF333" s="55"/>
      <c r="BG333" s="55"/>
      <c r="BH333" s="55"/>
      <c r="BI333" s="55"/>
      <c r="BJ333" s="55"/>
      <c r="BK333" s="55"/>
      <c r="BL333" s="55"/>
      <c r="BM333" s="55"/>
      <c r="BN333" s="55"/>
      <c r="BO333" s="55"/>
      <c r="BP333" s="55"/>
      <c r="BQ333" s="55"/>
      <c r="BR333" s="55"/>
      <c r="BS333" s="55"/>
    </row>
    <row r="334" spans="3:71" outlineLevel="1" x14ac:dyDescent="0.2">
      <c r="D334" s="50" t="s">
        <v>238</v>
      </c>
      <c r="I334" s="30">
        <f t="shared" ref="I334:I346" ca="1" si="126">SUM($L334:$BS334)</f>
        <v>480.76904174429558</v>
      </c>
      <c r="J334" s="26" t="s">
        <v>148</v>
      </c>
      <c r="L334" s="49">
        <f ca="1">MAX(Marine!CA_gross_rev_gas_fp-Marine!CA_roy_gas_fp-(CA_cost_recovered_gas*Marine!CA_rev_gas_perc)-(CA_excess_cost_recovery_gas*Marine!CA_rev_gas_perc),0)</f>
        <v>0</v>
      </c>
      <c r="M334" s="49">
        <f ca="1">MAX(Marine!CA_gross_rev_gas_fp-Marine!CA_roy_gas_fp-(CA_cost_recovered_gas*Marine!CA_rev_gas_perc)-(CA_excess_cost_recovery_gas*Marine!CA_rev_gas_perc),0)</f>
        <v>1.2309903894101319</v>
      </c>
      <c r="N334" s="49">
        <f ca="1">MAX(Marine!CA_gross_rev_gas_fp-Marine!CA_roy_gas_fp-(CA_cost_recovered_gas*Marine!CA_rev_gas_perc)-(CA_excess_cost_recovery_gas*Marine!CA_rev_gas_perc),0)</f>
        <v>22.252005867762954</v>
      </c>
      <c r="O334" s="49">
        <f ca="1">MAX(Marine!CA_gross_rev_gas_fp-Marine!CA_roy_gas_fp-(CA_cost_recovered_gas*Marine!CA_rev_gas_perc)-(CA_excess_cost_recovery_gas*Marine!CA_rev_gas_perc),0)</f>
        <v>34.791285093468588</v>
      </c>
      <c r="P334" s="49">
        <f ca="1">MAX(Marine!CA_gross_rev_gas_fp-Marine!CA_roy_gas_fp-(CA_cost_recovered_gas*Marine!CA_rev_gas_perc)-(CA_excess_cost_recovery_gas*Marine!CA_rev_gas_perc),0)</f>
        <v>38.715949102592184</v>
      </c>
      <c r="Q334" s="49">
        <f ca="1">MAX(Marine!CA_gross_rev_gas_fp-Marine!CA_roy_gas_fp-(CA_cost_recovered_gas*Marine!CA_rev_gas_perc)-(CA_excess_cost_recovery_gas*Marine!CA_rev_gas_perc),0)</f>
        <v>45.918481741189765</v>
      </c>
      <c r="R334" s="49">
        <f ca="1">MAX(Marine!CA_gross_rev_gas_fp-Marine!CA_roy_gas_fp-(CA_cost_recovered_gas*Marine!CA_rev_gas_perc)-(CA_excess_cost_recovery_gas*Marine!CA_rev_gas_perc),0)</f>
        <v>5.1024384248584914E-5</v>
      </c>
      <c r="S334" s="49">
        <f ca="1">MAX(Marine!CA_gross_rev_gas_fp-Marine!CA_roy_gas_fp-(CA_cost_recovered_gas*Marine!CA_rev_gas_perc)-(CA_excess_cost_recovery_gas*Marine!CA_rev_gas_perc),0)</f>
        <v>54.019432340927047</v>
      </c>
      <c r="T334" s="49">
        <f ca="1">MAX(Marine!CA_gross_rev_gas_fp-Marine!CA_roy_gas_fp-(CA_cost_recovered_gas*Marine!CA_rev_gas_perc)-(CA_excess_cost_recovery_gas*Marine!CA_rev_gas_perc),0)</f>
        <v>57.282750023939499</v>
      </c>
      <c r="U334" s="49">
        <f ca="1">MAX(Marine!CA_gross_rev_gas_fp-Marine!CA_roy_gas_fp-(CA_cost_recovered_gas*Marine!CA_rev_gas_perc)-(CA_excess_cost_recovery_gas*Marine!CA_rev_gas_perc),0)</f>
        <v>57.246785377937385</v>
      </c>
      <c r="V334" s="49">
        <f ca="1">MAX(Marine!CA_gross_rev_gas_fp-Marine!CA_roy_gas_fp-(CA_cost_recovered_gas*Marine!CA_rev_gas_perc)-(CA_excess_cost_recovery_gas*Marine!CA_rev_gas_perc),0)</f>
        <v>56.846435928702988</v>
      </c>
      <c r="W334" s="49">
        <f ca="1">MAX(Marine!CA_gross_rev_gas_fp-Marine!CA_roy_gas_fp-(CA_cost_recovered_gas*Marine!CA_rev_gas_perc)-(CA_excess_cost_recovery_gas*Marine!CA_rev_gas_perc),0)</f>
        <v>56.44954804818272</v>
      </c>
      <c r="X334" s="49">
        <f ca="1">MAX(Marine!CA_gross_rev_gas_fp-Marine!CA_roy_gas_fp-(CA_cost_recovered_gas*Marine!CA_rev_gas_perc)-(CA_excess_cost_recovery_gas*Marine!CA_rev_gas_perc),0)</f>
        <v>56.015326805798033</v>
      </c>
      <c r="Y334" s="49">
        <f ca="1">MAX(Marine!CA_gross_rev_gas_fp-Marine!CA_roy_gas_fp-(CA_cost_recovered_gas*Marine!CA_rev_gas_perc)-(CA_excess_cost_recovery_gas*Marine!CA_rev_gas_perc),0)</f>
        <v>0</v>
      </c>
      <c r="Z334" s="49">
        <f ca="1">MAX(Marine!CA_gross_rev_gas_fp-Marine!CA_roy_gas_fp-(CA_cost_recovered_gas*Marine!CA_rev_gas_perc)-(CA_excess_cost_recovery_gas*Marine!CA_rev_gas_perc),0)</f>
        <v>0</v>
      </c>
      <c r="AA334" s="49">
        <f ca="1">MAX(Marine!CA_gross_rev_gas_fp-Marine!CA_roy_gas_fp-(CA_cost_recovered_gas*Marine!CA_rev_gas_perc)-(CA_excess_cost_recovery_gas*Marine!CA_rev_gas_perc),0)</f>
        <v>0</v>
      </c>
      <c r="AB334" s="49">
        <f ca="1">MAX(Marine!CA_gross_rev_gas_fp-Marine!CA_roy_gas_fp-(CA_cost_recovered_gas*Marine!CA_rev_gas_perc)-(CA_excess_cost_recovery_gas*Marine!CA_rev_gas_perc),0)</f>
        <v>0</v>
      </c>
      <c r="AC334" s="49">
        <f ca="1">MAX(Marine!CA_gross_rev_gas_fp-Marine!CA_roy_gas_fp-(CA_cost_recovered_gas*Marine!CA_rev_gas_perc)-(CA_excess_cost_recovery_gas*Marine!CA_rev_gas_perc),0)</f>
        <v>0</v>
      </c>
      <c r="AD334" s="49">
        <f ca="1">MAX(Marine!CA_gross_rev_gas_fp-Marine!CA_roy_gas_fp-(CA_cost_recovered_gas*Marine!CA_rev_gas_perc)-(CA_excess_cost_recovery_gas*Marine!CA_rev_gas_perc),0)</f>
        <v>0</v>
      </c>
      <c r="AE334" s="49">
        <f ca="1">MAX(Marine!CA_gross_rev_gas_fp-Marine!CA_roy_gas_fp-(CA_cost_recovered_gas*Marine!CA_rev_gas_perc)-(CA_excess_cost_recovery_gas*Marine!CA_rev_gas_perc),0)</f>
        <v>0</v>
      </c>
      <c r="AF334" s="49">
        <f ca="1">MAX(Marine!CA_gross_rev_gas_fp-Marine!CA_roy_gas_fp-(CA_cost_recovered_gas*Marine!CA_rev_gas_perc)-(CA_excess_cost_recovery_gas*Marine!CA_rev_gas_perc),0)</f>
        <v>0</v>
      </c>
      <c r="AG334" s="49">
        <f ca="1">MAX(Marine!CA_gross_rev_gas_fp-Marine!CA_roy_gas_fp-(CA_cost_recovered_gas*Marine!CA_rev_gas_perc)-(CA_excess_cost_recovery_gas*Marine!CA_rev_gas_perc),0)</f>
        <v>0</v>
      </c>
      <c r="AH334" s="49">
        <f ca="1">MAX(Marine!CA_gross_rev_gas_fp-Marine!CA_roy_gas_fp-(CA_cost_recovered_gas*Marine!CA_rev_gas_perc)-(CA_excess_cost_recovery_gas*Marine!CA_rev_gas_perc),0)</f>
        <v>0</v>
      </c>
      <c r="AI334" s="49">
        <f ca="1">MAX(Marine!CA_gross_rev_gas_fp-Marine!CA_roy_gas_fp-(CA_cost_recovered_gas*Marine!CA_rev_gas_perc)-(CA_excess_cost_recovery_gas*Marine!CA_rev_gas_perc),0)</f>
        <v>0</v>
      </c>
      <c r="AJ334" s="49">
        <f ca="1">MAX(Marine!CA_gross_rev_gas_fp-Marine!CA_roy_gas_fp-(CA_cost_recovered_gas*Marine!CA_rev_gas_perc)-(CA_excess_cost_recovery_gas*Marine!CA_rev_gas_perc),0)</f>
        <v>0</v>
      </c>
      <c r="AK334" s="49">
        <f ca="1">MAX(Marine!CA_gross_rev_gas_fp-Marine!CA_roy_gas_fp-(CA_cost_recovered_gas*Marine!CA_rev_gas_perc)-(CA_excess_cost_recovery_gas*Marine!CA_rev_gas_perc),0)</f>
        <v>0</v>
      </c>
      <c r="AL334" s="49">
        <f ca="1">MAX(Marine!CA_gross_rev_gas_fp-Marine!CA_roy_gas_fp-(CA_cost_recovered_gas*Marine!CA_rev_gas_perc)-(CA_excess_cost_recovery_gas*Marine!CA_rev_gas_perc),0)</f>
        <v>0</v>
      </c>
      <c r="AM334" s="49">
        <f ca="1">MAX(Marine!CA_gross_rev_gas_fp-Marine!CA_roy_gas_fp-(CA_cost_recovered_gas*Marine!CA_rev_gas_perc)-(CA_excess_cost_recovery_gas*Marine!CA_rev_gas_perc),0)</f>
        <v>0</v>
      </c>
      <c r="AN334" s="49">
        <f ca="1">MAX(Marine!CA_gross_rev_gas_fp-Marine!CA_roy_gas_fp-(CA_cost_recovered_gas*Marine!CA_rev_gas_perc)-(CA_excess_cost_recovery_gas*Marine!CA_rev_gas_perc),0)</f>
        <v>0</v>
      </c>
      <c r="AO334" s="49">
        <f ca="1">MAX(Marine!CA_gross_rev_gas_fp-Marine!CA_roy_gas_fp-(CA_cost_recovered_gas*Marine!CA_rev_gas_perc)-(CA_excess_cost_recovery_gas*Marine!CA_rev_gas_perc),0)</f>
        <v>0</v>
      </c>
      <c r="AP334" s="49">
        <f ca="1">MAX(Marine!CA_gross_rev_gas_fp-Marine!CA_roy_gas_fp-(CA_cost_recovered_gas*Marine!CA_rev_gas_perc)-(CA_excess_cost_recovery_gas*Marine!CA_rev_gas_perc),0)</f>
        <v>0</v>
      </c>
      <c r="AQ334" s="49">
        <f ca="1">MAX(Marine!CA_gross_rev_gas_fp-Marine!CA_roy_gas_fp-(CA_cost_recovered_gas*Marine!CA_rev_gas_perc)-(CA_excess_cost_recovery_gas*Marine!CA_rev_gas_perc),0)</f>
        <v>0</v>
      </c>
      <c r="AR334" s="49">
        <f ca="1">MAX(Marine!CA_gross_rev_gas_fp-Marine!CA_roy_gas_fp-(CA_cost_recovered_gas*Marine!CA_rev_gas_perc)-(CA_excess_cost_recovery_gas*Marine!CA_rev_gas_perc),0)</f>
        <v>0</v>
      </c>
      <c r="AS334" s="49">
        <f ca="1">MAX(Marine!CA_gross_rev_gas_fp-Marine!CA_roy_gas_fp-(CA_cost_recovered_gas*Marine!CA_rev_gas_perc)-(CA_excess_cost_recovery_gas*Marine!CA_rev_gas_perc),0)</f>
        <v>0</v>
      </c>
      <c r="AT334" s="49">
        <f ca="1">MAX(Marine!CA_gross_rev_gas_fp-Marine!CA_roy_gas_fp-(CA_cost_recovered_gas*Marine!CA_rev_gas_perc)-(CA_excess_cost_recovery_gas*Marine!CA_rev_gas_perc),0)</f>
        <v>0</v>
      </c>
      <c r="AU334" s="49">
        <f ca="1">MAX(Marine!CA_gross_rev_gas_fp-Marine!CA_roy_gas_fp-(CA_cost_recovered_gas*Marine!CA_rev_gas_perc)-(CA_excess_cost_recovery_gas*Marine!CA_rev_gas_perc),0)</f>
        <v>0</v>
      </c>
      <c r="AV334" s="49">
        <f ca="1">MAX(Marine!CA_gross_rev_gas_fp-Marine!CA_roy_gas_fp-(CA_cost_recovered_gas*Marine!CA_rev_gas_perc)-(CA_excess_cost_recovery_gas*Marine!CA_rev_gas_perc),0)</f>
        <v>0</v>
      </c>
      <c r="AW334" s="49">
        <f ca="1">MAX(Marine!CA_gross_rev_gas_fp-Marine!CA_roy_gas_fp-(CA_cost_recovered_gas*Marine!CA_rev_gas_perc)-(CA_excess_cost_recovery_gas*Marine!CA_rev_gas_perc),0)</f>
        <v>0</v>
      </c>
      <c r="AX334" s="49">
        <f ca="1">MAX(Marine!CA_gross_rev_gas_fp-Marine!CA_roy_gas_fp-(CA_cost_recovered_gas*Marine!CA_rev_gas_perc)-(CA_excess_cost_recovery_gas*Marine!CA_rev_gas_perc),0)</f>
        <v>0</v>
      </c>
      <c r="AY334" s="49">
        <f ca="1">MAX(Marine!CA_gross_rev_gas_fp-Marine!CA_roy_gas_fp-(CA_cost_recovered_gas*Marine!CA_rev_gas_perc)-(CA_excess_cost_recovery_gas*Marine!CA_rev_gas_perc),0)</f>
        <v>0</v>
      </c>
      <c r="AZ334" s="49">
        <f ca="1">MAX(Marine!CA_gross_rev_gas_fp-Marine!CA_roy_gas_fp-(CA_cost_recovered_gas*Marine!CA_rev_gas_perc)-(CA_excess_cost_recovery_gas*Marine!CA_rev_gas_perc),0)</f>
        <v>0</v>
      </c>
      <c r="BA334" s="49">
        <f ca="1">MAX(Marine!CA_gross_rev_gas_fp-Marine!CA_roy_gas_fp-(CA_cost_recovered_gas*Marine!CA_rev_gas_perc)-(CA_excess_cost_recovery_gas*Marine!CA_rev_gas_perc),0)</f>
        <v>0</v>
      </c>
      <c r="BB334" s="49">
        <f ca="1">MAX(Marine!CA_gross_rev_gas_fp-Marine!CA_roy_gas_fp-(CA_cost_recovered_gas*Marine!CA_rev_gas_perc)-(CA_excess_cost_recovery_gas*Marine!CA_rev_gas_perc),0)</f>
        <v>0</v>
      </c>
      <c r="BC334" s="49">
        <f ca="1">MAX(Marine!CA_gross_rev_gas_fp-Marine!CA_roy_gas_fp-(CA_cost_recovered_gas*Marine!CA_rev_gas_perc)-(CA_excess_cost_recovery_gas*Marine!CA_rev_gas_perc),0)</f>
        <v>0</v>
      </c>
      <c r="BD334" s="49">
        <f ca="1">MAX(Marine!CA_gross_rev_gas_fp-Marine!CA_roy_gas_fp-(CA_cost_recovered_gas*Marine!CA_rev_gas_perc)-(CA_excess_cost_recovery_gas*Marine!CA_rev_gas_perc),0)</f>
        <v>0</v>
      </c>
      <c r="BE334" s="49">
        <f ca="1">MAX(Marine!CA_gross_rev_gas_fp-Marine!CA_roy_gas_fp-(CA_cost_recovered_gas*Marine!CA_rev_gas_perc)-(CA_excess_cost_recovery_gas*Marine!CA_rev_gas_perc),0)</f>
        <v>0</v>
      </c>
      <c r="BF334" s="49">
        <f ca="1">MAX(Marine!CA_gross_rev_gas_fp-Marine!CA_roy_gas_fp-(CA_cost_recovered_gas*Marine!CA_rev_gas_perc)-(CA_excess_cost_recovery_gas*Marine!CA_rev_gas_perc),0)</f>
        <v>0</v>
      </c>
      <c r="BG334" s="49">
        <f ca="1">MAX(Marine!CA_gross_rev_gas_fp-Marine!CA_roy_gas_fp-(CA_cost_recovered_gas*Marine!CA_rev_gas_perc)-(CA_excess_cost_recovery_gas*Marine!CA_rev_gas_perc),0)</f>
        <v>0</v>
      </c>
      <c r="BH334" s="49">
        <f ca="1">MAX(Marine!CA_gross_rev_gas_fp-Marine!CA_roy_gas_fp-(CA_cost_recovered_gas*Marine!CA_rev_gas_perc)-(CA_excess_cost_recovery_gas*Marine!CA_rev_gas_perc),0)</f>
        <v>0</v>
      </c>
      <c r="BI334" s="49">
        <f ca="1">MAX(Marine!CA_gross_rev_gas_fp-Marine!CA_roy_gas_fp-(CA_cost_recovered_gas*Marine!CA_rev_gas_perc)-(CA_excess_cost_recovery_gas*Marine!CA_rev_gas_perc),0)</f>
        <v>0</v>
      </c>
      <c r="BJ334" s="49">
        <f ca="1">MAX(Marine!CA_gross_rev_gas_fp-Marine!CA_roy_gas_fp-(CA_cost_recovered_gas*Marine!CA_rev_gas_perc)-(CA_excess_cost_recovery_gas*Marine!CA_rev_gas_perc),0)</f>
        <v>0</v>
      </c>
      <c r="BK334" s="49">
        <f ca="1">MAX(Marine!CA_gross_rev_gas_fp-Marine!CA_roy_gas_fp-(CA_cost_recovered_gas*Marine!CA_rev_gas_perc)-(CA_excess_cost_recovery_gas*Marine!CA_rev_gas_perc),0)</f>
        <v>0</v>
      </c>
      <c r="BL334" s="49">
        <f ca="1">MAX(Marine!CA_gross_rev_gas_fp-Marine!CA_roy_gas_fp-(CA_cost_recovered_gas*Marine!CA_rev_gas_perc)-(CA_excess_cost_recovery_gas*Marine!CA_rev_gas_perc),0)</f>
        <v>0</v>
      </c>
      <c r="BM334" s="49">
        <f ca="1">MAX(Marine!CA_gross_rev_gas_fp-Marine!CA_roy_gas_fp-(CA_cost_recovered_gas*Marine!CA_rev_gas_perc)-(CA_excess_cost_recovery_gas*Marine!CA_rev_gas_perc),0)</f>
        <v>0</v>
      </c>
      <c r="BN334" s="49">
        <f ca="1">MAX(Marine!CA_gross_rev_gas_fp-Marine!CA_roy_gas_fp-(CA_cost_recovered_gas*Marine!CA_rev_gas_perc)-(CA_excess_cost_recovery_gas*Marine!CA_rev_gas_perc),0)</f>
        <v>0</v>
      </c>
      <c r="BO334" s="49">
        <f ca="1">MAX(Marine!CA_gross_rev_gas_fp-Marine!CA_roy_gas_fp-(CA_cost_recovered_gas*Marine!CA_rev_gas_perc)-(CA_excess_cost_recovery_gas*Marine!CA_rev_gas_perc),0)</f>
        <v>0</v>
      </c>
      <c r="BP334" s="49">
        <f ca="1">MAX(Marine!CA_gross_rev_gas_fp-Marine!CA_roy_gas_fp-(CA_cost_recovered_gas*Marine!CA_rev_gas_perc)-(CA_excess_cost_recovery_gas*Marine!CA_rev_gas_perc),0)</f>
        <v>0</v>
      </c>
      <c r="BQ334" s="49">
        <f ca="1">MAX(Marine!CA_gross_rev_gas_fp-Marine!CA_roy_gas_fp-(CA_cost_recovered_gas*Marine!CA_rev_gas_perc)-(CA_excess_cost_recovery_gas*Marine!CA_rev_gas_perc),0)</f>
        <v>0</v>
      </c>
      <c r="BR334" s="49">
        <f ca="1">MAX(Marine!CA_gross_rev_gas_fp-Marine!CA_roy_gas_fp-(CA_cost_recovered_gas*Marine!CA_rev_gas_perc)-(CA_excess_cost_recovery_gas*Marine!CA_rev_gas_perc),0)</f>
        <v>0</v>
      </c>
      <c r="BS334" s="49">
        <f ca="1">MAX(Marine!CA_gross_rev_gas_fp-Marine!CA_roy_gas_fp-(CA_cost_recovered_gas*Marine!CA_rev_gas_perc)-(CA_excess_cost_recovery_gas*Marine!CA_rev_gas_perc),0)</f>
        <v>0</v>
      </c>
    </row>
    <row r="335" spans="3:71" outlineLevel="1" x14ac:dyDescent="0.2">
      <c r="D335" s="50" t="s">
        <v>234</v>
      </c>
      <c r="J335" s="26"/>
      <c r="L335" s="53">
        <f t="shared" ref="L335:AQ335" si="127">_xlfn.SINGLE(PS_cont_rate_gas)</f>
        <v>0.5</v>
      </c>
      <c r="M335" s="53">
        <f t="shared" si="127"/>
        <v>0.5</v>
      </c>
      <c r="N335" s="53">
        <f t="shared" si="127"/>
        <v>0.5</v>
      </c>
      <c r="O335" s="53">
        <f t="shared" si="127"/>
        <v>0.5</v>
      </c>
      <c r="P335" s="53">
        <f t="shared" si="127"/>
        <v>0.5</v>
      </c>
      <c r="Q335" s="53">
        <f t="shared" si="127"/>
        <v>0.5</v>
      </c>
      <c r="R335" s="53">
        <f t="shared" si="127"/>
        <v>0.5</v>
      </c>
      <c r="S335" s="53">
        <f t="shared" si="127"/>
        <v>0.5</v>
      </c>
      <c r="T335" s="53">
        <f t="shared" si="127"/>
        <v>0.5</v>
      </c>
      <c r="U335" s="53">
        <f t="shared" si="127"/>
        <v>0.5</v>
      </c>
      <c r="V335" s="53">
        <f t="shared" si="127"/>
        <v>0.5</v>
      </c>
      <c r="W335" s="53">
        <f t="shared" si="127"/>
        <v>0.5</v>
      </c>
      <c r="X335" s="53">
        <f t="shared" si="127"/>
        <v>0.5</v>
      </c>
      <c r="Y335" s="53">
        <f t="shared" si="127"/>
        <v>0.5</v>
      </c>
      <c r="Z335" s="53">
        <f t="shared" si="127"/>
        <v>0.5</v>
      </c>
      <c r="AA335" s="53">
        <f t="shared" si="127"/>
        <v>0.5</v>
      </c>
      <c r="AB335" s="53">
        <f t="shared" si="127"/>
        <v>0.5</v>
      </c>
      <c r="AC335" s="53">
        <f t="shared" si="127"/>
        <v>0.5</v>
      </c>
      <c r="AD335" s="53">
        <f t="shared" si="127"/>
        <v>0.5</v>
      </c>
      <c r="AE335" s="53">
        <f t="shared" si="127"/>
        <v>0.5</v>
      </c>
      <c r="AF335" s="53">
        <f t="shared" si="127"/>
        <v>0.5</v>
      </c>
      <c r="AG335" s="53">
        <f t="shared" si="127"/>
        <v>0.5</v>
      </c>
      <c r="AH335" s="53">
        <f t="shared" si="127"/>
        <v>0.5</v>
      </c>
      <c r="AI335" s="53">
        <f t="shared" si="127"/>
        <v>0.5</v>
      </c>
      <c r="AJ335" s="53">
        <f t="shared" si="127"/>
        <v>0.5</v>
      </c>
      <c r="AK335" s="53">
        <f t="shared" si="127"/>
        <v>0.5</v>
      </c>
      <c r="AL335" s="53">
        <f t="shared" si="127"/>
        <v>0.5</v>
      </c>
      <c r="AM335" s="53">
        <f t="shared" si="127"/>
        <v>0.5</v>
      </c>
      <c r="AN335" s="53">
        <f t="shared" si="127"/>
        <v>0.5</v>
      </c>
      <c r="AO335" s="53">
        <f t="shared" si="127"/>
        <v>0.5</v>
      </c>
      <c r="AP335" s="53">
        <f t="shared" si="127"/>
        <v>0.5</v>
      </c>
      <c r="AQ335" s="53">
        <f t="shared" si="127"/>
        <v>0.5</v>
      </c>
      <c r="AR335" s="53">
        <f t="shared" ref="AR335:BS335" si="128">_xlfn.SINGLE(PS_cont_rate_gas)</f>
        <v>0.5</v>
      </c>
      <c r="AS335" s="53">
        <f t="shared" si="128"/>
        <v>0.5</v>
      </c>
      <c r="AT335" s="53">
        <f t="shared" si="128"/>
        <v>0.5</v>
      </c>
      <c r="AU335" s="53">
        <f t="shared" si="128"/>
        <v>0.5</v>
      </c>
      <c r="AV335" s="53">
        <f t="shared" si="128"/>
        <v>0.5</v>
      </c>
      <c r="AW335" s="53">
        <f t="shared" si="128"/>
        <v>0.5</v>
      </c>
      <c r="AX335" s="53">
        <f t="shared" si="128"/>
        <v>0.5</v>
      </c>
      <c r="AY335" s="53">
        <f t="shared" si="128"/>
        <v>0.5</v>
      </c>
      <c r="AZ335" s="53">
        <f t="shared" si="128"/>
        <v>0.5</v>
      </c>
      <c r="BA335" s="53">
        <f t="shared" si="128"/>
        <v>0.5</v>
      </c>
      <c r="BB335" s="53">
        <f t="shared" si="128"/>
        <v>0.5</v>
      </c>
      <c r="BC335" s="53">
        <f t="shared" si="128"/>
        <v>0.5</v>
      </c>
      <c r="BD335" s="53">
        <f t="shared" si="128"/>
        <v>0.5</v>
      </c>
      <c r="BE335" s="53">
        <f t="shared" si="128"/>
        <v>0.5</v>
      </c>
      <c r="BF335" s="53">
        <f t="shared" si="128"/>
        <v>0.5</v>
      </c>
      <c r="BG335" s="53">
        <f t="shared" si="128"/>
        <v>0.5</v>
      </c>
      <c r="BH335" s="53">
        <f t="shared" si="128"/>
        <v>0.5</v>
      </c>
      <c r="BI335" s="53">
        <f t="shared" si="128"/>
        <v>0.5</v>
      </c>
      <c r="BJ335" s="53">
        <f t="shared" si="128"/>
        <v>0.5</v>
      </c>
      <c r="BK335" s="53">
        <f t="shared" si="128"/>
        <v>0.5</v>
      </c>
      <c r="BL335" s="53">
        <f t="shared" si="128"/>
        <v>0.5</v>
      </c>
      <c r="BM335" s="53">
        <f t="shared" si="128"/>
        <v>0.5</v>
      </c>
      <c r="BN335" s="53">
        <f t="shared" si="128"/>
        <v>0.5</v>
      </c>
      <c r="BO335" s="53">
        <f t="shared" si="128"/>
        <v>0.5</v>
      </c>
      <c r="BP335" s="53">
        <f t="shared" si="128"/>
        <v>0.5</v>
      </c>
      <c r="BQ335" s="53">
        <f t="shared" si="128"/>
        <v>0.5</v>
      </c>
      <c r="BR335" s="53">
        <f t="shared" si="128"/>
        <v>0.5</v>
      </c>
      <c r="BS335" s="53">
        <f t="shared" si="128"/>
        <v>0.5</v>
      </c>
    </row>
    <row r="336" spans="3:71" outlineLevel="1" x14ac:dyDescent="0.2">
      <c r="D336" t="s">
        <v>876</v>
      </c>
      <c r="I336" s="30">
        <f t="shared" ca="1" si="126"/>
        <v>240.38452087214779</v>
      </c>
      <c r="J336" s="26" t="s">
        <v>148</v>
      </c>
      <c r="L336" s="49">
        <f ca="1">L334*L335</f>
        <v>0</v>
      </c>
      <c r="M336" s="49">
        <f t="shared" ref="M336:BS336" ca="1" si="129">M334*M335</f>
        <v>0.61549519470506597</v>
      </c>
      <c r="N336" s="49">
        <f t="shared" ca="1" si="129"/>
        <v>11.126002933881477</v>
      </c>
      <c r="O336" s="49">
        <f t="shared" ca="1" si="129"/>
        <v>17.395642546734294</v>
      </c>
      <c r="P336" s="49">
        <f t="shared" ca="1" si="129"/>
        <v>19.357974551296092</v>
      </c>
      <c r="Q336" s="49">
        <f t="shared" ca="1" si="129"/>
        <v>22.959240870594883</v>
      </c>
      <c r="R336" s="49">
        <f t="shared" ca="1" si="129"/>
        <v>2.5512192124292457E-5</v>
      </c>
      <c r="S336" s="49">
        <f t="shared" ca="1" si="129"/>
        <v>27.009716170463523</v>
      </c>
      <c r="T336" s="49">
        <f t="shared" ca="1" si="129"/>
        <v>28.64137501196975</v>
      </c>
      <c r="U336" s="49">
        <f t="shared" ca="1" si="129"/>
        <v>28.623392688968693</v>
      </c>
      <c r="V336" s="49">
        <f t="shared" ca="1" si="129"/>
        <v>28.423217964351494</v>
      </c>
      <c r="W336" s="49">
        <f t="shared" ca="1" si="129"/>
        <v>28.22477402409136</v>
      </c>
      <c r="X336" s="49">
        <f t="shared" ca="1" si="129"/>
        <v>28.007663402899016</v>
      </c>
      <c r="Y336" s="49">
        <f t="shared" ca="1" si="129"/>
        <v>0</v>
      </c>
      <c r="Z336" s="49">
        <f t="shared" ca="1" si="129"/>
        <v>0</v>
      </c>
      <c r="AA336" s="49">
        <f t="shared" ca="1" si="129"/>
        <v>0</v>
      </c>
      <c r="AB336" s="49">
        <f t="shared" ca="1" si="129"/>
        <v>0</v>
      </c>
      <c r="AC336" s="49">
        <f t="shared" ca="1" si="129"/>
        <v>0</v>
      </c>
      <c r="AD336" s="49">
        <f t="shared" ca="1" si="129"/>
        <v>0</v>
      </c>
      <c r="AE336" s="49">
        <f t="shared" ca="1" si="129"/>
        <v>0</v>
      </c>
      <c r="AF336" s="49">
        <f t="shared" ca="1" si="129"/>
        <v>0</v>
      </c>
      <c r="AG336" s="49">
        <f t="shared" ca="1" si="129"/>
        <v>0</v>
      </c>
      <c r="AH336" s="49">
        <f t="shared" ca="1" si="129"/>
        <v>0</v>
      </c>
      <c r="AI336" s="49">
        <f t="shared" ca="1" si="129"/>
        <v>0</v>
      </c>
      <c r="AJ336" s="49">
        <f t="shared" ca="1" si="129"/>
        <v>0</v>
      </c>
      <c r="AK336" s="49">
        <f t="shared" ca="1" si="129"/>
        <v>0</v>
      </c>
      <c r="AL336" s="49">
        <f t="shared" ca="1" si="129"/>
        <v>0</v>
      </c>
      <c r="AM336" s="49">
        <f t="shared" ca="1" si="129"/>
        <v>0</v>
      </c>
      <c r="AN336" s="49">
        <f t="shared" ca="1" si="129"/>
        <v>0</v>
      </c>
      <c r="AO336" s="49">
        <f t="shared" ca="1" si="129"/>
        <v>0</v>
      </c>
      <c r="AP336" s="49">
        <f t="shared" ca="1" si="129"/>
        <v>0</v>
      </c>
      <c r="AQ336" s="49">
        <f t="shared" ca="1" si="129"/>
        <v>0</v>
      </c>
      <c r="AR336" s="49">
        <f t="shared" ca="1" si="129"/>
        <v>0</v>
      </c>
      <c r="AS336" s="49">
        <f t="shared" ca="1" si="129"/>
        <v>0</v>
      </c>
      <c r="AT336" s="49">
        <f t="shared" ca="1" si="129"/>
        <v>0</v>
      </c>
      <c r="AU336" s="49">
        <f t="shared" ca="1" si="129"/>
        <v>0</v>
      </c>
      <c r="AV336" s="49">
        <f t="shared" ca="1" si="129"/>
        <v>0</v>
      </c>
      <c r="AW336" s="49">
        <f t="shared" ca="1" si="129"/>
        <v>0</v>
      </c>
      <c r="AX336" s="49">
        <f t="shared" ca="1" si="129"/>
        <v>0</v>
      </c>
      <c r="AY336" s="49">
        <f t="shared" ca="1" si="129"/>
        <v>0</v>
      </c>
      <c r="AZ336" s="49">
        <f t="shared" ca="1" si="129"/>
        <v>0</v>
      </c>
      <c r="BA336" s="49">
        <f t="shared" ca="1" si="129"/>
        <v>0</v>
      </c>
      <c r="BB336" s="49">
        <f t="shared" ca="1" si="129"/>
        <v>0</v>
      </c>
      <c r="BC336" s="49">
        <f t="shared" ca="1" si="129"/>
        <v>0</v>
      </c>
      <c r="BD336" s="49">
        <f t="shared" ca="1" si="129"/>
        <v>0</v>
      </c>
      <c r="BE336" s="49">
        <f t="shared" ca="1" si="129"/>
        <v>0</v>
      </c>
      <c r="BF336" s="49">
        <f t="shared" ca="1" si="129"/>
        <v>0</v>
      </c>
      <c r="BG336" s="49">
        <f t="shared" ca="1" si="129"/>
        <v>0</v>
      </c>
      <c r="BH336" s="49">
        <f t="shared" ca="1" si="129"/>
        <v>0</v>
      </c>
      <c r="BI336" s="49">
        <f t="shared" ca="1" si="129"/>
        <v>0</v>
      </c>
      <c r="BJ336" s="49">
        <f t="shared" ca="1" si="129"/>
        <v>0</v>
      </c>
      <c r="BK336" s="49">
        <f t="shared" ca="1" si="129"/>
        <v>0</v>
      </c>
      <c r="BL336" s="49">
        <f t="shared" ca="1" si="129"/>
        <v>0</v>
      </c>
      <c r="BM336" s="49">
        <f t="shared" ca="1" si="129"/>
        <v>0</v>
      </c>
      <c r="BN336" s="49">
        <f t="shared" ca="1" si="129"/>
        <v>0</v>
      </c>
      <c r="BO336" s="49">
        <f t="shared" ca="1" si="129"/>
        <v>0</v>
      </c>
      <c r="BP336" s="49">
        <f t="shared" ca="1" si="129"/>
        <v>0</v>
      </c>
      <c r="BQ336" s="49">
        <f t="shared" ca="1" si="129"/>
        <v>0</v>
      </c>
      <c r="BR336" s="49">
        <f t="shared" ca="1" si="129"/>
        <v>0</v>
      </c>
      <c r="BS336" s="49">
        <f t="shared" ca="1" si="129"/>
        <v>0</v>
      </c>
    </row>
    <row r="337" spans="1:71" outlineLevel="1" x14ac:dyDescent="0.2">
      <c r="D337" t="s">
        <v>877</v>
      </c>
      <c r="I337" s="30">
        <f t="shared" ca="1" si="126"/>
        <v>240.38452087214779</v>
      </c>
      <c r="J337" s="26" t="s">
        <v>148</v>
      </c>
      <c r="L337" s="49">
        <f ca="1">L334-L336</f>
        <v>0</v>
      </c>
      <c r="M337" s="49">
        <f t="shared" ref="M337:BS337" ca="1" si="130">M334-M336</f>
        <v>0.61549519470506597</v>
      </c>
      <c r="N337" s="49">
        <f t="shared" ca="1" si="130"/>
        <v>11.126002933881477</v>
      </c>
      <c r="O337" s="49">
        <f t="shared" ca="1" si="130"/>
        <v>17.395642546734294</v>
      </c>
      <c r="P337" s="49">
        <f t="shared" ca="1" si="130"/>
        <v>19.357974551296092</v>
      </c>
      <c r="Q337" s="49">
        <f t="shared" ca="1" si="130"/>
        <v>22.959240870594883</v>
      </c>
      <c r="R337" s="49">
        <f t="shared" ca="1" si="130"/>
        <v>2.5512192124292457E-5</v>
      </c>
      <c r="S337" s="49">
        <f t="shared" ca="1" si="130"/>
        <v>27.009716170463523</v>
      </c>
      <c r="T337" s="49">
        <f t="shared" ca="1" si="130"/>
        <v>28.64137501196975</v>
      </c>
      <c r="U337" s="49">
        <f t="shared" ca="1" si="130"/>
        <v>28.623392688968693</v>
      </c>
      <c r="V337" s="49">
        <f t="shared" ca="1" si="130"/>
        <v>28.423217964351494</v>
      </c>
      <c r="W337" s="49">
        <f t="shared" ca="1" si="130"/>
        <v>28.22477402409136</v>
      </c>
      <c r="X337" s="49">
        <f t="shared" ca="1" si="130"/>
        <v>28.007663402899016</v>
      </c>
      <c r="Y337" s="49">
        <f t="shared" ca="1" si="130"/>
        <v>0</v>
      </c>
      <c r="Z337" s="49">
        <f t="shared" ca="1" si="130"/>
        <v>0</v>
      </c>
      <c r="AA337" s="49">
        <f t="shared" ca="1" si="130"/>
        <v>0</v>
      </c>
      <c r="AB337" s="49">
        <f t="shared" ca="1" si="130"/>
        <v>0</v>
      </c>
      <c r="AC337" s="49">
        <f t="shared" ca="1" si="130"/>
        <v>0</v>
      </c>
      <c r="AD337" s="49">
        <f t="shared" ca="1" si="130"/>
        <v>0</v>
      </c>
      <c r="AE337" s="49">
        <f t="shared" ca="1" si="130"/>
        <v>0</v>
      </c>
      <c r="AF337" s="49">
        <f t="shared" ca="1" si="130"/>
        <v>0</v>
      </c>
      <c r="AG337" s="49">
        <f t="shared" ca="1" si="130"/>
        <v>0</v>
      </c>
      <c r="AH337" s="49">
        <f t="shared" ca="1" si="130"/>
        <v>0</v>
      </c>
      <c r="AI337" s="49">
        <f t="shared" ca="1" si="130"/>
        <v>0</v>
      </c>
      <c r="AJ337" s="49">
        <f t="shared" ca="1" si="130"/>
        <v>0</v>
      </c>
      <c r="AK337" s="49">
        <f t="shared" ca="1" si="130"/>
        <v>0</v>
      </c>
      <c r="AL337" s="49">
        <f t="shared" ca="1" si="130"/>
        <v>0</v>
      </c>
      <c r="AM337" s="49">
        <f t="shared" ca="1" si="130"/>
        <v>0</v>
      </c>
      <c r="AN337" s="49">
        <f t="shared" ca="1" si="130"/>
        <v>0</v>
      </c>
      <c r="AO337" s="49">
        <f t="shared" ca="1" si="130"/>
        <v>0</v>
      </c>
      <c r="AP337" s="49">
        <f t="shared" ca="1" si="130"/>
        <v>0</v>
      </c>
      <c r="AQ337" s="49">
        <f t="shared" ca="1" si="130"/>
        <v>0</v>
      </c>
      <c r="AR337" s="49">
        <f t="shared" ca="1" si="130"/>
        <v>0</v>
      </c>
      <c r="AS337" s="49">
        <f t="shared" ca="1" si="130"/>
        <v>0</v>
      </c>
      <c r="AT337" s="49">
        <f t="shared" ca="1" si="130"/>
        <v>0</v>
      </c>
      <c r="AU337" s="49">
        <f t="shared" ca="1" si="130"/>
        <v>0</v>
      </c>
      <c r="AV337" s="49">
        <f t="shared" ca="1" si="130"/>
        <v>0</v>
      </c>
      <c r="AW337" s="49">
        <f t="shared" ca="1" si="130"/>
        <v>0</v>
      </c>
      <c r="AX337" s="49">
        <f t="shared" ca="1" si="130"/>
        <v>0</v>
      </c>
      <c r="AY337" s="49">
        <f t="shared" ca="1" si="130"/>
        <v>0</v>
      </c>
      <c r="AZ337" s="49">
        <f t="shared" ca="1" si="130"/>
        <v>0</v>
      </c>
      <c r="BA337" s="49">
        <f t="shared" ca="1" si="130"/>
        <v>0</v>
      </c>
      <c r="BB337" s="49">
        <f t="shared" ca="1" si="130"/>
        <v>0</v>
      </c>
      <c r="BC337" s="49">
        <f t="shared" ca="1" si="130"/>
        <v>0</v>
      </c>
      <c r="BD337" s="49">
        <f t="shared" ca="1" si="130"/>
        <v>0</v>
      </c>
      <c r="BE337" s="49">
        <f t="shared" ca="1" si="130"/>
        <v>0</v>
      </c>
      <c r="BF337" s="49">
        <f t="shared" ca="1" si="130"/>
        <v>0</v>
      </c>
      <c r="BG337" s="49">
        <f t="shared" ca="1" si="130"/>
        <v>0</v>
      </c>
      <c r="BH337" s="49">
        <f t="shared" ca="1" si="130"/>
        <v>0</v>
      </c>
      <c r="BI337" s="49">
        <f t="shared" ca="1" si="130"/>
        <v>0</v>
      </c>
      <c r="BJ337" s="49">
        <f t="shared" ca="1" si="130"/>
        <v>0</v>
      </c>
      <c r="BK337" s="49">
        <f t="shared" ca="1" si="130"/>
        <v>0</v>
      </c>
      <c r="BL337" s="49">
        <f t="shared" ca="1" si="130"/>
        <v>0</v>
      </c>
      <c r="BM337" s="49">
        <f t="shared" ca="1" si="130"/>
        <v>0</v>
      </c>
      <c r="BN337" s="49">
        <f t="shared" ca="1" si="130"/>
        <v>0</v>
      </c>
      <c r="BO337" s="49">
        <f t="shared" ca="1" si="130"/>
        <v>0</v>
      </c>
      <c r="BP337" s="49">
        <f t="shared" ca="1" si="130"/>
        <v>0</v>
      </c>
      <c r="BQ337" s="49">
        <f t="shared" ca="1" si="130"/>
        <v>0</v>
      </c>
      <c r="BR337" s="49">
        <f t="shared" ca="1" si="130"/>
        <v>0</v>
      </c>
      <c r="BS337" s="49">
        <f t="shared" ca="1" si="130"/>
        <v>0</v>
      </c>
    </row>
    <row r="338" spans="1:71" outlineLevel="1" x14ac:dyDescent="0.2">
      <c r="J338" s="26"/>
      <c r="L338" s="55"/>
      <c r="M338" s="55"/>
      <c r="N338" s="55"/>
      <c r="O338" s="55"/>
      <c r="P338" s="55"/>
      <c r="Q338" s="55"/>
      <c r="R338" s="55"/>
      <c r="S338" s="55"/>
      <c r="T338" s="55"/>
      <c r="U338" s="55"/>
      <c r="V338" s="55"/>
      <c r="W338" s="55"/>
      <c r="X338" s="55"/>
      <c r="Y338" s="55"/>
      <c r="Z338" s="55"/>
      <c r="AA338" s="55"/>
      <c r="AB338" s="55"/>
      <c r="AC338" s="55"/>
      <c r="AD338" s="55"/>
      <c r="AE338" s="55"/>
      <c r="AF338" s="55"/>
      <c r="AG338" s="55"/>
      <c r="AH338" s="55"/>
      <c r="AI338" s="55"/>
      <c r="AJ338" s="55"/>
      <c r="AK338" s="55"/>
      <c r="AL338" s="55"/>
      <c r="AM338" s="55"/>
      <c r="AN338" s="55"/>
      <c r="AO338" s="55"/>
      <c r="AP338" s="55"/>
      <c r="AQ338" s="55"/>
      <c r="AR338" s="55"/>
      <c r="AS338" s="55"/>
      <c r="AT338" s="55"/>
      <c r="AU338" s="55"/>
      <c r="AV338" s="55"/>
      <c r="AW338" s="55"/>
      <c r="AX338" s="55"/>
      <c r="AY338" s="55"/>
      <c r="AZ338" s="55"/>
      <c r="BA338" s="55"/>
      <c r="BB338" s="55"/>
      <c r="BC338" s="55"/>
      <c r="BD338" s="55"/>
      <c r="BE338" s="55"/>
      <c r="BF338" s="55"/>
      <c r="BG338" s="55"/>
      <c r="BH338" s="55"/>
      <c r="BI338" s="55"/>
      <c r="BJ338" s="55"/>
      <c r="BK338" s="55"/>
      <c r="BL338" s="55"/>
      <c r="BM338" s="55"/>
      <c r="BN338" s="55"/>
      <c r="BO338" s="55"/>
      <c r="BP338" s="55"/>
      <c r="BQ338" s="55"/>
      <c r="BR338" s="55"/>
      <c r="BS338" s="55"/>
    </row>
    <row r="339" spans="1:71" outlineLevel="1" x14ac:dyDescent="0.2">
      <c r="D339" s="11" t="s">
        <v>875</v>
      </c>
      <c r="J339" s="26"/>
      <c r="L339" s="55"/>
      <c r="M339" s="55"/>
      <c r="N339" s="55"/>
      <c r="O339" s="55"/>
      <c r="P339" s="55"/>
      <c r="Q339" s="55"/>
      <c r="R339" s="55"/>
      <c r="S339" s="55"/>
      <c r="T339" s="55"/>
      <c r="U339" s="55"/>
      <c r="V339" s="55"/>
      <c r="W339" s="55"/>
      <c r="X339" s="55"/>
      <c r="Y339" s="55"/>
      <c r="Z339" s="55"/>
      <c r="AA339" s="55"/>
      <c r="AB339" s="55"/>
      <c r="AC339" s="55"/>
      <c r="AD339" s="55"/>
      <c r="AE339" s="55"/>
      <c r="AF339" s="55"/>
      <c r="AG339" s="55"/>
      <c r="AH339" s="55"/>
      <c r="AI339" s="55"/>
      <c r="AJ339" s="55"/>
      <c r="AK339" s="55"/>
      <c r="AL339" s="55"/>
      <c r="AM339" s="55"/>
      <c r="AN339" s="55"/>
      <c r="AO339" s="55"/>
      <c r="AP339" s="55"/>
      <c r="AQ339" s="55"/>
      <c r="AR339" s="55"/>
      <c r="AS339" s="55"/>
      <c r="AT339" s="55"/>
      <c r="AU339" s="55"/>
      <c r="AV339" s="55"/>
      <c r="AW339" s="55"/>
      <c r="AX339" s="55"/>
      <c r="AY339" s="55"/>
      <c r="AZ339" s="55"/>
      <c r="BA339" s="55"/>
      <c r="BB339" s="55"/>
      <c r="BC339" s="55"/>
      <c r="BD339" s="55"/>
      <c r="BE339" s="55"/>
      <c r="BF339" s="55"/>
      <c r="BG339" s="55"/>
      <c r="BH339" s="55"/>
      <c r="BI339" s="55"/>
      <c r="BJ339" s="55"/>
      <c r="BK339" s="55"/>
      <c r="BL339" s="55"/>
      <c r="BM339" s="55"/>
      <c r="BN339" s="55"/>
      <c r="BO339" s="55"/>
      <c r="BP339" s="55"/>
      <c r="BQ339" s="55"/>
      <c r="BR339" s="55"/>
      <c r="BS339" s="55"/>
    </row>
    <row r="340" spans="1:71" outlineLevel="1" x14ac:dyDescent="0.2">
      <c r="D340" s="50" t="s">
        <v>238</v>
      </c>
      <c r="I340" s="30">
        <f t="shared" ca="1" si="126"/>
        <v>142.23195660955395</v>
      </c>
      <c r="J340" s="26" t="s">
        <v>148</v>
      </c>
      <c r="L340" s="49">
        <f t="shared" ref="L340:AQ340" ca="1" si="131">MAX(CA_gross_rev_domestic_gas_fp-CA_roy_domestic_gas_fp-(CA_cost_recovered_gas*CA_rev_domestic_gas_perc)-(CA_excess_cost_recovery_gas*CA_rev_domestic_gas_perc),0)</f>
        <v>0</v>
      </c>
      <c r="M340" s="49">
        <f t="shared" ca="1" si="131"/>
        <v>0.54579901559234267</v>
      </c>
      <c r="N340" s="49">
        <f t="shared" ca="1" si="131"/>
        <v>6.7677606302801756</v>
      </c>
      <c r="O340" s="49">
        <f t="shared" ca="1" si="131"/>
        <v>10.588721945054504</v>
      </c>
      <c r="P340" s="49">
        <f t="shared" ca="1" si="131"/>
        <v>11.422527296724747</v>
      </c>
      <c r="Q340" s="49">
        <f t="shared" ca="1" si="131"/>
        <v>13.392299390290965</v>
      </c>
      <c r="R340" s="49">
        <f t="shared" ca="1" si="131"/>
        <v>1.4707028596239626E-5</v>
      </c>
      <c r="S340" s="49">
        <f t="shared" ca="1" si="131"/>
        <v>16.017799685231751</v>
      </c>
      <c r="T340" s="49">
        <f t="shared" ca="1" si="131"/>
        <v>16.830000903438897</v>
      </c>
      <c r="U340" s="49">
        <f t="shared" ca="1" si="131"/>
        <v>16.819830364286315</v>
      </c>
      <c r="V340" s="49">
        <f t="shared" ca="1" si="131"/>
        <v>16.718680348512372</v>
      </c>
      <c r="W340" s="49">
        <f t="shared" ca="1" si="131"/>
        <v>16.61925221713761</v>
      </c>
      <c r="X340" s="49">
        <f t="shared" ca="1" si="131"/>
        <v>16.509270105975666</v>
      </c>
      <c r="Y340" s="49">
        <f t="shared" ca="1" si="131"/>
        <v>0</v>
      </c>
      <c r="Z340" s="49">
        <f t="shared" ca="1" si="131"/>
        <v>0</v>
      </c>
      <c r="AA340" s="49">
        <f t="shared" ca="1" si="131"/>
        <v>0</v>
      </c>
      <c r="AB340" s="49">
        <f t="shared" ca="1" si="131"/>
        <v>0</v>
      </c>
      <c r="AC340" s="49">
        <f t="shared" ca="1" si="131"/>
        <v>0</v>
      </c>
      <c r="AD340" s="49">
        <f t="shared" ca="1" si="131"/>
        <v>0</v>
      </c>
      <c r="AE340" s="49">
        <f t="shared" ca="1" si="131"/>
        <v>0</v>
      </c>
      <c r="AF340" s="49">
        <f t="shared" ca="1" si="131"/>
        <v>0</v>
      </c>
      <c r="AG340" s="49">
        <f t="shared" ca="1" si="131"/>
        <v>0</v>
      </c>
      <c r="AH340" s="49">
        <f t="shared" ca="1" si="131"/>
        <v>0</v>
      </c>
      <c r="AI340" s="49">
        <f t="shared" ca="1" si="131"/>
        <v>0</v>
      </c>
      <c r="AJ340" s="49">
        <f t="shared" ca="1" si="131"/>
        <v>0</v>
      </c>
      <c r="AK340" s="49">
        <f t="shared" ca="1" si="131"/>
        <v>0</v>
      </c>
      <c r="AL340" s="49">
        <f t="shared" ca="1" si="131"/>
        <v>0</v>
      </c>
      <c r="AM340" s="49">
        <f t="shared" ca="1" si="131"/>
        <v>0</v>
      </c>
      <c r="AN340" s="49">
        <f t="shared" ca="1" si="131"/>
        <v>0</v>
      </c>
      <c r="AO340" s="49">
        <f t="shared" ca="1" si="131"/>
        <v>0</v>
      </c>
      <c r="AP340" s="49">
        <f t="shared" ca="1" si="131"/>
        <v>0</v>
      </c>
      <c r="AQ340" s="49">
        <f t="shared" ca="1" si="131"/>
        <v>0</v>
      </c>
      <c r="AR340" s="49">
        <f t="shared" ref="AR340:BS340" ca="1" si="132">MAX(CA_gross_rev_domestic_gas_fp-CA_roy_domestic_gas_fp-(CA_cost_recovered_gas*CA_rev_domestic_gas_perc)-(CA_excess_cost_recovery_gas*CA_rev_domestic_gas_perc),0)</f>
        <v>0</v>
      </c>
      <c r="AS340" s="49">
        <f t="shared" ca="1" si="132"/>
        <v>0</v>
      </c>
      <c r="AT340" s="49">
        <f t="shared" ca="1" si="132"/>
        <v>0</v>
      </c>
      <c r="AU340" s="49">
        <f t="shared" ca="1" si="132"/>
        <v>0</v>
      </c>
      <c r="AV340" s="49">
        <f t="shared" ca="1" si="132"/>
        <v>0</v>
      </c>
      <c r="AW340" s="49">
        <f t="shared" ca="1" si="132"/>
        <v>0</v>
      </c>
      <c r="AX340" s="49">
        <f t="shared" ca="1" si="132"/>
        <v>0</v>
      </c>
      <c r="AY340" s="49">
        <f t="shared" ca="1" si="132"/>
        <v>0</v>
      </c>
      <c r="AZ340" s="49">
        <f t="shared" ca="1" si="132"/>
        <v>0</v>
      </c>
      <c r="BA340" s="49">
        <f t="shared" ca="1" si="132"/>
        <v>0</v>
      </c>
      <c r="BB340" s="49">
        <f t="shared" ca="1" si="132"/>
        <v>0</v>
      </c>
      <c r="BC340" s="49">
        <f t="shared" ca="1" si="132"/>
        <v>0</v>
      </c>
      <c r="BD340" s="49">
        <f t="shared" ca="1" si="132"/>
        <v>0</v>
      </c>
      <c r="BE340" s="49">
        <f t="shared" ca="1" si="132"/>
        <v>0</v>
      </c>
      <c r="BF340" s="49">
        <f t="shared" ca="1" si="132"/>
        <v>0</v>
      </c>
      <c r="BG340" s="49">
        <f t="shared" ca="1" si="132"/>
        <v>0</v>
      </c>
      <c r="BH340" s="49">
        <f t="shared" ca="1" si="132"/>
        <v>0</v>
      </c>
      <c r="BI340" s="49">
        <f t="shared" ca="1" si="132"/>
        <v>0</v>
      </c>
      <c r="BJ340" s="49">
        <f t="shared" ca="1" si="132"/>
        <v>0</v>
      </c>
      <c r="BK340" s="49">
        <f t="shared" ca="1" si="132"/>
        <v>0</v>
      </c>
      <c r="BL340" s="49">
        <f t="shared" ca="1" si="132"/>
        <v>0</v>
      </c>
      <c r="BM340" s="49">
        <f t="shared" ca="1" si="132"/>
        <v>0</v>
      </c>
      <c r="BN340" s="49">
        <f t="shared" ca="1" si="132"/>
        <v>0</v>
      </c>
      <c r="BO340" s="49">
        <f t="shared" ca="1" si="132"/>
        <v>0</v>
      </c>
      <c r="BP340" s="49">
        <f t="shared" ca="1" si="132"/>
        <v>0</v>
      </c>
      <c r="BQ340" s="49">
        <f t="shared" ca="1" si="132"/>
        <v>0</v>
      </c>
      <c r="BR340" s="49">
        <f t="shared" ca="1" si="132"/>
        <v>0</v>
      </c>
      <c r="BS340" s="49">
        <f t="shared" ca="1" si="132"/>
        <v>0</v>
      </c>
    </row>
    <row r="341" spans="1:71" outlineLevel="1" x14ac:dyDescent="0.2">
      <c r="D341" s="50" t="s">
        <v>234</v>
      </c>
      <c r="J341" s="26"/>
      <c r="L341" s="53">
        <f t="shared" ref="L341:AQ341" si="133">_xlfn.SINGLE(PS_cont_rate_gas_domestic)</f>
        <v>0.85</v>
      </c>
      <c r="M341" s="53">
        <f t="shared" si="133"/>
        <v>0.85</v>
      </c>
      <c r="N341" s="53">
        <f t="shared" si="133"/>
        <v>0.85</v>
      </c>
      <c r="O341" s="53">
        <f t="shared" si="133"/>
        <v>0.85</v>
      </c>
      <c r="P341" s="53">
        <f t="shared" si="133"/>
        <v>0.85</v>
      </c>
      <c r="Q341" s="53">
        <f t="shared" si="133"/>
        <v>0.85</v>
      </c>
      <c r="R341" s="53">
        <f t="shared" si="133"/>
        <v>0.85</v>
      </c>
      <c r="S341" s="53">
        <f t="shared" si="133"/>
        <v>0.85</v>
      </c>
      <c r="T341" s="53">
        <f t="shared" si="133"/>
        <v>0.85</v>
      </c>
      <c r="U341" s="53">
        <f t="shared" si="133"/>
        <v>0.85</v>
      </c>
      <c r="V341" s="53">
        <f t="shared" si="133"/>
        <v>0.85</v>
      </c>
      <c r="W341" s="53">
        <f t="shared" si="133"/>
        <v>0.85</v>
      </c>
      <c r="X341" s="53">
        <f t="shared" si="133"/>
        <v>0.85</v>
      </c>
      <c r="Y341" s="53">
        <f t="shared" si="133"/>
        <v>0.85</v>
      </c>
      <c r="Z341" s="53">
        <f t="shared" si="133"/>
        <v>0.85</v>
      </c>
      <c r="AA341" s="53">
        <f t="shared" si="133"/>
        <v>0.85</v>
      </c>
      <c r="AB341" s="53">
        <f t="shared" si="133"/>
        <v>0.85</v>
      </c>
      <c r="AC341" s="53">
        <f t="shared" si="133"/>
        <v>0.85</v>
      </c>
      <c r="AD341" s="53">
        <f t="shared" si="133"/>
        <v>0.85</v>
      </c>
      <c r="AE341" s="53">
        <f t="shared" si="133"/>
        <v>0.85</v>
      </c>
      <c r="AF341" s="53">
        <f t="shared" si="133"/>
        <v>0.85</v>
      </c>
      <c r="AG341" s="53">
        <f t="shared" si="133"/>
        <v>0.85</v>
      </c>
      <c r="AH341" s="53">
        <f t="shared" si="133"/>
        <v>0.85</v>
      </c>
      <c r="AI341" s="53">
        <f t="shared" si="133"/>
        <v>0.85</v>
      </c>
      <c r="AJ341" s="53">
        <f t="shared" si="133"/>
        <v>0.85</v>
      </c>
      <c r="AK341" s="53">
        <f t="shared" si="133"/>
        <v>0.85</v>
      </c>
      <c r="AL341" s="53">
        <f t="shared" si="133"/>
        <v>0.85</v>
      </c>
      <c r="AM341" s="53">
        <f t="shared" si="133"/>
        <v>0.85</v>
      </c>
      <c r="AN341" s="53">
        <f t="shared" si="133"/>
        <v>0.85</v>
      </c>
      <c r="AO341" s="53">
        <f t="shared" si="133"/>
        <v>0.85</v>
      </c>
      <c r="AP341" s="53">
        <f t="shared" si="133"/>
        <v>0.85</v>
      </c>
      <c r="AQ341" s="53">
        <f t="shared" si="133"/>
        <v>0.85</v>
      </c>
      <c r="AR341" s="53">
        <f t="shared" ref="AR341:BS341" si="134">_xlfn.SINGLE(PS_cont_rate_gas_domestic)</f>
        <v>0.85</v>
      </c>
      <c r="AS341" s="53">
        <f t="shared" si="134"/>
        <v>0.85</v>
      </c>
      <c r="AT341" s="53">
        <f t="shared" si="134"/>
        <v>0.85</v>
      </c>
      <c r="AU341" s="53">
        <f t="shared" si="134"/>
        <v>0.85</v>
      </c>
      <c r="AV341" s="53">
        <f t="shared" si="134"/>
        <v>0.85</v>
      </c>
      <c r="AW341" s="53">
        <f t="shared" si="134"/>
        <v>0.85</v>
      </c>
      <c r="AX341" s="53">
        <f t="shared" si="134"/>
        <v>0.85</v>
      </c>
      <c r="AY341" s="53">
        <f t="shared" si="134"/>
        <v>0.85</v>
      </c>
      <c r="AZ341" s="53">
        <f t="shared" si="134"/>
        <v>0.85</v>
      </c>
      <c r="BA341" s="53">
        <f t="shared" si="134"/>
        <v>0.85</v>
      </c>
      <c r="BB341" s="53">
        <f t="shared" si="134"/>
        <v>0.85</v>
      </c>
      <c r="BC341" s="53">
        <f t="shared" si="134"/>
        <v>0.85</v>
      </c>
      <c r="BD341" s="53">
        <f t="shared" si="134"/>
        <v>0.85</v>
      </c>
      <c r="BE341" s="53">
        <f t="shared" si="134"/>
        <v>0.85</v>
      </c>
      <c r="BF341" s="53">
        <f t="shared" si="134"/>
        <v>0.85</v>
      </c>
      <c r="BG341" s="53">
        <f t="shared" si="134"/>
        <v>0.85</v>
      </c>
      <c r="BH341" s="53">
        <f t="shared" si="134"/>
        <v>0.85</v>
      </c>
      <c r="BI341" s="53">
        <f t="shared" si="134"/>
        <v>0.85</v>
      </c>
      <c r="BJ341" s="53">
        <f t="shared" si="134"/>
        <v>0.85</v>
      </c>
      <c r="BK341" s="53">
        <f t="shared" si="134"/>
        <v>0.85</v>
      </c>
      <c r="BL341" s="53">
        <f t="shared" si="134"/>
        <v>0.85</v>
      </c>
      <c r="BM341" s="53">
        <f t="shared" si="134"/>
        <v>0.85</v>
      </c>
      <c r="BN341" s="53">
        <f t="shared" si="134"/>
        <v>0.85</v>
      </c>
      <c r="BO341" s="53">
        <f t="shared" si="134"/>
        <v>0.85</v>
      </c>
      <c r="BP341" s="53">
        <f t="shared" si="134"/>
        <v>0.85</v>
      </c>
      <c r="BQ341" s="53">
        <f t="shared" si="134"/>
        <v>0.85</v>
      </c>
      <c r="BR341" s="53">
        <f t="shared" si="134"/>
        <v>0.85</v>
      </c>
      <c r="BS341" s="53">
        <f t="shared" si="134"/>
        <v>0.85</v>
      </c>
    </row>
    <row r="342" spans="1:71" outlineLevel="1" x14ac:dyDescent="0.2">
      <c r="D342" t="s">
        <v>876</v>
      </c>
      <c r="I342" s="30">
        <f t="shared" ca="1" si="126"/>
        <v>120.89716311812084</v>
      </c>
      <c r="J342" s="26" t="s">
        <v>148</v>
      </c>
      <c r="L342" s="49">
        <f ca="1">L340*L341</f>
        <v>0</v>
      </c>
      <c r="M342" s="49">
        <f t="shared" ref="M342:BS342" ca="1" si="135">M340*M341</f>
        <v>0.46392916325349126</v>
      </c>
      <c r="N342" s="49">
        <f t="shared" ca="1" si="135"/>
        <v>5.7525965357381494</v>
      </c>
      <c r="O342" s="49">
        <f t="shared" ca="1" si="135"/>
        <v>9.0004136532963273</v>
      </c>
      <c r="P342" s="49">
        <f t="shared" ca="1" si="135"/>
        <v>9.7091482022160349</v>
      </c>
      <c r="Q342" s="49">
        <f t="shared" ca="1" si="135"/>
        <v>11.38345448174732</v>
      </c>
      <c r="R342" s="49">
        <f t="shared" ca="1" si="135"/>
        <v>1.2500974306803682E-5</v>
      </c>
      <c r="S342" s="49">
        <f t="shared" ca="1" si="135"/>
        <v>13.615129732446988</v>
      </c>
      <c r="T342" s="49">
        <f t="shared" ca="1" si="135"/>
        <v>14.305500767923062</v>
      </c>
      <c r="U342" s="49">
        <f t="shared" ca="1" si="135"/>
        <v>14.296855809643366</v>
      </c>
      <c r="V342" s="49">
        <f t="shared" ca="1" si="135"/>
        <v>14.210878296235515</v>
      </c>
      <c r="W342" s="49">
        <f t="shared" ca="1" si="135"/>
        <v>14.126364384566969</v>
      </c>
      <c r="X342" s="49">
        <f t="shared" ca="1" si="135"/>
        <v>14.032879590079316</v>
      </c>
      <c r="Y342" s="49">
        <f t="shared" ca="1" si="135"/>
        <v>0</v>
      </c>
      <c r="Z342" s="49">
        <f t="shared" ca="1" si="135"/>
        <v>0</v>
      </c>
      <c r="AA342" s="49">
        <f t="shared" ca="1" si="135"/>
        <v>0</v>
      </c>
      <c r="AB342" s="49">
        <f t="shared" ca="1" si="135"/>
        <v>0</v>
      </c>
      <c r="AC342" s="49">
        <f t="shared" ca="1" si="135"/>
        <v>0</v>
      </c>
      <c r="AD342" s="49">
        <f t="shared" ca="1" si="135"/>
        <v>0</v>
      </c>
      <c r="AE342" s="49">
        <f t="shared" ca="1" si="135"/>
        <v>0</v>
      </c>
      <c r="AF342" s="49">
        <f t="shared" ca="1" si="135"/>
        <v>0</v>
      </c>
      <c r="AG342" s="49">
        <f t="shared" ca="1" si="135"/>
        <v>0</v>
      </c>
      <c r="AH342" s="49">
        <f t="shared" ca="1" si="135"/>
        <v>0</v>
      </c>
      <c r="AI342" s="49">
        <f t="shared" ca="1" si="135"/>
        <v>0</v>
      </c>
      <c r="AJ342" s="49">
        <f t="shared" ca="1" si="135"/>
        <v>0</v>
      </c>
      <c r="AK342" s="49">
        <f t="shared" ca="1" si="135"/>
        <v>0</v>
      </c>
      <c r="AL342" s="49">
        <f t="shared" ca="1" si="135"/>
        <v>0</v>
      </c>
      <c r="AM342" s="49">
        <f t="shared" ca="1" si="135"/>
        <v>0</v>
      </c>
      <c r="AN342" s="49">
        <f t="shared" ca="1" si="135"/>
        <v>0</v>
      </c>
      <c r="AO342" s="49">
        <f t="shared" ca="1" si="135"/>
        <v>0</v>
      </c>
      <c r="AP342" s="49">
        <f t="shared" ca="1" si="135"/>
        <v>0</v>
      </c>
      <c r="AQ342" s="49">
        <f t="shared" ca="1" si="135"/>
        <v>0</v>
      </c>
      <c r="AR342" s="49">
        <f t="shared" ca="1" si="135"/>
        <v>0</v>
      </c>
      <c r="AS342" s="49">
        <f t="shared" ca="1" si="135"/>
        <v>0</v>
      </c>
      <c r="AT342" s="49">
        <f t="shared" ca="1" si="135"/>
        <v>0</v>
      </c>
      <c r="AU342" s="49">
        <f t="shared" ca="1" si="135"/>
        <v>0</v>
      </c>
      <c r="AV342" s="49">
        <f t="shared" ca="1" si="135"/>
        <v>0</v>
      </c>
      <c r="AW342" s="49">
        <f t="shared" ca="1" si="135"/>
        <v>0</v>
      </c>
      <c r="AX342" s="49">
        <f t="shared" ca="1" si="135"/>
        <v>0</v>
      </c>
      <c r="AY342" s="49">
        <f t="shared" ca="1" si="135"/>
        <v>0</v>
      </c>
      <c r="AZ342" s="49">
        <f t="shared" ca="1" si="135"/>
        <v>0</v>
      </c>
      <c r="BA342" s="49">
        <f t="shared" ca="1" si="135"/>
        <v>0</v>
      </c>
      <c r="BB342" s="49">
        <f t="shared" ca="1" si="135"/>
        <v>0</v>
      </c>
      <c r="BC342" s="49">
        <f t="shared" ca="1" si="135"/>
        <v>0</v>
      </c>
      <c r="BD342" s="49">
        <f t="shared" ca="1" si="135"/>
        <v>0</v>
      </c>
      <c r="BE342" s="49">
        <f t="shared" ca="1" si="135"/>
        <v>0</v>
      </c>
      <c r="BF342" s="49">
        <f t="shared" ca="1" si="135"/>
        <v>0</v>
      </c>
      <c r="BG342" s="49">
        <f t="shared" ca="1" si="135"/>
        <v>0</v>
      </c>
      <c r="BH342" s="49">
        <f t="shared" ca="1" si="135"/>
        <v>0</v>
      </c>
      <c r="BI342" s="49">
        <f t="shared" ca="1" si="135"/>
        <v>0</v>
      </c>
      <c r="BJ342" s="49">
        <f t="shared" ca="1" si="135"/>
        <v>0</v>
      </c>
      <c r="BK342" s="49">
        <f t="shared" ca="1" si="135"/>
        <v>0</v>
      </c>
      <c r="BL342" s="49">
        <f t="shared" ca="1" si="135"/>
        <v>0</v>
      </c>
      <c r="BM342" s="49">
        <f t="shared" ca="1" si="135"/>
        <v>0</v>
      </c>
      <c r="BN342" s="49">
        <f t="shared" ca="1" si="135"/>
        <v>0</v>
      </c>
      <c r="BO342" s="49">
        <f t="shared" ca="1" si="135"/>
        <v>0</v>
      </c>
      <c r="BP342" s="49">
        <f t="shared" ca="1" si="135"/>
        <v>0</v>
      </c>
      <c r="BQ342" s="49">
        <f t="shared" ca="1" si="135"/>
        <v>0</v>
      </c>
      <c r="BR342" s="49">
        <f t="shared" ca="1" si="135"/>
        <v>0</v>
      </c>
      <c r="BS342" s="49">
        <f t="shared" ca="1" si="135"/>
        <v>0</v>
      </c>
    </row>
    <row r="343" spans="1:71" outlineLevel="1" x14ac:dyDescent="0.2">
      <c r="D343" t="s">
        <v>877</v>
      </c>
      <c r="I343" s="30">
        <f t="shared" ca="1" si="126"/>
        <v>21.334793491433096</v>
      </c>
      <c r="J343" s="26" t="s">
        <v>148</v>
      </c>
      <c r="L343" s="49">
        <f ca="1">L340-L342</f>
        <v>0</v>
      </c>
      <c r="M343" s="49">
        <f t="shared" ref="M343:BS343" ca="1" si="136">M340-M342</f>
        <v>8.1869852338851412E-2</v>
      </c>
      <c r="N343" s="49">
        <f t="shared" ca="1" si="136"/>
        <v>1.0151640945420262</v>
      </c>
      <c r="O343" s="49">
        <f t="shared" ca="1" si="136"/>
        <v>1.5883082917581763</v>
      </c>
      <c r="P343" s="49">
        <f t="shared" ca="1" si="136"/>
        <v>1.7133790945087117</v>
      </c>
      <c r="Q343" s="49">
        <f t="shared" ca="1" si="136"/>
        <v>2.0088449085436455</v>
      </c>
      <c r="R343" s="49">
        <f t="shared" ca="1" si="136"/>
        <v>2.2060542894359437E-6</v>
      </c>
      <c r="S343" s="49">
        <f t="shared" ca="1" si="136"/>
        <v>2.4026699527847626</v>
      </c>
      <c r="T343" s="49">
        <f t="shared" ca="1" si="136"/>
        <v>2.5245001355158347</v>
      </c>
      <c r="U343" s="49">
        <f t="shared" ca="1" si="136"/>
        <v>2.5229745546429481</v>
      </c>
      <c r="V343" s="49">
        <f t="shared" ca="1" si="136"/>
        <v>2.5078020522768565</v>
      </c>
      <c r="W343" s="49">
        <f t="shared" ca="1" si="136"/>
        <v>2.4928878325706414</v>
      </c>
      <c r="X343" s="49">
        <f t="shared" ca="1" si="136"/>
        <v>2.47639051589635</v>
      </c>
      <c r="Y343" s="49">
        <f t="shared" ca="1" si="136"/>
        <v>0</v>
      </c>
      <c r="Z343" s="49">
        <f t="shared" ca="1" si="136"/>
        <v>0</v>
      </c>
      <c r="AA343" s="49">
        <f t="shared" ca="1" si="136"/>
        <v>0</v>
      </c>
      <c r="AB343" s="49">
        <f t="shared" ca="1" si="136"/>
        <v>0</v>
      </c>
      <c r="AC343" s="49">
        <f t="shared" ca="1" si="136"/>
        <v>0</v>
      </c>
      <c r="AD343" s="49">
        <f t="shared" ca="1" si="136"/>
        <v>0</v>
      </c>
      <c r="AE343" s="49">
        <f t="shared" ca="1" si="136"/>
        <v>0</v>
      </c>
      <c r="AF343" s="49">
        <f t="shared" ca="1" si="136"/>
        <v>0</v>
      </c>
      <c r="AG343" s="49">
        <f t="shared" ca="1" si="136"/>
        <v>0</v>
      </c>
      <c r="AH343" s="49">
        <f t="shared" ca="1" si="136"/>
        <v>0</v>
      </c>
      <c r="AI343" s="49">
        <f t="shared" ca="1" si="136"/>
        <v>0</v>
      </c>
      <c r="AJ343" s="49">
        <f t="shared" ca="1" si="136"/>
        <v>0</v>
      </c>
      <c r="AK343" s="49">
        <f t="shared" ca="1" si="136"/>
        <v>0</v>
      </c>
      <c r="AL343" s="49">
        <f t="shared" ca="1" si="136"/>
        <v>0</v>
      </c>
      <c r="AM343" s="49">
        <f t="shared" ca="1" si="136"/>
        <v>0</v>
      </c>
      <c r="AN343" s="49">
        <f t="shared" ca="1" si="136"/>
        <v>0</v>
      </c>
      <c r="AO343" s="49">
        <f t="shared" ca="1" si="136"/>
        <v>0</v>
      </c>
      <c r="AP343" s="49">
        <f t="shared" ca="1" si="136"/>
        <v>0</v>
      </c>
      <c r="AQ343" s="49">
        <f t="shared" ca="1" si="136"/>
        <v>0</v>
      </c>
      <c r="AR343" s="49">
        <f t="shared" ca="1" si="136"/>
        <v>0</v>
      </c>
      <c r="AS343" s="49">
        <f t="shared" ca="1" si="136"/>
        <v>0</v>
      </c>
      <c r="AT343" s="49">
        <f t="shared" ca="1" si="136"/>
        <v>0</v>
      </c>
      <c r="AU343" s="49">
        <f t="shared" ca="1" si="136"/>
        <v>0</v>
      </c>
      <c r="AV343" s="49">
        <f t="shared" ca="1" si="136"/>
        <v>0</v>
      </c>
      <c r="AW343" s="49">
        <f t="shared" ca="1" si="136"/>
        <v>0</v>
      </c>
      <c r="AX343" s="49">
        <f t="shared" ca="1" si="136"/>
        <v>0</v>
      </c>
      <c r="AY343" s="49">
        <f t="shared" ca="1" si="136"/>
        <v>0</v>
      </c>
      <c r="AZ343" s="49">
        <f t="shared" ca="1" si="136"/>
        <v>0</v>
      </c>
      <c r="BA343" s="49">
        <f t="shared" ca="1" si="136"/>
        <v>0</v>
      </c>
      <c r="BB343" s="49">
        <f t="shared" ca="1" si="136"/>
        <v>0</v>
      </c>
      <c r="BC343" s="49">
        <f t="shared" ca="1" si="136"/>
        <v>0</v>
      </c>
      <c r="BD343" s="49">
        <f t="shared" ca="1" si="136"/>
        <v>0</v>
      </c>
      <c r="BE343" s="49">
        <f t="shared" ca="1" si="136"/>
        <v>0</v>
      </c>
      <c r="BF343" s="49">
        <f t="shared" ca="1" si="136"/>
        <v>0</v>
      </c>
      <c r="BG343" s="49">
        <f t="shared" ca="1" si="136"/>
        <v>0</v>
      </c>
      <c r="BH343" s="49">
        <f t="shared" ca="1" si="136"/>
        <v>0</v>
      </c>
      <c r="BI343" s="49">
        <f t="shared" ca="1" si="136"/>
        <v>0</v>
      </c>
      <c r="BJ343" s="49">
        <f t="shared" ca="1" si="136"/>
        <v>0</v>
      </c>
      <c r="BK343" s="49">
        <f t="shared" ca="1" si="136"/>
        <v>0</v>
      </c>
      <c r="BL343" s="49">
        <f t="shared" ca="1" si="136"/>
        <v>0</v>
      </c>
      <c r="BM343" s="49">
        <f t="shared" ca="1" si="136"/>
        <v>0</v>
      </c>
      <c r="BN343" s="49">
        <f t="shared" ca="1" si="136"/>
        <v>0</v>
      </c>
      <c r="BO343" s="49">
        <f t="shared" ca="1" si="136"/>
        <v>0</v>
      </c>
      <c r="BP343" s="49">
        <f t="shared" ca="1" si="136"/>
        <v>0</v>
      </c>
      <c r="BQ343" s="49">
        <f t="shared" ca="1" si="136"/>
        <v>0</v>
      </c>
      <c r="BR343" s="49">
        <f t="shared" ca="1" si="136"/>
        <v>0</v>
      </c>
      <c r="BS343" s="49">
        <f t="shared" ca="1" si="136"/>
        <v>0</v>
      </c>
    </row>
    <row r="344" spans="1:71" outlineLevel="1" x14ac:dyDescent="0.2">
      <c r="J344" s="26"/>
      <c r="L344" s="55"/>
      <c r="M344" s="55"/>
      <c r="N344" s="55"/>
      <c r="O344" s="55"/>
      <c r="P344" s="55"/>
      <c r="Q344" s="55"/>
      <c r="R344" s="55"/>
      <c r="S344" s="55"/>
      <c r="T344" s="55"/>
      <c r="U344" s="55"/>
      <c r="V344" s="55"/>
      <c r="W344" s="55"/>
      <c r="X344" s="55"/>
      <c r="Y344" s="55"/>
      <c r="Z344" s="55"/>
      <c r="AA344" s="55"/>
      <c r="AB344" s="55"/>
      <c r="AC344" s="55"/>
      <c r="AD344" s="55"/>
      <c r="AE344" s="55"/>
      <c r="AF344" s="55"/>
      <c r="AG344" s="55"/>
      <c r="AH344" s="55"/>
      <c r="AI344" s="55"/>
      <c r="AJ344" s="55"/>
      <c r="AK344" s="55"/>
      <c r="AL344" s="55"/>
      <c r="AM344" s="55"/>
      <c r="AN344" s="55"/>
      <c r="AO344" s="55"/>
      <c r="AP344" s="55"/>
      <c r="AQ344" s="55"/>
      <c r="AR344" s="55"/>
      <c r="AS344" s="55"/>
      <c r="AT344" s="55"/>
      <c r="AU344" s="55"/>
      <c r="AV344" s="55"/>
      <c r="AW344" s="55"/>
      <c r="AX344" s="55"/>
      <c r="AY344" s="55"/>
      <c r="AZ344" s="55"/>
      <c r="BA344" s="55"/>
      <c r="BB344" s="55"/>
      <c r="BC344" s="55"/>
      <c r="BD344" s="55"/>
      <c r="BE344" s="55"/>
      <c r="BF344" s="55"/>
      <c r="BG344" s="55"/>
      <c r="BH344" s="55"/>
      <c r="BI344" s="55"/>
      <c r="BJ344" s="55"/>
      <c r="BK344" s="55"/>
      <c r="BL344" s="55"/>
      <c r="BM344" s="55"/>
      <c r="BN344" s="55"/>
      <c r="BO344" s="55"/>
      <c r="BP344" s="55"/>
      <c r="BQ344" s="55"/>
      <c r="BR344" s="55"/>
      <c r="BS344" s="55"/>
    </row>
    <row r="345" spans="1:71" outlineLevel="1" x14ac:dyDescent="0.2">
      <c r="D345" s="11" t="s">
        <v>239</v>
      </c>
      <c r="I345" s="30">
        <f t="shared" ca="1" si="126"/>
        <v>721.27606555506759</v>
      </c>
      <c r="J345" s="26" t="s">
        <v>148</v>
      </c>
      <c r="K345" s="7" t="s">
        <v>241</v>
      </c>
      <c r="L345" s="49">
        <f ca="1">SUM(L330,L336,L342)</f>
        <v>0</v>
      </c>
      <c r="M345" s="49">
        <f t="shared" ref="M345:BS345" ca="1" si="137">SUM(M330,M336,M342)</f>
        <v>1.1012485979417395</v>
      </c>
      <c r="N345" s="49">
        <f t="shared" ca="1" si="137"/>
        <v>24.398166008695092</v>
      </c>
      <c r="O345" s="49">
        <f t="shared" ca="1" si="137"/>
        <v>38.030771854457178</v>
      </c>
      <c r="P345" s="49">
        <f t="shared" ca="1" si="137"/>
        <v>55.953783859175594</v>
      </c>
      <c r="Q345" s="49">
        <f t="shared" ca="1" si="137"/>
        <v>94.158791634731358</v>
      </c>
      <c r="R345" s="49">
        <f t="shared" ca="1" si="137"/>
        <v>55.591010174977633</v>
      </c>
      <c r="S345" s="49">
        <f t="shared" ca="1" si="137"/>
        <v>66.899205421660511</v>
      </c>
      <c r="T345" s="49">
        <f t="shared" ca="1" si="137"/>
        <v>82.585797320292812</v>
      </c>
      <c r="U345" s="49">
        <f t="shared" ca="1" si="137"/>
        <v>82.48980621686205</v>
      </c>
      <c r="V345" s="49">
        <f t="shared" ca="1" si="137"/>
        <v>80.169778712118969</v>
      </c>
      <c r="W345" s="49">
        <f t="shared" ca="1" si="137"/>
        <v>70.836217107476898</v>
      </c>
      <c r="X345" s="49">
        <f t="shared" ca="1" si="137"/>
        <v>69.061488646677631</v>
      </c>
      <c r="Y345" s="49">
        <f t="shared" ca="1" si="137"/>
        <v>0</v>
      </c>
      <c r="Z345" s="49">
        <f t="shared" ca="1" si="137"/>
        <v>0</v>
      </c>
      <c r="AA345" s="49">
        <f t="shared" ca="1" si="137"/>
        <v>0</v>
      </c>
      <c r="AB345" s="49">
        <f t="shared" ca="1" si="137"/>
        <v>0</v>
      </c>
      <c r="AC345" s="49">
        <f t="shared" ca="1" si="137"/>
        <v>0</v>
      </c>
      <c r="AD345" s="49">
        <f t="shared" ca="1" si="137"/>
        <v>0</v>
      </c>
      <c r="AE345" s="49">
        <f t="shared" ca="1" si="137"/>
        <v>0</v>
      </c>
      <c r="AF345" s="49">
        <f t="shared" ca="1" si="137"/>
        <v>0</v>
      </c>
      <c r="AG345" s="49">
        <f t="shared" ca="1" si="137"/>
        <v>0</v>
      </c>
      <c r="AH345" s="49">
        <f t="shared" ca="1" si="137"/>
        <v>0</v>
      </c>
      <c r="AI345" s="49">
        <f t="shared" ca="1" si="137"/>
        <v>0</v>
      </c>
      <c r="AJ345" s="49">
        <f t="shared" ca="1" si="137"/>
        <v>0</v>
      </c>
      <c r="AK345" s="49">
        <f t="shared" ca="1" si="137"/>
        <v>0</v>
      </c>
      <c r="AL345" s="49">
        <f t="shared" ca="1" si="137"/>
        <v>0</v>
      </c>
      <c r="AM345" s="49">
        <f t="shared" ca="1" si="137"/>
        <v>0</v>
      </c>
      <c r="AN345" s="49">
        <f t="shared" ca="1" si="137"/>
        <v>0</v>
      </c>
      <c r="AO345" s="49">
        <f t="shared" ca="1" si="137"/>
        <v>0</v>
      </c>
      <c r="AP345" s="49">
        <f t="shared" ca="1" si="137"/>
        <v>0</v>
      </c>
      <c r="AQ345" s="49">
        <f t="shared" ca="1" si="137"/>
        <v>0</v>
      </c>
      <c r="AR345" s="49">
        <f t="shared" ca="1" si="137"/>
        <v>0</v>
      </c>
      <c r="AS345" s="49">
        <f t="shared" ca="1" si="137"/>
        <v>0</v>
      </c>
      <c r="AT345" s="49">
        <f t="shared" ca="1" si="137"/>
        <v>0</v>
      </c>
      <c r="AU345" s="49">
        <f t="shared" ca="1" si="137"/>
        <v>0</v>
      </c>
      <c r="AV345" s="49">
        <f t="shared" ca="1" si="137"/>
        <v>0</v>
      </c>
      <c r="AW345" s="49">
        <f t="shared" ca="1" si="137"/>
        <v>0</v>
      </c>
      <c r="AX345" s="49">
        <f t="shared" ca="1" si="137"/>
        <v>0</v>
      </c>
      <c r="AY345" s="49">
        <f t="shared" ca="1" si="137"/>
        <v>0</v>
      </c>
      <c r="AZ345" s="49">
        <f t="shared" ca="1" si="137"/>
        <v>0</v>
      </c>
      <c r="BA345" s="49">
        <f t="shared" ca="1" si="137"/>
        <v>0</v>
      </c>
      <c r="BB345" s="49">
        <f t="shared" ca="1" si="137"/>
        <v>0</v>
      </c>
      <c r="BC345" s="49">
        <f t="shared" ca="1" si="137"/>
        <v>0</v>
      </c>
      <c r="BD345" s="49">
        <f t="shared" ca="1" si="137"/>
        <v>0</v>
      </c>
      <c r="BE345" s="49">
        <f t="shared" ca="1" si="137"/>
        <v>0</v>
      </c>
      <c r="BF345" s="49">
        <f t="shared" ca="1" si="137"/>
        <v>0</v>
      </c>
      <c r="BG345" s="49">
        <f t="shared" ca="1" si="137"/>
        <v>0</v>
      </c>
      <c r="BH345" s="49">
        <f t="shared" ca="1" si="137"/>
        <v>0</v>
      </c>
      <c r="BI345" s="49">
        <f t="shared" ca="1" si="137"/>
        <v>0</v>
      </c>
      <c r="BJ345" s="49">
        <f t="shared" ca="1" si="137"/>
        <v>0</v>
      </c>
      <c r="BK345" s="49">
        <f t="shared" ca="1" si="137"/>
        <v>0</v>
      </c>
      <c r="BL345" s="49">
        <f t="shared" ca="1" si="137"/>
        <v>0</v>
      </c>
      <c r="BM345" s="49">
        <f t="shared" ca="1" si="137"/>
        <v>0</v>
      </c>
      <c r="BN345" s="49">
        <f t="shared" ca="1" si="137"/>
        <v>0</v>
      </c>
      <c r="BO345" s="49">
        <f t="shared" ca="1" si="137"/>
        <v>0</v>
      </c>
      <c r="BP345" s="49">
        <f t="shared" ca="1" si="137"/>
        <v>0</v>
      </c>
      <c r="BQ345" s="49">
        <f t="shared" ca="1" si="137"/>
        <v>0</v>
      </c>
      <c r="BR345" s="49">
        <f t="shared" ca="1" si="137"/>
        <v>0</v>
      </c>
      <c r="BS345" s="49">
        <f t="shared" ca="1" si="137"/>
        <v>0</v>
      </c>
    </row>
    <row r="346" spans="1:71" outlineLevel="1" x14ac:dyDescent="0.2">
      <c r="D346" s="11" t="s">
        <v>240</v>
      </c>
      <c r="I346" s="30">
        <f t="shared" ca="1" si="126"/>
        <v>595.64342944352222</v>
      </c>
      <c r="J346" s="26" t="s">
        <v>148</v>
      </c>
      <c r="K346" s="7" t="s">
        <v>242</v>
      </c>
      <c r="L346" s="49">
        <f ca="1">SUM(L331,L337,L343)</f>
        <v>0</v>
      </c>
      <c r="M346" s="49">
        <f t="shared" ref="M346:BS346" ca="1" si="138">SUM(M331,M337,M343)</f>
        <v>0.71191454036603896</v>
      </c>
      <c r="N346" s="49">
        <f t="shared" ca="1" si="138"/>
        <v>17.154211387807148</v>
      </c>
      <c r="O346" s="49">
        <f t="shared" ca="1" si="138"/>
        <v>26.740427941443507</v>
      </c>
      <c r="P346" s="49">
        <f t="shared" ca="1" si="138"/>
        <v>38.995794382913779</v>
      </c>
      <c r="Q346" s="49">
        <f t="shared" ca="1" si="138"/>
        <v>64.845483300731303</v>
      </c>
      <c r="R346" s="49">
        <f t="shared" ca="1" si="138"/>
        <v>37.060675826120551</v>
      </c>
      <c r="S346" s="49">
        <f t="shared" ca="1" si="138"/>
        <v>55.686745641998286</v>
      </c>
      <c r="T346" s="49">
        <f t="shared" ca="1" si="138"/>
        <v>70.804796687885585</v>
      </c>
      <c r="U346" s="49">
        <f t="shared" ca="1" si="138"/>
        <v>70.715924961861631</v>
      </c>
      <c r="V346" s="49">
        <f t="shared" ca="1" si="138"/>
        <v>68.466702468160307</v>
      </c>
      <c r="W346" s="49">
        <f t="shared" ca="1" si="138"/>
        <v>73.445279904889858</v>
      </c>
      <c r="X346" s="49">
        <f t="shared" ca="1" si="138"/>
        <v>71.015472399344318</v>
      </c>
      <c r="Y346" s="49">
        <f t="shared" ca="1" si="138"/>
        <v>0</v>
      </c>
      <c r="Z346" s="49">
        <f t="shared" ca="1" si="138"/>
        <v>0</v>
      </c>
      <c r="AA346" s="49">
        <f t="shared" ca="1" si="138"/>
        <v>0</v>
      </c>
      <c r="AB346" s="49">
        <f t="shared" ca="1" si="138"/>
        <v>0</v>
      </c>
      <c r="AC346" s="49">
        <f t="shared" ca="1" si="138"/>
        <v>0</v>
      </c>
      <c r="AD346" s="49">
        <f t="shared" ca="1" si="138"/>
        <v>0</v>
      </c>
      <c r="AE346" s="49">
        <f t="shared" ca="1" si="138"/>
        <v>0</v>
      </c>
      <c r="AF346" s="49">
        <f t="shared" ca="1" si="138"/>
        <v>0</v>
      </c>
      <c r="AG346" s="49">
        <f t="shared" ca="1" si="138"/>
        <v>0</v>
      </c>
      <c r="AH346" s="49">
        <f t="shared" ca="1" si="138"/>
        <v>0</v>
      </c>
      <c r="AI346" s="49">
        <f t="shared" ca="1" si="138"/>
        <v>0</v>
      </c>
      <c r="AJ346" s="49">
        <f t="shared" ca="1" si="138"/>
        <v>0</v>
      </c>
      <c r="AK346" s="49">
        <f t="shared" ca="1" si="138"/>
        <v>0</v>
      </c>
      <c r="AL346" s="49">
        <f t="shared" ca="1" si="138"/>
        <v>0</v>
      </c>
      <c r="AM346" s="49">
        <f t="shared" ca="1" si="138"/>
        <v>0</v>
      </c>
      <c r="AN346" s="49">
        <f t="shared" ca="1" si="138"/>
        <v>0</v>
      </c>
      <c r="AO346" s="49">
        <f t="shared" ca="1" si="138"/>
        <v>0</v>
      </c>
      <c r="AP346" s="49">
        <f t="shared" ca="1" si="138"/>
        <v>0</v>
      </c>
      <c r="AQ346" s="49">
        <f t="shared" ca="1" si="138"/>
        <v>0</v>
      </c>
      <c r="AR346" s="49">
        <f t="shared" ca="1" si="138"/>
        <v>0</v>
      </c>
      <c r="AS346" s="49">
        <f t="shared" ca="1" si="138"/>
        <v>0</v>
      </c>
      <c r="AT346" s="49">
        <f t="shared" ca="1" si="138"/>
        <v>0</v>
      </c>
      <c r="AU346" s="49">
        <f t="shared" ca="1" si="138"/>
        <v>0</v>
      </c>
      <c r="AV346" s="49">
        <f t="shared" ca="1" si="138"/>
        <v>0</v>
      </c>
      <c r="AW346" s="49">
        <f t="shared" ca="1" si="138"/>
        <v>0</v>
      </c>
      <c r="AX346" s="49">
        <f t="shared" ca="1" si="138"/>
        <v>0</v>
      </c>
      <c r="AY346" s="49">
        <f t="shared" ca="1" si="138"/>
        <v>0</v>
      </c>
      <c r="AZ346" s="49">
        <f t="shared" ca="1" si="138"/>
        <v>0</v>
      </c>
      <c r="BA346" s="49">
        <f t="shared" ca="1" si="138"/>
        <v>0</v>
      </c>
      <c r="BB346" s="49">
        <f t="shared" ca="1" si="138"/>
        <v>0</v>
      </c>
      <c r="BC346" s="49">
        <f t="shared" ca="1" si="138"/>
        <v>0</v>
      </c>
      <c r="BD346" s="49">
        <f t="shared" ca="1" si="138"/>
        <v>0</v>
      </c>
      <c r="BE346" s="49">
        <f t="shared" ca="1" si="138"/>
        <v>0</v>
      </c>
      <c r="BF346" s="49">
        <f t="shared" ca="1" si="138"/>
        <v>0</v>
      </c>
      <c r="BG346" s="49">
        <f t="shared" ca="1" si="138"/>
        <v>0</v>
      </c>
      <c r="BH346" s="49">
        <f t="shared" ca="1" si="138"/>
        <v>0</v>
      </c>
      <c r="BI346" s="49">
        <f t="shared" ca="1" si="138"/>
        <v>0</v>
      </c>
      <c r="BJ346" s="49">
        <f t="shared" ca="1" si="138"/>
        <v>0</v>
      </c>
      <c r="BK346" s="49">
        <f t="shared" ca="1" si="138"/>
        <v>0</v>
      </c>
      <c r="BL346" s="49">
        <f t="shared" ca="1" si="138"/>
        <v>0</v>
      </c>
      <c r="BM346" s="49">
        <f t="shared" ca="1" si="138"/>
        <v>0</v>
      </c>
      <c r="BN346" s="49">
        <f t="shared" ca="1" si="138"/>
        <v>0</v>
      </c>
      <c r="BO346" s="49">
        <f t="shared" ca="1" si="138"/>
        <v>0</v>
      </c>
      <c r="BP346" s="49">
        <f t="shared" ca="1" si="138"/>
        <v>0</v>
      </c>
      <c r="BQ346" s="49">
        <f t="shared" ca="1" si="138"/>
        <v>0</v>
      </c>
      <c r="BR346" s="49">
        <f t="shared" ca="1" si="138"/>
        <v>0</v>
      </c>
      <c r="BS346" s="49">
        <f t="shared" ca="1" si="138"/>
        <v>0</v>
      </c>
    </row>
    <row r="347" spans="1:71" outlineLevel="1" x14ac:dyDescent="0.2">
      <c r="J347" s="26"/>
      <c r="L347" s="55"/>
      <c r="M347" s="55"/>
      <c r="N347" s="55"/>
      <c r="O347" s="55"/>
      <c r="P347" s="55"/>
      <c r="Q347" s="55"/>
      <c r="R347" s="55"/>
      <c r="S347" s="55"/>
      <c r="T347" s="55"/>
      <c r="U347" s="55"/>
      <c r="V347" s="55"/>
      <c r="W347" s="55"/>
      <c r="X347" s="55"/>
      <c r="Y347" s="55"/>
      <c r="Z347" s="55"/>
      <c r="AA347" s="55"/>
      <c r="AB347" s="55"/>
      <c r="AC347" s="55"/>
      <c r="AD347" s="55"/>
      <c r="AE347" s="55"/>
      <c r="AF347" s="55"/>
      <c r="AG347" s="55"/>
      <c r="AH347" s="55"/>
      <c r="AI347" s="55"/>
      <c r="AJ347" s="55"/>
      <c r="AK347" s="55"/>
      <c r="AL347" s="55"/>
      <c r="AM347" s="55"/>
      <c r="AN347" s="55"/>
      <c r="AO347" s="55"/>
      <c r="AP347" s="55"/>
      <c r="AQ347" s="55"/>
      <c r="AR347" s="55"/>
      <c r="AS347" s="55"/>
      <c r="AT347" s="55"/>
      <c r="AU347" s="55"/>
      <c r="AV347" s="55"/>
      <c r="AW347" s="55"/>
      <c r="AX347" s="55"/>
      <c r="AY347" s="55"/>
      <c r="AZ347" s="55"/>
      <c r="BA347" s="55"/>
      <c r="BB347" s="55"/>
      <c r="BC347" s="55"/>
      <c r="BD347" s="55"/>
      <c r="BE347" s="55"/>
      <c r="BF347" s="55"/>
      <c r="BG347" s="55"/>
      <c r="BH347" s="55"/>
      <c r="BI347" s="55"/>
      <c r="BJ347" s="55"/>
      <c r="BK347" s="55"/>
      <c r="BL347" s="55"/>
      <c r="BM347" s="55"/>
      <c r="BN347" s="55"/>
      <c r="BO347" s="55"/>
      <c r="BP347" s="55"/>
      <c r="BQ347" s="55"/>
      <c r="BR347" s="55"/>
      <c r="BS347" s="55"/>
    </row>
    <row r="348" spans="1:71" outlineLevel="1" x14ac:dyDescent="0.2">
      <c r="D348" t="s">
        <v>970</v>
      </c>
      <c r="J348" s="26"/>
      <c r="L348" s="49">
        <f ca="1">(1-L329)*Marine!CA_rev_oil_perc+(1-L335)*Marine!CA_rev_gas_perc+(1-L341)*CA_rev_domestic_gas_perc</f>
        <v>0</v>
      </c>
      <c r="M348" s="49">
        <f ca="1">(1-M329)*Marine!CA_rev_oil_perc+(1-M335)*Marine!CA_rev_gas_perc+(1-M341)*CA_rev_domestic_gas_perc</f>
        <v>0.42922595205601582</v>
      </c>
      <c r="N348" s="49">
        <f ca="1">(1-N329)*Marine!CA_rev_oil_perc+(1-N335)*Marine!CA_rev_gas_perc+(1-N341)*CA_rev_domestic_gas_perc</f>
        <v>0.41070237962281531</v>
      </c>
      <c r="O348" s="49">
        <f ca="1">(1-O329)*Marine!CA_rev_oil_perc+(1-O335)*Marine!CA_rev_gas_perc+(1-O341)*CA_rev_domestic_gas_perc</f>
        <v>0.41080094821324198</v>
      </c>
      <c r="P348" s="49">
        <f ca="1">(1-P329)*Marine!CA_rev_oil_perc+(1-P335)*Marine!CA_rev_gas_perc+(1-P341)*CA_rev_domestic_gas_perc</f>
        <v>0.4054996649520009</v>
      </c>
      <c r="Q348" s="49">
        <f ca="1">(1-Q329)*Marine!CA_rev_oil_perc+(1-Q335)*Marine!CA_rev_gas_perc+(1-Q341)*CA_rev_domestic_gas_perc</f>
        <v>0.40298966882790588</v>
      </c>
      <c r="R348" s="49">
        <f ca="1">(1-R329)*Marine!CA_rev_oil_perc+(1-R335)*Marine!CA_rev_gas_perc+(1-R341)*CA_rev_domestic_gas_perc</f>
        <v>0.40000000364441934</v>
      </c>
      <c r="S348" s="49">
        <f ca="1">(1-S329)*Marine!CA_rev_oil_perc+(1-S335)*Marine!CA_rev_gas_perc+(1-S341)*CA_rev_domestic_gas_perc</f>
        <v>0.48486360331971623</v>
      </c>
      <c r="T348" s="49">
        <f ca="1">(1-T329)*Marine!CA_rev_oil_perc+(1-T335)*Marine!CA_rev_gas_perc+(1-T341)*CA_rev_domestic_gas_perc</f>
        <v>0.4891911862291462</v>
      </c>
      <c r="U348" s="49">
        <f ca="1">(1-U329)*Marine!CA_rev_oil_perc+(1-U335)*Marine!CA_rev_gas_perc+(1-U341)*CA_rev_domestic_gas_perc</f>
        <v>0.48917947007990648</v>
      </c>
      <c r="V348" s="49">
        <f ca="1">(1-V329)*Marine!CA_rev_oil_perc+(1-V335)*Marine!CA_rev_gas_perc+(1-V341)*CA_rev_domestic_gas_perc</f>
        <v>0.48869192566633834</v>
      </c>
      <c r="W348" s="49">
        <f ca="1">(1-W329)*Marine!CA_rev_oil_perc+(1-W335)*Marine!CA_rev_gas_perc+(1-W341)*CA_rev_domestic_gas_perc</f>
        <v>0.57130265146213688</v>
      </c>
      <c r="X348" s="49">
        <f ca="1">(1-X329)*Marine!CA_rev_oil_perc+(1-X335)*Marine!CA_rev_gas_perc+(1-X341)*CA_rev_domestic_gas_perc</f>
        <v>0.57003594332058871</v>
      </c>
      <c r="Y348" s="49">
        <f ca="1">(1-Y329)*Marine!CA_rev_oil_perc+(1-Y335)*Marine!CA_rev_gas_perc+(1-Y341)*CA_rev_domestic_gas_perc</f>
        <v>0</v>
      </c>
      <c r="Z348" s="49">
        <f ca="1">(1-Z329)*Marine!CA_rev_oil_perc+(1-Z335)*Marine!CA_rev_gas_perc+(1-Z341)*CA_rev_domestic_gas_perc</f>
        <v>0</v>
      </c>
      <c r="AA348" s="49">
        <f ca="1">(1-AA329)*Marine!CA_rev_oil_perc+(1-AA335)*Marine!CA_rev_gas_perc+(1-AA341)*CA_rev_domestic_gas_perc</f>
        <v>0</v>
      </c>
      <c r="AB348" s="49">
        <f ca="1">(1-AB329)*Marine!CA_rev_oil_perc+(1-AB335)*Marine!CA_rev_gas_perc+(1-AB341)*CA_rev_domestic_gas_perc</f>
        <v>0</v>
      </c>
      <c r="AC348" s="49">
        <f ca="1">(1-AC329)*Marine!CA_rev_oil_perc+(1-AC335)*Marine!CA_rev_gas_perc+(1-AC341)*CA_rev_domestic_gas_perc</f>
        <v>0</v>
      </c>
      <c r="AD348" s="49">
        <f ca="1">(1-AD329)*Marine!CA_rev_oil_perc+(1-AD335)*Marine!CA_rev_gas_perc+(1-AD341)*CA_rev_domestic_gas_perc</f>
        <v>0</v>
      </c>
      <c r="AE348" s="49">
        <f ca="1">(1-AE329)*Marine!CA_rev_oil_perc+(1-AE335)*Marine!CA_rev_gas_perc+(1-AE341)*CA_rev_domestic_gas_perc</f>
        <v>0</v>
      </c>
      <c r="AF348" s="49">
        <f ca="1">(1-AF329)*Marine!CA_rev_oil_perc+(1-AF335)*Marine!CA_rev_gas_perc+(1-AF341)*CA_rev_domestic_gas_perc</f>
        <v>0</v>
      </c>
      <c r="AG348" s="49">
        <f ca="1">(1-AG329)*Marine!CA_rev_oil_perc+(1-AG335)*Marine!CA_rev_gas_perc+(1-AG341)*CA_rev_domestic_gas_perc</f>
        <v>0</v>
      </c>
      <c r="AH348" s="49">
        <f ca="1">(1-AH329)*Marine!CA_rev_oil_perc+(1-AH335)*Marine!CA_rev_gas_perc+(1-AH341)*CA_rev_domestic_gas_perc</f>
        <v>0</v>
      </c>
      <c r="AI348" s="49">
        <f ca="1">(1-AI329)*Marine!CA_rev_oil_perc+(1-AI335)*Marine!CA_rev_gas_perc+(1-AI341)*CA_rev_domestic_gas_perc</f>
        <v>0</v>
      </c>
      <c r="AJ348" s="49">
        <f ca="1">(1-AJ329)*Marine!CA_rev_oil_perc+(1-AJ335)*Marine!CA_rev_gas_perc+(1-AJ341)*CA_rev_domestic_gas_perc</f>
        <v>0</v>
      </c>
      <c r="AK348" s="49">
        <f ca="1">(1-AK329)*Marine!CA_rev_oil_perc+(1-AK335)*Marine!CA_rev_gas_perc+(1-AK341)*CA_rev_domestic_gas_perc</f>
        <v>0</v>
      </c>
      <c r="AL348" s="49">
        <f ca="1">(1-AL329)*Marine!CA_rev_oil_perc+(1-AL335)*Marine!CA_rev_gas_perc+(1-AL341)*CA_rev_domestic_gas_perc</f>
        <v>0</v>
      </c>
      <c r="AM348" s="49">
        <f ca="1">(1-AM329)*Marine!CA_rev_oil_perc+(1-AM335)*Marine!CA_rev_gas_perc+(1-AM341)*CA_rev_domestic_gas_perc</f>
        <v>0</v>
      </c>
      <c r="AN348" s="49">
        <f ca="1">(1-AN329)*Marine!CA_rev_oil_perc+(1-AN335)*Marine!CA_rev_gas_perc+(1-AN341)*CA_rev_domestic_gas_perc</f>
        <v>0</v>
      </c>
      <c r="AO348" s="49">
        <f ca="1">(1-AO329)*Marine!CA_rev_oil_perc+(1-AO335)*Marine!CA_rev_gas_perc+(1-AO341)*CA_rev_domestic_gas_perc</f>
        <v>0</v>
      </c>
      <c r="AP348" s="49">
        <f ca="1">(1-AP329)*Marine!CA_rev_oil_perc+(1-AP335)*Marine!CA_rev_gas_perc+(1-AP341)*CA_rev_domestic_gas_perc</f>
        <v>0</v>
      </c>
      <c r="AQ348" s="49">
        <f ca="1">(1-AQ329)*Marine!CA_rev_oil_perc+(1-AQ335)*Marine!CA_rev_gas_perc+(1-AQ341)*CA_rev_domestic_gas_perc</f>
        <v>0</v>
      </c>
      <c r="AR348" s="49">
        <f ca="1">(1-AR329)*Marine!CA_rev_oil_perc+(1-AR335)*Marine!CA_rev_gas_perc+(1-AR341)*CA_rev_domestic_gas_perc</f>
        <v>0</v>
      </c>
      <c r="AS348" s="49">
        <f ca="1">(1-AS329)*Marine!CA_rev_oil_perc+(1-AS335)*Marine!CA_rev_gas_perc+(1-AS341)*CA_rev_domestic_gas_perc</f>
        <v>0</v>
      </c>
      <c r="AT348" s="49">
        <f ca="1">(1-AT329)*Marine!CA_rev_oil_perc+(1-AT335)*Marine!CA_rev_gas_perc+(1-AT341)*CA_rev_domestic_gas_perc</f>
        <v>0</v>
      </c>
      <c r="AU348" s="49">
        <f ca="1">(1-AU329)*Marine!CA_rev_oil_perc+(1-AU335)*Marine!CA_rev_gas_perc+(1-AU341)*CA_rev_domestic_gas_perc</f>
        <v>0</v>
      </c>
      <c r="AV348" s="49">
        <f ca="1">(1-AV329)*Marine!CA_rev_oil_perc+(1-AV335)*Marine!CA_rev_gas_perc+(1-AV341)*CA_rev_domestic_gas_perc</f>
        <v>0</v>
      </c>
      <c r="AW348" s="49">
        <f ca="1">(1-AW329)*Marine!CA_rev_oil_perc+(1-AW335)*Marine!CA_rev_gas_perc+(1-AW341)*CA_rev_domestic_gas_perc</f>
        <v>0</v>
      </c>
      <c r="AX348" s="49">
        <f ca="1">(1-AX329)*Marine!CA_rev_oil_perc+(1-AX335)*Marine!CA_rev_gas_perc+(1-AX341)*CA_rev_domestic_gas_perc</f>
        <v>0</v>
      </c>
      <c r="AY348" s="49">
        <f ca="1">(1-AY329)*Marine!CA_rev_oil_perc+(1-AY335)*Marine!CA_rev_gas_perc+(1-AY341)*CA_rev_domestic_gas_perc</f>
        <v>0</v>
      </c>
      <c r="AZ348" s="49">
        <f ca="1">(1-AZ329)*Marine!CA_rev_oil_perc+(1-AZ335)*Marine!CA_rev_gas_perc+(1-AZ341)*CA_rev_domestic_gas_perc</f>
        <v>0</v>
      </c>
      <c r="BA348" s="49">
        <f ca="1">(1-BA329)*Marine!CA_rev_oil_perc+(1-BA335)*Marine!CA_rev_gas_perc+(1-BA341)*CA_rev_domestic_gas_perc</f>
        <v>0</v>
      </c>
      <c r="BB348" s="49">
        <f ca="1">(1-BB329)*Marine!CA_rev_oil_perc+(1-BB335)*Marine!CA_rev_gas_perc+(1-BB341)*CA_rev_domestic_gas_perc</f>
        <v>0</v>
      </c>
      <c r="BC348" s="49">
        <f ca="1">(1-BC329)*Marine!CA_rev_oil_perc+(1-BC335)*Marine!CA_rev_gas_perc+(1-BC341)*CA_rev_domestic_gas_perc</f>
        <v>0</v>
      </c>
      <c r="BD348" s="49">
        <f ca="1">(1-BD329)*Marine!CA_rev_oil_perc+(1-BD335)*Marine!CA_rev_gas_perc+(1-BD341)*CA_rev_domestic_gas_perc</f>
        <v>0</v>
      </c>
      <c r="BE348" s="49">
        <f ca="1">(1-BE329)*Marine!CA_rev_oil_perc+(1-BE335)*Marine!CA_rev_gas_perc+(1-BE341)*CA_rev_domestic_gas_perc</f>
        <v>0</v>
      </c>
      <c r="BF348" s="49">
        <f ca="1">(1-BF329)*Marine!CA_rev_oil_perc+(1-BF335)*Marine!CA_rev_gas_perc+(1-BF341)*CA_rev_domestic_gas_perc</f>
        <v>0</v>
      </c>
      <c r="BG348" s="49">
        <f ca="1">(1-BG329)*Marine!CA_rev_oil_perc+(1-BG335)*Marine!CA_rev_gas_perc+(1-BG341)*CA_rev_domestic_gas_perc</f>
        <v>0</v>
      </c>
      <c r="BH348" s="49">
        <f ca="1">(1-BH329)*Marine!CA_rev_oil_perc+(1-BH335)*Marine!CA_rev_gas_perc+(1-BH341)*CA_rev_domestic_gas_perc</f>
        <v>0</v>
      </c>
      <c r="BI348" s="49">
        <f ca="1">(1-BI329)*Marine!CA_rev_oil_perc+(1-BI335)*Marine!CA_rev_gas_perc+(1-BI341)*CA_rev_domestic_gas_perc</f>
        <v>0</v>
      </c>
      <c r="BJ348" s="49">
        <f ca="1">(1-BJ329)*Marine!CA_rev_oil_perc+(1-BJ335)*Marine!CA_rev_gas_perc+(1-BJ341)*CA_rev_domestic_gas_perc</f>
        <v>0</v>
      </c>
      <c r="BK348" s="49">
        <f ca="1">(1-BK329)*Marine!CA_rev_oil_perc+(1-BK335)*Marine!CA_rev_gas_perc+(1-BK341)*CA_rev_domestic_gas_perc</f>
        <v>0</v>
      </c>
      <c r="BL348" s="49">
        <f ca="1">(1-BL329)*Marine!CA_rev_oil_perc+(1-BL335)*Marine!CA_rev_gas_perc+(1-BL341)*CA_rev_domestic_gas_perc</f>
        <v>0</v>
      </c>
      <c r="BM348" s="49">
        <f ca="1">(1-BM329)*Marine!CA_rev_oil_perc+(1-BM335)*Marine!CA_rev_gas_perc+(1-BM341)*CA_rev_domestic_gas_perc</f>
        <v>0</v>
      </c>
      <c r="BN348" s="49">
        <f ca="1">(1-BN329)*Marine!CA_rev_oil_perc+(1-BN335)*Marine!CA_rev_gas_perc+(1-BN341)*CA_rev_domestic_gas_perc</f>
        <v>0</v>
      </c>
      <c r="BO348" s="49">
        <f ca="1">(1-BO329)*Marine!CA_rev_oil_perc+(1-BO335)*Marine!CA_rev_gas_perc+(1-BO341)*CA_rev_domestic_gas_perc</f>
        <v>0</v>
      </c>
      <c r="BP348" s="49">
        <f ca="1">(1-BP329)*Marine!CA_rev_oil_perc+(1-BP335)*Marine!CA_rev_gas_perc+(1-BP341)*CA_rev_domestic_gas_perc</f>
        <v>0</v>
      </c>
      <c r="BQ348" s="49">
        <f ca="1">(1-BQ329)*Marine!CA_rev_oil_perc+(1-BQ335)*Marine!CA_rev_gas_perc+(1-BQ341)*CA_rev_domestic_gas_perc</f>
        <v>0</v>
      </c>
      <c r="BR348" s="49">
        <f ca="1">(1-BR329)*Marine!CA_rev_oil_perc+(1-BR335)*Marine!CA_rev_gas_perc+(1-BR341)*CA_rev_domestic_gas_perc</f>
        <v>0</v>
      </c>
      <c r="BS348" s="49">
        <f ca="1">(1-BS329)*Marine!CA_rev_oil_perc+(1-BS335)*Marine!CA_rev_gas_perc+(1-BS341)*CA_rev_domestic_gas_perc</f>
        <v>0</v>
      </c>
    </row>
    <row r="349" spans="1:71" outlineLevel="1" x14ac:dyDescent="0.2">
      <c r="J349" s="26"/>
      <c r="L349" s="55"/>
      <c r="M349" s="55"/>
      <c r="N349" s="55"/>
      <c r="O349" s="55"/>
      <c r="P349" s="55"/>
      <c r="Q349" s="55"/>
      <c r="R349" s="55"/>
      <c r="S349" s="55"/>
      <c r="T349" s="55"/>
      <c r="U349" s="55"/>
      <c r="V349" s="55"/>
      <c r="W349" s="55"/>
      <c r="X349" s="55"/>
      <c r="Y349" s="55"/>
      <c r="Z349" s="55"/>
      <c r="AA349" s="55"/>
      <c r="AB349" s="55"/>
      <c r="AC349" s="55"/>
      <c r="AD349" s="55"/>
      <c r="AE349" s="55"/>
      <c r="AF349" s="55"/>
      <c r="AG349" s="55"/>
      <c r="AH349" s="55"/>
      <c r="AI349" s="55"/>
      <c r="AJ349" s="55"/>
      <c r="AK349" s="55"/>
      <c r="AL349" s="55"/>
      <c r="AM349" s="55"/>
      <c r="AN349" s="55"/>
      <c r="AO349" s="55"/>
      <c r="AP349" s="55"/>
      <c r="AQ349" s="55"/>
      <c r="AR349" s="55"/>
      <c r="AS349" s="55"/>
      <c r="AT349" s="55"/>
      <c r="AU349" s="55"/>
      <c r="AV349" s="55"/>
      <c r="AW349" s="55"/>
      <c r="AX349" s="55"/>
      <c r="AY349" s="55"/>
      <c r="AZ349" s="55"/>
      <c r="BA349" s="55"/>
      <c r="BB349" s="55"/>
      <c r="BC349" s="55"/>
      <c r="BD349" s="55"/>
      <c r="BE349" s="55"/>
      <c r="BF349" s="55"/>
      <c r="BG349" s="55"/>
      <c r="BH349" s="55"/>
      <c r="BI349" s="55"/>
      <c r="BJ349" s="55"/>
      <c r="BK349" s="55"/>
      <c r="BL349" s="55"/>
      <c r="BM349" s="55"/>
      <c r="BN349" s="55"/>
      <c r="BO349" s="55"/>
      <c r="BP349" s="55"/>
      <c r="BQ349" s="55"/>
      <c r="BR349" s="55"/>
      <c r="BS349" s="55"/>
    </row>
    <row r="350" spans="1:71" outlineLevel="1" x14ac:dyDescent="0.2">
      <c r="A350" s="45"/>
      <c r="B350" s="38" t="s">
        <v>243</v>
      </c>
      <c r="C350" s="45"/>
      <c r="D350" s="45"/>
      <c r="E350" s="45"/>
      <c r="J350" s="26"/>
      <c r="L350" s="55"/>
      <c r="M350" s="55"/>
      <c r="N350" s="55"/>
      <c r="O350" s="55"/>
      <c r="P350" s="55"/>
      <c r="Q350" s="55"/>
      <c r="R350" s="55"/>
      <c r="S350" s="55"/>
      <c r="T350" s="55"/>
      <c r="U350" s="55"/>
      <c r="V350" s="55"/>
      <c r="W350" s="55"/>
      <c r="X350" s="55"/>
      <c r="Y350" s="55"/>
      <c r="Z350" s="55"/>
      <c r="AA350" s="55"/>
      <c r="AB350" s="55"/>
      <c r="AC350" s="55"/>
      <c r="AD350" s="55"/>
      <c r="AE350" s="55"/>
      <c r="AF350" s="55"/>
      <c r="AG350" s="55"/>
      <c r="AH350" s="55"/>
      <c r="AI350" s="55"/>
      <c r="AJ350" s="55"/>
      <c r="AK350" s="55"/>
      <c r="AL350" s="55"/>
      <c r="AM350" s="55"/>
      <c r="AN350" s="55"/>
      <c r="AO350" s="55"/>
      <c r="AP350" s="55"/>
      <c r="AQ350" s="55"/>
      <c r="AR350" s="55"/>
      <c r="AS350" s="55"/>
      <c r="AT350" s="55"/>
      <c r="AU350" s="55"/>
      <c r="AV350" s="55"/>
      <c r="AW350" s="55"/>
      <c r="AX350" s="55"/>
      <c r="AY350" s="55"/>
      <c r="AZ350" s="55"/>
      <c r="BA350" s="55"/>
      <c r="BB350" s="55"/>
      <c r="BC350" s="55"/>
      <c r="BD350" s="55"/>
      <c r="BE350" s="55"/>
      <c r="BF350" s="55"/>
      <c r="BG350" s="55"/>
      <c r="BH350" s="55"/>
      <c r="BI350" s="55"/>
      <c r="BJ350" s="55"/>
      <c r="BK350" s="55"/>
      <c r="BL350" s="55"/>
      <c r="BM350" s="55"/>
      <c r="BN350" s="55"/>
      <c r="BO350" s="55"/>
      <c r="BP350" s="55"/>
      <c r="BQ350" s="55"/>
      <c r="BR350" s="55"/>
      <c r="BS350" s="55"/>
    </row>
    <row r="351" spans="1:71" outlineLevel="1" x14ac:dyDescent="0.2">
      <c r="J351" s="26"/>
      <c r="L351" s="55"/>
      <c r="M351" s="55"/>
      <c r="N351" s="55"/>
      <c r="O351" s="55"/>
      <c r="P351" s="55"/>
      <c r="Q351" s="55"/>
      <c r="R351" s="55"/>
      <c r="S351" s="55"/>
      <c r="T351" s="55"/>
      <c r="U351" s="55"/>
      <c r="V351" s="55"/>
      <c r="W351" s="55"/>
      <c r="X351" s="55"/>
      <c r="Y351" s="55"/>
      <c r="Z351" s="55"/>
      <c r="AA351" s="55"/>
      <c r="AB351" s="55"/>
      <c r="AC351" s="55"/>
      <c r="AD351" s="55"/>
      <c r="AE351" s="55"/>
      <c r="AF351" s="55"/>
      <c r="AG351" s="55"/>
      <c r="AH351" s="55"/>
      <c r="AI351" s="55"/>
      <c r="AJ351" s="55"/>
      <c r="AK351" s="55"/>
      <c r="AL351" s="55"/>
      <c r="AM351" s="55"/>
      <c r="AN351" s="55"/>
      <c r="AO351" s="55"/>
      <c r="AP351" s="55"/>
      <c r="AQ351" s="55"/>
      <c r="AR351" s="55"/>
      <c r="AS351" s="55"/>
      <c r="AT351" s="55"/>
      <c r="AU351" s="55"/>
      <c r="AV351" s="55"/>
      <c r="AW351" s="55"/>
      <c r="AX351" s="55"/>
      <c r="AY351" s="55"/>
      <c r="AZ351" s="55"/>
      <c r="BA351" s="55"/>
      <c r="BB351" s="55"/>
      <c r="BC351" s="55"/>
      <c r="BD351" s="55"/>
      <c r="BE351" s="55"/>
      <c r="BF351" s="55"/>
      <c r="BG351" s="55"/>
      <c r="BH351" s="55"/>
      <c r="BI351" s="55"/>
      <c r="BJ351" s="55"/>
      <c r="BK351" s="55"/>
      <c r="BL351" s="55"/>
      <c r="BM351" s="55"/>
      <c r="BN351" s="55"/>
      <c r="BO351" s="55"/>
      <c r="BP351" s="55"/>
      <c r="BQ351" s="55"/>
      <c r="BR351" s="55"/>
      <c r="BS351" s="55"/>
    </row>
    <row r="352" spans="1:71" outlineLevel="1" x14ac:dyDescent="0.2">
      <c r="C352" s="11" t="s">
        <v>244</v>
      </c>
      <c r="J352" s="26"/>
      <c r="L352" s="55"/>
      <c r="M352" s="55"/>
      <c r="N352" s="55"/>
      <c r="O352" s="55"/>
      <c r="P352" s="55"/>
      <c r="Q352" s="55"/>
      <c r="R352" s="55"/>
      <c r="S352" s="55"/>
      <c r="T352" s="55"/>
      <c r="U352" s="55"/>
      <c r="V352" s="55"/>
      <c r="W352" s="55"/>
      <c r="X352" s="55"/>
      <c r="Y352" s="55"/>
      <c r="Z352" s="55"/>
      <c r="AA352" s="55"/>
      <c r="AB352" s="55"/>
      <c r="AC352" s="55"/>
      <c r="AD352" s="55"/>
      <c r="AE352" s="55"/>
      <c r="AF352" s="55"/>
      <c r="AG352" s="55"/>
      <c r="AH352" s="55"/>
      <c r="AI352" s="55"/>
      <c r="AJ352" s="55"/>
      <c r="AK352" s="55"/>
      <c r="AL352" s="55"/>
      <c r="AM352" s="55"/>
      <c r="AN352" s="55"/>
      <c r="AO352" s="55"/>
      <c r="AP352" s="55"/>
      <c r="AQ352" s="55"/>
      <c r="AR352" s="55"/>
      <c r="AS352" s="55"/>
      <c r="AT352" s="55"/>
      <c r="AU352" s="55"/>
      <c r="AV352" s="55"/>
      <c r="AW352" s="55"/>
      <c r="AX352" s="55"/>
      <c r="AY352" s="55"/>
      <c r="AZ352" s="55"/>
      <c r="BA352" s="55"/>
      <c r="BB352" s="55"/>
      <c r="BC352" s="55"/>
      <c r="BD352" s="55"/>
      <c r="BE352" s="55"/>
      <c r="BF352" s="55"/>
      <c r="BG352" s="55"/>
      <c r="BH352" s="55"/>
      <c r="BI352" s="55"/>
      <c r="BJ352" s="55"/>
      <c r="BK352" s="55"/>
      <c r="BL352" s="55"/>
      <c r="BM352" s="55"/>
      <c r="BN352" s="55"/>
      <c r="BO352" s="55"/>
      <c r="BP352" s="55"/>
      <c r="BQ352" s="55"/>
      <c r="BR352" s="55"/>
      <c r="BS352" s="55"/>
    </row>
    <row r="353" spans="3:71" outlineLevel="1" x14ac:dyDescent="0.2">
      <c r="D353" t="s">
        <v>245</v>
      </c>
      <c r="I353" s="30">
        <f t="shared" ref="I353:I357" ca="1" si="139">SUM($L353:$BS353)</f>
        <v>3238.2863176754536</v>
      </c>
      <c r="J353" s="26" t="s">
        <v>148</v>
      </c>
      <c r="L353" s="49" cm="1">
        <f t="array" aca="1" ref="L353:BS353" ca="1">CA_cost_recovered_oil</f>
        <v>0</v>
      </c>
      <c r="M353" s="49">
        <f ca="1"/>
        <v>0.16974408875808392</v>
      </c>
      <c r="N353" s="49">
        <f ca="1"/>
        <v>58.485517526142516</v>
      </c>
      <c r="O353" s="49">
        <f ca="1"/>
        <v>90.492232867762084</v>
      </c>
      <c r="P353" s="49">
        <f ca="1"/>
        <v>209.1184752662713</v>
      </c>
      <c r="Q353" s="49">
        <f ca="1"/>
        <v>465.23630441858234</v>
      </c>
      <c r="R353" s="49">
        <f ca="1"/>
        <v>432.37422792519823</v>
      </c>
      <c r="S353" s="49">
        <f ca="1"/>
        <v>245.22735550833329</v>
      </c>
      <c r="T353" s="49">
        <f ca="1"/>
        <v>369.96326771039992</v>
      </c>
      <c r="U353" s="49">
        <f ca="1"/>
        <v>369.31587203699996</v>
      </c>
      <c r="V353" s="49">
        <f ca="1"/>
        <v>350.33303621429809</v>
      </c>
      <c r="W353" s="49">
        <f ca="1"/>
        <v>332.3259181528831</v>
      </c>
      <c r="X353" s="49">
        <f ca="1"/>
        <v>315.2443659598249</v>
      </c>
      <c r="Y353" s="49">
        <f ca="1"/>
        <v>0</v>
      </c>
      <c r="Z353" s="49">
        <f ca="1"/>
        <v>0</v>
      </c>
      <c r="AA353" s="49">
        <f ca="1"/>
        <v>0</v>
      </c>
      <c r="AB353" s="49">
        <f ca="1"/>
        <v>0</v>
      </c>
      <c r="AC353" s="49">
        <f ca="1"/>
        <v>0</v>
      </c>
      <c r="AD353" s="49">
        <f ca="1"/>
        <v>0</v>
      </c>
      <c r="AE353" s="49">
        <f ca="1"/>
        <v>0</v>
      </c>
      <c r="AF353" s="49">
        <f ca="1"/>
        <v>0</v>
      </c>
      <c r="AG353" s="49">
        <f ca="1"/>
        <v>0</v>
      </c>
      <c r="AH353" s="49">
        <f ca="1"/>
        <v>0</v>
      </c>
      <c r="AI353" s="49">
        <f ca="1"/>
        <v>0</v>
      </c>
      <c r="AJ353" s="49">
        <f ca="1"/>
        <v>0</v>
      </c>
      <c r="AK353" s="49">
        <f ca="1"/>
        <v>0</v>
      </c>
      <c r="AL353" s="49">
        <f ca="1"/>
        <v>0</v>
      </c>
      <c r="AM353" s="49">
        <f ca="1"/>
        <v>0</v>
      </c>
      <c r="AN353" s="49">
        <f ca="1"/>
        <v>0</v>
      </c>
      <c r="AO353" s="49">
        <f ca="1"/>
        <v>0</v>
      </c>
      <c r="AP353" s="49">
        <f ca="1"/>
        <v>0</v>
      </c>
      <c r="AQ353" s="49">
        <f ca="1"/>
        <v>0</v>
      </c>
      <c r="AR353" s="49">
        <f ca="1"/>
        <v>0</v>
      </c>
      <c r="AS353" s="49">
        <f ca="1"/>
        <v>0</v>
      </c>
      <c r="AT353" s="49">
        <f ca="1"/>
        <v>0</v>
      </c>
      <c r="AU353" s="49">
        <f ca="1"/>
        <v>0</v>
      </c>
      <c r="AV353" s="49">
        <f ca="1"/>
        <v>0</v>
      </c>
      <c r="AW353" s="49">
        <f ca="1"/>
        <v>0</v>
      </c>
      <c r="AX353" s="49">
        <f ca="1"/>
        <v>0</v>
      </c>
      <c r="AY353" s="49">
        <f ca="1"/>
        <v>0</v>
      </c>
      <c r="AZ353" s="49">
        <f ca="1"/>
        <v>0</v>
      </c>
      <c r="BA353" s="49">
        <f ca="1"/>
        <v>0</v>
      </c>
      <c r="BB353" s="49">
        <f ca="1"/>
        <v>0</v>
      </c>
      <c r="BC353" s="49">
        <f ca="1"/>
        <v>0</v>
      </c>
      <c r="BD353" s="49">
        <f ca="1"/>
        <v>0</v>
      </c>
      <c r="BE353" s="49">
        <f ca="1"/>
        <v>0</v>
      </c>
      <c r="BF353" s="49">
        <f ca="1"/>
        <v>0</v>
      </c>
      <c r="BG353" s="49">
        <f ca="1"/>
        <v>0</v>
      </c>
      <c r="BH353" s="49">
        <f ca="1"/>
        <v>0</v>
      </c>
      <c r="BI353" s="49">
        <f ca="1"/>
        <v>0</v>
      </c>
      <c r="BJ353" s="49">
        <f ca="1"/>
        <v>0</v>
      </c>
      <c r="BK353" s="49">
        <f ca="1"/>
        <v>0</v>
      </c>
      <c r="BL353" s="49">
        <f ca="1"/>
        <v>0</v>
      </c>
      <c r="BM353" s="49">
        <f ca="1"/>
        <v>0</v>
      </c>
      <c r="BN353" s="49">
        <f ca="1"/>
        <v>0</v>
      </c>
      <c r="BO353" s="49">
        <f ca="1"/>
        <v>0</v>
      </c>
      <c r="BP353" s="49">
        <f ca="1"/>
        <v>0</v>
      </c>
      <c r="BQ353" s="49">
        <f ca="1"/>
        <v>0</v>
      </c>
      <c r="BR353" s="49">
        <f ca="1"/>
        <v>0</v>
      </c>
      <c r="BS353" s="49">
        <f ca="1"/>
        <v>0</v>
      </c>
    </row>
    <row r="354" spans="3:71" outlineLevel="1" x14ac:dyDescent="0.2">
      <c r="D354" t="s">
        <v>246</v>
      </c>
      <c r="I354" s="30">
        <f t="shared" ca="1" si="139"/>
        <v>0</v>
      </c>
      <c r="J354" s="26" t="s">
        <v>148</v>
      </c>
      <c r="L354" s="49" cm="1">
        <f t="array" aca="1" ref="L354:BS354" ca="1">Marine!CA_excess_CR_cont*Marine!CA_rev_oil_perc</f>
        <v>0</v>
      </c>
      <c r="M354" s="49">
        <f ca="1"/>
        <v>0</v>
      </c>
      <c r="N354" s="49">
        <f ca="1"/>
        <v>0</v>
      </c>
      <c r="O354" s="49">
        <f ca="1"/>
        <v>0</v>
      </c>
      <c r="P354" s="49">
        <f ca="1"/>
        <v>0</v>
      </c>
      <c r="Q354" s="49">
        <f ca="1"/>
        <v>0</v>
      </c>
      <c r="R354" s="49">
        <f ca="1"/>
        <v>0</v>
      </c>
      <c r="S354" s="49">
        <f ca="1"/>
        <v>0</v>
      </c>
      <c r="T354" s="49">
        <f ca="1"/>
        <v>0</v>
      </c>
      <c r="U354" s="49">
        <f ca="1"/>
        <v>0</v>
      </c>
      <c r="V354" s="49">
        <f ca="1"/>
        <v>0</v>
      </c>
      <c r="W354" s="49">
        <f ca="1"/>
        <v>0</v>
      </c>
      <c r="X354" s="49">
        <f ca="1"/>
        <v>0</v>
      </c>
      <c r="Y354" s="49">
        <f ca="1"/>
        <v>0</v>
      </c>
      <c r="Z354" s="49">
        <f ca="1"/>
        <v>0</v>
      </c>
      <c r="AA354" s="49">
        <f ca="1"/>
        <v>0</v>
      </c>
      <c r="AB354" s="49">
        <f ca="1"/>
        <v>0</v>
      </c>
      <c r="AC354" s="49">
        <f ca="1"/>
        <v>0</v>
      </c>
      <c r="AD354" s="49">
        <f ca="1"/>
        <v>0</v>
      </c>
      <c r="AE354" s="49">
        <f ca="1"/>
        <v>0</v>
      </c>
      <c r="AF354" s="49">
        <f ca="1"/>
        <v>0</v>
      </c>
      <c r="AG354" s="49">
        <f ca="1"/>
        <v>0</v>
      </c>
      <c r="AH354" s="49">
        <f ca="1"/>
        <v>0</v>
      </c>
      <c r="AI354" s="49">
        <f ca="1"/>
        <v>0</v>
      </c>
      <c r="AJ354" s="49">
        <f ca="1"/>
        <v>0</v>
      </c>
      <c r="AK354" s="49">
        <f ca="1"/>
        <v>0</v>
      </c>
      <c r="AL354" s="49">
        <f ca="1"/>
        <v>0</v>
      </c>
      <c r="AM354" s="49">
        <f ca="1"/>
        <v>0</v>
      </c>
      <c r="AN354" s="49">
        <f ca="1"/>
        <v>0</v>
      </c>
      <c r="AO354" s="49">
        <f ca="1"/>
        <v>0</v>
      </c>
      <c r="AP354" s="49">
        <f ca="1"/>
        <v>0</v>
      </c>
      <c r="AQ354" s="49">
        <f ca="1"/>
        <v>0</v>
      </c>
      <c r="AR354" s="49">
        <f ca="1"/>
        <v>0</v>
      </c>
      <c r="AS354" s="49">
        <f ca="1"/>
        <v>0</v>
      </c>
      <c r="AT354" s="49">
        <f ca="1"/>
        <v>0</v>
      </c>
      <c r="AU354" s="49">
        <f ca="1"/>
        <v>0</v>
      </c>
      <c r="AV354" s="49">
        <f ca="1"/>
        <v>0</v>
      </c>
      <c r="AW354" s="49">
        <f ca="1"/>
        <v>0</v>
      </c>
      <c r="AX354" s="49">
        <f ca="1"/>
        <v>0</v>
      </c>
      <c r="AY354" s="49">
        <f ca="1"/>
        <v>0</v>
      </c>
      <c r="AZ354" s="49">
        <f ca="1"/>
        <v>0</v>
      </c>
      <c r="BA354" s="49">
        <f ca="1"/>
        <v>0</v>
      </c>
      <c r="BB354" s="49">
        <f ca="1"/>
        <v>0</v>
      </c>
      <c r="BC354" s="49">
        <f ca="1"/>
        <v>0</v>
      </c>
      <c r="BD354" s="49">
        <f ca="1"/>
        <v>0</v>
      </c>
      <c r="BE354" s="49">
        <f ca="1"/>
        <v>0</v>
      </c>
      <c r="BF354" s="49">
        <f ca="1"/>
        <v>0</v>
      </c>
      <c r="BG354" s="49">
        <f ca="1"/>
        <v>0</v>
      </c>
      <c r="BH354" s="49">
        <f ca="1"/>
        <v>0</v>
      </c>
      <c r="BI354" s="49">
        <f ca="1"/>
        <v>0</v>
      </c>
      <c r="BJ354" s="49">
        <f ca="1"/>
        <v>0</v>
      </c>
      <c r="BK354" s="49">
        <f ca="1"/>
        <v>0</v>
      </c>
      <c r="BL354" s="49">
        <f ca="1"/>
        <v>0</v>
      </c>
      <c r="BM354" s="49">
        <f ca="1"/>
        <v>0</v>
      </c>
      <c r="BN354" s="49">
        <f ca="1"/>
        <v>0</v>
      </c>
      <c r="BO354" s="49">
        <f ca="1"/>
        <v>0</v>
      </c>
      <c r="BP354" s="49">
        <f ca="1"/>
        <v>0</v>
      </c>
      <c r="BQ354" s="49">
        <f ca="1"/>
        <v>0</v>
      </c>
      <c r="BR354" s="49">
        <f ca="1"/>
        <v>0</v>
      </c>
      <c r="BS354" s="49">
        <f ca="1"/>
        <v>0</v>
      </c>
    </row>
    <row r="355" spans="3:71" outlineLevel="1" x14ac:dyDescent="0.2">
      <c r="D355" t="s">
        <v>98</v>
      </c>
      <c r="I355" s="30">
        <f t="shared" ca="1" si="139"/>
        <v>0</v>
      </c>
      <c r="J355" s="26" t="s">
        <v>148</v>
      </c>
      <c r="L355" s="49" cm="1">
        <f t="array" aca="1" ref="L355:BS355" ca="1">Marine!CA_SPO_cont</f>
        <v>0</v>
      </c>
      <c r="M355" s="49">
        <f ca="1"/>
        <v>0</v>
      </c>
      <c r="N355" s="49">
        <f ca="1"/>
        <v>0</v>
      </c>
      <c r="O355" s="49">
        <f ca="1"/>
        <v>0</v>
      </c>
      <c r="P355" s="49">
        <f ca="1"/>
        <v>0</v>
      </c>
      <c r="Q355" s="49">
        <f ca="1"/>
        <v>0</v>
      </c>
      <c r="R355" s="49">
        <f ca="1"/>
        <v>0</v>
      </c>
      <c r="S355" s="49">
        <f ca="1"/>
        <v>0</v>
      </c>
      <c r="T355" s="49">
        <f ca="1"/>
        <v>0</v>
      </c>
      <c r="U355" s="49">
        <f ca="1"/>
        <v>0</v>
      </c>
      <c r="V355" s="49">
        <f ca="1"/>
        <v>0</v>
      </c>
      <c r="W355" s="49">
        <f ca="1"/>
        <v>0</v>
      </c>
      <c r="X355" s="49">
        <f ca="1"/>
        <v>0</v>
      </c>
      <c r="Y355" s="49">
        <f ca="1"/>
        <v>0</v>
      </c>
      <c r="Z355" s="49">
        <f ca="1"/>
        <v>0</v>
      </c>
      <c r="AA355" s="49">
        <f ca="1"/>
        <v>0</v>
      </c>
      <c r="AB355" s="49">
        <f ca="1"/>
        <v>0</v>
      </c>
      <c r="AC355" s="49">
        <f ca="1"/>
        <v>0</v>
      </c>
      <c r="AD355" s="49">
        <f ca="1"/>
        <v>0</v>
      </c>
      <c r="AE355" s="49">
        <f ca="1"/>
        <v>0</v>
      </c>
      <c r="AF355" s="49">
        <f ca="1"/>
        <v>0</v>
      </c>
      <c r="AG355" s="49">
        <f ca="1"/>
        <v>0</v>
      </c>
      <c r="AH355" s="49">
        <f ca="1"/>
        <v>0</v>
      </c>
      <c r="AI355" s="49">
        <f ca="1"/>
        <v>0</v>
      </c>
      <c r="AJ355" s="49">
        <f ca="1"/>
        <v>0</v>
      </c>
      <c r="AK355" s="49">
        <f ca="1"/>
        <v>0</v>
      </c>
      <c r="AL355" s="49">
        <f ca="1"/>
        <v>0</v>
      </c>
      <c r="AM355" s="49">
        <f ca="1"/>
        <v>0</v>
      </c>
      <c r="AN355" s="49">
        <f ca="1"/>
        <v>0</v>
      </c>
      <c r="AO355" s="49">
        <f ca="1"/>
        <v>0</v>
      </c>
      <c r="AP355" s="49">
        <f ca="1"/>
        <v>0</v>
      </c>
      <c r="AQ355" s="49">
        <f ca="1"/>
        <v>0</v>
      </c>
      <c r="AR355" s="49">
        <f ca="1"/>
        <v>0</v>
      </c>
      <c r="AS355" s="49">
        <f ca="1"/>
        <v>0</v>
      </c>
      <c r="AT355" s="49">
        <f ca="1"/>
        <v>0</v>
      </c>
      <c r="AU355" s="49">
        <f ca="1"/>
        <v>0</v>
      </c>
      <c r="AV355" s="49">
        <f ca="1"/>
        <v>0</v>
      </c>
      <c r="AW355" s="49">
        <f ca="1"/>
        <v>0</v>
      </c>
      <c r="AX355" s="49">
        <f ca="1"/>
        <v>0</v>
      </c>
      <c r="AY355" s="49">
        <f ca="1"/>
        <v>0</v>
      </c>
      <c r="AZ355" s="49">
        <f ca="1"/>
        <v>0</v>
      </c>
      <c r="BA355" s="49">
        <f ca="1"/>
        <v>0</v>
      </c>
      <c r="BB355" s="49">
        <f ca="1"/>
        <v>0</v>
      </c>
      <c r="BC355" s="49">
        <f ca="1"/>
        <v>0</v>
      </c>
      <c r="BD355" s="49">
        <f ca="1"/>
        <v>0</v>
      </c>
      <c r="BE355" s="49">
        <f ca="1"/>
        <v>0</v>
      </c>
      <c r="BF355" s="49">
        <f ca="1"/>
        <v>0</v>
      </c>
      <c r="BG355" s="49">
        <f ca="1"/>
        <v>0</v>
      </c>
      <c r="BH355" s="49">
        <f ca="1"/>
        <v>0</v>
      </c>
      <c r="BI355" s="49">
        <f ca="1"/>
        <v>0</v>
      </c>
      <c r="BJ355" s="49">
        <f ca="1"/>
        <v>0</v>
      </c>
      <c r="BK355" s="49">
        <f ca="1"/>
        <v>0</v>
      </c>
      <c r="BL355" s="49">
        <f ca="1"/>
        <v>0</v>
      </c>
      <c r="BM355" s="49">
        <f ca="1"/>
        <v>0</v>
      </c>
      <c r="BN355" s="49">
        <f ca="1"/>
        <v>0</v>
      </c>
      <c r="BO355" s="49">
        <f ca="1"/>
        <v>0</v>
      </c>
      <c r="BP355" s="49">
        <f ca="1"/>
        <v>0</v>
      </c>
      <c r="BQ355" s="49">
        <f ca="1"/>
        <v>0</v>
      </c>
      <c r="BR355" s="49">
        <f ca="1"/>
        <v>0</v>
      </c>
      <c r="BS355" s="49">
        <f ca="1"/>
        <v>0</v>
      </c>
    </row>
    <row r="356" spans="3:71" outlineLevel="1" x14ac:dyDescent="0.2">
      <c r="D356" t="s">
        <v>226</v>
      </c>
      <c r="I356" s="30">
        <f t="shared" ca="1" si="139"/>
        <v>601.11530122013903</v>
      </c>
      <c r="J356" s="26" t="s">
        <v>148</v>
      </c>
      <c r="L356" s="49" cm="1">
        <f t="array" aca="1" ref="L356:BS356" ca="1">Marine!CA_PS_cont*Marine!CA_rev_oil_perc</f>
        <v>0</v>
      </c>
      <c r="M356" s="49">
        <f ca="1"/>
        <v>2.8413973768409238E-2</v>
      </c>
      <c r="N356" s="49">
        <f ca="1"/>
        <v>15.69421818451101</v>
      </c>
      <c r="O356" s="49">
        <f ca="1"/>
        <v>24.338491944136695</v>
      </c>
      <c r="P356" s="49">
        <f ca="1"/>
        <v>45.696215058437552</v>
      </c>
      <c r="Q356" s="49">
        <f ca="1"/>
        <v>84.775338160610076</v>
      </c>
      <c r="R356" s="49">
        <f ca="1"/>
        <v>55.591003421745825</v>
      </c>
      <c r="S356" s="49">
        <f ca="1"/>
        <v>52.433306695116976</v>
      </c>
      <c r="T356" s="49">
        <f ca="1"/>
        <v>69.833590129542415</v>
      </c>
      <c r="U356" s="49">
        <f ca="1"/>
        <v>69.738614555829571</v>
      </c>
      <c r="V356" s="49">
        <f ca="1"/>
        <v>67.218838469406933</v>
      </c>
      <c r="W356" s="49">
        <f ca="1"/>
        <v>58.878501746082748</v>
      </c>
      <c r="X356" s="49">
        <f ca="1"/>
        <v>56.888768880950771</v>
      </c>
      <c r="Y356" s="49">
        <f ca="1"/>
        <v>0</v>
      </c>
      <c r="Z356" s="49">
        <f ca="1"/>
        <v>0</v>
      </c>
      <c r="AA356" s="49">
        <f ca="1"/>
        <v>0</v>
      </c>
      <c r="AB356" s="49">
        <f ca="1"/>
        <v>0</v>
      </c>
      <c r="AC356" s="49">
        <f ca="1"/>
        <v>0</v>
      </c>
      <c r="AD356" s="49">
        <f ca="1"/>
        <v>0</v>
      </c>
      <c r="AE356" s="49">
        <f ca="1"/>
        <v>0</v>
      </c>
      <c r="AF356" s="49">
        <f ca="1"/>
        <v>0</v>
      </c>
      <c r="AG356" s="49">
        <f ca="1"/>
        <v>0</v>
      </c>
      <c r="AH356" s="49">
        <f ca="1"/>
        <v>0</v>
      </c>
      <c r="AI356" s="49">
        <f ca="1"/>
        <v>0</v>
      </c>
      <c r="AJ356" s="49">
        <f ca="1"/>
        <v>0</v>
      </c>
      <c r="AK356" s="49">
        <f ca="1"/>
        <v>0</v>
      </c>
      <c r="AL356" s="49">
        <f ca="1"/>
        <v>0</v>
      </c>
      <c r="AM356" s="49">
        <f ca="1"/>
        <v>0</v>
      </c>
      <c r="AN356" s="49">
        <f ca="1"/>
        <v>0</v>
      </c>
      <c r="AO356" s="49">
        <f ca="1"/>
        <v>0</v>
      </c>
      <c r="AP356" s="49">
        <f ca="1"/>
        <v>0</v>
      </c>
      <c r="AQ356" s="49">
        <f ca="1"/>
        <v>0</v>
      </c>
      <c r="AR356" s="49">
        <f ca="1"/>
        <v>0</v>
      </c>
      <c r="AS356" s="49">
        <f ca="1"/>
        <v>0</v>
      </c>
      <c r="AT356" s="49">
        <f ca="1"/>
        <v>0</v>
      </c>
      <c r="AU356" s="49">
        <f ca="1"/>
        <v>0</v>
      </c>
      <c r="AV356" s="49">
        <f ca="1"/>
        <v>0</v>
      </c>
      <c r="AW356" s="49">
        <f ca="1"/>
        <v>0</v>
      </c>
      <c r="AX356" s="49">
        <f ca="1"/>
        <v>0</v>
      </c>
      <c r="AY356" s="49">
        <f ca="1"/>
        <v>0</v>
      </c>
      <c r="AZ356" s="49">
        <f ca="1"/>
        <v>0</v>
      </c>
      <c r="BA356" s="49">
        <f ca="1"/>
        <v>0</v>
      </c>
      <c r="BB356" s="49">
        <f ca="1"/>
        <v>0</v>
      </c>
      <c r="BC356" s="49">
        <f ca="1"/>
        <v>0</v>
      </c>
      <c r="BD356" s="49">
        <f ca="1"/>
        <v>0</v>
      </c>
      <c r="BE356" s="49">
        <f ca="1"/>
        <v>0</v>
      </c>
      <c r="BF356" s="49">
        <f ca="1"/>
        <v>0</v>
      </c>
      <c r="BG356" s="49">
        <f ca="1"/>
        <v>0</v>
      </c>
      <c r="BH356" s="49">
        <f ca="1"/>
        <v>0</v>
      </c>
      <c r="BI356" s="49">
        <f ca="1"/>
        <v>0</v>
      </c>
      <c r="BJ356" s="49">
        <f ca="1"/>
        <v>0</v>
      </c>
      <c r="BK356" s="49">
        <f ca="1"/>
        <v>0</v>
      </c>
      <c r="BL356" s="49">
        <f ca="1"/>
        <v>0</v>
      </c>
      <c r="BM356" s="49">
        <f ca="1"/>
        <v>0</v>
      </c>
      <c r="BN356" s="49">
        <f ca="1"/>
        <v>0</v>
      </c>
      <c r="BO356" s="49">
        <f ca="1"/>
        <v>0</v>
      </c>
      <c r="BP356" s="49">
        <f ca="1"/>
        <v>0</v>
      </c>
      <c r="BQ356" s="49">
        <f ca="1"/>
        <v>0</v>
      </c>
      <c r="BR356" s="49">
        <f ca="1"/>
        <v>0</v>
      </c>
      <c r="BS356" s="49">
        <f ca="1"/>
        <v>0</v>
      </c>
    </row>
    <row r="357" spans="3:71" outlineLevel="1" x14ac:dyDescent="0.2">
      <c r="D357" s="11" t="s">
        <v>129</v>
      </c>
      <c r="I357" s="30">
        <f t="shared" ca="1" si="139"/>
        <v>3839.4016188955929</v>
      </c>
      <c r="J357" s="26" t="s">
        <v>148</v>
      </c>
      <c r="K357" s="7" t="s">
        <v>247</v>
      </c>
      <c r="L357" s="49">
        <f ca="1">SUM(L353:L356)</f>
        <v>0</v>
      </c>
      <c r="M357" s="49">
        <f t="shared" ref="M357:BS357" ca="1" si="140">SUM(M353:M356)</f>
        <v>0.19815806252649315</v>
      </c>
      <c r="N357" s="49">
        <f t="shared" ca="1" si="140"/>
        <v>74.179735710653532</v>
      </c>
      <c r="O357" s="49">
        <f t="shared" ca="1" si="140"/>
        <v>114.83072481189878</v>
      </c>
      <c r="P357" s="49">
        <f t="shared" ca="1" si="140"/>
        <v>254.81469032470886</v>
      </c>
      <c r="Q357" s="49">
        <f t="shared" ca="1" si="140"/>
        <v>550.01164257919243</v>
      </c>
      <c r="R357" s="49">
        <f t="shared" ca="1" si="140"/>
        <v>487.96523134694405</v>
      </c>
      <c r="S357" s="49">
        <f t="shared" ca="1" si="140"/>
        <v>297.66066220345027</v>
      </c>
      <c r="T357" s="49">
        <f t="shared" ca="1" si="140"/>
        <v>439.79685783994233</v>
      </c>
      <c r="U357" s="49">
        <f t="shared" ca="1" si="140"/>
        <v>439.05448659282956</v>
      </c>
      <c r="V357" s="49">
        <f t="shared" ca="1" si="140"/>
        <v>417.55187468370502</v>
      </c>
      <c r="W357" s="49">
        <f t="shared" ca="1" si="140"/>
        <v>391.20441989896585</v>
      </c>
      <c r="X357" s="49">
        <f t="shared" ca="1" si="140"/>
        <v>372.13313484077565</v>
      </c>
      <c r="Y357" s="49">
        <f t="shared" ca="1" si="140"/>
        <v>0</v>
      </c>
      <c r="Z357" s="49">
        <f t="shared" ca="1" si="140"/>
        <v>0</v>
      </c>
      <c r="AA357" s="49">
        <f t="shared" ca="1" si="140"/>
        <v>0</v>
      </c>
      <c r="AB357" s="49">
        <f t="shared" ca="1" si="140"/>
        <v>0</v>
      </c>
      <c r="AC357" s="49">
        <f t="shared" ca="1" si="140"/>
        <v>0</v>
      </c>
      <c r="AD357" s="49">
        <f t="shared" ca="1" si="140"/>
        <v>0</v>
      </c>
      <c r="AE357" s="49">
        <f t="shared" ca="1" si="140"/>
        <v>0</v>
      </c>
      <c r="AF357" s="49">
        <f t="shared" ca="1" si="140"/>
        <v>0</v>
      </c>
      <c r="AG357" s="49">
        <f t="shared" ca="1" si="140"/>
        <v>0</v>
      </c>
      <c r="AH357" s="49">
        <f t="shared" ca="1" si="140"/>
        <v>0</v>
      </c>
      <c r="AI357" s="49">
        <f t="shared" ca="1" si="140"/>
        <v>0</v>
      </c>
      <c r="AJ357" s="49">
        <f t="shared" ca="1" si="140"/>
        <v>0</v>
      </c>
      <c r="AK357" s="49">
        <f t="shared" ca="1" si="140"/>
        <v>0</v>
      </c>
      <c r="AL357" s="49">
        <f t="shared" ca="1" si="140"/>
        <v>0</v>
      </c>
      <c r="AM357" s="49">
        <f t="shared" ca="1" si="140"/>
        <v>0</v>
      </c>
      <c r="AN357" s="49">
        <f t="shared" ca="1" si="140"/>
        <v>0</v>
      </c>
      <c r="AO357" s="49">
        <f t="shared" ca="1" si="140"/>
        <v>0</v>
      </c>
      <c r="AP357" s="49">
        <f t="shared" ca="1" si="140"/>
        <v>0</v>
      </c>
      <c r="AQ357" s="49">
        <f t="shared" ca="1" si="140"/>
        <v>0</v>
      </c>
      <c r="AR357" s="49">
        <f t="shared" ca="1" si="140"/>
        <v>0</v>
      </c>
      <c r="AS357" s="49">
        <f t="shared" ca="1" si="140"/>
        <v>0</v>
      </c>
      <c r="AT357" s="49">
        <f t="shared" ca="1" si="140"/>
        <v>0</v>
      </c>
      <c r="AU357" s="49">
        <f t="shared" ca="1" si="140"/>
        <v>0</v>
      </c>
      <c r="AV357" s="49">
        <f t="shared" ca="1" si="140"/>
        <v>0</v>
      </c>
      <c r="AW357" s="49">
        <f t="shared" ca="1" si="140"/>
        <v>0</v>
      </c>
      <c r="AX357" s="49">
        <f t="shared" ca="1" si="140"/>
        <v>0</v>
      </c>
      <c r="AY357" s="49">
        <f t="shared" ca="1" si="140"/>
        <v>0</v>
      </c>
      <c r="AZ357" s="49">
        <f t="shared" ca="1" si="140"/>
        <v>0</v>
      </c>
      <c r="BA357" s="49">
        <f t="shared" ca="1" si="140"/>
        <v>0</v>
      </c>
      <c r="BB357" s="49">
        <f t="shared" ca="1" si="140"/>
        <v>0</v>
      </c>
      <c r="BC357" s="49">
        <f t="shared" ca="1" si="140"/>
        <v>0</v>
      </c>
      <c r="BD357" s="49">
        <f t="shared" ca="1" si="140"/>
        <v>0</v>
      </c>
      <c r="BE357" s="49">
        <f t="shared" ca="1" si="140"/>
        <v>0</v>
      </c>
      <c r="BF357" s="49">
        <f t="shared" ca="1" si="140"/>
        <v>0</v>
      </c>
      <c r="BG357" s="49">
        <f t="shared" ca="1" si="140"/>
        <v>0</v>
      </c>
      <c r="BH357" s="49">
        <f t="shared" ca="1" si="140"/>
        <v>0</v>
      </c>
      <c r="BI357" s="49">
        <f t="shared" ca="1" si="140"/>
        <v>0</v>
      </c>
      <c r="BJ357" s="49">
        <f t="shared" ca="1" si="140"/>
        <v>0</v>
      </c>
      <c r="BK357" s="49">
        <f t="shared" ca="1" si="140"/>
        <v>0</v>
      </c>
      <c r="BL357" s="49">
        <f t="shared" ca="1" si="140"/>
        <v>0</v>
      </c>
      <c r="BM357" s="49">
        <f t="shared" ca="1" si="140"/>
        <v>0</v>
      </c>
      <c r="BN357" s="49">
        <f t="shared" ca="1" si="140"/>
        <v>0</v>
      </c>
      <c r="BO357" s="49">
        <f t="shared" ca="1" si="140"/>
        <v>0</v>
      </c>
      <c r="BP357" s="49">
        <f t="shared" ca="1" si="140"/>
        <v>0</v>
      </c>
      <c r="BQ357" s="49">
        <f t="shared" ca="1" si="140"/>
        <v>0</v>
      </c>
      <c r="BR357" s="49">
        <f t="shared" ca="1" si="140"/>
        <v>0</v>
      </c>
      <c r="BS357" s="49">
        <f t="shared" ca="1" si="140"/>
        <v>0</v>
      </c>
    </row>
    <row r="358" spans="3:71" outlineLevel="1" x14ac:dyDescent="0.2">
      <c r="J358" s="26"/>
      <c r="L358" s="55"/>
      <c r="M358" s="55"/>
      <c r="N358" s="55"/>
      <c r="O358" s="55"/>
      <c r="P358" s="55"/>
      <c r="Q358" s="55"/>
      <c r="R358" s="55"/>
      <c r="S358" s="55"/>
      <c r="T358" s="55"/>
      <c r="U358" s="55"/>
      <c r="V358" s="55"/>
      <c r="W358" s="55"/>
      <c r="X358" s="55"/>
      <c r="Y358" s="55"/>
      <c r="Z358" s="55"/>
      <c r="AA358" s="55"/>
      <c r="AB358" s="55"/>
      <c r="AC358" s="55"/>
      <c r="AD358" s="55"/>
      <c r="AE358" s="55"/>
      <c r="AF358" s="55"/>
      <c r="AG358" s="55"/>
      <c r="AH358" s="55"/>
      <c r="AI358" s="55"/>
      <c r="AJ358" s="55"/>
      <c r="AK358" s="55"/>
      <c r="AL358" s="55"/>
      <c r="AM358" s="55"/>
      <c r="AN358" s="55"/>
      <c r="AO358" s="55"/>
      <c r="AP358" s="55"/>
      <c r="AQ358" s="55"/>
      <c r="AR358" s="55"/>
      <c r="AS358" s="55"/>
      <c r="AT358" s="55"/>
      <c r="AU358" s="55"/>
      <c r="AV358" s="55"/>
      <c r="AW358" s="55"/>
      <c r="AX358" s="55"/>
      <c r="AY358" s="55"/>
      <c r="AZ358" s="55"/>
      <c r="BA358" s="55"/>
      <c r="BB358" s="55"/>
      <c r="BC358" s="55"/>
      <c r="BD358" s="55"/>
      <c r="BE358" s="55"/>
      <c r="BF358" s="55"/>
      <c r="BG358" s="55"/>
      <c r="BH358" s="55"/>
      <c r="BI358" s="55"/>
      <c r="BJ358" s="55"/>
      <c r="BK358" s="55"/>
      <c r="BL358" s="55"/>
      <c r="BM358" s="55"/>
      <c r="BN358" s="55"/>
      <c r="BO358" s="55"/>
      <c r="BP358" s="55"/>
      <c r="BQ358" s="55"/>
      <c r="BR358" s="55"/>
      <c r="BS358" s="55"/>
    </row>
    <row r="359" spans="3:71" outlineLevel="1" x14ac:dyDescent="0.2">
      <c r="C359" s="11" t="s">
        <v>248</v>
      </c>
      <c r="J359" s="26"/>
      <c r="L359" s="55"/>
      <c r="M359" s="55"/>
      <c r="N359" s="55"/>
      <c r="O359" s="55"/>
      <c r="P359" s="55"/>
      <c r="Q359" s="55"/>
      <c r="R359" s="55"/>
      <c r="S359" s="55"/>
      <c r="T359" s="55"/>
      <c r="U359" s="55"/>
      <c r="V359" s="55"/>
      <c r="W359" s="55"/>
      <c r="X359" s="55"/>
      <c r="Y359" s="55"/>
      <c r="Z359" s="55"/>
      <c r="AA359" s="55"/>
      <c r="AB359" s="55"/>
      <c r="AC359" s="55"/>
      <c r="AD359" s="55"/>
      <c r="AE359" s="55"/>
      <c r="AF359" s="55"/>
      <c r="AG359" s="55"/>
      <c r="AH359" s="55"/>
      <c r="AI359" s="55"/>
      <c r="AJ359" s="55"/>
      <c r="AK359" s="55"/>
      <c r="AL359" s="55"/>
      <c r="AM359" s="55"/>
      <c r="AN359" s="55"/>
      <c r="AO359" s="55"/>
      <c r="AP359" s="55"/>
      <c r="AQ359" s="55"/>
      <c r="AR359" s="55"/>
      <c r="AS359" s="55"/>
      <c r="AT359" s="55"/>
      <c r="AU359" s="55"/>
      <c r="AV359" s="55"/>
      <c r="AW359" s="55"/>
      <c r="AX359" s="55"/>
      <c r="AY359" s="55"/>
      <c r="AZ359" s="55"/>
      <c r="BA359" s="55"/>
      <c r="BB359" s="55"/>
      <c r="BC359" s="55"/>
      <c r="BD359" s="55"/>
      <c r="BE359" s="55"/>
      <c r="BF359" s="55"/>
      <c r="BG359" s="55"/>
      <c r="BH359" s="55"/>
      <c r="BI359" s="55"/>
      <c r="BJ359" s="55"/>
      <c r="BK359" s="55"/>
      <c r="BL359" s="55"/>
      <c r="BM359" s="55"/>
      <c r="BN359" s="55"/>
      <c r="BO359" s="55"/>
      <c r="BP359" s="55"/>
      <c r="BQ359" s="55"/>
      <c r="BR359" s="55"/>
      <c r="BS359" s="55"/>
    </row>
    <row r="360" spans="3:71" outlineLevel="1" x14ac:dyDescent="0.2">
      <c r="D360" t="s">
        <v>249</v>
      </c>
      <c r="I360" s="30">
        <f t="shared" ref="I360:I363" ca="1" si="141">SUM($L360:$BS360)</f>
        <v>593.3764354398495</v>
      </c>
      <c r="J360" s="26" t="s">
        <v>148</v>
      </c>
      <c r="L360" s="49" cm="1">
        <f t="array" aca="1" ref="L360:BS360" ca="1">CA_cost_recovered_gas</f>
        <v>0</v>
      </c>
      <c r="M360" s="49">
        <f ca="1"/>
        <v>6.4090766449179659</v>
      </c>
      <c r="N360" s="49">
        <f ca="1"/>
        <v>32.435823628369469</v>
      </c>
      <c r="O360" s="49">
        <f ca="1"/>
        <v>50.908864237736623</v>
      </c>
      <c r="P360" s="49">
        <f ca="1"/>
        <v>46.941462105911178</v>
      </c>
      <c r="Q360" s="49">
        <f ca="1"/>
        <v>51.495202634441199</v>
      </c>
      <c r="R360" s="49">
        <f ca="1"/>
        <v>5.2525106687184575E-5</v>
      </c>
      <c r="S360" s="49">
        <f ca="1"/>
        <v>67.656119999999987</v>
      </c>
      <c r="T360" s="49">
        <f ca="1"/>
        <v>67.558437623762359</v>
      </c>
      <c r="U360" s="49">
        <f ca="1"/>
        <v>67.526685148514844</v>
      </c>
      <c r="V360" s="49">
        <f ca="1"/>
        <v>67.498075247524739</v>
      </c>
      <c r="W360" s="49">
        <f ca="1"/>
        <v>67.492524752475248</v>
      </c>
      <c r="X360" s="49">
        <f ca="1"/>
        <v>67.454110891089115</v>
      </c>
      <c r="Y360" s="49">
        <f ca="1"/>
        <v>0</v>
      </c>
      <c r="Z360" s="49">
        <f ca="1"/>
        <v>0</v>
      </c>
      <c r="AA360" s="49">
        <f ca="1"/>
        <v>0</v>
      </c>
      <c r="AB360" s="49">
        <f ca="1"/>
        <v>0</v>
      </c>
      <c r="AC360" s="49">
        <f ca="1"/>
        <v>0</v>
      </c>
      <c r="AD360" s="49">
        <f ca="1"/>
        <v>0</v>
      </c>
      <c r="AE360" s="49">
        <f ca="1"/>
        <v>0</v>
      </c>
      <c r="AF360" s="49">
        <f ca="1"/>
        <v>0</v>
      </c>
      <c r="AG360" s="49">
        <f ca="1"/>
        <v>0</v>
      </c>
      <c r="AH360" s="49">
        <f ca="1"/>
        <v>0</v>
      </c>
      <c r="AI360" s="49">
        <f ca="1"/>
        <v>0</v>
      </c>
      <c r="AJ360" s="49">
        <f ca="1"/>
        <v>0</v>
      </c>
      <c r="AK360" s="49">
        <f ca="1"/>
        <v>0</v>
      </c>
      <c r="AL360" s="49">
        <f ca="1"/>
        <v>0</v>
      </c>
      <c r="AM360" s="49">
        <f ca="1"/>
        <v>0</v>
      </c>
      <c r="AN360" s="49">
        <f ca="1"/>
        <v>0</v>
      </c>
      <c r="AO360" s="49">
        <f ca="1"/>
        <v>0</v>
      </c>
      <c r="AP360" s="49">
        <f ca="1"/>
        <v>0</v>
      </c>
      <c r="AQ360" s="49">
        <f ca="1"/>
        <v>0</v>
      </c>
      <c r="AR360" s="49">
        <f ca="1"/>
        <v>0</v>
      </c>
      <c r="AS360" s="49">
        <f ca="1"/>
        <v>0</v>
      </c>
      <c r="AT360" s="49">
        <f ca="1"/>
        <v>0</v>
      </c>
      <c r="AU360" s="49">
        <f ca="1"/>
        <v>0</v>
      </c>
      <c r="AV360" s="49">
        <f ca="1"/>
        <v>0</v>
      </c>
      <c r="AW360" s="49">
        <f ca="1"/>
        <v>0</v>
      </c>
      <c r="AX360" s="49">
        <f ca="1"/>
        <v>0</v>
      </c>
      <c r="AY360" s="49">
        <f ca="1"/>
        <v>0</v>
      </c>
      <c r="AZ360" s="49">
        <f ca="1"/>
        <v>0</v>
      </c>
      <c r="BA360" s="49">
        <f ca="1"/>
        <v>0</v>
      </c>
      <c r="BB360" s="49">
        <f ca="1"/>
        <v>0</v>
      </c>
      <c r="BC360" s="49">
        <f ca="1"/>
        <v>0</v>
      </c>
      <c r="BD360" s="49">
        <f ca="1"/>
        <v>0</v>
      </c>
      <c r="BE360" s="49">
        <f ca="1"/>
        <v>0</v>
      </c>
      <c r="BF360" s="49">
        <f ca="1"/>
        <v>0</v>
      </c>
      <c r="BG360" s="49">
        <f ca="1"/>
        <v>0</v>
      </c>
      <c r="BH360" s="49">
        <f ca="1"/>
        <v>0</v>
      </c>
      <c r="BI360" s="49">
        <f ca="1"/>
        <v>0</v>
      </c>
      <c r="BJ360" s="49">
        <f ca="1"/>
        <v>0</v>
      </c>
      <c r="BK360" s="49">
        <f ca="1"/>
        <v>0</v>
      </c>
      <c r="BL360" s="49">
        <f ca="1"/>
        <v>0</v>
      </c>
      <c r="BM360" s="49">
        <f ca="1"/>
        <v>0</v>
      </c>
      <c r="BN360" s="49">
        <f ca="1"/>
        <v>0</v>
      </c>
      <c r="BO360" s="49">
        <f ca="1"/>
        <v>0</v>
      </c>
      <c r="BP360" s="49">
        <f ca="1"/>
        <v>0</v>
      </c>
      <c r="BQ360" s="49">
        <f ca="1"/>
        <v>0</v>
      </c>
      <c r="BR360" s="49">
        <f ca="1"/>
        <v>0</v>
      </c>
      <c r="BS360" s="49">
        <f ca="1"/>
        <v>0</v>
      </c>
    </row>
    <row r="361" spans="3:71" outlineLevel="1" x14ac:dyDescent="0.2">
      <c r="D361" t="s">
        <v>250</v>
      </c>
      <c r="I361" s="30">
        <f t="shared" ca="1" si="141"/>
        <v>0</v>
      </c>
      <c r="J361" s="26" t="s">
        <v>148</v>
      </c>
      <c r="L361" s="49" cm="1">
        <f t="array" aca="1" ref="L361:BS361" ca="1">Marine!CA_excess_CR_cont*(Marine!CA_rev_gas_perc+CA_rev_domestic_gas_perc)</f>
        <v>0</v>
      </c>
      <c r="M361" s="49">
        <f ca="1"/>
        <v>0</v>
      </c>
      <c r="N361" s="49">
        <f ca="1"/>
        <v>0</v>
      </c>
      <c r="O361" s="49">
        <f ca="1"/>
        <v>0</v>
      </c>
      <c r="P361" s="49">
        <f ca="1"/>
        <v>0</v>
      </c>
      <c r="Q361" s="49">
        <f ca="1"/>
        <v>0</v>
      </c>
      <c r="R361" s="49">
        <f ca="1"/>
        <v>0</v>
      </c>
      <c r="S361" s="49">
        <f ca="1"/>
        <v>0</v>
      </c>
      <c r="T361" s="49">
        <f ca="1"/>
        <v>0</v>
      </c>
      <c r="U361" s="49">
        <f ca="1"/>
        <v>0</v>
      </c>
      <c r="V361" s="49">
        <f ca="1"/>
        <v>0</v>
      </c>
      <c r="W361" s="49">
        <f ca="1"/>
        <v>0</v>
      </c>
      <c r="X361" s="49">
        <f ca="1"/>
        <v>0</v>
      </c>
      <c r="Y361" s="49">
        <f ca="1"/>
        <v>0</v>
      </c>
      <c r="Z361" s="49">
        <f ca="1"/>
        <v>0</v>
      </c>
      <c r="AA361" s="49">
        <f ca="1"/>
        <v>0</v>
      </c>
      <c r="AB361" s="49">
        <f ca="1"/>
        <v>0</v>
      </c>
      <c r="AC361" s="49">
        <f ca="1"/>
        <v>0</v>
      </c>
      <c r="AD361" s="49">
        <f ca="1"/>
        <v>0</v>
      </c>
      <c r="AE361" s="49">
        <f ca="1"/>
        <v>0</v>
      </c>
      <c r="AF361" s="49">
        <f ca="1"/>
        <v>0</v>
      </c>
      <c r="AG361" s="49">
        <f ca="1"/>
        <v>0</v>
      </c>
      <c r="AH361" s="49">
        <f ca="1"/>
        <v>0</v>
      </c>
      <c r="AI361" s="49">
        <f ca="1"/>
        <v>0</v>
      </c>
      <c r="AJ361" s="49">
        <f ca="1"/>
        <v>0</v>
      </c>
      <c r="AK361" s="49">
        <f ca="1"/>
        <v>0</v>
      </c>
      <c r="AL361" s="49">
        <f ca="1"/>
        <v>0</v>
      </c>
      <c r="AM361" s="49">
        <f ca="1"/>
        <v>0</v>
      </c>
      <c r="AN361" s="49">
        <f ca="1"/>
        <v>0</v>
      </c>
      <c r="AO361" s="49">
        <f ca="1"/>
        <v>0</v>
      </c>
      <c r="AP361" s="49">
        <f ca="1"/>
        <v>0</v>
      </c>
      <c r="AQ361" s="49">
        <f ca="1"/>
        <v>0</v>
      </c>
      <c r="AR361" s="49">
        <f ca="1"/>
        <v>0</v>
      </c>
      <c r="AS361" s="49">
        <f ca="1"/>
        <v>0</v>
      </c>
      <c r="AT361" s="49">
        <f ca="1"/>
        <v>0</v>
      </c>
      <c r="AU361" s="49">
        <f ca="1"/>
        <v>0</v>
      </c>
      <c r="AV361" s="49">
        <f ca="1"/>
        <v>0</v>
      </c>
      <c r="AW361" s="49">
        <f ca="1"/>
        <v>0</v>
      </c>
      <c r="AX361" s="49">
        <f ca="1"/>
        <v>0</v>
      </c>
      <c r="AY361" s="49">
        <f ca="1"/>
        <v>0</v>
      </c>
      <c r="AZ361" s="49">
        <f ca="1"/>
        <v>0</v>
      </c>
      <c r="BA361" s="49">
        <f ca="1"/>
        <v>0</v>
      </c>
      <c r="BB361" s="49">
        <f ca="1"/>
        <v>0</v>
      </c>
      <c r="BC361" s="49">
        <f ca="1"/>
        <v>0</v>
      </c>
      <c r="BD361" s="49">
        <f ca="1"/>
        <v>0</v>
      </c>
      <c r="BE361" s="49">
        <f ca="1"/>
        <v>0</v>
      </c>
      <c r="BF361" s="49">
        <f ca="1"/>
        <v>0</v>
      </c>
      <c r="BG361" s="49">
        <f ca="1"/>
        <v>0</v>
      </c>
      <c r="BH361" s="49">
        <f ca="1"/>
        <v>0</v>
      </c>
      <c r="BI361" s="49">
        <f ca="1"/>
        <v>0</v>
      </c>
      <c r="BJ361" s="49">
        <f ca="1"/>
        <v>0</v>
      </c>
      <c r="BK361" s="49">
        <f ca="1"/>
        <v>0</v>
      </c>
      <c r="BL361" s="49">
        <f ca="1"/>
        <v>0</v>
      </c>
      <c r="BM361" s="49">
        <f ca="1"/>
        <v>0</v>
      </c>
      <c r="BN361" s="49">
        <f ca="1"/>
        <v>0</v>
      </c>
      <c r="BO361" s="49">
        <f ca="1"/>
        <v>0</v>
      </c>
      <c r="BP361" s="49">
        <f ca="1"/>
        <v>0</v>
      </c>
      <c r="BQ361" s="49">
        <f ca="1"/>
        <v>0</v>
      </c>
      <c r="BR361" s="49">
        <f ca="1"/>
        <v>0</v>
      </c>
      <c r="BS361" s="49">
        <f ca="1"/>
        <v>0</v>
      </c>
    </row>
    <row r="362" spans="3:71" outlineLevel="1" x14ac:dyDescent="0.2">
      <c r="D362" t="s">
        <v>237</v>
      </c>
      <c r="I362" s="30">
        <f t="shared" ca="1" si="141"/>
        <v>120.16076433492847</v>
      </c>
      <c r="J362" s="26" t="s">
        <v>148</v>
      </c>
      <c r="L362" s="49" cm="1">
        <f t="array" aca="1" ref="L362:BS362" ca="1">Marine!CA_PS_cont*(Marine!CA_rev_gas_perc+CA_rev_domestic_gas_perc)</f>
        <v>0</v>
      </c>
      <c r="M362" s="49">
        <f ca="1"/>
        <v>1.0728346241733302</v>
      </c>
      <c r="N362" s="49">
        <f ca="1"/>
        <v>8.7039478241840786</v>
      </c>
      <c r="O362" s="49">
        <f ca="1"/>
        <v>13.69227991032048</v>
      </c>
      <c r="P362" s="49">
        <f ca="1"/>
        <v>10.25756880073804</v>
      </c>
      <c r="Q362" s="49">
        <f ca="1"/>
        <v>9.3834534741212732</v>
      </c>
      <c r="R362" s="49">
        <f ca="1"/>
        <v>6.7532318001084983E-6</v>
      </c>
      <c r="S362" s="49">
        <f ca="1"/>
        <v>14.465898726543534</v>
      </c>
      <c r="T362" s="49">
        <f ca="1"/>
        <v>12.752207190750404</v>
      </c>
      <c r="U362" s="49">
        <f ca="1"/>
        <v>12.751191661032493</v>
      </c>
      <c r="V362" s="49">
        <f ca="1"/>
        <v>12.950940242712019</v>
      </c>
      <c r="W362" s="49">
        <f ca="1"/>
        <v>11.957715361394152</v>
      </c>
      <c r="X362" s="49">
        <f ca="1"/>
        <v>12.17271976572686</v>
      </c>
      <c r="Y362" s="49">
        <f ca="1"/>
        <v>0</v>
      </c>
      <c r="Z362" s="49">
        <f ca="1"/>
        <v>0</v>
      </c>
      <c r="AA362" s="49">
        <f ca="1"/>
        <v>0</v>
      </c>
      <c r="AB362" s="49">
        <f ca="1"/>
        <v>0</v>
      </c>
      <c r="AC362" s="49">
        <f ca="1"/>
        <v>0</v>
      </c>
      <c r="AD362" s="49">
        <f ca="1"/>
        <v>0</v>
      </c>
      <c r="AE362" s="49">
        <f ca="1"/>
        <v>0</v>
      </c>
      <c r="AF362" s="49">
        <f ca="1"/>
        <v>0</v>
      </c>
      <c r="AG362" s="49">
        <f ca="1"/>
        <v>0</v>
      </c>
      <c r="AH362" s="49">
        <f ca="1"/>
        <v>0</v>
      </c>
      <c r="AI362" s="49">
        <f ca="1"/>
        <v>0</v>
      </c>
      <c r="AJ362" s="49">
        <f ca="1"/>
        <v>0</v>
      </c>
      <c r="AK362" s="49">
        <f ca="1"/>
        <v>0</v>
      </c>
      <c r="AL362" s="49">
        <f ca="1"/>
        <v>0</v>
      </c>
      <c r="AM362" s="49">
        <f ca="1"/>
        <v>0</v>
      </c>
      <c r="AN362" s="49">
        <f ca="1"/>
        <v>0</v>
      </c>
      <c r="AO362" s="49">
        <f ca="1"/>
        <v>0</v>
      </c>
      <c r="AP362" s="49">
        <f ca="1"/>
        <v>0</v>
      </c>
      <c r="AQ362" s="49">
        <f ca="1"/>
        <v>0</v>
      </c>
      <c r="AR362" s="49">
        <f ca="1"/>
        <v>0</v>
      </c>
      <c r="AS362" s="49">
        <f ca="1"/>
        <v>0</v>
      </c>
      <c r="AT362" s="49">
        <f ca="1"/>
        <v>0</v>
      </c>
      <c r="AU362" s="49">
        <f ca="1"/>
        <v>0</v>
      </c>
      <c r="AV362" s="49">
        <f ca="1"/>
        <v>0</v>
      </c>
      <c r="AW362" s="49">
        <f ca="1"/>
        <v>0</v>
      </c>
      <c r="AX362" s="49">
        <f ca="1"/>
        <v>0</v>
      </c>
      <c r="AY362" s="49">
        <f ca="1"/>
        <v>0</v>
      </c>
      <c r="AZ362" s="49">
        <f ca="1"/>
        <v>0</v>
      </c>
      <c r="BA362" s="49">
        <f ca="1"/>
        <v>0</v>
      </c>
      <c r="BB362" s="49">
        <f ca="1"/>
        <v>0</v>
      </c>
      <c r="BC362" s="49">
        <f ca="1"/>
        <v>0</v>
      </c>
      <c r="BD362" s="49">
        <f ca="1"/>
        <v>0</v>
      </c>
      <c r="BE362" s="49">
        <f ca="1"/>
        <v>0</v>
      </c>
      <c r="BF362" s="49">
        <f ca="1"/>
        <v>0</v>
      </c>
      <c r="BG362" s="49">
        <f ca="1"/>
        <v>0</v>
      </c>
      <c r="BH362" s="49">
        <f ca="1"/>
        <v>0</v>
      </c>
      <c r="BI362" s="49">
        <f ca="1"/>
        <v>0</v>
      </c>
      <c r="BJ362" s="49">
        <f ca="1"/>
        <v>0</v>
      </c>
      <c r="BK362" s="49">
        <f ca="1"/>
        <v>0</v>
      </c>
      <c r="BL362" s="49">
        <f ca="1"/>
        <v>0</v>
      </c>
      <c r="BM362" s="49">
        <f ca="1"/>
        <v>0</v>
      </c>
      <c r="BN362" s="49">
        <f ca="1"/>
        <v>0</v>
      </c>
      <c r="BO362" s="49">
        <f ca="1"/>
        <v>0</v>
      </c>
      <c r="BP362" s="49">
        <f ca="1"/>
        <v>0</v>
      </c>
      <c r="BQ362" s="49">
        <f ca="1"/>
        <v>0</v>
      </c>
      <c r="BR362" s="49">
        <f ca="1"/>
        <v>0</v>
      </c>
      <c r="BS362" s="49">
        <f ca="1"/>
        <v>0</v>
      </c>
    </row>
    <row r="363" spans="3:71" outlineLevel="1" x14ac:dyDescent="0.2">
      <c r="D363" s="11" t="s">
        <v>129</v>
      </c>
      <c r="I363" s="30">
        <f t="shared" ca="1" si="141"/>
        <v>713.53719977477795</v>
      </c>
      <c r="J363" s="26" t="s">
        <v>148</v>
      </c>
      <c r="K363" s="7" t="s">
        <v>251</v>
      </c>
      <c r="L363" s="49">
        <f t="shared" ref="L363:AQ363" ca="1" si="142">SUM(L360:L362)</f>
        <v>0</v>
      </c>
      <c r="M363" s="49">
        <f t="shared" ca="1" si="142"/>
        <v>7.4819112690912961</v>
      </c>
      <c r="N363" s="49">
        <f t="shared" ca="1" si="142"/>
        <v>41.139771452553546</v>
      </c>
      <c r="O363" s="49">
        <f t="shared" ca="1" si="142"/>
        <v>64.601144148057102</v>
      </c>
      <c r="P363" s="49">
        <f t="shared" ca="1" si="142"/>
        <v>57.19903090664922</v>
      </c>
      <c r="Q363" s="49">
        <f t="shared" ca="1" si="142"/>
        <v>60.878656108562474</v>
      </c>
      <c r="R363" s="49">
        <f t="shared" ca="1" si="142"/>
        <v>5.9278338487293076E-5</v>
      </c>
      <c r="S363" s="49">
        <f t="shared" ca="1" si="142"/>
        <v>82.122018726543516</v>
      </c>
      <c r="T363" s="49">
        <f t="shared" ca="1" si="142"/>
        <v>80.310644814512756</v>
      </c>
      <c r="U363" s="49">
        <f t="shared" ca="1" si="142"/>
        <v>80.277876809547337</v>
      </c>
      <c r="V363" s="49">
        <f t="shared" ca="1" si="142"/>
        <v>80.449015490236761</v>
      </c>
      <c r="W363" s="49">
        <f t="shared" ca="1" si="142"/>
        <v>79.450240113869398</v>
      </c>
      <c r="X363" s="49">
        <f t="shared" ca="1" si="142"/>
        <v>79.626830656815969</v>
      </c>
      <c r="Y363" s="49">
        <f t="shared" ca="1" si="142"/>
        <v>0</v>
      </c>
      <c r="Z363" s="49">
        <f t="shared" ca="1" si="142"/>
        <v>0</v>
      </c>
      <c r="AA363" s="49">
        <f t="shared" ca="1" si="142"/>
        <v>0</v>
      </c>
      <c r="AB363" s="49">
        <f t="shared" ca="1" si="142"/>
        <v>0</v>
      </c>
      <c r="AC363" s="49">
        <f t="shared" ca="1" si="142"/>
        <v>0</v>
      </c>
      <c r="AD363" s="49">
        <f t="shared" ca="1" si="142"/>
        <v>0</v>
      </c>
      <c r="AE363" s="49">
        <f t="shared" ca="1" si="142"/>
        <v>0</v>
      </c>
      <c r="AF363" s="49">
        <f t="shared" ca="1" si="142"/>
        <v>0</v>
      </c>
      <c r="AG363" s="49">
        <f t="shared" ca="1" si="142"/>
        <v>0</v>
      </c>
      <c r="AH363" s="49">
        <f t="shared" ca="1" si="142"/>
        <v>0</v>
      </c>
      <c r="AI363" s="49">
        <f t="shared" ca="1" si="142"/>
        <v>0</v>
      </c>
      <c r="AJ363" s="49">
        <f t="shared" ca="1" si="142"/>
        <v>0</v>
      </c>
      <c r="AK363" s="49">
        <f t="shared" ca="1" si="142"/>
        <v>0</v>
      </c>
      <c r="AL363" s="49">
        <f t="shared" ca="1" si="142"/>
        <v>0</v>
      </c>
      <c r="AM363" s="49">
        <f t="shared" ca="1" si="142"/>
        <v>0</v>
      </c>
      <c r="AN363" s="49">
        <f t="shared" ca="1" si="142"/>
        <v>0</v>
      </c>
      <c r="AO363" s="49">
        <f t="shared" ca="1" si="142"/>
        <v>0</v>
      </c>
      <c r="AP363" s="49">
        <f t="shared" ca="1" si="142"/>
        <v>0</v>
      </c>
      <c r="AQ363" s="49">
        <f t="shared" ca="1" si="142"/>
        <v>0</v>
      </c>
      <c r="AR363" s="49">
        <f t="shared" ref="AR363:BS363" ca="1" si="143">SUM(AR360:AR362)</f>
        <v>0</v>
      </c>
      <c r="AS363" s="49">
        <f t="shared" ca="1" si="143"/>
        <v>0</v>
      </c>
      <c r="AT363" s="49">
        <f t="shared" ca="1" si="143"/>
        <v>0</v>
      </c>
      <c r="AU363" s="49">
        <f t="shared" ca="1" si="143"/>
        <v>0</v>
      </c>
      <c r="AV363" s="49">
        <f t="shared" ca="1" si="143"/>
        <v>0</v>
      </c>
      <c r="AW363" s="49">
        <f t="shared" ca="1" si="143"/>
        <v>0</v>
      </c>
      <c r="AX363" s="49">
        <f t="shared" ca="1" si="143"/>
        <v>0</v>
      </c>
      <c r="AY363" s="49">
        <f t="shared" ca="1" si="143"/>
        <v>0</v>
      </c>
      <c r="AZ363" s="49">
        <f t="shared" ca="1" si="143"/>
        <v>0</v>
      </c>
      <c r="BA363" s="49">
        <f t="shared" ca="1" si="143"/>
        <v>0</v>
      </c>
      <c r="BB363" s="49">
        <f t="shared" ca="1" si="143"/>
        <v>0</v>
      </c>
      <c r="BC363" s="49">
        <f t="shared" ca="1" si="143"/>
        <v>0</v>
      </c>
      <c r="BD363" s="49">
        <f t="shared" ca="1" si="143"/>
        <v>0</v>
      </c>
      <c r="BE363" s="49">
        <f t="shared" ca="1" si="143"/>
        <v>0</v>
      </c>
      <c r="BF363" s="49">
        <f t="shared" ca="1" si="143"/>
        <v>0</v>
      </c>
      <c r="BG363" s="49">
        <f t="shared" ca="1" si="143"/>
        <v>0</v>
      </c>
      <c r="BH363" s="49">
        <f t="shared" ca="1" si="143"/>
        <v>0</v>
      </c>
      <c r="BI363" s="49">
        <f t="shared" ca="1" si="143"/>
        <v>0</v>
      </c>
      <c r="BJ363" s="49">
        <f t="shared" ca="1" si="143"/>
        <v>0</v>
      </c>
      <c r="BK363" s="49">
        <f t="shared" ca="1" si="143"/>
        <v>0</v>
      </c>
      <c r="BL363" s="49">
        <f t="shared" ca="1" si="143"/>
        <v>0</v>
      </c>
      <c r="BM363" s="49">
        <f t="shared" ca="1" si="143"/>
        <v>0</v>
      </c>
      <c r="BN363" s="49">
        <f t="shared" ca="1" si="143"/>
        <v>0</v>
      </c>
      <c r="BO363" s="49">
        <f t="shared" ca="1" si="143"/>
        <v>0</v>
      </c>
      <c r="BP363" s="49">
        <f t="shared" ca="1" si="143"/>
        <v>0</v>
      </c>
      <c r="BQ363" s="49">
        <f t="shared" ca="1" si="143"/>
        <v>0</v>
      </c>
      <c r="BR363" s="49">
        <f t="shared" ca="1" si="143"/>
        <v>0</v>
      </c>
      <c r="BS363" s="49">
        <f t="shared" ca="1" si="143"/>
        <v>0</v>
      </c>
    </row>
    <row r="364" spans="3:71" outlineLevel="1" x14ac:dyDescent="0.2">
      <c r="J364" s="26"/>
      <c r="L364" s="55"/>
      <c r="M364" s="55"/>
      <c r="N364" s="55"/>
      <c r="O364" s="55"/>
      <c r="P364" s="55"/>
      <c r="Q364" s="55"/>
      <c r="R364" s="55"/>
      <c r="S364" s="55"/>
      <c r="T364" s="55"/>
      <c r="U364" s="55"/>
      <c r="V364" s="55"/>
      <c r="W364" s="55"/>
      <c r="X364" s="55"/>
      <c r="Y364" s="55"/>
      <c r="Z364" s="55"/>
      <c r="AA364" s="55"/>
      <c r="AB364" s="55"/>
      <c r="AC364" s="55"/>
      <c r="AD364" s="55"/>
      <c r="AE364" s="55"/>
      <c r="AF364" s="55"/>
      <c r="AG364" s="55"/>
      <c r="AH364" s="55"/>
      <c r="AI364" s="55"/>
      <c r="AJ364" s="55"/>
      <c r="AK364" s="55"/>
      <c r="AL364" s="55"/>
      <c r="AM364" s="55"/>
      <c r="AN364" s="55"/>
      <c r="AO364" s="55"/>
      <c r="AP364" s="55"/>
      <c r="AQ364" s="55"/>
      <c r="AR364" s="55"/>
      <c r="AS364" s="55"/>
      <c r="AT364" s="55"/>
      <c r="AU364" s="55"/>
      <c r="AV364" s="55"/>
      <c r="AW364" s="55"/>
      <c r="AX364" s="55"/>
      <c r="AY364" s="55"/>
      <c r="AZ364" s="55"/>
      <c r="BA364" s="55"/>
      <c r="BB364" s="55"/>
      <c r="BC364" s="55"/>
      <c r="BD364" s="55"/>
      <c r="BE364" s="55"/>
      <c r="BF364" s="55"/>
      <c r="BG364" s="55"/>
      <c r="BH364" s="55"/>
      <c r="BI364" s="55"/>
      <c r="BJ364" s="55"/>
      <c r="BK364" s="55"/>
      <c r="BL364" s="55"/>
      <c r="BM364" s="55"/>
      <c r="BN364" s="55"/>
      <c r="BO364" s="55"/>
      <c r="BP364" s="55"/>
      <c r="BQ364" s="55"/>
      <c r="BR364" s="55"/>
      <c r="BS364" s="55"/>
    </row>
    <row r="365" spans="3:71" outlineLevel="1" x14ac:dyDescent="0.2">
      <c r="C365" s="11" t="s">
        <v>252</v>
      </c>
      <c r="J365" s="26"/>
      <c r="L365" s="55"/>
      <c r="M365" s="55"/>
      <c r="N365" s="55"/>
      <c r="O365" s="55"/>
      <c r="P365" s="55"/>
      <c r="Q365" s="55"/>
      <c r="R365" s="55"/>
      <c r="S365" s="55"/>
      <c r="T365" s="55"/>
      <c r="U365" s="55"/>
      <c r="V365" s="55"/>
      <c r="W365" s="55"/>
      <c r="X365" s="55"/>
      <c r="Y365" s="55"/>
      <c r="Z365" s="55"/>
      <c r="AA365" s="55"/>
      <c r="AB365" s="55"/>
      <c r="AC365" s="55"/>
      <c r="AD365" s="55"/>
      <c r="AE365" s="55"/>
      <c r="AF365" s="55"/>
      <c r="AG365" s="55"/>
      <c r="AH365" s="55"/>
      <c r="AI365" s="55"/>
      <c r="AJ365" s="55"/>
      <c r="AK365" s="55"/>
      <c r="AL365" s="55"/>
      <c r="AM365" s="55"/>
      <c r="AN365" s="55"/>
      <c r="AO365" s="55"/>
      <c r="AP365" s="55"/>
      <c r="AQ365" s="55"/>
      <c r="AR365" s="55"/>
      <c r="AS365" s="55"/>
      <c r="AT365" s="55"/>
      <c r="AU365" s="55"/>
      <c r="AV365" s="55"/>
      <c r="AW365" s="55"/>
      <c r="AX365" s="55"/>
      <c r="AY365" s="55"/>
      <c r="AZ365" s="55"/>
      <c r="BA365" s="55"/>
      <c r="BB365" s="55"/>
      <c r="BC365" s="55"/>
      <c r="BD365" s="55"/>
      <c r="BE365" s="55"/>
      <c r="BF365" s="55"/>
      <c r="BG365" s="55"/>
      <c r="BH365" s="55"/>
      <c r="BI365" s="55"/>
      <c r="BJ365" s="55"/>
      <c r="BK365" s="55"/>
      <c r="BL365" s="55"/>
      <c r="BM365" s="55"/>
      <c r="BN365" s="55"/>
      <c r="BO365" s="55"/>
      <c r="BP365" s="55"/>
      <c r="BQ365" s="55"/>
      <c r="BR365" s="55"/>
      <c r="BS365" s="55"/>
    </row>
    <row r="366" spans="3:71" outlineLevel="1" x14ac:dyDescent="0.2">
      <c r="D366" t="s">
        <v>70</v>
      </c>
      <c r="I366" s="30">
        <f t="shared" ref="I366:I368" ca="1" si="144">SUM($L366:$BS366)</f>
        <v>60.131743434444992</v>
      </c>
      <c r="J366" s="26" t="s">
        <v>88</v>
      </c>
      <c r="L366" s="49">
        <f ca="1">IFERROR(Marine!CA_ent_rev_oil/Marine!CA_FP_oil_nom,0)</f>
        <v>0</v>
      </c>
      <c r="M366" s="49">
        <f ca="1">IFERROR(Marine!CA_ent_rev_oil/Marine!CA_FP_oil_nom,0)</f>
        <v>2.0404772514146293E-3</v>
      </c>
      <c r="N366" s="49">
        <f ca="1">IFERROR(Marine!CA_ent_rev_oil/Marine!CA_FP_oil_nom,0)</f>
        <v>1.4712515009195029</v>
      </c>
      <c r="O366" s="49">
        <f ca="1">IFERROR(Marine!CA_ent_rev_oil/Marine!CA_FP_oil_nom,0)</f>
        <v>2.6204646157790261</v>
      </c>
      <c r="P366" s="49">
        <f ca="1">IFERROR(Marine!CA_ent_rev_oil/Marine!CA_FP_oil_nom,0)</f>
        <v>4.7004457662863706</v>
      </c>
      <c r="Q366" s="49">
        <f ca="1">IFERROR(Marine!CA_ent_rev_oil/Marine!CA_FP_oil_nom,0)</f>
        <v>7.7864708343266473</v>
      </c>
      <c r="R366" s="49">
        <f ca="1">IFERROR(Marine!CA_ent_rev_oil/Marine!CA_FP_oil_nom,0)</f>
        <v>7.6200018168588004</v>
      </c>
      <c r="S366" s="49">
        <f ca="1">IFERROR(Marine!CA_ent_rev_oil/Marine!CA_FP_oil_nom,0)</f>
        <v>7.2591603966227627</v>
      </c>
      <c r="T366" s="49">
        <f ca="1">IFERROR(Marine!CA_ent_rev_oil/Marine!CA_FP_oil_nom,0)</f>
        <v>6.6116571931968044</v>
      </c>
      <c r="U366" s="49">
        <f ca="1">IFERROR(Marine!CA_ent_rev_oil/Marine!CA_FP_oil_nom,0)</f>
        <v>6.1492225013001338</v>
      </c>
      <c r="V366" s="49">
        <f ca="1">IFERROR(Marine!CA_ent_rev_oil/Marine!CA_FP_oil_nom,0)</f>
        <v>5.7333975213338961</v>
      </c>
      <c r="W366" s="49">
        <f ca="1">IFERROR(Marine!CA_ent_rev_oil/Marine!CA_FP_oil_nom,0)</f>
        <v>5.2662951749187972</v>
      </c>
      <c r="X366" s="49">
        <f ca="1">IFERROR(Marine!CA_ent_rev_oil/Marine!CA_FP_oil_nom,0)</f>
        <v>4.9113356356508371</v>
      </c>
      <c r="Y366" s="49">
        <f ca="1">IFERROR(Marine!CA_ent_rev_oil/Marine!CA_FP_oil_nom,0)</f>
        <v>0</v>
      </c>
      <c r="Z366" s="49">
        <f ca="1">IFERROR(Marine!CA_ent_rev_oil/Marine!CA_FP_oil_nom,0)</f>
        <v>0</v>
      </c>
      <c r="AA366" s="49">
        <f ca="1">IFERROR(Marine!CA_ent_rev_oil/Marine!CA_FP_oil_nom,0)</f>
        <v>0</v>
      </c>
      <c r="AB366" s="49">
        <f ca="1">IFERROR(Marine!CA_ent_rev_oil/Marine!CA_FP_oil_nom,0)</f>
        <v>0</v>
      </c>
      <c r="AC366" s="49">
        <f ca="1">IFERROR(Marine!CA_ent_rev_oil/Marine!CA_FP_oil_nom,0)</f>
        <v>0</v>
      </c>
      <c r="AD366" s="49">
        <f ca="1">IFERROR(Marine!CA_ent_rev_oil/Marine!CA_FP_oil_nom,0)</f>
        <v>0</v>
      </c>
      <c r="AE366" s="49">
        <f ca="1">IFERROR(Marine!CA_ent_rev_oil/Marine!CA_FP_oil_nom,0)</f>
        <v>0</v>
      </c>
      <c r="AF366" s="49">
        <f ca="1">IFERROR(Marine!CA_ent_rev_oil/Marine!CA_FP_oil_nom,0)</f>
        <v>0</v>
      </c>
      <c r="AG366" s="49">
        <f ca="1">IFERROR(Marine!CA_ent_rev_oil/Marine!CA_FP_oil_nom,0)</f>
        <v>0</v>
      </c>
      <c r="AH366" s="49">
        <f ca="1">IFERROR(Marine!CA_ent_rev_oil/Marine!CA_FP_oil_nom,0)</f>
        <v>0</v>
      </c>
      <c r="AI366" s="49">
        <f ca="1">IFERROR(Marine!CA_ent_rev_oil/Marine!CA_FP_oil_nom,0)</f>
        <v>0</v>
      </c>
      <c r="AJ366" s="49">
        <f ca="1">IFERROR(Marine!CA_ent_rev_oil/Marine!CA_FP_oil_nom,0)</f>
        <v>0</v>
      </c>
      <c r="AK366" s="49">
        <f ca="1">IFERROR(Marine!CA_ent_rev_oil/Marine!CA_FP_oil_nom,0)</f>
        <v>0</v>
      </c>
      <c r="AL366" s="49">
        <f ca="1">IFERROR(Marine!CA_ent_rev_oil/Marine!CA_FP_oil_nom,0)</f>
        <v>0</v>
      </c>
      <c r="AM366" s="49">
        <f ca="1">IFERROR(Marine!CA_ent_rev_oil/Marine!CA_FP_oil_nom,0)</f>
        <v>0</v>
      </c>
      <c r="AN366" s="49">
        <f ca="1">IFERROR(Marine!CA_ent_rev_oil/Marine!CA_FP_oil_nom,0)</f>
        <v>0</v>
      </c>
      <c r="AO366" s="49">
        <f ca="1">IFERROR(Marine!CA_ent_rev_oil/Marine!CA_FP_oil_nom,0)</f>
        <v>0</v>
      </c>
      <c r="AP366" s="49">
        <f ca="1">IFERROR(Marine!CA_ent_rev_oil/Marine!CA_FP_oil_nom,0)</f>
        <v>0</v>
      </c>
      <c r="AQ366" s="49">
        <f ca="1">IFERROR(Marine!CA_ent_rev_oil/Marine!CA_FP_oil_nom,0)</f>
        <v>0</v>
      </c>
      <c r="AR366" s="49">
        <f ca="1">IFERROR(Marine!CA_ent_rev_oil/Marine!CA_FP_oil_nom,0)</f>
        <v>0</v>
      </c>
      <c r="AS366" s="49">
        <f ca="1">IFERROR(Marine!CA_ent_rev_oil/Marine!CA_FP_oil_nom,0)</f>
        <v>0</v>
      </c>
      <c r="AT366" s="49">
        <f ca="1">IFERROR(Marine!CA_ent_rev_oil/Marine!CA_FP_oil_nom,0)</f>
        <v>0</v>
      </c>
      <c r="AU366" s="49">
        <f ca="1">IFERROR(Marine!CA_ent_rev_oil/Marine!CA_FP_oil_nom,0)</f>
        <v>0</v>
      </c>
      <c r="AV366" s="49">
        <f ca="1">IFERROR(Marine!CA_ent_rev_oil/Marine!CA_FP_oil_nom,0)</f>
        <v>0</v>
      </c>
      <c r="AW366" s="49">
        <f ca="1">IFERROR(Marine!CA_ent_rev_oil/Marine!CA_FP_oil_nom,0)</f>
        <v>0</v>
      </c>
      <c r="AX366" s="49">
        <f ca="1">IFERROR(Marine!CA_ent_rev_oil/Marine!CA_FP_oil_nom,0)</f>
        <v>0</v>
      </c>
      <c r="AY366" s="49">
        <f ca="1">IFERROR(Marine!CA_ent_rev_oil/Marine!CA_FP_oil_nom,0)</f>
        <v>0</v>
      </c>
      <c r="AZ366" s="49">
        <f ca="1">IFERROR(Marine!CA_ent_rev_oil/Marine!CA_FP_oil_nom,0)</f>
        <v>0</v>
      </c>
      <c r="BA366" s="49">
        <f ca="1">IFERROR(Marine!CA_ent_rev_oil/Marine!CA_FP_oil_nom,0)</f>
        <v>0</v>
      </c>
      <c r="BB366" s="49">
        <f ca="1">IFERROR(Marine!CA_ent_rev_oil/Marine!CA_FP_oil_nom,0)</f>
        <v>0</v>
      </c>
      <c r="BC366" s="49">
        <f ca="1">IFERROR(Marine!CA_ent_rev_oil/Marine!CA_FP_oil_nom,0)</f>
        <v>0</v>
      </c>
      <c r="BD366" s="49">
        <f ca="1">IFERROR(Marine!CA_ent_rev_oil/Marine!CA_FP_oil_nom,0)</f>
        <v>0</v>
      </c>
      <c r="BE366" s="49">
        <f ca="1">IFERROR(Marine!CA_ent_rev_oil/Marine!CA_FP_oil_nom,0)</f>
        <v>0</v>
      </c>
      <c r="BF366" s="49">
        <f ca="1">IFERROR(Marine!CA_ent_rev_oil/Marine!CA_FP_oil_nom,0)</f>
        <v>0</v>
      </c>
      <c r="BG366" s="49">
        <f ca="1">IFERROR(Marine!CA_ent_rev_oil/Marine!CA_FP_oil_nom,0)</f>
        <v>0</v>
      </c>
      <c r="BH366" s="49">
        <f ca="1">IFERROR(Marine!CA_ent_rev_oil/Marine!CA_FP_oil_nom,0)</f>
        <v>0</v>
      </c>
      <c r="BI366" s="49">
        <f ca="1">IFERROR(Marine!CA_ent_rev_oil/Marine!CA_FP_oil_nom,0)</f>
        <v>0</v>
      </c>
      <c r="BJ366" s="49">
        <f ca="1">IFERROR(Marine!CA_ent_rev_oil/Marine!CA_FP_oil_nom,0)</f>
        <v>0</v>
      </c>
      <c r="BK366" s="49">
        <f ca="1">IFERROR(Marine!CA_ent_rev_oil/Marine!CA_FP_oil_nom,0)</f>
        <v>0</v>
      </c>
      <c r="BL366" s="49">
        <f ca="1">IFERROR(Marine!CA_ent_rev_oil/Marine!CA_FP_oil_nom,0)</f>
        <v>0</v>
      </c>
      <c r="BM366" s="49">
        <f ca="1">IFERROR(Marine!CA_ent_rev_oil/Marine!CA_FP_oil_nom,0)</f>
        <v>0</v>
      </c>
      <c r="BN366" s="49">
        <f ca="1">IFERROR(Marine!CA_ent_rev_oil/Marine!CA_FP_oil_nom,0)</f>
        <v>0</v>
      </c>
      <c r="BO366" s="49">
        <f ca="1">IFERROR(Marine!CA_ent_rev_oil/Marine!CA_FP_oil_nom,0)</f>
        <v>0</v>
      </c>
      <c r="BP366" s="49">
        <f ca="1">IFERROR(Marine!CA_ent_rev_oil/Marine!CA_FP_oil_nom,0)</f>
        <v>0</v>
      </c>
      <c r="BQ366" s="49">
        <f ca="1">IFERROR(Marine!CA_ent_rev_oil/Marine!CA_FP_oil_nom,0)</f>
        <v>0</v>
      </c>
      <c r="BR366" s="49">
        <f ca="1">IFERROR(Marine!CA_ent_rev_oil/Marine!CA_FP_oil_nom,0)</f>
        <v>0</v>
      </c>
      <c r="BS366" s="49">
        <f ca="1">IFERROR(Marine!CA_ent_rev_oil/Marine!CA_FP_oil_nom,0)</f>
        <v>0</v>
      </c>
    </row>
    <row r="367" spans="3:71" outlineLevel="1" x14ac:dyDescent="0.2">
      <c r="D367" t="s">
        <v>71</v>
      </c>
      <c r="I367" s="30">
        <f t="shared" ca="1" si="144"/>
        <v>5.917876853111002</v>
      </c>
      <c r="J367" s="26" t="s">
        <v>653</v>
      </c>
      <c r="L367" s="49">
        <f ca="1">IFERROR(Marine!CA_ent_rev_gas/Marine!CA_FP_gas_nom,0)</f>
        <v>0</v>
      </c>
      <c r="M367" s="49">
        <f ca="1">IFERROR(Marine!CA_ent_rev_gas/Marine!CA_FP_gas_nom,0)</f>
        <v>7.0513312876222367E-2</v>
      </c>
      <c r="N367" s="49">
        <f ca="1">IFERROR(Marine!CA_ent_rev_gas/Marine!CA_FP_gas_nom,0)</f>
        <v>0.38011960456930322</v>
      </c>
      <c r="O367" s="49">
        <f ca="1">IFERROR(Marine!CA_ent_rev_gas/Marine!CA_FP_gas_nom,0)</f>
        <v>0.58519206981708394</v>
      </c>
      <c r="P367" s="49">
        <f ca="1">IFERROR(Marine!CA_ent_rev_gas/Marine!CA_FP_gas_nom,0)</f>
        <v>0.50798012595200892</v>
      </c>
      <c r="Q367" s="49">
        <f ca="1">IFERROR(Marine!CA_ent_rev_gas/Marine!CA_FP_gas_nom,0)</f>
        <v>0.53005744115009579</v>
      </c>
      <c r="R367" s="49">
        <f ca="1">IFERROR(Marine!CA_ent_rev_gas/Marine!CA_FP_gas_nom,0)</f>
        <v>5.0600374295598015E-7</v>
      </c>
      <c r="S367" s="49">
        <f ca="1">IFERROR(Marine!CA_ent_rev_gas/Marine!CA_FP_gas_nom,0)</f>
        <v>0.687213545828816</v>
      </c>
      <c r="T367" s="49">
        <f ca="1">IFERROR(Marine!CA_ent_rev_gas/Marine!CA_FP_gas_nom,0)</f>
        <v>0.65887804425722174</v>
      </c>
      <c r="U367" s="49">
        <f ca="1">IFERROR(Marine!CA_ent_rev_gas/Marine!CA_FP_gas_nom,0)</f>
        <v>0.64573581732261376</v>
      </c>
      <c r="V367" s="49">
        <f ca="1">IFERROR(Marine!CA_ent_rev_gas/Marine!CA_FP_gas_nom,0)</f>
        <v>0.63440592611179525</v>
      </c>
      <c r="W367" s="49">
        <f ca="1">IFERROR(Marine!CA_ent_rev_gas/Marine!CA_FP_gas_nom,0)</f>
        <v>0.61422682732021183</v>
      </c>
      <c r="X367" s="49">
        <f ca="1">IFERROR(Marine!CA_ent_rev_gas/Marine!CA_FP_gas_nom,0)</f>
        <v>0.60355363190188704</v>
      </c>
      <c r="Y367" s="49">
        <f ca="1">IFERROR(Marine!CA_ent_rev_gas/Marine!CA_FP_gas_nom,0)</f>
        <v>0</v>
      </c>
      <c r="Z367" s="49">
        <f ca="1">IFERROR(Marine!CA_ent_rev_gas/Marine!CA_FP_gas_nom,0)</f>
        <v>0</v>
      </c>
      <c r="AA367" s="49">
        <f ca="1">IFERROR(Marine!CA_ent_rev_gas/Marine!CA_FP_gas_nom,0)</f>
        <v>0</v>
      </c>
      <c r="AB367" s="49">
        <f ca="1">IFERROR(Marine!CA_ent_rev_gas/Marine!CA_FP_gas_nom,0)</f>
        <v>0</v>
      </c>
      <c r="AC367" s="49">
        <f ca="1">IFERROR(Marine!CA_ent_rev_gas/Marine!CA_FP_gas_nom,0)</f>
        <v>0</v>
      </c>
      <c r="AD367" s="49">
        <f ca="1">IFERROR(Marine!CA_ent_rev_gas/Marine!CA_FP_gas_nom,0)</f>
        <v>0</v>
      </c>
      <c r="AE367" s="49">
        <f ca="1">IFERROR(Marine!CA_ent_rev_gas/Marine!CA_FP_gas_nom,0)</f>
        <v>0</v>
      </c>
      <c r="AF367" s="49">
        <f ca="1">IFERROR(Marine!CA_ent_rev_gas/Marine!CA_FP_gas_nom,0)</f>
        <v>0</v>
      </c>
      <c r="AG367" s="49">
        <f ca="1">IFERROR(Marine!CA_ent_rev_gas/Marine!CA_FP_gas_nom,0)</f>
        <v>0</v>
      </c>
      <c r="AH367" s="49">
        <f ca="1">IFERROR(Marine!CA_ent_rev_gas/Marine!CA_FP_gas_nom,0)</f>
        <v>0</v>
      </c>
      <c r="AI367" s="49">
        <f ca="1">IFERROR(Marine!CA_ent_rev_gas/Marine!CA_FP_gas_nom,0)</f>
        <v>0</v>
      </c>
      <c r="AJ367" s="49">
        <f ca="1">IFERROR(Marine!CA_ent_rev_gas/Marine!CA_FP_gas_nom,0)</f>
        <v>0</v>
      </c>
      <c r="AK367" s="49">
        <f ca="1">IFERROR(Marine!CA_ent_rev_gas/Marine!CA_FP_gas_nom,0)</f>
        <v>0</v>
      </c>
      <c r="AL367" s="49">
        <f ca="1">IFERROR(Marine!CA_ent_rev_gas/Marine!CA_FP_gas_nom,0)</f>
        <v>0</v>
      </c>
      <c r="AM367" s="49">
        <f ca="1">IFERROR(Marine!CA_ent_rev_gas/Marine!CA_FP_gas_nom,0)</f>
        <v>0</v>
      </c>
      <c r="AN367" s="49">
        <f ca="1">IFERROR(Marine!CA_ent_rev_gas/Marine!CA_FP_gas_nom,0)</f>
        <v>0</v>
      </c>
      <c r="AO367" s="49">
        <f ca="1">IFERROR(Marine!CA_ent_rev_gas/Marine!CA_FP_gas_nom,0)</f>
        <v>0</v>
      </c>
      <c r="AP367" s="49">
        <f ca="1">IFERROR(Marine!CA_ent_rev_gas/Marine!CA_FP_gas_nom,0)</f>
        <v>0</v>
      </c>
      <c r="AQ367" s="49">
        <f ca="1">IFERROR(Marine!CA_ent_rev_gas/Marine!CA_FP_gas_nom,0)</f>
        <v>0</v>
      </c>
      <c r="AR367" s="49">
        <f ca="1">IFERROR(Marine!CA_ent_rev_gas/Marine!CA_FP_gas_nom,0)</f>
        <v>0</v>
      </c>
      <c r="AS367" s="49">
        <f ca="1">IFERROR(Marine!CA_ent_rev_gas/Marine!CA_FP_gas_nom,0)</f>
        <v>0</v>
      </c>
      <c r="AT367" s="49">
        <f ca="1">IFERROR(Marine!CA_ent_rev_gas/Marine!CA_FP_gas_nom,0)</f>
        <v>0</v>
      </c>
      <c r="AU367" s="49">
        <f ca="1">IFERROR(Marine!CA_ent_rev_gas/Marine!CA_FP_gas_nom,0)</f>
        <v>0</v>
      </c>
      <c r="AV367" s="49">
        <f ca="1">IFERROR(Marine!CA_ent_rev_gas/Marine!CA_FP_gas_nom,0)</f>
        <v>0</v>
      </c>
      <c r="AW367" s="49">
        <f ca="1">IFERROR(Marine!CA_ent_rev_gas/Marine!CA_FP_gas_nom,0)</f>
        <v>0</v>
      </c>
      <c r="AX367" s="49">
        <f ca="1">IFERROR(Marine!CA_ent_rev_gas/Marine!CA_FP_gas_nom,0)</f>
        <v>0</v>
      </c>
      <c r="AY367" s="49">
        <f ca="1">IFERROR(Marine!CA_ent_rev_gas/Marine!CA_FP_gas_nom,0)</f>
        <v>0</v>
      </c>
      <c r="AZ367" s="49">
        <f ca="1">IFERROR(Marine!CA_ent_rev_gas/Marine!CA_FP_gas_nom,0)</f>
        <v>0</v>
      </c>
      <c r="BA367" s="49">
        <f ca="1">IFERROR(Marine!CA_ent_rev_gas/Marine!CA_FP_gas_nom,0)</f>
        <v>0</v>
      </c>
      <c r="BB367" s="49">
        <f ca="1">IFERROR(Marine!CA_ent_rev_gas/Marine!CA_FP_gas_nom,0)</f>
        <v>0</v>
      </c>
      <c r="BC367" s="49">
        <f ca="1">IFERROR(Marine!CA_ent_rev_gas/Marine!CA_FP_gas_nom,0)</f>
        <v>0</v>
      </c>
      <c r="BD367" s="49">
        <f ca="1">IFERROR(Marine!CA_ent_rev_gas/Marine!CA_FP_gas_nom,0)</f>
        <v>0</v>
      </c>
      <c r="BE367" s="49">
        <f ca="1">IFERROR(Marine!CA_ent_rev_gas/Marine!CA_FP_gas_nom,0)</f>
        <v>0</v>
      </c>
      <c r="BF367" s="49">
        <f ca="1">IFERROR(Marine!CA_ent_rev_gas/Marine!CA_FP_gas_nom,0)</f>
        <v>0</v>
      </c>
      <c r="BG367" s="49">
        <f ca="1">IFERROR(Marine!CA_ent_rev_gas/Marine!CA_FP_gas_nom,0)</f>
        <v>0</v>
      </c>
      <c r="BH367" s="49">
        <f ca="1">IFERROR(Marine!CA_ent_rev_gas/Marine!CA_FP_gas_nom,0)</f>
        <v>0</v>
      </c>
      <c r="BI367" s="49">
        <f ca="1">IFERROR(Marine!CA_ent_rev_gas/Marine!CA_FP_gas_nom,0)</f>
        <v>0</v>
      </c>
      <c r="BJ367" s="49">
        <f ca="1">IFERROR(Marine!CA_ent_rev_gas/Marine!CA_FP_gas_nom,0)</f>
        <v>0</v>
      </c>
      <c r="BK367" s="49">
        <f ca="1">IFERROR(Marine!CA_ent_rev_gas/Marine!CA_FP_gas_nom,0)</f>
        <v>0</v>
      </c>
      <c r="BL367" s="49">
        <f ca="1">IFERROR(Marine!CA_ent_rev_gas/Marine!CA_FP_gas_nom,0)</f>
        <v>0</v>
      </c>
      <c r="BM367" s="49">
        <f ca="1">IFERROR(Marine!CA_ent_rev_gas/Marine!CA_FP_gas_nom,0)</f>
        <v>0</v>
      </c>
      <c r="BN367" s="49">
        <f ca="1">IFERROR(Marine!CA_ent_rev_gas/Marine!CA_FP_gas_nom,0)</f>
        <v>0</v>
      </c>
      <c r="BO367" s="49">
        <f ca="1">IFERROR(Marine!CA_ent_rev_gas/Marine!CA_FP_gas_nom,0)</f>
        <v>0</v>
      </c>
      <c r="BP367" s="49">
        <f ca="1">IFERROR(Marine!CA_ent_rev_gas/Marine!CA_FP_gas_nom,0)</f>
        <v>0</v>
      </c>
      <c r="BQ367" s="49">
        <f ca="1">IFERROR(Marine!CA_ent_rev_gas/Marine!CA_FP_gas_nom,0)</f>
        <v>0</v>
      </c>
      <c r="BR367" s="49">
        <f ca="1">IFERROR(Marine!CA_ent_rev_gas/Marine!CA_FP_gas_nom,0)</f>
        <v>0</v>
      </c>
      <c r="BS367" s="49">
        <f ca="1">IFERROR(Marine!CA_ent_rev_gas/Marine!CA_FP_gas_nom,0)</f>
        <v>0</v>
      </c>
    </row>
    <row r="368" spans="3:71" outlineLevel="1" x14ac:dyDescent="0.2">
      <c r="D368" s="11" t="s">
        <v>129</v>
      </c>
      <c r="I368" s="30">
        <f t="shared" ca="1" si="144"/>
        <v>97.355188840513193</v>
      </c>
      <c r="J368" s="26" t="s">
        <v>130</v>
      </c>
      <c r="K368" s="7" t="s">
        <v>253</v>
      </c>
      <c r="L368" s="49">
        <f t="shared" ref="L368:AQ368" ca="1" si="145">L366+L367*conv_CMtoBbls</f>
        <v>0</v>
      </c>
      <c r="M368" s="49">
        <f t="shared" ca="1" si="145"/>
        <v>0.44556921524285337</v>
      </c>
      <c r="N368" s="49">
        <f t="shared" ca="1" si="145"/>
        <v>3.86220381366042</v>
      </c>
      <c r="O368" s="49">
        <f t="shared" ca="1" si="145"/>
        <v>6.3013227349284842</v>
      </c>
      <c r="P368" s="49">
        <f t="shared" ca="1" si="145"/>
        <v>7.8956407585245065</v>
      </c>
      <c r="Q368" s="49">
        <f t="shared" ca="1" si="145"/>
        <v>11.120532139160749</v>
      </c>
      <c r="R368" s="49">
        <f t="shared" ca="1" si="145"/>
        <v>7.6200049996223438</v>
      </c>
      <c r="S368" s="49">
        <f t="shared" ca="1" si="145"/>
        <v>11.581733599886014</v>
      </c>
      <c r="T368" s="49">
        <f t="shared" ca="1" si="145"/>
        <v>10.75600009157473</v>
      </c>
      <c r="U368" s="49">
        <f t="shared" ca="1" si="145"/>
        <v>10.210900792259373</v>
      </c>
      <c r="V368" s="49">
        <f t="shared" ca="1" si="145"/>
        <v>9.7238107965770872</v>
      </c>
      <c r="W368" s="49">
        <f t="shared" ca="1" si="145"/>
        <v>9.1297819187629301</v>
      </c>
      <c r="X368" s="49">
        <f t="shared" ca="1" si="145"/>
        <v>8.7076879803137075</v>
      </c>
      <c r="Y368" s="49">
        <f t="shared" ca="1" si="145"/>
        <v>0</v>
      </c>
      <c r="Z368" s="49">
        <f t="shared" ca="1" si="145"/>
        <v>0</v>
      </c>
      <c r="AA368" s="49">
        <f t="shared" ca="1" si="145"/>
        <v>0</v>
      </c>
      <c r="AB368" s="49">
        <f t="shared" ca="1" si="145"/>
        <v>0</v>
      </c>
      <c r="AC368" s="49">
        <f t="shared" ca="1" si="145"/>
        <v>0</v>
      </c>
      <c r="AD368" s="49">
        <f t="shared" ca="1" si="145"/>
        <v>0</v>
      </c>
      <c r="AE368" s="49">
        <f t="shared" ca="1" si="145"/>
        <v>0</v>
      </c>
      <c r="AF368" s="49">
        <f t="shared" ca="1" si="145"/>
        <v>0</v>
      </c>
      <c r="AG368" s="49">
        <f t="shared" ca="1" si="145"/>
        <v>0</v>
      </c>
      <c r="AH368" s="49">
        <f t="shared" ca="1" si="145"/>
        <v>0</v>
      </c>
      <c r="AI368" s="49">
        <f t="shared" ca="1" si="145"/>
        <v>0</v>
      </c>
      <c r="AJ368" s="49">
        <f t="shared" ca="1" si="145"/>
        <v>0</v>
      </c>
      <c r="AK368" s="49">
        <f t="shared" ca="1" si="145"/>
        <v>0</v>
      </c>
      <c r="AL368" s="49">
        <f t="shared" ca="1" si="145"/>
        <v>0</v>
      </c>
      <c r="AM368" s="49">
        <f t="shared" ca="1" si="145"/>
        <v>0</v>
      </c>
      <c r="AN368" s="49">
        <f t="shared" ca="1" si="145"/>
        <v>0</v>
      </c>
      <c r="AO368" s="49">
        <f t="shared" ca="1" si="145"/>
        <v>0</v>
      </c>
      <c r="AP368" s="49">
        <f t="shared" ca="1" si="145"/>
        <v>0</v>
      </c>
      <c r="AQ368" s="49">
        <f t="shared" ca="1" si="145"/>
        <v>0</v>
      </c>
      <c r="AR368" s="49">
        <f t="shared" ref="AR368:BS368" ca="1" si="146">AR366+AR367*conv_CMtoBbls</f>
        <v>0</v>
      </c>
      <c r="AS368" s="49">
        <f t="shared" ca="1" si="146"/>
        <v>0</v>
      </c>
      <c r="AT368" s="49">
        <f t="shared" ca="1" si="146"/>
        <v>0</v>
      </c>
      <c r="AU368" s="49">
        <f t="shared" ca="1" si="146"/>
        <v>0</v>
      </c>
      <c r="AV368" s="49">
        <f t="shared" ca="1" si="146"/>
        <v>0</v>
      </c>
      <c r="AW368" s="49">
        <f t="shared" ca="1" si="146"/>
        <v>0</v>
      </c>
      <c r="AX368" s="49">
        <f t="shared" ca="1" si="146"/>
        <v>0</v>
      </c>
      <c r="AY368" s="49">
        <f t="shared" ca="1" si="146"/>
        <v>0</v>
      </c>
      <c r="AZ368" s="49">
        <f t="shared" ca="1" si="146"/>
        <v>0</v>
      </c>
      <c r="BA368" s="49">
        <f t="shared" ca="1" si="146"/>
        <v>0</v>
      </c>
      <c r="BB368" s="49">
        <f t="shared" ca="1" si="146"/>
        <v>0</v>
      </c>
      <c r="BC368" s="49">
        <f t="shared" ca="1" si="146"/>
        <v>0</v>
      </c>
      <c r="BD368" s="49">
        <f t="shared" ca="1" si="146"/>
        <v>0</v>
      </c>
      <c r="BE368" s="49">
        <f t="shared" ca="1" si="146"/>
        <v>0</v>
      </c>
      <c r="BF368" s="49">
        <f t="shared" ca="1" si="146"/>
        <v>0</v>
      </c>
      <c r="BG368" s="49">
        <f t="shared" ca="1" si="146"/>
        <v>0</v>
      </c>
      <c r="BH368" s="49">
        <f t="shared" ca="1" si="146"/>
        <v>0</v>
      </c>
      <c r="BI368" s="49">
        <f t="shared" ca="1" si="146"/>
        <v>0</v>
      </c>
      <c r="BJ368" s="49">
        <f t="shared" ca="1" si="146"/>
        <v>0</v>
      </c>
      <c r="BK368" s="49">
        <f t="shared" ca="1" si="146"/>
        <v>0</v>
      </c>
      <c r="BL368" s="49">
        <f t="shared" ca="1" si="146"/>
        <v>0</v>
      </c>
      <c r="BM368" s="49">
        <f t="shared" ca="1" si="146"/>
        <v>0</v>
      </c>
      <c r="BN368" s="49">
        <f t="shared" ca="1" si="146"/>
        <v>0</v>
      </c>
      <c r="BO368" s="49">
        <f t="shared" ca="1" si="146"/>
        <v>0</v>
      </c>
      <c r="BP368" s="49">
        <f t="shared" ca="1" si="146"/>
        <v>0</v>
      </c>
      <c r="BQ368" s="49">
        <f t="shared" ca="1" si="146"/>
        <v>0</v>
      </c>
      <c r="BR368" s="49">
        <f t="shared" ca="1" si="146"/>
        <v>0</v>
      </c>
      <c r="BS368" s="49">
        <f t="shared" ca="1" si="146"/>
        <v>0</v>
      </c>
    </row>
    <row r="369" spans="3:71" outlineLevel="1" x14ac:dyDescent="0.2">
      <c r="J369" s="26"/>
      <c r="L369" s="55"/>
      <c r="M369" s="55"/>
      <c r="N369" s="55"/>
      <c r="O369" s="55"/>
      <c r="P369" s="55"/>
      <c r="Q369" s="55"/>
      <c r="R369" s="55"/>
      <c r="S369" s="55"/>
      <c r="T369" s="55"/>
      <c r="U369" s="55"/>
      <c r="V369" s="55"/>
      <c r="W369" s="55"/>
      <c r="X369" s="55"/>
      <c r="Y369" s="55"/>
      <c r="Z369" s="55"/>
      <c r="AA369" s="55"/>
      <c r="AB369" s="55"/>
      <c r="AC369" s="55"/>
      <c r="AD369" s="55"/>
      <c r="AE369" s="55"/>
      <c r="AF369" s="55"/>
      <c r="AG369" s="55"/>
      <c r="AH369" s="55"/>
      <c r="AI369" s="55"/>
      <c r="AJ369" s="55"/>
      <c r="AK369" s="55"/>
      <c r="AL369" s="55"/>
      <c r="AM369" s="55"/>
      <c r="AN369" s="55"/>
      <c r="AO369" s="55"/>
      <c r="AP369" s="55"/>
      <c r="AQ369" s="55"/>
      <c r="AR369" s="55"/>
      <c r="AS369" s="55"/>
      <c r="AT369" s="55"/>
      <c r="AU369" s="55"/>
      <c r="AV369" s="55"/>
      <c r="AW369" s="55"/>
      <c r="AX369" s="55"/>
      <c r="AY369" s="55"/>
      <c r="AZ369" s="55"/>
      <c r="BA369" s="55"/>
      <c r="BB369" s="55"/>
      <c r="BC369" s="55"/>
      <c r="BD369" s="55"/>
      <c r="BE369" s="55"/>
      <c r="BF369" s="55"/>
      <c r="BG369" s="55"/>
      <c r="BH369" s="55"/>
      <c r="BI369" s="55"/>
      <c r="BJ369" s="55"/>
      <c r="BK369" s="55"/>
      <c r="BL369" s="55"/>
      <c r="BM369" s="55"/>
      <c r="BN369" s="55"/>
      <c r="BO369" s="55"/>
      <c r="BP369" s="55"/>
      <c r="BQ369" s="55"/>
      <c r="BR369" s="55"/>
      <c r="BS369" s="55"/>
    </row>
    <row r="370" spans="3:71" outlineLevel="1" x14ac:dyDescent="0.2">
      <c r="C370" s="11" t="s">
        <v>338</v>
      </c>
      <c r="J370" s="26"/>
      <c r="L370" s="55"/>
      <c r="M370" s="55"/>
      <c r="N370" s="55"/>
      <c r="O370" s="55"/>
      <c r="P370" s="55"/>
      <c r="Q370" s="55"/>
      <c r="R370" s="55"/>
      <c r="S370" s="55"/>
      <c r="T370" s="55"/>
      <c r="U370" s="55"/>
      <c r="V370" s="55"/>
      <c r="W370" s="55"/>
      <c r="X370" s="55"/>
      <c r="Y370" s="55"/>
      <c r="Z370" s="55"/>
      <c r="AA370" s="55"/>
      <c r="AB370" s="55"/>
      <c r="AC370" s="55"/>
      <c r="AD370" s="55"/>
      <c r="AE370" s="55"/>
      <c r="AF370" s="55"/>
      <c r="AG370" s="55"/>
      <c r="AH370" s="55"/>
      <c r="AI370" s="55"/>
      <c r="AJ370" s="55"/>
      <c r="AK370" s="55"/>
      <c r="AL370" s="55"/>
      <c r="AM370" s="55"/>
      <c r="AN370" s="55"/>
      <c r="AO370" s="55"/>
      <c r="AP370" s="55"/>
      <c r="AQ370" s="55"/>
      <c r="AR370" s="55"/>
      <c r="AS370" s="55"/>
      <c r="AT370" s="55"/>
      <c r="AU370" s="55"/>
      <c r="AV370" s="55"/>
      <c r="AW370" s="55"/>
      <c r="AX370" s="55"/>
      <c r="AY370" s="55"/>
      <c r="AZ370" s="55"/>
      <c r="BA370" s="55"/>
      <c r="BB370" s="55"/>
      <c r="BC370" s="55"/>
      <c r="BD370" s="55"/>
      <c r="BE370" s="55"/>
      <c r="BF370" s="55"/>
      <c r="BG370" s="55"/>
      <c r="BH370" s="55"/>
      <c r="BI370" s="55"/>
      <c r="BJ370" s="55"/>
      <c r="BK370" s="55"/>
      <c r="BL370" s="55"/>
      <c r="BM370" s="55"/>
      <c r="BN370" s="55"/>
      <c r="BO370" s="55"/>
      <c r="BP370" s="55"/>
      <c r="BQ370" s="55"/>
      <c r="BR370" s="55"/>
      <c r="BS370" s="55"/>
    </row>
    <row r="371" spans="3:71" outlineLevel="1" x14ac:dyDescent="0.2">
      <c r="D371" t="s">
        <v>116</v>
      </c>
      <c r="J371" s="26" t="s">
        <v>90</v>
      </c>
      <c r="K371" s="7" t="s">
        <v>340</v>
      </c>
      <c r="L371" s="53">
        <f ca="1">Marine!IOC_WI_perc*Marine!CA_op_trig</f>
        <v>0.9</v>
      </c>
      <c r="M371" s="53">
        <f ca="1">Marine!IOC_WI_perc*Marine!CA_op_trig</f>
        <v>0.9</v>
      </c>
      <c r="N371" s="53">
        <f ca="1">Marine!IOC_WI_perc*Marine!CA_op_trig</f>
        <v>0.9</v>
      </c>
      <c r="O371" s="53">
        <f ca="1">Marine!IOC_WI_perc*Marine!CA_op_trig</f>
        <v>0.9</v>
      </c>
      <c r="P371" s="53">
        <f ca="1">Marine!IOC_WI_perc*Marine!CA_op_trig</f>
        <v>0.9</v>
      </c>
      <c r="Q371" s="53">
        <f ca="1">Marine!IOC_WI_perc*Marine!CA_op_trig</f>
        <v>0.9</v>
      </c>
      <c r="R371" s="53">
        <f ca="1">Marine!IOC_WI_perc*Marine!CA_op_trig</f>
        <v>0.9</v>
      </c>
      <c r="S371" s="53">
        <f ca="1">Marine!IOC_WI_perc*Marine!CA_op_trig</f>
        <v>0.9</v>
      </c>
      <c r="T371" s="53">
        <f ca="1">Marine!IOC_WI_perc*Marine!CA_op_trig</f>
        <v>0.9</v>
      </c>
      <c r="U371" s="53">
        <f ca="1">Marine!IOC_WI_perc*Marine!CA_op_trig</f>
        <v>0.9</v>
      </c>
      <c r="V371" s="53">
        <f ca="1">Marine!IOC_WI_perc*Marine!CA_op_trig</f>
        <v>0.9</v>
      </c>
      <c r="W371" s="53">
        <f ca="1">Marine!IOC_WI_perc*Marine!CA_op_trig</f>
        <v>0.9</v>
      </c>
      <c r="X371" s="53">
        <f ca="1">Marine!IOC_WI_perc*Marine!CA_op_trig</f>
        <v>0.9</v>
      </c>
      <c r="Y371" s="53">
        <f ca="1">Marine!IOC_WI_perc*Marine!CA_op_trig</f>
        <v>0</v>
      </c>
      <c r="Z371" s="53">
        <f ca="1">Marine!IOC_WI_perc*Marine!CA_op_trig</f>
        <v>0</v>
      </c>
      <c r="AA371" s="53">
        <f ca="1">Marine!IOC_WI_perc*Marine!CA_op_trig</f>
        <v>0</v>
      </c>
      <c r="AB371" s="53">
        <f ca="1">Marine!IOC_WI_perc*Marine!CA_op_trig</f>
        <v>0</v>
      </c>
      <c r="AC371" s="53">
        <f ca="1">Marine!IOC_WI_perc*Marine!CA_op_trig</f>
        <v>0</v>
      </c>
      <c r="AD371" s="53">
        <f ca="1">Marine!IOC_WI_perc*Marine!CA_op_trig</f>
        <v>0</v>
      </c>
      <c r="AE371" s="53">
        <f ca="1">Marine!IOC_WI_perc*Marine!CA_op_trig</f>
        <v>0</v>
      </c>
      <c r="AF371" s="53">
        <f ca="1">Marine!IOC_WI_perc*Marine!CA_op_trig</f>
        <v>0</v>
      </c>
      <c r="AG371" s="53">
        <f ca="1">Marine!IOC_WI_perc*Marine!CA_op_trig</f>
        <v>0</v>
      </c>
      <c r="AH371" s="53">
        <f ca="1">Marine!IOC_WI_perc*Marine!CA_op_trig</f>
        <v>0</v>
      </c>
      <c r="AI371" s="53">
        <f ca="1">Marine!IOC_WI_perc*Marine!CA_op_trig</f>
        <v>0</v>
      </c>
      <c r="AJ371" s="53">
        <f ca="1">Marine!IOC_WI_perc*Marine!CA_op_trig</f>
        <v>0</v>
      </c>
      <c r="AK371" s="53">
        <f ca="1">Marine!IOC_WI_perc*Marine!CA_op_trig</f>
        <v>0</v>
      </c>
      <c r="AL371" s="53">
        <f ca="1">Marine!IOC_WI_perc*Marine!CA_op_trig</f>
        <v>0</v>
      </c>
      <c r="AM371" s="53">
        <f ca="1">Marine!IOC_WI_perc*Marine!CA_op_trig</f>
        <v>0</v>
      </c>
      <c r="AN371" s="53">
        <f ca="1">Marine!IOC_WI_perc*Marine!CA_op_trig</f>
        <v>0</v>
      </c>
      <c r="AO371" s="53">
        <f ca="1">Marine!IOC_WI_perc*Marine!CA_op_trig</f>
        <v>0</v>
      </c>
      <c r="AP371" s="53">
        <f ca="1">Marine!IOC_WI_perc*Marine!CA_op_trig</f>
        <v>0</v>
      </c>
      <c r="AQ371" s="53">
        <f ca="1">Marine!IOC_WI_perc*Marine!CA_op_trig</f>
        <v>0</v>
      </c>
      <c r="AR371" s="53">
        <f ca="1">Marine!IOC_WI_perc*Marine!CA_op_trig</f>
        <v>0</v>
      </c>
      <c r="AS371" s="53">
        <f ca="1">Marine!IOC_WI_perc*Marine!CA_op_trig</f>
        <v>0</v>
      </c>
      <c r="AT371" s="53">
        <f ca="1">Marine!IOC_WI_perc*Marine!CA_op_trig</f>
        <v>0</v>
      </c>
      <c r="AU371" s="53">
        <f ca="1">Marine!IOC_WI_perc*Marine!CA_op_trig</f>
        <v>0</v>
      </c>
      <c r="AV371" s="53">
        <f ca="1">Marine!IOC_WI_perc*Marine!CA_op_trig</f>
        <v>0</v>
      </c>
      <c r="AW371" s="53">
        <f ca="1">Marine!IOC_WI_perc*Marine!CA_op_trig</f>
        <v>0</v>
      </c>
      <c r="AX371" s="53">
        <f ca="1">Marine!IOC_WI_perc*Marine!CA_op_trig</f>
        <v>0</v>
      </c>
      <c r="AY371" s="53">
        <f ca="1">Marine!IOC_WI_perc*Marine!CA_op_trig</f>
        <v>0</v>
      </c>
      <c r="AZ371" s="53">
        <f ca="1">Marine!IOC_WI_perc*Marine!CA_op_trig</f>
        <v>0</v>
      </c>
      <c r="BA371" s="53">
        <f ca="1">Marine!IOC_WI_perc*Marine!CA_op_trig</f>
        <v>0</v>
      </c>
      <c r="BB371" s="53">
        <f ca="1">Marine!IOC_WI_perc*Marine!CA_op_trig</f>
        <v>0</v>
      </c>
      <c r="BC371" s="53">
        <f ca="1">Marine!IOC_WI_perc*Marine!CA_op_trig</f>
        <v>0</v>
      </c>
      <c r="BD371" s="53">
        <f ca="1">Marine!IOC_WI_perc*Marine!CA_op_trig</f>
        <v>0</v>
      </c>
      <c r="BE371" s="53">
        <f ca="1">Marine!IOC_WI_perc*Marine!CA_op_trig</f>
        <v>0</v>
      </c>
      <c r="BF371" s="53">
        <f ca="1">Marine!IOC_WI_perc*Marine!CA_op_trig</f>
        <v>0</v>
      </c>
      <c r="BG371" s="53">
        <f ca="1">Marine!IOC_WI_perc*Marine!CA_op_trig</f>
        <v>0</v>
      </c>
      <c r="BH371" s="53">
        <f ca="1">Marine!IOC_WI_perc*Marine!CA_op_trig</f>
        <v>0</v>
      </c>
      <c r="BI371" s="53">
        <f ca="1">Marine!IOC_WI_perc*Marine!CA_op_trig</f>
        <v>0</v>
      </c>
      <c r="BJ371" s="53">
        <f ca="1">Marine!IOC_WI_perc*Marine!CA_op_trig</f>
        <v>0</v>
      </c>
      <c r="BK371" s="53">
        <f ca="1">Marine!IOC_WI_perc*Marine!CA_op_trig</f>
        <v>0</v>
      </c>
      <c r="BL371" s="53">
        <f ca="1">Marine!IOC_WI_perc*Marine!CA_op_trig</f>
        <v>0</v>
      </c>
      <c r="BM371" s="53">
        <f ca="1">Marine!IOC_WI_perc*Marine!CA_op_trig</f>
        <v>0</v>
      </c>
      <c r="BN371" s="53">
        <f ca="1">Marine!IOC_WI_perc*Marine!CA_op_trig</f>
        <v>0</v>
      </c>
      <c r="BO371" s="53">
        <f ca="1">Marine!IOC_WI_perc*Marine!CA_op_trig</f>
        <v>0</v>
      </c>
      <c r="BP371" s="53">
        <f ca="1">Marine!IOC_WI_perc*Marine!CA_op_trig</f>
        <v>0</v>
      </c>
      <c r="BQ371" s="53">
        <f ca="1">Marine!IOC_WI_perc*Marine!CA_op_trig</f>
        <v>0</v>
      </c>
      <c r="BR371" s="53">
        <f ca="1">Marine!IOC_WI_perc*Marine!CA_op_trig</f>
        <v>0</v>
      </c>
      <c r="BS371" s="53">
        <f ca="1">Marine!IOC_WI_perc*Marine!CA_op_trig</f>
        <v>0</v>
      </c>
    </row>
    <row r="372" spans="3:71" outlineLevel="1" x14ac:dyDescent="0.2">
      <c r="D372" t="s">
        <v>339</v>
      </c>
      <c r="J372" s="26" t="s">
        <v>90</v>
      </c>
      <c r="K372" s="7" t="s">
        <v>341</v>
      </c>
      <c r="L372" s="53">
        <f ca="1">Marine!NOC_WI_perc*Marine!CA_op_trig</f>
        <v>0.1</v>
      </c>
      <c r="M372" s="53">
        <f ca="1">Marine!NOC_WI_perc*Marine!CA_op_trig</f>
        <v>0.1</v>
      </c>
      <c r="N372" s="53">
        <f ca="1">Marine!NOC_WI_perc*Marine!CA_op_trig</f>
        <v>0.1</v>
      </c>
      <c r="O372" s="53">
        <f ca="1">Marine!NOC_WI_perc*Marine!CA_op_trig</f>
        <v>0.1</v>
      </c>
      <c r="P372" s="53">
        <f ca="1">Marine!NOC_WI_perc*Marine!CA_op_trig</f>
        <v>0.1</v>
      </c>
      <c r="Q372" s="53">
        <f ca="1">Marine!NOC_WI_perc*Marine!CA_op_trig</f>
        <v>0.1</v>
      </c>
      <c r="R372" s="53">
        <f ca="1">Marine!NOC_WI_perc*Marine!CA_op_trig</f>
        <v>0.1</v>
      </c>
      <c r="S372" s="53">
        <f ca="1">Marine!NOC_WI_perc*Marine!CA_op_trig</f>
        <v>0.1</v>
      </c>
      <c r="T372" s="53">
        <f ca="1">Marine!NOC_WI_perc*Marine!CA_op_trig</f>
        <v>0.1</v>
      </c>
      <c r="U372" s="53">
        <f ca="1">Marine!NOC_WI_perc*Marine!CA_op_trig</f>
        <v>0.1</v>
      </c>
      <c r="V372" s="53">
        <f ca="1">Marine!NOC_WI_perc*Marine!CA_op_trig</f>
        <v>0.1</v>
      </c>
      <c r="W372" s="53">
        <f ca="1">Marine!NOC_WI_perc*Marine!CA_op_trig</f>
        <v>0.1</v>
      </c>
      <c r="X372" s="53">
        <f ca="1">Marine!NOC_WI_perc*Marine!CA_op_trig</f>
        <v>0.1</v>
      </c>
      <c r="Y372" s="53">
        <f ca="1">Marine!NOC_WI_perc*Marine!CA_op_trig</f>
        <v>0</v>
      </c>
      <c r="Z372" s="53">
        <f ca="1">Marine!NOC_WI_perc*Marine!CA_op_trig</f>
        <v>0</v>
      </c>
      <c r="AA372" s="53">
        <f ca="1">Marine!NOC_WI_perc*Marine!CA_op_trig</f>
        <v>0</v>
      </c>
      <c r="AB372" s="53">
        <f ca="1">Marine!NOC_WI_perc*Marine!CA_op_trig</f>
        <v>0</v>
      </c>
      <c r="AC372" s="53">
        <f ca="1">Marine!NOC_WI_perc*Marine!CA_op_trig</f>
        <v>0</v>
      </c>
      <c r="AD372" s="53">
        <f ca="1">Marine!NOC_WI_perc*Marine!CA_op_trig</f>
        <v>0</v>
      </c>
      <c r="AE372" s="53">
        <f ca="1">Marine!NOC_WI_perc*Marine!CA_op_trig</f>
        <v>0</v>
      </c>
      <c r="AF372" s="53">
        <f ca="1">Marine!NOC_WI_perc*Marine!CA_op_trig</f>
        <v>0</v>
      </c>
      <c r="AG372" s="53">
        <f ca="1">Marine!NOC_WI_perc*Marine!CA_op_trig</f>
        <v>0</v>
      </c>
      <c r="AH372" s="53">
        <f ca="1">Marine!NOC_WI_perc*Marine!CA_op_trig</f>
        <v>0</v>
      </c>
      <c r="AI372" s="53">
        <f ca="1">Marine!NOC_WI_perc*Marine!CA_op_trig</f>
        <v>0</v>
      </c>
      <c r="AJ372" s="53">
        <f ca="1">Marine!NOC_WI_perc*Marine!CA_op_trig</f>
        <v>0</v>
      </c>
      <c r="AK372" s="53">
        <f ca="1">Marine!NOC_WI_perc*Marine!CA_op_trig</f>
        <v>0</v>
      </c>
      <c r="AL372" s="53">
        <f ca="1">Marine!NOC_WI_perc*Marine!CA_op_trig</f>
        <v>0</v>
      </c>
      <c r="AM372" s="53">
        <f ca="1">Marine!NOC_WI_perc*Marine!CA_op_trig</f>
        <v>0</v>
      </c>
      <c r="AN372" s="53">
        <f ca="1">Marine!NOC_WI_perc*Marine!CA_op_trig</f>
        <v>0</v>
      </c>
      <c r="AO372" s="53">
        <f ca="1">Marine!NOC_WI_perc*Marine!CA_op_trig</f>
        <v>0</v>
      </c>
      <c r="AP372" s="53">
        <f ca="1">Marine!NOC_WI_perc*Marine!CA_op_trig</f>
        <v>0</v>
      </c>
      <c r="AQ372" s="53">
        <f ca="1">Marine!NOC_WI_perc*Marine!CA_op_trig</f>
        <v>0</v>
      </c>
      <c r="AR372" s="53">
        <f ca="1">Marine!NOC_WI_perc*Marine!CA_op_trig</f>
        <v>0</v>
      </c>
      <c r="AS372" s="53">
        <f ca="1">Marine!NOC_WI_perc*Marine!CA_op_trig</f>
        <v>0</v>
      </c>
      <c r="AT372" s="53">
        <f ca="1">Marine!NOC_WI_perc*Marine!CA_op_trig</f>
        <v>0</v>
      </c>
      <c r="AU372" s="53">
        <f ca="1">Marine!NOC_WI_perc*Marine!CA_op_trig</f>
        <v>0</v>
      </c>
      <c r="AV372" s="53">
        <f ca="1">Marine!NOC_WI_perc*Marine!CA_op_trig</f>
        <v>0</v>
      </c>
      <c r="AW372" s="53">
        <f ca="1">Marine!NOC_WI_perc*Marine!CA_op_trig</f>
        <v>0</v>
      </c>
      <c r="AX372" s="53">
        <f ca="1">Marine!NOC_WI_perc*Marine!CA_op_trig</f>
        <v>0</v>
      </c>
      <c r="AY372" s="53">
        <f ca="1">Marine!NOC_WI_perc*Marine!CA_op_trig</f>
        <v>0</v>
      </c>
      <c r="AZ372" s="53">
        <f ca="1">Marine!NOC_WI_perc*Marine!CA_op_trig</f>
        <v>0</v>
      </c>
      <c r="BA372" s="53">
        <f ca="1">Marine!NOC_WI_perc*Marine!CA_op_trig</f>
        <v>0</v>
      </c>
      <c r="BB372" s="53">
        <f ca="1">Marine!NOC_WI_perc*Marine!CA_op_trig</f>
        <v>0</v>
      </c>
      <c r="BC372" s="53">
        <f ca="1">Marine!NOC_WI_perc*Marine!CA_op_trig</f>
        <v>0</v>
      </c>
      <c r="BD372" s="53">
        <f ca="1">Marine!NOC_WI_perc*Marine!CA_op_trig</f>
        <v>0</v>
      </c>
      <c r="BE372" s="53">
        <f ca="1">Marine!NOC_WI_perc*Marine!CA_op_trig</f>
        <v>0</v>
      </c>
      <c r="BF372" s="53">
        <f ca="1">Marine!NOC_WI_perc*Marine!CA_op_trig</f>
        <v>0</v>
      </c>
      <c r="BG372" s="53">
        <f ca="1">Marine!NOC_WI_perc*Marine!CA_op_trig</f>
        <v>0</v>
      </c>
      <c r="BH372" s="53">
        <f ca="1">Marine!NOC_WI_perc*Marine!CA_op_trig</f>
        <v>0</v>
      </c>
      <c r="BI372" s="53">
        <f ca="1">Marine!NOC_WI_perc*Marine!CA_op_trig</f>
        <v>0</v>
      </c>
      <c r="BJ372" s="53">
        <f ca="1">Marine!NOC_WI_perc*Marine!CA_op_trig</f>
        <v>0</v>
      </c>
      <c r="BK372" s="53">
        <f ca="1">Marine!NOC_WI_perc*Marine!CA_op_trig</f>
        <v>0</v>
      </c>
      <c r="BL372" s="53">
        <f ca="1">Marine!NOC_WI_perc*Marine!CA_op_trig</f>
        <v>0</v>
      </c>
      <c r="BM372" s="53">
        <f ca="1">Marine!NOC_WI_perc*Marine!CA_op_trig</f>
        <v>0</v>
      </c>
      <c r="BN372" s="53">
        <f ca="1">Marine!NOC_WI_perc*Marine!CA_op_trig</f>
        <v>0</v>
      </c>
      <c r="BO372" s="53">
        <f ca="1">Marine!NOC_WI_perc*Marine!CA_op_trig</f>
        <v>0</v>
      </c>
      <c r="BP372" s="53">
        <f ca="1">Marine!NOC_WI_perc*Marine!CA_op_trig</f>
        <v>0</v>
      </c>
      <c r="BQ372" s="53">
        <f ca="1">Marine!NOC_WI_perc*Marine!CA_op_trig</f>
        <v>0</v>
      </c>
      <c r="BR372" s="53">
        <f ca="1">Marine!NOC_WI_perc*Marine!CA_op_trig</f>
        <v>0</v>
      </c>
      <c r="BS372" s="53">
        <f ca="1">Marine!NOC_WI_perc*Marine!CA_op_trig</f>
        <v>0</v>
      </c>
    </row>
    <row r="373" spans="3:71" outlineLevel="1" x14ac:dyDescent="0.2">
      <c r="J373" s="26"/>
      <c r="L373" s="55"/>
      <c r="M373" s="55"/>
      <c r="N373" s="55"/>
      <c r="O373" s="55"/>
      <c r="P373" s="55"/>
      <c r="Q373" s="55"/>
      <c r="R373" s="55"/>
      <c r="S373" s="55"/>
      <c r="T373" s="55"/>
      <c r="U373" s="55"/>
      <c r="V373" s="55"/>
      <c r="W373" s="55"/>
      <c r="X373" s="55"/>
      <c r="Y373" s="55"/>
      <c r="Z373" s="55"/>
      <c r="AA373" s="55"/>
      <c r="AB373" s="55"/>
      <c r="AC373" s="55"/>
      <c r="AD373" s="55"/>
      <c r="AE373" s="55"/>
      <c r="AF373" s="55"/>
      <c r="AG373" s="55"/>
      <c r="AH373" s="55"/>
      <c r="AI373" s="55"/>
      <c r="AJ373" s="55"/>
      <c r="AK373" s="55"/>
      <c r="AL373" s="55"/>
      <c r="AM373" s="55"/>
      <c r="AN373" s="55"/>
      <c r="AO373" s="55"/>
      <c r="AP373" s="55"/>
      <c r="AQ373" s="55"/>
      <c r="AR373" s="55"/>
      <c r="AS373" s="55"/>
      <c r="AT373" s="55"/>
      <c r="AU373" s="55"/>
      <c r="AV373" s="55"/>
      <c r="AW373" s="55"/>
      <c r="AX373" s="55"/>
      <c r="AY373" s="55"/>
      <c r="AZ373" s="55"/>
      <c r="BA373" s="55"/>
      <c r="BB373" s="55"/>
      <c r="BC373" s="55"/>
      <c r="BD373" s="55"/>
      <c r="BE373" s="55"/>
      <c r="BF373" s="55"/>
      <c r="BG373" s="55"/>
      <c r="BH373" s="55"/>
      <c r="BI373" s="55"/>
      <c r="BJ373" s="55"/>
      <c r="BK373" s="55"/>
      <c r="BL373" s="55"/>
      <c r="BM373" s="55"/>
      <c r="BN373" s="55"/>
      <c r="BO373" s="55"/>
      <c r="BP373" s="55"/>
      <c r="BQ373" s="55"/>
      <c r="BR373" s="55"/>
      <c r="BS373" s="55"/>
    </row>
    <row r="374" spans="3:71" outlineLevel="1" x14ac:dyDescent="0.2">
      <c r="C374" s="11" t="s">
        <v>342</v>
      </c>
      <c r="J374" s="26"/>
      <c r="L374" s="55"/>
      <c r="M374" s="55"/>
      <c r="N374" s="55"/>
      <c r="O374" s="55"/>
      <c r="P374" s="55"/>
      <c r="Q374" s="55"/>
      <c r="R374" s="55"/>
      <c r="S374" s="55"/>
      <c r="T374" s="55"/>
      <c r="U374" s="55"/>
      <c r="V374" s="55"/>
      <c r="W374" s="55"/>
      <c r="X374" s="55"/>
      <c r="Y374" s="55"/>
      <c r="Z374" s="55"/>
      <c r="AA374" s="55"/>
      <c r="AB374" s="55"/>
      <c r="AC374" s="55"/>
      <c r="AD374" s="55"/>
      <c r="AE374" s="55"/>
      <c r="AF374" s="55"/>
      <c r="AG374" s="55"/>
      <c r="AH374" s="55"/>
      <c r="AI374" s="55"/>
      <c r="AJ374" s="55"/>
      <c r="AK374" s="55"/>
      <c r="AL374" s="55"/>
      <c r="AM374" s="55"/>
      <c r="AN374" s="55"/>
      <c r="AO374" s="55"/>
      <c r="AP374" s="55"/>
      <c r="AQ374" s="55"/>
      <c r="AR374" s="55"/>
      <c r="AS374" s="55"/>
      <c r="AT374" s="55"/>
      <c r="AU374" s="55"/>
      <c r="AV374" s="55"/>
      <c r="AW374" s="55"/>
      <c r="AX374" s="55"/>
      <c r="AY374" s="55"/>
      <c r="AZ374" s="55"/>
      <c r="BA374" s="55"/>
      <c r="BB374" s="55"/>
      <c r="BC374" s="55"/>
      <c r="BD374" s="55"/>
      <c r="BE374" s="55"/>
      <c r="BF374" s="55"/>
      <c r="BG374" s="55"/>
      <c r="BH374" s="55"/>
      <c r="BI374" s="55"/>
      <c r="BJ374" s="55"/>
      <c r="BK374" s="55"/>
      <c r="BL374" s="55"/>
      <c r="BM374" s="55"/>
      <c r="BN374" s="55"/>
      <c r="BO374" s="55"/>
      <c r="BP374" s="55"/>
      <c r="BQ374" s="55"/>
      <c r="BR374" s="55"/>
      <c r="BS374" s="55"/>
    </row>
    <row r="375" spans="3:71" outlineLevel="1" x14ac:dyDescent="0.2">
      <c r="D375" t="s">
        <v>116</v>
      </c>
      <c r="I375" s="30">
        <f t="shared" ref="I375:I377" ca="1" si="147">SUM($L375:$BS375)</f>
        <v>3455.4614570060339</v>
      </c>
      <c r="J375" s="26" t="s">
        <v>148</v>
      </c>
      <c r="L375" s="49">
        <f ca="1">Marine!CA_ent_rev_oil*Marine!CA_IOC_WI</f>
        <v>0</v>
      </c>
      <c r="M375" s="49">
        <f ca="1">Marine!CA_ent_rev_oil*Marine!CA_IOC_WI</f>
        <v>0.17834225627384384</v>
      </c>
      <c r="N375" s="49">
        <f ca="1">Marine!CA_ent_rev_oil*Marine!CA_IOC_WI</f>
        <v>66.761762139588186</v>
      </c>
      <c r="O375" s="49">
        <f ca="1">Marine!CA_ent_rev_oil*Marine!CA_IOC_WI</f>
        <v>103.3476523307089</v>
      </c>
      <c r="P375" s="49">
        <f ca="1">Marine!CA_ent_rev_oil*Marine!CA_IOC_WI</f>
        <v>229.33322129223799</v>
      </c>
      <c r="Q375" s="49">
        <f ca="1">Marine!CA_ent_rev_oil*Marine!CA_IOC_WI</f>
        <v>495.01047832127318</v>
      </c>
      <c r="R375" s="49">
        <f ca="1">Marine!CA_ent_rev_oil*Marine!CA_IOC_WI</f>
        <v>439.16870821224967</v>
      </c>
      <c r="S375" s="49">
        <f ca="1">Marine!CA_ent_rev_oil*Marine!CA_IOC_WI</f>
        <v>267.89459598310526</v>
      </c>
      <c r="T375" s="49">
        <f ca="1">Marine!CA_ent_rev_oil*Marine!CA_IOC_WI</f>
        <v>395.81717205594811</v>
      </c>
      <c r="U375" s="49">
        <f ca="1">Marine!CA_ent_rev_oil*Marine!CA_IOC_WI</f>
        <v>395.14903793354659</v>
      </c>
      <c r="V375" s="49">
        <f ca="1">Marine!CA_ent_rev_oil*Marine!CA_IOC_WI</f>
        <v>375.79668721533454</v>
      </c>
      <c r="W375" s="49">
        <f ca="1">Marine!CA_ent_rev_oil*Marine!CA_IOC_WI</f>
        <v>352.08397790906929</v>
      </c>
      <c r="X375" s="49">
        <f ca="1">Marine!CA_ent_rev_oil*Marine!CA_IOC_WI</f>
        <v>334.91982135669809</v>
      </c>
      <c r="Y375" s="49">
        <f ca="1">Marine!CA_ent_rev_oil*Marine!CA_IOC_WI</f>
        <v>0</v>
      </c>
      <c r="Z375" s="49">
        <f ca="1">Marine!CA_ent_rev_oil*Marine!CA_IOC_WI</f>
        <v>0</v>
      </c>
      <c r="AA375" s="49">
        <f ca="1">Marine!CA_ent_rev_oil*Marine!CA_IOC_WI</f>
        <v>0</v>
      </c>
      <c r="AB375" s="49">
        <f ca="1">Marine!CA_ent_rev_oil*Marine!CA_IOC_WI</f>
        <v>0</v>
      </c>
      <c r="AC375" s="49">
        <f ca="1">Marine!CA_ent_rev_oil*Marine!CA_IOC_WI</f>
        <v>0</v>
      </c>
      <c r="AD375" s="49">
        <f ca="1">Marine!CA_ent_rev_oil*Marine!CA_IOC_WI</f>
        <v>0</v>
      </c>
      <c r="AE375" s="49">
        <f ca="1">Marine!CA_ent_rev_oil*Marine!CA_IOC_WI</f>
        <v>0</v>
      </c>
      <c r="AF375" s="49">
        <f ca="1">Marine!CA_ent_rev_oil*Marine!CA_IOC_WI</f>
        <v>0</v>
      </c>
      <c r="AG375" s="49">
        <f ca="1">Marine!CA_ent_rev_oil*Marine!CA_IOC_WI</f>
        <v>0</v>
      </c>
      <c r="AH375" s="49">
        <f ca="1">Marine!CA_ent_rev_oil*Marine!CA_IOC_WI</f>
        <v>0</v>
      </c>
      <c r="AI375" s="49">
        <f ca="1">Marine!CA_ent_rev_oil*Marine!CA_IOC_WI</f>
        <v>0</v>
      </c>
      <c r="AJ375" s="49">
        <f ca="1">Marine!CA_ent_rev_oil*Marine!CA_IOC_WI</f>
        <v>0</v>
      </c>
      <c r="AK375" s="49">
        <f ca="1">Marine!CA_ent_rev_oil*Marine!CA_IOC_WI</f>
        <v>0</v>
      </c>
      <c r="AL375" s="49">
        <f ca="1">Marine!CA_ent_rev_oil*Marine!CA_IOC_WI</f>
        <v>0</v>
      </c>
      <c r="AM375" s="49">
        <f ca="1">Marine!CA_ent_rev_oil*Marine!CA_IOC_WI</f>
        <v>0</v>
      </c>
      <c r="AN375" s="49">
        <f ca="1">Marine!CA_ent_rev_oil*Marine!CA_IOC_WI</f>
        <v>0</v>
      </c>
      <c r="AO375" s="49">
        <f ca="1">Marine!CA_ent_rev_oil*Marine!CA_IOC_WI</f>
        <v>0</v>
      </c>
      <c r="AP375" s="49">
        <f ca="1">Marine!CA_ent_rev_oil*Marine!CA_IOC_WI</f>
        <v>0</v>
      </c>
      <c r="AQ375" s="49">
        <f ca="1">Marine!CA_ent_rev_oil*Marine!CA_IOC_WI</f>
        <v>0</v>
      </c>
      <c r="AR375" s="49">
        <f ca="1">Marine!CA_ent_rev_oil*Marine!CA_IOC_WI</f>
        <v>0</v>
      </c>
      <c r="AS375" s="49">
        <f ca="1">Marine!CA_ent_rev_oil*Marine!CA_IOC_WI</f>
        <v>0</v>
      </c>
      <c r="AT375" s="49">
        <f ca="1">Marine!CA_ent_rev_oil*Marine!CA_IOC_WI</f>
        <v>0</v>
      </c>
      <c r="AU375" s="49">
        <f ca="1">Marine!CA_ent_rev_oil*Marine!CA_IOC_WI</f>
        <v>0</v>
      </c>
      <c r="AV375" s="49">
        <f ca="1">Marine!CA_ent_rev_oil*Marine!CA_IOC_WI</f>
        <v>0</v>
      </c>
      <c r="AW375" s="49">
        <f ca="1">Marine!CA_ent_rev_oil*Marine!CA_IOC_WI</f>
        <v>0</v>
      </c>
      <c r="AX375" s="49">
        <f ca="1">Marine!CA_ent_rev_oil*Marine!CA_IOC_WI</f>
        <v>0</v>
      </c>
      <c r="AY375" s="49">
        <f ca="1">Marine!CA_ent_rev_oil*Marine!CA_IOC_WI</f>
        <v>0</v>
      </c>
      <c r="AZ375" s="49">
        <f ca="1">Marine!CA_ent_rev_oil*Marine!CA_IOC_WI</f>
        <v>0</v>
      </c>
      <c r="BA375" s="49">
        <f ca="1">Marine!CA_ent_rev_oil*Marine!CA_IOC_WI</f>
        <v>0</v>
      </c>
      <c r="BB375" s="49">
        <f ca="1">Marine!CA_ent_rev_oil*Marine!CA_IOC_WI</f>
        <v>0</v>
      </c>
      <c r="BC375" s="49">
        <f ca="1">Marine!CA_ent_rev_oil*Marine!CA_IOC_WI</f>
        <v>0</v>
      </c>
      <c r="BD375" s="49">
        <f ca="1">Marine!CA_ent_rev_oil*Marine!CA_IOC_WI</f>
        <v>0</v>
      </c>
      <c r="BE375" s="49">
        <f ca="1">Marine!CA_ent_rev_oil*Marine!CA_IOC_WI</f>
        <v>0</v>
      </c>
      <c r="BF375" s="49">
        <f ca="1">Marine!CA_ent_rev_oil*Marine!CA_IOC_WI</f>
        <v>0</v>
      </c>
      <c r="BG375" s="49">
        <f ca="1">Marine!CA_ent_rev_oil*Marine!CA_IOC_WI</f>
        <v>0</v>
      </c>
      <c r="BH375" s="49">
        <f ca="1">Marine!CA_ent_rev_oil*Marine!CA_IOC_WI</f>
        <v>0</v>
      </c>
      <c r="BI375" s="49">
        <f ca="1">Marine!CA_ent_rev_oil*Marine!CA_IOC_WI</f>
        <v>0</v>
      </c>
      <c r="BJ375" s="49">
        <f ca="1">Marine!CA_ent_rev_oil*Marine!CA_IOC_WI</f>
        <v>0</v>
      </c>
      <c r="BK375" s="49">
        <f ca="1">Marine!CA_ent_rev_oil*Marine!CA_IOC_WI</f>
        <v>0</v>
      </c>
      <c r="BL375" s="49">
        <f ca="1">Marine!CA_ent_rev_oil*Marine!CA_IOC_WI</f>
        <v>0</v>
      </c>
      <c r="BM375" s="49">
        <f ca="1">Marine!CA_ent_rev_oil*Marine!CA_IOC_WI</f>
        <v>0</v>
      </c>
      <c r="BN375" s="49">
        <f ca="1">Marine!CA_ent_rev_oil*Marine!CA_IOC_WI</f>
        <v>0</v>
      </c>
      <c r="BO375" s="49">
        <f ca="1">Marine!CA_ent_rev_oil*Marine!CA_IOC_WI</f>
        <v>0</v>
      </c>
      <c r="BP375" s="49">
        <f ca="1">Marine!CA_ent_rev_oil*Marine!CA_IOC_WI</f>
        <v>0</v>
      </c>
      <c r="BQ375" s="49">
        <f ca="1">Marine!CA_ent_rev_oil*Marine!CA_IOC_WI</f>
        <v>0</v>
      </c>
      <c r="BR375" s="49">
        <f ca="1">Marine!CA_ent_rev_oil*Marine!CA_IOC_WI</f>
        <v>0</v>
      </c>
      <c r="BS375" s="49">
        <f ca="1">Marine!CA_ent_rev_oil*Marine!CA_IOC_WI</f>
        <v>0</v>
      </c>
    </row>
    <row r="376" spans="3:71" outlineLevel="1" x14ac:dyDescent="0.2">
      <c r="D376" t="s">
        <v>339</v>
      </c>
      <c r="I376" s="30">
        <f t="shared" ca="1" si="147"/>
        <v>383.94016188955931</v>
      </c>
      <c r="J376" s="26" t="s">
        <v>148</v>
      </c>
      <c r="L376" s="49">
        <f ca="1">Marine!CA_ent_rev_oil*Marine!CA_NOC_WI</f>
        <v>0</v>
      </c>
      <c r="M376" s="49">
        <f ca="1">Marine!CA_ent_rev_oil*Marine!CA_NOC_WI</f>
        <v>1.9815806252649316E-2</v>
      </c>
      <c r="N376" s="49">
        <f ca="1">Marine!CA_ent_rev_oil*Marine!CA_NOC_WI</f>
        <v>7.4179735710653532</v>
      </c>
      <c r="O376" s="49">
        <f ca="1">Marine!CA_ent_rev_oil*Marine!CA_NOC_WI</f>
        <v>11.483072481189879</v>
      </c>
      <c r="P376" s="49">
        <f ca="1">Marine!CA_ent_rev_oil*Marine!CA_NOC_WI</f>
        <v>25.481469032470887</v>
      </c>
      <c r="Q376" s="49">
        <f ca="1">Marine!CA_ent_rev_oil*Marine!CA_NOC_WI</f>
        <v>55.001164257919243</v>
      </c>
      <c r="R376" s="49">
        <f ca="1">Marine!CA_ent_rev_oil*Marine!CA_NOC_WI</f>
        <v>48.796523134694411</v>
      </c>
      <c r="S376" s="49">
        <f ca="1">Marine!CA_ent_rev_oil*Marine!CA_NOC_WI</f>
        <v>29.766066220345028</v>
      </c>
      <c r="T376" s="49">
        <f ca="1">Marine!CA_ent_rev_oil*Marine!CA_NOC_WI</f>
        <v>43.979685783994235</v>
      </c>
      <c r="U376" s="49">
        <f ca="1">Marine!CA_ent_rev_oil*Marine!CA_NOC_WI</f>
        <v>43.90544865928296</v>
      </c>
      <c r="V376" s="49">
        <f ca="1">Marine!CA_ent_rev_oil*Marine!CA_NOC_WI</f>
        <v>41.755187468370508</v>
      </c>
      <c r="W376" s="49">
        <f ca="1">Marine!CA_ent_rev_oil*Marine!CA_NOC_WI</f>
        <v>39.120441989896591</v>
      </c>
      <c r="X376" s="49">
        <f ca="1">Marine!CA_ent_rev_oil*Marine!CA_NOC_WI</f>
        <v>37.213313484077567</v>
      </c>
      <c r="Y376" s="49">
        <f ca="1">Marine!CA_ent_rev_oil*Marine!CA_NOC_WI</f>
        <v>0</v>
      </c>
      <c r="Z376" s="49">
        <f ca="1">Marine!CA_ent_rev_oil*Marine!CA_NOC_WI</f>
        <v>0</v>
      </c>
      <c r="AA376" s="49">
        <f ca="1">Marine!CA_ent_rev_oil*Marine!CA_NOC_WI</f>
        <v>0</v>
      </c>
      <c r="AB376" s="49">
        <f ca="1">Marine!CA_ent_rev_oil*Marine!CA_NOC_WI</f>
        <v>0</v>
      </c>
      <c r="AC376" s="49">
        <f ca="1">Marine!CA_ent_rev_oil*Marine!CA_NOC_WI</f>
        <v>0</v>
      </c>
      <c r="AD376" s="49">
        <f ca="1">Marine!CA_ent_rev_oil*Marine!CA_NOC_WI</f>
        <v>0</v>
      </c>
      <c r="AE376" s="49">
        <f ca="1">Marine!CA_ent_rev_oil*Marine!CA_NOC_WI</f>
        <v>0</v>
      </c>
      <c r="AF376" s="49">
        <f ca="1">Marine!CA_ent_rev_oil*Marine!CA_NOC_WI</f>
        <v>0</v>
      </c>
      <c r="AG376" s="49">
        <f ca="1">Marine!CA_ent_rev_oil*Marine!CA_NOC_WI</f>
        <v>0</v>
      </c>
      <c r="AH376" s="49">
        <f ca="1">Marine!CA_ent_rev_oil*Marine!CA_NOC_WI</f>
        <v>0</v>
      </c>
      <c r="AI376" s="49">
        <f ca="1">Marine!CA_ent_rev_oil*Marine!CA_NOC_WI</f>
        <v>0</v>
      </c>
      <c r="AJ376" s="49">
        <f ca="1">Marine!CA_ent_rev_oil*Marine!CA_NOC_WI</f>
        <v>0</v>
      </c>
      <c r="AK376" s="49">
        <f ca="1">Marine!CA_ent_rev_oil*Marine!CA_NOC_WI</f>
        <v>0</v>
      </c>
      <c r="AL376" s="49">
        <f ca="1">Marine!CA_ent_rev_oil*Marine!CA_NOC_WI</f>
        <v>0</v>
      </c>
      <c r="AM376" s="49">
        <f ca="1">Marine!CA_ent_rev_oil*Marine!CA_NOC_WI</f>
        <v>0</v>
      </c>
      <c r="AN376" s="49">
        <f ca="1">Marine!CA_ent_rev_oil*Marine!CA_NOC_WI</f>
        <v>0</v>
      </c>
      <c r="AO376" s="49">
        <f ca="1">Marine!CA_ent_rev_oil*Marine!CA_NOC_WI</f>
        <v>0</v>
      </c>
      <c r="AP376" s="49">
        <f ca="1">Marine!CA_ent_rev_oil*Marine!CA_NOC_WI</f>
        <v>0</v>
      </c>
      <c r="AQ376" s="49">
        <f ca="1">Marine!CA_ent_rev_oil*Marine!CA_NOC_WI</f>
        <v>0</v>
      </c>
      <c r="AR376" s="49">
        <f ca="1">Marine!CA_ent_rev_oil*Marine!CA_NOC_WI</f>
        <v>0</v>
      </c>
      <c r="AS376" s="49">
        <f ca="1">Marine!CA_ent_rev_oil*Marine!CA_NOC_WI</f>
        <v>0</v>
      </c>
      <c r="AT376" s="49">
        <f ca="1">Marine!CA_ent_rev_oil*Marine!CA_NOC_WI</f>
        <v>0</v>
      </c>
      <c r="AU376" s="49">
        <f ca="1">Marine!CA_ent_rev_oil*Marine!CA_NOC_WI</f>
        <v>0</v>
      </c>
      <c r="AV376" s="49">
        <f ca="1">Marine!CA_ent_rev_oil*Marine!CA_NOC_WI</f>
        <v>0</v>
      </c>
      <c r="AW376" s="49">
        <f ca="1">Marine!CA_ent_rev_oil*Marine!CA_NOC_WI</f>
        <v>0</v>
      </c>
      <c r="AX376" s="49">
        <f ca="1">Marine!CA_ent_rev_oil*Marine!CA_NOC_WI</f>
        <v>0</v>
      </c>
      <c r="AY376" s="49">
        <f ca="1">Marine!CA_ent_rev_oil*Marine!CA_NOC_WI</f>
        <v>0</v>
      </c>
      <c r="AZ376" s="49">
        <f ca="1">Marine!CA_ent_rev_oil*Marine!CA_NOC_WI</f>
        <v>0</v>
      </c>
      <c r="BA376" s="49">
        <f ca="1">Marine!CA_ent_rev_oil*Marine!CA_NOC_WI</f>
        <v>0</v>
      </c>
      <c r="BB376" s="49">
        <f ca="1">Marine!CA_ent_rev_oil*Marine!CA_NOC_WI</f>
        <v>0</v>
      </c>
      <c r="BC376" s="49">
        <f ca="1">Marine!CA_ent_rev_oil*Marine!CA_NOC_WI</f>
        <v>0</v>
      </c>
      <c r="BD376" s="49">
        <f ca="1">Marine!CA_ent_rev_oil*Marine!CA_NOC_WI</f>
        <v>0</v>
      </c>
      <c r="BE376" s="49">
        <f ca="1">Marine!CA_ent_rev_oil*Marine!CA_NOC_WI</f>
        <v>0</v>
      </c>
      <c r="BF376" s="49">
        <f ca="1">Marine!CA_ent_rev_oil*Marine!CA_NOC_WI</f>
        <v>0</v>
      </c>
      <c r="BG376" s="49">
        <f ca="1">Marine!CA_ent_rev_oil*Marine!CA_NOC_WI</f>
        <v>0</v>
      </c>
      <c r="BH376" s="49">
        <f ca="1">Marine!CA_ent_rev_oil*Marine!CA_NOC_WI</f>
        <v>0</v>
      </c>
      <c r="BI376" s="49">
        <f ca="1">Marine!CA_ent_rev_oil*Marine!CA_NOC_WI</f>
        <v>0</v>
      </c>
      <c r="BJ376" s="49">
        <f ca="1">Marine!CA_ent_rev_oil*Marine!CA_NOC_WI</f>
        <v>0</v>
      </c>
      <c r="BK376" s="49">
        <f ca="1">Marine!CA_ent_rev_oil*Marine!CA_NOC_WI</f>
        <v>0</v>
      </c>
      <c r="BL376" s="49">
        <f ca="1">Marine!CA_ent_rev_oil*Marine!CA_NOC_WI</f>
        <v>0</v>
      </c>
      <c r="BM376" s="49">
        <f ca="1">Marine!CA_ent_rev_oil*Marine!CA_NOC_WI</f>
        <v>0</v>
      </c>
      <c r="BN376" s="49">
        <f ca="1">Marine!CA_ent_rev_oil*Marine!CA_NOC_WI</f>
        <v>0</v>
      </c>
      <c r="BO376" s="49">
        <f ca="1">Marine!CA_ent_rev_oil*Marine!CA_NOC_WI</f>
        <v>0</v>
      </c>
      <c r="BP376" s="49">
        <f ca="1">Marine!CA_ent_rev_oil*Marine!CA_NOC_WI</f>
        <v>0</v>
      </c>
      <c r="BQ376" s="49">
        <f ca="1">Marine!CA_ent_rev_oil*Marine!CA_NOC_WI</f>
        <v>0</v>
      </c>
      <c r="BR376" s="49">
        <f ca="1">Marine!CA_ent_rev_oil*Marine!CA_NOC_WI</f>
        <v>0</v>
      </c>
      <c r="BS376" s="49">
        <f ca="1">Marine!CA_ent_rev_oil*Marine!CA_NOC_WI</f>
        <v>0</v>
      </c>
    </row>
    <row r="377" spans="3:71" outlineLevel="1" x14ac:dyDescent="0.2">
      <c r="D377" s="11" t="s">
        <v>129</v>
      </c>
      <c r="I377" s="30">
        <f t="shared" ca="1" si="147"/>
        <v>3839.4016188955929</v>
      </c>
      <c r="J377" s="26" t="s">
        <v>148</v>
      </c>
      <c r="L377" s="49">
        <f ca="1">SUM(L375:L376)</f>
        <v>0</v>
      </c>
      <c r="M377" s="49">
        <f t="shared" ref="M377:BS377" ca="1" si="148">SUM(M375:M376)</f>
        <v>0.19815806252649315</v>
      </c>
      <c r="N377" s="49">
        <f t="shared" ca="1" si="148"/>
        <v>74.179735710653546</v>
      </c>
      <c r="O377" s="49">
        <f t="shared" ca="1" si="148"/>
        <v>114.83072481189878</v>
      </c>
      <c r="P377" s="49">
        <f t="shared" ca="1" si="148"/>
        <v>254.81469032470889</v>
      </c>
      <c r="Q377" s="49">
        <f t="shared" ca="1" si="148"/>
        <v>550.01164257919243</v>
      </c>
      <c r="R377" s="49">
        <f t="shared" ca="1" si="148"/>
        <v>487.96523134694405</v>
      </c>
      <c r="S377" s="49">
        <f t="shared" ca="1" si="148"/>
        <v>297.66066220345027</v>
      </c>
      <c r="T377" s="49">
        <f t="shared" ca="1" si="148"/>
        <v>439.79685783994233</v>
      </c>
      <c r="U377" s="49">
        <f t="shared" ca="1" si="148"/>
        <v>439.05448659282956</v>
      </c>
      <c r="V377" s="49">
        <f t="shared" ca="1" si="148"/>
        <v>417.55187468370502</v>
      </c>
      <c r="W377" s="49">
        <f t="shared" ca="1" si="148"/>
        <v>391.20441989896585</v>
      </c>
      <c r="X377" s="49">
        <f t="shared" ca="1" si="148"/>
        <v>372.13313484077565</v>
      </c>
      <c r="Y377" s="49">
        <f t="shared" ca="1" si="148"/>
        <v>0</v>
      </c>
      <c r="Z377" s="49">
        <f t="shared" ca="1" si="148"/>
        <v>0</v>
      </c>
      <c r="AA377" s="49">
        <f t="shared" ca="1" si="148"/>
        <v>0</v>
      </c>
      <c r="AB377" s="49">
        <f t="shared" ca="1" si="148"/>
        <v>0</v>
      </c>
      <c r="AC377" s="49">
        <f t="shared" ca="1" si="148"/>
        <v>0</v>
      </c>
      <c r="AD377" s="49">
        <f t="shared" ca="1" si="148"/>
        <v>0</v>
      </c>
      <c r="AE377" s="49">
        <f t="shared" ca="1" si="148"/>
        <v>0</v>
      </c>
      <c r="AF377" s="49">
        <f t="shared" ca="1" si="148"/>
        <v>0</v>
      </c>
      <c r="AG377" s="49">
        <f t="shared" ca="1" si="148"/>
        <v>0</v>
      </c>
      <c r="AH377" s="49">
        <f t="shared" ca="1" si="148"/>
        <v>0</v>
      </c>
      <c r="AI377" s="49">
        <f t="shared" ca="1" si="148"/>
        <v>0</v>
      </c>
      <c r="AJ377" s="49">
        <f t="shared" ca="1" si="148"/>
        <v>0</v>
      </c>
      <c r="AK377" s="49">
        <f t="shared" ca="1" si="148"/>
        <v>0</v>
      </c>
      <c r="AL377" s="49">
        <f t="shared" ca="1" si="148"/>
        <v>0</v>
      </c>
      <c r="AM377" s="49">
        <f t="shared" ca="1" si="148"/>
        <v>0</v>
      </c>
      <c r="AN377" s="49">
        <f t="shared" ca="1" si="148"/>
        <v>0</v>
      </c>
      <c r="AO377" s="49">
        <f t="shared" ca="1" si="148"/>
        <v>0</v>
      </c>
      <c r="AP377" s="49">
        <f t="shared" ca="1" si="148"/>
        <v>0</v>
      </c>
      <c r="AQ377" s="49">
        <f t="shared" ca="1" si="148"/>
        <v>0</v>
      </c>
      <c r="AR377" s="49">
        <f t="shared" ca="1" si="148"/>
        <v>0</v>
      </c>
      <c r="AS377" s="49">
        <f t="shared" ca="1" si="148"/>
        <v>0</v>
      </c>
      <c r="AT377" s="49">
        <f t="shared" ca="1" si="148"/>
        <v>0</v>
      </c>
      <c r="AU377" s="49">
        <f t="shared" ca="1" si="148"/>
        <v>0</v>
      </c>
      <c r="AV377" s="49">
        <f t="shared" ca="1" si="148"/>
        <v>0</v>
      </c>
      <c r="AW377" s="49">
        <f t="shared" ca="1" si="148"/>
        <v>0</v>
      </c>
      <c r="AX377" s="49">
        <f t="shared" ca="1" si="148"/>
        <v>0</v>
      </c>
      <c r="AY377" s="49">
        <f t="shared" ca="1" si="148"/>
        <v>0</v>
      </c>
      <c r="AZ377" s="49">
        <f t="shared" ca="1" si="148"/>
        <v>0</v>
      </c>
      <c r="BA377" s="49">
        <f t="shared" ca="1" si="148"/>
        <v>0</v>
      </c>
      <c r="BB377" s="49">
        <f t="shared" ca="1" si="148"/>
        <v>0</v>
      </c>
      <c r="BC377" s="49">
        <f t="shared" ca="1" si="148"/>
        <v>0</v>
      </c>
      <c r="BD377" s="49">
        <f t="shared" ca="1" si="148"/>
        <v>0</v>
      </c>
      <c r="BE377" s="49">
        <f t="shared" ca="1" si="148"/>
        <v>0</v>
      </c>
      <c r="BF377" s="49">
        <f t="shared" ca="1" si="148"/>
        <v>0</v>
      </c>
      <c r="BG377" s="49">
        <f t="shared" ca="1" si="148"/>
        <v>0</v>
      </c>
      <c r="BH377" s="49">
        <f t="shared" ca="1" si="148"/>
        <v>0</v>
      </c>
      <c r="BI377" s="49">
        <f t="shared" ca="1" si="148"/>
        <v>0</v>
      </c>
      <c r="BJ377" s="49">
        <f t="shared" ca="1" si="148"/>
        <v>0</v>
      </c>
      <c r="BK377" s="49">
        <f t="shared" ca="1" si="148"/>
        <v>0</v>
      </c>
      <c r="BL377" s="49">
        <f t="shared" ca="1" si="148"/>
        <v>0</v>
      </c>
      <c r="BM377" s="49">
        <f t="shared" ca="1" si="148"/>
        <v>0</v>
      </c>
      <c r="BN377" s="49">
        <f t="shared" ca="1" si="148"/>
        <v>0</v>
      </c>
      <c r="BO377" s="49">
        <f t="shared" ca="1" si="148"/>
        <v>0</v>
      </c>
      <c r="BP377" s="49">
        <f t="shared" ca="1" si="148"/>
        <v>0</v>
      </c>
      <c r="BQ377" s="49">
        <f t="shared" ca="1" si="148"/>
        <v>0</v>
      </c>
      <c r="BR377" s="49">
        <f t="shared" ca="1" si="148"/>
        <v>0</v>
      </c>
      <c r="BS377" s="49">
        <f t="shared" ca="1" si="148"/>
        <v>0</v>
      </c>
    </row>
    <row r="378" spans="3:71" outlineLevel="1" x14ac:dyDescent="0.2">
      <c r="J378" s="26"/>
      <c r="L378" s="55"/>
      <c r="M378" s="55"/>
      <c r="N378" s="55"/>
      <c r="O378" s="55"/>
      <c r="P378" s="55"/>
      <c r="Q378" s="55"/>
      <c r="R378" s="55"/>
      <c r="S378" s="55"/>
      <c r="T378" s="55"/>
      <c r="U378" s="55"/>
      <c r="V378" s="55"/>
      <c r="W378" s="55"/>
      <c r="X378" s="55"/>
      <c r="Y378" s="55"/>
      <c r="Z378" s="55"/>
      <c r="AA378" s="55"/>
      <c r="AB378" s="55"/>
      <c r="AC378" s="55"/>
      <c r="AD378" s="55"/>
      <c r="AE378" s="55"/>
      <c r="AF378" s="55"/>
      <c r="AG378" s="55"/>
      <c r="AH378" s="55"/>
      <c r="AI378" s="55"/>
      <c r="AJ378" s="55"/>
      <c r="AK378" s="55"/>
      <c r="AL378" s="55"/>
      <c r="AM378" s="55"/>
      <c r="AN378" s="55"/>
      <c r="AO378" s="55"/>
      <c r="AP378" s="55"/>
      <c r="AQ378" s="55"/>
      <c r="AR378" s="55"/>
      <c r="AS378" s="55"/>
      <c r="AT378" s="55"/>
      <c r="AU378" s="55"/>
      <c r="AV378" s="55"/>
      <c r="AW378" s="55"/>
      <c r="AX378" s="55"/>
      <c r="AY378" s="55"/>
      <c r="AZ378" s="55"/>
      <c r="BA378" s="55"/>
      <c r="BB378" s="55"/>
      <c r="BC378" s="55"/>
      <c r="BD378" s="55"/>
      <c r="BE378" s="55"/>
      <c r="BF378" s="55"/>
      <c r="BG378" s="55"/>
      <c r="BH378" s="55"/>
      <c r="BI378" s="55"/>
      <c r="BJ378" s="55"/>
      <c r="BK378" s="55"/>
      <c r="BL378" s="55"/>
      <c r="BM378" s="55"/>
      <c r="BN378" s="55"/>
      <c r="BO378" s="55"/>
      <c r="BP378" s="55"/>
      <c r="BQ378" s="55"/>
      <c r="BR378" s="55"/>
      <c r="BS378" s="55"/>
    </row>
    <row r="379" spans="3:71" outlineLevel="1" x14ac:dyDescent="0.2">
      <c r="C379" s="11" t="s">
        <v>343</v>
      </c>
      <c r="J379" s="26"/>
      <c r="L379" s="55"/>
      <c r="M379" s="55"/>
      <c r="N379" s="55"/>
      <c r="O379" s="55"/>
      <c r="P379" s="55"/>
      <c r="Q379" s="55"/>
      <c r="R379" s="55"/>
      <c r="S379" s="55"/>
      <c r="T379" s="55"/>
      <c r="U379" s="55"/>
      <c r="V379" s="55"/>
      <c r="W379" s="55"/>
      <c r="X379" s="55"/>
      <c r="Y379" s="55"/>
      <c r="Z379" s="55"/>
      <c r="AA379" s="55"/>
      <c r="AB379" s="55"/>
      <c r="AC379" s="55"/>
      <c r="AD379" s="55"/>
      <c r="AE379" s="55"/>
      <c r="AF379" s="55"/>
      <c r="AG379" s="55"/>
      <c r="AH379" s="55"/>
      <c r="AI379" s="55"/>
      <c r="AJ379" s="55"/>
      <c r="AK379" s="55"/>
      <c r="AL379" s="55"/>
      <c r="AM379" s="55"/>
      <c r="AN379" s="55"/>
      <c r="AO379" s="55"/>
      <c r="AP379" s="55"/>
      <c r="AQ379" s="55"/>
      <c r="AR379" s="55"/>
      <c r="AS379" s="55"/>
      <c r="AT379" s="55"/>
      <c r="AU379" s="55"/>
      <c r="AV379" s="55"/>
      <c r="AW379" s="55"/>
      <c r="AX379" s="55"/>
      <c r="AY379" s="55"/>
      <c r="AZ379" s="55"/>
      <c r="BA379" s="55"/>
      <c r="BB379" s="55"/>
      <c r="BC379" s="55"/>
      <c r="BD379" s="55"/>
      <c r="BE379" s="55"/>
      <c r="BF379" s="55"/>
      <c r="BG379" s="55"/>
      <c r="BH379" s="55"/>
      <c r="BI379" s="55"/>
      <c r="BJ379" s="55"/>
      <c r="BK379" s="55"/>
      <c r="BL379" s="55"/>
      <c r="BM379" s="55"/>
      <c r="BN379" s="55"/>
      <c r="BO379" s="55"/>
      <c r="BP379" s="55"/>
      <c r="BQ379" s="55"/>
      <c r="BR379" s="55"/>
      <c r="BS379" s="55"/>
    </row>
    <row r="380" spans="3:71" outlineLevel="1" x14ac:dyDescent="0.2">
      <c r="D380" t="s">
        <v>116</v>
      </c>
      <c r="I380" s="30">
        <f t="shared" ref="I380:I382" ca="1" si="149">SUM($L380:$BS380)</f>
        <v>642.18347979730004</v>
      </c>
      <c r="J380" s="26" t="s">
        <v>148</v>
      </c>
      <c r="L380" s="49">
        <f ca="1">Marine!CA_ent_rev_gas*Marine!CA_IOC_WI</f>
        <v>0</v>
      </c>
      <c r="M380" s="49">
        <f ca="1">Marine!CA_ent_rev_gas*Marine!CA_IOC_WI</f>
        <v>6.7337201421821664</v>
      </c>
      <c r="N380" s="49">
        <f ca="1">Marine!CA_ent_rev_gas*Marine!CA_IOC_WI</f>
        <v>37.025794307298192</v>
      </c>
      <c r="O380" s="49">
        <f ca="1">Marine!CA_ent_rev_gas*Marine!CA_IOC_WI</f>
        <v>58.141029733251393</v>
      </c>
      <c r="P380" s="49">
        <f ca="1">Marine!CA_ent_rev_gas*Marine!CA_IOC_WI</f>
        <v>51.479127815984299</v>
      </c>
      <c r="Q380" s="49">
        <f ca="1">Marine!CA_ent_rev_gas*Marine!CA_IOC_WI</f>
        <v>54.790790497706226</v>
      </c>
      <c r="R380" s="49">
        <f ca="1">Marine!CA_ent_rev_gas*Marine!CA_IOC_WI</f>
        <v>5.3350504638563768E-5</v>
      </c>
      <c r="S380" s="49">
        <f ca="1">Marine!CA_ent_rev_gas*Marine!CA_IOC_WI</f>
        <v>73.909816853889168</v>
      </c>
      <c r="T380" s="49">
        <f ca="1">Marine!CA_ent_rev_gas*Marine!CA_IOC_WI</f>
        <v>72.279580333061489</v>
      </c>
      <c r="U380" s="49">
        <f ca="1">Marine!CA_ent_rev_gas*Marine!CA_IOC_WI</f>
        <v>72.250089128592606</v>
      </c>
      <c r="V380" s="49">
        <f ca="1">Marine!CA_ent_rev_gas*Marine!CA_IOC_WI</f>
        <v>72.404113941213083</v>
      </c>
      <c r="W380" s="49">
        <f ca="1">Marine!CA_ent_rev_gas*Marine!CA_IOC_WI</f>
        <v>71.505216102482464</v>
      </c>
      <c r="X380" s="49">
        <f ca="1">Marine!CA_ent_rev_gas*Marine!CA_IOC_WI</f>
        <v>71.66414759113438</v>
      </c>
      <c r="Y380" s="49">
        <f ca="1">Marine!CA_ent_rev_gas*Marine!CA_IOC_WI</f>
        <v>0</v>
      </c>
      <c r="Z380" s="49">
        <f ca="1">Marine!CA_ent_rev_gas*Marine!CA_IOC_WI</f>
        <v>0</v>
      </c>
      <c r="AA380" s="49">
        <f ca="1">Marine!CA_ent_rev_gas*Marine!CA_IOC_WI</f>
        <v>0</v>
      </c>
      <c r="AB380" s="49">
        <f ca="1">Marine!CA_ent_rev_gas*Marine!CA_IOC_WI</f>
        <v>0</v>
      </c>
      <c r="AC380" s="49">
        <f ca="1">Marine!CA_ent_rev_gas*Marine!CA_IOC_WI</f>
        <v>0</v>
      </c>
      <c r="AD380" s="49">
        <f ca="1">Marine!CA_ent_rev_gas*Marine!CA_IOC_WI</f>
        <v>0</v>
      </c>
      <c r="AE380" s="49">
        <f ca="1">Marine!CA_ent_rev_gas*Marine!CA_IOC_WI</f>
        <v>0</v>
      </c>
      <c r="AF380" s="49">
        <f ca="1">Marine!CA_ent_rev_gas*Marine!CA_IOC_WI</f>
        <v>0</v>
      </c>
      <c r="AG380" s="49">
        <f ca="1">Marine!CA_ent_rev_gas*Marine!CA_IOC_WI</f>
        <v>0</v>
      </c>
      <c r="AH380" s="49">
        <f ca="1">Marine!CA_ent_rev_gas*Marine!CA_IOC_WI</f>
        <v>0</v>
      </c>
      <c r="AI380" s="49">
        <f ca="1">Marine!CA_ent_rev_gas*Marine!CA_IOC_WI</f>
        <v>0</v>
      </c>
      <c r="AJ380" s="49">
        <f ca="1">Marine!CA_ent_rev_gas*Marine!CA_IOC_WI</f>
        <v>0</v>
      </c>
      <c r="AK380" s="49">
        <f ca="1">Marine!CA_ent_rev_gas*Marine!CA_IOC_WI</f>
        <v>0</v>
      </c>
      <c r="AL380" s="49">
        <f ca="1">Marine!CA_ent_rev_gas*Marine!CA_IOC_WI</f>
        <v>0</v>
      </c>
      <c r="AM380" s="49">
        <f ca="1">Marine!CA_ent_rev_gas*Marine!CA_IOC_WI</f>
        <v>0</v>
      </c>
      <c r="AN380" s="49">
        <f ca="1">Marine!CA_ent_rev_gas*Marine!CA_IOC_WI</f>
        <v>0</v>
      </c>
      <c r="AO380" s="49">
        <f ca="1">Marine!CA_ent_rev_gas*Marine!CA_IOC_WI</f>
        <v>0</v>
      </c>
      <c r="AP380" s="49">
        <f ca="1">Marine!CA_ent_rev_gas*Marine!CA_IOC_WI</f>
        <v>0</v>
      </c>
      <c r="AQ380" s="49">
        <f ca="1">Marine!CA_ent_rev_gas*Marine!CA_IOC_WI</f>
        <v>0</v>
      </c>
      <c r="AR380" s="49">
        <f ca="1">Marine!CA_ent_rev_gas*Marine!CA_IOC_WI</f>
        <v>0</v>
      </c>
      <c r="AS380" s="49">
        <f ca="1">Marine!CA_ent_rev_gas*Marine!CA_IOC_WI</f>
        <v>0</v>
      </c>
      <c r="AT380" s="49">
        <f ca="1">Marine!CA_ent_rev_gas*Marine!CA_IOC_WI</f>
        <v>0</v>
      </c>
      <c r="AU380" s="49">
        <f ca="1">Marine!CA_ent_rev_gas*Marine!CA_IOC_WI</f>
        <v>0</v>
      </c>
      <c r="AV380" s="49">
        <f ca="1">Marine!CA_ent_rev_gas*Marine!CA_IOC_WI</f>
        <v>0</v>
      </c>
      <c r="AW380" s="49">
        <f ca="1">Marine!CA_ent_rev_gas*Marine!CA_IOC_WI</f>
        <v>0</v>
      </c>
      <c r="AX380" s="49">
        <f ca="1">Marine!CA_ent_rev_gas*Marine!CA_IOC_WI</f>
        <v>0</v>
      </c>
      <c r="AY380" s="49">
        <f ca="1">Marine!CA_ent_rev_gas*Marine!CA_IOC_WI</f>
        <v>0</v>
      </c>
      <c r="AZ380" s="49">
        <f ca="1">Marine!CA_ent_rev_gas*Marine!CA_IOC_WI</f>
        <v>0</v>
      </c>
      <c r="BA380" s="49">
        <f ca="1">Marine!CA_ent_rev_gas*Marine!CA_IOC_WI</f>
        <v>0</v>
      </c>
      <c r="BB380" s="49">
        <f ca="1">Marine!CA_ent_rev_gas*Marine!CA_IOC_WI</f>
        <v>0</v>
      </c>
      <c r="BC380" s="49">
        <f ca="1">Marine!CA_ent_rev_gas*Marine!CA_IOC_WI</f>
        <v>0</v>
      </c>
      <c r="BD380" s="49">
        <f ca="1">Marine!CA_ent_rev_gas*Marine!CA_IOC_WI</f>
        <v>0</v>
      </c>
      <c r="BE380" s="49">
        <f ca="1">Marine!CA_ent_rev_gas*Marine!CA_IOC_WI</f>
        <v>0</v>
      </c>
      <c r="BF380" s="49">
        <f ca="1">Marine!CA_ent_rev_gas*Marine!CA_IOC_WI</f>
        <v>0</v>
      </c>
      <c r="BG380" s="49">
        <f ca="1">Marine!CA_ent_rev_gas*Marine!CA_IOC_WI</f>
        <v>0</v>
      </c>
      <c r="BH380" s="49">
        <f ca="1">Marine!CA_ent_rev_gas*Marine!CA_IOC_WI</f>
        <v>0</v>
      </c>
      <c r="BI380" s="49">
        <f ca="1">Marine!CA_ent_rev_gas*Marine!CA_IOC_WI</f>
        <v>0</v>
      </c>
      <c r="BJ380" s="49">
        <f ca="1">Marine!CA_ent_rev_gas*Marine!CA_IOC_WI</f>
        <v>0</v>
      </c>
      <c r="BK380" s="49">
        <f ca="1">Marine!CA_ent_rev_gas*Marine!CA_IOC_WI</f>
        <v>0</v>
      </c>
      <c r="BL380" s="49">
        <f ca="1">Marine!CA_ent_rev_gas*Marine!CA_IOC_WI</f>
        <v>0</v>
      </c>
      <c r="BM380" s="49">
        <f ca="1">Marine!CA_ent_rev_gas*Marine!CA_IOC_WI</f>
        <v>0</v>
      </c>
      <c r="BN380" s="49">
        <f ca="1">Marine!CA_ent_rev_gas*Marine!CA_IOC_WI</f>
        <v>0</v>
      </c>
      <c r="BO380" s="49">
        <f ca="1">Marine!CA_ent_rev_gas*Marine!CA_IOC_WI</f>
        <v>0</v>
      </c>
      <c r="BP380" s="49">
        <f ca="1">Marine!CA_ent_rev_gas*Marine!CA_IOC_WI</f>
        <v>0</v>
      </c>
      <c r="BQ380" s="49">
        <f ca="1">Marine!CA_ent_rev_gas*Marine!CA_IOC_WI</f>
        <v>0</v>
      </c>
      <c r="BR380" s="49">
        <f ca="1">Marine!CA_ent_rev_gas*Marine!CA_IOC_WI</f>
        <v>0</v>
      </c>
      <c r="BS380" s="49">
        <f ca="1">Marine!CA_ent_rev_gas*Marine!CA_IOC_WI</f>
        <v>0</v>
      </c>
    </row>
    <row r="381" spans="3:71" outlineLevel="1" x14ac:dyDescent="0.2">
      <c r="D381" t="s">
        <v>339</v>
      </c>
      <c r="I381" s="30">
        <f t="shared" ca="1" si="149"/>
        <v>71.353719977477795</v>
      </c>
      <c r="J381" s="26" t="s">
        <v>148</v>
      </c>
      <c r="L381" s="49">
        <f ca="1">Marine!CA_ent_rev_gas*Marine!CA_NOC_WI</f>
        <v>0</v>
      </c>
      <c r="M381" s="49">
        <f ca="1">Marine!CA_ent_rev_gas*Marine!CA_NOC_WI</f>
        <v>0.7481911269091297</v>
      </c>
      <c r="N381" s="49">
        <f ca="1">Marine!CA_ent_rev_gas*Marine!CA_NOC_WI</f>
        <v>4.1139771452553546</v>
      </c>
      <c r="O381" s="49">
        <f ca="1">Marine!CA_ent_rev_gas*Marine!CA_NOC_WI</f>
        <v>6.4601144148057106</v>
      </c>
      <c r="P381" s="49">
        <f ca="1">Marine!CA_ent_rev_gas*Marine!CA_NOC_WI</f>
        <v>5.7199030906649222</v>
      </c>
      <c r="Q381" s="49">
        <f ca="1">Marine!CA_ent_rev_gas*Marine!CA_NOC_WI</f>
        <v>6.0878656108562481</v>
      </c>
      <c r="R381" s="49">
        <f ca="1">Marine!CA_ent_rev_gas*Marine!CA_NOC_WI</f>
        <v>5.9278338487293083E-6</v>
      </c>
      <c r="S381" s="49">
        <f ca="1">Marine!CA_ent_rev_gas*Marine!CA_NOC_WI</f>
        <v>8.2122018726543526</v>
      </c>
      <c r="T381" s="49">
        <f ca="1">Marine!CA_ent_rev_gas*Marine!CA_NOC_WI</f>
        <v>8.0310644814512759</v>
      </c>
      <c r="U381" s="49">
        <f ca="1">Marine!CA_ent_rev_gas*Marine!CA_NOC_WI</f>
        <v>8.0277876809547344</v>
      </c>
      <c r="V381" s="49">
        <f ca="1">Marine!CA_ent_rev_gas*Marine!CA_NOC_WI</f>
        <v>8.0449015490236757</v>
      </c>
      <c r="W381" s="49">
        <f ca="1">Marine!CA_ent_rev_gas*Marine!CA_NOC_WI</f>
        <v>7.9450240113869404</v>
      </c>
      <c r="X381" s="49">
        <f ca="1">Marine!CA_ent_rev_gas*Marine!CA_NOC_WI</f>
        <v>7.9626830656815972</v>
      </c>
      <c r="Y381" s="49">
        <f ca="1">Marine!CA_ent_rev_gas*Marine!CA_NOC_WI</f>
        <v>0</v>
      </c>
      <c r="Z381" s="49">
        <f ca="1">Marine!CA_ent_rev_gas*Marine!CA_NOC_WI</f>
        <v>0</v>
      </c>
      <c r="AA381" s="49">
        <f ca="1">Marine!CA_ent_rev_gas*Marine!CA_NOC_WI</f>
        <v>0</v>
      </c>
      <c r="AB381" s="49">
        <f ca="1">Marine!CA_ent_rev_gas*Marine!CA_NOC_WI</f>
        <v>0</v>
      </c>
      <c r="AC381" s="49">
        <f ca="1">Marine!CA_ent_rev_gas*Marine!CA_NOC_WI</f>
        <v>0</v>
      </c>
      <c r="AD381" s="49">
        <f ca="1">Marine!CA_ent_rev_gas*Marine!CA_NOC_WI</f>
        <v>0</v>
      </c>
      <c r="AE381" s="49">
        <f ca="1">Marine!CA_ent_rev_gas*Marine!CA_NOC_WI</f>
        <v>0</v>
      </c>
      <c r="AF381" s="49">
        <f ca="1">Marine!CA_ent_rev_gas*Marine!CA_NOC_WI</f>
        <v>0</v>
      </c>
      <c r="AG381" s="49">
        <f ca="1">Marine!CA_ent_rev_gas*Marine!CA_NOC_WI</f>
        <v>0</v>
      </c>
      <c r="AH381" s="49">
        <f ca="1">Marine!CA_ent_rev_gas*Marine!CA_NOC_WI</f>
        <v>0</v>
      </c>
      <c r="AI381" s="49">
        <f ca="1">Marine!CA_ent_rev_gas*Marine!CA_NOC_WI</f>
        <v>0</v>
      </c>
      <c r="AJ381" s="49">
        <f ca="1">Marine!CA_ent_rev_gas*Marine!CA_NOC_WI</f>
        <v>0</v>
      </c>
      <c r="AK381" s="49">
        <f ca="1">Marine!CA_ent_rev_gas*Marine!CA_NOC_WI</f>
        <v>0</v>
      </c>
      <c r="AL381" s="49">
        <f ca="1">Marine!CA_ent_rev_gas*Marine!CA_NOC_WI</f>
        <v>0</v>
      </c>
      <c r="AM381" s="49">
        <f ca="1">Marine!CA_ent_rev_gas*Marine!CA_NOC_WI</f>
        <v>0</v>
      </c>
      <c r="AN381" s="49">
        <f ca="1">Marine!CA_ent_rev_gas*Marine!CA_NOC_WI</f>
        <v>0</v>
      </c>
      <c r="AO381" s="49">
        <f ca="1">Marine!CA_ent_rev_gas*Marine!CA_NOC_WI</f>
        <v>0</v>
      </c>
      <c r="AP381" s="49">
        <f ca="1">Marine!CA_ent_rev_gas*Marine!CA_NOC_WI</f>
        <v>0</v>
      </c>
      <c r="AQ381" s="49">
        <f ca="1">Marine!CA_ent_rev_gas*Marine!CA_NOC_WI</f>
        <v>0</v>
      </c>
      <c r="AR381" s="49">
        <f ca="1">Marine!CA_ent_rev_gas*Marine!CA_NOC_WI</f>
        <v>0</v>
      </c>
      <c r="AS381" s="49">
        <f ca="1">Marine!CA_ent_rev_gas*Marine!CA_NOC_WI</f>
        <v>0</v>
      </c>
      <c r="AT381" s="49">
        <f ca="1">Marine!CA_ent_rev_gas*Marine!CA_NOC_WI</f>
        <v>0</v>
      </c>
      <c r="AU381" s="49">
        <f ca="1">Marine!CA_ent_rev_gas*Marine!CA_NOC_WI</f>
        <v>0</v>
      </c>
      <c r="AV381" s="49">
        <f ca="1">Marine!CA_ent_rev_gas*Marine!CA_NOC_WI</f>
        <v>0</v>
      </c>
      <c r="AW381" s="49">
        <f ca="1">Marine!CA_ent_rev_gas*Marine!CA_NOC_WI</f>
        <v>0</v>
      </c>
      <c r="AX381" s="49">
        <f ca="1">Marine!CA_ent_rev_gas*Marine!CA_NOC_WI</f>
        <v>0</v>
      </c>
      <c r="AY381" s="49">
        <f ca="1">Marine!CA_ent_rev_gas*Marine!CA_NOC_WI</f>
        <v>0</v>
      </c>
      <c r="AZ381" s="49">
        <f ca="1">Marine!CA_ent_rev_gas*Marine!CA_NOC_WI</f>
        <v>0</v>
      </c>
      <c r="BA381" s="49">
        <f ca="1">Marine!CA_ent_rev_gas*Marine!CA_NOC_WI</f>
        <v>0</v>
      </c>
      <c r="BB381" s="49">
        <f ca="1">Marine!CA_ent_rev_gas*Marine!CA_NOC_WI</f>
        <v>0</v>
      </c>
      <c r="BC381" s="49">
        <f ca="1">Marine!CA_ent_rev_gas*Marine!CA_NOC_WI</f>
        <v>0</v>
      </c>
      <c r="BD381" s="49">
        <f ca="1">Marine!CA_ent_rev_gas*Marine!CA_NOC_WI</f>
        <v>0</v>
      </c>
      <c r="BE381" s="49">
        <f ca="1">Marine!CA_ent_rev_gas*Marine!CA_NOC_WI</f>
        <v>0</v>
      </c>
      <c r="BF381" s="49">
        <f ca="1">Marine!CA_ent_rev_gas*Marine!CA_NOC_WI</f>
        <v>0</v>
      </c>
      <c r="BG381" s="49">
        <f ca="1">Marine!CA_ent_rev_gas*Marine!CA_NOC_WI</f>
        <v>0</v>
      </c>
      <c r="BH381" s="49">
        <f ca="1">Marine!CA_ent_rev_gas*Marine!CA_NOC_WI</f>
        <v>0</v>
      </c>
      <c r="BI381" s="49">
        <f ca="1">Marine!CA_ent_rev_gas*Marine!CA_NOC_WI</f>
        <v>0</v>
      </c>
      <c r="BJ381" s="49">
        <f ca="1">Marine!CA_ent_rev_gas*Marine!CA_NOC_WI</f>
        <v>0</v>
      </c>
      <c r="BK381" s="49">
        <f ca="1">Marine!CA_ent_rev_gas*Marine!CA_NOC_WI</f>
        <v>0</v>
      </c>
      <c r="BL381" s="49">
        <f ca="1">Marine!CA_ent_rev_gas*Marine!CA_NOC_WI</f>
        <v>0</v>
      </c>
      <c r="BM381" s="49">
        <f ca="1">Marine!CA_ent_rev_gas*Marine!CA_NOC_WI</f>
        <v>0</v>
      </c>
      <c r="BN381" s="49">
        <f ca="1">Marine!CA_ent_rev_gas*Marine!CA_NOC_WI</f>
        <v>0</v>
      </c>
      <c r="BO381" s="49">
        <f ca="1">Marine!CA_ent_rev_gas*Marine!CA_NOC_WI</f>
        <v>0</v>
      </c>
      <c r="BP381" s="49">
        <f ca="1">Marine!CA_ent_rev_gas*Marine!CA_NOC_WI</f>
        <v>0</v>
      </c>
      <c r="BQ381" s="49">
        <f ca="1">Marine!CA_ent_rev_gas*Marine!CA_NOC_WI</f>
        <v>0</v>
      </c>
      <c r="BR381" s="49">
        <f ca="1">Marine!CA_ent_rev_gas*Marine!CA_NOC_WI</f>
        <v>0</v>
      </c>
      <c r="BS381" s="49">
        <f ca="1">Marine!CA_ent_rev_gas*Marine!CA_NOC_WI</f>
        <v>0</v>
      </c>
    </row>
    <row r="382" spans="3:71" outlineLevel="1" x14ac:dyDescent="0.2">
      <c r="D382" s="11" t="s">
        <v>129</v>
      </c>
      <c r="I382" s="30">
        <f t="shared" ca="1" si="149"/>
        <v>713.53719977477795</v>
      </c>
      <c r="J382" s="26" t="s">
        <v>148</v>
      </c>
      <c r="L382" s="49">
        <f ca="1">SUM(L380:L381)</f>
        <v>0</v>
      </c>
      <c r="M382" s="49">
        <f t="shared" ref="M382:BS382" ca="1" si="150">SUM(M380:M381)</f>
        <v>7.4819112690912961</v>
      </c>
      <c r="N382" s="49">
        <f t="shared" ca="1" si="150"/>
        <v>41.139771452553546</v>
      </c>
      <c r="O382" s="49">
        <f t="shared" ca="1" si="150"/>
        <v>64.601144148057102</v>
      </c>
      <c r="P382" s="49">
        <f t="shared" ca="1" si="150"/>
        <v>57.19903090664922</v>
      </c>
      <c r="Q382" s="49">
        <f t="shared" ca="1" si="150"/>
        <v>60.878656108562474</v>
      </c>
      <c r="R382" s="49">
        <f t="shared" ca="1" si="150"/>
        <v>5.9278338487293076E-5</v>
      </c>
      <c r="S382" s="49">
        <f t="shared" ca="1" si="150"/>
        <v>82.122018726543516</v>
      </c>
      <c r="T382" s="49">
        <f t="shared" ca="1" si="150"/>
        <v>80.31064481451277</v>
      </c>
      <c r="U382" s="49">
        <f t="shared" ca="1" si="150"/>
        <v>80.277876809547337</v>
      </c>
      <c r="V382" s="49">
        <f t="shared" ca="1" si="150"/>
        <v>80.449015490236761</v>
      </c>
      <c r="W382" s="49">
        <f t="shared" ca="1" si="150"/>
        <v>79.450240113869398</v>
      </c>
      <c r="X382" s="49">
        <f t="shared" ca="1" si="150"/>
        <v>79.626830656815983</v>
      </c>
      <c r="Y382" s="49">
        <f t="shared" ca="1" si="150"/>
        <v>0</v>
      </c>
      <c r="Z382" s="49">
        <f t="shared" ca="1" si="150"/>
        <v>0</v>
      </c>
      <c r="AA382" s="49">
        <f t="shared" ca="1" si="150"/>
        <v>0</v>
      </c>
      <c r="AB382" s="49">
        <f t="shared" ca="1" si="150"/>
        <v>0</v>
      </c>
      <c r="AC382" s="49">
        <f t="shared" ca="1" si="150"/>
        <v>0</v>
      </c>
      <c r="AD382" s="49">
        <f t="shared" ca="1" si="150"/>
        <v>0</v>
      </c>
      <c r="AE382" s="49">
        <f t="shared" ca="1" si="150"/>
        <v>0</v>
      </c>
      <c r="AF382" s="49">
        <f t="shared" ca="1" si="150"/>
        <v>0</v>
      </c>
      <c r="AG382" s="49">
        <f t="shared" ca="1" si="150"/>
        <v>0</v>
      </c>
      <c r="AH382" s="49">
        <f t="shared" ca="1" si="150"/>
        <v>0</v>
      </c>
      <c r="AI382" s="49">
        <f t="shared" ca="1" si="150"/>
        <v>0</v>
      </c>
      <c r="AJ382" s="49">
        <f t="shared" ca="1" si="150"/>
        <v>0</v>
      </c>
      <c r="AK382" s="49">
        <f t="shared" ca="1" si="150"/>
        <v>0</v>
      </c>
      <c r="AL382" s="49">
        <f t="shared" ca="1" si="150"/>
        <v>0</v>
      </c>
      <c r="AM382" s="49">
        <f t="shared" ca="1" si="150"/>
        <v>0</v>
      </c>
      <c r="AN382" s="49">
        <f t="shared" ca="1" si="150"/>
        <v>0</v>
      </c>
      <c r="AO382" s="49">
        <f t="shared" ca="1" si="150"/>
        <v>0</v>
      </c>
      <c r="AP382" s="49">
        <f t="shared" ca="1" si="150"/>
        <v>0</v>
      </c>
      <c r="AQ382" s="49">
        <f t="shared" ca="1" si="150"/>
        <v>0</v>
      </c>
      <c r="AR382" s="49">
        <f t="shared" ca="1" si="150"/>
        <v>0</v>
      </c>
      <c r="AS382" s="49">
        <f t="shared" ca="1" si="150"/>
        <v>0</v>
      </c>
      <c r="AT382" s="49">
        <f t="shared" ca="1" si="150"/>
        <v>0</v>
      </c>
      <c r="AU382" s="49">
        <f t="shared" ca="1" si="150"/>
        <v>0</v>
      </c>
      <c r="AV382" s="49">
        <f t="shared" ca="1" si="150"/>
        <v>0</v>
      </c>
      <c r="AW382" s="49">
        <f t="shared" ca="1" si="150"/>
        <v>0</v>
      </c>
      <c r="AX382" s="49">
        <f t="shared" ca="1" si="150"/>
        <v>0</v>
      </c>
      <c r="AY382" s="49">
        <f t="shared" ca="1" si="150"/>
        <v>0</v>
      </c>
      <c r="AZ382" s="49">
        <f t="shared" ca="1" si="150"/>
        <v>0</v>
      </c>
      <c r="BA382" s="49">
        <f t="shared" ca="1" si="150"/>
        <v>0</v>
      </c>
      <c r="BB382" s="49">
        <f t="shared" ca="1" si="150"/>
        <v>0</v>
      </c>
      <c r="BC382" s="49">
        <f t="shared" ca="1" si="150"/>
        <v>0</v>
      </c>
      <c r="BD382" s="49">
        <f t="shared" ca="1" si="150"/>
        <v>0</v>
      </c>
      <c r="BE382" s="49">
        <f t="shared" ca="1" si="150"/>
        <v>0</v>
      </c>
      <c r="BF382" s="49">
        <f t="shared" ca="1" si="150"/>
        <v>0</v>
      </c>
      <c r="BG382" s="49">
        <f t="shared" ca="1" si="150"/>
        <v>0</v>
      </c>
      <c r="BH382" s="49">
        <f t="shared" ca="1" si="150"/>
        <v>0</v>
      </c>
      <c r="BI382" s="49">
        <f t="shared" ca="1" si="150"/>
        <v>0</v>
      </c>
      <c r="BJ382" s="49">
        <f t="shared" ca="1" si="150"/>
        <v>0</v>
      </c>
      <c r="BK382" s="49">
        <f t="shared" ca="1" si="150"/>
        <v>0</v>
      </c>
      <c r="BL382" s="49">
        <f t="shared" ca="1" si="150"/>
        <v>0</v>
      </c>
      <c r="BM382" s="49">
        <f t="shared" ca="1" si="150"/>
        <v>0</v>
      </c>
      <c r="BN382" s="49">
        <f t="shared" ca="1" si="150"/>
        <v>0</v>
      </c>
      <c r="BO382" s="49">
        <f t="shared" ca="1" si="150"/>
        <v>0</v>
      </c>
      <c r="BP382" s="49">
        <f t="shared" ca="1" si="150"/>
        <v>0</v>
      </c>
      <c r="BQ382" s="49">
        <f t="shared" ca="1" si="150"/>
        <v>0</v>
      </c>
      <c r="BR382" s="49">
        <f t="shared" ca="1" si="150"/>
        <v>0</v>
      </c>
      <c r="BS382" s="49">
        <f t="shared" ca="1" si="150"/>
        <v>0</v>
      </c>
    </row>
    <row r="383" spans="3:71" outlineLevel="1" x14ac:dyDescent="0.2">
      <c r="J383" s="26"/>
      <c r="L383" s="55"/>
      <c r="M383" s="55"/>
      <c r="N383" s="55"/>
      <c r="O383" s="55"/>
      <c r="P383" s="55"/>
      <c r="Q383" s="55"/>
      <c r="R383" s="55"/>
      <c r="S383" s="55"/>
      <c r="T383" s="55"/>
      <c r="U383" s="55"/>
      <c r="V383" s="55"/>
      <c r="W383" s="55"/>
      <c r="X383" s="55"/>
      <c r="Y383" s="55"/>
      <c r="Z383" s="55"/>
      <c r="AA383" s="55"/>
      <c r="AB383" s="55"/>
      <c r="AC383" s="55"/>
      <c r="AD383" s="55"/>
      <c r="AE383" s="55"/>
      <c r="AF383" s="55"/>
      <c r="AG383" s="55"/>
      <c r="AH383" s="55"/>
      <c r="AI383" s="55"/>
      <c r="AJ383" s="55"/>
      <c r="AK383" s="55"/>
      <c r="AL383" s="55"/>
      <c r="AM383" s="55"/>
      <c r="AN383" s="55"/>
      <c r="AO383" s="55"/>
      <c r="AP383" s="55"/>
      <c r="AQ383" s="55"/>
      <c r="AR383" s="55"/>
      <c r="AS383" s="55"/>
      <c r="AT383" s="55"/>
      <c r="AU383" s="55"/>
      <c r="AV383" s="55"/>
      <c r="AW383" s="55"/>
      <c r="AX383" s="55"/>
      <c r="AY383" s="55"/>
      <c r="AZ383" s="55"/>
      <c r="BA383" s="55"/>
      <c r="BB383" s="55"/>
      <c r="BC383" s="55"/>
      <c r="BD383" s="55"/>
      <c r="BE383" s="55"/>
      <c r="BF383" s="55"/>
      <c r="BG383" s="55"/>
      <c r="BH383" s="55"/>
      <c r="BI383" s="55"/>
      <c r="BJ383" s="55"/>
      <c r="BK383" s="55"/>
      <c r="BL383" s="55"/>
      <c r="BM383" s="55"/>
      <c r="BN383" s="55"/>
      <c r="BO383" s="55"/>
      <c r="BP383" s="55"/>
      <c r="BQ383" s="55"/>
      <c r="BR383" s="55"/>
      <c r="BS383" s="55"/>
    </row>
    <row r="384" spans="3:71" outlineLevel="1" x14ac:dyDescent="0.2">
      <c r="C384" s="11" t="s">
        <v>344</v>
      </c>
      <c r="J384" s="26"/>
      <c r="L384" s="55"/>
      <c r="M384" s="55"/>
      <c r="N384" s="55"/>
      <c r="O384" s="55"/>
      <c r="P384" s="55"/>
      <c r="Q384" s="55"/>
      <c r="R384" s="55"/>
      <c r="S384" s="55"/>
      <c r="T384" s="55"/>
      <c r="U384" s="55"/>
      <c r="V384" s="55"/>
      <c r="W384" s="55"/>
      <c r="X384" s="55"/>
      <c r="Y384" s="55"/>
      <c r="Z384" s="55"/>
      <c r="AA384" s="55"/>
      <c r="AB384" s="55"/>
      <c r="AC384" s="55"/>
      <c r="AD384" s="55"/>
      <c r="AE384" s="55"/>
      <c r="AF384" s="55"/>
      <c r="AG384" s="55"/>
      <c r="AH384" s="55"/>
      <c r="AI384" s="55"/>
      <c r="AJ384" s="55"/>
      <c r="AK384" s="55"/>
      <c r="AL384" s="55"/>
      <c r="AM384" s="55"/>
      <c r="AN384" s="55"/>
      <c r="AO384" s="55"/>
      <c r="AP384" s="55"/>
      <c r="AQ384" s="55"/>
      <c r="AR384" s="55"/>
      <c r="AS384" s="55"/>
      <c r="AT384" s="55"/>
      <c r="AU384" s="55"/>
      <c r="AV384" s="55"/>
      <c r="AW384" s="55"/>
      <c r="AX384" s="55"/>
      <c r="AY384" s="55"/>
      <c r="AZ384" s="55"/>
      <c r="BA384" s="55"/>
      <c r="BB384" s="55"/>
      <c r="BC384" s="55"/>
      <c r="BD384" s="55"/>
      <c r="BE384" s="55"/>
      <c r="BF384" s="55"/>
      <c r="BG384" s="55"/>
      <c r="BH384" s="55"/>
      <c r="BI384" s="55"/>
      <c r="BJ384" s="55"/>
      <c r="BK384" s="55"/>
      <c r="BL384" s="55"/>
      <c r="BM384" s="55"/>
      <c r="BN384" s="55"/>
      <c r="BO384" s="55"/>
      <c r="BP384" s="55"/>
      <c r="BQ384" s="55"/>
      <c r="BR384" s="55"/>
      <c r="BS384" s="55"/>
    </row>
    <row r="385" spans="1:71" outlineLevel="1" x14ac:dyDescent="0.2">
      <c r="D385" t="s">
        <v>116</v>
      </c>
      <c r="I385" s="30">
        <f t="shared" ref="I385:I387" ca="1" si="151">SUM($L385:$BS385)</f>
        <v>54.118569091000495</v>
      </c>
      <c r="J385" s="26" t="s">
        <v>88</v>
      </c>
      <c r="L385" s="49">
        <f ca="1">L366*Marine!CA_IOC_WI</f>
        <v>0</v>
      </c>
      <c r="M385" s="49">
        <f ca="1">M366*Marine!CA_IOC_WI</f>
        <v>1.8364295262731664E-3</v>
      </c>
      <c r="N385" s="49">
        <f ca="1">N366*Marine!CA_IOC_WI</f>
        <v>1.3241263508275527</v>
      </c>
      <c r="O385" s="49">
        <f ca="1">O366*Marine!CA_IOC_WI</f>
        <v>2.3584181542011238</v>
      </c>
      <c r="P385" s="49">
        <f ca="1">P366*Marine!CA_IOC_WI</f>
        <v>4.2304011896577336</v>
      </c>
      <c r="Q385" s="49">
        <f ca="1">Q366*Marine!CA_IOC_WI</f>
        <v>7.0078237508939827</v>
      </c>
      <c r="R385" s="49">
        <f ca="1">R366*Marine!CA_IOC_WI</f>
        <v>6.8580016351729203</v>
      </c>
      <c r="S385" s="49">
        <f ca="1">S366*Marine!CA_IOC_WI</f>
        <v>6.5332443569604868</v>
      </c>
      <c r="T385" s="49">
        <f ca="1">T366*Marine!CA_IOC_WI</f>
        <v>5.9504914738771237</v>
      </c>
      <c r="U385" s="49">
        <f ca="1">U366*Marine!CA_IOC_WI</f>
        <v>5.5343002511701203</v>
      </c>
      <c r="V385" s="49">
        <f ca="1">V366*Marine!CA_IOC_WI</f>
        <v>5.160057769200507</v>
      </c>
      <c r="W385" s="49">
        <f ca="1">W366*Marine!CA_IOC_WI</f>
        <v>4.7396656574269178</v>
      </c>
      <c r="X385" s="49">
        <f ca="1">X366*Marine!CA_IOC_WI</f>
        <v>4.4202020720857531</v>
      </c>
      <c r="Y385" s="49">
        <f ca="1">Y366*Marine!CA_IOC_WI</f>
        <v>0</v>
      </c>
      <c r="Z385" s="49">
        <f ca="1">Z366*Marine!CA_IOC_WI</f>
        <v>0</v>
      </c>
      <c r="AA385" s="49">
        <f ca="1">AA366*Marine!CA_IOC_WI</f>
        <v>0</v>
      </c>
      <c r="AB385" s="49">
        <f ca="1">AB366*Marine!CA_IOC_WI</f>
        <v>0</v>
      </c>
      <c r="AC385" s="49">
        <f ca="1">AC366*Marine!CA_IOC_WI</f>
        <v>0</v>
      </c>
      <c r="AD385" s="49">
        <f ca="1">AD366*Marine!CA_IOC_WI</f>
        <v>0</v>
      </c>
      <c r="AE385" s="49">
        <f ca="1">AE366*Marine!CA_IOC_WI</f>
        <v>0</v>
      </c>
      <c r="AF385" s="49">
        <f ca="1">AF366*Marine!CA_IOC_WI</f>
        <v>0</v>
      </c>
      <c r="AG385" s="49">
        <f ca="1">AG366*Marine!CA_IOC_WI</f>
        <v>0</v>
      </c>
      <c r="AH385" s="49">
        <f ca="1">AH366*Marine!CA_IOC_WI</f>
        <v>0</v>
      </c>
      <c r="AI385" s="49">
        <f ca="1">AI366*Marine!CA_IOC_WI</f>
        <v>0</v>
      </c>
      <c r="AJ385" s="49">
        <f ca="1">AJ366*Marine!CA_IOC_WI</f>
        <v>0</v>
      </c>
      <c r="AK385" s="49">
        <f ca="1">AK366*Marine!CA_IOC_WI</f>
        <v>0</v>
      </c>
      <c r="AL385" s="49">
        <f ca="1">AL366*Marine!CA_IOC_WI</f>
        <v>0</v>
      </c>
      <c r="AM385" s="49">
        <f ca="1">AM366*Marine!CA_IOC_WI</f>
        <v>0</v>
      </c>
      <c r="AN385" s="49">
        <f ca="1">AN366*Marine!CA_IOC_WI</f>
        <v>0</v>
      </c>
      <c r="AO385" s="49">
        <f ca="1">AO366*Marine!CA_IOC_WI</f>
        <v>0</v>
      </c>
      <c r="AP385" s="49">
        <f ca="1">AP366*Marine!CA_IOC_WI</f>
        <v>0</v>
      </c>
      <c r="AQ385" s="49">
        <f ca="1">AQ366*Marine!CA_IOC_WI</f>
        <v>0</v>
      </c>
      <c r="AR385" s="49">
        <f ca="1">AR366*Marine!CA_IOC_WI</f>
        <v>0</v>
      </c>
      <c r="AS385" s="49">
        <f ca="1">AS366*Marine!CA_IOC_WI</f>
        <v>0</v>
      </c>
      <c r="AT385" s="49">
        <f ca="1">AT366*Marine!CA_IOC_WI</f>
        <v>0</v>
      </c>
      <c r="AU385" s="49">
        <f ca="1">AU366*Marine!CA_IOC_WI</f>
        <v>0</v>
      </c>
      <c r="AV385" s="49">
        <f ca="1">AV366*Marine!CA_IOC_WI</f>
        <v>0</v>
      </c>
      <c r="AW385" s="49">
        <f ca="1">AW366*Marine!CA_IOC_WI</f>
        <v>0</v>
      </c>
      <c r="AX385" s="49">
        <f ca="1">AX366*Marine!CA_IOC_WI</f>
        <v>0</v>
      </c>
      <c r="AY385" s="49">
        <f ca="1">AY366*Marine!CA_IOC_WI</f>
        <v>0</v>
      </c>
      <c r="AZ385" s="49">
        <f ca="1">AZ366*Marine!CA_IOC_WI</f>
        <v>0</v>
      </c>
      <c r="BA385" s="49">
        <f ca="1">BA366*Marine!CA_IOC_WI</f>
        <v>0</v>
      </c>
      <c r="BB385" s="49">
        <f ca="1">BB366*Marine!CA_IOC_WI</f>
        <v>0</v>
      </c>
      <c r="BC385" s="49">
        <f ca="1">BC366*Marine!CA_IOC_WI</f>
        <v>0</v>
      </c>
      <c r="BD385" s="49">
        <f ca="1">BD366*Marine!CA_IOC_WI</f>
        <v>0</v>
      </c>
      <c r="BE385" s="49">
        <f ca="1">BE366*Marine!CA_IOC_WI</f>
        <v>0</v>
      </c>
      <c r="BF385" s="49">
        <f ca="1">BF366*Marine!CA_IOC_WI</f>
        <v>0</v>
      </c>
      <c r="BG385" s="49">
        <f ca="1">BG366*Marine!CA_IOC_WI</f>
        <v>0</v>
      </c>
      <c r="BH385" s="49">
        <f ca="1">BH366*Marine!CA_IOC_WI</f>
        <v>0</v>
      </c>
      <c r="BI385" s="49">
        <f ca="1">BI366*Marine!CA_IOC_WI</f>
        <v>0</v>
      </c>
      <c r="BJ385" s="49">
        <f ca="1">BJ366*Marine!CA_IOC_WI</f>
        <v>0</v>
      </c>
      <c r="BK385" s="49">
        <f ca="1">BK366*Marine!CA_IOC_WI</f>
        <v>0</v>
      </c>
      <c r="BL385" s="49">
        <f ca="1">BL366*Marine!CA_IOC_WI</f>
        <v>0</v>
      </c>
      <c r="BM385" s="49">
        <f ca="1">BM366*Marine!CA_IOC_WI</f>
        <v>0</v>
      </c>
      <c r="BN385" s="49">
        <f ca="1">BN366*Marine!CA_IOC_WI</f>
        <v>0</v>
      </c>
      <c r="BO385" s="49">
        <f ca="1">BO366*Marine!CA_IOC_WI</f>
        <v>0</v>
      </c>
      <c r="BP385" s="49">
        <f ca="1">BP366*Marine!CA_IOC_WI</f>
        <v>0</v>
      </c>
      <c r="BQ385" s="49">
        <f ca="1">BQ366*Marine!CA_IOC_WI</f>
        <v>0</v>
      </c>
      <c r="BR385" s="49">
        <f ca="1">BR366*Marine!CA_IOC_WI</f>
        <v>0</v>
      </c>
      <c r="BS385" s="49">
        <f ca="1">BS366*Marine!CA_IOC_WI</f>
        <v>0</v>
      </c>
    </row>
    <row r="386" spans="1:71" outlineLevel="1" x14ac:dyDescent="0.2">
      <c r="D386" t="s">
        <v>339</v>
      </c>
      <c r="I386" s="30">
        <f t="shared" ca="1" si="151"/>
        <v>6.0131743434444997</v>
      </c>
      <c r="J386" s="26" t="s">
        <v>88</v>
      </c>
      <c r="L386" s="49">
        <f ca="1">L366*Marine!CA_NOC_WI</f>
        <v>0</v>
      </c>
      <c r="M386" s="49">
        <f ca="1">M366*Marine!CA_NOC_WI</f>
        <v>2.0404772514146294E-4</v>
      </c>
      <c r="N386" s="49">
        <f ca="1">N366*Marine!CA_NOC_WI</f>
        <v>0.14712515009195029</v>
      </c>
      <c r="O386" s="49">
        <f ca="1">O366*Marine!CA_NOC_WI</f>
        <v>0.26204646157790262</v>
      </c>
      <c r="P386" s="49">
        <f ca="1">P366*Marine!CA_NOC_WI</f>
        <v>0.47004457662863708</v>
      </c>
      <c r="Q386" s="49">
        <f ca="1">Q366*Marine!CA_NOC_WI</f>
        <v>0.77864708343266475</v>
      </c>
      <c r="R386" s="49">
        <f ca="1">R366*Marine!CA_NOC_WI</f>
        <v>0.76200018168588013</v>
      </c>
      <c r="S386" s="49">
        <f ca="1">S366*Marine!CA_NOC_WI</f>
        <v>0.72591603966227636</v>
      </c>
      <c r="T386" s="49">
        <f ca="1">T366*Marine!CA_NOC_WI</f>
        <v>0.66116571931968049</v>
      </c>
      <c r="U386" s="49">
        <f ca="1">U366*Marine!CA_NOC_WI</f>
        <v>0.61492225013001345</v>
      </c>
      <c r="V386" s="49">
        <f ca="1">V366*Marine!CA_NOC_WI</f>
        <v>0.57333975213338961</v>
      </c>
      <c r="W386" s="49">
        <f ca="1">W366*Marine!CA_NOC_WI</f>
        <v>0.5266295174918797</v>
      </c>
      <c r="X386" s="49">
        <f ca="1">X366*Marine!CA_NOC_WI</f>
        <v>0.49113356356508375</v>
      </c>
      <c r="Y386" s="49">
        <f ca="1">Y366*Marine!CA_NOC_WI</f>
        <v>0</v>
      </c>
      <c r="Z386" s="49">
        <f ca="1">Z366*Marine!CA_NOC_WI</f>
        <v>0</v>
      </c>
      <c r="AA386" s="49">
        <f ca="1">AA366*Marine!CA_NOC_WI</f>
        <v>0</v>
      </c>
      <c r="AB386" s="49">
        <f ca="1">AB366*Marine!CA_NOC_WI</f>
        <v>0</v>
      </c>
      <c r="AC386" s="49">
        <f ca="1">AC366*Marine!CA_NOC_WI</f>
        <v>0</v>
      </c>
      <c r="AD386" s="49">
        <f ca="1">AD366*Marine!CA_NOC_WI</f>
        <v>0</v>
      </c>
      <c r="AE386" s="49">
        <f ca="1">AE366*Marine!CA_NOC_WI</f>
        <v>0</v>
      </c>
      <c r="AF386" s="49">
        <f ca="1">AF366*Marine!CA_NOC_WI</f>
        <v>0</v>
      </c>
      <c r="AG386" s="49">
        <f ca="1">AG366*Marine!CA_NOC_WI</f>
        <v>0</v>
      </c>
      <c r="AH386" s="49">
        <f ca="1">AH366*Marine!CA_NOC_WI</f>
        <v>0</v>
      </c>
      <c r="AI386" s="49">
        <f ca="1">AI366*Marine!CA_NOC_WI</f>
        <v>0</v>
      </c>
      <c r="AJ386" s="49">
        <f ca="1">AJ366*Marine!CA_NOC_WI</f>
        <v>0</v>
      </c>
      <c r="AK386" s="49">
        <f ca="1">AK366*Marine!CA_NOC_WI</f>
        <v>0</v>
      </c>
      <c r="AL386" s="49">
        <f ca="1">AL366*Marine!CA_NOC_WI</f>
        <v>0</v>
      </c>
      <c r="AM386" s="49">
        <f ca="1">AM366*Marine!CA_NOC_WI</f>
        <v>0</v>
      </c>
      <c r="AN386" s="49">
        <f ca="1">AN366*Marine!CA_NOC_WI</f>
        <v>0</v>
      </c>
      <c r="AO386" s="49">
        <f ca="1">AO366*Marine!CA_NOC_WI</f>
        <v>0</v>
      </c>
      <c r="AP386" s="49">
        <f ca="1">AP366*Marine!CA_NOC_WI</f>
        <v>0</v>
      </c>
      <c r="AQ386" s="49">
        <f ca="1">AQ366*Marine!CA_NOC_WI</f>
        <v>0</v>
      </c>
      <c r="AR386" s="49">
        <f ca="1">AR366*Marine!CA_NOC_WI</f>
        <v>0</v>
      </c>
      <c r="AS386" s="49">
        <f ca="1">AS366*Marine!CA_NOC_WI</f>
        <v>0</v>
      </c>
      <c r="AT386" s="49">
        <f ca="1">AT366*Marine!CA_NOC_WI</f>
        <v>0</v>
      </c>
      <c r="AU386" s="49">
        <f ca="1">AU366*Marine!CA_NOC_WI</f>
        <v>0</v>
      </c>
      <c r="AV386" s="49">
        <f ca="1">AV366*Marine!CA_NOC_WI</f>
        <v>0</v>
      </c>
      <c r="AW386" s="49">
        <f ca="1">AW366*Marine!CA_NOC_WI</f>
        <v>0</v>
      </c>
      <c r="AX386" s="49">
        <f ca="1">AX366*Marine!CA_NOC_WI</f>
        <v>0</v>
      </c>
      <c r="AY386" s="49">
        <f ca="1">AY366*Marine!CA_NOC_WI</f>
        <v>0</v>
      </c>
      <c r="AZ386" s="49">
        <f ca="1">AZ366*Marine!CA_NOC_WI</f>
        <v>0</v>
      </c>
      <c r="BA386" s="49">
        <f ca="1">BA366*Marine!CA_NOC_WI</f>
        <v>0</v>
      </c>
      <c r="BB386" s="49">
        <f ca="1">BB366*Marine!CA_NOC_WI</f>
        <v>0</v>
      </c>
      <c r="BC386" s="49">
        <f ca="1">BC366*Marine!CA_NOC_WI</f>
        <v>0</v>
      </c>
      <c r="BD386" s="49">
        <f ca="1">BD366*Marine!CA_NOC_WI</f>
        <v>0</v>
      </c>
      <c r="BE386" s="49">
        <f ca="1">BE366*Marine!CA_NOC_WI</f>
        <v>0</v>
      </c>
      <c r="BF386" s="49">
        <f ca="1">BF366*Marine!CA_NOC_WI</f>
        <v>0</v>
      </c>
      <c r="BG386" s="49">
        <f ca="1">BG366*Marine!CA_NOC_WI</f>
        <v>0</v>
      </c>
      <c r="BH386" s="49">
        <f ca="1">BH366*Marine!CA_NOC_WI</f>
        <v>0</v>
      </c>
      <c r="BI386" s="49">
        <f ca="1">BI366*Marine!CA_NOC_WI</f>
        <v>0</v>
      </c>
      <c r="BJ386" s="49">
        <f ca="1">BJ366*Marine!CA_NOC_WI</f>
        <v>0</v>
      </c>
      <c r="BK386" s="49">
        <f ca="1">BK366*Marine!CA_NOC_WI</f>
        <v>0</v>
      </c>
      <c r="BL386" s="49">
        <f ca="1">BL366*Marine!CA_NOC_WI</f>
        <v>0</v>
      </c>
      <c r="BM386" s="49">
        <f ca="1">BM366*Marine!CA_NOC_WI</f>
        <v>0</v>
      </c>
      <c r="BN386" s="49">
        <f ca="1">BN366*Marine!CA_NOC_WI</f>
        <v>0</v>
      </c>
      <c r="BO386" s="49">
        <f ca="1">BO366*Marine!CA_NOC_WI</f>
        <v>0</v>
      </c>
      <c r="BP386" s="49">
        <f ca="1">BP366*Marine!CA_NOC_WI</f>
        <v>0</v>
      </c>
      <c r="BQ386" s="49">
        <f ca="1">BQ366*Marine!CA_NOC_WI</f>
        <v>0</v>
      </c>
      <c r="BR386" s="49">
        <f ca="1">BR366*Marine!CA_NOC_WI</f>
        <v>0</v>
      </c>
      <c r="BS386" s="49">
        <f ca="1">BS366*Marine!CA_NOC_WI</f>
        <v>0</v>
      </c>
    </row>
    <row r="387" spans="1:71" outlineLevel="1" x14ac:dyDescent="0.2">
      <c r="D387" s="11" t="s">
        <v>129</v>
      </c>
      <c r="I387" s="30">
        <f t="shared" ca="1" si="151"/>
        <v>60.131743434444992</v>
      </c>
      <c r="J387" s="26" t="s">
        <v>88</v>
      </c>
      <c r="L387" s="49">
        <f ca="1">SUM(L385:L386)</f>
        <v>0</v>
      </c>
      <c r="M387" s="49">
        <f t="shared" ref="M387:BS387" ca="1" si="152">SUM(M385:M386)</f>
        <v>2.0404772514146293E-3</v>
      </c>
      <c r="N387" s="49">
        <f t="shared" ca="1" si="152"/>
        <v>1.4712515009195031</v>
      </c>
      <c r="O387" s="49">
        <f t="shared" ca="1" si="152"/>
        <v>2.6204646157790266</v>
      </c>
      <c r="P387" s="49">
        <f t="shared" ca="1" si="152"/>
        <v>4.7004457662863706</v>
      </c>
      <c r="Q387" s="49">
        <f t="shared" ca="1" si="152"/>
        <v>7.7864708343266473</v>
      </c>
      <c r="R387" s="49">
        <f t="shared" ca="1" si="152"/>
        <v>7.6200018168588004</v>
      </c>
      <c r="S387" s="49">
        <f t="shared" ca="1" si="152"/>
        <v>7.2591603966227627</v>
      </c>
      <c r="T387" s="49">
        <f t="shared" ca="1" si="152"/>
        <v>6.6116571931968044</v>
      </c>
      <c r="U387" s="49">
        <f t="shared" ca="1" si="152"/>
        <v>6.1492225013001338</v>
      </c>
      <c r="V387" s="49">
        <f t="shared" ca="1" si="152"/>
        <v>5.733397521333897</v>
      </c>
      <c r="W387" s="49">
        <f t="shared" ca="1" si="152"/>
        <v>5.2662951749187972</v>
      </c>
      <c r="X387" s="49">
        <f t="shared" ca="1" si="152"/>
        <v>4.9113356356508371</v>
      </c>
      <c r="Y387" s="49">
        <f t="shared" ca="1" si="152"/>
        <v>0</v>
      </c>
      <c r="Z387" s="49">
        <f t="shared" ca="1" si="152"/>
        <v>0</v>
      </c>
      <c r="AA387" s="49">
        <f t="shared" ca="1" si="152"/>
        <v>0</v>
      </c>
      <c r="AB387" s="49">
        <f t="shared" ca="1" si="152"/>
        <v>0</v>
      </c>
      <c r="AC387" s="49">
        <f t="shared" ca="1" si="152"/>
        <v>0</v>
      </c>
      <c r="AD387" s="49">
        <f t="shared" ca="1" si="152"/>
        <v>0</v>
      </c>
      <c r="AE387" s="49">
        <f t="shared" ca="1" si="152"/>
        <v>0</v>
      </c>
      <c r="AF387" s="49">
        <f t="shared" ca="1" si="152"/>
        <v>0</v>
      </c>
      <c r="AG387" s="49">
        <f t="shared" ca="1" si="152"/>
        <v>0</v>
      </c>
      <c r="AH387" s="49">
        <f t="shared" ca="1" si="152"/>
        <v>0</v>
      </c>
      <c r="AI387" s="49">
        <f t="shared" ca="1" si="152"/>
        <v>0</v>
      </c>
      <c r="AJ387" s="49">
        <f t="shared" ca="1" si="152"/>
        <v>0</v>
      </c>
      <c r="AK387" s="49">
        <f t="shared" ca="1" si="152"/>
        <v>0</v>
      </c>
      <c r="AL387" s="49">
        <f t="shared" ca="1" si="152"/>
        <v>0</v>
      </c>
      <c r="AM387" s="49">
        <f t="shared" ca="1" si="152"/>
        <v>0</v>
      </c>
      <c r="AN387" s="49">
        <f t="shared" ca="1" si="152"/>
        <v>0</v>
      </c>
      <c r="AO387" s="49">
        <f t="shared" ca="1" si="152"/>
        <v>0</v>
      </c>
      <c r="AP387" s="49">
        <f t="shared" ca="1" si="152"/>
        <v>0</v>
      </c>
      <c r="AQ387" s="49">
        <f t="shared" ca="1" si="152"/>
        <v>0</v>
      </c>
      <c r="AR387" s="49">
        <f t="shared" ca="1" si="152"/>
        <v>0</v>
      </c>
      <c r="AS387" s="49">
        <f t="shared" ca="1" si="152"/>
        <v>0</v>
      </c>
      <c r="AT387" s="49">
        <f t="shared" ca="1" si="152"/>
        <v>0</v>
      </c>
      <c r="AU387" s="49">
        <f t="shared" ca="1" si="152"/>
        <v>0</v>
      </c>
      <c r="AV387" s="49">
        <f t="shared" ca="1" si="152"/>
        <v>0</v>
      </c>
      <c r="AW387" s="49">
        <f t="shared" ca="1" si="152"/>
        <v>0</v>
      </c>
      <c r="AX387" s="49">
        <f t="shared" ca="1" si="152"/>
        <v>0</v>
      </c>
      <c r="AY387" s="49">
        <f t="shared" ca="1" si="152"/>
        <v>0</v>
      </c>
      <c r="AZ387" s="49">
        <f t="shared" ca="1" si="152"/>
        <v>0</v>
      </c>
      <c r="BA387" s="49">
        <f t="shared" ca="1" si="152"/>
        <v>0</v>
      </c>
      <c r="BB387" s="49">
        <f t="shared" ca="1" si="152"/>
        <v>0</v>
      </c>
      <c r="BC387" s="49">
        <f t="shared" ca="1" si="152"/>
        <v>0</v>
      </c>
      <c r="BD387" s="49">
        <f t="shared" ca="1" si="152"/>
        <v>0</v>
      </c>
      <c r="BE387" s="49">
        <f t="shared" ca="1" si="152"/>
        <v>0</v>
      </c>
      <c r="BF387" s="49">
        <f t="shared" ca="1" si="152"/>
        <v>0</v>
      </c>
      <c r="BG387" s="49">
        <f t="shared" ca="1" si="152"/>
        <v>0</v>
      </c>
      <c r="BH387" s="49">
        <f t="shared" ca="1" si="152"/>
        <v>0</v>
      </c>
      <c r="BI387" s="49">
        <f t="shared" ca="1" si="152"/>
        <v>0</v>
      </c>
      <c r="BJ387" s="49">
        <f t="shared" ca="1" si="152"/>
        <v>0</v>
      </c>
      <c r="BK387" s="49">
        <f t="shared" ca="1" si="152"/>
        <v>0</v>
      </c>
      <c r="BL387" s="49">
        <f t="shared" ca="1" si="152"/>
        <v>0</v>
      </c>
      <c r="BM387" s="49">
        <f t="shared" ca="1" si="152"/>
        <v>0</v>
      </c>
      <c r="BN387" s="49">
        <f t="shared" ca="1" si="152"/>
        <v>0</v>
      </c>
      <c r="BO387" s="49">
        <f t="shared" ca="1" si="152"/>
        <v>0</v>
      </c>
      <c r="BP387" s="49">
        <f t="shared" ca="1" si="152"/>
        <v>0</v>
      </c>
      <c r="BQ387" s="49">
        <f t="shared" ca="1" si="152"/>
        <v>0</v>
      </c>
      <c r="BR387" s="49">
        <f t="shared" ca="1" si="152"/>
        <v>0</v>
      </c>
      <c r="BS387" s="49">
        <f t="shared" ca="1" si="152"/>
        <v>0</v>
      </c>
    </row>
    <row r="388" spans="1:71" outlineLevel="1" x14ac:dyDescent="0.2">
      <c r="J388" s="26"/>
      <c r="L388" s="55"/>
      <c r="M388" s="55"/>
      <c r="N388" s="55"/>
      <c r="O388" s="55"/>
      <c r="P388" s="55"/>
      <c r="Q388" s="55"/>
      <c r="R388" s="55"/>
      <c r="S388" s="55"/>
      <c r="T388" s="55"/>
      <c r="U388" s="55"/>
      <c r="V388" s="55"/>
      <c r="W388" s="55"/>
      <c r="X388" s="55"/>
      <c r="Y388" s="55"/>
      <c r="Z388" s="55"/>
      <c r="AA388" s="55"/>
      <c r="AB388" s="55"/>
      <c r="AC388" s="55"/>
      <c r="AD388" s="55"/>
      <c r="AE388" s="55"/>
      <c r="AF388" s="55"/>
      <c r="AG388" s="55"/>
      <c r="AH388" s="55"/>
      <c r="AI388" s="55"/>
      <c r="AJ388" s="55"/>
      <c r="AK388" s="55"/>
      <c r="AL388" s="55"/>
      <c r="AM388" s="55"/>
      <c r="AN388" s="55"/>
      <c r="AO388" s="55"/>
      <c r="AP388" s="55"/>
      <c r="AQ388" s="55"/>
      <c r="AR388" s="55"/>
      <c r="AS388" s="55"/>
      <c r="AT388" s="55"/>
      <c r="AU388" s="55"/>
      <c r="AV388" s="55"/>
      <c r="AW388" s="55"/>
      <c r="AX388" s="55"/>
      <c r="AY388" s="55"/>
      <c r="AZ388" s="55"/>
      <c r="BA388" s="55"/>
      <c r="BB388" s="55"/>
      <c r="BC388" s="55"/>
      <c r="BD388" s="55"/>
      <c r="BE388" s="55"/>
      <c r="BF388" s="55"/>
      <c r="BG388" s="55"/>
      <c r="BH388" s="55"/>
      <c r="BI388" s="55"/>
      <c r="BJ388" s="55"/>
      <c r="BK388" s="55"/>
      <c r="BL388" s="55"/>
      <c r="BM388" s="55"/>
      <c r="BN388" s="55"/>
      <c r="BO388" s="55"/>
      <c r="BP388" s="55"/>
      <c r="BQ388" s="55"/>
      <c r="BR388" s="55"/>
      <c r="BS388" s="55"/>
    </row>
    <row r="389" spans="1:71" outlineLevel="1" x14ac:dyDescent="0.2">
      <c r="C389" s="11" t="s">
        <v>345</v>
      </c>
      <c r="J389" s="26"/>
      <c r="L389" s="55"/>
      <c r="M389" s="55"/>
      <c r="N389" s="55"/>
      <c r="O389" s="55"/>
      <c r="P389" s="55"/>
      <c r="Q389" s="55"/>
      <c r="R389" s="55"/>
      <c r="S389" s="55"/>
      <c r="T389" s="55"/>
      <c r="U389" s="55"/>
      <c r="V389" s="55"/>
      <c r="W389" s="55"/>
      <c r="X389" s="55"/>
      <c r="Y389" s="55"/>
      <c r="Z389" s="55"/>
      <c r="AA389" s="55"/>
      <c r="AB389" s="55"/>
      <c r="AC389" s="55"/>
      <c r="AD389" s="55"/>
      <c r="AE389" s="55"/>
      <c r="AF389" s="55"/>
      <c r="AG389" s="55"/>
      <c r="AH389" s="55"/>
      <c r="AI389" s="55"/>
      <c r="AJ389" s="55"/>
      <c r="AK389" s="55"/>
      <c r="AL389" s="55"/>
      <c r="AM389" s="55"/>
      <c r="AN389" s="55"/>
      <c r="AO389" s="55"/>
      <c r="AP389" s="55"/>
      <c r="AQ389" s="55"/>
      <c r="AR389" s="55"/>
      <c r="AS389" s="55"/>
      <c r="AT389" s="55"/>
      <c r="AU389" s="55"/>
      <c r="AV389" s="55"/>
      <c r="AW389" s="55"/>
      <c r="AX389" s="55"/>
      <c r="AY389" s="55"/>
      <c r="AZ389" s="55"/>
      <c r="BA389" s="55"/>
      <c r="BB389" s="55"/>
      <c r="BC389" s="55"/>
      <c r="BD389" s="55"/>
      <c r="BE389" s="55"/>
      <c r="BF389" s="55"/>
      <c r="BG389" s="55"/>
      <c r="BH389" s="55"/>
      <c r="BI389" s="55"/>
      <c r="BJ389" s="55"/>
      <c r="BK389" s="55"/>
      <c r="BL389" s="55"/>
      <c r="BM389" s="55"/>
      <c r="BN389" s="55"/>
      <c r="BO389" s="55"/>
      <c r="BP389" s="55"/>
      <c r="BQ389" s="55"/>
      <c r="BR389" s="55"/>
      <c r="BS389" s="55"/>
    </row>
    <row r="390" spans="1:71" outlineLevel="1" x14ac:dyDescent="0.2">
      <c r="D390" t="s">
        <v>116</v>
      </c>
      <c r="I390" s="30">
        <f t="shared" ref="I390:I392" ca="1" si="153">SUM($L390:$BS390)</f>
        <v>5.3260891677999025</v>
      </c>
      <c r="J390" s="26" t="s">
        <v>148</v>
      </c>
      <c r="L390" s="49">
        <f ca="1">L367*Marine!CA_IOC_WI</f>
        <v>0</v>
      </c>
      <c r="M390" s="49">
        <f ca="1">M367*Marine!CA_IOC_WI</f>
        <v>6.3461981588600128E-2</v>
      </c>
      <c r="N390" s="49">
        <f ca="1">N367*Marine!CA_IOC_WI</f>
        <v>0.34210764411237288</v>
      </c>
      <c r="O390" s="49">
        <f ca="1">O367*Marine!CA_IOC_WI</f>
        <v>0.52667286283537551</v>
      </c>
      <c r="P390" s="49">
        <f ca="1">P367*Marine!CA_IOC_WI</f>
        <v>0.45718211335680803</v>
      </c>
      <c r="Q390" s="49">
        <f ca="1">Q367*Marine!CA_IOC_WI</f>
        <v>0.47705169703508621</v>
      </c>
      <c r="R390" s="49">
        <f ca="1">R367*Marine!CA_IOC_WI</f>
        <v>4.5540336866038215E-7</v>
      </c>
      <c r="S390" s="49">
        <f ca="1">S367*Marine!CA_IOC_WI</f>
        <v>0.61849219124593446</v>
      </c>
      <c r="T390" s="49">
        <f ca="1">T367*Marine!CA_IOC_WI</f>
        <v>0.59299023983149957</v>
      </c>
      <c r="U390" s="49">
        <f ca="1">U367*Marine!CA_IOC_WI</f>
        <v>0.58116223559035241</v>
      </c>
      <c r="V390" s="49">
        <f ca="1">V367*Marine!CA_IOC_WI</f>
        <v>0.57096533350061573</v>
      </c>
      <c r="W390" s="49">
        <f ca="1">W367*Marine!CA_IOC_WI</f>
        <v>0.55280414458819072</v>
      </c>
      <c r="X390" s="49">
        <f ca="1">X367*Marine!CA_IOC_WI</f>
        <v>0.54319826871169841</v>
      </c>
      <c r="Y390" s="49">
        <f ca="1">Y367*Marine!CA_IOC_WI</f>
        <v>0</v>
      </c>
      <c r="Z390" s="49">
        <f ca="1">Z367*Marine!CA_IOC_WI</f>
        <v>0</v>
      </c>
      <c r="AA390" s="49">
        <f ca="1">AA367*Marine!CA_IOC_WI</f>
        <v>0</v>
      </c>
      <c r="AB390" s="49">
        <f ca="1">AB367*Marine!CA_IOC_WI</f>
        <v>0</v>
      </c>
      <c r="AC390" s="49">
        <f ca="1">AC367*Marine!CA_IOC_WI</f>
        <v>0</v>
      </c>
      <c r="AD390" s="49">
        <f ca="1">AD367*Marine!CA_IOC_WI</f>
        <v>0</v>
      </c>
      <c r="AE390" s="49">
        <f ca="1">AE367*Marine!CA_IOC_WI</f>
        <v>0</v>
      </c>
      <c r="AF390" s="49">
        <f ca="1">AF367*Marine!CA_IOC_WI</f>
        <v>0</v>
      </c>
      <c r="AG390" s="49">
        <f ca="1">AG367*Marine!CA_IOC_WI</f>
        <v>0</v>
      </c>
      <c r="AH390" s="49">
        <f ca="1">AH367*Marine!CA_IOC_WI</f>
        <v>0</v>
      </c>
      <c r="AI390" s="49">
        <f ca="1">AI367*Marine!CA_IOC_WI</f>
        <v>0</v>
      </c>
      <c r="AJ390" s="49">
        <f ca="1">AJ367*Marine!CA_IOC_WI</f>
        <v>0</v>
      </c>
      <c r="AK390" s="49">
        <f ca="1">AK367*Marine!CA_IOC_WI</f>
        <v>0</v>
      </c>
      <c r="AL390" s="49">
        <f ca="1">AL367*Marine!CA_IOC_WI</f>
        <v>0</v>
      </c>
      <c r="AM390" s="49">
        <f ca="1">AM367*Marine!CA_IOC_WI</f>
        <v>0</v>
      </c>
      <c r="AN390" s="49">
        <f ca="1">AN367*Marine!CA_IOC_WI</f>
        <v>0</v>
      </c>
      <c r="AO390" s="49">
        <f ca="1">AO367*Marine!CA_IOC_WI</f>
        <v>0</v>
      </c>
      <c r="AP390" s="49">
        <f ca="1">AP367*Marine!CA_IOC_WI</f>
        <v>0</v>
      </c>
      <c r="AQ390" s="49">
        <f ca="1">AQ367*Marine!CA_IOC_WI</f>
        <v>0</v>
      </c>
      <c r="AR390" s="49">
        <f ca="1">AR367*Marine!CA_IOC_WI</f>
        <v>0</v>
      </c>
      <c r="AS390" s="49">
        <f ca="1">AS367*Marine!CA_IOC_WI</f>
        <v>0</v>
      </c>
      <c r="AT390" s="49">
        <f ca="1">AT367*Marine!CA_IOC_WI</f>
        <v>0</v>
      </c>
      <c r="AU390" s="49">
        <f ca="1">AU367*Marine!CA_IOC_WI</f>
        <v>0</v>
      </c>
      <c r="AV390" s="49">
        <f ca="1">AV367*Marine!CA_IOC_WI</f>
        <v>0</v>
      </c>
      <c r="AW390" s="49">
        <f ca="1">AW367*Marine!CA_IOC_WI</f>
        <v>0</v>
      </c>
      <c r="AX390" s="49">
        <f ca="1">AX367*Marine!CA_IOC_WI</f>
        <v>0</v>
      </c>
      <c r="AY390" s="49">
        <f ca="1">AY367*Marine!CA_IOC_WI</f>
        <v>0</v>
      </c>
      <c r="AZ390" s="49">
        <f ca="1">AZ367*Marine!CA_IOC_WI</f>
        <v>0</v>
      </c>
      <c r="BA390" s="49">
        <f ca="1">BA367*Marine!CA_IOC_WI</f>
        <v>0</v>
      </c>
      <c r="BB390" s="49">
        <f ca="1">BB367*Marine!CA_IOC_WI</f>
        <v>0</v>
      </c>
      <c r="BC390" s="49">
        <f ca="1">BC367*Marine!CA_IOC_WI</f>
        <v>0</v>
      </c>
      <c r="BD390" s="49">
        <f ca="1">BD367*Marine!CA_IOC_WI</f>
        <v>0</v>
      </c>
      <c r="BE390" s="49">
        <f ca="1">BE367*Marine!CA_IOC_WI</f>
        <v>0</v>
      </c>
      <c r="BF390" s="49">
        <f ca="1">BF367*Marine!CA_IOC_WI</f>
        <v>0</v>
      </c>
      <c r="BG390" s="49">
        <f ca="1">BG367*Marine!CA_IOC_WI</f>
        <v>0</v>
      </c>
      <c r="BH390" s="49">
        <f ca="1">BH367*Marine!CA_IOC_WI</f>
        <v>0</v>
      </c>
      <c r="BI390" s="49">
        <f ca="1">BI367*Marine!CA_IOC_WI</f>
        <v>0</v>
      </c>
      <c r="BJ390" s="49">
        <f ca="1">BJ367*Marine!CA_IOC_WI</f>
        <v>0</v>
      </c>
      <c r="BK390" s="49">
        <f ca="1">BK367*Marine!CA_IOC_WI</f>
        <v>0</v>
      </c>
      <c r="BL390" s="49">
        <f ca="1">BL367*Marine!CA_IOC_WI</f>
        <v>0</v>
      </c>
      <c r="BM390" s="49">
        <f ca="1">BM367*Marine!CA_IOC_WI</f>
        <v>0</v>
      </c>
      <c r="BN390" s="49">
        <f ca="1">BN367*Marine!CA_IOC_WI</f>
        <v>0</v>
      </c>
      <c r="BO390" s="49">
        <f ca="1">BO367*Marine!CA_IOC_WI</f>
        <v>0</v>
      </c>
      <c r="BP390" s="49">
        <f ca="1">BP367*Marine!CA_IOC_WI</f>
        <v>0</v>
      </c>
      <c r="BQ390" s="49">
        <f ca="1">BQ367*Marine!CA_IOC_WI</f>
        <v>0</v>
      </c>
      <c r="BR390" s="49">
        <f ca="1">BR367*Marine!CA_IOC_WI</f>
        <v>0</v>
      </c>
      <c r="BS390" s="49">
        <f ca="1">BS367*Marine!CA_IOC_WI</f>
        <v>0</v>
      </c>
    </row>
    <row r="391" spans="1:71" outlineLevel="1" x14ac:dyDescent="0.2">
      <c r="D391" t="s">
        <v>339</v>
      </c>
      <c r="I391" s="30">
        <f t="shared" ca="1" si="153"/>
        <v>0.59178768531110038</v>
      </c>
      <c r="J391" s="26" t="s">
        <v>148</v>
      </c>
      <c r="L391" s="49">
        <f ca="1">L367*Marine!CA_NOC_WI</f>
        <v>0</v>
      </c>
      <c r="M391" s="49">
        <f ca="1">M367*Marine!CA_NOC_WI</f>
        <v>7.0513312876222369E-3</v>
      </c>
      <c r="N391" s="49">
        <f ca="1">N367*Marine!CA_NOC_WI</f>
        <v>3.8011960456930324E-2</v>
      </c>
      <c r="O391" s="49">
        <f ca="1">O367*Marine!CA_NOC_WI</f>
        <v>5.8519206981708399E-2</v>
      </c>
      <c r="P391" s="49">
        <f ca="1">P367*Marine!CA_NOC_WI</f>
        <v>5.0798012595200892E-2</v>
      </c>
      <c r="Q391" s="49">
        <f ca="1">Q367*Marine!CA_NOC_WI</f>
        <v>5.3005744115009579E-2</v>
      </c>
      <c r="R391" s="49">
        <f ca="1">R367*Marine!CA_NOC_WI</f>
        <v>5.0600374295598018E-8</v>
      </c>
      <c r="S391" s="49">
        <f ca="1">S367*Marine!CA_NOC_WI</f>
        <v>6.8721354582881602E-2</v>
      </c>
      <c r="T391" s="49">
        <f ca="1">T367*Marine!CA_NOC_WI</f>
        <v>6.5887804425722174E-2</v>
      </c>
      <c r="U391" s="49">
        <f ca="1">U367*Marine!CA_NOC_WI</f>
        <v>6.4573581732261381E-2</v>
      </c>
      <c r="V391" s="49">
        <f ca="1">V367*Marine!CA_NOC_WI</f>
        <v>6.3440592611179528E-2</v>
      </c>
      <c r="W391" s="49">
        <f ca="1">W367*Marine!CA_NOC_WI</f>
        <v>6.1422682732021186E-2</v>
      </c>
      <c r="X391" s="49">
        <f ca="1">X367*Marine!CA_NOC_WI</f>
        <v>6.0355363190188707E-2</v>
      </c>
      <c r="Y391" s="49">
        <f ca="1">Y367*Marine!CA_NOC_WI</f>
        <v>0</v>
      </c>
      <c r="Z391" s="49">
        <f ca="1">Z367*Marine!CA_NOC_WI</f>
        <v>0</v>
      </c>
      <c r="AA391" s="49">
        <f ca="1">AA367*Marine!CA_NOC_WI</f>
        <v>0</v>
      </c>
      <c r="AB391" s="49">
        <f ca="1">AB367*Marine!CA_NOC_WI</f>
        <v>0</v>
      </c>
      <c r="AC391" s="49">
        <f ca="1">AC367*Marine!CA_NOC_WI</f>
        <v>0</v>
      </c>
      <c r="AD391" s="49">
        <f ca="1">AD367*Marine!CA_NOC_WI</f>
        <v>0</v>
      </c>
      <c r="AE391" s="49">
        <f ca="1">AE367*Marine!CA_NOC_WI</f>
        <v>0</v>
      </c>
      <c r="AF391" s="49">
        <f ca="1">AF367*Marine!CA_NOC_WI</f>
        <v>0</v>
      </c>
      <c r="AG391" s="49">
        <f ca="1">AG367*Marine!CA_NOC_WI</f>
        <v>0</v>
      </c>
      <c r="AH391" s="49">
        <f ca="1">AH367*Marine!CA_NOC_WI</f>
        <v>0</v>
      </c>
      <c r="AI391" s="49">
        <f ca="1">AI367*Marine!CA_NOC_WI</f>
        <v>0</v>
      </c>
      <c r="AJ391" s="49">
        <f ca="1">AJ367*Marine!CA_NOC_WI</f>
        <v>0</v>
      </c>
      <c r="AK391" s="49">
        <f ca="1">AK367*Marine!CA_NOC_WI</f>
        <v>0</v>
      </c>
      <c r="AL391" s="49">
        <f ca="1">AL367*Marine!CA_NOC_WI</f>
        <v>0</v>
      </c>
      <c r="AM391" s="49">
        <f ca="1">AM367*Marine!CA_NOC_WI</f>
        <v>0</v>
      </c>
      <c r="AN391" s="49">
        <f ca="1">AN367*Marine!CA_NOC_WI</f>
        <v>0</v>
      </c>
      <c r="AO391" s="49">
        <f ca="1">AO367*Marine!CA_NOC_WI</f>
        <v>0</v>
      </c>
      <c r="AP391" s="49">
        <f ca="1">AP367*Marine!CA_NOC_WI</f>
        <v>0</v>
      </c>
      <c r="AQ391" s="49">
        <f ca="1">AQ367*Marine!CA_NOC_WI</f>
        <v>0</v>
      </c>
      <c r="AR391" s="49">
        <f ca="1">AR367*Marine!CA_NOC_WI</f>
        <v>0</v>
      </c>
      <c r="AS391" s="49">
        <f ca="1">AS367*Marine!CA_NOC_WI</f>
        <v>0</v>
      </c>
      <c r="AT391" s="49">
        <f ca="1">AT367*Marine!CA_NOC_WI</f>
        <v>0</v>
      </c>
      <c r="AU391" s="49">
        <f ca="1">AU367*Marine!CA_NOC_WI</f>
        <v>0</v>
      </c>
      <c r="AV391" s="49">
        <f ca="1">AV367*Marine!CA_NOC_WI</f>
        <v>0</v>
      </c>
      <c r="AW391" s="49">
        <f ca="1">AW367*Marine!CA_NOC_WI</f>
        <v>0</v>
      </c>
      <c r="AX391" s="49">
        <f ca="1">AX367*Marine!CA_NOC_WI</f>
        <v>0</v>
      </c>
      <c r="AY391" s="49">
        <f ca="1">AY367*Marine!CA_NOC_WI</f>
        <v>0</v>
      </c>
      <c r="AZ391" s="49">
        <f ca="1">AZ367*Marine!CA_NOC_WI</f>
        <v>0</v>
      </c>
      <c r="BA391" s="49">
        <f ca="1">BA367*Marine!CA_NOC_WI</f>
        <v>0</v>
      </c>
      <c r="BB391" s="49">
        <f ca="1">BB367*Marine!CA_NOC_WI</f>
        <v>0</v>
      </c>
      <c r="BC391" s="49">
        <f ca="1">BC367*Marine!CA_NOC_WI</f>
        <v>0</v>
      </c>
      <c r="BD391" s="49">
        <f ca="1">BD367*Marine!CA_NOC_WI</f>
        <v>0</v>
      </c>
      <c r="BE391" s="49">
        <f ca="1">BE367*Marine!CA_NOC_WI</f>
        <v>0</v>
      </c>
      <c r="BF391" s="49">
        <f ca="1">BF367*Marine!CA_NOC_WI</f>
        <v>0</v>
      </c>
      <c r="BG391" s="49">
        <f ca="1">BG367*Marine!CA_NOC_WI</f>
        <v>0</v>
      </c>
      <c r="BH391" s="49">
        <f ca="1">BH367*Marine!CA_NOC_WI</f>
        <v>0</v>
      </c>
      <c r="BI391" s="49">
        <f ca="1">BI367*Marine!CA_NOC_WI</f>
        <v>0</v>
      </c>
      <c r="BJ391" s="49">
        <f ca="1">BJ367*Marine!CA_NOC_WI</f>
        <v>0</v>
      </c>
      <c r="BK391" s="49">
        <f ca="1">BK367*Marine!CA_NOC_WI</f>
        <v>0</v>
      </c>
      <c r="BL391" s="49">
        <f ca="1">BL367*Marine!CA_NOC_WI</f>
        <v>0</v>
      </c>
      <c r="BM391" s="49">
        <f ca="1">BM367*Marine!CA_NOC_WI</f>
        <v>0</v>
      </c>
      <c r="BN391" s="49">
        <f ca="1">BN367*Marine!CA_NOC_WI</f>
        <v>0</v>
      </c>
      <c r="BO391" s="49">
        <f ca="1">BO367*Marine!CA_NOC_WI</f>
        <v>0</v>
      </c>
      <c r="BP391" s="49">
        <f ca="1">BP367*Marine!CA_NOC_WI</f>
        <v>0</v>
      </c>
      <c r="BQ391" s="49">
        <f ca="1">BQ367*Marine!CA_NOC_WI</f>
        <v>0</v>
      </c>
      <c r="BR391" s="49">
        <f ca="1">BR367*Marine!CA_NOC_WI</f>
        <v>0</v>
      </c>
      <c r="BS391" s="49">
        <f ca="1">BS367*Marine!CA_NOC_WI</f>
        <v>0</v>
      </c>
    </row>
    <row r="392" spans="1:71" outlineLevel="1" x14ac:dyDescent="0.2">
      <c r="D392" s="11" t="s">
        <v>129</v>
      </c>
      <c r="I392" s="30">
        <f t="shared" ca="1" si="153"/>
        <v>5.9178768531110038</v>
      </c>
      <c r="J392" s="26" t="s">
        <v>148</v>
      </c>
      <c r="L392" s="49">
        <f ca="1">SUM(L390:L391)</f>
        <v>0</v>
      </c>
      <c r="M392" s="49">
        <f t="shared" ref="M392:BS392" ca="1" si="154">SUM(M390:M391)</f>
        <v>7.0513312876222367E-2</v>
      </c>
      <c r="N392" s="49">
        <f t="shared" ca="1" si="154"/>
        <v>0.38011960456930322</v>
      </c>
      <c r="O392" s="49">
        <f t="shared" ca="1" si="154"/>
        <v>0.58519206981708394</v>
      </c>
      <c r="P392" s="49">
        <f t="shared" ca="1" si="154"/>
        <v>0.50798012595200892</v>
      </c>
      <c r="Q392" s="49">
        <f t="shared" ca="1" si="154"/>
        <v>0.53005744115009579</v>
      </c>
      <c r="R392" s="49">
        <f t="shared" ca="1" si="154"/>
        <v>5.0600374295598015E-7</v>
      </c>
      <c r="S392" s="49">
        <f t="shared" ca="1" si="154"/>
        <v>0.68721354582881611</v>
      </c>
      <c r="T392" s="49">
        <f t="shared" ca="1" si="154"/>
        <v>0.65887804425722174</v>
      </c>
      <c r="U392" s="49">
        <f t="shared" ca="1" si="154"/>
        <v>0.64573581732261376</v>
      </c>
      <c r="V392" s="49">
        <f t="shared" ca="1" si="154"/>
        <v>0.63440592611179525</v>
      </c>
      <c r="W392" s="49">
        <f t="shared" ca="1" si="154"/>
        <v>0.61422682732021194</v>
      </c>
      <c r="X392" s="49">
        <f t="shared" ca="1" si="154"/>
        <v>0.60355363190188716</v>
      </c>
      <c r="Y392" s="49">
        <f t="shared" ca="1" si="154"/>
        <v>0</v>
      </c>
      <c r="Z392" s="49">
        <f t="shared" ca="1" si="154"/>
        <v>0</v>
      </c>
      <c r="AA392" s="49">
        <f t="shared" ca="1" si="154"/>
        <v>0</v>
      </c>
      <c r="AB392" s="49">
        <f t="shared" ca="1" si="154"/>
        <v>0</v>
      </c>
      <c r="AC392" s="49">
        <f t="shared" ca="1" si="154"/>
        <v>0</v>
      </c>
      <c r="AD392" s="49">
        <f t="shared" ca="1" si="154"/>
        <v>0</v>
      </c>
      <c r="AE392" s="49">
        <f t="shared" ca="1" si="154"/>
        <v>0</v>
      </c>
      <c r="AF392" s="49">
        <f t="shared" ca="1" si="154"/>
        <v>0</v>
      </c>
      <c r="AG392" s="49">
        <f t="shared" ca="1" si="154"/>
        <v>0</v>
      </c>
      <c r="AH392" s="49">
        <f t="shared" ca="1" si="154"/>
        <v>0</v>
      </c>
      <c r="AI392" s="49">
        <f t="shared" ca="1" si="154"/>
        <v>0</v>
      </c>
      <c r="AJ392" s="49">
        <f t="shared" ca="1" si="154"/>
        <v>0</v>
      </c>
      <c r="AK392" s="49">
        <f t="shared" ca="1" si="154"/>
        <v>0</v>
      </c>
      <c r="AL392" s="49">
        <f t="shared" ca="1" si="154"/>
        <v>0</v>
      </c>
      <c r="AM392" s="49">
        <f t="shared" ca="1" si="154"/>
        <v>0</v>
      </c>
      <c r="AN392" s="49">
        <f t="shared" ca="1" si="154"/>
        <v>0</v>
      </c>
      <c r="AO392" s="49">
        <f t="shared" ca="1" si="154"/>
        <v>0</v>
      </c>
      <c r="AP392" s="49">
        <f t="shared" ca="1" si="154"/>
        <v>0</v>
      </c>
      <c r="AQ392" s="49">
        <f t="shared" ca="1" si="154"/>
        <v>0</v>
      </c>
      <c r="AR392" s="49">
        <f t="shared" ca="1" si="154"/>
        <v>0</v>
      </c>
      <c r="AS392" s="49">
        <f t="shared" ca="1" si="154"/>
        <v>0</v>
      </c>
      <c r="AT392" s="49">
        <f t="shared" ca="1" si="154"/>
        <v>0</v>
      </c>
      <c r="AU392" s="49">
        <f t="shared" ca="1" si="154"/>
        <v>0</v>
      </c>
      <c r="AV392" s="49">
        <f t="shared" ca="1" si="154"/>
        <v>0</v>
      </c>
      <c r="AW392" s="49">
        <f t="shared" ca="1" si="154"/>
        <v>0</v>
      </c>
      <c r="AX392" s="49">
        <f t="shared" ca="1" si="154"/>
        <v>0</v>
      </c>
      <c r="AY392" s="49">
        <f t="shared" ca="1" si="154"/>
        <v>0</v>
      </c>
      <c r="AZ392" s="49">
        <f t="shared" ca="1" si="154"/>
        <v>0</v>
      </c>
      <c r="BA392" s="49">
        <f t="shared" ca="1" si="154"/>
        <v>0</v>
      </c>
      <c r="BB392" s="49">
        <f t="shared" ca="1" si="154"/>
        <v>0</v>
      </c>
      <c r="BC392" s="49">
        <f t="shared" ca="1" si="154"/>
        <v>0</v>
      </c>
      <c r="BD392" s="49">
        <f t="shared" ca="1" si="154"/>
        <v>0</v>
      </c>
      <c r="BE392" s="49">
        <f t="shared" ca="1" si="154"/>
        <v>0</v>
      </c>
      <c r="BF392" s="49">
        <f t="shared" ca="1" si="154"/>
        <v>0</v>
      </c>
      <c r="BG392" s="49">
        <f t="shared" ca="1" si="154"/>
        <v>0</v>
      </c>
      <c r="BH392" s="49">
        <f t="shared" ca="1" si="154"/>
        <v>0</v>
      </c>
      <c r="BI392" s="49">
        <f t="shared" ca="1" si="154"/>
        <v>0</v>
      </c>
      <c r="BJ392" s="49">
        <f t="shared" ca="1" si="154"/>
        <v>0</v>
      </c>
      <c r="BK392" s="49">
        <f t="shared" ca="1" si="154"/>
        <v>0</v>
      </c>
      <c r="BL392" s="49">
        <f t="shared" ca="1" si="154"/>
        <v>0</v>
      </c>
      <c r="BM392" s="49">
        <f t="shared" ca="1" si="154"/>
        <v>0</v>
      </c>
      <c r="BN392" s="49">
        <f t="shared" ca="1" si="154"/>
        <v>0</v>
      </c>
      <c r="BO392" s="49">
        <f t="shared" ca="1" si="154"/>
        <v>0</v>
      </c>
      <c r="BP392" s="49">
        <f t="shared" ca="1" si="154"/>
        <v>0</v>
      </c>
      <c r="BQ392" s="49">
        <f t="shared" ca="1" si="154"/>
        <v>0</v>
      </c>
      <c r="BR392" s="49">
        <f t="shared" ca="1" si="154"/>
        <v>0</v>
      </c>
      <c r="BS392" s="49">
        <f t="shared" ca="1" si="154"/>
        <v>0</v>
      </c>
    </row>
    <row r="393" spans="1:71" outlineLevel="1" x14ac:dyDescent="0.2">
      <c r="J393" s="26"/>
      <c r="L393" s="55"/>
      <c r="M393" s="55"/>
      <c r="N393" s="55"/>
      <c r="O393" s="55"/>
      <c r="P393" s="55"/>
      <c r="Q393" s="55"/>
      <c r="R393" s="55"/>
      <c r="S393" s="55"/>
      <c r="T393" s="55"/>
      <c r="U393" s="55"/>
      <c r="V393" s="55"/>
      <c r="W393" s="55"/>
      <c r="X393" s="55"/>
      <c r="Y393" s="55"/>
      <c r="Z393" s="55"/>
      <c r="AA393" s="55"/>
      <c r="AB393" s="55"/>
      <c r="AC393" s="55"/>
      <c r="AD393" s="55"/>
      <c r="AE393" s="55"/>
      <c r="AF393" s="55"/>
      <c r="AG393" s="55"/>
      <c r="AH393" s="55"/>
      <c r="AI393" s="55"/>
      <c r="AJ393" s="55"/>
      <c r="AK393" s="55"/>
      <c r="AL393" s="55"/>
      <c r="AM393" s="55"/>
      <c r="AN393" s="55"/>
      <c r="AO393" s="55"/>
      <c r="AP393" s="55"/>
      <c r="AQ393" s="55"/>
      <c r="AR393" s="55"/>
      <c r="AS393" s="55"/>
      <c r="AT393" s="55"/>
      <c r="AU393" s="55"/>
      <c r="AV393" s="55"/>
      <c r="AW393" s="55"/>
      <c r="AX393" s="55"/>
      <c r="AY393" s="55"/>
      <c r="AZ393" s="55"/>
      <c r="BA393" s="55"/>
      <c r="BB393" s="55"/>
      <c r="BC393" s="55"/>
      <c r="BD393" s="55"/>
      <c r="BE393" s="55"/>
      <c r="BF393" s="55"/>
      <c r="BG393" s="55"/>
      <c r="BH393" s="55"/>
      <c r="BI393" s="55"/>
      <c r="BJ393" s="55"/>
      <c r="BK393" s="55"/>
      <c r="BL393" s="55"/>
      <c r="BM393" s="55"/>
      <c r="BN393" s="55"/>
      <c r="BO393" s="55"/>
      <c r="BP393" s="55"/>
      <c r="BQ393" s="55"/>
      <c r="BR393" s="55"/>
      <c r="BS393" s="55"/>
    </row>
    <row r="394" spans="1:71" outlineLevel="1" x14ac:dyDescent="0.2">
      <c r="J394" s="26"/>
      <c r="L394" s="55"/>
      <c r="M394" s="55"/>
      <c r="N394" s="55"/>
      <c r="O394" s="55"/>
      <c r="P394" s="55"/>
      <c r="Q394" s="55"/>
      <c r="R394" s="55"/>
      <c r="S394" s="55"/>
      <c r="T394" s="55"/>
      <c r="U394" s="55"/>
      <c r="V394" s="55"/>
      <c r="W394" s="55"/>
      <c r="X394" s="55"/>
      <c r="Y394" s="55"/>
      <c r="Z394" s="55"/>
      <c r="AA394" s="55"/>
      <c r="AB394" s="55"/>
      <c r="AC394" s="55"/>
      <c r="AD394" s="55"/>
      <c r="AE394" s="55"/>
      <c r="AF394" s="55"/>
      <c r="AG394" s="55"/>
      <c r="AH394" s="55"/>
      <c r="AI394" s="55"/>
      <c r="AJ394" s="55"/>
      <c r="AK394" s="55"/>
      <c r="AL394" s="55"/>
      <c r="AM394" s="55"/>
      <c r="AN394" s="55"/>
      <c r="AO394" s="55"/>
      <c r="AP394" s="55"/>
      <c r="AQ394" s="55"/>
      <c r="AR394" s="55"/>
      <c r="AS394" s="55"/>
      <c r="AT394" s="55"/>
      <c r="AU394" s="55"/>
      <c r="AV394" s="55"/>
      <c r="AW394" s="55"/>
      <c r="AX394" s="55"/>
      <c r="AY394" s="55"/>
      <c r="AZ394" s="55"/>
      <c r="BA394" s="55"/>
      <c r="BB394" s="55"/>
      <c r="BC394" s="55"/>
      <c r="BD394" s="55"/>
      <c r="BE394" s="55"/>
      <c r="BF394" s="55"/>
      <c r="BG394" s="55"/>
      <c r="BH394" s="55"/>
      <c r="BI394" s="55"/>
      <c r="BJ394" s="55"/>
      <c r="BK394" s="55"/>
      <c r="BL394" s="55"/>
      <c r="BM394" s="55"/>
      <c r="BN394" s="55"/>
      <c r="BO394" s="55"/>
      <c r="BP394" s="55"/>
      <c r="BQ394" s="55"/>
      <c r="BR394" s="55"/>
      <c r="BS394" s="55"/>
    </row>
    <row r="395" spans="1:71" outlineLevel="1" x14ac:dyDescent="0.2">
      <c r="J395" s="26"/>
      <c r="L395" s="55"/>
      <c r="M395" s="55"/>
      <c r="N395" s="55"/>
      <c r="O395" s="55"/>
      <c r="P395" s="55"/>
      <c r="Q395" s="55"/>
      <c r="R395" s="55"/>
      <c r="S395" s="55"/>
      <c r="T395" s="55"/>
      <c r="U395" s="55"/>
      <c r="V395" s="55"/>
      <c r="W395" s="55"/>
      <c r="X395" s="55"/>
      <c r="Y395" s="55"/>
      <c r="Z395" s="55"/>
      <c r="AA395" s="55"/>
      <c r="AB395" s="55"/>
      <c r="AC395" s="55"/>
      <c r="AD395" s="55"/>
      <c r="AE395" s="55"/>
      <c r="AF395" s="55"/>
      <c r="AG395" s="55"/>
      <c r="AH395" s="55"/>
      <c r="AI395" s="55"/>
      <c r="AJ395" s="55"/>
      <c r="AK395" s="55"/>
      <c r="AL395" s="55"/>
      <c r="AM395" s="55"/>
      <c r="AN395" s="55"/>
      <c r="AO395" s="55"/>
      <c r="AP395" s="55"/>
      <c r="AQ395" s="55"/>
      <c r="AR395" s="55"/>
      <c r="AS395" s="55"/>
      <c r="AT395" s="55"/>
      <c r="AU395" s="55"/>
      <c r="AV395" s="55"/>
      <c r="AW395" s="55"/>
      <c r="AX395" s="55"/>
      <c r="AY395" s="55"/>
      <c r="AZ395" s="55"/>
      <c r="BA395" s="55"/>
      <c r="BB395" s="55"/>
      <c r="BC395" s="55"/>
      <c r="BD395" s="55"/>
      <c r="BE395" s="55"/>
      <c r="BF395" s="55"/>
      <c r="BG395" s="55"/>
      <c r="BH395" s="55"/>
      <c r="BI395" s="55"/>
      <c r="BJ395" s="55"/>
      <c r="BK395" s="55"/>
      <c r="BL395" s="55"/>
      <c r="BM395" s="55"/>
      <c r="BN395" s="55"/>
      <c r="BO395" s="55"/>
      <c r="BP395" s="55"/>
      <c r="BQ395" s="55"/>
      <c r="BR395" s="55"/>
      <c r="BS395" s="55"/>
    </row>
    <row r="396" spans="1:71" outlineLevel="1" x14ac:dyDescent="0.2">
      <c r="J396" s="26"/>
      <c r="L396" s="55"/>
      <c r="M396" s="55"/>
      <c r="N396" s="55"/>
      <c r="O396" s="55"/>
      <c r="P396" s="55"/>
      <c r="Q396" s="55"/>
      <c r="R396" s="55"/>
      <c r="S396" s="55"/>
      <c r="T396" s="55"/>
      <c r="U396" s="55"/>
      <c r="V396" s="55"/>
      <c r="W396" s="55"/>
      <c r="X396" s="55"/>
      <c r="Y396" s="55"/>
      <c r="Z396" s="55"/>
      <c r="AA396" s="55"/>
      <c r="AB396" s="55"/>
      <c r="AC396" s="55"/>
      <c r="AD396" s="55"/>
      <c r="AE396" s="55"/>
      <c r="AF396" s="55"/>
      <c r="AG396" s="55"/>
      <c r="AH396" s="55"/>
      <c r="AI396" s="55"/>
      <c r="AJ396" s="55"/>
      <c r="AK396" s="55"/>
      <c r="AL396" s="55"/>
      <c r="AM396" s="55"/>
      <c r="AN396" s="55"/>
      <c r="AO396" s="55"/>
      <c r="AP396" s="55"/>
      <c r="AQ396" s="55"/>
      <c r="AR396" s="55"/>
      <c r="AS396" s="55"/>
      <c r="AT396" s="55"/>
      <c r="AU396" s="55"/>
      <c r="AV396" s="55"/>
      <c r="AW396" s="55"/>
      <c r="AX396" s="55"/>
      <c r="AY396" s="55"/>
      <c r="AZ396" s="55"/>
      <c r="BA396" s="55"/>
      <c r="BB396" s="55"/>
      <c r="BC396" s="55"/>
      <c r="BD396" s="55"/>
      <c r="BE396" s="55"/>
      <c r="BF396" s="55"/>
      <c r="BG396" s="55"/>
      <c r="BH396" s="55"/>
      <c r="BI396" s="55"/>
      <c r="BJ396" s="55"/>
      <c r="BK396" s="55"/>
      <c r="BL396" s="55"/>
      <c r="BM396" s="55"/>
      <c r="BN396" s="55"/>
      <c r="BO396" s="55"/>
      <c r="BP396" s="55"/>
      <c r="BQ396" s="55"/>
      <c r="BR396" s="55"/>
      <c r="BS396" s="55"/>
    </row>
    <row r="397" spans="1:71" outlineLevel="1" x14ac:dyDescent="0.2">
      <c r="J397" s="26"/>
      <c r="L397" s="55"/>
      <c r="M397" s="55"/>
      <c r="N397" s="55"/>
      <c r="O397" s="55"/>
      <c r="P397" s="55"/>
      <c r="Q397" s="55"/>
      <c r="R397" s="55"/>
      <c r="S397" s="55"/>
      <c r="T397" s="55"/>
      <c r="U397" s="55"/>
      <c r="V397" s="55"/>
      <c r="W397" s="55"/>
      <c r="X397" s="55"/>
      <c r="Y397" s="55"/>
      <c r="Z397" s="55"/>
      <c r="AA397" s="55"/>
      <c r="AB397" s="55"/>
      <c r="AC397" s="55"/>
      <c r="AD397" s="55"/>
      <c r="AE397" s="55"/>
      <c r="AF397" s="55"/>
      <c r="AG397" s="55"/>
      <c r="AH397" s="55"/>
      <c r="AI397" s="55"/>
      <c r="AJ397" s="55"/>
      <c r="AK397" s="55"/>
      <c r="AL397" s="55"/>
      <c r="AM397" s="55"/>
      <c r="AN397" s="55"/>
      <c r="AO397" s="55"/>
      <c r="AP397" s="55"/>
      <c r="AQ397" s="55"/>
      <c r="AR397" s="55"/>
      <c r="AS397" s="55"/>
      <c r="AT397" s="55"/>
      <c r="AU397" s="55"/>
      <c r="AV397" s="55"/>
      <c r="AW397" s="55"/>
      <c r="AX397" s="55"/>
      <c r="AY397" s="55"/>
      <c r="AZ397" s="55"/>
      <c r="BA397" s="55"/>
      <c r="BB397" s="55"/>
      <c r="BC397" s="55"/>
      <c r="BD397" s="55"/>
      <c r="BE397" s="55"/>
      <c r="BF397" s="55"/>
      <c r="BG397" s="55"/>
      <c r="BH397" s="55"/>
      <c r="BI397" s="55"/>
      <c r="BJ397" s="55"/>
      <c r="BK397" s="55"/>
      <c r="BL397" s="55"/>
      <c r="BM397" s="55"/>
      <c r="BN397" s="55"/>
      <c r="BO397" s="55"/>
      <c r="BP397" s="55"/>
      <c r="BQ397" s="55"/>
      <c r="BR397" s="55"/>
      <c r="BS397" s="55"/>
    </row>
    <row r="398" spans="1:71" outlineLevel="1" x14ac:dyDescent="0.2">
      <c r="J398" s="26"/>
      <c r="L398" s="55"/>
      <c r="M398" s="55"/>
      <c r="N398" s="55"/>
      <c r="O398" s="55"/>
      <c r="P398" s="55"/>
      <c r="Q398" s="55"/>
      <c r="R398" s="55"/>
      <c r="S398" s="55"/>
      <c r="T398" s="55"/>
      <c r="U398" s="55"/>
      <c r="V398" s="55"/>
      <c r="W398" s="55"/>
      <c r="X398" s="55"/>
      <c r="Y398" s="55"/>
      <c r="Z398" s="55"/>
      <c r="AA398" s="55"/>
      <c r="AB398" s="55"/>
      <c r="AC398" s="55"/>
      <c r="AD398" s="55"/>
      <c r="AE398" s="55"/>
      <c r="AF398" s="55"/>
      <c r="AG398" s="55"/>
      <c r="AH398" s="55"/>
      <c r="AI398" s="55"/>
      <c r="AJ398" s="55"/>
      <c r="AK398" s="55"/>
      <c r="AL398" s="55"/>
      <c r="AM398" s="55"/>
      <c r="AN398" s="55"/>
      <c r="AO398" s="55"/>
      <c r="AP398" s="55"/>
      <c r="AQ398" s="55"/>
      <c r="AR398" s="55"/>
      <c r="AS398" s="55"/>
      <c r="AT398" s="55"/>
      <c r="AU398" s="55"/>
      <c r="AV398" s="55"/>
      <c r="AW398" s="55"/>
      <c r="AX398" s="55"/>
      <c r="AY398" s="55"/>
      <c r="AZ398" s="55"/>
      <c r="BA398" s="55"/>
      <c r="BB398" s="55"/>
      <c r="BC398" s="55"/>
      <c r="BD398" s="55"/>
      <c r="BE398" s="55"/>
      <c r="BF398" s="55"/>
      <c r="BG398" s="55"/>
      <c r="BH398" s="55"/>
      <c r="BI398" s="55"/>
      <c r="BJ398" s="55"/>
      <c r="BK398" s="55"/>
      <c r="BL398" s="55"/>
      <c r="BM398" s="55"/>
      <c r="BN398" s="55"/>
      <c r="BO398" s="55"/>
      <c r="BP398" s="55"/>
      <c r="BQ398" s="55"/>
      <c r="BR398" s="55"/>
      <c r="BS398" s="55"/>
    </row>
    <row r="399" spans="1:71" outlineLevel="1" x14ac:dyDescent="0.2">
      <c r="A399" s="45"/>
      <c r="B399" s="38" t="s">
        <v>254</v>
      </c>
      <c r="C399" s="45"/>
      <c r="D399" s="45"/>
      <c r="E399" s="45"/>
      <c r="J399" s="26"/>
      <c r="L399" s="55"/>
      <c r="M399" s="55"/>
      <c r="N399" s="55"/>
      <c r="O399" s="55"/>
      <c r="P399" s="55"/>
      <c r="Q399" s="55"/>
      <c r="R399" s="55"/>
      <c r="S399" s="55"/>
      <c r="T399" s="55"/>
      <c r="U399" s="55"/>
      <c r="V399" s="55"/>
      <c r="W399" s="55"/>
      <c r="X399" s="55"/>
      <c r="Y399" s="55"/>
      <c r="Z399" s="55"/>
      <c r="AA399" s="55"/>
      <c r="AB399" s="55"/>
      <c r="AC399" s="55"/>
      <c r="AD399" s="55"/>
      <c r="AE399" s="55"/>
      <c r="AF399" s="55"/>
      <c r="AG399" s="55"/>
      <c r="AH399" s="55"/>
      <c r="AI399" s="55"/>
      <c r="AJ399" s="55"/>
      <c r="AK399" s="55"/>
      <c r="AL399" s="55"/>
      <c r="AM399" s="55"/>
      <c r="AN399" s="55"/>
      <c r="AO399" s="55"/>
      <c r="AP399" s="55"/>
      <c r="AQ399" s="55"/>
      <c r="AR399" s="55"/>
      <c r="AS399" s="55"/>
      <c r="AT399" s="55"/>
      <c r="AU399" s="55"/>
      <c r="AV399" s="55"/>
      <c r="AW399" s="55"/>
      <c r="AX399" s="55"/>
      <c r="AY399" s="55"/>
      <c r="AZ399" s="55"/>
      <c r="BA399" s="55"/>
      <c r="BB399" s="55"/>
      <c r="BC399" s="55"/>
      <c r="BD399" s="55"/>
      <c r="BE399" s="55"/>
      <c r="BF399" s="55"/>
      <c r="BG399" s="55"/>
      <c r="BH399" s="55"/>
      <c r="BI399" s="55"/>
      <c r="BJ399" s="55"/>
      <c r="BK399" s="55"/>
      <c r="BL399" s="55"/>
      <c r="BM399" s="55"/>
      <c r="BN399" s="55"/>
      <c r="BO399" s="55"/>
      <c r="BP399" s="55"/>
      <c r="BQ399" s="55"/>
      <c r="BR399" s="55"/>
      <c r="BS399" s="55"/>
    </row>
    <row r="400" spans="1:71" outlineLevel="1" x14ac:dyDescent="0.2">
      <c r="J400" s="26"/>
      <c r="L400" s="55"/>
      <c r="M400" s="55"/>
      <c r="N400" s="55"/>
      <c r="O400" s="55"/>
      <c r="P400" s="55"/>
      <c r="Q400" s="55"/>
      <c r="R400" s="55"/>
      <c r="S400" s="55"/>
      <c r="T400" s="55"/>
      <c r="U400" s="55"/>
      <c r="V400" s="55"/>
      <c r="W400" s="55"/>
      <c r="X400" s="55"/>
      <c r="Y400" s="55"/>
      <c r="Z400" s="55"/>
      <c r="AA400" s="55"/>
      <c r="AB400" s="55"/>
      <c r="AC400" s="55"/>
      <c r="AD400" s="55"/>
      <c r="AE400" s="55"/>
      <c r="AF400" s="55"/>
      <c r="AG400" s="55"/>
      <c r="AH400" s="55"/>
      <c r="AI400" s="55"/>
      <c r="AJ400" s="55"/>
      <c r="AK400" s="55"/>
      <c r="AL400" s="55"/>
      <c r="AM400" s="55"/>
      <c r="AN400" s="55"/>
      <c r="AO400" s="55"/>
      <c r="AP400" s="55"/>
      <c r="AQ400" s="55"/>
      <c r="AR400" s="55"/>
      <c r="AS400" s="55"/>
      <c r="AT400" s="55"/>
      <c r="AU400" s="55"/>
      <c r="AV400" s="55"/>
      <c r="AW400" s="55"/>
      <c r="AX400" s="55"/>
      <c r="AY400" s="55"/>
      <c r="AZ400" s="55"/>
      <c r="BA400" s="55"/>
      <c r="BB400" s="55"/>
      <c r="BC400" s="55"/>
      <c r="BD400" s="55"/>
      <c r="BE400" s="55"/>
      <c r="BF400" s="55"/>
      <c r="BG400" s="55"/>
      <c r="BH400" s="55"/>
      <c r="BI400" s="55"/>
      <c r="BJ400" s="55"/>
      <c r="BK400" s="55"/>
      <c r="BL400" s="55"/>
      <c r="BM400" s="55"/>
      <c r="BN400" s="55"/>
      <c r="BO400" s="55"/>
      <c r="BP400" s="55"/>
      <c r="BQ400" s="55"/>
      <c r="BR400" s="55"/>
      <c r="BS400" s="55"/>
    </row>
    <row r="401" spans="3:71" outlineLevel="1" x14ac:dyDescent="0.2">
      <c r="C401" s="11" t="s">
        <v>330</v>
      </c>
      <c r="J401" s="26"/>
      <c r="L401" s="55"/>
      <c r="M401" s="55"/>
      <c r="N401" s="55"/>
      <c r="O401" s="55"/>
      <c r="P401" s="55"/>
      <c r="Q401" s="55"/>
      <c r="R401" s="55"/>
      <c r="S401" s="55"/>
      <c r="T401" s="55"/>
      <c r="U401" s="55"/>
      <c r="V401" s="55"/>
      <c r="W401" s="55"/>
      <c r="X401" s="55"/>
      <c r="Y401" s="55"/>
      <c r="Z401" s="55"/>
      <c r="AA401" s="55"/>
      <c r="AB401" s="55"/>
      <c r="AC401" s="55"/>
      <c r="AD401" s="55"/>
      <c r="AE401" s="55"/>
      <c r="AF401" s="55"/>
      <c r="AG401" s="55"/>
      <c r="AH401" s="55"/>
      <c r="AI401" s="55"/>
      <c r="AJ401" s="55"/>
      <c r="AK401" s="55"/>
      <c r="AL401" s="55"/>
      <c r="AM401" s="55"/>
      <c r="AN401" s="55"/>
      <c r="AO401" s="55"/>
      <c r="AP401" s="55"/>
      <c r="AQ401" s="55"/>
      <c r="AR401" s="55"/>
      <c r="AS401" s="55"/>
      <c r="AT401" s="55"/>
      <c r="AU401" s="55"/>
      <c r="AV401" s="55"/>
      <c r="AW401" s="55"/>
      <c r="AX401" s="55"/>
      <c r="AY401" s="55"/>
      <c r="AZ401" s="55"/>
      <c r="BA401" s="55"/>
      <c r="BB401" s="55"/>
      <c r="BC401" s="55"/>
      <c r="BD401" s="55"/>
      <c r="BE401" s="55"/>
      <c r="BF401" s="55"/>
      <c r="BG401" s="55"/>
      <c r="BH401" s="55"/>
      <c r="BI401" s="55"/>
      <c r="BJ401" s="55"/>
      <c r="BK401" s="55"/>
      <c r="BL401" s="55"/>
      <c r="BM401" s="55"/>
      <c r="BN401" s="55"/>
      <c r="BO401" s="55"/>
      <c r="BP401" s="55"/>
      <c r="BQ401" s="55"/>
      <c r="BR401" s="55"/>
      <c r="BS401" s="55"/>
    </row>
    <row r="402" spans="3:71" outlineLevel="1" x14ac:dyDescent="0.2">
      <c r="D402" t="s">
        <v>331</v>
      </c>
      <c r="I402" s="30">
        <f t="shared" ref="I402:I405" ca="1" si="155">SUM($L402:$BS402)</f>
        <v>36.6815</v>
      </c>
      <c r="J402" s="26" t="s">
        <v>148</v>
      </c>
      <c r="K402" s="7" t="s">
        <v>358</v>
      </c>
      <c r="L402" s="49">
        <f ca="1">(Marine!CA_expex_nom*Marine!NOC_CI_expex)*Marine!CA_op_trig</f>
        <v>17.022300000000001</v>
      </c>
      <c r="M402" s="49">
        <f ca="1">(Marine!CA_expex_nom*Marine!NOC_CI_expex)*Marine!CA_op_trig</f>
        <v>7.0763000000000007</v>
      </c>
      <c r="N402" s="49">
        <f ca="1">(Marine!CA_expex_nom*Marine!NOC_CI_expex)*Marine!CA_op_trig</f>
        <v>9.5635999999999992</v>
      </c>
      <c r="O402" s="49">
        <f ca="1">(Marine!CA_expex_nom*Marine!NOC_CI_expex)*Marine!CA_op_trig</f>
        <v>2.6409000000000002</v>
      </c>
      <c r="P402" s="49">
        <f ca="1">(Marine!CA_expex_nom*Marine!NOC_CI_expex)*Marine!CA_op_trig</f>
        <v>7.6000000000000012E-2</v>
      </c>
      <c r="Q402" s="49">
        <f ca="1">(Marine!CA_expex_nom*Marine!NOC_CI_expex)*Marine!CA_op_trig</f>
        <v>0.3024</v>
      </c>
      <c r="R402" s="49">
        <f ca="1">(Marine!CA_expex_nom*Marine!NOC_CI_expex)*Marine!CA_op_trig</f>
        <v>0</v>
      </c>
      <c r="S402" s="49">
        <f ca="1">(Marine!CA_expex_nom*Marine!NOC_CI_expex)*Marine!CA_op_trig</f>
        <v>0</v>
      </c>
      <c r="T402" s="49">
        <f ca="1">(Marine!CA_expex_nom*Marine!NOC_CI_expex)*Marine!CA_op_trig</f>
        <v>0</v>
      </c>
      <c r="U402" s="49">
        <f ca="1">(Marine!CA_expex_nom*Marine!NOC_CI_expex)*Marine!CA_op_trig</f>
        <v>0</v>
      </c>
      <c r="V402" s="49">
        <f ca="1">(Marine!CA_expex_nom*Marine!NOC_CI_expex)*Marine!CA_op_trig</f>
        <v>0</v>
      </c>
      <c r="W402" s="49">
        <f ca="1">(Marine!CA_expex_nom*Marine!NOC_CI_expex)*Marine!CA_op_trig</f>
        <v>0</v>
      </c>
      <c r="X402" s="49">
        <f ca="1">(Marine!CA_expex_nom*Marine!NOC_CI_expex)*Marine!CA_op_trig</f>
        <v>0</v>
      </c>
      <c r="Y402" s="49">
        <f ca="1">(Marine!CA_expex_nom*Marine!NOC_CI_expex)*Marine!CA_op_trig</f>
        <v>0</v>
      </c>
      <c r="Z402" s="49">
        <f ca="1">(Marine!CA_expex_nom*Marine!NOC_CI_expex)*Marine!CA_op_trig</f>
        <v>0</v>
      </c>
      <c r="AA402" s="49">
        <f ca="1">(Marine!CA_expex_nom*Marine!NOC_CI_expex)*Marine!CA_op_trig</f>
        <v>0</v>
      </c>
      <c r="AB402" s="49">
        <f ca="1">(Marine!CA_expex_nom*Marine!NOC_CI_expex)*Marine!CA_op_trig</f>
        <v>0</v>
      </c>
      <c r="AC402" s="49">
        <f ca="1">(Marine!CA_expex_nom*Marine!NOC_CI_expex)*Marine!CA_op_trig</f>
        <v>0</v>
      </c>
      <c r="AD402" s="49">
        <f ca="1">(Marine!CA_expex_nom*Marine!NOC_CI_expex)*Marine!CA_op_trig</f>
        <v>0</v>
      </c>
      <c r="AE402" s="49">
        <f ca="1">(Marine!CA_expex_nom*Marine!NOC_CI_expex)*Marine!CA_op_trig</f>
        <v>0</v>
      </c>
      <c r="AF402" s="49">
        <f ca="1">(Marine!CA_expex_nom*Marine!NOC_CI_expex)*Marine!CA_op_trig</f>
        <v>0</v>
      </c>
      <c r="AG402" s="49">
        <f ca="1">(Marine!CA_expex_nom*Marine!NOC_CI_expex)*Marine!CA_op_trig</f>
        <v>0</v>
      </c>
      <c r="AH402" s="49">
        <f ca="1">(Marine!CA_expex_nom*Marine!NOC_CI_expex)*Marine!CA_op_trig</f>
        <v>0</v>
      </c>
      <c r="AI402" s="49">
        <f ca="1">(Marine!CA_expex_nom*Marine!NOC_CI_expex)*Marine!CA_op_trig</f>
        <v>0</v>
      </c>
      <c r="AJ402" s="49">
        <f ca="1">(Marine!CA_expex_nom*Marine!NOC_CI_expex)*Marine!CA_op_trig</f>
        <v>0</v>
      </c>
      <c r="AK402" s="49">
        <f ca="1">(Marine!CA_expex_nom*Marine!NOC_CI_expex)*Marine!CA_op_trig</f>
        <v>0</v>
      </c>
      <c r="AL402" s="49">
        <f ca="1">(Marine!CA_expex_nom*Marine!NOC_CI_expex)*Marine!CA_op_trig</f>
        <v>0</v>
      </c>
      <c r="AM402" s="49">
        <f ca="1">(Marine!CA_expex_nom*Marine!NOC_CI_expex)*Marine!CA_op_trig</f>
        <v>0</v>
      </c>
      <c r="AN402" s="49">
        <f ca="1">(Marine!CA_expex_nom*Marine!NOC_CI_expex)*Marine!CA_op_trig</f>
        <v>0</v>
      </c>
      <c r="AO402" s="49">
        <f ca="1">(Marine!CA_expex_nom*Marine!NOC_CI_expex)*Marine!CA_op_trig</f>
        <v>0</v>
      </c>
      <c r="AP402" s="49">
        <f ca="1">(Marine!CA_expex_nom*Marine!NOC_CI_expex)*Marine!CA_op_trig</f>
        <v>0</v>
      </c>
      <c r="AQ402" s="49">
        <f ca="1">(Marine!CA_expex_nom*Marine!NOC_CI_expex)*Marine!CA_op_trig</f>
        <v>0</v>
      </c>
      <c r="AR402" s="49">
        <f ca="1">(Marine!CA_expex_nom*Marine!NOC_CI_expex)*Marine!CA_op_trig</f>
        <v>0</v>
      </c>
      <c r="AS402" s="49">
        <f ca="1">(Marine!CA_expex_nom*Marine!NOC_CI_expex)*Marine!CA_op_trig</f>
        <v>0</v>
      </c>
      <c r="AT402" s="49">
        <f ca="1">(Marine!CA_expex_nom*Marine!NOC_CI_expex)*Marine!CA_op_trig</f>
        <v>0</v>
      </c>
      <c r="AU402" s="49">
        <f ca="1">(Marine!CA_expex_nom*Marine!NOC_CI_expex)*Marine!CA_op_trig</f>
        <v>0</v>
      </c>
      <c r="AV402" s="49">
        <f ca="1">(Marine!CA_expex_nom*Marine!NOC_CI_expex)*Marine!CA_op_trig</f>
        <v>0</v>
      </c>
      <c r="AW402" s="49">
        <f ca="1">(Marine!CA_expex_nom*Marine!NOC_CI_expex)*Marine!CA_op_trig</f>
        <v>0</v>
      </c>
      <c r="AX402" s="49">
        <f ca="1">(Marine!CA_expex_nom*Marine!NOC_CI_expex)*Marine!CA_op_trig</f>
        <v>0</v>
      </c>
      <c r="AY402" s="49">
        <f ca="1">(Marine!CA_expex_nom*Marine!NOC_CI_expex)*Marine!CA_op_trig</f>
        <v>0</v>
      </c>
      <c r="AZ402" s="49">
        <f ca="1">(Marine!CA_expex_nom*Marine!NOC_CI_expex)*Marine!CA_op_trig</f>
        <v>0</v>
      </c>
      <c r="BA402" s="49">
        <f ca="1">(Marine!CA_expex_nom*Marine!NOC_CI_expex)*Marine!CA_op_trig</f>
        <v>0</v>
      </c>
      <c r="BB402" s="49">
        <f ca="1">(Marine!CA_expex_nom*Marine!NOC_CI_expex)*Marine!CA_op_trig</f>
        <v>0</v>
      </c>
      <c r="BC402" s="49">
        <f ca="1">(Marine!CA_expex_nom*Marine!NOC_CI_expex)*Marine!CA_op_trig</f>
        <v>0</v>
      </c>
      <c r="BD402" s="49">
        <f ca="1">(Marine!CA_expex_nom*Marine!NOC_CI_expex)*Marine!CA_op_trig</f>
        <v>0</v>
      </c>
      <c r="BE402" s="49">
        <f ca="1">(Marine!CA_expex_nom*Marine!NOC_CI_expex)*Marine!CA_op_trig</f>
        <v>0</v>
      </c>
      <c r="BF402" s="49">
        <f ca="1">(Marine!CA_expex_nom*Marine!NOC_CI_expex)*Marine!CA_op_trig</f>
        <v>0</v>
      </c>
      <c r="BG402" s="49">
        <f ca="1">(Marine!CA_expex_nom*Marine!NOC_CI_expex)*Marine!CA_op_trig</f>
        <v>0</v>
      </c>
      <c r="BH402" s="49">
        <f ca="1">(Marine!CA_expex_nom*Marine!NOC_CI_expex)*Marine!CA_op_trig</f>
        <v>0</v>
      </c>
      <c r="BI402" s="49">
        <f ca="1">(Marine!CA_expex_nom*Marine!NOC_CI_expex)*Marine!CA_op_trig</f>
        <v>0</v>
      </c>
      <c r="BJ402" s="49">
        <f ca="1">(Marine!CA_expex_nom*Marine!NOC_CI_expex)*Marine!CA_op_trig</f>
        <v>0</v>
      </c>
      <c r="BK402" s="49">
        <f ca="1">(Marine!CA_expex_nom*Marine!NOC_CI_expex)*Marine!CA_op_trig</f>
        <v>0</v>
      </c>
      <c r="BL402" s="49">
        <f ca="1">(Marine!CA_expex_nom*Marine!NOC_CI_expex)*Marine!CA_op_trig</f>
        <v>0</v>
      </c>
      <c r="BM402" s="49">
        <f ca="1">(Marine!CA_expex_nom*Marine!NOC_CI_expex)*Marine!CA_op_trig</f>
        <v>0</v>
      </c>
      <c r="BN402" s="49">
        <f ca="1">(Marine!CA_expex_nom*Marine!NOC_CI_expex)*Marine!CA_op_trig</f>
        <v>0</v>
      </c>
      <c r="BO402" s="49">
        <f ca="1">(Marine!CA_expex_nom*Marine!NOC_CI_expex)*Marine!CA_op_trig</f>
        <v>0</v>
      </c>
      <c r="BP402" s="49">
        <f ca="1">(Marine!CA_expex_nom*Marine!NOC_CI_expex)*Marine!CA_op_trig</f>
        <v>0</v>
      </c>
      <c r="BQ402" s="49">
        <f ca="1">(Marine!CA_expex_nom*Marine!NOC_CI_expex)*Marine!CA_op_trig</f>
        <v>0</v>
      </c>
      <c r="BR402" s="49">
        <f ca="1">(Marine!CA_expex_nom*Marine!NOC_CI_expex)*Marine!CA_op_trig</f>
        <v>0</v>
      </c>
      <c r="BS402" s="49">
        <f ca="1">(Marine!CA_expex_nom*Marine!NOC_CI_expex)*Marine!CA_op_trig</f>
        <v>0</v>
      </c>
    </row>
    <row r="403" spans="3:71" outlineLevel="1" x14ac:dyDescent="0.2">
      <c r="D403" t="s">
        <v>332</v>
      </c>
      <c r="I403" s="30">
        <f t="shared" ca="1" si="155"/>
        <v>239.36420000000001</v>
      </c>
      <c r="J403" s="26" t="s">
        <v>148</v>
      </c>
      <c r="K403" s="7" t="s">
        <v>359</v>
      </c>
      <c r="L403" s="49">
        <f ca="1">(Marine!CA_devex_nom*Marine!NOC_CI_devex)*(Marine!CA_op_trig)</f>
        <v>21.7362</v>
      </c>
      <c r="M403" s="49">
        <f ca="1">(Marine!CA_devex_nom*Marine!NOC_CI_devex)*(Marine!CA_op_trig)</f>
        <v>43.214400000000005</v>
      </c>
      <c r="N403" s="49">
        <f ca="1">(Marine!CA_devex_nom*Marine!NOC_CI_devex)*(Marine!CA_op_trig)</f>
        <v>68.233000000000004</v>
      </c>
      <c r="O403" s="49">
        <f ca="1">(Marine!CA_devex_nom*Marine!NOC_CI_devex)*(Marine!CA_op_trig)</f>
        <v>42.8005</v>
      </c>
      <c r="P403" s="49">
        <f ca="1">(Marine!CA_devex_nom*Marine!NOC_CI_devex)*(Marine!CA_op_trig)</f>
        <v>40.653100000000002</v>
      </c>
      <c r="Q403" s="49">
        <f ca="1">(Marine!CA_devex_nom*Marine!NOC_CI_devex)*(Marine!CA_op_trig)</f>
        <v>22.727000000000004</v>
      </c>
      <c r="R403" s="49">
        <f ca="1">(Marine!CA_devex_nom*Marine!NOC_CI_devex)*(Marine!CA_op_trig)</f>
        <v>0</v>
      </c>
      <c r="S403" s="49">
        <f ca="1">(Marine!CA_devex_nom*Marine!NOC_CI_devex)*(Marine!CA_op_trig)</f>
        <v>0</v>
      </c>
      <c r="T403" s="49">
        <f ca="1">(Marine!CA_devex_nom*Marine!NOC_CI_devex)*(Marine!CA_op_trig)</f>
        <v>0</v>
      </c>
      <c r="U403" s="49">
        <f ca="1">(Marine!CA_devex_nom*Marine!NOC_CI_devex)*(Marine!CA_op_trig)</f>
        <v>0</v>
      </c>
      <c r="V403" s="49">
        <f ca="1">(Marine!CA_devex_nom*Marine!NOC_CI_devex)*(Marine!CA_op_trig)</f>
        <v>0</v>
      </c>
      <c r="W403" s="49">
        <f ca="1">(Marine!CA_devex_nom*Marine!NOC_CI_devex)*(Marine!CA_op_trig)</f>
        <v>0</v>
      </c>
      <c r="X403" s="49">
        <f ca="1">(Marine!CA_devex_nom*Marine!NOC_CI_devex)*(Marine!CA_op_trig)</f>
        <v>0</v>
      </c>
      <c r="Y403" s="49">
        <f ca="1">(Marine!CA_devex_nom*Marine!NOC_CI_devex)*(Marine!CA_op_trig)</f>
        <v>0</v>
      </c>
      <c r="Z403" s="49">
        <f ca="1">(Marine!CA_devex_nom*Marine!NOC_CI_devex)*(Marine!CA_op_trig)</f>
        <v>0</v>
      </c>
      <c r="AA403" s="49">
        <f ca="1">(Marine!CA_devex_nom*Marine!NOC_CI_devex)*(Marine!CA_op_trig)</f>
        <v>0</v>
      </c>
      <c r="AB403" s="49">
        <f ca="1">(Marine!CA_devex_nom*Marine!NOC_CI_devex)*(Marine!CA_op_trig)</f>
        <v>0</v>
      </c>
      <c r="AC403" s="49">
        <f ca="1">(Marine!CA_devex_nom*Marine!NOC_CI_devex)*(Marine!CA_op_trig)</f>
        <v>0</v>
      </c>
      <c r="AD403" s="49">
        <f ca="1">(Marine!CA_devex_nom*Marine!NOC_CI_devex)*(Marine!CA_op_trig)</f>
        <v>0</v>
      </c>
      <c r="AE403" s="49">
        <f ca="1">(Marine!CA_devex_nom*Marine!NOC_CI_devex)*(Marine!CA_op_trig)</f>
        <v>0</v>
      </c>
      <c r="AF403" s="49">
        <f ca="1">(Marine!CA_devex_nom*Marine!NOC_CI_devex)*(Marine!CA_op_trig)</f>
        <v>0</v>
      </c>
      <c r="AG403" s="49">
        <f ca="1">(Marine!CA_devex_nom*Marine!NOC_CI_devex)*(Marine!CA_op_trig)</f>
        <v>0</v>
      </c>
      <c r="AH403" s="49">
        <f ca="1">(Marine!CA_devex_nom*Marine!NOC_CI_devex)*(Marine!CA_op_trig)</f>
        <v>0</v>
      </c>
      <c r="AI403" s="49">
        <f ca="1">(Marine!CA_devex_nom*Marine!NOC_CI_devex)*(Marine!CA_op_trig)</f>
        <v>0</v>
      </c>
      <c r="AJ403" s="49">
        <f ca="1">(Marine!CA_devex_nom*Marine!NOC_CI_devex)*(Marine!CA_op_trig)</f>
        <v>0</v>
      </c>
      <c r="AK403" s="49">
        <f ca="1">(Marine!CA_devex_nom*Marine!NOC_CI_devex)*(Marine!CA_op_trig)</f>
        <v>0</v>
      </c>
      <c r="AL403" s="49">
        <f ca="1">(Marine!CA_devex_nom*Marine!NOC_CI_devex)*(Marine!CA_op_trig)</f>
        <v>0</v>
      </c>
      <c r="AM403" s="49">
        <f ca="1">(Marine!CA_devex_nom*Marine!NOC_CI_devex)*(Marine!CA_op_trig)</f>
        <v>0</v>
      </c>
      <c r="AN403" s="49">
        <f ca="1">(Marine!CA_devex_nom*Marine!NOC_CI_devex)*(Marine!CA_op_trig)</f>
        <v>0</v>
      </c>
      <c r="AO403" s="49">
        <f ca="1">(Marine!CA_devex_nom*Marine!NOC_CI_devex)*(Marine!CA_op_trig)</f>
        <v>0</v>
      </c>
      <c r="AP403" s="49">
        <f ca="1">(Marine!CA_devex_nom*Marine!NOC_CI_devex)*(Marine!CA_op_trig)</f>
        <v>0</v>
      </c>
      <c r="AQ403" s="49">
        <f ca="1">(Marine!CA_devex_nom*Marine!NOC_CI_devex)*(Marine!CA_op_trig)</f>
        <v>0</v>
      </c>
      <c r="AR403" s="49">
        <f ca="1">(Marine!CA_devex_nom*Marine!NOC_CI_devex)*(Marine!CA_op_trig)</f>
        <v>0</v>
      </c>
      <c r="AS403" s="49">
        <f ca="1">(Marine!CA_devex_nom*Marine!NOC_CI_devex)*(Marine!CA_op_trig)</f>
        <v>0</v>
      </c>
      <c r="AT403" s="49">
        <f ca="1">(Marine!CA_devex_nom*Marine!NOC_CI_devex)*(Marine!CA_op_trig)</f>
        <v>0</v>
      </c>
      <c r="AU403" s="49">
        <f ca="1">(Marine!CA_devex_nom*Marine!NOC_CI_devex)*(Marine!CA_op_trig)</f>
        <v>0</v>
      </c>
      <c r="AV403" s="49">
        <f ca="1">(Marine!CA_devex_nom*Marine!NOC_CI_devex)*(Marine!CA_op_trig)</f>
        <v>0</v>
      </c>
      <c r="AW403" s="49">
        <f ca="1">(Marine!CA_devex_nom*Marine!NOC_CI_devex)*(Marine!CA_op_trig)</f>
        <v>0</v>
      </c>
      <c r="AX403" s="49">
        <f ca="1">(Marine!CA_devex_nom*Marine!NOC_CI_devex)*(Marine!CA_op_trig)</f>
        <v>0</v>
      </c>
      <c r="AY403" s="49">
        <f ca="1">(Marine!CA_devex_nom*Marine!NOC_CI_devex)*(Marine!CA_op_trig)</f>
        <v>0</v>
      </c>
      <c r="AZ403" s="49">
        <f ca="1">(Marine!CA_devex_nom*Marine!NOC_CI_devex)*(Marine!CA_op_trig)</f>
        <v>0</v>
      </c>
      <c r="BA403" s="49">
        <f ca="1">(Marine!CA_devex_nom*Marine!NOC_CI_devex)*(Marine!CA_op_trig)</f>
        <v>0</v>
      </c>
      <c r="BB403" s="49">
        <f ca="1">(Marine!CA_devex_nom*Marine!NOC_CI_devex)*(Marine!CA_op_trig)</f>
        <v>0</v>
      </c>
      <c r="BC403" s="49">
        <f ca="1">(Marine!CA_devex_nom*Marine!NOC_CI_devex)*(Marine!CA_op_trig)</f>
        <v>0</v>
      </c>
      <c r="BD403" s="49">
        <f ca="1">(Marine!CA_devex_nom*Marine!NOC_CI_devex)*(Marine!CA_op_trig)</f>
        <v>0</v>
      </c>
      <c r="BE403" s="49">
        <f ca="1">(Marine!CA_devex_nom*Marine!NOC_CI_devex)*(Marine!CA_op_trig)</f>
        <v>0</v>
      </c>
      <c r="BF403" s="49">
        <f ca="1">(Marine!CA_devex_nom*Marine!NOC_CI_devex)*(Marine!CA_op_trig)</f>
        <v>0</v>
      </c>
      <c r="BG403" s="49">
        <f ca="1">(Marine!CA_devex_nom*Marine!NOC_CI_devex)*(Marine!CA_op_trig)</f>
        <v>0</v>
      </c>
      <c r="BH403" s="49">
        <f ca="1">(Marine!CA_devex_nom*Marine!NOC_CI_devex)*(Marine!CA_op_trig)</f>
        <v>0</v>
      </c>
      <c r="BI403" s="49">
        <f ca="1">(Marine!CA_devex_nom*Marine!NOC_CI_devex)*(Marine!CA_op_trig)</f>
        <v>0</v>
      </c>
      <c r="BJ403" s="49">
        <f ca="1">(Marine!CA_devex_nom*Marine!NOC_CI_devex)*(Marine!CA_op_trig)</f>
        <v>0</v>
      </c>
      <c r="BK403" s="49">
        <f ca="1">(Marine!CA_devex_nom*Marine!NOC_CI_devex)*(Marine!CA_op_trig)</f>
        <v>0</v>
      </c>
      <c r="BL403" s="49">
        <f ca="1">(Marine!CA_devex_nom*Marine!NOC_CI_devex)*(Marine!CA_op_trig)</f>
        <v>0</v>
      </c>
      <c r="BM403" s="49">
        <f ca="1">(Marine!CA_devex_nom*Marine!NOC_CI_devex)*(Marine!CA_op_trig)</f>
        <v>0</v>
      </c>
      <c r="BN403" s="49">
        <f ca="1">(Marine!CA_devex_nom*Marine!NOC_CI_devex)*(Marine!CA_op_trig)</f>
        <v>0</v>
      </c>
      <c r="BO403" s="49">
        <f ca="1">(Marine!CA_devex_nom*Marine!NOC_CI_devex)*(Marine!CA_op_trig)</f>
        <v>0</v>
      </c>
      <c r="BP403" s="49">
        <f ca="1">(Marine!CA_devex_nom*Marine!NOC_CI_devex)*(Marine!CA_op_trig)</f>
        <v>0</v>
      </c>
      <c r="BQ403" s="49">
        <f ca="1">(Marine!CA_devex_nom*Marine!NOC_CI_devex)*(Marine!CA_op_trig)</f>
        <v>0</v>
      </c>
      <c r="BR403" s="49">
        <f ca="1">(Marine!CA_devex_nom*Marine!NOC_CI_devex)*(Marine!CA_op_trig)</f>
        <v>0</v>
      </c>
      <c r="BS403" s="49">
        <f ca="1">(Marine!CA_devex_nom*Marine!NOC_CI_devex)*(Marine!CA_op_trig)</f>
        <v>0</v>
      </c>
    </row>
    <row r="404" spans="3:71" outlineLevel="1" x14ac:dyDescent="0.2">
      <c r="D404" t="s">
        <v>333</v>
      </c>
      <c r="I404" s="30">
        <f t="shared" ca="1" si="155"/>
        <v>0</v>
      </c>
      <c r="J404" s="26" t="s">
        <v>148</v>
      </c>
      <c r="K404" s="7" t="s">
        <v>360</v>
      </c>
      <c r="L404" s="49">
        <f ca="1">((Marine!CA_varopex_nom+Marine!CA_fixedopex_nom)*(Marine!NOC_CI_opex))*(Marine!CA_op_trig)</f>
        <v>0</v>
      </c>
      <c r="M404" s="49">
        <f ca="1">((Marine!CA_varopex_nom+Marine!CA_fixedopex_nom)*(Marine!NOC_CI_opex))*(Marine!CA_op_trig)</f>
        <v>0</v>
      </c>
      <c r="N404" s="49">
        <f ca="1">((Marine!CA_varopex_nom+Marine!CA_fixedopex_nom)*(Marine!NOC_CI_opex))*(Marine!CA_op_trig)</f>
        <v>0</v>
      </c>
      <c r="O404" s="49">
        <f ca="1">((Marine!CA_varopex_nom+Marine!CA_fixedopex_nom)*(Marine!NOC_CI_opex))*(Marine!CA_op_trig)</f>
        <v>0</v>
      </c>
      <c r="P404" s="49">
        <f ca="1">((Marine!CA_varopex_nom+Marine!CA_fixedopex_nom)*(Marine!NOC_CI_opex))*(Marine!CA_op_trig)</f>
        <v>0</v>
      </c>
      <c r="Q404" s="49">
        <f ca="1">((Marine!CA_varopex_nom+Marine!CA_fixedopex_nom)*(Marine!NOC_CI_opex))*(Marine!CA_op_trig)</f>
        <v>0</v>
      </c>
      <c r="R404" s="49">
        <f ca="1">((Marine!CA_varopex_nom+Marine!CA_fixedopex_nom)*(Marine!NOC_CI_opex))*(Marine!CA_op_trig)</f>
        <v>0</v>
      </c>
      <c r="S404" s="49">
        <f ca="1">((Marine!CA_varopex_nom+Marine!CA_fixedopex_nom)*(Marine!NOC_CI_opex))*(Marine!CA_op_trig)</f>
        <v>0</v>
      </c>
      <c r="T404" s="49">
        <f ca="1">((Marine!CA_varopex_nom+Marine!CA_fixedopex_nom)*(Marine!NOC_CI_opex))*(Marine!CA_op_trig)</f>
        <v>0</v>
      </c>
      <c r="U404" s="49">
        <f ca="1">((Marine!CA_varopex_nom+Marine!CA_fixedopex_nom)*(Marine!NOC_CI_opex))*(Marine!CA_op_trig)</f>
        <v>0</v>
      </c>
      <c r="V404" s="49">
        <f ca="1">((Marine!CA_varopex_nom+Marine!CA_fixedopex_nom)*(Marine!NOC_CI_opex))*(Marine!CA_op_trig)</f>
        <v>0</v>
      </c>
      <c r="W404" s="49">
        <f ca="1">((Marine!CA_varopex_nom+Marine!CA_fixedopex_nom)*(Marine!NOC_CI_opex))*(Marine!CA_op_trig)</f>
        <v>0</v>
      </c>
      <c r="X404" s="49">
        <f ca="1">((Marine!CA_varopex_nom+Marine!CA_fixedopex_nom)*(Marine!NOC_CI_opex))*(Marine!CA_op_trig)</f>
        <v>0</v>
      </c>
      <c r="Y404" s="49">
        <f ca="1">((Marine!CA_varopex_nom+Marine!CA_fixedopex_nom)*(Marine!NOC_CI_opex))*(Marine!CA_op_trig)</f>
        <v>0</v>
      </c>
      <c r="Z404" s="49">
        <f ca="1">((Marine!CA_varopex_nom+Marine!CA_fixedopex_nom)*(Marine!NOC_CI_opex))*(Marine!CA_op_trig)</f>
        <v>0</v>
      </c>
      <c r="AA404" s="49">
        <f ca="1">((Marine!CA_varopex_nom+Marine!CA_fixedopex_nom)*(Marine!NOC_CI_opex))*(Marine!CA_op_trig)</f>
        <v>0</v>
      </c>
      <c r="AB404" s="49">
        <f ca="1">((Marine!CA_varopex_nom+Marine!CA_fixedopex_nom)*(Marine!NOC_CI_opex))*(Marine!CA_op_trig)</f>
        <v>0</v>
      </c>
      <c r="AC404" s="49">
        <f ca="1">((Marine!CA_varopex_nom+Marine!CA_fixedopex_nom)*(Marine!NOC_CI_opex))*(Marine!CA_op_trig)</f>
        <v>0</v>
      </c>
      <c r="AD404" s="49">
        <f ca="1">((Marine!CA_varopex_nom+Marine!CA_fixedopex_nom)*(Marine!NOC_CI_opex))*(Marine!CA_op_trig)</f>
        <v>0</v>
      </c>
      <c r="AE404" s="49">
        <f ca="1">((Marine!CA_varopex_nom+Marine!CA_fixedopex_nom)*(Marine!NOC_CI_opex))*(Marine!CA_op_trig)</f>
        <v>0</v>
      </c>
      <c r="AF404" s="49">
        <f ca="1">((Marine!CA_varopex_nom+Marine!CA_fixedopex_nom)*(Marine!NOC_CI_opex))*(Marine!CA_op_trig)</f>
        <v>0</v>
      </c>
      <c r="AG404" s="49">
        <f ca="1">((Marine!CA_varopex_nom+Marine!CA_fixedopex_nom)*(Marine!NOC_CI_opex))*(Marine!CA_op_trig)</f>
        <v>0</v>
      </c>
      <c r="AH404" s="49">
        <f ca="1">((Marine!CA_varopex_nom+Marine!CA_fixedopex_nom)*(Marine!NOC_CI_opex))*(Marine!CA_op_trig)</f>
        <v>0</v>
      </c>
      <c r="AI404" s="49">
        <f ca="1">((Marine!CA_varopex_nom+Marine!CA_fixedopex_nom)*(Marine!NOC_CI_opex))*(Marine!CA_op_trig)</f>
        <v>0</v>
      </c>
      <c r="AJ404" s="49">
        <f ca="1">((Marine!CA_varopex_nom+Marine!CA_fixedopex_nom)*(Marine!NOC_CI_opex))*(Marine!CA_op_trig)</f>
        <v>0</v>
      </c>
      <c r="AK404" s="49">
        <f ca="1">((Marine!CA_varopex_nom+Marine!CA_fixedopex_nom)*(Marine!NOC_CI_opex))*(Marine!CA_op_trig)</f>
        <v>0</v>
      </c>
      <c r="AL404" s="49">
        <f ca="1">((Marine!CA_varopex_nom+Marine!CA_fixedopex_nom)*(Marine!NOC_CI_opex))*(Marine!CA_op_trig)</f>
        <v>0</v>
      </c>
      <c r="AM404" s="49">
        <f ca="1">((Marine!CA_varopex_nom+Marine!CA_fixedopex_nom)*(Marine!NOC_CI_opex))*(Marine!CA_op_trig)</f>
        <v>0</v>
      </c>
      <c r="AN404" s="49">
        <f ca="1">((Marine!CA_varopex_nom+Marine!CA_fixedopex_nom)*(Marine!NOC_CI_opex))*(Marine!CA_op_trig)</f>
        <v>0</v>
      </c>
      <c r="AO404" s="49">
        <f ca="1">((Marine!CA_varopex_nom+Marine!CA_fixedopex_nom)*(Marine!NOC_CI_opex))*(Marine!CA_op_trig)</f>
        <v>0</v>
      </c>
      <c r="AP404" s="49">
        <f ca="1">((Marine!CA_varopex_nom+Marine!CA_fixedopex_nom)*(Marine!NOC_CI_opex))*(Marine!CA_op_trig)</f>
        <v>0</v>
      </c>
      <c r="AQ404" s="49">
        <f ca="1">((Marine!CA_varopex_nom+Marine!CA_fixedopex_nom)*(Marine!NOC_CI_opex))*(Marine!CA_op_trig)</f>
        <v>0</v>
      </c>
      <c r="AR404" s="49">
        <f ca="1">((Marine!CA_varopex_nom+Marine!CA_fixedopex_nom)*(Marine!NOC_CI_opex))*(Marine!CA_op_trig)</f>
        <v>0</v>
      </c>
      <c r="AS404" s="49">
        <f ca="1">((Marine!CA_varopex_nom+Marine!CA_fixedopex_nom)*(Marine!NOC_CI_opex))*(Marine!CA_op_trig)</f>
        <v>0</v>
      </c>
      <c r="AT404" s="49">
        <f ca="1">((Marine!CA_varopex_nom+Marine!CA_fixedopex_nom)*(Marine!NOC_CI_opex))*(Marine!CA_op_trig)</f>
        <v>0</v>
      </c>
      <c r="AU404" s="49">
        <f ca="1">((Marine!CA_varopex_nom+Marine!CA_fixedopex_nom)*(Marine!NOC_CI_opex))*(Marine!CA_op_trig)</f>
        <v>0</v>
      </c>
      <c r="AV404" s="49">
        <f ca="1">((Marine!CA_varopex_nom+Marine!CA_fixedopex_nom)*(Marine!NOC_CI_opex))*(Marine!CA_op_trig)</f>
        <v>0</v>
      </c>
      <c r="AW404" s="49">
        <f ca="1">((Marine!CA_varopex_nom+Marine!CA_fixedopex_nom)*(Marine!NOC_CI_opex))*(Marine!CA_op_trig)</f>
        <v>0</v>
      </c>
      <c r="AX404" s="49">
        <f ca="1">((Marine!CA_varopex_nom+Marine!CA_fixedopex_nom)*(Marine!NOC_CI_opex))*(Marine!CA_op_trig)</f>
        <v>0</v>
      </c>
      <c r="AY404" s="49">
        <f ca="1">((Marine!CA_varopex_nom+Marine!CA_fixedopex_nom)*(Marine!NOC_CI_opex))*(Marine!CA_op_trig)</f>
        <v>0</v>
      </c>
      <c r="AZ404" s="49">
        <f ca="1">((Marine!CA_varopex_nom+Marine!CA_fixedopex_nom)*(Marine!NOC_CI_opex))*(Marine!CA_op_trig)</f>
        <v>0</v>
      </c>
      <c r="BA404" s="49">
        <f ca="1">((Marine!CA_varopex_nom+Marine!CA_fixedopex_nom)*(Marine!NOC_CI_opex))*(Marine!CA_op_trig)</f>
        <v>0</v>
      </c>
      <c r="BB404" s="49">
        <f ca="1">((Marine!CA_varopex_nom+Marine!CA_fixedopex_nom)*(Marine!NOC_CI_opex))*(Marine!CA_op_trig)</f>
        <v>0</v>
      </c>
      <c r="BC404" s="49">
        <f ca="1">((Marine!CA_varopex_nom+Marine!CA_fixedopex_nom)*(Marine!NOC_CI_opex))*(Marine!CA_op_trig)</f>
        <v>0</v>
      </c>
      <c r="BD404" s="49">
        <f ca="1">((Marine!CA_varopex_nom+Marine!CA_fixedopex_nom)*(Marine!NOC_CI_opex))*(Marine!CA_op_trig)</f>
        <v>0</v>
      </c>
      <c r="BE404" s="49">
        <f ca="1">((Marine!CA_varopex_nom+Marine!CA_fixedopex_nom)*(Marine!NOC_CI_opex))*(Marine!CA_op_trig)</f>
        <v>0</v>
      </c>
      <c r="BF404" s="49">
        <f ca="1">((Marine!CA_varopex_nom+Marine!CA_fixedopex_nom)*(Marine!NOC_CI_opex))*(Marine!CA_op_trig)</f>
        <v>0</v>
      </c>
      <c r="BG404" s="49">
        <f ca="1">((Marine!CA_varopex_nom+Marine!CA_fixedopex_nom)*(Marine!NOC_CI_opex))*(Marine!CA_op_trig)</f>
        <v>0</v>
      </c>
      <c r="BH404" s="49">
        <f ca="1">((Marine!CA_varopex_nom+Marine!CA_fixedopex_nom)*(Marine!NOC_CI_opex))*(Marine!CA_op_trig)</f>
        <v>0</v>
      </c>
      <c r="BI404" s="49">
        <f ca="1">((Marine!CA_varopex_nom+Marine!CA_fixedopex_nom)*(Marine!NOC_CI_opex))*(Marine!CA_op_trig)</f>
        <v>0</v>
      </c>
      <c r="BJ404" s="49">
        <f ca="1">((Marine!CA_varopex_nom+Marine!CA_fixedopex_nom)*(Marine!NOC_CI_opex))*(Marine!CA_op_trig)</f>
        <v>0</v>
      </c>
      <c r="BK404" s="49">
        <f ca="1">((Marine!CA_varopex_nom+Marine!CA_fixedopex_nom)*(Marine!NOC_CI_opex))*(Marine!CA_op_trig)</f>
        <v>0</v>
      </c>
      <c r="BL404" s="49">
        <f ca="1">((Marine!CA_varopex_nom+Marine!CA_fixedopex_nom)*(Marine!NOC_CI_opex))*(Marine!CA_op_trig)</f>
        <v>0</v>
      </c>
      <c r="BM404" s="49">
        <f ca="1">((Marine!CA_varopex_nom+Marine!CA_fixedopex_nom)*(Marine!NOC_CI_opex))*(Marine!CA_op_trig)</f>
        <v>0</v>
      </c>
      <c r="BN404" s="49">
        <f ca="1">((Marine!CA_varopex_nom+Marine!CA_fixedopex_nom)*(Marine!NOC_CI_opex))*(Marine!CA_op_trig)</f>
        <v>0</v>
      </c>
      <c r="BO404" s="49">
        <f ca="1">((Marine!CA_varopex_nom+Marine!CA_fixedopex_nom)*(Marine!NOC_CI_opex))*(Marine!CA_op_trig)</f>
        <v>0</v>
      </c>
      <c r="BP404" s="49">
        <f ca="1">((Marine!CA_varopex_nom+Marine!CA_fixedopex_nom)*(Marine!NOC_CI_opex))*(Marine!CA_op_trig)</f>
        <v>0</v>
      </c>
      <c r="BQ404" s="49">
        <f ca="1">((Marine!CA_varopex_nom+Marine!CA_fixedopex_nom)*(Marine!NOC_CI_opex))*(Marine!CA_op_trig)</f>
        <v>0</v>
      </c>
      <c r="BR404" s="49">
        <f ca="1">((Marine!CA_varopex_nom+Marine!CA_fixedopex_nom)*(Marine!NOC_CI_opex))*(Marine!CA_op_trig)</f>
        <v>0</v>
      </c>
      <c r="BS404" s="49">
        <f ca="1">((Marine!CA_varopex_nom+Marine!CA_fixedopex_nom)*(Marine!NOC_CI_opex))*(Marine!CA_op_trig)</f>
        <v>0</v>
      </c>
    </row>
    <row r="405" spans="3:71" outlineLevel="1" x14ac:dyDescent="0.2">
      <c r="D405" s="11" t="s">
        <v>129</v>
      </c>
      <c r="I405" s="30">
        <f t="shared" ca="1" si="155"/>
        <v>276.04570000000001</v>
      </c>
      <c r="J405" s="26" t="s">
        <v>148</v>
      </c>
      <c r="L405" s="49">
        <f ca="1">SUM(L402:L404)</f>
        <v>38.758499999999998</v>
      </c>
      <c r="M405" s="49">
        <f t="shared" ref="M405:BS405" ca="1" si="156">SUM(M402:M404)</f>
        <v>50.290700000000008</v>
      </c>
      <c r="N405" s="49">
        <f t="shared" ca="1" si="156"/>
        <v>77.796599999999998</v>
      </c>
      <c r="O405" s="49">
        <f t="shared" ca="1" si="156"/>
        <v>45.441400000000002</v>
      </c>
      <c r="P405" s="49">
        <f t="shared" ca="1" si="156"/>
        <v>40.729100000000003</v>
      </c>
      <c r="Q405" s="49">
        <f t="shared" ca="1" si="156"/>
        <v>23.029400000000003</v>
      </c>
      <c r="R405" s="49">
        <f t="shared" ca="1" si="156"/>
        <v>0</v>
      </c>
      <c r="S405" s="49">
        <f t="shared" ca="1" si="156"/>
        <v>0</v>
      </c>
      <c r="T405" s="49">
        <f t="shared" ca="1" si="156"/>
        <v>0</v>
      </c>
      <c r="U405" s="49">
        <f t="shared" ca="1" si="156"/>
        <v>0</v>
      </c>
      <c r="V405" s="49">
        <f t="shared" ca="1" si="156"/>
        <v>0</v>
      </c>
      <c r="W405" s="49">
        <f t="shared" ca="1" si="156"/>
        <v>0</v>
      </c>
      <c r="X405" s="49">
        <f t="shared" ca="1" si="156"/>
        <v>0</v>
      </c>
      <c r="Y405" s="49">
        <f t="shared" ca="1" si="156"/>
        <v>0</v>
      </c>
      <c r="Z405" s="49">
        <f t="shared" ca="1" si="156"/>
        <v>0</v>
      </c>
      <c r="AA405" s="49">
        <f t="shared" ca="1" si="156"/>
        <v>0</v>
      </c>
      <c r="AB405" s="49">
        <f t="shared" ca="1" si="156"/>
        <v>0</v>
      </c>
      <c r="AC405" s="49">
        <f t="shared" ca="1" si="156"/>
        <v>0</v>
      </c>
      <c r="AD405" s="49">
        <f t="shared" ca="1" si="156"/>
        <v>0</v>
      </c>
      <c r="AE405" s="49">
        <f t="shared" ca="1" si="156"/>
        <v>0</v>
      </c>
      <c r="AF405" s="49">
        <f t="shared" ca="1" si="156"/>
        <v>0</v>
      </c>
      <c r="AG405" s="49">
        <f t="shared" ca="1" si="156"/>
        <v>0</v>
      </c>
      <c r="AH405" s="49">
        <f t="shared" ca="1" si="156"/>
        <v>0</v>
      </c>
      <c r="AI405" s="49">
        <f t="shared" ca="1" si="156"/>
        <v>0</v>
      </c>
      <c r="AJ405" s="49">
        <f t="shared" ca="1" si="156"/>
        <v>0</v>
      </c>
      <c r="AK405" s="49">
        <f t="shared" ca="1" si="156"/>
        <v>0</v>
      </c>
      <c r="AL405" s="49">
        <f t="shared" ca="1" si="156"/>
        <v>0</v>
      </c>
      <c r="AM405" s="49">
        <f t="shared" ca="1" si="156"/>
        <v>0</v>
      </c>
      <c r="AN405" s="49">
        <f t="shared" ca="1" si="156"/>
        <v>0</v>
      </c>
      <c r="AO405" s="49">
        <f t="shared" ca="1" si="156"/>
        <v>0</v>
      </c>
      <c r="AP405" s="49">
        <f t="shared" ca="1" si="156"/>
        <v>0</v>
      </c>
      <c r="AQ405" s="49">
        <f t="shared" ca="1" si="156"/>
        <v>0</v>
      </c>
      <c r="AR405" s="49">
        <f t="shared" ca="1" si="156"/>
        <v>0</v>
      </c>
      <c r="AS405" s="49">
        <f t="shared" ca="1" si="156"/>
        <v>0</v>
      </c>
      <c r="AT405" s="49">
        <f t="shared" ca="1" si="156"/>
        <v>0</v>
      </c>
      <c r="AU405" s="49">
        <f t="shared" ca="1" si="156"/>
        <v>0</v>
      </c>
      <c r="AV405" s="49">
        <f t="shared" ca="1" si="156"/>
        <v>0</v>
      </c>
      <c r="AW405" s="49">
        <f t="shared" ca="1" si="156"/>
        <v>0</v>
      </c>
      <c r="AX405" s="49">
        <f t="shared" ca="1" si="156"/>
        <v>0</v>
      </c>
      <c r="AY405" s="49">
        <f t="shared" ca="1" si="156"/>
        <v>0</v>
      </c>
      <c r="AZ405" s="49">
        <f t="shared" ca="1" si="156"/>
        <v>0</v>
      </c>
      <c r="BA405" s="49">
        <f t="shared" ca="1" si="156"/>
        <v>0</v>
      </c>
      <c r="BB405" s="49">
        <f t="shared" ca="1" si="156"/>
        <v>0</v>
      </c>
      <c r="BC405" s="49">
        <f t="shared" ca="1" si="156"/>
        <v>0</v>
      </c>
      <c r="BD405" s="49">
        <f t="shared" ca="1" si="156"/>
        <v>0</v>
      </c>
      <c r="BE405" s="49">
        <f t="shared" ca="1" si="156"/>
        <v>0</v>
      </c>
      <c r="BF405" s="49">
        <f t="shared" ca="1" si="156"/>
        <v>0</v>
      </c>
      <c r="BG405" s="49">
        <f t="shared" ca="1" si="156"/>
        <v>0</v>
      </c>
      <c r="BH405" s="49">
        <f t="shared" ca="1" si="156"/>
        <v>0</v>
      </c>
      <c r="BI405" s="49">
        <f t="shared" ca="1" si="156"/>
        <v>0</v>
      </c>
      <c r="BJ405" s="49">
        <f t="shared" ca="1" si="156"/>
        <v>0</v>
      </c>
      <c r="BK405" s="49">
        <f t="shared" ca="1" si="156"/>
        <v>0</v>
      </c>
      <c r="BL405" s="49">
        <f t="shared" ca="1" si="156"/>
        <v>0</v>
      </c>
      <c r="BM405" s="49">
        <f t="shared" ca="1" si="156"/>
        <v>0</v>
      </c>
      <c r="BN405" s="49">
        <f t="shared" ca="1" si="156"/>
        <v>0</v>
      </c>
      <c r="BO405" s="49">
        <f t="shared" ca="1" si="156"/>
        <v>0</v>
      </c>
      <c r="BP405" s="49">
        <f t="shared" ca="1" si="156"/>
        <v>0</v>
      </c>
      <c r="BQ405" s="49">
        <f t="shared" ca="1" si="156"/>
        <v>0</v>
      </c>
      <c r="BR405" s="49">
        <f t="shared" ca="1" si="156"/>
        <v>0</v>
      </c>
      <c r="BS405" s="49">
        <f t="shared" ca="1" si="156"/>
        <v>0</v>
      </c>
    </row>
    <row r="406" spans="3:71" outlineLevel="1" x14ac:dyDescent="0.2">
      <c r="J406" s="26"/>
      <c r="L406" s="55"/>
      <c r="M406" s="55"/>
      <c r="N406" s="55"/>
      <c r="O406" s="55"/>
      <c r="P406" s="55"/>
      <c r="Q406" s="55"/>
      <c r="R406" s="55"/>
      <c r="S406" s="55"/>
      <c r="T406" s="55"/>
      <c r="U406" s="55"/>
      <c r="V406" s="55"/>
      <c r="W406" s="55"/>
      <c r="X406" s="55"/>
      <c r="Y406" s="55"/>
      <c r="Z406" s="55"/>
      <c r="AA406" s="55"/>
      <c r="AB406" s="55"/>
      <c r="AC406" s="55"/>
      <c r="AD406" s="55"/>
      <c r="AE406" s="55"/>
      <c r="AF406" s="55"/>
      <c r="AG406" s="55"/>
      <c r="AH406" s="55"/>
      <c r="AI406" s="55"/>
      <c r="AJ406" s="55"/>
      <c r="AK406" s="55"/>
      <c r="AL406" s="55"/>
      <c r="AM406" s="55"/>
      <c r="AN406" s="55"/>
      <c r="AO406" s="55"/>
      <c r="AP406" s="55"/>
      <c r="AQ406" s="55"/>
      <c r="AR406" s="55"/>
      <c r="AS406" s="55"/>
      <c r="AT406" s="55"/>
      <c r="AU406" s="55"/>
      <c r="AV406" s="55"/>
      <c r="AW406" s="55"/>
      <c r="AX406" s="55"/>
      <c r="AY406" s="55"/>
      <c r="AZ406" s="55"/>
      <c r="BA406" s="55"/>
      <c r="BB406" s="55"/>
      <c r="BC406" s="55"/>
      <c r="BD406" s="55"/>
      <c r="BE406" s="55"/>
      <c r="BF406" s="55"/>
      <c r="BG406" s="55"/>
      <c r="BH406" s="55"/>
      <c r="BI406" s="55"/>
      <c r="BJ406" s="55"/>
      <c r="BK406" s="55"/>
      <c r="BL406" s="55"/>
      <c r="BM406" s="55"/>
      <c r="BN406" s="55"/>
      <c r="BO406" s="55"/>
      <c r="BP406" s="55"/>
      <c r="BQ406" s="55"/>
      <c r="BR406" s="55"/>
      <c r="BS406" s="55"/>
    </row>
    <row r="407" spans="3:71" outlineLevel="1" x14ac:dyDescent="0.2">
      <c r="C407" s="11" t="s">
        <v>334</v>
      </c>
      <c r="J407" s="26"/>
      <c r="L407" s="55"/>
      <c r="M407" s="55"/>
      <c r="N407" s="55"/>
      <c r="O407" s="55"/>
      <c r="P407" s="55"/>
      <c r="Q407" s="55"/>
      <c r="R407" s="55"/>
      <c r="S407" s="55"/>
      <c r="T407" s="55"/>
      <c r="U407" s="55"/>
      <c r="V407" s="55"/>
      <c r="W407" s="55"/>
      <c r="X407" s="55"/>
      <c r="Y407" s="55"/>
      <c r="Z407" s="55"/>
      <c r="AA407" s="55"/>
      <c r="AB407" s="55"/>
      <c r="AC407" s="55"/>
      <c r="AD407" s="55"/>
      <c r="AE407" s="55"/>
      <c r="AF407" s="55"/>
      <c r="AG407" s="55"/>
      <c r="AH407" s="55"/>
      <c r="AI407" s="55"/>
      <c r="AJ407" s="55"/>
      <c r="AK407" s="55"/>
      <c r="AL407" s="55"/>
      <c r="AM407" s="55"/>
      <c r="AN407" s="55"/>
      <c r="AO407" s="55"/>
      <c r="AP407" s="55"/>
      <c r="AQ407" s="55"/>
      <c r="AR407" s="55"/>
      <c r="AS407" s="55"/>
      <c r="AT407" s="55"/>
      <c r="AU407" s="55"/>
      <c r="AV407" s="55"/>
      <c r="AW407" s="55"/>
      <c r="AX407" s="55"/>
      <c r="AY407" s="55"/>
      <c r="AZ407" s="55"/>
      <c r="BA407" s="55"/>
      <c r="BB407" s="55"/>
      <c r="BC407" s="55"/>
      <c r="BD407" s="55"/>
      <c r="BE407" s="55"/>
      <c r="BF407" s="55"/>
      <c r="BG407" s="55"/>
      <c r="BH407" s="55"/>
      <c r="BI407" s="55"/>
      <c r="BJ407" s="55"/>
      <c r="BK407" s="55"/>
      <c r="BL407" s="55"/>
      <c r="BM407" s="55"/>
      <c r="BN407" s="55"/>
      <c r="BO407" s="55"/>
      <c r="BP407" s="55"/>
      <c r="BQ407" s="55"/>
      <c r="BR407" s="55"/>
      <c r="BS407" s="55"/>
    </row>
    <row r="408" spans="3:71" outlineLevel="1" x14ac:dyDescent="0.2">
      <c r="D408" t="s">
        <v>337</v>
      </c>
      <c r="J408" s="26"/>
      <c r="L408" s="49">
        <f>K411</f>
        <v>0</v>
      </c>
      <c r="M408" s="49">
        <f t="shared" ref="M408:BS408" ca="1" si="157">L411</f>
        <v>17.022300000000001</v>
      </c>
      <c r="N408" s="49">
        <f t="shared" ca="1" si="157"/>
        <v>24.098600000000001</v>
      </c>
      <c r="O408" s="49">
        <f t="shared" ca="1" si="157"/>
        <v>33.662199999999999</v>
      </c>
      <c r="P408" s="49">
        <f t="shared" ca="1" si="157"/>
        <v>36.303100000000001</v>
      </c>
      <c r="Q408" s="49">
        <f t="shared" ca="1" si="157"/>
        <v>36.379100000000001</v>
      </c>
      <c r="R408" s="49">
        <f t="shared" ca="1" si="157"/>
        <v>36.6815</v>
      </c>
      <c r="S408" s="49">
        <f t="shared" ca="1" si="157"/>
        <v>36.6815</v>
      </c>
      <c r="T408" s="49">
        <f t="shared" ca="1" si="157"/>
        <v>36.6815</v>
      </c>
      <c r="U408" s="49">
        <f t="shared" ca="1" si="157"/>
        <v>36.6815</v>
      </c>
      <c r="V408" s="49">
        <f t="shared" ca="1" si="157"/>
        <v>36.6815</v>
      </c>
      <c r="W408" s="49">
        <f t="shared" ca="1" si="157"/>
        <v>36.6815</v>
      </c>
      <c r="X408" s="49">
        <f t="shared" ca="1" si="157"/>
        <v>36.6815</v>
      </c>
      <c r="Y408" s="49">
        <f t="shared" ca="1" si="157"/>
        <v>36.6815</v>
      </c>
      <c r="Z408" s="49">
        <f t="shared" ca="1" si="157"/>
        <v>36.6815</v>
      </c>
      <c r="AA408" s="49">
        <f t="shared" ca="1" si="157"/>
        <v>36.6815</v>
      </c>
      <c r="AB408" s="49">
        <f t="shared" ca="1" si="157"/>
        <v>36.6815</v>
      </c>
      <c r="AC408" s="49">
        <f t="shared" ca="1" si="157"/>
        <v>36.6815</v>
      </c>
      <c r="AD408" s="49">
        <f t="shared" ca="1" si="157"/>
        <v>36.6815</v>
      </c>
      <c r="AE408" s="49">
        <f t="shared" ca="1" si="157"/>
        <v>36.6815</v>
      </c>
      <c r="AF408" s="49">
        <f t="shared" ca="1" si="157"/>
        <v>36.6815</v>
      </c>
      <c r="AG408" s="49">
        <f t="shared" ca="1" si="157"/>
        <v>36.6815</v>
      </c>
      <c r="AH408" s="49">
        <f t="shared" ca="1" si="157"/>
        <v>36.6815</v>
      </c>
      <c r="AI408" s="49">
        <f t="shared" ca="1" si="157"/>
        <v>36.6815</v>
      </c>
      <c r="AJ408" s="49">
        <f t="shared" ca="1" si="157"/>
        <v>36.6815</v>
      </c>
      <c r="AK408" s="49">
        <f t="shared" ca="1" si="157"/>
        <v>36.6815</v>
      </c>
      <c r="AL408" s="49">
        <f t="shared" ca="1" si="157"/>
        <v>36.6815</v>
      </c>
      <c r="AM408" s="49">
        <f t="shared" ca="1" si="157"/>
        <v>36.6815</v>
      </c>
      <c r="AN408" s="49">
        <f t="shared" ca="1" si="157"/>
        <v>36.6815</v>
      </c>
      <c r="AO408" s="49">
        <f t="shared" ca="1" si="157"/>
        <v>36.6815</v>
      </c>
      <c r="AP408" s="49">
        <f t="shared" ca="1" si="157"/>
        <v>36.6815</v>
      </c>
      <c r="AQ408" s="49">
        <f t="shared" ca="1" si="157"/>
        <v>36.6815</v>
      </c>
      <c r="AR408" s="49">
        <f t="shared" ca="1" si="157"/>
        <v>36.6815</v>
      </c>
      <c r="AS408" s="49">
        <f t="shared" ca="1" si="157"/>
        <v>36.6815</v>
      </c>
      <c r="AT408" s="49">
        <f t="shared" ca="1" si="157"/>
        <v>36.6815</v>
      </c>
      <c r="AU408" s="49">
        <f t="shared" ca="1" si="157"/>
        <v>36.6815</v>
      </c>
      <c r="AV408" s="49">
        <f t="shared" ca="1" si="157"/>
        <v>36.6815</v>
      </c>
      <c r="AW408" s="49">
        <f t="shared" ca="1" si="157"/>
        <v>36.6815</v>
      </c>
      <c r="AX408" s="49">
        <f t="shared" ca="1" si="157"/>
        <v>36.6815</v>
      </c>
      <c r="AY408" s="49">
        <f t="shared" ca="1" si="157"/>
        <v>36.6815</v>
      </c>
      <c r="AZ408" s="49">
        <f t="shared" ca="1" si="157"/>
        <v>36.6815</v>
      </c>
      <c r="BA408" s="49">
        <f t="shared" ca="1" si="157"/>
        <v>36.6815</v>
      </c>
      <c r="BB408" s="49">
        <f t="shared" ca="1" si="157"/>
        <v>36.6815</v>
      </c>
      <c r="BC408" s="49">
        <f t="shared" ca="1" si="157"/>
        <v>36.6815</v>
      </c>
      <c r="BD408" s="49">
        <f t="shared" ca="1" si="157"/>
        <v>36.6815</v>
      </c>
      <c r="BE408" s="49">
        <f t="shared" ca="1" si="157"/>
        <v>36.6815</v>
      </c>
      <c r="BF408" s="49">
        <f t="shared" ca="1" si="157"/>
        <v>36.6815</v>
      </c>
      <c r="BG408" s="49">
        <f t="shared" ca="1" si="157"/>
        <v>36.6815</v>
      </c>
      <c r="BH408" s="49">
        <f t="shared" ca="1" si="157"/>
        <v>36.6815</v>
      </c>
      <c r="BI408" s="49">
        <f t="shared" ca="1" si="157"/>
        <v>36.6815</v>
      </c>
      <c r="BJ408" s="49">
        <f t="shared" ca="1" si="157"/>
        <v>36.6815</v>
      </c>
      <c r="BK408" s="49">
        <f t="shared" ca="1" si="157"/>
        <v>36.6815</v>
      </c>
      <c r="BL408" s="49">
        <f t="shared" ca="1" si="157"/>
        <v>36.6815</v>
      </c>
      <c r="BM408" s="49">
        <f t="shared" ca="1" si="157"/>
        <v>36.6815</v>
      </c>
      <c r="BN408" s="49">
        <f t="shared" ca="1" si="157"/>
        <v>36.6815</v>
      </c>
      <c r="BO408" s="49">
        <f t="shared" ca="1" si="157"/>
        <v>36.6815</v>
      </c>
      <c r="BP408" s="49">
        <f t="shared" ca="1" si="157"/>
        <v>36.6815</v>
      </c>
      <c r="BQ408" s="49">
        <f t="shared" ca="1" si="157"/>
        <v>36.6815</v>
      </c>
      <c r="BR408" s="49">
        <f t="shared" ca="1" si="157"/>
        <v>36.6815</v>
      </c>
      <c r="BS408" s="49">
        <f t="shared" ca="1" si="157"/>
        <v>36.6815</v>
      </c>
    </row>
    <row r="409" spans="3:71" outlineLevel="1" x14ac:dyDescent="0.2">
      <c r="D409" s="50" t="s">
        <v>348</v>
      </c>
      <c r="I409" s="30">
        <f t="shared" ref="I409:I410" ca="1" si="158">SUM($L409:$BS409)</f>
        <v>36.6815</v>
      </c>
      <c r="J409" s="26" t="s">
        <v>148</v>
      </c>
      <c r="L409" s="49">
        <f ca="1">L402</f>
        <v>17.022300000000001</v>
      </c>
      <c r="M409" s="49">
        <f t="shared" ref="M409:BS409" ca="1" si="159">M402</f>
        <v>7.0763000000000007</v>
      </c>
      <c r="N409" s="49">
        <f t="shared" ca="1" si="159"/>
        <v>9.5635999999999992</v>
      </c>
      <c r="O409" s="49">
        <f t="shared" ca="1" si="159"/>
        <v>2.6409000000000002</v>
      </c>
      <c r="P409" s="49">
        <f t="shared" ca="1" si="159"/>
        <v>7.6000000000000012E-2</v>
      </c>
      <c r="Q409" s="49">
        <f t="shared" ca="1" si="159"/>
        <v>0.3024</v>
      </c>
      <c r="R409" s="49">
        <f t="shared" ca="1" si="159"/>
        <v>0</v>
      </c>
      <c r="S409" s="49">
        <f t="shared" ca="1" si="159"/>
        <v>0</v>
      </c>
      <c r="T409" s="49">
        <f t="shared" ca="1" si="159"/>
        <v>0</v>
      </c>
      <c r="U409" s="49">
        <f t="shared" ca="1" si="159"/>
        <v>0</v>
      </c>
      <c r="V409" s="49">
        <f t="shared" ca="1" si="159"/>
        <v>0</v>
      </c>
      <c r="W409" s="49">
        <f t="shared" ca="1" si="159"/>
        <v>0</v>
      </c>
      <c r="X409" s="49">
        <f t="shared" ca="1" si="159"/>
        <v>0</v>
      </c>
      <c r="Y409" s="49">
        <f t="shared" ca="1" si="159"/>
        <v>0</v>
      </c>
      <c r="Z409" s="49">
        <f t="shared" ca="1" si="159"/>
        <v>0</v>
      </c>
      <c r="AA409" s="49">
        <f t="shared" ca="1" si="159"/>
        <v>0</v>
      </c>
      <c r="AB409" s="49">
        <f t="shared" ca="1" si="159"/>
        <v>0</v>
      </c>
      <c r="AC409" s="49">
        <f t="shared" ca="1" si="159"/>
        <v>0</v>
      </c>
      <c r="AD409" s="49">
        <f t="shared" ca="1" si="159"/>
        <v>0</v>
      </c>
      <c r="AE409" s="49">
        <f t="shared" ca="1" si="159"/>
        <v>0</v>
      </c>
      <c r="AF409" s="49">
        <f t="shared" ca="1" si="159"/>
        <v>0</v>
      </c>
      <c r="AG409" s="49">
        <f t="shared" ca="1" si="159"/>
        <v>0</v>
      </c>
      <c r="AH409" s="49">
        <f t="shared" ca="1" si="159"/>
        <v>0</v>
      </c>
      <c r="AI409" s="49">
        <f t="shared" ca="1" si="159"/>
        <v>0</v>
      </c>
      <c r="AJ409" s="49">
        <f t="shared" ca="1" si="159"/>
        <v>0</v>
      </c>
      <c r="AK409" s="49">
        <f t="shared" ca="1" si="159"/>
        <v>0</v>
      </c>
      <c r="AL409" s="49">
        <f t="shared" ca="1" si="159"/>
        <v>0</v>
      </c>
      <c r="AM409" s="49">
        <f t="shared" ca="1" si="159"/>
        <v>0</v>
      </c>
      <c r="AN409" s="49">
        <f t="shared" ca="1" si="159"/>
        <v>0</v>
      </c>
      <c r="AO409" s="49">
        <f t="shared" ca="1" si="159"/>
        <v>0</v>
      </c>
      <c r="AP409" s="49">
        <f t="shared" ca="1" si="159"/>
        <v>0</v>
      </c>
      <c r="AQ409" s="49">
        <f t="shared" ca="1" si="159"/>
        <v>0</v>
      </c>
      <c r="AR409" s="49">
        <f t="shared" ca="1" si="159"/>
        <v>0</v>
      </c>
      <c r="AS409" s="49">
        <f t="shared" ca="1" si="159"/>
        <v>0</v>
      </c>
      <c r="AT409" s="49">
        <f t="shared" ca="1" si="159"/>
        <v>0</v>
      </c>
      <c r="AU409" s="49">
        <f t="shared" ca="1" si="159"/>
        <v>0</v>
      </c>
      <c r="AV409" s="49">
        <f t="shared" ca="1" si="159"/>
        <v>0</v>
      </c>
      <c r="AW409" s="49">
        <f t="shared" ca="1" si="159"/>
        <v>0</v>
      </c>
      <c r="AX409" s="49">
        <f t="shared" ca="1" si="159"/>
        <v>0</v>
      </c>
      <c r="AY409" s="49">
        <f t="shared" ca="1" si="159"/>
        <v>0</v>
      </c>
      <c r="AZ409" s="49">
        <f t="shared" ca="1" si="159"/>
        <v>0</v>
      </c>
      <c r="BA409" s="49">
        <f t="shared" ca="1" si="159"/>
        <v>0</v>
      </c>
      <c r="BB409" s="49">
        <f t="shared" ca="1" si="159"/>
        <v>0</v>
      </c>
      <c r="BC409" s="49">
        <f t="shared" ca="1" si="159"/>
        <v>0</v>
      </c>
      <c r="BD409" s="49">
        <f t="shared" ca="1" si="159"/>
        <v>0</v>
      </c>
      <c r="BE409" s="49">
        <f t="shared" ca="1" si="159"/>
        <v>0</v>
      </c>
      <c r="BF409" s="49">
        <f t="shared" ca="1" si="159"/>
        <v>0</v>
      </c>
      <c r="BG409" s="49">
        <f t="shared" ca="1" si="159"/>
        <v>0</v>
      </c>
      <c r="BH409" s="49">
        <f t="shared" ca="1" si="159"/>
        <v>0</v>
      </c>
      <c r="BI409" s="49">
        <f t="shared" ca="1" si="159"/>
        <v>0</v>
      </c>
      <c r="BJ409" s="49">
        <f t="shared" ca="1" si="159"/>
        <v>0</v>
      </c>
      <c r="BK409" s="49">
        <f t="shared" ca="1" si="159"/>
        <v>0</v>
      </c>
      <c r="BL409" s="49">
        <f t="shared" ca="1" si="159"/>
        <v>0</v>
      </c>
      <c r="BM409" s="49">
        <f t="shared" ca="1" si="159"/>
        <v>0</v>
      </c>
      <c r="BN409" s="49">
        <f t="shared" ca="1" si="159"/>
        <v>0</v>
      </c>
      <c r="BO409" s="49">
        <f t="shared" ca="1" si="159"/>
        <v>0</v>
      </c>
      <c r="BP409" s="49">
        <f t="shared" ca="1" si="159"/>
        <v>0</v>
      </c>
      <c r="BQ409" s="49">
        <f t="shared" ca="1" si="159"/>
        <v>0</v>
      </c>
      <c r="BR409" s="49">
        <f t="shared" ca="1" si="159"/>
        <v>0</v>
      </c>
      <c r="BS409" s="49">
        <f t="shared" ca="1" si="159"/>
        <v>0</v>
      </c>
    </row>
    <row r="410" spans="3:71" outlineLevel="1" x14ac:dyDescent="0.2">
      <c r="D410" s="50" t="s">
        <v>335</v>
      </c>
      <c r="I410" s="30">
        <f t="shared" ca="1" si="158"/>
        <v>0</v>
      </c>
      <c r="J410" s="26" t="s">
        <v>148</v>
      </c>
      <c r="L410" s="49">
        <f ca="1">-MIN(SUM(L408:L409),SUM(L$376,L$381)*Marine!NOC_rpmt_max_perc)*Marine!NOC_CI_expex_rpmt</f>
        <v>0</v>
      </c>
      <c r="M410" s="49">
        <f ca="1">-MIN(SUM(M408:M409),SUM(M$376,M$381)*Marine!NOC_rpmt_max_perc)*Marine!NOC_CI_expex_rpmt</f>
        <v>0</v>
      </c>
      <c r="N410" s="49">
        <f ca="1">-MIN(SUM(N408:N409),SUM(N$376,N$381)*Marine!NOC_rpmt_max_perc)*Marine!NOC_CI_expex_rpmt</f>
        <v>0</v>
      </c>
      <c r="O410" s="49">
        <f ca="1">-MIN(SUM(O408:O409),SUM(O$376,O$381)*Marine!NOC_rpmt_max_perc)*Marine!NOC_CI_expex_rpmt</f>
        <v>0</v>
      </c>
      <c r="P410" s="49">
        <f ca="1">-MIN(SUM(P408:P409),SUM(P$376,P$381)*Marine!NOC_rpmt_max_perc)*Marine!NOC_CI_expex_rpmt</f>
        <v>0</v>
      </c>
      <c r="Q410" s="49">
        <f ca="1">-MIN(SUM(Q408:Q409),SUM(Q$376,Q$381)*Marine!NOC_rpmt_max_perc)*Marine!NOC_CI_expex_rpmt</f>
        <v>0</v>
      </c>
      <c r="R410" s="49">
        <f ca="1">-MIN(SUM(R408:R409),SUM(R$376,R$381)*Marine!NOC_rpmt_max_perc)*Marine!NOC_CI_expex_rpmt</f>
        <v>0</v>
      </c>
      <c r="S410" s="49">
        <f ca="1">-MIN(SUM(S408:S409),SUM(S$376,S$381)*Marine!NOC_rpmt_max_perc)*Marine!NOC_CI_expex_rpmt</f>
        <v>0</v>
      </c>
      <c r="T410" s="49">
        <f ca="1">-MIN(SUM(T408:T409),SUM(T$376,T$381)*Marine!NOC_rpmt_max_perc)*Marine!NOC_CI_expex_rpmt</f>
        <v>0</v>
      </c>
      <c r="U410" s="49">
        <f ca="1">-MIN(SUM(U408:U409),SUM(U$376,U$381)*Marine!NOC_rpmt_max_perc)*Marine!NOC_CI_expex_rpmt</f>
        <v>0</v>
      </c>
      <c r="V410" s="49">
        <f ca="1">-MIN(SUM(V408:V409),SUM(V$376,V$381)*Marine!NOC_rpmt_max_perc)*Marine!NOC_CI_expex_rpmt</f>
        <v>0</v>
      </c>
      <c r="W410" s="49">
        <f ca="1">-MIN(SUM(W408:W409),SUM(W$376,W$381)*Marine!NOC_rpmt_max_perc)*Marine!NOC_CI_expex_rpmt</f>
        <v>0</v>
      </c>
      <c r="X410" s="49">
        <f ca="1">-MIN(SUM(X408:X409),SUM(X$376,X$381)*Marine!NOC_rpmt_max_perc)*Marine!NOC_CI_expex_rpmt</f>
        <v>0</v>
      </c>
      <c r="Y410" s="49">
        <f ca="1">-MIN(SUM(Y408:Y409),SUM(Y$376,Y$381)*Marine!NOC_rpmt_max_perc)*Marine!NOC_CI_expex_rpmt</f>
        <v>0</v>
      </c>
      <c r="Z410" s="49">
        <f ca="1">-MIN(SUM(Z408:Z409),SUM(Z$376,Z$381)*Marine!NOC_rpmt_max_perc)*Marine!NOC_CI_expex_rpmt</f>
        <v>0</v>
      </c>
      <c r="AA410" s="49">
        <f ca="1">-MIN(SUM(AA408:AA409),SUM(AA$376,AA$381)*Marine!NOC_rpmt_max_perc)*Marine!NOC_CI_expex_rpmt</f>
        <v>0</v>
      </c>
      <c r="AB410" s="49">
        <f ca="1">-MIN(SUM(AB408:AB409),SUM(AB$376,AB$381)*Marine!NOC_rpmt_max_perc)*Marine!NOC_CI_expex_rpmt</f>
        <v>0</v>
      </c>
      <c r="AC410" s="49">
        <f ca="1">-MIN(SUM(AC408:AC409),SUM(AC$376,AC$381)*Marine!NOC_rpmt_max_perc)*Marine!NOC_CI_expex_rpmt</f>
        <v>0</v>
      </c>
      <c r="AD410" s="49">
        <f ca="1">-MIN(SUM(AD408:AD409),SUM(AD$376,AD$381)*Marine!NOC_rpmt_max_perc)*Marine!NOC_CI_expex_rpmt</f>
        <v>0</v>
      </c>
      <c r="AE410" s="49">
        <f ca="1">-MIN(SUM(AE408:AE409),SUM(AE$376,AE$381)*Marine!NOC_rpmt_max_perc)*Marine!NOC_CI_expex_rpmt</f>
        <v>0</v>
      </c>
      <c r="AF410" s="49">
        <f ca="1">-MIN(SUM(AF408:AF409),SUM(AF$376,AF$381)*Marine!NOC_rpmt_max_perc)*Marine!NOC_CI_expex_rpmt</f>
        <v>0</v>
      </c>
      <c r="AG410" s="49">
        <f ca="1">-MIN(SUM(AG408:AG409),SUM(AG$376,AG$381)*Marine!NOC_rpmt_max_perc)*Marine!NOC_CI_expex_rpmt</f>
        <v>0</v>
      </c>
      <c r="AH410" s="49">
        <f ca="1">-MIN(SUM(AH408:AH409),SUM(AH$376,AH$381)*Marine!NOC_rpmt_max_perc)*Marine!NOC_CI_expex_rpmt</f>
        <v>0</v>
      </c>
      <c r="AI410" s="49">
        <f ca="1">-MIN(SUM(AI408:AI409),SUM(AI$376,AI$381)*Marine!NOC_rpmt_max_perc)*Marine!NOC_CI_expex_rpmt</f>
        <v>0</v>
      </c>
      <c r="AJ410" s="49">
        <f ca="1">-MIN(SUM(AJ408:AJ409),SUM(AJ$376,AJ$381)*Marine!NOC_rpmt_max_perc)*Marine!NOC_CI_expex_rpmt</f>
        <v>0</v>
      </c>
      <c r="AK410" s="49">
        <f ca="1">-MIN(SUM(AK408:AK409),SUM(AK$376,AK$381)*Marine!NOC_rpmt_max_perc)*Marine!NOC_CI_expex_rpmt</f>
        <v>0</v>
      </c>
      <c r="AL410" s="49">
        <f ca="1">-MIN(SUM(AL408:AL409),SUM(AL$376,AL$381)*Marine!NOC_rpmt_max_perc)*Marine!NOC_CI_expex_rpmt</f>
        <v>0</v>
      </c>
      <c r="AM410" s="49">
        <f ca="1">-MIN(SUM(AM408:AM409),SUM(AM$376,AM$381)*Marine!NOC_rpmt_max_perc)*Marine!NOC_CI_expex_rpmt</f>
        <v>0</v>
      </c>
      <c r="AN410" s="49">
        <f ca="1">-MIN(SUM(AN408:AN409),SUM(AN$376,AN$381)*Marine!NOC_rpmt_max_perc)*Marine!NOC_CI_expex_rpmt</f>
        <v>0</v>
      </c>
      <c r="AO410" s="49">
        <f ca="1">-MIN(SUM(AO408:AO409),SUM(AO$376,AO$381)*Marine!NOC_rpmt_max_perc)*Marine!NOC_CI_expex_rpmt</f>
        <v>0</v>
      </c>
      <c r="AP410" s="49">
        <f ca="1">-MIN(SUM(AP408:AP409),SUM(AP$376,AP$381)*Marine!NOC_rpmt_max_perc)*Marine!NOC_CI_expex_rpmt</f>
        <v>0</v>
      </c>
      <c r="AQ410" s="49">
        <f ca="1">-MIN(SUM(AQ408:AQ409),SUM(AQ$376,AQ$381)*Marine!NOC_rpmt_max_perc)*Marine!NOC_CI_expex_rpmt</f>
        <v>0</v>
      </c>
      <c r="AR410" s="49">
        <f ca="1">-MIN(SUM(AR408:AR409),SUM(AR$376,AR$381)*Marine!NOC_rpmt_max_perc)*Marine!NOC_CI_expex_rpmt</f>
        <v>0</v>
      </c>
      <c r="AS410" s="49">
        <f ca="1">-MIN(SUM(AS408:AS409),SUM(AS$376,AS$381)*Marine!NOC_rpmt_max_perc)*Marine!NOC_CI_expex_rpmt</f>
        <v>0</v>
      </c>
      <c r="AT410" s="49">
        <f ca="1">-MIN(SUM(AT408:AT409),SUM(AT$376,AT$381)*Marine!NOC_rpmt_max_perc)*Marine!NOC_CI_expex_rpmt</f>
        <v>0</v>
      </c>
      <c r="AU410" s="49">
        <f ca="1">-MIN(SUM(AU408:AU409),SUM(AU$376,AU$381)*Marine!NOC_rpmt_max_perc)*Marine!NOC_CI_expex_rpmt</f>
        <v>0</v>
      </c>
      <c r="AV410" s="49">
        <f ca="1">-MIN(SUM(AV408:AV409),SUM(AV$376,AV$381)*Marine!NOC_rpmt_max_perc)*Marine!NOC_CI_expex_rpmt</f>
        <v>0</v>
      </c>
      <c r="AW410" s="49">
        <f ca="1">-MIN(SUM(AW408:AW409),SUM(AW$376,AW$381)*Marine!NOC_rpmt_max_perc)*Marine!NOC_CI_expex_rpmt</f>
        <v>0</v>
      </c>
      <c r="AX410" s="49">
        <f ca="1">-MIN(SUM(AX408:AX409),SUM(AX$376,AX$381)*Marine!NOC_rpmt_max_perc)*Marine!NOC_CI_expex_rpmt</f>
        <v>0</v>
      </c>
      <c r="AY410" s="49">
        <f ca="1">-MIN(SUM(AY408:AY409),SUM(AY$376,AY$381)*Marine!NOC_rpmt_max_perc)*Marine!NOC_CI_expex_rpmt</f>
        <v>0</v>
      </c>
      <c r="AZ410" s="49">
        <f ca="1">-MIN(SUM(AZ408:AZ409),SUM(AZ$376,AZ$381)*Marine!NOC_rpmt_max_perc)*Marine!NOC_CI_expex_rpmt</f>
        <v>0</v>
      </c>
      <c r="BA410" s="49">
        <f ca="1">-MIN(SUM(BA408:BA409),SUM(BA$376,BA$381)*Marine!NOC_rpmt_max_perc)*Marine!NOC_CI_expex_rpmt</f>
        <v>0</v>
      </c>
      <c r="BB410" s="49">
        <f ca="1">-MIN(SUM(BB408:BB409),SUM(BB$376,BB$381)*Marine!NOC_rpmt_max_perc)*Marine!NOC_CI_expex_rpmt</f>
        <v>0</v>
      </c>
      <c r="BC410" s="49">
        <f ca="1">-MIN(SUM(BC408:BC409),SUM(BC$376,BC$381)*Marine!NOC_rpmt_max_perc)*Marine!NOC_CI_expex_rpmt</f>
        <v>0</v>
      </c>
      <c r="BD410" s="49">
        <f ca="1">-MIN(SUM(BD408:BD409),SUM(BD$376,BD$381)*Marine!NOC_rpmt_max_perc)*Marine!NOC_CI_expex_rpmt</f>
        <v>0</v>
      </c>
      <c r="BE410" s="49">
        <f ca="1">-MIN(SUM(BE408:BE409),SUM(BE$376,BE$381)*Marine!NOC_rpmt_max_perc)*Marine!NOC_CI_expex_rpmt</f>
        <v>0</v>
      </c>
      <c r="BF410" s="49">
        <f ca="1">-MIN(SUM(BF408:BF409),SUM(BF$376,BF$381)*Marine!NOC_rpmt_max_perc)*Marine!NOC_CI_expex_rpmt</f>
        <v>0</v>
      </c>
      <c r="BG410" s="49">
        <f ca="1">-MIN(SUM(BG408:BG409),SUM(BG$376,BG$381)*Marine!NOC_rpmt_max_perc)*Marine!NOC_CI_expex_rpmt</f>
        <v>0</v>
      </c>
      <c r="BH410" s="49">
        <f ca="1">-MIN(SUM(BH408:BH409),SUM(BH$376,BH$381)*Marine!NOC_rpmt_max_perc)*Marine!NOC_CI_expex_rpmt</f>
        <v>0</v>
      </c>
      <c r="BI410" s="49">
        <f ca="1">-MIN(SUM(BI408:BI409),SUM(BI$376,BI$381)*Marine!NOC_rpmt_max_perc)*Marine!NOC_CI_expex_rpmt</f>
        <v>0</v>
      </c>
      <c r="BJ410" s="49">
        <f ca="1">-MIN(SUM(BJ408:BJ409),SUM(BJ$376,BJ$381)*Marine!NOC_rpmt_max_perc)*Marine!NOC_CI_expex_rpmt</f>
        <v>0</v>
      </c>
      <c r="BK410" s="49">
        <f ca="1">-MIN(SUM(BK408:BK409),SUM(BK$376,BK$381)*Marine!NOC_rpmt_max_perc)*Marine!NOC_CI_expex_rpmt</f>
        <v>0</v>
      </c>
      <c r="BL410" s="49">
        <f ca="1">-MIN(SUM(BL408:BL409),SUM(BL$376,BL$381)*Marine!NOC_rpmt_max_perc)*Marine!NOC_CI_expex_rpmt</f>
        <v>0</v>
      </c>
      <c r="BM410" s="49">
        <f ca="1">-MIN(SUM(BM408:BM409),SUM(BM$376,BM$381)*Marine!NOC_rpmt_max_perc)*Marine!NOC_CI_expex_rpmt</f>
        <v>0</v>
      </c>
      <c r="BN410" s="49">
        <f ca="1">-MIN(SUM(BN408:BN409),SUM(BN$376,BN$381)*Marine!NOC_rpmt_max_perc)*Marine!NOC_CI_expex_rpmt</f>
        <v>0</v>
      </c>
      <c r="BO410" s="49">
        <f ca="1">-MIN(SUM(BO408:BO409),SUM(BO$376,BO$381)*Marine!NOC_rpmt_max_perc)*Marine!NOC_CI_expex_rpmt</f>
        <v>0</v>
      </c>
      <c r="BP410" s="49">
        <f ca="1">-MIN(SUM(BP408:BP409),SUM(BP$376,BP$381)*Marine!NOC_rpmt_max_perc)*Marine!NOC_CI_expex_rpmt</f>
        <v>0</v>
      </c>
      <c r="BQ410" s="49">
        <f ca="1">-MIN(SUM(BQ408:BQ409),SUM(BQ$376,BQ$381)*Marine!NOC_rpmt_max_perc)*Marine!NOC_CI_expex_rpmt</f>
        <v>0</v>
      </c>
      <c r="BR410" s="49">
        <f ca="1">-MIN(SUM(BR408:BR409),SUM(BR$376,BR$381)*Marine!NOC_rpmt_max_perc)*Marine!NOC_CI_expex_rpmt</f>
        <v>0</v>
      </c>
      <c r="BS410" s="49">
        <f ca="1">-MIN(SUM(BS408:BS409),SUM(BS$376,BS$381)*Marine!NOC_rpmt_max_perc)*Marine!NOC_CI_expex_rpmt</f>
        <v>0</v>
      </c>
    </row>
    <row r="411" spans="3:71" outlineLevel="1" x14ac:dyDescent="0.2">
      <c r="D411" t="s">
        <v>336</v>
      </c>
      <c r="J411" s="26"/>
      <c r="L411" s="49">
        <f ca="1">SUM(L408:L410)</f>
        <v>17.022300000000001</v>
      </c>
      <c r="M411" s="49">
        <f t="shared" ref="M411:BS411" ca="1" si="160">SUM(M408:M410)</f>
        <v>24.098600000000001</v>
      </c>
      <c r="N411" s="49">
        <f t="shared" ca="1" si="160"/>
        <v>33.662199999999999</v>
      </c>
      <c r="O411" s="49">
        <f t="shared" ca="1" si="160"/>
        <v>36.303100000000001</v>
      </c>
      <c r="P411" s="49">
        <f t="shared" ca="1" si="160"/>
        <v>36.379100000000001</v>
      </c>
      <c r="Q411" s="49">
        <f t="shared" ca="1" si="160"/>
        <v>36.6815</v>
      </c>
      <c r="R411" s="49">
        <f t="shared" ca="1" si="160"/>
        <v>36.6815</v>
      </c>
      <c r="S411" s="49">
        <f t="shared" ca="1" si="160"/>
        <v>36.6815</v>
      </c>
      <c r="T411" s="49">
        <f t="shared" ca="1" si="160"/>
        <v>36.6815</v>
      </c>
      <c r="U411" s="49">
        <f t="shared" ca="1" si="160"/>
        <v>36.6815</v>
      </c>
      <c r="V411" s="49">
        <f t="shared" ca="1" si="160"/>
        <v>36.6815</v>
      </c>
      <c r="W411" s="49">
        <f t="shared" ca="1" si="160"/>
        <v>36.6815</v>
      </c>
      <c r="X411" s="49">
        <f t="shared" ca="1" si="160"/>
        <v>36.6815</v>
      </c>
      <c r="Y411" s="49">
        <f t="shared" ca="1" si="160"/>
        <v>36.6815</v>
      </c>
      <c r="Z411" s="49">
        <f t="shared" ca="1" si="160"/>
        <v>36.6815</v>
      </c>
      <c r="AA411" s="49">
        <f t="shared" ca="1" si="160"/>
        <v>36.6815</v>
      </c>
      <c r="AB411" s="49">
        <f t="shared" ca="1" si="160"/>
        <v>36.6815</v>
      </c>
      <c r="AC411" s="49">
        <f t="shared" ca="1" si="160"/>
        <v>36.6815</v>
      </c>
      <c r="AD411" s="49">
        <f t="shared" ca="1" si="160"/>
        <v>36.6815</v>
      </c>
      <c r="AE411" s="49">
        <f t="shared" ca="1" si="160"/>
        <v>36.6815</v>
      </c>
      <c r="AF411" s="49">
        <f t="shared" ca="1" si="160"/>
        <v>36.6815</v>
      </c>
      <c r="AG411" s="49">
        <f t="shared" ca="1" si="160"/>
        <v>36.6815</v>
      </c>
      <c r="AH411" s="49">
        <f t="shared" ca="1" si="160"/>
        <v>36.6815</v>
      </c>
      <c r="AI411" s="49">
        <f t="shared" ca="1" si="160"/>
        <v>36.6815</v>
      </c>
      <c r="AJ411" s="49">
        <f t="shared" ca="1" si="160"/>
        <v>36.6815</v>
      </c>
      <c r="AK411" s="49">
        <f t="shared" ca="1" si="160"/>
        <v>36.6815</v>
      </c>
      <c r="AL411" s="49">
        <f t="shared" ca="1" si="160"/>
        <v>36.6815</v>
      </c>
      <c r="AM411" s="49">
        <f t="shared" ca="1" si="160"/>
        <v>36.6815</v>
      </c>
      <c r="AN411" s="49">
        <f t="shared" ca="1" si="160"/>
        <v>36.6815</v>
      </c>
      <c r="AO411" s="49">
        <f t="shared" ca="1" si="160"/>
        <v>36.6815</v>
      </c>
      <c r="AP411" s="49">
        <f t="shared" ca="1" si="160"/>
        <v>36.6815</v>
      </c>
      <c r="AQ411" s="49">
        <f t="shared" ca="1" si="160"/>
        <v>36.6815</v>
      </c>
      <c r="AR411" s="49">
        <f t="shared" ca="1" si="160"/>
        <v>36.6815</v>
      </c>
      <c r="AS411" s="49">
        <f t="shared" ca="1" si="160"/>
        <v>36.6815</v>
      </c>
      <c r="AT411" s="49">
        <f t="shared" ca="1" si="160"/>
        <v>36.6815</v>
      </c>
      <c r="AU411" s="49">
        <f t="shared" ca="1" si="160"/>
        <v>36.6815</v>
      </c>
      <c r="AV411" s="49">
        <f t="shared" ca="1" si="160"/>
        <v>36.6815</v>
      </c>
      <c r="AW411" s="49">
        <f t="shared" ca="1" si="160"/>
        <v>36.6815</v>
      </c>
      <c r="AX411" s="49">
        <f t="shared" ca="1" si="160"/>
        <v>36.6815</v>
      </c>
      <c r="AY411" s="49">
        <f t="shared" ca="1" si="160"/>
        <v>36.6815</v>
      </c>
      <c r="AZ411" s="49">
        <f t="shared" ca="1" si="160"/>
        <v>36.6815</v>
      </c>
      <c r="BA411" s="49">
        <f t="shared" ca="1" si="160"/>
        <v>36.6815</v>
      </c>
      <c r="BB411" s="49">
        <f t="shared" ca="1" si="160"/>
        <v>36.6815</v>
      </c>
      <c r="BC411" s="49">
        <f t="shared" ca="1" si="160"/>
        <v>36.6815</v>
      </c>
      <c r="BD411" s="49">
        <f t="shared" ca="1" si="160"/>
        <v>36.6815</v>
      </c>
      <c r="BE411" s="49">
        <f t="shared" ca="1" si="160"/>
        <v>36.6815</v>
      </c>
      <c r="BF411" s="49">
        <f t="shared" ca="1" si="160"/>
        <v>36.6815</v>
      </c>
      <c r="BG411" s="49">
        <f t="shared" ca="1" si="160"/>
        <v>36.6815</v>
      </c>
      <c r="BH411" s="49">
        <f t="shared" ca="1" si="160"/>
        <v>36.6815</v>
      </c>
      <c r="BI411" s="49">
        <f t="shared" ca="1" si="160"/>
        <v>36.6815</v>
      </c>
      <c r="BJ411" s="49">
        <f t="shared" ca="1" si="160"/>
        <v>36.6815</v>
      </c>
      <c r="BK411" s="49">
        <f t="shared" ca="1" si="160"/>
        <v>36.6815</v>
      </c>
      <c r="BL411" s="49">
        <f t="shared" ca="1" si="160"/>
        <v>36.6815</v>
      </c>
      <c r="BM411" s="49">
        <f t="shared" ca="1" si="160"/>
        <v>36.6815</v>
      </c>
      <c r="BN411" s="49">
        <f t="shared" ca="1" si="160"/>
        <v>36.6815</v>
      </c>
      <c r="BO411" s="49">
        <f t="shared" ca="1" si="160"/>
        <v>36.6815</v>
      </c>
      <c r="BP411" s="49">
        <f t="shared" ca="1" si="160"/>
        <v>36.6815</v>
      </c>
      <c r="BQ411" s="49">
        <f t="shared" ca="1" si="160"/>
        <v>36.6815</v>
      </c>
      <c r="BR411" s="49">
        <f t="shared" ca="1" si="160"/>
        <v>36.6815</v>
      </c>
      <c r="BS411" s="49">
        <f t="shared" ca="1" si="160"/>
        <v>36.6815</v>
      </c>
    </row>
    <row r="412" spans="3:71" outlineLevel="1" x14ac:dyDescent="0.2">
      <c r="J412" s="26"/>
      <c r="L412" s="55"/>
      <c r="M412" s="55"/>
      <c r="N412" s="55"/>
      <c r="O412" s="55"/>
      <c r="P412" s="55"/>
      <c r="Q412" s="55"/>
      <c r="R412" s="55"/>
      <c r="S412" s="55"/>
      <c r="T412" s="55"/>
      <c r="U412" s="55"/>
      <c r="V412" s="55"/>
      <c r="W412" s="55"/>
      <c r="X412" s="55"/>
      <c r="Y412" s="55"/>
      <c r="Z412" s="55"/>
      <c r="AA412" s="55"/>
      <c r="AB412" s="55"/>
      <c r="AC412" s="55"/>
      <c r="AD412" s="55"/>
      <c r="AE412" s="55"/>
      <c r="AF412" s="55"/>
      <c r="AG412" s="55"/>
      <c r="AH412" s="55"/>
      <c r="AI412" s="55"/>
      <c r="AJ412" s="55"/>
      <c r="AK412" s="55"/>
      <c r="AL412" s="55"/>
      <c r="AM412" s="55"/>
      <c r="AN412" s="55"/>
      <c r="AO412" s="55"/>
      <c r="AP412" s="55"/>
      <c r="AQ412" s="55"/>
      <c r="AR412" s="55"/>
      <c r="AS412" s="55"/>
      <c r="AT412" s="55"/>
      <c r="AU412" s="55"/>
      <c r="AV412" s="55"/>
      <c r="AW412" s="55"/>
      <c r="AX412" s="55"/>
      <c r="AY412" s="55"/>
      <c r="AZ412" s="55"/>
      <c r="BA412" s="55"/>
      <c r="BB412" s="55"/>
      <c r="BC412" s="55"/>
      <c r="BD412" s="55"/>
      <c r="BE412" s="55"/>
      <c r="BF412" s="55"/>
      <c r="BG412" s="55"/>
      <c r="BH412" s="55"/>
      <c r="BI412" s="55"/>
      <c r="BJ412" s="55"/>
      <c r="BK412" s="55"/>
      <c r="BL412" s="55"/>
      <c r="BM412" s="55"/>
      <c r="BN412" s="55"/>
      <c r="BO412" s="55"/>
      <c r="BP412" s="55"/>
      <c r="BQ412" s="55"/>
      <c r="BR412" s="55"/>
      <c r="BS412" s="55"/>
    </row>
    <row r="413" spans="3:71" outlineLevel="1" x14ac:dyDescent="0.2">
      <c r="C413" s="11" t="s">
        <v>346</v>
      </c>
      <c r="J413" s="26"/>
      <c r="L413" s="55"/>
      <c r="M413" s="55"/>
      <c r="N413" s="55"/>
      <c r="O413" s="55"/>
      <c r="P413" s="55"/>
      <c r="Q413" s="55"/>
      <c r="R413" s="55"/>
      <c r="S413" s="55"/>
      <c r="T413" s="55"/>
      <c r="U413" s="55"/>
      <c r="V413" s="55"/>
      <c r="W413" s="55"/>
      <c r="X413" s="55"/>
      <c r="Y413" s="55"/>
      <c r="Z413" s="55"/>
      <c r="AA413" s="55"/>
      <c r="AB413" s="55"/>
      <c r="AC413" s="55"/>
      <c r="AD413" s="55"/>
      <c r="AE413" s="55"/>
      <c r="AF413" s="55"/>
      <c r="AG413" s="55"/>
      <c r="AH413" s="55"/>
      <c r="AI413" s="55"/>
      <c r="AJ413" s="55"/>
      <c r="AK413" s="55"/>
      <c r="AL413" s="55"/>
      <c r="AM413" s="55"/>
      <c r="AN413" s="55"/>
      <c r="AO413" s="55"/>
      <c r="AP413" s="55"/>
      <c r="AQ413" s="55"/>
      <c r="AR413" s="55"/>
      <c r="AS413" s="55"/>
      <c r="AT413" s="55"/>
      <c r="AU413" s="55"/>
      <c r="AV413" s="55"/>
      <c r="AW413" s="55"/>
      <c r="AX413" s="55"/>
      <c r="AY413" s="55"/>
      <c r="AZ413" s="55"/>
      <c r="BA413" s="55"/>
      <c r="BB413" s="55"/>
      <c r="BC413" s="55"/>
      <c r="BD413" s="55"/>
      <c r="BE413" s="55"/>
      <c r="BF413" s="55"/>
      <c r="BG413" s="55"/>
      <c r="BH413" s="55"/>
      <c r="BI413" s="55"/>
      <c r="BJ413" s="55"/>
      <c r="BK413" s="55"/>
      <c r="BL413" s="55"/>
      <c r="BM413" s="55"/>
      <c r="BN413" s="55"/>
      <c r="BO413" s="55"/>
      <c r="BP413" s="55"/>
      <c r="BQ413" s="55"/>
      <c r="BR413" s="55"/>
      <c r="BS413" s="55"/>
    </row>
    <row r="414" spans="3:71" outlineLevel="1" x14ac:dyDescent="0.2">
      <c r="D414" t="s">
        <v>337</v>
      </c>
      <c r="J414" s="26"/>
      <c r="L414" s="49">
        <f>K417</f>
        <v>0</v>
      </c>
      <c r="M414" s="49">
        <f t="shared" ref="M414:BS414" ca="1" si="161">L417</f>
        <v>21.7362</v>
      </c>
      <c r="N414" s="49">
        <f t="shared" ca="1" si="161"/>
        <v>64.374594800128676</v>
      </c>
      <c r="O414" s="49">
        <f t="shared" ca="1" si="161"/>
        <v>123.95863176288815</v>
      </c>
      <c r="P414" s="49">
        <f t="shared" ca="1" si="161"/>
        <v>153.30174159089148</v>
      </c>
      <c r="Q414" s="49">
        <f t="shared" ca="1" si="161"/>
        <v>170.55381249853963</v>
      </c>
      <c r="R414" s="49">
        <f t="shared" ca="1" si="161"/>
        <v>147.464040096958</v>
      </c>
      <c r="S414" s="49">
        <f t="shared" ca="1" si="161"/>
        <v>110.86664330006181</v>
      </c>
      <c r="T414" s="49">
        <f t="shared" ca="1" si="161"/>
        <v>82.382942230312267</v>
      </c>
      <c r="U414" s="49">
        <f t="shared" ca="1" si="161"/>
        <v>43.374879531228132</v>
      </c>
      <c r="V414" s="49">
        <f t="shared" ca="1" si="161"/>
        <v>4.4249522760498579</v>
      </c>
      <c r="W414" s="49">
        <f t="shared" ca="1" si="161"/>
        <v>0</v>
      </c>
      <c r="X414" s="49">
        <f t="shared" ca="1" si="161"/>
        <v>0</v>
      </c>
      <c r="Y414" s="49">
        <f t="shared" ca="1" si="161"/>
        <v>0</v>
      </c>
      <c r="Z414" s="49">
        <f t="shared" ca="1" si="161"/>
        <v>0</v>
      </c>
      <c r="AA414" s="49">
        <f t="shared" ca="1" si="161"/>
        <v>0</v>
      </c>
      <c r="AB414" s="49">
        <f t="shared" ca="1" si="161"/>
        <v>0</v>
      </c>
      <c r="AC414" s="49">
        <f t="shared" ca="1" si="161"/>
        <v>0</v>
      </c>
      <c r="AD414" s="49">
        <f t="shared" ca="1" si="161"/>
        <v>0</v>
      </c>
      <c r="AE414" s="49">
        <f t="shared" ca="1" si="161"/>
        <v>0</v>
      </c>
      <c r="AF414" s="49">
        <f t="shared" ca="1" si="161"/>
        <v>0</v>
      </c>
      <c r="AG414" s="49">
        <f t="shared" ca="1" si="161"/>
        <v>0</v>
      </c>
      <c r="AH414" s="49">
        <f t="shared" ca="1" si="161"/>
        <v>0</v>
      </c>
      <c r="AI414" s="49">
        <f t="shared" ca="1" si="161"/>
        <v>0</v>
      </c>
      <c r="AJ414" s="49">
        <f t="shared" ca="1" si="161"/>
        <v>0</v>
      </c>
      <c r="AK414" s="49">
        <f t="shared" ca="1" si="161"/>
        <v>0</v>
      </c>
      <c r="AL414" s="49">
        <f t="shared" ca="1" si="161"/>
        <v>0</v>
      </c>
      <c r="AM414" s="49">
        <f t="shared" ca="1" si="161"/>
        <v>0</v>
      </c>
      <c r="AN414" s="49">
        <f t="shared" ca="1" si="161"/>
        <v>0</v>
      </c>
      <c r="AO414" s="49">
        <f t="shared" ca="1" si="161"/>
        <v>0</v>
      </c>
      <c r="AP414" s="49">
        <f t="shared" ca="1" si="161"/>
        <v>0</v>
      </c>
      <c r="AQ414" s="49">
        <f t="shared" ca="1" si="161"/>
        <v>0</v>
      </c>
      <c r="AR414" s="49">
        <f t="shared" ca="1" si="161"/>
        <v>0</v>
      </c>
      <c r="AS414" s="49">
        <f t="shared" ca="1" si="161"/>
        <v>0</v>
      </c>
      <c r="AT414" s="49">
        <f t="shared" ca="1" si="161"/>
        <v>0</v>
      </c>
      <c r="AU414" s="49">
        <f t="shared" ca="1" si="161"/>
        <v>0</v>
      </c>
      <c r="AV414" s="49">
        <f t="shared" ca="1" si="161"/>
        <v>0</v>
      </c>
      <c r="AW414" s="49">
        <f t="shared" ca="1" si="161"/>
        <v>0</v>
      </c>
      <c r="AX414" s="49">
        <f t="shared" ca="1" si="161"/>
        <v>0</v>
      </c>
      <c r="AY414" s="49">
        <f t="shared" ca="1" si="161"/>
        <v>0</v>
      </c>
      <c r="AZ414" s="49">
        <f t="shared" ca="1" si="161"/>
        <v>0</v>
      </c>
      <c r="BA414" s="49">
        <f t="shared" ca="1" si="161"/>
        <v>0</v>
      </c>
      <c r="BB414" s="49">
        <f t="shared" ca="1" si="161"/>
        <v>0</v>
      </c>
      <c r="BC414" s="49">
        <f t="shared" ca="1" si="161"/>
        <v>0</v>
      </c>
      <c r="BD414" s="49">
        <f t="shared" ca="1" si="161"/>
        <v>0</v>
      </c>
      <c r="BE414" s="49">
        <f t="shared" ca="1" si="161"/>
        <v>0</v>
      </c>
      <c r="BF414" s="49">
        <f t="shared" ca="1" si="161"/>
        <v>0</v>
      </c>
      <c r="BG414" s="49">
        <f t="shared" ca="1" si="161"/>
        <v>0</v>
      </c>
      <c r="BH414" s="49">
        <f t="shared" ca="1" si="161"/>
        <v>0</v>
      </c>
      <c r="BI414" s="49">
        <f t="shared" ca="1" si="161"/>
        <v>0</v>
      </c>
      <c r="BJ414" s="49">
        <f t="shared" ca="1" si="161"/>
        <v>0</v>
      </c>
      <c r="BK414" s="49">
        <f t="shared" ca="1" si="161"/>
        <v>0</v>
      </c>
      <c r="BL414" s="49">
        <f t="shared" ca="1" si="161"/>
        <v>0</v>
      </c>
      <c r="BM414" s="49">
        <f t="shared" ca="1" si="161"/>
        <v>0</v>
      </c>
      <c r="BN414" s="49">
        <f t="shared" ca="1" si="161"/>
        <v>0</v>
      </c>
      <c r="BO414" s="49">
        <f t="shared" ca="1" si="161"/>
        <v>0</v>
      </c>
      <c r="BP414" s="49">
        <f t="shared" ca="1" si="161"/>
        <v>0</v>
      </c>
      <c r="BQ414" s="49">
        <f t="shared" ca="1" si="161"/>
        <v>0</v>
      </c>
      <c r="BR414" s="49">
        <f t="shared" ca="1" si="161"/>
        <v>0</v>
      </c>
      <c r="BS414" s="49">
        <f t="shared" ca="1" si="161"/>
        <v>0</v>
      </c>
    </row>
    <row r="415" spans="3:71" outlineLevel="1" x14ac:dyDescent="0.2">
      <c r="D415" s="50" t="s">
        <v>348</v>
      </c>
      <c r="I415" s="30">
        <f t="shared" ref="I415:I416" ca="1" si="162">SUM($L415:$BS415)</f>
        <v>239.36420000000001</v>
      </c>
      <c r="J415" s="26" t="s">
        <v>148</v>
      </c>
      <c r="L415" s="49">
        <f ca="1">L403</f>
        <v>21.7362</v>
      </c>
      <c r="M415" s="49">
        <f t="shared" ref="M415:BS415" ca="1" si="163">M403</f>
        <v>43.214400000000005</v>
      </c>
      <c r="N415" s="49">
        <f t="shared" ca="1" si="163"/>
        <v>68.233000000000004</v>
      </c>
      <c r="O415" s="49">
        <f t="shared" ca="1" si="163"/>
        <v>42.8005</v>
      </c>
      <c r="P415" s="49">
        <f t="shared" ca="1" si="163"/>
        <v>40.653100000000002</v>
      </c>
      <c r="Q415" s="49">
        <f t="shared" ca="1" si="163"/>
        <v>22.727000000000004</v>
      </c>
      <c r="R415" s="49">
        <f t="shared" ca="1" si="163"/>
        <v>0</v>
      </c>
      <c r="S415" s="49">
        <f t="shared" ca="1" si="163"/>
        <v>0</v>
      </c>
      <c r="T415" s="49">
        <f t="shared" ca="1" si="163"/>
        <v>0</v>
      </c>
      <c r="U415" s="49">
        <f t="shared" ca="1" si="163"/>
        <v>0</v>
      </c>
      <c r="V415" s="49">
        <f t="shared" ca="1" si="163"/>
        <v>0</v>
      </c>
      <c r="W415" s="49">
        <f t="shared" ca="1" si="163"/>
        <v>0</v>
      </c>
      <c r="X415" s="49">
        <f t="shared" ca="1" si="163"/>
        <v>0</v>
      </c>
      <c r="Y415" s="49">
        <f t="shared" ca="1" si="163"/>
        <v>0</v>
      </c>
      <c r="Z415" s="49">
        <f t="shared" ca="1" si="163"/>
        <v>0</v>
      </c>
      <c r="AA415" s="49">
        <f t="shared" ca="1" si="163"/>
        <v>0</v>
      </c>
      <c r="AB415" s="49">
        <f t="shared" ca="1" si="163"/>
        <v>0</v>
      </c>
      <c r="AC415" s="49">
        <f t="shared" ca="1" si="163"/>
        <v>0</v>
      </c>
      <c r="AD415" s="49">
        <f t="shared" ca="1" si="163"/>
        <v>0</v>
      </c>
      <c r="AE415" s="49">
        <f t="shared" ca="1" si="163"/>
        <v>0</v>
      </c>
      <c r="AF415" s="49">
        <f t="shared" ca="1" si="163"/>
        <v>0</v>
      </c>
      <c r="AG415" s="49">
        <f t="shared" ca="1" si="163"/>
        <v>0</v>
      </c>
      <c r="AH415" s="49">
        <f t="shared" ca="1" si="163"/>
        <v>0</v>
      </c>
      <c r="AI415" s="49">
        <f t="shared" ca="1" si="163"/>
        <v>0</v>
      </c>
      <c r="AJ415" s="49">
        <f t="shared" ca="1" si="163"/>
        <v>0</v>
      </c>
      <c r="AK415" s="49">
        <f t="shared" ca="1" si="163"/>
        <v>0</v>
      </c>
      <c r="AL415" s="49">
        <f t="shared" ca="1" si="163"/>
        <v>0</v>
      </c>
      <c r="AM415" s="49">
        <f t="shared" ca="1" si="163"/>
        <v>0</v>
      </c>
      <c r="AN415" s="49">
        <f t="shared" ca="1" si="163"/>
        <v>0</v>
      </c>
      <c r="AO415" s="49">
        <f t="shared" ca="1" si="163"/>
        <v>0</v>
      </c>
      <c r="AP415" s="49">
        <f t="shared" ca="1" si="163"/>
        <v>0</v>
      </c>
      <c r="AQ415" s="49">
        <f t="shared" ca="1" si="163"/>
        <v>0</v>
      </c>
      <c r="AR415" s="49">
        <f t="shared" ca="1" si="163"/>
        <v>0</v>
      </c>
      <c r="AS415" s="49">
        <f t="shared" ca="1" si="163"/>
        <v>0</v>
      </c>
      <c r="AT415" s="49">
        <f t="shared" ca="1" si="163"/>
        <v>0</v>
      </c>
      <c r="AU415" s="49">
        <f t="shared" ca="1" si="163"/>
        <v>0</v>
      </c>
      <c r="AV415" s="49">
        <f t="shared" ca="1" si="163"/>
        <v>0</v>
      </c>
      <c r="AW415" s="49">
        <f t="shared" ca="1" si="163"/>
        <v>0</v>
      </c>
      <c r="AX415" s="49">
        <f t="shared" ca="1" si="163"/>
        <v>0</v>
      </c>
      <c r="AY415" s="49">
        <f t="shared" ca="1" si="163"/>
        <v>0</v>
      </c>
      <c r="AZ415" s="49">
        <f t="shared" ca="1" si="163"/>
        <v>0</v>
      </c>
      <c r="BA415" s="49">
        <f t="shared" ca="1" si="163"/>
        <v>0</v>
      </c>
      <c r="BB415" s="49">
        <f t="shared" ca="1" si="163"/>
        <v>0</v>
      </c>
      <c r="BC415" s="49">
        <f t="shared" ca="1" si="163"/>
        <v>0</v>
      </c>
      <c r="BD415" s="49">
        <f t="shared" ca="1" si="163"/>
        <v>0</v>
      </c>
      <c r="BE415" s="49">
        <f t="shared" ca="1" si="163"/>
        <v>0</v>
      </c>
      <c r="BF415" s="49">
        <f t="shared" ca="1" si="163"/>
        <v>0</v>
      </c>
      <c r="BG415" s="49">
        <f t="shared" ca="1" si="163"/>
        <v>0</v>
      </c>
      <c r="BH415" s="49">
        <f t="shared" ca="1" si="163"/>
        <v>0</v>
      </c>
      <c r="BI415" s="49">
        <f t="shared" ca="1" si="163"/>
        <v>0</v>
      </c>
      <c r="BJ415" s="49">
        <f t="shared" ca="1" si="163"/>
        <v>0</v>
      </c>
      <c r="BK415" s="49">
        <f t="shared" ca="1" si="163"/>
        <v>0</v>
      </c>
      <c r="BL415" s="49">
        <f t="shared" ca="1" si="163"/>
        <v>0</v>
      </c>
      <c r="BM415" s="49">
        <f t="shared" ca="1" si="163"/>
        <v>0</v>
      </c>
      <c r="BN415" s="49">
        <f t="shared" ca="1" si="163"/>
        <v>0</v>
      </c>
      <c r="BO415" s="49">
        <f t="shared" ca="1" si="163"/>
        <v>0</v>
      </c>
      <c r="BP415" s="49">
        <f t="shared" ca="1" si="163"/>
        <v>0</v>
      </c>
      <c r="BQ415" s="49">
        <f t="shared" ca="1" si="163"/>
        <v>0</v>
      </c>
      <c r="BR415" s="49">
        <f t="shared" ca="1" si="163"/>
        <v>0</v>
      </c>
      <c r="BS415" s="49">
        <f t="shared" ca="1" si="163"/>
        <v>0</v>
      </c>
    </row>
    <row r="416" spans="3:71" outlineLevel="1" x14ac:dyDescent="0.2">
      <c r="D416" s="50" t="s">
        <v>335</v>
      </c>
      <c r="I416" s="30">
        <f t="shared" ca="1" si="162"/>
        <v>-239.36420000000001</v>
      </c>
      <c r="J416" s="26" t="s">
        <v>148</v>
      </c>
      <c r="L416" s="49">
        <f ca="1">-MIN(SUM(L414:L415),SUM(L$376,L$381)*Marine!NOC_rpmt_max_perc)*Marine!NOC_CI_devex_rpmt</f>
        <v>0</v>
      </c>
      <c r="M416" s="49">
        <f ca="1">-MIN(SUM(M414:M415),SUM(M$376,M$381)*Marine!NOC_rpmt_max_perc)*Marine!NOC_CI_devex_rpmt</f>
        <v>-0.57600519987133425</v>
      </c>
      <c r="N416" s="49">
        <f ca="1">-MIN(SUM(N414:N415),SUM(N$376,N$381)*Marine!NOC_rpmt_max_perc)*Marine!NOC_CI_devex_rpmt</f>
        <v>-8.6489630372405308</v>
      </c>
      <c r="O416" s="49">
        <f ca="1">-MIN(SUM(O414:O415),SUM(O$376,O$381)*Marine!NOC_rpmt_max_perc)*Marine!NOC_CI_devex_rpmt</f>
        <v>-13.457390171996691</v>
      </c>
      <c r="P416" s="49">
        <f ca="1">-MIN(SUM(P414:P415),SUM(P$376,P$381)*Marine!NOC_rpmt_max_perc)*Marine!NOC_CI_devex_rpmt</f>
        <v>-23.401029092351855</v>
      </c>
      <c r="Q416" s="49">
        <f ca="1">-MIN(SUM(Q414:Q415),SUM(Q$376,Q$381)*Marine!NOC_rpmt_max_perc)*Marine!NOC_CI_devex_rpmt</f>
        <v>-45.816772401581616</v>
      </c>
      <c r="R416" s="49">
        <f ca="1">-MIN(SUM(R414:R415),SUM(R$376,R$381)*Marine!NOC_rpmt_max_perc)*Marine!NOC_CI_devex_rpmt</f>
        <v>-36.597396796896192</v>
      </c>
      <c r="S416" s="49">
        <f ca="1">-MIN(SUM(S414:S415),SUM(S$376,S$381)*Marine!NOC_rpmt_max_perc)*Marine!NOC_CI_devex_rpmt</f>
        <v>-28.483701069749536</v>
      </c>
      <c r="T416" s="49">
        <f ca="1">-MIN(SUM(T414:T415),SUM(T$376,T$381)*Marine!NOC_rpmt_max_perc)*Marine!NOC_CI_devex_rpmt</f>
        <v>-39.008062699084135</v>
      </c>
      <c r="U416" s="49">
        <f ca="1">-MIN(SUM(U414:U415),SUM(U$376,U$381)*Marine!NOC_rpmt_max_perc)*Marine!NOC_CI_devex_rpmt</f>
        <v>-38.949927255178274</v>
      </c>
      <c r="V416" s="49">
        <f ca="1">-MIN(SUM(V414:V415),SUM(V$376,V$381)*Marine!NOC_rpmt_max_perc)*Marine!NOC_CI_devex_rpmt</f>
        <v>-4.4249522760498579</v>
      </c>
      <c r="W416" s="49">
        <f ca="1">-MIN(SUM(W414:W415),SUM(W$376,W$381)*Marine!NOC_rpmt_max_perc)*Marine!NOC_CI_devex_rpmt</f>
        <v>0</v>
      </c>
      <c r="X416" s="49">
        <f ca="1">-MIN(SUM(X414:X415),SUM(X$376,X$381)*Marine!NOC_rpmt_max_perc)*Marine!NOC_CI_devex_rpmt</f>
        <v>0</v>
      </c>
      <c r="Y416" s="49">
        <f ca="1">-MIN(SUM(Y414:Y415),SUM(Y$376,Y$381)*Marine!NOC_rpmt_max_perc)*Marine!NOC_CI_devex_rpmt</f>
        <v>0</v>
      </c>
      <c r="Z416" s="49">
        <f ca="1">-MIN(SUM(Z414:Z415),SUM(Z$376,Z$381)*Marine!NOC_rpmt_max_perc)*Marine!NOC_CI_devex_rpmt</f>
        <v>0</v>
      </c>
      <c r="AA416" s="49">
        <f ca="1">-MIN(SUM(AA414:AA415),SUM(AA$376,AA$381)*Marine!NOC_rpmt_max_perc)*Marine!NOC_CI_devex_rpmt</f>
        <v>0</v>
      </c>
      <c r="AB416" s="49">
        <f ca="1">-MIN(SUM(AB414:AB415),SUM(AB$376,AB$381)*Marine!NOC_rpmt_max_perc)*Marine!NOC_CI_devex_rpmt</f>
        <v>0</v>
      </c>
      <c r="AC416" s="49">
        <f ca="1">-MIN(SUM(AC414:AC415),SUM(AC$376,AC$381)*Marine!NOC_rpmt_max_perc)*Marine!NOC_CI_devex_rpmt</f>
        <v>0</v>
      </c>
      <c r="AD416" s="49">
        <f ca="1">-MIN(SUM(AD414:AD415),SUM(AD$376,AD$381)*Marine!NOC_rpmt_max_perc)*Marine!NOC_CI_devex_rpmt</f>
        <v>0</v>
      </c>
      <c r="AE416" s="49">
        <f ca="1">-MIN(SUM(AE414:AE415),SUM(AE$376,AE$381)*Marine!NOC_rpmt_max_perc)*Marine!NOC_CI_devex_rpmt</f>
        <v>0</v>
      </c>
      <c r="AF416" s="49">
        <f ca="1">-MIN(SUM(AF414:AF415),SUM(AF$376,AF$381)*Marine!NOC_rpmt_max_perc)*Marine!NOC_CI_devex_rpmt</f>
        <v>0</v>
      </c>
      <c r="AG416" s="49">
        <f ca="1">-MIN(SUM(AG414:AG415),SUM(AG$376,AG$381)*Marine!NOC_rpmt_max_perc)*Marine!NOC_CI_devex_rpmt</f>
        <v>0</v>
      </c>
      <c r="AH416" s="49">
        <f ca="1">-MIN(SUM(AH414:AH415),SUM(AH$376,AH$381)*Marine!NOC_rpmt_max_perc)*Marine!NOC_CI_devex_rpmt</f>
        <v>0</v>
      </c>
      <c r="AI416" s="49">
        <f ca="1">-MIN(SUM(AI414:AI415),SUM(AI$376,AI$381)*Marine!NOC_rpmt_max_perc)*Marine!NOC_CI_devex_rpmt</f>
        <v>0</v>
      </c>
      <c r="AJ416" s="49">
        <f ca="1">-MIN(SUM(AJ414:AJ415),SUM(AJ$376,AJ$381)*Marine!NOC_rpmt_max_perc)*Marine!NOC_CI_devex_rpmt</f>
        <v>0</v>
      </c>
      <c r="AK416" s="49">
        <f ca="1">-MIN(SUM(AK414:AK415),SUM(AK$376,AK$381)*Marine!NOC_rpmt_max_perc)*Marine!NOC_CI_devex_rpmt</f>
        <v>0</v>
      </c>
      <c r="AL416" s="49">
        <f ca="1">-MIN(SUM(AL414:AL415),SUM(AL$376,AL$381)*Marine!NOC_rpmt_max_perc)*Marine!NOC_CI_devex_rpmt</f>
        <v>0</v>
      </c>
      <c r="AM416" s="49">
        <f ca="1">-MIN(SUM(AM414:AM415),SUM(AM$376,AM$381)*Marine!NOC_rpmt_max_perc)*Marine!NOC_CI_devex_rpmt</f>
        <v>0</v>
      </c>
      <c r="AN416" s="49">
        <f ca="1">-MIN(SUM(AN414:AN415),SUM(AN$376,AN$381)*Marine!NOC_rpmt_max_perc)*Marine!NOC_CI_devex_rpmt</f>
        <v>0</v>
      </c>
      <c r="AO416" s="49">
        <f ca="1">-MIN(SUM(AO414:AO415),SUM(AO$376,AO$381)*Marine!NOC_rpmt_max_perc)*Marine!NOC_CI_devex_rpmt</f>
        <v>0</v>
      </c>
      <c r="AP416" s="49">
        <f ca="1">-MIN(SUM(AP414:AP415),SUM(AP$376,AP$381)*Marine!NOC_rpmt_max_perc)*Marine!NOC_CI_devex_rpmt</f>
        <v>0</v>
      </c>
      <c r="AQ416" s="49">
        <f ca="1">-MIN(SUM(AQ414:AQ415),SUM(AQ$376,AQ$381)*Marine!NOC_rpmt_max_perc)*Marine!NOC_CI_devex_rpmt</f>
        <v>0</v>
      </c>
      <c r="AR416" s="49">
        <f ca="1">-MIN(SUM(AR414:AR415),SUM(AR$376,AR$381)*Marine!NOC_rpmt_max_perc)*Marine!NOC_CI_devex_rpmt</f>
        <v>0</v>
      </c>
      <c r="AS416" s="49">
        <f ca="1">-MIN(SUM(AS414:AS415),SUM(AS$376,AS$381)*Marine!NOC_rpmt_max_perc)*Marine!NOC_CI_devex_rpmt</f>
        <v>0</v>
      </c>
      <c r="AT416" s="49">
        <f ca="1">-MIN(SUM(AT414:AT415),SUM(AT$376,AT$381)*Marine!NOC_rpmt_max_perc)*Marine!NOC_CI_devex_rpmt</f>
        <v>0</v>
      </c>
      <c r="AU416" s="49">
        <f ca="1">-MIN(SUM(AU414:AU415),SUM(AU$376,AU$381)*Marine!NOC_rpmt_max_perc)*Marine!NOC_CI_devex_rpmt</f>
        <v>0</v>
      </c>
      <c r="AV416" s="49">
        <f ca="1">-MIN(SUM(AV414:AV415),SUM(AV$376,AV$381)*Marine!NOC_rpmt_max_perc)*Marine!NOC_CI_devex_rpmt</f>
        <v>0</v>
      </c>
      <c r="AW416" s="49">
        <f ca="1">-MIN(SUM(AW414:AW415),SUM(AW$376,AW$381)*Marine!NOC_rpmt_max_perc)*Marine!NOC_CI_devex_rpmt</f>
        <v>0</v>
      </c>
      <c r="AX416" s="49">
        <f ca="1">-MIN(SUM(AX414:AX415),SUM(AX$376,AX$381)*Marine!NOC_rpmt_max_perc)*Marine!NOC_CI_devex_rpmt</f>
        <v>0</v>
      </c>
      <c r="AY416" s="49">
        <f ca="1">-MIN(SUM(AY414:AY415),SUM(AY$376,AY$381)*Marine!NOC_rpmt_max_perc)*Marine!NOC_CI_devex_rpmt</f>
        <v>0</v>
      </c>
      <c r="AZ416" s="49">
        <f ca="1">-MIN(SUM(AZ414:AZ415),SUM(AZ$376,AZ$381)*Marine!NOC_rpmt_max_perc)*Marine!NOC_CI_devex_rpmt</f>
        <v>0</v>
      </c>
      <c r="BA416" s="49">
        <f ca="1">-MIN(SUM(BA414:BA415),SUM(BA$376,BA$381)*Marine!NOC_rpmt_max_perc)*Marine!NOC_CI_devex_rpmt</f>
        <v>0</v>
      </c>
      <c r="BB416" s="49">
        <f ca="1">-MIN(SUM(BB414:BB415),SUM(BB$376,BB$381)*Marine!NOC_rpmt_max_perc)*Marine!NOC_CI_devex_rpmt</f>
        <v>0</v>
      </c>
      <c r="BC416" s="49">
        <f ca="1">-MIN(SUM(BC414:BC415),SUM(BC$376,BC$381)*Marine!NOC_rpmt_max_perc)*Marine!NOC_CI_devex_rpmt</f>
        <v>0</v>
      </c>
      <c r="BD416" s="49">
        <f ca="1">-MIN(SUM(BD414:BD415),SUM(BD$376,BD$381)*Marine!NOC_rpmt_max_perc)*Marine!NOC_CI_devex_rpmt</f>
        <v>0</v>
      </c>
      <c r="BE416" s="49">
        <f ca="1">-MIN(SUM(BE414:BE415),SUM(BE$376,BE$381)*Marine!NOC_rpmt_max_perc)*Marine!NOC_CI_devex_rpmt</f>
        <v>0</v>
      </c>
      <c r="BF416" s="49">
        <f ca="1">-MIN(SUM(BF414:BF415),SUM(BF$376,BF$381)*Marine!NOC_rpmt_max_perc)*Marine!NOC_CI_devex_rpmt</f>
        <v>0</v>
      </c>
      <c r="BG416" s="49">
        <f ca="1">-MIN(SUM(BG414:BG415),SUM(BG$376,BG$381)*Marine!NOC_rpmt_max_perc)*Marine!NOC_CI_devex_rpmt</f>
        <v>0</v>
      </c>
      <c r="BH416" s="49">
        <f ca="1">-MIN(SUM(BH414:BH415),SUM(BH$376,BH$381)*Marine!NOC_rpmt_max_perc)*Marine!NOC_CI_devex_rpmt</f>
        <v>0</v>
      </c>
      <c r="BI416" s="49">
        <f ca="1">-MIN(SUM(BI414:BI415),SUM(BI$376,BI$381)*Marine!NOC_rpmt_max_perc)*Marine!NOC_CI_devex_rpmt</f>
        <v>0</v>
      </c>
      <c r="BJ416" s="49">
        <f ca="1">-MIN(SUM(BJ414:BJ415),SUM(BJ$376,BJ$381)*Marine!NOC_rpmt_max_perc)*Marine!NOC_CI_devex_rpmt</f>
        <v>0</v>
      </c>
      <c r="BK416" s="49">
        <f ca="1">-MIN(SUM(BK414:BK415),SUM(BK$376,BK$381)*Marine!NOC_rpmt_max_perc)*Marine!NOC_CI_devex_rpmt</f>
        <v>0</v>
      </c>
      <c r="BL416" s="49">
        <f ca="1">-MIN(SUM(BL414:BL415),SUM(BL$376,BL$381)*Marine!NOC_rpmt_max_perc)*Marine!NOC_CI_devex_rpmt</f>
        <v>0</v>
      </c>
      <c r="BM416" s="49">
        <f ca="1">-MIN(SUM(BM414:BM415),SUM(BM$376,BM$381)*Marine!NOC_rpmt_max_perc)*Marine!NOC_CI_devex_rpmt</f>
        <v>0</v>
      </c>
      <c r="BN416" s="49">
        <f ca="1">-MIN(SUM(BN414:BN415),SUM(BN$376,BN$381)*Marine!NOC_rpmt_max_perc)*Marine!NOC_CI_devex_rpmt</f>
        <v>0</v>
      </c>
      <c r="BO416" s="49">
        <f ca="1">-MIN(SUM(BO414:BO415),SUM(BO$376,BO$381)*Marine!NOC_rpmt_max_perc)*Marine!NOC_CI_devex_rpmt</f>
        <v>0</v>
      </c>
      <c r="BP416" s="49">
        <f ca="1">-MIN(SUM(BP414:BP415),SUM(BP$376,BP$381)*Marine!NOC_rpmt_max_perc)*Marine!NOC_CI_devex_rpmt</f>
        <v>0</v>
      </c>
      <c r="BQ416" s="49">
        <f ca="1">-MIN(SUM(BQ414:BQ415),SUM(BQ$376,BQ$381)*Marine!NOC_rpmt_max_perc)*Marine!NOC_CI_devex_rpmt</f>
        <v>0</v>
      </c>
      <c r="BR416" s="49">
        <f ca="1">-MIN(SUM(BR414:BR415),SUM(BR$376,BR$381)*Marine!NOC_rpmt_max_perc)*Marine!NOC_CI_devex_rpmt</f>
        <v>0</v>
      </c>
      <c r="BS416" s="49">
        <f ca="1">-MIN(SUM(BS414:BS415),SUM(BS$376,BS$381)*Marine!NOC_rpmt_max_perc)*Marine!NOC_CI_devex_rpmt</f>
        <v>0</v>
      </c>
    </row>
    <row r="417" spans="1:93" outlineLevel="1" x14ac:dyDescent="0.2">
      <c r="D417" t="s">
        <v>336</v>
      </c>
      <c r="J417" s="26"/>
      <c r="L417" s="49">
        <f ca="1">SUM(L414:L416)</f>
        <v>21.7362</v>
      </c>
      <c r="M417" s="49">
        <f t="shared" ref="M417:BS417" ca="1" si="164">SUM(M414:M416)</f>
        <v>64.374594800128676</v>
      </c>
      <c r="N417" s="49">
        <f t="shared" ca="1" si="164"/>
        <v>123.95863176288815</v>
      </c>
      <c r="O417" s="49">
        <f t="shared" ca="1" si="164"/>
        <v>153.30174159089148</v>
      </c>
      <c r="P417" s="49">
        <f t="shared" ca="1" si="164"/>
        <v>170.55381249853963</v>
      </c>
      <c r="Q417" s="49">
        <f t="shared" ca="1" si="164"/>
        <v>147.464040096958</v>
      </c>
      <c r="R417" s="49">
        <f t="shared" ca="1" si="164"/>
        <v>110.86664330006181</v>
      </c>
      <c r="S417" s="49">
        <f t="shared" ca="1" si="164"/>
        <v>82.382942230312267</v>
      </c>
      <c r="T417" s="49">
        <f t="shared" ca="1" si="164"/>
        <v>43.374879531228132</v>
      </c>
      <c r="U417" s="49">
        <f t="shared" ca="1" si="164"/>
        <v>4.4249522760498579</v>
      </c>
      <c r="V417" s="49">
        <f t="shared" ca="1" si="164"/>
        <v>0</v>
      </c>
      <c r="W417" s="49">
        <f t="shared" ca="1" si="164"/>
        <v>0</v>
      </c>
      <c r="X417" s="49">
        <f t="shared" ca="1" si="164"/>
        <v>0</v>
      </c>
      <c r="Y417" s="49">
        <f t="shared" ca="1" si="164"/>
        <v>0</v>
      </c>
      <c r="Z417" s="49">
        <f t="shared" ca="1" si="164"/>
        <v>0</v>
      </c>
      <c r="AA417" s="49">
        <f t="shared" ca="1" si="164"/>
        <v>0</v>
      </c>
      <c r="AB417" s="49">
        <f t="shared" ca="1" si="164"/>
        <v>0</v>
      </c>
      <c r="AC417" s="49">
        <f t="shared" ca="1" si="164"/>
        <v>0</v>
      </c>
      <c r="AD417" s="49">
        <f t="shared" ca="1" si="164"/>
        <v>0</v>
      </c>
      <c r="AE417" s="49">
        <f t="shared" ca="1" si="164"/>
        <v>0</v>
      </c>
      <c r="AF417" s="49">
        <f t="shared" ca="1" si="164"/>
        <v>0</v>
      </c>
      <c r="AG417" s="49">
        <f t="shared" ca="1" si="164"/>
        <v>0</v>
      </c>
      <c r="AH417" s="49">
        <f t="shared" ca="1" si="164"/>
        <v>0</v>
      </c>
      <c r="AI417" s="49">
        <f t="shared" ca="1" si="164"/>
        <v>0</v>
      </c>
      <c r="AJ417" s="49">
        <f t="shared" ca="1" si="164"/>
        <v>0</v>
      </c>
      <c r="AK417" s="49">
        <f t="shared" ca="1" si="164"/>
        <v>0</v>
      </c>
      <c r="AL417" s="49">
        <f t="shared" ca="1" si="164"/>
        <v>0</v>
      </c>
      <c r="AM417" s="49">
        <f t="shared" ca="1" si="164"/>
        <v>0</v>
      </c>
      <c r="AN417" s="49">
        <f t="shared" ca="1" si="164"/>
        <v>0</v>
      </c>
      <c r="AO417" s="49">
        <f t="shared" ca="1" si="164"/>
        <v>0</v>
      </c>
      <c r="AP417" s="49">
        <f t="shared" ca="1" si="164"/>
        <v>0</v>
      </c>
      <c r="AQ417" s="49">
        <f t="shared" ca="1" si="164"/>
        <v>0</v>
      </c>
      <c r="AR417" s="49">
        <f t="shared" ca="1" si="164"/>
        <v>0</v>
      </c>
      <c r="AS417" s="49">
        <f t="shared" ca="1" si="164"/>
        <v>0</v>
      </c>
      <c r="AT417" s="49">
        <f t="shared" ca="1" si="164"/>
        <v>0</v>
      </c>
      <c r="AU417" s="49">
        <f t="shared" ca="1" si="164"/>
        <v>0</v>
      </c>
      <c r="AV417" s="49">
        <f t="shared" ca="1" si="164"/>
        <v>0</v>
      </c>
      <c r="AW417" s="49">
        <f t="shared" ca="1" si="164"/>
        <v>0</v>
      </c>
      <c r="AX417" s="49">
        <f t="shared" ca="1" si="164"/>
        <v>0</v>
      </c>
      <c r="AY417" s="49">
        <f t="shared" ca="1" si="164"/>
        <v>0</v>
      </c>
      <c r="AZ417" s="49">
        <f t="shared" ca="1" si="164"/>
        <v>0</v>
      </c>
      <c r="BA417" s="49">
        <f t="shared" ca="1" si="164"/>
        <v>0</v>
      </c>
      <c r="BB417" s="49">
        <f t="shared" ca="1" si="164"/>
        <v>0</v>
      </c>
      <c r="BC417" s="49">
        <f t="shared" ca="1" si="164"/>
        <v>0</v>
      </c>
      <c r="BD417" s="49">
        <f t="shared" ca="1" si="164"/>
        <v>0</v>
      </c>
      <c r="BE417" s="49">
        <f t="shared" ca="1" si="164"/>
        <v>0</v>
      </c>
      <c r="BF417" s="49">
        <f t="shared" ca="1" si="164"/>
        <v>0</v>
      </c>
      <c r="BG417" s="49">
        <f t="shared" ca="1" si="164"/>
        <v>0</v>
      </c>
      <c r="BH417" s="49">
        <f t="shared" ca="1" si="164"/>
        <v>0</v>
      </c>
      <c r="BI417" s="49">
        <f t="shared" ca="1" si="164"/>
        <v>0</v>
      </c>
      <c r="BJ417" s="49">
        <f t="shared" ca="1" si="164"/>
        <v>0</v>
      </c>
      <c r="BK417" s="49">
        <f t="shared" ca="1" si="164"/>
        <v>0</v>
      </c>
      <c r="BL417" s="49">
        <f t="shared" ca="1" si="164"/>
        <v>0</v>
      </c>
      <c r="BM417" s="49">
        <f t="shared" ca="1" si="164"/>
        <v>0</v>
      </c>
      <c r="BN417" s="49">
        <f t="shared" ca="1" si="164"/>
        <v>0</v>
      </c>
      <c r="BO417" s="49">
        <f t="shared" ca="1" si="164"/>
        <v>0</v>
      </c>
      <c r="BP417" s="49">
        <f t="shared" ca="1" si="164"/>
        <v>0</v>
      </c>
      <c r="BQ417" s="49">
        <f t="shared" ca="1" si="164"/>
        <v>0</v>
      </c>
      <c r="BR417" s="49">
        <f t="shared" ca="1" si="164"/>
        <v>0</v>
      </c>
      <c r="BS417" s="49">
        <f t="shared" ca="1" si="164"/>
        <v>0</v>
      </c>
    </row>
    <row r="418" spans="1:93" outlineLevel="1" x14ac:dyDescent="0.2">
      <c r="J418" s="26"/>
      <c r="L418" s="55"/>
      <c r="M418" s="55"/>
      <c r="N418" s="55"/>
      <c r="O418" s="55"/>
      <c r="P418" s="55"/>
      <c r="Q418" s="55"/>
      <c r="R418" s="55"/>
      <c r="S418" s="55"/>
      <c r="T418" s="55"/>
      <c r="U418" s="55"/>
      <c r="V418" s="55"/>
      <c r="W418" s="55"/>
      <c r="X418" s="55"/>
      <c r="Y418" s="55"/>
      <c r="Z418" s="55"/>
      <c r="AA418" s="55"/>
      <c r="AB418" s="55"/>
      <c r="AC418" s="55"/>
      <c r="AD418" s="55"/>
      <c r="AE418" s="55"/>
      <c r="AF418" s="55"/>
      <c r="AG418" s="55"/>
      <c r="AH418" s="55"/>
      <c r="AI418" s="55"/>
      <c r="AJ418" s="55"/>
      <c r="AK418" s="55"/>
      <c r="AL418" s="55"/>
      <c r="AM418" s="55"/>
      <c r="AN418" s="55"/>
      <c r="AO418" s="55"/>
      <c r="AP418" s="55"/>
      <c r="AQ418" s="55"/>
      <c r="AR418" s="55"/>
      <c r="AS418" s="55"/>
      <c r="AT418" s="55"/>
      <c r="AU418" s="55"/>
      <c r="AV418" s="55"/>
      <c r="AW418" s="55"/>
      <c r="AX418" s="55"/>
      <c r="AY418" s="55"/>
      <c r="AZ418" s="55"/>
      <c r="BA418" s="55"/>
      <c r="BB418" s="55"/>
      <c r="BC418" s="55"/>
      <c r="BD418" s="55"/>
      <c r="BE418" s="55"/>
      <c r="BF418" s="55"/>
      <c r="BG418" s="55"/>
      <c r="BH418" s="55"/>
      <c r="BI418" s="55"/>
      <c r="BJ418" s="55"/>
      <c r="BK418" s="55"/>
      <c r="BL418" s="55"/>
      <c r="BM418" s="55"/>
      <c r="BN418" s="55"/>
      <c r="BO418" s="55"/>
      <c r="BP418" s="55"/>
      <c r="BQ418" s="55"/>
      <c r="BR418" s="55"/>
      <c r="BS418" s="55"/>
    </row>
    <row r="419" spans="1:93" outlineLevel="1" x14ac:dyDescent="0.2">
      <c r="C419" s="11" t="s">
        <v>347</v>
      </c>
      <c r="J419" s="26"/>
      <c r="L419" s="55"/>
      <c r="M419" s="55"/>
      <c r="N419" s="55"/>
      <c r="O419" s="55"/>
      <c r="P419" s="55"/>
      <c r="Q419" s="55"/>
      <c r="R419" s="55"/>
      <c r="S419" s="55"/>
      <c r="T419" s="55"/>
      <c r="U419" s="55"/>
      <c r="V419" s="55"/>
      <c r="W419" s="55"/>
      <c r="X419" s="55"/>
      <c r="Y419" s="55"/>
      <c r="Z419" s="55"/>
      <c r="AA419" s="55"/>
      <c r="AB419" s="55"/>
      <c r="AC419" s="55"/>
      <c r="AD419" s="55"/>
      <c r="AE419" s="55"/>
      <c r="AF419" s="55"/>
      <c r="AG419" s="55"/>
      <c r="AH419" s="55"/>
      <c r="AI419" s="55"/>
      <c r="AJ419" s="55"/>
      <c r="AK419" s="55"/>
      <c r="AL419" s="55"/>
      <c r="AM419" s="55"/>
      <c r="AN419" s="55"/>
      <c r="AO419" s="55"/>
      <c r="AP419" s="55"/>
      <c r="AQ419" s="55"/>
      <c r="AR419" s="55"/>
      <c r="AS419" s="55"/>
      <c r="AT419" s="55"/>
      <c r="AU419" s="55"/>
      <c r="AV419" s="55"/>
      <c r="AW419" s="55"/>
      <c r="AX419" s="55"/>
      <c r="AY419" s="55"/>
      <c r="AZ419" s="55"/>
      <c r="BA419" s="55"/>
      <c r="BB419" s="55"/>
      <c r="BC419" s="55"/>
      <c r="BD419" s="55"/>
      <c r="BE419" s="55"/>
      <c r="BF419" s="55"/>
      <c r="BG419" s="55"/>
      <c r="BH419" s="55"/>
      <c r="BI419" s="55"/>
      <c r="BJ419" s="55"/>
      <c r="BK419" s="55"/>
      <c r="BL419" s="55"/>
      <c r="BM419" s="55"/>
      <c r="BN419" s="55"/>
      <c r="BO419" s="55"/>
      <c r="BP419" s="55"/>
      <c r="BQ419" s="55"/>
      <c r="BR419" s="55"/>
      <c r="BS419" s="55"/>
    </row>
    <row r="420" spans="1:93" outlineLevel="1" x14ac:dyDescent="0.2">
      <c r="D420" t="s">
        <v>337</v>
      </c>
      <c r="J420" s="26"/>
      <c r="L420" s="49">
        <f>K423</f>
        <v>0</v>
      </c>
      <c r="M420" s="49">
        <f t="shared" ref="M420:BS420" ca="1" si="165">L423</f>
        <v>0</v>
      </c>
      <c r="N420" s="49">
        <f t="shared" ca="1" si="165"/>
        <v>0</v>
      </c>
      <c r="O420" s="49">
        <f t="shared" ca="1" si="165"/>
        <v>0</v>
      </c>
      <c r="P420" s="49">
        <f t="shared" ca="1" si="165"/>
        <v>0</v>
      </c>
      <c r="Q420" s="49">
        <f t="shared" ca="1" si="165"/>
        <v>0</v>
      </c>
      <c r="R420" s="49">
        <f t="shared" ca="1" si="165"/>
        <v>0</v>
      </c>
      <c r="S420" s="49">
        <f t="shared" ca="1" si="165"/>
        <v>0</v>
      </c>
      <c r="T420" s="49">
        <f t="shared" ca="1" si="165"/>
        <v>0</v>
      </c>
      <c r="U420" s="49">
        <f t="shared" ca="1" si="165"/>
        <v>0</v>
      </c>
      <c r="V420" s="49">
        <f t="shared" ca="1" si="165"/>
        <v>0</v>
      </c>
      <c r="W420" s="49">
        <f t="shared" ca="1" si="165"/>
        <v>0</v>
      </c>
      <c r="X420" s="49">
        <f t="shared" ca="1" si="165"/>
        <v>0</v>
      </c>
      <c r="Y420" s="49">
        <f t="shared" ca="1" si="165"/>
        <v>0</v>
      </c>
      <c r="Z420" s="49">
        <f t="shared" ca="1" si="165"/>
        <v>0</v>
      </c>
      <c r="AA420" s="49">
        <f t="shared" ca="1" si="165"/>
        <v>0</v>
      </c>
      <c r="AB420" s="49">
        <f t="shared" ca="1" si="165"/>
        <v>0</v>
      </c>
      <c r="AC420" s="49">
        <f t="shared" ca="1" si="165"/>
        <v>0</v>
      </c>
      <c r="AD420" s="49">
        <f t="shared" ca="1" si="165"/>
        <v>0</v>
      </c>
      <c r="AE420" s="49">
        <f t="shared" ca="1" si="165"/>
        <v>0</v>
      </c>
      <c r="AF420" s="49">
        <f t="shared" ca="1" si="165"/>
        <v>0</v>
      </c>
      <c r="AG420" s="49">
        <f t="shared" ca="1" si="165"/>
        <v>0</v>
      </c>
      <c r="AH420" s="49">
        <f t="shared" ca="1" si="165"/>
        <v>0</v>
      </c>
      <c r="AI420" s="49">
        <f t="shared" ca="1" si="165"/>
        <v>0</v>
      </c>
      <c r="AJ420" s="49">
        <f t="shared" ca="1" si="165"/>
        <v>0</v>
      </c>
      <c r="AK420" s="49">
        <f t="shared" ca="1" si="165"/>
        <v>0</v>
      </c>
      <c r="AL420" s="49">
        <f t="shared" ca="1" si="165"/>
        <v>0</v>
      </c>
      <c r="AM420" s="49">
        <f t="shared" ca="1" si="165"/>
        <v>0</v>
      </c>
      <c r="AN420" s="49">
        <f t="shared" ca="1" si="165"/>
        <v>0</v>
      </c>
      <c r="AO420" s="49">
        <f t="shared" ca="1" si="165"/>
        <v>0</v>
      </c>
      <c r="AP420" s="49">
        <f t="shared" ca="1" si="165"/>
        <v>0</v>
      </c>
      <c r="AQ420" s="49">
        <f t="shared" ca="1" si="165"/>
        <v>0</v>
      </c>
      <c r="AR420" s="49">
        <f t="shared" ca="1" si="165"/>
        <v>0</v>
      </c>
      <c r="AS420" s="49">
        <f t="shared" ca="1" si="165"/>
        <v>0</v>
      </c>
      <c r="AT420" s="49">
        <f t="shared" ca="1" si="165"/>
        <v>0</v>
      </c>
      <c r="AU420" s="49">
        <f t="shared" ca="1" si="165"/>
        <v>0</v>
      </c>
      <c r="AV420" s="49">
        <f t="shared" ca="1" si="165"/>
        <v>0</v>
      </c>
      <c r="AW420" s="49">
        <f t="shared" ca="1" si="165"/>
        <v>0</v>
      </c>
      <c r="AX420" s="49">
        <f t="shared" ca="1" si="165"/>
        <v>0</v>
      </c>
      <c r="AY420" s="49">
        <f t="shared" ca="1" si="165"/>
        <v>0</v>
      </c>
      <c r="AZ420" s="49">
        <f t="shared" ca="1" si="165"/>
        <v>0</v>
      </c>
      <c r="BA420" s="49">
        <f t="shared" ca="1" si="165"/>
        <v>0</v>
      </c>
      <c r="BB420" s="49">
        <f t="shared" ca="1" si="165"/>
        <v>0</v>
      </c>
      <c r="BC420" s="49">
        <f t="shared" ca="1" si="165"/>
        <v>0</v>
      </c>
      <c r="BD420" s="49">
        <f t="shared" ca="1" si="165"/>
        <v>0</v>
      </c>
      <c r="BE420" s="49">
        <f t="shared" ca="1" si="165"/>
        <v>0</v>
      </c>
      <c r="BF420" s="49">
        <f t="shared" ca="1" si="165"/>
        <v>0</v>
      </c>
      <c r="BG420" s="49">
        <f t="shared" ca="1" si="165"/>
        <v>0</v>
      </c>
      <c r="BH420" s="49">
        <f t="shared" ca="1" si="165"/>
        <v>0</v>
      </c>
      <c r="BI420" s="49">
        <f t="shared" ca="1" si="165"/>
        <v>0</v>
      </c>
      <c r="BJ420" s="49">
        <f t="shared" ca="1" si="165"/>
        <v>0</v>
      </c>
      <c r="BK420" s="49">
        <f t="shared" ca="1" si="165"/>
        <v>0</v>
      </c>
      <c r="BL420" s="49">
        <f t="shared" ca="1" si="165"/>
        <v>0</v>
      </c>
      <c r="BM420" s="49">
        <f t="shared" ca="1" si="165"/>
        <v>0</v>
      </c>
      <c r="BN420" s="49">
        <f t="shared" ca="1" si="165"/>
        <v>0</v>
      </c>
      <c r="BO420" s="49">
        <f t="shared" ca="1" si="165"/>
        <v>0</v>
      </c>
      <c r="BP420" s="49">
        <f t="shared" ca="1" si="165"/>
        <v>0</v>
      </c>
      <c r="BQ420" s="49">
        <f t="shared" ca="1" si="165"/>
        <v>0</v>
      </c>
      <c r="BR420" s="49">
        <f t="shared" ca="1" si="165"/>
        <v>0</v>
      </c>
      <c r="BS420" s="49">
        <f t="shared" ca="1" si="165"/>
        <v>0</v>
      </c>
    </row>
    <row r="421" spans="1:93" outlineLevel="1" x14ac:dyDescent="0.2">
      <c r="D421" s="50" t="s">
        <v>348</v>
      </c>
      <c r="I421" s="30">
        <f t="shared" ref="I421:I422" ca="1" si="166">SUM($L421:$BS421)</f>
        <v>0</v>
      </c>
      <c r="J421" s="26" t="s">
        <v>148</v>
      </c>
      <c r="L421" s="49">
        <f ca="1">L404</f>
        <v>0</v>
      </c>
      <c r="M421" s="49">
        <f t="shared" ref="M421:BS421" ca="1" si="167">M404</f>
        <v>0</v>
      </c>
      <c r="N421" s="49">
        <f t="shared" ca="1" si="167"/>
        <v>0</v>
      </c>
      <c r="O421" s="49">
        <f t="shared" ca="1" si="167"/>
        <v>0</v>
      </c>
      <c r="P421" s="49">
        <f t="shared" ca="1" si="167"/>
        <v>0</v>
      </c>
      <c r="Q421" s="49">
        <f t="shared" ca="1" si="167"/>
        <v>0</v>
      </c>
      <c r="R421" s="49">
        <f t="shared" ca="1" si="167"/>
        <v>0</v>
      </c>
      <c r="S421" s="49">
        <f t="shared" ca="1" si="167"/>
        <v>0</v>
      </c>
      <c r="T421" s="49">
        <f t="shared" ca="1" si="167"/>
        <v>0</v>
      </c>
      <c r="U421" s="49">
        <f t="shared" ca="1" si="167"/>
        <v>0</v>
      </c>
      <c r="V421" s="49">
        <f t="shared" ca="1" si="167"/>
        <v>0</v>
      </c>
      <c r="W421" s="49">
        <f t="shared" ca="1" si="167"/>
        <v>0</v>
      </c>
      <c r="X421" s="49">
        <f t="shared" ca="1" si="167"/>
        <v>0</v>
      </c>
      <c r="Y421" s="49">
        <f t="shared" ca="1" si="167"/>
        <v>0</v>
      </c>
      <c r="Z421" s="49">
        <f t="shared" ca="1" si="167"/>
        <v>0</v>
      </c>
      <c r="AA421" s="49">
        <f t="shared" ca="1" si="167"/>
        <v>0</v>
      </c>
      <c r="AB421" s="49">
        <f t="shared" ca="1" si="167"/>
        <v>0</v>
      </c>
      <c r="AC421" s="49">
        <f t="shared" ca="1" si="167"/>
        <v>0</v>
      </c>
      <c r="AD421" s="49">
        <f t="shared" ca="1" si="167"/>
        <v>0</v>
      </c>
      <c r="AE421" s="49">
        <f t="shared" ca="1" si="167"/>
        <v>0</v>
      </c>
      <c r="AF421" s="49">
        <f t="shared" ca="1" si="167"/>
        <v>0</v>
      </c>
      <c r="AG421" s="49">
        <f t="shared" ca="1" si="167"/>
        <v>0</v>
      </c>
      <c r="AH421" s="49">
        <f t="shared" ca="1" si="167"/>
        <v>0</v>
      </c>
      <c r="AI421" s="49">
        <f t="shared" ca="1" si="167"/>
        <v>0</v>
      </c>
      <c r="AJ421" s="49">
        <f t="shared" ca="1" si="167"/>
        <v>0</v>
      </c>
      <c r="AK421" s="49">
        <f t="shared" ca="1" si="167"/>
        <v>0</v>
      </c>
      <c r="AL421" s="49">
        <f t="shared" ca="1" si="167"/>
        <v>0</v>
      </c>
      <c r="AM421" s="49">
        <f t="shared" ca="1" si="167"/>
        <v>0</v>
      </c>
      <c r="AN421" s="49">
        <f t="shared" ca="1" si="167"/>
        <v>0</v>
      </c>
      <c r="AO421" s="49">
        <f t="shared" ca="1" si="167"/>
        <v>0</v>
      </c>
      <c r="AP421" s="49">
        <f t="shared" ca="1" si="167"/>
        <v>0</v>
      </c>
      <c r="AQ421" s="49">
        <f t="shared" ca="1" si="167"/>
        <v>0</v>
      </c>
      <c r="AR421" s="49">
        <f t="shared" ca="1" si="167"/>
        <v>0</v>
      </c>
      <c r="AS421" s="49">
        <f t="shared" ca="1" si="167"/>
        <v>0</v>
      </c>
      <c r="AT421" s="49">
        <f t="shared" ca="1" si="167"/>
        <v>0</v>
      </c>
      <c r="AU421" s="49">
        <f t="shared" ca="1" si="167"/>
        <v>0</v>
      </c>
      <c r="AV421" s="49">
        <f t="shared" ca="1" si="167"/>
        <v>0</v>
      </c>
      <c r="AW421" s="49">
        <f t="shared" ca="1" si="167"/>
        <v>0</v>
      </c>
      <c r="AX421" s="49">
        <f t="shared" ca="1" si="167"/>
        <v>0</v>
      </c>
      <c r="AY421" s="49">
        <f t="shared" ca="1" si="167"/>
        <v>0</v>
      </c>
      <c r="AZ421" s="49">
        <f t="shared" ca="1" si="167"/>
        <v>0</v>
      </c>
      <c r="BA421" s="49">
        <f t="shared" ca="1" si="167"/>
        <v>0</v>
      </c>
      <c r="BB421" s="49">
        <f t="shared" ca="1" si="167"/>
        <v>0</v>
      </c>
      <c r="BC421" s="49">
        <f t="shared" ca="1" si="167"/>
        <v>0</v>
      </c>
      <c r="BD421" s="49">
        <f t="shared" ca="1" si="167"/>
        <v>0</v>
      </c>
      <c r="BE421" s="49">
        <f t="shared" ca="1" si="167"/>
        <v>0</v>
      </c>
      <c r="BF421" s="49">
        <f t="shared" ca="1" si="167"/>
        <v>0</v>
      </c>
      <c r="BG421" s="49">
        <f t="shared" ca="1" si="167"/>
        <v>0</v>
      </c>
      <c r="BH421" s="49">
        <f t="shared" ca="1" si="167"/>
        <v>0</v>
      </c>
      <c r="BI421" s="49">
        <f t="shared" ca="1" si="167"/>
        <v>0</v>
      </c>
      <c r="BJ421" s="49">
        <f t="shared" ca="1" si="167"/>
        <v>0</v>
      </c>
      <c r="BK421" s="49">
        <f t="shared" ca="1" si="167"/>
        <v>0</v>
      </c>
      <c r="BL421" s="49">
        <f t="shared" ca="1" si="167"/>
        <v>0</v>
      </c>
      <c r="BM421" s="49">
        <f t="shared" ca="1" si="167"/>
        <v>0</v>
      </c>
      <c r="BN421" s="49">
        <f t="shared" ca="1" si="167"/>
        <v>0</v>
      </c>
      <c r="BO421" s="49">
        <f t="shared" ca="1" si="167"/>
        <v>0</v>
      </c>
      <c r="BP421" s="49">
        <f t="shared" ca="1" si="167"/>
        <v>0</v>
      </c>
      <c r="BQ421" s="49">
        <f t="shared" ca="1" si="167"/>
        <v>0</v>
      </c>
      <c r="BR421" s="49">
        <f t="shared" ca="1" si="167"/>
        <v>0</v>
      </c>
      <c r="BS421" s="49">
        <f t="shared" ca="1" si="167"/>
        <v>0</v>
      </c>
    </row>
    <row r="422" spans="1:93" outlineLevel="1" x14ac:dyDescent="0.2">
      <c r="D422" s="50" t="s">
        <v>335</v>
      </c>
      <c r="I422" s="30">
        <f t="shared" ca="1" si="166"/>
        <v>0</v>
      </c>
      <c r="J422" s="26" t="s">
        <v>148</v>
      </c>
      <c r="L422" s="49">
        <f ca="1">-MIN(SUM(L420:L421),SUM(L$376,L$381)*Marine!NOC_rpmt_max_perc)*Marine!NOC_CI_opex_rpmt</f>
        <v>0</v>
      </c>
      <c r="M422" s="49">
        <f ca="1">-MIN(SUM(M420:M421),SUM(M$376,M$381)*Marine!NOC_rpmt_max_perc)*Marine!NOC_CI_opex_rpmt</f>
        <v>0</v>
      </c>
      <c r="N422" s="49">
        <f ca="1">-MIN(SUM(N420:N421),SUM(N$376,N$381)*Marine!NOC_rpmt_max_perc)*Marine!NOC_CI_opex_rpmt</f>
        <v>0</v>
      </c>
      <c r="O422" s="49">
        <f ca="1">-MIN(SUM(O420:O421),SUM(O$376,O$381)*Marine!NOC_rpmt_max_perc)*Marine!NOC_CI_opex_rpmt</f>
        <v>0</v>
      </c>
      <c r="P422" s="49">
        <f ca="1">-MIN(SUM(P420:P421),SUM(P$376,P$381)*Marine!NOC_rpmt_max_perc)*Marine!NOC_CI_opex_rpmt</f>
        <v>0</v>
      </c>
      <c r="Q422" s="49">
        <f ca="1">-MIN(SUM(Q420:Q421),SUM(Q$376,Q$381)*Marine!NOC_rpmt_max_perc)*Marine!NOC_CI_opex_rpmt</f>
        <v>0</v>
      </c>
      <c r="R422" s="49">
        <f ca="1">-MIN(SUM(R420:R421),SUM(R$376,R$381)*Marine!NOC_rpmt_max_perc)*Marine!NOC_CI_opex_rpmt</f>
        <v>0</v>
      </c>
      <c r="S422" s="49">
        <f ca="1">-MIN(SUM(S420:S421),SUM(S$376,S$381)*Marine!NOC_rpmt_max_perc)*Marine!NOC_CI_opex_rpmt</f>
        <v>0</v>
      </c>
      <c r="T422" s="49">
        <f ca="1">-MIN(SUM(T420:T421),SUM(T$376,T$381)*Marine!NOC_rpmt_max_perc)*Marine!NOC_CI_opex_rpmt</f>
        <v>0</v>
      </c>
      <c r="U422" s="49">
        <f ca="1">-MIN(SUM(U420:U421),SUM(U$376,U$381)*Marine!NOC_rpmt_max_perc)*Marine!NOC_CI_opex_rpmt</f>
        <v>0</v>
      </c>
      <c r="V422" s="49">
        <f ca="1">-MIN(SUM(V420:V421),SUM(V$376,V$381)*Marine!NOC_rpmt_max_perc)*Marine!NOC_CI_opex_rpmt</f>
        <v>0</v>
      </c>
      <c r="W422" s="49">
        <f ca="1">-MIN(SUM(W420:W421),SUM(W$376,W$381)*Marine!NOC_rpmt_max_perc)*Marine!NOC_CI_opex_rpmt</f>
        <v>0</v>
      </c>
      <c r="X422" s="49">
        <f ca="1">-MIN(SUM(X420:X421),SUM(X$376,X$381)*Marine!NOC_rpmt_max_perc)*Marine!NOC_CI_opex_rpmt</f>
        <v>0</v>
      </c>
      <c r="Y422" s="49">
        <f ca="1">-MIN(SUM(Y420:Y421),SUM(Y$376,Y$381)*Marine!NOC_rpmt_max_perc)*Marine!NOC_CI_opex_rpmt</f>
        <v>0</v>
      </c>
      <c r="Z422" s="49">
        <f ca="1">-MIN(SUM(Z420:Z421),SUM(Z$376,Z$381)*Marine!NOC_rpmt_max_perc)*Marine!NOC_CI_opex_rpmt</f>
        <v>0</v>
      </c>
      <c r="AA422" s="49">
        <f ca="1">-MIN(SUM(AA420:AA421),SUM(AA$376,AA$381)*Marine!NOC_rpmt_max_perc)*Marine!NOC_CI_opex_rpmt</f>
        <v>0</v>
      </c>
      <c r="AB422" s="49">
        <f ca="1">-MIN(SUM(AB420:AB421),SUM(AB$376,AB$381)*Marine!NOC_rpmt_max_perc)*Marine!NOC_CI_opex_rpmt</f>
        <v>0</v>
      </c>
      <c r="AC422" s="49">
        <f ca="1">-MIN(SUM(AC420:AC421),SUM(AC$376,AC$381)*Marine!NOC_rpmt_max_perc)*Marine!NOC_CI_opex_rpmt</f>
        <v>0</v>
      </c>
      <c r="AD422" s="49">
        <f ca="1">-MIN(SUM(AD420:AD421),SUM(AD$376,AD$381)*Marine!NOC_rpmt_max_perc)*Marine!NOC_CI_opex_rpmt</f>
        <v>0</v>
      </c>
      <c r="AE422" s="49">
        <f ca="1">-MIN(SUM(AE420:AE421),SUM(AE$376,AE$381)*Marine!NOC_rpmt_max_perc)*Marine!NOC_CI_opex_rpmt</f>
        <v>0</v>
      </c>
      <c r="AF422" s="49">
        <f ca="1">-MIN(SUM(AF420:AF421),SUM(AF$376,AF$381)*Marine!NOC_rpmt_max_perc)*Marine!NOC_CI_opex_rpmt</f>
        <v>0</v>
      </c>
      <c r="AG422" s="49">
        <f ca="1">-MIN(SUM(AG420:AG421),SUM(AG$376,AG$381)*Marine!NOC_rpmt_max_perc)*Marine!NOC_CI_opex_rpmt</f>
        <v>0</v>
      </c>
      <c r="AH422" s="49">
        <f ca="1">-MIN(SUM(AH420:AH421),SUM(AH$376,AH$381)*Marine!NOC_rpmt_max_perc)*Marine!NOC_CI_opex_rpmt</f>
        <v>0</v>
      </c>
      <c r="AI422" s="49">
        <f ca="1">-MIN(SUM(AI420:AI421),SUM(AI$376,AI$381)*Marine!NOC_rpmt_max_perc)*Marine!NOC_CI_opex_rpmt</f>
        <v>0</v>
      </c>
      <c r="AJ422" s="49">
        <f ca="1">-MIN(SUM(AJ420:AJ421),SUM(AJ$376,AJ$381)*Marine!NOC_rpmt_max_perc)*Marine!NOC_CI_opex_rpmt</f>
        <v>0</v>
      </c>
      <c r="AK422" s="49">
        <f ca="1">-MIN(SUM(AK420:AK421),SUM(AK$376,AK$381)*Marine!NOC_rpmt_max_perc)*Marine!NOC_CI_opex_rpmt</f>
        <v>0</v>
      </c>
      <c r="AL422" s="49">
        <f ca="1">-MIN(SUM(AL420:AL421),SUM(AL$376,AL$381)*Marine!NOC_rpmt_max_perc)*Marine!NOC_CI_opex_rpmt</f>
        <v>0</v>
      </c>
      <c r="AM422" s="49">
        <f ca="1">-MIN(SUM(AM420:AM421),SUM(AM$376,AM$381)*Marine!NOC_rpmt_max_perc)*Marine!NOC_CI_opex_rpmt</f>
        <v>0</v>
      </c>
      <c r="AN422" s="49">
        <f ca="1">-MIN(SUM(AN420:AN421),SUM(AN$376,AN$381)*Marine!NOC_rpmt_max_perc)*Marine!NOC_CI_opex_rpmt</f>
        <v>0</v>
      </c>
      <c r="AO422" s="49">
        <f ca="1">-MIN(SUM(AO420:AO421),SUM(AO$376,AO$381)*Marine!NOC_rpmt_max_perc)*Marine!NOC_CI_opex_rpmt</f>
        <v>0</v>
      </c>
      <c r="AP422" s="49">
        <f ca="1">-MIN(SUM(AP420:AP421),SUM(AP$376,AP$381)*Marine!NOC_rpmt_max_perc)*Marine!NOC_CI_opex_rpmt</f>
        <v>0</v>
      </c>
      <c r="AQ422" s="49">
        <f ca="1">-MIN(SUM(AQ420:AQ421),SUM(AQ$376,AQ$381)*Marine!NOC_rpmt_max_perc)*Marine!NOC_CI_opex_rpmt</f>
        <v>0</v>
      </c>
      <c r="AR422" s="49">
        <f ca="1">-MIN(SUM(AR420:AR421),SUM(AR$376,AR$381)*Marine!NOC_rpmt_max_perc)*Marine!NOC_CI_opex_rpmt</f>
        <v>0</v>
      </c>
      <c r="AS422" s="49">
        <f ca="1">-MIN(SUM(AS420:AS421),SUM(AS$376,AS$381)*Marine!NOC_rpmt_max_perc)*Marine!NOC_CI_opex_rpmt</f>
        <v>0</v>
      </c>
      <c r="AT422" s="49">
        <f ca="1">-MIN(SUM(AT420:AT421),SUM(AT$376,AT$381)*Marine!NOC_rpmt_max_perc)*Marine!NOC_CI_opex_rpmt</f>
        <v>0</v>
      </c>
      <c r="AU422" s="49">
        <f ca="1">-MIN(SUM(AU420:AU421),SUM(AU$376,AU$381)*Marine!NOC_rpmt_max_perc)*Marine!NOC_CI_opex_rpmt</f>
        <v>0</v>
      </c>
      <c r="AV422" s="49">
        <f ca="1">-MIN(SUM(AV420:AV421),SUM(AV$376,AV$381)*Marine!NOC_rpmt_max_perc)*Marine!NOC_CI_opex_rpmt</f>
        <v>0</v>
      </c>
      <c r="AW422" s="49">
        <f ca="1">-MIN(SUM(AW420:AW421),SUM(AW$376,AW$381)*Marine!NOC_rpmt_max_perc)*Marine!NOC_CI_opex_rpmt</f>
        <v>0</v>
      </c>
      <c r="AX422" s="49">
        <f ca="1">-MIN(SUM(AX420:AX421),SUM(AX$376,AX$381)*Marine!NOC_rpmt_max_perc)*Marine!NOC_CI_opex_rpmt</f>
        <v>0</v>
      </c>
      <c r="AY422" s="49">
        <f ca="1">-MIN(SUM(AY420:AY421),SUM(AY$376,AY$381)*Marine!NOC_rpmt_max_perc)*Marine!NOC_CI_opex_rpmt</f>
        <v>0</v>
      </c>
      <c r="AZ422" s="49">
        <f ca="1">-MIN(SUM(AZ420:AZ421),SUM(AZ$376,AZ$381)*Marine!NOC_rpmt_max_perc)*Marine!NOC_CI_opex_rpmt</f>
        <v>0</v>
      </c>
      <c r="BA422" s="49">
        <f ca="1">-MIN(SUM(BA420:BA421),SUM(BA$376,BA$381)*Marine!NOC_rpmt_max_perc)*Marine!NOC_CI_opex_rpmt</f>
        <v>0</v>
      </c>
      <c r="BB422" s="49">
        <f ca="1">-MIN(SUM(BB420:BB421),SUM(BB$376,BB$381)*Marine!NOC_rpmt_max_perc)*Marine!NOC_CI_opex_rpmt</f>
        <v>0</v>
      </c>
      <c r="BC422" s="49">
        <f ca="1">-MIN(SUM(BC420:BC421),SUM(BC$376,BC$381)*Marine!NOC_rpmt_max_perc)*Marine!NOC_CI_opex_rpmt</f>
        <v>0</v>
      </c>
      <c r="BD422" s="49">
        <f ca="1">-MIN(SUM(BD420:BD421),SUM(BD$376,BD$381)*Marine!NOC_rpmt_max_perc)*Marine!NOC_CI_opex_rpmt</f>
        <v>0</v>
      </c>
      <c r="BE422" s="49">
        <f ca="1">-MIN(SUM(BE420:BE421),SUM(BE$376,BE$381)*Marine!NOC_rpmt_max_perc)*Marine!NOC_CI_opex_rpmt</f>
        <v>0</v>
      </c>
      <c r="BF422" s="49">
        <f ca="1">-MIN(SUM(BF420:BF421),SUM(BF$376,BF$381)*Marine!NOC_rpmt_max_perc)*Marine!NOC_CI_opex_rpmt</f>
        <v>0</v>
      </c>
      <c r="BG422" s="49">
        <f ca="1">-MIN(SUM(BG420:BG421),SUM(BG$376,BG$381)*Marine!NOC_rpmt_max_perc)*Marine!NOC_CI_opex_rpmt</f>
        <v>0</v>
      </c>
      <c r="BH422" s="49">
        <f ca="1">-MIN(SUM(BH420:BH421),SUM(BH$376,BH$381)*Marine!NOC_rpmt_max_perc)*Marine!NOC_CI_opex_rpmt</f>
        <v>0</v>
      </c>
      <c r="BI422" s="49">
        <f ca="1">-MIN(SUM(BI420:BI421),SUM(BI$376,BI$381)*Marine!NOC_rpmt_max_perc)*Marine!NOC_CI_opex_rpmt</f>
        <v>0</v>
      </c>
      <c r="BJ422" s="49">
        <f ca="1">-MIN(SUM(BJ420:BJ421),SUM(BJ$376,BJ$381)*Marine!NOC_rpmt_max_perc)*Marine!NOC_CI_opex_rpmt</f>
        <v>0</v>
      </c>
      <c r="BK422" s="49">
        <f ca="1">-MIN(SUM(BK420:BK421),SUM(BK$376,BK$381)*Marine!NOC_rpmt_max_perc)*Marine!NOC_CI_opex_rpmt</f>
        <v>0</v>
      </c>
      <c r="BL422" s="49">
        <f ca="1">-MIN(SUM(BL420:BL421),SUM(BL$376,BL$381)*Marine!NOC_rpmt_max_perc)*Marine!NOC_CI_opex_rpmt</f>
        <v>0</v>
      </c>
      <c r="BM422" s="49">
        <f ca="1">-MIN(SUM(BM420:BM421),SUM(BM$376,BM$381)*Marine!NOC_rpmt_max_perc)*Marine!NOC_CI_opex_rpmt</f>
        <v>0</v>
      </c>
      <c r="BN422" s="49">
        <f ca="1">-MIN(SUM(BN420:BN421),SUM(BN$376,BN$381)*Marine!NOC_rpmt_max_perc)*Marine!NOC_CI_opex_rpmt</f>
        <v>0</v>
      </c>
      <c r="BO422" s="49">
        <f ca="1">-MIN(SUM(BO420:BO421),SUM(BO$376,BO$381)*Marine!NOC_rpmt_max_perc)*Marine!NOC_CI_opex_rpmt</f>
        <v>0</v>
      </c>
      <c r="BP422" s="49">
        <f ca="1">-MIN(SUM(BP420:BP421),SUM(BP$376,BP$381)*Marine!NOC_rpmt_max_perc)*Marine!NOC_CI_opex_rpmt</f>
        <v>0</v>
      </c>
      <c r="BQ422" s="49">
        <f ca="1">-MIN(SUM(BQ420:BQ421),SUM(BQ$376,BQ$381)*Marine!NOC_rpmt_max_perc)*Marine!NOC_CI_opex_rpmt</f>
        <v>0</v>
      </c>
      <c r="BR422" s="49">
        <f ca="1">-MIN(SUM(BR420:BR421),SUM(BR$376,BR$381)*Marine!NOC_rpmt_max_perc)*Marine!NOC_CI_opex_rpmt</f>
        <v>0</v>
      </c>
      <c r="BS422" s="49">
        <f ca="1">-MIN(SUM(BS420:BS421),SUM(BS$376,BS$381)*Marine!NOC_rpmt_max_perc)*Marine!NOC_CI_opex_rpmt</f>
        <v>0</v>
      </c>
    </row>
    <row r="423" spans="1:93" outlineLevel="1" x14ac:dyDescent="0.2">
      <c r="D423" t="s">
        <v>336</v>
      </c>
      <c r="J423" s="26"/>
      <c r="L423" s="49">
        <f ca="1">SUM(L420:L422)</f>
        <v>0</v>
      </c>
      <c r="M423" s="49">
        <f t="shared" ref="M423:BS423" ca="1" si="168">SUM(M420:M422)</f>
        <v>0</v>
      </c>
      <c r="N423" s="49">
        <f t="shared" ca="1" si="168"/>
        <v>0</v>
      </c>
      <c r="O423" s="49">
        <f t="shared" ca="1" si="168"/>
        <v>0</v>
      </c>
      <c r="P423" s="49">
        <f t="shared" ca="1" si="168"/>
        <v>0</v>
      </c>
      <c r="Q423" s="49">
        <f t="shared" ca="1" si="168"/>
        <v>0</v>
      </c>
      <c r="R423" s="49">
        <f t="shared" ca="1" si="168"/>
        <v>0</v>
      </c>
      <c r="S423" s="49">
        <f t="shared" ca="1" si="168"/>
        <v>0</v>
      </c>
      <c r="T423" s="49">
        <f t="shared" ca="1" si="168"/>
        <v>0</v>
      </c>
      <c r="U423" s="49">
        <f t="shared" ca="1" si="168"/>
        <v>0</v>
      </c>
      <c r="V423" s="49">
        <f t="shared" ca="1" si="168"/>
        <v>0</v>
      </c>
      <c r="W423" s="49">
        <f t="shared" ca="1" si="168"/>
        <v>0</v>
      </c>
      <c r="X423" s="49">
        <f t="shared" ca="1" si="168"/>
        <v>0</v>
      </c>
      <c r="Y423" s="49">
        <f t="shared" ca="1" si="168"/>
        <v>0</v>
      </c>
      <c r="Z423" s="49">
        <f t="shared" ca="1" si="168"/>
        <v>0</v>
      </c>
      <c r="AA423" s="49">
        <f t="shared" ca="1" si="168"/>
        <v>0</v>
      </c>
      <c r="AB423" s="49">
        <f t="shared" ca="1" si="168"/>
        <v>0</v>
      </c>
      <c r="AC423" s="49">
        <f t="shared" ca="1" si="168"/>
        <v>0</v>
      </c>
      <c r="AD423" s="49">
        <f t="shared" ca="1" si="168"/>
        <v>0</v>
      </c>
      <c r="AE423" s="49">
        <f t="shared" ca="1" si="168"/>
        <v>0</v>
      </c>
      <c r="AF423" s="49">
        <f t="shared" ca="1" si="168"/>
        <v>0</v>
      </c>
      <c r="AG423" s="49">
        <f t="shared" ca="1" si="168"/>
        <v>0</v>
      </c>
      <c r="AH423" s="49">
        <f t="shared" ca="1" si="168"/>
        <v>0</v>
      </c>
      <c r="AI423" s="49">
        <f t="shared" ca="1" si="168"/>
        <v>0</v>
      </c>
      <c r="AJ423" s="49">
        <f t="shared" ca="1" si="168"/>
        <v>0</v>
      </c>
      <c r="AK423" s="49">
        <f t="shared" ca="1" si="168"/>
        <v>0</v>
      </c>
      <c r="AL423" s="49">
        <f t="shared" ca="1" si="168"/>
        <v>0</v>
      </c>
      <c r="AM423" s="49">
        <f t="shared" ca="1" si="168"/>
        <v>0</v>
      </c>
      <c r="AN423" s="49">
        <f t="shared" ca="1" si="168"/>
        <v>0</v>
      </c>
      <c r="AO423" s="49">
        <f t="shared" ca="1" si="168"/>
        <v>0</v>
      </c>
      <c r="AP423" s="49">
        <f t="shared" ca="1" si="168"/>
        <v>0</v>
      </c>
      <c r="AQ423" s="49">
        <f t="shared" ca="1" si="168"/>
        <v>0</v>
      </c>
      <c r="AR423" s="49">
        <f t="shared" ca="1" si="168"/>
        <v>0</v>
      </c>
      <c r="AS423" s="49">
        <f t="shared" ca="1" si="168"/>
        <v>0</v>
      </c>
      <c r="AT423" s="49">
        <f t="shared" ca="1" si="168"/>
        <v>0</v>
      </c>
      <c r="AU423" s="49">
        <f t="shared" ca="1" si="168"/>
        <v>0</v>
      </c>
      <c r="AV423" s="49">
        <f t="shared" ca="1" si="168"/>
        <v>0</v>
      </c>
      <c r="AW423" s="49">
        <f t="shared" ca="1" si="168"/>
        <v>0</v>
      </c>
      <c r="AX423" s="49">
        <f t="shared" ca="1" si="168"/>
        <v>0</v>
      </c>
      <c r="AY423" s="49">
        <f t="shared" ca="1" si="168"/>
        <v>0</v>
      </c>
      <c r="AZ423" s="49">
        <f t="shared" ca="1" si="168"/>
        <v>0</v>
      </c>
      <c r="BA423" s="49">
        <f t="shared" ca="1" si="168"/>
        <v>0</v>
      </c>
      <c r="BB423" s="49">
        <f t="shared" ca="1" si="168"/>
        <v>0</v>
      </c>
      <c r="BC423" s="49">
        <f t="shared" ca="1" si="168"/>
        <v>0</v>
      </c>
      <c r="BD423" s="49">
        <f t="shared" ca="1" si="168"/>
        <v>0</v>
      </c>
      <c r="BE423" s="49">
        <f t="shared" ca="1" si="168"/>
        <v>0</v>
      </c>
      <c r="BF423" s="49">
        <f t="shared" ca="1" si="168"/>
        <v>0</v>
      </c>
      <c r="BG423" s="49">
        <f t="shared" ca="1" si="168"/>
        <v>0</v>
      </c>
      <c r="BH423" s="49">
        <f t="shared" ca="1" si="168"/>
        <v>0</v>
      </c>
      <c r="BI423" s="49">
        <f t="shared" ca="1" si="168"/>
        <v>0</v>
      </c>
      <c r="BJ423" s="49">
        <f t="shared" ca="1" si="168"/>
        <v>0</v>
      </c>
      <c r="BK423" s="49">
        <f t="shared" ca="1" si="168"/>
        <v>0</v>
      </c>
      <c r="BL423" s="49">
        <f t="shared" ca="1" si="168"/>
        <v>0</v>
      </c>
      <c r="BM423" s="49">
        <f t="shared" ca="1" si="168"/>
        <v>0</v>
      </c>
      <c r="BN423" s="49">
        <f t="shared" ca="1" si="168"/>
        <v>0</v>
      </c>
      <c r="BO423" s="49">
        <f t="shared" ca="1" si="168"/>
        <v>0</v>
      </c>
      <c r="BP423" s="49">
        <f t="shared" ca="1" si="168"/>
        <v>0</v>
      </c>
      <c r="BQ423" s="49">
        <f t="shared" ca="1" si="168"/>
        <v>0</v>
      </c>
      <c r="BR423" s="49">
        <f t="shared" ca="1" si="168"/>
        <v>0</v>
      </c>
      <c r="BS423" s="49">
        <f t="shared" ca="1" si="168"/>
        <v>0</v>
      </c>
    </row>
    <row r="424" spans="1:93" outlineLevel="1" x14ac:dyDescent="0.2">
      <c r="J424" s="26"/>
      <c r="L424" s="55"/>
      <c r="M424" s="55"/>
      <c r="N424" s="55"/>
      <c r="O424" s="55"/>
      <c r="P424" s="55"/>
      <c r="Q424" s="55"/>
      <c r="R424" s="55"/>
      <c r="S424" s="55"/>
      <c r="T424" s="55"/>
      <c r="U424" s="55"/>
      <c r="V424" s="55"/>
      <c r="W424" s="55"/>
      <c r="X424" s="55"/>
      <c r="Y424" s="55"/>
      <c r="Z424" s="55"/>
      <c r="AA424" s="55"/>
      <c r="AB424" s="55"/>
      <c r="AC424" s="55"/>
      <c r="AD424" s="55"/>
      <c r="AE424" s="55"/>
      <c r="AF424" s="55"/>
      <c r="AG424" s="55"/>
      <c r="AH424" s="55"/>
      <c r="AI424" s="55"/>
      <c r="AJ424" s="55"/>
      <c r="AK424" s="55"/>
      <c r="AL424" s="55"/>
      <c r="AM424" s="55"/>
      <c r="AN424" s="55"/>
      <c r="AO424" s="55"/>
      <c r="AP424" s="55"/>
      <c r="AQ424" s="55"/>
      <c r="AR424" s="55"/>
      <c r="AS424" s="55"/>
      <c r="AT424" s="55"/>
      <c r="AU424" s="55"/>
      <c r="AV424" s="55"/>
      <c r="AW424" s="55"/>
      <c r="AX424" s="55"/>
      <c r="AY424" s="55"/>
      <c r="AZ424" s="55"/>
      <c r="BA424" s="55"/>
      <c r="BB424" s="55"/>
      <c r="BC424" s="55"/>
      <c r="BD424" s="55"/>
      <c r="BE424" s="55"/>
      <c r="BF424" s="55"/>
      <c r="BG424" s="55"/>
      <c r="BH424" s="55"/>
      <c r="BI424" s="55"/>
      <c r="BJ424" s="55"/>
      <c r="BK424" s="55"/>
      <c r="BL424" s="55"/>
      <c r="BM424" s="55"/>
      <c r="BN424" s="55"/>
      <c r="BO424" s="55"/>
      <c r="BP424" s="55"/>
      <c r="BQ424" s="55"/>
      <c r="BR424" s="55"/>
      <c r="BS424" s="55"/>
    </row>
    <row r="425" spans="1:93" outlineLevel="1" x14ac:dyDescent="0.2">
      <c r="C425" t="s">
        <v>349</v>
      </c>
      <c r="I425" s="30">
        <f t="shared" ref="I425:I426" ca="1" si="169">SUM($L425:$BS425)</f>
        <v>276.04570000000001</v>
      </c>
      <c r="J425" s="26" t="s">
        <v>148</v>
      </c>
      <c r="K425" s="7" t="s">
        <v>351</v>
      </c>
      <c r="L425" s="49">
        <f ca="1">L405</f>
        <v>38.758499999999998</v>
      </c>
      <c r="M425" s="49">
        <f t="shared" ref="M425:BS425" ca="1" si="170">M405</f>
        <v>50.290700000000008</v>
      </c>
      <c r="N425" s="49">
        <f t="shared" ca="1" si="170"/>
        <v>77.796599999999998</v>
      </c>
      <c r="O425" s="49">
        <f t="shared" ca="1" si="170"/>
        <v>45.441400000000002</v>
      </c>
      <c r="P425" s="49">
        <f t="shared" ca="1" si="170"/>
        <v>40.729100000000003</v>
      </c>
      <c r="Q425" s="49">
        <f t="shared" ca="1" si="170"/>
        <v>23.029400000000003</v>
      </c>
      <c r="R425" s="49">
        <f t="shared" ca="1" si="170"/>
        <v>0</v>
      </c>
      <c r="S425" s="49">
        <f t="shared" ca="1" si="170"/>
        <v>0</v>
      </c>
      <c r="T425" s="49">
        <f t="shared" ca="1" si="170"/>
        <v>0</v>
      </c>
      <c r="U425" s="49">
        <f t="shared" ca="1" si="170"/>
        <v>0</v>
      </c>
      <c r="V425" s="49">
        <f t="shared" ca="1" si="170"/>
        <v>0</v>
      </c>
      <c r="W425" s="49">
        <f t="shared" ca="1" si="170"/>
        <v>0</v>
      </c>
      <c r="X425" s="49">
        <f t="shared" ca="1" si="170"/>
        <v>0</v>
      </c>
      <c r="Y425" s="49">
        <f t="shared" ca="1" si="170"/>
        <v>0</v>
      </c>
      <c r="Z425" s="49">
        <f t="shared" ca="1" si="170"/>
        <v>0</v>
      </c>
      <c r="AA425" s="49">
        <f t="shared" ca="1" si="170"/>
        <v>0</v>
      </c>
      <c r="AB425" s="49">
        <f t="shared" ca="1" si="170"/>
        <v>0</v>
      </c>
      <c r="AC425" s="49">
        <f t="shared" ca="1" si="170"/>
        <v>0</v>
      </c>
      <c r="AD425" s="49">
        <f t="shared" ca="1" si="170"/>
        <v>0</v>
      </c>
      <c r="AE425" s="49">
        <f t="shared" ca="1" si="170"/>
        <v>0</v>
      </c>
      <c r="AF425" s="49">
        <f t="shared" ca="1" si="170"/>
        <v>0</v>
      </c>
      <c r="AG425" s="49">
        <f t="shared" ca="1" si="170"/>
        <v>0</v>
      </c>
      <c r="AH425" s="49">
        <f t="shared" ca="1" si="170"/>
        <v>0</v>
      </c>
      <c r="AI425" s="49">
        <f t="shared" ca="1" si="170"/>
        <v>0</v>
      </c>
      <c r="AJ425" s="49">
        <f t="shared" ca="1" si="170"/>
        <v>0</v>
      </c>
      <c r="AK425" s="49">
        <f t="shared" ca="1" si="170"/>
        <v>0</v>
      </c>
      <c r="AL425" s="49">
        <f t="shared" ca="1" si="170"/>
        <v>0</v>
      </c>
      <c r="AM425" s="49">
        <f t="shared" ca="1" si="170"/>
        <v>0</v>
      </c>
      <c r="AN425" s="49">
        <f t="shared" ca="1" si="170"/>
        <v>0</v>
      </c>
      <c r="AO425" s="49">
        <f t="shared" ca="1" si="170"/>
        <v>0</v>
      </c>
      <c r="AP425" s="49">
        <f t="shared" ca="1" si="170"/>
        <v>0</v>
      </c>
      <c r="AQ425" s="49">
        <f t="shared" ca="1" si="170"/>
        <v>0</v>
      </c>
      <c r="AR425" s="49">
        <f t="shared" ca="1" si="170"/>
        <v>0</v>
      </c>
      <c r="AS425" s="49">
        <f t="shared" ca="1" si="170"/>
        <v>0</v>
      </c>
      <c r="AT425" s="49">
        <f t="shared" ca="1" si="170"/>
        <v>0</v>
      </c>
      <c r="AU425" s="49">
        <f t="shared" ca="1" si="170"/>
        <v>0</v>
      </c>
      <c r="AV425" s="49">
        <f t="shared" ca="1" si="170"/>
        <v>0</v>
      </c>
      <c r="AW425" s="49">
        <f t="shared" ca="1" si="170"/>
        <v>0</v>
      </c>
      <c r="AX425" s="49">
        <f t="shared" ca="1" si="170"/>
        <v>0</v>
      </c>
      <c r="AY425" s="49">
        <f t="shared" ca="1" si="170"/>
        <v>0</v>
      </c>
      <c r="AZ425" s="49">
        <f t="shared" ca="1" si="170"/>
        <v>0</v>
      </c>
      <c r="BA425" s="49">
        <f t="shared" ca="1" si="170"/>
        <v>0</v>
      </c>
      <c r="BB425" s="49">
        <f t="shared" ca="1" si="170"/>
        <v>0</v>
      </c>
      <c r="BC425" s="49">
        <f t="shared" ca="1" si="170"/>
        <v>0</v>
      </c>
      <c r="BD425" s="49">
        <f t="shared" ca="1" si="170"/>
        <v>0</v>
      </c>
      <c r="BE425" s="49">
        <f t="shared" ca="1" si="170"/>
        <v>0</v>
      </c>
      <c r="BF425" s="49">
        <f t="shared" ca="1" si="170"/>
        <v>0</v>
      </c>
      <c r="BG425" s="49">
        <f t="shared" ca="1" si="170"/>
        <v>0</v>
      </c>
      <c r="BH425" s="49">
        <f t="shared" ca="1" si="170"/>
        <v>0</v>
      </c>
      <c r="BI425" s="49">
        <f t="shared" ca="1" si="170"/>
        <v>0</v>
      </c>
      <c r="BJ425" s="49">
        <f t="shared" ca="1" si="170"/>
        <v>0</v>
      </c>
      <c r="BK425" s="49">
        <f t="shared" ca="1" si="170"/>
        <v>0</v>
      </c>
      <c r="BL425" s="49">
        <f t="shared" ca="1" si="170"/>
        <v>0</v>
      </c>
      <c r="BM425" s="49">
        <f t="shared" ca="1" si="170"/>
        <v>0</v>
      </c>
      <c r="BN425" s="49">
        <f t="shared" ca="1" si="170"/>
        <v>0</v>
      </c>
      <c r="BO425" s="49">
        <f t="shared" ca="1" si="170"/>
        <v>0</v>
      </c>
      <c r="BP425" s="49">
        <f t="shared" ca="1" si="170"/>
        <v>0</v>
      </c>
      <c r="BQ425" s="49">
        <f t="shared" ca="1" si="170"/>
        <v>0</v>
      </c>
      <c r="BR425" s="49">
        <f t="shared" ca="1" si="170"/>
        <v>0</v>
      </c>
      <c r="BS425" s="49">
        <f t="shared" ca="1" si="170"/>
        <v>0</v>
      </c>
    </row>
    <row r="426" spans="1:93" outlineLevel="1" x14ac:dyDescent="0.2">
      <c r="C426" t="s">
        <v>350</v>
      </c>
      <c r="I426" s="30">
        <f t="shared" ca="1" si="169"/>
        <v>-239.36420000000001</v>
      </c>
      <c r="J426" s="26" t="s">
        <v>148</v>
      </c>
      <c r="K426" s="7" t="s">
        <v>352</v>
      </c>
      <c r="L426" s="49">
        <f ca="1">SUM(L410,L416,L422)</f>
        <v>0</v>
      </c>
      <c r="M426" s="49">
        <f t="shared" ref="M426:BS426" ca="1" si="171">SUM(M410,M416,M422)</f>
        <v>-0.57600519987133425</v>
      </c>
      <c r="N426" s="49">
        <f t="shared" ca="1" si="171"/>
        <v>-8.6489630372405308</v>
      </c>
      <c r="O426" s="49">
        <f t="shared" ca="1" si="171"/>
        <v>-13.457390171996691</v>
      </c>
      <c r="P426" s="49">
        <f t="shared" ca="1" si="171"/>
        <v>-23.401029092351855</v>
      </c>
      <c r="Q426" s="49">
        <f t="shared" ca="1" si="171"/>
        <v>-45.816772401581616</v>
      </c>
      <c r="R426" s="49">
        <f t="shared" ca="1" si="171"/>
        <v>-36.597396796896192</v>
      </c>
      <c r="S426" s="49">
        <f t="shared" ca="1" si="171"/>
        <v>-28.483701069749536</v>
      </c>
      <c r="T426" s="49">
        <f t="shared" ca="1" si="171"/>
        <v>-39.008062699084135</v>
      </c>
      <c r="U426" s="49">
        <f t="shared" ca="1" si="171"/>
        <v>-38.949927255178274</v>
      </c>
      <c r="V426" s="49">
        <f t="shared" ca="1" si="171"/>
        <v>-4.4249522760498579</v>
      </c>
      <c r="W426" s="49">
        <f t="shared" ca="1" si="171"/>
        <v>0</v>
      </c>
      <c r="X426" s="49">
        <f t="shared" ca="1" si="171"/>
        <v>0</v>
      </c>
      <c r="Y426" s="49">
        <f t="shared" ca="1" si="171"/>
        <v>0</v>
      </c>
      <c r="Z426" s="49">
        <f t="shared" ca="1" si="171"/>
        <v>0</v>
      </c>
      <c r="AA426" s="49">
        <f t="shared" ca="1" si="171"/>
        <v>0</v>
      </c>
      <c r="AB426" s="49">
        <f t="shared" ca="1" si="171"/>
        <v>0</v>
      </c>
      <c r="AC426" s="49">
        <f t="shared" ca="1" si="171"/>
        <v>0</v>
      </c>
      <c r="AD426" s="49">
        <f t="shared" ca="1" si="171"/>
        <v>0</v>
      </c>
      <c r="AE426" s="49">
        <f t="shared" ca="1" si="171"/>
        <v>0</v>
      </c>
      <c r="AF426" s="49">
        <f t="shared" ca="1" si="171"/>
        <v>0</v>
      </c>
      <c r="AG426" s="49">
        <f t="shared" ca="1" si="171"/>
        <v>0</v>
      </c>
      <c r="AH426" s="49">
        <f t="shared" ca="1" si="171"/>
        <v>0</v>
      </c>
      <c r="AI426" s="49">
        <f t="shared" ca="1" si="171"/>
        <v>0</v>
      </c>
      <c r="AJ426" s="49">
        <f t="shared" ca="1" si="171"/>
        <v>0</v>
      </c>
      <c r="AK426" s="49">
        <f t="shared" ca="1" si="171"/>
        <v>0</v>
      </c>
      <c r="AL426" s="49">
        <f t="shared" ca="1" si="171"/>
        <v>0</v>
      </c>
      <c r="AM426" s="49">
        <f t="shared" ca="1" si="171"/>
        <v>0</v>
      </c>
      <c r="AN426" s="49">
        <f t="shared" ca="1" si="171"/>
        <v>0</v>
      </c>
      <c r="AO426" s="49">
        <f t="shared" ca="1" si="171"/>
        <v>0</v>
      </c>
      <c r="AP426" s="49">
        <f t="shared" ca="1" si="171"/>
        <v>0</v>
      </c>
      <c r="AQ426" s="49">
        <f t="shared" ca="1" si="171"/>
        <v>0</v>
      </c>
      <c r="AR426" s="49">
        <f t="shared" ca="1" si="171"/>
        <v>0</v>
      </c>
      <c r="AS426" s="49">
        <f t="shared" ca="1" si="171"/>
        <v>0</v>
      </c>
      <c r="AT426" s="49">
        <f t="shared" ca="1" si="171"/>
        <v>0</v>
      </c>
      <c r="AU426" s="49">
        <f t="shared" ca="1" si="171"/>
        <v>0</v>
      </c>
      <c r="AV426" s="49">
        <f t="shared" ca="1" si="171"/>
        <v>0</v>
      </c>
      <c r="AW426" s="49">
        <f t="shared" ca="1" si="171"/>
        <v>0</v>
      </c>
      <c r="AX426" s="49">
        <f t="shared" ca="1" si="171"/>
        <v>0</v>
      </c>
      <c r="AY426" s="49">
        <f t="shared" ca="1" si="171"/>
        <v>0</v>
      </c>
      <c r="AZ426" s="49">
        <f t="shared" ca="1" si="171"/>
        <v>0</v>
      </c>
      <c r="BA426" s="49">
        <f t="shared" ca="1" si="171"/>
        <v>0</v>
      </c>
      <c r="BB426" s="49">
        <f t="shared" ca="1" si="171"/>
        <v>0</v>
      </c>
      <c r="BC426" s="49">
        <f t="shared" ca="1" si="171"/>
        <v>0</v>
      </c>
      <c r="BD426" s="49">
        <f t="shared" ca="1" si="171"/>
        <v>0</v>
      </c>
      <c r="BE426" s="49">
        <f t="shared" ca="1" si="171"/>
        <v>0</v>
      </c>
      <c r="BF426" s="49">
        <f t="shared" ca="1" si="171"/>
        <v>0</v>
      </c>
      <c r="BG426" s="49">
        <f t="shared" ca="1" si="171"/>
        <v>0</v>
      </c>
      <c r="BH426" s="49">
        <f t="shared" ca="1" si="171"/>
        <v>0</v>
      </c>
      <c r="BI426" s="49">
        <f t="shared" ca="1" si="171"/>
        <v>0</v>
      </c>
      <c r="BJ426" s="49">
        <f t="shared" ca="1" si="171"/>
        <v>0</v>
      </c>
      <c r="BK426" s="49">
        <f t="shared" ca="1" si="171"/>
        <v>0</v>
      </c>
      <c r="BL426" s="49">
        <f t="shared" ca="1" si="171"/>
        <v>0</v>
      </c>
      <c r="BM426" s="49">
        <f t="shared" ca="1" si="171"/>
        <v>0</v>
      </c>
      <c r="BN426" s="49">
        <f t="shared" ca="1" si="171"/>
        <v>0</v>
      </c>
      <c r="BO426" s="49">
        <f t="shared" ca="1" si="171"/>
        <v>0</v>
      </c>
      <c r="BP426" s="49">
        <f t="shared" ca="1" si="171"/>
        <v>0</v>
      </c>
      <c r="BQ426" s="49">
        <f t="shared" ca="1" si="171"/>
        <v>0</v>
      </c>
      <c r="BR426" s="49">
        <f t="shared" ca="1" si="171"/>
        <v>0</v>
      </c>
      <c r="BS426" s="49">
        <f t="shared" ca="1" si="171"/>
        <v>0</v>
      </c>
    </row>
    <row r="427" spans="1:93" outlineLevel="1" x14ac:dyDescent="0.2">
      <c r="J427" s="26"/>
      <c r="L427" s="55"/>
      <c r="M427" s="55"/>
      <c r="N427" s="55"/>
      <c r="O427" s="55"/>
      <c r="P427" s="55"/>
      <c r="Q427" s="55"/>
      <c r="R427" s="55"/>
      <c r="S427" s="55"/>
      <c r="T427" s="55"/>
      <c r="U427" s="55"/>
      <c r="V427" s="55"/>
      <c r="W427" s="55"/>
      <c r="X427" s="55"/>
      <c r="Y427" s="55"/>
      <c r="Z427" s="55"/>
      <c r="AA427" s="55"/>
      <c r="AB427" s="55"/>
      <c r="AC427" s="55"/>
      <c r="AD427" s="55"/>
      <c r="AE427" s="55"/>
      <c r="AF427" s="55"/>
      <c r="AG427" s="55"/>
      <c r="AH427" s="55"/>
      <c r="AI427" s="55"/>
      <c r="AJ427" s="55"/>
      <c r="AK427" s="55"/>
      <c r="AL427" s="55"/>
      <c r="AM427" s="55"/>
      <c r="AN427" s="55"/>
      <c r="AO427" s="55"/>
      <c r="AP427" s="55"/>
      <c r="AQ427" s="55"/>
      <c r="AR427" s="55"/>
      <c r="AS427" s="55"/>
      <c r="AT427" s="55"/>
      <c r="AU427" s="55"/>
      <c r="AV427" s="55"/>
      <c r="AW427" s="55"/>
      <c r="AX427" s="55"/>
      <c r="AY427" s="55"/>
      <c r="AZ427" s="55"/>
      <c r="BA427" s="55"/>
      <c r="BB427" s="55"/>
      <c r="BC427" s="55"/>
      <c r="BD427" s="55"/>
      <c r="BE427" s="55"/>
      <c r="BF427" s="55"/>
      <c r="BG427" s="55"/>
      <c r="BH427" s="55"/>
      <c r="BI427" s="55"/>
      <c r="BJ427" s="55"/>
      <c r="BK427" s="55"/>
      <c r="BL427" s="55"/>
      <c r="BM427" s="55"/>
      <c r="BN427" s="55"/>
      <c r="BO427" s="55"/>
      <c r="BP427" s="55"/>
      <c r="BQ427" s="55"/>
      <c r="BR427" s="55"/>
      <c r="BS427" s="55"/>
    </row>
    <row r="428" spans="1:93" outlineLevel="1" x14ac:dyDescent="0.2">
      <c r="J428" s="26"/>
      <c r="L428" s="55"/>
      <c r="M428" s="55"/>
      <c r="N428" s="55"/>
      <c r="O428" s="55"/>
      <c r="P428" s="55"/>
      <c r="Q428" s="55"/>
      <c r="R428" s="55"/>
      <c r="S428" s="55"/>
      <c r="T428" s="55"/>
      <c r="U428" s="55"/>
      <c r="V428" s="55"/>
      <c r="W428" s="55"/>
      <c r="X428" s="55"/>
      <c r="Y428" s="55"/>
      <c r="Z428" s="55"/>
      <c r="AA428" s="55"/>
      <c r="AB428" s="55"/>
      <c r="AC428" s="55"/>
      <c r="AD428" s="55"/>
      <c r="AE428" s="55"/>
      <c r="AF428" s="55"/>
      <c r="AG428" s="55"/>
      <c r="AH428" s="55"/>
      <c r="AI428" s="55"/>
      <c r="AJ428" s="55"/>
      <c r="AK428" s="55"/>
      <c r="AL428" s="55"/>
      <c r="AM428" s="55"/>
      <c r="AN428" s="55"/>
      <c r="AO428" s="55"/>
      <c r="AP428" s="55"/>
      <c r="AQ428" s="55"/>
      <c r="AR428" s="55"/>
      <c r="AS428" s="55"/>
      <c r="AT428" s="55"/>
      <c r="AU428" s="55"/>
      <c r="AV428" s="55"/>
      <c r="AW428" s="55"/>
      <c r="AX428" s="55"/>
      <c r="AY428" s="55"/>
      <c r="AZ428" s="55"/>
      <c r="BA428" s="55"/>
      <c r="BB428" s="55"/>
      <c r="BC428" s="55"/>
      <c r="BD428" s="55"/>
      <c r="BE428" s="55"/>
      <c r="BF428" s="55"/>
      <c r="BG428" s="55"/>
      <c r="BH428" s="55"/>
      <c r="BI428" s="55"/>
      <c r="BJ428" s="55"/>
      <c r="BK428" s="55"/>
      <c r="BL428" s="55"/>
      <c r="BM428" s="55"/>
      <c r="BN428" s="55"/>
      <c r="BO428" s="55"/>
      <c r="BP428" s="55"/>
      <c r="BQ428" s="55"/>
      <c r="BR428" s="55"/>
      <c r="BS428" s="55"/>
    </row>
    <row r="429" spans="1:93" outlineLevel="1" x14ac:dyDescent="0.2">
      <c r="J429" s="26"/>
      <c r="L429" s="55"/>
      <c r="M429" s="55"/>
      <c r="N429" s="55"/>
      <c r="O429" s="55"/>
      <c r="P429" s="55"/>
      <c r="Q429" s="55"/>
      <c r="R429" s="55"/>
      <c r="S429" s="55"/>
      <c r="T429" s="55"/>
      <c r="U429" s="55"/>
      <c r="V429" s="55"/>
      <c r="W429" s="55"/>
      <c r="X429" s="55"/>
      <c r="Y429" s="55"/>
      <c r="Z429" s="55"/>
      <c r="AA429" s="55"/>
      <c r="AB429" s="55"/>
      <c r="AC429" s="55"/>
      <c r="AD429" s="55"/>
      <c r="AE429" s="55"/>
      <c r="AF429" s="55"/>
      <c r="AG429" s="55"/>
      <c r="AH429" s="55"/>
      <c r="AI429" s="55"/>
      <c r="AJ429" s="55"/>
      <c r="AK429" s="55"/>
      <c r="AL429" s="55"/>
      <c r="AM429" s="55"/>
      <c r="AN429" s="55"/>
      <c r="AO429" s="55"/>
      <c r="AP429" s="55"/>
      <c r="AQ429" s="55"/>
      <c r="AR429" s="55"/>
      <c r="AS429" s="55"/>
      <c r="AT429" s="55"/>
      <c r="AU429" s="55"/>
      <c r="AV429" s="55"/>
      <c r="AW429" s="55"/>
      <c r="AX429" s="55"/>
      <c r="AY429" s="55"/>
      <c r="AZ429" s="55"/>
      <c r="BA429" s="55"/>
      <c r="BB429" s="55"/>
      <c r="BC429" s="55"/>
      <c r="BD429" s="55"/>
      <c r="BE429" s="55"/>
      <c r="BF429" s="55"/>
      <c r="BG429" s="55"/>
      <c r="BH429" s="55"/>
      <c r="BI429" s="55"/>
      <c r="BJ429" s="55"/>
      <c r="BK429" s="55"/>
      <c r="BL429" s="55"/>
      <c r="BM429" s="55"/>
      <c r="BN429" s="55"/>
      <c r="BO429" s="55"/>
      <c r="BP429" s="55"/>
      <c r="BQ429" s="55"/>
      <c r="BR429" s="55"/>
      <c r="BS429" s="55"/>
    </row>
    <row r="430" spans="1:93" x14ac:dyDescent="0.2">
      <c r="J430" s="26"/>
      <c r="L430" s="55"/>
      <c r="M430" s="55"/>
      <c r="N430" s="55"/>
      <c r="O430" s="55"/>
      <c r="P430" s="55"/>
      <c r="Q430" s="55"/>
      <c r="R430" s="55"/>
      <c r="S430" s="55"/>
      <c r="T430" s="55"/>
      <c r="U430" s="55"/>
      <c r="V430" s="55"/>
      <c r="W430" s="55"/>
      <c r="X430" s="55"/>
      <c r="Y430" s="55"/>
      <c r="Z430" s="55"/>
      <c r="AA430" s="55"/>
      <c r="AB430" s="55"/>
      <c r="AC430" s="55"/>
      <c r="AD430" s="55"/>
      <c r="AE430" s="55"/>
      <c r="AF430" s="55"/>
      <c r="AG430" s="55"/>
      <c r="AH430" s="55"/>
      <c r="AI430" s="55"/>
      <c r="AJ430" s="55"/>
      <c r="AK430" s="55"/>
      <c r="AL430" s="55"/>
      <c r="AM430" s="55"/>
      <c r="AN430" s="55"/>
      <c r="AO430" s="55"/>
      <c r="AP430" s="55"/>
      <c r="AQ430" s="55"/>
      <c r="AR430" s="55"/>
      <c r="AS430" s="55"/>
      <c r="AT430" s="55"/>
      <c r="AU430" s="55"/>
      <c r="AV430" s="55"/>
      <c r="AW430" s="55"/>
      <c r="AX430" s="55"/>
      <c r="AY430" s="55"/>
      <c r="AZ430" s="55"/>
      <c r="BA430" s="55"/>
      <c r="BB430" s="55"/>
      <c r="BC430" s="55"/>
      <c r="BD430" s="55"/>
      <c r="BE430" s="55"/>
      <c r="BF430" s="55"/>
      <c r="BG430" s="55"/>
      <c r="BH430" s="55"/>
      <c r="BI430" s="55"/>
      <c r="BJ430" s="55"/>
      <c r="BK430" s="55"/>
      <c r="BL430" s="55"/>
      <c r="BM430" s="55"/>
      <c r="BN430" s="55"/>
      <c r="BO430" s="55"/>
      <c r="BP430" s="55"/>
      <c r="BQ430" s="55"/>
      <c r="BR430" s="55"/>
      <c r="BS430" s="55"/>
    </row>
    <row r="431" spans="1:93" ht="16" thickBot="1" x14ac:dyDescent="0.25">
      <c r="J431" s="26"/>
      <c r="L431" s="55"/>
      <c r="M431" s="55"/>
      <c r="N431" s="55"/>
      <c r="O431" s="55"/>
      <c r="P431" s="55"/>
      <c r="Q431" s="55"/>
      <c r="R431" s="55"/>
      <c r="S431" s="55"/>
      <c r="T431" s="55"/>
      <c r="U431" s="55"/>
      <c r="V431" s="55"/>
      <c r="W431" s="55"/>
      <c r="X431" s="55"/>
      <c r="Y431" s="55"/>
      <c r="Z431" s="55"/>
      <c r="AA431" s="55"/>
      <c r="AB431" s="55"/>
      <c r="AC431" s="55"/>
      <c r="AD431" s="55"/>
      <c r="AE431" s="55"/>
      <c r="AF431" s="55"/>
      <c r="AG431" s="55"/>
      <c r="AH431" s="55"/>
      <c r="AI431" s="55"/>
      <c r="AJ431" s="55"/>
      <c r="AK431" s="55"/>
      <c r="AL431" s="55"/>
      <c r="AM431" s="55"/>
      <c r="AN431" s="55"/>
      <c r="AO431" s="55"/>
      <c r="AP431" s="55"/>
      <c r="AQ431" s="55"/>
      <c r="AR431" s="55"/>
      <c r="AS431" s="55"/>
      <c r="AT431" s="55"/>
      <c r="AU431" s="55"/>
      <c r="AV431" s="55"/>
      <c r="AW431" s="55"/>
      <c r="AX431" s="55"/>
      <c r="AY431" s="55"/>
      <c r="AZ431" s="55"/>
      <c r="BA431" s="55"/>
      <c r="BB431" s="55"/>
      <c r="BC431" s="55"/>
      <c r="BD431" s="55"/>
      <c r="BE431" s="55"/>
      <c r="BF431" s="55"/>
      <c r="BG431" s="55"/>
      <c r="BH431" s="55"/>
      <c r="BI431" s="55"/>
      <c r="BJ431" s="55"/>
      <c r="BK431" s="55"/>
      <c r="BL431" s="55"/>
      <c r="BM431" s="55"/>
      <c r="BN431" s="55"/>
      <c r="BO431" s="55"/>
      <c r="BP431" s="55"/>
      <c r="BQ431" s="55"/>
      <c r="BR431" s="55"/>
      <c r="BS431" s="55"/>
    </row>
    <row r="432" spans="1:93" ht="22" thickBot="1" x14ac:dyDescent="0.25">
      <c r="A432" s="8"/>
      <c r="B432" s="221" t="s">
        <v>255</v>
      </c>
      <c r="C432" s="222"/>
      <c r="D432" s="222"/>
      <c r="E432" s="223"/>
      <c r="F432" s="9"/>
      <c r="G432" s="9"/>
      <c r="H432" s="9"/>
      <c r="I432" s="9"/>
      <c r="J432" s="48"/>
      <c r="K432" s="10"/>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c r="BY432" s="9"/>
      <c r="BZ432" s="9"/>
      <c r="CA432" s="9"/>
      <c r="CB432" s="9"/>
      <c r="CC432" s="9"/>
      <c r="CD432" s="9"/>
      <c r="CE432" s="9"/>
      <c r="CF432" s="9"/>
      <c r="CG432" s="9"/>
      <c r="CH432" s="9"/>
      <c r="CI432" s="9"/>
      <c r="CJ432" s="9"/>
      <c r="CK432" s="9"/>
      <c r="CL432" s="9"/>
      <c r="CM432" s="9"/>
      <c r="CN432" s="9"/>
      <c r="CO432" s="9"/>
    </row>
    <row r="433" spans="1:71" outlineLevel="1" x14ac:dyDescent="0.2">
      <c r="J433" s="26"/>
      <c r="L433" s="55"/>
      <c r="M433" s="55"/>
      <c r="N433" s="55"/>
      <c r="O433" s="55"/>
      <c r="P433" s="55"/>
      <c r="Q433" s="55"/>
      <c r="R433" s="55"/>
      <c r="S433" s="55"/>
      <c r="T433" s="55"/>
      <c r="U433" s="55"/>
      <c r="V433" s="55"/>
      <c r="W433" s="55"/>
      <c r="X433" s="55"/>
      <c r="Y433" s="55"/>
      <c r="Z433" s="55"/>
      <c r="AA433" s="55"/>
      <c r="AB433" s="55"/>
      <c r="AC433" s="55"/>
      <c r="AD433" s="55"/>
      <c r="AE433" s="55"/>
      <c r="AF433" s="55"/>
      <c r="AG433" s="55"/>
      <c r="AH433" s="55"/>
      <c r="AI433" s="55"/>
      <c r="AJ433" s="55"/>
      <c r="AK433" s="55"/>
      <c r="AL433" s="55"/>
      <c r="AM433" s="55"/>
      <c r="AN433" s="55"/>
      <c r="AO433" s="55"/>
      <c r="AP433" s="55"/>
      <c r="AQ433" s="55"/>
      <c r="AR433" s="55"/>
      <c r="AS433" s="55"/>
      <c r="AT433" s="55"/>
      <c r="AU433" s="55"/>
      <c r="AV433" s="55"/>
      <c r="AW433" s="55"/>
      <c r="AX433" s="55"/>
      <c r="AY433" s="55"/>
      <c r="AZ433" s="55"/>
      <c r="BA433" s="55"/>
      <c r="BB433" s="55"/>
      <c r="BC433" s="55"/>
      <c r="BD433" s="55"/>
      <c r="BE433" s="55"/>
      <c r="BF433" s="55"/>
      <c r="BG433" s="55"/>
      <c r="BH433" s="55"/>
      <c r="BI433" s="55"/>
      <c r="BJ433" s="55"/>
      <c r="BK433" s="55"/>
      <c r="BL433" s="55"/>
      <c r="BM433" s="55"/>
      <c r="BN433" s="55"/>
      <c r="BO433" s="55"/>
      <c r="BP433" s="55"/>
      <c r="BQ433" s="55"/>
      <c r="BR433" s="55"/>
      <c r="BS433" s="55"/>
    </row>
    <row r="434" spans="1:71" outlineLevel="1" x14ac:dyDescent="0.2">
      <c r="A434" s="45"/>
      <c r="B434" s="38" t="s">
        <v>311</v>
      </c>
      <c r="C434" s="45"/>
      <c r="D434" s="45"/>
      <c r="E434" s="45"/>
      <c r="J434" s="26"/>
      <c r="L434" s="55"/>
      <c r="M434" s="55"/>
      <c r="N434" s="55"/>
      <c r="O434" s="55"/>
      <c r="P434" s="55"/>
      <c r="Q434" s="55"/>
      <c r="R434" s="55"/>
      <c r="S434" s="55"/>
      <c r="T434" s="55"/>
      <c r="U434" s="55"/>
      <c r="V434" s="55"/>
      <c r="W434" s="55"/>
      <c r="X434" s="55"/>
      <c r="Y434" s="55"/>
      <c r="Z434" s="55"/>
      <c r="AA434" s="55"/>
      <c r="AB434" s="55"/>
      <c r="AC434" s="55"/>
      <c r="AD434" s="55"/>
      <c r="AE434" s="55"/>
      <c r="AF434" s="55"/>
      <c r="AG434" s="55"/>
      <c r="AH434" s="55"/>
      <c r="AI434" s="55"/>
      <c r="AJ434" s="55"/>
      <c r="AK434" s="55"/>
      <c r="AL434" s="55"/>
      <c r="AM434" s="55"/>
      <c r="AN434" s="55"/>
      <c r="AO434" s="55"/>
      <c r="AP434" s="55"/>
      <c r="AQ434" s="55"/>
      <c r="AR434" s="55"/>
      <c r="AS434" s="55"/>
      <c r="AT434" s="55"/>
      <c r="AU434" s="55"/>
      <c r="AV434" s="55"/>
      <c r="AW434" s="55"/>
      <c r="AX434" s="55"/>
      <c r="AY434" s="55"/>
      <c r="AZ434" s="55"/>
      <c r="BA434" s="55"/>
      <c r="BB434" s="55"/>
      <c r="BC434" s="55"/>
      <c r="BD434" s="55"/>
      <c r="BE434" s="55"/>
      <c r="BF434" s="55"/>
      <c r="BG434" s="55"/>
      <c r="BH434" s="55"/>
      <c r="BI434" s="55"/>
      <c r="BJ434" s="55"/>
      <c r="BK434" s="55"/>
      <c r="BL434" s="55"/>
      <c r="BM434" s="55"/>
      <c r="BN434" s="55"/>
      <c r="BO434" s="55"/>
      <c r="BP434" s="55"/>
      <c r="BQ434" s="55"/>
      <c r="BR434" s="55"/>
      <c r="BS434" s="55"/>
    </row>
    <row r="435" spans="1:71" outlineLevel="1" x14ac:dyDescent="0.2">
      <c r="J435" s="26"/>
      <c r="L435" s="55"/>
      <c r="M435" s="55"/>
      <c r="N435" s="55"/>
      <c r="O435" s="55"/>
      <c r="P435" s="55"/>
      <c r="Q435" s="55"/>
      <c r="R435" s="55"/>
      <c r="S435" s="55"/>
      <c r="T435" s="55"/>
      <c r="U435" s="55"/>
      <c r="V435" s="55"/>
      <c r="W435" s="55"/>
      <c r="X435" s="55"/>
      <c r="Y435" s="55"/>
      <c r="Z435" s="55"/>
      <c r="AA435" s="55"/>
      <c r="AB435" s="55"/>
      <c r="AC435" s="55"/>
      <c r="AD435" s="55"/>
      <c r="AE435" s="55"/>
      <c r="AF435" s="55"/>
      <c r="AG435" s="55"/>
      <c r="AH435" s="55"/>
      <c r="AI435" s="55"/>
      <c r="AJ435" s="55"/>
      <c r="AK435" s="55"/>
      <c r="AL435" s="55"/>
      <c r="AM435" s="55"/>
      <c r="AN435" s="55"/>
      <c r="AO435" s="55"/>
      <c r="AP435" s="55"/>
      <c r="AQ435" s="55"/>
      <c r="AR435" s="55"/>
      <c r="AS435" s="55"/>
      <c r="AT435" s="55"/>
      <c r="AU435" s="55"/>
      <c r="AV435" s="55"/>
      <c r="AW435" s="55"/>
      <c r="AX435" s="55"/>
      <c r="AY435" s="55"/>
      <c r="AZ435" s="55"/>
      <c r="BA435" s="55"/>
      <c r="BB435" s="55"/>
      <c r="BC435" s="55"/>
      <c r="BD435" s="55"/>
      <c r="BE435" s="55"/>
      <c r="BF435" s="55"/>
      <c r="BG435" s="55"/>
      <c r="BH435" s="55"/>
      <c r="BI435" s="55"/>
      <c r="BJ435" s="55"/>
      <c r="BK435" s="55"/>
      <c r="BL435" s="55"/>
      <c r="BM435" s="55"/>
      <c r="BN435" s="55"/>
      <c r="BO435" s="55"/>
      <c r="BP435" s="55"/>
      <c r="BQ435" s="55"/>
      <c r="BR435" s="55"/>
      <c r="BS435" s="55"/>
    </row>
    <row r="436" spans="1:71" outlineLevel="1" x14ac:dyDescent="0.2">
      <c r="C436" t="s">
        <v>278</v>
      </c>
      <c r="J436" s="26"/>
      <c r="L436" s="55"/>
      <c r="M436" s="55"/>
      <c r="N436" s="55"/>
      <c r="O436" s="55"/>
      <c r="P436" s="55"/>
      <c r="Q436" s="55"/>
      <c r="R436" s="55"/>
      <c r="S436" s="55"/>
      <c r="T436" s="55"/>
      <c r="U436" s="55"/>
      <c r="V436" s="55"/>
      <c r="W436" s="55"/>
      <c r="X436" s="55"/>
      <c r="Y436" s="55"/>
      <c r="Z436" s="55"/>
      <c r="AA436" s="55"/>
      <c r="AB436" s="55"/>
      <c r="AC436" s="55"/>
      <c r="AD436" s="55"/>
      <c r="AE436" s="55"/>
      <c r="AF436" s="55"/>
      <c r="AG436" s="55"/>
      <c r="AH436" s="55"/>
      <c r="AI436" s="55"/>
      <c r="AJ436" s="55"/>
      <c r="AK436" s="55"/>
      <c r="AL436" s="55"/>
      <c r="AM436" s="55"/>
      <c r="AN436" s="55"/>
      <c r="AO436" s="55"/>
      <c r="AP436" s="55"/>
      <c r="AQ436" s="55"/>
      <c r="AR436" s="55"/>
      <c r="AS436" s="55"/>
      <c r="AT436" s="55"/>
      <c r="AU436" s="55"/>
      <c r="AV436" s="55"/>
      <c r="AW436" s="55"/>
      <c r="AX436" s="55"/>
      <c r="AY436" s="55"/>
      <c r="AZ436" s="55"/>
      <c r="BA436" s="55"/>
      <c r="BB436" s="55"/>
      <c r="BC436" s="55"/>
      <c r="BD436" s="55"/>
      <c r="BE436" s="55"/>
      <c r="BF436" s="55"/>
      <c r="BG436" s="55"/>
      <c r="BH436" s="55"/>
      <c r="BI436" s="55"/>
      <c r="BJ436" s="55"/>
      <c r="BK436" s="55"/>
      <c r="BL436" s="55"/>
      <c r="BM436" s="55"/>
      <c r="BN436" s="55"/>
      <c r="BO436" s="55"/>
      <c r="BP436" s="55"/>
      <c r="BQ436" s="55"/>
      <c r="BR436" s="55"/>
      <c r="BS436" s="55"/>
    </row>
    <row r="437" spans="1:71" outlineLevel="1" x14ac:dyDescent="0.2">
      <c r="D437" t="s">
        <v>277</v>
      </c>
      <c r="G437" s="29">
        <f>YEAR(effective_date_Marine)</f>
        <v>2006</v>
      </c>
      <c r="J437" s="26"/>
      <c r="L437" s="49">
        <f t="shared" ref="L437:AQ437" si="172">MAX(L4-$G437+1-0.5,0)</f>
        <v>7.5</v>
      </c>
      <c r="M437" s="49">
        <f t="shared" si="172"/>
        <v>8.5</v>
      </c>
      <c r="N437" s="49">
        <f t="shared" si="172"/>
        <v>9.5</v>
      </c>
      <c r="O437" s="49">
        <f t="shared" si="172"/>
        <v>10.5</v>
      </c>
      <c r="P437" s="49">
        <f t="shared" si="172"/>
        <v>11.5</v>
      </c>
      <c r="Q437" s="49">
        <f t="shared" si="172"/>
        <v>12.5</v>
      </c>
      <c r="R437" s="49">
        <f t="shared" si="172"/>
        <v>13.5</v>
      </c>
      <c r="S437" s="49">
        <f t="shared" si="172"/>
        <v>14.5</v>
      </c>
      <c r="T437" s="49">
        <f t="shared" si="172"/>
        <v>15.5</v>
      </c>
      <c r="U437" s="49">
        <f t="shared" si="172"/>
        <v>16.5</v>
      </c>
      <c r="V437" s="49">
        <f t="shared" si="172"/>
        <v>17.5</v>
      </c>
      <c r="W437" s="49">
        <f t="shared" si="172"/>
        <v>18.5</v>
      </c>
      <c r="X437" s="49">
        <f t="shared" si="172"/>
        <v>19.5</v>
      </c>
      <c r="Y437" s="49">
        <f t="shared" si="172"/>
        <v>20.5</v>
      </c>
      <c r="Z437" s="49">
        <f t="shared" si="172"/>
        <v>21.5</v>
      </c>
      <c r="AA437" s="49">
        <f t="shared" si="172"/>
        <v>22.5</v>
      </c>
      <c r="AB437" s="49">
        <f t="shared" si="172"/>
        <v>23.5</v>
      </c>
      <c r="AC437" s="49">
        <f t="shared" si="172"/>
        <v>24.5</v>
      </c>
      <c r="AD437" s="49">
        <f t="shared" si="172"/>
        <v>25.5</v>
      </c>
      <c r="AE437" s="49">
        <f t="shared" si="172"/>
        <v>26.5</v>
      </c>
      <c r="AF437" s="49">
        <f t="shared" si="172"/>
        <v>27.5</v>
      </c>
      <c r="AG437" s="49">
        <f t="shared" si="172"/>
        <v>28.5</v>
      </c>
      <c r="AH437" s="49">
        <f t="shared" si="172"/>
        <v>29.5</v>
      </c>
      <c r="AI437" s="49">
        <f t="shared" si="172"/>
        <v>30.5</v>
      </c>
      <c r="AJ437" s="49">
        <f t="shared" si="172"/>
        <v>31.5</v>
      </c>
      <c r="AK437" s="49">
        <f t="shared" si="172"/>
        <v>32.5</v>
      </c>
      <c r="AL437" s="49">
        <f t="shared" si="172"/>
        <v>33.5</v>
      </c>
      <c r="AM437" s="49">
        <f t="shared" si="172"/>
        <v>34.5</v>
      </c>
      <c r="AN437" s="49">
        <f t="shared" si="172"/>
        <v>35.5</v>
      </c>
      <c r="AO437" s="49">
        <f t="shared" si="172"/>
        <v>36.5</v>
      </c>
      <c r="AP437" s="49">
        <f t="shared" si="172"/>
        <v>37.5</v>
      </c>
      <c r="AQ437" s="49">
        <f t="shared" si="172"/>
        <v>38.5</v>
      </c>
      <c r="AR437" s="49">
        <f t="shared" ref="AR437:BS437" si="173">MAX(AR4-$G437+1-0.5,0)</f>
        <v>39.5</v>
      </c>
      <c r="AS437" s="49">
        <f t="shared" si="173"/>
        <v>40.5</v>
      </c>
      <c r="AT437" s="49">
        <f t="shared" si="173"/>
        <v>41.5</v>
      </c>
      <c r="AU437" s="49">
        <f t="shared" si="173"/>
        <v>42.5</v>
      </c>
      <c r="AV437" s="49">
        <f t="shared" si="173"/>
        <v>43.5</v>
      </c>
      <c r="AW437" s="49">
        <f t="shared" si="173"/>
        <v>44.5</v>
      </c>
      <c r="AX437" s="49">
        <f t="shared" si="173"/>
        <v>45.5</v>
      </c>
      <c r="AY437" s="49">
        <f t="shared" si="173"/>
        <v>46.5</v>
      </c>
      <c r="AZ437" s="49">
        <f t="shared" si="173"/>
        <v>47.5</v>
      </c>
      <c r="BA437" s="49">
        <f t="shared" si="173"/>
        <v>48.5</v>
      </c>
      <c r="BB437" s="49">
        <f t="shared" si="173"/>
        <v>49.5</v>
      </c>
      <c r="BC437" s="49">
        <f t="shared" si="173"/>
        <v>50.5</v>
      </c>
      <c r="BD437" s="49">
        <f t="shared" si="173"/>
        <v>51.5</v>
      </c>
      <c r="BE437" s="49">
        <f t="shared" si="173"/>
        <v>52.5</v>
      </c>
      <c r="BF437" s="49">
        <f t="shared" si="173"/>
        <v>53.5</v>
      </c>
      <c r="BG437" s="49">
        <f t="shared" si="173"/>
        <v>54.5</v>
      </c>
      <c r="BH437" s="49">
        <f t="shared" si="173"/>
        <v>55.5</v>
      </c>
      <c r="BI437" s="49">
        <f t="shared" si="173"/>
        <v>56.5</v>
      </c>
      <c r="BJ437" s="49">
        <f t="shared" si="173"/>
        <v>57.5</v>
      </c>
      <c r="BK437" s="49">
        <f t="shared" si="173"/>
        <v>58.5</v>
      </c>
      <c r="BL437" s="49">
        <f t="shared" si="173"/>
        <v>59.5</v>
      </c>
      <c r="BM437" s="49">
        <f t="shared" si="173"/>
        <v>60.5</v>
      </c>
      <c r="BN437" s="49">
        <f t="shared" si="173"/>
        <v>61.5</v>
      </c>
      <c r="BO437" s="49">
        <f t="shared" si="173"/>
        <v>62.5</v>
      </c>
      <c r="BP437" s="49">
        <f t="shared" si="173"/>
        <v>63.5</v>
      </c>
      <c r="BQ437" s="49">
        <f t="shared" si="173"/>
        <v>64.5</v>
      </c>
      <c r="BR437" s="49">
        <f t="shared" si="173"/>
        <v>65.5</v>
      </c>
      <c r="BS437" s="49">
        <f t="shared" si="173"/>
        <v>66.5</v>
      </c>
    </row>
    <row r="438" spans="1:71" outlineLevel="1" x14ac:dyDescent="0.2">
      <c r="D438" t="s">
        <v>279</v>
      </c>
      <c r="G438" s="29">
        <f>Current_year</f>
        <v>2021</v>
      </c>
      <c r="J438" s="26"/>
      <c r="L438" s="49">
        <f t="shared" ref="L438:AQ438" si="174">MAX(L4-$G438+1-0.5,0)</f>
        <v>0</v>
      </c>
      <c r="M438" s="49">
        <f t="shared" si="174"/>
        <v>0</v>
      </c>
      <c r="N438" s="49">
        <f t="shared" si="174"/>
        <v>0</v>
      </c>
      <c r="O438" s="49">
        <f t="shared" si="174"/>
        <v>0</v>
      </c>
      <c r="P438" s="49">
        <f t="shared" si="174"/>
        <v>0</v>
      </c>
      <c r="Q438" s="49">
        <f t="shared" si="174"/>
        <v>0</v>
      </c>
      <c r="R438" s="49">
        <f t="shared" si="174"/>
        <v>0</v>
      </c>
      <c r="S438" s="49">
        <f t="shared" si="174"/>
        <v>0</v>
      </c>
      <c r="T438" s="49">
        <f t="shared" si="174"/>
        <v>0.5</v>
      </c>
      <c r="U438" s="49">
        <f t="shared" si="174"/>
        <v>1.5</v>
      </c>
      <c r="V438" s="49">
        <f t="shared" si="174"/>
        <v>2.5</v>
      </c>
      <c r="W438" s="49">
        <f t="shared" si="174"/>
        <v>3.5</v>
      </c>
      <c r="X438" s="49">
        <f t="shared" si="174"/>
        <v>4.5</v>
      </c>
      <c r="Y438" s="49">
        <f t="shared" si="174"/>
        <v>5.5</v>
      </c>
      <c r="Z438" s="49">
        <f t="shared" si="174"/>
        <v>6.5</v>
      </c>
      <c r="AA438" s="49">
        <f t="shared" si="174"/>
        <v>7.5</v>
      </c>
      <c r="AB438" s="49">
        <f t="shared" si="174"/>
        <v>8.5</v>
      </c>
      <c r="AC438" s="49">
        <f t="shared" si="174"/>
        <v>9.5</v>
      </c>
      <c r="AD438" s="49">
        <f t="shared" si="174"/>
        <v>10.5</v>
      </c>
      <c r="AE438" s="49">
        <f t="shared" si="174"/>
        <v>11.5</v>
      </c>
      <c r="AF438" s="49">
        <f t="shared" si="174"/>
        <v>12.5</v>
      </c>
      <c r="AG438" s="49">
        <f t="shared" si="174"/>
        <v>13.5</v>
      </c>
      <c r="AH438" s="49">
        <f t="shared" si="174"/>
        <v>14.5</v>
      </c>
      <c r="AI438" s="49">
        <f t="shared" si="174"/>
        <v>15.5</v>
      </c>
      <c r="AJ438" s="49">
        <f t="shared" si="174"/>
        <v>16.5</v>
      </c>
      <c r="AK438" s="49">
        <f t="shared" si="174"/>
        <v>17.5</v>
      </c>
      <c r="AL438" s="49">
        <f t="shared" si="174"/>
        <v>18.5</v>
      </c>
      <c r="AM438" s="49">
        <f t="shared" si="174"/>
        <v>19.5</v>
      </c>
      <c r="AN438" s="49">
        <f t="shared" si="174"/>
        <v>20.5</v>
      </c>
      <c r="AO438" s="49">
        <f t="shared" si="174"/>
        <v>21.5</v>
      </c>
      <c r="AP438" s="49">
        <f t="shared" si="174"/>
        <v>22.5</v>
      </c>
      <c r="AQ438" s="49">
        <f t="shared" si="174"/>
        <v>23.5</v>
      </c>
      <c r="AR438" s="49">
        <f t="shared" ref="AR438:BS438" si="175">MAX(AR4-$G438+1-0.5,0)</f>
        <v>24.5</v>
      </c>
      <c r="AS438" s="49">
        <f t="shared" si="175"/>
        <v>25.5</v>
      </c>
      <c r="AT438" s="49">
        <f t="shared" si="175"/>
        <v>26.5</v>
      </c>
      <c r="AU438" s="49">
        <f t="shared" si="175"/>
        <v>27.5</v>
      </c>
      <c r="AV438" s="49">
        <f t="shared" si="175"/>
        <v>28.5</v>
      </c>
      <c r="AW438" s="49">
        <f t="shared" si="175"/>
        <v>29.5</v>
      </c>
      <c r="AX438" s="49">
        <f t="shared" si="175"/>
        <v>30.5</v>
      </c>
      <c r="AY438" s="49">
        <f t="shared" si="175"/>
        <v>31.5</v>
      </c>
      <c r="AZ438" s="49">
        <f t="shared" si="175"/>
        <v>32.5</v>
      </c>
      <c r="BA438" s="49">
        <f t="shared" si="175"/>
        <v>33.5</v>
      </c>
      <c r="BB438" s="49">
        <f t="shared" si="175"/>
        <v>34.5</v>
      </c>
      <c r="BC438" s="49">
        <f t="shared" si="175"/>
        <v>35.5</v>
      </c>
      <c r="BD438" s="49">
        <f t="shared" si="175"/>
        <v>36.5</v>
      </c>
      <c r="BE438" s="49">
        <f t="shared" si="175"/>
        <v>37.5</v>
      </c>
      <c r="BF438" s="49">
        <f t="shared" si="175"/>
        <v>38.5</v>
      </c>
      <c r="BG438" s="49">
        <f t="shared" si="175"/>
        <v>39.5</v>
      </c>
      <c r="BH438" s="49">
        <f t="shared" si="175"/>
        <v>40.5</v>
      </c>
      <c r="BI438" s="49">
        <f t="shared" si="175"/>
        <v>41.5</v>
      </c>
      <c r="BJ438" s="49">
        <f t="shared" si="175"/>
        <v>42.5</v>
      </c>
      <c r="BK438" s="49">
        <f t="shared" si="175"/>
        <v>43.5</v>
      </c>
      <c r="BL438" s="49">
        <f t="shared" si="175"/>
        <v>44.5</v>
      </c>
      <c r="BM438" s="49">
        <f t="shared" si="175"/>
        <v>45.5</v>
      </c>
      <c r="BN438" s="49">
        <f t="shared" si="175"/>
        <v>46.5</v>
      </c>
      <c r="BO438" s="49">
        <f t="shared" si="175"/>
        <v>47.5</v>
      </c>
      <c r="BP438" s="49">
        <f t="shared" si="175"/>
        <v>48.5</v>
      </c>
      <c r="BQ438" s="49">
        <f t="shared" si="175"/>
        <v>49.5</v>
      </c>
      <c r="BR438" s="49">
        <f t="shared" si="175"/>
        <v>50.5</v>
      </c>
      <c r="BS438" s="49">
        <f t="shared" si="175"/>
        <v>51.5</v>
      </c>
    </row>
    <row r="439" spans="1:71" outlineLevel="1" x14ac:dyDescent="0.2">
      <c r="C439" t="s">
        <v>280</v>
      </c>
      <c r="E439" s="59">
        <f>input_DiscRate_nom</f>
        <v>0.1</v>
      </c>
      <c r="J439" s="26"/>
      <c r="L439" s="55"/>
      <c r="M439" s="55"/>
      <c r="N439" s="55"/>
      <c r="O439" s="55"/>
      <c r="P439" s="55"/>
      <c r="Q439" s="55"/>
      <c r="R439" s="55"/>
      <c r="S439" s="55"/>
      <c r="T439" s="55"/>
      <c r="U439" s="55"/>
      <c r="V439" s="55"/>
      <c r="W439" s="55"/>
      <c r="X439" s="55"/>
      <c r="Y439" s="55"/>
      <c r="Z439" s="55"/>
      <c r="AA439" s="55"/>
      <c r="AB439" s="55"/>
      <c r="AC439" s="55"/>
      <c r="AD439" s="55"/>
      <c r="AE439" s="55"/>
      <c r="AF439" s="55"/>
      <c r="AG439" s="55"/>
      <c r="AH439" s="55"/>
      <c r="AI439" s="55"/>
      <c r="AJ439" s="55"/>
      <c r="AK439" s="55"/>
      <c r="AL439" s="55"/>
      <c r="AM439" s="55"/>
      <c r="AN439" s="55"/>
      <c r="AO439" s="55"/>
      <c r="AP439" s="55"/>
      <c r="AQ439" s="55"/>
      <c r="AR439" s="55"/>
      <c r="AS439" s="55"/>
      <c r="AT439" s="55"/>
      <c r="AU439" s="55"/>
      <c r="AV439" s="55"/>
      <c r="AW439" s="55"/>
      <c r="AX439" s="55"/>
      <c r="AY439" s="55"/>
      <c r="AZ439" s="55"/>
      <c r="BA439" s="55"/>
      <c r="BB439" s="55"/>
      <c r="BC439" s="55"/>
      <c r="BD439" s="55"/>
      <c r="BE439" s="55"/>
      <c r="BF439" s="55"/>
      <c r="BG439" s="55"/>
      <c r="BH439" s="55"/>
      <c r="BI439" s="55"/>
      <c r="BJ439" s="55"/>
      <c r="BK439" s="55"/>
      <c r="BL439" s="55"/>
      <c r="BM439" s="55"/>
      <c r="BN439" s="55"/>
      <c r="BO439" s="55"/>
      <c r="BP439" s="55"/>
      <c r="BQ439" s="55"/>
      <c r="BR439" s="55"/>
      <c r="BS439" s="55"/>
    </row>
    <row r="440" spans="1:71" outlineLevel="1" x14ac:dyDescent="0.2">
      <c r="D440" t="s">
        <v>277</v>
      </c>
      <c r="J440" s="26"/>
      <c r="K440" s="7" t="s">
        <v>282</v>
      </c>
      <c r="L440" s="49">
        <f t="shared" ref="L440:BS441" si="176">IF(L437=0,0,(1+input_DiscRate_nom)^-L437)</f>
        <v>0.48927706810064514</v>
      </c>
      <c r="M440" s="49">
        <f t="shared" si="176"/>
        <v>0.44479733463695009</v>
      </c>
      <c r="N440" s="49">
        <f t="shared" si="176"/>
        <v>0.4043612133063183</v>
      </c>
      <c r="O440" s="49">
        <f t="shared" si="176"/>
        <v>0.36760110300574383</v>
      </c>
      <c r="P440" s="49">
        <f t="shared" si="176"/>
        <v>0.33418282091431251</v>
      </c>
      <c r="Q440" s="49">
        <f t="shared" si="176"/>
        <v>0.30380256446755688</v>
      </c>
      <c r="R440" s="49">
        <f t="shared" si="176"/>
        <v>0.27618414951596076</v>
      </c>
      <c r="S440" s="49">
        <f t="shared" si="176"/>
        <v>0.25107649955996431</v>
      </c>
      <c r="T440" s="49">
        <f t="shared" si="176"/>
        <v>0.22825136323633116</v>
      </c>
      <c r="U440" s="49">
        <f t="shared" si="176"/>
        <v>0.20750123930575562</v>
      </c>
      <c r="V440" s="49">
        <f t="shared" si="176"/>
        <v>0.18863749027795962</v>
      </c>
      <c r="W440" s="49">
        <f t="shared" si="176"/>
        <v>0.17148862752541782</v>
      </c>
      <c r="X440" s="49">
        <f t="shared" si="176"/>
        <v>0.15589875229583436</v>
      </c>
      <c r="Y440" s="49">
        <f t="shared" si="176"/>
        <v>0.14172613845075852</v>
      </c>
      <c r="Z440" s="49">
        <f t="shared" si="176"/>
        <v>0.1288419440461441</v>
      </c>
      <c r="AA440" s="49">
        <f t="shared" si="176"/>
        <v>0.11712904004194918</v>
      </c>
      <c r="AB440" s="49">
        <f t="shared" si="176"/>
        <v>0.10648094549268106</v>
      </c>
      <c r="AC440" s="49">
        <f t="shared" si="176"/>
        <v>9.6800859538800965E-2</v>
      </c>
      <c r="AD440" s="49">
        <f t="shared" si="176"/>
        <v>8.8000781398909919E-2</v>
      </c>
      <c r="AE440" s="49">
        <f t="shared" si="176"/>
        <v>8.0000710362645402E-2</v>
      </c>
      <c r="AF440" s="49">
        <f t="shared" si="176"/>
        <v>7.272791851149582E-2</v>
      </c>
      <c r="AG440" s="49">
        <f t="shared" si="176"/>
        <v>6.6116289555905275E-2</v>
      </c>
      <c r="AH440" s="49">
        <f t="shared" si="176"/>
        <v>6.0105717778095702E-2</v>
      </c>
      <c r="AI440" s="49">
        <f t="shared" si="176"/>
        <v>5.4641561616450646E-2</v>
      </c>
      <c r="AJ440" s="49">
        <f t="shared" si="176"/>
        <v>4.967414692404603E-2</v>
      </c>
      <c r="AK440" s="49">
        <f t="shared" si="176"/>
        <v>4.5158315385496389E-2</v>
      </c>
      <c r="AL440" s="49">
        <f t="shared" si="176"/>
        <v>4.1053013986814886E-2</v>
      </c>
      <c r="AM440" s="49">
        <f t="shared" si="176"/>
        <v>3.7320921806195353E-2</v>
      </c>
      <c r="AN440" s="49">
        <f t="shared" si="176"/>
        <v>3.3928110732904866E-2</v>
      </c>
      <c r="AO440" s="49">
        <f t="shared" si="176"/>
        <v>3.0843737029913505E-2</v>
      </c>
      <c r="AP440" s="49">
        <f t="shared" si="176"/>
        <v>2.8039760936285012E-2</v>
      </c>
      <c r="AQ440" s="49">
        <f t="shared" si="176"/>
        <v>2.5490691760259102E-2</v>
      </c>
      <c r="AR440" s="49">
        <f t="shared" si="176"/>
        <v>2.3173356145690084E-2</v>
      </c>
      <c r="AS440" s="49">
        <f t="shared" si="176"/>
        <v>2.1066687405172806E-2</v>
      </c>
      <c r="AT440" s="49">
        <f t="shared" si="176"/>
        <v>1.9151534004702545E-2</v>
      </c>
      <c r="AU440" s="49">
        <f t="shared" si="176"/>
        <v>1.7410485458820502E-2</v>
      </c>
      <c r="AV440" s="49">
        <f t="shared" si="176"/>
        <v>1.5827714053473173E-2</v>
      </c>
      <c r="AW440" s="49">
        <f t="shared" si="176"/>
        <v>1.4388830957702884E-2</v>
      </c>
      <c r="AX440" s="49">
        <f t="shared" si="176"/>
        <v>1.3080755416093532E-2</v>
      </c>
      <c r="AY440" s="49">
        <f t="shared" si="176"/>
        <v>1.1891595832812305E-2</v>
      </c>
      <c r="AZ440" s="49">
        <f t="shared" si="176"/>
        <v>1.0810541666193005E-2</v>
      </c>
      <c r="BA440" s="49">
        <f t="shared" si="176"/>
        <v>9.8277651510845412E-3</v>
      </c>
      <c r="BB440" s="49">
        <f t="shared" si="176"/>
        <v>8.9343319555314025E-3</v>
      </c>
      <c r="BC440" s="49">
        <f t="shared" si="176"/>
        <v>8.1221199595740041E-3</v>
      </c>
      <c r="BD440" s="49">
        <f t="shared" si="176"/>
        <v>7.3837454177945487E-3</v>
      </c>
      <c r="BE440" s="49">
        <f t="shared" si="176"/>
        <v>6.7124958343586817E-3</v>
      </c>
      <c r="BF440" s="49">
        <f t="shared" si="176"/>
        <v>6.1022689403260697E-3</v>
      </c>
      <c r="BG440" s="49">
        <f t="shared" si="176"/>
        <v>5.5475172184782451E-3</v>
      </c>
      <c r="BH440" s="49">
        <f t="shared" si="176"/>
        <v>5.0431974713438599E-3</v>
      </c>
      <c r="BI440" s="49">
        <f t="shared" si="176"/>
        <v>4.5847249739489641E-3</v>
      </c>
      <c r="BJ440" s="49">
        <f t="shared" si="176"/>
        <v>4.1679317944990591E-3</v>
      </c>
      <c r="BK440" s="49">
        <f t="shared" si="176"/>
        <v>3.7890289040900535E-3</v>
      </c>
      <c r="BL440" s="49">
        <f t="shared" si="176"/>
        <v>3.4445717309909553E-3</v>
      </c>
      <c r="BM440" s="49">
        <f t="shared" si="176"/>
        <v>3.1314288463554136E-3</v>
      </c>
      <c r="BN440" s="49">
        <f t="shared" si="176"/>
        <v>2.8467534966867404E-3</v>
      </c>
      <c r="BO440" s="49">
        <f t="shared" si="176"/>
        <v>2.5879577242606732E-3</v>
      </c>
      <c r="BP440" s="49">
        <f t="shared" si="176"/>
        <v>2.3526888402369758E-3</v>
      </c>
      <c r="BQ440" s="49">
        <f t="shared" si="176"/>
        <v>2.1388080365790673E-3</v>
      </c>
      <c r="BR440" s="49">
        <f t="shared" si="176"/>
        <v>1.9443709423446068E-3</v>
      </c>
      <c r="BS440" s="49">
        <f t="shared" si="176"/>
        <v>1.7676099475860063E-3</v>
      </c>
    </row>
    <row r="441" spans="1:71" outlineLevel="1" x14ac:dyDescent="0.2">
      <c r="D441" t="s">
        <v>279</v>
      </c>
      <c r="J441" s="26"/>
      <c r="K441" s="7" t="s">
        <v>281</v>
      </c>
      <c r="L441" s="49">
        <f t="shared" si="176"/>
        <v>0</v>
      </c>
      <c r="M441" s="49">
        <f t="shared" si="176"/>
        <v>0</v>
      </c>
      <c r="N441" s="49">
        <f t="shared" si="176"/>
        <v>0</v>
      </c>
      <c r="O441" s="49">
        <f t="shared" si="176"/>
        <v>0</v>
      </c>
      <c r="P441" s="49">
        <f t="shared" si="176"/>
        <v>0</v>
      </c>
      <c r="Q441" s="49">
        <f t="shared" si="176"/>
        <v>0</v>
      </c>
      <c r="R441" s="49">
        <f t="shared" si="176"/>
        <v>0</v>
      </c>
      <c r="S441" s="49">
        <f t="shared" si="176"/>
        <v>0</v>
      </c>
      <c r="T441" s="49">
        <f t="shared" si="176"/>
        <v>0.95346258924559224</v>
      </c>
      <c r="U441" s="49">
        <f t="shared" si="176"/>
        <v>0.86678417204144742</v>
      </c>
      <c r="V441" s="49">
        <f t="shared" si="176"/>
        <v>0.78798561094677033</v>
      </c>
      <c r="W441" s="49">
        <f t="shared" si="176"/>
        <v>0.71635055540615489</v>
      </c>
      <c r="X441" s="49">
        <f t="shared" si="176"/>
        <v>0.65122777764195883</v>
      </c>
      <c r="Y441" s="49">
        <f t="shared" si="176"/>
        <v>0.59202525240178083</v>
      </c>
      <c r="Z441" s="49">
        <f t="shared" si="176"/>
        <v>0.53820477491070973</v>
      </c>
      <c r="AA441" s="49">
        <f t="shared" si="176"/>
        <v>0.48927706810064514</v>
      </c>
      <c r="AB441" s="49">
        <f t="shared" si="176"/>
        <v>0.44479733463695009</v>
      </c>
      <c r="AC441" s="49">
        <f t="shared" si="176"/>
        <v>0.4043612133063183</v>
      </c>
      <c r="AD441" s="49">
        <f t="shared" si="176"/>
        <v>0.36760110300574383</v>
      </c>
      <c r="AE441" s="49">
        <f t="shared" si="176"/>
        <v>0.33418282091431251</v>
      </c>
      <c r="AF441" s="49">
        <f t="shared" si="176"/>
        <v>0.30380256446755688</v>
      </c>
      <c r="AG441" s="49">
        <f t="shared" si="176"/>
        <v>0.27618414951596076</v>
      </c>
      <c r="AH441" s="49">
        <f t="shared" si="176"/>
        <v>0.25107649955996431</v>
      </c>
      <c r="AI441" s="49">
        <f t="shared" si="176"/>
        <v>0.22825136323633116</v>
      </c>
      <c r="AJ441" s="49">
        <f t="shared" si="176"/>
        <v>0.20750123930575562</v>
      </c>
      <c r="AK441" s="49">
        <f t="shared" si="176"/>
        <v>0.18863749027795962</v>
      </c>
      <c r="AL441" s="49">
        <f t="shared" si="176"/>
        <v>0.17148862752541782</v>
      </c>
      <c r="AM441" s="49">
        <f t="shared" si="176"/>
        <v>0.15589875229583436</v>
      </c>
      <c r="AN441" s="49">
        <f t="shared" si="176"/>
        <v>0.14172613845075852</v>
      </c>
      <c r="AO441" s="49">
        <f t="shared" si="176"/>
        <v>0.1288419440461441</v>
      </c>
      <c r="AP441" s="49">
        <f t="shared" si="176"/>
        <v>0.11712904004194918</v>
      </c>
      <c r="AQ441" s="49">
        <f t="shared" si="176"/>
        <v>0.10648094549268106</v>
      </c>
      <c r="AR441" s="49">
        <f t="shared" si="176"/>
        <v>9.6800859538800965E-2</v>
      </c>
      <c r="AS441" s="49">
        <f t="shared" si="176"/>
        <v>8.8000781398909919E-2</v>
      </c>
      <c r="AT441" s="49">
        <f t="shared" si="176"/>
        <v>8.0000710362645402E-2</v>
      </c>
      <c r="AU441" s="49">
        <f t="shared" si="176"/>
        <v>7.272791851149582E-2</v>
      </c>
      <c r="AV441" s="49">
        <f t="shared" si="176"/>
        <v>6.6116289555905275E-2</v>
      </c>
      <c r="AW441" s="49">
        <f t="shared" si="176"/>
        <v>6.0105717778095702E-2</v>
      </c>
      <c r="AX441" s="49">
        <f t="shared" si="176"/>
        <v>5.4641561616450646E-2</v>
      </c>
      <c r="AY441" s="49">
        <f t="shared" si="176"/>
        <v>4.967414692404603E-2</v>
      </c>
      <c r="AZ441" s="49">
        <f t="shared" si="176"/>
        <v>4.5158315385496389E-2</v>
      </c>
      <c r="BA441" s="49">
        <f t="shared" si="176"/>
        <v>4.1053013986814886E-2</v>
      </c>
      <c r="BB441" s="49">
        <f t="shared" si="176"/>
        <v>3.7320921806195353E-2</v>
      </c>
      <c r="BC441" s="49">
        <f t="shared" si="176"/>
        <v>3.3928110732904866E-2</v>
      </c>
      <c r="BD441" s="49">
        <f t="shared" si="176"/>
        <v>3.0843737029913505E-2</v>
      </c>
      <c r="BE441" s="49">
        <f t="shared" si="176"/>
        <v>2.8039760936285012E-2</v>
      </c>
      <c r="BF441" s="49">
        <f t="shared" si="176"/>
        <v>2.5490691760259102E-2</v>
      </c>
      <c r="BG441" s="49">
        <f t="shared" si="176"/>
        <v>2.3173356145690084E-2</v>
      </c>
      <c r="BH441" s="49">
        <f t="shared" si="176"/>
        <v>2.1066687405172806E-2</v>
      </c>
      <c r="BI441" s="49">
        <f t="shared" si="176"/>
        <v>1.9151534004702545E-2</v>
      </c>
      <c r="BJ441" s="49">
        <f t="shared" si="176"/>
        <v>1.7410485458820502E-2</v>
      </c>
      <c r="BK441" s="49">
        <f t="shared" si="176"/>
        <v>1.5827714053473173E-2</v>
      </c>
      <c r="BL441" s="49">
        <f t="shared" si="176"/>
        <v>1.4388830957702884E-2</v>
      </c>
      <c r="BM441" s="49">
        <f t="shared" si="176"/>
        <v>1.3080755416093532E-2</v>
      </c>
      <c r="BN441" s="49">
        <f t="shared" si="176"/>
        <v>1.1891595832812305E-2</v>
      </c>
      <c r="BO441" s="49">
        <f t="shared" si="176"/>
        <v>1.0810541666193005E-2</v>
      </c>
      <c r="BP441" s="49">
        <f t="shared" si="176"/>
        <v>9.8277651510845412E-3</v>
      </c>
      <c r="BQ441" s="49">
        <f t="shared" si="176"/>
        <v>8.9343319555314025E-3</v>
      </c>
      <c r="BR441" s="49">
        <f t="shared" si="176"/>
        <v>8.1221199595740041E-3</v>
      </c>
      <c r="BS441" s="49">
        <f t="shared" si="176"/>
        <v>7.3837454177945487E-3</v>
      </c>
    </row>
    <row r="442" spans="1:71" outlineLevel="1" x14ac:dyDescent="0.2">
      <c r="J442" s="26"/>
      <c r="L442" s="55"/>
      <c r="M442" s="55"/>
      <c r="N442" s="55"/>
      <c r="O442" s="55"/>
      <c r="P442" s="55"/>
      <c r="Q442" s="55"/>
      <c r="R442" s="55"/>
      <c r="S442" s="55"/>
      <c r="T442" s="55"/>
      <c r="U442" s="55"/>
      <c r="V442" s="55"/>
      <c r="W442" s="55"/>
      <c r="X442" s="55"/>
      <c r="Y442" s="55"/>
      <c r="Z442" s="55"/>
      <c r="AA442" s="55"/>
      <c r="AB442" s="55"/>
      <c r="AC442" s="55"/>
      <c r="AD442" s="55"/>
      <c r="AE442" s="55"/>
      <c r="AF442" s="55"/>
      <c r="AG442" s="55"/>
      <c r="AH442" s="55"/>
      <c r="AI442" s="55"/>
      <c r="AJ442" s="55"/>
      <c r="AK442" s="55"/>
      <c r="AL442" s="55"/>
      <c r="AM442" s="55"/>
      <c r="AN442" s="55"/>
      <c r="AO442" s="55"/>
      <c r="AP442" s="55"/>
      <c r="AQ442" s="55"/>
      <c r="AR442" s="55"/>
      <c r="AS442" s="55"/>
      <c r="AT442" s="55"/>
      <c r="AU442" s="55"/>
      <c r="AV442" s="55"/>
      <c r="AW442" s="55"/>
      <c r="AX442" s="55"/>
      <c r="AY442" s="55"/>
      <c r="AZ442" s="55"/>
      <c r="BA442" s="55"/>
      <c r="BB442" s="55"/>
      <c r="BC442" s="55"/>
      <c r="BD442" s="55"/>
      <c r="BE442" s="55"/>
      <c r="BF442" s="55"/>
      <c r="BG442" s="55"/>
      <c r="BH442" s="55"/>
      <c r="BI442" s="55"/>
      <c r="BJ442" s="55"/>
      <c r="BK442" s="55"/>
      <c r="BL442" s="55"/>
      <c r="BM442" s="55"/>
      <c r="BN442" s="55"/>
      <c r="BO442" s="55"/>
      <c r="BP442" s="55"/>
      <c r="BQ442" s="55"/>
      <c r="BR442" s="55"/>
      <c r="BS442" s="55"/>
    </row>
    <row r="443" spans="1:71" outlineLevel="1" x14ac:dyDescent="0.2">
      <c r="J443" s="26"/>
      <c r="L443" s="55"/>
      <c r="M443" s="55"/>
      <c r="N443" s="55"/>
      <c r="O443" s="55"/>
      <c r="P443" s="55"/>
      <c r="Q443" s="55"/>
      <c r="R443" s="55"/>
      <c r="S443" s="55"/>
      <c r="T443" s="55"/>
      <c r="U443" s="55"/>
      <c r="V443" s="55"/>
      <c r="W443" s="55"/>
      <c r="X443" s="55"/>
      <c r="Y443" s="55"/>
      <c r="Z443" s="55"/>
      <c r="AA443" s="55"/>
      <c r="AB443" s="55"/>
      <c r="AC443" s="55"/>
      <c r="AD443" s="55"/>
      <c r="AE443" s="55"/>
      <c r="AF443" s="55"/>
      <c r="AG443" s="55"/>
      <c r="AH443" s="55"/>
      <c r="AI443" s="55"/>
      <c r="AJ443" s="55"/>
      <c r="AK443" s="55"/>
      <c r="AL443" s="55"/>
      <c r="AM443" s="55"/>
      <c r="AN443" s="55"/>
      <c r="AO443" s="55"/>
      <c r="AP443" s="55"/>
      <c r="AQ443" s="55"/>
      <c r="AR443" s="55"/>
      <c r="AS443" s="55"/>
      <c r="AT443" s="55"/>
      <c r="AU443" s="55"/>
      <c r="AV443" s="55"/>
      <c r="AW443" s="55"/>
      <c r="AX443" s="55"/>
      <c r="AY443" s="55"/>
      <c r="AZ443" s="55"/>
      <c r="BA443" s="55"/>
      <c r="BB443" s="55"/>
      <c r="BC443" s="55"/>
      <c r="BD443" s="55"/>
      <c r="BE443" s="55"/>
      <c r="BF443" s="55"/>
      <c r="BG443" s="55"/>
      <c r="BH443" s="55"/>
      <c r="BI443" s="55"/>
      <c r="BJ443" s="55"/>
      <c r="BK443" s="55"/>
      <c r="BL443" s="55"/>
      <c r="BM443" s="55"/>
      <c r="BN443" s="55"/>
      <c r="BO443" s="55"/>
      <c r="BP443" s="55"/>
      <c r="BQ443" s="55"/>
      <c r="BR443" s="55"/>
      <c r="BS443" s="55"/>
    </row>
    <row r="444" spans="1:71" outlineLevel="1" x14ac:dyDescent="0.2">
      <c r="A444" s="45"/>
      <c r="B444" s="38" t="s">
        <v>257</v>
      </c>
      <c r="C444" s="45"/>
      <c r="D444" s="45"/>
      <c r="E444" s="45"/>
      <c r="J444" s="26"/>
      <c r="L444" s="55"/>
      <c r="M444" s="55"/>
      <c r="N444" s="55"/>
      <c r="O444" s="55"/>
      <c r="P444" s="55"/>
      <c r="Q444" s="55"/>
      <c r="R444" s="55"/>
      <c r="S444" s="55"/>
      <c r="T444" s="55"/>
      <c r="U444" s="55"/>
      <c r="V444" s="55"/>
      <c r="W444" s="55"/>
      <c r="X444" s="55"/>
      <c r="Y444" s="55"/>
      <c r="Z444" s="55"/>
      <c r="AA444" s="55"/>
      <c r="AB444" s="55"/>
      <c r="AC444" s="55"/>
      <c r="AD444" s="55"/>
      <c r="AE444" s="55"/>
      <c r="AF444" s="55"/>
      <c r="AG444" s="55"/>
      <c r="AH444" s="55"/>
      <c r="AI444" s="55"/>
      <c r="AJ444" s="55"/>
      <c r="AK444" s="55"/>
      <c r="AL444" s="55"/>
      <c r="AM444" s="55"/>
      <c r="AN444" s="55"/>
      <c r="AO444" s="55"/>
      <c r="AP444" s="55"/>
      <c r="AQ444" s="55"/>
      <c r="AR444" s="55"/>
      <c r="AS444" s="55"/>
      <c r="AT444" s="55"/>
      <c r="AU444" s="55"/>
      <c r="AV444" s="55"/>
      <c r="AW444" s="55"/>
      <c r="AX444" s="55"/>
      <c r="AY444" s="55"/>
      <c r="AZ444" s="55"/>
      <c r="BA444" s="55"/>
      <c r="BB444" s="55"/>
      <c r="BC444" s="55"/>
      <c r="BD444" s="55"/>
      <c r="BE444" s="55"/>
      <c r="BF444" s="55"/>
      <c r="BG444" s="55"/>
      <c r="BH444" s="55"/>
      <c r="BI444" s="55"/>
      <c r="BJ444" s="55"/>
      <c r="BK444" s="55"/>
      <c r="BL444" s="55"/>
      <c r="BM444" s="55"/>
      <c r="BN444" s="55"/>
      <c r="BO444" s="55"/>
      <c r="BP444" s="55"/>
      <c r="BQ444" s="55"/>
      <c r="BR444" s="55"/>
      <c r="BS444" s="55"/>
    </row>
    <row r="445" spans="1:71" outlineLevel="1" x14ac:dyDescent="0.2">
      <c r="J445" s="26"/>
      <c r="L445" s="55"/>
      <c r="M445" s="55"/>
      <c r="N445" s="55"/>
      <c r="O445" s="55"/>
      <c r="P445" s="55"/>
      <c r="Q445" s="55"/>
      <c r="R445" s="55"/>
      <c r="S445" s="55"/>
      <c r="T445" s="55"/>
      <c r="U445" s="55"/>
      <c r="V445" s="55"/>
      <c r="W445" s="55"/>
      <c r="X445" s="55"/>
      <c r="Y445" s="55"/>
      <c r="Z445" s="55"/>
      <c r="AA445" s="55"/>
      <c r="AB445" s="55"/>
      <c r="AC445" s="55"/>
      <c r="AD445" s="55"/>
      <c r="AE445" s="55"/>
      <c r="AF445" s="55"/>
      <c r="AG445" s="55"/>
      <c r="AH445" s="55"/>
      <c r="AI445" s="55"/>
      <c r="AJ445" s="55"/>
      <c r="AK445" s="55"/>
      <c r="AL445" s="55"/>
      <c r="AM445" s="55"/>
      <c r="AN445" s="55"/>
      <c r="AO445" s="55"/>
      <c r="AP445" s="55"/>
      <c r="AQ445" s="55"/>
      <c r="AR445" s="55"/>
      <c r="AS445" s="55"/>
      <c r="AT445" s="55"/>
      <c r="AU445" s="55"/>
      <c r="AV445" s="55"/>
      <c r="AW445" s="55"/>
      <c r="AX445" s="55"/>
      <c r="AY445" s="55"/>
      <c r="AZ445" s="55"/>
      <c r="BA445" s="55"/>
      <c r="BB445" s="55"/>
      <c r="BC445" s="55"/>
      <c r="BD445" s="55"/>
      <c r="BE445" s="55"/>
      <c r="BF445" s="55"/>
      <c r="BG445" s="55"/>
      <c r="BH445" s="55"/>
      <c r="BI445" s="55"/>
      <c r="BJ445" s="55"/>
      <c r="BK445" s="55"/>
      <c r="BL445" s="55"/>
      <c r="BM445" s="55"/>
      <c r="BN445" s="55"/>
      <c r="BO445" s="55"/>
      <c r="BP445" s="55"/>
      <c r="BQ445" s="55"/>
      <c r="BR445" s="55"/>
      <c r="BS445" s="55"/>
    </row>
    <row r="446" spans="1:71" outlineLevel="1" x14ac:dyDescent="0.2">
      <c r="C446" t="s">
        <v>144</v>
      </c>
      <c r="J446" s="26"/>
      <c r="L446" s="55"/>
      <c r="M446" s="55"/>
      <c r="N446" s="55"/>
      <c r="O446" s="55"/>
      <c r="P446" s="55"/>
      <c r="Q446" s="55"/>
      <c r="R446" s="55"/>
      <c r="S446" s="55"/>
      <c r="T446" s="55"/>
      <c r="U446" s="55"/>
      <c r="V446" s="55"/>
      <c r="W446" s="55"/>
      <c r="X446" s="55"/>
      <c r="Y446" s="55"/>
      <c r="Z446" s="55"/>
      <c r="AA446" s="55"/>
      <c r="AB446" s="55"/>
      <c r="AC446" s="55"/>
      <c r="AD446" s="55"/>
      <c r="AE446" s="55"/>
      <c r="AF446" s="55"/>
      <c r="AG446" s="55"/>
      <c r="AH446" s="55"/>
      <c r="AI446" s="55"/>
      <c r="AJ446" s="55"/>
      <c r="AK446" s="55"/>
      <c r="AL446" s="55"/>
      <c r="AM446" s="55"/>
      <c r="AN446" s="55"/>
      <c r="AO446" s="55"/>
      <c r="AP446" s="55"/>
      <c r="AQ446" s="55"/>
      <c r="AR446" s="55"/>
      <c r="AS446" s="55"/>
      <c r="AT446" s="55"/>
      <c r="AU446" s="55"/>
      <c r="AV446" s="55"/>
      <c r="AW446" s="55"/>
      <c r="AX446" s="55"/>
      <c r="AY446" s="55"/>
      <c r="AZ446" s="55"/>
      <c r="BA446" s="55"/>
      <c r="BB446" s="55"/>
      <c r="BC446" s="55"/>
      <c r="BD446" s="55"/>
      <c r="BE446" s="55"/>
      <c r="BF446" s="55"/>
      <c r="BG446" s="55"/>
      <c r="BH446" s="55"/>
      <c r="BI446" s="55"/>
      <c r="BJ446" s="55"/>
      <c r="BK446" s="55"/>
      <c r="BL446" s="55"/>
      <c r="BM446" s="55"/>
      <c r="BN446" s="55"/>
      <c r="BO446" s="55"/>
      <c r="BP446" s="55"/>
      <c r="BQ446" s="55"/>
      <c r="BR446" s="55"/>
      <c r="BS446" s="55"/>
    </row>
    <row r="447" spans="1:71" outlineLevel="1" x14ac:dyDescent="0.2">
      <c r="D447" t="s">
        <v>258</v>
      </c>
      <c r="I447" s="30">
        <f t="shared" ref="I447:I449" ca="1" si="177">SUM($L447:$BS447)</f>
        <v>4626.1233109649347</v>
      </c>
      <c r="J447" s="26" t="s">
        <v>148</v>
      </c>
      <c r="L447" s="49" cm="1">
        <f t="array" aca="1" ref="L447:BS447" ca="1">Marine!CA_gross_rev_oil_fp</f>
        <v>0</v>
      </c>
      <c r="M447" s="49">
        <f ca="1"/>
        <v>0.24249155536869132</v>
      </c>
      <c r="N447" s="49">
        <f ca="1"/>
        <v>83.550739323060739</v>
      </c>
      <c r="O447" s="49">
        <f ca="1"/>
        <v>129.27461838251727</v>
      </c>
      <c r="P447" s="49">
        <f ca="1"/>
        <v>298.74067895181616</v>
      </c>
      <c r="Q447" s="49">
        <f ca="1"/>
        <v>664.62329202654621</v>
      </c>
      <c r="R447" s="49">
        <f ca="1"/>
        <v>617.67746846456896</v>
      </c>
      <c r="S447" s="49">
        <f ca="1"/>
        <v>350.3247935833333</v>
      </c>
      <c r="T447" s="49">
        <f ca="1"/>
        <v>528.51895387199988</v>
      </c>
      <c r="U447" s="49">
        <f ca="1"/>
        <v>527.59410290999995</v>
      </c>
      <c r="V447" s="49">
        <f ca="1"/>
        <v>500.47576602042585</v>
      </c>
      <c r="W447" s="49">
        <f ca="1"/>
        <v>474.75131164697592</v>
      </c>
      <c r="X447" s="49">
        <f ca="1"/>
        <v>450.34909422832135</v>
      </c>
      <c r="Y447" s="49">
        <f ca="1"/>
        <v>0</v>
      </c>
      <c r="Z447" s="49">
        <f ca="1"/>
        <v>0</v>
      </c>
      <c r="AA447" s="49">
        <f ca="1"/>
        <v>0</v>
      </c>
      <c r="AB447" s="49">
        <f ca="1"/>
        <v>0</v>
      </c>
      <c r="AC447" s="49">
        <f ca="1"/>
        <v>0</v>
      </c>
      <c r="AD447" s="49">
        <f ca="1"/>
        <v>0</v>
      </c>
      <c r="AE447" s="49">
        <f ca="1"/>
        <v>0</v>
      </c>
      <c r="AF447" s="49">
        <f ca="1"/>
        <v>0</v>
      </c>
      <c r="AG447" s="49">
        <f ca="1"/>
        <v>0</v>
      </c>
      <c r="AH447" s="49">
        <f ca="1"/>
        <v>0</v>
      </c>
      <c r="AI447" s="49">
        <f ca="1"/>
        <v>0</v>
      </c>
      <c r="AJ447" s="49">
        <f ca="1"/>
        <v>0</v>
      </c>
      <c r="AK447" s="49">
        <f ca="1"/>
        <v>0</v>
      </c>
      <c r="AL447" s="49">
        <f ca="1"/>
        <v>0</v>
      </c>
      <c r="AM447" s="49">
        <f ca="1"/>
        <v>0</v>
      </c>
      <c r="AN447" s="49">
        <f ca="1"/>
        <v>0</v>
      </c>
      <c r="AO447" s="49">
        <f ca="1"/>
        <v>0</v>
      </c>
      <c r="AP447" s="49">
        <f ca="1"/>
        <v>0</v>
      </c>
      <c r="AQ447" s="49">
        <f ca="1"/>
        <v>0</v>
      </c>
      <c r="AR447" s="49">
        <f ca="1"/>
        <v>0</v>
      </c>
      <c r="AS447" s="49">
        <f ca="1"/>
        <v>0</v>
      </c>
      <c r="AT447" s="49">
        <f ca="1"/>
        <v>0</v>
      </c>
      <c r="AU447" s="49">
        <f ca="1"/>
        <v>0</v>
      </c>
      <c r="AV447" s="49">
        <f ca="1"/>
        <v>0</v>
      </c>
      <c r="AW447" s="49">
        <f ca="1"/>
        <v>0</v>
      </c>
      <c r="AX447" s="49">
        <f ca="1"/>
        <v>0</v>
      </c>
      <c r="AY447" s="49">
        <f ca="1"/>
        <v>0</v>
      </c>
      <c r="AZ447" s="49">
        <f ca="1"/>
        <v>0</v>
      </c>
      <c r="BA447" s="49">
        <f ca="1"/>
        <v>0</v>
      </c>
      <c r="BB447" s="49">
        <f ca="1"/>
        <v>0</v>
      </c>
      <c r="BC447" s="49">
        <f ca="1"/>
        <v>0</v>
      </c>
      <c r="BD447" s="49">
        <f ca="1"/>
        <v>0</v>
      </c>
      <c r="BE447" s="49">
        <f ca="1"/>
        <v>0</v>
      </c>
      <c r="BF447" s="49">
        <f ca="1"/>
        <v>0</v>
      </c>
      <c r="BG447" s="49">
        <f ca="1"/>
        <v>0</v>
      </c>
      <c r="BH447" s="49">
        <f ca="1"/>
        <v>0</v>
      </c>
      <c r="BI447" s="49">
        <f ca="1"/>
        <v>0</v>
      </c>
      <c r="BJ447" s="49">
        <f ca="1"/>
        <v>0</v>
      </c>
      <c r="BK447" s="49">
        <f ca="1"/>
        <v>0</v>
      </c>
      <c r="BL447" s="49">
        <f ca="1"/>
        <v>0</v>
      </c>
      <c r="BM447" s="49">
        <f ca="1"/>
        <v>0</v>
      </c>
      <c r="BN447" s="49">
        <f ca="1"/>
        <v>0</v>
      </c>
      <c r="BO447" s="49">
        <f ca="1"/>
        <v>0</v>
      </c>
      <c r="BP447" s="49">
        <f ca="1"/>
        <v>0</v>
      </c>
      <c r="BQ447" s="49">
        <f ca="1"/>
        <v>0</v>
      </c>
      <c r="BR447" s="49">
        <f ca="1"/>
        <v>0</v>
      </c>
      <c r="BS447" s="49">
        <f ca="1"/>
        <v>0</v>
      </c>
    </row>
    <row r="448" spans="1:71" outlineLevel="1" x14ac:dyDescent="0.2">
      <c r="D448" t="s">
        <v>259</v>
      </c>
      <c r="I448" s="30">
        <f t="shared" ca="1" si="177"/>
        <v>847.68062205692786</v>
      </c>
      <c r="J448" s="26" t="s">
        <v>148</v>
      </c>
      <c r="L448" s="49" cm="1">
        <f t="array" aca="1" ref="L448:BS448" ca="1">Marine!CA_gross_rev_gas_fp+CA_gross_rev_domestic_gas_fp</f>
        <v>0</v>
      </c>
      <c r="M448" s="49">
        <f ca="1"/>
        <v>9.1558237784542378</v>
      </c>
      <c r="N448" s="49">
        <f ca="1"/>
        <v>46.336890897670671</v>
      </c>
      <c r="O448" s="49">
        <f ca="1"/>
        <v>72.726948911052318</v>
      </c>
      <c r="P448" s="49">
        <f ca="1"/>
        <v>67.059231579873114</v>
      </c>
      <c r="Q448" s="49">
        <f ca="1"/>
        <v>73.564575192058825</v>
      </c>
      <c r="R448" s="49">
        <f ca="1"/>
        <v>7.5035866695900014E-5</v>
      </c>
      <c r="S448" s="49">
        <f ca="1"/>
        <v>96.651599999999988</v>
      </c>
      <c r="T448" s="49">
        <f ca="1"/>
        <v>96.512053748231949</v>
      </c>
      <c r="U448" s="49">
        <f ca="1"/>
        <v>96.466693069306928</v>
      </c>
      <c r="V448" s="49">
        <f ca="1"/>
        <v>96.425821782178204</v>
      </c>
      <c r="W448" s="49">
        <f ca="1"/>
        <v>96.417892503536066</v>
      </c>
      <c r="X448" s="49">
        <f ca="1"/>
        <v>96.363015558698734</v>
      </c>
      <c r="Y448" s="49">
        <f ca="1"/>
        <v>0</v>
      </c>
      <c r="Z448" s="49">
        <f ca="1"/>
        <v>0</v>
      </c>
      <c r="AA448" s="49">
        <f ca="1"/>
        <v>0</v>
      </c>
      <c r="AB448" s="49">
        <f ca="1"/>
        <v>0</v>
      </c>
      <c r="AC448" s="49">
        <f ca="1"/>
        <v>0</v>
      </c>
      <c r="AD448" s="49">
        <f ca="1"/>
        <v>0</v>
      </c>
      <c r="AE448" s="49">
        <f ca="1"/>
        <v>0</v>
      </c>
      <c r="AF448" s="49">
        <f ca="1"/>
        <v>0</v>
      </c>
      <c r="AG448" s="49">
        <f ca="1"/>
        <v>0</v>
      </c>
      <c r="AH448" s="49">
        <f ca="1"/>
        <v>0</v>
      </c>
      <c r="AI448" s="49">
        <f ca="1"/>
        <v>0</v>
      </c>
      <c r="AJ448" s="49">
        <f ca="1"/>
        <v>0</v>
      </c>
      <c r="AK448" s="49">
        <f ca="1"/>
        <v>0</v>
      </c>
      <c r="AL448" s="49">
        <f ca="1"/>
        <v>0</v>
      </c>
      <c r="AM448" s="49">
        <f ca="1"/>
        <v>0</v>
      </c>
      <c r="AN448" s="49">
        <f ca="1"/>
        <v>0</v>
      </c>
      <c r="AO448" s="49">
        <f ca="1"/>
        <v>0</v>
      </c>
      <c r="AP448" s="49">
        <f ca="1"/>
        <v>0</v>
      </c>
      <c r="AQ448" s="49">
        <f ca="1"/>
        <v>0</v>
      </c>
      <c r="AR448" s="49">
        <f ca="1"/>
        <v>0</v>
      </c>
      <c r="AS448" s="49">
        <f ca="1"/>
        <v>0</v>
      </c>
      <c r="AT448" s="49">
        <f ca="1"/>
        <v>0</v>
      </c>
      <c r="AU448" s="49">
        <f ca="1"/>
        <v>0</v>
      </c>
      <c r="AV448" s="49">
        <f ca="1"/>
        <v>0</v>
      </c>
      <c r="AW448" s="49">
        <f ca="1"/>
        <v>0</v>
      </c>
      <c r="AX448" s="49">
        <f ca="1"/>
        <v>0</v>
      </c>
      <c r="AY448" s="49">
        <f ca="1"/>
        <v>0</v>
      </c>
      <c r="AZ448" s="49">
        <f ca="1"/>
        <v>0</v>
      </c>
      <c r="BA448" s="49">
        <f ca="1"/>
        <v>0</v>
      </c>
      <c r="BB448" s="49">
        <f ca="1"/>
        <v>0</v>
      </c>
      <c r="BC448" s="49">
        <f ca="1"/>
        <v>0</v>
      </c>
      <c r="BD448" s="49">
        <f ca="1"/>
        <v>0</v>
      </c>
      <c r="BE448" s="49">
        <f ca="1"/>
        <v>0</v>
      </c>
      <c r="BF448" s="49">
        <f ca="1"/>
        <v>0</v>
      </c>
      <c r="BG448" s="49">
        <f ca="1"/>
        <v>0</v>
      </c>
      <c r="BH448" s="49">
        <f ca="1"/>
        <v>0</v>
      </c>
      <c r="BI448" s="49">
        <f ca="1"/>
        <v>0</v>
      </c>
      <c r="BJ448" s="49">
        <f ca="1"/>
        <v>0</v>
      </c>
      <c r="BK448" s="49">
        <f ca="1"/>
        <v>0</v>
      </c>
      <c r="BL448" s="49">
        <f ca="1"/>
        <v>0</v>
      </c>
      <c r="BM448" s="49">
        <f ca="1"/>
        <v>0</v>
      </c>
      <c r="BN448" s="49">
        <f ca="1"/>
        <v>0</v>
      </c>
      <c r="BO448" s="49">
        <f ca="1"/>
        <v>0</v>
      </c>
      <c r="BP448" s="49">
        <f ca="1"/>
        <v>0</v>
      </c>
      <c r="BQ448" s="49">
        <f ca="1"/>
        <v>0</v>
      </c>
      <c r="BR448" s="49">
        <f ca="1"/>
        <v>0</v>
      </c>
      <c r="BS448" s="49">
        <f ca="1"/>
        <v>0</v>
      </c>
    </row>
    <row r="449" spans="3:71" outlineLevel="1" x14ac:dyDescent="0.2">
      <c r="D449" s="11" t="s">
        <v>260</v>
      </c>
      <c r="I449" s="30">
        <f t="shared" ca="1" si="177"/>
        <v>5473.8039330218626</v>
      </c>
      <c r="J449" s="26" t="s">
        <v>148</v>
      </c>
      <c r="L449" s="49">
        <f ca="1">SUM(L447:L448)</f>
        <v>0</v>
      </c>
      <c r="M449" s="49">
        <f t="shared" ref="M449:BS449" ca="1" si="178">SUM(M447:M448)</f>
        <v>9.3983153338229286</v>
      </c>
      <c r="N449" s="49">
        <f t="shared" ca="1" si="178"/>
        <v>129.88763022073141</v>
      </c>
      <c r="O449" s="49">
        <f t="shared" ca="1" si="178"/>
        <v>202.00156729356959</v>
      </c>
      <c r="P449" s="49">
        <f t="shared" ca="1" si="178"/>
        <v>365.79991053168931</v>
      </c>
      <c r="Q449" s="49">
        <f t="shared" ca="1" si="178"/>
        <v>738.18786721860499</v>
      </c>
      <c r="R449" s="49">
        <f t="shared" ca="1" si="178"/>
        <v>617.6775435004356</v>
      </c>
      <c r="S449" s="49">
        <f t="shared" ca="1" si="178"/>
        <v>446.97639358333328</v>
      </c>
      <c r="T449" s="49">
        <f t="shared" ca="1" si="178"/>
        <v>625.03100762023178</v>
      </c>
      <c r="U449" s="49">
        <f t="shared" ca="1" si="178"/>
        <v>624.06079597930693</v>
      </c>
      <c r="V449" s="49">
        <f t="shared" ca="1" si="178"/>
        <v>596.90158780260401</v>
      </c>
      <c r="W449" s="49">
        <f t="shared" ca="1" si="178"/>
        <v>571.16920415051197</v>
      </c>
      <c r="X449" s="49">
        <f t="shared" ca="1" si="178"/>
        <v>546.71210978702004</v>
      </c>
      <c r="Y449" s="49">
        <f t="shared" ca="1" si="178"/>
        <v>0</v>
      </c>
      <c r="Z449" s="49">
        <f t="shared" ca="1" si="178"/>
        <v>0</v>
      </c>
      <c r="AA449" s="49">
        <f t="shared" ca="1" si="178"/>
        <v>0</v>
      </c>
      <c r="AB449" s="49">
        <f t="shared" ca="1" si="178"/>
        <v>0</v>
      </c>
      <c r="AC449" s="49">
        <f t="shared" ca="1" si="178"/>
        <v>0</v>
      </c>
      <c r="AD449" s="49">
        <f t="shared" ca="1" si="178"/>
        <v>0</v>
      </c>
      <c r="AE449" s="49">
        <f t="shared" ca="1" si="178"/>
        <v>0</v>
      </c>
      <c r="AF449" s="49">
        <f t="shared" ca="1" si="178"/>
        <v>0</v>
      </c>
      <c r="AG449" s="49">
        <f t="shared" ca="1" si="178"/>
        <v>0</v>
      </c>
      <c r="AH449" s="49">
        <f t="shared" ca="1" si="178"/>
        <v>0</v>
      </c>
      <c r="AI449" s="49">
        <f t="shared" ca="1" si="178"/>
        <v>0</v>
      </c>
      <c r="AJ449" s="49">
        <f t="shared" ca="1" si="178"/>
        <v>0</v>
      </c>
      <c r="AK449" s="49">
        <f t="shared" ca="1" si="178"/>
        <v>0</v>
      </c>
      <c r="AL449" s="49">
        <f t="shared" ca="1" si="178"/>
        <v>0</v>
      </c>
      <c r="AM449" s="49">
        <f t="shared" ca="1" si="178"/>
        <v>0</v>
      </c>
      <c r="AN449" s="49">
        <f t="shared" ca="1" si="178"/>
        <v>0</v>
      </c>
      <c r="AO449" s="49">
        <f t="shared" ca="1" si="178"/>
        <v>0</v>
      </c>
      <c r="AP449" s="49">
        <f t="shared" ca="1" si="178"/>
        <v>0</v>
      </c>
      <c r="AQ449" s="49">
        <f t="shared" ca="1" si="178"/>
        <v>0</v>
      </c>
      <c r="AR449" s="49">
        <f t="shared" ca="1" si="178"/>
        <v>0</v>
      </c>
      <c r="AS449" s="49">
        <f t="shared" ca="1" si="178"/>
        <v>0</v>
      </c>
      <c r="AT449" s="49">
        <f t="shared" ca="1" si="178"/>
        <v>0</v>
      </c>
      <c r="AU449" s="49">
        <f t="shared" ca="1" si="178"/>
        <v>0</v>
      </c>
      <c r="AV449" s="49">
        <f t="shared" ca="1" si="178"/>
        <v>0</v>
      </c>
      <c r="AW449" s="49">
        <f t="shared" ca="1" si="178"/>
        <v>0</v>
      </c>
      <c r="AX449" s="49">
        <f t="shared" ca="1" si="178"/>
        <v>0</v>
      </c>
      <c r="AY449" s="49">
        <f t="shared" ca="1" si="178"/>
        <v>0</v>
      </c>
      <c r="AZ449" s="49">
        <f t="shared" ca="1" si="178"/>
        <v>0</v>
      </c>
      <c r="BA449" s="49">
        <f t="shared" ca="1" si="178"/>
        <v>0</v>
      </c>
      <c r="BB449" s="49">
        <f t="shared" ca="1" si="178"/>
        <v>0</v>
      </c>
      <c r="BC449" s="49">
        <f t="shared" ca="1" si="178"/>
        <v>0</v>
      </c>
      <c r="BD449" s="49">
        <f t="shared" ca="1" si="178"/>
        <v>0</v>
      </c>
      <c r="BE449" s="49">
        <f t="shared" ca="1" si="178"/>
        <v>0</v>
      </c>
      <c r="BF449" s="49">
        <f t="shared" ca="1" si="178"/>
        <v>0</v>
      </c>
      <c r="BG449" s="49">
        <f t="shared" ca="1" si="178"/>
        <v>0</v>
      </c>
      <c r="BH449" s="49">
        <f t="shared" ca="1" si="178"/>
        <v>0</v>
      </c>
      <c r="BI449" s="49">
        <f t="shared" ca="1" si="178"/>
        <v>0</v>
      </c>
      <c r="BJ449" s="49">
        <f t="shared" ca="1" si="178"/>
        <v>0</v>
      </c>
      <c r="BK449" s="49">
        <f t="shared" ca="1" si="178"/>
        <v>0</v>
      </c>
      <c r="BL449" s="49">
        <f t="shared" ca="1" si="178"/>
        <v>0</v>
      </c>
      <c r="BM449" s="49">
        <f t="shared" ca="1" si="178"/>
        <v>0</v>
      </c>
      <c r="BN449" s="49">
        <f t="shared" ca="1" si="178"/>
        <v>0</v>
      </c>
      <c r="BO449" s="49">
        <f t="shared" ca="1" si="178"/>
        <v>0</v>
      </c>
      <c r="BP449" s="49">
        <f t="shared" ca="1" si="178"/>
        <v>0</v>
      </c>
      <c r="BQ449" s="49">
        <f t="shared" ca="1" si="178"/>
        <v>0</v>
      </c>
      <c r="BR449" s="49">
        <f t="shared" ca="1" si="178"/>
        <v>0</v>
      </c>
      <c r="BS449" s="49">
        <f t="shared" ca="1" si="178"/>
        <v>0</v>
      </c>
    </row>
    <row r="450" spans="3:71" outlineLevel="1" x14ac:dyDescent="0.2">
      <c r="J450" s="26"/>
      <c r="L450" s="55"/>
      <c r="M450" s="55"/>
      <c r="N450" s="55"/>
      <c r="O450" s="55"/>
      <c r="P450" s="55"/>
      <c r="Q450" s="55"/>
      <c r="R450" s="55"/>
      <c r="S450" s="55"/>
      <c r="T450" s="55"/>
      <c r="U450" s="55"/>
      <c r="V450" s="55"/>
      <c r="W450" s="55"/>
      <c r="X450" s="55"/>
      <c r="Y450" s="55"/>
      <c r="Z450" s="55"/>
      <c r="AA450" s="55"/>
      <c r="AB450" s="55"/>
      <c r="AC450" s="55"/>
      <c r="AD450" s="55"/>
      <c r="AE450" s="55"/>
      <c r="AF450" s="55"/>
      <c r="AG450" s="55"/>
      <c r="AH450" s="55"/>
      <c r="AI450" s="55"/>
      <c r="AJ450" s="55"/>
      <c r="AK450" s="55"/>
      <c r="AL450" s="55"/>
      <c r="AM450" s="55"/>
      <c r="AN450" s="55"/>
      <c r="AO450" s="55"/>
      <c r="AP450" s="55"/>
      <c r="AQ450" s="55"/>
      <c r="AR450" s="55"/>
      <c r="AS450" s="55"/>
      <c r="AT450" s="55"/>
      <c r="AU450" s="55"/>
      <c r="AV450" s="55"/>
      <c r="AW450" s="55"/>
      <c r="AX450" s="55"/>
      <c r="AY450" s="55"/>
      <c r="AZ450" s="55"/>
      <c r="BA450" s="55"/>
      <c r="BB450" s="55"/>
      <c r="BC450" s="55"/>
      <c r="BD450" s="55"/>
      <c r="BE450" s="55"/>
      <c r="BF450" s="55"/>
      <c r="BG450" s="55"/>
      <c r="BH450" s="55"/>
      <c r="BI450" s="55"/>
      <c r="BJ450" s="55"/>
      <c r="BK450" s="55"/>
      <c r="BL450" s="55"/>
      <c r="BM450" s="55"/>
      <c r="BN450" s="55"/>
      <c r="BO450" s="55"/>
      <c r="BP450" s="55"/>
      <c r="BQ450" s="55"/>
      <c r="BR450" s="55"/>
      <c r="BS450" s="55"/>
    </row>
    <row r="451" spans="3:71" outlineLevel="1" x14ac:dyDescent="0.2">
      <c r="C451" t="s">
        <v>50</v>
      </c>
      <c r="J451" s="26"/>
      <c r="L451" s="55"/>
      <c r="M451" s="55"/>
      <c r="N451" s="55"/>
      <c r="O451" s="55"/>
      <c r="P451" s="55"/>
      <c r="Q451" s="55"/>
      <c r="R451" s="55"/>
      <c r="S451" s="55"/>
      <c r="T451" s="55"/>
      <c r="U451" s="55"/>
      <c r="V451" s="55"/>
      <c r="W451" s="55"/>
      <c r="X451" s="55"/>
      <c r="Y451" s="55"/>
      <c r="Z451" s="55"/>
      <c r="AA451" s="55"/>
      <c r="AB451" s="55"/>
      <c r="AC451" s="55"/>
      <c r="AD451" s="55"/>
      <c r="AE451" s="55"/>
      <c r="AF451" s="55"/>
      <c r="AG451" s="55"/>
      <c r="AH451" s="55"/>
      <c r="AI451" s="55"/>
      <c r="AJ451" s="55"/>
      <c r="AK451" s="55"/>
      <c r="AL451" s="55"/>
      <c r="AM451" s="55"/>
      <c r="AN451" s="55"/>
      <c r="AO451" s="55"/>
      <c r="AP451" s="55"/>
      <c r="AQ451" s="55"/>
      <c r="AR451" s="55"/>
      <c r="AS451" s="55"/>
      <c r="AT451" s="55"/>
      <c r="AU451" s="55"/>
      <c r="AV451" s="55"/>
      <c r="AW451" s="55"/>
      <c r="AX451" s="55"/>
      <c r="AY451" s="55"/>
      <c r="AZ451" s="55"/>
      <c r="BA451" s="55"/>
      <c r="BB451" s="55"/>
      <c r="BC451" s="55"/>
      <c r="BD451" s="55"/>
      <c r="BE451" s="55"/>
      <c r="BF451" s="55"/>
      <c r="BG451" s="55"/>
      <c r="BH451" s="55"/>
      <c r="BI451" s="55"/>
      <c r="BJ451" s="55"/>
      <c r="BK451" s="55"/>
      <c r="BL451" s="55"/>
      <c r="BM451" s="55"/>
      <c r="BN451" s="55"/>
      <c r="BO451" s="55"/>
      <c r="BP451" s="55"/>
      <c r="BQ451" s="55"/>
      <c r="BR451" s="55"/>
      <c r="BS451" s="55"/>
    </row>
    <row r="452" spans="3:71" outlineLevel="1" x14ac:dyDescent="0.2">
      <c r="D452" t="s">
        <v>261</v>
      </c>
      <c r="I452" s="30">
        <f t="shared" ref="I452:I454" ca="1" si="179">SUM($L452:$BS452)</f>
        <v>0</v>
      </c>
      <c r="J452" s="26" t="s">
        <v>148</v>
      </c>
      <c r="L452" s="49" cm="1">
        <f t="array" aca="1" ref="L452:BS452" ca="1">Marine!CA_fixedopex_nom</f>
        <v>0</v>
      </c>
      <c r="M452" s="49">
        <f ca="1"/>
        <v>0</v>
      </c>
      <c r="N452" s="49">
        <f ca="1"/>
        <v>0</v>
      </c>
      <c r="O452" s="49">
        <f ca="1"/>
        <v>0</v>
      </c>
      <c r="P452" s="49">
        <f ca="1"/>
        <v>0</v>
      </c>
      <c r="Q452" s="49">
        <f ca="1"/>
        <v>0</v>
      </c>
      <c r="R452" s="49">
        <f ca="1"/>
        <v>0</v>
      </c>
      <c r="S452" s="49">
        <f ca="1"/>
        <v>0</v>
      </c>
      <c r="T452" s="49">
        <f ca="1"/>
        <v>0</v>
      </c>
      <c r="U452" s="49">
        <f ca="1"/>
        <v>0</v>
      </c>
      <c r="V452" s="49">
        <f ca="1"/>
        <v>0</v>
      </c>
      <c r="W452" s="49">
        <f ca="1"/>
        <v>0</v>
      </c>
      <c r="X452" s="49">
        <f ca="1"/>
        <v>0</v>
      </c>
      <c r="Y452" s="49">
        <f ca="1"/>
        <v>0</v>
      </c>
      <c r="Z452" s="49">
        <f ca="1"/>
        <v>0</v>
      </c>
      <c r="AA452" s="49">
        <f ca="1"/>
        <v>0</v>
      </c>
      <c r="AB452" s="49">
        <f ca="1"/>
        <v>0</v>
      </c>
      <c r="AC452" s="49">
        <f ca="1"/>
        <v>0</v>
      </c>
      <c r="AD452" s="49">
        <f ca="1"/>
        <v>0</v>
      </c>
      <c r="AE452" s="49">
        <f ca="1"/>
        <v>0</v>
      </c>
      <c r="AF452" s="49">
        <f ca="1"/>
        <v>0</v>
      </c>
      <c r="AG452" s="49">
        <f ca="1"/>
        <v>0</v>
      </c>
      <c r="AH452" s="49">
        <f ca="1"/>
        <v>0</v>
      </c>
      <c r="AI452" s="49">
        <f ca="1"/>
        <v>0</v>
      </c>
      <c r="AJ452" s="49">
        <f ca="1"/>
        <v>0</v>
      </c>
      <c r="AK452" s="49">
        <f ca="1"/>
        <v>0</v>
      </c>
      <c r="AL452" s="49">
        <f ca="1"/>
        <v>0</v>
      </c>
      <c r="AM452" s="49">
        <f ca="1"/>
        <v>0</v>
      </c>
      <c r="AN452" s="49">
        <f ca="1"/>
        <v>0</v>
      </c>
      <c r="AO452" s="49">
        <f ca="1"/>
        <v>0</v>
      </c>
      <c r="AP452" s="49">
        <f ca="1"/>
        <v>0</v>
      </c>
      <c r="AQ452" s="49">
        <f ca="1"/>
        <v>0</v>
      </c>
      <c r="AR452" s="49">
        <f ca="1"/>
        <v>0</v>
      </c>
      <c r="AS452" s="49">
        <f ca="1"/>
        <v>0</v>
      </c>
      <c r="AT452" s="49">
        <f ca="1"/>
        <v>0</v>
      </c>
      <c r="AU452" s="49">
        <f ca="1"/>
        <v>0</v>
      </c>
      <c r="AV452" s="49">
        <f ca="1"/>
        <v>0</v>
      </c>
      <c r="AW452" s="49">
        <f ca="1"/>
        <v>0</v>
      </c>
      <c r="AX452" s="49">
        <f ca="1"/>
        <v>0</v>
      </c>
      <c r="AY452" s="49">
        <f ca="1"/>
        <v>0</v>
      </c>
      <c r="AZ452" s="49">
        <f ca="1"/>
        <v>0</v>
      </c>
      <c r="BA452" s="49">
        <f ca="1"/>
        <v>0</v>
      </c>
      <c r="BB452" s="49">
        <f ca="1"/>
        <v>0</v>
      </c>
      <c r="BC452" s="49">
        <f ca="1"/>
        <v>0</v>
      </c>
      <c r="BD452" s="49">
        <f ca="1"/>
        <v>0</v>
      </c>
      <c r="BE452" s="49">
        <f ca="1"/>
        <v>0</v>
      </c>
      <c r="BF452" s="49">
        <f ca="1"/>
        <v>0</v>
      </c>
      <c r="BG452" s="49">
        <f ca="1"/>
        <v>0</v>
      </c>
      <c r="BH452" s="49">
        <f ca="1"/>
        <v>0</v>
      </c>
      <c r="BI452" s="49">
        <f ca="1"/>
        <v>0</v>
      </c>
      <c r="BJ452" s="49">
        <f ca="1"/>
        <v>0</v>
      </c>
      <c r="BK452" s="49">
        <f ca="1"/>
        <v>0</v>
      </c>
      <c r="BL452" s="49">
        <f ca="1"/>
        <v>0</v>
      </c>
      <c r="BM452" s="49">
        <f ca="1"/>
        <v>0</v>
      </c>
      <c r="BN452" s="49">
        <f ca="1"/>
        <v>0</v>
      </c>
      <c r="BO452" s="49">
        <f ca="1"/>
        <v>0</v>
      </c>
      <c r="BP452" s="49">
        <f ca="1"/>
        <v>0</v>
      </c>
      <c r="BQ452" s="49">
        <f ca="1"/>
        <v>0</v>
      </c>
      <c r="BR452" s="49">
        <f ca="1"/>
        <v>0</v>
      </c>
      <c r="BS452" s="49">
        <f ca="1"/>
        <v>0</v>
      </c>
    </row>
    <row r="453" spans="3:71" outlineLevel="1" x14ac:dyDescent="0.2">
      <c r="D453" t="s">
        <v>158</v>
      </c>
      <c r="I453" s="30">
        <f t="shared" ca="1" si="179"/>
        <v>2321.8359572160002</v>
      </c>
      <c r="J453" s="26" t="s">
        <v>148</v>
      </c>
      <c r="L453" s="49" cm="1">
        <f t="array" aca="1" ref="L453:BS453" ca="1">Marine!CA_varopex_nom</f>
        <v>37.1</v>
      </c>
      <c r="M453" s="49">
        <f ca="1"/>
        <v>101.941</v>
      </c>
      <c r="N453" s="49">
        <f ca="1"/>
        <v>119.428</v>
      </c>
      <c r="O453" s="49">
        <f ca="1"/>
        <v>178.69499999999999</v>
      </c>
      <c r="P453" s="49">
        <f ca="1"/>
        <v>147.94900000000001</v>
      </c>
      <c r="Q453" s="49">
        <f ca="1"/>
        <v>226.411</v>
      </c>
      <c r="R453" s="49">
        <f ca="1"/>
        <v>176</v>
      </c>
      <c r="S453" s="49">
        <f ca="1"/>
        <v>198.9</v>
      </c>
      <c r="T453" s="49">
        <f ca="1"/>
        <v>204.4</v>
      </c>
      <c r="U453" s="49">
        <f ca="1"/>
        <v>214.81200000000001</v>
      </c>
      <c r="V453" s="49">
        <f ca="1"/>
        <v>226.07892000000001</v>
      </c>
      <c r="W453" s="49">
        <f ca="1"/>
        <v>238.34731679999999</v>
      </c>
      <c r="X453" s="49">
        <f ca="1"/>
        <v>251.77372041599997</v>
      </c>
      <c r="Y453" s="49">
        <f ca="1"/>
        <v>0</v>
      </c>
      <c r="Z453" s="49">
        <f ca="1"/>
        <v>0</v>
      </c>
      <c r="AA453" s="49">
        <f ca="1"/>
        <v>0</v>
      </c>
      <c r="AB453" s="49">
        <f ca="1"/>
        <v>0</v>
      </c>
      <c r="AC453" s="49">
        <f ca="1"/>
        <v>0</v>
      </c>
      <c r="AD453" s="49">
        <f ca="1"/>
        <v>0</v>
      </c>
      <c r="AE453" s="49">
        <f ca="1"/>
        <v>0</v>
      </c>
      <c r="AF453" s="49">
        <f ca="1"/>
        <v>0</v>
      </c>
      <c r="AG453" s="49">
        <f ca="1"/>
        <v>0</v>
      </c>
      <c r="AH453" s="49">
        <f ca="1"/>
        <v>0</v>
      </c>
      <c r="AI453" s="49">
        <f ca="1"/>
        <v>0</v>
      </c>
      <c r="AJ453" s="49">
        <f ca="1"/>
        <v>0</v>
      </c>
      <c r="AK453" s="49">
        <f ca="1"/>
        <v>0</v>
      </c>
      <c r="AL453" s="49">
        <f ca="1"/>
        <v>0</v>
      </c>
      <c r="AM453" s="49">
        <f ca="1"/>
        <v>0</v>
      </c>
      <c r="AN453" s="49">
        <f ca="1"/>
        <v>0</v>
      </c>
      <c r="AO453" s="49">
        <f ca="1"/>
        <v>0</v>
      </c>
      <c r="AP453" s="49">
        <f ca="1"/>
        <v>0</v>
      </c>
      <c r="AQ453" s="49">
        <f ca="1"/>
        <v>0</v>
      </c>
      <c r="AR453" s="49">
        <f ca="1"/>
        <v>0</v>
      </c>
      <c r="AS453" s="49">
        <f ca="1"/>
        <v>0</v>
      </c>
      <c r="AT453" s="49">
        <f ca="1"/>
        <v>0</v>
      </c>
      <c r="AU453" s="49">
        <f ca="1"/>
        <v>0</v>
      </c>
      <c r="AV453" s="49">
        <f ca="1"/>
        <v>0</v>
      </c>
      <c r="AW453" s="49">
        <f ca="1"/>
        <v>0</v>
      </c>
      <c r="AX453" s="49">
        <f ca="1"/>
        <v>0</v>
      </c>
      <c r="AY453" s="49">
        <f ca="1"/>
        <v>0</v>
      </c>
      <c r="AZ453" s="49">
        <f ca="1"/>
        <v>0</v>
      </c>
      <c r="BA453" s="49">
        <f ca="1"/>
        <v>0</v>
      </c>
      <c r="BB453" s="49">
        <f ca="1"/>
        <v>0</v>
      </c>
      <c r="BC453" s="49">
        <f ca="1"/>
        <v>0</v>
      </c>
      <c r="BD453" s="49">
        <f ca="1"/>
        <v>0</v>
      </c>
      <c r="BE453" s="49">
        <f ca="1"/>
        <v>0</v>
      </c>
      <c r="BF453" s="49">
        <f ca="1"/>
        <v>0</v>
      </c>
      <c r="BG453" s="49">
        <f ca="1"/>
        <v>0</v>
      </c>
      <c r="BH453" s="49">
        <f ca="1"/>
        <v>0</v>
      </c>
      <c r="BI453" s="49">
        <f ca="1"/>
        <v>0</v>
      </c>
      <c r="BJ453" s="49">
        <f ca="1"/>
        <v>0</v>
      </c>
      <c r="BK453" s="49">
        <f ca="1"/>
        <v>0</v>
      </c>
      <c r="BL453" s="49">
        <f ca="1"/>
        <v>0</v>
      </c>
      <c r="BM453" s="49">
        <f ca="1"/>
        <v>0</v>
      </c>
      <c r="BN453" s="49">
        <f ca="1"/>
        <v>0</v>
      </c>
      <c r="BO453" s="49">
        <f ca="1"/>
        <v>0</v>
      </c>
      <c r="BP453" s="49">
        <f ca="1"/>
        <v>0</v>
      </c>
      <c r="BQ453" s="49">
        <f ca="1"/>
        <v>0</v>
      </c>
      <c r="BR453" s="49">
        <f ca="1"/>
        <v>0</v>
      </c>
      <c r="BS453" s="49">
        <f ca="1"/>
        <v>0</v>
      </c>
    </row>
    <row r="454" spans="3:71" outlineLevel="1" x14ac:dyDescent="0.2">
      <c r="D454" s="11" t="s">
        <v>165</v>
      </c>
      <c r="I454" s="30">
        <f t="shared" ca="1" si="179"/>
        <v>2321.8359572160002</v>
      </c>
      <c r="J454" s="26" t="s">
        <v>148</v>
      </c>
      <c r="L454" s="49">
        <f ca="1">SUM(L452:L453)</f>
        <v>37.1</v>
      </c>
      <c r="M454" s="49">
        <f t="shared" ref="M454:BS454" ca="1" si="180">SUM(M452:M453)</f>
        <v>101.941</v>
      </c>
      <c r="N454" s="49">
        <f t="shared" ca="1" si="180"/>
        <v>119.428</v>
      </c>
      <c r="O454" s="49">
        <f t="shared" ca="1" si="180"/>
        <v>178.69499999999999</v>
      </c>
      <c r="P454" s="49">
        <f t="shared" ca="1" si="180"/>
        <v>147.94900000000001</v>
      </c>
      <c r="Q454" s="49">
        <f t="shared" ca="1" si="180"/>
        <v>226.411</v>
      </c>
      <c r="R454" s="49">
        <f t="shared" ca="1" si="180"/>
        <v>176</v>
      </c>
      <c r="S454" s="49">
        <f t="shared" ca="1" si="180"/>
        <v>198.9</v>
      </c>
      <c r="T454" s="49">
        <f t="shared" ca="1" si="180"/>
        <v>204.4</v>
      </c>
      <c r="U454" s="49">
        <f t="shared" ca="1" si="180"/>
        <v>214.81200000000001</v>
      </c>
      <c r="V454" s="49">
        <f t="shared" ca="1" si="180"/>
        <v>226.07892000000001</v>
      </c>
      <c r="W454" s="49">
        <f t="shared" ca="1" si="180"/>
        <v>238.34731679999999</v>
      </c>
      <c r="X454" s="49">
        <f t="shared" ca="1" si="180"/>
        <v>251.77372041599997</v>
      </c>
      <c r="Y454" s="49">
        <f t="shared" ca="1" si="180"/>
        <v>0</v>
      </c>
      <c r="Z454" s="49">
        <f t="shared" ca="1" si="180"/>
        <v>0</v>
      </c>
      <c r="AA454" s="49">
        <f t="shared" ca="1" si="180"/>
        <v>0</v>
      </c>
      <c r="AB454" s="49">
        <f t="shared" ca="1" si="180"/>
        <v>0</v>
      </c>
      <c r="AC454" s="49">
        <f t="shared" ca="1" si="180"/>
        <v>0</v>
      </c>
      <c r="AD454" s="49">
        <f t="shared" ca="1" si="180"/>
        <v>0</v>
      </c>
      <c r="AE454" s="49">
        <f t="shared" ca="1" si="180"/>
        <v>0</v>
      </c>
      <c r="AF454" s="49">
        <f t="shared" ca="1" si="180"/>
        <v>0</v>
      </c>
      <c r="AG454" s="49">
        <f t="shared" ca="1" si="180"/>
        <v>0</v>
      </c>
      <c r="AH454" s="49">
        <f t="shared" ca="1" si="180"/>
        <v>0</v>
      </c>
      <c r="AI454" s="49">
        <f t="shared" ca="1" si="180"/>
        <v>0</v>
      </c>
      <c r="AJ454" s="49">
        <f t="shared" ca="1" si="180"/>
        <v>0</v>
      </c>
      <c r="AK454" s="49">
        <f t="shared" ca="1" si="180"/>
        <v>0</v>
      </c>
      <c r="AL454" s="49">
        <f t="shared" ca="1" si="180"/>
        <v>0</v>
      </c>
      <c r="AM454" s="49">
        <f t="shared" ca="1" si="180"/>
        <v>0</v>
      </c>
      <c r="AN454" s="49">
        <f t="shared" ca="1" si="180"/>
        <v>0</v>
      </c>
      <c r="AO454" s="49">
        <f t="shared" ca="1" si="180"/>
        <v>0</v>
      </c>
      <c r="AP454" s="49">
        <f t="shared" ca="1" si="180"/>
        <v>0</v>
      </c>
      <c r="AQ454" s="49">
        <f t="shared" ca="1" si="180"/>
        <v>0</v>
      </c>
      <c r="AR454" s="49">
        <f t="shared" ca="1" si="180"/>
        <v>0</v>
      </c>
      <c r="AS454" s="49">
        <f t="shared" ca="1" si="180"/>
        <v>0</v>
      </c>
      <c r="AT454" s="49">
        <f t="shared" ca="1" si="180"/>
        <v>0</v>
      </c>
      <c r="AU454" s="49">
        <f t="shared" ca="1" si="180"/>
        <v>0</v>
      </c>
      <c r="AV454" s="49">
        <f t="shared" ca="1" si="180"/>
        <v>0</v>
      </c>
      <c r="AW454" s="49">
        <f t="shared" ca="1" si="180"/>
        <v>0</v>
      </c>
      <c r="AX454" s="49">
        <f t="shared" ca="1" si="180"/>
        <v>0</v>
      </c>
      <c r="AY454" s="49">
        <f t="shared" ca="1" si="180"/>
        <v>0</v>
      </c>
      <c r="AZ454" s="49">
        <f t="shared" ca="1" si="180"/>
        <v>0</v>
      </c>
      <c r="BA454" s="49">
        <f t="shared" ca="1" si="180"/>
        <v>0</v>
      </c>
      <c r="BB454" s="49">
        <f t="shared" ca="1" si="180"/>
        <v>0</v>
      </c>
      <c r="BC454" s="49">
        <f t="shared" ca="1" si="180"/>
        <v>0</v>
      </c>
      <c r="BD454" s="49">
        <f t="shared" ca="1" si="180"/>
        <v>0</v>
      </c>
      <c r="BE454" s="49">
        <f t="shared" ca="1" si="180"/>
        <v>0</v>
      </c>
      <c r="BF454" s="49">
        <f t="shared" ca="1" si="180"/>
        <v>0</v>
      </c>
      <c r="BG454" s="49">
        <f t="shared" ca="1" si="180"/>
        <v>0</v>
      </c>
      <c r="BH454" s="49">
        <f t="shared" ca="1" si="180"/>
        <v>0</v>
      </c>
      <c r="BI454" s="49">
        <f t="shared" ca="1" si="180"/>
        <v>0</v>
      </c>
      <c r="BJ454" s="49">
        <f t="shared" ca="1" si="180"/>
        <v>0</v>
      </c>
      <c r="BK454" s="49">
        <f t="shared" ca="1" si="180"/>
        <v>0</v>
      </c>
      <c r="BL454" s="49">
        <f t="shared" ca="1" si="180"/>
        <v>0</v>
      </c>
      <c r="BM454" s="49">
        <f t="shared" ca="1" si="180"/>
        <v>0</v>
      </c>
      <c r="BN454" s="49">
        <f t="shared" ca="1" si="180"/>
        <v>0</v>
      </c>
      <c r="BO454" s="49">
        <f t="shared" ca="1" si="180"/>
        <v>0</v>
      </c>
      <c r="BP454" s="49">
        <f t="shared" ca="1" si="180"/>
        <v>0</v>
      </c>
      <c r="BQ454" s="49">
        <f t="shared" ca="1" si="180"/>
        <v>0</v>
      </c>
      <c r="BR454" s="49">
        <f t="shared" ca="1" si="180"/>
        <v>0</v>
      </c>
      <c r="BS454" s="49">
        <f t="shared" ca="1" si="180"/>
        <v>0</v>
      </c>
    </row>
    <row r="455" spans="3:71" outlineLevel="1" x14ac:dyDescent="0.2">
      <c r="J455" s="26"/>
      <c r="L455" s="55"/>
      <c r="M455" s="55"/>
      <c r="N455" s="55"/>
      <c r="O455" s="55"/>
      <c r="P455" s="55"/>
      <c r="Q455" s="55"/>
      <c r="R455" s="55"/>
      <c r="S455" s="55"/>
      <c r="T455" s="55"/>
      <c r="U455" s="55"/>
      <c r="V455" s="55"/>
      <c r="W455" s="55"/>
      <c r="X455" s="55"/>
      <c r="Y455" s="55"/>
      <c r="Z455" s="55"/>
      <c r="AA455" s="55"/>
      <c r="AB455" s="55"/>
      <c r="AC455" s="55"/>
      <c r="AD455" s="55"/>
      <c r="AE455" s="55"/>
      <c r="AF455" s="55"/>
      <c r="AG455" s="55"/>
      <c r="AH455" s="55"/>
      <c r="AI455" s="55"/>
      <c r="AJ455" s="55"/>
      <c r="AK455" s="55"/>
      <c r="AL455" s="55"/>
      <c r="AM455" s="55"/>
      <c r="AN455" s="55"/>
      <c r="AO455" s="55"/>
      <c r="AP455" s="55"/>
      <c r="AQ455" s="55"/>
      <c r="AR455" s="55"/>
      <c r="AS455" s="55"/>
      <c r="AT455" s="55"/>
      <c r="AU455" s="55"/>
      <c r="AV455" s="55"/>
      <c r="AW455" s="55"/>
      <c r="AX455" s="55"/>
      <c r="AY455" s="55"/>
      <c r="AZ455" s="55"/>
      <c r="BA455" s="55"/>
      <c r="BB455" s="55"/>
      <c r="BC455" s="55"/>
      <c r="BD455" s="55"/>
      <c r="BE455" s="55"/>
      <c r="BF455" s="55"/>
      <c r="BG455" s="55"/>
      <c r="BH455" s="55"/>
      <c r="BI455" s="55"/>
      <c r="BJ455" s="55"/>
      <c r="BK455" s="55"/>
      <c r="BL455" s="55"/>
      <c r="BM455" s="55"/>
      <c r="BN455" s="55"/>
      <c r="BO455" s="55"/>
      <c r="BP455" s="55"/>
      <c r="BQ455" s="55"/>
      <c r="BR455" s="55"/>
      <c r="BS455" s="55"/>
    </row>
    <row r="456" spans="3:71" outlineLevel="1" x14ac:dyDescent="0.2">
      <c r="C456" t="s">
        <v>262</v>
      </c>
      <c r="J456" s="26"/>
      <c r="L456" s="55"/>
      <c r="M456" s="55"/>
      <c r="N456" s="55"/>
      <c r="O456" s="55"/>
      <c r="P456" s="55"/>
      <c r="Q456" s="55"/>
      <c r="R456" s="55"/>
      <c r="S456" s="55"/>
      <c r="T456" s="55"/>
      <c r="U456" s="55"/>
      <c r="V456" s="55"/>
      <c r="W456" s="55"/>
      <c r="X456" s="55"/>
      <c r="Y456" s="55"/>
      <c r="Z456" s="55"/>
      <c r="AA456" s="55"/>
      <c r="AB456" s="55"/>
      <c r="AC456" s="55"/>
      <c r="AD456" s="55"/>
      <c r="AE456" s="55"/>
      <c r="AF456" s="55"/>
      <c r="AG456" s="55"/>
      <c r="AH456" s="55"/>
      <c r="AI456" s="55"/>
      <c r="AJ456" s="55"/>
      <c r="AK456" s="55"/>
      <c r="AL456" s="55"/>
      <c r="AM456" s="55"/>
      <c r="AN456" s="55"/>
      <c r="AO456" s="55"/>
      <c r="AP456" s="55"/>
      <c r="AQ456" s="55"/>
      <c r="AR456" s="55"/>
      <c r="AS456" s="55"/>
      <c r="AT456" s="55"/>
      <c r="AU456" s="55"/>
      <c r="AV456" s="55"/>
      <c r="AW456" s="55"/>
      <c r="AX456" s="55"/>
      <c r="AY456" s="55"/>
      <c r="AZ456" s="55"/>
      <c r="BA456" s="55"/>
      <c r="BB456" s="55"/>
      <c r="BC456" s="55"/>
      <c r="BD456" s="55"/>
      <c r="BE456" s="55"/>
      <c r="BF456" s="55"/>
      <c r="BG456" s="55"/>
      <c r="BH456" s="55"/>
      <c r="BI456" s="55"/>
      <c r="BJ456" s="55"/>
      <c r="BK456" s="55"/>
      <c r="BL456" s="55"/>
      <c r="BM456" s="55"/>
      <c r="BN456" s="55"/>
      <c r="BO456" s="55"/>
      <c r="BP456" s="55"/>
      <c r="BQ456" s="55"/>
      <c r="BR456" s="55"/>
      <c r="BS456" s="55"/>
    </row>
    <row r="457" spans="3:71" outlineLevel="1" x14ac:dyDescent="0.2">
      <c r="D457" t="s">
        <v>263</v>
      </c>
      <c r="I457" s="30">
        <f t="shared" ref="I457:I462" ca="1" si="181">SUM($L457:$BS457)</f>
        <v>366.815</v>
      </c>
      <c r="J457" s="26" t="s">
        <v>148</v>
      </c>
      <c r="L457" s="49" cm="1">
        <f t="array" aca="1" ref="L457:BS457" ca="1">Marine!CA_expex_nom</f>
        <v>170.22300000000001</v>
      </c>
      <c r="M457" s="49">
        <f ca="1"/>
        <v>70.763000000000005</v>
      </c>
      <c r="N457" s="49">
        <f ca="1"/>
        <v>95.635999999999996</v>
      </c>
      <c r="O457" s="49">
        <f ca="1"/>
        <v>26.408999999999999</v>
      </c>
      <c r="P457" s="49">
        <f ca="1"/>
        <v>0.76</v>
      </c>
      <c r="Q457" s="49">
        <f ca="1"/>
        <v>3.024</v>
      </c>
      <c r="R457" s="49">
        <f ca="1"/>
        <v>0</v>
      </c>
      <c r="S457" s="49">
        <f ca="1"/>
        <v>0</v>
      </c>
      <c r="T457" s="49">
        <f ca="1"/>
        <v>0</v>
      </c>
      <c r="U457" s="49">
        <f ca="1"/>
        <v>0</v>
      </c>
      <c r="V457" s="49">
        <f ca="1"/>
        <v>0</v>
      </c>
      <c r="W457" s="49">
        <f ca="1"/>
        <v>0</v>
      </c>
      <c r="X457" s="49">
        <f ca="1"/>
        <v>0</v>
      </c>
      <c r="Y457" s="49">
        <f ca="1"/>
        <v>0</v>
      </c>
      <c r="Z457" s="49">
        <f ca="1"/>
        <v>0</v>
      </c>
      <c r="AA457" s="49">
        <f ca="1"/>
        <v>0</v>
      </c>
      <c r="AB457" s="49">
        <f ca="1"/>
        <v>0</v>
      </c>
      <c r="AC457" s="49">
        <f ca="1"/>
        <v>0</v>
      </c>
      <c r="AD457" s="49">
        <f ca="1"/>
        <v>0</v>
      </c>
      <c r="AE457" s="49">
        <f ca="1"/>
        <v>0</v>
      </c>
      <c r="AF457" s="49">
        <f ca="1"/>
        <v>0</v>
      </c>
      <c r="AG457" s="49">
        <f ca="1"/>
        <v>0</v>
      </c>
      <c r="AH457" s="49">
        <f ca="1"/>
        <v>0</v>
      </c>
      <c r="AI457" s="49">
        <f ca="1"/>
        <v>0</v>
      </c>
      <c r="AJ457" s="49">
        <f ca="1"/>
        <v>0</v>
      </c>
      <c r="AK457" s="49">
        <f ca="1"/>
        <v>0</v>
      </c>
      <c r="AL457" s="49">
        <f ca="1"/>
        <v>0</v>
      </c>
      <c r="AM457" s="49">
        <f ca="1"/>
        <v>0</v>
      </c>
      <c r="AN457" s="49">
        <f ca="1"/>
        <v>0</v>
      </c>
      <c r="AO457" s="49">
        <f ca="1"/>
        <v>0</v>
      </c>
      <c r="AP457" s="49">
        <f ca="1"/>
        <v>0</v>
      </c>
      <c r="AQ457" s="49">
        <f ca="1"/>
        <v>0</v>
      </c>
      <c r="AR457" s="49">
        <f ca="1"/>
        <v>0</v>
      </c>
      <c r="AS457" s="49">
        <f ca="1"/>
        <v>0</v>
      </c>
      <c r="AT457" s="49">
        <f ca="1"/>
        <v>0</v>
      </c>
      <c r="AU457" s="49">
        <f ca="1"/>
        <v>0</v>
      </c>
      <c r="AV457" s="49">
        <f ca="1"/>
        <v>0</v>
      </c>
      <c r="AW457" s="49">
        <f ca="1"/>
        <v>0</v>
      </c>
      <c r="AX457" s="49">
        <f ca="1"/>
        <v>0</v>
      </c>
      <c r="AY457" s="49">
        <f ca="1"/>
        <v>0</v>
      </c>
      <c r="AZ457" s="49">
        <f ca="1"/>
        <v>0</v>
      </c>
      <c r="BA457" s="49">
        <f ca="1"/>
        <v>0</v>
      </c>
      <c r="BB457" s="49">
        <f ca="1"/>
        <v>0</v>
      </c>
      <c r="BC457" s="49">
        <f ca="1"/>
        <v>0</v>
      </c>
      <c r="BD457" s="49">
        <f ca="1"/>
        <v>0</v>
      </c>
      <c r="BE457" s="49">
        <f ca="1"/>
        <v>0</v>
      </c>
      <c r="BF457" s="49">
        <f ca="1"/>
        <v>0</v>
      </c>
      <c r="BG457" s="49">
        <f ca="1"/>
        <v>0</v>
      </c>
      <c r="BH457" s="49">
        <f ca="1"/>
        <v>0</v>
      </c>
      <c r="BI457" s="49">
        <f ca="1"/>
        <v>0</v>
      </c>
      <c r="BJ457" s="49">
        <f ca="1"/>
        <v>0</v>
      </c>
      <c r="BK457" s="49">
        <f ca="1"/>
        <v>0</v>
      </c>
      <c r="BL457" s="49">
        <f ca="1"/>
        <v>0</v>
      </c>
      <c r="BM457" s="49">
        <f ca="1"/>
        <v>0</v>
      </c>
      <c r="BN457" s="49">
        <f ca="1"/>
        <v>0</v>
      </c>
      <c r="BO457" s="49">
        <f ca="1"/>
        <v>0</v>
      </c>
      <c r="BP457" s="49">
        <f ca="1"/>
        <v>0</v>
      </c>
      <c r="BQ457" s="49">
        <f ca="1"/>
        <v>0</v>
      </c>
      <c r="BR457" s="49">
        <f ca="1"/>
        <v>0</v>
      </c>
      <c r="BS457" s="49">
        <f ca="1"/>
        <v>0</v>
      </c>
    </row>
    <row r="458" spans="3:71" outlineLevel="1" x14ac:dyDescent="0.2">
      <c r="D458" t="s">
        <v>57</v>
      </c>
      <c r="I458" s="30">
        <f t="shared" ca="1" si="181"/>
        <v>2393.6419999999998</v>
      </c>
      <c r="J458" s="26" t="s">
        <v>148</v>
      </c>
      <c r="L458" s="49" cm="1">
        <f t="array" aca="1" ref="L458:BS458" ca="1">Marine!CA_devex_nom</f>
        <v>217.36199999999999</v>
      </c>
      <c r="M458" s="49">
        <f ca="1"/>
        <v>432.14400000000001</v>
      </c>
      <c r="N458" s="49">
        <f ca="1"/>
        <v>682.33</v>
      </c>
      <c r="O458" s="49">
        <f ca="1"/>
        <v>428.005</v>
      </c>
      <c r="P458" s="49">
        <f ca="1"/>
        <v>406.53100000000001</v>
      </c>
      <c r="Q458" s="49">
        <f ca="1"/>
        <v>227.27</v>
      </c>
      <c r="R458" s="49">
        <f ca="1"/>
        <v>0</v>
      </c>
      <c r="S458" s="49">
        <f ca="1"/>
        <v>0</v>
      </c>
      <c r="T458" s="49">
        <f ca="1"/>
        <v>0</v>
      </c>
      <c r="U458" s="49">
        <f ca="1"/>
        <v>0</v>
      </c>
      <c r="V458" s="49">
        <f ca="1"/>
        <v>0</v>
      </c>
      <c r="W458" s="49">
        <f ca="1"/>
        <v>0</v>
      </c>
      <c r="X458" s="49">
        <f ca="1"/>
        <v>0</v>
      </c>
      <c r="Y458" s="49">
        <f ca="1"/>
        <v>0</v>
      </c>
      <c r="Z458" s="49">
        <f ca="1"/>
        <v>0</v>
      </c>
      <c r="AA458" s="49">
        <f ca="1"/>
        <v>0</v>
      </c>
      <c r="AB458" s="49">
        <f ca="1"/>
        <v>0</v>
      </c>
      <c r="AC458" s="49">
        <f ca="1"/>
        <v>0</v>
      </c>
      <c r="AD458" s="49">
        <f ca="1"/>
        <v>0</v>
      </c>
      <c r="AE458" s="49">
        <f ca="1"/>
        <v>0</v>
      </c>
      <c r="AF458" s="49">
        <f ca="1"/>
        <v>0</v>
      </c>
      <c r="AG458" s="49">
        <f ca="1"/>
        <v>0</v>
      </c>
      <c r="AH458" s="49">
        <f ca="1"/>
        <v>0</v>
      </c>
      <c r="AI458" s="49">
        <f ca="1"/>
        <v>0</v>
      </c>
      <c r="AJ458" s="49">
        <f ca="1"/>
        <v>0</v>
      </c>
      <c r="AK458" s="49">
        <f ca="1"/>
        <v>0</v>
      </c>
      <c r="AL458" s="49">
        <f ca="1"/>
        <v>0</v>
      </c>
      <c r="AM458" s="49">
        <f ca="1"/>
        <v>0</v>
      </c>
      <c r="AN458" s="49">
        <f ca="1"/>
        <v>0</v>
      </c>
      <c r="AO458" s="49">
        <f ca="1"/>
        <v>0</v>
      </c>
      <c r="AP458" s="49">
        <f ca="1"/>
        <v>0</v>
      </c>
      <c r="AQ458" s="49">
        <f ca="1"/>
        <v>0</v>
      </c>
      <c r="AR458" s="49">
        <f ca="1"/>
        <v>0</v>
      </c>
      <c r="AS458" s="49">
        <f ca="1"/>
        <v>0</v>
      </c>
      <c r="AT458" s="49">
        <f ca="1"/>
        <v>0</v>
      </c>
      <c r="AU458" s="49">
        <f ca="1"/>
        <v>0</v>
      </c>
      <c r="AV458" s="49">
        <f ca="1"/>
        <v>0</v>
      </c>
      <c r="AW458" s="49">
        <f ca="1"/>
        <v>0</v>
      </c>
      <c r="AX458" s="49">
        <f ca="1"/>
        <v>0</v>
      </c>
      <c r="AY458" s="49">
        <f ca="1"/>
        <v>0</v>
      </c>
      <c r="AZ458" s="49">
        <f ca="1"/>
        <v>0</v>
      </c>
      <c r="BA458" s="49">
        <f ca="1"/>
        <v>0</v>
      </c>
      <c r="BB458" s="49">
        <f ca="1"/>
        <v>0</v>
      </c>
      <c r="BC458" s="49">
        <f ca="1"/>
        <v>0</v>
      </c>
      <c r="BD458" s="49">
        <f ca="1"/>
        <v>0</v>
      </c>
      <c r="BE458" s="49">
        <f ca="1"/>
        <v>0</v>
      </c>
      <c r="BF458" s="49">
        <f ca="1"/>
        <v>0</v>
      </c>
      <c r="BG458" s="49">
        <f ca="1"/>
        <v>0</v>
      </c>
      <c r="BH458" s="49">
        <f ca="1"/>
        <v>0</v>
      </c>
      <c r="BI458" s="49">
        <f ca="1"/>
        <v>0</v>
      </c>
      <c r="BJ458" s="49">
        <f ca="1"/>
        <v>0</v>
      </c>
      <c r="BK458" s="49">
        <f ca="1"/>
        <v>0</v>
      </c>
      <c r="BL458" s="49">
        <f ca="1"/>
        <v>0</v>
      </c>
      <c r="BM458" s="49">
        <f ca="1"/>
        <v>0</v>
      </c>
      <c r="BN458" s="49">
        <f ca="1"/>
        <v>0</v>
      </c>
      <c r="BO458" s="49">
        <f ca="1"/>
        <v>0</v>
      </c>
      <c r="BP458" s="49">
        <f ca="1"/>
        <v>0</v>
      </c>
      <c r="BQ458" s="49">
        <f ca="1"/>
        <v>0</v>
      </c>
      <c r="BR458" s="49">
        <f ca="1"/>
        <v>0</v>
      </c>
      <c r="BS458" s="49">
        <f ca="1"/>
        <v>0</v>
      </c>
    </row>
    <row r="459" spans="3:71" outlineLevel="1" x14ac:dyDescent="0.2">
      <c r="D459" t="s">
        <v>264</v>
      </c>
      <c r="I459" s="30">
        <f t="shared" ca="1" si="181"/>
        <v>0</v>
      </c>
      <c r="J459" s="26" t="s">
        <v>148</v>
      </c>
      <c r="L459" s="49" cm="1">
        <f t="array" aca="1" ref="L459:BS459" ca="1">Marine!CA_decom_nom</f>
        <v>0</v>
      </c>
      <c r="M459" s="49">
        <f ca="1"/>
        <v>0</v>
      </c>
      <c r="N459" s="49">
        <f ca="1"/>
        <v>0</v>
      </c>
      <c r="O459" s="49">
        <f ca="1"/>
        <v>0</v>
      </c>
      <c r="P459" s="49">
        <f ca="1"/>
        <v>0</v>
      </c>
      <c r="Q459" s="49">
        <f ca="1"/>
        <v>0</v>
      </c>
      <c r="R459" s="49">
        <f ca="1"/>
        <v>0</v>
      </c>
      <c r="S459" s="49">
        <f ca="1"/>
        <v>0</v>
      </c>
      <c r="T459" s="49">
        <f ca="1"/>
        <v>0</v>
      </c>
      <c r="U459" s="49">
        <f ca="1"/>
        <v>0</v>
      </c>
      <c r="V459" s="49">
        <f ca="1"/>
        <v>0</v>
      </c>
      <c r="W459" s="49">
        <f ca="1"/>
        <v>0</v>
      </c>
      <c r="X459" s="49">
        <f ca="1"/>
        <v>0</v>
      </c>
      <c r="Y459" s="49">
        <f ca="1"/>
        <v>0</v>
      </c>
      <c r="Z459" s="49">
        <f ca="1"/>
        <v>0</v>
      </c>
      <c r="AA459" s="49">
        <f ca="1"/>
        <v>0</v>
      </c>
      <c r="AB459" s="49">
        <f ca="1"/>
        <v>0</v>
      </c>
      <c r="AC459" s="49">
        <f ca="1"/>
        <v>0</v>
      </c>
      <c r="AD459" s="49">
        <f ca="1"/>
        <v>0</v>
      </c>
      <c r="AE459" s="49">
        <f ca="1"/>
        <v>0</v>
      </c>
      <c r="AF459" s="49">
        <f ca="1"/>
        <v>0</v>
      </c>
      <c r="AG459" s="49">
        <f ca="1"/>
        <v>0</v>
      </c>
      <c r="AH459" s="49">
        <f ca="1"/>
        <v>0</v>
      </c>
      <c r="AI459" s="49">
        <f ca="1"/>
        <v>0</v>
      </c>
      <c r="AJ459" s="49">
        <f ca="1"/>
        <v>0</v>
      </c>
      <c r="AK459" s="49">
        <f ca="1"/>
        <v>0</v>
      </c>
      <c r="AL459" s="49">
        <f ca="1"/>
        <v>0</v>
      </c>
      <c r="AM459" s="49">
        <f ca="1"/>
        <v>0</v>
      </c>
      <c r="AN459" s="49">
        <f ca="1"/>
        <v>0</v>
      </c>
      <c r="AO459" s="49">
        <f ca="1"/>
        <v>0</v>
      </c>
      <c r="AP459" s="49">
        <f ca="1"/>
        <v>0</v>
      </c>
      <c r="AQ459" s="49">
        <f ca="1"/>
        <v>0</v>
      </c>
      <c r="AR459" s="49">
        <f ca="1"/>
        <v>0</v>
      </c>
      <c r="AS459" s="49">
        <f ca="1"/>
        <v>0</v>
      </c>
      <c r="AT459" s="49">
        <f ca="1"/>
        <v>0</v>
      </c>
      <c r="AU459" s="49">
        <f ca="1"/>
        <v>0</v>
      </c>
      <c r="AV459" s="49">
        <f ca="1"/>
        <v>0</v>
      </c>
      <c r="AW459" s="49">
        <f ca="1"/>
        <v>0</v>
      </c>
      <c r="AX459" s="49">
        <f ca="1"/>
        <v>0</v>
      </c>
      <c r="AY459" s="49">
        <f ca="1"/>
        <v>0</v>
      </c>
      <c r="AZ459" s="49">
        <f ca="1"/>
        <v>0</v>
      </c>
      <c r="BA459" s="49">
        <f ca="1"/>
        <v>0</v>
      </c>
      <c r="BB459" s="49">
        <f ca="1"/>
        <v>0</v>
      </c>
      <c r="BC459" s="49">
        <f ca="1"/>
        <v>0</v>
      </c>
      <c r="BD459" s="49">
        <f ca="1"/>
        <v>0</v>
      </c>
      <c r="BE459" s="49">
        <f ca="1"/>
        <v>0</v>
      </c>
      <c r="BF459" s="49">
        <f ca="1"/>
        <v>0</v>
      </c>
      <c r="BG459" s="49">
        <f ca="1"/>
        <v>0</v>
      </c>
      <c r="BH459" s="49">
        <f ca="1"/>
        <v>0</v>
      </c>
      <c r="BI459" s="49">
        <f ca="1"/>
        <v>0</v>
      </c>
      <c r="BJ459" s="49">
        <f ca="1"/>
        <v>0</v>
      </c>
      <c r="BK459" s="49">
        <f ca="1"/>
        <v>0</v>
      </c>
      <c r="BL459" s="49">
        <f ca="1"/>
        <v>0</v>
      </c>
      <c r="BM459" s="49">
        <f ca="1"/>
        <v>0</v>
      </c>
      <c r="BN459" s="49">
        <f ca="1"/>
        <v>0</v>
      </c>
      <c r="BO459" s="49">
        <f ca="1"/>
        <v>0</v>
      </c>
      <c r="BP459" s="49">
        <f ca="1"/>
        <v>0</v>
      </c>
      <c r="BQ459" s="49">
        <f ca="1"/>
        <v>0</v>
      </c>
      <c r="BR459" s="49">
        <f ca="1"/>
        <v>0</v>
      </c>
      <c r="BS459" s="49">
        <f ca="1"/>
        <v>0</v>
      </c>
    </row>
    <row r="460" spans="3:71" outlineLevel="1" x14ac:dyDescent="0.2">
      <c r="D460" s="11" t="s">
        <v>265</v>
      </c>
      <c r="I460" s="30">
        <f t="shared" ca="1" si="181"/>
        <v>2760.4570000000003</v>
      </c>
      <c r="J460" s="26" t="s">
        <v>148</v>
      </c>
      <c r="L460" s="49">
        <f ca="1">SUM(L457:L459)</f>
        <v>387.58500000000004</v>
      </c>
      <c r="M460" s="49">
        <f t="shared" ref="M460:BS460" ca="1" si="182">SUM(M457:M459)</f>
        <v>502.90700000000004</v>
      </c>
      <c r="N460" s="49">
        <f t="shared" ca="1" si="182"/>
        <v>777.96600000000001</v>
      </c>
      <c r="O460" s="49">
        <f t="shared" ca="1" si="182"/>
        <v>454.41399999999999</v>
      </c>
      <c r="P460" s="49">
        <f t="shared" ca="1" si="182"/>
        <v>407.291</v>
      </c>
      <c r="Q460" s="49">
        <f t="shared" ca="1" si="182"/>
        <v>230.29400000000001</v>
      </c>
      <c r="R460" s="49">
        <f t="shared" ca="1" si="182"/>
        <v>0</v>
      </c>
      <c r="S460" s="49">
        <f t="shared" ca="1" si="182"/>
        <v>0</v>
      </c>
      <c r="T460" s="49">
        <f t="shared" ca="1" si="182"/>
        <v>0</v>
      </c>
      <c r="U460" s="49">
        <f t="shared" ca="1" si="182"/>
        <v>0</v>
      </c>
      <c r="V460" s="49">
        <f t="shared" ca="1" si="182"/>
        <v>0</v>
      </c>
      <c r="W460" s="49">
        <f t="shared" ca="1" si="182"/>
        <v>0</v>
      </c>
      <c r="X460" s="49">
        <f t="shared" ca="1" si="182"/>
        <v>0</v>
      </c>
      <c r="Y460" s="49">
        <f t="shared" ca="1" si="182"/>
        <v>0</v>
      </c>
      <c r="Z460" s="49">
        <f t="shared" ca="1" si="182"/>
        <v>0</v>
      </c>
      <c r="AA460" s="49">
        <f t="shared" ca="1" si="182"/>
        <v>0</v>
      </c>
      <c r="AB460" s="49">
        <f t="shared" ca="1" si="182"/>
        <v>0</v>
      </c>
      <c r="AC460" s="49">
        <f t="shared" ca="1" si="182"/>
        <v>0</v>
      </c>
      <c r="AD460" s="49">
        <f t="shared" ca="1" si="182"/>
        <v>0</v>
      </c>
      <c r="AE460" s="49">
        <f t="shared" ca="1" si="182"/>
        <v>0</v>
      </c>
      <c r="AF460" s="49">
        <f t="shared" ca="1" si="182"/>
        <v>0</v>
      </c>
      <c r="AG460" s="49">
        <f t="shared" ca="1" si="182"/>
        <v>0</v>
      </c>
      <c r="AH460" s="49">
        <f t="shared" ca="1" si="182"/>
        <v>0</v>
      </c>
      <c r="AI460" s="49">
        <f t="shared" ca="1" si="182"/>
        <v>0</v>
      </c>
      <c r="AJ460" s="49">
        <f t="shared" ca="1" si="182"/>
        <v>0</v>
      </c>
      <c r="AK460" s="49">
        <f t="shared" ca="1" si="182"/>
        <v>0</v>
      </c>
      <c r="AL460" s="49">
        <f t="shared" ca="1" si="182"/>
        <v>0</v>
      </c>
      <c r="AM460" s="49">
        <f t="shared" ca="1" si="182"/>
        <v>0</v>
      </c>
      <c r="AN460" s="49">
        <f t="shared" ca="1" si="182"/>
        <v>0</v>
      </c>
      <c r="AO460" s="49">
        <f t="shared" ca="1" si="182"/>
        <v>0</v>
      </c>
      <c r="AP460" s="49">
        <f t="shared" ca="1" si="182"/>
        <v>0</v>
      </c>
      <c r="AQ460" s="49">
        <f t="shared" ca="1" si="182"/>
        <v>0</v>
      </c>
      <c r="AR460" s="49">
        <f t="shared" ca="1" si="182"/>
        <v>0</v>
      </c>
      <c r="AS460" s="49">
        <f t="shared" ca="1" si="182"/>
        <v>0</v>
      </c>
      <c r="AT460" s="49">
        <f t="shared" ca="1" si="182"/>
        <v>0</v>
      </c>
      <c r="AU460" s="49">
        <f t="shared" ca="1" si="182"/>
        <v>0</v>
      </c>
      <c r="AV460" s="49">
        <f t="shared" ca="1" si="182"/>
        <v>0</v>
      </c>
      <c r="AW460" s="49">
        <f t="shared" ca="1" si="182"/>
        <v>0</v>
      </c>
      <c r="AX460" s="49">
        <f t="shared" ca="1" si="182"/>
        <v>0</v>
      </c>
      <c r="AY460" s="49">
        <f t="shared" ca="1" si="182"/>
        <v>0</v>
      </c>
      <c r="AZ460" s="49">
        <f t="shared" ca="1" si="182"/>
        <v>0</v>
      </c>
      <c r="BA460" s="49">
        <f t="shared" ca="1" si="182"/>
        <v>0</v>
      </c>
      <c r="BB460" s="49">
        <f t="shared" ca="1" si="182"/>
        <v>0</v>
      </c>
      <c r="BC460" s="49">
        <f t="shared" ca="1" si="182"/>
        <v>0</v>
      </c>
      <c r="BD460" s="49">
        <f t="shared" ca="1" si="182"/>
        <v>0</v>
      </c>
      <c r="BE460" s="49">
        <f t="shared" ca="1" si="182"/>
        <v>0</v>
      </c>
      <c r="BF460" s="49">
        <f t="shared" ca="1" si="182"/>
        <v>0</v>
      </c>
      <c r="BG460" s="49">
        <f t="shared" ca="1" si="182"/>
        <v>0</v>
      </c>
      <c r="BH460" s="49">
        <f t="shared" ca="1" si="182"/>
        <v>0</v>
      </c>
      <c r="BI460" s="49">
        <f t="shared" ca="1" si="182"/>
        <v>0</v>
      </c>
      <c r="BJ460" s="49">
        <f t="shared" ca="1" si="182"/>
        <v>0</v>
      </c>
      <c r="BK460" s="49">
        <f t="shared" ca="1" si="182"/>
        <v>0</v>
      </c>
      <c r="BL460" s="49">
        <f t="shared" ca="1" si="182"/>
        <v>0</v>
      </c>
      <c r="BM460" s="49">
        <f t="shared" ca="1" si="182"/>
        <v>0</v>
      </c>
      <c r="BN460" s="49">
        <f t="shared" ca="1" si="182"/>
        <v>0</v>
      </c>
      <c r="BO460" s="49">
        <f t="shared" ca="1" si="182"/>
        <v>0</v>
      </c>
      <c r="BP460" s="49">
        <f t="shared" ca="1" si="182"/>
        <v>0</v>
      </c>
      <c r="BQ460" s="49">
        <f t="shared" ca="1" si="182"/>
        <v>0</v>
      </c>
      <c r="BR460" s="49">
        <f t="shared" ca="1" si="182"/>
        <v>0</v>
      </c>
      <c r="BS460" s="49">
        <f t="shared" ca="1" si="182"/>
        <v>0</v>
      </c>
    </row>
    <row r="461" spans="3:71" outlineLevel="1" x14ac:dyDescent="0.2">
      <c r="J461" s="26"/>
      <c r="L461" s="55"/>
      <c r="M461" s="55"/>
      <c r="N461" s="55"/>
      <c r="O461" s="55"/>
      <c r="P461" s="55"/>
      <c r="Q461" s="55"/>
      <c r="R461" s="55"/>
      <c r="S461" s="55"/>
      <c r="T461" s="55"/>
      <c r="U461" s="55"/>
      <c r="V461" s="55"/>
      <c r="W461" s="55"/>
      <c r="X461" s="55"/>
      <c r="Y461" s="55"/>
      <c r="Z461" s="55"/>
      <c r="AA461" s="55"/>
      <c r="AB461" s="55"/>
      <c r="AC461" s="55"/>
      <c r="AD461" s="55"/>
      <c r="AE461" s="55"/>
      <c r="AF461" s="55"/>
      <c r="AG461" s="55"/>
      <c r="AH461" s="55"/>
      <c r="AI461" s="55"/>
      <c r="AJ461" s="55"/>
      <c r="AK461" s="55"/>
      <c r="AL461" s="55"/>
      <c r="AM461" s="55"/>
      <c r="AN461" s="55"/>
      <c r="AO461" s="55"/>
      <c r="AP461" s="55"/>
      <c r="AQ461" s="55"/>
      <c r="AR461" s="55"/>
      <c r="AS461" s="55"/>
      <c r="AT461" s="55"/>
      <c r="AU461" s="55"/>
      <c r="AV461" s="55"/>
      <c r="AW461" s="55"/>
      <c r="AX461" s="55"/>
      <c r="AY461" s="55"/>
      <c r="AZ461" s="55"/>
      <c r="BA461" s="55"/>
      <c r="BB461" s="55"/>
      <c r="BC461" s="55"/>
      <c r="BD461" s="55"/>
      <c r="BE461" s="55"/>
      <c r="BF461" s="55"/>
      <c r="BG461" s="55"/>
      <c r="BH461" s="55"/>
      <c r="BI461" s="55"/>
      <c r="BJ461" s="55"/>
      <c r="BK461" s="55"/>
      <c r="BL461" s="55"/>
      <c r="BM461" s="55"/>
      <c r="BN461" s="55"/>
      <c r="BO461" s="55"/>
      <c r="BP461" s="55"/>
      <c r="BQ461" s="55"/>
      <c r="BR461" s="55"/>
      <c r="BS461" s="55"/>
    </row>
    <row r="462" spans="3:71" outlineLevel="1" x14ac:dyDescent="0.2">
      <c r="C462" s="11" t="s">
        <v>257</v>
      </c>
      <c r="F462" s="79"/>
      <c r="I462" s="30">
        <f t="shared" ca="1" si="181"/>
        <v>391.51097580586196</v>
      </c>
      <c r="J462" s="26" t="s">
        <v>148</v>
      </c>
      <c r="L462" s="49">
        <f ca="1">L449-L454-L460</f>
        <v>-424.68500000000006</v>
      </c>
      <c r="M462" s="49">
        <f t="shared" ref="M462:BS462" ca="1" si="183">M449-M454-M460</f>
        <v>-595.44968466617706</v>
      </c>
      <c r="N462" s="49">
        <f t="shared" ca="1" si="183"/>
        <v>-767.50636977926865</v>
      </c>
      <c r="O462" s="49">
        <f t="shared" ca="1" si="183"/>
        <v>-431.10743270643036</v>
      </c>
      <c r="P462" s="49">
        <f t="shared" ca="1" si="183"/>
        <v>-189.4400894683107</v>
      </c>
      <c r="Q462" s="49">
        <f t="shared" ca="1" si="183"/>
        <v>281.48286721860495</v>
      </c>
      <c r="R462" s="49">
        <f t="shared" ca="1" si="183"/>
        <v>441.6775435004356</v>
      </c>
      <c r="S462" s="49">
        <f t="shared" ca="1" si="183"/>
        <v>248.07639358333327</v>
      </c>
      <c r="T462" s="49">
        <f t="shared" ca="1" si="183"/>
        <v>420.6310076202318</v>
      </c>
      <c r="U462" s="49">
        <f t="shared" ca="1" si="183"/>
        <v>409.24879597930692</v>
      </c>
      <c r="V462" s="49">
        <f t="shared" ca="1" si="183"/>
        <v>370.82266780260397</v>
      </c>
      <c r="W462" s="49">
        <f t="shared" ca="1" si="183"/>
        <v>332.82188735051199</v>
      </c>
      <c r="X462" s="49">
        <f t="shared" ca="1" si="183"/>
        <v>294.93838937102009</v>
      </c>
      <c r="Y462" s="49">
        <f t="shared" ca="1" si="183"/>
        <v>0</v>
      </c>
      <c r="Z462" s="49">
        <f t="shared" ca="1" si="183"/>
        <v>0</v>
      </c>
      <c r="AA462" s="49">
        <f t="shared" ca="1" si="183"/>
        <v>0</v>
      </c>
      <c r="AB462" s="49">
        <f t="shared" ca="1" si="183"/>
        <v>0</v>
      </c>
      <c r="AC462" s="49">
        <f t="shared" ca="1" si="183"/>
        <v>0</v>
      </c>
      <c r="AD462" s="49">
        <f t="shared" ca="1" si="183"/>
        <v>0</v>
      </c>
      <c r="AE462" s="49">
        <f t="shared" ca="1" si="183"/>
        <v>0</v>
      </c>
      <c r="AF462" s="49">
        <f t="shared" ca="1" si="183"/>
        <v>0</v>
      </c>
      <c r="AG462" s="49">
        <f t="shared" ca="1" si="183"/>
        <v>0</v>
      </c>
      <c r="AH462" s="49">
        <f t="shared" ca="1" si="183"/>
        <v>0</v>
      </c>
      <c r="AI462" s="49">
        <f t="shared" ca="1" si="183"/>
        <v>0</v>
      </c>
      <c r="AJ462" s="49">
        <f t="shared" ca="1" si="183"/>
        <v>0</v>
      </c>
      <c r="AK462" s="49">
        <f t="shared" ca="1" si="183"/>
        <v>0</v>
      </c>
      <c r="AL462" s="49">
        <f t="shared" ca="1" si="183"/>
        <v>0</v>
      </c>
      <c r="AM462" s="49">
        <f t="shared" ca="1" si="183"/>
        <v>0</v>
      </c>
      <c r="AN462" s="49">
        <f t="shared" ca="1" si="183"/>
        <v>0</v>
      </c>
      <c r="AO462" s="49">
        <f t="shared" ca="1" si="183"/>
        <v>0</v>
      </c>
      <c r="AP462" s="49">
        <f t="shared" ca="1" si="183"/>
        <v>0</v>
      </c>
      <c r="AQ462" s="49">
        <f t="shared" ca="1" si="183"/>
        <v>0</v>
      </c>
      <c r="AR462" s="49">
        <f t="shared" ca="1" si="183"/>
        <v>0</v>
      </c>
      <c r="AS462" s="49">
        <f t="shared" ca="1" si="183"/>
        <v>0</v>
      </c>
      <c r="AT462" s="49">
        <f t="shared" ca="1" si="183"/>
        <v>0</v>
      </c>
      <c r="AU462" s="49">
        <f t="shared" ca="1" si="183"/>
        <v>0</v>
      </c>
      <c r="AV462" s="49">
        <f t="shared" ca="1" si="183"/>
        <v>0</v>
      </c>
      <c r="AW462" s="49">
        <f t="shared" ca="1" si="183"/>
        <v>0</v>
      </c>
      <c r="AX462" s="49">
        <f t="shared" ca="1" si="183"/>
        <v>0</v>
      </c>
      <c r="AY462" s="49">
        <f t="shared" ca="1" si="183"/>
        <v>0</v>
      </c>
      <c r="AZ462" s="49">
        <f t="shared" ca="1" si="183"/>
        <v>0</v>
      </c>
      <c r="BA462" s="49">
        <f t="shared" ca="1" si="183"/>
        <v>0</v>
      </c>
      <c r="BB462" s="49">
        <f t="shared" ca="1" si="183"/>
        <v>0</v>
      </c>
      <c r="BC462" s="49">
        <f t="shared" ca="1" si="183"/>
        <v>0</v>
      </c>
      <c r="BD462" s="49">
        <f t="shared" ca="1" si="183"/>
        <v>0</v>
      </c>
      <c r="BE462" s="49">
        <f t="shared" ca="1" si="183"/>
        <v>0</v>
      </c>
      <c r="BF462" s="49">
        <f t="shared" ca="1" si="183"/>
        <v>0</v>
      </c>
      <c r="BG462" s="49">
        <f t="shared" ca="1" si="183"/>
        <v>0</v>
      </c>
      <c r="BH462" s="49">
        <f t="shared" ca="1" si="183"/>
        <v>0</v>
      </c>
      <c r="BI462" s="49">
        <f t="shared" ca="1" si="183"/>
        <v>0</v>
      </c>
      <c r="BJ462" s="49">
        <f t="shared" ca="1" si="183"/>
        <v>0</v>
      </c>
      <c r="BK462" s="49">
        <f t="shared" ca="1" si="183"/>
        <v>0</v>
      </c>
      <c r="BL462" s="49">
        <f t="shared" ca="1" si="183"/>
        <v>0</v>
      </c>
      <c r="BM462" s="49">
        <f t="shared" ca="1" si="183"/>
        <v>0</v>
      </c>
      <c r="BN462" s="49">
        <f t="shared" ca="1" si="183"/>
        <v>0</v>
      </c>
      <c r="BO462" s="49">
        <f t="shared" ca="1" si="183"/>
        <v>0</v>
      </c>
      <c r="BP462" s="49">
        <f t="shared" ca="1" si="183"/>
        <v>0</v>
      </c>
      <c r="BQ462" s="49">
        <f t="shared" ca="1" si="183"/>
        <v>0</v>
      </c>
      <c r="BR462" s="49">
        <f t="shared" ca="1" si="183"/>
        <v>0</v>
      </c>
      <c r="BS462" s="49">
        <f t="shared" ca="1" si="183"/>
        <v>0</v>
      </c>
    </row>
    <row r="463" spans="3:71" outlineLevel="1" x14ac:dyDescent="0.2">
      <c r="J463" s="26"/>
      <c r="L463" s="55"/>
      <c r="M463" s="55"/>
      <c r="N463" s="55"/>
      <c r="O463" s="55"/>
      <c r="P463" s="55"/>
      <c r="Q463" s="55"/>
      <c r="R463" s="55"/>
      <c r="S463" s="55"/>
      <c r="T463" s="55"/>
      <c r="U463" s="55"/>
      <c r="V463" s="55"/>
      <c r="W463" s="55"/>
      <c r="X463" s="55"/>
      <c r="Y463" s="55"/>
      <c r="Z463" s="55"/>
      <c r="AA463" s="55"/>
      <c r="AB463" s="55"/>
      <c r="AC463" s="55"/>
      <c r="AD463" s="55"/>
      <c r="AE463" s="55"/>
      <c r="AF463" s="55"/>
      <c r="AG463" s="55"/>
      <c r="AH463" s="55"/>
      <c r="AI463" s="55"/>
      <c r="AJ463" s="55"/>
      <c r="AK463" s="55"/>
      <c r="AL463" s="55"/>
      <c r="AM463" s="55"/>
      <c r="AN463" s="55"/>
      <c r="AO463" s="55"/>
      <c r="AP463" s="55"/>
      <c r="AQ463" s="55"/>
      <c r="AR463" s="55"/>
      <c r="AS463" s="55"/>
      <c r="AT463" s="55"/>
      <c r="AU463" s="55"/>
      <c r="AV463" s="55"/>
      <c r="AW463" s="55"/>
      <c r="AX463" s="55"/>
      <c r="AY463" s="55"/>
      <c r="AZ463" s="55"/>
      <c r="BA463" s="55"/>
      <c r="BB463" s="55"/>
      <c r="BC463" s="55"/>
      <c r="BD463" s="55"/>
      <c r="BE463" s="55"/>
      <c r="BF463" s="55"/>
      <c r="BG463" s="55"/>
      <c r="BH463" s="55"/>
      <c r="BI463" s="55"/>
      <c r="BJ463" s="55"/>
      <c r="BK463" s="55"/>
      <c r="BL463" s="55"/>
      <c r="BM463" s="55"/>
      <c r="BN463" s="55"/>
      <c r="BO463" s="55"/>
      <c r="BP463" s="55"/>
      <c r="BQ463" s="55"/>
      <c r="BR463" s="55"/>
      <c r="BS463" s="55"/>
    </row>
    <row r="464" spans="3:71" outlineLevel="1" x14ac:dyDescent="0.2">
      <c r="J464" s="26"/>
      <c r="L464" s="55"/>
      <c r="M464" s="55"/>
      <c r="N464" s="55"/>
      <c r="O464" s="55"/>
      <c r="P464" s="55"/>
      <c r="Q464" s="55"/>
      <c r="R464" s="55"/>
      <c r="S464" s="55"/>
      <c r="T464" s="55"/>
      <c r="U464" s="55"/>
      <c r="V464" s="55"/>
      <c r="W464" s="55"/>
      <c r="X464" s="55"/>
      <c r="Y464" s="55"/>
      <c r="Z464" s="55"/>
      <c r="AA464" s="55"/>
      <c r="AB464" s="55"/>
      <c r="AC464" s="55"/>
      <c r="AD464" s="55"/>
      <c r="AE464" s="55"/>
      <c r="AF464" s="55"/>
      <c r="AG464" s="55"/>
      <c r="AH464" s="55"/>
      <c r="AI464" s="55"/>
      <c r="AJ464" s="55"/>
      <c r="AK464" s="55"/>
      <c r="AL464" s="55"/>
      <c r="AM464" s="55"/>
      <c r="AN464" s="55"/>
      <c r="AO464" s="55"/>
      <c r="AP464" s="55"/>
      <c r="AQ464" s="55"/>
      <c r="AR464" s="55"/>
      <c r="AS464" s="55"/>
      <c r="AT464" s="55"/>
      <c r="AU464" s="55"/>
      <c r="AV464" s="55"/>
      <c r="AW464" s="55"/>
      <c r="AX464" s="55"/>
      <c r="AY464" s="55"/>
      <c r="AZ464" s="55"/>
      <c r="BA464" s="55"/>
      <c r="BB464" s="55"/>
      <c r="BC464" s="55"/>
      <c r="BD464" s="55"/>
      <c r="BE464" s="55"/>
      <c r="BF464" s="55"/>
      <c r="BG464" s="55"/>
      <c r="BH464" s="55"/>
      <c r="BI464" s="55"/>
      <c r="BJ464" s="55"/>
      <c r="BK464" s="55"/>
      <c r="BL464" s="55"/>
      <c r="BM464" s="55"/>
      <c r="BN464" s="55"/>
      <c r="BO464" s="55"/>
      <c r="BP464" s="55"/>
      <c r="BQ464" s="55"/>
      <c r="BR464" s="55"/>
      <c r="BS464" s="55"/>
    </row>
    <row r="465" spans="1:71" outlineLevel="1" x14ac:dyDescent="0.2">
      <c r="J465" s="26"/>
      <c r="L465" s="55"/>
      <c r="M465" s="55"/>
      <c r="N465" s="55"/>
      <c r="O465" s="55"/>
      <c r="P465" s="55"/>
      <c r="Q465" s="55"/>
      <c r="R465" s="55"/>
      <c r="S465" s="55"/>
      <c r="T465" s="55"/>
      <c r="U465" s="55"/>
      <c r="V465" s="55"/>
      <c r="W465" s="55"/>
      <c r="X465" s="55"/>
      <c r="Y465" s="55"/>
      <c r="Z465" s="55"/>
      <c r="AA465" s="55"/>
      <c r="AB465" s="55"/>
      <c r="AC465" s="55"/>
      <c r="AD465" s="55"/>
      <c r="AE465" s="55"/>
      <c r="AF465" s="55"/>
      <c r="AG465" s="55"/>
      <c r="AH465" s="55"/>
      <c r="AI465" s="55"/>
      <c r="AJ465" s="55"/>
      <c r="AK465" s="55"/>
      <c r="AL465" s="55"/>
      <c r="AM465" s="55"/>
      <c r="AN465" s="55"/>
      <c r="AO465" s="55"/>
      <c r="AP465" s="55"/>
      <c r="AQ465" s="55"/>
      <c r="AR465" s="55"/>
      <c r="AS465" s="55"/>
      <c r="AT465" s="55"/>
      <c r="AU465" s="55"/>
      <c r="AV465" s="55"/>
      <c r="AW465" s="55"/>
      <c r="AX465" s="55"/>
      <c r="AY465" s="55"/>
      <c r="AZ465" s="55"/>
      <c r="BA465" s="55"/>
      <c r="BB465" s="55"/>
      <c r="BC465" s="55"/>
      <c r="BD465" s="55"/>
      <c r="BE465" s="55"/>
      <c r="BF465" s="55"/>
      <c r="BG465" s="55"/>
      <c r="BH465" s="55"/>
      <c r="BI465" s="55"/>
      <c r="BJ465" s="55"/>
      <c r="BK465" s="55"/>
      <c r="BL465" s="55"/>
      <c r="BM465" s="55"/>
      <c r="BN465" s="55"/>
      <c r="BO465" s="55"/>
      <c r="BP465" s="55"/>
      <c r="BQ465" s="55"/>
      <c r="BR465" s="55"/>
      <c r="BS465" s="55"/>
    </row>
    <row r="466" spans="1:71" outlineLevel="1" x14ac:dyDescent="0.2">
      <c r="J466" s="26"/>
      <c r="L466" s="55"/>
      <c r="M466" s="55"/>
      <c r="N466" s="55"/>
      <c r="O466" s="55"/>
      <c r="P466" s="55"/>
      <c r="Q466" s="55"/>
      <c r="R466" s="55"/>
      <c r="S466" s="55"/>
      <c r="T466" s="55"/>
      <c r="U466" s="55"/>
      <c r="V466" s="55"/>
      <c r="W466" s="55"/>
      <c r="X466" s="55"/>
      <c r="Y466" s="55"/>
      <c r="Z466" s="55"/>
      <c r="AA466" s="55"/>
      <c r="AB466" s="55"/>
      <c r="AC466" s="55"/>
      <c r="AD466" s="55"/>
      <c r="AE466" s="55"/>
      <c r="AF466" s="55"/>
      <c r="AG466" s="55"/>
      <c r="AH466" s="55"/>
      <c r="AI466" s="55"/>
      <c r="AJ466" s="55"/>
      <c r="AK466" s="55"/>
      <c r="AL466" s="55"/>
      <c r="AM466" s="55"/>
      <c r="AN466" s="55"/>
      <c r="AO466" s="55"/>
      <c r="AP466" s="55"/>
      <c r="AQ466" s="55"/>
      <c r="AR466" s="55"/>
      <c r="AS466" s="55"/>
      <c r="AT466" s="55"/>
      <c r="AU466" s="55"/>
      <c r="AV466" s="55"/>
      <c r="AW466" s="55"/>
      <c r="AX466" s="55"/>
      <c r="AY466" s="55"/>
      <c r="AZ466" s="55"/>
      <c r="BA466" s="55"/>
      <c r="BB466" s="55"/>
      <c r="BC466" s="55"/>
      <c r="BD466" s="55"/>
      <c r="BE466" s="55"/>
      <c r="BF466" s="55"/>
      <c r="BG466" s="55"/>
      <c r="BH466" s="55"/>
      <c r="BI466" s="55"/>
      <c r="BJ466" s="55"/>
      <c r="BK466" s="55"/>
      <c r="BL466" s="55"/>
      <c r="BM466" s="55"/>
      <c r="BN466" s="55"/>
      <c r="BO466" s="55"/>
      <c r="BP466" s="55"/>
      <c r="BQ466" s="55"/>
      <c r="BR466" s="55"/>
      <c r="BS466" s="55"/>
    </row>
    <row r="467" spans="1:71" outlineLevel="1" x14ac:dyDescent="0.2">
      <c r="A467" s="45"/>
      <c r="B467" s="38" t="s">
        <v>266</v>
      </c>
      <c r="C467" s="45"/>
      <c r="D467" s="45"/>
      <c r="E467" s="45"/>
      <c r="J467" s="26"/>
      <c r="L467" s="55"/>
      <c r="M467" s="55"/>
      <c r="N467" s="55"/>
      <c r="O467" s="55"/>
      <c r="P467" s="55"/>
      <c r="Q467" s="55"/>
      <c r="R467" s="55"/>
      <c r="S467" s="55"/>
      <c r="T467" s="55"/>
      <c r="U467" s="55"/>
      <c r="V467" s="55"/>
      <c r="W467" s="55"/>
      <c r="X467" s="55"/>
      <c r="Y467" s="55"/>
      <c r="Z467" s="55"/>
      <c r="AA467" s="55"/>
      <c r="AB467" s="55"/>
      <c r="AC467" s="55"/>
      <c r="AD467" s="55"/>
      <c r="AE467" s="55"/>
      <c r="AF467" s="55"/>
      <c r="AG467" s="55"/>
      <c r="AH467" s="55"/>
      <c r="AI467" s="55"/>
      <c r="AJ467" s="55"/>
      <c r="AK467" s="55"/>
      <c r="AL467" s="55"/>
      <c r="AM467" s="55"/>
      <c r="AN467" s="55"/>
      <c r="AO467" s="55"/>
      <c r="AP467" s="55"/>
      <c r="AQ467" s="55"/>
      <c r="AR467" s="55"/>
      <c r="AS467" s="55"/>
      <c r="AT467" s="55"/>
      <c r="AU467" s="55"/>
      <c r="AV467" s="55"/>
      <c r="AW467" s="55"/>
      <c r="AX467" s="55"/>
      <c r="AY467" s="55"/>
      <c r="AZ467" s="55"/>
      <c r="BA467" s="55"/>
      <c r="BB467" s="55"/>
      <c r="BC467" s="55"/>
      <c r="BD467" s="55"/>
      <c r="BE467" s="55"/>
      <c r="BF467" s="55"/>
      <c r="BG467" s="55"/>
      <c r="BH467" s="55"/>
      <c r="BI467" s="55"/>
      <c r="BJ467" s="55"/>
      <c r="BK467" s="55"/>
      <c r="BL467" s="55"/>
      <c r="BM467" s="55"/>
      <c r="BN467" s="55"/>
      <c r="BO467" s="55"/>
      <c r="BP467" s="55"/>
      <c r="BQ467" s="55"/>
      <c r="BR467" s="55"/>
      <c r="BS467" s="55"/>
    </row>
    <row r="468" spans="1:71" outlineLevel="1" x14ac:dyDescent="0.2">
      <c r="J468" s="26"/>
      <c r="L468" s="55"/>
      <c r="M468" s="55"/>
      <c r="N468" s="55"/>
      <c r="O468" s="55"/>
      <c r="P468" s="55"/>
      <c r="Q468" s="55"/>
      <c r="R468" s="55"/>
      <c r="S468" s="55"/>
      <c r="T468" s="55"/>
      <c r="U468" s="55"/>
      <c r="V468" s="55"/>
      <c r="W468" s="55"/>
      <c r="X468" s="55"/>
      <c r="Y468" s="55"/>
      <c r="Z468" s="55"/>
      <c r="AA468" s="55"/>
      <c r="AB468" s="55"/>
      <c r="AC468" s="55"/>
      <c r="AD468" s="55"/>
      <c r="AE468" s="55"/>
      <c r="AF468" s="55"/>
      <c r="AG468" s="55"/>
      <c r="AH468" s="55"/>
      <c r="AI468" s="55"/>
      <c r="AJ468" s="55"/>
      <c r="AK468" s="55"/>
      <c r="AL468" s="55"/>
      <c r="AM468" s="55"/>
      <c r="AN468" s="55"/>
      <c r="AO468" s="55"/>
      <c r="AP468" s="55"/>
      <c r="AQ468" s="55"/>
      <c r="AR468" s="55"/>
      <c r="AS468" s="55"/>
      <c r="AT468" s="55"/>
      <c r="AU468" s="55"/>
      <c r="AV468" s="55"/>
      <c r="AW468" s="55"/>
      <c r="AX468" s="55"/>
      <c r="AY468" s="55"/>
      <c r="AZ468" s="55"/>
      <c r="BA468" s="55"/>
      <c r="BB468" s="55"/>
      <c r="BC468" s="55"/>
      <c r="BD468" s="55"/>
      <c r="BE468" s="55"/>
      <c r="BF468" s="55"/>
      <c r="BG468" s="55"/>
      <c r="BH468" s="55"/>
      <c r="BI468" s="55"/>
      <c r="BJ468" s="55"/>
      <c r="BK468" s="55"/>
      <c r="BL468" s="55"/>
      <c r="BM468" s="55"/>
      <c r="BN468" s="55"/>
      <c r="BO468" s="55"/>
      <c r="BP468" s="55"/>
      <c r="BQ468" s="55"/>
      <c r="BR468" s="55"/>
      <c r="BS468" s="55"/>
    </row>
    <row r="469" spans="1:71" outlineLevel="1" x14ac:dyDescent="0.2">
      <c r="C469" s="11" t="s">
        <v>267</v>
      </c>
      <c r="J469" s="26"/>
      <c r="L469" s="55"/>
      <c r="M469" s="55"/>
      <c r="N469" s="55"/>
      <c r="O469" s="55"/>
      <c r="P469" s="55"/>
      <c r="Q469" s="55"/>
      <c r="R469" s="55"/>
      <c r="S469" s="55"/>
      <c r="T469" s="55"/>
      <c r="U469" s="55"/>
      <c r="V469" s="55"/>
      <c r="W469" s="55"/>
      <c r="X469" s="55"/>
      <c r="Y469" s="55"/>
      <c r="Z469" s="55"/>
      <c r="AA469" s="55"/>
      <c r="AB469" s="55"/>
      <c r="AC469" s="55"/>
      <c r="AD469" s="55"/>
      <c r="AE469" s="55"/>
      <c r="AF469" s="55"/>
      <c r="AG469" s="55"/>
      <c r="AH469" s="55"/>
      <c r="AI469" s="55"/>
      <c r="AJ469" s="55"/>
      <c r="AK469" s="55"/>
      <c r="AL469" s="55"/>
      <c r="AM469" s="55"/>
      <c r="AN469" s="55"/>
      <c r="AO469" s="55"/>
      <c r="AP469" s="55"/>
      <c r="AQ469" s="55"/>
      <c r="AR469" s="55"/>
      <c r="AS469" s="55"/>
      <c r="AT469" s="55"/>
      <c r="AU469" s="55"/>
      <c r="AV469" s="55"/>
      <c r="AW469" s="55"/>
      <c r="AX469" s="55"/>
      <c r="AY469" s="55"/>
      <c r="AZ469" s="55"/>
      <c r="BA469" s="55"/>
      <c r="BB469" s="55"/>
      <c r="BC469" s="55"/>
      <c r="BD469" s="55"/>
      <c r="BE469" s="55"/>
      <c r="BF469" s="55"/>
      <c r="BG469" s="55"/>
      <c r="BH469" s="55"/>
      <c r="BI469" s="55"/>
      <c r="BJ469" s="55"/>
      <c r="BK469" s="55"/>
      <c r="BL469" s="55"/>
      <c r="BM469" s="55"/>
      <c r="BN469" s="55"/>
      <c r="BO469" s="55"/>
      <c r="BP469" s="55"/>
      <c r="BQ469" s="55"/>
      <c r="BR469" s="55"/>
      <c r="BS469" s="55"/>
    </row>
    <row r="470" spans="1:71" outlineLevel="1" x14ac:dyDescent="0.2">
      <c r="D470" t="s">
        <v>268</v>
      </c>
      <c r="I470" s="30">
        <f t="shared" ref="I470:I476" ca="1" si="184">SUM($L470:$BS470)</f>
        <v>3839.4016188955929</v>
      </c>
      <c r="J470" s="26" t="s">
        <v>148</v>
      </c>
      <c r="L470" s="49" cm="1">
        <f t="array" aca="1" ref="L470:BS470" ca="1">Marine!CA_ent_rev_oil</f>
        <v>0</v>
      </c>
      <c r="M470" s="49">
        <f ca="1"/>
        <v>0.19815806252649315</v>
      </c>
      <c r="N470" s="49">
        <f ca="1"/>
        <v>74.179735710653532</v>
      </c>
      <c r="O470" s="49">
        <f ca="1"/>
        <v>114.83072481189878</v>
      </c>
      <c r="P470" s="49">
        <f ca="1"/>
        <v>254.81469032470886</v>
      </c>
      <c r="Q470" s="49">
        <f ca="1"/>
        <v>550.01164257919243</v>
      </c>
      <c r="R470" s="49">
        <f ca="1"/>
        <v>487.96523134694405</v>
      </c>
      <c r="S470" s="49">
        <f ca="1"/>
        <v>297.66066220345027</v>
      </c>
      <c r="T470" s="49">
        <f ca="1"/>
        <v>439.79685783994233</v>
      </c>
      <c r="U470" s="49">
        <f ca="1"/>
        <v>439.05448659282956</v>
      </c>
      <c r="V470" s="49">
        <f ca="1"/>
        <v>417.55187468370502</v>
      </c>
      <c r="W470" s="49">
        <f ca="1"/>
        <v>391.20441989896585</v>
      </c>
      <c r="X470" s="49">
        <f ca="1"/>
        <v>372.13313484077565</v>
      </c>
      <c r="Y470" s="49">
        <f ca="1"/>
        <v>0</v>
      </c>
      <c r="Z470" s="49">
        <f ca="1"/>
        <v>0</v>
      </c>
      <c r="AA470" s="49">
        <f ca="1"/>
        <v>0</v>
      </c>
      <c r="AB470" s="49">
        <f ca="1"/>
        <v>0</v>
      </c>
      <c r="AC470" s="49">
        <f ca="1"/>
        <v>0</v>
      </c>
      <c r="AD470" s="49">
        <f ca="1"/>
        <v>0</v>
      </c>
      <c r="AE470" s="49">
        <f ca="1"/>
        <v>0</v>
      </c>
      <c r="AF470" s="49">
        <f ca="1"/>
        <v>0</v>
      </c>
      <c r="AG470" s="49">
        <f ca="1"/>
        <v>0</v>
      </c>
      <c r="AH470" s="49">
        <f ca="1"/>
        <v>0</v>
      </c>
      <c r="AI470" s="49">
        <f ca="1"/>
        <v>0</v>
      </c>
      <c r="AJ470" s="49">
        <f ca="1"/>
        <v>0</v>
      </c>
      <c r="AK470" s="49">
        <f ca="1"/>
        <v>0</v>
      </c>
      <c r="AL470" s="49">
        <f ca="1"/>
        <v>0</v>
      </c>
      <c r="AM470" s="49">
        <f ca="1"/>
        <v>0</v>
      </c>
      <c r="AN470" s="49">
        <f ca="1"/>
        <v>0</v>
      </c>
      <c r="AO470" s="49">
        <f ca="1"/>
        <v>0</v>
      </c>
      <c r="AP470" s="49">
        <f ca="1"/>
        <v>0</v>
      </c>
      <c r="AQ470" s="49">
        <f ca="1"/>
        <v>0</v>
      </c>
      <c r="AR470" s="49">
        <f ca="1"/>
        <v>0</v>
      </c>
      <c r="AS470" s="49">
        <f ca="1"/>
        <v>0</v>
      </c>
      <c r="AT470" s="49">
        <f ca="1"/>
        <v>0</v>
      </c>
      <c r="AU470" s="49">
        <f ca="1"/>
        <v>0</v>
      </c>
      <c r="AV470" s="49">
        <f ca="1"/>
        <v>0</v>
      </c>
      <c r="AW470" s="49">
        <f ca="1"/>
        <v>0</v>
      </c>
      <c r="AX470" s="49">
        <f ca="1"/>
        <v>0</v>
      </c>
      <c r="AY470" s="49">
        <f ca="1"/>
        <v>0</v>
      </c>
      <c r="AZ470" s="49">
        <f ca="1"/>
        <v>0</v>
      </c>
      <c r="BA470" s="49">
        <f ca="1"/>
        <v>0</v>
      </c>
      <c r="BB470" s="49">
        <f ca="1"/>
        <v>0</v>
      </c>
      <c r="BC470" s="49">
        <f ca="1"/>
        <v>0</v>
      </c>
      <c r="BD470" s="49">
        <f ca="1"/>
        <v>0</v>
      </c>
      <c r="BE470" s="49">
        <f ca="1"/>
        <v>0</v>
      </c>
      <c r="BF470" s="49">
        <f ca="1"/>
        <v>0</v>
      </c>
      <c r="BG470" s="49">
        <f ca="1"/>
        <v>0</v>
      </c>
      <c r="BH470" s="49">
        <f ca="1"/>
        <v>0</v>
      </c>
      <c r="BI470" s="49">
        <f ca="1"/>
        <v>0</v>
      </c>
      <c r="BJ470" s="49">
        <f ca="1"/>
        <v>0</v>
      </c>
      <c r="BK470" s="49">
        <f ca="1"/>
        <v>0</v>
      </c>
      <c r="BL470" s="49">
        <f ca="1"/>
        <v>0</v>
      </c>
      <c r="BM470" s="49">
        <f ca="1"/>
        <v>0</v>
      </c>
      <c r="BN470" s="49">
        <f ca="1"/>
        <v>0</v>
      </c>
      <c r="BO470" s="49">
        <f ca="1"/>
        <v>0</v>
      </c>
      <c r="BP470" s="49">
        <f ca="1"/>
        <v>0</v>
      </c>
      <c r="BQ470" s="49">
        <f ca="1"/>
        <v>0</v>
      </c>
      <c r="BR470" s="49">
        <f ca="1"/>
        <v>0</v>
      </c>
      <c r="BS470" s="49">
        <f ca="1"/>
        <v>0</v>
      </c>
    </row>
    <row r="471" spans="1:71" outlineLevel="1" x14ac:dyDescent="0.2">
      <c r="D471" t="s">
        <v>269</v>
      </c>
      <c r="I471" s="30">
        <f t="shared" ca="1" si="184"/>
        <v>713.53719977477795</v>
      </c>
      <c r="J471" s="26" t="s">
        <v>148</v>
      </c>
      <c r="L471" s="49" cm="1">
        <f t="array" aca="1" ref="L471:BS471" ca="1">Marine!CA_ent_rev_gas</f>
        <v>0</v>
      </c>
      <c r="M471" s="49">
        <f ca="1"/>
        <v>7.4819112690912961</v>
      </c>
      <c r="N471" s="49">
        <f ca="1"/>
        <v>41.139771452553546</v>
      </c>
      <c r="O471" s="49">
        <f ca="1"/>
        <v>64.601144148057102</v>
      </c>
      <c r="P471" s="49">
        <f ca="1"/>
        <v>57.19903090664922</v>
      </c>
      <c r="Q471" s="49">
        <f ca="1"/>
        <v>60.878656108562474</v>
      </c>
      <c r="R471" s="49">
        <f ca="1"/>
        <v>5.9278338487293076E-5</v>
      </c>
      <c r="S471" s="49">
        <f ca="1"/>
        <v>82.122018726543516</v>
      </c>
      <c r="T471" s="49">
        <f ca="1"/>
        <v>80.310644814512756</v>
      </c>
      <c r="U471" s="49">
        <f ca="1"/>
        <v>80.277876809547337</v>
      </c>
      <c r="V471" s="49">
        <f ca="1"/>
        <v>80.449015490236761</v>
      </c>
      <c r="W471" s="49">
        <f ca="1"/>
        <v>79.450240113869398</v>
      </c>
      <c r="X471" s="49">
        <f ca="1"/>
        <v>79.626830656815969</v>
      </c>
      <c r="Y471" s="49">
        <f ca="1"/>
        <v>0</v>
      </c>
      <c r="Z471" s="49">
        <f ca="1"/>
        <v>0</v>
      </c>
      <c r="AA471" s="49">
        <f ca="1"/>
        <v>0</v>
      </c>
      <c r="AB471" s="49">
        <f ca="1"/>
        <v>0</v>
      </c>
      <c r="AC471" s="49">
        <f ca="1"/>
        <v>0</v>
      </c>
      <c r="AD471" s="49">
        <f ca="1"/>
        <v>0</v>
      </c>
      <c r="AE471" s="49">
        <f ca="1"/>
        <v>0</v>
      </c>
      <c r="AF471" s="49">
        <f ca="1"/>
        <v>0</v>
      </c>
      <c r="AG471" s="49">
        <f ca="1"/>
        <v>0</v>
      </c>
      <c r="AH471" s="49">
        <f ca="1"/>
        <v>0</v>
      </c>
      <c r="AI471" s="49">
        <f ca="1"/>
        <v>0</v>
      </c>
      <c r="AJ471" s="49">
        <f ca="1"/>
        <v>0</v>
      </c>
      <c r="AK471" s="49">
        <f ca="1"/>
        <v>0</v>
      </c>
      <c r="AL471" s="49">
        <f ca="1"/>
        <v>0</v>
      </c>
      <c r="AM471" s="49">
        <f ca="1"/>
        <v>0</v>
      </c>
      <c r="AN471" s="49">
        <f ca="1"/>
        <v>0</v>
      </c>
      <c r="AO471" s="49">
        <f ca="1"/>
        <v>0</v>
      </c>
      <c r="AP471" s="49">
        <f ca="1"/>
        <v>0</v>
      </c>
      <c r="AQ471" s="49">
        <f ca="1"/>
        <v>0</v>
      </c>
      <c r="AR471" s="49">
        <f ca="1"/>
        <v>0</v>
      </c>
      <c r="AS471" s="49">
        <f ca="1"/>
        <v>0</v>
      </c>
      <c r="AT471" s="49">
        <f ca="1"/>
        <v>0</v>
      </c>
      <c r="AU471" s="49">
        <f ca="1"/>
        <v>0</v>
      </c>
      <c r="AV471" s="49">
        <f ca="1"/>
        <v>0</v>
      </c>
      <c r="AW471" s="49">
        <f ca="1"/>
        <v>0</v>
      </c>
      <c r="AX471" s="49">
        <f ca="1"/>
        <v>0</v>
      </c>
      <c r="AY471" s="49">
        <f ca="1"/>
        <v>0</v>
      </c>
      <c r="AZ471" s="49">
        <f ca="1"/>
        <v>0</v>
      </c>
      <c r="BA471" s="49">
        <f ca="1"/>
        <v>0</v>
      </c>
      <c r="BB471" s="49">
        <f ca="1"/>
        <v>0</v>
      </c>
      <c r="BC471" s="49">
        <f ca="1"/>
        <v>0</v>
      </c>
      <c r="BD471" s="49">
        <f ca="1"/>
        <v>0</v>
      </c>
      <c r="BE471" s="49">
        <f ca="1"/>
        <v>0</v>
      </c>
      <c r="BF471" s="49">
        <f ca="1"/>
        <v>0</v>
      </c>
      <c r="BG471" s="49">
        <f ca="1"/>
        <v>0</v>
      </c>
      <c r="BH471" s="49">
        <f ca="1"/>
        <v>0</v>
      </c>
      <c r="BI471" s="49">
        <f ca="1"/>
        <v>0</v>
      </c>
      <c r="BJ471" s="49">
        <f ca="1"/>
        <v>0</v>
      </c>
      <c r="BK471" s="49">
        <f ca="1"/>
        <v>0</v>
      </c>
      <c r="BL471" s="49">
        <f ca="1"/>
        <v>0</v>
      </c>
      <c r="BM471" s="49">
        <f ca="1"/>
        <v>0</v>
      </c>
      <c r="BN471" s="49">
        <f ca="1"/>
        <v>0</v>
      </c>
      <c r="BO471" s="49">
        <f ca="1"/>
        <v>0</v>
      </c>
      <c r="BP471" s="49">
        <f ca="1"/>
        <v>0</v>
      </c>
      <c r="BQ471" s="49">
        <f ca="1"/>
        <v>0</v>
      </c>
      <c r="BR471" s="49">
        <f ca="1"/>
        <v>0</v>
      </c>
      <c r="BS471" s="49">
        <f ca="1"/>
        <v>0</v>
      </c>
    </row>
    <row r="472" spans="1:71" outlineLevel="1" x14ac:dyDescent="0.2">
      <c r="D472" s="11" t="s">
        <v>270</v>
      </c>
      <c r="I472" s="30">
        <f t="shared" ca="1" si="184"/>
        <v>4552.9388186703709</v>
      </c>
      <c r="J472" s="26" t="s">
        <v>148</v>
      </c>
      <c r="L472" s="49">
        <f ca="1">SUM(L470:L471)</f>
        <v>0</v>
      </c>
      <c r="M472" s="49">
        <f t="shared" ref="M472:BS472" ca="1" si="185">SUM(M470:M471)</f>
        <v>7.6800693316177888</v>
      </c>
      <c r="N472" s="49">
        <f t="shared" ca="1" si="185"/>
        <v>115.31950716320708</v>
      </c>
      <c r="O472" s="49">
        <f t="shared" ca="1" si="185"/>
        <v>179.43186895995586</v>
      </c>
      <c r="P472" s="49">
        <f t="shared" ca="1" si="185"/>
        <v>312.01372123135809</v>
      </c>
      <c r="Q472" s="49">
        <f t="shared" ca="1" si="185"/>
        <v>610.89029868775492</v>
      </c>
      <c r="R472" s="49">
        <f t="shared" ca="1" si="185"/>
        <v>487.96529062528253</v>
      </c>
      <c r="S472" s="49">
        <f t="shared" ca="1" si="185"/>
        <v>379.78268092999377</v>
      </c>
      <c r="T472" s="49">
        <f t="shared" ca="1" si="185"/>
        <v>520.10750265445506</v>
      </c>
      <c r="U472" s="49">
        <f t="shared" ca="1" si="185"/>
        <v>519.33236340237693</v>
      </c>
      <c r="V472" s="49">
        <f t="shared" ca="1" si="185"/>
        <v>498.0008901739418</v>
      </c>
      <c r="W472" s="49">
        <f t="shared" ca="1" si="185"/>
        <v>470.65466001283528</v>
      </c>
      <c r="X472" s="49">
        <f t="shared" ca="1" si="185"/>
        <v>451.75996549759162</v>
      </c>
      <c r="Y472" s="49">
        <f t="shared" ca="1" si="185"/>
        <v>0</v>
      </c>
      <c r="Z472" s="49">
        <f t="shared" ca="1" si="185"/>
        <v>0</v>
      </c>
      <c r="AA472" s="49">
        <f t="shared" ca="1" si="185"/>
        <v>0</v>
      </c>
      <c r="AB472" s="49">
        <f t="shared" ca="1" si="185"/>
        <v>0</v>
      </c>
      <c r="AC472" s="49">
        <f t="shared" ca="1" si="185"/>
        <v>0</v>
      </c>
      <c r="AD472" s="49">
        <f t="shared" ca="1" si="185"/>
        <v>0</v>
      </c>
      <c r="AE472" s="49">
        <f t="shared" ca="1" si="185"/>
        <v>0</v>
      </c>
      <c r="AF472" s="49">
        <f t="shared" ca="1" si="185"/>
        <v>0</v>
      </c>
      <c r="AG472" s="49">
        <f t="shared" ca="1" si="185"/>
        <v>0</v>
      </c>
      <c r="AH472" s="49">
        <f t="shared" ca="1" si="185"/>
        <v>0</v>
      </c>
      <c r="AI472" s="49">
        <f t="shared" ca="1" si="185"/>
        <v>0</v>
      </c>
      <c r="AJ472" s="49">
        <f t="shared" ca="1" si="185"/>
        <v>0</v>
      </c>
      <c r="AK472" s="49">
        <f t="shared" ca="1" si="185"/>
        <v>0</v>
      </c>
      <c r="AL472" s="49">
        <f t="shared" ca="1" si="185"/>
        <v>0</v>
      </c>
      <c r="AM472" s="49">
        <f t="shared" ca="1" si="185"/>
        <v>0</v>
      </c>
      <c r="AN472" s="49">
        <f t="shared" ca="1" si="185"/>
        <v>0</v>
      </c>
      <c r="AO472" s="49">
        <f t="shared" ca="1" si="185"/>
        <v>0</v>
      </c>
      <c r="AP472" s="49">
        <f t="shared" ca="1" si="185"/>
        <v>0</v>
      </c>
      <c r="AQ472" s="49">
        <f t="shared" ca="1" si="185"/>
        <v>0</v>
      </c>
      <c r="AR472" s="49">
        <f t="shared" ca="1" si="185"/>
        <v>0</v>
      </c>
      <c r="AS472" s="49">
        <f t="shared" ca="1" si="185"/>
        <v>0</v>
      </c>
      <c r="AT472" s="49">
        <f t="shared" ca="1" si="185"/>
        <v>0</v>
      </c>
      <c r="AU472" s="49">
        <f t="shared" ca="1" si="185"/>
        <v>0</v>
      </c>
      <c r="AV472" s="49">
        <f t="shared" ca="1" si="185"/>
        <v>0</v>
      </c>
      <c r="AW472" s="49">
        <f t="shared" ca="1" si="185"/>
        <v>0</v>
      </c>
      <c r="AX472" s="49">
        <f t="shared" ca="1" si="185"/>
        <v>0</v>
      </c>
      <c r="AY472" s="49">
        <f t="shared" ca="1" si="185"/>
        <v>0</v>
      </c>
      <c r="AZ472" s="49">
        <f t="shared" ca="1" si="185"/>
        <v>0</v>
      </c>
      <c r="BA472" s="49">
        <f t="shared" ca="1" si="185"/>
        <v>0</v>
      </c>
      <c r="BB472" s="49">
        <f t="shared" ca="1" si="185"/>
        <v>0</v>
      </c>
      <c r="BC472" s="49">
        <f t="shared" ca="1" si="185"/>
        <v>0</v>
      </c>
      <c r="BD472" s="49">
        <f t="shared" ca="1" si="185"/>
        <v>0</v>
      </c>
      <c r="BE472" s="49">
        <f t="shared" ca="1" si="185"/>
        <v>0</v>
      </c>
      <c r="BF472" s="49">
        <f t="shared" ca="1" si="185"/>
        <v>0</v>
      </c>
      <c r="BG472" s="49">
        <f t="shared" ca="1" si="185"/>
        <v>0</v>
      </c>
      <c r="BH472" s="49">
        <f t="shared" ca="1" si="185"/>
        <v>0</v>
      </c>
      <c r="BI472" s="49">
        <f t="shared" ca="1" si="185"/>
        <v>0</v>
      </c>
      <c r="BJ472" s="49">
        <f t="shared" ca="1" si="185"/>
        <v>0</v>
      </c>
      <c r="BK472" s="49">
        <f t="shared" ca="1" si="185"/>
        <v>0</v>
      </c>
      <c r="BL472" s="49">
        <f t="shared" ca="1" si="185"/>
        <v>0</v>
      </c>
      <c r="BM472" s="49">
        <f t="shared" ca="1" si="185"/>
        <v>0</v>
      </c>
      <c r="BN472" s="49">
        <f t="shared" ca="1" si="185"/>
        <v>0</v>
      </c>
      <c r="BO472" s="49">
        <f t="shared" ca="1" si="185"/>
        <v>0</v>
      </c>
      <c r="BP472" s="49">
        <f t="shared" ca="1" si="185"/>
        <v>0</v>
      </c>
      <c r="BQ472" s="49">
        <f t="shared" ca="1" si="185"/>
        <v>0</v>
      </c>
      <c r="BR472" s="49">
        <f t="shared" ca="1" si="185"/>
        <v>0</v>
      </c>
      <c r="BS472" s="49">
        <f t="shared" ca="1" si="185"/>
        <v>0</v>
      </c>
    </row>
    <row r="473" spans="1:71" outlineLevel="1" x14ac:dyDescent="0.2">
      <c r="J473" s="26"/>
      <c r="L473" s="55"/>
      <c r="M473" s="55"/>
      <c r="N473" s="55"/>
      <c r="O473" s="55"/>
      <c r="P473" s="55"/>
      <c r="Q473" s="55"/>
      <c r="R473" s="55"/>
      <c r="S473" s="55"/>
      <c r="T473" s="55"/>
      <c r="U473" s="55"/>
      <c r="V473" s="55"/>
      <c r="W473" s="55"/>
      <c r="X473" s="55"/>
      <c r="Y473" s="55"/>
      <c r="Z473" s="55"/>
      <c r="AA473" s="55"/>
      <c r="AB473" s="55"/>
      <c r="AC473" s="55"/>
      <c r="AD473" s="55"/>
      <c r="AE473" s="55"/>
      <c r="AF473" s="55"/>
      <c r="AG473" s="55"/>
      <c r="AH473" s="55"/>
      <c r="AI473" s="55"/>
      <c r="AJ473" s="55"/>
      <c r="AK473" s="55"/>
      <c r="AL473" s="55"/>
      <c r="AM473" s="55"/>
      <c r="AN473" s="55"/>
      <c r="AO473" s="55"/>
      <c r="AP473" s="55"/>
      <c r="AQ473" s="55"/>
      <c r="AR473" s="55"/>
      <c r="AS473" s="55"/>
      <c r="AT473" s="55"/>
      <c r="AU473" s="55"/>
      <c r="AV473" s="55"/>
      <c r="AW473" s="55"/>
      <c r="AX473" s="55"/>
      <c r="AY473" s="55"/>
      <c r="AZ473" s="55"/>
      <c r="BA473" s="55"/>
      <c r="BB473" s="55"/>
      <c r="BC473" s="55"/>
      <c r="BD473" s="55"/>
      <c r="BE473" s="55"/>
      <c r="BF473" s="55"/>
      <c r="BG473" s="55"/>
      <c r="BH473" s="55"/>
      <c r="BI473" s="55"/>
      <c r="BJ473" s="55"/>
      <c r="BK473" s="55"/>
      <c r="BL473" s="55"/>
      <c r="BM473" s="55"/>
      <c r="BN473" s="55"/>
      <c r="BO473" s="55"/>
      <c r="BP473" s="55"/>
      <c r="BQ473" s="55"/>
      <c r="BR473" s="55"/>
      <c r="BS473" s="55"/>
    </row>
    <row r="474" spans="1:71" outlineLevel="1" x14ac:dyDescent="0.2">
      <c r="C474" s="11" t="s">
        <v>50</v>
      </c>
      <c r="I474" s="30">
        <f t="shared" ca="1" si="184"/>
        <v>2321.8359572160002</v>
      </c>
      <c r="J474" s="26" t="s">
        <v>148</v>
      </c>
      <c r="L474" s="49">
        <f ca="1">L454</f>
        <v>37.1</v>
      </c>
      <c r="M474" s="49">
        <f t="shared" ref="M474:BS474" ca="1" si="186">M454</f>
        <v>101.941</v>
      </c>
      <c r="N474" s="49">
        <f t="shared" ca="1" si="186"/>
        <v>119.428</v>
      </c>
      <c r="O474" s="49">
        <f t="shared" ca="1" si="186"/>
        <v>178.69499999999999</v>
      </c>
      <c r="P474" s="49">
        <f t="shared" ca="1" si="186"/>
        <v>147.94900000000001</v>
      </c>
      <c r="Q474" s="49">
        <f t="shared" ca="1" si="186"/>
        <v>226.411</v>
      </c>
      <c r="R474" s="49">
        <f t="shared" ca="1" si="186"/>
        <v>176</v>
      </c>
      <c r="S474" s="49">
        <f t="shared" ca="1" si="186"/>
        <v>198.9</v>
      </c>
      <c r="T474" s="49">
        <f t="shared" ca="1" si="186"/>
        <v>204.4</v>
      </c>
      <c r="U474" s="49">
        <f t="shared" ca="1" si="186"/>
        <v>214.81200000000001</v>
      </c>
      <c r="V474" s="49">
        <f t="shared" ca="1" si="186"/>
        <v>226.07892000000001</v>
      </c>
      <c r="W474" s="49">
        <f t="shared" ca="1" si="186"/>
        <v>238.34731679999999</v>
      </c>
      <c r="X474" s="49">
        <f t="shared" ca="1" si="186"/>
        <v>251.77372041599997</v>
      </c>
      <c r="Y474" s="49">
        <f t="shared" ca="1" si="186"/>
        <v>0</v>
      </c>
      <c r="Z474" s="49">
        <f t="shared" ca="1" si="186"/>
        <v>0</v>
      </c>
      <c r="AA474" s="49">
        <f t="shared" ca="1" si="186"/>
        <v>0</v>
      </c>
      <c r="AB474" s="49">
        <f t="shared" ca="1" si="186"/>
        <v>0</v>
      </c>
      <c r="AC474" s="49">
        <f t="shared" ca="1" si="186"/>
        <v>0</v>
      </c>
      <c r="AD474" s="49">
        <f t="shared" ca="1" si="186"/>
        <v>0</v>
      </c>
      <c r="AE474" s="49">
        <f t="shared" ca="1" si="186"/>
        <v>0</v>
      </c>
      <c r="AF474" s="49">
        <f t="shared" ca="1" si="186"/>
        <v>0</v>
      </c>
      <c r="AG474" s="49">
        <f t="shared" ca="1" si="186"/>
        <v>0</v>
      </c>
      <c r="AH474" s="49">
        <f t="shared" ca="1" si="186"/>
        <v>0</v>
      </c>
      <c r="AI474" s="49">
        <f t="shared" ca="1" si="186"/>
        <v>0</v>
      </c>
      <c r="AJ474" s="49">
        <f t="shared" ca="1" si="186"/>
        <v>0</v>
      </c>
      <c r="AK474" s="49">
        <f t="shared" ca="1" si="186"/>
        <v>0</v>
      </c>
      <c r="AL474" s="49">
        <f t="shared" ca="1" si="186"/>
        <v>0</v>
      </c>
      <c r="AM474" s="49">
        <f t="shared" ca="1" si="186"/>
        <v>0</v>
      </c>
      <c r="AN474" s="49">
        <f t="shared" ca="1" si="186"/>
        <v>0</v>
      </c>
      <c r="AO474" s="49">
        <f t="shared" ca="1" si="186"/>
        <v>0</v>
      </c>
      <c r="AP474" s="49">
        <f t="shared" ca="1" si="186"/>
        <v>0</v>
      </c>
      <c r="AQ474" s="49">
        <f t="shared" ca="1" si="186"/>
        <v>0</v>
      </c>
      <c r="AR474" s="49">
        <f t="shared" ca="1" si="186"/>
        <v>0</v>
      </c>
      <c r="AS474" s="49">
        <f t="shared" ca="1" si="186"/>
        <v>0</v>
      </c>
      <c r="AT474" s="49">
        <f t="shared" ca="1" si="186"/>
        <v>0</v>
      </c>
      <c r="AU474" s="49">
        <f t="shared" ca="1" si="186"/>
        <v>0</v>
      </c>
      <c r="AV474" s="49">
        <f t="shared" ca="1" si="186"/>
        <v>0</v>
      </c>
      <c r="AW474" s="49">
        <f t="shared" ca="1" si="186"/>
        <v>0</v>
      </c>
      <c r="AX474" s="49">
        <f t="shared" ca="1" si="186"/>
        <v>0</v>
      </c>
      <c r="AY474" s="49">
        <f t="shared" ca="1" si="186"/>
        <v>0</v>
      </c>
      <c r="AZ474" s="49">
        <f t="shared" ca="1" si="186"/>
        <v>0</v>
      </c>
      <c r="BA474" s="49">
        <f t="shared" ca="1" si="186"/>
        <v>0</v>
      </c>
      <c r="BB474" s="49">
        <f t="shared" ca="1" si="186"/>
        <v>0</v>
      </c>
      <c r="BC474" s="49">
        <f t="shared" ca="1" si="186"/>
        <v>0</v>
      </c>
      <c r="BD474" s="49">
        <f t="shared" ca="1" si="186"/>
        <v>0</v>
      </c>
      <c r="BE474" s="49">
        <f t="shared" ca="1" si="186"/>
        <v>0</v>
      </c>
      <c r="BF474" s="49">
        <f t="shared" ca="1" si="186"/>
        <v>0</v>
      </c>
      <c r="BG474" s="49">
        <f t="shared" ca="1" si="186"/>
        <v>0</v>
      </c>
      <c r="BH474" s="49">
        <f t="shared" ca="1" si="186"/>
        <v>0</v>
      </c>
      <c r="BI474" s="49">
        <f t="shared" ca="1" si="186"/>
        <v>0</v>
      </c>
      <c r="BJ474" s="49">
        <f t="shared" ca="1" si="186"/>
        <v>0</v>
      </c>
      <c r="BK474" s="49">
        <f t="shared" ca="1" si="186"/>
        <v>0</v>
      </c>
      <c r="BL474" s="49">
        <f t="shared" ca="1" si="186"/>
        <v>0</v>
      </c>
      <c r="BM474" s="49">
        <f t="shared" ca="1" si="186"/>
        <v>0</v>
      </c>
      <c r="BN474" s="49">
        <f t="shared" ca="1" si="186"/>
        <v>0</v>
      </c>
      <c r="BO474" s="49">
        <f t="shared" ca="1" si="186"/>
        <v>0</v>
      </c>
      <c r="BP474" s="49">
        <f t="shared" ca="1" si="186"/>
        <v>0</v>
      </c>
      <c r="BQ474" s="49">
        <f t="shared" ca="1" si="186"/>
        <v>0</v>
      </c>
      <c r="BR474" s="49">
        <f t="shared" ca="1" si="186"/>
        <v>0</v>
      </c>
      <c r="BS474" s="49">
        <f t="shared" ca="1" si="186"/>
        <v>0</v>
      </c>
    </row>
    <row r="475" spans="1:71" outlineLevel="1" x14ac:dyDescent="0.2">
      <c r="J475" s="26"/>
      <c r="L475" s="55"/>
      <c r="M475" s="55"/>
      <c r="N475" s="55"/>
      <c r="O475" s="55"/>
      <c r="P475" s="55"/>
      <c r="Q475" s="55"/>
      <c r="R475" s="55"/>
      <c r="S475" s="55"/>
      <c r="T475" s="55"/>
      <c r="U475" s="55"/>
      <c r="V475" s="55"/>
      <c r="W475" s="55"/>
      <c r="X475" s="55"/>
      <c r="Y475" s="55"/>
      <c r="Z475" s="55"/>
      <c r="AA475" s="55"/>
      <c r="AB475" s="55"/>
      <c r="AC475" s="55"/>
      <c r="AD475" s="55"/>
      <c r="AE475" s="55"/>
      <c r="AF475" s="55"/>
      <c r="AG475" s="55"/>
      <c r="AH475" s="55"/>
      <c r="AI475" s="55"/>
      <c r="AJ475" s="55"/>
      <c r="AK475" s="55"/>
      <c r="AL475" s="55"/>
      <c r="AM475" s="55"/>
      <c r="AN475" s="55"/>
      <c r="AO475" s="55"/>
      <c r="AP475" s="55"/>
      <c r="AQ475" s="55"/>
      <c r="AR475" s="55"/>
      <c r="AS475" s="55"/>
      <c r="AT475" s="55"/>
      <c r="AU475" s="55"/>
      <c r="AV475" s="55"/>
      <c r="AW475" s="55"/>
      <c r="AX475" s="55"/>
      <c r="AY475" s="55"/>
      <c r="AZ475" s="55"/>
      <c r="BA475" s="55"/>
      <c r="BB475" s="55"/>
      <c r="BC475" s="55"/>
      <c r="BD475" s="55"/>
      <c r="BE475" s="55"/>
      <c r="BF475" s="55"/>
      <c r="BG475" s="55"/>
      <c r="BH475" s="55"/>
      <c r="BI475" s="55"/>
      <c r="BJ475" s="55"/>
      <c r="BK475" s="55"/>
      <c r="BL475" s="55"/>
      <c r="BM475" s="55"/>
      <c r="BN475" s="55"/>
      <c r="BO475" s="55"/>
      <c r="BP475" s="55"/>
      <c r="BQ475" s="55"/>
      <c r="BR475" s="55"/>
      <c r="BS475" s="55"/>
    </row>
    <row r="476" spans="1:71" outlineLevel="1" x14ac:dyDescent="0.2">
      <c r="C476" s="11" t="s">
        <v>271</v>
      </c>
      <c r="I476" s="30">
        <f t="shared" ca="1" si="184"/>
        <v>54.738039330218619</v>
      </c>
      <c r="J476" s="26" t="s">
        <v>148</v>
      </c>
      <c r="L476" s="49" cm="1">
        <f t="array" aca="1" ref="L476:BS476" ca="1">Marine!CA_pid_fees</f>
        <v>0</v>
      </c>
      <c r="M476" s="49">
        <f ca="1"/>
        <v>9.3983153338229292E-2</v>
      </c>
      <c r="N476" s="49">
        <f ca="1"/>
        <v>1.2988763022073142</v>
      </c>
      <c r="O476" s="49">
        <f ca="1"/>
        <v>2.0200156729356959</v>
      </c>
      <c r="P476" s="49">
        <f ca="1"/>
        <v>3.6579991053168932</v>
      </c>
      <c r="Q476" s="49">
        <f ca="1"/>
        <v>7.3818786721860512</v>
      </c>
      <c r="R476" s="49">
        <f ca="1"/>
        <v>6.1767754350043571</v>
      </c>
      <c r="S476" s="49">
        <f ca="1"/>
        <v>4.469763935833333</v>
      </c>
      <c r="T476" s="49">
        <f ca="1"/>
        <v>6.250310076202318</v>
      </c>
      <c r="U476" s="49">
        <f ca="1"/>
        <v>6.2406079597930679</v>
      </c>
      <c r="V476" s="49">
        <f ca="1"/>
        <v>5.9690158780260418</v>
      </c>
      <c r="W476" s="49">
        <f ca="1"/>
        <v>5.7116920415051196</v>
      </c>
      <c r="X476" s="49">
        <f ca="1"/>
        <v>5.4671210978702005</v>
      </c>
      <c r="Y476" s="49">
        <f ca="1"/>
        <v>0</v>
      </c>
      <c r="Z476" s="49">
        <f ca="1"/>
        <v>0</v>
      </c>
      <c r="AA476" s="49">
        <f ca="1"/>
        <v>0</v>
      </c>
      <c r="AB476" s="49">
        <f ca="1"/>
        <v>0</v>
      </c>
      <c r="AC476" s="49">
        <f ca="1"/>
        <v>0</v>
      </c>
      <c r="AD476" s="49">
        <f ca="1"/>
        <v>0</v>
      </c>
      <c r="AE476" s="49">
        <f ca="1"/>
        <v>0</v>
      </c>
      <c r="AF476" s="49">
        <f ca="1"/>
        <v>0</v>
      </c>
      <c r="AG476" s="49">
        <f ca="1"/>
        <v>0</v>
      </c>
      <c r="AH476" s="49">
        <f ca="1"/>
        <v>0</v>
      </c>
      <c r="AI476" s="49">
        <f ca="1"/>
        <v>0</v>
      </c>
      <c r="AJ476" s="49">
        <f ca="1"/>
        <v>0</v>
      </c>
      <c r="AK476" s="49">
        <f ca="1"/>
        <v>0</v>
      </c>
      <c r="AL476" s="49">
        <f ca="1"/>
        <v>0</v>
      </c>
      <c r="AM476" s="49">
        <f ca="1"/>
        <v>0</v>
      </c>
      <c r="AN476" s="49">
        <f ca="1"/>
        <v>0</v>
      </c>
      <c r="AO476" s="49">
        <f ca="1"/>
        <v>0</v>
      </c>
      <c r="AP476" s="49">
        <f ca="1"/>
        <v>0</v>
      </c>
      <c r="AQ476" s="49">
        <f ca="1"/>
        <v>0</v>
      </c>
      <c r="AR476" s="49">
        <f ca="1"/>
        <v>0</v>
      </c>
      <c r="AS476" s="49">
        <f ca="1"/>
        <v>0</v>
      </c>
      <c r="AT476" s="49">
        <f ca="1"/>
        <v>0</v>
      </c>
      <c r="AU476" s="49">
        <f ca="1"/>
        <v>0</v>
      </c>
      <c r="AV476" s="49">
        <f ca="1"/>
        <v>0</v>
      </c>
      <c r="AW476" s="49">
        <f ca="1"/>
        <v>0</v>
      </c>
      <c r="AX476" s="49">
        <f ca="1"/>
        <v>0</v>
      </c>
      <c r="AY476" s="49">
        <f ca="1"/>
        <v>0</v>
      </c>
      <c r="AZ476" s="49">
        <f ca="1"/>
        <v>0</v>
      </c>
      <c r="BA476" s="49">
        <f ca="1"/>
        <v>0</v>
      </c>
      <c r="BB476" s="49">
        <f ca="1"/>
        <v>0</v>
      </c>
      <c r="BC476" s="49">
        <f ca="1"/>
        <v>0</v>
      </c>
      <c r="BD476" s="49">
        <f ca="1"/>
        <v>0</v>
      </c>
      <c r="BE476" s="49">
        <f ca="1"/>
        <v>0</v>
      </c>
      <c r="BF476" s="49">
        <f ca="1"/>
        <v>0</v>
      </c>
      <c r="BG476" s="49">
        <f ca="1"/>
        <v>0</v>
      </c>
      <c r="BH476" s="49">
        <f ca="1"/>
        <v>0</v>
      </c>
      <c r="BI476" s="49">
        <f ca="1"/>
        <v>0</v>
      </c>
      <c r="BJ476" s="49">
        <f ca="1"/>
        <v>0</v>
      </c>
      <c r="BK476" s="49">
        <f ca="1"/>
        <v>0</v>
      </c>
      <c r="BL476" s="49">
        <f ca="1"/>
        <v>0</v>
      </c>
      <c r="BM476" s="49">
        <f ca="1"/>
        <v>0</v>
      </c>
      <c r="BN476" s="49">
        <f ca="1"/>
        <v>0</v>
      </c>
      <c r="BO476" s="49">
        <f ca="1"/>
        <v>0</v>
      </c>
      <c r="BP476" s="49">
        <f ca="1"/>
        <v>0</v>
      </c>
      <c r="BQ476" s="49">
        <f ca="1"/>
        <v>0</v>
      </c>
      <c r="BR476" s="49">
        <f ca="1"/>
        <v>0</v>
      </c>
      <c r="BS476" s="49">
        <f ca="1"/>
        <v>0</v>
      </c>
    </row>
    <row r="477" spans="1:71" outlineLevel="1" x14ac:dyDescent="0.2">
      <c r="J477" s="26"/>
      <c r="L477" s="55"/>
      <c r="M477" s="55"/>
      <c r="N477" s="55"/>
      <c r="O477" s="55"/>
      <c r="P477" s="55"/>
      <c r="Q477" s="55"/>
      <c r="R477" s="55"/>
      <c r="S477" s="55"/>
      <c r="T477" s="55"/>
      <c r="U477" s="55"/>
      <c r="V477" s="55"/>
      <c r="W477" s="55"/>
      <c r="X477" s="55"/>
      <c r="Y477" s="55"/>
      <c r="Z477" s="55"/>
      <c r="AA477" s="55"/>
      <c r="AB477" s="55"/>
      <c r="AC477" s="55"/>
      <c r="AD477" s="55"/>
      <c r="AE477" s="55"/>
      <c r="AF477" s="55"/>
      <c r="AG477" s="55"/>
      <c r="AH477" s="55"/>
      <c r="AI477" s="55"/>
      <c r="AJ477" s="55"/>
      <c r="AK477" s="55"/>
      <c r="AL477" s="55"/>
      <c r="AM477" s="55"/>
      <c r="AN477" s="55"/>
      <c r="AO477" s="55"/>
      <c r="AP477" s="55"/>
      <c r="AQ477" s="55"/>
      <c r="AR477" s="55"/>
      <c r="AS477" s="55"/>
      <c r="AT477" s="55"/>
      <c r="AU477" s="55"/>
      <c r="AV477" s="55"/>
      <c r="AW477" s="55"/>
      <c r="AX477" s="55"/>
      <c r="AY477" s="55"/>
      <c r="AZ477" s="55"/>
      <c r="BA477" s="55"/>
      <c r="BB477" s="55"/>
      <c r="BC477" s="55"/>
      <c r="BD477" s="55"/>
      <c r="BE477" s="55"/>
      <c r="BF477" s="55"/>
      <c r="BG477" s="55"/>
      <c r="BH477" s="55"/>
      <c r="BI477" s="55"/>
      <c r="BJ477" s="55"/>
      <c r="BK477" s="55"/>
      <c r="BL477" s="55"/>
      <c r="BM477" s="55"/>
      <c r="BN477" s="55"/>
      <c r="BO477" s="55"/>
      <c r="BP477" s="55"/>
      <c r="BQ477" s="55"/>
      <c r="BR477" s="55"/>
      <c r="BS477" s="55"/>
    </row>
    <row r="478" spans="1:71" outlineLevel="1" x14ac:dyDescent="0.2">
      <c r="C478" s="11" t="s">
        <v>272</v>
      </c>
      <c r="I478" s="30">
        <f t="shared" ref="I478:I488" si="187">SUM($L478:$BS478)</f>
        <v>0</v>
      </c>
      <c r="J478" s="26" t="s">
        <v>148</v>
      </c>
      <c r="L478" s="49">
        <v>0</v>
      </c>
      <c r="M478" s="49">
        <v>0</v>
      </c>
      <c r="N478" s="49">
        <v>0</v>
      </c>
      <c r="O478" s="49">
        <v>0</v>
      </c>
      <c r="P478" s="49">
        <v>0</v>
      </c>
      <c r="Q478" s="49">
        <v>0</v>
      </c>
      <c r="R478" s="49">
        <v>0</v>
      </c>
      <c r="S478" s="49">
        <v>0</v>
      </c>
      <c r="T478" s="49">
        <v>0</v>
      </c>
      <c r="U478" s="49">
        <v>0</v>
      </c>
      <c r="V478" s="49">
        <v>0</v>
      </c>
      <c r="W478" s="49">
        <v>0</v>
      </c>
      <c r="X478" s="49">
        <v>0</v>
      </c>
      <c r="Y478" s="49">
        <v>0</v>
      </c>
      <c r="Z478" s="49">
        <v>0</v>
      </c>
      <c r="AA478" s="49">
        <v>0</v>
      </c>
      <c r="AB478" s="49">
        <v>0</v>
      </c>
      <c r="AC478" s="49">
        <v>0</v>
      </c>
      <c r="AD478" s="49">
        <v>0</v>
      </c>
      <c r="AE478" s="49">
        <v>0</v>
      </c>
      <c r="AF478" s="49">
        <v>0</v>
      </c>
      <c r="AG478" s="49">
        <v>0</v>
      </c>
      <c r="AH478" s="49">
        <v>0</v>
      </c>
      <c r="AI478" s="49">
        <v>0</v>
      </c>
      <c r="AJ478" s="49">
        <v>0</v>
      </c>
      <c r="AK478" s="49">
        <v>0</v>
      </c>
      <c r="AL478" s="49">
        <v>0</v>
      </c>
      <c r="AM478" s="49">
        <v>0</v>
      </c>
      <c r="AN478" s="49">
        <v>0</v>
      </c>
      <c r="AO478" s="49">
        <v>0</v>
      </c>
      <c r="AP478" s="49">
        <v>0</v>
      </c>
      <c r="AQ478" s="49">
        <v>0</v>
      </c>
      <c r="AR478" s="49">
        <v>0</v>
      </c>
      <c r="AS478" s="49">
        <v>0</v>
      </c>
      <c r="AT478" s="49">
        <v>0</v>
      </c>
      <c r="AU478" s="49">
        <v>0</v>
      </c>
      <c r="AV478" s="49">
        <v>0</v>
      </c>
      <c r="AW478" s="49">
        <v>0</v>
      </c>
      <c r="AX478" s="49">
        <v>0</v>
      </c>
      <c r="AY478" s="49">
        <v>0</v>
      </c>
      <c r="AZ478" s="49">
        <v>0</v>
      </c>
      <c r="BA478" s="49">
        <v>0</v>
      </c>
      <c r="BB478" s="49">
        <v>0</v>
      </c>
      <c r="BC478" s="49">
        <v>0</v>
      </c>
      <c r="BD478" s="49">
        <v>0</v>
      </c>
      <c r="BE478" s="49">
        <v>0</v>
      </c>
      <c r="BF478" s="49">
        <v>0</v>
      </c>
      <c r="BG478" s="49">
        <v>0</v>
      </c>
      <c r="BH478" s="49">
        <v>0</v>
      </c>
      <c r="BI478" s="49">
        <v>0</v>
      </c>
      <c r="BJ478" s="49">
        <v>0</v>
      </c>
      <c r="BK478" s="49">
        <v>0</v>
      </c>
      <c r="BL478" s="49">
        <v>0</v>
      </c>
      <c r="BM478" s="49">
        <v>0</v>
      </c>
      <c r="BN478" s="49">
        <v>0</v>
      </c>
      <c r="BO478" s="49">
        <v>0</v>
      </c>
      <c r="BP478" s="49">
        <v>0</v>
      </c>
      <c r="BQ478" s="49">
        <v>0</v>
      </c>
      <c r="BR478" s="49">
        <v>0</v>
      </c>
      <c r="BS478" s="49">
        <v>0</v>
      </c>
    </row>
    <row r="479" spans="1:71" outlineLevel="1" x14ac:dyDescent="0.2">
      <c r="J479" s="26"/>
      <c r="L479" s="55"/>
      <c r="M479" s="55"/>
      <c r="N479" s="55"/>
      <c r="O479" s="55"/>
      <c r="P479" s="55"/>
      <c r="Q479" s="55"/>
      <c r="R479" s="55"/>
      <c r="S479" s="55"/>
      <c r="T479" s="55"/>
      <c r="U479" s="55"/>
      <c r="V479" s="55"/>
      <c r="W479" s="55"/>
      <c r="X479" s="55"/>
      <c r="Y479" s="55"/>
      <c r="Z479" s="55"/>
      <c r="AA479" s="55"/>
      <c r="AB479" s="55"/>
      <c r="AC479" s="55"/>
      <c r="AD479" s="55"/>
      <c r="AE479" s="55"/>
      <c r="AF479" s="55"/>
      <c r="AG479" s="55"/>
      <c r="AH479" s="55"/>
      <c r="AI479" s="55"/>
      <c r="AJ479" s="55"/>
      <c r="AK479" s="55"/>
      <c r="AL479" s="55"/>
      <c r="AM479" s="55"/>
      <c r="AN479" s="55"/>
      <c r="AO479" s="55"/>
      <c r="AP479" s="55"/>
      <c r="AQ479" s="55"/>
      <c r="AR479" s="55"/>
      <c r="AS479" s="55"/>
      <c r="AT479" s="55"/>
      <c r="AU479" s="55"/>
      <c r="AV479" s="55"/>
      <c r="AW479" s="55"/>
      <c r="AX479" s="55"/>
      <c r="AY479" s="55"/>
      <c r="AZ479" s="55"/>
      <c r="BA479" s="55"/>
      <c r="BB479" s="55"/>
      <c r="BC479" s="55"/>
      <c r="BD479" s="55"/>
      <c r="BE479" s="55"/>
      <c r="BF479" s="55"/>
      <c r="BG479" s="55"/>
      <c r="BH479" s="55"/>
      <c r="BI479" s="55"/>
      <c r="BJ479" s="55"/>
      <c r="BK479" s="55"/>
      <c r="BL479" s="55"/>
      <c r="BM479" s="55"/>
      <c r="BN479" s="55"/>
      <c r="BO479" s="55"/>
      <c r="BP479" s="55"/>
      <c r="BQ479" s="55"/>
      <c r="BR479" s="55"/>
      <c r="BS479" s="55"/>
    </row>
    <row r="480" spans="1:71" outlineLevel="1" x14ac:dyDescent="0.2">
      <c r="C480" s="11" t="s">
        <v>273</v>
      </c>
      <c r="I480" s="30">
        <f t="shared" ca="1" si="187"/>
        <v>2760.4570000000003</v>
      </c>
      <c r="J480" s="26" t="s">
        <v>148</v>
      </c>
      <c r="L480" s="49">
        <f ca="1">SUM(L457:L458)</f>
        <v>387.58500000000004</v>
      </c>
      <c r="M480" s="49">
        <f t="shared" ref="M480:BS480" ca="1" si="188">SUM(M457:M458)</f>
        <v>502.90700000000004</v>
      </c>
      <c r="N480" s="49">
        <f t="shared" ca="1" si="188"/>
        <v>777.96600000000001</v>
      </c>
      <c r="O480" s="49">
        <f t="shared" ca="1" si="188"/>
        <v>454.41399999999999</v>
      </c>
      <c r="P480" s="49">
        <f t="shared" ca="1" si="188"/>
        <v>407.291</v>
      </c>
      <c r="Q480" s="49">
        <f t="shared" ca="1" si="188"/>
        <v>230.29400000000001</v>
      </c>
      <c r="R480" s="49">
        <f t="shared" ca="1" si="188"/>
        <v>0</v>
      </c>
      <c r="S480" s="49">
        <f t="shared" ca="1" si="188"/>
        <v>0</v>
      </c>
      <c r="T480" s="49">
        <f t="shared" ca="1" si="188"/>
        <v>0</v>
      </c>
      <c r="U480" s="49">
        <f t="shared" ca="1" si="188"/>
        <v>0</v>
      </c>
      <c r="V480" s="49">
        <f t="shared" ca="1" si="188"/>
        <v>0</v>
      </c>
      <c r="W480" s="49">
        <f t="shared" ca="1" si="188"/>
        <v>0</v>
      </c>
      <c r="X480" s="49">
        <f t="shared" ca="1" si="188"/>
        <v>0</v>
      </c>
      <c r="Y480" s="49">
        <f t="shared" ca="1" si="188"/>
        <v>0</v>
      </c>
      <c r="Z480" s="49">
        <f t="shared" ca="1" si="188"/>
        <v>0</v>
      </c>
      <c r="AA480" s="49">
        <f t="shared" ca="1" si="188"/>
        <v>0</v>
      </c>
      <c r="AB480" s="49">
        <f t="shared" ca="1" si="188"/>
        <v>0</v>
      </c>
      <c r="AC480" s="49">
        <f t="shared" ca="1" si="188"/>
        <v>0</v>
      </c>
      <c r="AD480" s="49">
        <f t="shared" ca="1" si="188"/>
        <v>0</v>
      </c>
      <c r="AE480" s="49">
        <f t="shared" ca="1" si="188"/>
        <v>0</v>
      </c>
      <c r="AF480" s="49">
        <f t="shared" ca="1" si="188"/>
        <v>0</v>
      </c>
      <c r="AG480" s="49">
        <f t="shared" ca="1" si="188"/>
        <v>0</v>
      </c>
      <c r="AH480" s="49">
        <f t="shared" ca="1" si="188"/>
        <v>0</v>
      </c>
      <c r="AI480" s="49">
        <f t="shared" ca="1" si="188"/>
        <v>0</v>
      </c>
      <c r="AJ480" s="49">
        <f t="shared" ca="1" si="188"/>
        <v>0</v>
      </c>
      <c r="AK480" s="49">
        <f t="shared" ca="1" si="188"/>
        <v>0</v>
      </c>
      <c r="AL480" s="49">
        <f t="shared" ca="1" si="188"/>
        <v>0</v>
      </c>
      <c r="AM480" s="49">
        <f t="shared" ca="1" si="188"/>
        <v>0</v>
      </c>
      <c r="AN480" s="49">
        <f t="shared" ca="1" si="188"/>
        <v>0</v>
      </c>
      <c r="AO480" s="49">
        <f t="shared" ca="1" si="188"/>
        <v>0</v>
      </c>
      <c r="AP480" s="49">
        <f t="shared" ca="1" si="188"/>
        <v>0</v>
      </c>
      <c r="AQ480" s="49">
        <f t="shared" ca="1" si="188"/>
        <v>0</v>
      </c>
      <c r="AR480" s="49">
        <f t="shared" ca="1" si="188"/>
        <v>0</v>
      </c>
      <c r="AS480" s="49">
        <f t="shared" ca="1" si="188"/>
        <v>0</v>
      </c>
      <c r="AT480" s="49">
        <f t="shared" ca="1" si="188"/>
        <v>0</v>
      </c>
      <c r="AU480" s="49">
        <f t="shared" ca="1" si="188"/>
        <v>0</v>
      </c>
      <c r="AV480" s="49">
        <f t="shared" ca="1" si="188"/>
        <v>0</v>
      </c>
      <c r="AW480" s="49">
        <f t="shared" ca="1" si="188"/>
        <v>0</v>
      </c>
      <c r="AX480" s="49">
        <f t="shared" ca="1" si="188"/>
        <v>0</v>
      </c>
      <c r="AY480" s="49">
        <f t="shared" ca="1" si="188"/>
        <v>0</v>
      </c>
      <c r="AZ480" s="49">
        <f t="shared" ca="1" si="188"/>
        <v>0</v>
      </c>
      <c r="BA480" s="49">
        <f t="shared" ca="1" si="188"/>
        <v>0</v>
      </c>
      <c r="BB480" s="49">
        <f t="shared" ca="1" si="188"/>
        <v>0</v>
      </c>
      <c r="BC480" s="49">
        <f t="shared" ca="1" si="188"/>
        <v>0</v>
      </c>
      <c r="BD480" s="49">
        <f t="shared" ca="1" si="188"/>
        <v>0</v>
      </c>
      <c r="BE480" s="49">
        <f t="shared" ca="1" si="188"/>
        <v>0</v>
      </c>
      <c r="BF480" s="49">
        <f t="shared" ca="1" si="188"/>
        <v>0</v>
      </c>
      <c r="BG480" s="49">
        <f t="shared" ca="1" si="188"/>
        <v>0</v>
      </c>
      <c r="BH480" s="49">
        <f t="shared" ca="1" si="188"/>
        <v>0</v>
      </c>
      <c r="BI480" s="49">
        <f t="shared" ca="1" si="188"/>
        <v>0</v>
      </c>
      <c r="BJ480" s="49">
        <f t="shared" ca="1" si="188"/>
        <v>0</v>
      </c>
      <c r="BK480" s="49">
        <f t="shared" ca="1" si="188"/>
        <v>0</v>
      </c>
      <c r="BL480" s="49">
        <f t="shared" ca="1" si="188"/>
        <v>0</v>
      </c>
      <c r="BM480" s="49">
        <f t="shared" ca="1" si="188"/>
        <v>0</v>
      </c>
      <c r="BN480" s="49">
        <f t="shared" ca="1" si="188"/>
        <v>0</v>
      </c>
      <c r="BO480" s="49">
        <f t="shared" ca="1" si="188"/>
        <v>0</v>
      </c>
      <c r="BP480" s="49">
        <f t="shared" ca="1" si="188"/>
        <v>0</v>
      </c>
      <c r="BQ480" s="49">
        <f t="shared" ca="1" si="188"/>
        <v>0</v>
      </c>
      <c r="BR480" s="49">
        <f t="shared" ca="1" si="188"/>
        <v>0</v>
      </c>
      <c r="BS480" s="49">
        <f t="shared" ca="1" si="188"/>
        <v>0</v>
      </c>
    </row>
    <row r="481" spans="3:71" outlineLevel="1" x14ac:dyDescent="0.2">
      <c r="J481" s="26"/>
      <c r="L481" s="55"/>
      <c r="M481" s="55"/>
      <c r="N481" s="55"/>
      <c r="O481" s="55"/>
      <c r="P481" s="55"/>
      <c r="Q481" s="55"/>
      <c r="R481" s="55"/>
      <c r="S481" s="55"/>
      <c r="T481" s="55"/>
      <c r="U481" s="55"/>
      <c r="V481" s="55"/>
      <c r="W481" s="55"/>
      <c r="X481" s="55"/>
      <c r="Y481" s="55"/>
      <c r="Z481" s="55"/>
      <c r="AA481" s="55"/>
      <c r="AB481" s="55"/>
      <c r="AC481" s="55"/>
      <c r="AD481" s="55"/>
      <c r="AE481" s="55"/>
      <c r="AF481" s="55"/>
      <c r="AG481" s="55"/>
      <c r="AH481" s="55"/>
      <c r="AI481" s="55"/>
      <c r="AJ481" s="55"/>
      <c r="AK481" s="55"/>
      <c r="AL481" s="55"/>
      <c r="AM481" s="55"/>
      <c r="AN481" s="55"/>
      <c r="AO481" s="55"/>
      <c r="AP481" s="55"/>
      <c r="AQ481" s="55"/>
      <c r="AR481" s="55"/>
      <c r="AS481" s="55"/>
      <c r="AT481" s="55"/>
      <c r="AU481" s="55"/>
      <c r="AV481" s="55"/>
      <c r="AW481" s="55"/>
      <c r="AX481" s="55"/>
      <c r="AY481" s="55"/>
      <c r="AZ481" s="55"/>
      <c r="BA481" s="55"/>
      <c r="BB481" s="55"/>
      <c r="BC481" s="55"/>
      <c r="BD481" s="55"/>
      <c r="BE481" s="55"/>
      <c r="BF481" s="55"/>
      <c r="BG481" s="55"/>
      <c r="BH481" s="55"/>
      <c r="BI481" s="55"/>
      <c r="BJ481" s="55"/>
      <c r="BK481" s="55"/>
      <c r="BL481" s="55"/>
      <c r="BM481" s="55"/>
      <c r="BN481" s="55"/>
      <c r="BO481" s="55"/>
      <c r="BP481" s="55"/>
      <c r="BQ481" s="55"/>
      <c r="BR481" s="55"/>
      <c r="BS481" s="55"/>
    </row>
    <row r="482" spans="3:71" outlineLevel="1" x14ac:dyDescent="0.2">
      <c r="C482" s="11" t="s">
        <v>264</v>
      </c>
      <c r="I482" s="30">
        <f t="shared" ca="1" si="187"/>
        <v>0</v>
      </c>
      <c r="J482" s="26" t="s">
        <v>148</v>
      </c>
      <c r="L482" s="49">
        <f ca="1">L459</f>
        <v>0</v>
      </c>
      <c r="M482" s="49">
        <f t="shared" ref="M482:BS482" ca="1" si="189">M459</f>
        <v>0</v>
      </c>
      <c r="N482" s="49">
        <f t="shared" ca="1" si="189"/>
        <v>0</v>
      </c>
      <c r="O482" s="49">
        <f t="shared" ca="1" si="189"/>
        <v>0</v>
      </c>
      <c r="P482" s="49">
        <f t="shared" ca="1" si="189"/>
        <v>0</v>
      </c>
      <c r="Q482" s="49">
        <f t="shared" ca="1" si="189"/>
        <v>0</v>
      </c>
      <c r="R482" s="49">
        <f t="shared" ca="1" si="189"/>
        <v>0</v>
      </c>
      <c r="S482" s="49">
        <f t="shared" ca="1" si="189"/>
        <v>0</v>
      </c>
      <c r="T482" s="49">
        <f t="shared" ca="1" si="189"/>
        <v>0</v>
      </c>
      <c r="U482" s="49">
        <f t="shared" ca="1" si="189"/>
        <v>0</v>
      </c>
      <c r="V482" s="49">
        <f t="shared" ca="1" si="189"/>
        <v>0</v>
      </c>
      <c r="W482" s="49">
        <f t="shared" ca="1" si="189"/>
        <v>0</v>
      </c>
      <c r="X482" s="49">
        <f t="shared" ca="1" si="189"/>
        <v>0</v>
      </c>
      <c r="Y482" s="49">
        <f t="shared" ca="1" si="189"/>
        <v>0</v>
      </c>
      <c r="Z482" s="49">
        <f t="shared" ca="1" si="189"/>
        <v>0</v>
      </c>
      <c r="AA482" s="49">
        <f t="shared" ca="1" si="189"/>
        <v>0</v>
      </c>
      <c r="AB482" s="49">
        <f t="shared" ca="1" si="189"/>
        <v>0</v>
      </c>
      <c r="AC482" s="49">
        <f t="shared" ca="1" si="189"/>
        <v>0</v>
      </c>
      <c r="AD482" s="49">
        <f t="shared" ca="1" si="189"/>
        <v>0</v>
      </c>
      <c r="AE482" s="49">
        <f t="shared" ca="1" si="189"/>
        <v>0</v>
      </c>
      <c r="AF482" s="49">
        <f t="shared" ca="1" si="189"/>
        <v>0</v>
      </c>
      <c r="AG482" s="49">
        <f t="shared" ca="1" si="189"/>
        <v>0</v>
      </c>
      <c r="AH482" s="49">
        <f t="shared" ca="1" si="189"/>
        <v>0</v>
      </c>
      <c r="AI482" s="49">
        <f t="shared" ca="1" si="189"/>
        <v>0</v>
      </c>
      <c r="AJ482" s="49">
        <f t="shared" ca="1" si="189"/>
        <v>0</v>
      </c>
      <c r="AK482" s="49">
        <f t="shared" ca="1" si="189"/>
        <v>0</v>
      </c>
      <c r="AL482" s="49">
        <f t="shared" ca="1" si="189"/>
        <v>0</v>
      </c>
      <c r="AM482" s="49">
        <f t="shared" ca="1" si="189"/>
        <v>0</v>
      </c>
      <c r="AN482" s="49">
        <f t="shared" ca="1" si="189"/>
        <v>0</v>
      </c>
      <c r="AO482" s="49">
        <f t="shared" ca="1" si="189"/>
        <v>0</v>
      </c>
      <c r="AP482" s="49">
        <f t="shared" ca="1" si="189"/>
        <v>0</v>
      </c>
      <c r="AQ482" s="49">
        <f t="shared" ca="1" si="189"/>
        <v>0</v>
      </c>
      <c r="AR482" s="49">
        <f t="shared" ca="1" si="189"/>
        <v>0</v>
      </c>
      <c r="AS482" s="49">
        <f t="shared" ca="1" si="189"/>
        <v>0</v>
      </c>
      <c r="AT482" s="49">
        <f t="shared" ca="1" si="189"/>
        <v>0</v>
      </c>
      <c r="AU482" s="49">
        <f t="shared" ca="1" si="189"/>
        <v>0</v>
      </c>
      <c r="AV482" s="49">
        <f t="shared" ca="1" si="189"/>
        <v>0</v>
      </c>
      <c r="AW482" s="49">
        <f t="shared" ca="1" si="189"/>
        <v>0</v>
      </c>
      <c r="AX482" s="49">
        <f t="shared" ca="1" si="189"/>
        <v>0</v>
      </c>
      <c r="AY482" s="49">
        <f t="shared" ca="1" si="189"/>
        <v>0</v>
      </c>
      <c r="AZ482" s="49">
        <f t="shared" ca="1" si="189"/>
        <v>0</v>
      </c>
      <c r="BA482" s="49">
        <f t="shared" ca="1" si="189"/>
        <v>0</v>
      </c>
      <c r="BB482" s="49">
        <f t="shared" ca="1" si="189"/>
        <v>0</v>
      </c>
      <c r="BC482" s="49">
        <f t="shared" ca="1" si="189"/>
        <v>0</v>
      </c>
      <c r="BD482" s="49">
        <f t="shared" ca="1" si="189"/>
        <v>0</v>
      </c>
      <c r="BE482" s="49">
        <f t="shared" ca="1" si="189"/>
        <v>0</v>
      </c>
      <c r="BF482" s="49">
        <f t="shared" ca="1" si="189"/>
        <v>0</v>
      </c>
      <c r="BG482" s="49">
        <f t="shared" ca="1" si="189"/>
        <v>0</v>
      </c>
      <c r="BH482" s="49">
        <f t="shared" ca="1" si="189"/>
        <v>0</v>
      </c>
      <c r="BI482" s="49">
        <f t="shared" ca="1" si="189"/>
        <v>0</v>
      </c>
      <c r="BJ482" s="49">
        <f t="shared" ca="1" si="189"/>
        <v>0</v>
      </c>
      <c r="BK482" s="49">
        <f t="shared" ca="1" si="189"/>
        <v>0</v>
      </c>
      <c r="BL482" s="49">
        <f t="shared" ca="1" si="189"/>
        <v>0</v>
      </c>
      <c r="BM482" s="49">
        <f t="shared" ca="1" si="189"/>
        <v>0</v>
      </c>
      <c r="BN482" s="49">
        <f t="shared" ca="1" si="189"/>
        <v>0</v>
      </c>
      <c r="BO482" s="49">
        <f t="shared" ca="1" si="189"/>
        <v>0</v>
      </c>
      <c r="BP482" s="49">
        <f t="shared" ca="1" si="189"/>
        <v>0</v>
      </c>
      <c r="BQ482" s="49">
        <f t="shared" ca="1" si="189"/>
        <v>0</v>
      </c>
      <c r="BR482" s="49">
        <f t="shared" ca="1" si="189"/>
        <v>0</v>
      </c>
      <c r="BS482" s="49">
        <f t="shared" ca="1" si="189"/>
        <v>0</v>
      </c>
    </row>
    <row r="483" spans="3:71" outlineLevel="1" x14ac:dyDescent="0.2">
      <c r="J483" s="26"/>
      <c r="L483" s="55"/>
      <c r="M483" s="55"/>
      <c r="N483" s="55"/>
      <c r="O483" s="55"/>
      <c r="P483" s="55"/>
      <c r="Q483" s="55"/>
      <c r="R483" s="55"/>
      <c r="S483" s="55"/>
      <c r="T483" s="55"/>
      <c r="U483" s="55"/>
      <c r="V483" s="55"/>
      <c r="W483" s="55"/>
      <c r="X483" s="55"/>
      <c r="Y483" s="55"/>
      <c r="Z483" s="55"/>
      <c r="AA483" s="55"/>
      <c r="AB483" s="55"/>
      <c r="AC483" s="55"/>
      <c r="AD483" s="55"/>
      <c r="AE483" s="55"/>
      <c r="AF483" s="55"/>
      <c r="AG483" s="55"/>
      <c r="AH483" s="55"/>
      <c r="AI483" s="55"/>
      <c r="AJ483" s="55"/>
      <c r="AK483" s="55"/>
      <c r="AL483" s="55"/>
      <c r="AM483" s="55"/>
      <c r="AN483" s="55"/>
      <c r="AO483" s="55"/>
      <c r="AP483" s="55"/>
      <c r="AQ483" s="55"/>
      <c r="AR483" s="55"/>
      <c r="AS483" s="55"/>
      <c r="AT483" s="55"/>
      <c r="AU483" s="55"/>
      <c r="AV483" s="55"/>
      <c r="AW483" s="55"/>
      <c r="AX483" s="55"/>
      <c r="AY483" s="55"/>
      <c r="AZ483" s="55"/>
      <c r="BA483" s="55"/>
      <c r="BB483" s="55"/>
      <c r="BC483" s="55"/>
      <c r="BD483" s="55"/>
      <c r="BE483" s="55"/>
      <c r="BF483" s="55"/>
      <c r="BG483" s="55"/>
      <c r="BH483" s="55"/>
      <c r="BI483" s="55"/>
      <c r="BJ483" s="55"/>
      <c r="BK483" s="55"/>
      <c r="BL483" s="55"/>
      <c r="BM483" s="55"/>
      <c r="BN483" s="55"/>
      <c r="BO483" s="55"/>
      <c r="BP483" s="55"/>
      <c r="BQ483" s="55"/>
      <c r="BR483" s="55"/>
      <c r="BS483" s="55"/>
    </row>
    <row r="484" spans="3:71" outlineLevel="1" x14ac:dyDescent="0.2">
      <c r="C484" s="11" t="s">
        <v>274</v>
      </c>
      <c r="I484" s="30">
        <f t="shared" si="187"/>
        <v>0</v>
      </c>
      <c r="J484" s="26" t="s">
        <v>148</v>
      </c>
      <c r="L484" s="49">
        <v>0</v>
      </c>
      <c r="M484" s="49">
        <v>0</v>
      </c>
      <c r="N484" s="49">
        <v>0</v>
      </c>
      <c r="O484" s="49">
        <v>0</v>
      </c>
      <c r="P484" s="49">
        <v>0</v>
      </c>
      <c r="Q484" s="49">
        <v>0</v>
      </c>
      <c r="R484" s="49">
        <v>0</v>
      </c>
      <c r="S484" s="49">
        <v>0</v>
      </c>
      <c r="T484" s="49">
        <v>0</v>
      </c>
      <c r="U484" s="49">
        <v>0</v>
      </c>
      <c r="V484" s="49">
        <v>0</v>
      </c>
      <c r="W484" s="49">
        <v>0</v>
      </c>
      <c r="X484" s="49">
        <v>0</v>
      </c>
      <c r="Y484" s="49">
        <v>0</v>
      </c>
      <c r="Z484" s="49">
        <v>0</v>
      </c>
      <c r="AA484" s="49">
        <v>0</v>
      </c>
      <c r="AB484" s="49">
        <v>0</v>
      </c>
      <c r="AC484" s="49">
        <v>0</v>
      </c>
      <c r="AD484" s="49">
        <v>0</v>
      </c>
      <c r="AE484" s="49">
        <v>0</v>
      </c>
      <c r="AF484" s="49">
        <v>0</v>
      </c>
      <c r="AG484" s="49">
        <v>0</v>
      </c>
      <c r="AH484" s="49">
        <v>0</v>
      </c>
      <c r="AI484" s="49">
        <v>0</v>
      </c>
      <c r="AJ484" s="49">
        <v>0</v>
      </c>
      <c r="AK484" s="49">
        <v>0</v>
      </c>
      <c r="AL484" s="49">
        <v>0</v>
      </c>
      <c r="AM484" s="49">
        <v>0</v>
      </c>
      <c r="AN484" s="49">
        <v>0</v>
      </c>
      <c r="AO484" s="49">
        <v>0</v>
      </c>
      <c r="AP484" s="49">
        <v>0</v>
      </c>
      <c r="AQ484" s="49">
        <v>0</v>
      </c>
      <c r="AR484" s="49">
        <v>0</v>
      </c>
      <c r="AS484" s="49">
        <v>0</v>
      </c>
      <c r="AT484" s="49">
        <v>0</v>
      </c>
      <c r="AU484" s="49">
        <v>0</v>
      </c>
      <c r="AV484" s="49">
        <v>0</v>
      </c>
      <c r="AW484" s="49">
        <v>0</v>
      </c>
      <c r="AX484" s="49">
        <v>0</v>
      </c>
      <c r="AY484" s="49">
        <v>0</v>
      </c>
      <c r="AZ484" s="49">
        <v>0</v>
      </c>
      <c r="BA484" s="49">
        <v>0</v>
      </c>
      <c r="BB484" s="49">
        <v>0</v>
      </c>
      <c r="BC484" s="49">
        <v>0</v>
      </c>
      <c r="BD484" s="49">
        <v>0</v>
      </c>
      <c r="BE484" s="49">
        <v>0</v>
      </c>
      <c r="BF484" s="49">
        <v>0</v>
      </c>
      <c r="BG484" s="49">
        <v>0</v>
      </c>
      <c r="BH484" s="49">
        <v>0</v>
      </c>
      <c r="BI484" s="49">
        <v>0</v>
      </c>
      <c r="BJ484" s="49">
        <v>0</v>
      </c>
      <c r="BK484" s="49">
        <v>0</v>
      </c>
      <c r="BL484" s="49">
        <v>0</v>
      </c>
      <c r="BM484" s="49">
        <v>0</v>
      </c>
      <c r="BN484" s="49">
        <v>0</v>
      </c>
      <c r="BO484" s="49">
        <v>0</v>
      </c>
      <c r="BP484" s="49">
        <v>0</v>
      </c>
      <c r="BQ484" s="49">
        <v>0</v>
      </c>
      <c r="BR484" s="49">
        <v>0</v>
      </c>
      <c r="BS484" s="49">
        <v>0</v>
      </c>
    </row>
    <row r="485" spans="3:71" outlineLevel="1" x14ac:dyDescent="0.2">
      <c r="J485" s="26"/>
      <c r="L485" s="55"/>
      <c r="M485" s="55"/>
      <c r="N485" s="55"/>
      <c r="O485" s="55"/>
      <c r="P485" s="55"/>
      <c r="Q485" s="55"/>
      <c r="R485" s="55"/>
      <c r="S485" s="55"/>
      <c r="T485" s="55"/>
      <c r="U485" s="55"/>
      <c r="V485" s="55"/>
      <c r="W485" s="55"/>
      <c r="X485" s="55"/>
      <c r="Y485" s="55"/>
      <c r="Z485" s="55"/>
      <c r="AA485" s="55"/>
      <c r="AB485" s="55"/>
      <c r="AC485" s="55"/>
      <c r="AD485" s="55"/>
      <c r="AE485" s="55"/>
      <c r="AF485" s="55"/>
      <c r="AG485" s="55"/>
      <c r="AH485" s="55"/>
      <c r="AI485" s="55"/>
      <c r="AJ485" s="55"/>
      <c r="AK485" s="55"/>
      <c r="AL485" s="55"/>
      <c r="AM485" s="55"/>
      <c r="AN485" s="55"/>
      <c r="AO485" s="55"/>
      <c r="AP485" s="55"/>
      <c r="AQ485" s="55"/>
      <c r="AR485" s="55"/>
      <c r="AS485" s="55"/>
      <c r="AT485" s="55"/>
      <c r="AU485" s="55"/>
      <c r="AV485" s="55"/>
      <c r="AW485" s="55"/>
      <c r="AX485" s="55"/>
      <c r="AY485" s="55"/>
      <c r="AZ485" s="55"/>
      <c r="BA485" s="55"/>
      <c r="BB485" s="55"/>
      <c r="BC485" s="55"/>
      <c r="BD485" s="55"/>
      <c r="BE485" s="55"/>
      <c r="BF485" s="55"/>
      <c r="BG485" s="55"/>
      <c r="BH485" s="55"/>
      <c r="BI485" s="55"/>
      <c r="BJ485" s="55"/>
      <c r="BK485" s="55"/>
      <c r="BL485" s="55"/>
      <c r="BM485" s="55"/>
      <c r="BN485" s="55"/>
      <c r="BO485" s="55"/>
      <c r="BP485" s="55"/>
      <c r="BQ485" s="55"/>
      <c r="BR485" s="55"/>
      <c r="BS485" s="55"/>
    </row>
    <row r="486" spans="3:71" outlineLevel="1" x14ac:dyDescent="0.2">
      <c r="C486" s="11" t="s">
        <v>275</v>
      </c>
      <c r="I486" s="30">
        <f t="shared" si="187"/>
        <v>0</v>
      </c>
      <c r="J486" s="26" t="s">
        <v>148</v>
      </c>
      <c r="L486" s="49">
        <v>0</v>
      </c>
      <c r="M486" s="49">
        <v>0</v>
      </c>
      <c r="N486" s="49">
        <v>0</v>
      </c>
      <c r="O486" s="49">
        <v>0</v>
      </c>
      <c r="P486" s="49">
        <v>0</v>
      </c>
      <c r="Q486" s="49">
        <v>0</v>
      </c>
      <c r="R486" s="49">
        <v>0</v>
      </c>
      <c r="S486" s="49">
        <v>0</v>
      </c>
      <c r="T486" s="49">
        <v>0</v>
      </c>
      <c r="U486" s="49">
        <v>0</v>
      </c>
      <c r="V486" s="49">
        <v>0</v>
      </c>
      <c r="W486" s="49">
        <v>0</v>
      </c>
      <c r="X486" s="49">
        <v>0</v>
      </c>
      <c r="Y486" s="49">
        <v>0</v>
      </c>
      <c r="Z486" s="49">
        <v>0</v>
      </c>
      <c r="AA486" s="49">
        <v>0</v>
      </c>
      <c r="AB486" s="49">
        <v>0</v>
      </c>
      <c r="AC486" s="49">
        <v>0</v>
      </c>
      <c r="AD486" s="49">
        <v>0</v>
      </c>
      <c r="AE486" s="49">
        <v>0</v>
      </c>
      <c r="AF486" s="49">
        <v>0</v>
      </c>
      <c r="AG486" s="49">
        <v>0</v>
      </c>
      <c r="AH486" s="49">
        <v>0</v>
      </c>
      <c r="AI486" s="49">
        <v>0</v>
      </c>
      <c r="AJ486" s="49">
        <v>0</v>
      </c>
      <c r="AK486" s="49">
        <v>0</v>
      </c>
      <c r="AL486" s="49">
        <v>0</v>
      </c>
      <c r="AM486" s="49">
        <v>0</v>
      </c>
      <c r="AN486" s="49">
        <v>0</v>
      </c>
      <c r="AO486" s="49">
        <v>0</v>
      </c>
      <c r="AP486" s="49">
        <v>0</v>
      </c>
      <c r="AQ486" s="49">
        <v>0</v>
      </c>
      <c r="AR486" s="49">
        <v>0</v>
      </c>
      <c r="AS486" s="49">
        <v>0</v>
      </c>
      <c r="AT486" s="49">
        <v>0</v>
      </c>
      <c r="AU486" s="49">
        <v>0</v>
      </c>
      <c r="AV486" s="49">
        <v>0</v>
      </c>
      <c r="AW486" s="49">
        <v>0</v>
      </c>
      <c r="AX486" s="49">
        <v>0</v>
      </c>
      <c r="AY486" s="49">
        <v>0</v>
      </c>
      <c r="AZ486" s="49">
        <v>0</v>
      </c>
      <c r="BA486" s="49">
        <v>0</v>
      </c>
      <c r="BB486" s="49">
        <v>0</v>
      </c>
      <c r="BC486" s="49">
        <v>0</v>
      </c>
      <c r="BD486" s="49">
        <v>0</v>
      </c>
      <c r="BE486" s="49">
        <v>0</v>
      </c>
      <c r="BF486" s="49">
        <v>0</v>
      </c>
      <c r="BG486" s="49">
        <v>0</v>
      </c>
      <c r="BH486" s="49">
        <v>0</v>
      </c>
      <c r="BI486" s="49">
        <v>0</v>
      </c>
      <c r="BJ486" s="49">
        <v>0</v>
      </c>
      <c r="BK486" s="49">
        <v>0</v>
      </c>
      <c r="BL486" s="49">
        <v>0</v>
      </c>
      <c r="BM486" s="49">
        <v>0</v>
      </c>
      <c r="BN486" s="49">
        <v>0</v>
      </c>
      <c r="BO486" s="49">
        <v>0</v>
      </c>
      <c r="BP486" s="49">
        <v>0</v>
      </c>
      <c r="BQ486" s="49">
        <v>0</v>
      </c>
      <c r="BR486" s="49">
        <v>0</v>
      </c>
      <c r="BS486" s="49">
        <v>0</v>
      </c>
    </row>
    <row r="487" spans="3:71" outlineLevel="1" x14ac:dyDescent="0.2">
      <c r="J487" s="26"/>
      <c r="L487" s="55"/>
      <c r="M487" s="55"/>
      <c r="N487" s="55"/>
      <c r="O487" s="55"/>
      <c r="P487" s="55"/>
      <c r="Q487" s="55"/>
      <c r="R487" s="55"/>
      <c r="S487" s="55"/>
      <c r="T487" s="55"/>
      <c r="U487" s="55"/>
      <c r="V487" s="55"/>
      <c r="W487" s="55"/>
      <c r="X487" s="55"/>
      <c r="Y487" s="55"/>
      <c r="Z487" s="55"/>
      <c r="AA487" s="55"/>
      <c r="AB487" s="55"/>
      <c r="AC487" s="55"/>
      <c r="AD487" s="55"/>
      <c r="AE487" s="55"/>
      <c r="AF487" s="55"/>
      <c r="AG487" s="55"/>
      <c r="AH487" s="55"/>
      <c r="AI487" s="55"/>
      <c r="AJ487" s="55"/>
      <c r="AK487" s="55"/>
      <c r="AL487" s="55"/>
      <c r="AM487" s="55"/>
      <c r="AN487" s="55"/>
      <c r="AO487" s="55"/>
      <c r="AP487" s="55"/>
      <c r="AQ487" s="55"/>
      <c r="AR487" s="55"/>
      <c r="AS487" s="55"/>
      <c r="AT487" s="55"/>
      <c r="AU487" s="55"/>
      <c r="AV487" s="55"/>
      <c r="AW487" s="55"/>
      <c r="AX487" s="55"/>
      <c r="AY487" s="55"/>
      <c r="AZ487" s="55"/>
      <c r="BA487" s="55"/>
      <c r="BB487" s="55"/>
      <c r="BC487" s="55"/>
      <c r="BD487" s="55"/>
      <c r="BE487" s="55"/>
      <c r="BF487" s="55"/>
      <c r="BG487" s="55"/>
      <c r="BH487" s="55"/>
      <c r="BI487" s="55"/>
      <c r="BJ487" s="55"/>
      <c r="BK487" s="55"/>
      <c r="BL487" s="55"/>
      <c r="BM487" s="55"/>
      <c r="BN487" s="55"/>
      <c r="BO487" s="55"/>
      <c r="BP487" s="55"/>
      <c r="BQ487" s="55"/>
      <c r="BR487" s="55"/>
      <c r="BS487" s="55"/>
    </row>
    <row r="488" spans="3:71" outlineLevel="1" x14ac:dyDescent="0.2">
      <c r="C488" s="11" t="s">
        <v>276</v>
      </c>
      <c r="I488" s="30">
        <f t="shared" ca="1" si="187"/>
        <v>-584.09217787584794</v>
      </c>
      <c r="J488" s="26" t="s">
        <v>148</v>
      </c>
      <c r="K488" s="7" t="s">
        <v>878</v>
      </c>
      <c r="L488" s="49">
        <f ca="1">L472-L474-L476-L478-L480-L482-L484-L486</f>
        <v>-424.68500000000006</v>
      </c>
      <c r="M488" s="49">
        <f t="shared" ref="M488:BS488" ca="1" si="190">M472-M474-M476-M478-M480-M482-M484-M486</f>
        <v>-597.26191382172044</v>
      </c>
      <c r="N488" s="49">
        <f t="shared" ca="1" si="190"/>
        <v>-783.37336913900026</v>
      </c>
      <c r="O488" s="49">
        <f t="shared" ca="1" si="190"/>
        <v>-455.69714671297982</v>
      </c>
      <c r="P488" s="49">
        <f t="shared" ca="1" si="190"/>
        <v>-246.88427787395881</v>
      </c>
      <c r="Q488" s="49">
        <f t="shared" ca="1" si="190"/>
        <v>146.80342001556883</v>
      </c>
      <c r="R488" s="49">
        <f t="shared" ca="1" si="190"/>
        <v>305.78851519027819</v>
      </c>
      <c r="S488" s="49">
        <f t="shared" ca="1" si="190"/>
        <v>176.41291699416044</v>
      </c>
      <c r="T488" s="49">
        <f t="shared" ca="1" si="190"/>
        <v>309.45719257825277</v>
      </c>
      <c r="U488" s="49">
        <f t="shared" ca="1" si="190"/>
        <v>298.27975544258385</v>
      </c>
      <c r="V488" s="49">
        <f t="shared" ca="1" si="190"/>
        <v>265.95295429591573</v>
      </c>
      <c r="W488" s="49">
        <f t="shared" ca="1" si="190"/>
        <v>226.59565117133016</v>
      </c>
      <c r="X488" s="49">
        <f t="shared" ca="1" si="190"/>
        <v>194.51912398372144</v>
      </c>
      <c r="Y488" s="49">
        <f t="shared" ca="1" si="190"/>
        <v>0</v>
      </c>
      <c r="Z488" s="49">
        <f t="shared" ca="1" si="190"/>
        <v>0</v>
      </c>
      <c r="AA488" s="49">
        <f t="shared" ca="1" si="190"/>
        <v>0</v>
      </c>
      <c r="AB488" s="49">
        <f t="shared" ca="1" si="190"/>
        <v>0</v>
      </c>
      <c r="AC488" s="49">
        <f t="shared" ca="1" si="190"/>
        <v>0</v>
      </c>
      <c r="AD488" s="49">
        <f t="shared" ca="1" si="190"/>
        <v>0</v>
      </c>
      <c r="AE488" s="49">
        <f t="shared" ca="1" si="190"/>
        <v>0</v>
      </c>
      <c r="AF488" s="49">
        <f t="shared" ca="1" si="190"/>
        <v>0</v>
      </c>
      <c r="AG488" s="49">
        <f t="shared" ca="1" si="190"/>
        <v>0</v>
      </c>
      <c r="AH488" s="49">
        <f t="shared" ca="1" si="190"/>
        <v>0</v>
      </c>
      <c r="AI488" s="49">
        <f t="shared" ca="1" si="190"/>
        <v>0</v>
      </c>
      <c r="AJ488" s="49">
        <f t="shared" ca="1" si="190"/>
        <v>0</v>
      </c>
      <c r="AK488" s="49">
        <f t="shared" ca="1" si="190"/>
        <v>0</v>
      </c>
      <c r="AL488" s="49">
        <f t="shared" ca="1" si="190"/>
        <v>0</v>
      </c>
      <c r="AM488" s="49">
        <f t="shared" ca="1" si="190"/>
        <v>0</v>
      </c>
      <c r="AN488" s="49">
        <f t="shared" ca="1" si="190"/>
        <v>0</v>
      </c>
      <c r="AO488" s="49">
        <f t="shared" ca="1" si="190"/>
        <v>0</v>
      </c>
      <c r="AP488" s="49">
        <f t="shared" ca="1" si="190"/>
        <v>0</v>
      </c>
      <c r="AQ488" s="49">
        <f t="shared" ca="1" si="190"/>
        <v>0</v>
      </c>
      <c r="AR488" s="49">
        <f t="shared" ca="1" si="190"/>
        <v>0</v>
      </c>
      <c r="AS488" s="49">
        <f t="shared" ca="1" si="190"/>
        <v>0</v>
      </c>
      <c r="AT488" s="49">
        <f t="shared" ca="1" si="190"/>
        <v>0</v>
      </c>
      <c r="AU488" s="49">
        <f t="shared" ca="1" si="190"/>
        <v>0</v>
      </c>
      <c r="AV488" s="49">
        <f t="shared" ca="1" si="190"/>
        <v>0</v>
      </c>
      <c r="AW488" s="49">
        <f t="shared" ca="1" si="190"/>
        <v>0</v>
      </c>
      <c r="AX488" s="49">
        <f t="shared" ca="1" si="190"/>
        <v>0</v>
      </c>
      <c r="AY488" s="49">
        <f t="shared" ca="1" si="190"/>
        <v>0</v>
      </c>
      <c r="AZ488" s="49">
        <f t="shared" ca="1" si="190"/>
        <v>0</v>
      </c>
      <c r="BA488" s="49">
        <f t="shared" ca="1" si="190"/>
        <v>0</v>
      </c>
      <c r="BB488" s="49">
        <f t="shared" ca="1" si="190"/>
        <v>0</v>
      </c>
      <c r="BC488" s="49">
        <f t="shared" ca="1" si="190"/>
        <v>0</v>
      </c>
      <c r="BD488" s="49">
        <f t="shared" ca="1" si="190"/>
        <v>0</v>
      </c>
      <c r="BE488" s="49">
        <f t="shared" ca="1" si="190"/>
        <v>0</v>
      </c>
      <c r="BF488" s="49">
        <f t="shared" ca="1" si="190"/>
        <v>0</v>
      </c>
      <c r="BG488" s="49">
        <f t="shared" ca="1" si="190"/>
        <v>0</v>
      </c>
      <c r="BH488" s="49">
        <f t="shared" ca="1" si="190"/>
        <v>0</v>
      </c>
      <c r="BI488" s="49">
        <f t="shared" ca="1" si="190"/>
        <v>0</v>
      </c>
      <c r="BJ488" s="49">
        <f t="shared" ca="1" si="190"/>
        <v>0</v>
      </c>
      <c r="BK488" s="49">
        <f t="shared" ca="1" si="190"/>
        <v>0</v>
      </c>
      <c r="BL488" s="49">
        <f t="shared" ca="1" si="190"/>
        <v>0</v>
      </c>
      <c r="BM488" s="49">
        <f t="shared" ca="1" si="190"/>
        <v>0</v>
      </c>
      <c r="BN488" s="49">
        <f t="shared" ca="1" si="190"/>
        <v>0</v>
      </c>
      <c r="BO488" s="49">
        <f t="shared" ca="1" si="190"/>
        <v>0</v>
      </c>
      <c r="BP488" s="49">
        <f t="shared" ca="1" si="190"/>
        <v>0</v>
      </c>
      <c r="BQ488" s="49">
        <f t="shared" ca="1" si="190"/>
        <v>0</v>
      </c>
      <c r="BR488" s="49">
        <f t="shared" ca="1" si="190"/>
        <v>0</v>
      </c>
      <c r="BS488" s="49">
        <f t="shared" ca="1" si="190"/>
        <v>0</v>
      </c>
    </row>
    <row r="489" spans="3:71" outlineLevel="1" x14ac:dyDescent="0.2">
      <c r="J489" s="26"/>
      <c r="L489" s="55"/>
      <c r="M489" s="55"/>
      <c r="N489" s="55"/>
      <c r="O489" s="55"/>
      <c r="P489" s="55"/>
      <c r="Q489" s="55"/>
      <c r="R489" s="55"/>
      <c r="S489" s="55"/>
      <c r="T489" s="55"/>
      <c r="U489" s="55"/>
      <c r="V489" s="55"/>
      <c r="W489" s="55"/>
      <c r="X489" s="55"/>
      <c r="Y489" s="55"/>
      <c r="Z489" s="55"/>
      <c r="AA489" s="55"/>
      <c r="AB489" s="55"/>
      <c r="AC489" s="55"/>
      <c r="AD489" s="55"/>
      <c r="AE489" s="55"/>
      <c r="AF489" s="55"/>
      <c r="AG489" s="55"/>
      <c r="AH489" s="55"/>
      <c r="AI489" s="55"/>
      <c r="AJ489" s="55"/>
      <c r="AK489" s="55"/>
      <c r="AL489" s="55"/>
      <c r="AM489" s="55"/>
      <c r="AN489" s="55"/>
      <c r="AO489" s="55"/>
      <c r="AP489" s="55"/>
      <c r="AQ489" s="55"/>
      <c r="AR489" s="55"/>
      <c r="AS489" s="55"/>
      <c r="AT489" s="55"/>
      <c r="AU489" s="55"/>
      <c r="AV489" s="55"/>
      <c r="AW489" s="55"/>
      <c r="AX489" s="55"/>
      <c r="AY489" s="55"/>
      <c r="AZ489" s="55"/>
      <c r="BA489" s="55"/>
      <c r="BB489" s="55"/>
      <c r="BC489" s="55"/>
      <c r="BD489" s="55"/>
      <c r="BE489" s="55"/>
      <c r="BF489" s="55"/>
      <c r="BG489" s="55"/>
      <c r="BH489" s="55"/>
      <c r="BI489" s="55"/>
      <c r="BJ489" s="55"/>
      <c r="BK489" s="55"/>
      <c r="BL489" s="55"/>
      <c r="BM489" s="55"/>
      <c r="BN489" s="55"/>
      <c r="BO489" s="55"/>
      <c r="BP489" s="55"/>
      <c r="BQ489" s="55"/>
      <c r="BR489" s="55"/>
      <c r="BS489" s="55"/>
    </row>
    <row r="490" spans="3:71" outlineLevel="1" x14ac:dyDescent="0.2">
      <c r="C490" s="11" t="s">
        <v>303</v>
      </c>
      <c r="J490" s="26"/>
      <c r="L490" s="66">
        <f ca="1">(K490+L488)*Marine!CA_op_trig</f>
        <v>-424.68500000000006</v>
      </c>
      <c r="M490" s="66">
        <f ca="1">(L490+M488)*Marine!CA_op_trig</f>
        <v>-1021.9469138217205</v>
      </c>
      <c r="N490" s="66">
        <f ca="1">(M490+N488)*Marine!CA_op_trig</f>
        <v>-1805.3202829607208</v>
      </c>
      <c r="O490" s="66">
        <f ca="1">(N490+O488)*Marine!CA_op_trig</f>
        <v>-2261.0174296737005</v>
      </c>
      <c r="P490" s="66">
        <f ca="1">(O490+P488)*Marine!CA_op_trig</f>
        <v>-2507.9017075476595</v>
      </c>
      <c r="Q490" s="66">
        <f ca="1">(P490+Q488)*Marine!CA_op_trig</f>
        <v>-2361.0982875320906</v>
      </c>
      <c r="R490" s="66">
        <f ca="1">(Q490+R488)*Marine!CA_op_trig</f>
        <v>-2055.3097723418123</v>
      </c>
      <c r="S490" s="66">
        <f ca="1">(R490+S488)*Marine!CA_op_trig</f>
        <v>-1878.8968553476518</v>
      </c>
      <c r="T490" s="66">
        <f ca="1">(S490+T488)*Marine!CA_op_trig</f>
        <v>-1569.4396627693991</v>
      </c>
      <c r="U490" s="66">
        <f ca="1">(T490+U488)*Marine!CA_op_trig</f>
        <v>-1271.1599073268153</v>
      </c>
      <c r="V490" s="66">
        <f ca="1">(U490+V488)*Marine!CA_op_trig</f>
        <v>-1005.2069530308995</v>
      </c>
      <c r="W490" s="66">
        <f ca="1">(V490+W488)*Marine!CA_op_trig</f>
        <v>-778.61130185956938</v>
      </c>
      <c r="X490" s="66">
        <f ca="1">(W490+X488)*Marine!CA_op_trig</f>
        <v>-584.09217787584794</v>
      </c>
      <c r="Y490" s="66">
        <f ca="1">(X490+Y488)*Marine!CA_op_trig</f>
        <v>0</v>
      </c>
      <c r="Z490" s="66">
        <f ca="1">(Y490+Z488)*Marine!CA_op_trig</f>
        <v>0</v>
      </c>
      <c r="AA490" s="66">
        <f ca="1">(Z490+AA488)*Marine!CA_op_trig</f>
        <v>0</v>
      </c>
      <c r="AB490" s="66">
        <f ca="1">(AA490+AB488)*Marine!CA_op_trig</f>
        <v>0</v>
      </c>
      <c r="AC490" s="66">
        <f ca="1">(AB490+AC488)*Marine!CA_op_trig</f>
        <v>0</v>
      </c>
      <c r="AD490" s="66">
        <f ca="1">(AC490+AD488)*Marine!CA_op_trig</f>
        <v>0</v>
      </c>
      <c r="AE490" s="66">
        <f ca="1">(AD490+AE488)*Marine!CA_op_trig</f>
        <v>0</v>
      </c>
      <c r="AF490" s="66">
        <f ca="1">(AE490+AF488)*Marine!CA_op_trig</f>
        <v>0</v>
      </c>
      <c r="AG490" s="66">
        <f ca="1">(AF490+AG488)*Marine!CA_op_trig</f>
        <v>0</v>
      </c>
      <c r="AH490" s="66">
        <f ca="1">(AG490+AH488)*Marine!CA_op_trig</f>
        <v>0</v>
      </c>
      <c r="AI490" s="66">
        <f ca="1">(AH490+AI488)*Marine!CA_op_trig</f>
        <v>0</v>
      </c>
      <c r="AJ490" s="66">
        <f ca="1">(AI490+AJ488)*Marine!CA_op_trig</f>
        <v>0</v>
      </c>
      <c r="AK490" s="66">
        <f ca="1">(AJ490+AK488)*Marine!CA_op_trig</f>
        <v>0</v>
      </c>
      <c r="AL490" s="66">
        <f ca="1">(AK490+AL488)*Marine!CA_op_trig</f>
        <v>0</v>
      </c>
      <c r="AM490" s="66">
        <f ca="1">(AL490+AM488)*Marine!CA_op_trig</f>
        <v>0</v>
      </c>
      <c r="AN490" s="66">
        <f ca="1">(AM490+AN488)*Marine!CA_op_trig</f>
        <v>0</v>
      </c>
      <c r="AO490" s="66">
        <f ca="1">(AN490+AO488)*Marine!CA_op_trig</f>
        <v>0</v>
      </c>
      <c r="AP490" s="66">
        <f ca="1">(AO490+AP488)*Marine!CA_op_trig</f>
        <v>0</v>
      </c>
      <c r="AQ490" s="66">
        <f ca="1">(AP490+AQ488)*Marine!CA_op_trig</f>
        <v>0</v>
      </c>
      <c r="AR490" s="66">
        <f ca="1">(AQ490+AR488)*Marine!CA_op_trig</f>
        <v>0</v>
      </c>
      <c r="AS490" s="66">
        <f ca="1">(AR490+AS488)*Marine!CA_op_trig</f>
        <v>0</v>
      </c>
      <c r="AT490" s="66">
        <f ca="1">(AS490+AT488)*Marine!CA_op_trig</f>
        <v>0</v>
      </c>
      <c r="AU490" s="66">
        <f ca="1">(AT490+AU488)*Marine!CA_op_trig</f>
        <v>0</v>
      </c>
      <c r="AV490" s="66">
        <f ca="1">(AU490+AV488)*Marine!CA_op_trig</f>
        <v>0</v>
      </c>
      <c r="AW490" s="66">
        <f ca="1">(AV490+AW488)*Marine!CA_op_trig</f>
        <v>0</v>
      </c>
      <c r="AX490" s="66">
        <f ca="1">(AW490+AX488)*Marine!CA_op_trig</f>
        <v>0</v>
      </c>
      <c r="AY490" s="66">
        <f ca="1">(AX490+AY488)*Marine!CA_op_trig</f>
        <v>0</v>
      </c>
      <c r="AZ490" s="66">
        <f ca="1">(AY490+AZ488)*Marine!CA_op_trig</f>
        <v>0</v>
      </c>
      <c r="BA490" s="66">
        <f ca="1">(AZ490+BA488)*Marine!CA_op_trig</f>
        <v>0</v>
      </c>
      <c r="BB490" s="66">
        <f ca="1">(BA490+BB488)*Marine!CA_op_trig</f>
        <v>0</v>
      </c>
      <c r="BC490" s="66">
        <f ca="1">(BB490+BC488)*Marine!CA_op_trig</f>
        <v>0</v>
      </c>
      <c r="BD490" s="66">
        <f ca="1">(BC490+BD488)*Marine!CA_op_trig</f>
        <v>0</v>
      </c>
      <c r="BE490" s="66">
        <f ca="1">(BD490+BE488)*Marine!CA_op_trig</f>
        <v>0</v>
      </c>
      <c r="BF490" s="66">
        <f ca="1">(BE490+BF488)*Marine!CA_op_trig</f>
        <v>0</v>
      </c>
      <c r="BG490" s="66">
        <f ca="1">(BF490+BG488)*Marine!CA_op_trig</f>
        <v>0</v>
      </c>
      <c r="BH490" s="66">
        <f ca="1">(BG490+BH488)*Marine!CA_op_trig</f>
        <v>0</v>
      </c>
      <c r="BI490" s="66">
        <f ca="1">(BH490+BI488)*Marine!CA_op_trig</f>
        <v>0</v>
      </c>
      <c r="BJ490" s="66">
        <f ca="1">(BI490+BJ488)*Marine!CA_op_trig</f>
        <v>0</v>
      </c>
      <c r="BK490" s="66">
        <f ca="1">(BJ490+BK488)*Marine!CA_op_trig</f>
        <v>0</v>
      </c>
      <c r="BL490" s="66">
        <f ca="1">(BK490+BL488)*Marine!CA_op_trig</f>
        <v>0</v>
      </c>
      <c r="BM490" s="66">
        <f ca="1">(BL490+BM488)*Marine!CA_op_trig</f>
        <v>0</v>
      </c>
      <c r="BN490" s="66">
        <f ca="1">(BM490+BN488)*Marine!CA_op_trig</f>
        <v>0</v>
      </c>
      <c r="BO490" s="66">
        <f ca="1">(BN490+BO488)*Marine!CA_op_trig</f>
        <v>0</v>
      </c>
      <c r="BP490" s="66">
        <f ca="1">(BO490+BP488)*Marine!CA_op_trig</f>
        <v>0</v>
      </c>
      <c r="BQ490" s="66">
        <f ca="1">(BP490+BQ488)*Marine!CA_op_trig</f>
        <v>0</v>
      </c>
      <c r="BR490" s="66">
        <f ca="1">(BQ490+BR488)*Marine!CA_op_trig</f>
        <v>0</v>
      </c>
      <c r="BS490" s="66">
        <f ca="1">(BR490+BS488)*Marine!CA_op_trig</f>
        <v>0</v>
      </c>
    </row>
    <row r="491" spans="3:71" outlineLevel="1" x14ac:dyDescent="0.2">
      <c r="J491" s="26"/>
      <c r="L491" s="55"/>
      <c r="M491" s="55"/>
      <c r="N491" s="55"/>
      <c r="O491" s="55"/>
      <c r="P491" s="55"/>
      <c r="Q491" s="55"/>
      <c r="R491" s="55"/>
      <c r="S491" s="55"/>
      <c r="T491" s="55"/>
      <c r="U491" s="55"/>
      <c r="V491" s="55"/>
      <c r="W491" s="55"/>
      <c r="X491" s="55"/>
      <c r="Y491" s="55"/>
      <c r="Z491" s="55"/>
      <c r="AA491" s="55"/>
      <c r="AB491" s="55"/>
      <c r="AC491" s="55"/>
      <c r="AD491" s="55"/>
      <c r="AE491" s="55"/>
      <c r="AF491" s="55"/>
      <c r="AG491" s="55"/>
      <c r="AH491" s="55"/>
      <c r="AI491" s="55"/>
      <c r="AJ491" s="55"/>
      <c r="AK491" s="55"/>
      <c r="AL491" s="55"/>
      <c r="AM491" s="55"/>
      <c r="AN491" s="55"/>
      <c r="AO491" s="55"/>
      <c r="AP491" s="55"/>
      <c r="AQ491" s="55"/>
      <c r="AR491" s="55"/>
      <c r="AS491" s="55"/>
      <c r="AT491" s="55"/>
      <c r="AU491" s="55"/>
      <c r="AV491" s="55"/>
      <c r="AW491" s="55"/>
      <c r="AX491" s="55"/>
      <c r="AY491" s="55"/>
      <c r="AZ491" s="55"/>
      <c r="BA491" s="55"/>
      <c r="BB491" s="55"/>
      <c r="BC491" s="55"/>
      <c r="BD491" s="55"/>
      <c r="BE491" s="55"/>
      <c r="BF491" s="55"/>
      <c r="BG491" s="55"/>
      <c r="BH491" s="55"/>
      <c r="BI491" s="55"/>
      <c r="BJ491" s="55"/>
      <c r="BK491" s="55"/>
      <c r="BL491" s="55"/>
      <c r="BM491" s="55"/>
      <c r="BN491" s="55"/>
      <c r="BO491" s="55"/>
      <c r="BP491" s="55"/>
      <c r="BQ491" s="55"/>
      <c r="BR491" s="55"/>
      <c r="BS491" s="55"/>
    </row>
    <row r="492" spans="3:71" outlineLevel="1" x14ac:dyDescent="0.2">
      <c r="C492" s="11" t="s">
        <v>284</v>
      </c>
      <c r="G492" s="60"/>
      <c r="I492" s="63">
        <f ca="1">SUMPRODUCT(OA_cont_ATCF_Marine,Marine!CA_disc_factor_fc)</f>
        <v>-615.00786030673771</v>
      </c>
      <c r="J492" s="26" t="s">
        <v>148</v>
      </c>
      <c r="L492" s="55"/>
      <c r="M492" s="55"/>
      <c r="N492" s="55"/>
      <c r="O492" s="55"/>
      <c r="P492" s="55"/>
      <c r="Q492" s="55"/>
      <c r="R492" s="55"/>
      <c r="S492" s="55"/>
      <c r="T492" s="55"/>
      <c r="U492" s="55"/>
      <c r="V492" s="55"/>
      <c r="W492" s="55"/>
      <c r="X492" s="55"/>
      <c r="Y492" s="55"/>
      <c r="Z492" s="55"/>
      <c r="AA492" s="55"/>
      <c r="AB492" s="55"/>
      <c r="AC492" s="55"/>
      <c r="AD492" s="55"/>
      <c r="AE492" s="55"/>
      <c r="AF492" s="55"/>
      <c r="AG492" s="55"/>
      <c r="AH492" s="55"/>
      <c r="AI492" s="55"/>
      <c r="AJ492" s="55"/>
      <c r="AK492" s="55"/>
      <c r="AL492" s="55"/>
      <c r="AM492" s="55"/>
      <c r="AN492" s="55"/>
      <c r="AO492" s="55"/>
      <c r="AP492" s="55"/>
      <c r="AQ492" s="55"/>
      <c r="AR492" s="55"/>
      <c r="AS492" s="55"/>
      <c r="AT492" s="55"/>
      <c r="AU492" s="55"/>
      <c r="AV492" s="55"/>
      <c r="AW492" s="55"/>
      <c r="AX492" s="55"/>
      <c r="AY492" s="55"/>
      <c r="AZ492" s="55"/>
      <c r="BA492" s="55"/>
      <c r="BB492" s="55"/>
      <c r="BC492" s="55"/>
      <c r="BD492" s="55"/>
      <c r="BE492" s="55"/>
      <c r="BF492" s="55"/>
      <c r="BG492" s="55"/>
      <c r="BH492" s="55"/>
      <c r="BI492" s="55"/>
      <c r="BJ492" s="55"/>
      <c r="BK492" s="55"/>
      <c r="BL492" s="55"/>
      <c r="BM492" s="55"/>
      <c r="BN492" s="55"/>
      <c r="BO492" s="55"/>
      <c r="BP492" s="55"/>
      <c r="BQ492" s="55"/>
      <c r="BR492" s="55"/>
      <c r="BS492" s="55"/>
    </row>
    <row r="493" spans="3:71" outlineLevel="1" x14ac:dyDescent="0.2">
      <c r="C493" s="11" t="s">
        <v>285</v>
      </c>
      <c r="I493" s="63">
        <f ca="1">SUMPRODUCT(OA_cont_ATCF_Marine,Marine!CA_disc_factor_pf)</f>
        <v>1052.1653055183051</v>
      </c>
      <c r="J493" s="26" t="s">
        <v>148</v>
      </c>
      <c r="L493" s="55"/>
      <c r="M493" s="55"/>
      <c r="N493" s="55"/>
      <c r="O493" s="55"/>
      <c r="P493" s="55"/>
      <c r="Q493" s="55"/>
      <c r="R493" s="55"/>
      <c r="S493" s="55"/>
      <c r="T493" s="55"/>
      <c r="U493" s="55"/>
      <c r="V493" s="55"/>
      <c r="W493" s="55"/>
      <c r="X493" s="55"/>
      <c r="Y493" s="55"/>
      <c r="Z493" s="55"/>
      <c r="AA493" s="55"/>
      <c r="AB493" s="55"/>
      <c r="AC493" s="55"/>
      <c r="AD493" s="55"/>
      <c r="AE493" s="55"/>
      <c r="AF493" s="55"/>
      <c r="AG493" s="55"/>
      <c r="AH493" s="55"/>
      <c r="AI493" s="55"/>
      <c r="AJ493" s="55"/>
      <c r="AK493" s="55"/>
      <c r="AL493" s="55"/>
      <c r="AM493" s="55"/>
      <c r="AN493" s="55"/>
      <c r="AO493" s="55"/>
      <c r="AP493" s="55"/>
      <c r="AQ493" s="55"/>
      <c r="AR493" s="55"/>
      <c r="AS493" s="55"/>
      <c r="AT493" s="55"/>
      <c r="AU493" s="55"/>
      <c r="AV493" s="55"/>
      <c r="AW493" s="55"/>
      <c r="AX493" s="55"/>
      <c r="AY493" s="55"/>
      <c r="AZ493" s="55"/>
      <c r="BA493" s="55"/>
      <c r="BB493" s="55"/>
      <c r="BC493" s="55"/>
      <c r="BD493" s="55"/>
      <c r="BE493" s="55"/>
      <c r="BF493" s="55"/>
      <c r="BG493" s="55"/>
      <c r="BH493" s="55"/>
      <c r="BI493" s="55"/>
      <c r="BJ493" s="55"/>
      <c r="BK493" s="55"/>
      <c r="BL493" s="55"/>
      <c r="BM493" s="55"/>
      <c r="BN493" s="55"/>
      <c r="BO493" s="55"/>
      <c r="BP493" s="55"/>
      <c r="BQ493" s="55"/>
      <c r="BR493" s="55"/>
      <c r="BS493" s="55"/>
    </row>
    <row r="494" spans="3:71" outlineLevel="1" x14ac:dyDescent="0.2">
      <c r="I494" s="61"/>
      <c r="J494" s="26"/>
      <c r="L494" s="55"/>
      <c r="M494" s="55"/>
      <c r="N494" s="55"/>
      <c r="O494" s="55"/>
      <c r="P494" s="55"/>
      <c r="Q494" s="55"/>
      <c r="R494" s="55"/>
      <c r="S494" s="55"/>
      <c r="T494" s="55"/>
      <c r="U494" s="55"/>
      <c r="V494" s="55"/>
      <c r="W494" s="55"/>
      <c r="X494" s="55"/>
      <c r="Y494" s="55"/>
      <c r="Z494" s="55"/>
      <c r="AA494" s="55"/>
      <c r="AB494" s="55"/>
      <c r="AC494" s="55"/>
      <c r="AD494" s="55"/>
      <c r="AE494" s="55"/>
      <c r="AF494" s="55"/>
      <c r="AG494" s="55"/>
      <c r="AH494" s="55"/>
      <c r="AI494" s="55"/>
      <c r="AJ494" s="55"/>
      <c r="AK494" s="55"/>
      <c r="AL494" s="55"/>
      <c r="AM494" s="55"/>
      <c r="AN494" s="55"/>
      <c r="AO494" s="55"/>
      <c r="AP494" s="55"/>
      <c r="AQ494" s="55"/>
      <c r="AR494" s="55"/>
      <c r="AS494" s="55"/>
      <c r="AT494" s="55"/>
      <c r="AU494" s="55"/>
      <c r="AV494" s="55"/>
      <c r="AW494" s="55"/>
      <c r="AX494" s="55"/>
      <c r="AY494" s="55"/>
      <c r="AZ494" s="55"/>
      <c r="BA494" s="55"/>
      <c r="BB494" s="55"/>
      <c r="BC494" s="55"/>
      <c r="BD494" s="55"/>
      <c r="BE494" s="55"/>
      <c r="BF494" s="55"/>
      <c r="BG494" s="55"/>
      <c r="BH494" s="55"/>
      <c r="BI494" s="55"/>
      <c r="BJ494" s="55"/>
      <c r="BK494" s="55"/>
      <c r="BL494" s="55"/>
      <c r="BM494" s="55"/>
      <c r="BN494" s="55"/>
      <c r="BO494" s="55"/>
      <c r="BP494" s="55"/>
      <c r="BQ494" s="55"/>
      <c r="BR494" s="55"/>
      <c r="BS494" s="55"/>
    </row>
    <row r="495" spans="3:71" outlineLevel="1" x14ac:dyDescent="0.2">
      <c r="C495" s="11" t="s">
        <v>286</v>
      </c>
      <c r="I495" s="62">
        <f ca="1">IFERROR(IRR(INDEX(OA_cont_ATCF_Marine,1,MAX(1,$G$437-L4+1)):INDEX(OA_cont_ATCF_Marine,1,last_model_year)),"na")</f>
        <v>-3.8195500684166772E-2</v>
      </c>
      <c r="J495" s="26" t="s">
        <v>90</v>
      </c>
      <c r="L495" s="55"/>
      <c r="M495" s="55"/>
      <c r="N495" s="55"/>
      <c r="O495" s="55"/>
      <c r="P495" s="55"/>
      <c r="Q495" s="55"/>
      <c r="R495" s="55"/>
      <c r="S495" s="55"/>
      <c r="T495" s="55"/>
      <c r="U495" s="55"/>
      <c r="V495" s="55"/>
      <c r="W495" s="55"/>
      <c r="X495" s="55"/>
      <c r="Y495" s="55"/>
      <c r="Z495" s="55"/>
      <c r="AA495" s="55"/>
      <c r="AB495" s="55"/>
      <c r="AC495" s="55"/>
      <c r="AD495" s="55"/>
      <c r="AE495" s="55"/>
      <c r="AF495" s="55"/>
      <c r="AG495" s="55"/>
      <c r="AH495" s="55"/>
      <c r="AI495" s="55"/>
      <c r="AJ495" s="55"/>
      <c r="AK495" s="55"/>
      <c r="AL495" s="55"/>
      <c r="AM495" s="55"/>
      <c r="AN495" s="55"/>
      <c r="AO495" s="55"/>
      <c r="AP495" s="55"/>
      <c r="AQ495" s="55"/>
      <c r="AR495" s="55"/>
      <c r="AS495" s="55"/>
      <c r="AT495" s="55"/>
      <c r="AU495" s="55"/>
      <c r="AV495" s="55"/>
      <c r="AW495" s="55"/>
      <c r="AX495" s="55"/>
      <c r="AY495" s="55"/>
      <c r="AZ495" s="55"/>
      <c r="BA495" s="55"/>
      <c r="BB495" s="55"/>
      <c r="BC495" s="55"/>
      <c r="BD495" s="55"/>
      <c r="BE495" s="55"/>
      <c r="BF495" s="55"/>
      <c r="BG495" s="55"/>
      <c r="BH495" s="55"/>
      <c r="BI495" s="55"/>
      <c r="BJ495" s="55"/>
      <c r="BK495" s="55"/>
      <c r="BL495" s="55"/>
      <c r="BM495" s="55"/>
      <c r="BN495" s="55"/>
      <c r="BO495" s="55"/>
      <c r="BP495" s="55"/>
      <c r="BQ495" s="55"/>
      <c r="BR495" s="55"/>
      <c r="BS495" s="55"/>
    </row>
    <row r="496" spans="3:71" outlineLevel="1" x14ac:dyDescent="0.2">
      <c r="C496" s="11" t="s">
        <v>287</v>
      </c>
      <c r="I496" s="62" t="str">
        <f ca="1">IFERROR(IRR(INDEX(OA_cont_ATCF_Marine,1,MAX(1,$G$438-L4+1)):INDEX(OA_cont_ATCF_Marine,1,last_model_year)),"na")</f>
        <v>na</v>
      </c>
      <c r="J496" s="26" t="s">
        <v>90</v>
      </c>
      <c r="L496" s="55"/>
      <c r="M496" s="55"/>
      <c r="N496" s="55"/>
      <c r="O496" s="55"/>
      <c r="P496" s="55"/>
      <c r="Q496" s="55"/>
      <c r="R496" s="55"/>
      <c r="S496" s="55"/>
      <c r="T496" s="55"/>
      <c r="U496" s="55"/>
      <c r="V496" s="55"/>
      <c r="W496" s="55"/>
      <c r="X496" s="55"/>
      <c r="Y496" s="55"/>
      <c r="Z496" s="55"/>
      <c r="AA496" s="55"/>
      <c r="AB496" s="55"/>
      <c r="AC496" s="55"/>
      <c r="AD496" s="55"/>
      <c r="AE496" s="55"/>
      <c r="AF496" s="55"/>
      <c r="AG496" s="55"/>
      <c r="AH496" s="55"/>
      <c r="AI496" s="55"/>
      <c r="AJ496" s="55"/>
      <c r="AK496" s="55"/>
      <c r="AL496" s="55"/>
      <c r="AM496" s="55"/>
      <c r="AN496" s="55"/>
      <c r="AO496" s="55"/>
      <c r="AP496" s="55"/>
      <c r="AQ496" s="55"/>
      <c r="AR496" s="55"/>
      <c r="AS496" s="55"/>
      <c r="AT496" s="55"/>
      <c r="AU496" s="55"/>
      <c r="AV496" s="55"/>
      <c r="AW496" s="55"/>
      <c r="AX496" s="55"/>
      <c r="AY496" s="55"/>
      <c r="AZ496" s="55"/>
      <c r="BA496" s="55"/>
      <c r="BB496" s="55"/>
      <c r="BC496" s="55"/>
      <c r="BD496" s="55"/>
      <c r="BE496" s="55"/>
      <c r="BF496" s="55"/>
      <c r="BG496" s="55"/>
      <c r="BH496" s="55"/>
      <c r="BI496" s="55"/>
      <c r="BJ496" s="55"/>
      <c r="BK496" s="55"/>
      <c r="BL496" s="55"/>
      <c r="BM496" s="55"/>
      <c r="BN496" s="55"/>
      <c r="BO496" s="55"/>
      <c r="BP496" s="55"/>
      <c r="BQ496" s="55"/>
      <c r="BR496" s="55"/>
      <c r="BS496" s="55"/>
    </row>
    <row r="497" spans="1:71" outlineLevel="1" x14ac:dyDescent="0.2">
      <c r="J497" s="26"/>
      <c r="L497" s="55"/>
      <c r="M497" s="55"/>
      <c r="N497" s="55"/>
      <c r="O497" s="55"/>
      <c r="P497" s="55"/>
      <c r="Q497" s="55"/>
      <c r="R497" s="55"/>
      <c r="S497" s="55"/>
      <c r="T497" s="55"/>
      <c r="U497" s="55"/>
      <c r="V497" s="55"/>
      <c r="W497" s="55"/>
      <c r="X497" s="55"/>
      <c r="Y497" s="55"/>
      <c r="Z497" s="55"/>
      <c r="AA497" s="55"/>
      <c r="AB497" s="55"/>
      <c r="AC497" s="55"/>
      <c r="AD497" s="55"/>
      <c r="AE497" s="55"/>
      <c r="AF497" s="55"/>
      <c r="AG497" s="55"/>
      <c r="AH497" s="55"/>
      <c r="AI497" s="55"/>
      <c r="AJ497" s="55"/>
      <c r="AK497" s="55"/>
      <c r="AL497" s="55"/>
      <c r="AM497" s="55"/>
      <c r="AN497" s="55"/>
      <c r="AO497" s="55"/>
      <c r="AP497" s="55"/>
      <c r="AQ497" s="55"/>
      <c r="AR497" s="55"/>
      <c r="AS497" s="55"/>
      <c r="AT497" s="55"/>
      <c r="AU497" s="55"/>
      <c r="AV497" s="55"/>
      <c r="AW497" s="55"/>
      <c r="AX497" s="55"/>
      <c r="AY497" s="55"/>
      <c r="AZ497" s="55"/>
      <c r="BA497" s="55"/>
      <c r="BB497" s="55"/>
      <c r="BC497" s="55"/>
      <c r="BD497" s="55"/>
      <c r="BE497" s="55"/>
      <c r="BF497" s="55"/>
      <c r="BG497" s="55"/>
      <c r="BH497" s="55"/>
      <c r="BI497" s="55"/>
      <c r="BJ497" s="55"/>
      <c r="BK497" s="55"/>
      <c r="BL497" s="55"/>
      <c r="BM497" s="55"/>
      <c r="BN497" s="55"/>
      <c r="BO497" s="55"/>
      <c r="BP497" s="55"/>
      <c r="BQ497" s="55"/>
      <c r="BR497" s="55"/>
      <c r="BS497" s="55"/>
    </row>
    <row r="498" spans="1:71" outlineLevel="1" x14ac:dyDescent="0.2">
      <c r="C498" s="11" t="s">
        <v>304</v>
      </c>
      <c r="I498" s="67">
        <f ca="1">COUNTIF(L490:BS490,"&lt;0")+1</f>
        <v>14</v>
      </c>
      <c r="J498" s="26"/>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c r="BF498" s="7"/>
      <c r="BG498" s="7"/>
      <c r="BH498" s="7"/>
      <c r="BI498" s="7"/>
      <c r="BJ498" s="7"/>
      <c r="BK498" s="7"/>
      <c r="BL498" s="7"/>
      <c r="BM498" s="7"/>
      <c r="BN498" s="7"/>
      <c r="BO498" s="7"/>
      <c r="BP498" s="7"/>
      <c r="BQ498" s="7"/>
      <c r="BR498" s="7"/>
      <c r="BS498" s="7"/>
    </row>
    <row r="499" spans="1:71" outlineLevel="1" x14ac:dyDescent="0.2">
      <c r="J499" s="26"/>
      <c r="L499" s="55"/>
      <c r="M499" s="55"/>
      <c r="N499" s="55"/>
      <c r="O499" s="55"/>
      <c r="P499" s="55"/>
      <c r="Q499" s="55"/>
      <c r="R499" s="55"/>
      <c r="S499" s="55"/>
      <c r="T499" s="55"/>
      <c r="U499" s="55"/>
      <c r="V499" s="55"/>
      <c r="W499" s="55"/>
      <c r="X499" s="55"/>
      <c r="Y499" s="55"/>
      <c r="Z499" s="55"/>
      <c r="AA499" s="55"/>
      <c r="AB499" s="55"/>
      <c r="AC499" s="55"/>
      <c r="AD499" s="55"/>
      <c r="AE499" s="55"/>
      <c r="AF499" s="55"/>
      <c r="AG499" s="55"/>
      <c r="AH499" s="55"/>
      <c r="AI499" s="55"/>
      <c r="AJ499" s="55"/>
      <c r="AK499" s="55"/>
      <c r="AL499" s="55"/>
      <c r="AM499" s="55"/>
      <c r="AN499" s="55"/>
      <c r="AO499" s="55"/>
      <c r="AP499" s="55"/>
      <c r="AQ499" s="55"/>
      <c r="AR499" s="55"/>
      <c r="AS499" s="55"/>
      <c r="AT499" s="55"/>
      <c r="AU499" s="55"/>
      <c r="AV499" s="55"/>
      <c r="AW499" s="55"/>
      <c r="AX499" s="55"/>
      <c r="AY499" s="55"/>
      <c r="AZ499" s="55"/>
      <c r="BA499" s="55"/>
      <c r="BB499" s="55"/>
      <c r="BC499" s="55"/>
      <c r="BD499" s="55"/>
      <c r="BE499" s="55"/>
      <c r="BF499" s="55"/>
      <c r="BG499" s="55"/>
      <c r="BH499" s="55"/>
      <c r="BI499" s="55"/>
      <c r="BJ499" s="55"/>
      <c r="BK499" s="55"/>
      <c r="BL499" s="55"/>
      <c r="BM499" s="55"/>
      <c r="BN499" s="55"/>
      <c r="BO499" s="55"/>
      <c r="BP499" s="55"/>
      <c r="BQ499" s="55"/>
      <c r="BR499" s="55"/>
      <c r="BS499" s="55"/>
    </row>
    <row r="500" spans="1:71" outlineLevel="1" x14ac:dyDescent="0.2">
      <c r="J500" s="26"/>
      <c r="L500" s="55"/>
      <c r="M500" s="55"/>
      <c r="N500" s="55"/>
      <c r="O500" s="55"/>
      <c r="P500" s="55"/>
      <c r="Q500" s="55"/>
      <c r="R500" s="55"/>
      <c r="S500" s="55"/>
      <c r="T500" s="55"/>
      <c r="U500" s="55"/>
      <c r="V500" s="55"/>
      <c r="W500" s="55"/>
      <c r="X500" s="55"/>
      <c r="Y500" s="55"/>
      <c r="Z500" s="55"/>
      <c r="AA500" s="55"/>
      <c r="AB500" s="55"/>
      <c r="AC500" s="55"/>
      <c r="AD500" s="55"/>
      <c r="AE500" s="55"/>
      <c r="AF500" s="55"/>
      <c r="AG500" s="55"/>
      <c r="AH500" s="55"/>
      <c r="AI500" s="55"/>
      <c r="AJ500" s="55"/>
      <c r="AK500" s="55"/>
      <c r="AL500" s="55"/>
      <c r="AM500" s="55"/>
      <c r="AN500" s="55"/>
      <c r="AO500" s="55"/>
      <c r="AP500" s="55"/>
      <c r="AQ500" s="55"/>
      <c r="AR500" s="55"/>
      <c r="AS500" s="55"/>
      <c r="AT500" s="55"/>
      <c r="AU500" s="55"/>
      <c r="AV500" s="55"/>
      <c r="AW500" s="55"/>
      <c r="AX500" s="55"/>
      <c r="AY500" s="55"/>
      <c r="AZ500" s="55"/>
      <c r="BA500" s="55"/>
      <c r="BB500" s="55"/>
      <c r="BC500" s="55"/>
      <c r="BD500" s="55"/>
      <c r="BE500" s="55"/>
      <c r="BF500" s="55"/>
      <c r="BG500" s="55"/>
      <c r="BH500" s="55"/>
      <c r="BI500" s="55"/>
      <c r="BJ500" s="55"/>
      <c r="BK500" s="55"/>
      <c r="BL500" s="55"/>
      <c r="BM500" s="55"/>
      <c r="BN500" s="55"/>
      <c r="BO500" s="55"/>
      <c r="BP500" s="55"/>
      <c r="BQ500" s="55"/>
      <c r="BR500" s="55"/>
      <c r="BS500" s="55"/>
    </row>
    <row r="501" spans="1:71" outlineLevel="1" x14ac:dyDescent="0.2">
      <c r="J501" s="26"/>
      <c r="L501" s="55"/>
      <c r="M501" s="55"/>
      <c r="N501" s="55"/>
      <c r="O501" s="55"/>
      <c r="P501" s="55"/>
      <c r="Q501" s="55"/>
      <c r="R501" s="55"/>
      <c r="S501" s="55"/>
      <c r="T501" s="55"/>
      <c r="U501" s="55"/>
      <c r="V501" s="55"/>
      <c r="W501" s="55"/>
      <c r="X501" s="55"/>
      <c r="Y501" s="55"/>
      <c r="Z501" s="55"/>
      <c r="AA501" s="55"/>
      <c r="AB501" s="55"/>
      <c r="AC501" s="55"/>
      <c r="AD501" s="55"/>
      <c r="AE501" s="55"/>
      <c r="AF501" s="55"/>
      <c r="AG501" s="55"/>
      <c r="AH501" s="55"/>
      <c r="AI501" s="55"/>
      <c r="AJ501" s="55"/>
      <c r="AK501" s="55"/>
      <c r="AL501" s="55"/>
      <c r="AM501" s="55"/>
      <c r="AN501" s="55"/>
      <c r="AO501" s="55"/>
      <c r="AP501" s="55"/>
      <c r="AQ501" s="55"/>
      <c r="AR501" s="55"/>
      <c r="AS501" s="55"/>
      <c r="AT501" s="55"/>
      <c r="AU501" s="55"/>
      <c r="AV501" s="55"/>
      <c r="AW501" s="55"/>
      <c r="AX501" s="55"/>
      <c r="AY501" s="55"/>
      <c r="AZ501" s="55"/>
      <c r="BA501" s="55"/>
      <c r="BB501" s="55"/>
      <c r="BC501" s="55"/>
      <c r="BD501" s="55"/>
      <c r="BE501" s="55"/>
      <c r="BF501" s="55"/>
      <c r="BG501" s="55"/>
      <c r="BH501" s="55"/>
      <c r="BI501" s="55"/>
      <c r="BJ501" s="55"/>
      <c r="BK501" s="55"/>
      <c r="BL501" s="55"/>
      <c r="BM501" s="55"/>
      <c r="BN501" s="55"/>
      <c r="BO501" s="55"/>
      <c r="BP501" s="55"/>
      <c r="BQ501" s="55"/>
      <c r="BR501" s="55"/>
      <c r="BS501" s="55"/>
    </row>
    <row r="502" spans="1:71" outlineLevel="1" x14ac:dyDescent="0.2">
      <c r="A502" s="45"/>
      <c r="B502" s="38" t="s">
        <v>353</v>
      </c>
      <c r="C502" s="45"/>
      <c r="D502" s="45"/>
      <c r="E502" s="45"/>
      <c r="J502" s="26"/>
      <c r="L502" s="55"/>
      <c r="M502" s="55"/>
      <c r="N502" s="55"/>
      <c r="O502" s="55"/>
      <c r="P502" s="55"/>
      <c r="Q502" s="55"/>
      <c r="R502" s="55"/>
      <c r="S502" s="55"/>
      <c r="T502" s="55"/>
      <c r="U502" s="55"/>
      <c r="V502" s="55"/>
      <c r="W502" s="55"/>
      <c r="X502" s="55"/>
      <c r="Y502" s="55"/>
      <c r="Z502" s="55"/>
      <c r="AA502" s="55"/>
      <c r="AB502" s="55"/>
      <c r="AC502" s="55"/>
      <c r="AD502" s="55"/>
      <c r="AE502" s="55"/>
      <c r="AF502" s="55"/>
      <c r="AG502" s="55"/>
      <c r="AH502" s="55"/>
      <c r="AI502" s="55"/>
      <c r="AJ502" s="55"/>
      <c r="AK502" s="55"/>
      <c r="AL502" s="55"/>
      <c r="AM502" s="55"/>
      <c r="AN502" s="55"/>
      <c r="AO502" s="55"/>
      <c r="AP502" s="55"/>
      <c r="AQ502" s="55"/>
      <c r="AR502" s="55"/>
      <c r="AS502" s="55"/>
      <c r="AT502" s="55"/>
      <c r="AU502" s="55"/>
      <c r="AV502" s="55"/>
      <c r="AW502" s="55"/>
      <c r="AX502" s="55"/>
      <c r="AY502" s="55"/>
      <c r="AZ502" s="55"/>
      <c r="BA502" s="55"/>
      <c r="BB502" s="55"/>
      <c r="BC502" s="55"/>
      <c r="BD502" s="55"/>
      <c r="BE502" s="55"/>
      <c r="BF502" s="55"/>
      <c r="BG502" s="55"/>
      <c r="BH502" s="55"/>
      <c r="BI502" s="55"/>
      <c r="BJ502" s="55"/>
      <c r="BK502" s="55"/>
      <c r="BL502" s="55"/>
      <c r="BM502" s="55"/>
      <c r="BN502" s="55"/>
      <c r="BO502" s="55"/>
      <c r="BP502" s="55"/>
      <c r="BQ502" s="55"/>
      <c r="BR502" s="55"/>
      <c r="BS502" s="55"/>
    </row>
    <row r="503" spans="1:71" outlineLevel="1" x14ac:dyDescent="0.2">
      <c r="J503" s="26"/>
      <c r="L503" s="55"/>
      <c r="M503" s="55"/>
      <c r="N503" s="55"/>
      <c r="O503" s="55"/>
      <c r="P503" s="55"/>
      <c r="Q503" s="55"/>
      <c r="R503" s="55"/>
      <c r="S503" s="55"/>
      <c r="T503" s="55"/>
      <c r="U503" s="55"/>
      <c r="V503" s="55"/>
      <c r="W503" s="55"/>
      <c r="X503" s="55"/>
      <c r="Y503" s="55"/>
      <c r="Z503" s="55"/>
      <c r="AA503" s="55"/>
      <c r="AB503" s="55"/>
      <c r="AC503" s="55"/>
      <c r="AD503" s="55"/>
      <c r="AE503" s="55"/>
      <c r="AF503" s="55"/>
      <c r="AG503" s="55"/>
      <c r="AH503" s="55"/>
      <c r="AI503" s="55"/>
      <c r="AJ503" s="55"/>
      <c r="AK503" s="55"/>
      <c r="AL503" s="55"/>
      <c r="AM503" s="55"/>
      <c r="AN503" s="55"/>
      <c r="AO503" s="55"/>
      <c r="AP503" s="55"/>
      <c r="AQ503" s="55"/>
      <c r="AR503" s="55"/>
      <c r="AS503" s="55"/>
      <c r="AT503" s="55"/>
      <c r="AU503" s="55"/>
      <c r="AV503" s="55"/>
      <c r="AW503" s="55"/>
      <c r="AX503" s="55"/>
      <c r="AY503" s="55"/>
      <c r="AZ503" s="55"/>
      <c r="BA503" s="55"/>
      <c r="BB503" s="55"/>
      <c r="BC503" s="55"/>
      <c r="BD503" s="55"/>
      <c r="BE503" s="55"/>
      <c r="BF503" s="55"/>
      <c r="BG503" s="55"/>
      <c r="BH503" s="55"/>
      <c r="BI503" s="55"/>
      <c r="BJ503" s="55"/>
      <c r="BK503" s="55"/>
      <c r="BL503" s="55"/>
      <c r="BM503" s="55"/>
      <c r="BN503" s="55"/>
      <c r="BO503" s="55"/>
      <c r="BP503" s="55"/>
      <c r="BQ503" s="55"/>
      <c r="BR503" s="55"/>
      <c r="BS503" s="55"/>
    </row>
    <row r="504" spans="1:71" outlineLevel="1" x14ac:dyDescent="0.2">
      <c r="C504" s="11" t="s">
        <v>354</v>
      </c>
      <c r="I504" s="30">
        <f t="shared" ref="I504:I507" ca="1" si="191">SUM($L504:$BS504)</f>
        <v>-525.6829600882636</v>
      </c>
      <c r="J504" s="26" t="s">
        <v>148</v>
      </c>
      <c r="L504" s="49" cm="1">
        <f t="array" aca="1" ref="L504:BS504" ca="1">OA_cont_ATCF_Marine*Marine!CA_IOC_WI</f>
        <v>-382.21650000000005</v>
      </c>
      <c r="M504" s="49">
        <f ca="1"/>
        <v>-537.53572243954841</v>
      </c>
      <c r="N504" s="49">
        <f ca="1"/>
        <v>-705.03603222510026</v>
      </c>
      <c r="O504" s="49">
        <f ca="1"/>
        <v>-410.12743204168186</v>
      </c>
      <c r="P504" s="49">
        <f ca="1"/>
        <v>-222.19585008656293</v>
      </c>
      <c r="Q504" s="49">
        <f ca="1"/>
        <v>132.12307801401195</v>
      </c>
      <c r="R504" s="49">
        <f ca="1"/>
        <v>275.20966367125038</v>
      </c>
      <c r="S504" s="49">
        <f ca="1"/>
        <v>158.77162529474441</v>
      </c>
      <c r="T504" s="49">
        <f ca="1"/>
        <v>278.51147332042751</v>
      </c>
      <c r="U504" s="49">
        <f ca="1"/>
        <v>268.45177989832547</v>
      </c>
      <c r="V504" s="49">
        <f ca="1"/>
        <v>239.35765886632416</v>
      </c>
      <c r="W504" s="49">
        <f ca="1"/>
        <v>203.93608605419715</v>
      </c>
      <c r="X504" s="49">
        <f ca="1"/>
        <v>175.0672115853493</v>
      </c>
      <c r="Y504" s="49">
        <f ca="1"/>
        <v>0</v>
      </c>
      <c r="Z504" s="49">
        <f ca="1"/>
        <v>0</v>
      </c>
      <c r="AA504" s="49">
        <f ca="1"/>
        <v>0</v>
      </c>
      <c r="AB504" s="49">
        <f ca="1"/>
        <v>0</v>
      </c>
      <c r="AC504" s="49">
        <f ca="1"/>
        <v>0</v>
      </c>
      <c r="AD504" s="49">
        <f ca="1"/>
        <v>0</v>
      </c>
      <c r="AE504" s="49">
        <f ca="1"/>
        <v>0</v>
      </c>
      <c r="AF504" s="49">
        <f ca="1"/>
        <v>0</v>
      </c>
      <c r="AG504" s="49">
        <f ca="1"/>
        <v>0</v>
      </c>
      <c r="AH504" s="49">
        <f ca="1"/>
        <v>0</v>
      </c>
      <c r="AI504" s="49">
        <f ca="1"/>
        <v>0</v>
      </c>
      <c r="AJ504" s="49">
        <f ca="1"/>
        <v>0</v>
      </c>
      <c r="AK504" s="49">
        <f ca="1"/>
        <v>0</v>
      </c>
      <c r="AL504" s="49">
        <f ca="1"/>
        <v>0</v>
      </c>
      <c r="AM504" s="49">
        <f ca="1"/>
        <v>0</v>
      </c>
      <c r="AN504" s="49">
        <f ca="1"/>
        <v>0</v>
      </c>
      <c r="AO504" s="49">
        <f ca="1"/>
        <v>0</v>
      </c>
      <c r="AP504" s="49">
        <f ca="1"/>
        <v>0</v>
      </c>
      <c r="AQ504" s="49">
        <f ca="1"/>
        <v>0</v>
      </c>
      <c r="AR504" s="49">
        <f ca="1"/>
        <v>0</v>
      </c>
      <c r="AS504" s="49">
        <f ca="1"/>
        <v>0</v>
      </c>
      <c r="AT504" s="49">
        <f ca="1"/>
        <v>0</v>
      </c>
      <c r="AU504" s="49">
        <f ca="1"/>
        <v>0</v>
      </c>
      <c r="AV504" s="49">
        <f ca="1"/>
        <v>0</v>
      </c>
      <c r="AW504" s="49">
        <f ca="1"/>
        <v>0</v>
      </c>
      <c r="AX504" s="49">
        <f ca="1"/>
        <v>0</v>
      </c>
      <c r="AY504" s="49">
        <f ca="1"/>
        <v>0</v>
      </c>
      <c r="AZ504" s="49">
        <f ca="1"/>
        <v>0</v>
      </c>
      <c r="BA504" s="49">
        <f ca="1"/>
        <v>0</v>
      </c>
      <c r="BB504" s="49">
        <f ca="1"/>
        <v>0</v>
      </c>
      <c r="BC504" s="49">
        <f ca="1"/>
        <v>0</v>
      </c>
      <c r="BD504" s="49">
        <f ca="1"/>
        <v>0</v>
      </c>
      <c r="BE504" s="49">
        <f ca="1"/>
        <v>0</v>
      </c>
      <c r="BF504" s="49">
        <f ca="1"/>
        <v>0</v>
      </c>
      <c r="BG504" s="49">
        <f ca="1"/>
        <v>0</v>
      </c>
      <c r="BH504" s="49">
        <f ca="1"/>
        <v>0</v>
      </c>
      <c r="BI504" s="49">
        <f ca="1"/>
        <v>0</v>
      </c>
      <c r="BJ504" s="49">
        <f ca="1"/>
        <v>0</v>
      </c>
      <c r="BK504" s="49">
        <f ca="1"/>
        <v>0</v>
      </c>
      <c r="BL504" s="49">
        <f ca="1"/>
        <v>0</v>
      </c>
      <c r="BM504" s="49">
        <f ca="1"/>
        <v>0</v>
      </c>
      <c r="BN504" s="49">
        <f ca="1"/>
        <v>0</v>
      </c>
      <c r="BO504" s="49">
        <f ca="1"/>
        <v>0</v>
      </c>
      <c r="BP504" s="49">
        <f ca="1"/>
        <v>0</v>
      </c>
      <c r="BQ504" s="49">
        <f ca="1"/>
        <v>0</v>
      </c>
      <c r="BR504" s="49">
        <f ca="1"/>
        <v>0</v>
      </c>
      <c r="BS504" s="49">
        <f ca="1"/>
        <v>0</v>
      </c>
    </row>
    <row r="505" spans="1:71" outlineLevel="1" x14ac:dyDescent="0.2">
      <c r="C505" s="11" t="s">
        <v>355</v>
      </c>
      <c r="I505" s="30">
        <f t="shared" ca="1" si="191"/>
        <v>-276.04570000000001</v>
      </c>
      <c r="J505" s="26" t="s">
        <v>148</v>
      </c>
      <c r="L505" s="49" cm="1">
        <f t="array" aca="1" ref="L505:BS505" ca="1">-Marine!CA_NOC_carried_costs</f>
        <v>-38.758499999999998</v>
      </c>
      <c r="M505" s="49">
        <f ca="1"/>
        <v>-50.290700000000008</v>
      </c>
      <c r="N505" s="49">
        <f ca="1"/>
        <v>-77.796599999999998</v>
      </c>
      <c r="O505" s="49">
        <f ca="1"/>
        <v>-45.441400000000002</v>
      </c>
      <c r="P505" s="49">
        <f ca="1"/>
        <v>-40.729100000000003</v>
      </c>
      <c r="Q505" s="49">
        <f ca="1"/>
        <v>-23.029400000000003</v>
      </c>
      <c r="R505" s="49">
        <f ca="1"/>
        <v>0</v>
      </c>
      <c r="S505" s="49">
        <f ca="1"/>
        <v>0</v>
      </c>
      <c r="T505" s="49">
        <f ca="1"/>
        <v>0</v>
      </c>
      <c r="U505" s="49">
        <f ca="1"/>
        <v>0</v>
      </c>
      <c r="V505" s="49">
        <f ca="1"/>
        <v>0</v>
      </c>
      <c r="W505" s="49">
        <f ca="1"/>
        <v>0</v>
      </c>
      <c r="X505" s="49">
        <f ca="1"/>
        <v>0</v>
      </c>
      <c r="Y505" s="49">
        <f ca="1"/>
        <v>0</v>
      </c>
      <c r="Z505" s="49">
        <f ca="1"/>
        <v>0</v>
      </c>
      <c r="AA505" s="49">
        <f ca="1"/>
        <v>0</v>
      </c>
      <c r="AB505" s="49">
        <f ca="1"/>
        <v>0</v>
      </c>
      <c r="AC505" s="49">
        <f ca="1"/>
        <v>0</v>
      </c>
      <c r="AD505" s="49">
        <f ca="1"/>
        <v>0</v>
      </c>
      <c r="AE505" s="49">
        <f ca="1"/>
        <v>0</v>
      </c>
      <c r="AF505" s="49">
        <f ca="1"/>
        <v>0</v>
      </c>
      <c r="AG505" s="49">
        <f ca="1"/>
        <v>0</v>
      </c>
      <c r="AH505" s="49">
        <f ca="1"/>
        <v>0</v>
      </c>
      <c r="AI505" s="49">
        <f ca="1"/>
        <v>0</v>
      </c>
      <c r="AJ505" s="49">
        <f ca="1"/>
        <v>0</v>
      </c>
      <c r="AK505" s="49">
        <f ca="1"/>
        <v>0</v>
      </c>
      <c r="AL505" s="49">
        <f ca="1"/>
        <v>0</v>
      </c>
      <c r="AM505" s="49">
        <f ca="1"/>
        <v>0</v>
      </c>
      <c r="AN505" s="49">
        <f ca="1"/>
        <v>0</v>
      </c>
      <c r="AO505" s="49">
        <f ca="1"/>
        <v>0</v>
      </c>
      <c r="AP505" s="49">
        <f ca="1"/>
        <v>0</v>
      </c>
      <c r="AQ505" s="49">
        <f ca="1"/>
        <v>0</v>
      </c>
      <c r="AR505" s="49">
        <f ca="1"/>
        <v>0</v>
      </c>
      <c r="AS505" s="49">
        <f ca="1"/>
        <v>0</v>
      </c>
      <c r="AT505" s="49">
        <f ca="1"/>
        <v>0</v>
      </c>
      <c r="AU505" s="49">
        <f ca="1"/>
        <v>0</v>
      </c>
      <c r="AV505" s="49">
        <f ca="1"/>
        <v>0</v>
      </c>
      <c r="AW505" s="49">
        <f ca="1"/>
        <v>0</v>
      </c>
      <c r="AX505" s="49">
        <f ca="1"/>
        <v>0</v>
      </c>
      <c r="AY505" s="49">
        <f ca="1"/>
        <v>0</v>
      </c>
      <c r="AZ505" s="49">
        <f ca="1"/>
        <v>0</v>
      </c>
      <c r="BA505" s="49">
        <f ca="1"/>
        <v>0</v>
      </c>
      <c r="BB505" s="49">
        <f ca="1"/>
        <v>0</v>
      </c>
      <c r="BC505" s="49">
        <f ca="1"/>
        <v>0</v>
      </c>
      <c r="BD505" s="49">
        <f ca="1"/>
        <v>0</v>
      </c>
      <c r="BE505" s="49">
        <f ca="1"/>
        <v>0</v>
      </c>
      <c r="BF505" s="49">
        <f ca="1"/>
        <v>0</v>
      </c>
      <c r="BG505" s="49">
        <f ca="1"/>
        <v>0</v>
      </c>
      <c r="BH505" s="49">
        <f ca="1"/>
        <v>0</v>
      </c>
      <c r="BI505" s="49">
        <f ca="1"/>
        <v>0</v>
      </c>
      <c r="BJ505" s="49">
        <f ca="1"/>
        <v>0</v>
      </c>
      <c r="BK505" s="49">
        <f ca="1"/>
        <v>0</v>
      </c>
      <c r="BL505" s="49">
        <f ca="1"/>
        <v>0</v>
      </c>
      <c r="BM505" s="49">
        <f ca="1"/>
        <v>0</v>
      </c>
      <c r="BN505" s="49">
        <f ca="1"/>
        <v>0</v>
      </c>
      <c r="BO505" s="49">
        <f ca="1"/>
        <v>0</v>
      </c>
      <c r="BP505" s="49">
        <f ca="1"/>
        <v>0</v>
      </c>
      <c r="BQ505" s="49">
        <f ca="1"/>
        <v>0</v>
      </c>
      <c r="BR505" s="49">
        <f ca="1"/>
        <v>0</v>
      </c>
      <c r="BS505" s="49">
        <f ca="1"/>
        <v>0</v>
      </c>
    </row>
    <row r="506" spans="1:71" outlineLevel="1" x14ac:dyDescent="0.2">
      <c r="C506" s="11" t="s">
        <v>327</v>
      </c>
      <c r="I506" s="30">
        <f t="shared" ca="1" si="191"/>
        <v>239.36420000000001</v>
      </c>
      <c r="J506" s="26" t="s">
        <v>148</v>
      </c>
      <c r="L506" s="49" cm="1">
        <f t="array" aca="1" ref="L506:BS506" ca="1">-Marine!CA_NOC_carry_payback</f>
        <v>0</v>
      </c>
      <c r="M506" s="49">
        <f ca="1"/>
        <v>0.57600519987133425</v>
      </c>
      <c r="N506" s="49">
        <f ca="1"/>
        <v>8.6489630372405308</v>
      </c>
      <c r="O506" s="49">
        <f ca="1"/>
        <v>13.457390171996691</v>
      </c>
      <c r="P506" s="49">
        <f ca="1"/>
        <v>23.401029092351855</v>
      </c>
      <c r="Q506" s="49">
        <f ca="1"/>
        <v>45.816772401581616</v>
      </c>
      <c r="R506" s="49">
        <f ca="1"/>
        <v>36.597396796896192</v>
      </c>
      <c r="S506" s="49">
        <f ca="1"/>
        <v>28.483701069749536</v>
      </c>
      <c r="T506" s="49">
        <f ca="1"/>
        <v>39.008062699084135</v>
      </c>
      <c r="U506" s="49">
        <f ca="1"/>
        <v>38.949927255178274</v>
      </c>
      <c r="V506" s="49">
        <f ca="1"/>
        <v>4.4249522760498579</v>
      </c>
      <c r="W506" s="49">
        <f ca="1"/>
        <v>0</v>
      </c>
      <c r="X506" s="49">
        <f ca="1"/>
        <v>0</v>
      </c>
      <c r="Y506" s="49">
        <f ca="1"/>
        <v>0</v>
      </c>
      <c r="Z506" s="49">
        <f ca="1"/>
        <v>0</v>
      </c>
      <c r="AA506" s="49">
        <f ca="1"/>
        <v>0</v>
      </c>
      <c r="AB506" s="49">
        <f ca="1"/>
        <v>0</v>
      </c>
      <c r="AC506" s="49">
        <f ca="1"/>
        <v>0</v>
      </c>
      <c r="AD506" s="49">
        <f ca="1"/>
        <v>0</v>
      </c>
      <c r="AE506" s="49">
        <f ca="1"/>
        <v>0</v>
      </c>
      <c r="AF506" s="49">
        <f ca="1"/>
        <v>0</v>
      </c>
      <c r="AG506" s="49">
        <f ca="1"/>
        <v>0</v>
      </c>
      <c r="AH506" s="49">
        <f ca="1"/>
        <v>0</v>
      </c>
      <c r="AI506" s="49">
        <f ca="1"/>
        <v>0</v>
      </c>
      <c r="AJ506" s="49">
        <f ca="1"/>
        <v>0</v>
      </c>
      <c r="AK506" s="49">
        <f ca="1"/>
        <v>0</v>
      </c>
      <c r="AL506" s="49">
        <f ca="1"/>
        <v>0</v>
      </c>
      <c r="AM506" s="49">
        <f ca="1"/>
        <v>0</v>
      </c>
      <c r="AN506" s="49">
        <f ca="1"/>
        <v>0</v>
      </c>
      <c r="AO506" s="49">
        <f ca="1"/>
        <v>0</v>
      </c>
      <c r="AP506" s="49">
        <f ca="1"/>
        <v>0</v>
      </c>
      <c r="AQ506" s="49">
        <f ca="1"/>
        <v>0</v>
      </c>
      <c r="AR506" s="49">
        <f ca="1"/>
        <v>0</v>
      </c>
      <c r="AS506" s="49">
        <f ca="1"/>
        <v>0</v>
      </c>
      <c r="AT506" s="49">
        <f ca="1"/>
        <v>0</v>
      </c>
      <c r="AU506" s="49">
        <f ca="1"/>
        <v>0</v>
      </c>
      <c r="AV506" s="49">
        <f ca="1"/>
        <v>0</v>
      </c>
      <c r="AW506" s="49">
        <f ca="1"/>
        <v>0</v>
      </c>
      <c r="AX506" s="49">
        <f ca="1"/>
        <v>0</v>
      </c>
      <c r="AY506" s="49">
        <f ca="1"/>
        <v>0</v>
      </c>
      <c r="AZ506" s="49">
        <f ca="1"/>
        <v>0</v>
      </c>
      <c r="BA506" s="49">
        <f ca="1"/>
        <v>0</v>
      </c>
      <c r="BB506" s="49">
        <f ca="1"/>
        <v>0</v>
      </c>
      <c r="BC506" s="49">
        <f ca="1"/>
        <v>0</v>
      </c>
      <c r="BD506" s="49">
        <f ca="1"/>
        <v>0</v>
      </c>
      <c r="BE506" s="49">
        <f ca="1"/>
        <v>0</v>
      </c>
      <c r="BF506" s="49">
        <f ca="1"/>
        <v>0</v>
      </c>
      <c r="BG506" s="49">
        <f ca="1"/>
        <v>0</v>
      </c>
      <c r="BH506" s="49">
        <f ca="1"/>
        <v>0</v>
      </c>
      <c r="BI506" s="49">
        <f ca="1"/>
        <v>0</v>
      </c>
      <c r="BJ506" s="49">
        <f ca="1"/>
        <v>0</v>
      </c>
      <c r="BK506" s="49">
        <f ca="1"/>
        <v>0</v>
      </c>
      <c r="BL506" s="49">
        <f ca="1"/>
        <v>0</v>
      </c>
      <c r="BM506" s="49">
        <f ca="1"/>
        <v>0</v>
      </c>
      <c r="BN506" s="49">
        <f ca="1"/>
        <v>0</v>
      </c>
      <c r="BO506" s="49">
        <f ca="1"/>
        <v>0</v>
      </c>
      <c r="BP506" s="49">
        <f ca="1"/>
        <v>0</v>
      </c>
      <c r="BQ506" s="49">
        <f ca="1"/>
        <v>0</v>
      </c>
      <c r="BR506" s="49">
        <f ca="1"/>
        <v>0</v>
      </c>
      <c r="BS506" s="49">
        <f ca="1"/>
        <v>0</v>
      </c>
    </row>
    <row r="507" spans="1:71" outlineLevel="1" x14ac:dyDescent="0.2">
      <c r="C507" s="11" t="s">
        <v>356</v>
      </c>
      <c r="H507" s="7" t="s">
        <v>880</v>
      </c>
      <c r="I507" s="30">
        <f t="shared" ca="1" si="191"/>
        <v>-562.36446008826306</v>
      </c>
      <c r="J507" s="26" t="s">
        <v>148</v>
      </c>
      <c r="K507" s="7" t="s">
        <v>879</v>
      </c>
      <c r="L507" s="49">
        <f ca="1">SUM(L504:L506)</f>
        <v>-420.97500000000002</v>
      </c>
      <c r="M507" s="49">
        <f t="shared" ref="M507:BS507" ca="1" si="192">SUM(M504:M506)</f>
        <v>-587.25041723967706</v>
      </c>
      <c r="N507" s="49">
        <f t="shared" ca="1" si="192"/>
        <v>-774.18366918785978</v>
      </c>
      <c r="O507" s="49">
        <f t="shared" ca="1" si="192"/>
        <v>-442.11144186968517</v>
      </c>
      <c r="P507" s="49">
        <f t="shared" ca="1" si="192"/>
        <v>-239.5239209942111</v>
      </c>
      <c r="Q507" s="49">
        <f t="shared" ca="1" si="192"/>
        <v>154.91045041559357</v>
      </c>
      <c r="R507" s="49">
        <f t="shared" ca="1" si="192"/>
        <v>311.80706046814657</v>
      </c>
      <c r="S507" s="49">
        <f t="shared" ca="1" si="192"/>
        <v>187.25532636449395</v>
      </c>
      <c r="T507" s="49">
        <f t="shared" ca="1" si="192"/>
        <v>317.51953601951163</v>
      </c>
      <c r="U507" s="49">
        <f t="shared" ca="1" si="192"/>
        <v>307.40170715350376</v>
      </c>
      <c r="V507" s="49">
        <f t="shared" ca="1" si="192"/>
        <v>243.78261114237401</v>
      </c>
      <c r="W507" s="49">
        <f t="shared" ca="1" si="192"/>
        <v>203.93608605419715</v>
      </c>
      <c r="X507" s="49">
        <f t="shared" ca="1" si="192"/>
        <v>175.0672115853493</v>
      </c>
      <c r="Y507" s="49">
        <f t="shared" ca="1" si="192"/>
        <v>0</v>
      </c>
      <c r="Z507" s="49">
        <f t="shared" ca="1" si="192"/>
        <v>0</v>
      </c>
      <c r="AA507" s="49">
        <f t="shared" ca="1" si="192"/>
        <v>0</v>
      </c>
      <c r="AB507" s="49">
        <f t="shared" ca="1" si="192"/>
        <v>0</v>
      </c>
      <c r="AC507" s="49">
        <f t="shared" ca="1" si="192"/>
        <v>0</v>
      </c>
      <c r="AD507" s="49">
        <f t="shared" ca="1" si="192"/>
        <v>0</v>
      </c>
      <c r="AE507" s="49">
        <f t="shared" ca="1" si="192"/>
        <v>0</v>
      </c>
      <c r="AF507" s="49">
        <f t="shared" ca="1" si="192"/>
        <v>0</v>
      </c>
      <c r="AG507" s="49">
        <f t="shared" ca="1" si="192"/>
        <v>0</v>
      </c>
      <c r="AH507" s="49">
        <f t="shared" ca="1" si="192"/>
        <v>0</v>
      </c>
      <c r="AI507" s="49">
        <f t="shared" ca="1" si="192"/>
        <v>0</v>
      </c>
      <c r="AJ507" s="49">
        <f t="shared" ca="1" si="192"/>
        <v>0</v>
      </c>
      <c r="AK507" s="49">
        <f t="shared" ca="1" si="192"/>
        <v>0</v>
      </c>
      <c r="AL507" s="49">
        <f t="shared" ca="1" si="192"/>
        <v>0</v>
      </c>
      <c r="AM507" s="49">
        <f t="shared" ca="1" si="192"/>
        <v>0</v>
      </c>
      <c r="AN507" s="49">
        <f t="shared" ca="1" si="192"/>
        <v>0</v>
      </c>
      <c r="AO507" s="49">
        <f t="shared" ca="1" si="192"/>
        <v>0</v>
      </c>
      <c r="AP507" s="49">
        <f t="shared" ca="1" si="192"/>
        <v>0</v>
      </c>
      <c r="AQ507" s="49">
        <f t="shared" ca="1" si="192"/>
        <v>0</v>
      </c>
      <c r="AR507" s="49">
        <f t="shared" ca="1" si="192"/>
        <v>0</v>
      </c>
      <c r="AS507" s="49">
        <f t="shared" ca="1" si="192"/>
        <v>0</v>
      </c>
      <c r="AT507" s="49">
        <f t="shared" ca="1" si="192"/>
        <v>0</v>
      </c>
      <c r="AU507" s="49">
        <f t="shared" ca="1" si="192"/>
        <v>0</v>
      </c>
      <c r="AV507" s="49">
        <f t="shared" ca="1" si="192"/>
        <v>0</v>
      </c>
      <c r="AW507" s="49">
        <f t="shared" ca="1" si="192"/>
        <v>0</v>
      </c>
      <c r="AX507" s="49">
        <f t="shared" ca="1" si="192"/>
        <v>0</v>
      </c>
      <c r="AY507" s="49">
        <f t="shared" ca="1" si="192"/>
        <v>0</v>
      </c>
      <c r="AZ507" s="49">
        <f t="shared" ca="1" si="192"/>
        <v>0</v>
      </c>
      <c r="BA507" s="49">
        <f t="shared" ca="1" si="192"/>
        <v>0</v>
      </c>
      <c r="BB507" s="49">
        <f t="shared" ca="1" si="192"/>
        <v>0</v>
      </c>
      <c r="BC507" s="49">
        <f t="shared" ca="1" si="192"/>
        <v>0</v>
      </c>
      <c r="BD507" s="49">
        <f t="shared" ca="1" si="192"/>
        <v>0</v>
      </c>
      <c r="BE507" s="49">
        <f t="shared" ca="1" si="192"/>
        <v>0</v>
      </c>
      <c r="BF507" s="49">
        <f t="shared" ca="1" si="192"/>
        <v>0</v>
      </c>
      <c r="BG507" s="49">
        <f t="shared" ca="1" si="192"/>
        <v>0</v>
      </c>
      <c r="BH507" s="49">
        <f t="shared" ca="1" si="192"/>
        <v>0</v>
      </c>
      <c r="BI507" s="49">
        <f t="shared" ca="1" si="192"/>
        <v>0</v>
      </c>
      <c r="BJ507" s="49">
        <f t="shared" ca="1" si="192"/>
        <v>0</v>
      </c>
      <c r="BK507" s="49">
        <f t="shared" ca="1" si="192"/>
        <v>0</v>
      </c>
      <c r="BL507" s="49">
        <f t="shared" ca="1" si="192"/>
        <v>0</v>
      </c>
      <c r="BM507" s="49">
        <f t="shared" ca="1" si="192"/>
        <v>0</v>
      </c>
      <c r="BN507" s="49">
        <f t="shared" ca="1" si="192"/>
        <v>0</v>
      </c>
      <c r="BO507" s="49">
        <f t="shared" ca="1" si="192"/>
        <v>0</v>
      </c>
      <c r="BP507" s="49">
        <f t="shared" ca="1" si="192"/>
        <v>0</v>
      </c>
      <c r="BQ507" s="49">
        <f t="shared" ca="1" si="192"/>
        <v>0</v>
      </c>
      <c r="BR507" s="49">
        <f t="shared" ca="1" si="192"/>
        <v>0</v>
      </c>
      <c r="BS507" s="49">
        <f t="shared" ca="1" si="192"/>
        <v>0</v>
      </c>
    </row>
    <row r="508" spans="1:71" outlineLevel="1" x14ac:dyDescent="0.2">
      <c r="J508" s="26"/>
      <c r="L508" s="55"/>
      <c r="M508" s="55"/>
      <c r="N508" s="55"/>
      <c r="O508" s="55"/>
      <c r="P508" s="55"/>
      <c r="Q508" s="55"/>
      <c r="R508" s="55"/>
      <c r="S508" s="55"/>
      <c r="T508" s="55"/>
      <c r="U508" s="55"/>
      <c r="V508" s="55"/>
      <c r="W508" s="55"/>
      <c r="X508" s="55"/>
      <c r="Y508" s="55"/>
      <c r="Z508" s="55"/>
      <c r="AA508" s="55"/>
      <c r="AB508" s="55"/>
      <c r="AC508" s="55"/>
      <c r="AD508" s="55"/>
      <c r="AE508" s="55"/>
      <c r="AF508" s="55"/>
      <c r="AG508" s="55"/>
      <c r="AH508" s="55"/>
      <c r="AI508" s="55"/>
      <c r="AJ508" s="55"/>
      <c r="AK508" s="55"/>
      <c r="AL508" s="55"/>
      <c r="AM508" s="55"/>
      <c r="AN508" s="55"/>
      <c r="AO508" s="55"/>
      <c r="AP508" s="55"/>
      <c r="AQ508" s="55"/>
      <c r="AR508" s="55"/>
      <c r="AS508" s="55"/>
      <c r="AT508" s="55"/>
      <c r="AU508" s="55"/>
      <c r="AV508" s="55"/>
      <c r="AW508" s="55"/>
      <c r="AX508" s="55"/>
      <c r="AY508" s="55"/>
      <c r="AZ508" s="55"/>
      <c r="BA508" s="55"/>
      <c r="BB508" s="55"/>
      <c r="BC508" s="55"/>
      <c r="BD508" s="55"/>
      <c r="BE508" s="55"/>
      <c r="BF508" s="55"/>
      <c r="BG508" s="55"/>
      <c r="BH508" s="55"/>
      <c r="BI508" s="55"/>
      <c r="BJ508" s="55"/>
      <c r="BK508" s="55"/>
      <c r="BL508" s="55"/>
      <c r="BM508" s="55"/>
      <c r="BN508" s="55"/>
      <c r="BO508" s="55"/>
      <c r="BP508" s="55"/>
      <c r="BQ508" s="55"/>
      <c r="BR508" s="55"/>
      <c r="BS508" s="55"/>
    </row>
    <row r="509" spans="1:71" outlineLevel="1" x14ac:dyDescent="0.2">
      <c r="C509" s="11" t="s">
        <v>303</v>
      </c>
      <c r="J509" s="26"/>
      <c r="L509" s="66">
        <f ca="1">(K509+L507)*Marine!CA_op_trig</f>
        <v>-420.97500000000002</v>
      </c>
      <c r="M509" s="66">
        <f ca="1">(L509+M507)*Marine!CA_op_trig</f>
        <v>-1008.2254172396771</v>
      </c>
      <c r="N509" s="66">
        <f ca="1">(M509+N507)*Marine!CA_op_trig</f>
        <v>-1782.4090864275367</v>
      </c>
      <c r="O509" s="66">
        <f ca="1">(N509+O507)*Marine!CA_op_trig</f>
        <v>-2224.520528297222</v>
      </c>
      <c r="P509" s="66">
        <f ca="1">(O509+P507)*Marine!CA_op_trig</f>
        <v>-2464.044449291433</v>
      </c>
      <c r="Q509" s="66">
        <f ca="1">(P509+Q507)*Marine!CA_op_trig</f>
        <v>-2309.1339988758396</v>
      </c>
      <c r="R509" s="66">
        <f ca="1">(Q509+R507)*Marine!CA_op_trig</f>
        <v>-1997.326938407693</v>
      </c>
      <c r="S509" s="66">
        <f ca="1">(R509+S507)*Marine!CA_op_trig</f>
        <v>-1810.0716120431989</v>
      </c>
      <c r="T509" s="66">
        <f ca="1">(S509+T507)*Marine!CA_op_trig</f>
        <v>-1492.5520760236873</v>
      </c>
      <c r="U509" s="66">
        <f ca="1">(T509+U507)*Marine!CA_op_trig</f>
        <v>-1185.1503688701835</v>
      </c>
      <c r="V509" s="66">
        <f ca="1">(U509+V507)*Marine!CA_op_trig</f>
        <v>-941.36775772780948</v>
      </c>
      <c r="W509" s="66">
        <f ca="1">(V509+W507)*Marine!CA_op_trig</f>
        <v>-737.4316716736123</v>
      </c>
      <c r="X509" s="66">
        <f ca="1">(W509+X507)*Marine!CA_op_trig</f>
        <v>-562.36446008826306</v>
      </c>
      <c r="Y509" s="66">
        <f ca="1">(X509+Y507)*Marine!CA_op_trig</f>
        <v>0</v>
      </c>
      <c r="Z509" s="66">
        <f ca="1">(Y509+Z507)*Marine!CA_op_trig</f>
        <v>0</v>
      </c>
      <c r="AA509" s="66">
        <f ca="1">(Z509+AA507)*Marine!CA_op_trig</f>
        <v>0</v>
      </c>
      <c r="AB509" s="66">
        <f ca="1">(AA509+AB507)*Marine!CA_op_trig</f>
        <v>0</v>
      </c>
      <c r="AC509" s="66">
        <f ca="1">(AB509+AC507)*Marine!CA_op_trig</f>
        <v>0</v>
      </c>
      <c r="AD509" s="66">
        <f ca="1">(AC509+AD507)*Marine!CA_op_trig</f>
        <v>0</v>
      </c>
      <c r="AE509" s="66">
        <f ca="1">(AD509+AE507)*Marine!CA_op_trig</f>
        <v>0</v>
      </c>
      <c r="AF509" s="66">
        <f ca="1">(AE509+AF507)*Marine!CA_op_trig</f>
        <v>0</v>
      </c>
      <c r="AG509" s="66">
        <f ca="1">(AF509+AG507)*Marine!CA_op_trig</f>
        <v>0</v>
      </c>
      <c r="AH509" s="66">
        <f ca="1">(AG509+AH507)*Marine!CA_op_trig</f>
        <v>0</v>
      </c>
      <c r="AI509" s="66">
        <f ca="1">(AH509+AI507)*Marine!CA_op_trig</f>
        <v>0</v>
      </c>
      <c r="AJ509" s="66">
        <f ca="1">(AI509+AJ507)*Marine!CA_op_trig</f>
        <v>0</v>
      </c>
      <c r="AK509" s="66">
        <f ca="1">(AJ509+AK507)*Marine!CA_op_trig</f>
        <v>0</v>
      </c>
      <c r="AL509" s="66">
        <f ca="1">(AK509+AL507)*Marine!CA_op_trig</f>
        <v>0</v>
      </c>
      <c r="AM509" s="66">
        <f ca="1">(AL509+AM507)*Marine!CA_op_trig</f>
        <v>0</v>
      </c>
      <c r="AN509" s="66">
        <f ca="1">(AM509+AN507)*Marine!CA_op_trig</f>
        <v>0</v>
      </c>
      <c r="AO509" s="66">
        <f ca="1">(AN509+AO507)*Marine!CA_op_trig</f>
        <v>0</v>
      </c>
      <c r="AP509" s="66">
        <f ca="1">(AO509+AP507)*Marine!CA_op_trig</f>
        <v>0</v>
      </c>
      <c r="AQ509" s="66">
        <f ca="1">(AP509+AQ507)*Marine!CA_op_trig</f>
        <v>0</v>
      </c>
      <c r="AR509" s="66">
        <f ca="1">(AQ509+AR507)*Marine!CA_op_trig</f>
        <v>0</v>
      </c>
      <c r="AS509" s="66">
        <f ca="1">(AR509+AS507)*Marine!CA_op_trig</f>
        <v>0</v>
      </c>
      <c r="AT509" s="66">
        <f ca="1">(AS509+AT507)*Marine!CA_op_trig</f>
        <v>0</v>
      </c>
      <c r="AU509" s="66">
        <f ca="1">(AT509+AU507)*Marine!CA_op_trig</f>
        <v>0</v>
      </c>
      <c r="AV509" s="66">
        <f ca="1">(AU509+AV507)*Marine!CA_op_trig</f>
        <v>0</v>
      </c>
      <c r="AW509" s="66">
        <f ca="1">(AV509+AW507)*Marine!CA_op_trig</f>
        <v>0</v>
      </c>
      <c r="AX509" s="66">
        <f ca="1">(AW509+AX507)*Marine!CA_op_trig</f>
        <v>0</v>
      </c>
      <c r="AY509" s="66">
        <f ca="1">(AX509+AY507)*Marine!CA_op_trig</f>
        <v>0</v>
      </c>
      <c r="AZ509" s="66">
        <f ca="1">(AY509+AZ507)*Marine!CA_op_trig</f>
        <v>0</v>
      </c>
      <c r="BA509" s="66">
        <f ca="1">(AZ509+BA507)*Marine!CA_op_trig</f>
        <v>0</v>
      </c>
      <c r="BB509" s="66">
        <f ca="1">(BA509+BB507)*Marine!CA_op_trig</f>
        <v>0</v>
      </c>
      <c r="BC509" s="66">
        <f ca="1">(BB509+BC507)*Marine!CA_op_trig</f>
        <v>0</v>
      </c>
      <c r="BD509" s="66">
        <f ca="1">(BC509+BD507)*Marine!CA_op_trig</f>
        <v>0</v>
      </c>
      <c r="BE509" s="66">
        <f ca="1">(BD509+BE507)*Marine!CA_op_trig</f>
        <v>0</v>
      </c>
      <c r="BF509" s="66">
        <f ca="1">(BE509+BF507)*Marine!CA_op_trig</f>
        <v>0</v>
      </c>
      <c r="BG509" s="66">
        <f ca="1">(BF509+BG507)*Marine!CA_op_trig</f>
        <v>0</v>
      </c>
      <c r="BH509" s="66">
        <f ca="1">(BG509+BH507)*Marine!CA_op_trig</f>
        <v>0</v>
      </c>
      <c r="BI509" s="66">
        <f ca="1">(BH509+BI507)*Marine!CA_op_trig</f>
        <v>0</v>
      </c>
      <c r="BJ509" s="66">
        <f ca="1">(BI509+BJ507)*Marine!CA_op_trig</f>
        <v>0</v>
      </c>
      <c r="BK509" s="66">
        <f ca="1">(BJ509+BK507)*Marine!CA_op_trig</f>
        <v>0</v>
      </c>
      <c r="BL509" s="66">
        <f ca="1">(BK509+BL507)*Marine!CA_op_trig</f>
        <v>0</v>
      </c>
      <c r="BM509" s="66">
        <f ca="1">(BL509+BM507)*Marine!CA_op_trig</f>
        <v>0</v>
      </c>
      <c r="BN509" s="66">
        <f ca="1">(BM509+BN507)*Marine!CA_op_trig</f>
        <v>0</v>
      </c>
      <c r="BO509" s="66">
        <f ca="1">(BN509+BO507)*Marine!CA_op_trig</f>
        <v>0</v>
      </c>
      <c r="BP509" s="66">
        <f ca="1">(BO509+BP507)*Marine!CA_op_trig</f>
        <v>0</v>
      </c>
      <c r="BQ509" s="66">
        <f ca="1">(BP509+BQ507)*Marine!CA_op_trig</f>
        <v>0</v>
      </c>
      <c r="BR509" s="66">
        <f ca="1">(BQ509+BR507)*Marine!CA_op_trig</f>
        <v>0</v>
      </c>
      <c r="BS509" s="66">
        <f ca="1">(BR509+BS507)*Marine!CA_op_trig</f>
        <v>0</v>
      </c>
    </row>
    <row r="510" spans="1:71" outlineLevel="1" x14ac:dyDescent="0.2">
      <c r="J510" s="26"/>
      <c r="L510" s="55"/>
      <c r="M510" s="55"/>
      <c r="N510" s="55"/>
      <c r="O510" s="55"/>
      <c r="P510" s="55"/>
      <c r="Q510" s="55"/>
      <c r="R510" s="55"/>
      <c r="S510" s="55"/>
      <c r="T510" s="55"/>
      <c r="U510" s="55"/>
      <c r="V510" s="55"/>
      <c r="W510" s="55"/>
      <c r="X510" s="55"/>
      <c r="Y510" s="55"/>
      <c r="Z510" s="55"/>
      <c r="AA510" s="55"/>
      <c r="AB510" s="55"/>
      <c r="AC510" s="55"/>
      <c r="AD510" s="55"/>
      <c r="AE510" s="55"/>
      <c r="AF510" s="55"/>
      <c r="AG510" s="55"/>
      <c r="AH510" s="55"/>
      <c r="AI510" s="55"/>
      <c r="AJ510" s="55"/>
      <c r="AK510" s="55"/>
      <c r="AL510" s="55"/>
      <c r="AM510" s="55"/>
      <c r="AN510" s="55"/>
      <c r="AO510" s="55"/>
      <c r="AP510" s="55"/>
      <c r="AQ510" s="55"/>
      <c r="AR510" s="55"/>
      <c r="AS510" s="55"/>
      <c r="AT510" s="55"/>
      <c r="AU510" s="55"/>
      <c r="AV510" s="55"/>
      <c r="AW510" s="55"/>
      <c r="AX510" s="55"/>
      <c r="AY510" s="55"/>
      <c r="AZ510" s="55"/>
      <c r="BA510" s="55"/>
      <c r="BB510" s="55"/>
      <c r="BC510" s="55"/>
      <c r="BD510" s="55"/>
      <c r="BE510" s="55"/>
      <c r="BF510" s="55"/>
      <c r="BG510" s="55"/>
      <c r="BH510" s="55"/>
      <c r="BI510" s="55"/>
      <c r="BJ510" s="55"/>
      <c r="BK510" s="55"/>
      <c r="BL510" s="55"/>
      <c r="BM510" s="55"/>
      <c r="BN510" s="55"/>
      <c r="BO510" s="55"/>
      <c r="BP510" s="55"/>
      <c r="BQ510" s="55"/>
      <c r="BR510" s="55"/>
      <c r="BS510" s="55"/>
    </row>
    <row r="511" spans="1:71" outlineLevel="1" x14ac:dyDescent="0.2">
      <c r="C511" s="11" t="s">
        <v>284</v>
      </c>
      <c r="G511" s="60"/>
      <c r="H511" s="7" t="s">
        <v>881</v>
      </c>
      <c r="I511" s="63">
        <f ca="1">SUMPRODUCT(OA_IOC_ATCF_Marine,Marine!CA_disc_factor_fc)</f>
        <v>-598.08982194961925</v>
      </c>
      <c r="J511" s="26" t="s">
        <v>148</v>
      </c>
      <c r="L511" s="55"/>
      <c r="M511" s="55"/>
      <c r="N511" s="55"/>
      <c r="O511" s="55"/>
      <c r="P511" s="55"/>
      <c r="Q511" s="55"/>
      <c r="R511" s="55"/>
      <c r="S511" s="55"/>
      <c r="T511" s="55"/>
      <c r="U511" s="55"/>
      <c r="V511" s="55"/>
      <c r="W511" s="55"/>
      <c r="X511" s="55"/>
      <c r="Y511" s="55"/>
      <c r="Z511" s="55"/>
      <c r="AA511" s="55"/>
      <c r="AB511" s="55"/>
      <c r="AC511" s="55"/>
      <c r="AD511" s="55"/>
      <c r="AE511" s="55"/>
      <c r="AF511" s="55"/>
      <c r="AG511" s="55"/>
      <c r="AH511" s="55"/>
      <c r="AI511" s="55"/>
      <c r="AJ511" s="55"/>
      <c r="AK511" s="55"/>
      <c r="AL511" s="55"/>
      <c r="AM511" s="55"/>
      <c r="AN511" s="55"/>
      <c r="AO511" s="55"/>
      <c r="AP511" s="55"/>
      <c r="AQ511" s="55"/>
      <c r="AR511" s="55"/>
      <c r="AS511" s="55"/>
      <c r="AT511" s="55"/>
      <c r="AU511" s="55"/>
      <c r="AV511" s="55"/>
      <c r="AW511" s="55"/>
      <c r="AX511" s="55"/>
      <c r="AY511" s="55"/>
      <c r="AZ511" s="55"/>
      <c r="BA511" s="55"/>
      <c r="BB511" s="55"/>
      <c r="BC511" s="55"/>
      <c r="BD511" s="55"/>
      <c r="BE511" s="55"/>
      <c r="BF511" s="55"/>
      <c r="BG511" s="55"/>
      <c r="BH511" s="55"/>
      <c r="BI511" s="55"/>
      <c r="BJ511" s="55"/>
      <c r="BK511" s="55"/>
      <c r="BL511" s="55"/>
      <c r="BM511" s="55"/>
      <c r="BN511" s="55"/>
      <c r="BO511" s="55"/>
      <c r="BP511" s="55"/>
      <c r="BQ511" s="55"/>
      <c r="BR511" s="55"/>
      <c r="BS511" s="55"/>
    </row>
    <row r="512" spans="1:71" outlineLevel="1" x14ac:dyDescent="0.2">
      <c r="C512" s="11" t="s">
        <v>285</v>
      </c>
      <c r="I512" s="63">
        <f ca="1">SUMPRODUCT(OA_IOC_ATCF_Marine,Marine!CA_disc_factor_pf)</f>
        <v>1021.3894825986056</v>
      </c>
      <c r="J512" s="26" t="s">
        <v>148</v>
      </c>
      <c r="L512" s="55"/>
      <c r="M512" s="55"/>
      <c r="N512" s="55"/>
      <c r="O512" s="55"/>
      <c r="P512" s="55"/>
      <c r="Q512" s="55"/>
      <c r="R512" s="55"/>
      <c r="S512" s="55"/>
      <c r="T512" s="55"/>
      <c r="U512" s="55"/>
      <c r="V512" s="55"/>
      <c r="W512" s="55"/>
      <c r="X512" s="55"/>
      <c r="Y512" s="55"/>
      <c r="Z512" s="55"/>
      <c r="AA512" s="55"/>
      <c r="AB512" s="55"/>
      <c r="AC512" s="55"/>
      <c r="AD512" s="55"/>
      <c r="AE512" s="55"/>
      <c r="AF512" s="55"/>
      <c r="AG512" s="55"/>
      <c r="AH512" s="55"/>
      <c r="AI512" s="55"/>
      <c r="AJ512" s="55"/>
      <c r="AK512" s="55"/>
      <c r="AL512" s="55"/>
      <c r="AM512" s="55"/>
      <c r="AN512" s="55"/>
      <c r="AO512" s="55"/>
      <c r="AP512" s="55"/>
      <c r="AQ512" s="55"/>
      <c r="AR512" s="55"/>
      <c r="AS512" s="55"/>
      <c r="AT512" s="55"/>
      <c r="AU512" s="55"/>
      <c r="AV512" s="55"/>
      <c r="AW512" s="55"/>
      <c r="AX512" s="55"/>
      <c r="AY512" s="55"/>
      <c r="AZ512" s="55"/>
      <c r="BA512" s="55"/>
      <c r="BB512" s="55"/>
      <c r="BC512" s="55"/>
      <c r="BD512" s="55"/>
      <c r="BE512" s="55"/>
      <c r="BF512" s="55"/>
      <c r="BG512" s="55"/>
      <c r="BH512" s="55"/>
      <c r="BI512" s="55"/>
      <c r="BJ512" s="55"/>
      <c r="BK512" s="55"/>
      <c r="BL512" s="55"/>
      <c r="BM512" s="55"/>
      <c r="BN512" s="55"/>
      <c r="BO512" s="55"/>
      <c r="BP512" s="55"/>
      <c r="BQ512" s="55"/>
      <c r="BR512" s="55"/>
      <c r="BS512" s="55"/>
    </row>
    <row r="513" spans="1:71" outlineLevel="1" x14ac:dyDescent="0.2">
      <c r="I513" s="61"/>
      <c r="J513" s="26"/>
      <c r="L513" s="55"/>
      <c r="M513" s="55"/>
      <c r="N513" s="55"/>
      <c r="O513" s="55"/>
      <c r="P513" s="55"/>
      <c r="Q513" s="55"/>
      <c r="R513" s="55"/>
      <c r="S513" s="55"/>
      <c r="T513" s="55"/>
      <c r="U513" s="55"/>
      <c r="V513" s="55"/>
      <c r="W513" s="55"/>
      <c r="X513" s="55"/>
      <c r="Y513" s="55"/>
      <c r="Z513" s="55"/>
      <c r="AA513" s="55"/>
      <c r="AB513" s="55"/>
      <c r="AC513" s="55"/>
      <c r="AD513" s="55"/>
      <c r="AE513" s="55"/>
      <c r="AF513" s="55"/>
      <c r="AG513" s="55"/>
      <c r="AH513" s="55"/>
      <c r="AI513" s="55"/>
      <c r="AJ513" s="55"/>
      <c r="AK513" s="55"/>
      <c r="AL513" s="55"/>
      <c r="AM513" s="55"/>
      <c r="AN513" s="55"/>
      <c r="AO513" s="55"/>
      <c r="AP513" s="55"/>
      <c r="AQ513" s="55"/>
      <c r="AR513" s="55"/>
      <c r="AS513" s="55"/>
      <c r="AT513" s="55"/>
      <c r="AU513" s="55"/>
      <c r="AV513" s="55"/>
      <c r="AW513" s="55"/>
      <c r="AX513" s="55"/>
      <c r="AY513" s="55"/>
      <c r="AZ513" s="55"/>
      <c r="BA513" s="55"/>
      <c r="BB513" s="55"/>
      <c r="BC513" s="55"/>
      <c r="BD513" s="55"/>
      <c r="BE513" s="55"/>
      <c r="BF513" s="55"/>
      <c r="BG513" s="55"/>
      <c r="BH513" s="55"/>
      <c r="BI513" s="55"/>
      <c r="BJ513" s="55"/>
      <c r="BK513" s="55"/>
      <c r="BL513" s="55"/>
      <c r="BM513" s="55"/>
      <c r="BN513" s="55"/>
      <c r="BO513" s="55"/>
      <c r="BP513" s="55"/>
      <c r="BQ513" s="55"/>
      <c r="BR513" s="55"/>
      <c r="BS513" s="55"/>
    </row>
    <row r="514" spans="1:71" outlineLevel="1" x14ac:dyDescent="0.2">
      <c r="C514" s="11" t="s">
        <v>286</v>
      </c>
      <c r="H514" s="7" t="s">
        <v>882</v>
      </c>
      <c r="I514" s="62">
        <f ca="1">IFERROR(IRR(INDEX(OA_IOC_ATCF_Marine,1,MAX(1,$G$437-L4+1)):INDEX(OA_IOC_ATCF_Marine,1,last_model_year)),"na")</f>
        <v>-3.7924951731478362E-2</v>
      </c>
      <c r="J514" s="26" t="s">
        <v>90</v>
      </c>
      <c r="L514" s="55"/>
      <c r="M514" s="55"/>
      <c r="N514" s="55"/>
      <c r="O514" s="55"/>
      <c r="P514" s="55"/>
      <c r="Q514" s="55"/>
      <c r="R514" s="55"/>
      <c r="S514" s="55"/>
      <c r="T514" s="55"/>
      <c r="U514" s="55"/>
      <c r="V514" s="55"/>
      <c r="W514" s="55"/>
      <c r="X514" s="55"/>
      <c r="Y514" s="55"/>
      <c r="Z514" s="55"/>
      <c r="AA514" s="55"/>
      <c r="AB514" s="55"/>
      <c r="AC514" s="55"/>
      <c r="AD514" s="55"/>
      <c r="AE514" s="55"/>
      <c r="AF514" s="55"/>
      <c r="AG514" s="55"/>
      <c r="AH514" s="55"/>
      <c r="AI514" s="55"/>
      <c r="AJ514" s="55"/>
      <c r="AK514" s="55"/>
      <c r="AL514" s="55"/>
      <c r="AM514" s="55"/>
      <c r="AN514" s="55"/>
      <c r="AO514" s="55"/>
      <c r="AP514" s="55"/>
      <c r="AQ514" s="55"/>
      <c r="AR514" s="55"/>
      <c r="AS514" s="55"/>
      <c r="AT514" s="55"/>
      <c r="AU514" s="55"/>
      <c r="AV514" s="55"/>
      <c r="AW514" s="55"/>
      <c r="AX514" s="55"/>
      <c r="AY514" s="55"/>
      <c r="AZ514" s="55"/>
      <c r="BA514" s="55"/>
      <c r="BB514" s="55"/>
      <c r="BC514" s="55"/>
      <c r="BD514" s="55"/>
      <c r="BE514" s="55"/>
      <c r="BF514" s="55"/>
      <c r="BG514" s="55"/>
      <c r="BH514" s="55"/>
      <c r="BI514" s="55"/>
      <c r="BJ514" s="55"/>
      <c r="BK514" s="55"/>
      <c r="BL514" s="55"/>
      <c r="BM514" s="55"/>
      <c r="BN514" s="55"/>
      <c r="BO514" s="55"/>
      <c r="BP514" s="55"/>
      <c r="BQ514" s="55"/>
      <c r="BR514" s="55"/>
      <c r="BS514" s="55"/>
    </row>
    <row r="515" spans="1:71" outlineLevel="1" x14ac:dyDescent="0.2">
      <c r="C515" s="11" t="s">
        <v>287</v>
      </c>
      <c r="I515" s="62" t="str">
        <f ca="1">IFERROR(IRR(INDEX(OA_IOC_ATCF_Marine,1,MAX(1,$G$438-L4+1)):INDEX(OA_IOC_ATCF_Marine,1,last_model_year)),"na")</f>
        <v>na</v>
      </c>
      <c r="J515" s="26" t="s">
        <v>90</v>
      </c>
      <c r="L515" s="55"/>
      <c r="M515" s="55"/>
      <c r="N515" s="55"/>
      <c r="O515" s="55"/>
      <c r="P515" s="55"/>
      <c r="Q515" s="55"/>
      <c r="R515" s="55"/>
      <c r="S515" s="55"/>
      <c r="T515" s="55"/>
      <c r="U515" s="55"/>
      <c r="V515" s="55"/>
      <c r="W515" s="55"/>
      <c r="X515" s="55"/>
      <c r="Y515" s="55"/>
      <c r="Z515" s="55"/>
      <c r="AA515" s="55"/>
      <c r="AB515" s="55"/>
      <c r="AC515" s="55"/>
      <c r="AD515" s="55"/>
      <c r="AE515" s="55"/>
      <c r="AF515" s="55"/>
      <c r="AG515" s="55"/>
      <c r="AH515" s="55"/>
      <c r="AI515" s="55"/>
      <c r="AJ515" s="55"/>
      <c r="AK515" s="55"/>
      <c r="AL515" s="55"/>
      <c r="AM515" s="55"/>
      <c r="AN515" s="55"/>
      <c r="AO515" s="55"/>
      <c r="AP515" s="55"/>
      <c r="AQ515" s="55"/>
      <c r="AR515" s="55"/>
      <c r="AS515" s="55"/>
      <c r="AT515" s="55"/>
      <c r="AU515" s="55"/>
      <c r="AV515" s="55"/>
      <c r="AW515" s="55"/>
      <c r="AX515" s="55"/>
      <c r="AY515" s="55"/>
      <c r="AZ515" s="55"/>
      <c r="BA515" s="55"/>
      <c r="BB515" s="55"/>
      <c r="BC515" s="55"/>
      <c r="BD515" s="55"/>
      <c r="BE515" s="55"/>
      <c r="BF515" s="55"/>
      <c r="BG515" s="55"/>
      <c r="BH515" s="55"/>
      <c r="BI515" s="55"/>
      <c r="BJ515" s="55"/>
      <c r="BK515" s="55"/>
      <c r="BL515" s="55"/>
      <c r="BM515" s="55"/>
      <c r="BN515" s="55"/>
      <c r="BO515" s="55"/>
      <c r="BP515" s="55"/>
      <c r="BQ515" s="55"/>
      <c r="BR515" s="55"/>
      <c r="BS515" s="55"/>
    </row>
    <row r="516" spans="1:71" outlineLevel="1" x14ac:dyDescent="0.2">
      <c r="J516" s="26"/>
      <c r="L516" s="55"/>
      <c r="M516" s="55"/>
      <c r="N516" s="55"/>
      <c r="O516" s="55"/>
      <c r="P516" s="55"/>
      <c r="Q516" s="55"/>
      <c r="R516" s="55"/>
      <c r="S516" s="55"/>
      <c r="T516" s="55"/>
      <c r="U516" s="55"/>
      <c r="V516" s="55"/>
      <c r="W516" s="55"/>
      <c r="X516" s="55"/>
      <c r="Y516" s="55"/>
      <c r="Z516" s="55"/>
      <c r="AA516" s="55"/>
      <c r="AB516" s="55"/>
      <c r="AC516" s="55"/>
      <c r="AD516" s="55"/>
      <c r="AE516" s="55"/>
      <c r="AF516" s="55"/>
      <c r="AG516" s="55"/>
      <c r="AH516" s="55"/>
      <c r="AI516" s="55"/>
      <c r="AJ516" s="55"/>
      <c r="AK516" s="55"/>
      <c r="AL516" s="55"/>
      <c r="AM516" s="55"/>
      <c r="AN516" s="55"/>
      <c r="AO516" s="55"/>
      <c r="AP516" s="55"/>
      <c r="AQ516" s="55"/>
      <c r="AR516" s="55"/>
      <c r="AS516" s="55"/>
      <c r="AT516" s="55"/>
      <c r="AU516" s="55"/>
      <c r="AV516" s="55"/>
      <c r="AW516" s="55"/>
      <c r="AX516" s="55"/>
      <c r="AY516" s="55"/>
      <c r="AZ516" s="55"/>
      <c r="BA516" s="55"/>
      <c r="BB516" s="55"/>
      <c r="BC516" s="55"/>
      <c r="BD516" s="55"/>
      <c r="BE516" s="55"/>
      <c r="BF516" s="55"/>
      <c r="BG516" s="55"/>
      <c r="BH516" s="55"/>
      <c r="BI516" s="55"/>
      <c r="BJ516" s="55"/>
      <c r="BK516" s="55"/>
      <c r="BL516" s="55"/>
      <c r="BM516" s="55"/>
      <c r="BN516" s="55"/>
      <c r="BO516" s="55"/>
      <c r="BP516" s="55"/>
      <c r="BQ516" s="55"/>
      <c r="BR516" s="55"/>
      <c r="BS516" s="55"/>
    </row>
    <row r="517" spans="1:71" outlineLevel="1" x14ac:dyDescent="0.2">
      <c r="C517" s="11" t="s">
        <v>304</v>
      </c>
      <c r="H517" s="7" t="s">
        <v>883</v>
      </c>
      <c r="I517" s="67">
        <f ca="1">COUNTIF(L509:BS509,"&lt;0")+1</f>
        <v>14</v>
      </c>
      <c r="J517" s="26"/>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c r="AR517" s="7"/>
      <c r="AS517" s="7"/>
      <c r="AT517" s="7"/>
      <c r="AU517" s="7"/>
      <c r="AV517" s="7"/>
      <c r="AW517" s="7"/>
      <c r="AX517" s="7"/>
      <c r="AY517" s="7"/>
      <c r="AZ517" s="7"/>
      <c r="BA517" s="7"/>
      <c r="BB517" s="7"/>
      <c r="BC517" s="7"/>
      <c r="BD517" s="7"/>
      <c r="BE517" s="7"/>
      <c r="BF517" s="7"/>
      <c r="BG517" s="7"/>
      <c r="BH517" s="7"/>
      <c r="BI517" s="7"/>
      <c r="BJ517" s="7"/>
      <c r="BK517" s="7"/>
      <c r="BL517" s="7"/>
      <c r="BM517" s="7"/>
      <c r="BN517" s="7"/>
      <c r="BO517" s="7"/>
      <c r="BP517" s="7"/>
      <c r="BQ517" s="7"/>
      <c r="BR517" s="7"/>
      <c r="BS517" s="7"/>
    </row>
    <row r="518" spans="1:71" outlineLevel="1" x14ac:dyDescent="0.2">
      <c r="J518" s="26"/>
      <c r="L518" s="55"/>
      <c r="M518" s="55"/>
      <c r="N518" s="55"/>
      <c r="O518" s="55"/>
      <c r="P518" s="55"/>
      <c r="Q518" s="55"/>
      <c r="R518" s="55"/>
      <c r="S518" s="55"/>
      <c r="T518" s="55"/>
      <c r="U518" s="55"/>
      <c r="V518" s="55"/>
      <c r="W518" s="55"/>
      <c r="X518" s="55"/>
      <c r="Y518" s="55"/>
      <c r="Z518" s="55"/>
      <c r="AA518" s="55"/>
      <c r="AB518" s="55"/>
      <c r="AC518" s="55"/>
      <c r="AD518" s="55"/>
      <c r="AE518" s="55"/>
      <c r="AF518" s="55"/>
      <c r="AG518" s="55"/>
      <c r="AH518" s="55"/>
      <c r="AI518" s="55"/>
      <c r="AJ518" s="55"/>
      <c r="AK518" s="55"/>
      <c r="AL518" s="55"/>
      <c r="AM518" s="55"/>
      <c r="AN518" s="55"/>
      <c r="AO518" s="55"/>
      <c r="AP518" s="55"/>
      <c r="AQ518" s="55"/>
      <c r="AR518" s="55"/>
      <c r="AS518" s="55"/>
      <c r="AT518" s="55"/>
      <c r="AU518" s="55"/>
      <c r="AV518" s="55"/>
      <c r="AW518" s="55"/>
      <c r="AX518" s="55"/>
      <c r="AY518" s="55"/>
      <c r="AZ518" s="55"/>
      <c r="BA518" s="55"/>
      <c r="BB518" s="55"/>
      <c r="BC518" s="55"/>
      <c r="BD518" s="55"/>
      <c r="BE518" s="55"/>
      <c r="BF518" s="55"/>
      <c r="BG518" s="55"/>
      <c r="BH518" s="55"/>
      <c r="BI518" s="55"/>
      <c r="BJ518" s="55"/>
      <c r="BK518" s="55"/>
      <c r="BL518" s="55"/>
      <c r="BM518" s="55"/>
      <c r="BN518" s="55"/>
      <c r="BO518" s="55"/>
      <c r="BP518" s="55"/>
      <c r="BQ518" s="55"/>
      <c r="BR518" s="55"/>
      <c r="BS518" s="55"/>
    </row>
    <row r="519" spans="1:71" outlineLevel="1" x14ac:dyDescent="0.2">
      <c r="J519" s="26"/>
      <c r="L519" s="55"/>
      <c r="M519" s="55"/>
      <c r="N519" s="55"/>
      <c r="O519" s="55"/>
      <c r="P519" s="55"/>
      <c r="Q519" s="55"/>
      <c r="R519" s="55"/>
      <c r="S519" s="55"/>
      <c r="T519" s="55"/>
      <c r="U519" s="55"/>
      <c r="V519" s="55"/>
      <c r="W519" s="55"/>
      <c r="X519" s="55"/>
      <c r="Y519" s="55"/>
      <c r="Z519" s="55"/>
      <c r="AA519" s="55"/>
      <c r="AB519" s="55"/>
      <c r="AC519" s="55"/>
      <c r="AD519" s="55"/>
      <c r="AE519" s="55"/>
      <c r="AF519" s="55"/>
      <c r="AG519" s="55"/>
      <c r="AH519" s="55"/>
      <c r="AI519" s="55"/>
      <c r="AJ519" s="55"/>
      <c r="AK519" s="55"/>
      <c r="AL519" s="55"/>
      <c r="AM519" s="55"/>
      <c r="AN519" s="55"/>
      <c r="AO519" s="55"/>
      <c r="AP519" s="55"/>
      <c r="AQ519" s="55"/>
      <c r="AR519" s="55"/>
      <c r="AS519" s="55"/>
      <c r="AT519" s="55"/>
      <c r="AU519" s="55"/>
      <c r="AV519" s="55"/>
      <c r="AW519" s="55"/>
      <c r="AX519" s="55"/>
      <c r="AY519" s="55"/>
      <c r="AZ519" s="55"/>
      <c r="BA519" s="55"/>
      <c r="BB519" s="55"/>
      <c r="BC519" s="55"/>
      <c r="BD519" s="55"/>
      <c r="BE519" s="55"/>
      <c r="BF519" s="55"/>
      <c r="BG519" s="55"/>
      <c r="BH519" s="55"/>
      <c r="BI519" s="55"/>
      <c r="BJ519" s="55"/>
      <c r="BK519" s="55"/>
      <c r="BL519" s="55"/>
      <c r="BM519" s="55"/>
      <c r="BN519" s="55"/>
      <c r="BO519" s="55"/>
      <c r="BP519" s="55"/>
      <c r="BQ519" s="55"/>
      <c r="BR519" s="55"/>
      <c r="BS519" s="55"/>
    </row>
    <row r="520" spans="1:71" outlineLevel="1" x14ac:dyDescent="0.2">
      <c r="A520" s="45"/>
      <c r="B520" s="38" t="s">
        <v>290</v>
      </c>
      <c r="C520" s="45"/>
      <c r="D520" s="45"/>
      <c r="E520" s="45"/>
      <c r="J520" s="26"/>
      <c r="L520" s="55"/>
      <c r="M520" s="55"/>
      <c r="N520" s="55"/>
      <c r="O520" s="55"/>
      <c r="P520" s="55"/>
      <c r="Q520" s="55"/>
      <c r="R520" s="55"/>
      <c r="S520" s="55"/>
      <c r="T520" s="55"/>
      <c r="U520" s="55"/>
      <c r="V520" s="55"/>
      <c r="W520" s="55"/>
      <c r="X520" s="55"/>
      <c r="Y520" s="55"/>
      <c r="Z520" s="55"/>
      <c r="AA520" s="55"/>
      <c r="AB520" s="55"/>
      <c r="AC520" s="55"/>
      <c r="AD520" s="55"/>
      <c r="AE520" s="55"/>
      <c r="AF520" s="55"/>
      <c r="AG520" s="55"/>
      <c r="AH520" s="55"/>
      <c r="AI520" s="55"/>
      <c r="AJ520" s="55"/>
      <c r="AK520" s="55"/>
      <c r="AL520" s="55"/>
      <c r="AM520" s="55"/>
      <c r="AN520" s="55"/>
      <c r="AO520" s="55"/>
      <c r="AP520" s="55"/>
      <c r="AQ520" s="55"/>
      <c r="AR520" s="55"/>
      <c r="AS520" s="55"/>
      <c r="AT520" s="55"/>
      <c r="AU520" s="55"/>
      <c r="AV520" s="55"/>
      <c r="AW520" s="55"/>
      <c r="AX520" s="55"/>
      <c r="AY520" s="55"/>
      <c r="AZ520" s="55"/>
      <c r="BA520" s="55"/>
      <c r="BB520" s="55"/>
      <c r="BC520" s="55"/>
      <c r="BD520" s="55"/>
      <c r="BE520" s="55"/>
      <c r="BF520" s="55"/>
      <c r="BG520" s="55"/>
      <c r="BH520" s="55"/>
      <c r="BI520" s="55"/>
      <c r="BJ520" s="55"/>
      <c r="BK520" s="55"/>
      <c r="BL520" s="55"/>
      <c r="BM520" s="55"/>
      <c r="BN520" s="55"/>
      <c r="BO520" s="55"/>
      <c r="BP520" s="55"/>
      <c r="BQ520" s="55"/>
      <c r="BR520" s="55"/>
      <c r="BS520" s="55"/>
    </row>
    <row r="521" spans="1:71" outlineLevel="1" x14ac:dyDescent="0.2">
      <c r="J521" s="26"/>
      <c r="L521" s="55"/>
      <c r="M521" s="55"/>
      <c r="N521" s="55"/>
      <c r="O521" s="55"/>
      <c r="P521" s="55"/>
      <c r="Q521" s="55"/>
      <c r="R521" s="55"/>
      <c r="S521" s="55"/>
      <c r="T521" s="55"/>
      <c r="U521" s="55"/>
      <c r="V521" s="55"/>
      <c r="W521" s="55"/>
      <c r="X521" s="55"/>
      <c r="Y521" s="55"/>
      <c r="Z521" s="55"/>
      <c r="AA521" s="55"/>
      <c r="AB521" s="55"/>
      <c r="AC521" s="55"/>
      <c r="AD521" s="55"/>
      <c r="AE521" s="55"/>
      <c r="AF521" s="55"/>
      <c r="AG521" s="55"/>
      <c r="AH521" s="55"/>
      <c r="AI521" s="55"/>
      <c r="AJ521" s="55"/>
      <c r="AK521" s="55"/>
      <c r="AL521" s="55"/>
      <c r="AM521" s="55"/>
      <c r="AN521" s="55"/>
      <c r="AO521" s="55"/>
      <c r="AP521" s="55"/>
      <c r="AQ521" s="55"/>
      <c r="AR521" s="55"/>
      <c r="AS521" s="55"/>
      <c r="AT521" s="55"/>
      <c r="AU521" s="55"/>
      <c r="AV521" s="55"/>
      <c r="AW521" s="55"/>
      <c r="AX521" s="55"/>
      <c r="AY521" s="55"/>
      <c r="AZ521" s="55"/>
      <c r="BA521" s="55"/>
      <c r="BB521" s="55"/>
      <c r="BC521" s="55"/>
      <c r="BD521" s="55"/>
      <c r="BE521" s="55"/>
      <c r="BF521" s="55"/>
      <c r="BG521" s="55"/>
      <c r="BH521" s="55"/>
      <c r="BI521" s="55"/>
      <c r="BJ521" s="55"/>
      <c r="BK521" s="55"/>
      <c r="BL521" s="55"/>
      <c r="BM521" s="55"/>
      <c r="BN521" s="55"/>
      <c r="BO521" s="55"/>
      <c r="BP521" s="55"/>
      <c r="BQ521" s="55"/>
      <c r="BR521" s="55"/>
      <c r="BS521" s="55"/>
    </row>
    <row r="522" spans="1:71" outlineLevel="1" x14ac:dyDescent="0.2">
      <c r="C522" s="11" t="s">
        <v>267</v>
      </c>
      <c r="J522" s="26"/>
      <c r="L522" s="55"/>
      <c r="M522" s="55"/>
      <c r="N522" s="55"/>
      <c r="O522" s="55"/>
      <c r="P522" s="55"/>
      <c r="Q522" s="55"/>
      <c r="R522" s="55"/>
      <c r="S522" s="55"/>
      <c r="T522" s="55"/>
      <c r="U522" s="55"/>
      <c r="V522" s="55"/>
      <c r="W522" s="55"/>
      <c r="X522" s="55"/>
      <c r="Y522" s="55"/>
      <c r="Z522" s="55"/>
      <c r="AA522" s="55"/>
      <c r="AB522" s="55"/>
      <c r="AC522" s="55"/>
      <c r="AD522" s="55"/>
      <c r="AE522" s="55"/>
      <c r="AF522" s="55"/>
      <c r="AG522" s="55"/>
      <c r="AH522" s="55"/>
      <c r="AI522" s="55"/>
      <c r="AJ522" s="55"/>
      <c r="AK522" s="55"/>
      <c r="AL522" s="55"/>
      <c r="AM522" s="55"/>
      <c r="AN522" s="55"/>
      <c r="AO522" s="55"/>
      <c r="AP522" s="55"/>
      <c r="AQ522" s="55"/>
      <c r="AR522" s="55"/>
      <c r="AS522" s="55"/>
      <c r="AT522" s="55"/>
      <c r="AU522" s="55"/>
      <c r="AV522" s="55"/>
      <c r="AW522" s="55"/>
      <c r="AX522" s="55"/>
      <c r="AY522" s="55"/>
      <c r="AZ522" s="55"/>
      <c r="BA522" s="55"/>
      <c r="BB522" s="55"/>
      <c r="BC522" s="55"/>
      <c r="BD522" s="55"/>
      <c r="BE522" s="55"/>
      <c r="BF522" s="55"/>
      <c r="BG522" s="55"/>
      <c r="BH522" s="55"/>
      <c r="BI522" s="55"/>
      <c r="BJ522" s="55"/>
      <c r="BK522" s="55"/>
      <c r="BL522" s="55"/>
      <c r="BM522" s="55"/>
      <c r="BN522" s="55"/>
      <c r="BO522" s="55"/>
      <c r="BP522" s="55"/>
      <c r="BQ522" s="55"/>
      <c r="BR522" s="55"/>
      <c r="BS522" s="55"/>
    </row>
    <row r="523" spans="1:71" outlineLevel="1" x14ac:dyDescent="0.2">
      <c r="D523" t="s">
        <v>267</v>
      </c>
      <c r="I523" s="30">
        <f t="shared" ref="I523:I529" ca="1" si="193">SUM($L523:$BS523)</f>
        <v>455.29388186703704</v>
      </c>
      <c r="J523" s="26" t="s">
        <v>148</v>
      </c>
      <c r="L523" s="49" cm="1">
        <f t="array" aca="1" ref="L523:BS523" ca="1">(Marine!CA_ent_rev_gas+Marine!CA_ent_rev_oil)*Marine!CA_NOC_WI</f>
        <v>0</v>
      </c>
      <c r="M523" s="49">
        <f ca="1"/>
        <v>0.76800693316177893</v>
      </c>
      <c r="N523" s="49">
        <f ca="1"/>
        <v>11.531950716320708</v>
      </c>
      <c r="O523" s="49">
        <f ca="1"/>
        <v>17.943186895995588</v>
      </c>
      <c r="P523" s="49">
        <f ca="1"/>
        <v>31.201372123135812</v>
      </c>
      <c r="Q523" s="49">
        <f ca="1"/>
        <v>61.089029868775498</v>
      </c>
      <c r="R523" s="49">
        <f ca="1"/>
        <v>48.796529062528258</v>
      </c>
      <c r="S523" s="49">
        <f ca="1"/>
        <v>37.978268092999379</v>
      </c>
      <c r="T523" s="49">
        <f ca="1"/>
        <v>52.010750265445509</v>
      </c>
      <c r="U523" s="49">
        <f ca="1"/>
        <v>51.933236340237698</v>
      </c>
      <c r="V523" s="49">
        <f ca="1"/>
        <v>49.800089017394185</v>
      </c>
      <c r="W523" s="49">
        <f ca="1"/>
        <v>47.065466001283532</v>
      </c>
      <c r="X523" s="49">
        <f ca="1"/>
        <v>45.175996549759162</v>
      </c>
      <c r="Y523" s="49">
        <f ca="1"/>
        <v>0</v>
      </c>
      <c r="Z523" s="49">
        <f ca="1"/>
        <v>0</v>
      </c>
      <c r="AA523" s="49">
        <f ca="1"/>
        <v>0</v>
      </c>
      <c r="AB523" s="49">
        <f ca="1"/>
        <v>0</v>
      </c>
      <c r="AC523" s="49">
        <f ca="1"/>
        <v>0</v>
      </c>
      <c r="AD523" s="49">
        <f ca="1"/>
        <v>0</v>
      </c>
      <c r="AE523" s="49">
        <f ca="1"/>
        <v>0</v>
      </c>
      <c r="AF523" s="49">
        <f ca="1"/>
        <v>0</v>
      </c>
      <c r="AG523" s="49">
        <f ca="1"/>
        <v>0</v>
      </c>
      <c r="AH523" s="49">
        <f ca="1"/>
        <v>0</v>
      </c>
      <c r="AI523" s="49">
        <f ca="1"/>
        <v>0</v>
      </c>
      <c r="AJ523" s="49">
        <f ca="1"/>
        <v>0</v>
      </c>
      <c r="AK523" s="49">
        <f ca="1"/>
        <v>0</v>
      </c>
      <c r="AL523" s="49">
        <f ca="1"/>
        <v>0</v>
      </c>
      <c r="AM523" s="49">
        <f ca="1"/>
        <v>0</v>
      </c>
      <c r="AN523" s="49">
        <f ca="1"/>
        <v>0</v>
      </c>
      <c r="AO523" s="49">
        <f ca="1"/>
        <v>0</v>
      </c>
      <c r="AP523" s="49">
        <f ca="1"/>
        <v>0</v>
      </c>
      <c r="AQ523" s="49">
        <f ca="1"/>
        <v>0</v>
      </c>
      <c r="AR523" s="49">
        <f ca="1"/>
        <v>0</v>
      </c>
      <c r="AS523" s="49">
        <f ca="1"/>
        <v>0</v>
      </c>
      <c r="AT523" s="49">
        <f ca="1"/>
        <v>0</v>
      </c>
      <c r="AU523" s="49">
        <f ca="1"/>
        <v>0</v>
      </c>
      <c r="AV523" s="49">
        <f ca="1"/>
        <v>0</v>
      </c>
      <c r="AW523" s="49">
        <f ca="1"/>
        <v>0</v>
      </c>
      <c r="AX523" s="49">
        <f ca="1"/>
        <v>0</v>
      </c>
      <c r="AY523" s="49">
        <f ca="1"/>
        <v>0</v>
      </c>
      <c r="AZ523" s="49">
        <f ca="1"/>
        <v>0</v>
      </c>
      <c r="BA523" s="49">
        <f ca="1"/>
        <v>0</v>
      </c>
      <c r="BB523" s="49">
        <f ca="1"/>
        <v>0</v>
      </c>
      <c r="BC523" s="49">
        <f ca="1"/>
        <v>0</v>
      </c>
      <c r="BD523" s="49">
        <f ca="1"/>
        <v>0</v>
      </c>
      <c r="BE523" s="49">
        <f ca="1"/>
        <v>0</v>
      </c>
      <c r="BF523" s="49">
        <f ca="1"/>
        <v>0</v>
      </c>
      <c r="BG523" s="49">
        <f ca="1"/>
        <v>0</v>
      </c>
      <c r="BH523" s="49">
        <f ca="1"/>
        <v>0</v>
      </c>
      <c r="BI523" s="49">
        <f ca="1"/>
        <v>0</v>
      </c>
      <c r="BJ523" s="49">
        <f ca="1"/>
        <v>0</v>
      </c>
      <c r="BK523" s="49">
        <f ca="1"/>
        <v>0</v>
      </c>
      <c r="BL523" s="49">
        <f ca="1"/>
        <v>0</v>
      </c>
      <c r="BM523" s="49">
        <f ca="1"/>
        <v>0</v>
      </c>
      <c r="BN523" s="49">
        <f ca="1"/>
        <v>0</v>
      </c>
      <c r="BO523" s="49">
        <f ca="1"/>
        <v>0</v>
      </c>
      <c r="BP523" s="49">
        <f ca="1"/>
        <v>0</v>
      </c>
      <c r="BQ523" s="49">
        <f ca="1"/>
        <v>0</v>
      </c>
      <c r="BR523" s="49">
        <f ca="1"/>
        <v>0</v>
      </c>
      <c r="BS523" s="49">
        <f ca="1"/>
        <v>0</v>
      </c>
    </row>
    <row r="524" spans="1:71" outlineLevel="1" x14ac:dyDescent="0.2">
      <c r="D524" t="s">
        <v>335</v>
      </c>
      <c r="I524" s="30">
        <f t="shared" ca="1" si="193"/>
        <v>-239.36420000000001</v>
      </c>
      <c r="J524" s="26" t="s">
        <v>148</v>
      </c>
      <c r="L524" s="49" cm="1">
        <f t="array" aca="1" ref="L524:BS524" ca="1">Marine!CA_NOC_carry_payback</f>
        <v>0</v>
      </c>
      <c r="M524" s="49">
        <f ca="1"/>
        <v>-0.57600519987133425</v>
      </c>
      <c r="N524" s="49">
        <f ca="1"/>
        <v>-8.6489630372405308</v>
      </c>
      <c r="O524" s="49">
        <f ca="1"/>
        <v>-13.457390171996691</v>
      </c>
      <c r="P524" s="49">
        <f ca="1"/>
        <v>-23.401029092351855</v>
      </c>
      <c r="Q524" s="49">
        <f ca="1"/>
        <v>-45.816772401581616</v>
      </c>
      <c r="R524" s="49">
        <f ca="1"/>
        <v>-36.597396796896192</v>
      </c>
      <c r="S524" s="49">
        <f ca="1"/>
        <v>-28.483701069749536</v>
      </c>
      <c r="T524" s="49">
        <f ca="1"/>
        <v>-39.008062699084135</v>
      </c>
      <c r="U524" s="49">
        <f ca="1"/>
        <v>-38.949927255178274</v>
      </c>
      <c r="V524" s="49">
        <f ca="1"/>
        <v>-4.4249522760498579</v>
      </c>
      <c r="W524" s="49">
        <f ca="1"/>
        <v>0</v>
      </c>
      <c r="X524" s="49">
        <f ca="1"/>
        <v>0</v>
      </c>
      <c r="Y524" s="49">
        <f ca="1"/>
        <v>0</v>
      </c>
      <c r="Z524" s="49">
        <f ca="1"/>
        <v>0</v>
      </c>
      <c r="AA524" s="49">
        <f ca="1"/>
        <v>0</v>
      </c>
      <c r="AB524" s="49">
        <f ca="1"/>
        <v>0</v>
      </c>
      <c r="AC524" s="49">
        <f ca="1"/>
        <v>0</v>
      </c>
      <c r="AD524" s="49">
        <f ca="1"/>
        <v>0</v>
      </c>
      <c r="AE524" s="49">
        <f ca="1"/>
        <v>0</v>
      </c>
      <c r="AF524" s="49">
        <f ca="1"/>
        <v>0</v>
      </c>
      <c r="AG524" s="49">
        <f ca="1"/>
        <v>0</v>
      </c>
      <c r="AH524" s="49">
        <f ca="1"/>
        <v>0</v>
      </c>
      <c r="AI524" s="49">
        <f ca="1"/>
        <v>0</v>
      </c>
      <c r="AJ524" s="49">
        <f ca="1"/>
        <v>0</v>
      </c>
      <c r="AK524" s="49">
        <f ca="1"/>
        <v>0</v>
      </c>
      <c r="AL524" s="49">
        <f ca="1"/>
        <v>0</v>
      </c>
      <c r="AM524" s="49">
        <f ca="1"/>
        <v>0</v>
      </c>
      <c r="AN524" s="49">
        <f ca="1"/>
        <v>0</v>
      </c>
      <c r="AO524" s="49">
        <f ca="1"/>
        <v>0</v>
      </c>
      <c r="AP524" s="49">
        <f ca="1"/>
        <v>0</v>
      </c>
      <c r="AQ524" s="49">
        <f ca="1"/>
        <v>0</v>
      </c>
      <c r="AR524" s="49">
        <f ca="1"/>
        <v>0</v>
      </c>
      <c r="AS524" s="49">
        <f ca="1"/>
        <v>0</v>
      </c>
      <c r="AT524" s="49">
        <f ca="1"/>
        <v>0</v>
      </c>
      <c r="AU524" s="49">
        <f ca="1"/>
        <v>0</v>
      </c>
      <c r="AV524" s="49">
        <f ca="1"/>
        <v>0</v>
      </c>
      <c r="AW524" s="49">
        <f ca="1"/>
        <v>0</v>
      </c>
      <c r="AX524" s="49">
        <f ca="1"/>
        <v>0</v>
      </c>
      <c r="AY524" s="49">
        <f ca="1"/>
        <v>0</v>
      </c>
      <c r="AZ524" s="49">
        <f ca="1"/>
        <v>0</v>
      </c>
      <c r="BA524" s="49">
        <f ca="1"/>
        <v>0</v>
      </c>
      <c r="BB524" s="49">
        <f ca="1"/>
        <v>0</v>
      </c>
      <c r="BC524" s="49">
        <f ca="1"/>
        <v>0</v>
      </c>
      <c r="BD524" s="49">
        <f ca="1"/>
        <v>0</v>
      </c>
      <c r="BE524" s="49">
        <f ca="1"/>
        <v>0</v>
      </c>
      <c r="BF524" s="49">
        <f ca="1"/>
        <v>0</v>
      </c>
      <c r="BG524" s="49">
        <f ca="1"/>
        <v>0</v>
      </c>
      <c r="BH524" s="49">
        <f ca="1"/>
        <v>0</v>
      </c>
      <c r="BI524" s="49">
        <f ca="1"/>
        <v>0</v>
      </c>
      <c r="BJ524" s="49">
        <f ca="1"/>
        <v>0</v>
      </c>
      <c r="BK524" s="49">
        <f ca="1"/>
        <v>0</v>
      </c>
      <c r="BL524" s="49">
        <f ca="1"/>
        <v>0</v>
      </c>
      <c r="BM524" s="49">
        <f ca="1"/>
        <v>0</v>
      </c>
      <c r="BN524" s="49">
        <f ca="1"/>
        <v>0</v>
      </c>
      <c r="BO524" s="49">
        <f ca="1"/>
        <v>0</v>
      </c>
      <c r="BP524" s="49">
        <f ca="1"/>
        <v>0</v>
      </c>
      <c r="BQ524" s="49">
        <f ca="1"/>
        <v>0</v>
      </c>
      <c r="BR524" s="49">
        <f ca="1"/>
        <v>0</v>
      </c>
      <c r="BS524" s="49">
        <f ca="1"/>
        <v>0</v>
      </c>
    </row>
    <row r="525" spans="1:71" outlineLevel="1" x14ac:dyDescent="0.2">
      <c r="D525" s="11" t="s">
        <v>270</v>
      </c>
      <c r="I525" s="30">
        <f t="shared" ca="1" si="193"/>
        <v>215.92968186703709</v>
      </c>
      <c r="J525" s="26" t="s">
        <v>148</v>
      </c>
      <c r="L525" s="49">
        <f ca="1">SUM(L523:L524)</f>
        <v>0</v>
      </c>
      <c r="M525" s="49">
        <f t="shared" ref="M525:BS525" ca="1" si="194">SUM(M523:M524)</f>
        <v>0.19200173329044468</v>
      </c>
      <c r="N525" s="49">
        <f t="shared" ca="1" si="194"/>
        <v>2.8829876790801769</v>
      </c>
      <c r="O525" s="49">
        <f t="shared" ca="1" si="194"/>
        <v>4.485796723998897</v>
      </c>
      <c r="P525" s="49">
        <f t="shared" ca="1" si="194"/>
        <v>7.8003430307839565</v>
      </c>
      <c r="Q525" s="49">
        <f t="shared" ca="1" si="194"/>
        <v>15.272257467193882</v>
      </c>
      <c r="R525" s="49">
        <f t="shared" ca="1" si="194"/>
        <v>12.199132265632066</v>
      </c>
      <c r="S525" s="49">
        <f t="shared" ca="1" si="194"/>
        <v>9.4945670232498429</v>
      </c>
      <c r="T525" s="49">
        <f t="shared" ca="1" si="194"/>
        <v>13.002687566361374</v>
      </c>
      <c r="U525" s="49">
        <f t="shared" ca="1" si="194"/>
        <v>12.983309085059425</v>
      </c>
      <c r="V525" s="49">
        <f t="shared" ca="1" si="194"/>
        <v>45.375136741344328</v>
      </c>
      <c r="W525" s="49">
        <f t="shared" ca="1" si="194"/>
        <v>47.065466001283532</v>
      </c>
      <c r="X525" s="49">
        <f t="shared" ca="1" si="194"/>
        <v>45.175996549759162</v>
      </c>
      <c r="Y525" s="49">
        <f t="shared" ca="1" si="194"/>
        <v>0</v>
      </c>
      <c r="Z525" s="49">
        <f t="shared" ca="1" si="194"/>
        <v>0</v>
      </c>
      <c r="AA525" s="49">
        <f t="shared" ca="1" si="194"/>
        <v>0</v>
      </c>
      <c r="AB525" s="49">
        <f t="shared" ca="1" si="194"/>
        <v>0</v>
      </c>
      <c r="AC525" s="49">
        <f t="shared" ca="1" si="194"/>
        <v>0</v>
      </c>
      <c r="AD525" s="49">
        <f t="shared" ca="1" si="194"/>
        <v>0</v>
      </c>
      <c r="AE525" s="49">
        <f t="shared" ca="1" si="194"/>
        <v>0</v>
      </c>
      <c r="AF525" s="49">
        <f t="shared" ca="1" si="194"/>
        <v>0</v>
      </c>
      <c r="AG525" s="49">
        <f t="shared" ca="1" si="194"/>
        <v>0</v>
      </c>
      <c r="AH525" s="49">
        <f t="shared" ca="1" si="194"/>
        <v>0</v>
      </c>
      <c r="AI525" s="49">
        <f t="shared" ca="1" si="194"/>
        <v>0</v>
      </c>
      <c r="AJ525" s="49">
        <f t="shared" ca="1" si="194"/>
        <v>0</v>
      </c>
      <c r="AK525" s="49">
        <f t="shared" ca="1" si="194"/>
        <v>0</v>
      </c>
      <c r="AL525" s="49">
        <f t="shared" ca="1" si="194"/>
        <v>0</v>
      </c>
      <c r="AM525" s="49">
        <f t="shared" ca="1" si="194"/>
        <v>0</v>
      </c>
      <c r="AN525" s="49">
        <f t="shared" ca="1" si="194"/>
        <v>0</v>
      </c>
      <c r="AO525" s="49">
        <f t="shared" ca="1" si="194"/>
        <v>0</v>
      </c>
      <c r="AP525" s="49">
        <f t="shared" ca="1" si="194"/>
        <v>0</v>
      </c>
      <c r="AQ525" s="49">
        <f t="shared" ca="1" si="194"/>
        <v>0</v>
      </c>
      <c r="AR525" s="49">
        <f t="shared" ca="1" si="194"/>
        <v>0</v>
      </c>
      <c r="AS525" s="49">
        <f t="shared" ca="1" si="194"/>
        <v>0</v>
      </c>
      <c r="AT525" s="49">
        <f t="shared" ca="1" si="194"/>
        <v>0</v>
      </c>
      <c r="AU525" s="49">
        <f t="shared" ca="1" si="194"/>
        <v>0</v>
      </c>
      <c r="AV525" s="49">
        <f t="shared" ca="1" si="194"/>
        <v>0</v>
      </c>
      <c r="AW525" s="49">
        <f t="shared" ca="1" si="194"/>
        <v>0</v>
      </c>
      <c r="AX525" s="49">
        <f t="shared" ca="1" si="194"/>
        <v>0</v>
      </c>
      <c r="AY525" s="49">
        <f t="shared" ca="1" si="194"/>
        <v>0</v>
      </c>
      <c r="AZ525" s="49">
        <f t="shared" ca="1" si="194"/>
        <v>0</v>
      </c>
      <c r="BA525" s="49">
        <f t="shared" ca="1" si="194"/>
        <v>0</v>
      </c>
      <c r="BB525" s="49">
        <f t="shared" ca="1" si="194"/>
        <v>0</v>
      </c>
      <c r="BC525" s="49">
        <f t="shared" ca="1" si="194"/>
        <v>0</v>
      </c>
      <c r="BD525" s="49">
        <f t="shared" ca="1" si="194"/>
        <v>0</v>
      </c>
      <c r="BE525" s="49">
        <f t="shared" ca="1" si="194"/>
        <v>0</v>
      </c>
      <c r="BF525" s="49">
        <f t="shared" ca="1" si="194"/>
        <v>0</v>
      </c>
      <c r="BG525" s="49">
        <f t="shared" ca="1" si="194"/>
        <v>0</v>
      </c>
      <c r="BH525" s="49">
        <f t="shared" ca="1" si="194"/>
        <v>0</v>
      </c>
      <c r="BI525" s="49">
        <f t="shared" ca="1" si="194"/>
        <v>0</v>
      </c>
      <c r="BJ525" s="49">
        <f t="shared" ca="1" si="194"/>
        <v>0</v>
      </c>
      <c r="BK525" s="49">
        <f t="shared" ca="1" si="194"/>
        <v>0</v>
      </c>
      <c r="BL525" s="49">
        <f t="shared" ca="1" si="194"/>
        <v>0</v>
      </c>
      <c r="BM525" s="49">
        <f t="shared" ca="1" si="194"/>
        <v>0</v>
      </c>
      <c r="BN525" s="49">
        <f t="shared" ca="1" si="194"/>
        <v>0</v>
      </c>
      <c r="BO525" s="49">
        <f t="shared" ca="1" si="194"/>
        <v>0</v>
      </c>
      <c r="BP525" s="49">
        <f t="shared" ca="1" si="194"/>
        <v>0</v>
      </c>
      <c r="BQ525" s="49">
        <f t="shared" ca="1" si="194"/>
        <v>0</v>
      </c>
      <c r="BR525" s="49">
        <f t="shared" ca="1" si="194"/>
        <v>0</v>
      </c>
      <c r="BS525" s="49">
        <f t="shared" ca="1" si="194"/>
        <v>0</v>
      </c>
    </row>
    <row r="526" spans="1:71" outlineLevel="1" x14ac:dyDescent="0.2">
      <c r="J526" s="26"/>
      <c r="L526" s="55"/>
      <c r="M526" s="55"/>
      <c r="N526" s="55"/>
      <c r="O526" s="55"/>
      <c r="P526" s="55"/>
      <c r="Q526" s="55"/>
      <c r="R526" s="55"/>
      <c r="S526" s="55"/>
      <c r="T526" s="55"/>
      <c r="U526" s="55"/>
      <c r="V526" s="55"/>
      <c r="W526" s="55"/>
      <c r="X526" s="55"/>
      <c r="Y526" s="55"/>
      <c r="Z526" s="55"/>
      <c r="AA526" s="55"/>
      <c r="AB526" s="55"/>
      <c r="AC526" s="55"/>
      <c r="AD526" s="55"/>
      <c r="AE526" s="55"/>
      <c r="AF526" s="55"/>
      <c r="AG526" s="55"/>
      <c r="AH526" s="55"/>
      <c r="AI526" s="55"/>
      <c r="AJ526" s="55"/>
      <c r="AK526" s="55"/>
      <c r="AL526" s="55"/>
      <c r="AM526" s="55"/>
      <c r="AN526" s="55"/>
      <c r="AO526" s="55"/>
      <c r="AP526" s="55"/>
      <c r="AQ526" s="55"/>
      <c r="AR526" s="55"/>
      <c r="AS526" s="55"/>
      <c r="AT526" s="55"/>
      <c r="AU526" s="55"/>
      <c r="AV526" s="55"/>
      <c r="AW526" s="55"/>
      <c r="AX526" s="55"/>
      <c r="AY526" s="55"/>
      <c r="AZ526" s="55"/>
      <c r="BA526" s="55"/>
      <c r="BB526" s="55"/>
      <c r="BC526" s="55"/>
      <c r="BD526" s="55"/>
      <c r="BE526" s="55"/>
      <c r="BF526" s="55"/>
      <c r="BG526" s="55"/>
      <c r="BH526" s="55"/>
      <c r="BI526" s="55"/>
      <c r="BJ526" s="55"/>
      <c r="BK526" s="55"/>
      <c r="BL526" s="55"/>
      <c r="BM526" s="55"/>
      <c r="BN526" s="55"/>
      <c r="BO526" s="55"/>
      <c r="BP526" s="55"/>
      <c r="BQ526" s="55"/>
      <c r="BR526" s="55"/>
      <c r="BS526" s="55"/>
    </row>
    <row r="527" spans="1:71" outlineLevel="1" x14ac:dyDescent="0.2">
      <c r="C527" s="11" t="s">
        <v>50</v>
      </c>
      <c r="I527" s="30">
        <f t="shared" ca="1" si="193"/>
        <v>232.1835957216</v>
      </c>
      <c r="J527" s="26" t="s">
        <v>148</v>
      </c>
      <c r="L527" s="49">
        <f ca="1">(L474*Marine!CA_NOC_WI)-Marine!CA_NOC_CI_opex</f>
        <v>3.7100000000000004</v>
      </c>
      <c r="M527" s="49">
        <f ca="1">(M474*Marine!CA_NOC_WI)-Marine!CA_NOC_CI_opex</f>
        <v>10.194100000000001</v>
      </c>
      <c r="N527" s="49">
        <f ca="1">(N474*Marine!CA_NOC_WI)-Marine!CA_NOC_CI_opex</f>
        <v>11.9428</v>
      </c>
      <c r="O527" s="49">
        <f ca="1">(O474*Marine!CA_NOC_WI)-Marine!CA_NOC_CI_opex</f>
        <v>17.869499999999999</v>
      </c>
      <c r="P527" s="49">
        <f ca="1">(P474*Marine!CA_NOC_WI)-Marine!CA_NOC_CI_opex</f>
        <v>14.794900000000002</v>
      </c>
      <c r="Q527" s="49">
        <f ca="1">(Q474*Marine!CA_NOC_WI)-Marine!CA_NOC_CI_opex</f>
        <v>22.641100000000002</v>
      </c>
      <c r="R527" s="49">
        <f ca="1">(R474*Marine!CA_NOC_WI)-Marine!CA_NOC_CI_opex</f>
        <v>17.600000000000001</v>
      </c>
      <c r="S527" s="49">
        <f ca="1">(S474*Marine!CA_NOC_WI)-Marine!CA_NOC_CI_opex</f>
        <v>19.89</v>
      </c>
      <c r="T527" s="49">
        <f ca="1">(T474*Marine!CA_NOC_WI)-Marine!CA_NOC_CI_opex</f>
        <v>20.440000000000001</v>
      </c>
      <c r="U527" s="49">
        <f ca="1">(U474*Marine!CA_NOC_WI)-Marine!CA_NOC_CI_opex</f>
        <v>21.481200000000001</v>
      </c>
      <c r="V527" s="49">
        <f ca="1">(V474*Marine!CA_NOC_WI)-Marine!CA_NOC_CI_opex</f>
        <v>22.607892000000003</v>
      </c>
      <c r="W527" s="49">
        <f ca="1">(W474*Marine!CA_NOC_WI)-Marine!CA_NOC_CI_opex</f>
        <v>23.834731680000001</v>
      </c>
      <c r="X527" s="49">
        <f ca="1">(X474*Marine!CA_NOC_WI)-Marine!CA_NOC_CI_opex</f>
        <v>25.177372041599998</v>
      </c>
      <c r="Y527" s="49">
        <f ca="1">(Y474*Marine!CA_NOC_WI)-Marine!CA_NOC_CI_opex</f>
        <v>0</v>
      </c>
      <c r="Z527" s="49">
        <f ca="1">(Z474*Marine!CA_NOC_WI)-Marine!CA_NOC_CI_opex</f>
        <v>0</v>
      </c>
      <c r="AA527" s="49">
        <f ca="1">(AA474*Marine!CA_NOC_WI)-Marine!CA_NOC_CI_opex</f>
        <v>0</v>
      </c>
      <c r="AB527" s="49">
        <f ca="1">(AB474*Marine!CA_NOC_WI)-Marine!CA_NOC_CI_opex</f>
        <v>0</v>
      </c>
      <c r="AC527" s="49">
        <f ca="1">(AC474*Marine!CA_NOC_WI)-Marine!CA_NOC_CI_opex</f>
        <v>0</v>
      </c>
      <c r="AD527" s="49">
        <f ca="1">(AD474*Marine!CA_NOC_WI)-Marine!CA_NOC_CI_opex</f>
        <v>0</v>
      </c>
      <c r="AE527" s="49">
        <f ca="1">(AE474*Marine!CA_NOC_WI)-Marine!CA_NOC_CI_opex</f>
        <v>0</v>
      </c>
      <c r="AF527" s="49">
        <f ca="1">(AF474*Marine!CA_NOC_WI)-Marine!CA_NOC_CI_opex</f>
        <v>0</v>
      </c>
      <c r="AG527" s="49">
        <f ca="1">(AG474*Marine!CA_NOC_WI)-Marine!CA_NOC_CI_opex</f>
        <v>0</v>
      </c>
      <c r="AH527" s="49">
        <f ca="1">(AH474*Marine!CA_NOC_WI)-Marine!CA_NOC_CI_opex</f>
        <v>0</v>
      </c>
      <c r="AI527" s="49">
        <f ca="1">(AI474*Marine!CA_NOC_WI)-Marine!CA_NOC_CI_opex</f>
        <v>0</v>
      </c>
      <c r="AJ527" s="49">
        <f ca="1">(AJ474*Marine!CA_NOC_WI)-Marine!CA_NOC_CI_opex</f>
        <v>0</v>
      </c>
      <c r="AK527" s="49">
        <f ca="1">(AK474*Marine!CA_NOC_WI)-Marine!CA_NOC_CI_opex</f>
        <v>0</v>
      </c>
      <c r="AL527" s="49">
        <f ca="1">(AL474*Marine!CA_NOC_WI)-Marine!CA_NOC_CI_opex</f>
        <v>0</v>
      </c>
      <c r="AM527" s="49">
        <f ca="1">(AM474*Marine!CA_NOC_WI)-Marine!CA_NOC_CI_opex</f>
        <v>0</v>
      </c>
      <c r="AN527" s="49">
        <f ca="1">(AN474*Marine!CA_NOC_WI)-Marine!CA_NOC_CI_opex</f>
        <v>0</v>
      </c>
      <c r="AO527" s="49">
        <f ca="1">(AO474*Marine!CA_NOC_WI)-Marine!CA_NOC_CI_opex</f>
        <v>0</v>
      </c>
      <c r="AP527" s="49">
        <f ca="1">(AP474*Marine!CA_NOC_WI)-Marine!CA_NOC_CI_opex</f>
        <v>0</v>
      </c>
      <c r="AQ527" s="49">
        <f ca="1">(AQ474*Marine!CA_NOC_WI)-Marine!CA_NOC_CI_opex</f>
        <v>0</v>
      </c>
      <c r="AR527" s="49">
        <f ca="1">(AR474*Marine!CA_NOC_WI)-Marine!CA_NOC_CI_opex</f>
        <v>0</v>
      </c>
      <c r="AS527" s="49">
        <f ca="1">(AS474*Marine!CA_NOC_WI)-Marine!CA_NOC_CI_opex</f>
        <v>0</v>
      </c>
      <c r="AT527" s="49">
        <f ca="1">(AT474*Marine!CA_NOC_WI)-Marine!CA_NOC_CI_opex</f>
        <v>0</v>
      </c>
      <c r="AU527" s="49">
        <f ca="1">(AU474*Marine!CA_NOC_WI)-Marine!CA_NOC_CI_opex</f>
        <v>0</v>
      </c>
      <c r="AV527" s="49">
        <f ca="1">(AV474*Marine!CA_NOC_WI)-Marine!CA_NOC_CI_opex</f>
        <v>0</v>
      </c>
      <c r="AW527" s="49">
        <f ca="1">(AW474*Marine!CA_NOC_WI)-Marine!CA_NOC_CI_opex</f>
        <v>0</v>
      </c>
      <c r="AX527" s="49">
        <f ca="1">(AX474*Marine!CA_NOC_WI)-Marine!CA_NOC_CI_opex</f>
        <v>0</v>
      </c>
      <c r="AY527" s="49">
        <f ca="1">(AY474*Marine!CA_NOC_WI)-Marine!CA_NOC_CI_opex</f>
        <v>0</v>
      </c>
      <c r="AZ527" s="49">
        <f ca="1">(AZ474*Marine!CA_NOC_WI)-Marine!CA_NOC_CI_opex</f>
        <v>0</v>
      </c>
      <c r="BA527" s="49">
        <f ca="1">(BA474*Marine!CA_NOC_WI)-Marine!CA_NOC_CI_opex</f>
        <v>0</v>
      </c>
      <c r="BB527" s="49">
        <f ca="1">(BB474*Marine!CA_NOC_WI)-Marine!CA_NOC_CI_opex</f>
        <v>0</v>
      </c>
      <c r="BC527" s="49">
        <f ca="1">(BC474*Marine!CA_NOC_WI)-Marine!CA_NOC_CI_opex</f>
        <v>0</v>
      </c>
      <c r="BD527" s="49">
        <f ca="1">(BD474*Marine!CA_NOC_WI)-Marine!CA_NOC_CI_opex</f>
        <v>0</v>
      </c>
      <c r="BE527" s="49">
        <f ca="1">(BE474*Marine!CA_NOC_WI)-Marine!CA_NOC_CI_opex</f>
        <v>0</v>
      </c>
      <c r="BF527" s="49">
        <f ca="1">(BF474*Marine!CA_NOC_WI)-Marine!CA_NOC_CI_opex</f>
        <v>0</v>
      </c>
      <c r="BG527" s="49">
        <f ca="1">(BG474*Marine!CA_NOC_WI)-Marine!CA_NOC_CI_opex</f>
        <v>0</v>
      </c>
      <c r="BH527" s="49">
        <f ca="1">(BH474*Marine!CA_NOC_WI)-Marine!CA_NOC_CI_opex</f>
        <v>0</v>
      </c>
      <c r="BI527" s="49">
        <f ca="1">(BI474*Marine!CA_NOC_WI)-Marine!CA_NOC_CI_opex</f>
        <v>0</v>
      </c>
      <c r="BJ527" s="49">
        <f ca="1">(BJ474*Marine!CA_NOC_WI)-Marine!CA_NOC_CI_opex</f>
        <v>0</v>
      </c>
      <c r="BK527" s="49">
        <f ca="1">(BK474*Marine!CA_NOC_WI)-Marine!CA_NOC_CI_opex</f>
        <v>0</v>
      </c>
      <c r="BL527" s="49">
        <f ca="1">(BL474*Marine!CA_NOC_WI)-Marine!CA_NOC_CI_opex</f>
        <v>0</v>
      </c>
      <c r="BM527" s="49">
        <f ca="1">(BM474*Marine!CA_NOC_WI)-Marine!CA_NOC_CI_opex</f>
        <v>0</v>
      </c>
      <c r="BN527" s="49">
        <f ca="1">(BN474*Marine!CA_NOC_WI)-Marine!CA_NOC_CI_opex</f>
        <v>0</v>
      </c>
      <c r="BO527" s="49">
        <f ca="1">(BO474*Marine!CA_NOC_WI)-Marine!CA_NOC_CI_opex</f>
        <v>0</v>
      </c>
      <c r="BP527" s="49">
        <f ca="1">(BP474*Marine!CA_NOC_WI)-Marine!CA_NOC_CI_opex</f>
        <v>0</v>
      </c>
      <c r="BQ527" s="49">
        <f ca="1">(BQ474*Marine!CA_NOC_WI)-Marine!CA_NOC_CI_opex</f>
        <v>0</v>
      </c>
      <c r="BR527" s="49">
        <f ca="1">(BR474*Marine!CA_NOC_WI)-Marine!CA_NOC_CI_opex</f>
        <v>0</v>
      </c>
      <c r="BS527" s="49">
        <f ca="1">(BS474*Marine!CA_NOC_WI)-Marine!CA_NOC_CI_opex</f>
        <v>0</v>
      </c>
    </row>
    <row r="528" spans="1:71" outlineLevel="1" x14ac:dyDescent="0.2">
      <c r="J528" s="26"/>
      <c r="L528" s="55"/>
      <c r="M528" s="55"/>
      <c r="N528" s="55"/>
      <c r="O528" s="55"/>
      <c r="P528" s="55"/>
      <c r="Q528" s="55"/>
      <c r="R528" s="55"/>
      <c r="S528" s="55"/>
      <c r="T528" s="55"/>
      <c r="U528" s="55"/>
      <c r="V528" s="55"/>
      <c r="W528" s="55"/>
      <c r="X528" s="55"/>
      <c r="Y528" s="55"/>
      <c r="Z528" s="55"/>
      <c r="AA528" s="55"/>
      <c r="AB528" s="55"/>
      <c r="AC528" s="55"/>
      <c r="AD528" s="55"/>
      <c r="AE528" s="55"/>
      <c r="AF528" s="55"/>
      <c r="AG528" s="55"/>
      <c r="AH528" s="55"/>
      <c r="AI528" s="55"/>
      <c r="AJ528" s="55"/>
      <c r="AK528" s="55"/>
      <c r="AL528" s="55"/>
      <c r="AM528" s="55"/>
      <c r="AN528" s="55"/>
      <c r="AO528" s="55"/>
      <c r="AP528" s="55"/>
      <c r="AQ528" s="55"/>
      <c r="AR528" s="55"/>
      <c r="AS528" s="55"/>
      <c r="AT528" s="55"/>
      <c r="AU528" s="55"/>
      <c r="AV528" s="55"/>
      <c r="AW528" s="55"/>
      <c r="AX528" s="55"/>
      <c r="AY528" s="55"/>
      <c r="AZ528" s="55"/>
      <c r="BA528" s="55"/>
      <c r="BB528" s="55"/>
      <c r="BC528" s="55"/>
      <c r="BD528" s="55"/>
      <c r="BE528" s="55"/>
      <c r="BF528" s="55"/>
      <c r="BG528" s="55"/>
      <c r="BH528" s="55"/>
      <c r="BI528" s="55"/>
      <c r="BJ528" s="55"/>
      <c r="BK528" s="55"/>
      <c r="BL528" s="55"/>
      <c r="BM528" s="55"/>
      <c r="BN528" s="55"/>
      <c r="BO528" s="55"/>
      <c r="BP528" s="55"/>
      <c r="BQ528" s="55"/>
      <c r="BR528" s="55"/>
      <c r="BS528" s="55"/>
    </row>
    <row r="529" spans="3:71" outlineLevel="1" x14ac:dyDescent="0.2">
      <c r="C529" s="11" t="s">
        <v>271</v>
      </c>
      <c r="I529" s="30">
        <f t="shared" ca="1" si="193"/>
        <v>5.4738039330218617</v>
      </c>
      <c r="J529" s="26" t="s">
        <v>148</v>
      </c>
      <c r="L529" s="49">
        <f ca="1">L476*Marine!CA_NOC_WI</f>
        <v>0</v>
      </c>
      <c r="M529" s="49">
        <f ca="1">M476*Marine!CA_NOC_WI</f>
        <v>9.3983153338229302E-3</v>
      </c>
      <c r="N529" s="49">
        <f ca="1">N476*Marine!CA_NOC_WI</f>
        <v>0.12988763022073144</v>
      </c>
      <c r="O529" s="49">
        <f ca="1">O476*Marine!CA_NOC_WI</f>
        <v>0.20200156729356961</v>
      </c>
      <c r="P529" s="49">
        <f ca="1">P476*Marine!CA_NOC_WI</f>
        <v>0.36579991053168937</v>
      </c>
      <c r="Q529" s="49">
        <f ca="1">Q476*Marine!CA_NOC_WI</f>
        <v>0.73818786721860519</v>
      </c>
      <c r="R529" s="49">
        <f ca="1">R476*Marine!CA_NOC_WI</f>
        <v>0.6176775435004358</v>
      </c>
      <c r="S529" s="49">
        <f ca="1">S476*Marine!CA_NOC_WI</f>
        <v>0.4469763935833333</v>
      </c>
      <c r="T529" s="49">
        <f ca="1">T476*Marine!CA_NOC_WI</f>
        <v>0.62503100762023189</v>
      </c>
      <c r="U529" s="49">
        <f ca="1">U476*Marine!CA_NOC_WI</f>
        <v>0.62406079597930686</v>
      </c>
      <c r="V529" s="49">
        <f ca="1">V476*Marine!CA_NOC_WI</f>
        <v>0.59690158780260416</v>
      </c>
      <c r="W529" s="49">
        <f ca="1">W476*Marine!CA_NOC_WI</f>
        <v>0.57116920415051198</v>
      </c>
      <c r="X529" s="49">
        <f ca="1">X476*Marine!CA_NOC_WI</f>
        <v>0.54671210978702012</v>
      </c>
      <c r="Y529" s="49">
        <f ca="1">Y476*Marine!CA_NOC_WI</f>
        <v>0</v>
      </c>
      <c r="Z529" s="49">
        <f ca="1">Z476*Marine!CA_NOC_WI</f>
        <v>0</v>
      </c>
      <c r="AA529" s="49">
        <f ca="1">AA476*Marine!CA_NOC_WI</f>
        <v>0</v>
      </c>
      <c r="AB529" s="49">
        <f ca="1">AB476*Marine!CA_NOC_WI</f>
        <v>0</v>
      </c>
      <c r="AC529" s="49">
        <f ca="1">AC476*Marine!CA_NOC_WI</f>
        <v>0</v>
      </c>
      <c r="AD529" s="49">
        <f ca="1">AD476*Marine!CA_NOC_WI</f>
        <v>0</v>
      </c>
      <c r="AE529" s="49">
        <f ca="1">AE476*Marine!CA_NOC_WI</f>
        <v>0</v>
      </c>
      <c r="AF529" s="49">
        <f ca="1">AF476*Marine!CA_NOC_WI</f>
        <v>0</v>
      </c>
      <c r="AG529" s="49">
        <f ca="1">AG476*Marine!CA_NOC_WI</f>
        <v>0</v>
      </c>
      <c r="AH529" s="49">
        <f ca="1">AH476*Marine!CA_NOC_WI</f>
        <v>0</v>
      </c>
      <c r="AI529" s="49">
        <f ca="1">AI476*Marine!CA_NOC_WI</f>
        <v>0</v>
      </c>
      <c r="AJ529" s="49">
        <f ca="1">AJ476*Marine!CA_NOC_WI</f>
        <v>0</v>
      </c>
      <c r="AK529" s="49">
        <f ca="1">AK476*Marine!CA_NOC_WI</f>
        <v>0</v>
      </c>
      <c r="AL529" s="49">
        <f ca="1">AL476*Marine!CA_NOC_WI</f>
        <v>0</v>
      </c>
      <c r="AM529" s="49">
        <f ca="1">AM476*Marine!CA_NOC_WI</f>
        <v>0</v>
      </c>
      <c r="AN529" s="49">
        <f ca="1">AN476*Marine!CA_NOC_WI</f>
        <v>0</v>
      </c>
      <c r="AO529" s="49">
        <f ca="1">AO476*Marine!CA_NOC_WI</f>
        <v>0</v>
      </c>
      <c r="AP529" s="49">
        <f ca="1">AP476*Marine!CA_NOC_WI</f>
        <v>0</v>
      </c>
      <c r="AQ529" s="49">
        <f ca="1">AQ476*Marine!CA_NOC_WI</f>
        <v>0</v>
      </c>
      <c r="AR529" s="49">
        <f ca="1">AR476*Marine!CA_NOC_WI</f>
        <v>0</v>
      </c>
      <c r="AS529" s="49">
        <f ca="1">AS476*Marine!CA_NOC_WI</f>
        <v>0</v>
      </c>
      <c r="AT529" s="49">
        <f ca="1">AT476*Marine!CA_NOC_WI</f>
        <v>0</v>
      </c>
      <c r="AU529" s="49">
        <f ca="1">AU476*Marine!CA_NOC_WI</f>
        <v>0</v>
      </c>
      <c r="AV529" s="49">
        <f ca="1">AV476*Marine!CA_NOC_WI</f>
        <v>0</v>
      </c>
      <c r="AW529" s="49">
        <f ca="1">AW476*Marine!CA_NOC_WI</f>
        <v>0</v>
      </c>
      <c r="AX529" s="49">
        <f ca="1">AX476*Marine!CA_NOC_WI</f>
        <v>0</v>
      </c>
      <c r="AY529" s="49">
        <f ca="1">AY476*Marine!CA_NOC_WI</f>
        <v>0</v>
      </c>
      <c r="AZ529" s="49">
        <f ca="1">AZ476*Marine!CA_NOC_WI</f>
        <v>0</v>
      </c>
      <c r="BA529" s="49">
        <f ca="1">BA476*Marine!CA_NOC_WI</f>
        <v>0</v>
      </c>
      <c r="BB529" s="49">
        <f ca="1">BB476*Marine!CA_NOC_WI</f>
        <v>0</v>
      </c>
      <c r="BC529" s="49">
        <f ca="1">BC476*Marine!CA_NOC_WI</f>
        <v>0</v>
      </c>
      <c r="BD529" s="49">
        <f ca="1">BD476*Marine!CA_NOC_WI</f>
        <v>0</v>
      </c>
      <c r="BE529" s="49">
        <f ca="1">BE476*Marine!CA_NOC_WI</f>
        <v>0</v>
      </c>
      <c r="BF529" s="49">
        <f ca="1">BF476*Marine!CA_NOC_WI</f>
        <v>0</v>
      </c>
      <c r="BG529" s="49">
        <f ca="1">BG476*Marine!CA_NOC_WI</f>
        <v>0</v>
      </c>
      <c r="BH529" s="49">
        <f ca="1">BH476*Marine!CA_NOC_WI</f>
        <v>0</v>
      </c>
      <c r="BI529" s="49">
        <f ca="1">BI476*Marine!CA_NOC_WI</f>
        <v>0</v>
      </c>
      <c r="BJ529" s="49">
        <f ca="1">BJ476*Marine!CA_NOC_WI</f>
        <v>0</v>
      </c>
      <c r="BK529" s="49">
        <f ca="1">BK476*Marine!CA_NOC_WI</f>
        <v>0</v>
      </c>
      <c r="BL529" s="49">
        <f ca="1">BL476*Marine!CA_NOC_WI</f>
        <v>0</v>
      </c>
      <c r="BM529" s="49">
        <f ca="1">BM476*Marine!CA_NOC_WI</f>
        <v>0</v>
      </c>
      <c r="BN529" s="49">
        <f ca="1">BN476*Marine!CA_NOC_WI</f>
        <v>0</v>
      </c>
      <c r="BO529" s="49">
        <f ca="1">BO476*Marine!CA_NOC_WI</f>
        <v>0</v>
      </c>
      <c r="BP529" s="49">
        <f ca="1">BP476*Marine!CA_NOC_WI</f>
        <v>0</v>
      </c>
      <c r="BQ529" s="49">
        <f ca="1">BQ476*Marine!CA_NOC_WI</f>
        <v>0</v>
      </c>
      <c r="BR529" s="49">
        <f ca="1">BR476*Marine!CA_NOC_WI</f>
        <v>0</v>
      </c>
      <c r="BS529" s="49">
        <f ca="1">BS476*Marine!CA_NOC_WI</f>
        <v>0</v>
      </c>
    </row>
    <row r="530" spans="3:71" outlineLevel="1" x14ac:dyDescent="0.2">
      <c r="J530" s="26"/>
      <c r="L530" s="55"/>
      <c r="M530" s="55"/>
      <c r="N530" s="55"/>
      <c r="O530" s="55"/>
      <c r="P530" s="55"/>
      <c r="Q530" s="55"/>
      <c r="R530" s="55"/>
      <c r="S530" s="55"/>
      <c r="T530" s="55"/>
      <c r="U530" s="55"/>
      <c r="V530" s="55"/>
      <c r="W530" s="55"/>
      <c r="X530" s="55"/>
      <c r="Y530" s="55"/>
      <c r="Z530" s="55"/>
      <c r="AA530" s="55"/>
      <c r="AB530" s="55"/>
      <c r="AC530" s="55"/>
      <c r="AD530" s="55"/>
      <c r="AE530" s="55"/>
      <c r="AF530" s="55"/>
      <c r="AG530" s="55"/>
      <c r="AH530" s="55"/>
      <c r="AI530" s="55"/>
      <c r="AJ530" s="55"/>
      <c r="AK530" s="55"/>
      <c r="AL530" s="55"/>
      <c r="AM530" s="55"/>
      <c r="AN530" s="55"/>
      <c r="AO530" s="55"/>
      <c r="AP530" s="55"/>
      <c r="AQ530" s="55"/>
      <c r="AR530" s="55"/>
      <c r="AS530" s="55"/>
      <c r="AT530" s="55"/>
      <c r="AU530" s="55"/>
      <c r="AV530" s="55"/>
      <c r="AW530" s="55"/>
      <c r="AX530" s="55"/>
      <c r="AY530" s="55"/>
      <c r="AZ530" s="55"/>
      <c r="BA530" s="55"/>
      <c r="BB530" s="55"/>
      <c r="BC530" s="55"/>
      <c r="BD530" s="55"/>
      <c r="BE530" s="55"/>
      <c r="BF530" s="55"/>
      <c r="BG530" s="55"/>
      <c r="BH530" s="55"/>
      <c r="BI530" s="55"/>
      <c r="BJ530" s="55"/>
      <c r="BK530" s="55"/>
      <c r="BL530" s="55"/>
      <c r="BM530" s="55"/>
      <c r="BN530" s="55"/>
      <c r="BO530" s="55"/>
      <c r="BP530" s="55"/>
      <c r="BQ530" s="55"/>
      <c r="BR530" s="55"/>
      <c r="BS530" s="55"/>
    </row>
    <row r="531" spans="3:71" outlineLevel="1" x14ac:dyDescent="0.2">
      <c r="C531" s="11" t="s">
        <v>272</v>
      </c>
      <c r="I531" s="30">
        <f t="shared" ref="I531:I541" ca="1" si="195">SUM($L531:$BS531)</f>
        <v>0</v>
      </c>
      <c r="J531" s="26" t="s">
        <v>148</v>
      </c>
      <c r="L531" s="49">
        <f ca="1">L478*Marine!CA_NOC_WI</f>
        <v>0</v>
      </c>
      <c r="M531" s="49">
        <f ca="1">M478*Marine!CA_NOC_WI</f>
        <v>0</v>
      </c>
      <c r="N531" s="49">
        <f ca="1">N478*Marine!CA_NOC_WI</f>
        <v>0</v>
      </c>
      <c r="O531" s="49">
        <f ca="1">O478*Marine!CA_NOC_WI</f>
        <v>0</v>
      </c>
      <c r="P531" s="49">
        <f ca="1">P478*Marine!CA_NOC_WI</f>
        <v>0</v>
      </c>
      <c r="Q531" s="49">
        <f ca="1">Q478*Marine!CA_NOC_WI</f>
        <v>0</v>
      </c>
      <c r="R531" s="49">
        <f ca="1">R478*Marine!CA_NOC_WI</f>
        <v>0</v>
      </c>
      <c r="S531" s="49">
        <f ca="1">S478*Marine!CA_NOC_WI</f>
        <v>0</v>
      </c>
      <c r="T531" s="49">
        <f ca="1">T478*Marine!CA_NOC_WI</f>
        <v>0</v>
      </c>
      <c r="U531" s="49">
        <f ca="1">U478*Marine!CA_NOC_WI</f>
        <v>0</v>
      </c>
      <c r="V531" s="49">
        <f ca="1">V478*Marine!CA_NOC_WI</f>
        <v>0</v>
      </c>
      <c r="W531" s="49">
        <f ca="1">W478*Marine!CA_NOC_WI</f>
        <v>0</v>
      </c>
      <c r="X531" s="49">
        <f ca="1">X478*Marine!CA_NOC_WI</f>
        <v>0</v>
      </c>
      <c r="Y531" s="49">
        <f ca="1">Y478*Marine!CA_NOC_WI</f>
        <v>0</v>
      </c>
      <c r="Z531" s="49">
        <f ca="1">Z478*Marine!CA_NOC_WI</f>
        <v>0</v>
      </c>
      <c r="AA531" s="49">
        <f ca="1">AA478*Marine!CA_NOC_WI</f>
        <v>0</v>
      </c>
      <c r="AB531" s="49">
        <f ca="1">AB478*Marine!CA_NOC_WI</f>
        <v>0</v>
      </c>
      <c r="AC531" s="49">
        <f ca="1">AC478*Marine!CA_NOC_WI</f>
        <v>0</v>
      </c>
      <c r="AD531" s="49">
        <f ca="1">AD478*Marine!CA_NOC_WI</f>
        <v>0</v>
      </c>
      <c r="AE531" s="49">
        <f ca="1">AE478*Marine!CA_NOC_WI</f>
        <v>0</v>
      </c>
      <c r="AF531" s="49">
        <f ca="1">AF478*Marine!CA_NOC_WI</f>
        <v>0</v>
      </c>
      <c r="AG531" s="49">
        <f ca="1">AG478*Marine!CA_NOC_WI</f>
        <v>0</v>
      </c>
      <c r="AH531" s="49">
        <f ca="1">AH478*Marine!CA_NOC_WI</f>
        <v>0</v>
      </c>
      <c r="AI531" s="49">
        <f ca="1">AI478*Marine!CA_NOC_WI</f>
        <v>0</v>
      </c>
      <c r="AJ531" s="49">
        <f ca="1">AJ478*Marine!CA_NOC_WI</f>
        <v>0</v>
      </c>
      <c r="AK531" s="49">
        <f ca="1">AK478*Marine!CA_NOC_WI</f>
        <v>0</v>
      </c>
      <c r="AL531" s="49">
        <f ca="1">AL478*Marine!CA_NOC_WI</f>
        <v>0</v>
      </c>
      <c r="AM531" s="49">
        <f ca="1">AM478*Marine!CA_NOC_WI</f>
        <v>0</v>
      </c>
      <c r="AN531" s="49">
        <f ca="1">AN478*Marine!CA_NOC_WI</f>
        <v>0</v>
      </c>
      <c r="AO531" s="49">
        <f ca="1">AO478*Marine!CA_NOC_WI</f>
        <v>0</v>
      </c>
      <c r="AP531" s="49">
        <f ca="1">AP478*Marine!CA_NOC_WI</f>
        <v>0</v>
      </c>
      <c r="AQ531" s="49">
        <f ca="1">AQ478*Marine!CA_NOC_WI</f>
        <v>0</v>
      </c>
      <c r="AR531" s="49">
        <f ca="1">AR478*Marine!CA_NOC_WI</f>
        <v>0</v>
      </c>
      <c r="AS531" s="49">
        <f ca="1">AS478*Marine!CA_NOC_WI</f>
        <v>0</v>
      </c>
      <c r="AT531" s="49">
        <f ca="1">AT478*Marine!CA_NOC_WI</f>
        <v>0</v>
      </c>
      <c r="AU531" s="49">
        <f ca="1">AU478*Marine!CA_NOC_WI</f>
        <v>0</v>
      </c>
      <c r="AV531" s="49">
        <f ca="1">AV478*Marine!CA_NOC_WI</f>
        <v>0</v>
      </c>
      <c r="AW531" s="49">
        <f ca="1">AW478*Marine!CA_NOC_WI</f>
        <v>0</v>
      </c>
      <c r="AX531" s="49">
        <f ca="1">AX478*Marine!CA_NOC_WI</f>
        <v>0</v>
      </c>
      <c r="AY531" s="49">
        <f ca="1">AY478*Marine!CA_NOC_WI</f>
        <v>0</v>
      </c>
      <c r="AZ531" s="49">
        <f ca="1">AZ478*Marine!CA_NOC_WI</f>
        <v>0</v>
      </c>
      <c r="BA531" s="49">
        <f ca="1">BA478*Marine!CA_NOC_WI</f>
        <v>0</v>
      </c>
      <c r="BB531" s="49">
        <f ca="1">BB478*Marine!CA_NOC_WI</f>
        <v>0</v>
      </c>
      <c r="BC531" s="49">
        <f ca="1">BC478*Marine!CA_NOC_WI</f>
        <v>0</v>
      </c>
      <c r="BD531" s="49">
        <f ca="1">BD478*Marine!CA_NOC_WI</f>
        <v>0</v>
      </c>
      <c r="BE531" s="49">
        <f ca="1">BE478*Marine!CA_NOC_WI</f>
        <v>0</v>
      </c>
      <c r="BF531" s="49">
        <f ca="1">BF478*Marine!CA_NOC_WI</f>
        <v>0</v>
      </c>
      <c r="BG531" s="49">
        <f ca="1">BG478*Marine!CA_NOC_WI</f>
        <v>0</v>
      </c>
      <c r="BH531" s="49">
        <f ca="1">BH478*Marine!CA_NOC_WI</f>
        <v>0</v>
      </c>
      <c r="BI531" s="49">
        <f ca="1">BI478*Marine!CA_NOC_WI</f>
        <v>0</v>
      </c>
      <c r="BJ531" s="49">
        <f ca="1">BJ478*Marine!CA_NOC_WI</f>
        <v>0</v>
      </c>
      <c r="BK531" s="49">
        <f ca="1">BK478*Marine!CA_NOC_WI</f>
        <v>0</v>
      </c>
      <c r="BL531" s="49">
        <f ca="1">BL478*Marine!CA_NOC_WI</f>
        <v>0</v>
      </c>
      <c r="BM531" s="49">
        <f ca="1">BM478*Marine!CA_NOC_WI</f>
        <v>0</v>
      </c>
      <c r="BN531" s="49">
        <f ca="1">BN478*Marine!CA_NOC_WI</f>
        <v>0</v>
      </c>
      <c r="BO531" s="49">
        <f ca="1">BO478*Marine!CA_NOC_WI</f>
        <v>0</v>
      </c>
      <c r="BP531" s="49">
        <f ca="1">BP478*Marine!CA_NOC_WI</f>
        <v>0</v>
      </c>
      <c r="BQ531" s="49">
        <f ca="1">BQ478*Marine!CA_NOC_WI</f>
        <v>0</v>
      </c>
      <c r="BR531" s="49">
        <f ca="1">BR478*Marine!CA_NOC_WI</f>
        <v>0</v>
      </c>
      <c r="BS531" s="49">
        <f ca="1">BS478*Marine!CA_NOC_WI</f>
        <v>0</v>
      </c>
    </row>
    <row r="532" spans="3:71" outlineLevel="1" x14ac:dyDescent="0.2">
      <c r="J532" s="26"/>
      <c r="L532" s="55"/>
      <c r="M532" s="55"/>
      <c r="N532" s="55"/>
      <c r="O532" s="55"/>
      <c r="P532" s="55"/>
      <c r="Q532" s="55"/>
      <c r="R532" s="55"/>
      <c r="S532" s="55"/>
      <c r="T532" s="55"/>
      <c r="U532" s="55"/>
      <c r="V532" s="55"/>
      <c r="W532" s="55"/>
      <c r="X532" s="55"/>
      <c r="Y532" s="55"/>
      <c r="Z532" s="55"/>
      <c r="AA532" s="55"/>
      <c r="AB532" s="55"/>
      <c r="AC532" s="55"/>
      <c r="AD532" s="55"/>
      <c r="AE532" s="55"/>
      <c r="AF532" s="55"/>
      <c r="AG532" s="55"/>
      <c r="AH532" s="55"/>
      <c r="AI532" s="55"/>
      <c r="AJ532" s="55"/>
      <c r="AK532" s="55"/>
      <c r="AL532" s="55"/>
      <c r="AM532" s="55"/>
      <c r="AN532" s="55"/>
      <c r="AO532" s="55"/>
      <c r="AP532" s="55"/>
      <c r="AQ532" s="55"/>
      <c r="AR532" s="55"/>
      <c r="AS532" s="55"/>
      <c r="AT532" s="55"/>
      <c r="AU532" s="55"/>
      <c r="AV532" s="55"/>
      <c r="AW532" s="55"/>
      <c r="AX532" s="55"/>
      <c r="AY532" s="55"/>
      <c r="AZ532" s="55"/>
      <c r="BA532" s="55"/>
      <c r="BB532" s="55"/>
      <c r="BC532" s="55"/>
      <c r="BD532" s="55"/>
      <c r="BE532" s="55"/>
      <c r="BF532" s="55"/>
      <c r="BG532" s="55"/>
      <c r="BH532" s="55"/>
      <c r="BI532" s="55"/>
      <c r="BJ532" s="55"/>
      <c r="BK532" s="55"/>
      <c r="BL532" s="55"/>
      <c r="BM532" s="55"/>
      <c r="BN532" s="55"/>
      <c r="BO532" s="55"/>
      <c r="BP532" s="55"/>
      <c r="BQ532" s="55"/>
      <c r="BR532" s="55"/>
      <c r="BS532" s="55"/>
    </row>
    <row r="533" spans="3:71" outlineLevel="1" x14ac:dyDescent="0.2">
      <c r="C533" s="11" t="s">
        <v>273</v>
      </c>
      <c r="I533" s="30">
        <f t="shared" ca="1" si="195"/>
        <v>0</v>
      </c>
      <c r="J533" s="26" t="s">
        <v>148</v>
      </c>
      <c r="L533" s="49">
        <f ca="1">L480*(Marine!CA_NOC_WI)-(Marine!CA_NOC_CI_devex+Marine!CA_NOC_CI_expex)</f>
        <v>0</v>
      </c>
      <c r="M533" s="49">
        <f ca="1">M480*(Marine!CA_NOC_WI)-(Marine!CA_NOC_CI_devex+Marine!CA_NOC_CI_expex)</f>
        <v>0</v>
      </c>
      <c r="N533" s="49">
        <f ca="1">N480*(Marine!CA_NOC_WI)-(Marine!CA_NOC_CI_devex+Marine!CA_NOC_CI_expex)</f>
        <v>0</v>
      </c>
      <c r="O533" s="49">
        <f ca="1">O480*(Marine!CA_NOC_WI)-(Marine!CA_NOC_CI_devex+Marine!CA_NOC_CI_expex)</f>
        <v>0</v>
      </c>
      <c r="P533" s="49">
        <f ca="1">P480*(Marine!CA_NOC_WI)-(Marine!CA_NOC_CI_devex+Marine!CA_NOC_CI_expex)</f>
        <v>0</v>
      </c>
      <c r="Q533" s="49">
        <f ca="1">Q480*(Marine!CA_NOC_WI)-(Marine!CA_NOC_CI_devex+Marine!CA_NOC_CI_expex)</f>
        <v>0</v>
      </c>
      <c r="R533" s="49">
        <f ca="1">R480*(Marine!CA_NOC_WI)-(Marine!CA_NOC_CI_devex+Marine!CA_NOC_CI_expex)</f>
        <v>0</v>
      </c>
      <c r="S533" s="49">
        <f ca="1">S480*(Marine!CA_NOC_WI)-(Marine!CA_NOC_CI_devex+Marine!CA_NOC_CI_expex)</f>
        <v>0</v>
      </c>
      <c r="T533" s="49">
        <f ca="1">T480*(Marine!CA_NOC_WI)-(Marine!CA_NOC_CI_devex+Marine!CA_NOC_CI_expex)</f>
        <v>0</v>
      </c>
      <c r="U533" s="49">
        <f ca="1">U480*(Marine!CA_NOC_WI)-(Marine!CA_NOC_CI_devex+Marine!CA_NOC_CI_expex)</f>
        <v>0</v>
      </c>
      <c r="V533" s="49">
        <f ca="1">V480*(Marine!CA_NOC_WI)-(Marine!CA_NOC_CI_devex+Marine!CA_NOC_CI_expex)</f>
        <v>0</v>
      </c>
      <c r="W533" s="49">
        <f ca="1">W480*(Marine!CA_NOC_WI)-(Marine!CA_NOC_CI_devex+Marine!CA_NOC_CI_expex)</f>
        <v>0</v>
      </c>
      <c r="X533" s="49">
        <f ca="1">X480*(Marine!CA_NOC_WI)-(Marine!CA_NOC_CI_devex+Marine!CA_NOC_CI_expex)</f>
        <v>0</v>
      </c>
      <c r="Y533" s="49">
        <f ca="1">Y480*(Marine!CA_NOC_WI)-(Marine!CA_NOC_CI_devex+Marine!CA_NOC_CI_expex)</f>
        <v>0</v>
      </c>
      <c r="Z533" s="49">
        <f ca="1">Z480*(Marine!CA_NOC_WI)-(Marine!CA_NOC_CI_devex+Marine!CA_NOC_CI_expex)</f>
        <v>0</v>
      </c>
      <c r="AA533" s="49">
        <f ca="1">AA480*(Marine!CA_NOC_WI)-(Marine!CA_NOC_CI_devex+Marine!CA_NOC_CI_expex)</f>
        <v>0</v>
      </c>
      <c r="AB533" s="49">
        <f ca="1">AB480*(Marine!CA_NOC_WI)-(Marine!CA_NOC_CI_devex+Marine!CA_NOC_CI_expex)</f>
        <v>0</v>
      </c>
      <c r="AC533" s="49">
        <f ca="1">AC480*(Marine!CA_NOC_WI)-(Marine!CA_NOC_CI_devex+Marine!CA_NOC_CI_expex)</f>
        <v>0</v>
      </c>
      <c r="AD533" s="49">
        <f ca="1">AD480*(Marine!CA_NOC_WI)-(Marine!CA_NOC_CI_devex+Marine!CA_NOC_CI_expex)</f>
        <v>0</v>
      </c>
      <c r="AE533" s="49">
        <f ca="1">AE480*(Marine!CA_NOC_WI)-(Marine!CA_NOC_CI_devex+Marine!CA_NOC_CI_expex)</f>
        <v>0</v>
      </c>
      <c r="AF533" s="49">
        <f ca="1">AF480*(Marine!CA_NOC_WI)-(Marine!CA_NOC_CI_devex+Marine!CA_NOC_CI_expex)</f>
        <v>0</v>
      </c>
      <c r="AG533" s="49">
        <f ca="1">AG480*(Marine!CA_NOC_WI)-(Marine!CA_NOC_CI_devex+Marine!CA_NOC_CI_expex)</f>
        <v>0</v>
      </c>
      <c r="AH533" s="49">
        <f ca="1">AH480*(Marine!CA_NOC_WI)-(Marine!CA_NOC_CI_devex+Marine!CA_NOC_CI_expex)</f>
        <v>0</v>
      </c>
      <c r="AI533" s="49">
        <f ca="1">AI480*(Marine!CA_NOC_WI)-(Marine!CA_NOC_CI_devex+Marine!CA_NOC_CI_expex)</f>
        <v>0</v>
      </c>
      <c r="AJ533" s="49">
        <f ca="1">AJ480*(Marine!CA_NOC_WI)-(Marine!CA_NOC_CI_devex+Marine!CA_NOC_CI_expex)</f>
        <v>0</v>
      </c>
      <c r="AK533" s="49">
        <f ca="1">AK480*(Marine!CA_NOC_WI)-(Marine!CA_NOC_CI_devex+Marine!CA_NOC_CI_expex)</f>
        <v>0</v>
      </c>
      <c r="AL533" s="49">
        <f ca="1">AL480*(Marine!CA_NOC_WI)-(Marine!CA_NOC_CI_devex+Marine!CA_NOC_CI_expex)</f>
        <v>0</v>
      </c>
      <c r="AM533" s="49">
        <f ca="1">AM480*(Marine!CA_NOC_WI)-(Marine!CA_NOC_CI_devex+Marine!CA_NOC_CI_expex)</f>
        <v>0</v>
      </c>
      <c r="AN533" s="49">
        <f ca="1">AN480*(Marine!CA_NOC_WI)-(Marine!CA_NOC_CI_devex+Marine!CA_NOC_CI_expex)</f>
        <v>0</v>
      </c>
      <c r="AO533" s="49">
        <f ca="1">AO480*(Marine!CA_NOC_WI)-(Marine!CA_NOC_CI_devex+Marine!CA_NOC_CI_expex)</f>
        <v>0</v>
      </c>
      <c r="AP533" s="49">
        <f ca="1">AP480*(Marine!CA_NOC_WI)-(Marine!CA_NOC_CI_devex+Marine!CA_NOC_CI_expex)</f>
        <v>0</v>
      </c>
      <c r="AQ533" s="49">
        <f ca="1">AQ480*(Marine!CA_NOC_WI)-(Marine!CA_NOC_CI_devex+Marine!CA_NOC_CI_expex)</f>
        <v>0</v>
      </c>
      <c r="AR533" s="49">
        <f ca="1">AR480*(Marine!CA_NOC_WI)-(Marine!CA_NOC_CI_devex+Marine!CA_NOC_CI_expex)</f>
        <v>0</v>
      </c>
      <c r="AS533" s="49">
        <f ca="1">AS480*(Marine!CA_NOC_WI)-(Marine!CA_NOC_CI_devex+Marine!CA_NOC_CI_expex)</f>
        <v>0</v>
      </c>
      <c r="AT533" s="49">
        <f ca="1">AT480*(Marine!CA_NOC_WI)-(Marine!CA_NOC_CI_devex+Marine!CA_NOC_CI_expex)</f>
        <v>0</v>
      </c>
      <c r="AU533" s="49">
        <f ca="1">AU480*(Marine!CA_NOC_WI)-(Marine!CA_NOC_CI_devex+Marine!CA_NOC_CI_expex)</f>
        <v>0</v>
      </c>
      <c r="AV533" s="49">
        <f ca="1">AV480*(Marine!CA_NOC_WI)-(Marine!CA_NOC_CI_devex+Marine!CA_NOC_CI_expex)</f>
        <v>0</v>
      </c>
      <c r="AW533" s="49">
        <f ca="1">AW480*(Marine!CA_NOC_WI)-(Marine!CA_NOC_CI_devex+Marine!CA_NOC_CI_expex)</f>
        <v>0</v>
      </c>
      <c r="AX533" s="49">
        <f ca="1">AX480*(Marine!CA_NOC_WI)-(Marine!CA_NOC_CI_devex+Marine!CA_NOC_CI_expex)</f>
        <v>0</v>
      </c>
      <c r="AY533" s="49">
        <f ca="1">AY480*(Marine!CA_NOC_WI)-(Marine!CA_NOC_CI_devex+Marine!CA_NOC_CI_expex)</f>
        <v>0</v>
      </c>
      <c r="AZ533" s="49">
        <f ca="1">AZ480*(Marine!CA_NOC_WI)-(Marine!CA_NOC_CI_devex+Marine!CA_NOC_CI_expex)</f>
        <v>0</v>
      </c>
      <c r="BA533" s="49">
        <f ca="1">BA480*(Marine!CA_NOC_WI)-(Marine!CA_NOC_CI_devex+Marine!CA_NOC_CI_expex)</f>
        <v>0</v>
      </c>
      <c r="BB533" s="49">
        <f ca="1">BB480*(Marine!CA_NOC_WI)-(Marine!CA_NOC_CI_devex+Marine!CA_NOC_CI_expex)</f>
        <v>0</v>
      </c>
      <c r="BC533" s="49">
        <f ca="1">BC480*(Marine!CA_NOC_WI)-(Marine!CA_NOC_CI_devex+Marine!CA_NOC_CI_expex)</f>
        <v>0</v>
      </c>
      <c r="BD533" s="49">
        <f ca="1">BD480*(Marine!CA_NOC_WI)-(Marine!CA_NOC_CI_devex+Marine!CA_NOC_CI_expex)</f>
        <v>0</v>
      </c>
      <c r="BE533" s="49">
        <f ca="1">BE480*(Marine!CA_NOC_WI)-(Marine!CA_NOC_CI_devex+Marine!CA_NOC_CI_expex)</f>
        <v>0</v>
      </c>
      <c r="BF533" s="49">
        <f ca="1">BF480*(Marine!CA_NOC_WI)-(Marine!CA_NOC_CI_devex+Marine!CA_NOC_CI_expex)</f>
        <v>0</v>
      </c>
      <c r="BG533" s="49">
        <f ca="1">BG480*(Marine!CA_NOC_WI)-(Marine!CA_NOC_CI_devex+Marine!CA_NOC_CI_expex)</f>
        <v>0</v>
      </c>
      <c r="BH533" s="49">
        <f ca="1">BH480*(Marine!CA_NOC_WI)-(Marine!CA_NOC_CI_devex+Marine!CA_NOC_CI_expex)</f>
        <v>0</v>
      </c>
      <c r="BI533" s="49">
        <f ca="1">BI480*(Marine!CA_NOC_WI)-(Marine!CA_NOC_CI_devex+Marine!CA_NOC_CI_expex)</f>
        <v>0</v>
      </c>
      <c r="BJ533" s="49">
        <f ca="1">BJ480*(Marine!CA_NOC_WI)-(Marine!CA_NOC_CI_devex+Marine!CA_NOC_CI_expex)</f>
        <v>0</v>
      </c>
      <c r="BK533" s="49">
        <f ca="1">BK480*(Marine!CA_NOC_WI)-(Marine!CA_NOC_CI_devex+Marine!CA_NOC_CI_expex)</f>
        <v>0</v>
      </c>
      <c r="BL533" s="49">
        <f ca="1">BL480*(Marine!CA_NOC_WI)-(Marine!CA_NOC_CI_devex+Marine!CA_NOC_CI_expex)</f>
        <v>0</v>
      </c>
      <c r="BM533" s="49">
        <f ca="1">BM480*(Marine!CA_NOC_WI)-(Marine!CA_NOC_CI_devex+Marine!CA_NOC_CI_expex)</f>
        <v>0</v>
      </c>
      <c r="BN533" s="49">
        <f ca="1">BN480*(Marine!CA_NOC_WI)-(Marine!CA_NOC_CI_devex+Marine!CA_NOC_CI_expex)</f>
        <v>0</v>
      </c>
      <c r="BO533" s="49">
        <f ca="1">BO480*(Marine!CA_NOC_WI)-(Marine!CA_NOC_CI_devex+Marine!CA_NOC_CI_expex)</f>
        <v>0</v>
      </c>
      <c r="BP533" s="49">
        <f ca="1">BP480*(Marine!CA_NOC_WI)-(Marine!CA_NOC_CI_devex+Marine!CA_NOC_CI_expex)</f>
        <v>0</v>
      </c>
      <c r="BQ533" s="49">
        <f ca="1">BQ480*(Marine!CA_NOC_WI)-(Marine!CA_NOC_CI_devex+Marine!CA_NOC_CI_expex)</f>
        <v>0</v>
      </c>
      <c r="BR533" s="49">
        <f ca="1">BR480*(Marine!CA_NOC_WI)-(Marine!CA_NOC_CI_devex+Marine!CA_NOC_CI_expex)</f>
        <v>0</v>
      </c>
      <c r="BS533" s="49">
        <f ca="1">BS480*(Marine!CA_NOC_WI)-(Marine!CA_NOC_CI_devex+Marine!CA_NOC_CI_expex)</f>
        <v>0</v>
      </c>
    </row>
    <row r="534" spans="3:71" outlineLevel="1" x14ac:dyDescent="0.2">
      <c r="J534" s="26"/>
      <c r="L534" s="55"/>
      <c r="M534" s="55"/>
      <c r="N534" s="55"/>
      <c r="O534" s="55"/>
      <c r="P534" s="55"/>
      <c r="Q534" s="55"/>
      <c r="R534" s="55"/>
      <c r="S534" s="55"/>
      <c r="T534" s="55"/>
      <c r="U534" s="55"/>
      <c r="V534" s="55"/>
      <c r="W534" s="55"/>
      <c r="X534" s="55"/>
      <c r="Y534" s="55"/>
      <c r="Z534" s="55"/>
      <c r="AA534" s="55"/>
      <c r="AB534" s="55"/>
      <c r="AC534" s="55"/>
      <c r="AD534" s="55"/>
      <c r="AE534" s="55"/>
      <c r="AF534" s="55"/>
      <c r="AG534" s="55"/>
      <c r="AH534" s="55"/>
      <c r="AI534" s="55"/>
      <c r="AJ534" s="55"/>
      <c r="AK534" s="55"/>
      <c r="AL534" s="55"/>
      <c r="AM534" s="55"/>
      <c r="AN534" s="55"/>
      <c r="AO534" s="55"/>
      <c r="AP534" s="55"/>
      <c r="AQ534" s="55"/>
      <c r="AR534" s="55"/>
      <c r="AS534" s="55"/>
      <c r="AT534" s="55"/>
      <c r="AU534" s="55"/>
      <c r="AV534" s="55"/>
      <c r="AW534" s="55"/>
      <c r="AX534" s="55"/>
      <c r="AY534" s="55"/>
      <c r="AZ534" s="55"/>
      <c r="BA534" s="55"/>
      <c r="BB534" s="55"/>
      <c r="BC534" s="55"/>
      <c r="BD534" s="55"/>
      <c r="BE534" s="55"/>
      <c r="BF534" s="55"/>
      <c r="BG534" s="55"/>
      <c r="BH534" s="55"/>
      <c r="BI534" s="55"/>
      <c r="BJ534" s="55"/>
      <c r="BK534" s="55"/>
      <c r="BL534" s="55"/>
      <c r="BM534" s="55"/>
      <c r="BN534" s="55"/>
      <c r="BO534" s="55"/>
      <c r="BP534" s="55"/>
      <c r="BQ534" s="55"/>
      <c r="BR534" s="55"/>
      <c r="BS534" s="55"/>
    </row>
    <row r="535" spans="3:71" outlineLevel="1" x14ac:dyDescent="0.2">
      <c r="C535" s="11" t="s">
        <v>264</v>
      </c>
      <c r="I535" s="30">
        <f t="shared" ca="1" si="195"/>
        <v>0</v>
      </c>
      <c r="J535" s="26" t="s">
        <v>148</v>
      </c>
      <c r="L535" s="49">
        <f ca="1">L482*Marine!CA_NOC_WI</f>
        <v>0</v>
      </c>
      <c r="M535" s="49">
        <f ca="1">M482*Marine!CA_NOC_WI</f>
        <v>0</v>
      </c>
      <c r="N535" s="49">
        <f ca="1">N482*Marine!CA_NOC_WI</f>
        <v>0</v>
      </c>
      <c r="O535" s="49">
        <f ca="1">O482*Marine!CA_NOC_WI</f>
        <v>0</v>
      </c>
      <c r="P535" s="49">
        <f ca="1">P482*Marine!CA_NOC_WI</f>
        <v>0</v>
      </c>
      <c r="Q535" s="49">
        <f ca="1">Q482*Marine!CA_NOC_WI</f>
        <v>0</v>
      </c>
      <c r="R535" s="49">
        <f ca="1">R482*Marine!CA_NOC_WI</f>
        <v>0</v>
      </c>
      <c r="S535" s="49">
        <f ca="1">S482*Marine!CA_NOC_WI</f>
        <v>0</v>
      </c>
      <c r="T535" s="49">
        <f ca="1">T482*Marine!CA_NOC_WI</f>
        <v>0</v>
      </c>
      <c r="U535" s="49">
        <f ca="1">U482*Marine!CA_NOC_WI</f>
        <v>0</v>
      </c>
      <c r="V535" s="49">
        <f ca="1">V482*Marine!CA_NOC_WI</f>
        <v>0</v>
      </c>
      <c r="W535" s="49">
        <f ca="1">W482*Marine!CA_NOC_WI</f>
        <v>0</v>
      </c>
      <c r="X535" s="49">
        <f ca="1">X482*Marine!CA_NOC_WI</f>
        <v>0</v>
      </c>
      <c r="Y535" s="49">
        <f ca="1">Y482*Marine!CA_NOC_WI</f>
        <v>0</v>
      </c>
      <c r="Z535" s="49">
        <f ca="1">Z482*Marine!CA_NOC_WI</f>
        <v>0</v>
      </c>
      <c r="AA535" s="49">
        <f ca="1">AA482*Marine!CA_NOC_WI</f>
        <v>0</v>
      </c>
      <c r="AB535" s="49">
        <f ca="1">AB482*Marine!CA_NOC_WI</f>
        <v>0</v>
      </c>
      <c r="AC535" s="49">
        <f ca="1">AC482*Marine!CA_NOC_WI</f>
        <v>0</v>
      </c>
      <c r="AD535" s="49">
        <f ca="1">AD482*Marine!CA_NOC_WI</f>
        <v>0</v>
      </c>
      <c r="AE535" s="49">
        <f ca="1">AE482*Marine!CA_NOC_WI</f>
        <v>0</v>
      </c>
      <c r="AF535" s="49">
        <f ca="1">AF482*Marine!CA_NOC_WI</f>
        <v>0</v>
      </c>
      <c r="AG535" s="49">
        <f ca="1">AG482*Marine!CA_NOC_WI</f>
        <v>0</v>
      </c>
      <c r="AH535" s="49">
        <f ca="1">AH482*Marine!CA_NOC_WI</f>
        <v>0</v>
      </c>
      <c r="AI535" s="49">
        <f ca="1">AI482*Marine!CA_NOC_WI</f>
        <v>0</v>
      </c>
      <c r="AJ535" s="49">
        <f ca="1">AJ482*Marine!CA_NOC_WI</f>
        <v>0</v>
      </c>
      <c r="AK535" s="49">
        <f ca="1">AK482*Marine!CA_NOC_WI</f>
        <v>0</v>
      </c>
      <c r="AL535" s="49">
        <f ca="1">AL482*Marine!CA_NOC_WI</f>
        <v>0</v>
      </c>
      <c r="AM535" s="49">
        <f ca="1">AM482*Marine!CA_NOC_WI</f>
        <v>0</v>
      </c>
      <c r="AN535" s="49">
        <f ca="1">AN482*Marine!CA_NOC_WI</f>
        <v>0</v>
      </c>
      <c r="AO535" s="49">
        <f ca="1">AO482*Marine!CA_NOC_WI</f>
        <v>0</v>
      </c>
      <c r="AP535" s="49">
        <f ca="1">AP482*Marine!CA_NOC_WI</f>
        <v>0</v>
      </c>
      <c r="AQ535" s="49">
        <f ca="1">AQ482*Marine!CA_NOC_WI</f>
        <v>0</v>
      </c>
      <c r="AR535" s="49">
        <f ca="1">AR482*Marine!CA_NOC_WI</f>
        <v>0</v>
      </c>
      <c r="AS535" s="49">
        <f ca="1">AS482*Marine!CA_NOC_WI</f>
        <v>0</v>
      </c>
      <c r="AT535" s="49">
        <f ca="1">AT482*Marine!CA_NOC_WI</f>
        <v>0</v>
      </c>
      <c r="AU535" s="49">
        <f ca="1">AU482*Marine!CA_NOC_WI</f>
        <v>0</v>
      </c>
      <c r="AV535" s="49">
        <f ca="1">AV482*Marine!CA_NOC_WI</f>
        <v>0</v>
      </c>
      <c r="AW535" s="49">
        <f ca="1">AW482*Marine!CA_NOC_WI</f>
        <v>0</v>
      </c>
      <c r="AX535" s="49">
        <f ca="1">AX482*Marine!CA_NOC_WI</f>
        <v>0</v>
      </c>
      <c r="AY535" s="49">
        <f ca="1">AY482*Marine!CA_NOC_WI</f>
        <v>0</v>
      </c>
      <c r="AZ535" s="49">
        <f ca="1">AZ482*Marine!CA_NOC_WI</f>
        <v>0</v>
      </c>
      <c r="BA535" s="49">
        <f ca="1">BA482*Marine!CA_NOC_WI</f>
        <v>0</v>
      </c>
      <c r="BB535" s="49">
        <f ca="1">BB482*Marine!CA_NOC_WI</f>
        <v>0</v>
      </c>
      <c r="BC535" s="49">
        <f ca="1">BC482*Marine!CA_NOC_WI</f>
        <v>0</v>
      </c>
      <c r="BD535" s="49">
        <f ca="1">BD482*Marine!CA_NOC_WI</f>
        <v>0</v>
      </c>
      <c r="BE535" s="49">
        <f ca="1">BE482*Marine!CA_NOC_WI</f>
        <v>0</v>
      </c>
      <c r="BF535" s="49">
        <f ca="1">BF482*Marine!CA_NOC_WI</f>
        <v>0</v>
      </c>
      <c r="BG535" s="49">
        <f ca="1">BG482*Marine!CA_NOC_WI</f>
        <v>0</v>
      </c>
      <c r="BH535" s="49">
        <f ca="1">BH482*Marine!CA_NOC_WI</f>
        <v>0</v>
      </c>
      <c r="BI535" s="49">
        <f ca="1">BI482*Marine!CA_NOC_WI</f>
        <v>0</v>
      </c>
      <c r="BJ535" s="49">
        <f ca="1">BJ482*Marine!CA_NOC_WI</f>
        <v>0</v>
      </c>
      <c r="BK535" s="49">
        <f ca="1">BK482*Marine!CA_NOC_WI</f>
        <v>0</v>
      </c>
      <c r="BL535" s="49">
        <f ca="1">BL482*Marine!CA_NOC_WI</f>
        <v>0</v>
      </c>
      <c r="BM535" s="49">
        <f ca="1">BM482*Marine!CA_NOC_WI</f>
        <v>0</v>
      </c>
      <c r="BN535" s="49">
        <f ca="1">BN482*Marine!CA_NOC_WI</f>
        <v>0</v>
      </c>
      <c r="BO535" s="49">
        <f ca="1">BO482*Marine!CA_NOC_WI</f>
        <v>0</v>
      </c>
      <c r="BP535" s="49">
        <f ca="1">BP482*Marine!CA_NOC_WI</f>
        <v>0</v>
      </c>
      <c r="BQ535" s="49">
        <f ca="1">BQ482*Marine!CA_NOC_WI</f>
        <v>0</v>
      </c>
      <c r="BR535" s="49">
        <f ca="1">BR482*Marine!CA_NOC_WI</f>
        <v>0</v>
      </c>
      <c r="BS535" s="49">
        <f ca="1">BS482*Marine!CA_NOC_WI</f>
        <v>0</v>
      </c>
    </row>
    <row r="536" spans="3:71" outlineLevel="1" x14ac:dyDescent="0.2">
      <c r="J536" s="26"/>
      <c r="L536" s="55"/>
      <c r="M536" s="55"/>
      <c r="N536" s="55"/>
      <c r="O536" s="55"/>
      <c r="P536" s="55"/>
      <c r="Q536" s="55"/>
      <c r="R536" s="55"/>
      <c r="S536" s="55"/>
      <c r="T536" s="55"/>
      <c r="U536" s="55"/>
      <c r="V536" s="55"/>
      <c r="W536" s="55"/>
      <c r="X536" s="55"/>
      <c r="Y536" s="55"/>
      <c r="Z536" s="55"/>
      <c r="AA536" s="55"/>
      <c r="AB536" s="55"/>
      <c r="AC536" s="55"/>
      <c r="AD536" s="55"/>
      <c r="AE536" s="55"/>
      <c r="AF536" s="55"/>
      <c r="AG536" s="55"/>
      <c r="AH536" s="55"/>
      <c r="AI536" s="55"/>
      <c r="AJ536" s="55"/>
      <c r="AK536" s="55"/>
      <c r="AL536" s="55"/>
      <c r="AM536" s="55"/>
      <c r="AN536" s="55"/>
      <c r="AO536" s="55"/>
      <c r="AP536" s="55"/>
      <c r="AQ536" s="55"/>
      <c r="AR536" s="55"/>
      <c r="AS536" s="55"/>
      <c r="AT536" s="55"/>
      <c r="AU536" s="55"/>
      <c r="AV536" s="55"/>
      <c r="AW536" s="55"/>
      <c r="AX536" s="55"/>
      <c r="AY536" s="55"/>
      <c r="AZ536" s="55"/>
      <c r="BA536" s="55"/>
      <c r="BB536" s="55"/>
      <c r="BC536" s="55"/>
      <c r="BD536" s="55"/>
      <c r="BE536" s="55"/>
      <c r="BF536" s="55"/>
      <c r="BG536" s="55"/>
      <c r="BH536" s="55"/>
      <c r="BI536" s="55"/>
      <c r="BJ536" s="55"/>
      <c r="BK536" s="55"/>
      <c r="BL536" s="55"/>
      <c r="BM536" s="55"/>
      <c r="BN536" s="55"/>
      <c r="BO536" s="55"/>
      <c r="BP536" s="55"/>
      <c r="BQ536" s="55"/>
      <c r="BR536" s="55"/>
      <c r="BS536" s="55"/>
    </row>
    <row r="537" spans="3:71" outlineLevel="1" x14ac:dyDescent="0.2">
      <c r="C537" s="11" t="s">
        <v>274</v>
      </c>
      <c r="I537" s="30">
        <f t="shared" ca="1" si="195"/>
        <v>0</v>
      </c>
      <c r="J537" s="26" t="s">
        <v>148</v>
      </c>
      <c r="L537" s="49">
        <f ca="1">L484*Marine!CA_NOC_WI</f>
        <v>0</v>
      </c>
      <c r="M537" s="49">
        <f ca="1">M484*Marine!CA_NOC_WI</f>
        <v>0</v>
      </c>
      <c r="N537" s="49">
        <f ca="1">N484*Marine!CA_NOC_WI</f>
        <v>0</v>
      </c>
      <c r="O537" s="49">
        <f ca="1">O484*Marine!CA_NOC_WI</f>
        <v>0</v>
      </c>
      <c r="P537" s="49">
        <f ca="1">P484*Marine!CA_NOC_WI</f>
        <v>0</v>
      </c>
      <c r="Q537" s="49">
        <f ca="1">Q484*Marine!CA_NOC_WI</f>
        <v>0</v>
      </c>
      <c r="R537" s="49">
        <f ca="1">R484*Marine!CA_NOC_WI</f>
        <v>0</v>
      </c>
      <c r="S537" s="49">
        <f ca="1">S484*Marine!CA_NOC_WI</f>
        <v>0</v>
      </c>
      <c r="T537" s="49">
        <f ca="1">T484*Marine!CA_NOC_WI</f>
        <v>0</v>
      </c>
      <c r="U537" s="49">
        <f ca="1">U484*Marine!CA_NOC_WI</f>
        <v>0</v>
      </c>
      <c r="V537" s="49">
        <f ca="1">V484*Marine!CA_NOC_WI</f>
        <v>0</v>
      </c>
      <c r="W537" s="49">
        <f ca="1">W484*Marine!CA_NOC_WI</f>
        <v>0</v>
      </c>
      <c r="X537" s="49">
        <f ca="1">X484*Marine!CA_NOC_WI</f>
        <v>0</v>
      </c>
      <c r="Y537" s="49">
        <f ca="1">Y484*Marine!CA_NOC_WI</f>
        <v>0</v>
      </c>
      <c r="Z537" s="49">
        <f ca="1">Z484*Marine!CA_NOC_WI</f>
        <v>0</v>
      </c>
      <c r="AA537" s="49">
        <f ca="1">AA484*Marine!CA_NOC_WI</f>
        <v>0</v>
      </c>
      <c r="AB537" s="49">
        <f ca="1">AB484*Marine!CA_NOC_WI</f>
        <v>0</v>
      </c>
      <c r="AC537" s="49">
        <f ca="1">AC484*Marine!CA_NOC_WI</f>
        <v>0</v>
      </c>
      <c r="AD537" s="49">
        <f ca="1">AD484*Marine!CA_NOC_WI</f>
        <v>0</v>
      </c>
      <c r="AE537" s="49">
        <f ca="1">AE484*Marine!CA_NOC_WI</f>
        <v>0</v>
      </c>
      <c r="AF537" s="49">
        <f ca="1">AF484*Marine!CA_NOC_WI</f>
        <v>0</v>
      </c>
      <c r="AG537" s="49">
        <f ca="1">AG484*Marine!CA_NOC_WI</f>
        <v>0</v>
      </c>
      <c r="AH537" s="49">
        <f ca="1">AH484*Marine!CA_NOC_WI</f>
        <v>0</v>
      </c>
      <c r="AI537" s="49">
        <f ca="1">AI484*Marine!CA_NOC_WI</f>
        <v>0</v>
      </c>
      <c r="AJ537" s="49">
        <f ca="1">AJ484*Marine!CA_NOC_WI</f>
        <v>0</v>
      </c>
      <c r="AK537" s="49">
        <f ca="1">AK484*Marine!CA_NOC_WI</f>
        <v>0</v>
      </c>
      <c r="AL537" s="49">
        <f ca="1">AL484*Marine!CA_NOC_WI</f>
        <v>0</v>
      </c>
      <c r="AM537" s="49">
        <f ca="1">AM484*Marine!CA_NOC_WI</f>
        <v>0</v>
      </c>
      <c r="AN537" s="49">
        <f ca="1">AN484*Marine!CA_NOC_WI</f>
        <v>0</v>
      </c>
      <c r="AO537" s="49">
        <f ca="1">AO484*Marine!CA_NOC_WI</f>
        <v>0</v>
      </c>
      <c r="AP537" s="49">
        <f ca="1">AP484*Marine!CA_NOC_WI</f>
        <v>0</v>
      </c>
      <c r="AQ537" s="49">
        <f ca="1">AQ484*Marine!CA_NOC_WI</f>
        <v>0</v>
      </c>
      <c r="AR537" s="49">
        <f ca="1">AR484*Marine!CA_NOC_WI</f>
        <v>0</v>
      </c>
      <c r="AS537" s="49">
        <f ca="1">AS484*Marine!CA_NOC_WI</f>
        <v>0</v>
      </c>
      <c r="AT537" s="49">
        <f ca="1">AT484*Marine!CA_NOC_WI</f>
        <v>0</v>
      </c>
      <c r="AU537" s="49">
        <f ca="1">AU484*Marine!CA_NOC_WI</f>
        <v>0</v>
      </c>
      <c r="AV537" s="49">
        <f ca="1">AV484*Marine!CA_NOC_WI</f>
        <v>0</v>
      </c>
      <c r="AW537" s="49">
        <f ca="1">AW484*Marine!CA_NOC_WI</f>
        <v>0</v>
      </c>
      <c r="AX537" s="49">
        <f ca="1">AX484*Marine!CA_NOC_WI</f>
        <v>0</v>
      </c>
      <c r="AY537" s="49">
        <f ca="1">AY484*Marine!CA_NOC_WI</f>
        <v>0</v>
      </c>
      <c r="AZ537" s="49">
        <f ca="1">AZ484*Marine!CA_NOC_WI</f>
        <v>0</v>
      </c>
      <c r="BA537" s="49">
        <f ca="1">BA484*Marine!CA_NOC_WI</f>
        <v>0</v>
      </c>
      <c r="BB537" s="49">
        <f ca="1">BB484*Marine!CA_NOC_WI</f>
        <v>0</v>
      </c>
      <c r="BC537" s="49">
        <f ca="1">BC484*Marine!CA_NOC_WI</f>
        <v>0</v>
      </c>
      <c r="BD537" s="49">
        <f ca="1">BD484*Marine!CA_NOC_WI</f>
        <v>0</v>
      </c>
      <c r="BE537" s="49">
        <f ca="1">BE484*Marine!CA_NOC_WI</f>
        <v>0</v>
      </c>
      <c r="BF537" s="49">
        <f ca="1">BF484*Marine!CA_NOC_WI</f>
        <v>0</v>
      </c>
      <c r="BG537" s="49">
        <f ca="1">BG484*Marine!CA_NOC_WI</f>
        <v>0</v>
      </c>
      <c r="BH537" s="49">
        <f ca="1">BH484*Marine!CA_NOC_WI</f>
        <v>0</v>
      </c>
      <c r="BI537" s="49">
        <f ca="1">BI484*Marine!CA_NOC_WI</f>
        <v>0</v>
      </c>
      <c r="BJ537" s="49">
        <f ca="1">BJ484*Marine!CA_NOC_WI</f>
        <v>0</v>
      </c>
      <c r="BK537" s="49">
        <f ca="1">BK484*Marine!CA_NOC_WI</f>
        <v>0</v>
      </c>
      <c r="BL537" s="49">
        <f ca="1">BL484*Marine!CA_NOC_WI</f>
        <v>0</v>
      </c>
      <c r="BM537" s="49">
        <f ca="1">BM484*Marine!CA_NOC_WI</f>
        <v>0</v>
      </c>
      <c r="BN537" s="49">
        <f ca="1">BN484*Marine!CA_NOC_WI</f>
        <v>0</v>
      </c>
      <c r="BO537" s="49">
        <f ca="1">BO484*Marine!CA_NOC_WI</f>
        <v>0</v>
      </c>
      <c r="BP537" s="49">
        <f ca="1">BP484*Marine!CA_NOC_WI</f>
        <v>0</v>
      </c>
      <c r="BQ537" s="49">
        <f ca="1">BQ484*Marine!CA_NOC_WI</f>
        <v>0</v>
      </c>
      <c r="BR537" s="49">
        <f ca="1">BR484*Marine!CA_NOC_WI</f>
        <v>0</v>
      </c>
      <c r="BS537" s="49">
        <f ca="1">BS484*Marine!CA_NOC_WI</f>
        <v>0</v>
      </c>
    </row>
    <row r="538" spans="3:71" outlineLevel="1" x14ac:dyDescent="0.2">
      <c r="J538" s="26"/>
      <c r="L538" s="55"/>
      <c r="M538" s="55"/>
      <c r="N538" s="55"/>
      <c r="O538" s="55"/>
      <c r="P538" s="55"/>
      <c r="Q538" s="55"/>
      <c r="R538" s="55"/>
      <c r="S538" s="55"/>
      <c r="T538" s="55"/>
      <c r="U538" s="55"/>
      <c r="V538" s="55"/>
      <c r="W538" s="55"/>
      <c r="X538" s="55"/>
      <c r="Y538" s="55"/>
      <c r="Z538" s="55"/>
      <c r="AA538" s="55"/>
      <c r="AB538" s="55"/>
      <c r="AC538" s="55"/>
      <c r="AD538" s="55"/>
      <c r="AE538" s="55"/>
      <c r="AF538" s="55"/>
      <c r="AG538" s="55"/>
      <c r="AH538" s="55"/>
      <c r="AI538" s="55"/>
      <c r="AJ538" s="55"/>
      <c r="AK538" s="55"/>
      <c r="AL538" s="55"/>
      <c r="AM538" s="55"/>
      <c r="AN538" s="55"/>
      <c r="AO538" s="55"/>
      <c r="AP538" s="55"/>
      <c r="AQ538" s="55"/>
      <c r="AR538" s="55"/>
      <c r="AS538" s="55"/>
      <c r="AT538" s="55"/>
      <c r="AU538" s="55"/>
      <c r="AV538" s="55"/>
      <c r="AW538" s="55"/>
      <c r="AX538" s="55"/>
      <c r="AY538" s="55"/>
      <c r="AZ538" s="55"/>
      <c r="BA538" s="55"/>
      <c r="BB538" s="55"/>
      <c r="BC538" s="55"/>
      <c r="BD538" s="55"/>
      <c r="BE538" s="55"/>
      <c r="BF538" s="55"/>
      <c r="BG538" s="55"/>
      <c r="BH538" s="55"/>
      <c r="BI538" s="55"/>
      <c r="BJ538" s="55"/>
      <c r="BK538" s="55"/>
      <c r="BL538" s="55"/>
      <c r="BM538" s="55"/>
      <c r="BN538" s="55"/>
      <c r="BO538" s="55"/>
      <c r="BP538" s="55"/>
      <c r="BQ538" s="55"/>
      <c r="BR538" s="55"/>
      <c r="BS538" s="55"/>
    </row>
    <row r="539" spans="3:71" outlineLevel="1" x14ac:dyDescent="0.2">
      <c r="C539" s="11" t="s">
        <v>275</v>
      </c>
      <c r="I539" s="30">
        <f t="shared" ca="1" si="195"/>
        <v>0</v>
      </c>
      <c r="J539" s="26" t="s">
        <v>148</v>
      </c>
      <c r="L539" s="49">
        <f ca="1">L486*Marine!CA_NOC_WI</f>
        <v>0</v>
      </c>
      <c r="M539" s="49">
        <f ca="1">M486*Marine!CA_NOC_WI</f>
        <v>0</v>
      </c>
      <c r="N539" s="49">
        <f ca="1">N486*Marine!CA_NOC_WI</f>
        <v>0</v>
      </c>
      <c r="O539" s="49">
        <f ca="1">O486*Marine!CA_NOC_WI</f>
        <v>0</v>
      </c>
      <c r="P539" s="49">
        <f ca="1">P486*Marine!CA_NOC_WI</f>
        <v>0</v>
      </c>
      <c r="Q539" s="49">
        <f ca="1">Q486*Marine!CA_NOC_WI</f>
        <v>0</v>
      </c>
      <c r="R539" s="49">
        <f ca="1">R486*Marine!CA_NOC_WI</f>
        <v>0</v>
      </c>
      <c r="S539" s="49">
        <f ca="1">S486*Marine!CA_NOC_WI</f>
        <v>0</v>
      </c>
      <c r="T539" s="49">
        <f ca="1">T486*Marine!CA_NOC_WI</f>
        <v>0</v>
      </c>
      <c r="U539" s="49">
        <f ca="1">U486*Marine!CA_NOC_WI</f>
        <v>0</v>
      </c>
      <c r="V539" s="49">
        <f ca="1">V486*Marine!CA_NOC_WI</f>
        <v>0</v>
      </c>
      <c r="W539" s="49">
        <f ca="1">W486*Marine!CA_NOC_WI</f>
        <v>0</v>
      </c>
      <c r="X539" s="49">
        <f ca="1">X486*Marine!CA_NOC_WI</f>
        <v>0</v>
      </c>
      <c r="Y539" s="49">
        <f ca="1">Y486*Marine!CA_NOC_WI</f>
        <v>0</v>
      </c>
      <c r="Z539" s="49">
        <f ca="1">Z486*Marine!CA_NOC_WI</f>
        <v>0</v>
      </c>
      <c r="AA539" s="49">
        <f ca="1">AA486*Marine!CA_NOC_WI</f>
        <v>0</v>
      </c>
      <c r="AB539" s="49">
        <f ca="1">AB486*Marine!CA_NOC_WI</f>
        <v>0</v>
      </c>
      <c r="AC539" s="49">
        <f ca="1">AC486*Marine!CA_NOC_WI</f>
        <v>0</v>
      </c>
      <c r="AD539" s="49">
        <f ca="1">AD486*Marine!CA_NOC_WI</f>
        <v>0</v>
      </c>
      <c r="AE539" s="49">
        <f ca="1">AE486*Marine!CA_NOC_WI</f>
        <v>0</v>
      </c>
      <c r="AF539" s="49">
        <f ca="1">AF486*Marine!CA_NOC_WI</f>
        <v>0</v>
      </c>
      <c r="AG539" s="49">
        <f ca="1">AG486*Marine!CA_NOC_WI</f>
        <v>0</v>
      </c>
      <c r="AH539" s="49">
        <f ca="1">AH486*Marine!CA_NOC_WI</f>
        <v>0</v>
      </c>
      <c r="AI539" s="49">
        <f ca="1">AI486*Marine!CA_NOC_WI</f>
        <v>0</v>
      </c>
      <c r="AJ539" s="49">
        <f ca="1">AJ486*Marine!CA_NOC_WI</f>
        <v>0</v>
      </c>
      <c r="AK539" s="49">
        <f ca="1">AK486*Marine!CA_NOC_WI</f>
        <v>0</v>
      </c>
      <c r="AL539" s="49">
        <f ca="1">AL486*Marine!CA_NOC_WI</f>
        <v>0</v>
      </c>
      <c r="AM539" s="49">
        <f ca="1">AM486*Marine!CA_NOC_WI</f>
        <v>0</v>
      </c>
      <c r="AN539" s="49">
        <f ca="1">AN486*Marine!CA_NOC_WI</f>
        <v>0</v>
      </c>
      <c r="AO539" s="49">
        <f ca="1">AO486*Marine!CA_NOC_WI</f>
        <v>0</v>
      </c>
      <c r="AP539" s="49">
        <f ca="1">AP486*Marine!CA_NOC_WI</f>
        <v>0</v>
      </c>
      <c r="AQ539" s="49">
        <f ca="1">AQ486*Marine!CA_NOC_WI</f>
        <v>0</v>
      </c>
      <c r="AR539" s="49">
        <f ca="1">AR486*Marine!CA_NOC_WI</f>
        <v>0</v>
      </c>
      <c r="AS539" s="49">
        <f ca="1">AS486*Marine!CA_NOC_WI</f>
        <v>0</v>
      </c>
      <c r="AT539" s="49">
        <f ca="1">AT486*Marine!CA_NOC_WI</f>
        <v>0</v>
      </c>
      <c r="AU539" s="49">
        <f ca="1">AU486*Marine!CA_NOC_WI</f>
        <v>0</v>
      </c>
      <c r="AV539" s="49">
        <f ca="1">AV486*Marine!CA_NOC_WI</f>
        <v>0</v>
      </c>
      <c r="AW539" s="49">
        <f ca="1">AW486*Marine!CA_NOC_WI</f>
        <v>0</v>
      </c>
      <c r="AX539" s="49">
        <f ca="1">AX486*Marine!CA_NOC_WI</f>
        <v>0</v>
      </c>
      <c r="AY539" s="49">
        <f ca="1">AY486*Marine!CA_NOC_WI</f>
        <v>0</v>
      </c>
      <c r="AZ539" s="49">
        <f ca="1">AZ486*Marine!CA_NOC_WI</f>
        <v>0</v>
      </c>
      <c r="BA539" s="49">
        <f ca="1">BA486*Marine!CA_NOC_WI</f>
        <v>0</v>
      </c>
      <c r="BB539" s="49">
        <f ca="1">BB486*Marine!CA_NOC_WI</f>
        <v>0</v>
      </c>
      <c r="BC539" s="49">
        <f ca="1">BC486*Marine!CA_NOC_WI</f>
        <v>0</v>
      </c>
      <c r="BD539" s="49">
        <f ca="1">BD486*Marine!CA_NOC_WI</f>
        <v>0</v>
      </c>
      <c r="BE539" s="49">
        <f ca="1">BE486*Marine!CA_NOC_WI</f>
        <v>0</v>
      </c>
      <c r="BF539" s="49">
        <f ca="1">BF486*Marine!CA_NOC_WI</f>
        <v>0</v>
      </c>
      <c r="BG539" s="49">
        <f ca="1">BG486*Marine!CA_NOC_WI</f>
        <v>0</v>
      </c>
      <c r="BH539" s="49">
        <f ca="1">BH486*Marine!CA_NOC_WI</f>
        <v>0</v>
      </c>
      <c r="BI539" s="49">
        <f ca="1">BI486*Marine!CA_NOC_WI</f>
        <v>0</v>
      </c>
      <c r="BJ539" s="49">
        <f ca="1">BJ486*Marine!CA_NOC_WI</f>
        <v>0</v>
      </c>
      <c r="BK539" s="49">
        <f ca="1">BK486*Marine!CA_NOC_WI</f>
        <v>0</v>
      </c>
      <c r="BL539" s="49">
        <f ca="1">BL486*Marine!CA_NOC_WI</f>
        <v>0</v>
      </c>
      <c r="BM539" s="49">
        <f ca="1">BM486*Marine!CA_NOC_WI</f>
        <v>0</v>
      </c>
      <c r="BN539" s="49">
        <f ca="1">BN486*Marine!CA_NOC_WI</f>
        <v>0</v>
      </c>
      <c r="BO539" s="49">
        <f ca="1">BO486*Marine!CA_NOC_WI</f>
        <v>0</v>
      </c>
      <c r="BP539" s="49">
        <f ca="1">BP486*Marine!CA_NOC_WI</f>
        <v>0</v>
      </c>
      <c r="BQ539" s="49">
        <f ca="1">BQ486*Marine!CA_NOC_WI</f>
        <v>0</v>
      </c>
      <c r="BR539" s="49">
        <f ca="1">BR486*Marine!CA_NOC_WI</f>
        <v>0</v>
      </c>
      <c r="BS539" s="49">
        <f ca="1">BS486*Marine!CA_NOC_WI</f>
        <v>0</v>
      </c>
    </row>
    <row r="540" spans="3:71" outlineLevel="1" x14ac:dyDescent="0.2">
      <c r="J540" s="26"/>
      <c r="L540" s="55"/>
      <c r="M540" s="55"/>
      <c r="N540" s="55"/>
      <c r="O540" s="55"/>
      <c r="P540" s="55"/>
      <c r="Q540" s="55"/>
      <c r="R540" s="55"/>
      <c r="S540" s="55"/>
      <c r="T540" s="55"/>
      <c r="U540" s="55"/>
      <c r="V540" s="55"/>
      <c r="W540" s="55"/>
      <c r="X540" s="55"/>
      <c r="Y540" s="55"/>
      <c r="Z540" s="55"/>
      <c r="AA540" s="55"/>
      <c r="AB540" s="55"/>
      <c r="AC540" s="55"/>
      <c r="AD540" s="55"/>
      <c r="AE540" s="55"/>
      <c r="AF540" s="55"/>
      <c r="AG540" s="55"/>
      <c r="AH540" s="55"/>
      <c r="AI540" s="55"/>
      <c r="AJ540" s="55"/>
      <c r="AK540" s="55"/>
      <c r="AL540" s="55"/>
      <c r="AM540" s="55"/>
      <c r="AN540" s="55"/>
      <c r="AO540" s="55"/>
      <c r="AP540" s="55"/>
      <c r="AQ540" s="55"/>
      <c r="AR540" s="55"/>
      <c r="AS540" s="55"/>
      <c r="AT540" s="55"/>
      <c r="AU540" s="55"/>
      <c r="AV540" s="55"/>
      <c r="AW540" s="55"/>
      <c r="AX540" s="55"/>
      <c r="AY540" s="55"/>
      <c r="AZ540" s="55"/>
      <c r="BA540" s="55"/>
      <c r="BB540" s="55"/>
      <c r="BC540" s="55"/>
      <c r="BD540" s="55"/>
      <c r="BE540" s="55"/>
      <c r="BF540" s="55"/>
      <c r="BG540" s="55"/>
      <c r="BH540" s="55"/>
      <c r="BI540" s="55"/>
      <c r="BJ540" s="55"/>
      <c r="BK540" s="55"/>
      <c r="BL540" s="55"/>
      <c r="BM540" s="55"/>
      <c r="BN540" s="55"/>
      <c r="BO540" s="55"/>
      <c r="BP540" s="55"/>
      <c r="BQ540" s="55"/>
      <c r="BR540" s="55"/>
      <c r="BS540" s="55"/>
    </row>
    <row r="541" spans="3:71" outlineLevel="1" x14ac:dyDescent="0.2">
      <c r="C541" s="11" t="s">
        <v>276</v>
      </c>
      <c r="F541" s="64" t="b">
        <f ca="1">ROUND(I541+I507-I488,2)=0</f>
        <v>1</v>
      </c>
      <c r="H541" s="7" t="s">
        <v>885</v>
      </c>
      <c r="I541" s="30">
        <f t="shared" ca="1" si="195"/>
        <v>-21.727717787584787</v>
      </c>
      <c r="J541" s="26" t="s">
        <v>148</v>
      </c>
      <c r="K541" s="7" t="s">
        <v>884</v>
      </c>
      <c r="L541" s="49">
        <f ca="1">L525-L527-L529-L531-L533-L535-L537-L539</f>
        <v>-3.7100000000000004</v>
      </c>
      <c r="M541" s="49">
        <f t="shared" ref="M541:BS541" ca="1" si="196">M525-M527-M529-M531-M533-M535-M537-M539</f>
        <v>-10.011496582043378</v>
      </c>
      <c r="N541" s="49">
        <f t="shared" ca="1" si="196"/>
        <v>-9.1896999511405539</v>
      </c>
      <c r="O541" s="49">
        <f t="shared" ca="1" si="196"/>
        <v>-13.585704843294671</v>
      </c>
      <c r="P541" s="49">
        <f t="shared" ca="1" si="196"/>
        <v>-7.3603568797477346</v>
      </c>
      <c r="Q541" s="49">
        <f t="shared" ca="1" si="196"/>
        <v>-8.1070304000247244</v>
      </c>
      <c r="R541" s="49">
        <f t="shared" ca="1" si="196"/>
        <v>-6.0185452778683715</v>
      </c>
      <c r="S541" s="49">
        <f t="shared" ca="1" si="196"/>
        <v>-10.842409370333492</v>
      </c>
      <c r="T541" s="49">
        <f t="shared" ca="1" si="196"/>
        <v>-8.062343441258859</v>
      </c>
      <c r="U541" s="49">
        <f t="shared" ca="1" si="196"/>
        <v>-9.121951710919884</v>
      </c>
      <c r="V541" s="49">
        <f t="shared" ca="1" si="196"/>
        <v>22.170343153541719</v>
      </c>
      <c r="W541" s="49">
        <f t="shared" ca="1" si="196"/>
        <v>22.65956511713302</v>
      </c>
      <c r="X541" s="49">
        <f t="shared" ca="1" si="196"/>
        <v>19.451912398372144</v>
      </c>
      <c r="Y541" s="49">
        <f t="shared" ca="1" si="196"/>
        <v>0</v>
      </c>
      <c r="Z541" s="49">
        <f t="shared" ca="1" si="196"/>
        <v>0</v>
      </c>
      <c r="AA541" s="49">
        <f t="shared" ca="1" si="196"/>
        <v>0</v>
      </c>
      <c r="AB541" s="49">
        <f t="shared" ca="1" si="196"/>
        <v>0</v>
      </c>
      <c r="AC541" s="49">
        <f t="shared" ca="1" si="196"/>
        <v>0</v>
      </c>
      <c r="AD541" s="49">
        <f t="shared" ca="1" si="196"/>
        <v>0</v>
      </c>
      <c r="AE541" s="49">
        <f t="shared" ca="1" si="196"/>
        <v>0</v>
      </c>
      <c r="AF541" s="49">
        <f t="shared" ca="1" si="196"/>
        <v>0</v>
      </c>
      <c r="AG541" s="49">
        <f t="shared" ca="1" si="196"/>
        <v>0</v>
      </c>
      <c r="AH541" s="49">
        <f t="shared" ca="1" si="196"/>
        <v>0</v>
      </c>
      <c r="AI541" s="49">
        <f t="shared" ca="1" si="196"/>
        <v>0</v>
      </c>
      <c r="AJ541" s="49">
        <f t="shared" ca="1" si="196"/>
        <v>0</v>
      </c>
      <c r="AK541" s="49">
        <f t="shared" ca="1" si="196"/>
        <v>0</v>
      </c>
      <c r="AL541" s="49">
        <f t="shared" ca="1" si="196"/>
        <v>0</v>
      </c>
      <c r="AM541" s="49">
        <f t="shared" ca="1" si="196"/>
        <v>0</v>
      </c>
      <c r="AN541" s="49">
        <f t="shared" ca="1" si="196"/>
        <v>0</v>
      </c>
      <c r="AO541" s="49">
        <f t="shared" ca="1" si="196"/>
        <v>0</v>
      </c>
      <c r="AP541" s="49">
        <f t="shared" ca="1" si="196"/>
        <v>0</v>
      </c>
      <c r="AQ541" s="49">
        <f t="shared" ca="1" si="196"/>
        <v>0</v>
      </c>
      <c r="AR541" s="49">
        <f t="shared" ca="1" si="196"/>
        <v>0</v>
      </c>
      <c r="AS541" s="49">
        <f t="shared" ca="1" si="196"/>
        <v>0</v>
      </c>
      <c r="AT541" s="49">
        <f t="shared" ca="1" si="196"/>
        <v>0</v>
      </c>
      <c r="AU541" s="49">
        <f t="shared" ca="1" si="196"/>
        <v>0</v>
      </c>
      <c r="AV541" s="49">
        <f t="shared" ca="1" si="196"/>
        <v>0</v>
      </c>
      <c r="AW541" s="49">
        <f t="shared" ca="1" si="196"/>
        <v>0</v>
      </c>
      <c r="AX541" s="49">
        <f t="shared" ca="1" si="196"/>
        <v>0</v>
      </c>
      <c r="AY541" s="49">
        <f t="shared" ca="1" si="196"/>
        <v>0</v>
      </c>
      <c r="AZ541" s="49">
        <f t="shared" ca="1" si="196"/>
        <v>0</v>
      </c>
      <c r="BA541" s="49">
        <f t="shared" ca="1" si="196"/>
        <v>0</v>
      </c>
      <c r="BB541" s="49">
        <f t="shared" ca="1" si="196"/>
        <v>0</v>
      </c>
      <c r="BC541" s="49">
        <f t="shared" ca="1" si="196"/>
        <v>0</v>
      </c>
      <c r="BD541" s="49">
        <f t="shared" ca="1" si="196"/>
        <v>0</v>
      </c>
      <c r="BE541" s="49">
        <f t="shared" ca="1" si="196"/>
        <v>0</v>
      </c>
      <c r="BF541" s="49">
        <f t="shared" ca="1" si="196"/>
        <v>0</v>
      </c>
      <c r="BG541" s="49">
        <f t="shared" ca="1" si="196"/>
        <v>0</v>
      </c>
      <c r="BH541" s="49">
        <f t="shared" ca="1" si="196"/>
        <v>0</v>
      </c>
      <c r="BI541" s="49">
        <f t="shared" ca="1" si="196"/>
        <v>0</v>
      </c>
      <c r="BJ541" s="49">
        <f t="shared" ca="1" si="196"/>
        <v>0</v>
      </c>
      <c r="BK541" s="49">
        <f t="shared" ca="1" si="196"/>
        <v>0</v>
      </c>
      <c r="BL541" s="49">
        <f t="shared" ca="1" si="196"/>
        <v>0</v>
      </c>
      <c r="BM541" s="49">
        <f t="shared" ca="1" si="196"/>
        <v>0</v>
      </c>
      <c r="BN541" s="49">
        <f t="shared" ca="1" si="196"/>
        <v>0</v>
      </c>
      <c r="BO541" s="49">
        <f t="shared" ca="1" si="196"/>
        <v>0</v>
      </c>
      <c r="BP541" s="49">
        <f t="shared" ca="1" si="196"/>
        <v>0</v>
      </c>
      <c r="BQ541" s="49">
        <f t="shared" ca="1" si="196"/>
        <v>0</v>
      </c>
      <c r="BR541" s="49">
        <f t="shared" ca="1" si="196"/>
        <v>0</v>
      </c>
      <c r="BS541" s="49">
        <f t="shared" ca="1" si="196"/>
        <v>0</v>
      </c>
    </row>
    <row r="542" spans="3:71" outlineLevel="1" x14ac:dyDescent="0.2">
      <c r="J542" s="26"/>
      <c r="L542" s="55"/>
      <c r="M542" s="55"/>
      <c r="N542" s="55"/>
      <c r="O542" s="55"/>
      <c r="P542" s="55"/>
      <c r="Q542" s="55"/>
      <c r="R542" s="55"/>
      <c r="S542" s="55"/>
      <c r="T542" s="55"/>
      <c r="U542" s="55"/>
      <c r="V542" s="55"/>
      <c r="W542" s="55"/>
      <c r="X542" s="55"/>
      <c r="Y542" s="55"/>
      <c r="Z542" s="55"/>
      <c r="AA542" s="55"/>
      <c r="AB542" s="55"/>
      <c r="AC542" s="55"/>
      <c r="AD542" s="55"/>
      <c r="AE542" s="55"/>
      <c r="AF542" s="55"/>
      <c r="AG542" s="55"/>
      <c r="AH542" s="55"/>
      <c r="AI542" s="55"/>
      <c r="AJ542" s="55"/>
      <c r="AK542" s="55"/>
      <c r="AL542" s="55"/>
      <c r="AM542" s="55"/>
      <c r="AN542" s="55"/>
      <c r="AO542" s="55"/>
      <c r="AP542" s="55"/>
      <c r="AQ542" s="55"/>
      <c r="AR542" s="55"/>
      <c r="AS542" s="55"/>
      <c r="AT542" s="55"/>
      <c r="AU542" s="55"/>
      <c r="AV542" s="55"/>
      <c r="AW542" s="55"/>
      <c r="AX542" s="55"/>
      <c r="AY542" s="55"/>
      <c r="AZ542" s="55"/>
      <c r="BA542" s="55"/>
      <c r="BB542" s="55"/>
      <c r="BC542" s="55"/>
      <c r="BD542" s="55"/>
      <c r="BE542" s="55"/>
      <c r="BF542" s="55"/>
      <c r="BG542" s="55"/>
      <c r="BH542" s="55"/>
      <c r="BI542" s="55"/>
      <c r="BJ542" s="55"/>
      <c r="BK542" s="55"/>
      <c r="BL542" s="55"/>
      <c r="BM542" s="55"/>
      <c r="BN542" s="55"/>
      <c r="BO542" s="55"/>
      <c r="BP542" s="55"/>
      <c r="BQ542" s="55"/>
      <c r="BR542" s="55"/>
      <c r="BS542" s="55"/>
    </row>
    <row r="543" spans="3:71" outlineLevel="1" x14ac:dyDescent="0.2">
      <c r="C543" s="11" t="s">
        <v>303</v>
      </c>
      <c r="J543" s="26"/>
      <c r="L543" s="66">
        <f ca="1">(K543+L541)*Marine!CA_op_trig</f>
        <v>-3.7100000000000004</v>
      </c>
      <c r="M543" s="66">
        <f ca="1">(L543+M541)*Marine!CA_op_trig</f>
        <v>-13.721496582043379</v>
      </c>
      <c r="N543" s="66">
        <f ca="1">(M543+N541)*Marine!CA_op_trig</f>
        <v>-22.911196533183933</v>
      </c>
      <c r="O543" s="66">
        <f ca="1">(N543+O541)*Marine!CA_op_trig</f>
        <v>-36.496901376478604</v>
      </c>
      <c r="P543" s="66">
        <f ca="1">(O543+P541)*Marine!CA_op_trig</f>
        <v>-43.857258256226338</v>
      </c>
      <c r="Q543" s="66">
        <f ca="1">(P543+Q541)*Marine!CA_op_trig</f>
        <v>-51.964288656251064</v>
      </c>
      <c r="R543" s="66">
        <f ca="1">(Q543+R541)*Marine!CA_op_trig</f>
        <v>-57.982833934119434</v>
      </c>
      <c r="S543" s="66">
        <f ca="1">(R543+S541)*Marine!CA_op_trig</f>
        <v>-68.825243304452925</v>
      </c>
      <c r="T543" s="66">
        <f ca="1">(S543+T541)*Marine!CA_op_trig</f>
        <v>-76.887586745711786</v>
      </c>
      <c r="U543" s="66">
        <f ca="1">(T543+U541)*Marine!CA_op_trig</f>
        <v>-86.009538456631674</v>
      </c>
      <c r="V543" s="66">
        <f ca="1">(U543+V541)*Marine!CA_op_trig</f>
        <v>-63.839195303089951</v>
      </c>
      <c r="W543" s="66">
        <f ca="1">(V543+W541)*Marine!CA_op_trig</f>
        <v>-41.179630185956931</v>
      </c>
      <c r="X543" s="66">
        <f ca="1">(W543+X541)*Marine!CA_op_trig</f>
        <v>-21.727717787584787</v>
      </c>
      <c r="Y543" s="66">
        <f ca="1">(X543+Y541)*Marine!CA_op_trig</f>
        <v>0</v>
      </c>
      <c r="Z543" s="66">
        <f ca="1">(Y543+Z541)*Marine!CA_op_trig</f>
        <v>0</v>
      </c>
      <c r="AA543" s="66">
        <f ca="1">(Z543+AA541)*Marine!CA_op_trig</f>
        <v>0</v>
      </c>
      <c r="AB543" s="66">
        <f ca="1">(AA543+AB541)*Marine!CA_op_trig</f>
        <v>0</v>
      </c>
      <c r="AC543" s="66">
        <f ca="1">(AB543+AC541)*Marine!CA_op_trig</f>
        <v>0</v>
      </c>
      <c r="AD543" s="66">
        <f ca="1">(AC543+AD541)*Marine!CA_op_trig</f>
        <v>0</v>
      </c>
      <c r="AE543" s="66">
        <f ca="1">(AD543+AE541)*Marine!CA_op_trig</f>
        <v>0</v>
      </c>
      <c r="AF543" s="66">
        <f ca="1">(AE543+AF541)*Marine!CA_op_trig</f>
        <v>0</v>
      </c>
      <c r="AG543" s="66">
        <f ca="1">(AF543+AG541)*Marine!CA_op_trig</f>
        <v>0</v>
      </c>
      <c r="AH543" s="66">
        <f ca="1">(AG543+AH541)*Marine!CA_op_trig</f>
        <v>0</v>
      </c>
      <c r="AI543" s="66">
        <f ca="1">(AH543+AI541)*Marine!CA_op_trig</f>
        <v>0</v>
      </c>
      <c r="AJ543" s="66">
        <f ca="1">(AI543+AJ541)*Marine!CA_op_trig</f>
        <v>0</v>
      </c>
      <c r="AK543" s="66">
        <f ca="1">(AJ543+AK541)*Marine!CA_op_trig</f>
        <v>0</v>
      </c>
      <c r="AL543" s="66">
        <f ca="1">(AK543+AL541)*Marine!CA_op_trig</f>
        <v>0</v>
      </c>
      <c r="AM543" s="66">
        <f ca="1">(AL543+AM541)*Marine!CA_op_trig</f>
        <v>0</v>
      </c>
      <c r="AN543" s="66">
        <f ca="1">(AM543+AN541)*Marine!CA_op_trig</f>
        <v>0</v>
      </c>
      <c r="AO543" s="66">
        <f ca="1">(AN543+AO541)*Marine!CA_op_trig</f>
        <v>0</v>
      </c>
      <c r="AP543" s="66">
        <f ca="1">(AO543+AP541)*Marine!CA_op_trig</f>
        <v>0</v>
      </c>
      <c r="AQ543" s="66">
        <f ca="1">(AP543+AQ541)*Marine!CA_op_trig</f>
        <v>0</v>
      </c>
      <c r="AR543" s="66">
        <f ca="1">(AQ543+AR541)*Marine!CA_op_trig</f>
        <v>0</v>
      </c>
      <c r="AS543" s="66">
        <f ca="1">(AR543+AS541)*Marine!CA_op_trig</f>
        <v>0</v>
      </c>
      <c r="AT543" s="66">
        <f ca="1">(AS543+AT541)*Marine!CA_op_trig</f>
        <v>0</v>
      </c>
      <c r="AU543" s="66">
        <f ca="1">(AT543+AU541)*Marine!CA_op_trig</f>
        <v>0</v>
      </c>
      <c r="AV543" s="66">
        <f ca="1">(AU543+AV541)*Marine!CA_op_trig</f>
        <v>0</v>
      </c>
      <c r="AW543" s="66">
        <f ca="1">(AV543+AW541)*Marine!CA_op_trig</f>
        <v>0</v>
      </c>
      <c r="AX543" s="66">
        <f ca="1">(AW543+AX541)*Marine!CA_op_trig</f>
        <v>0</v>
      </c>
      <c r="AY543" s="66">
        <f ca="1">(AX543+AY541)*Marine!CA_op_trig</f>
        <v>0</v>
      </c>
      <c r="AZ543" s="66">
        <f ca="1">(AY543+AZ541)*Marine!CA_op_trig</f>
        <v>0</v>
      </c>
      <c r="BA543" s="66">
        <f ca="1">(AZ543+BA541)*Marine!CA_op_trig</f>
        <v>0</v>
      </c>
      <c r="BB543" s="66">
        <f ca="1">(BA543+BB541)*Marine!CA_op_trig</f>
        <v>0</v>
      </c>
      <c r="BC543" s="66">
        <f ca="1">(BB543+BC541)*Marine!CA_op_trig</f>
        <v>0</v>
      </c>
      <c r="BD543" s="66">
        <f ca="1">(BC543+BD541)*Marine!CA_op_trig</f>
        <v>0</v>
      </c>
      <c r="BE543" s="66">
        <f ca="1">(BD543+BE541)*Marine!CA_op_trig</f>
        <v>0</v>
      </c>
      <c r="BF543" s="66">
        <f ca="1">(BE543+BF541)*Marine!CA_op_trig</f>
        <v>0</v>
      </c>
      <c r="BG543" s="66">
        <f ca="1">(BF543+BG541)*Marine!CA_op_trig</f>
        <v>0</v>
      </c>
      <c r="BH543" s="66">
        <f ca="1">(BG543+BH541)*Marine!CA_op_trig</f>
        <v>0</v>
      </c>
      <c r="BI543" s="66">
        <f ca="1">(BH543+BI541)*Marine!CA_op_trig</f>
        <v>0</v>
      </c>
      <c r="BJ543" s="66">
        <f ca="1">(BI543+BJ541)*Marine!CA_op_trig</f>
        <v>0</v>
      </c>
      <c r="BK543" s="66">
        <f ca="1">(BJ543+BK541)*Marine!CA_op_trig</f>
        <v>0</v>
      </c>
      <c r="BL543" s="66">
        <f ca="1">(BK543+BL541)*Marine!CA_op_trig</f>
        <v>0</v>
      </c>
      <c r="BM543" s="66">
        <f ca="1">(BL543+BM541)*Marine!CA_op_trig</f>
        <v>0</v>
      </c>
      <c r="BN543" s="66">
        <f ca="1">(BM543+BN541)*Marine!CA_op_trig</f>
        <v>0</v>
      </c>
      <c r="BO543" s="66">
        <f ca="1">(BN543+BO541)*Marine!CA_op_trig</f>
        <v>0</v>
      </c>
      <c r="BP543" s="66">
        <f ca="1">(BO543+BP541)*Marine!CA_op_trig</f>
        <v>0</v>
      </c>
      <c r="BQ543" s="66">
        <f ca="1">(BP543+BQ541)*Marine!CA_op_trig</f>
        <v>0</v>
      </c>
      <c r="BR543" s="66">
        <f ca="1">(BQ543+BR541)*Marine!CA_op_trig</f>
        <v>0</v>
      </c>
      <c r="BS543" s="66">
        <f ca="1">(BR543+BS541)*Marine!CA_op_trig</f>
        <v>0</v>
      </c>
    </row>
    <row r="544" spans="3:71" outlineLevel="1" x14ac:dyDescent="0.2">
      <c r="J544" s="26"/>
      <c r="L544" s="55"/>
      <c r="M544" s="55"/>
      <c r="N544" s="55"/>
      <c r="O544" s="55"/>
      <c r="P544" s="55"/>
      <c r="Q544" s="55"/>
      <c r="R544" s="55"/>
      <c r="S544" s="55"/>
      <c r="T544" s="55"/>
      <c r="U544" s="55"/>
      <c r="V544" s="55"/>
      <c r="W544" s="55"/>
      <c r="X544" s="55"/>
      <c r="Y544" s="55"/>
      <c r="Z544" s="55"/>
      <c r="AA544" s="55"/>
      <c r="AB544" s="55"/>
      <c r="AC544" s="55"/>
      <c r="AD544" s="55"/>
      <c r="AE544" s="55"/>
      <c r="AF544" s="55"/>
      <c r="AG544" s="55"/>
      <c r="AH544" s="55"/>
      <c r="AI544" s="55"/>
      <c r="AJ544" s="55"/>
      <c r="AK544" s="55"/>
      <c r="AL544" s="55"/>
      <c r="AM544" s="55"/>
      <c r="AN544" s="55"/>
      <c r="AO544" s="55"/>
      <c r="AP544" s="55"/>
      <c r="AQ544" s="55"/>
      <c r="AR544" s="55"/>
      <c r="AS544" s="55"/>
      <c r="AT544" s="55"/>
      <c r="AU544" s="55"/>
      <c r="AV544" s="55"/>
      <c r="AW544" s="55"/>
      <c r="AX544" s="55"/>
      <c r="AY544" s="55"/>
      <c r="AZ544" s="55"/>
      <c r="BA544" s="55"/>
      <c r="BB544" s="55"/>
      <c r="BC544" s="55"/>
      <c r="BD544" s="55"/>
      <c r="BE544" s="55"/>
      <c r="BF544" s="55"/>
      <c r="BG544" s="55"/>
      <c r="BH544" s="55"/>
      <c r="BI544" s="55"/>
      <c r="BJ544" s="55"/>
      <c r="BK544" s="55"/>
      <c r="BL544" s="55"/>
      <c r="BM544" s="55"/>
      <c r="BN544" s="55"/>
      <c r="BO544" s="55"/>
      <c r="BP544" s="55"/>
      <c r="BQ544" s="55"/>
      <c r="BR544" s="55"/>
      <c r="BS544" s="55"/>
    </row>
    <row r="545" spans="1:71" outlineLevel="1" x14ac:dyDescent="0.2">
      <c r="C545" s="11" t="s">
        <v>284</v>
      </c>
      <c r="G545" s="60"/>
      <c r="H545" s="7" t="s">
        <v>886</v>
      </c>
      <c r="I545" s="63">
        <f ca="1">SUMPRODUCT(OA_noc_ATCF_Marine,Marine!CA_disc_factor_fc)</f>
        <v>-16.918038357118661</v>
      </c>
      <c r="J545" s="26" t="s">
        <v>148</v>
      </c>
      <c r="L545" s="55"/>
      <c r="M545" s="55"/>
      <c r="N545" s="55"/>
      <c r="O545" s="55"/>
      <c r="P545" s="55"/>
      <c r="Q545" s="55"/>
      <c r="R545" s="55"/>
      <c r="S545" s="55"/>
      <c r="T545" s="55"/>
      <c r="U545" s="55"/>
      <c r="V545" s="55"/>
      <c r="W545" s="55"/>
      <c r="X545" s="55"/>
      <c r="Y545" s="55"/>
      <c r="Z545" s="55"/>
      <c r="AA545" s="55"/>
      <c r="AB545" s="55"/>
      <c r="AC545" s="55"/>
      <c r="AD545" s="55"/>
      <c r="AE545" s="55"/>
      <c r="AF545" s="55"/>
      <c r="AG545" s="55"/>
      <c r="AH545" s="55"/>
      <c r="AI545" s="55"/>
      <c r="AJ545" s="55"/>
      <c r="AK545" s="55"/>
      <c r="AL545" s="55"/>
      <c r="AM545" s="55"/>
      <c r="AN545" s="55"/>
      <c r="AO545" s="55"/>
      <c r="AP545" s="55"/>
      <c r="AQ545" s="55"/>
      <c r="AR545" s="55"/>
      <c r="AS545" s="55"/>
      <c r="AT545" s="55"/>
      <c r="AU545" s="55"/>
      <c r="AV545" s="55"/>
      <c r="AW545" s="55"/>
      <c r="AX545" s="55"/>
      <c r="AY545" s="55"/>
      <c r="AZ545" s="55"/>
      <c r="BA545" s="55"/>
      <c r="BB545" s="55"/>
      <c r="BC545" s="55"/>
      <c r="BD545" s="55"/>
      <c r="BE545" s="55"/>
      <c r="BF545" s="55"/>
      <c r="BG545" s="55"/>
      <c r="BH545" s="55"/>
      <c r="BI545" s="55"/>
      <c r="BJ545" s="55"/>
      <c r="BK545" s="55"/>
      <c r="BL545" s="55"/>
      <c r="BM545" s="55"/>
      <c r="BN545" s="55"/>
      <c r="BO545" s="55"/>
      <c r="BP545" s="55"/>
      <c r="BQ545" s="55"/>
      <c r="BR545" s="55"/>
      <c r="BS545" s="55"/>
    </row>
    <row r="546" spans="1:71" outlineLevel="1" x14ac:dyDescent="0.2">
      <c r="C546" s="11" t="s">
        <v>285</v>
      </c>
      <c r="I546" s="63">
        <f ca="1">SUMPRODUCT(OA_noc_ATCF_Marine,Marine!CA_disc_factor_pf)</f>
        <v>30.7758229196996</v>
      </c>
      <c r="J546" s="26" t="s">
        <v>148</v>
      </c>
      <c r="L546" s="55"/>
      <c r="M546" s="55"/>
      <c r="N546" s="55"/>
      <c r="O546" s="55"/>
      <c r="P546" s="55"/>
      <c r="Q546" s="55"/>
      <c r="R546" s="55"/>
      <c r="S546" s="55"/>
      <c r="T546" s="55"/>
      <c r="U546" s="55"/>
      <c r="V546" s="55"/>
      <c r="W546" s="55"/>
      <c r="X546" s="55"/>
      <c r="Y546" s="55"/>
      <c r="Z546" s="55"/>
      <c r="AA546" s="55"/>
      <c r="AB546" s="55"/>
      <c r="AC546" s="55"/>
      <c r="AD546" s="55"/>
      <c r="AE546" s="55"/>
      <c r="AF546" s="55"/>
      <c r="AG546" s="55"/>
      <c r="AH546" s="55"/>
      <c r="AI546" s="55"/>
      <c r="AJ546" s="55"/>
      <c r="AK546" s="55"/>
      <c r="AL546" s="55"/>
      <c r="AM546" s="55"/>
      <c r="AN546" s="55"/>
      <c r="AO546" s="55"/>
      <c r="AP546" s="55"/>
      <c r="AQ546" s="55"/>
      <c r="AR546" s="55"/>
      <c r="AS546" s="55"/>
      <c r="AT546" s="55"/>
      <c r="AU546" s="55"/>
      <c r="AV546" s="55"/>
      <c r="AW546" s="55"/>
      <c r="AX546" s="55"/>
      <c r="AY546" s="55"/>
      <c r="AZ546" s="55"/>
      <c r="BA546" s="55"/>
      <c r="BB546" s="55"/>
      <c r="BC546" s="55"/>
      <c r="BD546" s="55"/>
      <c r="BE546" s="55"/>
      <c r="BF546" s="55"/>
      <c r="BG546" s="55"/>
      <c r="BH546" s="55"/>
      <c r="BI546" s="55"/>
      <c r="BJ546" s="55"/>
      <c r="BK546" s="55"/>
      <c r="BL546" s="55"/>
      <c r="BM546" s="55"/>
      <c r="BN546" s="55"/>
      <c r="BO546" s="55"/>
      <c r="BP546" s="55"/>
      <c r="BQ546" s="55"/>
      <c r="BR546" s="55"/>
      <c r="BS546" s="55"/>
    </row>
    <row r="547" spans="1:71" outlineLevel="1" x14ac:dyDescent="0.2">
      <c r="I547" s="61"/>
      <c r="J547" s="26"/>
      <c r="L547" s="55"/>
      <c r="M547" s="55"/>
      <c r="N547" s="55"/>
      <c r="O547" s="55"/>
      <c r="P547" s="55"/>
      <c r="Q547" s="55"/>
      <c r="R547" s="55"/>
      <c r="S547" s="55"/>
      <c r="T547" s="55"/>
      <c r="U547" s="55"/>
      <c r="V547" s="55"/>
      <c r="W547" s="55"/>
      <c r="X547" s="55"/>
      <c r="Y547" s="55"/>
      <c r="Z547" s="55"/>
      <c r="AA547" s="55"/>
      <c r="AB547" s="55"/>
      <c r="AC547" s="55"/>
      <c r="AD547" s="55"/>
      <c r="AE547" s="55"/>
      <c r="AF547" s="55"/>
      <c r="AG547" s="55"/>
      <c r="AH547" s="55"/>
      <c r="AI547" s="55"/>
      <c r="AJ547" s="55"/>
      <c r="AK547" s="55"/>
      <c r="AL547" s="55"/>
      <c r="AM547" s="55"/>
      <c r="AN547" s="55"/>
      <c r="AO547" s="55"/>
      <c r="AP547" s="55"/>
      <c r="AQ547" s="55"/>
      <c r="AR547" s="55"/>
      <c r="AS547" s="55"/>
      <c r="AT547" s="55"/>
      <c r="AU547" s="55"/>
      <c r="AV547" s="55"/>
      <c r="AW547" s="55"/>
      <c r="AX547" s="55"/>
      <c r="AY547" s="55"/>
      <c r="AZ547" s="55"/>
      <c r="BA547" s="55"/>
      <c r="BB547" s="55"/>
      <c r="BC547" s="55"/>
      <c r="BD547" s="55"/>
      <c r="BE547" s="55"/>
      <c r="BF547" s="55"/>
      <c r="BG547" s="55"/>
      <c r="BH547" s="55"/>
      <c r="BI547" s="55"/>
      <c r="BJ547" s="55"/>
      <c r="BK547" s="55"/>
      <c r="BL547" s="55"/>
      <c r="BM547" s="55"/>
      <c r="BN547" s="55"/>
      <c r="BO547" s="55"/>
      <c r="BP547" s="55"/>
      <c r="BQ547" s="55"/>
      <c r="BR547" s="55"/>
      <c r="BS547" s="55"/>
    </row>
    <row r="548" spans="1:71" outlineLevel="1" x14ac:dyDescent="0.2">
      <c r="C548" s="11" t="s">
        <v>286</v>
      </c>
      <c r="I548" s="62">
        <f ca="1">IFERROR(IRR(INDEX(OA_noc_ATCF_Marine,1,MAX(1,$G$437-L4+1)):INDEX(OA_noc_ATCF_Marine,1,last_model_year)),"na")</f>
        <v>-4.6103266994990233E-2</v>
      </c>
      <c r="J548" s="26" t="s">
        <v>90</v>
      </c>
      <c r="L548" s="55"/>
      <c r="M548" s="55"/>
      <c r="N548" s="55"/>
      <c r="O548" s="55"/>
      <c r="P548" s="55"/>
      <c r="Q548" s="55"/>
      <c r="R548" s="55"/>
      <c r="S548" s="55"/>
      <c r="T548" s="55"/>
      <c r="U548" s="55"/>
      <c r="V548" s="55"/>
      <c r="W548" s="55"/>
      <c r="X548" s="55"/>
      <c r="Y548" s="55"/>
      <c r="Z548" s="55"/>
      <c r="AA548" s="55"/>
      <c r="AB548" s="55"/>
      <c r="AC548" s="55"/>
      <c r="AD548" s="55"/>
      <c r="AE548" s="55"/>
      <c r="AF548" s="55"/>
      <c r="AG548" s="55"/>
      <c r="AH548" s="55"/>
      <c r="AI548" s="55"/>
      <c r="AJ548" s="55"/>
      <c r="AK548" s="55"/>
      <c r="AL548" s="55"/>
      <c r="AM548" s="55"/>
      <c r="AN548" s="55"/>
      <c r="AO548" s="55"/>
      <c r="AP548" s="55"/>
      <c r="AQ548" s="55"/>
      <c r="AR548" s="55"/>
      <c r="AS548" s="55"/>
      <c r="AT548" s="55"/>
      <c r="AU548" s="55"/>
      <c r="AV548" s="55"/>
      <c r="AW548" s="55"/>
      <c r="AX548" s="55"/>
      <c r="AY548" s="55"/>
      <c r="AZ548" s="55"/>
      <c r="BA548" s="55"/>
      <c r="BB548" s="55"/>
      <c r="BC548" s="55"/>
      <c r="BD548" s="55"/>
      <c r="BE548" s="55"/>
      <c r="BF548" s="55"/>
      <c r="BG548" s="55"/>
      <c r="BH548" s="55"/>
      <c r="BI548" s="55"/>
      <c r="BJ548" s="55"/>
      <c r="BK548" s="55"/>
      <c r="BL548" s="55"/>
      <c r="BM548" s="55"/>
      <c r="BN548" s="55"/>
      <c r="BO548" s="55"/>
      <c r="BP548" s="55"/>
      <c r="BQ548" s="55"/>
      <c r="BR548" s="55"/>
      <c r="BS548" s="55"/>
    </row>
    <row r="549" spans="1:71" outlineLevel="1" x14ac:dyDescent="0.2">
      <c r="C549" s="11" t="s">
        <v>287</v>
      </c>
      <c r="I549" s="62">
        <f ca="1">IFERROR(IRR(INDEX(OA_noc_ATCF_Marine,1,MAX(1,$G$438-L4+1)):INDEX(OA_noc_ATCF_Marine,1,last_model_year)),"na")</f>
        <v>0.76570303822283892</v>
      </c>
      <c r="J549" s="26" t="s">
        <v>90</v>
      </c>
      <c r="L549" s="55"/>
      <c r="M549" s="55"/>
      <c r="N549" s="55"/>
      <c r="O549" s="55"/>
      <c r="P549" s="55"/>
      <c r="Q549" s="55"/>
      <c r="R549" s="55"/>
      <c r="S549" s="55"/>
      <c r="T549" s="55"/>
      <c r="U549" s="55"/>
      <c r="V549" s="55"/>
      <c r="W549" s="55"/>
      <c r="X549" s="55"/>
      <c r="Y549" s="55"/>
      <c r="Z549" s="55"/>
      <c r="AA549" s="55"/>
      <c r="AB549" s="55"/>
      <c r="AC549" s="55"/>
      <c r="AD549" s="55"/>
      <c r="AE549" s="55"/>
      <c r="AF549" s="55"/>
      <c r="AG549" s="55"/>
      <c r="AH549" s="55"/>
      <c r="AI549" s="55"/>
      <c r="AJ549" s="55"/>
      <c r="AK549" s="55"/>
      <c r="AL549" s="55"/>
      <c r="AM549" s="55"/>
      <c r="AN549" s="55"/>
      <c r="AO549" s="55"/>
      <c r="AP549" s="55"/>
      <c r="AQ549" s="55"/>
      <c r="AR549" s="55"/>
      <c r="AS549" s="55"/>
      <c r="AT549" s="55"/>
      <c r="AU549" s="55"/>
      <c r="AV549" s="55"/>
      <c r="AW549" s="55"/>
      <c r="AX549" s="55"/>
      <c r="AY549" s="55"/>
      <c r="AZ549" s="55"/>
      <c r="BA549" s="55"/>
      <c r="BB549" s="55"/>
      <c r="BC549" s="55"/>
      <c r="BD549" s="55"/>
      <c r="BE549" s="55"/>
      <c r="BF549" s="55"/>
      <c r="BG549" s="55"/>
      <c r="BH549" s="55"/>
      <c r="BI549" s="55"/>
      <c r="BJ549" s="55"/>
      <c r="BK549" s="55"/>
      <c r="BL549" s="55"/>
      <c r="BM549" s="55"/>
      <c r="BN549" s="55"/>
      <c r="BO549" s="55"/>
      <c r="BP549" s="55"/>
      <c r="BQ549" s="55"/>
      <c r="BR549" s="55"/>
      <c r="BS549" s="55"/>
    </row>
    <row r="550" spans="1:71" outlineLevel="1" x14ac:dyDescent="0.2">
      <c r="J550" s="26"/>
      <c r="L550" s="55"/>
      <c r="M550" s="55"/>
      <c r="N550" s="55"/>
      <c r="O550" s="55"/>
      <c r="P550" s="55"/>
      <c r="Q550" s="55"/>
      <c r="R550" s="55"/>
      <c r="S550" s="55"/>
      <c r="T550" s="55"/>
      <c r="U550" s="55"/>
      <c r="V550" s="55"/>
      <c r="W550" s="55"/>
      <c r="X550" s="55"/>
      <c r="Y550" s="55"/>
      <c r="Z550" s="55"/>
      <c r="AA550" s="55"/>
      <c r="AB550" s="55"/>
      <c r="AC550" s="55"/>
      <c r="AD550" s="55"/>
      <c r="AE550" s="55"/>
      <c r="AF550" s="55"/>
      <c r="AG550" s="55"/>
      <c r="AH550" s="55"/>
      <c r="AI550" s="55"/>
      <c r="AJ550" s="55"/>
      <c r="AK550" s="55"/>
      <c r="AL550" s="55"/>
      <c r="AM550" s="55"/>
      <c r="AN550" s="55"/>
      <c r="AO550" s="55"/>
      <c r="AP550" s="55"/>
      <c r="AQ550" s="55"/>
      <c r="AR550" s="55"/>
      <c r="AS550" s="55"/>
      <c r="AT550" s="55"/>
      <c r="AU550" s="55"/>
      <c r="AV550" s="55"/>
      <c r="AW550" s="55"/>
      <c r="AX550" s="55"/>
      <c r="AY550" s="55"/>
      <c r="AZ550" s="55"/>
      <c r="BA550" s="55"/>
      <c r="BB550" s="55"/>
      <c r="BC550" s="55"/>
      <c r="BD550" s="55"/>
      <c r="BE550" s="55"/>
      <c r="BF550" s="55"/>
      <c r="BG550" s="55"/>
      <c r="BH550" s="55"/>
      <c r="BI550" s="55"/>
      <c r="BJ550" s="55"/>
      <c r="BK550" s="55"/>
      <c r="BL550" s="55"/>
      <c r="BM550" s="55"/>
      <c r="BN550" s="55"/>
      <c r="BO550" s="55"/>
      <c r="BP550" s="55"/>
      <c r="BQ550" s="55"/>
      <c r="BR550" s="55"/>
      <c r="BS550" s="55"/>
    </row>
    <row r="551" spans="1:71" outlineLevel="1" x14ac:dyDescent="0.2">
      <c r="C551" s="11" t="s">
        <v>304</v>
      </c>
      <c r="I551" s="67">
        <f ca="1">COUNTIF(L543:BS543,"&lt;0")+1</f>
        <v>14</v>
      </c>
      <c r="J551" s="26"/>
      <c r="L551" s="55"/>
      <c r="M551" s="55"/>
      <c r="N551" s="55"/>
      <c r="O551" s="55"/>
      <c r="P551" s="55"/>
      <c r="Q551" s="55"/>
      <c r="R551" s="55"/>
      <c r="S551" s="55"/>
      <c r="T551" s="55"/>
      <c r="U551" s="55"/>
      <c r="V551" s="55"/>
      <c r="W551" s="55"/>
      <c r="X551" s="55"/>
      <c r="Y551" s="55"/>
      <c r="Z551" s="55"/>
      <c r="AA551" s="55"/>
      <c r="AB551" s="55"/>
      <c r="AC551" s="55"/>
      <c r="AD551" s="55"/>
      <c r="AE551" s="55"/>
      <c r="AF551" s="55"/>
      <c r="AG551" s="55"/>
      <c r="AH551" s="55"/>
      <c r="AI551" s="55"/>
      <c r="AJ551" s="55"/>
      <c r="AK551" s="55"/>
      <c r="AL551" s="55"/>
      <c r="AM551" s="55"/>
      <c r="AN551" s="55"/>
      <c r="AO551" s="55"/>
      <c r="AP551" s="55"/>
      <c r="AQ551" s="55"/>
      <c r="AR551" s="55"/>
      <c r="AS551" s="55"/>
      <c r="AT551" s="55"/>
      <c r="AU551" s="55"/>
      <c r="AV551" s="55"/>
      <c r="AW551" s="55"/>
      <c r="AX551" s="55"/>
      <c r="AY551" s="55"/>
      <c r="AZ551" s="55"/>
      <c r="BA551" s="55"/>
      <c r="BB551" s="55"/>
      <c r="BC551" s="55"/>
      <c r="BD551" s="55"/>
      <c r="BE551" s="55"/>
      <c r="BF551" s="55"/>
      <c r="BG551" s="55"/>
      <c r="BH551" s="55"/>
      <c r="BI551" s="55"/>
      <c r="BJ551" s="55"/>
      <c r="BK551" s="55"/>
      <c r="BL551" s="55"/>
      <c r="BM551" s="55"/>
      <c r="BN551" s="55"/>
      <c r="BO551" s="55"/>
      <c r="BP551" s="55"/>
      <c r="BQ551" s="55"/>
      <c r="BR551" s="55"/>
      <c r="BS551" s="55"/>
    </row>
    <row r="552" spans="1:71" outlineLevel="1" x14ac:dyDescent="0.2">
      <c r="J552" s="26"/>
      <c r="L552" s="55"/>
      <c r="M552" s="55"/>
      <c r="N552" s="55"/>
      <c r="O552" s="55"/>
      <c r="P552" s="55"/>
      <c r="Q552" s="55"/>
      <c r="R552" s="55"/>
      <c r="S552" s="55"/>
      <c r="T552" s="55"/>
      <c r="U552" s="55"/>
      <c r="V552" s="55"/>
      <c r="W552" s="55"/>
      <c r="X552" s="55"/>
      <c r="Y552" s="55"/>
      <c r="Z552" s="55"/>
      <c r="AA552" s="55"/>
      <c r="AB552" s="55"/>
      <c r="AC552" s="55"/>
      <c r="AD552" s="55"/>
      <c r="AE552" s="55"/>
      <c r="AF552" s="55"/>
      <c r="AG552" s="55"/>
      <c r="AH552" s="55"/>
      <c r="AI552" s="55"/>
      <c r="AJ552" s="55"/>
      <c r="AK552" s="55"/>
      <c r="AL552" s="55"/>
      <c r="AM552" s="55"/>
      <c r="AN552" s="55"/>
      <c r="AO552" s="55"/>
      <c r="AP552" s="55"/>
      <c r="AQ552" s="55"/>
      <c r="AR552" s="55"/>
      <c r="AS552" s="55"/>
      <c r="AT552" s="55"/>
      <c r="AU552" s="55"/>
      <c r="AV552" s="55"/>
      <c r="AW552" s="55"/>
      <c r="AX552" s="55"/>
      <c r="AY552" s="55"/>
      <c r="AZ552" s="55"/>
      <c r="BA552" s="55"/>
      <c r="BB552" s="55"/>
      <c r="BC552" s="55"/>
      <c r="BD552" s="55"/>
      <c r="BE552" s="55"/>
      <c r="BF552" s="55"/>
      <c r="BG552" s="55"/>
      <c r="BH552" s="55"/>
      <c r="BI552" s="55"/>
      <c r="BJ552" s="55"/>
      <c r="BK552" s="55"/>
      <c r="BL552" s="55"/>
      <c r="BM552" s="55"/>
      <c r="BN552" s="55"/>
      <c r="BO552" s="55"/>
      <c r="BP552" s="55"/>
      <c r="BQ552" s="55"/>
      <c r="BR552" s="55"/>
      <c r="BS552" s="55"/>
    </row>
    <row r="553" spans="1:71" outlineLevel="1" x14ac:dyDescent="0.2">
      <c r="J553" s="26"/>
      <c r="L553" s="55"/>
      <c r="M553" s="55"/>
      <c r="N553" s="55"/>
      <c r="O553" s="55"/>
      <c r="P553" s="55"/>
      <c r="Q553" s="55"/>
      <c r="R553" s="55"/>
      <c r="S553" s="55"/>
      <c r="T553" s="55"/>
      <c r="U553" s="55"/>
      <c r="V553" s="55"/>
      <c r="W553" s="55"/>
      <c r="X553" s="55"/>
      <c r="Y553" s="55"/>
      <c r="Z553" s="55"/>
      <c r="AA553" s="55"/>
      <c r="AB553" s="55"/>
      <c r="AC553" s="55"/>
      <c r="AD553" s="55"/>
      <c r="AE553" s="55"/>
      <c r="AF553" s="55"/>
      <c r="AG553" s="55"/>
      <c r="AH553" s="55"/>
      <c r="AI553" s="55"/>
      <c r="AJ553" s="55"/>
      <c r="AK553" s="55"/>
      <c r="AL553" s="55"/>
      <c r="AM553" s="55"/>
      <c r="AN553" s="55"/>
      <c r="AO553" s="55"/>
      <c r="AP553" s="55"/>
      <c r="AQ553" s="55"/>
      <c r="AR553" s="55"/>
      <c r="AS553" s="55"/>
      <c r="AT553" s="55"/>
      <c r="AU553" s="55"/>
      <c r="AV553" s="55"/>
      <c r="AW553" s="55"/>
      <c r="AX553" s="55"/>
      <c r="AY553" s="55"/>
      <c r="AZ553" s="55"/>
      <c r="BA553" s="55"/>
      <c r="BB553" s="55"/>
      <c r="BC553" s="55"/>
      <c r="BD553" s="55"/>
      <c r="BE553" s="55"/>
      <c r="BF553" s="55"/>
      <c r="BG553" s="55"/>
      <c r="BH553" s="55"/>
      <c r="BI553" s="55"/>
      <c r="BJ553" s="55"/>
      <c r="BK553" s="55"/>
      <c r="BL553" s="55"/>
      <c r="BM553" s="55"/>
      <c r="BN553" s="55"/>
      <c r="BO553" s="55"/>
      <c r="BP553" s="55"/>
      <c r="BQ553" s="55"/>
      <c r="BR553" s="55"/>
      <c r="BS553" s="55"/>
    </row>
    <row r="554" spans="1:71" outlineLevel="1" x14ac:dyDescent="0.2">
      <c r="J554" s="26"/>
      <c r="L554" s="55"/>
      <c r="M554" s="55"/>
      <c r="N554" s="55"/>
      <c r="O554" s="55"/>
      <c r="P554" s="55"/>
      <c r="Q554" s="55"/>
      <c r="R554" s="55"/>
      <c r="S554" s="55"/>
      <c r="T554" s="55"/>
      <c r="U554" s="55"/>
      <c r="V554" s="55"/>
      <c r="W554" s="55"/>
      <c r="X554" s="55"/>
      <c r="Y554" s="55"/>
      <c r="Z554" s="55"/>
      <c r="AA554" s="55"/>
      <c r="AB554" s="55"/>
      <c r="AC554" s="55"/>
      <c r="AD554" s="55"/>
      <c r="AE554" s="55"/>
      <c r="AF554" s="55"/>
      <c r="AG554" s="55"/>
      <c r="AH554" s="55"/>
      <c r="AI554" s="55"/>
      <c r="AJ554" s="55"/>
      <c r="AK554" s="55"/>
      <c r="AL554" s="55"/>
      <c r="AM554" s="55"/>
      <c r="AN554" s="55"/>
      <c r="AO554" s="55"/>
      <c r="AP554" s="55"/>
      <c r="AQ554" s="55"/>
      <c r="AR554" s="55"/>
      <c r="AS554" s="55"/>
      <c r="AT554" s="55"/>
      <c r="AU554" s="55"/>
      <c r="AV554" s="55"/>
      <c r="AW554" s="55"/>
      <c r="AX554" s="55"/>
      <c r="AY554" s="55"/>
      <c r="AZ554" s="55"/>
      <c r="BA554" s="55"/>
      <c r="BB554" s="55"/>
      <c r="BC554" s="55"/>
      <c r="BD554" s="55"/>
      <c r="BE554" s="55"/>
      <c r="BF554" s="55"/>
      <c r="BG554" s="55"/>
      <c r="BH554" s="55"/>
      <c r="BI554" s="55"/>
      <c r="BJ554" s="55"/>
      <c r="BK554" s="55"/>
      <c r="BL554" s="55"/>
      <c r="BM554" s="55"/>
      <c r="BN554" s="55"/>
      <c r="BO554" s="55"/>
      <c r="BP554" s="55"/>
      <c r="BQ554" s="55"/>
      <c r="BR554" s="55"/>
      <c r="BS554" s="55"/>
    </row>
    <row r="555" spans="1:71" outlineLevel="1" x14ac:dyDescent="0.2">
      <c r="J555" s="26"/>
      <c r="L555" s="55"/>
      <c r="M555" s="55"/>
      <c r="N555" s="55"/>
      <c r="O555" s="55"/>
      <c r="P555" s="55"/>
      <c r="Q555" s="55"/>
      <c r="R555" s="55"/>
      <c r="S555" s="55"/>
      <c r="T555" s="55"/>
      <c r="U555" s="55"/>
      <c r="V555" s="55"/>
      <c r="W555" s="55"/>
      <c r="X555" s="55"/>
      <c r="Y555" s="55"/>
      <c r="Z555" s="55"/>
      <c r="AA555" s="55"/>
      <c r="AB555" s="55"/>
      <c r="AC555" s="55"/>
      <c r="AD555" s="55"/>
      <c r="AE555" s="55"/>
      <c r="AF555" s="55"/>
      <c r="AG555" s="55"/>
      <c r="AH555" s="55"/>
      <c r="AI555" s="55"/>
      <c r="AJ555" s="55"/>
      <c r="AK555" s="55"/>
      <c r="AL555" s="55"/>
      <c r="AM555" s="55"/>
      <c r="AN555" s="55"/>
      <c r="AO555" s="55"/>
      <c r="AP555" s="55"/>
      <c r="AQ555" s="55"/>
      <c r="AR555" s="55"/>
      <c r="AS555" s="55"/>
      <c r="AT555" s="55"/>
      <c r="AU555" s="55"/>
      <c r="AV555" s="55"/>
      <c r="AW555" s="55"/>
      <c r="AX555" s="55"/>
      <c r="AY555" s="55"/>
      <c r="AZ555" s="55"/>
      <c r="BA555" s="55"/>
      <c r="BB555" s="55"/>
      <c r="BC555" s="55"/>
      <c r="BD555" s="55"/>
      <c r="BE555" s="55"/>
      <c r="BF555" s="55"/>
      <c r="BG555" s="55"/>
      <c r="BH555" s="55"/>
      <c r="BI555" s="55"/>
      <c r="BJ555" s="55"/>
      <c r="BK555" s="55"/>
      <c r="BL555" s="55"/>
      <c r="BM555" s="55"/>
      <c r="BN555" s="55"/>
      <c r="BO555" s="55"/>
      <c r="BP555" s="55"/>
      <c r="BQ555" s="55"/>
      <c r="BR555" s="55"/>
      <c r="BS555" s="55"/>
    </row>
    <row r="556" spans="1:71" outlineLevel="1" x14ac:dyDescent="0.2">
      <c r="J556" s="26"/>
      <c r="L556" s="55"/>
      <c r="M556" s="55"/>
      <c r="N556" s="55"/>
      <c r="O556" s="55"/>
      <c r="P556" s="55"/>
      <c r="Q556" s="55"/>
      <c r="R556" s="55"/>
      <c r="S556" s="55"/>
      <c r="T556" s="55"/>
      <c r="U556" s="55"/>
      <c r="V556" s="55"/>
      <c r="W556" s="55"/>
      <c r="X556" s="55"/>
      <c r="Y556" s="55"/>
      <c r="Z556" s="55"/>
      <c r="AA556" s="55"/>
      <c r="AB556" s="55"/>
      <c r="AC556" s="55"/>
      <c r="AD556" s="55"/>
      <c r="AE556" s="55"/>
      <c r="AF556" s="55"/>
      <c r="AG556" s="55"/>
      <c r="AH556" s="55"/>
      <c r="AI556" s="55"/>
      <c r="AJ556" s="55"/>
      <c r="AK556" s="55"/>
      <c r="AL556" s="55"/>
      <c r="AM556" s="55"/>
      <c r="AN556" s="55"/>
      <c r="AO556" s="55"/>
      <c r="AP556" s="55"/>
      <c r="AQ556" s="55"/>
      <c r="AR556" s="55"/>
      <c r="AS556" s="55"/>
      <c r="AT556" s="55"/>
      <c r="AU556" s="55"/>
      <c r="AV556" s="55"/>
      <c r="AW556" s="55"/>
      <c r="AX556" s="55"/>
      <c r="AY556" s="55"/>
      <c r="AZ556" s="55"/>
      <c r="BA556" s="55"/>
      <c r="BB556" s="55"/>
      <c r="BC556" s="55"/>
      <c r="BD556" s="55"/>
      <c r="BE556" s="55"/>
      <c r="BF556" s="55"/>
      <c r="BG556" s="55"/>
      <c r="BH556" s="55"/>
      <c r="BI556" s="55"/>
      <c r="BJ556" s="55"/>
      <c r="BK556" s="55"/>
      <c r="BL556" s="55"/>
      <c r="BM556" s="55"/>
      <c r="BN556" s="55"/>
      <c r="BO556" s="55"/>
      <c r="BP556" s="55"/>
      <c r="BQ556" s="55"/>
      <c r="BR556" s="55"/>
      <c r="BS556" s="55"/>
    </row>
    <row r="557" spans="1:71" outlineLevel="1" x14ac:dyDescent="0.2">
      <c r="A557" s="45"/>
      <c r="B557" s="38" t="s">
        <v>292</v>
      </c>
      <c r="C557" s="45"/>
      <c r="D557" s="45"/>
      <c r="E557" s="45"/>
      <c r="J557" s="26"/>
      <c r="L557" s="55"/>
      <c r="M557" s="55"/>
      <c r="N557" s="55"/>
      <c r="O557" s="55"/>
      <c r="P557" s="55"/>
      <c r="Q557" s="55"/>
      <c r="R557" s="55"/>
      <c r="S557" s="55"/>
      <c r="T557" s="55"/>
      <c r="U557" s="55"/>
      <c r="V557" s="55"/>
      <c r="W557" s="55"/>
      <c r="X557" s="55"/>
      <c r="Y557" s="55"/>
      <c r="Z557" s="55"/>
      <c r="AA557" s="55"/>
      <c r="AB557" s="55"/>
      <c r="AC557" s="55"/>
      <c r="AD557" s="55"/>
      <c r="AE557" s="55"/>
      <c r="AF557" s="55"/>
      <c r="AG557" s="55"/>
      <c r="AH557" s="55"/>
      <c r="AI557" s="55"/>
      <c r="AJ557" s="55"/>
      <c r="AK557" s="55"/>
      <c r="AL557" s="55"/>
      <c r="AM557" s="55"/>
      <c r="AN557" s="55"/>
      <c r="AO557" s="55"/>
      <c r="AP557" s="55"/>
      <c r="AQ557" s="55"/>
      <c r="AR557" s="55"/>
      <c r="AS557" s="55"/>
      <c r="AT557" s="55"/>
      <c r="AU557" s="55"/>
      <c r="AV557" s="55"/>
      <c r="AW557" s="55"/>
      <c r="AX557" s="55"/>
      <c r="AY557" s="55"/>
      <c r="AZ557" s="55"/>
      <c r="BA557" s="55"/>
      <c r="BB557" s="55"/>
      <c r="BC557" s="55"/>
      <c r="BD557" s="55"/>
      <c r="BE557" s="55"/>
      <c r="BF557" s="55"/>
      <c r="BG557" s="55"/>
      <c r="BH557" s="55"/>
      <c r="BI557" s="55"/>
      <c r="BJ557" s="55"/>
      <c r="BK557" s="55"/>
      <c r="BL557" s="55"/>
      <c r="BM557" s="55"/>
      <c r="BN557" s="55"/>
      <c r="BO557" s="55"/>
      <c r="BP557" s="55"/>
      <c r="BQ557" s="55"/>
      <c r="BR557" s="55"/>
      <c r="BS557" s="55"/>
    </row>
    <row r="558" spans="1:71" outlineLevel="1" x14ac:dyDescent="0.2">
      <c r="J558" s="26"/>
      <c r="L558" s="55"/>
      <c r="M558" s="55"/>
      <c r="N558" s="55"/>
      <c r="O558" s="55"/>
      <c r="P558" s="55"/>
      <c r="Q558" s="55"/>
      <c r="R558" s="55"/>
      <c r="S558" s="55"/>
      <c r="T558" s="55"/>
      <c r="U558" s="55"/>
      <c r="V558" s="55"/>
      <c r="W558" s="55"/>
      <c r="X558" s="55"/>
      <c r="Y558" s="55"/>
      <c r="Z558" s="55"/>
      <c r="AA558" s="55"/>
      <c r="AB558" s="55"/>
      <c r="AC558" s="55"/>
      <c r="AD558" s="55"/>
      <c r="AE558" s="55"/>
      <c r="AF558" s="55"/>
      <c r="AG558" s="55"/>
      <c r="AH558" s="55"/>
      <c r="AI558" s="55"/>
      <c r="AJ558" s="55"/>
      <c r="AK558" s="55"/>
      <c r="AL558" s="55"/>
      <c r="AM558" s="55"/>
      <c r="AN558" s="55"/>
      <c r="AO558" s="55"/>
      <c r="AP558" s="55"/>
      <c r="AQ558" s="55"/>
      <c r="AR558" s="55"/>
      <c r="AS558" s="55"/>
      <c r="AT558" s="55"/>
      <c r="AU558" s="55"/>
      <c r="AV558" s="55"/>
      <c r="AW558" s="55"/>
      <c r="AX558" s="55"/>
      <c r="AY558" s="55"/>
      <c r="AZ558" s="55"/>
      <c r="BA558" s="55"/>
      <c r="BB558" s="55"/>
      <c r="BC558" s="55"/>
      <c r="BD558" s="55"/>
      <c r="BE558" s="55"/>
      <c r="BF558" s="55"/>
      <c r="BG558" s="55"/>
      <c r="BH558" s="55"/>
      <c r="BI558" s="55"/>
      <c r="BJ558" s="55"/>
      <c r="BK558" s="55"/>
      <c r="BL558" s="55"/>
      <c r="BM558" s="55"/>
      <c r="BN558" s="55"/>
      <c r="BO558" s="55"/>
      <c r="BP558" s="55"/>
      <c r="BQ558" s="55"/>
      <c r="BR558" s="55"/>
      <c r="BS558" s="55"/>
    </row>
    <row r="559" spans="1:71" outlineLevel="1" x14ac:dyDescent="0.2">
      <c r="C559" s="11" t="s">
        <v>144</v>
      </c>
      <c r="J559" s="26"/>
      <c r="L559" s="55"/>
      <c r="M559" s="55"/>
      <c r="N559" s="55"/>
      <c r="O559" s="55"/>
      <c r="P559" s="55"/>
      <c r="Q559" s="55"/>
      <c r="R559" s="55"/>
      <c r="S559" s="55"/>
      <c r="T559" s="55"/>
      <c r="U559" s="55"/>
      <c r="V559" s="55"/>
      <c r="W559" s="55"/>
      <c r="X559" s="55"/>
      <c r="Y559" s="55"/>
      <c r="Z559" s="55"/>
      <c r="AA559" s="55"/>
      <c r="AB559" s="55"/>
      <c r="AC559" s="55"/>
      <c r="AD559" s="55"/>
      <c r="AE559" s="55"/>
      <c r="AF559" s="55"/>
      <c r="AG559" s="55"/>
      <c r="AH559" s="55"/>
      <c r="AI559" s="55"/>
      <c r="AJ559" s="55"/>
      <c r="AK559" s="55"/>
      <c r="AL559" s="55"/>
      <c r="AM559" s="55"/>
      <c r="AN559" s="55"/>
      <c r="AO559" s="55"/>
      <c r="AP559" s="55"/>
      <c r="AQ559" s="55"/>
      <c r="AR559" s="55"/>
      <c r="AS559" s="55"/>
      <c r="AT559" s="55"/>
      <c r="AU559" s="55"/>
      <c r="AV559" s="55"/>
      <c r="AW559" s="55"/>
      <c r="AX559" s="55"/>
      <c r="AY559" s="55"/>
      <c r="AZ559" s="55"/>
      <c r="BA559" s="55"/>
      <c r="BB559" s="55"/>
      <c r="BC559" s="55"/>
      <c r="BD559" s="55"/>
      <c r="BE559" s="55"/>
      <c r="BF559" s="55"/>
      <c r="BG559" s="55"/>
      <c r="BH559" s="55"/>
      <c r="BI559" s="55"/>
      <c r="BJ559" s="55"/>
      <c r="BK559" s="55"/>
      <c r="BL559" s="55"/>
      <c r="BM559" s="55"/>
      <c r="BN559" s="55"/>
      <c r="BO559" s="55"/>
      <c r="BP559" s="55"/>
      <c r="BQ559" s="55"/>
      <c r="BR559" s="55"/>
      <c r="BS559" s="55"/>
    </row>
    <row r="560" spans="1:71" outlineLevel="1" x14ac:dyDescent="0.2">
      <c r="D560" t="s">
        <v>293</v>
      </c>
      <c r="H560" s="7" t="s">
        <v>888</v>
      </c>
      <c r="I560" s="30">
        <f t="shared" ref="I560:I575" ca="1" si="197">SUM($L560:$BS560)</f>
        <v>799.03089377979904</v>
      </c>
      <c r="J560" s="26" t="s">
        <v>148</v>
      </c>
      <c r="L560" s="49" cm="1">
        <f t="array" aca="1" ref="L560:BS560" ca="1">Marine!CA_roy_total_fp</f>
        <v>0</v>
      </c>
      <c r="M560" s="49">
        <f ca="1"/>
        <v>1.1716958818336294</v>
      </c>
      <c r="N560" s="49">
        <f ca="1"/>
        <v>18.278385369770273</v>
      </c>
      <c r="O560" s="49">
        <f ca="1"/>
        <v>28.409334422348081</v>
      </c>
      <c r="P560" s="49">
        <f ca="1"/>
        <v>53.12644655867669</v>
      </c>
      <c r="Q560" s="49">
        <f ca="1"/>
        <v>108.81550112779722</v>
      </c>
      <c r="R560" s="49">
        <f ca="1"/>
        <v>92.651629574132812</v>
      </c>
      <c r="S560" s="49">
        <f ca="1"/>
        <v>64.533517437499995</v>
      </c>
      <c r="T560" s="49">
        <f ca="1"/>
        <v>91.245337745580741</v>
      </c>
      <c r="U560" s="49">
        <f ca="1"/>
        <v>91.100985377094048</v>
      </c>
      <c r="V560" s="49">
        <f ca="1"/>
        <v>87.028166804053967</v>
      </c>
      <c r="W560" s="49">
        <f ca="1"/>
        <v>83.168515417484841</v>
      </c>
      <c r="X560" s="49">
        <f ca="1"/>
        <v>79.501378063526829</v>
      </c>
      <c r="Y560" s="49">
        <f ca="1"/>
        <v>0</v>
      </c>
      <c r="Z560" s="49">
        <f ca="1"/>
        <v>0</v>
      </c>
      <c r="AA560" s="49">
        <f ca="1"/>
        <v>0</v>
      </c>
      <c r="AB560" s="49">
        <f ca="1"/>
        <v>0</v>
      </c>
      <c r="AC560" s="49">
        <f ca="1"/>
        <v>0</v>
      </c>
      <c r="AD560" s="49">
        <f ca="1"/>
        <v>0</v>
      </c>
      <c r="AE560" s="49">
        <f ca="1"/>
        <v>0</v>
      </c>
      <c r="AF560" s="49">
        <f ca="1"/>
        <v>0</v>
      </c>
      <c r="AG560" s="49">
        <f ca="1"/>
        <v>0</v>
      </c>
      <c r="AH560" s="49">
        <f ca="1"/>
        <v>0</v>
      </c>
      <c r="AI560" s="49">
        <f ca="1"/>
        <v>0</v>
      </c>
      <c r="AJ560" s="49">
        <f ca="1"/>
        <v>0</v>
      </c>
      <c r="AK560" s="49">
        <f ca="1"/>
        <v>0</v>
      </c>
      <c r="AL560" s="49">
        <f ca="1"/>
        <v>0</v>
      </c>
      <c r="AM560" s="49">
        <f ca="1"/>
        <v>0</v>
      </c>
      <c r="AN560" s="49">
        <f ca="1"/>
        <v>0</v>
      </c>
      <c r="AO560" s="49">
        <f ca="1"/>
        <v>0</v>
      </c>
      <c r="AP560" s="49">
        <f ca="1"/>
        <v>0</v>
      </c>
      <c r="AQ560" s="49">
        <f ca="1"/>
        <v>0</v>
      </c>
      <c r="AR560" s="49">
        <f ca="1"/>
        <v>0</v>
      </c>
      <c r="AS560" s="49">
        <f ca="1"/>
        <v>0</v>
      </c>
      <c r="AT560" s="49">
        <f ca="1"/>
        <v>0</v>
      </c>
      <c r="AU560" s="49">
        <f ca="1"/>
        <v>0</v>
      </c>
      <c r="AV560" s="49">
        <f ca="1"/>
        <v>0</v>
      </c>
      <c r="AW560" s="49">
        <f ca="1"/>
        <v>0</v>
      </c>
      <c r="AX560" s="49">
        <f ca="1"/>
        <v>0</v>
      </c>
      <c r="AY560" s="49">
        <f ca="1"/>
        <v>0</v>
      </c>
      <c r="AZ560" s="49">
        <f ca="1"/>
        <v>0</v>
      </c>
      <c r="BA560" s="49">
        <f ca="1"/>
        <v>0</v>
      </c>
      <c r="BB560" s="49">
        <f ca="1"/>
        <v>0</v>
      </c>
      <c r="BC560" s="49">
        <f ca="1"/>
        <v>0</v>
      </c>
      <c r="BD560" s="49">
        <f ca="1"/>
        <v>0</v>
      </c>
      <c r="BE560" s="49">
        <f ca="1"/>
        <v>0</v>
      </c>
      <c r="BF560" s="49">
        <f ca="1"/>
        <v>0</v>
      </c>
      <c r="BG560" s="49">
        <f ca="1"/>
        <v>0</v>
      </c>
      <c r="BH560" s="49">
        <f ca="1"/>
        <v>0</v>
      </c>
      <c r="BI560" s="49">
        <f ca="1"/>
        <v>0</v>
      </c>
      <c r="BJ560" s="49">
        <f ca="1"/>
        <v>0</v>
      </c>
      <c r="BK560" s="49">
        <f ca="1"/>
        <v>0</v>
      </c>
      <c r="BL560" s="49">
        <f ca="1"/>
        <v>0</v>
      </c>
      <c r="BM560" s="49">
        <f ca="1"/>
        <v>0</v>
      </c>
      <c r="BN560" s="49">
        <f ca="1"/>
        <v>0</v>
      </c>
      <c r="BO560" s="49">
        <f ca="1"/>
        <v>0</v>
      </c>
      <c r="BP560" s="49">
        <f ca="1"/>
        <v>0</v>
      </c>
      <c r="BQ560" s="49">
        <f ca="1"/>
        <v>0</v>
      </c>
      <c r="BR560" s="49">
        <f ca="1"/>
        <v>0</v>
      </c>
      <c r="BS560" s="49">
        <f ca="1"/>
        <v>0</v>
      </c>
    </row>
    <row r="561" spans="3:71" outlineLevel="1" x14ac:dyDescent="0.2">
      <c r="D561" t="s">
        <v>67</v>
      </c>
      <c r="H561" s="7" t="s">
        <v>889</v>
      </c>
      <c r="I561" s="30">
        <f t="shared" ca="1" si="197"/>
        <v>54.738039330218619</v>
      </c>
      <c r="J561" s="26" t="s">
        <v>148</v>
      </c>
      <c r="L561" s="49" cm="1">
        <f t="array" aca="1" ref="L561:BS561" ca="1">Marine!CA_pid_fees</f>
        <v>0</v>
      </c>
      <c r="M561" s="49">
        <f ca="1"/>
        <v>9.3983153338229292E-2</v>
      </c>
      <c r="N561" s="49">
        <f ca="1"/>
        <v>1.2988763022073142</v>
      </c>
      <c r="O561" s="49">
        <f ca="1"/>
        <v>2.0200156729356959</v>
      </c>
      <c r="P561" s="49">
        <f ca="1"/>
        <v>3.6579991053168932</v>
      </c>
      <c r="Q561" s="49">
        <f ca="1"/>
        <v>7.3818786721860512</v>
      </c>
      <c r="R561" s="49">
        <f ca="1"/>
        <v>6.1767754350043571</v>
      </c>
      <c r="S561" s="49">
        <f ca="1"/>
        <v>4.469763935833333</v>
      </c>
      <c r="T561" s="49">
        <f ca="1"/>
        <v>6.250310076202318</v>
      </c>
      <c r="U561" s="49">
        <f ca="1"/>
        <v>6.2406079597930679</v>
      </c>
      <c r="V561" s="49">
        <f ca="1"/>
        <v>5.9690158780260418</v>
      </c>
      <c r="W561" s="49">
        <f ca="1"/>
        <v>5.7116920415051196</v>
      </c>
      <c r="X561" s="49">
        <f ca="1"/>
        <v>5.4671210978702005</v>
      </c>
      <c r="Y561" s="49">
        <f ca="1"/>
        <v>0</v>
      </c>
      <c r="Z561" s="49">
        <f ca="1"/>
        <v>0</v>
      </c>
      <c r="AA561" s="49">
        <f ca="1"/>
        <v>0</v>
      </c>
      <c r="AB561" s="49">
        <f ca="1"/>
        <v>0</v>
      </c>
      <c r="AC561" s="49">
        <f ca="1"/>
        <v>0</v>
      </c>
      <c r="AD561" s="49">
        <f ca="1"/>
        <v>0</v>
      </c>
      <c r="AE561" s="49">
        <f ca="1"/>
        <v>0</v>
      </c>
      <c r="AF561" s="49">
        <f ca="1"/>
        <v>0</v>
      </c>
      <c r="AG561" s="49">
        <f ca="1"/>
        <v>0</v>
      </c>
      <c r="AH561" s="49">
        <f ca="1"/>
        <v>0</v>
      </c>
      <c r="AI561" s="49">
        <f ca="1"/>
        <v>0</v>
      </c>
      <c r="AJ561" s="49">
        <f ca="1"/>
        <v>0</v>
      </c>
      <c r="AK561" s="49">
        <f ca="1"/>
        <v>0</v>
      </c>
      <c r="AL561" s="49">
        <f ca="1"/>
        <v>0</v>
      </c>
      <c r="AM561" s="49">
        <f ca="1"/>
        <v>0</v>
      </c>
      <c r="AN561" s="49">
        <f ca="1"/>
        <v>0</v>
      </c>
      <c r="AO561" s="49">
        <f ca="1"/>
        <v>0</v>
      </c>
      <c r="AP561" s="49">
        <f ca="1"/>
        <v>0</v>
      </c>
      <c r="AQ561" s="49">
        <f ca="1"/>
        <v>0</v>
      </c>
      <c r="AR561" s="49">
        <f ca="1"/>
        <v>0</v>
      </c>
      <c r="AS561" s="49">
        <f ca="1"/>
        <v>0</v>
      </c>
      <c r="AT561" s="49">
        <f ca="1"/>
        <v>0</v>
      </c>
      <c r="AU561" s="49">
        <f ca="1"/>
        <v>0</v>
      </c>
      <c r="AV561" s="49">
        <f ca="1"/>
        <v>0</v>
      </c>
      <c r="AW561" s="49">
        <f ca="1"/>
        <v>0</v>
      </c>
      <c r="AX561" s="49">
        <f ca="1"/>
        <v>0</v>
      </c>
      <c r="AY561" s="49">
        <f ca="1"/>
        <v>0</v>
      </c>
      <c r="AZ561" s="49">
        <f ca="1"/>
        <v>0</v>
      </c>
      <c r="BA561" s="49">
        <f ca="1"/>
        <v>0</v>
      </c>
      <c r="BB561" s="49">
        <f ca="1"/>
        <v>0</v>
      </c>
      <c r="BC561" s="49">
        <f ca="1"/>
        <v>0</v>
      </c>
      <c r="BD561" s="49">
        <f ca="1"/>
        <v>0</v>
      </c>
      <c r="BE561" s="49">
        <f ca="1"/>
        <v>0</v>
      </c>
      <c r="BF561" s="49">
        <f ca="1"/>
        <v>0</v>
      </c>
      <c r="BG561" s="49">
        <f ca="1"/>
        <v>0</v>
      </c>
      <c r="BH561" s="49">
        <f ca="1"/>
        <v>0</v>
      </c>
      <c r="BI561" s="49">
        <f ca="1"/>
        <v>0</v>
      </c>
      <c r="BJ561" s="49">
        <f ca="1"/>
        <v>0</v>
      </c>
      <c r="BK561" s="49">
        <f ca="1"/>
        <v>0</v>
      </c>
      <c r="BL561" s="49">
        <f ca="1"/>
        <v>0</v>
      </c>
      <c r="BM561" s="49">
        <f ca="1"/>
        <v>0</v>
      </c>
      <c r="BN561" s="49">
        <f ca="1"/>
        <v>0</v>
      </c>
      <c r="BO561" s="49">
        <f ca="1"/>
        <v>0</v>
      </c>
      <c r="BP561" s="49">
        <f ca="1"/>
        <v>0</v>
      </c>
      <c r="BQ561" s="49">
        <f ca="1"/>
        <v>0</v>
      </c>
      <c r="BR561" s="49">
        <f ca="1"/>
        <v>0</v>
      </c>
      <c r="BS561" s="49">
        <f ca="1"/>
        <v>0</v>
      </c>
    </row>
    <row r="562" spans="3:71" outlineLevel="1" x14ac:dyDescent="0.2">
      <c r="D562" t="s">
        <v>85</v>
      </c>
      <c r="H562" s="7" t="s">
        <v>890</v>
      </c>
      <c r="I562" s="30">
        <f t="shared" ca="1" si="197"/>
        <v>0</v>
      </c>
      <c r="J562" s="26" t="s">
        <v>148</v>
      </c>
      <c r="L562" s="49" cm="1">
        <f t="array" aca="1" ref="L562:BS562" ca="1">Marine!CA_excess_CR_gov</f>
        <v>0</v>
      </c>
      <c r="M562" s="49">
        <f ca="1"/>
        <v>0</v>
      </c>
      <c r="N562" s="49">
        <f ca="1"/>
        <v>0</v>
      </c>
      <c r="O562" s="49">
        <f ca="1"/>
        <v>0</v>
      </c>
      <c r="P562" s="49">
        <f ca="1"/>
        <v>0</v>
      </c>
      <c r="Q562" s="49">
        <f ca="1"/>
        <v>0</v>
      </c>
      <c r="R562" s="49">
        <f ca="1"/>
        <v>0</v>
      </c>
      <c r="S562" s="49">
        <f ca="1"/>
        <v>0</v>
      </c>
      <c r="T562" s="49">
        <f ca="1"/>
        <v>0</v>
      </c>
      <c r="U562" s="49">
        <f ca="1"/>
        <v>0</v>
      </c>
      <c r="V562" s="49">
        <f ca="1"/>
        <v>0</v>
      </c>
      <c r="W562" s="49">
        <f ca="1"/>
        <v>0</v>
      </c>
      <c r="X562" s="49">
        <f ca="1"/>
        <v>0</v>
      </c>
      <c r="Y562" s="49">
        <f ca="1"/>
        <v>0</v>
      </c>
      <c r="Z562" s="49">
        <f ca="1"/>
        <v>0</v>
      </c>
      <c r="AA562" s="49">
        <f ca="1"/>
        <v>0</v>
      </c>
      <c r="AB562" s="49">
        <f ca="1"/>
        <v>0</v>
      </c>
      <c r="AC562" s="49">
        <f ca="1"/>
        <v>0</v>
      </c>
      <c r="AD562" s="49">
        <f ca="1"/>
        <v>0</v>
      </c>
      <c r="AE562" s="49">
        <f ca="1"/>
        <v>0</v>
      </c>
      <c r="AF562" s="49">
        <f ca="1"/>
        <v>0</v>
      </c>
      <c r="AG562" s="49">
        <f ca="1"/>
        <v>0</v>
      </c>
      <c r="AH562" s="49">
        <f ca="1"/>
        <v>0</v>
      </c>
      <c r="AI562" s="49">
        <f ca="1"/>
        <v>0</v>
      </c>
      <c r="AJ562" s="49">
        <f ca="1"/>
        <v>0</v>
      </c>
      <c r="AK562" s="49">
        <f ca="1"/>
        <v>0</v>
      </c>
      <c r="AL562" s="49">
        <f ca="1"/>
        <v>0</v>
      </c>
      <c r="AM562" s="49">
        <f ca="1"/>
        <v>0</v>
      </c>
      <c r="AN562" s="49">
        <f ca="1"/>
        <v>0</v>
      </c>
      <c r="AO562" s="49">
        <f ca="1"/>
        <v>0</v>
      </c>
      <c r="AP562" s="49">
        <f ca="1"/>
        <v>0</v>
      </c>
      <c r="AQ562" s="49">
        <f ca="1"/>
        <v>0</v>
      </c>
      <c r="AR562" s="49">
        <f ca="1"/>
        <v>0</v>
      </c>
      <c r="AS562" s="49">
        <f ca="1"/>
        <v>0</v>
      </c>
      <c r="AT562" s="49">
        <f ca="1"/>
        <v>0</v>
      </c>
      <c r="AU562" s="49">
        <f ca="1"/>
        <v>0</v>
      </c>
      <c r="AV562" s="49">
        <f ca="1"/>
        <v>0</v>
      </c>
      <c r="AW562" s="49">
        <f ca="1"/>
        <v>0</v>
      </c>
      <c r="AX562" s="49">
        <f ca="1"/>
        <v>0</v>
      </c>
      <c r="AY562" s="49">
        <f ca="1"/>
        <v>0</v>
      </c>
      <c r="AZ562" s="49">
        <f ca="1"/>
        <v>0</v>
      </c>
      <c r="BA562" s="49">
        <f ca="1"/>
        <v>0</v>
      </c>
      <c r="BB562" s="49">
        <f ca="1"/>
        <v>0</v>
      </c>
      <c r="BC562" s="49">
        <f ca="1"/>
        <v>0</v>
      </c>
      <c r="BD562" s="49">
        <f ca="1"/>
        <v>0</v>
      </c>
      <c r="BE562" s="49">
        <f ca="1"/>
        <v>0</v>
      </c>
      <c r="BF562" s="49">
        <f ca="1"/>
        <v>0</v>
      </c>
      <c r="BG562" s="49">
        <f ca="1"/>
        <v>0</v>
      </c>
      <c r="BH562" s="49">
        <f ca="1"/>
        <v>0</v>
      </c>
      <c r="BI562" s="49">
        <f ca="1"/>
        <v>0</v>
      </c>
      <c r="BJ562" s="49">
        <f ca="1"/>
        <v>0</v>
      </c>
      <c r="BK562" s="49">
        <f ca="1"/>
        <v>0</v>
      </c>
      <c r="BL562" s="49">
        <f ca="1"/>
        <v>0</v>
      </c>
      <c r="BM562" s="49">
        <f ca="1"/>
        <v>0</v>
      </c>
      <c r="BN562" s="49">
        <f ca="1"/>
        <v>0</v>
      </c>
      <c r="BO562" s="49">
        <f ca="1"/>
        <v>0</v>
      </c>
      <c r="BP562" s="49">
        <f ca="1"/>
        <v>0</v>
      </c>
      <c r="BQ562" s="49">
        <f ca="1"/>
        <v>0</v>
      </c>
      <c r="BR562" s="49">
        <f ca="1"/>
        <v>0</v>
      </c>
      <c r="BS562" s="49">
        <f ca="1"/>
        <v>0</v>
      </c>
    </row>
    <row r="563" spans="3:71" outlineLevel="1" x14ac:dyDescent="0.2">
      <c r="D563" t="s">
        <v>294</v>
      </c>
      <c r="H563" s="7" t="s">
        <v>891</v>
      </c>
      <c r="I563" s="30">
        <f t="shared" ca="1" si="197"/>
        <v>0</v>
      </c>
      <c r="J563" s="26" t="s">
        <v>148</v>
      </c>
      <c r="L563" s="49" cm="1">
        <f t="array" aca="1" ref="L563:BS563" ca="1">Marine!CA_Spo_gov</f>
        <v>0</v>
      </c>
      <c r="M563" s="49">
        <f ca="1"/>
        <v>0</v>
      </c>
      <c r="N563" s="49">
        <f ca="1"/>
        <v>0</v>
      </c>
      <c r="O563" s="49">
        <f ca="1"/>
        <v>0</v>
      </c>
      <c r="P563" s="49">
        <f ca="1"/>
        <v>0</v>
      </c>
      <c r="Q563" s="49">
        <f ca="1"/>
        <v>0</v>
      </c>
      <c r="R563" s="49">
        <f ca="1"/>
        <v>0</v>
      </c>
      <c r="S563" s="49">
        <f ca="1"/>
        <v>0</v>
      </c>
      <c r="T563" s="49">
        <f ca="1"/>
        <v>0</v>
      </c>
      <c r="U563" s="49">
        <f ca="1"/>
        <v>0</v>
      </c>
      <c r="V563" s="49">
        <f ca="1"/>
        <v>0</v>
      </c>
      <c r="W563" s="49">
        <f ca="1"/>
        <v>0</v>
      </c>
      <c r="X563" s="49">
        <f ca="1"/>
        <v>0</v>
      </c>
      <c r="Y563" s="49">
        <f ca="1"/>
        <v>0</v>
      </c>
      <c r="Z563" s="49">
        <f ca="1"/>
        <v>0</v>
      </c>
      <c r="AA563" s="49">
        <f ca="1"/>
        <v>0</v>
      </c>
      <c r="AB563" s="49">
        <f ca="1"/>
        <v>0</v>
      </c>
      <c r="AC563" s="49">
        <f ca="1"/>
        <v>0</v>
      </c>
      <c r="AD563" s="49">
        <f ca="1"/>
        <v>0</v>
      </c>
      <c r="AE563" s="49">
        <f ca="1"/>
        <v>0</v>
      </c>
      <c r="AF563" s="49">
        <f ca="1"/>
        <v>0</v>
      </c>
      <c r="AG563" s="49">
        <f ca="1"/>
        <v>0</v>
      </c>
      <c r="AH563" s="49">
        <f ca="1"/>
        <v>0</v>
      </c>
      <c r="AI563" s="49">
        <f ca="1"/>
        <v>0</v>
      </c>
      <c r="AJ563" s="49">
        <f ca="1"/>
        <v>0</v>
      </c>
      <c r="AK563" s="49">
        <f ca="1"/>
        <v>0</v>
      </c>
      <c r="AL563" s="49">
        <f ca="1"/>
        <v>0</v>
      </c>
      <c r="AM563" s="49">
        <f ca="1"/>
        <v>0</v>
      </c>
      <c r="AN563" s="49">
        <f ca="1"/>
        <v>0</v>
      </c>
      <c r="AO563" s="49">
        <f ca="1"/>
        <v>0</v>
      </c>
      <c r="AP563" s="49">
        <f ca="1"/>
        <v>0</v>
      </c>
      <c r="AQ563" s="49">
        <f ca="1"/>
        <v>0</v>
      </c>
      <c r="AR563" s="49">
        <f ca="1"/>
        <v>0</v>
      </c>
      <c r="AS563" s="49">
        <f ca="1"/>
        <v>0</v>
      </c>
      <c r="AT563" s="49">
        <f ca="1"/>
        <v>0</v>
      </c>
      <c r="AU563" s="49">
        <f ca="1"/>
        <v>0</v>
      </c>
      <c r="AV563" s="49">
        <f ca="1"/>
        <v>0</v>
      </c>
      <c r="AW563" s="49">
        <f ca="1"/>
        <v>0</v>
      </c>
      <c r="AX563" s="49">
        <f ca="1"/>
        <v>0</v>
      </c>
      <c r="AY563" s="49">
        <f ca="1"/>
        <v>0</v>
      </c>
      <c r="AZ563" s="49">
        <f ca="1"/>
        <v>0</v>
      </c>
      <c r="BA563" s="49">
        <f ca="1"/>
        <v>0</v>
      </c>
      <c r="BB563" s="49">
        <f ca="1"/>
        <v>0</v>
      </c>
      <c r="BC563" s="49">
        <f ca="1"/>
        <v>0</v>
      </c>
      <c r="BD563" s="49">
        <f ca="1"/>
        <v>0</v>
      </c>
      <c r="BE563" s="49">
        <f ca="1"/>
        <v>0</v>
      </c>
      <c r="BF563" s="49">
        <f ca="1"/>
        <v>0</v>
      </c>
      <c r="BG563" s="49">
        <f ca="1"/>
        <v>0</v>
      </c>
      <c r="BH563" s="49">
        <f ca="1"/>
        <v>0</v>
      </c>
      <c r="BI563" s="49">
        <f ca="1"/>
        <v>0</v>
      </c>
      <c r="BJ563" s="49">
        <f ca="1"/>
        <v>0</v>
      </c>
      <c r="BK563" s="49">
        <f ca="1"/>
        <v>0</v>
      </c>
      <c r="BL563" s="49">
        <f ca="1"/>
        <v>0</v>
      </c>
      <c r="BM563" s="49">
        <f ca="1"/>
        <v>0</v>
      </c>
      <c r="BN563" s="49">
        <f ca="1"/>
        <v>0</v>
      </c>
      <c r="BO563" s="49">
        <f ca="1"/>
        <v>0</v>
      </c>
      <c r="BP563" s="49">
        <f ca="1"/>
        <v>0</v>
      </c>
      <c r="BQ563" s="49">
        <f ca="1"/>
        <v>0</v>
      </c>
      <c r="BR563" s="49">
        <f ca="1"/>
        <v>0</v>
      </c>
      <c r="BS563" s="49">
        <f ca="1"/>
        <v>0</v>
      </c>
    </row>
    <row r="564" spans="3:71" outlineLevel="1" x14ac:dyDescent="0.2">
      <c r="D564" t="s">
        <v>226</v>
      </c>
      <c r="H564" s="7" t="s">
        <v>892</v>
      </c>
      <c r="I564" s="30">
        <f t="shared" ca="1" si="197"/>
        <v>595.64342944352222</v>
      </c>
      <c r="J564" s="26" t="s">
        <v>148</v>
      </c>
      <c r="L564" s="49" cm="1">
        <f t="array" aca="1" ref="L564:BS564" ca="1">Marine!CA_PS_gov</f>
        <v>0</v>
      </c>
      <c r="M564" s="49">
        <f ca="1"/>
        <v>0.71191454036603896</v>
      </c>
      <c r="N564" s="49">
        <f ca="1"/>
        <v>17.154211387807148</v>
      </c>
      <c r="O564" s="49">
        <f ca="1"/>
        <v>26.740427941443507</v>
      </c>
      <c r="P564" s="49">
        <f ca="1"/>
        <v>38.995794382913779</v>
      </c>
      <c r="Q564" s="49">
        <f ca="1"/>
        <v>64.845483300731303</v>
      </c>
      <c r="R564" s="49">
        <f ca="1"/>
        <v>37.060675826120551</v>
      </c>
      <c r="S564" s="49">
        <f ca="1"/>
        <v>55.686745641998286</v>
      </c>
      <c r="T564" s="49">
        <f ca="1"/>
        <v>70.804796687885585</v>
      </c>
      <c r="U564" s="49">
        <f ca="1"/>
        <v>70.715924961861631</v>
      </c>
      <c r="V564" s="49">
        <f ca="1"/>
        <v>68.466702468160307</v>
      </c>
      <c r="W564" s="49">
        <f ca="1"/>
        <v>73.445279904889858</v>
      </c>
      <c r="X564" s="49">
        <f ca="1"/>
        <v>71.015472399344318</v>
      </c>
      <c r="Y564" s="49">
        <f ca="1"/>
        <v>0</v>
      </c>
      <c r="Z564" s="49">
        <f ca="1"/>
        <v>0</v>
      </c>
      <c r="AA564" s="49">
        <f ca="1"/>
        <v>0</v>
      </c>
      <c r="AB564" s="49">
        <f ca="1"/>
        <v>0</v>
      </c>
      <c r="AC564" s="49">
        <f ca="1"/>
        <v>0</v>
      </c>
      <c r="AD564" s="49">
        <f ca="1"/>
        <v>0</v>
      </c>
      <c r="AE564" s="49">
        <f ca="1"/>
        <v>0</v>
      </c>
      <c r="AF564" s="49">
        <f ca="1"/>
        <v>0</v>
      </c>
      <c r="AG564" s="49">
        <f ca="1"/>
        <v>0</v>
      </c>
      <c r="AH564" s="49">
        <f ca="1"/>
        <v>0</v>
      </c>
      <c r="AI564" s="49">
        <f ca="1"/>
        <v>0</v>
      </c>
      <c r="AJ564" s="49">
        <f ca="1"/>
        <v>0</v>
      </c>
      <c r="AK564" s="49">
        <f ca="1"/>
        <v>0</v>
      </c>
      <c r="AL564" s="49">
        <f ca="1"/>
        <v>0</v>
      </c>
      <c r="AM564" s="49">
        <f ca="1"/>
        <v>0</v>
      </c>
      <c r="AN564" s="49">
        <f ca="1"/>
        <v>0</v>
      </c>
      <c r="AO564" s="49">
        <f ca="1"/>
        <v>0</v>
      </c>
      <c r="AP564" s="49">
        <f ca="1"/>
        <v>0</v>
      </c>
      <c r="AQ564" s="49">
        <f ca="1"/>
        <v>0</v>
      </c>
      <c r="AR564" s="49">
        <f ca="1"/>
        <v>0</v>
      </c>
      <c r="AS564" s="49">
        <f ca="1"/>
        <v>0</v>
      </c>
      <c r="AT564" s="49">
        <f ca="1"/>
        <v>0</v>
      </c>
      <c r="AU564" s="49">
        <f ca="1"/>
        <v>0</v>
      </c>
      <c r="AV564" s="49">
        <f ca="1"/>
        <v>0</v>
      </c>
      <c r="AW564" s="49">
        <f ca="1"/>
        <v>0</v>
      </c>
      <c r="AX564" s="49">
        <f ca="1"/>
        <v>0</v>
      </c>
      <c r="AY564" s="49">
        <f ca="1"/>
        <v>0</v>
      </c>
      <c r="AZ564" s="49">
        <f ca="1"/>
        <v>0</v>
      </c>
      <c r="BA564" s="49">
        <f ca="1"/>
        <v>0</v>
      </c>
      <c r="BB564" s="49">
        <f ca="1"/>
        <v>0</v>
      </c>
      <c r="BC564" s="49">
        <f ca="1"/>
        <v>0</v>
      </c>
      <c r="BD564" s="49">
        <f ca="1"/>
        <v>0</v>
      </c>
      <c r="BE564" s="49">
        <f ca="1"/>
        <v>0</v>
      </c>
      <c r="BF564" s="49">
        <f ca="1"/>
        <v>0</v>
      </c>
      <c r="BG564" s="49">
        <f ca="1"/>
        <v>0</v>
      </c>
      <c r="BH564" s="49">
        <f ca="1"/>
        <v>0</v>
      </c>
      <c r="BI564" s="49">
        <f ca="1"/>
        <v>0</v>
      </c>
      <c r="BJ564" s="49">
        <f ca="1"/>
        <v>0</v>
      </c>
      <c r="BK564" s="49">
        <f ca="1"/>
        <v>0</v>
      </c>
      <c r="BL564" s="49">
        <f ca="1"/>
        <v>0</v>
      </c>
      <c r="BM564" s="49">
        <f ca="1"/>
        <v>0</v>
      </c>
      <c r="BN564" s="49">
        <f ca="1"/>
        <v>0</v>
      </c>
      <c r="BO564" s="49">
        <f ca="1"/>
        <v>0</v>
      </c>
      <c r="BP564" s="49">
        <f ca="1"/>
        <v>0</v>
      </c>
      <c r="BQ564" s="49">
        <f ca="1"/>
        <v>0</v>
      </c>
      <c r="BR564" s="49">
        <f ca="1"/>
        <v>0</v>
      </c>
      <c r="BS564" s="49">
        <f ca="1"/>
        <v>0</v>
      </c>
    </row>
    <row r="565" spans="3:71" outlineLevel="1" x14ac:dyDescent="0.2">
      <c r="D565" t="s">
        <v>295</v>
      </c>
      <c r="I565" s="30">
        <f t="shared" si="197"/>
        <v>0</v>
      </c>
      <c r="J565" s="26" t="s">
        <v>148</v>
      </c>
      <c r="L565" s="49">
        <v>0</v>
      </c>
      <c r="M565" s="49">
        <v>0</v>
      </c>
      <c r="N565" s="49">
        <v>0</v>
      </c>
      <c r="O565" s="49">
        <v>0</v>
      </c>
      <c r="P565" s="49">
        <v>0</v>
      </c>
      <c r="Q565" s="49">
        <v>0</v>
      </c>
      <c r="R565" s="49">
        <v>0</v>
      </c>
      <c r="S565" s="49">
        <v>0</v>
      </c>
      <c r="T565" s="49">
        <v>0</v>
      </c>
      <c r="U565" s="49">
        <v>0</v>
      </c>
      <c r="V565" s="49">
        <v>0</v>
      </c>
      <c r="W565" s="49">
        <v>0</v>
      </c>
      <c r="X565" s="49">
        <v>0</v>
      </c>
      <c r="Y565" s="49">
        <v>0</v>
      </c>
      <c r="Z565" s="49">
        <v>0</v>
      </c>
      <c r="AA565" s="49">
        <v>0</v>
      </c>
      <c r="AB565" s="49">
        <v>0</v>
      </c>
      <c r="AC565" s="49">
        <v>0</v>
      </c>
      <c r="AD565" s="49">
        <v>0</v>
      </c>
      <c r="AE565" s="49">
        <v>0</v>
      </c>
      <c r="AF565" s="49">
        <v>0</v>
      </c>
      <c r="AG565" s="49">
        <v>0</v>
      </c>
      <c r="AH565" s="49">
        <v>0</v>
      </c>
      <c r="AI565" s="49">
        <v>0</v>
      </c>
      <c r="AJ565" s="49">
        <v>0</v>
      </c>
      <c r="AK565" s="49">
        <v>0</v>
      </c>
      <c r="AL565" s="49">
        <v>0</v>
      </c>
      <c r="AM565" s="49">
        <v>0</v>
      </c>
      <c r="AN565" s="49">
        <v>0</v>
      </c>
      <c r="AO565" s="49">
        <v>0</v>
      </c>
      <c r="AP565" s="49">
        <v>0</v>
      </c>
      <c r="AQ565" s="49">
        <v>0</v>
      </c>
      <c r="AR565" s="49">
        <v>0</v>
      </c>
      <c r="AS565" s="49">
        <v>0</v>
      </c>
      <c r="AT565" s="49">
        <v>0</v>
      </c>
      <c r="AU565" s="49">
        <v>0</v>
      </c>
      <c r="AV565" s="49">
        <v>0</v>
      </c>
      <c r="AW565" s="49">
        <v>0</v>
      </c>
      <c r="AX565" s="49">
        <v>0</v>
      </c>
      <c r="AY565" s="49">
        <v>0</v>
      </c>
      <c r="AZ565" s="49">
        <v>0</v>
      </c>
      <c r="BA565" s="49">
        <v>0</v>
      </c>
      <c r="BB565" s="49">
        <v>0</v>
      </c>
      <c r="BC565" s="49">
        <v>0</v>
      </c>
      <c r="BD565" s="49">
        <v>0</v>
      </c>
      <c r="BE565" s="49">
        <v>0</v>
      </c>
      <c r="BF565" s="49">
        <v>0</v>
      </c>
      <c r="BG565" s="49">
        <v>0</v>
      </c>
      <c r="BH565" s="49">
        <v>0</v>
      </c>
      <c r="BI565" s="49">
        <v>0</v>
      </c>
      <c r="BJ565" s="49">
        <v>0</v>
      </c>
      <c r="BK565" s="49">
        <v>0</v>
      </c>
      <c r="BL565" s="49">
        <v>0</v>
      </c>
      <c r="BM565" s="49">
        <v>0</v>
      </c>
      <c r="BN565" s="49">
        <v>0</v>
      </c>
      <c r="BO565" s="49">
        <v>0</v>
      </c>
      <c r="BP565" s="49">
        <v>0</v>
      </c>
      <c r="BQ565" s="49">
        <v>0</v>
      </c>
      <c r="BR565" s="49">
        <v>0</v>
      </c>
      <c r="BS565" s="49">
        <v>0</v>
      </c>
    </row>
    <row r="566" spans="3:71" outlineLevel="1" x14ac:dyDescent="0.2">
      <c r="D566" t="s">
        <v>274</v>
      </c>
      <c r="I566" s="30">
        <f t="shared" si="197"/>
        <v>0</v>
      </c>
      <c r="J566" s="26" t="s">
        <v>148</v>
      </c>
      <c r="L566" s="49">
        <v>0</v>
      </c>
      <c r="M566" s="49">
        <v>0</v>
      </c>
      <c r="N566" s="49">
        <v>0</v>
      </c>
      <c r="O566" s="49">
        <v>0</v>
      </c>
      <c r="P566" s="49">
        <v>0</v>
      </c>
      <c r="Q566" s="49">
        <v>0</v>
      </c>
      <c r="R566" s="49">
        <v>0</v>
      </c>
      <c r="S566" s="49">
        <v>0</v>
      </c>
      <c r="T566" s="49">
        <v>0</v>
      </c>
      <c r="U566" s="49">
        <v>0</v>
      </c>
      <c r="V566" s="49">
        <v>0</v>
      </c>
      <c r="W566" s="49">
        <v>0</v>
      </c>
      <c r="X566" s="49">
        <v>0</v>
      </c>
      <c r="Y566" s="49">
        <v>0</v>
      </c>
      <c r="Z566" s="49">
        <v>0</v>
      </c>
      <c r="AA566" s="49">
        <v>0</v>
      </c>
      <c r="AB566" s="49">
        <v>0</v>
      </c>
      <c r="AC566" s="49">
        <v>0</v>
      </c>
      <c r="AD566" s="49">
        <v>0</v>
      </c>
      <c r="AE566" s="49">
        <v>0</v>
      </c>
      <c r="AF566" s="49">
        <v>0</v>
      </c>
      <c r="AG566" s="49">
        <v>0</v>
      </c>
      <c r="AH566" s="49">
        <v>0</v>
      </c>
      <c r="AI566" s="49">
        <v>0</v>
      </c>
      <c r="AJ566" s="49">
        <v>0</v>
      </c>
      <c r="AK566" s="49">
        <v>0</v>
      </c>
      <c r="AL566" s="49">
        <v>0</v>
      </c>
      <c r="AM566" s="49">
        <v>0</v>
      </c>
      <c r="AN566" s="49">
        <v>0</v>
      </c>
      <c r="AO566" s="49">
        <v>0</v>
      </c>
      <c r="AP566" s="49">
        <v>0</v>
      </c>
      <c r="AQ566" s="49">
        <v>0</v>
      </c>
      <c r="AR566" s="49">
        <v>0</v>
      </c>
      <c r="AS566" s="49">
        <v>0</v>
      </c>
      <c r="AT566" s="49">
        <v>0</v>
      </c>
      <c r="AU566" s="49">
        <v>0</v>
      </c>
      <c r="AV566" s="49">
        <v>0</v>
      </c>
      <c r="AW566" s="49">
        <v>0</v>
      </c>
      <c r="AX566" s="49">
        <v>0</v>
      </c>
      <c r="AY566" s="49">
        <v>0</v>
      </c>
      <c r="AZ566" s="49">
        <v>0</v>
      </c>
      <c r="BA566" s="49">
        <v>0</v>
      </c>
      <c r="BB566" s="49">
        <v>0</v>
      </c>
      <c r="BC566" s="49">
        <v>0</v>
      </c>
      <c r="BD566" s="49">
        <v>0</v>
      </c>
      <c r="BE566" s="49">
        <v>0</v>
      </c>
      <c r="BF566" s="49">
        <v>0</v>
      </c>
      <c r="BG566" s="49">
        <v>0</v>
      </c>
      <c r="BH566" s="49">
        <v>0</v>
      </c>
      <c r="BI566" s="49">
        <v>0</v>
      </c>
      <c r="BJ566" s="49">
        <v>0</v>
      </c>
      <c r="BK566" s="49">
        <v>0</v>
      </c>
      <c r="BL566" s="49">
        <v>0</v>
      </c>
      <c r="BM566" s="49">
        <v>0</v>
      </c>
      <c r="BN566" s="49">
        <v>0</v>
      </c>
      <c r="BO566" s="49">
        <v>0</v>
      </c>
      <c r="BP566" s="49">
        <v>0</v>
      </c>
      <c r="BQ566" s="49">
        <v>0</v>
      </c>
      <c r="BR566" s="49">
        <v>0</v>
      </c>
      <c r="BS566" s="49">
        <v>0</v>
      </c>
    </row>
    <row r="567" spans="3:71" outlineLevel="1" x14ac:dyDescent="0.2">
      <c r="D567" t="s">
        <v>296</v>
      </c>
      <c r="I567" s="30">
        <f t="shared" si="197"/>
        <v>0</v>
      </c>
      <c r="J567" s="26" t="s">
        <v>148</v>
      </c>
      <c r="L567" s="49">
        <v>0</v>
      </c>
      <c r="M567" s="49">
        <v>0</v>
      </c>
      <c r="N567" s="49">
        <v>0</v>
      </c>
      <c r="O567" s="49">
        <v>0</v>
      </c>
      <c r="P567" s="49">
        <v>0</v>
      </c>
      <c r="Q567" s="49">
        <v>0</v>
      </c>
      <c r="R567" s="49">
        <v>0</v>
      </c>
      <c r="S567" s="49">
        <v>0</v>
      </c>
      <c r="T567" s="49">
        <v>0</v>
      </c>
      <c r="U567" s="49">
        <v>0</v>
      </c>
      <c r="V567" s="49">
        <v>0</v>
      </c>
      <c r="W567" s="49">
        <v>0</v>
      </c>
      <c r="X567" s="49">
        <v>0</v>
      </c>
      <c r="Y567" s="49">
        <v>0</v>
      </c>
      <c r="Z567" s="49">
        <v>0</v>
      </c>
      <c r="AA567" s="49">
        <v>0</v>
      </c>
      <c r="AB567" s="49">
        <v>0</v>
      </c>
      <c r="AC567" s="49">
        <v>0</v>
      </c>
      <c r="AD567" s="49">
        <v>0</v>
      </c>
      <c r="AE567" s="49">
        <v>0</v>
      </c>
      <c r="AF567" s="49">
        <v>0</v>
      </c>
      <c r="AG567" s="49">
        <v>0</v>
      </c>
      <c r="AH567" s="49">
        <v>0</v>
      </c>
      <c r="AI567" s="49">
        <v>0</v>
      </c>
      <c r="AJ567" s="49">
        <v>0</v>
      </c>
      <c r="AK567" s="49">
        <v>0</v>
      </c>
      <c r="AL567" s="49">
        <v>0</v>
      </c>
      <c r="AM567" s="49">
        <v>0</v>
      </c>
      <c r="AN567" s="49">
        <v>0</v>
      </c>
      <c r="AO567" s="49">
        <v>0</v>
      </c>
      <c r="AP567" s="49">
        <v>0</v>
      </c>
      <c r="AQ567" s="49">
        <v>0</v>
      </c>
      <c r="AR567" s="49">
        <v>0</v>
      </c>
      <c r="AS567" s="49">
        <v>0</v>
      </c>
      <c r="AT567" s="49">
        <v>0</v>
      </c>
      <c r="AU567" s="49">
        <v>0</v>
      </c>
      <c r="AV567" s="49">
        <v>0</v>
      </c>
      <c r="AW567" s="49">
        <v>0</v>
      </c>
      <c r="AX567" s="49">
        <v>0</v>
      </c>
      <c r="AY567" s="49">
        <v>0</v>
      </c>
      <c r="AZ567" s="49">
        <v>0</v>
      </c>
      <c r="BA567" s="49">
        <v>0</v>
      </c>
      <c r="BB567" s="49">
        <v>0</v>
      </c>
      <c r="BC567" s="49">
        <v>0</v>
      </c>
      <c r="BD567" s="49">
        <v>0</v>
      </c>
      <c r="BE567" s="49">
        <v>0</v>
      </c>
      <c r="BF567" s="49">
        <v>0</v>
      </c>
      <c r="BG567" s="49">
        <v>0</v>
      </c>
      <c r="BH567" s="49">
        <v>0</v>
      </c>
      <c r="BI567" s="49">
        <v>0</v>
      </c>
      <c r="BJ567" s="49">
        <v>0</v>
      </c>
      <c r="BK567" s="49">
        <v>0</v>
      </c>
      <c r="BL567" s="49">
        <v>0</v>
      </c>
      <c r="BM567" s="49">
        <v>0</v>
      </c>
      <c r="BN567" s="49">
        <v>0</v>
      </c>
      <c r="BO567" s="49">
        <v>0</v>
      </c>
      <c r="BP567" s="49">
        <v>0</v>
      </c>
      <c r="BQ567" s="49">
        <v>0</v>
      </c>
      <c r="BR567" s="49">
        <v>0</v>
      </c>
      <c r="BS567" s="49">
        <v>0</v>
      </c>
    </row>
    <row r="568" spans="3:71" outlineLevel="1" x14ac:dyDescent="0.2">
      <c r="C568" s="11" t="s">
        <v>297</v>
      </c>
      <c r="J568" s="26"/>
      <c r="L568" s="55"/>
      <c r="M568" s="55"/>
      <c r="N568" s="55"/>
      <c r="O568" s="55"/>
      <c r="P568" s="55"/>
      <c r="Q568" s="55"/>
      <c r="R568" s="55"/>
      <c r="S568" s="55"/>
      <c r="T568" s="55"/>
      <c r="U568" s="55"/>
      <c r="V568" s="55"/>
      <c r="W568" s="55"/>
      <c r="X568" s="55"/>
      <c r="Y568" s="55"/>
      <c r="Z568" s="55"/>
      <c r="AA568" s="55"/>
      <c r="AB568" s="55"/>
      <c r="AC568" s="55"/>
      <c r="AD568" s="55"/>
      <c r="AE568" s="55"/>
      <c r="AF568" s="55"/>
      <c r="AG568" s="55"/>
      <c r="AH568" s="55"/>
      <c r="AI568" s="55"/>
      <c r="AJ568" s="55"/>
      <c r="AK568" s="55"/>
      <c r="AL568" s="55"/>
      <c r="AM568" s="55"/>
      <c r="AN568" s="55"/>
      <c r="AO568" s="55"/>
      <c r="AP568" s="55"/>
      <c r="AQ568" s="55"/>
      <c r="AR568" s="55"/>
      <c r="AS568" s="55"/>
      <c r="AT568" s="55"/>
      <c r="AU568" s="55"/>
      <c r="AV568" s="55"/>
      <c r="AW568" s="55"/>
      <c r="AX568" s="55"/>
      <c r="AY568" s="55"/>
      <c r="AZ568" s="55"/>
      <c r="BA568" s="55"/>
      <c r="BB568" s="55"/>
      <c r="BC568" s="55"/>
      <c r="BD568" s="55"/>
      <c r="BE568" s="55"/>
      <c r="BF568" s="55"/>
      <c r="BG568" s="55"/>
      <c r="BH568" s="55"/>
      <c r="BI568" s="55"/>
      <c r="BJ568" s="55"/>
      <c r="BK568" s="55"/>
      <c r="BL568" s="55"/>
      <c r="BM568" s="55"/>
      <c r="BN568" s="55"/>
      <c r="BO568" s="55"/>
      <c r="BP568" s="55"/>
      <c r="BQ568" s="55"/>
      <c r="BR568" s="55"/>
      <c r="BS568" s="55"/>
    </row>
    <row r="569" spans="3:71" outlineLevel="1" x14ac:dyDescent="0.2">
      <c r="D569" t="s">
        <v>298</v>
      </c>
      <c r="I569" s="30">
        <f t="shared" si="197"/>
        <v>0</v>
      </c>
      <c r="J569" s="26" t="s">
        <v>148</v>
      </c>
      <c r="L569" s="49">
        <v>0</v>
      </c>
      <c r="M569" s="49">
        <v>0</v>
      </c>
      <c r="N569" s="49">
        <v>0</v>
      </c>
      <c r="O569" s="49">
        <v>0</v>
      </c>
      <c r="P569" s="49">
        <v>0</v>
      </c>
      <c r="Q569" s="49">
        <v>0</v>
      </c>
      <c r="R569" s="49">
        <v>0</v>
      </c>
      <c r="S569" s="49">
        <v>0</v>
      </c>
      <c r="T569" s="49">
        <v>0</v>
      </c>
      <c r="U569" s="49">
        <v>0</v>
      </c>
      <c r="V569" s="49">
        <v>0</v>
      </c>
      <c r="W569" s="49">
        <v>0</v>
      </c>
      <c r="X569" s="49">
        <v>0</v>
      </c>
      <c r="Y569" s="49">
        <v>0</v>
      </c>
      <c r="Z569" s="49">
        <v>0</v>
      </c>
      <c r="AA569" s="49">
        <v>0</v>
      </c>
      <c r="AB569" s="49">
        <v>0</v>
      </c>
      <c r="AC569" s="49">
        <v>0</v>
      </c>
      <c r="AD569" s="49">
        <v>0</v>
      </c>
      <c r="AE569" s="49">
        <v>0</v>
      </c>
      <c r="AF569" s="49">
        <v>0</v>
      </c>
      <c r="AG569" s="49">
        <v>0</v>
      </c>
      <c r="AH569" s="49">
        <v>0</v>
      </c>
      <c r="AI569" s="49">
        <v>0</v>
      </c>
      <c r="AJ569" s="49">
        <v>0</v>
      </c>
      <c r="AK569" s="49">
        <v>0</v>
      </c>
      <c r="AL569" s="49">
        <v>0</v>
      </c>
      <c r="AM569" s="49">
        <v>0</v>
      </c>
      <c r="AN569" s="49">
        <v>0</v>
      </c>
      <c r="AO569" s="49">
        <v>0</v>
      </c>
      <c r="AP569" s="49">
        <v>0</v>
      </c>
      <c r="AQ569" s="49">
        <v>0</v>
      </c>
      <c r="AR569" s="49">
        <v>0</v>
      </c>
      <c r="AS569" s="49">
        <v>0</v>
      </c>
      <c r="AT569" s="49">
        <v>0</v>
      </c>
      <c r="AU569" s="49">
        <v>0</v>
      </c>
      <c r="AV569" s="49">
        <v>0</v>
      </c>
      <c r="AW569" s="49">
        <v>0</v>
      </c>
      <c r="AX569" s="49">
        <v>0</v>
      </c>
      <c r="AY569" s="49">
        <v>0</v>
      </c>
      <c r="AZ569" s="49">
        <v>0</v>
      </c>
      <c r="BA569" s="49">
        <v>0</v>
      </c>
      <c r="BB569" s="49">
        <v>0</v>
      </c>
      <c r="BC569" s="49">
        <v>0</v>
      </c>
      <c r="BD569" s="49">
        <v>0</v>
      </c>
      <c r="BE569" s="49">
        <v>0</v>
      </c>
      <c r="BF569" s="49">
        <v>0</v>
      </c>
      <c r="BG569" s="49">
        <v>0</v>
      </c>
      <c r="BH569" s="49">
        <v>0</v>
      </c>
      <c r="BI569" s="49">
        <v>0</v>
      </c>
      <c r="BJ569" s="49">
        <v>0</v>
      </c>
      <c r="BK569" s="49">
        <v>0</v>
      </c>
      <c r="BL569" s="49">
        <v>0</v>
      </c>
      <c r="BM569" s="49">
        <v>0</v>
      </c>
      <c r="BN569" s="49">
        <v>0</v>
      </c>
      <c r="BO569" s="49">
        <v>0</v>
      </c>
      <c r="BP569" s="49">
        <v>0</v>
      </c>
      <c r="BQ569" s="49">
        <v>0</v>
      </c>
      <c r="BR569" s="49">
        <v>0</v>
      </c>
      <c r="BS569" s="49">
        <v>0</v>
      </c>
    </row>
    <row r="570" spans="3:71" outlineLevel="1" x14ac:dyDescent="0.2">
      <c r="D570" t="s">
        <v>299</v>
      </c>
      <c r="I570" s="30">
        <f t="shared" si="197"/>
        <v>0</v>
      </c>
      <c r="J570" s="26" t="s">
        <v>148</v>
      </c>
      <c r="L570" s="49">
        <v>0</v>
      </c>
      <c r="M570" s="49">
        <v>0</v>
      </c>
      <c r="N570" s="49">
        <v>0</v>
      </c>
      <c r="O570" s="49">
        <v>0</v>
      </c>
      <c r="P570" s="49">
        <v>0</v>
      </c>
      <c r="Q570" s="49">
        <v>0</v>
      </c>
      <c r="R570" s="49">
        <v>0</v>
      </c>
      <c r="S570" s="49">
        <v>0</v>
      </c>
      <c r="T570" s="49">
        <v>0</v>
      </c>
      <c r="U570" s="49">
        <v>0</v>
      </c>
      <c r="V570" s="49">
        <v>0</v>
      </c>
      <c r="W570" s="49">
        <v>0</v>
      </c>
      <c r="X570" s="49">
        <v>0</v>
      </c>
      <c r="Y570" s="49">
        <v>0</v>
      </c>
      <c r="Z570" s="49">
        <v>0</v>
      </c>
      <c r="AA570" s="49">
        <v>0</v>
      </c>
      <c r="AB570" s="49">
        <v>0</v>
      </c>
      <c r="AC570" s="49">
        <v>0</v>
      </c>
      <c r="AD570" s="49">
        <v>0</v>
      </c>
      <c r="AE570" s="49">
        <v>0</v>
      </c>
      <c r="AF570" s="49">
        <v>0</v>
      </c>
      <c r="AG570" s="49">
        <v>0</v>
      </c>
      <c r="AH570" s="49">
        <v>0</v>
      </c>
      <c r="AI570" s="49">
        <v>0</v>
      </c>
      <c r="AJ570" s="49">
        <v>0</v>
      </c>
      <c r="AK570" s="49">
        <v>0</v>
      </c>
      <c r="AL570" s="49">
        <v>0</v>
      </c>
      <c r="AM570" s="49">
        <v>0</v>
      </c>
      <c r="AN570" s="49">
        <v>0</v>
      </c>
      <c r="AO570" s="49">
        <v>0</v>
      </c>
      <c r="AP570" s="49">
        <v>0</v>
      </c>
      <c r="AQ570" s="49">
        <v>0</v>
      </c>
      <c r="AR570" s="49">
        <v>0</v>
      </c>
      <c r="AS570" s="49">
        <v>0</v>
      </c>
      <c r="AT570" s="49">
        <v>0</v>
      </c>
      <c r="AU570" s="49">
        <v>0</v>
      </c>
      <c r="AV570" s="49">
        <v>0</v>
      </c>
      <c r="AW570" s="49">
        <v>0</v>
      </c>
      <c r="AX570" s="49">
        <v>0</v>
      </c>
      <c r="AY570" s="49">
        <v>0</v>
      </c>
      <c r="AZ570" s="49">
        <v>0</v>
      </c>
      <c r="BA570" s="49">
        <v>0</v>
      </c>
      <c r="BB570" s="49">
        <v>0</v>
      </c>
      <c r="BC570" s="49">
        <v>0</v>
      </c>
      <c r="BD570" s="49">
        <v>0</v>
      </c>
      <c r="BE570" s="49">
        <v>0</v>
      </c>
      <c r="BF570" s="49">
        <v>0</v>
      </c>
      <c r="BG570" s="49">
        <v>0</v>
      </c>
      <c r="BH570" s="49">
        <v>0</v>
      </c>
      <c r="BI570" s="49">
        <v>0</v>
      </c>
      <c r="BJ570" s="49">
        <v>0</v>
      </c>
      <c r="BK570" s="49">
        <v>0</v>
      </c>
      <c r="BL570" s="49">
        <v>0</v>
      </c>
      <c r="BM570" s="49">
        <v>0</v>
      </c>
      <c r="BN570" s="49">
        <v>0</v>
      </c>
      <c r="BO570" s="49">
        <v>0</v>
      </c>
      <c r="BP570" s="49">
        <v>0</v>
      </c>
      <c r="BQ570" s="49">
        <v>0</v>
      </c>
      <c r="BR570" s="49">
        <v>0</v>
      </c>
      <c r="BS570" s="49">
        <v>0</v>
      </c>
    </row>
    <row r="571" spans="3:71" outlineLevel="1" x14ac:dyDescent="0.2">
      <c r="J571" s="26"/>
      <c r="L571" s="55"/>
      <c r="M571" s="55"/>
      <c r="N571" s="55"/>
      <c r="O571" s="55"/>
      <c r="P571" s="55"/>
      <c r="Q571" s="55"/>
      <c r="R571" s="55"/>
      <c r="S571" s="55"/>
      <c r="T571" s="55"/>
      <c r="U571" s="55"/>
      <c r="V571" s="55"/>
      <c r="W571" s="55"/>
      <c r="X571" s="55"/>
      <c r="Y571" s="55"/>
      <c r="Z571" s="55"/>
      <c r="AA571" s="55"/>
      <c r="AB571" s="55"/>
      <c r="AC571" s="55"/>
      <c r="AD571" s="55"/>
      <c r="AE571" s="55"/>
      <c r="AF571" s="55"/>
      <c r="AG571" s="55"/>
      <c r="AH571" s="55"/>
      <c r="AI571" s="55"/>
      <c r="AJ571" s="55"/>
      <c r="AK571" s="55"/>
      <c r="AL571" s="55"/>
      <c r="AM571" s="55"/>
      <c r="AN571" s="55"/>
      <c r="AO571" s="55"/>
      <c r="AP571" s="55"/>
      <c r="AQ571" s="55"/>
      <c r="AR571" s="55"/>
      <c r="AS571" s="55"/>
      <c r="AT571" s="55"/>
      <c r="AU571" s="55"/>
      <c r="AV571" s="55"/>
      <c r="AW571" s="55"/>
      <c r="AX571" s="55"/>
      <c r="AY571" s="55"/>
      <c r="AZ571" s="55"/>
      <c r="BA571" s="55"/>
      <c r="BB571" s="55"/>
      <c r="BC571" s="55"/>
      <c r="BD571" s="55"/>
      <c r="BE571" s="55"/>
      <c r="BF571" s="55"/>
      <c r="BG571" s="55"/>
      <c r="BH571" s="55"/>
      <c r="BI571" s="55"/>
      <c r="BJ571" s="55"/>
      <c r="BK571" s="55"/>
      <c r="BL571" s="55"/>
      <c r="BM571" s="55"/>
      <c r="BN571" s="55"/>
      <c r="BO571" s="55"/>
      <c r="BP571" s="55"/>
      <c r="BQ571" s="55"/>
      <c r="BR571" s="55"/>
      <c r="BS571" s="55"/>
    </row>
    <row r="572" spans="3:71" outlineLevel="1" x14ac:dyDescent="0.2">
      <c r="C572" s="11" t="s">
        <v>300</v>
      </c>
      <c r="F572" s="64" t="b">
        <f ca="1">ROUND(SUM(I572,I488),2)=ROUND(I462,2)</f>
        <v>0</v>
      </c>
      <c r="H572" s="7" t="s">
        <v>893</v>
      </c>
      <c r="I572" s="30">
        <f t="shared" ca="1" si="197"/>
        <v>1449.4123625535399</v>
      </c>
      <c r="J572" s="26" t="s">
        <v>148</v>
      </c>
      <c r="K572" s="7" t="s">
        <v>887</v>
      </c>
      <c r="L572" s="49">
        <f ca="1">SUM(L560:L567)-SUM(L569:L570)</f>
        <v>0</v>
      </c>
      <c r="M572" s="49">
        <f t="shared" ref="M572:BS572" ca="1" si="198">SUM(M560:M567)-SUM(M569:M570)</f>
        <v>1.9775935755378977</v>
      </c>
      <c r="N572" s="49">
        <f t="shared" ca="1" si="198"/>
        <v>36.731473059784733</v>
      </c>
      <c r="O572" s="49">
        <f t="shared" ca="1" si="198"/>
        <v>57.16977803672728</v>
      </c>
      <c r="P572" s="49">
        <f t="shared" ca="1" si="198"/>
        <v>95.780240046907352</v>
      </c>
      <c r="Q572" s="49">
        <f t="shared" ca="1" si="198"/>
        <v>181.04286310071456</v>
      </c>
      <c r="R572" s="49">
        <f t="shared" ca="1" si="198"/>
        <v>135.88908083525772</v>
      </c>
      <c r="S572" s="49">
        <f t="shared" ca="1" si="198"/>
        <v>124.69002701533161</v>
      </c>
      <c r="T572" s="49">
        <f t="shared" ca="1" si="198"/>
        <v>168.30044450966864</v>
      </c>
      <c r="U572" s="49">
        <f t="shared" ca="1" si="198"/>
        <v>168.05751829874873</v>
      </c>
      <c r="V572" s="49">
        <f t="shared" ca="1" si="198"/>
        <v>161.46388515024032</v>
      </c>
      <c r="W572" s="49">
        <f t="shared" ca="1" si="198"/>
        <v>162.3254873638798</v>
      </c>
      <c r="X572" s="49">
        <f t="shared" ca="1" si="198"/>
        <v>155.98397156074134</v>
      </c>
      <c r="Y572" s="49">
        <f t="shared" ca="1" si="198"/>
        <v>0</v>
      </c>
      <c r="Z572" s="49">
        <f t="shared" ca="1" si="198"/>
        <v>0</v>
      </c>
      <c r="AA572" s="49">
        <f t="shared" ca="1" si="198"/>
        <v>0</v>
      </c>
      <c r="AB572" s="49">
        <f t="shared" ca="1" si="198"/>
        <v>0</v>
      </c>
      <c r="AC572" s="49">
        <f t="shared" ca="1" si="198"/>
        <v>0</v>
      </c>
      <c r="AD572" s="49">
        <f t="shared" ca="1" si="198"/>
        <v>0</v>
      </c>
      <c r="AE572" s="49">
        <f t="shared" ca="1" si="198"/>
        <v>0</v>
      </c>
      <c r="AF572" s="49">
        <f t="shared" ca="1" si="198"/>
        <v>0</v>
      </c>
      <c r="AG572" s="49">
        <f t="shared" ca="1" si="198"/>
        <v>0</v>
      </c>
      <c r="AH572" s="49">
        <f t="shared" ca="1" si="198"/>
        <v>0</v>
      </c>
      <c r="AI572" s="49">
        <f t="shared" ca="1" si="198"/>
        <v>0</v>
      </c>
      <c r="AJ572" s="49">
        <f t="shared" ca="1" si="198"/>
        <v>0</v>
      </c>
      <c r="AK572" s="49">
        <f t="shared" ca="1" si="198"/>
        <v>0</v>
      </c>
      <c r="AL572" s="49">
        <f t="shared" ca="1" si="198"/>
        <v>0</v>
      </c>
      <c r="AM572" s="49">
        <f t="shared" ca="1" si="198"/>
        <v>0</v>
      </c>
      <c r="AN572" s="49">
        <f t="shared" ca="1" si="198"/>
        <v>0</v>
      </c>
      <c r="AO572" s="49">
        <f t="shared" ca="1" si="198"/>
        <v>0</v>
      </c>
      <c r="AP572" s="49">
        <f t="shared" ca="1" si="198"/>
        <v>0</v>
      </c>
      <c r="AQ572" s="49">
        <f t="shared" ca="1" si="198"/>
        <v>0</v>
      </c>
      <c r="AR572" s="49">
        <f t="shared" ca="1" si="198"/>
        <v>0</v>
      </c>
      <c r="AS572" s="49">
        <f t="shared" ca="1" si="198"/>
        <v>0</v>
      </c>
      <c r="AT572" s="49">
        <f t="shared" ca="1" si="198"/>
        <v>0</v>
      </c>
      <c r="AU572" s="49">
        <f t="shared" ca="1" si="198"/>
        <v>0</v>
      </c>
      <c r="AV572" s="49">
        <f t="shared" ca="1" si="198"/>
        <v>0</v>
      </c>
      <c r="AW572" s="49">
        <f t="shared" ca="1" si="198"/>
        <v>0</v>
      </c>
      <c r="AX572" s="49">
        <f t="shared" ca="1" si="198"/>
        <v>0</v>
      </c>
      <c r="AY572" s="49">
        <f t="shared" ca="1" si="198"/>
        <v>0</v>
      </c>
      <c r="AZ572" s="49">
        <f t="shared" ca="1" si="198"/>
        <v>0</v>
      </c>
      <c r="BA572" s="49">
        <f t="shared" ca="1" si="198"/>
        <v>0</v>
      </c>
      <c r="BB572" s="49">
        <f t="shared" ca="1" si="198"/>
        <v>0</v>
      </c>
      <c r="BC572" s="49">
        <f t="shared" ca="1" si="198"/>
        <v>0</v>
      </c>
      <c r="BD572" s="49">
        <f t="shared" ca="1" si="198"/>
        <v>0</v>
      </c>
      <c r="BE572" s="49">
        <f t="shared" ca="1" si="198"/>
        <v>0</v>
      </c>
      <c r="BF572" s="49">
        <f t="shared" ca="1" si="198"/>
        <v>0</v>
      </c>
      <c r="BG572" s="49">
        <f t="shared" ca="1" si="198"/>
        <v>0</v>
      </c>
      <c r="BH572" s="49">
        <f t="shared" ca="1" si="198"/>
        <v>0</v>
      </c>
      <c r="BI572" s="49">
        <f t="shared" ca="1" si="198"/>
        <v>0</v>
      </c>
      <c r="BJ572" s="49">
        <f t="shared" ca="1" si="198"/>
        <v>0</v>
      </c>
      <c r="BK572" s="49">
        <f t="shared" ca="1" si="198"/>
        <v>0</v>
      </c>
      <c r="BL572" s="49">
        <f t="shared" ca="1" si="198"/>
        <v>0</v>
      </c>
      <c r="BM572" s="49">
        <f t="shared" ca="1" si="198"/>
        <v>0</v>
      </c>
      <c r="BN572" s="49">
        <f t="shared" ca="1" si="198"/>
        <v>0</v>
      </c>
      <c r="BO572" s="49">
        <f t="shared" ca="1" si="198"/>
        <v>0</v>
      </c>
      <c r="BP572" s="49">
        <f t="shared" ca="1" si="198"/>
        <v>0</v>
      </c>
      <c r="BQ572" s="49">
        <f t="shared" ca="1" si="198"/>
        <v>0</v>
      </c>
      <c r="BR572" s="49">
        <f t="shared" ca="1" si="198"/>
        <v>0</v>
      </c>
      <c r="BS572" s="49">
        <f t="shared" ca="1" si="198"/>
        <v>0</v>
      </c>
    </row>
    <row r="573" spans="3:71" outlineLevel="1" x14ac:dyDescent="0.2">
      <c r="J573" s="26"/>
      <c r="L573" s="55"/>
      <c r="M573" s="55"/>
      <c r="N573" s="55"/>
      <c r="O573" s="55"/>
      <c r="P573" s="55"/>
      <c r="Q573" s="55"/>
      <c r="R573" s="55"/>
      <c r="S573" s="55"/>
      <c r="T573" s="55"/>
      <c r="U573" s="55"/>
      <c r="V573" s="55"/>
      <c r="W573" s="55"/>
      <c r="X573" s="55"/>
      <c r="Y573" s="55"/>
      <c r="Z573" s="55"/>
      <c r="AA573" s="55"/>
      <c r="AB573" s="55"/>
      <c r="AC573" s="55"/>
      <c r="AD573" s="55"/>
      <c r="AE573" s="55"/>
      <c r="AF573" s="55"/>
      <c r="AG573" s="55"/>
      <c r="AH573" s="55"/>
      <c r="AI573" s="55"/>
      <c r="AJ573" s="55"/>
      <c r="AK573" s="55"/>
      <c r="AL573" s="55"/>
      <c r="AM573" s="55"/>
      <c r="AN573" s="55"/>
      <c r="AO573" s="55"/>
      <c r="AP573" s="55"/>
      <c r="AQ573" s="55"/>
      <c r="AR573" s="55"/>
      <c r="AS573" s="55"/>
      <c r="AT573" s="55"/>
      <c r="AU573" s="55"/>
      <c r="AV573" s="55"/>
      <c r="AW573" s="55"/>
      <c r="AX573" s="55"/>
      <c r="AY573" s="55"/>
      <c r="AZ573" s="55"/>
      <c r="BA573" s="55"/>
      <c r="BB573" s="55"/>
      <c r="BC573" s="55"/>
      <c r="BD573" s="55"/>
      <c r="BE573" s="55"/>
      <c r="BF573" s="55"/>
      <c r="BG573" s="55"/>
      <c r="BH573" s="55"/>
      <c r="BI573" s="55"/>
      <c r="BJ573" s="55"/>
      <c r="BK573" s="55"/>
      <c r="BL573" s="55"/>
      <c r="BM573" s="55"/>
      <c r="BN573" s="55"/>
      <c r="BO573" s="55"/>
      <c r="BP573" s="55"/>
      <c r="BQ573" s="55"/>
      <c r="BR573" s="55"/>
      <c r="BS573" s="55"/>
    </row>
    <row r="574" spans="3:71" outlineLevel="1" x14ac:dyDescent="0.2">
      <c r="C574" s="11" t="s">
        <v>284</v>
      </c>
      <c r="G574" s="60"/>
      <c r="H574" s="7" t="s">
        <v>894</v>
      </c>
      <c r="I574" s="65">
        <f t="shared" ca="1" si="197"/>
        <v>348.49440032099869</v>
      </c>
      <c r="J574" s="26" t="s">
        <v>148</v>
      </c>
      <c r="L574" s="49">
        <f ca="1">OA_gov_CF_Marine*Marine!CA_disc_factor_fc</f>
        <v>0</v>
      </c>
      <c r="M574" s="49">
        <f ca="1">OA_gov_CF_Marine*Marine!CA_disc_factor_fc</f>
        <v>0.87962835139441298</v>
      </c>
      <c r="N574" s="49">
        <f ca="1">OA_gov_CF_Marine*Marine!CA_disc_factor_fc</f>
        <v>14.852783012982899</v>
      </c>
      <c r="O574" s="49">
        <f ca="1">OA_gov_CF_Marine*Marine!CA_disc_factor_fc</f>
        <v>21.015673464894498</v>
      </c>
      <c r="P574" s="49">
        <f ca="1">OA_gov_CF_Marine*Marine!CA_disc_factor_fc</f>
        <v>32.008110806725504</v>
      </c>
      <c r="Q574" s="49">
        <f ca="1">OA_gov_CF_Marine*Marine!CA_disc_factor_fc</f>
        <v>55.001286088545911</v>
      </c>
      <c r="R574" s="49">
        <f ca="1">OA_gov_CF_Marine*Marine!CA_disc_factor_fc</f>
        <v>37.530410218991292</v>
      </c>
      <c r="S574" s="49">
        <f ca="1">OA_gov_CF_Marine*Marine!CA_disc_factor_fc</f>
        <v>31.306735513046846</v>
      </c>
      <c r="T574" s="49">
        <f ca="1">OA_gov_CF_Marine*Marine!CA_disc_factor_fc</f>
        <v>38.414805892612371</v>
      </c>
      <c r="U574" s="49">
        <f ca="1">OA_gov_CF_Marine*Marine!CA_disc_factor_fc</f>
        <v>34.872143321640067</v>
      </c>
      <c r="V574" s="49">
        <f ca="1">OA_gov_CF_Marine*Marine!CA_disc_factor_fc</f>
        <v>30.458142065270046</v>
      </c>
      <c r="W574" s="49">
        <f ca="1">OA_gov_CF_Marine*Marine!CA_disc_factor_fc</f>
        <v>27.836975040426299</v>
      </c>
      <c r="X574" s="49">
        <f ca="1">OA_gov_CF_Marine*Marine!CA_disc_factor_fc</f>
        <v>24.317706544468486</v>
      </c>
      <c r="Y574" s="49">
        <f ca="1">OA_gov_CF_Marine*Marine!CA_disc_factor_fc</f>
        <v>0</v>
      </c>
      <c r="Z574" s="49">
        <f ca="1">OA_gov_CF_Marine*Marine!CA_disc_factor_fc</f>
        <v>0</v>
      </c>
      <c r="AA574" s="49">
        <f ca="1">OA_gov_CF_Marine*Marine!CA_disc_factor_fc</f>
        <v>0</v>
      </c>
      <c r="AB574" s="49">
        <f ca="1">OA_gov_CF_Marine*Marine!CA_disc_factor_fc</f>
        <v>0</v>
      </c>
      <c r="AC574" s="49">
        <f ca="1">OA_gov_CF_Marine*Marine!CA_disc_factor_fc</f>
        <v>0</v>
      </c>
      <c r="AD574" s="49">
        <f ca="1">OA_gov_CF_Marine*Marine!CA_disc_factor_fc</f>
        <v>0</v>
      </c>
      <c r="AE574" s="49">
        <f ca="1">OA_gov_CF_Marine*Marine!CA_disc_factor_fc</f>
        <v>0</v>
      </c>
      <c r="AF574" s="49">
        <f ca="1">OA_gov_CF_Marine*Marine!CA_disc_factor_fc</f>
        <v>0</v>
      </c>
      <c r="AG574" s="49">
        <f ca="1">OA_gov_CF_Marine*Marine!CA_disc_factor_fc</f>
        <v>0</v>
      </c>
      <c r="AH574" s="49">
        <f ca="1">OA_gov_CF_Marine*Marine!CA_disc_factor_fc</f>
        <v>0</v>
      </c>
      <c r="AI574" s="49">
        <f ca="1">OA_gov_CF_Marine*Marine!CA_disc_factor_fc</f>
        <v>0</v>
      </c>
      <c r="AJ574" s="49">
        <f ca="1">OA_gov_CF_Marine*Marine!CA_disc_factor_fc</f>
        <v>0</v>
      </c>
      <c r="AK574" s="49">
        <f ca="1">OA_gov_CF_Marine*Marine!CA_disc_factor_fc</f>
        <v>0</v>
      </c>
      <c r="AL574" s="49">
        <f ca="1">OA_gov_CF_Marine*Marine!CA_disc_factor_fc</f>
        <v>0</v>
      </c>
      <c r="AM574" s="49">
        <f ca="1">OA_gov_CF_Marine*Marine!CA_disc_factor_fc</f>
        <v>0</v>
      </c>
      <c r="AN574" s="49">
        <f ca="1">OA_gov_CF_Marine*Marine!CA_disc_factor_fc</f>
        <v>0</v>
      </c>
      <c r="AO574" s="49">
        <f ca="1">OA_gov_CF_Marine*Marine!CA_disc_factor_fc</f>
        <v>0</v>
      </c>
      <c r="AP574" s="49">
        <f ca="1">OA_gov_CF_Marine*Marine!CA_disc_factor_fc</f>
        <v>0</v>
      </c>
      <c r="AQ574" s="49">
        <f ca="1">OA_gov_CF_Marine*Marine!CA_disc_factor_fc</f>
        <v>0</v>
      </c>
      <c r="AR574" s="49">
        <f ca="1">OA_gov_CF_Marine*Marine!CA_disc_factor_fc</f>
        <v>0</v>
      </c>
      <c r="AS574" s="49">
        <f ca="1">OA_gov_CF_Marine*Marine!CA_disc_factor_fc</f>
        <v>0</v>
      </c>
      <c r="AT574" s="49">
        <f ca="1">OA_gov_CF_Marine*Marine!CA_disc_factor_fc</f>
        <v>0</v>
      </c>
      <c r="AU574" s="49">
        <f ca="1">OA_gov_CF_Marine*Marine!CA_disc_factor_fc</f>
        <v>0</v>
      </c>
      <c r="AV574" s="49">
        <f ca="1">OA_gov_CF_Marine*Marine!CA_disc_factor_fc</f>
        <v>0</v>
      </c>
      <c r="AW574" s="49">
        <f ca="1">OA_gov_CF_Marine*Marine!CA_disc_factor_fc</f>
        <v>0</v>
      </c>
      <c r="AX574" s="49">
        <f ca="1">OA_gov_CF_Marine*Marine!CA_disc_factor_fc</f>
        <v>0</v>
      </c>
      <c r="AY574" s="49">
        <f ca="1">OA_gov_CF_Marine*Marine!CA_disc_factor_fc</f>
        <v>0</v>
      </c>
      <c r="AZ574" s="49">
        <f ca="1">OA_gov_CF_Marine*Marine!CA_disc_factor_fc</f>
        <v>0</v>
      </c>
      <c r="BA574" s="49">
        <f ca="1">OA_gov_CF_Marine*Marine!CA_disc_factor_fc</f>
        <v>0</v>
      </c>
      <c r="BB574" s="49">
        <f ca="1">OA_gov_CF_Marine*Marine!CA_disc_factor_fc</f>
        <v>0</v>
      </c>
      <c r="BC574" s="49">
        <f ca="1">OA_gov_CF_Marine*Marine!CA_disc_factor_fc</f>
        <v>0</v>
      </c>
      <c r="BD574" s="49">
        <f ca="1">OA_gov_CF_Marine*Marine!CA_disc_factor_fc</f>
        <v>0</v>
      </c>
      <c r="BE574" s="49">
        <f ca="1">OA_gov_CF_Marine*Marine!CA_disc_factor_fc</f>
        <v>0</v>
      </c>
      <c r="BF574" s="49">
        <f ca="1">OA_gov_CF_Marine*Marine!CA_disc_factor_fc</f>
        <v>0</v>
      </c>
      <c r="BG574" s="49">
        <f ca="1">OA_gov_CF_Marine*Marine!CA_disc_factor_fc</f>
        <v>0</v>
      </c>
      <c r="BH574" s="49">
        <f ca="1">OA_gov_CF_Marine*Marine!CA_disc_factor_fc</f>
        <v>0</v>
      </c>
      <c r="BI574" s="49">
        <f ca="1">OA_gov_CF_Marine*Marine!CA_disc_factor_fc</f>
        <v>0</v>
      </c>
      <c r="BJ574" s="49">
        <f ca="1">OA_gov_CF_Marine*Marine!CA_disc_factor_fc</f>
        <v>0</v>
      </c>
      <c r="BK574" s="49">
        <f ca="1">OA_gov_CF_Marine*Marine!CA_disc_factor_fc</f>
        <v>0</v>
      </c>
      <c r="BL574" s="49">
        <f ca="1">OA_gov_CF_Marine*Marine!CA_disc_factor_fc</f>
        <v>0</v>
      </c>
      <c r="BM574" s="49">
        <f ca="1">OA_gov_CF_Marine*Marine!CA_disc_factor_fc</f>
        <v>0</v>
      </c>
      <c r="BN574" s="49">
        <f ca="1">OA_gov_CF_Marine*Marine!CA_disc_factor_fc</f>
        <v>0</v>
      </c>
      <c r="BO574" s="49">
        <f ca="1">OA_gov_CF_Marine*Marine!CA_disc_factor_fc</f>
        <v>0</v>
      </c>
      <c r="BP574" s="49">
        <f ca="1">OA_gov_CF_Marine*Marine!CA_disc_factor_fc</f>
        <v>0</v>
      </c>
      <c r="BQ574" s="49">
        <f ca="1">OA_gov_CF_Marine*Marine!CA_disc_factor_fc</f>
        <v>0</v>
      </c>
      <c r="BR574" s="49">
        <f ca="1">OA_gov_CF_Marine*Marine!CA_disc_factor_fc</f>
        <v>0</v>
      </c>
      <c r="BS574" s="49">
        <f ca="1">OA_gov_CF_Marine*Marine!CA_disc_factor_fc</f>
        <v>0</v>
      </c>
    </row>
    <row r="575" spans="3:71" outlineLevel="1" x14ac:dyDescent="0.2">
      <c r="C575" s="11" t="s">
        <v>285</v>
      </c>
      <c r="I575" s="65">
        <f t="shared" ca="1" si="197"/>
        <v>651.23204081020356</v>
      </c>
      <c r="J575" s="26" t="s">
        <v>148</v>
      </c>
      <c r="L575" s="49">
        <f ca="1">OA_gov_CF_Marine*Marine!CA_disc_factor_pf</f>
        <v>0</v>
      </c>
      <c r="M575" s="49">
        <f ca="1">OA_gov_CF_Marine*Marine!CA_disc_factor_pf</f>
        <v>0</v>
      </c>
      <c r="N575" s="49">
        <f ca="1">OA_gov_CF_Marine*Marine!CA_disc_factor_pf</f>
        <v>0</v>
      </c>
      <c r="O575" s="49">
        <f ca="1">OA_gov_CF_Marine*Marine!CA_disc_factor_pf</f>
        <v>0</v>
      </c>
      <c r="P575" s="49">
        <f ca="1">OA_gov_CF_Marine*Marine!CA_disc_factor_pf</f>
        <v>0</v>
      </c>
      <c r="Q575" s="49">
        <f ca="1">OA_gov_CF_Marine*Marine!CA_disc_factor_pf</f>
        <v>0</v>
      </c>
      <c r="R575" s="49">
        <f ca="1">OA_gov_CF_Marine*Marine!CA_disc_factor_pf</f>
        <v>0</v>
      </c>
      <c r="S575" s="49">
        <f ca="1">OA_gov_CF_Marine*Marine!CA_disc_factor_pf</f>
        <v>0</v>
      </c>
      <c r="T575" s="49">
        <f ca="1">OA_gov_CF_Marine*Marine!CA_disc_factor_pf</f>
        <v>160.46817759337279</v>
      </c>
      <c r="U575" s="49">
        <f ca="1">OA_gov_CF_Marine*Marine!CA_disc_factor_pf</f>
        <v>145.66959685392132</v>
      </c>
      <c r="V575" s="49">
        <f ca="1">OA_gov_CF_Marine*Marine!CA_disc_factor_pf</f>
        <v>127.23121818595128</v>
      </c>
      <c r="W575" s="49">
        <f ca="1">OA_gov_CF_Marine*Marine!CA_disc_factor_pf</f>
        <v>116.28195302969007</v>
      </c>
      <c r="X575" s="49">
        <f ca="1">OA_gov_CF_Marine*Marine!CA_disc_factor_pf</f>
        <v>101.58109514726809</v>
      </c>
      <c r="Y575" s="49">
        <f ca="1">OA_gov_CF_Marine*Marine!CA_disc_factor_pf</f>
        <v>0</v>
      </c>
      <c r="Z575" s="49">
        <f ca="1">OA_gov_CF_Marine*Marine!CA_disc_factor_pf</f>
        <v>0</v>
      </c>
      <c r="AA575" s="49">
        <f ca="1">OA_gov_CF_Marine*Marine!CA_disc_factor_pf</f>
        <v>0</v>
      </c>
      <c r="AB575" s="49">
        <f ca="1">OA_gov_CF_Marine*Marine!CA_disc_factor_pf</f>
        <v>0</v>
      </c>
      <c r="AC575" s="49">
        <f ca="1">OA_gov_CF_Marine*Marine!CA_disc_factor_pf</f>
        <v>0</v>
      </c>
      <c r="AD575" s="49">
        <f ca="1">OA_gov_CF_Marine*Marine!CA_disc_factor_pf</f>
        <v>0</v>
      </c>
      <c r="AE575" s="49">
        <f ca="1">OA_gov_CF_Marine*Marine!CA_disc_factor_pf</f>
        <v>0</v>
      </c>
      <c r="AF575" s="49">
        <f ca="1">OA_gov_CF_Marine*Marine!CA_disc_factor_pf</f>
        <v>0</v>
      </c>
      <c r="AG575" s="49">
        <f ca="1">OA_gov_CF_Marine*Marine!CA_disc_factor_pf</f>
        <v>0</v>
      </c>
      <c r="AH575" s="49">
        <f ca="1">OA_gov_CF_Marine*Marine!CA_disc_factor_pf</f>
        <v>0</v>
      </c>
      <c r="AI575" s="49">
        <f ca="1">OA_gov_CF_Marine*Marine!CA_disc_factor_pf</f>
        <v>0</v>
      </c>
      <c r="AJ575" s="49">
        <f ca="1">OA_gov_CF_Marine*Marine!CA_disc_factor_pf</f>
        <v>0</v>
      </c>
      <c r="AK575" s="49">
        <f ca="1">OA_gov_CF_Marine*Marine!CA_disc_factor_pf</f>
        <v>0</v>
      </c>
      <c r="AL575" s="49">
        <f ca="1">OA_gov_CF_Marine*Marine!CA_disc_factor_pf</f>
        <v>0</v>
      </c>
      <c r="AM575" s="49">
        <f ca="1">OA_gov_CF_Marine*Marine!CA_disc_factor_pf</f>
        <v>0</v>
      </c>
      <c r="AN575" s="49">
        <f ca="1">OA_gov_CF_Marine*Marine!CA_disc_factor_pf</f>
        <v>0</v>
      </c>
      <c r="AO575" s="49">
        <f ca="1">OA_gov_CF_Marine*Marine!CA_disc_factor_pf</f>
        <v>0</v>
      </c>
      <c r="AP575" s="49">
        <f ca="1">OA_gov_CF_Marine*Marine!CA_disc_factor_pf</f>
        <v>0</v>
      </c>
      <c r="AQ575" s="49">
        <f ca="1">OA_gov_CF_Marine*Marine!CA_disc_factor_pf</f>
        <v>0</v>
      </c>
      <c r="AR575" s="49">
        <f ca="1">OA_gov_CF_Marine*Marine!CA_disc_factor_pf</f>
        <v>0</v>
      </c>
      <c r="AS575" s="49">
        <f ca="1">OA_gov_CF_Marine*Marine!CA_disc_factor_pf</f>
        <v>0</v>
      </c>
      <c r="AT575" s="49">
        <f ca="1">OA_gov_CF_Marine*Marine!CA_disc_factor_pf</f>
        <v>0</v>
      </c>
      <c r="AU575" s="49">
        <f ca="1">OA_gov_CF_Marine*Marine!CA_disc_factor_pf</f>
        <v>0</v>
      </c>
      <c r="AV575" s="49">
        <f ca="1">OA_gov_CF_Marine*Marine!CA_disc_factor_pf</f>
        <v>0</v>
      </c>
      <c r="AW575" s="49">
        <f ca="1">OA_gov_CF_Marine*Marine!CA_disc_factor_pf</f>
        <v>0</v>
      </c>
      <c r="AX575" s="49">
        <f ca="1">OA_gov_CF_Marine*Marine!CA_disc_factor_pf</f>
        <v>0</v>
      </c>
      <c r="AY575" s="49">
        <f ca="1">OA_gov_CF_Marine*Marine!CA_disc_factor_pf</f>
        <v>0</v>
      </c>
      <c r="AZ575" s="49">
        <f ca="1">OA_gov_CF_Marine*Marine!CA_disc_factor_pf</f>
        <v>0</v>
      </c>
      <c r="BA575" s="49">
        <f ca="1">OA_gov_CF_Marine*Marine!CA_disc_factor_pf</f>
        <v>0</v>
      </c>
      <c r="BB575" s="49">
        <f ca="1">OA_gov_CF_Marine*Marine!CA_disc_factor_pf</f>
        <v>0</v>
      </c>
      <c r="BC575" s="49">
        <f ca="1">OA_gov_CF_Marine*Marine!CA_disc_factor_pf</f>
        <v>0</v>
      </c>
      <c r="BD575" s="49">
        <f ca="1">OA_gov_CF_Marine*Marine!CA_disc_factor_pf</f>
        <v>0</v>
      </c>
      <c r="BE575" s="49">
        <f ca="1">OA_gov_CF_Marine*Marine!CA_disc_factor_pf</f>
        <v>0</v>
      </c>
      <c r="BF575" s="49">
        <f ca="1">OA_gov_CF_Marine*Marine!CA_disc_factor_pf</f>
        <v>0</v>
      </c>
      <c r="BG575" s="49">
        <f ca="1">OA_gov_CF_Marine*Marine!CA_disc_factor_pf</f>
        <v>0</v>
      </c>
      <c r="BH575" s="49">
        <f ca="1">OA_gov_CF_Marine*Marine!CA_disc_factor_pf</f>
        <v>0</v>
      </c>
      <c r="BI575" s="49">
        <f ca="1">OA_gov_CF_Marine*Marine!CA_disc_factor_pf</f>
        <v>0</v>
      </c>
      <c r="BJ575" s="49">
        <f ca="1">OA_gov_CF_Marine*Marine!CA_disc_factor_pf</f>
        <v>0</v>
      </c>
      <c r="BK575" s="49">
        <f ca="1">OA_gov_CF_Marine*Marine!CA_disc_factor_pf</f>
        <v>0</v>
      </c>
      <c r="BL575" s="49">
        <f ca="1">OA_gov_CF_Marine*Marine!CA_disc_factor_pf</f>
        <v>0</v>
      </c>
      <c r="BM575" s="49">
        <f ca="1">OA_gov_CF_Marine*Marine!CA_disc_factor_pf</f>
        <v>0</v>
      </c>
      <c r="BN575" s="49">
        <f ca="1">OA_gov_CF_Marine*Marine!CA_disc_factor_pf</f>
        <v>0</v>
      </c>
      <c r="BO575" s="49">
        <f ca="1">OA_gov_CF_Marine*Marine!CA_disc_factor_pf</f>
        <v>0</v>
      </c>
      <c r="BP575" s="49">
        <f ca="1">OA_gov_CF_Marine*Marine!CA_disc_factor_pf</f>
        <v>0</v>
      </c>
      <c r="BQ575" s="49">
        <f ca="1">OA_gov_CF_Marine*Marine!CA_disc_factor_pf</f>
        <v>0</v>
      </c>
      <c r="BR575" s="49">
        <f ca="1">OA_gov_CF_Marine*Marine!CA_disc_factor_pf</f>
        <v>0</v>
      </c>
      <c r="BS575" s="49">
        <f ca="1">OA_gov_CF_Marine*Marine!CA_disc_factor_pf</f>
        <v>0</v>
      </c>
    </row>
    <row r="576" spans="3:71" outlineLevel="1" x14ac:dyDescent="0.2">
      <c r="I576" s="61"/>
      <c r="J576" s="26"/>
      <c r="L576" s="55"/>
      <c r="M576" s="55"/>
      <c r="N576" s="55"/>
      <c r="O576" s="55"/>
      <c r="P576" s="55"/>
      <c r="Q576" s="55"/>
      <c r="R576" s="55"/>
      <c r="S576" s="55"/>
      <c r="T576" s="55"/>
      <c r="U576" s="55"/>
      <c r="V576" s="55"/>
      <c r="W576" s="55"/>
      <c r="X576" s="55"/>
      <c r="Y576" s="55"/>
      <c r="Z576" s="55"/>
      <c r="AA576" s="55"/>
      <c r="AB576" s="55"/>
      <c r="AC576" s="55"/>
      <c r="AD576" s="55"/>
      <c r="AE576" s="55"/>
      <c r="AF576" s="55"/>
      <c r="AG576" s="55"/>
      <c r="AH576" s="55"/>
      <c r="AI576" s="55"/>
      <c r="AJ576" s="55"/>
      <c r="AK576" s="55"/>
      <c r="AL576" s="55"/>
      <c r="AM576" s="55"/>
      <c r="AN576" s="55"/>
      <c r="AO576" s="55"/>
      <c r="AP576" s="55"/>
      <c r="AQ576" s="55"/>
      <c r="AR576" s="55"/>
      <c r="AS576" s="55"/>
      <c r="AT576" s="55"/>
      <c r="AU576" s="55"/>
      <c r="AV576" s="55"/>
      <c r="AW576" s="55"/>
      <c r="AX576" s="55"/>
      <c r="AY576" s="55"/>
      <c r="AZ576" s="55"/>
      <c r="BA576" s="55"/>
      <c r="BB576" s="55"/>
      <c r="BC576" s="55"/>
      <c r="BD576" s="55"/>
      <c r="BE576" s="55"/>
      <c r="BF576" s="55"/>
      <c r="BG576" s="55"/>
      <c r="BH576" s="55"/>
      <c r="BI576" s="55"/>
      <c r="BJ576" s="55"/>
      <c r="BK576" s="55"/>
      <c r="BL576" s="55"/>
      <c r="BM576" s="55"/>
      <c r="BN576" s="55"/>
      <c r="BO576" s="55"/>
      <c r="BP576" s="55"/>
      <c r="BQ576" s="55"/>
      <c r="BR576" s="55"/>
      <c r="BS576" s="55"/>
    </row>
    <row r="577" spans="3:71" outlineLevel="1" x14ac:dyDescent="0.2">
      <c r="C577" s="11" t="s">
        <v>286</v>
      </c>
      <c r="I577" s="62" t="str">
        <f ca="1">IFERROR(IRR(INDEX(OA_gov_CF_Marine,1,MAX(1,$G$437-L4+1)):INDEX(OA_gov_CF_Marine,1,last_model_year)),"na")</f>
        <v>na</v>
      </c>
      <c r="J577" s="26" t="s">
        <v>90</v>
      </c>
      <c r="L577" s="55"/>
      <c r="M577" s="55"/>
      <c r="N577" s="55"/>
      <c r="O577" s="55"/>
      <c r="P577" s="55"/>
      <c r="Q577" s="55"/>
      <c r="R577" s="55"/>
      <c r="S577" s="55"/>
      <c r="T577" s="55"/>
      <c r="U577" s="55"/>
      <c r="V577" s="55"/>
      <c r="W577" s="55"/>
      <c r="X577" s="55"/>
      <c r="Y577" s="55"/>
      <c r="Z577" s="55"/>
      <c r="AA577" s="55"/>
      <c r="AB577" s="55"/>
      <c r="AC577" s="55"/>
      <c r="AD577" s="55"/>
      <c r="AE577" s="55"/>
      <c r="AF577" s="55"/>
      <c r="AG577" s="55"/>
      <c r="AH577" s="55"/>
      <c r="AI577" s="55"/>
      <c r="AJ577" s="55"/>
      <c r="AK577" s="55"/>
      <c r="AL577" s="55"/>
      <c r="AM577" s="55"/>
      <c r="AN577" s="55"/>
      <c r="AO577" s="55"/>
      <c r="AP577" s="55"/>
      <c r="AQ577" s="55"/>
      <c r="AR577" s="55"/>
      <c r="AS577" s="55"/>
      <c r="AT577" s="55"/>
      <c r="AU577" s="55"/>
      <c r="AV577" s="55"/>
      <c r="AW577" s="55"/>
      <c r="AX577" s="55"/>
      <c r="AY577" s="55"/>
      <c r="AZ577" s="55"/>
      <c r="BA577" s="55"/>
      <c r="BB577" s="55"/>
      <c r="BC577" s="55"/>
      <c r="BD577" s="55"/>
      <c r="BE577" s="55"/>
      <c r="BF577" s="55"/>
      <c r="BG577" s="55"/>
      <c r="BH577" s="55"/>
      <c r="BI577" s="55"/>
      <c r="BJ577" s="55"/>
      <c r="BK577" s="55"/>
      <c r="BL577" s="55"/>
      <c r="BM577" s="55"/>
      <c r="BN577" s="55"/>
      <c r="BO577" s="55"/>
      <c r="BP577" s="55"/>
      <c r="BQ577" s="55"/>
      <c r="BR577" s="55"/>
      <c r="BS577" s="55"/>
    </row>
    <row r="578" spans="3:71" outlineLevel="1" x14ac:dyDescent="0.2">
      <c r="C578" s="11" t="s">
        <v>287</v>
      </c>
      <c r="I578" s="62" t="str">
        <f ca="1">IFERROR(IRR(INDEX(OA_gov_CF_Marine,1,MAX(1,$G$438-L4+1)):INDEX(OA_gov_CF_Marine,1,last_model_year)),"na")</f>
        <v>na</v>
      </c>
      <c r="J578" s="26" t="s">
        <v>90</v>
      </c>
      <c r="L578" s="55"/>
      <c r="M578" s="55"/>
      <c r="N578" s="55"/>
      <c r="O578" s="55"/>
      <c r="P578" s="55"/>
      <c r="Q578" s="55"/>
      <c r="R578" s="55"/>
      <c r="S578" s="55"/>
      <c r="T578" s="55"/>
      <c r="U578" s="55"/>
      <c r="V578" s="55"/>
      <c r="W578" s="55"/>
      <c r="X578" s="55"/>
      <c r="Y578" s="55"/>
      <c r="Z578" s="55"/>
      <c r="AA578" s="55"/>
      <c r="AB578" s="55"/>
      <c r="AC578" s="55"/>
      <c r="AD578" s="55"/>
      <c r="AE578" s="55"/>
      <c r="AF578" s="55"/>
      <c r="AG578" s="55"/>
      <c r="AH578" s="55"/>
      <c r="AI578" s="55"/>
      <c r="AJ578" s="55"/>
      <c r="AK578" s="55"/>
      <c r="AL578" s="55"/>
      <c r="AM578" s="55"/>
      <c r="AN578" s="55"/>
      <c r="AO578" s="55"/>
      <c r="AP578" s="55"/>
      <c r="AQ578" s="55"/>
      <c r="AR578" s="55"/>
      <c r="AS578" s="55"/>
      <c r="AT578" s="55"/>
      <c r="AU578" s="55"/>
      <c r="AV578" s="55"/>
      <c r="AW578" s="55"/>
      <c r="AX578" s="55"/>
      <c r="AY578" s="55"/>
      <c r="AZ578" s="55"/>
      <c r="BA578" s="55"/>
      <c r="BB578" s="55"/>
      <c r="BC578" s="55"/>
      <c r="BD578" s="55"/>
      <c r="BE578" s="55"/>
      <c r="BF578" s="55"/>
      <c r="BG578" s="55"/>
      <c r="BH578" s="55"/>
      <c r="BI578" s="55"/>
      <c r="BJ578" s="55"/>
      <c r="BK578" s="55"/>
      <c r="BL578" s="55"/>
      <c r="BM578" s="55"/>
      <c r="BN578" s="55"/>
      <c r="BO578" s="55"/>
      <c r="BP578" s="55"/>
      <c r="BQ578" s="55"/>
      <c r="BR578" s="55"/>
      <c r="BS578" s="55"/>
    </row>
    <row r="579" spans="3:71" outlineLevel="1" x14ac:dyDescent="0.2">
      <c r="J579" s="26"/>
      <c r="L579" s="55"/>
      <c r="M579" s="55"/>
      <c r="N579" s="55"/>
      <c r="O579" s="55"/>
      <c r="P579" s="55"/>
      <c r="Q579" s="55"/>
      <c r="R579" s="55"/>
      <c r="S579" s="55"/>
      <c r="T579" s="55"/>
      <c r="U579" s="55"/>
      <c r="V579" s="55"/>
      <c r="W579" s="55"/>
      <c r="X579" s="55"/>
      <c r="Y579" s="55"/>
      <c r="Z579" s="55"/>
      <c r="AA579" s="55"/>
      <c r="AB579" s="55"/>
      <c r="AC579" s="55"/>
      <c r="AD579" s="55"/>
      <c r="AE579" s="55"/>
      <c r="AF579" s="55"/>
      <c r="AG579" s="55"/>
      <c r="AH579" s="55"/>
      <c r="AI579" s="55"/>
      <c r="AJ579" s="55"/>
      <c r="AK579" s="55"/>
      <c r="AL579" s="55"/>
      <c r="AM579" s="55"/>
      <c r="AN579" s="55"/>
      <c r="AO579" s="55"/>
      <c r="AP579" s="55"/>
      <c r="AQ579" s="55"/>
      <c r="AR579" s="55"/>
      <c r="AS579" s="55"/>
      <c r="AT579" s="55"/>
      <c r="AU579" s="55"/>
      <c r="AV579" s="55"/>
      <c r="AW579" s="55"/>
      <c r="AX579" s="55"/>
      <c r="AY579" s="55"/>
      <c r="AZ579" s="55"/>
      <c r="BA579" s="55"/>
      <c r="BB579" s="55"/>
      <c r="BC579" s="55"/>
      <c r="BD579" s="55"/>
      <c r="BE579" s="55"/>
      <c r="BF579" s="55"/>
      <c r="BG579" s="55"/>
      <c r="BH579" s="55"/>
      <c r="BI579" s="55"/>
      <c r="BJ579" s="55"/>
      <c r="BK579" s="55"/>
      <c r="BL579" s="55"/>
      <c r="BM579" s="55"/>
      <c r="BN579" s="55"/>
      <c r="BO579" s="55"/>
      <c r="BP579" s="55"/>
      <c r="BQ579" s="55"/>
      <c r="BR579" s="55"/>
      <c r="BS579" s="55"/>
    </row>
    <row r="580" spans="3:71" outlineLevel="1" x14ac:dyDescent="0.2">
      <c r="C580" s="11" t="s">
        <v>302</v>
      </c>
      <c r="H580" s="7" t="s">
        <v>895</v>
      </c>
      <c r="I580" s="62">
        <f ca="1">IFERROR(I572/I462,0)</f>
        <v>3.7020989247368075</v>
      </c>
      <c r="J580" s="26" t="s">
        <v>90</v>
      </c>
      <c r="L580" s="55"/>
      <c r="M580" s="55"/>
      <c r="N580" s="55"/>
      <c r="O580" s="55"/>
      <c r="P580" s="55"/>
      <c r="Q580" s="55"/>
      <c r="R580" s="55"/>
      <c r="S580" s="55"/>
      <c r="T580" s="55"/>
      <c r="U580" s="55"/>
      <c r="V580" s="55"/>
      <c r="W580" s="55"/>
      <c r="X580" s="55"/>
      <c r="Y580" s="55"/>
      <c r="Z580" s="55"/>
      <c r="AA580" s="55"/>
      <c r="AB580" s="55"/>
      <c r="AC580" s="55"/>
      <c r="AD580" s="55"/>
      <c r="AE580" s="55"/>
      <c r="AF580" s="55"/>
      <c r="AG580" s="55"/>
      <c r="AH580" s="55"/>
      <c r="AI580" s="55"/>
      <c r="AJ580" s="55"/>
      <c r="AK580" s="55"/>
      <c r="AL580" s="55"/>
      <c r="AM580" s="55"/>
      <c r="AN580" s="55"/>
      <c r="AO580" s="55"/>
      <c r="AP580" s="55"/>
      <c r="AQ580" s="55"/>
      <c r="AR580" s="55"/>
      <c r="AS580" s="55"/>
      <c r="AT580" s="55"/>
      <c r="AU580" s="55"/>
      <c r="AV580" s="55"/>
      <c r="AW580" s="55"/>
      <c r="AX580" s="55"/>
      <c r="AY580" s="55"/>
      <c r="AZ580" s="55"/>
      <c r="BA580" s="55"/>
      <c r="BB580" s="55"/>
      <c r="BC580" s="55"/>
      <c r="BD580" s="55"/>
      <c r="BE580" s="55"/>
      <c r="BF580" s="55"/>
      <c r="BG580" s="55"/>
      <c r="BH580" s="55"/>
      <c r="BI580" s="55"/>
      <c r="BJ580" s="55"/>
      <c r="BK580" s="55"/>
      <c r="BL580" s="55"/>
      <c r="BM580" s="55"/>
      <c r="BN580" s="55"/>
      <c r="BO580" s="55"/>
      <c r="BP580" s="55"/>
      <c r="BQ580" s="55"/>
      <c r="BR580" s="55"/>
      <c r="BS580" s="55"/>
    </row>
    <row r="581" spans="3:71" outlineLevel="1" x14ac:dyDescent="0.2">
      <c r="J581" s="26"/>
      <c r="L581" s="55"/>
      <c r="M581" s="55"/>
      <c r="N581" s="55"/>
      <c r="O581" s="55"/>
      <c r="P581" s="55"/>
      <c r="Q581" s="55"/>
      <c r="R581" s="55"/>
      <c r="S581" s="55"/>
      <c r="T581" s="55"/>
      <c r="U581" s="55"/>
      <c r="V581" s="55"/>
      <c r="W581" s="55"/>
      <c r="X581" s="55"/>
      <c r="Y581" s="55"/>
      <c r="Z581" s="55"/>
      <c r="AA581" s="55"/>
      <c r="AB581" s="55"/>
      <c r="AC581" s="55"/>
      <c r="AD581" s="55"/>
      <c r="AE581" s="55"/>
      <c r="AF581" s="55"/>
      <c r="AG581" s="55"/>
      <c r="AH581" s="55"/>
      <c r="AI581" s="55"/>
      <c r="AJ581" s="55"/>
      <c r="AK581" s="55"/>
      <c r="AL581" s="55"/>
      <c r="AM581" s="55"/>
      <c r="AN581" s="55"/>
      <c r="AO581" s="55"/>
      <c r="AP581" s="55"/>
      <c r="AQ581" s="55"/>
      <c r="AR581" s="55"/>
      <c r="AS581" s="55"/>
      <c r="AT581" s="55"/>
      <c r="AU581" s="55"/>
      <c r="AV581" s="55"/>
      <c r="AW581" s="55"/>
      <c r="AX581" s="55"/>
      <c r="AY581" s="55"/>
      <c r="AZ581" s="55"/>
      <c r="BA581" s="55"/>
      <c r="BB581" s="55"/>
      <c r="BC581" s="55"/>
      <c r="BD581" s="55"/>
      <c r="BE581" s="55"/>
      <c r="BF581" s="55"/>
      <c r="BG581" s="55"/>
      <c r="BH581" s="55"/>
      <c r="BI581" s="55"/>
      <c r="BJ581" s="55"/>
      <c r="BK581" s="55"/>
      <c r="BL581" s="55"/>
      <c r="BM581" s="55"/>
      <c r="BN581" s="55"/>
      <c r="BO581" s="55"/>
      <c r="BP581" s="55"/>
      <c r="BQ581" s="55"/>
      <c r="BR581" s="55"/>
      <c r="BS581" s="55"/>
    </row>
    <row r="582" spans="3:71" outlineLevel="1" x14ac:dyDescent="0.2">
      <c r="C582" s="11" t="s">
        <v>490</v>
      </c>
      <c r="H582" s="7" t="s">
        <v>896</v>
      </c>
      <c r="I582" s="62">
        <f ca="1">IFERROR(SUM(gov_CF_Marine,I541)/I462,0)</f>
        <v>3.6466018400309141</v>
      </c>
      <c r="J582" s="26"/>
      <c r="L582" s="55"/>
      <c r="M582" s="55"/>
      <c r="N582" s="55"/>
      <c r="O582" s="55"/>
      <c r="P582" s="55"/>
      <c r="Q582" s="55"/>
      <c r="R582" s="55"/>
      <c r="S582" s="55"/>
      <c r="T582" s="55"/>
      <c r="U582" s="55"/>
      <c r="V582" s="55"/>
      <c r="W582" s="55"/>
      <c r="X582" s="55"/>
      <c r="Y582" s="55"/>
      <c r="Z582" s="55"/>
      <c r="AA582" s="55"/>
      <c r="AB582" s="55"/>
      <c r="AC582" s="55"/>
      <c r="AD582" s="55"/>
      <c r="AE582" s="55"/>
      <c r="AF582" s="55"/>
      <c r="AG582" s="55"/>
      <c r="AH582" s="55"/>
      <c r="AI582" s="55"/>
      <c r="AJ582" s="55"/>
      <c r="AK582" s="55"/>
      <c r="AL582" s="55"/>
      <c r="AM582" s="55"/>
      <c r="AN582" s="55"/>
      <c r="AO582" s="55"/>
      <c r="AP582" s="55"/>
      <c r="AQ582" s="55"/>
      <c r="AR582" s="55"/>
      <c r="AS582" s="55"/>
      <c r="AT582" s="55"/>
      <c r="AU582" s="55"/>
      <c r="AV582" s="55"/>
      <c r="AW582" s="55"/>
      <c r="AX582" s="55"/>
      <c r="AY582" s="55"/>
      <c r="AZ582" s="55"/>
      <c r="BA582" s="55"/>
      <c r="BB582" s="55"/>
      <c r="BC582" s="55"/>
      <c r="BD582" s="55"/>
      <c r="BE582" s="55"/>
      <c r="BF582" s="55"/>
      <c r="BG582" s="55"/>
      <c r="BH582" s="55"/>
      <c r="BI582" s="55"/>
      <c r="BJ582" s="55"/>
      <c r="BK582" s="55"/>
      <c r="BL582" s="55"/>
      <c r="BM582" s="55"/>
      <c r="BN582" s="55"/>
      <c r="BO582" s="55"/>
      <c r="BP582" s="55"/>
      <c r="BQ582" s="55"/>
      <c r="BR582" s="55"/>
      <c r="BS582" s="55"/>
    </row>
    <row r="583" spans="3:71" outlineLevel="1" x14ac:dyDescent="0.2">
      <c r="J583" s="26"/>
      <c r="L583" s="55"/>
      <c r="M583" s="55"/>
      <c r="N583" s="55"/>
      <c r="O583" s="55"/>
      <c r="P583" s="55"/>
      <c r="Q583" s="55"/>
      <c r="R583" s="55"/>
      <c r="S583" s="55"/>
      <c r="T583" s="55"/>
      <c r="U583" s="55"/>
      <c r="V583" s="55"/>
      <c r="W583" s="55"/>
      <c r="X583" s="55"/>
      <c r="Y583" s="55"/>
      <c r="Z583" s="55"/>
      <c r="AA583" s="55"/>
      <c r="AB583" s="55"/>
      <c r="AC583" s="55"/>
      <c r="AD583" s="55"/>
      <c r="AE583" s="55"/>
      <c r="AF583" s="55"/>
      <c r="AG583" s="55"/>
      <c r="AH583" s="55"/>
      <c r="AI583" s="55"/>
      <c r="AJ583" s="55"/>
      <c r="AK583" s="55"/>
      <c r="AL583" s="55"/>
      <c r="AM583" s="55"/>
      <c r="AN583" s="55"/>
      <c r="AO583" s="55"/>
      <c r="AP583" s="55"/>
      <c r="AQ583" s="55"/>
      <c r="AR583" s="55"/>
      <c r="AS583" s="55"/>
      <c r="AT583" s="55"/>
      <c r="AU583" s="55"/>
      <c r="AV583" s="55"/>
      <c r="AW583" s="55"/>
      <c r="AX583" s="55"/>
      <c r="AY583" s="55"/>
      <c r="AZ583" s="55"/>
      <c r="BA583" s="55"/>
      <c r="BB583" s="55"/>
      <c r="BC583" s="55"/>
      <c r="BD583" s="55"/>
      <c r="BE583" s="55"/>
      <c r="BF583" s="55"/>
      <c r="BG583" s="55"/>
      <c r="BH583" s="55"/>
      <c r="BI583" s="55"/>
      <c r="BJ583" s="55"/>
      <c r="BK583" s="55"/>
      <c r="BL583" s="55"/>
      <c r="BM583" s="55"/>
      <c r="BN583" s="55"/>
      <c r="BO583" s="55"/>
      <c r="BP583" s="55"/>
      <c r="BQ583" s="55"/>
      <c r="BR583" s="55"/>
      <c r="BS583" s="55"/>
    </row>
    <row r="584" spans="3:71" outlineLevel="1" x14ac:dyDescent="0.2">
      <c r="C584" s="11" t="s">
        <v>313</v>
      </c>
      <c r="H584" s="7" t="s">
        <v>897</v>
      </c>
      <c r="I584" s="65">
        <f ca="1">(input_DiscRate_nom*$I$574)/(1-(1+input_DiscRate_nom)^-COUNTIF(Marine!CA_op_trig,"&lt;&gt;0"))</f>
        <v>49.060527218361422</v>
      </c>
      <c r="J584" s="26" t="s">
        <v>314</v>
      </c>
      <c r="L584" s="55"/>
      <c r="M584" s="55"/>
      <c r="N584" s="55"/>
      <c r="O584" s="55"/>
      <c r="P584" s="55"/>
      <c r="Q584" s="55"/>
      <c r="R584" s="55"/>
      <c r="S584" s="55"/>
      <c r="T584" s="55"/>
      <c r="U584" s="55"/>
      <c r="V584" s="55"/>
      <c r="W584" s="55"/>
      <c r="X584" s="55"/>
      <c r="Y584" s="55"/>
      <c r="Z584" s="55"/>
      <c r="AA584" s="55"/>
      <c r="AB584" s="55"/>
      <c r="AC584" s="55"/>
      <c r="AD584" s="55"/>
      <c r="AE584" s="55"/>
      <c r="AF584" s="55"/>
      <c r="AG584" s="55"/>
      <c r="AH584" s="55"/>
      <c r="AI584" s="55"/>
      <c r="AJ584" s="55"/>
      <c r="AK584" s="55"/>
      <c r="AL584" s="55"/>
      <c r="AM584" s="55"/>
      <c r="AN584" s="55"/>
      <c r="AO584" s="55"/>
      <c r="AP584" s="55"/>
      <c r="AQ584" s="55"/>
      <c r="AR584" s="55"/>
      <c r="AS584" s="55"/>
      <c r="AT584" s="55"/>
      <c r="AU584" s="55"/>
      <c r="AV584" s="55"/>
      <c r="AW584" s="55"/>
      <c r="AX584" s="55"/>
      <c r="AY584" s="55"/>
      <c r="AZ584" s="55"/>
      <c r="BA584" s="55"/>
      <c r="BB584" s="55"/>
      <c r="BC584" s="55"/>
      <c r="BD584" s="55"/>
      <c r="BE584" s="55"/>
      <c r="BF584" s="55"/>
      <c r="BG584" s="55"/>
      <c r="BH584" s="55"/>
      <c r="BI584" s="55"/>
      <c r="BJ584" s="55"/>
      <c r="BK584" s="55"/>
      <c r="BL584" s="55"/>
      <c r="BM584" s="55"/>
      <c r="BN584" s="55"/>
      <c r="BO584" s="55"/>
      <c r="BP584" s="55"/>
      <c r="BQ584" s="55"/>
      <c r="BR584" s="55"/>
      <c r="BS584" s="55"/>
    </row>
    <row r="585" spans="3:71" outlineLevel="1" x14ac:dyDescent="0.2">
      <c r="J585" s="26"/>
      <c r="L585" s="55"/>
      <c r="M585" s="55"/>
      <c r="N585" s="55"/>
      <c r="O585" s="55"/>
      <c r="P585" s="55"/>
      <c r="Q585" s="55"/>
      <c r="R585" s="55"/>
      <c r="S585" s="55"/>
      <c r="T585" s="55"/>
      <c r="U585" s="55"/>
      <c r="V585" s="55"/>
      <c r="W585" s="55"/>
      <c r="X585" s="55"/>
      <c r="Y585" s="55"/>
      <c r="Z585" s="55"/>
      <c r="AA585" s="55"/>
      <c r="AB585" s="55"/>
      <c r="AC585" s="55"/>
      <c r="AD585" s="55"/>
      <c r="AE585" s="55"/>
      <c r="AF585" s="55"/>
      <c r="AG585" s="55"/>
      <c r="AH585" s="55"/>
      <c r="AI585" s="55"/>
      <c r="AJ585" s="55"/>
      <c r="AK585" s="55"/>
      <c r="AL585" s="55"/>
      <c r="AM585" s="55"/>
      <c r="AN585" s="55"/>
      <c r="AO585" s="55"/>
      <c r="AP585" s="55"/>
      <c r="AQ585" s="55"/>
      <c r="AR585" s="55"/>
      <c r="AS585" s="55"/>
      <c r="AT585" s="55"/>
      <c r="AU585" s="55"/>
      <c r="AV585" s="55"/>
      <c r="AW585" s="55"/>
      <c r="AX585" s="55"/>
      <c r="AY585" s="55"/>
      <c r="AZ585" s="55"/>
      <c r="BA585" s="55"/>
      <c r="BB585" s="55"/>
      <c r="BC585" s="55"/>
      <c r="BD585" s="55"/>
      <c r="BE585" s="55"/>
      <c r="BF585" s="55"/>
      <c r="BG585" s="55"/>
      <c r="BH585" s="55"/>
      <c r="BI585" s="55"/>
      <c r="BJ585" s="55"/>
      <c r="BK585" s="55"/>
      <c r="BL585" s="55"/>
      <c r="BM585" s="55"/>
      <c r="BN585" s="55"/>
      <c r="BO585" s="55"/>
      <c r="BP585" s="55"/>
      <c r="BQ585" s="55"/>
      <c r="BR585" s="55"/>
      <c r="BS585" s="55"/>
    </row>
    <row r="586" spans="3:71" outlineLevel="1" x14ac:dyDescent="0.2">
      <c r="J586" s="26"/>
      <c r="L586" s="55"/>
      <c r="M586" s="55"/>
      <c r="N586" s="55"/>
      <c r="O586" s="55"/>
      <c r="P586" s="55"/>
      <c r="Q586" s="55"/>
      <c r="R586" s="55"/>
      <c r="S586" s="55"/>
      <c r="T586" s="55"/>
      <c r="U586" s="55"/>
      <c r="V586" s="55"/>
      <c r="W586" s="55"/>
      <c r="X586" s="55"/>
      <c r="Y586" s="55"/>
      <c r="Z586" s="55"/>
      <c r="AA586" s="55"/>
      <c r="AB586" s="55"/>
      <c r="AC586" s="55"/>
      <c r="AD586" s="55"/>
      <c r="AE586" s="55"/>
      <c r="AF586" s="55"/>
      <c r="AG586" s="55"/>
      <c r="AH586" s="55"/>
      <c r="AI586" s="55"/>
      <c r="AJ586" s="55"/>
      <c r="AK586" s="55"/>
      <c r="AL586" s="55"/>
      <c r="AM586" s="55"/>
      <c r="AN586" s="55"/>
      <c r="AO586" s="55"/>
      <c r="AP586" s="55"/>
      <c r="AQ586" s="55"/>
      <c r="AR586" s="55"/>
      <c r="AS586" s="55"/>
      <c r="AT586" s="55"/>
      <c r="AU586" s="55"/>
      <c r="AV586" s="55"/>
      <c r="AW586" s="55"/>
      <c r="AX586" s="55"/>
      <c r="AY586" s="55"/>
      <c r="AZ586" s="55"/>
      <c r="BA586" s="55"/>
      <c r="BB586" s="55"/>
      <c r="BC586" s="55"/>
      <c r="BD586" s="55"/>
      <c r="BE586" s="55"/>
      <c r="BF586" s="55"/>
      <c r="BG586" s="55"/>
      <c r="BH586" s="55"/>
      <c r="BI586" s="55"/>
      <c r="BJ586" s="55"/>
      <c r="BK586" s="55"/>
      <c r="BL586" s="55"/>
      <c r="BM586" s="55"/>
      <c r="BN586" s="55"/>
      <c r="BO586" s="55"/>
      <c r="BP586" s="55"/>
      <c r="BQ586" s="55"/>
      <c r="BR586" s="55"/>
      <c r="BS586" s="55"/>
    </row>
    <row r="587" spans="3:71" outlineLevel="1" x14ac:dyDescent="0.2">
      <c r="C587" s="11" t="s">
        <v>691</v>
      </c>
      <c r="J587" s="26"/>
      <c r="L587" s="55"/>
      <c r="M587" s="55"/>
      <c r="N587" s="55"/>
      <c r="O587" s="55"/>
      <c r="P587" s="55"/>
      <c r="Q587" s="55"/>
      <c r="R587" s="55"/>
      <c r="S587" s="55"/>
      <c r="T587" s="55"/>
      <c r="U587" s="55"/>
      <c r="V587" s="55"/>
      <c r="W587" s="55"/>
      <c r="X587" s="55"/>
      <c r="Y587" s="55"/>
      <c r="Z587" s="55"/>
      <c r="AA587" s="55"/>
      <c r="AB587" s="55"/>
      <c r="AC587" s="55"/>
      <c r="AD587" s="55"/>
      <c r="AE587" s="55"/>
      <c r="AF587" s="55"/>
      <c r="AG587" s="55"/>
      <c r="AH587" s="55"/>
      <c r="AI587" s="55"/>
      <c r="AJ587" s="55"/>
      <c r="AK587" s="55"/>
      <c r="AL587" s="55"/>
      <c r="AM587" s="55"/>
      <c r="AN587" s="55"/>
      <c r="AO587" s="55"/>
      <c r="AP587" s="55"/>
      <c r="AQ587" s="55"/>
      <c r="AR587" s="55"/>
      <c r="AS587" s="55"/>
      <c r="AT587" s="55"/>
      <c r="AU587" s="55"/>
      <c r="AV587" s="55"/>
      <c r="AW587" s="55"/>
      <c r="AX587" s="55"/>
      <c r="AY587" s="55"/>
      <c r="AZ587" s="55"/>
      <c r="BA587" s="55"/>
      <c r="BB587" s="55"/>
      <c r="BC587" s="55"/>
      <c r="BD587" s="55"/>
      <c r="BE587" s="55"/>
      <c r="BF587" s="55"/>
      <c r="BG587" s="55"/>
      <c r="BH587" s="55"/>
      <c r="BI587" s="55"/>
      <c r="BJ587" s="55"/>
      <c r="BK587" s="55"/>
      <c r="BL587" s="55"/>
      <c r="BM587" s="55"/>
      <c r="BN587" s="55"/>
      <c r="BO587" s="55"/>
      <c r="BP587" s="55"/>
      <c r="BQ587" s="55"/>
      <c r="BR587" s="55"/>
      <c r="BS587" s="55"/>
    </row>
    <row r="588" spans="3:71" outlineLevel="1" x14ac:dyDescent="0.2">
      <c r="D588" t="s">
        <v>293</v>
      </c>
      <c r="H588" s="7"/>
      <c r="I588" s="30">
        <f t="shared" ref="I588:I591" ca="1" si="199">SUM($L588:$BS588)</f>
        <v>16.941062440648015</v>
      </c>
      <c r="J588" s="26" t="s">
        <v>692</v>
      </c>
      <c r="L588" s="49">
        <f ca="1">IFERROR((L560)/((Marine!CA_FP_oil_nom*Marine!CA_gross_prod_oil+Marine!CA_FP_lpg_nom*Marine!CA_gross_prod_lpg+Marine!CA_FP_gas_nom*Marine!CA_gross_prod_gas)/Marine!CA_gross_prod_Total),0)</f>
        <v>0</v>
      </c>
      <c r="M588" s="49">
        <f ca="1">IFERROR((M560)/((Marine!CA_FP_oil_nom*Marine!CA_gross_prod_oil+Marine!CA_FP_lpg_nom*Marine!CA_gross_prod_lpg+Marine!CA_FP_gas_nom*Marine!CA_gross_prod_gas)/Marine!CA_gross_prod_Total),0)</f>
        <v>6.7977461143820181E-2</v>
      </c>
      <c r="N588" s="49">
        <f ca="1">IFERROR((N560)/((Marine!CA_FP_oil_nom*Marine!CA_gross_prod_oil+Marine!CA_FP_lpg_nom*Marine!CA_gross_prod_lpg+Marine!CA_FP_gas_nom*Marine!CA_gross_prod_gas)/Marine!CA_gross_prod_Total),0)</f>
        <v>0.61216745908193582</v>
      </c>
      <c r="O588" s="49">
        <f ca="1">IFERROR((O560)/((Marine!CA_FP_oil_nom*Marine!CA_gross_prod_oil+Marine!CA_FP_lpg_nom*Marine!CA_gross_prod_lpg+Marine!CA_FP_gas_nom*Marine!CA_gross_prod_gas)/Marine!CA_gross_prod_Total),0)</f>
        <v>0.99768444656662258</v>
      </c>
      <c r="P588" s="49">
        <f ca="1">IFERROR((P560)/((Marine!CA_FP_oil_nom*Marine!CA_gross_prod_oil+Marine!CA_FP_lpg_nom*Marine!CA_gross_prod_lpg+Marine!CA_FP_gas_nom*Marine!CA_gross_prod_gas)/Marine!CA_gross_prod_Total),0)</f>
        <v>1.3443874684383728</v>
      </c>
      <c r="Q588" s="49">
        <f ca="1">IFERROR((Q560)/((Marine!CA_FP_oil_nom*Marine!CA_gross_prod_oil+Marine!CA_FP_lpg_nom*Marine!CA_gross_prod_lpg+Marine!CA_FP_gas_nom*Marine!CA_gross_prod_gas)/Marine!CA_gross_prod_Total),0)</f>
        <v>1.9808569232969022</v>
      </c>
      <c r="R588" s="49">
        <f ca="1">IFERROR((R560)/((Marine!CA_FP_oil_nom*Marine!CA_gross_prod_oil+Marine!CA_FP_lpg_nom*Marine!CA_gross_prod_lpg+Marine!CA_FP_gas_nom*Marine!CA_gross_prod_gas)/Marine!CA_gross_prod_Total),0)</f>
        <v>1.4468362691808836</v>
      </c>
      <c r="S588" s="49">
        <f ca="1">IFERROR((S560)/((Marine!CA_FP_oil_nom*Marine!CA_gross_prod_oil+Marine!CA_FP_lpg_nom*Marine!CA_gross_prod_lpg+Marine!CA_FP_gas_nom*Marine!CA_gross_prod_gas)/Marine!CA_gross_prod_Total),0)</f>
        <v>1.9679939206140251</v>
      </c>
      <c r="T588" s="49">
        <f ca="1">IFERROR((T560)/((Marine!CA_FP_oil_nom*Marine!CA_gross_prod_oil+Marine!CA_FP_lpg_nom*Marine!CA_gross_prod_lpg+Marine!CA_FP_gas_nom*Marine!CA_gross_prod_gas)/Marine!CA_gross_prod_Total),0)</f>
        <v>1.8869846255597502</v>
      </c>
      <c r="U588" s="49">
        <f ca="1">IFERROR((U560)/((Marine!CA_FP_oil_nom*Marine!CA_gross_prod_oil+Marine!CA_FP_lpg_nom*Marine!CA_gross_prod_lpg+Marine!CA_FP_gas_nom*Marine!CA_gross_prod_gas)/Marine!CA_gross_prod_Total),0)</f>
        <v>1.7911903615408724</v>
      </c>
      <c r="V588" s="49">
        <f ca="1">IFERROR((V560)/((Marine!CA_FP_oil_nom*Marine!CA_gross_prod_oil+Marine!CA_FP_lpg_nom*Marine!CA_gross_prod_lpg+Marine!CA_FP_gas_nom*Marine!CA_gross_prod_gas)/Marine!CA_gross_prod_Total),0)</f>
        <v>1.6992849705148021</v>
      </c>
      <c r="W588" s="49">
        <f ca="1">IFERROR((W560)/((Marine!CA_FP_oil_nom*Marine!CA_gross_prod_oil+Marine!CA_FP_lpg_nom*Marine!CA_gross_prod_lpg+Marine!CA_FP_gas_nom*Marine!CA_gross_prod_gas)/Marine!CA_gross_prod_Total),0)</f>
        <v>1.6133068952259002</v>
      </c>
      <c r="X588" s="49">
        <f ca="1">IFERROR((X560)/((Marine!CA_FP_oil_nom*Marine!CA_gross_prod_oil+Marine!CA_FP_lpg_nom*Marine!CA_gross_prod_lpg+Marine!CA_FP_gas_nom*Marine!CA_gross_prod_gas)/Marine!CA_gross_prod_Total),0)</f>
        <v>1.5323916394841299</v>
      </c>
      <c r="Y588" s="49">
        <f ca="1">IFERROR((Y560)/((Marine!CA_FP_oil_nom*Marine!CA_gross_prod_oil+Marine!CA_FP_lpg_nom*Marine!CA_gross_prod_lpg+Marine!CA_FP_gas_nom*Marine!CA_gross_prod_gas)/Marine!CA_gross_prod_Total),0)</f>
        <v>0</v>
      </c>
      <c r="Z588" s="49">
        <f ca="1">IFERROR((Z560)/((Marine!CA_FP_oil_nom*Marine!CA_gross_prod_oil+Marine!CA_FP_lpg_nom*Marine!CA_gross_prod_lpg+Marine!CA_FP_gas_nom*Marine!CA_gross_prod_gas)/Marine!CA_gross_prod_Total),0)</f>
        <v>0</v>
      </c>
      <c r="AA588" s="49">
        <f ca="1">IFERROR((AA560)/((Marine!CA_FP_oil_nom*Marine!CA_gross_prod_oil+Marine!CA_FP_lpg_nom*Marine!CA_gross_prod_lpg+Marine!CA_FP_gas_nom*Marine!CA_gross_prod_gas)/Marine!CA_gross_prod_Total),0)</f>
        <v>0</v>
      </c>
      <c r="AB588" s="49">
        <f ca="1">IFERROR((AB560)/((Marine!CA_FP_oil_nom*Marine!CA_gross_prod_oil+Marine!CA_FP_lpg_nom*Marine!CA_gross_prod_lpg+Marine!CA_FP_gas_nom*Marine!CA_gross_prod_gas)/Marine!CA_gross_prod_Total),0)</f>
        <v>0</v>
      </c>
      <c r="AC588" s="49">
        <f ca="1">IFERROR((AC560)/((Marine!CA_FP_oil_nom*Marine!CA_gross_prod_oil+Marine!CA_FP_lpg_nom*Marine!CA_gross_prod_lpg+Marine!CA_FP_gas_nom*Marine!CA_gross_prod_gas)/Marine!CA_gross_prod_Total),0)</f>
        <v>0</v>
      </c>
      <c r="AD588" s="49">
        <f ca="1">IFERROR((AD560)/((Marine!CA_FP_oil_nom*Marine!CA_gross_prod_oil+Marine!CA_FP_lpg_nom*Marine!CA_gross_prod_lpg+Marine!CA_FP_gas_nom*Marine!CA_gross_prod_gas)/Marine!CA_gross_prod_Total),0)</f>
        <v>0</v>
      </c>
      <c r="AE588" s="49">
        <f ca="1">IFERROR((AE560)/((Marine!CA_FP_oil_nom*Marine!CA_gross_prod_oil+Marine!CA_FP_lpg_nom*Marine!CA_gross_prod_lpg+Marine!CA_FP_gas_nom*Marine!CA_gross_prod_gas)/Marine!CA_gross_prod_Total),0)</f>
        <v>0</v>
      </c>
      <c r="AF588" s="49">
        <f ca="1">IFERROR((AF560)/((Marine!CA_FP_oil_nom*Marine!CA_gross_prod_oil+Marine!CA_FP_lpg_nom*Marine!CA_gross_prod_lpg+Marine!CA_FP_gas_nom*Marine!CA_gross_prod_gas)/Marine!CA_gross_prod_Total),0)</f>
        <v>0</v>
      </c>
      <c r="AG588" s="49">
        <f ca="1">IFERROR((AG560)/((Marine!CA_FP_oil_nom*Marine!CA_gross_prod_oil+Marine!CA_FP_lpg_nom*Marine!CA_gross_prod_lpg+Marine!CA_FP_gas_nom*Marine!CA_gross_prod_gas)/Marine!CA_gross_prod_Total),0)</f>
        <v>0</v>
      </c>
      <c r="AH588" s="49">
        <f ca="1">IFERROR((AH560)/((Marine!CA_FP_oil_nom*Marine!CA_gross_prod_oil+Marine!CA_FP_lpg_nom*Marine!CA_gross_prod_lpg+Marine!CA_FP_gas_nom*Marine!CA_gross_prod_gas)/Marine!CA_gross_prod_Total),0)</f>
        <v>0</v>
      </c>
      <c r="AI588" s="49">
        <f ca="1">IFERROR((AI560)/((Marine!CA_FP_oil_nom*Marine!CA_gross_prod_oil+Marine!CA_FP_lpg_nom*Marine!CA_gross_prod_lpg+Marine!CA_FP_gas_nom*Marine!CA_gross_prod_gas)/Marine!CA_gross_prod_Total),0)</f>
        <v>0</v>
      </c>
      <c r="AJ588" s="49">
        <f ca="1">IFERROR((AJ560)/((Marine!CA_FP_oil_nom*Marine!CA_gross_prod_oil+Marine!CA_FP_lpg_nom*Marine!CA_gross_prod_lpg+Marine!CA_FP_gas_nom*Marine!CA_gross_prod_gas)/Marine!CA_gross_prod_Total),0)</f>
        <v>0</v>
      </c>
      <c r="AK588" s="49">
        <f ca="1">IFERROR((AK560)/((Marine!CA_FP_oil_nom*Marine!CA_gross_prod_oil+Marine!CA_FP_lpg_nom*Marine!CA_gross_prod_lpg+Marine!CA_FP_gas_nom*Marine!CA_gross_prod_gas)/Marine!CA_gross_prod_Total),0)</f>
        <v>0</v>
      </c>
      <c r="AL588" s="49">
        <f ca="1">IFERROR((AL560)/((Marine!CA_FP_oil_nom*Marine!CA_gross_prod_oil+Marine!CA_FP_lpg_nom*Marine!CA_gross_prod_lpg+Marine!CA_FP_gas_nom*Marine!CA_gross_prod_gas)/Marine!CA_gross_prod_Total),0)</f>
        <v>0</v>
      </c>
      <c r="AM588" s="49">
        <f ca="1">IFERROR((AM560)/((Marine!CA_FP_oil_nom*Marine!CA_gross_prod_oil+Marine!CA_FP_lpg_nom*Marine!CA_gross_prod_lpg+Marine!CA_FP_gas_nom*Marine!CA_gross_prod_gas)/Marine!CA_gross_prod_Total),0)</f>
        <v>0</v>
      </c>
      <c r="AN588" s="49">
        <f ca="1">IFERROR((AN560)/((Marine!CA_FP_oil_nom*Marine!CA_gross_prod_oil+Marine!CA_FP_lpg_nom*Marine!CA_gross_prod_lpg+Marine!CA_FP_gas_nom*Marine!CA_gross_prod_gas)/Marine!CA_gross_prod_Total),0)</f>
        <v>0</v>
      </c>
      <c r="AO588" s="49">
        <f ca="1">IFERROR((AO560)/((Marine!CA_FP_oil_nom*Marine!CA_gross_prod_oil+Marine!CA_FP_lpg_nom*Marine!CA_gross_prod_lpg+Marine!CA_FP_gas_nom*Marine!CA_gross_prod_gas)/Marine!CA_gross_prod_Total),0)</f>
        <v>0</v>
      </c>
      <c r="AP588" s="49">
        <f ca="1">IFERROR((AP560)/((Marine!CA_FP_oil_nom*Marine!CA_gross_prod_oil+Marine!CA_FP_lpg_nom*Marine!CA_gross_prod_lpg+Marine!CA_FP_gas_nom*Marine!CA_gross_prod_gas)/Marine!CA_gross_prod_Total),0)</f>
        <v>0</v>
      </c>
      <c r="AQ588" s="49">
        <f ca="1">IFERROR((AQ560)/((Marine!CA_FP_oil_nom*Marine!CA_gross_prod_oil+Marine!CA_FP_lpg_nom*Marine!CA_gross_prod_lpg+Marine!CA_FP_gas_nom*Marine!CA_gross_prod_gas)/Marine!CA_gross_prod_Total),0)</f>
        <v>0</v>
      </c>
      <c r="AR588" s="49">
        <f ca="1">IFERROR((AR560)/((Marine!CA_FP_oil_nom*Marine!CA_gross_prod_oil+Marine!CA_FP_lpg_nom*Marine!CA_gross_prod_lpg+Marine!CA_FP_gas_nom*Marine!CA_gross_prod_gas)/Marine!CA_gross_prod_Total),0)</f>
        <v>0</v>
      </c>
      <c r="AS588" s="49">
        <f ca="1">IFERROR((AS560)/((Marine!CA_FP_oil_nom*Marine!CA_gross_prod_oil+Marine!CA_FP_lpg_nom*Marine!CA_gross_prod_lpg+Marine!CA_FP_gas_nom*Marine!CA_gross_prod_gas)/Marine!CA_gross_prod_Total),0)</f>
        <v>0</v>
      </c>
      <c r="AT588" s="49">
        <f ca="1">IFERROR((AT560)/((Marine!CA_FP_oil_nom*Marine!CA_gross_prod_oil+Marine!CA_FP_lpg_nom*Marine!CA_gross_prod_lpg+Marine!CA_FP_gas_nom*Marine!CA_gross_prod_gas)/Marine!CA_gross_prod_Total),0)</f>
        <v>0</v>
      </c>
      <c r="AU588" s="49">
        <f ca="1">IFERROR((AU560)/((Marine!CA_FP_oil_nom*Marine!CA_gross_prod_oil+Marine!CA_FP_lpg_nom*Marine!CA_gross_prod_lpg+Marine!CA_FP_gas_nom*Marine!CA_gross_prod_gas)/Marine!CA_gross_prod_Total),0)</f>
        <v>0</v>
      </c>
      <c r="AV588" s="49">
        <f ca="1">IFERROR((AV560)/((Marine!CA_FP_oil_nom*Marine!CA_gross_prod_oil+Marine!CA_FP_lpg_nom*Marine!CA_gross_prod_lpg+Marine!CA_FP_gas_nom*Marine!CA_gross_prod_gas)/Marine!CA_gross_prod_Total),0)</f>
        <v>0</v>
      </c>
      <c r="AW588" s="49">
        <f ca="1">IFERROR((AW560)/((Marine!CA_FP_oil_nom*Marine!CA_gross_prod_oil+Marine!CA_FP_lpg_nom*Marine!CA_gross_prod_lpg+Marine!CA_FP_gas_nom*Marine!CA_gross_prod_gas)/Marine!CA_gross_prod_Total),0)</f>
        <v>0</v>
      </c>
      <c r="AX588" s="49">
        <f ca="1">IFERROR((AX560)/((Marine!CA_FP_oil_nom*Marine!CA_gross_prod_oil+Marine!CA_FP_lpg_nom*Marine!CA_gross_prod_lpg+Marine!CA_FP_gas_nom*Marine!CA_gross_prod_gas)/Marine!CA_gross_prod_Total),0)</f>
        <v>0</v>
      </c>
      <c r="AY588" s="49">
        <f ca="1">IFERROR((AY560)/((Marine!CA_FP_oil_nom*Marine!CA_gross_prod_oil+Marine!CA_FP_lpg_nom*Marine!CA_gross_prod_lpg+Marine!CA_FP_gas_nom*Marine!CA_gross_prod_gas)/Marine!CA_gross_prod_Total),0)</f>
        <v>0</v>
      </c>
      <c r="AZ588" s="49">
        <f ca="1">IFERROR((AZ560)/((Marine!CA_FP_oil_nom*Marine!CA_gross_prod_oil+Marine!CA_FP_lpg_nom*Marine!CA_gross_prod_lpg+Marine!CA_FP_gas_nom*Marine!CA_gross_prod_gas)/Marine!CA_gross_prod_Total),0)</f>
        <v>0</v>
      </c>
      <c r="BA588" s="49">
        <f ca="1">IFERROR((BA560)/((Marine!CA_FP_oil_nom*Marine!CA_gross_prod_oil+Marine!CA_FP_lpg_nom*Marine!CA_gross_prod_lpg+Marine!CA_FP_gas_nom*Marine!CA_gross_prod_gas)/Marine!CA_gross_prod_Total),0)</f>
        <v>0</v>
      </c>
      <c r="BB588" s="49">
        <f ca="1">IFERROR((BB560)/((Marine!CA_FP_oil_nom*Marine!CA_gross_prod_oil+Marine!CA_FP_lpg_nom*Marine!CA_gross_prod_lpg+Marine!CA_FP_gas_nom*Marine!CA_gross_prod_gas)/Marine!CA_gross_prod_Total),0)</f>
        <v>0</v>
      </c>
      <c r="BC588" s="49">
        <f ca="1">IFERROR((BC560)/((Marine!CA_FP_oil_nom*Marine!CA_gross_prod_oil+Marine!CA_FP_lpg_nom*Marine!CA_gross_prod_lpg+Marine!CA_FP_gas_nom*Marine!CA_gross_prod_gas)/Marine!CA_gross_prod_Total),0)</f>
        <v>0</v>
      </c>
      <c r="BD588" s="49">
        <f ca="1">IFERROR((BD560)/((Marine!CA_FP_oil_nom*Marine!CA_gross_prod_oil+Marine!CA_FP_lpg_nom*Marine!CA_gross_prod_lpg+Marine!CA_FP_gas_nom*Marine!CA_gross_prod_gas)/Marine!CA_gross_prod_Total),0)</f>
        <v>0</v>
      </c>
      <c r="BE588" s="49">
        <f ca="1">IFERROR((BE560)/((Marine!CA_FP_oil_nom*Marine!CA_gross_prod_oil+Marine!CA_FP_lpg_nom*Marine!CA_gross_prod_lpg+Marine!CA_FP_gas_nom*Marine!CA_gross_prod_gas)/Marine!CA_gross_prod_Total),0)</f>
        <v>0</v>
      </c>
      <c r="BF588" s="49">
        <f ca="1">IFERROR((BF560)/((Marine!CA_FP_oil_nom*Marine!CA_gross_prod_oil+Marine!CA_FP_lpg_nom*Marine!CA_gross_prod_lpg+Marine!CA_FP_gas_nom*Marine!CA_gross_prod_gas)/Marine!CA_gross_prod_Total),0)</f>
        <v>0</v>
      </c>
      <c r="BG588" s="49">
        <f ca="1">IFERROR((BG560)/((Marine!CA_FP_oil_nom*Marine!CA_gross_prod_oil+Marine!CA_FP_lpg_nom*Marine!CA_gross_prod_lpg+Marine!CA_FP_gas_nom*Marine!CA_gross_prod_gas)/Marine!CA_gross_prod_Total),0)</f>
        <v>0</v>
      </c>
      <c r="BH588" s="49">
        <f ca="1">IFERROR((BH560)/((Marine!CA_FP_oil_nom*Marine!CA_gross_prod_oil+Marine!CA_FP_lpg_nom*Marine!CA_gross_prod_lpg+Marine!CA_FP_gas_nom*Marine!CA_gross_prod_gas)/Marine!CA_gross_prod_Total),0)</f>
        <v>0</v>
      </c>
      <c r="BI588" s="49">
        <f ca="1">IFERROR((BI560)/((Marine!CA_FP_oil_nom*Marine!CA_gross_prod_oil+Marine!CA_FP_lpg_nom*Marine!CA_gross_prod_lpg+Marine!CA_FP_gas_nom*Marine!CA_gross_prod_gas)/Marine!CA_gross_prod_Total),0)</f>
        <v>0</v>
      </c>
      <c r="BJ588" s="49">
        <f ca="1">IFERROR((BJ560)/((Marine!CA_FP_oil_nom*Marine!CA_gross_prod_oil+Marine!CA_FP_lpg_nom*Marine!CA_gross_prod_lpg+Marine!CA_FP_gas_nom*Marine!CA_gross_prod_gas)/Marine!CA_gross_prod_Total),0)</f>
        <v>0</v>
      </c>
      <c r="BK588" s="49">
        <f ca="1">IFERROR((BK560)/((Marine!CA_FP_oil_nom*Marine!CA_gross_prod_oil+Marine!CA_FP_lpg_nom*Marine!CA_gross_prod_lpg+Marine!CA_FP_gas_nom*Marine!CA_gross_prod_gas)/Marine!CA_gross_prod_Total),0)</f>
        <v>0</v>
      </c>
      <c r="BL588" s="49">
        <f ca="1">IFERROR((BL560)/((Marine!CA_FP_oil_nom*Marine!CA_gross_prod_oil+Marine!CA_FP_lpg_nom*Marine!CA_gross_prod_lpg+Marine!CA_FP_gas_nom*Marine!CA_gross_prod_gas)/Marine!CA_gross_prod_Total),0)</f>
        <v>0</v>
      </c>
      <c r="BM588" s="49">
        <f ca="1">IFERROR((BM560)/((Marine!CA_FP_oil_nom*Marine!CA_gross_prod_oil+Marine!CA_FP_lpg_nom*Marine!CA_gross_prod_lpg+Marine!CA_FP_gas_nom*Marine!CA_gross_prod_gas)/Marine!CA_gross_prod_Total),0)</f>
        <v>0</v>
      </c>
      <c r="BN588" s="49">
        <f ca="1">IFERROR((BN560)/((Marine!CA_FP_oil_nom*Marine!CA_gross_prod_oil+Marine!CA_FP_lpg_nom*Marine!CA_gross_prod_lpg+Marine!CA_FP_gas_nom*Marine!CA_gross_prod_gas)/Marine!CA_gross_prod_Total),0)</f>
        <v>0</v>
      </c>
      <c r="BO588" s="49">
        <f ca="1">IFERROR((BO560)/((Marine!CA_FP_oil_nom*Marine!CA_gross_prod_oil+Marine!CA_FP_lpg_nom*Marine!CA_gross_prod_lpg+Marine!CA_FP_gas_nom*Marine!CA_gross_prod_gas)/Marine!CA_gross_prod_Total),0)</f>
        <v>0</v>
      </c>
      <c r="BP588" s="49">
        <f ca="1">IFERROR((BP560)/((Marine!CA_FP_oil_nom*Marine!CA_gross_prod_oil+Marine!CA_FP_lpg_nom*Marine!CA_gross_prod_lpg+Marine!CA_FP_gas_nom*Marine!CA_gross_prod_gas)/Marine!CA_gross_prod_Total),0)</f>
        <v>0</v>
      </c>
      <c r="BQ588" s="49">
        <f ca="1">IFERROR((BQ560)/((Marine!CA_FP_oil_nom*Marine!CA_gross_prod_oil+Marine!CA_FP_lpg_nom*Marine!CA_gross_prod_lpg+Marine!CA_FP_gas_nom*Marine!CA_gross_prod_gas)/Marine!CA_gross_prod_Total),0)</f>
        <v>0</v>
      </c>
      <c r="BR588" s="49">
        <f ca="1">IFERROR((BR560)/((Marine!CA_FP_oil_nom*Marine!CA_gross_prod_oil+Marine!CA_FP_lpg_nom*Marine!CA_gross_prod_lpg+Marine!CA_FP_gas_nom*Marine!CA_gross_prod_gas)/Marine!CA_gross_prod_Total),0)</f>
        <v>0</v>
      </c>
      <c r="BS588" s="49">
        <f ca="1">IFERROR((BS560)/((Marine!CA_FP_oil_nom*Marine!CA_gross_prod_oil+Marine!CA_FP_lpg_nom*Marine!CA_gross_prod_lpg+Marine!CA_FP_gas_nom*Marine!CA_gross_prod_gas)/Marine!CA_gross_prod_Total),0)</f>
        <v>0</v>
      </c>
    </row>
    <row r="589" spans="3:71" outlineLevel="1" x14ac:dyDescent="0.2">
      <c r="D589" t="s">
        <v>85</v>
      </c>
      <c r="H589" s="7"/>
      <c r="I589" s="30">
        <f t="shared" ca="1" si="199"/>
        <v>0</v>
      </c>
      <c r="J589" s="26" t="s">
        <v>692</v>
      </c>
      <c r="L589" s="49">
        <f ca="1">IFERROR((L562)/((Marine!CA_FP_oil_nom*Marine!CA_gross_prod_oil+Marine!CA_FP_lpg_nom*Marine!CA_gross_prod_lpg+Marine!CA_FP_gas_nom*Marine!CA_gross_prod_gas)/Marine!CA_gross_prod_Total),0)</f>
        <v>0</v>
      </c>
      <c r="M589" s="49">
        <f ca="1">IFERROR((M562)/((Marine!CA_FP_oil_nom*Marine!CA_gross_prod_oil+Marine!CA_FP_lpg_nom*Marine!CA_gross_prod_lpg+Marine!CA_FP_gas_nom*Marine!CA_gross_prod_gas)/Marine!CA_gross_prod_Total),0)</f>
        <v>0</v>
      </c>
      <c r="N589" s="49">
        <f ca="1">IFERROR((N562)/((Marine!CA_FP_oil_nom*Marine!CA_gross_prod_oil+Marine!CA_FP_lpg_nom*Marine!CA_gross_prod_lpg+Marine!CA_FP_gas_nom*Marine!CA_gross_prod_gas)/Marine!CA_gross_prod_Total),0)</f>
        <v>0</v>
      </c>
      <c r="O589" s="49">
        <f ca="1">IFERROR((O562)/((Marine!CA_FP_oil_nom*Marine!CA_gross_prod_oil+Marine!CA_FP_lpg_nom*Marine!CA_gross_prod_lpg+Marine!CA_FP_gas_nom*Marine!CA_gross_prod_gas)/Marine!CA_gross_prod_Total),0)</f>
        <v>0</v>
      </c>
      <c r="P589" s="49">
        <f ca="1">IFERROR((P562)/((Marine!CA_FP_oil_nom*Marine!CA_gross_prod_oil+Marine!CA_FP_lpg_nom*Marine!CA_gross_prod_lpg+Marine!CA_FP_gas_nom*Marine!CA_gross_prod_gas)/Marine!CA_gross_prod_Total),0)</f>
        <v>0</v>
      </c>
      <c r="Q589" s="49">
        <f ca="1">IFERROR((Q562)/((Marine!CA_FP_oil_nom*Marine!CA_gross_prod_oil+Marine!CA_FP_lpg_nom*Marine!CA_gross_prod_lpg+Marine!CA_FP_gas_nom*Marine!CA_gross_prod_gas)/Marine!CA_gross_prod_Total),0)</f>
        <v>0</v>
      </c>
      <c r="R589" s="49">
        <f ca="1">IFERROR((R562)/((Marine!CA_FP_oil_nom*Marine!CA_gross_prod_oil+Marine!CA_FP_lpg_nom*Marine!CA_gross_prod_lpg+Marine!CA_FP_gas_nom*Marine!CA_gross_prod_gas)/Marine!CA_gross_prod_Total),0)</f>
        <v>0</v>
      </c>
      <c r="S589" s="49">
        <f ca="1">IFERROR((S562)/((Marine!CA_FP_oil_nom*Marine!CA_gross_prod_oil+Marine!CA_FP_lpg_nom*Marine!CA_gross_prod_lpg+Marine!CA_FP_gas_nom*Marine!CA_gross_prod_gas)/Marine!CA_gross_prod_Total),0)</f>
        <v>0</v>
      </c>
      <c r="T589" s="49">
        <f ca="1">IFERROR((T562)/((Marine!CA_FP_oil_nom*Marine!CA_gross_prod_oil+Marine!CA_FP_lpg_nom*Marine!CA_gross_prod_lpg+Marine!CA_FP_gas_nom*Marine!CA_gross_prod_gas)/Marine!CA_gross_prod_Total),0)</f>
        <v>0</v>
      </c>
      <c r="U589" s="49">
        <f ca="1">IFERROR((U562)/((Marine!CA_FP_oil_nom*Marine!CA_gross_prod_oil+Marine!CA_FP_lpg_nom*Marine!CA_gross_prod_lpg+Marine!CA_FP_gas_nom*Marine!CA_gross_prod_gas)/Marine!CA_gross_prod_Total),0)</f>
        <v>0</v>
      </c>
      <c r="V589" s="49">
        <f ca="1">IFERROR((V562)/((Marine!CA_FP_oil_nom*Marine!CA_gross_prod_oil+Marine!CA_FP_lpg_nom*Marine!CA_gross_prod_lpg+Marine!CA_FP_gas_nom*Marine!CA_gross_prod_gas)/Marine!CA_gross_prod_Total),0)</f>
        <v>0</v>
      </c>
      <c r="W589" s="49">
        <f ca="1">IFERROR((W562)/((Marine!CA_FP_oil_nom*Marine!CA_gross_prod_oil+Marine!CA_FP_lpg_nom*Marine!CA_gross_prod_lpg+Marine!CA_FP_gas_nom*Marine!CA_gross_prod_gas)/Marine!CA_gross_prod_Total),0)</f>
        <v>0</v>
      </c>
      <c r="X589" s="49">
        <f ca="1">IFERROR((X562)/((Marine!CA_FP_oil_nom*Marine!CA_gross_prod_oil+Marine!CA_FP_lpg_nom*Marine!CA_gross_prod_lpg+Marine!CA_FP_gas_nom*Marine!CA_gross_prod_gas)/Marine!CA_gross_prod_Total),0)</f>
        <v>0</v>
      </c>
      <c r="Y589" s="49">
        <f ca="1">IFERROR((Y562)/((Marine!CA_FP_oil_nom*Marine!CA_gross_prod_oil+Marine!CA_FP_lpg_nom*Marine!CA_gross_prod_lpg+Marine!CA_FP_gas_nom*Marine!CA_gross_prod_gas)/Marine!CA_gross_prod_Total),0)</f>
        <v>0</v>
      </c>
      <c r="Z589" s="49">
        <f ca="1">IFERROR((Z562)/((Marine!CA_FP_oil_nom*Marine!CA_gross_prod_oil+Marine!CA_FP_lpg_nom*Marine!CA_gross_prod_lpg+Marine!CA_FP_gas_nom*Marine!CA_gross_prod_gas)/Marine!CA_gross_prod_Total),0)</f>
        <v>0</v>
      </c>
      <c r="AA589" s="49">
        <f ca="1">IFERROR((AA562)/((Marine!CA_FP_oil_nom*Marine!CA_gross_prod_oil+Marine!CA_FP_lpg_nom*Marine!CA_gross_prod_lpg+Marine!CA_FP_gas_nom*Marine!CA_gross_prod_gas)/Marine!CA_gross_prod_Total),0)</f>
        <v>0</v>
      </c>
      <c r="AB589" s="49">
        <f ca="1">IFERROR((AB562)/((Marine!CA_FP_oil_nom*Marine!CA_gross_prod_oil+Marine!CA_FP_lpg_nom*Marine!CA_gross_prod_lpg+Marine!CA_FP_gas_nom*Marine!CA_gross_prod_gas)/Marine!CA_gross_prod_Total),0)</f>
        <v>0</v>
      </c>
      <c r="AC589" s="49">
        <f ca="1">IFERROR((AC562)/((Marine!CA_FP_oil_nom*Marine!CA_gross_prod_oil+Marine!CA_FP_lpg_nom*Marine!CA_gross_prod_lpg+Marine!CA_FP_gas_nom*Marine!CA_gross_prod_gas)/Marine!CA_gross_prod_Total),0)</f>
        <v>0</v>
      </c>
      <c r="AD589" s="49">
        <f ca="1">IFERROR((AD562)/((Marine!CA_FP_oil_nom*Marine!CA_gross_prod_oil+Marine!CA_FP_lpg_nom*Marine!CA_gross_prod_lpg+Marine!CA_FP_gas_nom*Marine!CA_gross_prod_gas)/Marine!CA_gross_prod_Total),0)</f>
        <v>0</v>
      </c>
      <c r="AE589" s="49">
        <f ca="1">IFERROR((AE562)/((Marine!CA_FP_oil_nom*Marine!CA_gross_prod_oil+Marine!CA_FP_lpg_nom*Marine!CA_gross_prod_lpg+Marine!CA_FP_gas_nom*Marine!CA_gross_prod_gas)/Marine!CA_gross_prod_Total),0)</f>
        <v>0</v>
      </c>
      <c r="AF589" s="49">
        <f ca="1">IFERROR((AF562)/((Marine!CA_FP_oil_nom*Marine!CA_gross_prod_oil+Marine!CA_FP_lpg_nom*Marine!CA_gross_prod_lpg+Marine!CA_FP_gas_nom*Marine!CA_gross_prod_gas)/Marine!CA_gross_prod_Total),0)</f>
        <v>0</v>
      </c>
      <c r="AG589" s="49">
        <f ca="1">IFERROR((AG562)/((Marine!CA_FP_oil_nom*Marine!CA_gross_prod_oil+Marine!CA_FP_lpg_nom*Marine!CA_gross_prod_lpg+Marine!CA_FP_gas_nom*Marine!CA_gross_prod_gas)/Marine!CA_gross_prod_Total),0)</f>
        <v>0</v>
      </c>
      <c r="AH589" s="49">
        <f ca="1">IFERROR((AH562)/((Marine!CA_FP_oil_nom*Marine!CA_gross_prod_oil+Marine!CA_FP_lpg_nom*Marine!CA_gross_prod_lpg+Marine!CA_FP_gas_nom*Marine!CA_gross_prod_gas)/Marine!CA_gross_prod_Total),0)</f>
        <v>0</v>
      </c>
      <c r="AI589" s="49">
        <f ca="1">IFERROR((AI562)/((Marine!CA_FP_oil_nom*Marine!CA_gross_prod_oil+Marine!CA_FP_lpg_nom*Marine!CA_gross_prod_lpg+Marine!CA_FP_gas_nom*Marine!CA_gross_prod_gas)/Marine!CA_gross_prod_Total),0)</f>
        <v>0</v>
      </c>
      <c r="AJ589" s="49">
        <f ca="1">IFERROR((AJ562)/((Marine!CA_FP_oil_nom*Marine!CA_gross_prod_oil+Marine!CA_FP_lpg_nom*Marine!CA_gross_prod_lpg+Marine!CA_FP_gas_nom*Marine!CA_gross_prod_gas)/Marine!CA_gross_prod_Total),0)</f>
        <v>0</v>
      </c>
      <c r="AK589" s="49">
        <f ca="1">IFERROR((AK562)/((Marine!CA_FP_oil_nom*Marine!CA_gross_prod_oil+Marine!CA_FP_lpg_nom*Marine!CA_gross_prod_lpg+Marine!CA_FP_gas_nom*Marine!CA_gross_prod_gas)/Marine!CA_gross_prod_Total),0)</f>
        <v>0</v>
      </c>
      <c r="AL589" s="49">
        <f ca="1">IFERROR((AL562)/((Marine!CA_FP_oil_nom*Marine!CA_gross_prod_oil+Marine!CA_FP_lpg_nom*Marine!CA_gross_prod_lpg+Marine!CA_FP_gas_nom*Marine!CA_gross_prod_gas)/Marine!CA_gross_prod_Total),0)</f>
        <v>0</v>
      </c>
      <c r="AM589" s="49">
        <f ca="1">IFERROR((AM562)/((Marine!CA_FP_oil_nom*Marine!CA_gross_prod_oil+Marine!CA_FP_lpg_nom*Marine!CA_gross_prod_lpg+Marine!CA_FP_gas_nom*Marine!CA_gross_prod_gas)/Marine!CA_gross_prod_Total),0)</f>
        <v>0</v>
      </c>
      <c r="AN589" s="49">
        <f ca="1">IFERROR((AN562)/((Marine!CA_FP_oil_nom*Marine!CA_gross_prod_oil+Marine!CA_FP_lpg_nom*Marine!CA_gross_prod_lpg+Marine!CA_FP_gas_nom*Marine!CA_gross_prod_gas)/Marine!CA_gross_prod_Total),0)</f>
        <v>0</v>
      </c>
      <c r="AO589" s="49">
        <f ca="1">IFERROR((AO562)/((Marine!CA_FP_oil_nom*Marine!CA_gross_prod_oil+Marine!CA_FP_lpg_nom*Marine!CA_gross_prod_lpg+Marine!CA_FP_gas_nom*Marine!CA_gross_prod_gas)/Marine!CA_gross_prod_Total),0)</f>
        <v>0</v>
      </c>
      <c r="AP589" s="49">
        <f ca="1">IFERROR((AP562)/((Marine!CA_FP_oil_nom*Marine!CA_gross_prod_oil+Marine!CA_FP_lpg_nom*Marine!CA_gross_prod_lpg+Marine!CA_FP_gas_nom*Marine!CA_gross_prod_gas)/Marine!CA_gross_prod_Total),0)</f>
        <v>0</v>
      </c>
      <c r="AQ589" s="49">
        <f ca="1">IFERROR((AQ562)/((Marine!CA_FP_oil_nom*Marine!CA_gross_prod_oil+Marine!CA_FP_lpg_nom*Marine!CA_gross_prod_lpg+Marine!CA_FP_gas_nom*Marine!CA_gross_prod_gas)/Marine!CA_gross_prod_Total),0)</f>
        <v>0</v>
      </c>
      <c r="AR589" s="49">
        <f ca="1">IFERROR((AR562)/((Marine!CA_FP_oil_nom*Marine!CA_gross_prod_oil+Marine!CA_FP_lpg_nom*Marine!CA_gross_prod_lpg+Marine!CA_FP_gas_nom*Marine!CA_gross_prod_gas)/Marine!CA_gross_prod_Total),0)</f>
        <v>0</v>
      </c>
      <c r="AS589" s="49">
        <f ca="1">IFERROR((AS562)/((Marine!CA_FP_oil_nom*Marine!CA_gross_prod_oil+Marine!CA_FP_lpg_nom*Marine!CA_gross_prod_lpg+Marine!CA_FP_gas_nom*Marine!CA_gross_prod_gas)/Marine!CA_gross_prod_Total),0)</f>
        <v>0</v>
      </c>
      <c r="AT589" s="49">
        <f ca="1">IFERROR((AT562)/((Marine!CA_FP_oil_nom*Marine!CA_gross_prod_oil+Marine!CA_FP_lpg_nom*Marine!CA_gross_prod_lpg+Marine!CA_FP_gas_nom*Marine!CA_gross_prod_gas)/Marine!CA_gross_prod_Total),0)</f>
        <v>0</v>
      </c>
      <c r="AU589" s="49">
        <f ca="1">IFERROR((AU562)/((Marine!CA_FP_oil_nom*Marine!CA_gross_prod_oil+Marine!CA_FP_lpg_nom*Marine!CA_gross_prod_lpg+Marine!CA_FP_gas_nom*Marine!CA_gross_prod_gas)/Marine!CA_gross_prod_Total),0)</f>
        <v>0</v>
      </c>
      <c r="AV589" s="49">
        <f ca="1">IFERROR((AV562)/((Marine!CA_FP_oil_nom*Marine!CA_gross_prod_oil+Marine!CA_FP_lpg_nom*Marine!CA_gross_prod_lpg+Marine!CA_FP_gas_nom*Marine!CA_gross_prod_gas)/Marine!CA_gross_prod_Total),0)</f>
        <v>0</v>
      </c>
      <c r="AW589" s="49">
        <f ca="1">IFERROR((AW562)/((Marine!CA_FP_oil_nom*Marine!CA_gross_prod_oil+Marine!CA_FP_lpg_nom*Marine!CA_gross_prod_lpg+Marine!CA_FP_gas_nom*Marine!CA_gross_prod_gas)/Marine!CA_gross_prod_Total),0)</f>
        <v>0</v>
      </c>
      <c r="AX589" s="49">
        <f ca="1">IFERROR((AX562)/((Marine!CA_FP_oil_nom*Marine!CA_gross_prod_oil+Marine!CA_FP_lpg_nom*Marine!CA_gross_prod_lpg+Marine!CA_FP_gas_nom*Marine!CA_gross_prod_gas)/Marine!CA_gross_prod_Total),0)</f>
        <v>0</v>
      </c>
      <c r="AY589" s="49">
        <f ca="1">IFERROR((AY562)/((Marine!CA_FP_oil_nom*Marine!CA_gross_prod_oil+Marine!CA_FP_lpg_nom*Marine!CA_gross_prod_lpg+Marine!CA_FP_gas_nom*Marine!CA_gross_prod_gas)/Marine!CA_gross_prod_Total),0)</f>
        <v>0</v>
      </c>
      <c r="AZ589" s="49">
        <f ca="1">IFERROR((AZ562)/((Marine!CA_FP_oil_nom*Marine!CA_gross_prod_oil+Marine!CA_FP_lpg_nom*Marine!CA_gross_prod_lpg+Marine!CA_FP_gas_nom*Marine!CA_gross_prod_gas)/Marine!CA_gross_prod_Total),0)</f>
        <v>0</v>
      </c>
      <c r="BA589" s="49">
        <f ca="1">IFERROR((BA562)/((Marine!CA_FP_oil_nom*Marine!CA_gross_prod_oil+Marine!CA_FP_lpg_nom*Marine!CA_gross_prod_lpg+Marine!CA_FP_gas_nom*Marine!CA_gross_prod_gas)/Marine!CA_gross_prod_Total),0)</f>
        <v>0</v>
      </c>
      <c r="BB589" s="49">
        <f ca="1">IFERROR((BB562)/((Marine!CA_FP_oil_nom*Marine!CA_gross_prod_oil+Marine!CA_FP_lpg_nom*Marine!CA_gross_prod_lpg+Marine!CA_FP_gas_nom*Marine!CA_gross_prod_gas)/Marine!CA_gross_prod_Total),0)</f>
        <v>0</v>
      </c>
      <c r="BC589" s="49">
        <f ca="1">IFERROR((BC562)/((Marine!CA_FP_oil_nom*Marine!CA_gross_prod_oil+Marine!CA_FP_lpg_nom*Marine!CA_gross_prod_lpg+Marine!CA_FP_gas_nom*Marine!CA_gross_prod_gas)/Marine!CA_gross_prod_Total),0)</f>
        <v>0</v>
      </c>
      <c r="BD589" s="49">
        <f ca="1">IFERROR((BD562)/((Marine!CA_FP_oil_nom*Marine!CA_gross_prod_oil+Marine!CA_FP_lpg_nom*Marine!CA_gross_prod_lpg+Marine!CA_FP_gas_nom*Marine!CA_gross_prod_gas)/Marine!CA_gross_prod_Total),0)</f>
        <v>0</v>
      </c>
      <c r="BE589" s="49">
        <f ca="1">IFERROR((BE562)/((Marine!CA_FP_oil_nom*Marine!CA_gross_prod_oil+Marine!CA_FP_lpg_nom*Marine!CA_gross_prod_lpg+Marine!CA_FP_gas_nom*Marine!CA_gross_prod_gas)/Marine!CA_gross_prod_Total),0)</f>
        <v>0</v>
      </c>
      <c r="BF589" s="49">
        <f ca="1">IFERROR((BF562)/((Marine!CA_FP_oil_nom*Marine!CA_gross_prod_oil+Marine!CA_FP_lpg_nom*Marine!CA_gross_prod_lpg+Marine!CA_FP_gas_nom*Marine!CA_gross_prod_gas)/Marine!CA_gross_prod_Total),0)</f>
        <v>0</v>
      </c>
      <c r="BG589" s="49">
        <f ca="1">IFERROR((BG562)/((Marine!CA_FP_oil_nom*Marine!CA_gross_prod_oil+Marine!CA_FP_lpg_nom*Marine!CA_gross_prod_lpg+Marine!CA_FP_gas_nom*Marine!CA_gross_prod_gas)/Marine!CA_gross_prod_Total),0)</f>
        <v>0</v>
      </c>
      <c r="BH589" s="49">
        <f ca="1">IFERROR((BH562)/((Marine!CA_FP_oil_nom*Marine!CA_gross_prod_oil+Marine!CA_FP_lpg_nom*Marine!CA_gross_prod_lpg+Marine!CA_FP_gas_nom*Marine!CA_gross_prod_gas)/Marine!CA_gross_prod_Total),0)</f>
        <v>0</v>
      </c>
      <c r="BI589" s="49">
        <f ca="1">IFERROR((BI562)/((Marine!CA_FP_oil_nom*Marine!CA_gross_prod_oil+Marine!CA_FP_lpg_nom*Marine!CA_gross_prod_lpg+Marine!CA_FP_gas_nom*Marine!CA_gross_prod_gas)/Marine!CA_gross_prod_Total),0)</f>
        <v>0</v>
      </c>
      <c r="BJ589" s="49">
        <f ca="1">IFERROR((BJ562)/((Marine!CA_FP_oil_nom*Marine!CA_gross_prod_oil+Marine!CA_FP_lpg_nom*Marine!CA_gross_prod_lpg+Marine!CA_FP_gas_nom*Marine!CA_gross_prod_gas)/Marine!CA_gross_prod_Total),0)</f>
        <v>0</v>
      </c>
      <c r="BK589" s="49">
        <f ca="1">IFERROR((BK562)/((Marine!CA_FP_oil_nom*Marine!CA_gross_prod_oil+Marine!CA_FP_lpg_nom*Marine!CA_gross_prod_lpg+Marine!CA_FP_gas_nom*Marine!CA_gross_prod_gas)/Marine!CA_gross_prod_Total),0)</f>
        <v>0</v>
      </c>
      <c r="BL589" s="49">
        <f ca="1">IFERROR((BL562)/((Marine!CA_FP_oil_nom*Marine!CA_gross_prod_oil+Marine!CA_FP_lpg_nom*Marine!CA_gross_prod_lpg+Marine!CA_FP_gas_nom*Marine!CA_gross_prod_gas)/Marine!CA_gross_prod_Total),0)</f>
        <v>0</v>
      </c>
      <c r="BM589" s="49">
        <f ca="1">IFERROR((BM562)/((Marine!CA_FP_oil_nom*Marine!CA_gross_prod_oil+Marine!CA_FP_lpg_nom*Marine!CA_gross_prod_lpg+Marine!CA_FP_gas_nom*Marine!CA_gross_prod_gas)/Marine!CA_gross_prod_Total),0)</f>
        <v>0</v>
      </c>
      <c r="BN589" s="49">
        <f ca="1">IFERROR((BN562)/((Marine!CA_FP_oil_nom*Marine!CA_gross_prod_oil+Marine!CA_FP_lpg_nom*Marine!CA_gross_prod_lpg+Marine!CA_FP_gas_nom*Marine!CA_gross_prod_gas)/Marine!CA_gross_prod_Total),0)</f>
        <v>0</v>
      </c>
      <c r="BO589" s="49">
        <f ca="1">IFERROR((BO562)/((Marine!CA_FP_oil_nom*Marine!CA_gross_prod_oil+Marine!CA_FP_lpg_nom*Marine!CA_gross_prod_lpg+Marine!CA_FP_gas_nom*Marine!CA_gross_prod_gas)/Marine!CA_gross_prod_Total),0)</f>
        <v>0</v>
      </c>
      <c r="BP589" s="49">
        <f ca="1">IFERROR((BP562)/((Marine!CA_FP_oil_nom*Marine!CA_gross_prod_oil+Marine!CA_FP_lpg_nom*Marine!CA_gross_prod_lpg+Marine!CA_FP_gas_nom*Marine!CA_gross_prod_gas)/Marine!CA_gross_prod_Total),0)</f>
        <v>0</v>
      </c>
      <c r="BQ589" s="49">
        <f ca="1">IFERROR((BQ562)/((Marine!CA_FP_oil_nom*Marine!CA_gross_prod_oil+Marine!CA_FP_lpg_nom*Marine!CA_gross_prod_lpg+Marine!CA_FP_gas_nom*Marine!CA_gross_prod_gas)/Marine!CA_gross_prod_Total),0)</f>
        <v>0</v>
      </c>
      <c r="BR589" s="49">
        <f ca="1">IFERROR((BR562)/((Marine!CA_FP_oil_nom*Marine!CA_gross_prod_oil+Marine!CA_FP_lpg_nom*Marine!CA_gross_prod_lpg+Marine!CA_FP_gas_nom*Marine!CA_gross_prod_gas)/Marine!CA_gross_prod_Total),0)</f>
        <v>0</v>
      </c>
      <c r="BS589" s="49">
        <f ca="1">IFERROR((BS562)/((Marine!CA_FP_oil_nom*Marine!CA_gross_prod_oil+Marine!CA_FP_lpg_nom*Marine!CA_gross_prod_lpg+Marine!CA_FP_gas_nom*Marine!CA_gross_prod_gas)/Marine!CA_gross_prod_Total),0)</f>
        <v>0</v>
      </c>
    </row>
    <row r="590" spans="3:71" outlineLevel="1" x14ac:dyDescent="0.2">
      <c r="D590" t="s">
        <v>294</v>
      </c>
      <c r="H590" s="7"/>
      <c r="I590" s="30">
        <f t="shared" ca="1" si="199"/>
        <v>0</v>
      </c>
      <c r="J590" s="26" t="s">
        <v>692</v>
      </c>
      <c r="L590" s="49">
        <f ca="1">IFERROR((L563)/((Marine!CA_FP_oil_nom*Marine!CA_gross_prod_oil+Marine!CA_FP_lpg_nom*Marine!CA_gross_prod_lpg)/(Marine!CA_gross_prod_oil+Marine!CA_gross_prod_lpg)),0)</f>
        <v>0</v>
      </c>
      <c r="M590" s="49">
        <f ca="1">IFERROR((M563)/((Marine!CA_FP_oil_nom*Marine!CA_gross_prod_oil+Marine!CA_FP_lpg_nom*Marine!CA_gross_prod_lpg)/(Marine!CA_gross_prod_oil+Marine!CA_gross_prod_lpg)),0)</f>
        <v>0</v>
      </c>
      <c r="N590" s="49">
        <f ca="1">IFERROR((N563)/((Marine!CA_FP_oil_nom*Marine!CA_gross_prod_oil+Marine!CA_FP_lpg_nom*Marine!CA_gross_prod_lpg)/(Marine!CA_gross_prod_oil+Marine!CA_gross_prod_lpg)),0)</f>
        <v>0</v>
      </c>
      <c r="O590" s="49">
        <f ca="1">IFERROR((O563)/((Marine!CA_FP_oil_nom*Marine!CA_gross_prod_oil+Marine!CA_FP_lpg_nom*Marine!CA_gross_prod_lpg)/(Marine!CA_gross_prod_oil+Marine!CA_gross_prod_lpg)),0)</f>
        <v>0</v>
      </c>
      <c r="P590" s="49">
        <f ca="1">IFERROR((P563)/((Marine!CA_FP_oil_nom*Marine!CA_gross_prod_oil+Marine!CA_FP_lpg_nom*Marine!CA_gross_prod_lpg)/(Marine!CA_gross_prod_oil+Marine!CA_gross_prod_lpg)),0)</f>
        <v>0</v>
      </c>
      <c r="Q590" s="49">
        <f ca="1">IFERROR((Q563)/((Marine!CA_FP_oil_nom*Marine!CA_gross_prod_oil+Marine!CA_FP_lpg_nom*Marine!CA_gross_prod_lpg)/(Marine!CA_gross_prod_oil+Marine!CA_gross_prod_lpg)),0)</f>
        <v>0</v>
      </c>
      <c r="R590" s="49">
        <f ca="1">IFERROR((R563)/((Marine!CA_FP_oil_nom*Marine!CA_gross_prod_oil+Marine!CA_FP_lpg_nom*Marine!CA_gross_prod_lpg)/(Marine!CA_gross_prod_oil+Marine!CA_gross_prod_lpg)),0)</f>
        <v>0</v>
      </c>
      <c r="S590" s="49">
        <f ca="1">IFERROR((S563)/((Marine!CA_FP_oil_nom*Marine!CA_gross_prod_oil+Marine!CA_FP_lpg_nom*Marine!CA_gross_prod_lpg)/(Marine!CA_gross_prod_oil+Marine!CA_gross_prod_lpg)),0)</f>
        <v>0</v>
      </c>
      <c r="T590" s="49">
        <f ca="1">IFERROR((T563)/((Marine!CA_FP_oil_nom*Marine!CA_gross_prod_oil+Marine!CA_FP_lpg_nom*Marine!CA_gross_prod_lpg)/(Marine!CA_gross_prod_oil+Marine!CA_gross_prod_lpg)),0)</f>
        <v>0</v>
      </c>
      <c r="U590" s="49">
        <f ca="1">IFERROR((U563)/((Marine!CA_FP_oil_nom*Marine!CA_gross_prod_oil+Marine!CA_FP_lpg_nom*Marine!CA_gross_prod_lpg)/(Marine!CA_gross_prod_oil+Marine!CA_gross_prod_lpg)),0)</f>
        <v>0</v>
      </c>
      <c r="V590" s="49">
        <f ca="1">IFERROR((V563)/((Marine!CA_FP_oil_nom*Marine!CA_gross_prod_oil+Marine!CA_FP_lpg_nom*Marine!CA_gross_prod_lpg)/(Marine!CA_gross_prod_oil+Marine!CA_gross_prod_lpg)),0)</f>
        <v>0</v>
      </c>
      <c r="W590" s="49">
        <f ca="1">IFERROR((W563)/((Marine!CA_FP_oil_nom*Marine!CA_gross_prod_oil+Marine!CA_FP_lpg_nom*Marine!CA_gross_prod_lpg)/(Marine!CA_gross_prod_oil+Marine!CA_gross_prod_lpg)),0)</f>
        <v>0</v>
      </c>
      <c r="X590" s="49">
        <f ca="1">IFERROR((X563)/((Marine!CA_FP_oil_nom*Marine!CA_gross_prod_oil+Marine!CA_FP_lpg_nom*Marine!CA_gross_prod_lpg)/(Marine!CA_gross_prod_oil+Marine!CA_gross_prod_lpg)),0)</f>
        <v>0</v>
      </c>
      <c r="Y590" s="49">
        <f ca="1">IFERROR((Y563)/((Marine!CA_FP_oil_nom*Marine!CA_gross_prod_oil+Marine!CA_FP_lpg_nom*Marine!CA_gross_prod_lpg)/(Marine!CA_gross_prod_oil+Marine!CA_gross_prod_lpg)),0)</f>
        <v>0</v>
      </c>
      <c r="Z590" s="49">
        <f ca="1">IFERROR((Z563)/((Marine!CA_FP_oil_nom*Marine!CA_gross_prod_oil+Marine!CA_FP_lpg_nom*Marine!CA_gross_prod_lpg)/(Marine!CA_gross_prod_oil+Marine!CA_gross_prod_lpg)),0)</f>
        <v>0</v>
      </c>
      <c r="AA590" s="49">
        <f ca="1">IFERROR((AA563)/((Marine!CA_FP_oil_nom*Marine!CA_gross_prod_oil+Marine!CA_FP_lpg_nom*Marine!CA_gross_prod_lpg)/(Marine!CA_gross_prod_oil+Marine!CA_gross_prod_lpg)),0)</f>
        <v>0</v>
      </c>
      <c r="AB590" s="49">
        <f ca="1">IFERROR((AB563)/((Marine!CA_FP_oil_nom*Marine!CA_gross_prod_oil+Marine!CA_FP_lpg_nom*Marine!CA_gross_prod_lpg)/(Marine!CA_gross_prod_oil+Marine!CA_gross_prod_lpg)),0)</f>
        <v>0</v>
      </c>
      <c r="AC590" s="49">
        <f ca="1">IFERROR((AC563)/((Marine!CA_FP_oil_nom*Marine!CA_gross_prod_oil+Marine!CA_FP_lpg_nom*Marine!CA_gross_prod_lpg)/(Marine!CA_gross_prod_oil+Marine!CA_gross_prod_lpg)),0)</f>
        <v>0</v>
      </c>
      <c r="AD590" s="49">
        <f ca="1">IFERROR((AD563)/((Marine!CA_FP_oil_nom*Marine!CA_gross_prod_oil+Marine!CA_FP_lpg_nom*Marine!CA_gross_prod_lpg)/(Marine!CA_gross_prod_oil+Marine!CA_gross_prod_lpg)),0)</f>
        <v>0</v>
      </c>
      <c r="AE590" s="49">
        <f ca="1">IFERROR((AE563)/((Marine!CA_FP_oil_nom*Marine!CA_gross_prod_oil+Marine!CA_FP_lpg_nom*Marine!CA_gross_prod_lpg)/(Marine!CA_gross_prod_oil+Marine!CA_gross_prod_lpg)),0)</f>
        <v>0</v>
      </c>
      <c r="AF590" s="49">
        <f ca="1">IFERROR((AF563)/((Marine!CA_FP_oil_nom*Marine!CA_gross_prod_oil+Marine!CA_FP_lpg_nom*Marine!CA_gross_prod_lpg)/(Marine!CA_gross_prod_oil+Marine!CA_gross_prod_lpg)),0)</f>
        <v>0</v>
      </c>
      <c r="AG590" s="49">
        <f ca="1">IFERROR((AG563)/((Marine!CA_FP_oil_nom*Marine!CA_gross_prod_oil+Marine!CA_FP_lpg_nom*Marine!CA_gross_prod_lpg)/(Marine!CA_gross_prod_oil+Marine!CA_gross_prod_lpg)),0)</f>
        <v>0</v>
      </c>
      <c r="AH590" s="49">
        <f ca="1">IFERROR((AH563)/((Marine!CA_FP_oil_nom*Marine!CA_gross_prod_oil+Marine!CA_FP_lpg_nom*Marine!CA_gross_prod_lpg)/(Marine!CA_gross_prod_oil+Marine!CA_gross_prod_lpg)),0)</f>
        <v>0</v>
      </c>
      <c r="AI590" s="49">
        <f ca="1">IFERROR((AI563)/((Marine!CA_FP_oil_nom*Marine!CA_gross_prod_oil+Marine!CA_FP_lpg_nom*Marine!CA_gross_prod_lpg)/(Marine!CA_gross_prod_oil+Marine!CA_gross_prod_lpg)),0)</f>
        <v>0</v>
      </c>
      <c r="AJ590" s="49">
        <f ca="1">IFERROR((AJ563)/((Marine!CA_FP_oil_nom*Marine!CA_gross_prod_oil+Marine!CA_FP_lpg_nom*Marine!CA_gross_prod_lpg)/(Marine!CA_gross_prod_oil+Marine!CA_gross_prod_lpg)),0)</f>
        <v>0</v>
      </c>
      <c r="AK590" s="49">
        <f ca="1">IFERROR((AK563)/((Marine!CA_FP_oil_nom*Marine!CA_gross_prod_oil+Marine!CA_FP_lpg_nom*Marine!CA_gross_prod_lpg)/(Marine!CA_gross_prod_oil+Marine!CA_gross_prod_lpg)),0)</f>
        <v>0</v>
      </c>
      <c r="AL590" s="49">
        <f ca="1">IFERROR((AL563)/((Marine!CA_FP_oil_nom*Marine!CA_gross_prod_oil+Marine!CA_FP_lpg_nom*Marine!CA_gross_prod_lpg)/(Marine!CA_gross_prod_oil+Marine!CA_gross_prod_lpg)),0)</f>
        <v>0</v>
      </c>
      <c r="AM590" s="49">
        <f ca="1">IFERROR((AM563)/((Marine!CA_FP_oil_nom*Marine!CA_gross_prod_oil+Marine!CA_FP_lpg_nom*Marine!CA_gross_prod_lpg)/(Marine!CA_gross_prod_oil+Marine!CA_gross_prod_lpg)),0)</f>
        <v>0</v>
      </c>
      <c r="AN590" s="49">
        <f ca="1">IFERROR((AN563)/((Marine!CA_FP_oil_nom*Marine!CA_gross_prod_oil+Marine!CA_FP_lpg_nom*Marine!CA_gross_prod_lpg)/(Marine!CA_gross_prod_oil+Marine!CA_gross_prod_lpg)),0)</f>
        <v>0</v>
      </c>
      <c r="AO590" s="49">
        <f ca="1">IFERROR((AO563)/((Marine!CA_FP_oil_nom*Marine!CA_gross_prod_oil+Marine!CA_FP_lpg_nom*Marine!CA_gross_prod_lpg)/(Marine!CA_gross_prod_oil+Marine!CA_gross_prod_lpg)),0)</f>
        <v>0</v>
      </c>
      <c r="AP590" s="49">
        <f ca="1">IFERROR((AP563)/((Marine!CA_FP_oil_nom*Marine!CA_gross_prod_oil+Marine!CA_FP_lpg_nom*Marine!CA_gross_prod_lpg)/(Marine!CA_gross_prod_oil+Marine!CA_gross_prod_lpg)),0)</f>
        <v>0</v>
      </c>
      <c r="AQ590" s="49">
        <f ca="1">IFERROR((AQ563)/((Marine!CA_FP_oil_nom*Marine!CA_gross_prod_oil+Marine!CA_FP_lpg_nom*Marine!CA_gross_prod_lpg)/(Marine!CA_gross_prod_oil+Marine!CA_gross_prod_lpg)),0)</f>
        <v>0</v>
      </c>
      <c r="AR590" s="49">
        <f ca="1">IFERROR((AR563)/((Marine!CA_FP_oil_nom*Marine!CA_gross_prod_oil+Marine!CA_FP_lpg_nom*Marine!CA_gross_prod_lpg)/(Marine!CA_gross_prod_oil+Marine!CA_gross_prod_lpg)),0)</f>
        <v>0</v>
      </c>
      <c r="AS590" s="49">
        <f ca="1">IFERROR((AS563)/((Marine!CA_FP_oil_nom*Marine!CA_gross_prod_oil+Marine!CA_FP_lpg_nom*Marine!CA_gross_prod_lpg)/(Marine!CA_gross_prod_oil+Marine!CA_gross_prod_lpg)),0)</f>
        <v>0</v>
      </c>
      <c r="AT590" s="49">
        <f ca="1">IFERROR((AT563)/((Marine!CA_FP_oil_nom*Marine!CA_gross_prod_oil+Marine!CA_FP_lpg_nom*Marine!CA_gross_prod_lpg)/(Marine!CA_gross_prod_oil+Marine!CA_gross_prod_lpg)),0)</f>
        <v>0</v>
      </c>
      <c r="AU590" s="49">
        <f ca="1">IFERROR((AU563)/((Marine!CA_FP_oil_nom*Marine!CA_gross_prod_oil+Marine!CA_FP_lpg_nom*Marine!CA_gross_prod_lpg)/(Marine!CA_gross_prod_oil+Marine!CA_gross_prod_lpg)),0)</f>
        <v>0</v>
      </c>
      <c r="AV590" s="49">
        <f ca="1">IFERROR((AV563)/((Marine!CA_FP_oil_nom*Marine!CA_gross_prod_oil+Marine!CA_FP_lpg_nom*Marine!CA_gross_prod_lpg)/(Marine!CA_gross_prod_oil+Marine!CA_gross_prod_lpg)),0)</f>
        <v>0</v>
      </c>
      <c r="AW590" s="49">
        <f ca="1">IFERROR((AW563)/((Marine!CA_FP_oil_nom*Marine!CA_gross_prod_oil+Marine!CA_FP_lpg_nom*Marine!CA_gross_prod_lpg)/(Marine!CA_gross_prod_oil+Marine!CA_gross_prod_lpg)),0)</f>
        <v>0</v>
      </c>
      <c r="AX590" s="49">
        <f ca="1">IFERROR((AX563)/((Marine!CA_FP_oil_nom*Marine!CA_gross_prod_oil+Marine!CA_FP_lpg_nom*Marine!CA_gross_prod_lpg)/(Marine!CA_gross_prod_oil+Marine!CA_gross_prod_lpg)),0)</f>
        <v>0</v>
      </c>
      <c r="AY590" s="49">
        <f ca="1">IFERROR((AY563)/((Marine!CA_FP_oil_nom*Marine!CA_gross_prod_oil+Marine!CA_FP_lpg_nom*Marine!CA_gross_prod_lpg)/(Marine!CA_gross_prod_oil+Marine!CA_gross_prod_lpg)),0)</f>
        <v>0</v>
      </c>
      <c r="AZ590" s="49">
        <f ca="1">IFERROR((AZ563)/((Marine!CA_FP_oil_nom*Marine!CA_gross_prod_oil+Marine!CA_FP_lpg_nom*Marine!CA_gross_prod_lpg)/(Marine!CA_gross_prod_oil+Marine!CA_gross_prod_lpg)),0)</f>
        <v>0</v>
      </c>
      <c r="BA590" s="49">
        <f ca="1">IFERROR((BA563)/((Marine!CA_FP_oil_nom*Marine!CA_gross_prod_oil+Marine!CA_FP_lpg_nom*Marine!CA_gross_prod_lpg)/(Marine!CA_gross_prod_oil+Marine!CA_gross_prod_lpg)),0)</f>
        <v>0</v>
      </c>
      <c r="BB590" s="49">
        <f ca="1">IFERROR((BB563)/((Marine!CA_FP_oil_nom*Marine!CA_gross_prod_oil+Marine!CA_FP_lpg_nom*Marine!CA_gross_prod_lpg)/(Marine!CA_gross_prod_oil+Marine!CA_gross_prod_lpg)),0)</f>
        <v>0</v>
      </c>
      <c r="BC590" s="49">
        <f ca="1">IFERROR((BC563)/((Marine!CA_FP_oil_nom*Marine!CA_gross_prod_oil+Marine!CA_FP_lpg_nom*Marine!CA_gross_prod_lpg)/(Marine!CA_gross_prod_oil+Marine!CA_gross_prod_lpg)),0)</f>
        <v>0</v>
      </c>
      <c r="BD590" s="49">
        <f ca="1">IFERROR((BD563)/((Marine!CA_FP_oil_nom*Marine!CA_gross_prod_oil+Marine!CA_FP_lpg_nom*Marine!CA_gross_prod_lpg)/(Marine!CA_gross_prod_oil+Marine!CA_gross_prod_lpg)),0)</f>
        <v>0</v>
      </c>
      <c r="BE590" s="49">
        <f ca="1">IFERROR((BE563)/((Marine!CA_FP_oil_nom*Marine!CA_gross_prod_oil+Marine!CA_FP_lpg_nom*Marine!CA_gross_prod_lpg)/(Marine!CA_gross_prod_oil+Marine!CA_gross_prod_lpg)),0)</f>
        <v>0</v>
      </c>
      <c r="BF590" s="49">
        <f ca="1">IFERROR((BF563)/((Marine!CA_FP_oil_nom*Marine!CA_gross_prod_oil+Marine!CA_FP_lpg_nom*Marine!CA_gross_prod_lpg)/(Marine!CA_gross_prod_oil+Marine!CA_gross_prod_lpg)),0)</f>
        <v>0</v>
      </c>
      <c r="BG590" s="49">
        <f ca="1">IFERROR((BG563)/((Marine!CA_FP_oil_nom*Marine!CA_gross_prod_oil+Marine!CA_FP_lpg_nom*Marine!CA_gross_prod_lpg)/(Marine!CA_gross_prod_oil+Marine!CA_gross_prod_lpg)),0)</f>
        <v>0</v>
      </c>
      <c r="BH590" s="49">
        <f ca="1">IFERROR((BH563)/((Marine!CA_FP_oil_nom*Marine!CA_gross_prod_oil+Marine!CA_FP_lpg_nom*Marine!CA_gross_prod_lpg)/(Marine!CA_gross_prod_oil+Marine!CA_gross_prod_lpg)),0)</f>
        <v>0</v>
      </c>
      <c r="BI590" s="49">
        <f ca="1">IFERROR((BI563)/((Marine!CA_FP_oil_nom*Marine!CA_gross_prod_oil+Marine!CA_FP_lpg_nom*Marine!CA_gross_prod_lpg)/(Marine!CA_gross_prod_oil+Marine!CA_gross_prod_lpg)),0)</f>
        <v>0</v>
      </c>
      <c r="BJ590" s="49">
        <f ca="1">IFERROR((BJ563)/((Marine!CA_FP_oil_nom*Marine!CA_gross_prod_oil+Marine!CA_FP_lpg_nom*Marine!CA_gross_prod_lpg)/(Marine!CA_gross_prod_oil+Marine!CA_gross_prod_lpg)),0)</f>
        <v>0</v>
      </c>
      <c r="BK590" s="49">
        <f ca="1">IFERROR((BK563)/((Marine!CA_FP_oil_nom*Marine!CA_gross_prod_oil+Marine!CA_FP_lpg_nom*Marine!CA_gross_prod_lpg)/(Marine!CA_gross_prod_oil+Marine!CA_gross_prod_lpg)),0)</f>
        <v>0</v>
      </c>
      <c r="BL590" s="49">
        <f ca="1">IFERROR((BL563)/((Marine!CA_FP_oil_nom*Marine!CA_gross_prod_oil+Marine!CA_FP_lpg_nom*Marine!CA_gross_prod_lpg)/(Marine!CA_gross_prod_oil+Marine!CA_gross_prod_lpg)),0)</f>
        <v>0</v>
      </c>
      <c r="BM590" s="49">
        <f ca="1">IFERROR((BM563)/((Marine!CA_FP_oil_nom*Marine!CA_gross_prod_oil+Marine!CA_FP_lpg_nom*Marine!CA_gross_prod_lpg)/(Marine!CA_gross_prod_oil+Marine!CA_gross_prod_lpg)),0)</f>
        <v>0</v>
      </c>
      <c r="BN590" s="49">
        <f ca="1">IFERROR((BN563)/((Marine!CA_FP_oil_nom*Marine!CA_gross_prod_oil+Marine!CA_FP_lpg_nom*Marine!CA_gross_prod_lpg)/(Marine!CA_gross_prod_oil+Marine!CA_gross_prod_lpg)),0)</f>
        <v>0</v>
      </c>
      <c r="BO590" s="49">
        <f ca="1">IFERROR((BO563)/((Marine!CA_FP_oil_nom*Marine!CA_gross_prod_oil+Marine!CA_FP_lpg_nom*Marine!CA_gross_prod_lpg)/(Marine!CA_gross_prod_oil+Marine!CA_gross_prod_lpg)),0)</f>
        <v>0</v>
      </c>
      <c r="BP590" s="49">
        <f ca="1">IFERROR((BP563)/((Marine!CA_FP_oil_nom*Marine!CA_gross_prod_oil+Marine!CA_FP_lpg_nom*Marine!CA_gross_prod_lpg)/(Marine!CA_gross_prod_oil+Marine!CA_gross_prod_lpg)),0)</f>
        <v>0</v>
      </c>
      <c r="BQ590" s="49">
        <f ca="1">IFERROR((BQ563)/((Marine!CA_FP_oil_nom*Marine!CA_gross_prod_oil+Marine!CA_FP_lpg_nom*Marine!CA_gross_prod_lpg)/(Marine!CA_gross_prod_oil+Marine!CA_gross_prod_lpg)),0)</f>
        <v>0</v>
      </c>
      <c r="BR590" s="49">
        <f ca="1">IFERROR((BR563)/((Marine!CA_FP_oil_nom*Marine!CA_gross_prod_oil+Marine!CA_FP_lpg_nom*Marine!CA_gross_prod_lpg)/(Marine!CA_gross_prod_oil+Marine!CA_gross_prod_lpg)),0)</f>
        <v>0</v>
      </c>
      <c r="BS590" s="49">
        <f ca="1">IFERROR((BS563)/((Marine!CA_FP_oil_nom*Marine!CA_gross_prod_oil+Marine!CA_FP_lpg_nom*Marine!CA_gross_prod_lpg)/(Marine!CA_gross_prod_oil+Marine!CA_gross_prod_lpg)),0)</f>
        <v>0</v>
      </c>
    </row>
    <row r="591" spans="3:71" outlineLevel="1" x14ac:dyDescent="0.2">
      <c r="D591" t="s">
        <v>226</v>
      </c>
      <c r="H591" s="7"/>
      <c r="I591" s="30">
        <f t="shared" ca="1" si="199"/>
        <v>12.984111296577877</v>
      </c>
      <c r="J591" s="26" t="s">
        <v>692</v>
      </c>
      <c r="L591" s="49">
        <f ca="1">IFERROR((L564)/((Marine!CA_FP_oil_nom*Marine!CA_gross_prod_oil+Marine!CA_FP_lpg_nom*Marine!CA_gross_prod_lpg+Marine!CA_FP_gas_nom*Marine!CA_gross_prod_gas)/Marine!CA_gross_prod_Total),0)</f>
        <v>0</v>
      </c>
      <c r="M591" s="49">
        <f ca="1">IFERROR((M564)/((Marine!CA_FP_oil_nom*Marine!CA_gross_prod_oil+Marine!CA_FP_lpg_nom*Marine!CA_gross_prod_lpg+Marine!CA_FP_gas_nom*Marine!CA_gross_prod_gas)/Marine!CA_gross_prod_Total),0)</f>
        <v>4.1302648371281517E-2</v>
      </c>
      <c r="N591" s="49">
        <f ca="1">IFERROR((N564)/((Marine!CA_FP_oil_nom*Marine!CA_gross_prod_oil+Marine!CA_FP_lpg_nom*Marine!CA_gross_prod_lpg+Marine!CA_FP_gas_nom*Marine!CA_gross_prod_gas)/Marine!CA_gross_prod_Total),0)</f>
        <v>0.57451737587258733</v>
      </c>
      <c r="O591" s="49">
        <f ca="1">IFERROR((O564)/((Marine!CA_FP_oil_nom*Marine!CA_gross_prod_oil+Marine!CA_FP_lpg_nom*Marine!CA_gross_prod_lpg+Marine!CA_FP_gas_nom*Marine!CA_gross_prod_gas)/Marine!CA_gross_prod_Total),0)</f>
        <v>0.93907546917843954</v>
      </c>
      <c r="P591" s="49">
        <f ca="1">IFERROR((P564)/((Marine!CA_FP_oil_nom*Marine!CA_gross_prod_oil+Marine!CA_FP_lpg_nom*Marine!CA_gross_prod_lpg+Marine!CA_FP_gas_nom*Marine!CA_gross_prod_gas)/Marine!CA_gross_prod_Total),0)</f>
        <v>0.98680526717115002</v>
      </c>
      <c r="Q591" s="49">
        <f ca="1">IFERROR((Q564)/((Marine!CA_FP_oil_nom*Marine!CA_gross_prod_oil+Marine!CA_FP_lpg_nom*Marine!CA_gross_prod_lpg+Marine!CA_FP_gas_nom*Marine!CA_gross_prod_gas)/Marine!CA_gross_prod_Total),0)</f>
        <v>1.1804349859118966</v>
      </c>
      <c r="R591" s="49">
        <f ca="1">IFERROR((R564)/((Marine!CA_FP_oil_nom*Marine!CA_gross_prod_oil+Marine!CA_FP_lpg_nom*Marine!CA_gross_prod_lpg+Marine!CA_FP_gas_nom*Marine!CA_gross_prod_gas)/Marine!CA_gross_prod_Total),0)</f>
        <v>0.57873488239819004</v>
      </c>
      <c r="S591" s="49">
        <f ca="1">IFERROR((S564)/((Marine!CA_FP_oil_nom*Marine!CA_gross_prod_oil+Marine!CA_FP_lpg_nom*Marine!CA_gross_prod_lpg+Marine!CA_FP_gas_nom*Marine!CA_gross_prod_gas)/Marine!CA_gross_prod_Total),0)</f>
        <v>1.6982055408396115</v>
      </c>
      <c r="T591" s="49">
        <f ca="1">IFERROR((T564)/((Marine!CA_FP_oil_nom*Marine!CA_gross_prod_oil+Marine!CA_FP_lpg_nom*Marine!CA_gross_prod_lpg+Marine!CA_FP_gas_nom*Marine!CA_gross_prod_gas)/Marine!CA_gross_prod_Total),0)</f>
        <v>1.4642672827674967</v>
      </c>
      <c r="U591" s="49">
        <f ca="1">IFERROR((U564)/((Marine!CA_FP_oil_nom*Marine!CA_gross_prod_oil+Marine!CA_FP_lpg_nom*Marine!CA_gross_prod_lpg+Marine!CA_FP_gas_nom*Marine!CA_gross_prod_gas)/Marine!CA_gross_prod_Total),0)</f>
        <v>1.3903876305489697</v>
      </c>
      <c r="V591" s="49">
        <f ca="1">IFERROR((V564)/((Marine!CA_FP_oil_nom*Marine!CA_gross_prod_oil+Marine!CA_FP_lpg_nom*Marine!CA_gross_prod_lpg+Marine!CA_FP_gas_nom*Marine!CA_gross_prod_gas)/Marine!CA_gross_prod_Total),0)</f>
        <v>1.336859579575034</v>
      </c>
      <c r="W591" s="49">
        <f ca="1">IFERROR((W564)/((Marine!CA_FP_oil_nom*Marine!CA_gross_prod_oil+Marine!CA_FP_lpg_nom*Marine!CA_gross_prod_lpg+Marine!CA_FP_gas_nom*Marine!CA_gross_prod_gas)/Marine!CA_gross_prod_Total),0)</f>
        <v>1.4246951012359239</v>
      </c>
      <c r="X591" s="49">
        <f ca="1">IFERROR((X564)/((Marine!CA_FP_oil_nom*Marine!CA_gross_prod_oil+Marine!CA_FP_lpg_nom*Marine!CA_gross_prod_lpg+Marine!CA_FP_gas_nom*Marine!CA_gross_prod_gas)/Marine!CA_gross_prod_Total),0)</f>
        <v>1.3688255327072956</v>
      </c>
      <c r="Y591" s="49">
        <f ca="1">IFERROR((Y564)/((Marine!CA_FP_oil_nom*Marine!CA_gross_prod_oil+Marine!CA_FP_lpg_nom*Marine!CA_gross_prod_lpg+Marine!CA_FP_gas_nom*Marine!CA_gross_prod_gas)/Marine!CA_gross_prod_Total),0)</f>
        <v>0</v>
      </c>
      <c r="Z591" s="49">
        <f ca="1">IFERROR((Z564)/((Marine!CA_FP_oil_nom*Marine!CA_gross_prod_oil+Marine!CA_FP_lpg_nom*Marine!CA_gross_prod_lpg+Marine!CA_FP_gas_nom*Marine!CA_gross_prod_gas)/Marine!CA_gross_prod_Total),0)</f>
        <v>0</v>
      </c>
      <c r="AA591" s="49">
        <f ca="1">IFERROR((AA564)/((Marine!CA_FP_oil_nom*Marine!CA_gross_prod_oil+Marine!CA_FP_lpg_nom*Marine!CA_gross_prod_lpg+Marine!CA_FP_gas_nom*Marine!CA_gross_prod_gas)/Marine!CA_gross_prod_Total),0)</f>
        <v>0</v>
      </c>
      <c r="AB591" s="49">
        <f ca="1">IFERROR((AB564)/((Marine!CA_FP_oil_nom*Marine!CA_gross_prod_oil+Marine!CA_FP_lpg_nom*Marine!CA_gross_prod_lpg+Marine!CA_FP_gas_nom*Marine!CA_gross_prod_gas)/Marine!CA_gross_prod_Total),0)</f>
        <v>0</v>
      </c>
      <c r="AC591" s="49">
        <f ca="1">IFERROR((AC564)/((Marine!CA_FP_oil_nom*Marine!CA_gross_prod_oil+Marine!CA_FP_lpg_nom*Marine!CA_gross_prod_lpg+Marine!CA_FP_gas_nom*Marine!CA_gross_prod_gas)/Marine!CA_gross_prod_Total),0)</f>
        <v>0</v>
      </c>
      <c r="AD591" s="49">
        <f ca="1">IFERROR((AD564)/((Marine!CA_FP_oil_nom*Marine!CA_gross_prod_oil+Marine!CA_FP_lpg_nom*Marine!CA_gross_prod_lpg+Marine!CA_FP_gas_nom*Marine!CA_gross_prod_gas)/Marine!CA_gross_prod_Total),0)</f>
        <v>0</v>
      </c>
      <c r="AE591" s="49">
        <f ca="1">IFERROR((AE564)/((Marine!CA_FP_oil_nom*Marine!CA_gross_prod_oil+Marine!CA_FP_lpg_nom*Marine!CA_gross_prod_lpg+Marine!CA_FP_gas_nom*Marine!CA_gross_prod_gas)/Marine!CA_gross_prod_Total),0)</f>
        <v>0</v>
      </c>
      <c r="AF591" s="49">
        <f ca="1">IFERROR((AF564)/((Marine!CA_FP_oil_nom*Marine!CA_gross_prod_oil+Marine!CA_FP_lpg_nom*Marine!CA_gross_prod_lpg+Marine!CA_FP_gas_nom*Marine!CA_gross_prod_gas)/Marine!CA_gross_prod_Total),0)</f>
        <v>0</v>
      </c>
      <c r="AG591" s="49">
        <f ca="1">IFERROR((AG564)/((Marine!CA_FP_oil_nom*Marine!CA_gross_prod_oil+Marine!CA_FP_lpg_nom*Marine!CA_gross_prod_lpg+Marine!CA_FP_gas_nom*Marine!CA_gross_prod_gas)/Marine!CA_gross_prod_Total),0)</f>
        <v>0</v>
      </c>
      <c r="AH591" s="49">
        <f ca="1">IFERROR((AH564)/((Marine!CA_FP_oil_nom*Marine!CA_gross_prod_oil+Marine!CA_FP_lpg_nom*Marine!CA_gross_prod_lpg+Marine!CA_FP_gas_nom*Marine!CA_gross_prod_gas)/Marine!CA_gross_prod_Total),0)</f>
        <v>0</v>
      </c>
      <c r="AI591" s="49">
        <f ca="1">IFERROR((AI564)/((Marine!CA_FP_oil_nom*Marine!CA_gross_prod_oil+Marine!CA_FP_lpg_nom*Marine!CA_gross_prod_lpg+Marine!CA_FP_gas_nom*Marine!CA_gross_prod_gas)/Marine!CA_gross_prod_Total),0)</f>
        <v>0</v>
      </c>
      <c r="AJ591" s="49">
        <f ca="1">IFERROR((AJ564)/((Marine!CA_FP_oil_nom*Marine!CA_gross_prod_oil+Marine!CA_FP_lpg_nom*Marine!CA_gross_prod_lpg+Marine!CA_FP_gas_nom*Marine!CA_gross_prod_gas)/Marine!CA_gross_prod_Total),0)</f>
        <v>0</v>
      </c>
      <c r="AK591" s="49">
        <f ca="1">IFERROR((AK564)/((Marine!CA_FP_oil_nom*Marine!CA_gross_prod_oil+Marine!CA_FP_lpg_nom*Marine!CA_gross_prod_lpg+Marine!CA_FP_gas_nom*Marine!CA_gross_prod_gas)/Marine!CA_gross_prod_Total),0)</f>
        <v>0</v>
      </c>
      <c r="AL591" s="49">
        <f ca="1">IFERROR((AL564)/((Marine!CA_FP_oil_nom*Marine!CA_gross_prod_oil+Marine!CA_FP_lpg_nom*Marine!CA_gross_prod_lpg+Marine!CA_FP_gas_nom*Marine!CA_gross_prod_gas)/Marine!CA_gross_prod_Total),0)</f>
        <v>0</v>
      </c>
      <c r="AM591" s="49">
        <f ca="1">IFERROR((AM564)/((Marine!CA_FP_oil_nom*Marine!CA_gross_prod_oil+Marine!CA_FP_lpg_nom*Marine!CA_gross_prod_lpg+Marine!CA_FP_gas_nom*Marine!CA_gross_prod_gas)/Marine!CA_gross_prod_Total),0)</f>
        <v>0</v>
      </c>
      <c r="AN591" s="49">
        <f ca="1">IFERROR((AN564)/((Marine!CA_FP_oil_nom*Marine!CA_gross_prod_oil+Marine!CA_FP_lpg_nom*Marine!CA_gross_prod_lpg+Marine!CA_FP_gas_nom*Marine!CA_gross_prod_gas)/Marine!CA_gross_prod_Total),0)</f>
        <v>0</v>
      </c>
      <c r="AO591" s="49">
        <f ca="1">IFERROR((AO564)/((Marine!CA_FP_oil_nom*Marine!CA_gross_prod_oil+Marine!CA_FP_lpg_nom*Marine!CA_gross_prod_lpg+Marine!CA_FP_gas_nom*Marine!CA_gross_prod_gas)/Marine!CA_gross_prod_Total),0)</f>
        <v>0</v>
      </c>
      <c r="AP591" s="49">
        <f ca="1">IFERROR((AP564)/((Marine!CA_FP_oil_nom*Marine!CA_gross_prod_oil+Marine!CA_FP_lpg_nom*Marine!CA_gross_prod_lpg+Marine!CA_FP_gas_nom*Marine!CA_gross_prod_gas)/Marine!CA_gross_prod_Total),0)</f>
        <v>0</v>
      </c>
      <c r="AQ591" s="49">
        <f ca="1">IFERROR((AQ564)/((Marine!CA_FP_oil_nom*Marine!CA_gross_prod_oil+Marine!CA_FP_lpg_nom*Marine!CA_gross_prod_lpg+Marine!CA_FP_gas_nom*Marine!CA_gross_prod_gas)/Marine!CA_gross_prod_Total),0)</f>
        <v>0</v>
      </c>
      <c r="AR591" s="49">
        <f ca="1">IFERROR((AR564)/((Marine!CA_FP_oil_nom*Marine!CA_gross_prod_oil+Marine!CA_FP_lpg_nom*Marine!CA_gross_prod_lpg+Marine!CA_FP_gas_nom*Marine!CA_gross_prod_gas)/Marine!CA_gross_prod_Total),0)</f>
        <v>0</v>
      </c>
      <c r="AS591" s="49">
        <f ca="1">IFERROR((AS564)/((Marine!CA_FP_oil_nom*Marine!CA_gross_prod_oil+Marine!CA_FP_lpg_nom*Marine!CA_gross_prod_lpg+Marine!CA_FP_gas_nom*Marine!CA_gross_prod_gas)/Marine!CA_gross_prod_Total),0)</f>
        <v>0</v>
      </c>
      <c r="AT591" s="49">
        <f ca="1">IFERROR((AT564)/((Marine!CA_FP_oil_nom*Marine!CA_gross_prod_oil+Marine!CA_FP_lpg_nom*Marine!CA_gross_prod_lpg+Marine!CA_FP_gas_nom*Marine!CA_gross_prod_gas)/Marine!CA_gross_prod_Total),0)</f>
        <v>0</v>
      </c>
      <c r="AU591" s="49">
        <f ca="1">IFERROR((AU564)/((Marine!CA_FP_oil_nom*Marine!CA_gross_prod_oil+Marine!CA_FP_lpg_nom*Marine!CA_gross_prod_lpg+Marine!CA_FP_gas_nom*Marine!CA_gross_prod_gas)/Marine!CA_gross_prod_Total),0)</f>
        <v>0</v>
      </c>
      <c r="AV591" s="49">
        <f ca="1">IFERROR((AV564)/((Marine!CA_FP_oil_nom*Marine!CA_gross_prod_oil+Marine!CA_FP_lpg_nom*Marine!CA_gross_prod_lpg+Marine!CA_FP_gas_nom*Marine!CA_gross_prod_gas)/Marine!CA_gross_prod_Total),0)</f>
        <v>0</v>
      </c>
      <c r="AW591" s="49">
        <f ca="1">IFERROR((AW564)/((Marine!CA_FP_oil_nom*Marine!CA_gross_prod_oil+Marine!CA_FP_lpg_nom*Marine!CA_gross_prod_lpg+Marine!CA_FP_gas_nom*Marine!CA_gross_prod_gas)/Marine!CA_gross_prod_Total),0)</f>
        <v>0</v>
      </c>
      <c r="AX591" s="49">
        <f ca="1">IFERROR((AX564)/((Marine!CA_FP_oil_nom*Marine!CA_gross_prod_oil+Marine!CA_FP_lpg_nom*Marine!CA_gross_prod_lpg+Marine!CA_FP_gas_nom*Marine!CA_gross_prod_gas)/Marine!CA_gross_prod_Total),0)</f>
        <v>0</v>
      </c>
      <c r="AY591" s="49">
        <f ca="1">IFERROR((AY564)/((Marine!CA_FP_oil_nom*Marine!CA_gross_prod_oil+Marine!CA_FP_lpg_nom*Marine!CA_gross_prod_lpg+Marine!CA_FP_gas_nom*Marine!CA_gross_prod_gas)/Marine!CA_gross_prod_Total),0)</f>
        <v>0</v>
      </c>
      <c r="AZ591" s="49">
        <f ca="1">IFERROR((AZ564)/((Marine!CA_FP_oil_nom*Marine!CA_gross_prod_oil+Marine!CA_FP_lpg_nom*Marine!CA_gross_prod_lpg+Marine!CA_FP_gas_nom*Marine!CA_gross_prod_gas)/Marine!CA_gross_prod_Total),0)</f>
        <v>0</v>
      </c>
      <c r="BA591" s="49">
        <f ca="1">IFERROR((BA564)/((Marine!CA_FP_oil_nom*Marine!CA_gross_prod_oil+Marine!CA_FP_lpg_nom*Marine!CA_gross_prod_lpg+Marine!CA_FP_gas_nom*Marine!CA_gross_prod_gas)/Marine!CA_gross_prod_Total),0)</f>
        <v>0</v>
      </c>
      <c r="BB591" s="49">
        <f ca="1">IFERROR((BB564)/((Marine!CA_FP_oil_nom*Marine!CA_gross_prod_oil+Marine!CA_FP_lpg_nom*Marine!CA_gross_prod_lpg+Marine!CA_FP_gas_nom*Marine!CA_gross_prod_gas)/Marine!CA_gross_prod_Total),0)</f>
        <v>0</v>
      </c>
      <c r="BC591" s="49">
        <f ca="1">IFERROR((BC564)/((Marine!CA_FP_oil_nom*Marine!CA_gross_prod_oil+Marine!CA_FP_lpg_nom*Marine!CA_gross_prod_lpg+Marine!CA_FP_gas_nom*Marine!CA_gross_prod_gas)/Marine!CA_gross_prod_Total),0)</f>
        <v>0</v>
      </c>
      <c r="BD591" s="49">
        <f ca="1">IFERROR((BD564)/((Marine!CA_FP_oil_nom*Marine!CA_gross_prod_oil+Marine!CA_FP_lpg_nom*Marine!CA_gross_prod_lpg+Marine!CA_FP_gas_nom*Marine!CA_gross_prod_gas)/Marine!CA_gross_prod_Total),0)</f>
        <v>0</v>
      </c>
      <c r="BE591" s="49">
        <f ca="1">IFERROR((BE564)/((Marine!CA_FP_oil_nom*Marine!CA_gross_prod_oil+Marine!CA_FP_lpg_nom*Marine!CA_gross_prod_lpg+Marine!CA_FP_gas_nom*Marine!CA_gross_prod_gas)/Marine!CA_gross_prod_Total),0)</f>
        <v>0</v>
      </c>
      <c r="BF591" s="49">
        <f ca="1">IFERROR((BF564)/((Marine!CA_FP_oil_nom*Marine!CA_gross_prod_oil+Marine!CA_FP_lpg_nom*Marine!CA_gross_prod_lpg+Marine!CA_FP_gas_nom*Marine!CA_gross_prod_gas)/Marine!CA_gross_prod_Total),0)</f>
        <v>0</v>
      </c>
      <c r="BG591" s="49">
        <f ca="1">IFERROR((BG564)/((Marine!CA_FP_oil_nom*Marine!CA_gross_prod_oil+Marine!CA_FP_lpg_nom*Marine!CA_gross_prod_lpg+Marine!CA_FP_gas_nom*Marine!CA_gross_prod_gas)/Marine!CA_gross_prod_Total),0)</f>
        <v>0</v>
      </c>
      <c r="BH591" s="49">
        <f ca="1">IFERROR((BH564)/((Marine!CA_FP_oil_nom*Marine!CA_gross_prod_oil+Marine!CA_FP_lpg_nom*Marine!CA_gross_prod_lpg+Marine!CA_FP_gas_nom*Marine!CA_gross_prod_gas)/Marine!CA_gross_prod_Total),0)</f>
        <v>0</v>
      </c>
      <c r="BI591" s="49">
        <f ca="1">IFERROR((BI564)/((Marine!CA_FP_oil_nom*Marine!CA_gross_prod_oil+Marine!CA_FP_lpg_nom*Marine!CA_gross_prod_lpg+Marine!CA_FP_gas_nom*Marine!CA_gross_prod_gas)/Marine!CA_gross_prod_Total),0)</f>
        <v>0</v>
      </c>
      <c r="BJ591" s="49">
        <f ca="1">IFERROR((BJ564)/((Marine!CA_FP_oil_nom*Marine!CA_gross_prod_oil+Marine!CA_FP_lpg_nom*Marine!CA_gross_prod_lpg+Marine!CA_FP_gas_nom*Marine!CA_gross_prod_gas)/Marine!CA_gross_prod_Total),0)</f>
        <v>0</v>
      </c>
      <c r="BK591" s="49">
        <f ca="1">IFERROR((BK564)/((Marine!CA_FP_oil_nom*Marine!CA_gross_prod_oil+Marine!CA_FP_lpg_nom*Marine!CA_gross_prod_lpg+Marine!CA_FP_gas_nom*Marine!CA_gross_prod_gas)/Marine!CA_gross_prod_Total),0)</f>
        <v>0</v>
      </c>
      <c r="BL591" s="49">
        <f ca="1">IFERROR((BL564)/((Marine!CA_FP_oil_nom*Marine!CA_gross_prod_oil+Marine!CA_FP_lpg_nom*Marine!CA_gross_prod_lpg+Marine!CA_FP_gas_nom*Marine!CA_gross_prod_gas)/Marine!CA_gross_prod_Total),0)</f>
        <v>0</v>
      </c>
      <c r="BM591" s="49">
        <f ca="1">IFERROR((BM564)/((Marine!CA_FP_oil_nom*Marine!CA_gross_prod_oil+Marine!CA_FP_lpg_nom*Marine!CA_gross_prod_lpg+Marine!CA_FP_gas_nom*Marine!CA_gross_prod_gas)/Marine!CA_gross_prod_Total),0)</f>
        <v>0</v>
      </c>
      <c r="BN591" s="49">
        <f ca="1">IFERROR((BN564)/((Marine!CA_FP_oil_nom*Marine!CA_gross_prod_oil+Marine!CA_FP_lpg_nom*Marine!CA_gross_prod_lpg+Marine!CA_FP_gas_nom*Marine!CA_gross_prod_gas)/Marine!CA_gross_prod_Total),0)</f>
        <v>0</v>
      </c>
      <c r="BO591" s="49">
        <f ca="1">IFERROR((BO564)/((Marine!CA_FP_oil_nom*Marine!CA_gross_prod_oil+Marine!CA_FP_lpg_nom*Marine!CA_gross_prod_lpg+Marine!CA_FP_gas_nom*Marine!CA_gross_prod_gas)/Marine!CA_gross_prod_Total),0)</f>
        <v>0</v>
      </c>
      <c r="BP591" s="49">
        <f ca="1">IFERROR((BP564)/((Marine!CA_FP_oil_nom*Marine!CA_gross_prod_oil+Marine!CA_FP_lpg_nom*Marine!CA_gross_prod_lpg+Marine!CA_FP_gas_nom*Marine!CA_gross_prod_gas)/Marine!CA_gross_prod_Total),0)</f>
        <v>0</v>
      </c>
      <c r="BQ591" s="49">
        <f ca="1">IFERROR((BQ564)/((Marine!CA_FP_oil_nom*Marine!CA_gross_prod_oil+Marine!CA_FP_lpg_nom*Marine!CA_gross_prod_lpg+Marine!CA_FP_gas_nom*Marine!CA_gross_prod_gas)/Marine!CA_gross_prod_Total),0)</f>
        <v>0</v>
      </c>
      <c r="BR591" s="49">
        <f ca="1">IFERROR((BR564)/((Marine!CA_FP_oil_nom*Marine!CA_gross_prod_oil+Marine!CA_FP_lpg_nom*Marine!CA_gross_prod_lpg+Marine!CA_FP_gas_nom*Marine!CA_gross_prod_gas)/Marine!CA_gross_prod_Total),0)</f>
        <v>0</v>
      </c>
      <c r="BS591" s="49">
        <f ca="1">IFERROR((BS564)/((Marine!CA_FP_oil_nom*Marine!CA_gross_prod_oil+Marine!CA_FP_lpg_nom*Marine!CA_gross_prod_lpg+Marine!CA_FP_gas_nom*Marine!CA_gross_prod_gas)/Marine!CA_gross_prod_Total),0)</f>
        <v>0</v>
      </c>
    </row>
    <row r="592" spans="3:71" outlineLevel="1" x14ac:dyDescent="0.2">
      <c r="J592" s="26"/>
      <c r="L592" s="55"/>
      <c r="M592" s="55"/>
      <c r="N592" s="55"/>
      <c r="O592" s="55"/>
      <c r="P592" s="55"/>
      <c r="Q592" s="55"/>
      <c r="R592" s="55"/>
      <c r="S592" s="55"/>
      <c r="T592" s="55"/>
      <c r="U592" s="55"/>
      <c r="V592" s="55"/>
      <c r="W592" s="55"/>
      <c r="X592" s="55"/>
      <c r="Y592" s="55"/>
      <c r="Z592" s="55"/>
      <c r="AA592" s="55"/>
      <c r="AB592" s="55"/>
      <c r="AC592" s="55"/>
      <c r="AD592" s="55"/>
      <c r="AE592" s="55"/>
      <c r="AF592" s="55"/>
      <c r="AG592" s="55"/>
      <c r="AH592" s="55"/>
      <c r="AI592" s="55"/>
      <c r="AJ592" s="55"/>
      <c r="AK592" s="55"/>
      <c r="AL592" s="55"/>
      <c r="AM592" s="55"/>
      <c r="AN592" s="55"/>
      <c r="AO592" s="55"/>
      <c r="AP592" s="55"/>
      <c r="AQ592" s="55"/>
      <c r="AR592" s="55"/>
      <c r="AS592" s="55"/>
      <c r="AT592" s="55"/>
      <c r="AU592" s="55"/>
      <c r="AV592" s="55"/>
      <c r="AW592" s="55"/>
      <c r="AX592" s="55"/>
      <c r="AY592" s="55"/>
      <c r="AZ592" s="55"/>
      <c r="BA592" s="55"/>
      <c r="BB592" s="55"/>
      <c r="BC592" s="55"/>
      <c r="BD592" s="55"/>
      <c r="BE592" s="55"/>
      <c r="BF592" s="55"/>
      <c r="BG592" s="55"/>
      <c r="BH592" s="55"/>
      <c r="BI592" s="55"/>
      <c r="BJ592" s="55"/>
      <c r="BK592" s="55"/>
      <c r="BL592" s="55"/>
      <c r="BM592" s="55"/>
      <c r="BN592" s="55"/>
      <c r="BO592" s="55"/>
      <c r="BP592" s="55"/>
      <c r="BQ592" s="55"/>
      <c r="BR592" s="55"/>
      <c r="BS592" s="55"/>
    </row>
    <row r="593" spans="4:71" outlineLevel="1" x14ac:dyDescent="0.2">
      <c r="D593" t="s">
        <v>752</v>
      </c>
      <c r="I593" s="30">
        <f t="shared" ref="I593:I599" ca="1" si="200">SUM($L593:$BS593)</f>
        <v>50.581896987037283</v>
      </c>
      <c r="J593" s="26" t="s">
        <v>692</v>
      </c>
      <c r="L593" s="49">
        <f ca="1">IFERROR((L353)/((Marine!CA_FP_oil_nom*Marine!CA_gross_prod_oil+Marine!CA_FP_lpg_nom*Marine!CA_gross_prod_lpg)/(Marine!CA_gross_prod_oil+Marine!CA_gross_prod_lpg)),0)</f>
        <v>0</v>
      </c>
      <c r="M593" s="49">
        <f ca="1">IFERROR((M353)/((Marine!CA_FP_oil_nom*Marine!CA_gross_prod_oil+Marine!CA_FP_lpg_nom*Marine!CA_gross_prod_lpg)/(Marine!CA_gross_prod_oil+Marine!CA_gross_prod_lpg)),0)</f>
        <v>1.7478923000000001E-3</v>
      </c>
      <c r="N593" s="49">
        <f ca="1">IFERROR((N353)/((Marine!CA_FP_oil_nom*Marine!CA_gross_prod_oil+Marine!CA_FP_lpg_nom*Marine!CA_gross_prod_lpg)/(Marine!CA_gross_prod_oil+Marine!CA_gross_prod_lpg)),0)</f>
        <v>1.1599785927793915</v>
      </c>
      <c r="O593" s="49">
        <f ca="1">IFERROR((O353)/((Marine!CA_FP_oil_nom*Marine!CA_gross_prod_oil+Marine!CA_FP_lpg_nom*Marine!CA_gross_prod_lpg)/(Marine!CA_gross_prod_oil+Marine!CA_gross_prod_lpg)),0)</f>
        <v>2.0650544061377785</v>
      </c>
      <c r="P593" s="49">
        <f ca="1">IFERROR((P353)/((Marine!CA_FP_oil_nom*Marine!CA_gross_prod_oil+Marine!CA_FP_lpg_nom*Marine!CA_gross_prod_lpg)/(Marine!CA_gross_prod_oil+Marine!CA_gross_prod_lpg)),0)</f>
        <v>3.8575093549945594</v>
      </c>
      <c r="Q593" s="49">
        <f ca="1">IFERROR((Q353)/((Marine!CA_FP_oil_nom*Marine!CA_gross_prod_oil+Marine!CA_FP_lpg_nom*Marine!CA_gross_prod_lpg)/(Marine!CA_gross_prod_oil+Marine!CA_gross_prod_lpg)),0)</f>
        <v>6.5863131522777154</v>
      </c>
      <c r="R593" s="49">
        <f ca="1">IFERROR((R353)/((Marine!CA_FP_oil_nom*Marine!CA_gross_prod_oil+Marine!CA_FP_lpg_nom*Marine!CA_gross_prod_lpg)/(Marine!CA_gross_prod_oil+Marine!CA_gross_prod_lpg)),0)</f>
        <v>6.7518999115131626</v>
      </c>
      <c r="S593" s="49">
        <f ca="1">IFERROR((S353)/((Marine!CA_FP_oil_nom*Marine!CA_gross_prod_oil+Marine!CA_FP_lpg_nom*Marine!CA_gross_prod_lpg)/(Marine!CA_gross_prod_oil+Marine!CA_gross_prod_lpg)),0)</f>
        <v>5.9804499999999994</v>
      </c>
      <c r="T593" s="49">
        <f ca="1">IFERROR((T353)/((Marine!CA_FP_oil_nom*Marine!CA_gross_prod_oil+Marine!CA_FP_lpg_nom*Marine!CA_gross_prod_lpg)/(Marine!CA_gross_prod_oil+Marine!CA_gross_prod_lpg)),0)</f>
        <v>5.5618184999999984</v>
      </c>
      <c r="U593" s="49">
        <f ca="1">IFERROR((U353)/((Marine!CA_FP_oil_nom*Marine!CA_gross_prod_oil+Marine!CA_FP_lpg_nom*Marine!CA_gross_prod_lpg)/(Marine!CA_gross_prod_oil+Marine!CA_gross_prod_lpg)),0)</f>
        <v>5.1724912049999991</v>
      </c>
      <c r="V593" s="49">
        <f ca="1">IFERROR((V353)/((Marine!CA_FP_oil_nom*Marine!CA_gross_prod_oil+Marine!CA_FP_lpg_nom*Marine!CA_gross_prod_lpg)/(Marine!CA_gross_prod_oil+Marine!CA_gross_prod_lpg)),0)</f>
        <v>4.8104168206499986</v>
      </c>
      <c r="W593" s="49">
        <f ca="1">IFERROR((W353)/((Marine!CA_FP_oil_nom*Marine!CA_gross_prod_oil+Marine!CA_FP_lpg_nom*Marine!CA_gross_prod_lpg)/(Marine!CA_gross_prod_oil+Marine!CA_gross_prod_lpg)),0)</f>
        <v>4.4736876432044976</v>
      </c>
      <c r="X593" s="49">
        <f ca="1">IFERROR((X353)/((Marine!CA_FP_oil_nom*Marine!CA_gross_prod_oil+Marine!CA_FP_lpg_nom*Marine!CA_gross_prod_lpg)/(Marine!CA_gross_prod_oil+Marine!CA_gross_prod_lpg)),0)</f>
        <v>4.1605295081801827</v>
      </c>
      <c r="Y593" s="49">
        <f ca="1">IFERROR((Y353)/((Marine!CA_FP_oil_nom*Marine!CA_gross_prod_oil+Marine!CA_FP_lpg_nom*Marine!CA_gross_prod_lpg)/(Marine!CA_gross_prod_oil+Marine!CA_gross_prod_lpg)),0)</f>
        <v>0</v>
      </c>
      <c r="Z593" s="49">
        <f ca="1">IFERROR((Z353)/((Marine!CA_FP_oil_nom*Marine!CA_gross_prod_oil+Marine!CA_FP_lpg_nom*Marine!CA_gross_prod_lpg)/(Marine!CA_gross_prod_oil+Marine!CA_gross_prod_lpg)),0)</f>
        <v>0</v>
      </c>
      <c r="AA593" s="49">
        <f ca="1">IFERROR((AA353)/((Marine!CA_FP_oil_nom*Marine!CA_gross_prod_oil+Marine!CA_FP_lpg_nom*Marine!CA_gross_prod_lpg)/(Marine!CA_gross_prod_oil+Marine!CA_gross_prod_lpg)),0)</f>
        <v>0</v>
      </c>
      <c r="AB593" s="49">
        <f ca="1">IFERROR((AB353)/((Marine!CA_FP_oil_nom*Marine!CA_gross_prod_oil+Marine!CA_FP_lpg_nom*Marine!CA_gross_prod_lpg)/(Marine!CA_gross_prod_oil+Marine!CA_gross_prod_lpg)),0)</f>
        <v>0</v>
      </c>
      <c r="AC593" s="49">
        <f ca="1">IFERROR((AC353)/((Marine!CA_FP_oil_nom*Marine!CA_gross_prod_oil+Marine!CA_FP_lpg_nom*Marine!CA_gross_prod_lpg)/(Marine!CA_gross_prod_oil+Marine!CA_gross_prod_lpg)),0)</f>
        <v>0</v>
      </c>
      <c r="AD593" s="49">
        <f ca="1">IFERROR((AD353)/((Marine!CA_FP_oil_nom*Marine!CA_gross_prod_oil+Marine!CA_FP_lpg_nom*Marine!CA_gross_prod_lpg)/(Marine!CA_gross_prod_oil+Marine!CA_gross_prod_lpg)),0)</f>
        <v>0</v>
      </c>
      <c r="AE593" s="49">
        <f ca="1">IFERROR((AE353)/((Marine!CA_FP_oil_nom*Marine!CA_gross_prod_oil+Marine!CA_FP_lpg_nom*Marine!CA_gross_prod_lpg)/(Marine!CA_gross_prod_oil+Marine!CA_gross_prod_lpg)),0)</f>
        <v>0</v>
      </c>
      <c r="AF593" s="49">
        <f ca="1">IFERROR((AF353)/((Marine!CA_FP_oil_nom*Marine!CA_gross_prod_oil+Marine!CA_FP_lpg_nom*Marine!CA_gross_prod_lpg)/(Marine!CA_gross_prod_oil+Marine!CA_gross_prod_lpg)),0)</f>
        <v>0</v>
      </c>
      <c r="AG593" s="49">
        <f ca="1">IFERROR((AG353)/((Marine!CA_FP_oil_nom*Marine!CA_gross_prod_oil+Marine!CA_FP_lpg_nom*Marine!CA_gross_prod_lpg)/(Marine!CA_gross_prod_oil+Marine!CA_gross_prod_lpg)),0)</f>
        <v>0</v>
      </c>
      <c r="AH593" s="49">
        <f ca="1">IFERROR((AH353)/((Marine!CA_FP_oil_nom*Marine!CA_gross_prod_oil+Marine!CA_FP_lpg_nom*Marine!CA_gross_prod_lpg)/(Marine!CA_gross_prod_oil+Marine!CA_gross_prod_lpg)),0)</f>
        <v>0</v>
      </c>
      <c r="AI593" s="49">
        <f ca="1">IFERROR((AI353)/((Marine!CA_FP_oil_nom*Marine!CA_gross_prod_oil+Marine!CA_FP_lpg_nom*Marine!CA_gross_prod_lpg)/(Marine!CA_gross_prod_oil+Marine!CA_gross_prod_lpg)),0)</f>
        <v>0</v>
      </c>
      <c r="AJ593" s="49">
        <f ca="1">IFERROR((AJ353)/((Marine!CA_FP_oil_nom*Marine!CA_gross_prod_oil+Marine!CA_FP_lpg_nom*Marine!CA_gross_prod_lpg)/(Marine!CA_gross_prod_oil+Marine!CA_gross_prod_lpg)),0)</f>
        <v>0</v>
      </c>
      <c r="AK593" s="49">
        <f ca="1">IFERROR((AK353)/((Marine!CA_FP_oil_nom*Marine!CA_gross_prod_oil+Marine!CA_FP_lpg_nom*Marine!CA_gross_prod_lpg)/(Marine!CA_gross_prod_oil+Marine!CA_gross_prod_lpg)),0)</f>
        <v>0</v>
      </c>
      <c r="AL593" s="49">
        <f ca="1">IFERROR((AL353)/((Marine!CA_FP_oil_nom*Marine!CA_gross_prod_oil+Marine!CA_FP_lpg_nom*Marine!CA_gross_prod_lpg)/(Marine!CA_gross_prod_oil+Marine!CA_gross_prod_lpg)),0)</f>
        <v>0</v>
      </c>
      <c r="AM593" s="49">
        <f ca="1">IFERROR((AM353)/((Marine!CA_FP_oil_nom*Marine!CA_gross_prod_oil+Marine!CA_FP_lpg_nom*Marine!CA_gross_prod_lpg)/(Marine!CA_gross_prod_oil+Marine!CA_gross_prod_lpg)),0)</f>
        <v>0</v>
      </c>
      <c r="AN593" s="49">
        <f ca="1">IFERROR((AN353)/((Marine!CA_FP_oil_nom*Marine!CA_gross_prod_oil+Marine!CA_FP_lpg_nom*Marine!CA_gross_prod_lpg)/(Marine!CA_gross_prod_oil+Marine!CA_gross_prod_lpg)),0)</f>
        <v>0</v>
      </c>
      <c r="AO593" s="49">
        <f ca="1">IFERROR((AO353)/((Marine!CA_FP_oil_nom*Marine!CA_gross_prod_oil+Marine!CA_FP_lpg_nom*Marine!CA_gross_prod_lpg)/(Marine!CA_gross_prod_oil+Marine!CA_gross_prod_lpg)),0)</f>
        <v>0</v>
      </c>
      <c r="AP593" s="49">
        <f ca="1">IFERROR((AP353)/((Marine!CA_FP_oil_nom*Marine!CA_gross_prod_oil+Marine!CA_FP_lpg_nom*Marine!CA_gross_prod_lpg)/(Marine!CA_gross_prod_oil+Marine!CA_gross_prod_lpg)),0)</f>
        <v>0</v>
      </c>
      <c r="AQ593" s="49">
        <f ca="1">IFERROR((AQ353)/((Marine!CA_FP_oil_nom*Marine!CA_gross_prod_oil+Marine!CA_FP_lpg_nom*Marine!CA_gross_prod_lpg)/(Marine!CA_gross_prod_oil+Marine!CA_gross_prod_lpg)),0)</f>
        <v>0</v>
      </c>
      <c r="AR593" s="49">
        <f ca="1">IFERROR((AR353)/((Marine!CA_FP_oil_nom*Marine!CA_gross_prod_oil+Marine!CA_FP_lpg_nom*Marine!CA_gross_prod_lpg)/(Marine!CA_gross_prod_oil+Marine!CA_gross_prod_lpg)),0)</f>
        <v>0</v>
      </c>
      <c r="AS593" s="49">
        <f ca="1">IFERROR((AS353)/((Marine!CA_FP_oil_nom*Marine!CA_gross_prod_oil+Marine!CA_FP_lpg_nom*Marine!CA_gross_prod_lpg)/(Marine!CA_gross_prod_oil+Marine!CA_gross_prod_lpg)),0)</f>
        <v>0</v>
      </c>
      <c r="AT593" s="49">
        <f ca="1">IFERROR((AT353)/((Marine!CA_FP_oil_nom*Marine!CA_gross_prod_oil+Marine!CA_FP_lpg_nom*Marine!CA_gross_prod_lpg)/(Marine!CA_gross_prod_oil+Marine!CA_gross_prod_lpg)),0)</f>
        <v>0</v>
      </c>
      <c r="AU593" s="49">
        <f ca="1">IFERROR((AU353)/((Marine!CA_FP_oil_nom*Marine!CA_gross_prod_oil+Marine!CA_FP_lpg_nom*Marine!CA_gross_prod_lpg)/(Marine!CA_gross_prod_oil+Marine!CA_gross_prod_lpg)),0)</f>
        <v>0</v>
      </c>
      <c r="AV593" s="49">
        <f ca="1">IFERROR((AV353)/((Marine!CA_FP_oil_nom*Marine!CA_gross_prod_oil+Marine!CA_FP_lpg_nom*Marine!CA_gross_prod_lpg)/(Marine!CA_gross_prod_oil+Marine!CA_gross_prod_lpg)),0)</f>
        <v>0</v>
      </c>
      <c r="AW593" s="49">
        <f ca="1">IFERROR((AW353)/((Marine!CA_FP_oil_nom*Marine!CA_gross_prod_oil+Marine!CA_FP_lpg_nom*Marine!CA_gross_prod_lpg)/(Marine!CA_gross_prod_oil+Marine!CA_gross_prod_lpg)),0)</f>
        <v>0</v>
      </c>
      <c r="AX593" s="49">
        <f ca="1">IFERROR((AX353)/((Marine!CA_FP_oil_nom*Marine!CA_gross_prod_oil+Marine!CA_FP_lpg_nom*Marine!CA_gross_prod_lpg)/(Marine!CA_gross_prod_oil+Marine!CA_gross_prod_lpg)),0)</f>
        <v>0</v>
      </c>
      <c r="AY593" s="49">
        <f ca="1">IFERROR((AY353)/((Marine!CA_FP_oil_nom*Marine!CA_gross_prod_oil+Marine!CA_FP_lpg_nom*Marine!CA_gross_prod_lpg)/(Marine!CA_gross_prod_oil+Marine!CA_gross_prod_lpg)),0)</f>
        <v>0</v>
      </c>
      <c r="AZ593" s="49">
        <f ca="1">IFERROR((AZ353)/((Marine!CA_FP_oil_nom*Marine!CA_gross_prod_oil+Marine!CA_FP_lpg_nom*Marine!CA_gross_prod_lpg)/(Marine!CA_gross_prod_oil+Marine!CA_gross_prod_lpg)),0)</f>
        <v>0</v>
      </c>
      <c r="BA593" s="49">
        <f ca="1">IFERROR((BA353)/((Marine!CA_FP_oil_nom*Marine!CA_gross_prod_oil+Marine!CA_FP_lpg_nom*Marine!CA_gross_prod_lpg)/(Marine!CA_gross_prod_oil+Marine!CA_gross_prod_lpg)),0)</f>
        <v>0</v>
      </c>
      <c r="BB593" s="49">
        <f ca="1">IFERROR((BB353)/((Marine!CA_FP_oil_nom*Marine!CA_gross_prod_oil+Marine!CA_FP_lpg_nom*Marine!CA_gross_prod_lpg)/(Marine!CA_gross_prod_oil+Marine!CA_gross_prod_lpg)),0)</f>
        <v>0</v>
      </c>
      <c r="BC593" s="49">
        <f ca="1">IFERROR((BC353)/((Marine!CA_FP_oil_nom*Marine!CA_gross_prod_oil+Marine!CA_FP_lpg_nom*Marine!CA_gross_prod_lpg)/(Marine!CA_gross_prod_oil+Marine!CA_gross_prod_lpg)),0)</f>
        <v>0</v>
      </c>
      <c r="BD593" s="49">
        <f ca="1">IFERROR((BD353)/((Marine!CA_FP_oil_nom*Marine!CA_gross_prod_oil+Marine!CA_FP_lpg_nom*Marine!CA_gross_prod_lpg)/(Marine!CA_gross_prod_oil+Marine!CA_gross_prod_lpg)),0)</f>
        <v>0</v>
      </c>
      <c r="BE593" s="49">
        <f ca="1">IFERROR((BE353)/((Marine!CA_FP_oil_nom*Marine!CA_gross_prod_oil+Marine!CA_FP_lpg_nom*Marine!CA_gross_prod_lpg)/(Marine!CA_gross_prod_oil+Marine!CA_gross_prod_lpg)),0)</f>
        <v>0</v>
      </c>
      <c r="BF593" s="49">
        <f ca="1">IFERROR((BF353)/((Marine!CA_FP_oil_nom*Marine!CA_gross_prod_oil+Marine!CA_FP_lpg_nom*Marine!CA_gross_prod_lpg)/(Marine!CA_gross_prod_oil+Marine!CA_gross_prod_lpg)),0)</f>
        <v>0</v>
      </c>
      <c r="BG593" s="49">
        <f ca="1">IFERROR((BG353)/((Marine!CA_FP_oil_nom*Marine!CA_gross_prod_oil+Marine!CA_FP_lpg_nom*Marine!CA_gross_prod_lpg)/(Marine!CA_gross_prod_oil+Marine!CA_gross_prod_lpg)),0)</f>
        <v>0</v>
      </c>
      <c r="BH593" s="49">
        <f ca="1">IFERROR((BH353)/((Marine!CA_FP_oil_nom*Marine!CA_gross_prod_oil+Marine!CA_FP_lpg_nom*Marine!CA_gross_prod_lpg)/(Marine!CA_gross_prod_oil+Marine!CA_gross_prod_lpg)),0)</f>
        <v>0</v>
      </c>
      <c r="BI593" s="49">
        <f ca="1">IFERROR((BI353)/((Marine!CA_FP_oil_nom*Marine!CA_gross_prod_oil+Marine!CA_FP_lpg_nom*Marine!CA_gross_prod_lpg)/(Marine!CA_gross_prod_oil+Marine!CA_gross_prod_lpg)),0)</f>
        <v>0</v>
      </c>
      <c r="BJ593" s="49">
        <f ca="1">IFERROR((BJ353)/((Marine!CA_FP_oil_nom*Marine!CA_gross_prod_oil+Marine!CA_FP_lpg_nom*Marine!CA_gross_prod_lpg)/(Marine!CA_gross_prod_oil+Marine!CA_gross_prod_lpg)),0)</f>
        <v>0</v>
      </c>
      <c r="BK593" s="49">
        <f ca="1">IFERROR((BK353)/((Marine!CA_FP_oil_nom*Marine!CA_gross_prod_oil+Marine!CA_FP_lpg_nom*Marine!CA_gross_prod_lpg)/(Marine!CA_gross_prod_oil+Marine!CA_gross_prod_lpg)),0)</f>
        <v>0</v>
      </c>
      <c r="BL593" s="49">
        <f ca="1">IFERROR((BL353)/((Marine!CA_FP_oil_nom*Marine!CA_gross_prod_oil+Marine!CA_FP_lpg_nom*Marine!CA_gross_prod_lpg)/(Marine!CA_gross_prod_oil+Marine!CA_gross_prod_lpg)),0)</f>
        <v>0</v>
      </c>
      <c r="BM593" s="49">
        <f ca="1">IFERROR((BM353)/((Marine!CA_FP_oil_nom*Marine!CA_gross_prod_oil+Marine!CA_FP_lpg_nom*Marine!CA_gross_prod_lpg)/(Marine!CA_gross_prod_oil+Marine!CA_gross_prod_lpg)),0)</f>
        <v>0</v>
      </c>
      <c r="BN593" s="49">
        <f ca="1">IFERROR((BN353)/((Marine!CA_FP_oil_nom*Marine!CA_gross_prod_oil+Marine!CA_FP_lpg_nom*Marine!CA_gross_prod_lpg)/(Marine!CA_gross_prod_oil+Marine!CA_gross_prod_lpg)),0)</f>
        <v>0</v>
      </c>
      <c r="BO593" s="49">
        <f ca="1">IFERROR((BO353)/((Marine!CA_FP_oil_nom*Marine!CA_gross_prod_oil+Marine!CA_FP_lpg_nom*Marine!CA_gross_prod_lpg)/(Marine!CA_gross_prod_oil+Marine!CA_gross_prod_lpg)),0)</f>
        <v>0</v>
      </c>
      <c r="BP593" s="49">
        <f ca="1">IFERROR((BP353)/((Marine!CA_FP_oil_nom*Marine!CA_gross_prod_oil+Marine!CA_FP_lpg_nom*Marine!CA_gross_prod_lpg)/(Marine!CA_gross_prod_oil+Marine!CA_gross_prod_lpg)),0)</f>
        <v>0</v>
      </c>
      <c r="BQ593" s="49">
        <f ca="1">IFERROR((BQ353)/((Marine!CA_FP_oil_nom*Marine!CA_gross_prod_oil+Marine!CA_FP_lpg_nom*Marine!CA_gross_prod_lpg)/(Marine!CA_gross_prod_oil+Marine!CA_gross_prod_lpg)),0)</f>
        <v>0</v>
      </c>
      <c r="BR593" s="49">
        <f ca="1">IFERROR((BR353)/((Marine!CA_FP_oil_nom*Marine!CA_gross_prod_oil+Marine!CA_FP_lpg_nom*Marine!CA_gross_prod_lpg)/(Marine!CA_gross_prod_oil+Marine!CA_gross_prod_lpg)),0)</f>
        <v>0</v>
      </c>
      <c r="BS593" s="49">
        <f ca="1">IFERROR((BS353)/((Marine!CA_FP_oil_nom*Marine!CA_gross_prod_oil+Marine!CA_FP_lpg_nom*Marine!CA_gross_prod_lpg)/(Marine!CA_gross_prod_oil+Marine!CA_gross_prod_lpg)),0)</f>
        <v>0</v>
      </c>
    </row>
    <row r="594" spans="4:71" outlineLevel="1" x14ac:dyDescent="0.2">
      <c r="D594" t="s">
        <v>898</v>
      </c>
      <c r="I594" s="30">
        <f t="shared" ca="1" si="200"/>
        <v>4.9154339204932196</v>
      </c>
      <c r="J594" s="26" t="s">
        <v>692</v>
      </c>
      <c r="L594" s="49">
        <f ca="1">IFERROR((L360)/Marine!CA_FP_gas_nom,0)</f>
        <v>0</v>
      </c>
      <c r="M594" s="49">
        <f ca="1">IFERROR((M360)/Marine!CA_FP_gas_nom,0)</f>
        <v>6.0402377207779676E-2</v>
      </c>
      <c r="N594" s="49">
        <f ca="1">IFERROR((N360)/Marine!CA_FP_gas_nom,0)</f>
        <v>0.29969764090000001</v>
      </c>
      <c r="O594" s="49">
        <f ca="1">IFERROR((O360)/Marine!CA_FP_gas_nom,0)</f>
        <v>0.46116000000000007</v>
      </c>
      <c r="P594" s="49">
        <f ca="1">IFERROR((P360)/Marine!CA_FP_gas_nom,0)</f>
        <v>0.41688345859999992</v>
      </c>
      <c r="Q594" s="49">
        <f ca="1">IFERROR((Q360)/Marine!CA_FP_gas_nom,0)</f>
        <v>0.4483577182000002</v>
      </c>
      <c r="R594" s="49">
        <f ca="1">IFERROR((R360)/Marine!CA_FP_gas_nom,0)</f>
        <v>4.4835771820046581E-7</v>
      </c>
      <c r="S594" s="49">
        <f ca="1">IFERROR((S360)/Marine!CA_FP_gas_nom,0)</f>
        <v>0.56615999999999989</v>
      </c>
      <c r="T594" s="49">
        <f ca="1">IFERROR((T360)/Marine!CA_FP_gas_nom,0)</f>
        <v>0.55425742574257408</v>
      </c>
      <c r="U594" s="49">
        <f ca="1">IFERROR((U360)/Marine!CA_FP_gas_nom,0)</f>
        <v>0.5431683168316831</v>
      </c>
      <c r="V594" s="49">
        <f ca="1">IFERROR((V360)/Marine!CA_FP_gas_nom,0)</f>
        <v>0.53227722772277219</v>
      </c>
      <c r="W594" s="49">
        <f ca="1">IFERROR((W360)/Marine!CA_FP_gas_nom,0)</f>
        <v>0.5217821782178218</v>
      </c>
      <c r="X594" s="49">
        <f ca="1">IFERROR((X360)/Marine!CA_FP_gas_nom,0)</f>
        <v>0.5112871287128713</v>
      </c>
      <c r="Y594" s="49">
        <f ca="1">IFERROR((Y360)/Marine!CA_FP_gas_nom,0)</f>
        <v>0</v>
      </c>
      <c r="Z594" s="49">
        <f ca="1">IFERROR((Z360)/Marine!CA_FP_gas_nom,0)</f>
        <v>0</v>
      </c>
      <c r="AA594" s="49">
        <f ca="1">IFERROR((AA360)/Marine!CA_FP_gas_nom,0)</f>
        <v>0</v>
      </c>
      <c r="AB594" s="49">
        <f ca="1">IFERROR((AB360)/Marine!CA_FP_gas_nom,0)</f>
        <v>0</v>
      </c>
      <c r="AC594" s="49">
        <f ca="1">IFERROR((AC360)/Marine!CA_FP_gas_nom,0)</f>
        <v>0</v>
      </c>
      <c r="AD594" s="49">
        <f ca="1">IFERROR((AD360)/Marine!CA_FP_gas_nom,0)</f>
        <v>0</v>
      </c>
      <c r="AE594" s="49">
        <f ca="1">IFERROR((AE360)/Marine!CA_FP_gas_nom,0)</f>
        <v>0</v>
      </c>
      <c r="AF594" s="49">
        <f ca="1">IFERROR((AF360)/Marine!CA_FP_gas_nom,0)</f>
        <v>0</v>
      </c>
      <c r="AG594" s="49">
        <f ca="1">IFERROR((AG360)/Marine!CA_FP_gas_nom,0)</f>
        <v>0</v>
      </c>
      <c r="AH594" s="49">
        <f ca="1">IFERROR((AH360)/Marine!CA_FP_gas_nom,0)</f>
        <v>0</v>
      </c>
      <c r="AI594" s="49">
        <f ca="1">IFERROR((AI360)/Marine!CA_FP_gas_nom,0)</f>
        <v>0</v>
      </c>
      <c r="AJ594" s="49">
        <f ca="1">IFERROR((AJ360)/Marine!CA_FP_gas_nom,0)</f>
        <v>0</v>
      </c>
      <c r="AK594" s="49">
        <f ca="1">IFERROR((AK360)/Marine!CA_FP_gas_nom,0)</f>
        <v>0</v>
      </c>
      <c r="AL594" s="49">
        <f ca="1">IFERROR((AL360)/Marine!CA_FP_gas_nom,0)</f>
        <v>0</v>
      </c>
      <c r="AM594" s="49">
        <f ca="1">IFERROR((AM360)/Marine!CA_FP_gas_nom,0)</f>
        <v>0</v>
      </c>
      <c r="AN594" s="49">
        <f ca="1">IFERROR((AN360)/Marine!CA_FP_gas_nom,0)</f>
        <v>0</v>
      </c>
      <c r="AO594" s="49">
        <f ca="1">IFERROR((AO360)/Marine!CA_FP_gas_nom,0)</f>
        <v>0</v>
      </c>
      <c r="AP594" s="49">
        <f ca="1">IFERROR((AP360)/Marine!CA_FP_gas_nom,0)</f>
        <v>0</v>
      </c>
      <c r="AQ594" s="49">
        <f ca="1">IFERROR((AQ360)/Marine!CA_FP_gas_nom,0)</f>
        <v>0</v>
      </c>
      <c r="AR594" s="49">
        <f ca="1">IFERROR((AR360)/Marine!CA_FP_gas_nom,0)</f>
        <v>0</v>
      </c>
      <c r="AS594" s="49">
        <f ca="1">IFERROR((AS360)/Marine!CA_FP_gas_nom,0)</f>
        <v>0</v>
      </c>
      <c r="AT594" s="49">
        <f ca="1">IFERROR((AT360)/Marine!CA_FP_gas_nom,0)</f>
        <v>0</v>
      </c>
      <c r="AU594" s="49">
        <f ca="1">IFERROR((AU360)/Marine!CA_FP_gas_nom,0)</f>
        <v>0</v>
      </c>
      <c r="AV594" s="49">
        <f ca="1">IFERROR((AV360)/Marine!CA_FP_gas_nom,0)</f>
        <v>0</v>
      </c>
      <c r="AW594" s="49">
        <f ca="1">IFERROR((AW360)/Marine!CA_FP_gas_nom,0)</f>
        <v>0</v>
      </c>
      <c r="AX594" s="49">
        <f ca="1">IFERROR((AX360)/Marine!CA_FP_gas_nom,0)</f>
        <v>0</v>
      </c>
      <c r="AY594" s="49">
        <f ca="1">IFERROR((AY360)/Marine!CA_FP_gas_nom,0)</f>
        <v>0</v>
      </c>
      <c r="AZ594" s="49">
        <f ca="1">IFERROR((AZ360)/Marine!CA_FP_gas_nom,0)</f>
        <v>0</v>
      </c>
      <c r="BA594" s="49">
        <f ca="1">IFERROR((BA360)/Marine!CA_FP_gas_nom,0)</f>
        <v>0</v>
      </c>
      <c r="BB594" s="49">
        <f ca="1">IFERROR((BB360)/Marine!CA_FP_gas_nom,0)</f>
        <v>0</v>
      </c>
      <c r="BC594" s="49">
        <f ca="1">IFERROR((BC360)/Marine!CA_FP_gas_nom,0)</f>
        <v>0</v>
      </c>
      <c r="BD594" s="49">
        <f ca="1">IFERROR((BD360)/Marine!CA_FP_gas_nom,0)</f>
        <v>0</v>
      </c>
      <c r="BE594" s="49">
        <f ca="1">IFERROR((BE360)/Marine!CA_FP_gas_nom,0)</f>
        <v>0</v>
      </c>
      <c r="BF594" s="49">
        <f ca="1">IFERROR((BF360)/Marine!CA_FP_gas_nom,0)</f>
        <v>0</v>
      </c>
      <c r="BG594" s="49">
        <f ca="1">IFERROR((BG360)/Marine!CA_FP_gas_nom,0)</f>
        <v>0</v>
      </c>
      <c r="BH594" s="49">
        <f ca="1">IFERROR((BH360)/Marine!CA_FP_gas_nom,0)</f>
        <v>0</v>
      </c>
      <c r="BI594" s="49">
        <f ca="1">IFERROR((BI360)/Marine!CA_FP_gas_nom,0)</f>
        <v>0</v>
      </c>
      <c r="BJ594" s="49">
        <f ca="1">IFERROR((BJ360)/Marine!CA_FP_gas_nom,0)</f>
        <v>0</v>
      </c>
      <c r="BK594" s="49">
        <f ca="1">IFERROR((BK360)/Marine!CA_FP_gas_nom,0)</f>
        <v>0</v>
      </c>
      <c r="BL594" s="49">
        <f ca="1">IFERROR((BL360)/Marine!CA_FP_gas_nom,0)</f>
        <v>0</v>
      </c>
      <c r="BM594" s="49">
        <f ca="1">IFERROR((BM360)/Marine!CA_FP_gas_nom,0)</f>
        <v>0</v>
      </c>
      <c r="BN594" s="49">
        <f ca="1">IFERROR((BN360)/Marine!CA_FP_gas_nom,0)</f>
        <v>0</v>
      </c>
      <c r="BO594" s="49">
        <f ca="1">IFERROR((BO360)/Marine!CA_FP_gas_nom,0)</f>
        <v>0</v>
      </c>
      <c r="BP594" s="49">
        <f ca="1">IFERROR((BP360)/Marine!CA_FP_gas_nom,0)</f>
        <v>0</v>
      </c>
      <c r="BQ594" s="49">
        <f ca="1">IFERROR((BQ360)/Marine!CA_FP_gas_nom,0)</f>
        <v>0</v>
      </c>
      <c r="BR594" s="49">
        <f ca="1">IFERROR((BR360)/Marine!CA_FP_gas_nom,0)</f>
        <v>0</v>
      </c>
      <c r="BS594" s="49">
        <f ca="1">IFERROR((BS360)/Marine!CA_FP_gas_nom,0)</f>
        <v>0</v>
      </c>
    </row>
    <row r="595" spans="4:71" outlineLevel="1" x14ac:dyDescent="0.2">
      <c r="D595" t="s">
        <v>899</v>
      </c>
      <c r="I595" s="30">
        <f t="shared" ca="1" si="200"/>
        <v>0</v>
      </c>
      <c r="J595" s="26" t="s">
        <v>692</v>
      </c>
      <c r="L595" s="49">
        <f ca="1">IFERROR((L354)/((Marine!CA_FP_oil_nom*Marine!CA_gross_prod_oil+Marine!CA_FP_lpg_nom*Marine!CA_gross_prod_lpg)/(Marine!CA_gross_prod_oil+Marine!CA_gross_prod_lpg)),0)</f>
        <v>0</v>
      </c>
      <c r="M595" s="49">
        <f ca="1">IFERROR((M354)/((Marine!CA_FP_oil_nom*Marine!CA_gross_prod_oil+Marine!CA_FP_lpg_nom*Marine!CA_gross_prod_lpg)/(Marine!CA_gross_prod_oil+Marine!CA_gross_prod_lpg)),0)</f>
        <v>0</v>
      </c>
      <c r="N595" s="49">
        <f ca="1">IFERROR((N354)/((Marine!CA_FP_oil_nom*Marine!CA_gross_prod_oil+Marine!CA_FP_lpg_nom*Marine!CA_gross_prod_lpg)/(Marine!CA_gross_prod_oil+Marine!CA_gross_prod_lpg)),0)</f>
        <v>0</v>
      </c>
      <c r="O595" s="49">
        <f ca="1">IFERROR((O354)/((Marine!CA_FP_oil_nom*Marine!CA_gross_prod_oil+Marine!CA_FP_lpg_nom*Marine!CA_gross_prod_lpg)/(Marine!CA_gross_prod_oil+Marine!CA_gross_prod_lpg)),0)</f>
        <v>0</v>
      </c>
      <c r="P595" s="49">
        <f ca="1">IFERROR((P354)/((Marine!CA_FP_oil_nom*Marine!CA_gross_prod_oil+Marine!CA_FP_lpg_nom*Marine!CA_gross_prod_lpg)/(Marine!CA_gross_prod_oil+Marine!CA_gross_prod_lpg)),0)</f>
        <v>0</v>
      </c>
      <c r="Q595" s="49">
        <f ca="1">IFERROR((Q354)/((Marine!CA_FP_oil_nom*Marine!CA_gross_prod_oil+Marine!CA_FP_lpg_nom*Marine!CA_gross_prod_lpg)/(Marine!CA_gross_prod_oil+Marine!CA_gross_prod_lpg)),0)</f>
        <v>0</v>
      </c>
      <c r="R595" s="49">
        <f ca="1">IFERROR((R354)/((Marine!CA_FP_oil_nom*Marine!CA_gross_prod_oil+Marine!CA_FP_lpg_nom*Marine!CA_gross_prod_lpg)/(Marine!CA_gross_prod_oil+Marine!CA_gross_prod_lpg)),0)</f>
        <v>0</v>
      </c>
      <c r="S595" s="49">
        <f ca="1">IFERROR((S354)/((Marine!CA_FP_oil_nom*Marine!CA_gross_prod_oil+Marine!CA_FP_lpg_nom*Marine!CA_gross_prod_lpg)/(Marine!CA_gross_prod_oil+Marine!CA_gross_prod_lpg)),0)</f>
        <v>0</v>
      </c>
      <c r="T595" s="49">
        <f ca="1">IFERROR((T354)/((Marine!CA_FP_oil_nom*Marine!CA_gross_prod_oil+Marine!CA_FP_lpg_nom*Marine!CA_gross_prod_lpg)/(Marine!CA_gross_prod_oil+Marine!CA_gross_prod_lpg)),0)</f>
        <v>0</v>
      </c>
      <c r="U595" s="49">
        <f ca="1">IFERROR((U354)/((Marine!CA_FP_oil_nom*Marine!CA_gross_prod_oil+Marine!CA_FP_lpg_nom*Marine!CA_gross_prod_lpg)/(Marine!CA_gross_prod_oil+Marine!CA_gross_prod_lpg)),0)</f>
        <v>0</v>
      </c>
      <c r="V595" s="49">
        <f ca="1">IFERROR((V354)/((Marine!CA_FP_oil_nom*Marine!CA_gross_prod_oil+Marine!CA_FP_lpg_nom*Marine!CA_gross_prod_lpg)/(Marine!CA_gross_prod_oil+Marine!CA_gross_prod_lpg)),0)</f>
        <v>0</v>
      </c>
      <c r="W595" s="49">
        <f ca="1">IFERROR((W354)/((Marine!CA_FP_oil_nom*Marine!CA_gross_prod_oil+Marine!CA_FP_lpg_nom*Marine!CA_gross_prod_lpg)/(Marine!CA_gross_prod_oil+Marine!CA_gross_prod_lpg)),0)</f>
        <v>0</v>
      </c>
      <c r="X595" s="49">
        <f ca="1">IFERROR((X354)/((Marine!CA_FP_oil_nom*Marine!CA_gross_prod_oil+Marine!CA_FP_lpg_nom*Marine!CA_gross_prod_lpg)/(Marine!CA_gross_prod_oil+Marine!CA_gross_prod_lpg)),0)</f>
        <v>0</v>
      </c>
      <c r="Y595" s="49">
        <f ca="1">IFERROR((Y354)/((Marine!CA_FP_oil_nom*Marine!CA_gross_prod_oil+Marine!CA_FP_lpg_nom*Marine!CA_gross_prod_lpg)/(Marine!CA_gross_prod_oil+Marine!CA_gross_prod_lpg)),0)</f>
        <v>0</v>
      </c>
      <c r="Z595" s="49">
        <f ca="1">IFERROR((Z354)/((Marine!CA_FP_oil_nom*Marine!CA_gross_prod_oil+Marine!CA_FP_lpg_nom*Marine!CA_gross_prod_lpg)/(Marine!CA_gross_prod_oil+Marine!CA_gross_prod_lpg)),0)</f>
        <v>0</v>
      </c>
      <c r="AA595" s="49">
        <f ca="1">IFERROR((AA354)/((Marine!CA_FP_oil_nom*Marine!CA_gross_prod_oil+Marine!CA_FP_lpg_nom*Marine!CA_gross_prod_lpg)/(Marine!CA_gross_prod_oil+Marine!CA_gross_prod_lpg)),0)</f>
        <v>0</v>
      </c>
      <c r="AB595" s="49">
        <f ca="1">IFERROR((AB354)/((Marine!CA_FP_oil_nom*Marine!CA_gross_prod_oil+Marine!CA_FP_lpg_nom*Marine!CA_gross_prod_lpg)/(Marine!CA_gross_prod_oil+Marine!CA_gross_prod_lpg)),0)</f>
        <v>0</v>
      </c>
      <c r="AC595" s="49">
        <f ca="1">IFERROR((AC354)/((Marine!CA_FP_oil_nom*Marine!CA_gross_prod_oil+Marine!CA_FP_lpg_nom*Marine!CA_gross_prod_lpg)/(Marine!CA_gross_prod_oil+Marine!CA_gross_prod_lpg)),0)</f>
        <v>0</v>
      </c>
      <c r="AD595" s="49">
        <f ca="1">IFERROR((AD354)/((Marine!CA_FP_oil_nom*Marine!CA_gross_prod_oil+Marine!CA_FP_lpg_nom*Marine!CA_gross_prod_lpg)/(Marine!CA_gross_prod_oil+Marine!CA_gross_prod_lpg)),0)</f>
        <v>0</v>
      </c>
      <c r="AE595" s="49">
        <f ca="1">IFERROR((AE354)/((Marine!CA_FP_oil_nom*Marine!CA_gross_prod_oil+Marine!CA_FP_lpg_nom*Marine!CA_gross_prod_lpg)/(Marine!CA_gross_prod_oil+Marine!CA_gross_prod_lpg)),0)</f>
        <v>0</v>
      </c>
      <c r="AF595" s="49">
        <f ca="1">IFERROR((AF354)/((Marine!CA_FP_oil_nom*Marine!CA_gross_prod_oil+Marine!CA_FP_lpg_nom*Marine!CA_gross_prod_lpg)/(Marine!CA_gross_prod_oil+Marine!CA_gross_prod_lpg)),0)</f>
        <v>0</v>
      </c>
      <c r="AG595" s="49">
        <f ca="1">IFERROR((AG354)/((Marine!CA_FP_oil_nom*Marine!CA_gross_prod_oil+Marine!CA_FP_lpg_nom*Marine!CA_gross_prod_lpg)/(Marine!CA_gross_prod_oil+Marine!CA_gross_prod_lpg)),0)</f>
        <v>0</v>
      </c>
      <c r="AH595" s="49">
        <f ca="1">IFERROR((AH354)/((Marine!CA_FP_oil_nom*Marine!CA_gross_prod_oil+Marine!CA_FP_lpg_nom*Marine!CA_gross_prod_lpg)/(Marine!CA_gross_prod_oil+Marine!CA_gross_prod_lpg)),0)</f>
        <v>0</v>
      </c>
      <c r="AI595" s="49">
        <f ca="1">IFERROR((AI354)/((Marine!CA_FP_oil_nom*Marine!CA_gross_prod_oil+Marine!CA_FP_lpg_nom*Marine!CA_gross_prod_lpg)/(Marine!CA_gross_prod_oil+Marine!CA_gross_prod_lpg)),0)</f>
        <v>0</v>
      </c>
      <c r="AJ595" s="49">
        <f ca="1">IFERROR((AJ354)/((Marine!CA_FP_oil_nom*Marine!CA_gross_prod_oil+Marine!CA_FP_lpg_nom*Marine!CA_gross_prod_lpg)/(Marine!CA_gross_prod_oil+Marine!CA_gross_prod_lpg)),0)</f>
        <v>0</v>
      </c>
      <c r="AK595" s="49">
        <f ca="1">IFERROR((AK354)/((Marine!CA_FP_oil_nom*Marine!CA_gross_prod_oil+Marine!CA_FP_lpg_nom*Marine!CA_gross_prod_lpg)/(Marine!CA_gross_prod_oil+Marine!CA_gross_prod_lpg)),0)</f>
        <v>0</v>
      </c>
      <c r="AL595" s="49">
        <f ca="1">IFERROR((AL354)/((Marine!CA_FP_oil_nom*Marine!CA_gross_prod_oil+Marine!CA_FP_lpg_nom*Marine!CA_gross_prod_lpg)/(Marine!CA_gross_prod_oil+Marine!CA_gross_prod_lpg)),0)</f>
        <v>0</v>
      </c>
      <c r="AM595" s="49">
        <f ca="1">IFERROR((AM354)/((Marine!CA_FP_oil_nom*Marine!CA_gross_prod_oil+Marine!CA_FP_lpg_nom*Marine!CA_gross_prod_lpg)/(Marine!CA_gross_prod_oil+Marine!CA_gross_prod_lpg)),0)</f>
        <v>0</v>
      </c>
      <c r="AN595" s="49">
        <f ca="1">IFERROR((AN354)/((Marine!CA_FP_oil_nom*Marine!CA_gross_prod_oil+Marine!CA_FP_lpg_nom*Marine!CA_gross_prod_lpg)/(Marine!CA_gross_prod_oil+Marine!CA_gross_prod_lpg)),0)</f>
        <v>0</v>
      </c>
      <c r="AO595" s="49">
        <f ca="1">IFERROR((AO354)/((Marine!CA_FP_oil_nom*Marine!CA_gross_prod_oil+Marine!CA_FP_lpg_nom*Marine!CA_gross_prod_lpg)/(Marine!CA_gross_prod_oil+Marine!CA_gross_prod_lpg)),0)</f>
        <v>0</v>
      </c>
      <c r="AP595" s="49">
        <f ca="1">IFERROR((AP354)/((Marine!CA_FP_oil_nom*Marine!CA_gross_prod_oil+Marine!CA_FP_lpg_nom*Marine!CA_gross_prod_lpg)/(Marine!CA_gross_prod_oil+Marine!CA_gross_prod_lpg)),0)</f>
        <v>0</v>
      </c>
      <c r="AQ595" s="49">
        <f ca="1">IFERROR((AQ354)/((Marine!CA_FP_oil_nom*Marine!CA_gross_prod_oil+Marine!CA_FP_lpg_nom*Marine!CA_gross_prod_lpg)/(Marine!CA_gross_prod_oil+Marine!CA_gross_prod_lpg)),0)</f>
        <v>0</v>
      </c>
      <c r="AR595" s="49">
        <f ca="1">IFERROR((AR354)/((Marine!CA_FP_oil_nom*Marine!CA_gross_prod_oil+Marine!CA_FP_lpg_nom*Marine!CA_gross_prod_lpg)/(Marine!CA_gross_prod_oil+Marine!CA_gross_prod_lpg)),0)</f>
        <v>0</v>
      </c>
      <c r="AS595" s="49">
        <f ca="1">IFERROR((AS354)/((Marine!CA_FP_oil_nom*Marine!CA_gross_prod_oil+Marine!CA_FP_lpg_nom*Marine!CA_gross_prod_lpg)/(Marine!CA_gross_prod_oil+Marine!CA_gross_prod_lpg)),0)</f>
        <v>0</v>
      </c>
      <c r="AT595" s="49">
        <f ca="1">IFERROR((AT354)/((Marine!CA_FP_oil_nom*Marine!CA_gross_prod_oil+Marine!CA_FP_lpg_nom*Marine!CA_gross_prod_lpg)/(Marine!CA_gross_prod_oil+Marine!CA_gross_prod_lpg)),0)</f>
        <v>0</v>
      </c>
      <c r="AU595" s="49">
        <f ca="1">IFERROR((AU354)/((Marine!CA_FP_oil_nom*Marine!CA_gross_prod_oil+Marine!CA_FP_lpg_nom*Marine!CA_gross_prod_lpg)/(Marine!CA_gross_prod_oil+Marine!CA_gross_prod_lpg)),0)</f>
        <v>0</v>
      </c>
      <c r="AV595" s="49">
        <f ca="1">IFERROR((AV354)/((Marine!CA_FP_oil_nom*Marine!CA_gross_prod_oil+Marine!CA_FP_lpg_nom*Marine!CA_gross_prod_lpg)/(Marine!CA_gross_prod_oil+Marine!CA_gross_prod_lpg)),0)</f>
        <v>0</v>
      </c>
      <c r="AW595" s="49">
        <f ca="1">IFERROR((AW354)/((Marine!CA_FP_oil_nom*Marine!CA_gross_prod_oil+Marine!CA_FP_lpg_nom*Marine!CA_gross_prod_lpg)/(Marine!CA_gross_prod_oil+Marine!CA_gross_prod_lpg)),0)</f>
        <v>0</v>
      </c>
      <c r="AX595" s="49">
        <f ca="1">IFERROR((AX354)/((Marine!CA_FP_oil_nom*Marine!CA_gross_prod_oil+Marine!CA_FP_lpg_nom*Marine!CA_gross_prod_lpg)/(Marine!CA_gross_prod_oil+Marine!CA_gross_prod_lpg)),0)</f>
        <v>0</v>
      </c>
      <c r="AY595" s="49">
        <f ca="1">IFERROR((AY354)/((Marine!CA_FP_oil_nom*Marine!CA_gross_prod_oil+Marine!CA_FP_lpg_nom*Marine!CA_gross_prod_lpg)/(Marine!CA_gross_prod_oil+Marine!CA_gross_prod_lpg)),0)</f>
        <v>0</v>
      </c>
      <c r="AZ595" s="49">
        <f ca="1">IFERROR((AZ354)/((Marine!CA_FP_oil_nom*Marine!CA_gross_prod_oil+Marine!CA_FP_lpg_nom*Marine!CA_gross_prod_lpg)/(Marine!CA_gross_prod_oil+Marine!CA_gross_prod_lpg)),0)</f>
        <v>0</v>
      </c>
      <c r="BA595" s="49">
        <f ca="1">IFERROR((BA354)/((Marine!CA_FP_oil_nom*Marine!CA_gross_prod_oil+Marine!CA_FP_lpg_nom*Marine!CA_gross_prod_lpg)/(Marine!CA_gross_prod_oil+Marine!CA_gross_prod_lpg)),0)</f>
        <v>0</v>
      </c>
      <c r="BB595" s="49">
        <f ca="1">IFERROR((BB354)/((Marine!CA_FP_oil_nom*Marine!CA_gross_prod_oil+Marine!CA_FP_lpg_nom*Marine!CA_gross_prod_lpg)/(Marine!CA_gross_prod_oil+Marine!CA_gross_prod_lpg)),0)</f>
        <v>0</v>
      </c>
      <c r="BC595" s="49">
        <f ca="1">IFERROR((BC354)/((Marine!CA_FP_oil_nom*Marine!CA_gross_prod_oil+Marine!CA_FP_lpg_nom*Marine!CA_gross_prod_lpg)/(Marine!CA_gross_prod_oil+Marine!CA_gross_prod_lpg)),0)</f>
        <v>0</v>
      </c>
      <c r="BD595" s="49">
        <f ca="1">IFERROR((BD354)/((Marine!CA_FP_oil_nom*Marine!CA_gross_prod_oil+Marine!CA_FP_lpg_nom*Marine!CA_gross_prod_lpg)/(Marine!CA_gross_prod_oil+Marine!CA_gross_prod_lpg)),0)</f>
        <v>0</v>
      </c>
      <c r="BE595" s="49">
        <f ca="1">IFERROR((BE354)/((Marine!CA_FP_oil_nom*Marine!CA_gross_prod_oil+Marine!CA_FP_lpg_nom*Marine!CA_gross_prod_lpg)/(Marine!CA_gross_prod_oil+Marine!CA_gross_prod_lpg)),0)</f>
        <v>0</v>
      </c>
      <c r="BF595" s="49">
        <f ca="1">IFERROR((BF354)/((Marine!CA_FP_oil_nom*Marine!CA_gross_prod_oil+Marine!CA_FP_lpg_nom*Marine!CA_gross_prod_lpg)/(Marine!CA_gross_prod_oil+Marine!CA_gross_prod_lpg)),0)</f>
        <v>0</v>
      </c>
      <c r="BG595" s="49">
        <f ca="1">IFERROR((BG354)/((Marine!CA_FP_oil_nom*Marine!CA_gross_prod_oil+Marine!CA_FP_lpg_nom*Marine!CA_gross_prod_lpg)/(Marine!CA_gross_prod_oil+Marine!CA_gross_prod_lpg)),0)</f>
        <v>0</v>
      </c>
      <c r="BH595" s="49">
        <f ca="1">IFERROR((BH354)/((Marine!CA_FP_oil_nom*Marine!CA_gross_prod_oil+Marine!CA_FP_lpg_nom*Marine!CA_gross_prod_lpg)/(Marine!CA_gross_prod_oil+Marine!CA_gross_prod_lpg)),0)</f>
        <v>0</v>
      </c>
      <c r="BI595" s="49">
        <f ca="1">IFERROR((BI354)/((Marine!CA_FP_oil_nom*Marine!CA_gross_prod_oil+Marine!CA_FP_lpg_nom*Marine!CA_gross_prod_lpg)/(Marine!CA_gross_prod_oil+Marine!CA_gross_prod_lpg)),0)</f>
        <v>0</v>
      </c>
      <c r="BJ595" s="49">
        <f ca="1">IFERROR((BJ354)/((Marine!CA_FP_oil_nom*Marine!CA_gross_prod_oil+Marine!CA_FP_lpg_nom*Marine!CA_gross_prod_lpg)/(Marine!CA_gross_prod_oil+Marine!CA_gross_prod_lpg)),0)</f>
        <v>0</v>
      </c>
      <c r="BK595" s="49">
        <f ca="1">IFERROR((BK354)/((Marine!CA_FP_oil_nom*Marine!CA_gross_prod_oil+Marine!CA_FP_lpg_nom*Marine!CA_gross_prod_lpg)/(Marine!CA_gross_prod_oil+Marine!CA_gross_prod_lpg)),0)</f>
        <v>0</v>
      </c>
      <c r="BL595" s="49">
        <f ca="1">IFERROR((BL354)/((Marine!CA_FP_oil_nom*Marine!CA_gross_prod_oil+Marine!CA_FP_lpg_nom*Marine!CA_gross_prod_lpg)/(Marine!CA_gross_prod_oil+Marine!CA_gross_prod_lpg)),0)</f>
        <v>0</v>
      </c>
      <c r="BM595" s="49">
        <f ca="1">IFERROR((BM354)/((Marine!CA_FP_oil_nom*Marine!CA_gross_prod_oil+Marine!CA_FP_lpg_nom*Marine!CA_gross_prod_lpg)/(Marine!CA_gross_prod_oil+Marine!CA_gross_prod_lpg)),0)</f>
        <v>0</v>
      </c>
      <c r="BN595" s="49">
        <f ca="1">IFERROR((BN354)/((Marine!CA_FP_oil_nom*Marine!CA_gross_prod_oil+Marine!CA_FP_lpg_nom*Marine!CA_gross_prod_lpg)/(Marine!CA_gross_prod_oil+Marine!CA_gross_prod_lpg)),0)</f>
        <v>0</v>
      </c>
      <c r="BO595" s="49">
        <f ca="1">IFERROR((BO354)/((Marine!CA_FP_oil_nom*Marine!CA_gross_prod_oil+Marine!CA_FP_lpg_nom*Marine!CA_gross_prod_lpg)/(Marine!CA_gross_prod_oil+Marine!CA_gross_prod_lpg)),0)</f>
        <v>0</v>
      </c>
      <c r="BP595" s="49">
        <f ca="1">IFERROR((BP354)/((Marine!CA_FP_oil_nom*Marine!CA_gross_prod_oil+Marine!CA_FP_lpg_nom*Marine!CA_gross_prod_lpg)/(Marine!CA_gross_prod_oil+Marine!CA_gross_prod_lpg)),0)</f>
        <v>0</v>
      </c>
      <c r="BQ595" s="49">
        <f ca="1">IFERROR((BQ354)/((Marine!CA_FP_oil_nom*Marine!CA_gross_prod_oil+Marine!CA_FP_lpg_nom*Marine!CA_gross_prod_lpg)/(Marine!CA_gross_prod_oil+Marine!CA_gross_prod_lpg)),0)</f>
        <v>0</v>
      </c>
      <c r="BR595" s="49">
        <f ca="1">IFERROR((BR354)/((Marine!CA_FP_oil_nom*Marine!CA_gross_prod_oil+Marine!CA_FP_lpg_nom*Marine!CA_gross_prod_lpg)/(Marine!CA_gross_prod_oil+Marine!CA_gross_prod_lpg)),0)</f>
        <v>0</v>
      </c>
      <c r="BS595" s="49">
        <f ca="1">IFERROR((BS354)/((Marine!CA_FP_oil_nom*Marine!CA_gross_prod_oil+Marine!CA_FP_lpg_nom*Marine!CA_gross_prod_lpg)/(Marine!CA_gross_prod_oil+Marine!CA_gross_prod_lpg)),0)</f>
        <v>0</v>
      </c>
    </row>
    <row r="596" spans="4:71" outlineLevel="1" x14ac:dyDescent="0.2">
      <c r="D596" t="s">
        <v>900</v>
      </c>
      <c r="I596" s="30">
        <f t="shared" ca="1" si="200"/>
        <v>0</v>
      </c>
      <c r="J596" s="26" t="s">
        <v>653</v>
      </c>
      <c r="L596" s="49">
        <f ca="1">IFERROR((L361)/Marine!CA_FP_gas_nom,0)</f>
        <v>0</v>
      </c>
      <c r="M596" s="49">
        <f ca="1">IFERROR((M361)/Marine!CA_FP_gas_nom,0)</f>
        <v>0</v>
      </c>
      <c r="N596" s="49">
        <f ca="1">IFERROR((N361)/Marine!CA_FP_gas_nom,0)</f>
        <v>0</v>
      </c>
      <c r="O596" s="49">
        <f ca="1">IFERROR((O361)/Marine!CA_FP_gas_nom,0)</f>
        <v>0</v>
      </c>
      <c r="P596" s="49">
        <f ca="1">IFERROR((P361)/Marine!CA_FP_gas_nom,0)</f>
        <v>0</v>
      </c>
      <c r="Q596" s="49">
        <f ca="1">IFERROR((Q361)/Marine!CA_FP_gas_nom,0)</f>
        <v>0</v>
      </c>
      <c r="R596" s="49">
        <f ca="1">IFERROR((R361)/Marine!CA_FP_gas_nom,0)</f>
        <v>0</v>
      </c>
      <c r="S596" s="49">
        <f ca="1">IFERROR((S361)/Marine!CA_FP_gas_nom,0)</f>
        <v>0</v>
      </c>
      <c r="T596" s="49">
        <f ca="1">IFERROR((T361)/Marine!CA_FP_gas_nom,0)</f>
        <v>0</v>
      </c>
      <c r="U596" s="49">
        <f ca="1">IFERROR((U361)/Marine!CA_FP_gas_nom,0)</f>
        <v>0</v>
      </c>
      <c r="V596" s="49">
        <f ca="1">IFERROR((V361)/Marine!CA_FP_gas_nom,0)</f>
        <v>0</v>
      </c>
      <c r="W596" s="49">
        <f ca="1">IFERROR((W361)/Marine!CA_FP_gas_nom,0)</f>
        <v>0</v>
      </c>
      <c r="X596" s="49">
        <f ca="1">IFERROR((X361)/Marine!CA_FP_gas_nom,0)</f>
        <v>0</v>
      </c>
      <c r="Y596" s="49">
        <f ca="1">IFERROR((Y361)/Marine!CA_FP_gas_nom,0)</f>
        <v>0</v>
      </c>
      <c r="Z596" s="49">
        <f ca="1">IFERROR((Z361)/Marine!CA_FP_gas_nom,0)</f>
        <v>0</v>
      </c>
      <c r="AA596" s="49">
        <f ca="1">IFERROR((AA361)/Marine!CA_FP_gas_nom,0)</f>
        <v>0</v>
      </c>
      <c r="AB596" s="49">
        <f ca="1">IFERROR((AB361)/Marine!CA_FP_gas_nom,0)</f>
        <v>0</v>
      </c>
      <c r="AC596" s="49">
        <f ca="1">IFERROR((AC361)/Marine!CA_FP_gas_nom,0)</f>
        <v>0</v>
      </c>
      <c r="AD596" s="49">
        <f ca="1">IFERROR((AD361)/Marine!CA_FP_gas_nom,0)</f>
        <v>0</v>
      </c>
      <c r="AE596" s="49">
        <f ca="1">IFERROR((AE361)/Marine!CA_FP_gas_nom,0)</f>
        <v>0</v>
      </c>
      <c r="AF596" s="49">
        <f ca="1">IFERROR((AF361)/Marine!CA_FP_gas_nom,0)</f>
        <v>0</v>
      </c>
      <c r="AG596" s="49">
        <f ca="1">IFERROR((AG361)/Marine!CA_FP_gas_nom,0)</f>
        <v>0</v>
      </c>
      <c r="AH596" s="49">
        <f ca="1">IFERROR((AH361)/Marine!CA_FP_gas_nom,0)</f>
        <v>0</v>
      </c>
      <c r="AI596" s="49">
        <f ca="1">IFERROR((AI361)/Marine!CA_FP_gas_nom,0)</f>
        <v>0</v>
      </c>
      <c r="AJ596" s="49">
        <f ca="1">IFERROR((AJ361)/Marine!CA_FP_gas_nom,0)</f>
        <v>0</v>
      </c>
      <c r="AK596" s="49">
        <f ca="1">IFERROR((AK361)/Marine!CA_FP_gas_nom,0)</f>
        <v>0</v>
      </c>
      <c r="AL596" s="49">
        <f ca="1">IFERROR((AL361)/Marine!CA_FP_gas_nom,0)</f>
        <v>0</v>
      </c>
      <c r="AM596" s="49">
        <f ca="1">IFERROR((AM361)/Marine!CA_FP_gas_nom,0)</f>
        <v>0</v>
      </c>
      <c r="AN596" s="49">
        <f ca="1">IFERROR((AN361)/Marine!CA_FP_gas_nom,0)</f>
        <v>0</v>
      </c>
      <c r="AO596" s="49">
        <f ca="1">IFERROR((AO361)/Marine!CA_FP_gas_nom,0)</f>
        <v>0</v>
      </c>
      <c r="AP596" s="49">
        <f ca="1">IFERROR((AP361)/Marine!CA_FP_gas_nom,0)</f>
        <v>0</v>
      </c>
      <c r="AQ596" s="49">
        <f ca="1">IFERROR((AQ361)/Marine!CA_FP_gas_nom,0)</f>
        <v>0</v>
      </c>
      <c r="AR596" s="49">
        <f ca="1">IFERROR((AR361)/Marine!CA_FP_gas_nom,0)</f>
        <v>0</v>
      </c>
      <c r="AS596" s="49">
        <f ca="1">IFERROR((AS361)/Marine!CA_FP_gas_nom,0)</f>
        <v>0</v>
      </c>
      <c r="AT596" s="49">
        <f ca="1">IFERROR((AT361)/Marine!CA_FP_gas_nom,0)</f>
        <v>0</v>
      </c>
      <c r="AU596" s="49">
        <f ca="1">IFERROR((AU361)/Marine!CA_FP_gas_nom,0)</f>
        <v>0</v>
      </c>
      <c r="AV596" s="49">
        <f ca="1">IFERROR((AV361)/Marine!CA_FP_gas_nom,0)</f>
        <v>0</v>
      </c>
      <c r="AW596" s="49">
        <f ca="1">IFERROR((AW361)/Marine!CA_FP_gas_nom,0)</f>
        <v>0</v>
      </c>
      <c r="AX596" s="49">
        <f ca="1">IFERROR((AX361)/Marine!CA_FP_gas_nom,0)</f>
        <v>0</v>
      </c>
      <c r="AY596" s="49">
        <f ca="1">IFERROR((AY361)/Marine!CA_FP_gas_nom,0)</f>
        <v>0</v>
      </c>
      <c r="AZ596" s="49">
        <f ca="1">IFERROR((AZ361)/Marine!CA_FP_gas_nom,0)</f>
        <v>0</v>
      </c>
      <c r="BA596" s="49">
        <f ca="1">IFERROR((BA361)/Marine!CA_FP_gas_nom,0)</f>
        <v>0</v>
      </c>
      <c r="BB596" s="49">
        <f ca="1">IFERROR((BB361)/Marine!CA_FP_gas_nom,0)</f>
        <v>0</v>
      </c>
      <c r="BC596" s="49">
        <f ca="1">IFERROR((BC361)/Marine!CA_FP_gas_nom,0)</f>
        <v>0</v>
      </c>
      <c r="BD596" s="49">
        <f ca="1">IFERROR((BD361)/Marine!CA_FP_gas_nom,0)</f>
        <v>0</v>
      </c>
      <c r="BE596" s="49">
        <f ca="1">IFERROR((BE361)/Marine!CA_FP_gas_nom,0)</f>
        <v>0</v>
      </c>
      <c r="BF596" s="49">
        <f ca="1">IFERROR((BF361)/Marine!CA_FP_gas_nom,0)</f>
        <v>0</v>
      </c>
      <c r="BG596" s="49">
        <f ca="1">IFERROR((BG361)/Marine!CA_FP_gas_nom,0)</f>
        <v>0</v>
      </c>
      <c r="BH596" s="49">
        <f ca="1">IFERROR((BH361)/Marine!CA_FP_gas_nom,0)</f>
        <v>0</v>
      </c>
      <c r="BI596" s="49">
        <f ca="1">IFERROR((BI361)/Marine!CA_FP_gas_nom,0)</f>
        <v>0</v>
      </c>
      <c r="BJ596" s="49">
        <f ca="1">IFERROR((BJ361)/Marine!CA_FP_gas_nom,0)</f>
        <v>0</v>
      </c>
      <c r="BK596" s="49">
        <f ca="1">IFERROR((BK361)/Marine!CA_FP_gas_nom,0)</f>
        <v>0</v>
      </c>
      <c r="BL596" s="49">
        <f ca="1">IFERROR((BL361)/Marine!CA_FP_gas_nom,0)</f>
        <v>0</v>
      </c>
      <c r="BM596" s="49">
        <f ca="1">IFERROR((BM361)/Marine!CA_FP_gas_nom,0)</f>
        <v>0</v>
      </c>
      <c r="BN596" s="49">
        <f ca="1">IFERROR((BN361)/Marine!CA_FP_gas_nom,0)</f>
        <v>0</v>
      </c>
      <c r="BO596" s="49">
        <f ca="1">IFERROR((BO361)/Marine!CA_FP_gas_nom,0)</f>
        <v>0</v>
      </c>
      <c r="BP596" s="49">
        <f ca="1">IFERROR((BP361)/Marine!CA_FP_gas_nom,0)</f>
        <v>0</v>
      </c>
      <c r="BQ596" s="49">
        <f ca="1">IFERROR((BQ361)/Marine!CA_FP_gas_nom,0)</f>
        <v>0</v>
      </c>
      <c r="BR596" s="49">
        <f ca="1">IFERROR((BR361)/Marine!CA_FP_gas_nom,0)</f>
        <v>0</v>
      </c>
      <c r="BS596" s="49">
        <f ca="1">IFERROR((BS361)/Marine!CA_FP_gas_nom,0)</f>
        <v>0</v>
      </c>
    </row>
    <row r="597" spans="4:71" outlineLevel="1" x14ac:dyDescent="0.2">
      <c r="D597" t="s">
        <v>753</v>
      </c>
      <c r="I597" s="30">
        <f t="shared" ca="1" si="200"/>
        <v>0</v>
      </c>
      <c r="J597" s="26" t="s">
        <v>692</v>
      </c>
      <c r="L597" s="49">
        <f ca="1">IFERROR((L355)/((Marine!CA_FP_oil_nom*Marine!CA_gross_prod_oil+Marine!CA_FP_lpg_nom*Marine!CA_gross_prod_lpg)/(Marine!CA_gross_prod_oil+Marine!CA_gross_prod_lpg)),0)</f>
        <v>0</v>
      </c>
      <c r="M597" s="49">
        <f ca="1">IFERROR((M355)/((Marine!CA_FP_oil_nom*Marine!CA_gross_prod_oil+Marine!CA_FP_lpg_nom*Marine!CA_gross_prod_lpg)/(Marine!CA_gross_prod_oil+Marine!CA_gross_prod_lpg)),0)</f>
        <v>0</v>
      </c>
      <c r="N597" s="49">
        <f ca="1">IFERROR((N355)/((Marine!CA_FP_oil_nom*Marine!CA_gross_prod_oil+Marine!CA_FP_lpg_nom*Marine!CA_gross_prod_lpg)/(Marine!CA_gross_prod_oil+Marine!CA_gross_prod_lpg)),0)</f>
        <v>0</v>
      </c>
      <c r="O597" s="49">
        <f ca="1">IFERROR((O355)/((Marine!CA_FP_oil_nom*Marine!CA_gross_prod_oil+Marine!CA_FP_lpg_nom*Marine!CA_gross_prod_lpg)/(Marine!CA_gross_prod_oil+Marine!CA_gross_prod_lpg)),0)</f>
        <v>0</v>
      </c>
      <c r="P597" s="49">
        <f ca="1">IFERROR((P355)/((Marine!CA_FP_oil_nom*Marine!CA_gross_prod_oil+Marine!CA_FP_lpg_nom*Marine!CA_gross_prod_lpg)/(Marine!CA_gross_prod_oil+Marine!CA_gross_prod_lpg)),0)</f>
        <v>0</v>
      </c>
      <c r="Q597" s="49">
        <f ca="1">IFERROR((Q355)/((Marine!CA_FP_oil_nom*Marine!CA_gross_prod_oil+Marine!CA_FP_lpg_nom*Marine!CA_gross_prod_lpg)/(Marine!CA_gross_prod_oil+Marine!CA_gross_prod_lpg)),0)</f>
        <v>0</v>
      </c>
      <c r="R597" s="49">
        <f ca="1">IFERROR((R355)/((Marine!CA_FP_oil_nom*Marine!CA_gross_prod_oil+Marine!CA_FP_lpg_nom*Marine!CA_gross_prod_lpg)/(Marine!CA_gross_prod_oil+Marine!CA_gross_prod_lpg)),0)</f>
        <v>0</v>
      </c>
      <c r="S597" s="49">
        <f ca="1">IFERROR((S355)/((Marine!CA_FP_oil_nom*Marine!CA_gross_prod_oil+Marine!CA_FP_lpg_nom*Marine!CA_gross_prod_lpg)/(Marine!CA_gross_prod_oil+Marine!CA_gross_prod_lpg)),0)</f>
        <v>0</v>
      </c>
      <c r="T597" s="49">
        <f ca="1">IFERROR((T355)/((Marine!CA_FP_oil_nom*Marine!CA_gross_prod_oil+Marine!CA_FP_lpg_nom*Marine!CA_gross_prod_lpg)/(Marine!CA_gross_prod_oil+Marine!CA_gross_prod_lpg)),0)</f>
        <v>0</v>
      </c>
      <c r="U597" s="49">
        <f ca="1">IFERROR((U355)/((Marine!CA_FP_oil_nom*Marine!CA_gross_prod_oil+Marine!CA_FP_lpg_nom*Marine!CA_gross_prod_lpg)/(Marine!CA_gross_prod_oil+Marine!CA_gross_prod_lpg)),0)</f>
        <v>0</v>
      </c>
      <c r="V597" s="49">
        <f ca="1">IFERROR((V355)/((Marine!CA_FP_oil_nom*Marine!CA_gross_prod_oil+Marine!CA_FP_lpg_nom*Marine!CA_gross_prod_lpg)/(Marine!CA_gross_prod_oil+Marine!CA_gross_prod_lpg)),0)</f>
        <v>0</v>
      </c>
      <c r="W597" s="49">
        <f ca="1">IFERROR((W355)/((Marine!CA_FP_oil_nom*Marine!CA_gross_prod_oil+Marine!CA_FP_lpg_nom*Marine!CA_gross_prod_lpg)/(Marine!CA_gross_prod_oil+Marine!CA_gross_prod_lpg)),0)</f>
        <v>0</v>
      </c>
      <c r="X597" s="49">
        <f ca="1">IFERROR((X355)/((Marine!CA_FP_oil_nom*Marine!CA_gross_prod_oil+Marine!CA_FP_lpg_nom*Marine!CA_gross_prod_lpg)/(Marine!CA_gross_prod_oil+Marine!CA_gross_prod_lpg)),0)</f>
        <v>0</v>
      </c>
      <c r="Y597" s="49">
        <f ca="1">IFERROR((Y355)/((Marine!CA_FP_oil_nom*Marine!CA_gross_prod_oil+Marine!CA_FP_lpg_nom*Marine!CA_gross_prod_lpg)/(Marine!CA_gross_prod_oil+Marine!CA_gross_prod_lpg)),0)</f>
        <v>0</v>
      </c>
      <c r="Z597" s="49">
        <f ca="1">IFERROR((Z355)/((Marine!CA_FP_oil_nom*Marine!CA_gross_prod_oil+Marine!CA_FP_lpg_nom*Marine!CA_gross_prod_lpg)/(Marine!CA_gross_prod_oil+Marine!CA_gross_prod_lpg)),0)</f>
        <v>0</v>
      </c>
      <c r="AA597" s="49">
        <f ca="1">IFERROR((AA355)/((Marine!CA_FP_oil_nom*Marine!CA_gross_prod_oil+Marine!CA_FP_lpg_nom*Marine!CA_gross_prod_lpg)/(Marine!CA_gross_prod_oil+Marine!CA_gross_prod_lpg)),0)</f>
        <v>0</v>
      </c>
      <c r="AB597" s="49">
        <f ca="1">IFERROR((AB355)/((Marine!CA_FP_oil_nom*Marine!CA_gross_prod_oil+Marine!CA_FP_lpg_nom*Marine!CA_gross_prod_lpg)/(Marine!CA_gross_prod_oil+Marine!CA_gross_prod_lpg)),0)</f>
        <v>0</v>
      </c>
      <c r="AC597" s="49">
        <f ca="1">IFERROR((AC355)/((Marine!CA_FP_oil_nom*Marine!CA_gross_prod_oil+Marine!CA_FP_lpg_nom*Marine!CA_gross_prod_lpg)/(Marine!CA_gross_prod_oil+Marine!CA_gross_prod_lpg)),0)</f>
        <v>0</v>
      </c>
      <c r="AD597" s="49">
        <f ca="1">IFERROR((AD355)/((Marine!CA_FP_oil_nom*Marine!CA_gross_prod_oil+Marine!CA_FP_lpg_nom*Marine!CA_gross_prod_lpg)/(Marine!CA_gross_prod_oil+Marine!CA_gross_prod_lpg)),0)</f>
        <v>0</v>
      </c>
      <c r="AE597" s="49">
        <f ca="1">IFERROR((AE355)/((Marine!CA_FP_oil_nom*Marine!CA_gross_prod_oil+Marine!CA_FP_lpg_nom*Marine!CA_gross_prod_lpg)/(Marine!CA_gross_prod_oil+Marine!CA_gross_prod_lpg)),0)</f>
        <v>0</v>
      </c>
      <c r="AF597" s="49">
        <f ca="1">IFERROR((AF355)/((Marine!CA_FP_oil_nom*Marine!CA_gross_prod_oil+Marine!CA_FP_lpg_nom*Marine!CA_gross_prod_lpg)/(Marine!CA_gross_prod_oil+Marine!CA_gross_prod_lpg)),0)</f>
        <v>0</v>
      </c>
      <c r="AG597" s="49">
        <f ca="1">IFERROR((AG355)/((Marine!CA_FP_oil_nom*Marine!CA_gross_prod_oil+Marine!CA_FP_lpg_nom*Marine!CA_gross_prod_lpg)/(Marine!CA_gross_prod_oil+Marine!CA_gross_prod_lpg)),0)</f>
        <v>0</v>
      </c>
      <c r="AH597" s="49">
        <f ca="1">IFERROR((AH355)/((Marine!CA_FP_oil_nom*Marine!CA_gross_prod_oil+Marine!CA_FP_lpg_nom*Marine!CA_gross_prod_lpg)/(Marine!CA_gross_prod_oil+Marine!CA_gross_prod_lpg)),0)</f>
        <v>0</v>
      </c>
      <c r="AI597" s="49">
        <f ca="1">IFERROR((AI355)/((Marine!CA_FP_oil_nom*Marine!CA_gross_prod_oil+Marine!CA_FP_lpg_nom*Marine!CA_gross_prod_lpg)/(Marine!CA_gross_prod_oil+Marine!CA_gross_prod_lpg)),0)</f>
        <v>0</v>
      </c>
      <c r="AJ597" s="49">
        <f ca="1">IFERROR((AJ355)/((Marine!CA_FP_oil_nom*Marine!CA_gross_prod_oil+Marine!CA_FP_lpg_nom*Marine!CA_gross_prod_lpg)/(Marine!CA_gross_prod_oil+Marine!CA_gross_prod_lpg)),0)</f>
        <v>0</v>
      </c>
      <c r="AK597" s="49">
        <f ca="1">IFERROR((AK355)/((Marine!CA_FP_oil_nom*Marine!CA_gross_prod_oil+Marine!CA_FP_lpg_nom*Marine!CA_gross_prod_lpg)/(Marine!CA_gross_prod_oil+Marine!CA_gross_prod_lpg)),0)</f>
        <v>0</v>
      </c>
      <c r="AL597" s="49">
        <f ca="1">IFERROR((AL355)/((Marine!CA_FP_oil_nom*Marine!CA_gross_prod_oil+Marine!CA_FP_lpg_nom*Marine!CA_gross_prod_lpg)/(Marine!CA_gross_prod_oil+Marine!CA_gross_prod_lpg)),0)</f>
        <v>0</v>
      </c>
      <c r="AM597" s="49">
        <f ca="1">IFERROR((AM355)/((Marine!CA_FP_oil_nom*Marine!CA_gross_prod_oil+Marine!CA_FP_lpg_nom*Marine!CA_gross_prod_lpg)/(Marine!CA_gross_prod_oil+Marine!CA_gross_prod_lpg)),0)</f>
        <v>0</v>
      </c>
      <c r="AN597" s="49">
        <f ca="1">IFERROR((AN355)/((Marine!CA_FP_oil_nom*Marine!CA_gross_prod_oil+Marine!CA_FP_lpg_nom*Marine!CA_gross_prod_lpg)/(Marine!CA_gross_prod_oil+Marine!CA_gross_prod_lpg)),0)</f>
        <v>0</v>
      </c>
      <c r="AO597" s="49">
        <f ca="1">IFERROR((AO355)/((Marine!CA_FP_oil_nom*Marine!CA_gross_prod_oil+Marine!CA_FP_lpg_nom*Marine!CA_gross_prod_lpg)/(Marine!CA_gross_prod_oil+Marine!CA_gross_prod_lpg)),0)</f>
        <v>0</v>
      </c>
      <c r="AP597" s="49">
        <f ca="1">IFERROR((AP355)/((Marine!CA_FP_oil_nom*Marine!CA_gross_prod_oil+Marine!CA_FP_lpg_nom*Marine!CA_gross_prod_lpg)/(Marine!CA_gross_prod_oil+Marine!CA_gross_prod_lpg)),0)</f>
        <v>0</v>
      </c>
      <c r="AQ597" s="49">
        <f ca="1">IFERROR((AQ355)/((Marine!CA_FP_oil_nom*Marine!CA_gross_prod_oil+Marine!CA_FP_lpg_nom*Marine!CA_gross_prod_lpg)/(Marine!CA_gross_prod_oil+Marine!CA_gross_prod_lpg)),0)</f>
        <v>0</v>
      </c>
      <c r="AR597" s="49">
        <f ca="1">IFERROR((AR355)/((Marine!CA_FP_oil_nom*Marine!CA_gross_prod_oil+Marine!CA_FP_lpg_nom*Marine!CA_gross_prod_lpg)/(Marine!CA_gross_prod_oil+Marine!CA_gross_prod_lpg)),0)</f>
        <v>0</v>
      </c>
      <c r="AS597" s="49">
        <f ca="1">IFERROR((AS355)/((Marine!CA_FP_oil_nom*Marine!CA_gross_prod_oil+Marine!CA_FP_lpg_nom*Marine!CA_gross_prod_lpg)/(Marine!CA_gross_prod_oil+Marine!CA_gross_prod_lpg)),0)</f>
        <v>0</v>
      </c>
      <c r="AT597" s="49">
        <f ca="1">IFERROR((AT355)/((Marine!CA_FP_oil_nom*Marine!CA_gross_prod_oil+Marine!CA_FP_lpg_nom*Marine!CA_gross_prod_lpg)/(Marine!CA_gross_prod_oil+Marine!CA_gross_prod_lpg)),0)</f>
        <v>0</v>
      </c>
      <c r="AU597" s="49">
        <f ca="1">IFERROR((AU355)/((Marine!CA_FP_oil_nom*Marine!CA_gross_prod_oil+Marine!CA_FP_lpg_nom*Marine!CA_gross_prod_lpg)/(Marine!CA_gross_prod_oil+Marine!CA_gross_prod_lpg)),0)</f>
        <v>0</v>
      </c>
      <c r="AV597" s="49">
        <f ca="1">IFERROR((AV355)/((Marine!CA_FP_oil_nom*Marine!CA_gross_prod_oil+Marine!CA_FP_lpg_nom*Marine!CA_gross_prod_lpg)/(Marine!CA_gross_prod_oil+Marine!CA_gross_prod_lpg)),0)</f>
        <v>0</v>
      </c>
      <c r="AW597" s="49">
        <f ca="1">IFERROR((AW355)/((Marine!CA_FP_oil_nom*Marine!CA_gross_prod_oil+Marine!CA_FP_lpg_nom*Marine!CA_gross_prod_lpg)/(Marine!CA_gross_prod_oil+Marine!CA_gross_prod_lpg)),0)</f>
        <v>0</v>
      </c>
      <c r="AX597" s="49">
        <f ca="1">IFERROR((AX355)/((Marine!CA_FP_oil_nom*Marine!CA_gross_prod_oil+Marine!CA_FP_lpg_nom*Marine!CA_gross_prod_lpg)/(Marine!CA_gross_prod_oil+Marine!CA_gross_prod_lpg)),0)</f>
        <v>0</v>
      </c>
      <c r="AY597" s="49">
        <f ca="1">IFERROR((AY355)/((Marine!CA_FP_oil_nom*Marine!CA_gross_prod_oil+Marine!CA_FP_lpg_nom*Marine!CA_gross_prod_lpg)/(Marine!CA_gross_prod_oil+Marine!CA_gross_prod_lpg)),0)</f>
        <v>0</v>
      </c>
      <c r="AZ597" s="49">
        <f ca="1">IFERROR((AZ355)/((Marine!CA_FP_oil_nom*Marine!CA_gross_prod_oil+Marine!CA_FP_lpg_nom*Marine!CA_gross_prod_lpg)/(Marine!CA_gross_prod_oil+Marine!CA_gross_prod_lpg)),0)</f>
        <v>0</v>
      </c>
      <c r="BA597" s="49">
        <f ca="1">IFERROR((BA355)/((Marine!CA_FP_oil_nom*Marine!CA_gross_prod_oil+Marine!CA_FP_lpg_nom*Marine!CA_gross_prod_lpg)/(Marine!CA_gross_prod_oil+Marine!CA_gross_prod_lpg)),0)</f>
        <v>0</v>
      </c>
      <c r="BB597" s="49">
        <f ca="1">IFERROR((BB355)/((Marine!CA_FP_oil_nom*Marine!CA_gross_prod_oil+Marine!CA_FP_lpg_nom*Marine!CA_gross_prod_lpg)/(Marine!CA_gross_prod_oil+Marine!CA_gross_prod_lpg)),0)</f>
        <v>0</v>
      </c>
      <c r="BC597" s="49">
        <f ca="1">IFERROR((BC355)/((Marine!CA_FP_oil_nom*Marine!CA_gross_prod_oil+Marine!CA_FP_lpg_nom*Marine!CA_gross_prod_lpg)/(Marine!CA_gross_prod_oil+Marine!CA_gross_prod_lpg)),0)</f>
        <v>0</v>
      </c>
      <c r="BD597" s="49">
        <f ca="1">IFERROR((BD355)/((Marine!CA_FP_oil_nom*Marine!CA_gross_prod_oil+Marine!CA_FP_lpg_nom*Marine!CA_gross_prod_lpg)/(Marine!CA_gross_prod_oil+Marine!CA_gross_prod_lpg)),0)</f>
        <v>0</v>
      </c>
      <c r="BE597" s="49">
        <f ca="1">IFERROR((BE355)/((Marine!CA_FP_oil_nom*Marine!CA_gross_prod_oil+Marine!CA_FP_lpg_nom*Marine!CA_gross_prod_lpg)/(Marine!CA_gross_prod_oil+Marine!CA_gross_prod_lpg)),0)</f>
        <v>0</v>
      </c>
      <c r="BF597" s="49">
        <f ca="1">IFERROR((BF355)/((Marine!CA_FP_oil_nom*Marine!CA_gross_prod_oil+Marine!CA_FP_lpg_nom*Marine!CA_gross_prod_lpg)/(Marine!CA_gross_prod_oil+Marine!CA_gross_prod_lpg)),0)</f>
        <v>0</v>
      </c>
      <c r="BG597" s="49">
        <f ca="1">IFERROR((BG355)/((Marine!CA_FP_oil_nom*Marine!CA_gross_prod_oil+Marine!CA_FP_lpg_nom*Marine!CA_gross_prod_lpg)/(Marine!CA_gross_prod_oil+Marine!CA_gross_prod_lpg)),0)</f>
        <v>0</v>
      </c>
      <c r="BH597" s="49">
        <f ca="1">IFERROR((BH355)/((Marine!CA_FP_oil_nom*Marine!CA_gross_prod_oil+Marine!CA_FP_lpg_nom*Marine!CA_gross_prod_lpg)/(Marine!CA_gross_prod_oil+Marine!CA_gross_prod_lpg)),0)</f>
        <v>0</v>
      </c>
      <c r="BI597" s="49">
        <f ca="1">IFERROR((BI355)/((Marine!CA_FP_oil_nom*Marine!CA_gross_prod_oil+Marine!CA_FP_lpg_nom*Marine!CA_gross_prod_lpg)/(Marine!CA_gross_prod_oil+Marine!CA_gross_prod_lpg)),0)</f>
        <v>0</v>
      </c>
      <c r="BJ597" s="49">
        <f ca="1">IFERROR((BJ355)/((Marine!CA_FP_oil_nom*Marine!CA_gross_prod_oil+Marine!CA_FP_lpg_nom*Marine!CA_gross_prod_lpg)/(Marine!CA_gross_prod_oil+Marine!CA_gross_prod_lpg)),0)</f>
        <v>0</v>
      </c>
      <c r="BK597" s="49">
        <f ca="1">IFERROR((BK355)/((Marine!CA_FP_oil_nom*Marine!CA_gross_prod_oil+Marine!CA_FP_lpg_nom*Marine!CA_gross_prod_lpg)/(Marine!CA_gross_prod_oil+Marine!CA_gross_prod_lpg)),0)</f>
        <v>0</v>
      </c>
      <c r="BL597" s="49">
        <f ca="1">IFERROR((BL355)/((Marine!CA_FP_oil_nom*Marine!CA_gross_prod_oil+Marine!CA_FP_lpg_nom*Marine!CA_gross_prod_lpg)/(Marine!CA_gross_prod_oil+Marine!CA_gross_prod_lpg)),0)</f>
        <v>0</v>
      </c>
      <c r="BM597" s="49">
        <f ca="1">IFERROR((BM355)/((Marine!CA_FP_oil_nom*Marine!CA_gross_prod_oil+Marine!CA_FP_lpg_nom*Marine!CA_gross_prod_lpg)/(Marine!CA_gross_prod_oil+Marine!CA_gross_prod_lpg)),0)</f>
        <v>0</v>
      </c>
      <c r="BN597" s="49">
        <f ca="1">IFERROR((BN355)/((Marine!CA_FP_oil_nom*Marine!CA_gross_prod_oil+Marine!CA_FP_lpg_nom*Marine!CA_gross_prod_lpg)/(Marine!CA_gross_prod_oil+Marine!CA_gross_prod_lpg)),0)</f>
        <v>0</v>
      </c>
      <c r="BO597" s="49">
        <f ca="1">IFERROR((BO355)/((Marine!CA_FP_oil_nom*Marine!CA_gross_prod_oil+Marine!CA_FP_lpg_nom*Marine!CA_gross_prod_lpg)/(Marine!CA_gross_prod_oil+Marine!CA_gross_prod_lpg)),0)</f>
        <v>0</v>
      </c>
      <c r="BP597" s="49">
        <f ca="1">IFERROR((BP355)/((Marine!CA_FP_oil_nom*Marine!CA_gross_prod_oil+Marine!CA_FP_lpg_nom*Marine!CA_gross_prod_lpg)/(Marine!CA_gross_prod_oil+Marine!CA_gross_prod_lpg)),0)</f>
        <v>0</v>
      </c>
      <c r="BQ597" s="49">
        <f ca="1">IFERROR((BQ355)/((Marine!CA_FP_oil_nom*Marine!CA_gross_prod_oil+Marine!CA_FP_lpg_nom*Marine!CA_gross_prod_lpg)/(Marine!CA_gross_prod_oil+Marine!CA_gross_prod_lpg)),0)</f>
        <v>0</v>
      </c>
      <c r="BR597" s="49">
        <f ca="1">IFERROR((BR355)/((Marine!CA_FP_oil_nom*Marine!CA_gross_prod_oil+Marine!CA_FP_lpg_nom*Marine!CA_gross_prod_lpg)/(Marine!CA_gross_prod_oil+Marine!CA_gross_prod_lpg)),0)</f>
        <v>0</v>
      </c>
      <c r="BS597" s="49">
        <f ca="1">IFERROR((BS355)/((Marine!CA_FP_oil_nom*Marine!CA_gross_prod_oil+Marine!CA_FP_lpg_nom*Marine!CA_gross_prod_lpg)/(Marine!CA_gross_prod_oil+Marine!CA_gross_prod_lpg)),0)</f>
        <v>0</v>
      </c>
    </row>
    <row r="598" spans="4:71" outlineLevel="1" x14ac:dyDescent="0.2">
      <c r="D598" t="s">
        <v>754</v>
      </c>
      <c r="I598" s="30">
        <f t="shared" ca="1" si="200"/>
        <v>9.5498464474077096</v>
      </c>
      <c r="J598" s="26" t="s">
        <v>692</v>
      </c>
      <c r="L598" s="49">
        <f ca="1">IFERROR((L356)/((Marine!CA_FP_oil_nom*Marine!CA_gross_prod_oil+Marine!CA_FP_lpg_nom*Marine!CA_gross_prod_lpg)/(Marine!CA_gross_prod_oil+Marine!CA_gross_prod_lpg)),0)</f>
        <v>0</v>
      </c>
      <c r="M598" s="49">
        <f ca="1">IFERROR((M356)/((Marine!CA_FP_oil_nom*Marine!CA_gross_prod_oil+Marine!CA_FP_lpg_nom*Marine!CA_gross_prod_lpg)/(Marine!CA_gross_prod_oil+Marine!CA_gross_prod_lpg)),0)</f>
        <v>2.9258495141462924E-4</v>
      </c>
      <c r="N598" s="49">
        <f ca="1">IFERROR((N356)/((Marine!CA_FP_oil_nom*Marine!CA_gross_prod_oil+Marine!CA_FP_lpg_nom*Marine!CA_gross_prod_lpg)/(Marine!CA_gross_prod_oil+Marine!CA_gross_prod_lpg)),0)</f>
        <v>0.3112729081401111</v>
      </c>
      <c r="O598" s="49">
        <f ca="1">IFERROR((O356)/((Marine!CA_FP_oil_nom*Marine!CA_gross_prod_oil+Marine!CA_FP_lpg_nom*Marine!CA_gross_prod_lpg)/(Marine!CA_gross_prod_oil+Marine!CA_gross_prod_lpg)),0)</f>
        <v>0.55541020964124732</v>
      </c>
      <c r="P598" s="49">
        <f ca="1">IFERROR((P356)/((Marine!CA_FP_oil_nom*Marine!CA_gross_prod_oil+Marine!CA_FP_lpg_nom*Marine!CA_gross_prod_lpg)/(Marine!CA_gross_prod_oil+Marine!CA_gross_prod_lpg)),0)</f>
        <v>0.84293641129181118</v>
      </c>
      <c r="Q598" s="49">
        <f ca="1">IFERROR((Q356)/((Marine!CA_FP_oil_nom*Marine!CA_gross_prod_oil+Marine!CA_FP_lpg_nom*Marine!CA_gross_prod_lpg)/(Marine!CA_gross_prod_oil+Marine!CA_gross_prod_lpg)),0)</f>
        <v>1.2001576820489319</v>
      </c>
      <c r="R598" s="49">
        <f ca="1">IFERROR((R356)/((Marine!CA_FP_oil_nom*Marine!CA_gross_prod_oil+Marine!CA_FP_lpg_nom*Marine!CA_gross_prod_lpg)/(Marine!CA_gross_prod_oil+Marine!CA_gross_prod_lpg)),0)</f>
        <v>0.86810190534563758</v>
      </c>
      <c r="S598" s="49">
        <f ca="1">IFERROR((S356)/((Marine!CA_FP_oil_nom*Marine!CA_gross_prod_oil+Marine!CA_FP_lpg_nom*Marine!CA_gross_prod_lpg)/(Marine!CA_gross_prod_oil+Marine!CA_gross_prod_lpg)),0)</f>
        <v>1.2787103966227635</v>
      </c>
      <c r="T598" s="49">
        <f ca="1">IFERROR((T356)/((Marine!CA_FP_oil_nom*Marine!CA_gross_prod_oil+Marine!CA_FP_lpg_nom*Marine!CA_gross_prod_lpg)/(Marine!CA_gross_prod_oil+Marine!CA_gross_prod_lpg)),0)</f>
        <v>1.049838693196806</v>
      </c>
      <c r="U598" s="49">
        <f ca="1">IFERROR((U356)/((Marine!CA_FP_oil_nom*Marine!CA_gross_prod_oil+Marine!CA_FP_lpg_nom*Marine!CA_gross_prod_lpg)/(Marine!CA_gross_prod_oil+Marine!CA_gross_prod_lpg)),0)</f>
        <v>0.976731296300134</v>
      </c>
      <c r="V598" s="49">
        <f ca="1">IFERROR((V356)/((Marine!CA_FP_oil_nom*Marine!CA_gross_prod_oil+Marine!CA_FP_lpg_nom*Marine!CA_gross_prod_lpg)/(Marine!CA_gross_prod_oil+Marine!CA_gross_prod_lpg)),0)</f>
        <v>0.92298070068389804</v>
      </c>
      <c r="W598" s="49">
        <f ca="1">IFERROR((W356)/((Marine!CA_FP_oil_nom*Marine!CA_gross_prod_oil+Marine!CA_FP_lpg_nom*Marine!CA_gross_prod_lpg)/(Marine!CA_gross_prod_oil+Marine!CA_gross_prod_lpg)),0)</f>
        <v>0.79260753171429899</v>
      </c>
      <c r="X598" s="49">
        <f ca="1">IFERROR((X356)/((Marine!CA_FP_oil_nom*Marine!CA_gross_prod_oil+Marine!CA_FP_lpg_nom*Marine!CA_gross_prod_lpg)/(Marine!CA_gross_prod_oil+Marine!CA_gross_prod_lpg)),0)</f>
        <v>0.75080612747065523</v>
      </c>
      <c r="Y598" s="49">
        <f ca="1">IFERROR((Y356)/((Marine!CA_FP_oil_nom*Marine!CA_gross_prod_oil+Marine!CA_FP_lpg_nom*Marine!CA_gross_prod_lpg)/(Marine!CA_gross_prod_oil+Marine!CA_gross_prod_lpg)),0)</f>
        <v>0</v>
      </c>
      <c r="Z598" s="49">
        <f ca="1">IFERROR((Z356)/((Marine!CA_FP_oil_nom*Marine!CA_gross_prod_oil+Marine!CA_FP_lpg_nom*Marine!CA_gross_prod_lpg)/(Marine!CA_gross_prod_oil+Marine!CA_gross_prod_lpg)),0)</f>
        <v>0</v>
      </c>
      <c r="AA598" s="49">
        <f ca="1">IFERROR((AA356)/((Marine!CA_FP_oil_nom*Marine!CA_gross_prod_oil+Marine!CA_FP_lpg_nom*Marine!CA_gross_prod_lpg)/(Marine!CA_gross_prod_oil+Marine!CA_gross_prod_lpg)),0)</f>
        <v>0</v>
      </c>
      <c r="AB598" s="49">
        <f ca="1">IFERROR((AB356)/((Marine!CA_FP_oil_nom*Marine!CA_gross_prod_oil+Marine!CA_FP_lpg_nom*Marine!CA_gross_prod_lpg)/(Marine!CA_gross_prod_oil+Marine!CA_gross_prod_lpg)),0)</f>
        <v>0</v>
      </c>
      <c r="AC598" s="49">
        <f ca="1">IFERROR((AC356)/((Marine!CA_FP_oil_nom*Marine!CA_gross_prod_oil+Marine!CA_FP_lpg_nom*Marine!CA_gross_prod_lpg)/(Marine!CA_gross_prod_oil+Marine!CA_gross_prod_lpg)),0)</f>
        <v>0</v>
      </c>
      <c r="AD598" s="49">
        <f ca="1">IFERROR((AD356)/((Marine!CA_FP_oil_nom*Marine!CA_gross_prod_oil+Marine!CA_FP_lpg_nom*Marine!CA_gross_prod_lpg)/(Marine!CA_gross_prod_oil+Marine!CA_gross_prod_lpg)),0)</f>
        <v>0</v>
      </c>
      <c r="AE598" s="49">
        <f ca="1">IFERROR((AE356)/((Marine!CA_FP_oil_nom*Marine!CA_gross_prod_oil+Marine!CA_FP_lpg_nom*Marine!CA_gross_prod_lpg)/(Marine!CA_gross_prod_oil+Marine!CA_gross_prod_lpg)),0)</f>
        <v>0</v>
      </c>
      <c r="AF598" s="49">
        <f ca="1">IFERROR((AF356)/((Marine!CA_FP_oil_nom*Marine!CA_gross_prod_oil+Marine!CA_FP_lpg_nom*Marine!CA_gross_prod_lpg)/(Marine!CA_gross_prod_oil+Marine!CA_gross_prod_lpg)),0)</f>
        <v>0</v>
      </c>
      <c r="AG598" s="49">
        <f ca="1">IFERROR((AG356)/((Marine!CA_FP_oil_nom*Marine!CA_gross_prod_oil+Marine!CA_FP_lpg_nom*Marine!CA_gross_prod_lpg)/(Marine!CA_gross_prod_oil+Marine!CA_gross_prod_lpg)),0)</f>
        <v>0</v>
      </c>
      <c r="AH598" s="49">
        <f ca="1">IFERROR((AH356)/((Marine!CA_FP_oil_nom*Marine!CA_gross_prod_oil+Marine!CA_FP_lpg_nom*Marine!CA_gross_prod_lpg)/(Marine!CA_gross_prod_oil+Marine!CA_gross_prod_lpg)),0)</f>
        <v>0</v>
      </c>
      <c r="AI598" s="49">
        <f ca="1">IFERROR((AI356)/((Marine!CA_FP_oil_nom*Marine!CA_gross_prod_oil+Marine!CA_FP_lpg_nom*Marine!CA_gross_prod_lpg)/(Marine!CA_gross_prod_oil+Marine!CA_gross_prod_lpg)),0)</f>
        <v>0</v>
      </c>
      <c r="AJ598" s="49">
        <f ca="1">IFERROR((AJ356)/((Marine!CA_FP_oil_nom*Marine!CA_gross_prod_oil+Marine!CA_FP_lpg_nom*Marine!CA_gross_prod_lpg)/(Marine!CA_gross_prod_oil+Marine!CA_gross_prod_lpg)),0)</f>
        <v>0</v>
      </c>
      <c r="AK598" s="49">
        <f ca="1">IFERROR((AK356)/((Marine!CA_FP_oil_nom*Marine!CA_gross_prod_oil+Marine!CA_FP_lpg_nom*Marine!CA_gross_prod_lpg)/(Marine!CA_gross_prod_oil+Marine!CA_gross_prod_lpg)),0)</f>
        <v>0</v>
      </c>
      <c r="AL598" s="49">
        <f ca="1">IFERROR((AL356)/((Marine!CA_FP_oil_nom*Marine!CA_gross_prod_oil+Marine!CA_FP_lpg_nom*Marine!CA_gross_prod_lpg)/(Marine!CA_gross_prod_oil+Marine!CA_gross_prod_lpg)),0)</f>
        <v>0</v>
      </c>
      <c r="AM598" s="49">
        <f ca="1">IFERROR((AM356)/((Marine!CA_FP_oil_nom*Marine!CA_gross_prod_oil+Marine!CA_FP_lpg_nom*Marine!CA_gross_prod_lpg)/(Marine!CA_gross_prod_oil+Marine!CA_gross_prod_lpg)),0)</f>
        <v>0</v>
      </c>
      <c r="AN598" s="49">
        <f ca="1">IFERROR((AN356)/((Marine!CA_FP_oil_nom*Marine!CA_gross_prod_oil+Marine!CA_FP_lpg_nom*Marine!CA_gross_prod_lpg)/(Marine!CA_gross_prod_oil+Marine!CA_gross_prod_lpg)),0)</f>
        <v>0</v>
      </c>
      <c r="AO598" s="49">
        <f ca="1">IFERROR((AO356)/((Marine!CA_FP_oil_nom*Marine!CA_gross_prod_oil+Marine!CA_FP_lpg_nom*Marine!CA_gross_prod_lpg)/(Marine!CA_gross_prod_oil+Marine!CA_gross_prod_lpg)),0)</f>
        <v>0</v>
      </c>
      <c r="AP598" s="49">
        <f ca="1">IFERROR((AP356)/((Marine!CA_FP_oil_nom*Marine!CA_gross_prod_oil+Marine!CA_FP_lpg_nom*Marine!CA_gross_prod_lpg)/(Marine!CA_gross_prod_oil+Marine!CA_gross_prod_lpg)),0)</f>
        <v>0</v>
      </c>
      <c r="AQ598" s="49">
        <f ca="1">IFERROR((AQ356)/((Marine!CA_FP_oil_nom*Marine!CA_gross_prod_oil+Marine!CA_FP_lpg_nom*Marine!CA_gross_prod_lpg)/(Marine!CA_gross_prod_oil+Marine!CA_gross_prod_lpg)),0)</f>
        <v>0</v>
      </c>
      <c r="AR598" s="49">
        <f ca="1">IFERROR((AR356)/((Marine!CA_FP_oil_nom*Marine!CA_gross_prod_oil+Marine!CA_FP_lpg_nom*Marine!CA_gross_prod_lpg)/(Marine!CA_gross_prod_oil+Marine!CA_gross_prod_lpg)),0)</f>
        <v>0</v>
      </c>
      <c r="AS598" s="49">
        <f ca="1">IFERROR((AS356)/((Marine!CA_FP_oil_nom*Marine!CA_gross_prod_oil+Marine!CA_FP_lpg_nom*Marine!CA_gross_prod_lpg)/(Marine!CA_gross_prod_oil+Marine!CA_gross_prod_lpg)),0)</f>
        <v>0</v>
      </c>
      <c r="AT598" s="49">
        <f ca="1">IFERROR((AT356)/((Marine!CA_FP_oil_nom*Marine!CA_gross_prod_oil+Marine!CA_FP_lpg_nom*Marine!CA_gross_prod_lpg)/(Marine!CA_gross_prod_oil+Marine!CA_gross_prod_lpg)),0)</f>
        <v>0</v>
      </c>
      <c r="AU598" s="49">
        <f ca="1">IFERROR((AU356)/((Marine!CA_FP_oil_nom*Marine!CA_gross_prod_oil+Marine!CA_FP_lpg_nom*Marine!CA_gross_prod_lpg)/(Marine!CA_gross_prod_oil+Marine!CA_gross_prod_lpg)),0)</f>
        <v>0</v>
      </c>
      <c r="AV598" s="49">
        <f ca="1">IFERROR((AV356)/((Marine!CA_FP_oil_nom*Marine!CA_gross_prod_oil+Marine!CA_FP_lpg_nom*Marine!CA_gross_prod_lpg)/(Marine!CA_gross_prod_oil+Marine!CA_gross_prod_lpg)),0)</f>
        <v>0</v>
      </c>
      <c r="AW598" s="49">
        <f ca="1">IFERROR((AW356)/((Marine!CA_FP_oil_nom*Marine!CA_gross_prod_oil+Marine!CA_FP_lpg_nom*Marine!CA_gross_prod_lpg)/(Marine!CA_gross_prod_oil+Marine!CA_gross_prod_lpg)),0)</f>
        <v>0</v>
      </c>
      <c r="AX598" s="49">
        <f ca="1">IFERROR((AX356)/((Marine!CA_FP_oil_nom*Marine!CA_gross_prod_oil+Marine!CA_FP_lpg_nom*Marine!CA_gross_prod_lpg)/(Marine!CA_gross_prod_oil+Marine!CA_gross_prod_lpg)),0)</f>
        <v>0</v>
      </c>
      <c r="AY598" s="49">
        <f ca="1">IFERROR((AY356)/((Marine!CA_FP_oil_nom*Marine!CA_gross_prod_oil+Marine!CA_FP_lpg_nom*Marine!CA_gross_prod_lpg)/(Marine!CA_gross_prod_oil+Marine!CA_gross_prod_lpg)),0)</f>
        <v>0</v>
      </c>
      <c r="AZ598" s="49">
        <f ca="1">IFERROR((AZ356)/((Marine!CA_FP_oil_nom*Marine!CA_gross_prod_oil+Marine!CA_FP_lpg_nom*Marine!CA_gross_prod_lpg)/(Marine!CA_gross_prod_oil+Marine!CA_gross_prod_lpg)),0)</f>
        <v>0</v>
      </c>
      <c r="BA598" s="49">
        <f ca="1">IFERROR((BA356)/((Marine!CA_FP_oil_nom*Marine!CA_gross_prod_oil+Marine!CA_FP_lpg_nom*Marine!CA_gross_prod_lpg)/(Marine!CA_gross_prod_oil+Marine!CA_gross_prod_lpg)),0)</f>
        <v>0</v>
      </c>
      <c r="BB598" s="49">
        <f ca="1">IFERROR((BB356)/((Marine!CA_FP_oil_nom*Marine!CA_gross_prod_oil+Marine!CA_FP_lpg_nom*Marine!CA_gross_prod_lpg)/(Marine!CA_gross_prod_oil+Marine!CA_gross_prod_lpg)),0)</f>
        <v>0</v>
      </c>
      <c r="BC598" s="49">
        <f ca="1">IFERROR((BC356)/((Marine!CA_FP_oil_nom*Marine!CA_gross_prod_oil+Marine!CA_FP_lpg_nom*Marine!CA_gross_prod_lpg)/(Marine!CA_gross_prod_oil+Marine!CA_gross_prod_lpg)),0)</f>
        <v>0</v>
      </c>
      <c r="BD598" s="49">
        <f ca="1">IFERROR((BD356)/((Marine!CA_FP_oil_nom*Marine!CA_gross_prod_oil+Marine!CA_FP_lpg_nom*Marine!CA_gross_prod_lpg)/(Marine!CA_gross_prod_oil+Marine!CA_gross_prod_lpg)),0)</f>
        <v>0</v>
      </c>
      <c r="BE598" s="49">
        <f ca="1">IFERROR((BE356)/((Marine!CA_FP_oil_nom*Marine!CA_gross_prod_oil+Marine!CA_FP_lpg_nom*Marine!CA_gross_prod_lpg)/(Marine!CA_gross_prod_oil+Marine!CA_gross_prod_lpg)),0)</f>
        <v>0</v>
      </c>
      <c r="BF598" s="49">
        <f ca="1">IFERROR((BF356)/((Marine!CA_FP_oil_nom*Marine!CA_gross_prod_oil+Marine!CA_FP_lpg_nom*Marine!CA_gross_prod_lpg)/(Marine!CA_gross_prod_oil+Marine!CA_gross_prod_lpg)),0)</f>
        <v>0</v>
      </c>
      <c r="BG598" s="49">
        <f ca="1">IFERROR((BG356)/((Marine!CA_FP_oil_nom*Marine!CA_gross_prod_oil+Marine!CA_FP_lpg_nom*Marine!CA_gross_prod_lpg)/(Marine!CA_gross_prod_oil+Marine!CA_gross_prod_lpg)),0)</f>
        <v>0</v>
      </c>
      <c r="BH598" s="49">
        <f ca="1">IFERROR((BH356)/((Marine!CA_FP_oil_nom*Marine!CA_gross_prod_oil+Marine!CA_FP_lpg_nom*Marine!CA_gross_prod_lpg)/(Marine!CA_gross_prod_oil+Marine!CA_gross_prod_lpg)),0)</f>
        <v>0</v>
      </c>
      <c r="BI598" s="49">
        <f ca="1">IFERROR((BI356)/((Marine!CA_FP_oil_nom*Marine!CA_gross_prod_oil+Marine!CA_FP_lpg_nom*Marine!CA_gross_prod_lpg)/(Marine!CA_gross_prod_oil+Marine!CA_gross_prod_lpg)),0)</f>
        <v>0</v>
      </c>
      <c r="BJ598" s="49">
        <f ca="1">IFERROR((BJ356)/((Marine!CA_FP_oil_nom*Marine!CA_gross_prod_oil+Marine!CA_FP_lpg_nom*Marine!CA_gross_prod_lpg)/(Marine!CA_gross_prod_oil+Marine!CA_gross_prod_lpg)),0)</f>
        <v>0</v>
      </c>
      <c r="BK598" s="49">
        <f ca="1">IFERROR((BK356)/((Marine!CA_FP_oil_nom*Marine!CA_gross_prod_oil+Marine!CA_FP_lpg_nom*Marine!CA_gross_prod_lpg)/(Marine!CA_gross_prod_oil+Marine!CA_gross_prod_lpg)),0)</f>
        <v>0</v>
      </c>
      <c r="BL598" s="49">
        <f ca="1">IFERROR((BL356)/((Marine!CA_FP_oil_nom*Marine!CA_gross_prod_oil+Marine!CA_FP_lpg_nom*Marine!CA_gross_prod_lpg)/(Marine!CA_gross_prod_oil+Marine!CA_gross_prod_lpg)),0)</f>
        <v>0</v>
      </c>
      <c r="BM598" s="49">
        <f ca="1">IFERROR((BM356)/((Marine!CA_FP_oil_nom*Marine!CA_gross_prod_oil+Marine!CA_FP_lpg_nom*Marine!CA_gross_prod_lpg)/(Marine!CA_gross_prod_oil+Marine!CA_gross_prod_lpg)),0)</f>
        <v>0</v>
      </c>
      <c r="BN598" s="49">
        <f ca="1">IFERROR((BN356)/((Marine!CA_FP_oil_nom*Marine!CA_gross_prod_oil+Marine!CA_FP_lpg_nom*Marine!CA_gross_prod_lpg)/(Marine!CA_gross_prod_oil+Marine!CA_gross_prod_lpg)),0)</f>
        <v>0</v>
      </c>
      <c r="BO598" s="49">
        <f ca="1">IFERROR((BO356)/((Marine!CA_FP_oil_nom*Marine!CA_gross_prod_oil+Marine!CA_FP_lpg_nom*Marine!CA_gross_prod_lpg)/(Marine!CA_gross_prod_oil+Marine!CA_gross_prod_lpg)),0)</f>
        <v>0</v>
      </c>
      <c r="BP598" s="49">
        <f ca="1">IFERROR((BP356)/((Marine!CA_FP_oil_nom*Marine!CA_gross_prod_oil+Marine!CA_FP_lpg_nom*Marine!CA_gross_prod_lpg)/(Marine!CA_gross_prod_oil+Marine!CA_gross_prod_lpg)),0)</f>
        <v>0</v>
      </c>
      <c r="BQ598" s="49">
        <f ca="1">IFERROR((BQ356)/((Marine!CA_FP_oil_nom*Marine!CA_gross_prod_oil+Marine!CA_FP_lpg_nom*Marine!CA_gross_prod_lpg)/(Marine!CA_gross_prod_oil+Marine!CA_gross_prod_lpg)),0)</f>
        <v>0</v>
      </c>
      <c r="BR598" s="49">
        <f ca="1">IFERROR((BR356)/((Marine!CA_FP_oil_nom*Marine!CA_gross_prod_oil+Marine!CA_FP_lpg_nom*Marine!CA_gross_prod_lpg)/(Marine!CA_gross_prod_oil+Marine!CA_gross_prod_lpg)),0)</f>
        <v>0</v>
      </c>
      <c r="BS598" s="49">
        <f ca="1">IFERROR((BS356)/((Marine!CA_FP_oil_nom*Marine!CA_gross_prod_oil+Marine!CA_FP_lpg_nom*Marine!CA_gross_prod_lpg)/(Marine!CA_gross_prod_oil+Marine!CA_gross_prod_lpg)),0)</f>
        <v>0</v>
      </c>
    </row>
    <row r="599" spans="4:71" outlineLevel="1" x14ac:dyDescent="0.2">
      <c r="D599" t="s">
        <v>901</v>
      </c>
      <c r="I599" s="30">
        <f t="shared" ca="1" si="200"/>
        <v>1.0024429326177824</v>
      </c>
      <c r="J599" s="26" t="s">
        <v>692</v>
      </c>
      <c r="L599" s="49">
        <f ca="1">IFERROR((L362)/Marine!CA_FP_gas_nom,0)</f>
        <v>0</v>
      </c>
      <c r="M599" s="49">
        <f ca="1">IFERROR((M362)/Marine!CA_FP_gas_nom,0)</f>
        <v>1.0110935668442685E-2</v>
      </c>
      <c r="N599" s="49">
        <f ca="1">IFERROR((N362)/Marine!CA_FP_gas_nom,0)</f>
        <v>8.0421963669303223E-2</v>
      </c>
      <c r="O599" s="49">
        <f ca="1">IFERROR((O362)/Marine!CA_FP_gas_nom,0)</f>
        <v>0.12403206981708387</v>
      </c>
      <c r="P599" s="49">
        <f ca="1">IFERROR((P362)/Marine!CA_FP_gas_nom,0)</f>
        <v>9.1096667352009025E-2</v>
      </c>
      <c r="Q599" s="49">
        <f ca="1">IFERROR((Q362)/Marine!CA_FP_gas_nom,0)</f>
        <v>8.1699722950095588E-2</v>
      </c>
      <c r="R599" s="49">
        <f ca="1">IFERROR((R362)/Marine!CA_FP_gas_nom,0)</f>
        <v>5.764602475551428E-8</v>
      </c>
      <c r="S599" s="49">
        <f ca="1">IFERROR((S362)/Marine!CA_FP_gas_nom,0)</f>
        <v>0.12105354582881618</v>
      </c>
      <c r="T599" s="49">
        <f ca="1">IFERROR((T362)/Marine!CA_FP_gas_nom,0)</f>
        <v>0.10462061851464767</v>
      </c>
      <c r="U599" s="49">
        <f ca="1">IFERROR((U362)/Marine!CA_FP_gas_nom,0)</f>
        <v>0.10256750049093061</v>
      </c>
      <c r="V599" s="49">
        <f ca="1">IFERROR((V362)/Marine!CA_FP_gas_nom,0)</f>
        <v>0.1021286983890231</v>
      </c>
      <c r="W599" s="49">
        <f ca="1">IFERROR((W362)/Marine!CA_FP_gas_nom,0)</f>
        <v>9.2444649102390045E-2</v>
      </c>
      <c r="X599" s="49">
        <f ca="1">IFERROR((X362)/Marine!CA_FP_gas_nom,0)</f>
        <v>9.2266503189015844E-2</v>
      </c>
      <c r="Y599" s="49">
        <f ca="1">IFERROR((Y362)/Marine!CA_FP_gas_nom,0)</f>
        <v>0</v>
      </c>
      <c r="Z599" s="49">
        <f ca="1">IFERROR((Z362)/Marine!CA_FP_gas_nom,0)</f>
        <v>0</v>
      </c>
      <c r="AA599" s="49">
        <f ca="1">IFERROR((AA362)/Marine!CA_FP_gas_nom,0)</f>
        <v>0</v>
      </c>
      <c r="AB599" s="49">
        <f ca="1">IFERROR((AB362)/Marine!CA_FP_gas_nom,0)</f>
        <v>0</v>
      </c>
      <c r="AC599" s="49">
        <f ca="1">IFERROR((AC362)/Marine!CA_FP_gas_nom,0)</f>
        <v>0</v>
      </c>
      <c r="AD599" s="49">
        <f ca="1">IFERROR((AD362)/Marine!CA_FP_gas_nom,0)</f>
        <v>0</v>
      </c>
      <c r="AE599" s="49">
        <f ca="1">IFERROR((AE362)/Marine!CA_FP_gas_nom,0)</f>
        <v>0</v>
      </c>
      <c r="AF599" s="49">
        <f ca="1">IFERROR((AF362)/Marine!CA_FP_gas_nom,0)</f>
        <v>0</v>
      </c>
      <c r="AG599" s="49">
        <f ca="1">IFERROR((AG362)/Marine!CA_FP_gas_nom,0)</f>
        <v>0</v>
      </c>
      <c r="AH599" s="49">
        <f ca="1">IFERROR((AH362)/Marine!CA_FP_gas_nom,0)</f>
        <v>0</v>
      </c>
      <c r="AI599" s="49">
        <f ca="1">IFERROR((AI362)/Marine!CA_FP_gas_nom,0)</f>
        <v>0</v>
      </c>
      <c r="AJ599" s="49">
        <f ca="1">IFERROR((AJ362)/Marine!CA_FP_gas_nom,0)</f>
        <v>0</v>
      </c>
      <c r="AK599" s="49">
        <f ca="1">IFERROR((AK362)/Marine!CA_FP_gas_nom,0)</f>
        <v>0</v>
      </c>
      <c r="AL599" s="49">
        <f ca="1">IFERROR((AL362)/Marine!CA_FP_gas_nom,0)</f>
        <v>0</v>
      </c>
      <c r="AM599" s="49">
        <f ca="1">IFERROR((AM362)/Marine!CA_FP_gas_nom,0)</f>
        <v>0</v>
      </c>
      <c r="AN599" s="49">
        <f ca="1">IFERROR((AN362)/Marine!CA_FP_gas_nom,0)</f>
        <v>0</v>
      </c>
      <c r="AO599" s="49">
        <f ca="1">IFERROR((AO362)/Marine!CA_FP_gas_nom,0)</f>
        <v>0</v>
      </c>
      <c r="AP599" s="49">
        <f ca="1">IFERROR((AP362)/Marine!CA_FP_gas_nom,0)</f>
        <v>0</v>
      </c>
      <c r="AQ599" s="49">
        <f ca="1">IFERROR((AQ362)/Marine!CA_FP_gas_nom,0)</f>
        <v>0</v>
      </c>
      <c r="AR599" s="49">
        <f ca="1">IFERROR((AR362)/Marine!CA_FP_gas_nom,0)</f>
        <v>0</v>
      </c>
      <c r="AS599" s="49">
        <f ca="1">IFERROR((AS362)/Marine!CA_FP_gas_nom,0)</f>
        <v>0</v>
      </c>
      <c r="AT599" s="49">
        <f ca="1">IFERROR((AT362)/Marine!CA_FP_gas_nom,0)</f>
        <v>0</v>
      </c>
      <c r="AU599" s="49">
        <f ca="1">IFERROR((AU362)/Marine!CA_FP_gas_nom,0)</f>
        <v>0</v>
      </c>
      <c r="AV599" s="49">
        <f ca="1">IFERROR((AV362)/Marine!CA_FP_gas_nom,0)</f>
        <v>0</v>
      </c>
      <c r="AW599" s="49">
        <f ca="1">IFERROR((AW362)/Marine!CA_FP_gas_nom,0)</f>
        <v>0</v>
      </c>
      <c r="AX599" s="49">
        <f ca="1">IFERROR((AX362)/Marine!CA_FP_gas_nom,0)</f>
        <v>0</v>
      </c>
      <c r="AY599" s="49">
        <f ca="1">IFERROR((AY362)/Marine!CA_FP_gas_nom,0)</f>
        <v>0</v>
      </c>
      <c r="AZ599" s="49">
        <f ca="1">IFERROR((AZ362)/Marine!CA_FP_gas_nom,0)</f>
        <v>0</v>
      </c>
      <c r="BA599" s="49">
        <f ca="1">IFERROR((BA362)/Marine!CA_FP_gas_nom,0)</f>
        <v>0</v>
      </c>
      <c r="BB599" s="49">
        <f ca="1">IFERROR((BB362)/Marine!CA_FP_gas_nom,0)</f>
        <v>0</v>
      </c>
      <c r="BC599" s="49">
        <f ca="1">IFERROR((BC362)/Marine!CA_FP_gas_nom,0)</f>
        <v>0</v>
      </c>
      <c r="BD599" s="49">
        <f ca="1">IFERROR((BD362)/Marine!CA_FP_gas_nom,0)</f>
        <v>0</v>
      </c>
      <c r="BE599" s="49">
        <f ca="1">IFERROR((BE362)/Marine!CA_FP_gas_nom,0)</f>
        <v>0</v>
      </c>
      <c r="BF599" s="49">
        <f ca="1">IFERROR((BF362)/Marine!CA_FP_gas_nom,0)</f>
        <v>0</v>
      </c>
      <c r="BG599" s="49">
        <f ca="1">IFERROR((BG362)/Marine!CA_FP_gas_nom,0)</f>
        <v>0</v>
      </c>
      <c r="BH599" s="49">
        <f ca="1">IFERROR((BH362)/Marine!CA_FP_gas_nom,0)</f>
        <v>0</v>
      </c>
      <c r="BI599" s="49">
        <f ca="1">IFERROR((BI362)/Marine!CA_FP_gas_nom,0)</f>
        <v>0</v>
      </c>
      <c r="BJ599" s="49">
        <f ca="1">IFERROR((BJ362)/Marine!CA_FP_gas_nom,0)</f>
        <v>0</v>
      </c>
      <c r="BK599" s="49">
        <f ca="1">IFERROR((BK362)/Marine!CA_FP_gas_nom,0)</f>
        <v>0</v>
      </c>
      <c r="BL599" s="49">
        <f ca="1">IFERROR((BL362)/Marine!CA_FP_gas_nom,0)</f>
        <v>0</v>
      </c>
      <c r="BM599" s="49">
        <f ca="1">IFERROR((BM362)/Marine!CA_FP_gas_nom,0)</f>
        <v>0</v>
      </c>
      <c r="BN599" s="49">
        <f ca="1">IFERROR((BN362)/Marine!CA_FP_gas_nom,0)</f>
        <v>0</v>
      </c>
      <c r="BO599" s="49">
        <f ca="1">IFERROR((BO362)/Marine!CA_FP_gas_nom,0)</f>
        <v>0</v>
      </c>
      <c r="BP599" s="49">
        <f ca="1">IFERROR((BP362)/Marine!CA_FP_gas_nom,0)</f>
        <v>0</v>
      </c>
      <c r="BQ599" s="49">
        <f ca="1">IFERROR((BQ362)/Marine!CA_FP_gas_nom,0)</f>
        <v>0</v>
      </c>
      <c r="BR599" s="49">
        <f ca="1">IFERROR((BR362)/Marine!CA_FP_gas_nom,0)</f>
        <v>0</v>
      </c>
      <c r="BS599" s="49">
        <f ca="1">IFERROR((BS362)/Marine!CA_FP_gas_nom,0)</f>
        <v>0</v>
      </c>
    </row>
    <row r="600" spans="4:71" x14ac:dyDescent="0.2">
      <c r="J600" s="26"/>
      <c r="L600" s="55"/>
      <c r="M600" s="55"/>
      <c r="N600" s="55"/>
      <c r="O600" s="55"/>
      <c r="P600" s="55"/>
      <c r="Q600" s="55"/>
      <c r="R600" s="55"/>
      <c r="S600" s="55"/>
      <c r="T600" s="55"/>
      <c r="U600" s="55"/>
      <c r="V600" s="55"/>
      <c r="W600" s="55"/>
      <c r="X600" s="55"/>
      <c r="Y600" s="55"/>
      <c r="Z600" s="55"/>
      <c r="AA600" s="55"/>
      <c r="AB600" s="55"/>
      <c r="AC600" s="55"/>
      <c r="AD600" s="55"/>
      <c r="AE600" s="55"/>
      <c r="AF600" s="55"/>
      <c r="AG600" s="55"/>
      <c r="AH600" s="55"/>
      <c r="AI600" s="55"/>
      <c r="AJ600" s="55"/>
      <c r="AK600" s="55"/>
      <c r="AL600" s="55"/>
      <c r="AM600" s="55"/>
      <c r="AN600" s="55"/>
      <c r="AO600" s="55"/>
      <c r="AP600" s="55"/>
      <c r="AQ600" s="55"/>
      <c r="AR600" s="55"/>
      <c r="AS600" s="55"/>
      <c r="AT600" s="55"/>
      <c r="AU600" s="55"/>
      <c r="AV600" s="55"/>
      <c r="AW600" s="55"/>
      <c r="AX600" s="55"/>
      <c r="AY600" s="55"/>
      <c r="AZ600" s="55"/>
      <c r="BA600" s="55"/>
      <c r="BB600" s="55"/>
      <c r="BC600" s="55"/>
      <c r="BD600" s="55"/>
      <c r="BE600" s="55"/>
      <c r="BF600" s="55"/>
      <c r="BG600" s="55"/>
      <c r="BH600" s="55"/>
      <c r="BI600" s="55"/>
      <c r="BJ600" s="55"/>
      <c r="BK600" s="55"/>
      <c r="BL600" s="55"/>
      <c r="BM600" s="55"/>
      <c r="BN600" s="55"/>
      <c r="BO600" s="55"/>
      <c r="BP600" s="55"/>
      <c r="BQ600" s="55"/>
      <c r="BR600" s="55"/>
      <c r="BS600" s="55"/>
    </row>
    <row r="601" spans="4:71" x14ac:dyDescent="0.2">
      <c r="J601" s="26"/>
      <c r="L601" s="55"/>
      <c r="M601" s="55"/>
      <c r="N601" s="55"/>
      <c r="O601" s="55"/>
      <c r="P601" s="55"/>
      <c r="Q601" s="55"/>
      <c r="R601" s="55"/>
      <c r="S601" s="55"/>
      <c r="T601" s="55"/>
      <c r="U601" s="55"/>
      <c r="V601" s="55"/>
      <c r="W601" s="55"/>
      <c r="X601" s="55"/>
      <c r="Y601" s="55"/>
      <c r="Z601" s="55"/>
      <c r="AA601" s="55"/>
      <c r="AB601" s="55"/>
      <c r="AC601" s="55"/>
      <c r="AD601" s="55"/>
      <c r="AE601" s="55"/>
      <c r="AF601" s="55"/>
      <c r="AG601" s="55"/>
      <c r="AH601" s="55"/>
      <c r="AI601" s="55"/>
      <c r="AJ601" s="55"/>
      <c r="AK601" s="55"/>
      <c r="AL601" s="55"/>
      <c r="AM601" s="55"/>
      <c r="AN601" s="55"/>
      <c r="AO601" s="55"/>
      <c r="AP601" s="55"/>
      <c r="AQ601" s="55"/>
      <c r="AR601" s="55"/>
      <c r="AS601" s="55"/>
      <c r="AT601" s="55"/>
      <c r="AU601" s="55"/>
      <c r="AV601" s="55"/>
      <c r="AW601" s="55"/>
      <c r="AX601" s="55"/>
      <c r="AY601" s="55"/>
      <c r="AZ601" s="55"/>
      <c r="BA601" s="55"/>
      <c r="BB601" s="55"/>
      <c r="BC601" s="55"/>
      <c r="BD601" s="55"/>
      <c r="BE601" s="55"/>
      <c r="BF601" s="55"/>
      <c r="BG601" s="55"/>
      <c r="BH601" s="55"/>
      <c r="BI601" s="55"/>
      <c r="BJ601" s="55"/>
      <c r="BK601" s="55"/>
      <c r="BL601" s="55"/>
      <c r="BM601" s="55"/>
      <c r="BN601" s="55"/>
      <c r="BO601" s="55"/>
      <c r="BP601" s="55"/>
      <c r="BQ601" s="55"/>
      <c r="BR601" s="55"/>
      <c r="BS601" s="55"/>
    </row>
    <row r="602" spans="4:71" x14ac:dyDescent="0.2">
      <c r="J602" s="26"/>
      <c r="L602" s="55"/>
      <c r="M602" s="55"/>
      <c r="N602" s="55"/>
      <c r="O602" s="55"/>
      <c r="P602" s="55"/>
      <c r="Q602" s="55"/>
      <c r="R602" s="55"/>
      <c r="S602" s="55"/>
      <c r="T602" s="55"/>
      <c r="U602" s="55"/>
      <c r="V602" s="55"/>
      <c r="W602" s="55"/>
      <c r="X602" s="55"/>
      <c r="Y602" s="55"/>
      <c r="Z602" s="55"/>
      <c r="AA602" s="55"/>
      <c r="AB602" s="55"/>
      <c r="AC602" s="55"/>
      <c r="AD602" s="55"/>
      <c r="AE602" s="55"/>
      <c r="AF602" s="55"/>
      <c r="AG602" s="55"/>
      <c r="AH602" s="55"/>
      <c r="AI602" s="55"/>
      <c r="AJ602" s="55"/>
      <c r="AK602" s="55"/>
      <c r="AL602" s="55"/>
      <c r="AM602" s="55"/>
      <c r="AN602" s="55"/>
      <c r="AO602" s="55"/>
      <c r="AP602" s="55"/>
      <c r="AQ602" s="55"/>
      <c r="AR602" s="55"/>
      <c r="AS602" s="55"/>
      <c r="AT602" s="55"/>
      <c r="AU602" s="55"/>
      <c r="AV602" s="55"/>
      <c r="AW602" s="55"/>
      <c r="AX602" s="55"/>
      <c r="AY602" s="55"/>
      <c r="AZ602" s="55"/>
      <c r="BA602" s="55"/>
      <c r="BB602" s="55"/>
      <c r="BC602" s="55"/>
      <c r="BD602" s="55"/>
      <c r="BE602" s="55"/>
      <c r="BF602" s="55"/>
      <c r="BG602" s="55"/>
      <c r="BH602" s="55"/>
      <c r="BI602" s="55"/>
      <c r="BJ602" s="55"/>
      <c r="BK602" s="55"/>
      <c r="BL602" s="55"/>
      <c r="BM602" s="55"/>
      <c r="BN602" s="55"/>
      <c r="BO602" s="55"/>
      <c r="BP602" s="55"/>
      <c r="BQ602" s="55"/>
      <c r="BR602" s="55"/>
      <c r="BS602" s="55"/>
    </row>
  </sheetData>
  <mergeCells count="4">
    <mergeCell ref="B7:E7"/>
    <mergeCell ref="B65:E65"/>
    <mergeCell ref="B104:E104"/>
    <mergeCell ref="B432:E432"/>
  </mergeCells>
  <pageMargins left="0.7" right="0.7" top="0.75" bottom="0.75" header="0.3" footer="0.3"/>
</worksheet>
</file>

<file path=xl/worksheets/sheet1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BB65D-43B5-436A-82BF-DDA82FEA3F79}">
  <sheetPr codeName="Sheet15"/>
  <dimension ref="A1:CP567"/>
  <sheetViews>
    <sheetView showGridLines="0" zoomScale="80" zoomScaleNormal="80" workbookViewId="0">
      <pane xSplit="11" ySplit="5" topLeftCell="L54" activePane="bottomRight" state="frozen"/>
      <selection activeCell="D42" sqref="D42"/>
      <selection pane="topRight" activeCell="D42" sqref="D42"/>
      <selection pane="bottomLeft" activeCell="D42" sqref="D42"/>
      <selection pane="bottomRight" activeCell="D567" sqref="D567"/>
    </sheetView>
  </sheetViews>
  <sheetFormatPr baseColWidth="10" defaultColWidth="0" defaultRowHeight="15" outlineLevelRow="1" x14ac:dyDescent="0.2"/>
  <cols>
    <col min="1" max="3" width="5.6640625" customWidth="1"/>
    <col min="4" max="10" width="14.6640625" customWidth="1"/>
    <col min="11" max="11" width="17.6640625" style="7" customWidth="1"/>
    <col min="12" max="93" width="9.1640625" customWidth="1"/>
    <col min="94" max="94" width="0" style="6" hidden="1" customWidth="1"/>
    <col min="95" max="16384" width="9.1640625" style="6" hidden="1"/>
  </cols>
  <sheetData>
    <row r="1" spans="1:93" s="5" customFormat="1" ht="20.25" customHeight="1" x14ac:dyDescent="0.2">
      <c r="A1" s="82" t="s">
        <v>577</v>
      </c>
      <c r="B1" s="82"/>
      <c r="C1" s="82"/>
      <c r="D1" s="82"/>
      <c r="E1" s="82"/>
      <c r="F1" s="82"/>
      <c r="G1" s="82"/>
      <c r="H1" s="82"/>
      <c r="I1" s="82"/>
      <c r="J1" s="82"/>
      <c r="K1" s="83"/>
      <c r="L1" s="82"/>
      <c r="M1" s="82"/>
      <c r="N1" s="82"/>
      <c r="O1" s="82"/>
      <c r="P1" s="82"/>
      <c r="Q1" s="82"/>
      <c r="R1" s="82"/>
      <c r="S1" s="82"/>
      <c r="T1" s="82"/>
      <c r="U1" s="82"/>
      <c r="V1" s="82"/>
      <c r="W1" s="82"/>
      <c r="X1" s="82"/>
      <c r="Y1" s="82"/>
      <c r="Z1" s="82"/>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row>
    <row r="2" spans="1:93" ht="9" customHeight="1" x14ac:dyDescent="0.2">
      <c r="A2" s="6"/>
      <c r="B2" s="6"/>
      <c r="C2" s="6"/>
      <c r="D2" s="6"/>
      <c r="E2" s="6"/>
      <c r="F2" s="6"/>
      <c r="G2" s="6"/>
      <c r="H2" s="6"/>
      <c r="I2" s="6"/>
      <c r="J2" s="6"/>
      <c r="K2" s="84"/>
      <c r="L2" s="6"/>
      <c r="M2" s="6"/>
      <c r="N2" s="6"/>
      <c r="O2" s="6"/>
      <c r="P2" s="6"/>
      <c r="Q2" s="6"/>
      <c r="R2" s="6"/>
      <c r="S2" s="6"/>
      <c r="T2" s="6"/>
      <c r="U2" s="6"/>
      <c r="V2" s="6"/>
      <c r="W2" s="6"/>
      <c r="X2" s="6"/>
      <c r="Y2" s="6"/>
      <c r="Z2" s="6"/>
    </row>
    <row r="3" spans="1:93" x14ac:dyDescent="0.2">
      <c r="L3" s="3">
        <f t="array" ref="L3:BS3">IA_Periods</f>
        <v>1</v>
      </c>
      <c r="M3" s="3">
        <v>2</v>
      </c>
      <c r="N3" s="3">
        <v>3</v>
      </c>
      <c r="O3" s="3">
        <v>4</v>
      </c>
      <c r="P3" s="3">
        <v>5</v>
      </c>
      <c r="Q3" s="3">
        <v>6</v>
      </c>
      <c r="R3" s="3">
        <v>7</v>
      </c>
      <c r="S3" s="3">
        <v>8</v>
      </c>
      <c r="T3" s="3">
        <v>9</v>
      </c>
      <c r="U3" s="3">
        <v>10</v>
      </c>
      <c r="V3" s="3">
        <v>11</v>
      </c>
      <c r="W3" s="3">
        <v>12</v>
      </c>
      <c r="X3" s="3">
        <v>13</v>
      </c>
      <c r="Y3" s="3">
        <v>14</v>
      </c>
      <c r="Z3" s="3">
        <v>15</v>
      </c>
      <c r="AA3" s="3">
        <v>16</v>
      </c>
      <c r="AB3" s="3">
        <v>17</v>
      </c>
      <c r="AC3" s="3">
        <v>18</v>
      </c>
      <c r="AD3" s="3">
        <v>19</v>
      </c>
      <c r="AE3" s="3">
        <v>20</v>
      </c>
      <c r="AF3" s="3">
        <v>21</v>
      </c>
      <c r="AG3" s="3">
        <v>22</v>
      </c>
      <c r="AH3" s="3">
        <v>23</v>
      </c>
      <c r="AI3" s="3">
        <v>24</v>
      </c>
      <c r="AJ3" s="3">
        <v>25</v>
      </c>
      <c r="AK3" s="3">
        <v>26</v>
      </c>
      <c r="AL3" s="3">
        <v>27</v>
      </c>
      <c r="AM3" s="3">
        <v>28</v>
      </c>
      <c r="AN3" s="3">
        <v>29</v>
      </c>
      <c r="AO3" s="3">
        <v>30</v>
      </c>
      <c r="AP3" s="3">
        <v>31</v>
      </c>
      <c r="AQ3" s="3">
        <v>32</v>
      </c>
      <c r="AR3" s="3">
        <v>33</v>
      </c>
      <c r="AS3" s="3">
        <v>34</v>
      </c>
      <c r="AT3" s="3">
        <v>35</v>
      </c>
      <c r="AU3" s="3">
        <v>36</v>
      </c>
      <c r="AV3" s="3">
        <v>37</v>
      </c>
      <c r="AW3" s="3">
        <v>38</v>
      </c>
      <c r="AX3" s="3">
        <v>39</v>
      </c>
      <c r="AY3" s="3">
        <v>40</v>
      </c>
      <c r="AZ3" s="3">
        <v>41</v>
      </c>
      <c r="BA3" s="3">
        <v>42</v>
      </c>
      <c r="BB3" s="3">
        <v>43</v>
      </c>
      <c r="BC3" s="3">
        <v>44</v>
      </c>
      <c r="BD3" s="3">
        <v>45</v>
      </c>
      <c r="BE3" s="3">
        <v>46</v>
      </c>
      <c r="BF3" s="3">
        <v>47</v>
      </c>
      <c r="BG3" s="3">
        <v>48</v>
      </c>
      <c r="BH3" s="3">
        <v>49</v>
      </c>
      <c r="BI3" s="3">
        <v>50</v>
      </c>
      <c r="BJ3" s="3">
        <v>51</v>
      </c>
      <c r="BK3" s="3">
        <v>52</v>
      </c>
      <c r="BL3" s="3">
        <v>53</v>
      </c>
      <c r="BM3" s="3">
        <v>54</v>
      </c>
      <c r="BN3" s="3">
        <v>55</v>
      </c>
      <c r="BO3" s="3">
        <v>56</v>
      </c>
      <c r="BP3" s="3">
        <v>57</v>
      </c>
      <c r="BQ3" s="3">
        <v>58</v>
      </c>
      <c r="BR3" s="3">
        <v>59</v>
      </c>
      <c r="BS3" s="3">
        <v>60</v>
      </c>
    </row>
    <row r="4" spans="1:93" x14ac:dyDescent="0.2">
      <c r="L4" s="4" cm="1">
        <f t="array" ref="L4:BS4">IA_Years</f>
        <v>2013</v>
      </c>
      <c r="M4">
        <v>2014</v>
      </c>
      <c r="N4">
        <v>2015</v>
      </c>
      <c r="O4">
        <v>2016</v>
      </c>
      <c r="P4">
        <v>2017</v>
      </c>
      <c r="Q4">
        <v>2018</v>
      </c>
      <c r="R4">
        <v>2019</v>
      </c>
      <c r="S4">
        <v>2020</v>
      </c>
      <c r="T4">
        <v>2021</v>
      </c>
      <c r="U4">
        <v>2022</v>
      </c>
      <c r="V4">
        <v>2023</v>
      </c>
      <c r="W4">
        <v>2024</v>
      </c>
      <c r="X4">
        <v>2025</v>
      </c>
      <c r="Y4">
        <v>2026</v>
      </c>
      <c r="Z4">
        <v>2027</v>
      </c>
      <c r="AA4">
        <v>2028</v>
      </c>
      <c r="AB4">
        <v>2029</v>
      </c>
      <c r="AC4">
        <v>2030</v>
      </c>
      <c r="AD4">
        <v>2031</v>
      </c>
      <c r="AE4">
        <v>2032</v>
      </c>
      <c r="AF4">
        <v>2033</v>
      </c>
      <c r="AG4">
        <v>2034</v>
      </c>
      <c r="AH4">
        <v>2035</v>
      </c>
      <c r="AI4">
        <v>2036</v>
      </c>
      <c r="AJ4">
        <v>2037</v>
      </c>
      <c r="AK4">
        <v>2038</v>
      </c>
      <c r="AL4">
        <v>2039</v>
      </c>
      <c r="AM4">
        <v>2040</v>
      </c>
      <c r="AN4">
        <v>2041</v>
      </c>
      <c r="AO4">
        <v>2042</v>
      </c>
      <c r="AP4">
        <v>2043</v>
      </c>
      <c r="AQ4">
        <v>2044</v>
      </c>
      <c r="AR4">
        <v>2045</v>
      </c>
      <c r="AS4">
        <v>2046</v>
      </c>
      <c r="AT4">
        <v>2047</v>
      </c>
      <c r="AU4">
        <v>2048</v>
      </c>
      <c r="AV4">
        <v>2049</v>
      </c>
      <c r="AW4">
        <v>2050</v>
      </c>
      <c r="AX4">
        <v>2051</v>
      </c>
      <c r="AY4">
        <v>2052</v>
      </c>
      <c r="AZ4">
        <v>2053</v>
      </c>
      <c r="BA4">
        <v>2054</v>
      </c>
      <c r="BB4">
        <v>2055</v>
      </c>
      <c r="BC4">
        <v>2056</v>
      </c>
      <c r="BD4">
        <v>2057</v>
      </c>
      <c r="BE4">
        <v>2058</v>
      </c>
      <c r="BF4">
        <v>2059</v>
      </c>
      <c r="BG4">
        <v>2060</v>
      </c>
      <c r="BH4">
        <v>2061</v>
      </c>
      <c r="BI4">
        <v>2062</v>
      </c>
      <c r="BJ4">
        <v>2063</v>
      </c>
      <c r="BK4">
        <v>2064</v>
      </c>
      <c r="BL4">
        <v>2065</v>
      </c>
      <c r="BM4">
        <v>2066</v>
      </c>
      <c r="BN4">
        <v>2067</v>
      </c>
      <c r="BO4">
        <v>2068</v>
      </c>
      <c r="BP4">
        <v>2069</v>
      </c>
      <c r="BQ4">
        <v>2070</v>
      </c>
      <c r="BR4">
        <v>2071</v>
      </c>
      <c r="BS4">
        <v>2072</v>
      </c>
    </row>
    <row r="5" spans="1:93" x14ac:dyDescent="0.2">
      <c r="L5" s="3">
        <f t="array" ref="L5:BS5">+IA_Days</f>
        <v>365</v>
      </c>
      <c r="M5" s="3">
        <v>365</v>
      </c>
      <c r="N5" s="3">
        <v>365</v>
      </c>
      <c r="O5" s="3">
        <v>366</v>
      </c>
      <c r="P5" s="3">
        <v>365</v>
      </c>
      <c r="Q5" s="3">
        <v>365</v>
      </c>
      <c r="R5" s="3">
        <v>365</v>
      </c>
      <c r="S5" s="3">
        <v>366</v>
      </c>
      <c r="T5" s="3">
        <v>365</v>
      </c>
      <c r="U5" s="3">
        <v>365</v>
      </c>
      <c r="V5" s="3">
        <v>365</v>
      </c>
      <c r="W5" s="3">
        <v>366</v>
      </c>
      <c r="X5" s="3">
        <v>365</v>
      </c>
      <c r="Y5" s="3">
        <v>365</v>
      </c>
      <c r="Z5" s="3">
        <v>365</v>
      </c>
      <c r="AA5" s="3">
        <v>366</v>
      </c>
      <c r="AB5" s="3">
        <v>365</v>
      </c>
      <c r="AC5" s="3">
        <v>365</v>
      </c>
      <c r="AD5" s="3">
        <v>365</v>
      </c>
      <c r="AE5" s="3">
        <v>366</v>
      </c>
      <c r="AF5" s="3">
        <v>365</v>
      </c>
      <c r="AG5" s="3">
        <v>365</v>
      </c>
      <c r="AH5" s="3">
        <v>365</v>
      </c>
      <c r="AI5" s="3">
        <v>366</v>
      </c>
      <c r="AJ5" s="3">
        <v>365</v>
      </c>
      <c r="AK5" s="3">
        <v>365</v>
      </c>
      <c r="AL5" s="3">
        <v>365</v>
      </c>
      <c r="AM5" s="3">
        <v>366</v>
      </c>
      <c r="AN5" s="3">
        <v>365</v>
      </c>
      <c r="AO5" s="3">
        <v>365</v>
      </c>
      <c r="AP5" s="3">
        <v>365</v>
      </c>
      <c r="AQ5" s="3">
        <v>366</v>
      </c>
      <c r="AR5" s="3">
        <v>365</v>
      </c>
      <c r="AS5" s="3">
        <v>365</v>
      </c>
      <c r="AT5" s="3">
        <v>365</v>
      </c>
      <c r="AU5" s="3">
        <v>366</v>
      </c>
      <c r="AV5" s="3">
        <v>365</v>
      </c>
      <c r="AW5" s="3">
        <v>365</v>
      </c>
      <c r="AX5" s="3">
        <v>365</v>
      </c>
      <c r="AY5" s="3">
        <v>366</v>
      </c>
      <c r="AZ5" s="3">
        <v>365</v>
      </c>
      <c r="BA5" s="3">
        <v>365</v>
      </c>
      <c r="BB5" s="3">
        <v>365</v>
      </c>
      <c r="BC5" s="3">
        <v>366</v>
      </c>
      <c r="BD5" s="3">
        <v>365</v>
      </c>
      <c r="BE5" s="3">
        <v>365</v>
      </c>
      <c r="BF5" s="3">
        <v>365</v>
      </c>
      <c r="BG5" s="3">
        <v>366</v>
      </c>
      <c r="BH5" s="3">
        <v>365</v>
      </c>
      <c r="BI5" s="3">
        <v>365</v>
      </c>
      <c r="BJ5" s="3">
        <v>365</v>
      </c>
      <c r="BK5" s="3">
        <v>366</v>
      </c>
      <c r="BL5" s="3">
        <v>365</v>
      </c>
      <c r="BM5" s="3">
        <v>365</v>
      </c>
      <c r="BN5" s="3">
        <v>365</v>
      </c>
      <c r="BO5" s="3">
        <v>366</v>
      </c>
      <c r="BP5" s="3">
        <v>365</v>
      </c>
      <c r="BQ5" s="3">
        <v>365</v>
      </c>
      <c r="BR5" s="3">
        <v>365</v>
      </c>
      <c r="BS5" s="3">
        <v>366</v>
      </c>
    </row>
    <row r="6" spans="1:93" ht="16" thickBot="1" x14ac:dyDescent="0.25"/>
    <row r="7" spans="1:93" ht="22" thickBot="1" x14ac:dyDescent="0.25">
      <c r="A7" s="8"/>
      <c r="B7" s="221" t="str">
        <f>HM_ZD_Moho!B7</f>
        <v>Modalités fiscales</v>
      </c>
      <c r="C7" s="222"/>
      <c r="D7" s="222"/>
      <c r="E7" s="223"/>
      <c r="F7" s="9"/>
      <c r="G7" s="9"/>
      <c r="H7" s="9"/>
      <c r="I7" s="9"/>
      <c r="J7" s="48"/>
      <c r="K7" s="10"/>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row>
    <row r="8" spans="1:93" outlineLevel="1" x14ac:dyDescent="0.2">
      <c r="J8" s="26"/>
    </row>
    <row r="9" spans="1:93" outlineLevel="1" x14ac:dyDescent="0.2">
      <c r="C9" s="11" t="s">
        <v>6</v>
      </c>
      <c r="J9" s="26"/>
    </row>
    <row r="10" spans="1:93" outlineLevel="1" x14ac:dyDescent="0.2">
      <c r="D10" t="str">
        <f>HM_ZD_Moho!D10</f>
        <v>Date d'entrée en vigueur CPP</v>
      </c>
      <c r="G10" s="36" t="d">
        <v>2005-01-01</v>
      </c>
      <c r="H10" s="16" t="s">
        <v>402</v>
      </c>
      <c r="J10" s="26"/>
    </row>
    <row r="11" spans="1:93" outlineLevel="1" x14ac:dyDescent="0.2">
      <c r="D11" t="str">
        <f>HM_ZD_Moho!D11</f>
        <v>Décalage date</v>
      </c>
      <c r="G11" s="40">
        <v>0</v>
      </c>
      <c r="H11" s="16" t="s">
        <v>403</v>
      </c>
      <c r="J11" s="26"/>
    </row>
    <row r="12" spans="1:93" outlineLevel="1" x14ac:dyDescent="0.2">
      <c r="J12" s="26"/>
    </row>
    <row r="13" spans="1:93" outlineLevel="1" x14ac:dyDescent="0.2">
      <c r="C13" s="11" t="str">
        <f>HM_ZD_Moho!C13</f>
        <v>Frais</v>
      </c>
      <c r="J13" s="26"/>
    </row>
    <row r="14" spans="1:93" outlineLevel="1" x14ac:dyDescent="0.2">
      <c r="D14" t="str">
        <f>HM_ZD_Moho!D14</f>
        <v>Coûts PID</v>
      </c>
      <c r="G14" s="21">
        <v>0.01</v>
      </c>
      <c r="H14" s="16" t="s">
        <v>68</v>
      </c>
      <c r="J14" s="26"/>
    </row>
    <row r="15" spans="1:93" outlineLevel="1" x14ac:dyDescent="0.2">
      <c r="J15" s="26"/>
    </row>
    <row r="16" spans="1:93" outlineLevel="1" x14ac:dyDescent="0.2">
      <c r="J16" s="26"/>
    </row>
    <row r="17" spans="3:15" outlineLevel="1" x14ac:dyDescent="0.2">
      <c r="C17" s="11" t="str">
        <f>HM_ZD_Moho!C17</f>
        <v>Redevance</v>
      </c>
      <c r="J17" s="26"/>
    </row>
    <row r="18" spans="3:15" outlineLevel="1" x14ac:dyDescent="0.2">
      <c r="J18" s="26"/>
    </row>
    <row r="19" spans="3:15" outlineLevel="1" x14ac:dyDescent="0.2">
      <c r="D19" t="str">
        <f>HM_ZD_Moho!D19</f>
        <v>Pétrole</v>
      </c>
      <c r="G19" s="21">
        <v>0.15</v>
      </c>
      <c r="H19" s="16" t="s">
        <v>72</v>
      </c>
      <c r="J19" s="26"/>
    </row>
    <row r="20" spans="3:15" outlineLevel="1" x14ac:dyDescent="0.2">
      <c r="D20" t="str">
        <f>HM_ZD_Moho!D20</f>
        <v>Gaz</v>
      </c>
      <c r="G20" s="21">
        <v>0.15</v>
      </c>
      <c r="H20" s="16" t="s">
        <v>73</v>
      </c>
      <c r="J20" s="26"/>
    </row>
    <row r="21" spans="3:15" outlineLevel="1" x14ac:dyDescent="0.2">
      <c r="J21" s="26"/>
    </row>
    <row r="22" spans="3:15" outlineLevel="1" x14ac:dyDescent="0.2">
      <c r="J22" s="26"/>
    </row>
    <row r="23" spans="3:15" outlineLevel="1" x14ac:dyDescent="0.2">
      <c r="C23" s="11" t="str">
        <f>HM_ZD_Moho!C23</f>
        <v>Récupération des coûts</v>
      </c>
      <c r="J23" s="26"/>
    </row>
    <row r="24" spans="3:15" outlineLevel="1" x14ac:dyDescent="0.2">
      <c r="J24" s="26"/>
    </row>
    <row r="25" spans="3:15" outlineLevel="1" x14ac:dyDescent="0.2">
      <c r="D25" t="str">
        <f>HM_ZD_Moho!D25</f>
        <v>Cost Stop</v>
      </c>
      <c r="F25" s="33" t="s">
        <v>86</v>
      </c>
      <c r="G25" s="33" t="s">
        <v>87</v>
      </c>
      <c r="H25" s="33" t="s">
        <v>76</v>
      </c>
      <c r="I25" s="33" t="s">
        <v>367</v>
      </c>
      <c r="J25" s="26"/>
      <c r="O25" s="6"/>
    </row>
    <row r="26" spans="3:15" outlineLevel="1" x14ac:dyDescent="0.2">
      <c r="D26" t="str">
        <f>CHOOSE(db_ML_selected,'Liste Traduction'!B507,'Liste Traduction'!C507)</f>
        <v>(% de la prod. brute @ PH)</v>
      </c>
      <c r="E26" s="47"/>
      <c r="F26" s="42" t="s">
        <v>88</v>
      </c>
      <c r="G26" s="42" t="s">
        <v>89</v>
      </c>
      <c r="H26" s="42" t="s">
        <v>90</v>
      </c>
      <c r="I26" s="42" t="s">
        <v>46</v>
      </c>
      <c r="J26" s="26"/>
      <c r="O26" s="6"/>
    </row>
    <row r="27" spans="3:15" outlineLevel="1" x14ac:dyDescent="0.2">
      <c r="D27" s="39"/>
      <c r="F27" s="19">
        <v>0</v>
      </c>
      <c r="G27" s="73">
        <f>F27*conv_BbltoMcf</f>
        <v>0</v>
      </c>
      <c r="H27" s="21">
        <v>0.65</v>
      </c>
      <c r="I27" s="43">
        <v>25</v>
      </c>
      <c r="J27" s="26"/>
      <c r="O27" s="33"/>
    </row>
    <row r="28" spans="3:15" outlineLevel="1" x14ac:dyDescent="0.2">
      <c r="D28" s="39"/>
      <c r="F28" s="19">
        <v>100</v>
      </c>
      <c r="G28" s="73">
        <f>F28*conv_BbltoMcf</f>
        <v>600</v>
      </c>
      <c r="H28" s="21">
        <v>0.6</v>
      </c>
      <c r="I28" s="19">
        <v>22</v>
      </c>
      <c r="J28" s="26"/>
      <c r="O28" s="33"/>
    </row>
    <row r="29" spans="3:15" outlineLevel="1" x14ac:dyDescent="0.2">
      <c r="D29" s="39"/>
      <c r="F29" s="19">
        <v>200</v>
      </c>
      <c r="G29" s="73">
        <f>F29*conv_BbltoMcf</f>
        <v>1200</v>
      </c>
      <c r="H29" s="21">
        <v>0.6</v>
      </c>
      <c r="I29" s="19">
        <v>22</v>
      </c>
      <c r="J29" s="26"/>
      <c r="O29" s="33"/>
    </row>
    <row r="30" spans="3:15" outlineLevel="1" x14ac:dyDescent="0.2">
      <c r="F30" s="16" t="s">
        <v>419</v>
      </c>
      <c r="G30" s="16" t="s">
        <v>420</v>
      </c>
      <c r="H30" s="16" t="s">
        <v>421</v>
      </c>
      <c r="I30" s="16" t="s">
        <v>422</v>
      </c>
      <c r="J30" s="26"/>
      <c r="O30" s="33"/>
    </row>
    <row r="31" spans="3:15" outlineLevel="1" x14ac:dyDescent="0.2">
      <c r="F31" s="16"/>
      <c r="G31" s="16"/>
      <c r="J31" s="26"/>
      <c r="O31" s="33"/>
    </row>
    <row r="32" spans="3:15" outlineLevel="1" x14ac:dyDescent="0.2">
      <c r="J32" s="26"/>
    </row>
    <row r="33" spans="3:19" outlineLevel="1" x14ac:dyDescent="0.2">
      <c r="D33" t="str">
        <f>HM_ZD_Moho!D42</f>
        <v>Intérêts sur les coûts reportés</v>
      </c>
      <c r="G33" s="21">
        <v>0</v>
      </c>
      <c r="H33" s="16" t="s">
        <v>362</v>
      </c>
      <c r="J33" s="26"/>
    </row>
    <row r="34" spans="3:19" outlineLevel="1" x14ac:dyDescent="0.2">
      <c r="J34" s="26"/>
    </row>
    <row r="35" spans="3:19" outlineLevel="1" x14ac:dyDescent="0.2">
      <c r="J35" s="26"/>
    </row>
    <row r="36" spans="3:19" outlineLevel="1" x14ac:dyDescent="0.2">
      <c r="J36" s="26"/>
    </row>
    <row r="37" spans="3:19" outlineLevel="1" x14ac:dyDescent="0.2">
      <c r="C37" s="11" t="str">
        <f>HM_ZD_Moho!C46</f>
        <v>Excess Cost Oil (ECO)</v>
      </c>
      <c r="F37" s="6"/>
      <c r="G37" s="6"/>
      <c r="H37" s="6"/>
      <c r="I37" s="6"/>
      <c r="J37" s="26"/>
      <c r="K37" s="33" t="s">
        <v>406</v>
      </c>
      <c r="P37" s="33" t="s">
        <v>406</v>
      </c>
    </row>
    <row r="38" spans="3:19" outlineLevel="1" x14ac:dyDescent="0.2">
      <c r="D38" t="str">
        <f>HM_ZB_Nsoko!D37</f>
        <v>Réserves totales MMboe</v>
      </c>
      <c r="F38" s="72">
        <f>db_total_reserves</f>
        <v>100</v>
      </c>
      <c r="G38" s="6"/>
      <c r="H38" s="6"/>
      <c r="I38" s="6"/>
      <c r="J38" s="26"/>
      <c r="K38" s="33" t="s">
        <v>405</v>
      </c>
      <c r="P38" s="33" t="s">
        <v>407</v>
      </c>
    </row>
    <row r="39" spans="3:19" outlineLevel="1" x14ac:dyDescent="0.2">
      <c r="F39" s="6"/>
      <c r="G39" s="6"/>
      <c r="H39" s="6"/>
      <c r="I39" s="6"/>
      <c r="J39" s="26"/>
    </row>
    <row r="40" spans="3:19" outlineLevel="1" x14ac:dyDescent="0.2">
      <c r="F40" s="33" t="s">
        <v>86</v>
      </c>
      <c r="G40" s="33" t="s">
        <v>87</v>
      </c>
      <c r="H40" s="33" t="s">
        <v>92</v>
      </c>
      <c r="I40" s="33" t="s">
        <v>93</v>
      </c>
      <c r="J40" s="26"/>
      <c r="K40" s="33" t="s">
        <v>86</v>
      </c>
      <c r="L40" s="33" t="s">
        <v>87</v>
      </c>
      <c r="M40" s="33" t="s">
        <v>92</v>
      </c>
      <c r="N40" s="33" t="s">
        <v>93</v>
      </c>
      <c r="P40" s="33" t="s">
        <v>86</v>
      </c>
      <c r="Q40" s="33" t="s">
        <v>87</v>
      </c>
      <c r="R40" s="33" t="s">
        <v>92</v>
      </c>
      <c r="S40" s="33" t="s">
        <v>93</v>
      </c>
    </row>
    <row r="41" spans="3:19" outlineLevel="1" x14ac:dyDescent="0.2">
      <c r="F41" s="42" t="s">
        <v>88</v>
      </c>
      <c r="G41" s="42" t="s">
        <v>89</v>
      </c>
      <c r="H41" s="42" t="s">
        <v>90</v>
      </c>
      <c r="I41" s="42" t="s">
        <v>90</v>
      </c>
      <c r="J41" s="26"/>
      <c r="K41" s="42" t="s">
        <v>88</v>
      </c>
      <c r="L41" s="42" t="s">
        <v>89</v>
      </c>
      <c r="M41" s="42" t="s">
        <v>90</v>
      </c>
      <c r="N41" s="42" t="s">
        <v>90</v>
      </c>
      <c r="P41" s="42" t="s">
        <v>88</v>
      </c>
      <c r="Q41" s="42" t="s">
        <v>89</v>
      </c>
      <c r="R41" s="42" t="s">
        <v>90</v>
      </c>
      <c r="S41" s="42" t="s">
        <v>90</v>
      </c>
    </row>
    <row r="42" spans="3:19" outlineLevel="1" x14ac:dyDescent="0.2">
      <c r="F42" s="40">
        <f>IF(AND($F$38&gt;200,$F$38&lt;400),K42,P42)</f>
        <v>0</v>
      </c>
      <c r="G42" s="73">
        <f>F42*conv_BbltoMcf</f>
        <v>0</v>
      </c>
      <c r="H42" s="41">
        <f>IF(AND($F$38&gt;200,$F$38&lt;400),M42,R42)</f>
        <v>0.3</v>
      </c>
      <c r="I42" s="41">
        <f>1-H42</f>
        <v>0.7</v>
      </c>
      <c r="J42" s="26"/>
      <c r="K42" s="19">
        <v>100</v>
      </c>
      <c r="L42" s="40">
        <f>K42*conv_BbltoMcf</f>
        <v>600</v>
      </c>
      <c r="M42" s="37">
        <v>0</v>
      </c>
      <c r="N42" s="41">
        <f>1-M42</f>
        <v>1</v>
      </c>
      <c r="P42" s="19">
        <v>0</v>
      </c>
      <c r="Q42" s="73">
        <f>P42*conv_BbltoMcf</f>
        <v>0</v>
      </c>
      <c r="R42" s="37">
        <v>0.3</v>
      </c>
      <c r="S42" s="41">
        <f>1-R42</f>
        <v>0.7</v>
      </c>
    </row>
    <row r="43" spans="3:19" outlineLevel="1" x14ac:dyDescent="0.2">
      <c r="F43" s="40">
        <f t="shared" ref="F43:F44" si="0">IF(AND($F$38&gt;200,$F$38&lt;400),K43,P43)</f>
        <v>100</v>
      </c>
      <c r="G43" s="73">
        <f>IFERROR(F43*conv_BbltoMcf,"na")</f>
        <v>600</v>
      </c>
      <c r="H43" s="41">
        <f t="shared" ref="H43:H44" si="1">IF(AND($F$38&gt;200,$F$38&lt;400),M43,R43)</f>
        <v>0.4</v>
      </c>
      <c r="I43" s="41">
        <f>1-H43</f>
        <v>0.6</v>
      </c>
      <c r="J43" s="26"/>
      <c r="K43" s="19" t="s">
        <v>408</v>
      </c>
      <c r="L43" s="40" t="s">
        <v>411</v>
      </c>
      <c r="M43" s="21">
        <v>0.5</v>
      </c>
      <c r="N43" s="41">
        <f>1-M43</f>
        <v>0.5</v>
      </c>
      <c r="P43" s="19">
        <v>100</v>
      </c>
      <c r="Q43" s="73">
        <f>P43*conv_BbltoMcf</f>
        <v>600</v>
      </c>
      <c r="R43" s="21">
        <v>0.4</v>
      </c>
      <c r="S43" s="41">
        <f>1-R43</f>
        <v>0.6</v>
      </c>
    </row>
    <row r="44" spans="3:19" outlineLevel="1" x14ac:dyDescent="0.2">
      <c r="F44" s="40">
        <f t="shared" si="0"/>
        <v>200</v>
      </c>
      <c r="G44" s="73">
        <f>IFERROR(F44*conv_BbltoMcf,"na")</f>
        <v>1200</v>
      </c>
      <c r="H44" s="41">
        <f t="shared" si="1"/>
        <v>0.4</v>
      </c>
      <c r="I44" s="41">
        <f>IFERROR(1-H44,"na")</f>
        <v>0.6</v>
      </c>
      <c r="J44" s="26"/>
      <c r="K44" s="19" t="s">
        <v>411</v>
      </c>
      <c r="L44" s="40" t="s">
        <v>411</v>
      </c>
      <c r="M44" s="21" t="s">
        <v>411</v>
      </c>
      <c r="N44" s="41" t="s">
        <v>411</v>
      </c>
      <c r="P44" s="19">
        <v>200</v>
      </c>
      <c r="Q44" s="73">
        <f>P44*conv_BbltoMcf</f>
        <v>1200</v>
      </c>
      <c r="R44" s="21">
        <v>0.4</v>
      </c>
      <c r="S44" s="41">
        <f>1-R44</f>
        <v>0.6</v>
      </c>
    </row>
    <row r="45" spans="3:19" outlineLevel="1" x14ac:dyDescent="0.2">
      <c r="F45" s="16" t="s">
        <v>94</v>
      </c>
      <c r="G45" s="16" t="s">
        <v>95</v>
      </c>
      <c r="H45" s="16" t="s">
        <v>96</v>
      </c>
      <c r="I45" s="16" t="s">
        <v>97</v>
      </c>
      <c r="J45" s="26"/>
    </row>
    <row r="46" spans="3:19" outlineLevel="1" x14ac:dyDescent="0.2">
      <c r="J46" s="26"/>
    </row>
    <row r="47" spans="3:19" outlineLevel="1" x14ac:dyDescent="0.2">
      <c r="D47" t="str">
        <f>HM_ZB_Nsoko!D46</f>
        <v>% seuil de coût de dev.</v>
      </c>
      <c r="F47" s="41" t="str">
        <f>IF(AND($F$38&gt;200,$F$38&lt;400),0.2,"na")</f>
        <v>na</v>
      </c>
      <c r="G47" s="16" t="s">
        <v>412</v>
      </c>
      <c r="J47" s="26"/>
    </row>
    <row r="48" spans="3:19" outlineLevel="1" x14ac:dyDescent="0.2">
      <c r="J48" s="26"/>
    </row>
    <row r="49" spans="3:24" outlineLevel="1" x14ac:dyDescent="0.2">
      <c r="J49" s="26"/>
    </row>
    <row r="50" spans="3:24" outlineLevel="1" x14ac:dyDescent="0.2">
      <c r="C50" s="11" t="str">
        <f>HM_ZD_Moho!C54</f>
        <v>Super Profit Oil (SPO)</v>
      </c>
      <c r="F50" s="33" t="s">
        <v>86</v>
      </c>
      <c r="G50" s="33" t="s">
        <v>101</v>
      </c>
      <c r="H50" s="33" t="s">
        <v>102</v>
      </c>
      <c r="I50" s="33" t="s">
        <v>294</v>
      </c>
      <c r="J50" s="26"/>
    </row>
    <row r="51" spans="3:24" outlineLevel="1" x14ac:dyDescent="0.2">
      <c r="F51" s="42" t="s">
        <v>88</v>
      </c>
      <c r="G51" s="42" t="s">
        <v>90</v>
      </c>
      <c r="H51" s="42" t="s">
        <v>90</v>
      </c>
      <c r="I51" s="42" t="s">
        <v>415</v>
      </c>
      <c r="J51" s="26"/>
    </row>
    <row r="52" spans="3:24" outlineLevel="1" x14ac:dyDescent="0.2">
      <c r="F52" s="19">
        <v>0</v>
      </c>
      <c r="G52" s="37">
        <v>0.7</v>
      </c>
      <c r="H52" s="41">
        <f>1-G52</f>
        <v>0.30000000000000004</v>
      </c>
      <c r="I52" t="s">
        <v>413</v>
      </c>
      <c r="J52" s="26"/>
    </row>
    <row r="53" spans="3:24" outlineLevel="1" x14ac:dyDescent="0.2">
      <c r="F53" s="19">
        <v>100</v>
      </c>
      <c r="G53" s="21">
        <v>0.85</v>
      </c>
      <c r="H53" s="41">
        <f>1-G53</f>
        <v>0.15000000000000002</v>
      </c>
      <c r="I53" t="s">
        <v>1015</v>
      </c>
      <c r="J53" s="26"/>
    </row>
    <row r="54" spans="3:24" outlineLevel="1" x14ac:dyDescent="0.2">
      <c r="F54" s="19">
        <v>200</v>
      </c>
      <c r="G54" s="21">
        <v>0.85</v>
      </c>
      <c r="H54" s="41">
        <f>1-G54</f>
        <v>0.15000000000000002</v>
      </c>
      <c r="I54" t="s">
        <v>414</v>
      </c>
      <c r="J54" s="26"/>
    </row>
    <row r="55" spans="3:24" outlineLevel="1" x14ac:dyDescent="0.2">
      <c r="F55" s="16" t="s">
        <v>103</v>
      </c>
      <c r="G55" s="16" t="s">
        <v>104</v>
      </c>
      <c r="H55" s="16" t="s">
        <v>105</v>
      </c>
      <c r="J55" s="26"/>
    </row>
    <row r="56" spans="3:24" outlineLevel="1" x14ac:dyDescent="0.2">
      <c r="J56" s="26"/>
    </row>
    <row r="57" spans="3:24" outlineLevel="1" x14ac:dyDescent="0.2">
      <c r="J57" s="26"/>
    </row>
    <row r="58" spans="3:24" outlineLevel="1" x14ac:dyDescent="0.2">
      <c r="C58" s="11" t="str">
        <f>HM_ZD_Moho!C64</f>
        <v>Partage du profit</v>
      </c>
      <c r="F58" s="6"/>
      <c r="G58" s="6"/>
      <c r="H58" s="6"/>
      <c r="I58" s="6"/>
      <c r="J58" s="26"/>
      <c r="K58" s="33" t="s">
        <v>406</v>
      </c>
      <c r="P58" s="33" t="s">
        <v>406</v>
      </c>
      <c r="U58" s="33" t="s">
        <v>406</v>
      </c>
    </row>
    <row r="59" spans="3:24" outlineLevel="1" x14ac:dyDescent="0.2">
      <c r="D59" t="str">
        <f>D38</f>
        <v>Réserves totales MMboe</v>
      </c>
      <c r="F59" s="72">
        <f>db_total_reserves</f>
        <v>100</v>
      </c>
      <c r="G59" s="6"/>
      <c r="H59" s="6"/>
      <c r="I59" s="6"/>
      <c r="J59" s="26"/>
      <c r="K59" s="33" t="s">
        <v>417</v>
      </c>
      <c r="P59" s="33" t="s">
        <v>404</v>
      </c>
      <c r="U59" s="33" t="s">
        <v>418</v>
      </c>
    </row>
    <row r="60" spans="3:24" outlineLevel="1" x14ac:dyDescent="0.2">
      <c r="F60" s="6"/>
      <c r="G60" s="6"/>
      <c r="H60" s="6"/>
      <c r="I60" s="6"/>
      <c r="J60" s="26"/>
    </row>
    <row r="61" spans="3:24" outlineLevel="1" x14ac:dyDescent="0.2">
      <c r="F61" s="33" t="s">
        <v>86</v>
      </c>
      <c r="G61" s="33" t="s">
        <v>87</v>
      </c>
      <c r="H61" s="33" t="s">
        <v>377</v>
      </c>
      <c r="I61" s="33" t="s">
        <v>378</v>
      </c>
      <c r="J61" s="26"/>
      <c r="K61" s="33" t="s">
        <v>86</v>
      </c>
      <c r="L61" s="33" t="s">
        <v>87</v>
      </c>
      <c r="M61" s="33" t="s">
        <v>377</v>
      </c>
      <c r="N61" s="33" t="s">
        <v>378</v>
      </c>
      <c r="P61" s="33" t="s">
        <v>86</v>
      </c>
      <c r="Q61" s="33" t="s">
        <v>87</v>
      </c>
      <c r="R61" s="33" t="s">
        <v>377</v>
      </c>
      <c r="S61" s="33" t="s">
        <v>378</v>
      </c>
      <c r="U61" s="33" t="s">
        <v>86</v>
      </c>
      <c r="V61" s="33" t="s">
        <v>87</v>
      </c>
      <c r="W61" s="33" t="s">
        <v>377</v>
      </c>
      <c r="X61" s="33" t="s">
        <v>378</v>
      </c>
    </row>
    <row r="62" spans="3:24" outlineLevel="1" x14ac:dyDescent="0.2">
      <c r="F62" s="42" t="s">
        <v>88</v>
      </c>
      <c r="G62" s="42" t="s">
        <v>89</v>
      </c>
      <c r="H62" s="42" t="s">
        <v>90</v>
      </c>
      <c r="I62" s="42" t="s">
        <v>90</v>
      </c>
      <c r="J62" s="26"/>
      <c r="K62" s="42" t="s">
        <v>88</v>
      </c>
      <c r="L62" s="42" t="s">
        <v>89</v>
      </c>
      <c r="M62" s="42" t="s">
        <v>90</v>
      </c>
      <c r="N62" s="42" t="s">
        <v>90</v>
      </c>
      <c r="P62" s="42" t="s">
        <v>88</v>
      </c>
      <c r="Q62" s="42" t="s">
        <v>89</v>
      </c>
      <c r="R62" s="42" t="s">
        <v>90</v>
      </c>
      <c r="S62" s="42" t="s">
        <v>90</v>
      </c>
      <c r="U62" s="42" t="s">
        <v>88</v>
      </c>
      <c r="V62" s="42" t="s">
        <v>89</v>
      </c>
      <c r="W62" s="42" t="s">
        <v>90</v>
      </c>
      <c r="X62" s="42" t="s">
        <v>90</v>
      </c>
    </row>
    <row r="63" spans="3:24" outlineLevel="1" x14ac:dyDescent="0.2">
      <c r="F63" s="73">
        <f>IF($F$59&lt;100,K63,
IF(AND($F$59&gt;=100,$F$59&lt;200),P63,U63))</f>
        <v>0</v>
      </c>
      <c r="G63" s="73">
        <f>F63*conv_BbltoMcf</f>
        <v>0</v>
      </c>
      <c r="H63" s="41">
        <f>IF($F$59&lt;100,M63,
IF(AND($F$59&gt;=100,$F$59&lt;200),R63,W63))</f>
        <v>0.3</v>
      </c>
      <c r="I63" s="41">
        <f>1-H63</f>
        <v>0.7</v>
      </c>
      <c r="J63" s="26"/>
      <c r="K63" s="19">
        <v>0</v>
      </c>
      <c r="L63" s="40">
        <f>K63*conv_BbltoMcf</f>
        <v>0</v>
      </c>
      <c r="M63" s="37">
        <v>0.3</v>
      </c>
      <c r="N63" s="41">
        <f>1-M63</f>
        <v>0.7</v>
      </c>
      <c r="P63" s="19">
        <v>0</v>
      </c>
      <c r="Q63" s="40">
        <f>P63*conv_BbltoMcf</f>
        <v>0</v>
      </c>
      <c r="R63" s="37">
        <v>0.3</v>
      </c>
      <c r="S63" s="41">
        <f>1-R63</f>
        <v>0.7</v>
      </c>
      <c r="U63" s="19">
        <v>0</v>
      </c>
      <c r="V63" s="40">
        <f>U63*conv_BbltoMcf</f>
        <v>0</v>
      </c>
      <c r="W63" s="37">
        <v>0.3</v>
      </c>
      <c r="X63" s="41">
        <f>1-W63</f>
        <v>0.7</v>
      </c>
    </row>
    <row r="64" spans="3:24" outlineLevel="1" x14ac:dyDescent="0.2">
      <c r="F64" s="73">
        <f t="shared" ref="F64:H66" si="2">IF($F$59&lt;100,K64,
IF(AND($F$59&gt;=100,$F$59&lt;200),P64,U64))</f>
        <v>100</v>
      </c>
      <c r="G64" s="73">
        <f>F64*conv_BbltoMcf</f>
        <v>600</v>
      </c>
      <c r="H64" s="41">
        <f t="shared" si="2"/>
        <v>0.38</v>
      </c>
      <c r="I64" s="41">
        <f>1-H64</f>
        <v>0.62</v>
      </c>
      <c r="J64" s="26"/>
      <c r="K64" s="19">
        <v>100</v>
      </c>
      <c r="L64" s="40">
        <f>K64*conv_BbltoMcf</f>
        <v>600</v>
      </c>
      <c r="M64" s="21">
        <v>0.33</v>
      </c>
      <c r="N64" s="41">
        <f>1-M64</f>
        <v>0.66999999999999993</v>
      </c>
      <c r="P64" s="19">
        <v>100</v>
      </c>
      <c r="Q64" s="40">
        <f>P64*conv_BbltoMcf</f>
        <v>600</v>
      </c>
      <c r="R64" s="21">
        <v>0.38</v>
      </c>
      <c r="S64" s="41">
        <f>1-R64</f>
        <v>0.62</v>
      </c>
      <c r="U64" s="19">
        <v>100</v>
      </c>
      <c r="V64" s="40">
        <f>U64*conv_BbltoMcf</f>
        <v>600</v>
      </c>
      <c r="W64" s="21">
        <v>0.37</v>
      </c>
      <c r="X64" s="41">
        <f>1-W64</f>
        <v>0.63</v>
      </c>
    </row>
    <row r="65" spans="1:93" outlineLevel="1" x14ac:dyDescent="0.2">
      <c r="F65" s="73">
        <f t="shared" si="2"/>
        <v>200</v>
      </c>
      <c r="G65" s="73">
        <f>F65*conv_BbltoMcf</f>
        <v>1200</v>
      </c>
      <c r="H65" s="41">
        <f t="shared" si="2"/>
        <v>0.38</v>
      </c>
      <c r="I65" s="41">
        <f>1-H65</f>
        <v>0.62</v>
      </c>
      <c r="J65" s="26"/>
      <c r="K65" s="19">
        <v>200</v>
      </c>
      <c r="L65" s="40">
        <f>K65*conv_BbltoMcf</f>
        <v>1200</v>
      </c>
      <c r="M65" s="21">
        <v>0.33</v>
      </c>
      <c r="N65" s="41">
        <f>1-M65</f>
        <v>0.66999999999999993</v>
      </c>
      <c r="P65" s="19">
        <v>200</v>
      </c>
      <c r="Q65" s="40">
        <f>P65*conv_BbltoMcf</f>
        <v>1200</v>
      </c>
      <c r="R65" s="21">
        <v>0.38</v>
      </c>
      <c r="S65" s="41">
        <f>1-R65</f>
        <v>0.62</v>
      </c>
      <c r="U65" s="19">
        <v>200</v>
      </c>
      <c r="V65" s="40">
        <f>U65*conv_BbltoMcf</f>
        <v>1200</v>
      </c>
      <c r="W65" s="21">
        <v>0.42</v>
      </c>
      <c r="X65" s="41">
        <f>1-W65</f>
        <v>0.58000000000000007</v>
      </c>
      <c r="Z65" s="6"/>
    </row>
    <row r="66" spans="1:93" outlineLevel="1" x14ac:dyDescent="0.2">
      <c r="F66" s="73">
        <f t="shared" si="2"/>
        <v>400</v>
      </c>
      <c r="G66" s="73">
        <f>F66*conv_BbltoMcf</f>
        <v>2400</v>
      </c>
      <c r="H66" s="41">
        <f t="shared" si="2"/>
        <v>0.38</v>
      </c>
      <c r="I66" s="41">
        <f>1-H66</f>
        <v>0.62</v>
      </c>
      <c r="J66" s="26"/>
      <c r="K66" s="19">
        <v>400</v>
      </c>
      <c r="L66" s="40">
        <f>K66*conv_BbltoMcf</f>
        <v>2400</v>
      </c>
      <c r="M66" s="21">
        <v>0.33</v>
      </c>
      <c r="N66" s="41">
        <f>1-M66</f>
        <v>0.66999999999999993</v>
      </c>
      <c r="P66" s="19">
        <v>400</v>
      </c>
      <c r="Q66" s="40">
        <f>P66*conv_BbltoMcf</f>
        <v>2400</v>
      </c>
      <c r="R66" s="21">
        <v>0.38</v>
      </c>
      <c r="S66" s="41">
        <f>1-R66</f>
        <v>0.62</v>
      </c>
      <c r="U66" s="19">
        <v>400</v>
      </c>
      <c r="V66" s="40">
        <f>U66*conv_BbltoMcf</f>
        <v>2400</v>
      </c>
      <c r="W66" s="21">
        <v>0.45</v>
      </c>
      <c r="X66" s="41">
        <f>1-W66</f>
        <v>0.55000000000000004</v>
      </c>
      <c r="Z66" s="6"/>
    </row>
    <row r="67" spans="1:93" outlineLevel="1" x14ac:dyDescent="0.2">
      <c r="F67" s="16" t="s">
        <v>106</v>
      </c>
      <c r="G67" s="16" t="s">
        <v>108</v>
      </c>
      <c r="H67" s="16" t="s">
        <v>109</v>
      </c>
      <c r="I67" s="16" t="s">
        <v>110</v>
      </c>
      <c r="J67" s="26"/>
      <c r="K67" s="16"/>
      <c r="L67" s="16"/>
      <c r="M67" s="16"/>
      <c r="N67" s="16"/>
      <c r="P67" s="16"/>
      <c r="Q67" s="16"/>
      <c r="R67" s="16"/>
      <c r="S67" s="16"/>
      <c r="U67" s="16"/>
      <c r="V67" s="16"/>
      <c r="W67" s="16"/>
      <c r="X67" s="16"/>
      <c r="Z67" s="6"/>
    </row>
    <row r="68" spans="1:93" outlineLevel="1" x14ac:dyDescent="0.2">
      <c r="J68" s="26"/>
    </row>
    <row r="69" spans="1:93" outlineLevel="1" x14ac:dyDescent="0.2">
      <c r="J69" s="26"/>
    </row>
    <row r="70" spans="1:93" outlineLevel="1" x14ac:dyDescent="0.2">
      <c r="J70" s="26"/>
    </row>
    <row r="71" spans="1:93" outlineLevel="1" x14ac:dyDescent="0.2">
      <c r="C71" s="11" t="str">
        <f>HM_ZD_Moho!C76</f>
        <v>Prix fiscal spécifique</v>
      </c>
      <c r="F71" s="38" t="s">
        <v>75</v>
      </c>
      <c r="G71" s="42" t="s">
        <v>46</v>
      </c>
      <c r="J71" s="26"/>
    </row>
    <row r="72" spans="1:93" outlineLevel="1" x14ac:dyDescent="0.2">
      <c r="D72" t="str">
        <f>HM_ZD_Moho!D77</f>
        <v>Prix Haut (PH)</v>
      </c>
      <c r="F72" s="34" t="d">
        <v>2008-01-01</v>
      </c>
      <c r="G72" s="43">
        <v>25</v>
      </c>
      <c r="J72" s="26"/>
    </row>
    <row r="73" spans="1:93" outlineLevel="1" x14ac:dyDescent="0.2">
      <c r="F73" s="16" t="s">
        <v>381</v>
      </c>
      <c r="G73" s="16" t="s">
        <v>367</v>
      </c>
      <c r="J73" s="26"/>
    </row>
    <row r="74" spans="1:93" outlineLevel="1" x14ac:dyDescent="0.2">
      <c r="F74" s="16"/>
      <c r="G74" s="16"/>
      <c r="J74" s="26"/>
    </row>
    <row r="75" spans="1:93" outlineLevel="1" x14ac:dyDescent="0.2">
      <c r="J75" s="26"/>
    </row>
    <row r="76" spans="1:93" outlineLevel="1" x14ac:dyDescent="0.2">
      <c r="J76" s="26"/>
    </row>
    <row r="77" spans="1:93" ht="16" thickBot="1" x14ac:dyDescent="0.25">
      <c r="J77" s="26"/>
    </row>
    <row r="78" spans="1:93" ht="22" thickBot="1" x14ac:dyDescent="0.25">
      <c r="A78" s="8"/>
      <c r="B78" s="221" t="str">
        <f>HM_ZD_Moho!B86</f>
        <v>Détails propriété</v>
      </c>
      <c r="C78" s="222">
        <f>HM_ZD_Moho!C83</f>
        <v>0</v>
      </c>
      <c r="D78" s="222">
        <f>HM_ZD_Moho!D83</f>
        <v>0</v>
      </c>
      <c r="E78" s="223">
        <f>HM_ZD_Moho!E83</f>
        <v>0</v>
      </c>
      <c r="F78" s="9"/>
      <c r="G78" s="9"/>
      <c r="H78" s="9"/>
      <c r="I78" s="9"/>
      <c r="J78" s="48"/>
      <c r="K78" s="10"/>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row>
    <row r="79" spans="1:93" outlineLevel="1" x14ac:dyDescent="0.2">
      <c r="J79" s="26"/>
    </row>
    <row r="80" spans="1:93" outlineLevel="1" x14ac:dyDescent="0.2">
      <c r="C80" s="11" t="str">
        <f>HM_ZD_Moho!C88</f>
        <v>Participation de l'État</v>
      </c>
      <c r="J80" s="26"/>
    </row>
    <row r="81" spans="3:10" outlineLevel="1" x14ac:dyDescent="0.2">
      <c r="D81" t="str">
        <f>HM_ZD_Moho!D89</f>
        <v>Participation de la compagnie nationale (SNPC)</v>
      </c>
      <c r="G81" s="37">
        <v>0.15</v>
      </c>
      <c r="H81" s="16" t="s">
        <v>118</v>
      </c>
      <c r="J81" s="26"/>
    </row>
    <row r="82" spans="3:10" outlineLevel="1" x14ac:dyDescent="0.2">
      <c r="D82" t="str">
        <f>HM_ZD_Moho!D90</f>
        <v>Consortium compagnie pétrolières internationales</v>
      </c>
      <c r="G82" s="37">
        <v>0.85</v>
      </c>
      <c r="H82" s="16" t="s">
        <v>120</v>
      </c>
      <c r="J82" s="26"/>
    </row>
    <row r="83" spans="3:10" outlineLevel="1" x14ac:dyDescent="0.2">
      <c r="J83" s="26"/>
    </row>
    <row r="84" spans="3:10" outlineLevel="1" x14ac:dyDescent="0.2">
      <c r="D84" t="str">
        <f>HM_ZD_Moho!D92</f>
        <v>La compagnie nationale fait-elle partie du groupe contracteur ?</v>
      </c>
      <c r="G84" s="44">
        <v>0</v>
      </c>
      <c r="H84" s="16" t="s">
        <v>119</v>
      </c>
      <c r="J84" s="26"/>
    </row>
    <row r="85" spans="3:10" outlineLevel="1" x14ac:dyDescent="0.2">
      <c r="J85" s="26"/>
    </row>
    <row r="86" spans="3:10" outlineLevel="1" x14ac:dyDescent="0.2">
      <c r="J86" s="26"/>
    </row>
    <row r="87" spans="3:10" outlineLevel="1" x14ac:dyDescent="0.2">
      <c r="C87" s="11" t="str">
        <f>HM_ZD_Moho!C95</f>
        <v>Intérêt porté</v>
      </c>
      <c r="H87" s="38" t="s">
        <v>323</v>
      </c>
      <c r="J87" s="26"/>
    </row>
    <row r="88" spans="3:10" outlineLevel="1" x14ac:dyDescent="0.2">
      <c r="D88" t="str">
        <f>HM_ZD_Moho!D96</f>
        <v>Intérêt porté compagnie nationale - Exploration et évaluation</v>
      </c>
      <c r="F88" s="41">
        <f>HM_ZD_AM3_2005!NOC_WI_perc</f>
        <v>0.15</v>
      </c>
      <c r="G88" s="16" t="s">
        <v>319</v>
      </c>
      <c r="H88" s="44">
        <v>0</v>
      </c>
      <c r="I88" s="16" t="s">
        <v>324</v>
      </c>
      <c r="J88" s="26"/>
    </row>
    <row r="89" spans="3:10" outlineLevel="1" x14ac:dyDescent="0.2">
      <c r="D89" t="str">
        <f>HM_ZD_Moho!D97</f>
        <v>Intérêt porté compagnie nationale  - Coûts développement</v>
      </c>
      <c r="F89" s="41">
        <f>HM_ZD_AM3_2005!NOC_WI_perc</f>
        <v>0.15</v>
      </c>
      <c r="G89" s="16" t="s">
        <v>320</v>
      </c>
      <c r="H89" s="44">
        <v>1</v>
      </c>
      <c r="I89" s="16" t="s">
        <v>325</v>
      </c>
      <c r="J89" s="26"/>
    </row>
    <row r="90" spans="3:10" outlineLevel="1" x14ac:dyDescent="0.2">
      <c r="D90" t="str">
        <f>HM_ZD_Moho!D98</f>
        <v>Intérêt porté compagnie nationale - Opex</v>
      </c>
      <c r="F90" s="41"/>
      <c r="G90" s="16" t="s">
        <v>322</v>
      </c>
      <c r="H90" s="44">
        <v>0</v>
      </c>
      <c r="I90" s="16" t="s">
        <v>326</v>
      </c>
      <c r="J90" s="26"/>
    </row>
    <row r="91" spans="3:10" outlineLevel="1" x14ac:dyDescent="0.2">
      <c r="J91" s="26"/>
    </row>
    <row r="92" spans="3:10" outlineLevel="1" x14ac:dyDescent="0.2">
      <c r="J92" s="26"/>
    </row>
    <row r="93" spans="3:10" outlineLevel="1" x14ac:dyDescent="0.2">
      <c r="C93" s="11" t="str">
        <f>HM_ZD_Moho!C101</f>
        <v>Remboursement du portage</v>
      </c>
      <c r="G93" s="37">
        <v>0.75</v>
      </c>
      <c r="H93" s="16" t="s">
        <v>329</v>
      </c>
      <c r="J93" s="26"/>
    </row>
    <row r="94" spans="3:10" outlineLevel="1" x14ac:dyDescent="0.2">
      <c r="C94" t="str">
        <f>HM_ZD_Moho!C102</f>
        <v>(% des droits de l'État disponible pour le remboursement)</v>
      </c>
      <c r="J94" s="26"/>
    </row>
    <row r="95" spans="3:10" outlineLevel="1" x14ac:dyDescent="0.2">
      <c r="J95" s="26"/>
    </row>
    <row r="96" spans="3:10" outlineLevel="1" x14ac:dyDescent="0.2">
      <c r="J96" s="26"/>
    </row>
    <row r="97" spans="10:10" outlineLevel="1" x14ac:dyDescent="0.2">
      <c r="J97" s="26"/>
    </row>
    <row r="98" spans="10:10" outlineLevel="1" x14ac:dyDescent="0.2">
      <c r="J98" s="26"/>
    </row>
    <row r="99" spans="10:10" outlineLevel="1" x14ac:dyDescent="0.2">
      <c r="J99" s="26"/>
    </row>
    <row r="100" spans="10:10" outlineLevel="1" x14ac:dyDescent="0.2">
      <c r="J100" s="26"/>
    </row>
    <row r="101" spans="10:10" outlineLevel="1" x14ac:dyDescent="0.2">
      <c r="J101" s="26"/>
    </row>
    <row r="102" spans="10:10" outlineLevel="1" x14ac:dyDescent="0.2">
      <c r="J102" s="26"/>
    </row>
    <row r="103" spans="10:10" outlineLevel="1" x14ac:dyDescent="0.2">
      <c r="J103" s="26"/>
    </row>
    <row r="104" spans="10:10" outlineLevel="1" x14ac:dyDescent="0.2">
      <c r="J104" s="26"/>
    </row>
    <row r="105" spans="10:10" outlineLevel="1" x14ac:dyDescent="0.2">
      <c r="J105" s="26"/>
    </row>
    <row r="106" spans="10:10" outlineLevel="1" x14ac:dyDescent="0.2">
      <c r="J106" s="26"/>
    </row>
    <row r="107" spans="10:10" outlineLevel="1" x14ac:dyDescent="0.2">
      <c r="J107" s="26"/>
    </row>
    <row r="108" spans="10:10" outlineLevel="1" x14ac:dyDescent="0.2">
      <c r="J108" s="26"/>
    </row>
    <row r="109" spans="10:10" outlineLevel="1" x14ac:dyDescent="0.2">
      <c r="J109" s="26"/>
    </row>
    <row r="110" spans="10:10" outlineLevel="1" x14ac:dyDescent="0.2">
      <c r="J110" s="26"/>
    </row>
    <row r="111" spans="10:10" outlineLevel="1" x14ac:dyDescent="0.2">
      <c r="J111" s="26"/>
    </row>
    <row r="112" spans="10:10" outlineLevel="1" x14ac:dyDescent="0.2">
      <c r="J112" s="26"/>
    </row>
    <row r="113" spans="1:93" outlineLevel="1" x14ac:dyDescent="0.2">
      <c r="J113" s="26"/>
    </row>
    <row r="114" spans="1:93" outlineLevel="1" x14ac:dyDescent="0.2">
      <c r="J114" s="26"/>
    </row>
    <row r="115" spans="1:93" x14ac:dyDescent="0.2">
      <c r="J115" s="26"/>
    </row>
    <row r="116" spans="1:93" ht="16" thickBot="1" x14ac:dyDescent="0.25">
      <c r="J116" s="26"/>
    </row>
    <row r="117" spans="1:93" ht="22" thickBot="1" x14ac:dyDescent="0.25">
      <c r="A117" s="8"/>
      <c r="B117" s="221" t="str">
        <f>HM_ZD_Moho!B125</f>
        <v>Calculs</v>
      </c>
      <c r="C117" s="222"/>
      <c r="D117" s="222"/>
      <c r="E117" s="223"/>
      <c r="F117" s="9"/>
      <c r="G117" s="9"/>
      <c r="H117" s="9"/>
      <c r="I117" s="9"/>
      <c r="J117" s="48"/>
      <c r="K117" s="10"/>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row>
    <row r="118" spans="1:93" outlineLevel="1" x14ac:dyDescent="0.2">
      <c r="J118" s="26"/>
    </row>
    <row r="119" spans="1:93" outlineLevel="1" x14ac:dyDescent="0.2">
      <c r="A119" s="45"/>
      <c r="B119" s="38" t="str">
        <f>HM_ZD_Moho!B127</f>
        <v>Production et volumes</v>
      </c>
      <c r="C119" s="45"/>
      <c r="D119" s="45"/>
      <c r="E119" s="45"/>
      <c r="J119" s="26"/>
    </row>
    <row r="120" spans="1:93" outlineLevel="1" x14ac:dyDescent="0.2">
      <c r="J120" s="26"/>
    </row>
    <row r="121" spans="1:93" outlineLevel="1" x14ac:dyDescent="0.2">
      <c r="C121" s="11" t="str">
        <f>HM_ZD_Moho!C129</f>
        <v>Volumes Production brute</v>
      </c>
      <c r="J121" s="26"/>
    </row>
    <row r="122" spans="1:93" outlineLevel="1" x14ac:dyDescent="0.2">
      <c r="D122" t="str">
        <f>HM_ZD_Moho!D130</f>
        <v>Pétrole</v>
      </c>
      <c r="I122" s="30">
        <f ca="1">SUM($L122:$BS122)</f>
        <v>39.629981341999994</v>
      </c>
      <c r="J122" s="26" t="s">
        <v>42</v>
      </c>
      <c r="K122" s="7" t="s">
        <v>131</v>
      </c>
      <c r="L122" s="49">
        <f ca="1">OFFSET(_xlfn.SINGLE(IA_prod_oil),4,)</f>
        <v>19.447364196999999</v>
      </c>
      <c r="M122" s="49">
        <f ca="1">OFFSET(_xlfn.SINGLE(IA_prod_oil),4,)</f>
        <v>20.182617144999998</v>
      </c>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c r="AL122" s="49"/>
      <c r="AM122" s="49"/>
      <c r="AN122" s="49"/>
      <c r="AO122" s="49"/>
      <c r="AP122" s="49"/>
      <c r="AQ122" s="49"/>
      <c r="AR122" s="49"/>
      <c r="AS122" s="49"/>
      <c r="AT122" s="49"/>
      <c r="AU122" s="49"/>
      <c r="AV122" s="49"/>
      <c r="AW122" s="49"/>
      <c r="AX122" s="49"/>
      <c r="AY122" s="49"/>
      <c r="AZ122" s="49"/>
      <c r="BA122" s="49"/>
      <c r="BB122" s="49"/>
      <c r="BC122" s="49"/>
      <c r="BD122" s="49"/>
      <c r="BE122" s="49"/>
      <c r="BF122" s="49"/>
      <c r="BG122" s="49"/>
      <c r="BH122" s="49"/>
      <c r="BI122" s="49"/>
      <c r="BJ122" s="49"/>
      <c r="BK122" s="49"/>
      <c r="BL122" s="49"/>
      <c r="BM122" s="49"/>
      <c r="BN122" s="49"/>
      <c r="BO122" s="49"/>
      <c r="BP122" s="49"/>
      <c r="BQ122" s="49"/>
      <c r="BR122" s="49"/>
      <c r="BS122" s="49"/>
    </row>
    <row r="123" spans="1:93" outlineLevel="1" x14ac:dyDescent="0.2">
      <c r="D123" t="str">
        <f>HM_ZD_Moho!D131</f>
        <v>GPL</v>
      </c>
      <c r="I123" s="30">
        <f ca="1">SUM($L123:$BS123)</f>
        <v>0</v>
      </c>
      <c r="J123" s="26" t="s">
        <v>42</v>
      </c>
      <c r="K123" s="7" t="s">
        <v>684</v>
      </c>
      <c r="L123" s="49">
        <f ca="1">OFFSET(_xlfn.SINGLE(IA_prod_lpg),4,)</f>
        <v>0</v>
      </c>
      <c r="M123" s="49">
        <f ca="1">OFFSET(_xlfn.SINGLE(IA_prod_lpg),4,)</f>
        <v>0</v>
      </c>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c r="AL123" s="49"/>
      <c r="AM123" s="49"/>
      <c r="AN123" s="49"/>
      <c r="AO123" s="49"/>
      <c r="AP123" s="49"/>
      <c r="AQ123" s="49"/>
      <c r="AR123" s="49"/>
      <c r="AS123" s="49"/>
      <c r="AT123" s="49"/>
      <c r="AU123" s="49"/>
      <c r="AV123" s="49"/>
      <c r="AW123" s="49"/>
      <c r="AX123" s="49"/>
      <c r="AY123" s="49"/>
      <c r="AZ123" s="49"/>
      <c r="BA123" s="49"/>
      <c r="BB123" s="49"/>
      <c r="BC123" s="49"/>
      <c r="BD123" s="49"/>
      <c r="BE123" s="49"/>
      <c r="BF123" s="49"/>
      <c r="BG123" s="49"/>
      <c r="BH123" s="49"/>
      <c r="BI123" s="49"/>
      <c r="BJ123" s="49"/>
      <c r="BK123" s="49"/>
      <c r="BL123" s="49"/>
      <c r="BM123" s="49"/>
      <c r="BN123" s="49"/>
      <c r="BO123" s="49"/>
      <c r="BP123" s="49"/>
      <c r="BQ123" s="49"/>
      <c r="BR123" s="49"/>
      <c r="BS123" s="49"/>
    </row>
    <row r="124" spans="1:93" outlineLevel="1" x14ac:dyDescent="0.2">
      <c r="D124" t="str">
        <f>HM_ZD_Moho!D132</f>
        <v>Gaz</v>
      </c>
      <c r="I124" s="46">
        <f ca="1">SUM($L124:$BS124)</f>
        <v>0</v>
      </c>
      <c r="J124" s="26" t="s">
        <v>653</v>
      </c>
      <c r="K124" s="7" t="s">
        <v>132</v>
      </c>
      <c r="L124" s="54">
        <f ca="1">OFFSET(_xlfn.SINGLE(IA_prod_gas),4,)</f>
        <v>0</v>
      </c>
      <c r="M124" s="54">
        <f ca="1">OFFSET(_xlfn.SINGLE(IA_prod_gas),4,)</f>
        <v>0</v>
      </c>
      <c r="N124" s="54"/>
      <c r="O124" s="54"/>
      <c r="P124" s="54"/>
      <c r="Q124" s="54"/>
      <c r="R124" s="54"/>
      <c r="S124" s="54"/>
      <c r="T124" s="54"/>
      <c r="U124" s="54"/>
      <c r="V124" s="54"/>
      <c r="W124" s="54"/>
      <c r="X124" s="54"/>
      <c r="Y124" s="54"/>
      <c r="Z124" s="54"/>
      <c r="AA124" s="54"/>
      <c r="AB124" s="54"/>
      <c r="AC124" s="54"/>
      <c r="AD124" s="54"/>
      <c r="AE124" s="54"/>
      <c r="AF124" s="54"/>
      <c r="AG124" s="54"/>
      <c r="AH124" s="54"/>
      <c r="AI124" s="54"/>
      <c r="AJ124" s="54"/>
      <c r="AK124" s="54"/>
      <c r="AL124" s="54"/>
      <c r="AM124" s="54"/>
      <c r="AN124" s="54"/>
      <c r="AO124" s="54"/>
      <c r="AP124" s="54"/>
      <c r="AQ124" s="54"/>
      <c r="AR124" s="54"/>
      <c r="AS124" s="54"/>
      <c r="AT124" s="54"/>
      <c r="AU124" s="54"/>
      <c r="AV124" s="54"/>
      <c r="AW124" s="54"/>
      <c r="AX124" s="54"/>
      <c r="AY124" s="54"/>
      <c r="AZ124" s="54"/>
      <c r="BA124" s="54"/>
      <c r="BB124" s="54"/>
      <c r="BC124" s="54"/>
      <c r="BD124" s="54"/>
      <c r="BE124" s="54"/>
      <c r="BF124" s="54"/>
      <c r="BG124" s="54"/>
      <c r="BH124" s="54"/>
      <c r="BI124" s="54"/>
      <c r="BJ124" s="54"/>
      <c r="BK124" s="54"/>
      <c r="BL124" s="54"/>
      <c r="BM124" s="54"/>
      <c r="BN124" s="54"/>
      <c r="BO124" s="54"/>
      <c r="BP124" s="54"/>
      <c r="BQ124" s="54"/>
      <c r="BR124" s="54"/>
      <c r="BS124" s="54"/>
    </row>
    <row r="125" spans="1:93" outlineLevel="1" x14ac:dyDescent="0.2">
      <c r="A125" s="6"/>
      <c r="B125" s="6"/>
      <c r="C125" s="6"/>
      <c r="D125" s="47" t="str">
        <f>HM_ZD_Moho!D133</f>
        <v>Total</v>
      </c>
      <c r="E125" s="6"/>
      <c r="F125" s="6"/>
      <c r="G125" s="6"/>
      <c r="H125" s="6"/>
      <c r="I125" s="30">
        <f ca="1">SUM($L125:$BS125)</f>
        <v>39.629981341999994</v>
      </c>
      <c r="J125" s="26" t="s">
        <v>130</v>
      </c>
      <c r="K125" s="7" t="s">
        <v>133</v>
      </c>
      <c r="L125" s="49">
        <f t="shared" ref="L125:M125" ca="1" si="3">SUM(L122,L123,L124/conv_CMtoBbls)</f>
        <v>19.447364196999999</v>
      </c>
      <c r="M125" s="49">
        <f t="shared" ca="1" si="3"/>
        <v>20.182617144999998</v>
      </c>
      <c r="N125" s="49">
        <f t="shared" ref="N125:BS125" si="4">SUM(N122,N124/conv_BbltoMcf)</f>
        <v>0</v>
      </c>
      <c r="O125" s="49">
        <f t="shared" si="4"/>
        <v>0</v>
      </c>
      <c r="P125" s="49">
        <f t="shared" si="4"/>
        <v>0</v>
      </c>
      <c r="Q125" s="49">
        <f t="shared" si="4"/>
        <v>0</v>
      </c>
      <c r="R125" s="49">
        <f t="shared" si="4"/>
        <v>0</v>
      </c>
      <c r="S125" s="49">
        <f t="shared" si="4"/>
        <v>0</v>
      </c>
      <c r="T125" s="49">
        <f t="shared" si="4"/>
        <v>0</v>
      </c>
      <c r="U125" s="49">
        <f t="shared" si="4"/>
        <v>0</v>
      </c>
      <c r="V125" s="49">
        <f t="shared" si="4"/>
        <v>0</v>
      </c>
      <c r="W125" s="49">
        <f t="shared" si="4"/>
        <v>0</v>
      </c>
      <c r="X125" s="49">
        <f t="shared" si="4"/>
        <v>0</v>
      </c>
      <c r="Y125" s="49">
        <f t="shared" si="4"/>
        <v>0</v>
      </c>
      <c r="Z125" s="49">
        <f t="shared" si="4"/>
        <v>0</v>
      </c>
      <c r="AA125" s="49">
        <f t="shared" si="4"/>
        <v>0</v>
      </c>
      <c r="AB125" s="49">
        <f t="shared" si="4"/>
        <v>0</v>
      </c>
      <c r="AC125" s="49">
        <f t="shared" si="4"/>
        <v>0</v>
      </c>
      <c r="AD125" s="49">
        <f t="shared" si="4"/>
        <v>0</v>
      </c>
      <c r="AE125" s="49">
        <f t="shared" si="4"/>
        <v>0</v>
      </c>
      <c r="AF125" s="49">
        <f t="shared" si="4"/>
        <v>0</v>
      </c>
      <c r="AG125" s="49">
        <f t="shared" si="4"/>
        <v>0</v>
      </c>
      <c r="AH125" s="49">
        <f t="shared" si="4"/>
        <v>0</v>
      </c>
      <c r="AI125" s="49">
        <f t="shared" si="4"/>
        <v>0</v>
      </c>
      <c r="AJ125" s="49">
        <f t="shared" si="4"/>
        <v>0</v>
      </c>
      <c r="AK125" s="49">
        <f t="shared" si="4"/>
        <v>0</v>
      </c>
      <c r="AL125" s="49">
        <f t="shared" si="4"/>
        <v>0</v>
      </c>
      <c r="AM125" s="49">
        <f t="shared" si="4"/>
        <v>0</v>
      </c>
      <c r="AN125" s="49">
        <f t="shared" si="4"/>
        <v>0</v>
      </c>
      <c r="AO125" s="49">
        <f t="shared" si="4"/>
        <v>0</v>
      </c>
      <c r="AP125" s="49">
        <f t="shared" si="4"/>
        <v>0</v>
      </c>
      <c r="AQ125" s="49">
        <f t="shared" si="4"/>
        <v>0</v>
      </c>
      <c r="AR125" s="49">
        <f t="shared" si="4"/>
        <v>0</v>
      </c>
      <c r="AS125" s="49">
        <f t="shared" si="4"/>
        <v>0</v>
      </c>
      <c r="AT125" s="49">
        <f t="shared" si="4"/>
        <v>0</v>
      </c>
      <c r="AU125" s="49">
        <f t="shared" si="4"/>
        <v>0</v>
      </c>
      <c r="AV125" s="49">
        <f t="shared" si="4"/>
        <v>0</v>
      </c>
      <c r="AW125" s="49">
        <f t="shared" si="4"/>
        <v>0</v>
      </c>
      <c r="AX125" s="49">
        <f t="shared" si="4"/>
        <v>0</v>
      </c>
      <c r="AY125" s="49">
        <f t="shared" si="4"/>
        <v>0</v>
      </c>
      <c r="AZ125" s="49">
        <f t="shared" si="4"/>
        <v>0</v>
      </c>
      <c r="BA125" s="49">
        <f t="shared" si="4"/>
        <v>0</v>
      </c>
      <c r="BB125" s="49">
        <f t="shared" si="4"/>
        <v>0</v>
      </c>
      <c r="BC125" s="49">
        <f t="shared" si="4"/>
        <v>0</v>
      </c>
      <c r="BD125" s="49">
        <f t="shared" si="4"/>
        <v>0</v>
      </c>
      <c r="BE125" s="49">
        <f t="shared" si="4"/>
        <v>0</v>
      </c>
      <c r="BF125" s="49">
        <f t="shared" si="4"/>
        <v>0</v>
      </c>
      <c r="BG125" s="49">
        <f t="shared" si="4"/>
        <v>0</v>
      </c>
      <c r="BH125" s="49">
        <f t="shared" si="4"/>
        <v>0</v>
      </c>
      <c r="BI125" s="49">
        <f t="shared" si="4"/>
        <v>0</v>
      </c>
      <c r="BJ125" s="49">
        <f t="shared" si="4"/>
        <v>0</v>
      </c>
      <c r="BK125" s="49">
        <f t="shared" si="4"/>
        <v>0</v>
      </c>
      <c r="BL125" s="49">
        <f t="shared" si="4"/>
        <v>0</v>
      </c>
      <c r="BM125" s="49">
        <f t="shared" si="4"/>
        <v>0</v>
      </c>
      <c r="BN125" s="49">
        <f t="shared" si="4"/>
        <v>0</v>
      </c>
      <c r="BO125" s="49">
        <f t="shared" si="4"/>
        <v>0</v>
      </c>
      <c r="BP125" s="49">
        <f t="shared" si="4"/>
        <v>0</v>
      </c>
      <c r="BQ125" s="49">
        <f t="shared" si="4"/>
        <v>0</v>
      </c>
      <c r="BR125" s="49">
        <f t="shared" si="4"/>
        <v>0</v>
      </c>
      <c r="BS125" s="49">
        <f t="shared" si="4"/>
        <v>0</v>
      </c>
      <c r="BT125" s="6"/>
      <c r="BU125" s="6"/>
      <c r="BV125" s="6"/>
      <c r="BW125" s="6"/>
      <c r="BX125" s="6"/>
      <c r="BY125" s="6"/>
      <c r="BZ125" s="6"/>
      <c r="CA125" s="6"/>
      <c r="CB125" s="6"/>
      <c r="CC125" s="6"/>
      <c r="CD125" s="6"/>
      <c r="CE125" s="6"/>
      <c r="CF125" s="6"/>
      <c r="CG125" s="6"/>
      <c r="CH125" s="6"/>
      <c r="CI125" s="6"/>
      <c r="CJ125" s="6"/>
      <c r="CK125" s="6"/>
      <c r="CL125" s="6"/>
      <c r="CM125" s="6"/>
      <c r="CN125" s="6"/>
      <c r="CO125" s="6"/>
    </row>
    <row r="126" spans="1:93" outlineLevel="1" x14ac:dyDescent="0.2">
      <c r="J126" s="26"/>
      <c r="L126" s="55"/>
      <c r="M126" s="55"/>
      <c r="N126" s="55"/>
      <c r="O126" s="55"/>
      <c r="P126" s="55"/>
      <c r="Q126" s="55"/>
      <c r="R126" s="55"/>
      <c r="S126" s="55"/>
      <c r="T126" s="55"/>
      <c r="U126" s="55"/>
      <c r="V126" s="55"/>
      <c r="W126" s="55"/>
      <c r="X126" s="55"/>
      <c r="Y126" s="55"/>
      <c r="Z126" s="55"/>
      <c r="AA126" s="55"/>
      <c r="AB126" s="55"/>
      <c r="AC126" s="55"/>
      <c r="AD126" s="55"/>
      <c r="AE126" s="55"/>
      <c r="AF126" s="55"/>
      <c r="AG126" s="55"/>
      <c r="AH126" s="55"/>
      <c r="AI126" s="55"/>
      <c r="AJ126" s="55"/>
      <c r="AK126" s="55"/>
      <c r="AL126" s="55"/>
      <c r="AM126" s="55"/>
      <c r="AN126" s="55"/>
      <c r="AO126" s="55"/>
      <c r="AP126" s="55"/>
      <c r="AQ126" s="55"/>
      <c r="AR126" s="55"/>
      <c r="AS126" s="55"/>
      <c r="AT126" s="55"/>
      <c r="AU126" s="55"/>
      <c r="AV126" s="55"/>
      <c r="AW126" s="55"/>
      <c r="AX126" s="55"/>
      <c r="AY126" s="55"/>
      <c r="AZ126" s="55"/>
      <c r="BA126" s="55"/>
      <c r="BB126" s="55"/>
      <c r="BC126" s="55"/>
      <c r="BD126" s="55"/>
      <c r="BE126" s="55"/>
      <c r="BF126" s="55"/>
      <c r="BG126" s="55"/>
      <c r="BH126" s="55"/>
      <c r="BI126" s="55"/>
      <c r="BJ126" s="55"/>
      <c r="BK126" s="55"/>
      <c r="BL126" s="55"/>
      <c r="BM126" s="55"/>
      <c r="BN126" s="55"/>
      <c r="BO126" s="55"/>
      <c r="BP126" s="55"/>
      <c r="BQ126" s="55"/>
      <c r="BR126" s="55"/>
      <c r="BS126" s="55"/>
    </row>
    <row r="127" spans="1:93" outlineLevel="1" x14ac:dyDescent="0.2">
      <c r="C127" s="11" t="str">
        <f>HM_ZD_Moho!C135</f>
        <v>Volumes de production brute cumulés</v>
      </c>
      <c r="J127" s="26"/>
      <c r="L127" s="55"/>
      <c r="M127" s="55"/>
      <c r="N127" s="55"/>
      <c r="O127" s="55"/>
      <c r="P127" s="55"/>
      <c r="Q127" s="55"/>
      <c r="R127" s="55"/>
      <c r="S127" s="55"/>
      <c r="T127" s="55"/>
      <c r="U127" s="55"/>
      <c r="V127" s="55"/>
      <c r="W127" s="55"/>
      <c r="X127" s="55"/>
      <c r="Y127" s="55"/>
      <c r="Z127" s="55"/>
      <c r="AA127" s="55"/>
      <c r="AB127" s="55"/>
      <c r="AC127" s="55"/>
      <c r="AD127" s="55"/>
      <c r="AE127" s="55"/>
      <c r="AF127" s="55"/>
      <c r="AG127" s="55"/>
      <c r="AH127" s="55"/>
      <c r="AI127" s="55"/>
      <c r="AJ127" s="55"/>
      <c r="AK127" s="55"/>
      <c r="AL127" s="55"/>
      <c r="AM127" s="55"/>
      <c r="AN127" s="55"/>
      <c r="AO127" s="55"/>
      <c r="AP127" s="55"/>
      <c r="AQ127" s="55"/>
      <c r="AR127" s="55"/>
      <c r="AS127" s="55"/>
      <c r="AT127" s="55"/>
      <c r="AU127" s="55"/>
      <c r="AV127" s="55"/>
      <c r="AW127" s="55"/>
      <c r="AX127" s="55"/>
      <c r="AY127" s="55"/>
      <c r="AZ127" s="55"/>
      <c r="BA127" s="55"/>
      <c r="BB127" s="55"/>
      <c r="BC127" s="55"/>
      <c r="BD127" s="55"/>
      <c r="BE127" s="55"/>
      <c r="BF127" s="55"/>
      <c r="BG127" s="55"/>
      <c r="BH127" s="55"/>
      <c r="BI127" s="55"/>
      <c r="BJ127" s="55"/>
      <c r="BK127" s="55"/>
      <c r="BL127" s="55"/>
      <c r="BM127" s="55"/>
      <c r="BN127" s="55"/>
      <c r="BO127" s="55"/>
      <c r="BP127" s="55"/>
      <c r="BQ127" s="55"/>
      <c r="BR127" s="55"/>
      <c r="BS127" s="55"/>
    </row>
    <row r="128" spans="1:93" outlineLevel="1" x14ac:dyDescent="0.2">
      <c r="D128" t="str">
        <f>HM_ZD_Moho!D136</f>
        <v>Pétrole</v>
      </c>
      <c r="J128" s="26" t="s">
        <v>42</v>
      </c>
      <c r="K128" s="7" t="s">
        <v>135</v>
      </c>
      <c r="L128" s="49">
        <f ca="1">SUM(K128)+HM_ZD_AM3_2005!CA_gross_prod_oil+prior_cum_prod*(IA_Periods=1)</f>
        <v>219.44736419700001</v>
      </c>
      <c r="M128" s="49">
        <f ca="1">SUM(L128)+HM_ZD_AM3_2005!CA_gross_prod_oil</f>
        <v>239.62998134200001</v>
      </c>
      <c r="N128" s="49">
        <f ca="1">SUM(M128)+HM_ZD_AM3_2005!CA_gross_prod_oil</f>
        <v>239.62998134200001</v>
      </c>
      <c r="O128" s="49">
        <f ca="1">SUM(N128)+HM_ZD_AM3_2005!CA_gross_prod_oil</f>
        <v>239.62998134200001</v>
      </c>
      <c r="P128" s="49">
        <f ca="1">SUM(O128)+HM_ZD_AM3_2005!CA_gross_prod_oil</f>
        <v>239.62998134200001</v>
      </c>
      <c r="Q128" s="49">
        <f ca="1">SUM(P128)+HM_ZD_AM3_2005!CA_gross_prod_oil</f>
        <v>239.62998134200001</v>
      </c>
      <c r="R128" s="49">
        <f ca="1">SUM(Q128)+HM_ZD_AM3_2005!CA_gross_prod_oil</f>
        <v>239.62998134200001</v>
      </c>
      <c r="S128" s="49">
        <f ca="1">SUM(R128)+HM_ZD_AM3_2005!CA_gross_prod_oil</f>
        <v>239.62998134200001</v>
      </c>
      <c r="T128" s="49">
        <f ca="1">SUM(S128)+HM_ZD_AM3_2005!CA_gross_prod_oil</f>
        <v>239.62998134200001</v>
      </c>
      <c r="U128" s="49">
        <f ca="1">SUM(T128)+HM_ZD_AM3_2005!CA_gross_prod_oil</f>
        <v>239.62998134200001</v>
      </c>
      <c r="V128" s="49">
        <f ca="1">SUM(U128)+HM_ZD_AM3_2005!CA_gross_prod_oil</f>
        <v>239.62998134200001</v>
      </c>
      <c r="W128" s="49">
        <f ca="1">SUM(V128)+HM_ZD_AM3_2005!CA_gross_prod_oil</f>
        <v>239.62998134200001</v>
      </c>
      <c r="X128" s="49">
        <f ca="1">SUM(W128)+HM_ZD_AM3_2005!CA_gross_prod_oil</f>
        <v>239.62998134200001</v>
      </c>
      <c r="Y128" s="49">
        <f ca="1">SUM(X128)+HM_ZD_AM3_2005!CA_gross_prod_oil</f>
        <v>239.62998134200001</v>
      </c>
      <c r="Z128" s="49">
        <f ca="1">SUM(Y128)+HM_ZD_AM3_2005!CA_gross_prod_oil</f>
        <v>239.62998134200001</v>
      </c>
      <c r="AA128" s="49">
        <f ca="1">SUM(Z128)+HM_ZD_AM3_2005!CA_gross_prod_oil</f>
        <v>239.62998134200001</v>
      </c>
      <c r="AB128" s="49">
        <f ca="1">SUM(AA128)+HM_ZD_AM3_2005!CA_gross_prod_oil</f>
        <v>239.62998134200001</v>
      </c>
      <c r="AC128" s="49">
        <f ca="1">SUM(AB128)+HM_ZD_AM3_2005!CA_gross_prod_oil</f>
        <v>239.62998134200001</v>
      </c>
      <c r="AD128" s="49">
        <f ca="1">SUM(AC128)+HM_ZD_AM3_2005!CA_gross_prod_oil</f>
        <v>239.62998134200001</v>
      </c>
      <c r="AE128" s="49">
        <f ca="1">SUM(AD128)+HM_ZD_AM3_2005!CA_gross_prod_oil</f>
        <v>239.62998134200001</v>
      </c>
      <c r="AF128" s="49">
        <f ca="1">SUM(AE128)+HM_ZD_AM3_2005!CA_gross_prod_oil</f>
        <v>239.62998134200001</v>
      </c>
      <c r="AG128" s="49">
        <f ca="1">SUM(AF128)+HM_ZD_AM3_2005!CA_gross_prod_oil</f>
        <v>239.62998134200001</v>
      </c>
      <c r="AH128" s="49">
        <f ca="1">SUM(AG128)+HM_ZD_AM3_2005!CA_gross_prod_oil</f>
        <v>239.62998134200001</v>
      </c>
      <c r="AI128" s="49">
        <f ca="1">SUM(AH128)+HM_ZD_AM3_2005!CA_gross_prod_oil</f>
        <v>239.62998134200001</v>
      </c>
      <c r="AJ128" s="49">
        <f ca="1">SUM(AI128)+HM_ZD_AM3_2005!CA_gross_prod_oil</f>
        <v>239.62998134200001</v>
      </c>
      <c r="AK128" s="49">
        <f ca="1">SUM(AJ128)+HM_ZD_AM3_2005!CA_gross_prod_oil</f>
        <v>239.62998134200001</v>
      </c>
      <c r="AL128" s="49">
        <f ca="1">SUM(AK128)+HM_ZD_AM3_2005!CA_gross_prod_oil</f>
        <v>239.62998134200001</v>
      </c>
      <c r="AM128" s="49">
        <f ca="1">SUM(AL128)+HM_ZD_AM3_2005!CA_gross_prod_oil</f>
        <v>239.62998134200001</v>
      </c>
      <c r="AN128" s="49">
        <f ca="1">SUM(AM128)+HM_ZD_AM3_2005!CA_gross_prod_oil</f>
        <v>239.62998134200001</v>
      </c>
      <c r="AO128" s="49">
        <f ca="1">SUM(AN128)+HM_ZD_AM3_2005!CA_gross_prod_oil</f>
        <v>239.62998134200001</v>
      </c>
      <c r="AP128" s="49">
        <f ca="1">SUM(AO128)+HM_ZD_AM3_2005!CA_gross_prod_oil</f>
        <v>239.62998134200001</v>
      </c>
      <c r="AQ128" s="49">
        <f ca="1">SUM(AP128)+HM_ZD_AM3_2005!CA_gross_prod_oil</f>
        <v>239.62998134200001</v>
      </c>
      <c r="AR128" s="49">
        <f ca="1">SUM(AQ128)+HM_ZD_AM3_2005!CA_gross_prod_oil</f>
        <v>239.62998134200001</v>
      </c>
      <c r="AS128" s="49">
        <f ca="1">SUM(AR128)+HM_ZD_AM3_2005!CA_gross_prod_oil</f>
        <v>239.62998134200001</v>
      </c>
      <c r="AT128" s="49">
        <f ca="1">SUM(AS128)+HM_ZD_AM3_2005!CA_gross_prod_oil</f>
        <v>239.62998134200001</v>
      </c>
      <c r="AU128" s="49">
        <f ca="1">SUM(AT128)+HM_ZD_AM3_2005!CA_gross_prod_oil</f>
        <v>239.62998134200001</v>
      </c>
      <c r="AV128" s="49">
        <f ca="1">SUM(AU128)+HM_ZD_AM3_2005!CA_gross_prod_oil</f>
        <v>239.62998134200001</v>
      </c>
      <c r="AW128" s="49">
        <f ca="1">SUM(AV128)+HM_ZD_AM3_2005!CA_gross_prod_oil</f>
        <v>239.62998134200001</v>
      </c>
      <c r="AX128" s="49">
        <f ca="1">SUM(AW128)+HM_ZD_AM3_2005!CA_gross_prod_oil</f>
        <v>239.62998134200001</v>
      </c>
      <c r="AY128" s="49">
        <f ca="1">SUM(AX128)+HM_ZD_AM3_2005!CA_gross_prod_oil</f>
        <v>239.62998134200001</v>
      </c>
      <c r="AZ128" s="49">
        <f ca="1">SUM(AY128)+HM_ZD_AM3_2005!CA_gross_prod_oil</f>
        <v>239.62998134200001</v>
      </c>
      <c r="BA128" s="49">
        <f ca="1">SUM(AZ128)+HM_ZD_AM3_2005!CA_gross_prod_oil</f>
        <v>239.62998134200001</v>
      </c>
      <c r="BB128" s="49">
        <f ca="1">SUM(BA128)+HM_ZD_AM3_2005!CA_gross_prod_oil</f>
        <v>239.62998134200001</v>
      </c>
      <c r="BC128" s="49">
        <f ca="1">SUM(BB128)+HM_ZD_AM3_2005!CA_gross_prod_oil</f>
        <v>239.62998134200001</v>
      </c>
      <c r="BD128" s="49">
        <f ca="1">SUM(BC128)+HM_ZD_AM3_2005!CA_gross_prod_oil</f>
        <v>239.62998134200001</v>
      </c>
      <c r="BE128" s="49">
        <f ca="1">SUM(BD128)+HM_ZD_AM3_2005!CA_gross_prod_oil</f>
        <v>239.62998134200001</v>
      </c>
      <c r="BF128" s="49">
        <f ca="1">SUM(BE128)+HM_ZD_AM3_2005!CA_gross_prod_oil</f>
        <v>239.62998134200001</v>
      </c>
      <c r="BG128" s="49">
        <f ca="1">SUM(BF128)+HM_ZD_AM3_2005!CA_gross_prod_oil</f>
        <v>239.62998134200001</v>
      </c>
      <c r="BH128" s="49">
        <f ca="1">SUM(BG128)+HM_ZD_AM3_2005!CA_gross_prod_oil</f>
        <v>239.62998134200001</v>
      </c>
      <c r="BI128" s="49">
        <f ca="1">SUM(BH128)+HM_ZD_AM3_2005!CA_gross_prod_oil</f>
        <v>239.62998134200001</v>
      </c>
      <c r="BJ128" s="49">
        <f ca="1">SUM(BI128)+HM_ZD_AM3_2005!CA_gross_prod_oil</f>
        <v>239.62998134200001</v>
      </c>
      <c r="BK128" s="49">
        <f ca="1">SUM(BJ128)+HM_ZD_AM3_2005!CA_gross_prod_oil</f>
        <v>239.62998134200001</v>
      </c>
      <c r="BL128" s="49">
        <f ca="1">SUM(BK128)+HM_ZD_AM3_2005!CA_gross_prod_oil</f>
        <v>239.62998134200001</v>
      </c>
      <c r="BM128" s="49">
        <f ca="1">SUM(BL128)+HM_ZD_AM3_2005!CA_gross_prod_oil</f>
        <v>239.62998134200001</v>
      </c>
      <c r="BN128" s="49">
        <f ca="1">SUM(BM128)+HM_ZD_AM3_2005!CA_gross_prod_oil</f>
        <v>239.62998134200001</v>
      </c>
      <c r="BO128" s="49">
        <f ca="1">SUM(BN128)+HM_ZD_AM3_2005!CA_gross_prod_oil</f>
        <v>239.62998134200001</v>
      </c>
      <c r="BP128" s="49">
        <f ca="1">SUM(BO128)+HM_ZD_AM3_2005!CA_gross_prod_oil</f>
        <v>239.62998134200001</v>
      </c>
      <c r="BQ128" s="49">
        <f ca="1">SUM(BP128)+HM_ZD_AM3_2005!CA_gross_prod_oil</f>
        <v>239.62998134200001</v>
      </c>
      <c r="BR128" s="49">
        <f ca="1">SUM(BQ128)+HM_ZD_AM3_2005!CA_gross_prod_oil</f>
        <v>239.62998134200001</v>
      </c>
      <c r="BS128" s="49">
        <f ca="1">SUM(BR128)+HM_ZD_AM3_2005!CA_gross_prod_oil</f>
        <v>239.62998134200001</v>
      </c>
    </row>
    <row r="129" spans="1:93" outlineLevel="1" x14ac:dyDescent="0.2">
      <c r="D129" t="str">
        <f>HM_ZD_Moho!D137</f>
        <v>GPL</v>
      </c>
      <c r="J129" s="26" t="s">
        <v>42</v>
      </c>
      <c r="K129" s="7" t="s">
        <v>686</v>
      </c>
      <c r="L129" s="49">
        <f ca="1">SUM(K129)+HM_ZD_AM3_2005!CA_gross_prod_lpg</f>
        <v>0</v>
      </c>
      <c r="M129" s="49">
        <f ca="1">SUM(L129)+HM_ZD_AM3_2005!CA_gross_prod_lpg</f>
        <v>0</v>
      </c>
      <c r="N129" s="49">
        <f ca="1">SUM(M129)+HM_ZD_AM3_2005!CA_gross_prod_lpg</f>
        <v>0</v>
      </c>
      <c r="O129" s="49">
        <f ca="1">SUM(N129)+HM_ZD_AM3_2005!CA_gross_prod_lpg</f>
        <v>0</v>
      </c>
      <c r="P129" s="49">
        <f ca="1">SUM(O129)+HM_ZD_AM3_2005!CA_gross_prod_lpg</f>
        <v>0</v>
      </c>
      <c r="Q129" s="49">
        <f ca="1">SUM(P129)+HM_ZD_AM3_2005!CA_gross_prod_lpg</f>
        <v>0</v>
      </c>
      <c r="R129" s="49">
        <f ca="1">SUM(Q129)+HM_ZD_AM3_2005!CA_gross_prod_lpg</f>
        <v>0</v>
      </c>
      <c r="S129" s="49">
        <f ca="1">SUM(R129)+HM_ZD_AM3_2005!CA_gross_prod_lpg</f>
        <v>0</v>
      </c>
      <c r="T129" s="49">
        <f ca="1">SUM(S129)+HM_ZD_AM3_2005!CA_gross_prod_lpg</f>
        <v>0</v>
      </c>
      <c r="U129" s="49">
        <f ca="1">SUM(T129)+HM_ZD_AM3_2005!CA_gross_prod_lpg</f>
        <v>0</v>
      </c>
      <c r="V129" s="49">
        <f ca="1">SUM(U129)+HM_ZD_AM3_2005!CA_gross_prod_lpg</f>
        <v>0</v>
      </c>
      <c r="W129" s="49">
        <f ca="1">SUM(V129)+HM_ZD_AM3_2005!CA_gross_prod_lpg</f>
        <v>0</v>
      </c>
      <c r="X129" s="49">
        <f ca="1">SUM(W129)+HM_ZD_AM3_2005!CA_gross_prod_lpg</f>
        <v>0</v>
      </c>
      <c r="Y129" s="49">
        <f ca="1">SUM(X129)+HM_ZD_AM3_2005!CA_gross_prod_lpg</f>
        <v>0</v>
      </c>
      <c r="Z129" s="49">
        <f ca="1">SUM(Y129)+HM_ZD_AM3_2005!CA_gross_prod_lpg</f>
        <v>0</v>
      </c>
      <c r="AA129" s="49">
        <f ca="1">SUM(Z129)+HM_ZD_AM3_2005!CA_gross_prod_lpg</f>
        <v>0</v>
      </c>
      <c r="AB129" s="49">
        <f ca="1">SUM(AA129)+HM_ZD_AM3_2005!CA_gross_prod_lpg</f>
        <v>0</v>
      </c>
      <c r="AC129" s="49">
        <f ca="1">SUM(AB129)+HM_ZD_AM3_2005!CA_gross_prod_lpg</f>
        <v>0</v>
      </c>
      <c r="AD129" s="49">
        <f ca="1">SUM(AC129)+HM_ZD_AM3_2005!CA_gross_prod_lpg</f>
        <v>0</v>
      </c>
      <c r="AE129" s="49">
        <f ca="1">SUM(AD129)+HM_ZD_AM3_2005!CA_gross_prod_lpg</f>
        <v>0</v>
      </c>
      <c r="AF129" s="49">
        <f ca="1">SUM(AE129)+HM_ZD_AM3_2005!CA_gross_prod_lpg</f>
        <v>0</v>
      </c>
      <c r="AG129" s="49">
        <f ca="1">SUM(AF129)+HM_ZD_AM3_2005!CA_gross_prod_lpg</f>
        <v>0</v>
      </c>
      <c r="AH129" s="49">
        <f ca="1">SUM(AG129)+HM_ZD_AM3_2005!CA_gross_prod_lpg</f>
        <v>0</v>
      </c>
      <c r="AI129" s="49">
        <f ca="1">SUM(AH129)+HM_ZD_AM3_2005!CA_gross_prod_lpg</f>
        <v>0</v>
      </c>
      <c r="AJ129" s="49">
        <f ca="1">SUM(AI129)+HM_ZD_AM3_2005!CA_gross_prod_lpg</f>
        <v>0</v>
      </c>
      <c r="AK129" s="49">
        <f ca="1">SUM(AJ129)+HM_ZD_AM3_2005!CA_gross_prod_lpg</f>
        <v>0</v>
      </c>
      <c r="AL129" s="49">
        <f ca="1">SUM(AK129)+HM_ZD_AM3_2005!CA_gross_prod_lpg</f>
        <v>0</v>
      </c>
      <c r="AM129" s="49">
        <f ca="1">SUM(AL129)+HM_ZD_AM3_2005!CA_gross_prod_lpg</f>
        <v>0</v>
      </c>
      <c r="AN129" s="49">
        <f ca="1">SUM(AM129)+HM_ZD_AM3_2005!CA_gross_prod_lpg</f>
        <v>0</v>
      </c>
      <c r="AO129" s="49">
        <f ca="1">SUM(AN129)+HM_ZD_AM3_2005!CA_gross_prod_lpg</f>
        <v>0</v>
      </c>
      <c r="AP129" s="49">
        <f ca="1">SUM(AO129)+HM_ZD_AM3_2005!CA_gross_prod_lpg</f>
        <v>0</v>
      </c>
      <c r="AQ129" s="49">
        <f ca="1">SUM(AP129)+HM_ZD_AM3_2005!CA_gross_prod_lpg</f>
        <v>0</v>
      </c>
      <c r="AR129" s="49">
        <f ca="1">SUM(AQ129)+HM_ZD_AM3_2005!CA_gross_prod_lpg</f>
        <v>0</v>
      </c>
      <c r="AS129" s="49">
        <f ca="1">SUM(AR129)+HM_ZD_AM3_2005!CA_gross_prod_lpg</f>
        <v>0</v>
      </c>
      <c r="AT129" s="49">
        <f ca="1">SUM(AS129)+HM_ZD_AM3_2005!CA_gross_prod_lpg</f>
        <v>0</v>
      </c>
      <c r="AU129" s="49">
        <f ca="1">SUM(AT129)+HM_ZD_AM3_2005!CA_gross_prod_lpg</f>
        <v>0</v>
      </c>
      <c r="AV129" s="49">
        <f ca="1">SUM(AU129)+HM_ZD_AM3_2005!CA_gross_prod_lpg</f>
        <v>0</v>
      </c>
      <c r="AW129" s="49">
        <f ca="1">SUM(AV129)+HM_ZD_AM3_2005!CA_gross_prod_lpg</f>
        <v>0</v>
      </c>
      <c r="AX129" s="49">
        <f ca="1">SUM(AW129)+HM_ZD_AM3_2005!CA_gross_prod_lpg</f>
        <v>0</v>
      </c>
      <c r="AY129" s="49">
        <f ca="1">SUM(AX129)+HM_ZD_AM3_2005!CA_gross_prod_lpg</f>
        <v>0</v>
      </c>
      <c r="AZ129" s="49">
        <f ca="1">SUM(AY129)+HM_ZD_AM3_2005!CA_gross_prod_lpg</f>
        <v>0</v>
      </c>
      <c r="BA129" s="49">
        <f ca="1">SUM(AZ129)+HM_ZD_AM3_2005!CA_gross_prod_lpg</f>
        <v>0</v>
      </c>
      <c r="BB129" s="49">
        <f ca="1">SUM(BA129)+HM_ZD_AM3_2005!CA_gross_prod_lpg</f>
        <v>0</v>
      </c>
      <c r="BC129" s="49">
        <f ca="1">SUM(BB129)+HM_ZD_AM3_2005!CA_gross_prod_lpg</f>
        <v>0</v>
      </c>
      <c r="BD129" s="49">
        <f ca="1">SUM(BC129)+HM_ZD_AM3_2005!CA_gross_prod_lpg</f>
        <v>0</v>
      </c>
      <c r="BE129" s="49">
        <f ca="1">SUM(BD129)+HM_ZD_AM3_2005!CA_gross_prod_lpg</f>
        <v>0</v>
      </c>
      <c r="BF129" s="49">
        <f ca="1">SUM(BE129)+HM_ZD_AM3_2005!CA_gross_prod_lpg</f>
        <v>0</v>
      </c>
      <c r="BG129" s="49">
        <f ca="1">SUM(BF129)+HM_ZD_AM3_2005!CA_gross_prod_lpg</f>
        <v>0</v>
      </c>
      <c r="BH129" s="49">
        <f ca="1">SUM(BG129)+HM_ZD_AM3_2005!CA_gross_prod_lpg</f>
        <v>0</v>
      </c>
      <c r="BI129" s="49">
        <f ca="1">SUM(BH129)+HM_ZD_AM3_2005!CA_gross_prod_lpg</f>
        <v>0</v>
      </c>
      <c r="BJ129" s="49">
        <f ca="1">SUM(BI129)+HM_ZD_AM3_2005!CA_gross_prod_lpg</f>
        <v>0</v>
      </c>
      <c r="BK129" s="49">
        <f ca="1">SUM(BJ129)+HM_ZD_AM3_2005!CA_gross_prod_lpg</f>
        <v>0</v>
      </c>
      <c r="BL129" s="49">
        <f ca="1">SUM(BK129)+HM_ZD_AM3_2005!CA_gross_prod_lpg</f>
        <v>0</v>
      </c>
      <c r="BM129" s="49">
        <f ca="1">SUM(BL129)+HM_ZD_AM3_2005!CA_gross_prod_lpg</f>
        <v>0</v>
      </c>
      <c r="BN129" s="49">
        <f ca="1">SUM(BM129)+HM_ZD_AM3_2005!CA_gross_prod_lpg</f>
        <v>0</v>
      </c>
      <c r="BO129" s="49">
        <f ca="1">SUM(BN129)+HM_ZD_AM3_2005!CA_gross_prod_lpg</f>
        <v>0</v>
      </c>
      <c r="BP129" s="49">
        <f ca="1">SUM(BO129)+HM_ZD_AM3_2005!CA_gross_prod_lpg</f>
        <v>0</v>
      </c>
      <c r="BQ129" s="49">
        <f ca="1">SUM(BP129)+HM_ZD_AM3_2005!CA_gross_prod_lpg</f>
        <v>0</v>
      </c>
      <c r="BR129" s="49">
        <f ca="1">SUM(BQ129)+HM_ZD_AM3_2005!CA_gross_prod_lpg</f>
        <v>0</v>
      </c>
      <c r="BS129" s="49">
        <f ca="1">SUM(BR129)+HM_ZD_AM3_2005!CA_gross_prod_lpg</f>
        <v>0</v>
      </c>
    </row>
    <row r="130" spans="1:93" outlineLevel="1" x14ac:dyDescent="0.2">
      <c r="D130" t="str">
        <f>HM_ZD_Moho!D138</f>
        <v>Gaz</v>
      </c>
      <c r="J130" s="26" t="s">
        <v>45</v>
      </c>
      <c r="K130" s="7" t="s">
        <v>136</v>
      </c>
      <c r="L130" s="49">
        <f ca="1">SUM(K130)+HM_ZD_AM3_2005!CA_gross_prod_gas</f>
        <v>0</v>
      </c>
      <c r="M130" s="49">
        <f ca="1">SUM(L130)+HM_ZD_AM3_2005!CA_gross_prod_gas</f>
        <v>0</v>
      </c>
      <c r="N130" s="49">
        <f ca="1">SUM(M130)+HM_ZD_AM3_2005!CA_gross_prod_gas</f>
        <v>0</v>
      </c>
      <c r="O130" s="49">
        <f ca="1">SUM(N130)+HM_ZD_AM3_2005!CA_gross_prod_gas</f>
        <v>0</v>
      </c>
      <c r="P130" s="49">
        <f ca="1">SUM(O130)+HM_ZD_AM3_2005!CA_gross_prod_gas</f>
        <v>0</v>
      </c>
      <c r="Q130" s="49">
        <f ca="1">SUM(P130)+HM_ZD_AM3_2005!CA_gross_prod_gas</f>
        <v>0</v>
      </c>
      <c r="R130" s="49">
        <f ca="1">SUM(Q130)+HM_ZD_AM3_2005!CA_gross_prod_gas</f>
        <v>0</v>
      </c>
      <c r="S130" s="49">
        <f ca="1">SUM(R130)+HM_ZD_AM3_2005!CA_gross_prod_gas</f>
        <v>0</v>
      </c>
      <c r="T130" s="49">
        <f ca="1">SUM(S130)+HM_ZD_AM3_2005!CA_gross_prod_gas</f>
        <v>0</v>
      </c>
      <c r="U130" s="49">
        <f ca="1">SUM(T130)+HM_ZD_AM3_2005!CA_gross_prod_gas</f>
        <v>0</v>
      </c>
      <c r="V130" s="49">
        <f ca="1">SUM(U130)+HM_ZD_AM3_2005!CA_gross_prod_gas</f>
        <v>0</v>
      </c>
      <c r="W130" s="49">
        <f ca="1">SUM(V130)+HM_ZD_AM3_2005!CA_gross_prod_gas</f>
        <v>0</v>
      </c>
      <c r="X130" s="49">
        <f ca="1">SUM(W130)+HM_ZD_AM3_2005!CA_gross_prod_gas</f>
        <v>0</v>
      </c>
      <c r="Y130" s="49">
        <f ca="1">SUM(X130)+HM_ZD_AM3_2005!CA_gross_prod_gas</f>
        <v>0</v>
      </c>
      <c r="Z130" s="49">
        <f ca="1">SUM(Y130)+HM_ZD_AM3_2005!CA_gross_prod_gas</f>
        <v>0</v>
      </c>
      <c r="AA130" s="49">
        <f ca="1">SUM(Z130)+HM_ZD_AM3_2005!CA_gross_prod_gas</f>
        <v>0</v>
      </c>
      <c r="AB130" s="49">
        <f ca="1">SUM(AA130)+HM_ZD_AM3_2005!CA_gross_prod_gas</f>
        <v>0</v>
      </c>
      <c r="AC130" s="49">
        <f ca="1">SUM(AB130)+HM_ZD_AM3_2005!CA_gross_prod_gas</f>
        <v>0</v>
      </c>
      <c r="AD130" s="49">
        <f ca="1">SUM(AC130)+HM_ZD_AM3_2005!CA_gross_prod_gas</f>
        <v>0</v>
      </c>
      <c r="AE130" s="49">
        <f ca="1">SUM(AD130)+HM_ZD_AM3_2005!CA_gross_prod_gas</f>
        <v>0</v>
      </c>
      <c r="AF130" s="49">
        <f ca="1">SUM(AE130)+HM_ZD_AM3_2005!CA_gross_prod_gas</f>
        <v>0</v>
      </c>
      <c r="AG130" s="49">
        <f ca="1">SUM(AF130)+HM_ZD_AM3_2005!CA_gross_prod_gas</f>
        <v>0</v>
      </c>
      <c r="AH130" s="49">
        <f ca="1">SUM(AG130)+HM_ZD_AM3_2005!CA_gross_prod_gas</f>
        <v>0</v>
      </c>
      <c r="AI130" s="49">
        <f ca="1">SUM(AH130)+HM_ZD_AM3_2005!CA_gross_prod_gas</f>
        <v>0</v>
      </c>
      <c r="AJ130" s="49">
        <f ca="1">SUM(AI130)+HM_ZD_AM3_2005!CA_gross_prod_gas</f>
        <v>0</v>
      </c>
      <c r="AK130" s="49">
        <f ca="1">SUM(AJ130)+HM_ZD_AM3_2005!CA_gross_prod_gas</f>
        <v>0</v>
      </c>
      <c r="AL130" s="49">
        <f ca="1">SUM(AK130)+HM_ZD_AM3_2005!CA_gross_prod_gas</f>
        <v>0</v>
      </c>
      <c r="AM130" s="49">
        <f ca="1">SUM(AL130)+HM_ZD_AM3_2005!CA_gross_prod_gas</f>
        <v>0</v>
      </c>
      <c r="AN130" s="49">
        <f ca="1">SUM(AM130)+HM_ZD_AM3_2005!CA_gross_prod_gas</f>
        <v>0</v>
      </c>
      <c r="AO130" s="49">
        <f ca="1">SUM(AN130)+HM_ZD_AM3_2005!CA_gross_prod_gas</f>
        <v>0</v>
      </c>
      <c r="AP130" s="49">
        <f ca="1">SUM(AO130)+HM_ZD_AM3_2005!CA_gross_prod_gas</f>
        <v>0</v>
      </c>
      <c r="AQ130" s="49">
        <f ca="1">SUM(AP130)+HM_ZD_AM3_2005!CA_gross_prod_gas</f>
        <v>0</v>
      </c>
      <c r="AR130" s="49">
        <f ca="1">SUM(AQ130)+HM_ZD_AM3_2005!CA_gross_prod_gas</f>
        <v>0</v>
      </c>
      <c r="AS130" s="49">
        <f ca="1">SUM(AR130)+HM_ZD_AM3_2005!CA_gross_prod_gas</f>
        <v>0</v>
      </c>
      <c r="AT130" s="49">
        <f ca="1">SUM(AS130)+HM_ZD_AM3_2005!CA_gross_prod_gas</f>
        <v>0</v>
      </c>
      <c r="AU130" s="49">
        <f ca="1">SUM(AT130)+HM_ZD_AM3_2005!CA_gross_prod_gas</f>
        <v>0</v>
      </c>
      <c r="AV130" s="49">
        <f ca="1">SUM(AU130)+HM_ZD_AM3_2005!CA_gross_prod_gas</f>
        <v>0</v>
      </c>
      <c r="AW130" s="49">
        <f ca="1">SUM(AV130)+HM_ZD_AM3_2005!CA_gross_prod_gas</f>
        <v>0</v>
      </c>
      <c r="AX130" s="49">
        <f ca="1">SUM(AW130)+HM_ZD_AM3_2005!CA_gross_prod_gas</f>
        <v>0</v>
      </c>
      <c r="AY130" s="49">
        <f ca="1">SUM(AX130)+HM_ZD_AM3_2005!CA_gross_prod_gas</f>
        <v>0</v>
      </c>
      <c r="AZ130" s="49">
        <f ca="1">SUM(AY130)+HM_ZD_AM3_2005!CA_gross_prod_gas</f>
        <v>0</v>
      </c>
      <c r="BA130" s="49">
        <f ca="1">SUM(AZ130)+HM_ZD_AM3_2005!CA_gross_prod_gas</f>
        <v>0</v>
      </c>
      <c r="BB130" s="49">
        <f ca="1">SUM(BA130)+HM_ZD_AM3_2005!CA_gross_prod_gas</f>
        <v>0</v>
      </c>
      <c r="BC130" s="49">
        <f ca="1">SUM(BB130)+HM_ZD_AM3_2005!CA_gross_prod_gas</f>
        <v>0</v>
      </c>
      <c r="BD130" s="49">
        <f ca="1">SUM(BC130)+HM_ZD_AM3_2005!CA_gross_prod_gas</f>
        <v>0</v>
      </c>
      <c r="BE130" s="49">
        <f ca="1">SUM(BD130)+HM_ZD_AM3_2005!CA_gross_prod_gas</f>
        <v>0</v>
      </c>
      <c r="BF130" s="49">
        <f ca="1">SUM(BE130)+HM_ZD_AM3_2005!CA_gross_prod_gas</f>
        <v>0</v>
      </c>
      <c r="BG130" s="49">
        <f ca="1">SUM(BF130)+HM_ZD_AM3_2005!CA_gross_prod_gas</f>
        <v>0</v>
      </c>
      <c r="BH130" s="49">
        <f ca="1">SUM(BG130)+HM_ZD_AM3_2005!CA_gross_prod_gas</f>
        <v>0</v>
      </c>
      <c r="BI130" s="49">
        <f ca="1">SUM(BH130)+HM_ZD_AM3_2005!CA_gross_prod_gas</f>
        <v>0</v>
      </c>
      <c r="BJ130" s="49">
        <f ca="1">SUM(BI130)+HM_ZD_AM3_2005!CA_gross_prod_gas</f>
        <v>0</v>
      </c>
      <c r="BK130" s="49">
        <f ca="1">SUM(BJ130)+HM_ZD_AM3_2005!CA_gross_prod_gas</f>
        <v>0</v>
      </c>
      <c r="BL130" s="49">
        <f ca="1">SUM(BK130)+HM_ZD_AM3_2005!CA_gross_prod_gas</f>
        <v>0</v>
      </c>
      <c r="BM130" s="49">
        <f ca="1">SUM(BL130)+HM_ZD_AM3_2005!CA_gross_prod_gas</f>
        <v>0</v>
      </c>
      <c r="BN130" s="49">
        <f ca="1">SUM(BM130)+HM_ZD_AM3_2005!CA_gross_prod_gas</f>
        <v>0</v>
      </c>
      <c r="BO130" s="49">
        <f ca="1">SUM(BN130)+HM_ZD_AM3_2005!CA_gross_prod_gas</f>
        <v>0</v>
      </c>
      <c r="BP130" s="49">
        <f ca="1">SUM(BO130)+HM_ZD_AM3_2005!CA_gross_prod_gas</f>
        <v>0</v>
      </c>
      <c r="BQ130" s="49">
        <f ca="1">SUM(BP130)+HM_ZD_AM3_2005!CA_gross_prod_gas</f>
        <v>0</v>
      </c>
      <c r="BR130" s="49">
        <f ca="1">SUM(BQ130)+HM_ZD_AM3_2005!CA_gross_prod_gas</f>
        <v>0</v>
      </c>
      <c r="BS130" s="49">
        <f ca="1">SUM(BR130)+HM_ZD_AM3_2005!CA_gross_prod_gas</f>
        <v>0</v>
      </c>
    </row>
    <row r="131" spans="1:93" outlineLevel="1" x14ac:dyDescent="0.2">
      <c r="D131" s="47" t="str">
        <f>HM_ZD_Moho!D139</f>
        <v>Total</v>
      </c>
      <c r="E131" s="6"/>
      <c r="F131" s="6"/>
      <c r="G131" s="6"/>
      <c r="H131" s="6"/>
      <c r="J131" s="26" t="s">
        <v>149</v>
      </c>
      <c r="K131" s="7" t="s">
        <v>137</v>
      </c>
      <c r="L131" s="49">
        <f t="shared" ref="L131" ca="1" si="5">SUM(L128,L129,L130/conv_CMtoBbls)</f>
        <v>219.44736419700001</v>
      </c>
      <c r="M131" s="49">
        <f t="shared" ref="M131" ca="1" si="6">SUM(M128,M129,M130/conv_CMtoBbls)</f>
        <v>239.62998134200001</v>
      </c>
      <c r="N131" s="49">
        <f t="shared" ref="N131" ca="1" si="7">SUM(N128,N129,N130/conv_CMtoBbls)</f>
        <v>239.62998134200001</v>
      </c>
      <c r="O131" s="49">
        <f t="shared" ref="O131" ca="1" si="8">SUM(O128,O129,O130/conv_CMtoBbls)</f>
        <v>239.62998134200001</v>
      </c>
      <c r="P131" s="49">
        <f t="shared" ref="P131" ca="1" si="9">SUM(P128,P129,P130/conv_CMtoBbls)</f>
        <v>239.62998134200001</v>
      </c>
      <c r="Q131" s="49">
        <f t="shared" ref="Q131" ca="1" si="10">SUM(Q128,Q129,Q130/conv_CMtoBbls)</f>
        <v>239.62998134200001</v>
      </c>
      <c r="R131" s="49">
        <f t="shared" ref="R131" ca="1" si="11">SUM(R128,R129,R130/conv_CMtoBbls)</f>
        <v>239.62998134200001</v>
      </c>
      <c r="S131" s="49">
        <f t="shared" ref="S131" ca="1" si="12">SUM(S128,S129,S130/conv_CMtoBbls)</f>
        <v>239.62998134200001</v>
      </c>
      <c r="T131" s="49">
        <f t="shared" ref="T131" ca="1" si="13">SUM(T128,T129,T130/conv_CMtoBbls)</f>
        <v>239.62998134200001</v>
      </c>
      <c r="U131" s="49">
        <f t="shared" ref="U131" ca="1" si="14">SUM(U128,U129,U130/conv_CMtoBbls)</f>
        <v>239.62998134200001</v>
      </c>
      <c r="V131" s="49">
        <f t="shared" ref="V131" ca="1" si="15">SUM(V128,V129,V130/conv_CMtoBbls)</f>
        <v>239.62998134200001</v>
      </c>
      <c r="W131" s="49">
        <f t="shared" ref="W131" ca="1" si="16">SUM(W128,W129,W130/conv_CMtoBbls)</f>
        <v>239.62998134200001</v>
      </c>
      <c r="X131" s="49">
        <f t="shared" ref="X131" ca="1" si="17">SUM(X128,X129,X130/conv_CMtoBbls)</f>
        <v>239.62998134200001</v>
      </c>
      <c r="Y131" s="49">
        <f t="shared" ref="Y131" ca="1" si="18">SUM(Y128,Y129,Y130/conv_CMtoBbls)</f>
        <v>239.62998134200001</v>
      </c>
      <c r="Z131" s="49">
        <f t="shared" ref="Z131" ca="1" si="19">SUM(Z128,Z129,Z130/conv_CMtoBbls)</f>
        <v>239.62998134200001</v>
      </c>
      <c r="AA131" s="49">
        <f t="shared" ref="AA131" ca="1" si="20">SUM(AA128,AA129,AA130/conv_CMtoBbls)</f>
        <v>239.62998134200001</v>
      </c>
      <c r="AB131" s="49">
        <f t="shared" ref="AB131" ca="1" si="21">SUM(AB128,AB129,AB130/conv_CMtoBbls)</f>
        <v>239.62998134200001</v>
      </c>
      <c r="AC131" s="49">
        <f t="shared" ref="AC131" ca="1" si="22">SUM(AC128,AC129,AC130/conv_CMtoBbls)</f>
        <v>239.62998134200001</v>
      </c>
      <c r="AD131" s="49">
        <f t="shared" ref="AD131" ca="1" si="23">SUM(AD128,AD129,AD130/conv_CMtoBbls)</f>
        <v>239.62998134200001</v>
      </c>
      <c r="AE131" s="49">
        <f t="shared" ref="AE131" ca="1" si="24">SUM(AE128,AE129,AE130/conv_CMtoBbls)</f>
        <v>239.62998134200001</v>
      </c>
      <c r="AF131" s="49">
        <f t="shared" ref="AF131" ca="1" si="25">SUM(AF128,AF129,AF130/conv_CMtoBbls)</f>
        <v>239.62998134200001</v>
      </c>
      <c r="AG131" s="49">
        <f t="shared" ref="AG131" ca="1" si="26">SUM(AG128,AG129,AG130/conv_CMtoBbls)</f>
        <v>239.62998134200001</v>
      </c>
      <c r="AH131" s="49">
        <f t="shared" ref="AH131" ca="1" si="27">SUM(AH128,AH129,AH130/conv_CMtoBbls)</f>
        <v>239.62998134200001</v>
      </c>
      <c r="AI131" s="49">
        <f t="shared" ref="AI131" ca="1" si="28">SUM(AI128,AI129,AI130/conv_CMtoBbls)</f>
        <v>239.62998134200001</v>
      </c>
      <c r="AJ131" s="49">
        <f t="shared" ref="AJ131" ca="1" si="29">SUM(AJ128,AJ129,AJ130/conv_CMtoBbls)</f>
        <v>239.62998134200001</v>
      </c>
      <c r="AK131" s="49">
        <f t="shared" ref="AK131" ca="1" si="30">SUM(AK128,AK129,AK130/conv_CMtoBbls)</f>
        <v>239.62998134200001</v>
      </c>
      <c r="AL131" s="49">
        <f t="shared" ref="AL131" ca="1" si="31">SUM(AL128,AL129,AL130/conv_CMtoBbls)</f>
        <v>239.62998134200001</v>
      </c>
      <c r="AM131" s="49">
        <f t="shared" ref="AM131" ca="1" si="32">SUM(AM128,AM129,AM130/conv_CMtoBbls)</f>
        <v>239.62998134200001</v>
      </c>
      <c r="AN131" s="49">
        <f t="shared" ref="AN131" ca="1" si="33">SUM(AN128,AN129,AN130/conv_CMtoBbls)</f>
        <v>239.62998134200001</v>
      </c>
      <c r="AO131" s="49">
        <f t="shared" ref="AO131" ca="1" si="34">SUM(AO128,AO129,AO130/conv_CMtoBbls)</f>
        <v>239.62998134200001</v>
      </c>
      <c r="AP131" s="49">
        <f t="shared" ref="AP131" ca="1" si="35">SUM(AP128,AP129,AP130/conv_CMtoBbls)</f>
        <v>239.62998134200001</v>
      </c>
      <c r="AQ131" s="49">
        <f t="shared" ref="AQ131" ca="1" si="36">SUM(AQ128,AQ129,AQ130/conv_CMtoBbls)</f>
        <v>239.62998134200001</v>
      </c>
      <c r="AR131" s="49">
        <f t="shared" ref="AR131" ca="1" si="37">SUM(AR128,AR129,AR130/conv_CMtoBbls)</f>
        <v>239.62998134200001</v>
      </c>
      <c r="AS131" s="49">
        <f t="shared" ref="AS131" ca="1" si="38">SUM(AS128,AS129,AS130/conv_CMtoBbls)</f>
        <v>239.62998134200001</v>
      </c>
      <c r="AT131" s="49">
        <f t="shared" ref="AT131" ca="1" si="39">SUM(AT128,AT129,AT130/conv_CMtoBbls)</f>
        <v>239.62998134200001</v>
      </c>
      <c r="AU131" s="49">
        <f t="shared" ref="AU131" ca="1" si="40">SUM(AU128,AU129,AU130/conv_CMtoBbls)</f>
        <v>239.62998134200001</v>
      </c>
      <c r="AV131" s="49">
        <f t="shared" ref="AV131" ca="1" si="41">SUM(AV128,AV129,AV130/conv_CMtoBbls)</f>
        <v>239.62998134200001</v>
      </c>
      <c r="AW131" s="49">
        <f t="shared" ref="AW131" ca="1" si="42">SUM(AW128,AW129,AW130/conv_CMtoBbls)</f>
        <v>239.62998134200001</v>
      </c>
      <c r="AX131" s="49">
        <f t="shared" ref="AX131" ca="1" si="43">SUM(AX128,AX129,AX130/conv_CMtoBbls)</f>
        <v>239.62998134200001</v>
      </c>
      <c r="AY131" s="49">
        <f t="shared" ref="AY131" ca="1" si="44">SUM(AY128,AY129,AY130/conv_CMtoBbls)</f>
        <v>239.62998134200001</v>
      </c>
      <c r="AZ131" s="49">
        <f t="shared" ref="AZ131" ca="1" si="45">SUM(AZ128,AZ129,AZ130/conv_CMtoBbls)</f>
        <v>239.62998134200001</v>
      </c>
      <c r="BA131" s="49">
        <f t="shared" ref="BA131" ca="1" si="46">SUM(BA128,BA129,BA130/conv_CMtoBbls)</f>
        <v>239.62998134200001</v>
      </c>
      <c r="BB131" s="49">
        <f t="shared" ref="BB131" ca="1" si="47">SUM(BB128,BB129,BB130/conv_CMtoBbls)</f>
        <v>239.62998134200001</v>
      </c>
      <c r="BC131" s="49">
        <f t="shared" ref="BC131" ca="1" si="48">SUM(BC128,BC129,BC130/conv_CMtoBbls)</f>
        <v>239.62998134200001</v>
      </c>
      <c r="BD131" s="49">
        <f t="shared" ref="BD131" ca="1" si="49">SUM(BD128,BD129,BD130/conv_CMtoBbls)</f>
        <v>239.62998134200001</v>
      </c>
      <c r="BE131" s="49">
        <f t="shared" ref="BE131" ca="1" si="50">SUM(BE128,BE129,BE130/conv_CMtoBbls)</f>
        <v>239.62998134200001</v>
      </c>
      <c r="BF131" s="49">
        <f t="shared" ref="BF131" ca="1" si="51">SUM(BF128,BF129,BF130/conv_CMtoBbls)</f>
        <v>239.62998134200001</v>
      </c>
      <c r="BG131" s="49">
        <f t="shared" ref="BG131" ca="1" si="52">SUM(BG128,BG129,BG130/conv_CMtoBbls)</f>
        <v>239.62998134200001</v>
      </c>
      <c r="BH131" s="49">
        <f t="shared" ref="BH131" ca="1" si="53">SUM(BH128,BH129,BH130/conv_CMtoBbls)</f>
        <v>239.62998134200001</v>
      </c>
      <c r="BI131" s="49">
        <f t="shared" ref="BI131" ca="1" si="54">SUM(BI128,BI129,BI130/conv_CMtoBbls)</f>
        <v>239.62998134200001</v>
      </c>
      <c r="BJ131" s="49">
        <f t="shared" ref="BJ131" ca="1" si="55">SUM(BJ128,BJ129,BJ130/conv_CMtoBbls)</f>
        <v>239.62998134200001</v>
      </c>
      <c r="BK131" s="49">
        <f t="shared" ref="BK131" ca="1" si="56">SUM(BK128,BK129,BK130/conv_CMtoBbls)</f>
        <v>239.62998134200001</v>
      </c>
      <c r="BL131" s="49">
        <f t="shared" ref="BL131" ca="1" si="57">SUM(BL128,BL129,BL130/conv_CMtoBbls)</f>
        <v>239.62998134200001</v>
      </c>
      <c r="BM131" s="49">
        <f t="shared" ref="BM131" ca="1" si="58">SUM(BM128,BM129,BM130/conv_CMtoBbls)</f>
        <v>239.62998134200001</v>
      </c>
      <c r="BN131" s="49">
        <f t="shared" ref="BN131" ca="1" si="59">SUM(BN128,BN129,BN130/conv_CMtoBbls)</f>
        <v>239.62998134200001</v>
      </c>
      <c r="BO131" s="49">
        <f t="shared" ref="BO131" ca="1" si="60">SUM(BO128,BO129,BO130/conv_CMtoBbls)</f>
        <v>239.62998134200001</v>
      </c>
      <c r="BP131" s="49">
        <f t="shared" ref="BP131" ca="1" si="61">SUM(BP128,BP129,BP130/conv_CMtoBbls)</f>
        <v>239.62998134200001</v>
      </c>
      <c r="BQ131" s="49">
        <f t="shared" ref="BQ131" ca="1" si="62">SUM(BQ128,BQ129,BQ130/conv_CMtoBbls)</f>
        <v>239.62998134200001</v>
      </c>
      <c r="BR131" s="49">
        <f t="shared" ref="BR131" ca="1" si="63">SUM(BR128,BR129,BR130/conv_CMtoBbls)</f>
        <v>239.62998134200001</v>
      </c>
      <c r="BS131" s="49">
        <f t="shared" ref="BS131" ca="1" si="64">SUM(BS128,BS129,BS130/conv_CMtoBbls)</f>
        <v>239.62998134200001</v>
      </c>
    </row>
    <row r="132" spans="1:93" outlineLevel="1" x14ac:dyDescent="0.2">
      <c r="J132" s="26"/>
      <c r="L132" s="55"/>
      <c r="M132" s="55"/>
      <c r="N132" s="55"/>
      <c r="O132" s="55"/>
      <c r="P132" s="55"/>
      <c r="Q132" s="55"/>
      <c r="R132" s="55"/>
      <c r="S132" s="55"/>
      <c r="T132" s="55"/>
      <c r="U132" s="55"/>
      <c r="V132" s="55"/>
      <c r="W132" s="55"/>
      <c r="X132" s="55"/>
      <c r="Y132" s="55"/>
      <c r="Z132" s="55"/>
      <c r="AA132" s="55"/>
      <c r="AB132" s="55"/>
      <c r="AC132" s="55"/>
      <c r="AD132" s="55"/>
      <c r="AE132" s="55"/>
      <c r="AF132" s="55"/>
      <c r="AG132" s="55"/>
      <c r="AH132" s="55"/>
      <c r="AI132" s="55"/>
      <c r="AJ132" s="55"/>
      <c r="AK132" s="55"/>
      <c r="AL132" s="55"/>
      <c r="AM132" s="55"/>
      <c r="AN132" s="55"/>
      <c r="AO132" s="55"/>
      <c r="AP132" s="55"/>
      <c r="AQ132" s="55"/>
      <c r="AR132" s="55"/>
      <c r="AS132" s="55"/>
      <c r="AT132" s="55"/>
      <c r="AU132" s="55"/>
      <c r="AV132" s="55"/>
      <c r="AW132" s="55"/>
      <c r="AX132" s="55"/>
      <c r="AY132" s="55"/>
      <c r="AZ132" s="55"/>
      <c r="BA132" s="55"/>
      <c r="BB132" s="55"/>
      <c r="BC132" s="55"/>
      <c r="BD132" s="55"/>
      <c r="BE132" s="55"/>
      <c r="BF132" s="55"/>
      <c r="BG132" s="55"/>
      <c r="BH132" s="55"/>
      <c r="BI132" s="55"/>
      <c r="BJ132" s="55"/>
      <c r="BK132" s="55"/>
      <c r="BL132" s="55"/>
      <c r="BM132" s="55"/>
      <c r="BN132" s="55"/>
      <c r="BO132" s="55"/>
      <c r="BP132" s="55"/>
      <c r="BQ132" s="55"/>
      <c r="BR132" s="55"/>
      <c r="BS132" s="55"/>
    </row>
    <row r="133" spans="1:93" outlineLevel="1" x14ac:dyDescent="0.2">
      <c r="C133" s="11" t="str">
        <f>HM_ZD_Moho!C141</f>
        <v>Volumes de ventes brutes</v>
      </c>
      <c r="J133" s="26"/>
    </row>
    <row r="134" spans="1:93" outlineLevel="1" x14ac:dyDescent="0.2">
      <c r="D134" t="str">
        <f>HM_ZD_Moho!D142</f>
        <v>Pétrole</v>
      </c>
      <c r="I134" s="30">
        <f ca="1">SUM($L134:$BS134)</f>
        <v>37.031498999999997</v>
      </c>
      <c r="J134" s="26" t="s">
        <v>42</v>
      </c>
      <c r="K134" s="7" t="s">
        <v>669</v>
      </c>
      <c r="L134" s="49">
        <f ca="1">OFFSET(_xlfn.SINGLE(IA_sales_oil),4,)</f>
        <v>18.11364</v>
      </c>
      <c r="M134" s="49">
        <f ca="1">OFFSET(_xlfn.SINGLE(IA_sales_oil),4,)</f>
        <v>18.917859</v>
      </c>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c r="AL134" s="49"/>
      <c r="AM134" s="49"/>
      <c r="AN134" s="49"/>
      <c r="AO134" s="49"/>
      <c r="AP134" s="49"/>
      <c r="AQ134" s="49"/>
      <c r="AR134" s="49"/>
      <c r="AS134" s="49"/>
      <c r="AT134" s="49"/>
      <c r="AU134" s="49"/>
      <c r="AV134" s="49"/>
      <c r="AW134" s="49"/>
      <c r="AX134" s="49"/>
      <c r="AY134" s="49"/>
      <c r="AZ134" s="49"/>
      <c r="BA134" s="49"/>
      <c r="BB134" s="49"/>
      <c r="BC134" s="49"/>
      <c r="BD134" s="49"/>
      <c r="BE134" s="49"/>
      <c r="BF134" s="49"/>
      <c r="BG134" s="49"/>
      <c r="BH134" s="49"/>
      <c r="BI134" s="49"/>
      <c r="BJ134" s="49"/>
      <c r="BK134" s="49"/>
      <c r="BL134" s="49"/>
      <c r="BM134" s="49"/>
      <c r="BN134" s="49"/>
      <c r="BO134" s="49"/>
      <c r="BP134" s="49"/>
      <c r="BQ134" s="49"/>
      <c r="BR134" s="49"/>
      <c r="BS134" s="49"/>
    </row>
    <row r="135" spans="1:93" outlineLevel="1" x14ac:dyDescent="0.2">
      <c r="D135" t="str">
        <f>HM_ZD_Moho!D143</f>
        <v>GPL</v>
      </c>
      <c r="I135" s="30">
        <f ca="1">SUM($L135:$BS135)</f>
        <v>0</v>
      </c>
      <c r="J135" s="26" t="s">
        <v>42</v>
      </c>
      <c r="K135" s="7" t="s">
        <v>685</v>
      </c>
      <c r="L135" s="49">
        <f ca="1">OFFSET(_xlfn.SINGLE(IA_sales_lpg),4,)</f>
        <v>0</v>
      </c>
      <c r="M135" s="49">
        <f ca="1">OFFSET(_xlfn.SINGLE(IA_sales_lpg),4,)</f>
        <v>0</v>
      </c>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c r="AL135" s="49"/>
      <c r="AM135" s="49"/>
      <c r="AN135" s="49"/>
      <c r="AO135" s="49"/>
      <c r="AP135" s="49"/>
      <c r="AQ135" s="49"/>
      <c r="AR135" s="49"/>
      <c r="AS135" s="49"/>
      <c r="AT135" s="49"/>
      <c r="AU135" s="49"/>
      <c r="AV135" s="49"/>
      <c r="AW135" s="49"/>
      <c r="AX135" s="49"/>
      <c r="AY135" s="49"/>
      <c r="AZ135" s="49"/>
      <c r="BA135" s="49"/>
      <c r="BB135" s="49"/>
      <c r="BC135" s="49"/>
      <c r="BD135" s="49"/>
      <c r="BE135" s="49"/>
      <c r="BF135" s="49"/>
      <c r="BG135" s="49"/>
      <c r="BH135" s="49"/>
      <c r="BI135" s="49"/>
      <c r="BJ135" s="49"/>
      <c r="BK135" s="49"/>
      <c r="BL135" s="49"/>
      <c r="BM135" s="49"/>
      <c r="BN135" s="49"/>
      <c r="BO135" s="49"/>
      <c r="BP135" s="49"/>
      <c r="BQ135" s="49"/>
      <c r="BR135" s="49"/>
      <c r="BS135" s="49"/>
    </row>
    <row r="136" spans="1:93" outlineLevel="1" x14ac:dyDescent="0.2">
      <c r="D136" t="str">
        <f>HM_ZD_Moho!D144</f>
        <v>Gaz</v>
      </c>
      <c r="I136" s="46">
        <f ca="1">SUM($L136:$BS136)</f>
        <v>0</v>
      </c>
      <c r="J136" s="26" t="s">
        <v>653</v>
      </c>
      <c r="K136" s="7" t="s">
        <v>670</v>
      </c>
      <c r="L136" s="54">
        <f ca="1">OFFSET(_xlfn.SINGLE(IA_sales_gas),4,)</f>
        <v>0</v>
      </c>
      <c r="M136" s="54">
        <f ca="1">OFFSET(_xlfn.SINGLE(IA_sales_gas),4,)</f>
        <v>0</v>
      </c>
      <c r="N136" s="54"/>
      <c r="O136" s="54"/>
      <c r="P136" s="54"/>
      <c r="Q136" s="54"/>
      <c r="R136" s="54"/>
      <c r="S136" s="54"/>
      <c r="T136" s="54"/>
      <c r="U136" s="54"/>
      <c r="V136" s="54"/>
      <c r="W136" s="54"/>
      <c r="X136" s="54"/>
      <c r="Y136" s="54"/>
      <c r="Z136" s="54"/>
      <c r="AA136" s="54"/>
      <c r="AB136" s="54"/>
      <c r="AC136" s="54"/>
      <c r="AD136" s="54"/>
      <c r="AE136" s="54"/>
      <c r="AF136" s="54"/>
      <c r="AG136" s="54"/>
      <c r="AH136" s="54"/>
      <c r="AI136" s="54"/>
      <c r="AJ136" s="54"/>
      <c r="AK136" s="54"/>
      <c r="AL136" s="54"/>
      <c r="AM136" s="54"/>
      <c r="AN136" s="54"/>
      <c r="AO136" s="54"/>
      <c r="AP136" s="54"/>
      <c r="AQ136" s="54"/>
      <c r="AR136" s="54"/>
      <c r="AS136" s="54"/>
      <c r="AT136" s="54"/>
      <c r="AU136" s="54"/>
      <c r="AV136" s="54"/>
      <c r="AW136" s="54"/>
      <c r="AX136" s="54"/>
      <c r="AY136" s="54"/>
      <c r="AZ136" s="54"/>
      <c r="BA136" s="54"/>
      <c r="BB136" s="54"/>
      <c r="BC136" s="54"/>
      <c r="BD136" s="54"/>
      <c r="BE136" s="54"/>
      <c r="BF136" s="54"/>
      <c r="BG136" s="54"/>
      <c r="BH136" s="54"/>
      <c r="BI136" s="54"/>
      <c r="BJ136" s="54"/>
      <c r="BK136" s="54"/>
      <c r="BL136" s="54"/>
      <c r="BM136" s="54"/>
      <c r="BN136" s="54"/>
      <c r="BO136" s="54"/>
      <c r="BP136" s="54"/>
      <c r="BQ136" s="54"/>
      <c r="BR136" s="54"/>
      <c r="BS136" s="54"/>
    </row>
    <row r="137" spans="1:93" outlineLevel="1" x14ac:dyDescent="0.2">
      <c r="A137" s="6"/>
      <c r="B137" s="6"/>
      <c r="C137" s="6"/>
      <c r="D137" s="47" t="str">
        <f>HM_ZD_Moho!D145</f>
        <v>Total</v>
      </c>
      <c r="E137" s="6"/>
      <c r="F137" s="6"/>
      <c r="G137" s="6"/>
      <c r="H137" s="6"/>
      <c r="I137" s="30">
        <f ca="1">SUM($L137:$BS137)</f>
        <v>37.031498999999997</v>
      </c>
      <c r="J137" s="26" t="s">
        <v>130</v>
      </c>
      <c r="K137" s="7" t="s">
        <v>671</v>
      </c>
      <c r="L137" s="49">
        <f t="shared" ref="L137:BS137" ca="1" si="65">SUM(L134,L135,L136/conv_CMtoBbls)</f>
        <v>18.11364</v>
      </c>
      <c r="M137" s="49">
        <f t="shared" ca="1" si="65"/>
        <v>18.917859</v>
      </c>
      <c r="N137" s="49">
        <f t="shared" si="65"/>
        <v>0</v>
      </c>
      <c r="O137" s="49">
        <f t="shared" si="65"/>
        <v>0</v>
      </c>
      <c r="P137" s="49">
        <f t="shared" si="65"/>
        <v>0</v>
      </c>
      <c r="Q137" s="49">
        <f t="shared" si="65"/>
        <v>0</v>
      </c>
      <c r="R137" s="49">
        <f t="shared" si="65"/>
        <v>0</v>
      </c>
      <c r="S137" s="49">
        <f t="shared" si="65"/>
        <v>0</v>
      </c>
      <c r="T137" s="49">
        <f t="shared" si="65"/>
        <v>0</v>
      </c>
      <c r="U137" s="49">
        <f t="shared" si="65"/>
        <v>0</v>
      </c>
      <c r="V137" s="49">
        <f t="shared" si="65"/>
        <v>0</v>
      </c>
      <c r="W137" s="49">
        <f t="shared" si="65"/>
        <v>0</v>
      </c>
      <c r="X137" s="49">
        <f t="shared" si="65"/>
        <v>0</v>
      </c>
      <c r="Y137" s="49">
        <f t="shared" si="65"/>
        <v>0</v>
      </c>
      <c r="Z137" s="49">
        <f t="shared" si="65"/>
        <v>0</v>
      </c>
      <c r="AA137" s="49">
        <f t="shared" si="65"/>
        <v>0</v>
      </c>
      <c r="AB137" s="49">
        <f t="shared" si="65"/>
        <v>0</v>
      </c>
      <c r="AC137" s="49">
        <f t="shared" si="65"/>
        <v>0</v>
      </c>
      <c r="AD137" s="49">
        <f t="shared" si="65"/>
        <v>0</v>
      </c>
      <c r="AE137" s="49">
        <f t="shared" si="65"/>
        <v>0</v>
      </c>
      <c r="AF137" s="49">
        <f t="shared" si="65"/>
        <v>0</v>
      </c>
      <c r="AG137" s="49">
        <f t="shared" si="65"/>
        <v>0</v>
      </c>
      <c r="AH137" s="49">
        <f t="shared" si="65"/>
        <v>0</v>
      </c>
      <c r="AI137" s="49">
        <f t="shared" si="65"/>
        <v>0</v>
      </c>
      <c r="AJ137" s="49">
        <f t="shared" si="65"/>
        <v>0</v>
      </c>
      <c r="AK137" s="49">
        <f t="shared" si="65"/>
        <v>0</v>
      </c>
      <c r="AL137" s="49">
        <f t="shared" si="65"/>
        <v>0</v>
      </c>
      <c r="AM137" s="49">
        <f t="shared" si="65"/>
        <v>0</v>
      </c>
      <c r="AN137" s="49">
        <f t="shared" si="65"/>
        <v>0</v>
      </c>
      <c r="AO137" s="49">
        <f t="shared" si="65"/>
        <v>0</v>
      </c>
      <c r="AP137" s="49">
        <f t="shared" si="65"/>
        <v>0</v>
      </c>
      <c r="AQ137" s="49">
        <f t="shared" si="65"/>
        <v>0</v>
      </c>
      <c r="AR137" s="49">
        <f t="shared" si="65"/>
        <v>0</v>
      </c>
      <c r="AS137" s="49">
        <f t="shared" si="65"/>
        <v>0</v>
      </c>
      <c r="AT137" s="49">
        <f t="shared" si="65"/>
        <v>0</v>
      </c>
      <c r="AU137" s="49">
        <f t="shared" si="65"/>
        <v>0</v>
      </c>
      <c r="AV137" s="49">
        <f t="shared" si="65"/>
        <v>0</v>
      </c>
      <c r="AW137" s="49">
        <f t="shared" si="65"/>
        <v>0</v>
      </c>
      <c r="AX137" s="49">
        <f t="shared" si="65"/>
        <v>0</v>
      </c>
      <c r="AY137" s="49">
        <f t="shared" si="65"/>
        <v>0</v>
      </c>
      <c r="AZ137" s="49">
        <f t="shared" si="65"/>
        <v>0</v>
      </c>
      <c r="BA137" s="49">
        <f t="shared" si="65"/>
        <v>0</v>
      </c>
      <c r="BB137" s="49">
        <f t="shared" si="65"/>
        <v>0</v>
      </c>
      <c r="BC137" s="49">
        <f t="shared" si="65"/>
        <v>0</v>
      </c>
      <c r="BD137" s="49">
        <f t="shared" si="65"/>
        <v>0</v>
      </c>
      <c r="BE137" s="49">
        <f t="shared" si="65"/>
        <v>0</v>
      </c>
      <c r="BF137" s="49">
        <f t="shared" si="65"/>
        <v>0</v>
      </c>
      <c r="BG137" s="49">
        <f t="shared" si="65"/>
        <v>0</v>
      </c>
      <c r="BH137" s="49">
        <f t="shared" si="65"/>
        <v>0</v>
      </c>
      <c r="BI137" s="49">
        <f t="shared" si="65"/>
        <v>0</v>
      </c>
      <c r="BJ137" s="49">
        <f t="shared" si="65"/>
        <v>0</v>
      </c>
      <c r="BK137" s="49">
        <f t="shared" si="65"/>
        <v>0</v>
      </c>
      <c r="BL137" s="49">
        <f t="shared" si="65"/>
        <v>0</v>
      </c>
      <c r="BM137" s="49">
        <f t="shared" si="65"/>
        <v>0</v>
      </c>
      <c r="BN137" s="49">
        <f t="shared" si="65"/>
        <v>0</v>
      </c>
      <c r="BO137" s="49">
        <f t="shared" si="65"/>
        <v>0</v>
      </c>
      <c r="BP137" s="49">
        <f t="shared" si="65"/>
        <v>0</v>
      </c>
      <c r="BQ137" s="49">
        <f t="shared" si="65"/>
        <v>0</v>
      </c>
      <c r="BR137" s="49">
        <f t="shared" si="65"/>
        <v>0</v>
      </c>
      <c r="BS137" s="49">
        <f t="shared" si="65"/>
        <v>0</v>
      </c>
      <c r="BT137" s="6"/>
      <c r="BU137" s="6"/>
      <c r="BV137" s="6"/>
      <c r="BW137" s="6"/>
      <c r="BX137" s="6"/>
      <c r="BY137" s="6"/>
      <c r="BZ137" s="6"/>
      <c r="CA137" s="6"/>
      <c r="CB137" s="6"/>
      <c r="CC137" s="6"/>
      <c r="CD137" s="6"/>
      <c r="CE137" s="6"/>
      <c r="CF137" s="6"/>
      <c r="CG137" s="6"/>
      <c r="CH137" s="6"/>
      <c r="CI137" s="6"/>
      <c r="CJ137" s="6"/>
      <c r="CK137" s="6"/>
      <c r="CL137" s="6"/>
      <c r="CM137" s="6"/>
      <c r="CN137" s="6"/>
      <c r="CO137" s="6"/>
    </row>
    <row r="138" spans="1:93" outlineLevel="1" x14ac:dyDescent="0.2">
      <c r="J138" s="26"/>
      <c r="L138" s="55"/>
      <c r="M138" s="55"/>
      <c r="N138" s="55"/>
      <c r="O138" s="55"/>
      <c r="P138" s="55"/>
      <c r="Q138" s="55"/>
      <c r="R138" s="55"/>
      <c r="S138" s="55"/>
      <c r="T138" s="55"/>
      <c r="U138" s="55"/>
      <c r="V138" s="55"/>
      <c r="W138" s="55"/>
      <c r="X138" s="55"/>
      <c r="Y138" s="55"/>
      <c r="Z138" s="55"/>
      <c r="AA138" s="55"/>
      <c r="AB138" s="55"/>
      <c r="AC138" s="55"/>
      <c r="AD138" s="55"/>
      <c r="AE138" s="55"/>
      <c r="AF138" s="55"/>
      <c r="AG138" s="55"/>
      <c r="AH138" s="55"/>
      <c r="AI138" s="55"/>
      <c r="AJ138" s="55"/>
      <c r="AK138" s="55"/>
      <c r="AL138" s="55"/>
      <c r="AM138" s="55"/>
      <c r="AN138" s="55"/>
      <c r="AO138" s="55"/>
      <c r="AP138" s="55"/>
      <c r="AQ138" s="55"/>
      <c r="AR138" s="55"/>
      <c r="AS138" s="55"/>
      <c r="AT138" s="55"/>
      <c r="AU138" s="55"/>
      <c r="AV138" s="55"/>
      <c r="AW138" s="55"/>
      <c r="AX138" s="55"/>
      <c r="AY138" s="55"/>
      <c r="AZ138" s="55"/>
      <c r="BA138" s="55"/>
      <c r="BB138" s="55"/>
      <c r="BC138" s="55"/>
      <c r="BD138" s="55"/>
      <c r="BE138" s="55"/>
      <c r="BF138" s="55"/>
      <c r="BG138" s="55"/>
      <c r="BH138" s="55"/>
      <c r="BI138" s="55"/>
      <c r="BJ138" s="55"/>
      <c r="BK138" s="55"/>
      <c r="BL138" s="55"/>
      <c r="BM138" s="55"/>
      <c r="BN138" s="55"/>
      <c r="BO138" s="55"/>
      <c r="BP138" s="55"/>
      <c r="BQ138" s="55"/>
      <c r="BR138" s="55"/>
      <c r="BS138" s="55"/>
    </row>
    <row r="139" spans="1:93" outlineLevel="1" x14ac:dyDescent="0.2">
      <c r="C139" s="11" t="str">
        <f>HM_ZD_Moho!C147</f>
        <v>Volumes de ventes brutes cumulées</v>
      </c>
      <c r="J139" s="26"/>
      <c r="L139" s="55"/>
      <c r="M139" s="55"/>
      <c r="N139" s="55"/>
      <c r="O139" s="55"/>
      <c r="P139" s="55"/>
      <c r="Q139" s="55"/>
      <c r="R139" s="55"/>
      <c r="S139" s="55"/>
      <c r="T139" s="55"/>
      <c r="U139" s="55"/>
      <c r="V139" s="55"/>
      <c r="W139" s="55"/>
      <c r="X139" s="55"/>
      <c r="Y139" s="55"/>
      <c r="Z139" s="55"/>
      <c r="AA139" s="55"/>
      <c r="AB139" s="55"/>
      <c r="AC139" s="55"/>
      <c r="AD139" s="55"/>
      <c r="AE139" s="55"/>
      <c r="AF139" s="55"/>
      <c r="AG139" s="55"/>
      <c r="AH139" s="55"/>
      <c r="AI139" s="55"/>
      <c r="AJ139" s="55"/>
      <c r="AK139" s="55"/>
      <c r="AL139" s="55"/>
      <c r="AM139" s="55"/>
      <c r="AN139" s="55"/>
      <c r="AO139" s="55"/>
      <c r="AP139" s="55"/>
      <c r="AQ139" s="55"/>
      <c r="AR139" s="55"/>
      <c r="AS139" s="55"/>
      <c r="AT139" s="55"/>
      <c r="AU139" s="55"/>
      <c r="AV139" s="55"/>
      <c r="AW139" s="55"/>
      <c r="AX139" s="55"/>
      <c r="AY139" s="55"/>
      <c r="AZ139" s="55"/>
      <c r="BA139" s="55"/>
      <c r="BB139" s="55"/>
      <c r="BC139" s="55"/>
      <c r="BD139" s="55"/>
      <c r="BE139" s="55"/>
      <c r="BF139" s="55"/>
      <c r="BG139" s="55"/>
      <c r="BH139" s="55"/>
      <c r="BI139" s="55"/>
      <c r="BJ139" s="55"/>
      <c r="BK139" s="55"/>
      <c r="BL139" s="55"/>
      <c r="BM139" s="55"/>
      <c r="BN139" s="55"/>
      <c r="BO139" s="55"/>
      <c r="BP139" s="55"/>
      <c r="BQ139" s="55"/>
      <c r="BR139" s="55"/>
      <c r="BS139" s="55"/>
    </row>
    <row r="140" spans="1:93" outlineLevel="1" x14ac:dyDescent="0.2">
      <c r="D140" t="str">
        <f>HM_ZD_Moho!D148</f>
        <v>Pétrole</v>
      </c>
      <c r="K140" s="7" t="s">
        <v>672</v>
      </c>
      <c r="L140" s="49">
        <f ca="1">SUM(K140)+HM_ZD_AM3_2005!CA_gross_sales_oil+prior_cum_sales*(IA_Periods=1)</f>
        <v>218.11364</v>
      </c>
      <c r="M140" s="49">
        <f ca="1">SUM(L140)+KLL_II_2020!CA_gross_sales_oil</f>
        <v>223.93766300000001</v>
      </c>
      <c r="N140" s="49">
        <f ca="1">SUM(M140)+KLL_II_2020!CA_gross_sales_oil</f>
        <v>229.93487000000002</v>
      </c>
      <c r="O140" s="49">
        <f ca="1">SUM(N140)+KLL_II_2020!CA_gross_sales_oil</f>
        <v>236.11992700000002</v>
      </c>
      <c r="P140" s="49">
        <f ca="1">SUM(O140)+KLL_II_2020!CA_gross_sales_oil</f>
        <v>241.68162300000003</v>
      </c>
      <c r="Q140" s="49">
        <f ca="1">SUM(P140)+KLL_II_2020!CA_gross_sales_oil</f>
        <v>247.67139500000002</v>
      </c>
      <c r="R140" s="49">
        <f ca="1">SUM(Q140)+KLL_II_2020!CA_gross_sales_oil</f>
        <v>253.86356600000002</v>
      </c>
      <c r="S140" s="49">
        <f ca="1">SUM(R140)+KLL_II_2020!CA_gross_sales_oil</f>
        <v>259.426466</v>
      </c>
      <c r="T140" s="49">
        <f ca="1">SUM(S140)+KLL_II_2020!CA_gross_sales_oil</f>
        <v>264.599963</v>
      </c>
      <c r="U140" s="49">
        <f ca="1">SUM(T140)+KLL_II_2020!CA_gross_sales_oil</f>
        <v>269.41131521</v>
      </c>
      <c r="V140" s="49">
        <f ca="1">SUM(U140)+KLL_II_2020!CA_gross_sales_oil</f>
        <v>273.88587276530001</v>
      </c>
      <c r="W140" s="49">
        <f ca="1">SUM(V140)+KLL_II_2020!CA_gross_sales_oil</f>
        <v>278.04721129172901</v>
      </c>
      <c r="X140" s="49">
        <f ca="1">SUM(W140)+KLL_II_2020!CA_gross_sales_oil</f>
        <v>281.91725612130796</v>
      </c>
      <c r="Y140" s="49">
        <f ca="1">SUM(X140)+KLL_II_2020!CA_gross_sales_oil</f>
        <v>281.91725612130796</v>
      </c>
      <c r="Z140" s="49">
        <f ca="1">SUM(Y140)+KLL_II_2020!CA_gross_sales_oil</f>
        <v>281.91725612130796</v>
      </c>
      <c r="AA140" s="49">
        <f ca="1">SUM(Z140)+KLL_II_2020!CA_gross_sales_oil</f>
        <v>281.91725612130796</v>
      </c>
      <c r="AB140" s="49">
        <f ca="1">SUM(AA140)+KLL_II_2020!CA_gross_sales_oil</f>
        <v>281.91725612130796</v>
      </c>
      <c r="AC140" s="49">
        <f ca="1">SUM(AB140)+KLL_II_2020!CA_gross_sales_oil</f>
        <v>281.91725612130796</v>
      </c>
      <c r="AD140" s="49">
        <f ca="1">SUM(AC140)+KLL_II_2020!CA_gross_sales_oil</f>
        <v>281.91725612130796</v>
      </c>
      <c r="AE140" s="49">
        <f ca="1">SUM(AD140)+KLL_II_2020!CA_gross_sales_oil</f>
        <v>281.91725612130796</v>
      </c>
      <c r="AF140" s="49">
        <f ca="1">SUM(AE140)+KLL_II_2020!CA_gross_sales_oil</f>
        <v>281.91725612130796</v>
      </c>
      <c r="AG140" s="49">
        <f ca="1">SUM(AF140)+KLL_II_2020!CA_gross_sales_oil</f>
        <v>281.91725612130796</v>
      </c>
      <c r="AH140" s="49">
        <f ca="1">SUM(AG140)+KLL_II_2020!CA_gross_sales_oil</f>
        <v>281.91725612130796</v>
      </c>
      <c r="AI140" s="49">
        <f ca="1">SUM(AH140)+KLL_II_2020!CA_gross_sales_oil</f>
        <v>281.91725612130796</v>
      </c>
      <c r="AJ140" s="49">
        <f ca="1">SUM(AI140)+KLL_II_2020!CA_gross_sales_oil</f>
        <v>281.91725612130796</v>
      </c>
      <c r="AK140" s="49">
        <f ca="1">SUM(AJ140)+KLL_II_2020!CA_gross_sales_oil</f>
        <v>281.91725612130796</v>
      </c>
      <c r="AL140" s="49">
        <f ca="1">SUM(AK140)+KLL_II_2020!CA_gross_sales_oil</f>
        <v>281.91725612130796</v>
      </c>
      <c r="AM140" s="49">
        <f ca="1">SUM(AL140)+KLL_II_2020!CA_gross_sales_oil</f>
        <v>281.91725612130796</v>
      </c>
      <c r="AN140" s="49">
        <f ca="1">SUM(AM140)+KLL_II_2020!CA_gross_sales_oil</f>
        <v>281.91725612130796</v>
      </c>
      <c r="AO140" s="49">
        <f ca="1">SUM(AN140)+KLL_II_2020!CA_gross_sales_oil</f>
        <v>281.91725612130796</v>
      </c>
      <c r="AP140" s="49">
        <f ca="1">SUM(AO140)+KLL_II_2020!CA_gross_sales_oil</f>
        <v>281.91725612130796</v>
      </c>
      <c r="AQ140" s="49">
        <f ca="1">SUM(AP140)+KLL_II_2020!CA_gross_sales_oil</f>
        <v>281.91725612130796</v>
      </c>
      <c r="AR140" s="49">
        <f ca="1">SUM(AQ140)+KLL_II_2020!CA_gross_sales_oil</f>
        <v>281.91725612130796</v>
      </c>
      <c r="AS140" s="49">
        <f ca="1">SUM(AR140)+KLL_II_2020!CA_gross_sales_oil</f>
        <v>281.91725612130796</v>
      </c>
      <c r="AT140" s="49">
        <f ca="1">SUM(AS140)+KLL_II_2020!CA_gross_sales_oil</f>
        <v>281.91725612130796</v>
      </c>
      <c r="AU140" s="49">
        <f ca="1">SUM(AT140)+KLL_II_2020!CA_gross_sales_oil</f>
        <v>281.91725612130796</v>
      </c>
      <c r="AV140" s="49">
        <f ca="1">SUM(AU140)+KLL_II_2020!CA_gross_sales_oil</f>
        <v>281.91725612130796</v>
      </c>
      <c r="AW140" s="49">
        <f ca="1">SUM(AV140)+KLL_II_2020!CA_gross_sales_oil</f>
        <v>281.91725612130796</v>
      </c>
      <c r="AX140" s="49">
        <f ca="1">SUM(AW140)+KLL_II_2020!CA_gross_sales_oil</f>
        <v>281.91725612130796</v>
      </c>
      <c r="AY140" s="49">
        <f ca="1">SUM(AX140)+KLL_II_2020!CA_gross_sales_oil</f>
        <v>281.91725612130796</v>
      </c>
      <c r="AZ140" s="49">
        <f ca="1">SUM(AY140)+KLL_II_2020!CA_gross_sales_oil</f>
        <v>281.91725612130796</v>
      </c>
      <c r="BA140" s="49">
        <f ca="1">SUM(AZ140)+KLL_II_2020!CA_gross_sales_oil</f>
        <v>281.91725612130796</v>
      </c>
      <c r="BB140" s="49">
        <f ca="1">SUM(BA140)+KLL_II_2020!CA_gross_sales_oil</f>
        <v>281.91725612130796</v>
      </c>
      <c r="BC140" s="49">
        <f ca="1">SUM(BB140)+KLL_II_2020!CA_gross_sales_oil</f>
        <v>281.91725612130796</v>
      </c>
      <c r="BD140" s="49">
        <f ca="1">SUM(BC140)+KLL_II_2020!CA_gross_sales_oil</f>
        <v>281.91725612130796</v>
      </c>
      <c r="BE140" s="49">
        <f ca="1">SUM(BD140)+KLL_II_2020!CA_gross_sales_oil</f>
        <v>281.91725612130796</v>
      </c>
      <c r="BF140" s="49">
        <f ca="1">SUM(BE140)+KLL_II_2020!CA_gross_sales_oil</f>
        <v>281.91725612130796</v>
      </c>
      <c r="BG140" s="49">
        <f ca="1">SUM(BF140)+KLL_II_2020!CA_gross_sales_oil</f>
        <v>281.91725612130796</v>
      </c>
      <c r="BH140" s="49">
        <f ca="1">SUM(BG140)+KLL_II_2020!CA_gross_sales_oil</f>
        <v>281.91725612130796</v>
      </c>
      <c r="BI140" s="49">
        <f ca="1">SUM(BH140)+KLL_II_2020!CA_gross_sales_oil</f>
        <v>281.91725612130796</v>
      </c>
      <c r="BJ140" s="49">
        <f ca="1">SUM(BI140)+KLL_II_2020!CA_gross_sales_oil</f>
        <v>281.91725612130796</v>
      </c>
      <c r="BK140" s="49">
        <f ca="1">SUM(BJ140)+KLL_II_2020!CA_gross_sales_oil</f>
        <v>281.91725612130796</v>
      </c>
      <c r="BL140" s="49">
        <f ca="1">SUM(BK140)+KLL_II_2020!CA_gross_sales_oil</f>
        <v>281.91725612130796</v>
      </c>
      <c r="BM140" s="49">
        <f ca="1">SUM(BL140)+KLL_II_2020!CA_gross_sales_oil</f>
        <v>281.91725612130796</v>
      </c>
      <c r="BN140" s="49">
        <f ca="1">SUM(BM140)+KLL_II_2020!CA_gross_sales_oil</f>
        <v>281.91725612130796</v>
      </c>
      <c r="BO140" s="49">
        <f ca="1">SUM(BN140)+KLL_II_2020!CA_gross_sales_oil</f>
        <v>281.91725612130796</v>
      </c>
      <c r="BP140" s="49">
        <f ca="1">SUM(BO140)+KLL_II_2020!CA_gross_sales_oil</f>
        <v>281.91725612130796</v>
      </c>
      <c r="BQ140" s="49">
        <f ca="1">SUM(BP140)+KLL_II_2020!CA_gross_sales_oil</f>
        <v>281.91725612130796</v>
      </c>
      <c r="BR140" s="49">
        <f ca="1">SUM(BQ140)+KLL_II_2020!CA_gross_sales_oil</f>
        <v>281.91725612130796</v>
      </c>
      <c r="BS140" s="49">
        <f ca="1">SUM(BR140)+KLL_II_2020!CA_gross_sales_oil</f>
        <v>281.91725612130796</v>
      </c>
    </row>
    <row r="141" spans="1:93" outlineLevel="1" x14ac:dyDescent="0.2">
      <c r="D141" t="str">
        <f>HM_ZD_Moho!D149</f>
        <v>GPL</v>
      </c>
      <c r="K141" s="7" t="s">
        <v>687</v>
      </c>
      <c r="L141" s="49">
        <f ca="1">SUM(K141)+HM_ZD_AM3_2005!CA_gross_sales_lpg</f>
        <v>0</v>
      </c>
      <c r="M141" s="49">
        <f ca="1">SUM(L141)+KLL_II_2020!CA_gross_sales_lpg</f>
        <v>0</v>
      </c>
      <c r="N141" s="49">
        <f ca="1">SUM(M141)+KLL_II_2020!CA_gross_sales_lpg</f>
        <v>0</v>
      </c>
      <c r="O141" s="49">
        <f ca="1">SUM(N141)+KLL_II_2020!CA_gross_sales_lpg</f>
        <v>0</v>
      </c>
      <c r="P141" s="49">
        <f ca="1">SUM(O141)+KLL_II_2020!CA_gross_sales_lpg</f>
        <v>0</v>
      </c>
      <c r="Q141" s="49">
        <f ca="1">SUM(P141)+KLL_II_2020!CA_gross_sales_lpg</f>
        <v>0</v>
      </c>
      <c r="R141" s="49">
        <f ca="1">SUM(Q141)+KLL_II_2020!CA_gross_sales_lpg</f>
        <v>0</v>
      </c>
      <c r="S141" s="49">
        <f ca="1">SUM(R141)+KLL_II_2020!CA_gross_sales_lpg</f>
        <v>0</v>
      </c>
      <c r="T141" s="49">
        <f ca="1">SUM(S141)+KLL_II_2020!CA_gross_sales_lpg</f>
        <v>0</v>
      </c>
      <c r="U141" s="49">
        <f ca="1">SUM(T141)+KLL_II_2020!CA_gross_sales_lpg</f>
        <v>0</v>
      </c>
      <c r="V141" s="49">
        <f ca="1">SUM(U141)+KLL_II_2020!CA_gross_sales_lpg</f>
        <v>0</v>
      </c>
      <c r="W141" s="49">
        <f ca="1">SUM(V141)+KLL_II_2020!CA_gross_sales_lpg</f>
        <v>0</v>
      </c>
      <c r="X141" s="49">
        <f ca="1">SUM(W141)+KLL_II_2020!CA_gross_sales_lpg</f>
        <v>0</v>
      </c>
      <c r="Y141" s="49">
        <f ca="1">SUM(X141)+KLL_II_2020!CA_gross_sales_lpg</f>
        <v>0</v>
      </c>
      <c r="Z141" s="49">
        <f ca="1">SUM(Y141)+KLL_II_2020!CA_gross_sales_lpg</f>
        <v>0</v>
      </c>
      <c r="AA141" s="49">
        <f ca="1">SUM(Z141)+KLL_II_2020!CA_gross_sales_lpg</f>
        <v>0</v>
      </c>
      <c r="AB141" s="49">
        <f ca="1">SUM(AA141)+KLL_II_2020!CA_gross_sales_lpg</f>
        <v>0</v>
      </c>
      <c r="AC141" s="49">
        <f ca="1">SUM(AB141)+KLL_II_2020!CA_gross_sales_lpg</f>
        <v>0</v>
      </c>
      <c r="AD141" s="49">
        <f ca="1">SUM(AC141)+KLL_II_2020!CA_gross_sales_lpg</f>
        <v>0</v>
      </c>
      <c r="AE141" s="49">
        <f ca="1">SUM(AD141)+KLL_II_2020!CA_gross_sales_lpg</f>
        <v>0</v>
      </c>
      <c r="AF141" s="49">
        <f ca="1">SUM(AE141)+KLL_II_2020!CA_gross_sales_lpg</f>
        <v>0</v>
      </c>
      <c r="AG141" s="49">
        <f ca="1">SUM(AF141)+KLL_II_2020!CA_gross_sales_lpg</f>
        <v>0</v>
      </c>
      <c r="AH141" s="49">
        <f ca="1">SUM(AG141)+KLL_II_2020!CA_gross_sales_lpg</f>
        <v>0</v>
      </c>
      <c r="AI141" s="49">
        <f ca="1">SUM(AH141)+KLL_II_2020!CA_gross_sales_lpg</f>
        <v>0</v>
      </c>
      <c r="AJ141" s="49">
        <f ca="1">SUM(AI141)+KLL_II_2020!CA_gross_sales_lpg</f>
        <v>0</v>
      </c>
      <c r="AK141" s="49">
        <f ca="1">SUM(AJ141)+KLL_II_2020!CA_gross_sales_lpg</f>
        <v>0</v>
      </c>
      <c r="AL141" s="49">
        <f ca="1">SUM(AK141)+KLL_II_2020!CA_gross_sales_lpg</f>
        <v>0</v>
      </c>
      <c r="AM141" s="49">
        <f ca="1">SUM(AL141)+KLL_II_2020!CA_gross_sales_lpg</f>
        <v>0</v>
      </c>
      <c r="AN141" s="49">
        <f ca="1">SUM(AM141)+KLL_II_2020!CA_gross_sales_lpg</f>
        <v>0</v>
      </c>
      <c r="AO141" s="49">
        <f ca="1">SUM(AN141)+KLL_II_2020!CA_gross_sales_lpg</f>
        <v>0</v>
      </c>
      <c r="AP141" s="49">
        <f ca="1">SUM(AO141)+KLL_II_2020!CA_gross_sales_lpg</f>
        <v>0</v>
      </c>
      <c r="AQ141" s="49">
        <f ca="1">SUM(AP141)+KLL_II_2020!CA_gross_sales_lpg</f>
        <v>0</v>
      </c>
      <c r="AR141" s="49">
        <f ca="1">SUM(AQ141)+KLL_II_2020!CA_gross_sales_lpg</f>
        <v>0</v>
      </c>
      <c r="AS141" s="49">
        <f ca="1">SUM(AR141)+KLL_II_2020!CA_gross_sales_lpg</f>
        <v>0</v>
      </c>
      <c r="AT141" s="49">
        <f ca="1">SUM(AS141)+KLL_II_2020!CA_gross_sales_lpg</f>
        <v>0</v>
      </c>
      <c r="AU141" s="49">
        <f ca="1">SUM(AT141)+KLL_II_2020!CA_gross_sales_lpg</f>
        <v>0</v>
      </c>
      <c r="AV141" s="49">
        <f ca="1">SUM(AU141)+KLL_II_2020!CA_gross_sales_lpg</f>
        <v>0</v>
      </c>
      <c r="AW141" s="49">
        <f ca="1">SUM(AV141)+KLL_II_2020!CA_gross_sales_lpg</f>
        <v>0</v>
      </c>
      <c r="AX141" s="49">
        <f ca="1">SUM(AW141)+KLL_II_2020!CA_gross_sales_lpg</f>
        <v>0</v>
      </c>
      <c r="AY141" s="49">
        <f ca="1">SUM(AX141)+KLL_II_2020!CA_gross_sales_lpg</f>
        <v>0</v>
      </c>
      <c r="AZ141" s="49">
        <f ca="1">SUM(AY141)+KLL_II_2020!CA_gross_sales_lpg</f>
        <v>0</v>
      </c>
      <c r="BA141" s="49">
        <f ca="1">SUM(AZ141)+KLL_II_2020!CA_gross_sales_lpg</f>
        <v>0</v>
      </c>
      <c r="BB141" s="49">
        <f ca="1">SUM(BA141)+KLL_II_2020!CA_gross_sales_lpg</f>
        <v>0</v>
      </c>
      <c r="BC141" s="49">
        <f ca="1">SUM(BB141)+KLL_II_2020!CA_gross_sales_lpg</f>
        <v>0</v>
      </c>
      <c r="BD141" s="49">
        <f ca="1">SUM(BC141)+KLL_II_2020!CA_gross_sales_lpg</f>
        <v>0</v>
      </c>
      <c r="BE141" s="49">
        <f ca="1">SUM(BD141)+KLL_II_2020!CA_gross_sales_lpg</f>
        <v>0</v>
      </c>
      <c r="BF141" s="49">
        <f ca="1">SUM(BE141)+KLL_II_2020!CA_gross_sales_lpg</f>
        <v>0</v>
      </c>
      <c r="BG141" s="49">
        <f ca="1">SUM(BF141)+KLL_II_2020!CA_gross_sales_lpg</f>
        <v>0</v>
      </c>
      <c r="BH141" s="49">
        <f ca="1">SUM(BG141)+KLL_II_2020!CA_gross_sales_lpg</f>
        <v>0</v>
      </c>
      <c r="BI141" s="49">
        <f ca="1">SUM(BH141)+KLL_II_2020!CA_gross_sales_lpg</f>
        <v>0</v>
      </c>
      <c r="BJ141" s="49">
        <f ca="1">SUM(BI141)+KLL_II_2020!CA_gross_sales_lpg</f>
        <v>0</v>
      </c>
      <c r="BK141" s="49">
        <f ca="1">SUM(BJ141)+KLL_II_2020!CA_gross_sales_lpg</f>
        <v>0</v>
      </c>
      <c r="BL141" s="49">
        <f ca="1">SUM(BK141)+KLL_II_2020!CA_gross_sales_lpg</f>
        <v>0</v>
      </c>
      <c r="BM141" s="49">
        <f ca="1">SUM(BL141)+KLL_II_2020!CA_gross_sales_lpg</f>
        <v>0</v>
      </c>
      <c r="BN141" s="49">
        <f ca="1">SUM(BM141)+KLL_II_2020!CA_gross_sales_lpg</f>
        <v>0</v>
      </c>
      <c r="BO141" s="49">
        <f ca="1">SUM(BN141)+KLL_II_2020!CA_gross_sales_lpg</f>
        <v>0</v>
      </c>
      <c r="BP141" s="49">
        <f ca="1">SUM(BO141)+KLL_II_2020!CA_gross_sales_lpg</f>
        <v>0</v>
      </c>
      <c r="BQ141" s="49">
        <f ca="1">SUM(BP141)+KLL_II_2020!CA_gross_sales_lpg</f>
        <v>0</v>
      </c>
      <c r="BR141" s="49">
        <f ca="1">SUM(BQ141)+KLL_II_2020!CA_gross_sales_lpg</f>
        <v>0</v>
      </c>
      <c r="BS141" s="49">
        <f ca="1">SUM(BR141)+KLL_II_2020!CA_gross_sales_lpg</f>
        <v>0</v>
      </c>
    </row>
    <row r="142" spans="1:93" outlineLevel="1" x14ac:dyDescent="0.2">
      <c r="D142" t="str">
        <f>HM_ZD_Moho!D150</f>
        <v>Gaz</v>
      </c>
      <c r="K142" s="7" t="s">
        <v>673</v>
      </c>
      <c r="L142" s="49">
        <f ca="1">SUM(K142)+HM_ZD_AM3_2005!CA_gross_sales_gas</f>
        <v>0</v>
      </c>
      <c r="M142" s="49">
        <f ca="1">SUM(L142)+KLL_II_2020!CA_gross_sales_gas</f>
        <v>0</v>
      </c>
      <c r="N142" s="49">
        <f ca="1">SUM(M142)+KLL_II_2020!CA_gross_sales_gas</f>
        <v>0</v>
      </c>
      <c r="O142" s="49">
        <f ca="1">SUM(N142)+KLL_II_2020!CA_gross_sales_gas</f>
        <v>0</v>
      </c>
      <c r="P142" s="49">
        <f ca="1">SUM(O142)+KLL_II_2020!CA_gross_sales_gas</f>
        <v>0</v>
      </c>
      <c r="Q142" s="49">
        <f ca="1">SUM(P142)+KLL_II_2020!CA_gross_sales_gas</f>
        <v>0</v>
      </c>
      <c r="R142" s="49">
        <f ca="1">SUM(Q142)+KLL_II_2020!CA_gross_sales_gas</f>
        <v>0</v>
      </c>
      <c r="S142" s="49">
        <f ca="1">SUM(R142)+KLL_II_2020!CA_gross_sales_gas</f>
        <v>0</v>
      </c>
      <c r="T142" s="49">
        <f ca="1">SUM(S142)+KLL_II_2020!CA_gross_sales_gas</f>
        <v>0</v>
      </c>
      <c r="U142" s="49">
        <f ca="1">SUM(T142)+KLL_II_2020!CA_gross_sales_gas</f>
        <v>0</v>
      </c>
      <c r="V142" s="49">
        <f ca="1">SUM(U142)+KLL_II_2020!CA_gross_sales_gas</f>
        <v>0</v>
      </c>
      <c r="W142" s="49">
        <f ca="1">SUM(V142)+KLL_II_2020!CA_gross_sales_gas</f>
        <v>0</v>
      </c>
      <c r="X142" s="49">
        <f ca="1">SUM(W142)+KLL_II_2020!CA_gross_sales_gas</f>
        <v>0</v>
      </c>
      <c r="Y142" s="49">
        <f ca="1">SUM(X142)+KLL_II_2020!CA_gross_sales_gas</f>
        <v>0</v>
      </c>
      <c r="Z142" s="49">
        <f ca="1">SUM(Y142)+KLL_II_2020!CA_gross_sales_gas</f>
        <v>0</v>
      </c>
      <c r="AA142" s="49">
        <f ca="1">SUM(Z142)+KLL_II_2020!CA_gross_sales_gas</f>
        <v>0</v>
      </c>
      <c r="AB142" s="49">
        <f ca="1">SUM(AA142)+KLL_II_2020!CA_gross_sales_gas</f>
        <v>0</v>
      </c>
      <c r="AC142" s="49">
        <f ca="1">SUM(AB142)+KLL_II_2020!CA_gross_sales_gas</f>
        <v>0</v>
      </c>
      <c r="AD142" s="49">
        <f ca="1">SUM(AC142)+KLL_II_2020!CA_gross_sales_gas</f>
        <v>0</v>
      </c>
      <c r="AE142" s="49">
        <f ca="1">SUM(AD142)+KLL_II_2020!CA_gross_sales_gas</f>
        <v>0</v>
      </c>
      <c r="AF142" s="49">
        <f ca="1">SUM(AE142)+KLL_II_2020!CA_gross_sales_gas</f>
        <v>0</v>
      </c>
      <c r="AG142" s="49">
        <f ca="1">SUM(AF142)+KLL_II_2020!CA_gross_sales_gas</f>
        <v>0</v>
      </c>
      <c r="AH142" s="49">
        <f ca="1">SUM(AG142)+KLL_II_2020!CA_gross_sales_gas</f>
        <v>0</v>
      </c>
      <c r="AI142" s="49">
        <f ca="1">SUM(AH142)+KLL_II_2020!CA_gross_sales_gas</f>
        <v>0</v>
      </c>
      <c r="AJ142" s="49">
        <f ca="1">SUM(AI142)+KLL_II_2020!CA_gross_sales_gas</f>
        <v>0</v>
      </c>
      <c r="AK142" s="49">
        <f ca="1">SUM(AJ142)+KLL_II_2020!CA_gross_sales_gas</f>
        <v>0</v>
      </c>
      <c r="AL142" s="49">
        <f ca="1">SUM(AK142)+KLL_II_2020!CA_gross_sales_gas</f>
        <v>0</v>
      </c>
      <c r="AM142" s="49">
        <f ca="1">SUM(AL142)+KLL_II_2020!CA_gross_sales_gas</f>
        <v>0</v>
      </c>
      <c r="AN142" s="49">
        <f ca="1">SUM(AM142)+KLL_II_2020!CA_gross_sales_gas</f>
        <v>0</v>
      </c>
      <c r="AO142" s="49">
        <f ca="1">SUM(AN142)+KLL_II_2020!CA_gross_sales_gas</f>
        <v>0</v>
      </c>
      <c r="AP142" s="49">
        <f ca="1">SUM(AO142)+KLL_II_2020!CA_gross_sales_gas</f>
        <v>0</v>
      </c>
      <c r="AQ142" s="49">
        <f ca="1">SUM(AP142)+KLL_II_2020!CA_gross_sales_gas</f>
        <v>0</v>
      </c>
      <c r="AR142" s="49">
        <f ca="1">SUM(AQ142)+KLL_II_2020!CA_gross_sales_gas</f>
        <v>0</v>
      </c>
      <c r="AS142" s="49">
        <f ca="1">SUM(AR142)+KLL_II_2020!CA_gross_sales_gas</f>
        <v>0</v>
      </c>
      <c r="AT142" s="49">
        <f ca="1">SUM(AS142)+KLL_II_2020!CA_gross_sales_gas</f>
        <v>0</v>
      </c>
      <c r="AU142" s="49">
        <f ca="1">SUM(AT142)+KLL_II_2020!CA_gross_sales_gas</f>
        <v>0</v>
      </c>
      <c r="AV142" s="49">
        <f ca="1">SUM(AU142)+KLL_II_2020!CA_gross_sales_gas</f>
        <v>0</v>
      </c>
      <c r="AW142" s="49">
        <f ca="1">SUM(AV142)+KLL_II_2020!CA_gross_sales_gas</f>
        <v>0</v>
      </c>
      <c r="AX142" s="49">
        <f ca="1">SUM(AW142)+KLL_II_2020!CA_gross_sales_gas</f>
        <v>0</v>
      </c>
      <c r="AY142" s="49">
        <f ca="1">SUM(AX142)+KLL_II_2020!CA_gross_sales_gas</f>
        <v>0</v>
      </c>
      <c r="AZ142" s="49">
        <f ca="1">SUM(AY142)+KLL_II_2020!CA_gross_sales_gas</f>
        <v>0</v>
      </c>
      <c r="BA142" s="49">
        <f ca="1">SUM(AZ142)+KLL_II_2020!CA_gross_sales_gas</f>
        <v>0</v>
      </c>
      <c r="BB142" s="49">
        <f ca="1">SUM(BA142)+KLL_II_2020!CA_gross_sales_gas</f>
        <v>0</v>
      </c>
      <c r="BC142" s="49">
        <f ca="1">SUM(BB142)+KLL_II_2020!CA_gross_sales_gas</f>
        <v>0</v>
      </c>
      <c r="BD142" s="49">
        <f ca="1">SUM(BC142)+KLL_II_2020!CA_gross_sales_gas</f>
        <v>0</v>
      </c>
      <c r="BE142" s="49">
        <f ca="1">SUM(BD142)+KLL_II_2020!CA_gross_sales_gas</f>
        <v>0</v>
      </c>
      <c r="BF142" s="49">
        <f ca="1">SUM(BE142)+KLL_II_2020!CA_gross_sales_gas</f>
        <v>0</v>
      </c>
      <c r="BG142" s="49">
        <f ca="1">SUM(BF142)+KLL_II_2020!CA_gross_sales_gas</f>
        <v>0</v>
      </c>
      <c r="BH142" s="49">
        <f ca="1">SUM(BG142)+KLL_II_2020!CA_gross_sales_gas</f>
        <v>0</v>
      </c>
      <c r="BI142" s="49">
        <f ca="1">SUM(BH142)+KLL_II_2020!CA_gross_sales_gas</f>
        <v>0</v>
      </c>
      <c r="BJ142" s="49">
        <f ca="1">SUM(BI142)+KLL_II_2020!CA_gross_sales_gas</f>
        <v>0</v>
      </c>
      <c r="BK142" s="49">
        <f ca="1">SUM(BJ142)+KLL_II_2020!CA_gross_sales_gas</f>
        <v>0</v>
      </c>
      <c r="BL142" s="49">
        <f ca="1">SUM(BK142)+KLL_II_2020!CA_gross_sales_gas</f>
        <v>0</v>
      </c>
      <c r="BM142" s="49">
        <f ca="1">SUM(BL142)+KLL_II_2020!CA_gross_sales_gas</f>
        <v>0</v>
      </c>
      <c r="BN142" s="49">
        <f ca="1">SUM(BM142)+KLL_II_2020!CA_gross_sales_gas</f>
        <v>0</v>
      </c>
      <c r="BO142" s="49">
        <f ca="1">SUM(BN142)+KLL_II_2020!CA_gross_sales_gas</f>
        <v>0</v>
      </c>
      <c r="BP142" s="49">
        <f ca="1">SUM(BO142)+KLL_II_2020!CA_gross_sales_gas</f>
        <v>0</v>
      </c>
      <c r="BQ142" s="49">
        <f ca="1">SUM(BP142)+KLL_II_2020!CA_gross_sales_gas</f>
        <v>0</v>
      </c>
      <c r="BR142" s="49">
        <f ca="1">SUM(BQ142)+KLL_II_2020!CA_gross_sales_gas</f>
        <v>0</v>
      </c>
      <c r="BS142" s="49">
        <f ca="1">SUM(BR142)+KLL_II_2020!CA_gross_sales_gas</f>
        <v>0</v>
      </c>
    </row>
    <row r="143" spans="1:93" outlineLevel="1" x14ac:dyDescent="0.2">
      <c r="D143" s="47" t="str">
        <f>HM_ZD_Moho!D151</f>
        <v>Total</v>
      </c>
      <c r="E143" s="6"/>
      <c r="F143" s="6"/>
      <c r="G143" s="6"/>
      <c r="H143" s="6"/>
      <c r="I143" s="6"/>
      <c r="J143" s="6"/>
      <c r="K143" s="7" t="s">
        <v>674</v>
      </c>
      <c r="L143" s="49">
        <f t="shared" ref="L143:BS143" ca="1" si="66">SUM(L140,L141,L142/conv_CMtoBbls)</f>
        <v>218.11364</v>
      </c>
      <c r="M143" s="49">
        <f t="shared" ca="1" si="66"/>
        <v>223.93766300000001</v>
      </c>
      <c r="N143" s="49">
        <f t="shared" ca="1" si="66"/>
        <v>229.93487000000002</v>
      </c>
      <c r="O143" s="49">
        <f t="shared" ca="1" si="66"/>
        <v>236.11992700000002</v>
      </c>
      <c r="P143" s="49">
        <f t="shared" ca="1" si="66"/>
        <v>241.68162300000003</v>
      </c>
      <c r="Q143" s="49">
        <f t="shared" ca="1" si="66"/>
        <v>247.67139500000002</v>
      </c>
      <c r="R143" s="49">
        <f t="shared" ca="1" si="66"/>
        <v>253.86356600000002</v>
      </c>
      <c r="S143" s="49">
        <f t="shared" ca="1" si="66"/>
        <v>259.426466</v>
      </c>
      <c r="T143" s="49">
        <f t="shared" ca="1" si="66"/>
        <v>264.599963</v>
      </c>
      <c r="U143" s="49">
        <f t="shared" ca="1" si="66"/>
        <v>269.41131521</v>
      </c>
      <c r="V143" s="49">
        <f t="shared" ca="1" si="66"/>
        <v>273.88587276530001</v>
      </c>
      <c r="W143" s="49">
        <f t="shared" ca="1" si="66"/>
        <v>278.04721129172901</v>
      </c>
      <c r="X143" s="49">
        <f t="shared" ca="1" si="66"/>
        <v>281.91725612130796</v>
      </c>
      <c r="Y143" s="49">
        <f t="shared" ca="1" si="66"/>
        <v>281.91725612130796</v>
      </c>
      <c r="Z143" s="49">
        <f t="shared" ca="1" si="66"/>
        <v>281.91725612130796</v>
      </c>
      <c r="AA143" s="49">
        <f t="shared" ca="1" si="66"/>
        <v>281.91725612130796</v>
      </c>
      <c r="AB143" s="49">
        <f t="shared" ca="1" si="66"/>
        <v>281.91725612130796</v>
      </c>
      <c r="AC143" s="49">
        <f t="shared" ca="1" si="66"/>
        <v>281.91725612130796</v>
      </c>
      <c r="AD143" s="49">
        <f t="shared" ca="1" si="66"/>
        <v>281.91725612130796</v>
      </c>
      <c r="AE143" s="49">
        <f t="shared" ca="1" si="66"/>
        <v>281.91725612130796</v>
      </c>
      <c r="AF143" s="49">
        <f t="shared" ca="1" si="66"/>
        <v>281.91725612130796</v>
      </c>
      <c r="AG143" s="49">
        <f t="shared" ca="1" si="66"/>
        <v>281.91725612130796</v>
      </c>
      <c r="AH143" s="49">
        <f t="shared" ca="1" si="66"/>
        <v>281.91725612130796</v>
      </c>
      <c r="AI143" s="49">
        <f t="shared" ca="1" si="66"/>
        <v>281.91725612130796</v>
      </c>
      <c r="AJ143" s="49">
        <f t="shared" ca="1" si="66"/>
        <v>281.91725612130796</v>
      </c>
      <c r="AK143" s="49">
        <f t="shared" ca="1" si="66"/>
        <v>281.91725612130796</v>
      </c>
      <c r="AL143" s="49">
        <f t="shared" ca="1" si="66"/>
        <v>281.91725612130796</v>
      </c>
      <c r="AM143" s="49">
        <f t="shared" ca="1" si="66"/>
        <v>281.91725612130796</v>
      </c>
      <c r="AN143" s="49">
        <f t="shared" ca="1" si="66"/>
        <v>281.91725612130796</v>
      </c>
      <c r="AO143" s="49">
        <f t="shared" ca="1" si="66"/>
        <v>281.91725612130796</v>
      </c>
      <c r="AP143" s="49">
        <f t="shared" ca="1" si="66"/>
        <v>281.91725612130796</v>
      </c>
      <c r="AQ143" s="49">
        <f t="shared" ca="1" si="66"/>
        <v>281.91725612130796</v>
      </c>
      <c r="AR143" s="49">
        <f t="shared" ca="1" si="66"/>
        <v>281.91725612130796</v>
      </c>
      <c r="AS143" s="49">
        <f t="shared" ca="1" si="66"/>
        <v>281.91725612130796</v>
      </c>
      <c r="AT143" s="49">
        <f t="shared" ca="1" si="66"/>
        <v>281.91725612130796</v>
      </c>
      <c r="AU143" s="49">
        <f t="shared" ca="1" si="66"/>
        <v>281.91725612130796</v>
      </c>
      <c r="AV143" s="49">
        <f t="shared" ca="1" si="66"/>
        <v>281.91725612130796</v>
      </c>
      <c r="AW143" s="49">
        <f t="shared" ca="1" si="66"/>
        <v>281.91725612130796</v>
      </c>
      <c r="AX143" s="49">
        <f t="shared" ca="1" si="66"/>
        <v>281.91725612130796</v>
      </c>
      <c r="AY143" s="49">
        <f t="shared" ca="1" si="66"/>
        <v>281.91725612130796</v>
      </c>
      <c r="AZ143" s="49">
        <f t="shared" ca="1" si="66"/>
        <v>281.91725612130796</v>
      </c>
      <c r="BA143" s="49">
        <f t="shared" ca="1" si="66"/>
        <v>281.91725612130796</v>
      </c>
      <c r="BB143" s="49">
        <f t="shared" ca="1" si="66"/>
        <v>281.91725612130796</v>
      </c>
      <c r="BC143" s="49">
        <f t="shared" ca="1" si="66"/>
        <v>281.91725612130796</v>
      </c>
      <c r="BD143" s="49">
        <f t="shared" ca="1" si="66"/>
        <v>281.91725612130796</v>
      </c>
      <c r="BE143" s="49">
        <f t="shared" ca="1" si="66"/>
        <v>281.91725612130796</v>
      </c>
      <c r="BF143" s="49">
        <f t="shared" ca="1" si="66"/>
        <v>281.91725612130796</v>
      </c>
      <c r="BG143" s="49">
        <f t="shared" ca="1" si="66"/>
        <v>281.91725612130796</v>
      </c>
      <c r="BH143" s="49">
        <f t="shared" ca="1" si="66"/>
        <v>281.91725612130796</v>
      </c>
      <c r="BI143" s="49">
        <f t="shared" ca="1" si="66"/>
        <v>281.91725612130796</v>
      </c>
      <c r="BJ143" s="49">
        <f t="shared" ca="1" si="66"/>
        <v>281.91725612130796</v>
      </c>
      <c r="BK143" s="49">
        <f t="shared" ca="1" si="66"/>
        <v>281.91725612130796</v>
      </c>
      <c r="BL143" s="49">
        <f t="shared" ca="1" si="66"/>
        <v>281.91725612130796</v>
      </c>
      <c r="BM143" s="49">
        <f t="shared" ca="1" si="66"/>
        <v>281.91725612130796</v>
      </c>
      <c r="BN143" s="49">
        <f t="shared" ca="1" si="66"/>
        <v>281.91725612130796</v>
      </c>
      <c r="BO143" s="49">
        <f t="shared" ca="1" si="66"/>
        <v>281.91725612130796</v>
      </c>
      <c r="BP143" s="49">
        <f t="shared" ca="1" si="66"/>
        <v>281.91725612130796</v>
      </c>
      <c r="BQ143" s="49">
        <f t="shared" ca="1" si="66"/>
        <v>281.91725612130796</v>
      </c>
      <c r="BR143" s="49">
        <f t="shared" ca="1" si="66"/>
        <v>281.91725612130796</v>
      </c>
      <c r="BS143" s="49">
        <f t="shared" ca="1" si="66"/>
        <v>281.91725612130796</v>
      </c>
    </row>
    <row r="144" spans="1:93" outlineLevel="1" x14ac:dyDescent="0.2">
      <c r="J144" s="26"/>
      <c r="L144" s="55"/>
      <c r="M144" s="55"/>
      <c r="N144" s="55"/>
      <c r="O144" s="55"/>
      <c r="P144" s="55"/>
      <c r="Q144" s="55"/>
      <c r="R144" s="55"/>
      <c r="S144" s="55"/>
      <c r="T144" s="55"/>
      <c r="U144" s="55"/>
      <c r="V144" s="55"/>
      <c r="W144" s="55"/>
      <c r="X144" s="55"/>
      <c r="Y144" s="55"/>
      <c r="Z144" s="55"/>
      <c r="AA144" s="55"/>
      <c r="AB144" s="55"/>
      <c r="AC144" s="55"/>
      <c r="AD144" s="55"/>
      <c r="AE144" s="55"/>
      <c r="AF144" s="55"/>
      <c r="AG144" s="55"/>
      <c r="AH144" s="55"/>
      <c r="AI144" s="55"/>
      <c r="AJ144" s="55"/>
      <c r="AK144" s="55"/>
      <c r="AL144" s="55"/>
      <c r="AM144" s="55"/>
      <c r="AN144" s="55"/>
      <c r="AO144" s="55"/>
      <c r="AP144" s="55"/>
      <c r="AQ144" s="55"/>
      <c r="AR144" s="55"/>
      <c r="AS144" s="55"/>
      <c r="AT144" s="55"/>
      <c r="AU144" s="55"/>
      <c r="AV144" s="55"/>
      <c r="AW144" s="55"/>
      <c r="AX144" s="55"/>
      <c r="AY144" s="55"/>
      <c r="AZ144" s="55"/>
      <c r="BA144" s="55"/>
      <c r="BB144" s="55"/>
      <c r="BC144" s="55"/>
      <c r="BD144" s="55"/>
      <c r="BE144" s="55"/>
      <c r="BF144" s="55"/>
      <c r="BG144" s="55"/>
      <c r="BH144" s="55"/>
      <c r="BI144" s="55"/>
      <c r="BJ144" s="55"/>
      <c r="BK144" s="55"/>
      <c r="BL144" s="55"/>
      <c r="BM144" s="55"/>
      <c r="BN144" s="55"/>
      <c r="BO144" s="55"/>
      <c r="BP144" s="55"/>
      <c r="BQ144" s="55"/>
      <c r="BR144" s="55"/>
      <c r="BS144" s="55"/>
    </row>
    <row r="145" spans="1:71" outlineLevel="1" x14ac:dyDescent="0.2">
      <c r="J145" s="26"/>
      <c r="L145" s="55"/>
      <c r="M145" s="55"/>
      <c r="N145" s="55"/>
      <c r="O145" s="55"/>
      <c r="P145" s="55"/>
      <c r="Q145" s="55"/>
      <c r="R145" s="55"/>
      <c r="S145" s="55"/>
      <c r="T145" s="55"/>
      <c r="U145" s="55"/>
      <c r="V145" s="55"/>
      <c r="W145" s="55"/>
      <c r="X145" s="55"/>
      <c r="Y145" s="55"/>
      <c r="Z145" s="55"/>
      <c r="AA145" s="55"/>
      <c r="AB145" s="55"/>
      <c r="AC145" s="55"/>
      <c r="AD145" s="55"/>
      <c r="AE145" s="55"/>
      <c r="AF145" s="55"/>
      <c r="AG145" s="55"/>
      <c r="AH145" s="55"/>
      <c r="AI145" s="55"/>
      <c r="AJ145" s="55"/>
      <c r="AK145" s="55"/>
      <c r="AL145" s="55"/>
      <c r="AM145" s="55"/>
      <c r="AN145" s="55"/>
      <c r="AO145" s="55"/>
      <c r="AP145" s="55"/>
      <c r="AQ145" s="55"/>
      <c r="AR145" s="55"/>
      <c r="AS145" s="55"/>
      <c r="AT145" s="55"/>
      <c r="AU145" s="55"/>
      <c r="AV145" s="55"/>
      <c r="AW145" s="55"/>
      <c r="AX145" s="55"/>
      <c r="AY145" s="55"/>
      <c r="AZ145" s="55"/>
      <c r="BA145" s="55"/>
      <c r="BB145" s="55"/>
      <c r="BC145" s="55"/>
      <c r="BD145" s="55"/>
      <c r="BE145" s="55"/>
      <c r="BF145" s="55"/>
      <c r="BG145" s="55"/>
      <c r="BH145" s="55"/>
      <c r="BI145" s="55"/>
      <c r="BJ145" s="55"/>
      <c r="BK145" s="55"/>
      <c r="BL145" s="55"/>
      <c r="BM145" s="55"/>
      <c r="BN145" s="55"/>
      <c r="BO145" s="55"/>
      <c r="BP145" s="55"/>
      <c r="BQ145" s="55"/>
      <c r="BR145" s="55"/>
      <c r="BS145" s="55"/>
    </row>
    <row r="146" spans="1:71" outlineLevel="1" x14ac:dyDescent="0.2">
      <c r="A146" s="45"/>
      <c r="B146" s="38" t="str">
        <f>HM_ZD_Moho!B154</f>
        <v>Prix</v>
      </c>
      <c r="C146" s="45"/>
      <c r="D146" s="45"/>
      <c r="E146" s="45"/>
      <c r="J146" s="26"/>
      <c r="L146" s="55"/>
      <c r="M146" s="55"/>
      <c r="N146" s="55"/>
      <c r="O146" s="55"/>
      <c r="P146" s="55"/>
      <c r="Q146" s="55"/>
      <c r="R146" s="55"/>
      <c r="S146" s="55"/>
      <c r="T146" s="55"/>
      <c r="U146" s="55"/>
      <c r="V146" s="55"/>
      <c r="W146" s="55"/>
      <c r="X146" s="55"/>
      <c r="Y146" s="55"/>
      <c r="Z146" s="55"/>
      <c r="AA146" s="55"/>
      <c r="AB146" s="55"/>
      <c r="AC146" s="55"/>
      <c r="AD146" s="55"/>
      <c r="AE146" s="55"/>
      <c r="AF146" s="55"/>
      <c r="AG146" s="55"/>
      <c r="AH146" s="55"/>
      <c r="AI146" s="55"/>
      <c r="AJ146" s="55"/>
      <c r="AK146" s="55"/>
      <c r="AL146" s="55"/>
      <c r="AM146" s="55"/>
      <c r="AN146" s="55"/>
      <c r="AO146" s="55"/>
      <c r="AP146" s="55"/>
      <c r="AQ146" s="55"/>
      <c r="AR146" s="55"/>
      <c r="AS146" s="55"/>
      <c r="AT146" s="55"/>
      <c r="AU146" s="55"/>
      <c r="AV146" s="55"/>
      <c r="AW146" s="55"/>
      <c r="AX146" s="55"/>
      <c r="AY146" s="55"/>
      <c r="AZ146" s="55"/>
      <c r="BA146" s="55"/>
      <c r="BB146" s="55"/>
      <c r="BC146" s="55"/>
      <c r="BD146" s="55"/>
      <c r="BE146" s="55"/>
      <c r="BF146" s="55"/>
      <c r="BG146" s="55"/>
      <c r="BH146" s="55"/>
      <c r="BI146" s="55"/>
      <c r="BJ146" s="55"/>
      <c r="BK146" s="55"/>
      <c r="BL146" s="55"/>
      <c r="BM146" s="55"/>
      <c r="BN146" s="55"/>
      <c r="BO146" s="55"/>
      <c r="BP146" s="55"/>
      <c r="BQ146" s="55"/>
      <c r="BR146" s="55"/>
      <c r="BS146" s="55"/>
    </row>
    <row r="147" spans="1:71" outlineLevel="1" x14ac:dyDescent="0.2">
      <c r="J147" s="26"/>
      <c r="L147" s="55"/>
      <c r="M147" s="55"/>
      <c r="N147" s="55"/>
      <c r="O147" s="55"/>
      <c r="P147" s="55"/>
      <c r="Q147" s="55"/>
      <c r="R147" s="55"/>
      <c r="S147" s="55"/>
      <c r="T147" s="55"/>
      <c r="U147" s="55"/>
      <c r="V147" s="55"/>
      <c r="W147" s="55"/>
      <c r="X147" s="55"/>
      <c r="Y147" s="55"/>
      <c r="Z147" s="55"/>
      <c r="AA147" s="55"/>
      <c r="AB147" s="55"/>
      <c r="AC147" s="55"/>
      <c r="AD147" s="55"/>
      <c r="AE147" s="55"/>
      <c r="AF147" s="55"/>
      <c r="AG147" s="55"/>
      <c r="AH147" s="55"/>
      <c r="AI147" s="55"/>
      <c r="AJ147" s="55"/>
      <c r="AK147" s="55"/>
      <c r="AL147" s="55"/>
      <c r="AM147" s="55"/>
      <c r="AN147" s="55"/>
      <c r="AO147" s="55"/>
      <c r="AP147" s="55"/>
      <c r="AQ147" s="55"/>
      <c r="AR147" s="55"/>
      <c r="AS147" s="55"/>
      <c r="AT147" s="55"/>
      <c r="AU147" s="55"/>
      <c r="AV147" s="55"/>
      <c r="AW147" s="55"/>
      <c r="AX147" s="55"/>
      <c r="AY147" s="55"/>
      <c r="AZ147" s="55"/>
      <c r="BA147" s="55"/>
      <c r="BB147" s="55"/>
      <c r="BC147" s="55"/>
      <c r="BD147" s="55"/>
      <c r="BE147" s="55"/>
      <c r="BF147" s="55"/>
      <c r="BG147" s="55"/>
      <c r="BH147" s="55"/>
      <c r="BI147" s="55"/>
      <c r="BJ147" s="55"/>
      <c r="BK147" s="55"/>
      <c r="BL147" s="55"/>
      <c r="BM147" s="55"/>
      <c r="BN147" s="55"/>
      <c r="BO147" s="55"/>
      <c r="BP147" s="55"/>
      <c r="BQ147" s="55"/>
      <c r="BR147" s="55"/>
      <c r="BS147" s="55"/>
    </row>
    <row r="148" spans="1:71" outlineLevel="1" x14ac:dyDescent="0.2">
      <c r="C148" s="11" t="str">
        <f>HM_ZD_Moho!C156</f>
        <v>Prix du marché (PF)</v>
      </c>
      <c r="J148" s="26"/>
      <c r="L148" s="55"/>
      <c r="M148" s="55"/>
      <c r="N148" s="55"/>
      <c r="O148" s="55"/>
      <c r="P148" s="55"/>
      <c r="Q148" s="55"/>
      <c r="R148" s="55"/>
      <c r="S148" s="55"/>
      <c r="T148" s="55"/>
      <c r="U148" s="55"/>
      <c r="V148" s="55"/>
      <c r="W148" s="55"/>
      <c r="X148" s="55"/>
      <c r="Y148" s="55"/>
      <c r="Z148" s="55"/>
      <c r="AA148" s="55"/>
      <c r="AB148" s="55"/>
      <c r="AC148" s="55"/>
      <c r="AD148" s="55"/>
      <c r="AE148" s="55"/>
      <c r="AF148" s="55"/>
      <c r="AG148" s="55"/>
      <c r="AH148" s="55"/>
      <c r="AI148" s="55"/>
      <c r="AJ148" s="55"/>
      <c r="AK148" s="55"/>
      <c r="AL148" s="55"/>
      <c r="AM148" s="55"/>
      <c r="AN148" s="55"/>
      <c r="AO148" s="55"/>
      <c r="AP148" s="55"/>
      <c r="AQ148" s="55"/>
      <c r="AR148" s="55"/>
      <c r="AS148" s="55"/>
      <c r="AT148" s="55"/>
      <c r="AU148" s="55"/>
      <c r="AV148" s="55"/>
      <c r="AW148" s="55"/>
      <c r="AX148" s="55"/>
      <c r="AY148" s="55"/>
      <c r="AZ148" s="55"/>
      <c r="BA148" s="55"/>
      <c r="BB148" s="55"/>
      <c r="BC148" s="55"/>
      <c r="BD148" s="55"/>
      <c r="BE148" s="55"/>
      <c r="BF148" s="55"/>
      <c r="BG148" s="55"/>
      <c r="BH148" s="55"/>
      <c r="BI148" s="55"/>
      <c r="BJ148" s="55"/>
      <c r="BK148" s="55"/>
      <c r="BL148" s="55"/>
      <c r="BM148" s="55"/>
      <c r="BN148" s="55"/>
      <c r="BO148" s="55"/>
      <c r="BP148" s="55"/>
      <c r="BQ148" s="55"/>
      <c r="BR148" s="55"/>
      <c r="BS148" s="55"/>
    </row>
    <row r="149" spans="1:71" outlineLevel="1" x14ac:dyDescent="0.2">
      <c r="D149" t="str">
        <f>HM_ZD_Moho!D157</f>
        <v>Prix du pétrole (nominal)</v>
      </c>
      <c r="J149" s="26" t="s">
        <v>46</v>
      </c>
      <c r="K149" s="7" t="s">
        <v>141</v>
      </c>
      <c r="L149" s="49">
        <f ca="1">OFFSET(_xlfn.SINGLE(IA_oilprice_nominal),4,)</f>
        <v>105.56594625304467</v>
      </c>
      <c r="M149" s="49">
        <f ca="1">OFFSET(_xlfn.SINGLE(IA_oilprice_nominal),4,)</f>
        <v>96.087837772974183</v>
      </c>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c r="AL149" s="49"/>
      <c r="AM149" s="49"/>
      <c r="AN149" s="49"/>
      <c r="AO149" s="49"/>
      <c r="AP149" s="49"/>
      <c r="AQ149" s="49"/>
      <c r="AR149" s="49"/>
      <c r="AS149" s="49"/>
      <c r="AT149" s="49"/>
      <c r="AU149" s="49"/>
      <c r="AV149" s="49"/>
      <c r="AW149" s="49"/>
      <c r="AX149" s="49"/>
      <c r="AY149" s="49"/>
      <c r="AZ149" s="49"/>
      <c r="BA149" s="49"/>
      <c r="BB149" s="49"/>
      <c r="BC149" s="49"/>
      <c r="BD149" s="49"/>
      <c r="BE149" s="49"/>
      <c r="BF149" s="49"/>
      <c r="BG149" s="49"/>
      <c r="BH149" s="49"/>
      <c r="BI149" s="49"/>
      <c r="BJ149" s="49"/>
      <c r="BK149" s="49"/>
      <c r="BL149" s="49"/>
      <c r="BM149" s="49"/>
      <c r="BN149" s="49"/>
      <c r="BO149" s="49"/>
      <c r="BP149" s="49"/>
      <c r="BQ149" s="49"/>
      <c r="BR149" s="49"/>
      <c r="BS149" s="49"/>
    </row>
    <row r="150" spans="1:71" outlineLevel="1" x14ac:dyDescent="0.2">
      <c r="J150" s="26"/>
      <c r="L150" s="55"/>
      <c r="M150" s="55"/>
      <c r="N150" s="55"/>
      <c r="O150" s="55"/>
      <c r="P150" s="55"/>
      <c r="Q150" s="55"/>
      <c r="R150" s="55"/>
      <c r="S150" s="55"/>
      <c r="T150" s="55"/>
      <c r="U150" s="55"/>
      <c r="V150" s="55"/>
      <c r="W150" s="55"/>
      <c r="X150" s="55"/>
      <c r="Y150" s="55"/>
      <c r="Z150" s="55"/>
      <c r="AA150" s="55"/>
      <c r="AB150" s="55"/>
      <c r="AC150" s="55"/>
      <c r="AD150" s="55"/>
      <c r="AE150" s="55"/>
      <c r="AF150" s="55"/>
      <c r="AG150" s="55"/>
      <c r="AH150" s="55"/>
      <c r="AI150" s="55"/>
      <c r="AJ150" s="55"/>
      <c r="AK150" s="55"/>
      <c r="AL150" s="55"/>
      <c r="AM150" s="55"/>
      <c r="AN150" s="55"/>
      <c r="AO150" s="55"/>
      <c r="AP150" s="55"/>
      <c r="AQ150" s="55"/>
      <c r="AR150" s="55"/>
      <c r="AS150" s="55"/>
      <c r="AT150" s="55"/>
      <c r="AU150" s="55"/>
      <c r="AV150" s="55"/>
      <c r="AW150" s="55"/>
      <c r="AX150" s="55"/>
      <c r="AY150" s="55"/>
      <c r="AZ150" s="55"/>
      <c r="BA150" s="55"/>
      <c r="BB150" s="55"/>
      <c r="BC150" s="55"/>
      <c r="BD150" s="55"/>
      <c r="BE150" s="55"/>
      <c r="BF150" s="55"/>
      <c r="BG150" s="55"/>
      <c r="BH150" s="55"/>
      <c r="BI150" s="55"/>
      <c r="BJ150" s="55"/>
      <c r="BK150" s="55"/>
      <c r="BL150" s="55"/>
      <c r="BM150" s="55"/>
      <c r="BN150" s="55"/>
      <c r="BO150" s="55"/>
      <c r="BP150" s="55"/>
      <c r="BQ150" s="55"/>
      <c r="BR150" s="55"/>
      <c r="BS150" s="55"/>
    </row>
    <row r="151" spans="1:71" outlineLevel="1" x14ac:dyDescent="0.2">
      <c r="D151" t="str">
        <f>HM_ZD_Moho!D159</f>
        <v>Prix du GPL (Nominal)</v>
      </c>
      <c r="J151" s="26" t="s">
        <v>46</v>
      </c>
      <c r="K151" s="7" t="s">
        <v>689</v>
      </c>
      <c r="L151" s="49">
        <f ca="1">OFFSET(_xlfn.SINGLE(IA_lpgprice_nominal),4,)</f>
        <v>0</v>
      </c>
      <c r="M151" s="49">
        <f ca="1">OFFSET(_xlfn.SINGLE(IA_lpgprice_nominal),4,)</f>
        <v>0</v>
      </c>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c r="AL151" s="49"/>
      <c r="AM151" s="49"/>
      <c r="AN151" s="49"/>
      <c r="AO151" s="49"/>
      <c r="AP151" s="49"/>
      <c r="AQ151" s="49"/>
      <c r="AR151" s="49"/>
      <c r="AS151" s="49"/>
      <c r="AT151" s="49"/>
      <c r="AU151" s="49"/>
      <c r="AV151" s="49"/>
      <c r="AW151" s="49"/>
      <c r="AX151" s="49"/>
      <c r="AY151" s="49"/>
      <c r="AZ151" s="49"/>
      <c r="BA151" s="49"/>
      <c r="BB151" s="49"/>
      <c r="BC151" s="49"/>
      <c r="BD151" s="49"/>
      <c r="BE151" s="49"/>
      <c r="BF151" s="49"/>
      <c r="BG151" s="49"/>
      <c r="BH151" s="49"/>
      <c r="BI151" s="49"/>
      <c r="BJ151" s="49"/>
      <c r="BK151" s="49"/>
      <c r="BL151" s="49"/>
      <c r="BM151" s="49"/>
      <c r="BN151" s="49"/>
      <c r="BO151" s="49"/>
      <c r="BP151" s="49"/>
      <c r="BQ151" s="49"/>
      <c r="BR151" s="49"/>
      <c r="BS151" s="49"/>
    </row>
    <row r="152" spans="1:71" outlineLevel="1" x14ac:dyDescent="0.2">
      <c r="J152" s="26"/>
      <c r="L152" s="55"/>
      <c r="M152" s="55"/>
      <c r="N152" s="55"/>
      <c r="O152" s="55"/>
      <c r="P152" s="55"/>
      <c r="Q152" s="55"/>
      <c r="R152" s="55"/>
      <c r="S152" s="55"/>
      <c r="T152" s="55"/>
      <c r="U152" s="55"/>
      <c r="V152" s="55"/>
      <c r="W152" s="55"/>
      <c r="X152" s="55"/>
      <c r="Y152" s="55"/>
      <c r="Z152" s="55"/>
      <c r="AA152" s="55"/>
      <c r="AB152" s="55"/>
      <c r="AC152" s="55"/>
      <c r="AD152" s="55"/>
      <c r="AE152" s="55"/>
      <c r="AF152" s="55"/>
      <c r="AG152" s="55"/>
      <c r="AH152" s="55"/>
      <c r="AI152" s="55"/>
      <c r="AJ152" s="55"/>
      <c r="AK152" s="55"/>
      <c r="AL152" s="55"/>
      <c r="AM152" s="55"/>
      <c r="AN152" s="55"/>
      <c r="AO152" s="55"/>
      <c r="AP152" s="55"/>
      <c r="AQ152" s="55"/>
      <c r="AR152" s="55"/>
      <c r="AS152" s="55"/>
      <c r="AT152" s="55"/>
      <c r="AU152" s="55"/>
      <c r="AV152" s="55"/>
      <c r="AW152" s="55"/>
      <c r="AX152" s="55"/>
      <c r="AY152" s="55"/>
      <c r="AZ152" s="55"/>
      <c r="BA152" s="55"/>
      <c r="BB152" s="55"/>
      <c r="BC152" s="55"/>
      <c r="BD152" s="55"/>
      <c r="BE152" s="55"/>
      <c r="BF152" s="55"/>
      <c r="BG152" s="55"/>
      <c r="BH152" s="55"/>
      <c r="BI152" s="55"/>
      <c r="BJ152" s="55"/>
      <c r="BK152" s="55"/>
      <c r="BL152" s="55"/>
      <c r="BM152" s="55"/>
      <c r="BN152" s="55"/>
      <c r="BO152" s="55"/>
      <c r="BP152" s="55"/>
      <c r="BQ152" s="55"/>
      <c r="BR152" s="55"/>
      <c r="BS152" s="55"/>
    </row>
    <row r="153" spans="1:71" outlineLevel="1" x14ac:dyDescent="0.2">
      <c r="D153" t="str">
        <f>HM_ZD_Moho!D161</f>
        <v>Prix du gaz (Nominal)</v>
      </c>
      <c r="J153" s="26" t="s">
        <v>47</v>
      </c>
      <c r="K153" s="7" t="s">
        <v>142</v>
      </c>
      <c r="L153" s="49">
        <f ca="1">OFFSET(_xlfn.SINGLE(IA_gasprice_nominal),4,)</f>
        <v>0</v>
      </c>
      <c r="M153" s="49">
        <f ca="1">OFFSET(_xlfn.SINGLE(IA_gasprice_nominal),4,)</f>
        <v>0</v>
      </c>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c r="AL153" s="49"/>
      <c r="AM153" s="49"/>
      <c r="AN153" s="49"/>
      <c r="AO153" s="49"/>
      <c r="AP153" s="49"/>
      <c r="AQ153" s="49"/>
      <c r="AR153" s="49"/>
      <c r="AS153" s="49"/>
      <c r="AT153" s="49"/>
      <c r="AU153" s="49"/>
      <c r="AV153" s="49"/>
      <c r="AW153" s="49"/>
      <c r="AX153" s="49"/>
      <c r="AY153" s="49"/>
      <c r="AZ153" s="49"/>
      <c r="BA153" s="49"/>
      <c r="BB153" s="49"/>
      <c r="BC153" s="49"/>
      <c r="BD153" s="49"/>
      <c r="BE153" s="49"/>
      <c r="BF153" s="49"/>
      <c r="BG153" s="49"/>
      <c r="BH153" s="49"/>
      <c r="BI153" s="49"/>
      <c r="BJ153" s="49"/>
      <c r="BK153" s="49"/>
      <c r="BL153" s="49"/>
      <c r="BM153" s="49"/>
      <c r="BN153" s="49"/>
      <c r="BO153" s="49"/>
      <c r="BP153" s="49"/>
      <c r="BQ153" s="49"/>
      <c r="BR153" s="49"/>
      <c r="BS153" s="49"/>
    </row>
    <row r="154" spans="1:71" outlineLevel="1" x14ac:dyDescent="0.2">
      <c r="J154" s="26"/>
      <c r="L154" s="55"/>
      <c r="M154" s="55"/>
      <c r="N154" s="55"/>
      <c r="O154" s="55"/>
      <c r="P154" s="55"/>
      <c r="Q154" s="55"/>
      <c r="R154" s="55"/>
      <c r="S154" s="55"/>
      <c r="T154" s="55"/>
      <c r="U154" s="55"/>
      <c r="V154" s="55"/>
      <c r="W154" s="55"/>
      <c r="X154" s="55"/>
      <c r="Y154" s="55"/>
      <c r="Z154" s="55"/>
      <c r="AA154" s="55"/>
      <c r="AB154" s="55"/>
      <c r="AC154" s="55"/>
      <c r="AD154" s="55"/>
      <c r="AE154" s="55"/>
      <c r="AF154" s="55"/>
      <c r="AG154" s="55"/>
      <c r="AH154" s="55"/>
      <c r="AI154" s="55"/>
      <c r="AJ154" s="55"/>
      <c r="AK154" s="55"/>
      <c r="AL154" s="55"/>
      <c r="AM154" s="55"/>
      <c r="AN154" s="55"/>
      <c r="AO154" s="55"/>
      <c r="AP154" s="55"/>
      <c r="AQ154" s="55"/>
      <c r="AR154" s="55"/>
      <c r="AS154" s="55"/>
      <c r="AT154" s="55"/>
      <c r="AU154" s="55"/>
      <c r="AV154" s="55"/>
      <c r="AW154" s="55"/>
      <c r="AX154" s="55"/>
      <c r="AY154" s="55"/>
      <c r="AZ154" s="55"/>
      <c r="BA154" s="55"/>
      <c r="BB154" s="55"/>
      <c r="BC154" s="55"/>
      <c r="BD154" s="55"/>
      <c r="BE154" s="55"/>
      <c r="BF154" s="55"/>
      <c r="BG154" s="55"/>
      <c r="BH154" s="55"/>
      <c r="BI154" s="55"/>
      <c r="BJ154" s="55"/>
      <c r="BK154" s="55"/>
      <c r="BL154" s="55"/>
      <c r="BM154" s="55"/>
      <c r="BN154" s="55"/>
      <c r="BO154" s="55"/>
      <c r="BP154" s="55"/>
      <c r="BQ154" s="55"/>
      <c r="BR154" s="55"/>
      <c r="BS154" s="55"/>
    </row>
    <row r="155" spans="1:71" outlineLevel="1" x14ac:dyDescent="0.2">
      <c r="C155" s="11" t="str">
        <f>HM_ZD_Moho!C163</f>
        <v>Prix Haut (PH)</v>
      </c>
      <c r="J155" s="26"/>
      <c r="L155" s="55"/>
      <c r="M155" s="55"/>
      <c r="N155" s="55"/>
      <c r="O155" s="55"/>
      <c r="P155" s="55"/>
      <c r="Q155" s="55"/>
      <c r="R155" s="55"/>
      <c r="S155" s="55"/>
      <c r="T155" s="55"/>
      <c r="U155" s="55"/>
      <c r="V155" s="55"/>
      <c r="W155" s="55"/>
      <c r="X155" s="55"/>
      <c r="Y155" s="55"/>
      <c r="Z155" s="55"/>
      <c r="AA155" s="55"/>
      <c r="AB155" s="55"/>
      <c r="AC155" s="55"/>
      <c r="AD155" s="55"/>
      <c r="AE155" s="55"/>
      <c r="AF155" s="55"/>
      <c r="AG155" s="55"/>
      <c r="AH155" s="55"/>
      <c r="AI155" s="55"/>
      <c r="AJ155" s="55"/>
      <c r="AK155" s="55"/>
      <c r="AL155" s="55"/>
      <c r="AM155" s="55"/>
      <c r="AN155" s="55"/>
      <c r="AO155" s="55"/>
      <c r="AP155" s="55"/>
      <c r="AQ155" s="55"/>
      <c r="AR155" s="55"/>
      <c r="AS155" s="55"/>
      <c r="AT155" s="55"/>
      <c r="AU155" s="55"/>
      <c r="AV155" s="55"/>
      <c r="AW155" s="55"/>
      <c r="AX155" s="55"/>
      <c r="AY155" s="55"/>
      <c r="AZ155" s="55"/>
      <c r="BA155" s="55"/>
      <c r="BB155" s="55"/>
      <c r="BC155" s="55"/>
      <c r="BD155" s="55"/>
      <c r="BE155" s="55"/>
      <c r="BF155" s="55"/>
      <c r="BG155" s="55"/>
      <c r="BH155" s="55"/>
      <c r="BI155" s="55"/>
      <c r="BJ155" s="55"/>
      <c r="BK155" s="55"/>
      <c r="BL155" s="55"/>
      <c r="BM155" s="55"/>
      <c r="BN155" s="55"/>
      <c r="BO155" s="55"/>
      <c r="BP155" s="55"/>
      <c r="BQ155" s="55"/>
      <c r="BR155" s="55"/>
      <c r="BS155" s="55"/>
    </row>
    <row r="156" spans="1:71" outlineLevel="1" x14ac:dyDescent="0.2">
      <c r="D156" t="str">
        <f>CHOOSE(db_ML_selected,'Liste Traduction'!B480,'Liste Traduction'!C480)</f>
        <v>PH du prix du pétrole (nominal)</v>
      </c>
      <c r="J156" s="26" t="s">
        <v>46</v>
      </c>
      <c r="K156" s="7" t="s">
        <v>143</v>
      </c>
      <c r="L156" s="49">
        <f ca="1">IF(L$4&gt;YEAR(HM_ZD_AM3_2005!HP_date),OFFSET(_xlfn.SINGLE(IA_historic_HP),4,),HM_ZD_AM3_2005!HP*_xlfn.SINGLE(CA_infl_index_HP))</f>
        <v>27.028749999999999</v>
      </c>
      <c r="M156" s="49">
        <f ca="1">IF(M$4&gt;YEAR(HM_ZD_AM3_2005!HP_date),OFFSET(_xlfn.SINGLE(IA_historic_HP),4,),HM_ZD_AM3_2005!HP*_xlfn.SINGLE(CA_infl_index_HP))</f>
        <v>27.382999999999999</v>
      </c>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c r="AL156" s="49"/>
      <c r="AM156" s="49"/>
      <c r="AN156" s="49"/>
      <c r="AO156" s="49"/>
      <c r="AP156" s="49"/>
      <c r="AQ156" s="49"/>
      <c r="AR156" s="49"/>
      <c r="AS156" s="49"/>
      <c r="AT156" s="49"/>
      <c r="AU156" s="49"/>
      <c r="AV156" s="49"/>
      <c r="AW156" s="49"/>
      <c r="AX156" s="49"/>
      <c r="AY156" s="49"/>
      <c r="AZ156" s="49"/>
      <c r="BA156" s="49"/>
      <c r="BB156" s="49"/>
      <c r="BC156" s="49"/>
      <c r="BD156" s="49"/>
      <c r="BE156" s="49"/>
      <c r="BF156" s="49"/>
      <c r="BG156" s="49"/>
      <c r="BH156" s="49"/>
      <c r="BI156" s="49"/>
      <c r="BJ156" s="49"/>
      <c r="BK156" s="49"/>
      <c r="BL156" s="49"/>
      <c r="BM156" s="49"/>
      <c r="BN156" s="49"/>
      <c r="BO156" s="49"/>
      <c r="BP156" s="49"/>
      <c r="BQ156" s="49"/>
      <c r="BR156" s="49"/>
      <c r="BS156" s="49"/>
    </row>
    <row r="157" spans="1:71" outlineLevel="1" x14ac:dyDescent="0.2">
      <c r="J157" s="26"/>
      <c r="L157" s="55"/>
      <c r="M157" s="55"/>
      <c r="N157" s="55"/>
      <c r="O157" s="55"/>
      <c r="P157" s="55"/>
      <c r="Q157" s="55"/>
      <c r="R157" s="55"/>
      <c r="S157" s="55"/>
      <c r="T157" s="55"/>
      <c r="U157" s="55"/>
      <c r="V157" s="55"/>
      <c r="W157" s="55"/>
      <c r="X157" s="55"/>
      <c r="Y157" s="55"/>
      <c r="Z157" s="55"/>
      <c r="AA157" s="55"/>
      <c r="AB157" s="55"/>
      <c r="AC157" s="55"/>
      <c r="AD157" s="55"/>
      <c r="AE157" s="55"/>
      <c r="AF157" s="55"/>
      <c r="AG157" s="55"/>
      <c r="AH157" s="55"/>
      <c r="AI157" s="55"/>
      <c r="AJ157" s="55"/>
      <c r="AK157" s="55"/>
      <c r="AL157" s="55"/>
      <c r="AM157" s="55"/>
      <c r="AN157" s="55"/>
      <c r="AO157" s="55"/>
      <c r="AP157" s="55"/>
      <c r="AQ157" s="55"/>
      <c r="AR157" s="55"/>
      <c r="AS157" s="55"/>
      <c r="AT157" s="55"/>
      <c r="AU157" s="55"/>
      <c r="AV157" s="55"/>
      <c r="AW157" s="55"/>
      <c r="AX157" s="55"/>
      <c r="AY157" s="55"/>
      <c r="AZ157" s="55"/>
      <c r="BA157" s="55"/>
      <c r="BB157" s="55"/>
      <c r="BC157" s="55"/>
      <c r="BD157" s="55"/>
      <c r="BE157" s="55"/>
      <c r="BF157" s="55"/>
      <c r="BG157" s="55"/>
      <c r="BH157" s="55"/>
      <c r="BI157" s="55"/>
      <c r="BJ157" s="55"/>
      <c r="BK157" s="55"/>
      <c r="BL157" s="55"/>
      <c r="BM157" s="55"/>
      <c r="BN157" s="55"/>
      <c r="BO157" s="55"/>
      <c r="BP157" s="55"/>
      <c r="BQ157" s="55"/>
      <c r="BR157" s="55"/>
      <c r="BS157" s="55"/>
    </row>
    <row r="158" spans="1:71" outlineLevel="1" x14ac:dyDescent="0.2">
      <c r="D158" t="str">
        <f>HM_ZD_Moho!D168</f>
        <v>Prix du pétrole (nominal) pour le Cost Stop</v>
      </c>
      <c r="J158" s="26" t="s">
        <v>46</v>
      </c>
      <c r="K158" s="7" t="s">
        <v>426</v>
      </c>
      <c r="L158" s="49">
        <f>IF(L$4&gt;=YEAR(HM_ZD_AM3_2005!HP_date),INDEX(FA_CS_HP,2)*CA_infl_index_HP,0)</f>
        <v>24.289777670399999</v>
      </c>
      <c r="M158" s="49">
        <f>IF(M$4&gt;=YEAR(HM_ZD_AM3_2005!HP_date),INDEX(FA_CS_HP,2)*CA_infl_index_HP,0)</f>
        <v>24.775573223808003</v>
      </c>
      <c r="N158" s="49">
        <f>IF(N$4&gt;=YEAR(HM_ZD_AM3_2005!HP_date),INDEX(FA_CS_HP,2)*CA_infl_index_HP,0)</f>
        <v>25.271084688284155</v>
      </c>
      <c r="O158" s="49">
        <f>IF(O$4&gt;=YEAR(HM_ZD_AM3_2005!HP_date),INDEX(FA_CS_HP,2)*CA_infl_index_HP,0)</f>
        <v>25.776506382049842</v>
      </c>
      <c r="P158" s="49">
        <f>IF(P$4&gt;=YEAR(HM_ZD_AM3_2005!HP_date),INDEX(FA_CS_HP,2)*CA_infl_index_HP,0)</f>
        <v>26.292036509690838</v>
      </c>
      <c r="Q158" s="49">
        <f>IF(Q$4&gt;=YEAR(HM_ZD_AM3_2005!HP_date),INDEX(FA_CS_HP,2)*CA_infl_index_HP,0)</f>
        <v>26.817877239884655</v>
      </c>
      <c r="R158" s="49">
        <f>IF(R$4&gt;=YEAR(HM_ZD_AM3_2005!HP_date),INDEX(FA_CS_HP,2)*CA_infl_index_HP,0)</f>
        <v>27.354234784682344</v>
      </c>
      <c r="S158" s="49">
        <f>IF(S$4&gt;=YEAR(HM_ZD_AM3_2005!HP_date),INDEX(FA_CS_HP,2)*CA_infl_index_HP,0)</f>
        <v>27.901319480375996</v>
      </c>
      <c r="T158" s="49">
        <f>IF(T$4&gt;=YEAR(HM_ZD_AM3_2005!HP_date),INDEX(FA_CS_HP,2)*CA_infl_index_HP,0)</f>
        <v>28.459345869983515</v>
      </c>
      <c r="U158" s="49">
        <f>IF(U$4&gt;=YEAR(HM_ZD_AM3_2005!HP_date),INDEX(FA_CS_HP,2)*CA_infl_index_HP,0)</f>
        <v>29.028532787383188</v>
      </c>
      <c r="V158" s="49">
        <f>IF(V$4&gt;=YEAR(HM_ZD_AM3_2005!HP_date),INDEX(FA_CS_HP,2)*CA_infl_index_HP,0)</f>
        <v>29.609103443130842</v>
      </c>
      <c r="W158" s="49">
        <f>IF(W$4&gt;=YEAR(HM_ZD_AM3_2005!HP_date),INDEX(FA_CS_HP,2)*CA_infl_index_HP,0)</f>
        <v>30.201285511993465</v>
      </c>
      <c r="X158" s="49">
        <f>IF(X$4&gt;=YEAR(HM_ZD_AM3_2005!HP_date),INDEX(FA_CS_HP,2)*CA_infl_index_HP,0)</f>
        <v>30.805311222233335</v>
      </c>
      <c r="Y158" s="49">
        <f>IF(Y$4&gt;=YEAR(HM_ZD_AM3_2005!HP_date),INDEX(FA_CS_HP,2)*CA_infl_index_HP,0)</f>
        <v>31.421417446677999</v>
      </c>
      <c r="Z158" s="49">
        <f>IF(Z$4&gt;=YEAR(HM_ZD_AM3_2005!HP_date),INDEX(FA_CS_HP,2)*CA_infl_index_HP,0)</f>
        <v>32.04984579561156</v>
      </c>
      <c r="AA158" s="49">
        <f>IF(AA$4&gt;=YEAR(HM_ZD_AM3_2005!HP_date),INDEX(FA_CS_HP,2)*CA_infl_index_HP,0)</f>
        <v>32.690842711523793</v>
      </c>
      <c r="AB158" s="49">
        <f>IF(AB$4&gt;=YEAR(HM_ZD_AM3_2005!HP_date),INDEX(FA_CS_HP,2)*CA_infl_index_HP,0)</f>
        <v>33.34465956575427</v>
      </c>
      <c r="AC158" s="49">
        <f>IF(AC$4&gt;=YEAR(HM_ZD_AM3_2005!HP_date),INDEX(FA_CS_HP,2)*CA_infl_index_HP,0)</f>
        <v>34.011552757069353</v>
      </c>
      <c r="AD158" s="49">
        <f>IF(AD$4&gt;=YEAR(HM_ZD_AM3_2005!HP_date),INDEX(FA_CS_HP,2)*CA_infl_index_HP,0)</f>
        <v>34.691783812210737</v>
      </c>
      <c r="AE158" s="49">
        <f>IF(AE$4&gt;=YEAR(HM_ZD_AM3_2005!HP_date),INDEX(FA_CS_HP,2)*CA_infl_index_HP,0)</f>
        <v>35.38561948845495</v>
      </c>
      <c r="AF158" s="49">
        <f>IF(AF$4&gt;=YEAR(HM_ZD_AM3_2005!HP_date),INDEX(FA_CS_HP,2)*CA_infl_index_HP,0)</f>
        <v>36.093331878224049</v>
      </c>
      <c r="AG158" s="49">
        <f>IF(AG$4&gt;=YEAR(HM_ZD_AM3_2005!HP_date),INDEX(FA_CS_HP,2)*CA_infl_index_HP,0)</f>
        <v>36.815198515788538</v>
      </c>
      <c r="AH158" s="49">
        <f>IF(AH$4&gt;=YEAR(HM_ZD_AM3_2005!HP_date),INDEX(FA_CS_HP,2)*CA_infl_index_HP,0)</f>
        <v>37.551502486104297</v>
      </c>
      <c r="AI158" s="49">
        <f>IF(AI$4&gt;=YEAR(HM_ZD_AM3_2005!HP_date),INDEX(FA_CS_HP,2)*CA_infl_index_HP,0)</f>
        <v>38.302532535826394</v>
      </c>
      <c r="AJ158" s="49">
        <f>IF(AJ$4&gt;=YEAR(HM_ZD_AM3_2005!HP_date),INDEX(FA_CS_HP,2)*CA_infl_index_HP,0)</f>
        <v>39.068583186542917</v>
      </c>
      <c r="AK158" s="49">
        <f>IF(AK$4&gt;=YEAR(HM_ZD_AM3_2005!HP_date),INDEX(FA_CS_HP,2)*CA_infl_index_HP,0)</f>
        <v>39.849954850273775</v>
      </c>
      <c r="AL158" s="49">
        <f>IF(AL$4&gt;=YEAR(HM_ZD_AM3_2005!HP_date),INDEX(FA_CS_HP,2)*CA_infl_index_HP,0)</f>
        <v>40.646953947279243</v>
      </c>
      <c r="AM158" s="49">
        <f>IF(AM$4&gt;=YEAR(HM_ZD_AM3_2005!HP_date),INDEX(FA_CS_HP,2)*CA_infl_index_HP,0)</f>
        <v>41.459893026224833</v>
      </c>
      <c r="AN158" s="49">
        <f>IF(AN$4&gt;=YEAR(HM_ZD_AM3_2005!HP_date),INDEX(FA_CS_HP,2)*CA_infl_index_HP,0)</f>
        <v>42.289090886749335</v>
      </c>
      <c r="AO158" s="49">
        <f>IF(AO$4&gt;=YEAR(HM_ZD_AM3_2005!HP_date),INDEX(FA_CS_HP,2)*CA_infl_index_HP,0)</f>
        <v>43.134872704484316</v>
      </c>
      <c r="AP158" s="49">
        <f>IF(AP$4&gt;=YEAR(HM_ZD_AM3_2005!HP_date),INDEX(FA_CS_HP,2)*CA_infl_index_HP,0)</f>
        <v>43.997570158574007</v>
      </c>
      <c r="AQ158" s="49">
        <f>IF(AQ$4&gt;=YEAR(HM_ZD_AM3_2005!HP_date),INDEX(FA_CS_HP,2)*CA_infl_index_HP,0)</f>
        <v>44.877521561745482</v>
      </c>
      <c r="AR158" s="49">
        <f>IF(AR$4&gt;=YEAR(HM_ZD_AM3_2005!HP_date),INDEX(FA_CS_HP,2)*CA_infl_index_HP,0)</f>
        <v>45.775071992980401</v>
      </c>
      <c r="AS158" s="49">
        <f>IF(AS$4&gt;=YEAR(HM_ZD_AM3_2005!HP_date),INDEX(FA_CS_HP,2)*CA_infl_index_HP,0)</f>
        <v>46.690573432840011</v>
      </c>
      <c r="AT158" s="49">
        <f>IF(AT$4&gt;=YEAR(HM_ZD_AM3_2005!HP_date),INDEX(FA_CS_HP,2)*CA_infl_index_HP,0)</f>
        <v>47.624384901496789</v>
      </c>
      <c r="AU158" s="49">
        <f>IF(AU$4&gt;=YEAR(HM_ZD_AM3_2005!HP_date),INDEX(FA_CS_HP,2)*CA_infl_index_HP,0)</f>
        <v>48.576872599526737</v>
      </c>
      <c r="AV158" s="49">
        <f>IF(AV$4&gt;=YEAR(HM_ZD_AM3_2005!HP_date),INDEX(FA_CS_HP,2)*CA_infl_index_HP,0)</f>
        <v>49.548410051517273</v>
      </c>
      <c r="AW158" s="49">
        <f>IF(AW$4&gt;=YEAR(HM_ZD_AM3_2005!HP_date),INDEX(FA_CS_HP,2)*CA_infl_index_HP,0)</f>
        <v>50.539378252547614</v>
      </c>
      <c r="AX158" s="49">
        <f>IF(AX$4&gt;=YEAR(HM_ZD_AM3_2005!HP_date),INDEX(FA_CS_HP,2)*CA_infl_index_HP,0)</f>
        <v>51.550165817598568</v>
      </c>
      <c r="AY158" s="49">
        <f>IF(AY$4&gt;=YEAR(HM_ZD_AM3_2005!HP_date),INDEX(FA_CS_HP,2)*CA_infl_index_HP,0)</f>
        <v>52.581169133950546</v>
      </c>
      <c r="AZ158" s="49">
        <f>IF(AZ$4&gt;=YEAR(HM_ZD_AM3_2005!HP_date),INDEX(FA_CS_HP,2)*CA_infl_index_HP,0)</f>
        <v>53.63279251662955</v>
      </c>
      <c r="BA158" s="49">
        <f>IF(BA$4&gt;=YEAR(HM_ZD_AM3_2005!HP_date),INDEX(FA_CS_HP,2)*CA_infl_index_HP,0)</f>
        <v>54.705448366962152</v>
      </c>
      <c r="BB158" s="49">
        <f>IF(BB$4&gt;=YEAR(HM_ZD_AM3_2005!HP_date),INDEX(FA_CS_HP,2)*CA_infl_index_HP,0)</f>
        <v>55.799557334301369</v>
      </c>
      <c r="BC158" s="49">
        <f>IF(BC$4&gt;=YEAR(HM_ZD_AM3_2005!HP_date),INDEX(FA_CS_HP,2)*CA_infl_index_HP,0)</f>
        <v>56.915548480987411</v>
      </c>
      <c r="BD158" s="49">
        <f>IF(BD$4&gt;=YEAR(HM_ZD_AM3_2005!HP_date),INDEX(FA_CS_HP,2)*CA_infl_index_HP,0)</f>
        <v>58.053859450607163</v>
      </c>
      <c r="BE158" s="49">
        <f>IF(BE$4&gt;=YEAR(HM_ZD_AM3_2005!HP_date),INDEX(FA_CS_HP,2)*CA_infl_index_HP,0)</f>
        <v>59.214936639619303</v>
      </c>
      <c r="BF158" s="49">
        <f>IF(BF$4&gt;=YEAR(HM_ZD_AM3_2005!HP_date),INDEX(FA_CS_HP,2)*CA_infl_index_HP,0)</f>
        <v>60.399235372411681</v>
      </c>
      <c r="BG158" s="49">
        <f>IF(BG$4&gt;=YEAR(HM_ZD_AM3_2005!HP_date),INDEX(FA_CS_HP,2)*CA_infl_index_HP,0)</f>
        <v>61.607220079859928</v>
      </c>
      <c r="BH158" s="49">
        <f>IF(BH$4&gt;=YEAR(HM_ZD_AM3_2005!HP_date),INDEX(FA_CS_HP,2)*CA_infl_index_HP,0)</f>
        <v>62.839364481457118</v>
      </c>
      <c r="BI158" s="49">
        <f>IF(BI$4&gt;=YEAR(HM_ZD_AM3_2005!HP_date),INDEX(FA_CS_HP,2)*CA_infl_index_HP,0)</f>
        <v>64.096151771086269</v>
      </c>
      <c r="BJ158" s="49">
        <f>IF(BJ$4&gt;=YEAR(HM_ZD_AM3_2005!HP_date),INDEX(FA_CS_HP,2)*CA_infl_index_HP,0)</f>
        <v>65.378074806507968</v>
      </c>
      <c r="BK158" s="49">
        <f>IF(BK$4&gt;=YEAR(HM_ZD_AM3_2005!HP_date),INDEX(FA_CS_HP,2)*CA_infl_index_HP,0)</f>
        <v>66.68563630263813</v>
      </c>
      <c r="BL158" s="49">
        <f>IF(BL$4&gt;=YEAR(HM_ZD_AM3_2005!HP_date),INDEX(FA_CS_HP,2)*CA_infl_index_HP,0)</f>
        <v>68.019349028690897</v>
      </c>
      <c r="BM158" s="49">
        <f>IF(BM$4&gt;=YEAR(HM_ZD_AM3_2005!HP_date),INDEX(FA_CS_HP,2)*CA_infl_index_HP,0)</f>
        <v>69.379736009264718</v>
      </c>
      <c r="BN158" s="49">
        <f>IF(BN$4&gt;=YEAR(HM_ZD_AM3_2005!HP_date),INDEX(FA_CS_HP,2)*CA_infl_index_HP,0)</f>
        <v>70.767330729450009</v>
      </c>
      <c r="BO158" s="49">
        <f>IF(BO$4&gt;=YEAR(HM_ZD_AM3_2005!HP_date),INDEX(FA_CS_HP,2)*CA_infl_index_HP,0)</f>
        <v>72.182677344039021</v>
      </c>
      <c r="BP158" s="49">
        <f>IF(BP$4&gt;=YEAR(HM_ZD_AM3_2005!HP_date),INDEX(FA_CS_HP,2)*CA_infl_index_HP,0)</f>
        <v>73.626330890919803</v>
      </c>
      <c r="BQ158" s="49">
        <f>IF(BQ$4&gt;=YEAR(HM_ZD_AM3_2005!HP_date),INDEX(FA_CS_HP,2)*CA_infl_index_HP,0)</f>
        <v>75.098857508738192</v>
      </c>
      <c r="BR158" s="49">
        <f>IF(BR$4&gt;=YEAR(HM_ZD_AM3_2005!HP_date),INDEX(FA_CS_HP,2)*CA_infl_index_HP,0)</f>
        <v>76.600834658912945</v>
      </c>
      <c r="BS158" s="49">
        <f>IF(BS$4&gt;=YEAR(HM_ZD_AM3_2005!HP_date),INDEX(FA_CS_HP,2)*CA_infl_index_HP,0)</f>
        <v>78.132851352091222</v>
      </c>
    </row>
    <row r="159" spans="1:71" outlineLevel="1" x14ac:dyDescent="0.2">
      <c r="J159" s="26"/>
      <c r="L159" s="55"/>
      <c r="M159" s="55"/>
      <c r="N159" s="55"/>
      <c r="O159" s="55"/>
      <c r="P159" s="55"/>
      <c r="Q159" s="55"/>
      <c r="R159" s="55"/>
      <c r="S159" s="55"/>
      <c r="T159" s="55"/>
      <c r="U159" s="55"/>
      <c r="V159" s="55"/>
      <c r="W159" s="55"/>
      <c r="X159" s="55"/>
      <c r="Y159" s="55"/>
      <c r="Z159" s="55"/>
      <c r="AA159" s="55"/>
      <c r="AB159" s="55"/>
      <c r="AC159" s="55"/>
      <c r="AD159" s="55"/>
      <c r="AE159" s="55"/>
      <c r="AF159" s="55"/>
      <c r="AG159" s="55"/>
      <c r="AH159" s="55"/>
      <c r="AI159" s="55"/>
      <c r="AJ159" s="55"/>
      <c r="AK159" s="55"/>
      <c r="AL159" s="55"/>
      <c r="AM159" s="55"/>
      <c r="AN159" s="55"/>
      <c r="AO159" s="55"/>
      <c r="AP159" s="55"/>
      <c r="AQ159" s="55"/>
      <c r="AR159" s="55"/>
      <c r="AS159" s="55"/>
      <c r="AT159" s="55"/>
      <c r="AU159" s="55"/>
      <c r="AV159" s="55"/>
      <c r="AW159" s="55"/>
      <c r="AX159" s="55"/>
      <c r="AY159" s="55"/>
      <c r="AZ159" s="55"/>
      <c r="BA159" s="55"/>
      <c r="BB159" s="55"/>
      <c r="BC159" s="55"/>
      <c r="BD159" s="55"/>
      <c r="BE159" s="55"/>
      <c r="BF159" s="55"/>
      <c r="BG159" s="55"/>
      <c r="BH159" s="55"/>
      <c r="BI159" s="55"/>
      <c r="BJ159" s="55"/>
      <c r="BK159" s="55"/>
      <c r="BL159" s="55"/>
      <c r="BM159" s="55"/>
      <c r="BN159" s="55"/>
      <c r="BO159" s="55"/>
      <c r="BP159" s="55"/>
      <c r="BQ159" s="55"/>
      <c r="BR159" s="55"/>
      <c r="BS159" s="55"/>
    </row>
    <row r="160" spans="1:71" outlineLevel="1" x14ac:dyDescent="0.2">
      <c r="D160" t="str">
        <f>HM_ZD_Moho!D170</f>
        <v>Indice d'inflation pour le PH</v>
      </c>
      <c r="J160" s="26"/>
      <c r="K160" s="7" t="s">
        <v>425</v>
      </c>
      <c r="L160" s="49">
        <f>IF(L$4&lt;=YEAR(HM_ZD_AM3_2005!HP_date),1,(1+input_US_inflation_perc)^(L$4-YEAR(HM_ZD_AM3_2005!HP_date)))</f>
        <v>1.1040808032</v>
      </c>
      <c r="M160" s="49">
        <f>IF(M$4&lt;=YEAR(HM_ZD_AM3_2005!HP_date),1,(1+input_US_inflation_perc)^(M$4-YEAR(HM_ZD_AM3_2005!HP_date)))</f>
        <v>1.1261624192640001</v>
      </c>
      <c r="N160" s="49">
        <f>IF(N$4&lt;=YEAR(HM_ZD_AM3_2005!HP_date),1,(1+input_US_inflation_perc)^(N$4-YEAR(HM_ZD_AM3_2005!HP_date)))</f>
        <v>1.1486856676492798</v>
      </c>
      <c r="O160" s="49">
        <f>IF(O$4&lt;=YEAR(HM_ZD_AM3_2005!HP_date),1,(1+input_US_inflation_perc)^(O$4-YEAR(HM_ZD_AM3_2005!HP_date)))</f>
        <v>1.1716593810022655</v>
      </c>
      <c r="P160" s="49">
        <f>IF(P$4&lt;=YEAR(HM_ZD_AM3_2005!HP_date),1,(1+input_US_inflation_perc)^(P$4-YEAR(HM_ZD_AM3_2005!HP_date)))</f>
        <v>1.1950925686223108</v>
      </c>
      <c r="Q160" s="49">
        <f>IF(Q$4&lt;=YEAR(HM_ZD_AM3_2005!HP_date),1,(1+input_US_inflation_perc)^(Q$4-YEAR(HM_ZD_AM3_2005!HP_date)))</f>
        <v>1.2189944199947571</v>
      </c>
      <c r="R160" s="49">
        <f>IF(R$4&lt;=YEAR(HM_ZD_AM3_2005!HP_date),1,(1+input_US_inflation_perc)^(R$4-YEAR(HM_ZD_AM3_2005!HP_date)))</f>
        <v>1.243374308394652</v>
      </c>
      <c r="S160" s="49">
        <f>IF(S$4&lt;=YEAR(HM_ZD_AM3_2005!HP_date),1,(1+input_US_inflation_perc)^(S$4-YEAR(HM_ZD_AM3_2005!HP_date)))</f>
        <v>1.2682417945625453</v>
      </c>
      <c r="T160" s="49">
        <f>IF(T$4&lt;=YEAR(HM_ZD_AM3_2005!HP_date),1,(1+input_US_inflation_perc)^(T$4-YEAR(HM_ZD_AM3_2005!HP_date)))</f>
        <v>1.2936066304537961</v>
      </c>
      <c r="U160" s="49">
        <f>IF(U$4&lt;=YEAR(HM_ZD_AM3_2005!HP_date),1,(1+input_US_inflation_perc)^(U$4-YEAR(HM_ZD_AM3_2005!HP_date)))</f>
        <v>1.3194787630628722</v>
      </c>
      <c r="V160" s="49">
        <f>IF(V$4&lt;=YEAR(HM_ZD_AM3_2005!HP_date),1,(1+input_US_inflation_perc)^(V$4-YEAR(HM_ZD_AM3_2005!HP_date)))</f>
        <v>1.3458683383241292</v>
      </c>
      <c r="W160" s="49">
        <f>IF(W$4&lt;=YEAR(HM_ZD_AM3_2005!HP_date),1,(1+input_US_inflation_perc)^(W$4-YEAR(HM_ZD_AM3_2005!HP_date)))</f>
        <v>1.372785705090612</v>
      </c>
      <c r="X160" s="49">
        <f>IF(X$4&lt;=YEAR(HM_ZD_AM3_2005!HP_date),1,(1+input_US_inflation_perc)^(X$4-YEAR(HM_ZD_AM3_2005!HP_date)))</f>
        <v>1.4002414191924244</v>
      </c>
      <c r="Y160" s="49">
        <f>IF(Y$4&lt;=YEAR(HM_ZD_AM3_2005!HP_date),1,(1+input_US_inflation_perc)^(Y$4-YEAR(HM_ZD_AM3_2005!HP_date)))</f>
        <v>1.4282462475762727</v>
      </c>
      <c r="Z160" s="49">
        <f>IF(Z$4&lt;=YEAR(HM_ZD_AM3_2005!HP_date),1,(1+input_US_inflation_perc)^(Z$4-YEAR(HM_ZD_AM3_2005!HP_date)))</f>
        <v>1.4568111725277981</v>
      </c>
      <c r="AA160" s="49">
        <f>IF(AA$4&lt;=YEAR(HM_ZD_AM3_2005!HP_date),1,(1+input_US_inflation_perc)^(AA$4-YEAR(HM_ZD_AM3_2005!HP_date)))</f>
        <v>1.4859473959783542</v>
      </c>
      <c r="AB160" s="49">
        <f>IF(AB$4&lt;=YEAR(HM_ZD_AM3_2005!HP_date),1,(1+input_US_inflation_perc)^(AB$4-YEAR(HM_ZD_AM3_2005!HP_date)))</f>
        <v>1.5156663438979212</v>
      </c>
      <c r="AC160" s="49">
        <f>IF(AC$4&lt;=YEAR(HM_ZD_AM3_2005!HP_date),1,(1+input_US_inflation_perc)^(AC$4-YEAR(HM_ZD_AM3_2005!HP_date)))</f>
        <v>1.5459796707758797</v>
      </c>
      <c r="AD160" s="49">
        <f>IF(AD$4&lt;=YEAR(HM_ZD_AM3_2005!HP_date),1,(1+input_US_inflation_perc)^(AD$4-YEAR(HM_ZD_AM3_2005!HP_date)))</f>
        <v>1.576899264191397</v>
      </c>
      <c r="AE160" s="49">
        <f>IF(AE$4&lt;=YEAR(HM_ZD_AM3_2005!HP_date),1,(1+input_US_inflation_perc)^(AE$4-YEAR(HM_ZD_AM3_2005!HP_date)))</f>
        <v>1.608437249475225</v>
      </c>
      <c r="AF160" s="49">
        <f>IF(AF$4&lt;=YEAR(HM_ZD_AM3_2005!HP_date),1,(1+input_US_inflation_perc)^(AF$4-YEAR(HM_ZD_AM3_2005!HP_date)))</f>
        <v>1.6406059944647295</v>
      </c>
      <c r="AG160" s="49">
        <f>IF(AG$4&lt;=YEAR(HM_ZD_AM3_2005!HP_date),1,(1+input_US_inflation_perc)^(AG$4-YEAR(HM_ZD_AM3_2005!HP_date)))</f>
        <v>1.6734181143540243</v>
      </c>
      <c r="AH160" s="49">
        <f>IF(AH$4&lt;=YEAR(HM_ZD_AM3_2005!HP_date),1,(1+input_US_inflation_perc)^(AH$4-YEAR(HM_ZD_AM3_2005!HP_date)))</f>
        <v>1.7068864766411045</v>
      </c>
      <c r="AI160" s="49">
        <f>IF(AI$4&lt;=YEAR(HM_ZD_AM3_2005!HP_date),1,(1+input_US_inflation_perc)^(AI$4-YEAR(HM_ZD_AM3_2005!HP_date)))</f>
        <v>1.7410242061739269</v>
      </c>
      <c r="AJ160" s="49">
        <f>IF(AJ$4&lt;=YEAR(HM_ZD_AM3_2005!HP_date),1,(1+input_US_inflation_perc)^(AJ$4-YEAR(HM_ZD_AM3_2005!HP_date)))</f>
        <v>1.7758446902974052</v>
      </c>
      <c r="AK160" s="49">
        <f>IF(AK$4&lt;=YEAR(HM_ZD_AM3_2005!HP_date),1,(1+input_US_inflation_perc)^(AK$4-YEAR(HM_ZD_AM3_2005!HP_date)))</f>
        <v>1.8113615841033535</v>
      </c>
      <c r="AL160" s="49">
        <f>IF(AL$4&lt;=YEAR(HM_ZD_AM3_2005!HP_date),1,(1+input_US_inflation_perc)^(AL$4-YEAR(HM_ZD_AM3_2005!HP_date)))</f>
        <v>1.8475888157854201</v>
      </c>
      <c r="AM160" s="49">
        <f>IF(AM$4&lt;=YEAR(HM_ZD_AM3_2005!HP_date),1,(1+input_US_inflation_perc)^(AM$4-YEAR(HM_ZD_AM3_2005!HP_date)))</f>
        <v>1.8845405921011289</v>
      </c>
      <c r="AN160" s="49">
        <f>IF(AN$4&lt;=YEAR(HM_ZD_AM3_2005!HP_date),1,(1+input_US_inflation_perc)^(AN$4-YEAR(HM_ZD_AM3_2005!HP_date)))</f>
        <v>1.9222314039431516</v>
      </c>
      <c r="AO160" s="49">
        <f>IF(AO$4&lt;=YEAR(HM_ZD_AM3_2005!HP_date),1,(1+input_US_inflation_perc)^(AO$4-YEAR(HM_ZD_AM3_2005!HP_date)))</f>
        <v>1.9606760320220145</v>
      </c>
      <c r="AP160" s="49">
        <f>IF(AP$4&lt;=YEAR(HM_ZD_AM3_2005!HP_date),1,(1+input_US_inflation_perc)^(AP$4-YEAR(HM_ZD_AM3_2005!HP_date)))</f>
        <v>1.9998895526624547</v>
      </c>
      <c r="AQ160" s="49">
        <f>IF(AQ$4&lt;=YEAR(HM_ZD_AM3_2005!HP_date),1,(1+input_US_inflation_perc)^(AQ$4-YEAR(HM_ZD_AM3_2005!HP_date)))</f>
        <v>2.0398873437157037</v>
      </c>
      <c r="AR160" s="49">
        <f>IF(AR$4&lt;=YEAR(HM_ZD_AM3_2005!HP_date),1,(1+input_US_inflation_perc)^(AR$4-YEAR(HM_ZD_AM3_2005!HP_date)))</f>
        <v>2.080685090590018</v>
      </c>
      <c r="AS160" s="49">
        <f>IF(AS$4&lt;=YEAR(HM_ZD_AM3_2005!HP_date),1,(1+input_US_inflation_perc)^(AS$4-YEAR(HM_ZD_AM3_2005!HP_date)))</f>
        <v>2.1222987924018186</v>
      </c>
      <c r="AT160" s="49">
        <f>IF(AT$4&lt;=YEAR(HM_ZD_AM3_2005!HP_date),1,(1+input_US_inflation_perc)^(AT$4-YEAR(HM_ZD_AM3_2005!HP_date)))</f>
        <v>2.1647447682498542</v>
      </c>
      <c r="AU160" s="49">
        <f>IF(AU$4&lt;=YEAR(HM_ZD_AM3_2005!HP_date),1,(1+input_US_inflation_perc)^(AU$4-YEAR(HM_ZD_AM3_2005!HP_date)))</f>
        <v>2.2080396636148518</v>
      </c>
      <c r="AV160" s="49">
        <f>IF(AV$4&lt;=YEAR(HM_ZD_AM3_2005!HP_date),1,(1+input_US_inflation_perc)^(AV$4-YEAR(HM_ZD_AM3_2005!HP_date)))</f>
        <v>2.2522004568871488</v>
      </c>
      <c r="AW160" s="49">
        <f>IF(AW$4&lt;=YEAR(HM_ZD_AM3_2005!HP_date),1,(1+input_US_inflation_perc)^(AW$4-YEAR(HM_ZD_AM3_2005!HP_date)))</f>
        <v>2.2972444660248916</v>
      </c>
      <c r="AX160" s="49">
        <f>IF(AX$4&lt;=YEAR(HM_ZD_AM3_2005!HP_date),1,(1+input_US_inflation_perc)^(AX$4-YEAR(HM_ZD_AM3_2005!HP_date)))</f>
        <v>2.3431893553453893</v>
      </c>
      <c r="AY160" s="49">
        <f>IF(AY$4&lt;=YEAR(HM_ZD_AM3_2005!HP_date),1,(1+input_US_inflation_perc)^(AY$4-YEAR(HM_ZD_AM3_2005!HP_date)))</f>
        <v>2.3900531424522975</v>
      </c>
      <c r="AZ160" s="49">
        <f>IF(AZ$4&lt;=YEAR(HM_ZD_AM3_2005!HP_date),1,(1+input_US_inflation_perc)^(AZ$4-YEAR(HM_ZD_AM3_2005!HP_date)))</f>
        <v>2.4378542053013432</v>
      </c>
      <c r="BA160" s="49">
        <f>IF(BA$4&lt;=YEAR(HM_ZD_AM3_2005!HP_date),1,(1+input_US_inflation_perc)^(BA$4-YEAR(HM_ZD_AM3_2005!HP_date)))</f>
        <v>2.4866112894073704</v>
      </c>
      <c r="BB160" s="49">
        <f>IF(BB$4&lt;=YEAR(HM_ZD_AM3_2005!HP_date),1,(1+input_US_inflation_perc)^(BB$4-YEAR(HM_ZD_AM3_2005!HP_date)))</f>
        <v>2.5363435151955169</v>
      </c>
      <c r="BC160" s="49">
        <f>IF(BC$4&lt;=YEAR(HM_ZD_AM3_2005!HP_date),1,(1+input_US_inflation_perc)^(BC$4-YEAR(HM_ZD_AM3_2005!HP_date)))</f>
        <v>2.5870703854994277</v>
      </c>
      <c r="BD160" s="49">
        <f>IF(BD$4&lt;=YEAR(HM_ZD_AM3_2005!HP_date),1,(1+input_US_inflation_perc)^(BD$4-YEAR(HM_ZD_AM3_2005!HP_date)))</f>
        <v>2.6388117932094164</v>
      </c>
      <c r="BE160" s="49">
        <f>IF(BE$4&lt;=YEAR(HM_ZD_AM3_2005!HP_date),1,(1+input_US_inflation_perc)^(BE$4-YEAR(HM_ZD_AM3_2005!HP_date)))</f>
        <v>2.6915880290736047</v>
      </c>
      <c r="BF160" s="49">
        <f>IF(BF$4&lt;=YEAR(HM_ZD_AM3_2005!HP_date),1,(1+input_US_inflation_perc)^(BF$4-YEAR(HM_ZD_AM3_2005!HP_date)))</f>
        <v>2.7454197896550765</v>
      </c>
      <c r="BG160" s="49">
        <f>IF(BG$4&lt;=YEAR(HM_ZD_AM3_2005!HP_date),1,(1+input_US_inflation_perc)^(BG$4-YEAR(HM_ZD_AM3_2005!HP_date)))</f>
        <v>2.8003281854481785</v>
      </c>
      <c r="BH160" s="49">
        <f>IF(BH$4&lt;=YEAR(HM_ZD_AM3_2005!HP_date),1,(1+input_US_inflation_perc)^(BH$4-YEAR(HM_ZD_AM3_2005!HP_date)))</f>
        <v>2.8563347491571416</v>
      </c>
      <c r="BI160" s="49">
        <f>IF(BI$4&lt;=YEAR(HM_ZD_AM3_2005!HP_date),1,(1+input_US_inflation_perc)^(BI$4-YEAR(HM_ZD_AM3_2005!HP_date)))</f>
        <v>2.9134614441402849</v>
      </c>
      <c r="BJ160" s="49">
        <f>IF(BJ$4&lt;=YEAR(HM_ZD_AM3_2005!HP_date),1,(1+input_US_inflation_perc)^(BJ$4-YEAR(HM_ZD_AM3_2005!HP_date)))</f>
        <v>2.9717306730230897</v>
      </c>
      <c r="BK160" s="49">
        <f>IF(BK$4&lt;=YEAR(HM_ZD_AM3_2005!HP_date),1,(1+input_US_inflation_perc)^(BK$4-YEAR(HM_ZD_AM3_2005!HP_date)))</f>
        <v>3.0311652864835517</v>
      </c>
      <c r="BL160" s="49">
        <f>IF(BL$4&lt;=YEAR(HM_ZD_AM3_2005!HP_date),1,(1+input_US_inflation_perc)^(BL$4-YEAR(HM_ZD_AM3_2005!HP_date)))</f>
        <v>3.0917885922132227</v>
      </c>
      <c r="BM160" s="49">
        <f>IF(BM$4&lt;=YEAR(HM_ZD_AM3_2005!HP_date),1,(1+input_US_inflation_perc)^(BM$4-YEAR(HM_ZD_AM3_2005!HP_date)))</f>
        <v>3.1536243640574875</v>
      </c>
      <c r="BN160" s="49">
        <f>IF(BN$4&lt;=YEAR(HM_ZD_AM3_2005!HP_date),1,(1+input_US_inflation_perc)^(BN$4-YEAR(HM_ZD_AM3_2005!HP_date)))</f>
        <v>3.2166968513386367</v>
      </c>
      <c r="BO160" s="49">
        <f>IF(BO$4&lt;=YEAR(HM_ZD_AM3_2005!HP_date),1,(1+input_US_inflation_perc)^(BO$4-YEAR(HM_ZD_AM3_2005!HP_date)))</f>
        <v>3.2810307883654102</v>
      </c>
      <c r="BP160" s="49">
        <f>IF(BP$4&lt;=YEAR(HM_ZD_AM3_2005!HP_date),1,(1+input_US_inflation_perc)^(BP$4-YEAR(HM_ZD_AM3_2005!HP_date)))</f>
        <v>3.346651404132718</v>
      </c>
      <c r="BQ160" s="49">
        <f>IF(BQ$4&lt;=YEAR(HM_ZD_AM3_2005!HP_date),1,(1+input_US_inflation_perc)^(BQ$4-YEAR(HM_ZD_AM3_2005!HP_date)))</f>
        <v>3.4135844322153726</v>
      </c>
      <c r="BR160" s="49">
        <f>IF(BR$4&lt;=YEAR(HM_ZD_AM3_2005!HP_date),1,(1+input_US_inflation_perc)^(BR$4-YEAR(HM_ZD_AM3_2005!HP_date)))</f>
        <v>3.4818561208596792</v>
      </c>
      <c r="BS160" s="49">
        <f>IF(BS$4&lt;=YEAR(HM_ZD_AM3_2005!HP_date),1,(1+input_US_inflation_perc)^(BS$4-YEAR(HM_ZD_AM3_2005!HP_date)))</f>
        <v>3.5514932432768735</v>
      </c>
    </row>
    <row r="161" spans="1:71" outlineLevel="1" x14ac:dyDescent="0.2">
      <c r="J161" s="26"/>
      <c r="L161" s="55"/>
      <c r="M161" s="55"/>
      <c r="N161" s="55"/>
      <c r="O161" s="55"/>
      <c r="P161" s="55"/>
      <c r="Q161" s="55"/>
      <c r="R161" s="55"/>
      <c r="S161" s="55"/>
      <c r="T161" s="55"/>
      <c r="U161" s="55"/>
      <c r="V161" s="55"/>
      <c r="W161" s="55"/>
      <c r="X161" s="55"/>
      <c r="Y161" s="55"/>
      <c r="Z161" s="55"/>
      <c r="AA161" s="55"/>
      <c r="AB161" s="55"/>
      <c r="AC161" s="55"/>
      <c r="AD161" s="55"/>
      <c r="AE161" s="55"/>
      <c r="AF161" s="55"/>
      <c r="AG161" s="55"/>
      <c r="AH161" s="55"/>
      <c r="AI161" s="55"/>
      <c r="AJ161" s="55"/>
      <c r="AK161" s="55"/>
      <c r="AL161" s="55"/>
      <c r="AM161" s="55"/>
      <c r="AN161" s="55"/>
      <c r="AO161" s="55"/>
      <c r="AP161" s="55"/>
      <c r="AQ161" s="55"/>
      <c r="AR161" s="55"/>
      <c r="AS161" s="55"/>
      <c r="AT161" s="55"/>
      <c r="AU161" s="55"/>
      <c r="AV161" s="55"/>
      <c r="AW161" s="55"/>
      <c r="AX161" s="55"/>
      <c r="AY161" s="55"/>
      <c r="AZ161" s="55"/>
      <c r="BA161" s="55"/>
      <c r="BB161" s="55"/>
      <c r="BC161" s="55"/>
      <c r="BD161" s="55"/>
      <c r="BE161" s="55"/>
      <c r="BF161" s="55"/>
      <c r="BG161" s="55"/>
      <c r="BH161" s="55"/>
      <c r="BI161" s="55"/>
      <c r="BJ161" s="55"/>
      <c r="BK161" s="55"/>
      <c r="BL161" s="55"/>
      <c r="BM161" s="55"/>
      <c r="BN161" s="55"/>
      <c r="BO161" s="55"/>
      <c r="BP161" s="55"/>
      <c r="BQ161" s="55"/>
      <c r="BR161" s="55"/>
      <c r="BS161" s="55"/>
    </row>
    <row r="162" spans="1:71" outlineLevel="1" x14ac:dyDescent="0.2">
      <c r="A162" s="45"/>
      <c r="B162" s="38" t="str">
        <f>HM_ZD_Moho!B175</f>
        <v>Revenus</v>
      </c>
      <c r="C162" s="45"/>
      <c r="D162" s="45"/>
      <c r="E162" s="45"/>
      <c r="J162" s="26"/>
      <c r="L162" s="55"/>
      <c r="M162" s="55"/>
      <c r="N162" s="55"/>
      <c r="O162" s="55"/>
      <c r="P162" s="55"/>
      <c r="Q162" s="55"/>
      <c r="R162" s="55"/>
      <c r="S162" s="55"/>
      <c r="T162" s="55"/>
      <c r="U162" s="55"/>
      <c r="V162" s="55"/>
      <c r="W162" s="55"/>
      <c r="X162" s="55"/>
      <c r="Y162" s="55"/>
      <c r="Z162" s="55"/>
      <c r="AA162" s="55"/>
      <c r="AB162" s="55"/>
      <c r="AC162" s="55"/>
      <c r="AD162" s="55"/>
      <c r="AE162" s="55"/>
      <c r="AF162" s="55"/>
      <c r="AG162" s="55"/>
      <c r="AH162" s="55"/>
      <c r="AI162" s="55"/>
      <c r="AJ162" s="55"/>
      <c r="AK162" s="55"/>
      <c r="AL162" s="55"/>
      <c r="AM162" s="55"/>
      <c r="AN162" s="55"/>
      <c r="AO162" s="55"/>
      <c r="AP162" s="55"/>
      <c r="AQ162" s="55"/>
      <c r="AR162" s="55"/>
      <c r="AS162" s="55"/>
      <c r="AT162" s="55"/>
      <c r="AU162" s="55"/>
      <c r="AV162" s="55"/>
      <c r="AW162" s="55"/>
      <c r="AX162" s="55"/>
      <c r="AY162" s="55"/>
      <c r="AZ162" s="55"/>
      <c r="BA162" s="55"/>
      <c r="BB162" s="55"/>
      <c r="BC162" s="55"/>
      <c r="BD162" s="55"/>
      <c r="BE162" s="55"/>
      <c r="BF162" s="55"/>
      <c r="BG162" s="55"/>
      <c r="BH162" s="55"/>
      <c r="BI162" s="55"/>
      <c r="BJ162" s="55"/>
      <c r="BK162" s="55"/>
      <c r="BL162" s="55"/>
      <c r="BM162" s="55"/>
      <c r="BN162" s="55"/>
      <c r="BO162" s="55"/>
      <c r="BP162" s="55"/>
      <c r="BQ162" s="55"/>
      <c r="BR162" s="55"/>
      <c r="BS162" s="55"/>
    </row>
    <row r="163" spans="1:71" outlineLevel="1" x14ac:dyDescent="0.2">
      <c r="J163" s="26"/>
      <c r="L163" s="55"/>
      <c r="M163" s="55"/>
      <c r="N163" s="55"/>
      <c r="O163" s="55"/>
      <c r="P163" s="55"/>
      <c r="Q163" s="55"/>
      <c r="R163" s="55"/>
      <c r="S163" s="55"/>
      <c r="T163" s="55"/>
      <c r="U163" s="55"/>
      <c r="V163" s="55"/>
      <c r="W163" s="55"/>
      <c r="X163" s="55"/>
      <c r="Y163" s="55"/>
      <c r="Z163" s="55"/>
      <c r="AA163" s="55"/>
      <c r="AB163" s="55"/>
      <c r="AC163" s="55"/>
      <c r="AD163" s="55"/>
      <c r="AE163" s="55"/>
      <c r="AF163" s="55"/>
      <c r="AG163" s="55"/>
      <c r="AH163" s="55"/>
      <c r="AI163" s="55"/>
      <c r="AJ163" s="55"/>
      <c r="AK163" s="55"/>
      <c r="AL163" s="55"/>
      <c r="AM163" s="55"/>
      <c r="AN163" s="55"/>
      <c r="AO163" s="55"/>
      <c r="AP163" s="55"/>
      <c r="AQ163" s="55"/>
      <c r="AR163" s="55"/>
      <c r="AS163" s="55"/>
      <c r="AT163" s="55"/>
      <c r="AU163" s="55"/>
      <c r="AV163" s="55"/>
      <c r="AW163" s="55"/>
      <c r="AX163" s="55"/>
      <c r="AY163" s="55"/>
      <c r="AZ163" s="55"/>
      <c r="BA163" s="55"/>
      <c r="BB163" s="55"/>
      <c r="BC163" s="55"/>
      <c r="BD163" s="55"/>
      <c r="BE163" s="55"/>
      <c r="BF163" s="55"/>
      <c r="BG163" s="55"/>
      <c r="BH163" s="55"/>
      <c r="BI163" s="55"/>
      <c r="BJ163" s="55"/>
      <c r="BK163" s="55"/>
      <c r="BL163" s="55"/>
      <c r="BM163" s="55"/>
      <c r="BN163" s="55"/>
      <c r="BO163" s="55"/>
      <c r="BP163" s="55"/>
      <c r="BQ163" s="55"/>
      <c r="BR163" s="55"/>
      <c r="BS163" s="55"/>
    </row>
    <row r="164" spans="1:71" outlineLevel="1" x14ac:dyDescent="0.2">
      <c r="C164" s="11" t="str">
        <f>HM_ZD_Moho!C177</f>
        <v>Revenus bruts</v>
      </c>
      <c r="J164" s="26"/>
      <c r="L164" s="55"/>
      <c r="M164" s="55"/>
      <c r="N164" s="55"/>
      <c r="O164" s="55"/>
      <c r="P164" s="55"/>
      <c r="Q164" s="55"/>
      <c r="R164" s="55"/>
      <c r="S164" s="55"/>
      <c r="T164" s="55"/>
      <c r="U164" s="55"/>
      <c r="V164" s="55"/>
      <c r="W164" s="55"/>
      <c r="X164" s="55"/>
      <c r="Y164" s="55"/>
      <c r="Z164" s="55"/>
      <c r="AA164" s="55"/>
      <c r="AB164" s="55"/>
      <c r="AC164" s="55"/>
      <c r="AD164" s="55"/>
      <c r="AE164" s="55"/>
      <c r="AF164" s="55"/>
      <c r="AG164" s="55"/>
      <c r="AH164" s="55"/>
      <c r="AI164" s="55"/>
      <c r="AJ164" s="55"/>
      <c r="AK164" s="55"/>
      <c r="AL164" s="55"/>
      <c r="AM164" s="55"/>
      <c r="AN164" s="55"/>
      <c r="AO164" s="55"/>
      <c r="AP164" s="55"/>
      <c r="AQ164" s="55"/>
      <c r="AR164" s="55"/>
      <c r="AS164" s="55"/>
      <c r="AT164" s="55"/>
      <c r="AU164" s="55"/>
      <c r="AV164" s="55"/>
      <c r="AW164" s="55"/>
      <c r="AX164" s="55"/>
      <c r="AY164" s="55"/>
      <c r="AZ164" s="55"/>
      <c r="BA164" s="55"/>
      <c r="BB164" s="55"/>
      <c r="BC164" s="55"/>
      <c r="BD164" s="55"/>
      <c r="BE164" s="55"/>
      <c r="BF164" s="55"/>
      <c r="BG164" s="55"/>
      <c r="BH164" s="55"/>
      <c r="BI164" s="55"/>
      <c r="BJ164" s="55"/>
      <c r="BK164" s="55"/>
      <c r="BL164" s="55"/>
      <c r="BM164" s="55"/>
      <c r="BN164" s="55"/>
      <c r="BO164" s="55"/>
      <c r="BP164" s="55"/>
      <c r="BQ164" s="55"/>
      <c r="BR164" s="55"/>
      <c r="BS164" s="55"/>
    </row>
    <row r="165" spans="1:71" outlineLevel="1" x14ac:dyDescent="0.2">
      <c r="D165" t="str">
        <f>HM_ZD_Moho!D178</f>
        <v>Revenus pétroliers (@ PF)</v>
      </c>
      <c r="I165" s="30">
        <f ca="1">SUM($L165:$BS165)</f>
        <v>3729.9597132909998</v>
      </c>
      <c r="J165" s="26" t="s">
        <v>148</v>
      </c>
      <c r="K165" s="7" t="s">
        <v>151</v>
      </c>
      <c r="L165" s="49" cm="1">
        <f t="array" aca="1" ref="L165:BS165" ca="1">HM_ZD_AM3_2005!CA_gross_sales_oil*HM_ZD_AM3_2005!CA_FP_oil_nom+HM_ZD_AM3_2005!CA_gross_sales_lpg*HM_ZD_AM3_2005!CA_FP_lpg_nom</f>
        <v>1912.1835466870002</v>
      </c>
      <c r="M165" s="49">
        <f ca="1"/>
        <v>1817.7761666039996</v>
      </c>
      <c r="N165" s="49">
        <f ca="1"/>
        <v>0</v>
      </c>
      <c r="O165" s="49">
        <f ca="1"/>
        <v>0</v>
      </c>
      <c r="P165" s="49">
        <f ca="1"/>
        <v>0</v>
      </c>
      <c r="Q165" s="49">
        <f ca="1"/>
        <v>0</v>
      </c>
      <c r="R165" s="49">
        <f ca="1"/>
        <v>0</v>
      </c>
      <c r="S165" s="49">
        <f ca="1"/>
        <v>0</v>
      </c>
      <c r="T165" s="49">
        <f ca="1"/>
        <v>0</v>
      </c>
      <c r="U165" s="49">
        <f ca="1"/>
        <v>0</v>
      </c>
      <c r="V165" s="49">
        <f ca="1"/>
        <v>0</v>
      </c>
      <c r="W165" s="49">
        <f ca="1"/>
        <v>0</v>
      </c>
      <c r="X165" s="49">
        <f ca="1"/>
        <v>0</v>
      </c>
      <c r="Y165" s="49">
        <f ca="1"/>
        <v>0</v>
      </c>
      <c r="Z165" s="49">
        <f ca="1"/>
        <v>0</v>
      </c>
      <c r="AA165" s="49">
        <f ca="1"/>
        <v>0</v>
      </c>
      <c r="AB165" s="49">
        <f ca="1"/>
        <v>0</v>
      </c>
      <c r="AC165" s="49">
        <f ca="1"/>
        <v>0</v>
      </c>
      <c r="AD165" s="49">
        <f ca="1"/>
        <v>0</v>
      </c>
      <c r="AE165" s="49">
        <f ca="1"/>
        <v>0</v>
      </c>
      <c r="AF165" s="49">
        <f ca="1"/>
        <v>0</v>
      </c>
      <c r="AG165" s="49">
        <f ca="1"/>
        <v>0</v>
      </c>
      <c r="AH165" s="49">
        <f ca="1"/>
        <v>0</v>
      </c>
      <c r="AI165" s="49">
        <f ca="1"/>
        <v>0</v>
      </c>
      <c r="AJ165" s="49">
        <f ca="1"/>
        <v>0</v>
      </c>
      <c r="AK165" s="49">
        <f ca="1"/>
        <v>0</v>
      </c>
      <c r="AL165" s="49">
        <f ca="1"/>
        <v>0</v>
      </c>
      <c r="AM165" s="49">
        <f ca="1"/>
        <v>0</v>
      </c>
      <c r="AN165" s="49">
        <f ca="1"/>
        <v>0</v>
      </c>
      <c r="AO165" s="49">
        <f ca="1"/>
        <v>0</v>
      </c>
      <c r="AP165" s="49">
        <f ca="1"/>
        <v>0</v>
      </c>
      <c r="AQ165" s="49">
        <f ca="1"/>
        <v>0</v>
      </c>
      <c r="AR165" s="49">
        <f ca="1"/>
        <v>0</v>
      </c>
      <c r="AS165" s="49">
        <f ca="1"/>
        <v>0</v>
      </c>
      <c r="AT165" s="49">
        <f ca="1"/>
        <v>0</v>
      </c>
      <c r="AU165" s="49">
        <f ca="1"/>
        <v>0</v>
      </c>
      <c r="AV165" s="49">
        <f ca="1"/>
        <v>0</v>
      </c>
      <c r="AW165" s="49">
        <f ca="1"/>
        <v>0</v>
      </c>
      <c r="AX165" s="49">
        <f ca="1"/>
        <v>0</v>
      </c>
      <c r="AY165" s="49">
        <f ca="1"/>
        <v>0</v>
      </c>
      <c r="AZ165" s="49">
        <f ca="1"/>
        <v>0</v>
      </c>
      <c r="BA165" s="49">
        <f ca="1"/>
        <v>0</v>
      </c>
      <c r="BB165" s="49">
        <f ca="1"/>
        <v>0</v>
      </c>
      <c r="BC165" s="49">
        <f ca="1"/>
        <v>0</v>
      </c>
      <c r="BD165" s="49">
        <f ca="1"/>
        <v>0</v>
      </c>
      <c r="BE165" s="49">
        <f ca="1"/>
        <v>0</v>
      </c>
      <c r="BF165" s="49">
        <f ca="1"/>
        <v>0</v>
      </c>
      <c r="BG165" s="49">
        <f ca="1"/>
        <v>0</v>
      </c>
      <c r="BH165" s="49">
        <f ca="1"/>
        <v>0</v>
      </c>
      <c r="BI165" s="49">
        <f ca="1"/>
        <v>0</v>
      </c>
      <c r="BJ165" s="49">
        <f ca="1"/>
        <v>0</v>
      </c>
      <c r="BK165" s="49">
        <f ca="1"/>
        <v>0</v>
      </c>
      <c r="BL165" s="49">
        <f ca="1"/>
        <v>0</v>
      </c>
      <c r="BM165" s="49">
        <f ca="1"/>
        <v>0</v>
      </c>
      <c r="BN165" s="49">
        <f ca="1"/>
        <v>0</v>
      </c>
      <c r="BO165" s="49">
        <f ca="1"/>
        <v>0</v>
      </c>
      <c r="BP165" s="49">
        <f ca="1"/>
        <v>0</v>
      </c>
      <c r="BQ165" s="49">
        <f ca="1"/>
        <v>0</v>
      </c>
      <c r="BR165" s="49">
        <f ca="1"/>
        <v>0</v>
      </c>
      <c r="BS165" s="49">
        <f ca="1"/>
        <v>0</v>
      </c>
    </row>
    <row r="166" spans="1:71" outlineLevel="1" x14ac:dyDescent="0.2">
      <c r="D166" t="str">
        <f>HM_ZD_Moho!D179</f>
        <v>Revenus gaziers (@ PF)</v>
      </c>
      <c r="I166" s="30">
        <f ca="1">SUM($L166:$BS166)</f>
        <v>0</v>
      </c>
      <c r="J166" s="26" t="s">
        <v>148</v>
      </c>
      <c r="K166" s="7" t="s">
        <v>152</v>
      </c>
      <c r="L166" s="49" cm="1">
        <f t="array" aca="1" ref="L166:BS166" ca="1">HM_ZD_AM3_2005!CA_gross_sales_gas*HM_ZD_AM3_2005!CA_FP_gas_nom</f>
        <v>0</v>
      </c>
      <c r="M166" s="49">
        <f ca="1"/>
        <v>0</v>
      </c>
      <c r="N166" s="49">
        <f ca="1"/>
        <v>0</v>
      </c>
      <c r="O166" s="49">
        <f ca="1"/>
        <v>0</v>
      </c>
      <c r="P166" s="49">
        <f ca="1"/>
        <v>0</v>
      </c>
      <c r="Q166" s="49">
        <f ca="1"/>
        <v>0</v>
      </c>
      <c r="R166" s="49">
        <f ca="1"/>
        <v>0</v>
      </c>
      <c r="S166" s="49">
        <f ca="1"/>
        <v>0</v>
      </c>
      <c r="T166" s="49">
        <f ca="1"/>
        <v>0</v>
      </c>
      <c r="U166" s="49">
        <f ca="1"/>
        <v>0</v>
      </c>
      <c r="V166" s="49">
        <f ca="1"/>
        <v>0</v>
      </c>
      <c r="W166" s="49">
        <f ca="1"/>
        <v>0</v>
      </c>
      <c r="X166" s="49">
        <f ca="1"/>
        <v>0</v>
      </c>
      <c r="Y166" s="49">
        <f ca="1"/>
        <v>0</v>
      </c>
      <c r="Z166" s="49">
        <f ca="1"/>
        <v>0</v>
      </c>
      <c r="AA166" s="49">
        <f ca="1"/>
        <v>0</v>
      </c>
      <c r="AB166" s="49">
        <f ca="1"/>
        <v>0</v>
      </c>
      <c r="AC166" s="49">
        <f ca="1"/>
        <v>0</v>
      </c>
      <c r="AD166" s="49">
        <f ca="1"/>
        <v>0</v>
      </c>
      <c r="AE166" s="49">
        <f ca="1"/>
        <v>0</v>
      </c>
      <c r="AF166" s="49">
        <f ca="1"/>
        <v>0</v>
      </c>
      <c r="AG166" s="49">
        <f ca="1"/>
        <v>0</v>
      </c>
      <c r="AH166" s="49">
        <f ca="1"/>
        <v>0</v>
      </c>
      <c r="AI166" s="49">
        <f ca="1"/>
        <v>0</v>
      </c>
      <c r="AJ166" s="49">
        <f ca="1"/>
        <v>0</v>
      </c>
      <c r="AK166" s="49">
        <f ca="1"/>
        <v>0</v>
      </c>
      <c r="AL166" s="49">
        <f ca="1"/>
        <v>0</v>
      </c>
      <c r="AM166" s="49">
        <f ca="1"/>
        <v>0</v>
      </c>
      <c r="AN166" s="49">
        <f ca="1"/>
        <v>0</v>
      </c>
      <c r="AO166" s="49">
        <f ca="1"/>
        <v>0</v>
      </c>
      <c r="AP166" s="49">
        <f ca="1"/>
        <v>0</v>
      </c>
      <c r="AQ166" s="49">
        <f ca="1"/>
        <v>0</v>
      </c>
      <c r="AR166" s="49">
        <f ca="1"/>
        <v>0</v>
      </c>
      <c r="AS166" s="49">
        <f ca="1"/>
        <v>0</v>
      </c>
      <c r="AT166" s="49">
        <f ca="1"/>
        <v>0</v>
      </c>
      <c r="AU166" s="49">
        <f ca="1"/>
        <v>0</v>
      </c>
      <c r="AV166" s="49">
        <f ca="1"/>
        <v>0</v>
      </c>
      <c r="AW166" s="49">
        <f ca="1"/>
        <v>0</v>
      </c>
      <c r="AX166" s="49">
        <f ca="1"/>
        <v>0</v>
      </c>
      <c r="AY166" s="49">
        <f ca="1"/>
        <v>0</v>
      </c>
      <c r="AZ166" s="49">
        <f ca="1"/>
        <v>0</v>
      </c>
      <c r="BA166" s="49">
        <f ca="1"/>
        <v>0</v>
      </c>
      <c r="BB166" s="49">
        <f ca="1"/>
        <v>0</v>
      </c>
      <c r="BC166" s="49">
        <f ca="1"/>
        <v>0</v>
      </c>
      <c r="BD166" s="49">
        <f ca="1"/>
        <v>0</v>
      </c>
      <c r="BE166" s="49">
        <f ca="1"/>
        <v>0</v>
      </c>
      <c r="BF166" s="49">
        <f ca="1"/>
        <v>0</v>
      </c>
      <c r="BG166" s="49">
        <f ca="1"/>
        <v>0</v>
      </c>
      <c r="BH166" s="49">
        <f ca="1"/>
        <v>0</v>
      </c>
      <c r="BI166" s="49">
        <f ca="1"/>
        <v>0</v>
      </c>
      <c r="BJ166" s="49">
        <f ca="1"/>
        <v>0</v>
      </c>
      <c r="BK166" s="49">
        <f ca="1"/>
        <v>0</v>
      </c>
      <c r="BL166" s="49">
        <f ca="1"/>
        <v>0</v>
      </c>
      <c r="BM166" s="49">
        <f ca="1"/>
        <v>0</v>
      </c>
      <c r="BN166" s="49">
        <f ca="1"/>
        <v>0</v>
      </c>
      <c r="BO166" s="49">
        <f ca="1"/>
        <v>0</v>
      </c>
      <c r="BP166" s="49">
        <f ca="1"/>
        <v>0</v>
      </c>
      <c r="BQ166" s="49">
        <f ca="1"/>
        <v>0</v>
      </c>
      <c r="BR166" s="49">
        <f ca="1"/>
        <v>0</v>
      </c>
      <c r="BS166" s="49">
        <f ca="1"/>
        <v>0</v>
      </c>
    </row>
    <row r="167" spans="1:71" outlineLevel="1" x14ac:dyDescent="0.2">
      <c r="D167" s="11" t="str">
        <f>HM_ZD_Moho!D180</f>
        <v>Revenu brut total (@ PF)</v>
      </c>
      <c r="I167" s="30">
        <f ca="1">SUM($L167:$BS167)</f>
        <v>3729.9597132909998</v>
      </c>
      <c r="J167" s="26"/>
      <c r="K167" s="7" t="s">
        <v>153</v>
      </c>
      <c r="L167" s="49">
        <f ca="1">SUM(L165:L166)</f>
        <v>1912.1835466870002</v>
      </c>
      <c r="M167" s="49">
        <f t="shared" ref="M167:BS167" ca="1" si="67">SUM(M165:M166)</f>
        <v>1817.7761666039996</v>
      </c>
      <c r="N167" s="49">
        <f t="shared" ca="1" si="67"/>
        <v>0</v>
      </c>
      <c r="O167" s="49">
        <f t="shared" ca="1" si="67"/>
        <v>0</v>
      </c>
      <c r="P167" s="49">
        <f t="shared" ca="1" si="67"/>
        <v>0</v>
      </c>
      <c r="Q167" s="49">
        <f t="shared" ca="1" si="67"/>
        <v>0</v>
      </c>
      <c r="R167" s="49">
        <f t="shared" ca="1" si="67"/>
        <v>0</v>
      </c>
      <c r="S167" s="49">
        <f t="shared" ca="1" si="67"/>
        <v>0</v>
      </c>
      <c r="T167" s="49">
        <f t="shared" ca="1" si="67"/>
        <v>0</v>
      </c>
      <c r="U167" s="49">
        <f t="shared" ca="1" si="67"/>
        <v>0</v>
      </c>
      <c r="V167" s="49">
        <f t="shared" ca="1" si="67"/>
        <v>0</v>
      </c>
      <c r="W167" s="49">
        <f t="shared" ca="1" si="67"/>
        <v>0</v>
      </c>
      <c r="X167" s="49">
        <f t="shared" ca="1" si="67"/>
        <v>0</v>
      </c>
      <c r="Y167" s="49">
        <f t="shared" ca="1" si="67"/>
        <v>0</v>
      </c>
      <c r="Z167" s="49">
        <f t="shared" ca="1" si="67"/>
        <v>0</v>
      </c>
      <c r="AA167" s="49">
        <f t="shared" ca="1" si="67"/>
        <v>0</v>
      </c>
      <c r="AB167" s="49">
        <f t="shared" ca="1" si="67"/>
        <v>0</v>
      </c>
      <c r="AC167" s="49">
        <f t="shared" ca="1" si="67"/>
        <v>0</v>
      </c>
      <c r="AD167" s="49">
        <f t="shared" ca="1" si="67"/>
        <v>0</v>
      </c>
      <c r="AE167" s="49">
        <f t="shared" ca="1" si="67"/>
        <v>0</v>
      </c>
      <c r="AF167" s="49">
        <f t="shared" ca="1" si="67"/>
        <v>0</v>
      </c>
      <c r="AG167" s="49">
        <f t="shared" ca="1" si="67"/>
        <v>0</v>
      </c>
      <c r="AH167" s="49">
        <f t="shared" ca="1" si="67"/>
        <v>0</v>
      </c>
      <c r="AI167" s="49">
        <f t="shared" ca="1" si="67"/>
        <v>0</v>
      </c>
      <c r="AJ167" s="49">
        <f t="shared" ca="1" si="67"/>
        <v>0</v>
      </c>
      <c r="AK167" s="49">
        <f t="shared" ca="1" si="67"/>
        <v>0</v>
      </c>
      <c r="AL167" s="49">
        <f t="shared" ca="1" si="67"/>
        <v>0</v>
      </c>
      <c r="AM167" s="49">
        <f t="shared" ca="1" si="67"/>
        <v>0</v>
      </c>
      <c r="AN167" s="49">
        <f t="shared" ca="1" si="67"/>
        <v>0</v>
      </c>
      <c r="AO167" s="49">
        <f t="shared" ca="1" si="67"/>
        <v>0</v>
      </c>
      <c r="AP167" s="49">
        <f t="shared" ca="1" si="67"/>
        <v>0</v>
      </c>
      <c r="AQ167" s="49">
        <f t="shared" ca="1" si="67"/>
        <v>0</v>
      </c>
      <c r="AR167" s="49">
        <f t="shared" ca="1" si="67"/>
        <v>0</v>
      </c>
      <c r="AS167" s="49">
        <f t="shared" ca="1" si="67"/>
        <v>0</v>
      </c>
      <c r="AT167" s="49">
        <f t="shared" ca="1" si="67"/>
        <v>0</v>
      </c>
      <c r="AU167" s="49">
        <f t="shared" ca="1" si="67"/>
        <v>0</v>
      </c>
      <c r="AV167" s="49">
        <f t="shared" ca="1" si="67"/>
        <v>0</v>
      </c>
      <c r="AW167" s="49">
        <f t="shared" ca="1" si="67"/>
        <v>0</v>
      </c>
      <c r="AX167" s="49">
        <f t="shared" ca="1" si="67"/>
        <v>0</v>
      </c>
      <c r="AY167" s="49">
        <f t="shared" ca="1" si="67"/>
        <v>0</v>
      </c>
      <c r="AZ167" s="49">
        <f t="shared" ca="1" si="67"/>
        <v>0</v>
      </c>
      <c r="BA167" s="49">
        <f t="shared" ca="1" si="67"/>
        <v>0</v>
      </c>
      <c r="BB167" s="49">
        <f t="shared" ca="1" si="67"/>
        <v>0</v>
      </c>
      <c r="BC167" s="49">
        <f t="shared" ca="1" si="67"/>
        <v>0</v>
      </c>
      <c r="BD167" s="49">
        <f t="shared" ca="1" si="67"/>
        <v>0</v>
      </c>
      <c r="BE167" s="49">
        <f t="shared" ca="1" si="67"/>
        <v>0</v>
      </c>
      <c r="BF167" s="49">
        <f t="shared" ca="1" si="67"/>
        <v>0</v>
      </c>
      <c r="BG167" s="49">
        <f t="shared" ca="1" si="67"/>
        <v>0</v>
      </c>
      <c r="BH167" s="49">
        <f t="shared" ca="1" si="67"/>
        <v>0</v>
      </c>
      <c r="BI167" s="49">
        <f t="shared" ca="1" si="67"/>
        <v>0</v>
      </c>
      <c r="BJ167" s="49">
        <f t="shared" ca="1" si="67"/>
        <v>0</v>
      </c>
      <c r="BK167" s="49">
        <f t="shared" ca="1" si="67"/>
        <v>0</v>
      </c>
      <c r="BL167" s="49">
        <f t="shared" ca="1" si="67"/>
        <v>0</v>
      </c>
      <c r="BM167" s="49">
        <f t="shared" ca="1" si="67"/>
        <v>0</v>
      </c>
      <c r="BN167" s="49">
        <f t="shared" ca="1" si="67"/>
        <v>0</v>
      </c>
      <c r="BO167" s="49">
        <f t="shared" ca="1" si="67"/>
        <v>0</v>
      </c>
      <c r="BP167" s="49">
        <f t="shared" ca="1" si="67"/>
        <v>0</v>
      </c>
      <c r="BQ167" s="49">
        <f t="shared" ca="1" si="67"/>
        <v>0</v>
      </c>
      <c r="BR167" s="49">
        <f t="shared" ca="1" si="67"/>
        <v>0</v>
      </c>
      <c r="BS167" s="49">
        <f t="shared" ca="1" si="67"/>
        <v>0</v>
      </c>
    </row>
    <row r="168" spans="1:71" outlineLevel="1" x14ac:dyDescent="0.2">
      <c r="J168" s="26"/>
      <c r="L168" s="55"/>
      <c r="M168" s="55"/>
      <c r="N168" s="55"/>
      <c r="O168" s="55"/>
      <c r="P168" s="55"/>
      <c r="Q168" s="55"/>
      <c r="R168" s="55"/>
      <c r="S168" s="55"/>
      <c r="T168" s="55"/>
      <c r="U168" s="55"/>
      <c r="V168" s="55"/>
      <c r="W168" s="55"/>
      <c r="X168" s="55"/>
      <c r="Y168" s="55"/>
      <c r="Z168" s="55"/>
      <c r="AA168" s="55"/>
      <c r="AB168" s="55"/>
      <c r="AC168" s="55"/>
      <c r="AD168" s="55"/>
      <c r="AE168" s="55"/>
      <c r="AF168" s="55"/>
      <c r="AG168" s="55"/>
      <c r="AH168" s="55"/>
      <c r="AI168" s="55"/>
      <c r="AJ168" s="55"/>
      <c r="AK168" s="55"/>
      <c r="AL168" s="55"/>
      <c r="AM168" s="55"/>
      <c r="AN168" s="55"/>
      <c r="AO168" s="55"/>
      <c r="AP168" s="55"/>
      <c r="AQ168" s="55"/>
      <c r="AR168" s="55"/>
      <c r="AS168" s="55"/>
      <c r="AT168" s="55"/>
      <c r="AU168" s="55"/>
      <c r="AV168" s="55"/>
      <c r="AW168" s="55"/>
      <c r="AX168" s="55"/>
      <c r="AY168" s="55"/>
      <c r="AZ168" s="55"/>
      <c r="BA168" s="55"/>
      <c r="BB168" s="55"/>
      <c r="BC168" s="55"/>
      <c r="BD168" s="55"/>
      <c r="BE168" s="55"/>
      <c r="BF168" s="55"/>
      <c r="BG168" s="55"/>
      <c r="BH168" s="55"/>
      <c r="BI168" s="55"/>
      <c r="BJ168" s="55"/>
      <c r="BK168" s="55"/>
      <c r="BL168" s="55"/>
      <c r="BM168" s="55"/>
      <c r="BN168" s="55"/>
      <c r="BO168" s="55"/>
      <c r="BP168" s="55"/>
      <c r="BQ168" s="55"/>
      <c r="BR168" s="55"/>
      <c r="BS168" s="55"/>
    </row>
    <row r="169" spans="1:71" outlineLevel="1" x14ac:dyDescent="0.2">
      <c r="J169" s="26"/>
      <c r="L169" s="55"/>
      <c r="M169" s="55"/>
      <c r="N169" s="55"/>
      <c r="O169" s="55"/>
      <c r="P169" s="55"/>
      <c r="Q169" s="55"/>
      <c r="R169" s="55"/>
      <c r="S169" s="55"/>
      <c r="T169" s="55"/>
      <c r="U169" s="55"/>
      <c r="V169" s="55"/>
      <c r="W169" s="55"/>
      <c r="X169" s="55"/>
      <c r="Y169" s="55"/>
      <c r="Z169" s="55"/>
      <c r="AA169" s="55"/>
      <c r="AB169" s="55"/>
      <c r="AC169" s="55"/>
      <c r="AD169" s="55"/>
      <c r="AE169" s="55"/>
      <c r="AF169" s="55"/>
      <c r="AG169" s="55"/>
      <c r="AH169" s="55"/>
      <c r="AI169" s="55"/>
      <c r="AJ169" s="55"/>
      <c r="AK169" s="55"/>
      <c r="AL169" s="55"/>
      <c r="AM169" s="55"/>
      <c r="AN169" s="55"/>
      <c r="AO169" s="55"/>
      <c r="AP169" s="55"/>
      <c r="AQ169" s="55"/>
      <c r="AR169" s="55"/>
      <c r="AS169" s="55"/>
      <c r="AT169" s="55"/>
      <c r="AU169" s="55"/>
      <c r="AV169" s="55"/>
      <c r="AW169" s="55"/>
      <c r="AX169" s="55"/>
      <c r="AY169" s="55"/>
      <c r="AZ169" s="55"/>
      <c r="BA169" s="55"/>
      <c r="BB169" s="55"/>
      <c r="BC169" s="55"/>
      <c r="BD169" s="55"/>
      <c r="BE169" s="55"/>
      <c r="BF169" s="55"/>
      <c r="BG169" s="55"/>
      <c r="BH169" s="55"/>
      <c r="BI169" s="55"/>
      <c r="BJ169" s="55"/>
      <c r="BK169" s="55"/>
      <c r="BL169" s="55"/>
      <c r="BM169" s="55"/>
      <c r="BN169" s="55"/>
      <c r="BO169" s="55"/>
      <c r="BP169" s="55"/>
      <c r="BQ169" s="55"/>
      <c r="BR169" s="55"/>
      <c r="BS169" s="55"/>
    </row>
    <row r="170" spans="1:71" outlineLevel="1" x14ac:dyDescent="0.2">
      <c r="D170" t="str">
        <f>CHOOSE(db_ML_selected,'Liste Traduction'!B483,'Liste Traduction'!C483)</f>
        <v>Revenu pétrolier (@ PH)</v>
      </c>
      <c r="I170" s="30">
        <f ca="1">SUM($L170:$BS170)</f>
        <v>1007.6167801469999</v>
      </c>
      <c r="J170" s="26" t="s">
        <v>148</v>
      </c>
      <c r="K170" s="7" t="s">
        <v>155</v>
      </c>
      <c r="L170" s="49" cm="1">
        <f t="array" aca="1" ref="L170:BS170" ca="1">(HM_ZD_AM3_2005!CA_gross_sales_oil+HM_ZD_AM3_2005!CA_gross_sales_lpg)*HM_ZD_AM3_2005!CA_HP_oil_nom</f>
        <v>489.58904715</v>
      </c>
      <c r="M170" s="49">
        <f ca="1"/>
        <v>518.02773299699993</v>
      </c>
      <c r="N170" s="49">
        <f ca="1"/>
        <v>0</v>
      </c>
      <c r="O170" s="49">
        <f ca="1"/>
        <v>0</v>
      </c>
      <c r="P170" s="49">
        <f ca="1"/>
        <v>0</v>
      </c>
      <c r="Q170" s="49">
        <f ca="1"/>
        <v>0</v>
      </c>
      <c r="R170" s="49">
        <f ca="1"/>
        <v>0</v>
      </c>
      <c r="S170" s="49">
        <f ca="1"/>
        <v>0</v>
      </c>
      <c r="T170" s="49">
        <f ca="1"/>
        <v>0</v>
      </c>
      <c r="U170" s="49">
        <f ca="1"/>
        <v>0</v>
      </c>
      <c r="V170" s="49">
        <f ca="1"/>
        <v>0</v>
      </c>
      <c r="W170" s="49">
        <f ca="1"/>
        <v>0</v>
      </c>
      <c r="X170" s="49">
        <f ca="1"/>
        <v>0</v>
      </c>
      <c r="Y170" s="49">
        <f ca="1"/>
        <v>0</v>
      </c>
      <c r="Z170" s="49">
        <f ca="1"/>
        <v>0</v>
      </c>
      <c r="AA170" s="49">
        <f ca="1"/>
        <v>0</v>
      </c>
      <c r="AB170" s="49">
        <f ca="1"/>
        <v>0</v>
      </c>
      <c r="AC170" s="49">
        <f ca="1"/>
        <v>0</v>
      </c>
      <c r="AD170" s="49">
        <f ca="1"/>
        <v>0</v>
      </c>
      <c r="AE170" s="49">
        <f ca="1"/>
        <v>0</v>
      </c>
      <c r="AF170" s="49">
        <f ca="1"/>
        <v>0</v>
      </c>
      <c r="AG170" s="49">
        <f ca="1"/>
        <v>0</v>
      </c>
      <c r="AH170" s="49">
        <f ca="1"/>
        <v>0</v>
      </c>
      <c r="AI170" s="49">
        <f ca="1"/>
        <v>0</v>
      </c>
      <c r="AJ170" s="49">
        <f ca="1"/>
        <v>0</v>
      </c>
      <c r="AK170" s="49">
        <f ca="1"/>
        <v>0</v>
      </c>
      <c r="AL170" s="49">
        <f ca="1"/>
        <v>0</v>
      </c>
      <c r="AM170" s="49">
        <f ca="1"/>
        <v>0</v>
      </c>
      <c r="AN170" s="49">
        <f ca="1"/>
        <v>0</v>
      </c>
      <c r="AO170" s="49">
        <f ca="1"/>
        <v>0</v>
      </c>
      <c r="AP170" s="49">
        <f ca="1"/>
        <v>0</v>
      </c>
      <c r="AQ170" s="49">
        <f ca="1"/>
        <v>0</v>
      </c>
      <c r="AR170" s="49">
        <f ca="1"/>
        <v>0</v>
      </c>
      <c r="AS170" s="49">
        <f ca="1"/>
        <v>0</v>
      </c>
      <c r="AT170" s="49">
        <f ca="1"/>
        <v>0</v>
      </c>
      <c r="AU170" s="49">
        <f ca="1"/>
        <v>0</v>
      </c>
      <c r="AV170" s="49">
        <f ca="1"/>
        <v>0</v>
      </c>
      <c r="AW170" s="49">
        <f ca="1"/>
        <v>0</v>
      </c>
      <c r="AX170" s="49">
        <f ca="1"/>
        <v>0</v>
      </c>
      <c r="AY170" s="49">
        <f ca="1"/>
        <v>0</v>
      </c>
      <c r="AZ170" s="49">
        <f ca="1"/>
        <v>0</v>
      </c>
      <c r="BA170" s="49">
        <f ca="1"/>
        <v>0</v>
      </c>
      <c r="BB170" s="49">
        <f ca="1"/>
        <v>0</v>
      </c>
      <c r="BC170" s="49">
        <f ca="1"/>
        <v>0</v>
      </c>
      <c r="BD170" s="49">
        <f ca="1"/>
        <v>0</v>
      </c>
      <c r="BE170" s="49">
        <f ca="1"/>
        <v>0</v>
      </c>
      <c r="BF170" s="49">
        <f ca="1"/>
        <v>0</v>
      </c>
      <c r="BG170" s="49">
        <f ca="1"/>
        <v>0</v>
      </c>
      <c r="BH170" s="49">
        <f ca="1"/>
        <v>0</v>
      </c>
      <c r="BI170" s="49">
        <f ca="1"/>
        <v>0</v>
      </c>
      <c r="BJ170" s="49">
        <f ca="1"/>
        <v>0</v>
      </c>
      <c r="BK170" s="49">
        <f ca="1"/>
        <v>0</v>
      </c>
      <c r="BL170" s="49">
        <f ca="1"/>
        <v>0</v>
      </c>
      <c r="BM170" s="49">
        <f ca="1"/>
        <v>0</v>
      </c>
      <c r="BN170" s="49">
        <f ca="1"/>
        <v>0</v>
      </c>
      <c r="BO170" s="49">
        <f ca="1"/>
        <v>0</v>
      </c>
      <c r="BP170" s="49">
        <f ca="1"/>
        <v>0</v>
      </c>
      <c r="BQ170" s="49">
        <f ca="1"/>
        <v>0</v>
      </c>
      <c r="BR170" s="49">
        <f ca="1"/>
        <v>0</v>
      </c>
      <c r="BS170" s="49">
        <f ca="1"/>
        <v>0</v>
      </c>
    </row>
    <row r="171" spans="1:71" outlineLevel="1" x14ac:dyDescent="0.2">
      <c r="J171" s="26"/>
      <c r="L171" s="55"/>
      <c r="M171" s="55"/>
      <c r="N171" s="55"/>
      <c r="O171" s="55"/>
      <c r="P171" s="55"/>
      <c r="Q171" s="55"/>
      <c r="R171" s="55"/>
      <c r="S171" s="55"/>
      <c r="T171" s="55"/>
      <c r="U171" s="55"/>
      <c r="V171" s="55"/>
      <c r="W171" s="55"/>
      <c r="X171" s="55"/>
      <c r="Y171" s="55"/>
      <c r="Z171" s="55"/>
      <c r="AA171" s="55"/>
      <c r="AB171" s="55"/>
      <c r="AC171" s="55"/>
      <c r="AD171" s="55"/>
      <c r="AE171" s="55"/>
      <c r="AF171" s="55"/>
      <c r="AG171" s="55"/>
      <c r="AH171" s="55"/>
      <c r="AI171" s="55"/>
      <c r="AJ171" s="55"/>
      <c r="AK171" s="55"/>
      <c r="AL171" s="55"/>
      <c r="AM171" s="55"/>
      <c r="AN171" s="55"/>
      <c r="AO171" s="55"/>
      <c r="AP171" s="55"/>
      <c r="AQ171" s="55"/>
      <c r="AR171" s="55"/>
      <c r="AS171" s="55"/>
      <c r="AT171" s="55"/>
      <c r="AU171" s="55"/>
      <c r="AV171" s="55"/>
      <c r="AW171" s="55"/>
      <c r="AX171" s="55"/>
      <c r="AY171" s="55"/>
      <c r="AZ171" s="55"/>
      <c r="BA171" s="55"/>
      <c r="BB171" s="55"/>
      <c r="BC171" s="55"/>
      <c r="BD171" s="55"/>
      <c r="BE171" s="55"/>
      <c r="BF171" s="55"/>
      <c r="BG171" s="55"/>
      <c r="BH171" s="55"/>
      <c r="BI171" s="55"/>
      <c r="BJ171" s="55"/>
      <c r="BK171" s="55"/>
      <c r="BL171" s="55"/>
      <c r="BM171" s="55"/>
      <c r="BN171" s="55"/>
      <c r="BO171" s="55"/>
      <c r="BP171" s="55"/>
      <c r="BQ171" s="55"/>
      <c r="BR171" s="55"/>
      <c r="BS171" s="55"/>
    </row>
    <row r="172" spans="1:71" outlineLevel="1" x14ac:dyDescent="0.2">
      <c r="J172" s="26"/>
      <c r="L172" s="55"/>
      <c r="M172" s="55"/>
      <c r="N172" s="55"/>
      <c r="O172" s="55"/>
      <c r="P172" s="55"/>
      <c r="Q172" s="55"/>
      <c r="R172" s="55"/>
      <c r="S172" s="55"/>
      <c r="T172" s="55"/>
      <c r="U172" s="55"/>
      <c r="V172" s="55"/>
      <c r="W172" s="55"/>
      <c r="X172" s="55"/>
      <c r="Y172" s="55"/>
      <c r="Z172" s="55"/>
      <c r="AA172" s="55"/>
      <c r="AB172" s="55"/>
      <c r="AC172" s="55"/>
      <c r="AD172" s="55"/>
      <c r="AE172" s="55"/>
      <c r="AF172" s="55"/>
      <c r="AG172" s="55"/>
      <c r="AH172" s="55"/>
      <c r="AI172" s="55"/>
      <c r="AJ172" s="55"/>
      <c r="AK172" s="55"/>
      <c r="AL172" s="55"/>
      <c r="AM172" s="55"/>
      <c r="AN172" s="55"/>
      <c r="AO172" s="55"/>
      <c r="AP172" s="55"/>
      <c r="AQ172" s="55"/>
      <c r="AR172" s="55"/>
      <c r="AS172" s="55"/>
      <c r="AT172" s="55"/>
      <c r="AU172" s="55"/>
      <c r="AV172" s="55"/>
      <c r="AW172" s="55"/>
      <c r="AX172" s="55"/>
      <c r="AY172" s="55"/>
      <c r="AZ172" s="55"/>
      <c r="BA172" s="55"/>
      <c r="BB172" s="55"/>
      <c r="BC172" s="55"/>
      <c r="BD172" s="55"/>
      <c r="BE172" s="55"/>
      <c r="BF172" s="55"/>
      <c r="BG172" s="55"/>
      <c r="BH172" s="55"/>
      <c r="BI172" s="55"/>
      <c r="BJ172" s="55"/>
      <c r="BK172" s="55"/>
      <c r="BL172" s="55"/>
      <c r="BM172" s="55"/>
      <c r="BN172" s="55"/>
      <c r="BO172" s="55"/>
      <c r="BP172" s="55"/>
      <c r="BQ172" s="55"/>
      <c r="BR172" s="55"/>
      <c r="BS172" s="55"/>
    </row>
    <row r="173" spans="1:71" outlineLevel="1" x14ac:dyDescent="0.2">
      <c r="D173" t="str">
        <f>CHOOSE(db_ML_selected,'Liste Traduction'!B484,'Liste Traduction'!C484)</f>
        <v>Différence revenus pétroliers (PF-PH)</v>
      </c>
      <c r="I173" s="30">
        <f ca="1">SUM($L173:$BS173)</f>
        <v>2722.3429331440002</v>
      </c>
      <c r="J173" s="26" t="s">
        <v>148</v>
      </c>
      <c r="K173" s="7" t="s">
        <v>157</v>
      </c>
      <c r="L173" s="49" cm="1">
        <f t="array" aca="1" ref="L173:BS173" ca="1">HM_ZD_AM3_2005!CA_gross_rev_oil_fp-HM_ZD_AM3_2005!CA_gross_rev_oil_hp</f>
        <v>1422.5944995370003</v>
      </c>
      <c r="M173" s="49">
        <f ca="1"/>
        <v>1299.7484336069997</v>
      </c>
      <c r="N173" s="49">
        <f ca="1"/>
        <v>0</v>
      </c>
      <c r="O173" s="49">
        <f ca="1"/>
        <v>0</v>
      </c>
      <c r="P173" s="49">
        <f ca="1"/>
        <v>0</v>
      </c>
      <c r="Q173" s="49">
        <f ca="1"/>
        <v>0</v>
      </c>
      <c r="R173" s="49">
        <f ca="1"/>
        <v>0</v>
      </c>
      <c r="S173" s="49">
        <f ca="1"/>
        <v>0</v>
      </c>
      <c r="T173" s="49">
        <f ca="1"/>
        <v>0</v>
      </c>
      <c r="U173" s="49">
        <f ca="1"/>
        <v>0</v>
      </c>
      <c r="V173" s="49">
        <f ca="1"/>
        <v>0</v>
      </c>
      <c r="W173" s="49">
        <f ca="1"/>
        <v>0</v>
      </c>
      <c r="X173" s="49">
        <f ca="1"/>
        <v>0</v>
      </c>
      <c r="Y173" s="49">
        <f ca="1"/>
        <v>0</v>
      </c>
      <c r="Z173" s="49">
        <f ca="1"/>
        <v>0</v>
      </c>
      <c r="AA173" s="49">
        <f ca="1"/>
        <v>0</v>
      </c>
      <c r="AB173" s="49">
        <f ca="1"/>
        <v>0</v>
      </c>
      <c r="AC173" s="49">
        <f ca="1"/>
        <v>0</v>
      </c>
      <c r="AD173" s="49">
        <f ca="1"/>
        <v>0</v>
      </c>
      <c r="AE173" s="49">
        <f ca="1"/>
        <v>0</v>
      </c>
      <c r="AF173" s="49">
        <f ca="1"/>
        <v>0</v>
      </c>
      <c r="AG173" s="49">
        <f ca="1"/>
        <v>0</v>
      </c>
      <c r="AH173" s="49">
        <f ca="1"/>
        <v>0</v>
      </c>
      <c r="AI173" s="49">
        <f ca="1"/>
        <v>0</v>
      </c>
      <c r="AJ173" s="49">
        <f ca="1"/>
        <v>0</v>
      </c>
      <c r="AK173" s="49">
        <f ca="1"/>
        <v>0</v>
      </c>
      <c r="AL173" s="49">
        <f ca="1"/>
        <v>0</v>
      </c>
      <c r="AM173" s="49">
        <f ca="1"/>
        <v>0</v>
      </c>
      <c r="AN173" s="49">
        <f ca="1"/>
        <v>0</v>
      </c>
      <c r="AO173" s="49">
        <f ca="1"/>
        <v>0</v>
      </c>
      <c r="AP173" s="49">
        <f ca="1"/>
        <v>0</v>
      </c>
      <c r="AQ173" s="49">
        <f ca="1"/>
        <v>0</v>
      </c>
      <c r="AR173" s="49">
        <f ca="1"/>
        <v>0</v>
      </c>
      <c r="AS173" s="49">
        <f ca="1"/>
        <v>0</v>
      </c>
      <c r="AT173" s="49">
        <f ca="1"/>
        <v>0</v>
      </c>
      <c r="AU173" s="49">
        <f ca="1"/>
        <v>0</v>
      </c>
      <c r="AV173" s="49">
        <f ca="1"/>
        <v>0</v>
      </c>
      <c r="AW173" s="49">
        <f ca="1"/>
        <v>0</v>
      </c>
      <c r="AX173" s="49">
        <f ca="1"/>
        <v>0</v>
      </c>
      <c r="AY173" s="49">
        <f ca="1"/>
        <v>0</v>
      </c>
      <c r="AZ173" s="49">
        <f ca="1"/>
        <v>0</v>
      </c>
      <c r="BA173" s="49">
        <f ca="1"/>
        <v>0</v>
      </c>
      <c r="BB173" s="49">
        <f ca="1"/>
        <v>0</v>
      </c>
      <c r="BC173" s="49">
        <f ca="1"/>
        <v>0</v>
      </c>
      <c r="BD173" s="49">
        <f ca="1"/>
        <v>0</v>
      </c>
      <c r="BE173" s="49">
        <f ca="1"/>
        <v>0</v>
      </c>
      <c r="BF173" s="49">
        <f ca="1"/>
        <v>0</v>
      </c>
      <c r="BG173" s="49">
        <f ca="1"/>
        <v>0</v>
      </c>
      <c r="BH173" s="49">
        <f ca="1"/>
        <v>0</v>
      </c>
      <c r="BI173" s="49">
        <f ca="1"/>
        <v>0</v>
      </c>
      <c r="BJ173" s="49">
        <f ca="1"/>
        <v>0</v>
      </c>
      <c r="BK173" s="49">
        <f ca="1"/>
        <v>0</v>
      </c>
      <c r="BL173" s="49">
        <f ca="1"/>
        <v>0</v>
      </c>
      <c r="BM173" s="49">
        <f ca="1"/>
        <v>0</v>
      </c>
      <c r="BN173" s="49">
        <f ca="1"/>
        <v>0</v>
      </c>
      <c r="BO173" s="49">
        <f ca="1"/>
        <v>0</v>
      </c>
      <c r="BP173" s="49">
        <f ca="1"/>
        <v>0</v>
      </c>
      <c r="BQ173" s="49">
        <f ca="1"/>
        <v>0</v>
      </c>
      <c r="BR173" s="49">
        <f ca="1"/>
        <v>0</v>
      </c>
      <c r="BS173" s="49">
        <f ca="1"/>
        <v>0</v>
      </c>
    </row>
    <row r="174" spans="1:71" outlineLevel="1" x14ac:dyDescent="0.2">
      <c r="J174" s="26"/>
      <c r="L174" s="55"/>
      <c r="M174" s="55"/>
      <c r="N174" s="55"/>
      <c r="O174" s="55"/>
      <c r="P174" s="55"/>
      <c r="Q174" s="55"/>
      <c r="R174" s="55"/>
      <c r="S174" s="55"/>
      <c r="T174" s="55"/>
      <c r="U174" s="55"/>
      <c r="V174" s="55"/>
      <c r="W174" s="55"/>
      <c r="X174" s="55"/>
      <c r="Y174" s="55"/>
      <c r="Z174" s="55"/>
      <c r="AA174" s="55"/>
      <c r="AB174" s="55"/>
      <c r="AC174" s="55"/>
      <c r="AD174" s="55"/>
      <c r="AE174" s="55"/>
      <c r="AF174" s="55"/>
      <c r="AG174" s="55"/>
      <c r="AH174" s="55"/>
      <c r="AI174" s="55"/>
      <c r="AJ174" s="55"/>
      <c r="AK174" s="55"/>
      <c r="AL174" s="55"/>
      <c r="AM174" s="55"/>
      <c r="AN174" s="55"/>
      <c r="AO174" s="55"/>
      <c r="AP174" s="55"/>
      <c r="AQ174" s="55"/>
      <c r="AR174" s="55"/>
      <c r="AS174" s="55"/>
      <c r="AT174" s="55"/>
      <c r="AU174" s="55"/>
      <c r="AV174" s="55"/>
      <c r="AW174" s="55"/>
      <c r="AX174" s="55"/>
      <c r="AY174" s="55"/>
      <c r="AZ174" s="55"/>
      <c r="BA174" s="55"/>
      <c r="BB174" s="55"/>
      <c r="BC174" s="55"/>
      <c r="BD174" s="55"/>
      <c r="BE174" s="55"/>
      <c r="BF174" s="55"/>
      <c r="BG174" s="55"/>
      <c r="BH174" s="55"/>
      <c r="BI174" s="55"/>
      <c r="BJ174" s="55"/>
      <c r="BK174" s="55"/>
      <c r="BL174" s="55"/>
      <c r="BM174" s="55"/>
      <c r="BN174" s="55"/>
      <c r="BO174" s="55"/>
      <c r="BP174" s="55"/>
      <c r="BQ174" s="55"/>
      <c r="BR174" s="55"/>
      <c r="BS174" s="55"/>
    </row>
    <row r="175" spans="1:71" outlineLevel="1" x14ac:dyDescent="0.2">
      <c r="C175" s="11" t="str">
        <f>KLL_II_2020!C172</f>
        <v>Part du produit dans les revenus</v>
      </c>
      <c r="J175" s="26"/>
      <c r="L175" s="55"/>
      <c r="M175" s="55"/>
      <c r="N175" s="55"/>
      <c r="O175" s="55"/>
      <c r="P175" s="55"/>
      <c r="Q175" s="55"/>
      <c r="R175" s="55"/>
      <c r="S175" s="55"/>
      <c r="T175" s="55"/>
      <c r="U175" s="55"/>
      <c r="V175" s="55"/>
      <c r="W175" s="55"/>
      <c r="X175" s="55"/>
      <c r="Y175" s="55"/>
      <c r="Z175" s="55"/>
      <c r="AA175" s="55"/>
      <c r="AB175" s="55"/>
      <c r="AC175" s="55"/>
      <c r="AD175" s="55"/>
      <c r="AE175" s="55"/>
      <c r="AF175" s="55"/>
      <c r="AG175" s="55"/>
      <c r="AH175" s="55"/>
      <c r="AI175" s="55"/>
      <c r="AJ175" s="55"/>
      <c r="AK175" s="55"/>
      <c r="AL175" s="55"/>
      <c r="AM175" s="55"/>
      <c r="AN175" s="55"/>
      <c r="AO175" s="55"/>
      <c r="AP175" s="55"/>
      <c r="AQ175" s="55"/>
      <c r="AR175" s="55"/>
      <c r="AS175" s="55"/>
      <c r="AT175" s="55"/>
      <c r="AU175" s="55"/>
      <c r="AV175" s="55"/>
      <c r="AW175" s="55"/>
      <c r="AX175" s="55"/>
      <c r="AY175" s="55"/>
      <c r="AZ175" s="55"/>
      <c r="BA175" s="55"/>
      <c r="BB175" s="55"/>
      <c r="BC175" s="55"/>
      <c r="BD175" s="55"/>
      <c r="BE175" s="55"/>
      <c r="BF175" s="55"/>
      <c r="BG175" s="55"/>
      <c r="BH175" s="55"/>
      <c r="BI175" s="55"/>
      <c r="BJ175" s="55"/>
      <c r="BK175" s="55"/>
      <c r="BL175" s="55"/>
      <c r="BM175" s="55"/>
      <c r="BN175" s="55"/>
      <c r="BO175" s="55"/>
      <c r="BP175" s="55"/>
      <c r="BQ175" s="55"/>
      <c r="BR175" s="55"/>
      <c r="BS175" s="55"/>
    </row>
    <row r="176" spans="1:71" outlineLevel="1" x14ac:dyDescent="0.2">
      <c r="D176" t="str">
        <f>KLL_II_2020!D173</f>
        <v>Part du pétrole dans le revenu total</v>
      </c>
      <c r="I176" s="58">
        <f ca="1">IFERROR(I165/$I$167,0)</f>
        <v>1</v>
      </c>
      <c r="J176" s="26" t="s">
        <v>90</v>
      </c>
      <c r="K176" s="7" t="s">
        <v>231</v>
      </c>
      <c r="L176" s="53">
        <f ca="1">IFERROR(HM_ZD_AM3_2005!CA_gross_rev_oil_fp/HM_ZD_AM3_2005!CA_gross_rev_total_fp,0)</f>
        <v>1</v>
      </c>
      <c r="M176" s="53">
        <f ca="1">IFERROR(HM_ZD_AM3_2005!CA_gross_rev_oil_fp/HM_ZD_AM3_2005!CA_gross_rev_total_fp,0)</f>
        <v>1</v>
      </c>
      <c r="N176" s="53">
        <f ca="1">IFERROR(HM_ZD_AM3_2005!CA_gross_rev_oil_fp/HM_ZD_AM3_2005!CA_gross_rev_total_fp,0)</f>
        <v>0</v>
      </c>
      <c r="O176" s="53">
        <f ca="1">IFERROR(HM_ZD_AM3_2005!CA_gross_rev_oil_fp/HM_ZD_AM3_2005!CA_gross_rev_total_fp,0)</f>
        <v>0</v>
      </c>
      <c r="P176" s="53">
        <f ca="1">IFERROR(HM_ZD_AM3_2005!CA_gross_rev_oil_fp/HM_ZD_AM3_2005!CA_gross_rev_total_fp,0)</f>
        <v>0</v>
      </c>
      <c r="Q176" s="53">
        <f ca="1">IFERROR(HM_ZD_AM3_2005!CA_gross_rev_oil_fp/HM_ZD_AM3_2005!CA_gross_rev_total_fp,0)</f>
        <v>0</v>
      </c>
      <c r="R176" s="53">
        <f ca="1">IFERROR(HM_ZD_AM3_2005!CA_gross_rev_oil_fp/HM_ZD_AM3_2005!CA_gross_rev_total_fp,0)</f>
        <v>0</v>
      </c>
      <c r="S176" s="53">
        <f ca="1">IFERROR(HM_ZD_AM3_2005!CA_gross_rev_oil_fp/HM_ZD_AM3_2005!CA_gross_rev_total_fp,0)</f>
        <v>0</v>
      </c>
      <c r="T176" s="53">
        <f ca="1">IFERROR(HM_ZD_AM3_2005!CA_gross_rev_oil_fp/HM_ZD_AM3_2005!CA_gross_rev_total_fp,0)</f>
        <v>0</v>
      </c>
      <c r="U176" s="53">
        <f ca="1">IFERROR(HM_ZD_AM3_2005!CA_gross_rev_oil_fp/HM_ZD_AM3_2005!CA_gross_rev_total_fp,0)</f>
        <v>0</v>
      </c>
      <c r="V176" s="53">
        <f ca="1">IFERROR(HM_ZD_AM3_2005!CA_gross_rev_oil_fp/HM_ZD_AM3_2005!CA_gross_rev_total_fp,0)</f>
        <v>0</v>
      </c>
      <c r="W176" s="53">
        <f ca="1">IFERROR(HM_ZD_AM3_2005!CA_gross_rev_oil_fp/HM_ZD_AM3_2005!CA_gross_rev_total_fp,0)</f>
        <v>0</v>
      </c>
      <c r="X176" s="53">
        <f ca="1">IFERROR(HM_ZD_AM3_2005!CA_gross_rev_oil_fp/HM_ZD_AM3_2005!CA_gross_rev_total_fp,0)</f>
        <v>0</v>
      </c>
      <c r="Y176" s="53">
        <f ca="1">IFERROR(HM_ZD_AM3_2005!CA_gross_rev_oil_fp/HM_ZD_AM3_2005!CA_gross_rev_total_fp,0)</f>
        <v>0</v>
      </c>
      <c r="Z176" s="53">
        <f ca="1">IFERROR(HM_ZD_AM3_2005!CA_gross_rev_oil_fp/HM_ZD_AM3_2005!CA_gross_rev_total_fp,0)</f>
        <v>0</v>
      </c>
      <c r="AA176" s="53">
        <f ca="1">IFERROR(HM_ZD_AM3_2005!CA_gross_rev_oil_fp/HM_ZD_AM3_2005!CA_gross_rev_total_fp,0)</f>
        <v>0</v>
      </c>
      <c r="AB176" s="53">
        <f ca="1">IFERROR(HM_ZD_AM3_2005!CA_gross_rev_oil_fp/HM_ZD_AM3_2005!CA_gross_rev_total_fp,0)</f>
        <v>0</v>
      </c>
      <c r="AC176" s="53">
        <f ca="1">IFERROR(HM_ZD_AM3_2005!CA_gross_rev_oil_fp/HM_ZD_AM3_2005!CA_gross_rev_total_fp,0)</f>
        <v>0</v>
      </c>
      <c r="AD176" s="53">
        <f ca="1">IFERROR(HM_ZD_AM3_2005!CA_gross_rev_oil_fp/HM_ZD_AM3_2005!CA_gross_rev_total_fp,0)</f>
        <v>0</v>
      </c>
      <c r="AE176" s="53">
        <f ca="1">IFERROR(HM_ZD_AM3_2005!CA_gross_rev_oil_fp/HM_ZD_AM3_2005!CA_gross_rev_total_fp,0)</f>
        <v>0</v>
      </c>
      <c r="AF176" s="53">
        <f ca="1">IFERROR(HM_ZD_AM3_2005!CA_gross_rev_oil_fp/HM_ZD_AM3_2005!CA_gross_rev_total_fp,0)</f>
        <v>0</v>
      </c>
      <c r="AG176" s="53">
        <f ca="1">IFERROR(HM_ZD_AM3_2005!CA_gross_rev_oil_fp/HM_ZD_AM3_2005!CA_gross_rev_total_fp,0)</f>
        <v>0</v>
      </c>
      <c r="AH176" s="53">
        <f ca="1">IFERROR(HM_ZD_AM3_2005!CA_gross_rev_oil_fp/HM_ZD_AM3_2005!CA_gross_rev_total_fp,0)</f>
        <v>0</v>
      </c>
      <c r="AI176" s="53">
        <f ca="1">IFERROR(HM_ZD_AM3_2005!CA_gross_rev_oil_fp/HM_ZD_AM3_2005!CA_gross_rev_total_fp,0)</f>
        <v>0</v>
      </c>
      <c r="AJ176" s="53">
        <f ca="1">IFERROR(HM_ZD_AM3_2005!CA_gross_rev_oil_fp/HM_ZD_AM3_2005!CA_gross_rev_total_fp,0)</f>
        <v>0</v>
      </c>
      <c r="AK176" s="53">
        <f ca="1">IFERROR(HM_ZD_AM3_2005!CA_gross_rev_oil_fp/HM_ZD_AM3_2005!CA_gross_rev_total_fp,0)</f>
        <v>0</v>
      </c>
      <c r="AL176" s="53">
        <f ca="1">IFERROR(HM_ZD_AM3_2005!CA_gross_rev_oil_fp/HM_ZD_AM3_2005!CA_gross_rev_total_fp,0)</f>
        <v>0</v>
      </c>
      <c r="AM176" s="53">
        <f ca="1">IFERROR(HM_ZD_AM3_2005!CA_gross_rev_oil_fp/HM_ZD_AM3_2005!CA_gross_rev_total_fp,0)</f>
        <v>0</v>
      </c>
      <c r="AN176" s="53">
        <f ca="1">IFERROR(HM_ZD_AM3_2005!CA_gross_rev_oil_fp/HM_ZD_AM3_2005!CA_gross_rev_total_fp,0)</f>
        <v>0</v>
      </c>
      <c r="AO176" s="53">
        <f ca="1">IFERROR(HM_ZD_AM3_2005!CA_gross_rev_oil_fp/HM_ZD_AM3_2005!CA_gross_rev_total_fp,0)</f>
        <v>0</v>
      </c>
      <c r="AP176" s="53">
        <f ca="1">IFERROR(HM_ZD_AM3_2005!CA_gross_rev_oil_fp/HM_ZD_AM3_2005!CA_gross_rev_total_fp,0)</f>
        <v>0</v>
      </c>
      <c r="AQ176" s="53">
        <f ca="1">IFERROR(HM_ZD_AM3_2005!CA_gross_rev_oil_fp/HM_ZD_AM3_2005!CA_gross_rev_total_fp,0)</f>
        <v>0</v>
      </c>
      <c r="AR176" s="53">
        <f ca="1">IFERROR(HM_ZD_AM3_2005!CA_gross_rev_oil_fp/HM_ZD_AM3_2005!CA_gross_rev_total_fp,0)</f>
        <v>0</v>
      </c>
      <c r="AS176" s="53">
        <f ca="1">IFERROR(HM_ZD_AM3_2005!CA_gross_rev_oil_fp/HM_ZD_AM3_2005!CA_gross_rev_total_fp,0)</f>
        <v>0</v>
      </c>
      <c r="AT176" s="53">
        <f ca="1">IFERROR(HM_ZD_AM3_2005!CA_gross_rev_oil_fp/HM_ZD_AM3_2005!CA_gross_rev_total_fp,0)</f>
        <v>0</v>
      </c>
      <c r="AU176" s="53">
        <f ca="1">IFERROR(HM_ZD_AM3_2005!CA_gross_rev_oil_fp/HM_ZD_AM3_2005!CA_gross_rev_total_fp,0)</f>
        <v>0</v>
      </c>
      <c r="AV176" s="53">
        <f ca="1">IFERROR(HM_ZD_AM3_2005!CA_gross_rev_oil_fp/HM_ZD_AM3_2005!CA_gross_rev_total_fp,0)</f>
        <v>0</v>
      </c>
      <c r="AW176" s="53">
        <f ca="1">IFERROR(HM_ZD_AM3_2005!CA_gross_rev_oil_fp/HM_ZD_AM3_2005!CA_gross_rev_total_fp,0)</f>
        <v>0</v>
      </c>
      <c r="AX176" s="53">
        <f ca="1">IFERROR(HM_ZD_AM3_2005!CA_gross_rev_oil_fp/HM_ZD_AM3_2005!CA_gross_rev_total_fp,0)</f>
        <v>0</v>
      </c>
      <c r="AY176" s="53">
        <f ca="1">IFERROR(HM_ZD_AM3_2005!CA_gross_rev_oil_fp/HM_ZD_AM3_2005!CA_gross_rev_total_fp,0)</f>
        <v>0</v>
      </c>
      <c r="AZ176" s="53">
        <f ca="1">IFERROR(HM_ZD_AM3_2005!CA_gross_rev_oil_fp/HM_ZD_AM3_2005!CA_gross_rev_total_fp,0)</f>
        <v>0</v>
      </c>
      <c r="BA176" s="53">
        <f ca="1">IFERROR(HM_ZD_AM3_2005!CA_gross_rev_oil_fp/HM_ZD_AM3_2005!CA_gross_rev_total_fp,0)</f>
        <v>0</v>
      </c>
      <c r="BB176" s="53">
        <f ca="1">IFERROR(HM_ZD_AM3_2005!CA_gross_rev_oil_fp/HM_ZD_AM3_2005!CA_gross_rev_total_fp,0)</f>
        <v>0</v>
      </c>
      <c r="BC176" s="53">
        <f ca="1">IFERROR(HM_ZD_AM3_2005!CA_gross_rev_oil_fp/HM_ZD_AM3_2005!CA_gross_rev_total_fp,0)</f>
        <v>0</v>
      </c>
      <c r="BD176" s="53">
        <f ca="1">IFERROR(HM_ZD_AM3_2005!CA_gross_rev_oil_fp/HM_ZD_AM3_2005!CA_gross_rev_total_fp,0)</f>
        <v>0</v>
      </c>
      <c r="BE176" s="53">
        <f ca="1">IFERROR(HM_ZD_AM3_2005!CA_gross_rev_oil_fp/HM_ZD_AM3_2005!CA_gross_rev_total_fp,0)</f>
        <v>0</v>
      </c>
      <c r="BF176" s="53">
        <f ca="1">IFERROR(HM_ZD_AM3_2005!CA_gross_rev_oil_fp/HM_ZD_AM3_2005!CA_gross_rev_total_fp,0)</f>
        <v>0</v>
      </c>
      <c r="BG176" s="53">
        <f ca="1">IFERROR(HM_ZD_AM3_2005!CA_gross_rev_oil_fp/HM_ZD_AM3_2005!CA_gross_rev_total_fp,0)</f>
        <v>0</v>
      </c>
      <c r="BH176" s="53">
        <f ca="1">IFERROR(HM_ZD_AM3_2005!CA_gross_rev_oil_fp/HM_ZD_AM3_2005!CA_gross_rev_total_fp,0)</f>
        <v>0</v>
      </c>
      <c r="BI176" s="53">
        <f ca="1">IFERROR(HM_ZD_AM3_2005!CA_gross_rev_oil_fp/HM_ZD_AM3_2005!CA_gross_rev_total_fp,0)</f>
        <v>0</v>
      </c>
      <c r="BJ176" s="53">
        <f ca="1">IFERROR(HM_ZD_AM3_2005!CA_gross_rev_oil_fp/HM_ZD_AM3_2005!CA_gross_rev_total_fp,0)</f>
        <v>0</v>
      </c>
      <c r="BK176" s="53">
        <f ca="1">IFERROR(HM_ZD_AM3_2005!CA_gross_rev_oil_fp/HM_ZD_AM3_2005!CA_gross_rev_total_fp,0)</f>
        <v>0</v>
      </c>
      <c r="BL176" s="53">
        <f ca="1">IFERROR(HM_ZD_AM3_2005!CA_gross_rev_oil_fp/HM_ZD_AM3_2005!CA_gross_rev_total_fp,0)</f>
        <v>0</v>
      </c>
      <c r="BM176" s="53">
        <f ca="1">IFERROR(HM_ZD_AM3_2005!CA_gross_rev_oil_fp/HM_ZD_AM3_2005!CA_gross_rev_total_fp,0)</f>
        <v>0</v>
      </c>
      <c r="BN176" s="53">
        <f ca="1">IFERROR(HM_ZD_AM3_2005!CA_gross_rev_oil_fp/HM_ZD_AM3_2005!CA_gross_rev_total_fp,0)</f>
        <v>0</v>
      </c>
      <c r="BO176" s="53">
        <f ca="1">IFERROR(HM_ZD_AM3_2005!CA_gross_rev_oil_fp/HM_ZD_AM3_2005!CA_gross_rev_total_fp,0)</f>
        <v>0</v>
      </c>
      <c r="BP176" s="53">
        <f ca="1">IFERROR(HM_ZD_AM3_2005!CA_gross_rev_oil_fp/HM_ZD_AM3_2005!CA_gross_rev_total_fp,0)</f>
        <v>0</v>
      </c>
      <c r="BQ176" s="53">
        <f ca="1">IFERROR(HM_ZD_AM3_2005!CA_gross_rev_oil_fp/HM_ZD_AM3_2005!CA_gross_rev_total_fp,0)</f>
        <v>0</v>
      </c>
      <c r="BR176" s="53">
        <f ca="1">IFERROR(HM_ZD_AM3_2005!CA_gross_rev_oil_fp/HM_ZD_AM3_2005!CA_gross_rev_total_fp,0)</f>
        <v>0</v>
      </c>
      <c r="BS176" s="53">
        <f ca="1">IFERROR(HM_ZD_AM3_2005!CA_gross_rev_oil_fp/HM_ZD_AM3_2005!CA_gross_rev_total_fp,0)</f>
        <v>0</v>
      </c>
    </row>
    <row r="177" spans="1:71" outlineLevel="1" x14ac:dyDescent="0.2">
      <c r="D177" t="str">
        <f>KLL_II_2020!D174</f>
        <v>Part du gaz dans le revenu total</v>
      </c>
      <c r="I177" s="58">
        <f ca="1">IFERROR(I166/$I$167,0)</f>
        <v>0</v>
      </c>
      <c r="J177" s="26" t="s">
        <v>90</v>
      </c>
      <c r="K177" s="7" t="s">
        <v>232</v>
      </c>
      <c r="L177" s="53">
        <f ca="1">IFERROR(HM_ZD_AM3_2005!CA_gross_rev_gas_fp/HM_ZD_AM3_2005!CA_gross_rev_total_fp,0)</f>
        <v>0</v>
      </c>
      <c r="M177" s="53">
        <f ca="1">IFERROR(HM_ZD_AM3_2005!CA_gross_rev_gas_fp/HM_ZD_AM3_2005!CA_gross_rev_total_fp,0)</f>
        <v>0</v>
      </c>
      <c r="N177" s="53">
        <f ca="1">IFERROR(HM_ZD_AM3_2005!CA_gross_rev_gas_fp/HM_ZD_AM3_2005!CA_gross_rev_total_fp,0)</f>
        <v>0</v>
      </c>
      <c r="O177" s="53">
        <f ca="1">IFERROR(HM_ZD_AM3_2005!CA_gross_rev_gas_fp/HM_ZD_AM3_2005!CA_gross_rev_total_fp,0)</f>
        <v>0</v>
      </c>
      <c r="P177" s="53">
        <f ca="1">IFERROR(HM_ZD_AM3_2005!CA_gross_rev_gas_fp/HM_ZD_AM3_2005!CA_gross_rev_total_fp,0)</f>
        <v>0</v>
      </c>
      <c r="Q177" s="53">
        <f ca="1">IFERROR(HM_ZD_AM3_2005!CA_gross_rev_gas_fp/HM_ZD_AM3_2005!CA_gross_rev_total_fp,0)</f>
        <v>0</v>
      </c>
      <c r="R177" s="53">
        <f ca="1">IFERROR(HM_ZD_AM3_2005!CA_gross_rev_gas_fp/HM_ZD_AM3_2005!CA_gross_rev_total_fp,0)</f>
        <v>0</v>
      </c>
      <c r="S177" s="53">
        <f ca="1">IFERROR(HM_ZD_AM3_2005!CA_gross_rev_gas_fp/HM_ZD_AM3_2005!CA_gross_rev_total_fp,0)</f>
        <v>0</v>
      </c>
      <c r="T177" s="53">
        <f ca="1">IFERROR(HM_ZD_AM3_2005!CA_gross_rev_gas_fp/HM_ZD_AM3_2005!CA_gross_rev_total_fp,0)</f>
        <v>0</v>
      </c>
      <c r="U177" s="53">
        <f ca="1">IFERROR(HM_ZD_AM3_2005!CA_gross_rev_gas_fp/HM_ZD_AM3_2005!CA_gross_rev_total_fp,0)</f>
        <v>0</v>
      </c>
      <c r="V177" s="53">
        <f ca="1">IFERROR(HM_ZD_AM3_2005!CA_gross_rev_gas_fp/HM_ZD_AM3_2005!CA_gross_rev_total_fp,0)</f>
        <v>0</v>
      </c>
      <c r="W177" s="53">
        <f ca="1">IFERROR(HM_ZD_AM3_2005!CA_gross_rev_gas_fp/HM_ZD_AM3_2005!CA_gross_rev_total_fp,0)</f>
        <v>0</v>
      </c>
      <c r="X177" s="53">
        <f ca="1">IFERROR(HM_ZD_AM3_2005!CA_gross_rev_gas_fp/HM_ZD_AM3_2005!CA_gross_rev_total_fp,0)</f>
        <v>0</v>
      </c>
      <c r="Y177" s="53">
        <f ca="1">IFERROR(HM_ZD_AM3_2005!CA_gross_rev_gas_fp/HM_ZD_AM3_2005!CA_gross_rev_total_fp,0)</f>
        <v>0</v>
      </c>
      <c r="Z177" s="53">
        <f ca="1">IFERROR(HM_ZD_AM3_2005!CA_gross_rev_gas_fp/HM_ZD_AM3_2005!CA_gross_rev_total_fp,0)</f>
        <v>0</v>
      </c>
      <c r="AA177" s="53">
        <f ca="1">IFERROR(HM_ZD_AM3_2005!CA_gross_rev_gas_fp/HM_ZD_AM3_2005!CA_gross_rev_total_fp,0)</f>
        <v>0</v>
      </c>
      <c r="AB177" s="53">
        <f ca="1">IFERROR(HM_ZD_AM3_2005!CA_gross_rev_gas_fp/HM_ZD_AM3_2005!CA_gross_rev_total_fp,0)</f>
        <v>0</v>
      </c>
      <c r="AC177" s="53">
        <f ca="1">IFERROR(HM_ZD_AM3_2005!CA_gross_rev_gas_fp/HM_ZD_AM3_2005!CA_gross_rev_total_fp,0)</f>
        <v>0</v>
      </c>
      <c r="AD177" s="53">
        <f ca="1">IFERROR(HM_ZD_AM3_2005!CA_gross_rev_gas_fp/HM_ZD_AM3_2005!CA_gross_rev_total_fp,0)</f>
        <v>0</v>
      </c>
      <c r="AE177" s="53">
        <f ca="1">IFERROR(HM_ZD_AM3_2005!CA_gross_rev_gas_fp/HM_ZD_AM3_2005!CA_gross_rev_total_fp,0)</f>
        <v>0</v>
      </c>
      <c r="AF177" s="53">
        <f ca="1">IFERROR(HM_ZD_AM3_2005!CA_gross_rev_gas_fp/HM_ZD_AM3_2005!CA_gross_rev_total_fp,0)</f>
        <v>0</v>
      </c>
      <c r="AG177" s="53">
        <f ca="1">IFERROR(HM_ZD_AM3_2005!CA_gross_rev_gas_fp/HM_ZD_AM3_2005!CA_gross_rev_total_fp,0)</f>
        <v>0</v>
      </c>
      <c r="AH177" s="53">
        <f ca="1">IFERROR(HM_ZD_AM3_2005!CA_gross_rev_gas_fp/HM_ZD_AM3_2005!CA_gross_rev_total_fp,0)</f>
        <v>0</v>
      </c>
      <c r="AI177" s="53">
        <f ca="1">IFERROR(HM_ZD_AM3_2005!CA_gross_rev_gas_fp/HM_ZD_AM3_2005!CA_gross_rev_total_fp,0)</f>
        <v>0</v>
      </c>
      <c r="AJ177" s="53">
        <f ca="1">IFERROR(HM_ZD_AM3_2005!CA_gross_rev_gas_fp/HM_ZD_AM3_2005!CA_gross_rev_total_fp,0)</f>
        <v>0</v>
      </c>
      <c r="AK177" s="53">
        <f ca="1">IFERROR(HM_ZD_AM3_2005!CA_gross_rev_gas_fp/HM_ZD_AM3_2005!CA_gross_rev_total_fp,0)</f>
        <v>0</v>
      </c>
      <c r="AL177" s="53">
        <f ca="1">IFERROR(HM_ZD_AM3_2005!CA_gross_rev_gas_fp/HM_ZD_AM3_2005!CA_gross_rev_total_fp,0)</f>
        <v>0</v>
      </c>
      <c r="AM177" s="53">
        <f ca="1">IFERROR(HM_ZD_AM3_2005!CA_gross_rev_gas_fp/HM_ZD_AM3_2005!CA_gross_rev_total_fp,0)</f>
        <v>0</v>
      </c>
      <c r="AN177" s="53">
        <f ca="1">IFERROR(HM_ZD_AM3_2005!CA_gross_rev_gas_fp/HM_ZD_AM3_2005!CA_gross_rev_total_fp,0)</f>
        <v>0</v>
      </c>
      <c r="AO177" s="53">
        <f ca="1">IFERROR(HM_ZD_AM3_2005!CA_gross_rev_gas_fp/HM_ZD_AM3_2005!CA_gross_rev_total_fp,0)</f>
        <v>0</v>
      </c>
      <c r="AP177" s="53">
        <f ca="1">IFERROR(HM_ZD_AM3_2005!CA_gross_rev_gas_fp/HM_ZD_AM3_2005!CA_gross_rev_total_fp,0)</f>
        <v>0</v>
      </c>
      <c r="AQ177" s="53">
        <f ca="1">IFERROR(HM_ZD_AM3_2005!CA_gross_rev_gas_fp/HM_ZD_AM3_2005!CA_gross_rev_total_fp,0)</f>
        <v>0</v>
      </c>
      <c r="AR177" s="53">
        <f ca="1">IFERROR(HM_ZD_AM3_2005!CA_gross_rev_gas_fp/HM_ZD_AM3_2005!CA_gross_rev_total_fp,0)</f>
        <v>0</v>
      </c>
      <c r="AS177" s="53">
        <f ca="1">IFERROR(HM_ZD_AM3_2005!CA_gross_rev_gas_fp/HM_ZD_AM3_2005!CA_gross_rev_total_fp,0)</f>
        <v>0</v>
      </c>
      <c r="AT177" s="53">
        <f ca="1">IFERROR(HM_ZD_AM3_2005!CA_gross_rev_gas_fp/HM_ZD_AM3_2005!CA_gross_rev_total_fp,0)</f>
        <v>0</v>
      </c>
      <c r="AU177" s="53">
        <f ca="1">IFERROR(HM_ZD_AM3_2005!CA_gross_rev_gas_fp/HM_ZD_AM3_2005!CA_gross_rev_total_fp,0)</f>
        <v>0</v>
      </c>
      <c r="AV177" s="53">
        <f ca="1">IFERROR(HM_ZD_AM3_2005!CA_gross_rev_gas_fp/HM_ZD_AM3_2005!CA_gross_rev_total_fp,0)</f>
        <v>0</v>
      </c>
      <c r="AW177" s="53">
        <f ca="1">IFERROR(HM_ZD_AM3_2005!CA_gross_rev_gas_fp/HM_ZD_AM3_2005!CA_gross_rev_total_fp,0)</f>
        <v>0</v>
      </c>
      <c r="AX177" s="53">
        <f ca="1">IFERROR(HM_ZD_AM3_2005!CA_gross_rev_gas_fp/HM_ZD_AM3_2005!CA_gross_rev_total_fp,0)</f>
        <v>0</v>
      </c>
      <c r="AY177" s="53">
        <f ca="1">IFERROR(HM_ZD_AM3_2005!CA_gross_rev_gas_fp/HM_ZD_AM3_2005!CA_gross_rev_total_fp,0)</f>
        <v>0</v>
      </c>
      <c r="AZ177" s="53">
        <f ca="1">IFERROR(HM_ZD_AM3_2005!CA_gross_rev_gas_fp/HM_ZD_AM3_2005!CA_gross_rev_total_fp,0)</f>
        <v>0</v>
      </c>
      <c r="BA177" s="53">
        <f ca="1">IFERROR(HM_ZD_AM3_2005!CA_gross_rev_gas_fp/HM_ZD_AM3_2005!CA_gross_rev_total_fp,0)</f>
        <v>0</v>
      </c>
      <c r="BB177" s="53">
        <f ca="1">IFERROR(HM_ZD_AM3_2005!CA_gross_rev_gas_fp/HM_ZD_AM3_2005!CA_gross_rev_total_fp,0)</f>
        <v>0</v>
      </c>
      <c r="BC177" s="53">
        <f ca="1">IFERROR(HM_ZD_AM3_2005!CA_gross_rev_gas_fp/HM_ZD_AM3_2005!CA_gross_rev_total_fp,0)</f>
        <v>0</v>
      </c>
      <c r="BD177" s="53">
        <f ca="1">IFERROR(HM_ZD_AM3_2005!CA_gross_rev_gas_fp/HM_ZD_AM3_2005!CA_gross_rev_total_fp,0)</f>
        <v>0</v>
      </c>
      <c r="BE177" s="53">
        <f ca="1">IFERROR(HM_ZD_AM3_2005!CA_gross_rev_gas_fp/HM_ZD_AM3_2005!CA_gross_rev_total_fp,0)</f>
        <v>0</v>
      </c>
      <c r="BF177" s="53">
        <f ca="1">IFERROR(HM_ZD_AM3_2005!CA_gross_rev_gas_fp/HM_ZD_AM3_2005!CA_gross_rev_total_fp,0)</f>
        <v>0</v>
      </c>
      <c r="BG177" s="53">
        <f ca="1">IFERROR(HM_ZD_AM3_2005!CA_gross_rev_gas_fp/HM_ZD_AM3_2005!CA_gross_rev_total_fp,0)</f>
        <v>0</v>
      </c>
      <c r="BH177" s="53">
        <f ca="1">IFERROR(HM_ZD_AM3_2005!CA_gross_rev_gas_fp/HM_ZD_AM3_2005!CA_gross_rev_total_fp,0)</f>
        <v>0</v>
      </c>
      <c r="BI177" s="53">
        <f ca="1">IFERROR(HM_ZD_AM3_2005!CA_gross_rev_gas_fp/HM_ZD_AM3_2005!CA_gross_rev_total_fp,0)</f>
        <v>0</v>
      </c>
      <c r="BJ177" s="53">
        <f ca="1">IFERROR(HM_ZD_AM3_2005!CA_gross_rev_gas_fp/HM_ZD_AM3_2005!CA_gross_rev_total_fp,0)</f>
        <v>0</v>
      </c>
      <c r="BK177" s="53">
        <f ca="1">IFERROR(HM_ZD_AM3_2005!CA_gross_rev_gas_fp/HM_ZD_AM3_2005!CA_gross_rev_total_fp,0)</f>
        <v>0</v>
      </c>
      <c r="BL177" s="53">
        <f ca="1">IFERROR(HM_ZD_AM3_2005!CA_gross_rev_gas_fp/HM_ZD_AM3_2005!CA_gross_rev_total_fp,0)</f>
        <v>0</v>
      </c>
      <c r="BM177" s="53">
        <f ca="1">IFERROR(HM_ZD_AM3_2005!CA_gross_rev_gas_fp/HM_ZD_AM3_2005!CA_gross_rev_total_fp,0)</f>
        <v>0</v>
      </c>
      <c r="BN177" s="53">
        <f ca="1">IFERROR(HM_ZD_AM3_2005!CA_gross_rev_gas_fp/HM_ZD_AM3_2005!CA_gross_rev_total_fp,0)</f>
        <v>0</v>
      </c>
      <c r="BO177" s="53">
        <f ca="1">IFERROR(HM_ZD_AM3_2005!CA_gross_rev_gas_fp/HM_ZD_AM3_2005!CA_gross_rev_total_fp,0)</f>
        <v>0</v>
      </c>
      <c r="BP177" s="53">
        <f ca="1">IFERROR(HM_ZD_AM3_2005!CA_gross_rev_gas_fp/HM_ZD_AM3_2005!CA_gross_rev_total_fp,0)</f>
        <v>0</v>
      </c>
      <c r="BQ177" s="53">
        <f ca="1">IFERROR(HM_ZD_AM3_2005!CA_gross_rev_gas_fp/HM_ZD_AM3_2005!CA_gross_rev_total_fp,0)</f>
        <v>0</v>
      </c>
      <c r="BR177" s="53">
        <f ca="1">IFERROR(HM_ZD_AM3_2005!CA_gross_rev_gas_fp/HM_ZD_AM3_2005!CA_gross_rev_total_fp,0)</f>
        <v>0</v>
      </c>
      <c r="BS177" s="53">
        <f ca="1">IFERROR(HM_ZD_AM3_2005!CA_gross_rev_gas_fp/HM_ZD_AM3_2005!CA_gross_rev_total_fp,0)</f>
        <v>0</v>
      </c>
    </row>
    <row r="178" spans="1:71" outlineLevel="1" x14ac:dyDescent="0.2">
      <c r="J178" s="26"/>
      <c r="L178" s="55"/>
      <c r="M178" s="55"/>
      <c r="N178" s="55"/>
      <c r="O178" s="55"/>
      <c r="P178" s="55"/>
      <c r="Q178" s="55"/>
      <c r="R178" s="55"/>
      <c r="S178" s="55"/>
      <c r="T178" s="55"/>
      <c r="U178" s="55"/>
      <c r="V178" s="55"/>
      <c r="W178" s="55"/>
      <c r="X178" s="55"/>
      <c r="Y178" s="55"/>
      <c r="Z178" s="55"/>
      <c r="AA178" s="55"/>
      <c r="AB178" s="55"/>
      <c r="AC178" s="55"/>
      <c r="AD178" s="55"/>
      <c r="AE178" s="55"/>
      <c r="AF178" s="55"/>
      <c r="AG178" s="55"/>
      <c r="AH178" s="55"/>
      <c r="AI178" s="55"/>
      <c r="AJ178" s="55"/>
      <c r="AK178" s="55"/>
      <c r="AL178" s="55"/>
      <c r="AM178" s="55"/>
      <c r="AN178" s="55"/>
      <c r="AO178" s="55"/>
      <c r="AP178" s="55"/>
      <c r="AQ178" s="55"/>
      <c r="AR178" s="55"/>
      <c r="AS178" s="55"/>
      <c r="AT178" s="55"/>
      <c r="AU178" s="55"/>
      <c r="AV178" s="55"/>
      <c r="AW178" s="55"/>
      <c r="AX178" s="55"/>
      <c r="AY178" s="55"/>
      <c r="AZ178" s="55"/>
      <c r="BA178" s="55"/>
      <c r="BB178" s="55"/>
      <c r="BC178" s="55"/>
      <c r="BD178" s="55"/>
      <c r="BE178" s="55"/>
      <c r="BF178" s="55"/>
      <c r="BG178" s="55"/>
      <c r="BH178" s="55"/>
      <c r="BI178" s="55"/>
      <c r="BJ178" s="55"/>
      <c r="BK178" s="55"/>
      <c r="BL178" s="55"/>
      <c r="BM178" s="55"/>
      <c r="BN178" s="55"/>
      <c r="BO178" s="55"/>
      <c r="BP178" s="55"/>
      <c r="BQ178" s="55"/>
      <c r="BR178" s="55"/>
      <c r="BS178" s="55"/>
    </row>
    <row r="179" spans="1:71" outlineLevel="1" x14ac:dyDescent="0.2">
      <c r="J179" s="26"/>
      <c r="L179" s="55"/>
      <c r="M179" s="55"/>
      <c r="N179" s="55"/>
      <c r="O179" s="55"/>
      <c r="P179" s="55"/>
      <c r="Q179" s="55"/>
      <c r="R179" s="55"/>
      <c r="S179" s="55"/>
      <c r="T179" s="55"/>
      <c r="U179" s="55"/>
      <c r="V179" s="55"/>
      <c r="W179" s="55"/>
      <c r="X179" s="55"/>
      <c r="Y179" s="55"/>
      <c r="Z179" s="55"/>
      <c r="AA179" s="55"/>
      <c r="AB179" s="55"/>
      <c r="AC179" s="55"/>
      <c r="AD179" s="55"/>
      <c r="AE179" s="55"/>
      <c r="AF179" s="55"/>
      <c r="AG179" s="55"/>
      <c r="AH179" s="55"/>
      <c r="AI179" s="55"/>
      <c r="AJ179" s="55"/>
      <c r="AK179" s="55"/>
      <c r="AL179" s="55"/>
      <c r="AM179" s="55"/>
      <c r="AN179" s="55"/>
      <c r="AO179" s="55"/>
      <c r="AP179" s="55"/>
      <c r="AQ179" s="55"/>
      <c r="AR179" s="55"/>
      <c r="AS179" s="55"/>
      <c r="AT179" s="55"/>
      <c r="AU179" s="55"/>
      <c r="AV179" s="55"/>
      <c r="AW179" s="55"/>
      <c r="AX179" s="55"/>
      <c r="AY179" s="55"/>
      <c r="AZ179" s="55"/>
      <c r="BA179" s="55"/>
      <c r="BB179" s="55"/>
      <c r="BC179" s="55"/>
      <c r="BD179" s="55"/>
      <c r="BE179" s="55"/>
      <c r="BF179" s="55"/>
      <c r="BG179" s="55"/>
      <c r="BH179" s="55"/>
      <c r="BI179" s="55"/>
      <c r="BJ179" s="55"/>
      <c r="BK179" s="55"/>
      <c r="BL179" s="55"/>
      <c r="BM179" s="55"/>
      <c r="BN179" s="55"/>
      <c r="BO179" s="55"/>
      <c r="BP179" s="55"/>
      <c r="BQ179" s="55"/>
      <c r="BR179" s="55"/>
      <c r="BS179" s="55"/>
    </row>
    <row r="180" spans="1:71" outlineLevel="1" x14ac:dyDescent="0.2">
      <c r="J180" s="26"/>
      <c r="L180" s="55"/>
      <c r="M180" s="55"/>
      <c r="N180" s="55"/>
      <c r="O180" s="55"/>
      <c r="P180" s="55"/>
      <c r="Q180" s="55"/>
      <c r="R180" s="55"/>
      <c r="S180" s="55"/>
      <c r="T180" s="55"/>
      <c r="U180" s="55"/>
      <c r="V180" s="55"/>
      <c r="W180" s="55"/>
      <c r="X180" s="55"/>
      <c r="Y180" s="55"/>
      <c r="Z180" s="55"/>
      <c r="AA180" s="55"/>
      <c r="AB180" s="55"/>
      <c r="AC180" s="55"/>
      <c r="AD180" s="55"/>
      <c r="AE180" s="55"/>
      <c r="AF180" s="55"/>
      <c r="AG180" s="55"/>
      <c r="AH180" s="55"/>
      <c r="AI180" s="55"/>
      <c r="AJ180" s="55"/>
      <c r="AK180" s="55"/>
      <c r="AL180" s="55"/>
      <c r="AM180" s="55"/>
      <c r="AN180" s="55"/>
      <c r="AO180" s="55"/>
      <c r="AP180" s="55"/>
      <c r="AQ180" s="55"/>
      <c r="AR180" s="55"/>
      <c r="AS180" s="55"/>
      <c r="AT180" s="55"/>
      <c r="AU180" s="55"/>
      <c r="AV180" s="55"/>
      <c r="AW180" s="55"/>
      <c r="AX180" s="55"/>
      <c r="AY180" s="55"/>
      <c r="AZ180" s="55"/>
      <c r="BA180" s="55"/>
      <c r="BB180" s="55"/>
      <c r="BC180" s="55"/>
      <c r="BD180" s="55"/>
      <c r="BE180" s="55"/>
      <c r="BF180" s="55"/>
      <c r="BG180" s="55"/>
      <c r="BH180" s="55"/>
      <c r="BI180" s="55"/>
      <c r="BJ180" s="55"/>
      <c r="BK180" s="55"/>
      <c r="BL180" s="55"/>
      <c r="BM180" s="55"/>
      <c r="BN180" s="55"/>
      <c r="BO180" s="55"/>
      <c r="BP180" s="55"/>
      <c r="BQ180" s="55"/>
      <c r="BR180" s="55"/>
      <c r="BS180" s="55"/>
    </row>
    <row r="181" spans="1:71" outlineLevel="1" x14ac:dyDescent="0.2">
      <c r="A181" s="45"/>
      <c r="B181" s="38" t="str">
        <f>KLL_II_2020!B178</f>
        <v>Coûts d'exploitation</v>
      </c>
      <c r="C181" s="45"/>
      <c r="D181" s="45"/>
      <c r="E181" s="45"/>
      <c r="J181" s="26"/>
      <c r="L181" s="55"/>
      <c r="M181" s="55"/>
      <c r="N181" s="55"/>
      <c r="O181" s="55"/>
      <c r="P181" s="55"/>
      <c r="Q181" s="55"/>
      <c r="R181" s="55"/>
      <c r="S181" s="55"/>
      <c r="T181" s="55"/>
      <c r="U181" s="55"/>
      <c r="V181" s="55"/>
      <c r="W181" s="55"/>
      <c r="X181" s="55"/>
      <c r="Y181" s="55"/>
      <c r="Z181" s="55"/>
      <c r="AA181" s="55"/>
      <c r="AB181" s="55"/>
      <c r="AC181" s="55"/>
      <c r="AD181" s="55"/>
      <c r="AE181" s="55"/>
      <c r="AF181" s="55"/>
      <c r="AG181" s="55"/>
      <c r="AH181" s="55"/>
      <c r="AI181" s="55"/>
      <c r="AJ181" s="55"/>
      <c r="AK181" s="55"/>
      <c r="AL181" s="55"/>
      <c r="AM181" s="55"/>
      <c r="AN181" s="55"/>
      <c r="AO181" s="55"/>
      <c r="AP181" s="55"/>
      <c r="AQ181" s="55"/>
      <c r="AR181" s="55"/>
      <c r="AS181" s="55"/>
      <c r="AT181" s="55"/>
      <c r="AU181" s="55"/>
      <c r="AV181" s="55"/>
      <c r="AW181" s="55"/>
      <c r="AX181" s="55"/>
      <c r="AY181" s="55"/>
      <c r="AZ181" s="55"/>
      <c r="BA181" s="55"/>
      <c r="BB181" s="55"/>
      <c r="BC181" s="55"/>
      <c r="BD181" s="55"/>
      <c r="BE181" s="55"/>
      <c r="BF181" s="55"/>
      <c r="BG181" s="55"/>
      <c r="BH181" s="55"/>
      <c r="BI181" s="55"/>
      <c r="BJ181" s="55"/>
      <c r="BK181" s="55"/>
      <c r="BL181" s="55"/>
      <c r="BM181" s="55"/>
      <c r="BN181" s="55"/>
      <c r="BO181" s="55"/>
      <c r="BP181" s="55"/>
      <c r="BQ181" s="55"/>
      <c r="BR181" s="55"/>
      <c r="BS181" s="55"/>
    </row>
    <row r="182" spans="1:71" outlineLevel="1" x14ac:dyDescent="0.2">
      <c r="J182" s="26"/>
      <c r="L182" s="55"/>
      <c r="M182" s="55"/>
      <c r="N182" s="55"/>
      <c r="O182" s="55"/>
      <c r="P182" s="55"/>
      <c r="Q182" s="55"/>
      <c r="R182" s="55"/>
      <c r="S182" s="55"/>
      <c r="T182" s="55"/>
      <c r="U182" s="55"/>
      <c r="V182" s="55"/>
      <c r="W182" s="55"/>
      <c r="X182" s="55"/>
      <c r="Y182" s="55"/>
      <c r="Z182" s="55"/>
      <c r="AA182" s="55"/>
      <c r="AB182" s="55"/>
      <c r="AC182" s="55"/>
      <c r="AD182" s="55"/>
      <c r="AE182" s="55"/>
      <c r="AF182" s="55"/>
      <c r="AG182" s="55"/>
      <c r="AH182" s="55"/>
      <c r="AI182" s="55"/>
      <c r="AJ182" s="55"/>
      <c r="AK182" s="55"/>
      <c r="AL182" s="55"/>
      <c r="AM182" s="55"/>
      <c r="AN182" s="55"/>
      <c r="AO182" s="55"/>
      <c r="AP182" s="55"/>
      <c r="AQ182" s="55"/>
      <c r="AR182" s="55"/>
      <c r="AS182" s="55"/>
      <c r="AT182" s="55"/>
      <c r="AU182" s="55"/>
      <c r="AV182" s="55"/>
      <c r="AW182" s="55"/>
      <c r="AX182" s="55"/>
      <c r="AY182" s="55"/>
      <c r="AZ182" s="55"/>
      <c r="BA182" s="55"/>
      <c r="BB182" s="55"/>
      <c r="BC182" s="55"/>
      <c r="BD182" s="55"/>
      <c r="BE182" s="55"/>
      <c r="BF182" s="55"/>
      <c r="BG182" s="55"/>
      <c r="BH182" s="55"/>
      <c r="BI182" s="55"/>
      <c r="BJ182" s="55"/>
      <c r="BK182" s="55"/>
      <c r="BL182" s="55"/>
      <c r="BM182" s="55"/>
      <c r="BN182" s="55"/>
      <c r="BO182" s="55"/>
      <c r="BP182" s="55"/>
      <c r="BQ182" s="55"/>
      <c r="BR182" s="55"/>
      <c r="BS182" s="55"/>
    </row>
    <row r="183" spans="1:71" outlineLevel="1" x14ac:dyDescent="0.2">
      <c r="C183" s="11" t="str">
        <f>KLL_II_2020!C180</f>
        <v>Coûts variables</v>
      </c>
      <c r="J183" s="26"/>
      <c r="L183" s="55"/>
      <c r="M183" s="55"/>
      <c r="N183" s="55"/>
      <c r="O183" s="55"/>
      <c r="P183" s="55"/>
      <c r="Q183" s="55"/>
      <c r="R183" s="55"/>
      <c r="S183" s="55"/>
      <c r="T183" s="55"/>
      <c r="U183" s="55"/>
      <c r="V183" s="55"/>
      <c r="W183" s="55"/>
      <c r="X183" s="55"/>
      <c r="Y183" s="55"/>
      <c r="Z183" s="55"/>
      <c r="AA183" s="55"/>
      <c r="AB183" s="55"/>
      <c r="AC183" s="55"/>
      <c r="AD183" s="55"/>
      <c r="AE183" s="55"/>
      <c r="AF183" s="55"/>
      <c r="AG183" s="55"/>
      <c r="AH183" s="55"/>
      <c r="AI183" s="55"/>
      <c r="AJ183" s="55"/>
      <c r="AK183" s="55"/>
      <c r="AL183" s="55"/>
      <c r="AM183" s="55"/>
      <c r="AN183" s="55"/>
      <c r="AO183" s="55"/>
      <c r="AP183" s="55"/>
      <c r="AQ183" s="55"/>
      <c r="AR183" s="55"/>
      <c r="AS183" s="55"/>
      <c r="AT183" s="55"/>
      <c r="AU183" s="55"/>
      <c r="AV183" s="55"/>
      <c r="AW183" s="55"/>
      <c r="AX183" s="55"/>
      <c r="AY183" s="55"/>
      <c r="AZ183" s="55"/>
      <c r="BA183" s="55"/>
      <c r="BB183" s="55"/>
      <c r="BC183" s="55"/>
      <c r="BD183" s="55"/>
      <c r="BE183" s="55"/>
      <c r="BF183" s="55"/>
      <c r="BG183" s="55"/>
      <c r="BH183" s="55"/>
      <c r="BI183" s="55"/>
      <c r="BJ183" s="55"/>
      <c r="BK183" s="55"/>
      <c r="BL183" s="55"/>
      <c r="BM183" s="55"/>
      <c r="BN183" s="55"/>
      <c r="BO183" s="55"/>
      <c r="BP183" s="55"/>
      <c r="BQ183" s="55"/>
      <c r="BR183" s="55"/>
      <c r="BS183" s="55"/>
    </row>
    <row r="184" spans="1:71" outlineLevel="1" x14ac:dyDescent="0.2">
      <c r="D184" t="str">
        <f>KLL_II_2020!D181</f>
        <v>Opex variables (nominal)</v>
      </c>
      <c r="I184" s="30">
        <f ca="1">SUM($L184:$BS184)</f>
        <v>392.69</v>
      </c>
      <c r="J184" s="26" t="s">
        <v>148</v>
      </c>
      <c r="K184" s="7" t="s">
        <v>159</v>
      </c>
      <c r="L184" s="49">
        <f ca="1">IF(L4&gt;=YEAR(effective_date_AM_3_2005),((OFFSET(_xlfn.SINGLE(IA_varopex_real),4,date_offset_AM_3_2005)+OFFSET(_xlfn.SINGLE(IA_othercosts_real),4,date_offset_AM_3_2005))*_xlfn.SINGLE(IA_esc_index)),0)</f>
        <v>172.67099999999999</v>
      </c>
      <c r="M184" s="49">
        <f ca="1">IF(M4&gt;=YEAR(effective_date_AM_3_2005),((OFFSET(_xlfn.SINGLE(IA_varopex_real),4,date_offset_AM_3_2005)+OFFSET(_xlfn.SINGLE(IA_othercosts_real),4,date_offset_AM_3_2005))*_xlfn.SINGLE(IA_esc_index)),0)</f>
        <v>220.01900000000001</v>
      </c>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c r="AL184" s="49"/>
      <c r="AM184" s="49"/>
      <c r="AN184" s="49"/>
      <c r="AO184" s="49"/>
      <c r="AP184" s="49"/>
      <c r="AQ184" s="49"/>
      <c r="AR184" s="49"/>
      <c r="AS184" s="49"/>
      <c r="AT184" s="49"/>
      <c r="AU184" s="49"/>
      <c r="AV184" s="49"/>
      <c r="AW184" s="49"/>
      <c r="AX184" s="49"/>
      <c r="AY184" s="49"/>
      <c r="AZ184" s="49"/>
      <c r="BA184" s="49"/>
      <c r="BB184" s="49"/>
      <c r="BC184" s="49"/>
      <c r="BD184" s="49"/>
      <c r="BE184" s="49"/>
      <c r="BF184" s="49"/>
      <c r="BG184" s="49"/>
      <c r="BH184" s="49"/>
      <c r="BI184" s="49"/>
      <c r="BJ184" s="49"/>
      <c r="BK184" s="49"/>
      <c r="BL184" s="49"/>
      <c r="BM184" s="49"/>
      <c r="BN184" s="49"/>
      <c r="BO184" s="49"/>
      <c r="BP184" s="49"/>
      <c r="BQ184" s="49"/>
      <c r="BR184" s="49"/>
      <c r="BS184" s="49"/>
    </row>
    <row r="185" spans="1:71" outlineLevel="1" x14ac:dyDescent="0.2">
      <c r="J185" s="26"/>
      <c r="L185" s="55"/>
      <c r="M185" s="55"/>
      <c r="N185" s="55"/>
      <c r="O185" s="55"/>
      <c r="P185" s="55"/>
      <c r="Q185" s="55"/>
      <c r="R185" s="55"/>
      <c r="S185" s="55"/>
      <c r="T185" s="55"/>
      <c r="U185" s="55"/>
      <c r="V185" s="55"/>
      <c r="W185" s="55"/>
      <c r="X185" s="55"/>
      <c r="Y185" s="55"/>
      <c r="Z185" s="55"/>
      <c r="AA185" s="55"/>
      <c r="AB185" s="55"/>
      <c r="AC185" s="55"/>
      <c r="AD185" s="55"/>
      <c r="AE185" s="55"/>
      <c r="AF185" s="55"/>
      <c r="AG185" s="55"/>
      <c r="AH185" s="55"/>
      <c r="AI185" s="55"/>
      <c r="AJ185" s="55"/>
      <c r="AK185" s="55"/>
      <c r="AL185" s="55"/>
      <c r="AM185" s="55"/>
      <c r="AN185" s="55"/>
      <c r="AO185" s="55"/>
      <c r="AP185" s="55"/>
      <c r="AQ185" s="55"/>
      <c r="AR185" s="55"/>
      <c r="AS185" s="55"/>
      <c r="AT185" s="55"/>
      <c r="AU185" s="55"/>
      <c r="AV185" s="55"/>
      <c r="AW185" s="55"/>
      <c r="AX185" s="55"/>
      <c r="AY185" s="55"/>
      <c r="AZ185" s="55"/>
      <c r="BA185" s="55"/>
      <c r="BB185" s="55"/>
      <c r="BC185" s="55"/>
      <c r="BD185" s="55"/>
      <c r="BE185" s="55"/>
      <c r="BF185" s="55"/>
      <c r="BG185" s="55"/>
      <c r="BH185" s="55"/>
      <c r="BI185" s="55"/>
      <c r="BJ185" s="55"/>
      <c r="BK185" s="55"/>
      <c r="BL185" s="55"/>
      <c r="BM185" s="55"/>
      <c r="BN185" s="55"/>
      <c r="BO185" s="55"/>
      <c r="BP185" s="55"/>
      <c r="BQ185" s="55"/>
      <c r="BR185" s="55"/>
      <c r="BS185" s="55"/>
    </row>
    <row r="186" spans="1:71" outlineLevel="1" x14ac:dyDescent="0.2">
      <c r="C186" s="11" t="str">
        <f>KLL_II_2020!C183</f>
        <v>Coûts fixes</v>
      </c>
      <c r="J186" s="26"/>
      <c r="L186" s="55"/>
      <c r="M186" s="55"/>
      <c r="N186" s="55"/>
      <c r="O186" s="55"/>
      <c r="P186" s="55"/>
      <c r="Q186" s="55"/>
      <c r="R186" s="55"/>
      <c r="S186" s="55"/>
      <c r="T186" s="55"/>
      <c r="U186" s="55"/>
      <c r="V186" s="55"/>
      <c r="W186" s="55"/>
      <c r="X186" s="55"/>
      <c r="Y186" s="55"/>
      <c r="Z186" s="55"/>
      <c r="AA186" s="55"/>
      <c r="AB186" s="55"/>
      <c r="AC186" s="55"/>
      <c r="AD186" s="55"/>
      <c r="AE186" s="55"/>
      <c r="AF186" s="55"/>
      <c r="AG186" s="55"/>
      <c r="AH186" s="55"/>
      <c r="AI186" s="55"/>
      <c r="AJ186" s="55"/>
      <c r="AK186" s="55"/>
      <c r="AL186" s="55"/>
      <c r="AM186" s="55"/>
      <c r="AN186" s="55"/>
      <c r="AO186" s="55"/>
      <c r="AP186" s="55"/>
      <c r="AQ186" s="55"/>
      <c r="AR186" s="55"/>
      <c r="AS186" s="55"/>
      <c r="AT186" s="55"/>
      <c r="AU186" s="55"/>
      <c r="AV186" s="55"/>
      <c r="AW186" s="55"/>
      <c r="AX186" s="55"/>
      <c r="AY186" s="55"/>
      <c r="AZ186" s="55"/>
      <c r="BA186" s="55"/>
      <c r="BB186" s="55"/>
      <c r="BC186" s="55"/>
      <c r="BD186" s="55"/>
      <c r="BE186" s="55"/>
      <c r="BF186" s="55"/>
      <c r="BG186" s="55"/>
      <c r="BH186" s="55"/>
      <c r="BI186" s="55"/>
      <c r="BJ186" s="55"/>
      <c r="BK186" s="55"/>
      <c r="BL186" s="55"/>
      <c r="BM186" s="55"/>
      <c r="BN186" s="55"/>
      <c r="BO186" s="55"/>
      <c r="BP186" s="55"/>
      <c r="BQ186" s="55"/>
      <c r="BR186" s="55"/>
      <c r="BS186" s="55"/>
    </row>
    <row r="187" spans="1:71" outlineLevel="1" x14ac:dyDescent="0.2">
      <c r="D187" t="str">
        <f>KLL_II_2020!D184</f>
        <v>Opex fixes (nominal)</v>
      </c>
      <c r="I187" s="30">
        <f ca="1">SUM($L187:$BS187)</f>
        <v>0</v>
      </c>
      <c r="J187" s="26" t="s">
        <v>148</v>
      </c>
      <c r="K187" s="7" t="s">
        <v>164</v>
      </c>
      <c r="L187" s="49">
        <f ca="1">IF(L4&gt;=YEAR(effective_date_AM_3_2005),(OFFSET(_xlfn.SINGLE(IA_fixedopex_real),4,date_offset_AM_3_2005)*_xlfn.SINGLE(IA_esc_index)),0)</f>
        <v>0</v>
      </c>
      <c r="M187" s="49">
        <f ca="1">IF(M4&gt;=YEAR(effective_date_AM_3_2005),(OFFSET(_xlfn.SINGLE(IA_fixedopex_real),4,date_offset_AM_3_2005)*_xlfn.SINGLE(IA_esc_index)),0)</f>
        <v>0</v>
      </c>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c r="AL187" s="49"/>
      <c r="AM187" s="49"/>
      <c r="AN187" s="49"/>
      <c r="AO187" s="49"/>
      <c r="AP187" s="49"/>
      <c r="AQ187" s="49"/>
      <c r="AR187" s="49"/>
      <c r="AS187" s="49"/>
      <c r="AT187" s="49"/>
      <c r="AU187" s="49"/>
      <c r="AV187" s="49"/>
      <c r="AW187" s="49"/>
      <c r="AX187" s="49"/>
      <c r="AY187" s="49"/>
      <c r="AZ187" s="49"/>
      <c r="BA187" s="49"/>
      <c r="BB187" s="49"/>
      <c r="BC187" s="49"/>
      <c r="BD187" s="49"/>
      <c r="BE187" s="49"/>
      <c r="BF187" s="49"/>
      <c r="BG187" s="49"/>
      <c r="BH187" s="49"/>
      <c r="BI187" s="49"/>
      <c r="BJ187" s="49"/>
      <c r="BK187" s="49"/>
      <c r="BL187" s="49"/>
      <c r="BM187" s="49"/>
      <c r="BN187" s="49"/>
      <c r="BO187" s="49"/>
      <c r="BP187" s="49"/>
      <c r="BQ187" s="49"/>
      <c r="BR187" s="49"/>
      <c r="BS187" s="49"/>
    </row>
    <row r="188" spans="1:71" outlineLevel="1" x14ac:dyDescent="0.2">
      <c r="J188" s="26"/>
      <c r="L188" s="55"/>
      <c r="M188" s="55"/>
      <c r="N188" s="55"/>
      <c r="O188" s="55"/>
      <c r="P188" s="55"/>
      <c r="Q188" s="55"/>
      <c r="R188" s="55"/>
      <c r="S188" s="55"/>
      <c r="T188" s="55"/>
      <c r="U188" s="55"/>
      <c r="V188" s="55"/>
      <c r="W188" s="55"/>
      <c r="X188" s="55"/>
      <c r="Y188" s="55"/>
      <c r="Z188" s="55"/>
      <c r="AA188" s="55"/>
      <c r="AB188" s="55"/>
      <c r="AC188" s="55"/>
      <c r="AD188" s="55"/>
      <c r="AE188" s="55"/>
      <c r="AF188" s="55"/>
      <c r="AG188" s="55"/>
      <c r="AH188" s="55"/>
      <c r="AI188" s="55"/>
      <c r="AJ188" s="55"/>
      <c r="AK188" s="55"/>
      <c r="AL188" s="55"/>
      <c r="AM188" s="55"/>
      <c r="AN188" s="55"/>
      <c r="AO188" s="55"/>
      <c r="AP188" s="55"/>
      <c r="AQ188" s="55"/>
      <c r="AR188" s="55"/>
      <c r="AS188" s="55"/>
      <c r="AT188" s="55"/>
      <c r="AU188" s="55"/>
      <c r="AV188" s="55"/>
      <c r="AW188" s="55"/>
      <c r="AX188" s="55"/>
      <c r="AY188" s="55"/>
      <c r="AZ188" s="55"/>
      <c r="BA188" s="55"/>
      <c r="BB188" s="55"/>
      <c r="BC188" s="55"/>
      <c r="BD188" s="55"/>
      <c r="BE188" s="55"/>
      <c r="BF188" s="55"/>
      <c r="BG188" s="55"/>
      <c r="BH188" s="55"/>
      <c r="BI188" s="55"/>
      <c r="BJ188" s="55"/>
      <c r="BK188" s="55"/>
      <c r="BL188" s="55"/>
      <c r="BM188" s="55"/>
      <c r="BN188" s="55"/>
      <c r="BO188" s="55"/>
      <c r="BP188" s="55"/>
      <c r="BQ188" s="55"/>
      <c r="BR188" s="55"/>
      <c r="BS188" s="55"/>
    </row>
    <row r="189" spans="1:71" outlineLevel="1" x14ac:dyDescent="0.2">
      <c r="J189" s="26"/>
      <c r="L189" s="55"/>
      <c r="M189" s="55"/>
      <c r="N189" s="55"/>
      <c r="O189" s="55"/>
      <c r="P189" s="55"/>
      <c r="Q189" s="55"/>
      <c r="R189" s="55"/>
      <c r="S189" s="55"/>
      <c r="T189" s="55"/>
      <c r="U189" s="55"/>
      <c r="V189" s="55"/>
      <c r="W189" s="55"/>
      <c r="X189" s="55"/>
      <c r="Y189" s="55"/>
      <c r="Z189" s="55"/>
      <c r="AA189" s="55"/>
      <c r="AB189" s="55"/>
      <c r="AC189" s="55"/>
      <c r="AD189" s="55"/>
      <c r="AE189" s="55"/>
      <c r="AF189" s="55"/>
      <c r="AG189" s="55"/>
      <c r="AH189" s="55"/>
      <c r="AI189" s="55"/>
      <c r="AJ189" s="55"/>
      <c r="AK189" s="55"/>
      <c r="AL189" s="55"/>
      <c r="AM189" s="55"/>
      <c r="AN189" s="55"/>
      <c r="AO189" s="55"/>
      <c r="AP189" s="55"/>
      <c r="AQ189" s="55"/>
      <c r="AR189" s="55"/>
      <c r="AS189" s="55"/>
      <c r="AT189" s="55"/>
      <c r="AU189" s="55"/>
      <c r="AV189" s="55"/>
      <c r="AW189" s="55"/>
      <c r="AX189" s="55"/>
      <c r="AY189" s="55"/>
      <c r="AZ189" s="55"/>
      <c r="BA189" s="55"/>
      <c r="BB189" s="55"/>
      <c r="BC189" s="55"/>
      <c r="BD189" s="55"/>
      <c r="BE189" s="55"/>
      <c r="BF189" s="55"/>
      <c r="BG189" s="55"/>
      <c r="BH189" s="55"/>
      <c r="BI189" s="55"/>
      <c r="BJ189" s="55"/>
      <c r="BK189" s="55"/>
      <c r="BL189" s="55"/>
      <c r="BM189" s="55"/>
      <c r="BN189" s="55"/>
      <c r="BO189" s="55"/>
      <c r="BP189" s="55"/>
      <c r="BQ189" s="55"/>
      <c r="BR189" s="55"/>
      <c r="BS189" s="55"/>
    </row>
    <row r="190" spans="1:71" outlineLevel="1" x14ac:dyDescent="0.2">
      <c r="D190" s="11" t="str">
        <f>KLL_II_2020!D187</f>
        <v>Total Opex</v>
      </c>
      <c r="I190" s="30">
        <f ca="1">SUM($L190:$BS190)</f>
        <v>392.69</v>
      </c>
      <c r="J190" s="26" t="s">
        <v>148</v>
      </c>
      <c r="K190" s="7" t="s">
        <v>166</v>
      </c>
      <c r="L190" s="49">
        <f ca="1">SUM(L187,L184)</f>
        <v>172.67099999999999</v>
      </c>
      <c r="M190" s="49">
        <f t="shared" ref="M190:BS190" ca="1" si="68">SUM(M187,M184)</f>
        <v>220.01900000000001</v>
      </c>
      <c r="N190" s="49">
        <f t="shared" si="68"/>
        <v>0</v>
      </c>
      <c r="O190" s="49">
        <f t="shared" si="68"/>
        <v>0</v>
      </c>
      <c r="P190" s="49">
        <f t="shared" si="68"/>
        <v>0</v>
      </c>
      <c r="Q190" s="49">
        <f t="shared" si="68"/>
        <v>0</v>
      </c>
      <c r="R190" s="49">
        <f t="shared" si="68"/>
        <v>0</v>
      </c>
      <c r="S190" s="49">
        <f t="shared" si="68"/>
        <v>0</v>
      </c>
      <c r="T190" s="49">
        <f t="shared" si="68"/>
        <v>0</v>
      </c>
      <c r="U190" s="49">
        <f t="shared" si="68"/>
        <v>0</v>
      </c>
      <c r="V190" s="49">
        <f t="shared" si="68"/>
        <v>0</v>
      </c>
      <c r="W190" s="49">
        <f t="shared" si="68"/>
        <v>0</v>
      </c>
      <c r="X190" s="49">
        <f t="shared" si="68"/>
        <v>0</v>
      </c>
      <c r="Y190" s="49">
        <f t="shared" si="68"/>
        <v>0</v>
      </c>
      <c r="Z190" s="49">
        <f t="shared" si="68"/>
        <v>0</v>
      </c>
      <c r="AA190" s="49">
        <f t="shared" si="68"/>
        <v>0</v>
      </c>
      <c r="AB190" s="49">
        <f t="shared" si="68"/>
        <v>0</v>
      </c>
      <c r="AC190" s="49">
        <f t="shared" si="68"/>
        <v>0</v>
      </c>
      <c r="AD190" s="49">
        <f t="shared" si="68"/>
        <v>0</v>
      </c>
      <c r="AE190" s="49">
        <f t="shared" si="68"/>
        <v>0</v>
      </c>
      <c r="AF190" s="49">
        <f t="shared" si="68"/>
        <v>0</v>
      </c>
      <c r="AG190" s="49">
        <f t="shared" si="68"/>
        <v>0</v>
      </c>
      <c r="AH190" s="49">
        <f t="shared" si="68"/>
        <v>0</v>
      </c>
      <c r="AI190" s="49">
        <f t="shared" si="68"/>
        <v>0</v>
      </c>
      <c r="AJ190" s="49">
        <f t="shared" si="68"/>
        <v>0</v>
      </c>
      <c r="AK190" s="49">
        <f t="shared" si="68"/>
        <v>0</v>
      </c>
      <c r="AL190" s="49">
        <f t="shared" si="68"/>
        <v>0</v>
      </c>
      <c r="AM190" s="49">
        <f t="shared" si="68"/>
        <v>0</v>
      </c>
      <c r="AN190" s="49">
        <f t="shared" si="68"/>
        <v>0</v>
      </c>
      <c r="AO190" s="49">
        <f t="shared" si="68"/>
        <v>0</v>
      </c>
      <c r="AP190" s="49">
        <f t="shared" si="68"/>
        <v>0</v>
      </c>
      <c r="AQ190" s="49">
        <f t="shared" si="68"/>
        <v>0</v>
      </c>
      <c r="AR190" s="49">
        <f t="shared" si="68"/>
        <v>0</v>
      </c>
      <c r="AS190" s="49">
        <f t="shared" si="68"/>
        <v>0</v>
      </c>
      <c r="AT190" s="49">
        <f t="shared" si="68"/>
        <v>0</v>
      </c>
      <c r="AU190" s="49">
        <f t="shared" si="68"/>
        <v>0</v>
      </c>
      <c r="AV190" s="49">
        <f t="shared" si="68"/>
        <v>0</v>
      </c>
      <c r="AW190" s="49">
        <f t="shared" si="68"/>
        <v>0</v>
      </c>
      <c r="AX190" s="49">
        <f t="shared" si="68"/>
        <v>0</v>
      </c>
      <c r="AY190" s="49">
        <f t="shared" si="68"/>
        <v>0</v>
      </c>
      <c r="AZ190" s="49">
        <f t="shared" si="68"/>
        <v>0</v>
      </c>
      <c r="BA190" s="49">
        <f t="shared" si="68"/>
        <v>0</v>
      </c>
      <c r="BB190" s="49">
        <f t="shared" si="68"/>
        <v>0</v>
      </c>
      <c r="BC190" s="49">
        <f t="shared" si="68"/>
        <v>0</v>
      </c>
      <c r="BD190" s="49">
        <f t="shared" si="68"/>
        <v>0</v>
      </c>
      <c r="BE190" s="49">
        <f t="shared" si="68"/>
        <v>0</v>
      </c>
      <c r="BF190" s="49">
        <f t="shared" si="68"/>
        <v>0</v>
      </c>
      <c r="BG190" s="49">
        <f t="shared" si="68"/>
        <v>0</v>
      </c>
      <c r="BH190" s="49">
        <f t="shared" si="68"/>
        <v>0</v>
      </c>
      <c r="BI190" s="49">
        <f t="shared" si="68"/>
        <v>0</v>
      </c>
      <c r="BJ190" s="49">
        <f t="shared" si="68"/>
        <v>0</v>
      </c>
      <c r="BK190" s="49">
        <f t="shared" si="68"/>
        <v>0</v>
      </c>
      <c r="BL190" s="49">
        <f t="shared" si="68"/>
        <v>0</v>
      </c>
      <c r="BM190" s="49">
        <f t="shared" si="68"/>
        <v>0</v>
      </c>
      <c r="BN190" s="49">
        <f t="shared" si="68"/>
        <v>0</v>
      </c>
      <c r="BO190" s="49">
        <f t="shared" si="68"/>
        <v>0</v>
      </c>
      <c r="BP190" s="49">
        <f t="shared" si="68"/>
        <v>0</v>
      </c>
      <c r="BQ190" s="49">
        <f t="shared" si="68"/>
        <v>0</v>
      </c>
      <c r="BR190" s="49">
        <f t="shared" si="68"/>
        <v>0</v>
      </c>
      <c r="BS190" s="49">
        <f t="shared" si="68"/>
        <v>0</v>
      </c>
    </row>
    <row r="191" spans="1:71" outlineLevel="1" x14ac:dyDescent="0.2">
      <c r="J191" s="26"/>
      <c r="L191" s="55"/>
      <c r="M191" s="55"/>
      <c r="N191" s="55"/>
      <c r="O191" s="55"/>
      <c r="P191" s="55"/>
      <c r="Q191" s="55"/>
      <c r="R191" s="55"/>
      <c r="S191" s="55"/>
      <c r="T191" s="55"/>
      <c r="U191" s="55"/>
      <c r="V191" s="55"/>
      <c r="W191" s="55"/>
      <c r="X191" s="55"/>
      <c r="Y191" s="55"/>
      <c r="Z191" s="55"/>
      <c r="AA191" s="55"/>
      <c r="AB191" s="55"/>
      <c r="AC191" s="55"/>
      <c r="AD191" s="55"/>
      <c r="AE191" s="55"/>
      <c r="AF191" s="55"/>
      <c r="AG191" s="55"/>
      <c r="AH191" s="55"/>
      <c r="AI191" s="55"/>
      <c r="AJ191" s="55"/>
      <c r="AK191" s="55"/>
      <c r="AL191" s="55"/>
      <c r="AM191" s="55"/>
      <c r="AN191" s="55"/>
      <c r="AO191" s="55"/>
      <c r="AP191" s="55"/>
      <c r="AQ191" s="55"/>
      <c r="AR191" s="55"/>
      <c r="AS191" s="55"/>
      <c r="AT191" s="55"/>
      <c r="AU191" s="55"/>
      <c r="AV191" s="55"/>
      <c r="AW191" s="55"/>
      <c r="AX191" s="55"/>
      <c r="AY191" s="55"/>
      <c r="AZ191" s="55"/>
      <c r="BA191" s="55"/>
      <c r="BB191" s="55"/>
      <c r="BC191" s="55"/>
      <c r="BD191" s="55"/>
      <c r="BE191" s="55"/>
      <c r="BF191" s="55"/>
      <c r="BG191" s="55"/>
      <c r="BH191" s="55"/>
      <c r="BI191" s="55"/>
      <c r="BJ191" s="55"/>
      <c r="BK191" s="55"/>
      <c r="BL191" s="55"/>
      <c r="BM191" s="55"/>
      <c r="BN191" s="55"/>
      <c r="BO191" s="55"/>
      <c r="BP191" s="55"/>
      <c r="BQ191" s="55"/>
      <c r="BR191" s="55"/>
      <c r="BS191" s="55"/>
    </row>
    <row r="192" spans="1:71" outlineLevel="1" x14ac:dyDescent="0.2">
      <c r="J192" s="26"/>
      <c r="L192" s="55"/>
      <c r="M192" s="55"/>
      <c r="N192" s="55"/>
      <c r="O192" s="55"/>
      <c r="P192" s="55"/>
      <c r="Q192" s="55"/>
      <c r="R192" s="55"/>
      <c r="S192" s="55"/>
      <c r="T192" s="55"/>
      <c r="U192" s="55"/>
      <c r="V192" s="55"/>
      <c r="W192" s="55"/>
      <c r="X192" s="55"/>
      <c r="Y192" s="55"/>
      <c r="Z192" s="55"/>
      <c r="AA192" s="55"/>
      <c r="AB192" s="55"/>
      <c r="AC192" s="55"/>
      <c r="AD192" s="55"/>
      <c r="AE192" s="55"/>
      <c r="AF192" s="55"/>
      <c r="AG192" s="55"/>
      <c r="AH192" s="55"/>
      <c r="AI192" s="55"/>
      <c r="AJ192" s="55"/>
      <c r="AK192" s="55"/>
      <c r="AL192" s="55"/>
      <c r="AM192" s="55"/>
      <c r="AN192" s="55"/>
      <c r="AO192" s="55"/>
      <c r="AP192" s="55"/>
      <c r="AQ192" s="55"/>
      <c r="AR192" s="55"/>
      <c r="AS192" s="55"/>
      <c r="AT192" s="55"/>
      <c r="AU192" s="55"/>
      <c r="AV192" s="55"/>
      <c r="AW192" s="55"/>
      <c r="AX192" s="55"/>
      <c r="AY192" s="55"/>
      <c r="AZ192" s="55"/>
      <c r="BA192" s="55"/>
      <c r="BB192" s="55"/>
      <c r="BC192" s="55"/>
      <c r="BD192" s="55"/>
      <c r="BE192" s="55"/>
      <c r="BF192" s="55"/>
      <c r="BG192" s="55"/>
      <c r="BH192" s="55"/>
      <c r="BI192" s="55"/>
      <c r="BJ192" s="55"/>
      <c r="BK192" s="55"/>
      <c r="BL192" s="55"/>
      <c r="BM192" s="55"/>
      <c r="BN192" s="55"/>
      <c r="BO192" s="55"/>
      <c r="BP192" s="55"/>
      <c r="BQ192" s="55"/>
      <c r="BR192" s="55"/>
      <c r="BS192" s="55"/>
    </row>
    <row r="193" spans="1:71" outlineLevel="1" x14ac:dyDescent="0.2">
      <c r="A193" s="45"/>
      <c r="B193" s="38" t="str">
        <f>KLL_II_2020!B190</f>
        <v>Coûts de développement</v>
      </c>
      <c r="C193" s="45"/>
      <c r="D193" s="45"/>
      <c r="E193" s="45"/>
      <c r="J193" s="26"/>
      <c r="L193" s="55"/>
      <c r="M193" s="55"/>
      <c r="N193" s="55"/>
      <c r="O193" s="55"/>
      <c r="P193" s="55"/>
      <c r="Q193" s="55"/>
      <c r="R193" s="55"/>
      <c r="S193" s="55"/>
      <c r="T193" s="55"/>
      <c r="U193" s="55"/>
      <c r="V193" s="55"/>
      <c r="W193" s="55"/>
      <c r="X193" s="55"/>
      <c r="Y193" s="55"/>
      <c r="Z193" s="55"/>
      <c r="AA193" s="55"/>
      <c r="AB193" s="55"/>
      <c r="AC193" s="55"/>
      <c r="AD193" s="55"/>
      <c r="AE193" s="55"/>
      <c r="AF193" s="55"/>
      <c r="AG193" s="55"/>
      <c r="AH193" s="55"/>
      <c r="AI193" s="55"/>
      <c r="AJ193" s="55"/>
      <c r="AK193" s="55"/>
      <c r="AL193" s="55"/>
      <c r="AM193" s="55"/>
      <c r="AN193" s="55"/>
      <c r="AO193" s="55"/>
      <c r="AP193" s="55"/>
      <c r="AQ193" s="55"/>
      <c r="AR193" s="55"/>
      <c r="AS193" s="55"/>
      <c r="AT193" s="55"/>
      <c r="AU193" s="55"/>
      <c r="AV193" s="55"/>
      <c r="AW193" s="55"/>
      <c r="AX193" s="55"/>
      <c r="AY193" s="55"/>
      <c r="AZ193" s="55"/>
      <c r="BA193" s="55"/>
      <c r="BB193" s="55"/>
      <c r="BC193" s="55"/>
      <c r="BD193" s="55"/>
      <c r="BE193" s="55"/>
      <c r="BF193" s="55"/>
      <c r="BG193" s="55"/>
      <c r="BH193" s="55"/>
      <c r="BI193" s="55"/>
      <c r="BJ193" s="55"/>
      <c r="BK193" s="55"/>
      <c r="BL193" s="55"/>
      <c r="BM193" s="55"/>
      <c r="BN193" s="55"/>
      <c r="BO193" s="55"/>
      <c r="BP193" s="55"/>
      <c r="BQ193" s="55"/>
      <c r="BR193" s="55"/>
      <c r="BS193" s="55"/>
    </row>
    <row r="194" spans="1:71" outlineLevel="1" x14ac:dyDescent="0.2">
      <c r="J194" s="26"/>
      <c r="L194" s="55"/>
      <c r="M194" s="55"/>
      <c r="N194" s="55"/>
      <c r="O194" s="55"/>
      <c r="P194" s="55"/>
      <c r="Q194" s="55"/>
      <c r="R194" s="55"/>
      <c r="S194" s="55"/>
      <c r="T194" s="55"/>
      <c r="U194" s="55"/>
      <c r="V194" s="55"/>
      <c r="W194" s="55"/>
      <c r="X194" s="55"/>
      <c r="Y194" s="55"/>
      <c r="Z194" s="55"/>
      <c r="AA194" s="55"/>
      <c r="AB194" s="55"/>
      <c r="AC194" s="55"/>
      <c r="AD194" s="55"/>
      <c r="AE194" s="55"/>
      <c r="AF194" s="55"/>
      <c r="AG194" s="55"/>
      <c r="AH194" s="55"/>
      <c r="AI194" s="55"/>
      <c r="AJ194" s="55"/>
      <c r="AK194" s="55"/>
      <c r="AL194" s="55"/>
      <c r="AM194" s="55"/>
      <c r="AN194" s="55"/>
      <c r="AO194" s="55"/>
      <c r="AP194" s="55"/>
      <c r="AQ194" s="55"/>
      <c r="AR194" s="55"/>
      <c r="AS194" s="55"/>
      <c r="AT194" s="55"/>
      <c r="AU194" s="55"/>
      <c r="AV194" s="55"/>
      <c r="AW194" s="55"/>
      <c r="AX194" s="55"/>
      <c r="AY194" s="55"/>
      <c r="AZ194" s="55"/>
      <c r="BA194" s="55"/>
      <c r="BB194" s="55"/>
      <c r="BC194" s="55"/>
      <c r="BD194" s="55"/>
      <c r="BE194" s="55"/>
      <c r="BF194" s="55"/>
      <c r="BG194" s="55"/>
      <c r="BH194" s="55"/>
      <c r="BI194" s="55"/>
      <c r="BJ194" s="55"/>
      <c r="BK194" s="55"/>
      <c r="BL194" s="55"/>
      <c r="BM194" s="55"/>
      <c r="BN194" s="55"/>
      <c r="BO194" s="55"/>
      <c r="BP194" s="55"/>
      <c r="BQ194" s="55"/>
      <c r="BR194" s="55"/>
      <c r="BS194" s="55"/>
    </row>
    <row r="195" spans="1:71" outlineLevel="1" x14ac:dyDescent="0.2">
      <c r="C195" s="11" t="str">
        <f>KLL_II_2020!C192</f>
        <v>Coûts d'exploration et d'évaluation</v>
      </c>
      <c r="J195" s="26"/>
      <c r="L195" s="55"/>
      <c r="M195" s="55"/>
      <c r="N195" s="55"/>
      <c r="O195" s="55"/>
      <c r="P195" s="55"/>
      <c r="Q195" s="55"/>
      <c r="R195" s="55"/>
      <c r="S195" s="55"/>
      <c r="T195" s="55"/>
      <c r="U195" s="55"/>
      <c r="V195" s="55"/>
      <c r="W195" s="55"/>
      <c r="X195" s="55"/>
      <c r="Y195" s="55"/>
      <c r="Z195" s="55"/>
      <c r="AA195" s="55"/>
      <c r="AB195" s="55"/>
      <c r="AC195" s="55"/>
      <c r="AD195" s="55"/>
      <c r="AE195" s="55"/>
      <c r="AF195" s="55"/>
      <c r="AG195" s="55"/>
      <c r="AH195" s="55"/>
      <c r="AI195" s="55"/>
      <c r="AJ195" s="55"/>
      <c r="AK195" s="55"/>
      <c r="AL195" s="55"/>
      <c r="AM195" s="55"/>
      <c r="AN195" s="55"/>
      <c r="AO195" s="55"/>
      <c r="AP195" s="55"/>
      <c r="AQ195" s="55"/>
      <c r="AR195" s="55"/>
      <c r="AS195" s="55"/>
      <c r="AT195" s="55"/>
      <c r="AU195" s="55"/>
      <c r="AV195" s="55"/>
      <c r="AW195" s="55"/>
      <c r="AX195" s="55"/>
      <c r="AY195" s="55"/>
      <c r="AZ195" s="55"/>
      <c r="BA195" s="55"/>
      <c r="BB195" s="55"/>
      <c r="BC195" s="55"/>
      <c r="BD195" s="55"/>
      <c r="BE195" s="55"/>
      <c r="BF195" s="55"/>
      <c r="BG195" s="55"/>
      <c r="BH195" s="55"/>
      <c r="BI195" s="55"/>
      <c r="BJ195" s="55"/>
      <c r="BK195" s="55"/>
      <c r="BL195" s="55"/>
      <c r="BM195" s="55"/>
      <c r="BN195" s="55"/>
      <c r="BO195" s="55"/>
      <c r="BP195" s="55"/>
      <c r="BQ195" s="55"/>
      <c r="BR195" s="55"/>
      <c r="BS195" s="55"/>
    </row>
    <row r="196" spans="1:71" outlineLevel="1" x14ac:dyDescent="0.2">
      <c r="D196" t="str">
        <f>KLL_II_2020!D193</f>
        <v>Coûts Eploration récupérables (Nominal)</v>
      </c>
      <c r="I196" s="30">
        <f ca="1">SUM($L196:$BS196)</f>
        <v>0</v>
      </c>
      <c r="J196" s="26" t="s">
        <v>148</v>
      </c>
      <c r="K196" s="7" t="s">
        <v>171</v>
      </c>
      <c r="L196" s="49">
        <f ca="1">IF(L4&gt;=YEAR(effective_date_AM_3_2005),(OFFSET(_xlfn.SINGLE(IA_EandA_real),4,date_offset_AM_3_2005)*_xlfn.SINGLE(IA_esc_index)),0)</f>
        <v>0</v>
      </c>
      <c r="M196" s="49">
        <f ca="1">IF(M4&gt;=YEAR(effective_date_AM_3_2005),(OFFSET(_xlfn.SINGLE(IA_EandA_real),4,date_offset_AM_3_2005)*_xlfn.SINGLE(IA_esc_index)),0)</f>
        <v>0</v>
      </c>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c r="AL196" s="49"/>
      <c r="AM196" s="49"/>
      <c r="AN196" s="49"/>
      <c r="AO196" s="49"/>
      <c r="AP196" s="49"/>
      <c r="AQ196" s="49"/>
      <c r="AR196" s="49"/>
      <c r="AS196" s="49"/>
      <c r="AT196" s="49"/>
      <c r="AU196" s="49"/>
      <c r="AV196" s="49"/>
      <c r="AW196" s="49"/>
      <c r="AX196" s="49"/>
      <c r="AY196" s="49"/>
      <c r="AZ196" s="49"/>
      <c r="BA196" s="49"/>
      <c r="BB196" s="49"/>
      <c r="BC196" s="49"/>
      <c r="BD196" s="49"/>
      <c r="BE196" s="49"/>
      <c r="BF196" s="49"/>
      <c r="BG196" s="49"/>
      <c r="BH196" s="49"/>
      <c r="BI196" s="49"/>
      <c r="BJ196" s="49"/>
      <c r="BK196" s="49"/>
      <c r="BL196" s="49"/>
      <c r="BM196" s="49"/>
      <c r="BN196" s="49"/>
      <c r="BO196" s="49"/>
      <c r="BP196" s="49"/>
      <c r="BQ196" s="49"/>
      <c r="BR196" s="49"/>
      <c r="BS196" s="49"/>
    </row>
    <row r="197" spans="1:71" outlineLevel="1" x14ac:dyDescent="0.2">
      <c r="J197" s="26"/>
      <c r="L197" s="55"/>
      <c r="M197" s="55"/>
      <c r="N197" s="55"/>
      <c r="O197" s="55"/>
      <c r="P197" s="55"/>
      <c r="Q197" s="55"/>
      <c r="R197" s="55"/>
      <c r="S197" s="55"/>
      <c r="T197" s="55"/>
      <c r="U197" s="55"/>
      <c r="V197" s="55"/>
      <c r="W197" s="55"/>
      <c r="X197" s="55"/>
      <c r="Y197" s="55"/>
      <c r="Z197" s="55"/>
      <c r="AA197" s="55"/>
      <c r="AB197" s="55"/>
      <c r="AC197" s="55"/>
      <c r="AD197" s="55"/>
      <c r="AE197" s="55"/>
      <c r="AF197" s="55"/>
      <c r="AG197" s="55"/>
      <c r="AH197" s="55"/>
      <c r="AI197" s="55"/>
      <c r="AJ197" s="55"/>
      <c r="AK197" s="55"/>
      <c r="AL197" s="55"/>
      <c r="AM197" s="55"/>
      <c r="AN197" s="55"/>
      <c r="AO197" s="55"/>
      <c r="AP197" s="55"/>
      <c r="AQ197" s="55"/>
      <c r="AR197" s="55"/>
      <c r="AS197" s="55"/>
      <c r="AT197" s="55"/>
      <c r="AU197" s="55"/>
      <c r="AV197" s="55"/>
      <c r="AW197" s="55"/>
      <c r="AX197" s="55"/>
      <c r="AY197" s="55"/>
      <c r="AZ197" s="55"/>
      <c r="BA197" s="55"/>
      <c r="BB197" s="55"/>
      <c r="BC197" s="55"/>
      <c r="BD197" s="55"/>
      <c r="BE197" s="55"/>
      <c r="BF197" s="55"/>
      <c r="BG197" s="55"/>
      <c r="BH197" s="55"/>
      <c r="BI197" s="55"/>
      <c r="BJ197" s="55"/>
      <c r="BK197" s="55"/>
      <c r="BL197" s="55"/>
      <c r="BM197" s="55"/>
      <c r="BN197" s="55"/>
      <c r="BO197" s="55"/>
      <c r="BP197" s="55"/>
      <c r="BQ197" s="55"/>
      <c r="BR197" s="55"/>
      <c r="BS197" s="55"/>
    </row>
    <row r="198" spans="1:71" outlineLevel="1" x14ac:dyDescent="0.2">
      <c r="C198" s="11" t="str">
        <f>KLL_II_2020!C195</f>
        <v>Coûts de développement</v>
      </c>
      <c r="J198" s="26"/>
      <c r="L198" s="55"/>
      <c r="M198" s="55"/>
      <c r="N198" s="55"/>
      <c r="O198" s="55"/>
      <c r="P198" s="55"/>
      <c r="Q198" s="55"/>
      <c r="R198" s="55"/>
      <c r="S198" s="55"/>
      <c r="T198" s="55"/>
      <c r="U198" s="55"/>
      <c r="V198" s="55"/>
      <c r="W198" s="55"/>
      <c r="X198" s="55"/>
      <c r="Y198" s="55"/>
      <c r="Z198" s="55"/>
      <c r="AA198" s="55"/>
      <c r="AB198" s="55"/>
      <c r="AC198" s="55"/>
      <c r="AD198" s="55"/>
      <c r="AE198" s="55"/>
      <c r="AF198" s="55"/>
      <c r="AG198" s="55"/>
      <c r="AH198" s="55"/>
      <c r="AI198" s="55"/>
      <c r="AJ198" s="55"/>
      <c r="AK198" s="55"/>
      <c r="AL198" s="55"/>
      <c r="AM198" s="55"/>
      <c r="AN198" s="55"/>
      <c r="AO198" s="55"/>
      <c r="AP198" s="55"/>
      <c r="AQ198" s="55"/>
      <c r="AR198" s="55"/>
      <c r="AS198" s="55"/>
      <c r="AT198" s="55"/>
      <c r="AU198" s="55"/>
      <c r="AV198" s="55"/>
      <c r="AW198" s="55"/>
      <c r="AX198" s="55"/>
      <c r="AY198" s="55"/>
      <c r="AZ198" s="55"/>
      <c r="BA198" s="55"/>
      <c r="BB198" s="55"/>
      <c r="BC198" s="55"/>
      <c r="BD198" s="55"/>
      <c r="BE198" s="55"/>
      <c r="BF198" s="55"/>
      <c r="BG198" s="55"/>
      <c r="BH198" s="55"/>
      <c r="BI198" s="55"/>
      <c r="BJ198" s="55"/>
      <c r="BK198" s="55"/>
      <c r="BL198" s="55"/>
      <c r="BM198" s="55"/>
      <c r="BN198" s="55"/>
      <c r="BO198" s="55"/>
      <c r="BP198" s="55"/>
      <c r="BQ198" s="55"/>
      <c r="BR198" s="55"/>
      <c r="BS198" s="55"/>
    </row>
    <row r="199" spans="1:71" outlineLevel="1" x14ac:dyDescent="0.2">
      <c r="D199" t="str">
        <f>KLL_II_2020!D196</f>
        <v>Capex développement (nominal)</v>
      </c>
      <c r="I199" s="30">
        <f ca="1">SUM($L199:$BS199)</f>
        <v>3404.9939999999997</v>
      </c>
      <c r="J199" s="26" t="s">
        <v>148</v>
      </c>
      <c r="K199" s="7" t="s">
        <v>170</v>
      </c>
      <c r="L199" s="49">
        <f ca="1">IF(L4&gt;=YEAR(effective_date_AM_3_2005),(OFFSET(_xlfn.SINGLE(IA_devcapex_real),4,date_offset_AM_3_2005)*_xlfn.SINGLE(IA_esc_index)),0)</f>
        <v>1286.7819999999999</v>
      </c>
      <c r="M199" s="49">
        <f ca="1">IF(M4&gt;=YEAR(effective_date_AM_3_2005),(OFFSET(_xlfn.SINGLE(IA_devcapex_real),4,date_offset_AM_3_2005)*_xlfn.SINGLE(IA_esc_index)),0)</f>
        <v>2118.212</v>
      </c>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c r="AL199" s="49"/>
      <c r="AM199" s="49"/>
      <c r="AN199" s="49"/>
      <c r="AO199" s="49"/>
      <c r="AP199" s="49"/>
      <c r="AQ199" s="49"/>
      <c r="AR199" s="49"/>
      <c r="AS199" s="49"/>
      <c r="AT199" s="49"/>
      <c r="AU199" s="49"/>
      <c r="AV199" s="49"/>
      <c r="AW199" s="49"/>
      <c r="AX199" s="49"/>
      <c r="AY199" s="49"/>
      <c r="AZ199" s="49"/>
      <c r="BA199" s="49"/>
      <c r="BB199" s="49"/>
      <c r="BC199" s="49"/>
      <c r="BD199" s="49"/>
      <c r="BE199" s="49"/>
      <c r="BF199" s="49"/>
      <c r="BG199" s="49"/>
      <c r="BH199" s="49"/>
      <c r="BI199" s="49"/>
      <c r="BJ199" s="49"/>
      <c r="BK199" s="49"/>
      <c r="BL199" s="49"/>
      <c r="BM199" s="49"/>
      <c r="BN199" s="49"/>
      <c r="BO199" s="49"/>
      <c r="BP199" s="49"/>
      <c r="BQ199" s="49"/>
      <c r="BR199" s="49"/>
      <c r="BS199" s="49"/>
    </row>
    <row r="200" spans="1:71" outlineLevel="1" x14ac:dyDescent="0.2">
      <c r="J200" s="26"/>
      <c r="L200" s="55"/>
      <c r="M200" s="55"/>
      <c r="N200" s="55"/>
      <c r="O200" s="55"/>
      <c r="P200" s="55"/>
      <c r="Q200" s="55"/>
      <c r="R200" s="55"/>
      <c r="S200" s="55"/>
      <c r="T200" s="55"/>
      <c r="U200" s="55"/>
      <c r="V200" s="55"/>
      <c r="W200" s="55"/>
      <c r="X200" s="55"/>
      <c r="Y200" s="55"/>
      <c r="Z200" s="55"/>
      <c r="AA200" s="55"/>
      <c r="AB200" s="55"/>
      <c r="AC200" s="55"/>
      <c r="AD200" s="55"/>
      <c r="AE200" s="55"/>
      <c r="AF200" s="55"/>
      <c r="AG200" s="55"/>
      <c r="AH200" s="55"/>
      <c r="AI200" s="55"/>
      <c r="AJ200" s="55"/>
      <c r="AK200" s="55"/>
      <c r="AL200" s="55"/>
      <c r="AM200" s="55"/>
      <c r="AN200" s="55"/>
      <c r="AO200" s="55"/>
      <c r="AP200" s="55"/>
      <c r="AQ200" s="55"/>
      <c r="AR200" s="55"/>
      <c r="AS200" s="55"/>
      <c r="AT200" s="55"/>
      <c r="AU200" s="55"/>
      <c r="AV200" s="55"/>
      <c r="AW200" s="55"/>
      <c r="AX200" s="55"/>
      <c r="AY200" s="55"/>
      <c r="AZ200" s="55"/>
      <c r="BA200" s="55"/>
      <c r="BB200" s="55"/>
      <c r="BC200" s="55"/>
      <c r="BD200" s="55"/>
      <c r="BE200" s="55"/>
      <c r="BF200" s="55"/>
      <c r="BG200" s="55"/>
      <c r="BH200" s="55"/>
      <c r="BI200" s="55"/>
      <c r="BJ200" s="55"/>
      <c r="BK200" s="55"/>
      <c r="BL200" s="55"/>
      <c r="BM200" s="55"/>
      <c r="BN200" s="55"/>
      <c r="BO200" s="55"/>
      <c r="BP200" s="55"/>
      <c r="BQ200" s="55"/>
      <c r="BR200" s="55"/>
      <c r="BS200" s="55"/>
    </row>
    <row r="201" spans="1:71" outlineLevel="1" x14ac:dyDescent="0.2">
      <c r="C201" s="11" t="str">
        <f>KLL_II_2020!C198</f>
        <v>Coûts d'abandon</v>
      </c>
      <c r="J201" s="26"/>
      <c r="L201" s="55"/>
      <c r="M201" s="55"/>
      <c r="N201" s="55"/>
      <c r="O201" s="55"/>
      <c r="P201" s="55"/>
      <c r="Q201" s="55"/>
      <c r="R201" s="55"/>
      <c r="S201" s="55"/>
      <c r="T201" s="55"/>
      <c r="U201" s="55"/>
      <c r="V201" s="55"/>
      <c r="W201" s="55"/>
      <c r="X201" s="55"/>
      <c r="Y201" s="55"/>
      <c r="Z201" s="55"/>
      <c r="AA201" s="55"/>
      <c r="AB201" s="55"/>
      <c r="AC201" s="55"/>
      <c r="AD201" s="55"/>
      <c r="AE201" s="55"/>
      <c r="AF201" s="55"/>
      <c r="AG201" s="55"/>
      <c r="AH201" s="55"/>
      <c r="AI201" s="55"/>
      <c r="AJ201" s="55"/>
      <c r="AK201" s="55"/>
      <c r="AL201" s="55"/>
      <c r="AM201" s="55"/>
      <c r="AN201" s="55"/>
      <c r="AO201" s="55"/>
      <c r="AP201" s="55"/>
      <c r="AQ201" s="55"/>
      <c r="AR201" s="55"/>
      <c r="AS201" s="55"/>
      <c r="AT201" s="55"/>
      <c r="AU201" s="55"/>
      <c r="AV201" s="55"/>
      <c r="AW201" s="55"/>
      <c r="AX201" s="55"/>
      <c r="AY201" s="55"/>
      <c r="AZ201" s="55"/>
      <c r="BA201" s="55"/>
      <c r="BB201" s="55"/>
      <c r="BC201" s="55"/>
      <c r="BD201" s="55"/>
      <c r="BE201" s="55"/>
      <c r="BF201" s="55"/>
      <c r="BG201" s="55"/>
      <c r="BH201" s="55"/>
      <c r="BI201" s="55"/>
      <c r="BJ201" s="55"/>
      <c r="BK201" s="55"/>
      <c r="BL201" s="55"/>
      <c r="BM201" s="55"/>
      <c r="BN201" s="55"/>
      <c r="BO201" s="55"/>
      <c r="BP201" s="55"/>
      <c r="BQ201" s="55"/>
      <c r="BR201" s="55"/>
      <c r="BS201" s="55"/>
    </row>
    <row r="202" spans="1:71" outlineLevel="1" x14ac:dyDescent="0.2">
      <c r="D202" t="str">
        <f>KLL_II_2020!D199</f>
        <v>Abandon (nominal)</v>
      </c>
      <c r="I202" s="30">
        <f ca="1">SUM($L202:$BS202)</f>
        <v>0</v>
      </c>
      <c r="J202" s="26" t="s">
        <v>148</v>
      </c>
      <c r="K202" s="7" t="s">
        <v>172</v>
      </c>
      <c r="L202" s="49">
        <f ca="1">IF(L4&gt;=YEAR(effective_date_AM_3_2005),(OFFSET(_xlfn.SINGLE(IA_decom_real),4,date_offset_AM_3_2005)*_xlfn.SINGLE(IA_esc_index)),0)*decom_toggle</f>
        <v>0</v>
      </c>
      <c r="M202" s="49">
        <f ca="1">IF(M4&gt;=YEAR(effective_date_AM_3_2005),(OFFSET(_xlfn.SINGLE(IA_decom_real),4,date_offset_AM_3_2005)*_xlfn.SINGLE(IA_esc_index)),0)*decom_toggle</f>
        <v>0</v>
      </c>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c r="AL202" s="49"/>
      <c r="AM202" s="49"/>
      <c r="AN202" s="49"/>
      <c r="AO202" s="49"/>
      <c r="AP202" s="49"/>
      <c r="AQ202" s="49"/>
      <c r="AR202" s="49"/>
      <c r="AS202" s="49"/>
      <c r="AT202" s="49"/>
      <c r="AU202" s="49"/>
      <c r="AV202" s="49"/>
      <c r="AW202" s="49"/>
      <c r="AX202" s="49"/>
      <c r="AY202" s="49"/>
      <c r="AZ202" s="49"/>
      <c r="BA202" s="49"/>
      <c r="BB202" s="49"/>
      <c r="BC202" s="49"/>
      <c r="BD202" s="49"/>
      <c r="BE202" s="49"/>
      <c r="BF202" s="49"/>
      <c r="BG202" s="49"/>
      <c r="BH202" s="49"/>
      <c r="BI202" s="49"/>
      <c r="BJ202" s="49"/>
      <c r="BK202" s="49"/>
      <c r="BL202" s="49"/>
      <c r="BM202" s="49"/>
      <c r="BN202" s="49"/>
      <c r="BO202" s="49"/>
      <c r="BP202" s="49"/>
      <c r="BQ202" s="49"/>
      <c r="BR202" s="49"/>
      <c r="BS202" s="49"/>
    </row>
    <row r="203" spans="1:71" outlineLevel="1" x14ac:dyDescent="0.2">
      <c r="J203" s="26"/>
      <c r="L203" s="55"/>
      <c r="M203" s="55"/>
      <c r="N203" s="55"/>
      <c r="O203" s="55"/>
      <c r="P203" s="55"/>
      <c r="Q203" s="55"/>
      <c r="R203" s="55"/>
      <c r="S203" s="55"/>
      <c r="T203" s="55"/>
      <c r="U203" s="55"/>
      <c r="V203" s="55"/>
      <c r="W203" s="55"/>
      <c r="X203" s="55"/>
      <c r="Y203" s="55"/>
      <c r="Z203" s="55"/>
      <c r="AA203" s="55"/>
      <c r="AB203" s="55"/>
      <c r="AC203" s="55"/>
      <c r="AD203" s="55"/>
      <c r="AE203" s="55"/>
      <c r="AF203" s="55"/>
      <c r="AG203" s="55"/>
      <c r="AH203" s="55"/>
      <c r="AI203" s="55"/>
      <c r="AJ203" s="55"/>
      <c r="AK203" s="55"/>
      <c r="AL203" s="55"/>
      <c r="AM203" s="55"/>
      <c r="AN203" s="55"/>
      <c r="AO203" s="55"/>
      <c r="AP203" s="55"/>
      <c r="AQ203" s="55"/>
      <c r="AR203" s="55"/>
      <c r="AS203" s="55"/>
      <c r="AT203" s="55"/>
      <c r="AU203" s="55"/>
      <c r="AV203" s="55"/>
      <c r="AW203" s="55"/>
      <c r="AX203" s="55"/>
      <c r="AY203" s="55"/>
      <c r="AZ203" s="55"/>
      <c r="BA203" s="55"/>
      <c r="BB203" s="55"/>
      <c r="BC203" s="55"/>
      <c r="BD203" s="55"/>
      <c r="BE203" s="55"/>
      <c r="BF203" s="55"/>
      <c r="BG203" s="55"/>
      <c r="BH203" s="55"/>
      <c r="BI203" s="55"/>
      <c r="BJ203" s="55"/>
      <c r="BK203" s="55"/>
      <c r="BL203" s="55"/>
      <c r="BM203" s="55"/>
      <c r="BN203" s="55"/>
      <c r="BO203" s="55"/>
      <c r="BP203" s="55"/>
      <c r="BQ203" s="55"/>
      <c r="BR203" s="55"/>
      <c r="BS203" s="55"/>
    </row>
    <row r="204" spans="1:71" outlineLevel="1" x14ac:dyDescent="0.2">
      <c r="J204" s="26"/>
      <c r="L204" s="55"/>
      <c r="M204" s="55"/>
      <c r="N204" s="55"/>
      <c r="O204" s="55"/>
      <c r="P204" s="55"/>
      <c r="Q204" s="55"/>
      <c r="R204" s="55"/>
      <c r="S204" s="55"/>
      <c r="T204" s="55"/>
      <c r="U204" s="55"/>
      <c r="V204" s="55"/>
      <c r="W204" s="55"/>
      <c r="X204" s="55"/>
      <c r="Y204" s="55"/>
      <c r="Z204" s="55"/>
      <c r="AA204" s="55"/>
      <c r="AB204" s="55"/>
      <c r="AC204" s="55"/>
      <c r="AD204" s="55"/>
      <c r="AE204" s="55"/>
      <c r="AF204" s="55"/>
      <c r="AG204" s="55"/>
      <c r="AH204" s="55"/>
      <c r="AI204" s="55"/>
      <c r="AJ204" s="55"/>
      <c r="AK204" s="55"/>
      <c r="AL204" s="55"/>
      <c r="AM204" s="55"/>
      <c r="AN204" s="55"/>
      <c r="AO204" s="55"/>
      <c r="AP204" s="55"/>
      <c r="AQ204" s="55"/>
      <c r="AR204" s="55"/>
      <c r="AS204" s="55"/>
      <c r="AT204" s="55"/>
      <c r="AU204" s="55"/>
      <c r="AV204" s="55"/>
      <c r="AW204" s="55"/>
      <c r="AX204" s="55"/>
      <c r="AY204" s="55"/>
      <c r="AZ204" s="55"/>
      <c r="BA204" s="55"/>
      <c r="BB204" s="55"/>
      <c r="BC204" s="55"/>
      <c r="BD204" s="55"/>
      <c r="BE204" s="55"/>
      <c r="BF204" s="55"/>
      <c r="BG204" s="55"/>
      <c r="BH204" s="55"/>
      <c r="BI204" s="55"/>
      <c r="BJ204" s="55"/>
      <c r="BK204" s="55"/>
      <c r="BL204" s="55"/>
      <c r="BM204" s="55"/>
      <c r="BN204" s="55"/>
      <c r="BO204" s="55"/>
      <c r="BP204" s="55"/>
      <c r="BQ204" s="55"/>
      <c r="BR204" s="55"/>
      <c r="BS204" s="55"/>
    </row>
    <row r="205" spans="1:71" outlineLevel="1" x14ac:dyDescent="0.2">
      <c r="A205" s="45"/>
      <c r="B205" s="38" t="str">
        <f>KLL_II_2020!B202</f>
        <v>Calculs fiscaux</v>
      </c>
      <c r="C205" s="45"/>
      <c r="D205" s="45"/>
      <c r="E205" s="45"/>
      <c r="J205" s="26"/>
      <c r="L205" s="55"/>
      <c r="M205" s="55"/>
      <c r="N205" s="55"/>
      <c r="O205" s="55"/>
      <c r="P205" s="55"/>
      <c r="Q205" s="55"/>
      <c r="R205" s="55"/>
      <c r="S205" s="55"/>
      <c r="T205" s="55"/>
      <c r="U205" s="55"/>
      <c r="V205" s="55"/>
      <c r="W205" s="55"/>
      <c r="X205" s="55"/>
      <c r="Y205" s="55"/>
      <c r="Z205" s="55"/>
      <c r="AA205" s="55"/>
      <c r="AB205" s="55"/>
      <c r="AC205" s="55"/>
      <c r="AD205" s="55"/>
      <c r="AE205" s="55"/>
      <c r="AF205" s="55"/>
      <c r="AG205" s="55"/>
      <c r="AH205" s="55"/>
      <c r="AI205" s="55"/>
      <c r="AJ205" s="55"/>
      <c r="AK205" s="55"/>
      <c r="AL205" s="55"/>
      <c r="AM205" s="55"/>
      <c r="AN205" s="55"/>
      <c r="AO205" s="55"/>
      <c r="AP205" s="55"/>
      <c r="AQ205" s="55"/>
      <c r="AR205" s="55"/>
      <c r="AS205" s="55"/>
      <c r="AT205" s="55"/>
      <c r="AU205" s="55"/>
      <c r="AV205" s="55"/>
      <c r="AW205" s="55"/>
      <c r="AX205" s="55"/>
      <c r="AY205" s="55"/>
      <c r="AZ205" s="55"/>
      <c r="BA205" s="55"/>
      <c r="BB205" s="55"/>
      <c r="BC205" s="55"/>
      <c r="BD205" s="55"/>
      <c r="BE205" s="55"/>
      <c r="BF205" s="55"/>
      <c r="BG205" s="55"/>
      <c r="BH205" s="55"/>
      <c r="BI205" s="55"/>
      <c r="BJ205" s="55"/>
      <c r="BK205" s="55"/>
      <c r="BL205" s="55"/>
      <c r="BM205" s="55"/>
      <c r="BN205" s="55"/>
      <c r="BO205" s="55"/>
      <c r="BP205" s="55"/>
      <c r="BQ205" s="55"/>
      <c r="BR205" s="55"/>
      <c r="BS205" s="55"/>
    </row>
    <row r="206" spans="1:71" outlineLevel="1" x14ac:dyDescent="0.2">
      <c r="J206" s="26"/>
      <c r="L206" s="55"/>
      <c r="M206" s="55"/>
      <c r="N206" s="55"/>
      <c r="O206" s="55"/>
      <c r="P206" s="55"/>
      <c r="Q206" s="55"/>
      <c r="R206" s="55"/>
      <c r="S206" s="55"/>
      <c r="T206" s="55"/>
      <c r="U206" s="55"/>
      <c r="V206" s="55"/>
      <c r="W206" s="55"/>
      <c r="X206" s="55"/>
      <c r="Y206" s="55"/>
      <c r="Z206" s="55"/>
      <c r="AA206" s="55"/>
      <c r="AB206" s="55"/>
      <c r="AC206" s="55"/>
      <c r="AD206" s="55"/>
      <c r="AE206" s="55"/>
      <c r="AF206" s="55"/>
      <c r="AG206" s="55"/>
      <c r="AH206" s="55"/>
      <c r="AI206" s="55"/>
      <c r="AJ206" s="55"/>
      <c r="AK206" s="55"/>
      <c r="AL206" s="55"/>
      <c r="AM206" s="55"/>
      <c r="AN206" s="55"/>
      <c r="AO206" s="55"/>
      <c r="AP206" s="55"/>
      <c r="AQ206" s="55"/>
      <c r="AR206" s="55"/>
      <c r="AS206" s="55"/>
      <c r="AT206" s="55"/>
      <c r="AU206" s="55"/>
      <c r="AV206" s="55"/>
      <c r="AW206" s="55"/>
      <c r="AX206" s="55"/>
      <c r="AY206" s="55"/>
      <c r="AZ206" s="55"/>
      <c r="BA206" s="55"/>
      <c r="BB206" s="55"/>
      <c r="BC206" s="55"/>
      <c r="BD206" s="55"/>
      <c r="BE206" s="55"/>
      <c r="BF206" s="55"/>
      <c r="BG206" s="55"/>
      <c r="BH206" s="55"/>
      <c r="BI206" s="55"/>
      <c r="BJ206" s="55"/>
      <c r="BK206" s="55"/>
      <c r="BL206" s="55"/>
      <c r="BM206" s="55"/>
      <c r="BN206" s="55"/>
      <c r="BO206" s="55"/>
      <c r="BP206" s="55"/>
      <c r="BQ206" s="55"/>
      <c r="BR206" s="55"/>
      <c r="BS206" s="55"/>
    </row>
    <row r="207" spans="1:71" outlineLevel="1" x14ac:dyDescent="0.2">
      <c r="C207" s="11" t="str">
        <f>KLL_II_2020!C204</f>
        <v>Déclencheur exploitation</v>
      </c>
      <c r="J207" s="26"/>
      <c r="K207" s="7" t="s">
        <v>213</v>
      </c>
      <c r="L207" s="57">
        <f ca="1">1*(OR(HM_ZD_AM3_2005!CA_opex_total_nom&gt;0,HM_ZD_AM3_2005!CA_expex_nom&gt;0,HM_ZD_AM3_2005!CA_devex_nom&gt;0,HM_ZD_AM3_2005!CA_gross_prod_oil+HM_ZD_AM3_2005!CA_gross_prod_gas&gt;0))</f>
        <v>1</v>
      </c>
      <c r="M207" s="57">
        <f ca="1">1*(OR(HM_ZD_AM3_2005!CA_opex_total_nom&gt;0,HM_ZD_AM3_2005!CA_expex_nom&gt;0,HM_ZD_AM3_2005!CA_devex_nom&gt;0,HM_ZD_AM3_2005!CA_gross_prod_oil+HM_ZD_AM3_2005!CA_gross_prod_gas&gt;0))</f>
        <v>1</v>
      </c>
      <c r="N207" s="57">
        <f>1*(OR(HM_ZD_AM3_2005!CA_opex_total_nom&gt;0,HM_ZD_AM3_2005!CA_expex_nom&gt;0,HM_ZD_AM3_2005!CA_devex_nom&gt;0,HM_ZD_AM3_2005!CA_gross_prod_oil+HM_ZD_AM3_2005!CA_gross_prod_gas&gt;0))</f>
        <v>0</v>
      </c>
      <c r="O207" s="57">
        <f>1*(OR(HM_ZD_AM3_2005!CA_opex_total_nom&gt;0,HM_ZD_AM3_2005!CA_expex_nom&gt;0,HM_ZD_AM3_2005!CA_devex_nom&gt;0,HM_ZD_AM3_2005!CA_gross_prod_oil+HM_ZD_AM3_2005!CA_gross_prod_gas&gt;0))</f>
        <v>0</v>
      </c>
      <c r="P207" s="57">
        <f>1*(OR(HM_ZD_AM3_2005!CA_opex_total_nom&gt;0,HM_ZD_AM3_2005!CA_expex_nom&gt;0,HM_ZD_AM3_2005!CA_devex_nom&gt;0,HM_ZD_AM3_2005!CA_gross_prod_oil+HM_ZD_AM3_2005!CA_gross_prod_gas&gt;0))</f>
        <v>0</v>
      </c>
      <c r="Q207" s="57">
        <f>1*(OR(HM_ZD_AM3_2005!CA_opex_total_nom&gt;0,HM_ZD_AM3_2005!CA_expex_nom&gt;0,HM_ZD_AM3_2005!CA_devex_nom&gt;0,HM_ZD_AM3_2005!CA_gross_prod_oil+HM_ZD_AM3_2005!CA_gross_prod_gas&gt;0))</f>
        <v>0</v>
      </c>
      <c r="R207" s="57">
        <f>1*(OR(HM_ZD_AM3_2005!CA_opex_total_nom&gt;0,HM_ZD_AM3_2005!CA_expex_nom&gt;0,HM_ZD_AM3_2005!CA_devex_nom&gt;0,HM_ZD_AM3_2005!CA_gross_prod_oil+HM_ZD_AM3_2005!CA_gross_prod_gas&gt;0))</f>
        <v>0</v>
      </c>
      <c r="S207" s="57">
        <f>1*(OR(HM_ZD_AM3_2005!CA_opex_total_nom&gt;0,HM_ZD_AM3_2005!CA_expex_nom&gt;0,HM_ZD_AM3_2005!CA_devex_nom&gt;0,HM_ZD_AM3_2005!CA_gross_prod_oil+HM_ZD_AM3_2005!CA_gross_prod_gas&gt;0))</f>
        <v>0</v>
      </c>
      <c r="T207" s="57">
        <f>1*(OR(HM_ZD_AM3_2005!CA_opex_total_nom&gt;0,HM_ZD_AM3_2005!CA_expex_nom&gt;0,HM_ZD_AM3_2005!CA_devex_nom&gt;0,HM_ZD_AM3_2005!CA_gross_prod_oil+HM_ZD_AM3_2005!CA_gross_prod_gas&gt;0))</f>
        <v>0</v>
      </c>
      <c r="U207" s="57">
        <f>1*(OR(HM_ZD_AM3_2005!CA_opex_total_nom&gt;0,HM_ZD_AM3_2005!CA_expex_nom&gt;0,HM_ZD_AM3_2005!CA_devex_nom&gt;0,HM_ZD_AM3_2005!CA_gross_prod_oil+HM_ZD_AM3_2005!CA_gross_prod_gas&gt;0))</f>
        <v>0</v>
      </c>
      <c r="V207" s="57">
        <f>1*(OR(HM_ZD_AM3_2005!CA_opex_total_nom&gt;0,HM_ZD_AM3_2005!CA_expex_nom&gt;0,HM_ZD_AM3_2005!CA_devex_nom&gt;0,HM_ZD_AM3_2005!CA_gross_prod_oil+HM_ZD_AM3_2005!CA_gross_prod_gas&gt;0))</f>
        <v>0</v>
      </c>
      <c r="W207" s="57">
        <f>1*(OR(HM_ZD_AM3_2005!CA_opex_total_nom&gt;0,HM_ZD_AM3_2005!CA_expex_nom&gt;0,HM_ZD_AM3_2005!CA_devex_nom&gt;0,HM_ZD_AM3_2005!CA_gross_prod_oil+HM_ZD_AM3_2005!CA_gross_prod_gas&gt;0))</f>
        <v>0</v>
      </c>
      <c r="X207" s="57">
        <f>1*(OR(HM_ZD_AM3_2005!CA_opex_total_nom&gt;0,HM_ZD_AM3_2005!CA_expex_nom&gt;0,HM_ZD_AM3_2005!CA_devex_nom&gt;0,HM_ZD_AM3_2005!CA_gross_prod_oil+HM_ZD_AM3_2005!CA_gross_prod_gas&gt;0))</f>
        <v>0</v>
      </c>
      <c r="Y207" s="57">
        <f>1*(OR(HM_ZD_AM3_2005!CA_opex_total_nom&gt;0,HM_ZD_AM3_2005!CA_expex_nom&gt;0,HM_ZD_AM3_2005!CA_devex_nom&gt;0,HM_ZD_AM3_2005!CA_gross_prod_oil+HM_ZD_AM3_2005!CA_gross_prod_gas&gt;0))</f>
        <v>0</v>
      </c>
      <c r="Z207" s="57">
        <f>1*(OR(HM_ZD_AM3_2005!CA_opex_total_nom&gt;0,HM_ZD_AM3_2005!CA_expex_nom&gt;0,HM_ZD_AM3_2005!CA_devex_nom&gt;0,HM_ZD_AM3_2005!CA_gross_prod_oil+HM_ZD_AM3_2005!CA_gross_prod_gas&gt;0))</f>
        <v>0</v>
      </c>
      <c r="AA207" s="57">
        <f>1*(OR(HM_ZD_AM3_2005!CA_opex_total_nom&gt;0,HM_ZD_AM3_2005!CA_expex_nom&gt;0,HM_ZD_AM3_2005!CA_devex_nom&gt;0,HM_ZD_AM3_2005!CA_gross_prod_oil+HM_ZD_AM3_2005!CA_gross_prod_gas&gt;0))</f>
        <v>0</v>
      </c>
      <c r="AB207" s="57">
        <f>1*(OR(HM_ZD_AM3_2005!CA_opex_total_nom&gt;0,HM_ZD_AM3_2005!CA_expex_nom&gt;0,HM_ZD_AM3_2005!CA_devex_nom&gt;0,HM_ZD_AM3_2005!CA_gross_prod_oil+HM_ZD_AM3_2005!CA_gross_prod_gas&gt;0))</f>
        <v>0</v>
      </c>
      <c r="AC207" s="57">
        <f>1*(OR(HM_ZD_AM3_2005!CA_opex_total_nom&gt;0,HM_ZD_AM3_2005!CA_expex_nom&gt;0,HM_ZD_AM3_2005!CA_devex_nom&gt;0,HM_ZD_AM3_2005!CA_gross_prod_oil+HM_ZD_AM3_2005!CA_gross_prod_gas&gt;0))</f>
        <v>0</v>
      </c>
      <c r="AD207" s="57">
        <f>1*(OR(HM_ZD_AM3_2005!CA_opex_total_nom&gt;0,HM_ZD_AM3_2005!CA_expex_nom&gt;0,HM_ZD_AM3_2005!CA_devex_nom&gt;0,HM_ZD_AM3_2005!CA_gross_prod_oil+HM_ZD_AM3_2005!CA_gross_prod_gas&gt;0))</f>
        <v>0</v>
      </c>
      <c r="AE207" s="57">
        <f>1*(OR(HM_ZD_AM3_2005!CA_opex_total_nom&gt;0,HM_ZD_AM3_2005!CA_expex_nom&gt;0,HM_ZD_AM3_2005!CA_devex_nom&gt;0,HM_ZD_AM3_2005!CA_gross_prod_oil+HM_ZD_AM3_2005!CA_gross_prod_gas&gt;0))</f>
        <v>0</v>
      </c>
      <c r="AF207" s="57">
        <f>1*(OR(HM_ZD_AM3_2005!CA_opex_total_nom&gt;0,HM_ZD_AM3_2005!CA_expex_nom&gt;0,HM_ZD_AM3_2005!CA_devex_nom&gt;0,HM_ZD_AM3_2005!CA_gross_prod_oil+HM_ZD_AM3_2005!CA_gross_prod_gas&gt;0))</f>
        <v>0</v>
      </c>
      <c r="AG207" s="57">
        <f>1*(OR(HM_ZD_AM3_2005!CA_opex_total_nom&gt;0,HM_ZD_AM3_2005!CA_expex_nom&gt;0,HM_ZD_AM3_2005!CA_devex_nom&gt;0,HM_ZD_AM3_2005!CA_gross_prod_oil+HM_ZD_AM3_2005!CA_gross_prod_gas&gt;0))</f>
        <v>0</v>
      </c>
      <c r="AH207" s="57">
        <f>1*(OR(HM_ZD_AM3_2005!CA_opex_total_nom&gt;0,HM_ZD_AM3_2005!CA_expex_nom&gt;0,HM_ZD_AM3_2005!CA_devex_nom&gt;0,HM_ZD_AM3_2005!CA_gross_prod_oil+HM_ZD_AM3_2005!CA_gross_prod_gas&gt;0))</f>
        <v>0</v>
      </c>
      <c r="AI207" s="57">
        <f>1*(OR(HM_ZD_AM3_2005!CA_opex_total_nom&gt;0,HM_ZD_AM3_2005!CA_expex_nom&gt;0,HM_ZD_AM3_2005!CA_devex_nom&gt;0,HM_ZD_AM3_2005!CA_gross_prod_oil+HM_ZD_AM3_2005!CA_gross_prod_gas&gt;0))</f>
        <v>0</v>
      </c>
      <c r="AJ207" s="57">
        <f>1*(OR(HM_ZD_AM3_2005!CA_opex_total_nom&gt;0,HM_ZD_AM3_2005!CA_expex_nom&gt;0,HM_ZD_AM3_2005!CA_devex_nom&gt;0,HM_ZD_AM3_2005!CA_gross_prod_oil+HM_ZD_AM3_2005!CA_gross_prod_gas&gt;0))</f>
        <v>0</v>
      </c>
      <c r="AK207" s="57">
        <f>1*(OR(HM_ZD_AM3_2005!CA_opex_total_nom&gt;0,HM_ZD_AM3_2005!CA_expex_nom&gt;0,HM_ZD_AM3_2005!CA_devex_nom&gt;0,HM_ZD_AM3_2005!CA_gross_prod_oil+HM_ZD_AM3_2005!CA_gross_prod_gas&gt;0))</f>
        <v>0</v>
      </c>
      <c r="AL207" s="57">
        <f>1*(OR(HM_ZD_AM3_2005!CA_opex_total_nom&gt;0,HM_ZD_AM3_2005!CA_expex_nom&gt;0,HM_ZD_AM3_2005!CA_devex_nom&gt;0,HM_ZD_AM3_2005!CA_gross_prod_oil+HM_ZD_AM3_2005!CA_gross_prod_gas&gt;0))</f>
        <v>0</v>
      </c>
      <c r="AM207" s="57">
        <f>1*(OR(HM_ZD_AM3_2005!CA_opex_total_nom&gt;0,HM_ZD_AM3_2005!CA_expex_nom&gt;0,HM_ZD_AM3_2005!CA_devex_nom&gt;0,HM_ZD_AM3_2005!CA_gross_prod_oil+HM_ZD_AM3_2005!CA_gross_prod_gas&gt;0))</f>
        <v>0</v>
      </c>
      <c r="AN207" s="57">
        <f>1*(OR(HM_ZD_AM3_2005!CA_opex_total_nom&gt;0,HM_ZD_AM3_2005!CA_expex_nom&gt;0,HM_ZD_AM3_2005!CA_devex_nom&gt;0,HM_ZD_AM3_2005!CA_gross_prod_oil+HM_ZD_AM3_2005!CA_gross_prod_gas&gt;0))</f>
        <v>0</v>
      </c>
      <c r="AO207" s="57">
        <f>1*(OR(HM_ZD_AM3_2005!CA_opex_total_nom&gt;0,HM_ZD_AM3_2005!CA_expex_nom&gt;0,HM_ZD_AM3_2005!CA_devex_nom&gt;0,HM_ZD_AM3_2005!CA_gross_prod_oil+HM_ZD_AM3_2005!CA_gross_prod_gas&gt;0))</f>
        <v>0</v>
      </c>
      <c r="AP207" s="57">
        <f>1*(OR(HM_ZD_AM3_2005!CA_opex_total_nom&gt;0,HM_ZD_AM3_2005!CA_expex_nom&gt;0,HM_ZD_AM3_2005!CA_devex_nom&gt;0,HM_ZD_AM3_2005!CA_gross_prod_oil+HM_ZD_AM3_2005!CA_gross_prod_gas&gt;0))</f>
        <v>0</v>
      </c>
      <c r="AQ207" s="57">
        <f>1*(OR(HM_ZD_AM3_2005!CA_opex_total_nom&gt;0,HM_ZD_AM3_2005!CA_expex_nom&gt;0,HM_ZD_AM3_2005!CA_devex_nom&gt;0,HM_ZD_AM3_2005!CA_gross_prod_oil+HM_ZD_AM3_2005!CA_gross_prod_gas&gt;0))</f>
        <v>0</v>
      </c>
      <c r="AR207" s="57">
        <f>1*(OR(HM_ZD_AM3_2005!CA_opex_total_nom&gt;0,HM_ZD_AM3_2005!CA_expex_nom&gt;0,HM_ZD_AM3_2005!CA_devex_nom&gt;0,HM_ZD_AM3_2005!CA_gross_prod_oil+HM_ZD_AM3_2005!CA_gross_prod_gas&gt;0))</f>
        <v>0</v>
      </c>
      <c r="AS207" s="57">
        <f>1*(OR(HM_ZD_AM3_2005!CA_opex_total_nom&gt;0,HM_ZD_AM3_2005!CA_expex_nom&gt;0,HM_ZD_AM3_2005!CA_devex_nom&gt;0,HM_ZD_AM3_2005!CA_gross_prod_oil+HM_ZD_AM3_2005!CA_gross_prod_gas&gt;0))</f>
        <v>0</v>
      </c>
      <c r="AT207" s="57">
        <f>1*(OR(HM_ZD_AM3_2005!CA_opex_total_nom&gt;0,HM_ZD_AM3_2005!CA_expex_nom&gt;0,HM_ZD_AM3_2005!CA_devex_nom&gt;0,HM_ZD_AM3_2005!CA_gross_prod_oil+HM_ZD_AM3_2005!CA_gross_prod_gas&gt;0))</f>
        <v>0</v>
      </c>
      <c r="AU207" s="57">
        <f>1*(OR(HM_ZD_AM3_2005!CA_opex_total_nom&gt;0,HM_ZD_AM3_2005!CA_expex_nom&gt;0,HM_ZD_AM3_2005!CA_devex_nom&gt;0,HM_ZD_AM3_2005!CA_gross_prod_oil+HM_ZD_AM3_2005!CA_gross_prod_gas&gt;0))</f>
        <v>0</v>
      </c>
      <c r="AV207" s="57">
        <f>1*(OR(HM_ZD_AM3_2005!CA_opex_total_nom&gt;0,HM_ZD_AM3_2005!CA_expex_nom&gt;0,HM_ZD_AM3_2005!CA_devex_nom&gt;0,HM_ZD_AM3_2005!CA_gross_prod_oil+HM_ZD_AM3_2005!CA_gross_prod_gas&gt;0))</f>
        <v>0</v>
      </c>
      <c r="AW207" s="57">
        <f>1*(OR(HM_ZD_AM3_2005!CA_opex_total_nom&gt;0,HM_ZD_AM3_2005!CA_expex_nom&gt;0,HM_ZD_AM3_2005!CA_devex_nom&gt;0,HM_ZD_AM3_2005!CA_gross_prod_oil+HM_ZD_AM3_2005!CA_gross_prod_gas&gt;0))</f>
        <v>0</v>
      </c>
      <c r="AX207" s="57">
        <f>1*(OR(HM_ZD_AM3_2005!CA_opex_total_nom&gt;0,HM_ZD_AM3_2005!CA_expex_nom&gt;0,HM_ZD_AM3_2005!CA_devex_nom&gt;0,HM_ZD_AM3_2005!CA_gross_prod_oil+HM_ZD_AM3_2005!CA_gross_prod_gas&gt;0))</f>
        <v>0</v>
      </c>
      <c r="AY207" s="57">
        <f>1*(OR(HM_ZD_AM3_2005!CA_opex_total_nom&gt;0,HM_ZD_AM3_2005!CA_expex_nom&gt;0,HM_ZD_AM3_2005!CA_devex_nom&gt;0,HM_ZD_AM3_2005!CA_gross_prod_oil+HM_ZD_AM3_2005!CA_gross_prod_gas&gt;0))</f>
        <v>0</v>
      </c>
      <c r="AZ207" s="57">
        <f>1*(OR(HM_ZD_AM3_2005!CA_opex_total_nom&gt;0,HM_ZD_AM3_2005!CA_expex_nom&gt;0,HM_ZD_AM3_2005!CA_devex_nom&gt;0,HM_ZD_AM3_2005!CA_gross_prod_oil+HM_ZD_AM3_2005!CA_gross_prod_gas&gt;0))</f>
        <v>0</v>
      </c>
      <c r="BA207" s="57">
        <f>1*(OR(HM_ZD_AM3_2005!CA_opex_total_nom&gt;0,HM_ZD_AM3_2005!CA_expex_nom&gt;0,HM_ZD_AM3_2005!CA_devex_nom&gt;0,HM_ZD_AM3_2005!CA_gross_prod_oil+HM_ZD_AM3_2005!CA_gross_prod_gas&gt;0))</f>
        <v>0</v>
      </c>
      <c r="BB207" s="57">
        <f>1*(OR(HM_ZD_AM3_2005!CA_opex_total_nom&gt;0,HM_ZD_AM3_2005!CA_expex_nom&gt;0,HM_ZD_AM3_2005!CA_devex_nom&gt;0,HM_ZD_AM3_2005!CA_gross_prod_oil+HM_ZD_AM3_2005!CA_gross_prod_gas&gt;0))</f>
        <v>0</v>
      </c>
      <c r="BC207" s="57">
        <f>1*(OR(HM_ZD_AM3_2005!CA_opex_total_nom&gt;0,HM_ZD_AM3_2005!CA_expex_nom&gt;0,HM_ZD_AM3_2005!CA_devex_nom&gt;0,HM_ZD_AM3_2005!CA_gross_prod_oil+HM_ZD_AM3_2005!CA_gross_prod_gas&gt;0))</f>
        <v>0</v>
      </c>
      <c r="BD207" s="57">
        <f>1*(OR(HM_ZD_AM3_2005!CA_opex_total_nom&gt;0,HM_ZD_AM3_2005!CA_expex_nom&gt;0,HM_ZD_AM3_2005!CA_devex_nom&gt;0,HM_ZD_AM3_2005!CA_gross_prod_oil+HM_ZD_AM3_2005!CA_gross_prod_gas&gt;0))</f>
        <v>0</v>
      </c>
      <c r="BE207" s="57">
        <f>1*(OR(HM_ZD_AM3_2005!CA_opex_total_nom&gt;0,HM_ZD_AM3_2005!CA_expex_nom&gt;0,HM_ZD_AM3_2005!CA_devex_nom&gt;0,HM_ZD_AM3_2005!CA_gross_prod_oil+HM_ZD_AM3_2005!CA_gross_prod_gas&gt;0))</f>
        <v>0</v>
      </c>
      <c r="BF207" s="57">
        <f>1*(OR(HM_ZD_AM3_2005!CA_opex_total_nom&gt;0,HM_ZD_AM3_2005!CA_expex_nom&gt;0,HM_ZD_AM3_2005!CA_devex_nom&gt;0,HM_ZD_AM3_2005!CA_gross_prod_oil+HM_ZD_AM3_2005!CA_gross_prod_gas&gt;0))</f>
        <v>0</v>
      </c>
      <c r="BG207" s="57">
        <f>1*(OR(HM_ZD_AM3_2005!CA_opex_total_nom&gt;0,HM_ZD_AM3_2005!CA_expex_nom&gt;0,HM_ZD_AM3_2005!CA_devex_nom&gt;0,HM_ZD_AM3_2005!CA_gross_prod_oil+HM_ZD_AM3_2005!CA_gross_prod_gas&gt;0))</f>
        <v>0</v>
      </c>
      <c r="BH207" s="57">
        <f>1*(OR(HM_ZD_AM3_2005!CA_opex_total_nom&gt;0,HM_ZD_AM3_2005!CA_expex_nom&gt;0,HM_ZD_AM3_2005!CA_devex_nom&gt;0,HM_ZD_AM3_2005!CA_gross_prod_oil+HM_ZD_AM3_2005!CA_gross_prod_gas&gt;0))</f>
        <v>0</v>
      </c>
      <c r="BI207" s="57">
        <f>1*(OR(HM_ZD_AM3_2005!CA_opex_total_nom&gt;0,HM_ZD_AM3_2005!CA_expex_nom&gt;0,HM_ZD_AM3_2005!CA_devex_nom&gt;0,HM_ZD_AM3_2005!CA_gross_prod_oil+HM_ZD_AM3_2005!CA_gross_prod_gas&gt;0))</f>
        <v>0</v>
      </c>
      <c r="BJ207" s="57">
        <f>1*(OR(HM_ZD_AM3_2005!CA_opex_total_nom&gt;0,HM_ZD_AM3_2005!CA_expex_nom&gt;0,HM_ZD_AM3_2005!CA_devex_nom&gt;0,HM_ZD_AM3_2005!CA_gross_prod_oil+HM_ZD_AM3_2005!CA_gross_prod_gas&gt;0))</f>
        <v>0</v>
      </c>
      <c r="BK207" s="57">
        <f>1*(OR(HM_ZD_AM3_2005!CA_opex_total_nom&gt;0,HM_ZD_AM3_2005!CA_expex_nom&gt;0,HM_ZD_AM3_2005!CA_devex_nom&gt;0,HM_ZD_AM3_2005!CA_gross_prod_oil+HM_ZD_AM3_2005!CA_gross_prod_gas&gt;0))</f>
        <v>0</v>
      </c>
      <c r="BL207" s="57">
        <f>1*(OR(HM_ZD_AM3_2005!CA_opex_total_nom&gt;0,HM_ZD_AM3_2005!CA_expex_nom&gt;0,HM_ZD_AM3_2005!CA_devex_nom&gt;0,HM_ZD_AM3_2005!CA_gross_prod_oil+HM_ZD_AM3_2005!CA_gross_prod_gas&gt;0))</f>
        <v>0</v>
      </c>
      <c r="BM207" s="57">
        <f>1*(OR(HM_ZD_AM3_2005!CA_opex_total_nom&gt;0,HM_ZD_AM3_2005!CA_expex_nom&gt;0,HM_ZD_AM3_2005!CA_devex_nom&gt;0,HM_ZD_AM3_2005!CA_gross_prod_oil+HM_ZD_AM3_2005!CA_gross_prod_gas&gt;0))</f>
        <v>0</v>
      </c>
      <c r="BN207" s="57">
        <f>1*(OR(HM_ZD_AM3_2005!CA_opex_total_nom&gt;0,HM_ZD_AM3_2005!CA_expex_nom&gt;0,HM_ZD_AM3_2005!CA_devex_nom&gt;0,HM_ZD_AM3_2005!CA_gross_prod_oil+HM_ZD_AM3_2005!CA_gross_prod_gas&gt;0))</f>
        <v>0</v>
      </c>
      <c r="BO207" s="57">
        <f>1*(OR(HM_ZD_AM3_2005!CA_opex_total_nom&gt;0,HM_ZD_AM3_2005!CA_expex_nom&gt;0,HM_ZD_AM3_2005!CA_devex_nom&gt;0,HM_ZD_AM3_2005!CA_gross_prod_oil+HM_ZD_AM3_2005!CA_gross_prod_gas&gt;0))</f>
        <v>0</v>
      </c>
      <c r="BP207" s="57">
        <f>1*(OR(HM_ZD_AM3_2005!CA_opex_total_nom&gt;0,HM_ZD_AM3_2005!CA_expex_nom&gt;0,HM_ZD_AM3_2005!CA_devex_nom&gt;0,HM_ZD_AM3_2005!CA_gross_prod_oil+HM_ZD_AM3_2005!CA_gross_prod_gas&gt;0))</f>
        <v>0</v>
      </c>
      <c r="BQ207" s="57">
        <f>1*(OR(HM_ZD_AM3_2005!CA_opex_total_nom&gt;0,HM_ZD_AM3_2005!CA_expex_nom&gt;0,HM_ZD_AM3_2005!CA_devex_nom&gt;0,HM_ZD_AM3_2005!CA_gross_prod_oil+HM_ZD_AM3_2005!CA_gross_prod_gas&gt;0))</f>
        <v>0</v>
      </c>
      <c r="BR207" s="57">
        <f>1*(OR(HM_ZD_AM3_2005!CA_opex_total_nom&gt;0,HM_ZD_AM3_2005!CA_expex_nom&gt;0,HM_ZD_AM3_2005!CA_devex_nom&gt;0,HM_ZD_AM3_2005!CA_gross_prod_oil+HM_ZD_AM3_2005!CA_gross_prod_gas&gt;0))</f>
        <v>0</v>
      </c>
      <c r="BS207" s="57">
        <f>1*(OR(HM_ZD_AM3_2005!CA_opex_total_nom&gt;0,HM_ZD_AM3_2005!CA_expex_nom&gt;0,HM_ZD_AM3_2005!CA_devex_nom&gt;0,HM_ZD_AM3_2005!CA_gross_prod_oil+HM_ZD_AM3_2005!CA_gross_prod_gas&gt;0))</f>
        <v>0</v>
      </c>
    </row>
    <row r="208" spans="1:71" outlineLevel="1" x14ac:dyDescent="0.2">
      <c r="J208" s="26"/>
      <c r="L208" s="55"/>
      <c r="M208" s="55"/>
      <c r="N208" s="55"/>
      <c r="O208" s="55"/>
      <c r="P208" s="55"/>
      <c r="Q208" s="55"/>
      <c r="R208" s="55"/>
      <c r="S208" s="55"/>
      <c r="T208" s="55"/>
      <c r="U208" s="55"/>
      <c r="V208" s="55"/>
      <c r="W208" s="55"/>
      <c r="X208" s="55"/>
      <c r="Y208" s="55"/>
      <c r="Z208" s="55"/>
      <c r="AA208" s="55"/>
      <c r="AB208" s="55"/>
      <c r="AC208" s="55"/>
      <c r="AD208" s="55"/>
      <c r="AE208" s="55"/>
      <c r="AF208" s="55"/>
      <c r="AG208" s="55"/>
      <c r="AH208" s="55"/>
      <c r="AI208" s="55"/>
      <c r="AJ208" s="55"/>
      <c r="AK208" s="55"/>
      <c r="AL208" s="55"/>
      <c r="AM208" s="55"/>
      <c r="AN208" s="55"/>
      <c r="AO208" s="55"/>
      <c r="AP208" s="55"/>
      <c r="AQ208" s="55"/>
      <c r="AR208" s="55"/>
      <c r="AS208" s="55"/>
      <c r="AT208" s="55"/>
      <c r="AU208" s="55"/>
      <c r="AV208" s="55"/>
      <c r="AW208" s="55"/>
      <c r="AX208" s="55"/>
      <c r="AY208" s="55"/>
      <c r="AZ208" s="55"/>
      <c r="BA208" s="55"/>
      <c r="BB208" s="55"/>
      <c r="BC208" s="55"/>
      <c r="BD208" s="55"/>
      <c r="BE208" s="55"/>
      <c r="BF208" s="55"/>
      <c r="BG208" s="55"/>
      <c r="BH208" s="55"/>
      <c r="BI208" s="55"/>
      <c r="BJ208" s="55"/>
      <c r="BK208" s="55"/>
      <c r="BL208" s="55"/>
      <c r="BM208" s="55"/>
      <c r="BN208" s="55"/>
      <c r="BO208" s="55"/>
      <c r="BP208" s="55"/>
      <c r="BQ208" s="55"/>
      <c r="BR208" s="55"/>
      <c r="BS208" s="55"/>
    </row>
    <row r="209" spans="3:71" outlineLevel="1" x14ac:dyDescent="0.2">
      <c r="C209" s="11" t="str">
        <f>HM_ZD_Moho!C228</f>
        <v>Frais</v>
      </c>
      <c r="J209" s="26"/>
      <c r="L209" s="55"/>
      <c r="M209" s="55"/>
      <c r="N209" s="55"/>
      <c r="O209" s="55"/>
      <c r="P209" s="55"/>
      <c r="Q209" s="55"/>
      <c r="R209" s="55"/>
      <c r="S209" s="55"/>
      <c r="T209" s="55"/>
      <c r="U209" s="55"/>
      <c r="V209" s="55"/>
      <c r="W209" s="55"/>
      <c r="X209" s="55"/>
      <c r="Y209" s="55"/>
      <c r="Z209" s="55"/>
      <c r="AA209" s="55"/>
      <c r="AB209" s="55"/>
      <c r="AC209" s="55"/>
      <c r="AD209" s="55"/>
      <c r="AE209" s="55"/>
      <c r="AF209" s="55"/>
      <c r="AG209" s="55"/>
      <c r="AH209" s="55"/>
      <c r="AI209" s="55"/>
      <c r="AJ209" s="55"/>
      <c r="AK209" s="55"/>
      <c r="AL209" s="55"/>
      <c r="AM209" s="55"/>
      <c r="AN209" s="55"/>
      <c r="AO209" s="55"/>
      <c r="AP209" s="55"/>
      <c r="AQ209" s="55"/>
      <c r="AR209" s="55"/>
      <c r="AS209" s="55"/>
      <c r="AT209" s="55"/>
      <c r="AU209" s="55"/>
      <c r="AV209" s="55"/>
      <c r="AW209" s="55"/>
      <c r="AX209" s="55"/>
      <c r="AY209" s="55"/>
      <c r="AZ209" s="55"/>
      <c r="BA209" s="55"/>
      <c r="BB209" s="55"/>
      <c r="BC209" s="55"/>
      <c r="BD209" s="55"/>
      <c r="BE209" s="55"/>
      <c r="BF209" s="55"/>
      <c r="BG209" s="55"/>
      <c r="BH209" s="55"/>
      <c r="BI209" s="55"/>
      <c r="BJ209" s="55"/>
      <c r="BK209" s="55"/>
      <c r="BL209" s="55"/>
      <c r="BM209" s="55"/>
      <c r="BN209" s="55"/>
      <c r="BO209" s="55"/>
      <c r="BP209" s="55"/>
      <c r="BQ209" s="55"/>
      <c r="BR209" s="55"/>
      <c r="BS209" s="55"/>
    </row>
    <row r="210" spans="3:71" outlineLevel="1" x14ac:dyDescent="0.2">
      <c r="D210" t="str">
        <f>HM_ZD_Moho!D229</f>
        <v>Coûts PID</v>
      </c>
      <c r="I210" s="30">
        <f ca="1">SUM($L210:$BS210)</f>
        <v>37.299597132909994</v>
      </c>
      <c r="J210" s="26" t="s">
        <v>148</v>
      </c>
      <c r="K210" s="7" t="s">
        <v>174</v>
      </c>
      <c r="L210" s="49" cm="1">
        <f t="array" aca="1" ref="L210:BS210" ca="1">HM_ZD_AM3_2005!CA_gross_rev_total_fp*HM_ZD_AM3_2005!fees_PID_perc</f>
        <v>19.121835466870003</v>
      </c>
      <c r="M210" s="49">
        <f ca="1"/>
        <v>18.177761666039995</v>
      </c>
      <c r="N210" s="49">
        <f ca="1"/>
        <v>0</v>
      </c>
      <c r="O210" s="49">
        <f ca="1"/>
        <v>0</v>
      </c>
      <c r="P210" s="49">
        <f ca="1"/>
        <v>0</v>
      </c>
      <c r="Q210" s="49">
        <f ca="1"/>
        <v>0</v>
      </c>
      <c r="R210" s="49">
        <f ca="1"/>
        <v>0</v>
      </c>
      <c r="S210" s="49">
        <f ca="1"/>
        <v>0</v>
      </c>
      <c r="T210" s="49">
        <f ca="1"/>
        <v>0</v>
      </c>
      <c r="U210" s="49">
        <f ca="1"/>
        <v>0</v>
      </c>
      <c r="V210" s="49">
        <f ca="1"/>
        <v>0</v>
      </c>
      <c r="W210" s="49">
        <f ca="1"/>
        <v>0</v>
      </c>
      <c r="X210" s="49">
        <f ca="1"/>
        <v>0</v>
      </c>
      <c r="Y210" s="49">
        <f ca="1"/>
        <v>0</v>
      </c>
      <c r="Z210" s="49">
        <f ca="1"/>
        <v>0</v>
      </c>
      <c r="AA210" s="49">
        <f ca="1"/>
        <v>0</v>
      </c>
      <c r="AB210" s="49">
        <f ca="1"/>
        <v>0</v>
      </c>
      <c r="AC210" s="49">
        <f ca="1"/>
        <v>0</v>
      </c>
      <c r="AD210" s="49">
        <f ca="1"/>
        <v>0</v>
      </c>
      <c r="AE210" s="49">
        <f ca="1"/>
        <v>0</v>
      </c>
      <c r="AF210" s="49">
        <f ca="1"/>
        <v>0</v>
      </c>
      <c r="AG210" s="49">
        <f ca="1"/>
        <v>0</v>
      </c>
      <c r="AH210" s="49">
        <f ca="1"/>
        <v>0</v>
      </c>
      <c r="AI210" s="49">
        <f ca="1"/>
        <v>0</v>
      </c>
      <c r="AJ210" s="49">
        <f ca="1"/>
        <v>0</v>
      </c>
      <c r="AK210" s="49">
        <f ca="1"/>
        <v>0</v>
      </c>
      <c r="AL210" s="49">
        <f ca="1"/>
        <v>0</v>
      </c>
      <c r="AM210" s="49">
        <f ca="1"/>
        <v>0</v>
      </c>
      <c r="AN210" s="49">
        <f ca="1"/>
        <v>0</v>
      </c>
      <c r="AO210" s="49">
        <f ca="1"/>
        <v>0</v>
      </c>
      <c r="AP210" s="49">
        <f ca="1"/>
        <v>0</v>
      </c>
      <c r="AQ210" s="49">
        <f ca="1"/>
        <v>0</v>
      </c>
      <c r="AR210" s="49">
        <f ca="1"/>
        <v>0</v>
      </c>
      <c r="AS210" s="49">
        <f ca="1"/>
        <v>0</v>
      </c>
      <c r="AT210" s="49">
        <f ca="1"/>
        <v>0</v>
      </c>
      <c r="AU210" s="49">
        <f ca="1"/>
        <v>0</v>
      </c>
      <c r="AV210" s="49">
        <f ca="1"/>
        <v>0</v>
      </c>
      <c r="AW210" s="49">
        <f ca="1"/>
        <v>0</v>
      </c>
      <c r="AX210" s="49">
        <f ca="1"/>
        <v>0</v>
      </c>
      <c r="AY210" s="49">
        <f ca="1"/>
        <v>0</v>
      </c>
      <c r="AZ210" s="49">
        <f ca="1"/>
        <v>0</v>
      </c>
      <c r="BA210" s="49">
        <f ca="1"/>
        <v>0</v>
      </c>
      <c r="BB210" s="49">
        <f ca="1"/>
        <v>0</v>
      </c>
      <c r="BC210" s="49">
        <f ca="1"/>
        <v>0</v>
      </c>
      <c r="BD210" s="49">
        <f ca="1"/>
        <v>0</v>
      </c>
      <c r="BE210" s="49">
        <f ca="1"/>
        <v>0</v>
      </c>
      <c r="BF210" s="49">
        <f ca="1"/>
        <v>0</v>
      </c>
      <c r="BG210" s="49">
        <f ca="1"/>
        <v>0</v>
      </c>
      <c r="BH210" s="49">
        <f ca="1"/>
        <v>0</v>
      </c>
      <c r="BI210" s="49">
        <f ca="1"/>
        <v>0</v>
      </c>
      <c r="BJ210" s="49">
        <f ca="1"/>
        <v>0</v>
      </c>
      <c r="BK210" s="49">
        <f ca="1"/>
        <v>0</v>
      </c>
      <c r="BL210" s="49">
        <f ca="1"/>
        <v>0</v>
      </c>
      <c r="BM210" s="49">
        <f ca="1"/>
        <v>0</v>
      </c>
      <c r="BN210" s="49">
        <f ca="1"/>
        <v>0</v>
      </c>
      <c r="BO210" s="49">
        <f ca="1"/>
        <v>0</v>
      </c>
      <c r="BP210" s="49">
        <f ca="1"/>
        <v>0</v>
      </c>
      <c r="BQ210" s="49">
        <f ca="1"/>
        <v>0</v>
      </c>
      <c r="BR210" s="49">
        <f ca="1"/>
        <v>0</v>
      </c>
      <c r="BS210" s="49">
        <f ca="1"/>
        <v>0</v>
      </c>
    </row>
    <row r="211" spans="3:71" outlineLevel="1" x14ac:dyDescent="0.2">
      <c r="J211" s="26"/>
      <c r="L211" s="55"/>
      <c r="M211" s="55"/>
      <c r="N211" s="55"/>
      <c r="O211" s="55"/>
      <c r="P211" s="55"/>
      <c r="Q211" s="55"/>
      <c r="R211" s="55"/>
      <c r="S211" s="55"/>
      <c r="T211" s="55"/>
      <c r="U211" s="55"/>
      <c r="V211" s="55"/>
      <c r="W211" s="55"/>
      <c r="X211" s="55"/>
      <c r="Y211" s="55"/>
      <c r="Z211" s="55"/>
      <c r="AA211" s="55"/>
      <c r="AB211" s="55"/>
      <c r="AC211" s="55"/>
      <c r="AD211" s="55"/>
      <c r="AE211" s="55"/>
      <c r="AF211" s="55"/>
      <c r="AG211" s="55"/>
      <c r="AH211" s="55"/>
      <c r="AI211" s="55"/>
      <c r="AJ211" s="55"/>
      <c r="AK211" s="55"/>
      <c r="AL211" s="55"/>
      <c r="AM211" s="55"/>
      <c r="AN211" s="55"/>
      <c r="AO211" s="55"/>
      <c r="AP211" s="55"/>
      <c r="AQ211" s="55"/>
      <c r="AR211" s="55"/>
      <c r="AS211" s="55"/>
      <c r="AT211" s="55"/>
      <c r="AU211" s="55"/>
      <c r="AV211" s="55"/>
      <c r="AW211" s="55"/>
      <c r="AX211" s="55"/>
      <c r="AY211" s="55"/>
      <c r="AZ211" s="55"/>
      <c r="BA211" s="55"/>
      <c r="BB211" s="55"/>
      <c r="BC211" s="55"/>
      <c r="BD211" s="55"/>
      <c r="BE211" s="55"/>
      <c r="BF211" s="55"/>
      <c r="BG211" s="55"/>
      <c r="BH211" s="55"/>
      <c r="BI211" s="55"/>
      <c r="BJ211" s="55"/>
      <c r="BK211" s="55"/>
      <c r="BL211" s="55"/>
      <c r="BM211" s="55"/>
      <c r="BN211" s="55"/>
      <c r="BO211" s="55"/>
      <c r="BP211" s="55"/>
      <c r="BQ211" s="55"/>
      <c r="BR211" s="55"/>
      <c r="BS211" s="55"/>
    </row>
    <row r="212" spans="3:71" outlineLevel="1" x14ac:dyDescent="0.2">
      <c r="C212" s="11" t="str">
        <f>HM_ZD_Moho!C231</f>
        <v>Redevance</v>
      </c>
      <c r="J212" s="26"/>
      <c r="L212" s="55"/>
      <c r="M212" s="55"/>
      <c r="N212" s="55"/>
      <c r="O212" s="55"/>
      <c r="P212" s="55"/>
      <c r="Q212" s="55"/>
      <c r="R212" s="55"/>
      <c r="S212" s="55"/>
      <c r="T212" s="55"/>
      <c r="U212" s="55"/>
      <c r="V212" s="55"/>
      <c r="W212" s="55"/>
      <c r="X212" s="55"/>
      <c r="Y212" s="55"/>
      <c r="Z212" s="55"/>
      <c r="AA212" s="55"/>
      <c r="AB212" s="55"/>
      <c r="AC212" s="55"/>
      <c r="AD212" s="55"/>
      <c r="AE212" s="55"/>
      <c r="AF212" s="55"/>
      <c r="AG212" s="55"/>
      <c r="AH212" s="55"/>
      <c r="AI212" s="55"/>
      <c r="AJ212" s="55"/>
      <c r="AK212" s="55"/>
      <c r="AL212" s="55"/>
      <c r="AM212" s="55"/>
      <c r="AN212" s="55"/>
      <c r="AO212" s="55"/>
      <c r="AP212" s="55"/>
      <c r="AQ212" s="55"/>
      <c r="AR212" s="55"/>
      <c r="AS212" s="55"/>
      <c r="AT212" s="55"/>
      <c r="AU212" s="55"/>
      <c r="AV212" s="55"/>
      <c r="AW212" s="55"/>
      <c r="AX212" s="55"/>
      <c r="AY212" s="55"/>
      <c r="AZ212" s="55"/>
      <c r="BA212" s="55"/>
      <c r="BB212" s="55"/>
      <c r="BC212" s="55"/>
      <c r="BD212" s="55"/>
      <c r="BE212" s="55"/>
      <c r="BF212" s="55"/>
      <c r="BG212" s="55"/>
      <c r="BH212" s="55"/>
      <c r="BI212" s="55"/>
      <c r="BJ212" s="55"/>
      <c r="BK212" s="55"/>
      <c r="BL212" s="55"/>
      <c r="BM212" s="55"/>
      <c r="BN212" s="55"/>
      <c r="BO212" s="55"/>
      <c r="BP212" s="55"/>
      <c r="BQ212" s="55"/>
      <c r="BR212" s="55"/>
      <c r="BS212" s="55"/>
    </row>
    <row r="213" spans="3:71" outlineLevel="1" x14ac:dyDescent="0.2">
      <c r="D213" t="str">
        <f>HM_ZD_Moho!D232</f>
        <v>Redevance pétrolière</v>
      </c>
      <c r="I213" s="30">
        <f ca="1">SUM($L213:$BS213)</f>
        <v>559.49395699364993</v>
      </c>
      <c r="J213" s="26" t="s">
        <v>148</v>
      </c>
      <c r="K213" s="7" t="s">
        <v>177</v>
      </c>
      <c r="L213" s="49" cm="1">
        <f t="array" aca="1" ref="L213:BS213" ca="1">HM_ZD_AM3_2005!CA_gross_rev_oil_fp*HM_ZD_AM3_2005!royalty_rate_oil</f>
        <v>286.82753200305001</v>
      </c>
      <c r="M213" s="49">
        <f ca="1"/>
        <v>272.66642499059992</v>
      </c>
      <c r="N213" s="49">
        <f ca="1"/>
        <v>0</v>
      </c>
      <c r="O213" s="49">
        <f ca="1"/>
        <v>0</v>
      </c>
      <c r="P213" s="49">
        <f ca="1"/>
        <v>0</v>
      </c>
      <c r="Q213" s="49">
        <f ca="1"/>
        <v>0</v>
      </c>
      <c r="R213" s="49">
        <f ca="1"/>
        <v>0</v>
      </c>
      <c r="S213" s="49">
        <f ca="1"/>
        <v>0</v>
      </c>
      <c r="T213" s="49">
        <f ca="1"/>
        <v>0</v>
      </c>
      <c r="U213" s="49">
        <f ca="1"/>
        <v>0</v>
      </c>
      <c r="V213" s="49">
        <f ca="1"/>
        <v>0</v>
      </c>
      <c r="W213" s="49">
        <f ca="1"/>
        <v>0</v>
      </c>
      <c r="X213" s="49">
        <f ca="1"/>
        <v>0</v>
      </c>
      <c r="Y213" s="49">
        <f ca="1"/>
        <v>0</v>
      </c>
      <c r="Z213" s="49">
        <f ca="1"/>
        <v>0</v>
      </c>
      <c r="AA213" s="49">
        <f ca="1"/>
        <v>0</v>
      </c>
      <c r="AB213" s="49">
        <f ca="1"/>
        <v>0</v>
      </c>
      <c r="AC213" s="49">
        <f ca="1"/>
        <v>0</v>
      </c>
      <c r="AD213" s="49">
        <f ca="1"/>
        <v>0</v>
      </c>
      <c r="AE213" s="49">
        <f ca="1"/>
        <v>0</v>
      </c>
      <c r="AF213" s="49">
        <f ca="1"/>
        <v>0</v>
      </c>
      <c r="AG213" s="49">
        <f ca="1"/>
        <v>0</v>
      </c>
      <c r="AH213" s="49">
        <f ca="1"/>
        <v>0</v>
      </c>
      <c r="AI213" s="49">
        <f ca="1"/>
        <v>0</v>
      </c>
      <c r="AJ213" s="49">
        <f ca="1"/>
        <v>0</v>
      </c>
      <c r="AK213" s="49">
        <f ca="1"/>
        <v>0</v>
      </c>
      <c r="AL213" s="49">
        <f ca="1"/>
        <v>0</v>
      </c>
      <c r="AM213" s="49">
        <f ca="1"/>
        <v>0</v>
      </c>
      <c r="AN213" s="49">
        <f ca="1"/>
        <v>0</v>
      </c>
      <c r="AO213" s="49">
        <f ca="1"/>
        <v>0</v>
      </c>
      <c r="AP213" s="49">
        <f ca="1"/>
        <v>0</v>
      </c>
      <c r="AQ213" s="49">
        <f ca="1"/>
        <v>0</v>
      </c>
      <c r="AR213" s="49">
        <f ca="1"/>
        <v>0</v>
      </c>
      <c r="AS213" s="49">
        <f ca="1"/>
        <v>0</v>
      </c>
      <c r="AT213" s="49">
        <f ca="1"/>
        <v>0</v>
      </c>
      <c r="AU213" s="49">
        <f ca="1"/>
        <v>0</v>
      </c>
      <c r="AV213" s="49">
        <f ca="1"/>
        <v>0</v>
      </c>
      <c r="AW213" s="49">
        <f ca="1"/>
        <v>0</v>
      </c>
      <c r="AX213" s="49">
        <f ca="1"/>
        <v>0</v>
      </c>
      <c r="AY213" s="49">
        <f ca="1"/>
        <v>0</v>
      </c>
      <c r="AZ213" s="49">
        <f ca="1"/>
        <v>0</v>
      </c>
      <c r="BA213" s="49">
        <f ca="1"/>
        <v>0</v>
      </c>
      <c r="BB213" s="49">
        <f ca="1"/>
        <v>0</v>
      </c>
      <c r="BC213" s="49">
        <f ca="1"/>
        <v>0</v>
      </c>
      <c r="BD213" s="49">
        <f ca="1"/>
        <v>0</v>
      </c>
      <c r="BE213" s="49">
        <f ca="1"/>
        <v>0</v>
      </c>
      <c r="BF213" s="49">
        <f ca="1"/>
        <v>0</v>
      </c>
      <c r="BG213" s="49">
        <f ca="1"/>
        <v>0</v>
      </c>
      <c r="BH213" s="49">
        <f ca="1"/>
        <v>0</v>
      </c>
      <c r="BI213" s="49">
        <f ca="1"/>
        <v>0</v>
      </c>
      <c r="BJ213" s="49">
        <f ca="1"/>
        <v>0</v>
      </c>
      <c r="BK213" s="49">
        <f ca="1"/>
        <v>0</v>
      </c>
      <c r="BL213" s="49">
        <f ca="1"/>
        <v>0</v>
      </c>
      <c r="BM213" s="49">
        <f ca="1"/>
        <v>0</v>
      </c>
      <c r="BN213" s="49">
        <f ca="1"/>
        <v>0</v>
      </c>
      <c r="BO213" s="49">
        <f ca="1"/>
        <v>0</v>
      </c>
      <c r="BP213" s="49">
        <f ca="1"/>
        <v>0</v>
      </c>
      <c r="BQ213" s="49">
        <f ca="1"/>
        <v>0</v>
      </c>
      <c r="BR213" s="49">
        <f ca="1"/>
        <v>0</v>
      </c>
      <c r="BS213" s="49">
        <f ca="1"/>
        <v>0</v>
      </c>
    </row>
    <row r="214" spans="3:71" outlineLevel="1" x14ac:dyDescent="0.2">
      <c r="D214" t="str">
        <f>HM_ZD_Moho!D233</f>
        <v>Redevance gazière</v>
      </c>
      <c r="I214" s="30">
        <f ca="1">SUM($L214:$BS214)</f>
        <v>0</v>
      </c>
      <c r="J214" s="26" t="s">
        <v>148</v>
      </c>
      <c r="K214" s="7" t="s">
        <v>178</v>
      </c>
      <c r="L214" s="49" cm="1">
        <f t="array" aca="1" ref="L214:BS214" ca="1">HM_ZD_AM3_2005!CA_gross_rev_gas_fp*HM_ZD_AM3_2005!royalty_rate_gas</f>
        <v>0</v>
      </c>
      <c r="M214" s="49">
        <f ca="1"/>
        <v>0</v>
      </c>
      <c r="N214" s="49">
        <f ca="1"/>
        <v>0</v>
      </c>
      <c r="O214" s="49">
        <f ca="1"/>
        <v>0</v>
      </c>
      <c r="P214" s="49">
        <f ca="1"/>
        <v>0</v>
      </c>
      <c r="Q214" s="49">
        <f ca="1"/>
        <v>0</v>
      </c>
      <c r="R214" s="49">
        <f ca="1"/>
        <v>0</v>
      </c>
      <c r="S214" s="49">
        <f ca="1"/>
        <v>0</v>
      </c>
      <c r="T214" s="49">
        <f ca="1"/>
        <v>0</v>
      </c>
      <c r="U214" s="49">
        <f ca="1"/>
        <v>0</v>
      </c>
      <c r="V214" s="49">
        <f ca="1"/>
        <v>0</v>
      </c>
      <c r="W214" s="49">
        <f ca="1"/>
        <v>0</v>
      </c>
      <c r="X214" s="49">
        <f ca="1"/>
        <v>0</v>
      </c>
      <c r="Y214" s="49">
        <f ca="1"/>
        <v>0</v>
      </c>
      <c r="Z214" s="49">
        <f ca="1"/>
        <v>0</v>
      </c>
      <c r="AA214" s="49">
        <f ca="1"/>
        <v>0</v>
      </c>
      <c r="AB214" s="49">
        <f ca="1"/>
        <v>0</v>
      </c>
      <c r="AC214" s="49">
        <f ca="1"/>
        <v>0</v>
      </c>
      <c r="AD214" s="49">
        <f ca="1"/>
        <v>0</v>
      </c>
      <c r="AE214" s="49">
        <f ca="1"/>
        <v>0</v>
      </c>
      <c r="AF214" s="49">
        <f ca="1"/>
        <v>0</v>
      </c>
      <c r="AG214" s="49">
        <f ca="1"/>
        <v>0</v>
      </c>
      <c r="AH214" s="49">
        <f ca="1"/>
        <v>0</v>
      </c>
      <c r="AI214" s="49">
        <f ca="1"/>
        <v>0</v>
      </c>
      <c r="AJ214" s="49">
        <f ca="1"/>
        <v>0</v>
      </c>
      <c r="AK214" s="49">
        <f ca="1"/>
        <v>0</v>
      </c>
      <c r="AL214" s="49">
        <f ca="1"/>
        <v>0</v>
      </c>
      <c r="AM214" s="49">
        <f ca="1"/>
        <v>0</v>
      </c>
      <c r="AN214" s="49">
        <f ca="1"/>
        <v>0</v>
      </c>
      <c r="AO214" s="49">
        <f ca="1"/>
        <v>0</v>
      </c>
      <c r="AP214" s="49">
        <f ca="1"/>
        <v>0</v>
      </c>
      <c r="AQ214" s="49">
        <f ca="1"/>
        <v>0</v>
      </c>
      <c r="AR214" s="49">
        <f ca="1"/>
        <v>0</v>
      </c>
      <c r="AS214" s="49">
        <f ca="1"/>
        <v>0</v>
      </c>
      <c r="AT214" s="49">
        <f ca="1"/>
        <v>0</v>
      </c>
      <c r="AU214" s="49">
        <f ca="1"/>
        <v>0</v>
      </c>
      <c r="AV214" s="49">
        <f ca="1"/>
        <v>0</v>
      </c>
      <c r="AW214" s="49">
        <f ca="1"/>
        <v>0</v>
      </c>
      <c r="AX214" s="49">
        <f ca="1"/>
        <v>0</v>
      </c>
      <c r="AY214" s="49">
        <f ca="1"/>
        <v>0</v>
      </c>
      <c r="AZ214" s="49">
        <f ca="1"/>
        <v>0</v>
      </c>
      <c r="BA214" s="49">
        <f ca="1"/>
        <v>0</v>
      </c>
      <c r="BB214" s="49">
        <f ca="1"/>
        <v>0</v>
      </c>
      <c r="BC214" s="49">
        <f ca="1"/>
        <v>0</v>
      </c>
      <c r="BD214" s="49">
        <f ca="1"/>
        <v>0</v>
      </c>
      <c r="BE214" s="49">
        <f ca="1"/>
        <v>0</v>
      </c>
      <c r="BF214" s="49">
        <f ca="1"/>
        <v>0</v>
      </c>
      <c r="BG214" s="49">
        <f ca="1"/>
        <v>0</v>
      </c>
      <c r="BH214" s="49">
        <f ca="1"/>
        <v>0</v>
      </c>
      <c r="BI214" s="49">
        <f ca="1"/>
        <v>0</v>
      </c>
      <c r="BJ214" s="49">
        <f ca="1"/>
        <v>0</v>
      </c>
      <c r="BK214" s="49">
        <f ca="1"/>
        <v>0</v>
      </c>
      <c r="BL214" s="49">
        <f ca="1"/>
        <v>0</v>
      </c>
      <c r="BM214" s="49">
        <f ca="1"/>
        <v>0</v>
      </c>
      <c r="BN214" s="49">
        <f ca="1"/>
        <v>0</v>
      </c>
      <c r="BO214" s="49">
        <f ca="1"/>
        <v>0</v>
      </c>
      <c r="BP214" s="49">
        <f ca="1"/>
        <v>0</v>
      </c>
      <c r="BQ214" s="49">
        <f ca="1"/>
        <v>0</v>
      </c>
      <c r="BR214" s="49">
        <f ca="1"/>
        <v>0</v>
      </c>
      <c r="BS214" s="49">
        <f ca="1"/>
        <v>0</v>
      </c>
    </row>
    <row r="215" spans="3:71" outlineLevel="1" x14ac:dyDescent="0.2">
      <c r="D215" s="11" t="str">
        <f>HM_ZD_Moho!D234</f>
        <v>Redevance totale</v>
      </c>
      <c r="I215" s="30">
        <f ca="1">SUM($L215:$BS215)</f>
        <v>559.49395699364993</v>
      </c>
      <c r="J215" s="26" t="s">
        <v>148</v>
      </c>
      <c r="K215" s="7" t="s">
        <v>180</v>
      </c>
      <c r="L215" s="49">
        <f ca="1">SUM(L213:L214)</f>
        <v>286.82753200305001</v>
      </c>
      <c r="M215" s="49">
        <f t="shared" ref="M215:BS215" ca="1" si="69">SUM(M213:M214)</f>
        <v>272.66642499059992</v>
      </c>
      <c r="N215" s="49">
        <f t="shared" ca="1" si="69"/>
        <v>0</v>
      </c>
      <c r="O215" s="49">
        <f t="shared" ca="1" si="69"/>
        <v>0</v>
      </c>
      <c r="P215" s="49">
        <f t="shared" ca="1" si="69"/>
        <v>0</v>
      </c>
      <c r="Q215" s="49">
        <f t="shared" ca="1" si="69"/>
        <v>0</v>
      </c>
      <c r="R215" s="49">
        <f t="shared" ca="1" si="69"/>
        <v>0</v>
      </c>
      <c r="S215" s="49">
        <f t="shared" ca="1" si="69"/>
        <v>0</v>
      </c>
      <c r="T215" s="49">
        <f t="shared" ca="1" si="69"/>
        <v>0</v>
      </c>
      <c r="U215" s="49">
        <f t="shared" ca="1" si="69"/>
        <v>0</v>
      </c>
      <c r="V215" s="49">
        <f t="shared" ca="1" si="69"/>
        <v>0</v>
      </c>
      <c r="W215" s="49">
        <f t="shared" ca="1" si="69"/>
        <v>0</v>
      </c>
      <c r="X215" s="49">
        <f t="shared" ca="1" si="69"/>
        <v>0</v>
      </c>
      <c r="Y215" s="49">
        <f t="shared" ca="1" si="69"/>
        <v>0</v>
      </c>
      <c r="Z215" s="49">
        <f t="shared" ca="1" si="69"/>
        <v>0</v>
      </c>
      <c r="AA215" s="49">
        <f t="shared" ca="1" si="69"/>
        <v>0</v>
      </c>
      <c r="AB215" s="49">
        <f t="shared" ca="1" si="69"/>
        <v>0</v>
      </c>
      <c r="AC215" s="49">
        <f t="shared" ca="1" si="69"/>
        <v>0</v>
      </c>
      <c r="AD215" s="49">
        <f t="shared" ca="1" si="69"/>
        <v>0</v>
      </c>
      <c r="AE215" s="49">
        <f t="shared" ca="1" si="69"/>
        <v>0</v>
      </c>
      <c r="AF215" s="49">
        <f t="shared" ca="1" si="69"/>
        <v>0</v>
      </c>
      <c r="AG215" s="49">
        <f t="shared" ca="1" si="69"/>
        <v>0</v>
      </c>
      <c r="AH215" s="49">
        <f t="shared" ca="1" si="69"/>
        <v>0</v>
      </c>
      <c r="AI215" s="49">
        <f t="shared" ca="1" si="69"/>
        <v>0</v>
      </c>
      <c r="AJ215" s="49">
        <f t="shared" ca="1" si="69"/>
        <v>0</v>
      </c>
      <c r="AK215" s="49">
        <f t="shared" ca="1" si="69"/>
        <v>0</v>
      </c>
      <c r="AL215" s="49">
        <f t="shared" ca="1" si="69"/>
        <v>0</v>
      </c>
      <c r="AM215" s="49">
        <f t="shared" ca="1" si="69"/>
        <v>0</v>
      </c>
      <c r="AN215" s="49">
        <f t="shared" ca="1" si="69"/>
        <v>0</v>
      </c>
      <c r="AO215" s="49">
        <f t="shared" ca="1" si="69"/>
        <v>0</v>
      </c>
      <c r="AP215" s="49">
        <f t="shared" ca="1" si="69"/>
        <v>0</v>
      </c>
      <c r="AQ215" s="49">
        <f t="shared" ca="1" si="69"/>
        <v>0</v>
      </c>
      <c r="AR215" s="49">
        <f t="shared" ca="1" si="69"/>
        <v>0</v>
      </c>
      <c r="AS215" s="49">
        <f t="shared" ca="1" si="69"/>
        <v>0</v>
      </c>
      <c r="AT215" s="49">
        <f t="shared" ca="1" si="69"/>
        <v>0</v>
      </c>
      <c r="AU215" s="49">
        <f t="shared" ca="1" si="69"/>
        <v>0</v>
      </c>
      <c r="AV215" s="49">
        <f t="shared" ca="1" si="69"/>
        <v>0</v>
      </c>
      <c r="AW215" s="49">
        <f t="shared" ca="1" si="69"/>
        <v>0</v>
      </c>
      <c r="AX215" s="49">
        <f t="shared" ca="1" si="69"/>
        <v>0</v>
      </c>
      <c r="AY215" s="49">
        <f t="shared" ca="1" si="69"/>
        <v>0</v>
      </c>
      <c r="AZ215" s="49">
        <f t="shared" ca="1" si="69"/>
        <v>0</v>
      </c>
      <c r="BA215" s="49">
        <f t="shared" ca="1" si="69"/>
        <v>0</v>
      </c>
      <c r="BB215" s="49">
        <f t="shared" ca="1" si="69"/>
        <v>0</v>
      </c>
      <c r="BC215" s="49">
        <f t="shared" ca="1" si="69"/>
        <v>0</v>
      </c>
      <c r="BD215" s="49">
        <f t="shared" ca="1" si="69"/>
        <v>0</v>
      </c>
      <c r="BE215" s="49">
        <f t="shared" ca="1" si="69"/>
        <v>0</v>
      </c>
      <c r="BF215" s="49">
        <f t="shared" ca="1" si="69"/>
        <v>0</v>
      </c>
      <c r="BG215" s="49">
        <f t="shared" ca="1" si="69"/>
        <v>0</v>
      </c>
      <c r="BH215" s="49">
        <f t="shared" ca="1" si="69"/>
        <v>0</v>
      </c>
      <c r="BI215" s="49">
        <f t="shared" ca="1" si="69"/>
        <v>0</v>
      </c>
      <c r="BJ215" s="49">
        <f t="shared" ca="1" si="69"/>
        <v>0</v>
      </c>
      <c r="BK215" s="49">
        <f t="shared" ca="1" si="69"/>
        <v>0</v>
      </c>
      <c r="BL215" s="49">
        <f t="shared" ca="1" si="69"/>
        <v>0</v>
      </c>
      <c r="BM215" s="49">
        <f t="shared" ca="1" si="69"/>
        <v>0</v>
      </c>
      <c r="BN215" s="49">
        <f t="shared" ca="1" si="69"/>
        <v>0</v>
      </c>
      <c r="BO215" s="49">
        <f t="shared" ca="1" si="69"/>
        <v>0</v>
      </c>
      <c r="BP215" s="49">
        <f t="shared" ca="1" si="69"/>
        <v>0</v>
      </c>
      <c r="BQ215" s="49">
        <f t="shared" ca="1" si="69"/>
        <v>0</v>
      </c>
      <c r="BR215" s="49">
        <f t="shared" ca="1" si="69"/>
        <v>0</v>
      </c>
      <c r="BS215" s="49">
        <f t="shared" ca="1" si="69"/>
        <v>0</v>
      </c>
    </row>
    <row r="216" spans="3:71" outlineLevel="1" x14ac:dyDescent="0.2">
      <c r="J216" s="26"/>
      <c r="L216" s="55"/>
      <c r="M216" s="55"/>
      <c r="N216" s="55"/>
      <c r="O216" s="55"/>
      <c r="P216" s="55"/>
      <c r="Q216" s="55"/>
      <c r="R216" s="55"/>
      <c r="S216" s="55"/>
      <c r="T216" s="55"/>
      <c r="U216" s="55"/>
      <c r="V216" s="55"/>
      <c r="W216" s="55"/>
      <c r="X216" s="55"/>
      <c r="Y216" s="55"/>
      <c r="Z216" s="55"/>
      <c r="AA216" s="55"/>
      <c r="AB216" s="55"/>
      <c r="AC216" s="55"/>
      <c r="AD216" s="55"/>
      <c r="AE216" s="55"/>
      <c r="AF216" s="55"/>
      <c r="AG216" s="55"/>
      <c r="AH216" s="55"/>
      <c r="AI216" s="55"/>
      <c r="AJ216" s="55"/>
      <c r="AK216" s="55"/>
      <c r="AL216" s="55"/>
      <c r="AM216" s="55"/>
      <c r="AN216" s="55"/>
      <c r="AO216" s="55"/>
      <c r="AP216" s="55"/>
      <c r="AQ216" s="55"/>
      <c r="AR216" s="55"/>
      <c r="AS216" s="55"/>
      <c r="AT216" s="55"/>
      <c r="AU216" s="55"/>
      <c r="AV216" s="55"/>
      <c r="AW216" s="55"/>
      <c r="AX216" s="55"/>
      <c r="AY216" s="55"/>
      <c r="AZ216" s="55"/>
      <c r="BA216" s="55"/>
      <c r="BB216" s="55"/>
      <c r="BC216" s="55"/>
      <c r="BD216" s="55"/>
      <c r="BE216" s="55"/>
      <c r="BF216" s="55"/>
      <c r="BG216" s="55"/>
      <c r="BH216" s="55"/>
      <c r="BI216" s="55"/>
      <c r="BJ216" s="55"/>
      <c r="BK216" s="55"/>
      <c r="BL216" s="55"/>
      <c r="BM216" s="55"/>
      <c r="BN216" s="55"/>
      <c r="BO216" s="55"/>
      <c r="BP216" s="55"/>
      <c r="BQ216" s="55"/>
      <c r="BR216" s="55"/>
      <c r="BS216" s="55"/>
    </row>
    <row r="217" spans="3:71" outlineLevel="1" x14ac:dyDescent="0.2">
      <c r="J217" s="26"/>
      <c r="L217" s="55"/>
      <c r="M217" s="55"/>
      <c r="N217" s="55"/>
      <c r="O217" s="55"/>
      <c r="P217" s="55"/>
      <c r="Q217" s="55"/>
      <c r="R217" s="55"/>
      <c r="S217" s="55"/>
      <c r="T217" s="55"/>
      <c r="U217" s="55"/>
      <c r="V217" s="55"/>
      <c r="W217" s="55"/>
      <c r="X217" s="55"/>
      <c r="Y217" s="55"/>
      <c r="Z217" s="55"/>
      <c r="AA217" s="55"/>
      <c r="AB217" s="55"/>
      <c r="AC217" s="55"/>
      <c r="AD217" s="55"/>
      <c r="AE217" s="55"/>
      <c r="AF217" s="55"/>
      <c r="AG217" s="55"/>
      <c r="AH217" s="55"/>
      <c r="AI217" s="55"/>
      <c r="AJ217" s="55"/>
      <c r="AK217" s="55"/>
      <c r="AL217" s="55"/>
      <c r="AM217" s="55"/>
      <c r="AN217" s="55"/>
      <c r="AO217" s="55"/>
      <c r="AP217" s="55"/>
      <c r="AQ217" s="55"/>
      <c r="AR217" s="55"/>
      <c r="AS217" s="55"/>
      <c r="AT217" s="55"/>
      <c r="AU217" s="55"/>
      <c r="AV217" s="55"/>
      <c r="AW217" s="55"/>
      <c r="AX217" s="55"/>
      <c r="AY217" s="55"/>
      <c r="AZ217" s="55"/>
      <c r="BA217" s="55"/>
      <c r="BB217" s="55"/>
      <c r="BC217" s="55"/>
      <c r="BD217" s="55"/>
      <c r="BE217" s="55"/>
      <c r="BF217" s="55"/>
      <c r="BG217" s="55"/>
      <c r="BH217" s="55"/>
      <c r="BI217" s="55"/>
      <c r="BJ217" s="55"/>
      <c r="BK217" s="55"/>
      <c r="BL217" s="55"/>
      <c r="BM217" s="55"/>
      <c r="BN217" s="55"/>
      <c r="BO217" s="55"/>
      <c r="BP217" s="55"/>
      <c r="BQ217" s="55"/>
      <c r="BR217" s="55"/>
      <c r="BS217" s="55"/>
    </row>
    <row r="218" spans="3:71" outlineLevel="1" x14ac:dyDescent="0.2">
      <c r="C218" s="11" t="str">
        <f>HM_ZD_Moho!C237</f>
        <v>Récupération des coûts</v>
      </c>
      <c r="J218" s="26"/>
      <c r="L218" s="55"/>
      <c r="M218" s="55"/>
      <c r="N218" s="55"/>
      <c r="O218" s="55"/>
      <c r="P218" s="55"/>
      <c r="Q218" s="55"/>
      <c r="R218" s="55"/>
      <c r="S218" s="55"/>
      <c r="T218" s="55"/>
      <c r="U218" s="55"/>
      <c r="V218" s="55"/>
      <c r="W218" s="55"/>
      <c r="X218" s="55"/>
      <c r="Y218" s="55"/>
      <c r="Z218" s="55"/>
      <c r="AA218" s="55"/>
      <c r="AB218" s="55"/>
      <c r="AC218" s="55"/>
      <c r="AD218" s="55"/>
      <c r="AE218" s="55"/>
      <c r="AF218" s="55"/>
      <c r="AG218" s="55"/>
      <c r="AH218" s="55"/>
      <c r="AI218" s="55"/>
      <c r="AJ218" s="55"/>
      <c r="AK218" s="55"/>
      <c r="AL218" s="55"/>
      <c r="AM218" s="55"/>
      <c r="AN218" s="55"/>
      <c r="AO218" s="55"/>
      <c r="AP218" s="55"/>
      <c r="AQ218" s="55"/>
      <c r="AR218" s="55"/>
      <c r="AS218" s="55"/>
      <c r="AT218" s="55"/>
      <c r="AU218" s="55"/>
      <c r="AV218" s="55"/>
      <c r="AW218" s="55"/>
      <c r="AX218" s="55"/>
      <c r="AY218" s="55"/>
      <c r="AZ218" s="55"/>
      <c r="BA218" s="55"/>
      <c r="BB218" s="55"/>
      <c r="BC218" s="55"/>
      <c r="BD218" s="55"/>
      <c r="BE218" s="55"/>
      <c r="BF218" s="55"/>
      <c r="BG218" s="55"/>
      <c r="BH218" s="55"/>
      <c r="BI218" s="55"/>
      <c r="BJ218" s="55"/>
      <c r="BK218" s="55"/>
      <c r="BL218" s="55"/>
      <c r="BM218" s="55"/>
      <c r="BN218" s="55"/>
      <c r="BO218" s="55"/>
      <c r="BP218" s="55"/>
      <c r="BQ218" s="55"/>
      <c r="BR218" s="55"/>
      <c r="BS218" s="55"/>
    </row>
    <row r="219" spans="3:71" outlineLevel="1" x14ac:dyDescent="0.2">
      <c r="D219" s="11" t="str">
        <f>HM_ZD_Moho!D238</f>
        <v>Ensemble des coûts récupérables</v>
      </c>
      <c r="J219" s="26"/>
      <c r="L219" s="55"/>
      <c r="M219" s="55"/>
      <c r="N219" s="55"/>
      <c r="O219" s="55"/>
      <c r="P219" s="55"/>
      <c r="Q219" s="55"/>
      <c r="R219" s="55"/>
      <c r="S219" s="55"/>
      <c r="T219" s="55"/>
      <c r="U219" s="55"/>
      <c r="V219" s="55"/>
      <c r="W219" s="55"/>
      <c r="X219" s="55"/>
      <c r="Y219" s="55"/>
      <c r="Z219" s="55"/>
      <c r="AA219" s="55"/>
      <c r="AB219" s="55"/>
      <c r="AC219" s="55"/>
      <c r="AD219" s="55"/>
      <c r="AE219" s="55"/>
      <c r="AF219" s="55"/>
      <c r="AG219" s="55"/>
      <c r="AH219" s="55"/>
      <c r="AI219" s="55"/>
      <c r="AJ219" s="55"/>
      <c r="AK219" s="55"/>
      <c r="AL219" s="55"/>
      <c r="AM219" s="55"/>
      <c r="AN219" s="55"/>
      <c r="AO219" s="55"/>
      <c r="AP219" s="55"/>
      <c r="AQ219" s="55"/>
      <c r="AR219" s="55"/>
      <c r="AS219" s="55"/>
      <c r="AT219" s="55"/>
      <c r="AU219" s="55"/>
      <c r="AV219" s="55"/>
      <c r="AW219" s="55"/>
      <c r="AX219" s="55"/>
      <c r="AY219" s="55"/>
      <c r="AZ219" s="55"/>
      <c r="BA219" s="55"/>
      <c r="BB219" s="55"/>
      <c r="BC219" s="55"/>
      <c r="BD219" s="55"/>
      <c r="BE219" s="55"/>
      <c r="BF219" s="55"/>
      <c r="BG219" s="55"/>
      <c r="BH219" s="55"/>
      <c r="BI219" s="55"/>
      <c r="BJ219" s="55"/>
      <c r="BK219" s="55"/>
      <c r="BL219" s="55"/>
      <c r="BM219" s="55"/>
      <c r="BN219" s="55"/>
      <c r="BO219" s="55"/>
      <c r="BP219" s="55"/>
      <c r="BQ219" s="55"/>
      <c r="BR219" s="55"/>
      <c r="BS219" s="55"/>
    </row>
    <row r="220" spans="3:71" outlineLevel="1" x14ac:dyDescent="0.2">
      <c r="D220" s="50" t="str">
        <f>HM_ZD_Moho!D239</f>
        <v>Opex</v>
      </c>
      <c r="I220" s="30">
        <f ca="1">SUM($L220:$BS220)</f>
        <v>392.69</v>
      </c>
      <c r="J220" s="26" t="s">
        <v>148</v>
      </c>
      <c r="K220" s="7" t="s">
        <v>196</v>
      </c>
      <c r="L220" s="49" cm="1">
        <f t="array" aca="1" ref="L220:BS220" ca="1">HM_ZD_AM3_2005!CA_opex_total_nom</f>
        <v>172.67099999999999</v>
      </c>
      <c r="M220" s="49">
        <f ca="1"/>
        <v>220.01900000000001</v>
      </c>
      <c r="N220" s="49">
        <f ca="1"/>
        <v>0</v>
      </c>
      <c r="O220" s="49">
        <f ca="1"/>
        <v>0</v>
      </c>
      <c r="P220" s="49">
        <f ca="1"/>
        <v>0</v>
      </c>
      <c r="Q220" s="49">
        <f ca="1"/>
        <v>0</v>
      </c>
      <c r="R220" s="49">
        <f ca="1"/>
        <v>0</v>
      </c>
      <c r="S220" s="49">
        <f ca="1"/>
        <v>0</v>
      </c>
      <c r="T220" s="49">
        <f ca="1"/>
        <v>0</v>
      </c>
      <c r="U220" s="49">
        <f ca="1"/>
        <v>0</v>
      </c>
      <c r="V220" s="49">
        <f ca="1"/>
        <v>0</v>
      </c>
      <c r="W220" s="49">
        <f ca="1"/>
        <v>0</v>
      </c>
      <c r="X220" s="49">
        <f ca="1"/>
        <v>0</v>
      </c>
      <c r="Y220" s="49">
        <f ca="1"/>
        <v>0</v>
      </c>
      <c r="Z220" s="49">
        <f ca="1"/>
        <v>0</v>
      </c>
      <c r="AA220" s="49">
        <f ca="1"/>
        <v>0</v>
      </c>
      <c r="AB220" s="49">
        <f ca="1"/>
        <v>0</v>
      </c>
      <c r="AC220" s="49">
        <f ca="1"/>
        <v>0</v>
      </c>
      <c r="AD220" s="49">
        <f ca="1"/>
        <v>0</v>
      </c>
      <c r="AE220" s="49">
        <f ca="1"/>
        <v>0</v>
      </c>
      <c r="AF220" s="49">
        <f ca="1"/>
        <v>0</v>
      </c>
      <c r="AG220" s="49">
        <f ca="1"/>
        <v>0</v>
      </c>
      <c r="AH220" s="49">
        <f ca="1"/>
        <v>0</v>
      </c>
      <c r="AI220" s="49">
        <f ca="1"/>
        <v>0</v>
      </c>
      <c r="AJ220" s="49">
        <f ca="1"/>
        <v>0</v>
      </c>
      <c r="AK220" s="49">
        <f ca="1"/>
        <v>0</v>
      </c>
      <c r="AL220" s="49">
        <f ca="1"/>
        <v>0</v>
      </c>
      <c r="AM220" s="49">
        <f ca="1"/>
        <v>0</v>
      </c>
      <c r="AN220" s="49">
        <f ca="1"/>
        <v>0</v>
      </c>
      <c r="AO220" s="49">
        <f ca="1"/>
        <v>0</v>
      </c>
      <c r="AP220" s="49">
        <f ca="1"/>
        <v>0</v>
      </c>
      <c r="AQ220" s="49">
        <f ca="1"/>
        <v>0</v>
      </c>
      <c r="AR220" s="49">
        <f ca="1"/>
        <v>0</v>
      </c>
      <c r="AS220" s="49">
        <f ca="1"/>
        <v>0</v>
      </c>
      <c r="AT220" s="49">
        <f ca="1"/>
        <v>0</v>
      </c>
      <c r="AU220" s="49">
        <f ca="1"/>
        <v>0</v>
      </c>
      <c r="AV220" s="49">
        <f ca="1"/>
        <v>0</v>
      </c>
      <c r="AW220" s="49">
        <f ca="1"/>
        <v>0</v>
      </c>
      <c r="AX220" s="49">
        <f ca="1"/>
        <v>0</v>
      </c>
      <c r="AY220" s="49">
        <f ca="1"/>
        <v>0</v>
      </c>
      <c r="AZ220" s="49">
        <f ca="1"/>
        <v>0</v>
      </c>
      <c r="BA220" s="49">
        <f ca="1"/>
        <v>0</v>
      </c>
      <c r="BB220" s="49">
        <f ca="1"/>
        <v>0</v>
      </c>
      <c r="BC220" s="49">
        <f ca="1"/>
        <v>0</v>
      </c>
      <c r="BD220" s="49">
        <f ca="1"/>
        <v>0</v>
      </c>
      <c r="BE220" s="49">
        <f ca="1"/>
        <v>0</v>
      </c>
      <c r="BF220" s="49">
        <f ca="1"/>
        <v>0</v>
      </c>
      <c r="BG220" s="49">
        <f ca="1"/>
        <v>0</v>
      </c>
      <c r="BH220" s="49">
        <f ca="1"/>
        <v>0</v>
      </c>
      <c r="BI220" s="49">
        <f ca="1"/>
        <v>0</v>
      </c>
      <c r="BJ220" s="49">
        <f ca="1"/>
        <v>0</v>
      </c>
      <c r="BK220" s="49">
        <f ca="1"/>
        <v>0</v>
      </c>
      <c r="BL220" s="49">
        <f ca="1"/>
        <v>0</v>
      </c>
      <c r="BM220" s="49">
        <f ca="1"/>
        <v>0</v>
      </c>
      <c r="BN220" s="49">
        <f ca="1"/>
        <v>0</v>
      </c>
      <c r="BO220" s="49">
        <f ca="1"/>
        <v>0</v>
      </c>
      <c r="BP220" s="49">
        <f ca="1"/>
        <v>0</v>
      </c>
      <c r="BQ220" s="49">
        <f ca="1"/>
        <v>0</v>
      </c>
      <c r="BR220" s="49">
        <f ca="1"/>
        <v>0</v>
      </c>
      <c r="BS220" s="49">
        <f ca="1"/>
        <v>0</v>
      </c>
    </row>
    <row r="221" spans="3:71" outlineLevel="1" x14ac:dyDescent="0.2">
      <c r="D221" s="50" t="str">
        <f>HM_ZD_Moho!D240</f>
        <v>Coûts PID</v>
      </c>
      <c r="I221" s="30">
        <f t="shared" ref="I221:I226" ca="1" si="70">SUM($L221:$BS221)</f>
        <v>37.299597132909994</v>
      </c>
      <c r="J221" s="26" t="s">
        <v>148</v>
      </c>
      <c r="K221" s="7" t="s">
        <v>197</v>
      </c>
      <c r="L221" s="49" cm="1">
        <f t="array" aca="1" ref="L221:BS221" ca="1">HM_ZD_AM3_2005!CA_pid_fees</f>
        <v>19.121835466870003</v>
      </c>
      <c r="M221" s="49">
        <f ca="1"/>
        <v>18.177761666039995</v>
      </c>
      <c r="N221" s="49">
        <f ca="1"/>
        <v>0</v>
      </c>
      <c r="O221" s="49">
        <f ca="1"/>
        <v>0</v>
      </c>
      <c r="P221" s="49">
        <f ca="1"/>
        <v>0</v>
      </c>
      <c r="Q221" s="49">
        <f ca="1"/>
        <v>0</v>
      </c>
      <c r="R221" s="49">
        <f ca="1"/>
        <v>0</v>
      </c>
      <c r="S221" s="49">
        <f ca="1"/>
        <v>0</v>
      </c>
      <c r="T221" s="49">
        <f ca="1"/>
        <v>0</v>
      </c>
      <c r="U221" s="49">
        <f ca="1"/>
        <v>0</v>
      </c>
      <c r="V221" s="49">
        <f ca="1"/>
        <v>0</v>
      </c>
      <c r="W221" s="49">
        <f ca="1"/>
        <v>0</v>
      </c>
      <c r="X221" s="49">
        <f ca="1"/>
        <v>0</v>
      </c>
      <c r="Y221" s="49">
        <f ca="1"/>
        <v>0</v>
      </c>
      <c r="Z221" s="49">
        <f ca="1"/>
        <v>0</v>
      </c>
      <c r="AA221" s="49">
        <f ca="1"/>
        <v>0</v>
      </c>
      <c r="AB221" s="49">
        <f ca="1"/>
        <v>0</v>
      </c>
      <c r="AC221" s="49">
        <f ca="1"/>
        <v>0</v>
      </c>
      <c r="AD221" s="49">
        <f ca="1"/>
        <v>0</v>
      </c>
      <c r="AE221" s="49">
        <f ca="1"/>
        <v>0</v>
      </c>
      <c r="AF221" s="49">
        <f ca="1"/>
        <v>0</v>
      </c>
      <c r="AG221" s="49">
        <f ca="1"/>
        <v>0</v>
      </c>
      <c r="AH221" s="49">
        <f ca="1"/>
        <v>0</v>
      </c>
      <c r="AI221" s="49">
        <f ca="1"/>
        <v>0</v>
      </c>
      <c r="AJ221" s="49">
        <f ca="1"/>
        <v>0</v>
      </c>
      <c r="AK221" s="49">
        <f ca="1"/>
        <v>0</v>
      </c>
      <c r="AL221" s="49">
        <f ca="1"/>
        <v>0</v>
      </c>
      <c r="AM221" s="49">
        <f ca="1"/>
        <v>0</v>
      </c>
      <c r="AN221" s="49">
        <f ca="1"/>
        <v>0</v>
      </c>
      <c r="AO221" s="49">
        <f ca="1"/>
        <v>0</v>
      </c>
      <c r="AP221" s="49">
        <f ca="1"/>
        <v>0</v>
      </c>
      <c r="AQ221" s="49">
        <f ca="1"/>
        <v>0</v>
      </c>
      <c r="AR221" s="49">
        <f ca="1"/>
        <v>0</v>
      </c>
      <c r="AS221" s="49">
        <f ca="1"/>
        <v>0</v>
      </c>
      <c r="AT221" s="49">
        <f ca="1"/>
        <v>0</v>
      </c>
      <c r="AU221" s="49">
        <f ca="1"/>
        <v>0</v>
      </c>
      <c r="AV221" s="49">
        <f ca="1"/>
        <v>0</v>
      </c>
      <c r="AW221" s="49">
        <f ca="1"/>
        <v>0</v>
      </c>
      <c r="AX221" s="49">
        <f ca="1"/>
        <v>0</v>
      </c>
      <c r="AY221" s="49">
        <f ca="1"/>
        <v>0</v>
      </c>
      <c r="AZ221" s="49">
        <f ca="1"/>
        <v>0</v>
      </c>
      <c r="BA221" s="49">
        <f ca="1"/>
        <v>0</v>
      </c>
      <c r="BB221" s="49">
        <f ca="1"/>
        <v>0</v>
      </c>
      <c r="BC221" s="49">
        <f ca="1"/>
        <v>0</v>
      </c>
      <c r="BD221" s="49">
        <f ca="1"/>
        <v>0</v>
      </c>
      <c r="BE221" s="49">
        <f ca="1"/>
        <v>0</v>
      </c>
      <c r="BF221" s="49">
        <f ca="1"/>
        <v>0</v>
      </c>
      <c r="BG221" s="49">
        <f ca="1"/>
        <v>0</v>
      </c>
      <c r="BH221" s="49">
        <f ca="1"/>
        <v>0</v>
      </c>
      <c r="BI221" s="49">
        <f ca="1"/>
        <v>0</v>
      </c>
      <c r="BJ221" s="49">
        <f ca="1"/>
        <v>0</v>
      </c>
      <c r="BK221" s="49">
        <f ca="1"/>
        <v>0</v>
      </c>
      <c r="BL221" s="49">
        <f ca="1"/>
        <v>0</v>
      </c>
      <c r="BM221" s="49">
        <f ca="1"/>
        <v>0</v>
      </c>
      <c r="BN221" s="49">
        <f ca="1"/>
        <v>0</v>
      </c>
      <c r="BO221" s="49">
        <f ca="1"/>
        <v>0</v>
      </c>
      <c r="BP221" s="49">
        <f ca="1"/>
        <v>0</v>
      </c>
      <c r="BQ221" s="49">
        <f ca="1"/>
        <v>0</v>
      </c>
      <c r="BR221" s="49">
        <f ca="1"/>
        <v>0</v>
      </c>
      <c r="BS221" s="49">
        <f ca="1"/>
        <v>0</v>
      </c>
    </row>
    <row r="222" spans="3:71" outlineLevel="1" x14ac:dyDescent="0.2">
      <c r="D222" s="50" t="str">
        <f>HM_ZD_Moho!D241</f>
        <v>Investissement-Développement</v>
      </c>
      <c r="I222" s="30">
        <f t="shared" ca="1" si="70"/>
        <v>3404.9939999999997</v>
      </c>
      <c r="J222" s="26" t="s">
        <v>148</v>
      </c>
      <c r="K222" s="7" t="s">
        <v>198</v>
      </c>
      <c r="L222" s="49" cm="1">
        <f t="array" aca="1" ref="L222:BS222" ca="1">HM_ZD_AM3_2005!CA_devex_nom</f>
        <v>1286.7819999999999</v>
      </c>
      <c r="M222" s="49">
        <f ca="1"/>
        <v>2118.212</v>
      </c>
      <c r="N222" s="49">
        <f ca="1"/>
        <v>0</v>
      </c>
      <c r="O222" s="49">
        <f ca="1"/>
        <v>0</v>
      </c>
      <c r="P222" s="49">
        <f ca="1"/>
        <v>0</v>
      </c>
      <c r="Q222" s="49">
        <f ca="1"/>
        <v>0</v>
      </c>
      <c r="R222" s="49">
        <f ca="1"/>
        <v>0</v>
      </c>
      <c r="S222" s="49">
        <f ca="1"/>
        <v>0</v>
      </c>
      <c r="T222" s="49">
        <f ca="1"/>
        <v>0</v>
      </c>
      <c r="U222" s="49">
        <f ca="1"/>
        <v>0</v>
      </c>
      <c r="V222" s="49">
        <f ca="1"/>
        <v>0</v>
      </c>
      <c r="W222" s="49">
        <f ca="1"/>
        <v>0</v>
      </c>
      <c r="X222" s="49">
        <f ca="1"/>
        <v>0</v>
      </c>
      <c r="Y222" s="49">
        <f ca="1"/>
        <v>0</v>
      </c>
      <c r="Z222" s="49">
        <f ca="1"/>
        <v>0</v>
      </c>
      <c r="AA222" s="49">
        <f ca="1"/>
        <v>0</v>
      </c>
      <c r="AB222" s="49">
        <f ca="1"/>
        <v>0</v>
      </c>
      <c r="AC222" s="49">
        <f ca="1"/>
        <v>0</v>
      </c>
      <c r="AD222" s="49">
        <f ca="1"/>
        <v>0</v>
      </c>
      <c r="AE222" s="49">
        <f ca="1"/>
        <v>0</v>
      </c>
      <c r="AF222" s="49">
        <f ca="1"/>
        <v>0</v>
      </c>
      <c r="AG222" s="49">
        <f ca="1"/>
        <v>0</v>
      </c>
      <c r="AH222" s="49">
        <f ca="1"/>
        <v>0</v>
      </c>
      <c r="AI222" s="49">
        <f ca="1"/>
        <v>0</v>
      </c>
      <c r="AJ222" s="49">
        <f ca="1"/>
        <v>0</v>
      </c>
      <c r="AK222" s="49">
        <f ca="1"/>
        <v>0</v>
      </c>
      <c r="AL222" s="49">
        <f ca="1"/>
        <v>0</v>
      </c>
      <c r="AM222" s="49">
        <f ca="1"/>
        <v>0</v>
      </c>
      <c r="AN222" s="49">
        <f ca="1"/>
        <v>0</v>
      </c>
      <c r="AO222" s="49">
        <f ca="1"/>
        <v>0</v>
      </c>
      <c r="AP222" s="49">
        <f ca="1"/>
        <v>0</v>
      </c>
      <c r="AQ222" s="49">
        <f ca="1"/>
        <v>0</v>
      </c>
      <c r="AR222" s="49">
        <f ca="1"/>
        <v>0</v>
      </c>
      <c r="AS222" s="49">
        <f ca="1"/>
        <v>0</v>
      </c>
      <c r="AT222" s="49">
        <f ca="1"/>
        <v>0</v>
      </c>
      <c r="AU222" s="49">
        <f ca="1"/>
        <v>0</v>
      </c>
      <c r="AV222" s="49">
        <f ca="1"/>
        <v>0</v>
      </c>
      <c r="AW222" s="49">
        <f ca="1"/>
        <v>0</v>
      </c>
      <c r="AX222" s="49">
        <f ca="1"/>
        <v>0</v>
      </c>
      <c r="AY222" s="49">
        <f ca="1"/>
        <v>0</v>
      </c>
      <c r="AZ222" s="49">
        <f ca="1"/>
        <v>0</v>
      </c>
      <c r="BA222" s="49">
        <f ca="1"/>
        <v>0</v>
      </c>
      <c r="BB222" s="49">
        <f ca="1"/>
        <v>0</v>
      </c>
      <c r="BC222" s="49">
        <f ca="1"/>
        <v>0</v>
      </c>
      <c r="BD222" s="49">
        <f ca="1"/>
        <v>0</v>
      </c>
      <c r="BE222" s="49">
        <f ca="1"/>
        <v>0</v>
      </c>
      <c r="BF222" s="49">
        <f ca="1"/>
        <v>0</v>
      </c>
      <c r="BG222" s="49">
        <f ca="1"/>
        <v>0</v>
      </c>
      <c r="BH222" s="49">
        <f ca="1"/>
        <v>0</v>
      </c>
      <c r="BI222" s="49">
        <f ca="1"/>
        <v>0</v>
      </c>
      <c r="BJ222" s="49">
        <f ca="1"/>
        <v>0</v>
      </c>
      <c r="BK222" s="49">
        <f ca="1"/>
        <v>0</v>
      </c>
      <c r="BL222" s="49">
        <f ca="1"/>
        <v>0</v>
      </c>
      <c r="BM222" s="49">
        <f ca="1"/>
        <v>0</v>
      </c>
      <c r="BN222" s="49">
        <f ca="1"/>
        <v>0</v>
      </c>
      <c r="BO222" s="49">
        <f ca="1"/>
        <v>0</v>
      </c>
      <c r="BP222" s="49">
        <f ca="1"/>
        <v>0</v>
      </c>
      <c r="BQ222" s="49">
        <f ca="1"/>
        <v>0</v>
      </c>
      <c r="BR222" s="49">
        <f ca="1"/>
        <v>0</v>
      </c>
      <c r="BS222" s="49">
        <f ca="1"/>
        <v>0</v>
      </c>
    </row>
    <row r="223" spans="3:71" outlineLevel="1" x14ac:dyDescent="0.2">
      <c r="D223" s="50" t="str">
        <f>HM_ZD_Moho!D242</f>
        <v>Investissement -Dépenses d'exploration</v>
      </c>
      <c r="I223" s="30">
        <f t="shared" ca="1" si="70"/>
        <v>0</v>
      </c>
      <c r="J223" s="26" t="s">
        <v>148</v>
      </c>
      <c r="K223" s="7" t="s">
        <v>199</v>
      </c>
      <c r="L223" s="49" cm="1">
        <f t="array" aca="1" ref="L223:BS223" ca="1">HM_ZD_AM3_2005!CA_expex_nom*recov_EandA_toggle</f>
        <v>0</v>
      </c>
      <c r="M223" s="49">
        <f ca="1"/>
        <v>0</v>
      </c>
      <c r="N223" s="49">
        <f ca="1"/>
        <v>0</v>
      </c>
      <c r="O223" s="49">
        <f ca="1"/>
        <v>0</v>
      </c>
      <c r="P223" s="49">
        <f ca="1"/>
        <v>0</v>
      </c>
      <c r="Q223" s="49">
        <f ca="1"/>
        <v>0</v>
      </c>
      <c r="R223" s="49">
        <f ca="1"/>
        <v>0</v>
      </c>
      <c r="S223" s="49">
        <f ca="1"/>
        <v>0</v>
      </c>
      <c r="T223" s="49">
        <f ca="1"/>
        <v>0</v>
      </c>
      <c r="U223" s="49">
        <f ca="1"/>
        <v>0</v>
      </c>
      <c r="V223" s="49">
        <f ca="1"/>
        <v>0</v>
      </c>
      <c r="W223" s="49">
        <f ca="1"/>
        <v>0</v>
      </c>
      <c r="X223" s="49">
        <f ca="1"/>
        <v>0</v>
      </c>
      <c r="Y223" s="49">
        <f ca="1"/>
        <v>0</v>
      </c>
      <c r="Z223" s="49">
        <f ca="1"/>
        <v>0</v>
      </c>
      <c r="AA223" s="49">
        <f ca="1"/>
        <v>0</v>
      </c>
      <c r="AB223" s="49">
        <f ca="1"/>
        <v>0</v>
      </c>
      <c r="AC223" s="49">
        <f ca="1"/>
        <v>0</v>
      </c>
      <c r="AD223" s="49">
        <f ca="1"/>
        <v>0</v>
      </c>
      <c r="AE223" s="49">
        <f ca="1"/>
        <v>0</v>
      </c>
      <c r="AF223" s="49">
        <f ca="1"/>
        <v>0</v>
      </c>
      <c r="AG223" s="49">
        <f ca="1"/>
        <v>0</v>
      </c>
      <c r="AH223" s="49">
        <f ca="1"/>
        <v>0</v>
      </c>
      <c r="AI223" s="49">
        <f ca="1"/>
        <v>0</v>
      </c>
      <c r="AJ223" s="49">
        <f ca="1"/>
        <v>0</v>
      </c>
      <c r="AK223" s="49">
        <f ca="1"/>
        <v>0</v>
      </c>
      <c r="AL223" s="49">
        <f ca="1"/>
        <v>0</v>
      </c>
      <c r="AM223" s="49">
        <f ca="1"/>
        <v>0</v>
      </c>
      <c r="AN223" s="49">
        <f ca="1"/>
        <v>0</v>
      </c>
      <c r="AO223" s="49">
        <f ca="1"/>
        <v>0</v>
      </c>
      <c r="AP223" s="49">
        <f ca="1"/>
        <v>0</v>
      </c>
      <c r="AQ223" s="49">
        <f ca="1"/>
        <v>0</v>
      </c>
      <c r="AR223" s="49">
        <f ca="1"/>
        <v>0</v>
      </c>
      <c r="AS223" s="49">
        <f ca="1"/>
        <v>0</v>
      </c>
      <c r="AT223" s="49">
        <f ca="1"/>
        <v>0</v>
      </c>
      <c r="AU223" s="49">
        <f ca="1"/>
        <v>0</v>
      </c>
      <c r="AV223" s="49">
        <f ca="1"/>
        <v>0</v>
      </c>
      <c r="AW223" s="49">
        <f ca="1"/>
        <v>0</v>
      </c>
      <c r="AX223" s="49">
        <f ca="1"/>
        <v>0</v>
      </c>
      <c r="AY223" s="49">
        <f ca="1"/>
        <v>0</v>
      </c>
      <c r="AZ223" s="49">
        <f ca="1"/>
        <v>0</v>
      </c>
      <c r="BA223" s="49">
        <f ca="1"/>
        <v>0</v>
      </c>
      <c r="BB223" s="49">
        <f ca="1"/>
        <v>0</v>
      </c>
      <c r="BC223" s="49">
        <f ca="1"/>
        <v>0</v>
      </c>
      <c r="BD223" s="49">
        <f ca="1"/>
        <v>0</v>
      </c>
      <c r="BE223" s="49">
        <f ca="1"/>
        <v>0</v>
      </c>
      <c r="BF223" s="49">
        <f ca="1"/>
        <v>0</v>
      </c>
      <c r="BG223" s="49">
        <f ca="1"/>
        <v>0</v>
      </c>
      <c r="BH223" s="49">
        <f ca="1"/>
        <v>0</v>
      </c>
      <c r="BI223" s="49">
        <f ca="1"/>
        <v>0</v>
      </c>
      <c r="BJ223" s="49">
        <f ca="1"/>
        <v>0</v>
      </c>
      <c r="BK223" s="49">
        <f ca="1"/>
        <v>0</v>
      </c>
      <c r="BL223" s="49">
        <f ca="1"/>
        <v>0</v>
      </c>
      <c r="BM223" s="49">
        <f ca="1"/>
        <v>0</v>
      </c>
      <c r="BN223" s="49">
        <f ca="1"/>
        <v>0</v>
      </c>
      <c r="BO223" s="49">
        <f ca="1"/>
        <v>0</v>
      </c>
      <c r="BP223" s="49">
        <f ca="1"/>
        <v>0</v>
      </c>
      <c r="BQ223" s="49">
        <f ca="1"/>
        <v>0</v>
      </c>
      <c r="BR223" s="49">
        <f ca="1"/>
        <v>0</v>
      </c>
      <c r="BS223" s="49">
        <f ca="1"/>
        <v>0</v>
      </c>
    </row>
    <row r="224" spans="3:71" outlineLevel="1" x14ac:dyDescent="0.2">
      <c r="D224" s="50" t="str">
        <f>HM_ZD_Moho!D243</f>
        <v>Coûts d'abandon</v>
      </c>
      <c r="I224" s="30">
        <f t="shared" ca="1" si="70"/>
        <v>0</v>
      </c>
      <c r="J224" s="26" t="s">
        <v>148</v>
      </c>
      <c r="K224" s="7" t="s">
        <v>679</v>
      </c>
      <c r="L224" s="49">
        <f ca="1">HM_ZD_AM3_2005!CA_decom_nom</f>
        <v>0</v>
      </c>
      <c r="M224" s="49">
        <f ca="1">HM_ZD_AM3_2005!CA_decom_nom</f>
        <v>0</v>
      </c>
      <c r="N224" s="49">
        <f>HM_ZD_AM3_2005!CA_decom_nom</f>
        <v>0</v>
      </c>
      <c r="O224" s="49">
        <f>HM_ZD_AM3_2005!CA_decom_nom</f>
        <v>0</v>
      </c>
      <c r="P224" s="49">
        <f>HM_ZD_AM3_2005!CA_decom_nom</f>
        <v>0</v>
      </c>
      <c r="Q224" s="49">
        <f>HM_ZD_AM3_2005!CA_decom_nom</f>
        <v>0</v>
      </c>
      <c r="R224" s="49">
        <f>HM_ZD_AM3_2005!CA_decom_nom</f>
        <v>0</v>
      </c>
      <c r="S224" s="49">
        <f>HM_ZD_AM3_2005!CA_decom_nom</f>
        <v>0</v>
      </c>
      <c r="T224" s="49">
        <f>HM_ZD_AM3_2005!CA_decom_nom</f>
        <v>0</v>
      </c>
      <c r="U224" s="49">
        <f>HM_ZD_AM3_2005!CA_decom_nom</f>
        <v>0</v>
      </c>
      <c r="V224" s="49">
        <f>HM_ZD_AM3_2005!CA_decom_nom</f>
        <v>0</v>
      </c>
      <c r="W224" s="49">
        <f>HM_ZD_AM3_2005!CA_decom_nom</f>
        <v>0</v>
      </c>
      <c r="X224" s="49">
        <f>HM_ZD_AM3_2005!CA_decom_nom</f>
        <v>0</v>
      </c>
      <c r="Y224" s="49">
        <f>HM_ZD_AM3_2005!CA_decom_nom</f>
        <v>0</v>
      </c>
      <c r="Z224" s="49">
        <f>HM_ZD_AM3_2005!CA_decom_nom</f>
        <v>0</v>
      </c>
      <c r="AA224" s="49">
        <f>HM_ZD_AM3_2005!CA_decom_nom</f>
        <v>0</v>
      </c>
      <c r="AB224" s="49">
        <f>HM_ZD_AM3_2005!CA_decom_nom</f>
        <v>0</v>
      </c>
      <c r="AC224" s="49">
        <f>HM_ZD_AM3_2005!CA_decom_nom</f>
        <v>0</v>
      </c>
      <c r="AD224" s="49">
        <f>HM_ZD_AM3_2005!CA_decom_nom</f>
        <v>0</v>
      </c>
      <c r="AE224" s="49">
        <f>HM_ZD_AM3_2005!CA_decom_nom</f>
        <v>0</v>
      </c>
      <c r="AF224" s="49">
        <f>HM_ZD_AM3_2005!CA_decom_nom</f>
        <v>0</v>
      </c>
      <c r="AG224" s="49">
        <f>HM_ZD_AM3_2005!CA_decom_nom</f>
        <v>0</v>
      </c>
      <c r="AH224" s="49">
        <f>HM_ZD_AM3_2005!CA_decom_nom</f>
        <v>0</v>
      </c>
      <c r="AI224" s="49">
        <f>HM_ZD_AM3_2005!CA_decom_nom</f>
        <v>0</v>
      </c>
      <c r="AJ224" s="49">
        <f>HM_ZD_AM3_2005!CA_decom_nom</f>
        <v>0</v>
      </c>
      <c r="AK224" s="49">
        <f>HM_ZD_AM3_2005!CA_decom_nom</f>
        <v>0</v>
      </c>
      <c r="AL224" s="49">
        <f>HM_ZD_AM3_2005!CA_decom_nom</f>
        <v>0</v>
      </c>
      <c r="AM224" s="49">
        <f>HM_ZD_AM3_2005!CA_decom_nom</f>
        <v>0</v>
      </c>
      <c r="AN224" s="49">
        <f>HM_ZD_AM3_2005!CA_decom_nom</f>
        <v>0</v>
      </c>
      <c r="AO224" s="49">
        <f>HM_ZD_AM3_2005!CA_decom_nom</f>
        <v>0</v>
      </c>
      <c r="AP224" s="49">
        <f>HM_ZD_AM3_2005!CA_decom_nom</f>
        <v>0</v>
      </c>
      <c r="AQ224" s="49">
        <f>HM_ZD_AM3_2005!CA_decom_nom</f>
        <v>0</v>
      </c>
      <c r="AR224" s="49">
        <f>HM_ZD_AM3_2005!CA_decom_nom</f>
        <v>0</v>
      </c>
      <c r="AS224" s="49">
        <f>HM_ZD_AM3_2005!CA_decom_nom</f>
        <v>0</v>
      </c>
      <c r="AT224" s="49">
        <f>HM_ZD_AM3_2005!CA_decom_nom</f>
        <v>0</v>
      </c>
      <c r="AU224" s="49">
        <f>HM_ZD_AM3_2005!CA_decom_nom</f>
        <v>0</v>
      </c>
      <c r="AV224" s="49">
        <f>HM_ZD_AM3_2005!CA_decom_nom</f>
        <v>0</v>
      </c>
      <c r="AW224" s="49">
        <f>HM_ZD_AM3_2005!CA_decom_nom</f>
        <v>0</v>
      </c>
      <c r="AX224" s="49">
        <f>HM_ZD_AM3_2005!CA_decom_nom</f>
        <v>0</v>
      </c>
      <c r="AY224" s="49">
        <f>HM_ZD_AM3_2005!CA_decom_nom</f>
        <v>0</v>
      </c>
      <c r="AZ224" s="49">
        <f>HM_ZD_AM3_2005!CA_decom_nom</f>
        <v>0</v>
      </c>
      <c r="BA224" s="49">
        <f>HM_ZD_AM3_2005!CA_decom_nom</f>
        <v>0</v>
      </c>
      <c r="BB224" s="49">
        <f>HM_ZD_AM3_2005!CA_decom_nom</f>
        <v>0</v>
      </c>
      <c r="BC224" s="49">
        <f>HM_ZD_AM3_2005!CA_decom_nom</f>
        <v>0</v>
      </c>
      <c r="BD224" s="49">
        <f>HM_ZD_AM3_2005!CA_decom_nom</f>
        <v>0</v>
      </c>
      <c r="BE224" s="49">
        <f>HM_ZD_AM3_2005!CA_decom_nom</f>
        <v>0</v>
      </c>
      <c r="BF224" s="49">
        <f>HM_ZD_AM3_2005!CA_decom_nom</f>
        <v>0</v>
      </c>
      <c r="BG224" s="49">
        <f>HM_ZD_AM3_2005!CA_decom_nom</f>
        <v>0</v>
      </c>
      <c r="BH224" s="49">
        <f>HM_ZD_AM3_2005!CA_decom_nom</f>
        <v>0</v>
      </c>
      <c r="BI224" s="49">
        <f>HM_ZD_AM3_2005!CA_decom_nom</f>
        <v>0</v>
      </c>
      <c r="BJ224" s="49">
        <f>HM_ZD_AM3_2005!CA_decom_nom</f>
        <v>0</v>
      </c>
      <c r="BK224" s="49">
        <f>HM_ZD_AM3_2005!CA_decom_nom</f>
        <v>0</v>
      </c>
      <c r="BL224" s="49">
        <f>HM_ZD_AM3_2005!CA_decom_nom</f>
        <v>0</v>
      </c>
      <c r="BM224" s="49">
        <f>HM_ZD_AM3_2005!CA_decom_nom</f>
        <v>0</v>
      </c>
      <c r="BN224" s="49">
        <f>HM_ZD_AM3_2005!CA_decom_nom</f>
        <v>0</v>
      </c>
      <c r="BO224" s="49">
        <f>HM_ZD_AM3_2005!CA_decom_nom</f>
        <v>0</v>
      </c>
      <c r="BP224" s="49">
        <f>HM_ZD_AM3_2005!CA_decom_nom</f>
        <v>0</v>
      </c>
      <c r="BQ224" s="49">
        <f>HM_ZD_AM3_2005!CA_decom_nom</f>
        <v>0</v>
      </c>
      <c r="BR224" s="49">
        <f>HM_ZD_AM3_2005!CA_decom_nom</f>
        <v>0</v>
      </c>
      <c r="BS224" s="49">
        <f>HM_ZD_AM3_2005!CA_decom_nom</f>
        <v>0</v>
      </c>
    </row>
    <row r="225" spans="4:71" outlineLevel="1" x14ac:dyDescent="0.2">
      <c r="D225" s="50" t="str">
        <f>HM_ZD_Moho!D244</f>
        <v>Solde des coûts non récupérés</v>
      </c>
      <c r="I225" s="30">
        <f t="shared" ca="1" si="70"/>
        <v>3428.5025865500002</v>
      </c>
      <c r="J225" s="26" t="s">
        <v>148</v>
      </c>
      <c r="K225" s="7" t="s">
        <v>676</v>
      </c>
      <c r="L225" s="49">
        <f ca="1">OFFSET(_xlfn.SINGLE(IA_unrec_cost_bal_real),4,)</f>
        <v>3428.5025865500002</v>
      </c>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c r="AL225" s="49"/>
      <c r="AM225" s="49"/>
      <c r="AN225" s="49"/>
      <c r="AO225" s="49"/>
      <c r="AP225" s="49"/>
      <c r="AQ225" s="49"/>
      <c r="AR225" s="49"/>
      <c r="AS225" s="49"/>
      <c r="AT225" s="49"/>
      <c r="AU225" s="49"/>
      <c r="AV225" s="49"/>
      <c r="AW225" s="49"/>
      <c r="AX225" s="49"/>
      <c r="AY225" s="49"/>
      <c r="AZ225" s="49"/>
      <c r="BA225" s="49"/>
      <c r="BB225" s="49"/>
      <c r="BC225" s="49"/>
      <c r="BD225" s="49"/>
      <c r="BE225" s="49"/>
      <c r="BF225" s="49"/>
      <c r="BG225" s="49"/>
      <c r="BH225" s="49"/>
      <c r="BI225" s="49"/>
      <c r="BJ225" s="49"/>
      <c r="BK225" s="49"/>
      <c r="BL225" s="49"/>
      <c r="BM225" s="49"/>
      <c r="BN225" s="49"/>
      <c r="BO225" s="49"/>
      <c r="BP225" s="49"/>
      <c r="BQ225" s="49"/>
      <c r="BR225" s="49"/>
      <c r="BS225" s="49"/>
    </row>
    <row r="226" spans="4:71" outlineLevel="1" x14ac:dyDescent="0.2">
      <c r="D226" s="51" t="str">
        <f>HM_ZD_Moho!D245</f>
        <v>Total des coûts récupérables</v>
      </c>
      <c r="I226" s="30">
        <f t="shared" ca="1" si="70"/>
        <v>7263.4861836829095</v>
      </c>
      <c r="J226" s="26" t="s">
        <v>148</v>
      </c>
      <c r="L226" s="49">
        <f ca="1">SUM(L220:L225)</f>
        <v>4907.0774220168696</v>
      </c>
      <c r="M226" s="49">
        <f t="shared" ref="M226:BS226" ca="1" si="71">SUM(M220:M225)</f>
        <v>2356.4087616660399</v>
      </c>
      <c r="N226" s="49">
        <f t="shared" ca="1" si="71"/>
        <v>0</v>
      </c>
      <c r="O226" s="49">
        <f t="shared" ca="1" si="71"/>
        <v>0</v>
      </c>
      <c r="P226" s="49">
        <f t="shared" ca="1" si="71"/>
        <v>0</v>
      </c>
      <c r="Q226" s="49">
        <f t="shared" ca="1" si="71"/>
        <v>0</v>
      </c>
      <c r="R226" s="49">
        <f t="shared" ca="1" si="71"/>
        <v>0</v>
      </c>
      <c r="S226" s="49">
        <f t="shared" ca="1" si="71"/>
        <v>0</v>
      </c>
      <c r="T226" s="49">
        <f t="shared" ca="1" si="71"/>
        <v>0</v>
      </c>
      <c r="U226" s="49">
        <f t="shared" ca="1" si="71"/>
        <v>0</v>
      </c>
      <c r="V226" s="49">
        <f t="shared" ca="1" si="71"/>
        <v>0</v>
      </c>
      <c r="W226" s="49">
        <f t="shared" ca="1" si="71"/>
        <v>0</v>
      </c>
      <c r="X226" s="49">
        <f t="shared" ca="1" si="71"/>
        <v>0</v>
      </c>
      <c r="Y226" s="49">
        <f t="shared" ca="1" si="71"/>
        <v>0</v>
      </c>
      <c r="Z226" s="49">
        <f t="shared" ca="1" si="71"/>
        <v>0</v>
      </c>
      <c r="AA226" s="49">
        <f t="shared" ca="1" si="71"/>
        <v>0</v>
      </c>
      <c r="AB226" s="49">
        <f t="shared" ca="1" si="71"/>
        <v>0</v>
      </c>
      <c r="AC226" s="49">
        <f t="shared" ca="1" si="71"/>
        <v>0</v>
      </c>
      <c r="AD226" s="49">
        <f t="shared" ca="1" si="71"/>
        <v>0</v>
      </c>
      <c r="AE226" s="49">
        <f t="shared" ca="1" si="71"/>
        <v>0</v>
      </c>
      <c r="AF226" s="49">
        <f t="shared" ca="1" si="71"/>
        <v>0</v>
      </c>
      <c r="AG226" s="49">
        <f t="shared" ca="1" si="71"/>
        <v>0</v>
      </c>
      <c r="AH226" s="49">
        <f t="shared" ca="1" si="71"/>
        <v>0</v>
      </c>
      <c r="AI226" s="49">
        <f t="shared" ca="1" si="71"/>
        <v>0</v>
      </c>
      <c r="AJ226" s="49">
        <f t="shared" ca="1" si="71"/>
        <v>0</v>
      </c>
      <c r="AK226" s="49">
        <f t="shared" ca="1" si="71"/>
        <v>0</v>
      </c>
      <c r="AL226" s="49">
        <f t="shared" ca="1" si="71"/>
        <v>0</v>
      </c>
      <c r="AM226" s="49">
        <f t="shared" ca="1" si="71"/>
        <v>0</v>
      </c>
      <c r="AN226" s="49">
        <f t="shared" ca="1" si="71"/>
        <v>0</v>
      </c>
      <c r="AO226" s="49">
        <f t="shared" ca="1" si="71"/>
        <v>0</v>
      </c>
      <c r="AP226" s="49">
        <f t="shared" ca="1" si="71"/>
        <v>0</v>
      </c>
      <c r="AQ226" s="49">
        <f t="shared" ca="1" si="71"/>
        <v>0</v>
      </c>
      <c r="AR226" s="49">
        <f t="shared" ca="1" si="71"/>
        <v>0</v>
      </c>
      <c r="AS226" s="49">
        <f t="shared" ca="1" si="71"/>
        <v>0</v>
      </c>
      <c r="AT226" s="49">
        <f t="shared" ca="1" si="71"/>
        <v>0</v>
      </c>
      <c r="AU226" s="49">
        <f t="shared" ca="1" si="71"/>
        <v>0</v>
      </c>
      <c r="AV226" s="49">
        <f t="shared" ca="1" si="71"/>
        <v>0</v>
      </c>
      <c r="AW226" s="49">
        <f t="shared" ca="1" si="71"/>
        <v>0</v>
      </c>
      <c r="AX226" s="49">
        <f t="shared" ca="1" si="71"/>
        <v>0</v>
      </c>
      <c r="AY226" s="49">
        <f t="shared" ca="1" si="71"/>
        <v>0</v>
      </c>
      <c r="AZ226" s="49">
        <f t="shared" ca="1" si="71"/>
        <v>0</v>
      </c>
      <c r="BA226" s="49">
        <f t="shared" ca="1" si="71"/>
        <v>0</v>
      </c>
      <c r="BB226" s="49">
        <f t="shared" ca="1" si="71"/>
        <v>0</v>
      </c>
      <c r="BC226" s="49">
        <f t="shared" ca="1" si="71"/>
        <v>0</v>
      </c>
      <c r="BD226" s="49">
        <f t="shared" ca="1" si="71"/>
        <v>0</v>
      </c>
      <c r="BE226" s="49">
        <f t="shared" ca="1" si="71"/>
        <v>0</v>
      </c>
      <c r="BF226" s="49">
        <f t="shared" ca="1" si="71"/>
        <v>0</v>
      </c>
      <c r="BG226" s="49">
        <f t="shared" ca="1" si="71"/>
        <v>0</v>
      </c>
      <c r="BH226" s="49">
        <f t="shared" ca="1" si="71"/>
        <v>0</v>
      </c>
      <c r="BI226" s="49">
        <f t="shared" ca="1" si="71"/>
        <v>0</v>
      </c>
      <c r="BJ226" s="49">
        <f t="shared" ca="1" si="71"/>
        <v>0</v>
      </c>
      <c r="BK226" s="49">
        <f t="shared" ca="1" si="71"/>
        <v>0</v>
      </c>
      <c r="BL226" s="49">
        <f t="shared" ca="1" si="71"/>
        <v>0</v>
      </c>
      <c r="BM226" s="49">
        <f t="shared" ca="1" si="71"/>
        <v>0</v>
      </c>
      <c r="BN226" s="49">
        <f t="shared" ca="1" si="71"/>
        <v>0</v>
      </c>
      <c r="BO226" s="49">
        <f t="shared" ca="1" si="71"/>
        <v>0</v>
      </c>
      <c r="BP226" s="49">
        <f t="shared" ca="1" si="71"/>
        <v>0</v>
      </c>
      <c r="BQ226" s="49">
        <f t="shared" ca="1" si="71"/>
        <v>0</v>
      </c>
      <c r="BR226" s="49">
        <f t="shared" ca="1" si="71"/>
        <v>0</v>
      </c>
      <c r="BS226" s="49">
        <f t="shared" ca="1" si="71"/>
        <v>0</v>
      </c>
    </row>
    <row r="227" spans="4:71" outlineLevel="1" x14ac:dyDescent="0.2">
      <c r="J227" s="26"/>
      <c r="L227" s="55"/>
      <c r="M227" s="55"/>
      <c r="N227" s="55"/>
      <c r="O227" s="55"/>
      <c r="P227" s="55"/>
      <c r="Q227" s="55"/>
      <c r="R227" s="55"/>
      <c r="S227" s="55"/>
      <c r="T227" s="55"/>
      <c r="U227" s="55"/>
      <c r="V227" s="55"/>
      <c r="W227" s="55"/>
      <c r="X227" s="55"/>
      <c r="Y227" s="55"/>
      <c r="Z227" s="55"/>
      <c r="AA227" s="55"/>
      <c r="AB227" s="55"/>
      <c r="AC227" s="55"/>
      <c r="AD227" s="55"/>
      <c r="AE227" s="55"/>
      <c r="AF227" s="55"/>
      <c r="AG227" s="55"/>
      <c r="AH227" s="55"/>
      <c r="AI227" s="55"/>
      <c r="AJ227" s="55"/>
      <c r="AK227" s="55"/>
      <c r="AL227" s="55"/>
      <c r="AM227" s="55"/>
      <c r="AN227" s="55"/>
      <c r="AO227" s="55"/>
      <c r="AP227" s="55"/>
      <c r="AQ227" s="55"/>
      <c r="AR227" s="55"/>
      <c r="AS227" s="55"/>
      <c r="AT227" s="55"/>
      <c r="AU227" s="55"/>
      <c r="AV227" s="55"/>
      <c r="AW227" s="55"/>
      <c r="AX227" s="55"/>
      <c r="AY227" s="55"/>
      <c r="AZ227" s="55"/>
      <c r="BA227" s="55"/>
      <c r="BB227" s="55"/>
      <c r="BC227" s="55"/>
      <c r="BD227" s="55"/>
      <c r="BE227" s="55"/>
      <c r="BF227" s="55"/>
      <c r="BG227" s="55"/>
      <c r="BH227" s="55"/>
      <c r="BI227" s="55"/>
      <c r="BJ227" s="55"/>
      <c r="BK227" s="55"/>
      <c r="BL227" s="55"/>
      <c r="BM227" s="55"/>
      <c r="BN227" s="55"/>
      <c r="BO227" s="55"/>
      <c r="BP227" s="55"/>
      <c r="BQ227" s="55"/>
      <c r="BR227" s="55"/>
      <c r="BS227" s="55"/>
    </row>
    <row r="228" spans="4:71" outlineLevel="1" x14ac:dyDescent="0.2">
      <c r="D228" s="35" t="str">
        <f>HM_ZD_Moho!D251</f>
        <v>Limite Cost stop</v>
      </c>
      <c r="J228" s="26" t="s">
        <v>90</v>
      </c>
      <c r="L228" s="49">
        <f ca="1">INDEX(FA_CS_rate,MATCH(HM_ZD_AM3_2005!CA_cum_gross_sales_Total,FA_CS_cumprod_oil,1))*(HM_ZD_AM3_2005!CA_op_trig)</f>
        <v>0.6</v>
      </c>
      <c r="M228" s="49">
        <f ca="1">INDEX(FA_CS_rate,MATCH(HM_ZD_AM3_2005!CA_cum_gross_sales_Total,FA_CS_cumprod_oil,1))*(HM_ZD_AM3_2005!CA_op_trig)</f>
        <v>0.6</v>
      </c>
      <c r="N228" s="49">
        <f ca="1">INDEX(FA_CS_rate,MATCH(HM_ZD_AM3_2005!CA_cum_gross_sales_Total,FA_CS_cumprod_oil,1))*(HM_ZD_AM3_2005!CA_op_trig)</f>
        <v>0</v>
      </c>
      <c r="O228" s="49">
        <f ca="1">INDEX(FA_CS_rate,MATCH(HM_ZD_AM3_2005!CA_cum_gross_sales_Total,FA_CS_cumprod_oil,1))*(HM_ZD_AM3_2005!CA_op_trig)</f>
        <v>0</v>
      </c>
      <c r="P228" s="49">
        <f ca="1">INDEX(FA_CS_rate,MATCH(HM_ZD_AM3_2005!CA_cum_gross_sales_Total,FA_CS_cumprod_oil,1))*(HM_ZD_AM3_2005!CA_op_trig)</f>
        <v>0</v>
      </c>
      <c r="Q228" s="49">
        <f ca="1">INDEX(FA_CS_rate,MATCH(HM_ZD_AM3_2005!CA_cum_gross_sales_Total,FA_CS_cumprod_oil,1))*(HM_ZD_AM3_2005!CA_op_trig)</f>
        <v>0</v>
      </c>
      <c r="R228" s="49">
        <f ca="1">INDEX(FA_CS_rate,MATCH(HM_ZD_AM3_2005!CA_cum_gross_sales_Total,FA_CS_cumprod_oil,1))*(HM_ZD_AM3_2005!CA_op_trig)</f>
        <v>0</v>
      </c>
      <c r="S228" s="49">
        <f ca="1">INDEX(FA_CS_rate,MATCH(HM_ZD_AM3_2005!CA_cum_gross_sales_Total,FA_CS_cumprod_oil,1))*(HM_ZD_AM3_2005!CA_op_trig)</f>
        <v>0</v>
      </c>
      <c r="T228" s="49">
        <f ca="1">INDEX(FA_CS_rate,MATCH(HM_ZD_AM3_2005!CA_cum_gross_sales_Total,FA_CS_cumprod_oil,1))*(HM_ZD_AM3_2005!CA_op_trig)</f>
        <v>0</v>
      </c>
      <c r="U228" s="49">
        <f ca="1">INDEX(FA_CS_rate,MATCH(HM_ZD_AM3_2005!CA_cum_gross_sales_Total,FA_CS_cumprod_oil,1))*(HM_ZD_AM3_2005!CA_op_trig)</f>
        <v>0</v>
      </c>
      <c r="V228" s="49">
        <f ca="1">INDEX(FA_CS_rate,MATCH(HM_ZD_AM3_2005!CA_cum_gross_sales_Total,FA_CS_cumprod_oil,1))*(HM_ZD_AM3_2005!CA_op_trig)</f>
        <v>0</v>
      </c>
      <c r="W228" s="49">
        <f ca="1">INDEX(FA_CS_rate,MATCH(HM_ZD_AM3_2005!CA_cum_gross_sales_Total,FA_CS_cumprod_oil,1))*(HM_ZD_AM3_2005!CA_op_trig)</f>
        <v>0</v>
      </c>
      <c r="X228" s="49">
        <f ca="1">INDEX(FA_CS_rate,MATCH(HM_ZD_AM3_2005!CA_cum_gross_sales_Total,FA_CS_cumprod_oil,1))*(HM_ZD_AM3_2005!CA_op_trig)</f>
        <v>0</v>
      </c>
      <c r="Y228" s="49">
        <f ca="1">INDEX(FA_CS_rate,MATCH(HM_ZD_AM3_2005!CA_cum_gross_sales_Total,FA_CS_cumprod_oil,1))*(HM_ZD_AM3_2005!CA_op_trig)</f>
        <v>0</v>
      </c>
      <c r="Z228" s="49">
        <f ca="1">INDEX(FA_CS_rate,MATCH(HM_ZD_AM3_2005!CA_cum_gross_sales_Total,FA_CS_cumprod_oil,1))*(HM_ZD_AM3_2005!CA_op_trig)</f>
        <v>0</v>
      </c>
      <c r="AA228" s="49">
        <f ca="1">INDEX(FA_CS_rate,MATCH(HM_ZD_AM3_2005!CA_cum_gross_sales_Total,FA_CS_cumprod_oil,1))*(HM_ZD_AM3_2005!CA_op_trig)</f>
        <v>0</v>
      </c>
      <c r="AB228" s="49">
        <f ca="1">INDEX(FA_CS_rate,MATCH(HM_ZD_AM3_2005!CA_cum_gross_sales_Total,FA_CS_cumprod_oil,1))*(HM_ZD_AM3_2005!CA_op_trig)</f>
        <v>0</v>
      </c>
      <c r="AC228" s="49">
        <f ca="1">INDEX(FA_CS_rate,MATCH(HM_ZD_AM3_2005!CA_cum_gross_sales_Total,FA_CS_cumprod_oil,1))*(HM_ZD_AM3_2005!CA_op_trig)</f>
        <v>0</v>
      </c>
      <c r="AD228" s="49">
        <f ca="1">INDEX(FA_CS_rate,MATCH(HM_ZD_AM3_2005!CA_cum_gross_sales_Total,FA_CS_cumprod_oil,1))*(HM_ZD_AM3_2005!CA_op_trig)</f>
        <v>0</v>
      </c>
      <c r="AE228" s="49">
        <f ca="1">INDEX(FA_CS_rate,MATCH(HM_ZD_AM3_2005!CA_cum_gross_sales_Total,FA_CS_cumprod_oil,1))*(HM_ZD_AM3_2005!CA_op_trig)</f>
        <v>0</v>
      </c>
      <c r="AF228" s="49">
        <f ca="1">INDEX(FA_CS_rate,MATCH(HM_ZD_AM3_2005!CA_cum_gross_sales_Total,FA_CS_cumprod_oil,1))*(HM_ZD_AM3_2005!CA_op_trig)</f>
        <v>0</v>
      </c>
      <c r="AG228" s="49">
        <f ca="1">INDEX(FA_CS_rate,MATCH(HM_ZD_AM3_2005!CA_cum_gross_sales_Total,FA_CS_cumprod_oil,1))*(HM_ZD_AM3_2005!CA_op_trig)</f>
        <v>0</v>
      </c>
      <c r="AH228" s="49">
        <f ca="1">INDEX(FA_CS_rate,MATCH(HM_ZD_AM3_2005!CA_cum_gross_sales_Total,FA_CS_cumprod_oil,1))*(HM_ZD_AM3_2005!CA_op_trig)</f>
        <v>0</v>
      </c>
      <c r="AI228" s="49">
        <f ca="1">INDEX(FA_CS_rate,MATCH(HM_ZD_AM3_2005!CA_cum_gross_sales_Total,FA_CS_cumprod_oil,1))*(HM_ZD_AM3_2005!CA_op_trig)</f>
        <v>0</v>
      </c>
      <c r="AJ228" s="49">
        <f ca="1">INDEX(FA_CS_rate,MATCH(HM_ZD_AM3_2005!CA_cum_gross_sales_Total,FA_CS_cumprod_oil,1))*(HM_ZD_AM3_2005!CA_op_trig)</f>
        <v>0</v>
      </c>
      <c r="AK228" s="49">
        <f ca="1">INDEX(FA_CS_rate,MATCH(HM_ZD_AM3_2005!CA_cum_gross_sales_Total,FA_CS_cumprod_oil,1))*(HM_ZD_AM3_2005!CA_op_trig)</f>
        <v>0</v>
      </c>
      <c r="AL228" s="49">
        <f ca="1">INDEX(FA_CS_rate,MATCH(HM_ZD_AM3_2005!CA_cum_gross_sales_Total,FA_CS_cumprod_oil,1))*(HM_ZD_AM3_2005!CA_op_trig)</f>
        <v>0</v>
      </c>
      <c r="AM228" s="49">
        <f ca="1">INDEX(FA_CS_rate,MATCH(HM_ZD_AM3_2005!CA_cum_gross_sales_Total,FA_CS_cumprod_oil,1))*(HM_ZD_AM3_2005!CA_op_trig)</f>
        <v>0</v>
      </c>
      <c r="AN228" s="49">
        <f ca="1">INDEX(FA_CS_rate,MATCH(HM_ZD_AM3_2005!CA_cum_gross_sales_Total,FA_CS_cumprod_oil,1))*(HM_ZD_AM3_2005!CA_op_trig)</f>
        <v>0</v>
      </c>
      <c r="AO228" s="49">
        <f ca="1">INDEX(FA_CS_rate,MATCH(HM_ZD_AM3_2005!CA_cum_gross_sales_Total,FA_CS_cumprod_oil,1))*(HM_ZD_AM3_2005!CA_op_trig)</f>
        <v>0</v>
      </c>
      <c r="AP228" s="49">
        <f ca="1">INDEX(FA_CS_rate,MATCH(HM_ZD_AM3_2005!CA_cum_gross_sales_Total,FA_CS_cumprod_oil,1))*(HM_ZD_AM3_2005!CA_op_trig)</f>
        <v>0</v>
      </c>
      <c r="AQ228" s="49">
        <f ca="1">INDEX(FA_CS_rate,MATCH(HM_ZD_AM3_2005!CA_cum_gross_sales_Total,FA_CS_cumprod_oil,1))*(HM_ZD_AM3_2005!CA_op_trig)</f>
        <v>0</v>
      </c>
      <c r="AR228" s="49">
        <f ca="1">INDEX(FA_CS_rate,MATCH(HM_ZD_AM3_2005!CA_cum_gross_sales_Total,FA_CS_cumprod_oil,1))*(HM_ZD_AM3_2005!CA_op_trig)</f>
        <v>0</v>
      </c>
      <c r="AS228" s="49">
        <f ca="1">INDEX(FA_CS_rate,MATCH(HM_ZD_AM3_2005!CA_cum_gross_sales_Total,FA_CS_cumprod_oil,1))*(HM_ZD_AM3_2005!CA_op_trig)</f>
        <v>0</v>
      </c>
      <c r="AT228" s="49">
        <f ca="1">INDEX(FA_CS_rate,MATCH(HM_ZD_AM3_2005!CA_cum_gross_sales_Total,FA_CS_cumprod_oil,1))*(HM_ZD_AM3_2005!CA_op_trig)</f>
        <v>0</v>
      </c>
      <c r="AU228" s="49">
        <f ca="1">INDEX(FA_CS_rate,MATCH(HM_ZD_AM3_2005!CA_cum_gross_sales_Total,FA_CS_cumprod_oil,1))*(HM_ZD_AM3_2005!CA_op_trig)</f>
        <v>0</v>
      </c>
      <c r="AV228" s="49">
        <f ca="1">INDEX(FA_CS_rate,MATCH(HM_ZD_AM3_2005!CA_cum_gross_sales_Total,FA_CS_cumprod_oil,1))*(HM_ZD_AM3_2005!CA_op_trig)</f>
        <v>0</v>
      </c>
      <c r="AW228" s="49">
        <f ca="1">INDEX(FA_CS_rate,MATCH(HM_ZD_AM3_2005!CA_cum_gross_sales_Total,FA_CS_cumprod_oil,1))*(HM_ZD_AM3_2005!CA_op_trig)</f>
        <v>0</v>
      </c>
      <c r="AX228" s="49">
        <f ca="1">INDEX(FA_CS_rate,MATCH(HM_ZD_AM3_2005!CA_cum_gross_sales_Total,FA_CS_cumprod_oil,1))*(HM_ZD_AM3_2005!CA_op_trig)</f>
        <v>0</v>
      </c>
      <c r="AY228" s="49">
        <f ca="1">INDEX(FA_CS_rate,MATCH(HM_ZD_AM3_2005!CA_cum_gross_sales_Total,FA_CS_cumprod_oil,1))*(HM_ZD_AM3_2005!CA_op_trig)</f>
        <v>0</v>
      </c>
      <c r="AZ228" s="49">
        <f ca="1">INDEX(FA_CS_rate,MATCH(HM_ZD_AM3_2005!CA_cum_gross_sales_Total,FA_CS_cumprod_oil,1))*(HM_ZD_AM3_2005!CA_op_trig)</f>
        <v>0</v>
      </c>
      <c r="BA228" s="49">
        <f ca="1">INDEX(FA_CS_rate,MATCH(HM_ZD_AM3_2005!CA_cum_gross_sales_Total,FA_CS_cumprod_oil,1))*(HM_ZD_AM3_2005!CA_op_trig)</f>
        <v>0</v>
      </c>
      <c r="BB228" s="49">
        <f ca="1">INDEX(FA_CS_rate,MATCH(HM_ZD_AM3_2005!CA_cum_gross_sales_Total,FA_CS_cumprod_oil,1))*(HM_ZD_AM3_2005!CA_op_trig)</f>
        <v>0</v>
      </c>
      <c r="BC228" s="49">
        <f ca="1">INDEX(FA_CS_rate,MATCH(HM_ZD_AM3_2005!CA_cum_gross_sales_Total,FA_CS_cumprod_oil,1))*(HM_ZD_AM3_2005!CA_op_trig)</f>
        <v>0</v>
      </c>
      <c r="BD228" s="49">
        <f ca="1">INDEX(FA_CS_rate,MATCH(HM_ZD_AM3_2005!CA_cum_gross_sales_Total,FA_CS_cumprod_oil,1))*(HM_ZD_AM3_2005!CA_op_trig)</f>
        <v>0</v>
      </c>
      <c r="BE228" s="49">
        <f ca="1">INDEX(FA_CS_rate,MATCH(HM_ZD_AM3_2005!CA_cum_gross_sales_Total,FA_CS_cumprod_oil,1))*(HM_ZD_AM3_2005!CA_op_trig)</f>
        <v>0</v>
      </c>
      <c r="BF228" s="49">
        <f ca="1">INDEX(FA_CS_rate,MATCH(HM_ZD_AM3_2005!CA_cum_gross_sales_Total,FA_CS_cumprod_oil,1))*(HM_ZD_AM3_2005!CA_op_trig)</f>
        <v>0</v>
      </c>
      <c r="BG228" s="49">
        <f ca="1">INDEX(FA_CS_rate,MATCH(HM_ZD_AM3_2005!CA_cum_gross_sales_Total,FA_CS_cumprod_oil,1))*(HM_ZD_AM3_2005!CA_op_trig)</f>
        <v>0</v>
      </c>
      <c r="BH228" s="49">
        <f ca="1">INDEX(FA_CS_rate,MATCH(HM_ZD_AM3_2005!CA_cum_gross_sales_Total,FA_CS_cumprod_oil,1))*(HM_ZD_AM3_2005!CA_op_trig)</f>
        <v>0</v>
      </c>
      <c r="BI228" s="49">
        <f ca="1">INDEX(FA_CS_rate,MATCH(HM_ZD_AM3_2005!CA_cum_gross_sales_Total,FA_CS_cumprod_oil,1))*(HM_ZD_AM3_2005!CA_op_trig)</f>
        <v>0</v>
      </c>
      <c r="BJ228" s="49">
        <f ca="1">INDEX(FA_CS_rate,MATCH(HM_ZD_AM3_2005!CA_cum_gross_sales_Total,FA_CS_cumprod_oil,1))*(HM_ZD_AM3_2005!CA_op_trig)</f>
        <v>0</v>
      </c>
      <c r="BK228" s="49">
        <f ca="1">INDEX(FA_CS_rate,MATCH(HM_ZD_AM3_2005!CA_cum_gross_sales_Total,FA_CS_cumprod_oil,1))*(HM_ZD_AM3_2005!CA_op_trig)</f>
        <v>0</v>
      </c>
      <c r="BL228" s="49">
        <f ca="1">INDEX(FA_CS_rate,MATCH(HM_ZD_AM3_2005!CA_cum_gross_sales_Total,FA_CS_cumprod_oil,1))*(HM_ZD_AM3_2005!CA_op_trig)</f>
        <v>0</v>
      </c>
      <c r="BM228" s="49">
        <f ca="1">INDEX(FA_CS_rate,MATCH(HM_ZD_AM3_2005!CA_cum_gross_sales_Total,FA_CS_cumprod_oil,1))*(HM_ZD_AM3_2005!CA_op_trig)</f>
        <v>0</v>
      </c>
      <c r="BN228" s="49">
        <f ca="1">INDEX(FA_CS_rate,MATCH(HM_ZD_AM3_2005!CA_cum_gross_sales_Total,FA_CS_cumprod_oil,1))*(HM_ZD_AM3_2005!CA_op_trig)</f>
        <v>0</v>
      </c>
      <c r="BO228" s="49">
        <f ca="1">INDEX(FA_CS_rate,MATCH(HM_ZD_AM3_2005!CA_cum_gross_sales_Total,FA_CS_cumprod_oil,1))*(HM_ZD_AM3_2005!CA_op_trig)</f>
        <v>0</v>
      </c>
      <c r="BP228" s="49">
        <f ca="1">INDEX(FA_CS_rate,MATCH(HM_ZD_AM3_2005!CA_cum_gross_sales_Total,FA_CS_cumprod_oil,1))*(HM_ZD_AM3_2005!CA_op_trig)</f>
        <v>0</v>
      </c>
      <c r="BQ228" s="49">
        <f ca="1">INDEX(FA_CS_rate,MATCH(HM_ZD_AM3_2005!CA_cum_gross_sales_Total,FA_CS_cumprod_oil,1))*(HM_ZD_AM3_2005!CA_op_trig)</f>
        <v>0</v>
      </c>
      <c r="BR228" s="49">
        <f ca="1">INDEX(FA_CS_rate,MATCH(HM_ZD_AM3_2005!CA_cum_gross_sales_Total,FA_CS_cumprod_oil,1))*(HM_ZD_AM3_2005!CA_op_trig)</f>
        <v>0</v>
      </c>
      <c r="BS228" s="49">
        <f ca="1">INDEX(FA_CS_rate,MATCH(HM_ZD_AM3_2005!CA_cum_gross_sales_Total,FA_CS_cumprod_oil,1))*(HM_ZD_AM3_2005!CA_op_trig)</f>
        <v>0</v>
      </c>
    </row>
    <row r="229" spans="4:71" outlineLevel="1" x14ac:dyDescent="0.2">
      <c r="J229" s="26"/>
      <c r="L229" s="55"/>
      <c r="M229" s="55"/>
      <c r="N229" s="55"/>
      <c r="O229" s="55"/>
      <c r="P229" s="55"/>
      <c r="Q229" s="55"/>
      <c r="R229" s="55"/>
      <c r="S229" s="55"/>
      <c r="T229" s="55"/>
      <c r="U229" s="55"/>
      <c r="V229" s="55"/>
      <c r="W229" s="55"/>
      <c r="X229" s="55"/>
      <c r="Y229" s="55"/>
      <c r="Z229" s="55"/>
      <c r="AA229" s="55"/>
      <c r="AB229" s="55"/>
      <c r="AC229" s="55"/>
      <c r="AD229" s="55"/>
      <c r="AE229" s="55"/>
      <c r="AF229" s="55"/>
      <c r="AG229" s="55"/>
      <c r="AH229" s="55"/>
      <c r="AI229" s="55"/>
      <c r="AJ229" s="55"/>
      <c r="AK229" s="55"/>
      <c r="AL229" s="55"/>
      <c r="AM229" s="55"/>
      <c r="AN229" s="55"/>
      <c r="AO229" s="55"/>
      <c r="AP229" s="55"/>
      <c r="AQ229" s="55"/>
      <c r="AR229" s="55"/>
      <c r="AS229" s="55"/>
      <c r="AT229" s="55"/>
      <c r="AU229" s="55"/>
      <c r="AV229" s="55"/>
      <c r="AW229" s="55"/>
      <c r="AX229" s="55"/>
      <c r="AY229" s="55"/>
      <c r="AZ229" s="55"/>
      <c r="BA229" s="55"/>
      <c r="BB229" s="55"/>
      <c r="BC229" s="55"/>
      <c r="BD229" s="55"/>
      <c r="BE229" s="55"/>
      <c r="BF229" s="55"/>
      <c r="BG229" s="55"/>
      <c r="BH229" s="55"/>
      <c r="BI229" s="55"/>
      <c r="BJ229" s="55"/>
      <c r="BK229" s="55"/>
      <c r="BL229" s="55"/>
      <c r="BM229" s="55"/>
      <c r="BN229" s="55"/>
      <c r="BO229" s="55"/>
      <c r="BP229" s="55"/>
      <c r="BQ229" s="55"/>
      <c r="BR229" s="55"/>
      <c r="BS229" s="55"/>
    </row>
    <row r="230" spans="4:71" outlineLevel="1" x14ac:dyDescent="0.2">
      <c r="D230" t="str">
        <f>CHOOSE(db_ML_selected,'Liste Traduction'!B508,'Liste Traduction'!C508)</f>
        <v>Revenu brut évalué à 22 $/bbl</v>
      </c>
      <c r="I230" s="30">
        <f t="shared" ref="I230:I234" ca="1" si="72">SUM($L230:$BS230)</f>
        <v>908.67708929383957</v>
      </c>
      <c r="J230" s="26" t="s">
        <v>148</v>
      </c>
      <c r="L230" s="49">
        <f ca="1">((HM_ZD_AM3_2005!CA_gross_sales_oil+HM_ZD_AM3_2005!CA_gross_sales_lpg)*CA_CS_HP_oil_nom)</f>
        <v>439.97628840166425</v>
      </c>
      <c r="M230" s="49">
        <f ca="1">((HM_ZD_AM3_2005!CA_gross_sales_oil+HM_ZD_AM3_2005!CA_gross_sales_lpg)*CA_CS_HP_oil_nom)</f>
        <v>468.70080089217527</v>
      </c>
      <c r="N230" s="49">
        <f>((HM_ZD_AM3_2005!CA_gross_sales_oil+HM_ZD_AM3_2005!CA_gross_sales_lpg)*CA_CS_HP_oil_nom)</f>
        <v>0</v>
      </c>
      <c r="O230" s="49">
        <f>((HM_ZD_AM3_2005!CA_gross_sales_oil+HM_ZD_AM3_2005!CA_gross_sales_lpg)*CA_CS_HP_oil_nom)</f>
        <v>0</v>
      </c>
      <c r="P230" s="49">
        <f>((HM_ZD_AM3_2005!CA_gross_sales_oil+HM_ZD_AM3_2005!CA_gross_sales_lpg)*CA_CS_HP_oil_nom)</f>
        <v>0</v>
      </c>
      <c r="Q230" s="49">
        <f>((HM_ZD_AM3_2005!CA_gross_sales_oil+HM_ZD_AM3_2005!CA_gross_sales_lpg)*CA_CS_HP_oil_nom)</f>
        <v>0</v>
      </c>
      <c r="R230" s="49">
        <f>((HM_ZD_AM3_2005!CA_gross_sales_oil+HM_ZD_AM3_2005!CA_gross_sales_lpg)*CA_CS_HP_oil_nom)</f>
        <v>0</v>
      </c>
      <c r="S230" s="49">
        <f>((HM_ZD_AM3_2005!CA_gross_sales_oil+HM_ZD_AM3_2005!CA_gross_sales_lpg)*CA_CS_HP_oil_nom)</f>
        <v>0</v>
      </c>
      <c r="T230" s="49">
        <f>((HM_ZD_AM3_2005!CA_gross_sales_oil+HM_ZD_AM3_2005!CA_gross_sales_lpg)*CA_CS_HP_oil_nom)</f>
        <v>0</v>
      </c>
      <c r="U230" s="49">
        <f>((HM_ZD_AM3_2005!CA_gross_sales_oil+HM_ZD_AM3_2005!CA_gross_sales_lpg)*CA_CS_HP_oil_nom)</f>
        <v>0</v>
      </c>
      <c r="V230" s="49">
        <f>((HM_ZD_AM3_2005!CA_gross_sales_oil+HM_ZD_AM3_2005!CA_gross_sales_lpg)*CA_CS_HP_oil_nom)</f>
        <v>0</v>
      </c>
      <c r="W230" s="49">
        <f>((HM_ZD_AM3_2005!CA_gross_sales_oil+HM_ZD_AM3_2005!CA_gross_sales_lpg)*CA_CS_HP_oil_nom)</f>
        <v>0</v>
      </c>
      <c r="X230" s="49">
        <f>((HM_ZD_AM3_2005!CA_gross_sales_oil+HM_ZD_AM3_2005!CA_gross_sales_lpg)*CA_CS_HP_oil_nom)</f>
        <v>0</v>
      </c>
      <c r="Y230" s="49">
        <f>((HM_ZD_AM3_2005!CA_gross_sales_oil+HM_ZD_AM3_2005!CA_gross_sales_lpg)*CA_CS_HP_oil_nom)</f>
        <v>0</v>
      </c>
      <c r="Z230" s="49">
        <f>((HM_ZD_AM3_2005!CA_gross_sales_oil+HM_ZD_AM3_2005!CA_gross_sales_lpg)*CA_CS_HP_oil_nom)</f>
        <v>0</v>
      </c>
      <c r="AA230" s="49">
        <f>((HM_ZD_AM3_2005!CA_gross_sales_oil+HM_ZD_AM3_2005!CA_gross_sales_lpg)*CA_CS_HP_oil_nom)</f>
        <v>0</v>
      </c>
      <c r="AB230" s="49">
        <f>((HM_ZD_AM3_2005!CA_gross_sales_oil+HM_ZD_AM3_2005!CA_gross_sales_lpg)*CA_CS_HP_oil_nom)</f>
        <v>0</v>
      </c>
      <c r="AC230" s="49">
        <f>((HM_ZD_AM3_2005!CA_gross_sales_oil+HM_ZD_AM3_2005!CA_gross_sales_lpg)*CA_CS_HP_oil_nom)</f>
        <v>0</v>
      </c>
      <c r="AD230" s="49">
        <f>((HM_ZD_AM3_2005!CA_gross_sales_oil+HM_ZD_AM3_2005!CA_gross_sales_lpg)*CA_CS_HP_oil_nom)</f>
        <v>0</v>
      </c>
      <c r="AE230" s="49">
        <f>((HM_ZD_AM3_2005!CA_gross_sales_oil+HM_ZD_AM3_2005!CA_gross_sales_lpg)*CA_CS_HP_oil_nom)</f>
        <v>0</v>
      </c>
      <c r="AF230" s="49">
        <f>((HM_ZD_AM3_2005!CA_gross_sales_oil+HM_ZD_AM3_2005!CA_gross_sales_lpg)*CA_CS_HP_oil_nom)</f>
        <v>0</v>
      </c>
      <c r="AG230" s="49">
        <f>((HM_ZD_AM3_2005!CA_gross_sales_oil+HM_ZD_AM3_2005!CA_gross_sales_lpg)*CA_CS_HP_oil_nom)</f>
        <v>0</v>
      </c>
      <c r="AH230" s="49">
        <f>((HM_ZD_AM3_2005!CA_gross_sales_oil+HM_ZD_AM3_2005!CA_gross_sales_lpg)*CA_CS_HP_oil_nom)</f>
        <v>0</v>
      </c>
      <c r="AI230" s="49">
        <f>((HM_ZD_AM3_2005!CA_gross_sales_oil+HM_ZD_AM3_2005!CA_gross_sales_lpg)*CA_CS_HP_oil_nom)</f>
        <v>0</v>
      </c>
      <c r="AJ230" s="49">
        <f>((HM_ZD_AM3_2005!CA_gross_sales_oil+HM_ZD_AM3_2005!CA_gross_sales_lpg)*CA_CS_HP_oil_nom)</f>
        <v>0</v>
      </c>
      <c r="AK230" s="49">
        <f>((HM_ZD_AM3_2005!CA_gross_sales_oil+HM_ZD_AM3_2005!CA_gross_sales_lpg)*CA_CS_HP_oil_nom)</f>
        <v>0</v>
      </c>
      <c r="AL230" s="49">
        <f>((HM_ZD_AM3_2005!CA_gross_sales_oil+HM_ZD_AM3_2005!CA_gross_sales_lpg)*CA_CS_HP_oil_nom)</f>
        <v>0</v>
      </c>
      <c r="AM230" s="49">
        <f>((HM_ZD_AM3_2005!CA_gross_sales_oil+HM_ZD_AM3_2005!CA_gross_sales_lpg)*CA_CS_HP_oil_nom)</f>
        <v>0</v>
      </c>
      <c r="AN230" s="49">
        <f>((HM_ZD_AM3_2005!CA_gross_sales_oil+HM_ZD_AM3_2005!CA_gross_sales_lpg)*CA_CS_HP_oil_nom)</f>
        <v>0</v>
      </c>
      <c r="AO230" s="49">
        <f>((HM_ZD_AM3_2005!CA_gross_sales_oil+HM_ZD_AM3_2005!CA_gross_sales_lpg)*CA_CS_HP_oil_nom)</f>
        <v>0</v>
      </c>
      <c r="AP230" s="49">
        <f>((HM_ZD_AM3_2005!CA_gross_sales_oil+HM_ZD_AM3_2005!CA_gross_sales_lpg)*CA_CS_HP_oil_nom)</f>
        <v>0</v>
      </c>
      <c r="AQ230" s="49">
        <f>((HM_ZD_AM3_2005!CA_gross_sales_oil+HM_ZD_AM3_2005!CA_gross_sales_lpg)*CA_CS_HP_oil_nom)</f>
        <v>0</v>
      </c>
      <c r="AR230" s="49">
        <f>((HM_ZD_AM3_2005!CA_gross_sales_oil+HM_ZD_AM3_2005!CA_gross_sales_lpg)*CA_CS_HP_oil_nom)</f>
        <v>0</v>
      </c>
      <c r="AS230" s="49">
        <f>((HM_ZD_AM3_2005!CA_gross_sales_oil+HM_ZD_AM3_2005!CA_gross_sales_lpg)*CA_CS_HP_oil_nom)</f>
        <v>0</v>
      </c>
      <c r="AT230" s="49">
        <f>((HM_ZD_AM3_2005!CA_gross_sales_oil+HM_ZD_AM3_2005!CA_gross_sales_lpg)*CA_CS_HP_oil_nom)</f>
        <v>0</v>
      </c>
      <c r="AU230" s="49">
        <f>((HM_ZD_AM3_2005!CA_gross_sales_oil+HM_ZD_AM3_2005!CA_gross_sales_lpg)*CA_CS_HP_oil_nom)</f>
        <v>0</v>
      </c>
      <c r="AV230" s="49">
        <f>((HM_ZD_AM3_2005!CA_gross_sales_oil+HM_ZD_AM3_2005!CA_gross_sales_lpg)*CA_CS_HP_oil_nom)</f>
        <v>0</v>
      </c>
      <c r="AW230" s="49">
        <f>((HM_ZD_AM3_2005!CA_gross_sales_oil+HM_ZD_AM3_2005!CA_gross_sales_lpg)*CA_CS_HP_oil_nom)</f>
        <v>0</v>
      </c>
      <c r="AX230" s="49">
        <f>((HM_ZD_AM3_2005!CA_gross_sales_oil+HM_ZD_AM3_2005!CA_gross_sales_lpg)*CA_CS_HP_oil_nom)</f>
        <v>0</v>
      </c>
      <c r="AY230" s="49">
        <f>((HM_ZD_AM3_2005!CA_gross_sales_oil+HM_ZD_AM3_2005!CA_gross_sales_lpg)*CA_CS_HP_oil_nom)</f>
        <v>0</v>
      </c>
      <c r="AZ230" s="49">
        <f>((HM_ZD_AM3_2005!CA_gross_sales_oil+HM_ZD_AM3_2005!CA_gross_sales_lpg)*CA_CS_HP_oil_nom)</f>
        <v>0</v>
      </c>
      <c r="BA230" s="49">
        <f>((HM_ZD_AM3_2005!CA_gross_sales_oil+HM_ZD_AM3_2005!CA_gross_sales_lpg)*CA_CS_HP_oil_nom)</f>
        <v>0</v>
      </c>
      <c r="BB230" s="49">
        <f>((HM_ZD_AM3_2005!CA_gross_sales_oil+HM_ZD_AM3_2005!CA_gross_sales_lpg)*CA_CS_HP_oil_nom)</f>
        <v>0</v>
      </c>
      <c r="BC230" s="49">
        <f>((HM_ZD_AM3_2005!CA_gross_sales_oil+HM_ZD_AM3_2005!CA_gross_sales_lpg)*CA_CS_HP_oil_nom)</f>
        <v>0</v>
      </c>
      <c r="BD230" s="49">
        <f>((HM_ZD_AM3_2005!CA_gross_sales_oil+HM_ZD_AM3_2005!CA_gross_sales_lpg)*CA_CS_HP_oil_nom)</f>
        <v>0</v>
      </c>
      <c r="BE230" s="49">
        <f>((HM_ZD_AM3_2005!CA_gross_sales_oil+HM_ZD_AM3_2005!CA_gross_sales_lpg)*CA_CS_HP_oil_nom)</f>
        <v>0</v>
      </c>
      <c r="BF230" s="49">
        <f>((HM_ZD_AM3_2005!CA_gross_sales_oil+HM_ZD_AM3_2005!CA_gross_sales_lpg)*CA_CS_HP_oil_nom)</f>
        <v>0</v>
      </c>
      <c r="BG230" s="49">
        <f>((HM_ZD_AM3_2005!CA_gross_sales_oil+HM_ZD_AM3_2005!CA_gross_sales_lpg)*CA_CS_HP_oil_nom)</f>
        <v>0</v>
      </c>
      <c r="BH230" s="49">
        <f>((HM_ZD_AM3_2005!CA_gross_sales_oil+HM_ZD_AM3_2005!CA_gross_sales_lpg)*CA_CS_HP_oil_nom)</f>
        <v>0</v>
      </c>
      <c r="BI230" s="49">
        <f>((HM_ZD_AM3_2005!CA_gross_sales_oil+HM_ZD_AM3_2005!CA_gross_sales_lpg)*CA_CS_HP_oil_nom)</f>
        <v>0</v>
      </c>
      <c r="BJ230" s="49">
        <f>((HM_ZD_AM3_2005!CA_gross_sales_oil+HM_ZD_AM3_2005!CA_gross_sales_lpg)*CA_CS_HP_oil_nom)</f>
        <v>0</v>
      </c>
      <c r="BK230" s="49">
        <f>((HM_ZD_AM3_2005!CA_gross_sales_oil+HM_ZD_AM3_2005!CA_gross_sales_lpg)*CA_CS_HP_oil_nom)</f>
        <v>0</v>
      </c>
      <c r="BL230" s="49">
        <f>((HM_ZD_AM3_2005!CA_gross_sales_oil+HM_ZD_AM3_2005!CA_gross_sales_lpg)*CA_CS_HP_oil_nom)</f>
        <v>0</v>
      </c>
      <c r="BM230" s="49">
        <f>((HM_ZD_AM3_2005!CA_gross_sales_oil+HM_ZD_AM3_2005!CA_gross_sales_lpg)*CA_CS_HP_oil_nom)</f>
        <v>0</v>
      </c>
      <c r="BN230" s="49">
        <f>((HM_ZD_AM3_2005!CA_gross_sales_oil+HM_ZD_AM3_2005!CA_gross_sales_lpg)*CA_CS_HP_oil_nom)</f>
        <v>0</v>
      </c>
      <c r="BO230" s="49">
        <f>((HM_ZD_AM3_2005!CA_gross_sales_oil+HM_ZD_AM3_2005!CA_gross_sales_lpg)*CA_CS_HP_oil_nom)</f>
        <v>0</v>
      </c>
      <c r="BP230" s="49">
        <f>((HM_ZD_AM3_2005!CA_gross_sales_oil+HM_ZD_AM3_2005!CA_gross_sales_lpg)*CA_CS_HP_oil_nom)</f>
        <v>0</v>
      </c>
      <c r="BQ230" s="49">
        <f>((HM_ZD_AM3_2005!CA_gross_sales_oil+HM_ZD_AM3_2005!CA_gross_sales_lpg)*CA_CS_HP_oil_nom)</f>
        <v>0</v>
      </c>
      <c r="BR230" s="49">
        <f>((HM_ZD_AM3_2005!CA_gross_sales_oil+HM_ZD_AM3_2005!CA_gross_sales_lpg)*CA_CS_HP_oil_nom)</f>
        <v>0</v>
      </c>
      <c r="BS230" s="49">
        <f>((HM_ZD_AM3_2005!CA_gross_sales_oil+HM_ZD_AM3_2005!CA_gross_sales_lpg)*CA_CS_HP_oil_nom)</f>
        <v>0</v>
      </c>
    </row>
    <row r="231" spans="4:71" outlineLevel="1" x14ac:dyDescent="0.2">
      <c r="J231" s="26"/>
      <c r="L231" s="55"/>
      <c r="M231" s="55"/>
      <c r="N231" s="55"/>
      <c r="O231" s="55"/>
      <c r="P231" s="55"/>
      <c r="Q231" s="55"/>
      <c r="R231" s="55"/>
      <c r="S231" s="55"/>
      <c r="T231" s="55"/>
      <c r="U231" s="55"/>
      <c r="V231" s="55"/>
      <c r="W231" s="55"/>
      <c r="X231" s="55"/>
      <c r="Y231" s="55"/>
      <c r="Z231" s="55"/>
      <c r="AA231" s="55"/>
      <c r="AB231" s="55"/>
      <c r="AC231" s="55"/>
      <c r="AD231" s="55"/>
      <c r="AE231" s="55"/>
      <c r="AF231" s="55"/>
      <c r="AG231" s="55"/>
      <c r="AH231" s="55"/>
      <c r="AI231" s="55"/>
      <c r="AJ231" s="55"/>
      <c r="AK231" s="55"/>
      <c r="AL231" s="55"/>
      <c r="AM231" s="55"/>
      <c r="AN231" s="55"/>
      <c r="AO231" s="55"/>
      <c r="AP231" s="55"/>
      <c r="AQ231" s="55"/>
      <c r="AR231" s="55"/>
      <c r="AS231" s="55"/>
      <c r="AT231" s="55"/>
      <c r="AU231" s="55"/>
      <c r="AV231" s="55"/>
      <c r="AW231" s="55"/>
      <c r="AX231" s="55"/>
      <c r="AY231" s="55"/>
      <c r="AZ231" s="55"/>
      <c r="BA231" s="55"/>
      <c r="BB231" s="55"/>
      <c r="BC231" s="55"/>
      <c r="BD231" s="55"/>
      <c r="BE231" s="55"/>
      <c r="BF231" s="55"/>
      <c r="BG231" s="55"/>
      <c r="BH231" s="55"/>
      <c r="BI231" s="55"/>
      <c r="BJ231" s="55"/>
      <c r="BK231" s="55"/>
      <c r="BL231" s="55"/>
      <c r="BM231" s="55"/>
      <c r="BN231" s="55"/>
      <c r="BO231" s="55"/>
      <c r="BP231" s="55"/>
      <c r="BQ231" s="55"/>
      <c r="BR231" s="55"/>
      <c r="BS231" s="55"/>
    </row>
    <row r="232" spans="4:71" outlineLevel="1" x14ac:dyDescent="0.2">
      <c r="D232" t="str">
        <f>HM_ZD_Moho!D253</f>
        <v>Revenus bruts évalués au PH</v>
      </c>
      <c r="I232" s="30">
        <f t="shared" ca="1" si="72"/>
        <v>1007.6167801469999</v>
      </c>
      <c r="J232" s="26" t="s">
        <v>148</v>
      </c>
      <c r="L232" s="49" cm="1">
        <f t="array" aca="1" ref="L232:BS232" ca="1">CA_gross_rev_oil_hp</f>
        <v>489.58904715</v>
      </c>
      <c r="M232" s="49">
        <f ca="1"/>
        <v>518.02773299699993</v>
      </c>
      <c r="N232" s="49">
        <f ca="1"/>
        <v>0</v>
      </c>
      <c r="O232" s="49">
        <f ca="1"/>
        <v>0</v>
      </c>
      <c r="P232" s="49">
        <f ca="1"/>
        <v>0</v>
      </c>
      <c r="Q232" s="49">
        <f ca="1"/>
        <v>0</v>
      </c>
      <c r="R232" s="49">
        <f ca="1"/>
        <v>0</v>
      </c>
      <c r="S232" s="49">
        <f ca="1"/>
        <v>0</v>
      </c>
      <c r="T232" s="49">
        <f ca="1"/>
        <v>0</v>
      </c>
      <c r="U232" s="49">
        <f ca="1"/>
        <v>0</v>
      </c>
      <c r="V232" s="49">
        <f ca="1"/>
        <v>0</v>
      </c>
      <c r="W232" s="49">
        <f ca="1"/>
        <v>0</v>
      </c>
      <c r="X232" s="49">
        <f ca="1"/>
        <v>0</v>
      </c>
      <c r="Y232" s="49">
        <f ca="1"/>
        <v>0</v>
      </c>
      <c r="Z232" s="49">
        <f ca="1"/>
        <v>0</v>
      </c>
      <c r="AA232" s="49">
        <f ca="1"/>
        <v>0</v>
      </c>
      <c r="AB232" s="49">
        <f ca="1"/>
        <v>0</v>
      </c>
      <c r="AC232" s="49">
        <f ca="1"/>
        <v>0</v>
      </c>
      <c r="AD232" s="49">
        <f ca="1"/>
        <v>0</v>
      </c>
      <c r="AE232" s="49">
        <f ca="1"/>
        <v>0</v>
      </c>
      <c r="AF232" s="49">
        <f ca="1"/>
        <v>0</v>
      </c>
      <c r="AG232" s="49">
        <f ca="1"/>
        <v>0</v>
      </c>
      <c r="AH232" s="49">
        <f ca="1"/>
        <v>0</v>
      </c>
      <c r="AI232" s="49">
        <f ca="1"/>
        <v>0</v>
      </c>
      <c r="AJ232" s="49">
        <f ca="1"/>
        <v>0</v>
      </c>
      <c r="AK232" s="49">
        <f ca="1"/>
        <v>0</v>
      </c>
      <c r="AL232" s="49">
        <f ca="1"/>
        <v>0</v>
      </c>
      <c r="AM232" s="49">
        <f ca="1"/>
        <v>0</v>
      </c>
      <c r="AN232" s="49">
        <f ca="1"/>
        <v>0</v>
      </c>
      <c r="AO232" s="49">
        <f ca="1"/>
        <v>0</v>
      </c>
      <c r="AP232" s="49">
        <f ca="1"/>
        <v>0</v>
      </c>
      <c r="AQ232" s="49">
        <f ca="1"/>
        <v>0</v>
      </c>
      <c r="AR232" s="49">
        <f ca="1"/>
        <v>0</v>
      </c>
      <c r="AS232" s="49">
        <f ca="1"/>
        <v>0</v>
      </c>
      <c r="AT232" s="49">
        <f ca="1"/>
        <v>0</v>
      </c>
      <c r="AU232" s="49">
        <f ca="1"/>
        <v>0</v>
      </c>
      <c r="AV232" s="49">
        <f ca="1"/>
        <v>0</v>
      </c>
      <c r="AW232" s="49">
        <f ca="1"/>
        <v>0</v>
      </c>
      <c r="AX232" s="49">
        <f ca="1"/>
        <v>0</v>
      </c>
      <c r="AY232" s="49">
        <f ca="1"/>
        <v>0</v>
      </c>
      <c r="AZ232" s="49">
        <f ca="1"/>
        <v>0</v>
      </c>
      <c r="BA232" s="49">
        <f ca="1"/>
        <v>0</v>
      </c>
      <c r="BB232" s="49">
        <f ca="1"/>
        <v>0</v>
      </c>
      <c r="BC232" s="49">
        <f ca="1"/>
        <v>0</v>
      </c>
      <c r="BD232" s="49">
        <f ca="1"/>
        <v>0</v>
      </c>
      <c r="BE232" s="49">
        <f ca="1"/>
        <v>0</v>
      </c>
      <c r="BF232" s="49">
        <f ca="1"/>
        <v>0</v>
      </c>
      <c r="BG232" s="49">
        <f ca="1"/>
        <v>0</v>
      </c>
      <c r="BH232" s="49">
        <f ca="1"/>
        <v>0</v>
      </c>
      <c r="BI232" s="49">
        <f ca="1"/>
        <v>0</v>
      </c>
      <c r="BJ232" s="49">
        <f ca="1"/>
        <v>0</v>
      </c>
      <c r="BK232" s="49">
        <f ca="1"/>
        <v>0</v>
      </c>
      <c r="BL232" s="49">
        <f ca="1"/>
        <v>0</v>
      </c>
      <c r="BM232" s="49">
        <f ca="1"/>
        <v>0</v>
      </c>
      <c r="BN232" s="49">
        <f ca="1"/>
        <v>0</v>
      </c>
      <c r="BO232" s="49">
        <f ca="1"/>
        <v>0</v>
      </c>
      <c r="BP232" s="49">
        <f ca="1"/>
        <v>0</v>
      </c>
      <c r="BQ232" s="49">
        <f ca="1"/>
        <v>0</v>
      </c>
      <c r="BR232" s="49">
        <f ca="1"/>
        <v>0</v>
      </c>
      <c r="BS232" s="49">
        <f ca="1"/>
        <v>0</v>
      </c>
    </row>
    <row r="233" spans="4:71" outlineLevel="1" x14ac:dyDescent="0.2">
      <c r="J233" s="26"/>
      <c r="L233" s="55"/>
      <c r="M233" s="55"/>
      <c r="N233" s="55"/>
      <c r="O233" s="55"/>
      <c r="P233" s="55"/>
      <c r="Q233" s="55"/>
      <c r="R233" s="55"/>
      <c r="S233" s="55"/>
      <c r="T233" s="55"/>
      <c r="U233" s="55"/>
      <c r="V233" s="55"/>
      <c r="W233" s="55"/>
      <c r="X233" s="55"/>
      <c r="Y233" s="55"/>
      <c r="Z233" s="55"/>
      <c r="AA233" s="55"/>
      <c r="AB233" s="55"/>
      <c r="AC233" s="55"/>
      <c r="AD233" s="55"/>
      <c r="AE233" s="55"/>
      <c r="AF233" s="55"/>
      <c r="AG233" s="55"/>
      <c r="AH233" s="55"/>
      <c r="AI233" s="55"/>
      <c r="AJ233" s="55"/>
      <c r="AK233" s="55"/>
      <c r="AL233" s="55"/>
      <c r="AM233" s="55"/>
      <c r="AN233" s="55"/>
      <c r="AO233" s="55"/>
      <c r="AP233" s="55"/>
      <c r="AQ233" s="55"/>
      <c r="AR233" s="55"/>
      <c r="AS233" s="55"/>
      <c r="AT233" s="55"/>
      <c r="AU233" s="55"/>
      <c r="AV233" s="55"/>
      <c r="AW233" s="55"/>
      <c r="AX233" s="55"/>
      <c r="AY233" s="55"/>
      <c r="AZ233" s="55"/>
      <c r="BA233" s="55"/>
      <c r="BB233" s="55"/>
      <c r="BC233" s="55"/>
      <c r="BD233" s="55"/>
      <c r="BE233" s="55"/>
      <c r="BF233" s="55"/>
      <c r="BG233" s="55"/>
      <c r="BH233" s="55"/>
      <c r="BI233" s="55"/>
      <c r="BJ233" s="55"/>
      <c r="BK233" s="55"/>
      <c r="BL233" s="55"/>
      <c r="BM233" s="55"/>
      <c r="BN233" s="55"/>
      <c r="BO233" s="55"/>
      <c r="BP233" s="55"/>
      <c r="BQ233" s="55"/>
      <c r="BR233" s="55"/>
      <c r="BS233" s="55"/>
    </row>
    <row r="234" spans="4:71" outlineLevel="1" x14ac:dyDescent="0.2">
      <c r="D234" s="11" t="str">
        <f>HM_ZD_Moho!D257</f>
        <v>Cost Stop</v>
      </c>
      <c r="I234" s="30">
        <f t="shared" ca="1" si="72"/>
        <v>545.20625357630365</v>
      </c>
      <c r="J234" s="26" t="s">
        <v>148</v>
      </c>
      <c r="K234" s="7" t="s">
        <v>189</v>
      </c>
      <c r="L234" s="49">
        <f ca="1">IF(HM_ZD_AM3_2005!CA_cum_gross_sales_Total&gt;=INDEX(FA_CS_cumprod_oil,2),L228*L230,L228*L232)</f>
        <v>263.98577304099854</v>
      </c>
      <c r="M234" s="49">
        <f ca="1">IF(HM_ZD_AM3_2005!CA_cum_gross_sales_Total&gt;=INDEX(FA_CS_cumprod_oil,2),M228*M230,M228*M232)</f>
        <v>281.22048053530517</v>
      </c>
      <c r="N234" s="49">
        <f ca="1">IF(HM_ZD_AM3_2005!CA_cum_gross_sales_Total&gt;=INDEX(FA_CS_cumprod_oil,2),N228*N230,N228*N232)</f>
        <v>0</v>
      </c>
      <c r="O234" s="49">
        <f ca="1">IF(HM_ZD_AM3_2005!CA_cum_gross_sales_Total&gt;=INDEX(FA_CS_cumprod_oil,2),O228*O230,O228*O232)</f>
        <v>0</v>
      </c>
      <c r="P234" s="49">
        <f ca="1">IF(HM_ZD_AM3_2005!CA_cum_gross_sales_Total&gt;=INDEX(FA_CS_cumprod_oil,2),P228*P230,P228*P232)</f>
        <v>0</v>
      </c>
      <c r="Q234" s="49">
        <f ca="1">IF(HM_ZD_AM3_2005!CA_cum_gross_sales_Total&gt;=INDEX(FA_CS_cumprod_oil,2),Q228*Q230,Q228*Q232)</f>
        <v>0</v>
      </c>
      <c r="R234" s="49">
        <f ca="1">IF(HM_ZD_AM3_2005!CA_cum_gross_sales_Total&gt;=INDEX(FA_CS_cumprod_oil,2),R228*R230,R228*R232)</f>
        <v>0</v>
      </c>
      <c r="S234" s="49">
        <f ca="1">IF(HM_ZD_AM3_2005!CA_cum_gross_sales_Total&gt;=INDEX(FA_CS_cumprod_oil,2),S228*S230,S228*S232)</f>
        <v>0</v>
      </c>
      <c r="T234" s="49">
        <f ca="1">IF(HM_ZD_AM3_2005!CA_cum_gross_sales_Total&gt;=INDEX(FA_CS_cumprod_oil,2),T228*T230,T228*T232)</f>
        <v>0</v>
      </c>
      <c r="U234" s="49">
        <f ca="1">IF(HM_ZD_AM3_2005!CA_cum_gross_sales_Total&gt;=INDEX(FA_CS_cumprod_oil,2),U228*U230,U228*U232)</f>
        <v>0</v>
      </c>
      <c r="V234" s="49">
        <f ca="1">IF(HM_ZD_AM3_2005!CA_cum_gross_sales_Total&gt;=INDEX(FA_CS_cumprod_oil,2),V228*V230,V228*V232)</f>
        <v>0</v>
      </c>
      <c r="W234" s="49">
        <f ca="1">IF(HM_ZD_AM3_2005!CA_cum_gross_sales_Total&gt;=INDEX(FA_CS_cumprod_oil,2),W228*W230,W228*W232)</f>
        <v>0</v>
      </c>
      <c r="X234" s="49">
        <f ca="1">IF(HM_ZD_AM3_2005!CA_cum_gross_sales_Total&gt;=INDEX(FA_CS_cumprod_oil,2),X228*X230,X228*X232)</f>
        <v>0</v>
      </c>
      <c r="Y234" s="49">
        <f ca="1">IF(HM_ZD_AM3_2005!CA_cum_gross_sales_Total&gt;=INDEX(FA_CS_cumprod_oil,2),Y228*Y230,Y228*Y232)</f>
        <v>0</v>
      </c>
      <c r="Z234" s="49">
        <f ca="1">IF(HM_ZD_AM3_2005!CA_cum_gross_sales_Total&gt;=INDEX(FA_CS_cumprod_oil,2),Z228*Z230,Z228*Z232)</f>
        <v>0</v>
      </c>
      <c r="AA234" s="49">
        <f ca="1">IF(HM_ZD_AM3_2005!CA_cum_gross_sales_Total&gt;=INDEX(FA_CS_cumprod_oil,2),AA228*AA230,AA228*AA232)</f>
        <v>0</v>
      </c>
      <c r="AB234" s="49">
        <f ca="1">IF(HM_ZD_AM3_2005!CA_cum_gross_sales_Total&gt;=INDEX(FA_CS_cumprod_oil,2),AB228*AB230,AB228*AB232)</f>
        <v>0</v>
      </c>
      <c r="AC234" s="49">
        <f ca="1">IF(HM_ZD_AM3_2005!CA_cum_gross_sales_Total&gt;=INDEX(FA_CS_cumprod_oil,2),AC228*AC230,AC228*AC232)</f>
        <v>0</v>
      </c>
      <c r="AD234" s="49">
        <f ca="1">IF(HM_ZD_AM3_2005!CA_cum_gross_sales_Total&gt;=INDEX(FA_CS_cumprod_oil,2),AD228*AD230,AD228*AD232)</f>
        <v>0</v>
      </c>
      <c r="AE234" s="49">
        <f ca="1">IF(HM_ZD_AM3_2005!CA_cum_gross_sales_Total&gt;=INDEX(FA_CS_cumprod_oil,2),AE228*AE230,AE228*AE232)</f>
        <v>0</v>
      </c>
      <c r="AF234" s="49">
        <f ca="1">IF(HM_ZD_AM3_2005!CA_cum_gross_sales_Total&gt;=INDEX(FA_CS_cumprod_oil,2),AF228*AF230,AF228*AF232)</f>
        <v>0</v>
      </c>
      <c r="AG234" s="49">
        <f ca="1">IF(HM_ZD_AM3_2005!CA_cum_gross_sales_Total&gt;=INDEX(FA_CS_cumprod_oil,2),AG228*AG230,AG228*AG232)</f>
        <v>0</v>
      </c>
      <c r="AH234" s="49">
        <f ca="1">IF(HM_ZD_AM3_2005!CA_cum_gross_sales_Total&gt;=INDEX(FA_CS_cumprod_oil,2),AH228*AH230,AH228*AH232)</f>
        <v>0</v>
      </c>
      <c r="AI234" s="49">
        <f ca="1">IF(HM_ZD_AM3_2005!CA_cum_gross_sales_Total&gt;=INDEX(FA_CS_cumprod_oil,2),AI228*AI230,AI228*AI232)</f>
        <v>0</v>
      </c>
      <c r="AJ234" s="49">
        <f ca="1">IF(HM_ZD_AM3_2005!CA_cum_gross_sales_Total&gt;=INDEX(FA_CS_cumprod_oil,2),AJ228*AJ230,AJ228*AJ232)</f>
        <v>0</v>
      </c>
      <c r="AK234" s="49">
        <f ca="1">IF(HM_ZD_AM3_2005!CA_cum_gross_sales_Total&gt;=INDEX(FA_CS_cumprod_oil,2),AK228*AK230,AK228*AK232)</f>
        <v>0</v>
      </c>
      <c r="AL234" s="49">
        <f ca="1">IF(HM_ZD_AM3_2005!CA_cum_gross_sales_Total&gt;=INDEX(FA_CS_cumprod_oil,2),AL228*AL230,AL228*AL232)</f>
        <v>0</v>
      </c>
      <c r="AM234" s="49">
        <f ca="1">IF(HM_ZD_AM3_2005!CA_cum_gross_sales_Total&gt;=INDEX(FA_CS_cumprod_oil,2),AM228*AM230,AM228*AM232)</f>
        <v>0</v>
      </c>
      <c r="AN234" s="49">
        <f ca="1">IF(HM_ZD_AM3_2005!CA_cum_gross_sales_Total&gt;=INDEX(FA_CS_cumprod_oil,2),AN228*AN230,AN228*AN232)</f>
        <v>0</v>
      </c>
      <c r="AO234" s="49">
        <f ca="1">IF(HM_ZD_AM3_2005!CA_cum_gross_sales_Total&gt;=INDEX(FA_CS_cumprod_oil,2),AO228*AO230,AO228*AO232)</f>
        <v>0</v>
      </c>
      <c r="AP234" s="49">
        <f ca="1">IF(HM_ZD_AM3_2005!CA_cum_gross_sales_Total&gt;=INDEX(FA_CS_cumprod_oil,2),AP228*AP230,AP228*AP232)</f>
        <v>0</v>
      </c>
      <c r="AQ234" s="49">
        <f ca="1">IF(HM_ZD_AM3_2005!CA_cum_gross_sales_Total&gt;=INDEX(FA_CS_cumprod_oil,2),AQ228*AQ230,AQ228*AQ232)</f>
        <v>0</v>
      </c>
      <c r="AR234" s="49">
        <f ca="1">IF(HM_ZD_AM3_2005!CA_cum_gross_sales_Total&gt;=INDEX(FA_CS_cumprod_oil,2),AR228*AR230,AR228*AR232)</f>
        <v>0</v>
      </c>
      <c r="AS234" s="49">
        <f ca="1">IF(HM_ZD_AM3_2005!CA_cum_gross_sales_Total&gt;=INDEX(FA_CS_cumprod_oil,2),AS228*AS230,AS228*AS232)</f>
        <v>0</v>
      </c>
      <c r="AT234" s="49">
        <f ca="1">IF(HM_ZD_AM3_2005!CA_cum_gross_sales_Total&gt;=INDEX(FA_CS_cumprod_oil,2),AT228*AT230,AT228*AT232)</f>
        <v>0</v>
      </c>
      <c r="AU234" s="49">
        <f ca="1">IF(HM_ZD_AM3_2005!CA_cum_gross_sales_Total&gt;=INDEX(FA_CS_cumprod_oil,2),AU228*AU230,AU228*AU232)</f>
        <v>0</v>
      </c>
      <c r="AV234" s="49">
        <f ca="1">IF(HM_ZD_AM3_2005!CA_cum_gross_sales_Total&gt;=INDEX(FA_CS_cumprod_oil,2),AV228*AV230,AV228*AV232)</f>
        <v>0</v>
      </c>
      <c r="AW234" s="49">
        <f ca="1">IF(HM_ZD_AM3_2005!CA_cum_gross_sales_Total&gt;=INDEX(FA_CS_cumprod_oil,2),AW228*AW230,AW228*AW232)</f>
        <v>0</v>
      </c>
      <c r="AX234" s="49">
        <f ca="1">IF(HM_ZD_AM3_2005!CA_cum_gross_sales_Total&gt;=INDEX(FA_CS_cumprod_oil,2),AX228*AX230,AX228*AX232)</f>
        <v>0</v>
      </c>
      <c r="AY234" s="49">
        <f ca="1">IF(HM_ZD_AM3_2005!CA_cum_gross_sales_Total&gt;=INDEX(FA_CS_cumprod_oil,2),AY228*AY230,AY228*AY232)</f>
        <v>0</v>
      </c>
      <c r="AZ234" s="49">
        <f ca="1">IF(HM_ZD_AM3_2005!CA_cum_gross_sales_Total&gt;=INDEX(FA_CS_cumprod_oil,2),AZ228*AZ230,AZ228*AZ232)</f>
        <v>0</v>
      </c>
      <c r="BA234" s="49">
        <f ca="1">IF(HM_ZD_AM3_2005!CA_cum_gross_sales_Total&gt;=INDEX(FA_CS_cumprod_oil,2),BA228*BA230,BA228*BA232)</f>
        <v>0</v>
      </c>
      <c r="BB234" s="49">
        <f ca="1">IF(HM_ZD_AM3_2005!CA_cum_gross_sales_Total&gt;=INDEX(FA_CS_cumprod_oil,2),BB228*BB230,BB228*BB232)</f>
        <v>0</v>
      </c>
      <c r="BC234" s="49">
        <f ca="1">IF(HM_ZD_AM3_2005!CA_cum_gross_sales_Total&gt;=INDEX(FA_CS_cumprod_oil,2),BC228*BC230,BC228*BC232)</f>
        <v>0</v>
      </c>
      <c r="BD234" s="49">
        <f ca="1">IF(HM_ZD_AM3_2005!CA_cum_gross_sales_Total&gt;=INDEX(FA_CS_cumprod_oil,2),BD228*BD230,BD228*BD232)</f>
        <v>0</v>
      </c>
      <c r="BE234" s="49">
        <f ca="1">IF(HM_ZD_AM3_2005!CA_cum_gross_sales_Total&gt;=INDEX(FA_CS_cumprod_oil,2),BE228*BE230,BE228*BE232)</f>
        <v>0</v>
      </c>
      <c r="BF234" s="49">
        <f ca="1">IF(HM_ZD_AM3_2005!CA_cum_gross_sales_Total&gt;=INDEX(FA_CS_cumprod_oil,2),BF228*BF230,BF228*BF232)</f>
        <v>0</v>
      </c>
      <c r="BG234" s="49">
        <f ca="1">IF(HM_ZD_AM3_2005!CA_cum_gross_sales_Total&gt;=INDEX(FA_CS_cumprod_oil,2),BG228*BG230,BG228*BG232)</f>
        <v>0</v>
      </c>
      <c r="BH234" s="49">
        <f ca="1">IF(HM_ZD_AM3_2005!CA_cum_gross_sales_Total&gt;=INDEX(FA_CS_cumprod_oil,2),BH228*BH230,BH228*BH232)</f>
        <v>0</v>
      </c>
      <c r="BI234" s="49">
        <f ca="1">IF(HM_ZD_AM3_2005!CA_cum_gross_sales_Total&gt;=INDEX(FA_CS_cumprod_oil,2),BI228*BI230,BI228*BI232)</f>
        <v>0</v>
      </c>
      <c r="BJ234" s="49">
        <f ca="1">IF(HM_ZD_AM3_2005!CA_cum_gross_sales_Total&gt;=INDEX(FA_CS_cumprod_oil,2),BJ228*BJ230,BJ228*BJ232)</f>
        <v>0</v>
      </c>
      <c r="BK234" s="49">
        <f ca="1">IF(HM_ZD_AM3_2005!CA_cum_gross_sales_Total&gt;=INDEX(FA_CS_cumprod_oil,2),BK228*BK230,BK228*BK232)</f>
        <v>0</v>
      </c>
      <c r="BL234" s="49">
        <f ca="1">IF(HM_ZD_AM3_2005!CA_cum_gross_sales_Total&gt;=INDEX(FA_CS_cumprod_oil,2),BL228*BL230,BL228*BL232)</f>
        <v>0</v>
      </c>
      <c r="BM234" s="49">
        <f ca="1">IF(HM_ZD_AM3_2005!CA_cum_gross_sales_Total&gt;=INDEX(FA_CS_cumprod_oil,2),BM228*BM230,BM228*BM232)</f>
        <v>0</v>
      </c>
      <c r="BN234" s="49">
        <f ca="1">IF(HM_ZD_AM3_2005!CA_cum_gross_sales_Total&gt;=INDEX(FA_CS_cumprod_oil,2),BN228*BN230,BN228*BN232)</f>
        <v>0</v>
      </c>
      <c r="BO234" s="49">
        <f ca="1">IF(HM_ZD_AM3_2005!CA_cum_gross_sales_Total&gt;=INDEX(FA_CS_cumprod_oil,2),BO228*BO230,BO228*BO232)</f>
        <v>0</v>
      </c>
      <c r="BP234" s="49">
        <f ca="1">IF(HM_ZD_AM3_2005!CA_cum_gross_sales_Total&gt;=INDEX(FA_CS_cumprod_oil,2),BP228*BP230,BP228*BP232)</f>
        <v>0</v>
      </c>
      <c r="BQ234" s="49">
        <f ca="1">IF(HM_ZD_AM3_2005!CA_cum_gross_sales_Total&gt;=INDEX(FA_CS_cumprod_oil,2),BQ228*BQ230,BQ228*BQ232)</f>
        <v>0</v>
      </c>
      <c r="BR234" s="49">
        <f ca="1">IF(HM_ZD_AM3_2005!CA_cum_gross_sales_Total&gt;=INDEX(FA_CS_cumprod_oil,2),BR228*BR230,BR228*BR232)</f>
        <v>0</v>
      </c>
      <c r="BS234" s="49">
        <f ca="1">IF(HM_ZD_AM3_2005!CA_cum_gross_sales_Total&gt;=INDEX(FA_CS_cumprod_oil,2),BS228*BS230,BS228*BS232)</f>
        <v>0</v>
      </c>
    </row>
    <row r="235" spans="4:71" outlineLevel="1" x14ac:dyDescent="0.2">
      <c r="J235" s="26"/>
      <c r="L235" s="55"/>
      <c r="M235" s="55"/>
      <c r="N235" s="55"/>
      <c r="O235" s="55"/>
      <c r="P235" s="55"/>
      <c r="Q235" s="55"/>
      <c r="R235" s="55"/>
      <c r="S235" s="55"/>
      <c r="T235" s="55"/>
      <c r="U235" s="55"/>
      <c r="V235" s="55"/>
      <c r="W235" s="55"/>
      <c r="X235" s="55"/>
      <c r="Y235" s="55"/>
      <c r="Z235" s="55"/>
      <c r="AA235" s="55"/>
      <c r="AB235" s="55"/>
      <c r="AC235" s="55"/>
      <c r="AD235" s="55"/>
      <c r="AE235" s="55"/>
      <c r="AF235" s="55"/>
      <c r="AG235" s="55"/>
      <c r="AH235" s="55"/>
      <c r="AI235" s="55"/>
      <c r="AJ235" s="55"/>
      <c r="AK235" s="55"/>
      <c r="AL235" s="55"/>
      <c r="AM235" s="55"/>
      <c r="AN235" s="55"/>
      <c r="AO235" s="55"/>
      <c r="AP235" s="55"/>
      <c r="AQ235" s="55"/>
      <c r="AR235" s="55"/>
      <c r="AS235" s="55"/>
      <c r="AT235" s="55"/>
      <c r="AU235" s="55"/>
      <c r="AV235" s="55"/>
      <c r="AW235" s="55"/>
      <c r="AX235" s="55"/>
      <c r="AY235" s="55"/>
      <c r="AZ235" s="55"/>
      <c r="BA235" s="55"/>
      <c r="BB235" s="55"/>
      <c r="BC235" s="55"/>
      <c r="BD235" s="55"/>
      <c r="BE235" s="55"/>
      <c r="BF235" s="55"/>
      <c r="BG235" s="55"/>
      <c r="BH235" s="55"/>
      <c r="BI235" s="55"/>
      <c r="BJ235" s="55"/>
      <c r="BK235" s="55"/>
      <c r="BL235" s="55"/>
      <c r="BM235" s="55"/>
      <c r="BN235" s="55"/>
      <c r="BO235" s="55"/>
      <c r="BP235" s="55"/>
      <c r="BQ235" s="55"/>
      <c r="BR235" s="55"/>
      <c r="BS235" s="55"/>
    </row>
    <row r="236" spans="4:71" outlineLevel="1" x14ac:dyDescent="0.2">
      <c r="D236" s="11" t="str">
        <f>HM_ZD_Moho!D259</f>
        <v>Calendrier de récupération des coûts</v>
      </c>
      <c r="J236" s="26"/>
      <c r="L236" s="55"/>
      <c r="M236" s="55"/>
      <c r="N236" s="55"/>
      <c r="O236" s="55"/>
      <c r="P236" s="55"/>
      <c r="Q236" s="55"/>
      <c r="R236" s="55"/>
      <c r="S236" s="55"/>
      <c r="T236" s="55"/>
      <c r="U236" s="55"/>
      <c r="V236" s="55"/>
      <c r="W236" s="55"/>
      <c r="X236" s="55"/>
      <c r="Y236" s="55"/>
      <c r="Z236" s="55"/>
      <c r="AA236" s="55"/>
      <c r="AB236" s="55"/>
      <c r="AC236" s="55"/>
      <c r="AD236" s="55"/>
      <c r="AE236" s="55"/>
      <c r="AF236" s="55"/>
      <c r="AG236" s="55"/>
      <c r="AH236" s="55"/>
      <c r="AI236" s="55"/>
      <c r="AJ236" s="55"/>
      <c r="AK236" s="55"/>
      <c r="AL236" s="55"/>
      <c r="AM236" s="55"/>
      <c r="AN236" s="55"/>
      <c r="AO236" s="55"/>
      <c r="AP236" s="55"/>
      <c r="AQ236" s="55"/>
      <c r="AR236" s="55"/>
      <c r="AS236" s="55"/>
      <c r="AT236" s="55"/>
      <c r="AU236" s="55"/>
      <c r="AV236" s="55"/>
      <c r="AW236" s="55"/>
      <c r="AX236" s="55"/>
      <c r="AY236" s="55"/>
      <c r="AZ236" s="55"/>
      <c r="BA236" s="55"/>
      <c r="BB236" s="55"/>
      <c r="BC236" s="55"/>
      <c r="BD236" s="55"/>
      <c r="BE236" s="55"/>
      <c r="BF236" s="55"/>
      <c r="BG236" s="55"/>
      <c r="BH236" s="55"/>
      <c r="BI236" s="55"/>
      <c r="BJ236" s="55"/>
      <c r="BK236" s="55"/>
      <c r="BL236" s="55"/>
      <c r="BM236" s="55"/>
      <c r="BN236" s="55"/>
      <c r="BO236" s="55"/>
      <c r="BP236" s="55"/>
      <c r="BQ236" s="55"/>
      <c r="BR236" s="55"/>
      <c r="BS236" s="55"/>
    </row>
    <row r="237" spans="4:71" outlineLevel="1" x14ac:dyDescent="0.2">
      <c r="D237" s="51" t="str">
        <f>HM_ZD_Moho!D260</f>
        <v>Opex</v>
      </c>
      <c r="J237" s="26"/>
      <c r="L237" s="55"/>
      <c r="M237" s="55"/>
      <c r="N237" s="55"/>
      <c r="O237" s="55"/>
      <c r="P237" s="55"/>
      <c r="Q237" s="55"/>
      <c r="R237" s="55"/>
      <c r="S237" s="55"/>
      <c r="T237" s="55"/>
      <c r="U237" s="55"/>
      <c r="V237" s="55"/>
      <c r="W237" s="55"/>
      <c r="X237" s="55"/>
      <c r="Y237" s="55"/>
      <c r="Z237" s="55"/>
      <c r="AA237" s="55"/>
      <c r="AB237" s="55"/>
      <c r="AC237" s="55"/>
      <c r="AD237" s="55"/>
      <c r="AE237" s="55"/>
      <c r="AF237" s="55"/>
      <c r="AG237" s="55"/>
      <c r="AH237" s="55"/>
      <c r="AI237" s="55"/>
      <c r="AJ237" s="55"/>
      <c r="AK237" s="55"/>
      <c r="AL237" s="55"/>
      <c r="AM237" s="55"/>
      <c r="AN237" s="55"/>
      <c r="AO237" s="55"/>
      <c r="AP237" s="55"/>
      <c r="AQ237" s="55"/>
      <c r="AR237" s="55"/>
      <c r="AS237" s="55"/>
      <c r="AT237" s="55"/>
      <c r="AU237" s="55"/>
      <c r="AV237" s="55"/>
      <c r="AW237" s="55"/>
      <c r="AX237" s="55"/>
      <c r="AY237" s="55"/>
      <c r="AZ237" s="55"/>
      <c r="BA237" s="55"/>
      <c r="BB237" s="55"/>
      <c r="BC237" s="55"/>
      <c r="BD237" s="55"/>
      <c r="BE237" s="55"/>
      <c r="BF237" s="55"/>
      <c r="BG237" s="55"/>
      <c r="BH237" s="55"/>
      <c r="BI237" s="55"/>
      <c r="BJ237" s="55"/>
      <c r="BK237" s="55"/>
      <c r="BL237" s="55"/>
      <c r="BM237" s="55"/>
      <c r="BN237" s="55"/>
      <c r="BO237" s="55"/>
      <c r="BP237" s="55"/>
      <c r="BQ237" s="55"/>
      <c r="BR237" s="55"/>
      <c r="BS237" s="55"/>
    </row>
    <row r="238" spans="4:71" outlineLevel="1" x14ac:dyDescent="0.2">
      <c r="E238" t="str">
        <f>HM_ZD_Moho!E261</f>
        <v>Revenus disponibles pour la récupération</v>
      </c>
      <c r="I238" s="30">
        <f t="shared" ref="I238:I240" ca="1" si="73">SUM($L238:$BS238)</f>
        <v>545.20625357630365</v>
      </c>
      <c r="J238" s="26" t="s">
        <v>148</v>
      </c>
      <c r="L238" s="49">
        <f ca="1">HM_ZD_AM3_2005!CA_cost_stop</f>
        <v>263.98577304099854</v>
      </c>
      <c r="M238" s="49">
        <f ca="1">HM_ZD_AM3_2005!CA_cost_stop</f>
        <v>281.22048053530517</v>
      </c>
      <c r="N238" s="49">
        <f ca="1">HM_ZD_AM3_2005!CA_cost_stop</f>
        <v>0</v>
      </c>
      <c r="O238" s="49">
        <f ca="1">HM_ZD_AM3_2005!CA_cost_stop</f>
        <v>0</v>
      </c>
      <c r="P238" s="49">
        <f ca="1">HM_ZD_AM3_2005!CA_cost_stop</f>
        <v>0</v>
      </c>
      <c r="Q238" s="49">
        <f ca="1">HM_ZD_AM3_2005!CA_cost_stop</f>
        <v>0</v>
      </c>
      <c r="R238" s="49">
        <f ca="1">HM_ZD_AM3_2005!CA_cost_stop</f>
        <v>0</v>
      </c>
      <c r="S238" s="49">
        <f ca="1">HM_ZD_AM3_2005!CA_cost_stop</f>
        <v>0</v>
      </c>
      <c r="T238" s="49">
        <f ca="1">HM_ZD_AM3_2005!CA_cost_stop</f>
        <v>0</v>
      </c>
      <c r="U238" s="49">
        <f ca="1">HM_ZD_AM3_2005!CA_cost_stop</f>
        <v>0</v>
      </c>
      <c r="V238" s="49">
        <f ca="1">HM_ZD_AM3_2005!CA_cost_stop</f>
        <v>0</v>
      </c>
      <c r="W238" s="49">
        <f ca="1">HM_ZD_AM3_2005!CA_cost_stop</f>
        <v>0</v>
      </c>
      <c r="X238" s="49">
        <f ca="1">HM_ZD_AM3_2005!CA_cost_stop</f>
        <v>0</v>
      </c>
      <c r="Y238" s="49">
        <f ca="1">HM_ZD_AM3_2005!CA_cost_stop</f>
        <v>0</v>
      </c>
      <c r="Z238" s="49">
        <f ca="1">HM_ZD_AM3_2005!CA_cost_stop</f>
        <v>0</v>
      </c>
      <c r="AA238" s="49">
        <f ca="1">HM_ZD_AM3_2005!CA_cost_stop</f>
        <v>0</v>
      </c>
      <c r="AB238" s="49">
        <f ca="1">HM_ZD_AM3_2005!CA_cost_stop</f>
        <v>0</v>
      </c>
      <c r="AC238" s="49">
        <f ca="1">HM_ZD_AM3_2005!CA_cost_stop</f>
        <v>0</v>
      </c>
      <c r="AD238" s="49">
        <f ca="1">HM_ZD_AM3_2005!CA_cost_stop</f>
        <v>0</v>
      </c>
      <c r="AE238" s="49">
        <f ca="1">HM_ZD_AM3_2005!CA_cost_stop</f>
        <v>0</v>
      </c>
      <c r="AF238" s="49">
        <f ca="1">HM_ZD_AM3_2005!CA_cost_stop</f>
        <v>0</v>
      </c>
      <c r="AG238" s="49">
        <f ca="1">HM_ZD_AM3_2005!CA_cost_stop</f>
        <v>0</v>
      </c>
      <c r="AH238" s="49">
        <f ca="1">HM_ZD_AM3_2005!CA_cost_stop</f>
        <v>0</v>
      </c>
      <c r="AI238" s="49">
        <f ca="1">HM_ZD_AM3_2005!CA_cost_stop</f>
        <v>0</v>
      </c>
      <c r="AJ238" s="49">
        <f ca="1">HM_ZD_AM3_2005!CA_cost_stop</f>
        <v>0</v>
      </c>
      <c r="AK238" s="49">
        <f ca="1">HM_ZD_AM3_2005!CA_cost_stop</f>
        <v>0</v>
      </c>
      <c r="AL238" s="49">
        <f ca="1">HM_ZD_AM3_2005!CA_cost_stop</f>
        <v>0</v>
      </c>
      <c r="AM238" s="49">
        <f ca="1">HM_ZD_AM3_2005!CA_cost_stop</f>
        <v>0</v>
      </c>
      <c r="AN238" s="49">
        <f ca="1">HM_ZD_AM3_2005!CA_cost_stop</f>
        <v>0</v>
      </c>
      <c r="AO238" s="49">
        <f ca="1">HM_ZD_AM3_2005!CA_cost_stop</f>
        <v>0</v>
      </c>
      <c r="AP238" s="49">
        <f ca="1">HM_ZD_AM3_2005!CA_cost_stop</f>
        <v>0</v>
      </c>
      <c r="AQ238" s="49">
        <f ca="1">HM_ZD_AM3_2005!CA_cost_stop</f>
        <v>0</v>
      </c>
      <c r="AR238" s="49">
        <f ca="1">HM_ZD_AM3_2005!CA_cost_stop</f>
        <v>0</v>
      </c>
      <c r="AS238" s="49">
        <f ca="1">HM_ZD_AM3_2005!CA_cost_stop</f>
        <v>0</v>
      </c>
      <c r="AT238" s="49">
        <f ca="1">HM_ZD_AM3_2005!CA_cost_stop</f>
        <v>0</v>
      </c>
      <c r="AU238" s="49">
        <f ca="1">HM_ZD_AM3_2005!CA_cost_stop</f>
        <v>0</v>
      </c>
      <c r="AV238" s="49">
        <f ca="1">HM_ZD_AM3_2005!CA_cost_stop</f>
        <v>0</v>
      </c>
      <c r="AW238" s="49">
        <f ca="1">HM_ZD_AM3_2005!CA_cost_stop</f>
        <v>0</v>
      </c>
      <c r="AX238" s="49">
        <f ca="1">HM_ZD_AM3_2005!CA_cost_stop</f>
        <v>0</v>
      </c>
      <c r="AY238" s="49">
        <f ca="1">HM_ZD_AM3_2005!CA_cost_stop</f>
        <v>0</v>
      </c>
      <c r="AZ238" s="49">
        <f ca="1">HM_ZD_AM3_2005!CA_cost_stop</f>
        <v>0</v>
      </c>
      <c r="BA238" s="49">
        <f ca="1">HM_ZD_AM3_2005!CA_cost_stop</f>
        <v>0</v>
      </c>
      <c r="BB238" s="49">
        <f ca="1">HM_ZD_AM3_2005!CA_cost_stop</f>
        <v>0</v>
      </c>
      <c r="BC238" s="49">
        <f ca="1">HM_ZD_AM3_2005!CA_cost_stop</f>
        <v>0</v>
      </c>
      <c r="BD238" s="49">
        <f ca="1">HM_ZD_AM3_2005!CA_cost_stop</f>
        <v>0</v>
      </c>
      <c r="BE238" s="49">
        <f ca="1">HM_ZD_AM3_2005!CA_cost_stop</f>
        <v>0</v>
      </c>
      <c r="BF238" s="49">
        <f ca="1">HM_ZD_AM3_2005!CA_cost_stop</f>
        <v>0</v>
      </c>
      <c r="BG238" s="49">
        <f ca="1">HM_ZD_AM3_2005!CA_cost_stop</f>
        <v>0</v>
      </c>
      <c r="BH238" s="49">
        <f ca="1">HM_ZD_AM3_2005!CA_cost_stop</f>
        <v>0</v>
      </c>
      <c r="BI238" s="49">
        <f ca="1">HM_ZD_AM3_2005!CA_cost_stop</f>
        <v>0</v>
      </c>
      <c r="BJ238" s="49">
        <f ca="1">HM_ZD_AM3_2005!CA_cost_stop</f>
        <v>0</v>
      </c>
      <c r="BK238" s="49">
        <f ca="1">HM_ZD_AM3_2005!CA_cost_stop</f>
        <v>0</v>
      </c>
      <c r="BL238" s="49">
        <f ca="1">HM_ZD_AM3_2005!CA_cost_stop</f>
        <v>0</v>
      </c>
      <c r="BM238" s="49">
        <f ca="1">HM_ZD_AM3_2005!CA_cost_stop</f>
        <v>0</v>
      </c>
      <c r="BN238" s="49">
        <f ca="1">HM_ZD_AM3_2005!CA_cost_stop</f>
        <v>0</v>
      </c>
      <c r="BO238" s="49">
        <f ca="1">HM_ZD_AM3_2005!CA_cost_stop</f>
        <v>0</v>
      </c>
      <c r="BP238" s="49">
        <f ca="1">HM_ZD_AM3_2005!CA_cost_stop</f>
        <v>0</v>
      </c>
      <c r="BQ238" s="49">
        <f ca="1">HM_ZD_AM3_2005!CA_cost_stop</f>
        <v>0</v>
      </c>
      <c r="BR238" s="49">
        <f ca="1">HM_ZD_AM3_2005!CA_cost_stop</f>
        <v>0</v>
      </c>
      <c r="BS238" s="49">
        <f ca="1">HM_ZD_AM3_2005!CA_cost_stop</f>
        <v>0</v>
      </c>
    </row>
    <row r="239" spans="4:71" outlineLevel="1" x14ac:dyDescent="0.2">
      <c r="E239" t="str">
        <f>HM_ZD_Moho!E262</f>
        <v>Opex cumulés à récupérer</v>
      </c>
      <c r="I239" s="30">
        <f ca="1">I220</f>
        <v>392.69</v>
      </c>
      <c r="J239" s="26" t="s">
        <v>148</v>
      </c>
      <c r="L239" s="49">
        <f ca="1">HM_ZD_AM3_2005!CA_opex_to_recover+(K241*(1+HM_ZD_AM3_2005!int_rate_cf_costs))</f>
        <v>172.67099999999999</v>
      </c>
      <c r="M239" s="49">
        <f ca="1">HM_ZD_AM3_2005!CA_opex_to_recover+(L241*(1+HM_ZD_AM3_2005!int_rate_cf_costs))</f>
        <v>220.01900000000001</v>
      </c>
      <c r="N239" s="49">
        <f ca="1">HM_ZD_AM3_2005!CA_opex_to_recover+(M241*(1+HM_ZD_AM3_2005!int_rate_cf_costs))</f>
        <v>0</v>
      </c>
      <c r="O239" s="49">
        <f ca="1">HM_ZD_AM3_2005!CA_opex_to_recover+(N241*(1+HM_ZD_AM3_2005!int_rate_cf_costs))</f>
        <v>0</v>
      </c>
      <c r="P239" s="49">
        <f ca="1">HM_ZD_AM3_2005!CA_opex_to_recover+(O241*(1+HM_ZD_AM3_2005!int_rate_cf_costs))</f>
        <v>0</v>
      </c>
      <c r="Q239" s="49">
        <f ca="1">HM_ZD_AM3_2005!CA_opex_to_recover+(P241*(1+HM_ZD_AM3_2005!int_rate_cf_costs))</f>
        <v>0</v>
      </c>
      <c r="R239" s="49">
        <f ca="1">HM_ZD_AM3_2005!CA_opex_to_recover+(Q241*(1+HM_ZD_AM3_2005!int_rate_cf_costs))</f>
        <v>0</v>
      </c>
      <c r="S239" s="49">
        <f ca="1">HM_ZD_AM3_2005!CA_opex_to_recover+(R241*(1+HM_ZD_AM3_2005!int_rate_cf_costs))</f>
        <v>0</v>
      </c>
      <c r="T239" s="49">
        <f ca="1">HM_ZD_AM3_2005!CA_opex_to_recover+(S241*(1+HM_ZD_AM3_2005!int_rate_cf_costs))</f>
        <v>0</v>
      </c>
      <c r="U239" s="49">
        <f ca="1">HM_ZD_AM3_2005!CA_opex_to_recover+(T241*(1+HM_ZD_AM3_2005!int_rate_cf_costs))</f>
        <v>0</v>
      </c>
      <c r="V239" s="49">
        <f ca="1">HM_ZD_AM3_2005!CA_opex_to_recover+(U241*(1+HM_ZD_AM3_2005!int_rate_cf_costs))</f>
        <v>0</v>
      </c>
      <c r="W239" s="49">
        <f ca="1">HM_ZD_AM3_2005!CA_opex_to_recover+(V241*(1+HM_ZD_AM3_2005!int_rate_cf_costs))</f>
        <v>0</v>
      </c>
      <c r="X239" s="49">
        <f ca="1">HM_ZD_AM3_2005!CA_opex_to_recover+(W241*(1+HM_ZD_AM3_2005!int_rate_cf_costs))</f>
        <v>0</v>
      </c>
      <c r="Y239" s="49">
        <f ca="1">HM_ZD_AM3_2005!CA_opex_to_recover+(X241*(1+HM_ZD_AM3_2005!int_rate_cf_costs))</f>
        <v>0</v>
      </c>
      <c r="Z239" s="49">
        <f ca="1">HM_ZD_AM3_2005!CA_opex_to_recover+(Y241*(1+HM_ZD_AM3_2005!int_rate_cf_costs))</f>
        <v>0</v>
      </c>
      <c r="AA239" s="49">
        <f ca="1">HM_ZD_AM3_2005!CA_opex_to_recover+(Z241*(1+HM_ZD_AM3_2005!int_rate_cf_costs))</f>
        <v>0</v>
      </c>
      <c r="AB239" s="49">
        <f ca="1">HM_ZD_AM3_2005!CA_opex_to_recover+(AA241*(1+HM_ZD_AM3_2005!int_rate_cf_costs))</f>
        <v>0</v>
      </c>
      <c r="AC239" s="49">
        <f ca="1">HM_ZD_AM3_2005!CA_opex_to_recover+(AB241*(1+HM_ZD_AM3_2005!int_rate_cf_costs))</f>
        <v>0</v>
      </c>
      <c r="AD239" s="49">
        <f ca="1">HM_ZD_AM3_2005!CA_opex_to_recover+(AC241*(1+HM_ZD_AM3_2005!int_rate_cf_costs))</f>
        <v>0</v>
      </c>
      <c r="AE239" s="49">
        <f ca="1">HM_ZD_AM3_2005!CA_opex_to_recover+(AD241*(1+HM_ZD_AM3_2005!int_rate_cf_costs))</f>
        <v>0</v>
      </c>
      <c r="AF239" s="49">
        <f ca="1">HM_ZD_AM3_2005!CA_opex_to_recover+(AE241*(1+HM_ZD_AM3_2005!int_rate_cf_costs))</f>
        <v>0</v>
      </c>
      <c r="AG239" s="49">
        <f ca="1">HM_ZD_AM3_2005!CA_opex_to_recover+(AF241*(1+HM_ZD_AM3_2005!int_rate_cf_costs))</f>
        <v>0</v>
      </c>
      <c r="AH239" s="49">
        <f ca="1">HM_ZD_AM3_2005!CA_opex_to_recover+(AG241*(1+HM_ZD_AM3_2005!int_rate_cf_costs))</f>
        <v>0</v>
      </c>
      <c r="AI239" s="49">
        <f ca="1">HM_ZD_AM3_2005!CA_opex_to_recover+(AH241*(1+HM_ZD_AM3_2005!int_rate_cf_costs))</f>
        <v>0</v>
      </c>
      <c r="AJ239" s="49">
        <f ca="1">HM_ZD_AM3_2005!CA_opex_to_recover+(AI241*(1+HM_ZD_AM3_2005!int_rate_cf_costs))</f>
        <v>0</v>
      </c>
      <c r="AK239" s="49">
        <f ca="1">HM_ZD_AM3_2005!CA_opex_to_recover+(AJ241*(1+HM_ZD_AM3_2005!int_rate_cf_costs))</f>
        <v>0</v>
      </c>
      <c r="AL239" s="49">
        <f ca="1">HM_ZD_AM3_2005!CA_opex_to_recover+(AK241*(1+HM_ZD_AM3_2005!int_rate_cf_costs))</f>
        <v>0</v>
      </c>
      <c r="AM239" s="49">
        <f ca="1">HM_ZD_AM3_2005!CA_opex_to_recover+(AL241*(1+HM_ZD_AM3_2005!int_rate_cf_costs))</f>
        <v>0</v>
      </c>
      <c r="AN239" s="49">
        <f ca="1">HM_ZD_AM3_2005!CA_opex_to_recover+(AM241*(1+HM_ZD_AM3_2005!int_rate_cf_costs))</f>
        <v>0</v>
      </c>
      <c r="AO239" s="49">
        <f ca="1">HM_ZD_AM3_2005!CA_opex_to_recover+(AN241*(1+HM_ZD_AM3_2005!int_rate_cf_costs))</f>
        <v>0</v>
      </c>
      <c r="AP239" s="49">
        <f ca="1">HM_ZD_AM3_2005!CA_opex_to_recover+(AO241*(1+HM_ZD_AM3_2005!int_rate_cf_costs))</f>
        <v>0</v>
      </c>
      <c r="AQ239" s="49">
        <f ca="1">HM_ZD_AM3_2005!CA_opex_to_recover+(AP241*(1+HM_ZD_AM3_2005!int_rate_cf_costs))</f>
        <v>0</v>
      </c>
      <c r="AR239" s="49">
        <f ca="1">HM_ZD_AM3_2005!CA_opex_to_recover+(AQ241*(1+HM_ZD_AM3_2005!int_rate_cf_costs))</f>
        <v>0</v>
      </c>
      <c r="AS239" s="49">
        <f ca="1">HM_ZD_AM3_2005!CA_opex_to_recover+(AR241*(1+HM_ZD_AM3_2005!int_rate_cf_costs))</f>
        <v>0</v>
      </c>
      <c r="AT239" s="49">
        <f ca="1">HM_ZD_AM3_2005!CA_opex_to_recover+(AS241*(1+HM_ZD_AM3_2005!int_rate_cf_costs))</f>
        <v>0</v>
      </c>
      <c r="AU239" s="49">
        <f ca="1">HM_ZD_AM3_2005!CA_opex_to_recover+(AT241*(1+HM_ZD_AM3_2005!int_rate_cf_costs))</f>
        <v>0</v>
      </c>
      <c r="AV239" s="49">
        <f ca="1">HM_ZD_AM3_2005!CA_opex_to_recover+(AU241*(1+HM_ZD_AM3_2005!int_rate_cf_costs))</f>
        <v>0</v>
      </c>
      <c r="AW239" s="49">
        <f ca="1">HM_ZD_AM3_2005!CA_opex_to_recover+(AV241*(1+HM_ZD_AM3_2005!int_rate_cf_costs))</f>
        <v>0</v>
      </c>
      <c r="AX239" s="49">
        <f ca="1">HM_ZD_AM3_2005!CA_opex_to_recover+(AW241*(1+HM_ZD_AM3_2005!int_rate_cf_costs))</f>
        <v>0</v>
      </c>
      <c r="AY239" s="49">
        <f ca="1">HM_ZD_AM3_2005!CA_opex_to_recover+(AX241*(1+HM_ZD_AM3_2005!int_rate_cf_costs))</f>
        <v>0</v>
      </c>
      <c r="AZ239" s="49">
        <f ca="1">HM_ZD_AM3_2005!CA_opex_to_recover+(AY241*(1+HM_ZD_AM3_2005!int_rate_cf_costs))</f>
        <v>0</v>
      </c>
      <c r="BA239" s="49">
        <f ca="1">HM_ZD_AM3_2005!CA_opex_to_recover+(AZ241*(1+HM_ZD_AM3_2005!int_rate_cf_costs))</f>
        <v>0</v>
      </c>
      <c r="BB239" s="49">
        <f ca="1">HM_ZD_AM3_2005!CA_opex_to_recover+(BA241*(1+HM_ZD_AM3_2005!int_rate_cf_costs))</f>
        <v>0</v>
      </c>
      <c r="BC239" s="49">
        <f ca="1">HM_ZD_AM3_2005!CA_opex_to_recover+(BB241*(1+HM_ZD_AM3_2005!int_rate_cf_costs))</f>
        <v>0</v>
      </c>
      <c r="BD239" s="49">
        <f ca="1">HM_ZD_AM3_2005!CA_opex_to_recover+(BC241*(1+HM_ZD_AM3_2005!int_rate_cf_costs))</f>
        <v>0</v>
      </c>
      <c r="BE239" s="49">
        <f ca="1">HM_ZD_AM3_2005!CA_opex_to_recover+(BD241*(1+HM_ZD_AM3_2005!int_rate_cf_costs))</f>
        <v>0</v>
      </c>
      <c r="BF239" s="49">
        <f ca="1">HM_ZD_AM3_2005!CA_opex_to_recover+(BE241*(1+HM_ZD_AM3_2005!int_rate_cf_costs))</f>
        <v>0</v>
      </c>
      <c r="BG239" s="49">
        <f ca="1">HM_ZD_AM3_2005!CA_opex_to_recover+(BF241*(1+HM_ZD_AM3_2005!int_rate_cf_costs))</f>
        <v>0</v>
      </c>
      <c r="BH239" s="49">
        <f ca="1">HM_ZD_AM3_2005!CA_opex_to_recover+(BG241*(1+HM_ZD_AM3_2005!int_rate_cf_costs))</f>
        <v>0</v>
      </c>
      <c r="BI239" s="49">
        <f ca="1">HM_ZD_AM3_2005!CA_opex_to_recover+(BH241*(1+HM_ZD_AM3_2005!int_rate_cf_costs))</f>
        <v>0</v>
      </c>
      <c r="BJ239" s="49">
        <f ca="1">HM_ZD_AM3_2005!CA_opex_to_recover+(BI241*(1+HM_ZD_AM3_2005!int_rate_cf_costs))</f>
        <v>0</v>
      </c>
      <c r="BK239" s="49">
        <f ca="1">HM_ZD_AM3_2005!CA_opex_to_recover+(BJ241*(1+HM_ZD_AM3_2005!int_rate_cf_costs))</f>
        <v>0</v>
      </c>
      <c r="BL239" s="49">
        <f ca="1">HM_ZD_AM3_2005!CA_opex_to_recover+(BK241*(1+HM_ZD_AM3_2005!int_rate_cf_costs))</f>
        <v>0</v>
      </c>
      <c r="BM239" s="49">
        <f ca="1">HM_ZD_AM3_2005!CA_opex_to_recover+(BL241*(1+HM_ZD_AM3_2005!int_rate_cf_costs))</f>
        <v>0</v>
      </c>
      <c r="BN239" s="49">
        <f ca="1">HM_ZD_AM3_2005!CA_opex_to_recover+(BM241*(1+HM_ZD_AM3_2005!int_rate_cf_costs))</f>
        <v>0</v>
      </c>
      <c r="BO239" s="49">
        <f ca="1">HM_ZD_AM3_2005!CA_opex_to_recover+(BN241*(1+HM_ZD_AM3_2005!int_rate_cf_costs))</f>
        <v>0</v>
      </c>
      <c r="BP239" s="49">
        <f ca="1">HM_ZD_AM3_2005!CA_opex_to_recover+(BO241*(1+HM_ZD_AM3_2005!int_rate_cf_costs))</f>
        <v>0</v>
      </c>
      <c r="BQ239" s="49">
        <f ca="1">HM_ZD_AM3_2005!CA_opex_to_recover+(BP241*(1+HM_ZD_AM3_2005!int_rate_cf_costs))</f>
        <v>0</v>
      </c>
      <c r="BR239" s="49">
        <f ca="1">HM_ZD_AM3_2005!CA_opex_to_recover+(BQ241*(1+HM_ZD_AM3_2005!int_rate_cf_costs))</f>
        <v>0</v>
      </c>
      <c r="BS239" s="49">
        <f ca="1">HM_ZD_AM3_2005!CA_opex_to_recover+(BR241*(1+HM_ZD_AM3_2005!int_rate_cf_costs))</f>
        <v>0</v>
      </c>
    </row>
    <row r="240" spans="4:71" outlineLevel="1" x14ac:dyDescent="0.2">
      <c r="E240" t="str">
        <f>HM_ZD_Moho!E263</f>
        <v>Opex récupérés</v>
      </c>
      <c r="H240" s="56" t="b">
        <f ca="1">ROUND(I240,2)=-ROUND(I239,2)</f>
        <v>1</v>
      </c>
      <c r="I240" s="30">
        <f t="shared" ca="1" si="73"/>
        <v>-392.69</v>
      </c>
      <c r="J240" s="26" t="s">
        <v>148</v>
      </c>
      <c r="L240" s="49">
        <f ca="1">-MIN(L239,L238)</f>
        <v>-172.67099999999999</v>
      </c>
      <c r="M240" s="49">
        <f t="shared" ref="M240:BS240" ca="1" si="74">-MIN(M239,M238)</f>
        <v>-220.01900000000001</v>
      </c>
      <c r="N240" s="49">
        <f t="shared" ca="1" si="74"/>
        <v>0</v>
      </c>
      <c r="O240" s="49">
        <f t="shared" ca="1" si="74"/>
        <v>0</v>
      </c>
      <c r="P240" s="49">
        <f t="shared" ca="1" si="74"/>
        <v>0</v>
      </c>
      <c r="Q240" s="49">
        <f t="shared" ca="1" si="74"/>
        <v>0</v>
      </c>
      <c r="R240" s="49">
        <f t="shared" ca="1" si="74"/>
        <v>0</v>
      </c>
      <c r="S240" s="49">
        <f t="shared" ca="1" si="74"/>
        <v>0</v>
      </c>
      <c r="T240" s="49">
        <f t="shared" ca="1" si="74"/>
        <v>0</v>
      </c>
      <c r="U240" s="49">
        <f t="shared" ca="1" si="74"/>
        <v>0</v>
      </c>
      <c r="V240" s="49">
        <f t="shared" ca="1" si="74"/>
        <v>0</v>
      </c>
      <c r="W240" s="49">
        <f t="shared" ca="1" si="74"/>
        <v>0</v>
      </c>
      <c r="X240" s="49">
        <f t="shared" ca="1" si="74"/>
        <v>0</v>
      </c>
      <c r="Y240" s="49">
        <f t="shared" ca="1" si="74"/>
        <v>0</v>
      </c>
      <c r="Z240" s="49">
        <f t="shared" ca="1" si="74"/>
        <v>0</v>
      </c>
      <c r="AA240" s="49">
        <f t="shared" ca="1" si="74"/>
        <v>0</v>
      </c>
      <c r="AB240" s="49">
        <f t="shared" ca="1" si="74"/>
        <v>0</v>
      </c>
      <c r="AC240" s="49">
        <f t="shared" ca="1" si="74"/>
        <v>0</v>
      </c>
      <c r="AD240" s="49">
        <f t="shared" ca="1" si="74"/>
        <v>0</v>
      </c>
      <c r="AE240" s="49">
        <f t="shared" ca="1" si="74"/>
        <v>0</v>
      </c>
      <c r="AF240" s="49">
        <f t="shared" ca="1" si="74"/>
        <v>0</v>
      </c>
      <c r="AG240" s="49">
        <f t="shared" ca="1" si="74"/>
        <v>0</v>
      </c>
      <c r="AH240" s="49">
        <f t="shared" ca="1" si="74"/>
        <v>0</v>
      </c>
      <c r="AI240" s="49">
        <f t="shared" ca="1" si="74"/>
        <v>0</v>
      </c>
      <c r="AJ240" s="49">
        <f t="shared" ca="1" si="74"/>
        <v>0</v>
      </c>
      <c r="AK240" s="49">
        <f t="shared" ca="1" si="74"/>
        <v>0</v>
      </c>
      <c r="AL240" s="49">
        <f t="shared" ca="1" si="74"/>
        <v>0</v>
      </c>
      <c r="AM240" s="49">
        <f t="shared" ca="1" si="74"/>
        <v>0</v>
      </c>
      <c r="AN240" s="49">
        <f t="shared" ca="1" si="74"/>
        <v>0</v>
      </c>
      <c r="AO240" s="49">
        <f t="shared" ca="1" si="74"/>
        <v>0</v>
      </c>
      <c r="AP240" s="49">
        <f t="shared" ca="1" si="74"/>
        <v>0</v>
      </c>
      <c r="AQ240" s="49">
        <f t="shared" ca="1" si="74"/>
        <v>0</v>
      </c>
      <c r="AR240" s="49">
        <f t="shared" ca="1" si="74"/>
        <v>0</v>
      </c>
      <c r="AS240" s="49">
        <f t="shared" ca="1" si="74"/>
        <v>0</v>
      </c>
      <c r="AT240" s="49">
        <f t="shared" ca="1" si="74"/>
        <v>0</v>
      </c>
      <c r="AU240" s="49">
        <f t="shared" ca="1" si="74"/>
        <v>0</v>
      </c>
      <c r="AV240" s="49">
        <f t="shared" ca="1" si="74"/>
        <v>0</v>
      </c>
      <c r="AW240" s="49">
        <f t="shared" ca="1" si="74"/>
        <v>0</v>
      </c>
      <c r="AX240" s="49">
        <f t="shared" ca="1" si="74"/>
        <v>0</v>
      </c>
      <c r="AY240" s="49">
        <f t="shared" ca="1" si="74"/>
        <v>0</v>
      </c>
      <c r="AZ240" s="49">
        <f t="shared" ca="1" si="74"/>
        <v>0</v>
      </c>
      <c r="BA240" s="49">
        <f t="shared" ca="1" si="74"/>
        <v>0</v>
      </c>
      <c r="BB240" s="49">
        <f t="shared" ca="1" si="74"/>
        <v>0</v>
      </c>
      <c r="BC240" s="49">
        <f t="shared" ca="1" si="74"/>
        <v>0</v>
      </c>
      <c r="BD240" s="49">
        <f t="shared" ca="1" si="74"/>
        <v>0</v>
      </c>
      <c r="BE240" s="49">
        <f t="shared" ca="1" si="74"/>
        <v>0</v>
      </c>
      <c r="BF240" s="49">
        <f t="shared" ca="1" si="74"/>
        <v>0</v>
      </c>
      <c r="BG240" s="49">
        <f t="shared" ca="1" si="74"/>
        <v>0</v>
      </c>
      <c r="BH240" s="49">
        <f t="shared" ca="1" si="74"/>
        <v>0</v>
      </c>
      <c r="BI240" s="49">
        <f t="shared" ca="1" si="74"/>
        <v>0</v>
      </c>
      <c r="BJ240" s="49">
        <f t="shared" ca="1" si="74"/>
        <v>0</v>
      </c>
      <c r="BK240" s="49">
        <f t="shared" ca="1" si="74"/>
        <v>0</v>
      </c>
      <c r="BL240" s="49">
        <f t="shared" ca="1" si="74"/>
        <v>0</v>
      </c>
      <c r="BM240" s="49">
        <f t="shared" ca="1" si="74"/>
        <v>0</v>
      </c>
      <c r="BN240" s="49">
        <f t="shared" ca="1" si="74"/>
        <v>0</v>
      </c>
      <c r="BO240" s="49">
        <f t="shared" ca="1" si="74"/>
        <v>0</v>
      </c>
      <c r="BP240" s="49">
        <f t="shared" ca="1" si="74"/>
        <v>0</v>
      </c>
      <c r="BQ240" s="49">
        <f t="shared" ca="1" si="74"/>
        <v>0</v>
      </c>
      <c r="BR240" s="49">
        <f t="shared" ca="1" si="74"/>
        <v>0</v>
      </c>
      <c r="BS240" s="49">
        <f t="shared" ca="1" si="74"/>
        <v>0</v>
      </c>
    </row>
    <row r="241" spans="4:71" outlineLevel="1" x14ac:dyDescent="0.2">
      <c r="E241" t="str">
        <f>HM_ZD_Moho!E264</f>
        <v xml:space="preserve">Sous/(Sur)récupération </v>
      </c>
      <c r="J241" s="26"/>
      <c r="L241" s="49">
        <f ca="1">L239+L240</f>
        <v>0</v>
      </c>
      <c r="M241" s="49">
        <f t="shared" ref="M241:BS241" ca="1" si="75">M239+M240</f>
        <v>0</v>
      </c>
      <c r="N241" s="49">
        <f t="shared" ca="1" si="75"/>
        <v>0</v>
      </c>
      <c r="O241" s="49">
        <f t="shared" ca="1" si="75"/>
        <v>0</v>
      </c>
      <c r="P241" s="49">
        <f t="shared" ca="1" si="75"/>
        <v>0</v>
      </c>
      <c r="Q241" s="49">
        <f t="shared" ca="1" si="75"/>
        <v>0</v>
      </c>
      <c r="R241" s="49">
        <f t="shared" ca="1" si="75"/>
        <v>0</v>
      </c>
      <c r="S241" s="49">
        <f t="shared" ca="1" si="75"/>
        <v>0</v>
      </c>
      <c r="T241" s="49">
        <f t="shared" ca="1" si="75"/>
        <v>0</v>
      </c>
      <c r="U241" s="49">
        <f t="shared" ca="1" si="75"/>
        <v>0</v>
      </c>
      <c r="V241" s="49">
        <f t="shared" ca="1" si="75"/>
        <v>0</v>
      </c>
      <c r="W241" s="49">
        <f t="shared" ca="1" si="75"/>
        <v>0</v>
      </c>
      <c r="X241" s="49">
        <f t="shared" ca="1" si="75"/>
        <v>0</v>
      </c>
      <c r="Y241" s="49">
        <f t="shared" ca="1" si="75"/>
        <v>0</v>
      </c>
      <c r="Z241" s="49">
        <f t="shared" ca="1" si="75"/>
        <v>0</v>
      </c>
      <c r="AA241" s="49">
        <f t="shared" ca="1" si="75"/>
        <v>0</v>
      </c>
      <c r="AB241" s="49">
        <f t="shared" ca="1" si="75"/>
        <v>0</v>
      </c>
      <c r="AC241" s="49">
        <f t="shared" ca="1" si="75"/>
        <v>0</v>
      </c>
      <c r="AD241" s="49">
        <f t="shared" ca="1" si="75"/>
        <v>0</v>
      </c>
      <c r="AE241" s="49">
        <f t="shared" ca="1" si="75"/>
        <v>0</v>
      </c>
      <c r="AF241" s="49">
        <f t="shared" ca="1" si="75"/>
        <v>0</v>
      </c>
      <c r="AG241" s="49">
        <f t="shared" ca="1" si="75"/>
        <v>0</v>
      </c>
      <c r="AH241" s="49">
        <f t="shared" ca="1" si="75"/>
        <v>0</v>
      </c>
      <c r="AI241" s="49">
        <f t="shared" ca="1" si="75"/>
        <v>0</v>
      </c>
      <c r="AJ241" s="49">
        <f t="shared" ca="1" si="75"/>
        <v>0</v>
      </c>
      <c r="AK241" s="49">
        <f t="shared" ca="1" si="75"/>
        <v>0</v>
      </c>
      <c r="AL241" s="49">
        <f t="shared" ca="1" si="75"/>
        <v>0</v>
      </c>
      <c r="AM241" s="49">
        <f t="shared" ca="1" si="75"/>
        <v>0</v>
      </c>
      <c r="AN241" s="49">
        <f t="shared" ca="1" si="75"/>
        <v>0</v>
      </c>
      <c r="AO241" s="49">
        <f t="shared" ca="1" si="75"/>
        <v>0</v>
      </c>
      <c r="AP241" s="49">
        <f t="shared" ca="1" si="75"/>
        <v>0</v>
      </c>
      <c r="AQ241" s="49">
        <f t="shared" ca="1" si="75"/>
        <v>0</v>
      </c>
      <c r="AR241" s="49">
        <f t="shared" ca="1" si="75"/>
        <v>0</v>
      </c>
      <c r="AS241" s="49">
        <f t="shared" ca="1" si="75"/>
        <v>0</v>
      </c>
      <c r="AT241" s="49">
        <f t="shared" ca="1" si="75"/>
        <v>0</v>
      </c>
      <c r="AU241" s="49">
        <f t="shared" ca="1" si="75"/>
        <v>0</v>
      </c>
      <c r="AV241" s="49">
        <f t="shared" ca="1" si="75"/>
        <v>0</v>
      </c>
      <c r="AW241" s="49">
        <f t="shared" ca="1" si="75"/>
        <v>0</v>
      </c>
      <c r="AX241" s="49">
        <f t="shared" ca="1" si="75"/>
        <v>0</v>
      </c>
      <c r="AY241" s="49">
        <f t="shared" ca="1" si="75"/>
        <v>0</v>
      </c>
      <c r="AZ241" s="49">
        <f t="shared" ca="1" si="75"/>
        <v>0</v>
      </c>
      <c r="BA241" s="49">
        <f t="shared" ca="1" si="75"/>
        <v>0</v>
      </c>
      <c r="BB241" s="49">
        <f t="shared" ca="1" si="75"/>
        <v>0</v>
      </c>
      <c r="BC241" s="49">
        <f t="shared" ca="1" si="75"/>
        <v>0</v>
      </c>
      <c r="BD241" s="49">
        <f t="shared" ca="1" si="75"/>
        <v>0</v>
      </c>
      <c r="BE241" s="49">
        <f t="shared" ca="1" si="75"/>
        <v>0</v>
      </c>
      <c r="BF241" s="49">
        <f t="shared" ca="1" si="75"/>
        <v>0</v>
      </c>
      <c r="BG241" s="49">
        <f t="shared" ca="1" si="75"/>
        <v>0</v>
      </c>
      <c r="BH241" s="49">
        <f t="shared" ca="1" si="75"/>
        <v>0</v>
      </c>
      <c r="BI241" s="49">
        <f t="shared" ca="1" si="75"/>
        <v>0</v>
      </c>
      <c r="BJ241" s="49">
        <f t="shared" ca="1" si="75"/>
        <v>0</v>
      </c>
      <c r="BK241" s="49">
        <f t="shared" ca="1" si="75"/>
        <v>0</v>
      </c>
      <c r="BL241" s="49">
        <f t="shared" ca="1" si="75"/>
        <v>0</v>
      </c>
      <c r="BM241" s="49">
        <f t="shared" ca="1" si="75"/>
        <v>0</v>
      </c>
      <c r="BN241" s="49">
        <f t="shared" ca="1" si="75"/>
        <v>0</v>
      </c>
      <c r="BO241" s="49">
        <f t="shared" ca="1" si="75"/>
        <v>0</v>
      </c>
      <c r="BP241" s="49">
        <f t="shared" ca="1" si="75"/>
        <v>0</v>
      </c>
      <c r="BQ241" s="49">
        <f t="shared" ca="1" si="75"/>
        <v>0</v>
      </c>
      <c r="BR241" s="49">
        <f t="shared" ca="1" si="75"/>
        <v>0</v>
      </c>
      <c r="BS241" s="49">
        <f t="shared" ca="1" si="75"/>
        <v>0</v>
      </c>
    </row>
    <row r="242" spans="4:71" outlineLevel="1" x14ac:dyDescent="0.2">
      <c r="J242" s="26"/>
      <c r="L242" s="55"/>
      <c r="M242" s="55"/>
      <c r="N242" s="55"/>
      <c r="O242" s="55"/>
      <c r="P242" s="55"/>
      <c r="Q242" s="55"/>
      <c r="R242" s="55"/>
      <c r="S242" s="55"/>
      <c r="T242" s="55"/>
      <c r="U242" s="55"/>
      <c r="V242" s="55"/>
      <c r="W242" s="55"/>
      <c r="X242" s="55"/>
      <c r="Y242" s="55"/>
      <c r="Z242" s="55"/>
      <c r="AA242" s="55"/>
      <c r="AB242" s="55"/>
      <c r="AC242" s="55"/>
      <c r="AD242" s="55"/>
      <c r="AE242" s="55"/>
      <c r="AF242" s="55"/>
      <c r="AG242" s="55"/>
      <c r="AH242" s="55"/>
      <c r="AI242" s="55"/>
      <c r="AJ242" s="55"/>
      <c r="AK242" s="55"/>
      <c r="AL242" s="55"/>
      <c r="AM242" s="55"/>
      <c r="AN242" s="55"/>
      <c r="AO242" s="55"/>
      <c r="AP242" s="55"/>
      <c r="AQ242" s="55"/>
      <c r="AR242" s="55"/>
      <c r="AS242" s="55"/>
      <c r="AT242" s="55"/>
      <c r="AU242" s="55"/>
      <c r="AV242" s="55"/>
      <c r="AW242" s="55"/>
      <c r="AX242" s="55"/>
      <c r="AY242" s="55"/>
      <c r="AZ242" s="55"/>
      <c r="BA242" s="55"/>
      <c r="BB242" s="55"/>
      <c r="BC242" s="55"/>
      <c r="BD242" s="55"/>
      <c r="BE242" s="55"/>
      <c r="BF242" s="55"/>
      <c r="BG242" s="55"/>
      <c r="BH242" s="55"/>
      <c r="BI242" s="55"/>
      <c r="BJ242" s="55"/>
      <c r="BK242" s="55"/>
      <c r="BL242" s="55"/>
      <c r="BM242" s="55"/>
      <c r="BN242" s="55"/>
      <c r="BO242" s="55"/>
      <c r="BP242" s="55"/>
      <c r="BQ242" s="55"/>
      <c r="BR242" s="55"/>
      <c r="BS242" s="55"/>
    </row>
    <row r="243" spans="4:71" outlineLevel="1" x14ac:dyDescent="0.2">
      <c r="D243" s="51" t="str">
        <f>HM_ZD_Moho!D266</f>
        <v>Coûts PID</v>
      </c>
      <c r="J243" s="26"/>
      <c r="L243" s="55"/>
      <c r="M243" s="55"/>
      <c r="N243" s="55"/>
      <c r="O243" s="55"/>
      <c r="P243" s="55"/>
      <c r="Q243" s="55"/>
      <c r="R243" s="55"/>
      <c r="S243" s="55"/>
      <c r="T243" s="55"/>
      <c r="U243" s="55"/>
      <c r="V243" s="55"/>
      <c r="W243" s="55"/>
      <c r="X243" s="55"/>
      <c r="Y243" s="55"/>
      <c r="Z243" s="55"/>
      <c r="AA243" s="55"/>
      <c r="AB243" s="55"/>
      <c r="AC243" s="55"/>
      <c r="AD243" s="55"/>
      <c r="AE243" s="55"/>
      <c r="AF243" s="55"/>
      <c r="AG243" s="55"/>
      <c r="AH243" s="55"/>
      <c r="AI243" s="55"/>
      <c r="AJ243" s="55"/>
      <c r="AK243" s="55"/>
      <c r="AL243" s="55"/>
      <c r="AM243" s="55"/>
      <c r="AN243" s="55"/>
      <c r="AO243" s="55"/>
      <c r="AP243" s="55"/>
      <c r="AQ243" s="55"/>
      <c r="AR243" s="55"/>
      <c r="AS243" s="55"/>
      <c r="AT243" s="55"/>
      <c r="AU243" s="55"/>
      <c r="AV243" s="55"/>
      <c r="AW243" s="55"/>
      <c r="AX243" s="55"/>
      <c r="AY243" s="55"/>
      <c r="AZ243" s="55"/>
      <c r="BA243" s="55"/>
      <c r="BB243" s="55"/>
      <c r="BC243" s="55"/>
      <c r="BD243" s="55"/>
      <c r="BE243" s="55"/>
      <c r="BF243" s="55"/>
      <c r="BG243" s="55"/>
      <c r="BH243" s="55"/>
      <c r="BI243" s="55"/>
      <c r="BJ243" s="55"/>
      <c r="BK243" s="55"/>
      <c r="BL243" s="55"/>
      <c r="BM243" s="55"/>
      <c r="BN243" s="55"/>
      <c r="BO243" s="55"/>
      <c r="BP243" s="55"/>
      <c r="BQ243" s="55"/>
      <c r="BR243" s="55"/>
      <c r="BS243" s="55"/>
    </row>
    <row r="244" spans="4:71" outlineLevel="1" x14ac:dyDescent="0.2">
      <c r="E244" t="str">
        <f>HM_ZD_Moho!E267</f>
        <v>Revenus disponibles pour la récupération</v>
      </c>
      <c r="I244" s="30">
        <f t="shared" ref="I244:I246" ca="1" si="76">SUM($L244:$BS244)</f>
        <v>152.51625357630371</v>
      </c>
      <c r="J244" s="26" t="s">
        <v>148</v>
      </c>
      <c r="L244" s="49">
        <f ca="1">HM_ZD_AM3_2005!CA_cost_stop+L240</f>
        <v>91.314773040998546</v>
      </c>
      <c r="M244" s="49">
        <f ca="1">HM_ZD_AM3_2005!CA_cost_stop+M240</f>
        <v>61.201480535305166</v>
      </c>
      <c r="N244" s="49">
        <f ca="1">HM_ZD_AM3_2005!CA_cost_stop+N240</f>
        <v>0</v>
      </c>
      <c r="O244" s="49">
        <f ca="1">HM_ZD_AM3_2005!CA_cost_stop+O240</f>
        <v>0</v>
      </c>
      <c r="P244" s="49">
        <f ca="1">HM_ZD_AM3_2005!CA_cost_stop+P240</f>
        <v>0</v>
      </c>
      <c r="Q244" s="49">
        <f ca="1">HM_ZD_AM3_2005!CA_cost_stop+Q240</f>
        <v>0</v>
      </c>
      <c r="R244" s="49">
        <f ca="1">HM_ZD_AM3_2005!CA_cost_stop+R240</f>
        <v>0</v>
      </c>
      <c r="S244" s="49">
        <f ca="1">HM_ZD_AM3_2005!CA_cost_stop+S240</f>
        <v>0</v>
      </c>
      <c r="T244" s="49">
        <f ca="1">HM_ZD_AM3_2005!CA_cost_stop+T240</f>
        <v>0</v>
      </c>
      <c r="U244" s="49">
        <f ca="1">HM_ZD_AM3_2005!CA_cost_stop+U240</f>
        <v>0</v>
      </c>
      <c r="V244" s="49">
        <f ca="1">HM_ZD_AM3_2005!CA_cost_stop+V240</f>
        <v>0</v>
      </c>
      <c r="W244" s="49">
        <f ca="1">HM_ZD_AM3_2005!CA_cost_stop+W240</f>
        <v>0</v>
      </c>
      <c r="X244" s="49">
        <f ca="1">HM_ZD_AM3_2005!CA_cost_stop+X240</f>
        <v>0</v>
      </c>
      <c r="Y244" s="49">
        <f ca="1">HM_ZD_AM3_2005!CA_cost_stop+Y240</f>
        <v>0</v>
      </c>
      <c r="Z244" s="49">
        <f ca="1">HM_ZD_AM3_2005!CA_cost_stop+Z240</f>
        <v>0</v>
      </c>
      <c r="AA244" s="49">
        <f ca="1">HM_ZD_AM3_2005!CA_cost_stop+AA240</f>
        <v>0</v>
      </c>
      <c r="AB244" s="49">
        <f ca="1">HM_ZD_AM3_2005!CA_cost_stop+AB240</f>
        <v>0</v>
      </c>
      <c r="AC244" s="49">
        <f ca="1">HM_ZD_AM3_2005!CA_cost_stop+AC240</f>
        <v>0</v>
      </c>
      <c r="AD244" s="49">
        <f ca="1">HM_ZD_AM3_2005!CA_cost_stop+AD240</f>
        <v>0</v>
      </c>
      <c r="AE244" s="49">
        <f ca="1">HM_ZD_AM3_2005!CA_cost_stop+AE240</f>
        <v>0</v>
      </c>
      <c r="AF244" s="49">
        <f ca="1">HM_ZD_AM3_2005!CA_cost_stop+AF240</f>
        <v>0</v>
      </c>
      <c r="AG244" s="49">
        <f ca="1">HM_ZD_AM3_2005!CA_cost_stop+AG240</f>
        <v>0</v>
      </c>
      <c r="AH244" s="49">
        <f ca="1">HM_ZD_AM3_2005!CA_cost_stop+AH240</f>
        <v>0</v>
      </c>
      <c r="AI244" s="49">
        <f ca="1">HM_ZD_AM3_2005!CA_cost_stop+AI240</f>
        <v>0</v>
      </c>
      <c r="AJ244" s="49">
        <f ca="1">HM_ZD_AM3_2005!CA_cost_stop+AJ240</f>
        <v>0</v>
      </c>
      <c r="AK244" s="49">
        <f ca="1">HM_ZD_AM3_2005!CA_cost_stop+AK240</f>
        <v>0</v>
      </c>
      <c r="AL244" s="49">
        <f ca="1">HM_ZD_AM3_2005!CA_cost_stop+AL240</f>
        <v>0</v>
      </c>
      <c r="AM244" s="49">
        <f ca="1">HM_ZD_AM3_2005!CA_cost_stop+AM240</f>
        <v>0</v>
      </c>
      <c r="AN244" s="49">
        <f ca="1">HM_ZD_AM3_2005!CA_cost_stop+AN240</f>
        <v>0</v>
      </c>
      <c r="AO244" s="49">
        <f ca="1">HM_ZD_AM3_2005!CA_cost_stop+AO240</f>
        <v>0</v>
      </c>
      <c r="AP244" s="49">
        <f ca="1">HM_ZD_AM3_2005!CA_cost_stop+AP240</f>
        <v>0</v>
      </c>
      <c r="AQ244" s="49">
        <f ca="1">HM_ZD_AM3_2005!CA_cost_stop+AQ240</f>
        <v>0</v>
      </c>
      <c r="AR244" s="49">
        <f ca="1">HM_ZD_AM3_2005!CA_cost_stop+AR240</f>
        <v>0</v>
      </c>
      <c r="AS244" s="49">
        <f ca="1">HM_ZD_AM3_2005!CA_cost_stop+AS240</f>
        <v>0</v>
      </c>
      <c r="AT244" s="49">
        <f ca="1">HM_ZD_AM3_2005!CA_cost_stop+AT240</f>
        <v>0</v>
      </c>
      <c r="AU244" s="49">
        <f ca="1">HM_ZD_AM3_2005!CA_cost_stop+AU240</f>
        <v>0</v>
      </c>
      <c r="AV244" s="49">
        <f ca="1">HM_ZD_AM3_2005!CA_cost_stop+AV240</f>
        <v>0</v>
      </c>
      <c r="AW244" s="49">
        <f ca="1">HM_ZD_AM3_2005!CA_cost_stop+AW240</f>
        <v>0</v>
      </c>
      <c r="AX244" s="49">
        <f ca="1">HM_ZD_AM3_2005!CA_cost_stop+AX240</f>
        <v>0</v>
      </c>
      <c r="AY244" s="49">
        <f ca="1">HM_ZD_AM3_2005!CA_cost_stop+AY240</f>
        <v>0</v>
      </c>
      <c r="AZ244" s="49">
        <f ca="1">HM_ZD_AM3_2005!CA_cost_stop+AZ240</f>
        <v>0</v>
      </c>
      <c r="BA244" s="49">
        <f ca="1">HM_ZD_AM3_2005!CA_cost_stop+BA240</f>
        <v>0</v>
      </c>
      <c r="BB244" s="49">
        <f ca="1">HM_ZD_AM3_2005!CA_cost_stop+BB240</f>
        <v>0</v>
      </c>
      <c r="BC244" s="49">
        <f ca="1">HM_ZD_AM3_2005!CA_cost_stop+BC240</f>
        <v>0</v>
      </c>
      <c r="BD244" s="49">
        <f ca="1">HM_ZD_AM3_2005!CA_cost_stop+BD240</f>
        <v>0</v>
      </c>
      <c r="BE244" s="49">
        <f ca="1">HM_ZD_AM3_2005!CA_cost_stop+BE240</f>
        <v>0</v>
      </c>
      <c r="BF244" s="49">
        <f ca="1">HM_ZD_AM3_2005!CA_cost_stop+BF240</f>
        <v>0</v>
      </c>
      <c r="BG244" s="49">
        <f ca="1">HM_ZD_AM3_2005!CA_cost_stop+BG240</f>
        <v>0</v>
      </c>
      <c r="BH244" s="49">
        <f ca="1">HM_ZD_AM3_2005!CA_cost_stop+BH240</f>
        <v>0</v>
      </c>
      <c r="BI244" s="49">
        <f ca="1">HM_ZD_AM3_2005!CA_cost_stop+BI240</f>
        <v>0</v>
      </c>
      <c r="BJ244" s="49">
        <f ca="1">HM_ZD_AM3_2005!CA_cost_stop+BJ240</f>
        <v>0</v>
      </c>
      <c r="BK244" s="49">
        <f ca="1">HM_ZD_AM3_2005!CA_cost_stop+BK240</f>
        <v>0</v>
      </c>
      <c r="BL244" s="49">
        <f ca="1">HM_ZD_AM3_2005!CA_cost_stop+BL240</f>
        <v>0</v>
      </c>
      <c r="BM244" s="49">
        <f ca="1">HM_ZD_AM3_2005!CA_cost_stop+BM240</f>
        <v>0</v>
      </c>
      <c r="BN244" s="49">
        <f ca="1">HM_ZD_AM3_2005!CA_cost_stop+BN240</f>
        <v>0</v>
      </c>
      <c r="BO244" s="49">
        <f ca="1">HM_ZD_AM3_2005!CA_cost_stop+BO240</f>
        <v>0</v>
      </c>
      <c r="BP244" s="49">
        <f ca="1">HM_ZD_AM3_2005!CA_cost_stop+BP240</f>
        <v>0</v>
      </c>
      <c r="BQ244" s="49">
        <f ca="1">HM_ZD_AM3_2005!CA_cost_stop+BQ240</f>
        <v>0</v>
      </c>
      <c r="BR244" s="49">
        <f ca="1">HM_ZD_AM3_2005!CA_cost_stop+BR240</f>
        <v>0</v>
      </c>
      <c r="BS244" s="49">
        <f ca="1">HM_ZD_AM3_2005!CA_cost_stop+BS240</f>
        <v>0</v>
      </c>
    </row>
    <row r="245" spans="4:71" outlineLevel="1" x14ac:dyDescent="0.2">
      <c r="E245" t="str">
        <f>HM_ZD_Moho!E268</f>
        <v>PID cumulée à récupérer</v>
      </c>
      <c r="I245" s="30">
        <f ca="1">I221</f>
        <v>37.299597132909994</v>
      </c>
      <c r="J245" s="26" t="s">
        <v>148</v>
      </c>
      <c r="L245" s="49">
        <f ca="1">HM_ZD_AM3_2005!CA_pid_to_recover+(K247*(1+HM_ZD_AM3_2005!int_rate_cf_costs))</f>
        <v>19.121835466870003</v>
      </c>
      <c r="M245" s="49">
        <f ca="1">HM_ZD_AM3_2005!CA_pid_to_recover+(L247*(1+HM_ZD_AM3_2005!int_rate_cf_costs))</f>
        <v>18.177761666039995</v>
      </c>
      <c r="N245" s="49">
        <f ca="1">HM_ZD_AM3_2005!CA_pid_to_recover+(M247*(1+HM_ZD_AM3_2005!int_rate_cf_costs))</f>
        <v>0</v>
      </c>
      <c r="O245" s="49">
        <f ca="1">HM_ZD_AM3_2005!CA_pid_to_recover+(N247*(1+HM_ZD_AM3_2005!int_rate_cf_costs))</f>
        <v>0</v>
      </c>
      <c r="P245" s="49">
        <f ca="1">HM_ZD_AM3_2005!CA_pid_to_recover+(O247*(1+HM_ZD_AM3_2005!int_rate_cf_costs))</f>
        <v>0</v>
      </c>
      <c r="Q245" s="49">
        <f ca="1">HM_ZD_AM3_2005!CA_pid_to_recover+(P247*(1+HM_ZD_AM3_2005!int_rate_cf_costs))</f>
        <v>0</v>
      </c>
      <c r="R245" s="49">
        <f ca="1">HM_ZD_AM3_2005!CA_pid_to_recover+(Q247*(1+HM_ZD_AM3_2005!int_rate_cf_costs))</f>
        <v>0</v>
      </c>
      <c r="S245" s="49">
        <f ca="1">HM_ZD_AM3_2005!CA_pid_to_recover+(R247*(1+HM_ZD_AM3_2005!int_rate_cf_costs))</f>
        <v>0</v>
      </c>
      <c r="T245" s="49">
        <f ca="1">HM_ZD_AM3_2005!CA_pid_to_recover+(S247*(1+HM_ZD_AM3_2005!int_rate_cf_costs))</f>
        <v>0</v>
      </c>
      <c r="U245" s="49">
        <f ca="1">HM_ZD_AM3_2005!CA_pid_to_recover+(T247*(1+HM_ZD_AM3_2005!int_rate_cf_costs))</f>
        <v>0</v>
      </c>
      <c r="V245" s="49">
        <f ca="1">HM_ZD_AM3_2005!CA_pid_to_recover+(U247*(1+HM_ZD_AM3_2005!int_rate_cf_costs))</f>
        <v>0</v>
      </c>
      <c r="W245" s="49">
        <f ca="1">HM_ZD_AM3_2005!CA_pid_to_recover+(V247*(1+HM_ZD_AM3_2005!int_rate_cf_costs))</f>
        <v>0</v>
      </c>
      <c r="X245" s="49">
        <f ca="1">HM_ZD_AM3_2005!CA_pid_to_recover+(W247*(1+HM_ZD_AM3_2005!int_rate_cf_costs))</f>
        <v>0</v>
      </c>
      <c r="Y245" s="49">
        <f ca="1">HM_ZD_AM3_2005!CA_pid_to_recover+(X247*(1+HM_ZD_AM3_2005!int_rate_cf_costs))</f>
        <v>0</v>
      </c>
      <c r="Z245" s="49">
        <f ca="1">HM_ZD_AM3_2005!CA_pid_to_recover+(Y247*(1+HM_ZD_AM3_2005!int_rate_cf_costs))</f>
        <v>0</v>
      </c>
      <c r="AA245" s="49">
        <f ca="1">HM_ZD_AM3_2005!CA_pid_to_recover+(Z247*(1+HM_ZD_AM3_2005!int_rate_cf_costs))</f>
        <v>0</v>
      </c>
      <c r="AB245" s="49">
        <f ca="1">HM_ZD_AM3_2005!CA_pid_to_recover+(AA247*(1+HM_ZD_AM3_2005!int_rate_cf_costs))</f>
        <v>0</v>
      </c>
      <c r="AC245" s="49">
        <f ca="1">HM_ZD_AM3_2005!CA_pid_to_recover+(AB247*(1+HM_ZD_AM3_2005!int_rate_cf_costs))</f>
        <v>0</v>
      </c>
      <c r="AD245" s="49">
        <f ca="1">HM_ZD_AM3_2005!CA_pid_to_recover+(AC247*(1+HM_ZD_AM3_2005!int_rate_cf_costs))</f>
        <v>0</v>
      </c>
      <c r="AE245" s="49">
        <f ca="1">HM_ZD_AM3_2005!CA_pid_to_recover+(AD247*(1+HM_ZD_AM3_2005!int_rate_cf_costs))</f>
        <v>0</v>
      </c>
      <c r="AF245" s="49">
        <f ca="1">HM_ZD_AM3_2005!CA_pid_to_recover+(AE247*(1+HM_ZD_AM3_2005!int_rate_cf_costs))</f>
        <v>0</v>
      </c>
      <c r="AG245" s="49">
        <f ca="1">HM_ZD_AM3_2005!CA_pid_to_recover+(AF247*(1+HM_ZD_AM3_2005!int_rate_cf_costs))</f>
        <v>0</v>
      </c>
      <c r="AH245" s="49">
        <f ca="1">HM_ZD_AM3_2005!CA_pid_to_recover+(AG247*(1+HM_ZD_AM3_2005!int_rate_cf_costs))</f>
        <v>0</v>
      </c>
      <c r="AI245" s="49">
        <f ca="1">HM_ZD_AM3_2005!CA_pid_to_recover+(AH247*(1+HM_ZD_AM3_2005!int_rate_cf_costs))</f>
        <v>0</v>
      </c>
      <c r="AJ245" s="49">
        <f ca="1">HM_ZD_AM3_2005!CA_pid_to_recover+(AI247*(1+HM_ZD_AM3_2005!int_rate_cf_costs))</f>
        <v>0</v>
      </c>
      <c r="AK245" s="49">
        <f ca="1">HM_ZD_AM3_2005!CA_pid_to_recover+(AJ247*(1+HM_ZD_AM3_2005!int_rate_cf_costs))</f>
        <v>0</v>
      </c>
      <c r="AL245" s="49">
        <f ca="1">HM_ZD_AM3_2005!CA_pid_to_recover+(AK247*(1+HM_ZD_AM3_2005!int_rate_cf_costs))</f>
        <v>0</v>
      </c>
      <c r="AM245" s="49">
        <f ca="1">HM_ZD_AM3_2005!CA_pid_to_recover+(AL247*(1+HM_ZD_AM3_2005!int_rate_cf_costs))</f>
        <v>0</v>
      </c>
      <c r="AN245" s="49">
        <f ca="1">HM_ZD_AM3_2005!CA_pid_to_recover+(AM247*(1+HM_ZD_AM3_2005!int_rate_cf_costs))</f>
        <v>0</v>
      </c>
      <c r="AO245" s="49">
        <f ca="1">HM_ZD_AM3_2005!CA_pid_to_recover+(AN247*(1+HM_ZD_AM3_2005!int_rate_cf_costs))</f>
        <v>0</v>
      </c>
      <c r="AP245" s="49">
        <f ca="1">HM_ZD_AM3_2005!CA_pid_to_recover+(AO247*(1+HM_ZD_AM3_2005!int_rate_cf_costs))</f>
        <v>0</v>
      </c>
      <c r="AQ245" s="49">
        <f ca="1">HM_ZD_AM3_2005!CA_pid_to_recover+(AP247*(1+HM_ZD_AM3_2005!int_rate_cf_costs))</f>
        <v>0</v>
      </c>
      <c r="AR245" s="49">
        <f ca="1">HM_ZD_AM3_2005!CA_pid_to_recover+(AQ247*(1+HM_ZD_AM3_2005!int_rate_cf_costs))</f>
        <v>0</v>
      </c>
      <c r="AS245" s="49">
        <f ca="1">HM_ZD_AM3_2005!CA_pid_to_recover+(AR247*(1+HM_ZD_AM3_2005!int_rate_cf_costs))</f>
        <v>0</v>
      </c>
      <c r="AT245" s="49">
        <f ca="1">HM_ZD_AM3_2005!CA_pid_to_recover+(AS247*(1+HM_ZD_AM3_2005!int_rate_cf_costs))</f>
        <v>0</v>
      </c>
      <c r="AU245" s="49">
        <f ca="1">HM_ZD_AM3_2005!CA_pid_to_recover+(AT247*(1+HM_ZD_AM3_2005!int_rate_cf_costs))</f>
        <v>0</v>
      </c>
      <c r="AV245" s="49">
        <f ca="1">HM_ZD_AM3_2005!CA_pid_to_recover+(AU247*(1+HM_ZD_AM3_2005!int_rate_cf_costs))</f>
        <v>0</v>
      </c>
      <c r="AW245" s="49">
        <f ca="1">HM_ZD_AM3_2005!CA_pid_to_recover+(AV247*(1+HM_ZD_AM3_2005!int_rate_cf_costs))</f>
        <v>0</v>
      </c>
      <c r="AX245" s="49">
        <f ca="1">HM_ZD_AM3_2005!CA_pid_to_recover+(AW247*(1+HM_ZD_AM3_2005!int_rate_cf_costs))</f>
        <v>0</v>
      </c>
      <c r="AY245" s="49">
        <f ca="1">HM_ZD_AM3_2005!CA_pid_to_recover+(AX247*(1+HM_ZD_AM3_2005!int_rate_cf_costs))</f>
        <v>0</v>
      </c>
      <c r="AZ245" s="49">
        <f ca="1">HM_ZD_AM3_2005!CA_pid_to_recover+(AY247*(1+HM_ZD_AM3_2005!int_rate_cf_costs))</f>
        <v>0</v>
      </c>
      <c r="BA245" s="49">
        <f ca="1">HM_ZD_AM3_2005!CA_pid_to_recover+(AZ247*(1+HM_ZD_AM3_2005!int_rate_cf_costs))</f>
        <v>0</v>
      </c>
      <c r="BB245" s="49">
        <f ca="1">HM_ZD_AM3_2005!CA_pid_to_recover+(BA247*(1+HM_ZD_AM3_2005!int_rate_cf_costs))</f>
        <v>0</v>
      </c>
      <c r="BC245" s="49">
        <f ca="1">HM_ZD_AM3_2005!CA_pid_to_recover+(BB247*(1+HM_ZD_AM3_2005!int_rate_cf_costs))</f>
        <v>0</v>
      </c>
      <c r="BD245" s="49">
        <f ca="1">HM_ZD_AM3_2005!CA_pid_to_recover+(BC247*(1+HM_ZD_AM3_2005!int_rate_cf_costs))</f>
        <v>0</v>
      </c>
      <c r="BE245" s="49">
        <f ca="1">HM_ZD_AM3_2005!CA_pid_to_recover+(BD247*(1+HM_ZD_AM3_2005!int_rate_cf_costs))</f>
        <v>0</v>
      </c>
      <c r="BF245" s="49">
        <f ca="1">HM_ZD_AM3_2005!CA_pid_to_recover+(BE247*(1+HM_ZD_AM3_2005!int_rate_cf_costs))</f>
        <v>0</v>
      </c>
      <c r="BG245" s="49">
        <f ca="1">HM_ZD_AM3_2005!CA_pid_to_recover+(BF247*(1+HM_ZD_AM3_2005!int_rate_cf_costs))</f>
        <v>0</v>
      </c>
      <c r="BH245" s="49">
        <f ca="1">HM_ZD_AM3_2005!CA_pid_to_recover+(BG247*(1+HM_ZD_AM3_2005!int_rate_cf_costs))</f>
        <v>0</v>
      </c>
      <c r="BI245" s="49">
        <f ca="1">HM_ZD_AM3_2005!CA_pid_to_recover+(BH247*(1+HM_ZD_AM3_2005!int_rate_cf_costs))</f>
        <v>0</v>
      </c>
      <c r="BJ245" s="49">
        <f ca="1">HM_ZD_AM3_2005!CA_pid_to_recover+(BI247*(1+HM_ZD_AM3_2005!int_rate_cf_costs))</f>
        <v>0</v>
      </c>
      <c r="BK245" s="49">
        <f ca="1">HM_ZD_AM3_2005!CA_pid_to_recover+(BJ247*(1+HM_ZD_AM3_2005!int_rate_cf_costs))</f>
        <v>0</v>
      </c>
      <c r="BL245" s="49">
        <f ca="1">HM_ZD_AM3_2005!CA_pid_to_recover+(BK247*(1+HM_ZD_AM3_2005!int_rate_cf_costs))</f>
        <v>0</v>
      </c>
      <c r="BM245" s="49">
        <f ca="1">HM_ZD_AM3_2005!CA_pid_to_recover+(BL247*(1+HM_ZD_AM3_2005!int_rate_cf_costs))</f>
        <v>0</v>
      </c>
      <c r="BN245" s="49">
        <f ca="1">HM_ZD_AM3_2005!CA_pid_to_recover+(BM247*(1+HM_ZD_AM3_2005!int_rate_cf_costs))</f>
        <v>0</v>
      </c>
      <c r="BO245" s="49">
        <f ca="1">HM_ZD_AM3_2005!CA_pid_to_recover+(BN247*(1+HM_ZD_AM3_2005!int_rate_cf_costs))</f>
        <v>0</v>
      </c>
      <c r="BP245" s="49">
        <f ca="1">HM_ZD_AM3_2005!CA_pid_to_recover+(BO247*(1+HM_ZD_AM3_2005!int_rate_cf_costs))</f>
        <v>0</v>
      </c>
      <c r="BQ245" s="49">
        <f ca="1">HM_ZD_AM3_2005!CA_pid_to_recover+(BP247*(1+HM_ZD_AM3_2005!int_rate_cf_costs))</f>
        <v>0</v>
      </c>
      <c r="BR245" s="49">
        <f ca="1">HM_ZD_AM3_2005!CA_pid_to_recover+(BQ247*(1+HM_ZD_AM3_2005!int_rate_cf_costs))</f>
        <v>0</v>
      </c>
      <c r="BS245" s="49">
        <f ca="1">HM_ZD_AM3_2005!CA_pid_to_recover+(BR247*(1+HM_ZD_AM3_2005!int_rate_cf_costs))</f>
        <v>0</v>
      </c>
    </row>
    <row r="246" spans="4:71" outlineLevel="1" x14ac:dyDescent="0.2">
      <c r="E246" t="str">
        <f>HM_ZD_Moho!E269</f>
        <v>PID récupérée</v>
      </c>
      <c r="H246" s="56" t="b">
        <f ca="1">ROUND(I246,2)=-ROUND(I245,2)</f>
        <v>1</v>
      </c>
      <c r="I246" s="30">
        <f t="shared" ca="1" si="76"/>
        <v>-37.299597132909994</v>
      </c>
      <c r="J246" s="26" t="s">
        <v>148</v>
      </c>
      <c r="L246" s="49">
        <f ca="1">-MIN(L245,L244)</f>
        <v>-19.121835466870003</v>
      </c>
      <c r="M246" s="49">
        <f t="shared" ref="M246:BS246" ca="1" si="77">-MIN(M245,M244)</f>
        <v>-18.177761666039995</v>
      </c>
      <c r="N246" s="49">
        <f t="shared" ca="1" si="77"/>
        <v>0</v>
      </c>
      <c r="O246" s="49">
        <f t="shared" ca="1" si="77"/>
        <v>0</v>
      </c>
      <c r="P246" s="49">
        <f t="shared" ca="1" si="77"/>
        <v>0</v>
      </c>
      <c r="Q246" s="49">
        <f t="shared" ca="1" si="77"/>
        <v>0</v>
      </c>
      <c r="R246" s="49">
        <f t="shared" ca="1" si="77"/>
        <v>0</v>
      </c>
      <c r="S246" s="49">
        <f t="shared" ca="1" si="77"/>
        <v>0</v>
      </c>
      <c r="T246" s="49">
        <f t="shared" ca="1" si="77"/>
        <v>0</v>
      </c>
      <c r="U246" s="49">
        <f t="shared" ca="1" si="77"/>
        <v>0</v>
      </c>
      <c r="V246" s="49">
        <f t="shared" ca="1" si="77"/>
        <v>0</v>
      </c>
      <c r="W246" s="49">
        <f t="shared" ca="1" si="77"/>
        <v>0</v>
      </c>
      <c r="X246" s="49">
        <f t="shared" ca="1" si="77"/>
        <v>0</v>
      </c>
      <c r="Y246" s="49">
        <f t="shared" ca="1" si="77"/>
        <v>0</v>
      </c>
      <c r="Z246" s="49">
        <f t="shared" ca="1" si="77"/>
        <v>0</v>
      </c>
      <c r="AA246" s="49">
        <f t="shared" ca="1" si="77"/>
        <v>0</v>
      </c>
      <c r="AB246" s="49">
        <f t="shared" ca="1" si="77"/>
        <v>0</v>
      </c>
      <c r="AC246" s="49">
        <f t="shared" ca="1" si="77"/>
        <v>0</v>
      </c>
      <c r="AD246" s="49">
        <f t="shared" ca="1" si="77"/>
        <v>0</v>
      </c>
      <c r="AE246" s="49">
        <f t="shared" ca="1" si="77"/>
        <v>0</v>
      </c>
      <c r="AF246" s="49">
        <f t="shared" ca="1" si="77"/>
        <v>0</v>
      </c>
      <c r="AG246" s="49">
        <f t="shared" ca="1" si="77"/>
        <v>0</v>
      </c>
      <c r="AH246" s="49">
        <f t="shared" ca="1" si="77"/>
        <v>0</v>
      </c>
      <c r="AI246" s="49">
        <f t="shared" ca="1" si="77"/>
        <v>0</v>
      </c>
      <c r="AJ246" s="49">
        <f t="shared" ca="1" si="77"/>
        <v>0</v>
      </c>
      <c r="AK246" s="49">
        <f t="shared" ca="1" si="77"/>
        <v>0</v>
      </c>
      <c r="AL246" s="49">
        <f t="shared" ca="1" si="77"/>
        <v>0</v>
      </c>
      <c r="AM246" s="49">
        <f t="shared" ca="1" si="77"/>
        <v>0</v>
      </c>
      <c r="AN246" s="49">
        <f t="shared" ca="1" si="77"/>
        <v>0</v>
      </c>
      <c r="AO246" s="49">
        <f t="shared" ca="1" si="77"/>
        <v>0</v>
      </c>
      <c r="AP246" s="49">
        <f t="shared" ca="1" si="77"/>
        <v>0</v>
      </c>
      <c r="AQ246" s="49">
        <f t="shared" ca="1" si="77"/>
        <v>0</v>
      </c>
      <c r="AR246" s="49">
        <f t="shared" ca="1" si="77"/>
        <v>0</v>
      </c>
      <c r="AS246" s="49">
        <f t="shared" ca="1" si="77"/>
        <v>0</v>
      </c>
      <c r="AT246" s="49">
        <f t="shared" ca="1" si="77"/>
        <v>0</v>
      </c>
      <c r="AU246" s="49">
        <f t="shared" ca="1" si="77"/>
        <v>0</v>
      </c>
      <c r="AV246" s="49">
        <f t="shared" ca="1" si="77"/>
        <v>0</v>
      </c>
      <c r="AW246" s="49">
        <f t="shared" ca="1" si="77"/>
        <v>0</v>
      </c>
      <c r="AX246" s="49">
        <f t="shared" ca="1" si="77"/>
        <v>0</v>
      </c>
      <c r="AY246" s="49">
        <f t="shared" ca="1" si="77"/>
        <v>0</v>
      </c>
      <c r="AZ246" s="49">
        <f t="shared" ca="1" si="77"/>
        <v>0</v>
      </c>
      <c r="BA246" s="49">
        <f t="shared" ca="1" si="77"/>
        <v>0</v>
      </c>
      <c r="BB246" s="49">
        <f t="shared" ca="1" si="77"/>
        <v>0</v>
      </c>
      <c r="BC246" s="49">
        <f t="shared" ca="1" si="77"/>
        <v>0</v>
      </c>
      <c r="BD246" s="49">
        <f t="shared" ca="1" si="77"/>
        <v>0</v>
      </c>
      <c r="BE246" s="49">
        <f t="shared" ca="1" si="77"/>
        <v>0</v>
      </c>
      <c r="BF246" s="49">
        <f t="shared" ca="1" si="77"/>
        <v>0</v>
      </c>
      <c r="BG246" s="49">
        <f t="shared" ca="1" si="77"/>
        <v>0</v>
      </c>
      <c r="BH246" s="49">
        <f t="shared" ca="1" si="77"/>
        <v>0</v>
      </c>
      <c r="BI246" s="49">
        <f t="shared" ca="1" si="77"/>
        <v>0</v>
      </c>
      <c r="BJ246" s="49">
        <f t="shared" ca="1" si="77"/>
        <v>0</v>
      </c>
      <c r="BK246" s="49">
        <f t="shared" ca="1" si="77"/>
        <v>0</v>
      </c>
      <c r="BL246" s="49">
        <f t="shared" ca="1" si="77"/>
        <v>0</v>
      </c>
      <c r="BM246" s="49">
        <f t="shared" ca="1" si="77"/>
        <v>0</v>
      </c>
      <c r="BN246" s="49">
        <f t="shared" ca="1" si="77"/>
        <v>0</v>
      </c>
      <c r="BO246" s="49">
        <f t="shared" ca="1" si="77"/>
        <v>0</v>
      </c>
      <c r="BP246" s="49">
        <f t="shared" ca="1" si="77"/>
        <v>0</v>
      </c>
      <c r="BQ246" s="49">
        <f t="shared" ca="1" si="77"/>
        <v>0</v>
      </c>
      <c r="BR246" s="49">
        <f t="shared" ca="1" si="77"/>
        <v>0</v>
      </c>
      <c r="BS246" s="49">
        <f t="shared" ca="1" si="77"/>
        <v>0</v>
      </c>
    </row>
    <row r="247" spans="4:71" outlineLevel="1" x14ac:dyDescent="0.2">
      <c r="E247" t="str">
        <f>HM_ZD_Moho!E270</f>
        <v xml:space="preserve">Sous/(Sur)récupération </v>
      </c>
      <c r="J247" s="26"/>
      <c r="L247" s="49">
        <f ca="1">L245+L246</f>
        <v>0</v>
      </c>
      <c r="M247" s="49">
        <f t="shared" ref="M247:BS247" ca="1" si="78">M245+M246</f>
        <v>0</v>
      </c>
      <c r="N247" s="49">
        <f t="shared" ca="1" si="78"/>
        <v>0</v>
      </c>
      <c r="O247" s="49">
        <f t="shared" ca="1" si="78"/>
        <v>0</v>
      </c>
      <c r="P247" s="49">
        <f t="shared" ca="1" si="78"/>
        <v>0</v>
      </c>
      <c r="Q247" s="49">
        <f t="shared" ca="1" si="78"/>
        <v>0</v>
      </c>
      <c r="R247" s="49">
        <f t="shared" ca="1" si="78"/>
        <v>0</v>
      </c>
      <c r="S247" s="49">
        <f t="shared" ca="1" si="78"/>
        <v>0</v>
      </c>
      <c r="T247" s="49">
        <f t="shared" ca="1" si="78"/>
        <v>0</v>
      </c>
      <c r="U247" s="49">
        <f t="shared" ca="1" si="78"/>
        <v>0</v>
      </c>
      <c r="V247" s="49">
        <f t="shared" ca="1" si="78"/>
        <v>0</v>
      </c>
      <c r="W247" s="49">
        <f t="shared" ca="1" si="78"/>
        <v>0</v>
      </c>
      <c r="X247" s="49">
        <f t="shared" ca="1" si="78"/>
        <v>0</v>
      </c>
      <c r="Y247" s="49">
        <f t="shared" ca="1" si="78"/>
        <v>0</v>
      </c>
      <c r="Z247" s="49">
        <f t="shared" ca="1" si="78"/>
        <v>0</v>
      </c>
      <c r="AA247" s="49">
        <f t="shared" ca="1" si="78"/>
        <v>0</v>
      </c>
      <c r="AB247" s="49">
        <f t="shared" ca="1" si="78"/>
        <v>0</v>
      </c>
      <c r="AC247" s="49">
        <f t="shared" ca="1" si="78"/>
        <v>0</v>
      </c>
      <c r="AD247" s="49">
        <f t="shared" ca="1" si="78"/>
        <v>0</v>
      </c>
      <c r="AE247" s="49">
        <f t="shared" ca="1" si="78"/>
        <v>0</v>
      </c>
      <c r="AF247" s="49">
        <f t="shared" ca="1" si="78"/>
        <v>0</v>
      </c>
      <c r="AG247" s="49">
        <f t="shared" ca="1" si="78"/>
        <v>0</v>
      </c>
      <c r="AH247" s="49">
        <f t="shared" ca="1" si="78"/>
        <v>0</v>
      </c>
      <c r="AI247" s="49">
        <f t="shared" ca="1" si="78"/>
        <v>0</v>
      </c>
      <c r="AJ247" s="49">
        <f t="shared" ca="1" si="78"/>
        <v>0</v>
      </c>
      <c r="AK247" s="49">
        <f t="shared" ca="1" si="78"/>
        <v>0</v>
      </c>
      <c r="AL247" s="49">
        <f t="shared" ca="1" si="78"/>
        <v>0</v>
      </c>
      <c r="AM247" s="49">
        <f t="shared" ca="1" si="78"/>
        <v>0</v>
      </c>
      <c r="AN247" s="49">
        <f t="shared" ca="1" si="78"/>
        <v>0</v>
      </c>
      <c r="AO247" s="49">
        <f t="shared" ca="1" si="78"/>
        <v>0</v>
      </c>
      <c r="AP247" s="49">
        <f t="shared" ca="1" si="78"/>
        <v>0</v>
      </c>
      <c r="AQ247" s="49">
        <f t="shared" ca="1" si="78"/>
        <v>0</v>
      </c>
      <c r="AR247" s="49">
        <f t="shared" ca="1" si="78"/>
        <v>0</v>
      </c>
      <c r="AS247" s="49">
        <f t="shared" ca="1" si="78"/>
        <v>0</v>
      </c>
      <c r="AT247" s="49">
        <f t="shared" ca="1" si="78"/>
        <v>0</v>
      </c>
      <c r="AU247" s="49">
        <f t="shared" ca="1" si="78"/>
        <v>0</v>
      </c>
      <c r="AV247" s="49">
        <f t="shared" ca="1" si="78"/>
        <v>0</v>
      </c>
      <c r="AW247" s="49">
        <f t="shared" ca="1" si="78"/>
        <v>0</v>
      </c>
      <c r="AX247" s="49">
        <f t="shared" ca="1" si="78"/>
        <v>0</v>
      </c>
      <c r="AY247" s="49">
        <f t="shared" ca="1" si="78"/>
        <v>0</v>
      </c>
      <c r="AZ247" s="49">
        <f t="shared" ca="1" si="78"/>
        <v>0</v>
      </c>
      <c r="BA247" s="49">
        <f t="shared" ca="1" si="78"/>
        <v>0</v>
      </c>
      <c r="BB247" s="49">
        <f t="shared" ca="1" si="78"/>
        <v>0</v>
      </c>
      <c r="BC247" s="49">
        <f t="shared" ca="1" si="78"/>
        <v>0</v>
      </c>
      <c r="BD247" s="49">
        <f t="shared" ca="1" si="78"/>
        <v>0</v>
      </c>
      <c r="BE247" s="49">
        <f t="shared" ca="1" si="78"/>
        <v>0</v>
      </c>
      <c r="BF247" s="49">
        <f t="shared" ca="1" si="78"/>
        <v>0</v>
      </c>
      <c r="BG247" s="49">
        <f t="shared" ca="1" si="78"/>
        <v>0</v>
      </c>
      <c r="BH247" s="49">
        <f t="shared" ca="1" si="78"/>
        <v>0</v>
      </c>
      <c r="BI247" s="49">
        <f t="shared" ca="1" si="78"/>
        <v>0</v>
      </c>
      <c r="BJ247" s="49">
        <f t="shared" ca="1" si="78"/>
        <v>0</v>
      </c>
      <c r="BK247" s="49">
        <f t="shared" ca="1" si="78"/>
        <v>0</v>
      </c>
      <c r="BL247" s="49">
        <f t="shared" ca="1" si="78"/>
        <v>0</v>
      </c>
      <c r="BM247" s="49">
        <f t="shared" ca="1" si="78"/>
        <v>0</v>
      </c>
      <c r="BN247" s="49">
        <f t="shared" ca="1" si="78"/>
        <v>0</v>
      </c>
      <c r="BO247" s="49">
        <f t="shared" ca="1" si="78"/>
        <v>0</v>
      </c>
      <c r="BP247" s="49">
        <f t="shared" ca="1" si="78"/>
        <v>0</v>
      </c>
      <c r="BQ247" s="49">
        <f t="shared" ca="1" si="78"/>
        <v>0</v>
      </c>
      <c r="BR247" s="49">
        <f t="shared" ca="1" si="78"/>
        <v>0</v>
      </c>
      <c r="BS247" s="49">
        <f t="shared" ca="1" si="78"/>
        <v>0</v>
      </c>
    </row>
    <row r="248" spans="4:71" outlineLevel="1" x14ac:dyDescent="0.2">
      <c r="J248" s="26"/>
      <c r="L248" s="55"/>
      <c r="M248" s="55"/>
      <c r="N248" s="55"/>
      <c r="O248" s="55"/>
      <c r="P248" s="55"/>
      <c r="Q248" s="55"/>
      <c r="R248" s="55"/>
      <c r="S248" s="55"/>
      <c r="T248" s="55"/>
      <c r="U248" s="55"/>
      <c r="V248" s="55"/>
      <c r="W248" s="55"/>
      <c r="X248" s="55"/>
      <c r="Y248" s="55"/>
      <c r="Z248" s="55"/>
      <c r="AA248" s="55"/>
      <c r="AB248" s="55"/>
      <c r="AC248" s="55"/>
      <c r="AD248" s="55"/>
      <c r="AE248" s="55"/>
      <c r="AF248" s="55"/>
      <c r="AG248" s="55"/>
      <c r="AH248" s="55"/>
      <c r="AI248" s="55"/>
      <c r="AJ248" s="55"/>
      <c r="AK248" s="55"/>
      <c r="AL248" s="55"/>
      <c r="AM248" s="55"/>
      <c r="AN248" s="55"/>
      <c r="AO248" s="55"/>
      <c r="AP248" s="55"/>
      <c r="AQ248" s="55"/>
      <c r="AR248" s="55"/>
      <c r="AS248" s="55"/>
      <c r="AT248" s="55"/>
      <c r="AU248" s="55"/>
      <c r="AV248" s="55"/>
      <c r="AW248" s="55"/>
      <c r="AX248" s="55"/>
      <c r="AY248" s="55"/>
      <c r="AZ248" s="55"/>
      <c r="BA248" s="55"/>
      <c r="BB248" s="55"/>
      <c r="BC248" s="55"/>
      <c r="BD248" s="55"/>
      <c r="BE248" s="55"/>
      <c r="BF248" s="55"/>
      <c r="BG248" s="55"/>
      <c r="BH248" s="55"/>
      <c r="BI248" s="55"/>
      <c r="BJ248" s="55"/>
      <c r="BK248" s="55"/>
      <c r="BL248" s="55"/>
      <c r="BM248" s="55"/>
      <c r="BN248" s="55"/>
      <c r="BO248" s="55"/>
      <c r="BP248" s="55"/>
      <c r="BQ248" s="55"/>
      <c r="BR248" s="55"/>
      <c r="BS248" s="55"/>
    </row>
    <row r="249" spans="4:71" outlineLevel="1" x14ac:dyDescent="0.2">
      <c r="D249" s="51" t="str">
        <f>HM_ZD_Moho!D272</f>
        <v>Investissement-Développement</v>
      </c>
      <c r="J249" s="26"/>
      <c r="L249" s="55"/>
      <c r="M249" s="55"/>
      <c r="N249" s="55"/>
      <c r="O249" s="55"/>
      <c r="P249" s="55"/>
      <c r="Q249" s="55"/>
      <c r="R249" s="55"/>
      <c r="S249" s="55"/>
      <c r="T249" s="55"/>
      <c r="U249" s="55"/>
      <c r="V249" s="55"/>
      <c r="W249" s="55"/>
      <c r="X249" s="55"/>
      <c r="Y249" s="55"/>
      <c r="Z249" s="55"/>
      <c r="AA249" s="55"/>
      <c r="AB249" s="55"/>
      <c r="AC249" s="55"/>
      <c r="AD249" s="55"/>
      <c r="AE249" s="55"/>
      <c r="AF249" s="55"/>
      <c r="AG249" s="55"/>
      <c r="AH249" s="55"/>
      <c r="AI249" s="55"/>
      <c r="AJ249" s="55"/>
      <c r="AK249" s="55"/>
      <c r="AL249" s="55"/>
      <c r="AM249" s="55"/>
      <c r="AN249" s="55"/>
      <c r="AO249" s="55"/>
      <c r="AP249" s="55"/>
      <c r="AQ249" s="55"/>
      <c r="AR249" s="55"/>
      <c r="AS249" s="55"/>
      <c r="AT249" s="55"/>
      <c r="AU249" s="55"/>
      <c r="AV249" s="55"/>
      <c r="AW249" s="55"/>
      <c r="AX249" s="55"/>
      <c r="AY249" s="55"/>
      <c r="AZ249" s="55"/>
      <c r="BA249" s="55"/>
      <c r="BB249" s="55"/>
      <c r="BC249" s="55"/>
      <c r="BD249" s="55"/>
      <c r="BE249" s="55"/>
      <c r="BF249" s="55"/>
      <c r="BG249" s="55"/>
      <c r="BH249" s="55"/>
      <c r="BI249" s="55"/>
      <c r="BJ249" s="55"/>
      <c r="BK249" s="55"/>
      <c r="BL249" s="55"/>
      <c r="BM249" s="55"/>
      <c r="BN249" s="55"/>
      <c r="BO249" s="55"/>
      <c r="BP249" s="55"/>
      <c r="BQ249" s="55"/>
      <c r="BR249" s="55"/>
      <c r="BS249" s="55"/>
    </row>
    <row r="250" spans="4:71" outlineLevel="1" x14ac:dyDescent="0.2">
      <c r="E250" t="str">
        <f>HM_ZD_Moho!E273</f>
        <v>Revenus disponibles pour la récupération</v>
      </c>
      <c r="I250" s="30">
        <f t="shared" ref="I250:I252" ca="1" si="79">SUM($L250:$BS250)</f>
        <v>115.2166564433937</v>
      </c>
      <c r="J250" s="26" t="s">
        <v>148</v>
      </c>
      <c r="L250" s="49">
        <f ca="1">HM_ZD_AM3_2005!CA_cost_stop+L240+L246</f>
        <v>72.192937574128536</v>
      </c>
      <c r="M250" s="49">
        <f ca="1">HM_ZD_AM3_2005!CA_cost_stop+M240+M246</f>
        <v>43.023718869265167</v>
      </c>
      <c r="N250" s="49">
        <f ca="1">HM_ZD_AM3_2005!CA_cost_stop+N240+N246</f>
        <v>0</v>
      </c>
      <c r="O250" s="49">
        <f ca="1">HM_ZD_AM3_2005!CA_cost_stop+O240+O246</f>
        <v>0</v>
      </c>
      <c r="P250" s="49">
        <f ca="1">HM_ZD_AM3_2005!CA_cost_stop+P240+P246</f>
        <v>0</v>
      </c>
      <c r="Q250" s="49">
        <f ca="1">HM_ZD_AM3_2005!CA_cost_stop+Q240+Q246</f>
        <v>0</v>
      </c>
      <c r="R250" s="49">
        <f ca="1">HM_ZD_AM3_2005!CA_cost_stop+R240+R246</f>
        <v>0</v>
      </c>
      <c r="S250" s="49">
        <f ca="1">HM_ZD_AM3_2005!CA_cost_stop+S240+S246</f>
        <v>0</v>
      </c>
      <c r="T250" s="49">
        <f ca="1">HM_ZD_AM3_2005!CA_cost_stop+T240+T246</f>
        <v>0</v>
      </c>
      <c r="U250" s="49">
        <f ca="1">HM_ZD_AM3_2005!CA_cost_stop+U240+U246</f>
        <v>0</v>
      </c>
      <c r="V250" s="49">
        <f ca="1">HM_ZD_AM3_2005!CA_cost_stop+V240+V246</f>
        <v>0</v>
      </c>
      <c r="W250" s="49">
        <f ca="1">HM_ZD_AM3_2005!CA_cost_stop+W240+W246</f>
        <v>0</v>
      </c>
      <c r="X250" s="49">
        <f ca="1">HM_ZD_AM3_2005!CA_cost_stop+X240+X246</f>
        <v>0</v>
      </c>
      <c r="Y250" s="49">
        <f ca="1">HM_ZD_AM3_2005!CA_cost_stop+Y240+Y246</f>
        <v>0</v>
      </c>
      <c r="Z250" s="49">
        <f ca="1">HM_ZD_AM3_2005!CA_cost_stop+Z240+Z246</f>
        <v>0</v>
      </c>
      <c r="AA250" s="49">
        <f ca="1">HM_ZD_AM3_2005!CA_cost_stop+AA240+AA246</f>
        <v>0</v>
      </c>
      <c r="AB250" s="49">
        <f ca="1">HM_ZD_AM3_2005!CA_cost_stop+AB240+AB246</f>
        <v>0</v>
      </c>
      <c r="AC250" s="49">
        <f ca="1">HM_ZD_AM3_2005!CA_cost_stop+AC240+AC246</f>
        <v>0</v>
      </c>
      <c r="AD250" s="49">
        <f ca="1">HM_ZD_AM3_2005!CA_cost_stop+AD240+AD246</f>
        <v>0</v>
      </c>
      <c r="AE250" s="49">
        <f ca="1">HM_ZD_AM3_2005!CA_cost_stop+AE240+AE246</f>
        <v>0</v>
      </c>
      <c r="AF250" s="49">
        <f ca="1">HM_ZD_AM3_2005!CA_cost_stop+AF240+AF246</f>
        <v>0</v>
      </c>
      <c r="AG250" s="49">
        <f ca="1">HM_ZD_AM3_2005!CA_cost_stop+AG240+AG246</f>
        <v>0</v>
      </c>
      <c r="AH250" s="49">
        <f ca="1">HM_ZD_AM3_2005!CA_cost_stop+AH240+AH246</f>
        <v>0</v>
      </c>
      <c r="AI250" s="49">
        <f ca="1">HM_ZD_AM3_2005!CA_cost_stop+AI240+AI246</f>
        <v>0</v>
      </c>
      <c r="AJ250" s="49">
        <f ca="1">HM_ZD_AM3_2005!CA_cost_stop+AJ240+AJ246</f>
        <v>0</v>
      </c>
      <c r="AK250" s="49">
        <f ca="1">HM_ZD_AM3_2005!CA_cost_stop+AK240+AK246</f>
        <v>0</v>
      </c>
      <c r="AL250" s="49">
        <f ca="1">HM_ZD_AM3_2005!CA_cost_stop+AL240+AL246</f>
        <v>0</v>
      </c>
      <c r="AM250" s="49">
        <f ca="1">HM_ZD_AM3_2005!CA_cost_stop+AM240+AM246</f>
        <v>0</v>
      </c>
      <c r="AN250" s="49">
        <f ca="1">HM_ZD_AM3_2005!CA_cost_stop+AN240+AN246</f>
        <v>0</v>
      </c>
      <c r="AO250" s="49">
        <f ca="1">HM_ZD_AM3_2005!CA_cost_stop+AO240+AO246</f>
        <v>0</v>
      </c>
      <c r="AP250" s="49">
        <f ca="1">HM_ZD_AM3_2005!CA_cost_stop+AP240+AP246</f>
        <v>0</v>
      </c>
      <c r="AQ250" s="49">
        <f ca="1">HM_ZD_AM3_2005!CA_cost_stop+AQ240+AQ246</f>
        <v>0</v>
      </c>
      <c r="AR250" s="49">
        <f ca="1">HM_ZD_AM3_2005!CA_cost_stop+AR240+AR246</f>
        <v>0</v>
      </c>
      <c r="AS250" s="49">
        <f ca="1">HM_ZD_AM3_2005!CA_cost_stop+AS240+AS246</f>
        <v>0</v>
      </c>
      <c r="AT250" s="49">
        <f ca="1">HM_ZD_AM3_2005!CA_cost_stop+AT240+AT246</f>
        <v>0</v>
      </c>
      <c r="AU250" s="49">
        <f ca="1">HM_ZD_AM3_2005!CA_cost_stop+AU240+AU246</f>
        <v>0</v>
      </c>
      <c r="AV250" s="49">
        <f ca="1">HM_ZD_AM3_2005!CA_cost_stop+AV240+AV246</f>
        <v>0</v>
      </c>
      <c r="AW250" s="49">
        <f ca="1">HM_ZD_AM3_2005!CA_cost_stop+AW240+AW246</f>
        <v>0</v>
      </c>
      <c r="AX250" s="49">
        <f ca="1">HM_ZD_AM3_2005!CA_cost_stop+AX240+AX246</f>
        <v>0</v>
      </c>
      <c r="AY250" s="49">
        <f ca="1">HM_ZD_AM3_2005!CA_cost_stop+AY240+AY246</f>
        <v>0</v>
      </c>
      <c r="AZ250" s="49">
        <f ca="1">HM_ZD_AM3_2005!CA_cost_stop+AZ240+AZ246</f>
        <v>0</v>
      </c>
      <c r="BA250" s="49">
        <f ca="1">HM_ZD_AM3_2005!CA_cost_stop+BA240+BA246</f>
        <v>0</v>
      </c>
      <c r="BB250" s="49">
        <f ca="1">HM_ZD_AM3_2005!CA_cost_stop+BB240+BB246</f>
        <v>0</v>
      </c>
      <c r="BC250" s="49">
        <f ca="1">HM_ZD_AM3_2005!CA_cost_stop+BC240+BC246</f>
        <v>0</v>
      </c>
      <c r="BD250" s="49">
        <f ca="1">HM_ZD_AM3_2005!CA_cost_stop+BD240+BD246</f>
        <v>0</v>
      </c>
      <c r="BE250" s="49">
        <f ca="1">HM_ZD_AM3_2005!CA_cost_stop+BE240+BE246</f>
        <v>0</v>
      </c>
      <c r="BF250" s="49">
        <f ca="1">HM_ZD_AM3_2005!CA_cost_stop+BF240+BF246</f>
        <v>0</v>
      </c>
      <c r="BG250" s="49">
        <f ca="1">HM_ZD_AM3_2005!CA_cost_stop+BG240+BG246</f>
        <v>0</v>
      </c>
      <c r="BH250" s="49">
        <f ca="1">HM_ZD_AM3_2005!CA_cost_stop+BH240+BH246</f>
        <v>0</v>
      </c>
      <c r="BI250" s="49">
        <f ca="1">HM_ZD_AM3_2005!CA_cost_stop+BI240+BI246</f>
        <v>0</v>
      </c>
      <c r="BJ250" s="49">
        <f ca="1">HM_ZD_AM3_2005!CA_cost_stop+BJ240+BJ246</f>
        <v>0</v>
      </c>
      <c r="BK250" s="49">
        <f ca="1">HM_ZD_AM3_2005!CA_cost_stop+BK240+BK246</f>
        <v>0</v>
      </c>
      <c r="BL250" s="49">
        <f ca="1">HM_ZD_AM3_2005!CA_cost_stop+BL240+BL246</f>
        <v>0</v>
      </c>
      <c r="BM250" s="49">
        <f ca="1">HM_ZD_AM3_2005!CA_cost_stop+BM240+BM246</f>
        <v>0</v>
      </c>
      <c r="BN250" s="49">
        <f ca="1">HM_ZD_AM3_2005!CA_cost_stop+BN240+BN246</f>
        <v>0</v>
      </c>
      <c r="BO250" s="49">
        <f ca="1">HM_ZD_AM3_2005!CA_cost_stop+BO240+BO246</f>
        <v>0</v>
      </c>
      <c r="BP250" s="49">
        <f ca="1">HM_ZD_AM3_2005!CA_cost_stop+BP240+BP246</f>
        <v>0</v>
      </c>
      <c r="BQ250" s="49">
        <f ca="1">HM_ZD_AM3_2005!CA_cost_stop+BQ240+BQ246</f>
        <v>0</v>
      </c>
      <c r="BR250" s="49">
        <f ca="1">HM_ZD_AM3_2005!CA_cost_stop+BR240+BR246</f>
        <v>0</v>
      </c>
      <c r="BS250" s="49">
        <f ca="1">HM_ZD_AM3_2005!CA_cost_stop+BS240+BS246</f>
        <v>0</v>
      </c>
    </row>
    <row r="251" spans="4:71" outlineLevel="1" x14ac:dyDescent="0.2">
      <c r="E251" t="str">
        <f>HM_ZD_Moho!E274</f>
        <v>Capex cumulés à récupérer</v>
      </c>
      <c r="I251" s="30">
        <f ca="1">I222</f>
        <v>3404.9939999999997</v>
      </c>
      <c r="J251" s="26" t="s">
        <v>148</v>
      </c>
      <c r="L251" s="49">
        <f ca="1">(HM_ZD_AM3_2005!CA_capex_to_recover+HM_ZD_AM3_2005!CA_unrecov_costs_to_recover)+(K253*(1+HM_ZD_AM3_2005!int_rate_cf_costs))</f>
        <v>4715.2845865500003</v>
      </c>
      <c r="M251" s="49">
        <f ca="1">(HM_ZD_AM3_2005!CA_capex_to_recover+HM_ZD_AM3_2005!CA_unrecov_costs_to_recover)+(L253*(1+HM_ZD_AM3_2005!int_rate_cf_costs))</f>
        <v>6761.3036489758724</v>
      </c>
      <c r="N251" s="49">
        <f ca="1">(HM_ZD_AM3_2005!CA_capex_to_recover+HM_ZD_AM3_2005!CA_unrecov_costs_to_recover)+(M253*(1+HM_ZD_AM3_2005!int_rate_cf_costs))</f>
        <v>6718.279930106607</v>
      </c>
      <c r="O251" s="49">
        <f ca="1">(HM_ZD_AM3_2005!CA_capex_to_recover+HM_ZD_AM3_2005!CA_unrecov_costs_to_recover)+(N253*(1+HM_ZD_AM3_2005!int_rate_cf_costs))</f>
        <v>6718.279930106607</v>
      </c>
      <c r="P251" s="49">
        <f ca="1">(HM_ZD_AM3_2005!CA_capex_to_recover+HM_ZD_AM3_2005!CA_unrecov_costs_to_recover)+(O253*(1+HM_ZD_AM3_2005!int_rate_cf_costs))</f>
        <v>6718.279930106607</v>
      </c>
      <c r="Q251" s="49">
        <f ca="1">(HM_ZD_AM3_2005!CA_capex_to_recover+HM_ZD_AM3_2005!CA_unrecov_costs_to_recover)+(P253*(1+HM_ZD_AM3_2005!int_rate_cf_costs))</f>
        <v>6718.279930106607</v>
      </c>
      <c r="R251" s="49">
        <f ca="1">(HM_ZD_AM3_2005!CA_capex_to_recover+HM_ZD_AM3_2005!CA_unrecov_costs_to_recover)+(Q253*(1+HM_ZD_AM3_2005!int_rate_cf_costs))</f>
        <v>6718.279930106607</v>
      </c>
      <c r="S251" s="49">
        <f ca="1">(HM_ZD_AM3_2005!CA_capex_to_recover+HM_ZD_AM3_2005!CA_unrecov_costs_to_recover)+(R253*(1+HM_ZD_AM3_2005!int_rate_cf_costs))</f>
        <v>6718.279930106607</v>
      </c>
      <c r="T251" s="49">
        <f ca="1">(HM_ZD_AM3_2005!CA_capex_to_recover+HM_ZD_AM3_2005!CA_unrecov_costs_to_recover)+(S253*(1+HM_ZD_AM3_2005!int_rate_cf_costs))</f>
        <v>6718.279930106607</v>
      </c>
      <c r="U251" s="49">
        <f ca="1">(HM_ZD_AM3_2005!CA_capex_to_recover+HM_ZD_AM3_2005!CA_unrecov_costs_to_recover)+(T253*(1+HM_ZD_AM3_2005!int_rate_cf_costs))</f>
        <v>6718.279930106607</v>
      </c>
      <c r="V251" s="49">
        <f ca="1">(HM_ZD_AM3_2005!CA_capex_to_recover+HM_ZD_AM3_2005!CA_unrecov_costs_to_recover)+(U253*(1+HM_ZD_AM3_2005!int_rate_cf_costs))</f>
        <v>6718.279930106607</v>
      </c>
      <c r="W251" s="49">
        <f ca="1">(HM_ZD_AM3_2005!CA_capex_to_recover+HM_ZD_AM3_2005!CA_unrecov_costs_to_recover)+(V253*(1+HM_ZD_AM3_2005!int_rate_cf_costs))</f>
        <v>6718.279930106607</v>
      </c>
      <c r="X251" s="49">
        <f ca="1">(HM_ZD_AM3_2005!CA_capex_to_recover+HM_ZD_AM3_2005!CA_unrecov_costs_to_recover)+(W253*(1+HM_ZD_AM3_2005!int_rate_cf_costs))</f>
        <v>6718.279930106607</v>
      </c>
      <c r="Y251" s="49">
        <f ca="1">(HM_ZD_AM3_2005!CA_capex_to_recover+HM_ZD_AM3_2005!CA_unrecov_costs_to_recover)+(X253*(1+HM_ZD_AM3_2005!int_rate_cf_costs))</f>
        <v>6718.279930106607</v>
      </c>
      <c r="Z251" s="49">
        <f ca="1">(HM_ZD_AM3_2005!CA_capex_to_recover+HM_ZD_AM3_2005!CA_unrecov_costs_to_recover)+(Y253*(1+HM_ZD_AM3_2005!int_rate_cf_costs))</f>
        <v>6718.279930106607</v>
      </c>
      <c r="AA251" s="49">
        <f ca="1">(HM_ZD_AM3_2005!CA_capex_to_recover+HM_ZD_AM3_2005!CA_unrecov_costs_to_recover)+(Z253*(1+HM_ZD_AM3_2005!int_rate_cf_costs))</f>
        <v>6718.279930106607</v>
      </c>
      <c r="AB251" s="49">
        <f ca="1">(HM_ZD_AM3_2005!CA_capex_to_recover+HM_ZD_AM3_2005!CA_unrecov_costs_to_recover)+(AA253*(1+HM_ZD_AM3_2005!int_rate_cf_costs))</f>
        <v>6718.279930106607</v>
      </c>
      <c r="AC251" s="49">
        <f ca="1">(HM_ZD_AM3_2005!CA_capex_to_recover+HM_ZD_AM3_2005!CA_unrecov_costs_to_recover)+(AB253*(1+HM_ZD_AM3_2005!int_rate_cf_costs))</f>
        <v>6718.279930106607</v>
      </c>
      <c r="AD251" s="49">
        <f ca="1">(HM_ZD_AM3_2005!CA_capex_to_recover+HM_ZD_AM3_2005!CA_unrecov_costs_to_recover)+(AC253*(1+HM_ZD_AM3_2005!int_rate_cf_costs))</f>
        <v>6718.279930106607</v>
      </c>
      <c r="AE251" s="49">
        <f ca="1">(HM_ZD_AM3_2005!CA_capex_to_recover+HM_ZD_AM3_2005!CA_unrecov_costs_to_recover)+(AD253*(1+HM_ZD_AM3_2005!int_rate_cf_costs))</f>
        <v>6718.279930106607</v>
      </c>
      <c r="AF251" s="49">
        <f ca="1">(HM_ZD_AM3_2005!CA_capex_to_recover+HM_ZD_AM3_2005!CA_unrecov_costs_to_recover)+(AE253*(1+HM_ZD_AM3_2005!int_rate_cf_costs))</f>
        <v>6718.279930106607</v>
      </c>
      <c r="AG251" s="49">
        <f ca="1">(HM_ZD_AM3_2005!CA_capex_to_recover+HM_ZD_AM3_2005!CA_unrecov_costs_to_recover)+(AF253*(1+HM_ZD_AM3_2005!int_rate_cf_costs))</f>
        <v>6718.279930106607</v>
      </c>
      <c r="AH251" s="49">
        <f ca="1">(HM_ZD_AM3_2005!CA_capex_to_recover+HM_ZD_AM3_2005!CA_unrecov_costs_to_recover)+(AG253*(1+HM_ZD_AM3_2005!int_rate_cf_costs))</f>
        <v>6718.279930106607</v>
      </c>
      <c r="AI251" s="49">
        <f ca="1">(HM_ZD_AM3_2005!CA_capex_to_recover+HM_ZD_AM3_2005!CA_unrecov_costs_to_recover)+(AH253*(1+HM_ZD_AM3_2005!int_rate_cf_costs))</f>
        <v>6718.279930106607</v>
      </c>
      <c r="AJ251" s="49">
        <f ca="1">(HM_ZD_AM3_2005!CA_capex_to_recover+HM_ZD_AM3_2005!CA_unrecov_costs_to_recover)+(AI253*(1+HM_ZD_AM3_2005!int_rate_cf_costs))</f>
        <v>6718.279930106607</v>
      </c>
      <c r="AK251" s="49">
        <f ca="1">(HM_ZD_AM3_2005!CA_capex_to_recover+HM_ZD_AM3_2005!CA_unrecov_costs_to_recover)+(AJ253*(1+HM_ZD_AM3_2005!int_rate_cf_costs))</f>
        <v>6718.279930106607</v>
      </c>
      <c r="AL251" s="49">
        <f ca="1">(HM_ZD_AM3_2005!CA_capex_to_recover+HM_ZD_AM3_2005!CA_unrecov_costs_to_recover)+(AK253*(1+HM_ZD_AM3_2005!int_rate_cf_costs))</f>
        <v>6718.279930106607</v>
      </c>
      <c r="AM251" s="49">
        <f ca="1">(HM_ZD_AM3_2005!CA_capex_to_recover+HM_ZD_AM3_2005!CA_unrecov_costs_to_recover)+(AL253*(1+HM_ZD_AM3_2005!int_rate_cf_costs))</f>
        <v>6718.279930106607</v>
      </c>
      <c r="AN251" s="49">
        <f ca="1">(HM_ZD_AM3_2005!CA_capex_to_recover+HM_ZD_AM3_2005!CA_unrecov_costs_to_recover)+(AM253*(1+HM_ZD_AM3_2005!int_rate_cf_costs))</f>
        <v>6718.279930106607</v>
      </c>
      <c r="AO251" s="49">
        <f ca="1">(HM_ZD_AM3_2005!CA_capex_to_recover+HM_ZD_AM3_2005!CA_unrecov_costs_to_recover)+(AN253*(1+HM_ZD_AM3_2005!int_rate_cf_costs))</f>
        <v>6718.279930106607</v>
      </c>
      <c r="AP251" s="49">
        <f ca="1">(HM_ZD_AM3_2005!CA_capex_to_recover+HM_ZD_AM3_2005!CA_unrecov_costs_to_recover)+(AO253*(1+HM_ZD_AM3_2005!int_rate_cf_costs))</f>
        <v>6718.279930106607</v>
      </c>
      <c r="AQ251" s="49">
        <f ca="1">(HM_ZD_AM3_2005!CA_capex_to_recover+HM_ZD_AM3_2005!CA_unrecov_costs_to_recover)+(AP253*(1+HM_ZD_AM3_2005!int_rate_cf_costs))</f>
        <v>6718.279930106607</v>
      </c>
      <c r="AR251" s="49">
        <f ca="1">(HM_ZD_AM3_2005!CA_capex_to_recover+HM_ZD_AM3_2005!CA_unrecov_costs_to_recover)+(AQ253*(1+HM_ZD_AM3_2005!int_rate_cf_costs))</f>
        <v>6718.279930106607</v>
      </c>
      <c r="AS251" s="49">
        <f ca="1">(HM_ZD_AM3_2005!CA_capex_to_recover+HM_ZD_AM3_2005!CA_unrecov_costs_to_recover)+(AR253*(1+HM_ZD_AM3_2005!int_rate_cf_costs))</f>
        <v>6718.279930106607</v>
      </c>
      <c r="AT251" s="49">
        <f ca="1">(HM_ZD_AM3_2005!CA_capex_to_recover+HM_ZD_AM3_2005!CA_unrecov_costs_to_recover)+(AS253*(1+HM_ZD_AM3_2005!int_rate_cf_costs))</f>
        <v>6718.279930106607</v>
      </c>
      <c r="AU251" s="49">
        <f ca="1">(HM_ZD_AM3_2005!CA_capex_to_recover+HM_ZD_AM3_2005!CA_unrecov_costs_to_recover)+(AT253*(1+HM_ZD_AM3_2005!int_rate_cf_costs))</f>
        <v>6718.279930106607</v>
      </c>
      <c r="AV251" s="49">
        <f ca="1">(HM_ZD_AM3_2005!CA_capex_to_recover+HM_ZD_AM3_2005!CA_unrecov_costs_to_recover)+(AU253*(1+HM_ZD_AM3_2005!int_rate_cf_costs))</f>
        <v>6718.279930106607</v>
      </c>
      <c r="AW251" s="49">
        <f ca="1">(HM_ZD_AM3_2005!CA_capex_to_recover+HM_ZD_AM3_2005!CA_unrecov_costs_to_recover)+(AV253*(1+HM_ZD_AM3_2005!int_rate_cf_costs))</f>
        <v>6718.279930106607</v>
      </c>
      <c r="AX251" s="49">
        <f ca="1">(HM_ZD_AM3_2005!CA_capex_to_recover+HM_ZD_AM3_2005!CA_unrecov_costs_to_recover)+(AW253*(1+HM_ZD_AM3_2005!int_rate_cf_costs))</f>
        <v>6718.279930106607</v>
      </c>
      <c r="AY251" s="49">
        <f ca="1">(HM_ZD_AM3_2005!CA_capex_to_recover+HM_ZD_AM3_2005!CA_unrecov_costs_to_recover)+(AX253*(1+HM_ZD_AM3_2005!int_rate_cf_costs))</f>
        <v>6718.279930106607</v>
      </c>
      <c r="AZ251" s="49">
        <f ca="1">(HM_ZD_AM3_2005!CA_capex_to_recover+HM_ZD_AM3_2005!CA_unrecov_costs_to_recover)+(AY253*(1+HM_ZD_AM3_2005!int_rate_cf_costs))</f>
        <v>6718.279930106607</v>
      </c>
      <c r="BA251" s="49">
        <f ca="1">(HM_ZD_AM3_2005!CA_capex_to_recover+HM_ZD_AM3_2005!CA_unrecov_costs_to_recover)+(AZ253*(1+HM_ZD_AM3_2005!int_rate_cf_costs))</f>
        <v>6718.279930106607</v>
      </c>
      <c r="BB251" s="49">
        <f ca="1">(HM_ZD_AM3_2005!CA_capex_to_recover+HM_ZD_AM3_2005!CA_unrecov_costs_to_recover)+(BA253*(1+HM_ZD_AM3_2005!int_rate_cf_costs))</f>
        <v>6718.279930106607</v>
      </c>
      <c r="BC251" s="49">
        <f ca="1">(HM_ZD_AM3_2005!CA_capex_to_recover+HM_ZD_AM3_2005!CA_unrecov_costs_to_recover)+(BB253*(1+HM_ZD_AM3_2005!int_rate_cf_costs))</f>
        <v>6718.279930106607</v>
      </c>
      <c r="BD251" s="49">
        <f ca="1">(HM_ZD_AM3_2005!CA_capex_to_recover+HM_ZD_AM3_2005!CA_unrecov_costs_to_recover)+(BC253*(1+HM_ZD_AM3_2005!int_rate_cf_costs))</f>
        <v>6718.279930106607</v>
      </c>
      <c r="BE251" s="49">
        <f ca="1">(HM_ZD_AM3_2005!CA_capex_to_recover+HM_ZD_AM3_2005!CA_unrecov_costs_to_recover)+(BD253*(1+HM_ZD_AM3_2005!int_rate_cf_costs))</f>
        <v>6718.279930106607</v>
      </c>
      <c r="BF251" s="49">
        <f ca="1">(HM_ZD_AM3_2005!CA_capex_to_recover+HM_ZD_AM3_2005!CA_unrecov_costs_to_recover)+(BE253*(1+HM_ZD_AM3_2005!int_rate_cf_costs))</f>
        <v>6718.279930106607</v>
      </c>
      <c r="BG251" s="49">
        <f ca="1">(HM_ZD_AM3_2005!CA_capex_to_recover+HM_ZD_AM3_2005!CA_unrecov_costs_to_recover)+(BF253*(1+HM_ZD_AM3_2005!int_rate_cf_costs))</f>
        <v>6718.279930106607</v>
      </c>
      <c r="BH251" s="49">
        <f ca="1">(HM_ZD_AM3_2005!CA_capex_to_recover+HM_ZD_AM3_2005!CA_unrecov_costs_to_recover)+(BG253*(1+HM_ZD_AM3_2005!int_rate_cf_costs))</f>
        <v>6718.279930106607</v>
      </c>
      <c r="BI251" s="49">
        <f ca="1">(HM_ZD_AM3_2005!CA_capex_to_recover+HM_ZD_AM3_2005!CA_unrecov_costs_to_recover)+(BH253*(1+HM_ZD_AM3_2005!int_rate_cf_costs))</f>
        <v>6718.279930106607</v>
      </c>
      <c r="BJ251" s="49">
        <f ca="1">(HM_ZD_AM3_2005!CA_capex_to_recover+HM_ZD_AM3_2005!CA_unrecov_costs_to_recover)+(BI253*(1+HM_ZD_AM3_2005!int_rate_cf_costs))</f>
        <v>6718.279930106607</v>
      </c>
      <c r="BK251" s="49">
        <f ca="1">(HM_ZD_AM3_2005!CA_capex_to_recover+HM_ZD_AM3_2005!CA_unrecov_costs_to_recover)+(BJ253*(1+HM_ZD_AM3_2005!int_rate_cf_costs))</f>
        <v>6718.279930106607</v>
      </c>
      <c r="BL251" s="49">
        <f ca="1">(HM_ZD_AM3_2005!CA_capex_to_recover+HM_ZD_AM3_2005!CA_unrecov_costs_to_recover)+(BK253*(1+HM_ZD_AM3_2005!int_rate_cf_costs))</f>
        <v>6718.279930106607</v>
      </c>
      <c r="BM251" s="49">
        <f ca="1">(HM_ZD_AM3_2005!CA_capex_to_recover+HM_ZD_AM3_2005!CA_unrecov_costs_to_recover)+(BL253*(1+HM_ZD_AM3_2005!int_rate_cf_costs))</f>
        <v>6718.279930106607</v>
      </c>
      <c r="BN251" s="49">
        <f ca="1">(HM_ZD_AM3_2005!CA_capex_to_recover+HM_ZD_AM3_2005!CA_unrecov_costs_to_recover)+(BM253*(1+HM_ZD_AM3_2005!int_rate_cf_costs))</f>
        <v>6718.279930106607</v>
      </c>
      <c r="BO251" s="49">
        <f ca="1">(HM_ZD_AM3_2005!CA_capex_to_recover+HM_ZD_AM3_2005!CA_unrecov_costs_to_recover)+(BN253*(1+HM_ZD_AM3_2005!int_rate_cf_costs))</f>
        <v>6718.279930106607</v>
      </c>
      <c r="BP251" s="49">
        <f ca="1">(HM_ZD_AM3_2005!CA_capex_to_recover+HM_ZD_AM3_2005!CA_unrecov_costs_to_recover)+(BO253*(1+HM_ZD_AM3_2005!int_rate_cf_costs))</f>
        <v>6718.279930106607</v>
      </c>
      <c r="BQ251" s="49">
        <f ca="1">(HM_ZD_AM3_2005!CA_capex_to_recover+HM_ZD_AM3_2005!CA_unrecov_costs_to_recover)+(BP253*(1+HM_ZD_AM3_2005!int_rate_cf_costs))</f>
        <v>6718.279930106607</v>
      </c>
      <c r="BR251" s="49">
        <f ca="1">(HM_ZD_AM3_2005!CA_capex_to_recover+HM_ZD_AM3_2005!CA_unrecov_costs_to_recover)+(BQ253*(1+HM_ZD_AM3_2005!int_rate_cf_costs))</f>
        <v>6718.279930106607</v>
      </c>
      <c r="BS251" s="49">
        <f ca="1">(HM_ZD_AM3_2005!CA_capex_to_recover+HM_ZD_AM3_2005!CA_unrecov_costs_to_recover)+(BR253*(1+HM_ZD_AM3_2005!int_rate_cf_costs))</f>
        <v>6718.279930106607</v>
      </c>
    </row>
    <row r="252" spans="4:71" outlineLevel="1" x14ac:dyDescent="0.2">
      <c r="E252" t="str">
        <f>HM_ZD_Moho!E275</f>
        <v>Capex récupérés</v>
      </c>
      <c r="H252" s="56" t="b">
        <f ca="1">ROUND(I252,2)=-ROUND(I251,2)</f>
        <v>0</v>
      </c>
      <c r="I252" s="30">
        <f t="shared" ca="1" si="79"/>
        <v>-115.2166564433937</v>
      </c>
      <c r="J252" s="26" t="s">
        <v>148</v>
      </c>
      <c r="L252" s="49">
        <f ca="1">-MIN(L251,L250)</f>
        <v>-72.192937574128536</v>
      </c>
      <c r="M252" s="49">
        <f t="shared" ref="M252:BS252" ca="1" si="80">-MIN(M251,M250)</f>
        <v>-43.023718869265167</v>
      </c>
      <c r="N252" s="49">
        <f t="shared" ca="1" si="80"/>
        <v>0</v>
      </c>
      <c r="O252" s="49">
        <f t="shared" ca="1" si="80"/>
        <v>0</v>
      </c>
      <c r="P252" s="49">
        <f t="shared" ca="1" si="80"/>
        <v>0</v>
      </c>
      <c r="Q252" s="49">
        <f t="shared" ca="1" si="80"/>
        <v>0</v>
      </c>
      <c r="R252" s="49">
        <f t="shared" ca="1" si="80"/>
        <v>0</v>
      </c>
      <c r="S252" s="49">
        <f t="shared" ca="1" si="80"/>
        <v>0</v>
      </c>
      <c r="T252" s="49">
        <f t="shared" ca="1" si="80"/>
        <v>0</v>
      </c>
      <c r="U252" s="49">
        <f t="shared" ca="1" si="80"/>
        <v>0</v>
      </c>
      <c r="V252" s="49">
        <f t="shared" ca="1" si="80"/>
        <v>0</v>
      </c>
      <c r="W252" s="49">
        <f t="shared" ca="1" si="80"/>
        <v>0</v>
      </c>
      <c r="X252" s="49">
        <f t="shared" ca="1" si="80"/>
        <v>0</v>
      </c>
      <c r="Y252" s="49">
        <f t="shared" ca="1" si="80"/>
        <v>0</v>
      </c>
      <c r="Z252" s="49">
        <f t="shared" ca="1" si="80"/>
        <v>0</v>
      </c>
      <c r="AA252" s="49">
        <f t="shared" ca="1" si="80"/>
        <v>0</v>
      </c>
      <c r="AB252" s="49">
        <f t="shared" ca="1" si="80"/>
        <v>0</v>
      </c>
      <c r="AC252" s="49">
        <f t="shared" ca="1" si="80"/>
        <v>0</v>
      </c>
      <c r="AD252" s="49">
        <f t="shared" ca="1" si="80"/>
        <v>0</v>
      </c>
      <c r="AE252" s="49">
        <f t="shared" ca="1" si="80"/>
        <v>0</v>
      </c>
      <c r="AF252" s="49">
        <f t="shared" ca="1" si="80"/>
        <v>0</v>
      </c>
      <c r="AG252" s="49">
        <f t="shared" ca="1" si="80"/>
        <v>0</v>
      </c>
      <c r="AH252" s="49">
        <f t="shared" ca="1" si="80"/>
        <v>0</v>
      </c>
      <c r="AI252" s="49">
        <f t="shared" ca="1" si="80"/>
        <v>0</v>
      </c>
      <c r="AJ252" s="49">
        <f t="shared" ca="1" si="80"/>
        <v>0</v>
      </c>
      <c r="AK252" s="49">
        <f t="shared" ca="1" si="80"/>
        <v>0</v>
      </c>
      <c r="AL252" s="49">
        <f t="shared" ca="1" si="80"/>
        <v>0</v>
      </c>
      <c r="AM252" s="49">
        <f t="shared" ca="1" si="80"/>
        <v>0</v>
      </c>
      <c r="AN252" s="49">
        <f t="shared" ca="1" si="80"/>
        <v>0</v>
      </c>
      <c r="AO252" s="49">
        <f t="shared" ca="1" si="80"/>
        <v>0</v>
      </c>
      <c r="AP252" s="49">
        <f t="shared" ca="1" si="80"/>
        <v>0</v>
      </c>
      <c r="AQ252" s="49">
        <f t="shared" ca="1" si="80"/>
        <v>0</v>
      </c>
      <c r="AR252" s="49">
        <f t="shared" ca="1" si="80"/>
        <v>0</v>
      </c>
      <c r="AS252" s="49">
        <f t="shared" ca="1" si="80"/>
        <v>0</v>
      </c>
      <c r="AT252" s="49">
        <f t="shared" ca="1" si="80"/>
        <v>0</v>
      </c>
      <c r="AU252" s="49">
        <f t="shared" ca="1" si="80"/>
        <v>0</v>
      </c>
      <c r="AV252" s="49">
        <f t="shared" ca="1" si="80"/>
        <v>0</v>
      </c>
      <c r="AW252" s="49">
        <f t="shared" ca="1" si="80"/>
        <v>0</v>
      </c>
      <c r="AX252" s="49">
        <f t="shared" ca="1" si="80"/>
        <v>0</v>
      </c>
      <c r="AY252" s="49">
        <f t="shared" ca="1" si="80"/>
        <v>0</v>
      </c>
      <c r="AZ252" s="49">
        <f t="shared" ca="1" si="80"/>
        <v>0</v>
      </c>
      <c r="BA252" s="49">
        <f t="shared" ca="1" si="80"/>
        <v>0</v>
      </c>
      <c r="BB252" s="49">
        <f t="shared" ca="1" si="80"/>
        <v>0</v>
      </c>
      <c r="BC252" s="49">
        <f t="shared" ca="1" si="80"/>
        <v>0</v>
      </c>
      <c r="BD252" s="49">
        <f t="shared" ca="1" si="80"/>
        <v>0</v>
      </c>
      <c r="BE252" s="49">
        <f t="shared" ca="1" si="80"/>
        <v>0</v>
      </c>
      <c r="BF252" s="49">
        <f t="shared" ca="1" si="80"/>
        <v>0</v>
      </c>
      <c r="BG252" s="49">
        <f t="shared" ca="1" si="80"/>
        <v>0</v>
      </c>
      <c r="BH252" s="49">
        <f t="shared" ca="1" si="80"/>
        <v>0</v>
      </c>
      <c r="BI252" s="49">
        <f t="shared" ca="1" si="80"/>
        <v>0</v>
      </c>
      <c r="BJ252" s="49">
        <f t="shared" ca="1" si="80"/>
        <v>0</v>
      </c>
      <c r="BK252" s="49">
        <f t="shared" ca="1" si="80"/>
        <v>0</v>
      </c>
      <c r="BL252" s="49">
        <f t="shared" ca="1" si="80"/>
        <v>0</v>
      </c>
      <c r="BM252" s="49">
        <f t="shared" ca="1" si="80"/>
        <v>0</v>
      </c>
      <c r="BN252" s="49">
        <f t="shared" ca="1" si="80"/>
        <v>0</v>
      </c>
      <c r="BO252" s="49">
        <f t="shared" ca="1" si="80"/>
        <v>0</v>
      </c>
      <c r="BP252" s="49">
        <f t="shared" ca="1" si="80"/>
        <v>0</v>
      </c>
      <c r="BQ252" s="49">
        <f t="shared" ca="1" si="80"/>
        <v>0</v>
      </c>
      <c r="BR252" s="49">
        <f t="shared" ca="1" si="80"/>
        <v>0</v>
      </c>
      <c r="BS252" s="49">
        <f t="shared" ca="1" si="80"/>
        <v>0</v>
      </c>
    </row>
    <row r="253" spans="4:71" outlineLevel="1" x14ac:dyDescent="0.2">
      <c r="E253" t="str">
        <f>HM_ZD_Moho!E276</f>
        <v xml:space="preserve">Sous/(Sur)récupération </v>
      </c>
      <c r="J253" s="26"/>
      <c r="L253" s="49">
        <f ca="1">L251+L252</f>
        <v>4643.091648975872</v>
      </c>
      <c r="M253" s="49">
        <f t="shared" ref="M253:BS253" ca="1" si="81">M251+M252</f>
        <v>6718.279930106607</v>
      </c>
      <c r="N253" s="49">
        <f t="shared" ca="1" si="81"/>
        <v>6718.279930106607</v>
      </c>
      <c r="O253" s="49">
        <f t="shared" ca="1" si="81"/>
        <v>6718.279930106607</v>
      </c>
      <c r="P253" s="49">
        <f t="shared" ca="1" si="81"/>
        <v>6718.279930106607</v>
      </c>
      <c r="Q253" s="49">
        <f t="shared" ca="1" si="81"/>
        <v>6718.279930106607</v>
      </c>
      <c r="R253" s="49">
        <f t="shared" ca="1" si="81"/>
        <v>6718.279930106607</v>
      </c>
      <c r="S253" s="49">
        <f t="shared" ca="1" si="81"/>
        <v>6718.279930106607</v>
      </c>
      <c r="T253" s="49">
        <f t="shared" ca="1" si="81"/>
        <v>6718.279930106607</v>
      </c>
      <c r="U253" s="49">
        <f t="shared" ca="1" si="81"/>
        <v>6718.279930106607</v>
      </c>
      <c r="V253" s="49">
        <f t="shared" ca="1" si="81"/>
        <v>6718.279930106607</v>
      </c>
      <c r="W253" s="49">
        <f t="shared" ca="1" si="81"/>
        <v>6718.279930106607</v>
      </c>
      <c r="X253" s="49">
        <f t="shared" ca="1" si="81"/>
        <v>6718.279930106607</v>
      </c>
      <c r="Y253" s="49">
        <f t="shared" ca="1" si="81"/>
        <v>6718.279930106607</v>
      </c>
      <c r="Z253" s="49">
        <f t="shared" ca="1" si="81"/>
        <v>6718.279930106607</v>
      </c>
      <c r="AA253" s="49">
        <f t="shared" ca="1" si="81"/>
        <v>6718.279930106607</v>
      </c>
      <c r="AB253" s="49">
        <f t="shared" ca="1" si="81"/>
        <v>6718.279930106607</v>
      </c>
      <c r="AC253" s="49">
        <f t="shared" ca="1" si="81"/>
        <v>6718.279930106607</v>
      </c>
      <c r="AD253" s="49">
        <f t="shared" ca="1" si="81"/>
        <v>6718.279930106607</v>
      </c>
      <c r="AE253" s="49">
        <f t="shared" ca="1" si="81"/>
        <v>6718.279930106607</v>
      </c>
      <c r="AF253" s="49">
        <f t="shared" ca="1" si="81"/>
        <v>6718.279930106607</v>
      </c>
      <c r="AG253" s="49">
        <f t="shared" ca="1" si="81"/>
        <v>6718.279930106607</v>
      </c>
      <c r="AH253" s="49">
        <f t="shared" ca="1" si="81"/>
        <v>6718.279930106607</v>
      </c>
      <c r="AI253" s="49">
        <f t="shared" ca="1" si="81"/>
        <v>6718.279930106607</v>
      </c>
      <c r="AJ253" s="49">
        <f t="shared" ca="1" si="81"/>
        <v>6718.279930106607</v>
      </c>
      <c r="AK253" s="49">
        <f t="shared" ca="1" si="81"/>
        <v>6718.279930106607</v>
      </c>
      <c r="AL253" s="49">
        <f t="shared" ca="1" si="81"/>
        <v>6718.279930106607</v>
      </c>
      <c r="AM253" s="49">
        <f t="shared" ca="1" si="81"/>
        <v>6718.279930106607</v>
      </c>
      <c r="AN253" s="49">
        <f t="shared" ca="1" si="81"/>
        <v>6718.279930106607</v>
      </c>
      <c r="AO253" s="49">
        <f t="shared" ca="1" si="81"/>
        <v>6718.279930106607</v>
      </c>
      <c r="AP253" s="49">
        <f t="shared" ca="1" si="81"/>
        <v>6718.279930106607</v>
      </c>
      <c r="AQ253" s="49">
        <f t="shared" ca="1" si="81"/>
        <v>6718.279930106607</v>
      </c>
      <c r="AR253" s="49">
        <f t="shared" ca="1" si="81"/>
        <v>6718.279930106607</v>
      </c>
      <c r="AS253" s="49">
        <f t="shared" ca="1" si="81"/>
        <v>6718.279930106607</v>
      </c>
      <c r="AT253" s="49">
        <f t="shared" ca="1" si="81"/>
        <v>6718.279930106607</v>
      </c>
      <c r="AU253" s="49">
        <f t="shared" ca="1" si="81"/>
        <v>6718.279930106607</v>
      </c>
      <c r="AV253" s="49">
        <f t="shared" ca="1" si="81"/>
        <v>6718.279930106607</v>
      </c>
      <c r="AW253" s="49">
        <f t="shared" ca="1" si="81"/>
        <v>6718.279930106607</v>
      </c>
      <c r="AX253" s="49">
        <f t="shared" ca="1" si="81"/>
        <v>6718.279930106607</v>
      </c>
      <c r="AY253" s="49">
        <f t="shared" ca="1" si="81"/>
        <v>6718.279930106607</v>
      </c>
      <c r="AZ253" s="49">
        <f t="shared" ca="1" si="81"/>
        <v>6718.279930106607</v>
      </c>
      <c r="BA253" s="49">
        <f t="shared" ca="1" si="81"/>
        <v>6718.279930106607</v>
      </c>
      <c r="BB253" s="49">
        <f t="shared" ca="1" si="81"/>
        <v>6718.279930106607</v>
      </c>
      <c r="BC253" s="49">
        <f t="shared" ca="1" si="81"/>
        <v>6718.279930106607</v>
      </c>
      <c r="BD253" s="49">
        <f t="shared" ca="1" si="81"/>
        <v>6718.279930106607</v>
      </c>
      <c r="BE253" s="49">
        <f t="shared" ca="1" si="81"/>
        <v>6718.279930106607</v>
      </c>
      <c r="BF253" s="49">
        <f t="shared" ca="1" si="81"/>
        <v>6718.279930106607</v>
      </c>
      <c r="BG253" s="49">
        <f t="shared" ca="1" si="81"/>
        <v>6718.279930106607</v>
      </c>
      <c r="BH253" s="49">
        <f t="shared" ca="1" si="81"/>
        <v>6718.279930106607</v>
      </c>
      <c r="BI253" s="49">
        <f t="shared" ca="1" si="81"/>
        <v>6718.279930106607</v>
      </c>
      <c r="BJ253" s="49">
        <f t="shared" ca="1" si="81"/>
        <v>6718.279930106607</v>
      </c>
      <c r="BK253" s="49">
        <f t="shared" ca="1" si="81"/>
        <v>6718.279930106607</v>
      </c>
      <c r="BL253" s="49">
        <f t="shared" ca="1" si="81"/>
        <v>6718.279930106607</v>
      </c>
      <c r="BM253" s="49">
        <f t="shared" ca="1" si="81"/>
        <v>6718.279930106607</v>
      </c>
      <c r="BN253" s="49">
        <f t="shared" ca="1" si="81"/>
        <v>6718.279930106607</v>
      </c>
      <c r="BO253" s="49">
        <f t="shared" ca="1" si="81"/>
        <v>6718.279930106607</v>
      </c>
      <c r="BP253" s="49">
        <f t="shared" ca="1" si="81"/>
        <v>6718.279930106607</v>
      </c>
      <c r="BQ253" s="49">
        <f t="shared" ca="1" si="81"/>
        <v>6718.279930106607</v>
      </c>
      <c r="BR253" s="49">
        <f t="shared" ca="1" si="81"/>
        <v>6718.279930106607</v>
      </c>
      <c r="BS253" s="49">
        <f t="shared" ca="1" si="81"/>
        <v>6718.279930106607</v>
      </c>
    </row>
    <row r="254" spans="4:71" outlineLevel="1" x14ac:dyDescent="0.2">
      <c r="J254" s="26"/>
      <c r="L254" s="55"/>
      <c r="M254" s="55"/>
      <c r="N254" s="55"/>
      <c r="O254" s="55"/>
      <c r="P254" s="55"/>
      <c r="Q254" s="55"/>
      <c r="R254" s="55"/>
      <c r="S254" s="55"/>
      <c r="T254" s="55"/>
      <c r="U254" s="55"/>
      <c r="V254" s="55"/>
      <c r="W254" s="55"/>
      <c r="X254" s="55"/>
      <c r="Y254" s="55"/>
      <c r="Z254" s="55"/>
      <c r="AA254" s="55"/>
      <c r="AB254" s="55"/>
      <c r="AC254" s="55"/>
      <c r="AD254" s="55"/>
      <c r="AE254" s="55"/>
      <c r="AF254" s="55"/>
      <c r="AG254" s="55"/>
      <c r="AH254" s="55"/>
      <c r="AI254" s="55"/>
      <c r="AJ254" s="55"/>
      <c r="AK254" s="55"/>
      <c r="AL254" s="55"/>
      <c r="AM254" s="55"/>
      <c r="AN254" s="55"/>
      <c r="AO254" s="55"/>
      <c r="AP254" s="55"/>
      <c r="AQ254" s="55"/>
      <c r="AR254" s="55"/>
      <c r="AS254" s="55"/>
      <c r="AT254" s="55"/>
      <c r="AU254" s="55"/>
      <c r="AV254" s="55"/>
      <c r="AW254" s="55"/>
      <c r="AX254" s="55"/>
      <c r="AY254" s="55"/>
      <c r="AZ254" s="55"/>
      <c r="BA254" s="55"/>
      <c r="BB254" s="55"/>
      <c r="BC254" s="55"/>
      <c r="BD254" s="55"/>
      <c r="BE254" s="55"/>
      <c r="BF254" s="55"/>
      <c r="BG254" s="55"/>
      <c r="BH254" s="55"/>
      <c r="BI254" s="55"/>
      <c r="BJ254" s="55"/>
      <c r="BK254" s="55"/>
      <c r="BL254" s="55"/>
      <c r="BM254" s="55"/>
      <c r="BN254" s="55"/>
      <c r="BO254" s="55"/>
      <c r="BP254" s="55"/>
      <c r="BQ254" s="55"/>
      <c r="BR254" s="55"/>
      <c r="BS254" s="55"/>
    </row>
    <row r="255" spans="4:71" outlineLevel="1" x14ac:dyDescent="0.2">
      <c r="D255" s="51" t="str">
        <f>HM_ZD_Moho!D278</f>
        <v>Investissement -Dépenses d'exploration</v>
      </c>
      <c r="J255" s="26"/>
      <c r="L255" s="55"/>
      <c r="M255" s="55"/>
      <c r="N255" s="55"/>
      <c r="O255" s="55"/>
      <c r="P255" s="55"/>
      <c r="Q255" s="55"/>
      <c r="R255" s="55"/>
      <c r="S255" s="55"/>
      <c r="T255" s="55"/>
      <c r="U255" s="55"/>
      <c r="V255" s="55"/>
      <c r="W255" s="55"/>
      <c r="X255" s="55"/>
      <c r="Y255" s="55"/>
      <c r="Z255" s="55"/>
      <c r="AA255" s="55"/>
      <c r="AB255" s="55"/>
      <c r="AC255" s="55"/>
      <c r="AD255" s="55"/>
      <c r="AE255" s="55"/>
      <c r="AF255" s="55"/>
      <c r="AG255" s="55"/>
      <c r="AH255" s="55"/>
      <c r="AI255" s="55"/>
      <c r="AJ255" s="55"/>
      <c r="AK255" s="55"/>
      <c r="AL255" s="55"/>
      <c r="AM255" s="55"/>
      <c r="AN255" s="55"/>
      <c r="AO255" s="55"/>
      <c r="AP255" s="55"/>
      <c r="AQ255" s="55"/>
      <c r="AR255" s="55"/>
      <c r="AS255" s="55"/>
      <c r="AT255" s="55"/>
      <c r="AU255" s="55"/>
      <c r="AV255" s="55"/>
      <c r="AW255" s="55"/>
      <c r="AX255" s="55"/>
      <c r="AY255" s="55"/>
      <c r="AZ255" s="55"/>
      <c r="BA255" s="55"/>
      <c r="BB255" s="55"/>
      <c r="BC255" s="55"/>
      <c r="BD255" s="55"/>
      <c r="BE255" s="55"/>
      <c r="BF255" s="55"/>
      <c r="BG255" s="55"/>
      <c r="BH255" s="55"/>
      <c r="BI255" s="55"/>
      <c r="BJ255" s="55"/>
      <c r="BK255" s="55"/>
      <c r="BL255" s="55"/>
      <c r="BM255" s="55"/>
      <c r="BN255" s="55"/>
      <c r="BO255" s="55"/>
      <c r="BP255" s="55"/>
      <c r="BQ255" s="55"/>
      <c r="BR255" s="55"/>
      <c r="BS255" s="55"/>
    </row>
    <row r="256" spans="4:71" outlineLevel="1" x14ac:dyDescent="0.2">
      <c r="E256" t="str">
        <f>HM_ZD_Moho!E279</f>
        <v>Revenus disponibles pour la récupération</v>
      </c>
      <c r="I256" s="30">
        <f t="shared" ref="I256:I268" ca="1" si="82">SUM($L256:$BS256)</f>
        <v>0</v>
      </c>
      <c r="J256" s="26" t="s">
        <v>148</v>
      </c>
      <c r="L256" s="49">
        <f t="shared" ref="L256:AQ256" ca="1" si="83">MAX(CA_cost_stop+L240+L246+L252,0)</f>
        <v>0</v>
      </c>
      <c r="M256" s="49">
        <f t="shared" ca="1" si="83"/>
        <v>0</v>
      </c>
      <c r="N256" s="49">
        <f t="shared" ca="1" si="83"/>
        <v>0</v>
      </c>
      <c r="O256" s="49">
        <f t="shared" ca="1" si="83"/>
        <v>0</v>
      </c>
      <c r="P256" s="49">
        <f t="shared" ca="1" si="83"/>
        <v>0</v>
      </c>
      <c r="Q256" s="49">
        <f t="shared" ca="1" si="83"/>
        <v>0</v>
      </c>
      <c r="R256" s="49">
        <f t="shared" ca="1" si="83"/>
        <v>0</v>
      </c>
      <c r="S256" s="49">
        <f t="shared" ca="1" si="83"/>
        <v>0</v>
      </c>
      <c r="T256" s="49">
        <f t="shared" ca="1" si="83"/>
        <v>0</v>
      </c>
      <c r="U256" s="49">
        <f t="shared" ca="1" si="83"/>
        <v>0</v>
      </c>
      <c r="V256" s="49">
        <f t="shared" ca="1" si="83"/>
        <v>0</v>
      </c>
      <c r="W256" s="49">
        <f t="shared" ca="1" si="83"/>
        <v>0</v>
      </c>
      <c r="X256" s="49">
        <f t="shared" ca="1" si="83"/>
        <v>0</v>
      </c>
      <c r="Y256" s="49">
        <f t="shared" ca="1" si="83"/>
        <v>0</v>
      </c>
      <c r="Z256" s="49">
        <f t="shared" ca="1" si="83"/>
        <v>0</v>
      </c>
      <c r="AA256" s="49">
        <f t="shared" ca="1" si="83"/>
        <v>0</v>
      </c>
      <c r="AB256" s="49">
        <f t="shared" ca="1" si="83"/>
        <v>0</v>
      </c>
      <c r="AC256" s="49">
        <f t="shared" ca="1" si="83"/>
        <v>0</v>
      </c>
      <c r="AD256" s="49">
        <f t="shared" ca="1" si="83"/>
        <v>0</v>
      </c>
      <c r="AE256" s="49">
        <f t="shared" ca="1" si="83"/>
        <v>0</v>
      </c>
      <c r="AF256" s="49">
        <f t="shared" ca="1" si="83"/>
        <v>0</v>
      </c>
      <c r="AG256" s="49">
        <f t="shared" ca="1" si="83"/>
        <v>0</v>
      </c>
      <c r="AH256" s="49">
        <f t="shared" ca="1" si="83"/>
        <v>0</v>
      </c>
      <c r="AI256" s="49">
        <f t="shared" ca="1" si="83"/>
        <v>0</v>
      </c>
      <c r="AJ256" s="49">
        <f t="shared" ca="1" si="83"/>
        <v>0</v>
      </c>
      <c r="AK256" s="49">
        <f t="shared" ca="1" si="83"/>
        <v>0</v>
      </c>
      <c r="AL256" s="49">
        <f t="shared" ca="1" si="83"/>
        <v>0</v>
      </c>
      <c r="AM256" s="49">
        <f t="shared" ca="1" si="83"/>
        <v>0</v>
      </c>
      <c r="AN256" s="49">
        <f t="shared" ca="1" si="83"/>
        <v>0</v>
      </c>
      <c r="AO256" s="49">
        <f t="shared" ca="1" si="83"/>
        <v>0</v>
      </c>
      <c r="AP256" s="49">
        <f t="shared" ca="1" si="83"/>
        <v>0</v>
      </c>
      <c r="AQ256" s="49">
        <f t="shared" ca="1" si="83"/>
        <v>0</v>
      </c>
      <c r="AR256" s="49">
        <f t="shared" ref="AR256:BS256" ca="1" si="84">MAX(CA_cost_stop+AR240+AR246+AR252,0)</f>
        <v>0</v>
      </c>
      <c r="AS256" s="49">
        <f t="shared" ca="1" si="84"/>
        <v>0</v>
      </c>
      <c r="AT256" s="49">
        <f t="shared" ca="1" si="84"/>
        <v>0</v>
      </c>
      <c r="AU256" s="49">
        <f t="shared" ca="1" si="84"/>
        <v>0</v>
      </c>
      <c r="AV256" s="49">
        <f t="shared" ca="1" si="84"/>
        <v>0</v>
      </c>
      <c r="AW256" s="49">
        <f t="shared" ca="1" si="84"/>
        <v>0</v>
      </c>
      <c r="AX256" s="49">
        <f t="shared" ca="1" si="84"/>
        <v>0</v>
      </c>
      <c r="AY256" s="49">
        <f t="shared" ca="1" si="84"/>
        <v>0</v>
      </c>
      <c r="AZ256" s="49">
        <f t="shared" ca="1" si="84"/>
        <v>0</v>
      </c>
      <c r="BA256" s="49">
        <f t="shared" ca="1" si="84"/>
        <v>0</v>
      </c>
      <c r="BB256" s="49">
        <f t="shared" ca="1" si="84"/>
        <v>0</v>
      </c>
      <c r="BC256" s="49">
        <f t="shared" ca="1" si="84"/>
        <v>0</v>
      </c>
      <c r="BD256" s="49">
        <f t="shared" ca="1" si="84"/>
        <v>0</v>
      </c>
      <c r="BE256" s="49">
        <f t="shared" ca="1" si="84"/>
        <v>0</v>
      </c>
      <c r="BF256" s="49">
        <f t="shared" ca="1" si="84"/>
        <v>0</v>
      </c>
      <c r="BG256" s="49">
        <f t="shared" ca="1" si="84"/>
        <v>0</v>
      </c>
      <c r="BH256" s="49">
        <f t="shared" ca="1" si="84"/>
        <v>0</v>
      </c>
      <c r="BI256" s="49">
        <f t="shared" ca="1" si="84"/>
        <v>0</v>
      </c>
      <c r="BJ256" s="49">
        <f t="shared" ca="1" si="84"/>
        <v>0</v>
      </c>
      <c r="BK256" s="49">
        <f t="shared" ca="1" si="84"/>
        <v>0</v>
      </c>
      <c r="BL256" s="49">
        <f t="shared" ca="1" si="84"/>
        <v>0</v>
      </c>
      <c r="BM256" s="49">
        <f t="shared" ca="1" si="84"/>
        <v>0</v>
      </c>
      <c r="BN256" s="49">
        <f t="shared" ca="1" si="84"/>
        <v>0</v>
      </c>
      <c r="BO256" s="49">
        <f t="shared" ca="1" si="84"/>
        <v>0</v>
      </c>
      <c r="BP256" s="49">
        <f t="shared" ca="1" si="84"/>
        <v>0</v>
      </c>
      <c r="BQ256" s="49">
        <f t="shared" ca="1" si="84"/>
        <v>0</v>
      </c>
      <c r="BR256" s="49">
        <f t="shared" ca="1" si="84"/>
        <v>0</v>
      </c>
      <c r="BS256" s="49">
        <f t="shared" ca="1" si="84"/>
        <v>0</v>
      </c>
    </row>
    <row r="257" spans="3:71" outlineLevel="1" x14ac:dyDescent="0.2">
      <c r="E257" t="str">
        <f>HM_ZD_Moho!E280</f>
        <v>Coûts exploration cumulés à récupérer</v>
      </c>
      <c r="I257" s="30">
        <f ca="1">I223</f>
        <v>0</v>
      </c>
      <c r="J257" s="26" t="s">
        <v>148</v>
      </c>
      <c r="L257" s="49">
        <f ca="1">HM_ZD_AM3_2005!CA_expex_to_recover+(K259*(1+HM_ZD_AM3_2005!int_rate_cf_costs))</f>
        <v>0</v>
      </c>
      <c r="M257" s="49">
        <f ca="1">HM_ZD_AM3_2005!CA_expex_to_recover+(L259*(1+HM_ZD_AM3_2005!int_rate_cf_costs))</f>
        <v>0</v>
      </c>
      <c r="N257" s="49">
        <f ca="1">HM_ZD_AM3_2005!CA_expex_to_recover+(M259*(1+HM_ZD_AM3_2005!int_rate_cf_costs))</f>
        <v>0</v>
      </c>
      <c r="O257" s="49">
        <f ca="1">HM_ZD_AM3_2005!CA_expex_to_recover+(N259*(1+HM_ZD_AM3_2005!int_rate_cf_costs))</f>
        <v>0</v>
      </c>
      <c r="P257" s="49">
        <f ca="1">HM_ZD_AM3_2005!CA_expex_to_recover+(O259*(1+HM_ZD_AM3_2005!int_rate_cf_costs))</f>
        <v>0</v>
      </c>
      <c r="Q257" s="49">
        <f ca="1">HM_ZD_AM3_2005!CA_expex_to_recover+(P259*(1+HM_ZD_AM3_2005!int_rate_cf_costs))</f>
        <v>0</v>
      </c>
      <c r="R257" s="49">
        <f ca="1">HM_ZD_AM3_2005!CA_expex_to_recover+(Q259*(1+HM_ZD_AM3_2005!int_rate_cf_costs))</f>
        <v>0</v>
      </c>
      <c r="S257" s="49">
        <f ca="1">HM_ZD_AM3_2005!CA_expex_to_recover+(R259*(1+HM_ZD_AM3_2005!int_rate_cf_costs))</f>
        <v>0</v>
      </c>
      <c r="T257" s="49">
        <f ca="1">HM_ZD_AM3_2005!CA_expex_to_recover+(S259*(1+HM_ZD_AM3_2005!int_rate_cf_costs))</f>
        <v>0</v>
      </c>
      <c r="U257" s="49">
        <f ca="1">HM_ZD_AM3_2005!CA_expex_to_recover+(T259*(1+HM_ZD_AM3_2005!int_rate_cf_costs))</f>
        <v>0</v>
      </c>
      <c r="V257" s="49">
        <f ca="1">HM_ZD_AM3_2005!CA_expex_to_recover+(U259*(1+HM_ZD_AM3_2005!int_rate_cf_costs))</f>
        <v>0</v>
      </c>
      <c r="W257" s="49">
        <f ca="1">HM_ZD_AM3_2005!CA_expex_to_recover+(V259*(1+HM_ZD_AM3_2005!int_rate_cf_costs))</f>
        <v>0</v>
      </c>
      <c r="X257" s="49">
        <f ca="1">HM_ZD_AM3_2005!CA_expex_to_recover+(W259*(1+HM_ZD_AM3_2005!int_rate_cf_costs))</f>
        <v>0</v>
      </c>
      <c r="Y257" s="49">
        <f ca="1">HM_ZD_AM3_2005!CA_expex_to_recover+(X259*(1+HM_ZD_AM3_2005!int_rate_cf_costs))</f>
        <v>0</v>
      </c>
      <c r="Z257" s="49">
        <f ca="1">HM_ZD_AM3_2005!CA_expex_to_recover+(Y259*(1+HM_ZD_AM3_2005!int_rate_cf_costs))</f>
        <v>0</v>
      </c>
      <c r="AA257" s="49">
        <f ca="1">HM_ZD_AM3_2005!CA_expex_to_recover+(Z259*(1+HM_ZD_AM3_2005!int_rate_cf_costs))</f>
        <v>0</v>
      </c>
      <c r="AB257" s="49">
        <f ca="1">HM_ZD_AM3_2005!CA_expex_to_recover+(AA259*(1+HM_ZD_AM3_2005!int_rate_cf_costs))</f>
        <v>0</v>
      </c>
      <c r="AC257" s="49">
        <f ca="1">HM_ZD_AM3_2005!CA_expex_to_recover+(AB259*(1+HM_ZD_AM3_2005!int_rate_cf_costs))</f>
        <v>0</v>
      </c>
      <c r="AD257" s="49">
        <f ca="1">HM_ZD_AM3_2005!CA_expex_to_recover+(AC259*(1+HM_ZD_AM3_2005!int_rate_cf_costs))</f>
        <v>0</v>
      </c>
      <c r="AE257" s="49">
        <f ca="1">HM_ZD_AM3_2005!CA_expex_to_recover+(AD259*(1+HM_ZD_AM3_2005!int_rate_cf_costs))</f>
        <v>0</v>
      </c>
      <c r="AF257" s="49">
        <f ca="1">HM_ZD_AM3_2005!CA_expex_to_recover+(AE259*(1+HM_ZD_AM3_2005!int_rate_cf_costs))</f>
        <v>0</v>
      </c>
      <c r="AG257" s="49">
        <f ca="1">HM_ZD_AM3_2005!CA_expex_to_recover+(AF259*(1+HM_ZD_AM3_2005!int_rate_cf_costs))</f>
        <v>0</v>
      </c>
      <c r="AH257" s="49">
        <f ca="1">HM_ZD_AM3_2005!CA_expex_to_recover+(AG259*(1+HM_ZD_AM3_2005!int_rate_cf_costs))</f>
        <v>0</v>
      </c>
      <c r="AI257" s="49">
        <f ca="1">HM_ZD_AM3_2005!CA_expex_to_recover+(AH259*(1+HM_ZD_AM3_2005!int_rate_cf_costs))</f>
        <v>0</v>
      </c>
      <c r="AJ257" s="49">
        <f ca="1">HM_ZD_AM3_2005!CA_expex_to_recover+(AI259*(1+HM_ZD_AM3_2005!int_rate_cf_costs))</f>
        <v>0</v>
      </c>
      <c r="AK257" s="49">
        <f ca="1">HM_ZD_AM3_2005!CA_expex_to_recover+(AJ259*(1+HM_ZD_AM3_2005!int_rate_cf_costs))</f>
        <v>0</v>
      </c>
      <c r="AL257" s="49">
        <f ca="1">HM_ZD_AM3_2005!CA_expex_to_recover+(AK259*(1+HM_ZD_AM3_2005!int_rate_cf_costs))</f>
        <v>0</v>
      </c>
      <c r="AM257" s="49">
        <f ca="1">HM_ZD_AM3_2005!CA_expex_to_recover+(AL259*(1+HM_ZD_AM3_2005!int_rate_cf_costs))</f>
        <v>0</v>
      </c>
      <c r="AN257" s="49">
        <f ca="1">HM_ZD_AM3_2005!CA_expex_to_recover+(AM259*(1+HM_ZD_AM3_2005!int_rate_cf_costs))</f>
        <v>0</v>
      </c>
      <c r="AO257" s="49">
        <f ca="1">HM_ZD_AM3_2005!CA_expex_to_recover+(AN259*(1+HM_ZD_AM3_2005!int_rate_cf_costs))</f>
        <v>0</v>
      </c>
      <c r="AP257" s="49">
        <f ca="1">HM_ZD_AM3_2005!CA_expex_to_recover+(AO259*(1+HM_ZD_AM3_2005!int_rate_cf_costs))</f>
        <v>0</v>
      </c>
      <c r="AQ257" s="49">
        <f ca="1">HM_ZD_AM3_2005!CA_expex_to_recover+(AP259*(1+HM_ZD_AM3_2005!int_rate_cf_costs))</f>
        <v>0</v>
      </c>
      <c r="AR257" s="49">
        <f ca="1">HM_ZD_AM3_2005!CA_expex_to_recover+(AQ259*(1+HM_ZD_AM3_2005!int_rate_cf_costs))</f>
        <v>0</v>
      </c>
      <c r="AS257" s="49">
        <f ca="1">HM_ZD_AM3_2005!CA_expex_to_recover+(AR259*(1+HM_ZD_AM3_2005!int_rate_cf_costs))</f>
        <v>0</v>
      </c>
      <c r="AT257" s="49">
        <f ca="1">HM_ZD_AM3_2005!CA_expex_to_recover+(AS259*(1+HM_ZD_AM3_2005!int_rate_cf_costs))</f>
        <v>0</v>
      </c>
      <c r="AU257" s="49">
        <f ca="1">HM_ZD_AM3_2005!CA_expex_to_recover+(AT259*(1+HM_ZD_AM3_2005!int_rate_cf_costs))</f>
        <v>0</v>
      </c>
      <c r="AV257" s="49">
        <f ca="1">HM_ZD_AM3_2005!CA_expex_to_recover+(AU259*(1+HM_ZD_AM3_2005!int_rate_cf_costs))</f>
        <v>0</v>
      </c>
      <c r="AW257" s="49">
        <f ca="1">HM_ZD_AM3_2005!CA_expex_to_recover+(AV259*(1+HM_ZD_AM3_2005!int_rate_cf_costs))</f>
        <v>0</v>
      </c>
      <c r="AX257" s="49">
        <f ca="1">HM_ZD_AM3_2005!CA_expex_to_recover+(AW259*(1+HM_ZD_AM3_2005!int_rate_cf_costs))</f>
        <v>0</v>
      </c>
      <c r="AY257" s="49">
        <f ca="1">HM_ZD_AM3_2005!CA_expex_to_recover+(AX259*(1+HM_ZD_AM3_2005!int_rate_cf_costs))</f>
        <v>0</v>
      </c>
      <c r="AZ257" s="49">
        <f ca="1">HM_ZD_AM3_2005!CA_expex_to_recover+(AY259*(1+HM_ZD_AM3_2005!int_rate_cf_costs))</f>
        <v>0</v>
      </c>
      <c r="BA257" s="49">
        <f ca="1">HM_ZD_AM3_2005!CA_expex_to_recover+(AZ259*(1+HM_ZD_AM3_2005!int_rate_cf_costs))</f>
        <v>0</v>
      </c>
      <c r="BB257" s="49">
        <f ca="1">HM_ZD_AM3_2005!CA_expex_to_recover+(BA259*(1+HM_ZD_AM3_2005!int_rate_cf_costs))</f>
        <v>0</v>
      </c>
      <c r="BC257" s="49">
        <f ca="1">HM_ZD_AM3_2005!CA_expex_to_recover+(BB259*(1+HM_ZD_AM3_2005!int_rate_cf_costs))</f>
        <v>0</v>
      </c>
      <c r="BD257" s="49">
        <f ca="1">HM_ZD_AM3_2005!CA_expex_to_recover+(BC259*(1+HM_ZD_AM3_2005!int_rate_cf_costs))</f>
        <v>0</v>
      </c>
      <c r="BE257" s="49">
        <f ca="1">HM_ZD_AM3_2005!CA_expex_to_recover+(BD259*(1+HM_ZD_AM3_2005!int_rate_cf_costs))</f>
        <v>0</v>
      </c>
      <c r="BF257" s="49">
        <f ca="1">HM_ZD_AM3_2005!CA_expex_to_recover+(BE259*(1+HM_ZD_AM3_2005!int_rate_cf_costs))</f>
        <v>0</v>
      </c>
      <c r="BG257" s="49">
        <f ca="1">HM_ZD_AM3_2005!CA_expex_to_recover+(BF259*(1+HM_ZD_AM3_2005!int_rate_cf_costs))</f>
        <v>0</v>
      </c>
      <c r="BH257" s="49">
        <f ca="1">HM_ZD_AM3_2005!CA_expex_to_recover+(BG259*(1+HM_ZD_AM3_2005!int_rate_cf_costs))</f>
        <v>0</v>
      </c>
      <c r="BI257" s="49">
        <f ca="1">HM_ZD_AM3_2005!CA_expex_to_recover+(BH259*(1+HM_ZD_AM3_2005!int_rate_cf_costs))</f>
        <v>0</v>
      </c>
      <c r="BJ257" s="49">
        <f ca="1">HM_ZD_AM3_2005!CA_expex_to_recover+(BI259*(1+HM_ZD_AM3_2005!int_rate_cf_costs))</f>
        <v>0</v>
      </c>
      <c r="BK257" s="49">
        <f ca="1">HM_ZD_AM3_2005!CA_expex_to_recover+(BJ259*(1+HM_ZD_AM3_2005!int_rate_cf_costs))</f>
        <v>0</v>
      </c>
      <c r="BL257" s="49">
        <f ca="1">HM_ZD_AM3_2005!CA_expex_to_recover+(BK259*(1+HM_ZD_AM3_2005!int_rate_cf_costs))</f>
        <v>0</v>
      </c>
      <c r="BM257" s="49">
        <f ca="1">HM_ZD_AM3_2005!CA_expex_to_recover+(BL259*(1+HM_ZD_AM3_2005!int_rate_cf_costs))</f>
        <v>0</v>
      </c>
      <c r="BN257" s="49">
        <f ca="1">HM_ZD_AM3_2005!CA_expex_to_recover+(BM259*(1+HM_ZD_AM3_2005!int_rate_cf_costs))</f>
        <v>0</v>
      </c>
      <c r="BO257" s="49">
        <f ca="1">HM_ZD_AM3_2005!CA_expex_to_recover+(BN259*(1+HM_ZD_AM3_2005!int_rate_cf_costs))</f>
        <v>0</v>
      </c>
      <c r="BP257" s="49">
        <f ca="1">HM_ZD_AM3_2005!CA_expex_to_recover+(BO259*(1+HM_ZD_AM3_2005!int_rate_cf_costs))</f>
        <v>0</v>
      </c>
      <c r="BQ257" s="49">
        <f ca="1">HM_ZD_AM3_2005!CA_expex_to_recover+(BP259*(1+HM_ZD_AM3_2005!int_rate_cf_costs))</f>
        <v>0</v>
      </c>
      <c r="BR257" s="49">
        <f ca="1">HM_ZD_AM3_2005!CA_expex_to_recover+(BQ259*(1+HM_ZD_AM3_2005!int_rate_cf_costs))</f>
        <v>0</v>
      </c>
      <c r="BS257" s="49">
        <f ca="1">HM_ZD_AM3_2005!CA_expex_to_recover+(BR259*(1+HM_ZD_AM3_2005!int_rate_cf_costs))</f>
        <v>0</v>
      </c>
    </row>
    <row r="258" spans="3:71" outlineLevel="1" x14ac:dyDescent="0.2">
      <c r="E258" t="str">
        <f>HM_ZD_Moho!E281</f>
        <v>Coûts exploration récupérés</v>
      </c>
      <c r="H258" s="56" t="b">
        <f ca="1">ROUND(I258,2)=-ROUND(I257,2)</f>
        <v>1</v>
      </c>
      <c r="I258" s="30">
        <f t="shared" ca="1" si="82"/>
        <v>0</v>
      </c>
      <c r="J258" s="26" t="s">
        <v>148</v>
      </c>
      <c r="L258" s="49">
        <f ca="1">-MIN(L257,L256)</f>
        <v>0</v>
      </c>
      <c r="M258" s="49">
        <f t="shared" ref="M258:BS258" ca="1" si="85">-MIN(M257,M256)</f>
        <v>0</v>
      </c>
      <c r="N258" s="49">
        <f t="shared" ca="1" si="85"/>
        <v>0</v>
      </c>
      <c r="O258" s="49">
        <f t="shared" ca="1" si="85"/>
        <v>0</v>
      </c>
      <c r="P258" s="49">
        <f t="shared" ca="1" si="85"/>
        <v>0</v>
      </c>
      <c r="Q258" s="49">
        <f t="shared" ca="1" si="85"/>
        <v>0</v>
      </c>
      <c r="R258" s="49">
        <f t="shared" ca="1" si="85"/>
        <v>0</v>
      </c>
      <c r="S258" s="49">
        <f t="shared" ca="1" si="85"/>
        <v>0</v>
      </c>
      <c r="T258" s="49">
        <f t="shared" ca="1" si="85"/>
        <v>0</v>
      </c>
      <c r="U258" s="49">
        <f t="shared" ca="1" si="85"/>
        <v>0</v>
      </c>
      <c r="V258" s="49">
        <f t="shared" ca="1" si="85"/>
        <v>0</v>
      </c>
      <c r="W258" s="49">
        <f t="shared" ca="1" si="85"/>
        <v>0</v>
      </c>
      <c r="X258" s="49">
        <f t="shared" ca="1" si="85"/>
        <v>0</v>
      </c>
      <c r="Y258" s="49">
        <f t="shared" ca="1" si="85"/>
        <v>0</v>
      </c>
      <c r="Z258" s="49">
        <f t="shared" ca="1" si="85"/>
        <v>0</v>
      </c>
      <c r="AA258" s="49">
        <f t="shared" ca="1" si="85"/>
        <v>0</v>
      </c>
      <c r="AB258" s="49">
        <f t="shared" ca="1" si="85"/>
        <v>0</v>
      </c>
      <c r="AC258" s="49">
        <f t="shared" ca="1" si="85"/>
        <v>0</v>
      </c>
      <c r="AD258" s="49">
        <f t="shared" ca="1" si="85"/>
        <v>0</v>
      </c>
      <c r="AE258" s="49">
        <f t="shared" ca="1" si="85"/>
        <v>0</v>
      </c>
      <c r="AF258" s="49">
        <f t="shared" ca="1" si="85"/>
        <v>0</v>
      </c>
      <c r="AG258" s="49">
        <f t="shared" ca="1" si="85"/>
        <v>0</v>
      </c>
      <c r="AH258" s="49">
        <f t="shared" ca="1" si="85"/>
        <v>0</v>
      </c>
      <c r="AI258" s="49">
        <f t="shared" ca="1" si="85"/>
        <v>0</v>
      </c>
      <c r="AJ258" s="49">
        <f t="shared" ca="1" si="85"/>
        <v>0</v>
      </c>
      <c r="AK258" s="49">
        <f t="shared" ca="1" si="85"/>
        <v>0</v>
      </c>
      <c r="AL258" s="49">
        <f t="shared" ca="1" si="85"/>
        <v>0</v>
      </c>
      <c r="AM258" s="49">
        <f t="shared" ca="1" si="85"/>
        <v>0</v>
      </c>
      <c r="AN258" s="49">
        <f t="shared" ca="1" si="85"/>
        <v>0</v>
      </c>
      <c r="AO258" s="49">
        <f t="shared" ca="1" si="85"/>
        <v>0</v>
      </c>
      <c r="AP258" s="49">
        <f t="shared" ca="1" si="85"/>
        <v>0</v>
      </c>
      <c r="AQ258" s="49">
        <f t="shared" ca="1" si="85"/>
        <v>0</v>
      </c>
      <c r="AR258" s="49">
        <f t="shared" ca="1" si="85"/>
        <v>0</v>
      </c>
      <c r="AS258" s="49">
        <f t="shared" ca="1" si="85"/>
        <v>0</v>
      </c>
      <c r="AT258" s="49">
        <f t="shared" ca="1" si="85"/>
        <v>0</v>
      </c>
      <c r="AU258" s="49">
        <f t="shared" ca="1" si="85"/>
        <v>0</v>
      </c>
      <c r="AV258" s="49">
        <f t="shared" ca="1" si="85"/>
        <v>0</v>
      </c>
      <c r="AW258" s="49">
        <f t="shared" ca="1" si="85"/>
        <v>0</v>
      </c>
      <c r="AX258" s="49">
        <f t="shared" ca="1" si="85"/>
        <v>0</v>
      </c>
      <c r="AY258" s="49">
        <f t="shared" ca="1" si="85"/>
        <v>0</v>
      </c>
      <c r="AZ258" s="49">
        <f t="shared" ca="1" si="85"/>
        <v>0</v>
      </c>
      <c r="BA258" s="49">
        <f t="shared" ca="1" si="85"/>
        <v>0</v>
      </c>
      <c r="BB258" s="49">
        <f t="shared" ca="1" si="85"/>
        <v>0</v>
      </c>
      <c r="BC258" s="49">
        <f t="shared" ca="1" si="85"/>
        <v>0</v>
      </c>
      <c r="BD258" s="49">
        <f t="shared" ca="1" si="85"/>
        <v>0</v>
      </c>
      <c r="BE258" s="49">
        <f t="shared" ca="1" si="85"/>
        <v>0</v>
      </c>
      <c r="BF258" s="49">
        <f t="shared" ca="1" si="85"/>
        <v>0</v>
      </c>
      <c r="BG258" s="49">
        <f t="shared" ca="1" si="85"/>
        <v>0</v>
      </c>
      <c r="BH258" s="49">
        <f t="shared" ca="1" si="85"/>
        <v>0</v>
      </c>
      <c r="BI258" s="49">
        <f t="shared" ca="1" si="85"/>
        <v>0</v>
      </c>
      <c r="BJ258" s="49">
        <f t="shared" ca="1" si="85"/>
        <v>0</v>
      </c>
      <c r="BK258" s="49">
        <f t="shared" ca="1" si="85"/>
        <v>0</v>
      </c>
      <c r="BL258" s="49">
        <f t="shared" ca="1" si="85"/>
        <v>0</v>
      </c>
      <c r="BM258" s="49">
        <f t="shared" ca="1" si="85"/>
        <v>0</v>
      </c>
      <c r="BN258" s="49">
        <f t="shared" ca="1" si="85"/>
        <v>0</v>
      </c>
      <c r="BO258" s="49">
        <f t="shared" ca="1" si="85"/>
        <v>0</v>
      </c>
      <c r="BP258" s="49">
        <f t="shared" ca="1" si="85"/>
        <v>0</v>
      </c>
      <c r="BQ258" s="49">
        <f t="shared" ca="1" si="85"/>
        <v>0</v>
      </c>
      <c r="BR258" s="49">
        <f t="shared" ca="1" si="85"/>
        <v>0</v>
      </c>
      <c r="BS258" s="49">
        <f t="shared" ca="1" si="85"/>
        <v>0</v>
      </c>
    </row>
    <row r="259" spans="3:71" outlineLevel="1" x14ac:dyDescent="0.2">
      <c r="E259" t="str">
        <f>HM_ZD_Moho!E282</f>
        <v xml:space="preserve">Sous/(Sur)récupération </v>
      </c>
      <c r="J259" s="26"/>
      <c r="L259" s="49">
        <f ca="1">L257+L258</f>
        <v>0</v>
      </c>
      <c r="M259" s="49">
        <f t="shared" ref="M259:BS259" ca="1" si="86">M257+M258</f>
        <v>0</v>
      </c>
      <c r="N259" s="49">
        <f t="shared" ca="1" si="86"/>
        <v>0</v>
      </c>
      <c r="O259" s="49">
        <f t="shared" ca="1" si="86"/>
        <v>0</v>
      </c>
      <c r="P259" s="49">
        <f t="shared" ca="1" si="86"/>
        <v>0</v>
      </c>
      <c r="Q259" s="49">
        <f t="shared" ca="1" si="86"/>
        <v>0</v>
      </c>
      <c r="R259" s="49">
        <f t="shared" ca="1" si="86"/>
        <v>0</v>
      </c>
      <c r="S259" s="49">
        <f t="shared" ca="1" si="86"/>
        <v>0</v>
      </c>
      <c r="T259" s="49">
        <f t="shared" ca="1" si="86"/>
        <v>0</v>
      </c>
      <c r="U259" s="49">
        <f t="shared" ca="1" si="86"/>
        <v>0</v>
      </c>
      <c r="V259" s="49">
        <f t="shared" ca="1" si="86"/>
        <v>0</v>
      </c>
      <c r="W259" s="49">
        <f t="shared" ca="1" si="86"/>
        <v>0</v>
      </c>
      <c r="X259" s="49">
        <f t="shared" ca="1" si="86"/>
        <v>0</v>
      </c>
      <c r="Y259" s="49">
        <f t="shared" ca="1" si="86"/>
        <v>0</v>
      </c>
      <c r="Z259" s="49">
        <f t="shared" ca="1" si="86"/>
        <v>0</v>
      </c>
      <c r="AA259" s="49">
        <f t="shared" ca="1" si="86"/>
        <v>0</v>
      </c>
      <c r="AB259" s="49">
        <f t="shared" ca="1" si="86"/>
        <v>0</v>
      </c>
      <c r="AC259" s="49">
        <f t="shared" ca="1" si="86"/>
        <v>0</v>
      </c>
      <c r="AD259" s="49">
        <f t="shared" ca="1" si="86"/>
        <v>0</v>
      </c>
      <c r="AE259" s="49">
        <f t="shared" ca="1" si="86"/>
        <v>0</v>
      </c>
      <c r="AF259" s="49">
        <f t="shared" ca="1" si="86"/>
        <v>0</v>
      </c>
      <c r="AG259" s="49">
        <f t="shared" ca="1" si="86"/>
        <v>0</v>
      </c>
      <c r="AH259" s="49">
        <f t="shared" ca="1" si="86"/>
        <v>0</v>
      </c>
      <c r="AI259" s="49">
        <f t="shared" ca="1" si="86"/>
        <v>0</v>
      </c>
      <c r="AJ259" s="49">
        <f t="shared" ca="1" si="86"/>
        <v>0</v>
      </c>
      <c r="AK259" s="49">
        <f t="shared" ca="1" si="86"/>
        <v>0</v>
      </c>
      <c r="AL259" s="49">
        <f t="shared" ca="1" si="86"/>
        <v>0</v>
      </c>
      <c r="AM259" s="49">
        <f t="shared" ca="1" si="86"/>
        <v>0</v>
      </c>
      <c r="AN259" s="49">
        <f t="shared" ca="1" si="86"/>
        <v>0</v>
      </c>
      <c r="AO259" s="49">
        <f t="shared" ca="1" si="86"/>
        <v>0</v>
      </c>
      <c r="AP259" s="49">
        <f t="shared" ca="1" si="86"/>
        <v>0</v>
      </c>
      <c r="AQ259" s="49">
        <f t="shared" ca="1" si="86"/>
        <v>0</v>
      </c>
      <c r="AR259" s="49">
        <f t="shared" ca="1" si="86"/>
        <v>0</v>
      </c>
      <c r="AS259" s="49">
        <f t="shared" ca="1" si="86"/>
        <v>0</v>
      </c>
      <c r="AT259" s="49">
        <f t="shared" ca="1" si="86"/>
        <v>0</v>
      </c>
      <c r="AU259" s="49">
        <f t="shared" ca="1" si="86"/>
        <v>0</v>
      </c>
      <c r="AV259" s="49">
        <f t="shared" ca="1" si="86"/>
        <v>0</v>
      </c>
      <c r="AW259" s="49">
        <f t="shared" ca="1" si="86"/>
        <v>0</v>
      </c>
      <c r="AX259" s="49">
        <f t="shared" ca="1" si="86"/>
        <v>0</v>
      </c>
      <c r="AY259" s="49">
        <f t="shared" ca="1" si="86"/>
        <v>0</v>
      </c>
      <c r="AZ259" s="49">
        <f t="shared" ca="1" si="86"/>
        <v>0</v>
      </c>
      <c r="BA259" s="49">
        <f t="shared" ca="1" si="86"/>
        <v>0</v>
      </c>
      <c r="BB259" s="49">
        <f t="shared" ca="1" si="86"/>
        <v>0</v>
      </c>
      <c r="BC259" s="49">
        <f t="shared" ca="1" si="86"/>
        <v>0</v>
      </c>
      <c r="BD259" s="49">
        <f t="shared" ca="1" si="86"/>
        <v>0</v>
      </c>
      <c r="BE259" s="49">
        <f t="shared" ca="1" si="86"/>
        <v>0</v>
      </c>
      <c r="BF259" s="49">
        <f t="shared" ca="1" si="86"/>
        <v>0</v>
      </c>
      <c r="BG259" s="49">
        <f t="shared" ca="1" si="86"/>
        <v>0</v>
      </c>
      <c r="BH259" s="49">
        <f t="shared" ca="1" si="86"/>
        <v>0</v>
      </c>
      <c r="BI259" s="49">
        <f t="shared" ca="1" si="86"/>
        <v>0</v>
      </c>
      <c r="BJ259" s="49">
        <f t="shared" ca="1" si="86"/>
        <v>0</v>
      </c>
      <c r="BK259" s="49">
        <f t="shared" ca="1" si="86"/>
        <v>0</v>
      </c>
      <c r="BL259" s="49">
        <f t="shared" ca="1" si="86"/>
        <v>0</v>
      </c>
      <c r="BM259" s="49">
        <f t="shared" ca="1" si="86"/>
        <v>0</v>
      </c>
      <c r="BN259" s="49">
        <f t="shared" ca="1" si="86"/>
        <v>0</v>
      </c>
      <c r="BO259" s="49">
        <f t="shared" ca="1" si="86"/>
        <v>0</v>
      </c>
      <c r="BP259" s="49">
        <f t="shared" ca="1" si="86"/>
        <v>0</v>
      </c>
      <c r="BQ259" s="49">
        <f t="shared" ca="1" si="86"/>
        <v>0</v>
      </c>
      <c r="BR259" s="49">
        <f t="shared" ca="1" si="86"/>
        <v>0</v>
      </c>
      <c r="BS259" s="49">
        <f t="shared" ca="1" si="86"/>
        <v>0</v>
      </c>
    </row>
    <row r="260" spans="3:71" outlineLevel="1" x14ac:dyDescent="0.2">
      <c r="J260" s="26"/>
      <c r="L260" s="55"/>
      <c r="M260" s="55"/>
      <c r="N260" s="55"/>
      <c r="O260" s="55"/>
      <c r="P260" s="55"/>
      <c r="Q260" s="55"/>
      <c r="R260" s="55"/>
      <c r="S260" s="55"/>
      <c r="T260" s="55"/>
      <c r="U260" s="55"/>
      <c r="V260" s="55"/>
      <c r="W260" s="55"/>
      <c r="X260" s="55"/>
      <c r="Y260" s="55"/>
      <c r="Z260" s="55"/>
      <c r="AA260" s="55"/>
      <c r="AB260" s="55"/>
      <c r="AC260" s="55"/>
      <c r="AD260" s="55"/>
      <c r="AE260" s="55"/>
      <c r="AF260" s="55"/>
      <c r="AG260" s="55"/>
      <c r="AH260" s="55"/>
      <c r="AI260" s="55"/>
      <c r="AJ260" s="55"/>
      <c r="AK260" s="55"/>
      <c r="AL260" s="55"/>
      <c r="AM260" s="55"/>
      <c r="AN260" s="55"/>
      <c r="AO260" s="55"/>
      <c r="AP260" s="55"/>
      <c r="AQ260" s="55"/>
      <c r="AR260" s="55"/>
      <c r="AS260" s="55"/>
      <c r="AT260" s="55"/>
      <c r="AU260" s="55"/>
      <c r="AV260" s="55"/>
      <c r="AW260" s="55"/>
      <c r="AX260" s="55"/>
      <c r="AY260" s="55"/>
      <c r="AZ260" s="55"/>
      <c r="BA260" s="55"/>
      <c r="BB260" s="55"/>
      <c r="BC260" s="55"/>
      <c r="BD260" s="55"/>
      <c r="BE260" s="55"/>
      <c r="BF260" s="55"/>
      <c r="BG260" s="55"/>
      <c r="BH260" s="55"/>
      <c r="BI260" s="55"/>
      <c r="BJ260" s="55"/>
      <c r="BK260" s="55"/>
      <c r="BL260" s="55"/>
      <c r="BM260" s="55"/>
      <c r="BN260" s="55"/>
      <c r="BO260" s="55"/>
      <c r="BP260" s="55"/>
      <c r="BQ260" s="55"/>
      <c r="BR260" s="55"/>
      <c r="BS260" s="55"/>
    </row>
    <row r="261" spans="3:71" outlineLevel="1" x14ac:dyDescent="0.2">
      <c r="D261" s="51" t="str">
        <f>HM_ZD_Moho!D284</f>
        <v>Coûts d'abandon</v>
      </c>
      <c r="J261" s="26"/>
      <c r="L261" s="55"/>
      <c r="M261" s="55"/>
      <c r="N261" s="55"/>
      <c r="O261" s="55"/>
      <c r="P261" s="55"/>
      <c r="Q261" s="55"/>
      <c r="R261" s="55"/>
      <c r="S261" s="55"/>
      <c r="T261" s="55"/>
      <c r="U261" s="55"/>
      <c r="V261" s="55"/>
      <c r="W261" s="55"/>
      <c r="X261" s="55"/>
      <c r="Y261" s="55"/>
      <c r="Z261" s="55"/>
      <c r="AA261" s="55"/>
      <c r="AB261" s="55"/>
      <c r="AC261" s="55"/>
      <c r="AD261" s="55"/>
      <c r="AE261" s="55"/>
      <c r="AF261" s="55"/>
      <c r="AG261" s="55"/>
      <c r="AH261" s="55"/>
      <c r="AI261" s="55"/>
      <c r="AJ261" s="55"/>
      <c r="AK261" s="55"/>
      <c r="AL261" s="55"/>
      <c r="AM261" s="55"/>
      <c r="AN261" s="55"/>
      <c r="AO261" s="55"/>
      <c r="AP261" s="55"/>
      <c r="AQ261" s="55"/>
      <c r="AR261" s="55"/>
      <c r="AS261" s="55"/>
      <c r="AT261" s="55"/>
      <c r="AU261" s="55"/>
      <c r="AV261" s="55"/>
      <c r="AW261" s="55"/>
      <c r="AX261" s="55"/>
      <c r="AY261" s="55"/>
      <c r="AZ261" s="55"/>
      <c r="BA261" s="55"/>
      <c r="BB261" s="55"/>
      <c r="BC261" s="55"/>
      <c r="BD261" s="55"/>
      <c r="BE261" s="55"/>
      <c r="BF261" s="55"/>
      <c r="BG261" s="55"/>
      <c r="BH261" s="55"/>
      <c r="BI261" s="55"/>
      <c r="BJ261" s="55"/>
      <c r="BK261" s="55"/>
      <c r="BL261" s="55"/>
      <c r="BM261" s="55"/>
      <c r="BN261" s="55"/>
      <c r="BO261" s="55"/>
      <c r="BP261" s="55"/>
      <c r="BQ261" s="55"/>
      <c r="BR261" s="55"/>
      <c r="BS261" s="55"/>
    </row>
    <row r="262" spans="3:71" outlineLevel="1" x14ac:dyDescent="0.2">
      <c r="E262" t="str">
        <f>HM_ZD_Moho!E285</f>
        <v>Revenus disponibles pour la récupération</v>
      </c>
      <c r="I262" s="30">
        <f t="shared" ref="I262:I264" ca="1" si="87">SUM($L262:$BS262)</f>
        <v>0</v>
      </c>
      <c r="J262" s="26" t="s">
        <v>148</v>
      </c>
      <c r="L262" s="49">
        <f t="shared" ref="L262:AQ262" ca="1" si="88">MAX(CA_cost_stop+L240+L246+L252+L258,0)</f>
        <v>0</v>
      </c>
      <c r="M262" s="49">
        <f t="shared" ca="1" si="88"/>
        <v>0</v>
      </c>
      <c r="N262" s="49">
        <f t="shared" ca="1" si="88"/>
        <v>0</v>
      </c>
      <c r="O262" s="49">
        <f t="shared" ca="1" si="88"/>
        <v>0</v>
      </c>
      <c r="P262" s="49">
        <f t="shared" ca="1" si="88"/>
        <v>0</v>
      </c>
      <c r="Q262" s="49">
        <f t="shared" ca="1" si="88"/>
        <v>0</v>
      </c>
      <c r="R262" s="49">
        <f t="shared" ca="1" si="88"/>
        <v>0</v>
      </c>
      <c r="S262" s="49">
        <f t="shared" ca="1" si="88"/>
        <v>0</v>
      </c>
      <c r="T262" s="49">
        <f t="shared" ca="1" si="88"/>
        <v>0</v>
      </c>
      <c r="U262" s="49">
        <f t="shared" ca="1" si="88"/>
        <v>0</v>
      </c>
      <c r="V262" s="49">
        <f t="shared" ca="1" si="88"/>
        <v>0</v>
      </c>
      <c r="W262" s="49">
        <f t="shared" ca="1" si="88"/>
        <v>0</v>
      </c>
      <c r="X262" s="49">
        <f t="shared" ca="1" si="88"/>
        <v>0</v>
      </c>
      <c r="Y262" s="49">
        <f t="shared" ca="1" si="88"/>
        <v>0</v>
      </c>
      <c r="Z262" s="49">
        <f t="shared" ca="1" si="88"/>
        <v>0</v>
      </c>
      <c r="AA262" s="49">
        <f t="shared" ca="1" si="88"/>
        <v>0</v>
      </c>
      <c r="AB262" s="49">
        <f t="shared" ca="1" si="88"/>
        <v>0</v>
      </c>
      <c r="AC262" s="49">
        <f t="shared" ca="1" si="88"/>
        <v>0</v>
      </c>
      <c r="AD262" s="49">
        <f t="shared" ca="1" si="88"/>
        <v>0</v>
      </c>
      <c r="AE262" s="49">
        <f t="shared" ca="1" si="88"/>
        <v>0</v>
      </c>
      <c r="AF262" s="49">
        <f t="shared" ca="1" si="88"/>
        <v>0</v>
      </c>
      <c r="AG262" s="49">
        <f t="shared" ca="1" si="88"/>
        <v>0</v>
      </c>
      <c r="AH262" s="49">
        <f t="shared" ca="1" si="88"/>
        <v>0</v>
      </c>
      <c r="AI262" s="49">
        <f t="shared" ca="1" si="88"/>
        <v>0</v>
      </c>
      <c r="AJ262" s="49">
        <f t="shared" ca="1" si="88"/>
        <v>0</v>
      </c>
      <c r="AK262" s="49">
        <f t="shared" ca="1" si="88"/>
        <v>0</v>
      </c>
      <c r="AL262" s="49">
        <f t="shared" ca="1" si="88"/>
        <v>0</v>
      </c>
      <c r="AM262" s="49">
        <f t="shared" ca="1" si="88"/>
        <v>0</v>
      </c>
      <c r="AN262" s="49">
        <f t="shared" ca="1" si="88"/>
        <v>0</v>
      </c>
      <c r="AO262" s="49">
        <f t="shared" ca="1" si="88"/>
        <v>0</v>
      </c>
      <c r="AP262" s="49">
        <f t="shared" ca="1" si="88"/>
        <v>0</v>
      </c>
      <c r="AQ262" s="49">
        <f t="shared" ca="1" si="88"/>
        <v>0</v>
      </c>
      <c r="AR262" s="49">
        <f t="shared" ref="AR262:BS262" ca="1" si="89">MAX(CA_cost_stop+AR240+AR246+AR252+AR258,0)</f>
        <v>0</v>
      </c>
      <c r="AS262" s="49">
        <f t="shared" ca="1" si="89"/>
        <v>0</v>
      </c>
      <c r="AT262" s="49">
        <f t="shared" ca="1" si="89"/>
        <v>0</v>
      </c>
      <c r="AU262" s="49">
        <f t="shared" ca="1" si="89"/>
        <v>0</v>
      </c>
      <c r="AV262" s="49">
        <f t="shared" ca="1" si="89"/>
        <v>0</v>
      </c>
      <c r="AW262" s="49">
        <f t="shared" ca="1" si="89"/>
        <v>0</v>
      </c>
      <c r="AX262" s="49">
        <f t="shared" ca="1" si="89"/>
        <v>0</v>
      </c>
      <c r="AY262" s="49">
        <f t="shared" ca="1" si="89"/>
        <v>0</v>
      </c>
      <c r="AZ262" s="49">
        <f t="shared" ca="1" si="89"/>
        <v>0</v>
      </c>
      <c r="BA262" s="49">
        <f t="shared" ca="1" si="89"/>
        <v>0</v>
      </c>
      <c r="BB262" s="49">
        <f t="shared" ca="1" si="89"/>
        <v>0</v>
      </c>
      <c r="BC262" s="49">
        <f t="shared" ca="1" si="89"/>
        <v>0</v>
      </c>
      <c r="BD262" s="49">
        <f t="shared" ca="1" si="89"/>
        <v>0</v>
      </c>
      <c r="BE262" s="49">
        <f t="shared" ca="1" si="89"/>
        <v>0</v>
      </c>
      <c r="BF262" s="49">
        <f t="shared" ca="1" si="89"/>
        <v>0</v>
      </c>
      <c r="BG262" s="49">
        <f t="shared" ca="1" si="89"/>
        <v>0</v>
      </c>
      <c r="BH262" s="49">
        <f t="shared" ca="1" si="89"/>
        <v>0</v>
      </c>
      <c r="BI262" s="49">
        <f t="shared" ca="1" si="89"/>
        <v>0</v>
      </c>
      <c r="BJ262" s="49">
        <f t="shared" ca="1" si="89"/>
        <v>0</v>
      </c>
      <c r="BK262" s="49">
        <f t="shared" ca="1" si="89"/>
        <v>0</v>
      </c>
      <c r="BL262" s="49">
        <f t="shared" ca="1" si="89"/>
        <v>0</v>
      </c>
      <c r="BM262" s="49">
        <f t="shared" ca="1" si="89"/>
        <v>0</v>
      </c>
      <c r="BN262" s="49">
        <f t="shared" ca="1" si="89"/>
        <v>0</v>
      </c>
      <c r="BO262" s="49">
        <f t="shared" ca="1" si="89"/>
        <v>0</v>
      </c>
      <c r="BP262" s="49">
        <f t="shared" ca="1" si="89"/>
        <v>0</v>
      </c>
      <c r="BQ262" s="49">
        <f t="shared" ca="1" si="89"/>
        <v>0</v>
      </c>
      <c r="BR262" s="49">
        <f t="shared" ca="1" si="89"/>
        <v>0</v>
      </c>
      <c r="BS262" s="49">
        <f t="shared" ca="1" si="89"/>
        <v>0</v>
      </c>
    </row>
    <row r="263" spans="3:71" outlineLevel="1" x14ac:dyDescent="0.2">
      <c r="E263" t="str">
        <f>HM_ZD_Moho!E286</f>
        <v>Abandon cumulées à récupérer</v>
      </c>
      <c r="I263" s="30">
        <f ca="1">I224</f>
        <v>0</v>
      </c>
      <c r="J263" s="26" t="s">
        <v>148</v>
      </c>
      <c r="L263" s="49">
        <f ca="1">HM_ZD_AM3_2005!CA_decom_to_recover+(K265*(1+int_rate_cf_costs))</f>
        <v>0</v>
      </c>
      <c r="M263" s="49">
        <f ca="1">HM_ZD_AM3_2005!CA_decom_to_recover+(L265*(1+int_rate_cf_costs))</f>
        <v>0</v>
      </c>
      <c r="N263" s="49">
        <f ca="1">HM_ZD_AM3_2005!CA_decom_to_recover+(M265*(1+int_rate_cf_costs))</f>
        <v>0</v>
      </c>
      <c r="O263" s="49">
        <f ca="1">HM_ZD_AM3_2005!CA_decom_to_recover+(N265*(1+int_rate_cf_costs))</f>
        <v>0</v>
      </c>
      <c r="P263" s="49">
        <f ca="1">HM_ZD_AM3_2005!CA_decom_to_recover+(O265*(1+int_rate_cf_costs))</f>
        <v>0</v>
      </c>
      <c r="Q263" s="49">
        <f ca="1">HM_ZD_AM3_2005!CA_decom_to_recover+(P265*(1+int_rate_cf_costs))</f>
        <v>0</v>
      </c>
      <c r="R263" s="49">
        <f ca="1">HM_ZD_AM3_2005!CA_decom_to_recover+(Q265*(1+int_rate_cf_costs))</f>
        <v>0</v>
      </c>
      <c r="S263" s="49">
        <f ca="1">HM_ZD_AM3_2005!CA_decom_to_recover+(R265*(1+int_rate_cf_costs))</f>
        <v>0</v>
      </c>
      <c r="T263" s="49">
        <f ca="1">HM_ZD_AM3_2005!CA_decom_to_recover+(S265*(1+int_rate_cf_costs))</f>
        <v>0</v>
      </c>
      <c r="U263" s="49">
        <f ca="1">HM_ZD_AM3_2005!CA_decom_to_recover+(T265*(1+int_rate_cf_costs))</f>
        <v>0</v>
      </c>
      <c r="V263" s="49">
        <f ca="1">HM_ZD_AM3_2005!CA_decom_to_recover+(U265*(1+int_rate_cf_costs))</f>
        <v>0</v>
      </c>
      <c r="W263" s="49">
        <f ca="1">HM_ZD_AM3_2005!CA_decom_to_recover+(V265*(1+int_rate_cf_costs))</f>
        <v>0</v>
      </c>
      <c r="X263" s="49">
        <f ca="1">HM_ZD_AM3_2005!CA_decom_to_recover+(W265*(1+int_rate_cf_costs))</f>
        <v>0</v>
      </c>
      <c r="Y263" s="49">
        <f ca="1">HM_ZD_AM3_2005!CA_decom_to_recover+(X265*(1+int_rate_cf_costs))</f>
        <v>0</v>
      </c>
      <c r="Z263" s="49">
        <f ca="1">HM_ZD_AM3_2005!CA_decom_to_recover+(Y265*(1+int_rate_cf_costs))</f>
        <v>0</v>
      </c>
      <c r="AA263" s="49">
        <f ca="1">HM_ZD_AM3_2005!CA_decom_to_recover+(Z265*(1+int_rate_cf_costs))</f>
        <v>0</v>
      </c>
      <c r="AB263" s="49">
        <f ca="1">HM_ZD_AM3_2005!CA_decom_to_recover+(AA265*(1+int_rate_cf_costs))</f>
        <v>0</v>
      </c>
      <c r="AC263" s="49">
        <f ca="1">HM_ZD_AM3_2005!CA_decom_to_recover+(AB265*(1+int_rate_cf_costs))</f>
        <v>0</v>
      </c>
      <c r="AD263" s="49">
        <f ca="1">HM_ZD_AM3_2005!CA_decom_to_recover+(AC265*(1+int_rate_cf_costs))</f>
        <v>0</v>
      </c>
      <c r="AE263" s="49">
        <f ca="1">HM_ZD_AM3_2005!CA_decom_to_recover+(AD265*(1+int_rate_cf_costs))</f>
        <v>0</v>
      </c>
      <c r="AF263" s="49">
        <f ca="1">HM_ZD_AM3_2005!CA_decom_to_recover+(AE265*(1+int_rate_cf_costs))</f>
        <v>0</v>
      </c>
      <c r="AG263" s="49">
        <f ca="1">HM_ZD_AM3_2005!CA_decom_to_recover+(AF265*(1+int_rate_cf_costs))</f>
        <v>0</v>
      </c>
      <c r="AH263" s="49">
        <f ca="1">HM_ZD_AM3_2005!CA_decom_to_recover+(AG265*(1+int_rate_cf_costs))</f>
        <v>0</v>
      </c>
      <c r="AI263" s="49">
        <f ca="1">HM_ZD_AM3_2005!CA_decom_to_recover+(AH265*(1+int_rate_cf_costs))</f>
        <v>0</v>
      </c>
      <c r="AJ263" s="49">
        <f ca="1">HM_ZD_AM3_2005!CA_decom_to_recover+(AI265*(1+int_rate_cf_costs))</f>
        <v>0</v>
      </c>
      <c r="AK263" s="49">
        <f ca="1">HM_ZD_AM3_2005!CA_decom_to_recover+(AJ265*(1+int_rate_cf_costs))</f>
        <v>0</v>
      </c>
      <c r="AL263" s="49">
        <f ca="1">HM_ZD_AM3_2005!CA_decom_to_recover+(AK265*(1+int_rate_cf_costs))</f>
        <v>0</v>
      </c>
      <c r="AM263" s="49">
        <f ca="1">HM_ZD_AM3_2005!CA_decom_to_recover+(AL265*(1+int_rate_cf_costs))</f>
        <v>0</v>
      </c>
      <c r="AN263" s="49">
        <f ca="1">HM_ZD_AM3_2005!CA_decom_to_recover+(AM265*(1+int_rate_cf_costs))</f>
        <v>0</v>
      </c>
      <c r="AO263" s="49">
        <f ca="1">HM_ZD_AM3_2005!CA_decom_to_recover+(AN265*(1+int_rate_cf_costs))</f>
        <v>0</v>
      </c>
      <c r="AP263" s="49">
        <f ca="1">HM_ZD_AM3_2005!CA_decom_to_recover+(AO265*(1+int_rate_cf_costs))</f>
        <v>0</v>
      </c>
      <c r="AQ263" s="49">
        <f ca="1">HM_ZD_AM3_2005!CA_decom_to_recover+(AP265*(1+int_rate_cf_costs))</f>
        <v>0</v>
      </c>
      <c r="AR263" s="49">
        <f ca="1">HM_ZD_AM3_2005!CA_decom_to_recover+(AQ265*(1+int_rate_cf_costs))</f>
        <v>0</v>
      </c>
      <c r="AS263" s="49">
        <f ca="1">HM_ZD_AM3_2005!CA_decom_to_recover+(AR265*(1+int_rate_cf_costs))</f>
        <v>0</v>
      </c>
      <c r="AT263" s="49">
        <f ca="1">HM_ZD_AM3_2005!CA_decom_to_recover+(AS265*(1+int_rate_cf_costs))</f>
        <v>0</v>
      </c>
      <c r="AU263" s="49">
        <f ca="1">HM_ZD_AM3_2005!CA_decom_to_recover+(AT265*(1+int_rate_cf_costs))</f>
        <v>0</v>
      </c>
      <c r="AV263" s="49">
        <f ca="1">HM_ZD_AM3_2005!CA_decom_to_recover+(AU265*(1+int_rate_cf_costs))</f>
        <v>0</v>
      </c>
      <c r="AW263" s="49">
        <f ca="1">HM_ZD_AM3_2005!CA_decom_to_recover+(AV265*(1+int_rate_cf_costs))</f>
        <v>0</v>
      </c>
      <c r="AX263" s="49">
        <f ca="1">HM_ZD_AM3_2005!CA_decom_to_recover+(AW265*(1+int_rate_cf_costs))</f>
        <v>0</v>
      </c>
      <c r="AY263" s="49">
        <f ca="1">HM_ZD_AM3_2005!CA_decom_to_recover+(AX265*(1+int_rate_cf_costs))</f>
        <v>0</v>
      </c>
      <c r="AZ263" s="49">
        <f ca="1">HM_ZD_AM3_2005!CA_decom_to_recover+(AY265*(1+int_rate_cf_costs))</f>
        <v>0</v>
      </c>
      <c r="BA263" s="49">
        <f ca="1">HM_ZD_AM3_2005!CA_decom_to_recover+(AZ265*(1+int_rate_cf_costs))</f>
        <v>0</v>
      </c>
      <c r="BB263" s="49">
        <f ca="1">HM_ZD_AM3_2005!CA_decom_to_recover+(BA265*(1+int_rate_cf_costs))</f>
        <v>0</v>
      </c>
      <c r="BC263" s="49">
        <f ca="1">HM_ZD_AM3_2005!CA_decom_to_recover+(BB265*(1+int_rate_cf_costs))</f>
        <v>0</v>
      </c>
      <c r="BD263" s="49">
        <f ca="1">HM_ZD_AM3_2005!CA_decom_to_recover+(BC265*(1+int_rate_cf_costs))</f>
        <v>0</v>
      </c>
      <c r="BE263" s="49">
        <f ca="1">HM_ZD_AM3_2005!CA_decom_to_recover+(BD265*(1+int_rate_cf_costs))</f>
        <v>0</v>
      </c>
      <c r="BF263" s="49">
        <f ca="1">HM_ZD_AM3_2005!CA_decom_to_recover+(BE265*(1+int_rate_cf_costs))</f>
        <v>0</v>
      </c>
      <c r="BG263" s="49">
        <f ca="1">HM_ZD_AM3_2005!CA_decom_to_recover+(BF265*(1+int_rate_cf_costs))</f>
        <v>0</v>
      </c>
      <c r="BH263" s="49">
        <f ca="1">HM_ZD_AM3_2005!CA_decom_to_recover+(BG265*(1+int_rate_cf_costs))</f>
        <v>0</v>
      </c>
      <c r="BI263" s="49">
        <f ca="1">HM_ZD_AM3_2005!CA_decom_to_recover+(BH265*(1+int_rate_cf_costs))</f>
        <v>0</v>
      </c>
      <c r="BJ263" s="49">
        <f ca="1">HM_ZD_AM3_2005!CA_decom_to_recover+(BI265*(1+int_rate_cf_costs))</f>
        <v>0</v>
      </c>
      <c r="BK263" s="49">
        <f ca="1">HM_ZD_AM3_2005!CA_decom_to_recover+(BJ265*(1+int_rate_cf_costs))</f>
        <v>0</v>
      </c>
      <c r="BL263" s="49">
        <f ca="1">HM_ZD_AM3_2005!CA_decom_to_recover+(BK265*(1+int_rate_cf_costs))</f>
        <v>0</v>
      </c>
      <c r="BM263" s="49">
        <f ca="1">HM_ZD_AM3_2005!CA_decom_to_recover+(BL265*(1+int_rate_cf_costs))</f>
        <v>0</v>
      </c>
      <c r="BN263" s="49">
        <f ca="1">HM_ZD_AM3_2005!CA_decom_to_recover+(BM265*(1+int_rate_cf_costs))</f>
        <v>0</v>
      </c>
      <c r="BO263" s="49">
        <f ca="1">HM_ZD_AM3_2005!CA_decom_to_recover+(BN265*(1+int_rate_cf_costs))</f>
        <v>0</v>
      </c>
      <c r="BP263" s="49">
        <f ca="1">HM_ZD_AM3_2005!CA_decom_to_recover+(BO265*(1+int_rate_cf_costs))</f>
        <v>0</v>
      </c>
      <c r="BQ263" s="49">
        <f ca="1">HM_ZD_AM3_2005!CA_decom_to_recover+(BP265*(1+int_rate_cf_costs))</f>
        <v>0</v>
      </c>
      <c r="BR263" s="49">
        <f ca="1">HM_ZD_AM3_2005!CA_decom_to_recover+(BQ265*(1+int_rate_cf_costs))</f>
        <v>0</v>
      </c>
      <c r="BS263" s="49">
        <f ca="1">HM_ZD_AM3_2005!CA_decom_to_recover+(BR265*(1+int_rate_cf_costs))</f>
        <v>0</v>
      </c>
    </row>
    <row r="264" spans="3:71" outlineLevel="1" x14ac:dyDescent="0.2">
      <c r="E264" t="str">
        <f>HM_ZD_Moho!E287</f>
        <v>Abandon récupérées</v>
      </c>
      <c r="H264" s="56" t="b">
        <f ca="1">ROUND(I264,2)=-ROUND(I263,2)</f>
        <v>1</v>
      </c>
      <c r="I264" s="30">
        <f t="shared" ca="1" si="87"/>
        <v>0</v>
      </c>
      <c r="J264" s="26" t="s">
        <v>148</v>
      </c>
      <c r="L264" s="49">
        <f ca="1">-MIN(L263,L262)</f>
        <v>0</v>
      </c>
      <c r="M264" s="49">
        <f t="shared" ref="M264:BS264" ca="1" si="90">-MIN(M263,M262)</f>
        <v>0</v>
      </c>
      <c r="N264" s="49">
        <f t="shared" ca="1" si="90"/>
        <v>0</v>
      </c>
      <c r="O264" s="49">
        <f t="shared" ca="1" si="90"/>
        <v>0</v>
      </c>
      <c r="P264" s="49">
        <f t="shared" ca="1" si="90"/>
        <v>0</v>
      </c>
      <c r="Q264" s="49">
        <f t="shared" ca="1" si="90"/>
        <v>0</v>
      </c>
      <c r="R264" s="49">
        <f t="shared" ca="1" si="90"/>
        <v>0</v>
      </c>
      <c r="S264" s="49">
        <f t="shared" ca="1" si="90"/>
        <v>0</v>
      </c>
      <c r="T264" s="49">
        <f t="shared" ca="1" si="90"/>
        <v>0</v>
      </c>
      <c r="U264" s="49">
        <f t="shared" ca="1" si="90"/>
        <v>0</v>
      </c>
      <c r="V264" s="49">
        <f t="shared" ca="1" si="90"/>
        <v>0</v>
      </c>
      <c r="W264" s="49">
        <f t="shared" ca="1" si="90"/>
        <v>0</v>
      </c>
      <c r="X264" s="49">
        <f t="shared" ca="1" si="90"/>
        <v>0</v>
      </c>
      <c r="Y264" s="49">
        <f t="shared" ca="1" si="90"/>
        <v>0</v>
      </c>
      <c r="Z264" s="49">
        <f t="shared" ca="1" si="90"/>
        <v>0</v>
      </c>
      <c r="AA264" s="49">
        <f t="shared" ca="1" si="90"/>
        <v>0</v>
      </c>
      <c r="AB264" s="49">
        <f t="shared" ca="1" si="90"/>
        <v>0</v>
      </c>
      <c r="AC264" s="49">
        <f t="shared" ca="1" si="90"/>
        <v>0</v>
      </c>
      <c r="AD264" s="49">
        <f t="shared" ca="1" si="90"/>
        <v>0</v>
      </c>
      <c r="AE264" s="49">
        <f t="shared" ca="1" si="90"/>
        <v>0</v>
      </c>
      <c r="AF264" s="49">
        <f t="shared" ca="1" si="90"/>
        <v>0</v>
      </c>
      <c r="AG264" s="49">
        <f t="shared" ca="1" si="90"/>
        <v>0</v>
      </c>
      <c r="AH264" s="49">
        <f t="shared" ca="1" si="90"/>
        <v>0</v>
      </c>
      <c r="AI264" s="49">
        <f t="shared" ca="1" si="90"/>
        <v>0</v>
      </c>
      <c r="AJ264" s="49">
        <f t="shared" ca="1" si="90"/>
        <v>0</v>
      </c>
      <c r="AK264" s="49">
        <f t="shared" ca="1" si="90"/>
        <v>0</v>
      </c>
      <c r="AL264" s="49">
        <f t="shared" ca="1" si="90"/>
        <v>0</v>
      </c>
      <c r="AM264" s="49">
        <f t="shared" ca="1" si="90"/>
        <v>0</v>
      </c>
      <c r="AN264" s="49">
        <f t="shared" ca="1" si="90"/>
        <v>0</v>
      </c>
      <c r="AO264" s="49">
        <f t="shared" ca="1" si="90"/>
        <v>0</v>
      </c>
      <c r="AP264" s="49">
        <f t="shared" ca="1" si="90"/>
        <v>0</v>
      </c>
      <c r="AQ264" s="49">
        <f t="shared" ca="1" si="90"/>
        <v>0</v>
      </c>
      <c r="AR264" s="49">
        <f t="shared" ca="1" si="90"/>
        <v>0</v>
      </c>
      <c r="AS264" s="49">
        <f t="shared" ca="1" si="90"/>
        <v>0</v>
      </c>
      <c r="AT264" s="49">
        <f t="shared" ca="1" si="90"/>
        <v>0</v>
      </c>
      <c r="AU264" s="49">
        <f t="shared" ca="1" si="90"/>
        <v>0</v>
      </c>
      <c r="AV264" s="49">
        <f t="shared" ca="1" si="90"/>
        <v>0</v>
      </c>
      <c r="AW264" s="49">
        <f t="shared" ca="1" si="90"/>
        <v>0</v>
      </c>
      <c r="AX264" s="49">
        <f t="shared" ca="1" si="90"/>
        <v>0</v>
      </c>
      <c r="AY264" s="49">
        <f t="shared" ca="1" si="90"/>
        <v>0</v>
      </c>
      <c r="AZ264" s="49">
        <f t="shared" ca="1" si="90"/>
        <v>0</v>
      </c>
      <c r="BA264" s="49">
        <f t="shared" ca="1" si="90"/>
        <v>0</v>
      </c>
      <c r="BB264" s="49">
        <f t="shared" ca="1" si="90"/>
        <v>0</v>
      </c>
      <c r="BC264" s="49">
        <f t="shared" ca="1" si="90"/>
        <v>0</v>
      </c>
      <c r="BD264" s="49">
        <f t="shared" ca="1" si="90"/>
        <v>0</v>
      </c>
      <c r="BE264" s="49">
        <f t="shared" ca="1" si="90"/>
        <v>0</v>
      </c>
      <c r="BF264" s="49">
        <f t="shared" ca="1" si="90"/>
        <v>0</v>
      </c>
      <c r="BG264" s="49">
        <f t="shared" ca="1" si="90"/>
        <v>0</v>
      </c>
      <c r="BH264" s="49">
        <f t="shared" ca="1" si="90"/>
        <v>0</v>
      </c>
      <c r="BI264" s="49">
        <f t="shared" ca="1" si="90"/>
        <v>0</v>
      </c>
      <c r="BJ264" s="49">
        <f t="shared" ca="1" si="90"/>
        <v>0</v>
      </c>
      <c r="BK264" s="49">
        <f t="shared" ca="1" si="90"/>
        <v>0</v>
      </c>
      <c r="BL264" s="49">
        <f t="shared" ca="1" si="90"/>
        <v>0</v>
      </c>
      <c r="BM264" s="49">
        <f t="shared" ca="1" si="90"/>
        <v>0</v>
      </c>
      <c r="BN264" s="49">
        <f t="shared" ca="1" si="90"/>
        <v>0</v>
      </c>
      <c r="BO264" s="49">
        <f t="shared" ca="1" si="90"/>
        <v>0</v>
      </c>
      <c r="BP264" s="49">
        <f t="shared" ca="1" si="90"/>
        <v>0</v>
      </c>
      <c r="BQ264" s="49">
        <f t="shared" ca="1" si="90"/>
        <v>0</v>
      </c>
      <c r="BR264" s="49">
        <f t="shared" ca="1" si="90"/>
        <v>0</v>
      </c>
      <c r="BS264" s="49">
        <f t="shared" ca="1" si="90"/>
        <v>0</v>
      </c>
    </row>
    <row r="265" spans="3:71" outlineLevel="1" x14ac:dyDescent="0.2">
      <c r="E265" t="str">
        <f>HM_ZD_Moho!E288</f>
        <v xml:space="preserve">Sous/(Sur)récupération </v>
      </c>
      <c r="J265" s="26"/>
      <c r="L265" s="49">
        <f ca="1">L263+L264</f>
        <v>0</v>
      </c>
      <c r="M265" s="49">
        <f t="shared" ref="M265:BS265" ca="1" si="91">M263+M264</f>
        <v>0</v>
      </c>
      <c r="N265" s="49">
        <f t="shared" ca="1" si="91"/>
        <v>0</v>
      </c>
      <c r="O265" s="49">
        <f t="shared" ca="1" si="91"/>
        <v>0</v>
      </c>
      <c r="P265" s="49">
        <f t="shared" ca="1" si="91"/>
        <v>0</v>
      </c>
      <c r="Q265" s="49">
        <f t="shared" ca="1" si="91"/>
        <v>0</v>
      </c>
      <c r="R265" s="49">
        <f t="shared" ca="1" si="91"/>
        <v>0</v>
      </c>
      <c r="S265" s="49">
        <f t="shared" ca="1" si="91"/>
        <v>0</v>
      </c>
      <c r="T265" s="49">
        <f t="shared" ca="1" si="91"/>
        <v>0</v>
      </c>
      <c r="U265" s="49">
        <f t="shared" ca="1" si="91"/>
        <v>0</v>
      </c>
      <c r="V265" s="49">
        <f t="shared" ca="1" si="91"/>
        <v>0</v>
      </c>
      <c r="W265" s="49">
        <f t="shared" ca="1" si="91"/>
        <v>0</v>
      </c>
      <c r="X265" s="49">
        <f t="shared" ca="1" si="91"/>
        <v>0</v>
      </c>
      <c r="Y265" s="49">
        <f t="shared" ca="1" si="91"/>
        <v>0</v>
      </c>
      <c r="Z265" s="49">
        <f t="shared" ca="1" si="91"/>
        <v>0</v>
      </c>
      <c r="AA265" s="49">
        <f t="shared" ca="1" si="91"/>
        <v>0</v>
      </c>
      <c r="AB265" s="49">
        <f t="shared" ca="1" si="91"/>
        <v>0</v>
      </c>
      <c r="AC265" s="49">
        <f t="shared" ca="1" si="91"/>
        <v>0</v>
      </c>
      <c r="AD265" s="49">
        <f t="shared" ca="1" si="91"/>
        <v>0</v>
      </c>
      <c r="AE265" s="49">
        <f t="shared" ca="1" si="91"/>
        <v>0</v>
      </c>
      <c r="AF265" s="49">
        <f t="shared" ca="1" si="91"/>
        <v>0</v>
      </c>
      <c r="AG265" s="49">
        <f t="shared" ca="1" si="91"/>
        <v>0</v>
      </c>
      <c r="AH265" s="49">
        <f t="shared" ca="1" si="91"/>
        <v>0</v>
      </c>
      <c r="AI265" s="49">
        <f t="shared" ca="1" si="91"/>
        <v>0</v>
      </c>
      <c r="AJ265" s="49">
        <f t="shared" ca="1" si="91"/>
        <v>0</v>
      </c>
      <c r="AK265" s="49">
        <f t="shared" ca="1" si="91"/>
        <v>0</v>
      </c>
      <c r="AL265" s="49">
        <f t="shared" ca="1" si="91"/>
        <v>0</v>
      </c>
      <c r="AM265" s="49">
        <f t="shared" ca="1" si="91"/>
        <v>0</v>
      </c>
      <c r="AN265" s="49">
        <f t="shared" ca="1" si="91"/>
        <v>0</v>
      </c>
      <c r="AO265" s="49">
        <f t="shared" ca="1" si="91"/>
        <v>0</v>
      </c>
      <c r="AP265" s="49">
        <f t="shared" ca="1" si="91"/>
        <v>0</v>
      </c>
      <c r="AQ265" s="49">
        <f t="shared" ca="1" si="91"/>
        <v>0</v>
      </c>
      <c r="AR265" s="49">
        <f t="shared" ca="1" si="91"/>
        <v>0</v>
      </c>
      <c r="AS265" s="49">
        <f t="shared" ca="1" si="91"/>
        <v>0</v>
      </c>
      <c r="AT265" s="49">
        <f t="shared" ca="1" si="91"/>
        <v>0</v>
      </c>
      <c r="AU265" s="49">
        <f t="shared" ca="1" si="91"/>
        <v>0</v>
      </c>
      <c r="AV265" s="49">
        <f t="shared" ca="1" si="91"/>
        <v>0</v>
      </c>
      <c r="AW265" s="49">
        <f t="shared" ca="1" si="91"/>
        <v>0</v>
      </c>
      <c r="AX265" s="49">
        <f t="shared" ca="1" si="91"/>
        <v>0</v>
      </c>
      <c r="AY265" s="49">
        <f t="shared" ca="1" si="91"/>
        <v>0</v>
      </c>
      <c r="AZ265" s="49">
        <f t="shared" ca="1" si="91"/>
        <v>0</v>
      </c>
      <c r="BA265" s="49">
        <f t="shared" ca="1" si="91"/>
        <v>0</v>
      </c>
      <c r="BB265" s="49">
        <f t="shared" ca="1" si="91"/>
        <v>0</v>
      </c>
      <c r="BC265" s="49">
        <f t="shared" ca="1" si="91"/>
        <v>0</v>
      </c>
      <c r="BD265" s="49">
        <f t="shared" ca="1" si="91"/>
        <v>0</v>
      </c>
      <c r="BE265" s="49">
        <f t="shared" ca="1" si="91"/>
        <v>0</v>
      </c>
      <c r="BF265" s="49">
        <f t="shared" ca="1" si="91"/>
        <v>0</v>
      </c>
      <c r="BG265" s="49">
        <f t="shared" ca="1" si="91"/>
        <v>0</v>
      </c>
      <c r="BH265" s="49">
        <f t="shared" ca="1" si="91"/>
        <v>0</v>
      </c>
      <c r="BI265" s="49">
        <f t="shared" ca="1" si="91"/>
        <v>0</v>
      </c>
      <c r="BJ265" s="49">
        <f t="shared" ca="1" si="91"/>
        <v>0</v>
      </c>
      <c r="BK265" s="49">
        <f t="shared" ca="1" si="91"/>
        <v>0</v>
      </c>
      <c r="BL265" s="49">
        <f t="shared" ca="1" si="91"/>
        <v>0</v>
      </c>
      <c r="BM265" s="49">
        <f t="shared" ca="1" si="91"/>
        <v>0</v>
      </c>
      <c r="BN265" s="49">
        <f t="shared" ca="1" si="91"/>
        <v>0</v>
      </c>
      <c r="BO265" s="49">
        <f t="shared" ca="1" si="91"/>
        <v>0</v>
      </c>
      <c r="BP265" s="49">
        <f t="shared" ca="1" si="91"/>
        <v>0</v>
      </c>
      <c r="BQ265" s="49">
        <f t="shared" ca="1" si="91"/>
        <v>0</v>
      </c>
      <c r="BR265" s="49">
        <f t="shared" ca="1" si="91"/>
        <v>0</v>
      </c>
      <c r="BS265" s="49">
        <f t="shared" ca="1" si="91"/>
        <v>0</v>
      </c>
    </row>
    <row r="266" spans="3:71" outlineLevel="1" x14ac:dyDescent="0.2">
      <c r="J266" s="26"/>
      <c r="L266" s="55"/>
      <c r="M266" s="55"/>
      <c r="N266" s="55"/>
      <c r="O266" s="55"/>
      <c r="P266" s="55"/>
      <c r="Q266" s="55"/>
      <c r="R266" s="55"/>
      <c r="S266" s="55"/>
      <c r="T266" s="55"/>
      <c r="U266" s="55"/>
      <c r="V266" s="55"/>
      <c r="W266" s="55"/>
      <c r="X266" s="55"/>
      <c r="Y266" s="55"/>
      <c r="Z266" s="55"/>
      <c r="AA266" s="55"/>
      <c r="AB266" s="55"/>
      <c r="AC266" s="55"/>
      <c r="AD266" s="55"/>
      <c r="AE266" s="55"/>
      <c r="AF266" s="55"/>
      <c r="AG266" s="55"/>
      <c r="AH266" s="55"/>
      <c r="AI266" s="55"/>
      <c r="AJ266" s="55"/>
      <c r="AK266" s="55"/>
      <c r="AL266" s="55"/>
      <c r="AM266" s="55"/>
      <c r="AN266" s="55"/>
      <c r="AO266" s="55"/>
      <c r="AP266" s="55"/>
      <c r="AQ266" s="55"/>
      <c r="AR266" s="55"/>
      <c r="AS266" s="55"/>
      <c r="AT266" s="55"/>
      <c r="AU266" s="55"/>
      <c r="AV266" s="55"/>
      <c r="AW266" s="55"/>
      <c r="AX266" s="55"/>
      <c r="AY266" s="55"/>
      <c r="AZ266" s="55"/>
      <c r="BA266" s="55"/>
      <c r="BB266" s="55"/>
      <c r="BC266" s="55"/>
      <c r="BD266" s="55"/>
      <c r="BE266" s="55"/>
      <c r="BF266" s="55"/>
      <c r="BG266" s="55"/>
      <c r="BH266" s="55"/>
      <c r="BI266" s="55"/>
      <c r="BJ266" s="55"/>
      <c r="BK266" s="55"/>
      <c r="BL266" s="55"/>
      <c r="BM266" s="55"/>
      <c r="BN266" s="55"/>
      <c r="BO266" s="55"/>
      <c r="BP266" s="55"/>
      <c r="BQ266" s="55"/>
      <c r="BR266" s="55"/>
      <c r="BS266" s="55"/>
    </row>
    <row r="267" spans="3:71" outlineLevel="1" x14ac:dyDescent="0.2">
      <c r="J267" s="26"/>
      <c r="L267" s="55"/>
      <c r="M267" s="55"/>
      <c r="N267" s="55"/>
      <c r="O267" s="55"/>
      <c r="P267" s="55"/>
      <c r="Q267" s="55"/>
      <c r="R267" s="55"/>
      <c r="S267" s="55"/>
      <c r="T267" s="55"/>
      <c r="U267" s="55"/>
      <c r="V267" s="55"/>
      <c r="W267" s="55"/>
      <c r="X267" s="55"/>
      <c r="Y267" s="55"/>
      <c r="Z267" s="55"/>
      <c r="AA267" s="55"/>
      <c r="AB267" s="55"/>
      <c r="AC267" s="55"/>
      <c r="AD267" s="55"/>
      <c r="AE267" s="55"/>
      <c r="AF267" s="55"/>
      <c r="AG267" s="55"/>
      <c r="AH267" s="55"/>
      <c r="AI267" s="55"/>
      <c r="AJ267" s="55"/>
      <c r="AK267" s="55"/>
      <c r="AL267" s="55"/>
      <c r="AM267" s="55"/>
      <c r="AN267" s="55"/>
      <c r="AO267" s="55"/>
      <c r="AP267" s="55"/>
      <c r="AQ267" s="55"/>
      <c r="AR267" s="55"/>
      <c r="AS267" s="55"/>
      <c r="AT267" s="55"/>
      <c r="AU267" s="55"/>
      <c r="AV267" s="55"/>
      <c r="AW267" s="55"/>
      <c r="AX267" s="55"/>
      <c r="AY267" s="55"/>
      <c r="AZ267" s="55"/>
      <c r="BA267" s="55"/>
      <c r="BB267" s="55"/>
      <c r="BC267" s="55"/>
      <c r="BD267" s="55"/>
      <c r="BE267" s="55"/>
      <c r="BF267" s="55"/>
      <c r="BG267" s="55"/>
      <c r="BH267" s="55"/>
      <c r="BI267" s="55"/>
      <c r="BJ267" s="55"/>
      <c r="BK267" s="55"/>
      <c r="BL267" s="55"/>
      <c r="BM267" s="55"/>
      <c r="BN267" s="55"/>
      <c r="BO267" s="55"/>
      <c r="BP267" s="55"/>
      <c r="BQ267" s="55"/>
      <c r="BR267" s="55"/>
      <c r="BS267" s="55"/>
    </row>
    <row r="268" spans="3:71" outlineLevel="1" x14ac:dyDescent="0.2">
      <c r="D268" s="11" t="str">
        <f>HM_ZD_Moho!D291</f>
        <v>Coût total récupéré</v>
      </c>
      <c r="H268" s="56" t="b">
        <f ca="1">ROUND(I268,2)=ROUND(I226,2)</f>
        <v>0</v>
      </c>
      <c r="I268" s="30">
        <f t="shared" ca="1" si="82"/>
        <v>545.20625357630365</v>
      </c>
      <c r="J268" s="26" t="s">
        <v>148</v>
      </c>
      <c r="K268" s="7" t="s">
        <v>208</v>
      </c>
      <c r="L268" s="49">
        <f ca="1">-SUM(L264,L258,L252,L246,L240)</f>
        <v>263.98577304099854</v>
      </c>
      <c r="M268" s="49">
        <f t="shared" ref="M268:BS268" ca="1" si="92">-SUM(M264,M258,M252,M246,M240)</f>
        <v>281.22048053530517</v>
      </c>
      <c r="N268" s="49">
        <f t="shared" ca="1" si="92"/>
        <v>0</v>
      </c>
      <c r="O268" s="49">
        <f t="shared" ca="1" si="92"/>
        <v>0</v>
      </c>
      <c r="P268" s="49">
        <f t="shared" ca="1" si="92"/>
        <v>0</v>
      </c>
      <c r="Q268" s="49">
        <f t="shared" ca="1" si="92"/>
        <v>0</v>
      </c>
      <c r="R268" s="49">
        <f t="shared" ca="1" si="92"/>
        <v>0</v>
      </c>
      <c r="S268" s="49">
        <f t="shared" ca="1" si="92"/>
        <v>0</v>
      </c>
      <c r="T268" s="49">
        <f t="shared" ca="1" si="92"/>
        <v>0</v>
      </c>
      <c r="U268" s="49">
        <f t="shared" ca="1" si="92"/>
        <v>0</v>
      </c>
      <c r="V268" s="49">
        <f t="shared" ca="1" si="92"/>
        <v>0</v>
      </c>
      <c r="W268" s="49">
        <f t="shared" ca="1" si="92"/>
        <v>0</v>
      </c>
      <c r="X268" s="49">
        <f t="shared" ca="1" si="92"/>
        <v>0</v>
      </c>
      <c r="Y268" s="49">
        <f t="shared" ca="1" si="92"/>
        <v>0</v>
      </c>
      <c r="Z268" s="49">
        <f t="shared" ca="1" si="92"/>
        <v>0</v>
      </c>
      <c r="AA268" s="49">
        <f t="shared" ca="1" si="92"/>
        <v>0</v>
      </c>
      <c r="AB268" s="49">
        <f t="shared" ca="1" si="92"/>
        <v>0</v>
      </c>
      <c r="AC268" s="49">
        <f t="shared" ca="1" si="92"/>
        <v>0</v>
      </c>
      <c r="AD268" s="49">
        <f t="shared" ca="1" si="92"/>
        <v>0</v>
      </c>
      <c r="AE268" s="49">
        <f t="shared" ca="1" si="92"/>
        <v>0</v>
      </c>
      <c r="AF268" s="49">
        <f t="shared" ca="1" si="92"/>
        <v>0</v>
      </c>
      <c r="AG268" s="49">
        <f t="shared" ca="1" si="92"/>
        <v>0</v>
      </c>
      <c r="AH268" s="49">
        <f t="shared" ca="1" si="92"/>
        <v>0</v>
      </c>
      <c r="AI268" s="49">
        <f t="shared" ca="1" si="92"/>
        <v>0</v>
      </c>
      <c r="AJ268" s="49">
        <f t="shared" ca="1" si="92"/>
        <v>0</v>
      </c>
      <c r="AK268" s="49">
        <f t="shared" ca="1" si="92"/>
        <v>0</v>
      </c>
      <c r="AL268" s="49">
        <f t="shared" ca="1" si="92"/>
        <v>0</v>
      </c>
      <c r="AM268" s="49">
        <f t="shared" ca="1" si="92"/>
        <v>0</v>
      </c>
      <c r="AN268" s="49">
        <f t="shared" ca="1" si="92"/>
        <v>0</v>
      </c>
      <c r="AO268" s="49">
        <f t="shared" ca="1" si="92"/>
        <v>0</v>
      </c>
      <c r="AP268" s="49">
        <f t="shared" ca="1" si="92"/>
        <v>0</v>
      </c>
      <c r="AQ268" s="49">
        <f t="shared" ca="1" si="92"/>
        <v>0</v>
      </c>
      <c r="AR268" s="49">
        <f t="shared" ca="1" si="92"/>
        <v>0</v>
      </c>
      <c r="AS268" s="49">
        <f t="shared" ca="1" si="92"/>
        <v>0</v>
      </c>
      <c r="AT268" s="49">
        <f t="shared" ca="1" si="92"/>
        <v>0</v>
      </c>
      <c r="AU268" s="49">
        <f t="shared" ca="1" si="92"/>
        <v>0</v>
      </c>
      <c r="AV268" s="49">
        <f t="shared" ca="1" si="92"/>
        <v>0</v>
      </c>
      <c r="AW268" s="49">
        <f t="shared" ca="1" si="92"/>
        <v>0</v>
      </c>
      <c r="AX268" s="49">
        <f t="shared" ca="1" si="92"/>
        <v>0</v>
      </c>
      <c r="AY268" s="49">
        <f t="shared" ca="1" si="92"/>
        <v>0</v>
      </c>
      <c r="AZ268" s="49">
        <f t="shared" ca="1" si="92"/>
        <v>0</v>
      </c>
      <c r="BA268" s="49">
        <f t="shared" ca="1" si="92"/>
        <v>0</v>
      </c>
      <c r="BB268" s="49">
        <f t="shared" ca="1" si="92"/>
        <v>0</v>
      </c>
      <c r="BC268" s="49">
        <f t="shared" ca="1" si="92"/>
        <v>0</v>
      </c>
      <c r="BD268" s="49">
        <f t="shared" ca="1" si="92"/>
        <v>0</v>
      </c>
      <c r="BE268" s="49">
        <f t="shared" ca="1" si="92"/>
        <v>0</v>
      </c>
      <c r="BF268" s="49">
        <f t="shared" ca="1" si="92"/>
        <v>0</v>
      </c>
      <c r="BG268" s="49">
        <f t="shared" ca="1" si="92"/>
        <v>0</v>
      </c>
      <c r="BH268" s="49">
        <f t="shared" ca="1" si="92"/>
        <v>0</v>
      </c>
      <c r="BI268" s="49">
        <f t="shared" ca="1" si="92"/>
        <v>0</v>
      </c>
      <c r="BJ268" s="49">
        <f t="shared" ca="1" si="92"/>
        <v>0</v>
      </c>
      <c r="BK268" s="49">
        <f t="shared" ca="1" si="92"/>
        <v>0</v>
      </c>
      <c r="BL268" s="49">
        <f t="shared" ca="1" si="92"/>
        <v>0</v>
      </c>
      <c r="BM268" s="49">
        <f t="shared" ca="1" si="92"/>
        <v>0</v>
      </c>
      <c r="BN268" s="49">
        <f t="shared" ca="1" si="92"/>
        <v>0</v>
      </c>
      <c r="BO268" s="49">
        <f t="shared" ca="1" si="92"/>
        <v>0</v>
      </c>
      <c r="BP268" s="49">
        <f t="shared" ca="1" si="92"/>
        <v>0</v>
      </c>
      <c r="BQ268" s="49">
        <f t="shared" ca="1" si="92"/>
        <v>0</v>
      </c>
      <c r="BR268" s="49">
        <f t="shared" ca="1" si="92"/>
        <v>0</v>
      </c>
      <c r="BS268" s="49">
        <f t="shared" ca="1" si="92"/>
        <v>0</v>
      </c>
    </row>
    <row r="269" spans="3:71" outlineLevel="1" x14ac:dyDescent="0.2">
      <c r="J269" s="26"/>
      <c r="L269" s="55"/>
      <c r="M269" s="55"/>
      <c r="N269" s="55"/>
      <c r="O269" s="55"/>
      <c r="P269" s="55"/>
      <c r="Q269" s="55"/>
      <c r="R269" s="55"/>
      <c r="S269" s="55"/>
      <c r="T269" s="55"/>
      <c r="U269" s="55"/>
      <c r="V269" s="55"/>
      <c r="W269" s="55"/>
      <c r="X269" s="55"/>
      <c r="Y269" s="55"/>
      <c r="Z269" s="55"/>
      <c r="AA269" s="55"/>
      <c r="AB269" s="55"/>
      <c r="AC269" s="55"/>
      <c r="AD269" s="55"/>
      <c r="AE269" s="55"/>
      <c r="AF269" s="55"/>
      <c r="AG269" s="55"/>
      <c r="AH269" s="55"/>
      <c r="AI269" s="55"/>
      <c r="AJ269" s="55"/>
      <c r="AK269" s="55"/>
      <c r="AL269" s="55"/>
      <c r="AM269" s="55"/>
      <c r="AN269" s="55"/>
      <c r="AO269" s="55"/>
      <c r="AP269" s="55"/>
      <c r="AQ269" s="55"/>
      <c r="AR269" s="55"/>
      <c r="AS269" s="55"/>
      <c r="AT269" s="55"/>
      <c r="AU269" s="55"/>
      <c r="AV269" s="55"/>
      <c r="AW269" s="55"/>
      <c r="AX269" s="55"/>
      <c r="AY269" s="55"/>
      <c r="AZ269" s="55"/>
      <c r="BA269" s="55"/>
      <c r="BB269" s="55"/>
      <c r="BC269" s="55"/>
      <c r="BD269" s="55"/>
      <c r="BE269" s="55"/>
      <c r="BF269" s="55"/>
      <c r="BG269" s="55"/>
      <c r="BH269" s="55"/>
      <c r="BI269" s="55"/>
      <c r="BJ269" s="55"/>
      <c r="BK269" s="55"/>
      <c r="BL269" s="55"/>
      <c r="BM269" s="55"/>
      <c r="BN269" s="55"/>
      <c r="BO269" s="55"/>
      <c r="BP269" s="55"/>
      <c r="BQ269" s="55"/>
      <c r="BR269" s="55"/>
      <c r="BS269" s="55"/>
    </row>
    <row r="270" spans="3:71" outlineLevel="1" x14ac:dyDescent="0.2">
      <c r="C270" s="11" t="str">
        <f>HM_ZD_Moho!C293</f>
        <v>Excess Cost Oil (ECO)</v>
      </c>
      <c r="J270" s="26"/>
      <c r="L270" s="55"/>
      <c r="M270" s="55"/>
      <c r="N270" s="55"/>
      <c r="O270" s="55"/>
      <c r="P270" s="55"/>
      <c r="Q270" s="55"/>
      <c r="R270" s="55"/>
      <c r="S270" s="55"/>
      <c r="T270" s="55"/>
      <c r="U270" s="55"/>
      <c r="V270" s="55"/>
      <c r="W270" s="55"/>
      <c r="X270" s="55"/>
      <c r="Y270" s="55"/>
      <c r="Z270" s="55"/>
      <c r="AA270" s="55"/>
      <c r="AB270" s="55"/>
      <c r="AC270" s="55"/>
      <c r="AD270" s="55"/>
      <c r="AE270" s="55"/>
      <c r="AF270" s="55"/>
      <c r="AG270" s="55"/>
      <c r="AH270" s="55"/>
      <c r="AI270" s="55"/>
      <c r="AJ270" s="55"/>
      <c r="AK270" s="55"/>
      <c r="AL270" s="55"/>
      <c r="AM270" s="55"/>
      <c r="AN270" s="55"/>
      <c r="AO270" s="55"/>
      <c r="AP270" s="55"/>
      <c r="AQ270" s="55"/>
      <c r="AR270" s="55"/>
      <c r="AS270" s="55"/>
      <c r="AT270" s="55"/>
      <c r="AU270" s="55"/>
      <c r="AV270" s="55"/>
      <c r="AW270" s="55"/>
      <c r="AX270" s="55"/>
      <c r="AY270" s="55"/>
      <c r="AZ270" s="55"/>
      <c r="BA270" s="55"/>
      <c r="BB270" s="55"/>
      <c r="BC270" s="55"/>
      <c r="BD270" s="55"/>
      <c r="BE270" s="55"/>
      <c r="BF270" s="55"/>
      <c r="BG270" s="55"/>
      <c r="BH270" s="55"/>
      <c r="BI270" s="55"/>
      <c r="BJ270" s="55"/>
      <c r="BK270" s="55"/>
      <c r="BL270" s="55"/>
      <c r="BM270" s="55"/>
      <c r="BN270" s="55"/>
      <c r="BO270" s="55"/>
      <c r="BP270" s="55"/>
      <c r="BQ270" s="55"/>
      <c r="BR270" s="55"/>
      <c r="BS270" s="55"/>
    </row>
    <row r="271" spans="3:71" outlineLevel="1" x14ac:dyDescent="0.2">
      <c r="D271" t="str">
        <f>HM_ZD_Moho!D294</f>
        <v>Revenus disponibles pour le partage de l'Excess Cost oil</v>
      </c>
      <c r="I271" s="30">
        <f t="shared" ref="I271:I278" ca="1" si="93">SUM($L271:$BS271)</f>
        <v>0</v>
      </c>
      <c r="J271" s="26" t="s">
        <v>148</v>
      </c>
      <c r="K271" s="7" t="s">
        <v>210</v>
      </c>
      <c r="L271" s="49">
        <f ca="1">IF(HM_ZD_AM3_2005!CA_cost_stop-HM_ZD_AM3_2005!CA_cost_recovered_total&lt;0,0,HM_ZD_AM3_2005!CA_cost_stop-HM_ZD_AM3_2005!CA_cost_recovered_total)</f>
        <v>0</v>
      </c>
      <c r="M271" s="49">
        <f ca="1">IF(HM_ZD_AM3_2005!CA_cost_stop-HM_ZD_AM3_2005!CA_cost_recovered_total&lt;0,0,HM_ZD_AM3_2005!CA_cost_stop-HM_ZD_AM3_2005!CA_cost_recovered_total)</f>
        <v>0</v>
      </c>
      <c r="N271" s="49">
        <f ca="1">IF(HM_ZD_AM3_2005!CA_cost_stop-HM_ZD_AM3_2005!CA_cost_recovered_total&lt;0,0,HM_ZD_AM3_2005!CA_cost_stop-HM_ZD_AM3_2005!CA_cost_recovered_total)</f>
        <v>0</v>
      </c>
      <c r="O271" s="49">
        <f ca="1">IF(HM_ZD_AM3_2005!CA_cost_stop-HM_ZD_AM3_2005!CA_cost_recovered_total&lt;0,0,HM_ZD_AM3_2005!CA_cost_stop-HM_ZD_AM3_2005!CA_cost_recovered_total)</f>
        <v>0</v>
      </c>
      <c r="P271" s="49">
        <f ca="1">IF(HM_ZD_AM3_2005!CA_cost_stop-HM_ZD_AM3_2005!CA_cost_recovered_total&lt;0,0,HM_ZD_AM3_2005!CA_cost_stop-HM_ZD_AM3_2005!CA_cost_recovered_total)</f>
        <v>0</v>
      </c>
      <c r="Q271" s="49">
        <f ca="1">IF(HM_ZD_AM3_2005!CA_cost_stop-HM_ZD_AM3_2005!CA_cost_recovered_total&lt;0,0,HM_ZD_AM3_2005!CA_cost_stop-HM_ZD_AM3_2005!CA_cost_recovered_total)</f>
        <v>0</v>
      </c>
      <c r="R271" s="49">
        <f ca="1">IF(HM_ZD_AM3_2005!CA_cost_stop-HM_ZD_AM3_2005!CA_cost_recovered_total&lt;0,0,HM_ZD_AM3_2005!CA_cost_stop-HM_ZD_AM3_2005!CA_cost_recovered_total)</f>
        <v>0</v>
      </c>
      <c r="S271" s="49">
        <f ca="1">IF(HM_ZD_AM3_2005!CA_cost_stop-HM_ZD_AM3_2005!CA_cost_recovered_total&lt;0,0,HM_ZD_AM3_2005!CA_cost_stop-HM_ZD_AM3_2005!CA_cost_recovered_total)</f>
        <v>0</v>
      </c>
      <c r="T271" s="49">
        <f ca="1">IF(HM_ZD_AM3_2005!CA_cost_stop-HM_ZD_AM3_2005!CA_cost_recovered_total&lt;0,0,HM_ZD_AM3_2005!CA_cost_stop-HM_ZD_AM3_2005!CA_cost_recovered_total)</f>
        <v>0</v>
      </c>
      <c r="U271" s="49">
        <f ca="1">IF(HM_ZD_AM3_2005!CA_cost_stop-HM_ZD_AM3_2005!CA_cost_recovered_total&lt;0,0,HM_ZD_AM3_2005!CA_cost_stop-HM_ZD_AM3_2005!CA_cost_recovered_total)</f>
        <v>0</v>
      </c>
      <c r="V271" s="49">
        <f ca="1">IF(HM_ZD_AM3_2005!CA_cost_stop-HM_ZD_AM3_2005!CA_cost_recovered_total&lt;0,0,HM_ZD_AM3_2005!CA_cost_stop-HM_ZD_AM3_2005!CA_cost_recovered_total)</f>
        <v>0</v>
      </c>
      <c r="W271" s="49">
        <f ca="1">IF(HM_ZD_AM3_2005!CA_cost_stop-HM_ZD_AM3_2005!CA_cost_recovered_total&lt;0,0,HM_ZD_AM3_2005!CA_cost_stop-HM_ZD_AM3_2005!CA_cost_recovered_total)</f>
        <v>0</v>
      </c>
      <c r="X271" s="49">
        <f ca="1">IF(HM_ZD_AM3_2005!CA_cost_stop-HM_ZD_AM3_2005!CA_cost_recovered_total&lt;0,0,HM_ZD_AM3_2005!CA_cost_stop-HM_ZD_AM3_2005!CA_cost_recovered_total)</f>
        <v>0</v>
      </c>
      <c r="Y271" s="49">
        <f ca="1">IF(HM_ZD_AM3_2005!CA_cost_stop-HM_ZD_AM3_2005!CA_cost_recovered_total&lt;0,0,HM_ZD_AM3_2005!CA_cost_stop-HM_ZD_AM3_2005!CA_cost_recovered_total)</f>
        <v>0</v>
      </c>
      <c r="Z271" s="49">
        <f ca="1">IF(HM_ZD_AM3_2005!CA_cost_stop-HM_ZD_AM3_2005!CA_cost_recovered_total&lt;0,0,HM_ZD_AM3_2005!CA_cost_stop-HM_ZD_AM3_2005!CA_cost_recovered_total)</f>
        <v>0</v>
      </c>
      <c r="AA271" s="49">
        <f ca="1">IF(HM_ZD_AM3_2005!CA_cost_stop-HM_ZD_AM3_2005!CA_cost_recovered_total&lt;0,0,HM_ZD_AM3_2005!CA_cost_stop-HM_ZD_AM3_2005!CA_cost_recovered_total)</f>
        <v>0</v>
      </c>
      <c r="AB271" s="49">
        <f ca="1">IF(HM_ZD_AM3_2005!CA_cost_stop-HM_ZD_AM3_2005!CA_cost_recovered_total&lt;0,0,HM_ZD_AM3_2005!CA_cost_stop-HM_ZD_AM3_2005!CA_cost_recovered_total)</f>
        <v>0</v>
      </c>
      <c r="AC271" s="49">
        <f ca="1">IF(HM_ZD_AM3_2005!CA_cost_stop-HM_ZD_AM3_2005!CA_cost_recovered_total&lt;0,0,HM_ZD_AM3_2005!CA_cost_stop-HM_ZD_AM3_2005!CA_cost_recovered_total)</f>
        <v>0</v>
      </c>
      <c r="AD271" s="49">
        <f ca="1">IF(HM_ZD_AM3_2005!CA_cost_stop-HM_ZD_AM3_2005!CA_cost_recovered_total&lt;0,0,HM_ZD_AM3_2005!CA_cost_stop-HM_ZD_AM3_2005!CA_cost_recovered_total)</f>
        <v>0</v>
      </c>
      <c r="AE271" s="49">
        <f ca="1">IF(HM_ZD_AM3_2005!CA_cost_stop-HM_ZD_AM3_2005!CA_cost_recovered_total&lt;0,0,HM_ZD_AM3_2005!CA_cost_stop-HM_ZD_AM3_2005!CA_cost_recovered_total)</f>
        <v>0</v>
      </c>
      <c r="AF271" s="49">
        <f ca="1">IF(HM_ZD_AM3_2005!CA_cost_stop-HM_ZD_AM3_2005!CA_cost_recovered_total&lt;0,0,HM_ZD_AM3_2005!CA_cost_stop-HM_ZD_AM3_2005!CA_cost_recovered_total)</f>
        <v>0</v>
      </c>
      <c r="AG271" s="49">
        <f ca="1">IF(HM_ZD_AM3_2005!CA_cost_stop-HM_ZD_AM3_2005!CA_cost_recovered_total&lt;0,0,HM_ZD_AM3_2005!CA_cost_stop-HM_ZD_AM3_2005!CA_cost_recovered_total)</f>
        <v>0</v>
      </c>
      <c r="AH271" s="49">
        <f ca="1">IF(HM_ZD_AM3_2005!CA_cost_stop-HM_ZD_AM3_2005!CA_cost_recovered_total&lt;0,0,HM_ZD_AM3_2005!CA_cost_stop-HM_ZD_AM3_2005!CA_cost_recovered_total)</f>
        <v>0</v>
      </c>
      <c r="AI271" s="49">
        <f ca="1">IF(HM_ZD_AM3_2005!CA_cost_stop-HM_ZD_AM3_2005!CA_cost_recovered_total&lt;0,0,HM_ZD_AM3_2005!CA_cost_stop-HM_ZD_AM3_2005!CA_cost_recovered_total)</f>
        <v>0</v>
      </c>
      <c r="AJ271" s="49">
        <f ca="1">IF(HM_ZD_AM3_2005!CA_cost_stop-HM_ZD_AM3_2005!CA_cost_recovered_total&lt;0,0,HM_ZD_AM3_2005!CA_cost_stop-HM_ZD_AM3_2005!CA_cost_recovered_total)</f>
        <v>0</v>
      </c>
      <c r="AK271" s="49">
        <f ca="1">IF(HM_ZD_AM3_2005!CA_cost_stop-HM_ZD_AM3_2005!CA_cost_recovered_total&lt;0,0,HM_ZD_AM3_2005!CA_cost_stop-HM_ZD_AM3_2005!CA_cost_recovered_total)</f>
        <v>0</v>
      </c>
      <c r="AL271" s="49">
        <f ca="1">IF(HM_ZD_AM3_2005!CA_cost_stop-HM_ZD_AM3_2005!CA_cost_recovered_total&lt;0,0,HM_ZD_AM3_2005!CA_cost_stop-HM_ZD_AM3_2005!CA_cost_recovered_total)</f>
        <v>0</v>
      </c>
      <c r="AM271" s="49">
        <f ca="1">IF(HM_ZD_AM3_2005!CA_cost_stop-HM_ZD_AM3_2005!CA_cost_recovered_total&lt;0,0,HM_ZD_AM3_2005!CA_cost_stop-HM_ZD_AM3_2005!CA_cost_recovered_total)</f>
        <v>0</v>
      </c>
      <c r="AN271" s="49">
        <f ca="1">IF(HM_ZD_AM3_2005!CA_cost_stop-HM_ZD_AM3_2005!CA_cost_recovered_total&lt;0,0,HM_ZD_AM3_2005!CA_cost_stop-HM_ZD_AM3_2005!CA_cost_recovered_total)</f>
        <v>0</v>
      </c>
      <c r="AO271" s="49">
        <f ca="1">IF(HM_ZD_AM3_2005!CA_cost_stop-HM_ZD_AM3_2005!CA_cost_recovered_total&lt;0,0,HM_ZD_AM3_2005!CA_cost_stop-HM_ZD_AM3_2005!CA_cost_recovered_total)</f>
        <v>0</v>
      </c>
      <c r="AP271" s="49">
        <f ca="1">IF(HM_ZD_AM3_2005!CA_cost_stop-HM_ZD_AM3_2005!CA_cost_recovered_total&lt;0,0,HM_ZD_AM3_2005!CA_cost_stop-HM_ZD_AM3_2005!CA_cost_recovered_total)</f>
        <v>0</v>
      </c>
      <c r="AQ271" s="49">
        <f ca="1">IF(HM_ZD_AM3_2005!CA_cost_stop-HM_ZD_AM3_2005!CA_cost_recovered_total&lt;0,0,HM_ZD_AM3_2005!CA_cost_stop-HM_ZD_AM3_2005!CA_cost_recovered_total)</f>
        <v>0</v>
      </c>
      <c r="AR271" s="49">
        <f ca="1">IF(HM_ZD_AM3_2005!CA_cost_stop-HM_ZD_AM3_2005!CA_cost_recovered_total&lt;0,0,HM_ZD_AM3_2005!CA_cost_stop-HM_ZD_AM3_2005!CA_cost_recovered_total)</f>
        <v>0</v>
      </c>
      <c r="AS271" s="49">
        <f ca="1">IF(HM_ZD_AM3_2005!CA_cost_stop-HM_ZD_AM3_2005!CA_cost_recovered_total&lt;0,0,HM_ZD_AM3_2005!CA_cost_stop-HM_ZD_AM3_2005!CA_cost_recovered_total)</f>
        <v>0</v>
      </c>
      <c r="AT271" s="49">
        <f ca="1">IF(HM_ZD_AM3_2005!CA_cost_stop-HM_ZD_AM3_2005!CA_cost_recovered_total&lt;0,0,HM_ZD_AM3_2005!CA_cost_stop-HM_ZD_AM3_2005!CA_cost_recovered_total)</f>
        <v>0</v>
      </c>
      <c r="AU271" s="49">
        <f ca="1">IF(HM_ZD_AM3_2005!CA_cost_stop-HM_ZD_AM3_2005!CA_cost_recovered_total&lt;0,0,HM_ZD_AM3_2005!CA_cost_stop-HM_ZD_AM3_2005!CA_cost_recovered_total)</f>
        <v>0</v>
      </c>
      <c r="AV271" s="49">
        <f ca="1">IF(HM_ZD_AM3_2005!CA_cost_stop-HM_ZD_AM3_2005!CA_cost_recovered_total&lt;0,0,HM_ZD_AM3_2005!CA_cost_stop-HM_ZD_AM3_2005!CA_cost_recovered_total)</f>
        <v>0</v>
      </c>
      <c r="AW271" s="49">
        <f ca="1">IF(HM_ZD_AM3_2005!CA_cost_stop-HM_ZD_AM3_2005!CA_cost_recovered_total&lt;0,0,HM_ZD_AM3_2005!CA_cost_stop-HM_ZD_AM3_2005!CA_cost_recovered_total)</f>
        <v>0</v>
      </c>
      <c r="AX271" s="49">
        <f ca="1">IF(HM_ZD_AM3_2005!CA_cost_stop-HM_ZD_AM3_2005!CA_cost_recovered_total&lt;0,0,HM_ZD_AM3_2005!CA_cost_stop-HM_ZD_AM3_2005!CA_cost_recovered_total)</f>
        <v>0</v>
      </c>
      <c r="AY271" s="49">
        <f ca="1">IF(HM_ZD_AM3_2005!CA_cost_stop-HM_ZD_AM3_2005!CA_cost_recovered_total&lt;0,0,HM_ZD_AM3_2005!CA_cost_stop-HM_ZD_AM3_2005!CA_cost_recovered_total)</f>
        <v>0</v>
      </c>
      <c r="AZ271" s="49">
        <f ca="1">IF(HM_ZD_AM3_2005!CA_cost_stop-HM_ZD_AM3_2005!CA_cost_recovered_total&lt;0,0,HM_ZD_AM3_2005!CA_cost_stop-HM_ZD_AM3_2005!CA_cost_recovered_total)</f>
        <v>0</v>
      </c>
      <c r="BA271" s="49">
        <f ca="1">IF(HM_ZD_AM3_2005!CA_cost_stop-HM_ZD_AM3_2005!CA_cost_recovered_total&lt;0,0,HM_ZD_AM3_2005!CA_cost_stop-HM_ZD_AM3_2005!CA_cost_recovered_total)</f>
        <v>0</v>
      </c>
      <c r="BB271" s="49">
        <f ca="1">IF(HM_ZD_AM3_2005!CA_cost_stop-HM_ZD_AM3_2005!CA_cost_recovered_total&lt;0,0,HM_ZD_AM3_2005!CA_cost_stop-HM_ZD_AM3_2005!CA_cost_recovered_total)</f>
        <v>0</v>
      </c>
      <c r="BC271" s="49">
        <f ca="1">IF(HM_ZD_AM3_2005!CA_cost_stop-HM_ZD_AM3_2005!CA_cost_recovered_total&lt;0,0,HM_ZD_AM3_2005!CA_cost_stop-HM_ZD_AM3_2005!CA_cost_recovered_total)</f>
        <v>0</v>
      </c>
      <c r="BD271" s="49">
        <f ca="1">IF(HM_ZD_AM3_2005!CA_cost_stop-HM_ZD_AM3_2005!CA_cost_recovered_total&lt;0,0,HM_ZD_AM3_2005!CA_cost_stop-HM_ZD_AM3_2005!CA_cost_recovered_total)</f>
        <v>0</v>
      </c>
      <c r="BE271" s="49">
        <f ca="1">IF(HM_ZD_AM3_2005!CA_cost_stop-HM_ZD_AM3_2005!CA_cost_recovered_total&lt;0,0,HM_ZD_AM3_2005!CA_cost_stop-HM_ZD_AM3_2005!CA_cost_recovered_total)</f>
        <v>0</v>
      </c>
      <c r="BF271" s="49">
        <f ca="1">IF(HM_ZD_AM3_2005!CA_cost_stop-HM_ZD_AM3_2005!CA_cost_recovered_total&lt;0,0,HM_ZD_AM3_2005!CA_cost_stop-HM_ZD_AM3_2005!CA_cost_recovered_total)</f>
        <v>0</v>
      </c>
      <c r="BG271" s="49">
        <f ca="1">IF(HM_ZD_AM3_2005!CA_cost_stop-HM_ZD_AM3_2005!CA_cost_recovered_total&lt;0,0,HM_ZD_AM3_2005!CA_cost_stop-HM_ZD_AM3_2005!CA_cost_recovered_total)</f>
        <v>0</v>
      </c>
      <c r="BH271" s="49">
        <f ca="1">IF(HM_ZD_AM3_2005!CA_cost_stop-HM_ZD_AM3_2005!CA_cost_recovered_total&lt;0,0,HM_ZD_AM3_2005!CA_cost_stop-HM_ZD_AM3_2005!CA_cost_recovered_total)</f>
        <v>0</v>
      </c>
      <c r="BI271" s="49">
        <f ca="1">IF(HM_ZD_AM3_2005!CA_cost_stop-HM_ZD_AM3_2005!CA_cost_recovered_total&lt;0,0,HM_ZD_AM3_2005!CA_cost_stop-HM_ZD_AM3_2005!CA_cost_recovered_total)</f>
        <v>0</v>
      </c>
      <c r="BJ271" s="49">
        <f ca="1">IF(HM_ZD_AM3_2005!CA_cost_stop-HM_ZD_AM3_2005!CA_cost_recovered_total&lt;0,0,HM_ZD_AM3_2005!CA_cost_stop-HM_ZD_AM3_2005!CA_cost_recovered_total)</f>
        <v>0</v>
      </c>
      <c r="BK271" s="49">
        <f ca="1">IF(HM_ZD_AM3_2005!CA_cost_stop-HM_ZD_AM3_2005!CA_cost_recovered_total&lt;0,0,HM_ZD_AM3_2005!CA_cost_stop-HM_ZD_AM3_2005!CA_cost_recovered_total)</f>
        <v>0</v>
      </c>
      <c r="BL271" s="49">
        <f ca="1">IF(HM_ZD_AM3_2005!CA_cost_stop-HM_ZD_AM3_2005!CA_cost_recovered_total&lt;0,0,HM_ZD_AM3_2005!CA_cost_stop-HM_ZD_AM3_2005!CA_cost_recovered_total)</f>
        <v>0</v>
      </c>
      <c r="BM271" s="49">
        <f ca="1">IF(HM_ZD_AM3_2005!CA_cost_stop-HM_ZD_AM3_2005!CA_cost_recovered_total&lt;0,0,HM_ZD_AM3_2005!CA_cost_stop-HM_ZD_AM3_2005!CA_cost_recovered_total)</f>
        <v>0</v>
      </c>
      <c r="BN271" s="49">
        <f ca="1">IF(HM_ZD_AM3_2005!CA_cost_stop-HM_ZD_AM3_2005!CA_cost_recovered_total&lt;0,0,HM_ZD_AM3_2005!CA_cost_stop-HM_ZD_AM3_2005!CA_cost_recovered_total)</f>
        <v>0</v>
      </c>
      <c r="BO271" s="49">
        <f ca="1">IF(HM_ZD_AM3_2005!CA_cost_stop-HM_ZD_AM3_2005!CA_cost_recovered_total&lt;0,0,HM_ZD_AM3_2005!CA_cost_stop-HM_ZD_AM3_2005!CA_cost_recovered_total)</f>
        <v>0</v>
      </c>
      <c r="BP271" s="49">
        <f ca="1">IF(HM_ZD_AM3_2005!CA_cost_stop-HM_ZD_AM3_2005!CA_cost_recovered_total&lt;0,0,HM_ZD_AM3_2005!CA_cost_stop-HM_ZD_AM3_2005!CA_cost_recovered_total)</f>
        <v>0</v>
      </c>
      <c r="BQ271" s="49">
        <f ca="1">IF(HM_ZD_AM3_2005!CA_cost_stop-HM_ZD_AM3_2005!CA_cost_recovered_total&lt;0,0,HM_ZD_AM3_2005!CA_cost_stop-HM_ZD_AM3_2005!CA_cost_recovered_total)</f>
        <v>0</v>
      </c>
      <c r="BR271" s="49">
        <f ca="1">IF(HM_ZD_AM3_2005!CA_cost_stop-HM_ZD_AM3_2005!CA_cost_recovered_total&lt;0,0,HM_ZD_AM3_2005!CA_cost_stop-HM_ZD_AM3_2005!CA_cost_recovered_total)</f>
        <v>0</v>
      </c>
      <c r="BS271" s="49">
        <f ca="1">IF(HM_ZD_AM3_2005!CA_cost_stop-HM_ZD_AM3_2005!CA_cost_recovered_total&lt;0,0,HM_ZD_AM3_2005!CA_cost_stop-HM_ZD_AM3_2005!CA_cost_recovered_total)</f>
        <v>0</v>
      </c>
    </row>
    <row r="272" spans="3:71" outlineLevel="1" x14ac:dyDescent="0.2">
      <c r="J272" s="26"/>
      <c r="L272" s="55"/>
      <c r="M272" s="55"/>
      <c r="N272" s="55"/>
      <c r="O272" s="55"/>
      <c r="P272" s="55"/>
      <c r="Q272" s="55"/>
      <c r="R272" s="55"/>
      <c r="S272" s="55"/>
      <c r="T272" s="55"/>
      <c r="U272" s="55"/>
      <c r="V272" s="55"/>
      <c r="W272" s="55"/>
      <c r="X272" s="55"/>
      <c r="Y272" s="55"/>
      <c r="Z272" s="55"/>
      <c r="AA272" s="55"/>
      <c r="AB272" s="55"/>
      <c r="AC272" s="55"/>
      <c r="AD272" s="55"/>
      <c r="AE272" s="55"/>
      <c r="AF272" s="55"/>
      <c r="AG272" s="55"/>
      <c r="AH272" s="55"/>
      <c r="AI272" s="55"/>
      <c r="AJ272" s="55"/>
      <c r="AK272" s="55"/>
      <c r="AL272" s="55"/>
      <c r="AM272" s="55"/>
      <c r="AN272" s="55"/>
      <c r="AO272" s="55"/>
      <c r="AP272" s="55"/>
      <c r="AQ272" s="55"/>
      <c r="AR272" s="55"/>
      <c r="AS272" s="55"/>
      <c r="AT272" s="55"/>
      <c r="AU272" s="55"/>
      <c r="AV272" s="55"/>
      <c r="AW272" s="55"/>
      <c r="AX272" s="55"/>
      <c r="AY272" s="55"/>
      <c r="AZ272" s="55"/>
      <c r="BA272" s="55"/>
      <c r="BB272" s="55"/>
      <c r="BC272" s="55"/>
      <c r="BD272" s="55"/>
      <c r="BE272" s="55"/>
      <c r="BF272" s="55"/>
      <c r="BG272" s="55"/>
      <c r="BH272" s="55"/>
      <c r="BI272" s="55"/>
      <c r="BJ272" s="55"/>
      <c r="BK272" s="55"/>
      <c r="BL272" s="55"/>
      <c r="BM272" s="55"/>
      <c r="BN272" s="55"/>
      <c r="BO272" s="55"/>
      <c r="BP272" s="55"/>
      <c r="BQ272" s="55"/>
      <c r="BR272" s="55"/>
      <c r="BS272" s="55"/>
    </row>
    <row r="273" spans="3:71" outlineLevel="1" x14ac:dyDescent="0.2">
      <c r="D273" t="str">
        <f>CHOOSE(db_ML_selected,"Development Cost Trigger - " &amp; IFERROR(ECR_Dev_cost_perc*100,"na") &amp;"%",LEFT('Liste Traduction'!C436,LEN('Liste Traduction'!C436)-5)&amp; IFERROR(ECR_Dev_cost_perc*100,"na") &amp;"%")</f>
        <v>Déclencheur des coûts de développement -na%</v>
      </c>
      <c r="J273" s="26"/>
      <c r="L273" s="49">
        <f ca="1">1*(-SUM($K252:L252)/$I$251&gt;= ECR_Dev_cost_perc)*(ISNUMBER(ECR_Dev_cost_perc))</f>
        <v>0</v>
      </c>
      <c r="M273" s="49">
        <f ca="1">1*(-SUM($K252:M252)/$I$251&gt;= ECR_Dev_cost_perc)*(ISNUMBER(ECR_Dev_cost_perc))</f>
        <v>0</v>
      </c>
      <c r="N273" s="49">
        <f ca="1">1*(-SUM($K252:N252)/$I$251&gt;= ECR_Dev_cost_perc)*(ISNUMBER(ECR_Dev_cost_perc))</f>
        <v>0</v>
      </c>
      <c r="O273" s="49">
        <f ca="1">1*(-SUM($K252:O252)/$I$251&gt;= ECR_Dev_cost_perc)*(ISNUMBER(ECR_Dev_cost_perc))</f>
        <v>0</v>
      </c>
      <c r="P273" s="49">
        <f ca="1">1*(-SUM($K252:P252)/$I$251&gt;= ECR_Dev_cost_perc)*(ISNUMBER(ECR_Dev_cost_perc))</f>
        <v>0</v>
      </c>
      <c r="Q273" s="49">
        <f ca="1">1*(-SUM($K252:Q252)/$I$251&gt;= ECR_Dev_cost_perc)*(ISNUMBER(ECR_Dev_cost_perc))</f>
        <v>0</v>
      </c>
      <c r="R273" s="49">
        <f ca="1">1*(-SUM($K252:R252)/$I$251&gt;= ECR_Dev_cost_perc)*(ISNUMBER(ECR_Dev_cost_perc))</f>
        <v>0</v>
      </c>
      <c r="S273" s="49">
        <f ca="1">1*(-SUM($K252:S252)/$I$251&gt;= ECR_Dev_cost_perc)*(ISNUMBER(ECR_Dev_cost_perc))</f>
        <v>0</v>
      </c>
      <c r="T273" s="49">
        <f ca="1">1*(-SUM($K252:T252)/$I$251&gt;= ECR_Dev_cost_perc)*(ISNUMBER(ECR_Dev_cost_perc))</f>
        <v>0</v>
      </c>
      <c r="U273" s="49">
        <f ca="1">1*(-SUM($K252:U252)/$I$251&gt;= ECR_Dev_cost_perc)*(ISNUMBER(ECR_Dev_cost_perc))</f>
        <v>0</v>
      </c>
      <c r="V273" s="49">
        <f ca="1">1*(-SUM($K252:V252)/$I$251&gt;= ECR_Dev_cost_perc)*(ISNUMBER(ECR_Dev_cost_perc))</f>
        <v>0</v>
      </c>
      <c r="W273" s="49">
        <f ca="1">1*(-SUM($K252:W252)/$I$251&gt;= ECR_Dev_cost_perc)*(ISNUMBER(ECR_Dev_cost_perc))</f>
        <v>0</v>
      </c>
      <c r="X273" s="49">
        <f ca="1">1*(-SUM($K252:X252)/$I$251&gt;= ECR_Dev_cost_perc)*(ISNUMBER(ECR_Dev_cost_perc))</f>
        <v>0</v>
      </c>
      <c r="Y273" s="49">
        <f ca="1">1*(-SUM($K252:Y252)/$I$251&gt;= ECR_Dev_cost_perc)*(ISNUMBER(ECR_Dev_cost_perc))</f>
        <v>0</v>
      </c>
      <c r="Z273" s="49">
        <f ca="1">1*(-SUM($K252:Z252)/$I$251&gt;= ECR_Dev_cost_perc)*(ISNUMBER(ECR_Dev_cost_perc))</f>
        <v>0</v>
      </c>
      <c r="AA273" s="49">
        <f ca="1">1*(-SUM($K252:AA252)/$I$251&gt;= ECR_Dev_cost_perc)*(ISNUMBER(ECR_Dev_cost_perc))</f>
        <v>0</v>
      </c>
      <c r="AB273" s="49">
        <f ca="1">1*(-SUM($K252:AB252)/$I$251&gt;= ECR_Dev_cost_perc)*(ISNUMBER(ECR_Dev_cost_perc))</f>
        <v>0</v>
      </c>
      <c r="AC273" s="49">
        <f ca="1">1*(-SUM($K252:AC252)/$I$251&gt;= ECR_Dev_cost_perc)*(ISNUMBER(ECR_Dev_cost_perc))</f>
        <v>0</v>
      </c>
      <c r="AD273" s="49">
        <f ca="1">1*(-SUM($K252:AD252)/$I$251&gt;= ECR_Dev_cost_perc)*(ISNUMBER(ECR_Dev_cost_perc))</f>
        <v>0</v>
      </c>
      <c r="AE273" s="49">
        <f ca="1">1*(-SUM($K252:AE252)/$I$251&gt;= ECR_Dev_cost_perc)*(ISNUMBER(ECR_Dev_cost_perc))</f>
        <v>0</v>
      </c>
      <c r="AF273" s="49">
        <f ca="1">1*(-SUM($K252:AF252)/$I$251&gt;= ECR_Dev_cost_perc)*(ISNUMBER(ECR_Dev_cost_perc))</f>
        <v>0</v>
      </c>
      <c r="AG273" s="49">
        <f ca="1">1*(-SUM($K252:AG252)/$I$251&gt;= ECR_Dev_cost_perc)*(ISNUMBER(ECR_Dev_cost_perc))</f>
        <v>0</v>
      </c>
      <c r="AH273" s="49">
        <f ca="1">1*(-SUM($K252:AH252)/$I$251&gt;= ECR_Dev_cost_perc)*(ISNUMBER(ECR_Dev_cost_perc))</f>
        <v>0</v>
      </c>
      <c r="AI273" s="49">
        <f ca="1">1*(-SUM($K252:AI252)/$I$251&gt;= ECR_Dev_cost_perc)*(ISNUMBER(ECR_Dev_cost_perc))</f>
        <v>0</v>
      </c>
      <c r="AJ273" s="49">
        <f ca="1">1*(-SUM($K252:AJ252)/$I$251&gt;= ECR_Dev_cost_perc)*(ISNUMBER(ECR_Dev_cost_perc))</f>
        <v>0</v>
      </c>
      <c r="AK273" s="49">
        <f ca="1">1*(-SUM($K252:AK252)/$I$251&gt;= ECR_Dev_cost_perc)*(ISNUMBER(ECR_Dev_cost_perc))</f>
        <v>0</v>
      </c>
      <c r="AL273" s="49">
        <f ca="1">1*(-SUM($K252:AL252)/$I$251&gt;= ECR_Dev_cost_perc)*(ISNUMBER(ECR_Dev_cost_perc))</f>
        <v>0</v>
      </c>
      <c r="AM273" s="49">
        <f ca="1">1*(-SUM($K252:AM252)/$I$251&gt;= ECR_Dev_cost_perc)*(ISNUMBER(ECR_Dev_cost_perc))</f>
        <v>0</v>
      </c>
      <c r="AN273" s="49">
        <f ca="1">1*(-SUM($K252:AN252)/$I$251&gt;= ECR_Dev_cost_perc)*(ISNUMBER(ECR_Dev_cost_perc))</f>
        <v>0</v>
      </c>
      <c r="AO273" s="49">
        <f ca="1">1*(-SUM($K252:AO252)/$I$251&gt;= ECR_Dev_cost_perc)*(ISNUMBER(ECR_Dev_cost_perc))</f>
        <v>0</v>
      </c>
      <c r="AP273" s="49">
        <f ca="1">1*(-SUM($K252:AP252)/$I$251&gt;= ECR_Dev_cost_perc)*(ISNUMBER(ECR_Dev_cost_perc))</f>
        <v>0</v>
      </c>
      <c r="AQ273" s="49">
        <f ca="1">1*(-SUM($K252:AQ252)/$I$251&gt;= ECR_Dev_cost_perc)*(ISNUMBER(ECR_Dev_cost_perc))</f>
        <v>0</v>
      </c>
      <c r="AR273" s="49">
        <f ca="1">1*(-SUM($K252:AR252)/$I$251&gt;= ECR_Dev_cost_perc)*(ISNUMBER(ECR_Dev_cost_perc))</f>
        <v>0</v>
      </c>
      <c r="AS273" s="49">
        <f ca="1">1*(-SUM($K252:AS252)/$I$251&gt;= ECR_Dev_cost_perc)*(ISNUMBER(ECR_Dev_cost_perc))</f>
        <v>0</v>
      </c>
      <c r="AT273" s="49">
        <f ca="1">1*(-SUM($K252:AT252)/$I$251&gt;= ECR_Dev_cost_perc)*(ISNUMBER(ECR_Dev_cost_perc))</f>
        <v>0</v>
      </c>
      <c r="AU273" s="49">
        <f ca="1">1*(-SUM($K252:AU252)/$I$251&gt;= ECR_Dev_cost_perc)*(ISNUMBER(ECR_Dev_cost_perc))</f>
        <v>0</v>
      </c>
      <c r="AV273" s="49">
        <f ca="1">1*(-SUM($K252:AV252)/$I$251&gt;= ECR_Dev_cost_perc)*(ISNUMBER(ECR_Dev_cost_perc))</f>
        <v>0</v>
      </c>
      <c r="AW273" s="49">
        <f ca="1">1*(-SUM($K252:AW252)/$I$251&gt;= ECR_Dev_cost_perc)*(ISNUMBER(ECR_Dev_cost_perc))</f>
        <v>0</v>
      </c>
      <c r="AX273" s="49">
        <f ca="1">1*(-SUM($K252:AX252)/$I$251&gt;= ECR_Dev_cost_perc)*(ISNUMBER(ECR_Dev_cost_perc))</f>
        <v>0</v>
      </c>
      <c r="AY273" s="49">
        <f ca="1">1*(-SUM($K252:AY252)/$I$251&gt;= ECR_Dev_cost_perc)*(ISNUMBER(ECR_Dev_cost_perc))</f>
        <v>0</v>
      </c>
      <c r="AZ273" s="49">
        <f ca="1">1*(-SUM($K252:AZ252)/$I$251&gt;= ECR_Dev_cost_perc)*(ISNUMBER(ECR_Dev_cost_perc))</f>
        <v>0</v>
      </c>
      <c r="BA273" s="49">
        <f ca="1">1*(-SUM($K252:BA252)/$I$251&gt;= ECR_Dev_cost_perc)*(ISNUMBER(ECR_Dev_cost_perc))</f>
        <v>0</v>
      </c>
      <c r="BB273" s="49">
        <f ca="1">1*(-SUM($K252:BB252)/$I$251&gt;= ECR_Dev_cost_perc)*(ISNUMBER(ECR_Dev_cost_perc))</f>
        <v>0</v>
      </c>
      <c r="BC273" s="49">
        <f ca="1">1*(-SUM($K252:BC252)/$I$251&gt;= ECR_Dev_cost_perc)*(ISNUMBER(ECR_Dev_cost_perc))</f>
        <v>0</v>
      </c>
      <c r="BD273" s="49">
        <f ca="1">1*(-SUM($K252:BD252)/$I$251&gt;= ECR_Dev_cost_perc)*(ISNUMBER(ECR_Dev_cost_perc))</f>
        <v>0</v>
      </c>
      <c r="BE273" s="49">
        <f ca="1">1*(-SUM($K252:BE252)/$I$251&gt;= ECR_Dev_cost_perc)*(ISNUMBER(ECR_Dev_cost_perc))</f>
        <v>0</v>
      </c>
      <c r="BF273" s="49">
        <f ca="1">1*(-SUM($K252:BF252)/$I$251&gt;= ECR_Dev_cost_perc)*(ISNUMBER(ECR_Dev_cost_perc))</f>
        <v>0</v>
      </c>
      <c r="BG273" s="49">
        <f ca="1">1*(-SUM($K252:BG252)/$I$251&gt;= ECR_Dev_cost_perc)*(ISNUMBER(ECR_Dev_cost_perc))</f>
        <v>0</v>
      </c>
      <c r="BH273" s="49">
        <f ca="1">1*(-SUM($K252:BH252)/$I$251&gt;= ECR_Dev_cost_perc)*(ISNUMBER(ECR_Dev_cost_perc))</f>
        <v>0</v>
      </c>
      <c r="BI273" s="49">
        <f ca="1">1*(-SUM($K252:BI252)/$I$251&gt;= ECR_Dev_cost_perc)*(ISNUMBER(ECR_Dev_cost_perc))</f>
        <v>0</v>
      </c>
      <c r="BJ273" s="49">
        <f ca="1">1*(-SUM($K252:BJ252)/$I$251&gt;= ECR_Dev_cost_perc)*(ISNUMBER(ECR_Dev_cost_perc))</f>
        <v>0</v>
      </c>
      <c r="BK273" s="49">
        <f ca="1">1*(-SUM($K252:BK252)/$I$251&gt;= ECR_Dev_cost_perc)*(ISNUMBER(ECR_Dev_cost_perc))</f>
        <v>0</v>
      </c>
      <c r="BL273" s="49">
        <f ca="1">1*(-SUM($K252:BL252)/$I$251&gt;= ECR_Dev_cost_perc)*(ISNUMBER(ECR_Dev_cost_perc))</f>
        <v>0</v>
      </c>
      <c r="BM273" s="49">
        <f ca="1">1*(-SUM($K252:BM252)/$I$251&gt;= ECR_Dev_cost_perc)*(ISNUMBER(ECR_Dev_cost_perc))</f>
        <v>0</v>
      </c>
      <c r="BN273" s="49">
        <f ca="1">1*(-SUM($K252:BN252)/$I$251&gt;= ECR_Dev_cost_perc)*(ISNUMBER(ECR_Dev_cost_perc))</f>
        <v>0</v>
      </c>
      <c r="BO273" s="49">
        <f ca="1">1*(-SUM($K252:BO252)/$I$251&gt;= ECR_Dev_cost_perc)*(ISNUMBER(ECR_Dev_cost_perc))</f>
        <v>0</v>
      </c>
      <c r="BP273" s="49">
        <f ca="1">1*(-SUM($K252:BP252)/$I$251&gt;= ECR_Dev_cost_perc)*(ISNUMBER(ECR_Dev_cost_perc))</f>
        <v>0</v>
      </c>
      <c r="BQ273" s="49">
        <f ca="1">1*(-SUM($K252:BQ252)/$I$251&gt;= ECR_Dev_cost_perc)*(ISNUMBER(ECR_Dev_cost_perc))</f>
        <v>0</v>
      </c>
      <c r="BR273" s="49">
        <f ca="1">1*(-SUM($K252:BR252)/$I$251&gt;= ECR_Dev_cost_perc)*(ISNUMBER(ECR_Dev_cost_perc))</f>
        <v>0</v>
      </c>
      <c r="BS273" s="49">
        <f ca="1">1*(-SUM($K252:BS252)/$I$251&gt;= ECR_Dev_cost_perc)*(ISNUMBER(ECR_Dev_cost_perc))</f>
        <v>0</v>
      </c>
    </row>
    <row r="274" spans="3:71" outlineLevel="1" x14ac:dyDescent="0.2">
      <c r="J274" s="26"/>
      <c r="L274" s="55"/>
      <c r="M274" s="55"/>
      <c r="N274" s="55"/>
      <c r="O274" s="55"/>
      <c r="P274" s="55"/>
      <c r="Q274" s="55"/>
      <c r="R274" s="55"/>
      <c r="S274" s="55"/>
      <c r="T274" s="55"/>
      <c r="U274" s="55"/>
      <c r="V274" s="55"/>
      <c r="W274" s="55"/>
      <c r="X274" s="55"/>
      <c r="Y274" s="55"/>
      <c r="Z274" s="55"/>
      <c r="AA274" s="55"/>
      <c r="AB274" s="55"/>
      <c r="AC274" s="55"/>
      <c r="AD274" s="55"/>
      <c r="AE274" s="55"/>
      <c r="AF274" s="55"/>
      <c r="AG274" s="55"/>
      <c r="AH274" s="55"/>
      <c r="AI274" s="55"/>
      <c r="AJ274" s="55"/>
      <c r="AK274" s="55"/>
      <c r="AL274" s="55"/>
      <c r="AM274" s="55"/>
      <c r="AN274" s="55"/>
      <c r="AO274" s="55"/>
      <c r="AP274" s="55"/>
      <c r="AQ274" s="55"/>
      <c r="AR274" s="55"/>
      <c r="AS274" s="55"/>
      <c r="AT274" s="55"/>
      <c r="AU274" s="55"/>
      <c r="AV274" s="55"/>
      <c r="AW274" s="55"/>
      <c r="AX274" s="55"/>
      <c r="AY274" s="55"/>
      <c r="AZ274" s="55"/>
      <c r="BA274" s="55"/>
      <c r="BB274" s="55"/>
      <c r="BC274" s="55"/>
      <c r="BD274" s="55"/>
      <c r="BE274" s="55"/>
      <c r="BF274" s="55"/>
      <c r="BG274" s="55"/>
      <c r="BH274" s="55"/>
      <c r="BI274" s="55"/>
      <c r="BJ274" s="55"/>
      <c r="BK274" s="55"/>
      <c r="BL274" s="55"/>
      <c r="BM274" s="55"/>
      <c r="BN274" s="55"/>
      <c r="BO274" s="55"/>
      <c r="BP274" s="55"/>
      <c r="BQ274" s="55"/>
      <c r="BR274" s="55"/>
      <c r="BS274" s="55"/>
    </row>
    <row r="275" spans="3:71" outlineLevel="1" x14ac:dyDescent="0.2">
      <c r="D275" t="str">
        <f>HM_ZB_Nsoko!D283</f>
        <v>Excess Cost Oil Contracteur %</v>
      </c>
      <c r="J275" s="26" t="s">
        <v>90</v>
      </c>
      <c r="L275" s="53">
        <f ca="1">IF(ISNUMBER(ECR_Dev_cost_perc),IF(AND(HM_ZD_AM3_2005!CA_cum_gross_prod_oil&lt;=INDEX(HM_ZD_AM3_2005!FA_ECR_cumprod_oil,1),L273&lt;&gt;1),
INDEX(HM_ZD_AM3_2005!FA_ECR_cont_rate,1),INDEX(HM_ZD_AM3_2005!FA_ECR_cont_rate,2)),
INDEX(HM_ZD_AM3_2005!FA_ECR_cont_rate,MATCH(HM_ZD_AM3_2005!CA_cum_gross_prod_oil,HM_ZD_AM3_2005!FA_ECR_cumprod_oil,1)))</f>
        <v>0.6</v>
      </c>
      <c r="M275" s="53">
        <f ca="1">IF(ISNUMBER(ECR_Dev_cost_perc),IF(AND(HM_ZD_AM3_2005!CA_cum_gross_prod_oil&lt;=INDEX(HM_ZD_AM3_2005!FA_ECR_cumprod_oil,1),M273&lt;&gt;1),
INDEX(HM_ZD_AM3_2005!FA_ECR_cont_rate,1),INDEX(HM_ZD_AM3_2005!FA_ECR_cont_rate,2)),
INDEX(HM_ZD_AM3_2005!FA_ECR_cont_rate,MATCH(HM_ZD_AM3_2005!CA_cum_gross_prod_oil,HM_ZD_AM3_2005!FA_ECR_cumprod_oil,1)))</f>
        <v>0.6</v>
      </c>
      <c r="N275" s="53">
        <f ca="1">IF(ISNUMBER(ECR_Dev_cost_perc),IF(AND(HM_ZD_AM3_2005!CA_cum_gross_prod_oil&lt;=INDEX(HM_ZD_AM3_2005!FA_ECR_cumprod_oil,1),N273&lt;&gt;1),
INDEX(HM_ZD_AM3_2005!FA_ECR_cont_rate,1),INDEX(HM_ZD_AM3_2005!FA_ECR_cont_rate,2)),
INDEX(HM_ZD_AM3_2005!FA_ECR_cont_rate,MATCH(HM_ZD_AM3_2005!CA_cum_gross_prod_oil,HM_ZD_AM3_2005!FA_ECR_cumprod_oil,1)))</f>
        <v>0.6</v>
      </c>
      <c r="O275" s="53">
        <f ca="1">IF(ISNUMBER(ECR_Dev_cost_perc),IF(AND(HM_ZD_AM3_2005!CA_cum_gross_prod_oil&lt;=INDEX(HM_ZD_AM3_2005!FA_ECR_cumprod_oil,1),O273&lt;&gt;1),
INDEX(HM_ZD_AM3_2005!FA_ECR_cont_rate,1),INDEX(HM_ZD_AM3_2005!FA_ECR_cont_rate,2)),
INDEX(HM_ZD_AM3_2005!FA_ECR_cont_rate,MATCH(HM_ZD_AM3_2005!CA_cum_gross_prod_oil,HM_ZD_AM3_2005!FA_ECR_cumprod_oil,1)))</f>
        <v>0.6</v>
      </c>
      <c r="P275" s="53">
        <f ca="1">IF(ISNUMBER(ECR_Dev_cost_perc),IF(AND(HM_ZD_AM3_2005!CA_cum_gross_prod_oil&lt;=INDEX(HM_ZD_AM3_2005!FA_ECR_cumprod_oil,1),P273&lt;&gt;1),
INDEX(HM_ZD_AM3_2005!FA_ECR_cont_rate,1),INDEX(HM_ZD_AM3_2005!FA_ECR_cont_rate,2)),
INDEX(HM_ZD_AM3_2005!FA_ECR_cont_rate,MATCH(HM_ZD_AM3_2005!CA_cum_gross_prod_oil,HM_ZD_AM3_2005!FA_ECR_cumprod_oil,1)))</f>
        <v>0.6</v>
      </c>
      <c r="Q275" s="53">
        <f ca="1">IF(ISNUMBER(ECR_Dev_cost_perc),IF(AND(HM_ZD_AM3_2005!CA_cum_gross_prod_oil&lt;=INDEX(HM_ZD_AM3_2005!FA_ECR_cumprod_oil,1),Q273&lt;&gt;1),
INDEX(HM_ZD_AM3_2005!FA_ECR_cont_rate,1),INDEX(HM_ZD_AM3_2005!FA_ECR_cont_rate,2)),
INDEX(HM_ZD_AM3_2005!FA_ECR_cont_rate,MATCH(HM_ZD_AM3_2005!CA_cum_gross_prod_oil,HM_ZD_AM3_2005!FA_ECR_cumprod_oil,1)))</f>
        <v>0.6</v>
      </c>
      <c r="R275" s="53">
        <f ca="1">IF(ISNUMBER(ECR_Dev_cost_perc),IF(AND(HM_ZD_AM3_2005!CA_cum_gross_prod_oil&lt;=INDEX(HM_ZD_AM3_2005!FA_ECR_cumprod_oil,1),R273&lt;&gt;1),
INDEX(HM_ZD_AM3_2005!FA_ECR_cont_rate,1),INDEX(HM_ZD_AM3_2005!FA_ECR_cont_rate,2)),
INDEX(HM_ZD_AM3_2005!FA_ECR_cont_rate,MATCH(HM_ZD_AM3_2005!CA_cum_gross_prod_oil,HM_ZD_AM3_2005!FA_ECR_cumprod_oil,1)))</f>
        <v>0.6</v>
      </c>
      <c r="S275" s="53">
        <f ca="1">IF(ISNUMBER(ECR_Dev_cost_perc),IF(AND(HM_ZD_AM3_2005!CA_cum_gross_prod_oil&lt;=INDEX(HM_ZD_AM3_2005!FA_ECR_cumprod_oil,1),S273&lt;&gt;1),
INDEX(HM_ZD_AM3_2005!FA_ECR_cont_rate,1),INDEX(HM_ZD_AM3_2005!FA_ECR_cont_rate,2)),
INDEX(HM_ZD_AM3_2005!FA_ECR_cont_rate,MATCH(HM_ZD_AM3_2005!CA_cum_gross_prod_oil,HM_ZD_AM3_2005!FA_ECR_cumprod_oil,1)))</f>
        <v>0.6</v>
      </c>
      <c r="T275" s="53">
        <f ca="1">IF(ISNUMBER(ECR_Dev_cost_perc),IF(AND(HM_ZD_AM3_2005!CA_cum_gross_prod_oil&lt;=INDEX(HM_ZD_AM3_2005!FA_ECR_cumprod_oil,1),T273&lt;&gt;1),
INDEX(HM_ZD_AM3_2005!FA_ECR_cont_rate,1),INDEX(HM_ZD_AM3_2005!FA_ECR_cont_rate,2)),
INDEX(HM_ZD_AM3_2005!FA_ECR_cont_rate,MATCH(HM_ZD_AM3_2005!CA_cum_gross_prod_oil,HM_ZD_AM3_2005!FA_ECR_cumprod_oil,1)))</f>
        <v>0.6</v>
      </c>
      <c r="U275" s="53">
        <f ca="1">IF(ISNUMBER(ECR_Dev_cost_perc),IF(AND(HM_ZD_AM3_2005!CA_cum_gross_prod_oil&lt;=INDEX(HM_ZD_AM3_2005!FA_ECR_cumprod_oil,1),U273&lt;&gt;1),
INDEX(HM_ZD_AM3_2005!FA_ECR_cont_rate,1),INDEX(HM_ZD_AM3_2005!FA_ECR_cont_rate,2)),
INDEX(HM_ZD_AM3_2005!FA_ECR_cont_rate,MATCH(HM_ZD_AM3_2005!CA_cum_gross_prod_oil,HM_ZD_AM3_2005!FA_ECR_cumprod_oil,1)))</f>
        <v>0.6</v>
      </c>
      <c r="V275" s="53">
        <f ca="1">IF(ISNUMBER(ECR_Dev_cost_perc),IF(AND(HM_ZD_AM3_2005!CA_cum_gross_prod_oil&lt;=INDEX(HM_ZD_AM3_2005!FA_ECR_cumprod_oil,1),V273&lt;&gt;1),
INDEX(HM_ZD_AM3_2005!FA_ECR_cont_rate,1),INDEX(HM_ZD_AM3_2005!FA_ECR_cont_rate,2)),
INDEX(HM_ZD_AM3_2005!FA_ECR_cont_rate,MATCH(HM_ZD_AM3_2005!CA_cum_gross_prod_oil,HM_ZD_AM3_2005!FA_ECR_cumprod_oil,1)))</f>
        <v>0.6</v>
      </c>
      <c r="W275" s="53">
        <f ca="1">IF(ISNUMBER(ECR_Dev_cost_perc),IF(AND(HM_ZD_AM3_2005!CA_cum_gross_prod_oil&lt;=INDEX(HM_ZD_AM3_2005!FA_ECR_cumprod_oil,1),W273&lt;&gt;1),
INDEX(HM_ZD_AM3_2005!FA_ECR_cont_rate,1),INDEX(HM_ZD_AM3_2005!FA_ECR_cont_rate,2)),
INDEX(HM_ZD_AM3_2005!FA_ECR_cont_rate,MATCH(HM_ZD_AM3_2005!CA_cum_gross_prod_oil,HM_ZD_AM3_2005!FA_ECR_cumprod_oil,1)))</f>
        <v>0.6</v>
      </c>
      <c r="X275" s="53">
        <f ca="1">IF(ISNUMBER(ECR_Dev_cost_perc),IF(AND(HM_ZD_AM3_2005!CA_cum_gross_prod_oil&lt;=INDEX(HM_ZD_AM3_2005!FA_ECR_cumprod_oil,1),X273&lt;&gt;1),
INDEX(HM_ZD_AM3_2005!FA_ECR_cont_rate,1),INDEX(HM_ZD_AM3_2005!FA_ECR_cont_rate,2)),
INDEX(HM_ZD_AM3_2005!FA_ECR_cont_rate,MATCH(HM_ZD_AM3_2005!CA_cum_gross_prod_oil,HM_ZD_AM3_2005!FA_ECR_cumprod_oil,1)))</f>
        <v>0.6</v>
      </c>
      <c r="Y275" s="53">
        <f ca="1">IF(ISNUMBER(ECR_Dev_cost_perc),IF(AND(HM_ZD_AM3_2005!CA_cum_gross_prod_oil&lt;=INDEX(HM_ZD_AM3_2005!FA_ECR_cumprod_oil,1),Y273&lt;&gt;1),
INDEX(HM_ZD_AM3_2005!FA_ECR_cont_rate,1),INDEX(HM_ZD_AM3_2005!FA_ECR_cont_rate,2)),
INDEX(HM_ZD_AM3_2005!FA_ECR_cont_rate,MATCH(HM_ZD_AM3_2005!CA_cum_gross_prod_oil,HM_ZD_AM3_2005!FA_ECR_cumprod_oil,1)))</f>
        <v>0.6</v>
      </c>
      <c r="Z275" s="53">
        <f ca="1">IF(ISNUMBER(ECR_Dev_cost_perc),IF(AND(HM_ZD_AM3_2005!CA_cum_gross_prod_oil&lt;=INDEX(HM_ZD_AM3_2005!FA_ECR_cumprod_oil,1),Z273&lt;&gt;1),
INDEX(HM_ZD_AM3_2005!FA_ECR_cont_rate,1),INDEX(HM_ZD_AM3_2005!FA_ECR_cont_rate,2)),
INDEX(HM_ZD_AM3_2005!FA_ECR_cont_rate,MATCH(HM_ZD_AM3_2005!CA_cum_gross_prod_oil,HM_ZD_AM3_2005!FA_ECR_cumprod_oil,1)))</f>
        <v>0.6</v>
      </c>
      <c r="AA275" s="53">
        <f ca="1">IF(ISNUMBER(ECR_Dev_cost_perc),IF(AND(HM_ZD_AM3_2005!CA_cum_gross_prod_oil&lt;=INDEX(HM_ZD_AM3_2005!FA_ECR_cumprod_oil,1),AA273&lt;&gt;1),
INDEX(HM_ZD_AM3_2005!FA_ECR_cont_rate,1),INDEX(HM_ZD_AM3_2005!FA_ECR_cont_rate,2)),
INDEX(HM_ZD_AM3_2005!FA_ECR_cont_rate,MATCH(HM_ZD_AM3_2005!CA_cum_gross_prod_oil,HM_ZD_AM3_2005!FA_ECR_cumprod_oil,1)))</f>
        <v>0.6</v>
      </c>
      <c r="AB275" s="53">
        <f ca="1">IF(ISNUMBER(ECR_Dev_cost_perc),IF(AND(HM_ZD_AM3_2005!CA_cum_gross_prod_oil&lt;=INDEX(HM_ZD_AM3_2005!FA_ECR_cumprod_oil,1),AB273&lt;&gt;1),
INDEX(HM_ZD_AM3_2005!FA_ECR_cont_rate,1),INDEX(HM_ZD_AM3_2005!FA_ECR_cont_rate,2)),
INDEX(HM_ZD_AM3_2005!FA_ECR_cont_rate,MATCH(HM_ZD_AM3_2005!CA_cum_gross_prod_oil,HM_ZD_AM3_2005!FA_ECR_cumprod_oil,1)))</f>
        <v>0.6</v>
      </c>
      <c r="AC275" s="53">
        <f ca="1">IF(ISNUMBER(ECR_Dev_cost_perc),IF(AND(HM_ZD_AM3_2005!CA_cum_gross_prod_oil&lt;=INDEX(HM_ZD_AM3_2005!FA_ECR_cumprod_oil,1),AC273&lt;&gt;1),
INDEX(HM_ZD_AM3_2005!FA_ECR_cont_rate,1),INDEX(HM_ZD_AM3_2005!FA_ECR_cont_rate,2)),
INDEX(HM_ZD_AM3_2005!FA_ECR_cont_rate,MATCH(HM_ZD_AM3_2005!CA_cum_gross_prod_oil,HM_ZD_AM3_2005!FA_ECR_cumprod_oil,1)))</f>
        <v>0.6</v>
      </c>
      <c r="AD275" s="53">
        <f ca="1">IF(ISNUMBER(ECR_Dev_cost_perc),IF(AND(HM_ZD_AM3_2005!CA_cum_gross_prod_oil&lt;=INDEX(HM_ZD_AM3_2005!FA_ECR_cumprod_oil,1),AD273&lt;&gt;1),
INDEX(HM_ZD_AM3_2005!FA_ECR_cont_rate,1),INDEX(HM_ZD_AM3_2005!FA_ECR_cont_rate,2)),
INDEX(HM_ZD_AM3_2005!FA_ECR_cont_rate,MATCH(HM_ZD_AM3_2005!CA_cum_gross_prod_oil,HM_ZD_AM3_2005!FA_ECR_cumprod_oil,1)))</f>
        <v>0.6</v>
      </c>
      <c r="AE275" s="53">
        <f ca="1">IF(ISNUMBER(ECR_Dev_cost_perc),IF(AND(HM_ZD_AM3_2005!CA_cum_gross_prod_oil&lt;=INDEX(HM_ZD_AM3_2005!FA_ECR_cumprod_oil,1),AE273&lt;&gt;1),
INDEX(HM_ZD_AM3_2005!FA_ECR_cont_rate,1),INDEX(HM_ZD_AM3_2005!FA_ECR_cont_rate,2)),
INDEX(HM_ZD_AM3_2005!FA_ECR_cont_rate,MATCH(HM_ZD_AM3_2005!CA_cum_gross_prod_oil,HM_ZD_AM3_2005!FA_ECR_cumprod_oil,1)))</f>
        <v>0.6</v>
      </c>
      <c r="AF275" s="53">
        <f ca="1">IF(ISNUMBER(ECR_Dev_cost_perc),IF(AND(HM_ZD_AM3_2005!CA_cum_gross_prod_oil&lt;=INDEX(HM_ZD_AM3_2005!FA_ECR_cumprod_oil,1),AF273&lt;&gt;1),
INDEX(HM_ZD_AM3_2005!FA_ECR_cont_rate,1),INDEX(HM_ZD_AM3_2005!FA_ECR_cont_rate,2)),
INDEX(HM_ZD_AM3_2005!FA_ECR_cont_rate,MATCH(HM_ZD_AM3_2005!CA_cum_gross_prod_oil,HM_ZD_AM3_2005!FA_ECR_cumprod_oil,1)))</f>
        <v>0.6</v>
      </c>
      <c r="AG275" s="53">
        <f ca="1">IF(ISNUMBER(ECR_Dev_cost_perc),IF(AND(HM_ZD_AM3_2005!CA_cum_gross_prod_oil&lt;=INDEX(HM_ZD_AM3_2005!FA_ECR_cumprod_oil,1),AG273&lt;&gt;1),
INDEX(HM_ZD_AM3_2005!FA_ECR_cont_rate,1),INDEX(HM_ZD_AM3_2005!FA_ECR_cont_rate,2)),
INDEX(HM_ZD_AM3_2005!FA_ECR_cont_rate,MATCH(HM_ZD_AM3_2005!CA_cum_gross_prod_oil,HM_ZD_AM3_2005!FA_ECR_cumprod_oil,1)))</f>
        <v>0.6</v>
      </c>
      <c r="AH275" s="53">
        <f ca="1">IF(ISNUMBER(ECR_Dev_cost_perc),IF(AND(HM_ZD_AM3_2005!CA_cum_gross_prod_oil&lt;=INDEX(HM_ZD_AM3_2005!FA_ECR_cumprod_oil,1),AH273&lt;&gt;1),
INDEX(HM_ZD_AM3_2005!FA_ECR_cont_rate,1),INDEX(HM_ZD_AM3_2005!FA_ECR_cont_rate,2)),
INDEX(HM_ZD_AM3_2005!FA_ECR_cont_rate,MATCH(HM_ZD_AM3_2005!CA_cum_gross_prod_oil,HM_ZD_AM3_2005!FA_ECR_cumprod_oil,1)))</f>
        <v>0.6</v>
      </c>
      <c r="AI275" s="53">
        <f ca="1">IF(ISNUMBER(ECR_Dev_cost_perc),IF(AND(HM_ZD_AM3_2005!CA_cum_gross_prod_oil&lt;=INDEX(HM_ZD_AM3_2005!FA_ECR_cumprod_oil,1),AI273&lt;&gt;1),
INDEX(HM_ZD_AM3_2005!FA_ECR_cont_rate,1),INDEX(HM_ZD_AM3_2005!FA_ECR_cont_rate,2)),
INDEX(HM_ZD_AM3_2005!FA_ECR_cont_rate,MATCH(HM_ZD_AM3_2005!CA_cum_gross_prod_oil,HM_ZD_AM3_2005!FA_ECR_cumprod_oil,1)))</f>
        <v>0.6</v>
      </c>
      <c r="AJ275" s="53">
        <f ca="1">IF(ISNUMBER(ECR_Dev_cost_perc),IF(AND(HM_ZD_AM3_2005!CA_cum_gross_prod_oil&lt;=INDEX(HM_ZD_AM3_2005!FA_ECR_cumprod_oil,1),AJ273&lt;&gt;1),
INDEX(HM_ZD_AM3_2005!FA_ECR_cont_rate,1),INDEX(HM_ZD_AM3_2005!FA_ECR_cont_rate,2)),
INDEX(HM_ZD_AM3_2005!FA_ECR_cont_rate,MATCH(HM_ZD_AM3_2005!CA_cum_gross_prod_oil,HM_ZD_AM3_2005!FA_ECR_cumprod_oil,1)))</f>
        <v>0.6</v>
      </c>
      <c r="AK275" s="53">
        <f ca="1">IF(ISNUMBER(ECR_Dev_cost_perc),IF(AND(HM_ZD_AM3_2005!CA_cum_gross_prod_oil&lt;=INDEX(HM_ZD_AM3_2005!FA_ECR_cumprod_oil,1),AK273&lt;&gt;1),
INDEX(HM_ZD_AM3_2005!FA_ECR_cont_rate,1),INDEX(HM_ZD_AM3_2005!FA_ECR_cont_rate,2)),
INDEX(HM_ZD_AM3_2005!FA_ECR_cont_rate,MATCH(HM_ZD_AM3_2005!CA_cum_gross_prod_oil,HM_ZD_AM3_2005!FA_ECR_cumprod_oil,1)))</f>
        <v>0.6</v>
      </c>
      <c r="AL275" s="53">
        <f ca="1">IF(ISNUMBER(ECR_Dev_cost_perc),IF(AND(HM_ZD_AM3_2005!CA_cum_gross_prod_oil&lt;=INDEX(HM_ZD_AM3_2005!FA_ECR_cumprod_oil,1),AL273&lt;&gt;1),
INDEX(HM_ZD_AM3_2005!FA_ECR_cont_rate,1),INDEX(HM_ZD_AM3_2005!FA_ECR_cont_rate,2)),
INDEX(HM_ZD_AM3_2005!FA_ECR_cont_rate,MATCH(HM_ZD_AM3_2005!CA_cum_gross_prod_oil,HM_ZD_AM3_2005!FA_ECR_cumprod_oil,1)))</f>
        <v>0.6</v>
      </c>
      <c r="AM275" s="53">
        <f ca="1">IF(ISNUMBER(ECR_Dev_cost_perc),IF(AND(HM_ZD_AM3_2005!CA_cum_gross_prod_oil&lt;=INDEX(HM_ZD_AM3_2005!FA_ECR_cumprod_oil,1),AM273&lt;&gt;1),
INDEX(HM_ZD_AM3_2005!FA_ECR_cont_rate,1),INDEX(HM_ZD_AM3_2005!FA_ECR_cont_rate,2)),
INDEX(HM_ZD_AM3_2005!FA_ECR_cont_rate,MATCH(HM_ZD_AM3_2005!CA_cum_gross_prod_oil,HM_ZD_AM3_2005!FA_ECR_cumprod_oil,1)))</f>
        <v>0.6</v>
      </c>
      <c r="AN275" s="53">
        <f ca="1">IF(ISNUMBER(ECR_Dev_cost_perc),IF(AND(HM_ZD_AM3_2005!CA_cum_gross_prod_oil&lt;=INDEX(HM_ZD_AM3_2005!FA_ECR_cumprod_oil,1),AN273&lt;&gt;1),
INDEX(HM_ZD_AM3_2005!FA_ECR_cont_rate,1),INDEX(HM_ZD_AM3_2005!FA_ECR_cont_rate,2)),
INDEX(HM_ZD_AM3_2005!FA_ECR_cont_rate,MATCH(HM_ZD_AM3_2005!CA_cum_gross_prod_oil,HM_ZD_AM3_2005!FA_ECR_cumprod_oil,1)))</f>
        <v>0.6</v>
      </c>
      <c r="AO275" s="53">
        <f ca="1">IF(ISNUMBER(ECR_Dev_cost_perc),IF(AND(HM_ZD_AM3_2005!CA_cum_gross_prod_oil&lt;=INDEX(HM_ZD_AM3_2005!FA_ECR_cumprod_oil,1),AO273&lt;&gt;1),
INDEX(HM_ZD_AM3_2005!FA_ECR_cont_rate,1),INDEX(HM_ZD_AM3_2005!FA_ECR_cont_rate,2)),
INDEX(HM_ZD_AM3_2005!FA_ECR_cont_rate,MATCH(HM_ZD_AM3_2005!CA_cum_gross_prod_oil,HM_ZD_AM3_2005!FA_ECR_cumprod_oil,1)))</f>
        <v>0.6</v>
      </c>
      <c r="AP275" s="53">
        <f ca="1">IF(ISNUMBER(ECR_Dev_cost_perc),IF(AND(HM_ZD_AM3_2005!CA_cum_gross_prod_oil&lt;=INDEX(HM_ZD_AM3_2005!FA_ECR_cumprod_oil,1),AP273&lt;&gt;1),
INDEX(HM_ZD_AM3_2005!FA_ECR_cont_rate,1),INDEX(HM_ZD_AM3_2005!FA_ECR_cont_rate,2)),
INDEX(HM_ZD_AM3_2005!FA_ECR_cont_rate,MATCH(HM_ZD_AM3_2005!CA_cum_gross_prod_oil,HM_ZD_AM3_2005!FA_ECR_cumprod_oil,1)))</f>
        <v>0.6</v>
      </c>
      <c r="AQ275" s="53">
        <f ca="1">IF(ISNUMBER(ECR_Dev_cost_perc),IF(AND(HM_ZD_AM3_2005!CA_cum_gross_prod_oil&lt;=INDEX(HM_ZD_AM3_2005!FA_ECR_cumprod_oil,1),AQ273&lt;&gt;1),
INDEX(HM_ZD_AM3_2005!FA_ECR_cont_rate,1),INDEX(HM_ZD_AM3_2005!FA_ECR_cont_rate,2)),
INDEX(HM_ZD_AM3_2005!FA_ECR_cont_rate,MATCH(HM_ZD_AM3_2005!CA_cum_gross_prod_oil,HM_ZD_AM3_2005!FA_ECR_cumprod_oil,1)))</f>
        <v>0.6</v>
      </c>
      <c r="AR275" s="53">
        <f ca="1">IF(ISNUMBER(ECR_Dev_cost_perc),IF(AND(HM_ZD_AM3_2005!CA_cum_gross_prod_oil&lt;=INDEX(HM_ZD_AM3_2005!FA_ECR_cumprod_oil,1),AR273&lt;&gt;1),
INDEX(HM_ZD_AM3_2005!FA_ECR_cont_rate,1),INDEX(HM_ZD_AM3_2005!FA_ECR_cont_rate,2)),
INDEX(HM_ZD_AM3_2005!FA_ECR_cont_rate,MATCH(HM_ZD_AM3_2005!CA_cum_gross_prod_oil,HM_ZD_AM3_2005!FA_ECR_cumprod_oil,1)))</f>
        <v>0.6</v>
      </c>
      <c r="AS275" s="53">
        <f ca="1">IF(ISNUMBER(ECR_Dev_cost_perc),IF(AND(HM_ZD_AM3_2005!CA_cum_gross_prod_oil&lt;=INDEX(HM_ZD_AM3_2005!FA_ECR_cumprod_oil,1),AS273&lt;&gt;1),
INDEX(HM_ZD_AM3_2005!FA_ECR_cont_rate,1),INDEX(HM_ZD_AM3_2005!FA_ECR_cont_rate,2)),
INDEX(HM_ZD_AM3_2005!FA_ECR_cont_rate,MATCH(HM_ZD_AM3_2005!CA_cum_gross_prod_oil,HM_ZD_AM3_2005!FA_ECR_cumprod_oil,1)))</f>
        <v>0.6</v>
      </c>
      <c r="AT275" s="53">
        <f ca="1">IF(ISNUMBER(ECR_Dev_cost_perc),IF(AND(HM_ZD_AM3_2005!CA_cum_gross_prod_oil&lt;=INDEX(HM_ZD_AM3_2005!FA_ECR_cumprod_oil,1),AT273&lt;&gt;1),
INDEX(HM_ZD_AM3_2005!FA_ECR_cont_rate,1),INDEX(HM_ZD_AM3_2005!FA_ECR_cont_rate,2)),
INDEX(HM_ZD_AM3_2005!FA_ECR_cont_rate,MATCH(HM_ZD_AM3_2005!CA_cum_gross_prod_oil,HM_ZD_AM3_2005!FA_ECR_cumprod_oil,1)))</f>
        <v>0.6</v>
      </c>
      <c r="AU275" s="53">
        <f ca="1">IF(ISNUMBER(ECR_Dev_cost_perc),IF(AND(HM_ZD_AM3_2005!CA_cum_gross_prod_oil&lt;=INDEX(HM_ZD_AM3_2005!FA_ECR_cumprod_oil,1),AU273&lt;&gt;1),
INDEX(HM_ZD_AM3_2005!FA_ECR_cont_rate,1),INDEX(HM_ZD_AM3_2005!FA_ECR_cont_rate,2)),
INDEX(HM_ZD_AM3_2005!FA_ECR_cont_rate,MATCH(HM_ZD_AM3_2005!CA_cum_gross_prod_oil,HM_ZD_AM3_2005!FA_ECR_cumprod_oil,1)))</f>
        <v>0.6</v>
      </c>
      <c r="AV275" s="53">
        <f ca="1">IF(ISNUMBER(ECR_Dev_cost_perc),IF(AND(HM_ZD_AM3_2005!CA_cum_gross_prod_oil&lt;=INDEX(HM_ZD_AM3_2005!FA_ECR_cumprod_oil,1),AV273&lt;&gt;1),
INDEX(HM_ZD_AM3_2005!FA_ECR_cont_rate,1),INDEX(HM_ZD_AM3_2005!FA_ECR_cont_rate,2)),
INDEX(HM_ZD_AM3_2005!FA_ECR_cont_rate,MATCH(HM_ZD_AM3_2005!CA_cum_gross_prod_oil,HM_ZD_AM3_2005!FA_ECR_cumprod_oil,1)))</f>
        <v>0.6</v>
      </c>
      <c r="AW275" s="53">
        <f ca="1">IF(ISNUMBER(ECR_Dev_cost_perc),IF(AND(HM_ZD_AM3_2005!CA_cum_gross_prod_oil&lt;=INDEX(HM_ZD_AM3_2005!FA_ECR_cumprod_oil,1),AW273&lt;&gt;1),
INDEX(HM_ZD_AM3_2005!FA_ECR_cont_rate,1),INDEX(HM_ZD_AM3_2005!FA_ECR_cont_rate,2)),
INDEX(HM_ZD_AM3_2005!FA_ECR_cont_rate,MATCH(HM_ZD_AM3_2005!CA_cum_gross_prod_oil,HM_ZD_AM3_2005!FA_ECR_cumprod_oil,1)))</f>
        <v>0.6</v>
      </c>
      <c r="AX275" s="53">
        <f ca="1">IF(ISNUMBER(ECR_Dev_cost_perc),IF(AND(HM_ZD_AM3_2005!CA_cum_gross_prod_oil&lt;=INDEX(HM_ZD_AM3_2005!FA_ECR_cumprod_oil,1),AX273&lt;&gt;1),
INDEX(HM_ZD_AM3_2005!FA_ECR_cont_rate,1),INDEX(HM_ZD_AM3_2005!FA_ECR_cont_rate,2)),
INDEX(HM_ZD_AM3_2005!FA_ECR_cont_rate,MATCH(HM_ZD_AM3_2005!CA_cum_gross_prod_oil,HM_ZD_AM3_2005!FA_ECR_cumprod_oil,1)))</f>
        <v>0.6</v>
      </c>
      <c r="AY275" s="53">
        <f ca="1">IF(ISNUMBER(ECR_Dev_cost_perc),IF(AND(HM_ZD_AM3_2005!CA_cum_gross_prod_oil&lt;=INDEX(HM_ZD_AM3_2005!FA_ECR_cumprod_oil,1),AY273&lt;&gt;1),
INDEX(HM_ZD_AM3_2005!FA_ECR_cont_rate,1),INDEX(HM_ZD_AM3_2005!FA_ECR_cont_rate,2)),
INDEX(HM_ZD_AM3_2005!FA_ECR_cont_rate,MATCH(HM_ZD_AM3_2005!CA_cum_gross_prod_oil,HM_ZD_AM3_2005!FA_ECR_cumprod_oil,1)))</f>
        <v>0.6</v>
      </c>
      <c r="AZ275" s="53">
        <f ca="1">IF(ISNUMBER(ECR_Dev_cost_perc),IF(AND(HM_ZD_AM3_2005!CA_cum_gross_prod_oil&lt;=INDEX(HM_ZD_AM3_2005!FA_ECR_cumprod_oil,1),AZ273&lt;&gt;1),
INDEX(HM_ZD_AM3_2005!FA_ECR_cont_rate,1),INDEX(HM_ZD_AM3_2005!FA_ECR_cont_rate,2)),
INDEX(HM_ZD_AM3_2005!FA_ECR_cont_rate,MATCH(HM_ZD_AM3_2005!CA_cum_gross_prod_oil,HM_ZD_AM3_2005!FA_ECR_cumprod_oil,1)))</f>
        <v>0.6</v>
      </c>
      <c r="BA275" s="53">
        <f ca="1">IF(ISNUMBER(ECR_Dev_cost_perc),IF(AND(HM_ZD_AM3_2005!CA_cum_gross_prod_oil&lt;=INDEX(HM_ZD_AM3_2005!FA_ECR_cumprod_oil,1),BA273&lt;&gt;1),
INDEX(HM_ZD_AM3_2005!FA_ECR_cont_rate,1),INDEX(HM_ZD_AM3_2005!FA_ECR_cont_rate,2)),
INDEX(HM_ZD_AM3_2005!FA_ECR_cont_rate,MATCH(HM_ZD_AM3_2005!CA_cum_gross_prod_oil,HM_ZD_AM3_2005!FA_ECR_cumprod_oil,1)))</f>
        <v>0.6</v>
      </c>
      <c r="BB275" s="53">
        <f ca="1">IF(ISNUMBER(ECR_Dev_cost_perc),IF(AND(HM_ZD_AM3_2005!CA_cum_gross_prod_oil&lt;=INDEX(HM_ZD_AM3_2005!FA_ECR_cumprod_oil,1),BB273&lt;&gt;1),
INDEX(HM_ZD_AM3_2005!FA_ECR_cont_rate,1),INDEX(HM_ZD_AM3_2005!FA_ECR_cont_rate,2)),
INDEX(HM_ZD_AM3_2005!FA_ECR_cont_rate,MATCH(HM_ZD_AM3_2005!CA_cum_gross_prod_oil,HM_ZD_AM3_2005!FA_ECR_cumprod_oil,1)))</f>
        <v>0.6</v>
      </c>
      <c r="BC275" s="53">
        <f ca="1">IF(ISNUMBER(ECR_Dev_cost_perc),IF(AND(HM_ZD_AM3_2005!CA_cum_gross_prod_oil&lt;=INDEX(HM_ZD_AM3_2005!FA_ECR_cumprod_oil,1),BC273&lt;&gt;1),
INDEX(HM_ZD_AM3_2005!FA_ECR_cont_rate,1),INDEX(HM_ZD_AM3_2005!FA_ECR_cont_rate,2)),
INDEX(HM_ZD_AM3_2005!FA_ECR_cont_rate,MATCH(HM_ZD_AM3_2005!CA_cum_gross_prod_oil,HM_ZD_AM3_2005!FA_ECR_cumprod_oil,1)))</f>
        <v>0.6</v>
      </c>
      <c r="BD275" s="53">
        <f ca="1">IF(ISNUMBER(ECR_Dev_cost_perc),IF(AND(HM_ZD_AM3_2005!CA_cum_gross_prod_oil&lt;=INDEX(HM_ZD_AM3_2005!FA_ECR_cumprod_oil,1),BD273&lt;&gt;1),
INDEX(HM_ZD_AM3_2005!FA_ECR_cont_rate,1),INDEX(HM_ZD_AM3_2005!FA_ECR_cont_rate,2)),
INDEX(HM_ZD_AM3_2005!FA_ECR_cont_rate,MATCH(HM_ZD_AM3_2005!CA_cum_gross_prod_oil,HM_ZD_AM3_2005!FA_ECR_cumprod_oil,1)))</f>
        <v>0.6</v>
      </c>
      <c r="BE275" s="53">
        <f ca="1">IF(ISNUMBER(ECR_Dev_cost_perc),IF(AND(HM_ZD_AM3_2005!CA_cum_gross_prod_oil&lt;=INDEX(HM_ZD_AM3_2005!FA_ECR_cumprod_oil,1),BE273&lt;&gt;1),
INDEX(HM_ZD_AM3_2005!FA_ECR_cont_rate,1),INDEX(HM_ZD_AM3_2005!FA_ECR_cont_rate,2)),
INDEX(HM_ZD_AM3_2005!FA_ECR_cont_rate,MATCH(HM_ZD_AM3_2005!CA_cum_gross_prod_oil,HM_ZD_AM3_2005!FA_ECR_cumprod_oil,1)))</f>
        <v>0.6</v>
      </c>
      <c r="BF275" s="53">
        <f ca="1">IF(ISNUMBER(ECR_Dev_cost_perc),IF(AND(HM_ZD_AM3_2005!CA_cum_gross_prod_oil&lt;=INDEX(HM_ZD_AM3_2005!FA_ECR_cumprod_oil,1),BF273&lt;&gt;1),
INDEX(HM_ZD_AM3_2005!FA_ECR_cont_rate,1),INDEX(HM_ZD_AM3_2005!FA_ECR_cont_rate,2)),
INDEX(HM_ZD_AM3_2005!FA_ECR_cont_rate,MATCH(HM_ZD_AM3_2005!CA_cum_gross_prod_oil,HM_ZD_AM3_2005!FA_ECR_cumprod_oil,1)))</f>
        <v>0.6</v>
      </c>
      <c r="BG275" s="53">
        <f ca="1">IF(ISNUMBER(ECR_Dev_cost_perc),IF(AND(HM_ZD_AM3_2005!CA_cum_gross_prod_oil&lt;=INDEX(HM_ZD_AM3_2005!FA_ECR_cumprod_oil,1),BG273&lt;&gt;1),
INDEX(HM_ZD_AM3_2005!FA_ECR_cont_rate,1),INDEX(HM_ZD_AM3_2005!FA_ECR_cont_rate,2)),
INDEX(HM_ZD_AM3_2005!FA_ECR_cont_rate,MATCH(HM_ZD_AM3_2005!CA_cum_gross_prod_oil,HM_ZD_AM3_2005!FA_ECR_cumprod_oil,1)))</f>
        <v>0.6</v>
      </c>
      <c r="BH275" s="53">
        <f ca="1">IF(ISNUMBER(ECR_Dev_cost_perc),IF(AND(HM_ZD_AM3_2005!CA_cum_gross_prod_oil&lt;=INDEX(HM_ZD_AM3_2005!FA_ECR_cumprod_oil,1),BH273&lt;&gt;1),
INDEX(HM_ZD_AM3_2005!FA_ECR_cont_rate,1),INDEX(HM_ZD_AM3_2005!FA_ECR_cont_rate,2)),
INDEX(HM_ZD_AM3_2005!FA_ECR_cont_rate,MATCH(HM_ZD_AM3_2005!CA_cum_gross_prod_oil,HM_ZD_AM3_2005!FA_ECR_cumprod_oil,1)))</f>
        <v>0.6</v>
      </c>
      <c r="BI275" s="53">
        <f ca="1">IF(ISNUMBER(ECR_Dev_cost_perc),IF(AND(HM_ZD_AM3_2005!CA_cum_gross_prod_oil&lt;=INDEX(HM_ZD_AM3_2005!FA_ECR_cumprod_oil,1),BI273&lt;&gt;1),
INDEX(HM_ZD_AM3_2005!FA_ECR_cont_rate,1),INDEX(HM_ZD_AM3_2005!FA_ECR_cont_rate,2)),
INDEX(HM_ZD_AM3_2005!FA_ECR_cont_rate,MATCH(HM_ZD_AM3_2005!CA_cum_gross_prod_oil,HM_ZD_AM3_2005!FA_ECR_cumprod_oil,1)))</f>
        <v>0.6</v>
      </c>
      <c r="BJ275" s="53">
        <f ca="1">IF(ISNUMBER(ECR_Dev_cost_perc),IF(AND(HM_ZD_AM3_2005!CA_cum_gross_prod_oil&lt;=INDEX(HM_ZD_AM3_2005!FA_ECR_cumprod_oil,1),BJ273&lt;&gt;1),
INDEX(HM_ZD_AM3_2005!FA_ECR_cont_rate,1),INDEX(HM_ZD_AM3_2005!FA_ECR_cont_rate,2)),
INDEX(HM_ZD_AM3_2005!FA_ECR_cont_rate,MATCH(HM_ZD_AM3_2005!CA_cum_gross_prod_oil,HM_ZD_AM3_2005!FA_ECR_cumprod_oil,1)))</f>
        <v>0.6</v>
      </c>
      <c r="BK275" s="53">
        <f ca="1">IF(ISNUMBER(ECR_Dev_cost_perc),IF(AND(HM_ZD_AM3_2005!CA_cum_gross_prod_oil&lt;=INDEX(HM_ZD_AM3_2005!FA_ECR_cumprod_oil,1),BK273&lt;&gt;1),
INDEX(HM_ZD_AM3_2005!FA_ECR_cont_rate,1),INDEX(HM_ZD_AM3_2005!FA_ECR_cont_rate,2)),
INDEX(HM_ZD_AM3_2005!FA_ECR_cont_rate,MATCH(HM_ZD_AM3_2005!CA_cum_gross_prod_oil,HM_ZD_AM3_2005!FA_ECR_cumprod_oil,1)))</f>
        <v>0.6</v>
      </c>
      <c r="BL275" s="53">
        <f ca="1">IF(ISNUMBER(ECR_Dev_cost_perc),IF(AND(HM_ZD_AM3_2005!CA_cum_gross_prod_oil&lt;=INDEX(HM_ZD_AM3_2005!FA_ECR_cumprod_oil,1),BL273&lt;&gt;1),
INDEX(HM_ZD_AM3_2005!FA_ECR_cont_rate,1),INDEX(HM_ZD_AM3_2005!FA_ECR_cont_rate,2)),
INDEX(HM_ZD_AM3_2005!FA_ECR_cont_rate,MATCH(HM_ZD_AM3_2005!CA_cum_gross_prod_oil,HM_ZD_AM3_2005!FA_ECR_cumprod_oil,1)))</f>
        <v>0.6</v>
      </c>
      <c r="BM275" s="53">
        <f ca="1">IF(ISNUMBER(ECR_Dev_cost_perc),IF(AND(HM_ZD_AM3_2005!CA_cum_gross_prod_oil&lt;=INDEX(HM_ZD_AM3_2005!FA_ECR_cumprod_oil,1),BM273&lt;&gt;1),
INDEX(HM_ZD_AM3_2005!FA_ECR_cont_rate,1),INDEX(HM_ZD_AM3_2005!FA_ECR_cont_rate,2)),
INDEX(HM_ZD_AM3_2005!FA_ECR_cont_rate,MATCH(HM_ZD_AM3_2005!CA_cum_gross_prod_oil,HM_ZD_AM3_2005!FA_ECR_cumprod_oil,1)))</f>
        <v>0.6</v>
      </c>
      <c r="BN275" s="53">
        <f ca="1">IF(ISNUMBER(ECR_Dev_cost_perc),IF(AND(HM_ZD_AM3_2005!CA_cum_gross_prod_oil&lt;=INDEX(HM_ZD_AM3_2005!FA_ECR_cumprod_oil,1),BN273&lt;&gt;1),
INDEX(HM_ZD_AM3_2005!FA_ECR_cont_rate,1),INDEX(HM_ZD_AM3_2005!FA_ECR_cont_rate,2)),
INDEX(HM_ZD_AM3_2005!FA_ECR_cont_rate,MATCH(HM_ZD_AM3_2005!CA_cum_gross_prod_oil,HM_ZD_AM3_2005!FA_ECR_cumprod_oil,1)))</f>
        <v>0.6</v>
      </c>
      <c r="BO275" s="53">
        <f ca="1">IF(ISNUMBER(ECR_Dev_cost_perc),IF(AND(HM_ZD_AM3_2005!CA_cum_gross_prod_oil&lt;=INDEX(HM_ZD_AM3_2005!FA_ECR_cumprod_oil,1),BO273&lt;&gt;1),
INDEX(HM_ZD_AM3_2005!FA_ECR_cont_rate,1),INDEX(HM_ZD_AM3_2005!FA_ECR_cont_rate,2)),
INDEX(HM_ZD_AM3_2005!FA_ECR_cont_rate,MATCH(HM_ZD_AM3_2005!CA_cum_gross_prod_oil,HM_ZD_AM3_2005!FA_ECR_cumprod_oil,1)))</f>
        <v>0.6</v>
      </c>
      <c r="BP275" s="53">
        <f ca="1">IF(ISNUMBER(ECR_Dev_cost_perc),IF(AND(HM_ZD_AM3_2005!CA_cum_gross_prod_oil&lt;=INDEX(HM_ZD_AM3_2005!FA_ECR_cumprod_oil,1),BP273&lt;&gt;1),
INDEX(HM_ZD_AM3_2005!FA_ECR_cont_rate,1),INDEX(HM_ZD_AM3_2005!FA_ECR_cont_rate,2)),
INDEX(HM_ZD_AM3_2005!FA_ECR_cont_rate,MATCH(HM_ZD_AM3_2005!CA_cum_gross_prod_oil,HM_ZD_AM3_2005!FA_ECR_cumprod_oil,1)))</f>
        <v>0.6</v>
      </c>
      <c r="BQ275" s="53">
        <f ca="1">IF(ISNUMBER(ECR_Dev_cost_perc),IF(AND(HM_ZD_AM3_2005!CA_cum_gross_prod_oil&lt;=INDEX(HM_ZD_AM3_2005!FA_ECR_cumprod_oil,1),BQ273&lt;&gt;1),
INDEX(HM_ZD_AM3_2005!FA_ECR_cont_rate,1),INDEX(HM_ZD_AM3_2005!FA_ECR_cont_rate,2)),
INDEX(HM_ZD_AM3_2005!FA_ECR_cont_rate,MATCH(HM_ZD_AM3_2005!CA_cum_gross_prod_oil,HM_ZD_AM3_2005!FA_ECR_cumprod_oil,1)))</f>
        <v>0.6</v>
      </c>
      <c r="BR275" s="53">
        <f ca="1">IF(ISNUMBER(ECR_Dev_cost_perc),IF(AND(HM_ZD_AM3_2005!CA_cum_gross_prod_oil&lt;=INDEX(HM_ZD_AM3_2005!FA_ECR_cumprod_oil,1),BR273&lt;&gt;1),
INDEX(HM_ZD_AM3_2005!FA_ECR_cont_rate,1),INDEX(HM_ZD_AM3_2005!FA_ECR_cont_rate,2)),
INDEX(HM_ZD_AM3_2005!FA_ECR_cont_rate,MATCH(HM_ZD_AM3_2005!CA_cum_gross_prod_oil,HM_ZD_AM3_2005!FA_ECR_cumprod_oil,1)))</f>
        <v>0.6</v>
      </c>
      <c r="BS275" s="53">
        <f ca="1">IF(ISNUMBER(ECR_Dev_cost_perc),IF(AND(HM_ZD_AM3_2005!CA_cum_gross_prod_oil&lt;=INDEX(HM_ZD_AM3_2005!FA_ECR_cumprod_oil,1),BS273&lt;&gt;1),
INDEX(HM_ZD_AM3_2005!FA_ECR_cont_rate,1),INDEX(HM_ZD_AM3_2005!FA_ECR_cont_rate,2)),
INDEX(HM_ZD_AM3_2005!FA_ECR_cont_rate,MATCH(HM_ZD_AM3_2005!CA_cum_gross_prod_oil,HM_ZD_AM3_2005!FA_ECR_cumprod_oil,1)))</f>
        <v>0.6</v>
      </c>
    </row>
    <row r="276" spans="3:71" outlineLevel="1" x14ac:dyDescent="0.2">
      <c r="J276" s="26"/>
      <c r="L276" s="55"/>
      <c r="M276" s="55"/>
      <c r="N276" s="55"/>
      <c r="O276" s="55"/>
      <c r="P276" s="55"/>
      <c r="Q276" s="55"/>
      <c r="R276" s="55"/>
      <c r="S276" s="55"/>
      <c r="T276" s="55"/>
      <c r="U276" s="55"/>
      <c r="V276" s="55"/>
      <c r="W276" s="55"/>
      <c r="X276" s="55"/>
      <c r="Y276" s="55"/>
      <c r="Z276" s="55"/>
      <c r="AA276" s="55"/>
      <c r="AB276" s="55"/>
      <c r="AC276" s="55"/>
      <c r="AD276" s="55"/>
      <c r="AE276" s="55"/>
      <c r="AF276" s="55"/>
      <c r="AG276" s="55"/>
      <c r="AH276" s="55"/>
      <c r="AI276" s="55"/>
      <c r="AJ276" s="55"/>
      <c r="AK276" s="55"/>
      <c r="AL276" s="55"/>
      <c r="AM276" s="55"/>
      <c r="AN276" s="55"/>
      <c r="AO276" s="55"/>
      <c r="AP276" s="55"/>
      <c r="AQ276" s="55"/>
      <c r="AR276" s="55"/>
      <c r="AS276" s="55"/>
      <c r="AT276" s="55"/>
      <c r="AU276" s="55"/>
      <c r="AV276" s="55"/>
      <c r="AW276" s="55"/>
      <c r="AX276" s="55"/>
      <c r="AY276" s="55"/>
      <c r="AZ276" s="55"/>
      <c r="BA276" s="55"/>
      <c r="BB276" s="55"/>
      <c r="BC276" s="55"/>
      <c r="BD276" s="55"/>
      <c r="BE276" s="55"/>
      <c r="BF276" s="55"/>
      <c r="BG276" s="55"/>
      <c r="BH276" s="55"/>
      <c r="BI276" s="55"/>
      <c r="BJ276" s="55"/>
      <c r="BK276" s="55"/>
      <c r="BL276" s="55"/>
      <c r="BM276" s="55"/>
      <c r="BN276" s="55"/>
      <c r="BO276" s="55"/>
      <c r="BP276" s="55"/>
      <c r="BQ276" s="55"/>
      <c r="BR276" s="55"/>
      <c r="BS276" s="55"/>
    </row>
    <row r="277" spans="3:71" outlineLevel="1" x14ac:dyDescent="0.2">
      <c r="D277" t="str">
        <f>HM_ZD_Moho!D296</f>
        <v>Part du Contracteur dans l'Excess Cost oil</v>
      </c>
      <c r="I277" s="30">
        <f t="shared" ca="1" si="93"/>
        <v>0</v>
      </c>
      <c r="J277" s="26" t="s">
        <v>148</v>
      </c>
      <c r="K277" s="7" t="s">
        <v>214</v>
      </c>
      <c r="L277" s="49">
        <f ca="1">HM_ZD_AM3_2005!CA_excess_cost_recovery*L275</f>
        <v>0</v>
      </c>
      <c r="M277" s="49">
        <f ca="1">HM_ZD_AM3_2005!CA_excess_cost_recovery*M275</f>
        <v>0</v>
      </c>
      <c r="N277" s="49">
        <f ca="1">HM_ZD_AM3_2005!CA_excess_cost_recovery*N275</f>
        <v>0</v>
      </c>
      <c r="O277" s="49">
        <f ca="1">HM_ZD_AM3_2005!CA_excess_cost_recovery*O275</f>
        <v>0</v>
      </c>
      <c r="P277" s="49">
        <f ca="1">HM_ZD_AM3_2005!CA_excess_cost_recovery*P275</f>
        <v>0</v>
      </c>
      <c r="Q277" s="49">
        <f ca="1">HM_ZD_AM3_2005!CA_excess_cost_recovery*Q275</f>
        <v>0</v>
      </c>
      <c r="R277" s="49">
        <f ca="1">HM_ZD_AM3_2005!CA_excess_cost_recovery*R275</f>
        <v>0</v>
      </c>
      <c r="S277" s="49">
        <f ca="1">HM_ZD_AM3_2005!CA_excess_cost_recovery*S275</f>
        <v>0</v>
      </c>
      <c r="T277" s="49">
        <f ca="1">HM_ZD_AM3_2005!CA_excess_cost_recovery*T275</f>
        <v>0</v>
      </c>
      <c r="U277" s="49">
        <f ca="1">HM_ZD_AM3_2005!CA_excess_cost_recovery*U275</f>
        <v>0</v>
      </c>
      <c r="V277" s="49">
        <f ca="1">HM_ZD_AM3_2005!CA_excess_cost_recovery*V275</f>
        <v>0</v>
      </c>
      <c r="W277" s="49">
        <f ca="1">HM_ZD_AM3_2005!CA_excess_cost_recovery*W275</f>
        <v>0</v>
      </c>
      <c r="X277" s="49">
        <f ca="1">HM_ZD_AM3_2005!CA_excess_cost_recovery*X275</f>
        <v>0</v>
      </c>
      <c r="Y277" s="49">
        <f ca="1">HM_ZD_AM3_2005!CA_excess_cost_recovery*Y275</f>
        <v>0</v>
      </c>
      <c r="Z277" s="49">
        <f ca="1">HM_ZD_AM3_2005!CA_excess_cost_recovery*Z275</f>
        <v>0</v>
      </c>
      <c r="AA277" s="49">
        <f ca="1">HM_ZD_AM3_2005!CA_excess_cost_recovery*AA275</f>
        <v>0</v>
      </c>
      <c r="AB277" s="49">
        <f ca="1">HM_ZD_AM3_2005!CA_excess_cost_recovery*AB275</f>
        <v>0</v>
      </c>
      <c r="AC277" s="49">
        <f ca="1">HM_ZD_AM3_2005!CA_excess_cost_recovery*AC275</f>
        <v>0</v>
      </c>
      <c r="AD277" s="49">
        <f ca="1">HM_ZD_AM3_2005!CA_excess_cost_recovery*AD275</f>
        <v>0</v>
      </c>
      <c r="AE277" s="49">
        <f ca="1">HM_ZD_AM3_2005!CA_excess_cost_recovery*AE275</f>
        <v>0</v>
      </c>
      <c r="AF277" s="49">
        <f ca="1">HM_ZD_AM3_2005!CA_excess_cost_recovery*AF275</f>
        <v>0</v>
      </c>
      <c r="AG277" s="49">
        <f ca="1">HM_ZD_AM3_2005!CA_excess_cost_recovery*AG275</f>
        <v>0</v>
      </c>
      <c r="AH277" s="49">
        <f ca="1">HM_ZD_AM3_2005!CA_excess_cost_recovery*AH275</f>
        <v>0</v>
      </c>
      <c r="AI277" s="49">
        <f ca="1">HM_ZD_AM3_2005!CA_excess_cost_recovery*AI275</f>
        <v>0</v>
      </c>
      <c r="AJ277" s="49">
        <f ca="1">HM_ZD_AM3_2005!CA_excess_cost_recovery*AJ275</f>
        <v>0</v>
      </c>
      <c r="AK277" s="49">
        <f ca="1">HM_ZD_AM3_2005!CA_excess_cost_recovery*AK275</f>
        <v>0</v>
      </c>
      <c r="AL277" s="49">
        <f ca="1">HM_ZD_AM3_2005!CA_excess_cost_recovery*AL275</f>
        <v>0</v>
      </c>
      <c r="AM277" s="49">
        <f ca="1">HM_ZD_AM3_2005!CA_excess_cost_recovery*AM275</f>
        <v>0</v>
      </c>
      <c r="AN277" s="49">
        <f ca="1">HM_ZD_AM3_2005!CA_excess_cost_recovery*AN275</f>
        <v>0</v>
      </c>
      <c r="AO277" s="49">
        <f ca="1">HM_ZD_AM3_2005!CA_excess_cost_recovery*AO275</f>
        <v>0</v>
      </c>
      <c r="AP277" s="49">
        <f ca="1">HM_ZD_AM3_2005!CA_excess_cost_recovery*AP275</f>
        <v>0</v>
      </c>
      <c r="AQ277" s="49">
        <f ca="1">HM_ZD_AM3_2005!CA_excess_cost_recovery*AQ275</f>
        <v>0</v>
      </c>
      <c r="AR277" s="49">
        <f ca="1">HM_ZD_AM3_2005!CA_excess_cost_recovery*AR275</f>
        <v>0</v>
      </c>
      <c r="AS277" s="49">
        <f ca="1">HM_ZD_AM3_2005!CA_excess_cost_recovery*AS275</f>
        <v>0</v>
      </c>
      <c r="AT277" s="49">
        <f ca="1">HM_ZD_AM3_2005!CA_excess_cost_recovery*AT275</f>
        <v>0</v>
      </c>
      <c r="AU277" s="49">
        <f ca="1">HM_ZD_AM3_2005!CA_excess_cost_recovery*AU275</f>
        <v>0</v>
      </c>
      <c r="AV277" s="49">
        <f ca="1">HM_ZD_AM3_2005!CA_excess_cost_recovery*AV275</f>
        <v>0</v>
      </c>
      <c r="AW277" s="49">
        <f ca="1">HM_ZD_AM3_2005!CA_excess_cost_recovery*AW275</f>
        <v>0</v>
      </c>
      <c r="AX277" s="49">
        <f ca="1">HM_ZD_AM3_2005!CA_excess_cost_recovery*AX275</f>
        <v>0</v>
      </c>
      <c r="AY277" s="49">
        <f ca="1">HM_ZD_AM3_2005!CA_excess_cost_recovery*AY275</f>
        <v>0</v>
      </c>
      <c r="AZ277" s="49">
        <f ca="1">HM_ZD_AM3_2005!CA_excess_cost_recovery*AZ275</f>
        <v>0</v>
      </c>
      <c r="BA277" s="49">
        <f ca="1">HM_ZD_AM3_2005!CA_excess_cost_recovery*BA275</f>
        <v>0</v>
      </c>
      <c r="BB277" s="49">
        <f ca="1">HM_ZD_AM3_2005!CA_excess_cost_recovery*BB275</f>
        <v>0</v>
      </c>
      <c r="BC277" s="49">
        <f ca="1">HM_ZD_AM3_2005!CA_excess_cost_recovery*BC275</f>
        <v>0</v>
      </c>
      <c r="BD277" s="49">
        <f ca="1">HM_ZD_AM3_2005!CA_excess_cost_recovery*BD275</f>
        <v>0</v>
      </c>
      <c r="BE277" s="49">
        <f ca="1">HM_ZD_AM3_2005!CA_excess_cost_recovery*BE275</f>
        <v>0</v>
      </c>
      <c r="BF277" s="49">
        <f ca="1">HM_ZD_AM3_2005!CA_excess_cost_recovery*BF275</f>
        <v>0</v>
      </c>
      <c r="BG277" s="49">
        <f ca="1">HM_ZD_AM3_2005!CA_excess_cost_recovery*BG275</f>
        <v>0</v>
      </c>
      <c r="BH277" s="49">
        <f ca="1">HM_ZD_AM3_2005!CA_excess_cost_recovery*BH275</f>
        <v>0</v>
      </c>
      <c r="BI277" s="49">
        <f ca="1">HM_ZD_AM3_2005!CA_excess_cost_recovery*BI275</f>
        <v>0</v>
      </c>
      <c r="BJ277" s="49">
        <f ca="1">HM_ZD_AM3_2005!CA_excess_cost_recovery*BJ275</f>
        <v>0</v>
      </c>
      <c r="BK277" s="49">
        <f ca="1">HM_ZD_AM3_2005!CA_excess_cost_recovery*BK275</f>
        <v>0</v>
      </c>
      <c r="BL277" s="49">
        <f ca="1">HM_ZD_AM3_2005!CA_excess_cost_recovery*BL275</f>
        <v>0</v>
      </c>
      <c r="BM277" s="49">
        <f ca="1">HM_ZD_AM3_2005!CA_excess_cost_recovery*BM275</f>
        <v>0</v>
      </c>
      <c r="BN277" s="49">
        <f ca="1">HM_ZD_AM3_2005!CA_excess_cost_recovery*BN275</f>
        <v>0</v>
      </c>
      <c r="BO277" s="49">
        <f ca="1">HM_ZD_AM3_2005!CA_excess_cost_recovery*BO275</f>
        <v>0</v>
      </c>
      <c r="BP277" s="49">
        <f ca="1">HM_ZD_AM3_2005!CA_excess_cost_recovery*BP275</f>
        <v>0</v>
      </c>
      <c r="BQ277" s="49">
        <f ca="1">HM_ZD_AM3_2005!CA_excess_cost_recovery*BQ275</f>
        <v>0</v>
      </c>
      <c r="BR277" s="49">
        <f ca="1">HM_ZD_AM3_2005!CA_excess_cost_recovery*BR275</f>
        <v>0</v>
      </c>
      <c r="BS277" s="49">
        <f ca="1">HM_ZD_AM3_2005!CA_excess_cost_recovery*BS275</f>
        <v>0</v>
      </c>
    </row>
    <row r="278" spans="3:71" outlineLevel="1" x14ac:dyDescent="0.2">
      <c r="D278" t="str">
        <f>HM_ZD_Moho!D297</f>
        <v>Part du Gouv. dans l'Excess Cost oil</v>
      </c>
      <c r="I278" s="30">
        <f t="shared" ca="1" si="93"/>
        <v>0</v>
      </c>
      <c r="J278" s="26" t="s">
        <v>148</v>
      </c>
      <c r="K278" s="7" t="s">
        <v>216</v>
      </c>
      <c r="L278" s="49">
        <f ca="1">HM_ZD_AM3_2005!CA_excess_cost_recovery-HM_ZD_AM3_2005!CA_excess_CR_cont</f>
        <v>0</v>
      </c>
      <c r="M278" s="49">
        <f ca="1">HM_ZD_AM3_2005!CA_excess_cost_recovery-HM_ZD_AM3_2005!CA_excess_CR_cont</f>
        <v>0</v>
      </c>
      <c r="N278" s="49">
        <f ca="1">HM_ZD_AM3_2005!CA_excess_cost_recovery-HM_ZD_AM3_2005!CA_excess_CR_cont</f>
        <v>0</v>
      </c>
      <c r="O278" s="49">
        <f ca="1">HM_ZD_AM3_2005!CA_excess_cost_recovery-HM_ZD_AM3_2005!CA_excess_CR_cont</f>
        <v>0</v>
      </c>
      <c r="P278" s="49">
        <f ca="1">HM_ZD_AM3_2005!CA_excess_cost_recovery-HM_ZD_AM3_2005!CA_excess_CR_cont</f>
        <v>0</v>
      </c>
      <c r="Q278" s="49">
        <f ca="1">HM_ZD_AM3_2005!CA_excess_cost_recovery-HM_ZD_AM3_2005!CA_excess_CR_cont</f>
        <v>0</v>
      </c>
      <c r="R278" s="49">
        <f ca="1">HM_ZD_AM3_2005!CA_excess_cost_recovery-HM_ZD_AM3_2005!CA_excess_CR_cont</f>
        <v>0</v>
      </c>
      <c r="S278" s="49">
        <f ca="1">HM_ZD_AM3_2005!CA_excess_cost_recovery-HM_ZD_AM3_2005!CA_excess_CR_cont</f>
        <v>0</v>
      </c>
      <c r="T278" s="49">
        <f ca="1">HM_ZD_AM3_2005!CA_excess_cost_recovery-HM_ZD_AM3_2005!CA_excess_CR_cont</f>
        <v>0</v>
      </c>
      <c r="U278" s="49">
        <f ca="1">HM_ZD_AM3_2005!CA_excess_cost_recovery-HM_ZD_AM3_2005!CA_excess_CR_cont</f>
        <v>0</v>
      </c>
      <c r="V278" s="49">
        <f ca="1">HM_ZD_AM3_2005!CA_excess_cost_recovery-HM_ZD_AM3_2005!CA_excess_CR_cont</f>
        <v>0</v>
      </c>
      <c r="W278" s="49">
        <f ca="1">HM_ZD_AM3_2005!CA_excess_cost_recovery-HM_ZD_AM3_2005!CA_excess_CR_cont</f>
        <v>0</v>
      </c>
      <c r="X278" s="49">
        <f ca="1">HM_ZD_AM3_2005!CA_excess_cost_recovery-HM_ZD_AM3_2005!CA_excess_CR_cont</f>
        <v>0</v>
      </c>
      <c r="Y278" s="49">
        <f ca="1">HM_ZD_AM3_2005!CA_excess_cost_recovery-HM_ZD_AM3_2005!CA_excess_CR_cont</f>
        <v>0</v>
      </c>
      <c r="Z278" s="49">
        <f ca="1">HM_ZD_AM3_2005!CA_excess_cost_recovery-HM_ZD_AM3_2005!CA_excess_CR_cont</f>
        <v>0</v>
      </c>
      <c r="AA278" s="49">
        <f ca="1">HM_ZD_AM3_2005!CA_excess_cost_recovery-HM_ZD_AM3_2005!CA_excess_CR_cont</f>
        <v>0</v>
      </c>
      <c r="AB278" s="49">
        <f ca="1">HM_ZD_AM3_2005!CA_excess_cost_recovery-HM_ZD_AM3_2005!CA_excess_CR_cont</f>
        <v>0</v>
      </c>
      <c r="AC278" s="49">
        <f ca="1">HM_ZD_AM3_2005!CA_excess_cost_recovery-HM_ZD_AM3_2005!CA_excess_CR_cont</f>
        <v>0</v>
      </c>
      <c r="AD278" s="49">
        <f ca="1">HM_ZD_AM3_2005!CA_excess_cost_recovery-HM_ZD_AM3_2005!CA_excess_CR_cont</f>
        <v>0</v>
      </c>
      <c r="AE278" s="49">
        <f ca="1">HM_ZD_AM3_2005!CA_excess_cost_recovery-HM_ZD_AM3_2005!CA_excess_CR_cont</f>
        <v>0</v>
      </c>
      <c r="AF278" s="49">
        <f ca="1">HM_ZD_AM3_2005!CA_excess_cost_recovery-HM_ZD_AM3_2005!CA_excess_CR_cont</f>
        <v>0</v>
      </c>
      <c r="AG278" s="49">
        <f ca="1">HM_ZD_AM3_2005!CA_excess_cost_recovery-HM_ZD_AM3_2005!CA_excess_CR_cont</f>
        <v>0</v>
      </c>
      <c r="AH278" s="49">
        <f ca="1">HM_ZD_AM3_2005!CA_excess_cost_recovery-HM_ZD_AM3_2005!CA_excess_CR_cont</f>
        <v>0</v>
      </c>
      <c r="AI278" s="49">
        <f ca="1">HM_ZD_AM3_2005!CA_excess_cost_recovery-HM_ZD_AM3_2005!CA_excess_CR_cont</f>
        <v>0</v>
      </c>
      <c r="AJ278" s="49">
        <f ca="1">HM_ZD_AM3_2005!CA_excess_cost_recovery-HM_ZD_AM3_2005!CA_excess_CR_cont</f>
        <v>0</v>
      </c>
      <c r="AK278" s="49">
        <f ca="1">HM_ZD_AM3_2005!CA_excess_cost_recovery-HM_ZD_AM3_2005!CA_excess_CR_cont</f>
        <v>0</v>
      </c>
      <c r="AL278" s="49">
        <f ca="1">HM_ZD_AM3_2005!CA_excess_cost_recovery-HM_ZD_AM3_2005!CA_excess_CR_cont</f>
        <v>0</v>
      </c>
      <c r="AM278" s="49">
        <f ca="1">HM_ZD_AM3_2005!CA_excess_cost_recovery-HM_ZD_AM3_2005!CA_excess_CR_cont</f>
        <v>0</v>
      </c>
      <c r="AN278" s="49">
        <f ca="1">HM_ZD_AM3_2005!CA_excess_cost_recovery-HM_ZD_AM3_2005!CA_excess_CR_cont</f>
        <v>0</v>
      </c>
      <c r="AO278" s="49">
        <f ca="1">HM_ZD_AM3_2005!CA_excess_cost_recovery-HM_ZD_AM3_2005!CA_excess_CR_cont</f>
        <v>0</v>
      </c>
      <c r="AP278" s="49">
        <f ca="1">HM_ZD_AM3_2005!CA_excess_cost_recovery-HM_ZD_AM3_2005!CA_excess_CR_cont</f>
        <v>0</v>
      </c>
      <c r="AQ278" s="49">
        <f ca="1">HM_ZD_AM3_2005!CA_excess_cost_recovery-HM_ZD_AM3_2005!CA_excess_CR_cont</f>
        <v>0</v>
      </c>
      <c r="AR278" s="49">
        <f ca="1">HM_ZD_AM3_2005!CA_excess_cost_recovery-HM_ZD_AM3_2005!CA_excess_CR_cont</f>
        <v>0</v>
      </c>
      <c r="AS278" s="49">
        <f ca="1">HM_ZD_AM3_2005!CA_excess_cost_recovery-HM_ZD_AM3_2005!CA_excess_CR_cont</f>
        <v>0</v>
      </c>
      <c r="AT278" s="49">
        <f ca="1">HM_ZD_AM3_2005!CA_excess_cost_recovery-HM_ZD_AM3_2005!CA_excess_CR_cont</f>
        <v>0</v>
      </c>
      <c r="AU278" s="49">
        <f ca="1">HM_ZD_AM3_2005!CA_excess_cost_recovery-HM_ZD_AM3_2005!CA_excess_CR_cont</f>
        <v>0</v>
      </c>
      <c r="AV278" s="49">
        <f ca="1">HM_ZD_AM3_2005!CA_excess_cost_recovery-HM_ZD_AM3_2005!CA_excess_CR_cont</f>
        <v>0</v>
      </c>
      <c r="AW278" s="49">
        <f ca="1">HM_ZD_AM3_2005!CA_excess_cost_recovery-HM_ZD_AM3_2005!CA_excess_CR_cont</f>
        <v>0</v>
      </c>
      <c r="AX278" s="49">
        <f ca="1">HM_ZD_AM3_2005!CA_excess_cost_recovery-HM_ZD_AM3_2005!CA_excess_CR_cont</f>
        <v>0</v>
      </c>
      <c r="AY278" s="49">
        <f ca="1">HM_ZD_AM3_2005!CA_excess_cost_recovery-HM_ZD_AM3_2005!CA_excess_CR_cont</f>
        <v>0</v>
      </c>
      <c r="AZ278" s="49">
        <f ca="1">HM_ZD_AM3_2005!CA_excess_cost_recovery-HM_ZD_AM3_2005!CA_excess_CR_cont</f>
        <v>0</v>
      </c>
      <c r="BA278" s="49">
        <f ca="1">HM_ZD_AM3_2005!CA_excess_cost_recovery-HM_ZD_AM3_2005!CA_excess_CR_cont</f>
        <v>0</v>
      </c>
      <c r="BB278" s="49">
        <f ca="1">HM_ZD_AM3_2005!CA_excess_cost_recovery-HM_ZD_AM3_2005!CA_excess_CR_cont</f>
        <v>0</v>
      </c>
      <c r="BC278" s="49">
        <f ca="1">HM_ZD_AM3_2005!CA_excess_cost_recovery-HM_ZD_AM3_2005!CA_excess_CR_cont</f>
        <v>0</v>
      </c>
      <c r="BD278" s="49">
        <f ca="1">HM_ZD_AM3_2005!CA_excess_cost_recovery-HM_ZD_AM3_2005!CA_excess_CR_cont</f>
        <v>0</v>
      </c>
      <c r="BE278" s="49">
        <f ca="1">HM_ZD_AM3_2005!CA_excess_cost_recovery-HM_ZD_AM3_2005!CA_excess_CR_cont</f>
        <v>0</v>
      </c>
      <c r="BF278" s="49">
        <f ca="1">HM_ZD_AM3_2005!CA_excess_cost_recovery-HM_ZD_AM3_2005!CA_excess_CR_cont</f>
        <v>0</v>
      </c>
      <c r="BG278" s="49">
        <f ca="1">HM_ZD_AM3_2005!CA_excess_cost_recovery-HM_ZD_AM3_2005!CA_excess_CR_cont</f>
        <v>0</v>
      </c>
      <c r="BH278" s="49">
        <f ca="1">HM_ZD_AM3_2005!CA_excess_cost_recovery-HM_ZD_AM3_2005!CA_excess_CR_cont</f>
        <v>0</v>
      </c>
      <c r="BI278" s="49">
        <f ca="1">HM_ZD_AM3_2005!CA_excess_cost_recovery-HM_ZD_AM3_2005!CA_excess_CR_cont</f>
        <v>0</v>
      </c>
      <c r="BJ278" s="49">
        <f ca="1">HM_ZD_AM3_2005!CA_excess_cost_recovery-HM_ZD_AM3_2005!CA_excess_CR_cont</f>
        <v>0</v>
      </c>
      <c r="BK278" s="49">
        <f ca="1">HM_ZD_AM3_2005!CA_excess_cost_recovery-HM_ZD_AM3_2005!CA_excess_CR_cont</f>
        <v>0</v>
      </c>
      <c r="BL278" s="49">
        <f ca="1">HM_ZD_AM3_2005!CA_excess_cost_recovery-HM_ZD_AM3_2005!CA_excess_CR_cont</f>
        <v>0</v>
      </c>
      <c r="BM278" s="49">
        <f ca="1">HM_ZD_AM3_2005!CA_excess_cost_recovery-HM_ZD_AM3_2005!CA_excess_CR_cont</f>
        <v>0</v>
      </c>
      <c r="BN278" s="49">
        <f ca="1">HM_ZD_AM3_2005!CA_excess_cost_recovery-HM_ZD_AM3_2005!CA_excess_CR_cont</f>
        <v>0</v>
      </c>
      <c r="BO278" s="49">
        <f ca="1">HM_ZD_AM3_2005!CA_excess_cost_recovery-HM_ZD_AM3_2005!CA_excess_CR_cont</f>
        <v>0</v>
      </c>
      <c r="BP278" s="49">
        <f ca="1">HM_ZD_AM3_2005!CA_excess_cost_recovery-HM_ZD_AM3_2005!CA_excess_CR_cont</f>
        <v>0</v>
      </c>
      <c r="BQ278" s="49">
        <f ca="1">HM_ZD_AM3_2005!CA_excess_cost_recovery-HM_ZD_AM3_2005!CA_excess_CR_cont</f>
        <v>0</v>
      </c>
      <c r="BR278" s="49">
        <f ca="1">HM_ZD_AM3_2005!CA_excess_cost_recovery-HM_ZD_AM3_2005!CA_excess_CR_cont</f>
        <v>0</v>
      </c>
      <c r="BS278" s="49">
        <f ca="1">HM_ZD_AM3_2005!CA_excess_cost_recovery-HM_ZD_AM3_2005!CA_excess_CR_cont</f>
        <v>0</v>
      </c>
    </row>
    <row r="279" spans="3:71" outlineLevel="1" x14ac:dyDescent="0.2">
      <c r="J279" s="26"/>
      <c r="L279" s="55"/>
      <c r="M279" s="55"/>
      <c r="N279" s="55"/>
      <c r="O279" s="55"/>
      <c r="P279" s="55"/>
      <c r="Q279" s="55"/>
      <c r="R279" s="55"/>
      <c r="S279" s="55"/>
      <c r="T279" s="55"/>
      <c r="U279" s="55"/>
      <c r="V279" s="55"/>
      <c r="W279" s="55"/>
      <c r="X279" s="55"/>
      <c r="Y279" s="55"/>
      <c r="Z279" s="55"/>
      <c r="AA279" s="55"/>
      <c r="AB279" s="55"/>
      <c r="AC279" s="55"/>
      <c r="AD279" s="55"/>
      <c r="AE279" s="55"/>
      <c r="AF279" s="55"/>
      <c r="AG279" s="55"/>
      <c r="AH279" s="55"/>
      <c r="AI279" s="55"/>
      <c r="AJ279" s="55"/>
      <c r="AK279" s="55"/>
      <c r="AL279" s="55"/>
      <c r="AM279" s="55"/>
      <c r="AN279" s="55"/>
      <c r="AO279" s="55"/>
      <c r="AP279" s="55"/>
      <c r="AQ279" s="55"/>
      <c r="AR279" s="55"/>
      <c r="AS279" s="55"/>
      <c r="AT279" s="55"/>
      <c r="AU279" s="55"/>
      <c r="AV279" s="55"/>
      <c r="AW279" s="55"/>
      <c r="AX279" s="55"/>
      <c r="AY279" s="55"/>
      <c r="AZ279" s="55"/>
      <c r="BA279" s="55"/>
      <c r="BB279" s="55"/>
      <c r="BC279" s="55"/>
      <c r="BD279" s="55"/>
      <c r="BE279" s="55"/>
      <c r="BF279" s="55"/>
      <c r="BG279" s="55"/>
      <c r="BH279" s="55"/>
      <c r="BI279" s="55"/>
      <c r="BJ279" s="55"/>
      <c r="BK279" s="55"/>
      <c r="BL279" s="55"/>
      <c r="BM279" s="55"/>
      <c r="BN279" s="55"/>
      <c r="BO279" s="55"/>
      <c r="BP279" s="55"/>
      <c r="BQ279" s="55"/>
      <c r="BR279" s="55"/>
      <c r="BS279" s="55"/>
    </row>
    <row r="280" spans="3:71" outlineLevel="1" x14ac:dyDescent="0.2">
      <c r="J280" s="26"/>
      <c r="L280" s="55"/>
      <c r="M280" s="55"/>
      <c r="N280" s="55"/>
      <c r="O280" s="55"/>
      <c r="P280" s="55"/>
      <c r="Q280" s="55"/>
      <c r="R280" s="55"/>
      <c r="S280" s="55"/>
      <c r="T280" s="55"/>
      <c r="U280" s="55"/>
      <c r="V280" s="55"/>
      <c r="W280" s="55"/>
      <c r="X280" s="55"/>
      <c r="Y280" s="55"/>
      <c r="Z280" s="55"/>
      <c r="AA280" s="55"/>
      <c r="AB280" s="55"/>
      <c r="AC280" s="55"/>
      <c r="AD280" s="55"/>
      <c r="AE280" s="55"/>
      <c r="AF280" s="55"/>
      <c r="AG280" s="55"/>
      <c r="AH280" s="55"/>
      <c r="AI280" s="55"/>
      <c r="AJ280" s="55"/>
      <c r="AK280" s="55"/>
      <c r="AL280" s="55"/>
      <c r="AM280" s="55"/>
      <c r="AN280" s="55"/>
      <c r="AO280" s="55"/>
      <c r="AP280" s="55"/>
      <c r="AQ280" s="55"/>
      <c r="AR280" s="55"/>
      <c r="AS280" s="55"/>
      <c r="AT280" s="55"/>
      <c r="AU280" s="55"/>
      <c r="AV280" s="55"/>
      <c r="AW280" s="55"/>
      <c r="AX280" s="55"/>
      <c r="AY280" s="55"/>
      <c r="AZ280" s="55"/>
      <c r="BA280" s="55"/>
      <c r="BB280" s="55"/>
      <c r="BC280" s="55"/>
      <c r="BD280" s="55"/>
      <c r="BE280" s="55"/>
      <c r="BF280" s="55"/>
      <c r="BG280" s="55"/>
      <c r="BH280" s="55"/>
      <c r="BI280" s="55"/>
      <c r="BJ280" s="55"/>
      <c r="BK280" s="55"/>
      <c r="BL280" s="55"/>
      <c r="BM280" s="55"/>
      <c r="BN280" s="55"/>
      <c r="BO280" s="55"/>
      <c r="BP280" s="55"/>
      <c r="BQ280" s="55"/>
      <c r="BR280" s="55"/>
      <c r="BS280" s="55"/>
    </row>
    <row r="281" spans="3:71" outlineLevel="1" x14ac:dyDescent="0.2">
      <c r="C281" s="11" t="str">
        <f>HM_ZD_Moho!C300</f>
        <v>Super Profit Oil (SPO)</v>
      </c>
      <c r="J281" s="26"/>
      <c r="L281" s="55"/>
      <c r="M281" s="55"/>
      <c r="N281" s="55"/>
      <c r="O281" s="55"/>
      <c r="P281" s="55"/>
      <c r="Q281" s="55"/>
      <c r="R281" s="55"/>
      <c r="S281" s="55"/>
      <c r="T281" s="55"/>
      <c r="U281" s="55"/>
      <c r="V281" s="55"/>
      <c r="W281" s="55"/>
      <c r="X281" s="55"/>
      <c r="Y281" s="55"/>
      <c r="Z281" s="55"/>
      <c r="AA281" s="55"/>
      <c r="AB281" s="55"/>
      <c r="AC281" s="55"/>
      <c r="AD281" s="55"/>
      <c r="AE281" s="55"/>
      <c r="AF281" s="55"/>
      <c r="AG281" s="55"/>
      <c r="AH281" s="55"/>
      <c r="AI281" s="55"/>
      <c r="AJ281" s="55"/>
      <c r="AK281" s="55"/>
      <c r="AL281" s="55"/>
      <c r="AM281" s="55"/>
      <c r="AN281" s="55"/>
      <c r="AO281" s="55"/>
      <c r="AP281" s="55"/>
      <c r="AQ281" s="55"/>
      <c r="AR281" s="55"/>
      <c r="AS281" s="55"/>
      <c r="AT281" s="55"/>
      <c r="AU281" s="55"/>
      <c r="AV281" s="55"/>
      <c r="AW281" s="55"/>
      <c r="AX281" s="55"/>
      <c r="AY281" s="55"/>
      <c r="AZ281" s="55"/>
      <c r="BA281" s="55"/>
      <c r="BB281" s="55"/>
      <c r="BC281" s="55"/>
      <c r="BD281" s="55"/>
      <c r="BE281" s="55"/>
      <c r="BF281" s="55"/>
      <c r="BG281" s="55"/>
      <c r="BH281" s="55"/>
      <c r="BI281" s="55"/>
      <c r="BJ281" s="55"/>
      <c r="BK281" s="55"/>
      <c r="BL281" s="55"/>
      <c r="BM281" s="55"/>
      <c r="BN281" s="55"/>
      <c r="BO281" s="55"/>
      <c r="BP281" s="55"/>
      <c r="BQ281" s="55"/>
      <c r="BR281" s="55"/>
      <c r="BS281" s="55"/>
    </row>
    <row r="282" spans="3:71" outlineLevel="1" x14ac:dyDescent="0.2">
      <c r="J282" s="26"/>
      <c r="L282" s="55"/>
      <c r="M282" s="55"/>
      <c r="N282" s="55"/>
      <c r="O282" s="55"/>
      <c r="P282" s="55"/>
      <c r="Q282" s="55"/>
      <c r="R282" s="55"/>
      <c r="S282" s="55"/>
      <c r="T282" s="55"/>
      <c r="U282" s="55"/>
      <c r="V282" s="55"/>
      <c r="W282" s="55"/>
      <c r="X282" s="55"/>
      <c r="Y282" s="55"/>
      <c r="Z282" s="55"/>
      <c r="AA282" s="55"/>
      <c r="AB282" s="55"/>
      <c r="AC282" s="55"/>
      <c r="AD282" s="55"/>
      <c r="AE282" s="55"/>
      <c r="AF282" s="55"/>
      <c r="AG282" s="55"/>
      <c r="AH282" s="55"/>
      <c r="AI282" s="55"/>
      <c r="AJ282" s="55"/>
      <c r="AK282" s="55"/>
      <c r="AL282" s="55"/>
      <c r="AM282" s="55"/>
      <c r="AN282" s="55"/>
      <c r="AO282" s="55"/>
      <c r="AP282" s="55"/>
      <c r="AQ282" s="55"/>
      <c r="AR282" s="55"/>
      <c r="AS282" s="55"/>
      <c r="AT282" s="55"/>
      <c r="AU282" s="55"/>
      <c r="AV282" s="55"/>
      <c r="AW282" s="55"/>
      <c r="AX282" s="55"/>
      <c r="AY282" s="55"/>
      <c r="AZ282" s="55"/>
      <c r="BA282" s="55"/>
      <c r="BB282" s="55"/>
      <c r="BC282" s="55"/>
      <c r="BD282" s="55"/>
      <c r="BE282" s="55"/>
      <c r="BF282" s="55"/>
      <c r="BG282" s="55"/>
      <c r="BH282" s="55"/>
      <c r="BI282" s="55"/>
      <c r="BJ282" s="55"/>
      <c r="BK282" s="55"/>
      <c r="BL282" s="55"/>
      <c r="BM282" s="55"/>
      <c r="BN282" s="55"/>
      <c r="BO282" s="55"/>
      <c r="BP282" s="55"/>
      <c r="BQ282" s="55"/>
      <c r="BR282" s="55"/>
      <c r="BS282" s="55"/>
    </row>
    <row r="283" spans="3:71" outlineLevel="1" x14ac:dyDescent="0.2">
      <c r="D283" t="str">
        <f>HM_ZD_Moho!D303</f>
        <v>Revenus SPO - Tranche 1</v>
      </c>
      <c r="I283" s="30">
        <f t="shared" ref="I283" ca="1" si="94">SUM($L283:$BS283)</f>
        <v>0</v>
      </c>
      <c r="J283" s="26" t="s">
        <v>148</v>
      </c>
      <c r="L283" s="49">
        <f ca="1">(HM_ZD_AM3_2005!CA_gross_rev_oil_difference-((HM_ZD_AM3_2005!CA_gross_sales_oil+HM_ZD_AM3_2005!CA_gross_sales_lpg)*HM_ZD_AM3_2005!CA_FP_oil_nom*(65%-(65%*(HM_ZD_AM3_2005!CA_HP_oil_nom/HM_ZD_AM3_2005!CA_FP_oil_nom)))))*((HM_ZD_AM3_2005!CA_cum_gross_sales_oil+HM_ZD_AM3_2005!CA_cum_gross_sales_lpg)&lt;INDEX(HM_ZD_AM3_2005!FA_SPO_cumprod_oil,2))</f>
        <v>0</v>
      </c>
      <c r="M283" s="49">
        <f ca="1">(HM_ZD_AM3_2005!CA_gross_rev_oil_difference-((HM_ZD_AM3_2005!CA_gross_sales_oil+HM_ZD_AM3_2005!CA_gross_sales_lpg)*HM_ZD_AM3_2005!CA_FP_oil_nom*(65%-(65%*(HM_ZD_AM3_2005!CA_HP_oil_nom/HM_ZD_AM3_2005!CA_FP_oil_nom)))))*((HM_ZD_AM3_2005!CA_cum_gross_sales_oil+HM_ZD_AM3_2005!CA_cum_gross_sales_lpg)&lt;INDEX(HM_ZD_AM3_2005!FA_SPO_cumprod_oil,2))</f>
        <v>0</v>
      </c>
      <c r="N283" s="49"/>
      <c r="O283" s="49"/>
      <c r="P283" s="49"/>
      <c r="Q283" s="49"/>
      <c r="R283" s="49"/>
      <c r="S283" s="49"/>
      <c r="T283" s="49"/>
      <c r="U283" s="49"/>
      <c r="V283" s="49"/>
      <c r="W283" s="49"/>
      <c r="X283" s="49"/>
      <c r="Y283" s="49"/>
      <c r="Z283" s="49"/>
      <c r="AA283" s="49"/>
      <c r="AB283" s="49"/>
      <c r="AC283" s="49"/>
      <c r="AD283" s="49"/>
      <c r="AE283" s="49"/>
      <c r="AF283" s="49"/>
      <c r="AG283" s="49"/>
      <c r="AH283" s="49"/>
      <c r="AI283" s="49"/>
      <c r="AJ283" s="49"/>
      <c r="AK283" s="49"/>
      <c r="AL283" s="49"/>
      <c r="AM283" s="49"/>
      <c r="AN283" s="49"/>
      <c r="AO283" s="49"/>
      <c r="AP283" s="49"/>
      <c r="AQ283" s="49"/>
      <c r="AR283" s="49"/>
      <c r="AS283" s="49"/>
      <c r="AT283" s="49"/>
      <c r="AU283" s="49"/>
      <c r="AV283" s="49"/>
      <c r="AW283" s="49"/>
      <c r="AX283" s="49"/>
      <c r="AY283" s="49"/>
      <c r="AZ283" s="49"/>
      <c r="BA283" s="49"/>
      <c r="BB283" s="49"/>
      <c r="BC283" s="49"/>
      <c r="BD283" s="49"/>
      <c r="BE283" s="49"/>
      <c r="BF283" s="49"/>
      <c r="BG283" s="49"/>
      <c r="BH283" s="49"/>
      <c r="BI283" s="49"/>
      <c r="BJ283" s="49"/>
      <c r="BK283" s="49"/>
      <c r="BL283" s="49"/>
      <c r="BM283" s="49"/>
      <c r="BN283" s="49"/>
      <c r="BO283" s="49"/>
      <c r="BP283" s="49"/>
      <c r="BQ283" s="49"/>
      <c r="BR283" s="49"/>
      <c r="BS283" s="49"/>
    </row>
    <row r="284" spans="3:71" outlineLevel="1" x14ac:dyDescent="0.2">
      <c r="J284" s="26"/>
      <c r="L284" s="55"/>
      <c r="M284" s="55"/>
      <c r="N284" s="55"/>
      <c r="O284" s="55"/>
      <c r="P284" s="55"/>
      <c r="Q284" s="55"/>
      <c r="R284" s="55"/>
      <c r="S284" s="55"/>
      <c r="T284" s="55"/>
      <c r="U284" s="55"/>
      <c r="V284" s="55"/>
      <c r="W284" s="55"/>
      <c r="X284" s="55"/>
      <c r="Y284" s="55"/>
      <c r="Z284" s="55"/>
      <c r="AA284" s="55"/>
      <c r="AB284" s="55"/>
      <c r="AC284" s="55"/>
      <c r="AD284" s="55"/>
      <c r="AE284" s="55"/>
      <c r="AF284" s="55"/>
      <c r="AG284" s="55"/>
      <c r="AH284" s="55"/>
      <c r="AI284" s="55"/>
      <c r="AJ284" s="55"/>
      <c r="AK284" s="55"/>
      <c r="AL284" s="55"/>
      <c r="AM284" s="55"/>
      <c r="AN284" s="55"/>
      <c r="AO284" s="55"/>
      <c r="AP284" s="55"/>
      <c r="AQ284" s="55"/>
      <c r="AR284" s="55"/>
      <c r="AS284" s="55"/>
      <c r="AT284" s="55"/>
      <c r="AU284" s="55"/>
      <c r="AV284" s="55"/>
      <c r="AW284" s="55"/>
      <c r="AX284" s="55"/>
      <c r="AY284" s="55"/>
      <c r="AZ284" s="55"/>
      <c r="BA284" s="55"/>
      <c r="BB284" s="55"/>
      <c r="BC284" s="55"/>
      <c r="BD284" s="55"/>
      <c r="BE284" s="55"/>
      <c r="BF284" s="55"/>
      <c r="BG284" s="55"/>
      <c r="BH284" s="55"/>
      <c r="BI284" s="55"/>
      <c r="BJ284" s="55"/>
      <c r="BK284" s="55"/>
      <c r="BL284" s="55"/>
      <c r="BM284" s="55"/>
      <c r="BN284" s="55"/>
      <c r="BO284" s="55"/>
      <c r="BP284" s="55"/>
      <c r="BQ284" s="55"/>
      <c r="BR284" s="55"/>
      <c r="BS284" s="55"/>
    </row>
    <row r="285" spans="3:71" outlineLevel="1" x14ac:dyDescent="0.2">
      <c r="D285" t="str">
        <f>HM_ZD_Moho!D305</f>
        <v>Revenus SPO - Tranche 2</v>
      </c>
      <c r="I285" s="30">
        <f t="shared" ref="I285:I287" ca="1" si="95">SUM($L285:$BS285)</f>
        <v>0</v>
      </c>
      <c r="J285" s="26" t="s">
        <v>148</v>
      </c>
      <c r="L285" s="49">
        <f ca="1">(HM_ZD_AM3_2005!CA_gross_rev_oil_difference-((HM_ZD_AM3_2005!CA_gross_sales_oil+HM_ZD_AM3_2005!CA_gross_sales_lpg)*HM_ZD_AM3_2005!CA_FP_oil_nom*(60%-(60%*(HM_ZD_AM3_2005!CA_HP_oil_nom/HM_ZD_AM3_2005!CA_FP_oil_nom)))))*AND((HM_ZD_AM3_2005!CA_cum_gross_sales_oil+HM_ZD_AM3_2005!CA_cum_gross_sales_lpg)&gt;=INDEX(HM_ZD_AM3_2005!FA_SPO_cumprod_oil,2),(HM_ZD_AM3_2005!CA_cum_gross_sales_oil+HM_ZD_AM3_2005!CA_cum_gross_sales_lpg)&lt;INDEX(HM_ZD_AM3_2005!FA_SPO_cumprod_oil,3))</f>
        <v>0</v>
      </c>
      <c r="M285" s="49">
        <f ca="1">(HM_ZD_AM3_2005!CA_gross_rev_oil_difference-((HM_ZD_AM3_2005!CA_gross_sales_oil+HM_ZD_AM3_2005!CA_gross_sales_lpg)*HM_ZD_AM3_2005!CA_FP_oil_nom*(60%-(60%*(HM_ZD_AM3_2005!CA_HP_oil_nom/HM_ZD_AM3_2005!CA_FP_oil_nom)))))*AND((HM_ZD_AM3_2005!CA_cum_gross_sales_oil+HM_ZD_AM3_2005!CA_cum_gross_sales_lpg)&gt;=INDEX(HM_ZD_AM3_2005!FA_SPO_cumprod_oil,2),(HM_ZD_AM3_2005!CA_cum_gross_sales_oil+HM_ZD_AM3_2005!CA_cum_gross_sales_lpg)&lt;INDEX(HM_ZD_AM3_2005!FA_SPO_cumprod_oil,3))</f>
        <v>0</v>
      </c>
      <c r="N285" s="49"/>
      <c r="O285" s="49"/>
      <c r="P285" s="49"/>
      <c r="Q285" s="49"/>
      <c r="R285" s="49"/>
      <c r="S285" s="49"/>
      <c r="T285" s="49"/>
      <c r="U285" s="49"/>
      <c r="V285" s="49"/>
      <c r="W285" s="49"/>
      <c r="X285" s="49"/>
      <c r="Y285" s="49"/>
      <c r="Z285" s="49"/>
      <c r="AA285" s="49"/>
      <c r="AB285" s="49"/>
      <c r="AC285" s="49"/>
      <c r="AD285" s="49"/>
      <c r="AE285" s="49"/>
      <c r="AF285" s="49"/>
      <c r="AG285" s="49"/>
      <c r="AH285" s="49"/>
      <c r="AI285" s="49"/>
      <c r="AJ285" s="49"/>
      <c r="AK285" s="49"/>
      <c r="AL285" s="49"/>
      <c r="AM285" s="49"/>
      <c r="AN285" s="49"/>
      <c r="AO285" s="49"/>
      <c r="AP285" s="49"/>
      <c r="AQ285" s="49"/>
      <c r="AR285" s="49"/>
      <c r="AS285" s="49"/>
      <c r="AT285" s="49"/>
      <c r="AU285" s="49"/>
      <c r="AV285" s="49"/>
      <c r="AW285" s="49"/>
      <c r="AX285" s="49"/>
      <c r="AY285" s="49"/>
      <c r="AZ285" s="49"/>
      <c r="BA285" s="49"/>
      <c r="BB285" s="49"/>
      <c r="BC285" s="49"/>
      <c r="BD285" s="49"/>
      <c r="BE285" s="49"/>
      <c r="BF285" s="49"/>
      <c r="BG285" s="49"/>
      <c r="BH285" s="49"/>
      <c r="BI285" s="49"/>
      <c r="BJ285" s="49"/>
      <c r="BK285" s="49"/>
      <c r="BL285" s="49"/>
      <c r="BM285" s="49"/>
      <c r="BN285" s="49"/>
      <c r="BO285" s="49"/>
      <c r="BP285" s="49"/>
      <c r="BQ285" s="49"/>
      <c r="BR285" s="49"/>
      <c r="BS285" s="49"/>
    </row>
    <row r="286" spans="3:71" outlineLevel="1" x14ac:dyDescent="0.2">
      <c r="J286" s="26"/>
      <c r="L286" s="55"/>
      <c r="M286" s="55"/>
      <c r="N286" s="55"/>
      <c r="O286" s="55"/>
      <c r="P286" s="55"/>
      <c r="Q286" s="55"/>
      <c r="R286" s="55"/>
      <c r="S286" s="55"/>
      <c r="T286" s="55"/>
      <c r="U286" s="55"/>
      <c r="V286" s="55"/>
      <c r="W286" s="55"/>
      <c r="X286" s="55"/>
      <c r="Y286" s="55"/>
      <c r="Z286" s="55"/>
      <c r="AA286" s="55"/>
      <c r="AB286" s="55"/>
      <c r="AC286" s="55"/>
      <c r="AD286" s="55"/>
      <c r="AE286" s="55"/>
      <c r="AF286" s="55"/>
      <c r="AG286" s="55"/>
      <c r="AH286" s="55"/>
      <c r="AI286" s="55"/>
      <c r="AJ286" s="55"/>
      <c r="AK286" s="55"/>
      <c r="AL286" s="55"/>
      <c r="AM286" s="55"/>
      <c r="AN286" s="55"/>
      <c r="AO286" s="55"/>
      <c r="AP286" s="55"/>
      <c r="AQ286" s="55"/>
      <c r="AR286" s="55"/>
      <c r="AS286" s="55"/>
      <c r="AT286" s="55"/>
      <c r="AU286" s="55"/>
      <c r="AV286" s="55"/>
      <c r="AW286" s="55"/>
      <c r="AX286" s="55"/>
      <c r="AY286" s="55"/>
      <c r="AZ286" s="55"/>
      <c r="BA286" s="55"/>
      <c r="BB286" s="55"/>
      <c r="BC286" s="55"/>
      <c r="BD286" s="55"/>
      <c r="BE286" s="55"/>
      <c r="BF286" s="55"/>
      <c r="BG286" s="55"/>
      <c r="BH286" s="55"/>
      <c r="BI286" s="55"/>
      <c r="BJ286" s="55"/>
      <c r="BK286" s="55"/>
      <c r="BL286" s="55"/>
      <c r="BM286" s="55"/>
      <c r="BN286" s="55"/>
      <c r="BO286" s="55"/>
      <c r="BP286" s="55"/>
      <c r="BQ286" s="55"/>
      <c r="BR286" s="55"/>
      <c r="BS286" s="55"/>
    </row>
    <row r="287" spans="3:71" outlineLevel="1" x14ac:dyDescent="0.2">
      <c r="D287" t="str">
        <f>HM_ZD_Moho!D307</f>
        <v>Revenus SPO - Tranche 3</v>
      </c>
      <c r="I287" s="30">
        <f t="shared" ca="1" si="95"/>
        <v>2722.3429331440002</v>
      </c>
      <c r="J287" s="26" t="s">
        <v>148</v>
      </c>
      <c r="L287" s="49">
        <f ca="1">IF((_xlfn.SINGLE(HM_ZD_AM3_2005!CA_cum_gross_sales_oil)+_xlfn.SINGLE(HM_ZD_AM3_2005!CA_cum_gross_sales_lpg))&gt;=INDEX(HM_ZD_AM3_2005!FA_SPO_cumprod_oil,3),_xlfn.SINGLE(HM_ZD_AM3_2005!CA_gross_rev_oil_difference),0)</f>
        <v>1422.5944995370003</v>
      </c>
      <c r="M287" s="49">
        <f ca="1">IF((_xlfn.SINGLE(HM_ZD_AM3_2005!CA_cum_gross_sales_oil)+_xlfn.SINGLE(HM_ZD_AM3_2005!CA_cum_gross_sales_lpg))&gt;=INDEX(HM_ZD_AM3_2005!FA_SPO_cumprod_oil,3),_xlfn.SINGLE(HM_ZD_AM3_2005!CA_gross_rev_oil_difference),0)</f>
        <v>1299.7484336069997</v>
      </c>
      <c r="N287" s="49">
        <f ca="1">IF((_xlfn.SINGLE(HM_ZD_AM3_2005!CA_cum_gross_sales_oil)+_xlfn.SINGLE(HM_ZD_AM3_2005!CA_cum_gross_sales_lpg))&gt;=INDEX(HM_ZD_AM3_2005!FA_SPO_cumprod_oil,3),_xlfn.SINGLE(HM_ZD_AM3_2005!CA_gross_rev_oil_difference),0)</f>
        <v>0</v>
      </c>
      <c r="O287" s="49">
        <f ca="1">IF((_xlfn.SINGLE(HM_ZD_AM3_2005!CA_cum_gross_sales_oil)+_xlfn.SINGLE(HM_ZD_AM3_2005!CA_cum_gross_sales_lpg))&gt;=INDEX(HM_ZD_AM3_2005!FA_SPO_cumprod_oil,3),_xlfn.SINGLE(HM_ZD_AM3_2005!CA_gross_rev_oil_difference),0)</f>
        <v>0</v>
      </c>
      <c r="P287" s="49">
        <f ca="1">IF((_xlfn.SINGLE(HM_ZD_AM3_2005!CA_cum_gross_sales_oil)+_xlfn.SINGLE(HM_ZD_AM3_2005!CA_cum_gross_sales_lpg))&gt;=INDEX(HM_ZD_AM3_2005!FA_SPO_cumprod_oil,3),_xlfn.SINGLE(HM_ZD_AM3_2005!CA_gross_rev_oil_difference),0)</f>
        <v>0</v>
      </c>
      <c r="Q287" s="49">
        <f ca="1">IF((_xlfn.SINGLE(HM_ZD_AM3_2005!CA_cum_gross_sales_oil)+_xlfn.SINGLE(HM_ZD_AM3_2005!CA_cum_gross_sales_lpg))&gt;=INDEX(HM_ZD_AM3_2005!FA_SPO_cumprod_oil,3),_xlfn.SINGLE(HM_ZD_AM3_2005!CA_gross_rev_oil_difference),0)</f>
        <v>0</v>
      </c>
      <c r="R287" s="49">
        <f ca="1">IF((_xlfn.SINGLE(HM_ZD_AM3_2005!CA_cum_gross_sales_oil)+_xlfn.SINGLE(HM_ZD_AM3_2005!CA_cum_gross_sales_lpg))&gt;=INDEX(HM_ZD_AM3_2005!FA_SPO_cumprod_oil,3),_xlfn.SINGLE(HM_ZD_AM3_2005!CA_gross_rev_oil_difference),0)</f>
        <v>0</v>
      </c>
      <c r="S287" s="49">
        <f ca="1">IF((_xlfn.SINGLE(HM_ZD_AM3_2005!CA_cum_gross_sales_oil)+_xlfn.SINGLE(HM_ZD_AM3_2005!CA_cum_gross_sales_lpg))&gt;=INDEX(HM_ZD_AM3_2005!FA_SPO_cumprod_oil,3),_xlfn.SINGLE(HM_ZD_AM3_2005!CA_gross_rev_oil_difference),0)</f>
        <v>0</v>
      </c>
      <c r="T287" s="49">
        <f ca="1">IF((_xlfn.SINGLE(HM_ZD_AM3_2005!CA_cum_gross_sales_oil)+_xlfn.SINGLE(HM_ZD_AM3_2005!CA_cum_gross_sales_lpg))&gt;=INDEX(HM_ZD_AM3_2005!FA_SPO_cumprod_oil,3),_xlfn.SINGLE(HM_ZD_AM3_2005!CA_gross_rev_oil_difference),0)</f>
        <v>0</v>
      </c>
      <c r="U287" s="49">
        <f ca="1">IF((_xlfn.SINGLE(HM_ZD_AM3_2005!CA_cum_gross_sales_oil)+_xlfn.SINGLE(HM_ZD_AM3_2005!CA_cum_gross_sales_lpg))&gt;=INDEX(HM_ZD_AM3_2005!FA_SPO_cumprod_oil,3),_xlfn.SINGLE(HM_ZD_AM3_2005!CA_gross_rev_oil_difference),0)</f>
        <v>0</v>
      </c>
      <c r="V287" s="49">
        <f ca="1">IF((_xlfn.SINGLE(HM_ZD_AM3_2005!CA_cum_gross_sales_oil)+_xlfn.SINGLE(HM_ZD_AM3_2005!CA_cum_gross_sales_lpg))&gt;=INDEX(HM_ZD_AM3_2005!FA_SPO_cumprod_oil,3),_xlfn.SINGLE(HM_ZD_AM3_2005!CA_gross_rev_oil_difference),0)</f>
        <v>0</v>
      </c>
      <c r="W287" s="49">
        <f ca="1">IF((_xlfn.SINGLE(HM_ZD_AM3_2005!CA_cum_gross_sales_oil)+_xlfn.SINGLE(HM_ZD_AM3_2005!CA_cum_gross_sales_lpg))&gt;=INDEX(HM_ZD_AM3_2005!FA_SPO_cumprod_oil,3),_xlfn.SINGLE(HM_ZD_AM3_2005!CA_gross_rev_oil_difference),0)</f>
        <v>0</v>
      </c>
      <c r="X287" s="49">
        <f ca="1">IF((_xlfn.SINGLE(HM_ZD_AM3_2005!CA_cum_gross_sales_oil)+_xlfn.SINGLE(HM_ZD_AM3_2005!CA_cum_gross_sales_lpg))&gt;=INDEX(HM_ZD_AM3_2005!FA_SPO_cumprod_oil,3),_xlfn.SINGLE(HM_ZD_AM3_2005!CA_gross_rev_oil_difference),0)</f>
        <v>0</v>
      </c>
      <c r="Y287" s="49">
        <f ca="1">IF((_xlfn.SINGLE(HM_ZD_AM3_2005!CA_cum_gross_sales_oil)+_xlfn.SINGLE(HM_ZD_AM3_2005!CA_cum_gross_sales_lpg))&gt;=INDEX(HM_ZD_AM3_2005!FA_SPO_cumprod_oil,3),_xlfn.SINGLE(HM_ZD_AM3_2005!CA_gross_rev_oil_difference),0)</f>
        <v>0</v>
      </c>
      <c r="Z287" s="49">
        <f ca="1">IF((_xlfn.SINGLE(HM_ZD_AM3_2005!CA_cum_gross_sales_oil)+_xlfn.SINGLE(HM_ZD_AM3_2005!CA_cum_gross_sales_lpg))&gt;=INDEX(HM_ZD_AM3_2005!FA_SPO_cumprod_oil,3),_xlfn.SINGLE(HM_ZD_AM3_2005!CA_gross_rev_oil_difference),0)</f>
        <v>0</v>
      </c>
      <c r="AA287" s="49">
        <f ca="1">IF((_xlfn.SINGLE(HM_ZD_AM3_2005!CA_cum_gross_sales_oil)+_xlfn.SINGLE(HM_ZD_AM3_2005!CA_cum_gross_sales_lpg))&gt;=INDEX(HM_ZD_AM3_2005!FA_SPO_cumprod_oil,3),_xlfn.SINGLE(HM_ZD_AM3_2005!CA_gross_rev_oil_difference),0)</f>
        <v>0</v>
      </c>
      <c r="AB287" s="49">
        <f ca="1">IF((_xlfn.SINGLE(HM_ZD_AM3_2005!CA_cum_gross_sales_oil)+_xlfn.SINGLE(HM_ZD_AM3_2005!CA_cum_gross_sales_lpg))&gt;=INDEX(HM_ZD_AM3_2005!FA_SPO_cumprod_oil,3),_xlfn.SINGLE(HM_ZD_AM3_2005!CA_gross_rev_oil_difference),0)</f>
        <v>0</v>
      </c>
      <c r="AC287" s="49">
        <f ca="1">IF((_xlfn.SINGLE(HM_ZD_AM3_2005!CA_cum_gross_sales_oil)+_xlfn.SINGLE(HM_ZD_AM3_2005!CA_cum_gross_sales_lpg))&gt;=INDEX(HM_ZD_AM3_2005!FA_SPO_cumprod_oil,3),_xlfn.SINGLE(HM_ZD_AM3_2005!CA_gross_rev_oil_difference),0)</f>
        <v>0</v>
      </c>
      <c r="AD287" s="49">
        <f ca="1">IF((_xlfn.SINGLE(HM_ZD_AM3_2005!CA_cum_gross_sales_oil)+_xlfn.SINGLE(HM_ZD_AM3_2005!CA_cum_gross_sales_lpg))&gt;=INDEX(HM_ZD_AM3_2005!FA_SPO_cumprod_oil,3),_xlfn.SINGLE(HM_ZD_AM3_2005!CA_gross_rev_oil_difference),0)</f>
        <v>0</v>
      </c>
      <c r="AE287" s="49">
        <f ca="1">IF((_xlfn.SINGLE(HM_ZD_AM3_2005!CA_cum_gross_sales_oil)+_xlfn.SINGLE(HM_ZD_AM3_2005!CA_cum_gross_sales_lpg))&gt;=INDEX(HM_ZD_AM3_2005!FA_SPO_cumprod_oil,3),_xlfn.SINGLE(HM_ZD_AM3_2005!CA_gross_rev_oil_difference),0)</f>
        <v>0</v>
      </c>
      <c r="AF287" s="49">
        <f ca="1">IF((_xlfn.SINGLE(HM_ZD_AM3_2005!CA_cum_gross_sales_oil)+_xlfn.SINGLE(HM_ZD_AM3_2005!CA_cum_gross_sales_lpg))&gt;=INDEX(HM_ZD_AM3_2005!FA_SPO_cumprod_oil,3),_xlfn.SINGLE(HM_ZD_AM3_2005!CA_gross_rev_oil_difference),0)</f>
        <v>0</v>
      </c>
      <c r="AG287" s="49">
        <f ca="1">IF((_xlfn.SINGLE(HM_ZD_AM3_2005!CA_cum_gross_sales_oil)+_xlfn.SINGLE(HM_ZD_AM3_2005!CA_cum_gross_sales_lpg))&gt;=INDEX(HM_ZD_AM3_2005!FA_SPO_cumprod_oil,3),_xlfn.SINGLE(HM_ZD_AM3_2005!CA_gross_rev_oil_difference),0)</f>
        <v>0</v>
      </c>
      <c r="AH287" s="49">
        <f ca="1">IF((_xlfn.SINGLE(HM_ZD_AM3_2005!CA_cum_gross_sales_oil)+_xlfn.SINGLE(HM_ZD_AM3_2005!CA_cum_gross_sales_lpg))&gt;=INDEX(HM_ZD_AM3_2005!FA_SPO_cumprod_oil,3),_xlfn.SINGLE(HM_ZD_AM3_2005!CA_gross_rev_oil_difference),0)</f>
        <v>0</v>
      </c>
      <c r="AI287" s="49">
        <f ca="1">IF((_xlfn.SINGLE(HM_ZD_AM3_2005!CA_cum_gross_sales_oil)+_xlfn.SINGLE(HM_ZD_AM3_2005!CA_cum_gross_sales_lpg))&gt;=INDEX(HM_ZD_AM3_2005!FA_SPO_cumprod_oil,3),_xlfn.SINGLE(HM_ZD_AM3_2005!CA_gross_rev_oil_difference),0)</f>
        <v>0</v>
      </c>
      <c r="AJ287" s="49">
        <f ca="1">IF((_xlfn.SINGLE(HM_ZD_AM3_2005!CA_cum_gross_sales_oil)+_xlfn.SINGLE(HM_ZD_AM3_2005!CA_cum_gross_sales_lpg))&gt;=INDEX(HM_ZD_AM3_2005!FA_SPO_cumprod_oil,3),_xlfn.SINGLE(HM_ZD_AM3_2005!CA_gross_rev_oil_difference),0)</f>
        <v>0</v>
      </c>
      <c r="AK287" s="49">
        <f ca="1">IF((_xlfn.SINGLE(HM_ZD_AM3_2005!CA_cum_gross_sales_oil)+_xlfn.SINGLE(HM_ZD_AM3_2005!CA_cum_gross_sales_lpg))&gt;=INDEX(HM_ZD_AM3_2005!FA_SPO_cumprod_oil,3),_xlfn.SINGLE(HM_ZD_AM3_2005!CA_gross_rev_oil_difference),0)</f>
        <v>0</v>
      </c>
      <c r="AL287" s="49">
        <f ca="1">IF((_xlfn.SINGLE(HM_ZD_AM3_2005!CA_cum_gross_sales_oil)+_xlfn.SINGLE(HM_ZD_AM3_2005!CA_cum_gross_sales_lpg))&gt;=INDEX(HM_ZD_AM3_2005!FA_SPO_cumprod_oil,3),_xlfn.SINGLE(HM_ZD_AM3_2005!CA_gross_rev_oil_difference),0)</f>
        <v>0</v>
      </c>
      <c r="AM287" s="49">
        <f ca="1">IF((_xlfn.SINGLE(HM_ZD_AM3_2005!CA_cum_gross_sales_oil)+_xlfn.SINGLE(HM_ZD_AM3_2005!CA_cum_gross_sales_lpg))&gt;=INDEX(HM_ZD_AM3_2005!FA_SPO_cumprod_oil,3),_xlfn.SINGLE(HM_ZD_AM3_2005!CA_gross_rev_oil_difference),0)</f>
        <v>0</v>
      </c>
      <c r="AN287" s="49">
        <f ca="1">IF((_xlfn.SINGLE(HM_ZD_AM3_2005!CA_cum_gross_sales_oil)+_xlfn.SINGLE(HM_ZD_AM3_2005!CA_cum_gross_sales_lpg))&gt;=INDEX(HM_ZD_AM3_2005!FA_SPO_cumprod_oil,3),_xlfn.SINGLE(HM_ZD_AM3_2005!CA_gross_rev_oil_difference),0)</f>
        <v>0</v>
      </c>
      <c r="AO287" s="49">
        <f ca="1">IF((_xlfn.SINGLE(HM_ZD_AM3_2005!CA_cum_gross_sales_oil)+_xlfn.SINGLE(HM_ZD_AM3_2005!CA_cum_gross_sales_lpg))&gt;=INDEX(HM_ZD_AM3_2005!FA_SPO_cumprod_oil,3),_xlfn.SINGLE(HM_ZD_AM3_2005!CA_gross_rev_oil_difference),0)</f>
        <v>0</v>
      </c>
      <c r="AP287" s="49">
        <f ca="1">IF((_xlfn.SINGLE(HM_ZD_AM3_2005!CA_cum_gross_sales_oil)+_xlfn.SINGLE(HM_ZD_AM3_2005!CA_cum_gross_sales_lpg))&gt;=INDEX(HM_ZD_AM3_2005!FA_SPO_cumprod_oil,3),_xlfn.SINGLE(HM_ZD_AM3_2005!CA_gross_rev_oil_difference),0)</f>
        <v>0</v>
      </c>
      <c r="AQ287" s="49">
        <f ca="1">IF((_xlfn.SINGLE(HM_ZD_AM3_2005!CA_cum_gross_sales_oil)+_xlfn.SINGLE(HM_ZD_AM3_2005!CA_cum_gross_sales_lpg))&gt;=INDEX(HM_ZD_AM3_2005!FA_SPO_cumprod_oil,3),_xlfn.SINGLE(HM_ZD_AM3_2005!CA_gross_rev_oil_difference),0)</f>
        <v>0</v>
      </c>
      <c r="AR287" s="49">
        <f ca="1">IF((_xlfn.SINGLE(HM_ZD_AM3_2005!CA_cum_gross_sales_oil)+_xlfn.SINGLE(HM_ZD_AM3_2005!CA_cum_gross_sales_lpg))&gt;=INDEX(HM_ZD_AM3_2005!FA_SPO_cumprod_oil,3),_xlfn.SINGLE(HM_ZD_AM3_2005!CA_gross_rev_oil_difference),0)</f>
        <v>0</v>
      </c>
      <c r="AS287" s="49">
        <f ca="1">IF((_xlfn.SINGLE(HM_ZD_AM3_2005!CA_cum_gross_sales_oil)+_xlfn.SINGLE(HM_ZD_AM3_2005!CA_cum_gross_sales_lpg))&gt;=INDEX(HM_ZD_AM3_2005!FA_SPO_cumprod_oil,3),_xlfn.SINGLE(HM_ZD_AM3_2005!CA_gross_rev_oil_difference),0)</f>
        <v>0</v>
      </c>
      <c r="AT287" s="49">
        <f ca="1">IF((_xlfn.SINGLE(HM_ZD_AM3_2005!CA_cum_gross_sales_oil)+_xlfn.SINGLE(HM_ZD_AM3_2005!CA_cum_gross_sales_lpg))&gt;=INDEX(HM_ZD_AM3_2005!FA_SPO_cumprod_oil,3),_xlfn.SINGLE(HM_ZD_AM3_2005!CA_gross_rev_oil_difference),0)</f>
        <v>0</v>
      </c>
      <c r="AU287" s="49">
        <f ca="1">IF((_xlfn.SINGLE(HM_ZD_AM3_2005!CA_cum_gross_sales_oil)+_xlfn.SINGLE(HM_ZD_AM3_2005!CA_cum_gross_sales_lpg))&gt;=INDEX(HM_ZD_AM3_2005!FA_SPO_cumprod_oil,3),_xlfn.SINGLE(HM_ZD_AM3_2005!CA_gross_rev_oil_difference),0)</f>
        <v>0</v>
      </c>
      <c r="AV287" s="49">
        <f ca="1">IF((_xlfn.SINGLE(HM_ZD_AM3_2005!CA_cum_gross_sales_oil)+_xlfn.SINGLE(HM_ZD_AM3_2005!CA_cum_gross_sales_lpg))&gt;=INDEX(HM_ZD_AM3_2005!FA_SPO_cumprod_oil,3),_xlfn.SINGLE(HM_ZD_AM3_2005!CA_gross_rev_oil_difference),0)</f>
        <v>0</v>
      </c>
      <c r="AW287" s="49">
        <f ca="1">IF((_xlfn.SINGLE(HM_ZD_AM3_2005!CA_cum_gross_sales_oil)+_xlfn.SINGLE(HM_ZD_AM3_2005!CA_cum_gross_sales_lpg))&gt;=INDEX(HM_ZD_AM3_2005!FA_SPO_cumprod_oil,3),_xlfn.SINGLE(HM_ZD_AM3_2005!CA_gross_rev_oil_difference),0)</f>
        <v>0</v>
      </c>
      <c r="AX287" s="49">
        <f ca="1">IF((_xlfn.SINGLE(HM_ZD_AM3_2005!CA_cum_gross_sales_oil)+_xlfn.SINGLE(HM_ZD_AM3_2005!CA_cum_gross_sales_lpg))&gt;=INDEX(HM_ZD_AM3_2005!FA_SPO_cumprod_oil,3),_xlfn.SINGLE(HM_ZD_AM3_2005!CA_gross_rev_oil_difference),0)</f>
        <v>0</v>
      </c>
      <c r="AY287" s="49">
        <f ca="1">IF((_xlfn.SINGLE(HM_ZD_AM3_2005!CA_cum_gross_sales_oil)+_xlfn.SINGLE(HM_ZD_AM3_2005!CA_cum_gross_sales_lpg))&gt;=INDEX(HM_ZD_AM3_2005!FA_SPO_cumprod_oil,3),_xlfn.SINGLE(HM_ZD_AM3_2005!CA_gross_rev_oil_difference),0)</f>
        <v>0</v>
      </c>
      <c r="AZ287" s="49">
        <f ca="1">IF((_xlfn.SINGLE(HM_ZD_AM3_2005!CA_cum_gross_sales_oil)+_xlfn.SINGLE(HM_ZD_AM3_2005!CA_cum_gross_sales_lpg))&gt;=INDEX(HM_ZD_AM3_2005!FA_SPO_cumprod_oil,3),_xlfn.SINGLE(HM_ZD_AM3_2005!CA_gross_rev_oil_difference),0)</f>
        <v>0</v>
      </c>
      <c r="BA287" s="49">
        <f ca="1">IF((_xlfn.SINGLE(HM_ZD_AM3_2005!CA_cum_gross_sales_oil)+_xlfn.SINGLE(HM_ZD_AM3_2005!CA_cum_gross_sales_lpg))&gt;=INDEX(HM_ZD_AM3_2005!FA_SPO_cumprod_oil,3),_xlfn.SINGLE(HM_ZD_AM3_2005!CA_gross_rev_oil_difference),0)</f>
        <v>0</v>
      </c>
      <c r="BB287" s="49">
        <f ca="1">IF((_xlfn.SINGLE(HM_ZD_AM3_2005!CA_cum_gross_sales_oil)+_xlfn.SINGLE(HM_ZD_AM3_2005!CA_cum_gross_sales_lpg))&gt;=INDEX(HM_ZD_AM3_2005!FA_SPO_cumprod_oil,3),_xlfn.SINGLE(HM_ZD_AM3_2005!CA_gross_rev_oil_difference),0)</f>
        <v>0</v>
      </c>
      <c r="BC287" s="49">
        <f ca="1">IF((_xlfn.SINGLE(HM_ZD_AM3_2005!CA_cum_gross_sales_oil)+_xlfn.SINGLE(HM_ZD_AM3_2005!CA_cum_gross_sales_lpg))&gt;=INDEX(HM_ZD_AM3_2005!FA_SPO_cumprod_oil,3),_xlfn.SINGLE(HM_ZD_AM3_2005!CA_gross_rev_oil_difference),0)</f>
        <v>0</v>
      </c>
      <c r="BD287" s="49">
        <f ca="1">IF((_xlfn.SINGLE(HM_ZD_AM3_2005!CA_cum_gross_sales_oil)+_xlfn.SINGLE(HM_ZD_AM3_2005!CA_cum_gross_sales_lpg))&gt;=INDEX(HM_ZD_AM3_2005!FA_SPO_cumprod_oil,3),_xlfn.SINGLE(HM_ZD_AM3_2005!CA_gross_rev_oil_difference),0)</f>
        <v>0</v>
      </c>
      <c r="BE287" s="49">
        <f ca="1">IF((_xlfn.SINGLE(HM_ZD_AM3_2005!CA_cum_gross_sales_oil)+_xlfn.SINGLE(HM_ZD_AM3_2005!CA_cum_gross_sales_lpg))&gt;=INDEX(HM_ZD_AM3_2005!FA_SPO_cumprod_oil,3),_xlfn.SINGLE(HM_ZD_AM3_2005!CA_gross_rev_oil_difference),0)</f>
        <v>0</v>
      </c>
      <c r="BF287" s="49">
        <f ca="1">IF((_xlfn.SINGLE(HM_ZD_AM3_2005!CA_cum_gross_sales_oil)+_xlfn.SINGLE(HM_ZD_AM3_2005!CA_cum_gross_sales_lpg))&gt;=INDEX(HM_ZD_AM3_2005!FA_SPO_cumprod_oil,3),_xlfn.SINGLE(HM_ZD_AM3_2005!CA_gross_rev_oil_difference),0)</f>
        <v>0</v>
      </c>
      <c r="BG287" s="49">
        <f ca="1">IF((_xlfn.SINGLE(HM_ZD_AM3_2005!CA_cum_gross_sales_oil)+_xlfn.SINGLE(HM_ZD_AM3_2005!CA_cum_gross_sales_lpg))&gt;=INDEX(HM_ZD_AM3_2005!FA_SPO_cumprod_oil,3),_xlfn.SINGLE(HM_ZD_AM3_2005!CA_gross_rev_oil_difference),0)</f>
        <v>0</v>
      </c>
      <c r="BH287" s="49">
        <f ca="1">IF((_xlfn.SINGLE(HM_ZD_AM3_2005!CA_cum_gross_sales_oil)+_xlfn.SINGLE(HM_ZD_AM3_2005!CA_cum_gross_sales_lpg))&gt;=INDEX(HM_ZD_AM3_2005!FA_SPO_cumprod_oil,3),_xlfn.SINGLE(HM_ZD_AM3_2005!CA_gross_rev_oil_difference),0)</f>
        <v>0</v>
      </c>
      <c r="BI287" s="49">
        <f ca="1">IF((_xlfn.SINGLE(HM_ZD_AM3_2005!CA_cum_gross_sales_oil)+_xlfn.SINGLE(HM_ZD_AM3_2005!CA_cum_gross_sales_lpg))&gt;=INDEX(HM_ZD_AM3_2005!FA_SPO_cumprod_oil,3),_xlfn.SINGLE(HM_ZD_AM3_2005!CA_gross_rev_oil_difference),0)</f>
        <v>0</v>
      </c>
      <c r="BJ287" s="49">
        <f ca="1">IF((_xlfn.SINGLE(HM_ZD_AM3_2005!CA_cum_gross_sales_oil)+_xlfn.SINGLE(HM_ZD_AM3_2005!CA_cum_gross_sales_lpg))&gt;=INDEX(HM_ZD_AM3_2005!FA_SPO_cumprod_oil,3),_xlfn.SINGLE(HM_ZD_AM3_2005!CA_gross_rev_oil_difference),0)</f>
        <v>0</v>
      </c>
      <c r="BK287" s="49">
        <f ca="1">IF((_xlfn.SINGLE(HM_ZD_AM3_2005!CA_cum_gross_sales_oil)+_xlfn.SINGLE(HM_ZD_AM3_2005!CA_cum_gross_sales_lpg))&gt;=INDEX(HM_ZD_AM3_2005!FA_SPO_cumprod_oil,3),_xlfn.SINGLE(HM_ZD_AM3_2005!CA_gross_rev_oil_difference),0)</f>
        <v>0</v>
      </c>
      <c r="BL287" s="49">
        <f ca="1">IF((_xlfn.SINGLE(HM_ZD_AM3_2005!CA_cum_gross_sales_oil)+_xlfn.SINGLE(HM_ZD_AM3_2005!CA_cum_gross_sales_lpg))&gt;=INDEX(HM_ZD_AM3_2005!FA_SPO_cumprod_oil,3),_xlfn.SINGLE(HM_ZD_AM3_2005!CA_gross_rev_oil_difference),0)</f>
        <v>0</v>
      </c>
      <c r="BM287" s="49">
        <f ca="1">IF((_xlfn.SINGLE(HM_ZD_AM3_2005!CA_cum_gross_sales_oil)+_xlfn.SINGLE(HM_ZD_AM3_2005!CA_cum_gross_sales_lpg))&gt;=INDEX(HM_ZD_AM3_2005!FA_SPO_cumprod_oil,3),_xlfn.SINGLE(HM_ZD_AM3_2005!CA_gross_rev_oil_difference),0)</f>
        <v>0</v>
      </c>
      <c r="BN287" s="49">
        <f ca="1">IF((_xlfn.SINGLE(HM_ZD_AM3_2005!CA_cum_gross_sales_oil)+_xlfn.SINGLE(HM_ZD_AM3_2005!CA_cum_gross_sales_lpg))&gt;=INDEX(HM_ZD_AM3_2005!FA_SPO_cumprod_oil,3),_xlfn.SINGLE(HM_ZD_AM3_2005!CA_gross_rev_oil_difference),0)</f>
        <v>0</v>
      </c>
      <c r="BO287" s="49">
        <f ca="1">IF((_xlfn.SINGLE(HM_ZD_AM3_2005!CA_cum_gross_sales_oil)+_xlfn.SINGLE(HM_ZD_AM3_2005!CA_cum_gross_sales_lpg))&gt;=INDEX(HM_ZD_AM3_2005!FA_SPO_cumprod_oil,3),_xlfn.SINGLE(HM_ZD_AM3_2005!CA_gross_rev_oil_difference),0)</f>
        <v>0</v>
      </c>
      <c r="BP287" s="49">
        <f ca="1">IF((_xlfn.SINGLE(HM_ZD_AM3_2005!CA_cum_gross_sales_oil)+_xlfn.SINGLE(HM_ZD_AM3_2005!CA_cum_gross_sales_lpg))&gt;=INDEX(HM_ZD_AM3_2005!FA_SPO_cumprod_oil,3),_xlfn.SINGLE(HM_ZD_AM3_2005!CA_gross_rev_oil_difference),0)</f>
        <v>0</v>
      </c>
      <c r="BQ287" s="49">
        <f ca="1">IF((_xlfn.SINGLE(HM_ZD_AM3_2005!CA_cum_gross_sales_oil)+_xlfn.SINGLE(HM_ZD_AM3_2005!CA_cum_gross_sales_lpg))&gt;=INDEX(HM_ZD_AM3_2005!FA_SPO_cumprod_oil,3),_xlfn.SINGLE(HM_ZD_AM3_2005!CA_gross_rev_oil_difference),0)</f>
        <v>0</v>
      </c>
      <c r="BR287" s="49">
        <f ca="1">IF((_xlfn.SINGLE(HM_ZD_AM3_2005!CA_cum_gross_sales_oil)+_xlfn.SINGLE(HM_ZD_AM3_2005!CA_cum_gross_sales_lpg))&gt;=INDEX(HM_ZD_AM3_2005!FA_SPO_cumprod_oil,3),_xlfn.SINGLE(HM_ZD_AM3_2005!CA_gross_rev_oil_difference),0)</f>
        <v>0</v>
      </c>
      <c r="BS287" s="49">
        <f ca="1">IF((_xlfn.SINGLE(HM_ZD_AM3_2005!CA_cum_gross_sales_oil)+_xlfn.SINGLE(HM_ZD_AM3_2005!CA_cum_gross_sales_lpg))&gt;=INDEX(HM_ZD_AM3_2005!FA_SPO_cumprod_oil,3),_xlfn.SINGLE(HM_ZD_AM3_2005!CA_gross_rev_oil_difference),0)</f>
        <v>0</v>
      </c>
    </row>
    <row r="288" spans="3:71" outlineLevel="1" x14ac:dyDescent="0.2">
      <c r="J288" s="26"/>
      <c r="L288" s="55"/>
      <c r="M288" s="55"/>
      <c r="N288" s="55"/>
      <c r="O288" s="55"/>
      <c r="P288" s="55"/>
      <c r="Q288" s="55"/>
      <c r="R288" s="55"/>
      <c r="S288" s="55"/>
      <c r="T288" s="55"/>
      <c r="U288" s="55"/>
      <c r="V288" s="55"/>
      <c r="W288" s="55"/>
      <c r="X288" s="55"/>
      <c r="Y288" s="55"/>
      <c r="Z288" s="55"/>
      <c r="AA288" s="55"/>
      <c r="AB288" s="55"/>
      <c r="AC288" s="55"/>
      <c r="AD288" s="55"/>
      <c r="AE288" s="55"/>
      <c r="AF288" s="55"/>
      <c r="AG288" s="55"/>
      <c r="AH288" s="55"/>
      <c r="AI288" s="55"/>
      <c r="AJ288" s="55"/>
      <c r="AK288" s="55"/>
      <c r="AL288" s="55"/>
      <c r="AM288" s="55"/>
      <c r="AN288" s="55"/>
      <c r="AO288" s="55"/>
      <c r="AP288" s="55"/>
      <c r="AQ288" s="55"/>
      <c r="AR288" s="55"/>
      <c r="AS288" s="55"/>
      <c r="AT288" s="55"/>
      <c r="AU288" s="55"/>
      <c r="AV288" s="55"/>
      <c r="AW288" s="55"/>
      <c r="AX288" s="55"/>
      <c r="AY288" s="55"/>
      <c r="AZ288" s="55"/>
      <c r="BA288" s="55"/>
      <c r="BB288" s="55"/>
      <c r="BC288" s="55"/>
      <c r="BD288" s="55"/>
      <c r="BE288" s="55"/>
      <c r="BF288" s="55"/>
      <c r="BG288" s="55"/>
      <c r="BH288" s="55"/>
      <c r="BI288" s="55"/>
      <c r="BJ288" s="55"/>
      <c r="BK288" s="55"/>
      <c r="BL288" s="55"/>
      <c r="BM288" s="55"/>
      <c r="BN288" s="55"/>
      <c r="BO288" s="55"/>
      <c r="BP288" s="55"/>
      <c r="BQ288" s="55"/>
      <c r="BR288" s="55"/>
      <c r="BS288" s="55"/>
    </row>
    <row r="289" spans="3:71" outlineLevel="1" x14ac:dyDescent="0.2">
      <c r="D289" t="str">
        <f>HM_ZD_Moho!D311</f>
        <v>Revenus disponibles pour le SPO</v>
      </c>
      <c r="I289" s="30">
        <f t="shared" ref="I289:I294" ca="1" si="96">SUM($L289:$BS289)</f>
        <v>2722.3429331440002</v>
      </c>
      <c r="J289" s="26" t="s">
        <v>148</v>
      </c>
      <c r="K289" s="7" t="s">
        <v>221</v>
      </c>
      <c r="L289" s="49">
        <f ca="1">MAX(L283,L285,L287,0)</f>
        <v>1422.5944995370003</v>
      </c>
      <c r="M289" s="49">
        <f t="shared" ref="M289:BS289" ca="1" si="97">MAX(M283,M285,M287,0)</f>
        <v>1299.7484336069997</v>
      </c>
      <c r="N289" s="49">
        <f t="shared" ca="1" si="97"/>
        <v>0</v>
      </c>
      <c r="O289" s="49">
        <f t="shared" ca="1" si="97"/>
        <v>0</v>
      </c>
      <c r="P289" s="49">
        <f t="shared" ca="1" si="97"/>
        <v>0</v>
      </c>
      <c r="Q289" s="49">
        <f t="shared" ca="1" si="97"/>
        <v>0</v>
      </c>
      <c r="R289" s="49">
        <f t="shared" ca="1" si="97"/>
        <v>0</v>
      </c>
      <c r="S289" s="49">
        <f t="shared" ca="1" si="97"/>
        <v>0</v>
      </c>
      <c r="T289" s="49">
        <f t="shared" ca="1" si="97"/>
        <v>0</v>
      </c>
      <c r="U289" s="49">
        <f t="shared" ca="1" si="97"/>
        <v>0</v>
      </c>
      <c r="V289" s="49">
        <f t="shared" ca="1" si="97"/>
        <v>0</v>
      </c>
      <c r="W289" s="49">
        <f t="shared" ca="1" si="97"/>
        <v>0</v>
      </c>
      <c r="X289" s="49">
        <f t="shared" ca="1" si="97"/>
        <v>0</v>
      </c>
      <c r="Y289" s="49">
        <f t="shared" ca="1" si="97"/>
        <v>0</v>
      </c>
      <c r="Z289" s="49">
        <f t="shared" ca="1" si="97"/>
        <v>0</v>
      </c>
      <c r="AA289" s="49">
        <f t="shared" ca="1" si="97"/>
        <v>0</v>
      </c>
      <c r="AB289" s="49">
        <f t="shared" ca="1" si="97"/>
        <v>0</v>
      </c>
      <c r="AC289" s="49">
        <f t="shared" ca="1" si="97"/>
        <v>0</v>
      </c>
      <c r="AD289" s="49">
        <f t="shared" ca="1" si="97"/>
        <v>0</v>
      </c>
      <c r="AE289" s="49">
        <f t="shared" ca="1" si="97"/>
        <v>0</v>
      </c>
      <c r="AF289" s="49">
        <f t="shared" ca="1" si="97"/>
        <v>0</v>
      </c>
      <c r="AG289" s="49">
        <f t="shared" ca="1" si="97"/>
        <v>0</v>
      </c>
      <c r="AH289" s="49">
        <f t="shared" ca="1" si="97"/>
        <v>0</v>
      </c>
      <c r="AI289" s="49">
        <f t="shared" ca="1" si="97"/>
        <v>0</v>
      </c>
      <c r="AJ289" s="49">
        <f t="shared" ca="1" si="97"/>
        <v>0</v>
      </c>
      <c r="AK289" s="49">
        <f t="shared" ca="1" si="97"/>
        <v>0</v>
      </c>
      <c r="AL289" s="49">
        <f t="shared" ca="1" si="97"/>
        <v>0</v>
      </c>
      <c r="AM289" s="49">
        <f t="shared" ca="1" si="97"/>
        <v>0</v>
      </c>
      <c r="AN289" s="49">
        <f t="shared" ca="1" si="97"/>
        <v>0</v>
      </c>
      <c r="AO289" s="49">
        <f t="shared" ca="1" si="97"/>
        <v>0</v>
      </c>
      <c r="AP289" s="49">
        <f t="shared" ca="1" si="97"/>
        <v>0</v>
      </c>
      <c r="AQ289" s="49">
        <f t="shared" ca="1" si="97"/>
        <v>0</v>
      </c>
      <c r="AR289" s="49">
        <f t="shared" ca="1" si="97"/>
        <v>0</v>
      </c>
      <c r="AS289" s="49">
        <f t="shared" ca="1" si="97"/>
        <v>0</v>
      </c>
      <c r="AT289" s="49">
        <f t="shared" ca="1" si="97"/>
        <v>0</v>
      </c>
      <c r="AU289" s="49">
        <f t="shared" ca="1" si="97"/>
        <v>0</v>
      </c>
      <c r="AV289" s="49">
        <f t="shared" ca="1" si="97"/>
        <v>0</v>
      </c>
      <c r="AW289" s="49">
        <f t="shared" ca="1" si="97"/>
        <v>0</v>
      </c>
      <c r="AX289" s="49">
        <f t="shared" ca="1" si="97"/>
        <v>0</v>
      </c>
      <c r="AY289" s="49">
        <f t="shared" ca="1" si="97"/>
        <v>0</v>
      </c>
      <c r="AZ289" s="49">
        <f t="shared" ca="1" si="97"/>
        <v>0</v>
      </c>
      <c r="BA289" s="49">
        <f t="shared" ca="1" si="97"/>
        <v>0</v>
      </c>
      <c r="BB289" s="49">
        <f t="shared" ca="1" si="97"/>
        <v>0</v>
      </c>
      <c r="BC289" s="49">
        <f t="shared" ca="1" si="97"/>
        <v>0</v>
      </c>
      <c r="BD289" s="49">
        <f t="shared" ca="1" si="97"/>
        <v>0</v>
      </c>
      <c r="BE289" s="49">
        <f t="shared" ca="1" si="97"/>
        <v>0</v>
      </c>
      <c r="BF289" s="49">
        <f t="shared" ca="1" si="97"/>
        <v>0</v>
      </c>
      <c r="BG289" s="49">
        <f t="shared" ca="1" si="97"/>
        <v>0</v>
      </c>
      <c r="BH289" s="49">
        <f t="shared" ca="1" si="97"/>
        <v>0</v>
      </c>
      <c r="BI289" s="49">
        <f t="shared" ca="1" si="97"/>
        <v>0</v>
      </c>
      <c r="BJ289" s="49">
        <f t="shared" ca="1" si="97"/>
        <v>0</v>
      </c>
      <c r="BK289" s="49">
        <f t="shared" ca="1" si="97"/>
        <v>0</v>
      </c>
      <c r="BL289" s="49">
        <f t="shared" ca="1" si="97"/>
        <v>0</v>
      </c>
      <c r="BM289" s="49">
        <f t="shared" ca="1" si="97"/>
        <v>0</v>
      </c>
      <c r="BN289" s="49">
        <f t="shared" ca="1" si="97"/>
        <v>0</v>
      </c>
      <c r="BO289" s="49">
        <f t="shared" ca="1" si="97"/>
        <v>0</v>
      </c>
      <c r="BP289" s="49">
        <f t="shared" ca="1" si="97"/>
        <v>0</v>
      </c>
      <c r="BQ289" s="49">
        <f t="shared" ca="1" si="97"/>
        <v>0</v>
      </c>
      <c r="BR289" s="49">
        <f t="shared" ca="1" si="97"/>
        <v>0</v>
      </c>
      <c r="BS289" s="49">
        <f t="shared" ca="1" si="97"/>
        <v>0</v>
      </c>
    </row>
    <row r="290" spans="3:71" outlineLevel="1" x14ac:dyDescent="0.2">
      <c r="J290" s="26"/>
      <c r="L290" s="55"/>
      <c r="M290" s="55"/>
      <c r="N290" s="55"/>
      <c r="O290" s="55"/>
      <c r="P290" s="55"/>
      <c r="Q290" s="55"/>
      <c r="R290" s="55"/>
      <c r="S290" s="55"/>
      <c r="T290" s="55"/>
      <c r="U290" s="55"/>
      <c r="V290" s="55"/>
      <c r="W290" s="55"/>
      <c r="X290" s="55"/>
      <c r="Y290" s="55"/>
      <c r="Z290" s="55"/>
      <c r="AA290" s="55"/>
      <c r="AB290" s="55"/>
      <c r="AC290" s="55"/>
      <c r="AD290" s="55"/>
      <c r="AE290" s="55"/>
      <c r="AF290" s="55"/>
      <c r="AG290" s="55"/>
      <c r="AH290" s="55"/>
      <c r="AI290" s="55"/>
      <c r="AJ290" s="55"/>
      <c r="AK290" s="55"/>
      <c r="AL290" s="55"/>
      <c r="AM290" s="55"/>
      <c r="AN290" s="55"/>
      <c r="AO290" s="55"/>
      <c r="AP290" s="55"/>
      <c r="AQ290" s="55"/>
      <c r="AR290" s="55"/>
      <c r="AS290" s="55"/>
      <c r="AT290" s="55"/>
      <c r="AU290" s="55"/>
      <c r="AV290" s="55"/>
      <c r="AW290" s="55"/>
      <c r="AX290" s="55"/>
      <c r="AY290" s="55"/>
      <c r="AZ290" s="55"/>
      <c r="BA290" s="55"/>
      <c r="BB290" s="55"/>
      <c r="BC290" s="55"/>
      <c r="BD290" s="55"/>
      <c r="BE290" s="55"/>
      <c r="BF290" s="55"/>
      <c r="BG290" s="55"/>
      <c r="BH290" s="55"/>
      <c r="BI290" s="55"/>
      <c r="BJ290" s="55"/>
      <c r="BK290" s="55"/>
      <c r="BL290" s="55"/>
      <c r="BM290" s="55"/>
      <c r="BN290" s="55"/>
      <c r="BO290" s="55"/>
      <c r="BP290" s="55"/>
      <c r="BQ290" s="55"/>
      <c r="BR290" s="55"/>
      <c r="BS290" s="55"/>
    </row>
    <row r="291" spans="3:71" outlineLevel="1" x14ac:dyDescent="0.2">
      <c r="D291" t="str">
        <f>HM_ZD_Moho!D313</f>
        <v>Redevance pétrolière - SPO</v>
      </c>
      <c r="I291" s="30">
        <f t="shared" ref="I291" ca="1" si="98">SUM($L291:$BS291)</f>
        <v>408.35143997160003</v>
      </c>
      <c r="J291" s="26" t="s">
        <v>148</v>
      </c>
      <c r="L291" s="49">
        <f ca="1">(HM_ZD_AM3_2005!CA_gross_rev_oil_difference*HM_ZD_AM3_2005!royalty_rate_oil)</f>
        <v>213.38917493055004</v>
      </c>
      <c r="M291" s="49">
        <f ca="1">(HM_ZD_AM3_2005!CA_gross_rev_oil_difference*HM_ZD_AM3_2005!royalty_rate_oil)</f>
        <v>194.96226504104996</v>
      </c>
      <c r="N291" s="49">
        <f ca="1">(HM_ZD_AM3_2005!CA_gross_rev_oil_difference*HM_ZD_AM3_2005!royalty_rate_oil)</f>
        <v>0</v>
      </c>
      <c r="O291" s="49">
        <f ca="1">(HM_ZD_AM3_2005!CA_gross_rev_oil_difference*HM_ZD_AM3_2005!royalty_rate_oil)</f>
        <v>0</v>
      </c>
      <c r="P291" s="49">
        <f ca="1">(HM_ZD_AM3_2005!CA_gross_rev_oil_difference*HM_ZD_AM3_2005!royalty_rate_oil)</f>
        <v>0</v>
      </c>
      <c r="Q291" s="49">
        <f ca="1">(HM_ZD_AM3_2005!CA_gross_rev_oil_difference*HM_ZD_AM3_2005!royalty_rate_oil)</f>
        <v>0</v>
      </c>
      <c r="R291" s="49">
        <f ca="1">(HM_ZD_AM3_2005!CA_gross_rev_oil_difference*HM_ZD_AM3_2005!royalty_rate_oil)</f>
        <v>0</v>
      </c>
      <c r="S291" s="49">
        <f ca="1">(HM_ZD_AM3_2005!CA_gross_rev_oil_difference*HM_ZD_AM3_2005!royalty_rate_oil)</f>
        <v>0</v>
      </c>
      <c r="T291" s="49">
        <f ca="1">(HM_ZD_AM3_2005!CA_gross_rev_oil_difference*HM_ZD_AM3_2005!royalty_rate_oil)</f>
        <v>0</v>
      </c>
      <c r="U291" s="49">
        <f ca="1">(HM_ZD_AM3_2005!CA_gross_rev_oil_difference*HM_ZD_AM3_2005!royalty_rate_oil)</f>
        <v>0</v>
      </c>
      <c r="V291" s="49">
        <f ca="1">(HM_ZD_AM3_2005!CA_gross_rev_oil_difference*HM_ZD_AM3_2005!royalty_rate_oil)</f>
        <v>0</v>
      </c>
      <c r="W291" s="49">
        <f ca="1">(HM_ZD_AM3_2005!CA_gross_rev_oil_difference*HM_ZD_AM3_2005!royalty_rate_oil)</f>
        <v>0</v>
      </c>
      <c r="X291" s="49">
        <f ca="1">(HM_ZD_AM3_2005!CA_gross_rev_oil_difference*HM_ZD_AM3_2005!royalty_rate_oil)</f>
        <v>0</v>
      </c>
      <c r="Y291" s="49">
        <f ca="1">(HM_ZD_AM3_2005!CA_gross_rev_oil_difference*HM_ZD_AM3_2005!royalty_rate_oil)</f>
        <v>0</v>
      </c>
      <c r="Z291" s="49">
        <f ca="1">(HM_ZD_AM3_2005!CA_gross_rev_oil_difference*HM_ZD_AM3_2005!royalty_rate_oil)</f>
        <v>0</v>
      </c>
      <c r="AA291" s="49">
        <f ca="1">(HM_ZD_AM3_2005!CA_gross_rev_oil_difference*HM_ZD_AM3_2005!royalty_rate_oil)</f>
        <v>0</v>
      </c>
      <c r="AB291" s="49">
        <f ca="1">(HM_ZD_AM3_2005!CA_gross_rev_oil_difference*HM_ZD_AM3_2005!royalty_rate_oil)</f>
        <v>0</v>
      </c>
      <c r="AC291" s="49">
        <f ca="1">(HM_ZD_AM3_2005!CA_gross_rev_oil_difference*HM_ZD_AM3_2005!royalty_rate_oil)</f>
        <v>0</v>
      </c>
      <c r="AD291" s="49">
        <f ca="1">(HM_ZD_AM3_2005!CA_gross_rev_oil_difference*HM_ZD_AM3_2005!royalty_rate_oil)</f>
        <v>0</v>
      </c>
      <c r="AE291" s="49">
        <f ca="1">(HM_ZD_AM3_2005!CA_gross_rev_oil_difference*HM_ZD_AM3_2005!royalty_rate_oil)</f>
        <v>0</v>
      </c>
      <c r="AF291" s="49">
        <f ca="1">(HM_ZD_AM3_2005!CA_gross_rev_oil_difference*HM_ZD_AM3_2005!royalty_rate_oil)</f>
        <v>0</v>
      </c>
      <c r="AG291" s="49">
        <f ca="1">(HM_ZD_AM3_2005!CA_gross_rev_oil_difference*HM_ZD_AM3_2005!royalty_rate_oil)</f>
        <v>0</v>
      </c>
      <c r="AH291" s="49">
        <f ca="1">(HM_ZD_AM3_2005!CA_gross_rev_oil_difference*HM_ZD_AM3_2005!royalty_rate_oil)</f>
        <v>0</v>
      </c>
      <c r="AI291" s="49">
        <f ca="1">(HM_ZD_AM3_2005!CA_gross_rev_oil_difference*HM_ZD_AM3_2005!royalty_rate_oil)</f>
        <v>0</v>
      </c>
      <c r="AJ291" s="49">
        <f ca="1">(HM_ZD_AM3_2005!CA_gross_rev_oil_difference*HM_ZD_AM3_2005!royalty_rate_oil)</f>
        <v>0</v>
      </c>
      <c r="AK291" s="49">
        <f ca="1">(HM_ZD_AM3_2005!CA_gross_rev_oil_difference*HM_ZD_AM3_2005!royalty_rate_oil)</f>
        <v>0</v>
      </c>
      <c r="AL291" s="49">
        <f ca="1">(HM_ZD_AM3_2005!CA_gross_rev_oil_difference*HM_ZD_AM3_2005!royalty_rate_oil)</f>
        <v>0</v>
      </c>
      <c r="AM291" s="49">
        <f ca="1">(HM_ZD_AM3_2005!CA_gross_rev_oil_difference*HM_ZD_AM3_2005!royalty_rate_oil)</f>
        <v>0</v>
      </c>
      <c r="AN291" s="49">
        <f ca="1">(HM_ZD_AM3_2005!CA_gross_rev_oil_difference*HM_ZD_AM3_2005!royalty_rate_oil)</f>
        <v>0</v>
      </c>
      <c r="AO291" s="49">
        <f ca="1">(HM_ZD_AM3_2005!CA_gross_rev_oil_difference*HM_ZD_AM3_2005!royalty_rate_oil)</f>
        <v>0</v>
      </c>
      <c r="AP291" s="49">
        <f ca="1">(HM_ZD_AM3_2005!CA_gross_rev_oil_difference*HM_ZD_AM3_2005!royalty_rate_oil)</f>
        <v>0</v>
      </c>
      <c r="AQ291" s="49">
        <f ca="1">(HM_ZD_AM3_2005!CA_gross_rev_oil_difference*HM_ZD_AM3_2005!royalty_rate_oil)</f>
        <v>0</v>
      </c>
      <c r="AR291" s="49">
        <f ca="1">(HM_ZD_AM3_2005!CA_gross_rev_oil_difference*HM_ZD_AM3_2005!royalty_rate_oil)</f>
        <v>0</v>
      </c>
      <c r="AS291" s="49">
        <f ca="1">(HM_ZD_AM3_2005!CA_gross_rev_oil_difference*HM_ZD_AM3_2005!royalty_rate_oil)</f>
        <v>0</v>
      </c>
      <c r="AT291" s="49">
        <f ca="1">(HM_ZD_AM3_2005!CA_gross_rev_oil_difference*HM_ZD_AM3_2005!royalty_rate_oil)</f>
        <v>0</v>
      </c>
      <c r="AU291" s="49">
        <f ca="1">(HM_ZD_AM3_2005!CA_gross_rev_oil_difference*HM_ZD_AM3_2005!royalty_rate_oil)</f>
        <v>0</v>
      </c>
      <c r="AV291" s="49">
        <f ca="1">(HM_ZD_AM3_2005!CA_gross_rev_oil_difference*HM_ZD_AM3_2005!royalty_rate_oil)</f>
        <v>0</v>
      </c>
      <c r="AW291" s="49">
        <f ca="1">(HM_ZD_AM3_2005!CA_gross_rev_oil_difference*HM_ZD_AM3_2005!royalty_rate_oil)</f>
        <v>0</v>
      </c>
      <c r="AX291" s="49">
        <f ca="1">(HM_ZD_AM3_2005!CA_gross_rev_oil_difference*HM_ZD_AM3_2005!royalty_rate_oil)</f>
        <v>0</v>
      </c>
      <c r="AY291" s="49">
        <f ca="1">(HM_ZD_AM3_2005!CA_gross_rev_oil_difference*HM_ZD_AM3_2005!royalty_rate_oil)</f>
        <v>0</v>
      </c>
      <c r="AZ291" s="49">
        <f ca="1">(HM_ZD_AM3_2005!CA_gross_rev_oil_difference*HM_ZD_AM3_2005!royalty_rate_oil)</f>
        <v>0</v>
      </c>
      <c r="BA291" s="49">
        <f ca="1">(HM_ZD_AM3_2005!CA_gross_rev_oil_difference*HM_ZD_AM3_2005!royalty_rate_oil)</f>
        <v>0</v>
      </c>
      <c r="BB291" s="49">
        <f ca="1">(HM_ZD_AM3_2005!CA_gross_rev_oil_difference*HM_ZD_AM3_2005!royalty_rate_oil)</f>
        <v>0</v>
      </c>
      <c r="BC291" s="49">
        <f ca="1">(HM_ZD_AM3_2005!CA_gross_rev_oil_difference*HM_ZD_AM3_2005!royalty_rate_oil)</f>
        <v>0</v>
      </c>
      <c r="BD291" s="49">
        <f ca="1">(HM_ZD_AM3_2005!CA_gross_rev_oil_difference*HM_ZD_AM3_2005!royalty_rate_oil)</f>
        <v>0</v>
      </c>
      <c r="BE291" s="49">
        <f ca="1">(HM_ZD_AM3_2005!CA_gross_rev_oil_difference*HM_ZD_AM3_2005!royalty_rate_oil)</f>
        <v>0</v>
      </c>
      <c r="BF291" s="49">
        <f ca="1">(HM_ZD_AM3_2005!CA_gross_rev_oil_difference*HM_ZD_AM3_2005!royalty_rate_oil)</f>
        <v>0</v>
      </c>
      <c r="BG291" s="49">
        <f ca="1">(HM_ZD_AM3_2005!CA_gross_rev_oil_difference*HM_ZD_AM3_2005!royalty_rate_oil)</f>
        <v>0</v>
      </c>
      <c r="BH291" s="49">
        <f ca="1">(HM_ZD_AM3_2005!CA_gross_rev_oil_difference*HM_ZD_AM3_2005!royalty_rate_oil)</f>
        <v>0</v>
      </c>
      <c r="BI291" s="49">
        <f ca="1">(HM_ZD_AM3_2005!CA_gross_rev_oil_difference*HM_ZD_AM3_2005!royalty_rate_oil)</f>
        <v>0</v>
      </c>
      <c r="BJ291" s="49">
        <f ca="1">(HM_ZD_AM3_2005!CA_gross_rev_oil_difference*HM_ZD_AM3_2005!royalty_rate_oil)</f>
        <v>0</v>
      </c>
      <c r="BK291" s="49">
        <f ca="1">(HM_ZD_AM3_2005!CA_gross_rev_oil_difference*HM_ZD_AM3_2005!royalty_rate_oil)</f>
        <v>0</v>
      </c>
      <c r="BL291" s="49">
        <f ca="1">(HM_ZD_AM3_2005!CA_gross_rev_oil_difference*HM_ZD_AM3_2005!royalty_rate_oil)</f>
        <v>0</v>
      </c>
      <c r="BM291" s="49">
        <f ca="1">(HM_ZD_AM3_2005!CA_gross_rev_oil_difference*HM_ZD_AM3_2005!royalty_rate_oil)</f>
        <v>0</v>
      </c>
      <c r="BN291" s="49">
        <f ca="1">(HM_ZD_AM3_2005!CA_gross_rev_oil_difference*HM_ZD_AM3_2005!royalty_rate_oil)</f>
        <v>0</v>
      </c>
      <c r="BO291" s="49">
        <f ca="1">(HM_ZD_AM3_2005!CA_gross_rev_oil_difference*HM_ZD_AM3_2005!royalty_rate_oil)</f>
        <v>0</v>
      </c>
      <c r="BP291" s="49">
        <f ca="1">(HM_ZD_AM3_2005!CA_gross_rev_oil_difference*HM_ZD_AM3_2005!royalty_rate_oil)</f>
        <v>0</v>
      </c>
      <c r="BQ291" s="49">
        <f ca="1">(HM_ZD_AM3_2005!CA_gross_rev_oil_difference*HM_ZD_AM3_2005!royalty_rate_oil)</f>
        <v>0</v>
      </c>
      <c r="BR291" s="49">
        <f ca="1">(HM_ZD_AM3_2005!CA_gross_rev_oil_difference*HM_ZD_AM3_2005!royalty_rate_oil)</f>
        <v>0</v>
      </c>
      <c r="BS291" s="49">
        <f ca="1">(HM_ZD_AM3_2005!CA_gross_rev_oil_difference*HM_ZD_AM3_2005!royalty_rate_oil)</f>
        <v>0</v>
      </c>
    </row>
    <row r="292" spans="3:71" outlineLevel="1" x14ac:dyDescent="0.2">
      <c r="J292" s="26"/>
      <c r="L292" s="55"/>
      <c r="M292" s="55"/>
      <c r="N292" s="55"/>
      <c r="O292" s="55"/>
      <c r="P292" s="55"/>
      <c r="Q292" s="55"/>
      <c r="R292" s="55"/>
      <c r="S292" s="55"/>
      <c r="T292" s="55"/>
      <c r="U292" s="55"/>
      <c r="V292" s="55"/>
      <c r="W292" s="55"/>
      <c r="X292" s="55"/>
      <c r="Y292" s="55"/>
      <c r="Z292" s="55"/>
      <c r="AA292" s="55"/>
      <c r="AB292" s="55"/>
      <c r="AC292" s="55"/>
      <c r="AD292" s="55"/>
      <c r="AE292" s="55"/>
      <c r="AF292" s="55"/>
      <c r="AG292" s="55"/>
      <c r="AH292" s="55"/>
      <c r="AI292" s="55"/>
      <c r="AJ292" s="55"/>
      <c r="AK292" s="55"/>
      <c r="AL292" s="55"/>
      <c r="AM292" s="55"/>
      <c r="AN292" s="55"/>
      <c r="AO292" s="55"/>
      <c r="AP292" s="55"/>
      <c r="AQ292" s="55"/>
      <c r="AR292" s="55"/>
      <c r="AS292" s="55"/>
      <c r="AT292" s="55"/>
      <c r="AU292" s="55"/>
      <c r="AV292" s="55"/>
      <c r="AW292" s="55"/>
      <c r="AX292" s="55"/>
      <c r="AY292" s="55"/>
      <c r="AZ292" s="55"/>
      <c r="BA292" s="55"/>
      <c r="BB292" s="55"/>
      <c r="BC292" s="55"/>
      <c r="BD292" s="55"/>
      <c r="BE292" s="55"/>
      <c r="BF292" s="55"/>
      <c r="BG292" s="55"/>
      <c r="BH292" s="55"/>
      <c r="BI292" s="55"/>
      <c r="BJ292" s="55"/>
      <c r="BK292" s="55"/>
      <c r="BL292" s="55"/>
      <c r="BM292" s="55"/>
      <c r="BN292" s="55"/>
      <c r="BO292" s="55"/>
      <c r="BP292" s="55"/>
      <c r="BQ292" s="55"/>
      <c r="BR292" s="55"/>
      <c r="BS292" s="55"/>
    </row>
    <row r="293" spans="3:71" outlineLevel="1" x14ac:dyDescent="0.2">
      <c r="D293" s="11" t="str">
        <f>HM_ZD_Moho!D315</f>
        <v>Part du Contracteur dans le SPO</v>
      </c>
      <c r="I293" s="30">
        <f t="shared" ca="1" si="96"/>
        <v>816.70287994320006</v>
      </c>
      <c r="J293" s="26" t="s">
        <v>148</v>
      </c>
      <c r="K293" s="7" t="s">
        <v>224</v>
      </c>
      <c r="L293" s="49">
        <f ca="1">L289-L294</f>
        <v>426.7783498611002</v>
      </c>
      <c r="M293" s="49">
        <f t="shared" ref="M293:BS293" ca="1" si="99">M289-M294</f>
        <v>389.92453008209986</v>
      </c>
      <c r="N293" s="49">
        <f t="shared" ca="1" si="99"/>
        <v>0</v>
      </c>
      <c r="O293" s="49">
        <f t="shared" ca="1" si="99"/>
        <v>0</v>
      </c>
      <c r="P293" s="49">
        <f t="shared" ca="1" si="99"/>
        <v>0</v>
      </c>
      <c r="Q293" s="49">
        <f t="shared" ca="1" si="99"/>
        <v>0</v>
      </c>
      <c r="R293" s="49">
        <f t="shared" ca="1" si="99"/>
        <v>0</v>
      </c>
      <c r="S293" s="49">
        <f t="shared" ca="1" si="99"/>
        <v>0</v>
      </c>
      <c r="T293" s="49">
        <f t="shared" ca="1" si="99"/>
        <v>0</v>
      </c>
      <c r="U293" s="49">
        <f t="shared" ca="1" si="99"/>
        <v>0</v>
      </c>
      <c r="V293" s="49">
        <f t="shared" ca="1" si="99"/>
        <v>0</v>
      </c>
      <c r="W293" s="49">
        <f t="shared" ca="1" si="99"/>
        <v>0</v>
      </c>
      <c r="X293" s="49">
        <f t="shared" ca="1" si="99"/>
        <v>0</v>
      </c>
      <c r="Y293" s="49">
        <f t="shared" ca="1" si="99"/>
        <v>0</v>
      </c>
      <c r="Z293" s="49">
        <f t="shared" ca="1" si="99"/>
        <v>0</v>
      </c>
      <c r="AA293" s="49">
        <f t="shared" ca="1" si="99"/>
        <v>0</v>
      </c>
      <c r="AB293" s="49">
        <f t="shared" ca="1" si="99"/>
        <v>0</v>
      </c>
      <c r="AC293" s="49">
        <f t="shared" ca="1" si="99"/>
        <v>0</v>
      </c>
      <c r="AD293" s="49">
        <f t="shared" ca="1" si="99"/>
        <v>0</v>
      </c>
      <c r="AE293" s="49">
        <f t="shared" ca="1" si="99"/>
        <v>0</v>
      </c>
      <c r="AF293" s="49">
        <f t="shared" ca="1" si="99"/>
        <v>0</v>
      </c>
      <c r="AG293" s="49">
        <f t="shared" ca="1" si="99"/>
        <v>0</v>
      </c>
      <c r="AH293" s="49">
        <f t="shared" ca="1" si="99"/>
        <v>0</v>
      </c>
      <c r="AI293" s="49">
        <f t="shared" ca="1" si="99"/>
        <v>0</v>
      </c>
      <c r="AJ293" s="49">
        <f t="shared" ca="1" si="99"/>
        <v>0</v>
      </c>
      <c r="AK293" s="49">
        <f t="shared" ca="1" si="99"/>
        <v>0</v>
      </c>
      <c r="AL293" s="49">
        <f t="shared" ca="1" si="99"/>
        <v>0</v>
      </c>
      <c r="AM293" s="49">
        <f t="shared" ca="1" si="99"/>
        <v>0</v>
      </c>
      <c r="AN293" s="49">
        <f t="shared" ca="1" si="99"/>
        <v>0</v>
      </c>
      <c r="AO293" s="49">
        <f t="shared" ca="1" si="99"/>
        <v>0</v>
      </c>
      <c r="AP293" s="49">
        <f t="shared" ca="1" si="99"/>
        <v>0</v>
      </c>
      <c r="AQ293" s="49">
        <f t="shared" ca="1" si="99"/>
        <v>0</v>
      </c>
      <c r="AR293" s="49">
        <f t="shared" ca="1" si="99"/>
        <v>0</v>
      </c>
      <c r="AS293" s="49">
        <f t="shared" ca="1" si="99"/>
        <v>0</v>
      </c>
      <c r="AT293" s="49">
        <f t="shared" ca="1" si="99"/>
        <v>0</v>
      </c>
      <c r="AU293" s="49">
        <f t="shared" ca="1" si="99"/>
        <v>0</v>
      </c>
      <c r="AV293" s="49">
        <f t="shared" ca="1" si="99"/>
        <v>0</v>
      </c>
      <c r="AW293" s="49">
        <f t="shared" ca="1" si="99"/>
        <v>0</v>
      </c>
      <c r="AX293" s="49">
        <f t="shared" ca="1" si="99"/>
        <v>0</v>
      </c>
      <c r="AY293" s="49">
        <f t="shared" ca="1" si="99"/>
        <v>0</v>
      </c>
      <c r="AZ293" s="49">
        <f t="shared" ca="1" si="99"/>
        <v>0</v>
      </c>
      <c r="BA293" s="49">
        <f t="shared" ca="1" si="99"/>
        <v>0</v>
      </c>
      <c r="BB293" s="49">
        <f t="shared" ca="1" si="99"/>
        <v>0</v>
      </c>
      <c r="BC293" s="49">
        <f t="shared" ca="1" si="99"/>
        <v>0</v>
      </c>
      <c r="BD293" s="49">
        <f t="shared" ca="1" si="99"/>
        <v>0</v>
      </c>
      <c r="BE293" s="49">
        <f t="shared" ca="1" si="99"/>
        <v>0</v>
      </c>
      <c r="BF293" s="49">
        <f t="shared" ca="1" si="99"/>
        <v>0</v>
      </c>
      <c r="BG293" s="49">
        <f t="shared" ca="1" si="99"/>
        <v>0</v>
      </c>
      <c r="BH293" s="49">
        <f t="shared" ca="1" si="99"/>
        <v>0</v>
      </c>
      <c r="BI293" s="49">
        <f t="shared" ca="1" si="99"/>
        <v>0</v>
      </c>
      <c r="BJ293" s="49">
        <f t="shared" ca="1" si="99"/>
        <v>0</v>
      </c>
      <c r="BK293" s="49">
        <f t="shared" ca="1" si="99"/>
        <v>0</v>
      </c>
      <c r="BL293" s="49">
        <f t="shared" ca="1" si="99"/>
        <v>0</v>
      </c>
      <c r="BM293" s="49">
        <f t="shared" ca="1" si="99"/>
        <v>0</v>
      </c>
      <c r="BN293" s="49">
        <f t="shared" ca="1" si="99"/>
        <v>0</v>
      </c>
      <c r="BO293" s="49">
        <f t="shared" ca="1" si="99"/>
        <v>0</v>
      </c>
      <c r="BP293" s="49">
        <f t="shared" ca="1" si="99"/>
        <v>0</v>
      </c>
      <c r="BQ293" s="49">
        <f t="shared" ca="1" si="99"/>
        <v>0</v>
      </c>
      <c r="BR293" s="49">
        <f t="shared" ca="1" si="99"/>
        <v>0</v>
      </c>
      <c r="BS293" s="49">
        <f t="shared" ca="1" si="99"/>
        <v>0</v>
      </c>
    </row>
    <row r="294" spans="3:71" outlineLevel="1" x14ac:dyDescent="0.2">
      <c r="D294" s="11" t="str">
        <f>HM_ZD_Moho!D316</f>
        <v>Part du Gouv. dans le SPO</v>
      </c>
      <c r="I294" s="30">
        <f t="shared" ca="1" si="96"/>
        <v>1905.6400532007999</v>
      </c>
      <c r="J294" s="26" t="s">
        <v>148</v>
      </c>
      <c r="K294" s="7" t="s">
        <v>225</v>
      </c>
      <c r="L294" s="49">
        <f ca="1">(INDEX(HM_ZD_AM3_2005!FA_SPO_govt_rate,MATCH((HM_ZD_AM3_2005!CA_cum_gross_sales_oil+HM_ZD_AM3_2005!CA_cum_gross_sales_lpg),HM_ZD_AM3_2005!FA_SPO_cumprod_oil,1))*HM_ZD_AM3_2005!CA_rev_for_SPO)-L291</f>
        <v>995.81614967590008</v>
      </c>
      <c r="M294" s="49">
        <f ca="1">(INDEX(HM_ZD_AM3_2005!FA_SPO_govt_rate,MATCH((HM_ZD_AM3_2005!CA_cum_gross_sales_oil+HM_ZD_AM3_2005!CA_cum_gross_sales_lpg),HM_ZD_AM3_2005!FA_SPO_cumprod_oil,1))*HM_ZD_AM3_2005!CA_rev_for_SPO)-M291</f>
        <v>909.82390352489983</v>
      </c>
      <c r="N294" s="49">
        <f ca="1">(INDEX(HM_ZD_AM3_2005!FA_SPO_govt_rate,MATCH((HM_ZD_AM3_2005!CA_cum_gross_sales_oil+HM_ZD_AM3_2005!CA_cum_gross_sales_lpg),HM_ZD_AM3_2005!FA_SPO_cumprod_oil,1))*HM_ZD_AM3_2005!CA_rev_for_SPO)-N291</f>
        <v>0</v>
      </c>
      <c r="O294" s="49">
        <f ca="1">(INDEX(HM_ZD_AM3_2005!FA_SPO_govt_rate,MATCH((HM_ZD_AM3_2005!CA_cum_gross_sales_oil+HM_ZD_AM3_2005!CA_cum_gross_sales_lpg),HM_ZD_AM3_2005!FA_SPO_cumprod_oil,1))*HM_ZD_AM3_2005!CA_rev_for_SPO)-O291</f>
        <v>0</v>
      </c>
      <c r="P294" s="49">
        <f ca="1">(INDEX(HM_ZD_AM3_2005!FA_SPO_govt_rate,MATCH((HM_ZD_AM3_2005!CA_cum_gross_sales_oil+HM_ZD_AM3_2005!CA_cum_gross_sales_lpg),HM_ZD_AM3_2005!FA_SPO_cumprod_oil,1))*HM_ZD_AM3_2005!CA_rev_for_SPO)-P291</f>
        <v>0</v>
      </c>
      <c r="Q294" s="49">
        <f ca="1">(INDEX(HM_ZD_AM3_2005!FA_SPO_govt_rate,MATCH((HM_ZD_AM3_2005!CA_cum_gross_sales_oil+HM_ZD_AM3_2005!CA_cum_gross_sales_lpg),HM_ZD_AM3_2005!FA_SPO_cumprod_oil,1))*HM_ZD_AM3_2005!CA_rev_for_SPO)-Q291</f>
        <v>0</v>
      </c>
      <c r="R294" s="49">
        <f ca="1">(INDEX(HM_ZD_AM3_2005!FA_SPO_govt_rate,MATCH((HM_ZD_AM3_2005!CA_cum_gross_sales_oil+HM_ZD_AM3_2005!CA_cum_gross_sales_lpg),HM_ZD_AM3_2005!FA_SPO_cumprod_oil,1))*HM_ZD_AM3_2005!CA_rev_for_SPO)-R291</f>
        <v>0</v>
      </c>
      <c r="S294" s="49">
        <f ca="1">(INDEX(HM_ZD_AM3_2005!FA_SPO_govt_rate,MATCH((HM_ZD_AM3_2005!CA_cum_gross_sales_oil+HM_ZD_AM3_2005!CA_cum_gross_sales_lpg),HM_ZD_AM3_2005!FA_SPO_cumprod_oil,1))*HM_ZD_AM3_2005!CA_rev_for_SPO)-S291</f>
        <v>0</v>
      </c>
      <c r="T294" s="49">
        <f ca="1">(INDEX(HM_ZD_AM3_2005!FA_SPO_govt_rate,MATCH((HM_ZD_AM3_2005!CA_cum_gross_sales_oil+HM_ZD_AM3_2005!CA_cum_gross_sales_lpg),HM_ZD_AM3_2005!FA_SPO_cumprod_oil,1))*HM_ZD_AM3_2005!CA_rev_for_SPO)-T291</f>
        <v>0</v>
      </c>
      <c r="U294" s="49">
        <f ca="1">(INDEX(HM_ZD_AM3_2005!FA_SPO_govt_rate,MATCH((HM_ZD_AM3_2005!CA_cum_gross_sales_oil+HM_ZD_AM3_2005!CA_cum_gross_sales_lpg),HM_ZD_AM3_2005!FA_SPO_cumprod_oil,1))*HM_ZD_AM3_2005!CA_rev_for_SPO)-U291</f>
        <v>0</v>
      </c>
      <c r="V294" s="49">
        <f ca="1">(INDEX(HM_ZD_AM3_2005!FA_SPO_govt_rate,MATCH((HM_ZD_AM3_2005!CA_cum_gross_sales_oil+HM_ZD_AM3_2005!CA_cum_gross_sales_lpg),HM_ZD_AM3_2005!FA_SPO_cumprod_oil,1))*HM_ZD_AM3_2005!CA_rev_for_SPO)-V291</f>
        <v>0</v>
      </c>
      <c r="W294" s="49">
        <f ca="1">(INDEX(HM_ZD_AM3_2005!FA_SPO_govt_rate,MATCH((HM_ZD_AM3_2005!CA_cum_gross_sales_oil+HM_ZD_AM3_2005!CA_cum_gross_sales_lpg),HM_ZD_AM3_2005!FA_SPO_cumprod_oil,1))*HM_ZD_AM3_2005!CA_rev_for_SPO)-W291</f>
        <v>0</v>
      </c>
      <c r="X294" s="49">
        <f ca="1">(INDEX(HM_ZD_AM3_2005!FA_SPO_govt_rate,MATCH((HM_ZD_AM3_2005!CA_cum_gross_sales_oil+HM_ZD_AM3_2005!CA_cum_gross_sales_lpg),HM_ZD_AM3_2005!FA_SPO_cumprod_oil,1))*HM_ZD_AM3_2005!CA_rev_for_SPO)-X291</f>
        <v>0</v>
      </c>
      <c r="Y294" s="49">
        <f ca="1">(INDEX(HM_ZD_AM3_2005!FA_SPO_govt_rate,MATCH((HM_ZD_AM3_2005!CA_cum_gross_sales_oil+HM_ZD_AM3_2005!CA_cum_gross_sales_lpg),HM_ZD_AM3_2005!FA_SPO_cumprod_oil,1))*HM_ZD_AM3_2005!CA_rev_for_SPO)-Y291</f>
        <v>0</v>
      </c>
      <c r="Z294" s="49">
        <f ca="1">(INDEX(HM_ZD_AM3_2005!FA_SPO_govt_rate,MATCH((HM_ZD_AM3_2005!CA_cum_gross_sales_oil+HM_ZD_AM3_2005!CA_cum_gross_sales_lpg),HM_ZD_AM3_2005!FA_SPO_cumprod_oil,1))*HM_ZD_AM3_2005!CA_rev_for_SPO)-Z291</f>
        <v>0</v>
      </c>
      <c r="AA294" s="49">
        <f ca="1">(INDEX(HM_ZD_AM3_2005!FA_SPO_govt_rate,MATCH((HM_ZD_AM3_2005!CA_cum_gross_sales_oil+HM_ZD_AM3_2005!CA_cum_gross_sales_lpg),HM_ZD_AM3_2005!FA_SPO_cumprod_oil,1))*HM_ZD_AM3_2005!CA_rev_for_SPO)-AA291</f>
        <v>0</v>
      </c>
      <c r="AB294" s="49">
        <f ca="1">(INDEX(HM_ZD_AM3_2005!FA_SPO_govt_rate,MATCH((HM_ZD_AM3_2005!CA_cum_gross_sales_oil+HM_ZD_AM3_2005!CA_cum_gross_sales_lpg),HM_ZD_AM3_2005!FA_SPO_cumprod_oil,1))*HM_ZD_AM3_2005!CA_rev_for_SPO)-AB291</f>
        <v>0</v>
      </c>
      <c r="AC294" s="49">
        <f ca="1">(INDEX(HM_ZD_AM3_2005!FA_SPO_govt_rate,MATCH((HM_ZD_AM3_2005!CA_cum_gross_sales_oil+HM_ZD_AM3_2005!CA_cum_gross_sales_lpg),HM_ZD_AM3_2005!FA_SPO_cumprod_oil,1))*HM_ZD_AM3_2005!CA_rev_for_SPO)-AC291</f>
        <v>0</v>
      </c>
      <c r="AD294" s="49">
        <f ca="1">(INDEX(HM_ZD_AM3_2005!FA_SPO_govt_rate,MATCH((HM_ZD_AM3_2005!CA_cum_gross_sales_oil+HM_ZD_AM3_2005!CA_cum_gross_sales_lpg),HM_ZD_AM3_2005!FA_SPO_cumprod_oil,1))*HM_ZD_AM3_2005!CA_rev_for_SPO)-AD291</f>
        <v>0</v>
      </c>
      <c r="AE294" s="49">
        <f ca="1">(INDEX(HM_ZD_AM3_2005!FA_SPO_govt_rate,MATCH((HM_ZD_AM3_2005!CA_cum_gross_sales_oil+HM_ZD_AM3_2005!CA_cum_gross_sales_lpg),HM_ZD_AM3_2005!FA_SPO_cumprod_oil,1))*HM_ZD_AM3_2005!CA_rev_for_SPO)-AE291</f>
        <v>0</v>
      </c>
      <c r="AF294" s="49">
        <f ca="1">(INDEX(HM_ZD_AM3_2005!FA_SPO_govt_rate,MATCH((HM_ZD_AM3_2005!CA_cum_gross_sales_oil+HM_ZD_AM3_2005!CA_cum_gross_sales_lpg),HM_ZD_AM3_2005!FA_SPO_cumprod_oil,1))*HM_ZD_AM3_2005!CA_rev_for_SPO)-AF291</f>
        <v>0</v>
      </c>
      <c r="AG294" s="49">
        <f ca="1">(INDEX(HM_ZD_AM3_2005!FA_SPO_govt_rate,MATCH((HM_ZD_AM3_2005!CA_cum_gross_sales_oil+HM_ZD_AM3_2005!CA_cum_gross_sales_lpg),HM_ZD_AM3_2005!FA_SPO_cumprod_oil,1))*HM_ZD_AM3_2005!CA_rev_for_SPO)-AG291</f>
        <v>0</v>
      </c>
      <c r="AH294" s="49">
        <f ca="1">(INDEX(HM_ZD_AM3_2005!FA_SPO_govt_rate,MATCH((HM_ZD_AM3_2005!CA_cum_gross_sales_oil+HM_ZD_AM3_2005!CA_cum_gross_sales_lpg),HM_ZD_AM3_2005!FA_SPO_cumprod_oil,1))*HM_ZD_AM3_2005!CA_rev_for_SPO)-AH291</f>
        <v>0</v>
      </c>
      <c r="AI294" s="49">
        <f ca="1">(INDEX(HM_ZD_AM3_2005!FA_SPO_govt_rate,MATCH((HM_ZD_AM3_2005!CA_cum_gross_sales_oil+HM_ZD_AM3_2005!CA_cum_gross_sales_lpg),HM_ZD_AM3_2005!FA_SPO_cumprod_oil,1))*HM_ZD_AM3_2005!CA_rev_for_SPO)-AI291</f>
        <v>0</v>
      </c>
      <c r="AJ294" s="49">
        <f ca="1">(INDEX(HM_ZD_AM3_2005!FA_SPO_govt_rate,MATCH((HM_ZD_AM3_2005!CA_cum_gross_sales_oil+HM_ZD_AM3_2005!CA_cum_gross_sales_lpg),HM_ZD_AM3_2005!FA_SPO_cumprod_oil,1))*HM_ZD_AM3_2005!CA_rev_for_SPO)-AJ291</f>
        <v>0</v>
      </c>
      <c r="AK294" s="49">
        <f ca="1">(INDEX(HM_ZD_AM3_2005!FA_SPO_govt_rate,MATCH((HM_ZD_AM3_2005!CA_cum_gross_sales_oil+HM_ZD_AM3_2005!CA_cum_gross_sales_lpg),HM_ZD_AM3_2005!FA_SPO_cumprod_oil,1))*HM_ZD_AM3_2005!CA_rev_for_SPO)-AK291</f>
        <v>0</v>
      </c>
      <c r="AL294" s="49">
        <f ca="1">(INDEX(HM_ZD_AM3_2005!FA_SPO_govt_rate,MATCH((HM_ZD_AM3_2005!CA_cum_gross_sales_oil+HM_ZD_AM3_2005!CA_cum_gross_sales_lpg),HM_ZD_AM3_2005!FA_SPO_cumprod_oil,1))*HM_ZD_AM3_2005!CA_rev_for_SPO)-AL291</f>
        <v>0</v>
      </c>
      <c r="AM294" s="49">
        <f ca="1">(INDEX(HM_ZD_AM3_2005!FA_SPO_govt_rate,MATCH((HM_ZD_AM3_2005!CA_cum_gross_sales_oil+HM_ZD_AM3_2005!CA_cum_gross_sales_lpg),HM_ZD_AM3_2005!FA_SPO_cumprod_oil,1))*HM_ZD_AM3_2005!CA_rev_for_SPO)-AM291</f>
        <v>0</v>
      </c>
      <c r="AN294" s="49">
        <f ca="1">(INDEX(HM_ZD_AM3_2005!FA_SPO_govt_rate,MATCH((HM_ZD_AM3_2005!CA_cum_gross_sales_oil+HM_ZD_AM3_2005!CA_cum_gross_sales_lpg),HM_ZD_AM3_2005!FA_SPO_cumprod_oil,1))*HM_ZD_AM3_2005!CA_rev_for_SPO)-AN291</f>
        <v>0</v>
      </c>
      <c r="AO294" s="49">
        <f ca="1">(INDEX(HM_ZD_AM3_2005!FA_SPO_govt_rate,MATCH((HM_ZD_AM3_2005!CA_cum_gross_sales_oil+HM_ZD_AM3_2005!CA_cum_gross_sales_lpg),HM_ZD_AM3_2005!FA_SPO_cumprod_oil,1))*HM_ZD_AM3_2005!CA_rev_for_SPO)-AO291</f>
        <v>0</v>
      </c>
      <c r="AP294" s="49">
        <f ca="1">(INDEX(HM_ZD_AM3_2005!FA_SPO_govt_rate,MATCH((HM_ZD_AM3_2005!CA_cum_gross_sales_oil+HM_ZD_AM3_2005!CA_cum_gross_sales_lpg),HM_ZD_AM3_2005!FA_SPO_cumprod_oil,1))*HM_ZD_AM3_2005!CA_rev_for_SPO)-AP291</f>
        <v>0</v>
      </c>
      <c r="AQ294" s="49">
        <f ca="1">(INDEX(HM_ZD_AM3_2005!FA_SPO_govt_rate,MATCH((HM_ZD_AM3_2005!CA_cum_gross_sales_oil+HM_ZD_AM3_2005!CA_cum_gross_sales_lpg),HM_ZD_AM3_2005!FA_SPO_cumprod_oil,1))*HM_ZD_AM3_2005!CA_rev_for_SPO)-AQ291</f>
        <v>0</v>
      </c>
      <c r="AR294" s="49">
        <f ca="1">(INDEX(HM_ZD_AM3_2005!FA_SPO_govt_rate,MATCH((HM_ZD_AM3_2005!CA_cum_gross_sales_oil+HM_ZD_AM3_2005!CA_cum_gross_sales_lpg),HM_ZD_AM3_2005!FA_SPO_cumprod_oil,1))*HM_ZD_AM3_2005!CA_rev_for_SPO)-AR291</f>
        <v>0</v>
      </c>
      <c r="AS294" s="49">
        <f ca="1">(INDEX(HM_ZD_AM3_2005!FA_SPO_govt_rate,MATCH((HM_ZD_AM3_2005!CA_cum_gross_sales_oil+HM_ZD_AM3_2005!CA_cum_gross_sales_lpg),HM_ZD_AM3_2005!FA_SPO_cumprod_oil,1))*HM_ZD_AM3_2005!CA_rev_for_SPO)-AS291</f>
        <v>0</v>
      </c>
      <c r="AT294" s="49">
        <f ca="1">(INDEX(HM_ZD_AM3_2005!FA_SPO_govt_rate,MATCH((HM_ZD_AM3_2005!CA_cum_gross_sales_oil+HM_ZD_AM3_2005!CA_cum_gross_sales_lpg),HM_ZD_AM3_2005!FA_SPO_cumprod_oil,1))*HM_ZD_AM3_2005!CA_rev_for_SPO)-AT291</f>
        <v>0</v>
      </c>
      <c r="AU294" s="49">
        <f ca="1">(INDEX(HM_ZD_AM3_2005!FA_SPO_govt_rate,MATCH((HM_ZD_AM3_2005!CA_cum_gross_sales_oil+HM_ZD_AM3_2005!CA_cum_gross_sales_lpg),HM_ZD_AM3_2005!FA_SPO_cumprod_oil,1))*HM_ZD_AM3_2005!CA_rev_for_SPO)-AU291</f>
        <v>0</v>
      </c>
      <c r="AV294" s="49">
        <f ca="1">(INDEX(HM_ZD_AM3_2005!FA_SPO_govt_rate,MATCH((HM_ZD_AM3_2005!CA_cum_gross_sales_oil+HM_ZD_AM3_2005!CA_cum_gross_sales_lpg),HM_ZD_AM3_2005!FA_SPO_cumprod_oil,1))*HM_ZD_AM3_2005!CA_rev_for_SPO)-AV291</f>
        <v>0</v>
      </c>
      <c r="AW294" s="49">
        <f ca="1">(INDEX(HM_ZD_AM3_2005!FA_SPO_govt_rate,MATCH((HM_ZD_AM3_2005!CA_cum_gross_sales_oil+HM_ZD_AM3_2005!CA_cum_gross_sales_lpg),HM_ZD_AM3_2005!FA_SPO_cumprod_oil,1))*HM_ZD_AM3_2005!CA_rev_for_SPO)-AW291</f>
        <v>0</v>
      </c>
      <c r="AX294" s="49">
        <f ca="1">(INDEX(HM_ZD_AM3_2005!FA_SPO_govt_rate,MATCH((HM_ZD_AM3_2005!CA_cum_gross_sales_oil+HM_ZD_AM3_2005!CA_cum_gross_sales_lpg),HM_ZD_AM3_2005!FA_SPO_cumprod_oil,1))*HM_ZD_AM3_2005!CA_rev_for_SPO)-AX291</f>
        <v>0</v>
      </c>
      <c r="AY294" s="49">
        <f ca="1">(INDEX(HM_ZD_AM3_2005!FA_SPO_govt_rate,MATCH((HM_ZD_AM3_2005!CA_cum_gross_sales_oil+HM_ZD_AM3_2005!CA_cum_gross_sales_lpg),HM_ZD_AM3_2005!FA_SPO_cumprod_oil,1))*HM_ZD_AM3_2005!CA_rev_for_SPO)-AY291</f>
        <v>0</v>
      </c>
      <c r="AZ294" s="49">
        <f ca="1">(INDEX(HM_ZD_AM3_2005!FA_SPO_govt_rate,MATCH((HM_ZD_AM3_2005!CA_cum_gross_sales_oil+HM_ZD_AM3_2005!CA_cum_gross_sales_lpg),HM_ZD_AM3_2005!FA_SPO_cumprod_oil,1))*HM_ZD_AM3_2005!CA_rev_for_SPO)-AZ291</f>
        <v>0</v>
      </c>
      <c r="BA294" s="49">
        <f ca="1">(INDEX(HM_ZD_AM3_2005!FA_SPO_govt_rate,MATCH((HM_ZD_AM3_2005!CA_cum_gross_sales_oil+HM_ZD_AM3_2005!CA_cum_gross_sales_lpg),HM_ZD_AM3_2005!FA_SPO_cumprod_oil,1))*HM_ZD_AM3_2005!CA_rev_for_SPO)-BA291</f>
        <v>0</v>
      </c>
      <c r="BB294" s="49">
        <f ca="1">(INDEX(HM_ZD_AM3_2005!FA_SPO_govt_rate,MATCH((HM_ZD_AM3_2005!CA_cum_gross_sales_oil+HM_ZD_AM3_2005!CA_cum_gross_sales_lpg),HM_ZD_AM3_2005!FA_SPO_cumprod_oil,1))*HM_ZD_AM3_2005!CA_rev_for_SPO)-BB291</f>
        <v>0</v>
      </c>
      <c r="BC294" s="49">
        <f ca="1">(INDEX(HM_ZD_AM3_2005!FA_SPO_govt_rate,MATCH((HM_ZD_AM3_2005!CA_cum_gross_sales_oil+HM_ZD_AM3_2005!CA_cum_gross_sales_lpg),HM_ZD_AM3_2005!FA_SPO_cumprod_oil,1))*HM_ZD_AM3_2005!CA_rev_for_SPO)-BC291</f>
        <v>0</v>
      </c>
      <c r="BD294" s="49">
        <f ca="1">(INDEX(HM_ZD_AM3_2005!FA_SPO_govt_rate,MATCH((HM_ZD_AM3_2005!CA_cum_gross_sales_oil+HM_ZD_AM3_2005!CA_cum_gross_sales_lpg),HM_ZD_AM3_2005!FA_SPO_cumprod_oil,1))*HM_ZD_AM3_2005!CA_rev_for_SPO)-BD291</f>
        <v>0</v>
      </c>
      <c r="BE294" s="49">
        <f ca="1">(INDEX(HM_ZD_AM3_2005!FA_SPO_govt_rate,MATCH((HM_ZD_AM3_2005!CA_cum_gross_sales_oil+HM_ZD_AM3_2005!CA_cum_gross_sales_lpg),HM_ZD_AM3_2005!FA_SPO_cumprod_oil,1))*HM_ZD_AM3_2005!CA_rev_for_SPO)-BE291</f>
        <v>0</v>
      </c>
      <c r="BF294" s="49">
        <f ca="1">(INDEX(HM_ZD_AM3_2005!FA_SPO_govt_rate,MATCH((HM_ZD_AM3_2005!CA_cum_gross_sales_oil+HM_ZD_AM3_2005!CA_cum_gross_sales_lpg),HM_ZD_AM3_2005!FA_SPO_cumprod_oil,1))*HM_ZD_AM3_2005!CA_rev_for_SPO)-BF291</f>
        <v>0</v>
      </c>
      <c r="BG294" s="49">
        <f ca="1">(INDEX(HM_ZD_AM3_2005!FA_SPO_govt_rate,MATCH((HM_ZD_AM3_2005!CA_cum_gross_sales_oil+HM_ZD_AM3_2005!CA_cum_gross_sales_lpg),HM_ZD_AM3_2005!FA_SPO_cumprod_oil,1))*HM_ZD_AM3_2005!CA_rev_for_SPO)-BG291</f>
        <v>0</v>
      </c>
      <c r="BH294" s="49">
        <f ca="1">(INDEX(HM_ZD_AM3_2005!FA_SPO_govt_rate,MATCH((HM_ZD_AM3_2005!CA_cum_gross_sales_oil+HM_ZD_AM3_2005!CA_cum_gross_sales_lpg),HM_ZD_AM3_2005!FA_SPO_cumprod_oil,1))*HM_ZD_AM3_2005!CA_rev_for_SPO)-BH291</f>
        <v>0</v>
      </c>
      <c r="BI294" s="49">
        <f ca="1">(INDEX(HM_ZD_AM3_2005!FA_SPO_govt_rate,MATCH((HM_ZD_AM3_2005!CA_cum_gross_sales_oil+HM_ZD_AM3_2005!CA_cum_gross_sales_lpg),HM_ZD_AM3_2005!FA_SPO_cumprod_oil,1))*HM_ZD_AM3_2005!CA_rev_for_SPO)-BI291</f>
        <v>0</v>
      </c>
      <c r="BJ294" s="49">
        <f ca="1">(INDEX(HM_ZD_AM3_2005!FA_SPO_govt_rate,MATCH((HM_ZD_AM3_2005!CA_cum_gross_sales_oil+HM_ZD_AM3_2005!CA_cum_gross_sales_lpg),HM_ZD_AM3_2005!FA_SPO_cumprod_oil,1))*HM_ZD_AM3_2005!CA_rev_for_SPO)-BJ291</f>
        <v>0</v>
      </c>
      <c r="BK294" s="49">
        <f ca="1">(INDEX(HM_ZD_AM3_2005!FA_SPO_govt_rate,MATCH((HM_ZD_AM3_2005!CA_cum_gross_sales_oil+HM_ZD_AM3_2005!CA_cum_gross_sales_lpg),HM_ZD_AM3_2005!FA_SPO_cumprod_oil,1))*HM_ZD_AM3_2005!CA_rev_for_SPO)-BK291</f>
        <v>0</v>
      </c>
      <c r="BL294" s="49">
        <f ca="1">(INDEX(HM_ZD_AM3_2005!FA_SPO_govt_rate,MATCH((HM_ZD_AM3_2005!CA_cum_gross_sales_oil+HM_ZD_AM3_2005!CA_cum_gross_sales_lpg),HM_ZD_AM3_2005!FA_SPO_cumprod_oil,1))*HM_ZD_AM3_2005!CA_rev_for_SPO)-BL291</f>
        <v>0</v>
      </c>
      <c r="BM294" s="49">
        <f ca="1">(INDEX(HM_ZD_AM3_2005!FA_SPO_govt_rate,MATCH((HM_ZD_AM3_2005!CA_cum_gross_sales_oil+HM_ZD_AM3_2005!CA_cum_gross_sales_lpg),HM_ZD_AM3_2005!FA_SPO_cumprod_oil,1))*HM_ZD_AM3_2005!CA_rev_for_SPO)-BM291</f>
        <v>0</v>
      </c>
      <c r="BN294" s="49">
        <f ca="1">(INDEX(HM_ZD_AM3_2005!FA_SPO_govt_rate,MATCH((HM_ZD_AM3_2005!CA_cum_gross_sales_oil+HM_ZD_AM3_2005!CA_cum_gross_sales_lpg),HM_ZD_AM3_2005!FA_SPO_cumprod_oil,1))*HM_ZD_AM3_2005!CA_rev_for_SPO)-BN291</f>
        <v>0</v>
      </c>
      <c r="BO294" s="49">
        <f ca="1">(INDEX(HM_ZD_AM3_2005!FA_SPO_govt_rate,MATCH((HM_ZD_AM3_2005!CA_cum_gross_sales_oil+HM_ZD_AM3_2005!CA_cum_gross_sales_lpg),HM_ZD_AM3_2005!FA_SPO_cumprod_oil,1))*HM_ZD_AM3_2005!CA_rev_for_SPO)-BO291</f>
        <v>0</v>
      </c>
      <c r="BP294" s="49">
        <f ca="1">(INDEX(HM_ZD_AM3_2005!FA_SPO_govt_rate,MATCH((HM_ZD_AM3_2005!CA_cum_gross_sales_oil+HM_ZD_AM3_2005!CA_cum_gross_sales_lpg),HM_ZD_AM3_2005!FA_SPO_cumprod_oil,1))*HM_ZD_AM3_2005!CA_rev_for_SPO)-BP291</f>
        <v>0</v>
      </c>
      <c r="BQ294" s="49">
        <f ca="1">(INDEX(HM_ZD_AM3_2005!FA_SPO_govt_rate,MATCH((HM_ZD_AM3_2005!CA_cum_gross_sales_oil+HM_ZD_AM3_2005!CA_cum_gross_sales_lpg),HM_ZD_AM3_2005!FA_SPO_cumprod_oil,1))*HM_ZD_AM3_2005!CA_rev_for_SPO)-BQ291</f>
        <v>0</v>
      </c>
      <c r="BR294" s="49">
        <f ca="1">(INDEX(HM_ZD_AM3_2005!FA_SPO_govt_rate,MATCH((HM_ZD_AM3_2005!CA_cum_gross_sales_oil+HM_ZD_AM3_2005!CA_cum_gross_sales_lpg),HM_ZD_AM3_2005!FA_SPO_cumprod_oil,1))*HM_ZD_AM3_2005!CA_rev_for_SPO)-BR291</f>
        <v>0</v>
      </c>
      <c r="BS294" s="49">
        <f ca="1">(INDEX(HM_ZD_AM3_2005!FA_SPO_govt_rate,MATCH((HM_ZD_AM3_2005!CA_cum_gross_sales_oil+HM_ZD_AM3_2005!CA_cum_gross_sales_lpg),HM_ZD_AM3_2005!FA_SPO_cumprod_oil,1))*HM_ZD_AM3_2005!CA_rev_for_SPO)-BS291</f>
        <v>0</v>
      </c>
    </row>
    <row r="295" spans="3:71" outlineLevel="1" x14ac:dyDescent="0.2">
      <c r="J295" s="26"/>
      <c r="L295" s="55"/>
      <c r="M295" s="55"/>
      <c r="N295" s="55"/>
      <c r="O295" s="55"/>
      <c r="P295" s="55"/>
      <c r="Q295" s="55"/>
      <c r="R295" s="55"/>
      <c r="S295" s="55"/>
      <c r="T295" s="55"/>
      <c r="U295" s="55"/>
      <c r="V295" s="55"/>
      <c r="W295" s="55"/>
      <c r="X295" s="55"/>
      <c r="Y295" s="55"/>
      <c r="Z295" s="55"/>
      <c r="AA295" s="55"/>
      <c r="AB295" s="55"/>
      <c r="AC295" s="55"/>
      <c r="AD295" s="55"/>
      <c r="AE295" s="55"/>
      <c r="AF295" s="55"/>
      <c r="AG295" s="55"/>
      <c r="AH295" s="55"/>
      <c r="AI295" s="55"/>
      <c r="AJ295" s="55"/>
      <c r="AK295" s="55"/>
      <c r="AL295" s="55"/>
      <c r="AM295" s="55"/>
      <c r="AN295" s="55"/>
      <c r="AO295" s="55"/>
      <c r="AP295" s="55"/>
      <c r="AQ295" s="55"/>
      <c r="AR295" s="55"/>
      <c r="AS295" s="55"/>
      <c r="AT295" s="55"/>
      <c r="AU295" s="55"/>
      <c r="AV295" s="55"/>
      <c r="AW295" s="55"/>
      <c r="AX295" s="55"/>
      <c r="AY295" s="55"/>
      <c r="AZ295" s="55"/>
      <c r="BA295" s="55"/>
      <c r="BB295" s="55"/>
      <c r="BC295" s="55"/>
      <c r="BD295" s="55"/>
      <c r="BE295" s="55"/>
      <c r="BF295" s="55"/>
      <c r="BG295" s="55"/>
      <c r="BH295" s="55"/>
      <c r="BI295" s="55"/>
      <c r="BJ295" s="55"/>
      <c r="BK295" s="55"/>
      <c r="BL295" s="55"/>
      <c r="BM295" s="55"/>
      <c r="BN295" s="55"/>
      <c r="BO295" s="55"/>
      <c r="BP295" s="55"/>
      <c r="BQ295" s="55"/>
      <c r="BR295" s="55"/>
      <c r="BS295" s="55"/>
    </row>
    <row r="296" spans="3:71" outlineLevel="1" x14ac:dyDescent="0.2">
      <c r="J296" s="26"/>
      <c r="L296" s="55"/>
      <c r="M296" s="55"/>
      <c r="N296" s="55"/>
      <c r="O296" s="55"/>
      <c r="P296" s="55"/>
      <c r="Q296" s="55"/>
      <c r="R296" s="55"/>
      <c r="S296" s="55"/>
      <c r="T296" s="55"/>
      <c r="U296" s="55"/>
      <c r="V296" s="55"/>
      <c r="W296" s="55"/>
      <c r="X296" s="55"/>
      <c r="Y296" s="55"/>
      <c r="Z296" s="55"/>
      <c r="AA296" s="55"/>
      <c r="AB296" s="55"/>
      <c r="AC296" s="55"/>
      <c r="AD296" s="55"/>
      <c r="AE296" s="55"/>
      <c r="AF296" s="55"/>
      <c r="AG296" s="55"/>
      <c r="AH296" s="55"/>
      <c r="AI296" s="55"/>
      <c r="AJ296" s="55"/>
      <c r="AK296" s="55"/>
      <c r="AL296" s="55"/>
      <c r="AM296" s="55"/>
      <c r="AN296" s="55"/>
      <c r="AO296" s="55"/>
      <c r="AP296" s="55"/>
      <c r="AQ296" s="55"/>
      <c r="AR296" s="55"/>
      <c r="AS296" s="55"/>
      <c r="AT296" s="55"/>
      <c r="AU296" s="55"/>
      <c r="AV296" s="55"/>
      <c r="AW296" s="55"/>
      <c r="AX296" s="55"/>
      <c r="AY296" s="55"/>
      <c r="AZ296" s="55"/>
      <c r="BA296" s="55"/>
      <c r="BB296" s="55"/>
      <c r="BC296" s="55"/>
      <c r="BD296" s="55"/>
      <c r="BE296" s="55"/>
      <c r="BF296" s="55"/>
      <c r="BG296" s="55"/>
      <c r="BH296" s="55"/>
      <c r="BI296" s="55"/>
      <c r="BJ296" s="55"/>
      <c r="BK296" s="55"/>
      <c r="BL296" s="55"/>
      <c r="BM296" s="55"/>
      <c r="BN296" s="55"/>
      <c r="BO296" s="55"/>
      <c r="BP296" s="55"/>
      <c r="BQ296" s="55"/>
      <c r="BR296" s="55"/>
      <c r="BS296" s="55"/>
    </row>
    <row r="297" spans="3:71" outlineLevel="1" x14ac:dyDescent="0.2">
      <c r="C297" s="11" t="str">
        <f>HM_ZD_Moho!C319</f>
        <v>Partage du profit</v>
      </c>
      <c r="J297" s="26"/>
      <c r="L297" s="55"/>
      <c r="M297" s="55"/>
      <c r="N297" s="55"/>
      <c r="O297" s="55"/>
      <c r="P297" s="55"/>
      <c r="Q297" s="55"/>
      <c r="R297" s="55"/>
      <c r="S297" s="55"/>
      <c r="T297" s="55"/>
      <c r="U297" s="55"/>
      <c r="V297" s="55"/>
      <c r="W297" s="55"/>
      <c r="X297" s="55"/>
      <c r="Y297" s="55"/>
      <c r="Z297" s="55"/>
      <c r="AA297" s="55"/>
      <c r="AB297" s="55"/>
      <c r="AC297" s="55"/>
      <c r="AD297" s="55"/>
      <c r="AE297" s="55"/>
      <c r="AF297" s="55"/>
      <c r="AG297" s="55"/>
      <c r="AH297" s="55"/>
      <c r="AI297" s="55"/>
      <c r="AJ297" s="55"/>
      <c r="AK297" s="55"/>
      <c r="AL297" s="55"/>
      <c r="AM297" s="55"/>
      <c r="AN297" s="55"/>
      <c r="AO297" s="55"/>
      <c r="AP297" s="55"/>
      <c r="AQ297" s="55"/>
      <c r="AR297" s="55"/>
      <c r="AS297" s="55"/>
      <c r="AT297" s="55"/>
      <c r="AU297" s="55"/>
      <c r="AV297" s="55"/>
      <c r="AW297" s="55"/>
      <c r="AX297" s="55"/>
      <c r="AY297" s="55"/>
      <c r="AZ297" s="55"/>
      <c r="BA297" s="55"/>
      <c r="BB297" s="55"/>
      <c r="BC297" s="55"/>
      <c r="BD297" s="55"/>
      <c r="BE297" s="55"/>
      <c r="BF297" s="55"/>
      <c r="BG297" s="55"/>
      <c r="BH297" s="55"/>
      <c r="BI297" s="55"/>
      <c r="BJ297" s="55"/>
      <c r="BK297" s="55"/>
      <c r="BL297" s="55"/>
      <c r="BM297" s="55"/>
      <c r="BN297" s="55"/>
      <c r="BO297" s="55"/>
      <c r="BP297" s="55"/>
      <c r="BQ297" s="55"/>
      <c r="BR297" s="55"/>
      <c r="BS297" s="55"/>
    </row>
    <row r="298" spans="3:71" outlineLevel="1" x14ac:dyDescent="0.2">
      <c r="J298" s="26"/>
      <c r="L298" s="55"/>
      <c r="M298" s="55"/>
      <c r="N298" s="55"/>
      <c r="O298" s="55"/>
      <c r="P298" s="55"/>
      <c r="Q298" s="55"/>
      <c r="R298" s="55"/>
      <c r="S298" s="55"/>
      <c r="T298" s="55"/>
      <c r="U298" s="55"/>
      <c r="V298" s="55"/>
      <c r="W298" s="55"/>
      <c r="X298" s="55"/>
      <c r="Y298" s="55"/>
      <c r="Z298" s="55"/>
      <c r="AA298" s="55"/>
      <c r="AB298" s="55"/>
      <c r="AC298" s="55"/>
      <c r="AD298" s="55"/>
      <c r="AE298" s="55"/>
      <c r="AF298" s="55"/>
      <c r="AG298" s="55"/>
      <c r="AH298" s="55"/>
      <c r="AI298" s="55"/>
      <c r="AJ298" s="55"/>
      <c r="AK298" s="55"/>
      <c r="AL298" s="55"/>
      <c r="AM298" s="55"/>
      <c r="AN298" s="55"/>
      <c r="AO298" s="55"/>
      <c r="AP298" s="55"/>
      <c r="AQ298" s="55"/>
      <c r="AR298" s="55"/>
      <c r="AS298" s="55"/>
      <c r="AT298" s="55"/>
      <c r="AU298" s="55"/>
      <c r="AV298" s="55"/>
      <c r="AW298" s="55"/>
      <c r="AX298" s="55"/>
      <c r="AY298" s="55"/>
      <c r="AZ298" s="55"/>
      <c r="BA298" s="55"/>
      <c r="BB298" s="55"/>
      <c r="BC298" s="55"/>
      <c r="BD298" s="55"/>
      <c r="BE298" s="55"/>
      <c r="BF298" s="55"/>
      <c r="BG298" s="55"/>
      <c r="BH298" s="55"/>
      <c r="BI298" s="55"/>
      <c r="BJ298" s="55"/>
      <c r="BK298" s="55"/>
      <c r="BL298" s="55"/>
      <c r="BM298" s="55"/>
      <c r="BN298" s="55"/>
      <c r="BO298" s="55"/>
      <c r="BP298" s="55"/>
      <c r="BQ298" s="55"/>
      <c r="BR298" s="55"/>
      <c r="BS298" s="55"/>
    </row>
    <row r="299" spans="3:71" outlineLevel="1" x14ac:dyDescent="0.2">
      <c r="D299" s="11" t="str">
        <f>HM_ZD_Moho!D321</f>
        <v>Profit Oil</v>
      </c>
      <c r="J299" s="26"/>
      <c r="L299" s="55"/>
      <c r="M299" s="55"/>
      <c r="N299" s="55"/>
      <c r="O299" s="55"/>
      <c r="P299" s="55"/>
      <c r="Q299" s="55"/>
      <c r="R299" s="55"/>
      <c r="S299" s="55"/>
      <c r="T299" s="55"/>
      <c r="U299" s="55"/>
      <c r="V299" s="55"/>
      <c r="W299" s="55"/>
      <c r="X299" s="55"/>
      <c r="Y299" s="55"/>
      <c r="Z299" s="55"/>
      <c r="AA299" s="55"/>
      <c r="AB299" s="55"/>
      <c r="AC299" s="55"/>
      <c r="AD299" s="55"/>
      <c r="AE299" s="55"/>
      <c r="AF299" s="55"/>
      <c r="AG299" s="55"/>
      <c r="AH299" s="55"/>
      <c r="AI299" s="55"/>
      <c r="AJ299" s="55"/>
      <c r="AK299" s="55"/>
      <c r="AL299" s="55"/>
      <c r="AM299" s="55"/>
      <c r="AN299" s="55"/>
      <c r="AO299" s="55"/>
      <c r="AP299" s="55"/>
      <c r="AQ299" s="55"/>
      <c r="AR299" s="55"/>
      <c r="AS299" s="55"/>
      <c r="AT299" s="55"/>
      <c r="AU299" s="55"/>
      <c r="AV299" s="55"/>
      <c r="AW299" s="55"/>
      <c r="AX299" s="55"/>
      <c r="AY299" s="55"/>
      <c r="AZ299" s="55"/>
      <c r="BA299" s="55"/>
      <c r="BB299" s="55"/>
      <c r="BC299" s="55"/>
      <c r="BD299" s="55"/>
      <c r="BE299" s="55"/>
      <c r="BF299" s="55"/>
      <c r="BG299" s="55"/>
      <c r="BH299" s="55"/>
      <c r="BI299" s="55"/>
      <c r="BJ299" s="55"/>
      <c r="BK299" s="55"/>
      <c r="BL299" s="55"/>
      <c r="BM299" s="55"/>
      <c r="BN299" s="55"/>
      <c r="BO299" s="55"/>
      <c r="BP299" s="55"/>
      <c r="BQ299" s="55"/>
      <c r="BR299" s="55"/>
      <c r="BS299" s="55"/>
    </row>
    <row r="300" spans="3:71" outlineLevel="1" x14ac:dyDescent="0.2">
      <c r="D300" s="50" t="str">
        <f>HM_ZD_Moho!D322</f>
        <v>Revenus pétroliers pour le Partage du Profit</v>
      </c>
      <c r="I300" s="30">
        <f t="shared" ref="I300:I303" ca="1" si="100">SUM($L300:$BS300)</f>
        <v>0</v>
      </c>
      <c r="J300" s="26" t="s">
        <v>148</v>
      </c>
      <c r="L300" s="49">
        <f ca="1">MAX(HM_ZD_AM3_2005!CA_gross_rev_oil_fp-HM_ZD_AM3_2005!CA_roy_oil_fp-(HM_ZD_AM3_2005!CA_cost_recovered_total*HM_ZD_AM3_2005!CA_rev_oil_perc)-(HM_ZD_AM3_2005!CA_excess_cost_recovery*HM_ZD_AM3_2005!CA_rev_oil_perc)-HM_ZD_AM3_2005!CA_rev_for_SPO,0)</f>
        <v>0</v>
      </c>
      <c r="M300" s="49">
        <f ca="1">MAX(HM_ZD_AM3_2005!CA_gross_rev_oil_fp-HM_ZD_AM3_2005!CA_roy_oil_fp-(HM_ZD_AM3_2005!CA_cost_recovered_total*HM_ZD_AM3_2005!CA_rev_oil_perc)-(HM_ZD_AM3_2005!CA_excess_cost_recovery*HM_ZD_AM3_2005!CA_rev_oil_perc)-HM_ZD_AM3_2005!CA_rev_for_SPO,0)</f>
        <v>0</v>
      </c>
      <c r="N300" s="49">
        <f ca="1">MAX(HM_ZD_AM3_2005!CA_gross_rev_oil_fp-HM_ZD_AM3_2005!CA_roy_oil_fp-(HM_ZD_AM3_2005!CA_cost_recovered_total*HM_ZD_AM3_2005!CA_rev_oil_perc)-(HM_ZD_AM3_2005!CA_excess_cost_recovery*HM_ZD_AM3_2005!CA_rev_oil_perc)-HM_ZD_AM3_2005!CA_rev_for_SPO,0)</f>
        <v>0</v>
      </c>
      <c r="O300" s="49">
        <f ca="1">MAX(HM_ZD_AM3_2005!CA_gross_rev_oil_fp-HM_ZD_AM3_2005!CA_roy_oil_fp-(HM_ZD_AM3_2005!CA_cost_recovered_total*HM_ZD_AM3_2005!CA_rev_oil_perc)-(HM_ZD_AM3_2005!CA_excess_cost_recovery*HM_ZD_AM3_2005!CA_rev_oil_perc)-HM_ZD_AM3_2005!CA_rev_for_SPO,0)</f>
        <v>0</v>
      </c>
      <c r="P300" s="49">
        <f ca="1">MAX(HM_ZD_AM3_2005!CA_gross_rev_oil_fp-HM_ZD_AM3_2005!CA_roy_oil_fp-(HM_ZD_AM3_2005!CA_cost_recovered_total*HM_ZD_AM3_2005!CA_rev_oil_perc)-(HM_ZD_AM3_2005!CA_excess_cost_recovery*HM_ZD_AM3_2005!CA_rev_oil_perc)-HM_ZD_AM3_2005!CA_rev_for_SPO,0)</f>
        <v>0</v>
      </c>
      <c r="Q300" s="49">
        <f ca="1">MAX(HM_ZD_AM3_2005!CA_gross_rev_oil_fp-HM_ZD_AM3_2005!CA_roy_oil_fp-(HM_ZD_AM3_2005!CA_cost_recovered_total*HM_ZD_AM3_2005!CA_rev_oil_perc)-(HM_ZD_AM3_2005!CA_excess_cost_recovery*HM_ZD_AM3_2005!CA_rev_oil_perc)-HM_ZD_AM3_2005!CA_rev_for_SPO,0)</f>
        <v>0</v>
      </c>
      <c r="R300" s="49">
        <f ca="1">MAX(HM_ZD_AM3_2005!CA_gross_rev_oil_fp-HM_ZD_AM3_2005!CA_roy_oil_fp-(HM_ZD_AM3_2005!CA_cost_recovered_total*HM_ZD_AM3_2005!CA_rev_oil_perc)-(HM_ZD_AM3_2005!CA_excess_cost_recovery*HM_ZD_AM3_2005!CA_rev_oil_perc)-HM_ZD_AM3_2005!CA_rev_for_SPO,0)</f>
        <v>0</v>
      </c>
      <c r="S300" s="49">
        <f ca="1">MAX(HM_ZD_AM3_2005!CA_gross_rev_oil_fp-HM_ZD_AM3_2005!CA_roy_oil_fp-(HM_ZD_AM3_2005!CA_cost_recovered_total*HM_ZD_AM3_2005!CA_rev_oil_perc)-(HM_ZD_AM3_2005!CA_excess_cost_recovery*HM_ZD_AM3_2005!CA_rev_oil_perc)-HM_ZD_AM3_2005!CA_rev_for_SPO,0)</f>
        <v>0</v>
      </c>
      <c r="T300" s="49">
        <f ca="1">MAX(HM_ZD_AM3_2005!CA_gross_rev_oil_fp-HM_ZD_AM3_2005!CA_roy_oil_fp-(HM_ZD_AM3_2005!CA_cost_recovered_total*HM_ZD_AM3_2005!CA_rev_oil_perc)-(HM_ZD_AM3_2005!CA_excess_cost_recovery*HM_ZD_AM3_2005!CA_rev_oil_perc)-HM_ZD_AM3_2005!CA_rev_for_SPO,0)</f>
        <v>0</v>
      </c>
      <c r="U300" s="49">
        <f ca="1">MAX(HM_ZD_AM3_2005!CA_gross_rev_oil_fp-HM_ZD_AM3_2005!CA_roy_oil_fp-(HM_ZD_AM3_2005!CA_cost_recovered_total*HM_ZD_AM3_2005!CA_rev_oil_perc)-(HM_ZD_AM3_2005!CA_excess_cost_recovery*HM_ZD_AM3_2005!CA_rev_oil_perc)-HM_ZD_AM3_2005!CA_rev_for_SPO,0)</f>
        <v>0</v>
      </c>
      <c r="V300" s="49">
        <f ca="1">MAX(HM_ZD_AM3_2005!CA_gross_rev_oil_fp-HM_ZD_AM3_2005!CA_roy_oil_fp-(HM_ZD_AM3_2005!CA_cost_recovered_total*HM_ZD_AM3_2005!CA_rev_oil_perc)-(HM_ZD_AM3_2005!CA_excess_cost_recovery*HM_ZD_AM3_2005!CA_rev_oil_perc)-HM_ZD_AM3_2005!CA_rev_for_SPO,0)</f>
        <v>0</v>
      </c>
      <c r="W300" s="49">
        <f ca="1">MAX(HM_ZD_AM3_2005!CA_gross_rev_oil_fp-HM_ZD_AM3_2005!CA_roy_oil_fp-(HM_ZD_AM3_2005!CA_cost_recovered_total*HM_ZD_AM3_2005!CA_rev_oil_perc)-(HM_ZD_AM3_2005!CA_excess_cost_recovery*HM_ZD_AM3_2005!CA_rev_oil_perc)-HM_ZD_AM3_2005!CA_rev_for_SPO,0)</f>
        <v>0</v>
      </c>
      <c r="X300" s="49">
        <f ca="1">MAX(HM_ZD_AM3_2005!CA_gross_rev_oil_fp-HM_ZD_AM3_2005!CA_roy_oil_fp-(HM_ZD_AM3_2005!CA_cost_recovered_total*HM_ZD_AM3_2005!CA_rev_oil_perc)-(HM_ZD_AM3_2005!CA_excess_cost_recovery*HM_ZD_AM3_2005!CA_rev_oil_perc)-HM_ZD_AM3_2005!CA_rev_for_SPO,0)</f>
        <v>0</v>
      </c>
      <c r="Y300" s="49">
        <f ca="1">MAX(HM_ZD_AM3_2005!CA_gross_rev_oil_fp-HM_ZD_AM3_2005!CA_roy_oil_fp-(HM_ZD_AM3_2005!CA_cost_recovered_total*HM_ZD_AM3_2005!CA_rev_oil_perc)-(HM_ZD_AM3_2005!CA_excess_cost_recovery*HM_ZD_AM3_2005!CA_rev_oil_perc)-HM_ZD_AM3_2005!CA_rev_for_SPO,0)</f>
        <v>0</v>
      </c>
      <c r="Z300" s="49">
        <f ca="1">MAX(HM_ZD_AM3_2005!CA_gross_rev_oil_fp-HM_ZD_AM3_2005!CA_roy_oil_fp-(HM_ZD_AM3_2005!CA_cost_recovered_total*HM_ZD_AM3_2005!CA_rev_oil_perc)-(HM_ZD_AM3_2005!CA_excess_cost_recovery*HM_ZD_AM3_2005!CA_rev_oil_perc)-HM_ZD_AM3_2005!CA_rev_for_SPO,0)</f>
        <v>0</v>
      </c>
      <c r="AA300" s="49">
        <f ca="1">MAX(HM_ZD_AM3_2005!CA_gross_rev_oil_fp-HM_ZD_AM3_2005!CA_roy_oil_fp-(HM_ZD_AM3_2005!CA_cost_recovered_total*HM_ZD_AM3_2005!CA_rev_oil_perc)-(HM_ZD_AM3_2005!CA_excess_cost_recovery*HM_ZD_AM3_2005!CA_rev_oil_perc)-HM_ZD_AM3_2005!CA_rev_for_SPO,0)</f>
        <v>0</v>
      </c>
      <c r="AB300" s="49">
        <f ca="1">MAX(HM_ZD_AM3_2005!CA_gross_rev_oil_fp-HM_ZD_AM3_2005!CA_roy_oil_fp-(HM_ZD_AM3_2005!CA_cost_recovered_total*HM_ZD_AM3_2005!CA_rev_oil_perc)-(HM_ZD_AM3_2005!CA_excess_cost_recovery*HM_ZD_AM3_2005!CA_rev_oil_perc)-HM_ZD_AM3_2005!CA_rev_for_SPO,0)</f>
        <v>0</v>
      </c>
      <c r="AC300" s="49">
        <f ca="1">MAX(HM_ZD_AM3_2005!CA_gross_rev_oil_fp-HM_ZD_AM3_2005!CA_roy_oil_fp-(HM_ZD_AM3_2005!CA_cost_recovered_total*HM_ZD_AM3_2005!CA_rev_oil_perc)-(HM_ZD_AM3_2005!CA_excess_cost_recovery*HM_ZD_AM3_2005!CA_rev_oil_perc)-HM_ZD_AM3_2005!CA_rev_for_SPO,0)</f>
        <v>0</v>
      </c>
      <c r="AD300" s="49">
        <f ca="1">MAX(HM_ZD_AM3_2005!CA_gross_rev_oil_fp-HM_ZD_AM3_2005!CA_roy_oil_fp-(HM_ZD_AM3_2005!CA_cost_recovered_total*HM_ZD_AM3_2005!CA_rev_oil_perc)-(HM_ZD_AM3_2005!CA_excess_cost_recovery*HM_ZD_AM3_2005!CA_rev_oil_perc)-HM_ZD_AM3_2005!CA_rev_for_SPO,0)</f>
        <v>0</v>
      </c>
      <c r="AE300" s="49">
        <f ca="1">MAX(HM_ZD_AM3_2005!CA_gross_rev_oil_fp-HM_ZD_AM3_2005!CA_roy_oil_fp-(HM_ZD_AM3_2005!CA_cost_recovered_total*HM_ZD_AM3_2005!CA_rev_oil_perc)-(HM_ZD_AM3_2005!CA_excess_cost_recovery*HM_ZD_AM3_2005!CA_rev_oil_perc)-HM_ZD_AM3_2005!CA_rev_for_SPO,0)</f>
        <v>0</v>
      </c>
      <c r="AF300" s="49">
        <f ca="1">MAX(HM_ZD_AM3_2005!CA_gross_rev_oil_fp-HM_ZD_AM3_2005!CA_roy_oil_fp-(HM_ZD_AM3_2005!CA_cost_recovered_total*HM_ZD_AM3_2005!CA_rev_oil_perc)-(HM_ZD_AM3_2005!CA_excess_cost_recovery*HM_ZD_AM3_2005!CA_rev_oil_perc)-HM_ZD_AM3_2005!CA_rev_for_SPO,0)</f>
        <v>0</v>
      </c>
      <c r="AG300" s="49">
        <f ca="1">MAX(HM_ZD_AM3_2005!CA_gross_rev_oil_fp-HM_ZD_AM3_2005!CA_roy_oil_fp-(HM_ZD_AM3_2005!CA_cost_recovered_total*HM_ZD_AM3_2005!CA_rev_oil_perc)-(HM_ZD_AM3_2005!CA_excess_cost_recovery*HM_ZD_AM3_2005!CA_rev_oil_perc)-HM_ZD_AM3_2005!CA_rev_for_SPO,0)</f>
        <v>0</v>
      </c>
      <c r="AH300" s="49">
        <f ca="1">MAX(HM_ZD_AM3_2005!CA_gross_rev_oil_fp-HM_ZD_AM3_2005!CA_roy_oil_fp-(HM_ZD_AM3_2005!CA_cost_recovered_total*HM_ZD_AM3_2005!CA_rev_oil_perc)-(HM_ZD_AM3_2005!CA_excess_cost_recovery*HM_ZD_AM3_2005!CA_rev_oil_perc)-HM_ZD_AM3_2005!CA_rev_for_SPO,0)</f>
        <v>0</v>
      </c>
      <c r="AI300" s="49">
        <f ca="1">MAX(HM_ZD_AM3_2005!CA_gross_rev_oil_fp-HM_ZD_AM3_2005!CA_roy_oil_fp-(HM_ZD_AM3_2005!CA_cost_recovered_total*HM_ZD_AM3_2005!CA_rev_oil_perc)-(HM_ZD_AM3_2005!CA_excess_cost_recovery*HM_ZD_AM3_2005!CA_rev_oil_perc)-HM_ZD_AM3_2005!CA_rev_for_SPO,0)</f>
        <v>0</v>
      </c>
      <c r="AJ300" s="49">
        <f ca="1">MAX(HM_ZD_AM3_2005!CA_gross_rev_oil_fp-HM_ZD_AM3_2005!CA_roy_oil_fp-(HM_ZD_AM3_2005!CA_cost_recovered_total*HM_ZD_AM3_2005!CA_rev_oil_perc)-(HM_ZD_AM3_2005!CA_excess_cost_recovery*HM_ZD_AM3_2005!CA_rev_oil_perc)-HM_ZD_AM3_2005!CA_rev_for_SPO,0)</f>
        <v>0</v>
      </c>
      <c r="AK300" s="49">
        <f ca="1">MAX(HM_ZD_AM3_2005!CA_gross_rev_oil_fp-HM_ZD_AM3_2005!CA_roy_oil_fp-(HM_ZD_AM3_2005!CA_cost_recovered_total*HM_ZD_AM3_2005!CA_rev_oil_perc)-(HM_ZD_AM3_2005!CA_excess_cost_recovery*HM_ZD_AM3_2005!CA_rev_oil_perc)-HM_ZD_AM3_2005!CA_rev_for_SPO,0)</f>
        <v>0</v>
      </c>
      <c r="AL300" s="49">
        <f ca="1">MAX(HM_ZD_AM3_2005!CA_gross_rev_oil_fp-HM_ZD_AM3_2005!CA_roy_oil_fp-(HM_ZD_AM3_2005!CA_cost_recovered_total*HM_ZD_AM3_2005!CA_rev_oil_perc)-(HM_ZD_AM3_2005!CA_excess_cost_recovery*HM_ZD_AM3_2005!CA_rev_oil_perc)-HM_ZD_AM3_2005!CA_rev_for_SPO,0)</f>
        <v>0</v>
      </c>
      <c r="AM300" s="49">
        <f ca="1">MAX(HM_ZD_AM3_2005!CA_gross_rev_oil_fp-HM_ZD_AM3_2005!CA_roy_oil_fp-(HM_ZD_AM3_2005!CA_cost_recovered_total*HM_ZD_AM3_2005!CA_rev_oil_perc)-(HM_ZD_AM3_2005!CA_excess_cost_recovery*HM_ZD_AM3_2005!CA_rev_oil_perc)-HM_ZD_AM3_2005!CA_rev_for_SPO,0)</f>
        <v>0</v>
      </c>
      <c r="AN300" s="49">
        <f ca="1">MAX(HM_ZD_AM3_2005!CA_gross_rev_oil_fp-HM_ZD_AM3_2005!CA_roy_oil_fp-(HM_ZD_AM3_2005!CA_cost_recovered_total*HM_ZD_AM3_2005!CA_rev_oil_perc)-(HM_ZD_AM3_2005!CA_excess_cost_recovery*HM_ZD_AM3_2005!CA_rev_oil_perc)-HM_ZD_AM3_2005!CA_rev_for_SPO,0)</f>
        <v>0</v>
      </c>
      <c r="AO300" s="49">
        <f ca="1">MAX(HM_ZD_AM3_2005!CA_gross_rev_oil_fp-HM_ZD_AM3_2005!CA_roy_oil_fp-(HM_ZD_AM3_2005!CA_cost_recovered_total*HM_ZD_AM3_2005!CA_rev_oil_perc)-(HM_ZD_AM3_2005!CA_excess_cost_recovery*HM_ZD_AM3_2005!CA_rev_oil_perc)-HM_ZD_AM3_2005!CA_rev_for_SPO,0)</f>
        <v>0</v>
      </c>
      <c r="AP300" s="49">
        <f ca="1">MAX(HM_ZD_AM3_2005!CA_gross_rev_oil_fp-HM_ZD_AM3_2005!CA_roy_oil_fp-(HM_ZD_AM3_2005!CA_cost_recovered_total*HM_ZD_AM3_2005!CA_rev_oil_perc)-(HM_ZD_AM3_2005!CA_excess_cost_recovery*HM_ZD_AM3_2005!CA_rev_oil_perc)-HM_ZD_AM3_2005!CA_rev_for_SPO,0)</f>
        <v>0</v>
      </c>
      <c r="AQ300" s="49">
        <f ca="1">MAX(HM_ZD_AM3_2005!CA_gross_rev_oil_fp-HM_ZD_AM3_2005!CA_roy_oil_fp-(HM_ZD_AM3_2005!CA_cost_recovered_total*HM_ZD_AM3_2005!CA_rev_oil_perc)-(HM_ZD_AM3_2005!CA_excess_cost_recovery*HM_ZD_AM3_2005!CA_rev_oil_perc)-HM_ZD_AM3_2005!CA_rev_for_SPO,0)</f>
        <v>0</v>
      </c>
      <c r="AR300" s="49">
        <f ca="1">MAX(HM_ZD_AM3_2005!CA_gross_rev_oil_fp-HM_ZD_AM3_2005!CA_roy_oil_fp-(HM_ZD_AM3_2005!CA_cost_recovered_total*HM_ZD_AM3_2005!CA_rev_oil_perc)-(HM_ZD_AM3_2005!CA_excess_cost_recovery*HM_ZD_AM3_2005!CA_rev_oil_perc)-HM_ZD_AM3_2005!CA_rev_for_SPO,0)</f>
        <v>0</v>
      </c>
      <c r="AS300" s="49">
        <f ca="1">MAX(HM_ZD_AM3_2005!CA_gross_rev_oil_fp-HM_ZD_AM3_2005!CA_roy_oil_fp-(HM_ZD_AM3_2005!CA_cost_recovered_total*HM_ZD_AM3_2005!CA_rev_oil_perc)-(HM_ZD_AM3_2005!CA_excess_cost_recovery*HM_ZD_AM3_2005!CA_rev_oil_perc)-HM_ZD_AM3_2005!CA_rev_for_SPO,0)</f>
        <v>0</v>
      </c>
      <c r="AT300" s="49">
        <f ca="1">MAX(HM_ZD_AM3_2005!CA_gross_rev_oil_fp-HM_ZD_AM3_2005!CA_roy_oil_fp-(HM_ZD_AM3_2005!CA_cost_recovered_total*HM_ZD_AM3_2005!CA_rev_oil_perc)-(HM_ZD_AM3_2005!CA_excess_cost_recovery*HM_ZD_AM3_2005!CA_rev_oil_perc)-HM_ZD_AM3_2005!CA_rev_for_SPO,0)</f>
        <v>0</v>
      </c>
      <c r="AU300" s="49">
        <f ca="1">MAX(HM_ZD_AM3_2005!CA_gross_rev_oil_fp-HM_ZD_AM3_2005!CA_roy_oil_fp-(HM_ZD_AM3_2005!CA_cost_recovered_total*HM_ZD_AM3_2005!CA_rev_oil_perc)-(HM_ZD_AM3_2005!CA_excess_cost_recovery*HM_ZD_AM3_2005!CA_rev_oil_perc)-HM_ZD_AM3_2005!CA_rev_for_SPO,0)</f>
        <v>0</v>
      </c>
      <c r="AV300" s="49">
        <f ca="1">MAX(HM_ZD_AM3_2005!CA_gross_rev_oil_fp-HM_ZD_AM3_2005!CA_roy_oil_fp-(HM_ZD_AM3_2005!CA_cost_recovered_total*HM_ZD_AM3_2005!CA_rev_oil_perc)-(HM_ZD_AM3_2005!CA_excess_cost_recovery*HM_ZD_AM3_2005!CA_rev_oil_perc)-HM_ZD_AM3_2005!CA_rev_for_SPO,0)</f>
        <v>0</v>
      </c>
      <c r="AW300" s="49">
        <f ca="1">MAX(HM_ZD_AM3_2005!CA_gross_rev_oil_fp-HM_ZD_AM3_2005!CA_roy_oil_fp-(HM_ZD_AM3_2005!CA_cost_recovered_total*HM_ZD_AM3_2005!CA_rev_oil_perc)-(HM_ZD_AM3_2005!CA_excess_cost_recovery*HM_ZD_AM3_2005!CA_rev_oil_perc)-HM_ZD_AM3_2005!CA_rev_for_SPO,0)</f>
        <v>0</v>
      </c>
      <c r="AX300" s="49">
        <f ca="1">MAX(HM_ZD_AM3_2005!CA_gross_rev_oil_fp-HM_ZD_AM3_2005!CA_roy_oil_fp-(HM_ZD_AM3_2005!CA_cost_recovered_total*HM_ZD_AM3_2005!CA_rev_oil_perc)-(HM_ZD_AM3_2005!CA_excess_cost_recovery*HM_ZD_AM3_2005!CA_rev_oil_perc)-HM_ZD_AM3_2005!CA_rev_for_SPO,0)</f>
        <v>0</v>
      </c>
      <c r="AY300" s="49">
        <f ca="1">MAX(HM_ZD_AM3_2005!CA_gross_rev_oil_fp-HM_ZD_AM3_2005!CA_roy_oil_fp-(HM_ZD_AM3_2005!CA_cost_recovered_total*HM_ZD_AM3_2005!CA_rev_oil_perc)-(HM_ZD_AM3_2005!CA_excess_cost_recovery*HM_ZD_AM3_2005!CA_rev_oil_perc)-HM_ZD_AM3_2005!CA_rev_for_SPO,0)</f>
        <v>0</v>
      </c>
      <c r="AZ300" s="49">
        <f ca="1">MAX(HM_ZD_AM3_2005!CA_gross_rev_oil_fp-HM_ZD_AM3_2005!CA_roy_oil_fp-(HM_ZD_AM3_2005!CA_cost_recovered_total*HM_ZD_AM3_2005!CA_rev_oil_perc)-(HM_ZD_AM3_2005!CA_excess_cost_recovery*HM_ZD_AM3_2005!CA_rev_oil_perc)-HM_ZD_AM3_2005!CA_rev_for_SPO,0)</f>
        <v>0</v>
      </c>
      <c r="BA300" s="49">
        <f ca="1">MAX(HM_ZD_AM3_2005!CA_gross_rev_oil_fp-HM_ZD_AM3_2005!CA_roy_oil_fp-(HM_ZD_AM3_2005!CA_cost_recovered_total*HM_ZD_AM3_2005!CA_rev_oil_perc)-(HM_ZD_AM3_2005!CA_excess_cost_recovery*HM_ZD_AM3_2005!CA_rev_oil_perc)-HM_ZD_AM3_2005!CA_rev_for_SPO,0)</f>
        <v>0</v>
      </c>
      <c r="BB300" s="49">
        <f ca="1">MAX(HM_ZD_AM3_2005!CA_gross_rev_oil_fp-HM_ZD_AM3_2005!CA_roy_oil_fp-(HM_ZD_AM3_2005!CA_cost_recovered_total*HM_ZD_AM3_2005!CA_rev_oil_perc)-(HM_ZD_AM3_2005!CA_excess_cost_recovery*HM_ZD_AM3_2005!CA_rev_oil_perc)-HM_ZD_AM3_2005!CA_rev_for_SPO,0)</f>
        <v>0</v>
      </c>
      <c r="BC300" s="49">
        <f ca="1">MAX(HM_ZD_AM3_2005!CA_gross_rev_oil_fp-HM_ZD_AM3_2005!CA_roy_oil_fp-(HM_ZD_AM3_2005!CA_cost_recovered_total*HM_ZD_AM3_2005!CA_rev_oil_perc)-(HM_ZD_AM3_2005!CA_excess_cost_recovery*HM_ZD_AM3_2005!CA_rev_oil_perc)-HM_ZD_AM3_2005!CA_rev_for_SPO,0)</f>
        <v>0</v>
      </c>
      <c r="BD300" s="49">
        <f ca="1">MAX(HM_ZD_AM3_2005!CA_gross_rev_oil_fp-HM_ZD_AM3_2005!CA_roy_oil_fp-(HM_ZD_AM3_2005!CA_cost_recovered_total*HM_ZD_AM3_2005!CA_rev_oil_perc)-(HM_ZD_AM3_2005!CA_excess_cost_recovery*HM_ZD_AM3_2005!CA_rev_oil_perc)-HM_ZD_AM3_2005!CA_rev_for_SPO,0)</f>
        <v>0</v>
      </c>
      <c r="BE300" s="49">
        <f ca="1">MAX(HM_ZD_AM3_2005!CA_gross_rev_oil_fp-HM_ZD_AM3_2005!CA_roy_oil_fp-(HM_ZD_AM3_2005!CA_cost_recovered_total*HM_ZD_AM3_2005!CA_rev_oil_perc)-(HM_ZD_AM3_2005!CA_excess_cost_recovery*HM_ZD_AM3_2005!CA_rev_oil_perc)-HM_ZD_AM3_2005!CA_rev_for_SPO,0)</f>
        <v>0</v>
      </c>
      <c r="BF300" s="49">
        <f ca="1">MAX(HM_ZD_AM3_2005!CA_gross_rev_oil_fp-HM_ZD_AM3_2005!CA_roy_oil_fp-(HM_ZD_AM3_2005!CA_cost_recovered_total*HM_ZD_AM3_2005!CA_rev_oil_perc)-(HM_ZD_AM3_2005!CA_excess_cost_recovery*HM_ZD_AM3_2005!CA_rev_oil_perc)-HM_ZD_AM3_2005!CA_rev_for_SPO,0)</f>
        <v>0</v>
      </c>
      <c r="BG300" s="49">
        <f ca="1">MAX(HM_ZD_AM3_2005!CA_gross_rev_oil_fp-HM_ZD_AM3_2005!CA_roy_oil_fp-(HM_ZD_AM3_2005!CA_cost_recovered_total*HM_ZD_AM3_2005!CA_rev_oil_perc)-(HM_ZD_AM3_2005!CA_excess_cost_recovery*HM_ZD_AM3_2005!CA_rev_oil_perc)-HM_ZD_AM3_2005!CA_rev_for_SPO,0)</f>
        <v>0</v>
      </c>
      <c r="BH300" s="49">
        <f ca="1">MAX(HM_ZD_AM3_2005!CA_gross_rev_oil_fp-HM_ZD_AM3_2005!CA_roy_oil_fp-(HM_ZD_AM3_2005!CA_cost_recovered_total*HM_ZD_AM3_2005!CA_rev_oil_perc)-(HM_ZD_AM3_2005!CA_excess_cost_recovery*HM_ZD_AM3_2005!CA_rev_oil_perc)-HM_ZD_AM3_2005!CA_rev_for_SPO,0)</f>
        <v>0</v>
      </c>
      <c r="BI300" s="49">
        <f ca="1">MAX(HM_ZD_AM3_2005!CA_gross_rev_oil_fp-HM_ZD_AM3_2005!CA_roy_oil_fp-(HM_ZD_AM3_2005!CA_cost_recovered_total*HM_ZD_AM3_2005!CA_rev_oil_perc)-(HM_ZD_AM3_2005!CA_excess_cost_recovery*HM_ZD_AM3_2005!CA_rev_oil_perc)-HM_ZD_AM3_2005!CA_rev_for_SPO,0)</f>
        <v>0</v>
      </c>
      <c r="BJ300" s="49">
        <f ca="1">MAX(HM_ZD_AM3_2005!CA_gross_rev_oil_fp-HM_ZD_AM3_2005!CA_roy_oil_fp-(HM_ZD_AM3_2005!CA_cost_recovered_total*HM_ZD_AM3_2005!CA_rev_oil_perc)-(HM_ZD_AM3_2005!CA_excess_cost_recovery*HM_ZD_AM3_2005!CA_rev_oil_perc)-HM_ZD_AM3_2005!CA_rev_for_SPO,0)</f>
        <v>0</v>
      </c>
      <c r="BK300" s="49">
        <f ca="1">MAX(HM_ZD_AM3_2005!CA_gross_rev_oil_fp-HM_ZD_AM3_2005!CA_roy_oil_fp-(HM_ZD_AM3_2005!CA_cost_recovered_total*HM_ZD_AM3_2005!CA_rev_oil_perc)-(HM_ZD_AM3_2005!CA_excess_cost_recovery*HM_ZD_AM3_2005!CA_rev_oil_perc)-HM_ZD_AM3_2005!CA_rev_for_SPO,0)</f>
        <v>0</v>
      </c>
      <c r="BL300" s="49">
        <f ca="1">MAX(HM_ZD_AM3_2005!CA_gross_rev_oil_fp-HM_ZD_AM3_2005!CA_roy_oil_fp-(HM_ZD_AM3_2005!CA_cost_recovered_total*HM_ZD_AM3_2005!CA_rev_oil_perc)-(HM_ZD_AM3_2005!CA_excess_cost_recovery*HM_ZD_AM3_2005!CA_rev_oil_perc)-HM_ZD_AM3_2005!CA_rev_for_SPO,0)</f>
        <v>0</v>
      </c>
      <c r="BM300" s="49">
        <f ca="1">MAX(HM_ZD_AM3_2005!CA_gross_rev_oil_fp-HM_ZD_AM3_2005!CA_roy_oil_fp-(HM_ZD_AM3_2005!CA_cost_recovered_total*HM_ZD_AM3_2005!CA_rev_oil_perc)-(HM_ZD_AM3_2005!CA_excess_cost_recovery*HM_ZD_AM3_2005!CA_rev_oil_perc)-HM_ZD_AM3_2005!CA_rev_for_SPO,0)</f>
        <v>0</v>
      </c>
      <c r="BN300" s="49">
        <f ca="1">MAX(HM_ZD_AM3_2005!CA_gross_rev_oil_fp-HM_ZD_AM3_2005!CA_roy_oil_fp-(HM_ZD_AM3_2005!CA_cost_recovered_total*HM_ZD_AM3_2005!CA_rev_oil_perc)-(HM_ZD_AM3_2005!CA_excess_cost_recovery*HM_ZD_AM3_2005!CA_rev_oil_perc)-HM_ZD_AM3_2005!CA_rev_for_SPO,0)</f>
        <v>0</v>
      </c>
      <c r="BO300" s="49">
        <f ca="1">MAX(HM_ZD_AM3_2005!CA_gross_rev_oil_fp-HM_ZD_AM3_2005!CA_roy_oil_fp-(HM_ZD_AM3_2005!CA_cost_recovered_total*HM_ZD_AM3_2005!CA_rev_oil_perc)-(HM_ZD_AM3_2005!CA_excess_cost_recovery*HM_ZD_AM3_2005!CA_rev_oil_perc)-HM_ZD_AM3_2005!CA_rev_for_SPO,0)</f>
        <v>0</v>
      </c>
      <c r="BP300" s="49">
        <f ca="1">MAX(HM_ZD_AM3_2005!CA_gross_rev_oil_fp-HM_ZD_AM3_2005!CA_roy_oil_fp-(HM_ZD_AM3_2005!CA_cost_recovered_total*HM_ZD_AM3_2005!CA_rev_oil_perc)-(HM_ZD_AM3_2005!CA_excess_cost_recovery*HM_ZD_AM3_2005!CA_rev_oil_perc)-HM_ZD_AM3_2005!CA_rev_for_SPO,0)</f>
        <v>0</v>
      </c>
      <c r="BQ300" s="49">
        <f ca="1">MAX(HM_ZD_AM3_2005!CA_gross_rev_oil_fp-HM_ZD_AM3_2005!CA_roy_oil_fp-(HM_ZD_AM3_2005!CA_cost_recovered_total*HM_ZD_AM3_2005!CA_rev_oil_perc)-(HM_ZD_AM3_2005!CA_excess_cost_recovery*HM_ZD_AM3_2005!CA_rev_oil_perc)-HM_ZD_AM3_2005!CA_rev_for_SPO,0)</f>
        <v>0</v>
      </c>
      <c r="BR300" s="49">
        <f ca="1">MAX(HM_ZD_AM3_2005!CA_gross_rev_oil_fp-HM_ZD_AM3_2005!CA_roy_oil_fp-(HM_ZD_AM3_2005!CA_cost_recovered_total*HM_ZD_AM3_2005!CA_rev_oil_perc)-(HM_ZD_AM3_2005!CA_excess_cost_recovery*HM_ZD_AM3_2005!CA_rev_oil_perc)-HM_ZD_AM3_2005!CA_rev_for_SPO,0)</f>
        <v>0</v>
      </c>
      <c r="BS300" s="49">
        <f ca="1">MAX(HM_ZD_AM3_2005!CA_gross_rev_oil_fp-HM_ZD_AM3_2005!CA_roy_oil_fp-(HM_ZD_AM3_2005!CA_cost_recovered_total*HM_ZD_AM3_2005!CA_rev_oil_perc)-(HM_ZD_AM3_2005!CA_excess_cost_recovery*HM_ZD_AM3_2005!CA_rev_oil_perc)-HM_ZD_AM3_2005!CA_rev_for_SPO,0)</f>
        <v>0</v>
      </c>
    </row>
    <row r="301" spans="3:71" outlineLevel="1" x14ac:dyDescent="0.2">
      <c r="D301" s="50" t="str">
        <f>HM_ZD_Moho!D323</f>
        <v>Partage du profit %</v>
      </c>
      <c r="J301" s="26"/>
      <c r="L301" s="53">
        <f ca="1">INDEX(HM_ZD_AM3_2005!FA_PS_cont_rate,MATCH((HM_ZD_AM3_2005!CA_cum_gross_prod_oil+HM_ZD_AM3_2005!CA_cum_gross_prod_lpg),HM_ZD_AM3_2005!FA_PS_cumprod_oil,1))*HM_ZD_AM3_2005!CA_op_trig</f>
        <v>0.62</v>
      </c>
      <c r="M301" s="53">
        <f ca="1">INDEX(HM_ZD_AM3_2005!FA_PS_cont_rate,MATCH((HM_ZD_AM3_2005!CA_cum_gross_prod_oil+HM_ZD_AM3_2005!CA_cum_gross_prod_lpg),HM_ZD_AM3_2005!FA_PS_cumprod_oil,1))*HM_ZD_AM3_2005!CA_op_trig</f>
        <v>0.62</v>
      </c>
      <c r="N301" s="53">
        <f ca="1">INDEX(HM_ZD_AM3_2005!FA_PS_cont_rate,MATCH((HM_ZD_AM3_2005!CA_cum_gross_prod_oil+HM_ZD_AM3_2005!CA_cum_gross_prod_lpg),HM_ZD_AM3_2005!FA_PS_cumprod_oil,1))*HM_ZD_AM3_2005!CA_op_trig</f>
        <v>0</v>
      </c>
      <c r="O301" s="53">
        <f ca="1">INDEX(HM_ZD_AM3_2005!FA_PS_cont_rate,MATCH((HM_ZD_AM3_2005!CA_cum_gross_prod_oil+HM_ZD_AM3_2005!CA_cum_gross_prod_lpg),HM_ZD_AM3_2005!FA_PS_cumprod_oil,1))*HM_ZD_AM3_2005!CA_op_trig</f>
        <v>0</v>
      </c>
      <c r="P301" s="53">
        <f ca="1">INDEX(HM_ZD_AM3_2005!FA_PS_cont_rate,MATCH((HM_ZD_AM3_2005!CA_cum_gross_prod_oil+HM_ZD_AM3_2005!CA_cum_gross_prod_lpg),HM_ZD_AM3_2005!FA_PS_cumprod_oil,1))*HM_ZD_AM3_2005!CA_op_trig</f>
        <v>0</v>
      </c>
      <c r="Q301" s="53">
        <f ca="1">INDEX(HM_ZD_AM3_2005!FA_PS_cont_rate,MATCH((HM_ZD_AM3_2005!CA_cum_gross_prod_oil+HM_ZD_AM3_2005!CA_cum_gross_prod_lpg),HM_ZD_AM3_2005!FA_PS_cumprod_oil,1))*HM_ZD_AM3_2005!CA_op_trig</f>
        <v>0</v>
      </c>
      <c r="R301" s="53">
        <f ca="1">INDEX(HM_ZD_AM3_2005!FA_PS_cont_rate,MATCH((HM_ZD_AM3_2005!CA_cum_gross_prod_oil+HM_ZD_AM3_2005!CA_cum_gross_prod_lpg),HM_ZD_AM3_2005!FA_PS_cumprod_oil,1))*HM_ZD_AM3_2005!CA_op_trig</f>
        <v>0</v>
      </c>
      <c r="S301" s="53">
        <f ca="1">INDEX(HM_ZD_AM3_2005!FA_PS_cont_rate,MATCH((HM_ZD_AM3_2005!CA_cum_gross_prod_oil+HM_ZD_AM3_2005!CA_cum_gross_prod_lpg),HM_ZD_AM3_2005!FA_PS_cumprod_oil,1))*HM_ZD_AM3_2005!CA_op_trig</f>
        <v>0</v>
      </c>
      <c r="T301" s="53">
        <f ca="1">INDEX(HM_ZD_AM3_2005!FA_PS_cont_rate,MATCH((HM_ZD_AM3_2005!CA_cum_gross_prod_oil+HM_ZD_AM3_2005!CA_cum_gross_prod_lpg),HM_ZD_AM3_2005!FA_PS_cumprod_oil,1))*HM_ZD_AM3_2005!CA_op_trig</f>
        <v>0</v>
      </c>
      <c r="U301" s="53">
        <f ca="1">INDEX(HM_ZD_AM3_2005!FA_PS_cont_rate,MATCH((HM_ZD_AM3_2005!CA_cum_gross_prod_oil+HM_ZD_AM3_2005!CA_cum_gross_prod_lpg),HM_ZD_AM3_2005!FA_PS_cumprod_oil,1))*HM_ZD_AM3_2005!CA_op_trig</f>
        <v>0</v>
      </c>
      <c r="V301" s="53">
        <f ca="1">INDEX(HM_ZD_AM3_2005!FA_PS_cont_rate,MATCH((HM_ZD_AM3_2005!CA_cum_gross_prod_oil+HM_ZD_AM3_2005!CA_cum_gross_prod_lpg),HM_ZD_AM3_2005!FA_PS_cumprod_oil,1))*HM_ZD_AM3_2005!CA_op_trig</f>
        <v>0</v>
      </c>
      <c r="W301" s="53">
        <f ca="1">INDEX(HM_ZD_AM3_2005!FA_PS_cont_rate,MATCH((HM_ZD_AM3_2005!CA_cum_gross_prod_oil+HM_ZD_AM3_2005!CA_cum_gross_prod_lpg),HM_ZD_AM3_2005!FA_PS_cumprod_oil,1))*HM_ZD_AM3_2005!CA_op_trig</f>
        <v>0</v>
      </c>
      <c r="X301" s="53">
        <f ca="1">INDEX(HM_ZD_AM3_2005!FA_PS_cont_rate,MATCH((HM_ZD_AM3_2005!CA_cum_gross_prod_oil+HM_ZD_AM3_2005!CA_cum_gross_prod_lpg),HM_ZD_AM3_2005!FA_PS_cumprod_oil,1))*HM_ZD_AM3_2005!CA_op_trig</f>
        <v>0</v>
      </c>
      <c r="Y301" s="53">
        <f ca="1">INDEX(HM_ZD_AM3_2005!FA_PS_cont_rate,MATCH((HM_ZD_AM3_2005!CA_cum_gross_prod_oil+HM_ZD_AM3_2005!CA_cum_gross_prod_lpg),HM_ZD_AM3_2005!FA_PS_cumprod_oil,1))*HM_ZD_AM3_2005!CA_op_trig</f>
        <v>0</v>
      </c>
      <c r="Z301" s="53">
        <f ca="1">INDEX(HM_ZD_AM3_2005!FA_PS_cont_rate,MATCH((HM_ZD_AM3_2005!CA_cum_gross_prod_oil+HM_ZD_AM3_2005!CA_cum_gross_prod_lpg),HM_ZD_AM3_2005!FA_PS_cumprod_oil,1))*HM_ZD_AM3_2005!CA_op_trig</f>
        <v>0</v>
      </c>
      <c r="AA301" s="53">
        <f ca="1">INDEX(HM_ZD_AM3_2005!FA_PS_cont_rate,MATCH((HM_ZD_AM3_2005!CA_cum_gross_prod_oil+HM_ZD_AM3_2005!CA_cum_gross_prod_lpg),HM_ZD_AM3_2005!FA_PS_cumprod_oil,1))*HM_ZD_AM3_2005!CA_op_trig</f>
        <v>0</v>
      </c>
      <c r="AB301" s="53">
        <f ca="1">INDEX(HM_ZD_AM3_2005!FA_PS_cont_rate,MATCH((HM_ZD_AM3_2005!CA_cum_gross_prod_oil+HM_ZD_AM3_2005!CA_cum_gross_prod_lpg),HM_ZD_AM3_2005!FA_PS_cumprod_oil,1))*HM_ZD_AM3_2005!CA_op_trig</f>
        <v>0</v>
      </c>
      <c r="AC301" s="53">
        <f ca="1">INDEX(HM_ZD_AM3_2005!FA_PS_cont_rate,MATCH((HM_ZD_AM3_2005!CA_cum_gross_prod_oil+HM_ZD_AM3_2005!CA_cum_gross_prod_lpg),HM_ZD_AM3_2005!FA_PS_cumprod_oil,1))*HM_ZD_AM3_2005!CA_op_trig</f>
        <v>0</v>
      </c>
      <c r="AD301" s="53">
        <f ca="1">INDEX(HM_ZD_AM3_2005!FA_PS_cont_rate,MATCH((HM_ZD_AM3_2005!CA_cum_gross_prod_oil+HM_ZD_AM3_2005!CA_cum_gross_prod_lpg),HM_ZD_AM3_2005!FA_PS_cumprod_oil,1))*HM_ZD_AM3_2005!CA_op_trig</f>
        <v>0</v>
      </c>
      <c r="AE301" s="53">
        <f ca="1">INDEX(HM_ZD_AM3_2005!FA_PS_cont_rate,MATCH((HM_ZD_AM3_2005!CA_cum_gross_prod_oil+HM_ZD_AM3_2005!CA_cum_gross_prod_lpg),HM_ZD_AM3_2005!FA_PS_cumprod_oil,1))*HM_ZD_AM3_2005!CA_op_trig</f>
        <v>0</v>
      </c>
      <c r="AF301" s="53">
        <f ca="1">INDEX(HM_ZD_AM3_2005!FA_PS_cont_rate,MATCH((HM_ZD_AM3_2005!CA_cum_gross_prod_oil+HM_ZD_AM3_2005!CA_cum_gross_prod_lpg),HM_ZD_AM3_2005!FA_PS_cumprod_oil,1))*HM_ZD_AM3_2005!CA_op_trig</f>
        <v>0</v>
      </c>
      <c r="AG301" s="53">
        <f ca="1">INDEX(HM_ZD_AM3_2005!FA_PS_cont_rate,MATCH((HM_ZD_AM3_2005!CA_cum_gross_prod_oil+HM_ZD_AM3_2005!CA_cum_gross_prod_lpg),HM_ZD_AM3_2005!FA_PS_cumprod_oil,1))*HM_ZD_AM3_2005!CA_op_trig</f>
        <v>0</v>
      </c>
      <c r="AH301" s="53">
        <f ca="1">INDEX(HM_ZD_AM3_2005!FA_PS_cont_rate,MATCH((HM_ZD_AM3_2005!CA_cum_gross_prod_oil+HM_ZD_AM3_2005!CA_cum_gross_prod_lpg),HM_ZD_AM3_2005!FA_PS_cumprod_oil,1))*HM_ZD_AM3_2005!CA_op_trig</f>
        <v>0</v>
      </c>
      <c r="AI301" s="53">
        <f ca="1">INDEX(HM_ZD_AM3_2005!FA_PS_cont_rate,MATCH((HM_ZD_AM3_2005!CA_cum_gross_prod_oil+HM_ZD_AM3_2005!CA_cum_gross_prod_lpg),HM_ZD_AM3_2005!FA_PS_cumprod_oil,1))*HM_ZD_AM3_2005!CA_op_trig</f>
        <v>0</v>
      </c>
      <c r="AJ301" s="53">
        <f ca="1">INDEX(HM_ZD_AM3_2005!FA_PS_cont_rate,MATCH((HM_ZD_AM3_2005!CA_cum_gross_prod_oil+HM_ZD_AM3_2005!CA_cum_gross_prod_lpg),HM_ZD_AM3_2005!FA_PS_cumprod_oil,1))*HM_ZD_AM3_2005!CA_op_trig</f>
        <v>0</v>
      </c>
      <c r="AK301" s="53">
        <f ca="1">INDEX(HM_ZD_AM3_2005!FA_PS_cont_rate,MATCH((HM_ZD_AM3_2005!CA_cum_gross_prod_oil+HM_ZD_AM3_2005!CA_cum_gross_prod_lpg),HM_ZD_AM3_2005!FA_PS_cumprod_oil,1))*HM_ZD_AM3_2005!CA_op_trig</f>
        <v>0</v>
      </c>
      <c r="AL301" s="53">
        <f ca="1">INDEX(HM_ZD_AM3_2005!FA_PS_cont_rate,MATCH((HM_ZD_AM3_2005!CA_cum_gross_prod_oil+HM_ZD_AM3_2005!CA_cum_gross_prod_lpg),HM_ZD_AM3_2005!FA_PS_cumprod_oil,1))*HM_ZD_AM3_2005!CA_op_trig</f>
        <v>0</v>
      </c>
      <c r="AM301" s="53">
        <f ca="1">INDEX(HM_ZD_AM3_2005!FA_PS_cont_rate,MATCH((HM_ZD_AM3_2005!CA_cum_gross_prod_oil+HM_ZD_AM3_2005!CA_cum_gross_prod_lpg),HM_ZD_AM3_2005!FA_PS_cumprod_oil,1))*HM_ZD_AM3_2005!CA_op_trig</f>
        <v>0</v>
      </c>
      <c r="AN301" s="53">
        <f ca="1">INDEX(HM_ZD_AM3_2005!FA_PS_cont_rate,MATCH((HM_ZD_AM3_2005!CA_cum_gross_prod_oil+HM_ZD_AM3_2005!CA_cum_gross_prod_lpg),HM_ZD_AM3_2005!FA_PS_cumprod_oil,1))*HM_ZD_AM3_2005!CA_op_trig</f>
        <v>0</v>
      </c>
      <c r="AO301" s="53">
        <f ca="1">INDEX(HM_ZD_AM3_2005!FA_PS_cont_rate,MATCH((HM_ZD_AM3_2005!CA_cum_gross_prod_oil+HM_ZD_AM3_2005!CA_cum_gross_prod_lpg),HM_ZD_AM3_2005!FA_PS_cumprod_oil,1))*HM_ZD_AM3_2005!CA_op_trig</f>
        <v>0</v>
      </c>
      <c r="AP301" s="53">
        <f ca="1">INDEX(HM_ZD_AM3_2005!FA_PS_cont_rate,MATCH((HM_ZD_AM3_2005!CA_cum_gross_prod_oil+HM_ZD_AM3_2005!CA_cum_gross_prod_lpg),HM_ZD_AM3_2005!FA_PS_cumprod_oil,1))*HM_ZD_AM3_2005!CA_op_trig</f>
        <v>0</v>
      </c>
      <c r="AQ301" s="53">
        <f ca="1">INDEX(HM_ZD_AM3_2005!FA_PS_cont_rate,MATCH((HM_ZD_AM3_2005!CA_cum_gross_prod_oil+HM_ZD_AM3_2005!CA_cum_gross_prod_lpg),HM_ZD_AM3_2005!FA_PS_cumprod_oil,1))*HM_ZD_AM3_2005!CA_op_trig</f>
        <v>0</v>
      </c>
      <c r="AR301" s="53">
        <f ca="1">INDEX(HM_ZD_AM3_2005!FA_PS_cont_rate,MATCH((HM_ZD_AM3_2005!CA_cum_gross_prod_oil+HM_ZD_AM3_2005!CA_cum_gross_prod_lpg),HM_ZD_AM3_2005!FA_PS_cumprod_oil,1))*HM_ZD_AM3_2005!CA_op_trig</f>
        <v>0</v>
      </c>
      <c r="AS301" s="53">
        <f ca="1">INDEX(HM_ZD_AM3_2005!FA_PS_cont_rate,MATCH((HM_ZD_AM3_2005!CA_cum_gross_prod_oil+HM_ZD_AM3_2005!CA_cum_gross_prod_lpg),HM_ZD_AM3_2005!FA_PS_cumprod_oil,1))*HM_ZD_AM3_2005!CA_op_trig</f>
        <v>0</v>
      </c>
      <c r="AT301" s="53">
        <f ca="1">INDEX(HM_ZD_AM3_2005!FA_PS_cont_rate,MATCH((HM_ZD_AM3_2005!CA_cum_gross_prod_oil+HM_ZD_AM3_2005!CA_cum_gross_prod_lpg),HM_ZD_AM3_2005!FA_PS_cumprod_oil,1))*HM_ZD_AM3_2005!CA_op_trig</f>
        <v>0</v>
      </c>
      <c r="AU301" s="53">
        <f ca="1">INDEX(HM_ZD_AM3_2005!FA_PS_cont_rate,MATCH((HM_ZD_AM3_2005!CA_cum_gross_prod_oil+HM_ZD_AM3_2005!CA_cum_gross_prod_lpg),HM_ZD_AM3_2005!FA_PS_cumprod_oil,1))*HM_ZD_AM3_2005!CA_op_trig</f>
        <v>0</v>
      </c>
      <c r="AV301" s="53">
        <f ca="1">INDEX(HM_ZD_AM3_2005!FA_PS_cont_rate,MATCH((HM_ZD_AM3_2005!CA_cum_gross_prod_oil+HM_ZD_AM3_2005!CA_cum_gross_prod_lpg),HM_ZD_AM3_2005!FA_PS_cumprod_oil,1))*HM_ZD_AM3_2005!CA_op_trig</f>
        <v>0</v>
      </c>
      <c r="AW301" s="53">
        <f ca="1">INDEX(HM_ZD_AM3_2005!FA_PS_cont_rate,MATCH((HM_ZD_AM3_2005!CA_cum_gross_prod_oil+HM_ZD_AM3_2005!CA_cum_gross_prod_lpg),HM_ZD_AM3_2005!FA_PS_cumprod_oil,1))*HM_ZD_AM3_2005!CA_op_trig</f>
        <v>0</v>
      </c>
      <c r="AX301" s="53">
        <f ca="1">INDEX(HM_ZD_AM3_2005!FA_PS_cont_rate,MATCH((HM_ZD_AM3_2005!CA_cum_gross_prod_oil+HM_ZD_AM3_2005!CA_cum_gross_prod_lpg),HM_ZD_AM3_2005!FA_PS_cumprod_oil,1))*HM_ZD_AM3_2005!CA_op_trig</f>
        <v>0</v>
      </c>
      <c r="AY301" s="53">
        <f ca="1">INDEX(HM_ZD_AM3_2005!FA_PS_cont_rate,MATCH((HM_ZD_AM3_2005!CA_cum_gross_prod_oil+HM_ZD_AM3_2005!CA_cum_gross_prod_lpg),HM_ZD_AM3_2005!FA_PS_cumprod_oil,1))*HM_ZD_AM3_2005!CA_op_trig</f>
        <v>0</v>
      </c>
      <c r="AZ301" s="53">
        <f ca="1">INDEX(HM_ZD_AM3_2005!FA_PS_cont_rate,MATCH((HM_ZD_AM3_2005!CA_cum_gross_prod_oil+HM_ZD_AM3_2005!CA_cum_gross_prod_lpg),HM_ZD_AM3_2005!FA_PS_cumprod_oil,1))*HM_ZD_AM3_2005!CA_op_trig</f>
        <v>0</v>
      </c>
      <c r="BA301" s="53">
        <f ca="1">INDEX(HM_ZD_AM3_2005!FA_PS_cont_rate,MATCH((HM_ZD_AM3_2005!CA_cum_gross_prod_oil+HM_ZD_AM3_2005!CA_cum_gross_prod_lpg),HM_ZD_AM3_2005!FA_PS_cumprod_oil,1))*HM_ZD_AM3_2005!CA_op_trig</f>
        <v>0</v>
      </c>
      <c r="BB301" s="53">
        <f ca="1">INDEX(HM_ZD_AM3_2005!FA_PS_cont_rate,MATCH((HM_ZD_AM3_2005!CA_cum_gross_prod_oil+HM_ZD_AM3_2005!CA_cum_gross_prod_lpg),HM_ZD_AM3_2005!FA_PS_cumprod_oil,1))*HM_ZD_AM3_2005!CA_op_trig</f>
        <v>0</v>
      </c>
      <c r="BC301" s="53">
        <f ca="1">INDEX(HM_ZD_AM3_2005!FA_PS_cont_rate,MATCH((HM_ZD_AM3_2005!CA_cum_gross_prod_oil+HM_ZD_AM3_2005!CA_cum_gross_prod_lpg),HM_ZD_AM3_2005!FA_PS_cumprod_oil,1))*HM_ZD_AM3_2005!CA_op_trig</f>
        <v>0</v>
      </c>
      <c r="BD301" s="53">
        <f ca="1">INDEX(HM_ZD_AM3_2005!FA_PS_cont_rate,MATCH((HM_ZD_AM3_2005!CA_cum_gross_prod_oil+HM_ZD_AM3_2005!CA_cum_gross_prod_lpg),HM_ZD_AM3_2005!FA_PS_cumprod_oil,1))*HM_ZD_AM3_2005!CA_op_trig</f>
        <v>0</v>
      </c>
      <c r="BE301" s="53">
        <f ca="1">INDEX(HM_ZD_AM3_2005!FA_PS_cont_rate,MATCH((HM_ZD_AM3_2005!CA_cum_gross_prod_oil+HM_ZD_AM3_2005!CA_cum_gross_prod_lpg),HM_ZD_AM3_2005!FA_PS_cumprod_oil,1))*HM_ZD_AM3_2005!CA_op_trig</f>
        <v>0</v>
      </c>
      <c r="BF301" s="53">
        <f ca="1">INDEX(HM_ZD_AM3_2005!FA_PS_cont_rate,MATCH((HM_ZD_AM3_2005!CA_cum_gross_prod_oil+HM_ZD_AM3_2005!CA_cum_gross_prod_lpg),HM_ZD_AM3_2005!FA_PS_cumprod_oil,1))*HM_ZD_AM3_2005!CA_op_trig</f>
        <v>0</v>
      </c>
      <c r="BG301" s="53">
        <f ca="1">INDEX(HM_ZD_AM3_2005!FA_PS_cont_rate,MATCH((HM_ZD_AM3_2005!CA_cum_gross_prod_oil+HM_ZD_AM3_2005!CA_cum_gross_prod_lpg),HM_ZD_AM3_2005!FA_PS_cumprod_oil,1))*HM_ZD_AM3_2005!CA_op_trig</f>
        <v>0</v>
      </c>
      <c r="BH301" s="53">
        <f ca="1">INDEX(HM_ZD_AM3_2005!FA_PS_cont_rate,MATCH((HM_ZD_AM3_2005!CA_cum_gross_prod_oil+HM_ZD_AM3_2005!CA_cum_gross_prod_lpg),HM_ZD_AM3_2005!FA_PS_cumprod_oil,1))*HM_ZD_AM3_2005!CA_op_trig</f>
        <v>0</v>
      </c>
      <c r="BI301" s="53">
        <f ca="1">INDEX(HM_ZD_AM3_2005!FA_PS_cont_rate,MATCH((HM_ZD_AM3_2005!CA_cum_gross_prod_oil+HM_ZD_AM3_2005!CA_cum_gross_prod_lpg),HM_ZD_AM3_2005!FA_PS_cumprod_oil,1))*HM_ZD_AM3_2005!CA_op_trig</f>
        <v>0</v>
      </c>
      <c r="BJ301" s="53">
        <f ca="1">INDEX(HM_ZD_AM3_2005!FA_PS_cont_rate,MATCH((HM_ZD_AM3_2005!CA_cum_gross_prod_oil+HM_ZD_AM3_2005!CA_cum_gross_prod_lpg),HM_ZD_AM3_2005!FA_PS_cumprod_oil,1))*HM_ZD_AM3_2005!CA_op_trig</f>
        <v>0</v>
      </c>
      <c r="BK301" s="53">
        <f ca="1">INDEX(HM_ZD_AM3_2005!FA_PS_cont_rate,MATCH((HM_ZD_AM3_2005!CA_cum_gross_prod_oil+HM_ZD_AM3_2005!CA_cum_gross_prod_lpg),HM_ZD_AM3_2005!FA_PS_cumprod_oil,1))*HM_ZD_AM3_2005!CA_op_trig</f>
        <v>0</v>
      </c>
      <c r="BL301" s="53">
        <f ca="1">INDEX(HM_ZD_AM3_2005!FA_PS_cont_rate,MATCH((HM_ZD_AM3_2005!CA_cum_gross_prod_oil+HM_ZD_AM3_2005!CA_cum_gross_prod_lpg),HM_ZD_AM3_2005!FA_PS_cumprod_oil,1))*HM_ZD_AM3_2005!CA_op_trig</f>
        <v>0</v>
      </c>
      <c r="BM301" s="53">
        <f ca="1">INDEX(HM_ZD_AM3_2005!FA_PS_cont_rate,MATCH((HM_ZD_AM3_2005!CA_cum_gross_prod_oil+HM_ZD_AM3_2005!CA_cum_gross_prod_lpg),HM_ZD_AM3_2005!FA_PS_cumprod_oil,1))*HM_ZD_AM3_2005!CA_op_trig</f>
        <v>0</v>
      </c>
      <c r="BN301" s="53">
        <f ca="1">INDEX(HM_ZD_AM3_2005!FA_PS_cont_rate,MATCH((HM_ZD_AM3_2005!CA_cum_gross_prod_oil+HM_ZD_AM3_2005!CA_cum_gross_prod_lpg),HM_ZD_AM3_2005!FA_PS_cumprod_oil,1))*HM_ZD_AM3_2005!CA_op_trig</f>
        <v>0</v>
      </c>
      <c r="BO301" s="53">
        <f ca="1">INDEX(HM_ZD_AM3_2005!FA_PS_cont_rate,MATCH((HM_ZD_AM3_2005!CA_cum_gross_prod_oil+HM_ZD_AM3_2005!CA_cum_gross_prod_lpg),HM_ZD_AM3_2005!FA_PS_cumprod_oil,1))*HM_ZD_AM3_2005!CA_op_trig</f>
        <v>0</v>
      </c>
      <c r="BP301" s="53">
        <f ca="1">INDEX(HM_ZD_AM3_2005!FA_PS_cont_rate,MATCH((HM_ZD_AM3_2005!CA_cum_gross_prod_oil+HM_ZD_AM3_2005!CA_cum_gross_prod_lpg),HM_ZD_AM3_2005!FA_PS_cumprod_oil,1))*HM_ZD_AM3_2005!CA_op_trig</f>
        <v>0</v>
      </c>
      <c r="BQ301" s="53">
        <f ca="1">INDEX(HM_ZD_AM3_2005!FA_PS_cont_rate,MATCH((HM_ZD_AM3_2005!CA_cum_gross_prod_oil+HM_ZD_AM3_2005!CA_cum_gross_prod_lpg),HM_ZD_AM3_2005!FA_PS_cumprod_oil,1))*HM_ZD_AM3_2005!CA_op_trig</f>
        <v>0</v>
      </c>
      <c r="BR301" s="53">
        <f ca="1">INDEX(HM_ZD_AM3_2005!FA_PS_cont_rate,MATCH((HM_ZD_AM3_2005!CA_cum_gross_prod_oil+HM_ZD_AM3_2005!CA_cum_gross_prod_lpg),HM_ZD_AM3_2005!FA_PS_cumprod_oil,1))*HM_ZD_AM3_2005!CA_op_trig</f>
        <v>0</v>
      </c>
      <c r="BS301" s="53">
        <f ca="1">INDEX(HM_ZD_AM3_2005!FA_PS_cont_rate,MATCH((HM_ZD_AM3_2005!CA_cum_gross_prod_oil+HM_ZD_AM3_2005!CA_cum_gross_prod_lpg),HM_ZD_AM3_2005!FA_PS_cumprod_oil,1))*HM_ZD_AM3_2005!CA_op_trig</f>
        <v>0</v>
      </c>
    </row>
    <row r="302" spans="3:71" outlineLevel="1" x14ac:dyDescent="0.2">
      <c r="D302" t="str">
        <f>HM_ZD_Moho!D324</f>
        <v>Part du Contracteur dans le Profit Oil</v>
      </c>
      <c r="I302" s="30">
        <f t="shared" ca="1" si="100"/>
        <v>0</v>
      </c>
      <c r="J302" s="26" t="s">
        <v>148</v>
      </c>
      <c r="L302" s="49">
        <f ca="1">L300*L301</f>
        <v>0</v>
      </c>
      <c r="M302" s="49">
        <f t="shared" ref="M302:BS302" ca="1" si="101">M300*M301</f>
        <v>0</v>
      </c>
      <c r="N302" s="49">
        <f t="shared" ca="1" si="101"/>
        <v>0</v>
      </c>
      <c r="O302" s="49">
        <f t="shared" ca="1" si="101"/>
        <v>0</v>
      </c>
      <c r="P302" s="49">
        <f t="shared" ca="1" si="101"/>
        <v>0</v>
      </c>
      <c r="Q302" s="49">
        <f t="shared" ca="1" si="101"/>
        <v>0</v>
      </c>
      <c r="R302" s="49">
        <f t="shared" ca="1" si="101"/>
        <v>0</v>
      </c>
      <c r="S302" s="49">
        <f t="shared" ca="1" si="101"/>
        <v>0</v>
      </c>
      <c r="T302" s="49">
        <f t="shared" ca="1" si="101"/>
        <v>0</v>
      </c>
      <c r="U302" s="49">
        <f t="shared" ca="1" si="101"/>
        <v>0</v>
      </c>
      <c r="V302" s="49">
        <f t="shared" ca="1" si="101"/>
        <v>0</v>
      </c>
      <c r="W302" s="49">
        <f t="shared" ca="1" si="101"/>
        <v>0</v>
      </c>
      <c r="X302" s="49">
        <f t="shared" ca="1" si="101"/>
        <v>0</v>
      </c>
      <c r="Y302" s="49">
        <f t="shared" ca="1" si="101"/>
        <v>0</v>
      </c>
      <c r="Z302" s="49">
        <f t="shared" ca="1" si="101"/>
        <v>0</v>
      </c>
      <c r="AA302" s="49">
        <f t="shared" ca="1" si="101"/>
        <v>0</v>
      </c>
      <c r="AB302" s="49">
        <f t="shared" ca="1" si="101"/>
        <v>0</v>
      </c>
      <c r="AC302" s="49">
        <f t="shared" ca="1" si="101"/>
        <v>0</v>
      </c>
      <c r="AD302" s="49">
        <f t="shared" ca="1" si="101"/>
        <v>0</v>
      </c>
      <c r="AE302" s="49">
        <f t="shared" ca="1" si="101"/>
        <v>0</v>
      </c>
      <c r="AF302" s="49">
        <f t="shared" ca="1" si="101"/>
        <v>0</v>
      </c>
      <c r="AG302" s="49">
        <f t="shared" ca="1" si="101"/>
        <v>0</v>
      </c>
      <c r="AH302" s="49">
        <f t="shared" ca="1" si="101"/>
        <v>0</v>
      </c>
      <c r="AI302" s="49">
        <f t="shared" ca="1" si="101"/>
        <v>0</v>
      </c>
      <c r="AJ302" s="49">
        <f t="shared" ca="1" si="101"/>
        <v>0</v>
      </c>
      <c r="AK302" s="49">
        <f t="shared" ca="1" si="101"/>
        <v>0</v>
      </c>
      <c r="AL302" s="49">
        <f t="shared" ca="1" si="101"/>
        <v>0</v>
      </c>
      <c r="AM302" s="49">
        <f t="shared" ca="1" si="101"/>
        <v>0</v>
      </c>
      <c r="AN302" s="49">
        <f t="shared" ca="1" si="101"/>
        <v>0</v>
      </c>
      <c r="AO302" s="49">
        <f t="shared" ca="1" si="101"/>
        <v>0</v>
      </c>
      <c r="AP302" s="49">
        <f t="shared" ca="1" si="101"/>
        <v>0</v>
      </c>
      <c r="AQ302" s="49">
        <f t="shared" ca="1" si="101"/>
        <v>0</v>
      </c>
      <c r="AR302" s="49">
        <f t="shared" ca="1" si="101"/>
        <v>0</v>
      </c>
      <c r="AS302" s="49">
        <f t="shared" ca="1" si="101"/>
        <v>0</v>
      </c>
      <c r="AT302" s="49">
        <f t="shared" ca="1" si="101"/>
        <v>0</v>
      </c>
      <c r="AU302" s="49">
        <f t="shared" ca="1" si="101"/>
        <v>0</v>
      </c>
      <c r="AV302" s="49">
        <f t="shared" ca="1" si="101"/>
        <v>0</v>
      </c>
      <c r="AW302" s="49">
        <f t="shared" ca="1" si="101"/>
        <v>0</v>
      </c>
      <c r="AX302" s="49">
        <f t="shared" ca="1" si="101"/>
        <v>0</v>
      </c>
      <c r="AY302" s="49">
        <f t="shared" ca="1" si="101"/>
        <v>0</v>
      </c>
      <c r="AZ302" s="49">
        <f t="shared" ca="1" si="101"/>
        <v>0</v>
      </c>
      <c r="BA302" s="49">
        <f t="shared" ca="1" si="101"/>
        <v>0</v>
      </c>
      <c r="BB302" s="49">
        <f t="shared" ca="1" si="101"/>
        <v>0</v>
      </c>
      <c r="BC302" s="49">
        <f t="shared" ca="1" si="101"/>
        <v>0</v>
      </c>
      <c r="BD302" s="49">
        <f t="shared" ca="1" si="101"/>
        <v>0</v>
      </c>
      <c r="BE302" s="49">
        <f t="shared" ca="1" si="101"/>
        <v>0</v>
      </c>
      <c r="BF302" s="49">
        <f t="shared" ca="1" si="101"/>
        <v>0</v>
      </c>
      <c r="BG302" s="49">
        <f t="shared" ca="1" si="101"/>
        <v>0</v>
      </c>
      <c r="BH302" s="49">
        <f t="shared" ca="1" si="101"/>
        <v>0</v>
      </c>
      <c r="BI302" s="49">
        <f t="shared" ca="1" si="101"/>
        <v>0</v>
      </c>
      <c r="BJ302" s="49">
        <f t="shared" ca="1" si="101"/>
        <v>0</v>
      </c>
      <c r="BK302" s="49">
        <f t="shared" ca="1" si="101"/>
        <v>0</v>
      </c>
      <c r="BL302" s="49">
        <f t="shared" ca="1" si="101"/>
        <v>0</v>
      </c>
      <c r="BM302" s="49">
        <f t="shared" ca="1" si="101"/>
        <v>0</v>
      </c>
      <c r="BN302" s="49">
        <f t="shared" ca="1" si="101"/>
        <v>0</v>
      </c>
      <c r="BO302" s="49">
        <f t="shared" ca="1" si="101"/>
        <v>0</v>
      </c>
      <c r="BP302" s="49">
        <f t="shared" ca="1" si="101"/>
        <v>0</v>
      </c>
      <c r="BQ302" s="49">
        <f t="shared" ca="1" si="101"/>
        <v>0</v>
      </c>
      <c r="BR302" s="49">
        <f t="shared" ca="1" si="101"/>
        <v>0</v>
      </c>
      <c r="BS302" s="49">
        <f t="shared" ca="1" si="101"/>
        <v>0</v>
      </c>
    </row>
    <row r="303" spans="3:71" outlineLevel="1" x14ac:dyDescent="0.2">
      <c r="D303" t="str">
        <f>HM_ZD_Moho!D325</f>
        <v>Part du Gouv. dans le Profit Oil</v>
      </c>
      <c r="I303" s="30">
        <f t="shared" ca="1" si="100"/>
        <v>0</v>
      </c>
      <c r="J303" s="26" t="s">
        <v>148</v>
      </c>
      <c r="L303" s="49">
        <f ca="1">L300-L302</f>
        <v>0</v>
      </c>
      <c r="M303" s="49">
        <f t="shared" ref="M303:BS303" ca="1" si="102">M300-M302</f>
        <v>0</v>
      </c>
      <c r="N303" s="49">
        <f t="shared" ca="1" si="102"/>
        <v>0</v>
      </c>
      <c r="O303" s="49">
        <f t="shared" ca="1" si="102"/>
        <v>0</v>
      </c>
      <c r="P303" s="49">
        <f t="shared" ca="1" si="102"/>
        <v>0</v>
      </c>
      <c r="Q303" s="49">
        <f t="shared" ca="1" si="102"/>
        <v>0</v>
      </c>
      <c r="R303" s="49">
        <f t="shared" ca="1" si="102"/>
        <v>0</v>
      </c>
      <c r="S303" s="49">
        <f t="shared" ca="1" si="102"/>
        <v>0</v>
      </c>
      <c r="T303" s="49">
        <f t="shared" ca="1" si="102"/>
        <v>0</v>
      </c>
      <c r="U303" s="49">
        <f t="shared" ca="1" si="102"/>
        <v>0</v>
      </c>
      <c r="V303" s="49">
        <f t="shared" ca="1" si="102"/>
        <v>0</v>
      </c>
      <c r="W303" s="49">
        <f t="shared" ca="1" si="102"/>
        <v>0</v>
      </c>
      <c r="X303" s="49">
        <f t="shared" ca="1" si="102"/>
        <v>0</v>
      </c>
      <c r="Y303" s="49">
        <f t="shared" ca="1" si="102"/>
        <v>0</v>
      </c>
      <c r="Z303" s="49">
        <f t="shared" ca="1" si="102"/>
        <v>0</v>
      </c>
      <c r="AA303" s="49">
        <f t="shared" ca="1" si="102"/>
        <v>0</v>
      </c>
      <c r="AB303" s="49">
        <f t="shared" ca="1" si="102"/>
        <v>0</v>
      </c>
      <c r="AC303" s="49">
        <f t="shared" ca="1" si="102"/>
        <v>0</v>
      </c>
      <c r="AD303" s="49">
        <f t="shared" ca="1" si="102"/>
        <v>0</v>
      </c>
      <c r="AE303" s="49">
        <f t="shared" ca="1" si="102"/>
        <v>0</v>
      </c>
      <c r="AF303" s="49">
        <f t="shared" ca="1" si="102"/>
        <v>0</v>
      </c>
      <c r="AG303" s="49">
        <f t="shared" ca="1" si="102"/>
        <v>0</v>
      </c>
      <c r="AH303" s="49">
        <f t="shared" ca="1" si="102"/>
        <v>0</v>
      </c>
      <c r="AI303" s="49">
        <f t="shared" ca="1" si="102"/>
        <v>0</v>
      </c>
      <c r="AJ303" s="49">
        <f t="shared" ca="1" si="102"/>
        <v>0</v>
      </c>
      <c r="AK303" s="49">
        <f t="shared" ca="1" si="102"/>
        <v>0</v>
      </c>
      <c r="AL303" s="49">
        <f t="shared" ca="1" si="102"/>
        <v>0</v>
      </c>
      <c r="AM303" s="49">
        <f t="shared" ca="1" si="102"/>
        <v>0</v>
      </c>
      <c r="AN303" s="49">
        <f t="shared" ca="1" si="102"/>
        <v>0</v>
      </c>
      <c r="AO303" s="49">
        <f t="shared" ca="1" si="102"/>
        <v>0</v>
      </c>
      <c r="AP303" s="49">
        <f t="shared" ca="1" si="102"/>
        <v>0</v>
      </c>
      <c r="AQ303" s="49">
        <f t="shared" ca="1" si="102"/>
        <v>0</v>
      </c>
      <c r="AR303" s="49">
        <f t="shared" ca="1" si="102"/>
        <v>0</v>
      </c>
      <c r="AS303" s="49">
        <f t="shared" ca="1" si="102"/>
        <v>0</v>
      </c>
      <c r="AT303" s="49">
        <f t="shared" ca="1" si="102"/>
        <v>0</v>
      </c>
      <c r="AU303" s="49">
        <f t="shared" ca="1" si="102"/>
        <v>0</v>
      </c>
      <c r="AV303" s="49">
        <f t="shared" ca="1" si="102"/>
        <v>0</v>
      </c>
      <c r="AW303" s="49">
        <f t="shared" ca="1" si="102"/>
        <v>0</v>
      </c>
      <c r="AX303" s="49">
        <f t="shared" ca="1" si="102"/>
        <v>0</v>
      </c>
      <c r="AY303" s="49">
        <f t="shared" ca="1" si="102"/>
        <v>0</v>
      </c>
      <c r="AZ303" s="49">
        <f t="shared" ca="1" si="102"/>
        <v>0</v>
      </c>
      <c r="BA303" s="49">
        <f t="shared" ca="1" si="102"/>
        <v>0</v>
      </c>
      <c r="BB303" s="49">
        <f t="shared" ca="1" si="102"/>
        <v>0</v>
      </c>
      <c r="BC303" s="49">
        <f t="shared" ca="1" si="102"/>
        <v>0</v>
      </c>
      <c r="BD303" s="49">
        <f t="shared" ca="1" si="102"/>
        <v>0</v>
      </c>
      <c r="BE303" s="49">
        <f t="shared" ca="1" si="102"/>
        <v>0</v>
      </c>
      <c r="BF303" s="49">
        <f t="shared" ca="1" si="102"/>
        <v>0</v>
      </c>
      <c r="BG303" s="49">
        <f t="shared" ca="1" si="102"/>
        <v>0</v>
      </c>
      <c r="BH303" s="49">
        <f t="shared" ca="1" si="102"/>
        <v>0</v>
      </c>
      <c r="BI303" s="49">
        <f t="shared" ca="1" si="102"/>
        <v>0</v>
      </c>
      <c r="BJ303" s="49">
        <f t="shared" ca="1" si="102"/>
        <v>0</v>
      </c>
      <c r="BK303" s="49">
        <f t="shared" ca="1" si="102"/>
        <v>0</v>
      </c>
      <c r="BL303" s="49">
        <f t="shared" ca="1" si="102"/>
        <v>0</v>
      </c>
      <c r="BM303" s="49">
        <f t="shared" ca="1" si="102"/>
        <v>0</v>
      </c>
      <c r="BN303" s="49">
        <f t="shared" ca="1" si="102"/>
        <v>0</v>
      </c>
      <c r="BO303" s="49">
        <f t="shared" ca="1" si="102"/>
        <v>0</v>
      </c>
      <c r="BP303" s="49">
        <f t="shared" ca="1" si="102"/>
        <v>0</v>
      </c>
      <c r="BQ303" s="49">
        <f t="shared" ca="1" si="102"/>
        <v>0</v>
      </c>
      <c r="BR303" s="49">
        <f t="shared" ca="1" si="102"/>
        <v>0</v>
      </c>
      <c r="BS303" s="49">
        <f t="shared" ca="1" si="102"/>
        <v>0</v>
      </c>
    </row>
    <row r="304" spans="3:71" outlineLevel="1" x14ac:dyDescent="0.2">
      <c r="J304" s="26"/>
      <c r="L304" s="55"/>
      <c r="M304" s="55"/>
      <c r="N304" s="55"/>
      <c r="O304" s="55"/>
      <c r="P304" s="55"/>
      <c r="Q304" s="55"/>
      <c r="R304" s="55"/>
      <c r="S304" s="55"/>
      <c r="T304" s="55"/>
      <c r="U304" s="55"/>
      <c r="V304" s="55"/>
      <c r="W304" s="55"/>
      <c r="X304" s="55"/>
      <c r="Y304" s="55"/>
      <c r="Z304" s="55"/>
      <c r="AA304" s="55"/>
      <c r="AB304" s="55"/>
      <c r="AC304" s="55"/>
      <c r="AD304" s="55"/>
      <c r="AE304" s="55"/>
      <c r="AF304" s="55"/>
      <c r="AG304" s="55"/>
      <c r="AH304" s="55"/>
      <c r="AI304" s="55"/>
      <c r="AJ304" s="55"/>
      <c r="AK304" s="55"/>
      <c r="AL304" s="55"/>
      <c r="AM304" s="55"/>
      <c r="AN304" s="55"/>
      <c r="AO304" s="55"/>
      <c r="AP304" s="55"/>
      <c r="AQ304" s="55"/>
      <c r="AR304" s="55"/>
      <c r="AS304" s="55"/>
      <c r="AT304" s="55"/>
      <c r="AU304" s="55"/>
      <c r="AV304" s="55"/>
      <c r="AW304" s="55"/>
      <c r="AX304" s="55"/>
      <c r="AY304" s="55"/>
      <c r="AZ304" s="55"/>
      <c r="BA304" s="55"/>
      <c r="BB304" s="55"/>
      <c r="BC304" s="55"/>
      <c r="BD304" s="55"/>
      <c r="BE304" s="55"/>
      <c r="BF304" s="55"/>
      <c r="BG304" s="55"/>
      <c r="BH304" s="55"/>
      <c r="BI304" s="55"/>
      <c r="BJ304" s="55"/>
      <c r="BK304" s="55"/>
      <c r="BL304" s="55"/>
      <c r="BM304" s="55"/>
      <c r="BN304" s="55"/>
      <c r="BO304" s="55"/>
      <c r="BP304" s="55"/>
      <c r="BQ304" s="55"/>
      <c r="BR304" s="55"/>
      <c r="BS304" s="55"/>
    </row>
    <row r="305" spans="1:71" outlineLevel="1" x14ac:dyDescent="0.2">
      <c r="D305" s="11" t="str">
        <f>HM_ZD_Moho!D327</f>
        <v>Profit Gaz</v>
      </c>
      <c r="J305" s="26"/>
      <c r="L305" s="55"/>
      <c r="M305" s="55"/>
      <c r="N305" s="55"/>
      <c r="O305" s="55"/>
      <c r="P305" s="55"/>
      <c r="Q305" s="55"/>
      <c r="R305" s="55"/>
      <c r="S305" s="55"/>
      <c r="T305" s="55"/>
      <c r="U305" s="55"/>
      <c r="V305" s="55"/>
      <c r="W305" s="55"/>
      <c r="X305" s="55"/>
      <c r="Y305" s="55"/>
      <c r="Z305" s="55"/>
      <c r="AA305" s="55"/>
      <c r="AB305" s="55"/>
      <c r="AC305" s="55"/>
      <c r="AD305" s="55"/>
      <c r="AE305" s="55"/>
      <c r="AF305" s="55"/>
      <c r="AG305" s="55"/>
      <c r="AH305" s="55"/>
      <c r="AI305" s="55"/>
      <c r="AJ305" s="55"/>
      <c r="AK305" s="55"/>
      <c r="AL305" s="55"/>
      <c r="AM305" s="55"/>
      <c r="AN305" s="55"/>
      <c r="AO305" s="55"/>
      <c r="AP305" s="55"/>
      <c r="AQ305" s="55"/>
      <c r="AR305" s="55"/>
      <c r="AS305" s="55"/>
      <c r="AT305" s="55"/>
      <c r="AU305" s="55"/>
      <c r="AV305" s="55"/>
      <c r="AW305" s="55"/>
      <c r="AX305" s="55"/>
      <c r="AY305" s="55"/>
      <c r="AZ305" s="55"/>
      <c r="BA305" s="55"/>
      <c r="BB305" s="55"/>
      <c r="BC305" s="55"/>
      <c r="BD305" s="55"/>
      <c r="BE305" s="55"/>
      <c r="BF305" s="55"/>
      <c r="BG305" s="55"/>
      <c r="BH305" s="55"/>
      <c r="BI305" s="55"/>
      <c r="BJ305" s="55"/>
      <c r="BK305" s="55"/>
      <c r="BL305" s="55"/>
      <c r="BM305" s="55"/>
      <c r="BN305" s="55"/>
      <c r="BO305" s="55"/>
      <c r="BP305" s="55"/>
      <c r="BQ305" s="55"/>
      <c r="BR305" s="55"/>
      <c r="BS305" s="55"/>
    </row>
    <row r="306" spans="1:71" outlineLevel="1" x14ac:dyDescent="0.2">
      <c r="D306" s="50" t="str">
        <f>HM_ZD_Moho!D328</f>
        <v>Revenus gaziers pour le Partage du Profit</v>
      </c>
      <c r="I306" s="30">
        <f t="shared" ref="I306:I312" ca="1" si="103">SUM($L306:$BS306)</f>
        <v>0</v>
      </c>
      <c r="J306" s="26" t="s">
        <v>148</v>
      </c>
      <c r="L306" s="49">
        <f ca="1">MAX(HM_ZD_AM3_2005!CA_gross_rev_gas_fp-HM_ZD_AM3_2005!CA_roy_gas_fp-(HM_ZD_AM3_2005!CA_cost_recovered_total*HM_ZD_AM3_2005!CA_rev_gas_perc)-(HM_ZD_AM3_2005!CA_excess_cost_recovery*HM_ZD_AM3_2005!CA_rev_gas_perc),0)</f>
        <v>0</v>
      </c>
      <c r="M306" s="49">
        <f ca="1">MAX(HM_ZD_AM3_2005!CA_gross_rev_gas_fp-HM_ZD_AM3_2005!CA_roy_gas_fp-(HM_ZD_AM3_2005!CA_cost_recovered_total*HM_ZD_AM3_2005!CA_rev_gas_perc)-(HM_ZD_AM3_2005!CA_excess_cost_recovery*HM_ZD_AM3_2005!CA_rev_gas_perc),0)</f>
        <v>0</v>
      </c>
      <c r="N306" s="49">
        <f ca="1">MAX(HM_ZD_AM3_2005!CA_gross_rev_gas_fp-HM_ZD_AM3_2005!CA_roy_gas_fp-(HM_ZD_AM3_2005!CA_cost_recovered_total*HM_ZD_AM3_2005!CA_rev_gas_perc)-(HM_ZD_AM3_2005!CA_excess_cost_recovery*HM_ZD_AM3_2005!CA_rev_gas_perc),0)</f>
        <v>0</v>
      </c>
      <c r="O306" s="49">
        <f ca="1">MAX(HM_ZD_AM3_2005!CA_gross_rev_gas_fp-HM_ZD_AM3_2005!CA_roy_gas_fp-(HM_ZD_AM3_2005!CA_cost_recovered_total*HM_ZD_AM3_2005!CA_rev_gas_perc)-(HM_ZD_AM3_2005!CA_excess_cost_recovery*HM_ZD_AM3_2005!CA_rev_gas_perc),0)</f>
        <v>0</v>
      </c>
      <c r="P306" s="49">
        <f ca="1">MAX(HM_ZD_AM3_2005!CA_gross_rev_gas_fp-HM_ZD_AM3_2005!CA_roy_gas_fp-(HM_ZD_AM3_2005!CA_cost_recovered_total*HM_ZD_AM3_2005!CA_rev_gas_perc)-(HM_ZD_AM3_2005!CA_excess_cost_recovery*HM_ZD_AM3_2005!CA_rev_gas_perc),0)</f>
        <v>0</v>
      </c>
      <c r="Q306" s="49">
        <f ca="1">MAX(HM_ZD_AM3_2005!CA_gross_rev_gas_fp-HM_ZD_AM3_2005!CA_roy_gas_fp-(HM_ZD_AM3_2005!CA_cost_recovered_total*HM_ZD_AM3_2005!CA_rev_gas_perc)-(HM_ZD_AM3_2005!CA_excess_cost_recovery*HM_ZD_AM3_2005!CA_rev_gas_perc),0)</f>
        <v>0</v>
      </c>
      <c r="R306" s="49">
        <f ca="1">MAX(HM_ZD_AM3_2005!CA_gross_rev_gas_fp-HM_ZD_AM3_2005!CA_roy_gas_fp-(HM_ZD_AM3_2005!CA_cost_recovered_total*HM_ZD_AM3_2005!CA_rev_gas_perc)-(HM_ZD_AM3_2005!CA_excess_cost_recovery*HM_ZD_AM3_2005!CA_rev_gas_perc),0)</f>
        <v>0</v>
      </c>
      <c r="S306" s="49">
        <f ca="1">MAX(HM_ZD_AM3_2005!CA_gross_rev_gas_fp-HM_ZD_AM3_2005!CA_roy_gas_fp-(HM_ZD_AM3_2005!CA_cost_recovered_total*HM_ZD_AM3_2005!CA_rev_gas_perc)-(HM_ZD_AM3_2005!CA_excess_cost_recovery*HM_ZD_AM3_2005!CA_rev_gas_perc),0)</f>
        <v>0</v>
      </c>
      <c r="T306" s="49">
        <f ca="1">MAX(HM_ZD_AM3_2005!CA_gross_rev_gas_fp-HM_ZD_AM3_2005!CA_roy_gas_fp-(HM_ZD_AM3_2005!CA_cost_recovered_total*HM_ZD_AM3_2005!CA_rev_gas_perc)-(HM_ZD_AM3_2005!CA_excess_cost_recovery*HM_ZD_AM3_2005!CA_rev_gas_perc),0)</f>
        <v>0</v>
      </c>
      <c r="U306" s="49">
        <f ca="1">MAX(HM_ZD_AM3_2005!CA_gross_rev_gas_fp-HM_ZD_AM3_2005!CA_roy_gas_fp-(HM_ZD_AM3_2005!CA_cost_recovered_total*HM_ZD_AM3_2005!CA_rev_gas_perc)-(HM_ZD_AM3_2005!CA_excess_cost_recovery*HM_ZD_AM3_2005!CA_rev_gas_perc),0)</f>
        <v>0</v>
      </c>
      <c r="V306" s="49">
        <f ca="1">MAX(HM_ZD_AM3_2005!CA_gross_rev_gas_fp-HM_ZD_AM3_2005!CA_roy_gas_fp-(HM_ZD_AM3_2005!CA_cost_recovered_total*HM_ZD_AM3_2005!CA_rev_gas_perc)-(HM_ZD_AM3_2005!CA_excess_cost_recovery*HM_ZD_AM3_2005!CA_rev_gas_perc),0)</f>
        <v>0</v>
      </c>
      <c r="W306" s="49">
        <f ca="1">MAX(HM_ZD_AM3_2005!CA_gross_rev_gas_fp-HM_ZD_AM3_2005!CA_roy_gas_fp-(HM_ZD_AM3_2005!CA_cost_recovered_total*HM_ZD_AM3_2005!CA_rev_gas_perc)-(HM_ZD_AM3_2005!CA_excess_cost_recovery*HM_ZD_AM3_2005!CA_rev_gas_perc),0)</f>
        <v>0</v>
      </c>
      <c r="X306" s="49">
        <f ca="1">MAX(HM_ZD_AM3_2005!CA_gross_rev_gas_fp-HM_ZD_AM3_2005!CA_roy_gas_fp-(HM_ZD_AM3_2005!CA_cost_recovered_total*HM_ZD_AM3_2005!CA_rev_gas_perc)-(HM_ZD_AM3_2005!CA_excess_cost_recovery*HM_ZD_AM3_2005!CA_rev_gas_perc),0)</f>
        <v>0</v>
      </c>
      <c r="Y306" s="49">
        <f ca="1">MAX(HM_ZD_AM3_2005!CA_gross_rev_gas_fp-HM_ZD_AM3_2005!CA_roy_gas_fp-(HM_ZD_AM3_2005!CA_cost_recovered_total*HM_ZD_AM3_2005!CA_rev_gas_perc)-(HM_ZD_AM3_2005!CA_excess_cost_recovery*HM_ZD_AM3_2005!CA_rev_gas_perc),0)</f>
        <v>0</v>
      </c>
      <c r="Z306" s="49">
        <f ca="1">MAX(HM_ZD_AM3_2005!CA_gross_rev_gas_fp-HM_ZD_AM3_2005!CA_roy_gas_fp-(HM_ZD_AM3_2005!CA_cost_recovered_total*HM_ZD_AM3_2005!CA_rev_gas_perc)-(HM_ZD_AM3_2005!CA_excess_cost_recovery*HM_ZD_AM3_2005!CA_rev_gas_perc),0)</f>
        <v>0</v>
      </c>
      <c r="AA306" s="49">
        <f ca="1">MAX(HM_ZD_AM3_2005!CA_gross_rev_gas_fp-HM_ZD_AM3_2005!CA_roy_gas_fp-(HM_ZD_AM3_2005!CA_cost_recovered_total*HM_ZD_AM3_2005!CA_rev_gas_perc)-(HM_ZD_AM3_2005!CA_excess_cost_recovery*HM_ZD_AM3_2005!CA_rev_gas_perc),0)</f>
        <v>0</v>
      </c>
      <c r="AB306" s="49">
        <f ca="1">MAX(HM_ZD_AM3_2005!CA_gross_rev_gas_fp-HM_ZD_AM3_2005!CA_roy_gas_fp-(HM_ZD_AM3_2005!CA_cost_recovered_total*HM_ZD_AM3_2005!CA_rev_gas_perc)-(HM_ZD_AM3_2005!CA_excess_cost_recovery*HM_ZD_AM3_2005!CA_rev_gas_perc),0)</f>
        <v>0</v>
      </c>
      <c r="AC306" s="49">
        <f ca="1">MAX(HM_ZD_AM3_2005!CA_gross_rev_gas_fp-HM_ZD_AM3_2005!CA_roy_gas_fp-(HM_ZD_AM3_2005!CA_cost_recovered_total*HM_ZD_AM3_2005!CA_rev_gas_perc)-(HM_ZD_AM3_2005!CA_excess_cost_recovery*HM_ZD_AM3_2005!CA_rev_gas_perc),0)</f>
        <v>0</v>
      </c>
      <c r="AD306" s="49">
        <f ca="1">MAX(HM_ZD_AM3_2005!CA_gross_rev_gas_fp-HM_ZD_AM3_2005!CA_roy_gas_fp-(HM_ZD_AM3_2005!CA_cost_recovered_total*HM_ZD_AM3_2005!CA_rev_gas_perc)-(HM_ZD_AM3_2005!CA_excess_cost_recovery*HM_ZD_AM3_2005!CA_rev_gas_perc),0)</f>
        <v>0</v>
      </c>
      <c r="AE306" s="49">
        <f ca="1">MAX(HM_ZD_AM3_2005!CA_gross_rev_gas_fp-HM_ZD_AM3_2005!CA_roy_gas_fp-(HM_ZD_AM3_2005!CA_cost_recovered_total*HM_ZD_AM3_2005!CA_rev_gas_perc)-(HM_ZD_AM3_2005!CA_excess_cost_recovery*HM_ZD_AM3_2005!CA_rev_gas_perc),0)</f>
        <v>0</v>
      </c>
      <c r="AF306" s="49">
        <f ca="1">MAX(HM_ZD_AM3_2005!CA_gross_rev_gas_fp-HM_ZD_AM3_2005!CA_roy_gas_fp-(HM_ZD_AM3_2005!CA_cost_recovered_total*HM_ZD_AM3_2005!CA_rev_gas_perc)-(HM_ZD_AM3_2005!CA_excess_cost_recovery*HM_ZD_AM3_2005!CA_rev_gas_perc),0)</f>
        <v>0</v>
      </c>
      <c r="AG306" s="49">
        <f ca="1">MAX(HM_ZD_AM3_2005!CA_gross_rev_gas_fp-HM_ZD_AM3_2005!CA_roy_gas_fp-(HM_ZD_AM3_2005!CA_cost_recovered_total*HM_ZD_AM3_2005!CA_rev_gas_perc)-(HM_ZD_AM3_2005!CA_excess_cost_recovery*HM_ZD_AM3_2005!CA_rev_gas_perc),0)</f>
        <v>0</v>
      </c>
      <c r="AH306" s="49">
        <f ca="1">MAX(HM_ZD_AM3_2005!CA_gross_rev_gas_fp-HM_ZD_AM3_2005!CA_roy_gas_fp-(HM_ZD_AM3_2005!CA_cost_recovered_total*HM_ZD_AM3_2005!CA_rev_gas_perc)-(HM_ZD_AM3_2005!CA_excess_cost_recovery*HM_ZD_AM3_2005!CA_rev_gas_perc),0)</f>
        <v>0</v>
      </c>
      <c r="AI306" s="49">
        <f ca="1">MAX(HM_ZD_AM3_2005!CA_gross_rev_gas_fp-HM_ZD_AM3_2005!CA_roy_gas_fp-(HM_ZD_AM3_2005!CA_cost_recovered_total*HM_ZD_AM3_2005!CA_rev_gas_perc)-(HM_ZD_AM3_2005!CA_excess_cost_recovery*HM_ZD_AM3_2005!CA_rev_gas_perc),0)</f>
        <v>0</v>
      </c>
      <c r="AJ306" s="49">
        <f ca="1">MAX(HM_ZD_AM3_2005!CA_gross_rev_gas_fp-HM_ZD_AM3_2005!CA_roy_gas_fp-(HM_ZD_AM3_2005!CA_cost_recovered_total*HM_ZD_AM3_2005!CA_rev_gas_perc)-(HM_ZD_AM3_2005!CA_excess_cost_recovery*HM_ZD_AM3_2005!CA_rev_gas_perc),0)</f>
        <v>0</v>
      </c>
      <c r="AK306" s="49">
        <f ca="1">MAX(HM_ZD_AM3_2005!CA_gross_rev_gas_fp-HM_ZD_AM3_2005!CA_roy_gas_fp-(HM_ZD_AM3_2005!CA_cost_recovered_total*HM_ZD_AM3_2005!CA_rev_gas_perc)-(HM_ZD_AM3_2005!CA_excess_cost_recovery*HM_ZD_AM3_2005!CA_rev_gas_perc),0)</f>
        <v>0</v>
      </c>
      <c r="AL306" s="49">
        <f ca="1">MAX(HM_ZD_AM3_2005!CA_gross_rev_gas_fp-HM_ZD_AM3_2005!CA_roy_gas_fp-(HM_ZD_AM3_2005!CA_cost_recovered_total*HM_ZD_AM3_2005!CA_rev_gas_perc)-(HM_ZD_AM3_2005!CA_excess_cost_recovery*HM_ZD_AM3_2005!CA_rev_gas_perc),0)</f>
        <v>0</v>
      </c>
      <c r="AM306" s="49">
        <f ca="1">MAX(HM_ZD_AM3_2005!CA_gross_rev_gas_fp-HM_ZD_AM3_2005!CA_roy_gas_fp-(HM_ZD_AM3_2005!CA_cost_recovered_total*HM_ZD_AM3_2005!CA_rev_gas_perc)-(HM_ZD_AM3_2005!CA_excess_cost_recovery*HM_ZD_AM3_2005!CA_rev_gas_perc),0)</f>
        <v>0</v>
      </c>
      <c r="AN306" s="49">
        <f ca="1">MAX(HM_ZD_AM3_2005!CA_gross_rev_gas_fp-HM_ZD_AM3_2005!CA_roy_gas_fp-(HM_ZD_AM3_2005!CA_cost_recovered_total*HM_ZD_AM3_2005!CA_rev_gas_perc)-(HM_ZD_AM3_2005!CA_excess_cost_recovery*HM_ZD_AM3_2005!CA_rev_gas_perc),0)</f>
        <v>0</v>
      </c>
      <c r="AO306" s="49">
        <f ca="1">MAX(HM_ZD_AM3_2005!CA_gross_rev_gas_fp-HM_ZD_AM3_2005!CA_roy_gas_fp-(HM_ZD_AM3_2005!CA_cost_recovered_total*HM_ZD_AM3_2005!CA_rev_gas_perc)-(HM_ZD_AM3_2005!CA_excess_cost_recovery*HM_ZD_AM3_2005!CA_rev_gas_perc),0)</f>
        <v>0</v>
      </c>
      <c r="AP306" s="49">
        <f ca="1">MAX(HM_ZD_AM3_2005!CA_gross_rev_gas_fp-HM_ZD_AM3_2005!CA_roy_gas_fp-(HM_ZD_AM3_2005!CA_cost_recovered_total*HM_ZD_AM3_2005!CA_rev_gas_perc)-(HM_ZD_AM3_2005!CA_excess_cost_recovery*HM_ZD_AM3_2005!CA_rev_gas_perc),0)</f>
        <v>0</v>
      </c>
      <c r="AQ306" s="49">
        <f ca="1">MAX(HM_ZD_AM3_2005!CA_gross_rev_gas_fp-HM_ZD_AM3_2005!CA_roy_gas_fp-(HM_ZD_AM3_2005!CA_cost_recovered_total*HM_ZD_AM3_2005!CA_rev_gas_perc)-(HM_ZD_AM3_2005!CA_excess_cost_recovery*HM_ZD_AM3_2005!CA_rev_gas_perc),0)</f>
        <v>0</v>
      </c>
      <c r="AR306" s="49">
        <f ca="1">MAX(HM_ZD_AM3_2005!CA_gross_rev_gas_fp-HM_ZD_AM3_2005!CA_roy_gas_fp-(HM_ZD_AM3_2005!CA_cost_recovered_total*HM_ZD_AM3_2005!CA_rev_gas_perc)-(HM_ZD_AM3_2005!CA_excess_cost_recovery*HM_ZD_AM3_2005!CA_rev_gas_perc),0)</f>
        <v>0</v>
      </c>
      <c r="AS306" s="49">
        <f ca="1">MAX(HM_ZD_AM3_2005!CA_gross_rev_gas_fp-HM_ZD_AM3_2005!CA_roy_gas_fp-(HM_ZD_AM3_2005!CA_cost_recovered_total*HM_ZD_AM3_2005!CA_rev_gas_perc)-(HM_ZD_AM3_2005!CA_excess_cost_recovery*HM_ZD_AM3_2005!CA_rev_gas_perc),0)</f>
        <v>0</v>
      </c>
      <c r="AT306" s="49">
        <f ca="1">MAX(HM_ZD_AM3_2005!CA_gross_rev_gas_fp-HM_ZD_AM3_2005!CA_roy_gas_fp-(HM_ZD_AM3_2005!CA_cost_recovered_total*HM_ZD_AM3_2005!CA_rev_gas_perc)-(HM_ZD_AM3_2005!CA_excess_cost_recovery*HM_ZD_AM3_2005!CA_rev_gas_perc),0)</f>
        <v>0</v>
      </c>
      <c r="AU306" s="49">
        <f ca="1">MAX(HM_ZD_AM3_2005!CA_gross_rev_gas_fp-HM_ZD_AM3_2005!CA_roy_gas_fp-(HM_ZD_AM3_2005!CA_cost_recovered_total*HM_ZD_AM3_2005!CA_rev_gas_perc)-(HM_ZD_AM3_2005!CA_excess_cost_recovery*HM_ZD_AM3_2005!CA_rev_gas_perc),0)</f>
        <v>0</v>
      </c>
      <c r="AV306" s="49">
        <f ca="1">MAX(HM_ZD_AM3_2005!CA_gross_rev_gas_fp-HM_ZD_AM3_2005!CA_roy_gas_fp-(HM_ZD_AM3_2005!CA_cost_recovered_total*HM_ZD_AM3_2005!CA_rev_gas_perc)-(HM_ZD_AM3_2005!CA_excess_cost_recovery*HM_ZD_AM3_2005!CA_rev_gas_perc),0)</f>
        <v>0</v>
      </c>
      <c r="AW306" s="49">
        <f ca="1">MAX(HM_ZD_AM3_2005!CA_gross_rev_gas_fp-HM_ZD_AM3_2005!CA_roy_gas_fp-(HM_ZD_AM3_2005!CA_cost_recovered_total*HM_ZD_AM3_2005!CA_rev_gas_perc)-(HM_ZD_AM3_2005!CA_excess_cost_recovery*HM_ZD_AM3_2005!CA_rev_gas_perc),0)</f>
        <v>0</v>
      </c>
      <c r="AX306" s="49">
        <f ca="1">MAX(HM_ZD_AM3_2005!CA_gross_rev_gas_fp-HM_ZD_AM3_2005!CA_roy_gas_fp-(HM_ZD_AM3_2005!CA_cost_recovered_total*HM_ZD_AM3_2005!CA_rev_gas_perc)-(HM_ZD_AM3_2005!CA_excess_cost_recovery*HM_ZD_AM3_2005!CA_rev_gas_perc),0)</f>
        <v>0</v>
      </c>
      <c r="AY306" s="49">
        <f ca="1">MAX(HM_ZD_AM3_2005!CA_gross_rev_gas_fp-HM_ZD_AM3_2005!CA_roy_gas_fp-(HM_ZD_AM3_2005!CA_cost_recovered_total*HM_ZD_AM3_2005!CA_rev_gas_perc)-(HM_ZD_AM3_2005!CA_excess_cost_recovery*HM_ZD_AM3_2005!CA_rev_gas_perc),0)</f>
        <v>0</v>
      </c>
      <c r="AZ306" s="49">
        <f ca="1">MAX(HM_ZD_AM3_2005!CA_gross_rev_gas_fp-HM_ZD_AM3_2005!CA_roy_gas_fp-(HM_ZD_AM3_2005!CA_cost_recovered_total*HM_ZD_AM3_2005!CA_rev_gas_perc)-(HM_ZD_AM3_2005!CA_excess_cost_recovery*HM_ZD_AM3_2005!CA_rev_gas_perc),0)</f>
        <v>0</v>
      </c>
      <c r="BA306" s="49">
        <f ca="1">MAX(HM_ZD_AM3_2005!CA_gross_rev_gas_fp-HM_ZD_AM3_2005!CA_roy_gas_fp-(HM_ZD_AM3_2005!CA_cost_recovered_total*HM_ZD_AM3_2005!CA_rev_gas_perc)-(HM_ZD_AM3_2005!CA_excess_cost_recovery*HM_ZD_AM3_2005!CA_rev_gas_perc),0)</f>
        <v>0</v>
      </c>
      <c r="BB306" s="49">
        <f ca="1">MAX(HM_ZD_AM3_2005!CA_gross_rev_gas_fp-HM_ZD_AM3_2005!CA_roy_gas_fp-(HM_ZD_AM3_2005!CA_cost_recovered_total*HM_ZD_AM3_2005!CA_rev_gas_perc)-(HM_ZD_AM3_2005!CA_excess_cost_recovery*HM_ZD_AM3_2005!CA_rev_gas_perc),0)</f>
        <v>0</v>
      </c>
      <c r="BC306" s="49">
        <f ca="1">MAX(HM_ZD_AM3_2005!CA_gross_rev_gas_fp-HM_ZD_AM3_2005!CA_roy_gas_fp-(HM_ZD_AM3_2005!CA_cost_recovered_total*HM_ZD_AM3_2005!CA_rev_gas_perc)-(HM_ZD_AM3_2005!CA_excess_cost_recovery*HM_ZD_AM3_2005!CA_rev_gas_perc),0)</f>
        <v>0</v>
      </c>
      <c r="BD306" s="49">
        <f ca="1">MAX(HM_ZD_AM3_2005!CA_gross_rev_gas_fp-HM_ZD_AM3_2005!CA_roy_gas_fp-(HM_ZD_AM3_2005!CA_cost_recovered_total*HM_ZD_AM3_2005!CA_rev_gas_perc)-(HM_ZD_AM3_2005!CA_excess_cost_recovery*HM_ZD_AM3_2005!CA_rev_gas_perc),0)</f>
        <v>0</v>
      </c>
      <c r="BE306" s="49">
        <f ca="1">MAX(HM_ZD_AM3_2005!CA_gross_rev_gas_fp-HM_ZD_AM3_2005!CA_roy_gas_fp-(HM_ZD_AM3_2005!CA_cost_recovered_total*HM_ZD_AM3_2005!CA_rev_gas_perc)-(HM_ZD_AM3_2005!CA_excess_cost_recovery*HM_ZD_AM3_2005!CA_rev_gas_perc),0)</f>
        <v>0</v>
      </c>
      <c r="BF306" s="49">
        <f ca="1">MAX(HM_ZD_AM3_2005!CA_gross_rev_gas_fp-HM_ZD_AM3_2005!CA_roy_gas_fp-(HM_ZD_AM3_2005!CA_cost_recovered_total*HM_ZD_AM3_2005!CA_rev_gas_perc)-(HM_ZD_AM3_2005!CA_excess_cost_recovery*HM_ZD_AM3_2005!CA_rev_gas_perc),0)</f>
        <v>0</v>
      </c>
      <c r="BG306" s="49">
        <f ca="1">MAX(HM_ZD_AM3_2005!CA_gross_rev_gas_fp-HM_ZD_AM3_2005!CA_roy_gas_fp-(HM_ZD_AM3_2005!CA_cost_recovered_total*HM_ZD_AM3_2005!CA_rev_gas_perc)-(HM_ZD_AM3_2005!CA_excess_cost_recovery*HM_ZD_AM3_2005!CA_rev_gas_perc),0)</f>
        <v>0</v>
      </c>
      <c r="BH306" s="49">
        <f ca="1">MAX(HM_ZD_AM3_2005!CA_gross_rev_gas_fp-HM_ZD_AM3_2005!CA_roy_gas_fp-(HM_ZD_AM3_2005!CA_cost_recovered_total*HM_ZD_AM3_2005!CA_rev_gas_perc)-(HM_ZD_AM3_2005!CA_excess_cost_recovery*HM_ZD_AM3_2005!CA_rev_gas_perc),0)</f>
        <v>0</v>
      </c>
      <c r="BI306" s="49">
        <f ca="1">MAX(HM_ZD_AM3_2005!CA_gross_rev_gas_fp-HM_ZD_AM3_2005!CA_roy_gas_fp-(HM_ZD_AM3_2005!CA_cost_recovered_total*HM_ZD_AM3_2005!CA_rev_gas_perc)-(HM_ZD_AM3_2005!CA_excess_cost_recovery*HM_ZD_AM3_2005!CA_rev_gas_perc),0)</f>
        <v>0</v>
      </c>
      <c r="BJ306" s="49">
        <f ca="1">MAX(HM_ZD_AM3_2005!CA_gross_rev_gas_fp-HM_ZD_AM3_2005!CA_roy_gas_fp-(HM_ZD_AM3_2005!CA_cost_recovered_total*HM_ZD_AM3_2005!CA_rev_gas_perc)-(HM_ZD_AM3_2005!CA_excess_cost_recovery*HM_ZD_AM3_2005!CA_rev_gas_perc),0)</f>
        <v>0</v>
      </c>
      <c r="BK306" s="49">
        <f ca="1">MAX(HM_ZD_AM3_2005!CA_gross_rev_gas_fp-HM_ZD_AM3_2005!CA_roy_gas_fp-(HM_ZD_AM3_2005!CA_cost_recovered_total*HM_ZD_AM3_2005!CA_rev_gas_perc)-(HM_ZD_AM3_2005!CA_excess_cost_recovery*HM_ZD_AM3_2005!CA_rev_gas_perc),0)</f>
        <v>0</v>
      </c>
      <c r="BL306" s="49">
        <f ca="1">MAX(HM_ZD_AM3_2005!CA_gross_rev_gas_fp-HM_ZD_AM3_2005!CA_roy_gas_fp-(HM_ZD_AM3_2005!CA_cost_recovered_total*HM_ZD_AM3_2005!CA_rev_gas_perc)-(HM_ZD_AM3_2005!CA_excess_cost_recovery*HM_ZD_AM3_2005!CA_rev_gas_perc),0)</f>
        <v>0</v>
      </c>
      <c r="BM306" s="49">
        <f ca="1">MAX(HM_ZD_AM3_2005!CA_gross_rev_gas_fp-HM_ZD_AM3_2005!CA_roy_gas_fp-(HM_ZD_AM3_2005!CA_cost_recovered_total*HM_ZD_AM3_2005!CA_rev_gas_perc)-(HM_ZD_AM3_2005!CA_excess_cost_recovery*HM_ZD_AM3_2005!CA_rev_gas_perc),0)</f>
        <v>0</v>
      </c>
      <c r="BN306" s="49">
        <f ca="1">MAX(HM_ZD_AM3_2005!CA_gross_rev_gas_fp-HM_ZD_AM3_2005!CA_roy_gas_fp-(HM_ZD_AM3_2005!CA_cost_recovered_total*HM_ZD_AM3_2005!CA_rev_gas_perc)-(HM_ZD_AM3_2005!CA_excess_cost_recovery*HM_ZD_AM3_2005!CA_rev_gas_perc),0)</f>
        <v>0</v>
      </c>
      <c r="BO306" s="49">
        <f ca="1">MAX(HM_ZD_AM3_2005!CA_gross_rev_gas_fp-HM_ZD_AM3_2005!CA_roy_gas_fp-(HM_ZD_AM3_2005!CA_cost_recovered_total*HM_ZD_AM3_2005!CA_rev_gas_perc)-(HM_ZD_AM3_2005!CA_excess_cost_recovery*HM_ZD_AM3_2005!CA_rev_gas_perc),0)</f>
        <v>0</v>
      </c>
      <c r="BP306" s="49">
        <f ca="1">MAX(HM_ZD_AM3_2005!CA_gross_rev_gas_fp-HM_ZD_AM3_2005!CA_roy_gas_fp-(HM_ZD_AM3_2005!CA_cost_recovered_total*HM_ZD_AM3_2005!CA_rev_gas_perc)-(HM_ZD_AM3_2005!CA_excess_cost_recovery*HM_ZD_AM3_2005!CA_rev_gas_perc),0)</f>
        <v>0</v>
      </c>
      <c r="BQ306" s="49">
        <f ca="1">MAX(HM_ZD_AM3_2005!CA_gross_rev_gas_fp-HM_ZD_AM3_2005!CA_roy_gas_fp-(HM_ZD_AM3_2005!CA_cost_recovered_total*HM_ZD_AM3_2005!CA_rev_gas_perc)-(HM_ZD_AM3_2005!CA_excess_cost_recovery*HM_ZD_AM3_2005!CA_rev_gas_perc),0)</f>
        <v>0</v>
      </c>
      <c r="BR306" s="49">
        <f ca="1">MAX(HM_ZD_AM3_2005!CA_gross_rev_gas_fp-HM_ZD_AM3_2005!CA_roy_gas_fp-(HM_ZD_AM3_2005!CA_cost_recovered_total*HM_ZD_AM3_2005!CA_rev_gas_perc)-(HM_ZD_AM3_2005!CA_excess_cost_recovery*HM_ZD_AM3_2005!CA_rev_gas_perc),0)</f>
        <v>0</v>
      </c>
      <c r="BS306" s="49">
        <f ca="1">MAX(HM_ZD_AM3_2005!CA_gross_rev_gas_fp-HM_ZD_AM3_2005!CA_roy_gas_fp-(HM_ZD_AM3_2005!CA_cost_recovered_total*HM_ZD_AM3_2005!CA_rev_gas_perc)-(HM_ZD_AM3_2005!CA_excess_cost_recovery*HM_ZD_AM3_2005!CA_rev_gas_perc),0)</f>
        <v>0</v>
      </c>
    </row>
    <row r="307" spans="1:71" outlineLevel="1" x14ac:dyDescent="0.2">
      <c r="D307" s="50" t="str">
        <f>HM_ZD_Moho!D329</f>
        <v>Partage du profit %</v>
      </c>
      <c r="J307" s="26"/>
      <c r="L307" s="53">
        <f ca="1">INDEX(HM_ZD_AM3_2005!FA_PS_cont_rate,MATCH(HM_ZD_AM3_2005!CA_cum_gross_prod_gas,HM_ZD_AM3_2005!FA_PS_cumprod_gas,1))*HM_ZD_AM3_2005!CA_op_trig</f>
        <v>0.7</v>
      </c>
      <c r="M307" s="53">
        <f ca="1">INDEX(HM_ZD_AM3_2005!FA_PS_cont_rate,MATCH(HM_ZD_AM3_2005!CA_cum_gross_prod_gas,HM_ZD_AM3_2005!FA_PS_cumprod_gas,1))*HM_ZD_AM3_2005!CA_op_trig</f>
        <v>0.7</v>
      </c>
      <c r="N307" s="53">
        <f ca="1">INDEX(HM_ZD_AM3_2005!FA_PS_cont_rate,MATCH(HM_ZD_AM3_2005!CA_cum_gross_prod_gas,HM_ZD_AM3_2005!FA_PS_cumprod_gas,1))*HM_ZD_AM3_2005!CA_op_trig</f>
        <v>0</v>
      </c>
      <c r="O307" s="53">
        <f ca="1">INDEX(HM_ZD_AM3_2005!FA_PS_cont_rate,MATCH(HM_ZD_AM3_2005!CA_cum_gross_prod_gas,HM_ZD_AM3_2005!FA_PS_cumprod_gas,1))*HM_ZD_AM3_2005!CA_op_trig</f>
        <v>0</v>
      </c>
      <c r="P307" s="53">
        <f ca="1">INDEX(HM_ZD_AM3_2005!FA_PS_cont_rate,MATCH(HM_ZD_AM3_2005!CA_cum_gross_prod_gas,HM_ZD_AM3_2005!FA_PS_cumprod_gas,1))*HM_ZD_AM3_2005!CA_op_trig</f>
        <v>0</v>
      </c>
      <c r="Q307" s="53">
        <f ca="1">INDEX(HM_ZD_AM3_2005!FA_PS_cont_rate,MATCH(HM_ZD_AM3_2005!CA_cum_gross_prod_gas,HM_ZD_AM3_2005!FA_PS_cumprod_gas,1))*HM_ZD_AM3_2005!CA_op_trig</f>
        <v>0</v>
      </c>
      <c r="R307" s="53">
        <f ca="1">INDEX(HM_ZD_AM3_2005!FA_PS_cont_rate,MATCH(HM_ZD_AM3_2005!CA_cum_gross_prod_gas,HM_ZD_AM3_2005!FA_PS_cumprod_gas,1))*HM_ZD_AM3_2005!CA_op_trig</f>
        <v>0</v>
      </c>
      <c r="S307" s="53">
        <f ca="1">INDEX(HM_ZD_AM3_2005!FA_PS_cont_rate,MATCH(HM_ZD_AM3_2005!CA_cum_gross_prod_gas,HM_ZD_AM3_2005!FA_PS_cumprod_gas,1))*HM_ZD_AM3_2005!CA_op_trig</f>
        <v>0</v>
      </c>
      <c r="T307" s="53">
        <f ca="1">INDEX(HM_ZD_AM3_2005!FA_PS_cont_rate,MATCH(HM_ZD_AM3_2005!CA_cum_gross_prod_gas,HM_ZD_AM3_2005!FA_PS_cumprod_gas,1))*HM_ZD_AM3_2005!CA_op_trig</f>
        <v>0</v>
      </c>
      <c r="U307" s="53">
        <f ca="1">INDEX(HM_ZD_AM3_2005!FA_PS_cont_rate,MATCH(HM_ZD_AM3_2005!CA_cum_gross_prod_gas,HM_ZD_AM3_2005!FA_PS_cumprod_gas,1))*HM_ZD_AM3_2005!CA_op_trig</f>
        <v>0</v>
      </c>
      <c r="V307" s="53">
        <f ca="1">INDEX(HM_ZD_AM3_2005!FA_PS_cont_rate,MATCH(HM_ZD_AM3_2005!CA_cum_gross_prod_gas,HM_ZD_AM3_2005!FA_PS_cumprod_gas,1))*HM_ZD_AM3_2005!CA_op_trig</f>
        <v>0</v>
      </c>
      <c r="W307" s="53">
        <f ca="1">INDEX(HM_ZD_AM3_2005!FA_PS_cont_rate,MATCH(HM_ZD_AM3_2005!CA_cum_gross_prod_gas,HM_ZD_AM3_2005!FA_PS_cumprod_gas,1))*HM_ZD_AM3_2005!CA_op_trig</f>
        <v>0</v>
      </c>
      <c r="X307" s="53">
        <f ca="1">INDEX(HM_ZD_AM3_2005!FA_PS_cont_rate,MATCH(HM_ZD_AM3_2005!CA_cum_gross_prod_gas,HM_ZD_AM3_2005!FA_PS_cumprod_gas,1))*HM_ZD_AM3_2005!CA_op_trig</f>
        <v>0</v>
      </c>
      <c r="Y307" s="53">
        <f ca="1">INDEX(HM_ZD_AM3_2005!FA_PS_cont_rate,MATCH(HM_ZD_AM3_2005!CA_cum_gross_prod_gas,HM_ZD_AM3_2005!FA_PS_cumprod_gas,1))*HM_ZD_AM3_2005!CA_op_trig</f>
        <v>0</v>
      </c>
      <c r="Z307" s="53">
        <f ca="1">INDEX(HM_ZD_AM3_2005!FA_PS_cont_rate,MATCH(HM_ZD_AM3_2005!CA_cum_gross_prod_gas,HM_ZD_AM3_2005!FA_PS_cumprod_gas,1))*HM_ZD_AM3_2005!CA_op_trig</f>
        <v>0</v>
      </c>
      <c r="AA307" s="53">
        <f ca="1">INDEX(HM_ZD_AM3_2005!FA_PS_cont_rate,MATCH(HM_ZD_AM3_2005!CA_cum_gross_prod_gas,HM_ZD_AM3_2005!FA_PS_cumprod_gas,1))*HM_ZD_AM3_2005!CA_op_trig</f>
        <v>0</v>
      </c>
      <c r="AB307" s="53">
        <f ca="1">INDEX(HM_ZD_AM3_2005!FA_PS_cont_rate,MATCH(HM_ZD_AM3_2005!CA_cum_gross_prod_gas,HM_ZD_AM3_2005!FA_PS_cumprod_gas,1))*HM_ZD_AM3_2005!CA_op_trig</f>
        <v>0</v>
      </c>
      <c r="AC307" s="53">
        <f ca="1">INDEX(HM_ZD_AM3_2005!FA_PS_cont_rate,MATCH(HM_ZD_AM3_2005!CA_cum_gross_prod_gas,HM_ZD_AM3_2005!FA_PS_cumprod_gas,1))*HM_ZD_AM3_2005!CA_op_trig</f>
        <v>0</v>
      </c>
      <c r="AD307" s="53">
        <f ca="1">INDEX(HM_ZD_AM3_2005!FA_PS_cont_rate,MATCH(HM_ZD_AM3_2005!CA_cum_gross_prod_gas,HM_ZD_AM3_2005!FA_PS_cumprod_gas,1))*HM_ZD_AM3_2005!CA_op_trig</f>
        <v>0</v>
      </c>
      <c r="AE307" s="53">
        <f ca="1">INDEX(HM_ZD_AM3_2005!FA_PS_cont_rate,MATCH(HM_ZD_AM3_2005!CA_cum_gross_prod_gas,HM_ZD_AM3_2005!FA_PS_cumprod_gas,1))*HM_ZD_AM3_2005!CA_op_trig</f>
        <v>0</v>
      </c>
      <c r="AF307" s="53">
        <f ca="1">INDEX(HM_ZD_AM3_2005!FA_PS_cont_rate,MATCH(HM_ZD_AM3_2005!CA_cum_gross_prod_gas,HM_ZD_AM3_2005!FA_PS_cumprod_gas,1))*HM_ZD_AM3_2005!CA_op_trig</f>
        <v>0</v>
      </c>
      <c r="AG307" s="53">
        <f ca="1">INDEX(HM_ZD_AM3_2005!FA_PS_cont_rate,MATCH(HM_ZD_AM3_2005!CA_cum_gross_prod_gas,HM_ZD_AM3_2005!FA_PS_cumprod_gas,1))*HM_ZD_AM3_2005!CA_op_trig</f>
        <v>0</v>
      </c>
      <c r="AH307" s="53">
        <f ca="1">INDEX(HM_ZD_AM3_2005!FA_PS_cont_rate,MATCH(HM_ZD_AM3_2005!CA_cum_gross_prod_gas,HM_ZD_AM3_2005!FA_PS_cumprod_gas,1))*HM_ZD_AM3_2005!CA_op_trig</f>
        <v>0</v>
      </c>
      <c r="AI307" s="53">
        <f ca="1">INDEX(HM_ZD_AM3_2005!FA_PS_cont_rate,MATCH(HM_ZD_AM3_2005!CA_cum_gross_prod_gas,HM_ZD_AM3_2005!FA_PS_cumprod_gas,1))*HM_ZD_AM3_2005!CA_op_trig</f>
        <v>0</v>
      </c>
      <c r="AJ307" s="53">
        <f ca="1">INDEX(HM_ZD_AM3_2005!FA_PS_cont_rate,MATCH(HM_ZD_AM3_2005!CA_cum_gross_prod_gas,HM_ZD_AM3_2005!FA_PS_cumprod_gas,1))*HM_ZD_AM3_2005!CA_op_trig</f>
        <v>0</v>
      </c>
      <c r="AK307" s="53">
        <f ca="1">INDEX(HM_ZD_AM3_2005!FA_PS_cont_rate,MATCH(HM_ZD_AM3_2005!CA_cum_gross_prod_gas,HM_ZD_AM3_2005!FA_PS_cumprod_gas,1))*HM_ZD_AM3_2005!CA_op_trig</f>
        <v>0</v>
      </c>
      <c r="AL307" s="53">
        <f ca="1">INDEX(HM_ZD_AM3_2005!FA_PS_cont_rate,MATCH(HM_ZD_AM3_2005!CA_cum_gross_prod_gas,HM_ZD_AM3_2005!FA_PS_cumprod_gas,1))*HM_ZD_AM3_2005!CA_op_trig</f>
        <v>0</v>
      </c>
      <c r="AM307" s="53">
        <f ca="1">INDEX(HM_ZD_AM3_2005!FA_PS_cont_rate,MATCH(HM_ZD_AM3_2005!CA_cum_gross_prod_gas,HM_ZD_AM3_2005!FA_PS_cumprod_gas,1))*HM_ZD_AM3_2005!CA_op_trig</f>
        <v>0</v>
      </c>
      <c r="AN307" s="53">
        <f ca="1">INDEX(HM_ZD_AM3_2005!FA_PS_cont_rate,MATCH(HM_ZD_AM3_2005!CA_cum_gross_prod_gas,HM_ZD_AM3_2005!FA_PS_cumprod_gas,1))*HM_ZD_AM3_2005!CA_op_trig</f>
        <v>0</v>
      </c>
      <c r="AO307" s="53">
        <f ca="1">INDEX(HM_ZD_AM3_2005!FA_PS_cont_rate,MATCH(HM_ZD_AM3_2005!CA_cum_gross_prod_gas,HM_ZD_AM3_2005!FA_PS_cumprod_gas,1))*HM_ZD_AM3_2005!CA_op_trig</f>
        <v>0</v>
      </c>
      <c r="AP307" s="53">
        <f ca="1">INDEX(HM_ZD_AM3_2005!FA_PS_cont_rate,MATCH(HM_ZD_AM3_2005!CA_cum_gross_prod_gas,HM_ZD_AM3_2005!FA_PS_cumprod_gas,1))*HM_ZD_AM3_2005!CA_op_trig</f>
        <v>0</v>
      </c>
      <c r="AQ307" s="53">
        <f ca="1">INDEX(HM_ZD_AM3_2005!FA_PS_cont_rate,MATCH(HM_ZD_AM3_2005!CA_cum_gross_prod_gas,HM_ZD_AM3_2005!FA_PS_cumprod_gas,1))*HM_ZD_AM3_2005!CA_op_trig</f>
        <v>0</v>
      </c>
      <c r="AR307" s="53">
        <f ca="1">INDEX(HM_ZD_AM3_2005!FA_PS_cont_rate,MATCH(HM_ZD_AM3_2005!CA_cum_gross_prod_gas,HM_ZD_AM3_2005!FA_PS_cumprod_gas,1))*HM_ZD_AM3_2005!CA_op_trig</f>
        <v>0</v>
      </c>
      <c r="AS307" s="53">
        <f ca="1">INDEX(HM_ZD_AM3_2005!FA_PS_cont_rate,MATCH(HM_ZD_AM3_2005!CA_cum_gross_prod_gas,HM_ZD_AM3_2005!FA_PS_cumprod_gas,1))*HM_ZD_AM3_2005!CA_op_trig</f>
        <v>0</v>
      </c>
      <c r="AT307" s="53">
        <f ca="1">INDEX(HM_ZD_AM3_2005!FA_PS_cont_rate,MATCH(HM_ZD_AM3_2005!CA_cum_gross_prod_gas,HM_ZD_AM3_2005!FA_PS_cumprod_gas,1))*HM_ZD_AM3_2005!CA_op_trig</f>
        <v>0</v>
      </c>
      <c r="AU307" s="53">
        <f ca="1">INDEX(HM_ZD_AM3_2005!FA_PS_cont_rate,MATCH(HM_ZD_AM3_2005!CA_cum_gross_prod_gas,HM_ZD_AM3_2005!FA_PS_cumprod_gas,1))*HM_ZD_AM3_2005!CA_op_trig</f>
        <v>0</v>
      </c>
      <c r="AV307" s="53">
        <f ca="1">INDEX(HM_ZD_AM3_2005!FA_PS_cont_rate,MATCH(HM_ZD_AM3_2005!CA_cum_gross_prod_gas,HM_ZD_AM3_2005!FA_PS_cumprod_gas,1))*HM_ZD_AM3_2005!CA_op_trig</f>
        <v>0</v>
      </c>
      <c r="AW307" s="53">
        <f ca="1">INDEX(HM_ZD_AM3_2005!FA_PS_cont_rate,MATCH(HM_ZD_AM3_2005!CA_cum_gross_prod_gas,HM_ZD_AM3_2005!FA_PS_cumprod_gas,1))*HM_ZD_AM3_2005!CA_op_trig</f>
        <v>0</v>
      </c>
      <c r="AX307" s="53">
        <f ca="1">INDEX(HM_ZD_AM3_2005!FA_PS_cont_rate,MATCH(HM_ZD_AM3_2005!CA_cum_gross_prod_gas,HM_ZD_AM3_2005!FA_PS_cumprod_gas,1))*HM_ZD_AM3_2005!CA_op_trig</f>
        <v>0</v>
      </c>
      <c r="AY307" s="53">
        <f ca="1">INDEX(HM_ZD_AM3_2005!FA_PS_cont_rate,MATCH(HM_ZD_AM3_2005!CA_cum_gross_prod_gas,HM_ZD_AM3_2005!FA_PS_cumprod_gas,1))*HM_ZD_AM3_2005!CA_op_trig</f>
        <v>0</v>
      </c>
      <c r="AZ307" s="53">
        <f ca="1">INDEX(HM_ZD_AM3_2005!FA_PS_cont_rate,MATCH(HM_ZD_AM3_2005!CA_cum_gross_prod_gas,HM_ZD_AM3_2005!FA_PS_cumprod_gas,1))*HM_ZD_AM3_2005!CA_op_trig</f>
        <v>0</v>
      </c>
      <c r="BA307" s="53">
        <f ca="1">INDEX(HM_ZD_AM3_2005!FA_PS_cont_rate,MATCH(HM_ZD_AM3_2005!CA_cum_gross_prod_gas,HM_ZD_AM3_2005!FA_PS_cumprod_gas,1))*HM_ZD_AM3_2005!CA_op_trig</f>
        <v>0</v>
      </c>
      <c r="BB307" s="53">
        <f ca="1">INDEX(HM_ZD_AM3_2005!FA_PS_cont_rate,MATCH(HM_ZD_AM3_2005!CA_cum_gross_prod_gas,HM_ZD_AM3_2005!FA_PS_cumprod_gas,1))*HM_ZD_AM3_2005!CA_op_trig</f>
        <v>0</v>
      </c>
      <c r="BC307" s="53">
        <f ca="1">INDEX(HM_ZD_AM3_2005!FA_PS_cont_rate,MATCH(HM_ZD_AM3_2005!CA_cum_gross_prod_gas,HM_ZD_AM3_2005!FA_PS_cumprod_gas,1))*HM_ZD_AM3_2005!CA_op_trig</f>
        <v>0</v>
      </c>
      <c r="BD307" s="53">
        <f ca="1">INDEX(HM_ZD_AM3_2005!FA_PS_cont_rate,MATCH(HM_ZD_AM3_2005!CA_cum_gross_prod_gas,HM_ZD_AM3_2005!FA_PS_cumprod_gas,1))*HM_ZD_AM3_2005!CA_op_trig</f>
        <v>0</v>
      </c>
      <c r="BE307" s="53">
        <f ca="1">INDEX(HM_ZD_AM3_2005!FA_PS_cont_rate,MATCH(HM_ZD_AM3_2005!CA_cum_gross_prod_gas,HM_ZD_AM3_2005!FA_PS_cumprod_gas,1))*HM_ZD_AM3_2005!CA_op_trig</f>
        <v>0</v>
      </c>
      <c r="BF307" s="53">
        <f ca="1">INDEX(HM_ZD_AM3_2005!FA_PS_cont_rate,MATCH(HM_ZD_AM3_2005!CA_cum_gross_prod_gas,HM_ZD_AM3_2005!FA_PS_cumprod_gas,1))*HM_ZD_AM3_2005!CA_op_trig</f>
        <v>0</v>
      </c>
      <c r="BG307" s="53">
        <f ca="1">INDEX(HM_ZD_AM3_2005!FA_PS_cont_rate,MATCH(HM_ZD_AM3_2005!CA_cum_gross_prod_gas,HM_ZD_AM3_2005!FA_PS_cumprod_gas,1))*HM_ZD_AM3_2005!CA_op_trig</f>
        <v>0</v>
      </c>
      <c r="BH307" s="53">
        <f ca="1">INDEX(HM_ZD_AM3_2005!FA_PS_cont_rate,MATCH(HM_ZD_AM3_2005!CA_cum_gross_prod_gas,HM_ZD_AM3_2005!FA_PS_cumprod_gas,1))*HM_ZD_AM3_2005!CA_op_trig</f>
        <v>0</v>
      </c>
      <c r="BI307" s="53">
        <f ca="1">INDEX(HM_ZD_AM3_2005!FA_PS_cont_rate,MATCH(HM_ZD_AM3_2005!CA_cum_gross_prod_gas,HM_ZD_AM3_2005!FA_PS_cumprod_gas,1))*HM_ZD_AM3_2005!CA_op_trig</f>
        <v>0</v>
      </c>
      <c r="BJ307" s="53">
        <f ca="1">INDEX(HM_ZD_AM3_2005!FA_PS_cont_rate,MATCH(HM_ZD_AM3_2005!CA_cum_gross_prod_gas,HM_ZD_AM3_2005!FA_PS_cumprod_gas,1))*HM_ZD_AM3_2005!CA_op_trig</f>
        <v>0</v>
      </c>
      <c r="BK307" s="53">
        <f ca="1">INDEX(HM_ZD_AM3_2005!FA_PS_cont_rate,MATCH(HM_ZD_AM3_2005!CA_cum_gross_prod_gas,HM_ZD_AM3_2005!FA_PS_cumprod_gas,1))*HM_ZD_AM3_2005!CA_op_trig</f>
        <v>0</v>
      </c>
      <c r="BL307" s="53">
        <f ca="1">INDEX(HM_ZD_AM3_2005!FA_PS_cont_rate,MATCH(HM_ZD_AM3_2005!CA_cum_gross_prod_gas,HM_ZD_AM3_2005!FA_PS_cumprod_gas,1))*HM_ZD_AM3_2005!CA_op_trig</f>
        <v>0</v>
      </c>
      <c r="BM307" s="53">
        <f ca="1">INDEX(HM_ZD_AM3_2005!FA_PS_cont_rate,MATCH(HM_ZD_AM3_2005!CA_cum_gross_prod_gas,HM_ZD_AM3_2005!FA_PS_cumprod_gas,1))*HM_ZD_AM3_2005!CA_op_trig</f>
        <v>0</v>
      </c>
      <c r="BN307" s="53">
        <f ca="1">INDEX(HM_ZD_AM3_2005!FA_PS_cont_rate,MATCH(HM_ZD_AM3_2005!CA_cum_gross_prod_gas,HM_ZD_AM3_2005!FA_PS_cumprod_gas,1))*HM_ZD_AM3_2005!CA_op_trig</f>
        <v>0</v>
      </c>
      <c r="BO307" s="53">
        <f ca="1">INDEX(HM_ZD_AM3_2005!FA_PS_cont_rate,MATCH(HM_ZD_AM3_2005!CA_cum_gross_prod_gas,HM_ZD_AM3_2005!FA_PS_cumprod_gas,1))*HM_ZD_AM3_2005!CA_op_trig</f>
        <v>0</v>
      </c>
      <c r="BP307" s="53">
        <f ca="1">INDEX(HM_ZD_AM3_2005!FA_PS_cont_rate,MATCH(HM_ZD_AM3_2005!CA_cum_gross_prod_gas,HM_ZD_AM3_2005!FA_PS_cumprod_gas,1))*HM_ZD_AM3_2005!CA_op_trig</f>
        <v>0</v>
      </c>
      <c r="BQ307" s="53">
        <f ca="1">INDEX(HM_ZD_AM3_2005!FA_PS_cont_rate,MATCH(HM_ZD_AM3_2005!CA_cum_gross_prod_gas,HM_ZD_AM3_2005!FA_PS_cumprod_gas,1))*HM_ZD_AM3_2005!CA_op_trig</f>
        <v>0</v>
      </c>
      <c r="BR307" s="53">
        <f ca="1">INDEX(HM_ZD_AM3_2005!FA_PS_cont_rate,MATCH(HM_ZD_AM3_2005!CA_cum_gross_prod_gas,HM_ZD_AM3_2005!FA_PS_cumprod_gas,1))*HM_ZD_AM3_2005!CA_op_trig</f>
        <v>0</v>
      </c>
      <c r="BS307" s="53">
        <f ca="1">INDEX(HM_ZD_AM3_2005!FA_PS_cont_rate,MATCH(HM_ZD_AM3_2005!CA_cum_gross_prod_gas,HM_ZD_AM3_2005!FA_PS_cumprod_gas,1))*HM_ZD_AM3_2005!CA_op_trig</f>
        <v>0</v>
      </c>
    </row>
    <row r="308" spans="1:71" outlineLevel="1" x14ac:dyDescent="0.2">
      <c r="D308" t="str">
        <f>HM_ZD_Moho!D330</f>
        <v>Part du Contracteur dans le Profit Oil</v>
      </c>
      <c r="I308" s="30">
        <f t="shared" ca="1" si="103"/>
        <v>0</v>
      </c>
      <c r="J308" s="26" t="s">
        <v>148</v>
      </c>
      <c r="L308" s="49">
        <f ca="1">L306*L307</f>
        <v>0</v>
      </c>
      <c r="M308" s="49">
        <f t="shared" ref="M308:BS308" ca="1" si="104">M306*M307</f>
        <v>0</v>
      </c>
      <c r="N308" s="49">
        <f t="shared" ca="1" si="104"/>
        <v>0</v>
      </c>
      <c r="O308" s="49">
        <f t="shared" ca="1" si="104"/>
        <v>0</v>
      </c>
      <c r="P308" s="49">
        <f t="shared" ca="1" si="104"/>
        <v>0</v>
      </c>
      <c r="Q308" s="49">
        <f t="shared" ca="1" si="104"/>
        <v>0</v>
      </c>
      <c r="R308" s="49">
        <f t="shared" ca="1" si="104"/>
        <v>0</v>
      </c>
      <c r="S308" s="49">
        <f t="shared" ca="1" si="104"/>
        <v>0</v>
      </c>
      <c r="T308" s="49">
        <f t="shared" ca="1" si="104"/>
        <v>0</v>
      </c>
      <c r="U308" s="49">
        <f t="shared" ca="1" si="104"/>
        <v>0</v>
      </c>
      <c r="V308" s="49">
        <f t="shared" ca="1" si="104"/>
        <v>0</v>
      </c>
      <c r="W308" s="49">
        <f t="shared" ca="1" si="104"/>
        <v>0</v>
      </c>
      <c r="X308" s="49">
        <f t="shared" ca="1" si="104"/>
        <v>0</v>
      </c>
      <c r="Y308" s="49">
        <f t="shared" ca="1" si="104"/>
        <v>0</v>
      </c>
      <c r="Z308" s="49">
        <f t="shared" ca="1" si="104"/>
        <v>0</v>
      </c>
      <c r="AA308" s="49">
        <f t="shared" ca="1" si="104"/>
        <v>0</v>
      </c>
      <c r="AB308" s="49">
        <f t="shared" ca="1" si="104"/>
        <v>0</v>
      </c>
      <c r="AC308" s="49">
        <f t="shared" ca="1" si="104"/>
        <v>0</v>
      </c>
      <c r="AD308" s="49">
        <f t="shared" ca="1" si="104"/>
        <v>0</v>
      </c>
      <c r="AE308" s="49">
        <f t="shared" ca="1" si="104"/>
        <v>0</v>
      </c>
      <c r="AF308" s="49">
        <f t="shared" ca="1" si="104"/>
        <v>0</v>
      </c>
      <c r="AG308" s="49">
        <f t="shared" ca="1" si="104"/>
        <v>0</v>
      </c>
      <c r="AH308" s="49">
        <f t="shared" ca="1" si="104"/>
        <v>0</v>
      </c>
      <c r="AI308" s="49">
        <f t="shared" ca="1" si="104"/>
        <v>0</v>
      </c>
      <c r="AJ308" s="49">
        <f t="shared" ca="1" si="104"/>
        <v>0</v>
      </c>
      <c r="AK308" s="49">
        <f t="shared" ca="1" si="104"/>
        <v>0</v>
      </c>
      <c r="AL308" s="49">
        <f t="shared" ca="1" si="104"/>
        <v>0</v>
      </c>
      <c r="AM308" s="49">
        <f t="shared" ca="1" si="104"/>
        <v>0</v>
      </c>
      <c r="AN308" s="49">
        <f t="shared" ca="1" si="104"/>
        <v>0</v>
      </c>
      <c r="AO308" s="49">
        <f t="shared" ca="1" si="104"/>
        <v>0</v>
      </c>
      <c r="AP308" s="49">
        <f t="shared" ca="1" si="104"/>
        <v>0</v>
      </c>
      <c r="AQ308" s="49">
        <f t="shared" ca="1" si="104"/>
        <v>0</v>
      </c>
      <c r="AR308" s="49">
        <f t="shared" ca="1" si="104"/>
        <v>0</v>
      </c>
      <c r="AS308" s="49">
        <f t="shared" ca="1" si="104"/>
        <v>0</v>
      </c>
      <c r="AT308" s="49">
        <f t="shared" ca="1" si="104"/>
        <v>0</v>
      </c>
      <c r="AU308" s="49">
        <f t="shared" ca="1" si="104"/>
        <v>0</v>
      </c>
      <c r="AV308" s="49">
        <f t="shared" ca="1" si="104"/>
        <v>0</v>
      </c>
      <c r="AW308" s="49">
        <f t="shared" ca="1" si="104"/>
        <v>0</v>
      </c>
      <c r="AX308" s="49">
        <f t="shared" ca="1" si="104"/>
        <v>0</v>
      </c>
      <c r="AY308" s="49">
        <f t="shared" ca="1" si="104"/>
        <v>0</v>
      </c>
      <c r="AZ308" s="49">
        <f t="shared" ca="1" si="104"/>
        <v>0</v>
      </c>
      <c r="BA308" s="49">
        <f t="shared" ca="1" si="104"/>
        <v>0</v>
      </c>
      <c r="BB308" s="49">
        <f t="shared" ca="1" si="104"/>
        <v>0</v>
      </c>
      <c r="BC308" s="49">
        <f t="shared" ca="1" si="104"/>
        <v>0</v>
      </c>
      <c r="BD308" s="49">
        <f t="shared" ca="1" si="104"/>
        <v>0</v>
      </c>
      <c r="BE308" s="49">
        <f t="shared" ca="1" si="104"/>
        <v>0</v>
      </c>
      <c r="BF308" s="49">
        <f t="shared" ca="1" si="104"/>
        <v>0</v>
      </c>
      <c r="BG308" s="49">
        <f t="shared" ca="1" si="104"/>
        <v>0</v>
      </c>
      <c r="BH308" s="49">
        <f t="shared" ca="1" si="104"/>
        <v>0</v>
      </c>
      <c r="BI308" s="49">
        <f t="shared" ca="1" si="104"/>
        <v>0</v>
      </c>
      <c r="BJ308" s="49">
        <f t="shared" ca="1" si="104"/>
        <v>0</v>
      </c>
      <c r="BK308" s="49">
        <f t="shared" ca="1" si="104"/>
        <v>0</v>
      </c>
      <c r="BL308" s="49">
        <f t="shared" ca="1" si="104"/>
        <v>0</v>
      </c>
      <c r="BM308" s="49">
        <f t="shared" ca="1" si="104"/>
        <v>0</v>
      </c>
      <c r="BN308" s="49">
        <f t="shared" ca="1" si="104"/>
        <v>0</v>
      </c>
      <c r="BO308" s="49">
        <f t="shared" ca="1" si="104"/>
        <v>0</v>
      </c>
      <c r="BP308" s="49">
        <f t="shared" ca="1" si="104"/>
        <v>0</v>
      </c>
      <c r="BQ308" s="49">
        <f t="shared" ca="1" si="104"/>
        <v>0</v>
      </c>
      <c r="BR308" s="49">
        <f t="shared" ca="1" si="104"/>
        <v>0</v>
      </c>
      <c r="BS308" s="49">
        <f t="shared" ca="1" si="104"/>
        <v>0</v>
      </c>
    </row>
    <row r="309" spans="1:71" outlineLevel="1" x14ac:dyDescent="0.2">
      <c r="D309" t="str">
        <f>HM_ZD_Moho!D331</f>
        <v>Part du Gouv. dans le Profit Oil</v>
      </c>
      <c r="I309" s="30">
        <f t="shared" ca="1" si="103"/>
        <v>0</v>
      </c>
      <c r="J309" s="26" t="s">
        <v>148</v>
      </c>
      <c r="L309" s="49">
        <f ca="1">L306-L308</f>
        <v>0</v>
      </c>
      <c r="M309" s="49">
        <f t="shared" ref="M309:BS309" ca="1" si="105">M306-M308</f>
        <v>0</v>
      </c>
      <c r="N309" s="49">
        <f t="shared" ca="1" si="105"/>
        <v>0</v>
      </c>
      <c r="O309" s="49">
        <f t="shared" ca="1" si="105"/>
        <v>0</v>
      </c>
      <c r="P309" s="49">
        <f t="shared" ca="1" si="105"/>
        <v>0</v>
      </c>
      <c r="Q309" s="49">
        <f t="shared" ca="1" si="105"/>
        <v>0</v>
      </c>
      <c r="R309" s="49">
        <f t="shared" ca="1" si="105"/>
        <v>0</v>
      </c>
      <c r="S309" s="49">
        <f t="shared" ca="1" si="105"/>
        <v>0</v>
      </c>
      <c r="T309" s="49">
        <f t="shared" ca="1" si="105"/>
        <v>0</v>
      </c>
      <c r="U309" s="49">
        <f t="shared" ca="1" si="105"/>
        <v>0</v>
      </c>
      <c r="V309" s="49">
        <f t="shared" ca="1" si="105"/>
        <v>0</v>
      </c>
      <c r="W309" s="49">
        <f t="shared" ca="1" si="105"/>
        <v>0</v>
      </c>
      <c r="X309" s="49">
        <f t="shared" ca="1" si="105"/>
        <v>0</v>
      </c>
      <c r="Y309" s="49">
        <f t="shared" ca="1" si="105"/>
        <v>0</v>
      </c>
      <c r="Z309" s="49">
        <f t="shared" ca="1" si="105"/>
        <v>0</v>
      </c>
      <c r="AA309" s="49">
        <f t="shared" ca="1" si="105"/>
        <v>0</v>
      </c>
      <c r="AB309" s="49">
        <f t="shared" ca="1" si="105"/>
        <v>0</v>
      </c>
      <c r="AC309" s="49">
        <f t="shared" ca="1" si="105"/>
        <v>0</v>
      </c>
      <c r="AD309" s="49">
        <f t="shared" ca="1" si="105"/>
        <v>0</v>
      </c>
      <c r="AE309" s="49">
        <f t="shared" ca="1" si="105"/>
        <v>0</v>
      </c>
      <c r="AF309" s="49">
        <f t="shared" ca="1" si="105"/>
        <v>0</v>
      </c>
      <c r="AG309" s="49">
        <f t="shared" ca="1" si="105"/>
        <v>0</v>
      </c>
      <c r="AH309" s="49">
        <f t="shared" ca="1" si="105"/>
        <v>0</v>
      </c>
      <c r="AI309" s="49">
        <f t="shared" ca="1" si="105"/>
        <v>0</v>
      </c>
      <c r="AJ309" s="49">
        <f t="shared" ca="1" si="105"/>
        <v>0</v>
      </c>
      <c r="AK309" s="49">
        <f t="shared" ca="1" si="105"/>
        <v>0</v>
      </c>
      <c r="AL309" s="49">
        <f t="shared" ca="1" si="105"/>
        <v>0</v>
      </c>
      <c r="AM309" s="49">
        <f t="shared" ca="1" si="105"/>
        <v>0</v>
      </c>
      <c r="AN309" s="49">
        <f t="shared" ca="1" si="105"/>
        <v>0</v>
      </c>
      <c r="AO309" s="49">
        <f t="shared" ca="1" si="105"/>
        <v>0</v>
      </c>
      <c r="AP309" s="49">
        <f t="shared" ca="1" si="105"/>
        <v>0</v>
      </c>
      <c r="AQ309" s="49">
        <f t="shared" ca="1" si="105"/>
        <v>0</v>
      </c>
      <c r="AR309" s="49">
        <f t="shared" ca="1" si="105"/>
        <v>0</v>
      </c>
      <c r="AS309" s="49">
        <f t="shared" ca="1" si="105"/>
        <v>0</v>
      </c>
      <c r="AT309" s="49">
        <f t="shared" ca="1" si="105"/>
        <v>0</v>
      </c>
      <c r="AU309" s="49">
        <f t="shared" ca="1" si="105"/>
        <v>0</v>
      </c>
      <c r="AV309" s="49">
        <f t="shared" ca="1" si="105"/>
        <v>0</v>
      </c>
      <c r="AW309" s="49">
        <f t="shared" ca="1" si="105"/>
        <v>0</v>
      </c>
      <c r="AX309" s="49">
        <f t="shared" ca="1" si="105"/>
        <v>0</v>
      </c>
      <c r="AY309" s="49">
        <f t="shared" ca="1" si="105"/>
        <v>0</v>
      </c>
      <c r="AZ309" s="49">
        <f t="shared" ca="1" si="105"/>
        <v>0</v>
      </c>
      <c r="BA309" s="49">
        <f t="shared" ca="1" si="105"/>
        <v>0</v>
      </c>
      <c r="BB309" s="49">
        <f t="shared" ca="1" si="105"/>
        <v>0</v>
      </c>
      <c r="BC309" s="49">
        <f t="shared" ca="1" si="105"/>
        <v>0</v>
      </c>
      <c r="BD309" s="49">
        <f t="shared" ca="1" si="105"/>
        <v>0</v>
      </c>
      <c r="BE309" s="49">
        <f t="shared" ca="1" si="105"/>
        <v>0</v>
      </c>
      <c r="BF309" s="49">
        <f t="shared" ca="1" si="105"/>
        <v>0</v>
      </c>
      <c r="BG309" s="49">
        <f t="shared" ca="1" si="105"/>
        <v>0</v>
      </c>
      <c r="BH309" s="49">
        <f t="shared" ca="1" si="105"/>
        <v>0</v>
      </c>
      <c r="BI309" s="49">
        <f t="shared" ca="1" si="105"/>
        <v>0</v>
      </c>
      <c r="BJ309" s="49">
        <f t="shared" ca="1" si="105"/>
        <v>0</v>
      </c>
      <c r="BK309" s="49">
        <f t="shared" ca="1" si="105"/>
        <v>0</v>
      </c>
      <c r="BL309" s="49">
        <f t="shared" ca="1" si="105"/>
        <v>0</v>
      </c>
      <c r="BM309" s="49">
        <f t="shared" ca="1" si="105"/>
        <v>0</v>
      </c>
      <c r="BN309" s="49">
        <f t="shared" ca="1" si="105"/>
        <v>0</v>
      </c>
      <c r="BO309" s="49">
        <f t="shared" ca="1" si="105"/>
        <v>0</v>
      </c>
      <c r="BP309" s="49">
        <f t="shared" ca="1" si="105"/>
        <v>0</v>
      </c>
      <c r="BQ309" s="49">
        <f t="shared" ca="1" si="105"/>
        <v>0</v>
      </c>
      <c r="BR309" s="49">
        <f t="shared" ca="1" si="105"/>
        <v>0</v>
      </c>
      <c r="BS309" s="49">
        <f t="shared" ca="1" si="105"/>
        <v>0</v>
      </c>
    </row>
    <row r="310" spans="1:71" outlineLevel="1" x14ac:dyDescent="0.2">
      <c r="J310" s="26"/>
      <c r="L310" s="55"/>
      <c r="M310" s="55"/>
      <c r="N310" s="55"/>
      <c r="O310" s="55"/>
      <c r="P310" s="55"/>
      <c r="Q310" s="55"/>
      <c r="R310" s="55"/>
      <c r="S310" s="55"/>
      <c r="T310" s="55"/>
      <c r="U310" s="55"/>
      <c r="V310" s="55"/>
      <c r="W310" s="55"/>
      <c r="X310" s="55"/>
      <c r="Y310" s="55"/>
      <c r="Z310" s="55"/>
      <c r="AA310" s="55"/>
      <c r="AB310" s="55"/>
      <c r="AC310" s="55"/>
      <c r="AD310" s="55"/>
      <c r="AE310" s="55"/>
      <c r="AF310" s="55"/>
      <c r="AG310" s="55"/>
      <c r="AH310" s="55"/>
      <c r="AI310" s="55"/>
      <c r="AJ310" s="55"/>
      <c r="AK310" s="55"/>
      <c r="AL310" s="55"/>
      <c r="AM310" s="55"/>
      <c r="AN310" s="55"/>
      <c r="AO310" s="55"/>
      <c r="AP310" s="55"/>
      <c r="AQ310" s="55"/>
      <c r="AR310" s="55"/>
      <c r="AS310" s="55"/>
      <c r="AT310" s="55"/>
      <c r="AU310" s="55"/>
      <c r="AV310" s="55"/>
      <c r="AW310" s="55"/>
      <c r="AX310" s="55"/>
      <c r="AY310" s="55"/>
      <c r="AZ310" s="55"/>
      <c r="BA310" s="55"/>
      <c r="BB310" s="55"/>
      <c r="BC310" s="55"/>
      <c r="BD310" s="55"/>
      <c r="BE310" s="55"/>
      <c r="BF310" s="55"/>
      <c r="BG310" s="55"/>
      <c r="BH310" s="55"/>
      <c r="BI310" s="55"/>
      <c r="BJ310" s="55"/>
      <c r="BK310" s="55"/>
      <c r="BL310" s="55"/>
      <c r="BM310" s="55"/>
      <c r="BN310" s="55"/>
      <c r="BO310" s="55"/>
      <c r="BP310" s="55"/>
      <c r="BQ310" s="55"/>
      <c r="BR310" s="55"/>
      <c r="BS310" s="55"/>
    </row>
    <row r="311" spans="1:71" outlineLevel="1" x14ac:dyDescent="0.2">
      <c r="D311" s="11" t="str">
        <f>HM_ZD_Moho!D333</f>
        <v>Total Part du Profit Contracteur</v>
      </c>
      <c r="I311" s="30">
        <f t="shared" ca="1" si="103"/>
        <v>0</v>
      </c>
      <c r="J311" s="26" t="s">
        <v>148</v>
      </c>
      <c r="K311" s="7" t="s">
        <v>241</v>
      </c>
      <c r="L311" s="49">
        <f ca="1">SUM(L302,L308)</f>
        <v>0</v>
      </c>
      <c r="M311" s="49">
        <f t="shared" ref="M311:BS312" ca="1" si="106">SUM(M302,M308)</f>
        <v>0</v>
      </c>
      <c r="N311" s="49">
        <f t="shared" ca="1" si="106"/>
        <v>0</v>
      </c>
      <c r="O311" s="49">
        <f t="shared" ca="1" si="106"/>
        <v>0</v>
      </c>
      <c r="P311" s="49">
        <f t="shared" ca="1" si="106"/>
        <v>0</v>
      </c>
      <c r="Q311" s="49">
        <f t="shared" ca="1" si="106"/>
        <v>0</v>
      </c>
      <c r="R311" s="49">
        <f t="shared" ca="1" si="106"/>
        <v>0</v>
      </c>
      <c r="S311" s="49">
        <f t="shared" ca="1" si="106"/>
        <v>0</v>
      </c>
      <c r="T311" s="49">
        <f t="shared" ca="1" si="106"/>
        <v>0</v>
      </c>
      <c r="U311" s="49">
        <f t="shared" ca="1" si="106"/>
        <v>0</v>
      </c>
      <c r="V311" s="49">
        <f t="shared" ca="1" si="106"/>
        <v>0</v>
      </c>
      <c r="W311" s="49">
        <f t="shared" ca="1" si="106"/>
        <v>0</v>
      </c>
      <c r="X311" s="49">
        <f t="shared" ca="1" si="106"/>
        <v>0</v>
      </c>
      <c r="Y311" s="49">
        <f t="shared" ca="1" si="106"/>
        <v>0</v>
      </c>
      <c r="Z311" s="49">
        <f t="shared" ca="1" si="106"/>
        <v>0</v>
      </c>
      <c r="AA311" s="49">
        <f t="shared" ca="1" si="106"/>
        <v>0</v>
      </c>
      <c r="AB311" s="49">
        <f t="shared" ca="1" si="106"/>
        <v>0</v>
      </c>
      <c r="AC311" s="49">
        <f t="shared" ca="1" si="106"/>
        <v>0</v>
      </c>
      <c r="AD311" s="49">
        <f t="shared" ca="1" si="106"/>
        <v>0</v>
      </c>
      <c r="AE311" s="49">
        <f t="shared" ca="1" si="106"/>
        <v>0</v>
      </c>
      <c r="AF311" s="49">
        <f t="shared" ca="1" si="106"/>
        <v>0</v>
      </c>
      <c r="AG311" s="49">
        <f t="shared" ca="1" si="106"/>
        <v>0</v>
      </c>
      <c r="AH311" s="49">
        <f t="shared" ca="1" si="106"/>
        <v>0</v>
      </c>
      <c r="AI311" s="49">
        <f t="shared" ca="1" si="106"/>
        <v>0</v>
      </c>
      <c r="AJ311" s="49">
        <f t="shared" ca="1" si="106"/>
        <v>0</v>
      </c>
      <c r="AK311" s="49">
        <f t="shared" ca="1" si="106"/>
        <v>0</v>
      </c>
      <c r="AL311" s="49">
        <f t="shared" ca="1" si="106"/>
        <v>0</v>
      </c>
      <c r="AM311" s="49">
        <f t="shared" ca="1" si="106"/>
        <v>0</v>
      </c>
      <c r="AN311" s="49">
        <f t="shared" ca="1" si="106"/>
        <v>0</v>
      </c>
      <c r="AO311" s="49">
        <f t="shared" ca="1" si="106"/>
        <v>0</v>
      </c>
      <c r="AP311" s="49">
        <f t="shared" ca="1" si="106"/>
        <v>0</v>
      </c>
      <c r="AQ311" s="49">
        <f t="shared" ca="1" si="106"/>
        <v>0</v>
      </c>
      <c r="AR311" s="49">
        <f t="shared" ca="1" si="106"/>
        <v>0</v>
      </c>
      <c r="AS311" s="49">
        <f t="shared" ca="1" si="106"/>
        <v>0</v>
      </c>
      <c r="AT311" s="49">
        <f t="shared" ca="1" si="106"/>
        <v>0</v>
      </c>
      <c r="AU311" s="49">
        <f t="shared" ca="1" si="106"/>
        <v>0</v>
      </c>
      <c r="AV311" s="49">
        <f t="shared" ca="1" si="106"/>
        <v>0</v>
      </c>
      <c r="AW311" s="49">
        <f t="shared" ca="1" si="106"/>
        <v>0</v>
      </c>
      <c r="AX311" s="49">
        <f t="shared" ca="1" si="106"/>
        <v>0</v>
      </c>
      <c r="AY311" s="49">
        <f t="shared" ca="1" si="106"/>
        <v>0</v>
      </c>
      <c r="AZ311" s="49">
        <f t="shared" ca="1" si="106"/>
        <v>0</v>
      </c>
      <c r="BA311" s="49">
        <f t="shared" ca="1" si="106"/>
        <v>0</v>
      </c>
      <c r="BB311" s="49">
        <f t="shared" ca="1" si="106"/>
        <v>0</v>
      </c>
      <c r="BC311" s="49">
        <f t="shared" ca="1" si="106"/>
        <v>0</v>
      </c>
      <c r="BD311" s="49">
        <f t="shared" ca="1" si="106"/>
        <v>0</v>
      </c>
      <c r="BE311" s="49">
        <f t="shared" ca="1" si="106"/>
        <v>0</v>
      </c>
      <c r="BF311" s="49">
        <f t="shared" ca="1" si="106"/>
        <v>0</v>
      </c>
      <c r="BG311" s="49">
        <f t="shared" ca="1" si="106"/>
        <v>0</v>
      </c>
      <c r="BH311" s="49">
        <f t="shared" ca="1" si="106"/>
        <v>0</v>
      </c>
      <c r="BI311" s="49">
        <f t="shared" ca="1" si="106"/>
        <v>0</v>
      </c>
      <c r="BJ311" s="49">
        <f t="shared" ca="1" si="106"/>
        <v>0</v>
      </c>
      <c r="BK311" s="49">
        <f t="shared" ca="1" si="106"/>
        <v>0</v>
      </c>
      <c r="BL311" s="49">
        <f t="shared" ca="1" si="106"/>
        <v>0</v>
      </c>
      <c r="BM311" s="49">
        <f t="shared" ca="1" si="106"/>
        <v>0</v>
      </c>
      <c r="BN311" s="49">
        <f t="shared" ca="1" si="106"/>
        <v>0</v>
      </c>
      <c r="BO311" s="49">
        <f t="shared" ca="1" si="106"/>
        <v>0</v>
      </c>
      <c r="BP311" s="49">
        <f t="shared" ca="1" si="106"/>
        <v>0</v>
      </c>
      <c r="BQ311" s="49">
        <f t="shared" ca="1" si="106"/>
        <v>0</v>
      </c>
      <c r="BR311" s="49">
        <f t="shared" ca="1" si="106"/>
        <v>0</v>
      </c>
      <c r="BS311" s="49">
        <f t="shared" ca="1" si="106"/>
        <v>0</v>
      </c>
    </row>
    <row r="312" spans="1:71" outlineLevel="1" x14ac:dyDescent="0.2">
      <c r="D312" s="11" t="str">
        <f>HM_ZD_Moho!D334</f>
        <v>Total Part du Profit Gouv.</v>
      </c>
      <c r="I312" s="30">
        <f t="shared" ca="1" si="103"/>
        <v>0</v>
      </c>
      <c r="J312" s="26" t="s">
        <v>148</v>
      </c>
      <c r="K312" s="7" t="s">
        <v>242</v>
      </c>
      <c r="L312" s="49">
        <f ca="1">SUM(L303,L309)</f>
        <v>0</v>
      </c>
      <c r="M312" s="49">
        <f t="shared" ca="1" si="106"/>
        <v>0</v>
      </c>
      <c r="N312" s="49">
        <f t="shared" ca="1" si="106"/>
        <v>0</v>
      </c>
      <c r="O312" s="49">
        <f t="shared" ca="1" si="106"/>
        <v>0</v>
      </c>
      <c r="P312" s="49">
        <f t="shared" ca="1" si="106"/>
        <v>0</v>
      </c>
      <c r="Q312" s="49">
        <f t="shared" ca="1" si="106"/>
        <v>0</v>
      </c>
      <c r="R312" s="49">
        <f t="shared" ca="1" si="106"/>
        <v>0</v>
      </c>
      <c r="S312" s="49">
        <f t="shared" ca="1" si="106"/>
        <v>0</v>
      </c>
      <c r="T312" s="49">
        <f t="shared" ca="1" si="106"/>
        <v>0</v>
      </c>
      <c r="U312" s="49">
        <f t="shared" ca="1" si="106"/>
        <v>0</v>
      </c>
      <c r="V312" s="49">
        <f t="shared" ca="1" si="106"/>
        <v>0</v>
      </c>
      <c r="W312" s="49">
        <f t="shared" ca="1" si="106"/>
        <v>0</v>
      </c>
      <c r="X312" s="49">
        <f t="shared" ca="1" si="106"/>
        <v>0</v>
      </c>
      <c r="Y312" s="49">
        <f t="shared" ca="1" si="106"/>
        <v>0</v>
      </c>
      <c r="Z312" s="49">
        <f t="shared" ca="1" si="106"/>
        <v>0</v>
      </c>
      <c r="AA312" s="49">
        <f t="shared" ca="1" si="106"/>
        <v>0</v>
      </c>
      <c r="AB312" s="49">
        <f t="shared" ca="1" si="106"/>
        <v>0</v>
      </c>
      <c r="AC312" s="49">
        <f t="shared" ca="1" si="106"/>
        <v>0</v>
      </c>
      <c r="AD312" s="49">
        <f t="shared" ca="1" si="106"/>
        <v>0</v>
      </c>
      <c r="AE312" s="49">
        <f t="shared" ca="1" si="106"/>
        <v>0</v>
      </c>
      <c r="AF312" s="49">
        <f t="shared" ca="1" si="106"/>
        <v>0</v>
      </c>
      <c r="AG312" s="49">
        <f t="shared" ca="1" si="106"/>
        <v>0</v>
      </c>
      <c r="AH312" s="49">
        <f t="shared" ca="1" si="106"/>
        <v>0</v>
      </c>
      <c r="AI312" s="49">
        <f t="shared" ca="1" si="106"/>
        <v>0</v>
      </c>
      <c r="AJ312" s="49">
        <f t="shared" ca="1" si="106"/>
        <v>0</v>
      </c>
      <c r="AK312" s="49">
        <f t="shared" ca="1" si="106"/>
        <v>0</v>
      </c>
      <c r="AL312" s="49">
        <f t="shared" ca="1" si="106"/>
        <v>0</v>
      </c>
      <c r="AM312" s="49">
        <f t="shared" ca="1" si="106"/>
        <v>0</v>
      </c>
      <c r="AN312" s="49">
        <f t="shared" ca="1" si="106"/>
        <v>0</v>
      </c>
      <c r="AO312" s="49">
        <f t="shared" ca="1" si="106"/>
        <v>0</v>
      </c>
      <c r="AP312" s="49">
        <f t="shared" ca="1" si="106"/>
        <v>0</v>
      </c>
      <c r="AQ312" s="49">
        <f t="shared" ca="1" si="106"/>
        <v>0</v>
      </c>
      <c r="AR312" s="49">
        <f t="shared" ca="1" si="106"/>
        <v>0</v>
      </c>
      <c r="AS312" s="49">
        <f t="shared" ca="1" si="106"/>
        <v>0</v>
      </c>
      <c r="AT312" s="49">
        <f t="shared" ca="1" si="106"/>
        <v>0</v>
      </c>
      <c r="AU312" s="49">
        <f t="shared" ca="1" si="106"/>
        <v>0</v>
      </c>
      <c r="AV312" s="49">
        <f t="shared" ca="1" si="106"/>
        <v>0</v>
      </c>
      <c r="AW312" s="49">
        <f t="shared" ca="1" si="106"/>
        <v>0</v>
      </c>
      <c r="AX312" s="49">
        <f t="shared" ca="1" si="106"/>
        <v>0</v>
      </c>
      <c r="AY312" s="49">
        <f t="shared" ca="1" si="106"/>
        <v>0</v>
      </c>
      <c r="AZ312" s="49">
        <f t="shared" ca="1" si="106"/>
        <v>0</v>
      </c>
      <c r="BA312" s="49">
        <f t="shared" ca="1" si="106"/>
        <v>0</v>
      </c>
      <c r="BB312" s="49">
        <f t="shared" ca="1" si="106"/>
        <v>0</v>
      </c>
      <c r="BC312" s="49">
        <f t="shared" ca="1" si="106"/>
        <v>0</v>
      </c>
      <c r="BD312" s="49">
        <f t="shared" ca="1" si="106"/>
        <v>0</v>
      </c>
      <c r="BE312" s="49">
        <f t="shared" ca="1" si="106"/>
        <v>0</v>
      </c>
      <c r="BF312" s="49">
        <f t="shared" ca="1" si="106"/>
        <v>0</v>
      </c>
      <c r="BG312" s="49">
        <f t="shared" ca="1" si="106"/>
        <v>0</v>
      </c>
      <c r="BH312" s="49">
        <f t="shared" ca="1" si="106"/>
        <v>0</v>
      </c>
      <c r="BI312" s="49">
        <f t="shared" ca="1" si="106"/>
        <v>0</v>
      </c>
      <c r="BJ312" s="49">
        <f t="shared" ca="1" si="106"/>
        <v>0</v>
      </c>
      <c r="BK312" s="49">
        <f t="shared" ca="1" si="106"/>
        <v>0</v>
      </c>
      <c r="BL312" s="49">
        <f t="shared" ca="1" si="106"/>
        <v>0</v>
      </c>
      <c r="BM312" s="49">
        <f t="shared" ca="1" si="106"/>
        <v>0</v>
      </c>
      <c r="BN312" s="49">
        <f t="shared" ca="1" si="106"/>
        <v>0</v>
      </c>
      <c r="BO312" s="49">
        <f t="shared" ca="1" si="106"/>
        <v>0</v>
      </c>
      <c r="BP312" s="49">
        <f t="shared" ca="1" si="106"/>
        <v>0</v>
      </c>
      <c r="BQ312" s="49">
        <f t="shared" ca="1" si="106"/>
        <v>0</v>
      </c>
      <c r="BR312" s="49">
        <f t="shared" ca="1" si="106"/>
        <v>0</v>
      </c>
      <c r="BS312" s="49">
        <f t="shared" ca="1" si="106"/>
        <v>0</v>
      </c>
    </row>
    <row r="313" spans="1:71" outlineLevel="1" x14ac:dyDescent="0.2">
      <c r="J313" s="26"/>
      <c r="L313" s="55"/>
      <c r="M313" s="55"/>
      <c r="N313" s="55"/>
      <c r="O313" s="55"/>
      <c r="P313" s="55"/>
      <c r="Q313" s="55"/>
      <c r="R313" s="55"/>
      <c r="S313" s="55"/>
      <c r="T313" s="55"/>
      <c r="U313" s="55"/>
      <c r="V313" s="55"/>
      <c r="W313" s="55"/>
      <c r="X313" s="55"/>
      <c r="Y313" s="55"/>
      <c r="Z313" s="55"/>
      <c r="AA313" s="55"/>
      <c r="AB313" s="55"/>
      <c r="AC313" s="55"/>
      <c r="AD313" s="55"/>
      <c r="AE313" s="55"/>
      <c r="AF313" s="55"/>
      <c r="AG313" s="55"/>
      <c r="AH313" s="55"/>
      <c r="AI313" s="55"/>
      <c r="AJ313" s="55"/>
      <c r="AK313" s="55"/>
      <c r="AL313" s="55"/>
      <c r="AM313" s="55"/>
      <c r="AN313" s="55"/>
      <c r="AO313" s="55"/>
      <c r="AP313" s="55"/>
      <c r="AQ313" s="55"/>
      <c r="AR313" s="55"/>
      <c r="AS313" s="55"/>
      <c r="AT313" s="55"/>
      <c r="AU313" s="55"/>
      <c r="AV313" s="55"/>
      <c r="AW313" s="55"/>
      <c r="AX313" s="55"/>
      <c r="AY313" s="55"/>
      <c r="AZ313" s="55"/>
      <c r="BA313" s="55"/>
      <c r="BB313" s="55"/>
      <c r="BC313" s="55"/>
      <c r="BD313" s="55"/>
      <c r="BE313" s="55"/>
      <c r="BF313" s="55"/>
      <c r="BG313" s="55"/>
      <c r="BH313" s="55"/>
      <c r="BI313" s="55"/>
      <c r="BJ313" s="55"/>
      <c r="BK313" s="55"/>
      <c r="BL313" s="55"/>
      <c r="BM313" s="55"/>
      <c r="BN313" s="55"/>
      <c r="BO313" s="55"/>
      <c r="BP313" s="55"/>
      <c r="BQ313" s="55"/>
      <c r="BR313" s="55"/>
      <c r="BS313" s="55"/>
    </row>
    <row r="314" spans="1:71" outlineLevel="1" x14ac:dyDescent="0.2">
      <c r="J314" s="26"/>
      <c r="L314" s="55"/>
      <c r="M314" s="55"/>
      <c r="N314" s="55"/>
      <c r="O314" s="55"/>
      <c r="P314" s="55"/>
      <c r="Q314" s="55"/>
      <c r="R314" s="55"/>
      <c r="S314" s="55"/>
      <c r="T314" s="55"/>
      <c r="U314" s="55"/>
      <c r="V314" s="55"/>
      <c r="W314" s="55"/>
      <c r="X314" s="55"/>
      <c r="Y314" s="55"/>
      <c r="Z314" s="55"/>
      <c r="AA314" s="55"/>
      <c r="AB314" s="55"/>
      <c r="AC314" s="55"/>
      <c r="AD314" s="55"/>
      <c r="AE314" s="55"/>
      <c r="AF314" s="55"/>
      <c r="AG314" s="55"/>
      <c r="AH314" s="55"/>
      <c r="AI314" s="55"/>
      <c r="AJ314" s="55"/>
      <c r="AK314" s="55"/>
      <c r="AL314" s="55"/>
      <c r="AM314" s="55"/>
      <c r="AN314" s="55"/>
      <c r="AO314" s="55"/>
      <c r="AP314" s="55"/>
      <c r="AQ314" s="55"/>
      <c r="AR314" s="55"/>
      <c r="AS314" s="55"/>
      <c r="AT314" s="55"/>
      <c r="AU314" s="55"/>
      <c r="AV314" s="55"/>
      <c r="AW314" s="55"/>
      <c r="AX314" s="55"/>
      <c r="AY314" s="55"/>
      <c r="AZ314" s="55"/>
      <c r="BA314" s="55"/>
      <c r="BB314" s="55"/>
      <c r="BC314" s="55"/>
      <c r="BD314" s="55"/>
      <c r="BE314" s="55"/>
      <c r="BF314" s="55"/>
      <c r="BG314" s="55"/>
      <c r="BH314" s="55"/>
      <c r="BI314" s="55"/>
      <c r="BJ314" s="55"/>
      <c r="BK314" s="55"/>
      <c r="BL314" s="55"/>
      <c r="BM314" s="55"/>
      <c r="BN314" s="55"/>
      <c r="BO314" s="55"/>
      <c r="BP314" s="55"/>
      <c r="BQ314" s="55"/>
      <c r="BR314" s="55"/>
      <c r="BS314" s="55"/>
    </row>
    <row r="315" spans="1:71" outlineLevel="1" x14ac:dyDescent="0.2">
      <c r="J315" s="26"/>
      <c r="L315" s="55"/>
      <c r="M315" s="55"/>
      <c r="N315" s="55"/>
      <c r="O315" s="55"/>
      <c r="P315" s="55"/>
      <c r="Q315" s="55"/>
      <c r="R315" s="55"/>
      <c r="S315" s="55"/>
      <c r="T315" s="55"/>
      <c r="U315" s="55"/>
      <c r="V315" s="55"/>
      <c r="W315" s="55"/>
      <c r="X315" s="55"/>
      <c r="Y315" s="55"/>
      <c r="Z315" s="55"/>
      <c r="AA315" s="55"/>
      <c r="AB315" s="55"/>
      <c r="AC315" s="55"/>
      <c r="AD315" s="55"/>
      <c r="AE315" s="55"/>
      <c r="AF315" s="55"/>
      <c r="AG315" s="55"/>
      <c r="AH315" s="55"/>
      <c r="AI315" s="55"/>
      <c r="AJ315" s="55"/>
      <c r="AK315" s="55"/>
      <c r="AL315" s="55"/>
      <c r="AM315" s="55"/>
      <c r="AN315" s="55"/>
      <c r="AO315" s="55"/>
      <c r="AP315" s="55"/>
      <c r="AQ315" s="55"/>
      <c r="AR315" s="55"/>
      <c r="AS315" s="55"/>
      <c r="AT315" s="55"/>
      <c r="AU315" s="55"/>
      <c r="AV315" s="55"/>
      <c r="AW315" s="55"/>
      <c r="AX315" s="55"/>
      <c r="AY315" s="55"/>
      <c r="AZ315" s="55"/>
      <c r="BA315" s="55"/>
      <c r="BB315" s="55"/>
      <c r="BC315" s="55"/>
      <c r="BD315" s="55"/>
      <c r="BE315" s="55"/>
      <c r="BF315" s="55"/>
      <c r="BG315" s="55"/>
      <c r="BH315" s="55"/>
      <c r="BI315" s="55"/>
      <c r="BJ315" s="55"/>
      <c r="BK315" s="55"/>
      <c r="BL315" s="55"/>
      <c r="BM315" s="55"/>
      <c r="BN315" s="55"/>
      <c r="BO315" s="55"/>
      <c r="BP315" s="55"/>
      <c r="BQ315" s="55"/>
      <c r="BR315" s="55"/>
      <c r="BS315" s="55"/>
    </row>
    <row r="316" spans="1:71" outlineLevel="1" x14ac:dyDescent="0.2">
      <c r="A316" s="45"/>
      <c r="B316" s="38" t="str">
        <f>HM_ZD_Moho!B338</f>
        <v>Calculs des droits</v>
      </c>
      <c r="C316" s="45"/>
      <c r="D316" s="45"/>
      <c r="E316" s="45"/>
      <c r="J316" s="26"/>
      <c r="L316" s="55"/>
      <c r="M316" s="55"/>
      <c r="N316" s="55"/>
      <c r="O316" s="55"/>
      <c r="P316" s="55"/>
      <c r="Q316" s="55"/>
      <c r="R316" s="55"/>
      <c r="S316" s="55"/>
      <c r="T316" s="55"/>
      <c r="U316" s="55"/>
      <c r="V316" s="55"/>
      <c r="W316" s="55"/>
      <c r="X316" s="55"/>
      <c r="Y316" s="55"/>
      <c r="Z316" s="55"/>
      <c r="AA316" s="55"/>
      <c r="AB316" s="55"/>
      <c r="AC316" s="55"/>
      <c r="AD316" s="55"/>
      <c r="AE316" s="55"/>
      <c r="AF316" s="55"/>
      <c r="AG316" s="55"/>
      <c r="AH316" s="55"/>
      <c r="AI316" s="55"/>
      <c r="AJ316" s="55"/>
      <c r="AK316" s="55"/>
      <c r="AL316" s="55"/>
      <c r="AM316" s="55"/>
      <c r="AN316" s="55"/>
      <c r="AO316" s="55"/>
      <c r="AP316" s="55"/>
      <c r="AQ316" s="55"/>
      <c r="AR316" s="55"/>
      <c r="AS316" s="55"/>
      <c r="AT316" s="55"/>
      <c r="AU316" s="55"/>
      <c r="AV316" s="55"/>
      <c r="AW316" s="55"/>
      <c r="AX316" s="55"/>
      <c r="AY316" s="55"/>
      <c r="AZ316" s="55"/>
      <c r="BA316" s="55"/>
      <c r="BB316" s="55"/>
      <c r="BC316" s="55"/>
      <c r="BD316" s="55"/>
      <c r="BE316" s="55"/>
      <c r="BF316" s="55"/>
      <c r="BG316" s="55"/>
      <c r="BH316" s="55"/>
      <c r="BI316" s="55"/>
      <c r="BJ316" s="55"/>
      <c r="BK316" s="55"/>
      <c r="BL316" s="55"/>
      <c r="BM316" s="55"/>
      <c r="BN316" s="55"/>
      <c r="BO316" s="55"/>
      <c r="BP316" s="55"/>
      <c r="BQ316" s="55"/>
      <c r="BR316" s="55"/>
      <c r="BS316" s="55"/>
    </row>
    <row r="317" spans="1:71" outlineLevel="1" x14ac:dyDescent="0.2">
      <c r="J317" s="26"/>
      <c r="L317" s="55"/>
      <c r="M317" s="55"/>
      <c r="N317" s="55"/>
      <c r="O317" s="55"/>
      <c r="P317" s="55"/>
      <c r="Q317" s="55"/>
      <c r="R317" s="55"/>
      <c r="S317" s="55"/>
      <c r="T317" s="55"/>
      <c r="U317" s="55"/>
      <c r="V317" s="55"/>
      <c r="W317" s="55"/>
      <c r="X317" s="55"/>
      <c r="Y317" s="55"/>
      <c r="Z317" s="55"/>
      <c r="AA317" s="55"/>
      <c r="AB317" s="55"/>
      <c r="AC317" s="55"/>
      <c r="AD317" s="55"/>
      <c r="AE317" s="55"/>
      <c r="AF317" s="55"/>
      <c r="AG317" s="55"/>
      <c r="AH317" s="55"/>
      <c r="AI317" s="55"/>
      <c r="AJ317" s="55"/>
      <c r="AK317" s="55"/>
      <c r="AL317" s="55"/>
      <c r="AM317" s="55"/>
      <c r="AN317" s="55"/>
      <c r="AO317" s="55"/>
      <c r="AP317" s="55"/>
      <c r="AQ317" s="55"/>
      <c r="AR317" s="55"/>
      <c r="AS317" s="55"/>
      <c r="AT317" s="55"/>
      <c r="AU317" s="55"/>
      <c r="AV317" s="55"/>
      <c r="AW317" s="55"/>
      <c r="AX317" s="55"/>
      <c r="AY317" s="55"/>
      <c r="AZ317" s="55"/>
      <c r="BA317" s="55"/>
      <c r="BB317" s="55"/>
      <c r="BC317" s="55"/>
      <c r="BD317" s="55"/>
      <c r="BE317" s="55"/>
      <c r="BF317" s="55"/>
      <c r="BG317" s="55"/>
      <c r="BH317" s="55"/>
      <c r="BI317" s="55"/>
      <c r="BJ317" s="55"/>
      <c r="BK317" s="55"/>
      <c r="BL317" s="55"/>
      <c r="BM317" s="55"/>
      <c r="BN317" s="55"/>
      <c r="BO317" s="55"/>
      <c r="BP317" s="55"/>
      <c r="BQ317" s="55"/>
      <c r="BR317" s="55"/>
      <c r="BS317" s="55"/>
    </row>
    <row r="318" spans="1:71" outlineLevel="1" x14ac:dyDescent="0.2">
      <c r="C318" s="11" t="str">
        <f>HM_ZD_Moho!C340</f>
        <v>Revenus des droits  - Pétrole</v>
      </c>
      <c r="J318" s="26"/>
      <c r="L318" s="55"/>
      <c r="M318" s="55"/>
      <c r="N318" s="55"/>
      <c r="O318" s="55"/>
      <c r="P318" s="55"/>
      <c r="Q318" s="55"/>
      <c r="R318" s="55"/>
      <c r="S318" s="55"/>
      <c r="T318" s="55"/>
      <c r="U318" s="55"/>
      <c r="V318" s="55"/>
      <c r="W318" s="55"/>
      <c r="X318" s="55"/>
      <c r="Y318" s="55"/>
      <c r="Z318" s="55"/>
      <c r="AA318" s="55"/>
      <c r="AB318" s="55"/>
      <c r="AC318" s="55"/>
      <c r="AD318" s="55"/>
      <c r="AE318" s="55"/>
      <c r="AF318" s="55"/>
      <c r="AG318" s="55"/>
      <c r="AH318" s="55"/>
      <c r="AI318" s="55"/>
      <c r="AJ318" s="55"/>
      <c r="AK318" s="55"/>
      <c r="AL318" s="55"/>
      <c r="AM318" s="55"/>
      <c r="AN318" s="55"/>
      <c r="AO318" s="55"/>
      <c r="AP318" s="55"/>
      <c r="AQ318" s="55"/>
      <c r="AR318" s="55"/>
      <c r="AS318" s="55"/>
      <c r="AT318" s="55"/>
      <c r="AU318" s="55"/>
      <c r="AV318" s="55"/>
      <c r="AW318" s="55"/>
      <c r="AX318" s="55"/>
      <c r="AY318" s="55"/>
      <c r="AZ318" s="55"/>
      <c r="BA318" s="55"/>
      <c r="BB318" s="55"/>
      <c r="BC318" s="55"/>
      <c r="BD318" s="55"/>
      <c r="BE318" s="55"/>
      <c r="BF318" s="55"/>
      <c r="BG318" s="55"/>
      <c r="BH318" s="55"/>
      <c r="BI318" s="55"/>
      <c r="BJ318" s="55"/>
      <c r="BK318" s="55"/>
      <c r="BL318" s="55"/>
      <c r="BM318" s="55"/>
      <c r="BN318" s="55"/>
      <c r="BO318" s="55"/>
      <c r="BP318" s="55"/>
      <c r="BQ318" s="55"/>
      <c r="BR318" s="55"/>
      <c r="BS318" s="55"/>
    </row>
    <row r="319" spans="1:71" outlineLevel="1" x14ac:dyDescent="0.2">
      <c r="D319" t="str">
        <f>HM_ZD_Moho!D341</f>
        <v>Cost Oil</v>
      </c>
      <c r="I319" s="30">
        <f t="shared" ref="I319:I323" ca="1" si="107">SUM($L319:$BS319)</f>
        <v>545.20625357630365</v>
      </c>
      <c r="J319" s="26" t="s">
        <v>148</v>
      </c>
      <c r="L319" s="49" cm="1">
        <f t="array" aca="1" ref="L319:BS319" ca="1">HM_ZD_AM3_2005!CA_cost_recovered_total*HM_ZD_AM3_2005!CA_rev_oil_perc</f>
        <v>263.98577304099854</v>
      </c>
      <c r="M319" s="49">
        <f ca="1"/>
        <v>281.22048053530517</v>
      </c>
      <c r="N319" s="49">
        <f ca="1"/>
        <v>0</v>
      </c>
      <c r="O319" s="49">
        <f ca="1"/>
        <v>0</v>
      </c>
      <c r="P319" s="49">
        <f ca="1"/>
        <v>0</v>
      </c>
      <c r="Q319" s="49">
        <f ca="1"/>
        <v>0</v>
      </c>
      <c r="R319" s="49">
        <f ca="1"/>
        <v>0</v>
      </c>
      <c r="S319" s="49">
        <f ca="1"/>
        <v>0</v>
      </c>
      <c r="T319" s="49">
        <f ca="1"/>
        <v>0</v>
      </c>
      <c r="U319" s="49">
        <f ca="1"/>
        <v>0</v>
      </c>
      <c r="V319" s="49">
        <f ca="1"/>
        <v>0</v>
      </c>
      <c r="W319" s="49">
        <f ca="1"/>
        <v>0</v>
      </c>
      <c r="X319" s="49">
        <f ca="1"/>
        <v>0</v>
      </c>
      <c r="Y319" s="49">
        <f ca="1"/>
        <v>0</v>
      </c>
      <c r="Z319" s="49">
        <f ca="1"/>
        <v>0</v>
      </c>
      <c r="AA319" s="49">
        <f ca="1"/>
        <v>0</v>
      </c>
      <c r="AB319" s="49">
        <f ca="1"/>
        <v>0</v>
      </c>
      <c r="AC319" s="49">
        <f ca="1"/>
        <v>0</v>
      </c>
      <c r="AD319" s="49">
        <f ca="1"/>
        <v>0</v>
      </c>
      <c r="AE319" s="49">
        <f ca="1"/>
        <v>0</v>
      </c>
      <c r="AF319" s="49">
        <f ca="1"/>
        <v>0</v>
      </c>
      <c r="AG319" s="49">
        <f ca="1"/>
        <v>0</v>
      </c>
      <c r="AH319" s="49">
        <f ca="1"/>
        <v>0</v>
      </c>
      <c r="AI319" s="49">
        <f ca="1"/>
        <v>0</v>
      </c>
      <c r="AJ319" s="49">
        <f ca="1"/>
        <v>0</v>
      </c>
      <c r="AK319" s="49">
        <f ca="1"/>
        <v>0</v>
      </c>
      <c r="AL319" s="49">
        <f ca="1"/>
        <v>0</v>
      </c>
      <c r="AM319" s="49">
        <f ca="1"/>
        <v>0</v>
      </c>
      <c r="AN319" s="49">
        <f ca="1"/>
        <v>0</v>
      </c>
      <c r="AO319" s="49">
        <f ca="1"/>
        <v>0</v>
      </c>
      <c r="AP319" s="49">
        <f ca="1"/>
        <v>0</v>
      </c>
      <c r="AQ319" s="49">
        <f ca="1"/>
        <v>0</v>
      </c>
      <c r="AR319" s="49">
        <f ca="1"/>
        <v>0</v>
      </c>
      <c r="AS319" s="49">
        <f ca="1"/>
        <v>0</v>
      </c>
      <c r="AT319" s="49">
        <f ca="1"/>
        <v>0</v>
      </c>
      <c r="AU319" s="49">
        <f ca="1"/>
        <v>0</v>
      </c>
      <c r="AV319" s="49">
        <f ca="1"/>
        <v>0</v>
      </c>
      <c r="AW319" s="49">
        <f ca="1"/>
        <v>0</v>
      </c>
      <c r="AX319" s="49">
        <f ca="1"/>
        <v>0</v>
      </c>
      <c r="AY319" s="49">
        <f ca="1"/>
        <v>0</v>
      </c>
      <c r="AZ319" s="49">
        <f ca="1"/>
        <v>0</v>
      </c>
      <c r="BA319" s="49">
        <f ca="1"/>
        <v>0</v>
      </c>
      <c r="BB319" s="49">
        <f ca="1"/>
        <v>0</v>
      </c>
      <c r="BC319" s="49">
        <f ca="1"/>
        <v>0</v>
      </c>
      <c r="BD319" s="49">
        <f ca="1"/>
        <v>0</v>
      </c>
      <c r="BE319" s="49">
        <f ca="1"/>
        <v>0</v>
      </c>
      <c r="BF319" s="49">
        <f ca="1"/>
        <v>0</v>
      </c>
      <c r="BG319" s="49">
        <f ca="1"/>
        <v>0</v>
      </c>
      <c r="BH319" s="49">
        <f ca="1"/>
        <v>0</v>
      </c>
      <c r="BI319" s="49">
        <f ca="1"/>
        <v>0</v>
      </c>
      <c r="BJ319" s="49">
        <f ca="1"/>
        <v>0</v>
      </c>
      <c r="BK319" s="49">
        <f ca="1"/>
        <v>0</v>
      </c>
      <c r="BL319" s="49">
        <f ca="1"/>
        <v>0</v>
      </c>
      <c r="BM319" s="49">
        <f ca="1"/>
        <v>0</v>
      </c>
      <c r="BN319" s="49">
        <f ca="1"/>
        <v>0</v>
      </c>
      <c r="BO319" s="49">
        <f ca="1"/>
        <v>0</v>
      </c>
      <c r="BP319" s="49">
        <f ca="1"/>
        <v>0</v>
      </c>
      <c r="BQ319" s="49">
        <f ca="1"/>
        <v>0</v>
      </c>
      <c r="BR319" s="49">
        <f ca="1"/>
        <v>0</v>
      </c>
      <c r="BS319" s="49">
        <f ca="1"/>
        <v>0</v>
      </c>
    </row>
    <row r="320" spans="1:71" outlineLevel="1" x14ac:dyDescent="0.2">
      <c r="D320" t="str">
        <f>HM_ZD_Moho!D342</f>
        <v>Excess Cost Oil</v>
      </c>
      <c r="I320" s="30">
        <f t="shared" ca="1" si="107"/>
        <v>0</v>
      </c>
      <c r="J320" s="26" t="s">
        <v>148</v>
      </c>
      <c r="L320" s="49" cm="1">
        <f t="array" aca="1" ref="L320:BS320" ca="1">HM_ZD_AM3_2005!CA_excess_CR_cont*HM_ZD_AM3_2005!CA_rev_oil_perc</f>
        <v>0</v>
      </c>
      <c r="M320" s="49">
        <f ca="1"/>
        <v>0</v>
      </c>
      <c r="N320" s="49">
        <f ca="1"/>
        <v>0</v>
      </c>
      <c r="O320" s="49">
        <f ca="1"/>
        <v>0</v>
      </c>
      <c r="P320" s="49">
        <f ca="1"/>
        <v>0</v>
      </c>
      <c r="Q320" s="49">
        <f ca="1"/>
        <v>0</v>
      </c>
      <c r="R320" s="49">
        <f ca="1"/>
        <v>0</v>
      </c>
      <c r="S320" s="49">
        <f ca="1"/>
        <v>0</v>
      </c>
      <c r="T320" s="49">
        <f ca="1"/>
        <v>0</v>
      </c>
      <c r="U320" s="49">
        <f ca="1"/>
        <v>0</v>
      </c>
      <c r="V320" s="49">
        <f ca="1"/>
        <v>0</v>
      </c>
      <c r="W320" s="49">
        <f ca="1"/>
        <v>0</v>
      </c>
      <c r="X320" s="49">
        <f ca="1"/>
        <v>0</v>
      </c>
      <c r="Y320" s="49">
        <f ca="1"/>
        <v>0</v>
      </c>
      <c r="Z320" s="49">
        <f ca="1"/>
        <v>0</v>
      </c>
      <c r="AA320" s="49">
        <f ca="1"/>
        <v>0</v>
      </c>
      <c r="AB320" s="49">
        <f ca="1"/>
        <v>0</v>
      </c>
      <c r="AC320" s="49">
        <f ca="1"/>
        <v>0</v>
      </c>
      <c r="AD320" s="49">
        <f ca="1"/>
        <v>0</v>
      </c>
      <c r="AE320" s="49">
        <f ca="1"/>
        <v>0</v>
      </c>
      <c r="AF320" s="49">
        <f ca="1"/>
        <v>0</v>
      </c>
      <c r="AG320" s="49">
        <f ca="1"/>
        <v>0</v>
      </c>
      <c r="AH320" s="49">
        <f ca="1"/>
        <v>0</v>
      </c>
      <c r="AI320" s="49">
        <f ca="1"/>
        <v>0</v>
      </c>
      <c r="AJ320" s="49">
        <f ca="1"/>
        <v>0</v>
      </c>
      <c r="AK320" s="49">
        <f ca="1"/>
        <v>0</v>
      </c>
      <c r="AL320" s="49">
        <f ca="1"/>
        <v>0</v>
      </c>
      <c r="AM320" s="49">
        <f ca="1"/>
        <v>0</v>
      </c>
      <c r="AN320" s="49">
        <f ca="1"/>
        <v>0</v>
      </c>
      <c r="AO320" s="49">
        <f ca="1"/>
        <v>0</v>
      </c>
      <c r="AP320" s="49">
        <f ca="1"/>
        <v>0</v>
      </c>
      <c r="AQ320" s="49">
        <f ca="1"/>
        <v>0</v>
      </c>
      <c r="AR320" s="49">
        <f ca="1"/>
        <v>0</v>
      </c>
      <c r="AS320" s="49">
        <f ca="1"/>
        <v>0</v>
      </c>
      <c r="AT320" s="49">
        <f ca="1"/>
        <v>0</v>
      </c>
      <c r="AU320" s="49">
        <f ca="1"/>
        <v>0</v>
      </c>
      <c r="AV320" s="49">
        <f ca="1"/>
        <v>0</v>
      </c>
      <c r="AW320" s="49">
        <f ca="1"/>
        <v>0</v>
      </c>
      <c r="AX320" s="49">
        <f ca="1"/>
        <v>0</v>
      </c>
      <c r="AY320" s="49">
        <f ca="1"/>
        <v>0</v>
      </c>
      <c r="AZ320" s="49">
        <f ca="1"/>
        <v>0</v>
      </c>
      <c r="BA320" s="49">
        <f ca="1"/>
        <v>0</v>
      </c>
      <c r="BB320" s="49">
        <f ca="1"/>
        <v>0</v>
      </c>
      <c r="BC320" s="49">
        <f ca="1"/>
        <v>0</v>
      </c>
      <c r="BD320" s="49">
        <f ca="1"/>
        <v>0</v>
      </c>
      <c r="BE320" s="49">
        <f ca="1"/>
        <v>0</v>
      </c>
      <c r="BF320" s="49">
        <f ca="1"/>
        <v>0</v>
      </c>
      <c r="BG320" s="49">
        <f ca="1"/>
        <v>0</v>
      </c>
      <c r="BH320" s="49">
        <f ca="1"/>
        <v>0</v>
      </c>
      <c r="BI320" s="49">
        <f ca="1"/>
        <v>0</v>
      </c>
      <c r="BJ320" s="49">
        <f ca="1"/>
        <v>0</v>
      </c>
      <c r="BK320" s="49">
        <f ca="1"/>
        <v>0</v>
      </c>
      <c r="BL320" s="49">
        <f ca="1"/>
        <v>0</v>
      </c>
      <c r="BM320" s="49">
        <f ca="1"/>
        <v>0</v>
      </c>
      <c r="BN320" s="49">
        <f ca="1"/>
        <v>0</v>
      </c>
      <c r="BO320" s="49">
        <f ca="1"/>
        <v>0</v>
      </c>
      <c r="BP320" s="49">
        <f ca="1"/>
        <v>0</v>
      </c>
      <c r="BQ320" s="49">
        <f ca="1"/>
        <v>0</v>
      </c>
      <c r="BR320" s="49">
        <f ca="1"/>
        <v>0</v>
      </c>
      <c r="BS320" s="49">
        <f ca="1"/>
        <v>0</v>
      </c>
    </row>
    <row r="321" spans="3:71" outlineLevel="1" x14ac:dyDescent="0.2">
      <c r="D321" t="str">
        <f>HM_ZD_Moho!D343</f>
        <v>Super Profit Oil</v>
      </c>
      <c r="I321" s="30">
        <f t="shared" ca="1" si="107"/>
        <v>816.70287994320006</v>
      </c>
      <c r="J321" s="26" t="s">
        <v>148</v>
      </c>
      <c r="L321" s="49" cm="1">
        <f t="array" aca="1" ref="L321:BS321" ca="1">HM_ZD_AM3_2005!CA_SPO_cont</f>
        <v>426.7783498611002</v>
      </c>
      <c r="M321" s="49">
        <f ca="1"/>
        <v>389.92453008209986</v>
      </c>
      <c r="N321" s="49">
        <f ca="1"/>
        <v>0</v>
      </c>
      <c r="O321" s="49">
        <f ca="1"/>
        <v>0</v>
      </c>
      <c r="P321" s="49">
        <f ca="1"/>
        <v>0</v>
      </c>
      <c r="Q321" s="49">
        <f ca="1"/>
        <v>0</v>
      </c>
      <c r="R321" s="49">
        <f ca="1"/>
        <v>0</v>
      </c>
      <c r="S321" s="49">
        <f ca="1"/>
        <v>0</v>
      </c>
      <c r="T321" s="49">
        <f ca="1"/>
        <v>0</v>
      </c>
      <c r="U321" s="49">
        <f ca="1"/>
        <v>0</v>
      </c>
      <c r="V321" s="49">
        <f ca="1"/>
        <v>0</v>
      </c>
      <c r="W321" s="49">
        <f ca="1"/>
        <v>0</v>
      </c>
      <c r="X321" s="49">
        <f ca="1"/>
        <v>0</v>
      </c>
      <c r="Y321" s="49">
        <f ca="1"/>
        <v>0</v>
      </c>
      <c r="Z321" s="49">
        <f ca="1"/>
        <v>0</v>
      </c>
      <c r="AA321" s="49">
        <f ca="1"/>
        <v>0</v>
      </c>
      <c r="AB321" s="49">
        <f ca="1"/>
        <v>0</v>
      </c>
      <c r="AC321" s="49">
        <f ca="1"/>
        <v>0</v>
      </c>
      <c r="AD321" s="49">
        <f ca="1"/>
        <v>0</v>
      </c>
      <c r="AE321" s="49">
        <f ca="1"/>
        <v>0</v>
      </c>
      <c r="AF321" s="49">
        <f ca="1"/>
        <v>0</v>
      </c>
      <c r="AG321" s="49">
        <f ca="1"/>
        <v>0</v>
      </c>
      <c r="AH321" s="49">
        <f ca="1"/>
        <v>0</v>
      </c>
      <c r="AI321" s="49">
        <f ca="1"/>
        <v>0</v>
      </c>
      <c r="AJ321" s="49">
        <f ca="1"/>
        <v>0</v>
      </c>
      <c r="AK321" s="49">
        <f ca="1"/>
        <v>0</v>
      </c>
      <c r="AL321" s="49">
        <f ca="1"/>
        <v>0</v>
      </c>
      <c r="AM321" s="49">
        <f ca="1"/>
        <v>0</v>
      </c>
      <c r="AN321" s="49">
        <f ca="1"/>
        <v>0</v>
      </c>
      <c r="AO321" s="49">
        <f ca="1"/>
        <v>0</v>
      </c>
      <c r="AP321" s="49">
        <f ca="1"/>
        <v>0</v>
      </c>
      <c r="AQ321" s="49">
        <f ca="1"/>
        <v>0</v>
      </c>
      <c r="AR321" s="49">
        <f ca="1"/>
        <v>0</v>
      </c>
      <c r="AS321" s="49">
        <f ca="1"/>
        <v>0</v>
      </c>
      <c r="AT321" s="49">
        <f ca="1"/>
        <v>0</v>
      </c>
      <c r="AU321" s="49">
        <f ca="1"/>
        <v>0</v>
      </c>
      <c r="AV321" s="49">
        <f ca="1"/>
        <v>0</v>
      </c>
      <c r="AW321" s="49">
        <f ca="1"/>
        <v>0</v>
      </c>
      <c r="AX321" s="49">
        <f ca="1"/>
        <v>0</v>
      </c>
      <c r="AY321" s="49">
        <f ca="1"/>
        <v>0</v>
      </c>
      <c r="AZ321" s="49">
        <f ca="1"/>
        <v>0</v>
      </c>
      <c r="BA321" s="49">
        <f ca="1"/>
        <v>0</v>
      </c>
      <c r="BB321" s="49">
        <f ca="1"/>
        <v>0</v>
      </c>
      <c r="BC321" s="49">
        <f ca="1"/>
        <v>0</v>
      </c>
      <c r="BD321" s="49">
        <f ca="1"/>
        <v>0</v>
      </c>
      <c r="BE321" s="49">
        <f ca="1"/>
        <v>0</v>
      </c>
      <c r="BF321" s="49">
        <f ca="1"/>
        <v>0</v>
      </c>
      <c r="BG321" s="49">
        <f ca="1"/>
        <v>0</v>
      </c>
      <c r="BH321" s="49">
        <f ca="1"/>
        <v>0</v>
      </c>
      <c r="BI321" s="49">
        <f ca="1"/>
        <v>0</v>
      </c>
      <c r="BJ321" s="49">
        <f ca="1"/>
        <v>0</v>
      </c>
      <c r="BK321" s="49">
        <f ca="1"/>
        <v>0</v>
      </c>
      <c r="BL321" s="49">
        <f ca="1"/>
        <v>0</v>
      </c>
      <c r="BM321" s="49">
        <f ca="1"/>
        <v>0</v>
      </c>
      <c r="BN321" s="49">
        <f ca="1"/>
        <v>0</v>
      </c>
      <c r="BO321" s="49">
        <f ca="1"/>
        <v>0</v>
      </c>
      <c r="BP321" s="49">
        <f ca="1"/>
        <v>0</v>
      </c>
      <c r="BQ321" s="49">
        <f ca="1"/>
        <v>0</v>
      </c>
      <c r="BR321" s="49">
        <f ca="1"/>
        <v>0</v>
      </c>
      <c r="BS321" s="49">
        <f ca="1"/>
        <v>0</v>
      </c>
    </row>
    <row r="322" spans="3:71" outlineLevel="1" x14ac:dyDescent="0.2">
      <c r="D322" t="str">
        <f>HM_ZD_Moho!D344</f>
        <v>Profit Oil</v>
      </c>
      <c r="I322" s="30">
        <f t="shared" ca="1" si="107"/>
        <v>0</v>
      </c>
      <c r="J322" s="26" t="s">
        <v>148</v>
      </c>
      <c r="L322" s="49" cm="1">
        <f t="array" aca="1" ref="L322:BS322" ca="1">HM_ZD_AM3_2005!CA_PS_cont*HM_ZD_AM3_2005!CA_rev_oil_perc</f>
        <v>0</v>
      </c>
      <c r="M322" s="49">
        <f ca="1"/>
        <v>0</v>
      </c>
      <c r="N322" s="49">
        <f ca="1"/>
        <v>0</v>
      </c>
      <c r="O322" s="49">
        <f ca="1"/>
        <v>0</v>
      </c>
      <c r="P322" s="49">
        <f ca="1"/>
        <v>0</v>
      </c>
      <c r="Q322" s="49">
        <f ca="1"/>
        <v>0</v>
      </c>
      <c r="R322" s="49">
        <f ca="1"/>
        <v>0</v>
      </c>
      <c r="S322" s="49">
        <f ca="1"/>
        <v>0</v>
      </c>
      <c r="T322" s="49">
        <f ca="1"/>
        <v>0</v>
      </c>
      <c r="U322" s="49">
        <f ca="1"/>
        <v>0</v>
      </c>
      <c r="V322" s="49">
        <f ca="1"/>
        <v>0</v>
      </c>
      <c r="W322" s="49">
        <f ca="1"/>
        <v>0</v>
      </c>
      <c r="X322" s="49">
        <f ca="1"/>
        <v>0</v>
      </c>
      <c r="Y322" s="49">
        <f ca="1"/>
        <v>0</v>
      </c>
      <c r="Z322" s="49">
        <f ca="1"/>
        <v>0</v>
      </c>
      <c r="AA322" s="49">
        <f ca="1"/>
        <v>0</v>
      </c>
      <c r="AB322" s="49">
        <f ca="1"/>
        <v>0</v>
      </c>
      <c r="AC322" s="49">
        <f ca="1"/>
        <v>0</v>
      </c>
      <c r="AD322" s="49">
        <f ca="1"/>
        <v>0</v>
      </c>
      <c r="AE322" s="49">
        <f ca="1"/>
        <v>0</v>
      </c>
      <c r="AF322" s="49">
        <f ca="1"/>
        <v>0</v>
      </c>
      <c r="AG322" s="49">
        <f ca="1"/>
        <v>0</v>
      </c>
      <c r="AH322" s="49">
        <f ca="1"/>
        <v>0</v>
      </c>
      <c r="AI322" s="49">
        <f ca="1"/>
        <v>0</v>
      </c>
      <c r="AJ322" s="49">
        <f ca="1"/>
        <v>0</v>
      </c>
      <c r="AK322" s="49">
        <f ca="1"/>
        <v>0</v>
      </c>
      <c r="AL322" s="49">
        <f ca="1"/>
        <v>0</v>
      </c>
      <c r="AM322" s="49">
        <f ca="1"/>
        <v>0</v>
      </c>
      <c r="AN322" s="49">
        <f ca="1"/>
        <v>0</v>
      </c>
      <c r="AO322" s="49">
        <f ca="1"/>
        <v>0</v>
      </c>
      <c r="AP322" s="49">
        <f ca="1"/>
        <v>0</v>
      </c>
      <c r="AQ322" s="49">
        <f ca="1"/>
        <v>0</v>
      </c>
      <c r="AR322" s="49">
        <f ca="1"/>
        <v>0</v>
      </c>
      <c r="AS322" s="49">
        <f ca="1"/>
        <v>0</v>
      </c>
      <c r="AT322" s="49">
        <f ca="1"/>
        <v>0</v>
      </c>
      <c r="AU322" s="49">
        <f ca="1"/>
        <v>0</v>
      </c>
      <c r="AV322" s="49">
        <f ca="1"/>
        <v>0</v>
      </c>
      <c r="AW322" s="49">
        <f ca="1"/>
        <v>0</v>
      </c>
      <c r="AX322" s="49">
        <f ca="1"/>
        <v>0</v>
      </c>
      <c r="AY322" s="49">
        <f ca="1"/>
        <v>0</v>
      </c>
      <c r="AZ322" s="49">
        <f ca="1"/>
        <v>0</v>
      </c>
      <c r="BA322" s="49">
        <f ca="1"/>
        <v>0</v>
      </c>
      <c r="BB322" s="49">
        <f ca="1"/>
        <v>0</v>
      </c>
      <c r="BC322" s="49">
        <f ca="1"/>
        <v>0</v>
      </c>
      <c r="BD322" s="49">
        <f ca="1"/>
        <v>0</v>
      </c>
      <c r="BE322" s="49">
        <f ca="1"/>
        <v>0</v>
      </c>
      <c r="BF322" s="49">
        <f ca="1"/>
        <v>0</v>
      </c>
      <c r="BG322" s="49">
        <f ca="1"/>
        <v>0</v>
      </c>
      <c r="BH322" s="49">
        <f ca="1"/>
        <v>0</v>
      </c>
      <c r="BI322" s="49">
        <f ca="1"/>
        <v>0</v>
      </c>
      <c r="BJ322" s="49">
        <f ca="1"/>
        <v>0</v>
      </c>
      <c r="BK322" s="49">
        <f ca="1"/>
        <v>0</v>
      </c>
      <c r="BL322" s="49">
        <f ca="1"/>
        <v>0</v>
      </c>
      <c r="BM322" s="49">
        <f ca="1"/>
        <v>0</v>
      </c>
      <c r="BN322" s="49">
        <f ca="1"/>
        <v>0</v>
      </c>
      <c r="BO322" s="49">
        <f ca="1"/>
        <v>0</v>
      </c>
      <c r="BP322" s="49">
        <f ca="1"/>
        <v>0</v>
      </c>
      <c r="BQ322" s="49">
        <f ca="1"/>
        <v>0</v>
      </c>
      <c r="BR322" s="49">
        <f ca="1"/>
        <v>0</v>
      </c>
      <c r="BS322" s="49">
        <f ca="1"/>
        <v>0</v>
      </c>
    </row>
    <row r="323" spans="3:71" outlineLevel="1" x14ac:dyDescent="0.2">
      <c r="D323" s="11" t="str">
        <f>HM_ZD_Moho!D345</f>
        <v>Total</v>
      </c>
      <c r="I323" s="30">
        <f t="shared" ca="1" si="107"/>
        <v>1361.9091335195037</v>
      </c>
      <c r="J323" s="26" t="s">
        <v>148</v>
      </c>
      <c r="K323" s="7" t="s">
        <v>247</v>
      </c>
      <c r="L323" s="49">
        <f ca="1">SUM(L319:L322)</f>
        <v>690.76412290209873</v>
      </c>
      <c r="M323" s="49">
        <f t="shared" ref="M323:BS323" ca="1" si="108">SUM(M319:M322)</f>
        <v>671.14501061740498</v>
      </c>
      <c r="N323" s="49">
        <f t="shared" ca="1" si="108"/>
        <v>0</v>
      </c>
      <c r="O323" s="49">
        <f t="shared" ca="1" si="108"/>
        <v>0</v>
      </c>
      <c r="P323" s="49">
        <f t="shared" ca="1" si="108"/>
        <v>0</v>
      </c>
      <c r="Q323" s="49">
        <f t="shared" ca="1" si="108"/>
        <v>0</v>
      </c>
      <c r="R323" s="49">
        <f t="shared" ca="1" si="108"/>
        <v>0</v>
      </c>
      <c r="S323" s="49">
        <f t="shared" ca="1" si="108"/>
        <v>0</v>
      </c>
      <c r="T323" s="49">
        <f t="shared" ca="1" si="108"/>
        <v>0</v>
      </c>
      <c r="U323" s="49">
        <f t="shared" ca="1" si="108"/>
        <v>0</v>
      </c>
      <c r="V323" s="49">
        <f t="shared" ca="1" si="108"/>
        <v>0</v>
      </c>
      <c r="W323" s="49">
        <f t="shared" ca="1" si="108"/>
        <v>0</v>
      </c>
      <c r="X323" s="49">
        <f t="shared" ca="1" si="108"/>
        <v>0</v>
      </c>
      <c r="Y323" s="49">
        <f t="shared" ca="1" si="108"/>
        <v>0</v>
      </c>
      <c r="Z323" s="49">
        <f t="shared" ca="1" si="108"/>
        <v>0</v>
      </c>
      <c r="AA323" s="49">
        <f t="shared" ca="1" si="108"/>
        <v>0</v>
      </c>
      <c r="AB323" s="49">
        <f t="shared" ca="1" si="108"/>
        <v>0</v>
      </c>
      <c r="AC323" s="49">
        <f t="shared" ca="1" si="108"/>
        <v>0</v>
      </c>
      <c r="AD323" s="49">
        <f t="shared" ca="1" si="108"/>
        <v>0</v>
      </c>
      <c r="AE323" s="49">
        <f t="shared" ca="1" si="108"/>
        <v>0</v>
      </c>
      <c r="AF323" s="49">
        <f t="shared" ca="1" si="108"/>
        <v>0</v>
      </c>
      <c r="AG323" s="49">
        <f t="shared" ca="1" si="108"/>
        <v>0</v>
      </c>
      <c r="AH323" s="49">
        <f t="shared" ca="1" si="108"/>
        <v>0</v>
      </c>
      <c r="AI323" s="49">
        <f t="shared" ca="1" si="108"/>
        <v>0</v>
      </c>
      <c r="AJ323" s="49">
        <f t="shared" ca="1" si="108"/>
        <v>0</v>
      </c>
      <c r="AK323" s="49">
        <f t="shared" ca="1" si="108"/>
        <v>0</v>
      </c>
      <c r="AL323" s="49">
        <f t="shared" ca="1" si="108"/>
        <v>0</v>
      </c>
      <c r="AM323" s="49">
        <f t="shared" ca="1" si="108"/>
        <v>0</v>
      </c>
      <c r="AN323" s="49">
        <f t="shared" ca="1" si="108"/>
        <v>0</v>
      </c>
      <c r="AO323" s="49">
        <f t="shared" ca="1" si="108"/>
        <v>0</v>
      </c>
      <c r="AP323" s="49">
        <f t="shared" ca="1" si="108"/>
        <v>0</v>
      </c>
      <c r="AQ323" s="49">
        <f t="shared" ca="1" si="108"/>
        <v>0</v>
      </c>
      <c r="AR323" s="49">
        <f t="shared" ca="1" si="108"/>
        <v>0</v>
      </c>
      <c r="AS323" s="49">
        <f t="shared" ca="1" si="108"/>
        <v>0</v>
      </c>
      <c r="AT323" s="49">
        <f t="shared" ca="1" si="108"/>
        <v>0</v>
      </c>
      <c r="AU323" s="49">
        <f t="shared" ca="1" si="108"/>
        <v>0</v>
      </c>
      <c r="AV323" s="49">
        <f t="shared" ca="1" si="108"/>
        <v>0</v>
      </c>
      <c r="AW323" s="49">
        <f t="shared" ca="1" si="108"/>
        <v>0</v>
      </c>
      <c r="AX323" s="49">
        <f t="shared" ca="1" si="108"/>
        <v>0</v>
      </c>
      <c r="AY323" s="49">
        <f t="shared" ca="1" si="108"/>
        <v>0</v>
      </c>
      <c r="AZ323" s="49">
        <f t="shared" ca="1" si="108"/>
        <v>0</v>
      </c>
      <c r="BA323" s="49">
        <f t="shared" ca="1" si="108"/>
        <v>0</v>
      </c>
      <c r="BB323" s="49">
        <f t="shared" ca="1" si="108"/>
        <v>0</v>
      </c>
      <c r="BC323" s="49">
        <f t="shared" ca="1" si="108"/>
        <v>0</v>
      </c>
      <c r="BD323" s="49">
        <f t="shared" ca="1" si="108"/>
        <v>0</v>
      </c>
      <c r="BE323" s="49">
        <f t="shared" ca="1" si="108"/>
        <v>0</v>
      </c>
      <c r="BF323" s="49">
        <f t="shared" ca="1" si="108"/>
        <v>0</v>
      </c>
      <c r="BG323" s="49">
        <f t="shared" ca="1" si="108"/>
        <v>0</v>
      </c>
      <c r="BH323" s="49">
        <f t="shared" ca="1" si="108"/>
        <v>0</v>
      </c>
      <c r="BI323" s="49">
        <f t="shared" ca="1" si="108"/>
        <v>0</v>
      </c>
      <c r="BJ323" s="49">
        <f t="shared" ca="1" si="108"/>
        <v>0</v>
      </c>
      <c r="BK323" s="49">
        <f t="shared" ca="1" si="108"/>
        <v>0</v>
      </c>
      <c r="BL323" s="49">
        <f t="shared" ca="1" si="108"/>
        <v>0</v>
      </c>
      <c r="BM323" s="49">
        <f t="shared" ca="1" si="108"/>
        <v>0</v>
      </c>
      <c r="BN323" s="49">
        <f t="shared" ca="1" si="108"/>
        <v>0</v>
      </c>
      <c r="BO323" s="49">
        <f t="shared" ca="1" si="108"/>
        <v>0</v>
      </c>
      <c r="BP323" s="49">
        <f t="shared" ca="1" si="108"/>
        <v>0</v>
      </c>
      <c r="BQ323" s="49">
        <f t="shared" ca="1" si="108"/>
        <v>0</v>
      </c>
      <c r="BR323" s="49">
        <f t="shared" ca="1" si="108"/>
        <v>0</v>
      </c>
      <c r="BS323" s="49">
        <f t="shared" ca="1" si="108"/>
        <v>0</v>
      </c>
    </row>
    <row r="324" spans="3:71" outlineLevel="1" x14ac:dyDescent="0.2">
      <c r="J324" s="26"/>
      <c r="L324" s="55"/>
      <c r="M324" s="55"/>
      <c r="N324" s="55"/>
      <c r="O324" s="55"/>
      <c r="P324" s="55"/>
      <c r="Q324" s="55"/>
      <c r="R324" s="55"/>
      <c r="S324" s="55"/>
      <c r="T324" s="55"/>
      <c r="U324" s="55"/>
      <c r="V324" s="55"/>
      <c r="W324" s="55"/>
      <c r="X324" s="55"/>
      <c r="Y324" s="55"/>
      <c r="Z324" s="55"/>
      <c r="AA324" s="55"/>
      <c r="AB324" s="55"/>
      <c r="AC324" s="55"/>
      <c r="AD324" s="55"/>
      <c r="AE324" s="55"/>
      <c r="AF324" s="55"/>
      <c r="AG324" s="55"/>
      <c r="AH324" s="55"/>
      <c r="AI324" s="55"/>
      <c r="AJ324" s="55"/>
      <c r="AK324" s="55"/>
      <c r="AL324" s="55"/>
      <c r="AM324" s="55"/>
      <c r="AN324" s="55"/>
      <c r="AO324" s="55"/>
      <c r="AP324" s="55"/>
      <c r="AQ324" s="55"/>
      <c r="AR324" s="55"/>
      <c r="AS324" s="55"/>
      <c r="AT324" s="55"/>
      <c r="AU324" s="55"/>
      <c r="AV324" s="55"/>
      <c r="AW324" s="55"/>
      <c r="AX324" s="55"/>
      <c r="AY324" s="55"/>
      <c r="AZ324" s="55"/>
      <c r="BA324" s="55"/>
      <c r="BB324" s="55"/>
      <c r="BC324" s="55"/>
      <c r="BD324" s="55"/>
      <c r="BE324" s="55"/>
      <c r="BF324" s="55"/>
      <c r="BG324" s="55"/>
      <c r="BH324" s="55"/>
      <c r="BI324" s="55"/>
      <c r="BJ324" s="55"/>
      <c r="BK324" s="55"/>
      <c r="BL324" s="55"/>
      <c r="BM324" s="55"/>
      <c r="BN324" s="55"/>
      <c r="BO324" s="55"/>
      <c r="BP324" s="55"/>
      <c r="BQ324" s="55"/>
      <c r="BR324" s="55"/>
      <c r="BS324" s="55"/>
    </row>
    <row r="325" spans="3:71" outlineLevel="1" x14ac:dyDescent="0.2">
      <c r="C325" s="11" t="str">
        <f>HM_ZD_Moho!C347</f>
        <v>Revenus des droits - Gaz</v>
      </c>
      <c r="J325" s="26"/>
      <c r="L325" s="55"/>
      <c r="M325" s="55"/>
      <c r="N325" s="55"/>
      <c r="O325" s="55"/>
      <c r="P325" s="55"/>
      <c r="Q325" s="55"/>
      <c r="R325" s="55"/>
      <c r="S325" s="55"/>
      <c r="T325" s="55"/>
      <c r="U325" s="55"/>
      <c r="V325" s="55"/>
      <c r="W325" s="55"/>
      <c r="X325" s="55"/>
      <c r="Y325" s="55"/>
      <c r="Z325" s="55"/>
      <c r="AA325" s="55"/>
      <c r="AB325" s="55"/>
      <c r="AC325" s="55"/>
      <c r="AD325" s="55"/>
      <c r="AE325" s="55"/>
      <c r="AF325" s="55"/>
      <c r="AG325" s="55"/>
      <c r="AH325" s="55"/>
      <c r="AI325" s="55"/>
      <c r="AJ325" s="55"/>
      <c r="AK325" s="55"/>
      <c r="AL325" s="55"/>
      <c r="AM325" s="55"/>
      <c r="AN325" s="55"/>
      <c r="AO325" s="55"/>
      <c r="AP325" s="55"/>
      <c r="AQ325" s="55"/>
      <c r="AR325" s="55"/>
      <c r="AS325" s="55"/>
      <c r="AT325" s="55"/>
      <c r="AU325" s="55"/>
      <c r="AV325" s="55"/>
      <c r="AW325" s="55"/>
      <c r="AX325" s="55"/>
      <c r="AY325" s="55"/>
      <c r="AZ325" s="55"/>
      <c r="BA325" s="55"/>
      <c r="BB325" s="55"/>
      <c r="BC325" s="55"/>
      <c r="BD325" s="55"/>
      <c r="BE325" s="55"/>
      <c r="BF325" s="55"/>
      <c r="BG325" s="55"/>
      <c r="BH325" s="55"/>
      <c r="BI325" s="55"/>
      <c r="BJ325" s="55"/>
      <c r="BK325" s="55"/>
      <c r="BL325" s="55"/>
      <c r="BM325" s="55"/>
      <c r="BN325" s="55"/>
      <c r="BO325" s="55"/>
      <c r="BP325" s="55"/>
      <c r="BQ325" s="55"/>
      <c r="BR325" s="55"/>
      <c r="BS325" s="55"/>
    </row>
    <row r="326" spans="3:71" outlineLevel="1" x14ac:dyDescent="0.2">
      <c r="D326" t="str">
        <f>HM_ZD_Moho!D348</f>
        <v>Cost Gaz</v>
      </c>
      <c r="I326" s="30">
        <f t="shared" ref="I326:I329" ca="1" si="109">SUM($L326:$BS326)</f>
        <v>0</v>
      </c>
      <c r="J326" s="26" t="s">
        <v>148</v>
      </c>
      <c r="L326" s="49" cm="1">
        <f t="array" aca="1" ref="L326:BS326" ca="1">HM_ZD_AM3_2005!CA_cost_recovered_total*HM_ZD_AM3_2005!CA_rev_gas_perc</f>
        <v>0</v>
      </c>
      <c r="M326" s="49">
        <f ca="1"/>
        <v>0</v>
      </c>
      <c r="N326" s="49">
        <f ca="1"/>
        <v>0</v>
      </c>
      <c r="O326" s="49">
        <f ca="1"/>
        <v>0</v>
      </c>
      <c r="P326" s="49">
        <f ca="1"/>
        <v>0</v>
      </c>
      <c r="Q326" s="49">
        <f ca="1"/>
        <v>0</v>
      </c>
      <c r="R326" s="49">
        <f ca="1"/>
        <v>0</v>
      </c>
      <c r="S326" s="49">
        <f ca="1"/>
        <v>0</v>
      </c>
      <c r="T326" s="49">
        <f ca="1"/>
        <v>0</v>
      </c>
      <c r="U326" s="49">
        <f ca="1"/>
        <v>0</v>
      </c>
      <c r="V326" s="49">
        <f ca="1"/>
        <v>0</v>
      </c>
      <c r="W326" s="49">
        <f ca="1"/>
        <v>0</v>
      </c>
      <c r="X326" s="49">
        <f ca="1"/>
        <v>0</v>
      </c>
      <c r="Y326" s="49">
        <f ca="1"/>
        <v>0</v>
      </c>
      <c r="Z326" s="49">
        <f ca="1"/>
        <v>0</v>
      </c>
      <c r="AA326" s="49">
        <f ca="1"/>
        <v>0</v>
      </c>
      <c r="AB326" s="49">
        <f ca="1"/>
        <v>0</v>
      </c>
      <c r="AC326" s="49">
        <f ca="1"/>
        <v>0</v>
      </c>
      <c r="AD326" s="49">
        <f ca="1"/>
        <v>0</v>
      </c>
      <c r="AE326" s="49">
        <f ca="1"/>
        <v>0</v>
      </c>
      <c r="AF326" s="49">
        <f ca="1"/>
        <v>0</v>
      </c>
      <c r="AG326" s="49">
        <f ca="1"/>
        <v>0</v>
      </c>
      <c r="AH326" s="49">
        <f ca="1"/>
        <v>0</v>
      </c>
      <c r="AI326" s="49">
        <f ca="1"/>
        <v>0</v>
      </c>
      <c r="AJ326" s="49">
        <f ca="1"/>
        <v>0</v>
      </c>
      <c r="AK326" s="49">
        <f ca="1"/>
        <v>0</v>
      </c>
      <c r="AL326" s="49">
        <f ca="1"/>
        <v>0</v>
      </c>
      <c r="AM326" s="49">
        <f ca="1"/>
        <v>0</v>
      </c>
      <c r="AN326" s="49">
        <f ca="1"/>
        <v>0</v>
      </c>
      <c r="AO326" s="49">
        <f ca="1"/>
        <v>0</v>
      </c>
      <c r="AP326" s="49">
        <f ca="1"/>
        <v>0</v>
      </c>
      <c r="AQ326" s="49">
        <f ca="1"/>
        <v>0</v>
      </c>
      <c r="AR326" s="49">
        <f ca="1"/>
        <v>0</v>
      </c>
      <c r="AS326" s="49">
        <f ca="1"/>
        <v>0</v>
      </c>
      <c r="AT326" s="49">
        <f ca="1"/>
        <v>0</v>
      </c>
      <c r="AU326" s="49">
        <f ca="1"/>
        <v>0</v>
      </c>
      <c r="AV326" s="49">
        <f ca="1"/>
        <v>0</v>
      </c>
      <c r="AW326" s="49">
        <f ca="1"/>
        <v>0</v>
      </c>
      <c r="AX326" s="49">
        <f ca="1"/>
        <v>0</v>
      </c>
      <c r="AY326" s="49">
        <f ca="1"/>
        <v>0</v>
      </c>
      <c r="AZ326" s="49">
        <f ca="1"/>
        <v>0</v>
      </c>
      <c r="BA326" s="49">
        <f ca="1"/>
        <v>0</v>
      </c>
      <c r="BB326" s="49">
        <f ca="1"/>
        <v>0</v>
      </c>
      <c r="BC326" s="49">
        <f ca="1"/>
        <v>0</v>
      </c>
      <c r="BD326" s="49">
        <f ca="1"/>
        <v>0</v>
      </c>
      <c r="BE326" s="49">
        <f ca="1"/>
        <v>0</v>
      </c>
      <c r="BF326" s="49">
        <f ca="1"/>
        <v>0</v>
      </c>
      <c r="BG326" s="49">
        <f ca="1"/>
        <v>0</v>
      </c>
      <c r="BH326" s="49">
        <f ca="1"/>
        <v>0</v>
      </c>
      <c r="BI326" s="49">
        <f ca="1"/>
        <v>0</v>
      </c>
      <c r="BJ326" s="49">
        <f ca="1"/>
        <v>0</v>
      </c>
      <c r="BK326" s="49">
        <f ca="1"/>
        <v>0</v>
      </c>
      <c r="BL326" s="49">
        <f ca="1"/>
        <v>0</v>
      </c>
      <c r="BM326" s="49">
        <f ca="1"/>
        <v>0</v>
      </c>
      <c r="BN326" s="49">
        <f ca="1"/>
        <v>0</v>
      </c>
      <c r="BO326" s="49">
        <f ca="1"/>
        <v>0</v>
      </c>
      <c r="BP326" s="49">
        <f ca="1"/>
        <v>0</v>
      </c>
      <c r="BQ326" s="49">
        <f ca="1"/>
        <v>0</v>
      </c>
      <c r="BR326" s="49">
        <f ca="1"/>
        <v>0</v>
      </c>
      <c r="BS326" s="49">
        <f ca="1"/>
        <v>0</v>
      </c>
    </row>
    <row r="327" spans="3:71" outlineLevel="1" x14ac:dyDescent="0.2">
      <c r="D327" t="str">
        <f>HM_ZD_Moho!D349</f>
        <v>Excess Cost Gaz</v>
      </c>
      <c r="I327" s="30">
        <f t="shared" ca="1" si="109"/>
        <v>0</v>
      </c>
      <c r="J327" s="26" t="s">
        <v>148</v>
      </c>
      <c r="L327" s="49" cm="1">
        <f t="array" aca="1" ref="L327:BS327" ca="1">HM_ZD_AM3_2005!CA_excess_CR_cont*HM_ZD_AM3_2005!CA_rev_gas_perc</f>
        <v>0</v>
      </c>
      <c r="M327" s="49">
        <f ca="1"/>
        <v>0</v>
      </c>
      <c r="N327" s="49">
        <f ca="1"/>
        <v>0</v>
      </c>
      <c r="O327" s="49">
        <f ca="1"/>
        <v>0</v>
      </c>
      <c r="P327" s="49">
        <f ca="1"/>
        <v>0</v>
      </c>
      <c r="Q327" s="49">
        <f ca="1"/>
        <v>0</v>
      </c>
      <c r="R327" s="49">
        <f ca="1"/>
        <v>0</v>
      </c>
      <c r="S327" s="49">
        <f ca="1"/>
        <v>0</v>
      </c>
      <c r="T327" s="49">
        <f ca="1"/>
        <v>0</v>
      </c>
      <c r="U327" s="49">
        <f ca="1"/>
        <v>0</v>
      </c>
      <c r="V327" s="49">
        <f ca="1"/>
        <v>0</v>
      </c>
      <c r="W327" s="49">
        <f ca="1"/>
        <v>0</v>
      </c>
      <c r="X327" s="49">
        <f ca="1"/>
        <v>0</v>
      </c>
      <c r="Y327" s="49">
        <f ca="1"/>
        <v>0</v>
      </c>
      <c r="Z327" s="49">
        <f ca="1"/>
        <v>0</v>
      </c>
      <c r="AA327" s="49">
        <f ca="1"/>
        <v>0</v>
      </c>
      <c r="AB327" s="49">
        <f ca="1"/>
        <v>0</v>
      </c>
      <c r="AC327" s="49">
        <f ca="1"/>
        <v>0</v>
      </c>
      <c r="AD327" s="49">
        <f ca="1"/>
        <v>0</v>
      </c>
      <c r="AE327" s="49">
        <f ca="1"/>
        <v>0</v>
      </c>
      <c r="AF327" s="49">
        <f ca="1"/>
        <v>0</v>
      </c>
      <c r="AG327" s="49">
        <f ca="1"/>
        <v>0</v>
      </c>
      <c r="AH327" s="49">
        <f ca="1"/>
        <v>0</v>
      </c>
      <c r="AI327" s="49">
        <f ca="1"/>
        <v>0</v>
      </c>
      <c r="AJ327" s="49">
        <f ca="1"/>
        <v>0</v>
      </c>
      <c r="AK327" s="49">
        <f ca="1"/>
        <v>0</v>
      </c>
      <c r="AL327" s="49">
        <f ca="1"/>
        <v>0</v>
      </c>
      <c r="AM327" s="49">
        <f ca="1"/>
        <v>0</v>
      </c>
      <c r="AN327" s="49">
        <f ca="1"/>
        <v>0</v>
      </c>
      <c r="AO327" s="49">
        <f ca="1"/>
        <v>0</v>
      </c>
      <c r="AP327" s="49">
        <f ca="1"/>
        <v>0</v>
      </c>
      <c r="AQ327" s="49">
        <f ca="1"/>
        <v>0</v>
      </c>
      <c r="AR327" s="49">
        <f ca="1"/>
        <v>0</v>
      </c>
      <c r="AS327" s="49">
        <f ca="1"/>
        <v>0</v>
      </c>
      <c r="AT327" s="49">
        <f ca="1"/>
        <v>0</v>
      </c>
      <c r="AU327" s="49">
        <f ca="1"/>
        <v>0</v>
      </c>
      <c r="AV327" s="49">
        <f ca="1"/>
        <v>0</v>
      </c>
      <c r="AW327" s="49">
        <f ca="1"/>
        <v>0</v>
      </c>
      <c r="AX327" s="49">
        <f ca="1"/>
        <v>0</v>
      </c>
      <c r="AY327" s="49">
        <f ca="1"/>
        <v>0</v>
      </c>
      <c r="AZ327" s="49">
        <f ca="1"/>
        <v>0</v>
      </c>
      <c r="BA327" s="49">
        <f ca="1"/>
        <v>0</v>
      </c>
      <c r="BB327" s="49">
        <f ca="1"/>
        <v>0</v>
      </c>
      <c r="BC327" s="49">
        <f ca="1"/>
        <v>0</v>
      </c>
      <c r="BD327" s="49">
        <f ca="1"/>
        <v>0</v>
      </c>
      <c r="BE327" s="49">
        <f ca="1"/>
        <v>0</v>
      </c>
      <c r="BF327" s="49">
        <f ca="1"/>
        <v>0</v>
      </c>
      <c r="BG327" s="49">
        <f ca="1"/>
        <v>0</v>
      </c>
      <c r="BH327" s="49">
        <f ca="1"/>
        <v>0</v>
      </c>
      <c r="BI327" s="49">
        <f ca="1"/>
        <v>0</v>
      </c>
      <c r="BJ327" s="49">
        <f ca="1"/>
        <v>0</v>
      </c>
      <c r="BK327" s="49">
        <f ca="1"/>
        <v>0</v>
      </c>
      <c r="BL327" s="49">
        <f ca="1"/>
        <v>0</v>
      </c>
      <c r="BM327" s="49">
        <f ca="1"/>
        <v>0</v>
      </c>
      <c r="BN327" s="49">
        <f ca="1"/>
        <v>0</v>
      </c>
      <c r="BO327" s="49">
        <f ca="1"/>
        <v>0</v>
      </c>
      <c r="BP327" s="49">
        <f ca="1"/>
        <v>0</v>
      </c>
      <c r="BQ327" s="49">
        <f ca="1"/>
        <v>0</v>
      </c>
      <c r="BR327" s="49">
        <f ca="1"/>
        <v>0</v>
      </c>
      <c r="BS327" s="49">
        <f ca="1"/>
        <v>0</v>
      </c>
    </row>
    <row r="328" spans="3:71" outlineLevel="1" x14ac:dyDescent="0.2">
      <c r="D328" t="str">
        <f>HM_ZD_Moho!D350</f>
        <v>Profit Gaz</v>
      </c>
      <c r="I328" s="30">
        <f t="shared" ca="1" si="109"/>
        <v>0</v>
      </c>
      <c r="J328" s="26" t="s">
        <v>148</v>
      </c>
      <c r="L328" s="49" cm="1">
        <f t="array" aca="1" ref="L328:BS328" ca="1">HM_ZD_AM3_2005!CA_PS_cont*HM_ZD_AM3_2005!CA_rev_gas_perc</f>
        <v>0</v>
      </c>
      <c r="M328" s="49">
        <f ca="1"/>
        <v>0</v>
      </c>
      <c r="N328" s="49">
        <f ca="1"/>
        <v>0</v>
      </c>
      <c r="O328" s="49">
        <f ca="1"/>
        <v>0</v>
      </c>
      <c r="P328" s="49">
        <f ca="1"/>
        <v>0</v>
      </c>
      <c r="Q328" s="49">
        <f ca="1"/>
        <v>0</v>
      </c>
      <c r="R328" s="49">
        <f ca="1"/>
        <v>0</v>
      </c>
      <c r="S328" s="49">
        <f ca="1"/>
        <v>0</v>
      </c>
      <c r="T328" s="49">
        <f ca="1"/>
        <v>0</v>
      </c>
      <c r="U328" s="49">
        <f ca="1"/>
        <v>0</v>
      </c>
      <c r="V328" s="49">
        <f ca="1"/>
        <v>0</v>
      </c>
      <c r="W328" s="49">
        <f ca="1"/>
        <v>0</v>
      </c>
      <c r="X328" s="49">
        <f ca="1"/>
        <v>0</v>
      </c>
      <c r="Y328" s="49">
        <f ca="1"/>
        <v>0</v>
      </c>
      <c r="Z328" s="49">
        <f ca="1"/>
        <v>0</v>
      </c>
      <c r="AA328" s="49">
        <f ca="1"/>
        <v>0</v>
      </c>
      <c r="AB328" s="49">
        <f ca="1"/>
        <v>0</v>
      </c>
      <c r="AC328" s="49">
        <f ca="1"/>
        <v>0</v>
      </c>
      <c r="AD328" s="49">
        <f ca="1"/>
        <v>0</v>
      </c>
      <c r="AE328" s="49">
        <f ca="1"/>
        <v>0</v>
      </c>
      <c r="AF328" s="49">
        <f ca="1"/>
        <v>0</v>
      </c>
      <c r="AG328" s="49">
        <f ca="1"/>
        <v>0</v>
      </c>
      <c r="AH328" s="49">
        <f ca="1"/>
        <v>0</v>
      </c>
      <c r="AI328" s="49">
        <f ca="1"/>
        <v>0</v>
      </c>
      <c r="AJ328" s="49">
        <f ca="1"/>
        <v>0</v>
      </c>
      <c r="AK328" s="49">
        <f ca="1"/>
        <v>0</v>
      </c>
      <c r="AL328" s="49">
        <f ca="1"/>
        <v>0</v>
      </c>
      <c r="AM328" s="49">
        <f ca="1"/>
        <v>0</v>
      </c>
      <c r="AN328" s="49">
        <f ca="1"/>
        <v>0</v>
      </c>
      <c r="AO328" s="49">
        <f ca="1"/>
        <v>0</v>
      </c>
      <c r="AP328" s="49">
        <f ca="1"/>
        <v>0</v>
      </c>
      <c r="AQ328" s="49">
        <f ca="1"/>
        <v>0</v>
      </c>
      <c r="AR328" s="49">
        <f ca="1"/>
        <v>0</v>
      </c>
      <c r="AS328" s="49">
        <f ca="1"/>
        <v>0</v>
      </c>
      <c r="AT328" s="49">
        <f ca="1"/>
        <v>0</v>
      </c>
      <c r="AU328" s="49">
        <f ca="1"/>
        <v>0</v>
      </c>
      <c r="AV328" s="49">
        <f ca="1"/>
        <v>0</v>
      </c>
      <c r="AW328" s="49">
        <f ca="1"/>
        <v>0</v>
      </c>
      <c r="AX328" s="49">
        <f ca="1"/>
        <v>0</v>
      </c>
      <c r="AY328" s="49">
        <f ca="1"/>
        <v>0</v>
      </c>
      <c r="AZ328" s="49">
        <f ca="1"/>
        <v>0</v>
      </c>
      <c r="BA328" s="49">
        <f ca="1"/>
        <v>0</v>
      </c>
      <c r="BB328" s="49">
        <f ca="1"/>
        <v>0</v>
      </c>
      <c r="BC328" s="49">
        <f ca="1"/>
        <v>0</v>
      </c>
      <c r="BD328" s="49">
        <f ca="1"/>
        <v>0</v>
      </c>
      <c r="BE328" s="49">
        <f ca="1"/>
        <v>0</v>
      </c>
      <c r="BF328" s="49">
        <f ca="1"/>
        <v>0</v>
      </c>
      <c r="BG328" s="49">
        <f ca="1"/>
        <v>0</v>
      </c>
      <c r="BH328" s="49">
        <f ca="1"/>
        <v>0</v>
      </c>
      <c r="BI328" s="49">
        <f ca="1"/>
        <v>0</v>
      </c>
      <c r="BJ328" s="49">
        <f ca="1"/>
        <v>0</v>
      </c>
      <c r="BK328" s="49">
        <f ca="1"/>
        <v>0</v>
      </c>
      <c r="BL328" s="49">
        <f ca="1"/>
        <v>0</v>
      </c>
      <c r="BM328" s="49">
        <f ca="1"/>
        <v>0</v>
      </c>
      <c r="BN328" s="49">
        <f ca="1"/>
        <v>0</v>
      </c>
      <c r="BO328" s="49">
        <f ca="1"/>
        <v>0</v>
      </c>
      <c r="BP328" s="49">
        <f ca="1"/>
        <v>0</v>
      </c>
      <c r="BQ328" s="49">
        <f ca="1"/>
        <v>0</v>
      </c>
      <c r="BR328" s="49">
        <f ca="1"/>
        <v>0</v>
      </c>
      <c r="BS328" s="49">
        <f ca="1"/>
        <v>0</v>
      </c>
    </row>
    <row r="329" spans="3:71" outlineLevel="1" x14ac:dyDescent="0.2">
      <c r="D329" s="11" t="str">
        <f>HM_ZD_Moho!D351</f>
        <v>Total</v>
      </c>
      <c r="I329" s="30">
        <f t="shared" ca="1" si="109"/>
        <v>0</v>
      </c>
      <c r="J329" s="26" t="s">
        <v>148</v>
      </c>
      <c r="K329" s="7" t="s">
        <v>251</v>
      </c>
      <c r="L329" s="49">
        <f t="shared" ref="L329:AQ329" ca="1" si="110">SUM(L326:L328)</f>
        <v>0</v>
      </c>
      <c r="M329" s="49">
        <f t="shared" ca="1" si="110"/>
        <v>0</v>
      </c>
      <c r="N329" s="49">
        <f t="shared" ca="1" si="110"/>
        <v>0</v>
      </c>
      <c r="O329" s="49">
        <f t="shared" ca="1" si="110"/>
        <v>0</v>
      </c>
      <c r="P329" s="49">
        <f t="shared" ca="1" si="110"/>
        <v>0</v>
      </c>
      <c r="Q329" s="49">
        <f t="shared" ca="1" si="110"/>
        <v>0</v>
      </c>
      <c r="R329" s="49">
        <f t="shared" ca="1" si="110"/>
        <v>0</v>
      </c>
      <c r="S329" s="49">
        <f t="shared" ca="1" si="110"/>
        <v>0</v>
      </c>
      <c r="T329" s="49">
        <f t="shared" ca="1" si="110"/>
        <v>0</v>
      </c>
      <c r="U329" s="49">
        <f t="shared" ca="1" si="110"/>
        <v>0</v>
      </c>
      <c r="V329" s="49">
        <f t="shared" ca="1" si="110"/>
        <v>0</v>
      </c>
      <c r="W329" s="49">
        <f t="shared" ca="1" si="110"/>
        <v>0</v>
      </c>
      <c r="X329" s="49">
        <f t="shared" ca="1" si="110"/>
        <v>0</v>
      </c>
      <c r="Y329" s="49">
        <f t="shared" ca="1" si="110"/>
        <v>0</v>
      </c>
      <c r="Z329" s="49">
        <f t="shared" ca="1" si="110"/>
        <v>0</v>
      </c>
      <c r="AA329" s="49">
        <f t="shared" ca="1" si="110"/>
        <v>0</v>
      </c>
      <c r="AB329" s="49">
        <f t="shared" ca="1" si="110"/>
        <v>0</v>
      </c>
      <c r="AC329" s="49">
        <f t="shared" ca="1" si="110"/>
        <v>0</v>
      </c>
      <c r="AD329" s="49">
        <f t="shared" ca="1" si="110"/>
        <v>0</v>
      </c>
      <c r="AE329" s="49">
        <f t="shared" ca="1" si="110"/>
        <v>0</v>
      </c>
      <c r="AF329" s="49">
        <f t="shared" ca="1" si="110"/>
        <v>0</v>
      </c>
      <c r="AG329" s="49">
        <f t="shared" ca="1" si="110"/>
        <v>0</v>
      </c>
      <c r="AH329" s="49">
        <f t="shared" ca="1" si="110"/>
        <v>0</v>
      </c>
      <c r="AI329" s="49">
        <f t="shared" ca="1" si="110"/>
        <v>0</v>
      </c>
      <c r="AJ329" s="49">
        <f t="shared" ca="1" si="110"/>
        <v>0</v>
      </c>
      <c r="AK329" s="49">
        <f t="shared" ca="1" si="110"/>
        <v>0</v>
      </c>
      <c r="AL329" s="49">
        <f t="shared" ca="1" si="110"/>
        <v>0</v>
      </c>
      <c r="AM329" s="49">
        <f t="shared" ca="1" si="110"/>
        <v>0</v>
      </c>
      <c r="AN329" s="49">
        <f t="shared" ca="1" si="110"/>
        <v>0</v>
      </c>
      <c r="AO329" s="49">
        <f t="shared" ca="1" si="110"/>
        <v>0</v>
      </c>
      <c r="AP329" s="49">
        <f t="shared" ca="1" si="110"/>
        <v>0</v>
      </c>
      <c r="AQ329" s="49">
        <f t="shared" ca="1" si="110"/>
        <v>0</v>
      </c>
      <c r="AR329" s="49">
        <f t="shared" ref="AR329:BS329" ca="1" si="111">SUM(AR326:AR328)</f>
        <v>0</v>
      </c>
      <c r="AS329" s="49">
        <f t="shared" ca="1" si="111"/>
        <v>0</v>
      </c>
      <c r="AT329" s="49">
        <f t="shared" ca="1" si="111"/>
        <v>0</v>
      </c>
      <c r="AU329" s="49">
        <f t="shared" ca="1" si="111"/>
        <v>0</v>
      </c>
      <c r="AV329" s="49">
        <f t="shared" ca="1" si="111"/>
        <v>0</v>
      </c>
      <c r="AW329" s="49">
        <f t="shared" ca="1" si="111"/>
        <v>0</v>
      </c>
      <c r="AX329" s="49">
        <f t="shared" ca="1" si="111"/>
        <v>0</v>
      </c>
      <c r="AY329" s="49">
        <f t="shared" ca="1" si="111"/>
        <v>0</v>
      </c>
      <c r="AZ329" s="49">
        <f t="shared" ca="1" si="111"/>
        <v>0</v>
      </c>
      <c r="BA329" s="49">
        <f t="shared" ca="1" si="111"/>
        <v>0</v>
      </c>
      <c r="BB329" s="49">
        <f t="shared" ca="1" si="111"/>
        <v>0</v>
      </c>
      <c r="BC329" s="49">
        <f t="shared" ca="1" si="111"/>
        <v>0</v>
      </c>
      <c r="BD329" s="49">
        <f t="shared" ca="1" si="111"/>
        <v>0</v>
      </c>
      <c r="BE329" s="49">
        <f t="shared" ca="1" si="111"/>
        <v>0</v>
      </c>
      <c r="BF329" s="49">
        <f t="shared" ca="1" si="111"/>
        <v>0</v>
      </c>
      <c r="BG329" s="49">
        <f t="shared" ca="1" si="111"/>
        <v>0</v>
      </c>
      <c r="BH329" s="49">
        <f t="shared" ca="1" si="111"/>
        <v>0</v>
      </c>
      <c r="BI329" s="49">
        <f t="shared" ca="1" si="111"/>
        <v>0</v>
      </c>
      <c r="BJ329" s="49">
        <f t="shared" ca="1" si="111"/>
        <v>0</v>
      </c>
      <c r="BK329" s="49">
        <f t="shared" ca="1" si="111"/>
        <v>0</v>
      </c>
      <c r="BL329" s="49">
        <f t="shared" ca="1" si="111"/>
        <v>0</v>
      </c>
      <c r="BM329" s="49">
        <f t="shared" ca="1" si="111"/>
        <v>0</v>
      </c>
      <c r="BN329" s="49">
        <f t="shared" ca="1" si="111"/>
        <v>0</v>
      </c>
      <c r="BO329" s="49">
        <f t="shared" ca="1" si="111"/>
        <v>0</v>
      </c>
      <c r="BP329" s="49">
        <f t="shared" ca="1" si="111"/>
        <v>0</v>
      </c>
      <c r="BQ329" s="49">
        <f t="shared" ca="1" si="111"/>
        <v>0</v>
      </c>
      <c r="BR329" s="49">
        <f t="shared" ca="1" si="111"/>
        <v>0</v>
      </c>
      <c r="BS329" s="49">
        <f t="shared" ca="1" si="111"/>
        <v>0</v>
      </c>
    </row>
    <row r="330" spans="3:71" outlineLevel="1" x14ac:dyDescent="0.2">
      <c r="J330" s="26"/>
      <c r="L330" s="55"/>
      <c r="M330" s="55"/>
      <c r="N330" s="55"/>
      <c r="O330" s="55"/>
      <c r="P330" s="55"/>
      <c r="Q330" s="55"/>
      <c r="R330" s="55"/>
      <c r="S330" s="55"/>
      <c r="T330" s="55"/>
      <c r="U330" s="55"/>
      <c r="V330" s="55"/>
      <c r="W330" s="55"/>
      <c r="X330" s="55"/>
      <c r="Y330" s="55"/>
      <c r="Z330" s="55"/>
      <c r="AA330" s="55"/>
      <c r="AB330" s="55"/>
      <c r="AC330" s="55"/>
      <c r="AD330" s="55"/>
      <c r="AE330" s="55"/>
      <c r="AF330" s="55"/>
      <c r="AG330" s="55"/>
      <c r="AH330" s="55"/>
      <c r="AI330" s="55"/>
      <c r="AJ330" s="55"/>
      <c r="AK330" s="55"/>
      <c r="AL330" s="55"/>
      <c r="AM330" s="55"/>
      <c r="AN330" s="55"/>
      <c r="AO330" s="55"/>
      <c r="AP330" s="55"/>
      <c r="AQ330" s="55"/>
      <c r="AR330" s="55"/>
      <c r="AS330" s="55"/>
      <c r="AT330" s="55"/>
      <c r="AU330" s="55"/>
      <c r="AV330" s="55"/>
      <c r="AW330" s="55"/>
      <c r="AX330" s="55"/>
      <c r="AY330" s="55"/>
      <c r="AZ330" s="55"/>
      <c r="BA330" s="55"/>
      <c r="BB330" s="55"/>
      <c r="BC330" s="55"/>
      <c r="BD330" s="55"/>
      <c r="BE330" s="55"/>
      <c r="BF330" s="55"/>
      <c r="BG330" s="55"/>
      <c r="BH330" s="55"/>
      <c r="BI330" s="55"/>
      <c r="BJ330" s="55"/>
      <c r="BK330" s="55"/>
      <c r="BL330" s="55"/>
      <c r="BM330" s="55"/>
      <c r="BN330" s="55"/>
      <c r="BO330" s="55"/>
      <c r="BP330" s="55"/>
      <c r="BQ330" s="55"/>
      <c r="BR330" s="55"/>
      <c r="BS330" s="55"/>
    </row>
    <row r="331" spans="3:71" outlineLevel="1" x14ac:dyDescent="0.2">
      <c r="C331" s="11" t="str">
        <f>HM_ZD_Moho!C353</f>
        <v>Volumes de droits</v>
      </c>
      <c r="J331" s="26"/>
      <c r="L331" s="55"/>
      <c r="M331" s="55"/>
      <c r="N331" s="55"/>
      <c r="O331" s="55"/>
      <c r="P331" s="55"/>
      <c r="Q331" s="55"/>
      <c r="R331" s="55"/>
      <c r="S331" s="55"/>
      <c r="T331" s="55"/>
      <c r="U331" s="55"/>
      <c r="V331" s="55"/>
      <c r="W331" s="55"/>
      <c r="X331" s="55"/>
      <c r="Y331" s="55"/>
      <c r="Z331" s="55"/>
      <c r="AA331" s="55"/>
      <c r="AB331" s="55"/>
      <c r="AC331" s="55"/>
      <c r="AD331" s="55"/>
      <c r="AE331" s="55"/>
      <c r="AF331" s="55"/>
      <c r="AG331" s="55"/>
      <c r="AH331" s="55"/>
      <c r="AI331" s="55"/>
      <c r="AJ331" s="55"/>
      <c r="AK331" s="55"/>
      <c r="AL331" s="55"/>
      <c r="AM331" s="55"/>
      <c r="AN331" s="55"/>
      <c r="AO331" s="55"/>
      <c r="AP331" s="55"/>
      <c r="AQ331" s="55"/>
      <c r="AR331" s="55"/>
      <c r="AS331" s="55"/>
      <c r="AT331" s="55"/>
      <c r="AU331" s="55"/>
      <c r="AV331" s="55"/>
      <c r="AW331" s="55"/>
      <c r="AX331" s="55"/>
      <c r="AY331" s="55"/>
      <c r="AZ331" s="55"/>
      <c r="BA331" s="55"/>
      <c r="BB331" s="55"/>
      <c r="BC331" s="55"/>
      <c r="BD331" s="55"/>
      <c r="BE331" s="55"/>
      <c r="BF331" s="55"/>
      <c r="BG331" s="55"/>
      <c r="BH331" s="55"/>
      <c r="BI331" s="55"/>
      <c r="BJ331" s="55"/>
      <c r="BK331" s="55"/>
      <c r="BL331" s="55"/>
      <c r="BM331" s="55"/>
      <c r="BN331" s="55"/>
      <c r="BO331" s="55"/>
      <c r="BP331" s="55"/>
      <c r="BQ331" s="55"/>
      <c r="BR331" s="55"/>
      <c r="BS331" s="55"/>
    </row>
    <row r="332" spans="3:71" outlineLevel="1" x14ac:dyDescent="0.2">
      <c r="D332" t="str">
        <f>HM_ZD_Moho!D354</f>
        <v>Pétrole</v>
      </c>
      <c r="I332" s="30">
        <f t="shared" ref="I332:I334" ca="1" si="112">SUM($L332:$BS332)</f>
        <v>13.528140059626072</v>
      </c>
      <c r="J332" s="26" t="s">
        <v>88</v>
      </c>
      <c r="L332" s="49">
        <f ca="1">IFERROR(HM_ZD_AM3_2005!CA_ent_rev_oil/HM_ZD_AM3_2005!CA_FP_oil_nom,0)</f>
        <v>6.5434370402583886</v>
      </c>
      <c r="M332" s="49">
        <f ca="1">IFERROR(HM_ZD_AM3_2005!CA_ent_rev_oil/HM_ZD_AM3_2005!CA_FP_oil_nom,0)</f>
        <v>6.984703019367684</v>
      </c>
      <c r="N332" s="49">
        <f ca="1">IFERROR(HM_ZD_AM3_2005!CA_ent_rev_oil/HM_ZD_AM3_2005!CA_FP_oil_nom,0)</f>
        <v>0</v>
      </c>
      <c r="O332" s="49">
        <f ca="1">IFERROR(HM_ZD_AM3_2005!CA_ent_rev_oil/HM_ZD_AM3_2005!CA_FP_oil_nom,0)</f>
        <v>0</v>
      </c>
      <c r="P332" s="49">
        <f ca="1">IFERROR(HM_ZD_AM3_2005!CA_ent_rev_oil/HM_ZD_AM3_2005!CA_FP_oil_nom,0)</f>
        <v>0</v>
      </c>
      <c r="Q332" s="49">
        <f ca="1">IFERROR(HM_ZD_AM3_2005!CA_ent_rev_oil/HM_ZD_AM3_2005!CA_FP_oil_nom,0)</f>
        <v>0</v>
      </c>
      <c r="R332" s="49">
        <f ca="1">IFERROR(HM_ZD_AM3_2005!CA_ent_rev_oil/HM_ZD_AM3_2005!CA_FP_oil_nom,0)</f>
        <v>0</v>
      </c>
      <c r="S332" s="49">
        <f ca="1">IFERROR(HM_ZD_AM3_2005!CA_ent_rev_oil/HM_ZD_AM3_2005!CA_FP_oil_nom,0)</f>
        <v>0</v>
      </c>
      <c r="T332" s="49">
        <f ca="1">IFERROR(HM_ZD_AM3_2005!CA_ent_rev_oil/HM_ZD_AM3_2005!CA_FP_oil_nom,0)</f>
        <v>0</v>
      </c>
      <c r="U332" s="49">
        <f ca="1">IFERROR(HM_ZD_AM3_2005!CA_ent_rev_oil/HM_ZD_AM3_2005!CA_FP_oil_nom,0)</f>
        <v>0</v>
      </c>
      <c r="V332" s="49">
        <f ca="1">IFERROR(HM_ZD_AM3_2005!CA_ent_rev_oil/HM_ZD_AM3_2005!CA_FP_oil_nom,0)</f>
        <v>0</v>
      </c>
      <c r="W332" s="49">
        <f ca="1">IFERROR(HM_ZD_AM3_2005!CA_ent_rev_oil/HM_ZD_AM3_2005!CA_FP_oil_nom,0)</f>
        <v>0</v>
      </c>
      <c r="X332" s="49">
        <f ca="1">IFERROR(HM_ZD_AM3_2005!CA_ent_rev_oil/HM_ZD_AM3_2005!CA_FP_oil_nom,0)</f>
        <v>0</v>
      </c>
      <c r="Y332" s="49">
        <f ca="1">IFERROR(HM_ZD_AM3_2005!CA_ent_rev_oil/HM_ZD_AM3_2005!CA_FP_oil_nom,0)</f>
        <v>0</v>
      </c>
      <c r="Z332" s="49">
        <f ca="1">IFERROR(HM_ZD_AM3_2005!CA_ent_rev_oil/HM_ZD_AM3_2005!CA_FP_oil_nom,0)</f>
        <v>0</v>
      </c>
      <c r="AA332" s="49">
        <f ca="1">IFERROR(HM_ZD_AM3_2005!CA_ent_rev_oil/HM_ZD_AM3_2005!CA_FP_oil_nom,0)</f>
        <v>0</v>
      </c>
      <c r="AB332" s="49">
        <f ca="1">IFERROR(HM_ZD_AM3_2005!CA_ent_rev_oil/HM_ZD_AM3_2005!CA_FP_oil_nom,0)</f>
        <v>0</v>
      </c>
      <c r="AC332" s="49">
        <f ca="1">IFERROR(HM_ZD_AM3_2005!CA_ent_rev_oil/HM_ZD_AM3_2005!CA_FP_oil_nom,0)</f>
        <v>0</v>
      </c>
      <c r="AD332" s="49">
        <f ca="1">IFERROR(HM_ZD_AM3_2005!CA_ent_rev_oil/HM_ZD_AM3_2005!CA_FP_oil_nom,0)</f>
        <v>0</v>
      </c>
      <c r="AE332" s="49">
        <f ca="1">IFERROR(HM_ZD_AM3_2005!CA_ent_rev_oil/HM_ZD_AM3_2005!CA_FP_oil_nom,0)</f>
        <v>0</v>
      </c>
      <c r="AF332" s="49">
        <f ca="1">IFERROR(HM_ZD_AM3_2005!CA_ent_rev_oil/HM_ZD_AM3_2005!CA_FP_oil_nom,0)</f>
        <v>0</v>
      </c>
      <c r="AG332" s="49">
        <f ca="1">IFERROR(HM_ZD_AM3_2005!CA_ent_rev_oil/HM_ZD_AM3_2005!CA_FP_oil_nom,0)</f>
        <v>0</v>
      </c>
      <c r="AH332" s="49">
        <f ca="1">IFERROR(HM_ZD_AM3_2005!CA_ent_rev_oil/HM_ZD_AM3_2005!CA_FP_oil_nom,0)</f>
        <v>0</v>
      </c>
      <c r="AI332" s="49">
        <f ca="1">IFERROR(HM_ZD_AM3_2005!CA_ent_rev_oil/HM_ZD_AM3_2005!CA_FP_oil_nom,0)</f>
        <v>0</v>
      </c>
      <c r="AJ332" s="49">
        <f ca="1">IFERROR(HM_ZD_AM3_2005!CA_ent_rev_oil/HM_ZD_AM3_2005!CA_FP_oil_nom,0)</f>
        <v>0</v>
      </c>
      <c r="AK332" s="49">
        <f ca="1">IFERROR(HM_ZD_AM3_2005!CA_ent_rev_oil/HM_ZD_AM3_2005!CA_FP_oil_nom,0)</f>
        <v>0</v>
      </c>
      <c r="AL332" s="49">
        <f ca="1">IFERROR(HM_ZD_AM3_2005!CA_ent_rev_oil/HM_ZD_AM3_2005!CA_FP_oil_nom,0)</f>
        <v>0</v>
      </c>
      <c r="AM332" s="49">
        <f ca="1">IFERROR(HM_ZD_AM3_2005!CA_ent_rev_oil/HM_ZD_AM3_2005!CA_FP_oil_nom,0)</f>
        <v>0</v>
      </c>
      <c r="AN332" s="49">
        <f ca="1">IFERROR(HM_ZD_AM3_2005!CA_ent_rev_oil/HM_ZD_AM3_2005!CA_FP_oil_nom,0)</f>
        <v>0</v>
      </c>
      <c r="AO332" s="49">
        <f ca="1">IFERROR(HM_ZD_AM3_2005!CA_ent_rev_oil/HM_ZD_AM3_2005!CA_FP_oil_nom,0)</f>
        <v>0</v>
      </c>
      <c r="AP332" s="49">
        <f ca="1">IFERROR(HM_ZD_AM3_2005!CA_ent_rev_oil/HM_ZD_AM3_2005!CA_FP_oil_nom,0)</f>
        <v>0</v>
      </c>
      <c r="AQ332" s="49">
        <f ca="1">IFERROR(HM_ZD_AM3_2005!CA_ent_rev_oil/HM_ZD_AM3_2005!CA_FP_oil_nom,0)</f>
        <v>0</v>
      </c>
      <c r="AR332" s="49">
        <f ca="1">IFERROR(HM_ZD_AM3_2005!CA_ent_rev_oil/HM_ZD_AM3_2005!CA_FP_oil_nom,0)</f>
        <v>0</v>
      </c>
      <c r="AS332" s="49">
        <f ca="1">IFERROR(HM_ZD_AM3_2005!CA_ent_rev_oil/HM_ZD_AM3_2005!CA_FP_oil_nom,0)</f>
        <v>0</v>
      </c>
      <c r="AT332" s="49">
        <f ca="1">IFERROR(HM_ZD_AM3_2005!CA_ent_rev_oil/HM_ZD_AM3_2005!CA_FP_oil_nom,0)</f>
        <v>0</v>
      </c>
      <c r="AU332" s="49">
        <f ca="1">IFERROR(HM_ZD_AM3_2005!CA_ent_rev_oil/HM_ZD_AM3_2005!CA_FP_oil_nom,0)</f>
        <v>0</v>
      </c>
      <c r="AV332" s="49">
        <f ca="1">IFERROR(HM_ZD_AM3_2005!CA_ent_rev_oil/HM_ZD_AM3_2005!CA_FP_oil_nom,0)</f>
        <v>0</v>
      </c>
      <c r="AW332" s="49">
        <f ca="1">IFERROR(HM_ZD_AM3_2005!CA_ent_rev_oil/HM_ZD_AM3_2005!CA_FP_oil_nom,0)</f>
        <v>0</v>
      </c>
      <c r="AX332" s="49">
        <f ca="1">IFERROR(HM_ZD_AM3_2005!CA_ent_rev_oil/HM_ZD_AM3_2005!CA_FP_oil_nom,0)</f>
        <v>0</v>
      </c>
      <c r="AY332" s="49">
        <f ca="1">IFERROR(HM_ZD_AM3_2005!CA_ent_rev_oil/HM_ZD_AM3_2005!CA_FP_oil_nom,0)</f>
        <v>0</v>
      </c>
      <c r="AZ332" s="49">
        <f ca="1">IFERROR(HM_ZD_AM3_2005!CA_ent_rev_oil/HM_ZD_AM3_2005!CA_FP_oil_nom,0)</f>
        <v>0</v>
      </c>
      <c r="BA332" s="49">
        <f ca="1">IFERROR(HM_ZD_AM3_2005!CA_ent_rev_oil/HM_ZD_AM3_2005!CA_FP_oil_nom,0)</f>
        <v>0</v>
      </c>
      <c r="BB332" s="49">
        <f ca="1">IFERROR(HM_ZD_AM3_2005!CA_ent_rev_oil/HM_ZD_AM3_2005!CA_FP_oil_nom,0)</f>
        <v>0</v>
      </c>
      <c r="BC332" s="49">
        <f ca="1">IFERROR(HM_ZD_AM3_2005!CA_ent_rev_oil/HM_ZD_AM3_2005!CA_FP_oil_nom,0)</f>
        <v>0</v>
      </c>
      <c r="BD332" s="49">
        <f ca="1">IFERROR(HM_ZD_AM3_2005!CA_ent_rev_oil/HM_ZD_AM3_2005!CA_FP_oil_nom,0)</f>
        <v>0</v>
      </c>
      <c r="BE332" s="49">
        <f ca="1">IFERROR(HM_ZD_AM3_2005!CA_ent_rev_oil/HM_ZD_AM3_2005!CA_FP_oil_nom,0)</f>
        <v>0</v>
      </c>
      <c r="BF332" s="49">
        <f ca="1">IFERROR(HM_ZD_AM3_2005!CA_ent_rev_oil/HM_ZD_AM3_2005!CA_FP_oil_nom,0)</f>
        <v>0</v>
      </c>
      <c r="BG332" s="49">
        <f ca="1">IFERROR(HM_ZD_AM3_2005!CA_ent_rev_oil/HM_ZD_AM3_2005!CA_FP_oil_nom,0)</f>
        <v>0</v>
      </c>
      <c r="BH332" s="49">
        <f ca="1">IFERROR(HM_ZD_AM3_2005!CA_ent_rev_oil/HM_ZD_AM3_2005!CA_FP_oil_nom,0)</f>
        <v>0</v>
      </c>
      <c r="BI332" s="49">
        <f ca="1">IFERROR(HM_ZD_AM3_2005!CA_ent_rev_oil/HM_ZD_AM3_2005!CA_FP_oil_nom,0)</f>
        <v>0</v>
      </c>
      <c r="BJ332" s="49">
        <f ca="1">IFERROR(HM_ZD_AM3_2005!CA_ent_rev_oil/HM_ZD_AM3_2005!CA_FP_oil_nom,0)</f>
        <v>0</v>
      </c>
      <c r="BK332" s="49">
        <f ca="1">IFERROR(HM_ZD_AM3_2005!CA_ent_rev_oil/HM_ZD_AM3_2005!CA_FP_oil_nom,0)</f>
        <v>0</v>
      </c>
      <c r="BL332" s="49">
        <f ca="1">IFERROR(HM_ZD_AM3_2005!CA_ent_rev_oil/HM_ZD_AM3_2005!CA_FP_oil_nom,0)</f>
        <v>0</v>
      </c>
      <c r="BM332" s="49">
        <f ca="1">IFERROR(HM_ZD_AM3_2005!CA_ent_rev_oil/HM_ZD_AM3_2005!CA_FP_oil_nom,0)</f>
        <v>0</v>
      </c>
      <c r="BN332" s="49">
        <f ca="1">IFERROR(HM_ZD_AM3_2005!CA_ent_rev_oil/HM_ZD_AM3_2005!CA_FP_oil_nom,0)</f>
        <v>0</v>
      </c>
      <c r="BO332" s="49">
        <f ca="1">IFERROR(HM_ZD_AM3_2005!CA_ent_rev_oil/HM_ZD_AM3_2005!CA_FP_oil_nom,0)</f>
        <v>0</v>
      </c>
      <c r="BP332" s="49">
        <f ca="1">IFERROR(HM_ZD_AM3_2005!CA_ent_rev_oil/HM_ZD_AM3_2005!CA_FP_oil_nom,0)</f>
        <v>0</v>
      </c>
      <c r="BQ332" s="49">
        <f ca="1">IFERROR(HM_ZD_AM3_2005!CA_ent_rev_oil/HM_ZD_AM3_2005!CA_FP_oil_nom,0)</f>
        <v>0</v>
      </c>
      <c r="BR332" s="49">
        <f ca="1">IFERROR(HM_ZD_AM3_2005!CA_ent_rev_oil/HM_ZD_AM3_2005!CA_FP_oil_nom,0)</f>
        <v>0</v>
      </c>
      <c r="BS332" s="49">
        <f ca="1">IFERROR(HM_ZD_AM3_2005!CA_ent_rev_oil/HM_ZD_AM3_2005!CA_FP_oil_nom,0)</f>
        <v>0</v>
      </c>
    </row>
    <row r="333" spans="3:71" outlineLevel="1" x14ac:dyDescent="0.2">
      <c r="D333" t="str">
        <f>HM_ZD_Moho!D355</f>
        <v>Gaz</v>
      </c>
      <c r="I333" s="30">
        <f t="shared" ca="1" si="112"/>
        <v>0</v>
      </c>
      <c r="J333" s="26" t="s">
        <v>89</v>
      </c>
      <c r="L333" s="49">
        <f ca="1">IFERROR(HM_ZD_AM3_2005!CA_ent_rev_gas/HM_ZD_AM3_2005!CA_FP_gas_nom,0)</f>
        <v>0</v>
      </c>
      <c r="M333" s="49">
        <f ca="1">IFERROR(HM_ZD_AM3_2005!CA_ent_rev_gas/HM_ZD_AM3_2005!CA_FP_gas_nom,0)</f>
        <v>0</v>
      </c>
      <c r="N333" s="49">
        <f ca="1">IFERROR(HM_ZD_AM3_2005!CA_ent_rev_gas/HM_ZD_AM3_2005!CA_FP_gas_nom,0)</f>
        <v>0</v>
      </c>
      <c r="O333" s="49">
        <f ca="1">IFERROR(HM_ZD_AM3_2005!CA_ent_rev_gas/HM_ZD_AM3_2005!CA_FP_gas_nom,0)</f>
        <v>0</v>
      </c>
      <c r="P333" s="49">
        <f ca="1">IFERROR(HM_ZD_AM3_2005!CA_ent_rev_gas/HM_ZD_AM3_2005!CA_FP_gas_nom,0)</f>
        <v>0</v>
      </c>
      <c r="Q333" s="49">
        <f ca="1">IFERROR(HM_ZD_AM3_2005!CA_ent_rev_gas/HM_ZD_AM3_2005!CA_FP_gas_nom,0)</f>
        <v>0</v>
      </c>
      <c r="R333" s="49">
        <f ca="1">IFERROR(HM_ZD_AM3_2005!CA_ent_rev_gas/HM_ZD_AM3_2005!CA_FP_gas_nom,0)</f>
        <v>0</v>
      </c>
      <c r="S333" s="49">
        <f ca="1">IFERROR(HM_ZD_AM3_2005!CA_ent_rev_gas/HM_ZD_AM3_2005!CA_FP_gas_nom,0)</f>
        <v>0</v>
      </c>
      <c r="T333" s="49">
        <f ca="1">IFERROR(HM_ZD_AM3_2005!CA_ent_rev_gas/HM_ZD_AM3_2005!CA_FP_gas_nom,0)</f>
        <v>0</v>
      </c>
      <c r="U333" s="49">
        <f ca="1">IFERROR(HM_ZD_AM3_2005!CA_ent_rev_gas/HM_ZD_AM3_2005!CA_FP_gas_nom,0)</f>
        <v>0</v>
      </c>
      <c r="V333" s="49">
        <f ca="1">IFERROR(HM_ZD_AM3_2005!CA_ent_rev_gas/HM_ZD_AM3_2005!CA_FP_gas_nom,0)</f>
        <v>0</v>
      </c>
      <c r="W333" s="49">
        <f ca="1">IFERROR(HM_ZD_AM3_2005!CA_ent_rev_gas/HM_ZD_AM3_2005!CA_FP_gas_nom,0)</f>
        <v>0</v>
      </c>
      <c r="X333" s="49">
        <f ca="1">IFERROR(HM_ZD_AM3_2005!CA_ent_rev_gas/HM_ZD_AM3_2005!CA_FP_gas_nom,0)</f>
        <v>0</v>
      </c>
      <c r="Y333" s="49">
        <f ca="1">IFERROR(HM_ZD_AM3_2005!CA_ent_rev_gas/HM_ZD_AM3_2005!CA_FP_gas_nom,0)</f>
        <v>0</v>
      </c>
      <c r="Z333" s="49">
        <f ca="1">IFERROR(HM_ZD_AM3_2005!CA_ent_rev_gas/HM_ZD_AM3_2005!CA_FP_gas_nom,0)</f>
        <v>0</v>
      </c>
      <c r="AA333" s="49">
        <f ca="1">IFERROR(HM_ZD_AM3_2005!CA_ent_rev_gas/HM_ZD_AM3_2005!CA_FP_gas_nom,0)</f>
        <v>0</v>
      </c>
      <c r="AB333" s="49">
        <f ca="1">IFERROR(HM_ZD_AM3_2005!CA_ent_rev_gas/HM_ZD_AM3_2005!CA_FP_gas_nom,0)</f>
        <v>0</v>
      </c>
      <c r="AC333" s="49">
        <f ca="1">IFERROR(HM_ZD_AM3_2005!CA_ent_rev_gas/HM_ZD_AM3_2005!CA_FP_gas_nom,0)</f>
        <v>0</v>
      </c>
      <c r="AD333" s="49">
        <f ca="1">IFERROR(HM_ZD_AM3_2005!CA_ent_rev_gas/HM_ZD_AM3_2005!CA_FP_gas_nom,0)</f>
        <v>0</v>
      </c>
      <c r="AE333" s="49">
        <f ca="1">IFERROR(HM_ZD_AM3_2005!CA_ent_rev_gas/HM_ZD_AM3_2005!CA_FP_gas_nom,0)</f>
        <v>0</v>
      </c>
      <c r="AF333" s="49">
        <f ca="1">IFERROR(HM_ZD_AM3_2005!CA_ent_rev_gas/HM_ZD_AM3_2005!CA_FP_gas_nom,0)</f>
        <v>0</v>
      </c>
      <c r="AG333" s="49">
        <f ca="1">IFERROR(HM_ZD_AM3_2005!CA_ent_rev_gas/HM_ZD_AM3_2005!CA_FP_gas_nom,0)</f>
        <v>0</v>
      </c>
      <c r="AH333" s="49">
        <f ca="1">IFERROR(HM_ZD_AM3_2005!CA_ent_rev_gas/HM_ZD_AM3_2005!CA_FP_gas_nom,0)</f>
        <v>0</v>
      </c>
      <c r="AI333" s="49">
        <f ca="1">IFERROR(HM_ZD_AM3_2005!CA_ent_rev_gas/HM_ZD_AM3_2005!CA_FP_gas_nom,0)</f>
        <v>0</v>
      </c>
      <c r="AJ333" s="49">
        <f ca="1">IFERROR(HM_ZD_AM3_2005!CA_ent_rev_gas/HM_ZD_AM3_2005!CA_FP_gas_nom,0)</f>
        <v>0</v>
      </c>
      <c r="AK333" s="49">
        <f ca="1">IFERROR(HM_ZD_AM3_2005!CA_ent_rev_gas/HM_ZD_AM3_2005!CA_FP_gas_nom,0)</f>
        <v>0</v>
      </c>
      <c r="AL333" s="49">
        <f ca="1">IFERROR(HM_ZD_AM3_2005!CA_ent_rev_gas/HM_ZD_AM3_2005!CA_FP_gas_nom,0)</f>
        <v>0</v>
      </c>
      <c r="AM333" s="49">
        <f ca="1">IFERROR(HM_ZD_AM3_2005!CA_ent_rev_gas/HM_ZD_AM3_2005!CA_FP_gas_nom,0)</f>
        <v>0</v>
      </c>
      <c r="AN333" s="49">
        <f ca="1">IFERROR(HM_ZD_AM3_2005!CA_ent_rev_gas/HM_ZD_AM3_2005!CA_FP_gas_nom,0)</f>
        <v>0</v>
      </c>
      <c r="AO333" s="49">
        <f ca="1">IFERROR(HM_ZD_AM3_2005!CA_ent_rev_gas/HM_ZD_AM3_2005!CA_FP_gas_nom,0)</f>
        <v>0</v>
      </c>
      <c r="AP333" s="49">
        <f ca="1">IFERROR(HM_ZD_AM3_2005!CA_ent_rev_gas/HM_ZD_AM3_2005!CA_FP_gas_nom,0)</f>
        <v>0</v>
      </c>
      <c r="AQ333" s="49">
        <f ca="1">IFERROR(HM_ZD_AM3_2005!CA_ent_rev_gas/HM_ZD_AM3_2005!CA_FP_gas_nom,0)</f>
        <v>0</v>
      </c>
      <c r="AR333" s="49">
        <f ca="1">IFERROR(HM_ZD_AM3_2005!CA_ent_rev_gas/HM_ZD_AM3_2005!CA_FP_gas_nom,0)</f>
        <v>0</v>
      </c>
      <c r="AS333" s="49">
        <f ca="1">IFERROR(HM_ZD_AM3_2005!CA_ent_rev_gas/HM_ZD_AM3_2005!CA_FP_gas_nom,0)</f>
        <v>0</v>
      </c>
      <c r="AT333" s="49">
        <f ca="1">IFERROR(HM_ZD_AM3_2005!CA_ent_rev_gas/HM_ZD_AM3_2005!CA_FP_gas_nom,0)</f>
        <v>0</v>
      </c>
      <c r="AU333" s="49">
        <f ca="1">IFERROR(HM_ZD_AM3_2005!CA_ent_rev_gas/HM_ZD_AM3_2005!CA_FP_gas_nom,0)</f>
        <v>0</v>
      </c>
      <c r="AV333" s="49">
        <f ca="1">IFERROR(HM_ZD_AM3_2005!CA_ent_rev_gas/HM_ZD_AM3_2005!CA_FP_gas_nom,0)</f>
        <v>0</v>
      </c>
      <c r="AW333" s="49">
        <f ca="1">IFERROR(HM_ZD_AM3_2005!CA_ent_rev_gas/HM_ZD_AM3_2005!CA_FP_gas_nom,0)</f>
        <v>0</v>
      </c>
      <c r="AX333" s="49">
        <f ca="1">IFERROR(HM_ZD_AM3_2005!CA_ent_rev_gas/HM_ZD_AM3_2005!CA_FP_gas_nom,0)</f>
        <v>0</v>
      </c>
      <c r="AY333" s="49">
        <f ca="1">IFERROR(HM_ZD_AM3_2005!CA_ent_rev_gas/HM_ZD_AM3_2005!CA_FP_gas_nom,0)</f>
        <v>0</v>
      </c>
      <c r="AZ333" s="49">
        <f ca="1">IFERROR(HM_ZD_AM3_2005!CA_ent_rev_gas/HM_ZD_AM3_2005!CA_FP_gas_nom,0)</f>
        <v>0</v>
      </c>
      <c r="BA333" s="49">
        <f ca="1">IFERROR(HM_ZD_AM3_2005!CA_ent_rev_gas/HM_ZD_AM3_2005!CA_FP_gas_nom,0)</f>
        <v>0</v>
      </c>
      <c r="BB333" s="49">
        <f ca="1">IFERROR(HM_ZD_AM3_2005!CA_ent_rev_gas/HM_ZD_AM3_2005!CA_FP_gas_nom,0)</f>
        <v>0</v>
      </c>
      <c r="BC333" s="49">
        <f ca="1">IFERROR(HM_ZD_AM3_2005!CA_ent_rev_gas/HM_ZD_AM3_2005!CA_FP_gas_nom,0)</f>
        <v>0</v>
      </c>
      <c r="BD333" s="49">
        <f ca="1">IFERROR(HM_ZD_AM3_2005!CA_ent_rev_gas/HM_ZD_AM3_2005!CA_FP_gas_nom,0)</f>
        <v>0</v>
      </c>
      <c r="BE333" s="49">
        <f ca="1">IFERROR(HM_ZD_AM3_2005!CA_ent_rev_gas/HM_ZD_AM3_2005!CA_FP_gas_nom,0)</f>
        <v>0</v>
      </c>
      <c r="BF333" s="49">
        <f ca="1">IFERROR(HM_ZD_AM3_2005!CA_ent_rev_gas/HM_ZD_AM3_2005!CA_FP_gas_nom,0)</f>
        <v>0</v>
      </c>
      <c r="BG333" s="49">
        <f ca="1">IFERROR(HM_ZD_AM3_2005!CA_ent_rev_gas/HM_ZD_AM3_2005!CA_FP_gas_nom,0)</f>
        <v>0</v>
      </c>
      <c r="BH333" s="49">
        <f ca="1">IFERROR(HM_ZD_AM3_2005!CA_ent_rev_gas/HM_ZD_AM3_2005!CA_FP_gas_nom,0)</f>
        <v>0</v>
      </c>
      <c r="BI333" s="49">
        <f ca="1">IFERROR(HM_ZD_AM3_2005!CA_ent_rev_gas/HM_ZD_AM3_2005!CA_FP_gas_nom,0)</f>
        <v>0</v>
      </c>
      <c r="BJ333" s="49">
        <f ca="1">IFERROR(HM_ZD_AM3_2005!CA_ent_rev_gas/HM_ZD_AM3_2005!CA_FP_gas_nom,0)</f>
        <v>0</v>
      </c>
      <c r="BK333" s="49">
        <f ca="1">IFERROR(HM_ZD_AM3_2005!CA_ent_rev_gas/HM_ZD_AM3_2005!CA_FP_gas_nom,0)</f>
        <v>0</v>
      </c>
      <c r="BL333" s="49">
        <f ca="1">IFERROR(HM_ZD_AM3_2005!CA_ent_rev_gas/HM_ZD_AM3_2005!CA_FP_gas_nom,0)</f>
        <v>0</v>
      </c>
      <c r="BM333" s="49">
        <f ca="1">IFERROR(HM_ZD_AM3_2005!CA_ent_rev_gas/HM_ZD_AM3_2005!CA_FP_gas_nom,0)</f>
        <v>0</v>
      </c>
      <c r="BN333" s="49">
        <f ca="1">IFERROR(HM_ZD_AM3_2005!CA_ent_rev_gas/HM_ZD_AM3_2005!CA_FP_gas_nom,0)</f>
        <v>0</v>
      </c>
      <c r="BO333" s="49">
        <f ca="1">IFERROR(HM_ZD_AM3_2005!CA_ent_rev_gas/HM_ZD_AM3_2005!CA_FP_gas_nom,0)</f>
        <v>0</v>
      </c>
      <c r="BP333" s="49">
        <f ca="1">IFERROR(HM_ZD_AM3_2005!CA_ent_rev_gas/HM_ZD_AM3_2005!CA_FP_gas_nom,0)</f>
        <v>0</v>
      </c>
      <c r="BQ333" s="49">
        <f ca="1">IFERROR(HM_ZD_AM3_2005!CA_ent_rev_gas/HM_ZD_AM3_2005!CA_FP_gas_nom,0)</f>
        <v>0</v>
      </c>
      <c r="BR333" s="49">
        <f ca="1">IFERROR(HM_ZD_AM3_2005!CA_ent_rev_gas/HM_ZD_AM3_2005!CA_FP_gas_nom,0)</f>
        <v>0</v>
      </c>
      <c r="BS333" s="49">
        <f ca="1">IFERROR(HM_ZD_AM3_2005!CA_ent_rev_gas/HM_ZD_AM3_2005!CA_FP_gas_nom,0)</f>
        <v>0</v>
      </c>
    </row>
    <row r="334" spans="3:71" outlineLevel="1" x14ac:dyDescent="0.2">
      <c r="D334" s="11" t="str">
        <f>HM_ZD_Moho!D356</f>
        <v>Total</v>
      </c>
      <c r="I334" s="30">
        <f t="shared" ca="1" si="112"/>
        <v>13.528140059626072</v>
      </c>
      <c r="J334" s="26" t="s">
        <v>130</v>
      </c>
      <c r="K334" s="7" t="s">
        <v>253</v>
      </c>
      <c r="L334" s="49">
        <f t="shared" ref="L334:BS334" ca="1" si="113">L332+L333*conv_BbltoMcf</f>
        <v>6.5434370402583886</v>
      </c>
      <c r="M334" s="49">
        <f t="shared" ca="1" si="113"/>
        <v>6.984703019367684</v>
      </c>
      <c r="N334" s="49">
        <f t="shared" ca="1" si="113"/>
        <v>0</v>
      </c>
      <c r="O334" s="49">
        <f t="shared" ca="1" si="113"/>
        <v>0</v>
      </c>
      <c r="P334" s="49">
        <f t="shared" ca="1" si="113"/>
        <v>0</v>
      </c>
      <c r="Q334" s="49">
        <f t="shared" ca="1" si="113"/>
        <v>0</v>
      </c>
      <c r="R334" s="49">
        <f t="shared" ca="1" si="113"/>
        <v>0</v>
      </c>
      <c r="S334" s="49">
        <f t="shared" ca="1" si="113"/>
        <v>0</v>
      </c>
      <c r="T334" s="49">
        <f t="shared" ca="1" si="113"/>
        <v>0</v>
      </c>
      <c r="U334" s="49">
        <f t="shared" ca="1" si="113"/>
        <v>0</v>
      </c>
      <c r="V334" s="49">
        <f t="shared" ca="1" si="113"/>
        <v>0</v>
      </c>
      <c r="W334" s="49">
        <f t="shared" ca="1" si="113"/>
        <v>0</v>
      </c>
      <c r="X334" s="49">
        <f t="shared" ca="1" si="113"/>
        <v>0</v>
      </c>
      <c r="Y334" s="49">
        <f t="shared" ca="1" si="113"/>
        <v>0</v>
      </c>
      <c r="Z334" s="49">
        <f t="shared" ca="1" si="113"/>
        <v>0</v>
      </c>
      <c r="AA334" s="49">
        <f t="shared" ca="1" si="113"/>
        <v>0</v>
      </c>
      <c r="AB334" s="49">
        <f t="shared" ca="1" si="113"/>
        <v>0</v>
      </c>
      <c r="AC334" s="49">
        <f t="shared" ca="1" si="113"/>
        <v>0</v>
      </c>
      <c r="AD334" s="49">
        <f t="shared" ca="1" si="113"/>
        <v>0</v>
      </c>
      <c r="AE334" s="49">
        <f t="shared" ca="1" si="113"/>
        <v>0</v>
      </c>
      <c r="AF334" s="49">
        <f t="shared" ca="1" si="113"/>
        <v>0</v>
      </c>
      <c r="AG334" s="49">
        <f t="shared" ca="1" si="113"/>
        <v>0</v>
      </c>
      <c r="AH334" s="49">
        <f t="shared" ca="1" si="113"/>
        <v>0</v>
      </c>
      <c r="AI334" s="49">
        <f t="shared" ca="1" si="113"/>
        <v>0</v>
      </c>
      <c r="AJ334" s="49">
        <f t="shared" ca="1" si="113"/>
        <v>0</v>
      </c>
      <c r="AK334" s="49">
        <f t="shared" ca="1" si="113"/>
        <v>0</v>
      </c>
      <c r="AL334" s="49">
        <f t="shared" ca="1" si="113"/>
        <v>0</v>
      </c>
      <c r="AM334" s="49">
        <f t="shared" ca="1" si="113"/>
        <v>0</v>
      </c>
      <c r="AN334" s="49">
        <f t="shared" ca="1" si="113"/>
        <v>0</v>
      </c>
      <c r="AO334" s="49">
        <f t="shared" ca="1" si="113"/>
        <v>0</v>
      </c>
      <c r="AP334" s="49">
        <f t="shared" ca="1" si="113"/>
        <v>0</v>
      </c>
      <c r="AQ334" s="49">
        <f t="shared" ca="1" si="113"/>
        <v>0</v>
      </c>
      <c r="AR334" s="49">
        <f t="shared" ca="1" si="113"/>
        <v>0</v>
      </c>
      <c r="AS334" s="49">
        <f t="shared" ca="1" si="113"/>
        <v>0</v>
      </c>
      <c r="AT334" s="49">
        <f t="shared" ca="1" si="113"/>
        <v>0</v>
      </c>
      <c r="AU334" s="49">
        <f t="shared" ca="1" si="113"/>
        <v>0</v>
      </c>
      <c r="AV334" s="49">
        <f t="shared" ca="1" si="113"/>
        <v>0</v>
      </c>
      <c r="AW334" s="49">
        <f t="shared" ca="1" si="113"/>
        <v>0</v>
      </c>
      <c r="AX334" s="49">
        <f t="shared" ca="1" si="113"/>
        <v>0</v>
      </c>
      <c r="AY334" s="49">
        <f t="shared" ca="1" si="113"/>
        <v>0</v>
      </c>
      <c r="AZ334" s="49">
        <f t="shared" ca="1" si="113"/>
        <v>0</v>
      </c>
      <c r="BA334" s="49">
        <f t="shared" ca="1" si="113"/>
        <v>0</v>
      </c>
      <c r="BB334" s="49">
        <f t="shared" ca="1" si="113"/>
        <v>0</v>
      </c>
      <c r="BC334" s="49">
        <f t="shared" ca="1" si="113"/>
        <v>0</v>
      </c>
      <c r="BD334" s="49">
        <f t="shared" ca="1" si="113"/>
        <v>0</v>
      </c>
      <c r="BE334" s="49">
        <f t="shared" ca="1" si="113"/>
        <v>0</v>
      </c>
      <c r="BF334" s="49">
        <f t="shared" ca="1" si="113"/>
        <v>0</v>
      </c>
      <c r="BG334" s="49">
        <f t="shared" ca="1" si="113"/>
        <v>0</v>
      </c>
      <c r="BH334" s="49">
        <f t="shared" ca="1" si="113"/>
        <v>0</v>
      </c>
      <c r="BI334" s="49">
        <f t="shared" ca="1" si="113"/>
        <v>0</v>
      </c>
      <c r="BJ334" s="49">
        <f t="shared" ca="1" si="113"/>
        <v>0</v>
      </c>
      <c r="BK334" s="49">
        <f t="shared" ca="1" si="113"/>
        <v>0</v>
      </c>
      <c r="BL334" s="49">
        <f t="shared" ca="1" si="113"/>
        <v>0</v>
      </c>
      <c r="BM334" s="49">
        <f t="shared" ca="1" si="113"/>
        <v>0</v>
      </c>
      <c r="BN334" s="49">
        <f t="shared" ca="1" si="113"/>
        <v>0</v>
      </c>
      <c r="BO334" s="49">
        <f t="shared" ca="1" si="113"/>
        <v>0</v>
      </c>
      <c r="BP334" s="49">
        <f t="shared" ca="1" si="113"/>
        <v>0</v>
      </c>
      <c r="BQ334" s="49">
        <f t="shared" ca="1" si="113"/>
        <v>0</v>
      </c>
      <c r="BR334" s="49">
        <f t="shared" ca="1" si="113"/>
        <v>0</v>
      </c>
      <c r="BS334" s="49">
        <f t="shared" ca="1" si="113"/>
        <v>0</v>
      </c>
    </row>
    <row r="335" spans="3:71" outlineLevel="1" x14ac:dyDescent="0.2">
      <c r="J335" s="26"/>
      <c r="L335" s="55"/>
      <c r="M335" s="55"/>
      <c r="N335" s="55"/>
      <c r="O335" s="55"/>
      <c r="P335" s="55"/>
      <c r="Q335" s="55"/>
      <c r="R335" s="55"/>
      <c r="S335" s="55"/>
      <c r="T335" s="55"/>
      <c r="U335" s="55"/>
      <c r="V335" s="55"/>
      <c r="W335" s="55"/>
      <c r="X335" s="55"/>
      <c r="Y335" s="55"/>
      <c r="Z335" s="55"/>
      <c r="AA335" s="55"/>
      <c r="AB335" s="55"/>
      <c r="AC335" s="55"/>
      <c r="AD335" s="55"/>
      <c r="AE335" s="55"/>
      <c r="AF335" s="55"/>
      <c r="AG335" s="55"/>
      <c r="AH335" s="55"/>
      <c r="AI335" s="55"/>
      <c r="AJ335" s="55"/>
      <c r="AK335" s="55"/>
      <c r="AL335" s="55"/>
      <c r="AM335" s="55"/>
      <c r="AN335" s="55"/>
      <c r="AO335" s="55"/>
      <c r="AP335" s="55"/>
      <c r="AQ335" s="55"/>
      <c r="AR335" s="55"/>
      <c r="AS335" s="55"/>
      <c r="AT335" s="55"/>
      <c r="AU335" s="55"/>
      <c r="AV335" s="55"/>
      <c r="AW335" s="55"/>
      <c r="AX335" s="55"/>
      <c r="AY335" s="55"/>
      <c r="AZ335" s="55"/>
      <c r="BA335" s="55"/>
      <c r="BB335" s="55"/>
      <c r="BC335" s="55"/>
      <c r="BD335" s="55"/>
      <c r="BE335" s="55"/>
      <c r="BF335" s="55"/>
      <c r="BG335" s="55"/>
      <c r="BH335" s="55"/>
      <c r="BI335" s="55"/>
      <c r="BJ335" s="55"/>
      <c r="BK335" s="55"/>
      <c r="BL335" s="55"/>
      <c r="BM335" s="55"/>
      <c r="BN335" s="55"/>
      <c r="BO335" s="55"/>
      <c r="BP335" s="55"/>
      <c r="BQ335" s="55"/>
      <c r="BR335" s="55"/>
      <c r="BS335" s="55"/>
    </row>
    <row r="336" spans="3:71" outlineLevel="1" x14ac:dyDescent="0.2">
      <c r="C336" s="11" t="str">
        <f>HM_ZD_Moho!C358</f>
        <v>Participation</v>
      </c>
      <c r="J336" s="26"/>
      <c r="L336" s="55"/>
      <c r="M336" s="55"/>
      <c r="N336" s="55"/>
      <c r="O336" s="55"/>
      <c r="P336" s="55"/>
      <c r="Q336" s="55"/>
      <c r="R336" s="55"/>
      <c r="S336" s="55"/>
      <c r="T336" s="55"/>
      <c r="U336" s="55"/>
      <c r="V336" s="55"/>
      <c r="W336" s="55"/>
      <c r="X336" s="55"/>
      <c r="Y336" s="55"/>
      <c r="Z336" s="55"/>
      <c r="AA336" s="55"/>
      <c r="AB336" s="55"/>
      <c r="AC336" s="55"/>
      <c r="AD336" s="55"/>
      <c r="AE336" s="55"/>
      <c r="AF336" s="55"/>
      <c r="AG336" s="55"/>
      <c r="AH336" s="55"/>
      <c r="AI336" s="55"/>
      <c r="AJ336" s="55"/>
      <c r="AK336" s="55"/>
      <c r="AL336" s="55"/>
      <c r="AM336" s="55"/>
      <c r="AN336" s="55"/>
      <c r="AO336" s="55"/>
      <c r="AP336" s="55"/>
      <c r="AQ336" s="55"/>
      <c r="AR336" s="55"/>
      <c r="AS336" s="55"/>
      <c r="AT336" s="55"/>
      <c r="AU336" s="55"/>
      <c r="AV336" s="55"/>
      <c r="AW336" s="55"/>
      <c r="AX336" s="55"/>
      <c r="AY336" s="55"/>
      <c r="AZ336" s="55"/>
      <c r="BA336" s="55"/>
      <c r="BB336" s="55"/>
      <c r="BC336" s="55"/>
      <c r="BD336" s="55"/>
      <c r="BE336" s="55"/>
      <c r="BF336" s="55"/>
      <c r="BG336" s="55"/>
      <c r="BH336" s="55"/>
      <c r="BI336" s="55"/>
      <c r="BJ336" s="55"/>
      <c r="BK336" s="55"/>
      <c r="BL336" s="55"/>
      <c r="BM336" s="55"/>
      <c r="BN336" s="55"/>
      <c r="BO336" s="55"/>
      <c r="BP336" s="55"/>
      <c r="BQ336" s="55"/>
      <c r="BR336" s="55"/>
      <c r="BS336" s="55"/>
    </row>
    <row r="337" spans="3:71" outlineLevel="1" x14ac:dyDescent="0.2">
      <c r="D337" t="str">
        <f>HM_ZD_Moho!D359</f>
        <v>Consortium compagnie pétrolières internationales</v>
      </c>
      <c r="J337" s="26" t="s">
        <v>90</v>
      </c>
      <c r="K337" s="7" t="s">
        <v>340</v>
      </c>
      <c r="L337" s="53">
        <f ca="1">HM_ZD_AM3_2005!IOC_WI_perc*HM_ZD_AM3_2005!CA_op_trig</f>
        <v>0.85</v>
      </c>
      <c r="M337" s="53">
        <f ca="1">HM_ZD_AM3_2005!IOC_WI_perc*HM_ZD_AM3_2005!CA_op_trig</f>
        <v>0.85</v>
      </c>
      <c r="N337" s="53">
        <f>HM_ZD_AM3_2005!IOC_WI_perc*HM_ZD_AM3_2005!CA_op_trig</f>
        <v>0</v>
      </c>
      <c r="O337" s="53">
        <f>HM_ZD_AM3_2005!IOC_WI_perc*HM_ZD_AM3_2005!CA_op_trig</f>
        <v>0</v>
      </c>
      <c r="P337" s="53">
        <f>HM_ZD_AM3_2005!IOC_WI_perc*HM_ZD_AM3_2005!CA_op_trig</f>
        <v>0</v>
      </c>
      <c r="Q337" s="53">
        <f>HM_ZD_AM3_2005!IOC_WI_perc*HM_ZD_AM3_2005!CA_op_trig</f>
        <v>0</v>
      </c>
      <c r="R337" s="53">
        <f>HM_ZD_AM3_2005!IOC_WI_perc*HM_ZD_AM3_2005!CA_op_trig</f>
        <v>0</v>
      </c>
      <c r="S337" s="53">
        <f>HM_ZD_AM3_2005!IOC_WI_perc*HM_ZD_AM3_2005!CA_op_trig</f>
        <v>0</v>
      </c>
      <c r="T337" s="53">
        <f>HM_ZD_AM3_2005!IOC_WI_perc*HM_ZD_AM3_2005!CA_op_trig</f>
        <v>0</v>
      </c>
      <c r="U337" s="53">
        <f>HM_ZD_AM3_2005!IOC_WI_perc*HM_ZD_AM3_2005!CA_op_trig</f>
        <v>0</v>
      </c>
      <c r="V337" s="53">
        <f>HM_ZD_AM3_2005!IOC_WI_perc*HM_ZD_AM3_2005!CA_op_trig</f>
        <v>0</v>
      </c>
      <c r="W337" s="53">
        <f>HM_ZD_AM3_2005!IOC_WI_perc*HM_ZD_AM3_2005!CA_op_trig</f>
        <v>0</v>
      </c>
      <c r="X337" s="53">
        <f>HM_ZD_AM3_2005!IOC_WI_perc*HM_ZD_AM3_2005!CA_op_trig</f>
        <v>0</v>
      </c>
      <c r="Y337" s="53">
        <f>HM_ZD_AM3_2005!IOC_WI_perc*HM_ZD_AM3_2005!CA_op_trig</f>
        <v>0</v>
      </c>
      <c r="Z337" s="53">
        <f>HM_ZD_AM3_2005!IOC_WI_perc*HM_ZD_AM3_2005!CA_op_trig</f>
        <v>0</v>
      </c>
      <c r="AA337" s="53">
        <f>HM_ZD_AM3_2005!IOC_WI_perc*HM_ZD_AM3_2005!CA_op_trig</f>
        <v>0</v>
      </c>
      <c r="AB337" s="53">
        <f>HM_ZD_AM3_2005!IOC_WI_perc*HM_ZD_AM3_2005!CA_op_trig</f>
        <v>0</v>
      </c>
      <c r="AC337" s="53">
        <f>HM_ZD_AM3_2005!IOC_WI_perc*HM_ZD_AM3_2005!CA_op_trig</f>
        <v>0</v>
      </c>
      <c r="AD337" s="53">
        <f>HM_ZD_AM3_2005!IOC_WI_perc*HM_ZD_AM3_2005!CA_op_trig</f>
        <v>0</v>
      </c>
      <c r="AE337" s="53">
        <f>HM_ZD_AM3_2005!IOC_WI_perc*HM_ZD_AM3_2005!CA_op_trig</f>
        <v>0</v>
      </c>
      <c r="AF337" s="53">
        <f>HM_ZD_AM3_2005!IOC_WI_perc*HM_ZD_AM3_2005!CA_op_trig</f>
        <v>0</v>
      </c>
      <c r="AG337" s="53">
        <f>HM_ZD_AM3_2005!IOC_WI_perc*HM_ZD_AM3_2005!CA_op_trig</f>
        <v>0</v>
      </c>
      <c r="AH337" s="53">
        <f>HM_ZD_AM3_2005!IOC_WI_perc*HM_ZD_AM3_2005!CA_op_trig</f>
        <v>0</v>
      </c>
      <c r="AI337" s="53">
        <f>HM_ZD_AM3_2005!IOC_WI_perc*HM_ZD_AM3_2005!CA_op_trig</f>
        <v>0</v>
      </c>
      <c r="AJ337" s="53">
        <f>HM_ZD_AM3_2005!IOC_WI_perc*HM_ZD_AM3_2005!CA_op_trig</f>
        <v>0</v>
      </c>
      <c r="AK337" s="53">
        <f>HM_ZD_AM3_2005!IOC_WI_perc*HM_ZD_AM3_2005!CA_op_trig</f>
        <v>0</v>
      </c>
      <c r="AL337" s="53">
        <f>HM_ZD_AM3_2005!IOC_WI_perc*HM_ZD_AM3_2005!CA_op_trig</f>
        <v>0</v>
      </c>
      <c r="AM337" s="53">
        <f>HM_ZD_AM3_2005!IOC_WI_perc*HM_ZD_AM3_2005!CA_op_trig</f>
        <v>0</v>
      </c>
      <c r="AN337" s="53">
        <f>HM_ZD_AM3_2005!IOC_WI_perc*HM_ZD_AM3_2005!CA_op_trig</f>
        <v>0</v>
      </c>
      <c r="AO337" s="53">
        <f>HM_ZD_AM3_2005!IOC_WI_perc*HM_ZD_AM3_2005!CA_op_trig</f>
        <v>0</v>
      </c>
      <c r="AP337" s="53">
        <f>HM_ZD_AM3_2005!IOC_WI_perc*HM_ZD_AM3_2005!CA_op_trig</f>
        <v>0</v>
      </c>
      <c r="AQ337" s="53">
        <f>HM_ZD_AM3_2005!IOC_WI_perc*HM_ZD_AM3_2005!CA_op_trig</f>
        <v>0</v>
      </c>
      <c r="AR337" s="53">
        <f>HM_ZD_AM3_2005!IOC_WI_perc*HM_ZD_AM3_2005!CA_op_trig</f>
        <v>0</v>
      </c>
      <c r="AS337" s="53">
        <f>HM_ZD_AM3_2005!IOC_WI_perc*HM_ZD_AM3_2005!CA_op_trig</f>
        <v>0</v>
      </c>
      <c r="AT337" s="53">
        <f>HM_ZD_AM3_2005!IOC_WI_perc*HM_ZD_AM3_2005!CA_op_trig</f>
        <v>0</v>
      </c>
      <c r="AU337" s="53">
        <f>HM_ZD_AM3_2005!IOC_WI_perc*HM_ZD_AM3_2005!CA_op_trig</f>
        <v>0</v>
      </c>
      <c r="AV337" s="53">
        <f>HM_ZD_AM3_2005!IOC_WI_perc*HM_ZD_AM3_2005!CA_op_trig</f>
        <v>0</v>
      </c>
      <c r="AW337" s="53">
        <f>HM_ZD_AM3_2005!IOC_WI_perc*HM_ZD_AM3_2005!CA_op_trig</f>
        <v>0</v>
      </c>
      <c r="AX337" s="53">
        <f>HM_ZD_AM3_2005!IOC_WI_perc*HM_ZD_AM3_2005!CA_op_trig</f>
        <v>0</v>
      </c>
      <c r="AY337" s="53">
        <f>HM_ZD_AM3_2005!IOC_WI_perc*HM_ZD_AM3_2005!CA_op_trig</f>
        <v>0</v>
      </c>
      <c r="AZ337" s="53">
        <f>HM_ZD_AM3_2005!IOC_WI_perc*HM_ZD_AM3_2005!CA_op_trig</f>
        <v>0</v>
      </c>
      <c r="BA337" s="53">
        <f>HM_ZD_AM3_2005!IOC_WI_perc*HM_ZD_AM3_2005!CA_op_trig</f>
        <v>0</v>
      </c>
      <c r="BB337" s="53">
        <f>HM_ZD_AM3_2005!IOC_WI_perc*HM_ZD_AM3_2005!CA_op_trig</f>
        <v>0</v>
      </c>
      <c r="BC337" s="53">
        <f>HM_ZD_AM3_2005!IOC_WI_perc*HM_ZD_AM3_2005!CA_op_trig</f>
        <v>0</v>
      </c>
      <c r="BD337" s="53">
        <f>HM_ZD_AM3_2005!IOC_WI_perc*HM_ZD_AM3_2005!CA_op_trig</f>
        <v>0</v>
      </c>
      <c r="BE337" s="53">
        <f>HM_ZD_AM3_2005!IOC_WI_perc*HM_ZD_AM3_2005!CA_op_trig</f>
        <v>0</v>
      </c>
      <c r="BF337" s="53">
        <f>HM_ZD_AM3_2005!IOC_WI_perc*HM_ZD_AM3_2005!CA_op_trig</f>
        <v>0</v>
      </c>
      <c r="BG337" s="53">
        <f>HM_ZD_AM3_2005!IOC_WI_perc*HM_ZD_AM3_2005!CA_op_trig</f>
        <v>0</v>
      </c>
      <c r="BH337" s="53">
        <f>HM_ZD_AM3_2005!IOC_WI_perc*HM_ZD_AM3_2005!CA_op_trig</f>
        <v>0</v>
      </c>
      <c r="BI337" s="53">
        <f>HM_ZD_AM3_2005!IOC_WI_perc*HM_ZD_AM3_2005!CA_op_trig</f>
        <v>0</v>
      </c>
      <c r="BJ337" s="53">
        <f>HM_ZD_AM3_2005!IOC_WI_perc*HM_ZD_AM3_2005!CA_op_trig</f>
        <v>0</v>
      </c>
      <c r="BK337" s="53">
        <f>HM_ZD_AM3_2005!IOC_WI_perc*HM_ZD_AM3_2005!CA_op_trig</f>
        <v>0</v>
      </c>
      <c r="BL337" s="53">
        <f>HM_ZD_AM3_2005!IOC_WI_perc*HM_ZD_AM3_2005!CA_op_trig</f>
        <v>0</v>
      </c>
      <c r="BM337" s="53">
        <f>HM_ZD_AM3_2005!IOC_WI_perc*HM_ZD_AM3_2005!CA_op_trig</f>
        <v>0</v>
      </c>
      <c r="BN337" s="53">
        <f>HM_ZD_AM3_2005!IOC_WI_perc*HM_ZD_AM3_2005!CA_op_trig</f>
        <v>0</v>
      </c>
      <c r="BO337" s="53">
        <f>HM_ZD_AM3_2005!IOC_WI_perc*HM_ZD_AM3_2005!CA_op_trig</f>
        <v>0</v>
      </c>
      <c r="BP337" s="53">
        <f>HM_ZD_AM3_2005!IOC_WI_perc*HM_ZD_AM3_2005!CA_op_trig</f>
        <v>0</v>
      </c>
      <c r="BQ337" s="53">
        <f>HM_ZD_AM3_2005!IOC_WI_perc*HM_ZD_AM3_2005!CA_op_trig</f>
        <v>0</v>
      </c>
      <c r="BR337" s="53">
        <f>HM_ZD_AM3_2005!IOC_WI_perc*HM_ZD_AM3_2005!CA_op_trig</f>
        <v>0</v>
      </c>
      <c r="BS337" s="53">
        <f>HM_ZD_AM3_2005!IOC_WI_perc*HM_ZD_AM3_2005!CA_op_trig</f>
        <v>0</v>
      </c>
    </row>
    <row r="338" spans="3:71" outlineLevel="1" x14ac:dyDescent="0.2">
      <c r="D338" t="str">
        <f>HM_ZD_Moho!D360</f>
        <v>Participation compagnie nationale/État</v>
      </c>
      <c r="J338" s="26" t="s">
        <v>90</v>
      </c>
      <c r="K338" s="7" t="s">
        <v>341</v>
      </c>
      <c r="L338" s="53">
        <f ca="1">HM_ZD_AM3_2005!NOC_WI_perc*HM_ZD_AM3_2005!CA_op_trig</f>
        <v>0.15</v>
      </c>
      <c r="M338" s="53">
        <f ca="1">HM_ZD_AM3_2005!NOC_WI_perc*HM_ZD_AM3_2005!CA_op_trig</f>
        <v>0.15</v>
      </c>
      <c r="N338" s="53">
        <f>HM_ZD_AM3_2005!NOC_WI_perc*HM_ZD_AM3_2005!CA_op_trig</f>
        <v>0</v>
      </c>
      <c r="O338" s="53">
        <f>HM_ZD_AM3_2005!NOC_WI_perc*HM_ZD_AM3_2005!CA_op_trig</f>
        <v>0</v>
      </c>
      <c r="P338" s="53">
        <f>HM_ZD_AM3_2005!NOC_WI_perc*HM_ZD_AM3_2005!CA_op_trig</f>
        <v>0</v>
      </c>
      <c r="Q338" s="53">
        <f>HM_ZD_AM3_2005!NOC_WI_perc*HM_ZD_AM3_2005!CA_op_trig</f>
        <v>0</v>
      </c>
      <c r="R338" s="53">
        <f>HM_ZD_AM3_2005!NOC_WI_perc*HM_ZD_AM3_2005!CA_op_trig</f>
        <v>0</v>
      </c>
      <c r="S338" s="53">
        <f>HM_ZD_AM3_2005!NOC_WI_perc*HM_ZD_AM3_2005!CA_op_trig</f>
        <v>0</v>
      </c>
      <c r="T338" s="53">
        <f>HM_ZD_AM3_2005!NOC_WI_perc*HM_ZD_AM3_2005!CA_op_trig</f>
        <v>0</v>
      </c>
      <c r="U338" s="53">
        <f>HM_ZD_AM3_2005!NOC_WI_perc*HM_ZD_AM3_2005!CA_op_trig</f>
        <v>0</v>
      </c>
      <c r="V338" s="53">
        <f>HM_ZD_AM3_2005!NOC_WI_perc*HM_ZD_AM3_2005!CA_op_trig</f>
        <v>0</v>
      </c>
      <c r="W338" s="53">
        <f>HM_ZD_AM3_2005!NOC_WI_perc*HM_ZD_AM3_2005!CA_op_trig</f>
        <v>0</v>
      </c>
      <c r="X338" s="53">
        <f>HM_ZD_AM3_2005!NOC_WI_perc*HM_ZD_AM3_2005!CA_op_trig</f>
        <v>0</v>
      </c>
      <c r="Y338" s="53">
        <f>HM_ZD_AM3_2005!NOC_WI_perc*HM_ZD_AM3_2005!CA_op_trig</f>
        <v>0</v>
      </c>
      <c r="Z338" s="53">
        <f>HM_ZD_AM3_2005!NOC_WI_perc*HM_ZD_AM3_2005!CA_op_trig</f>
        <v>0</v>
      </c>
      <c r="AA338" s="53">
        <f>HM_ZD_AM3_2005!NOC_WI_perc*HM_ZD_AM3_2005!CA_op_trig</f>
        <v>0</v>
      </c>
      <c r="AB338" s="53">
        <f>HM_ZD_AM3_2005!NOC_WI_perc*HM_ZD_AM3_2005!CA_op_trig</f>
        <v>0</v>
      </c>
      <c r="AC338" s="53">
        <f>HM_ZD_AM3_2005!NOC_WI_perc*HM_ZD_AM3_2005!CA_op_trig</f>
        <v>0</v>
      </c>
      <c r="AD338" s="53">
        <f>HM_ZD_AM3_2005!NOC_WI_perc*HM_ZD_AM3_2005!CA_op_trig</f>
        <v>0</v>
      </c>
      <c r="AE338" s="53">
        <f>HM_ZD_AM3_2005!NOC_WI_perc*HM_ZD_AM3_2005!CA_op_trig</f>
        <v>0</v>
      </c>
      <c r="AF338" s="53">
        <f>HM_ZD_AM3_2005!NOC_WI_perc*HM_ZD_AM3_2005!CA_op_trig</f>
        <v>0</v>
      </c>
      <c r="AG338" s="53">
        <f>HM_ZD_AM3_2005!NOC_WI_perc*HM_ZD_AM3_2005!CA_op_trig</f>
        <v>0</v>
      </c>
      <c r="AH338" s="53">
        <f>HM_ZD_AM3_2005!NOC_WI_perc*HM_ZD_AM3_2005!CA_op_trig</f>
        <v>0</v>
      </c>
      <c r="AI338" s="53">
        <f>HM_ZD_AM3_2005!NOC_WI_perc*HM_ZD_AM3_2005!CA_op_trig</f>
        <v>0</v>
      </c>
      <c r="AJ338" s="53">
        <f>HM_ZD_AM3_2005!NOC_WI_perc*HM_ZD_AM3_2005!CA_op_trig</f>
        <v>0</v>
      </c>
      <c r="AK338" s="53">
        <f>HM_ZD_AM3_2005!NOC_WI_perc*HM_ZD_AM3_2005!CA_op_trig</f>
        <v>0</v>
      </c>
      <c r="AL338" s="53">
        <f>HM_ZD_AM3_2005!NOC_WI_perc*HM_ZD_AM3_2005!CA_op_trig</f>
        <v>0</v>
      </c>
      <c r="AM338" s="53">
        <f>HM_ZD_AM3_2005!NOC_WI_perc*HM_ZD_AM3_2005!CA_op_trig</f>
        <v>0</v>
      </c>
      <c r="AN338" s="53">
        <f>HM_ZD_AM3_2005!NOC_WI_perc*HM_ZD_AM3_2005!CA_op_trig</f>
        <v>0</v>
      </c>
      <c r="AO338" s="53">
        <f>HM_ZD_AM3_2005!NOC_WI_perc*HM_ZD_AM3_2005!CA_op_trig</f>
        <v>0</v>
      </c>
      <c r="AP338" s="53">
        <f>HM_ZD_AM3_2005!NOC_WI_perc*HM_ZD_AM3_2005!CA_op_trig</f>
        <v>0</v>
      </c>
      <c r="AQ338" s="53">
        <f>HM_ZD_AM3_2005!NOC_WI_perc*HM_ZD_AM3_2005!CA_op_trig</f>
        <v>0</v>
      </c>
      <c r="AR338" s="53">
        <f>HM_ZD_AM3_2005!NOC_WI_perc*HM_ZD_AM3_2005!CA_op_trig</f>
        <v>0</v>
      </c>
      <c r="AS338" s="53">
        <f>HM_ZD_AM3_2005!NOC_WI_perc*HM_ZD_AM3_2005!CA_op_trig</f>
        <v>0</v>
      </c>
      <c r="AT338" s="53">
        <f>HM_ZD_AM3_2005!NOC_WI_perc*HM_ZD_AM3_2005!CA_op_trig</f>
        <v>0</v>
      </c>
      <c r="AU338" s="53">
        <f>HM_ZD_AM3_2005!NOC_WI_perc*HM_ZD_AM3_2005!CA_op_trig</f>
        <v>0</v>
      </c>
      <c r="AV338" s="53">
        <f>HM_ZD_AM3_2005!NOC_WI_perc*HM_ZD_AM3_2005!CA_op_trig</f>
        <v>0</v>
      </c>
      <c r="AW338" s="53">
        <f>HM_ZD_AM3_2005!NOC_WI_perc*HM_ZD_AM3_2005!CA_op_trig</f>
        <v>0</v>
      </c>
      <c r="AX338" s="53">
        <f>HM_ZD_AM3_2005!NOC_WI_perc*HM_ZD_AM3_2005!CA_op_trig</f>
        <v>0</v>
      </c>
      <c r="AY338" s="53">
        <f>HM_ZD_AM3_2005!NOC_WI_perc*HM_ZD_AM3_2005!CA_op_trig</f>
        <v>0</v>
      </c>
      <c r="AZ338" s="53">
        <f>HM_ZD_AM3_2005!NOC_WI_perc*HM_ZD_AM3_2005!CA_op_trig</f>
        <v>0</v>
      </c>
      <c r="BA338" s="53">
        <f>HM_ZD_AM3_2005!NOC_WI_perc*HM_ZD_AM3_2005!CA_op_trig</f>
        <v>0</v>
      </c>
      <c r="BB338" s="53">
        <f>HM_ZD_AM3_2005!NOC_WI_perc*HM_ZD_AM3_2005!CA_op_trig</f>
        <v>0</v>
      </c>
      <c r="BC338" s="53">
        <f>HM_ZD_AM3_2005!NOC_WI_perc*HM_ZD_AM3_2005!CA_op_trig</f>
        <v>0</v>
      </c>
      <c r="BD338" s="53">
        <f>HM_ZD_AM3_2005!NOC_WI_perc*HM_ZD_AM3_2005!CA_op_trig</f>
        <v>0</v>
      </c>
      <c r="BE338" s="53">
        <f>HM_ZD_AM3_2005!NOC_WI_perc*HM_ZD_AM3_2005!CA_op_trig</f>
        <v>0</v>
      </c>
      <c r="BF338" s="53">
        <f>HM_ZD_AM3_2005!NOC_WI_perc*HM_ZD_AM3_2005!CA_op_trig</f>
        <v>0</v>
      </c>
      <c r="BG338" s="53">
        <f>HM_ZD_AM3_2005!NOC_WI_perc*HM_ZD_AM3_2005!CA_op_trig</f>
        <v>0</v>
      </c>
      <c r="BH338" s="53">
        <f>HM_ZD_AM3_2005!NOC_WI_perc*HM_ZD_AM3_2005!CA_op_trig</f>
        <v>0</v>
      </c>
      <c r="BI338" s="53">
        <f>HM_ZD_AM3_2005!NOC_WI_perc*HM_ZD_AM3_2005!CA_op_trig</f>
        <v>0</v>
      </c>
      <c r="BJ338" s="53">
        <f>HM_ZD_AM3_2005!NOC_WI_perc*HM_ZD_AM3_2005!CA_op_trig</f>
        <v>0</v>
      </c>
      <c r="BK338" s="53">
        <f>HM_ZD_AM3_2005!NOC_WI_perc*HM_ZD_AM3_2005!CA_op_trig</f>
        <v>0</v>
      </c>
      <c r="BL338" s="53">
        <f>HM_ZD_AM3_2005!NOC_WI_perc*HM_ZD_AM3_2005!CA_op_trig</f>
        <v>0</v>
      </c>
      <c r="BM338" s="53">
        <f>HM_ZD_AM3_2005!NOC_WI_perc*HM_ZD_AM3_2005!CA_op_trig</f>
        <v>0</v>
      </c>
      <c r="BN338" s="53">
        <f>HM_ZD_AM3_2005!NOC_WI_perc*HM_ZD_AM3_2005!CA_op_trig</f>
        <v>0</v>
      </c>
      <c r="BO338" s="53">
        <f>HM_ZD_AM3_2005!NOC_WI_perc*HM_ZD_AM3_2005!CA_op_trig</f>
        <v>0</v>
      </c>
      <c r="BP338" s="53">
        <f>HM_ZD_AM3_2005!NOC_WI_perc*HM_ZD_AM3_2005!CA_op_trig</f>
        <v>0</v>
      </c>
      <c r="BQ338" s="53">
        <f>HM_ZD_AM3_2005!NOC_WI_perc*HM_ZD_AM3_2005!CA_op_trig</f>
        <v>0</v>
      </c>
      <c r="BR338" s="53">
        <f>HM_ZD_AM3_2005!NOC_WI_perc*HM_ZD_AM3_2005!CA_op_trig</f>
        <v>0</v>
      </c>
      <c r="BS338" s="53">
        <f>HM_ZD_AM3_2005!NOC_WI_perc*HM_ZD_AM3_2005!CA_op_trig</f>
        <v>0</v>
      </c>
    </row>
    <row r="339" spans="3:71" outlineLevel="1" x14ac:dyDescent="0.2">
      <c r="J339" s="26"/>
      <c r="L339" s="55"/>
      <c r="M339" s="55"/>
      <c r="N339" s="55"/>
      <c r="O339" s="55"/>
      <c r="P339" s="55"/>
      <c r="Q339" s="55"/>
      <c r="R339" s="55"/>
      <c r="S339" s="55"/>
      <c r="T339" s="55"/>
      <c r="U339" s="55"/>
      <c r="V339" s="55"/>
      <c r="W339" s="55"/>
      <c r="X339" s="55"/>
      <c r="Y339" s="55"/>
      <c r="Z339" s="55"/>
      <c r="AA339" s="55"/>
      <c r="AB339" s="55"/>
      <c r="AC339" s="55"/>
      <c r="AD339" s="55"/>
      <c r="AE339" s="55"/>
      <c r="AF339" s="55"/>
      <c r="AG339" s="55"/>
      <c r="AH339" s="55"/>
      <c r="AI339" s="55"/>
      <c r="AJ339" s="55"/>
      <c r="AK339" s="55"/>
      <c r="AL339" s="55"/>
      <c r="AM339" s="55"/>
      <c r="AN339" s="55"/>
      <c r="AO339" s="55"/>
      <c r="AP339" s="55"/>
      <c r="AQ339" s="55"/>
      <c r="AR339" s="55"/>
      <c r="AS339" s="55"/>
      <c r="AT339" s="55"/>
      <c r="AU339" s="55"/>
      <c r="AV339" s="55"/>
      <c r="AW339" s="55"/>
      <c r="AX339" s="55"/>
      <c r="AY339" s="55"/>
      <c r="AZ339" s="55"/>
      <c r="BA339" s="55"/>
      <c r="BB339" s="55"/>
      <c r="BC339" s="55"/>
      <c r="BD339" s="55"/>
      <c r="BE339" s="55"/>
      <c r="BF339" s="55"/>
      <c r="BG339" s="55"/>
      <c r="BH339" s="55"/>
      <c r="BI339" s="55"/>
      <c r="BJ339" s="55"/>
      <c r="BK339" s="55"/>
      <c r="BL339" s="55"/>
      <c r="BM339" s="55"/>
      <c r="BN339" s="55"/>
      <c r="BO339" s="55"/>
      <c r="BP339" s="55"/>
      <c r="BQ339" s="55"/>
      <c r="BR339" s="55"/>
      <c r="BS339" s="55"/>
    </row>
    <row r="340" spans="3:71" outlineLevel="1" x14ac:dyDescent="0.2">
      <c r="C340" s="11" t="str">
        <f>HM_ZD_Moho!C362</f>
        <v>Revenus des droits selon participation -pétrole</v>
      </c>
      <c r="J340" s="26"/>
      <c r="L340" s="55"/>
      <c r="M340" s="55"/>
      <c r="N340" s="55"/>
      <c r="O340" s="55"/>
      <c r="P340" s="55"/>
      <c r="Q340" s="55"/>
      <c r="R340" s="55"/>
      <c r="S340" s="55"/>
      <c r="T340" s="55"/>
      <c r="U340" s="55"/>
      <c r="V340" s="55"/>
      <c r="W340" s="55"/>
      <c r="X340" s="55"/>
      <c r="Y340" s="55"/>
      <c r="Z340" s="55"/>
      <c r="AA340" s="55"/>
      <c r="AB340" s="55"/>
      <c r="AC340" s="55"/>
      <c r="AD340" s="55"/>
      <c r="AE340" s="55"/>
      <c r="AF340" s="55"/>
      <c r="AG340" s="55"/>
      <c r="AH340" s="55"/>
      <c r="AI340" s="55"/>
      <c r="AJ340" s="55"/>
      <c r="AK340" s="55"/>
      <c r="AL340" s="55"/>
      <c r="AM340" s="55"/>
      <c r="AN340" s="55"/>
      <c r="AO340" s="55"/>
      <c r="AP340" s="55"/>
      <c r="AQ340" s="55"/>
      <c r="AR340" s="55"/>
      <c r="AS340" s="55"/>
      <c r="AT340" s="55"/>
      <c r="AU340" s="55"/>
      <c r="AV340" s="55"/>
      <c r="AW340" s="55"/>
      <c r="AX340" s="55"/>
      <c r="AY340" s="55"/>
      <c r="AZ340" s="55"/>
      <c r="BA340" s="55"/>
      <c r="BB340" s="55"/>
      <c r="BC340" s="55"/>
      <c r="BD340" s="55"/>
      <c r="BE340" s="55"/>
      <c r="BF340" s="55"/>
      <c r="BG340" s="55"/>
      <c r="BH340" s="55"/>
      <c r="BI340" s="55"/>
      <c r="BJ340" s="55"/>
      <c r="BK340" s="55"/>
      <c r="BL340" s="55"/>
      <c r="BM340" s="55"/>
      <c r="BN340" s="55"/>
      <c r="BO340" s="55"/>
      <c r="BP340" s="55"/>
      <c r="BQ340" s="55"/>
      <c r="BR340" s="55"/>
      <c r="BS340" s="55"/>
    </row>
    <row r="341" spans="3:71" outlineLevel="1" x14ac:dyDescent="0.2">
      <c r="D341" t="str">
        <f>HM_ZD_Moho!D363</f>
        <v>Consortium compagnie pétrolières internationales</v>
      </c>
      <c r="I341" s="30">
        <f t="shared" ref="I341:I343" ca="1" si="114">SUM($L341:$BS341)</f>
        <v>1157.6227634915781</v>
      </c>
      <c r="J341" s="26" t="s">
        <v>148</v>
      </c>
      <c r="L341" s="49">
        <f ca="1">HM_ZD_AM3_2005!CA_ent_rev_oil*HM_ZD_AM3_2005!CA_IOC_WI</f>
        <v>587.14950446678392</v>
      </c>
      <c r="M341" s="49">
        <f ca="1">HM_ZD_AM3_2005!CA_ent_rev_oil*HM_ZD_AM3_2005!CA_IOC_WI</f>
        <v>570.47325902479417</v>
      </c>
      <c r="N341" s="49">
        <f ca="1">HM_ZD_AM3_2005!CA_ent_rev_oil*HM_ZD_AM3_2005!CA_IOC_WI</f>
        <v>0</v>
      </c>
      <c r="O341" s="49">
        <f ca="1">HM_ZD_AM3_2005!CA_ent_rev_oil*HM_ZD_AM3_2005!CA_IOC_WI</f>
        <v>0</v>
      </c>
      <c r="P341" s="49">
        <f ca="1">HM_ZD_AM3_2005!CA_ent_rev_oil*HM_ZD_AM3_2005!CA_IOC_WI</f>
        <v>0</v>
      </c>
      <c r="Q341" s="49">
        <f ca="1">HM_ZD_AM3_2005!CA_ent_rev_oil*HM_ZD_AM3_2005!CA_IOC_WI</f>
        <v>0</v>
      </c>
      <c r="R341" s="49">
        <f ca="1">HM_ZD_AM3_2005!CA_ent_rev_oil*HM_ZD_AM3_2005!CA_IOC_WI</f>
        <v>0</v>
      </c>
      <c r="S341" s="49">
        <f ca="1">HM_ZD_AM3_2005!CA_ent_rev_oil*HM_ZD_AM3_2005!CA_IOC_WI</f>
        <v>0</v>
      </c>
      <c r="T341" s="49">
        <f ca="1">HM_ZD_AM3_2005!CA_ent_rev_oil*HM_ZD_AM3_2005!CA_IOC_WI</f>
        <v>0</v>
      </c>
      <c r="U341" s="49">
        <f ca="1">HM_ZD_AM3_2005!CA_ent_rev_oil*HM_ZD_AM3_2005!CA_IOC_WI</f>
        <v>0</v>
      </c>
      <c r="V341" s="49">
        <f ca="1">HM_ZD_AM3_2005!CA_ent_rev_oil*HM_ZD_AM3_2005!CA_IOC_WI</f>
        <v>0</v>
      </c>
      <c r="W341" s="49">
        <f ca="1">HM_ZD_AM3_2005!CA_ent_rev_oil*HM_ZD_AM3_2005!CA_IOC_WI</f>
        <v>0</v>
      </c>
      <c r="X341" s="49">
        <f ca="1">HM_ZD_AM3_2005!CA_ent_rev_oil*HM_ZD_AM3_2005!CA_IOC_WI</f>
        <v>0</v>
      </c>
      <c r="Y341" s="49">
        <f ca="1">HM_ZD_AM3_2005!CA_ent_rev_oil*HM_ZD_AM3_2005!CA_IOC_WI</f>
        <v>0</v>
      </c>
      <c r="Z341" s="49">
        <f ca="1">HM_ZD_AM3_2005!CA_ent_rev_oil*HM_ZD_AM3_2005!CA_IOC_WI</f>
        <v>0</v>
      </c>
      <c r="AA341" s="49">
        <f ca="1">HM_ZD_AM3_2005!CA_ent_rev_oil*HM_ZD_AM3_2005!CA_IOC_WI</f>
        <v>0</v>
      </c>
      <c r="AB341" s="49">
        <f ca="1">HM_ZD_AM3_2005!CA_ent_rev_oil*HM_ZD_AM3_2005!CA_IOC_WI</f>
        <v>0</v>
      </c>
      <c r="AC341" s="49">
        <f ca="1">HM_ZD_AM3_2005!CA_ent_rev_oil*HM_ZD_AM3_2005!CA_IOC_WI</f>
        <v>0</v>
      </c>
      <c r="AD341" s="49">
        <f ca="1">HM_ZD_AM3_2005!CA_ent_rev_oil*HM_ZD_AM3_2005!CA_IOC_WI</f>
        <v>0</v>
      </c>
      <c r="AE341" s="49">
        <f ca="1">HM_ZD_AM3_2005!CA_ent_rev_oil*HM_ZD_AM3_2005!CA_IOC_WI</f>
        <v>0</v>
      </c>
      <c r="AF341" s="49">
        <f ca="1">HM_ZD_AM3_2005!CA_ent_rev_oil*HM_ZD_AM3_2005!CA_IOC_WI</f>
        <v>0</v>
      </c>
      <c r="AG341" s="49">
        <f ca="1">HM_ZD_AM3_2005!CA_ent_rev_oil*HM_ZD_AM3_2005!CA_IOC_WI</f>
        <v>0</v>
      </c>
      <c r="AH341" s="49">
        <f ca="1">HM_ZD_AM3_2005!CA_ent_rev_oil*HM_ZD_AM3_2005!CA_IOC_WI</f>
        <v>0</v>
      </c>
      <c r="AI341" s="49">
        <f ca="1">HM_ZD_AM3_2005!CA_ent_rev_oil*HM_ZD_AM3_2005!CA_IOC_WI</f>
        <v>0</v>
      </c>
      <c r="AJ341" s="49">
        <f ca="1">HM_ZD_AM3_2005!CA_ent_rev_oil*HM_ZD_AM3_2005!CA_IOC_WI</f>
        <v>0</v>
      </c>
      <c r="AK341" s="49">
        <f ca="1">HM_ZD_AM3_2005!CA_ent_rev_oil*HM_ZD_AM3_2005!CA_IOC_WI</f>
        <v>0</v>
      </c>
      <c r="AL341" s="49">
        <f ca="1">HM_ZD_AM3_2005!CA_ent_rev_oil*HM_ZD_AM3_2005!CA_IOC_WI</f>
        <v>0</v>
      </c>
      <c r="AM341" s="49">
        <f ca="1">HM_ZD_AM3_2005!CA_ent_rev_oil*HM_ZD_AM3_2005!CA_IOC_WI</f>
        <v>0</v>
      </c>
      <c r="AN341" s="49">
        <f ca="1">HM_ZD_AM3_2005!CA_ent_rev_oil*HM_ZD_AM3_2005!CA_IOC_WI</f>
        <v>0</v>
      </c>
      <c r="AO341" s="49">
        <f ca="1">HM_ZD_AM3_2005!CA_ent_rev_oil*HM_ZD_AM3_2005!CA_IOC_WI</f>
        <v>0</v>
      </c>
      <c r="AP341" s="49">
        <f ca="1">HM_ZD_AM3_2005!CA_ent_rev_oil*HM_ZD_AM3_2005!CA_IOC_WI</f>
        <v>0</v>
      </c>
      <c r="AQ341" s="49">
        <f ca="1">HM_ZD_AM3_2005!CA_ent_rev_oil*HM_ZD_AM3_2005!CA_IOC_WI</f>
        <v>0</v>
      </c>
      <c r="AR341" s="49">
        <f ca="1">HM_ZD_AM3_2005!CA_ent_rev_oil*HM_ZD_AM3_2005!CA_IOC_WI</f>
        <v>0</v>
      </c>
      <c r="AS341" s="49">
        <f ca="1">HM_ZD_AM3_2005!CA_ent_rev_oil*HM_ZD_AM3_2005!CA_IOC_WI</f>
        <v>0</v>
      </c>
      <c r="AT341" s="49">
        <f ca="1">HM_ZD_AM3_2005!CA_ent_rev_oil*HM_ZD_AM3_2005!CA_IOC_WI</f>
        <v>0</v>
      </c>
      <c r="AU341" s="49">
        <f ca="1">HM_ZD_AM3_2005!CA_ent_rev_oil*HM_ZD_AM3_2005!CA_IOC_WI</f>
        <v>0</v>
      </c>
      <c r="AV341" s="49">
        <f ca="1">HM_ZD_AM3_2005!CA_ent_rev_oil*HM_ZD_AM3_2005!CA_IOC_WI</f>
        <v>0</v>
      </c>
      <c r="AW341" s="49">
        <f ca="1">HM_ZD_AM3_2005!CA_ent_rev_oil*HM_ZD_AM3_2005!CA_IOC_WI</f>
        <v>0</v>
      </c>
      <c r="AX341" s="49">
        <f ca="1">HM_ZD_AM3_2005!CA_ent_rev_oil*HM_ZD_AM3_2005!CA_IOC_WI</f>
        <v>0</v>
      </c>
      <c r="AY341" s="49">
        <f ca="1">HM_ZD_AM3_2005!CA_ent_rev_oil*HM_ZD_AM3_2005!CA_IOC_WI</f>
        <v>0</v>
      </c>
      <c r="AZ341" s="49">
        <f ca="1">HM_ZD_AM3_2005!CA_ent_rev_oil*HM_ZD_AM3_2005!CA_IOC_WI</f>
        <v>0</v>
      </c>
      <c r="BA341" s="49">
        <f ca="1">HM_ZD_AM3_2005!CA_ent_rev_oil*HM_ZD_AM3_2005!CA_IOC_WI</f>
        <v>0</v>
      </c>
      <c r="BB341" s="49">
        <f ca="1">HM_ZD_AM3_2005!CA_ent_rev_oil*HM_ZD_AM3_2005!CA_IOC_WI</f>
        <v>0</v>
      </c>
      <c r="BC341" s="49">
        <f ca="1">HM_ZD_AM3_2005!CA_ent_rev_oil*HM_ZD_AM3_2005!CA_IOC_WI</f>
        <v>0</v>
      </c>
      <c r="BD341" s="49">
        <f ca="1">HM_ZD_AM3_2005!CA_ent_rev_oil*HM_ZD_AM3_2005!CA_IOC_WI</f>
        <v>0</v>
      </c>
      <c r="BE341" s="49">
        <f ca="1">HM_ZD_AM3_2005!CA_ent_rev_oil*HM_ZD_AM3_2005!CA_IOC_WI</f>
        <v>0</v>
      </c>
      <c r="BF341" s="49">
        <f ca="1">HM_ZD_AM3_2005!CA_ent_rev_oil*HM_ZD_AM3_2005!CA_IOC_WI</f>
        <v>0</v>
      </c>
      <c r="BG341" s="49">
        <f ca="1">HM_ZD_AM3_2005!CA_ent_rev_oil*HM_ZD_AM3_2005!CA_IOC_WI</f>
        <v>0</v>
      </c>
      <c r="BH341" s="49">
        <f ca="1">HM_ZD_AM3_2005!CA_ent_rev_oil*HM_ZD_AM3_2005!CA_IOC_WI</f>
        <v>0</v>
      </c>
      <c r="BI341" s="49">
        <f ca="1">HM_ZD_AM3_2005!CA_ent_rev_oil*HM_ZD_AM3_2005!CA_IOC_WI</f>
        <v>0</v>
      </c>
      <c r="BJ341" s="49">
        <f ca="1">HM_ZD_AM3_2005!CA_ent_rev_oil*HM_ZD_AM3_2005!CA_IOC_WI</f>
        <v>0</v>
      </c>
      <c r="BK341" s="49">
        <f ca="1">HM_ZD_AM3_2005!CA_ent_rev_oil*HM_ZD_AM3_2005!CA_IOC_WI</f>
        <v>0</v>
      </c>
      <c r="BL341" s="49">
        <f ca="1">HM_ZD_AM3_2005!CA_ent_rev_oil*HM_ZD_AM3_2005!CA_IOC_WI</f>
        <v>0</v>
      </c>
      <c r="BM341" s="49">
        <f ca="1">HM_ZD_AM3_2005!CA_ent_rev_oil*HM_ZD_AM3_2005!CA_IOC_WI</f>
        <v>0</v>
      </c>
      <c r="BN341" s="49">
        <f ca="1">HM_ZD_AM3_2005!CA_ent_rev_oil*HM_ZD_AM3_2005!CA_IOC_WI</f>
        <v>0</v>
      </c>
      <c r="BO341" s="49">
        <f ca="1">HM_ZD_AM3_2005!CA_ent_rev_oil*HM_ZD_AM3_2005!CA_IOC_WI</f>
        <v>0</v>
      </c>
      <c r="BP341" s="49">
        <f ca="1">HM_ZD_AM3_2005!CA_ent_rev_oil*HM_ZD_AM3_2005!CA_IOC_WI</f>
        <v>0</v>
      </c>
      <c r="BQ341" s="49">
        <f ca="1">HM_ZD_AM3_2005!CA_ent_rev_oil*HM_ZD_AM3_2005!CA_IOC_WI</f>
        <v>0</v>
      </c>
      <c r="BR341" s="49">
        <f ca="1">HM_ZD_AM3_2005!CA_ent_rev_oil*HM_ZD_AM3_2005!CA_IOC_WI</f>
        <v>0</v>
      </c>
      <c r="BS341" s="49">
        <f ca="1">HM_ZD_AM3_2005!CA_ent_rev_oil*HM_ZD_AM3_2005!CA_IOC_WI</f>
        <v>0</v>
      </c>
    </row>
    <row r="342" spans="3:71" outlineLevel="1" x14ac:dyDescent="0.2">
      <c r="D342" t="str">
        <f>HM_ZD_Moho!D364</f>
        <v>Participation compagnie nationale/État</v>
      </c>
      <c r="I342" s="30">
        <f t="shared" ca="1" si="114"/>
        <v>204.28637002792556</v>
      </c>
      <c r="J342" s="26" t="s">
        <v>148</v>
      </c>
      <c r="L342" s="49">
        <f ca="1">HM_ZD_AM3_2005!CA_ent_rev_oil*HM_ZD_AM3_2005!CA_NOC_WI</f>
        <v>103.61461843531481</v>
      </c>
      <c r="M342" s="49">
        <f ca="1">HM_ZD_AM3_2005!CA_ent_rev_oil*HM_ZD_AM3_2005!CA_NOC_WI</f>
        <v>100.67175159261075</v>
      </c>
      <c r="N342" s="49">
        <f ca="1">HM_ZD_AM3_2005!CA_ent_rev_oil*HM_ZD_AM3_2005!CA_NOC_WI</f>
        <v>0</v>
      </c>
      <c r="O342" s="49">
        <f ca="1">HM_ZD_AM3_2005!CA_ent_rev_oil*HM_ZD_AM3_2005!CA_NOC_WI</f>
        <v>0</v>
      </c>
      <c r="P342" s="49">
        <f ca="1">HM_ZD_AM3_2005!CA_ent_rev_oil*HM_ZD_AM3_2005!CA_NOC_WI</f>
        <v>0</v>
      </c>
      <c r="Q342" s="49">
        <f ca="1">HM_ZD_AM3_2005!CA_ent_rev_oil*HM_ZD_AM3_2005!CA_NOC_WI</f>
        <v>0</v>
      </c>
      <c r="R342" s="49">
        <f ca="1">HM_ZD_AM3_2005!CA_ent_rev_oil*HM_ZD_AM3_2005!CA_NOC_WI</f>
        <v>0</v>
      </c>
      <c r="S342" s="49">
        <f ca="1">HM_ZD_AM3_2005!CA_ent_rev_oil*HM_ZD_AM3_2005!CA_NOC_WI</f>
        <v>0</v>
      </c>
      <c r="T342" s="49">
        <f ca="1">HM_ZD_AM3_2005!CA_ent_rev_oil*HM_ZD_AM3_2005!CA_NOC_WI</f>
        <v>0</v>
      </c>
      <c r="U342" s="49">
        <f ca="1">HM_ZD_AM3_2005!CA_ent_rev_oil*HM_ZD_AM3_2005!CA_NOC_WI</f>
        <v>0</v>
      </c>
      <c r="V342" s="49">
        <f ca="1">HM_ZD_AM3_2005!CA_ent_rev_oil*HM_ZD_AM3_2005!CA_NOC_WI</f>
        <v>0</v>
      </c>
      <c r="W342" s="49">
        <f ca="1">HM_ZD_AM3_2005!CA_ent_rev_oil*HM_ZD_AM3_2005!CA_NOC_WI</f>
        <v>0</v>
      </c>
      <c r="X342" s="49">
        <f ca="1">HM_ZD_AM3_2005!CA_ent_rev_oil*HM_ZD_AM3_2005!CA_NOC_WI</f>
        <v>0</v>
      </c>
      <c r="Y342" s="49">
        <f ca="1">HM_ZD_AM3_2005!CA_ent_rev_oil*HM_ZD_AM3_2005!CA_NOC_WI</f>
        <v>0</v>
      </c>
      <c r="Z342" s="49">
        <f ca="1">HM_ZD_AM3_2005!CA_ent_rev_oil*HM_ZD_AM3_2005!CA_NOC_WI</f>
        <v>0</v>
      </c>
      <c r="AA342" s="49">
        <f ca="1">HM_ZD_AM3_2005!CA_ent_rev_oil*HM_ZD_AM3_2005!CA_NOC_WI</f>
        <v>0</v>
      </c>
      <c r="AB342" s="49">
        <f ca="1">HM_ZD_AM3_2005!CA_ent_rev_oil*HM_ZD_AM3_2005!CA_NOC_WI</f>
        <v>0</v>
      </c>
      <c r="AC342" s="49">
        <f ca="1">HM_ZD_AM3_2005!CA_ent_rev_oil*HM_ZD_AM3_2005!CA_NOC_WI</f>
        <v>0</v>
      </c>
      <c r="AD342" s="49">
        <f ca="1">HM_ZD_AM3_2005!CA_ent_rev_oil*HM_ZD_AM3_2005!CA_NOC_WI</f>
        <v>0</v>
      </c>
      <c r="AE342" s="49">
        <f ca="1">HM_ZD_AM3_2005!CA_ent_rev_oil*HM_ZD_AM3_2005!CA_NOC_WI</f>
        <v>0</v>
      </c>
      <c r="AF342" s="49">
        <f ca="1">HM_ZD_AM3_2005!CA_ent_rev_oil*HM_ZD_AM3_2005!CA_NOC_WI</f>
        <v>0</v>
      </c>
      <c r="AG342" s="49">
        <f ca="1">HM_ZD_AM3_2005!CA_ent_rev_oil*HM_ZD_AM3_2005!CA_NOC_WI</f>
        <v>0</v>
      </c>
      <c r="AH342" s="49">
        <f ca="1">HM_ZD_AM3_2005!CA_ent_rev_oil*HM_ZD_AM3_2005!CA_NOC_WI</f>
        <v>0</v>
      </c>
      <c r="AI342" s="49">
        <f ca="1">HM_ZD_AM3_2005!CA_ent_rev_oil*HM_ZD_AM3_2005!CA_NOC_WI</f>
        <v>0</v>
      </c>
      <c r="AJ342" s="49">
        <f ca="1">HM_ZD_AM3_2005!CA_ent_rev_oil*HM_ZD_AM3_2005!CA_NOC_WI</f>
        <v>0</v>
      </c>
      <c r="AK342" s="49">
        <f ca="1">HM_ZD_AM3_2005!CA_ent_rev_oil*HM_ZD_AM3_2005!CA_NOC_WI</f>
        <v>0</v>
      </c>
      <c r="AL342" s="49">
        <f ca="1">HM_ZD_AM3_2005!CA_ent_rev_oil*HM_ZD_AM3_2005!CA_NOC_WI</f>
        <v>0</v>
      </c>
      <c r="AM342" s="49">
        <f ca="1">HM_ZD_AM3_2005!CA_ent_rev_oil*HM_ZD_AM3_2005!CA_NOC_WI</f>
        <v>0</v>
      </c>
      <c r="AN342" s="49">
        <f ca="1">HM_ZD_AM3_2005!CA_ent_rev_oil*HM_ZD_AM3_2005!CA_NOC_WI</f>
        <v>0</v>
      </c>
      <c r="AO342" s="49">
        <f ca="1">HM_ZD_AM3_2005!CA_ent_rev_oil*HM_ZD_AM3_2005!CA_NOC_WI</f>
        <v>0</v>
      </c>
      <c r="AP342" s="49">
        <f ca="1">HM_ZD_AM3_2005!CA_ent_rev_oil*HM_ZD_AM3_2005!CA_NOC_WI</f>
        <v>0</v>
      </c>
      <c r="AQ342" s="49">
        <f ca="1">HM_ZD_AM3_2005!CA_ent_rev_oil*HM_ZD_AM3_2005!CA_NOC_WI</f>
        <v>0</v>
      </c>
      <c r="AR342" s="49">
        <f ca="1">HM_ZD_AM3_2005!CA_ent_rev_oil*HM_ZD_AM3_2005!CA_NOC_WI</f>
        <v>0</v>
      </c>
      <c r="AS342" s="49">
        <f ca="1">HM_ZD_AM3_2005!CA_ent_rev_oil*HM_ZD_AM3_2005!CA_NOC_WI</f>
        <v>0</v>
      </c>
      <c r="AT342" s="49">
        <f ca="1">HM_ZD_AM3_2005!CA_ent_rev_oil*HM_ZD_AM3_2005!CA_NOC_WI</f>
        <v>0</v>
      </c>
      <c r="AU342" s="49">
        <f ca="1">HM_ZD_AM3_2005!CA_ent_rev_oil*HM_ZD_AM3_2005!CA_NOC_WI</f>
        <v>0</v>
      </c>
      <c r="AV342" s="49">
        <f ca="1">HM_ZD_AM3_2005!CA_ent_rev_oil*HM_ZD_AM3_2005!CA_NOC_WI</f>
        <v>0</v>
      </c>
      <c r="AW342" s="49">
        <f ca="1">HM_ZD_AM3_2005!CA_ent_rev_oil*HM_ZD_AM3_2005!CA_NOC_WI</f>
        <v>0</v>
      </c>
      <c r="AX342" s="49">
        <f ca="1">HM_ZD_AM3_2005!CA_ent_rev_oil*HM_ZD_AM3_2005!CA_NOC_WI</f>
        <v>0</v>
      </c>
      <c r="AY342" s="49">
        <f ca="1">HM_ZD_AM3_2005!CA_ent_rev_oil*HM_ZD_AM3_2005!CA_NOC_WI</f>
        <v>0</v>
      </c>
      <c r="AZ342" s="49">
        <f ca="1">HM_ZD_AM3_2005!CA_ent_rev_oil*HM_ZD_AM3_2005!CA_NOC_WI</f>
        <v>0</v>
      </c>
      <c r="BA342" s="49">
        <f ca="1">HM_ZD_AM3_2005!CA_ent_rev_oil*HM_ZD_AM3_2005!CA_NOC_WI</f>
        <v>0</v>
      </c>
      <c r="BB342" s="49">
        <f ca="1">HM_ZD_AM3_2005!CA_ent_rev_oil*HM_ZD_AM3_2005!CA_NOC_WI</f>
        <v>0</v>
      </c>
      <c r="BC342" s="49">
        <f ca="1">HM_ZD_AM3_2005!CA_ent_rev_oil*HM_ZD_AM3_2005!CA_NOC_WI</f>
        <v>0</v>
      </c>
      <c r="BD342" s="49">
        <f ca="1">HM_ZD_AM3_2005!CA_ent_rev_oil*HM_ZD_AM3_2005!CA_NOC_WI</f>
        <v>0</v>
      </c>
      <c r="BE342" s="49">
        <f ca="1">HM_ZD_AM3_2005!CA_ent_rev_oil*HM_ZD_AM3_2005!CA_NOC_WI</f>
        <v>0</v>
      </c>
      <c r="BF342" s="49">
        <f ca="1">HM_ZD_AM3_2005!CA_ent_rev_oil*HM_ZD_AM3_2005!CA_NOC_WI</f>
        <v>0</v>
      </c>
      <c r="BG342" s="49">
        <f ca="1">HM_ZD_AM3_2005!CA_ent_rev_oil*HM_ZD_AM3_2005!CA_NOC_WI</f>
        <v>0</v>
      </c>
      <c r="BH342" s="49">
        <f ca="1">HM_ZD_AM3_2005!CA_ent_rev_oil*HM_ZD_AM3_2005!CA_NOC_WI</f>
        <v>0</v>
      </c>
      <c r="BI342" s="49">
        <f ca="1">HM_ZD_AM3_2005!CA_ent_rev_oil*HM_ZD_AM3_2005!CA_NOC_WI</f>
        <v>0</v>
      </c>
      <c r="BJ342" s="49">
        <f ca="1">HM_ZD_AM3_2005!CA_ent_rev_oil*HM_ZD_AM3_2005!CA_NOC_WI</f>
        <v>0</v>
      </c>
      <c r="BK342" s="49">
        <f ca="1">HM_ZD_AM3_2005!CA_ent_rev_oil*HM_ZD_AM3_2005!CA_NOC_WI</f>
        <v>0</v>
      </c>
      <c r="BL342" s="49">
        <f ca="1">HM_ZD_AM3_2005!CA_ent_rev_oil*HM_ZD_AM3_2005!CA_NOC_WI</f>
        <v>0</v>
      </c>
      <c r="BM342" s="49">
        <f ca="1">HM_ZD_AM3_2005!CA_ent_rev_oil*HM_ZD_AM3_2005!CA_NOC_WI</f>
        <v>0</v>
      </c>
      <c r="BN342" s="49">
        <f ca="1">HM_ZD_AM3_2005!CA_ent_rev_oil*HM_ZD_AM3_2005!CA_NOC_WI</f>
        <v>0</v>
      </c>
      <c r="BO342" s="49">
        <f ca="1">HM_ZD_AM3_2005!CA_ent_rev_oil*HM_ZD_AM3_2005!CA_NOC_WI</f>
        <v>0</v>
      </c>
      <c r="BP342" s="49">
        <f ca="1">HM_ZD_AM3_2005!CA_ent_rev_oil*HM_ZD_AM3_2005!CA_NOC_WI</f>
        <v>0</v>
      </c>
      <c r="BQ342" s="49">
        <f ca="1">HM_ZD_AM3_2005!CA_ent_rev_oil*HM_ZD_AM3_2005!CA_NOC_WI</f>
        <v>0</v>
      </c>
      <c r="BR342" s="49">
        <f ca="1">HM_ZD_AM3_2005!CA_ent_rev_oil*HM_ZD_AM3_2005!CA_NOC_WI</f>
        <v>0</v>
      </c>
      <c r="BS342" s="49">
        <f ca="1">HM_ZD_AM3_2005!CA_ent_rev_oil*HM_ZD_AM3_2005!CA_NOC_WI</f>
        <v>0</v>
      </c>
    </row>
    <row r="343" spans="3:71" outlineLevel="1" x14ac:dyDescent="0.2">
      <c r="D343" s="11" t="str">
        <f>HM_ZD_Moho!D365</f>
        <v>Total</v>
      </c>
      <c r="I343" s="30">
        <f t="shared" ca="1" si="114"/>
        <v>1361.9091335195037</v>
      </c>
      <c r="J343" s="26" t="s">
        <v>148</v>
      </c>
      <c r="L343" s="49">
        <f ca="1">SUM(L341:L342)</f>
        <v>690.76412290209873</v>
      </c>
      <c r="M343" s="49">
        <f t="shared" ref="M343:BS343" ca="1" si="115">SUM(M341:M342)</f>
        <v>671.14501061740498</v>
      </c>
      <c r="N343" s="49">
        <f t="shared" ca="1" si="115"/>
        <v>0</v>
      </c>
      <c r="O343" s="49">
        <f t="shared" ca="1" si="115"/>
        <v>0</v>
      </c>
      <c r="P343" s="49">
        <f t="shared" ca="1" si="115"/>
        <v>0</v>
      </c>
      <c r="Q343" s="49">
        <f t="shared" ca="1" si="115"/>
        <v>0</v>
      </c>
      <c r="R343" s="49">
        <f t="shared" ca="1" si="115"/>
        <v>0</v>
      </c>
      <c r="S343" s="49">
        <f t="shared" ca="1" si="115"/>
        <v>0</v>
      </c>
      <c r="T343" s="49">
        <f t="shared" ca="1" si="115"/>
        <v>0</v>
      </c>
      <c r="U343" s="49">
        <f t="shared" ca="1" si="115"/>
        <v>0</v>
      </c>
      <c r="V343" s="49">
        <f t="shared" ca="1" si="115"/>
        <v>0</v>
      </c>
      <c r="W343" s="49">
        <f t="shared" ca="1" si="115"/>
        <v>0</v>
      </c>
      <c r="X343" s="49">
        <f t="shared" ca="1" si="115"/>
        <v>0</v>
      </c>
      <c r="Y343" s="49">
        <f t="shared" ca="1" si="115"/>
        <v>0</v>
      </c>
      <c r="Z343" s="49">
        <f t="shared" ca="1" si="115"/>
        <v>0</v>
      </c>
      <c r="AA343" s="49">
        <f t="shared" ca="1" si="115"/>
        <v>0</v>
      </c>
      <c r="AB343" s="49">
        <f t="shared" ca="1" si="115"/>
        <v>0</v>
      </c>
      <c r="AC343" s="49">
        <f t="shared" ca="1" si="115"/>
        <v>0</v>
      </c>
      <c r="AD343" s="49">
        <f t="shared" ca="1" si="115"/>
        <v>0</v>
      </c>
      <c r="AE343" s="49">
        <f t="shared" ca="1" si="115"/>
        <v>0</v>
      </c>
      <c r="AF343" s="49">
        <f t="shared" ca="1" si="115"/>
        <v>0</v>
      </c>
      <c r="AG343" s="49">
        <f t="shared" ca="1" si="115"/>
        <v>0</v>
      </c>
      <c r="AH343" s="49">
        <f t="shared" ca="1" si="115"/>
        <v>0</v>
      </c>
      <c r="AI343" s="49">
        <f t="shared" ca="1" si="115"/>
        <v>0</v>
      </c>
      <c r="AJ343" s="49">
        <f t="shared" ca="1" si="115"/>
        <v>0</v>
      </c>
      <c r="AK343" s="49">
        <f t="shared" ca="1" si="115"/>
        <v>0</v>
      </c>
      <c r="AL343" s="49">
        <f t="shared" ca="1" si="115"/>
        <v>0</v>
      </c>
      <c r="AM343" s="49">
        <f t="shared" ca="1" si="115"/>
        <v>0</v>
      </c>
      <c r="AN343" s="49">
        <f t="shared" ca="1" si="115"/>
        <v>0</v>
      </c>
      <c r="AO343" s="49">
        <f t="shared" ca="1" si="115"/>
        <v>0</v>
      </c>
      <c r="AP343" s="49">
        <f t="shared" ca="1" si="115"/>
        <v>0</v>
      </c>
      <c r="AQ343" s="49">
        <f t="shared" ca="1" si="115"/>
        <v>0</v>
      </c>
      <c r="AR343" s="49">
        <f t="shared" ca="1" si="115"/>
        <v>0</v>
      </c>
      <c r="AS343" s="49">
        <f t="shared" ca="1" si="115"/>
        <v>0</v>
      </c>
      <c r="AT343" s="49">
        <f t="shared" ca="1" si="115"/>
        <v>0</v>
      </c>
      <c r="AU343" s="49">
        <f t="shared" ca="1" si="115"/>
        <v>0</v>
      </c>
      <c r="AV343" s="49">
        <f t="shared" ca="1" si="115"/>
        <v>0</v>
      </c>
      <c r="AW343" s="49">
        <f t="shared" ca="1" si="115"/>
        <v>0</v>
      </c>
      <c r="AX343" s="49">
        <f t="shared" ca="1" si="115"/>
        <v>0</v>
      </c>
      <c r="AY343" s="49">
        <f t="shared" ca="1" si="115"/>
        <v>0</v>
      </c>
      <c r="AZ343" s="49">
        <f t="shared" ca="1" si="115"/>
        <v>0</v>
      </c>
      <c r="BA343" s="49">
        <f t="shared" ca="1" si="115"/>
        <v>0</v>
      </c>
      <c r="BB343" s="49">
        <f t="shared" ca="1" si="115"/>
        <v>0</v>
      </c>
      <c r="BC343" s="49">
        <f t="shared" ca="1" si="115"/>
        <v>0</v>
      </c>
      <c r="BD343" s="49">
        <f t="shared" ca="1" si="115"/>
        <v>0</v>
      </c>
      <c r="BE343" s="49">
        <f t="shared" ca="1" si="115"/>
        <v>0</v>
      </c>
      <c r="BF343" s="49">
        <f t="shared" ca="1" si="115"/>
        <v>0</v>
      </c>
      <c r="BG343" s="49">
        <f t="shared" ca="1" si="115"/>
        <v>0</v>
      </c>
      <c r="BH343" s="49">
        <f t="shared" ca="1" si="115"/>
        <v>0</v>
      </c>
      <c r="BI343" s="49">
        <f t="shared" ca="1" si="115"/>
        <v>0</v>
      </c>
      <c r="BJ343" s="49">
        <f t="shared" ca="1" si="115"/>
        <v>0</v>
      </c>
      <c r="BK343" s="49">
        <f t="shared" ca="1" si="115"/>
        <v>0</v>
      </c>
      <c r="BL343" s="49">
        <f t="shared" ca="1" si="115"/>
        <v>0</v>
      </c>
      <c r="BM343" s="49">
        <f t="shared" ca="1" si="115"/>
        <v>0</v>
      </c>
      <c r="BN343" s="49">
        <f t="shared" ca="1" si="115"/>
        <v>0</v>
      </c>
      <c r="BO343" s="49">
        <f t="shared" ca="1" si="115"/>
        <v>0</v>
      </c>
      <c r="BP343" s="49">
        <f t="shared" ca="1" si="115"/>
        <v>0</v>
      </c>
      <c r="BQ343" s="49">
        <f t="shared" ca="1" si="115"/>
        <v>0</v>
      </c>
      <c r="BR343" s="49">
        <f t="shared" ca="1" si="115"/>
        <v>0</v>
      </c>
      <c r="BS343" s="49">
        <f t="shared" ca="1" si="115"/>
        <v>0</v>
      </c>
    </row>
    <row r="344" spans="3:71" outlineLevel="1" x14ac:dyDescent="0.2">
      <c r="J344" s="26"/>
      <c r="L344" s="55"/>
      <c r="M344" s="55"/>
      <c r="N344" s="55"/>
      <c r="O344" s="55"/>
      <c r="P344" s="55"/>
      <c r="Q344" s="55"/>
      <c r="R344" s="55"/>
      <c r="S344" s="55"/>
      <c r="T344" s="55"/>
      <c r="U344" s="55"/>
      <c r="V344" s="55"/>
      <c r="W344" s="55"/>
      <c r="X344" s="55"/>
      <c r="Y344" s="55"/>
      <c r="Z344" s="55"/>
      <c r="AA344" s="55"/>
      <c r="AB344" s="55"/>
      <c r="AC344" s="55"/>
      <c r="AD344" s="55"/>
      <c r="AE344" s="55"/>
      <c r="AF344" s="55"/>
      <c r="AG344" s="55"/>
      <c r="AH344" s="55"/>
      <c r="AI344" s="55"/>
      <c r="AJ344" s="55"/>
      <c r="AK344" s="55"/>
      <c r="AL344" s="55"/>
      <c r="AM344" s="55"/>
      <c r="AN344" s="55"/>
      <c r="AO344" s="55"/>
      <c r="AP344" s="55"/>
      <c r="AQ344" s="55"/>
      <c r="AR344" s="55"/>
      <c r="AS344" s="55"/>
      <c r="AT344" s="55"/>
      <c r="AU344" s="55"/>
      <c r="AV344" s="55"/>
      <c r="AW344" s="55"/>
      <c r="AX344" s="55"/>
      <c r="AY344" s="55"/>
      <c r="AZ344" s="55"/>
      <c r="BA344" s="55"/>
      <c r="BB344" s="55"/>
      <c r="BC344" s="55"/>
      <c r="BD344" s="55"/>
      <c r="BE344" s="55"/>
      <c r="BF344" s="55"/>
      <c r="BG344" s="55"/>
      <c r="BH344" s="55"/>
      <c r="BI344" s="55"/>
      <c r="BJ344" s="55"/>
      <c r="BK344" s="55"/>
      <c r="BL344" s="55"/>
      <c r="BM344" s="55"/>
      <c r="BN344" s="55"/>
      <c r="BO344" s="55"/>
      <c r="BP344" s="55"/>
      <c r="BQ344" s="55"/>
      <c r="BR344" s="55"/>
      <c r="BS344" s="55"/>
    </row>
    <row r="345" spans="3:71" outlineLevel="1" x14ac:dyDescent="0.2">
      <c r="C345" s="11" t="str">
        <f>HM_ZD_Moho!C367</f>
        <v>Revenus des droits selon participation -gaz</v>
      </c>
      <c r="J345" s="26"/>
      <c r="L345" s="55"/>
      <c r="M345" s="55"/>
      <c r="N345" s="55"/>
      <c r="O345" s="55"/>
      <c r="P345" s="55"/>
      <c r="Q345" s="55"/>
      <c r="R345" s="55"/>
      <c r="S345" s="55"/>
      <c r="T345" s="55"/>
      <c r="U345" s="55"/>
      <c r="V345" s="55"/>
      <c r="W345" s="55"/>
      <c r="X345" s="55"/>
      <c r="Y345" s="55"/>
      <c r="Z345" s="55"/>
      <c r="AA345" s="55"/>
      <c r="AB345" s="55"/>
      <c r="AC345" s="55"/>
      <c r="AD345" s="55"/>
      <c r="AE345" s="55"/>
      <c r="AF345" s="55"/>
      <c r="AG345" s="55"/>
      <c r="AH345" s="55"/>
      <c r="AI345" s="55"/>
      <c r="AJ345" s="55"/>
      <c r="AK345" s="55"/>
      <c r="AL345" s="55"/>
      <c r="AM345" s="55"/>
      <c r="AN345" s="55"/>
      <c r="AO345" s="55"/>
      <c r="AP345" s="55"/>
      <c r="AQ345" s="55"/>
      <c r="AR345" s="55"/>
      <c r="AS345" s="55"/>
      <c r="AT345" s="55"/>
      <c r="AU345" s="55"/>
      <c r="AV345" s="55"/>
      <c r="AW345" s="55"/>
      <c r="AX345" s="55"/>
      <c r="AY345" s="55"/>
      <c r="AZ345" s="55"/>
      <c r="BA345" s="55"/>
      <c r="BB345" s="55"/>
      <c r="BC345" s="55"/>
      <c r="BD345" s="55"/>
      <c r="BE345" s="55"/>
      <c r="BF345" s="55"/>
      <c r="BG345" s="55"/>
      <c r="BH345" s="55"/>
      <c r="BI345" s="55"/>
      <c r="BJ345" s="55"/>
      <c r="BK345" s="55"/>
      <c r="BL345" s="55"/>
      <c r="BM345" s="55"/>
      <c r="BN345" s="55"/>
      <c r="BO345" s="55"/>
      <c r="BP345" s="55"/>
      <c r="BQ345" s="55"/>
      <c r="BR345" s="55"/>
      <c r="BS345" s="55"/>
    </row>
    <row r="346" spans="3:71" outlineLevel="1" x14ac:dyDescent="0.2">
      <c r="D346" t="str">
        <f>HM_ZD_Moho!D368</f>
        <v>Consortium compagnie pétrolières internationales</v>
      </c>
      <c r="I346" s="30">
        <f t="shared" ref="I346:I348" ca="1" si="116">SUM($L346:$BS346)</f>
        <v>0</v>
      </c>
      <c r="J346" s="26" t="s">
        <v>148</v>
      </c>
      <c r="L346" s="49">
        <f ca="1">HM_ZD_AM3_2005!CA_ent_rev_gas*HM_ZD_AM3_2005!CA_IOC_WI</f>
        <v>0</v>
      </c>
      <c r="M346" s="49">
        <f ca="1">HM_ZD_AM3_2005!CA_ent_rev_gas*HM_ZD_AM3_2005!CA_IOC_WI</f>
        <v>0</v>
      </c>
      <c r="N346" s="49">
        <f ca="1">HM_ZD_AM3_2005!CA_ent_rev_gas*HM_ZD_AM3_2005!CA_IOC_WI</f>
        <v>0</v>
      </c>
      <c r="O346" s="49">
        <f ca="1">HM_ZD_AM3_2005!CA_ent_rev_gas*HM_ZD_AM3_2005!CA_IOC_WI</f>
        <v>0</v>
      </c>
      <c r="P346" s="49">
        <f ca="1">HM_ZD_AM3_2005!CA_ent_rev_gas*HM_ZD_AM3_2005!CA_IOC_WI</f>
        <v>0</v>
      </c>
      <c r="Q346" s="49">
        <f ca="1">HM_ZD_AM3_2005!CA_ent_rev_gas*HM_ZD_AM3_2005!CA_IOC_WI</f>
        <v>0</v>
      </c>
      <c r="R346" s="49">
        <f ca="1">HM_ZD_AM3_2005!CA_ent_rev_gas*HM_ZD_AM3_2005!CA_IOC_WI</f>
        <v>0</v>
      </c>
      <c r="S346" s="49">
        <f ca="1">HM_ZD_AM3_2005!CA_ent_rev_gas*HM_ZD_AM3_2005!CA_IOC_WI</f>
        <v>0</v>
      </c>
      <c r="T346" s="49">
        <f ca="1">HM_ZD_AM3_2005!CA_ent_rev_gas*HM_ZD_AM3_2005!CA_IOC_WI</f>
        <v>0</v>
      </c>
      <c r="U346" s="49">
        <f ca="1">HM_ZD_AM3_2005!CA_ent_rev_gas*HM_ZD_AM3_2005!CA_IOC_WI</f>
        <v>0</v>
      </c>
      <c r="V346" s="49">
        <f ca="1">HM_ZD_AM3_2005!CA_ent_rev_gas*HM_ZD_AM3_2005!CA_IOC_WI</f>
        <v>0</v>
      </c>
      <c r="W346" s="49">
        <f ca="1">HM_ZD_AM3_2005!CA_ent_rev_gas*HM_ZD_AM3_2005!CA_IOC_WI</f>
        <v>0</v>
      </c>
      <c r="X346" s="49">
        <f ca="1">HM_ZD_AM3_2005!CA_ent_rev_gas*HM_ZD_AM3_2005!CA_IOC_WI</f>
        <v>0</v>
      </c>
      <c r="Y346" s="49">
        <f ca="1">HM_ZD_AM3_2005!CA_ent_rev_gas*HM_ZD_AM3_2005!CA_IOC_WI</f>
        <v>0</v>
      </c>
      <c r="Z346" s="49">
        <f ca="1">HM_ZD_AM3_2005!CA_ent_rev_gas*HM_ZD_AM3_2005!CA_IOC_WI</f>
        <v>0</v>
      </c>
      <c r="AA346" s="49">
        <f ca="1">HM_ZD_AM3_2005!CA_ent_rev_gas*HM_ZD_AM3_2005!CA_IOC_WI</f>
        <v>0</v>
      </c>
      <c r="AB346" s="49">
        <f ca="1">HM_ZD_AM3_2005!CA_ent_rev_gas*HM_ZD_AM3_2005!CA_IOC_WI</f>
        <v>0</v>
      </c>
      <c r="AC346" s="49">
        <f ca="1">HM_ZD_AM3_2005!CA_ent_rev_gas*HM_ZD_AM3_2005!CA_IOC_WI</f>
        <v>0</v>
      </c>
      <c r="AD346" s="49">
        <f ca="1">HM_ZD_AM3_2005!CA_ent_rev_gas*HM_ZD_AM3_2005!CA_IOC_WI</f>
        <v>0</v>
      </c>
      <c r="AE346" s="49">
        <f ca="1">HM_ZD_AM3_2005!CA_ent_rev_gas*HM_ZD_AM3_2005!CA_IOC_WI</f>
        <v>0</v>
      </c>
      <c r="AF346" s="49">
        <f ca="1">HM_ZD_AM3_2005!CA_ent_rev_gas*HM_ZD_AM3_2005!CA_IOC_WI</f>
        <v>0</v>
      </c>
      <c r="AG346" s="49">
        <f ca="1">HM_ZD_AM3_2005!CA_ent_rev_gas*HM_ZD_AM3_2005!CA_IOC_WI</f>
        <v>0</v>
      </c>
      <c r="AH346" s="49">
        <f ca="1">HM_ZD_AM3_2005!CA_ent_rev_gas*HM_ZD_AM3_2005!CA_IOC_WI</f>
        <v>0</v>
      </c>
      <c r="AI346" s="49">
        <f ca="1">HM_ZD_AM3_2005!CA_ent_rev_gas*HM_ZD_AM3_2005!CA_IOC_WI</f>
        <v>0</v>
      </c>
      <c r="AJ346" s="49">
        <f ca="1">HM_ZD_AM3_2005!CA_ent_rev_gas*HM_ZD_AM3_2005!CA_IOC_WI</f>
        <v>0</v>
      </c>
      <c r="AK346" s="49">
        <f ca="1">HM_ZD_AM3_2005!CA_ent_rev_gas*HM_ZD_AM3_2005!CA_IOC_WI</f>
        <v>0</v>
      </c>
      <c r="AL346" s="49">
        <f ca="1">HM_ZD_AM3_2005!CA_ent_rev_gas*HM_ZD_AM3_2005!CA_IOC_WI</f>
        <v>0</v>
      </c>
      <c r="AM346" s="49">
        <f ca="1">HM_ZD_AM3_2005!CA_ent_rev_gas*HM_ZD_AM3_2005!CA_IOC_WI</f>
        <v>0</v>
      </c>
      <c r="AN346" s="49">
        <f ca="1">HM_ZD_AM3_2005!CA_ent_rev_gas*HM_ZD_AM3_2005!CA_IOC_WI</f>
        <v>0</v>
      </c>
      <c r="AO346" s="49">
        <f ca="1">HM_ZD_AM3_2005!CA_ent_rev_gas*HM_ZD_AM3_2005!CA_IOC_WI</f>
        <v>0</v>
      </c>
      <c r="AP346" s="49">
        <f ca="1">HM_ZD_AM3_2005!CA_ent_rev_gas*HM_ZD_AM3_2005!CA_IOC_WI</f>
        <v>0</v>
      </c>
      <c r="AQ346" s="49">
        <f ca="1">HM_ZD_AM3_2005!CA_ent_rev_gas*HM_ZD_AM3_2005!CA_IOC_WI</f>
        <v>0</v>
      </c>
      <c r="AR346" s="49">
        <f ca="1">HM_ZD_AM3_2005!CA_ent_rev_gas*HM_ZD_AM3_2005!CA_IOC_WI</f>
        <v>0</v>
      </c>
      <c r="AS346" s="49">
        <f ca="1">HM_ZD_AM3_2005!CA_ent_rev_gas*HM_ZD_AM3_2005!CA_IOC_WI</f>
        <v>0</v>
      </c>
      <c r="AT346" s="49">
        <f ca="1">HM_ZD_AM3_2005!CA_ent_rev_gas*HM_ZD_AM3_2005!CA_IOC_WI</f>
        <v>0</v>
      </c>
      <c r="AU346" s="49">
        <f ca="1">HM_ZD_AM3_2005!CA_ent_rev_gas*HM_ZD_AM3_2005!CA_IOC_WI</f>
        <v>0</v>
      </c>
      <c r="AV346" s="49">
        <f ca="1">HM_ZD_AM3_2005!CA_ent_rev_gas*HM_ZD_AM3_2005!CA_IOC_WI</f>
        <v>0</v>
      </c>
      <c r="AW346" s="49">
        <f ca="1">HM_ZD_AM3_2005!CA_ent_rev_gas*HM_ZD_AM3_2005!CA_IOC_WI</f>
        <v>0</v>
      </c>
      <c r="AX346" s="49">
        <f ca="1">HM_ZD_AM3_2005!CA_ent_rev_gas*HM_ZD_AM3_2005!CA_IOC_WI</f>
        <v>0</v>
      </c>
      <c r="AY346" s="49">
        <f ca="1">HM_ZD_AM3_2005!CA_ent_rev_gas*HM_ZD_AM3_2005!CA_IOC_WI</f>
        <v>0</v>
      </c>
      <c r="AZ346" s="49">
        <f ca="1">HM_ZD_AM3_2005!CA_ent_rev_gas*HM_ZD_AM3_2005!CA_IOC_WI</f>
        <v>0</v>
      </c>
      <c r="BA346" s="49">
        <f ca="1">HM_ZD_AM3_2005!CA_ent_rev_gas*HM_ZD_AM3_2005!CA_IOC_WI</f>
        <v>0</v>
      </c>
      <c r="BB346" s="49">
        <f ca="1">HM_ZD_AM3_2005!CA_ent_rev_gas*HM_ZD_AM3_2005!CA_IOC_WI</f>
        <v>0</v>
      </c>
      <c r="BC346" s="49">
        <f ca="1">HM_ZD_AM3_2005!CA_ent_rev_gas*HM_ZD_AM3_2005!CA_IOC_WI</f>
        <v>0</v>
      </c>
      <c r="BD346" s="49">
        <f ca="1">HM_ZD_AM3_2005!CA_ent_rev_gas*HM_ZD_AM3_2005!CA_IOC_WI</f>
        <v>0</v>
      </c>
      <c r="BE346" s="49">
        <f ca="1">HM_ZD_AM3_2005!CA_ent_rev_gas*HM_ZD_AM3_2005!CA_IOC_WI</f>
        <v>0</v>
      </c>
      <c r="BF346" s="49">
        <f ca="1">HM_ZD_AM3_2005!CA_ent_rev_gas*HM_ZD_AM3_2005!CA_IOC_WI</f>
        <v>0</v>
      </c>
      <c r="BG346" s="49">
        <f ca="1">HM_ZD_AM3_2005!CA_ent_rev_gas*HM_ZD_AM3_2005!CA_IOC_WI</f>
        <v>0</v>
      </c>
      <c r="BH346" s="49">
        <f ca="1">HM_ZD_AM3_2005!CA_ent_rev_gas*HM_ZD_AM3_2005!CA_IOC_WI</f>
        <v>0</v>
      </c>
      <c r="BI346" s="49">
        <f ca="1">HM_ZD_AM3_2005!CA_ent_rev_gas*HM_ZD_AM3_2005!CA_IOC_WI</f>
        <v>0</v>
      </c>
      <c r="BJ346" s="49">
        <f ca="1">HM_ZD_AM3_2005!CA_ent_rev_gas*HM_ZD_AM3_2005!CA_IOC_WI</f>
        <v>0</v>
      </c>
      <c r="BK346" s="49">
        <f ca="1">HM_ZD_AM3_2005!CA_ent_rev_gas*HM_ZD_AM3_2005!CA_IOC_WI</f>
        <v>0</v>
      </c>
      <c r="BL346" s="49">
        <f ca="1">HM_ZD_AM3_2005!CA_ent_rev_gas*HM_ZD_AM3_2005!CA_IOC_WI</f>
        <v>0</v>
      </c>
      <c r="BM346" s="49">
        <f ca="1">HM_ZD_AM3_2005!CA_ent_rev_gas*HM_ZD_AM3_2005!CA_IOC_WI</f>
        <v>0</v>
      </c>
      <c r="BN346" s="49">
        <f ca="1">HM_ZD_AM3_2005!CA_ent_rev_gas*HM_ZD_AM3_2005!CA_IOC_WI</f>
        <v>0</v>
      </c>
      <c r="BO346" s="49">
        <f ca="1">HM_ZD_AM3_2005!CA_ent_rev_gas*HM_ZD_AM3_2005!CA_IOC_WI</f>
        <v>0</v>
      </c>
      <c r="BP346" s="49">
        <f ca="1">HM_ZD_AM3_2005!CA_ent_rev_gas*HM_ZD_AM3_2005!CA_IOC_WI</f>
        <v>0</v>
      </c>
      <c r="BQ346" s="49">
        <f ca="1">HM_ZD_AM3_2005!CA_ent_rev_gas*HM_ZD_AM3_2005!CA_IOC_WI</f>
        <v>0</v>
      </c>
      <c r="BR346" s="49">
        <f ca="1">HM_ZD_AM3_2005!CA_ent_rev_gas*HM_ZD_AM3_2005!CA_IOC_WI</f>
        <v>0</v>
      </c>
      <c r="BS346" s="49">
        <f ca="1">HM_ZD_AM3_2005!CA_ent_rev_gas*HM_ZD_AM3_2005!CA_IOC_WI</f>
        <v>0</v>
      </c>
    </row>
    <row r="347" spans="3:71" outlineLevel="1" x14ac:dyDescent="0.2">
      <c r="D347" t="str">
        <f>HM_ZD_Moho!D369</f>
        <v>Participation compagnie nationale/État</v>
      </c>
      <c r="I347" s="30">
        <f t="shared" ca="1" si="116"/>
        <v>0</v>
      </c>
      <c r="J347" s="26" t="s">
        <v>148</v>
      </c>
      <c r="L347" s="49">
        <f ca="1">HM_ZD_AM3_2005!CA_ent_rev_gas*HM_ZD_AM3_2005!CA_NOC_WI</f>
        <v>0</v>
      </c>
      <c r="M347" s="49">
        <f ca="1">HM_ZD_AM3_2005!CA_ent_rev_gas*HM_ZD_AM3_2005!CA_NOC_WI</f>
        <v>0</v>
      </c>
      <c r="N347" s="49">
        <f ca="1">HM_ZD_AM3_2005!CA_ent_rev_gas*HM_ZD_AM3_2005!CA_NOC_WI</f>
        <v>0</v>
      </c>
      <c r="O347" s="49">
        <f ca="1">HM_ZD_AM3_2005!CA_ent_rev_gas*HM_ZD_AM3_2005!CA_NOC_WI</f>
        <v>0</v>
      </c>
      <c r="P347" s="49">
        <f ca="1">HM_ZD_AM3_2005!CA_ent_rev_gas*HM_ZD_AM3_2005!CA_NOC_WI</f>
        <v>0</v>
      </c>
      <c r="Q347" s="49">
        <f ca="1">HM_ZD_AM3_2005!CA_ent_rev_gas*HM_ZD_AM3_2005!CA_NOC_WI</f>
        <v>0</v>
      </c>
      <c r="R347" s="49">
        <f ca="1">HM_ZD_AM3_2005!CA_ent_rev_gas*HM_ZD_AM3_2005!CA_NOC_WI</f>
        <v>0</v>
      </c>
      <c r="S347" s="49">
        <f ca="1">HM_ZD_AM3_2005!CA_ent_rev_gas*HM_ZD_AM3_2005!CA_NOC_WI</f>
        <v>0</v>
      </c>
      <c r="T347" s="49">
        <f ca="1">HM_ZD_AM3_2005!CA_ent_rev_gas*HM_ZD_AM3_2005!CA_NOC_WI</f>
        <v>0</v>
      </c>
      <c r="U347" s="49">
        <f ca="1">HM_ZD_AM3_2005!CA_ent_rev_gas*HM_ZD_AM3_2005!CA_NOC_WI</f>
        <v>0</v>
      </c>
      <c r="V347" s="49">
        <f ca="1">HM_ZD_AM3_2005!CA_ent_rev_gas*HM_ZD_AM3_2005!CA_NOC_WI</f>
        <v>0</v>
      </c>
      <c r="W347" s="49">
        <f ca="1">HM_ZD_AM3_2005!CA_ent_rev_gas*HM_ZD_AM3_2005!CA_NOC_WI</f>
        <v>0</v>
      </c>
      <c r="X347" s="49">
        <f ca="1">HM_ZD_AM3_2005!CA_ent_rev_gas*HM_ZD_AM3_2005!CA_NOC_WI</f>
        <v>0</v>
      </c>
      <c r="Y347" s="49">
        <f ca="1">HM_ZD_AM3_2005!CA_ent_rev_gas*HM_ZD_AM3_2005!CA_NOC_WI</f>
        <v>0</v>
      </c>
      <c r="Z347" s="49">
        <f ca="1">HM_ZD_AM3_2005!CA_ent_rev_gas*HM_ZD_AM3_2005!CA_NOC_WI</f>
        <v>0</v>
      </c>
      <c r="AA347" s="49">
        <f ca="1">HM_ZD_AM3_2005!CA_ent_rev_gas*HM_ZD_AM3_2005!CA_NOC_WI</f>
        <v>0</v>
      </c>
      <c r="AB347" s="49">
        <f ca="1">HM_ZD_AM3_2005!CA_ent_rev_gas*HM_ZD_AM3_2005!CA_NOC_WI</f>
        <v>0</v>
      </c>
      <c r="AC347" s="49">
        <f ca="1">HM_ZD_AM3_2005!CA_ent_rev_gas*HM_ZD_AM3_2005!CA_NOC_WI</f>
        <v>0</v>
      </c>
      <c r="AD347" s="49">
        <f ca="1">HM_ZD_AM3_2005!CA_ent_rev_gas*HM_ZD_AM3_2005!CA_NOC_WI</f>
        <v>0</v>
      </c>
      <c r="AE347" s="49">
        <f ca="1">HM_ZD_AM3_2005!CA_ent_rev_gas*HM_ZD_AM3_2005!CA_NOC_WI</f>
        <v>0</v>
      </c>
      <c r="AF347" s="49">
        <f ca="1">HM_ZD_AM3_2005!CA_ent_rev_gas*HM_ZD_AM3_2005!CA_NOC_WI</f>
        <v>0</v>
      </c>
      <c r="AG347" s="49">
        <f ca="1">HM_ZD_AM3_2005!CA_ent_rev_gas*HM_ZD_AM3_2005!CA_NOC_WI</f>
        <v>0</v>
      </c>
      <c r="AH347" s="49">
        <f ca="1">HM_ZD_AM3_2005!CA_ent_rev_gas*HM_ZD_AM3_2005!CA_NOC_WI</f>
        <v>0</v>
      </c>
      <c r="AI347" s="49">
        <f ca="1">HM_ZD_AM3_2005!CA_ent_rev_gas*HM_ZD_AM3_2005!CA_NOC_WI</f>
        <v>0</v>
      </c>
      <c r="AJ347" s="49">
        <f ca="1">HM_ZD_AM3_2005!CA_ent_rev_gas*HM_ZD_AM3_2005!CA_NOC_WI</f>
        <v>0</v>
      </c>
      <c r="AK347" s="49">
        <f ca="1">HM_ZD_AM3_2005!CA_ent_rev_gas*HM_ZD_AM3_2005!CA_NOC_WI</f>
        <v>0</v>
      </c>
      <c r="AL347" s="49">
        <f ca="1">HM_ZD_AM3_2005!CA_ent_rev_gas*HM_ZD_AM3_2005!CA_NOC_WI</f>
        <v>0</v>
      </c>
      <c r="AM347" s="49">
        <f ca="1">HM_ZD_AM3_2005!CA_ent_rev_gas*HM_ZD_AM3_2005!CA_NOC_WI</f>
        <v>0</v>
      </c>
      <c r="AN347" s="49">
        <f ca="1">HM_ZD_AM3_2005!CA_ent_rev_gas*HM_ZD_AM3_2005!CA_NOC_WI</f>
        <v>0</v>
      </c>
      <c r="AO347" s="49">
        <f ca="1">HM_ZD_AM3_2005!CA_ent_rev_gas*HM_ZD_AM3_2005!CA_NOC_WI</f>
        <v>0</v>
      </c>
      <c r="AP347" s="49">
        <f ca="1">HM_ZD_AM3_2005!CA_ent_rev_gas*HM_ZD_AM3_2005!CA_NOC_WI</f>
        <v>0</v>
      </c>
      <c r="AQ347" s="49">
        <f ca="1">HM_ZD_AM3_2005!CA_ent_rev_gas*HM_ZD_AM3_2005!CA_NOC_WI</f>
        <v>0</v>
      </c>
      <c r="AR347" s="49">
        <f ca="1">HM_ZD_AM3_2005!CA_ent_rev_gas*HM_ZD_AM3_2005!CA_NOC_WI</f>
        <v>0</v>
      </c>
      <c r="AS347" s="49">
        <f ca="1">HM_ZD_AM3_2005!CA_ent_rev_gas*HM_ZD_AM3_2005!CA_NOC_WI</f>
        <v>0</v>
      </c>
      <c r="AT347" s="49">
        <f ca="1">HM_ZD_AM3_2005!CA_ent_rev_gas*HM_ZD_AM3_2005!CA_NOC_WI</f>
        <v>0</v>
      </c>
      <c r="AU347" s="49">
        <f ca="1">HM_ZD_AM3_2005!CA_ent_rev_gas*HM_ZD_AM3_2005!CA_NOC_WI</f>
        <v>0</v>
      </c>
      <c r="AV347" s="49">
        <f ca="1">HM_ZD_AM3_2005!CA_ent_rev_gas*HM_ZD_AM3_2005!CA_NOC_WI</f>
        <v>0</v>
      </c>
      <c r="AW347" s="49">
        <f ca="1">HM_ZD_AM3_2005!CA_ent_rev_gas*HM_ZD_AM3_2005!CA_NOC_WI</f>
        <v>0</v>
      </c>
      <c r="AX347" s="49">
        <f ca="1">HM_ZD_AM3_2005!CA_ent_rev_gas*HM_ZD_AM3_2005!CA_NOC_WI</f>
        <v>0</v>
      </c>
      <c r="AY347" s="49">
        <f ca="1">HM_ZD_AM3_2005!CA_ent_rev_gas*HM_ZD_AM3_2005!CA_NOC_WI</f>
        <v>0</v>
      </c>
      <c r="AZ347" s="49">
        <f ca="1">HM_ZD_AM3_2005!CA_ent_rev_gas*HM_ZD_AM3_2005!CA_NOC_WI</f>
        <v>0</v>
      </c>
      <c r="BA347" s="49">
        <f ca="1">HM_ZD_AM3_2005!CA_ent_rev_gas*HM_ZD_AM3_2005!CA_NOC_WI</f>
        <v>0</v>
      </c>
      <c r="BB347" s="49">
        <f ca="1">HM_ZD_AM3_2005!CA_ent_rev_gas*HM_ZD_AM3_2005!CA_NOC_WI</f>
        <v>0</v>
      </c>
      <c r="BC347" s="49">
        <f ca="1">HM_ZD_AM3_2005!CA_ent_rev_gas*HM_ZD_AM3_2005!CA_NOC_WI</f>
        <v>0</v>
      </c>
      <c r="BD347" s="49">
        <f ca="1">HM_ZD_AM3_2005!CA_ent_rev_gas*HM_ZD_AM3_2005!CA_NOC_WI</f>
        <v>0</v>
      </c>
      <c r="BE347" s="49">
        <f ca="1">HM_ZD_AM3_2005!CA_ent_rev_gas*HM_ZD_AM3_2005!CA_NOC_WI</f>
        <v>0</v>
      </c>
      <c r="BF347" s="49">
        <f ca="1">HM_ZD_AM3_2005!CA_ent_rev_gas*HM_ZD_AM3_2005!CA_NOC_WI</f>
        <v>0</v>
      </c>
      <c r="BG347" s="49">
        <f ca="1">HM_ZD_AM3_2005!CA_ent_rev_gas*HM_ZD_AM3_2005!CA_NOC_WI</f>
        <v>0</v>
      </c>
      <c r="BH347" s="49">
        <f ca="1">HM_ZD_AM3_2005!CA_ent_rev_gas*HM_ZD_AM3_2005!CA_NOC_WI</f>
        <v>0</v>
      </c>
      <c r="BI347" s="49">
        <f ca="1">HM_ZD_AM3_2005!CA_ent_rev_gas*HM_ZD_AM3_2005!CA_NOC_WI</f>
        <v>0</v>
      </c>
      <c r="BJ347" s="49">
        <f ca="1">HM_ZD_AM3_2005!CA_ent_rev_gas*HM_ZD_AM3_2005!CA_NOC_WI</f>
        <v>0</v>
      </c>
      <c r="BK347" s="49">
        <f ca="1">HM_ZD_AM3_2005!CA_ent_rev_gas*HM_ZD_AM3_2005!CA_NOC_WI</f>
        <v>0</v>
      </c>
      <c r="BL347" s="49">
        <f ca="1">HM_ZD_AM3_2005!CA_ent_rev_gas*HM_ZD_AM3_2005!CA_NOC_WI</f>
        <v>0</v>
      </c>
      <c r="BM347" s="49">
        <f ca="1">HM_ZD_AM3_2005!CA_ent_rev_gas*HM_ZD_AM3_2005!CA_NOC_WI</f>
        <v>0</v>
      </c>
      <c r="BN347" s="49">
        <f ca="1">HM_ZD_AM3_2005!CA_ent_rev_gas*HM_ZD_AM3_2005!CA_NOC_WI</f>
        <v>0</v>
      </c>
      <c r="BO347" s="49">
        <f ca="1">HM_ZD_AM3_2005!CA_ent_rev_gas*HM_ZD_AM3_2005!CA_NOC_WI</f>
        <v>0</v>
      </c>
      <c r="BP347" s="49">
        <f ca="1">HM_ZD_AM3_2005!CA_ent_rev_gas*HM_ZD_AM3_2005!CA_NOC_WI</f>
        <v>0</v>
      </c>
      <c r="BQ347" s="49">
        <f ca="1">HM_ZD_AM3_2005!CA_ent_rev_gas*HM_ZD_AM3_2005!CA_NOC_WI</f>
        <v>0</v>
      </c>
      <c r="BR347" s="49">
        <f ca="1">HM_ZD_AM3_2005!CA_ent_rev_gas*HM_ZD_AM3_2005!CA_NOC_WI</f>
        <v>0</v>
      </c>
      <c r="BS347" s="49">
        <f ca="1">HM_ZD_AM3_2005!CA_ent_rev_gas*HM_ZD_AM3_2005!CA_NOC_WI</f>
        <v>0</v>
      </c>
    </row>
    <row r="348" spans="3:71" outlineLevel="1" x14ac:dyDescent="0.2">
      <c r="D348" s="11" t="str">
        <f>HM_ZD_Moho!D370</f>
        <v>Total</v>
      </c>
      <c r="I348" s="30">
        <f t="shared" ca="1" si="116"/>
        <v>0</v>
      </c>
      <c r="J348" s="26" t="s">
        <v>148</v>
      </c>
      <c r="L348" s="49">
        <f ca="1">SUM(L346:L347)</f>
        <v>0</v>
      </c>
      <c r="M348" s="49">
        <f t="shared" ref="M348:BS348" ca="1" si="117">SUM(M346:M347)</f>
        <v>0</v>
      </c>
      <c r="N348" s="49">
        <f t="shared" ca="1" si="117"/>
        <v>0</v>
      </c>
      <c r="O348" s="49">
        <f t="shared" ca="1" si="117"/>
        <v>0</v>
      </c>
      <c r="P348" s="49">
        <f t="shared" ca="1" si="117"/>
        <v>0</v>
      </c>
      <c r="Q348" s="49">
        <f t="shared" ca="1" si="117"/>
        <v>0</v>
      </c>
      <c r="R348" s="49">
        <f t="shared" ca="1" si="117"/>
        <v>0</v>
      </c>
      <c r="S348" s="49">
        <f t="shared" ca="1" si="117"/>
        <v>0</v>
      </c>
      <c r="T348" s="49">
        <f t="shared" ca="1" si="117"/>
        <v>0</v>
      </c>
      <c r="U348" s="49">
        <f t="shared" ca="1" si="117"/>
        <v>0</v>
      </c>
      <c r="V348" s="49">
        <f t="shared" ca="1" si="117"/>
        <v>0</v>
      </c>
      <c r="W348" s="49">
        <f t="shared" ca="1" si="117"/>
        <v>0</v>
      </c>
      <c r="X348" s="49">
        <f t="shared" ca="1" si="117"/>
        <v>0</v>
      </c>
      <c r="Y348" s="49">
        <f t="shared" ca="1" si="117"/>
        <v>0</v>
      </c>
      <c r="Z348" s="49">
        <f t="shared" ca="1" si="117"/>
        <v>0</v>
      </c>
      <c r="AA348" s="49">
        <f t="shared" ca="1" si="117"/>
        <v>0</v>
      </c>
      <c r="AB348" s="49">
        <f t="shared" ca="1" si="117"/>
        <v>0</v>
      </c>
      <c r="AC348" s="49">
        <f t="shared" ca="1" si="117"/>
        <v>0</v>
      </c>
      <c r="AD348" s="49">
        <f t="shared" ca="1" si="117"/>
        <v>0</v>
      </c>
      <c r="AE348" s="49">
        <f t="shared" ca="1" si="117"/>
        <v>0</v>
      </c>
      <c r="AF348" s="49">
        <f t="shared" ca="1" si="117"/>
        <v>0</v>
      </c>
      <c r="AG348" s="49">
        <f t="shared" ca="1" si="117"/>
        <v>0</v>
      </c>
      <c r="AH348" s="49">
        <f t="shared" ca="1" si="117"/>
        <v>0</v>
      </c>
      <c r="AI348" s="49">
        <f t="shared" ca="1" si="117"/>
        <v>0</v>
      </c>
      <c r="AJ348" s="49">
        <f t="shared" ca="1" si="117"/>
        <v>0</v>
      </c>
      <c r="AK348" s="49">
        <f t="shared" ca="1" si="117"/>
        <v>0</v>
      </c>
      <c r="AL348" s="49">
        <f t="shared" ca="1" si="117"/>
        <v>0</v>
      </c>
      <c r="AM348" s="49">
        <f t="shared" ca="1" si="117"/>
        <v>0</v>
      </c>
      <c r="AN348" s="49">
        <f t="shared" ca="1" si="117"/>
        <v>0</v>
      </c>
      <c r="AO348" s="49">
        <f t="shared" ca="1" si="117"/>
        <v>0</v>
      </c>
      <c r="AP348" s="49">
        <f t="shared" ca="1" si="117"/>
        <v>0</v>
      </c>
      <c r="AQ348" s="49">
        <f t="shared" ca="1" si="117"/>
        <v>0</v>
      </c>
      <c r="AR348" s="49">
        <f t="shared" ca="1" si="117"/>
        <v>0</v>
      </c>
      <c r="AS348" s="49">
        <f t="shared" ca="1" si="117"/>
        <v>0</v>
      </c>
      <c r="AT348" s="49">
        <f t="shared" ca="1" si="117"/>
        <v>0</v>
      </c>
      <c r="AU348" s="49">
        <f t="shared" ca="1" si="117"/>
        <v>0</v>
      </c>
      <c r="AV348" s="49">
        <f t="shared" ca="1" si="117"/>
        <v>0</v>
      </c>
      <c r="AW348" s="49">
        <f t="shared" ca="1" si="117"/>
        <v>0</v>
      </c>
      <c r="AX348" s="49">
        <f t="shared" ca="1" si="117"/>
        <v>0</v>
      </c>
      <c r="AY348" s="49">
        <f t="shared" ca="1" si="117"/>
        <v>0</v>
      </c>
      <c r="AZ348" s="49">
        <f t="shared" ca="1" si="117"/>
        <v>0</v>
      </c>
      <c r="BA348" s="49">
        <f t="shared" ca="1" si="117"/>
        <v>0</v>
      </c>
      <c r="BB348" s="49">
        <f t="shared" ca="1" si="117"/>
        <v>0</v>
      </c>
      <c r="BC348" s="49">
        <f t="shared" ca="1" si="117"/>
        <v>0</v>
      </c>
      <c r="BD348" s="49">
        <f t="shared" ca="1" si="117"/>
        <v>0</v>
      </c>
      <c r="BE348" s="49">
        <f t="shared" ca="1" si="117"/>
        <v>0</v>
      </c>
      <c r="BF348" s="49">
        <f t="shared" ca="1" si="117"/>
        <v>0</v>
      </c>
      <c r="BG348" s="49">
        <f t="shared" ca="1" si="117"/>
        <v>0</v>
      </c>
      <c r="BH348" s="49">
        <f t="shared" ca="1" si="117"/>
        <v>0</v>
      </c>
      <c r="BI348" s="49">
        <f t="shared" ca="1" si="117"/>
        <v>0</v>
      </c>
      <c r="BJ348" s="49">
        <f t="shared" ca="1" si="117"/>
        <v>0</v>
      </c>
      <c r="BK348" s="49">
        <f t="shared" ca="1" si="117"/>
        <v>0</v>
      </c>
      <c r="BL348" s="49">
        <f t="shared" ca="1" si="117"/>
        <v>0</v>
      </c>
      <c r="BM348" s="49">
        <f t="shared" ca="1" si="117"/>
        <v>0</v>
      </c>
      <c r="BN348" s="49">
        <f t="shared" ca="1" si="117"/>
        <v>0</v>
      </c>
      <c r="BO348" s="49">
        <f t="shared" ca="1" si="117"/>
        <v>0</v>
      </c>
      <c r="BP348" s="49">
        <f t="shared" ca="1" si="117"/>
        <v>0</v>
      </c>
      <c r="BQ348" s="49">
        <f t="shared" ca="1" si="117"/>
        <v>0</v>
      </c>
      <c r="BR348" s="49">
        <f t="shared" ca="1" si="117"/>
        <v>0</v>
      </c>
      <c r="BS348" s="49">
        <f t="shared" ca="1" si="117"/>
        <v>0</v>
      </c>
    </row>
    <row r="349" spans="3:71" outlineLevel="1" x14ac:dyDescent="0.2">
      <c r="J349" s="26"/>
      <c r="L349" s="55"/>
      <c r="M349" s="55"/>
      <c r="N349" s="55"/>
      <c r="O349" s="55"/>
      <c r="P349" s="55"/>
      <c r="Q349" s="55"/>
      <c r="R349" s="55"/>
      <c r="S349" s="55"/>
      <c r="T349" s="55"/>
      <c r="U349" s="55"/>
      <c r="V349" s="55"/>
      <c r="W349" s="55"/>
      <c r="X349" s="55"/>
      <c r="Y349" s="55"/>
      <c r="Z349" s="55"/>
      <c r="AA349" s="55"/>
      <c r="AB349" s="55"/>
      <c r="AC349" s="55"/>
      <c r="AD349" s="55"/>
      <c r="AE349" s="55"/>
      <c r="AF349" s="55"/>
      <c r="AG349" s="55"/>
      <c r="AH349" s="55"/>
      <c r="AI349" s="55"/>
      <c r="AJ349" s="55"/>
      <c r="AK349" s="55"/>
      <c r="AL349" s="55"/>
      <c r="AM349" s="55"/>
      <c r="AN349" s="55"/>
      <c r="AO349" s="55"/>
      <c r="AP349" s="55"/>
      <c r="AQ349" s="55"/>
      <c r="AR349" s="55"/>
      <c r="AS349" s="55"/>
      <c r="AT349" s="55"/>
      <c r="AU349" s="55"/>
      <c r="AV349" s="55"/>
      <c r="AW349" s="55"/>
      <c r="AX349" s="55"/>
      <c r="AY349" s="55"/>
      <c r="AZ349" s="55"/>
      <c r="BA349" s="55"/>
      <c r="BB349" s="55"/>
      <c r="BC349" s="55"/>
      <c r="BD349" s="55"/>
      <c r="BE349" s="55"/>
      <c r="BF349" s="55"/>
      <c r="BG349" s="55"/>
      <c r="BH349" s="55"/>
      <c r="BI349" s="55"/>
      <c r="BJ349" s="55"/>
      <c r="BK349" s="55"/>
      <c r="BL349" s="55"/>
      <c r="BM349" s="55"/>
      <c r="BN349" s="55"/>
      <c r="BO349" s="55"/>
      <c r="BP349" s="55"/>
      <c r="BQ349" s="55"/>
      <c r="BR349" s="55"/>
      <c r="BS349" s="55"/>
    </row>
    <row r="350" spans="3:71" outlineLevel="1" x14ac:dyDescent="0.2">
      <c r="C350" s="11" t="str">
        <f>HM_ZD_Moho!C372</f>
        <v>Volumes de droits selon participation - Pétrole</v>
      </c>
      <c r="J350" s="26"/>
      <c r="L350" s="55"/>
      <c r="M350" s="55"/>
      <c r="N350" s="55"/>
      <c r="O350" s="55"/>
      <c r="P350" s="55"/>
      <c r="Q350" s="55"/>
      <c r="R350" s="55"/>
      <c r="S350" s="55"/>
      <c r="T350" s="55"/>
      <c r="U350" s="55"/>
      <c r="V350" s="55"/>
      <c r="W350" s="55"/>
      <c r="X350" s="55"/>
      <c r="Y350" s="55"/>
      <c r="Z350" s="55"/>
      <c r="AA350" s="55"/>
      <c r="AB350" s="55"/>
      <c r="AC350" s="55"/>
      <c r="AD350" s="55"/>
      <c r="AE350" s="55"/>
      <c r="AF350" s="55"/>
      <c r="AG350" s="55"/>
      <c r="AH350" s="55"/>
      <c r="AI350" s="55"/>
      <c r="AJ350" s="55"/>
      <c r="AK350" s="55"/>
      <c r="AL350" s="55"/>
      <c r="AM350" s="55"/>
      <c r="AN350" s="55"/>
      <c r="AO350" s="55"/>
      <c r="AP350" s="55"/>
      <c r="AQ350" s="55"/>
      <c r="AR350" s="55"/>
      <c r="AS350" s="55"/>
      <c r="AT350" s="55"/>
      <c r="AU350" s="55"/>
      <c r="AV350" s="55"/>
      <c r="AW350" s="55"/>
      <c r="AX350" s="55"/>
      <c r="AY350" s="55"/>
      <c r="AZ350" s="55"/>
      <c r="BA350" s="55"/>
      <c r="BB350" s="55"/>
      <c r="BC350" s="55"/>
      <c r="BD350" s="55"/>
      <c r="BE350" s="55"/>
      <c r="BF350" s="55"/>
      <c r="BG350" s="55"/>
      <c r="BH350" s="55"/>
      <c r="BI350" s="55"/>
      <c r="BJ350" s="55"/>
      <c r="BK350" s="55"/>
      <c r="BL350" s="55"/>
      <c r="BM350" s="55"/>
      <c r="BN350" s="55"/>
      <c r="BO350" s="55"/>
      <c r="BP350" s="55"/>
      <c r="BQ350" s="55"/>
      <c r="BR350" s="55"/>
      <c r="BS350" s="55"/>
    </row>
    <row r="351" spans="3:71" outlineLevel="1" x14ac:dyDescent="0.2">
      <c r="D351" t="str">
        <f>HM_ZD_Moho!D373</f>
        <v>Consortium compagnie pétrolières internationales</v>
      </c>
      <c r="I351" s="30">
        <f t="shared" ref="I351:I353" ca="1" si="118">SUM($L351:$BS351)</f>
        <v>11.498919050682161</v>
      </c>
      <c r="J351" s="26" t="s">
        <v>88</v>
      </c>
      <c r="L351" s="49">
        <f ca="1">L332*HM_ZD_AM3_2005!CA_IOC_WI</f>
        <v>5.5619214842196305</v>
      </c>
      <c r="M351" s="49">
        <f ca="1">M332*HM_ZD_AM3_2005!CA_IOC_WI</f>
        <v>5.936997566462531</v>
      </c>
      <c r="N351" s="49">
        <f ca="1">N332*HM_ZD_AM3_2005!CA_IOC_WI</f>
        <v>0</v>
      </c>
      <c r="O351" s="49">
        <f ca="1">O332*HM_ZD_AM3_2005!CA_IOC_WI</f>
        <v>0</v>
      </c>
      <c r="P351" s="49">
        <f ca="1">P332*HM_ZD_AM3_2005!CA_IOC_WI</f>
        <v>0</v>
      </c>
      <c r="Q351" s="49">
        <f ca="1">Q332*HM_ZD_AM3_2005!CA_IOC_WI</f>
        <v>0</v>
      </c>
      <c r="R351" s="49">
        <f ca="1">R332*HM_ZD_AM3_2005!CA_IOC_WI</f>
        <v>0</v>
      </c>
      <c r="S351" s="49">
        <f ca="1">S332*HM_ZD_AM3_2005!CA_IOC_WI</f>
        <v>0</v>
      </c>
      <c r="T351" s="49">
        <f ca="1">T332*HM_ZD_AM3_2005!CA_IOC_WI</f>
        <v>0</v>
      </c>
      <c r="U351" s="49">
        <f ca="1">U332*HM_ZD_AM3_2005!CA_IOC_WI</f>
        <v>0</v>
      </c>
      <c r="V351" s="49">
        <f ca="1">V332*HM_ZD_AM3_2005!CA_IOC_WI</f>
        <v>0</v>
      </c>
      <c r="W351" s="49">
        <f ca="1">W332*HM_ZD_AM3_2005!CA_IOC_WI</f>
        <v>0</v>
      </c>
      <c r="X351" s="49">
        <f ca="1">X332*HM_ZD_AM3_2005!CA_IOC_WI</f>
        <v>0</v>
      </c>
      <c r="Y351" s="49">
        <f ca="1">Y332*HM_ZD_AM3_2005!CA_IOC_WI</f>
        <v>0</v>
      </c>
      <c r="Z351" s="49">
        <f ca="1">Z332*HM_ZD_AM3_2005!CA_IOC_WI</f>
        <v>0</v>
      </c>
      <c r="AA351" s="49">
        <f ca="1">AA332*HM_ZD_AM3_2005!CA_IOC_WI</f>
        <v>0</v>
      </c>
      <c r="AB351" s="49">
        <f ca="1">AB332*HM_ZD_AM3_2005!CA_IOC_WI</f>
        <v>0</v>
      </c>
      <c r="AC351" s="49">
        <f ca="1">AC332*HM_ZD_AM3_2005!CA_IOC_WI</f>
        <v>0</v>
      </c>
      <c r="AD351" s="49">
        <f ca="1">AD332*HM_ZD_AM3_2005!CA_IOC_WI</f>
        <v>0</v>
      </c>
      <c r="AE351" s="49">
        <f ca="1">AE332*HM_ZD_AM3_2005!CA_IOC_WI</f>
        <v>0</v>
      </c>
      <c r="AF351" s="49">
        <f ca="1">AF332*HM_ZD_AM3_2005!CA_IOC_WI</f>
        <v>0</v>
      </c>
      <c r="AG351" s="49">
        <f ca="1">AG332*HM_ZD_AM3_2005!CA_IOC_WI</f>
        <v>0</v>
      </c>
      <c r="AH351" s="49">
        <f ca="1">AH332*HM_ZD_AM3_2005!CA_IOC_WI</f>
        <v>0</v>
      </c>
      <c r="AI351" s="49">
        <f ca="1">AI332*HM_ZD_AM3_2005!CA_IOC_WI</f>
        <v>0</v>
      </c>
      <c r="AJ351" s="49">
        <f ca="1">AJ332*HM_ZD_AM3_2005!CA_IOC_WI</f>
        <v>0</v>
      </c>
      <c r="AK351" s="49">
        <f ca="1">AK332*HM_ZD_AM3_2005!CA_IOC_WI</f>
        <v>0</v>
      </c>
      <c r="AL351" s="49">
        <f ca="1">AL332*HM_ZD_AM3_2005!CA_IOC_WI</f>
        <v>0</v>
      </c>
      <c r="AM351" s="49">
        <f ca="1">AM332*HM_ZD_AM3_2005!CA_IOC_WI</f>
        <v>0</v>
      </c>
      <c r="AN351" s="49">
        <f ca="1">AN332*HM_ZD_AM3_2005!CA_IOC_WI</f>
        <v>0</v>
      </c>
      <c r="AO351" s="49">
        <f ca="1">AO332*HM_ZD_AM3_2005!CA_IOC_WI</f>
        <v>0</v>
      </c>
      <c r="AP351" s="49">
        <f ca="1">AP332*HM_ZD_AM3_2005!CA_IOC_WI</f>
        <v>0</v>
      </c>
      <c r="AQ351" s="49">
        <f ca="1">AQ332*HM_ZD_AM3_2005!CA_IOC_WI</f>
        <v>0</v>
      </c>
      <c r="AR351" s="49">
        <f ca="1">AR332*HM_ZD_AM3_2005!CA_IOC_WI</f>
        <v>0</v>
      </c>
      <c r="AS351" s="49">
        <f ca="1">AS332*HM_ZD_AM3_2005!CA_IOC_WI</f>
        <v>0</v>
      </c>
      <c r="AT351" s="49">
        <f ca="1">AT332*HM_ZD_AM3_2005!CA_IOC_WI</f>
        <v>0</v>
      </c>
      <c r="AU351" s="49">
        <f ca="1">AU332*HM_ZD_AM3_2005!CA_IOC_WI</f>
        <v>0</v>
      </c>
      <c r="AV351" s="49">
        <f ca="1">AV332*HM_ZD_AM3_2005!CA_IOC_WI</f>
        <v>0</v>
      </c>
      <c r="AW351" s="49">
        <f ca="1">AW332*HM_ZD_AM3_2005!CA_IOC_WI</f>
        <v>0</v>
      </c>
      <c r="AX351" s="49">
        <f ca="1">AX332*HM_ZD_AM3_2005!CA_IOC_WI</f>
        <v>0</v>
      </c>
      <c r="AY351" s="49">
        <f ca="1">AY332*HM_ZD_AM3_2005!CA_IOC_WI</f>
        <v>0</v>
      </c>
      <c r="AZ351" s="49">
        <f ca="1">AZ332*HM_ZD_AM3_2005!CA_IOC_WI</f>
        <v>0</v>
      </c>
      <c r="BA351" s="49">
        <f ca="1">BA332*HM_ZD_AM3_2005!CA_IOC_WI</f>
        <v>0</v>
      </c>
      <c r="BB351" s="49">
        <f ca="1">BB332*HM_ZD_AM3_2005!CA_IOC_WI</f>
        <v>0</v>
      </c>
      <c r="BC351" s="49">
        <f ca="1">BC332*HM_ZD_AM3_2005!CA_IOC_WI</f>
        <v>0</v>
      </c>
      <c r="BD351" s="49">
        <f ca="1">BD332*HM_ZD_AM3_2005!CA_IOC_WI</f>
        <v>0</v>
      </c>
      <c r="BE351" s="49">
        <f ca="1">BE332*HM_ZD_AM3_2005!CA_IOC_WI</f>
        <v>0</v>
      </c>
      <c r="BF351" s="49">
        <f ca="1">BF332*HM_ZD_AM3_2005!CA_IOC_WI</f>
        <v>0</v>
      </c>
      <c r="BG351" s="49">
        <f ca="1">BG332*HM_ZD_AM3_2005!CA_IOC_WI</f>
        <v>0</v>
      </c>
      <c r="BH351" s="49">
        <f ca="1">BH332*HM_ZD_AM3_2005!CA_IOC_WI</f>
        <v>0</v>
      </c>
      <c r="BI351" s="49">
        <f ca="1">BI332*HM_ZD_AM3_2005!CA_IOC_WI</f>
        <v>0</v>
      </c>
      <c r="BJ351" s="49">
        <f ca="1">BJ332*HM_ZD_AM3_2005!CA_IOC_WI</f>
        <v>0</v>
      </c>
      <c r="BK351" s="49">
        <f ca="1">BK332*HM_ZD_AM3_2005!CA_IOC_WI</f>
        <v>0</v>
      </c>
      <c r="BL351" s="49">
        <f ca="1">BL332*HM_ZD_AM3_2005!CA_IOC_WI</f>
        <v>0</v>
      </c>
      <c r="BM351" s="49">
        <f ca="1">BM332*HM_ZD_AM3_2005!CA_IOC_WI</f>
        <v>0</v>
      </c>
      <c r="BN351" s="49">
        <f ca="1">BN332*HM_ZD_AM3_2005!CA_IOC_WI</f>
        <v>0</v>
      </c>
      <c r="BO351" s="49">
        <f ca="1">BO332*HM_ZD_AM3_2005!CA_IOC_WI</f>
        <v>0</v>
      </c>
      <c r="BP351" s="49">
        <f ca="1">BP332*HM_ZD_AM3_2005!CA_IOC_WI</f>
        <v>0</v>
      </c>
      <c r="BQ351" s="49">
        <f ca="1">BQ332*HM_ZD_AM3_2005!CA_IOC_WI</f>
        <v>0</v>
      </c>
      <c r="BR351" s="49">
        <f ca="1">BR332*HM_ZD_AM3_2005!CA_IOC_WI</f>
        <v>0</v>
      </c>
      <c r="BS351" s="49">
        <f ca="1">BS332*HM_ZD_AM3_2005!CA_IOC_WI</f>
        <v>0</v>
      </c>
    </row>
    <row r="352" spans="3:71" outlineLevel="1" x14ac:dyDescent="0.2">
      <c r="D352" t="str">
        <f>HM_ZD_Moho!D374</f>
        <v>Participation compagnie nationale/État</v>
      </c>
      <c r="I352" s="30">
        <f t="shared" ca="1" si="118"/>
        <v>2.0292210089439111</v>
      </c>
      <c r="J352" s="26" t="s">
        <v>88</v>
      </c>
      <c r="L352" s="49">
        <f ca="1">L332*HM_ZD_AM3_2005!CA_NOC_WI</f>
        <v>0.98151555603875829</v>
      </c>
      <c r="M352" s="49">
        <f ca="1">M332*HM_ZD_AM3_2005!CA_NOC_WI</f>
        <v>1.0477054529051526</v>
      </c>
      <c r="N352" s="49">
        <f ca="1">N332*HM_ZD_AM3_2005!CA_NOC_WI</f>
        <v>0</v>
      </c>
      <c r="O352" s="49">
        <f ca="1">O332*HM_ZD_AM3_2005!CA_NOC_WI</f>
        <v>0</v>
      </c>
      <c r="P352" s="49">
        <f ca="1">P332*HM_ZD_AM3_2005!CA_NOC_WI</f>
        <v>0</v>
      </c>
      <c r="Q352" s="49">
        <f ca="1">Q332*HM_ZD_AM3_2005!CA_NOC_WI</f>
        <v>0</v>
      </c>
      <c r="R352" s="49">
        <f ca="1">R332*HM_ZD_AM3_2005!CA_NOC_WI</f>
        <v>0</v>
      </c>
      <c r="S352" s="49">
        <f ca="1">S332*HM_ZD_AM3_2005!CA_NOC_WI</f>
        <v>0</v>
      </c>
      <c r="T352" s="49">
        <f ca="1">T332*HM_ZD_AM3_2005!CA_NOC_WI</f>
        <v>0</v>
      </c>
      <c r="U352" s="49">
        <f ca="1">U332*HM_ZD_AM3_2005!CA_NOC_WI</f>
        <v>0</v>
      </c>
      <c r="V352" s="49">
        <f ca="1">V332*HM_ZD_AM3_2005!CA_NOC_WI</f>
        <v>0</v>
      </c>
      <c r="W352" s="49">
        <f ca="1">W332*HM_ZD_AM3_2005!CA_NOC_WI</f>
        <v>0</v>
      </c>
      <c r="X352" s="49">
        <f ca="1">X332*HM_ZD_AM3_2005!CA_NOC_WI</f>
        <v>0</v>
      </c>
      <c r="Y352" s="49">
        <f ca="1">Y332*HM_ZD_AM3_2005!CA_NOC_WI</f>
        <v>0</v>
      </c>
      <c r="Z352" s="49">
        <f ca="1">Z332*HM_ZD_AM3_2005!CA_NOC_WI</f>
        <v>0</v>
      </c>
      <c r="AA352" s="49">
        <f ca="1">AA332*HM_ZD_AM3_2005!CA_NOC_WI</f>
        <v>0</v>
      </c>
      <c r="AB352" s="49">
        <f ca="1">AB332*HM_ZD_AM3_2005!CA_NOC_WI</f>
        <v>0</v>
      </c>
      <c r="AC352" s="49">
        <f ca="1">AC332*HM_ZD_AM3_2005!CA_NOC_WI</f>
        <v>0</v>
      </c>
      <c r="AD352" s="49">
        <f ca="1">AD332*HM_ZD_AM3_2005!CA_NOC_WI</f>
        <v>0</v>
      </c>
      <c r="AE352" s="49">
        <f ca="1">AE332*HM_ZD_AM3_2005!CA_NOC_WI</f>
        <v>0</v>
      </c>
      <c r="AF352" s="49">
        <f ca="1">AF332*HM_ZD_AM3_2005!CA_NOC_WI</f>
        <v>0</v>
      </c>
      <c r="AG352" s="49">
        <f ca="1">AG332*HM_ZD_AM3_2005!CA_NOC_WI</f>
        <v>0</v>
      </c>
      <c r="AH352" s="49">
        <f ca="1">AH332*HM_ZD_AM3_2005!CA_NOC_WI</f>
        <v>0</v>
      </c>
      <c r="AI352" s="49">
        <f ca="1">AI332*HM_ZD_AM3_2005!CA_NOC_WI</f>
        <v>0</v>
      </c>
      <c r="AJ352" s="49">
        <f ca="1">AJ332*HM_ZD_AM3_2005!CA_NOC_WI</f>
        <v>0</v>
      </c>
      <c r="AK352" s="49">
        <f ca="1">AK332*HM_ZD_AM3_2005!CA_NOC_WI</f>
        <v>0</v>
      </c>
      <c r="AL352" s="49">
        <f ca="1">AL332*HM_ZD_AM3_2005!CA_NOC_WI</f>
        <v>0</v>
      </c>
      <c r="AM352" s="49">
        <f ca="1">AM332*HM_ZD_AM3_2005!CA_NOC_WI</f>
        <v>0</v>
      </c>
      <c r="AN352" s="49">
        <f ca="1">AN332*HM_ZD_AM3_2005!CA_NOC_WI</f>
        <v>0</v>
      </c>
      <c r="AO352" s="49">
        <f ca="1">AO332*HM_ZD_AM3_2005!CA_NOC_WI</f>
        <v>0</v>
      </c>
      <c r="AP352" s="49">
        <f ca="1">AP332*HM_ZD_AM3_2005!CA_NOC_WI</f>
        <v>0</v>
      </c>
      <c r="AQ352" s="49">
        <f ca="1">AQ332*HM_ZD_AM3_2005!CA_NOC_WI</f>
        <v>0</v>
      </c>
      <c r="AR352" s="49">
        <f ca="1">AR332*HM_ZD_AM3_2005!CA_NOC_WI</f>
        <v>0</v>
      </c>
      <c r="AS352" s="49">
        <f ca="1">AS332*HM_ZD_AM3_2005!CA_NOC_WI</f>
        <v>0</v>
      </c>
      <c r="AT352" s="49">
        <f ca="1">AT332*HM_ZD_AM3_2005!CA_NOC_WI</f>
        <v>0</v>
      </c>
      <c r="AU352" s="49">
        <f ca="1">AU332*HM_ZD_AM3_2005!CA_NOC_WI</f>
        <v>0</v>
      </c>
      <c r="AV352" s="49">
        <f ca="1">AV332*HM_ZD_AM3_2005!CA_NOC_WI</f>
        <v>0</v>
      </c>
      <c r="AW352" s="49">
        <f ca="1">AW332*HM_ZD_AM3_2005!CA_NOC_WI</f>
        <v>0</v>
      </c>
      <c r="AX352" s="49">
        <f ca="1">AX332*HM_ZD_AM3_2005!CA_NOC_WI</f>
        <v>0</v>
      </c>
      <c r="AY352" s="49">
        <f ca="1">AY332*HM_ZD_AM3_2005!CA_NOC_WI</f>
        <v>0</v>
      </c>
      <c r="AZ352" s="49">
        <f ca="1">AZ332*HM_ZD_AM3_2005!CA_NOC_WI</f>
        <v>0</v>
      </c>
      <c r="BA352" s="49">
        <f ca="1">BA332*HM_ZD_AM3_2005!CA_NOC_WI</f>
        <v>0</v>
      </c>
      <c r="BB352" s="49">
        <f ca="1">BB332*HM_ZD_AM3_2005!CA_NOC_WI</f>
        <v>0</v>
      </c>
      <c r="BC352" s="49">
        <f ca="1">BC332*HM_ZD_AM3_2005!CA_NOC_WI</f>
        <v>0</v>
      </c>
      <c r="BD352" s="49">
        <f ca="1">BD332*HM_ZD_AM3_2005!CA_NOC_WI</f>
        <v>0</v>
      </c>
      <c r="BE352" s="49">
        <f ca="1">BE332*HM_ZD_AM3_2005!CA_NOC_WI</f>
        <v>0</v>
      </c>
      <c r="BF352" s="49">
        <f ca="1">BF332*HM_ZD_AM3_2005!CA_NOC_WI</f>
        <v>0</v>
      </c>
      <c r="BG352" s="49">
        <f ca="1">BG332*HM_ZD_AM3_2005!CA_NOC_WI</f>
        <v>0</v>
      </c>
      <c r="BH352" s="49">
        <f ca="1">BH332*HM_ZD_AM3_2005!CA_NOC_WI</f>
        <v>0</v>
      </c>
      <c r="BI352" s="49">
        <f ca="1">BI332*HM_ZD_AM3_2005!CA_NOC_WI</f>
        <v>0</v>
      </c>
      <c r="BJ352" s="49">
        <f ca="1">BJ332*HM_ZD_AM3_2005!CA_NOC_WI</f>
        <v>0</v>
      </c>
      <c r="BK352" s="49">
        <f ca="1">BK332*HM_ZD_AM3_2005!CA_NOC_WI</f>
        <v>0</v>
      </c>
      <c r="BL352" s="49">
        <f ca="1">BL332*HM_ZD_AM3_2005!CA_NOC_WI</f>
        <v>0</v>
      </c>
      <c r="BM352" s="49">
        <f ca="1">BM332*HM_ZD_AM3_2005!CA_NOC_WI</f>
        <v>0</v>
      </c>
      <c r="BN352" s="49">
        <f ca="1">BN332*HM_ZD_AM3_2005!CA_NOC_WI</f>
        <v>0</v>
      </c>
      <c r="BO352" s="49">
        <f ca="1">BO332*HM_ZD_AM3_2005!CA_NOC_WI</f>
        <v>0</v>
      </c>
      <c r="BP352" s="49">
        <f ca="1">BP332*HM_ZD_AM3_2005!CA_NOC_WI</f>
        <v>0</v>
      </c>
      <c r="BQ352" s="49">
        <f ca="1">BQ332*HM_ZD_AM3_2005!CA_NOC_WI</f>
        <v>0</v>
      </c>
      <c r="BR352" s="49">
        <f ca="1">BR332*HM_ZD_AM3_2005!CA_NOC_WI</f>
        <v>0</v>
      </c>
      <c r="BS352" s="49">
        <f ca="1">BS332*HM_ZD_AM3_2005!CA_NOC_WI</f>
        <v>0</v>
      </c>
    </row>
    <row r="353" spans="1:71" outlineLevel="1" x14ac:dyDescent="0.2">
      <c r="D353" s="11" t="str">
        <f>HM_ZD_Moho!D375</f>
        <v>Total</v>
      </c>
      <c r="I353" s="30">
        <f t="shared" ca="1" si="118"/>
        <v>13.528140059626072</v>
      </c>
      <c r="J353" s="26" t="s">
        <v>88</v>
      </c>
      <c r="L353" s="49">
        <f ca="1">SUM(L351:L352)</f>
        <v>6.5434370402583886</v>
      </c>
      <c r="M353" s="49">
        <f t="shared" ref="M353:BS353" ca="1" si="119">SUM(M351:M352)</f>
        <v>6.984703019367684</v>
      </c>
      <c r="N353" s="49">
        <f t="shared" ca="1" si="119"/>
        <v>0</v>
      </c>
      <c r="O353" s="49">
        <f t="shared" ca="1" si="119"/>
        <v>0</v>
      </c>
      <c r="P353" s="49">
        <f t="shared" ca="1" si="119"/>
        <v>0</v>
      </c>
      <c r="Q353" s="49">
        <f t="shared" ca="1" si="119"/>
        <v>0</v>
      </c>
      <c r="R353" s="49">
        <f t="shared" ca="1" si="119"/>
        <v>0</v>
      </c>
      <c r="S353" s="49">
        <f t="shared" ca="1" si="119"/>
        <v>0</v>
      </c>
      <c r="T353" s="49">
        <f t="shared" ca="1" si="119"/>
        <v>0</v>
      </c>
      <c r="U353" s="49">
        <f t="shared" ca="1" si="119"/>
        <v>0</v>
      </c>
      <c r="V353" s="49">
        <f t="shared" ca="1" si="119"/>
        <v>0</v>
      </c>
      <c r="W353" s="49">
        <f t="shared" ca="1" si="119"/>
        <v>0</v>
      </c>
      <c r="X353" s="49">
        <f t="shared" ca="1" si="119"/>
        <v>0</v>
      </c>
      <c r="Y353" s="49">
        <f t="shared" ca="1" si="119"/>
        <v>0</v>
      </c>
      <c r="Z353" s="49">
        <f t="shared" ca="1" si="119"/>
        <v>0</v>
      </c>
      <c r="AA353" s="49">
        <f t="shared" ca="1" si="119"/>
        <v>0</v>
      </c>
      <c r="AB353" s="49">
        <f t="shared" ca="1" si="119"/>
        <v>0</v>
      </c>
      <c r="AC353" s="49">
        <f t="shared" ca="1" si="119"/>
        <v>0</v>
      </c>
      <c r="AD353" s="49">
        <f t="shared" ca="1" si="119"/>
        <v>0</v>
      </c>
      <c r="AE353" s="49">
        <f t="shared" ca="1" si="119"/>
        <v>0</v>
      </c>
      <c r="AF353" s="49">
        <f t="shared" ca="1" si="119"/>
        <v>0</v>
      </c>
      <c r="AG353" s="49">
        <f t="shared" ca="1" si="119"/>
        <v>0</v>
      </c>
      <c r="AH353" s="49">
        <f t="shared" ca="1" si="119"/>
        <v>0</v>
      </c>
      <c r="AI353" s="49">
        <f t="shared" ca="1" si="119"/>
        <v>0</v>
      </c>
      <c r="AJ353" s="49">
        <f t="shared" ca="1" si="119"/>
        <v>0</v>
      </c>
      <c r="AK353" s="49">
        <f t="shared" ca="1" si="119"/>
        <v>0</v>
      </c>
      <c r="AL353" s="49">
        <f t="shared" ca="1" si="119"/>
        <v>0</v>
      </c>
      <c r="AM353" s="49">
        <f t="shared" ca="1" si="119"/>
        <v>0</v>
      </c>
      <c r="AN353" s="49">
        <f t="shared" ca="1" si="119"/>
        <v>0</v>
      </c>
      <c r="AO353" s="49">
        <f t="shared" ca="1" si="119"/>
        <v>0</v>
      </c>
      <c r="AP353" s="49">
        <f t="shared" ca="1" si="119"/>
        <v>0</v>
      </c>
      <c r="AQ353" s="49">
        <f t="shared" ca="1" si="119"/>
        <v>0</v>
      </c>
      <c r="AR353" s="49">
        <f t="shared" ca="1" si="119"/>
        <v>0</v>
      </c>
      <c r="AS353" s="49">
        <f t="shared" ca="1" si="119"/>
        <v>0</v>
      </c>
      <c r="AT353" s="49">
        <f t="shared" ca="1" si="119"/>
        <v>0</v>
      </c>
      <c r="AU353" s="49">
        <f t="shared" ca="1" si="119"/>
        <v>0</v>
      </c>
      <c r="AV353" s="49">
        <f t="shared" ca="1" si="119"/>
        <v>0</v>
      </c>
      <c r="AW353" s="49">
        <f t="shared" ca="1" si="119"/>
        <v>0</v>
      </c>
      <c r="AX353" s="49">
        <f t="shared" ca="1" si="119"/>
        <v>0</v>
      </c>
      <c r="AY353" s="49">
        <f t="shared" ca="1" si="119"/>
        <v>0</v>
      </c>
      <c r="AZ353" s="49">
        <f t="shared" ca="1" si="119"/>
        <v>0</v>
      </c>
      <c r="BA353" s="49">
        <f t="shared" ca="1" si="119"/>
        <v>0</v>
      </c>
      <c r="BB353" s="49">
        <f t="shared" ca="1" si="119"/>
        <v>0</v>
      </c>
      <c r="BC353" s="49">
        <f t="shared" ca="1" si="119"/>
        <v>0</v>
      </c>
      <c r="BD353" s="49">
        <f t="shared" ca="1" si="119"/>
        <v>0</v>
      </c>
      <c r="BE353" s="49">
        <f t="shared" ca="1" si="119"/>
        <v>0</v>
      </c>
      <c r="BF353" s="49">
        <f t="shared" ca="1" si="119"/>
        <v>0</v>
      </c>
      <c r="BG353" s="49">
        <f t="shared" ca="1" si="119"/>
        <v>0</v>
      </c>
      <c r="BH353" s="49">
        <f t="shared" ca="1" si="119"/>
        <v>0</v>
      </c>
      <c r="BI353" s="49">
        <f t="shared" ca="1" si="119"/>
        <v>0</v>
      </c>
      <c r="BJ353" s="49">
        <f t="shared" ca="1" si="119"/>
        <v>0</v>
      </c>
      <c r="BK353" s="49">
        <f t="shared" ca="1" si="119"/>
        <v>0</v>
      </c>
      <c r="BL353" s="49">
        <f t="shared" ca="1" si="119"/>
        <v>0</v>
      </c>
      <c r="BM353" s="49">
        <f t="shared" ca="1" si="119"/>
        <v>0</v>
      </c>
      <c r="BN353" s="49">
        <f t="shared" ca="1" si="119"/>
        <v>0</v>
      </c>
      <c r="BO353" s="49">
        <f t="shared" ca="1" si="119"/>
        <v>0</v>
      </c>
      <c r="BP353" s="49">
        <f t="shared" ca="1" si="119"/>
        <v>0</v>
      </c>
      <c r="BQ353" s="49">
        <f t="shared" ca="1" si="119"/>
        <v>0</v>
      </c>
      <c r="BR353" s="49">
        <f t="shared" ca="1" si="119"/>
        <v>0</v>
      </c>
      <c r="BS353" s="49">
        <f t="shared" ca="1" si="119"/>
        <v>0</v>
      </c>
    </row>
    <row r="354" spans="1:71" outlineLevel="1" x14ac:dyDescent="0.2">
      <c r="J354" s="26"/>
      <c r="L354" s="55"/>
      <c r="M354" s="55"/>
      <c r="N354" s="55"/>
      <c r="O354" s="55"/>
      <c r="P354" s="55"/>
      <c r="Q354" s="55"/>
      <c r="R354" s="55"/>
      <c r="S354" s="55"/>
      <c r="T354" s="55"/>
      <c r="U354" s="55"/>
      <c r="V354" s="55"/>
      <c r="W354" s="55"/>
      <c r="X354" s="55"/>
      <c r="Y354" s="55"/>
      <c r="Z354" s="55"/>
      <c r="AA354" s="55"/>
      <c r="AB354" s="55"/>
      <c r="AC354" s="55"/>
      <c r="AD354" s="55"/>
      <c r="AE354" s="55"/>
      <c r="AF354" s="55"/>
      <c r="AG354" s="55"/>
      <c r="AH354" s="55"/>
      <c r="AI354" s="55"/>
      <c r="AJ354" s="55"/>
      <c r="AK354" s="55"/>
      <c r="AL354" s="55"/>
      <c r="AM354" s="55"/>
      <c r="AN354" s="55"/>
      <c r="AO354" s="55"/>
      <c r="AP354" s="55"/>
      <c r="AQ354" s="55"/>
      <c r="AR354" s="55"/>
      <c r="AS354" s="55"/>
      <c r="AT354" s="55"/>
      <c r="AU354" s="55"/>
      <c r="AV354" s="55"/>
      <c r="AW354" s="55"/>
      <c r="AX354" s="55"/>
      <c r="AY354" s="55"/>
      <c r="AZ354" s="55"/>
      <c r="BA354" s="55"/>
      <c r="BB354" s="55"/>
      <c r="BC354" s="55"/>
      <c r="BD354" s="55"/>
      <c r="BE354" s="55"/>
      <c r="BF354" s="55"/>
      <c r="BG354" s="55"/>
      <c r="BH354" s="55"/>
      <c r="BI354" s="55"/>
      <c r="BJ354" s="55"/>
      <c r="BK354" s="55"/>
      <c r="BL354" s="55"/>
      <c r="BM354" s="55"/>
      <c r="BN354" s="55"/>
      <c r="BO354" s="55"/>
      <c r="BP354" s="55"/>
      <c r="BQ354" s="55"/>
      <c r="BR354" s="55"/>
      <c r="BS354" s="55"/>
    </row>
    <row r="355" spans="1:71" outlineLevel="1" x14ac:dyDescent="0.2">
      <c r="C355" s="11" t="str">
        <f>HM_ZD_Moho!C377</f>
        <v>Volumes de droits selon participation - Gaz</v>
      </c>
      <c r="J355" s="26"/>
      <c r="L355" s="55"/>
      <c r="M355" s="55"/>
      <c r="N355" s="55"/>
      <c r="O355" s="55"/>
      <c r="P355" s="55"/>
      <c r="Q355" s="55"/>
      <c r="R355" s="55"/>
      <c r="S355" s="55"/>
      <c r="T355" s="55"/>
      <c r="U355" s="55"/>
      <c r="V355" s="55"/>
      <c r="W355" s="55"/>
      <c r="X355" s="55"/>
      <c r="Y355" s="55"/>
      <c r="Z355" s="55"/>
      <c r="AA355" s="55"/>
      <c r="AB355" s="55"/>
      <c r="AC355" s="55"/>
      <c r="AD355" s="55"/>
      <c r="AE355" s="55"/>
      <c r="AF355" s="55"/>
      <c r="AG355" s="55"/>
      <c r="AH355" s="55"/>
      <c r="AI355" s="55"/>
      <c r="AJ355" s="55"/>
      <c r="AK355" s="55"/>
      <c r="AL355" s="55"/>
      <c r="AM355" s="55"/>
      <c r="AN355" s="55"/>
      <c r="AO355" s="55"/>
      <c r="AP355" s="55"/>
      <c r="AQ355" s="55"/>
      <c r="AR355" s="55"/>
      <c r="AS355" s="55"/>
      <c r="AT355" s="55"/>
      <c r="AU355" s="55"/>
      <c r="AV355" s="55"/>
      <c r="AW355" s="55"/>
      <c r="AX355" s="55"/>
      <c r="AY355" s="55"/>
      <c r="AZ355" s="55"/>
      <c r="BA355" s="55"/>
      <c r="BB355" s="55"/>
      <c r="BC355" s="55"/>
      <c r="BD355" s="55"/>
      <c r="BE355" s="55"/>
      <c r="BF355" s="55"/>
      <c r="BG355" s="55"/>
      <c r="BH355" s="55"/>
      <c r="BI355" s="55"/>
      <c r="BJ355" s="55"/>
      <c r="BK355" s="55"/>
      <c r="BL355" s="55"/>
      <c r="BM355" s="55"/>
      <c r="BN355" s="55"/>
      <c r="BO355" s="55"/>
      <c r="BP355" s="55"/>
      <c r="BQ355" s="55"/>
      <c r="BR355" s="55"/>
      <c r="BS355" s="55"/>
    </row>
    <row r="356" spans="1:71" outlineLevel="1" x14ac:dyDescent="0.2">
      <c r="D356" t="str">
        <f>HM_ZD_Moho!D378</f>
        <v>Consortium compagnie pétrolières internationales</v>
      </c>
      <c r="I356" s="30">
        <f t="shared" ref="I356:I358" ca="1" si="120">SUM($L356:$BS356)</f>
        <v>0</v>
      </c>
      <c r="J356" s="26" t="s">
        <v>148</v>
      </c>
      <c r="L356" s="49">
        <f ca="1">L333*HM_ZD_AM3_2005!CA_IOC_WI</f>
        <v>0</v>
      </c>
      <c r="M356" s="49">
        <f ca="1">M333*HM_ZD_AM3_2005!CA_IOC_WI</f>
        <v>0</v>
      </c>
      <c r="N356" s="49">
        <f ca="1">N333*HM_ZD_AM3_2005!CA_IOC_WI</f>
        <v>0</v>
      </c>
      <c r="O356" s="49">
        <f ca="1">O333*HM_ZD_AM3_2005!CA_IOC_WI</f>
        <v>0</v>
      </c>
      <c r="P356" s="49">
        <f ca="1">P333*HM_ZD_AM3_2005!CA_IOC_WI</f>
        <v>0</v>
      </c>
      <c r="Q356" s="49">
        <f ca="1">Q333*HM_ZD_AM3_2005!CA_IOC_WI</f>
        <v>0</v>
      </c>
      <c r="R356" s="49">
        <f ca="1">R333*HM_ZD_AM3_2005!CA_IOC_WI</f>
        <v>0</v>
      </c>
      <c r="S356" s="49">
        <f ca="1">S333*HM_ZD_AM3_2005!CA_IOC_WI</f>
        <v>0</v>
      </c>
      <c r="T356" s="49">
        <f ca="1">T333*HM_ZD_AM3_2005!CA_IOC_WI</f>
        <v>0</v>
      </c>
      <c r="U356" s="49">
        <f ca="1">U333*HM_ZD_AM3_2005!CA_IOC_WI</f>
        <v>0</v>
      </c>
      <c r="V356" s="49">
        <f ca="1">V333*HM_ZD_AM3_2005!CA_IOC_WI</f>
        <v>0</v>
      </c>
      <c r="W356" s="49">
        <f ca="1">W333*HM_ZD_AM3_2005!CA_IOC_WI</f>
        <v>0</v>
      </c>
      <c r="X356" s="49">
        <f ca="1">X333*HM_ZD_AM3_2005!CA_IOC_WI</f>
        <v>0</v>
      </c>
      <c r="Y356" s="49">
        <f ca="1">Y333*HM_ZD_AM3_2005!CA_IOC_WI</f>
        <v>0</v>
      </c>
      <c r="Z356" s="49">
        <f ca="1">Z333*HM_ZD_AM3_2005!CA_IOC_WI</f>
        <v>0</v>
      </c>
      <c r="AA356" s="49">
        <f ca="1">AA333*HM_ZD_AM3_2005!CA_IOC_WI</f>
        <v>0</v>
      </c>
      <c r="AB356" s="49">
        <f ca="1">AB333*HM_ZD_AM3_2005!CA_IOC_WI</f>
        <v>0</v>
      </c>
      <c r="AC356" s="49">
        <f ca="1">AC333*HM_ZD_AM3_2005!CA_IOC_WI</f>
        <v>0</v>
      </c>
      <c r="AD356" s="49">
        <f ca="1">AD333*HM_ZD_AM3_2005!CA_IOC_WI</f>
        <v>0</v>
      </c>
      <c r="AE356" s="49">
        <f ca="1">AE333*HM_ZD_AM3_2005!CA_IOC_WI</f>
        <v>0</v>
      </c>
      <c r="AF356" s="49">
        <f ca="1">AF333*HM_ZD_AM3_2005!CA_IOC_WI</f>
        <v>0</v>
      </c>
      <c r="AG356" s="49">
        <f ca="1">AG333*HM_ZD_AM3_2005!CA_IOC_WI</f>
        <v>0</v>
      </c>
      <c r="AH356" s="49">
        <f ca="1">AH333*HM_ZD_AM3_2005!CA_IOC_WI</f>
        <v>0</v>
      </c>
      <c r="AI356" s="49">
        <f ca="1">AI333*HM_ZD_AM3_2005!CA_IOC_WI</f>
        <v>0</v>
      </c>
      <c r="AJ356" s="49">
        <f ca="1">AJ333*HM_ZD_AM3_2005!CA_IOC_WI</f>
        <v>0</v>
      </c>
      <c r="AK356" s="49">
        <f ca="1">AK333*HM_ZD_AM3_2005!CA_IOC_WI</f>
        <v>0</v>
      </c>
      <c r="AL356" s="49">
        <f ca="1">AL333*HM_ZD_AM3_2005!CA_IOC_WI</f>
        <v>0</v>
      </c>
      <c r="AM356" s="49">
        <f ca="1">AM333*HM_ZD_AM3_2005!CA_IOC_WI</f>
        <v>0</v>
      </c>
      <c r="AN356" s="49">
        <f ca="1">AN333*HM_ZD_AM3_2005!CA_IOC_WI</f>
        <v>0</v>
      </c>
      <c r="AO356" s="49">
        <f ca="1">AO333*HM_ZD_AM3_2005!CA_IOC_WI</f>
        <v>0</v>
      </c>
      <c r="AP356" s="49">
        <f ca="1">AP333*HM_ZD_AM3_2005!CA_IOC_WI</f>
        <v>0</v>
      </c>
      <c r="AQ356" s="49">
        <f ca="1">AQ333*HM_ZD_AM3_2005!CA_IOC_WI</f>
        <v>0</v>
      </c>
      <c r="AR356" s="49">
        <f ca="1">AR333*HM_ZD_AM3_2005!CA_IOC_WI</f>
        <v>0</v>
      </c>
      <c r="AS356" s="49">
        <f ca="1">AS333*HM_ZD_AM3_2005!CA_IOC_WI</f>
        <v>0</v>
      </c>
      <c r="AT356" s="49">
        <f ca="1">AT333*HM_ZD_AM3_2005!CA_IOC_WI</f>
        <v>0</v>
      </c>
      <c r="AU356" s="49">
        <f ca="1">AU333*HM_ZD_AM3_2005!CA_IOC_WI</f>
        <v>0</v>
      </c>
      <c r="AV356" s="49">
        <f ca="1">AV333*HM_ZD_AM3_2005!CA_IOC_WI</f>
        <v>0</v>
      </c>
      <c r="AW356" s="49">
        <f ca="1">AW333*HM_ZD_AM3_2005!CA_IOC_WI</f>
        <v>0</v>
      </c>
      <c r="AX356" s="49">
        <f ca="1">AX333*HM_ZD_AM3_2005!CA_IOC_WI</f>
        <v>0</v>
      </c>
      <c r="AY356" s="49">
        <f ca="1">AY333*HM_ZD_AM3_2005!CA_IOC_WI</f>
        <v>0</v>
      </c>
      <c r="AZ356" s="49">
        <f ca="1">AZ333*HM_ZD_AM3_2005!CA_IOC_WI</f>
        <v>0</v>
      </c>
      <c r="BA356" s="49">
        <f ca="1">BA333*HM_ZD_AM3_2005!CA_IOC_WI</f>
        <v>0</v>
      </c>
      <c r="BB356" s="49">
        <f ca="1">BB333*HM_ZD_AM3_2005!CA_IOC_WI</f>
        <v>0</v>
      </c>
      <c r="BC356" s="49">
        <f ca="1">BC333*HM_ZD_AM3_2005!CA_IOC_WI</f>
        <v>0</v>
      </c>
      <c r="BD356" s="49">
        <f ca="1">BD333*HM_ZD_AM3_2005!CA_IOC_WI</f>
        <v>0</v>
      </c>
      <c r="BE356" s="49">
        <f ca="1">BE333*HM_ZD_AM3_2005!CA_IOC_WI</f>
        <v>0</v>
      </c>
      <c r="BF356" s="49">
        <f ca="1">BF333*HM_ZD_AM3_2005!CA_IOC_WI</f>
        <v>0</v>
      </c>
      <c r="BG356" s="49">
        <f ca="1">BG333*HM_ZD_AM3_2005!CA_IOC_WI</f>
        <v>0</v>
      </c>
      <c r="BH356" s="49">
        <f ca="1">BH333*HM_ZD_AM3_2005!CA_IOC_WI</f>
        <v>0</v>
      </c>
      <c r="BI356" s="49">
        <f ca="1">BI333*HM_ZD_AM3_2005!CA_IOC_WI</f>
        <v>0</v>
      </c>
      <c r="BJ356" s="49">
        <f ca="1">BJ333*HM_ZD_AM3_2005!CA_IOC_WI</f>
        <v>0</v>
      </c>
      <c r="BK356" s="49">
        <f ca="1">BK333*HM_ZD_AM3_2005!CA_IOC_WI</f>
        <v>0</v>
      </c>
      <c r="BL356" s="49">
        <f ca="1">BL333*HM_ZD_AM3_2005!CA_IOC_WI</f>
        <v>0</v>
      </c>
      <c r="BM356" s="49">
        <f ca="1">BM333*HM_ZD_AM3_2005!CA_IOC_WI</f>
        <v>0</v>
      </c>
      <c r="BN356" s="49">
        <f ca="1">BN333*HM_ZD_AM3_2005!CA_IOC_WI</f>
        <v>0</v>
      </c>
      <c r="BO356" s="49">
        <f ca="1">BO333*HM_ZD_AM3_2005!CA_IOC_WI</f>
        <v>0</v>
      </c>
      <c r="BP356" s="49">
        <f ca="1">BP333*HM_ZD_AM3_2005!CA_IOC_WI</f>
        <v>0</v>
      </c>
      <c r="BQ356" s="49">
        <f ca="1">BQ333*HM_ZD_AM3_2005!CA_IOC_WI</f>
        <v>0</v>
      </c>
      <c r="BR356" s="49">
        <f ca="1">BR333*HM_ZD_AM3_2005!CA_IOC_WI</f>
        <v>0</v>
      </c>
      <c r="BS356" s="49">
        <f ca="1">BS333*HM_ZD_AM3_2005!CA_IOC_WI</f>
        <v>0</v>
      </c>
    </row>
    <row r="357" spans="1:71" outlineLevel="1" x14ac:dyDescent="0.2">
      <c r="D357" t="str">
        <f>HM_ZD_Moho!D379</f>
        <v>Participation compagnie nationale/État</v>
      </c>
      <c r="I357" s="30">
        <f t="shared" ca="1" si="120"/>
        <v>0</v>
      </c>
      <c r="J357" s="26" t="s">
        <v>148</v>
      </c>
      <c r="L357" s="49">
        <f ca="1">L333*HM_ZD_AM3_2005!CA_NOC_WI</f>
        <v>0</v>
      </c>
      <c r="M357" s="49">
        <f ca="1">M333*HM_ZD_AM3_2005!CA_NOC_WI</f>
        <v>0</v>
      </c>
      <c r="N357" s="49">
        <f ca="1">N333*HM_ZD_AM3_2005!CA_NOC_WI</f>
        <v>0</v>
      </c>
      <c r="O357" s="49">
        <f ca="1">O333*HM_ZD_AM3_2005!CA_NOC_WI</f>
        <v>0</v>
      </c>
      <c r="P357" s="49">
        <f ca="1">P333*HM_ZD_AM3_2005!CA_NOC_WI</f>
        <v>0</v>
      </c>
      <c r="Q357" s="49">
        <f ca="1">Q333*HM_ZD_AM3_2005!CA_NOC_WI</f>
        <v>0</v>
      </c>
      <c r="R357" s="49">
        <f ca="1">R333*HM_ZD_AM3_2005!CA_NOC_WI</f>
        <v>0</v>
      </c>
      <c r="S357" s="49">
        <f ca="1">S333*HM_ZD_AM3_2005!CA_NOC_WI</f>
        <v>0</v>
      </c>
      <c r="T357" s="49">
        <f ca="1">T333*HM_ZD_AM3_2005!CA_NOC_WI</f>
        <v>0</v>
      </c>
      <c r="U357" s="49">
        <f ca="1">U333*HM_ZD_AM3_2005!CA_NOC_WI</f>
        <v>0</v>
      </c>
      <c r="V357" s="49">
        <f ca="1">V333*HM_ZD_AM3_2005!CA_NOC_WI</f>
        <v>0</v>
      </c>
      <c r="W357" s="49">
        <f ca="1">W333*HM_ZD_AM3_2005!CA_NOC_WI</f>
        <v>0</v>
      </c>
      <c r="X357" s="49">
        <f ca="1">X333*HM_ZD_AM3_2005!CA_NOC_WI</f>
        <v>0</v>
      </c>
      <c r="Y357" s="49">
        <f ca="1">Y333*HM_ZD_AM3_2005!CA_NOC_WI</f>
        <v>0</v>
      </c>
      <c r="Z357" s="49">
        <f ca="1">Z333*HM_ZD_AM3_2005!CA_NOC_WI</f>
        <v>0</v>
      </c>
      <c r="AA357" s="49">
        <f ca="1">AA333*HM_ZD_AM3_2005!CA_NOC_WI</f>
        <v>0</v>
      </c>
      <c r="AB357" s="49">
        <f ca="1">AB333*HM_ZD_AM3_2005!CA_NOC_WI</f>
        <v>0</v>
      </c>
      <c r="AC357" s="49">
        <f ca="1">AC333*HM_ZD_AM3_2005!CA_NOC_WI</f>
        <v>0</v>
      </c>
      <c r="AD357" s="49">
        <f ca="1">AD333*HM_ZD_AM3_2005!CA_NOC_WI</f>
        <v>0</v>
      </c>
      <c r="AE357" s="49">
        <f ca="1">AE333*HM_ZD_AM3_2005!CA_NOC_WI</f>
        <v>0</v>
      </c>
      <c r="AF357" s="49">
        <f ca="1">AF333*HM_ZD_AM3_2005!CA_NOC_WI</f>
        <v>0</v>
      </c>
      <c r="AG357" s="49">
        <f ca="1">AG333*HM_ZD_AM3_2005!CA_NOC_WI</f>
        <v>0</v>
      </c>
      <c r="AH357" s="49">
        <f ca="1">AH333*HM_ZD_AM3_2005!CA_NOC_WI</f>
        <v>0</v>
      </c>
      <c r="AI357" s="49">
        <f ca="1">AI333*HM_ZD_AM3_2005!CA_NOC_WI</f>
        <v>0</v>
      </c>
      <c r="AJ357" s="49">
        <f ca="1">AJ333*HM_ZD_AM3_2005!CA_NOC_WI</f>
        <v>0</v>
      </c>
      <c r="AK357" s="49">
        <f ca="1">AK333*HM_ZD_AM3_2005!CA_NOC_WI</f>
        <v>0</v>
      </c>
      <c r="AL357" s="49">
        <f ca="1">AL333*HM_ZD_AM3_2005!CA_NOC_WI</f>
        <v>0</v>
      </c>
      <c r="AM357" s="49">
        <f ca="1">AM333*HM_ZD_AM3_2005!CA_NOC_WI</f>
        <v>0</v>
      </c>
      <c r="AN357" s="49">
        <f ca="1">AN333*HM_ZD_AM3_2005!CA_NOC_WI</f>
        <v>0</v>
      </c>
      <c r="AO357" s="49">
        <f ca="1">AO333*HM_ZD_AM3_2005!CA_NOC_WI</f>
        <v>0</v>
      </c>
      <c r="AP357" s="49">
        <f ca="1">AP333*HM_ZD_AM3_2005!CA_NOC_WI</f>
        <v>0</v>
      </c>
      <c r="AQ357" s="49">
        <f ca="1">AQ333*HM_ZD_AM3_2005!CA_NOC_WI</f>
        <v>0</v>
      </c>
      <c r="AR357" s="49">
        <f ca="1">AR333*HM_ZD_AM3_2005!CA_NOC_WI</f>
        <v>0</v>
      </c>
      <c r="AS357" s="49">
        <f ca="1">AS333*HM_ZD_AM3_2005!CA_NOC_WI</f>
        <v>0</v>
      </c>
      <c r="AT357" s="49">
        <f ca="1">AT333*HM_ZD_AM3_2005!CA_NOC_WI</f>
        <v>0</v>
      </c>
      <c r="AU357" s="49">
        <f ca="1">AU333*HM_ZD_AM3_2005!CA_NOC_WI</f>
        <v>0</v>
      </c>
      <c r="AV357" s="49">
        <f ca="1">AV333*HM_ZD_AM3_2005!CA_NOC_WI</f>
        <v>0</v>
      </c>
      <c r="AW357" s="49">
        <f ca="1">AW333*HM_ZD_AM3_2005!CA_NOC_WI</f>
        <v>0</v>
      </c>
      <c r="AX357" s="49">
        <f ca="1">AX333*HM_ZD_AM3_2005!CA_NOC_WI</f>
        <v>0</v>
      </c>
      <c r="AY357" s="49">
        <f ca="1">AY333*HM_ZD_AM3_2005!CA_NOC_WI</f>
        <v>0</v>
      </c>
      <c r="AZ357" s="49">
        <f ca="1">AZ333*HM_ZD_AM3_2005!CA_NOC_WI</f>
        <v>0</v>
      </c>
      <c r="BA357" s="49">
        <f ca="1">BA333*HM_ZD_AM3_2005!CA_NOC_WI</f>
        <v>0</v>
      </c>
      <c r="BB357" s="49">
        <f ca="1">BB333*HM_ZD_AM3_2005!CA_NOC_WI</f>
        <v>0</v>
      </c>
      <c r="BC357" s="49">
        <f ca="1">BC333*HM_ZD_AM3_2005!CA_NOC_WI</f>
        <v>0</v>
      </c>
      <c r="BD357" s="49">
        <f ca="1">BD333*HM_ZD_AM3_2005!CA_NOC_WI</f>
        <v>0</v>
      </c>
      <c r="BE357" s="49">
        <f ca="1">BE333*HM_ZD_AM3_2005!CA_NOC_WI</f>
        <v>0</v>
      </c>
      <c r="BF357" s="49">
        <f ca="1">BF333*HM_ZD_AM3_2005!CA_NOC_WI</f>
        <v>0</v>
      </c>
      <c r="BG357" s="49">
        <f ca="1">BG333*HM_ZD_AM3_2005!CA_NOC_WI</f>
        <v>0</v>
      </c>
      <c r="BH357" s="49">
        <f ca="1">BH333*HM_ZD_AM3_2005!CA_NOC_WI</f>
        <v>0</v>
      </c>
      <c r="BI357" s="49">
        <f ca="1">BI333*HM_ZD_AM3_2005!CA_NOC_WI</f>
        <v>0</v>
      </c>
      <c r="BJ357" s="49">
        <f ca="1">BJ333*HM_ZD_AM3_2005!CA_NOC_WI</f>
        <v>0</v>
      </c>
      <c r="BK357" s="49">
        <f ca="1">BK333*HM_ZD_AM3_2005!CA_NOC_WI</f>
        <v>0</v>
      </c>
      <c r="BL357" s="49">
        <f ca="1">BL333*HM_ZD_AM3_2005!CA_NOC_WI</f>
        <v>0</v>
      </c>
      <c r="BM357" s="49">
        <f ca="1">BM333*HM_ZD_AM3_2005!CA_NOC_WI</f>
        <v>0</v>
      </c>
      <c r="BN357" s="49">
        <f ca="1">BN333*HM_ZD_AM3_2005!CA_NOC_WI</f>
        <v>0</v>
      </c>
      <c r="BO357" s="49">
        <f ca="1">BO333*HM_ZD_AM3_2005!CA_NOC_WI</f>
        <v>0</v>
      </c>
      <c r="BP357" s="49">
        <f ca="1">BP333*HM_ZD_AM3_2005!CA_NOC_WI</f>
        <v>0</v>
      </c>
      <c r="BQ357" s="49">
        <f ca="1">BQ333*HM_ZD_AM3_2005!CA_NOC_WI</f>
        <v>0</v>
      </c>
      <c r="BR357" s="49">
        <f ca="1">BR333*HM_ZD_AM3_2005!CA_NOC_WI</f>
        <v>0</v>
      </c>
      <c r="BS357" s="49">
        <f ca="1">BS333*HM_ZD_AM3_2005!CA_NOC_WI</f>
        <v>0</v>
      </c>
    </row>
    <row r="358" spans="1:71" outlineLevel="1" x14ac:dyDescent="0.2">
      <c r="D358" s="11" t="str">
        <f>HM_ZD_Moho!D380</f>
        <v>Total</v>
      </c>
      <c r="I358" s="30">
        <f t="shared" ca="1" si="120"/>
        <v>0</v>
      </c>
      <c r="J358" s="26" t="s">
        <v>148</v>
      </c>
      <c r="L358" s="49">
        <f ca="1">SUM(L356:L357)</f>
        <v>0</v>
      </c>
      <c r="M358" s="49">
        <f t="shared" ref="M358:BS358" ca="1" si="121">SUM(M356:M357)</f>
        <v>0</v>
      </c>
      <c r="N358" s="49">
        <f t="shared" ca="1" si="121"/>
        <v>0</v>
      </c>
      <c r="O358" s="49">
        <f t="shared" ca="1" si="121"/>
        <v>0</v>
      </c>
      <c r="P358" s="49">
        <f t="shared" ca="1" si="121"/>
        <v>0</v>
      </c>
      <c r="Q358" s="49">
        <f t="shared" ca="1" si="121"/>
        <v>0</v>
      </c>
      <c r="R358" s="49">
        <f t="shared" ca="1" si="121"/>
        <v>0</v>
      </c>
      <c r="S358" s="49">
        <f t="shared" ca="1" si="121"/>
        <v>0</v>
      </c>
      <c r="T358" s="49">
        <f t="shared" ca="1" si="121"/>
        <v>0</v>
      </c>
      <c r="U358" s="49">
        <f t="shared" ca="1" si="121"/>
        <v>0</v>
      </c>
      <c r="V358" s="49">
        <f t="shared" ca="1" si="121"/>
        <v>0</v>
      </c>
      <c r="W358" s="49">
        <f t="shared" ca="1" si="121"/>
        <v>0</v>
      </c>
      <c r="X358" s="49">
        <f t="shared" ca="1" si="121"/>
        <v>0</v>
      </c>
      <c r="Y358" s="49">
        <f t="shared" ca="1" si="121"/>
        <v>0</v>
      </c>
      <c r="Z358" s="49">
        <f t="shared" ca="1" si="121"/>
        <v>0</v>
      </c>
      <c r="AA358" s="49">
        <f t="shared" ca="1" si="121"/>
        <v>0</v>
      </c>
      <c r="AB358" s="49">
        <f t="shared" ca="1" si="121"/>
        <v>0</v>
      </c>
      <c r="AC358" s="49">
        <f t="shared" ca="1" si="121"/>
        <v>0</v>
      </c>
      <c r="AD358" s="49">
        <f t="shared" ca="1" si="121"/>
        <v>0</v>
      </c>
      <c r="AE358" s="49">
        <f t="shared" ca="1" si="121"/>
        <v>0</v>
      </c>
      <c r="AF358" s="49">
        <f t="shared" ca="1" si="121"/>
        <v>0</v>
      </c>
      <c r="AG358" s="49">
        <f t="shared" ca="1" si="121"/>
        <v>0</v>
      </c>
      <c r="AH358" s="49">
        <f t="shared" ca="1" si="121"/>
        <v>0</v>
      </c>
      <c r="AI358" s="49">
        <f t="shared" ca="1" si="121"/>
        <v>0</v>
      </c>
      <c r="AJ358" s="49">
        <f t="shared" ca="1" si="121"/>
        <v>0</v>
      </c>
      <c r="AK358" s="49">
        <f t="shared" ca="1" si="121"/>
        <v>0</v>
      </c>
      <c r="AL358" s="49">
        <f t="shared" ca="1" si="121"/>
        <v>0</v>
      </c>
      <c r="AM358" s="49">
        <f t="shared" ca="1" si="121"/>
        <v>0</v>
      </c>
      <c r="AN358" s="49">
        <f t="shared" ca="1" si="121"/>
        <v>0</v>
      </c>
      <c r="AO358" s="49">
        <f t="shared" ca="1" si="121"/>
        <v>0</v>
      </c>
      <c r="AP358" s="49">
        <f t="shared" ca="1" si="121"/>
        <v>0</v>
      </c>
      <c r="AQ358" s="49">
        <f t="shared" ca="1" si="121"/>
        <v>0</v>
      </c>
      <c r="AR358" s="49">
        <f t="shared" ca="1" si="121"/>
        <v>0</v>
      </c>
      <c r="AS358" s="49">
        <f t="shared" ca="1" si="121"/>
        <v>0</v>
      </c>
      <c r="AT358" s="49">
        <f t="shared" ca="1" si="121"/>
        <v>0</v>
      </c>
      <c r="AU358" s="49">
        <f t="shared" ca="1" si="121"/>
        <v>0</v>
      </c>
      <c r="AV358" s="49">
        <f t="shared" ca="1" si="121"/>
        <v>0</v>
      </c>
      <c r="AW358" s="49">
        <f t="shared" ca="1" si="121"/>
        <v>0</v>
      </c>
      <c r="AX358" s="49">
        <f t="shared" ca="1" si="121"/>
        <v>0</v>
      </c>
      <c r="AY358" s="49">
        <f t="shared" ca="1" si="121"/>
        <v>0</v>
      </c>
      <c r="AZ358" s="49">
        <f t="shared" ca="1" si="121"/>
        <v>0</v>
      </c>
      <c r="BA358" s="49">
        <f t="shared" ca="1" si="121"/>
        <v>0</v>
      </c>
      <c r="BB358" s="49">
        <f t="shared" ca="1" si="121"/>
        <v>0</v>
      </c>
      <c r="BC358" s="49">
        <f t="shared" ca="1" si="121"/>
        <v>0</v>
      </c>
      <c r="BD358" s="49">
        <f t="shared" ca="1" si="121"/>
        <v>0</v>
      </c>
      <c r="BE358" s="49">
        <f t="shared" ca="1" si="121"/>
        <v>0</v>
      </c>
      <c r="BF358" s="49">
        <f t="shared" ca="1" si="121"/>
        <v>0</v>
      </c>
      <c r="BG358" s="49">
        <f t="shared" ca="1" si="121"/>
        <v>0</v>
      </c>
      <c r="BH358" s="49">
        <f t="shared" ca="1" si="121"/>
        <v>0</v>
      </c>
      <c r="BI358" s="49">
        <f t="shared" ca="1" si="121"/>
        <v>0</v>
      </c>
      <c r="BJ358" s="49">
        <f t="shared" ca="1" si="121"/>
        <v>0</v>
      </c>
      <c r="BK358" s="49">
        <f t="shared" ca="1" si="121"/>
        <v>0</v>
      </c>
      <c r="BL358" s="49">
        <f t="shared" ca="1" si="121"/>
        <v>0</v>
      </c>
      <c r="BM358" s="49">
        <f t="shared" ca="1" si="121"/>
        <v>0</v>
      </c>
      <c r="BN358" s="49">
        <f t="shared" ca="1" si="121"/>
        <v>0</v>
      </c>
      <c r="BO358" s="49">
        <f t="shared" ca="1" si="121"/>
        <v>0</v>
      </c>
      <c r="BP358" s="49">
        <f t="shared" ca="1" si="121"/>
        <v>0</v>
      </c>
      <c r="BQ358" s="49">
        <f t="shared" ca="1" si="121"/>
        <v>0</v>
      </c>
      <c r="BR358" s="49">
        <f t="shared" ca="1" si="121"/>
        <v>0</v>
      </c>
      <c r="BS358" s="49">
        <f t="shared" ca="1" si="121"/>
        <v>0</v>
      </c>
    </row>
    <row r="359" spans="1:71" outlineLevel="1" x14ac:dyDescent="0.2">
      <c r="J359" s="26"/>
      <c r="L359" s="55"/>
      <c r="M359" s="55"/>
      <c r="N359" s="55"/>
      <c r="O359" s="55"/>
      <c r="P359" s="55"/>
      <c r="Q359" s="55"/>
      <c r="R359" s="55"/>
      <c r="S359" s="55"/>
      <c r="T359" s="55"/>
      <c r="U359" s="55"/>
      <c r="V359" s="55"/>
      <c r="W359" s="55"/>
      <c r="X359" s="55"/>
      <c r="Y359" s="55"/>
      <c r="Z359" s="55"/>
      <c r="AA359" s="55"/>
      <c r="AB359" s="55"/>
      <c r="AC359" s="55"/>
      <c r="AD359" s="55"/>
      <c r="AE359" s="55"/>
      <c r="AF359" s="55"/>
      <c r="AG359" s="55"/>
      <c r="AH359" s="55"/>
      <c r="AI359" s="55"/>
      <c r="AJ359" s="55"/>
      <c r="AK359" s="55"/>
      <c r="AL359" s="55"/>
      <c r="AM359" s="55"/>
      <c r="AN359" s="55"/>
      <c r="AO359" s="55"/>
      <c r="AP359" s="55"/>
      <c r="AQ359" s="55"/>
      <c r="AR359" s="55"/>
      <c r="AS359" s="55"/>
      <c r="AT359" s="55"/>
      <c r="AU359" s="55"/>
      <c r="AV359" s="55"/>
      <c r="AW359" s="55"/>
      <c r="AX359" s="55"/>
      <c r="AY359" s="55"/>
      <c r="AZ359" s="55"/>
      <c r="BA359" s="55"/>
      <c r="BB359" s="55"/>
      <c r="BC359" s="55"/>
      <c r="BD359" s="55"/>
      <c r="BE359" s="55"/>
      <c r="BF359" s="55"/>
      <c r="BG359" s="55"/>
      <c r="BH359" s="55"/>
      <c r="BI359" s="55"/>
      <c r="BJ359" s="55"/>
      <c r="BK359" s="55"/>
      <c r="BL359" s="55"/>
      <c r="BM359" s="55"/>
      <c r="BN359" s="55"/>
      <c r="BO359" s="55"/>
      <c r="BP359" s="55"/>
      <c r="BQ359" s="55"/>
      <c r="BR359" s="55"/>
      <c r="BS359" s="55"/>
    </row>
    <row r="360" spans="1:71" outlineLevel="1" x14ac:dyDescent="0.2">
      <c r="J360" s="26"/>
      <c r="L360" s="55"/>
      <c r="M360" s="55"/>
      <c r="N360" s="55"/>
      <c r="O360" s="55"/>
      <c r="P360" s="55"/>
      <c r="Q360" s="55"/>
      <c r="R360" s="55"/>
      <c r="S360" s="55"/>
      <c r="T360" s="55"/>
      <c r="U360" s="55"/>
      <c r="V360" s="55"/>
      <c r="W360" s="55"/>
      <c r="X360" s="55"/>
      <c r="Y360" s="55"/>
      <c r="Z360" s="55"/>
      <c r="AA360" s="55"/>
      <c r="AB360" s="55"/>
      <c r="AC360" s="55"/>
      <c r="AD360" s="55"/>
      <c r="AE360" s="55"/>
      <c r="AF360" s="55"/>
      <c r="AG360" s="55"/>
      <c r="AH360" s="55"/>
      <c r="AI360" s="55"/>
      <c r="AJ360" s="55"/>
      <c r="AK360" s="55"/>
      <c r="AL360" s="55"/>
      <c r="AM360" s="55"/>
      <c r="AN360" s="55"/>
      <c r="AO360" s="55"/>
      <c r="AP360" s="55"/>
      <c r="AQ360" s="55"/>
      <c r="AR360" s="55"/>
      <c r="AS360" s="55"/>
      <c r="AT360" s="55"/>
      <c r="AU360" s="55"/>
      <c r="AV360" s="55"/>
      <c r="AW360" s="55"/>
      <c r="AX360" s="55"/>
      <c r="AY360" s="55"/>
      <c r="AZ360" s="55"/>
      <c r="BA360" s="55"/>
      <c r="BB360" s="55"/>
      <c r="BC360" s="55"/>
      <c r="BD360" s="55"/>
      <c r="BE360" s="55"/>
      <c r="BF360" s="55"/>
      <c r="BG360" s="55"/>
      <c r="BH360" s="55"/>
      <c r="BI360" s="55"/>
      <c r="BJ360" s="55"/>
      <c r="BK360" s="55"/>
      <c r="BL360" s="55"/>
      <c r="BM360" s="55"/>
      <c r="BN360" s="55"/>
      <c r="BO360" s="55"/>
      <c r="BP360" s="55"/>
      <c r="BQ360" s="55"/>
      <c r="BR360" s="55"/>
      <c r="BS360" s="55"/>
    </row>
    <row r="361" spans="1:71" outlineLevel="1" x14ac:dyDescent="0.2">
      <c r="J361" s="26"/>
      <c r="L361" s="55"/>
      <c r="M361" s="55"/>
      <c r="N361" s="55"/>
      <c r="O361" s="55"/>
      <c r="P361" s="55"/>
      <c r="Q361" s="55"/>
      <c r="R361" s="55"/>
      <c r="S361" s="55"/>
      <c r="T361" s="55"/>
      <c r="U361" s="55"/>
      <c r="V361" s="55"/>
      <c r="W361" s="55"/>
      <c r="X361" s="55"/>
      <c r="Y361" s="55"/>
      <c r="Z361" s="55"/>
      <c r="AA361" s="55"/>
      <c r="AB361" s="55"/>
      <c r="AC361" s="55"/>
      <c r="AD361" s="55"/>
      <c r="AE361" s="55"/>
      <c r="AF361" s="55"/>
      <c r="AG361" s="55"/>
      <c r="AH361" s="55"/>
      <c r="AI361" s="55"/>
      <c r="AJ361" s="55"/>
      <c r="AK361" s="55"/>
      <c r="AL361" s="55"/>
      <c r="AM361" s="55"/>
      <c r="AN361" s="55"/>
      <c r="AO361" s="55"/>
      <c r="AP361" s="55"/>
      <c r="AQ361" s="55"/>
      <c r="AR361" s="55"/>
      <c r="AS361" s="55"/>
      <c r="AT361" s="55"/>
      <c r="AU361" s="55"/>
      <c r="AV361" s="55"/>
      <c r="AW361" s="55"/>
      <c r="AX361" s="55"/>
      <c r="AY361" s="55"/>
      <c r="AZ361" s="55"/>
      <c r="BA361" s="55"/>
      <c r="BB361" s="55"/>
      <c r="BC361" s="55"/>
      <c r="BD361" s="55"/>
      <c r="BE361" s="55"/>
      <c r="BF361" s="55"/>
      <c r="BG361" s="55"/>
      <c r="BH361" s="55"/>
      <c r="BI361" s="55"/>
      <c r="BJ361" s="55"/>
      <c r="BK361" s="55"/>
      <c r="BL361" s="55"/>
      <c r="BM361" s="55"/>
      <c r="BN361" s="55"/>
      <c r="BO361" s="55"/>
      <c r="BP361" s="55"/>
      <c r="BQ361" s="55"/>
      <c r="BR361" s="55"/>
      <c r="BS361" s="55"/>
    </row>
    <row r="362" spans="1:71" outlineLevel="1" x14ac:dyDescent="0.2">
      <c r="J362" s="26"/>
      <c r="L362" s="55"/>
      <c r="M362" s="55"/>
      <c r="N362" s="55"/>
      <c r="O362" s="55"/>
      <c r="P362" s="55"/>
      <c r="Q362" s="55"/>
      <c r="R362" s="55"/>
      <c r="S362" s="55"/>
      <c r="T362" s="55"/>
      <c r="U362" s="55"/>
      <c r="V362" s="55"/>
      <c r="W362" s="55"/>
      <c r="X362" s="55"/>
      <c r="Y362" s="55"/>
      <c r="Z362" s="55"/>
      <c r="AA362" s="55"/>
      <c r="AB362" s="55"/>
      <c r="AC362" s="55"/>
      <c r="AD362" s="55"/>
      <c r="AE362" s="55"/>
      <c r="AF362" s="55"/>
      <c r="AG362" s="55"/>
      <c r="AH362" s="55"/>
      <c r="AI362" s="55"/>
      <c r="AJ362" s="55"/>
      <c r="AK362" s="55"/>
      <c r="AL362" s="55"/>
      <c r="AM362" s="55"/>
      <c r="AN362" s="55"/>
      <c r="AO362" s="55"/>
      <c r="AP362" s="55"/>
      <c r="AQ362" s="55"/>
      <c r="AR362" s="55"/>
      <c r="AS362" s="55"/>
      <c r="AT362" s="55"/>
      <c r="AU362" s="55"/>
      <c r="AV362" s="55"/>
      <c r="AW362" s="55"/>
      <c r="AX362" s="55"/>
      <c r="AY362" s="55"/>
      <c r="AZ362" s="55"/>
      <c r="BA362" s="55"/>
      <c r="BB362" s="55"/>
      <c r="BC362" s="55"/>
      <c r="BD362" s="55"/>
      <c r="BE362" s="55"/>
      <c r="BF362" s="55"/>
      <c r="BG362" s="55"/>
      <c r="BH362" s="55"/>
      <c r="BI362" s="55"/>
      <c r="BJ362" s="55"/>
      <c r="BK362" s="55"/>
      <c r="BL362" s="55"/>
      <c r="BM362" s="55"/>
      <c r="BN362" s="55"/>
      <c r="BO362" s="55"/>
      <c r="BP362" s="55"/>
      <c r="BQ362" s="55"/>
      <c r="BR362" s="55"/>
      <c r="BS362" s="55"/>
    </row>
    <row r="363" spans="1:71" outlineLevel="1" x14ac:dyDescent="0.2">
      <c r="J363" s="26"/>
      <c r="L363" s="55"/>
      <c r="M363" s="55"/>
      <c r="N363" s="55"/>
      <c r="O363" s="55"/>
      <c r="P363" s="55"/>
      <c r="Q363" s="55"/>
      <c r="R363" s="55"/>
      <c r="S363" s="55"/>
      <c r="T363" s="55"/>
      <c r="U363" s="55"/>
      <c r="V363" s="55"/>
      <c r="W363" s="55"/>
      <c r="X363" s="55"/>
      <c r="Y363" s="55"/>
      <c r="Z363" s="55"/>
      <c r="AA363" s="55"/>
      <c r="AB363" s="55"/>
      <c r="AC363" s="55"/>
      <c r="AD363" s="55"/>
      <c r="AE363" s="55"/>
      <c r="AF363" s="55"/>
      <c r="AG363" s="55"/>
      <c r="AH363" s="55"/>
      <c r="AI363" s="55"/>
      <c r="AJ363" s="55"/>
      <c r="AK363" s="55"/>
      <c r="AL363" s="55"/>
      <c r="AM363" s="55"/>
      <c r="AN363" s="55"/>
      <c r="AO363" s="55"/>
      <c r="AP363" s="55"/>
      <c r="AQ363" s="55"/>
      <c r="AR363" s="55"/>
      <c r="AS363" s="55"/>
      <c r="AT363" s="55"/>
      <c r="AU363" s="55"/>
      <c r="AV363" s="55"/>
      <c r="AW363" s="55"/>
      <c r="AX363" s="55"/>
      <c r="AY363" s="55"/>
      <c r="AZ363" s="55"/>
      <c r="BA363" s="55"/>
      <c r="BB363" s="55"/>
      <c r="BC363" s="55"/>
      <c r="BD363" s="55"/>
      <c r="BE363" s="55"/>
      <c r="BF363" s="55"/>
      <c r="BG363" s="55"/>
      <c r="BH363" s="55"/>
      <c r="BI363" s="55"/>
      <c r="BJ363" s="55"/>
      <c r="BK363" s="55"/>
      <c r="BL363" s="55"/>
      <c r="BM363" s="55"/>
      <c r="BN363" s="55"/>
      <c r="BO363" s="55"/>
      <c r="BP363" s="55"/>
      <c r="BQ363" s="55"/>
      <c r="BR363" s="55"/>
      <c r="BS363" s="55"/>
    </row>
    <row r="364" spans="1:71" outlineLevel="1" x14ac:dyDescent="0.2">
      <c r="J364" s="26"/>
      <c r="L364" s="55"/>
      <c r="M364" s="55"/>
      <c r="N364" s="55"/>
      <c r="O364" s="55"/>
      <c r="P364" s="55"/>
      <c r="Q364" s="55"/>
      <c r="R364" s="55"/>
      <c r="S364" s="55"/>
      <c r="T364" s="55"/>
      <c r="U364" s="55"/>
      <c r="V364" s="55"/>
      <c r="W364" s="55"/>
      <c r="X364" s="55"/>
      <c r="Y364" s="55"/>
      <c r="Z364" s="55"/>
      <c r="AA364" s="55"/>
      <c r="AB364" s="55"/>
      <c r="AC364" s="55"/>
      <c r="AD364" s="55"/>
      <c r="AE364" s="55"/>
      <c r="AF364" s="55"/>
      <c r="AG364" s="55"/>
      <c r="AH364" s="55"/>
      <c r="AI364" s="55"/>
      <c r="AJ364" s="55"/>
      <c r="AK364" s="55"/>
      <c r="AL364" s="55"/>
      <c r="AM364" s="55"/>
      <c r="AN364" s="55"/>
      <c r="AO364" s="55"/>
      <c r="AP364" s="55"/>
      <c r="AQ364" s="55"/>
      <c r="AR364" s="55"/>
      <c r="AS364" s="55"/>
      <c r="AT364" s="55"/>
      <c r="AU364" s="55"/>
      <c r="AV364" s="55"/>
      <c r="AW364" s="55"/>
      <c r="AX364" s="55"/>
      <c r="AY364" s="55"/>
      <c r="AZ364" s="55"/>
      <c r="BA364" s="55"/>
      <c r="BB364" s="55"/>
      <c r="BC364" s="55"/>
      <c r="BD364" s="55"/>
      <c r="BE364" s="55"/>
      <c r="BF364" s="55"/>
      <c r="BG364" s="55"/>
      <c r="BH364" s="55"/>
      <c r="BI364" s="55"/>
      <c r="BJ364" s="55"/>
      <c r="BK364" s="55"/>
      <c r="BL364" s="55"/>
      <c r="BM364" s="55"/>
      <c r="BN364" s="55"/>
      <c r="BO364" s="55"/>
      <c r="BP364" s="55"/>
      <c r="BQ364" s="55"/>
      <c r="BR364" s="55"/>
      <c r="BS364" s="55"/>
    </row>
    <row r="365" spans="1:71" outlineLevel="1" x14ac:dyDescent="0.2">
      <c r="A365" s="45"/>
      <c r="B365" s="38" t="str">
        <f>HM_ZD_Moho!B387</f>
        <v>Calculs des intérêts portés</v>
      </c>
      <c r="C365" s="45"/>
      <c r="D365" s="45"/>
      <c r="E365" s="45"/>
      <c r="J365" s="26"/>
      <c r="L365" s="55"/>
      <c r="M365" s="55"/>
      <c r="N365" s="55"/>
      <c r="O365" s="55"/>
      <c r="P365" s="55"/>
      <c r="Q365" s="55"/>
      <c r="R365" s="55"/>
      <c r="S365" s="55"/>
      <c r="T365" s="55"/>
      <c r="U365" s="55"/>
      <c r="V365" s="55"/>
      <c r="W365" s="55"/>
      <c r="X365" s="55"/>
      <c r="Y365" s="55"/>
      <c r="Z365" s="55"/>
      <c r="AA365" s="55"/>
      <c r="AB365" s="55"/>
      <c r="AC365" s="55"/>
      <c r="AD365" s="55"/>
      <c r="AE365" s="55"/>
      <c r="AF365" s="55"/>
      <c r="AG365" s="55"/>
      <c r="AH365" s="55"/>
      <c r="AI365" s="55"/>
      <c r="AJ365" s="55"/>
      <c r="AK365" s="55"/>
      <c r="AL365" s="55"/>
      <c r="AM365" s="55"/>
      <c r="AN365" s="55"/>
      <c r="AO365" s="55"/>
      <c r="AP365" s="55"/>
      <c r="AQ365" s="55"/>
      <c r="AR365" s="55"/>
      <c r="AS365" s="55"/>
      <c r="AT365" s="55"/>
      <c r="AU365" s="55"/>
      <c r="AV365" s="55"/>
      <c r="AW365" s="55"/>
      <c r="AX365" s="55"/>
      <c r="AY365" s="55"/>
      <c r="AZ365" s="55"/>
      <c r="BA365" s="55"/>
      <c r="BB365" s="55"/>
      <c r="BC365" s="55"/>
      <c r="BD365" s="55"/>
      <c r="BE365" s="55"/>
      <c r="BF365" s="55"/>
      <c r="BG365" s="55"/>
      <c r="BH365" s="55"/>
      <c r="BI365" s="55"/>
      <c r="BJ365" s="55"/>
      <c r="BK365" s="55"/>
      <c r="BL365" s="55"/>
      <c r="BM365" s="55"/>
      <c r="BN365" s="55"/>
      <c r="BO365" s="55"/>
      <c r="BP365" s="55"/>
      <c r="BQ365" s="55"/>
      <c r="BR365" s="55"/>
      <c r="BS365" s="55"/>
    </row>
    <row r="366" spans="1:71" outlineLevel="1" x14ac:dyDescent="0.2">
      <c r="J366" s="26"/>
      <c r="L366" s="55"/>
      <c r="M366" s="55"/>
      <c r="N366" s="55"/>
      <c r="O366" s="55"/>
      <c r="P366" s="55"/>
      <c r="Q366" s="55"/>
      <c r="R366" s="55"/>
      <c r="S366" s="55"/>
      <c r="T366" s="55"/>
      <c r="U366" s="55"/>
      <c r="V366" s="55"/>
      <c r="W366" s="55"/>
      <c r="X366" s="55"/>
      <c r="Y366" s="55"/>
      <c r="Z366" s="55"/>
      <c r="AA366" s="55"/>
      <c r="AB366" s="55"/>
      <c r="AC366" s="55"/>
      <c r="AD366" s="55"/>
      <c r="AE366" s="55"/>
      <c r="AF366" s="55"/>
      <c r="AG366" s="55"/>
      <c r="AH366" s="55"/>
      <c r="AI366" s="55"/>
      <c r="AJ366" s="55"/>
      <c r="AK366" s="55"/>
      <c r="AL366" s="55"/>
      <c r="AM366" s="55"/>
      <c r="AN366" s="55"/>
      <c r="AO366" s="55"/>
      <c r="AP366" s="55"/>
      <c r="AQ366" s="55"/>
      <c r="AR366" s="55"/>
      <c r="AS366" s="55"/>
      <c r="AT366" s="55"/>
      <c r="AU366" s="55"/>
      <c r="AV366" s="55"/>
      <c r="AW366" s="55"/>
      <c r="AX366" s="55"/>
      <c r="AY366" s="55"/>
      <c r="AZ366" s="55"/>
      <c r="BA366" s="55"/>
      <c r="BB366" s="55"/>
      <c r="BC366" s="55"/>
      <c r="BD366" s="55"/>
      <c r="BE366" s="55"/>
      <c r="BF366" s="55"/>
      <c r="BG366" s="55"/>
      <c r="BH366" s="55"/>
      <c r="BI366" s="55"/>
      <c r="BJ366" s="55"/>
      <c r="BK366" s="55"/>
      <c r="BL366" s="55"/>
      <c r="BM366" s="55"/>
      <c r="BN366" s="55"/>
      <c r="BO366" s="55"/>
      <c r="BP366" s="55"/>
      <c r="BQ366" s="55"/>
      <c r="BR366" s="55"/>
      <c r="BS366" s="55"/>
    </row>
    <row r="367" spans="1:71" outlineLevel="1" x14ac:dyDescent="0.2">
      <c r="C367" s="11" t="str">
        <f>HM_ZD_Moho!C389</f>
        <v>Coûts portés compagnie nationale</v>
      </c>
      <c r="J367" s="26"/>
      <c r="L367" s="55"/>
      <c r="M367" s="55"/>
      <c r="N367" s="55"/>
      <c r="O367" s="55"/>
      <c r="P367" s="55"/>
      <c r="Q367" s="55"/>
      <c r="R367" s="55"/>
      <c r="S367" s="55"/>
      <c r="T367" s="55"/>
      <c r="U367" s="55"/>
      <c r="V367" s="55"/>
      <c r="W367" s="55"/>
      <c r="X367" s="55"/>
      <c r="Y367" s="55"/>
      <c r="Z367" s="55"/>
      <c r="AA367" s="55"/>
      <c r="AB367" s="55"/>
      <c r="AC367" s="55"/>
      <c r="AD367" s="55"/>
      <c r="AE367" s="55"/>
      <c r="AF367" s="55"/>
      <c r="AG367" s="55"/>
      <c r="AH367" s="55"/>
      <c r="AI367" s="55"/>
      <c r="AJ367" s="55"/>
      <c r="AK367" s="55"/>
      <c r="AL367" s="55"/>
      <c r="AM367" s="55"/>
      <c r="AN367" s="55"/>
      <c r="AO367" s="55"/>
      <c r="AP367" s="55"/>
      <c r="AQ367" s="55"/>
      <c r="AR367" s="55"/>
      <c r="AS367" s="55"/>
      <c r="AT367" s="55"/>
      <c r="AU367" s="55"/>
      <c r="AV367" s="55"/>
      <c r="AW367" s="55"/>
      <c r="AX367" s="55"/>
      <c r="AY367" s="55"/>
      <c r="AZ367" s="55"/>
      <c r="BA367" s="55"/>
      <c r="BB367" s="55"/>
      <c r="BC367" s="55"/>
      <c r="BD367" s="55"/>
      <c r="BE367" s="55"/>
      <c r="BF367" s="55"/>
      <c r="BG367" s="55"/>
      <c r="BH367" s="55"/>
      <c r="BI367" s="55"/>
      <c r="BJ367" s="55"/>
      <c r="BK367" s="55"/>
      <c r="BL367" s="55"/>
      <c r="BM367" s="55"/>
      <c r="BN367" s="55"/>
      <c r="BO367" s="55"/>
      <c r="BP367" s="55"/>
      <c r="BQ367" s="55"/>
      <c r="BR367" s="55"/>
      <c r="BS367" s="55"/>
    </row>
    <row r="368" spans="1:71" outlineLevel="1" x14ac:dyDescent="0.2">
      <c r="D368" t="str">
        <f>HM_ZD_Moho!D390</f>
        <v>Intérêt porté compagnie nationale - coûts exploration</v>
      </c>
      <c r="I368" s="30">
        <f t="shared" ref="I368:I371" ca="1" si="122">SUM($L368:$BS368)</f>
        <v>0</v>
      </c>
      <c r="J368" s="26" t="s">
        <v>148</v>
      </c>
      <c r="K368" s="7" t="s">
        <v>358</v>
      </c>
      <c r="L368" s="49">
        <f ca="1">(HM_ZD_AM3_2005!CA_expex_nom*HM_ZD_AM3_2005!NOC_CI_expex)*HM_ZD_AM3_2005!CA_op_trig</f>
        <v>0</v>
      </c>
      <c r="M368" s="49">
        <f ca="1">(HM_ZD_AM3_2005!CA_expex_nom*HM_ZD_AM3_2005!NOC_CI_expex)*HM_ZD_AM3_2005!CA_op_trig</f>
        <v>0</v>
      </c>
      <c r="N368" s="49">
        <f>(HM_ZD_AM3_2005!CA_expex_nom*HM_ZD_AM3_2005!NOC_CI_expex)*HM_ZD_AM3_2005!CA_op_trig</f>
        <v>0</v>
      </c>
      <c r="O368" s="49">
        <f>(HM_ZD_AM3_2005!CA_expex_nom*HM_ZD_AM3_2005!NOC_CI_expex)*HM_ZD_AM3_2005!CA_op_trig</f>
        <v>0</v>
      </c>
      <c r="P368" s="49">
        <f>(HM_ZD_AM3_2005!CA_expex_nom*HM_ZD_AM3_2005!NOC_CI_expex)*HM_ZD_AM3_2005!CA_op_trig</f>
        <v>0</v>
      </c>
      <c r="Q368" s="49">
        <f>(HM_ZD_AM3_2005!CA_expex_nom*HM_ZD_AM3_2005!NOC_CI_expex)*HM_ZD_AM3_2005!CA_op_trig</f>
        <v>0</v>
      </c>
      <c r="R368" s="49">
        <f>(HM_ZD_AM3_2005!CA_expex_nom*HM_ZD_AM3_2005!NOC_CI_expex)*HM_ZD_AM3_2005!CA_op_trig</f>
        <v>0</v>
      </c>
      <c r="S368" s="49">
        <f>(HM_ZD_AM3_2005!CA_expex_nom*HM_ZD_AM3_2005!NOC_CI_expex)*HM_ZD_AM3_2005!CA_op_trig</f>
        <v>0</v>
      </c>
      <c r="T368" s="49">
        <f>(HM_ZD_AM3_2005!CA_expex_nom*HM_ZD_AM3_2005!NOC_CI_expex)*HM_ZD_AM3_2005!CA_op_trig</f>
        <v>0</v>
      </c>
      <c r="U368" s="49">
        <f>(HM_ZD_AM3_2005!CA_expex_nom*HM_ZD_AM3_2005!NOC_CI_expex)*HM_ZD_AM3_2005!CA_op_trig</f>
        <v>0</v>
      </c>
      <c r="V368" s="49">
        <f>(HM_ZD_AM3_2005!CA_expex_nom*HM_ZD_AM3_2005!NOC_CI_expex)*HM_ZD_AM3_2005!CA_op_trig</f>
        <v>0</v>
      </c>
      <c r="W368" s="49">
        <f>(HM_ZD_AM3_2005!CA_expex_nom*HM_ZD_AM3_2005!NOC_CI_expex)*HM_ZD_AM3_2005!CA_op_trig</f>
        <v>0</v>
      </c>
      <c r="X368" s="49">
        <f>(HM_ZD_AM3_2005!CA_expex_nom*HM_ZD_AM3_2005!NOC_CI_expex)*HM_ZD_AM3_2005!CA_op_trig</f>
        <v>0</v>
      </c>
      <c r="Y368" s="49">
        <f>(HM_ZD_AM3_2005!CA_expex_nom*HM_ZD_AM3_2005!NOC_CI_expex)*HM_ZD_AM3_2005!CA_op_trig</f>
        <v>0</v>
      </c>
      <c r="Z368" s="49">
        <f>(HM_ZD_AM3_2005!CA_expex_nom*HM_ZD_AM3_2005!NOC_CI_expex)*HM_ZD_AM3_2005!CA_op_trig</f>
        <v>0</v>
      </c>
      <c r="AA368" s="49">
        <f>(HM_ZD_AM3_2005!CA_expex_nom*HM_ZD_AM3_2005!NOC_CI_expex)*HM_ZD_AM3_2005!CA_op_trig</f>
        <v>0</v>
      </c>
      <c r="AB368" s="49">
        <f>(HM_ZD_AM3_2005!CA_expex_nom*HM_ZD_AM3_2005!NOC_CI_expex)*HM_ZD_AM3_2005!CA_op_trig</f>
        <v>0</v>
      </c>
      <c r="AC368" s="49">
        <f>(HM_ZD_AM3_2005!CA_expex_nom*HM_ZD_AM3_2005!NOC_CI_expex)*HM_ZD_AM3_2005!CA_op_trig</f>
        <v>0</v>
      </c>
      <c r="AD368" s="49">
        <f>(HM_ZD_AM3_2005!CA_expex_nom*HM_ZD_AM3_2005!NOC_CI_expex)*HM_ZD_AM3_2005!CA_op_trig</f>
        <v>0</v>
      </c>
      <c r="AE368" s="49">
        <f>(HM_ZD_AM3_2005!CA_expex_nom*HM_ZD_AM3_2005!NOC_CI_expex)*HM_ZD_AM3_2005!CA_op_trig</f>
        <v>0</v>
      </c>
      <c r="AF368" s="49">
        <f>(HM_ZD_AM3_2005!CA_expex_nom*HM_ZD_AM3_2005!NOC_CI_expex)*HM_ZD_AM3_2005!CA_op_trig</f>
        <v>0</v>
      </c>
      <c r="AG368" s="49">
        <f>(HM_ZD_AM3_2005!CA_expex_nom*HM_ZD_AM3_2005!NOC_CI_expex)*HM_ZD_AM3_2005!CA_op_trig</f>
        <v>0</v>
      </c>
      <c r="AH368" s="49">
        <f>(HM_ZD_AM3_2005!CA_expex_nom*HM_ZD_AM3_2005!NOC_CI_expex)*HM_ZD_AM3_2005!CA_op_trig</f>
        <v>0</v>
      </c>
      <c r="AI368" s="49">
        <f>(HM_ZD_AM3_2005!CA_expex_nom*HM_ZD_AM3_2005!NOC_CI_expex)*HM_ZD_AM3_2005!CA_op_trig</f>
        <v>0</v>
      </c>
      <c r="AJ368" s="49">
        <f>(HM_ZD_AM3_2005!CA_expex_nom*HM_ZD_AM3_2005!NOC_CI_expex)*HM_ZD_AM3_2005!CA_op_trig</f>
        <v>0</v>
      </c>
      <c r="AK368" s="49">
        <f>(HM_ZD_AM3_2005!CA_expex_nom*HM_ZD_AM3_2005!NOC_CI_expex)*HM_ZD_AM3_2005!CA_op_trig</f>
        <v>0</v>
      </c>
      <c r="AL368" s="49">
        <f>(HM_ZD_AM3_2005!CA_expex_nom*HM_ZD_AM3_2005!NOC_CI_expex)*HM_ZD_AM3_2005!CA_op_trig</f>
        <v>0</v>
      </c>
      <c r="AM368" s="49">
        <f>(HM_ZD_AM3_2005!CA_expex_nom*HM_ZD_AM3_2005!NOC_CI_expex)*HM_ZD_AM3_2005!CA_op_trig</f>
        <v>0</v>
      </c>
      <c r="AN368" s="49">
        <f>(HM_ZD_AM3_2005!CA_expex_nom*HM_ZD_AM3_2005!NOC_CI_expex)*HM_ZD_AM3_2005!CA_op_trig</f>
        <v>0</v>
      </c>
      <c r="AO368" s="49">
        <f>(HM_ZD_AM3_2005!CA_expex_nom*HM_ZD_AM3_2005!NOC_CI_expex)*HM_ZD_AM3_2005!CA_op_trig</f>
        <v>0</v>
      </c>
      <c r="AP368" s="49">
        <f>(HM_ZD_AM3_2005!CA_expex_nom*HM_ZD_AM3_2005!NOC_CI_expex)*HM_ZD_AM3_2005!CA_op_trig</f>
        <v>0</v>
      </c>
      <c r="AQ368" s="49">
        <f>(HM_ZD_AM3_2005!CA_expex_nom*HM_ZD_AM3_2005!NOC_CI_expex)*HM_ZD_AM3_2005!CA_op_trig</f>
        <v>0</v>
      </c>
      <c r="AR368" s="49">
        <f>(HM_ZD_AM3_2005!CA_expex_nom*HM_ZD_AM3_2005!NOC_CI_expex)*HM_ZD_AM3_2005!CA_op_trig</f>
        <v>0</v>
      </c>
      <c r="AS368" s="49">
        <f>(HM_ZD_AM3_2005!CA_expex_nom*HM_ZD_AM3_2005!NOC_CI_expex)*HM_ZD_AM3_2005!CA_op_trig</f>
        <v>0</v>
      </c>
      <c r="AT368" s="49">
        <f>(HM_ZD_AM3_2005!CA_expex_nom*HM_ZD_AM3_2005!NOC_CI_expex)*HM_ZD_AM3_2005!CA_op_trig</f>
        <v>0</v>
      </c>
      <c r="AU368" s="49">
        <f>(HM_ZD_AM3_2005!CA_expex_nom*HM_ZD_AM3_2005!NOC_CI_expex)*HM_ZD_AM3_2005!CA_op_trig</f>
        <v>0</v>
      </c>
      <c r="AV368" s="49">
        <f>(HM_ZD_AM3_2005!CA_expex_nom*HM_ZD_AM3_2005!NOC_CI_expex)*HM_ZD_AM3_2005!CA_op_trig</f>
        <v>0</v>
      </c>
      <c r="AW368" s="49">
        <f>(HM_ZD_AM3_2005!CA_expex_nom*HM_ZD_AM3_2005!NOC_CI_expex)*HM_ZD_AM3_2005!CA_op_trig</f>
        <v>0</v>
      </c>
      <c r="AX368" s="49">
        <f>(HM_ZD_AM3_2005!CA_expex_nom*HM_ZD_AM3_2005!NOC_CI_expex)*HM_ZD_AM3_2005!CA_op_trig</f>
        <v>0</v>
      </c>
      <c r="AY368" s="49">
        <f>(HM_ZD_AM3_2005!CA_expex_nom*HM_ZD_AM3_2005!NOC_CI_expex)*HM_ZD_AM3_2005!CA_op_trig</f>
        <v>0</v>
      </c>
      <c r="AZ368" s="49">
        <f>(HM_ZD_AM3_2005!CA_expex_nom*HM_ZD_AM3_2005!NOC_CI_expex)*HM_ZD_AM3_2005!CA_op_trig</f>
        <v>0</v>
      </c>
      <c r="BA368" s="49">
        <f>(HM_ZD_AM3_2005!CA_expex_nom*HM_ZD_AM3_2005!NOC_CI_expex)*HM_ZD_AM3_2005!CA_op_trig</f>
        <v>0</v>
      </c>
      <c r="BB368" s="49">
        <f>(HM_ZD_AM3_2005!CA_expex_nom*HM_ZD_AM3_2005!NOC_CI_expex)*HM_ZD_AM3_2005!CA_op_trig</f>
        <v>0</v>
      </c>
      <c r="BC368" s="49">
        <f>(HM_ZD_AM3_2005!CA_expex_nom*HM_ZD_AM3_2005!NOC_CI_expex)*HM_ZD_AM3_2005!CA_op_trig</f>
        <v>0</v>
      </c>
      <c r="BD368" s="49">
        <f>(HM_ZD_AM3_2005!CA_expex_nom*HM_ZD_AM3_2005!NOC_CI_expex)*HM_ZD_AM3_2005!CA_op_trig</f>
        <v>0</v>
      </c>
      <c r="BE368" s="49">
        <f>(HM_ZD_AM3_2005!CA_expex_nom*HM_ZD_AM3_2005!NOC_CI_expex)*HM_ZD_AM3_2005!CA_op_trig</f>
        <v>0</v>
      </c>
      <c r="BF368" s="49">
        <f>(HM_ZD_AM3_2005!CA_expex_nom*HM_ZD_AM3_2005!NOC_CI_expex)*HM_ZD_AM3_2005!CA_op_trig</f>
        <v>0</v>
      </c>
      <c r="BG368" s="49">
        <f>(HM_ZD_AM3_2005!CA_expex_nom*HM_ZD_AM3_2005!NOC_CI_expex)*HM_ZD_AM3_2005!CA_op_trig</f>
        <v>0</v>
      </c>
      <c r="BH368" s="49">
        <f>(HM_ZD_AM3_2005!CA_expex_nom*HM_ZD_AM3_2005!NOC_CI_expex)*HM_ZD_AM3_2005!CA_op_trig</f>
        <v>0</v>
      </c>
      <c r="BI368" s="49">
        <f>(HM_ZD_AM3_2005!CA_expex_nom*HM_ZD_AM3_2005!NOC_CI_expex)*HM_ZD_AM3_2005!CA_op_trig</f>
        <v>0</v>
      </c>
      <c r="BJ368" s="49">
        <f>(HM_ZD_AM3_2005!CA_expex_nom*HM_ZD_AM3_2005!NOC_CI_expex)*HM_ZD_AM3_2005!CA_op_trig</f>
        <v>0</v>
      </c>
      <c r="BK368" s="49">
        <f>(HM_ZD_AM3_2005!CA_expex_nom*HM_ZD_AM3_2005!NOC_CI_expex)*HM_ZD_AM3_2005!CA_op_trig</f>
        <v>0</v>
      </c>
      <c r="BL368" s="49">
        <f>(HM_ZD_AM3_2005!CA_expex_nom*HM_ZD_AM3_2005!NOC_CI_expex)*HM_ZD_AM3_2005!CA_op_trig</f>
        <v>0</v>
      </c>
      <c r="BM368" s="49">
        <f>(HM_ZD_AM3_2005!CA_expex_nom*HM_ZD_AM3_2005!NOC_CI_expex)*HM_ZD_AM3_2005!CA_op_trig</f>
        <v>0</v>
      </c>
      <c r="BN368" s="49">
        <f>(HM_ZD_AM3_2005!CA_expex_nom*HM_ZD_AM3_2005!NOC_CI_expex)*HM_ZD_AM3_2005!CA_op_trig</f>
        <v>0</v>
      </c>
      <c r="BO368" s="49">
        <f>(HM_ZD_AM3_2005!CA_expex_nom*HM_ZD_AM3_2005!NOC_CI_expex)*HM_ZD_AM3_2005!CA_op_trig</f>
        <v>0</v>
      </c>
      <c r="BP368" s="49">
        <f>(HM_ZD_AM3_2005!CA_expex_nom*HM_ZD_AM3_2005!NOC_CI_expex)*HM_ZD_AM3_2005!CA_op_trig</f>
        <v>0</v>
      </c>
      <c r="BQ368" s="49">
        <f>(HM_ZD_AM3_2005!CA_expex_nom*HM_ZD_AM3_2005!NOC_CI_expex)*HM_ZD_AM3_2005!CA_op_trig</f>
        <v>0</v>
      </c>
      <c r="BR368" s="49">
        <f>(HM_ZD_AM3_2005!CA_expex_nom*HM_ZD_AM3_2005!NOC_CI_expex)*HM_ZD_AM3_2005!CA_op_trig</f>
        <v>0</v>
      </c>
      <c r="BS368" s="49">
        <f>(HM_ZD_AM3_2005!CA_expex_nom*HM_ZD_AM3_2005!NOC_CI_expex)*HM_ZD_AM3_2005!CA_op_trig</f>
        <v>0</v>
      </c>
    </row>
    <row r="369" spans="3:71" outlineLevel="1" x14ac:dyDescent="0.2">
      <c r="D369" t="str">
        <f>HM_ZD_Moho!D391</f>
        <v>Intérêt porté - Capex</v>
      </c>
      <c r="I369" s="30">
        <f t="shared" ca="1" si="122"/>
        <v>510.74909999999994</v>
      </c>
      <c r="J369" s="26" t="s">
        <v>148</v>
      </c>
      <c r="K369" s="7" t="s">
        <v>359</v>
      </c>
      <c r="L369" s="49">
        <f ca="1">(HM_ZD_AM3_2005!CA_devex_nom*HM_ZD_AM3_2005!NOC_CI_devex)*(HM_ZD_AM3_2005!CA_op_trig)</f>
        <v>193.01729999999998</v>
      </c>
      <c r="M369" s="49">
        <f ca="1">(HM_ZD_AM3_2005!CA_devex_nom*HM_ZD_AM3_2005!NOC_CI_devex)*(HM_ZD_AM3_2005!CA_op_trig)</f>
        <v>317.73179999999996</v>
      </c>
      <c r="N369" s="49">
        <f>(HM_ZD_AM3_2005!CA_devex_nom*HM_ZD_AM3_2005!NOC_CI_devex)*(HM_ZD_AM3_2005!CA_op_trig)</f>
        <v>0</v>
      </c>
      <c r="O369" s="49">
        <f>(HM_ZD_AM3_2005!CA_devex_nom*HM_ZD_AM3_2005!NOC_CI_devex)*(HM_ZD_AM3_2005!CA_op_trig)</f>
        <v>0</v>
      </c>
      <c r="P369" s="49">
        <f>(HM_ZD_AM3_2005!CA_devex_nom*HM_ZD_AM3_2005!NOC_CI_devex)*(HM_ZD_AM3_2005!CA_op_trig)</f>
        <v>0</v>
      </c>
      <c r="Q369" s="49">
        <f>(HM_ZD_AM3_2005!CA_devex_nom*HM_ZD_AM3_2005!NOC_CI_devex)*(HM_ZD_AM3_2005!CA_op_trig)</f>
        <v>0</v>
      </c>
      <c r="R369" s="49">
        <f>(HM_ZD_AM3_2005!CA_devex_nom*HM_ZD_AM3_2005!NOC_CI_devex)*(HM_ZD_AM3_2005!CA_op_trig)</f>
        <v>0</v>
      </c>
      <c r="S369" s="49">
        <f>(HM_ZD_AM3_2005!CA_devex_nom*HM_ZD_AM3_2005!NOC_CI_devex)*(HM_ZD_AM3_2005!CA_op_trig)</f>
        <v>0</v>
      </c>
      <c r="T369" s="49">
        <f>(HM_ZD_AM3_2005!CA_devex_nom*HM_ZD_AM3_2005!NOC_CI_devex)*(HM_ZD_AM3_2005!CA_op_trig)</f>
        <v>0</v>
      </c>
      <c r="U369" s="49">
        <f>(HM_ZD_AM3_2005!CA_devex_nom*HM_ZD_AM3_2005!NOC_CI_devex)*(HM_ZD_AM3_2005!CA_op_trig)</f>
        <v>0</v>
      </c>
      <c r="V369" s="49">
        <f>(HM_ZD_AM3_2005!CA_devex_nom*HM_ZD_AM3_2005!NOC_CI_devex)*(HM_ZD_AM3_2005!CA_op_trig)</f>
        <v>0</v>
      </c>
      <c r="W369" s="49">
        <f>(HM_ZD_AM3_2005!CA_devex_nom*HM_ZD_AM3_2005!NOC_CI_devex)*(HM_ZD_AM3_2005!CA_op_trig)</f>
        <v>0</v>
      </c>
      <c r="X369" s="49">
        <f>(HM_ZD_AM3_2005!CA_devex_nom*HM_ZD_AM3_2005!NOC_CI_devex)*(HM_ZD_AM3_2005!CA_op_trig)</f>
        <v>0</v>
      </c>
      <c r="Y369" s="49">
        <f>(HM_ZD_AM3_2005!CA_devex_nom*HM_ZD_AM3_2005!NOC_CI_devex)*(HM_ZD_AM3_2005!CA_op_trig)</f>
        <v>0</v>
      </c>
      <c r="Z369" s="49">
        <f>(HM_ZD_AM3_2005!CA_devex_nom*HM_ZD_AM3_2005!NOC_CI_devex)*(HM_ZD_AM3_2005!CA_op_trig)</f>
        <v>0</v>
      </c>
      <c r="AA369" s="49">
        <f>(HM_ZD_AM3_2005!CA_devex_nom*HM_ZD_AM3_2005!NOC_CI_devex)*(HM_ZD_AM3_2005!CA_op_trig)</f>
        <v>0</v>
      </c>
      <c r="AB369" s="49">
        <f>(HM_ZD_AM3_2005!CA_devex_nom*HM_ZD_AM3_2005!NOC_CI_devex)*(HM_ZD_AM3_2005!CA_op_trig)</f>
        <v>0</v>
      </c>
      <c r="AC369" s="49">
        <f>(HM_ZD_AM3_2005!CA_devex_nom*HM_ZD_AM3_2005!NOC_CI_devex)*(HM_ZD_AM3_2005!CA_op_trig)</f>
        <v>0</v>
      </c>
      <c r="AD369" s="49">
        <f>(HM_ZD_AM3_2005!CA_devex_nom*HM_ZD_AM3_2005!NOC_CI_devex)*(HM_ZD_AM3_2005!CA_op_trig)</f>
        <v>0</v>
      </c>
      <c r="AE369" s="49">
        <f>(HM_ZD_AM3_2005!CA_devex_nom*HM_ZD_AM3_2005!NOC_CI_devex)*(HM_ZD_AM3_2005!CA_op_trig)</f>
        <v>0</v>
      </c>
      <c r="AF369" s="49">
        <f>(HM_ZD_AM3_2005!CA_devex_nom*HM_ZD_AM3_2005!NOC_CI_devex)*(HM_ZD_AM3_2005!CA_op_trig)</f>
        <v>0</v>
      </c>
      <c r="AG369" s="49">
        <f>(HM_ZD_AM3_2005!CA_devex_nom*HM_ZD_AM3_2005!NOC_CI_devex)*(HM_ZD_AM3_2005!CA_op_trig)</f>
        <v>0</v>
      </c>
      <c r="AH369" s="49">
        <f>(HM_ZD_AM3_2005!CA_devex_nom*HM_ZD_AM3_2005!NOC_CI_devex)*(HM_ZD_AM3_2005!CA_op_trig)</f>
        <v>0</v>
      </c>
      <c r="AI369" s="49">
        <f>(HM_ZD_AM3_2005!CA_devex_nom*HM_ZD_AM3_2005!NOC_CI_devex)*(HM_ZD_AM3_2005!CA_op_trig)</f>
        <v>0</v>
      </c>
      <c r="AJ369" s="49">
        <f>(HM_ZD_AM3_2005!CA_devex_nom*HM_ZD_AM3_2005!NOC_CI_devex)*(HM_ZD_AM3_2005!CA_op_trig)</f>
        <v>0</v>
      </c>
      <c r="AK369" s="49">
        <f>(HM_ZD_AM3_2005!CA_devex_nom*HM_ZD_AM3_2005!NOC_CI_devex)*(HM_ZD_AM3_2005!CA_op_trig)</f>
        <v>0</v>
      </c>
      <c r="AL369" s="49">
        <f>(HM_ZD_AM3_2005!CA_devex_nom*HM_ZD_AM3_2005!NOC_CI_devex)*(HM_ZD_AM3_2005!CA_op_trig)</f>
        <v>0</v>
      </c>
      <c r="AM369" s="49">
        <f>(HM_ZD_AM3_2005!CA_devex_nom*HM_ZD_AM3_2005!NOC_CI_devex)*(HM_ZD_AM3_2005!CA_op_trig)</f>
        <v>0</v>
      </c>
      <c r="AN369" s="49">
        <f>(HM_ZD_AM3_2005!CA_devex_nom*HM_ZD_AM3_2005!NOC_CI_devex)*(HM_ZD_AM3_2005!CA_op_trig)</f>
        <v>0</v>
      </c>
      <c r="AO369" s="49">
        <f>(HM_ZD_AM3_2005!CA_devex_nom*HM_ZD_AM3_2005!NOC_CI_devex)*(HM_ZD_AM3_2005!CA_op_trig)</f>
        <v>0</v>
      </c>
      <c r="AP369" s="49">
        <f>(HM_ZD_AM3_2005!CA_devex_nom*HM_ZD_AM3_2005!NOC_CI_devex)*(HM_ZD_AM3_2005!CA_op_trig)</f>
        <v>0</v>
      </c>
      <c r="AQ369" s="49">
        <f>(HM_ZD_AM3_2005!CA_devex_nom*HM_ZD_AM3_2005!NOC_CI_devex)*(HM_ZD_AM3_2005!CA_op_trig)</f>
        <v>0</v>
      </c>
      <c r="AR369" s="49">
        <f>(HM_ZD_AM3_2005!CA_devex_nom*HM_ZD_AM3_2005!NOC_CI_devex)*(HM_ZD_AM3_2005!CA_op_trig)</f>
        <v>0</v>
      </c>
      <c r="AS369" s="49">
        <f>(HM_ZD_AM3_2005!CA_devex_nom*HM_ZD_AM3_2005!NOC_CI_devex)*(HM_ZD_AM3_2005!CA_op_trig)</f>
        <v>0</v>
      </c>
      <c r="AT369" s="49">
        <f>(HM_ZD_AM3_2005!CA_devex_nom*HM_ZD_AM3_2005!NOC_CI_devex)*(HM_ZD_AM3_2005!CA_op_trig)</f>
        <v>0</v>
      </c>
      <c r="AU369" s="49">
        <f>(HM_ZD_AM3_2005!CA_devex_nom*HM_ZD_AM3_2005!NOC_CI_devex)*(HM_ZD_AM3_2005!CA_op_trig)</f>
        <v>0</v>
      </c>
      <c r="AV369" s="49">
        <f>(HM_ZD_AM3_2005!CA_devex_nom*HM_ZD_AM3_2005!NOC_CI_devex)*(HM_ZD_AM3_2005!CA_op_trig)</f>
        <v>0</v>
      </c>
      <c r="AW369" s="49">
        <f>(HM_ZD_AM3_2005!CA_devex_nom*HM_ZD_AM3_2005!NOC_CI_devex)*(HM_ZD_AM3_2005!CA_op_trig)</f>
        <v>0</v>
      </c>
      <c r="AX369" s="49">
        <f>(HM_ZD_AM3_2005!CA_devex_nom*HM_ZD_AM3_2005!NOC_CI_devex)*(HM_ZD_AM3_2005!CA_op_trig)</f>
        <v>0</v>
      </c>
      <c r="AY369" s="49">
        <f>(HM_ZD_AM3_2005!CA_devex_nom*HM_ZD_AM3_2005!NOC_CI_devex)*(HM_ZD_AM3_2005!CA_op_trig)</f>
        <v>0</v>
      </c>
      <c r="AZ369" s="49">
        <f>(HM_ZD_AM3_2005!CA_devex_nom*HM_ZD_AM3_2005!NOC_CI_devex)*(HM_ZD_AM3_2005!CA_op_trig)</f>
        <v>0</v>
      </c>
      <c r="BA369" s="49">
        <f>(HM_ZD_AM3_2005!CA_devex_nom*HM_ZD_AM3_2005!NOC_CI_devex)*(HM_ZD_AM3_2005!CA_op_trig)</f>
        <v>0</v>
      </c>
      <c r="BB369" s="49">
        <f>(HM_ZD_AM3_2005!CA_devex_nom*HM_ZD_AM3_2005!NOC_CI_devex)*(HM_ZD_AM3_2005!CA_op_trig)</f>
        <v>0</v>
      </c>
      <c r="BC369" s="49">
        <f>(HM_ZD_AM3_2005!CA_devex_nom*HM_ZD_AM3_2005!NOC_CI_devex)*(HM_ZD_AM3_2005!CA_op_trig)</f>
        <v>0</v>
      </c>
      <c r="BD369" s="49">
        <f>(HM_ZD_AM3_2005!CA_devex_nom*HM_ZD_AM3_2005!NOC_CI_devex)*(HM_ZD_AM3_2005!CA_op_trig)</f>
        <v>0</v>
      </c>
      <c r="BE369" s="49">
        <f>(HM_ZD_AM3_2005!CA_devex_nom*HM_ZD_AM3_2005!NOC_CI_devex)*(HM_ZD_AM3_2005!CA_op_trig)</f>
        <v>0</v>
      </c>
      <c r="BF369" s="49">
        <f>(HM_ZD_AM3_2005!CA_devex_nom*HM_ZD_AM3_2005!NOC_CI_devex)*(HM_ZD_AM3_2005!CA_op_trig)</f>
        <v>0</v>
      </c>
      <c r="BG369" s="49">
        <f>(HM_ZD_AM3_2005!CA_devex_nom*HM_ZD_AM3_2005!NOC_CI_devex)*(HM_ZD_AM3_2005!CA_op_trig)</f>
        <v>0</v>
      </c>
      <c r="BH369" s="49">
        <f>(HM_ZD_AM3_2005!CA_devex_nom*HM_ZD_AM3_2005!NOC_CI_devex)*(HM_ZD_AM3_2005!CA_op_trig)</f>
        <v>0</v>
      </c>
      <c r="BI369" s="49">
        <f>(HM_ZD_AM3_2005!CA_devex_nom*HM_ZD_AM3_2005!NOC_CI_devex)*(HM_ZD_AM3_2005!CA_op_trig)</f>
        <v>0</v>
      </c>
      <c r="BJ369" s="49">
        <f>(HM_ZD_AM3_2005!CA_devex_nom*HM_ZD_AM3_2005!NOC_CI_devex)*(HM_ZD_AM3_2005!CA_op_trig)</f>
        <v>0</v>
      </c>
      <c r="BK369" s="49">
        <f>(HM_ZD_AM3_2005!CA_devex_nom*HM_ZD_AM3_2005!NOC_CI_devex)*(HM_ZD_AM3_2005!CA_op_trig)</f>
        <v>0</v>
      </c>
      <c r="BL369" s="49">
        <f>(HM_ZD_AM3_2005!CA_devex_nom*HM_ZD_AM3_2005!NOC_CI_devex)*(HM_ZD_AM3_2005!CA_op_trig)</f>
        <v>0</v>
      </c>
      <c r="BM369" s="49">
        <f>(HM_ZD_AM3_2005!CA_devex_nom*HM_ZD_AM3_2005!NOC_CI_devex)*(HM_ZD_AM3_2005!CA_op_trig)</f>
        <v>0</v>
      </c>
      <c r="BN369" s="49">
        <f>(HM_ZD_AM3_2005!CA_devex_nom*HM_ZD_AM3_2005!NOC_CI_devex)*(HM_ZD_AM3_2005!CA_op_trig)</f>
        <v>0</v>
      </c>
      <c r="BO369" s="49">
        <f>(HM_ZD_AM3_2005!CA_devex_nom*HM_ZD_AM3_2005!NOC_CI_devex)*(HM_ZD_AM3_2005!CA_op_trig)</f>
        <v>0</v>
      </c>
      <c r="BP369" s="49">
        <f>(HM_ZD_AM3_2005!CA_devex_nom*HM_ZD_AM3_2005!NOC_CI_devex)*(HM_ZD_AM3_2005!CA_op_trig)</f>
        <v>0</v>
      </c>
      <c r="BQ369" s="49">
        <f>(HM_ZD_AM3_2005!CA_devex_nom*HM_ZD_AM3_2005!NOC_CI_devex)*(HM_ZD_AM3_2005!CA_op_trig)</f>
        <v>0</v>
      </c>
      <c r="BR369" s="49">
        <f>(HM_ZD_AM3_2005!CA_devex_nom*HM_ZD_AM3_2005!NOC_CI_devex)*(HM_ZD_AM3_2005!CA_op_trig)</f>
        <v>0</v>
      </c>
      <c r="BS369" s="49">
        <f>(HM_ZD_AM3_2005!CA_devex_nom*HM_ZD_AM3_2005!NOC_CI_devex)*(HM_ZD_AM3_2005!CA_op_trig)</f>
        <v>0</v>
      </c>
    </row>
    <row r="370" spans="3:71" outlineLevel="1" x14ac:dyDescent="0.2">
      <c r="D370" t="str">
        <f>HM_ZD_Moho!D392</f>
        <v>Intérêt porté compagnie nationale - Opex</v>
      </c>
      <c r="I370" s="30">
        <f t="shared" ca="1" si="122"/>
        <v>0</v>
      </c>
      <c r="J370" s="26" t="s">
        <v>148</v>
      </c>
      <c r="K370" s="7" t="s">
        <v>360</v>
      </c>
      <c r="L370" s="49">
        <f ca="1">((HM_ZD_AM3_2005!CA_varopex_nom+HM_ZD_AM3_2005!CA_fixedopex_nom)*(HM_ZD_AM3_2005!NOC_CI_opex))*(HM_ZD_AM3_2005!CA_op_trig)</f>
        <v>0</v>
      </c>
      <c r="M370" s="49">
        <f ca="1">((HM_ZD_AM3_2005!CA_varopex_nom+HM_ZD_AM3_2005!CA_fixedopex_nom)*(HM_ZD_AM3_2005!NOC_CI_opex))*(HM_ZD_AM3_2005!CA_op_trig)</f>
        <v>0</v>
      </c>
      <c r="N370" s="49">
        <f>((HM_ZD_AM3_2005!CA_varopex_nom+HM_ZD_AM3_2005!CA_fixedopex_nom)*(HM_ZD_AM3_2005!NOC_CI_opex))*(HM_ZD_AM3_2005!CA_op_trig)</f>
        <v>0</v>
      </c>
      <c r="O370" s="49">
        <f>((HM_ZD_AM3_2005!CA_varopex_nom+HM_ZD_AM3_2005!CA_fixedopex_nom)*(HM_ZD_AM3_2005!NOC_CI_opex))*(HM_ZD_AM3_2005!CA_op_trig)</f>
        <v>0</v>
      </c>
      <c r="P370" s="49">
        <f>((HM_ZD_AM3_2005!CA_varopex_nom+HM_ZD_AM3_2005!CA_fixedopex_nom)*(HM_ZD_AM3_2005!NOC_CI_opex))*(HM_ZD_AM3_2005!CA_op_trig)</f>
        <v>0</v>
      </c>
      <c r="Q370" s="49">
        <f>((HM_ZD_AM3_2005!CA_varopex_nom+HM_ZD_AM3_2005!CA_fixedopex_nom)*(HM_ZD_AM3_2005!NOC_CI_opex))*(HM_ZD_AM3_2005!CA_op_trig)</f>
        <v>0</v>
      </c>
      <c r="R370" s="49">
        <f>((HM_ZD_AM3_2005!CA_varopex_nom+HM_ZD_AM3_2005!CA_fixedopex_nom)*(HM_ZD_AM3_2005!NOC_CI_opex))*(HM_ZD_AM3_2005!CA_op_trig)</f>
        <v>0</v>
      </c>
      <c r="S370" s="49">
        <f>((HM_ZD_AM3_2005!CA_varopex_nom+HM_ZD_AM3_2005!CA_fixedopex_nom)*(HM_ZD_AM3_2005!NOC_CI_opex))*(HM_ZD_AM3_2005!CA_op_trig)</f>
        <v>0</v>
      </c>
      <c r="T370" s="49">
        <f>((HM_ZD_AM3_2005!CA_varopex_nom+HM_ZD_AM3_2005!CA_fixedopex_nom)*(HM_ZD_AM3_2005!NOC_CI_opex))*(HM_ZD_AM3_2005!CA_op_trig)</f>
        <v>0</v>
      </c>
      <c r="U370" s="49">
        <f>((HM_ZD_AM3_2005!CA_varopex_nom+HM_ZD_AM3_2005!CA_fixedopex_nom)*(HM_ZD_AM3_2005!NOC_CI_opex))*(HM_ZD_AM3_2005!CA_op_trig)</f>
        <v>0</v>
      </c>
      <c r="V370" s="49">
        <f>((HM_ZD_AM3_2005!CA_varopex_nom+HM_ZD_AM3_2005!CA_fixedopex_nom)*(HM_ZD_AM3_2005!NOC_CI_opex))*(HM_ZD_AM3_2005!CA_op_trig)</f>
        <v>0</v>
      </c>
      <c r="W370" s="49">
        <f>((HM_ZD_AM3_2005!CA_varopex_nom+HM_ZD_AM3_2005!CA_fixedopex_nom)*(HM_ZD_AM3_2005!NOC_CI_opex))*(HM_ZD_AM3_2005!CA_op_trig)</f>
        <v>0</v>
      </c>
      <c r="X370" s="49">
        <f>((HM_ZD_AM3_2005!CA_varopex_nom+HM_ZD_AM3_2005!CA_fixedopex_nom)*(HM_ZD_AM3_2005!NOC_CI_opex))*(HM_ZD_AM3_2005!CA_op_trig)</f>
        <v>0</v>
      </c>
      <c r="Y370" s="49">
        <f>((HM_ZD_AM3_2005!CA_varopex_nom+HM_ZD_AM3_2005!CA_fixedopex_nom)*(HM_ZD_AM3_2005!NOC_CI_opex))*(HM_ZD_AM3_2005!CA_op_trig)</f>
        <v>0</v>
      </c>
      <c r="Z370" s="49">
        <f>((HM_ZD_AM3_2005!CA_varopex_nom+HM_ZD_AM3_2005!CA_fixedopex_nom)*(HM_ZD_AM3_2005!NOC_CI_opex))*(HM_ZD_AM3_2005!CA_op_trig)</f>
        <v>0</v>
      </c>
      <c r="AA370" s="49">
        <f>((HM_ZD_AM3_2005!CA_varopex_nom+HM_ZD_AM3_2005!CA_fixedopex_nom)*(HM_ZD_AM3_2005!NOC_CI_opex))*(HM_ZD_AM3_2005!CA_op_trig)</f>
        <v>0</v>
      </c>
      <c r="AB370" s="49">
        <f>((HM_ZD_AM3_2005!CA_varopex_nom+HM_ZD_AM3_2005!CA_fixedopex_nom)*(HM_ZD_AM3_2005!NOC_CI_opex))*(HM_ZD_AM3_2005!CA_op_trig)</f>
        <v>0</v>
      </c>
      <c r="AC370" s="49">
        <f>((HM_ZD_AM3_2005!CA_varopex_nom+HM_ZD_AM3_2005!CA_fixedopex_nom)*(HM_ZD_AM3_2005!NOC_CI_opex))*(HM_ZD_AM3_2005!CA_op_trig)</f>
        <v>0</v>
      </c>
      <c r="AD370" s="49">
        <f>((HM_ZD_AM3_2005!CA_varopex_nom+HM_ZD_AM3_2005!CA_fixedopex_nom)*(HM_ZD_AM3_2005!NOC_CI_opex))*(HM_ZD_AM3_2005!CA_op_trig)</f>
        <v>0</v>
      </c>
      <c r="AE370" s="49">
        <f>((HM_ZD_AM3_2005!CA_varopex_nom+HM_ZD_AM3_2005!CA_fixedopex_nom)*(HM_ZD_AM3_2005!NOC_CI_opex))*(HM_ZD_AM3_2005!CA_op_trig)</f>
        <v>0</v>
      </c>
      <c r="AF370" s="49">
        <f>((HM_ZD_AM3_2005!CA_varopex_nom+HM_ZD_AM3_2005!CA_fixedopex_nom)*(HM_ZD_AM3_2005!NOC_CI_opex))*(HM_ZD_AM3_2005!CA_op_trig)</f>
        <v>0</v>
      </c>
      <c r="AG370" s="49">
        <f>((HM_ZD_AM3_2005!CA_varopex_nom+HM_ZD_AM3_2005!CA_fixedopex_nom)*(HM_ZD_AM3_2005!NOC_CI_opex))*(HM_ZD_AM3_2005!CA_op_trig)</f>
        <v>0</v>
      </c>
      <c r="AH370" s="49">
        <f>((HM_ZD_AM3_2005!CA_varopex_nom+HM_ZD_AM3_2005!CA_fixedopex_nom)*(HM_ZD_AM3_2005!NOC_CI_opex))*(HM_ZD_AM3_2005!CA_op_trig)</f>
        <v>0</v>
      </c>
      <c r="AI370" s="49">
        <f>((HM_ZD_AM3_2005!CA_varopex_nom+HM_ZD_AM3_2005!CA_fixedopex_nom)*(HM_ZD_AM3_2005!NOC_CI_opex))*(HM_ZD_AM3_2005!CA_op_trig)</f>
        <v>0</v>
      </c>
      <c r="AJ370" s="49">
        <f>((HM_ZD_AM3_2005!CA_varopex_nom+HM_ZD_AM3_2005!CA_fixedopex_nom)*(HM_ZD_AM3_2005!NOC_CI_opex))*(HM_ZD_AM3_2005!CA_op_trig)</f>
        <v>0</v>
      </c>
      <c r="AK370" s="49">
        <f>((HM_ZD_AM3_2005!CA_varopex_nom+HM_ZD_AM3_2005!CA_fixedopex_nom)*(HM_ZD_AM3_2005!NOC_CI_opex))*(HM_ZD_AM3_2005!CA_op_trig)</f>
        <v>0</v>
      </c>
      <c r="AL370" s="49">
        <f>((HM_ZD_AM3_2005!CA_varopex_nom+HM_ZD_AM3_2005!CA_fixedopex_nom)*(HM_ZD_AM3_2005!NOC_CI_opex))*(HM_ZD_AM3_2005!CA_op_trig)</f>
        <v>0</v>
      </c>
      <c r="AM370" s="49">
        <f>((HM_ZD_AM3_2005!CA_varopex_nom+HM_ZD_AM3_2005!CA_fixedopex_nom)*(HM_ZD_AM3_2005!NOC_CI_opex))*(HM_ZD_AM3_2005!CA_op_trig)</f>
        <v>0</v>
      </c>
      <c r="AN370" s="49">
        <f>((HM_ZD_AM3_2005!CA_varopex_nom+HM_ZD_AM3_2005!CA_fixedopex_nom)*(HM_ZD_AM3_2005!NOC_CI_opex))*(HM_ZD_AM3_2005!CA_op_trig)</f>
        <v>0</v>
      </c>
      <c r="AO370" s="49">
        <f>((HM_ZD_AM3_2005!CA_varopex_nom+HM_ZD_AM3_2005!CA_fixedopex_nom)*(HM_ZD_AM3_2005!NOC_CI_opex))*(HM_ZD_AM3_2005!CA_op_trig)</f>
        <v>0</v>
      </c>
      <c r="AP370" s="49">
        <f>((HM_ZD_AM3_2005!CA_varopex_nom+HM_ZD_AM3_2005!CA_fixedopex_nom)*(HM_ZD_AM3_2005!NOC_CI_opex))*(HM_ZD_AM3_2005!CA_op_trig)</f>
        <v>0</v>
      </c>
      <c r="AQ370" s="49">
        <f>((HM_ZD_AM3_2005!CA_varopex_nom+HM_ZD_AM3_2005!CA_fixedopex_nom)*(HM_ZD_AM3_2005!NOC_CI_opex))*(HM_ZD_AM3_2005!CA_op_trig)</f>
        <v>0</v>
      </c>
      <c r="AR370" s="49">
        <f>((HM_ZD_AM3_2005!CA_varopex_nom+HM_ZD_AM3_2005!CA_fixedopex_nom)*(HM_ZD_AM3_2005!NOC_CI_opex))*(HM_ZD_AM3_2005!CA_op_trig)</f>
        <v>0</v>
      </c>
      <c r="AS370" s="49">
        <f>((HM_ZD_AM3_2005!CA_varopex_nom+HM_ZD_AM3_2005!CA_fixedopex_nom)*(HM_ZD_AM3_2005!NOC_CI_opex))*(HM_ZD_AM3_2005!CA_op_trig)</f>
        <v>0</v>
      </c>
      <c r="AT370" s="49">
        <f>((HM_ZD_AM3_2005!CA_varopex_nom+HM_ZD_AM3_2005!CA_fixedopex_nom)*(HM_ZD_AM3_2005!NOC_CI_opex))*(HM_ZD_AM3_2005!CA_op_trig)</f>
        <v>0</v>
      </c>
      <c r="AU370" s="49">
        <f>((HM_ZD_AM3_2005!CA_varopex_nom+HM_ZD_AM3_2005!CA_fixedopex_nom)*(HM_ZD_AM3_2005!NOC_CI_opex))*(HM_ZD_AM3_2005!CA_op_trig)</f>
        <v>0</v>
      </c>
      <c r="AV370" s="49">
        <f>((HM_ZD_AM3_2005!CA_varopex_nom+HM_ZD_AM3_2005!CA_fixedopex_nom)*(HM_ZD_AM3_2005!NOC_CI_opex))*(HM_ZD_AM3_2005!CA_op_trig)</f>
        <v>0</v>
      </c>
      <c r="AW370" s="49">
        <f>((HM_ZD_AM3_2005!CA_varopex_nom+HM_ZD_AM3_2005!CA_fixedopex_nom)*(HM_ZD_AM3_2005!NOC_CI_opex))*(HM_ZD_AM3_2005!CA_op_trig)</f>
        <v>0</v>
      </c>
      <c r="AX370" s="49">
        <f>((HM_ZD_AM3_2005!CA_varopex_nom+HM_ZD_AM3_2005!CA_fixedopex_nom)*(HM_ZD_AM3_2005!NOC_CI_opex))*(HM_ZD_AM3_2005!CA_op_trig)</f>
        <v>0</v>
      </c>
      <c r="AY370" s="49">
        <f>((HM_ZD_AM3_2005!CA_varopex_nom+HM_ZD_AM3_2005!CA_fixedopex_nom)*(HM_ZD_AM3_2005!NOC_CI_opex))*(HM_ZD_AM3_2005!CA_op_trig)</f>
        <v>0</v>
      </c>
      <c r="AZ370" s="49">
        <f>((HM_ZD_AM3_2005!CA_varopex_nom+HM_ZD_AM3_2005!CA_fixedopex_nom)*(HM_ZD_AM3_2005!NOC_CI_opex))*(HM_ZD_AM3_2005!CA_op_trig)</f>
        <v>0</v>
      </c>
      <c r="BA370" s="49">
        <f>((HM_ZD_AM3_2005!CA_varopex_nom+HM_ZD_AM3_2005!CA_fixedopex_nom)*(HM_ZD_AM3_2005!NOC_CI_opex))*(HM_ZD_AM3_2005!CA_op_trig)</f>
        <v>0</v>
      </c>
      <c r="BB370" s="49">
        <f>((HM_ZD_AM3_2005!CA_varopex_nom+HM_ZD_AM3_2005!CA_fixedopex_nom)*(HM_ZD_AM3_2005!NOC_CI_opex))*(HM_ZD_AM3_2005!CA_op_trig)</f>
        <v>0</v>
      </c>
      <c r="BC370" s="49">
        <f>((HM_ZD_AM3_2005!CA_varopex_nom+HM_ZD_AM3_2005!CA_fixedopex_nom)*(HM_ZD_AM3_2005!NOC_CI_opex))*(HM_ZD_AM3_2005!CA_op_trig)</f>
        <v>0</v>
      </c>
      <c r="BD370" s="49">
        <f>((HM_ZD_AM3_2005!CA_varopex_nom+HM_ZD_AM3_2005!CA_fixedopex_nom)*(HM_ZD_AM3_2005!NOC_CI_opex))*(HM_ZD_AM3_2005!CA_op_trig)</f>
        <v>0</v>
      </c>
      <c r="BE370" s="49">
        <f>((HM_ZD_AM3_2005!CA_varopex_nom+HM_ZD_AM3_2005!CA_fixedopex_nom)*(HM_ZD_AM3_2005!NOC_CI_opex))*(HM_ZD_AM3_2005!CA_op_trig)</f>
        <v>0</v>
      </c>
      <c r="BF370" s="49">
        <f>((HM_ZD_AM3_2005!CA_varopex_nom+HM_ZD_AM3_2005!CA_fixedopex_nom)*(HM_ZD_AM3_2005!NOC_CI_opex))*(HM_ZD_AM3_2005!CA_op_trig)</f>
        <v>0</v>
      </c>
      <c r="BG370" s="49">
        <f>((HM_ZD_AM3_2005!CA_varopex_nom+HM_ZD_AM3_2005!CA_fixedopex_nom)*(HM_ZD_AM3_2005!NOC_CI_opex))*(HM_ZD_AM3_2005!CA_op_trig)</f>
        <v>0</v>
      </c>
      <c r="BH370" s="49">
        <f>((HM_ZD_AM3_2005!CA_varopex_nom+HM_ZD_AM3_2005!CA_fixedopex_nom)*(HM_ZD_AM3_2005!NOC_CI_opex))*(HM_ZD_AM3_2005!CA_op_trig)</f>
        <v>0</v>
      </c>
      <c r="BI370" s="49">
        <f>((HM_ZD_AM3_2005!CA_varopex_nom+HM_ZD_AM3_2005!CA_fixedopex_nom)*(HM_ZD_AM3_2005!NOC_CI_opex))*(HM_ZD_AM3_2005!CA_op_trig)</f>
        <v>0</v>
      </c>
      <c r="BJ370" s="49">
        <f>((HM_ZD_AM3_2005!CA_varopex_nom+HM_ZD_AM3_2005!CA_fixedopex_nom)*(HM_ZD_AM3_2005!NOC_CI_opex))*(HM_ZD_AM3_2005!CA_op_trig)</f>
        <v>0</v>
      </c>
      <c r="BK370" s="49">
        <f>((HM_ZD_AM3_2005!CA_varopex_nom+HM_ZD_AM3_2005!CA_fixedopex_nom)*(HM_ZD_AM3_2005!NOC_CI_opex))*(HM_ZD_AM3_2005!CA_op_trig)</f>
        <v>0</v>
      </c>
      <c r="BL370" s="49">
        <f>((HM_ZD_AM3_2005!CA_varopex_nom+HM_ZD_AM3_2005!CA_fixedopex_nom)*(HM_ZD_AM3_2005!NOC_CI_opex))*(HM_ZD_AM3_2005!CA_op_trig)</f>
        <v>0</v>
      </c>
      <c r="BM370" s="49">
        <f>((HM_ZD_AM3_2005!CA_varopex_nom+HM_ZD_AM3_2005!CA_fixedopex_nom)*(HM_ZD_AM3_2005!NOC_CI_opex))*(HM_ZD_AM3_2005!CA_op_trig)</f>
        <v>0</v>
      </c>
      <c r="BN370" s="49">
        <f>((HM_ZD_AM3_2005!CA_varopex_nom+HM_ZD_AM3_2005!CA_fixedopex_nom)*(HM_ZD_AM3_2005!NOC_CI_opex))*(HM_ZD_AM3_2005!CA_op_trig)</f>
        <v>0</v>
      </c>
      <c r="BO370" s="49">
        <f>((HM_ZD_AM3_2005!CA_varopex_nom+HM_ZD_AM3_2005!CA_fixedopex_nom)*(HM_ZD_AM3_2005!NOC_CI_opex))*(HM_ZD_AM3_2005!CA_op_trig)</f>
        <v>0</v>
      </c>
      <c r="BP370" s="49">
        <f>((HM_ZD_AM3_2005!CA_varopex_nom+HM_ZD_AM3_2005!CA_fixedopex_nom)*(HM_ZD_AM3_2005!NOC_CI_opex))*(HM_ZD_AM3_2005!CA_op_trig)</f>
        <v>0</v>
      </c>
      <c r="BQ370" s="49">
        <f>((HM_ZD_AM3_2005!CA_varopex_nom+HM_ZD_AM3_2005!CA_fixedopex_nom)*(HM_ZD_AM3_2005!NOC_CI_opex))*(HM_ZD_AM3_2005!CA_op_trig)</f>
        <v>0</v>
      </c>
      <c r="BR370" s="49">
        <f>((HM_ZD_AM3_2005!CA_varopex_nom+HM_ZD_AM3_2005!CA_fixedopex_nom)*(HM_ZD_AM3_2005!NOC_CI_opex))*(HM_ZD_AM3_2005!CA_op_trig)</f>
        <v>0</v>
      </c>
      <c r="BS370" s="49">
        <f>((HM_ZD_AM3_2005!CA_varopex_nom+HM_ZD_AM3_2005!CA_fixedopex_nom)*(HM_ZD_AM3_2005!NOC_CI_opex))*(HM_ZD_AM3_2005!CA_op_trig)</f>
        <v>0</v>
      </c>
    </row>
    <row r="371" spans="3:71" outlineLevel="1" x14ac:dyDescent="0.2">
      <c r="D371" s="11" t="str">
        <f>HM_ZD_Moho!D393</f>
        <v>Total</v>
      </c>
      <c r="I371" s="30">
        <f t="shared" ca="1" si="122"/>
        <v>510.74909999999994</v>
      </c>
      <c r="J371" s="26" t="s">
        <v>148</v>
      </c>
      <c r="L371" s="49">
        <f ca="1">SUM(L368:L370)</f>
        <v>193.01729999999998</v>
      </c>
      <c r="M371" s="49">
        <f t="shared" ref="M371:BS371" ca="1" si="123">SUM(M368:M370)</f>
        <v>317.73179999999996</v>
      </c>
      <c r="N371" s="49">
        <f t="shared" si="123"/>
        <v>0</v>
      </c>
      <c r="O371" s="49">
        <f t="shared" si="123"/>
        <v>0</v>
      </c>
      <c r="P371" s="49">
        <f t="shared" si="123"/>
        <v>0</v>
      </c>
      <c r="Q371" s="49">
        <f t="shared" si="123"/>
        <v>0</v>
      </c>
      <c r="R371" s="49">
        <f t="shared" si="123"/>
        <v>0</v>
      </c>
      <c r="S371" s="49">
        <f t="shared" si="123"/>
        <v>0</v>
      </c>
      <c r="T371" s="49">
        <f t="shared" si="123"/>
        <v>0</v>
      </c>
      <c r="U371" s="49">
        <f t="shared" si="123"/>
        <v>0</v>
      </c>
      <c r="V371" s="49">
        <f t="shared" si="123"/>
        <v>0</v>
      </c>
      <c r="W371" s="49">
        <f t="shared" si="123"/>
        <v>0</v>
      </c>
      <c r="X371" s="49">
        <f t="shared" si="123"/>
        <v>0</v>
      </c>
      <c r="Y371" s="49">
        <f t="shared" si="123"/>
        <v>0</v>
      </c>
      <c r="Z371" s="49">
        <f t="shared" si="123"/>
        <v>0</v>
      </c>
      <c r="AA371" s="49">
        <f t="shared" si="123"/>
        <v>0</v>
      </c>
      <c r="AB371" s="49">
        <f t="shared" si="123"/>
        <v>0</v>
      </c>
      <c r="AC371" s="49">
        <f t="shared" si="123"/>
        <v>0</v>
      </c>
      <c r="AD371" s="49">
        <f t="shared" si="123"/>
        <v>0</v>
      </c>
      <c r="AE371" s="49">
        <f t="shared" si="123"/>
        <v>0</v>
      </c>
      <c r="AF371" s="49">
        <f t="shared" si="123"/>
        <v>0</v>
      </c>
      <c r="AG371" s="49">
        <f t="shared" si="123"/>
        <v>0</v>
      </c>
      <c r="AH371" s="49">
        <f t="shared" si="123"/>
        <v>0</v>
      </c>
      <c r="AI371" s="49">
        <f t="shared" si="123"/>
        <v>0</v>
      </c>
      <c r="AJ371" s="49">
        <f t="shared" si="123"/>
        <v>0</v>
      </c>
      <c r="AK371" s="49">
        <f t="shared" si="123"/>
        <v>0</v>
      </c>
      <c r="AL371" s="49">
        <f t="shared" si="123"/>
        <v>0</v>
      </c>
      <c r="AM371" s="49">
        <f t="shared" si="123"/>
        <v>0</v>
      </c>
      <c r="AN371" s="49">
        <f t="shared" si="123"/>
        <v>0</v>
      </c>
      <c r="AO371" s="49">
        <f t="shared" si="123"/>
        <v>0</v>
      </c>
      <c r="AP371" s="49">
        <f t="shared" si="123"/>
        <v>0</v>
      </c>
      <c r="AQ371" s="49">
        <f t="shared" si="123"/>
        <v>0</v>
      </c>
      <c r="AR371" s="49">
        <f t="shared" si="123"/>
        <v>0</v>
      </c>
      <c r="AS371" s="49">
        <f t="shared" si="123"/>
        <v>0</v>
      </c>
      <c r="AT371" s="49">
        <f t="shared" si="123"/>
        <v>0</v>
      </c>
      <c r="AU371" s="49">
        <f t="shared" si="123"/>
        <v>0</v>
      </c>
      <c r="AV371" s="49">
        <f t="shared" si="123"/>
        <v>0</v>
      </c>
      <c r="AW371" s="49">
        <f t="shared" si="123"/>
        <v>0</v>
      </c>
      <c r="AX371" s="49">
        <f t="shared" si="123"/>
        <v>0</v>
      </c>
      <c r="AY371" s="49">
        <f t="shared" si="123"/>
        <v>0</v>
      </c>
      <c r="AZ371" s="49">
        <f t="shared" si="123"/>
        <v>0</v>
      </c>
      <c r="BA371" s="49">
        <f t="shared" si="123"/>
        <v>0</v>
      </c>
      <c r="BB371" s="49">
        <f t="shared" si="123"/>
        <v>0</v>
      </c>
      <c r="BC371" s="49">
        <f t="shared" si="123"/>
        <v>0</v>
      </c>
      <c r="BD371" s="49">
        <f t="shared" si="123"/>
        <v>0</v>
      </c>
      <c r="BE371" s="49">
        <f t="shared" si="123"/>
        <v>0</v>
      </c>
      <c r="BF371" s="49">
        <f t="shared" si="123"/>
        <v>0</v>
      </c>
      <c r="BG371" s="49">
        <f t="shared" si="123"/>
        <v>0</v>
      </c>
      <c r="BH371" s="49">
        <f t="shared" si="123"/>
        <v>0</v>
      </c>
      <c r="BI371" s="49">
        <f t="shared" si="123"/>
        <v>0</v>
      </c>
      <c r="BJ371" s="49">
        <f t="shared" si="123"/>
        <v>0</v>
      </c>
      <c r="BK371" s="49">
        <f t="shared" si="123"/>
        <v>0</v>
      </c>
      <c r="BL371" s="49">
        <f t="shared" si="123"/>
        <v>0</v>
      </c>
      <c r="BM371" s="49">
        <f t="shared" si="123"/>
        <v>0</v>
      </c>
      <c r="BN371" s="49">
        <f t="shared" si="123"/>
        <v>0</v>
      </c>
      <c r="BO371" s="49">
        <f t="shared" si="123"/>
        <v>0</v>
      </c>
      <c r="BP371" s="49">
        <f t="shared" si="123"/>
        <v>0</v>
      </c>
      <c r="BQ371" s="49">
        <f t="shared" si="123"/>
        <v>0</v>
      </c>
      <c r="BR371" s="49">
        <f t="shared" si="123"/>
        <v>0</v>
      </c>
      <c r="BS371" s="49">
        <f t="shared" si="123"/>
        <v>0</v>
      </c>
    </row>
    <row r="372" spans="3:71" outlineLevel="1" x14ac:dyDescent="0.2">
      <c r="J372" s="26"/>
      <c r="L372" s="55"/>
      <c r="M372" s="55"/>
      <c r="N372" s="55"/>
      <c r="O372" s="55"/>
      <c r="P372" s="55"/>
      <c r="Q372" s="55"/>
      <c r="R372" s="55"/>
      <c r="S372" s="55"/>
      <c r="T372" s="55"/>
      <c r="U372" s="55"/>
      <c r="V372" s="55"/>
      <c r="W372" s="55"/>
      <c r="X372" s="55"/>
      <c r="Y372" s="55"/>
      <c r="Z372" s="55"/>
      <c r="AA372" s="55"/>
      <c r="AB372" s="55"/>
      <c r="AC372" s="55"/>
      <c r="AD372" s="55"/>
      <c r="AE372" s="55"/>
      <c r="AF372" s="55"/>
      <c r="AG372" s="55"/>
      <c r="AH372" s="55"/>
      <c r="AI372" s="55"/>
      <c r="AJ372" s="55"/>
      <c r="AK372" s="55"/>
      <c r="AL372" s="55"/>
      <c r="AM372" s="55"/>
      <c r="AN372" s="55"/>
      <c r="AO372" s="55"/>
      <c r="AP372" s="55"/>
      <c r="AQ372" s="55"/>
      <c r="AR372" s="55"/>
      <c r="AS372" s="55"/>
      <c r="AT372" s="55"/>
      <c r="AU372" s="55"/>
      <c r="AV372" s="55"/>
      <c r="AW372" s="55"/>
      <c r="AX372" s="55"/>
      <c r="AY372" s="55"/>
      <c r="AZ372" s="55"/>
      <c r="BA372" s="55"/>
      <c r="BB372" s="55"/>
      <c r="BC372" s="55"/>
      <c r="BD372" s="55"/>
      <c r="BE372" s="55"/>
      <c r="BF372" s="55"/>
      <c r="BG372" s="55"/>
      <c r="BH372" s="55"/>
      <c r="BI372" s="55"/>
      <c r="BJ372" s="55"/>
      <c r="BK372" s="55"/>
      <c r="BL372" s="55"/>
      <c r="BM372" s="55"/>
      <c r="BN372" s="55"/>
      <c r="BO372" s="55"/>
      <c r="BP372" s="55"/>
      <c r="BQ372" s="55"/>
      <c r="BR372" s="55"/>
      <c r="BS372" s="55"/>
    </row>
    <row r="373" spans="3:71" outlineLevel="1" x14ac:dyDescent="0.2">
      <c r="C373" s="11" t="str">
        <f>HM_ZD_Moho!C395</f>
        <v>Remboursement du portage compagnie nationale - Coûts exploration</v>
      </c>
      <c r="J373" s="26"/>
      <c r="L373" s="55"/>
      <c r="M373" s="55"/>
      <c r="N373" s="55"/>
      <c r="O373" s="55"/>
      <c r="P373" s="55"/>
      <c r="Q373" s="55"/>
      <c r="R373" s="55"/>
      <c r="S373" s="55"/>
      <c r="T373" s="55"/>
      <c r="U373" s="55"/>
      <c r="V373" s="55"/>
      <c r="W373" s="55"/>
      <c r="X373" s="55"/>
      <c r="Y373" s="55"/>
      <c r="Z373" s="55"/>
      <c r="AA373" s="55"/>
      <c r="AB373" s="55"/>
      <c r="AC373" s="55"/>
      <c r="AD373" s="55"/>
      <c r="AE373" s="55"/>
      <c r="AF373" s="55"/>
      <c r="AG373" s="55"/>
      <c r="AH373" s="55"/>
      <c r="AI373" s="55"/>
      <c r="AJ373" s="55"/>
      <c r="AK373" s="55"/>
      <c r="AL373" s="55"/>
      <c r="AM373" s="55"/>
      <c r="AN373" s="55"/>
      <c r="AO373" s="55"/>
      <c r="AP373" s="55"/>
      <c r="AQ373" s="55"/>
      <c r="AR373" s="55"/>
      <c r="AS373" s="55"/>
      <c r="AT373" s="55"/>
      <c r="AU373" s="55"/>
      <c r="AV373" s="55"/>
      <c r="AW373" s="55"/>
      <c r="AX373" s="55"/>
      <c r="AY373" s="55"/>
      <c r="AZ373" s="55"/>
      <c r="BA373" s="55"/>
      <c r="BB373" s="55"/>
      <c r="BC373" s="55"/>
      <c r="BD373" s="55"/>
      <c r="BE373" s="55"/>
      <c r="BF373" s="55"/>
      <c r="BG373" s="55"/>
      <c r="BH373" s="55"/>
      <c r="BI373" s="55"/>
      <c r="BJ373" s="55"/>
      <c r="BK373" s="55"/>
      <c r="BL373" s="55"/>
      <c r="BM373" s="55"/>
      <c r="BN373" s="55"/>
      <c r="BO373" s="55"/>
      <c r="BP373" s="55"/>
      <c r="BQ373" s="55"/>
      <c r="BR373" s="55"/>
      <c r="BS373" s="55"/>
    </row>
    <row r="374" spans="3:71" outlineLevel="1" x14ac:dyDescent="0.2">
      <c r="D374" t="str">
        <f>HM_ZD_Moho!D396</f>
        <v>Coûts portés Solde d'ouverture</v>
      </c>
      <c r="J374" s="26"/>
      <c r="L374" s="49">
        <f>K377</f>
        <v>0</v>
      </c>
      <c r="M374" s="49">
        <f t="shared" ref="M374:BS374" ca="1" si="124">L377</f>
        <v>0</v>
      </c>
      <c r="N374" s="49">
        <f t="shared" ca="1" si="124"/>
        <v>0</v>
      </c>
      <c r="O374" s="49">
        <f t="shared" ca="1" si="124"/>
        <v>0</v>
      </c>
      <c r="P374" s="49">
        <f t="shared" ca="1" si="124"/>
        <v>0</v>
      </c>
      <c r="Q374" s="49">
        <f t="shared" ca="1" si="124"/>
        <v>0</v>
      </c>
      <c r="R374" s="49">
        <f t="shared" ca="1" si="124"/>
        <v>0</v>
      </c>
      <c r="S374" s="49">
        <f t="shared" ca="1" si="124"/>
        <v>0</v>
      </c>
      <c r="T374" s="49">
        <f t="shared" ca="1" si="124"/>
        <v>0</v>
      </c>
      <c r="U374" s="49">
        <f t="shared" ca="1" si="124"/>
        <v>0</v>
      </c>
      <c r="V374" s="49">
        <f t="shared" ca="1" si="124"/>
        <v>0</v>
      </c>
      <c r="W374" s="49">
        <f t="shared" ca="1" si="124"/>
        <v>0</v>
      </c>
      <c r="X374" s="49">
        <f t="shared" ca="1" si="124"/>
        <v>0</v>
      </c>
      <c r="Y374" s="49">
        <f t="shared" ca="1" si="124"/>
        <v>0</v>
      </c>
      <c r="Z374" s="49">
        <f t="shared" ca="1" si="124"/>
        <v>0</v>
      </c>
      <c r="AA374" s="49">
        <f t="shared" ca="1" si="124"/>
        <v>0</v>
      </c>
      <c r="AB374" s="49">
        <f t="shared" ca="1" si="124"/>
        <v>0</v>
      </c>
      <c r="AC374" s="49">
        <f t="shared" ca="1" si="124"/>
        <v>0</v>
      </c>
      <c r="AD374" s="49">
        <f t="shared" ca="1" si="124"/>
        <v>0</v>
      </c>
      <c r="AE374" s="49">
        <f t="shared" ca="1" si="124"/>
        <v>0</v>
      </c>
      <c r="AF374" s="49">
        <f t="shared" ca="1" si="124"/>
        <v>0</v>
      </c>
      <c r="AG374" s="49">
        <f t="shared" ca="1" si="124"/>
        <v>0</v>
      </c>
      <c r="AH374" s="49">
        <f t="shared" ca="1" si="124"/>
        <v>0</v>
      </c>
      <c r="AI374" s="49">
        <f t="shared" ca="1" si="124"/>
        <v>0</v>
      </c>
      <c r="AJ374" s="49">
        <f t="shared" ca="1" si="124"/>
        <v>0</v>
      </c>
      <c r="AK374" s="49">
        <f t="shared" ca="1" si="124"/>
        <v>0</v>
      </c>
      <c r="AL374" s="49">
        <f t="shared" ca="1" si="124"/>
        <v>0</v>
      </c>
      <c r="AM374" s="49">
        <f t="shared" ca="1" si="124"/>
        <v>0</v>
      </c>
      <c r="AN374" s="49">
        <f t="shared" ca="1" si="124"/>
        <v>0</v>
      </c>
      <c r="AO374" s="49">
        <f t="shared" ca="1" si="124"/>
        <v>0</v>
      </c>
      <c r="AP374" s="49">
        <f t="shared" ca="1" si="124"/>
        <v>0</v>
      </c>
      <c r="AQ374" s="49">
        <f t="shared" ca="1" si="124"/>
        <v>0</v>
      </c>
      <c r="AR374" s="49">
        <f t="shared" ca="1" si="124"/>
        <v>0</v>
      </c>
      <c r="AS374" s="49">
        <f t="shared" ca="1" si="124"/>
        <v>0</v>
      </c>
      <c r="AT374" s="49">
        <f t="shared" ca="1" si="124"/>
        <v>0</v>
      </c>
      <c r="AU374" s="49">
        <f t="shared" ca="1" si="124"/>
        <v>0</v>
      </c>
      <c r="AV374" s="49">
        <f t="shared" ca="1" si="124"/>
        <v>0</v>
      </c>
      <c r="AW374" s="49">
        <f t="shared" ca="1" si="124"/>
        <v>0</v>
      </c>
      <c r="AX374" s="49">
        <f t="shared" ca="1" si="124"/>
        <v>0</v>
      </c>
      <c r="AY374" s="49">
        <f t="shared" ca="1" si="124"/>
        <v>0</v>
      </c>
      <c r="AZ374" s="49">
        <f t="shared" ca="1" si="124"/>
        <v>0</v>
      </c>
      <c r="BA374" s="49">
        <f t="shared" ca="1" si="124"/>
        <v>0</v>
      </c>
      <c r="BB374" s="49">
        <f t="shared" ca="1" si="124"/>
        <v>0</v>
      </c>
      <c r="BC374" s="49">
        <f t="shared" ca="1" si="124"/>
        <v>0</v>
      </c>
      <c r="BD374" s="49">
        <f t="shared" ca="1" si="124"/>
        <v>0</v>
      </c>
      <c r="BE374" s="49">
        <f t="shared" ca="1" si="124"/>
        <v>0</v>
      </c>
      <c r="BF374" s="49">
        <f t="shared" ca="1" si="124"/>
        <v>0</v>
      </c>
      <c r="BG374" s="49">
        <f t="shared" ca="1" si="124"/>
        <v>0</v>
      </c>
      <c r="BH374" s="49">
        <f t="shared" ca="1" si="124"/>
        <v>0</v>
      </c>
      <c r="BI374" s="49">
        <f t="shared" ca="1" si="124"/>
        <v>0</v>
      </c>
      <c r="BJ374" s="49">
        <f t="shared" ca="1" si="124"/>
        <v>0</v>
      </c>
      <c r="BK374" s="49">
        <f t="shared" ca="1" si="124"/>
        <v>0</v>
      </c>
      <c r="BL374" s="49">
        <f t="shared" ca="1" si="124"/>
        <v>0</v>
      </c>
      <c r="BM374" s="49">
        <f t="shared" ca="1" si="124"/>
        <v>0</v>
      </c>
      <c r="BN374" s="49">
        <f t="shared" ca="1" si="124"/>
        <v>0</v>
      </c>
      <c r="BO374" s="49">
        <f t="shared" ca="1" si="124"/>
        <v>0</v>
      </c>
      <c r="BP374" s="49">
        <f t="shared" ca="1" si="124"/>
        <v>0</v>
      </c>
      <c r="BQ374" s="49">
        <f t="shared" ca="1" si="124"/>
        <v>0</v>
      </c>
      <c r="BR374" s="49">
        <f t="shared" ca="1" si="124"/>
        <v>0</v>
      </c>
      <c r="BS374" s="49">
        <f t="shared" ca="1" si="124"/>
        <v>0</v>
      </c>
    </row>
    <row r="375" spans="3:71" outlineLevel="1" x14ac:dyDescent="0.2">
      <c r="D375" s="50" t="str">
        <f>HM_ZD_Moho!D397</f>
        <v>Coûts portés pour la période</v>
      </c>
      <c r="I375" s="30">
        <f t="shared" ref="I375:I376" ca="1" si="125">SUM($L375:$BS375)</f>
        <v>0</v>
      </c>
      <c r="J375" s="26" t="s">
        <v>148</v>
      </c>
      <c r="L375" s="49">
        <f ca="1">L368</f>
        <v>0</v>
      </c>
      <c r="M375" s="49">
        <f t="shared" ref="M375:BS375" ca="1" si="126">M368</f>
        <v>0</v>
      </c>
      <c r="N375" s="49">
        <f t="shared" si="126"/>
        <v>0</v>
      </c>
      <c r="O375" s="49">
        <f t="shared" si="126"/>
        <v>0</v>
      </c>
      <c r="P375" s="49">
        <f t="shared" si="126"/>
        <v>0</v>
      </c>
      <c r="Q375" s="49">
        <f t="shared" si="126"/>
        <v>0</v>
      </c>
      <c r="R375" s="49">
        <f t="shared" si="126"/>
        <v>0</v>
      </c>
      <c r="S375" s="49">
        <f t="shared" si="126"/>
        <v>0</v>
      </c>
      <c r="T375" s="49">
        <f t="shared" si="126"/>
        <v>0</v>
      </c>
      <c r="U375" s="49">
        <f t="shared" si="126"/>
        <v>0</v>
      </c>
      <c r="V375" s="49">
        <f t="shared" si="126"/>
        <v>0</v>
      </c>
      <c r="W375" s="49">
        <f t="shared" si="126"/>
        <v>0</v>
      </c>
      <c r="X375" s="49">
        <f t="shared" si="126"/>
        <v>0</v>
      </c>
      <c r="Y375" s="49">
        <f t="shared" si="126"/>
        <v>0</v>
      </c>
      <c r="Z375" s="49">
        <f t="shared" si="126"/>
        <v>0</v>
      </c>
      <c r="AA375" s="49">
        <f t="shared" si="126"/>
        <v>0</v>
      </c>
      <c r="AB375" s="49">
        <f t="shared" si="126"/>
        <v>0</v>
      </c>
      <c r="AC375" s="49">
        <f t="shared" si="126"/>
        <v>0</v>
      </c>
      <c r="AD375" s="49">
        <f t="shared" si="126"/>
        <v>0</v>
      </c>
      <c r="AE375" s="49">
        <f t="shared" si="126"/>
        <v>0</v>
      </c>
      <c r="AF375" s="49">
        <f t="shared" si="126"/>
        <v>0</v>
      </c>
      <c r="AG375" s="49">
        <f t="shared" si="126"/>
        <v>0</v>
      </c>
      <c r="AH375" s="49">
        <f t="shared" si="126"/>
        <v>0</v>
      </c>
      <c r="AI375" s="49">
        <f t="shared" si="126"/>
        <v>0</v>
      </c>
      <c r="AJ375" s="49">
        <f t="shared" si="126"/>
        <v>0</v>
      </c>
      <c r="AK375" s="49">
        <f t="shared" si="126"/>
        <v>0</v>
      </c>
      <c r="AL375" s="49">
        <f t="shared" si="126"/>
        <v>0</v>
      </c>
      <c r="AM375" s="49">
        <f t="shared" si="126"/>
        <v>0</v>
      </c>
      <c r="AN375" s="49">
        <f t="shared" si="126"/>
        <v>0</v>
      </c>
      <c r="AO375" s="49">
        <f t="shared" si="126"/>
        <v>0</v>
      </c>
      <c r="AP375" s="49">
        <f t="shared" si="126"/>
        <v>0</v>
      </c>
      <c r="AQ375" s="49">
        <f t="shared" si="126"/>
        <v>0</v>
      </c>
      <c r="AR375" s="49">
        <f t="shared" si="126"/>
        <v>0</v>
      </c>
      <c r="AS375" s="49">
        <f t="shared" si="126"/>
        <v>0</v>
      </c>
      <c r="AT375" s="49">
        <f t="shared" si="126"/>
        <v>0</v>
      </c>
      <c r="AU375" s="49">
        <f t="shared" si="126"/>
        <v>0</v>
      </c>
      <c r="AV375" s="49">
        <f t="shared" si="126"/>
        <v>0</v>
      </c>
      <c r="AW375" s="49">
        <f t="shared" si="126"/>
        <v>0</v>
      </c>
      <c r="AX375" s="49">
        <f t="shared" si="126"/>
        <v>0</v>
      </c>
      <c r="AY375" s="49">
        <f t="shared" si="126"/>
        <v>0</v>
      </c>
      <c r="AZ375" s="49">
        <f t="shared" si="126"/>
        <v>0</v>
      </c>
      <c r="BA375" s="49">
        <f t="shared" si="126"/>
        <v>0</v>
      </c>
      <c r="BB375" s="49">
        <f t="shared" si="126"/>
        <v>0</v>
      </c>
      <c r="BC375" s="49">
        <f t="shared" si="126"/>
        <v>0</v>
      </c>
      <c r="BD375" s="49">
        <f t="shared" si="126"/>
        <v>0</v>
      </c>
      <c r="BE375" s="49">
        <f t="shared" si="126"/>
        <v>0</v>
      </c>
      <c r="BF375" s="49">
        <f t="shared" si="126"/>
        <v>0</v>
      </c>
      <c r="BG375" s="49">
        <f t="shared" si="126"/>
        <v>0</v>
      </c>
      <c r="BH375" s="49">
        <f t="shared" si="126"/>
        <v>0</v>
      </c>
      <c r="BI375" s="49">
        <f t="shared" si="126"/>
        <v>0</v>
      </c>
      <c r="BJ375" s="49">
        <f t="shared" si="126"/>
        <v>0</v>
      </c>
      <c r="BK375" s="49">
        <f t="shared" si="126"/>
        <v>0</v>
      </c>
      <c r="BL375" s="49">
        <f t="shared" si="126"/>
        <v>0</v>
      </c>
      <c r="BM375" s="49">
        <f t="shared" si="126"/>
        <v>0</v>
      </c>
      <c r="BN375" s="49">
        <f t="shared" si="126"/>
        <v>0</v>
      </c>
      <c r="BO375" s="49">
        <f t="shared" si="126"/>
        <v>0</v>
      </c>
      <c r="BP375" s="49">
        <f t="shared" si="126"/>
        <v>0</v>
      </c>
      <c r="BQ375" s="49">
        <f t="shared" si="126"/>
        <v>0</v>
      </c>
      <c r="BR375" s="49">
        <f t="shared" si="126"/>
        <v>0</v>
      </c>
      <c r="BS375" s="49">
        <f t="shared" si="126"/>
        <v>0</v>
      </c>
    </row>
    <row r="376" spans="3:71" outlineLevel="1" x14ac:dyDescent="0.2">
      <c r="D376" s="50" t="str">
        <f>HM_ZD_Moho!D398</f>
        <v>Remboursement du portage</v>
      </c>
      <c r="I376" s="30">
        <f t="shared" ca="1" si="125"/>
        <v>0</v>
      </c>
      <c r="J376" s="26" t="s">
        <v>148</v>
      </c>
      <c r="L376" s="49">
        <f ca="1">-MIN(SUM(L374:L375),SUM(L$342,L$347)*HM_ZD_AM3_2005!NOC_rpmt_max_perc)*HM_ZD_AM3_2005!NOC_CI_expex_rpmt</f>
        <v>0</v>
      </c>
      <c r="M376" s="49">
        <f ca="1">-MIN(SUM(M374:M375),SUM(M$342,M$347)*HM_ZD_AM3_2005!NOC_rpmt_max_perc)*HM_ZD_AM3_2005!NOC_CI_expex_rpmt</f>
        <v>0</v>
      </c>
      <c r="N376" s="49">
        <f ca="1">-MIN(SUM(N374:N375),SUM(N$342,N$347)*HM_ZD_AM3_2005!NOC_rpmt_max_perc)*HM_ZD_AM3_2005!NOC_CI_expex_rpmt</f>
        <v>0</v>
      </c>
      <c r="O376" s="49">
        <f ca="1">-MIN(SUM(O374:O375),SUM(O$342,O$347)*HM_ZD_AM3_2005!NOC_rpmt_max_perc)*HM_ZD_AM3_2005!NOC_CI_expex_rpmt</f>
        <v>0</v>
      </c>
      <c r="P376" s="49">
        <f ca="1">-MIN(SUM(P374:P375),SUM(P$342,P$347)*HM_ZD_AM3_2005!NOC_rpmt_max_perc)*HM_ZD_AM3_2005!NOC_CI_expex_rpmt</f>
        <v>0</v>
      </c>
      <c r="Q376" s="49">
        <f ca="1">-MIN(SUM(Q374:Q375),SUM(Q$342,Q$347)*HM_ZD_AM3_2005!NOC_rpmt_max_perc)*HM_ZD_AM3_2005!NOC_CI_expex_rpmt</f>
        <v>0</v>
      </c>
      <c r="R376" s="49">
        <f ca="1">-MIN(SUM(R374:R375),SUM(R$342,R$347)*HM_ZD_AM3_2005!NOC_rpmt_max_perc)*HM_ZD_AM3_2005!NOC_CI_expex_rpmt</f>
        <v>0</v>
      </c>
      <c r="S376" s="49">
        <f ca="1">-MIN(SUM(S374:S375),SUM(S$342,S$347)*HM_ZD_AM3_2005!NOC_rpmt_max_perc)*HM_ZD_AM3_2005!NOC_CI_expex_rpmt</f>
        <v>0</v>
      </c>
      <c r="T376" s="49">
        <f ca="1">-MIN(SUM(T374:T375),SUM(T$342,T$347)*HM_ZD_AM3_2005!NOC_rpmt_max_perc)*HM_ZD_AM3_2005!NOC_CI_expex_rpmt</f>
        <v>0</v>
      </c>
      <c r="U376" s="49">
        <f ca="1">-MIN(SUM(U374:U375),SUM(U$342,U$347)*HM_ZD_AM3_2005!NOC_rpmt_max_perc)*HM_ZD_AM3_2005!NOC_CI_expex_rpmt</f>
        <v>0</v>
      </c>
      <c r="V376" s="49">
        <f ca="1">-MIN(SUM(V374:V375),SUM(V$342,V$347)*HM_ZD_AM3_2005!NOC_rpmt_max_perc)*HM_ZD_AM3_2005!NOC_CI_expex_rpmt</f>
        <v>0</v>
      </c>
      <c r="W376" s="49">
        <f ca="1">-MIN(SUM(W374:W375),SUM(W$342,W$347)*HM_ZD_AM3_2005!NOC_rpmt_max_perc)*HM_ZD_AM3_2005!NOC_CI_expex_rpmt</f>
        <v>0</v>
      </c>
      <c r="X376" s="49">
        <f ca="1">-MIN(SUM(X374:X375),SUM(X$342,X$347)*HM_ZD_AM3_2005!NOC_rpmt_max_perc)*HM_ZD_AM3_2005!NOC_CI_expex_rpmt</f>
        <v>0</v>
      </c>
      <c r="Y376" s="49">
        <f ca="1">-MIN(SUM(Y374:Y375),SUM(Y$342,Y$347)*HM_ZD_AM3_2005!NOC_rpmt_max_perc)*HM_ZD_AM3_2005!NOC_CI_expex_rpmt</f>
        <v>0</v>
      </c>
      <c r="Z376" s="49">
        <f ca="1">-MIN(SUM(Z374:Z375),SUM(Z$342,Z$347)*HM_ZD_AM3_2005!NOC_rpmt_max_perc)*HM_ZD_AM3_2005!NOC_CI_expex_rpmt</f>
        <v>0</v>
      </c>
      <c r="AA376" s="49">
        <f ca="1">-MIN(SUM(AA374:AA375),SUM(AA$342,AA$347)*HM_ZD_AM3_2005!NOC_rpmt_max_perc)*HM_ZD_AM3_2005!NOC_CI_expex_rpmt</f>
        <v>0</v>
      </c>
      <c r="AB376" s="49">
        <f ca="1">-MIN(SUM(AB374:AB375),SUM(AB$342,AB$347)*HM_ZD_AM3_2005!NOC_rpmt_max_perc)*HM_ZD_AM3_2005!NOC_CI_expex_rpmt</f>
        <v>0</v>
      </c>
      <c r="AC376" s="49">
        <f ca="1">-MIN(SUM(AC374:AC375),SUM(AC$342,AC$347)*HM_ZD_AM3_2005!NOC_rpmt_max_perc)*HM_ZD_AM3_2005!NOC_CI_expex_rpmt</f>
        <v>0</v>
      </c>
      <c r="AD376" s="49">
        <f ca="1">-MIN(SUM(AD374:AD375),SUM(AD$342,AD$347)*HM_ZD_AM3_2005!NOC_rpmt_max_perc)*HM_ZD_AM3_2005!NOC_CI_expex_rpmt</f>
        <v>0</v>
      </c>
      <c r="AE376" s="49">
        <f ca="1">-MIN(SUM(AE374:AE375),SUM(AE$342,AE$347)*HM_ZD_AM3_2005!NOC_rpmt_max_perc)*HM_ZD_AM3_2005!NOC_CI_expex_rpmt</f>
        <v>0</v>
      </c>
      <c r="AF376" s="49">
        <f ca="1">-MIN(SUM(AF374:AF375),SUM(AF$342,AF$347)*HM_ZD_AM3_2005!NOC_rpmt_max_perc)*HM_ZD_AM3_2005!NOC_CI_expex_rpmt</f>
        <v>0</v>
      </c>
      <c r="AG376" s="49">
        <f ca="1">-MIN(SUM(AG374:AG375),SUM(AG$342,AG$347)*HM_ZD_AM3_2005!NOC_rpmt_max_perc)*HM_ZD_AM3_2005!NOC_CI_expex_rpmt</f>
        <v>0</v>
      </c>
      <c r="AH376" s="49">
        <f ca="1">-MIN(SUM(AH374:AH375),SUM(AH$342,AH$347)*HM_ZD_AM3_2005!NOC_rpmt_max_perc)*HM_ZD_AM3_2005!NOC_CI_expex_rpmt</f>
        <v>0</v>
      </c>
      <c r="AI376" s="49">
        <f ca="1">-MIN(SUM(AI374:AI375),SUM(AI$342,AI$347)*HM_ZD_AM3_2005!NOC_rpmt_max_perc)*HM_ZD_AM3_2005!NOC_CI_expex_rpmt</f>
        <v>0</v>
      </c>
      <c r="AJ376" s="49">
        <f ca="1">-MIN(SUM(AJ374:AJ375),SUM(AJ$342,AJ$347)*HM_ZD_AM3_2005!NOC_rpmt_max_perc)*HM_ZD_AM3_2005!NOC_CI_expex_rpmt</f>
        <v>0</v>
      </c>
      <c r="AK376" s="49">
        <f ca="1">-MIN(SUM(AK374:AK375),SUM(AK$342,AK$347)*HM_ZD_AM3_2005!NOC_rpmt_max_perc)*HM_ZD_AM3_2005!NOC_CI_expex_rpmt</f>
        <v>0</v>
      </c>
      <c r="AL376" s="49">
        <f ca="1">-MIN(SUM(AL374:AL375),SUM(AL$342,AL$347)*HM_ZD_AM3_2005!NOC_rpmt_max_perc)*HM_ZD_AM3_2005!NOC_CI_expex_rpmt</f>
        <v>0</v>
      </c>
      <c r="AM376" s="49">
        <f ca="1">-MIN(SUM(AM374:AM375),SUM(AM$342,AM$347)*HM_ZD_AM3_2005!NOC_rpmt_max_perc)*HM_ZD_AM3_2005!NOC_CI_expex_rpmt</f>
        <v>0</v>
      </c>
      <c r="AN376" s="49">
        <f ca="1">-MIN(SUM(AN374:AN375),SUM(AN$342,AN$347)*HM_ZD_AM3_2005!NOC_rpmt_max_perc)*HM_ZD_AM3_2005!NOC_CI_expex_rpmt</f>
        <v>0</v>
      </c>
      <c r="AO376" s="49">
        <f ca="1">-MIN(SUM(AO374:AO375),SUM(AO$342,AO$347)*HM_ZD_AM3_2005!NOC_rpmt_max_perc)*HM_ZD_AM3_2005!NOC_CI_expex_rpmt</f>
        <v>0</v>
      </c>
      <c r="AP376" s="49">
        <f ca="1">-MIN(SUM(AP374:AP375),SUM(AP$342,AP$347)*HM_ZD_AM3_2005!NOC_rpmt_max_perc)*HM_ZD_AM3_2005!NOC_CI_expex_rpmt</f>
        <v>0</v>
      </c>
      <c r="AQ376" s="49">
        <f ca="1">-MIN(SUM(AQ374:AQ375),SUM(AQ$342,AQ$347)*HM_ZD_AM3_2005!NOC_rpmt_max_perc)*HM_ZD_AM3_2005!NOC_CI_expex_rpmt</f>
        <v>0</v>
      </c>
      <c r="AR376" s="49">
        <f ca="1">-MIN(SUM(AR374:AR375),SUM(AR$342,AR$347)*HM_ZD_AM3_2005!NOC_rpmt_max_perc)*HM_ZD_AM3_2005!NOC_CI_expex_rpmt</f>
        <v>0</v>
      </c>
      <c r="AS376" s="49">
        <f ca="1">-MIN(SUM(AS374:AS375),SUM(AS$342,AS$347)*HM_ZD_AM3_2005!NOC_rpmt_max_perc)*HM_ZD_AM3_2005!NOC_CI_expex_rpmt</f>
        <v>0</v>
      </c>
      <c r="AT376" s="49">
        <f ca="1">-MIN(SUM(AT374:AT375),SUM(AT$342,AT$347)*HM_ZD_AM3_2005!NOC_rpmt_max_perc)*HM_ZD_AM3_2005!NOC_CI_expex_rpmt</f>
        <v>0</v>
      </c>
      <c r="AU376" s="49">
        <f ca="1">-MIN(SUM(AU374:AU375),SUM(AU$342,AU$347)*HM_ZD_AM3_2005!NOC_rpmt_max_perc)*HM_ZD_AM3_2005!NOC_CI_expex_rpmt</f>
        <v>0</v>
      </c>
      <c r="AV376" s="49">
        <f ca="1">-MIN(SUM(AV374:AV375),SUM(AV$342,AV$347)*HM_ZD_AM3_2005!NOC_rpmt_max_perc)*HM_ZD_AM3_2005!NOC_CI_expex_rpmt</f>
        <v>0</v>
      </c>
      <c r="AW376" s="49">
        <f ca="1">-MIN(SUM(AW374:AW375),SUM(AW$342,AW$347)*HM_ZD_AM3_2005!NOC_rpmt_max_perc)*HM_ZD_AM3_2005!NOC_CI_expex_rpmt</f>
        <v>0</v>
      </c>
      <c r="AX376" s="49">
        <f ca="1">-MIN(SUM(AX374:AX375),SUM(AX$342,AX$347)*HM_ZD_AM3_2005!NOC_rpmt_max_perc)*HM_ZD_AM3_2005!NOC_CI_expex_rpmt</f>
        <v>0</v>
      </c>
      <c r="AY376" s="49">
        <f ca="1">-MIN(SUM(AY374:AY375),SUM(AY$342,AY$347)*HM_ZD_AM3_2005!NOC_rpmt_max_perc)*HM_ZD_AM3_2005!NOC_CI_expex_rpmt</f>
        <v>0</v>
      </c>
      <c r="AZ376" s="49">
        <f ca="1">-MIN(SUM(AZ374:AZ375),SUM(AZ$342,AZ$347)*HM_ZD_AM3_2005!NOC_rpmt_max_perc)*HM_ZD_AM3_2005!NOC_CI_expex_rpmt</f>
        <v>0</v>
      </c>
      <c r="BA376" s="49">
        <f ca="1">-MIN(SUM(BA374:BA375),SUM(BA$342,BA$347)*HM_ZD_AM3_2005!NOC_rpmt_max_perc)*HM_ZD_AM3_2005!NOC_CI_expex_rpmt</f>
        <v>0</v>
      </c>
      <c r="BB376" s="49">
        <f ca="1">-MIN(SUM(BB374:BB375),SUM(BB$342,BB$347)*HM_ZD_AM3_2005!NOC_rpmt_max_perc)*HM_ZD_AM3_2005!NOC_CI_expex_rpmt</f>
        <v>0</v>
      </c>
      <c r="BC376" s="49">
        <f ca="1">-MIN(SUM(BC374:BC375),SUM(BC$342,BC$347)*HM_ZD_AM3_2005!NOC_rpmt_max_perc)*HM_ZD_AM3_2005!NOC_CI_expex_rpmt</f>
        <v>0</v>
      </c>
      <c r="BD376" s="49">
        <f ca="1">-MIN(SUM(BD374:BD375),SUM(BD$342,BD$347)*HM_ZD_AM3_2005!NOC_rpmt_max_perc)*HM_ZD_AM3_2005!NOC_CI_expex_rpmt</f>
        <v>0</v>
      </c>
      <c r="BE376" s="49">
        <f ca="1">-MIN(SUM(BE374:BE375),SUM(BE$342,BE$347)*HM_ZD_AM3_2005!NOC_rpmt_max_perc)*HM_ZD_AM3_2005!NOC_CI_expex_rpmt</f>
        <v>0</v>
      </c>
      <c r="BF376" s="49">
        <f ca="1">-MIN(SUM(BF374:BF375),SUM(BF$342,BF$347)*HM_ZD_AM3_2005!NOC_rpmt_max_perc)*HM_ZD_AM3_2005!NOC_CI_expex_rpmt</f>
        <v>0</v>
      </c>
      <c r="BG376" s="49">
        <f ca="1">-MIN(SUM(BG374:BG375),SUM(BG$342,BG$347)*HM_ZD_AM3_2005!NOC_rpmt_max_perc)*HM_ZD_AM3_2005!NOC_CI_expex_rpmt</f>
        <v>0</v>
      </c>
      <c r="BH376" s="49">
        <f ca="1">-MIN(SUM(BH374:BH375),SUM(BH$342,BH$347)*HM_ZD_AM3_2005!NOC_rpmt_max_perc)*HM_ZD_AM3_2005!NOC_CI_expex_rpmt</f>
        <v>0</v>
      </c>
      <c r="BI376" s="49">
        <f ca="1">-MIN(SUM(BI374:BI375),SUM(BI$342,BI$347)*HM_ZD_AM3_2005!NOC_rpmt_max_perc)*HM_ZD_AM3_2005!NOC_CI_expex_rpmt</f>
        <v>0</v>
      </c>
      <c r="BJ376" s="49">
        <f ca="1">-MIN(SUM(BJ374:BJ375),SUM(BJ$342,BJ$347)*HM_ZD_AM3_2005!NOC_rpmt_max_perc)*HM_ZD_AM3_2005!NOC_CI_expex_rpmt</f>
        <v>0</v>
      </c>
      <c r="BK376" s="49">
        <f ca="1">-MIN(SUM(BK374:BK375),SUM(BK$342,BK$347)*HM_ZD_AM3_2005!NOC_rpmt_max_perc)*HM_ZD_AM3_2005!NOC_CI_expex_rpmt</f>
        <v>0</v>
      </c>
      <c r="BL376" s="49">
        <f ca="1">-MIN(SUM(BL374:BL375),SUM(BL$342,BL$347)*HM_ZD_AM3_2005!NOC_rpmt_max_perc)*HM_ZD_AM3_2005!NOC_CI_expex_rpmt</f>
        <v>0</v>
      </c>
      <c r="BM376" s="49">
        <f ca="1">-MIN(SUM(BM374:BM375),SUM(BM$342,BM$347)*HM_ZD_AM3_2005!NOC_rpmt_max_perc)*HM_ZD_AM3_2005!NOC_CI_expex_rpmt</f>
        <v>0</v>
      </c>
      <c r="BN376" s="49">
        <f ca="1">-MIN(SUM(BN374:BN375),SUM(BN$342,BN$347)*HM_ZD_AM3_2005!NOC_rpmt_max_perc)*HM_ZD_AM3_2005!NOC_CI_expex_rpmt</f>
        <v>0</v>
      </c>
      <c r="BO376" s="49">
        <f ca="1">-MIN(SUM(BO374:BO375),SUM(BO$342,BO$347)*HM_ZD_AM3_2005!NOC_rpmt_max_perc)*HM_ZD_AM3_2005!NOC_CI_expex_rpmt</f>
        <v>0</v>
      </c>
      <c r="BP376" s="49">
        <f ca="1">-MIN(SUM(BP374:BP375),SUM(BP$342,BP$347)*HM_ZD_AM3_2005!NOC_rpmt_max_perc)*HM_ZD_AM3_2005!NOC_CI_expex_rpmt</f>
        <v>0</v>
      </c>
      <c r="BQ376" s="49">
        <f ca="1">-MIN(SUM(BQ374:BQ375),SUM(BQ$342,BQ$347)*HM_ZD_AM3_2005!NOC_rpmt_max_perc)*HM_ZD_AM3_2005!NOC_CI_expex_rpmt</f>
        <v>0</v>
      </c>
      <c r="BR376" s="49">
        <f ca="1">-MIN(SUM(BR374:BR375),SUM(BR$342,BR$347)*HM_ZD_AM3_2005!NOC_rpmt_max_perc)*HM_ZD_AM3_2005!NOC_CI_expex_rpmt</f>
        <v>0</v>
      </c>
      <c r="BS376" s="49">
        <f ca="1">-MIN(SUM(BS374:BS375),SUM(BS$342,BS$347)*HM_ZD_AM3_2005!NOC_rpmt_max_perc)*HM_ZD_AM3_2005!NOC_CI_expex_rpmt</f>
        <v>0</v>
      </c>
    </row>
    <row r="377" spans="3:71" outlineLevel="1" x14ac:dyDescent="0.2">
      <c r="D377" t="str">
        <f>HM_ZD_Moho!D399</f>
        <v>Coûts de portage Solde de clôture</v>
      </c>
      <c r="J377" s="26"/>
      <c r="L377" s="49">
        <f ca="1">SUM(L374:L376)</f>
        <v>0</v>
      </c>
      <c r="M377" s="49">
        <f t="shared" ref="M377:BS377" ca="1" si="127">SUM(M374:M376)</f>
        <v>0</v>
      </c>
      <c r="N377" s="49">
        <f t="shared" ca="1" si="127"/>
        <v>0</v>
      </c>
      <c r="O377" s="49">
        <f t="shared" ca="1" si="127"/>
        <v>0</v>
      </c>
      <c r="P377" s="49">
        <f t="shared" ca="1" si="127"/>
        <v>0</v>
      </c>
      <c r="Q377" s="49">
        <f t="shared" ca="1" si="127"/>
        <v>0</v>
      </c>
      <c r="R377" s="49">
        <f t="shared" ca="1" si="127"/>
        <v>0</v>
      </c>
      <c r="S377" s="49">
        <f t="shared" ca="1" si="127"/>
        <v>0</v>
      </c>
      <c r="T377" s="49">
        <f t="shared" ca="1" si="127"/>
        <v>0</v>
      </c>
      <c r="U377" s="49">
        <f t="shared" ca="1" si="127"/>
        <v>0</v>
      </c>
      <c r="V377" s="49">
        <f t="shared" ca="1" si="127"/>
        <v>0</v>
      </c>
      <c r="W377" s="49">
        <f t="shared" ca="1" si="127"/>
        <v>0</v>
      </c>
      <c r="X377" s="49">
        <f t="shared" ca="1" si="127"/>
        <v>0</v>
      </c>
      <c r="Y377" s="49">
        <f t="shared" ca="1" si="127"/>
        <v>0</v>
      </c>
      <c r="Z377" s="49">
        <f t="shared" ca="1" si="127"/>
        <v>0</v>
      </c>
      <c r="AA377" s="49">
        <f t="shared" ca="1" si="127"/>
        <v>0</v>
      </c>
      <c r="AB377" s="49">
        <f t="shared" ca="1" si="127"/>
        <v>0</v>
      </c>
      <c r="AC377" s="49">
        <f t="shared" ca="1" si="127"/>
        <v>0</v>
      </c>
      <c r="AD377" s="49">
        <f t="shared" ca="1" si="127"/>
        <v>0</v>
      </c>
      <c r="AE377" s="49">
        <f t="shared" ca="1" si="127"/>
        <v>0</v>
      </c>
      <c r="AF377" s="49">
        <f t="shared" ca="1" si="127"/>
        <v>0</v>
      </c>
      <c r="AG377" s="49">
        <f t="shared" ca="1" si="127"/>
        <v>0</v>
      </c>
      <c r="AH377" s="49">
        <f t="shared" ca="1" si="127"/>
        <v>0</v>
      </c>
      <c r="AI377" s="49">
        <f t="shared" ca="1" si="127"/>
        <v>0</v>
      </c>
      <c r="AJ377" s="49">
        <f t="shared" ca="1" si="127"/>
        <v>0</v>
      </c>
      <c r="AK377" s="49">
        <f t="shared" ca="1" si="127"/>
        <v>0</v>
      </c>
      <c r="AL377" s="49">
        <f t="shared" ca="1" si="127"/>
        <v>0</v>
      </c>
      <c r="AM377" s="49">
        <f t="shared" ca="1" si="127"/>
        <v>0</v>
      </c>
      <c r="AN377" s="49">
        <f t="shared" ca="1" si="127"/>
        <v>0</v>
      </c>
      <c r="AO377" s="49">
        <f t="shared" ca="1" si="127"/>
        <v>0</v>
      </c>
      <c r="AP377" s="49">
        <f t="shared" ca="1" si="127"/>
        <v>0</v>
      </c>
      <c r="AQ377" s="49">
        <f t="shared" ca="1" si="127"/>
        <v>0</v>
      </c>
      <c r="AR377" s="49">
        <f t="shared" ca="1" si="127"/>
        <v>0</v>
      </c>
      <c r="AS377" s="49">
        <f t="shared" ca="1" si="127"/>
        <v>0</v>
      </c>
      <c r="AT377" s="49">
        <f t="shared" ca="1" si="127"/>
        <v>0</v>
      </c>
      <c r="AU377" s="49">
        <f t="shared" ca="1" si="127"/>
        <v>0</v>
      </c>
      <c r="AV377" s="49">
        <f t="shared" ca="1" si="127"/>
        <v>0</v>
      </c>
      <c r="AW377" s="49">
        <f t="shared" ca="1" si="127"/>
        <v>0</v>
      </c>
      <c r="AX377" s="49">
        <f t="shared" ca="1" si="127"/>
        <v>0</v>
      </c>
      <c r="AY377" s="49">
        <f t="shared" ca="1" si="127"/>
        <v>0</v>
      </c>
      <c r="AZ377" s="49">
        <f t="shared" ca="1" si="127"/>
        <v>0</v>
      </c>
      <c r="BA377" s="49">
        <f t="shared" ca="1" si="127"/>
        <v>0</v>
      </c>
      <c r="BB377" s="49">
        <f t="shared" ca="1" si="127"/>
        <v>0</v>
      </c>
      <c r="BC377" s="49">
        <f t="shared" ca="1" si="127"/>
        <v>0</v>
      </c>
      <c r="BD377" s="49">
        <f t="shared" ca="1" si="127"/>
        <v>0</v>
      </c>
      <c r="BE377" s="49">
        <f t="shared" ca="1" si="127"/>
        <v>0</v>
      </c>
      <c r="BF377" s="49">
        <f t="shared" ca="1" si="127"/>
        <v>0</v>
      </c>
      <c r="BG377" s="49">
        <f t="shared" ca="1" si="127"/>
        <v>0</v>
      </c>
      <c r="BH377" s="49">
        <f t="shared" ca="1" si="127"/>
        <v>0</v>
      </c>
      <c r="BI377" s="49">
        <f t="shared" ca="1" si="127"/>
        <v>0</v>
      </c>
      <c r="BJ377" s="49">
        <f t="shared" ca="1" si="127"/>
        <v>0</v>
      </c>
      <c r="BK377" s="49">
        <f t="shared" ca="1" si="127"/>
        <v>0</v>
      </c>
      <c r="BL377" s="49">
        <f t="shared" ca="1" si="127"/>
        <v>0</v>
      </c>
      <c r="BM377" s="49">
        <f t="shared" ca="1" si="127"/>
        <v>0</v>
      </c>
      <c r="BN377" s="49">
        <f t="shared" ca="1" si="127"/>
        <v>0</v>
      </c>
      <c r="BO377" s="49">
        <f t="shared" ca="1" si="127"/>
        <v>0</v>
      </c>
      <c r="BP377" s="49">
        <f t="shared" ca="1" si="127"/>
        <v>0</v>
      </c>
      <c r="BQ377" s="49">
        <f t="shared" ca="1" si="127"/>
        <v>0</v>
      </c>
      <c r="BR377" s="49">
        <f t="shared" ca="1" si="127"/>
        <v>0</v>
      </c>
      <c r="BS377" s="49">
        <f t="shared" ca="1" si="127"/>
        <v>0</v>
      </c>
    </row>
    <row r="378" spans="3:71" outlineLevel="1" x14ac:dyDescent="0.2">
      <c r="J378" s="26"/>
      <c r="L378" s="55"/>
      <c r="M378" s="55"/>
      <c r="N378" s="55"/>
      <c r="O378" s="55"/>
      <c r="P378" s="55"/>
      <c r="Q378" s="55"/>
      <c r="R378" s="55"/>
      <c r="S378" s="55"/>
      <c r="T378" s="55"/>
      <c r="U378" s="55"/>
      <c r="V378" s="55"/>
      <c r="W378" s="55"/>
      <c r="X378" s="55"/>
      <c r="Y378" s="55"/>
      <c r="Z378" s="55"/>
      <c r="AA378" s="55"/>
      <c r="AB378" s="55"/>
      <c r="AC378" s="55"/>
      <c r="AD378" s="55"/>
      <c r="AE378" s="55"/>
      <c r="AF378" s="55"/>
      <c r="AG378" s="55"/>
      <c r="AH378" s="55"/>
      <c r="AI378" s="55"/>
      <c r="AJ378" s="55"/>
      <c r="AK378" s="55"/>
      <c r="AL378" s="55"/>
      <c r="AM378" s="55"/>
      <c r="AN378" s="55"/>
      <c r="AO378" s="55"/>
      <c r="AP378" s="55"/>
      <c r="AQ378" s="55"/>
      <c r="AR378" s="55"/>
      <c r="AS378" s="55"/>
      <c r="AT378" s="55"/>
      <c r="AU378" s="55"/>
      <c r="AV378" s="55"/>
      <c r="AW378" s="55"/>
      <c r="AX378" s="55"/>
      <c r="AY378" s="55"/>
      <c r="AZ378" s="55"/>
      <c r="BA378" s="55"/>
      <c r="BB378" s="55"/>
      <c r="BC378" s="55"/>
      <c r="BD378" s="55"/>
      <c r="BE378" s="55"/>
      <c r="BF378" s="55"/>
      <c r="BG378" s="55"/>
      <c r="BH378" s="55"/>
      <c r="BI378" s="55"/>
      <c r="BJ378" s="55"/>
      <c r="BK378" s="55"/>
      <c r="BL378" s="55"/>
      <c r="BM378" s="55"/>
      <c r="BN378" s="55"/>
      <c r="BO378" s="55"/>
      <c r="BP378" s="55"/>
      <c r="BQ378" s="55"/>
      <c r="BR378" s="55"/>
      <c r="BS378" s="55"/>
    </row>
    <row r="379" spans="3:71" outlineLevel="1" x14ac:dyDescent="0.2">
      <c r="C379" s="11" t="str">
        <f>HM_ZD_Moho!C401</f>
        <v>Remboursement du portage Compagnie nationale - Capex</v>
      </c>
      <c r="J379" s="26"/>
      <c r="L379" s="55"/>
      <c r="M379" s="55"/>
      <c r="N379" s="55"/>
      <c r="O379" s="55"/>
      <c r="P379" s="55"/>
      <c r="Q379" s="55"/>
      <c r="R379" s="55"/>
      <c r="S379" s="55"/>
      <c r="T379" s="55"/>
      <c r="U379" s="55"/>
      <c r="V379" s="55"/>
      <c r="W379" s="55"/>
      <c r="X379" s="55"/>
      <c r="Y379" s="55"/>
      <c r="Z379" s="55"/>
      <c r="AA379" s="55"/>
      <c r="AB379" s="55"/>
      <c r="AC379" s="55"/>
      <c r="AD379" s="55"/>
      <c r="AE379" s="55"/>
      <c r="AF379" s="55"/>
      <c r="AG379" s="55"/>
      <c r="AH379" s="55"/>
      <c r="AI379" s="55"/>
      <c r="AJ379" s="55"/>
      <c r="AK379" s="55"/>
      <c r="AL379" s="55"/>
      <c r="AM379" s="55"/>
      <c r="AN379" s="55"/>
      <c r="AO379" s="55"/>
      <c r="AP379" s="55"/>
      <c r="AQ379" s="55"/>
      <c r="AR379" s="55"/>
      <c r="AS379" s="55"/>
      <c r="AT379" s="55"/>
      <c r="AU379" s="55"/>
      <c r="AV379" s="55"/>
      <c r="AW379" s="55"/>
      <c r="AX379" s="55"/>
      <c r="AY379" s="55"/>
      <c r="AZ379" s="55"/>
      <c r="BA379" s="55"/>
      <c r="BB379" s="55"/>
      <c r="BC379" s="55"/>
      <c r="BD379" s="55"/>
      <c r="BE379" s="55"/>
      <c r="BF379" s="55"/>
      <c r="BG379" s="55"/>
      <c r="BH379" s="55"/>
      <c r="BI379" s="55"/>
      <c r="BJ379" s="55"/>
      <c r="BK379" s="55"/>
      <c r="BL379" s="55"/>
      <c r="BM379" s="55"/>
      <c r="BN379" s="55"/>
      <c r="BO379" s="55"/>
      <c r="BP379" s="55"/>
      <c r="BQ379" s="55"/>
      <c r="BR379" s="55"/>
      <c r="BS379" s="55"/>
    </row>
    <row r="380" spans="3:71" outlineLevel="1" x14ac:dyDescent="0.2">
      <c r="D380" t="str">
        <f>HM_ZD_Moho!D402</f>
        <v>Coûts portés Solde d'ouverture</v>
      </c>
      <c r="J380" s="26"/>
      <c r="L380" s="49">
        <f>K383</f>
        <v>0</v>
      </c>
      <c r="M380" s="49">
        <f t="shared" ref="M380:BS380" ca="1" si="128">L383</f>
        <v>115.30633617351387</v>
      </c>
      <c r="N380" s="49">
        <f t="shared" ca="1" si="128"/>
        <v>357.53432247905579</v>
      </c>
      <c r="O380" s="49">
        <f t="shared" ca="1" si="128"/>
        <v>357.53432247905579</v>
      </c>
      <c r="P380" s="49">
        <f t="shared" ca="1" si="128"/>
        <v>357.53432247905579</v>
      </c>
      <c r="Q380" s="49">
        <f t="shared" ca="1" si="128"/>
        <v>357.53432247905579</v>
      </c>
      <c r="R380" s="49">
        <f t="shared" ca="1" si="128"/>
        <v>357.53432247905579</v>
      </c>
      <c r="S380" s="49">
        <f t="shared" ca="1" si="128"/>
        <v>357.53432247905579</v>
      </c>
      <c r="T380" s="49">
        <f t="shared" ca="1" si="128"/>
        <v>357.53432247905579</v>
      </c>
      <c r="U380" s="49">
        <f t="shared" ca="1" si="128"/>
        <v>357.53432247905579</v>
      </c>
      <c r="V380" s="49">
        <f t="shared" ca="1" si="128"/>
        <v>357.53432247905579</v>
      </c>
      <c r="W380" s="49">
        <f t="shared" ca="1" si="128"/>
        <v>357.53432247905579</v>
      </c>
      <c r="X380" s="49">
        <f t="shared" ca="1" si="128"/>
        <v>357.53432247905579</v>
      </c>
      <c r="Y380" s="49">
        <f t="shared" ca="1" si="128"/>
        <v>357.53432247905579</v>
      </c>
      <c r="Z380" s="49">
        <f t="shared" ca="1" si="128"/>
        <v>357.53432247905579</v>
      </c>
      <c r="AA380" s="49">
        <f t="shared" ca="1" si="128"/>
        <v>357.53432247905579</v>
      </c>
      <c r="AB380" s="49">
        <f t="shared" ca="1" si="128"/>
        <v>357.53432247905579</v>
      </c>
      <c r="AC380" s="49">
        <f t="shared" ca="1" si="128"/>
        <v>357.53432247905579</v>
      </c>
      <c r="AD380" s="49">
        <f t="shared" ca="1" si="128"/>
        <v>357.53432247905579</v>
      </c>
      <c r="AE380" s="49">
        <f t="shared" ca="1" si="128"/>
        <v>357.53432247905579</v>
      </c>
      <c r="AF380" s="49">
        <f t="shared" ca="1" si="128"/>
        <v>357.53432247905579</v>
      </c>
      <c r="AG380" s="49">
        <f t="shared" ca="1" si="128"/>
        <v>357.53432247905579</v>
      </c>
      <c r="AH380" s="49">
        <f t="shared" ca="1" si="128"/>
        <v>357.53432247905579</v>
      </c>
      <c r="AI380" s="49">
        <f t="shared" ca="1" si="128"/>
        <v>357.53432247905579</v>
      </c>
      <c r="AJ380" s="49">
        <f t="shared" ca="1" si="128"/>
        <v>357.53432247905579</v>
      </c>
      <c r="AK380" s="49">
        <f t="shared" ca="1" si="128"/>
        <v>357.53432247905579</v>
      </c>
      <c r="AL380" s="49">
        <f t="shared" ca="1" si="128"/>
        <v>357.53432247905579</v>
      </c>
      <c r="AM380" s="49">
        <f t="shared" ca="1" si="128"/>
        <v>357.53432247905579</v>
      </c>
      <c r="AN380" s="49">
        <f t="shared" ca="1" si="128"/>
        <v>357.53432247905579</v>
      </c>
      <c r="AO380" s="49">
        <f t="shared" ca="1" si="128"/>
        <v>357.53432247905579</v>
      </c>
      <c r="AP380" s="49">
        <f t="shared" ca="1" si="128"/>
        <v>357.53432247905579</v>
      </c>
      <c r="AQ380" s="49">
        <f t="shared" ca="1" si="128"/>
        <v>357.53432247905579</v>
      </c>
      <c r="AR380" s="49">
        <f t="shared" ca="1" si="128"/>
        <v>357.53432247905579</v>
      </c>
      <c r="AS380" s="49">
        <f t="shared" ca="1" si="128"/>
        <v>357.53432247905579</v>
      </c>
      <c r="AT380" s="49">
        <f t="shared" ca="1" si="128"/>
        <v>357.53432247905579</v>
      </c>
      <c r="AU380" s="49">
        <f t="shared" ca="1" si="128"/>
        <v>357.53432247905579</v>
      </c>
      <c r="AV380" s="49">
        <f t="shared" ca="1" si="128"/>
        <v>357.53432247905579</v>
      </c>
      <c r="AW380" s="49">
        <f t="shared" ca="1" si="128"/>
        <v>357.53432247905579</v>
      </c>
      <c r="AX380" s="49">
        <f t="shared" ca="1" si="128"/>
        <v>357.53432247905579</v>
      </c>
      <c r="AY380" s="49">
        <f t="shared" ca="1" si="128"/>
        <v>357.53432247905579</v>
      </c>
      <c r="AZ380" s="49">
        <f t="shared" ca="1" si="128"/>
        <v>357.53432247905579</v>
      </c>
      <c r="BA380" s="49">
        <f t="shared" ca="1" si="128"/>
        <v>357.53432247905579</v>
      </c>
      <c r="BB380" s="49">
        <f t="shared" ca="1" si="128"/>
        <v>357.53432247905579</v>
      </c>
      <c r="BC380" s="49">
        <f t="shared" ca="1" si="128"/>
        <v>357.53432247905579</v>
      </c>
      <c r="BD380" s="49">
        <f t="shared" ca="1" si="128"/>
        <v>357.53432247905579</v>
      </c>
      <c r="BE380" s="49">
        <f t="shared" ca="1" si="128"/>
        <v>357.53432247905579</v>
      </c>
      <c r="BF380" s="49">
        <f t="shared" ca="1" si="128"/>
        <v>357.53432247905579</v>
      </c>
      <c r="BG380" s="49">
        <f t="shared" ca="1" si="128"/>
        <v>357.53432247905579</v>
      </c>
      <c r="BH380" s="49">
        <f t="shared" ca="1" si="128"/>
        <v>357.53432247905579</v>
      </c>
      <c r="BI380" s="49">
        <f t="shared" ca="1" si="128"/>
        <v>357.53432247905579</v>
      </c>
      <c r="BJ380" s="49">
        <f t="shared" ca="1" si="128"/>
        <v>357.53432247905579</v>
      </c>
      <c r="BK380" s="49">
        <f t="shared" ca="1" si="128"/>
        <v>357.53432247905579</v>
      </c>
      <c r="BL380" s="49">
        <f t="shared" ca="1" si="128"/>
        <v>357.53432247905579</v>
      </c>
      <c r="BM380" s="49">
        <f t="shared" ca="1" si="128"/>
        <v>357.53432247905579</v>
      </c>
      <c r="BN380" s="49">
        <f t="shared" ca="1" si="128"/>
        <v>357.53432247905579</v>
      </c>
      <c r="BO380" s="49">
        <f t="shared" ca="1" si="128"/>
        <v>357.53432247905579</v>
      </c>
      <c r="BP380" s="49">
        <f t="shared" ca="1" si="128"/>
        <v>357.53432247905579</v>
      </c>
      <c r="BQ380" s="49">
        <f t="shared" ca="1" si="128"/>
        <v>357.53432247905579</v>
      </c>
      <c r="BR380" s="49">
        <f t="shared" ca="1" si="128"/>
        <v>357.53432247905579</v>
      </c>
      <c r="BS380" s="49">
        <f t="shared" ca="1" si="128"/>
        <v>357.53432247905579</v>
      </c>
    </row>
    <row r="381" spans="3:71" outlineLevel="1" x14ac:dyDescent="0.2">
      <c r="D381" s="50" t="str">
        <f>HM_ZD_Moho!D403</f>
        <v>Coûts portés pour la période</v>
      </c>
      <c r="I381" s="30">
        <f t="shared" ref="I381:I382" ca="1" si="129">SUM($L381:$BS381)</f>
        <v>510.74909999999994</v>
      </c>
      <c r="J381" s="26" t="s">
        <v>148</v>
      </c>
      <c r="L381" s="49">
        <f ca="1">L369</f>
        <v>193.01729999999998</v>
      </c>
      <c r="M381" s="49">
        <f t="shared" ref="M381:BS381" ca="1" si="130">M369</f>
        <v>317.73179999999996</v>
      </c>
      <c r="N381" s="49">
        <f t="shared" si="130"/>
        <v>0</v>
      </c>
      <c r="O381" s="49">
        <f t="shared" si="130"/>
        <v>0</v>
      </c>
      <c r="P381" s="49">
        <f t="shared" si="130"/>
        <v>0</v>
      </c>
      <c r="Q381" s="49">
        <f t="shared" si="130"/>
        <v>0</v>
      </c>
      <c r="R381" s="49">
        <f t="shared" si="130"/>
        <v>0</v>
      </c>
      <c r="S381" s="49">
        <f t="shared" si="130"/>
        <v>0</v>
      </c>
      <c r="T381" s="49">
        <f t="shared" si="130"/>
        <v>0</v>
      </c>
      <c r="U381" s="49">
        <f t="shared" si="130"/>
        <v>0</v>
      </c>
      <c r="V381" s="49">
        <f t="shared" si="130"/>
        <v>0</v>
      </c>
      <c r="W381" s="49">
        <f t="shared" si="130"/>
        <v>0</v>
      </c>
      <c r="X381" s="49">
        <f t="shared" si="130"/>
        <v>0</v>
      </c>
      <c r="Y381" s="49">
        <f t="shared" si="130"/>
        <v>0</v>
      </c>
      <c r="Z381" s="49">
        <f t="shared" si="130"/>
        <v>0</v>
      </c>
      <c r="AA381" s="49">
        <f t="shared" si="130"/>
        <v>0</v>
      </c>
      <c r="AB381" s="49">
        <f t="shared" si="130"/>
        <v>0</v>
      </c>
      <c r="AC381" s="49">
        <f t="shared" si="130"/>
        <v>0</v>
      </c>
      <c r="AD381" s="49">
        <f t="shared" si="130"/>
        <v>0</v>
      </c>
      <c r="AE381" s="49">
        <f t="shared" si="130"/>
        <v>0</v>
      </c>
      <c r="AF381" s="49">
        <f t="shared" si="130"/>
        <v>0</v>
      </c>
      <c r="AG381" s="49">
        <f t="shared" si="130"/>
        <v>0</v>
      </c>
      <c r="AH381" s="49">
        <f t="shared" si="130"/>
        <v>0</v>
      </c>
      <c r="AI381" s="49">
        <f t="shared" si="130"/>
        <v>0</v>
      </c>
      <c r="AJ381" s="49">
        <f t="shared" si="130"/>
        <v>0</v>
      </c>
      <c r="AK381" s="49">
        <f t="shared" si="130"/>
        <v>0</v>
      </c>
      <c r="AL381" s="49">
        <f t="shared" si="130"/>
        <v>0</v>
      </c>
      <c r="AM381" s="49">
        <f t="shared" si="130"/>
        <v>0</v>
      </c>
      <c r="AN381" s="49">
        <f t="shared" si="130"/>
        <v>0</v>
      </c>
      <c r="AO381" s="49">
        <f t="shared" si="130"/>
        <v>0</v>
      </c>
      <c r="AP381" s="49">
        <f t="shared" si="130"/>
        <v>0</v>
      </c>
      <c r="AQ381" s="49">
        <f t="shared" si="130"/>
        <v>0</v>
      </c>
      <c r="AR381" s="49">
        <f t="shared" si="130"/>
        <v>0</v>
      </c>
      <c r="AS381" s="49">
        <f t="shared" si="130"/>
        <v>0</v>
      </c>
      <c r="AT381" s="49">
        <f t="shared" si="130"/>
        <v>0</v>
      </c>
      <c r="AU381" s="49">
        <f t="shared" si="130"/>
        <v>0</v>
      </c>
      <c r="AV381" s="49">
        <f t="shared" si="130"/>
        <v>0</v>
      </c>
      <c r="AW381" s="49">
        <f t="shared" si="130"/>
        <v>0</v>
      </c>
      <c r="AX381" s="49">
        <f t="shared" si="130"/>
        <v>0</v>
      </c>
      <c r="AY381" s="49">
        <f t="shared" si="130"/>
        <v>0</v>
      </c>
      <c r="AZ381" s="49">
        <f t="shared" si="130"/>
        <v>0</v>
      </c>
      <c r="BA381" s="49">
        <f t="shared" si="130"/>
        <v>0</v>
      </c>
      <c r="BB381" s="49">
        <f t="shared" si="130"/>
        <v>0</v>
      </c>
      <c r="BC381" s="49">
        <f t="shared" si="130"/>
        <v>0</v>
      </c>
      <c r="BD381" s="49">
        <f t="shared" si="130"/>
        <v>0</v>
      </c>
      <c r="BE381" s="49">
        <f t="shared" si="130"/>
        <v>0</v>
      </c>
      <c r="BF381" s="49">
        <f t="shared" si="130"/>
        <v>0</v>
      </c>
      <c r="BG381" s="49">
        <f t="shared" si="130"/>
        <v>0</v>
      </c>
      <c r="BH381" s="49">
        <f t="shared" si="130"/>
        <v>0</v>
      </c>
      <c r="BI381" s="49">
        <f t="shared" si="130"/>
        <v>0</v>
      </c>
      <c r="BJ381" s="49">
        <f t="shared" si="130"/>
        <v>0</v>
      </c>
      <c r="BK381" s="49">
        <f t="shared" si="130"/>
        <v>0</v>
      </c>
      <c r="BL381" s="49">
        <f t="shared" si="130"/>
        <v>0</v>
      </c>
      <c r="BM381" s="49">
        <f t="shared" si="130"/>
        <v>0</v>
      </c>
      <c r="BN381" s="49">
        <f t="shared" si="130"/>
        <v>0</v>
      </c>
      <c r="BO381" s="49">
        <f t="shared" si="130"/>
        <v>0</v>
      </c>
      <c r="BP381" s="49">
        <f t="shared" si="130"/>
        <v>0</v>
      </c>
      <c r="BQ381" s="49">
        <f t="shared" si="130"/>
        <v>0</v>
      </c>
      <c r="BR381" s="49">
        <f t="shared" si="130"/>
        <v>0</v>
      </c>
      <c r="BS381" s="49">
        <f t="shared" si="130"/>
        <v>0</v>
      </c>
    </row>
    <row r="382" spans="3:71" outlineLevel="1" x14ac:dyDescent="0.2">
      <c r="D382" s="50" t="str">
        <f>HM_ZD_Moho!D404</f>
        <v>Remboursement du portage</v>
      </c>
      <c r="I382" s="30">
        <f t="shared" ca="1" si="129"/>
        <v>-153.21477752094415</v>
      </c>
      <c r="J382" s="26" t="s">
        <v>148</v>
      </c>
      <c r="L382" s="49">
        <f ca="1">-MIN(SUM(L380:L381),SUM(L$342,L$347)*HM_ZD_AM3_2005!NOC_rpmt_max_perc)*HM_ZD_AM3_2005!NOC_CI_devex_rpmt</f>
        <v>-77.710963826486108</v>
      </c>
      <c r="M382" s="49">
        <f ca="1">-MIN(SUM(M380:M381),SUM(M$342,M$347)*HM_ZD_AM3_2005!NOC_rpmt_max_perc)*HM_ZD_AM3_2005!NOC_CI_devex_rpmt</f>
        <v>-75.50381369445806</v>
      </c>
      <c r="N382" s="49">
        <f ca="1">-MIN(SUM(N380:N381),SUM(N$342,N$347)*HM_ZD_AM3_2005!NOC_rpmt_max_perc)*HM_ZD_AM3_2005!NOC_CI_devex_rpmt</f>
        <v>0</v>
      </c>
      <c r="O382" s="49">
        <f ca="1">-MIN(SUM(O380:O381),SUM(O$342,O$347)*HM_ZD_AM3_2005!NOC_rpmt_max_perc)*HM_ZD_AM3_2005!NOC_CI_devex_rpmt</f>
        <v>0</v>
      </c>
      <c r="P382" s="49">
        <f ca="1">-MIN(SUM(P380:P381),SUM(P$342,P$347)*HM_ZD_AM3_2005!NOC_rpmt_max_perc)*HM_ZD_AM3_2005!NOC_CI_devex_rpmt</f>
        <v>0</v>
      </c>
      <c r="Q382" s="49">
        <f ca="1">-MIN(SUM(Q380:Q381),SUM(Q$342,Q$347)*HM_ZD_AM3_2005!NOC_rpmt_max_perc)*HM_ZD_AM3_2005!NOC_CI_devex_rpmt</f>
        <v>0</v>
      </c>
      <c r="R382" s="49">
        <f ca="1">-MIN(SUM(R380:R381),SUM(R$342,R$347)*HM_ZD_AM3_2005!NOC_rpmt_max_perc)*HM_ZD_AM3_2005!NOC_CI_devex_rpmt</f>
        <v>0</v>
      </c>
      <c r="S382" s="49">
        <f ca="1">-MIN(SUM(S380:S381),SUM(S$342,S$347)*HM_ZD_AM3_2005!NOC_rpmt_max_perc)*HM_ZD_AM3_2005!NOC_CI_devex_rpmt</f>
        <v>0</v>
      </c>
      <c r="T382" s="49">
        <f ca="1">-MIN(SUM(T380:T381),SUM(T$342,T$347)*HM_ZD_AM3_2005!NOC_rpmt_max_perc)*HM_ZD_AM3_2005!NOC_CI_devex_rpmt</f>
        <v>0</v>
      </c>
      <c r="U382" s="49">
        <f ca="1">-MIN(SUM(U380:U381),SUM(U$342,U$347)*HM_ZD_AM3_2005!NOC_rpmt_max_perc)*HM_ZD_AM3_2005!NOC_CI_devex_rpmt</f>
        <v>0</v>
      </c>
      <c r="V382" s="49">
        <f ca="1">-MIN(SUM(V380:V381),SUM(V$342,V$347)*HM_ZD_AM3_2005!NOC_rpmt_max_perc)*HM_ZD_AM3_2005!NOC_CI_devex_rpmt</f>
        <v>0</v>
      </c>
      <c r="W382" s="49">
        <f ca="1">-MIN(SUM(W380:W381),SUM(W$342,W$347)*HM_ZD_AM3_2005!NOC_rpmt_max_perc)*HM_ZD_AM3_2005!NOC_CI_devex_rpmt</f>
        <v>0</v>
      </c>
      <c r="X382" s="49">
        <f ca="1">-MIN(SUM(X380:X381),SUM(X$342,X$347)*HM_ZD_AM3_2005!NOC_rpmt_max_perc)*HM_ZD_AM3_2005!NOC_CI_devex_rpmt</f>
        <v>0</v>
      </c>
      <c r="Y382" s="49">
        <f ca="1">-MIN(SUM(Y380:Y381),SUM(Y$342,Y$347)*HM_ZD_AM3_2005!NOC_rpmt_max_perc)*HM_ZD_AM3_2005!NOC_CI_devex_rpmt</f>
        <v>0</v>
      </c>
      <c r="Z382" s="49">
        <f ca="1">-MIN(SUM(Z380:Z381),SUM(Z$342,Z$347)*HM_ZD_AM3_2005!NOC_rpmt_max_perc)*HM_ZD_AM3_2005!NOC_CI_devex_rpmt</f>
        <v>0</v>
      </c>
      <c r="AA382" s="49">
        <f ca="1">-MIN(SUM(AA380:AA381),SUM(AA$342,AA$347)*HM_ZD_AM3_2005!NOC_rpmt_max_perc)*HM_ZD_AM3_2005!NOC_CI_devex_rpmt</f>
        <v>0</v>
      </c>
      <c r="AB382" s="49">
        <f ca="1">-MIN(SUM(AB380:AB381),SUM(AB$342,AB$347)*HM_ZD_AM3_2005!NOC_rpmt_max_perc)*HM_ZD_AM3_2005!NOC_CI_devex_rpmt</f>
        <v>0</v>
      </c>
      <c r="AC382" s="49">
        <f ca="1">-MIN(SUM(AC380:AC381),SUM(AC$342,AC$347)*HM_ZD_AM3_2005!NOC_rpmt_max_perc)*HM_ZD_AM3_2005!NOC_CI_devex_rpmt</f>
        <v>0</v>
      </c>
      <c r="AD382" s="49">
        <f ca="1">-MIN(SUM(AD380:AD381),SUM(AD$342,AD$347)*HM_ZD_AM3_2005!NOC_rpmt_max_perc)*HM_ZD_AM3_2005!NOC_CI_devex_rpmt</f>
        <v>0</v>
      </c>
      <c r="AE382" s="49">
        <f ca="1">-MIN(SUM(AE380:AE381),SUM(AE$342,AE$347)*HM_ZD_AM3_2005!NOC_rpmt_max_perc)*HM_ZD_AM3_2005!NOC_CI_devex_rpmt</f>
        <v>0</v>
      </c>
      <c r="AF382" s="49">
        <f ca="1">-MIN(SUM(AF380:AF381),SUM(AF$342,AF$347)*HM_ZD_AM3_2005!NOC_rpmt_max_perc)*HM_ZD_AM3_2005!NOC_CI_devex_rpmt</f>
        <v>0</v>
      </c>
      <c r="AG382" s="49">
        <f ca="1">-MIN(SUM(AG380:AG381),SUM(AG$342,AG$347)*HM_ZD_AM3_2005!NOC_rpmt_max_perc)*HM_ZD_AM3_2005!NOC_CI_devex_rpmt</f>
        <v>0</v>
      </c>
      <c r="AH382" s="49">
        <f ca="1">-MIN(SUM(AH380:AH381),SUM(AH$342,AH$347)*HM_ZD_AM3_2005!NOC_rpmt_max_perc)*HM_ZD_AM3_2005!NOC_CI_devex_rpmt</f>
        <v>0</v>
      </c>
      <c r="AI382" s="49">
        <f ca="1">-MIN(SUM(AI380:AI381),SUM(AI$342,AI$347)*HM_ZD_AM3_2005!NOC_rpmt_max_perc)*HM_ZD_AM3_2005!NOC_CI_devex_rpmt</f>
        <v>0</v>
      </c>
      <c r="AJ382" s="49">
        <f ca="1">-MIN(SUM(AJ380:AJ381),SUM(AJ$342,AJ$347)*HM_ZD_AM3_2005!NOC_rpmt_max_perc)*HM_ZD_AM3_2005!NOC_CI_devex_rpmt</f>
        <v>0</v>
      </c>
      <c r="AK382" s="49">
        <f ca="1">-MIN(SUM(AK380:AK381),SUM(AK$342,AK$347)*HM_ZD_AM3_2005!NOC_rpmt_max_perc)*HM_ZD_AM3_2005!NOC_CI_devex_rpmt</f>
        <v>0</v>
      </c>
      <c r="AL382" s="49">
        <f ca="1">-MIN(SUM(AL380:AL381),SUM(AL$342,AL$347)*HM_ZD_AM3_2005!NOC_rpmt_max_perc)*HM_ZD_AM3_2005!NOC_CI_devex_rpmt</f>
        <v>0</v>
      </c>
      <c r="AM382" s="49">
        <f ca="1">-MIN(SUM(AM380:AM381),SUM(AM$342,AM$347)*HM_ZD_AM3_2005!NOC_rpmt_max_perc)*HM_ZD_AM3_2005!NOC_CI_devex_rpmt</f>
        <v>0</v>
      </c>
      <c r="AN382" s="49">
        <f ca="1">-MIN(SUM(AN380:AN381),SUM(AN$342,AN$347)*HM_ZD_AM3_2005!NOC_rpmt_max_perc)*HM_ZD_AM3_2005!NOC_CI_devex_rpmt</f>
        <v>0</v>
      </c>
      <c r="AO382" s="49">
        <f ca="1">-MIN(SUM(AO380:AO381),SUM(AO$342,AO$347)*HM_ZD_AM3_2005!NOC_rpmt_max_perc)*HM_ZD_AM3_2005!NOC_CI_devex_rpmt</f>
        <v>0</v>
      </c>
      <c r="AP382" s="49">
        <f ca="1">-MIN(SUM(AP380:AP381),SUM(AP$342,AP$347)*HM_ZD_AM3_2005!NOC_rpmt_max_perc)*HM_ZD_AM3_2005!NOC_CI_devex_rpmt</f>
        <v>0</v>
      </c>
      <c r="AQ382" s="49">
        <f ca="1">-MIN(SUM(AQ380:AQ381),SUM(AQ$342,AQ$347)*HM_ZD_AM3_2005!NOC_rpmt_max_perc)*HM_ZD_AM3_2005!NOC_CI_devex_rpmt</f>
        <v>0</v>
      </c>
      <c r="AR382" s="49">
        <f ca="1">-MIN(SUM(AR380:AR381),SUM(AR$342,AR$347)*HM_ZD_AM3_2005!NOC_rpmt_max_perc)*HM_ZD_AM3_2005!NOC_CI_devex_rpmt</f>
        <v>0</v>
      </c>
      <c r="AS382" s="49">
        <f ca="1">-MIN(SUM(AS380:AS381),SUM(AS$342,AS$347)*HM_ZD_AM3_2005!NOC_rpmt_max_perc)*HM_ZD_AM3_2005!NOC_CI_devex_rpmt</f>
        <v>0</v>
      </c>
      <c r="AT382" s="49">
        <f ca="1">-MIN(SUM(AT380:AT381),SUM(AT$342,AT$347)*HM_ZD_AM3_2005!NOC_rpmt_max_perc)*HM_ZD_AM3_2005!NOC_CI_devex_rpmt</f>
        <v>0</v>
      </c>
      <c r="AU382" s="49">
        <f ca="1">-MIN(SUM(AU380:AU381),SUM(AU$342,AU$347)*HM_ZD_AM3_2005!NOC_rpmt_max_perc)*HM_ZD_AM3_2005!NOC_CI_devex_rpmt</f>
        <v>0</v>
      </c>
      <c r="AV382" s="49">
        <f ca="1">-MIN(SUM(AV380:AV381),SUM(AV$342,AV$347)*HM_ZD_AM3_2005!NOC_rpmt_max_perc)*HM_ZD_AM3_2005!NOC_CI_devex_rpmt</f>
        <v>0</v>
      </c>
      <c r="AW382" s="49">
        <f ca="1">-MIN(SUM(AW380:AW381),SUM(AW$342,AW$347)*HM_ZD_AM3_2005!NOC_rpmt_max_perc)*HM_ZD_AM3_2005!NOC_CI_devex_rpmt</f>
        <v>0</v>
      </c>
      <c r="AX382" s="49">
        <f ca="1">-MIN(SUM(AX380:AX381),SUM(AX$342,AX$347)*HM_ZD_AM3_2005!NOC_rpmt_max_perc)*HM_ZD_AM3_2005!NOC_CI_devex_rpmt</f>
        <v>0</v>
      </c>
      <c r="AY382" s="49">
        <f ca="1">-MIN(SUM(AY380:AY381),SUM(AY$342,AY$347)*HM_ZD_AM3_2005!NOC_rpmt_max_perc)*HM_ZD_AM3_2005!NOC_CI_devex_rpmt</f>
        <v>0</v>
      </c>
      <c r="AZ382" s="49">
        <f ca="1">-MIN(SUM(AZ380:AZ381),SUM(AZ$342,AZ$347)*HM_ZD_AM3_2005!NOC_rpmt_max_perc)*HM_ZD_AM3_2005!NOC_CI_devex_rpmt</f>
        <v>0</v>
      </c>
      <c r="BA382" s="49">
        <f ca="1">-MIN(SUM(BA380:BA381),SUM(BA$342,BA$347)*HM_ZD_AM3_2005!NOC_rpmt_max_perc)*HM_ZD_AM3_2005!NOC_CI_devex_rpmt</f>
        <v>0</v>
      </c>
      <c r="BB382" s="49">
        <f ca="1">-MIN(SUM(BB380:BB381),SUM(BB$342,BB$347)*HM_ZD_AM3_2005!NOC_rpmt_max_perc)*HM_ZD_AM3_2005!NOC_CI_devex_rpmt</f>
        <v>0</v>
      </c>
      <c r="BC382" s="49">
        <f ca="1">-MIN(SUM(BC380:BC381),SUM(BC$342,BC$347)*HM_ZD_AM3_2005!NOC_rpmt_max_perc)*HM_ZD_AM3_2005!NOC_CI_devex_rpmt</f>
        <v>0</v>
      </c>
      <c r="BD382" s="49">
        <f ca="1">-MIN(SUM(BD380:BD381),SUM(BD$342,BD$347)*HM_ZD_AM3_2005!NOC_rpmt_max_perc)*HM_ZD_AM3_2005!NOC_CI_devex_rpmt</f>
        <v>0</v>
      </c>
      <c r="BE382" s="49">
        <f ca="1">-MIN(SUM(BE380:BE381),SUM(BE$342,BE$347)*HM_ZD_AM3_2005!NOC_rpmt_max_perc)*HM_ZD_AM3_2005!NOC_CI_devex_rpmt</f>
        <v>0</v>
      </c>
      <c r="BF382" s="49">
        <f ca="1">-MIN(SUM(BF380:BF381),SUM(BF$342,BF$347)*HM_ZD_AM3_2005!NOC_rpmt_max_perc)*HM_ZD_AM3_2005!NOC_CI_devex_rpmt</f>
        <v>0</v>
      </c>
      <c r="BG382" s="49">
        <f ca="1">-MIN(SUM(BG380:BG381),SUM(BG$342,BG$347)*HM_ZD_AM3_2005!NOC_rpmt_max_perc)*HM_ZD_AM3_2005!NOC_CI_devex_rpmt</f>
        <v>0</v>
      </c>
      <c r="BH382" s="49">
        <f ca="1">-MIN(SUM(BH380:BH381),SUM(BH$342,BH$347)*HM_ZD_AM3_2005!NOC_rpmt_max_perc)*HM_ZD_AM3_2005!NOC_CI_devex_rpmt</f>
        <v>0</v>
      </c>
      <c r="BI382" s="49">
        <f ca="1">-MIN(SUM(BI380:BI381),SUM(BI$342,BI$347)*HM_ZD_AM3_2005!NOC_rpmt_max_perc)*HM_ZD_AM3_2005!NOC_CI_devex_rpmt</f>
        <v>0</v>
      </c>
      <c r="BJ382" s="49">
        <f ca="1">-MIN(SUM(BJ380:BJ381),SUM(BJ$342,BJ$347)*HM_ZD_AM3_2005!NOC_rpmt_max_perc)*HM_ZD_AM3_2005!NOC_CI_devex_rpmt</f>
        <v>0</v>
      </c>
      <c r="BK382" s="49">
        <f ca="1">-MIN(SUM(BK380:BK381),SUM(BK$342,BK$347)*HM_ZD_AM3_2005!NOC_rpmt_max_perc)*HM_ZD_AM3_2005!NOC_CI_devex_rpmt</f>
        <v>0</v>
      </c>
      <c r="BL382" s="49">
        <f ca="1">-MIN(SUM(BL380:BL381),SUM(BL$342,BL$347)*HM_ZD_AM3_2005!NOC_rpmt_max_perc)*HM_ZD_AM3_2005!NOC_CI_devex_rpmt</f>
        <v>0</v>
      </c>
      <c r="BM382" s="49">
        <f ca="1">-MIN(SUM(BM380:BM381),SUM(BM$342,BM$347)*HM_ZD_AM3_2005!NOC_rpmt_max_perc)*HM_ZD_AM3_2005!NOC_CI_devex_rpmt</f>
        <v>0</v>
      </c>
      <c r="BN382" s="49">
        <f ca="1">-MIN(SUM(BN380:BN381),SUM(BN$342,BN$347)*HM_ZD_AM3_2005!NOC_rpmt_max_perc)*HM_ZD_AM3_2005!NOC_CI_devex_rpmt</f>
        <v>0</v>
      </c>
      <c r="BO382" s="49">
        <f ca="1">-MIN(SUM(BO380:BO381),SUM(BO$342,BO$347)*HM_ZD_AM3_2005!NOC_rpmt_max_perc)*HM_ZD_AM3_2005!NOC_CI_devex_rpmt</f>
        <v>0</v>
      </c>
      <c r="BP382" s="49">
        <f ca="1">-MIN(SUM(BP380:BP381),SUM(BP$342,BP$347)*HM_ZD_AM3_2005!NOC_rpmt_max_perc)*HM_ZD_AM3_2005!NOC_CI_devex_rpmt</f>
        <v>0</v>
      </c>
      <c r="BQ382" s="49">
        <f ca="1">-MIN(SUM(BQ380:BQ381),SUM(BQ$342,BQ$347)*HM_ZD_AM3_2005!NOC_rpmt_max_perc)*HM_ZD_AM3_2005!NOC_CI_devex_rpmt</f>
        <v>0</v>
      </c>
      <c r="BR382" s="49">
        <f ca="1">-MIN(SUM(BR380:BR381),SUM(BR$342,BR$347)*HM_ZD_AM3_2005!NOC_rpmt_max_perc)*HM_ZD_AM3_2005!NOC_CI_devex_rpmt</f>
        <v>0</v>
      </c>
      <c r="BS382" s="49">
        <f ca="1">-MIN(SUM(BS380:BS381),SUM(BS$342,BS$347)*HM_ZD_AM3_2005!NOC_rpmt_max_perc)*HM_ZD_AM3_2005!NOC_CI_devex_rpmt</f>
        <v>0</v>
      </c>
    </row>
    <row r="383" spans="3:71" outlineLevel="1" x14ac:dyDescent="0.2">
      <c r="D383" t="str">
        <f>HM_ZD_Moho!D405</f>
        <v>Coûts de portage Solde de clôture</v>
      </c>
      <c r="J383" s="26"/>
      <c r="L383" s="49">
        <f ca="1">SUM(L380:L382)</f>
        <v>115.30633617351387</v>
      </c>
      <c r="M383" s="49">
        <f t="shared" ref="M383:BS383" ca="1" si="131">SUM(M380:M382)</f>
        <v>357.53432247905579</v>
      </c>
      <c r="N383" s="49">
        <f t="shared" ca="1" si="131"/>
        <v>357.53432247905579</v>
      </c>
      <c r="O383" s="49">
        <f t="shared" ca="1" si="131"/>
        <v>357.53432247905579</v>
      </c>
      <c r="P383" s="49">
        <f t="shared" ca="1" si="131"/>
        <v>357.53432247905579</v>
      </c>
      <c r="Q383" s="49">
        <f t="shared" ca="1" si="131"/>
        <v>357.53432247905579</v>
      </c>
      <c r="R383" s="49">
        <f t="shared" ca="1" si="131"/>
        <v>357.53432247905579</v>
      </c>
      <c r="S383" s="49">
        <f t="shared" ca="1" si="131"/>
        <v>357.53432247905579</v>
      </c>
      <c r="T383" s="49">
        <f t="shared" ca="1" si="131"/>
        <v>357.53432247905579</v>
      </c>
      <c r="U383" s="49">
        <f t="shared" ca="1" si="131"/>
        <v>357.53432247905579</v>
      </c>
      <c r="V383" s="49">
        <f t="shared" ca="1" si="131"/>
        <v>357.53432247905579</v>
      </c>
      <c r="W383" s="49">
        <f t="shared" ca="1" si="131"/>
        <v>357.53432247905579</v>
      </c>
      <c r="X383" s="49">
        <f t="shared" ca="1" si="131"/>
        <v>357.53432247905579</v>
      </c>
      <c r="Y383" s="49">
        <f t="shared" ca="1" si="131"/>
        <v>357.53432247905579</v>
      </c>
      <c r="Z383" s="49">
        <f t="shared" ca="1" si="131"/>
        <v>357.53432247905579</v>
      </c>
      <c r="AA383" s="49">
        <f t="shared" ca="1" si="131"/>
        <v>357.53432247905579</v>
      </c>
      <c r="AB383" s="49">
        <f t="shared" ca="1" si="131"/>
        <v>357.53432247905579</v>
      </c>
      <c r="AC383" s="49">
        <f t="shared" ca="1" si="131"/>
        <v>357.53432247905579</v>
      </c>
      <c r="AD383" s="49">
        <f t="shared" ca="1" si="131"/>
        <v>357.53432247905579</v>
      </c>
      <c r="AE383" s="49">
        <f t="shared" ca="1" si="131"/>
        <v>357.53432247905579</v>
      </c>
      <c r="AF383" s="49">
        <f t="shared" ca="1" si="131"/>
        <v>357.53432247905579</v>
      </c>
      <c r="AG383" s="49">
        <f t="shared" ca="1" si="131"/>
        <v>357.53432247905579</v>
      </c>
      <c r="AH383" s="49">
        <f t="shared" ca="1" si="131"/>
        <v>357.53432247905579</v>
      </c>
      <c r="AI383" s="49">
        <f t="shared" ca="1" si="131"/>
        <v>357.53432247905579</v>
      </c>
      <c r="AJ383" s="49">
        <f t="shared" ca="1" si="131"/>
        <v>357.53432247905579</v>
      </c>
      <c r="AK383" s="49">
        <f t="shared" ca="1" si="131"/>
        <v>357.53432247905579</v>
      </c>
      <c r="AL383" s="49">
        <f t="shared" ca="1" si="131"/>
        <v>357.53432247905579</v>
      </c>
      <c r="AM383" s="49">
        <f t="shared" ca="1" si="131"/>
        <v>357.53432247905579</v>
      </c>
      <c r="AN383" s="49">
        <f t="shared" ca="1" si="131"/>
        <v>357.53432247905579</v>
      </c>
      <c r="AO383" s="49">
        <f t="shared" ca="1" si="131"/>
        <v>357.53432247905579</v>
      </c>
      <c r="AP383" s="49">
        <f t="shared" ca="1" si="131"/>
        <v>357.53432247905579</v>
      </c>
      <c r="AQ383" s="49">
        <f t="shared" ca="1" si="131"/>
        <v>357.53432247905579</v>
      </c>
      <c r="AR383" s="49">
        <f t="shared" ca="1" si="131"/>
        <v>357.53432247905579</v>
      </c>
      <c r="AS383" s="49">
        <f t="shared" ca="1" si="131"/>
        <v>357.53432247905579</v>
      </c>
      <c r="AT383" s="49">
        <f t="shared" ca="1" si="131"/>
        <v>357.53432247905579</v>
      </c>
      <c r="AU383" s="49">
        <f t="shared" ca="1" si="131"/>
        <v>357.53432247905579</v>
      </c>
      <c r="AV383" s="49">
        <f t="shared" ca="1" si="131"/>
        <v>357.53432247905579</v>
      </c>
      <c r="AW383" s="49">
        <f t="shared" ca="1" si="131"/>
        <v>357.53432247905579</v>
      </c>
      <c r="AX383" s="49">
        <f t="shared" ca="1" si="131"/>
        <v>357.53432247905579</v>
      </c>
      <c r="AY383" s="49">
        <f t="shared" ca="1" si="131"/>
        <v>357.53432247905579</v>
      </c>
      <c r="AZ383" s="49">
        <f t="shared" ca="1" si="131"/>
        <v>357.53432247905579</v>
      </c>
      <c r="BA383" s="49">
        <f t="shared" ca="1" si="131"/>
        <v>357.53432247905579</v>
      </c>
      <c r="BB383" s="49">
        <f t="shared" ca="1" si="131"/>
        <v>357.53432247905579</v>
      </c>
      <c r="BC383" s="49">
        <f t="shared" ca="1" si="131"/>
        <v>357.53432247905579</v>
      </c>
      <c r="BD383" s="49">
        <f t="shared" ca="1" si="131"/>
        <v>357.53432247905579</v>
      </c>
      <c r="BE383" s="49">
        <f t="shared" ca="1" si="131"/>
        <v>357.53432247905579</v>
      </c>
      <c r="BF383" s="49">
        <f t="shared" ca="1" si="131"/>
        <v>357.53432247905579</v>
      </c>
      <c r="BG383" s="49">
        <f t="shared" ca="1" si="131"/>
        <v>357.53432247905579</v>
      </c>
      <c r="BH383" s="49">
        <f t="shared" ca="1" si="131"/>
        <v>357.53432247905579</v>
      </c>
      <c r="BI383" s="49">
        <f t="shared" ca="1" si="131"/>
        <v>357.53432247905579</v>
      </c>
      <c r="BJ383" s="49">
        <f t="shared" ca="1" si="131"/>
        <v>357.53432247905579</v>
      </c>
      <c r="BK383" s="49">
        <f t="shared" ca="1" si="131"/>
        <v>357.53432247905579</v>
      </c>
      <c r="BL383" s="49">
        <f t="shared" ca="1" si="131"/>
        <v>357.53432247905579</v>
      </c>
      <c r="BM383" s="49">
        <f t="shared" ca="1" si="131"/>
        <v>357.53432247905579</v>
      </c>
      <c r="BN383" s="49">
        <f t="shared" ca="1" si="131"/>
        <v>357.53432247905579</v>
      </c>
      <c r="BO383" s="49">
        <f t="shared" ca="1" si="131"/>
        <v>357.53432247905579</v>
      </c>
      <c r="BP383" s="49">
        <f t="shared" ca="1" si="131"/>
        <v>357.53432247905579</v>
      </c>
      <c r="BQ383" s="49">
        <f t="shared" ca="1" si="131"/>
        <v>357.53432247905579</v>
      </c>
      <c r="BR383" s="49">
        <f t="shared" ca="1" si="131"/>
        <v>357.53432247905579</v>
      </c>
      <c r="BS383" s="49">
        <f t="shared" ca="1" si="131"/>
        <v>357.53432247905579</v>
      </c>
    </row>
    <row r="384" spans="3:71" outlineLevel="1" x14ac:dyDescent="0.2">
      <c r="J384" s="26"/>
      <c r="L384" s="55"/>
      <c r="M384" s="55"/>
      <c r="N384" s="55"/>
      <c r="O384" s="55"/>
      <c r="P384" s="55"/>
      <c r="Q384" s="55"/>
      <c r="R384" s="55"/>
      <c r="S384" s="55"/>
      <c r="T384" s="55"/>
      <c r="U384" s="55"/>
      <c r="V384" s="55"/>
      <c r="W384" s="55"/>
      <c r="X384" s="55"/>
      <c r="Y384" s="55"/>
      <c r="Z384" s="55"/>
      <c r="AA384" s="55"/>
      <c r="AB384" s="55"/>
      <c r="AC384" s="55"/>
      <c r="AD384" s="55"/>
      <c r="AE384" s="55"/>
      <c r="AF384" s="55"/>
      <c r="AG384" s="55"/>
      <c r="AH384" s="55"/>
      <c r="AI384" s="55"/>
      <c r="AJ384" s="55"/>
      <c r="AK384" s="55"/>
      <c r="AL384" s="55"/>
      <c r="AM384" s="55"/>
      <c r="AN384" s="55"/>
      <c r="AO384" s="55"/>
      <c r="AP384" s="55"/>
      <c r="AQ384" s="55"/>
      <c r="AR384" s="55"/>
      <c r="AS384" s="55"/>
      <c r="AT384" s="55"/>
      <c r="AU384" s="55"/>
      <c r="AV384" s="55"/>
      <c r="AW384" s="55"/>
      <c r="AX384" s="55"/>
      <c r="AY384" s="55"/>
      <c r="AZ384" s="55"/>
      <c r="BA384" s="55"/>
      <c r="BB384" s="55"/>
      <c r="BC384" s="55"/>
      <c r="BD384" s="55"/>
      <c r="BE384" s="55"/>
      <c r="BF384" s="55"/>
      <c r="BG384" s="55"/>
      <c r="BH384" s="55"/>
      <c r="BI384" s="55"/>
      <c r="BJ384" s="55"/>
      <c r="BK384" s="55"/>
      <c r="BL384" s="55"/>
      <c r="BM384" s="55"/>
      <c r="BN384" s="55"/>
      <c r="BO384" s="55"/>
      <c r="BP384" s="55"/>
      <c r="BQ384" s="55"/>
      <c r="BR384" s="55"/>
      <c r="BS384" s="55"/>
    </row>
    <row r="385" spans="1:93" outlineLevel="1" x14ac:dyDescent="0.2">
      <c r="C385" s="11" t="str">
        <f>HM_ZD_Moho!C407</f>
        <v>Remboursement du portage Compagnie nationale - Opex</v>
      </c>
      <c r="J385" s="26"/>
      <c r="L385" s="55"/>
      <c r="M385" s="55"/>
      <c r="N385" s="55"/>
      <c r="O385" s="55"/>
      <c r="P385" s="55"/>
      <c r="Q385" s="55"/>
      <c r="R385" s="55"/>
      <c r="S385" s="55"/>
      <c r="T385" s="55"/>
      <c r="U385" s="55"/>
      <c r="V385" s="55"/>
      <c r="W385" s="55"/>
      <c r="X385" s="55"/>
      <c r="Y385" s="55"/>
      <c r="Z385" s="55"/>
      <c r="AA385" s="55"/>
      <c r="AB385" s="55"/>
      <c r="AC385" s="55"/>
      <c r="AD385" s="55"/>
      <c r="AE385" s="55"/>
      <c r="AF385" s="55"/>
      <c r="AG385" s="55"/>
      <c r="AH385" s="55"/>
      <c r="AI385" s="55"/>
      <c r="AJ385" s="55"/>
      <c r="AK385" s="55"/>
      <c r="AL385" s="55"/>
      <c r="AM385" s="55"/>
      <c r="AN385" s="55"/>
      <c r="AO385" s="55"/>
      <c r="AP385" s="55"/>
      <c r="AQ385" s="55"/>
      <c r="AR385" s="55"/>
      <c r="AS385" s="55"/>
      <c r="AT385" s="55"/>
      <c r="AU385" s="55"/>
      <c r="AV385" s="55"/>
      <c r="AW385" s="55"/>
      <c r="AX385" s="55"/>
      <c r="AY385" s="55"/>
      <c r="AZ385" s="55"/>
      <c r="BA385" s="55"/>
      <c r="BB385" s="55"/>
      <c r="BC385" s="55"/>
      <c r="BD385" s="55"/>
      <c r="BE385" s="55"/>
      <c r="BF385" s="55"/>
      <c r="BG385" s="55"/>
      <c r="BH385" s="55"/>
      <c r="BI385" s="55"/>
      <c r="BJ385" s="55"/>
      <c r="BK385" s="55"/>
      <c r="BL385" s="55"/>
      <c r="BM385" s="55"/>
      <c r="BN385" s="55"/>
      <c r="BO385" s="55"/>
      <c r="BP385" s="55"/>
      <c r="BQ385" s="55"/>
      <c r="BR385" s="55"/>
      <c r="BS385" s="55"/>
    </row>
    <row r="386" spans="1:93" outlineLevel="1" x14ac:dyDescent="0.2">
      <c r="D386" t="str">
        <f>HM_ZD_Moho!D408</f>
        <v>Coûts portés Solde d'ouverture</v>
      </c>
      <c r="J386" s="26"/>
      <c r="L386" s="49">
        <f>K389</f>
        <v>0</v>
      </c>
      <c r="M386" s="49">
        <f t="shared" ref="M386:BS386" ca="1" si="132">L389</f>
        <v>0</v>
      </c>
      <c r="N386" s="49">
        <f t="shared" ca="1" si="132"/>
        <v>0</v>
      </c>
      <c r="O386" s="49">
        <f t="shared" ca="1" si="132"/>
        <v>0</v>
      </c>
      <c r="P386" s="49">
        <f t="shared" ca="1" si="132"/>
        <v>0</v>
      </c>
      <c r="Q386" s="49">
        <f t="shared" ca="1" si="132"/>
        <v>0</v>
      </c>
      <c r="R386" s="49">
        <f t="shared" ca="1" si="132"/>
        <v>0</v>
      </c>
      <c r="S386" s="49">
        <f t="shared" ca="1" si="132"/>
        <v>0</v>
      </c>
      <c r="T386" s="49">
        <f t="shared" ca="1" si="132"/>
        <v>0</v>
      </c>
      <c r="U386" s="49">
        <f t="shared" ca="1" si="132"/>
        <v>0</v>
      </c>
      <c r="V386" s="49">
        <f t="shared" ca="1" si="132"/>
        <v>0</v>
      </c>
      <c r="W386" s="49">
        <f t="shared" ca="1" si="132"/>
        <v>0</v>
      </c>
      <c r="X386" s="49">
        <f t="shared" ca="1" si="132"/>
        <v>0</v>
      </c>
      <c r="Y386" s="49">
        <f t="shared" ca="1" si="132"/>
        <v>0</v>
      </c>
      <c r="Z386" s="49">
        <f t="shared" ca="1" si="132"/>
        <v>0</v>
      </c>
      <c r="AA386" s="49">
        <f t="shared" ca="1" si="132"/>
        <v>0</v>
      </c>
      <c r="AB386" s="49">
        <f t="shared" ca="1" si="132"/>
        <v>0</v>
      </c>
      <c r="AC386" s="49">
        <f t="shared" ca="1" si="132"/>
        <v>0</v>
      </c>
      <c r="AD386" s="49">
        <f t="shared" ca="1" si="132"/>
        <v>0</v>
      </c>
      <c r="AE386" s="49">
        <f t="shared" ca="1" si="132"/>
        <v>0</v>
      </c>
      <c r="AF386" s="49">
        <f t="shared" ca="1" si="132"/>
        <v>0</v>
      </c>
      <c r="AG386" s="49">
        <f t="shared" ca="1" si="132"/>
        <v>0</v>
      </c>
      <c r="AH386" s="49">
        <f t="shared" ca="1" si="132"/>
        <v>0</v>
      </c>
      <c r="AI386" s="49">
        <f t="shared" ca="1" si="132"/>
        <v>0</v>
      </c>
      <c r="AJ386" s="49">
        <f t="shared" ca="1" si="132"/>
        <v>0</v>
      </c>
      <c r="AK386" s="49">
        <f t="shared" ca="1" si="132"/>
        <v>0</v>
      </c>
      <c r="AL386" s="49">
        <f t="shared" ca="1" si="132"/>
        <v>0</v>
      </c>
      <c r="AM386" s="49">
        <f t="shared" ca="1" si="132"/>
        <v>0</v>
      </c>
      <c r="AN386" s="49">
        <f t="shared" ca="1" si="132"/>
        <v>0</v>
      </c>
      <c r="AO386" s="49">
        <f t="shared" ca="1" si="132"/>
        <v>0</v>
      </c>
      <c r="AP386" s="49">
        <f t="shared" ca="1" si="132"/>
        <v>0</v>
      </c>
      <c r="AQ386" s="49">
        <f t="shared" ca="1" si="132"/>
        <v>0</v>
      </c>
      <c r="AR386" s="49">
        <f t="shared" ca="1" si="132"/>
        <v>0</v>
      </c>
      <c r="AS386" s="49">
        <f t="shared" ca="1" si="132"/>
        <v>0</v>
      </c>
      <c r="AT386" s="49">
        <f t="shared" ca="1" si="132"/>
        <v>0</v>
      </c>
      <c r="AU386" s="49">
        <f t="shared" ca="1" si="132"/>
        <v>0</v>
      </c>
      <c r="AV386" s="49">
        <f t="shared" ca="1" si="132"/>
        <v>0</v>
      </c>
      <c r="AW386" s="49">
        <f t="shared" ca="1" si="132"/>
        <v>0</v>
      </c>
      <c r="AX386" s="49">
        <f t="shared" ca="1" si="132"/>
        <v>0</v>
      </c>
      <c r="AY386" s="49">
        <f t="shared" ca="1" si="132"/>
        <v>0</v>
      </c>
      <c r="AZ386" s="49">
        <f t="shared" ca="1" si="132"/>
        <v>0</v>
      </c>
      <c r="BA386" s="49">
        <f t="shared" ca="1" si="132"/>
        <v>0</v>
      </c>
      <c r="BB386" s="49">
        <f t="shared" ca="1" si="132"/>
        <v>0</v>
      </c>
      <c r="BC386" s="49">
        <f t="shared" ca="1" si="132"/>
        <v>0</v>
      </c>
      <c r="BD386" s="49">
        <f t="shared" ca="1" si="132"/>
        <v>0</v>
      </c>
      <c r="BE386" s="49">
        <f t="shared" ca="1" si="132"/>
        <v>0</v>
      </c>
      <c r="BF386" s="49">
        <f t="shared" ca="1" si="132"/>
        <v>0</v>
      </c>
      <c r="BG386" s="49">
        <f t="shared" ca="1" si="132"/>
        <v>0</v>
      </c>
      <c r="BH386" s="49">
        <f t="shared" ca="1" si="132"/>
        <v>0</v>
      </c>
      <c r="BI386" s="49">
        <f t="shared" ca="1" si="132"/>
        <v>0</v>
      </c>
      <c r="BJ386" s="49">
        <f t="shared" ca="1" si="132"/>
        <v>0</v>
      </c>
      <c r="BK386" s="49">
        <f t="shared" ca="1" si="132"/>
        <v>0</v>
      </c>
      <c r="BL386" s="49">
        <f t="shared" ca="1" si="132"/>
        <v>0</v>
      </c>
      <c r="BM386" s="49">
        <f t="shared" ca="1" si="132"/>
        <v>0</v>
      </c>
      <c r="BN386" s="49">
        <f t="shared" ca="1" si="132"/>
        <v>0</v>
      </c>
      <c r="BO386" s="49">
        <f t="shared" ca="1" si="132"/>
        <v>0</v>
      </c>
      <c r="BP386" s="49">
        <f t="shared" ca="1" si="132"/>
        <v>0</v>
      </c>
      <c r="BQ386" s="49">
        <f t="shared" ca="1" si="132"/>
        <v>0</v>
      </c>
      <c r="BR386" s="49">
        <f t="shared" ca="1" si="132"/>
        <v>0</v>
      </c>
      <c r="BS386" s="49">
        <f t="shared" ca="1" si="132"/>
        <v>0</v>
      </c>
    </row>
    <row r="387" spans="1:93" outlineLevel="1" x14ac:dyDescent="0.2">
      <c r="D387" s="50" t="str">
        <f>HM_ZD_Moho!D409</f>
        <v>Coûts portés pour la période</v>
      </c>
      <c r="I387" s="30">
        <f t="shared" ref="I387:I388" ca="1" si="133">SUM($L387:$BS387)</f>
        <v>0</v>
      </c>
      <c r="J387" s="26" t="s">
        <v>148</v>
      </c>
      <c r="L387" s="49">
        <f ca="1">L370</f>
        <v>0</v>
      </c>
      <c r="M387" s="49">
        <f t="shared" ref="M387:BS387" ca="1" si="134">M370</f>
        <v>0</v>
      </c>
      <c r="N387" s="49">
        <f t="shared" si="134"/>
        <v>0</v>
      </c>
      <c r="O387" s="49">
        <f t="shared" si="134"/>
        <v>0</v>
      </c>
      <c r="P387" s="49">
        <f t="shared" si="134"/>
        <v>0</v>
      </c>
      <c r="Q387" s="49">
        <f t="shared" si="134"/>
        <v>0</v>
      </c>
      <c r="R387" s="49">
        <f t="shared" si="134"/>
        <v>0</v>
      </c>
      <c r="S387" s="49">
        <f t="shared" si="134"/>
        <v>0</v>
      </c>
      <c r="T387" s="49">
        <f t="shared" si="134"/>
        <v>0</v>
      </c>
      <c r="U387" s="49">
        <f t="shared" si="134"/>
        <v>0</v>
      </c>
      <c r="V387" s="49">
        <f t="shared" si="134"/>
        <v>0</v>
      </c>
      <c r="W387" s="49">
        <f t="shared" si="134"/>
        <v>0</v>
      </c>
      <c r="X387" s="49">
        <f t="shared" si="134"/>
        <v>0</v>
      </c>
      <c r="Y387" s="49">
        <f t="shared" si="134"/>
        <v>0</v>
      </c>
      <c r="Z387" s="49">
        <f t="shared" si="134"/>
        <v>0</v>
      </c>
      <c r="AA387" s="49">
        <f t="shared" si="134"/>
        <v>0</v>
      </c>
      <c r="AB387" s="49">
        <f t="shared" si="134"/>
        <v>0</v>
      </c>
      <c r="AC387" s="49">
        <f t="shared" si="134"/>
        <v>0</v>
      </c>
      <c r="AD387" s="49">
        <f t="shared" si="134"/>
        <v>0</v>
      </c>
      <c r="AE387" s="49">
        <f t="shared" si="134"/>
        <v>0</v>
      </c>
      <c r="AF387" s="49">
        <f t="shared" si="134"/>
        <v>0</v>
      </c>
      <c r="AG387" s="49">
        <f t="shared" si="134"/>
        <v>0</v>
      </c>
      <c r="AH387" s="49">
        <f t="shared" si="134"/>
        <v>0</v>
      </c>
      <c r="AI387" s="49">
        <f t="shared" si="134"/>
        <v>0</v>
      </c>
      <c r="AJ387" s="49">
        <f t="shared" si="134"/>
        <v>0</v>
      </c>
      <c r="AK387" s="49">
        <f t="shared" si="134"/>
        <v>0</v>
      </c>
      <c r="AL387" s="49">
        <f t="shared" si="134"/>
        <v>0</v>
      </c>
      <c r="AM387" s="49">
        <f t="shared" si="134"/>
        <v>0</v>
      </c>
      <c r="AN387" s="49">
        <f t="shared" si="134"/>
        <v>0</v>
      </c>
      <c r="AO387" s="49">
        <f t="shared" si="134"/>
        <v>0</v>
      </c>
      <c r="AP387" s="49">
        <f t="shared" si="134"/>
        <v>0</v>
      </c>
      <c r="AQ387" s="49">
        <f t="shared" si="134"/>
        <v>0</v>
      </c>
      <c r="AR387" s="49">
        <f t="shared" si="134"/>
        <v>0</v>
      </c>
      <c r="AS387" s="49">
        <f t="shared" si="134"/>
        <v>0</v>
      </c>
      <c r="AT387" s="49">
        <f t="shared" si="134"/>
        <v>0</v>
      </c>
      <c r="AU387" s="49">
        <f t="shared" si="134"/>
        <v>0</v>
      </c>
      <c r="AV387" s="49">
        <f t="shared" si="134"/>
        <v>0</v>
      </c>
      <c r="AW387" s="49">
        <f t="shared" si="134"/>
        <v>0</v>
      </c>
      <c r="AX387" s="49">
        <f t="shared" si="134"/>
        <v>0</v>
      </c>
      <c r="AY387" s="49">
        <f t="shared" si="134"/>
        <v>0</v>
      </c>
      <c r="AZ387" s="49">
        <f t="shared" si="134"/>
        <v>0</v>
      </c>
      <c r="BA387" s="49">
        <f t="shared" si="134"/>
        <v>0</v>
      </c>
      <c r="BB387" s="49">
        <f t="shared" si="134"/>
        <v>0</v>
      </c>
      <c r="BC387" s="49">
        <f t="shared" si="134"/>
        <v>0</v>
      </c>
      <c r="BD387" s="49">
        <f t="shared" si="134"/>
        <v>0</v>
      </c>
      <c r="BE387" s="49">
        <f t="shared" si="134"/>
        <v>0</v>
      </c>
      <c r="BF387" s="49">
        <f t="shared" si="134"/>
        <v>0</v>
      </c>
      <c r="BG387" s="49">
        <f t="shared" si="134"/>
        <v>0</v>
      </c>
      <c r="BH387" s="49">
        <f t="shared" si="134"/>
        <v>0</v>
      </c>
      <c r="BI387" s="49">
        <f t="shared" si="134"/>
        <v>0</v>
      </c>
      <c r="BJ387" s="49">
        <f t="shared" si="134"/>
        <v>0</v>
      </c>
      <c r="BK387" s="49">
        <f t="shared" si="134"/>
        <v>0</v>
      </c>
      <c r="BL387" s="49">
        <f t="shared" si="134"/>
        <v>0</v>
      </c>
      <c r="BM387" s="49">
        <f t="shared" si="134"/>
        <v>0</v>
      </c>
      <c r="BN387" s="49">
        <f t="shared" si="134"/>
        <v>0</v>
      </c>
      <c r="BO387" s="49">
        <f t="shared" si="134"/>
        <v>0</v>
      </c>
      <c r="BP387" s="49">
        <f t="shared" si="134"/>
        <v>0</v>
      </c>
      <c r="BQ387" s="49">
        <f t="shared" si="134"/>
        <v>0</v>
      </c>
      <c r="BR387" s="49">
        <f t="shared" si="134"/>
        <v>0</v>
      </c>
      <c r="BS387" s="49">
        <f t="shared" si="134"/>
        <v>0</v>
      </c>
    </row>
    <row r="388" spans="1:93" outlineLevel="1" x14ac:dyDescent="0.2">
      <c r="D388" s="50" t="str">
        <f>HM_ZD_Moho!D410</f>
        <v>Remboursement du portage</v>
      </c>
      <c r="I388" s="30">
        <f t="shared" ca="1" si="133"/>
        <v>0</v>
      </c>
      <c r="J388" s="26" t="s">
        <v>148</v>
      </c>
      <c r="L388" s="49">
        <f ca="1">-MIN(SUM(L386:L387),SUM(L$342,L$347)*HM_ZD_AM3_2005!NOC_rpmt_max_perc)*HM_ZD_AM3_2005!NOC_CI_opex_rpmt</f>
        <v>0</v>
      </c>
      <c r="M388" s="49">
        <f ca="1">-MIN(SUM(M386:M387),SUM(M$342,M$347)*HM_ZD_AM3_2005!NOC_rpmt_max_perc)*HM_ZD_AM3_2005!NOC_CI_opex_rpmt</f>
        <v>0</v>
      </c>
      <c r="N388" s="49">
        <f ca="1">-MIN(SUM(N386:N387),SUM(N$342,N$347)*HM_ZD_AM3_2005!NOC_rpmt_max_perc)*HM_ZD_AM3_2005!NOC_CI_opex_rpmt</f>
        <v>0</v>
      </c>
      <c r="O388" s="49">
        <f ca="1">-MIN(SUM(O386:O387),SUM(O$342,O$347)*HM_ZD_AM3_2005!NOC_rpmt_max_perc)*HM_ZD_AM3_2005!NOC_CI_opex_rpmt</f>
        <v>0</v>
      </c>
      <c r="P388" s="49">
        <f ca="1">-MIN(SUM(P386:P387),SUM(P$342,P$347)*HM_ZD_AM3_2005!NOC_rpmt_max_perc)*HM_ZD_AM3_2005!NOC_CI_opex_rpmt</f>
        <v>0</v>
      </c>
      <c r="Q388" s="49">
        <f ca="1">-MIN(SUM(Q386:Q387),SUM(Q$342,Q$347)*HM_ZD_AM3_2005!NOC_rpmt_max_perc)*HM_ZD_AM3_2005!NOC_CI_opex_rpmt</f>
        <v>0</v>
      </c>
      <c r="R388" s="49">
        <f ca="1">-MIN(SUM(R386:R387),SUM(R$342,R$347)*HM_ZD_AM3_2005!NOC_rpmt_max_perc)*HM_ZD_AM3_2005!NOC_CI_opex_rpmt</f>
        <v>0</v>
      </c>
      <c r="S388" s="49">
        <f ca="1">-MIN(SUM(S386:S387),SUM(S$342,S$347)*HM_ZD_AM3_2005!NOC_rpmt_max_perc)*HM_ZD_AM3_2005!NOC_CI_opex_rpmt</f>
        <v>0</v>
      </c>
      <c r="T388" s="49">
        <f ca="1">-MIN(SUM(T386:T387),SUM(T$342,T$347)*HM_ZD_AM3_2005!NOC_rpmt_max_perc)*HM_ZD_AM3_2005!NOC_CI_opex_rpmt</f>
        <v>0</v>
      </c>
      <c r="U388" s="49">
        <f ca="1">-MIN(SUM(U386:U387),SUM(U$342,U$347)*HM_ZD_AM3_2005!NOC_rpmt_max_perc)*HM_ZD_AM3_2005!NOC_CI_opex_rpmt</f>
        <v>0</v>
      </c>
      <c r="V388" s="49">
        <f ca="1">-MIN(SUM(V386:V387),SUM(V$342,V$347)*HM_ZD_AM3_2005!NOC_rpmt_max_perc)*HM_ZD_AM3_2005!NOC_CI_opex_rpmt</f>
        <v>0</v>
      </c>
      <c r="W388" s="49">
        <f ca="1">-MIN(SUM(W386:W387),SUM(W$342,W$347)*HM_ZD_AM3_2005!NOC_rpmt_max_perc)*HM_ZD_AM3_2005!NOC_CI_opex_rpmt</f>
        <v>0</v>
      </c>
      <c r="X388" s="49">
        <f ca="1">-MIN(SUM(X386:X387),SUM(X$342,X$347)*HM_ZD_AM3_2005!NOC_rpmt_max_perc)*HM_ZD_AM3_2005!NOC_CI_opex_rpmt</f>
        <v>0</v>
      </c>
      <c r="Y388" s="49">
        <f ca="1">-MIN(SUM(Y386:Y387),SUM(Y$342,Y$347)*HM_ZD_AM3_2005!NOC_rpmt_max_perc)*HM_ZD_AM3_2005!NOC_CI_opex_rpmt</f>
        <v>0</v>
      </c>
      <c r="Z388" s="49">
        <f ca="1">-MIN(SUM(Z386:Z387),SUM(Z$342,Z$347)*HM_ZD_AM3_2005!NOC_rpmt_max_perc)*HM_ZD_AM3_2005!NOC_CI_opex_rpmt</f>
        <v>0</v>
      </c>
      <c r="AA388" s="49">
        <f ca="1">-MIN(SUM(AA386:AA387),SUM(AA$342,AA$347)*HM_ZD_AM3_2005!NOC_rpmt_max_perc)*HM_ZD_AM3_2005!NOC_CI_opex_rpmt</f>
        <v>0</v>
      </c>
      <c r="AB388" s="49">
        <f ca="1">-MIN(SUM(AB386:AB387),SUM(AB$342,AB$347)*HM_ZD_AM3_2005!NOC_rpmt_max_perc)*HM_ZD_AM3_2005!NOC_CI_opex_rpmt</f>
        <v>0</v>
      </c>
      <c r="AC388" s="49">
        <f ca="1">-MIN(SUM(AC386:AC387),SUM(AC$342,AC$347)*HM_ZD_AM3_2005!NOC_rpmt_max_perc)*HM_ZD_AM3_2005!NOC_CI_opex_rpmt</f>
        <v>0</v>
      </c>
      <c r="AD388" s="49">
        <f ca="1">-MIN(SUM(AD386:AD387),SUM(AD$342,AD$347)*HM_ZD_AM3_2005!NOC_rpmt_max_perc)*HM_ZD_AM3_2005!NOC_CI_opex_rpmt</f>
        <v>0</v>
      </c>
      <c r="AE388" s="49">
        <f ca="1">-MIN(SUM(AE386:AE387),SUM(AE$342,AE$347)*HM_ZD_AM3_2005!NOC_rpmt_max_perc)*HM_ZD_AM3_2005!NOC_CI_opex_rpmt</f>
        <v>0</v>
      </c>
      <c r="AF388" s="49">
        <f ca="1">-MIN(SUM(AF386:AF387),SUM(AF$342,AF$347)*HM_ZD_AM3_2005!NOC_rpmt_max_perc)*HM_ZD_AM3_2005!NOC_CI_opex_rpmt</f>
        <v>0</v>
      </c>
      <c r="AG388" s="49">
        <f ca="1">-MIN(SUM(AG386:AG387),SUM(AG$342,AG$347)*HM_ZD_AM3_2005!NOC_rpmt_max_perc)*HM_ZD_AM3_2005!NOC_CI_opex_rpmt</f>
        <v>0</v>
      </c>
      <c r="AH388" s="49">
        <f ca="1">-MIN(SUM(AH386:AH387),SUM(AH$342,AH$347)*HM_ZD_AM3_2005!NOC_rpmt_max_perc)*HM_ZD_AM3_2005!NOC_CI_opex_rpmt</f>
        <v>0</v>
      </c>
      <c r="AI388" s="49">
        <f ca="1">-MIN(SUM(AI386:AI387),SUM(AI$342,AI$347)*HM_ZD_AM3_2005!NOC_rpmt_max_perc)*HM_ZD_AM3_2005!NOC_CI_opex_rpmt</f>
        <v>0</v>
      </c>
      <c r="AJ388" s="49">
        <f ca="1">-MIN(SUM(AJ386:AJ387),SUM(AJ$342,AJ$347)*HM_ZD_AM3_2005!NOC_rpmt_max_perc)*HM_ZD_AM3_2005!NOC_CI_opex_rpmt</f>
        <v>0</v>
      </c>
      <c r="AK388" s="49">
        <f ca="1">-MIN(SUM(AK386:AK387),SUM(AK$342,AK$347)*HM_ZD_AM3_2005!NOC_rpmt_max_perc)*HM_ZD_AM3_2005!NOC_CI_opex_rpmt</f>
        <v>0</v>
      </c>
      <c r="AL388" s="49">
        <f ca="1">-MIN(SUM(AL386:AL387),SUM(AL$342,AL$347)*HM_ZD_AM3_2005!NOC_rpmt_max_perc)*HM_ZD_AM3_2005!NOC_CI_opex_rpmt</f>
        <v>0</v>
      </c>
      <c r="AM388" s="49">
        <f ca="1">-MIN(SUM(AM386:AM387),SUM(AM$342,AM$347)*HM_ZD_AM3_2005!NOC_rpmt_max_perc)*HM_ZD_AM3_2005!NOC_CI_opex_rpmt</f>
        <v>0</v>
      </c>
      <c r="AN388" s="49">
        <f ca="1">-MIN(SUM(AN386:AN387),SUM(AN$342,AN$347)*HM_ZD_AM3_2005!NOC_rpmt_max_perc)*HM_ZD_AM3_2005!NOC_CI_opex_rpmt</f>
        <v>0</v>
      </c>
      <c r="AO388" s="49">
        <f ca="1">-MIN(SUM(AO386:AO387),SUM(AO$342,AO$347)*HM_ZD_AM3_2005!NOC_rpmt_max_perc)*HM_ZD_AM3_2005!NOC_CI_opex_rpmt</f>
        <v>0</v>
      </c>
      <c r="AP388" s="49">
        <f ca="1">-MIN(SUM(AP386:AP387),SUM(AP$342,AP$347)*HM_ZD_AM3_2005!NOC_rpmt_max_perc)*HM_ZD_AM3_2005!NOC_CI_opex_rpmt</f>
        <v>0</v>
      </c>
      <c r="AQ388" s="49">
        <f ca="1">-MIN(SUM(AQ386:AQ387),SUM(AQ$342,AQ$347)*HM_ZD_AM3_2005!NOC_rpmt_max_perc)*HM_ZD_AM3_2005!NOC_CI_opex_rpmt</f>
        <v>0</v>
      </c>
      <c r="AR388" s="49">
        <f ca="1">-MIN(SUM(AR386:AR387),SUM(AR$342,AR$347)*HM_ZD_AM3_2005!NOC_rpmt_max_perc)*HM_ZD_AM3_2005!NOC_CI_opex_rpmt</f>
        <v>0</v>
      </c>
      <c r="AS388" s="49">
        <f ca="1">-MIN(SUM(AS386:AS387),SUM(AS$342,AS$347)*HM_ZD_AM3_2005!NOC_rpmt_max_perc)*HM_ZD_AM3_2005!NOC_CI_opex_rpmt</f>
        <v>0</v>
      </c>
      <c r="AT388" s="49">
        <f ca="1">-MIN(SUM(AT386:AT387),SUM(AT$342,AT$347)*HM_ZD_AM3_2005!NOC_rpmt_max_perc)*HM_ZD_AM3_2005!NOC_CI_opex_rpmt</f>
        <v>0</v>
      </c>
      <c r="AU388" s="49">
        <f ca="1">-MIN(SUM(AU386:AU387),SUM(AU$342,AU$347)*HM_ZD_AM3_2005!NOC_rpmt_max_perc)*HM_ZD_AM3_2005!NOC_CI_opex_rpmt</f>
        <v>0</v>
      </c>
      <c r="AV388" s="49">
        <f ca="1">-MIN(SUM(AV386:AV387),SUM(AV$342,AV$347)*HM_ZD_AM3_2005!NOC_rpmt_max_perc)*HM_ZD_AM3_2005!NOC_CI_opex_rpmt</f>
        <v>0</v>
      </c>
      <c r="AW388" s="49">
        <f ca="1">-MIN(SUM(AW386:AW387),SUM(AW$342,AW$347)*HM_ZD_AM3_2005!NOC_rpmt_max_perc)*HM_ZD_AM3_2005!NOC_CI_opex_rpmt</f>
        <v>0</v>
      </c>
      <c r="AX388" s="49">
        <f ca="1">-MIN(SUM(AX386:AX387),SUM(AX$342,AX$347)*HM_ZD_AM3_2005!NOC_rpmt_max_perc)*HM_ZD_AM3_2005!NOC_CI_opex_rpmt</f>
        <v>0</v>
      </c>
      <c r="AY388" s="49">
        <f ca="1">-MIN(SUM(AY386:AY387),SUM(AY$342,AY$347)*HM_ZD_AM3_2005!NOC_rpmt_max_perc)*HM_ZD_AM3_2005!NOC_CI_opex_rpmt</f>
        <v>0</v>
      </c>
      <c r="AZ388" s="49">
        <f ca="1">-MIN(SUM(AZ386:AZ387),SUM(AZ$342,AZ$347)*HM_ZD_AM3_2005!NOC_rpmt_max_perc)*HM_ZD_AM3_2005!NOC_CI_opex_rpmt</f>
        <v>0</v>
      </c>
      <c r="BA388" s="49">
        <f ca="1">-MIN(SUM(BA386:BA387),SUM(BA$342,BA$347)*HM_ZD_AM3_2005!NOC_rpmt_max_perc)*HM_ZD_AM3_2005!NOC_CI_opex_rpmt</f>
        <v>0</v>
      </c>
      <c r="BB388" s="49">
        <f ca="1">-MIN(SUM(BB386:BB387),SUM(BB$342,BB$347)*HM_ZD_AM3_2005!NOC_rpmt_max_perc)*HM_ZD_AM3_2005!NOC_CI_opex_rpmt</f>
        <v>0</v>
      </c>
      <c r="BC388" s="49">
        <f ca="1">-MIN(SUM(BC386:BC387),SUM(BC$342,BC$347)*HM_ZD_AM3_2005!NOC_rpmt_max_perc)*HM_ZD_AM3_2005!NOC_CI_opex_rpmt</f>
        <v>0</v>
      </c>
      <c r="BD388" s="49">
        <f ca="1">-MIN(SUM(BD386:BD387),SUM(BD$342,BD$347)*HM_ZD_AM3_2005!NOC_rpmt_max_perc)*HM_ZD_AM3_2005!NOC_CI_opex_rpmt</f>
        <v>0</v>
      </c>
      <c r="BE388" s="49">
        <f ca="1">-MIN(SUM(BE386:BE387),SUM(BE$342,BE$347)*HM_ZD_AM3_2005!NOC_rpmt_max_perc)*HM_ZD_AM3_2005!NOC_CI_opex_rpmt</f>
        <v>0</v>
      </c>
      <c r="BF388" s="49">
        <f ca="1">-MIN(SUM(BF386:BF387),SUM(BF$342,BF$347)*HM_ZD_AM3_2005!NOC_rpmt_max_perc)*HM_ZD_AM3_2005!NOC_CI_opex_rpmt</f>
        <v>0</v>
      </c>
      <c r="BG388" s="49">
        <f ca="1">-MIN(SUM(BG386:BG387),SUM(BG$342,BG$347)*HM_ZD_AM3_2005!NOC_rpmt_max_perc)*HM_ZD_AM3_2005!NOC_CI_opex_rpmt</f>
        <v>0</v>
      </c>
      <c r="BH388" s="49">
        <f ca="1">-MIN(SUM(BH386:BH387),SUM(BH$342,BH$347)*HM_ZD_AM3_2005!NOC_rpmt_max_perc)*HM_ZD_AM3_2005!NOC_CI_opex_rpmt</f>
        <v>0</v>
      </c>
      <c r="BI388" s="49">
        <f ca="1">-MIN(SUM(BI386:BI387),SUM(BI$342,BI$347)*HM_ZD_AM3_2005!NOC_rpmt_max_perc)*HM_ZD_AM3_2005!NOC_CI_opex_rpmt</f>
        <v>0</v>
      </c>
      <c r="BJ388" s="49">
        <f ca="1">-MIN(SUM(BJ386:BJ387),SUM(BJ$342,BJ$347)*HM_ZD_AM3_2005!NOC_rpmt_max_perc)*HM_ZD_AM3_2005!NOC_CI_opex_rpmt</f>
        <v>0</v>
      </c>
      <c r="BK388" s="49">
        <f ca="1">-MIN(SUM(BK386:BK387),SUM(BK$342,BK$347)*HM_ZD_AM3_2005!NOC_rpmt_max_perc)*HM_ZD_AM3_2005!NOC_CI_opex_rpmt</f>
        <v>0</v>
      </c>
      <c r="BL388" s="49">
        <f ca="1">-MIN(SUM(BL386:BL387),SUM(BL$342,BL$347)*HM_ZD_AM3_2005!NOC_rpmt_max_perc)*HM_ZD_AM3_2005!NOC_CI_opex_rpmt</f>
        <v>0</v>
      </c>
      <c r="BM388" s="49">
        <f ca="1">-MIN(SUM(BM386:BM387),SUM(BM$342,BM$347)*HM_ZD_AM3_2005!NOC_rpmt_max_perc)*HM_ZD_AM3_2005!NOC_CI_opex_rpmt</f>
        <v>0</v>
      </c>
      <c r="BN388" s="49">
        <f ca="1">-MIN(SUM(BN386:BN387),SUM(BN$342,BN$347)*HM_ZD_AM3_2005!NOC_rpmt_max_perc)*HM_ZD_AM3_2005!NOC_CI_opex_rpmt</f>
        <v>0</v>
      </c>
      <c r="BO388" s="49">
        <f ca="1">-MIN(SUM(BO386:BO387),SUM(BO$342,BO$347)*HM_ZD_AM3_2005!NOC_rpmt_max_perc)*HM_ZD_AM3_2005!NOC_CI_opex_rpmt</f>
        <v>0</v>
      </c>
      <c r="BP388" s="49">
        <f ca="1">-MIN(SUM(BP386:BP387),SUM(BP$342,BP$347)*HM_ZD_AM3_2005!NOC_rpmt_max_perc)*HM_ZD_AM3_2005!NOC_CI_opex_rpmt</f>
        <v>0</v>
      </c>
      <c r="BQ388" s="49">
        <f ca="1">-MIN(SUM(BQ386:BQ387),SUM(BQ$342,BQ$347)*HM_ZD_AM3_2005!NOC_rpmt_max_perc)*HM_ZD_AM3_2005!NOC_CI_opex_rpmt</f>
        <v>0</v>
      </c>
      <c r="BR388" s="49">
        <f ca="1">-MIN(SUM(BR386:BR387),SUM(BR$342,BR$347)*HM_ZD_AM3_2005!NOC_rpmt_max_perc)*HM_ZD_AM3_2005!NOC_CI_opex_rpmt</f>
        <v>0</v>
      </c>
      <c r="BS388" s="49">
        <f ca="1">-MIN(SUM(BS386:BS387),SUM(BS$342,BS$347)*HM_ZD_AM3_2005!NOC_rpmt_max_perc)*HM_ZD_AM3_2005!NOC_CI_opex_rpmt</f>
        <v>0</v>
      </c>
    </row>
    <row r="389" spans="1:93" outlineLevel="1" x14ac:dyDescent="0.2">
      <c r="D389" t="str">
        <f>HM_ZD_Moho!D411</f>
        <v>Coûts de portage Solde de clôture</v>
      </c>
      <c r="J389" s="26"/>
      <c r="L389" s="49">
        <f ca="1">SUM(L386:L388)</f>
        <v>0</v>
      </c>
      <c r="M389" s="49">
        <f t="shared" ref="M389:BS389" ca="1" si="135">SUM(M386:M388)</f>
        <v>0</v>
      </c>
      <c r="N389" s="49">
        <f t="shared" ca="1" si="135"/>
        <v>0</v>
      </c>
      <c r="O389" s="49">
        <f t="shared" ca="1" si="135"/>
        <v>0</v>
      </c>
      <c r="P389" s="49">
        <f t="shared" ca="1" si="135"/>
        <v>0</v>
      </c>
      <c r="Q389" s="49">
        <f t="shared" ca="1" si="135"/>
        <v>0</v>
      </c>
      <c r="R389" s="49">
        <f t="shared" ca="1" si="135"/>
        <v>0</v>
      </c>
      <c r="S389" s="49">
        <f t="shared" ca="1" si="135"/>
        <v>0</v>
      </c>
      <c r="T389" s="49">
        <f t="shared" ca="1" si="135"/>
        <v>0</v>
      </c>
      <c r="U389" s="49">
        <f t="shared" ca="1" si="135"/>
        <v>0</v>
      </c>
      <c r="V389" s="49">
        <f t="shared" ca="1" si="135"/>
        <v>0</v>
      </c>
      <c r="W389" s="49">
        <f t="shared" ca="1" si="135"/>
        <v>0</v>
      </c>
      <c r="X389" s="49">
        <f t="shared" ca="1" si="135"/>
        <v>0</v>
      </c>
      <c r="Y389" s="49">
        <f t="shared" ca="1" si="135"/>
        <v>0</v>
      </c>
      <c r="Z389" s="49">
        <f t="shared" ca="1" si="135"/>
        <v>0</v>
      </c>
      <c r="AA389" s="49">
        <f t="shared" ca="1" si="135"/>
        <v>0</v>
      </c>
      <c r="AB389" s="49">
        <f t="shared" ca="1" si="135"/>
        <v>0</v>
      </c>
      <c r="AC389" s="49">
        <f t="shared" ca="1" si="135"/>
        <v>0</v>
      </c>
      <c r="AD389" s="49">
        <f t="shared" ca="1" si="135"/>
        <v>0</v>
      </c>
      <c r="AE389" s="49">
        <f t="shared" ca="1" si="135"/>
        <v>0</v>
      </c>
      <c r="AF389" s="49">
        <f t="shared" ca="1" si="135"/>
        <v>0</v>
      </c>
      <c r="AG389" s="49">
        <f t="shared" ca="1" si="135"/>
        <v>0</v>
      </c>
      <c r="AH389" s="49">
        <f t="shared" ca="1" si="135"/>
        <v>0</v>
      </c>
      <c r="AI389" s="49">
        <f t="shared" ca="1" si="135"/>
        <v>0</v>
      </c>
      <c r="AJ389" s="49">
        <f t="shared" ca="1" si="135"/>
        <v>0</v>
      </c>
      <c r="AK389" s="49">
        <f t="shared" ca="1" si="135"/>
        <v>0</v>
      </c>
      <c r="AL389" s="49">
        <f t="shared" ca="1" si="135"/>
        <v>0</v>
      </c>
      <c r="AM389" s="49">
        <f t="shared" ca="1" si="135"/>
        <v>0</v>
      </c>
      <c r="AN389" s="49">
        <f t="shared" ca="1" si="135"/>
        <v>0</v>
      </c>
      <c r="AO389" s="49">
        <f t="shared" ca="1" si="135"/>
        <v>0</v>
      </c>
      <c r="AP389" s="49">
        <f t="shared" ca="1" si="135"/>
        <v>0</v>
      </c>
      <c r="AQ389" s="49">
        <f t="shared" ca="1" si="135"/>
        <v>0</v>
      </c>
      <c r="AR389" s="49">
        <f t="shared" ca="1" si="135"/>
        <v>0</v>
      </c>
      <c r="AS389" s="49">
        <f t="shared" ca="1" si="135"/>
        <v>0</v>
      </c>
      <c r="AT389" s="49">
        <f t="shared" ca="1" si="135"/>
        <v>0</v>
      </c>
      <c r="AU389" s="49">
        <f t="shared" ca="1" si="135"/>
        <v>0</v>
      </c>
      <c r="AV389" s="49">
        <f t="shared" ca="1" si="135"/>
        <v>0</v>
      </c>
      <c r="AW389" s="49">
        <f t="shared" ca="1" si="135"/>
        <v>0</v>
      </c>
      <c r="AX389" s="49">
        <f t="shared" ca="1" si="135"/>
        <v>0</v>
      </c>
      <c r="AY389" s="49">
        <f t="shared" ca="1" si="135"/>
        <v>0</v>
      </c>
      <c r="AZ389" s="49">
        <f t="shared" ca="1" si="135"/>
        <v>0</v>
      </c>
      <c r="BA389" s="49">
        <f t="shared" ca="1" si="135"/>
        <v>0</v>
      </c>
      <c r="BB389" s="49">
        <f t="shared" ca="1" si="135"/>
        <v>0</v>
      </c>
      <c r="BC389" s="49">
        <f t="shared" ca="1" si="135"/>
        <v>0</v>
      </c>
      <c r="BD389" s="49">
        <f t="shared" ca="1" si="135"/>
        <v>0</v>
      </c>
      <c r="BE389" s="49">
        <f t="shared" ca="1" si="135"/>
        <v>0</v>
      </c>
      <c r="BF389" s="49">
        <f t="shared" ca="1" si="135"/>
        <v>0</v>
      </c>
      <c r="BG389" s="49">
        <f t="shared" ca="1" si="135"/>
        <v>0</v>
      </c>
      <c r="BH389" s="49">
        <f t="shared" ca="1" si="135"/>
        <v>0</v>
      </c>
      <c r="BI389" s="49">
        <f t="shared" ca="1" si="135"/>
        <v>0</v>
      </c>
      <c r="BJ389" s="49">
        <f t="shared" ca="1" si="135"/>
        <v>0</v>
      </c>
      <c r="BK389" s="49">
        <f t="shared" ca="1" si="135"/>
        <v>0</v>
      </c>
      <c r="BL389" s="49">
        <f t="shared" ca="1" si="135"/>
        <v>0</v>
      </c>
      <c r="BM389" s="49">
        <f t="shared" ca="1" si="135"/>
        <v>0</v>
      </c>
      <c r="BN389" s="49">
        <f t="shared" ca="1" si="135"/>
        <v>0</v>
      </c>
      <c r="BO389" s="49">
        <f t="shared" ca="1" si="135"/>
        <v>0</v>
      </c>
      <c r="BP389" s="49">
        <f t="shared" ca="1" si="135"/>
        <v>0</v>
      </c>
      <c r="BQ389" s="49">
        <f t="shared" ca="1" si="135"/>
        <v>0</v>
      </c>
      <c r="BR389" s="49">
        <f t="shared" ca="1" si="135"/>
        <v>0</v>
      </c>
      <c r="BS389" s="49">
        <f t="shared" ca="1" si="135"/>
        <v>0</v>
      </c>
    </row>
    <row r="390" spans="1:93" outlineLevel="1" x14ac:dyDescent="0.2">
      <c r="J390" s="26"/>
      <c r="L390" s="55"/>
      <c r="M390" s="55"/>
      <c r="N390" s="55"/>
      <c r="O390" s="55"/>
      <c r="P390" s="55"/>
      <c r="Q390" s="55"/>
      <c r="R390" s="55"/>
      <c r="S390" s="55"/>
      <c r="T390" s="55"/>
      <c r="U390" s="55"/>
      <c r="V390" s="55"/>
      <c r="W390" s="55"/>
      <c r="X390" s="55"/>
      <c r="Y390" s="55"/>
      <c r="Z390" s="55"/>
      <c r="AA390" s="55"/>
      <c r="AB390" s="55"/>
      <c r="AC390" s="55"/>
      <c r="AD390" s="55"/>
      <c r="AE390" s="55"/>
      <c r="AF390" s="55"/>
      <c r="AG390" s="55"/>
      <c r="AH390" s="55"/>
      <c r="AI390" s="55"/>
      <c r="AJ390" s="55"/>
      <c r="AK390" s="55"/>
      <c r="AL390" s="55"/>
      <c r="AM390" s="55"/>
      <c r="AN390" s="55"/>
      <c r="AO390" s="55"/>
      <c r="AP390" s="55"/>
      <c r="AQ390" s="55"/>
      <c r="AR390" s="55"/>
      <c r="AS390" s="55"/>
      <c r="AT390" s="55"/>
      <c r="AU390" s="55"/>
      <c r="AV390" s="55"/>
      <c r="AW390" s="55"/>
      <c r="AX390" s="55"/>
      <c r="AY390" s="55"/>
      <c r="AZ390" s="55"/>
      <c r="BA390" s="55"/>
      <c r="BB390" s="55"/>
      <c r="BC390" s="55"/>
      <c r="BD390" s="55"/>
      <c r="BE390" s="55"/>
      <c r="BF390" s="55"/>
      <c r="BG390" s="55"/>
      <c r="BH390" s="55"/>
      <c r="BI390" s="55"/>
      <c r="BJ390" s="55"/>
      <c r="BK390" s="55"/>
      <c r="BL390" s="55"/>
      <c r="BM390" s="55"/>
      <c r="BN390" s="55"/>
      <c r="BO390" s="55"/>
      <c r="BP390" s="55"/>
      <c r="BQ390" s="55"/>
      <c r="BR390" s="55"/>
      <c r="BS390" s="55"/>
    </row>
    <row r="391" spans="1:93" outlineLevel="1" x14ac:dyDescent="0.2">
      <c r="C391" t="str">
        <f>HM_ZD_Moho!C413</f>
        <v>Total coûts portés compagnie nationale</v>
      </c>
      <c r="I391" s="30">
        <f t="shared" ref="I391:I392" ca="1" si="136">SUM($L391:$BS391)</f>
        <v>510.74909999999994</v>
      </c>
      <c r="J391" s="26" t="s">
        <v>148</v>
      </c>
      <c r="K391" s="7" t="s">
        <v>351</v>
      </c>
      <c r="L391" s="49">
        <f ca="1">L371</f>
        <v>193.01729999999998</v>
      </c>
      <c r="M391" s="49">
        <f t="shared" ref="M391:BS391" ca="1" si="137">M371</f>
        <v>317.73179999999996</v>
      </c>
      <c r="N391" s="49">
        <f t="shared" si="137"/>
        <v>0</v>
      </c>
      <c r="O391" s="49">
        <f t="shared" si="137"/>
        <v>0</v>
      </c>
      <c r="P391" s="49">
        <f t="shared" si="137"/>
        <v>0</v>
      </c>
      <c r="Q391" s="49">
        <f t="shared" si="137"/>
        <v>0</v>
      </c>
      <c r="R391" s="49">
        <f t="shared" si="137"/>
        <v>0</v>
      </c>
      <c r="S391" s="49">
        <f t="shared" si="137"/>
        <v>0</v>
      </c>
      <c r="T391" s="49">
        <f t="shared" si="137"/>
        <v>0</v>
      </c>
      <c r="U391" s="49">
        <f t="shared" si="137"/>
        <v>0</v>
      </c>
      <c r="V391" s="49">
        <f t="shared" si="137"/>
        <v>0</v>
      </c>
      <c r="W391" s="49">
        <f t="shared" si="137"/>
        <v>0</v>
      </c>
      <c r="X391" s="49">
        <f t="shared" si="137"/>
        <v>0</v>
      </c>
      <c r="Y391" s="49">
        <f t="shared" si="137"/>
        <v>0</v>
      </c>
      <c r="Z391" s="49">
        <f t="shared" si="137"/>
        <v>0</v>
      </c>
      <c r="AA391" s="49">
        <f t="shared" si="137"/>
        <v>0</v>
      </c>
      <c r="AB391" s="49">
        <f t="shared" si="137"/>
        <v>0</v>
      </c>
      <c r="AC391" s="49">
        <f t="shared" si="137"/>
        <v>0</v>
      </c>
      <c r="AD391" s="49">
        <f t="shared" si="137"/>
        <v>0</v>
      </c>
      <c r="AE391" s="49">
        <f t="shared" si="137"/>
        <v>0</v>
      </c>
      <c r="AF391" s="49">
        <f t="shared" si="137"/>
        <v>0</v>
      </c>
      <c r="AG391" s="49">
        <f t="shared" si="137"/>
        <v>0</v>
      </c>
      <c r="AH391" s="49">
        <f t="shared" si="137"/>
        <v>0</v>
      </c>
      <c r="AI391" s="49">
        <f t="shared" si="137"/>
        <v>0</v>
      </c>
      <c r="AJ391" s="49">
        <f t="shared" si="137"/>
        <v>0</v>
      </c>
      <c r="AK391" s="49">
        <f t="shared" si="137"/>
        <v>0</v>
      </c>
      <c r="AL391" s="49">
        <f t="shared" si="137"/>
        <v>0</v>
      </c>
      <c r="AM391" s="49">
        <f t="shared" si="137"/>
        <v>0</v>
      </c>
      <c r="AN391" s="49">
        <f t="shared" si="137"/>
        <v>0</v>
      </c>
      <c r="AO391" s="49">
        <f t="shared" si="137"/>
        <v>0</v>
      </c>
      <c r="AP391" s="49">
        <f t="shared" si="137"/>
        <v>0</v>
      </c>
      <c r="AQ391" s="49">
        <f t="shared" si="137"/>
        <v>0</v>
      </c>
      <c r="AR391" s="49">
        <f t="shared" si="137"/>
        <v>0</v>
      </c>
      <c r="AS391" s="49">
        <f t="shared" si="137"/>
        <v>0</v>
      </c>
      <c r="AT391" s="49">
        <f t="shared" si="137"/>
        <v>0</v>
      </c>
      <c r="AU391" s="49">
        <f t="shared" si="137"/>
        <v>0</v>
      </c>
      <c r="AV391" s="49">
        <f t="shared" si="137"/>
        <v>0</v>
      </c>
      <c r="AW391" s="49">
        <f t="shared" si="137"/>
        <v>0</v>
      </c>
      <c r="AX391" s="49">
        <f t="shared" si="137"/>
        <v>0</v>
      </c>
      <c r="AY391" s="49">
        <f t="shared" si="137"/>
        <v>0</v>
      </c>
      <c r="AZ391" s="49">
        <f t="shared" si="137"/>
        <v>0</v>
      </c>
      <c r="BA391" s="49">
        <f t="shared" si="137"/>
        <v>0</v>
      </c>
      <c r="BB391" s="49">
        <f t="shared" si="137"/>
        <v>0</v>
      </c>
      <c r="BC391" s="49">
        <f t="shared" si="137"/>
        <v>0</v>
      </c>
      <c r="BD391" s="49">
        <f t="shared" si="137"/>
        <v>0</v>
      </c>
      <c r="BE391" s="49">
        <f t="shared" si="137"/>
        <v>0</v>
      </c>
      <c r="BF391" s="49">
        <f t="shared" si="137"/>
        <v>0</v>
      </c>
      <c r="BG391" s="49">
        <f t="shared" si="137"/>
        <v>0</v>
      </c>
      <c r="BH391" s="49">
        <f t="shared" si="137"/>
        <v>0</v>
      </c>
      <c r="BI391" s="49">
        <f t="shared" si="137"/>
        <v>0</v>
      </c>
      <c r="BJ391" s="49">
        <f t="shared" si="137"/>
        <v>0</v>
      </c>
      <c r="BK391" s="49">
        <f t="shared" si="137"/>
        <v>0</v>
      </c>
      <c r="BL391" s="49">
        <f t="shared" si="137"/>
        <v>0</v>
      </c>
      <c r="BM391" s="49">
        <f t="shared" si="137"/>
        <v>0</v>
      </c>
      <c r="BN391" s="49">
        <f t="shared" si="137"/>
        <v>0</v>
      </c>
      <c r="BO391" s="49">
        <f t="shared" si="137"/>
        <v>0</v>
      </c>
      <c r="BP391" s="49">
        <f t="shared" si="137"/>
        <v>0</v>
      </c>
      <c r="BQ391" s="49">
        <f t="shared" si="137"/>
        <v>0</v>
      </c>
      <c r="BR391" s="49">
        <f t="shared" si="137"/>
        <v>0</v>
      </c>
      <c r="BS391" s="49">
        <f t="shared" si="137"/>
        <v>0</v>
      </c>
    </row>
    <row r="392" spans="1:93" outlineLevel="1" x14ac:dyDescent="0.2">
      <c r="C392" t="str">
        <f>HM_ZD_Moho!C414</f>
        <v>Total Remboursement du portage</v>
      </c>
      <c r="I392" s="30">
        <f t="shared" ca="1" si="136"/>
        <v>-153.21477752094415</v>
      </c>
      <c r="J392" s="26" t="s">
        <v>148</v>
      </c>
      <c r="K392" s="7" t="s">
        <v>352</v>
      </c>
      <c r="L392" s="49">
        <f ca="1">SUM(L376,L382,L388)</f>
        <v>-77.710963826486108</v>
      </c>
      <c r="M392" s="49">
        <f t="shared" ref="M392:BS392" ca="1" si="138">SUM(M376,M382,M388)</f>
        <v>-75.50381369445806</v>
      </c>
      <c r="N392" s="49">
        <f t="shared" ca="1" si="138"/>
        <v>0</v>
      </c>
      <c r="O392" s="49">
        <f t="shared" ca="1" si="138"/>
        <v>0</v>
      </c>
      <c r="P392" s="49">
        <f t="shared" ca="1" si="138"/>
        <v>0</v>
      </c>
      <c r="Q392" s="49">
        <f t="shared" ca="1" si="138"/>
        <v>0</v>
      </c>
      <c r="R392" s="49">
        <f t="shared" ca="1" si="138"/>
        <v>0</v>
      </c>
      <c r="S392" s="49">
        <f t="shared" ca="1" si="138"/>
        <v>0</v>
      </c>
      <c r="T392" s="49">
        <f t="shared" ca="1" si="138"/>
        <v>0</v>
      </c>
      <c r="U392" s="49">
        <f t="shared" ca="1" si="138"/>
        <v>0</v>
      </c>
      <c r="V392" s="49">
        <f t="shared" ca="1" si="138"/>
        <v>0</v>
      </c>
      <c r="W392" s="49">
        <f t="shared" ca="1" si="138"/>
        <v>0</v>
      </c>
      <c r="X392" s="49">
        <f t="shared" ca="1" si="138"/>
        <v>0</v>
      </c>
      <c r="Y392" s="49">
        <f t="shared" ca="1" si="138"/>
        <v>0</v>
      </c>
      <c r="Z392" s="49">
        <f t="shared" ca="1" si="138"/>
        <v>0</v>
      </c>
      <c r="AA392" s="49">
        <f t="shared" ca="1" si="138"/>
        <v>0</v>
      </c>
      <c r="AB392" s="49">
        <f t="shared" ca="1" si="138"/>
        <v>0</v>
      </c>
      <c r="AC392" s="49">
        <f t="shared" ca="1" si="138"/>
        <v>0</v>
      </c>
      <c r="AD392" s="49">
        <f t="shared" ca="1" si="138"/>
        <v>0</v>
      </c>
      <c r="AE392" s="49">
        <f t="shared" ca="1" si="138"/>
        <v>0</v>
      </c>
      <c r="AF392" s="49">
        <f t="shared" ca="1" si="138"/>
        <v>0</v>
      </c>
      <c r="AG392" s="49">
        <f t="shared" ca="1" si="138"/>
        <v>0</v>
      </c>
      <c r="AH392" s="49">
        <f t="shared" ca="1" si="138"/>
        <v>0</v>
      </c>
      <c r="AI392" s="49">
        <f t="shared" ca="1" si="138"/>
        <v>0</v>
      </c>
      <c r="AJ392" s="49">
        <f t="shared" ca="1" si="138"/>
        <v>0</v>
      </c>
      <c r="AK392" s="49">
        <f t="shared" ca="1" si="138"/>
        <v>0</v>
      </c>
      <c r="AL392" s="49">
        <f t="shared" ca="1" si="138"/>
        <v>0</v>
      </c>
      <c r="AM392" s="49">
        <f t="shared" ca="1" si="138"/>
        <v>0</v>
      </c>
      <c r="AN392" s="49">
        <f t="shared" ca="1" si="138"/>
        <v>0</v>
      </c>
      <c r="AO392" s="49">
        <f t="shared" ca="1" si="138"/>
        <v>0</v>
      </c>
      <c r="AP392" s="49">
        <f t="shared" ca="1" si="138"/>
        <v>0</v>
      </c>
      <c r="AQ392" s="49">
        <f t="shared" ca="1" si="138"/>
        <v>0</v>
      </c>
      <c r="AR392" s="49">
        <f t="shared" ca="1" si="138"/>
        <v>0</v>
      </c>
      <c r="AS392" s="49">
        <f t="shared" ca="1" si="138"/>
        <v>0</v>
      </c>
      <c r="AT392" s="49">
        <f t="shared" ca="1" si="138"/>
        <v>0</v>
      </c>
      <c r="AU392" s="49">
        <f t="shared" ca="1" si="138"/>
        <v>0</v>
      </c>
      <c r="AV392" s="49">
        <f t="shared" ca="1" si="138"/>
        <v>0</v>
      </c>
      <c r="AW392" s="49">
        <f t="shared" ca="1" si="138"/>
        <v>0</v>
      </c>
      <c r="AX392" s="49">
        <f t="shared" ca="1" si="138"/>
        <v>0</v>
      </c>
      <c r="AY392" s="49">
        <f t="shared" ca="1" si="138"/>
        <v>0</v>
      </c>
      <c r="AZ392" s="49">
        <f t="shared" ca="1" si="138"/>
        <v>0</v>
      </c>
      <c r="BA392" s="49">
        <f t="shared" ca="1" si="138"/>
        <v>0</v>
      </c>
      <c r="BB392" s="49">
        <f t="shared" ca="1" si="138"/>
        <v>0</v>
      </c>
      <c r="BC392" s="49">
        <f t="shared" ca="1" si="138"/>
        <v>0</v>
      </c>
      <c r="BD392" s="49">
        <f t="shared" ca="1" si="138"/>
        <v>0</v>
      </c>
      <c r="BE392" s="49">
        <f t="shared" ca="1" si="138"/>
        <v>0</v>
      </c>
      <c r="BF392" s="49">
        <f t="shared" ca="1" si="138"/>
        <v>0</v>
      </c>
      <c r="BG392" s="49">
        <f t="shared" ca="1" si="138"/>
        <v>0</v>
      </c>
      <c r="BH392" s="49">
        <f t="shared" ca="1" si="138"/>
        <v>0</v>
      </c>
      <c r="BI392" s="49">
        <f t="shared" ca="1" si="138"/>
        <v>0</v>
      </c>
      <c r="BJ392" s="49">
        <f t="shared" ca="1" si="138"/>
        <v>0</v>
      </c>
      <c r="BK392" s="49">
        <f t="shared" ca="1" si="138"/>
        <v>0</v>
      </c>
      <c r="BL392" s="49">
        <f t="shared" ca="1" si="138"/>
        <v>0</v>
      </c>
      <c r="BM392" s="49">
        <f t="shared" ca="1" si="138"/>
        <v>0</v>
      </c>
      <c r="BN392" s="49">
        <f t="shared" ca="1" si="138"/>
        <v>0</v>
      </c>
      <c r="BO392" s="49">
        <f t="shared" ca="1" si="138"/>
        <v>0</v>
      </c>
      <c r="BP392" s="49">
        <f t="shared" ca="1" si="138"/>
        <v>0</v>
      </c>
      <c r="BQ392" s="49">
        <f t="shared" ca="1" si="138"/>
        <v>0</v>
      </c>
      <c r="BR392" s="49">
        <f t="shared" ca="1" si="138"/>
        <v>0</v>
      </c>
      <c r="BS392" s="49">
        <f t="shared" ca="1" si="138"/>
        <v>0</v>
      </c>
    </row>
    <row r="393" spans="1:93" outlineLevel="1" x14ac:dyDescent="0.2">
      <c r="J393" s="26"/>
      <c r="L393" s="55"/>
      <c r="M393" s="55"/>
      <c r="N393" s="55"/>
      <c r="O393" s="55"/>
      <c r="P393" s="55"/>
      <c r="Q393" s="55"/>
      <c r="R393" s="55"/>
      <c r="S393" s="55"/>
      <c r="T393" s="55"/>
      <c r="U393" s="55"/>
      <c r="V393" s="55"/>
      <c r="W393" s="55"/>
      <c r="X393" s="55"/>
      <c r="Y393" s="55"/>
      <c r="Z393" s="55"/>
      <c r="AA393" s="55"/>
      <c r="AB393" s="55"/>
      <c r="AC393" s="55"/>
      <c r="AD393" s="55"/>
      <c r="AE393" s="55"/>
      <c r="AF393" s="55"/>
      <c r="AG393" s="55"/>
      <c r="AH393" s="55"/>
      <c r="AI393" s="55"/>
      <c r="AJ393" s="55"/>
      <c r="AK393" s="55"/>
      <c r="AL393" s="55"/>
      <c r="AM393" s="55"/>
      <c r="AN393" s="55"/>
      <c r="AO393" s="55"/>
      <c r="AP393" s="55"/>
      <c r="AQ393" s="55"/>
      <c r="AR393" s="55"/>
      <c r="AS393" s="55"/>
      <c r="AT393" s="55"/>
      <c r="AU393" s="55"/>
      <c r="AV393" s="55"/>
      <c r="AW393" s="55"/>
      <c r="AX393" s="55"/>
      <c r="AY393" s="55"/>
      <c r="AZ393" s="55"/>
      <c r="BA393" s="55"/>
      <c r="BB393" s="55"/>
      <c r="BC393" s="55"/>
      <c r="BD393" s="55"/>
      <c r="BE393" s="55"/>
      <c r="BF393" s="55"/>
      <c r="BG393" s="55"/>
      <c r="BH393" s="55"/>
      <c r="BI393" s="55"/>
      <c r="BJ393" s="55"/>
      <c r="BK393" s="55"/>
      <c r="BL393" s="55"/>
      <c r="BM393" s="55"/>
      <c r="BN393" s="55"/>
      <c r="BO393" s="55"/>
      <c r="BP393" s="55"/>
      <c r="BQ393" s="55"/>
      <c r="BR393" s="55"/>
      <c r="BS393" s="55"/>
    </row>
    <row r="394" spans="1:93" outlineLevel="1" x14ac:dyDescent="0.2">
      <c r="J394" s="26"/>
      <c r="L394" s="55"/>
      <c r="M394" s="55"/>
      <c r="N394" s="55"/>
      <c r="O394" s="55"/>
      <c r="P394" s="55"/>
      <c r="Q394" s="55"/>
      <c r="R394" s="55"/>
      <c r="S394" s="55"/>
      <c r="T394" s="55"/>
      <c r="U394" s="55"/>
      <c r="V394" s="55"/>
      <c r="W394" s="55"/>
      <c r="X394" s="55"/>
      <c r="Y394" s="55"/>
      <c r="Z394" s="55"/>
      <c r="AA394" s="55"/>
      <c r="AB394" s="55"/>
      <c r="AC394" s="55"/>
      <c r="AD394" s="55"/>
      <c r="AE394" s="55"/>
      <c r="AF394" s="55"/>
      <c r="AG394" s="55"/>
      <c r="AH394" s="55"/>
      <c r="AI394" s="55"/>
      <c r="AJ394" s="55"/>
      <c r="AK394" s="55"/>
      <c r="AL394" s="55"/>
      <c r="AM394" s="55"/>
      <c r="AN394" s="55"/>
      <c r="AO394" s="55"/>
      <c r="AP394" s="55"/>
      <c r="AQ394" s="55"/>
      <c r="AR394" s="55"/>
      <c r="AS394" s="55"/>
      <c r="AT394" s="55"/>
      <c r="AU394" s="55"/>
      <c r="AV394" s="55"/>
      <c r="AW394" s="55"/>
      <c r="AX394" s="55"/>
      <c r="AY394" s="55"/>
      <c r="AZ394" s="55"/>
      <c r="BA394" s="55"/>
      <c r="BB394" s="55"/>
      <c r="BC394" s="55"/>
      <c r="BD394" s="55"/>
      <c r="BE394" s="55"/>
      <c r="BF394" s="55"/>
      <c r="BG394" s="55"/>
      <c r="BH394" s="55"/>
      <c r="BI394" s="55"/>
      <c r="BJ394" s="55"/>
      <c r="BK394" s="55"/>
      <c r="BL394" s="55"/>
      <c r="BM394" s="55"/>
      <c r="BN394" s="55"/>
      <c r="BO394" s="55"/>
      <c r="BP394" s="55"/>
      <c r="BQ394" s="55"/>
      <c r="BR394" s="55"/>
      <c r="BS394" s="55"/>
    </row>
    <row r="395" spans="1:93" outlineLevel="1" x14ac:dyDescent="0.2">
      <c r="J395" s="26"/>
      <c r="L395" s="55"/>
      <c r="M395" s="55"/>
      <c r="N395" s="55"/>
      <c r="O395" s="55"/>
      <c r="P395" s="55"/>
      <c r="Q395" s="55"/>
      <c r="R395" s="55"/>
      <c r="S395" s="55"/>
      <c r="T395" s="55"/>
      <c r="U395" s="55"/>
      <c r="V395" s="55"/>
      <c r="W395" s="55"/>
      <c r="X395" s="55"/>
      <c r="Y395" s="55"/>
      <c r="Z395" s="55"/>
      <c r="AA395" s="55"/>
      <c r="AB395" s="55"/>
      <c r="AC395" s="55"/>
      <c r="AD395" s="55"/>
      <c r="AE395" s="55"/>
      <c r="AF395" s="55"/>
      <c r="AG395" s="55"/>
      <c r="AH395" s="55"/>
      <c r="AI395" s="55"/>
      <c r="AJ395" s="55"/>
      <c r="AK395" s="55"/>
      <c r="AL395" s="55"/>
      <c r="AM395" s="55"/>
      <c r="AN395" s="55"/>
      <c r="AO395" s="55"/>
      <c r="AP395" s="55"/>
      <c r="AQ395" s="55"/>
      <c r="AR395" s="55"/>
      <c r="AS395" s="55"/>
      <c r="AT395" s="55"/>
      <c r="AU395" s="55"/>
      <c r="AV395" s="55"/>
      <c r="AW395" s="55"/>
      <c r="AX395" s="55"/>
      <c r="AY395" s="55"/>
      <c r="AZ395" s="55"/>
      <c r="BA395" s="55"/>
      <c r="BB395" s="55"/>
      <c r="BC395" s="55"/>
      <c r="BD395" s="55"/>
      <c r="BE395" s="55"/>
      <c r="BF395" s="55"/>
      <c r="BG395" s="55"/>
      <c r="BH395" s="55"/>
      <c r="BI395" s="55"/>
      <c r="BJ395" s="55"/>
      <c r="BK395" s="55"/>
      <c r="BL395" s="55"/>
      <c r="BM395" s="55"/>
      <c r="BN395" s="55"/>
      <c r="BO395" s="55"/>
      <c r="BP395" s="55"/>
      <c r="BQ395" s="55"/>
      <c r="BR395" s="55"/>
      <c r="BS395" s="55"/>
    </row>
    <row r="396" spans="1:93" x14ac:dyDescent="0.2">
      <c r="J396" s="26"/>
      <c r="L396" s="55"/>
      <c r="M396" s="55"/>
      <c r="N396" s="55"/>
      <c r="O396" s="55"/>
      <c r="P396" s="55"/>
      <c r="Q396" s="55"/>
      <c r="R396" s="55"/>
      <c r="S396" s="55"/>
      <c r="T396" s="55"/>
      <c r="U396" s="55"/>
      <c r="V396" s="55"/>
      <c r="W396" s="55"/>
      <c r="X396" s="55"/>
      <c r="Y396" s="55"/>
      <c r="Z396" s="55"/>
      <c r="AA396" s="55"/>
      <c r="AB396" s="55"/>
      <c r="AC396" s="55"/>
      <c r="AD396" s="55"/>
      <c r="AE396" s="55"/>
      <c r="AF396" s="55"/>
      <c r="AG396" s="55"/>
      <c r="AH396" s="55"/>
      <c r="AI396" s="55"/>
      <c r="AJ396" s="55"/>
      <c r="AK396" s="55"/>
      <c r="AL396" s="55"/>
      <c r="AM396" s="55"/>
      <c r="AN396" s="55"/>
      <c r="AO396" s="55"/>
      <c r="AP396" s="55"/>
      <c r="AQ396" s="55"/>
      <c r="AR396" s="55"/>
      <c r="AS396" s="55"/>
      <c r="AT396" s="55"/>
      <c r="AU396" s="55"/>
      <c r="AV396" s="55"/>
      <c r="AW396" s="55"/>
      <c r="AX396" s="55"/>
      <c r="AY396" s="55"/>
      <c r="AZ396" s="55"/>
      <c r="BA396" s="55"/>
      <c r="BB396" s="55"/>
      <c r="BC396" s="55"/>
      <c r="BD396" s="55"/>
      <c r="BE396" s="55"/>
      <c r="BF396" s="55"/>
      <c r="BG396" s="55"/>
      <c r="BH396" s="55"/>
      <c r="BI396" s="55"/>
      <c r="BJ396" s="55"/>
      <c r="BK396" s="55"/>
      <c r="BL396" s="55"/>
      <c r="BM396" s="55"/>
      <c r="BN396" s="55"/>
      <c r="BO396" s="55"/>
      <c r="BP396" s="55"/>
      <c r="BQ396" s="55"/>
      <c r="BR396" s="55"/>
      <c r="BS396" s="55"/>
    </row>
    <row r="397" spans="1:93" ht="16" thickBot="1" x14ac:dyDescent="0.25">
      <c r="J397" s="26"/>
      <c r="L397" s="55"/>
      <c r="M397" s="55"/>
      <c r="N397" s="55"/>
      <c r="O397" s="55"/>
      <c r="P397" s="55"/>
      <c r="Q397" s="55"/>
      <c r="R397" s="55"/>
      <c r="S397" s="55"/>
      <c r="T397" s="55"/>
      <c r="U397" s="55"/>
      <c r="V397" s="55"/>
      <c r="W397" s="55"/>
      <c r="X397" s="55"/>
      <c r="Y397" s="55"/>
      <c r="Z397" s="55"/>
      <c r="AA397" s="55"/>
      <c r="AB397" s="55"/>
      <c r="AC397" s="55"/>
      <c r="AD397" s="55"/>
      <c r="AE397" s="55"/>
      <c r="AF397" s="55"/>
      <c r="AG397" s="55"/>
      <c r="AH397" s="55"/>
      <c r="AI397" s="55"/>
      <c r="AJ397" s="55"/>
      <c r="AK397" s="55"/>
      <c r="AL397" s="55"/>
      <c r="AM397" s="55"/>
      <c r="AN397" s="55"/>
      <c r="AO397" s="55"/>
      <c r="AP397" s="55"/>
      <c r="AQ397" s="55"/>
      <c r="AR397" s="55"/>
      <c r="AS397" s="55"/>
      <c r="AT397" s="55"/>
      <c r="AU397" s="55"/>
      <c r="AV397" s="55"/>
      <c r="AW397" s="55"/>
      <c r="AX397" s="55"/>
      <c r="AY397" s="55"/>
      <c r="AZ397" s="55"/>
      <c r="BA397" s="55"/>
      <c r="BB397" s="55"/>
      <c r="BC397" s="55"/>
      <c r="BD397" s="55"/>
      <c r="BE397" s="55"/>
      <c r="BF397" s="55"/>
      <c r="BG397" s="55"/>
      <c r="BH397" s="55"/>
      <c r="BI397" s="55"/>
      <c r="BJ397" s="55"/>
      <c r="BK397" s="55"/>
      <c r="BL397" s="55"/>
      <c r="BM397" s="55"/>
      <c r="BN397" s="55"/>
      <c r="BO397" s="55"/>
      <c r="BP397" s="55"/>
      <c r="BQ397" s="55"/>
      <c r="BR397" s="55"/>
      <c r="BS397" s="55"/>
    </row>
    <row r="398" spans="1:93" ht="22" thickBot="1" x14ac:dyDescent="0.25">
      <c r="A398" s="8"/>
      <c r="B398" s="221" t="str">
        <f>HM_ZD_Moho!B420</f>
        <v>Flux de trésorerie</v>
      </c>
      <c r="C398" s="222">
        <f>HM_ZD_Moho!C420</f>
        <v>0</v>
      </c>
      <c r="D398" s="222">
        <f>HM_ZD_Moho!D420</f>
        <v>0</v>
      </c>
      <c r="E398" s="223">
        <f>HM_ZD_Moho!E420</f>
        <v>0</v>
      </c>
      <c r="F398" s="9"/>
      <c r="G398" s="9"/>
      <c r="H398" s="9"/>
      <c r="I398" s="9"/>
      <c r="J398" s="48"/>
      <c r="K398" s="10"/>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c r="BY398" s="9"/>
      <c r="BZ398" s="9"/>
      <c r="CA398" s="9"/>
      <c r="CB398" s="9"/>
      <c r="CC398" s="9"/>
      <c r="CD398" s="9"/>
      <c r="CE398" s="9"/>
      <c r="CF398" s="9"/>
      <c r="CG398" s="9"/>
      <c r="CH398" s="9"/>
      <c r="CI398" s="9"/>
      <c r="CJ398" s="9"/>
      <c r="CK398" s="9"/>
      <c r="CL398" s="9"/>
      <c r="CM398" s="9"/>
      <c r="CN398" s="9"/>
      <c r="CO398" s="9"/>
    </row>
    <row r="399" spans="1:93" outlineLevel="1" x14ac:dyDescent="0.2">
      <c r="J399" s="26"/>
      <c r="L399" s="55"/>
      <c r="M399" s="55"/>
      <c r="N399" s="55"/>
      <c r="O399" s="55"/>
      <c r="P399" s="55"/>
      <c r="Q399" s="55"/>
      <c r="R399" s="55"/>
      <c r="S399" s="55"/>
      <c r="T399" s="55"/>
      <c r="U399" s="55"/>
      <c r="V399" s="55"/>
      <c r="W399" s="55"/>
      <c r="X399" s="55"/>
      <c r="Y399" s="55"/>
      <c r="Z399" s="55"/>
      <c r="AA399" s="55"/>
      <c r="AB399" s="55"/>
      <c r="AC399" s="55"/>
      <c r="AD399" s="55"/>
      <c r="AE399" s="55"/>
      <c r="AF399" s="55"/>
      <c r="AG399" s="55"/>
      <c r="AH399" s="55"/>
      <c r="AI399" s="55"/>
      <c r="AJ399" s="55"/>
      <c r="AK399" s="55"/>
      <c r="AL399" s="55"/>
      <c r="AM399" s="55"/>
      <c r="AN399" s="55"/>
      <c r="AO399" s="55"/>
      <c r="AP399" s="55"/>
      <c r="AQ399" s="55"/>
      <c r="AR399" s="55"/>
      <c r="AS399" s="55"/>
      <c r="AT399" s="55"/>
      <c r="AU399" s="55"/>
      <c r="AV399" s="55"/>
      <c r="AW399" s="55"/>
      <c r="AX399" s="55"/>
      <c r="AY399" s="55"/>
      <c r="AZ399" s="55"/>
      <c r="BA399" s="55"/>
      <c r="BB399" s="55"/>
      <c r="BC399" s="55"/>
      <c r="BD399" s="55"/>
      <c r="BE399" s="55"/>
      <c r="BF399" s="55"/>
      <c r="BG399" s="55"/>
      <c r="BH399" s="55"/>
      <c r="BI399" s="55"/>
      <c r="BJ399" s="55"/>
      <c r="BK399" s="55"/>
      <c r="BL399" s="55"/>
      <c r="BM399" s="55"/>
      <c r="BN399" s="55"/>
      <c r="BO399" s="55"/>
      <c r="BP399" s="55"/>
      <c r="BQ399" s="55"/>
      <c r="BR399" s="55"/>
      <c r="BS399" s="55"/>
    </row>
    <row r="400" spans="1:93" outlineLevel="1" x14ac:dyDescent="0.2">
      <c r="A400" s="45"/>
      <c r="B400" s="38" t="str">
        <f>HM_ZD_Moho!B422</f>
        <v>Calculs de la période d'actualisation</v>
      </c>
      <c r="C400" s="45"/>
      <c r="D400" s="45"/>
      <c r="E400" s="45"/>
      <c r="J400" s="26"/>
      <c r="L400" s="55"/>
      <c r="M400" s="55"/>
      <c r="N400" s="55"/>
      <c r="O400" s="55"/>
      <c r="P400" s="55"/>
      <c r="Q400" s="55"/>
      <c r="R400" s="55"/>
      <c r="S400" s="55"/>
      <c r="T400" s="55"/>
      <c r="U400" s="55"/>
      <c r="V400" s="55"/>
      <c r="W400" s="55"/>
      <c r="X400" s="55"/>
      <c r="Y400" s="55"/>
      <c r="Z400" s="55"/>
      <c r="AA400" s="55"/>
      <c r="AB400" s="55"/>
      <c r="AC400" s="55"/>
      <c r="AD400" s="55"/>
      <c r="AE400" s="55"/>
      <c r="AF400" s="55"/>
      <c r="AG400" s="55"/>
      <c r="AH400" s="55"/>
      <c r="AI400" s="55"/>
      <c r="AJ400" s="55"/>
      <c r="AK400" s="55"/>
      <c r="AL400" s="55"/>
      <c r="AM400" s="55"/>
      <c r="AN400" s="55"/>
      <c r="AO400" s="55"/>
      <c r="AP400" s="55"/>
      <c r="AQ400" s="55"/>
      <c r="AR400" s="55"/>
      <c r="AS400" s="55"/>
      <c r="AT400" s="55"/>
      <c r="AU400" s="55"/>
      <c r="AV400" s="55"/>
      <c r="AW400" s="55"/>
      <c r="AX400" s="55"/>
      <c r="AY400" s="55"/>
      <c r="AZ400" s="55"/>
      <c r="BA400" s="55"/>
      <c r="BB400" s="55"/>
      <c r="BC400" s="55"/>
      <c r="BD400" s="55"/>
      <c r="BE400" s="55"/>
      <c r="BF400" s="55"/>
      <c r="BG400" s="55"/>
      <c r="BH400" s="55"/>
      <c r="BI400" s="55"/>
      <c r="BJ400" s="55"/>
      <c r="BK400" s="55"/>
      <c r="BL400" s="55"/>
      <c r="BM400" s="55"/>
      <c r="BN400" s="55"/>
      <c r="BO400" s="55"/>
      <c r="BP400" s="55"/>
      <c r="BQ400" s="55"/>
      <c r="BR400" s="55"/>
      <c r="BS400" s="55"/>
    </row>
    <row r="401" spans="1:71" outlineLevel="1" x14ac:dyDescent="0.2">
      <c r="J401" s="26"/>
      <c r="L401" s="55"/>
      <c r="M401" s="55"/>
      <c r="N401" s="55"/>
      <c r="O401" s="55"/>
      <c r="P401" s="55"/>
      <c r="Q401" s="55"/>
      <c r="R401" s="55"/>
      <c r="S401" s="55"/>
      <c r="T401" s="55"/>
      <c r="U401" s="55"/>
      <c r="V401" s="55"/>
      <c r="W401" s="55"/>
      <c r="X401" s="55"/>
      <c r="Y401" s="55"/>
      <c r="Z401" s="55"/>
      <c r="AA401" s="55"/>
      <c r="AB401" s="55"/>
      <c r="AC401" s="55"/>
      <c r="AD401" s="55"/>
      <c r="AE401" s="55"/>
      <c r="AF401" s="55"/>
      <c r="AG401" s="55"/>
      <c r="AH401" s="55"/>
      <c r="AI401" s="55"/>
      <c r="AJ401" s="55"/>
      <c r="AK401" s="55"/>
      <c r="AL401" s="55"/>
      <c r="AM401" s="55"/>
      <c r="AN401" s="55"/>
      <c r="AO401" s="55"/>
      <c r="AP401" s="55"/>
      <c r="AQ401" s="55"/>
      <c r="AR401" s="55"/>
      <c r="AS401" s="55"/>
      <c r="AT401" s="55"/>
      <c r="AU401" s="55"/>
      <c r="AV401" s="55"/>
      <c r="AW401" s="55"/>
      <c r="AX401" s="55"/>
      <c r="AY401" s="55"/>
      <c r="AZ401" s="55"/>
      <c r="BA401" s="55"/>
      <c r="BB401" s="55"/>
      <c r="BC401" s="55"/>
      <c r="BD401" s="55"/>
      <c r="BE401" s="55"/>
      <c r="BF401" s="55"/>
      <c r="BG401" s="55"/>
      <c r="BH401" s="55"/>
      <c r="BI401" s="55"/>
      <c r="BJ401" s="55"/>
      <c r="BK401" s="55"/>
      <c r="BL401" s="55"/>
      <c r="BM401" s="55"/>
      <c r="BN401" s="55"/>
      <c r="BO401" s="55"/>
      <c r="BP401" s="55"/>
      <c r="BQ401" s="55"/>
      <c r="BR401" s="55"/>
      <c r="BS401" s="55"/>
    </row>
    <row r="402" spans="1:71" outlineLevel="1" x14ac:dyDescent="0.2">
      <c r="C402" t="str">
        <f>HM_ZD_Moho!C424</f>
        <v>Période d'actualisation</v>
      </c>
      <c r="J402" s="26"/>
      <c r="L402" s="55"/>
      <c r="M402" s="55"/>
      <c r="N402" s="55"/>
      <c r="O402" s="55"/>
      <c r="P402" s="55"/>
      <c r="Q402" s="55"/>
      <c r="R402" s="55"/>
      <c r="S402" s="55"/>
      <c r="T402" s="55"/>
      <c r="U402" s="55"/>
      <c r="V402" s="55"/>
      <c r="W402" s="55"/>
      <c r="X402" s="55"/>
      <c r="Y402" s="55"/>
      <c r="Z402" s="55"/>
      <c r="AA402" s="55"/>
      <c r="AB402" s="55"/>
      <c r="AC402" s="55"/>
      <c r="AD402" s="55"/>
      <c r="AE402" s="55"/>
      <c r="AF402" s="55"/>
      <c r="AG402" s="55"/>
      <c r="AH402" s="55"/>
      <c r="AI402" s="55"/>
      <c r="AJ402" s="55"/>
      <c r="AK402" s="55"/>
      <c r="AL402" s="55"/>
      <c r="AM402" s="55"/>
      <c r="AN402" s="55"/>
      <c r="AO402" s="55"/>
      <c r="AP402" s="55"/>
      <c r="AQ402" s="55"/>
      <c r="AR402" s="55"/>
      <c r="AS402" s="55"/>
      <c r="AT402" s="55"/>
      <c r="AU402" s="55"/>
      <c r="AV402" s="55"/>
      <c r="AW402" s="55"/>
      <c r="AX402" s="55"/>
      <c r="AY402" s="55"/>
      <c r="AZ402" s="55"/>
      <c r="BA402" s="55"/>
      <c r="BB402" s="55"/>
      <c r="BC402" s="55"/>
      <c r="BD402" s="55"/>
      <c r="BE402" s="55"/>
      <c r="BF402" s="55"/>
      <c r="BG402" s="55"/>
      <c r="BH402" s="55"/>
      <c r="BI402" s="55"/>
      <c r="BJ402" s="55"/>
      <c r="BK402" s="55"/>
      <c r="BL402" s="55"/>
      <c r="BM402" s="55"/>
      <c r="BN402" s="55"/>
      <c r="BO402" s="55"/>
      <c r="BP402" s="55"/>
      <c r="BQ402" s="55"/>
      <c r="BR402" s="55"/>
      <c r="BS402" s="55"/>
    </row>
    <row r="403" spans="1:71" outlineLevel="1" x14ac:dyDescent="0.2">
      <c r="D403" t="str">
        <f>HM_ZD_Moho!D425</f>
        <v>Cycle complet</v>
      </c>
      <c r="G403" s="29">
        <f>YEAR(effective_date_AM_3_2005)</f>
        <v>2005</v>
      </c>
      <c r="J403" s="26"/>
      <c r="L403" s="49">
        <f t="shared" ref="L403:AQ403" si="139">MAX(L4-$G403+1-0.5,0)</f>
        <v>8.5</v>
      </c>
      <c r="M403" s="49">
        <f t="shared" si="139"/>
        <v>9.5</v>
      </c>
      <c r="N403" s="49">
        <f t="shared" si="139"/>
        <v>10.5</v>
      </c>
      <c r="O403" s="49">
        <f t="shared" si="139"/>
        <v>11.5</v>
      </c>
      <c r="P403" s="49">
        <f t="shared" si="139"/>
        <v>12.5</v>
      </c>
      <c r="Q403" s="49">
        <f t="shared" si="139"/>
        <v>13.5</v>
      </c>
      <c r="R403" s="49">
        <f t="shared" si="139"/>
        <v>14.5</v>
      </c>
      <c r="S403" s="49">
        <f t="shared" si="139"/>
        <v>15.5</v>
      </c>
      <c r="T403" s="49">
        <f t="shared" si="139"/>
        <v>16.5</v>
      </c>
      <c r="U403" s="49">
        <f t="shared" si="139"/>
        <v>17.5</v>
      </c>
      <c r="V403" s="49">
        <f t="shared" si="139"/>
        <v>18.5</v>
      </c>
      <c r="W403" s="49">
        <f t="shared" si="139"/>
        <v>19.5</v>
      </c>
      <c r="X403" s="49">
        <f t="shared" si="139"/>
        <v>20.5</v>
      </c>
      <c r="Y403" s="49">
        <f t="shared" si="139"/>
        <v>21.5</v>
      </c>
      <c r="Z403" s="49">
        <f t="shared" si="139"/>
        <v>22.5</v>
      </c>
      <c r="AA403" s="49">
        <f t="shared" si="139"/>
        <v>23.5</v>
      </c>
      <c r="AB403" s="49">
        <f t="shared" si="139"/>
        <v>24.5</v>
      </c>
      <c r="AC403" s="49">
        <f t="shared" si="139"/>
        <v>25.5</v>
      </c>
      <c r="AD403" s="49">
        <f t="shared" si="139"/>
        <v>26.5</v>
      </c>
      <c r="AE403" s="49">
        <f t="shared" si="139"/>
        <v>27.5</v>
      </c>
      <c r="AF403" s="49">
        <f t="shared" si="139"/>
        <v>28.5</v>
      </c>
      <c r="AG403" s="49">
        <f t="shared" si="139"/>
        <v>29.5</v>
      </c>
      <c r="AH403" s="49">
        <f t="shared" si="139"/>
        <v>30.5</v>
      </c>
      <c r="AI403" s="49">
        <f t="shared" si="139"/>
        <v>31.5</v>
      </c>
      <c r="AJ403" s="49">
        <f t="shared" si="139"/>
        <v>32.5</v>
      </c>
      <c r="AK403" s="49">
        <f t="shared" si="139"/>
        <v>33.5</v>
      </c>
      <c r="AL403" s="49">
        <f t="shared" si="139"/>
        <v>34.5</v>
      </c>
      <c r="AM403" s="49">
        <f t="shared" si="139"/>
        <v>35.5</v>
      </c>
      <c r="AN403" s="49">
        <f t="shared" si="139"/>
        <v>36.5</v>
      </c>
      <c r="AO403" s="49">
        <f t="shared" si="139"/>
        <v>37.5</v>
      </c>
      <c r="AP403" s="49">
        <f t="shared" si="139"/>
        <v>38.5</v>
      </c>
      <c r="AQ403" s="49">
        <f t="shared" si="139"/>
        <v>39.5</v>
      </c>
      <c r="AR403" s="49">
        <f t="shared" ref="AR403:BS403" si="140">MAX(AR4-$G403+1-0.5,0)</f>
        <v>40.5</v>
      </c>
      <c r="AS403" s="49">
        <f t="shared" si="140"/>
        <v>41.5</v>
      </c>
      <c r="AT403" s="49">
        <f t="shared" si="140"/>
        <v>42.5</v>
      </c>
      <c r="AU403" s="49">
        <f t="shared" si="140"/>
        <v>43.5</v>
      </c>
      <c r="AV403" s="49">
        <f t="shared" si="140"/>
        <v>44.5</v>
      </c>
      <c r="AW403" s="49">
        <f t="shared" si="140"/>
        <v>45.5</v>
      </c>
      <c r="AX403" s="49">
        <f t="shared" si="140"/>
        <v>46.5</v>
      </c>
      <c r="AY403" s="49">
        <f t="shared" si="140"/>
        <v>47.5</v>
      </c>
      <c r="AZ403" s="49">
        <f t="shared" si="140"/>
        <v>48.5</v>
      </c>
      <c r="BA403" s="49">
        <f t="shared" si="140"/>
        <v>49.5</v>
      </c>
      <c r="BB403" s="49">
        <f t="shared" si="140"/>
        <v>50.5</v>
      </c>
      <c r="BC403" s="49">
        <f t="shared" si="140"/>
        <v>51.5</v>
      </c>
      <c r="BD403" s="49">
        <f t="shared" si="140"/>
        <v>52.5</v>
      </c>
      <c r="BE403" s="49">
        <f t="shared" si="140"/>
        <v>53.5</v>
      </c>
      <c r="BF403" s="49">
        <f t="shared" si="140"/>
        <v>54.5</v>
      </c>
      <c r="BG403" s="49">
        <f t="shared" si="140"/>
        <v>55.5</v>
      </c>
      <c r="BH403" s="49">
        <f t="shared" si="140"/>
        <v>56.5</v>
      </c>
      <c r="BI403" s="49">
        <f t="shared" si="140"/>
        <v>57.5</v>
      </c>
      <c r="BJ403" s="49">
        <f t="shared" si="140"/>
        <v>58.5</v>
      </c>
      <c r="BK403" s="49">
        <f t="shared" si="140"/>
        <v>59.5</v>
      </c>
      <c r="BL403" s="49">
        <f t="shared" si="140"/>
        <v>60.5</v>
      </c>
      <c r="BM403" s="49">
        <f t="shared" si="140"/>
        <v>61.5</v>
      </c>
      <c r="BN403" s="49">
        <f t="shared" si="140"/>
        <v>62.5</v>
      </c>
      <c r="BO403" s="49">
        <f t="shared" si="140"/>
        <v>63.5</v>
      </c>
      <c r="BP403" s="49">
        <f t="shared" si="140"/>
        <v>64.5</v>
      </c>
      <c r="BQ403" s="49">
        <f t="shared" si="140"/>
        <v>65.5</v>
      </c>
      <c r="BR403" s="49">
        <f t="shared" si="140"/>
        <v>66.5</v>
      </c>
      <c r="BS403" s="49">
        <f t="shared" si="140"/>
        <v>67.5</v>
      </c>
    </row>
    <row r="404" spans="1:71" outlineLevel="1" x14ac:dyDescent="0.2">
      <c r="D404" t="str">
        <f>HM_ZD_Moho!D426</f>
        <v>Terme</v>
      </c>
      <c r="G404" s="29">
        <f>Current_year</f>
        <v>2021</v>
      </c>
      <c r="J404" s="26"/>
      <c r="L404" s="49">
        <f t="shared" ref="L404:AQ404" si="141">MAX(L4-$G404+1-0.5,0)</f>
        <v>0</v>
      </c>
      <c r="M404" s="49">
        <f t="shared" si="141"/>
        <v>0</v>
      </c>
      <c r="N404" s="49">
        <f t="shared" si="141"/>
        <v>0</v>
      </c>
      <c r="O404" s="49">
        <f t="shared" si="141"/>
        <v>0</v>
      </c>
      <c r="P404" s="49">
        <f t="shared" si="141"/>
        <v>0</v>
      </c>
      <c r="Q404" s="49">
        <f t="shared" si="141"/>
        <v>0</v>
      </c>
      <c r="R404" s="49">
        <f t="shared" si="141"/>
        <v>0</v>
      </c>
      <c r="S404" s="49">
        <f t="shared" si="141"/>
        <v>0</v>
      </c>
      <c r="T404" s="49">
        <f t="shared" si="141"/>
        <v>0.5</v>
      </c>
      <c r="U404" s="49">
        <f t="shared" si="141"/>
        <v>1.5</v>
      </c>
      <c r="V404" s="49">
        <f t="shared" si="141"/>
        <v>2.5</v>
      </c>
      <c r="W404" s="49">
        <f t="shared" si="141"/>
        <v>3.5</v>
      </c>
      <c r="X404" s="49">
        <f t="shared" si="141"/>
        <v>4.5</v>
      </c>
      <c r="Y404" s="49">
        <f t="shared" si="141"/>
        <v>5.5</v>
      </c>
      <c r="Z404" s="49">
        <f t="shared" si="141"/>
        <v>6.5</v>
      </c>
      <c r="AA404" s="49">
        <f t="shared" si="141"/>
        <v>7.5</v>
      </c>
      <c r="AB404" s="49">
        <f t="shared" si="141"/>
        <v>8.5</v>
      </c>
      <c r="AC404" s="49">
        <f t="shared" si="141"/>
        <v>9.5</v>
      </c>
      <c r="AD404" s="49">
        <f t="shared" si="141"/>
        <v>10.5</v>
      </c>
      <c r="AE404" s="49">
        <f t="shared" si="141"/>
        <v>11.5</v>
      </c>
      <c r="AF404" s="49">
        <f t="shared" si="141"/>
        <v>12.5</v>
      </c>
      <c r="AG404" s="49">
        <f t="shared" si="141"/>
        <v>13.5</v>
      </c>
      <c r="AH404" s="49">
        <f t="shared" si="141"/>
        <v>14.5</v>
      </c>
      <c r="AI404" s="49">
        <f t="shared" si="141"/>
        <v>15.5</v>
      </c>
      <c r="AJ404" s="49">
        <f t="shared" si="141"/>
        <v>16.5</v>
      </c>
      <c r="AK404" s="49">
        <f t="shared" si="141"/>
        <v>17.5</v>
      </c>
      <c r="AL404" s="49">
        <f t="shared" si="141"/>
        <v>18.5</v>
      </c>
      <c r="AM404" s="49">
        <f t="shared" si="141"/>
        <v>19.5</v>
      </c>
      <c r="AN404" s="49">
        <f t="shared" si="141"/>
        <v>20.5</v>
      </c>
      <c r="AO404" s="49">
        <f t="shared" si="141"/>
        <v>21.5</v>
      </c>
      <c r="AP404" s="49">
        <f t="shared" si="141"/>
        <v>22.5</v>
      </c>
      <c r="AQ404" s="49">
        <f t="shared" si="141"/>
        <v>23.5</v>
      </c>
      <c r="AR404" s="49">
        <f t="shared" ref="AR404:BS404" si="142">MAX(AR4-$G404+1-0.5,0)</f>
        <v>24.5</v>
      </c>
      <c r="AS404" s="49">
        <f t="shared" si="142"/>
        <v>25.5</v>
      </c>
      <c r="AT404" s="49">
        <f t="shared" si="142"/>
        <v>26.5</v>
      </c>
      <c r="AU404" s="49">
        <f t="shared" si="142"/>
        <v>27.5</v>
      </c>
      <c r="AV404" s="49">
        <f t="shared" si="142"/>
        <v>28.5</v>
      </c>
      <c r="AW404" s="49">
        <f t="shared" si="142"/>
        <v>29.5</v>
      </c>
      <c r="AX404" s="49">
        <f t="shared" si="142"/>
        <v>30.5</v>
      </c>
      <c r="AY404" s="49">
        <f t="shared" si="142"/>
        <v>31.5</v>
      </c>
      <c r="AZ404" s="49">
        <f t="shared" si="142"/>
        <v>32.5</v>
      </c>
      <c r="BA404" s="49">
        <f t="shared" si="142"/>
        <v>33.5</v>
      </c>
      <c r="BB404" s="49">
        <f t="shared" si="142"/>
        <v>34.5</v>
      </c>
      <c r="BC404" s="49">
        <f t="shared" si="142"/>
        <v>35.5</v>
      </c>
      <c r="BD404" s="49">
        <f t="shared" si="142"/>
        <v>36.5</v>
      </c>
      <c r="BE404" s="49">
        <f t="shared" si="142"/>
        <v>37.5</v>
      </c>
      <c r="BF404" s="49">
        <f t="shared" si="142"/>
        <v>38.5</v>
      </c>
      <c r="BG404" s="49">
        <f t="shared" si="142"/>
        <v>39.5</v>
      </c>
      <c r="BH404" s="49">
        <f t="shared" si="142"/>
        <v>40.5</v>
      </c>
      <c r="BI404" s="49">
        <f t="shared" si="142"/>
        <v>41.5</v>
      </c>
      <c r="BJ404" s="49">
        <f t="shared" si="142"/>
        <v>42.5</v>
      </c>
      <c r="BK404" s="49">
        <f t="shared" si="142"/>
        <v>43.5</v>
      </c>
      <c r="BL404" s="49">
        <f t="shared" si="142"/>
        <v>44.5</v>
      </c>
      <c r="BM404" s="49">
        <f t="shared" si="142"/>
        <v>45.5</v>
      </c>
      <c r="BN404" s="49">
        <f t="shared" si="142"/>
        <v>46.5</v>
      </c>
      <c r="BO404" s="49">
        <f t="shared" si="142"/>
        <v>47.5</v>
      </c>
      <c r="BP404" s="49">
        <f t="shared" si="142"/>
        <v>48.5</v>
      </c>
      <c r="BQ404" s="49">
        <f t="shared" si="142"/>
        <v>49.5</v>
      </c>
      <c r="BR404" s="49">
        <f t="shared" si="142"/>
        <v>50.5</v>
      </c>
      <c r="BS404" s="49">
        <f t="shared" si="142"/>
        <v>51.5</v>
      </c>
    </row>
    <row r="405" spans="1:71" outlineLevel="1" x14ac:dyDescent="0.2">
      <c r="C405" t="str">
        <f>HM_ZD_Moho!C427</f>
        <v>Facteur d'actualisation</v>
      </c>
      <c r="E405" s="59">
        <f>input_DiscRate_nom</f>
        <v>0.1</v>
      </c>
      <c r="J405" s="26"/>
      <c r="L405" s="55"/>
      <c r="M405" s="55"/>
      <c r="N405" s="55"/>
      <c r="O405" s="55"/>
      <c r="P405" s="55"/>
      <c r="Q405" s="55"/>
      <c r="R405" s="55"/>
      <c r="S405" s="55"/>
      <c r="T405" s="55"/>
      <c r="U405" s="55"/>
      <c r="V405" s="55"/>
      <c r="W405" s="55"/>
      <c r="X405" s="55"/>
      <c r="Y405" s="55"/>
      <c r="Z405" s="55"/>
      <c r="AA405" s="55"/>
      <c r="AB405" s="55"/>
      <c r="AC405" s="55"/>
      <c r="AD405" s="55"/>
      <c r="AE405" s="55"/>
      <c r="AF405" s="55"/>
      <c r="AG405" s="55"/>
      <c r="AH405" s="55"/>
      <c r="AI405" s="55"/>
      <c r="AJ405" s="55"/>
      <c r="AK405" s="55"/>
      <c r="AL405" s="55"/>
      <c r="AM405" s="55"/>
      <c r="AN405" s="55"/>
      <c r="AO405" s="55"/>
      <c r="AP405" s="55"/>
      <c r="AQ405" s="55"/>
      <c r="AR405" s="55"/>
      <c r="AS405" s="55"/>
      <c r="AT405" s="55"/>
      <c r="AU405" s="55"/>
      <c r="AV405" s="55"/>
      <c r="AW405" s="55"/>
      <c r="AX405" s="55"/>
      <c r="AY405" s="55"/>
      <c r="AZ405" s="55"/>
      <c r="BA405" s="55"/>
      <c r="BB405" s="55"/>
      <c r="BC405" s="55"/>
      <c r="BD405" s="55"/>
      <c r="BE405" s="55"/>
      <c r="BF405" s="55"/>
      <c r="BG405" s="55"/>
      <c r="BH405" s="55"/>
      <c r="BI405" s="55"/>
      <c r="BJ405" s="55"/>
      <c r="BK405" s="55"/>
      <c r="BL405" s="55"/>
      <c r="BM405" s="55"/>
      <c r="BN405" s="55"/>
      <c r="BO405" s="55"/>
      <c r="BP405" s="55"/>
      <c r="BQ405" s="55"/>
      <c r="BR405" s="55"/>
      <c r="BS405" s="55"/>
    </row>
    <row r="406" spans="1:71" outlineLevel="1" x14ac:dyDescent="0.2">
      <c r="D406" t="str">
        <f>HM_ZD_Moho!D428</f>
        <v>Cycle complet</v>
      </c>
      <c r="J406" s="26"/>
      <c r="K406" s="7" t="s">
        <v>282</v>
      </c>
      <c r="L406" s="49">
        <f>IF(L403=0,0,(1+input_DiscRate_nom)^-L403)</f>
        <v>0.44479733463695009</v>
      </c>
      <c r="M406" s="49">
        <f t="shared" ref="L406:BS407" si="143">IF(M403=0,0,(1+input_DiscRate_nom)^-M403)</f>
        <v>0.4043612133063183</v>
      </c>
      <c r="N406" s="49">
        <f t="shared" si="143"/>
        <v>0.36760110300574383</v>
      </c>
      <c r="O406" s="49">
        <f t="shared" si="143"/>
        <v>0.33418282091431251</v>
      </c>
      <c r="P406" s="49">
        <f t="shared" si="143"/>
        <v>0.30380256446755688</v>
      </c>
      <c r="Q406" s="49">
        <f t="shared" si="143"/>
        <v>0.27618414951596076</v>
      </c>
      <c r="R406" s="49">
        <f t="shared" si="143"/>
        <v>0.25107649955996431</v>
      </c>
      <c r="S406" s="49">
        <f t="shared" si="143"/>
        <v>0.22825136323633116</v>
      </c>
      <c r="T406" s="49">
        <f t="shared" si="143"/>
        <v>0.20750123930575562</v>
      </c>
      <c r="U406" s="49">
        <f t="shared" si="143"/>
        <v>0.18863749027795962</v>
      </c>
      <c r="V406" s="49">
        <f t="shared" si="143"/>
        <v>0.17148862752541782</v>
      </c>
      <c r="W406" s="49">
        <f t="shared" si="143"/>
        <v>0.15589875229583436</v>
      </c>
      <c r="X406" s="49">
        <f t="shared" si="143"/>
        <v>0.14172613845075852</v>
      </c>
      <c r="Y406" s="49">
        <f t="shared" si="143"/>
        <v>0.1288419440461441</v>
      </c>
      <c r="Z406" s="49">
        <f t="shared" si="143"/>
        <v>0.11712904004194918</v>
      </c>
      <c r="AA406" s="49">
        <f t="shared" si="143"/>
        <v>0.10648094549268106</v>
      </c>
      <c r="AB406" s="49">
        <f t="shared" si="143"/>
        <v>9.6800859538800965E-2</v>
      </c>
      <c r="AC406" s="49">
        <f t="shared" si="143"/>
        <v>8.8000781398909919E-2</v>
      </c>
      <c r="AD406" s="49">
        <f t="shared" si="143"/>
        <v>8.0000710362645402E-2</v>
      </c>
      <c r="AE406" s="49">
        <f t="shared" si="143"/>
        <v>7.272791851149582E-2</v>
      </c>
      <c r="AF406" s="49">
        <f t="shared" si="143"/>
        <v>6.6116289555905275E-2</v>
      </c>
      <c r="AG406" s="49">
        <f t="shared" si="143"/>
        <v>6.0105717778095702E-2</v>
      </c>
      <c r="AH406" s="49">
        <f t="shared" si="143"/>
        <v>5.4641561616450646E-2</v>
      </c>
      <c r="AI406" s="49">
        <f t="shared" si="143"/>
        <v>4.967414692404603E-2</v>
      </c>
      <c r="AJ406" s="49">
        <f t="shared" si="143"/>
        <v>4.5158315385496389E-2</v>
      </c>
      <c r="AK406" s="49">
        <f t="shared" si="143"/>
        <v>4.1053013986814886E-2</v>
      </c>
      <c r="AL406" s="49">
        <f t="shared" si="143"/>
        <v>3.7320921806195353E-2</v>
      </c>
      <c r="AM406" s="49">
        <f t="shared" si="143"/>
        <v>3.3928110732904866E-2</v>
      </c>
      <c r="AN406" s="49">
        <f t="shared" si="143"/>
        <v>3.0843737029913505E-2</v>
      </c>
      <c r="AO406" s="49">
        <f t="shared" si="143"/>
        <v>2.8039760936285012E-2</v>
      </c>
      <c r="AP406" s="49">
        <f t="shared" si="143"/>
        <v>2.5490691760259102E-2</v>
      </c>
      <c r="AQ406" s="49">
        <f t="shared" si="143"/>
        <v>2.3173356145690084E-2</v>
      </c>
      <c r="AR406" s="49">
        <f t="shared" si="143"/>
        <v>2.1066687405172806E-2</v>
      </c>
      <c r="AS406" s="49">
        <f t="shared" si="143"/>
        <v>1.9151534004702545E-2</v>
      </c>
      <c r="AT406" s="49">
        <f t="shared" si="143"/>
        <v>1.7410485458820502E-2</v>
      </c>
      <c r="AU406" s="49">
        <f t="shared" si="143"/>
        <v>1.5827714053473173E-2</v>
      </c>
      <c r="AV406" s="49">
        <f t="shared" si="143"/>
        <v>1.4388830957702884E-2</v>
      </c>
      <c r="AW406" s="49">
        <f t="shared" si="143"/>
        <v>1.3080755416093532E-2</v>
      </c>
      <c r="AX406" s="49">
        <f t="shared" si="143"/>
        <v>1.1891595832812305E-2</v>
      </c>
      <c r="AY406" s="49">
        <f t="shared" si="143"/>
        <v>1.0810541666193005E-2</v>
      </c>
      <c r="AZ406" s="49">
        <f t="shared" si="143"/>
        <v>9.8277651510845412E-3</v>
      </c>
      <c r="BA406" s="49">
        <f t="shared" si="143"/>
        <v>8.9343319555314025E-3</v>
      </c>
      <c r="BB406" s="49">
        <f t="shared" si="143"/>
        <v>8.1221199595740041E-3</v>
      </c>
      <c r="BC406" s="49">
        <f t="shared" si="143"/>
        <v>7.3837454177945487E-3</v>
      </c>
      <c r="BD406" s="49">
        <f t="shared" si="143"/>
        <v>6.7124958343586817E-3</v>
      </c>
      <c r="BE406" s="49">
        <f t="shared" si="143"/>
        <v>6.1022689403260697E-3</v>
      </c>
      <c r="BF406" s="49">
        <f t="shared" si="143"/>
        <v>5.5475172184782451E-3</v>
      </c>
      <c r="BG406" s="49">
        <f t="shared" si="143"/>
        <v>5.0431974713438599E-3</v>
      </c>
      <c r="BH406" s="49">
        <f t="shared" si="143"/>
        <v>4.5847249739489641E-3</v>
      </c>
      <c r="BI406" s="49">
        <f t="shared" si="143"/>
        <v>4.1679317944990591E-3</v>
      </c>
      <c r="BJ406" s="49">
        <f t="shared" si="143"/>
        <v>3.7890289040900535E-3</v>
      </c>
      <c r="BK406" s="49">
        <f t="shared" si="143"/>
        <v>3.4445717309909553E-3</v>
      </c>
      <c r="BL406" s="49">
        <f t="shared" si="143"/>
        <v>3.1314288463554136E-3</v>
      </c>
      <c r="BM406" s="49">
        <f t="shared" si="143"/>
        <v>2.8467534966867404E-3</v>
      </c>
      <c r="BN406" s="49">
        <f t="shared" si="143"/>
        <v>2.5879577242606732E-3</v>
      </c>
      <c r="BO406" s="49">
        <f t="shared" si="143"/>
        <v>2.3526888402369758E-3</v>
      </c>
      <c r="BP406" s="49">
        <f t="shared" si="143"/>
        <v>2.1388080365790673E-3</v>
      </c>
      <c r="BQ406" s="49">
        <f t="shared" si="143"/>
        <v>1.9443709423446068E-3</v>
      </c>
      <c r="BR406" s="49">
        <f t="shared" si="143"/>
        <v>1.7676099475860063E-3</v>
      </c>
      <c r="BS406" s="49">
        <f t="shared" si="143"/>
        <v>1.6069181341690968E-3</v>
      </c>
    </row>
    <row r="407" spans="1:71" outlineLevel="1" x14ac:dyDescent="0.2">
      <c r="D407" t="str">
        <f>HM_ZD_Moho!D429</f>
        <v>Terme</v>
      </c>
      <c r="J407" s="26"/>
      <c r="K407" s="7" t="s">
        <v>281</v>
      </c>
      <c r="L407" s="49">
        <f t="shared" si="143"/>
        <v>0</v>
      </c>
      <c r="M407" s="49">
        <f t="shared" si="143"/>
        <v>0</v>
      </c>
      <c r="N407" s="49">
        <f t="shared" si="143"/>
        <v>0</v>
      </c>
      <c r="O407" s="49">
        <f t="shared" si="143"/>
        <v>0</v>
      </c>
      <c r="P407" s="49">
        <f t="shared" si="143"/>
        <v>0</v>
      </c>
      <c r="Q407" s="49">
        <f t="shared" si="143"/>
        <v>0</v>
      </c>
      <c r="R407" s="49">
        <f t="shared" si="143"/>
        <v>0</v>
      </c>
      <c r="S407" s="49">
        <f t="shared" si="143"/>
        <v>0</v>
      </c>
      <c r="T407" s="49">
        <f t="shared" si="143"/>
        <v>0.95346258924559224</v>
      </c>
      <c r="U407" s="49">
        <f t="shared" si="143"/>
        <v>0.86678417204144742</v>
      </c>
      <c r="V407" s="49">
        <f t="shared" si="143"/>
        <v>0.78798561094677033</v>
      </c>
      <c r="W407" s="49">
        <f t="shared" si="143"/>
        <v>0.71635055540615489</v>
      </c>
      <c r="X407" s="49">
        <f t="shared" si="143"/>
        <v>0.65122777764195883</v>
      </c>
      <c r="Y407" s="49">
        <f t="shared" si="143"/>
        <v>0.59202525240178083</v>
      </c>
      <c r="Z407" s="49">
        <f t="shared" si="143"/>
        <v>0.53820477491070973</v>
      </c>
      <c r="AA407" s="49">
        <f t="shared" si="143"/>
        <v>0.48927706810064514</v>
      </c>
      <c r="AB407" s="49">
        <f t="shared" si="143"/>
        <v>0.44479733463695009</v>
      </c>
      <c r="AC407" s="49">
        <f t="shared" si="143"/>
        <v>0.4043612133063183</v>
      </c>
      <c r="AD407" s="49">
        <f t="shared" si="143"/>
        <v>0.36760110300574383</v>
      </c>
      <c r="AE407" s="49">
        <f t="shared" si="143"/>
        <v>0.33418282091431251</v>
      </c>
      <c r="AF407" s="49">
        <f t="shared" si="143"/>
        <v>0.30380256446755688</v>
      </c>
      <c r="AG407" s="49">
        <f t="shared" si="143"/>
        <v>0.27618414951596076</v>
      </c>
      <c r="AH407" s="49">
        <f t="shared" si="143"/>
        <v>0.25107649955996431</v>
      </c>
      <c r="AI407" s="49">
        <f t="shared" si="143"/>
        <v>0.22825136323633116</v>
      </c>
      <c r="AJ407" s="49">
        <f t="shared" si="143"/>
        <v>0.20750123930575562</v>
      </c>
      <c r="AK407" s="49">
        <f t="shared" si="143"/>
        <v>0.18863749027795962</v>
      </c>
      <c r="AL407" s="49">
        <f t="shared" si="143"/>
        <v>0.17148862752541782</v>
      </c>
      <c r="AM407" s="49">
        <f t="shared" si="143"/>
        <v>0.15589875229583436</v>
      </c>
      <c r="AN407" s="49">
        <f t="shared" si="143"/>
        <v>0.14172613845075852</v>
      </c>
      <c r="AO407" s="49">
        <f t="shared" si="143"/>
        <v>0.1288419440461441</v>
      </c>
      <c r="AP407" s="49">
        <f t="shared" si="143"/>
        <v>0.11712904004194918</v>
      </c>
      <c r="AQ407" s="49">
        <f t="shared" si="143"/>
        <v>0.10648094549268106</v>
      </c>
      <c r="AR407" s="49">
        <f t="shared" si="143"/>
        <v>9.6800859538800965E-2</v>
      </c>
      <c r="AS407" s="49">
        <f t="shared" si="143"/>
        <v>8.8000781398909919E-2</v>
      </c>
      <c r="AT407" s="49">
        <f t="shared" si="143"/>
        <v>8.0000710362645402E-2</v>
      </c>
      <c r="AU407" s="49">
        <f t="shared" si="143"/>
        <v>7.272791851149582E-2</v>
      </c>
      <c r="AV407" s="49">
        <f t="shared" si="143"/>
        <v>6.6116289555905275E-2</v>
      </c>
      <c r="AW407" s="49">
        <f t="shared" si="143"/>
        <v>6.0105717778095702E-2</v>
      </c>
      <c r="AX407" s="49">
        <f t="shared" si="143"/>
        <v>5.4641561616450646E-2</v>
      </c>
      <c r="AY407" s="49">
        <f t="shared" si="143"/>
        <v>4.967414692404603E-2</v>
      </c>
      <c r="AZ407" s="49">
        <f t="shared" si="143"/>
        <v>4.5158315385496389E-2</v>
      </c>
      <c r="BA407" s="49">
        <f t="shared" si="143"/>
        <v>4.1053013986814886E-2</v>
      </c>
      <c r="BB407" s="49">
        <f t="shared" si="143"/>
        <v>3.7320921806195353E-2</v>
      </c>
      <c r="BC407" s="49">
        <f t="shared" si="143"/>
        <v>3.3928110732904866E-2</v>
      </c>
      <c r="BD407" s="49">
        <f t="shared" si="143"/>
        <v>3.0843737029913505E-2</v>
      </c>
      <c r="BE407" s="49">
        <f t="shared" si="143"/>
        <v>2.8039760936285012E-2</v>
      </c>
      <c r="BF407" s="49">
        <f t="shared" si="143"/>
        <v>2.5490691760259102E-2</v>
      </c>
      <c r="BG407" s="49">
        <f t="shared" si="143"/>
        <v>2.3173356145690084E-2</v>
      </c>
      <c r="BH407" s="49">
        <f t="shared" si="143"/>
        <v>2.1066687405172806E-2</v>
      </c>
      <c r="BI407" s="49">
        <f t="shared" si="143"/>
        <v>1.9151534004702545E-2</v>
      </c>
      <c r="BJ407" s="49">
        <f t="shared" si="143"/>
        <v>1.7410485458820502E-2</v>
      </c>
      <c r="BK407" s="49">
        <f t="shared" si="143"/>
        <v>1.5827714053473173E-2</v>
      </c>
      <c r="BL407" s="49">
        <f t="shared" si="143"/>
        <v>1.4388830957702884E-2</v>
      </c>
      <c r="BM407" s="49">
        <f t="shared" si="143"/>
        <v>1.3080755416093532E-2</v>
      </c>
      <c r="BN407" s="49">
        <f t="shared" si="143"/>
        <v>1.1891595832812305E-2</v>
      </c>
      <c r="BO407" s="49">
        <f t="shared" si="143"/>
        <v>1.0810541666193005E-2</v>
      </c>
      <c r="BP407" s="49">
        <f t="shared" si="143"/>
        <v>9.8277651510845412E-3</v>
      </c>
      <c r="BQ407" s="49">
        <f t="shared" si="143"/>
        <v>8.9343319555314025E-3</v>
      </c>
      <c r="BR407" s="49">
        <f t="shared" si="143"/>
        <v>8.1221199595740041E-3</v>
      </c>
      <c r="BS407" s="49">
        <f t="shared" si="143"/>
        <v>7.3837454177945487E-3</v>
      </c>
    </row>
    <row r="408" spans="1:71" outlineLevel="1" x14ac:dyDescent="0.2">
      <c r="J408" s="26"/>
      <c r="L408" s="55"/>
      <c r="M408" s="55"/>
      <c r="N408" s="55"/>
      <c r="O408" s="55"/>
      <c r="P408" s="55"/>
      <c r="Q408" s="55"/>
      <c r="R408" s="55"/>
      <c r="S408" s="55"/>
      <c r="T408" s="55"/>
      <c r="U408" s="55"/>
      <c r="V408" s="55"/>
      <c r="W408" s="55"/>
      <c r="X408" s="55"/>
      <c r="Y408" s="55"/>
      <c r="Z408" s="55"/>
      <c r="AA408" s="55"/>
      <c r="AB408" s="55"/>
      <c r="AC408" s="55"/>
      <c r="AD408" s="55"/>
      <c r="AE408" s="55"/>
      <c r="AF408" s="55"/>
      <c r="AG408" s="55"/>
      <c r="AH408" s="55"/>
      <c r="AI408" s="55"/>
      <c r="AJ408" s="55"/>
      <c r="AK408" s="55"/>
      <c r="AL408" s="55"/>
      <c r="AM408" s="55"/>
      <c r="AN408" s="55"/>
      <c r="AO408" s="55"/>
      <c r="AP408" s="55"/>
      <c r="AQ408" s="55"/>
      <c r="AR408" s="55"/>
      <c r="AS408" s="55"/>
      <c r="AT408" s="55"/>
      <c r="AU408" s="55"/>
      <c r="AV408" s="55"/>
      <c r="AW408" s="55"/>
      <c r="AX408" s="55"/>
      <c r="AY408" s="55"/>
      <c r="AZ408" s="55"/>
      <c r="BA408" s="55"/>
      <c r="BB408" s="55"/>
      <c r="BC408" s="55"/>
      <c r="BD408" s="55"/>
      <c r="BE408" s="55"/>
      <c r="BF408" s="55"/>
      <c r="BG408" s="55"/>
      <c r="BH408" s="55"/>
      <c r="BI408" s="55"/>
      <c r="BJ408" s="55"/>
      <c r="BK408" s="55"/>
      <c r="BL408" s="55"/>
      <c r="BM408" s="55"/>
      <c r="BN408" s="55"/>
      <c r="BO408" s="55"/>
      <c r="BP408" s="55"/>
      <c r="BQ408" s="55"/>
      <c r="BR408" s="55"/>
      <c r="BS408" s="55"/>
    </row>
    <row r="409" spans="1:71" outlineLevel="1" x14ac:dyDescent="0.2">
      <c r="J409" s="26"/>
      <c r="L409" s="55"/>
      <c r="M409" s="55"/>
      <c r="N409" s="55"/>
      <c r="O409" s="55"/>
      <c r="P409" s="55"/>
      <c r="Q409" s="55"/>
      <c r="R409" s="55"/>
      <c r="S409" s="55"/>
      <c r="T409" s="55"/>
      <c r="U409" s="55"/>
      <c r="V409" s="55"/>
      <c r="W409" s="55"/>
      <c r="X409" s="55"/>
      <c r="Y409" s="55"/>
      <c r="Z409" s="55"/>
      <c r="AA409" s="55"/>
      <c r="AB409" s="55"/>
      <c r="AC409" s="55"/>
      <c r="AD409" s="55"/>
      <c r="AE409" s="55"/>
      <c r="AF409" s="55"/>
      <c r="AG409" s="55"/>
      <c r="AH409" s="55"/>
      <c r="AI409" s="55"/>
      <c r="AJ409" s="55"/>
      <c r="AK409" s="55"/>
      <c r="AL409" s="55"/>
      <c r="AM409" s="55"/>
      <c r="AN409" s="55"/>
      <c r="AO409" s="55"/>
      <c r="AP409" s="55"/>
      <c r="AQ409" s="55"/>
      <c r="AR409" s="55"/>
      <c r="AS409" s="55"/>
      <c r="AT409" s="55"/>
      <c r="AU409" s="55"/>
      <c r="AV409" s="55"/>
      <c r="AW409" s="55"/>
      <c r="AX409" s="55"/>
      <c r="AY409" s="55"/>
      <c r="AZ409" s="55"/>
      <c r="BA409" s="55"/>
      <c r="BB409" s="55"/>
      <c r="BC409" s="55"/>
      <c r="BD409" s="55"/>
      <c r="BE409" s="55"/>
      <c r="BF409" s="55"/>
      <c r="BG409" s="55"/>
      <c r="BH409" s="55"/>
      <c r="BI409" s="55"/>
      <c r="BJ409" s="55"/>
      <c r="BK409" s="55"/>
      <c r="BL409" s="55"/>
      <c r="BM409" s="55"/>
      <c r="BN409" s="55"/>
      <c r="BO409" s="55"/>
      <c r="BP409" s="55"/>
      <c r="BQ409" s="55"/>
      <c r="BR409" s="55"/>
      <c r="BS409" s="55"/>
    </row>
    <row r="410" spans="1:71" outlineLevel="1" x14ac:dyDescent="0.2">
      <c r="A410" s="45"/>
      <c r="B410" s="38" t="str">
        <f>HM_ZD_Moho!B432</f>
        <v>Revenu divisible</v>
      </c>
      <c r="C410" s="45"/>
      <c r="D410" s="45"/>
      <c r="E410" s="45"/>
      <c r="J410" s="26"/>
      <c r="L410" s="55"/>
      <c r="M410" s="55"/>
      <c r="N410" s="55"/>
      <c r="O410" s="55"/>
      <c r="P410" s="55"/>
      <c r="Q410" s="55"/>
      <c r="R410" s="55"/>
      <c r="S410" s="55"/>
      <c r="T410" s="55"/>
      <c r="U410" s="55"/>
      <c r="V410" s="55"/>
      <c r="W410" s="55"/>
      <c r="X410" s="55"/>
      <c r="Y410" s="55"/>
      <c r="Z410" s="55"/>
      <c r="AA410" s="55"/>
      <c r="AB410" s="55"/>
      <c r="AC410" s="55"/>
      <c r="AD410" s="55"/>
      <c r="AE410" s="55"/>
      <c r="AF410" s="55"/>
      <c r="AG410" s="55"/>
      <c r="AH410" s="55"/>
      <c r="AI410" s="55"/>
      <c r="AJ410" s="55"/>
      <c r="AK410" s="55"/>
      <c r="AL410" s="55"/>
      <c r="AM410" s="55"/>
      <c r="AN410" s="55"/>
      <c r="AO410" s="55"/>
      <c r="AP410" s="55"/>
      <c r="AQ410" s="55"/>
      <c r="AR410" s="55"/>
      <c r="AS410" s="55"/>
      <c r="AT410" s="55"/>
      <c r="AU410" s="55"/>
      <c r="AV410" s="55"/>
      <c r="AW410" s="55"/>
      <c r="AX410" s="55"/>
      <c r="AY410" s="55"/>
      <c r="AZ410" s="55"/>
      <c r="BA410" s="55"/>
      <c r="BB410" s="55"/>
      <c r="BC410" s="55"/>
      <c r="BD410" s="55"/>
      <c r="BE410" s="55"/>
      <c r="BF410" s="55"/>
      <c r="BG410" s="55"/>
      <c r="BH410" s="55"/>
      <c r="BI410" s="55"/>
      <c r="BJ410" s="55"/>
      <c r="BK410" s="55"/>
      <c r="BL410" s="55"/>
      <c r="BM410" s="55"/>
      <c r="BN410" s="55"/>
      <c r="BO410" s="55"/>
      <c r="BP410" s="55"/>
      <c r="BQ410" s="55"/>
      <c r="BR410" s="55"/>
      <c r="BS410" s="55"/>
    </row>
    <row r="411" spans="1:71" outlineLevel="1" x14ac:dyDescent="0.2">
      <c r="J411" s="26"/>
      <c r="L411" s="55"/>
      <c r="M411" s="55"/>
      <c r="N411" s="55"/>
      <c r="O411" s="55"/>
      <c r="P411" s="55"/>
      <c r="Q411" s="55"/>
      <c r="R411" s="55"/>
      <c r="S411" s="55"/>
      <c r="T411" s="55"/>
      <c r="U411" s="55"/>
      <c r="V411" s="55"/>
      <c r="W411" s="55"/>
      <c r="X411" s="55"/>
      <c r="Y411" s="55"/>
      <c r="Z411" s="55"/>
      <c r="AA411" s="55"/>
      <c r="AB411" s="55"/>
      <c r="AC411" s="55"/>
      <c r="AD411" s="55"/>
      <c r="AE411" s="55"/>
      <c r="AF411" s="55"/>
      <c r="AG411" s="55"/>
      <c r="AH411" s="55"/>
      <c r="AI411" s="55"/>
      <c r="AJ411" s="55"/>
      <c r="AK411" s="55"/>
      <c r="AL411" s="55"/>
      <c r="AM411" s="55"/>
      <c r="AN411" s="55"/>
      <c r="AO411" s="55"/>
      <c r="AP411" s="55"/>
      <c r="AQ411" s="55"/>
      <c r="AR411" s="55"/>
      <c r="AS411" s="55"/>
      <c r="AT411" s="55"/>
      <c r="AU411" s="55"/>
      <c r="AV411" s="55"/>
      <c r="AW411" s="55"/>
      <c r="AX411" s="55"/>
      <c r="AY411" s="55"/>
      <c r="AZ411" s="55"/>
      <c r="BA411" s="55"/>
      <c r="BB411" s="55"/>
      <c r="BC411" s="55"/>
      <c r="BD411" s="55"/>
      <c r="BE411" s="55"/>
      <c r="BF411" s="55"/>
      <c r="BG411" s="55"/>
      <c r="BH411" s="55"/>
      <c r="BI411" s="55"/>
      <c r="BJ411" s="55"/>
      <c r="BK411" s="55"/>
      <c r="BL411" s="55"/>
      <c r="BM411" s="55"/>
      <c r="BN411" s="55"/>
      <c r="BO411" s="55"/>
      <c r="BP411" s="55"/>
      <c r="BQ411" s="55"/>
      <c r="BR411" s="55"/>
      <c r="BS411" s="55"/>
    </row>
    <row r="412" spans="1:71" outlineLevel="1" x14ac:dyDescent="0.2">
      <c r="C412" t="str">
        <f>HM_ZD_Moho!C434</f>
        <v>Revenus</v>
      </c>
      <c r="J412" s="26"/>
      <c r="L412" s="55"/>
      <c r="M412" s="55"/>
      <c r="N412" s="55"/>
      <c r="O412" s="55"/>
      <c r="P412" s="55"/>
      <c r="Q412" s="55"/>
      <c r="R412" s="55"/>
      <c r="S412" s="55"/>
      <c r="T412" s="55"/>
      <c r="U412" s="55"/>
      <c r="V412" s="55"/>
      <c r="W412" s="55"/>
      <c r="X412" s="55"/>
      <c r="Y412" s="55"/>
      <c r="Z412" s="55"/>
      <c r="AA412" s="55"/>
      <c r="AB412" s="55"/>
      <c r="AC412" s="55"/>
      <c r="AD412" s="55"/>
      <c r="AE412" s="55"/>
      <c r="AF412" s="55"/>
      <c r="AG412" s="55"/>
      <c r="AH412" s="55"/>
      <c r="AI412" s="55"/>
      <c r="AJ412" s="55"/>
      <c r="AK412" s="55"/>
      <c r="AL412" s="55"/>
      <c r="AM412" s="55"/>
      <c r="AN412" s="55"/>
      <c r="AO412" s="55"/>
      <c r="AP412" s="55"/>
      <c r="AQ412" s="55"/>
      <c r="AR412" s="55"/>
      <c r="AS412" s="55"/>
      <c r="AT412" s="55"/>
      <c r="AU412" s="55"/>
      <c r="AV412" s="55"/>
      <c r="AW412" s="55"/>
      <c r="AX412" s="55"/>
      <c r="AY412" s="55"/>
      <c r="AZ412" s="55"/>
      <c r="BA412" s="55"/>
      <c r="BB412" s="55"/>
      <c r="BC412" s="55"/>
      <c r="BD412" s="55"/>
      <c r="BE412" s="55"/>
      <c r="BF412" s="55"/>
      <c r="BG412" s="55"/>
      <c r="BH412" s="55"/>
      <c r="BI412" s="55"/>
      <c r="BJ412" s="55"/>
      <c r="BK412" s="55"/>
      <c r="BL412" s="55"/>
      <c r="BM412" s="55"/>
      <c r="BN412" s="55"/>
      <c r="BO412" s="55"/>
      <c r="BP412" s="55"/>
      <c r="BQ412" s="55"/>
      <c r="BR412" s="55"/>
      <c r="BS412" s="55"/>
    </row>
    <row r="413" spans="1:71" outlineLevel="1" x14ac:dyDescent="0.2">
      <c r="D413" t="str">
        <f>HM_ZD_Moho!D435</f>
        <v>Revenus pétroliers</v>
      </c>
      <c r="I413" s="30">
        <f t="shared" ref="I413:I415" ca="1" si="144">SUM($L413:$BS413)</f>
        <v>3729.9597132909998</v>
      </c>
      <c r="J413" s="26" t="s">
        <v>148</v>
      </c>
      <c r="L413" s="49" cm="1">
        <f t="array" aca="1" ref="L413:BS413" ca="1">HM_ZD_AM3_2005!CA_gross_rev_oil_fp</f>
        <v>1912.1835466870002</v>
      </c>
      <c r="M413" s="49">
        <f ca="1"/>
        <v>1817.7761666039996</v>
      </c>
      <c r="N413" s="49">
        <f ca="1"/>
        <v>0</v>
      </c>
      <c r="O413" s="49">
        <f ca="1"/>
        <v>0</v>
      </c>
      <c r="P413" s="49">
        <f ca="1"/>
        <v>0</v>
      </c>
      <c r="Q413" s="49">
        <f ca="1"/>
        <v>0</v>
      </c>
      <c r="R413" s="49">
        <f ca="1"/>
        <v>0</v>
      </c>
      <c r="S413" s="49">
        <f ca="1"/>
        <v>0</v>
      </c>
      <c r="T413" s="49">
        <f ca="1"/>
        <v>0</v>
      </c>
      <c r="U413" s="49">
        <f ca="1"/>
        <v>0</v>
      </c>
      <c r="V413" s="49">
        <f ca="1"/>
        <v>0</v>
      </c>
      <c r="W413" s="49">
        <f ca="1"/>
        <v>0</v>
      </c>
      <c r="X413" s="49">
        <f ca="1"/>
        <v>0</v>
      </c>
      <c r="Y413" s="49">
        <f ca="1"/>
        <v>0</v>
      </c>
      <c r="Z413" s="49">
        <f ca="1"/>
        <v>0</v>
      </c>
      <c r="AA413" s="49">
        <f ca="1"/>
        <v>0</v>
      </c>
      <c r="AB413" s="49">
        <f ca="1"/>
        <v>0</v>
      </c>
      <c r="AC413" s="49">
        <f ca="1"/>
        <v>0</v>
      </c>
      <c r="AD413" s="49">
        <f ca="1"/>
        <v>0</v>
      </c>
      <c r="AE413" s="49">
        <f ca="1"/>
        <v>0</v>
      </c>
      <c r="AF413" s="49">
        <f ca="1"/>
        <v>0</v>
      </c>
      <c r="AG413" s="49">
        <f ca="1"/>
        <v>0</v>
      </c>
      <c r="AH413" s="49">
        <f ca="1"/>
        <v>0</v>
      </c>
      <c r="AI413" s="49">
        <f ca="1"/>
        <v>0</v>
      </c>
      <c r="AJ413" s="49">
        <f ca="1"/>
        <v>0</v>
      </c>
      <c r="AK413" s="49">
        <f ca="1"/>
        <v>0</v>
      </c>
      <c r="AL413" s="49">
        <f ca="1"/>
        <v>0</v>
      </c>
      <c r="AM413" s="49">
        <f ca="1"/>
        <v>0</v>
      </c>
      <c r="AN413" s="49">
        <f ca="1"/>
        <v>0</v>
      </c>
      <c r="AO413" s="49">
        <f ca="1"/>
        <v>0</v>
      </c>
      <c r="AP413" s="49">
        <f ca="1"/>
        <v>0</v>
      </c>
      <c r="AQ413" s="49">
        <f ca="1"/>
        <v>0</v>
      </c>
      <c r="AR413" s="49">
        <f ca="1"/>
        <v>0</v>
      </c>
      <c r="AS413" s="49">
        <f ca="1"/>
        <v>0</v>
      </c>
      <c r="AT413" s="49">
        <f ca="1"/>
        <v>0</v>
      </c>
      <c r="AU413" s="49">
        <f ca="1"/>
        <v>0</v>
      </c>
      <c r="AV413" s="49">
        <f ca="1"/>
        <v>0</v>
      </c>
      <c r="AW413" s="49">
        <f ca="1"/>
        <v>0</v>
      </c>
      <c r="AX413" s="49">
        <f ca="1"/>
        <v>0</v>
      </c>
      <c r="AY413" s="49">
        <f ca="1"/>
        <v>0</v>
      </c>
      <c r="AZ413" s="49">
        <f ca="1"/>
        <v>0</v>
      </c>
      <c r="BA413" s="49">
        <f ca="1"/>
        <v>0</v>
      </c>
      <c r="BB413" s="49">
        <f ca="1"/>
        <v>0</v>
      </c>
      <c r="BC413" s="49">
        <f ca="1"/>
        <v>0</v>
      </c>
      <c r="BD413" s="49">
        <f ca="1"/>
        <v>0</v>
      </c>
      <c r="BE413" s="49">
        <f ca="1"/>
        <v>0</v>
      </c>
      <c r="BF413" s="49">
        <f ca="1"/>
        <v>0</v>
      </c>
      <c r="BG413" s="49">
        <f ca="1"/>
        <v>0</v>
      </c>
      <c r="BH413" s="49">
        <f ca="1"/>
        <v>0</v>
      </c>
      <c r="BI413" s="49">
        <f ca="1"/>
        <v>0</v>
      </c>
      <c r="BJ413" s="49">
        <f ca="1"/>
        <v>0</v>
      </c>
      <c r="BK413" s="49">
        <f ca="1"/>
        <v>0</v>
      </c>
      <c r="BL413" s="49">
        <f ca="1"/>
        <v>0</v>
      </c>
      <c r="BM413" s="49">
        <f ca="1"/>
        <v>0</v>
      </c>
      <c r="BN413" s="49">
        <f ca="1"/>
        <v>0</v>
      </c>
      <c r="BO413" s="49">
        <f ca="1"/>
        <v>0</v>
      </c>
      <c r="BP413" s="49">
        <f ca="1"/>
        <v>0</v>
      </c>
      <c r="BQ413" s="49">
        <f ca="1"/>
        <v>0</v>
      </c>
      <c r="BR413" s="49">
        <f ca="1"/>
        <v>0</v>
      </c>
      <c r="BS413" s="49">
        <f ca="1"/>
        <v>0</v>
      </c>
    </row>
    <row r="414" spans="1:71" outlineLevel="1" x14ac:dyDescent="0.2">
      <c r="D414" t="str">
        <f>HM_ZD_Moho!D436</f>
        <v>Revenus gaziers</v>
      </c>
      <c r="I414" s="30">
        <f t="shared" ca="1" si="144"/>
        <v>0</v>
      </c>
      <c r="J414" s="26" t="s">
        <v>148</v>
      </c>
      <c r="L414" s="49" cm="1">
        <f t="array" aca="1" ref="L414:BS414" ca="1">HM_ZD_AM3_2005!CA_gross_rev_gas_fp</f>
        <v>0</v>
      </c>
      <c r="M414" s="49">
        <f ca="1"/>
        <v>0</v>
      </c>
      <c r="N414" s="49">
        <f ca="1"/>
        <v>0</v>
      </c>
      <c r="O414" s="49">
        <f ca="1"/>
        <v>0</v>
      </c>
      <c r="P414" s="49">
        <f ca="1"/>
        <v>0</v>
      </c>
      <c r="Q414" s="49">
        <f ca="1"/>
        <v>0</v>
      </c>
      <c r="R414" s="49">
        <f ca="1"/>
        <v>0</v>
      </c>
      <c r="S414" s="49">
        <f ca="1"/>
        <v>0</v>
      </c>
      <c r="T414" s="49">
        <f ca="1"/>
        <v>0</v>
      </c>
      <c r="U414" s="49">
        <f ca="1"/>
        <v>0</v>
      </c>
      <c r="V414" s="49">
        <f ca="1"/>
        <v>0</v>
      </c>
      <c r="W414" s="49">
        <f ca="1"/>
        <v>0</v>
      </c>
      <c r="X414" s="49">
        <f ca="1"/>
        <v>0</v>
      </c>
      <c r="Y414" s="49">
        <f ca="1"/>
        <v>0</v>
      </c>
      <c r="Z414" s="49">
        <f ca="1"/>
        <v>0</v>
      </c>
      <c r="AA414" s="49">
        <f ca="1"/>
        <v>0</v>
      </c>
      <c r="AB414" s="49">
        <f ca="1"/>
        <v>0</v>
      </c>
      <c r="AC414" s="49">
        <f ca="1"/>
        <v>0</v>
      </c>
      <c r="AD414" s="49">
        <f ca="1"/>
        <v>0</v>
      </c>
      <c r="AE414" s="49">
        <f ca="1"/>
        <v>0</v>
      </c>
      <c r="AF414" s="49">
        <f ca="1"/>
        <v>0</v>
      </c>
      <c r="AG414" s="49">
        <f ca="1"/>
        <v>0</v>
      </c>
      <c r="AH414" s="49">
        <f ca="1"/>
        <v>0</v>
      </c>
      <c r="AI414" s="49">
        <f ca="1"/>
        <v>0</v>
      </c>
      <c r="AJ414" s="49">
        <f ca="1"/>
        <v>0</v>
      </c>
      <c r="AK414" s="49">
        <f ca="1"/>
        <v>0</v>
      </c>
      <c r="AL414" s="49">
        <f ca="1"/>
        <v>0</v>
      </c>
      <c r="AM414" s="49">
        <f ca="1"/>
        <v>0</v>
      </c>
      <c r="AN414" s="49">
        <f ca="1"/>
        <v>0</v>
      </c>
      <c r="AO414" s="49">
        <f ca="1"/>
        <v>0</v>
      </c>
      <c r="AP414" s="49">
        <f ca="1"/>
        <v>0</v>
      </c>
      <c r="AQ414" s="49">
        <f ca="1"/>
        <v>0</v>
      </c>
      <c r="AR414" s="49">
        <f ca="1"/>
        <v>0</v>
      </c>
      <c r="AS414" s="49">
        <f ca="1"/>
        <v>0</v>
      </c>
      <c r="AT414" s="49">
        <f ca="1"/>
        <v>0</v>
      </c>
      <c r="AU414" s="49">
        <f ca="1"/>
        <v>0</v>
      </c>
      <c r="AV414" s="49">
        <f ca="1"/>
        <v>0</v>
      </c>
      <c r="AW414" s="49">
        <f ca="1"/>
        <v>0</v>
      </c>
      <c r="AX414" s="49">
        <f ca="1"/>
        <v>0</v>
      </c>
      <c r="AY414" s="49">
        <f ca="1"/>
        <v>0</v>
      </c>
      <c r="AZ414" s="49">
        <f ca="1"/>
        <v>0</v>
      </c>
      <c r="BA414" s="49">
        <f ca="1"/>
        <v>0</v>
      </c>
      <c r="BB414" s="49">
        <f ca="1"/>
        <v>0</v>
      </c>
      <c r="BC414" s="49">
        <f ca="1"/>
        <v>0</v>
      </c>
      <c r="BD414" s="49">
        <f ca="1"/>
        <v>0</v>
      </c>
      <c r="BE414" s="49">
        <f ca="1"/>
        <v>0</v>
      </c>
      <c r="BF414" s="49">
        <f ca="1"/>
        <v>0</v>
      </c>
      <c r="BG414" s="49">
        <f ca="1"/>
        <v>0</v>
      </c>
      <c r="BH414" s="49">
        <f ca="1"/>
        <v>0</v>
      </c>
      <c r="BI414" s="49">
        <f ca="1"/>
        <v>0</v>
      </c>
      <c r="BJ414" s="49">
        <f ca="1"/>
        <v>0</v>
      </c>
      <c r="BK414" s="49">
        <f ca="1"/>
        <v>0</v>
      </c>
      <c r="BL414" s="49">
        <f ca="1"/>
        <v>0</v>
      </c>
      <c r="BM414" s="49">
        <f ca="1"/>
        <v>0</v>
      </c>
      <c r="BN414" s="49">
        <f ca="1"/>
        <v>0</v>
      </c>
      <c r="BO414" s="49">
        <f ca="1"/>
        <v>0</v>
      </c>
      <c r="BP414" s="49">
        <f ca="1"/>
        <v>0</v>
      </c>
      <c r="BQ414" s="49">
        <f ca="1"/>
        <v>0</v>
      </c>
      <c r="BR414" s="49">
        <f ca="1"/>
        <v>0</v>
      </c>
      <c r="BS414" s="49">
        <f ca="1"/>
        <v>0</v>
      </c>
    </row>
    <row r="415" spans="1:71" outlineLevel="1" x14ac:dyDescent="0.2">
      <c r="D415" s="11" t="str">
        <f>HM_ZD_Moho!D437</f>
        <v>Total revenus bruts</v>
      </c>
      <c r="I415" s="30">
        <f t="shared" ca="1" si="144"/>
        <v>3729.9597132909998</v>
      </c>
      <c r="J415" s="26" t="s">
        <v>148</v>
      </c>
      <c r="L415" s="49">
        <f ca="1">SUM(L413:L414)</f>
        <v>1912.1835466870002</v>
      </c>
      <c r="M415" s="49">
        <f t="shared" ref="M415:BS415" ca="1" si="145">SUM(M413:M414)</f>
        <v>1817.7761666039996</v>
      </c>
      <c r="N415" s="49">
        <f t="shared" ca="1" si="145"/>
        <v>0</v>
      </c>
      <c r="O415" s="49">
        <f t="shared" ca="1" si="145"/>
        <v>0</v>
      </c>
      <c r="P415" s="49">
        <f t="shared" ca="1" si="145"/>
        <v>0</v>
      </c>
      <c r="Q415" s="49">
        <f t="shared" ca="1" si="145"/>
        <v>0</v>
      </c>
      <c r="R415" s="49">
        <f t="shared" ca="1" si="145"/>
        <v>0</v>
      </c>
      <c r="S415" s="49">
        <f t="shared" ca="1" si="145"/>
        <v>0</v>
      </c>
      <c r="T415" s="49">
        <f t="shared" ca="1" si="145"/>
        <v>0</v>
      </c>
      <c r="U415" s="49">
        <f t="shared" ca="1" si="145"/>
        <v>0</v>
      </c>
      <c r="V415" s="49">
        <f t="shared" ca="1" si="145"/>
        <v>0</v>
      </c>
      <c r="W415" s="49">
        <f t="shared" ca="1" si="145"/>
        <v>0</v>
      </c>
      <c r="X415" s="49">
        <f t="shared" ca="1" si="145"/>
        <v>0</v>
      </c>
      <c r="Y415" s="49">
        <f t="shared" ca="1" si="145"/>
        <v>0</v>
      </c>
      <c r="Z415" s="49">
        <f t="shared" ca="1" si="145"/>
        <v>0</v>
      </c>
      <c r="AA415" s="49">
        <f t="shared" ca="1" si="145"/>
        <v>0</v>
      </c>
      <c r="AB415" s="49">
        <f t="shared" ca="1" si="145"/>
        <v>0</v>
      </c>
      <c r="AC415" s="49">
        <f t="shared" ca="1" si="145"/>
        <v>0</v>
      </c>
      <c r="AD415" s="49">
        <f t="shared" ca="1" si="145"/>
        <v>0</v>
      </c>
      <c r="AE415" s="49">
        <f t="shared" ca="1" si="145"/>
        <v>0</v>
      </c>
      <c r="AF415" s="49">
        <f t="shared" ca="1" si="145"/>
        <v>0</v>
      </c>
      <c r="AG415" s="49">
        <f t="shared" ca="1" si="145"/>
        <v>0</v>
      </c>
      <c r="AH415" s="49">
        <f t="shared" ca="1" si="145"/>
        <v>0</v>
      </c>
      <c r="AI415" s="49">
        <f t="shared" ca="1" si="145"/>
        <v>0</v>
      </c>
      <c r="AJ415" s="49">
        <f t="shared" ca="1" si="145"/>
        <v>0</v>
      </c>
      <c r="AK415" s="49">
        <f t="shared" ca="1" si="145"/>
        <v>0</v>
      </c>
      <c r="AL415" s="49">
        <f t="shared" ca="1" si="145"/>
        <v>0</v>
      </c>
      <c r="AM415" s="49">
        <f t="shared" ca="1" si="145"/>
        <v>0</v>
      </c>
      <c r="AN415" s="49">
        <f t="shared" ca="1" si="145"/>
        <v>0</v>
      </c>
      <c r="AO415" s="49">
        <f t="shared" ca="1" si="145"/>
        <v>0</v>
      </c>
      <c r="AP415" s="49">
        <f t="shared" ca="1" si="145"/>
        <v>0</v>
      </c>
      <c r="AQ415" s="49">
        <f t="shared" ca="1" si="145"/>
        <v>0</v>
      </c>
      <c r="AR415" s="49">
        <f t="shared" ca="1" si="145"/>
        <v>0</v>
      </c>
      <c r="AS415" s="49">
        <f t="shared" ca="1" si="145"/>
        <v>0</v>
      </c>
      <c r="AT415" s="49">
        <f t="shared" ca="1" si="145"/>
        <v>0</v>
      </c>
      <c r="AU415" s="49">
        <f t="shared" ca="1" si="145"/>
        <v>0</v>
      </c>
      <c r="AV415" s="49">
        <f t="shared" ca="1" si="145"/>
        <v>0</v>
      </c>
      <c r="AW415" s="49">
        <f t="shared" ca="1" si="145"/>
        <v>0</v>
      </c>
      <c r="AX415" s="49">
        <f t="shared" ca="1" si="145"/>
        <v>0</v>
      </c>
      <c r="AY415" s="49">
        <f t="shared" ca="1" si="145"/>
        <v>0</v>
      </c>
      <c r="AZ415" s="49">
        <f t="shared" ca="1" si="145"/>
        <v>0</v>
      </c>
      <c r="BA415" s="49">
        <f t="shared" ca="1" si="145"/>
        <v>0</v>
      </c>
      <c r="BB415" s="49">
        <f t="shared" ca="1" si="145"/>
        <v>0</v>
      </c>
      <c r="BC415" s="49">
        <f t="shared" ca="1" si="145"/>
        <v>0</v>
      </c>
      <c r="BD415" s="49">
        <f t="shared" ca="1" si="145"/>
        <v>0</v>
      </c>
      <c r="BE415" s="49">
        <f t="shared" ca="1" si="145"/>
        <v>0</v>
      </c>
      <c r="BF415" s="49">
        <f t="shared" ca="1" si="145"/>
        <v>0</v>
      </c>
      <c r="BG415" s="49">
        <f t="shared" ca="1" si="145"/>
        <v>0</v>
      </c>
      <c r="BH415" s="49">
        <f t="shared" ca="1" si="145"/>
        <v>0</v>
      </c>
      <c r="BI415" s="49">
        <f t="shared" ca="1" si="145"/>
        <v>0</v>
      </c>
      <c r="BJ415" s="49">
        <f t="shared" ca="1" si="145"/>
        <v>0</v>
      </c>
      <c r="BK415" s="49">
        <f t="shared" ca="1" si="145"/>
        <v>0</v>
      </c>
      <c r="BL415" s="49">
        <f t="shared" ca="1" si="145"/>
        <v>0</v>
      </c>
      <c r="BM415" s="49">
        <f t="shared" ca="1" si="145"/>
        <v>0</v>
      </c>
      <c r="BN415" s="49">
        <f t="shared" ca="1" si="145"/>
        <v>0</v>
      </c>
      <c r="BO415" s="49">
        <f t="shared" ca="1" si="145"/>
        <v>0</v>
      </c>
      <c r="BP415" s="49">
        <f t="shared" ca="1" si="145"/>
        <v>0</v>
      </c>
      <c r="BQ415" s="49">
        <f t="shared" ca="1" si="145"/>
        <v>0</v>
      </c>
      <c r="BR415" s="49">
        <f t="shared" ca="1" si="145"/>
        <v>0</v>
      </c>
      <c r="BS415" s="49">
        <f t="shared" ca="1" si="145"/>
        <v>0</v>
      </c>
    </row>
    <row r="416" spans="1:71" outlineLevel="1" x14ac:dyDescent="0.2">
      <c r="J416" s="26"/>
      <c r="L416" s="55"/>
      <c r="M416" s="55"/>
      <c r="N416" s="55"/>
      <c r="O416" s="55"/>
      <c r="P416" s="55"/>
      <c r="Q416" s="55"/>
      <c r="R416" s="55"/>
      <c r="S416" s="55"/>
      <c r="T416" s="55"/>
      <c r="U416" s="55"/>
      <c r="V416" s="55"/>
      <c r="W416" s="55"/>
      <c r="X416" s="55"/>
      <c r="Y416" s="55"/>
      <c r="Z416" s="55"/>
      <c r="AA416" s="55"/>
      <c r="AB416" s="55"/>
      <c r="AC416" s="55"/>
      <c r="AD416" s="55"/>
      <c r="AE416" s="55"/>
      <c r="AF416" s="55"/>
      <c r="AG416" s="55"/>
      <c r="AH416" s="55"/>
      <c r="AI416" s="55"/>
      <c r="AJ416" s="55"/>
      <c r="AK416" s="55"/>
      <c r="AL416" s="55"/>
      <c r="AM416" s="55"/>
      <c r="AN416" s="55"/>
      <c r="AO416" s="55"/>
      <c r="AP416" s="55"/>
      <c r="AQ416" s="55"/>
      <c r="AR416" s="55"/>
      <c r="AS416" s="55"/>
      <c r="AT416" s="55"/>
      <c r="AU416" s="55"/>
      <c r="AV416" s="55"/>
      <c r="AW416" s="55"/>
      <c r="AX416" s="55"/>
      <c r="AY416" s="55"/>
      <c r="AZ416" s="55"/>
      <c r="BA416" s="55"/>
      <c r="BB416" s="55"/>
      <c r="BC416" s="55"/>
      <c r="BD416" s="55"/>
      <c r="BE416" s="55"/>
      <c r="BF416" s="55"/>
      <c r="BG416" s="55"/>
      <c r="BH416" s="55"/>
      <c r="BI416" s="55"/>
      <c r="BJ416" s="55"/>
      <c r="BK416" s="55"/>
      <c r="BL416" s="55"/>
      <c r="BM416" s="55"/>
      <c r="BN416" s="55"/>
      <c r="BO416" s="55"/>
      <c r="BP416" s="55"/>
      <c r="BQ416" s="55"/>
      <c r="BR416" s="55"/>
      <c r="BS416" s="55"/>
    </row>
    <row r="417" spans="3:71" outlineLevel="1" x14ac:dyDescent="0.2">
      <c r="C417" t="str">
        <f>HM_ZD_Moho!C439</f>
        <v>Coûts d'exploitation</v>
      </c>
      <c r="J417" s="26"/>
      <c r="L417" s="55"/>
      <c r="M417" s="55"/>
      <c r="N417" s="55"/>
      <c r="O417" s="55"/>
      <c r="P417" s="55"/>
      <c r="Q417" s="55"/>
      <c r="R417" s="55"/>
      <c r="S417" s="55"/>
      <c r="T417" s="55"/>
      <c r="U417" s="55"/>
      <c r="V417" s="55"/>
      <c r="W417" s="55"/>
      <c r="X417" s="55"/>
      <c r="Y417" s="55"/>
      <c r="Z417" s="55"/>
      <c r="AA417" s="55"/>
      <c r="AB417" s="55"/>
      <c r="AC417" s="55"/>
      <c r="AD417" s="55"/>
      <c r="AE417" s="55"/>
      <c r="AF417" s="55"/>
      <c r="AG417" s="55"/>
      <c r="AH417" s="55"/>
      <c r="AI417" s="55"/>
      <c r="AJ417" s="55"/>
      <c r="AK417" s="55"/>
      <c r="AL417" s="55"/>
      <c r="AM417" s="55"/>
      <c r="AN417" s="55"/>
      <c r="AO417" s="55"/>
      <c r="AP417" s="55"/>
      <c r="AQ417" s="55"/>
      <c r="AR417" s="55"/>
      <c r="AS417" s="55"/>
      <c r="AT417" s="55"/>
      <c r="AU417" s="55"/>
      <c r="AV417" s="55"/>
      <c r="AW417" s="55"/>
      <c r="AX417" s="55"/>
      <c r="AY417" s="55"/>
      <c r="AZ417" s="55"/>
      <c r="BA417" s="55"/>
      <c r="BB417" s="55"/>
      <c r="BC417" s="55"/>
      <c r="BD417" s="55"/>
      <c r="BE417" s="55"/>
      <c r="BF417" s="55"/>
      <c r="BG417" s="55"/>
      <c r="BH417" s="55"/>
      <c r="BI417" s="55"/>
      <c r="BJ417" s="55"/>
      <c r="BK417" s="55"/>
      <c r="BL417" s="55"/>
      <c r="BM417" s="55"/>
      <c r="BN417" s="55"/>
      <c r="BO417" s="55"/>
      <c r="BP417" s="55"/>
      <c r="BQ417" s="55"/>
      <c r="BR417" s="55"/>
      <c r="BS417" s="55"/>
    </row>
    <row r="418" spans="3:71" outlineLevel="1" x14ac:dyDescent="0.2">
      <c r="D418" t="str">
        <f>HM_ZD_Moho!D440</f>
        <v>Opex fixes</v>
      </c>
      <c r="I418" s="30">
        <f t="shared" ref="I418:I420" ca="1" si="146">SUM($L418:$BS418)</f>
        <v>0</v>
      </c>
      <c r="J418" s="26" t="s">
        <v>148</v>
      </c>
      <c r="L418" s="49" cm="1">
        <f t="array" aca="1" ref="L418:BS418" ca="1">HM_ZD_AM3_2005!CA_fixedopex_nom</f>
        <v>0</v>
      </c>
      <c r="M418" s="49">
        <f ca="1"/>
        <v>0</v>
      </c>
      <c r="N418" s="49">
        <f ca="1"/>
        <v>0</v>
      </c>
      <c r="O418" s="49">
        <f ca="1"/>
        <v>0</v>
      </c>
      <c r="P418" s="49">
        <f ca="1"/>
        <v>0</v>
      </c>
      <c r="Q418" s="49">
        <f ca="1"/>
        <v>0</v>
      </c>
      <c r="R418" s="49">
        <f ca="1"/>
        <v>0</v>
      </c>
      <c r="S418" s="49">
        <f ca="1"/>
        <v>0</v>
      </c>
      <c r="T418" s="49">
        <f ca="1"/>
        <v>0</v>
      </c>
      <c r="U418" s="49">
        <f ca="1"/>
        <v>0</v>
      </c>
      <c r="V418" s="49">
        <f ca="1"/>
        <v>0</v>
      </c>
      <c r="W418" s="49">
        <f ca="1"/>
        <v>0</v>
      </c>
      <c r="X418" s="49">
        <f ca="1"/>
        <v>0</v>
      </c>
      <c r="Y418" s="49">
        <f ca="1"/>
        <v>0</v>
      </c>
      <c r="Z418" s="49">
        <f ca="1"/>
        <v>0</v>
      </c>
      <c r="AA418" s="49">
        <f ca="1"/>
        <v>0</v>
      </c>
      <c r="AB418" s="49">
        <f ca="1"/>
        <v>0</v>
      </c>
      <c r="AC418" s="49">
        <f ca="1"/>
        <v>0</v>
      </c>
      <c r="AD418" s="49">
        <f ca="1"/>
        <v>0</v>
      </c>
      <c r="AE418" s="49">
        <f ca="1"/>
        <v>0</v>
      </c>
      <c r="AF418" s="49">
        <f ca="1"/>
        <v>0</v>
      </c>
      <c r="AG418" s="49">
        <f ca="1"/>
        <v>0</v>
      </c>
      <c r="AH418" s="49">
        <f ca="1"/>
        <v>0</v>
      </c>
      <c r="AI418" s="49">
        <f ca="1"/>
        <v>0</v>
      </c>
      <c r="AJ418" s="49">
        <f ca="1"/>
        <v>0</v>
      </c>
      <c r="AK418" s="49">
        <f ca="1"/>
        <v>0</v>
      </c>
      <c r="AL418" s="49">
        <f ca="1"/>
        <v>0</v>
      </c>
      <c r="AM418" s="49">
        <f ca="1"/>
        <v>0</v>
      </c>
      <c r="AN418" s="49">
        <f ca="1"/>
        <v>0</v>
      </c>
      <c r="AO418" s="49">
        <f ca="1"/>
        <v>0</v>
      </c>
      <c r="AP418" s="49">
        <f ca="1"/>
        <v>0</v>
      </c>
      <c r="AQ418" s="49">
        <f ca="1"/>
        <v>0</v>
      </c>
      <c r="AR418" s="49">
        <f ca="1"/>
        <v>0</v>
      </c>
      <c r="AS418" s="49">
        <f ca="1"/>
        <v>0</v>
      </c>
      <c r="AT418" s="49">
        <f ca="1"/>
        <v>0</v>
      </c>
      <c r="AU418" s="49">
        <f ca="1"/>
        <v>0</v>
      </c>
      <c r="AV418" s="49">
        <f ca="1"/>
        <v>0</v>
      </c>
      <c r="AW418" s="49">
        <f ca="1"/>
        <v>0</v>
      </c>
      <c r="AX418" s="49">
        <f ca="1"/>
        <v>0</v>
      </c>
      <c r="AY418" s="49">
        <f ca="1"/>
        <v>0</v>
      </c>
      <c r="AZ418" s="49">
        <f ca="1"/>
        <v>0</v>
      </c>
      <c r="BA418" s="49">
        <f ca="1"/>
        <v>0</v>
      </c>
      <c r="BB418" s="49">
        <f ca="1"/>
        <v>0</v>
      </c>
      <c r="BC418" s="49">
        <f ca="1"/>
        <v>0</v>
      </c>
      <c r="BD418" s="49">
        <f ca="1"/>
        <v>0</v>
      </c>
      <c r="BE418" s="49">
        <f ca="1"/>
        <v>0</v>
      </c>
      <c r="BF418" s="49">
        <f ca="1"/>
        <v>0</v>
      </c>
      <c r="BG418" s="49">
        <f ca="1"/>
        <v>0</v>
      </c>
      <c r="BH418" s="49">
        <f ca="1"/>
        <v>0</v>
      </c>
      <c r="BI418" s="49">
        <f ca="1"/>
        <v>0</v>
      </c>
      <c r="BJ418" s="49">
        <f ca="1"/>
        <v>0</v>
      </c>
      <c r="BK418" s="49">
        <f ca="1"/>
        <v>0</v>
      </c>
      <c r="BL418" s="49">
        <f ca="1"/>
        <v>0</v>
      </c>
      <c r="BM418" s="49">
        <f ca="1"/>
        <v>0</v>
      </c>
      <c r="BN418" s="49">
        <f ca="1"/>
        <v>0</v>
      </c>
      <c r="BO418" s="49">
        <f ca="1"/>
        <v>0</v>
      </c>
      <c r="BP418" s="49">
        <f ca="1"/>
        <v>0</v>
      </c>
      <c r="BQ418" s="49">
        <f ca="1"/>
        <v>0</v>
      </c>
      <c r="BR418" s="49">
        <f ca="1"/>
        <v>0</v>
      </c>
      <c r="BS418" s="49">
        <f ca="1"/>
        <v>0</v>
      </c>
    </row>
    <row r="419" spans="3:71" outlineLevel="1" x14ac:dyDescent="0.2">
      <c r="D419" t="str">
        <f>HM_ZD_Moho!D441</f>
        <v>Opex variables</v>
      </c>
      <c r="I419" s="30">
        <f t="shared" ca="1" si="146"/>
        <v>392.69</v>
      </c>
      <c r="J419" s="26" t="s">
        <v>148</v>
      </c>
      <c r="L419" s="49" cm="1">
        <f t="array" aca="1" ref="L419:BS419" ca="1">HM_ZD_AM3_2005!CA_varopex_nom</f>
        <v>172.67099999999999</v>
      </c>
      <c r="M419" s="49">
        <f ca="1"/>
        <v>220.01900000000001</v>
      </c>
      <c r="N419" s="49">
        <f ca="1"/>
        <v>0</v>
      </c>
      <c r="O419" s="49">
        <f ca="1"/>
        <v>0</v>
      </c>
      <c r="P419" s="49">
        <f ca="1"/>
        <v>0</v>
      </c>
      <c r="Q419" s="49">
        <f ca="1"/>
        <v>0</v>
      </c>
      <c r="R419" s="49">
        <f ca="1"/>
        <v>0</v>
      </c>
      <c r="S419" s="49">
        <f ca="1"/>
        <v>0</v>
      </c>
      <c r="T419" s="49">
        <f ca="1"/>
        <v>0</v>
      </c>
      <c r="U419" s="49">
        <f ca="1"/>
        <v>0</v>
      </c>
      <c r="V419" s="49">
        <f ca="1"/>
        <v>0</v>
      </c>
      <c r="W419" s="49">
        <f ca="1"/>
        <v>0</v>
      </c>
      <c r="X419" s="49">
        <f ca="1"/>
        <v>0</v>
      </c>
      <c r="Y419" s="49">
        <f ca="1"/>
        <v>0</v>
      </c>
      <c r="Z419" s="49">
        <f ca="1"/>
        <v>0</v>
      </c>
      <c r="AA419" s="49">
        <f ca="1"/>
        <v>0</v>
      </c>
      <c r="AB419" s="49">
        <f ca="1"/>
        <v>0</v>
      </c>
      <c r="AC419" s="49">
        <f ca="1"/>
        <v>0</v>
      </c>
      <c r="AD419" s="49">
        <f ca="1"/>
        <v>0</v>
      </c>
      <c r="AE419" s="49">
        <f ca="1"/>
        <v>0</v>
      </c>
      <c r="AF419" s="49">
        <f ca="1"/>
        <v>0</v>
      </c>
      <c r="AG419" s="49">
        <f ca="1"/>
        <v>0</v>
      </c>
      <c r="AH419" s="49">
        <f ca="1"/>
        <v>0</v>
      </c>
      <c r="AI419" s="49">
        <f ca="1"/>
        <v>0</v>
      </c>
      <c r="AJ419" s="49">
        <f ca="1"/>
        <v>0</v>
      </c>
      <c r="AK419" s="49">
        <f ca="1"/>
        <v>0</v>
      </c>
      <c r="AL419" s="49">
        <f ca="1"/>
        <v>0</v>
      </c>
      <c r="AM419" s="49">
        <f ca="1"/>
        <v>0</v>
      </c>
      <c r="AN419" s="49">
        <f ca="1"/>
        <v>0</v>
      </c>
      <c r="AO419" s="49">
        <f ca="1"/>
        <v>0</v>
      </c>
      <c r="AP419" s="49">
        <f ca="1"/>
        <v>0</v>
      </c>
      <c r="AQ419" s="49">
        <f ca="1"/>
        <v>0</v>
      </c>
      <c r="AR419" s="49">
        <f ca="1"/>
        <v>0</v>
      </c>
      <c r="AS419" s="49">
        <f ca="1"/>
        <v>0</v>
      </c>
      <c r="AT419" s="49">
        <f ca="1"/>
        <v>0</v>
      </c>
      <c r="AU419" s="49">
        <f ca="1"/>
        <v>0</v>
      </c>
      <c r="AV419" s="49">
        <f ca="1"/>
        <v>0</v>
      </c>
      <c r="AW419" s="49">
        <f ca="1"/>
        <v>0</v>
      </c>
      <c r="AX419" s="49">
        <f ca="1"/>
        <v>0</v>
      </c>
      <c r="AY419" s="49">
        <f ca="1"/>
        <v>0</v>
      </c>
      <c r="AZ419" s="49">
        <f ca="1"/>
        <v>0</v>
      </c>
      <c r="BA419" s="49">
        <f ca="1"/>
        <v>0</v>
      </c>
      <c r="BB419" s="49">
        <f ca="1"/>
        <v>0</v>
      </c>
      <c r="BC419" s="49">
        <f ca="1"/>
        <v>0</v>
      </c>
      <c r="BD419" s="49">
        <f ca="1"/>
        <v>0</v>
      </c>
      <c r="BE419" s="49">
        <f ca="1"/>
        <v>0</v>
      </c>
      <c r="BF419" s="49">
        <f ca="1"/>
        <v>0</v>
      </c>
      <c r="BG419" s="49">
        <f ca="1"/>
        <v>0</v>
      </c>
      <c r="BH419" s="49">
        <f ca="1"/>
        <v>0</v>
      </c>
      <c r="BI419" s="49">
        <f ca="1"/>
        <v>0</v>
      </c>
      <c r="BJ419" s="49">
        <f ca="1"/>
        <v>0</v>
      </c>
      <c r="BK419" s="49">
        <f ca="1"/>
        <v>0</v>
      </c>
      <c r="BL419" s="49">
        <f ca="1"/>
        <v>0</v>
      </c>
      <c r="BM419" s="49">
        <f ca="1"/>
        <v>0</v>
      </c>
      <c r="BN419" s="49">
        <f ca="1"/>
        <v>0</v>
      </c>
      <c r="BO419" s="49">
        <f ca="1"/>
        <v>0</v>
      </c>
      <c r="BP419" s="49">
        <f ca="1"/>
        <v>0</v>
      </c>
      <c r="BQ419" s="49">
        <f ca="1"/>
        <v>0</v>
      </c>
      <c r="BR419" s="49">
        <f ca="1"/>
        <v>0</v>
      </c>
      <c r="BS419" s="49">
        <f ca="1"/>
        <v>0</v>
      </c>
    </row>
    <row r="420" spans="3:71" outlineLevel="1" x14ac:dyDescent="0.2">
      <c r="D420" s="11" t="str">
        <f>HM_ZD_Moho!D442</f>
        <v>Total Opex</v>
      </c>
      <c r="I420" s="30">
        <f t="shared" ca="1" si="146"/>
        <v>392.69</v>
      </c>
      <c r="J420" s="26" t="s">
        <v>148</v>
      </c>
      <c r="L420" s="49">
        <f ca="1">SUM(L418:L419)</f>
        <v>172.67099999999999</v>
      </c>
      <c r="M420" s="49">
        <f t="shared" ref="M420:BS420" ca="1" si="147">SUM(M418:M419)</f>
        <v>220.01900000000001</v>
      </c>
      <c r="N420" s="49">
        <f t="shared" ca="1" si="147"/>
        <v>0</v>
      </c>
      <c r="O420" s="49">
        <f t="shared" ca="1" si="147"/>
        <v>0</v>
      </c>
      <c r="P420" s="49">
        <f t="shared" ca="1" si="147"/>
        <v>0</v>
      </c>
      <c r="Q420" s="49">
        <f t="shared" ca="1" si="147"/>
        <v>0</v>
      </c>
      <c r="R420" s="49">
        <f t="shared" ca="1" si="147"/>
        <v>0</v>
      </c>
      <c r="S420" s="49">
        <f t="shared" ca="1" si="147"/>
        <v>0</v>
      </c>
      <c r="T420" s="49">
        <f t="shared" ca="1" si="147"/>
        <v>0</v>
      </c>
      <c r="U420" s="49">
        <f t="shared" ca="1" si="147"/>
        <v>0</v>
      </c>
      <c r="V420" s="49">
        <f t="shared" ca="1" si="147"/>
        <v>0</v>
      </c>
      <c r="W420" s="49">
        <f t="shared" ca="1" si="147"/>
        <v>0</v>
      </c>
      <c r="X420" s="49">
        <f t="shared" ca="1" si="147"/>
        <v>0</v>
      </c>
      <c r="Y420" s="49">
        <f t="shared" ca="1" si="147"/>
        <v>0</v>
      </c>
      <c r="Z420" s="49">
        <f t="shared" ca="1" si="147"/>
        <v>0</v>
      </c>
      <c r="AA420" s="49">
        <f t="shared" ca="1" si="147"/>
        <v>0</v>
      </c>
      <c r="AB420" s="49">
        <f t="shared" ca="1" si="147"/>
        <v>0</v>
      </c>
      <c r="AC420" s="49">
        <f t="shared" ca="1" si="147"/>
        <v>0</v>
      </c>
      <c r="AD420" s="49">
        <f t="shared" ca="1" si="147"/>
        <v>0</v>
      </c>
      <c r="AE420" s="49">
        <f t="shared" ca="1" si="147"/>
        <v>0</v>
      </c>
      <c r="AF420" s="49">
        <f t="shared" ca="1" si="147"/>
        <v>0</v>
      </c>
      <c r="AG420" s="49">
        <f t="shared" ca="1" si="147"/>
        <v>0</v>
      </c>
      <c r="AH420" s="49">
        <f t="shared" ca="1" si="147"/>
        <v>0</v>
      </c>
      <c r="AI420" s="49">
        <f t="shared" ca="1" si="147"/>
        <v>0</v>
      </c>
      <c r="AJ420" s="49">
        <f t="shared" ca="1" si="147"/>
        <v>0</v>
      </c>
      <c r="AK420" s="49">
        <f t="shared" ca="1" si="147"/>
        <v>0</v>
      </c>
      <c r="AL420" s="49">
        <f t="shared" ca="1" si="147"/>
        <v>0</v>
      </c>
      <c r="AM420" s="49">
        <f t="shared" ca="1" si="147"/>
        <v>0</v>
      </c>
      <c r="AN420" s="49">
        <f t="shared" ca="1" si="147"/>
        <v>0</v>
      </c>
      <c r="AO420" s="49">
        <f t="shared" ca="1" si="147"/>
        <v>0</v>
      </c>
      <c r="AP420" s="49">
        <f t="shared" ca="1" si="147"/>
        <v>0</v>
      </c>
      <c r="AQ420" s="49">
        <f t="shared" ca="1" si="147"/>
        <v>0</v>
      </c>
      <c r="AR420" s="49">
        <f t="shared" ca="1" si="147"/>
        <v>0</v>
      </c>
      <c r="AS420" s="49">
        <f t="shared" ca="1" si="147"/>
        <v>0</v>
      </c>
      <c r="AT420" s="49">
        <f t="shared" ca="1" si="147"/>
        <v>0</v>
      </c>
      <c r="AU420" s="49">
        <f t="shared" ca="1" si="147"/>
        <v>0</v>
      </c>
      <c r="AV420" s="49">
        <f t="shared" ca="1" si="147"/>
        <v>0</v>
      </c>
      <c r="AW420" s="49">
        <f t="shared" ca="1" si="147"/>
        <v>0</v>
      </c>
      <c r="AX420" s="49">
        <f t="shared" ca="1" si="147"/>
        <v>0</v>
      </c>
      <c r="AY420" s="49">
        <f t="shared" ca="1" si="147"/>
        <v>0</v>
      </c>
      <c r="AZ420" s="49">
        <f t="shared" ca="1" si="147"/>
        <v>0</v>
      </c>
      <c r="BA420" s="49">
        <f t="shared" ca="1" si="147"/>
        <v>0</v>
      </c>
      <c r="BB420" s="49">
        <f t="shared" ca="1" si="147"/>
        <v>0</v>
      </c>
      <c r="BC420" s="49">
        <f t="shared" ca="1" si="147"/>
        <v>0</v>
      </c>
      <c r="BD420" s="49">
        <f t="shared" ca="1" si="147"/>
        <v>0</v>
      </c>
      <c r="BE420" s="49">
        <f t="shared" ca="1" si="147"/>
        <v>0</v>
      </c>
      <c r="BF420" s="49">
        <f t="shared" ca="1" si="147"/>
        <v>0</v>
      </c>
      <c r="BG420" s="49">
        <f t="shared" ca="1" si="147"/>
        <v>0</v>
      </c>
      <c r="BH420" s="49">
        <f t="shared" ca="1" si="147"/>
        <v>0</v>
      </c>
      <c r="BI420" s="49">
        <f t="shared" ca="1" si="147"/>
        <v>0</v>
      </c>
      <c r="BJ420" s="49">
        <f t="shared" ca="1" si="147"/>
        <v>0</v>
      </c>
      <c r="BK420" s="49">
        <f t="shared" ca="1" si="147"/>
        <v>0</v>
      </c>
      <c r="BL420" s="49">
        <f t="shared" ca="1" si="147"/>
        <v>0</v>
      </c>
      <c r="BM420" s="49">
        <f t="shared" ca="1" si="147"/>
        <v>0</v>
      </c>
      <c r="BN420" s="49">
        <f t="shared" ca="1" si="147"/>
        <v>0</v>
      </c>
      <c r="BO420" s="49">
        <f t="shared" ca="1" si="147"/>
        <v>0</v>
      </c>
      <c r="BP420" s="49">
        <f t="shared" ca="1" si="147"/>
        <v>0</v>
      </c>
      <c r="BQ420" s="49">
        <f t="shared" ca="1" si="147"/>
        <v>0</v>
      </c>
      <c r="BR420" s="49">
        <f t="shared" ca="1" si="147"/>
        <v>0</v>
      </c>
      <c r="BS420" s="49">
        <f t="shared" ca="1" si="147"/>
        <v>0</v>
      </c>
    </row>
    <row r="421" spans="3:71" outlineLevel="1" x14ac:dyDescent="0.2">
      <c r="J421" s="26"/>
      <c r="L421" s="55"/>
      <c r="M421" s="55"/>
      <c r="N421" s="55"/>
      <c r="O421" s="55"/>
      <c r="P421" s="55"/>
      <c r="Q421" s="55"/>
      <c r="R421" s="55"/>
      <c r="S421" s="55"/>
      <c r="T421" s="55"/>
      <c r="U421" s="55"/>
      <c r="V421" s="55"/>
      <c r="W421" s="55"/>
      <c r="X421" s="55"/>
      <c r="Y421" s="55"/>
      <c r="Z421" s="55"/>
      <c r="AA421" s="55"/>
      <c r="AB421" s="55"/>
      <c r="AC421" s="55"/>
      <c r="AD421" s="55"/>
      <c r="AE421" s="55"/>
      <c r="AF421" s="55"/>
      <c r="AG421" s="55"/>
      <c r="AH421" s="55"/>
      <c r="AI421" s="55"/>
      <c r="AJ421" s="55"/>
      <c r="AK421" s="55"/>
      <c r="AL421" s="55"/>
      <c r="AM421" s="55"/>
      <c r="AN421" s="55"/>
      <c r="AO421" s="55"/>
      <c r="AP421" s="55"/>
      <c r="AQ421" s="55"/>
      <c r="AR421" s="55"/>
      <c r="AS421" s="55"/>
      <c r="AT421" s="55"/>
      <c r="AU421" s="55"/>
      <c r="AV421" s="55"/>
      <c r="AW421" s="55"/>
      <c r="AX421" s="55"/>
      <c r="AY421" s="55"/>
      <c r="AZ421" s="55"/>
      <c r="BA421" s="55"/>
      <c r="BB421" s="55"/>
      <c r="BC421" s="55"/>
      <c r="BD421" s="55"/>
      <c r="BE421" s="55"/>
      <c r="BF421" s="55"/>
      <c r="BG421" s="55"/>
      <c r="BH421" s="55"/>
      <c r="BI421" s="55"/>
      <c r="BJ421" s="55"/>
      <c r="BK421" s="55"/>
      <c r="BL421" s="55"/>
      <c r="BM421" s="55"/>
      <c r="BN421" s="55"/>
      <c r="BO421" s="55"/>
      <c r="BP421" s="55"/>
      <c r="BQ421" s="55"/>
      <c r="BR421" s="55"/>
      <c r="BS421" s="55"/>
    </row>
    <row r="422" spans="3:71" outlineLevel="1" x14ac:dyDescent="0.2">
      <c r="C422" t="str">
        <f>HM_ZD_Moho!C444</f>
        <v>Dépenses d'investissement</v>
      </c>
      <c r="J422" s="26"/>
      <c r="L422" s="55"/>
      <c r="M422" s="55"/>
      <c r="N422" s="55"/>
      <c r="O422" s="55"/>
      <c r="P422" s="55"/>
      <c r="Q422" s="55"/>
      <c r="R422" s="55"/>
      <c r="S422" s="55"/>
      <c r="T422" s="55"/>
      <c r="U422" s="55"/>
      <c r="V422" s="55"/>
      <c r="W422" s="55"/>
      <c r="X422" s="55"/>
      <c r="Y422" s="55"/>
      <c r="Z422" s="55"/>
      <c r="AA422" s="55"/>
      <c r="AB422" s="55"/>
      <c r="AC422" s="55"/>
      <c r="AD422" s="55"/>
      <c r="AE422" s="55"/>
      <c r="AF422" s="55"/>
      <c r="AG422" s="55"/>
      <c r="AH422" s="55"/>
      <c r="AI422" s="55"/>
      <c r="AJ422" s="55"/>
      <c r="AK422" s="55"/>
      <c r="AL422" s="55"/>
      <c r="AM422" s="55"/>
      <c r="AN422" s="55"/>
      <c r="AO422" s="55"/>
      <c r="AP422" s="55"/>
      <c r="AQ422" s="55"/>
      <c r="AR422" s="55"/>
      <c r="AS422" s="55"/>
      <c r="AT422" s="55"/>
      <c r="AU422" s="55"/>
      <c r="AV422" s="55"/>
      <c r="AW422" s="55"/>
      <c r="AX422" s="55"/>
      <c r="AY422" s="55"/>
      <c r="AZ422" s="55"/>
      <c r="BA422" s="55"/>
      <c r="BB422" s="55"/>
      <c r="BC422" s="55"/>
      <c r="BD422" s="55"/>
      <c r="BE422" s="55"/>
      <c r="BF422" s="55"/>
      <c r="BG422" s="55"/>
      <c r="BH422" s="55"/>
      <c r="BI422" s="55"/>
      <c r="BJ422" s="55"/>
      <c r="BK422" s="55"/>
      <c r="BL422" s="55"/>
      <c r="BM422" s="55"/>
      <c r="BN422" s="55"/>
      <c r="BO422" s="55"/>
      <c r="BP422" s="55"/>
      <c r="BQ422" s="55"/>
      <c r="BR422" s="55"/>
      <c r="BS422" s="55"/>
    </row>
    <row r="423" spans="3:71" outlineLevel="1" x14ac:dyDescent="0.2">
      <c r="D423" t="str">
        <f>HM_ZD_Moho!D445</f>
        <v>Exploration et évaluation</v>
      </c>
      <c r="I423" s="30">
        <f t="shared" ref="I423:I428" ca="1" si="148">SUM($L423:$BS423)</f>
        <v>0</v>
      </c>
      <c r="J423" s="26" t="s">
        <v>148</v>
      </c>
      <c r="L423" s="49" cm="1">
        <f t="array" aca="1" ref="L423:BS423" ca="1">HM_ZD_AM3_2005!CA_expex_nom</f>
        <v>0</v>
      </c>
      <c r="M423" s="49">
        <f ca="1"/>
        <v>0</v>
      </c>
      <c r="N423" s="49">
        <f ca="1"/>
        <v>0</v>
      </c>
      <c r="O423" s="49">
        <f ca="1"/>
        <v>0</v>
      </c>
      <c r="P423" s="49">
        <f ca="1"/>
        <v>0</v>
      </c>
      <c r="Q423" s="49">
        <f ca="1"/>
        <v>0</v>
      </c>
      <c r="R423" s="49">
        <f ca="1"/>
        <v>0</v>
      </c>
      <c r="S423" s="49">
        <f ca="1"/>
        <v>0</v>
      </c>
      <c r="T423" s="49">
        <f ca="1"/>
        <v>0</v>
      </c>
      <c r="U423" s="49">
        <f ca="1"/>
        <v>0</v>
      </c>
      <c r="V423" s="49">
        <f ca="1"/>
        <v>0</v>
      </c>
      <c r="W423" s="49">
        <f ca="1"/>
        <v>0</v>
      </c>
      <c r="X423" s="49">
        <f ca="1"/>
        <v>0</v>
      </c>
      <c r="Y423" s="49">
        <f ca="1"/>
        <v>0</v>
      </c>
      <c r="Z423" s="49">
        <f ca="1"/>
        <v>0</v>
      </c>
      <c r="AA423" s="49">
        <f ca="1"/>
        <v>0</v>
      </c>
      <c r="AB423" s="49">
        <f ca="1"/>
        <v>0</v>
      </c>
      <c r="AC423" s="49">
        <f ca="1"/>
        <v>0</v>
      </c>
      <c r="AD423" s="49">
        <f ca="1"/>
        <v>0</v>
      </c>
      <c r="AE423" s="49">
        <f ca="1"/>
        <v>0</v>
      </c>
      <c r="AF423" s="49">
        <f ca="1"/>
        <v>0</v>
      </c>
      <c r="AG423" s="49">
        <f ca="1"/>
        <v>0</v>
      </c>
      <c r="AH423" s="49">
        <f ca="1"/>
        <v>0</v>
      </c>
      <c r="AI423" s="49">
        <f ca="1"/>
        <v>0</v>
      </c>
      <c r="AJ423" s="49">
        <f ca="1"/>
        <v>0</v>
      </c>
      <c r="AK423" s="49">
        <f ca="1"/>
        <v>0</v>
      </c>
      <c r="AL423" s="49">
        <f ca="1"/>
        <v>0</v>
      </c>
      <c r="AM423" s="49">
        <f ca="1"/>
        <v>0</v>
      </c>
      <c r="AN423" s="49">
        <f ca="1"/>
        <v>0</v>
      </c>
      <c r="AO423" s="49">
        <f ca="1"/>
        <v>0</v>
      </c>
      <c r="AP423" s="49">
        <f ca="1"/>
        <v>0</v>
      </c>
      <c r="AQ423" s="49">
        <f ca="1"/>
        <v>0</v>
      </c>
      <c r="AR423" s="49">
        <f ca="1"/>
        <v>0</v>
      </c>
      <c r="AS423" s="49">
        <f ca="1"/>
        <v>0</v>
      </c>
      <c r="AT423" s="49">
        <f ca="1"/>
        <v>0</v>
      </c>
      <c r="AU423" s="49">
        <f ca="1"/>
        <v>0</v>
      </c>
      <c r="AV423" s="49">
        <f ca="1"/>
        <v>0</v>
      </c>
      <c r="AW423" s="49">
        <f ca="1"/>
        <v>0</v>
      </c>
      <c r="AX423" s="49">
        <f ca="1"/>
        <v>0</v>
      </c>
      <c r="AY423" s="49">
        <f ca="1"/>
        <v>0</v>
      </c>
      <c r="AZ423" s="49">
        <f ca="1"/>
        <v>0</v>
      </c>
      <c r="BA423" s="49">
        <f ca="1"/>
        <v>0</v>
      </c>
      <c r="BB423" s="49">
        <f ca="1"/>
        <v>0</v>
      </c>
      <c r="BC423" s="49">
        <f ca="1"/>
        <v>0</v>
      </c>
      <c r="BD423" s="49">
        <f ca="1"/>
        <v>0</v>
      </c>
      <c r="BE423" s="49">
        <f ca="1"/>
        <v>0</v>
      </c>
      <c r="BF423" s="49">
        <f ca="1"/>
        <v>0</v>
      </c>
      <c r="BG423" s="49">
        <f ca="1"/>
        <v>0</v>
      </c>
      <c r="BH423" s="49">
        <f ca="1"/>
        <v>0</v>
      </c>
      <c r="BI423" s="49">
        <f ca="1"/>
        <v>0</v>
      </c>
      <c r="BJ423" s="49">
        <f ca="1"/>
        <v>0</v>
      </c>
      <c r="BK423" s="49">
        <f ca="1"/>
        <v>0</v>
      </c>
      <c r="BL423" s="49">
        <f ca="1"/>
        <v>0</v>
      </c>
      <c r="BM423" s="49">
        <f ca="1"/>
        <v>0</v>
      </c>
      <c r="BN423" s="49">
        <f ca="1"/>
        <v>0</v>
      </c>
      <c r="BO423" s="49">
        <f ca="1"/>
        <v>0</v>
      </c>
      <c r="BP423" s="49">
        <f ca="1"/>
        <v>0</v>
      </c>
      <c r="BQ423" s="49">
        <f ca="1"/>
        <v>0</v>
      </c>
      <c r="BR423" s="49">
        <f ca="1"/>
        <v>0</v>
      </c>
      <c r="BS423" s="49">
        <f ca="1"/>
        <v>0</v>
      </c>
    </row>
    <row r="424" spans="3:71" outlineLevel="1" x14ac:dyDescent="0.2">
      <c r="D424" t="str">
        <f>HM_ZD_Moho!D446</f>
        <v>Coûts de développement</v>
      </c>
      <c r="I424" s="30">
        <f t="shared" ca="1" si="148"/>
        <v>3404.9939999999997</v>
      </c>
      <c r="J424" s="26" t="s">
        <v>148</v>
      </c>
      <c r="L424" s="49" cm="1">
        <f t="array" aca="1" ref="L424:BS424" ca="1">HM_ZD_AM3_2005!CA_devex_nom</f>
        <v>1286.7819999999999</v>
      </c>
      <c r="M424" s="49">
        <f ca="1"/>
        <v>2118.212</v>
      </c>
      <c r="N424" s="49">
        <f ca="1"/>
        <v>0</v>
      </c>
      <c r="O424" s="49">
        <f ca="1"/>
        <v>0</v>
      </c>
      <c r="P424" s="49">
        <f ca="1"/>
        <v>0</v>
      </c>
      <c r="Q424" s="49">
        <f ca="1"/>
        <v>0</v>
      </c>
      <c r="R424" s="49">
        <f ca="1"/>
        <v>0</v>
      </c>
      <c r="S424" s="49">
        <f ca="1"/>
        <v>0</v>
      </c>
      <c r="T424" s="49">
        <f ca="1"/>
        <v>0</v>
      </c>
      <c r="U424" s="49">
        <f ca="1"/>
        <v>0</v>
      </c>
      <c r="V424" s="49">
        <f ca="1"/>
        <v>0</v>
      </c>
      <c r="W424" s="49">
        <f ca="1"/>
        <v>0</v>
      </c>
      <c r="X424" s="49">
        <f ca="1"/>
        <v>0</v>
      </c>
      <c r="Y424" s="49">
        <f ca="1"/>
        <v>0</v>
      </c>
      <c r="Z424" s="49">
        <f ca="1"/>
        <v>0</v>
      </c>
      <c r="AA424" s="49">
        <f ca="1"/>
        <v>0</v>
      </c>
      <c r="AB424" s="49">
        <f ca="1"/>
        <v>0</v>
      </c>
      <c r="AC424" s="49">
        <f ca="1"/>
        <v>0</v>
      </c>
      <c r="AD424" s="49">
        <f ca="1"/>
        <v>0</v>
      </c>
      <c r="AE424" s="49">
        <f ca="1"/>
        <v>0</v>
      </c>
      <c r="AF424" s="49">
        <f ca="1"/>
        <v>0</v>
      </c>
      <c r="AG424" s="49">
        <f ca="1"/>
        <v>0</v>
      </c>
      <c r="AH424" s="49">
        <f ca="1"/>
        <v>0</v>
      </c>
      <c r="AI424" s="49">
        <f ca="1"/>
        <v>0</v>
      </c>
      <c r="AJ424" s="49">
        <f ca="1"/>
        <v>0</v>
      </c>
      <c r="AK424" s="49">
        <f ca="1"/>
        <v>0</v>
      </c>
      <c r="AL424" s="49">
        <f ca="1"/>
        <v>0</v>
      </c>
      <c r="AM424" s="49">
        <f ca="1"/>
        <v>0</v>
      </c>
      <c r="AN424" s="49">
        <f ca="1"/>
        <v>0</v>
      </c>
      <c r="AO424" s="49">
        <f ca="1"/>
        <v>0</v>
      </c>
      <c r="AP424" s="49">
        <f ca="1"/>
        <v>0</v>
      </c>
      <c r="AQ424" s="49">
        <f ca="1"/>
        <v>0</v>
      </c>
      <c r="AR424" s="49">
        <f ca="1"/>
        <v>0</v>
      </c>
      <c r="AS424" s="49">
        <f ca="1"/>
        <v>0</v>
      </c>
      <c r="AT424" s="49">
        <f ca="1"/>
        <v>0</v>
      </c>
      <c r="AU424" s="49">
        <f ca="1"/>
        <v>0</v>
      </c>
      <c r="AV424" s="49">
        <f ca="1"/>
        <v>0</v>
      </c>
      <c r="AW424" s="49">
        <f ca="1"/>
        <v>0</v>
      </c>
      <c r="AX424" s="49">
        <f ca="1"/>
        <v>0</v>
      </c>
      <c r="AY424" s="49">
        <f ca="1"/>
        <v>0</v>
      </c>
      <c r="AZ424" s="49">
        <f ca="1"/>
        <v>0</v>
      </c>
      <c r="BA424" s="49">
        <f ca="1"/>
        <v>0</v>
      </c>
      <c r="BB424" s="49">
        <f ca="1"/>
        <v>0</v>
      </c>
      <c r="BC424" s="49">
        <f ca="1"/>
        <v>0</v>
      </c>
      <c r="BD424" s="49">
        <f ca="1"/>
        <v>0</v>
      </c>
      <c r="BE424" s="49">
        <f ca="1"/>
        <v>0</v>
      </c>
      <c r="BF424" s="49">
        <f ca="1"/>
        <v>0</v>
      </c>
      <c r="BG424" s="49">
        <f ca="1"/>
        <v>0</v>
      </c>
      <c r="BH424" s="49">
        <f ca="1"/>
        <v>0</v>
      </c>
      <c r="BI424" s="49">
        <f ca="1"/>
        <v>0</v>
      </c>
      <c r="BJ424" s="49">
        <f ca="1"/>
        <v>0</v>
      </c>
      <c r="BK424" s="49">
        <f ca="1"/>
        <v>0</v>
      </c>
      <c r="BL424" s="49">
        <f ca="1"/>
        <v>0</v>
      </c>
      <c r="BM424" s="49">
        <f ca="1"/>
        <v>0</v>
      </c>
      <c r="BN424" s="49">
        <f ca="1"/>
        <v>0</v>
      </c>
      <c r="BO424" s="49">
        <f ca="1"/>
        <v>0</v>
      </c>
      <c r="BP424" s="49">
        <f ca="1"/>
        <v>0</v>
      </c>
      <c r="BQ424" s="49">
        <f ca="1"/>
        <v>0</v>
      </c>
      <c r="BR424" s="49">
        <f ca="1"/>
        <v>0</v>
      </c>
      <c r="BS424" s="49">
        <f ca="1"/>
        <v>0</v>
      </c>
    </row>
    <row r="425" spans="3:71" outlineLevel="1" x14ac:dyDescent="0.2">
      <c r="D425" t="str">
        <f>HM_ZD_Moho!D447</f>
        <v>Abandon</v>
      </c>
      <c r="I425" s="30">
        <f t="shared" ca="1" si="148"/>
        <v>0</v>
      </c>
      <c r="J425" s="26" t="s">
        <v>148</v>
      </c>
      <c r="L425" s="49" cm="1">
        <f t="array" aca="1" ref="L425:BS425" ca="1">HM_ZD_AM3_2005!CA_decom_nom</f>
        <v>0</v>
      </c>
      <c r="M425" s="49">
        <f ca="1"/>
        <v>0</v>
      </c>
      <c r="N425" s="49">
        <f ca="1"/>
        <v>0</v>
      </c>
      <c r="O425" s="49">
        <f ca="1"/>
        <v>0</v>
      </c>
      <c r="P425" s="49">
        <f ca="1"/>
        <v>0</v>
      </c>
      <c r="Q425" s="49">
        <f ca="1"/>
        <v>0</v>
      </c>
      <c r="R425" s="49">
        <f ca="1"/>
        <v>0</v>
      </c>
      <c r="S425" s="49">
        <f ca="1"/>
        <v>0</v>
      </c>
      <c r="T425" s="49">
        <f ca="1"/>
        <v>0</v>
      </c>
      <c r="U425" s="49">
        <f ca="1"/>
        <v>0</v>
      </c>
      <c r="V425" s="49">
        <f ca="1"/>
        <v>0</v>
      </c>
      <c r="W425" s="49">
        <f ca="1"/>
        <v>0</v>
      </c>
      <c r="X425" s="49">
        <f ca="1"/>
        <v>0</v>
      </c>
      <c r="Y425" s="49">
        <f ca="1"/>
        <v>0</v>
      </c>
      <c r="Z425" s="49">
        <f ca="1"/>
        <v>0</v>
      </c>
      <c r="AA425" s="49">
        <f ca="1"/>
        <v>0</v>
      </c>
      <c r="AB425" s="49">
        <f ca="1"/>
        <v>0</v>
      </c>
      <c r="AC425" s="49">
        <f ca="1"/>
        <v>0</v>
      </c>
      <c r="AD425" s="49">
        <f ca="1"/>
        <v>0</v>
      </c>
      <c r="AE425" s="49">
        <f ca="1"/>
        <v>0</v>
      </c>
      <c r="AF425" s="49">
        <f ca="1"/>
        <v>0</v>
      </c>
      <c r="AG425" s="49">
        <f ca="1"/>
        <v>0</v>
      </c>
      <c r="AH425" s="49">
        <f ca="1"/>
        <v>0</v>
      </c>
      <c r="AI425" s="49">
        <f ca="1"/>
        <v>0</v>
      </c>
      <c r="AJ425" s="49">
        <f ca="1"/>
        <v>0</v>
      </c>
      <c r="AK425" s="49">
        <f ca="1"/>
        <v>0</v>
      </c>
      <c r="AL425" s="49">
        <f ca="1"/>
        <v>0</v>
      </c>
      <c r="AM425" s="49">
        <f ca="1"/>
        <v>0</v>
      </c>
      <c r="AN425" s="49">
        <f ca="1"/>
        <v>0</v>
      </c>
      <c r="AO425" s="49">
        <f ca="1"/>
        <v>0</v>
      </c>
      <c r="AP425" s="49">
        <f ca="1"/>
        <v>0</v>
      </c>
      <c r="AQ425" s="49">
        <f ca="1"/>
        <v>0</v>
      </c>
      <c r="AR425" s="49">
        <f ca="1"/>
        <v>0</v>
      </c>
      <c r="AS425" s="49">
        <f ca="1"/>
        <v>0</v>
      </c>
      <c r="AT425" s="49">
        <f ca="1"/>
        <v>0</v>
      </c>
      <c r="AU425" s="49">
        <f ca="1"/>
        <v>0</v>
      </c>
      <c r="AV425" s="49">
        <f ca="1"/>
        <v>0</v>
      </c>
      <c r="AW425" s="49">
        <f ca="1"/>
        <v>0</v>
      </c>
      <c r="AX425" s="49">
        <f ca="1"/>
        <v>0</v>
      </c>
      <c r="AY425" s="49">
        <f ca="1"/>
        <v>0</v>
      </c>
      <c r="AZ425" s="49">
        <f ca="1"/>
        <v>0</v>
      </c>
      <c r="BA425" s="49">
        <f ca="1"/>
        <v>0</v>
      </c>
      <c r="BB425" s="49">
        <f ca="1"/>
        <v>0</v>
      </c>
      <c r="BC425" s="49">
        <f ca="1"/>
        <v>0</v>
      </c>
      <c r="BD425" s="49">
        <f ca="1"/>
        <v>0</v>
      </c>
      <c r="BE425" s="49">
        <f ca="1"/>
        <v>0</v>
      </c>
      <c r="BF425" s="49">
        <f ca="1"/>
        <v>0</v>
      </c>
      <c r="BG425" s="49">
        <f ca="1"/>
        <v>0</v>
      </c>
      <c r="BH425" s="49">
        <f ca="1"/>
        <v>0</v>
      </c>
      <c r="BI425" s="49">
        <f ca="1"/>
        <v>0</v>
      </c>
      <c r="BJ425" s="49">
        <f ca="1"/>
        <v>0</v>
      </c>
      <c r="BK425" s="49">
        <f ca="1"/>
        <v>0</v>
      </c>
      <c r="BL425" s="49">
        <f ca="1"/>
        <v>0</v>
      </c>
      <c r="BM425" s="49">
        <f ca="1"/>
        <v>0</v>
      </c>
      <c r="BN425" s="49">
        <f ca="1"/>
        <v>0</v>
      </c>
      <c r="BO425" s="49">
        <f ca="1"/>
        <v>0</v>
      </c>
      <c r="BP425" s="49">
        <f ca="1"/>
        <v>0</v>
      </c>
      <c r="BQ425" s="49">
        <f ca="1"/>
        <v>0</v>
      </c>
      <c r="BR425" s="49">
        <f ca="1"/>
        <v>0</v>
      </c>
      <c r="BS425" s="49">
        <f ca="1"/>
        <v>0</v>
      </c>
    </row>
    <row r="426" spans="3:71" outlineLevel="1" x14ac:dyDescent="0.2">
      <c r="D426" s="11" t="str">
        <f>HM_ZD_Moho!D448</f>
        <v>Total Capex</v>
      </c>
      <c r="I426" s="30">
        <f t="shared" ca="1" si="148"/>
        <v>3404.9939999999997</v>
      </c>
      <c r="J426" s="26" t="s">
        <v>148</v>
      </c>
      <c r="L426" s="49">
        <f ca="1">SUM(L423:L425)</f>
        <v>1286.7819999999999</v>
      </c>
      <c r="M426" s="49">
        <f t="shared" ref="M426:BS426" ca="1" si="149">SUM(M423:M425)</f>
        <v>2118.212</v>
      </c>
      <c r="N426" s="49">
        <f t="shared" ca="1" si="149"/>
        <v>0</v>
      </c>
      <c r="O426" s="49">
        <f t="shared" ca="1" si="149"/>
        <v>0</v>
      </c>
      <c r="P426" s="49">
        <f t="shared" ca="1" si="149"/>
        <v>0</v>
      </c>
      <c r="Q426" s="49">
        <f t="shared" ca="1" si="149"/>
        <v>0</v>
      </c>
      <c r="R426" s="49">
        <f t="shared" ca="1" si="149"/>
        <v>0</v>
      </c>
      <c r="S426" s="49">
        <f t="shared" ca="1" si="149"/>
        <v>0</v>
      </c>
      <c r="T426" s="49">
        <f t="shared" ca="1" si="149"/>
        <v>0</v>
      </c>
      <c r="U426" s="49">
        <f t="shared" ca="1" si="149"/>
        <v>0</v>
      </c>
      <c r="V426" s="49">
        <f t="shared" ca="1" si="149"/>
        <v>0</v>
      </c>
      <c r="W426" s="49">
        <f t="shared" ca="1" si="149"/>
        <v>0</v>
      </c>
      <c r="X426" s="49">
        <f t="shared" ca="1" si="149"/>
        <v>0</v>
      </c>
      <c r="Y426" s="49">
        <f t="shared" ca="1" si="149"/>
        <v>0</v>
      </c>
      <c r="Z426" s="49">
        <f t="shared" ca="1" si="149"/>
        <v>0</v>
      </c>
      <c r="AA426" s="49">
        <f t="shared" ca="1" si="149"/>
        <v>0</v>
      </c>
      <c r="AB426" s="49">
        <f t="shared" ca="1" si="149"/>
        <v>0</v>
      </c>
      <c r="AC426" s="49">
        <f t="shared" ca="1" si="149"/>
        <v>0</v>
      </c>
      <c r="AD426" s="49">
        <f t="shared" ca="1" si="149"/>
        <v>0</v>
      </c>
      <c r="AE426" s="49">
        <f t="shared" ca="1" si="149"/>
        <v>0</v>
      </c>
      <c r="AF426" s="49">
        <f t="shared" ca="1" si="149"/>
        <v>0</v>
      </c>
      <c r="AG426" s="49">
        <f t="shared" ca="1" si="149"/>
        <v>0</v>
      </c>
      <c r="AH426" s="49">
        <f t="shared" ca="1" si="149"/>
        <v>0</v>
      </c>
      <c r="AI426" s="49">
        <f t="shared" ca="1" si="149"/>
        <v>0</v>
      </c>
      <c r="AJ426" s="49">
        <f t="shared" ca="1" si="149"/>
        <v>0</v>
      </c>
      <c r="AK426" s="49">
        <f t="shared" ca="1" si="149"/>
        <v>0</v>
      </c>
      <c r="AL426" s="49">
        <f t="shared" ca="1" si="149"/>
        <v>0</v>
      </c>
      <c r="AM426" s="49">
        <f t="shared" ca="1" si="149"/>
        <v>0</v>
      </c>
      <c r="AN426" s="49">
        <f t="shared" ca="1" si="149"/>
        <v>0</v>
      </c>
      <c r="AO426" s="49">
        <f t="shared" ca="1" si="149"/>
        <v>0</v>
      </c>
      <c r="AP426" s="49">
        <f t="shared" ca="1" si="149"/>
        <v>0</v>
      </c>
      <c r="AQ426" s="49">
        <f t="shared" ca="1" si="149"/>
        <v>0</v>
      </c>
      <c r="AR426" s="49">
        <f t="shared" ca="1" si="149"/>
        <v>0</v>
      </c>
      <c r="AS426" s="49">
        <f t="shared" ca="1" si="149"/>
        <v>0</v>
      </c>
      <c r="AT426" s="49">
        <f t="shared" ca="1" si="149"/>
        <v>0</v>
      </c>
      <c r="AU426" s="49">
        <f t="shared" ca="1" si="149"/>
        <v>0</v>
      </c>
      <c r="AV426" s="49">
        <f t="shared" ca="1" si="149"/>
        <v>0</v>
      </c>
      <c r="AW426" s="49">
        <f t="shared" ca="1" si="149"/>
        <v>0</v>
      </c>
      <c r="AX426" s="49">
        <f t="shared" ca="1" si="149"/>
        <v>0</v>
      </c>
      <c r="AY426" s="49">
        <f t="shared" ca="1" si="149"/>
        <v>0</v>
      </c>
      <c r="AZ426" s="49">
        <f t="shared" ca="1" si="149"/>
        <v>0</v>
      </c>
      <c r="BA426" s="49">
        <f t="shared" ca="1" si="149"/>
        <v>0</v>
      </c>
      <c r="BB426" s="49">
        <f t="shared" ca="1" si="149"/>
        <v>0</v>
      </c>
      <c r="BC426" s="49">
        <f t="shared" ca="1" si="149"/>
        <v>0</v>
      </c>
      <c r="BD426" s="49">
        <f t="shared" ca="1" si="149"/>
        <v>0</v>
      </c>
      <c r="BE426" s="49">
        <f t="shared" ca="1" si="149"/>
        <v>0</v>
      </c>
      <c r="BF426" s="49">
        <f t="shared" ca="1" si="149"/>
        <v>0</v>
      </c>
      <c r="BG426" s="49">
        <f t="shared" ca="1" si="149"/>
        <v>0</v>
      </c>
      <c r="BH426" s="49">
        <f t="shared" ca="1" si="149"/>
        <v>0</v>
      </c>
      <c r="BI426" s="49">
        <f t="shared" ca="1" si="149"/>
        <v>0</v>
      </c>
      <c r="BJ426" s="49">
        <f t="shared" ca="1" si="149"/>
        <v>0</v>
      </c>
      <c r="BK426" s="49">
        <f t="shared" ca="1" si="149"/>
        <v>0</v>
      </c>
      <c r="BL426" s="49">
        <f t="shared" ca="1" si="149"/>
        <v>0</v>
      </c>
      <c r="BM426" s="49">
        <f t="shared" ca="1" si="149"/>
        <v>0</v>
      </c>
      <c r="BN426" s="49">
        <f t="shared" ca="1" si="149"/>
        <v>0</v>
      </c>
      <c r="BO426" s="49">
        <f t="shared" ca="1" si="149"/>
        <v>0</v>
      </c>
      <c r="BP426" s="49">
        <f t="shared" ca="1" si="149"/>
        <v>0</v>
      </c>
      <c r="BQ426" s="49">
        <f t="shared" ca="1" si="149"/>
        <v>0</v>
      </c>
      <c r="BR426" s="49">
        <f t="shared" ca="1" si="149"/>
        <v>0</v>
      </c>
      <c r="BS426" s="49">
        <f t="shared" ca="1" si="149"/>
        <v>0</v>
      </c>
    </row>
    <row r="427" spans="3:71" outlineLevel="1" x14ac:dyDescent="0.2">
      <c r="J427" s="26"/>
      <c r="L427" s="55"/>
      <c r="M427" s="55"/>
      <c r="N427" s="55"/>
      <c r="O427" s="55"/>
      <c r="P427" s="55"/>
      <c r="Q427" s="55"/>
      <c r="R427" s="55"/>
      <c r="S427" s="55"/>
      <c r="T427" s="55"/>
      <c r="U427" s="55"/>
      <c r="V427" s="55"/>
      <c r="W427" s="55"/>
      <c r="X427" s="55"/>
      <c r="Y427" s="55"/>
      <c r="Z427" s="55"/>
      <c r="AA427" s="55"/>
      <c r="AB427" s="55"/>
      <c r="AC427" s="55"/>
      <c r="AD427" s="55"/>
      <c r="AE427" s="55"/>
      <c r="AF427" s="55"/>
      <c r="AG427" s="55"/>
      <c r="AH427" s="55"/>
      <c r="AI427" s="55"/>
      <c r="AJ427" s="55"/>
      <c r="AK427" s="55"/>
      <c r="AL427" s="55"/>
      <c r="AM427" s="55"/>
      <c r="AN427" s="55"/>
      <c r="AO427" s="55"/>
      <c r="AP427" s="55"/>
      <c r="AQ427" s="55"/>
      <c r="AR427" s="55"/>
      <c r="AS427" s="55"/>
      <c r="AT427" s="55"/>
      <c r="AU427" s="55"/>
      <c r="AV427" s="55"/>
      <c r="AW427" s="55"/>
      <c r="AX427" s="55"/>
      <c r="AY427" s="55"/>
      <c r="AZ427" s="55"/>
      <c r="BA427" s="55"/>
      <c r="BB427" s="55"/>
      <c r="BC427" s="55"/>
      <c r="BD427" s="55"/>
      <c r="BE427" s="55"/>
      <c r="BF427" s="55"/>
      <c r="BG427" s="55"/>
      <c r="BH427" s="55"/>
      <c r="BI427" s="55"/>
      <c r="BJ427" s="55"/>
      <c r="BK427" s="55"/>
      <c r="BL427" s="55"/>
      <c r="BM427" s="55"/>
      <c r="BN427" s="55"/>
      <c r="BO427" s="55"/>
      <c r="BP427" s="55"/>
      <c r="BQ427" s="55"/>
      <c r="BR427" s="55"/>
      <c r="BS427" s="55"/>
    </row>
    <row r="428" spans="3:71" outlineLevel="1" x14ac:dyDescent="0.2">
      <c r="C428" s="11" t="str">
        <f>HM_ZD_Moho!C450</f>
        <v>Revenu divisible</v>
      </c>
      <c r="F428" s="64"/>
      <c r="I428" s="30">
        <f t="shared" ca="1" si="148"/>
        <v>-67.724286709000125</v>
      </c>
      <c r="J428" s="26" t="s">
        <v>148</v>
      </c>
      <c r="L428" s="49">
        <f ca="1">L415-L420-L426</f>
        <v>452.73054668700024</v>
      </c>
      <c r="M428" s="49">
        <f t="shared" ref="M428:BS428" ca="1" si="150">M415-M420-M426</f>
        <v>-520.45483339600037</v>
      </c>
      <c r="N428" s="49">
        <f t="shared" ca="1" si="150"/>
        <v>0</v>
      </c>
      <c r="O428" s="49">
        <f t="shared" ca="1" si="150"/>
        <v>0</v>
      </c>
      <c r="P428" s="49">
        <f t="shared" ca="1" si="150"/>
        <v>0</v>
      </c>
      <c r="Q428" s="49">
        <f t="shared" ca="1" si="150"/>
        <v>0</v>
      </c>
      <c r="R428" s="49">
        <f t="shared" ca="1" si="150"/>
        <v>0</v>
      </c>
      <c r="S428" s="49">
        <f t="shared" ca="1" si="150"/>
        <v>0</v>
      </c>
      <c r="T428" s="49">
        <f t="shared" ca="1" si="150"/>
        <v>0</v>
      </c>
      <c r="U428" s="49">
        <f t="shared" ca="1" si="150"/>
        <v>0</v>
      </c>
      <c r="V428" s="49">
        <f t="shared" ca="1" si="150"/>
        <v>0</v>
      </c>
      <c r="W428" s="49">
        <f t="shared" ca="1" si="150"/>
        <v>0</v>
      </c>
      <c r="X428" s="49">
        <f t="shared" ca="1" si="150"/>
        <v>0</v>
      </c>
      <c r="Y428" s="49">
        <f t="shared" ca="1" si="150"/>
        <v>0</v>
      </c>
      <c r="Z428" s="49">
        <f t="shared" ca="1" si="150"/>
        <v>0</v>
      </c>
      <c r="AA428" s="49">
        <f t="shared" ca="1" si="150"/>
        <v>0</v>
      </c>
      <c r="AB428" s="49">
        <f t="shared" ca="1" si="150"/>
        <v>0</v>
      </c>
      <c r="AC428" s="49">
        <f t="shared" ca="1" si="150"/>
        <v>0</v>
      </c>
      <c r="AD428" s="49">
        <f t="shared" ca="1" si="150"/>
        <v>0</v>
      </c>
      <c r="AE428" s="49">
        <f t="shared" ca="1" si="150"/>
        <v>0</v>
      </c>
      <c r="AF428" s="49">
        <f t="shared" ca="1" si="150"/>
        <v>0</v>
      </c>
      <c r="AG428" s="49">
        <f t="shared" ca="1" si="150"/>
        <v>0</v>
      </c>
      <c r="AH428" s="49">
        <f t="shared" ca="1" si="150"/>
        <v>0</v>
      </c>
      <c r="AI428" s="49">
        <f t="shared" ca="1" si="150"/>
        <v>0</v>
      </c>
      <c r="AJ428" s="49">
        <f t="shared" ca="1" si="150"/>
        <v>0</v>
      </c>
      <c r="AK428" s="49">
        <f t="shared" ca="1" si="150"/>
        <v>0</v>
      </c>
      <c r="AL428" s="49">
        <f t="shared" ca="1" si="150"/>
        <v>0</v>
      </c>
      <c r="AM428" s="49">
        <f t="shared" ca="1" si="150"/>
        <v>0</v>
      </c>
      <c r="AN428" s="49">
        <f t="shared" ca="1" si="150"/>
        <v>0</v>
      </c>
      <c r="AO428" s="49">
        <f t="shared" ca="1" si="150"/>
        <v>0</v>
      </c>
      <c r="AP428" s="49">
        <f t="shared" ca="1" si="150"/>
        <v>0</v>
      </c>
      <c r="AQ428" s="49">
        <f t="shared" ca="1" si="150"/>
        <v>0</v>
      </c>
      <c r="AR428" s="49">
        <f t="shared" ca="1" si="150"/>
        <v>0</v>
      </c>
      <c r="AS428" s="49">
        <f t="shared" ca="1" si="150"/>
        <v>0</v>
      </c>
      <c r="AT428" s="49">
        <f t="shared" ca="1" si="150"/>
        <v>0</v>
      </c>
      <c r="AU428" s="49">
        <f t="shared" ca="1" si="150"/>
        <v>0</v>
      </c>
      <c r="AV428" s="49">
        <f t="shared" ca="1" si="150"/>
        <v>0</v>
      </c>
      <c r="AW428" s="49">
        <f t="shared" ca="1" si="150"/>
        <v>0</v>
      </c>
      <c r="AX428" s="49">
        <f t="shared" ca="1" si="150"/>
        <v>0</v>
      </c>
      <c r="AY428" s="49">
        <f t="shared" ca="1" si="150"/>
        <v>0</v>
      </c>
      <c r="AZ428" s="49">
        <f t="shared" ca="1" si="150"/>
        <v>0</v>
      </c>
      <c r="BA428" s="49">
        <f t="shared" ca="1" si="150"/>
        <v>0</v>
      </c>
      <c r="BB428" s="49">
        <f t="shared" ca="1" si="150"/>
        <v>0</v>
      </c>
      <c r="BC428" s="49">
        <f t="shared" ca="1" si="150"/>
        <v>0</v>
      </c>
      <c r="BD428" s="49">
        <f t="shared" ca="1" si="150"/>
        <v>0</v>
      </c>
      <c r="BE428" s="49">
        <f t="shared" ca="1" si="150"/>
        <v>0</v>
      </c>
      <c r="BF428" s="49">
        <f t="shared" ca="1" si="150"/>
        <v>0</v>
      </c>
      <c r="BG428" s="49">
        <f t="shared" ca="1" si="150"/>
        <v>0</v>
      </c>
      <c r="BH428" s="49">
        <f t="shared" ca="1" si="150"/>
        <v>0</v>
      </c>
      <c r="BI428" s="49">
        <f t="shared" ca="1" si="150"/>
        <v>0</v>
      </c>
      <c r="BJ428" s="49">
        <f t="shared" ca="1" si="150"/>
        <v>0</v>
      </c>
      <c r="BK428" s="49">
        <f t="shared" ca="1" si="150"/>
        <v>0</v>
      </c>
      <c r="BL428" s="49">
        <f t="shared" ca="1" si="150"/>
        <v>0</v>
      </c>
      <c r="BM428" s="49">
        <f t="shared" ca="1" si="150"/>
        <v>0</v>
      </c>
      <c r="BN428" s="49">
        <f t="shared" ca="1" si="150"/>
        <v>0</v>
      </c>
      <c r="BO428" s="49">
        <f t="shared" ca="1" si="150"/>
        <v>0</v>
      </c>
      <c r="BP428" s="49">
        <f t="shared" ca="1" si="150"/>
        <v>0</v>
      </c>
      <c r="BQ428" s="49">
        <f t="shared" ca="1" si="150"/>
        <v>0</v>
      </c>
      <c r="BR428" s="49">
        <f t="shared" ca="1" si="150"/>
        <v>0</v>
      </c>
      <c r="BS428" s="49">
        <f t="shared" ca="1" si="150"/>
        <v>0</v>
      </c>
    </row>
    <row r="429" spans="3:71" outlineLevel="1" x14ac:dyDescent="0.2">
      <c r="J429" s="26"/>
      <c r="L429" s="55"/>
      <c r="M429" s="55"/>
      <c r="N429" s="55"/>
      <c r="O429" s="55"/>
      <c r="P429" s="55"/>
      <c r="Q429" s="55"/>
      <c r="R429" s="55"/>
      <c r="S429" s="55"/>
      <c r="T429" s="55"/>
      <c r="U429" s="55"/>
      <c r="V429" s="55"/>
      <c r="W429" s="55"/>
      <c r="X429" s="55"/>
      <c r="Y429" s="55"/>
      <c r="Z429" s="55"/>
      <c r="AA429" s="55"/>
      <c r="AB429" s="55"/>
      <c r="AC429" s="55"/>
      <c r="AD429" s="55"/>
      <c r="AE429" s="55"/>
      <c r="AF429" s="55"/>
      <c r="AG429" s="55"/>
      <c r="AH429" s="55"/>
      <c r="AI429" s="55"/>
      <c r="AJ429" s="55"/>
      <c r="AK429" s="55"/>
      <c r="AL429" s="55"/>
      <c r="AM429" s="55"/>
      <c r="AN429" s="55"/>
      <c r="AO429" s="55"/>
      <c r="AP429" s="55"/>
      <c r="AQ429" s="55"/>
      <c r="AR429" s="55"/>
      <c r="AS429" s="55"/>
      <c r="AT429" s="55"/>
      <c r="AU429" s="55"/>
      <c r="AV429" s="55"/>
      <c r="AW429" s="55"/>
      <c r="AX429" s="55"/>
      <c r="AY429" s="55"/>
      <c r="AZ429" s="55"/>
      <c r="BA429" s="55"/>
      <c r="BB429" s="55"/>
      <c r="BC429" s="55"/>
      <c r="BD429" s="55"/>
      <c r="BE429" s="55"/>
      <c r="BF429" s="55"/>
      <c r="BG429" s="55"/>
      <c r="BH429" s="55"/>
      <c r="BI429" s="55"/>
      <c r="BJ429" s="55"/>
      <c r="BK429" s="55"/>
      <c r="BL429" s="55"/>
      <c r="BM429" s="55"/>
      <c r="BN429" s="55"/>
      <c r="BO429" s="55"/>
      <c r="BP429" s="55"/>
      <c r="BQ429" s="55"/>
      <c r="BR429" s="55"/>
      <c r="BS429" s="55"/>
    </row>
    <row r="430" spans="3:71" outlineLevel="1" x14ac:dyDescent="0.2">
      <c r="J430" s="26"/>
      <c r="L430" s="55"/>
      <c r="M430" s="55"/>
      <c r="N430" s="55"/>
      <c r="O430" s="55"/>
      <c r="P430" s="55"/>
      <c r="Q430" s="55"/>
      <c r="R430" s="55"/>
      <c r="S430" s="55"/>
      <c r="T430" s="55"/>
      <c r="U430" s="55"/>
      <c r="V430" s="55"/>
      <c r="W430" s="55"/>
      <c r="X430" s="55"/>
      <c r="Y430" s="55"/>
      <c r="Z430" s="55"/>
      <c r="AA430" s="55"/>
      <c r="AB430" s="55"/>
      <c r="AC430" s="55"/>
      <c r="AD430" s="55"/>
      <c r="AE430" s="55"/>
      <c r="AF430" s="55"/>
      <c r="AG430" s="55"/>
      <c r="AH430" s="55"/>
      <c r="AI430" s="55"/>
      <c r="AJ430" s="55"/>
      <c r="AK430" s="55"/>
      <c r="AL430" s="55"/>
      <c r="AM430" s="55"/>
      <c r="AN430" s="55"/>
      <c r="AO430" s="55"/>
      <c r="AP430" s="55"/>
      <c r="AQ430" s="55"/>
      <c r="AR430" s="55"/>
      <c r="AS430" s="55"/>
      <c r="AT430" s="55"/>
      <c r="AU430" s="55"/>
      <c r="AV430" s="55"/>
      <c r="AW430" s="55"/>
      <c r="AX430" s="55"/>
      <c r="AY430" s="55"/>
      <c r="AZ430" s="55"/>
      <c r="BA430" s="55"/>
      <c r="BB430" s="55"/>
      <c r="BC430" s="55"/>
      <c r="BD430" s="55"/>
      <c r="BE430" s="55"/>
      <c r="BF430" s="55"/>
      <c r="BG430" s="55"/>
      <c r="BH430" s="55"/>
      <c r="BI430" s="55"/>
      <c r="BJ430" s="55"/>
      <c r="BK430" s="55"/>
      <c r="BL430" s="55"/>
      <c r="BM430" s="55"/>
      <c r="BN430" s="55"/>
      <c r="BO430" s="55"/>
      <c r="BP430" s="55"/>
      <c r="BQ430" s="55"/>
      <c r="BR430" s="55"/>
      <c r="BS430" s="55"/>
    </row>
    <row r="431" spans="3:71" outlineLevel="1" x14ac:dyDescent="0.2">
      <c r="J431" s="26"/>
      <c r="L431" s="55"/>
      <c r="M431" s="55"/>
      <c r="N431" s="55"/>
      <c r="O431" s="55"/>
      <c r="P431" s="55"/>
      <c r="Q431" s="55"/>
      <c r="R431" s="55"/>
      <c r="S431" s="55"/>
      <c r="T431" s="55"/>
      <c r="U431" s="55"/>
      <c r="V431" s="55"/>
      <c r="W431" s="55"/>
      <c r="X431" s="55"/>
      <c r="Y431" s="55"/>
      <c r="Z431" s="55"/>
      <c r="AA431" s="55"/>
      <c r="AB431" s="55"/>
      <c r="AC431" s="55"/>
      <c r="AD431" s="55"/>
      <c r="AE431" s="55"/>
      <c r="AF431" s="55"/>
      <c r="AG431" s="55"/>
      <c r="AH431" s="55"/>
      <c r="AI431" s="55"/>
      <c r="AJ431" s="55"/>
      <c r="AK431" s="55"/>
      <c r="AL431" s="55"/>
      <c r="AM431" s="55"/>
      <c r="AN431" s="55"/>
      <c r="AO431" s="55"/>
      <c r="AP431" s="55"/>
      <c r="AQ431" s="55"/>
      <c r="AR431" s="55"/>
      <c r="AS431" s="55"/>
      <c r="AT431" s="55"/>
      <c r="AU431" s="55"/>
      <c r="AV431" s="55"/>
      <c r="AW431" s="55"/>
      <c r="AX431" s="55"/>
      <c r="AY431" s="55"/>
      <c r="AZ431" s="55"/>
      <c r="BA431" s="55"/>
      <c r="BB431" s="55"/>
      <c r="BC431" s="55"/>
      <c r="BD431" s="55"/>
      <c r="BE431" s="55"/>
      <c r="BF431" s="55"/>
      <c r="BG431" s="55"/>
      <c r="BH431" s="55"/>
      <c r="BI431" s="55"/>
      <c r="BJ431" s="55"/>
      <c r="BK431" s="55"/>
      <c r="BL431" s="55"/>
      <c r="BM431" s="55"/>
      <c r="BN431" s="55"/>
      <c r="BO431" s="55"/>
      <c r="BP431" s="55"/>
      <c r="BQ431" s="55"/>
      <c r="BR431" s="55"/>
      <c r="BS431" s="55"/>
    </row>
    <row r="432" spans="3:71" outlineLevel="1" x14ac:dyDescent="0.2">
      <c r="J432" s="26"/>
      <c r="L432" s="55"/>
      <c r="M432" s="55"/>
      <c r="N432" s="55"/>
      <c r="O432" s="55"/>
      <c r="P432" s="55"/>
      <c r="Q432" s="55"/>
      <c r="R432" s="55"/>
      <c r="S432" s="55"/>
      <c r="T432" s="55"/>
      <c r="U432" s="55"/>
      <c r="V432" s="55"/>
      <c r="W432" s="55"/>
      <c r="X432" s="55"/>
      <c r="Y432" s="55"/>
      <c r="Z432" s="55"/>
      <c r="AA432" s="55"/>
      <c r="AB432" s="55"/>
      <c r="AC432" s="55"/>
      <c r="AD432" s="55"/>
      <c r="AE432" s="55"/>
      <c r="AF432" s="55"/>
      <c r="AG432" s="55"/>
      <c r="AH432" s="55"/>
      <c r="AI432" s="55"/>
      <c r="AJ432" s="55"/>
      <c r="AK432" s="55"/>
      <c r="AL432" s="55"/>
      <c r="AM432" s="55"/>
      <c r="AN432" s="55"/>
      <c r="AO432" s="55"/>
      <c r="AP432" s="55"/>
      <c r="AQ432" s="55"/>
      <c r="AR432" s="55"/>
      <c r="AS432" s="55"/>
      <c r="AT432" s="55"/>
      <c r="AU432" s="55"/>
      <c r="AV432" s="55"/>
      <c r="AW432" s="55"/>
      <c r="AX432" s="55"/>
      <c r="AY432" s="55"/>
      <c r="AZ432" s="55"/>
      <c r="BA432" s="55"/>
      <c r="BB432" s="55"/>
      <c r="BC432" s="55"/>
      <c r="BD432" s="55"/>
      <c r="BE432" s="55"/>
      <c r="BF432" s="55"/>
      <c r="BG432" s="55"/>
      <c r="BH432" s="55"/>
      <c r="BI432" s="55"/>
      <c r="BJ432" s="55"/>
      <c r="BK432" s="55"/>
      <c r="BL432" s="55"/>
      <c r="BM432" s="55"/>
      <c r="BN432" s="55"/>
      <c r="BO432" s="55"/>
      <c r="BP432" s="55"/>
      <c r="BQ432" s="55"/>
      <c r="BR432" s="55"/>
      <c r="BS432" s="55"/>
    </row>
    <row r="433" spans="1:71" outlineLevel="1" x14ac:dyDescent="0.2">
      <c r="A433" s="45"/>
      <c r="B433" s="38" t="str">
        <f>HM_ZD_Moho!B455</f>
        <v>Flux de trésorerie Contracteur</v>
      </c>
      <c r="C433" s="45"/>
      <c r="D433" s="45"/>
      <c r="E433" s="45"/>
      <c r="J433" s="26"/>
      <c r="L433" s="55"/>
      <c r="M433" s="55"/>
      <c r="N433" s="55"/>
      <c r="O433" s="55"/>
      <c r="P433" s="55"/>
      <c r="Q433" s="55"/>
      <c r="R433" s="55"/>
      <c r="S433" s="55"/>
      <c r="T433" s="55"/>
      <c r="U433" s="55"/>
      <c r="V433" s="55"/>
      <c r="W433" s="55"/>
      <c r="X433" s="55"/>
      <c r="Y433" s="55"/>
      <c r="Z433" s="55"/>
      <c r="AA433" s="55"/>
      <c r="AB433" s="55"/>
      <c r="AC433" s="55"/>
      <c r="AD433" s="55"/>
      <c r="AE433" s="55"/>
      <c r="AF433" s="55"/>
      <c r="AG433" s="55"/>
      <c r="AH433" s="55"/>
      <c r="AI433" s="55"/>
      <c r="AJ433" s="55"/>
      <c r="AK433" s="55"/>
      <c r="AL433" s="55"/>
      <c r="AM433" s="55"/>
      <c r="AN433" s="55"/>
      <c r="AO433" s="55"/>
      <c r="AP433" s="55"/>
      <c r="AQ433" s="55"/>
      <c r="AR433" s="55"/>
      <c r="AS433" s="55"/>
      <c r="AT433" s="55"/>
      <c r="AU433" s="55"/>
      <c r="AV433" s="55"/>
      <c r="AW433" s="55"/>
      <c r="AX433" s="55"/>
      <c r="AY433" s="55"/>
      <c r="AZ433" s="55"/>
      <c r="BA433" s="55"/>
      <c r="BB433" s="55"/>
      <c r="BC433" s="55"/>
      <c r="BD433" s="55"/>
      <c r="BE433" s="55"/>
      <c r="BF433" s="55"/>
      <c r="BG433" s="55"/>
      <c r="BH433" s="55"/>
      <c r="BI433" s="55"/>
      <c r="BJ433" s="55"/>
      <c r="BK433" s="55"/>
      <c r="BL433" s="55"/>
      <c r="BM433" s="55"/>
      <c r="BN433" s="55"/>
      <c r="BO433" s="55"/>
      <c r="BP433" s="55"/>
      <c r="BQ433" s="55"/>
      <c r="BR433" s="55"/>
      <c r="BS433" s="55"/>
    </row>
    <row r="434" spans="1:71" outlineLevel="1" x14ac:dyDescent="0.2">
      <c r="J434" s="26"/>
      <c r="L434" s="55"/>
      <c r="M434" s="55"/>
      <c r="N434" s="55"/>
      <c r="O434" s="55"/>
      <c r="P434" s="55"/>
      <c r="Q434" s="55"/>
      <c r="R434" s="55"/>
      <c r="S434" s="55"/>
      <c r="T434" s="55"/>
      <c r="U434" s="55"/>
      <c r="V434" s="55"/>
      <c r="W434" s="55"/>
      <c r="X434" s="55"/>
      <c r="Y434" s="55"/>
      <c r="Z434" s="55"/>
      <c r="AA434" s="55"/>
      <c r="AB434" s="55"/>
      <c r="AC434" s="55"/>
      <c r="AD434" s="55"/>
      <c r="AE434" s="55"/>
      <c r="AF434" s="55"/>
      <c r="AG434" s="55"/>
      <c r="AH434" s="55"/>
      <c r="AI434" s="55"/>
      <c r="AJ434" s="55"/>
      <c r="AK434" s="55"/>
      <c r="AL434" s="55"/>
      <c r="AM434" s="55"/>
      <c r="AN434" s="55"/>
      <c r="AO434" s="55"/>
      <c r="AP434" s="55"/>
      <c r="AQ434" s="55"/>
      <c r="AR434" s="55"/>
      <c r="AS434" s="55"/>
      <c r="AT434" s="55"/>
      <c r="AU434" s="55"/>
      <c r="AV434" s="55"/>
      <c r="AW434" s="55"/>
      <c r="AX434" s="55"/>
      <c r="AY434" s="55"/>
      <c r="AZ434" s="55"/>
      <c r="BA434" s="55"/>
      <c r="BB434" s="55"/>
      <c r="BC434" s="55"/>
      <c r="BD434" s="55"/>
      <c r="BE434" s="55"/>
      <c r="BF434" s="55"/>
      <c r="BG434" s="55"/>
      <c r="BH434" s="55"/>
      <c r="BI434" s="55"/>
      <c r="BJ434" s="55"/>
      <c r="BK434" s="55"/>
      <c r="BL434" s="55"/>
      <c r="BM434" s="55"/>
      <c r="BN434" s="55"/>
      <c r="BO434" s="55"/>
      <c r="BP434" s="55"/>
      <c r="BQ434" s="55"/>
      <c r="BR434" s="55"/>
      <c r="BS434" s="55"/>
    </row>
    <row r="435" spans="1:71" outlineLevel="1" x14ac:dyDescent="0.2">
      <c r="C435" s="11" t="str">
        <f>HM_ZD_Moho!C457</f>
        <v>Revenus des droits</v>
      </c>
      <c r="J435" s="26"/>
      <c r="L435" s="55"/>
      <c r="M435" s="55"/>
      <c r="N435" s="55"/>
      <c r="O435" s="55"/>
      <c r="P435" s="55"/>
      <c r="Q435" s="55"/>
      <c r="R435" s="55"/>
      <c r="S435" s="55"/>
      <c r="T435" s="55"/>
      <c r="U435" s="55"/>
      <c r="V435" s="55"/>
      <c r="W435" s="55"/>
      <c r="X435" s="55"/>
      <c r="Y435" s="55"/>
      <c r="Z435" s="55"/>
      <c r="AA435" s="55"/>
      <c r="AB435" s="55"/>
      <c r="AC435" s="55"/>
      <c r="AD435" s="55"/>
      <c r="AE435" s="55"/>
      <c r="AF435" s="55"/>
      <c r="AG435" s="55"/>
      <c r="AH435" s="55"/>
      <c r="AI435" s="55"/>
      <c r="AJ435" s="55"/>
      <c r="AK435" s="55"/>
      <c r="AL435" s="55"/>
      <c r="AM435" s="55"/>
      <c r="AN435" s="55"/>
      <c r="AO435" s="55"/>
      <c r="AP435" s="55"/>
      <c r="AQ435" s="55"/>
      <c r="AR435" s="55"/>
      <c r="AS435" s="55"/>
      <c r="AT435" s="55"/>
      <c r="AU435" s="55"/>
      <c r="AV435" s="55"/>
      <c r="AW435" s="55"/>
      <c r="AX435" s="55"/>
      <c r="AY435" s="55"/>
      <c r="AZ435" s="55"/>
      <c r="BA435" s="55"/>
      <c r="BB435" s="55"/>
      <c r="BC435" s="55"/>
      <c r="BD435" s="55"/>
      <c r="BE435" s="55"/>
      <c r="BF435" s="55"/>
      <c r="BG435" s="55"/>
      <c r="BH435" s="55"/>
      <c r="BI435" s="55"/>
      <c r="BJ435" s="55"/>
      <c r="BK435" s="55"/>
      <c r="BL435" s="55"/>
      <c r="BM435" s="55"/>
      <c r="BN435" s="55"/>
      <c r="BO435" s="55"/>
      <c r="BP435" s="55"/>
      <c r="BQ435" s="55"/>
      <c r="BR435" s="55"/>
      <c r="BS435" s="55"/>
    </row>
    <row r="436" spans="1:71" outlineLevel="1" x14ac:dyDescent="0.2">
      <c r="D436" t="str">
        <f>HM_ZD_Moho!D458</f>
        <v>Revenus de droits pétroliers</v>
      </c>
      <c r="I436" s="30">
        <f t="shared" ref="I436:I442" ca="1" si="151">SUM($L436:$BS436)</f>
        <v>1361.9091335195037</v>
      </c>
      <c r="J436" s="26" t="s">
        <v>148</v>
      </c>
      <c r="L436" s="49" cm="1">
        <f t="array" aca="1" ref="L436:BS436" ca="1">HM_ZD_AM3_2005!CA_ent_rev_oil</f>
        <v>690.76412290209873</v>
      </c>
      <c r="M436" s="49">
        <f ca="1"/>
        <v>671.14501061740498</v>
      </c>
      <c r="N436" s="49">
        <f ca="1"/>
        <v>0</v>
      </c>
      <c r="O436" s="49">
        <f ca="1"/>
        <v>0</v>
      </c>
      <c r="P436" s="49">
        <f ca="1"/>
        <v>0</v>
      </c>
      <c r="Q436" s="49">
        <f ca="1"/>
        <v>0</v>
      </c>
      <c r="R436" s="49">
        <f ca="1"/>
        <v>0</v>
      </c>
      <c r="S436" s="49">
        <f ca="1"/>
        <v>0</v>
      </c>
      <c r="T436" s="49">
        <f ca="1"/>
        <v>0</v>
      </c>
      <c r="U436" s="49">
        <f ca="1"/>
        <v>0</v>
      </c>
      <c r="V436" s="49">
        <f ca="1"/>
        <v>0</v>
      </c>
      <c r="W436" s="49">
        <f ca="1"/>
        <v>0</v>
      </c>
      <c r="X436" s="49">
        <f ca="1"/>
        <v>0</v>
      </c>
      <c r="Y436" s="49">
        <f ca="1"/>
        <v>0</v>
      </c>
      <c r="Z436" s="49">
        <f ca="1"/>
        <v>0</v>
      </c>
      <c r="AA436" s="49">
        <f ca="1"/>
        <v>0</v>
      </c>
      <c r="AB436" s="49">
        <f ca="1"/>
        <v>0</v>
      </c>
      <c r="AC436" s="49">
        <f ca="1"/>
        <v>0</v>
      </c>
      <c r="AD436" s="49">
        <f ca="1"/>
        <v>0</v>
      </c>
      <c r="AE436" s="49">
        <f ca="1"/>
        <v>0</v>
      </c>
      <c r="AF436" s="49">
        <f ca="1"/>
        <v>0</v>
      </c>
      <c r="AG436" s="49">
        <f ca="1"/>
        <v>0</v>
      </c>
      <c r="AH436" s="49">
        <f ca="1"/>
        <v>0</v>
      </c>
      <c r="AI436" s="49">
        <f ca="1"/>
        <v>0</v>
      </c>
      <c r="AJ436" s="49">
        <f ca="1"/>
        <v>0</v>
      </c>
      <c r="AK436" s="49">
        <f ca="1"/>
        <v>0</v>
      </c>
      <c r="AL436" s="49">
        <f ca="1"/>
        <v>0</v>
      </c>
      <c r="AM436" s="49">
        <f ca="1"/>
        <v>0</v>
      </c>
      <c r="AN436" s="49">
        <f ca="1"/>
        <v>0</v>
      </c>
      <c r="AO436" s="49">
        <f ca="1"/>
        <v>0</v>
      </c>
      <c r="AP436" s="49">
        <f ca="1"/>
        <v>0</v>
      </c>
      <c r="AQ436" s="49">
        <f ca="1"/>
        <v>0</v>
      </c>
      <c r="AR436" s="49">
        <f ca="1"/>
        <v>0</v>
      </c>
      <c r="AS436" s="49">
        <f ca="1"/>
        <v>0</v>
      </c>
      <c r="AT436" s="49">
        <f ca="1"/>
        <v>0</v>
      </c>
      <c r="AU436" s="49">
        <f ca="1"/>
        <v>0</v>
      </c>
      <c r="AV436" s="49">
        <f ca="1"/>
        <v>0</v>
      </c>
      <c r="AW436" s="49">
        <f ca="1"/>
        <v>0</v>
      </c>
      <c r="AX436" s="49">
        <f ca="1"/>
        <v>0</v>
      </c>
      <c r="AY436" s="49">
        <f ca="1"/>
        <v>0</v>
      </c>
      <c r="AZ436" s="49">
        <f ca="1"/>
        <v>0</v>
      </c>
      <c r="BA436" s="49">
        <f ca="1"/>
        <v>0</v>
      </c>
      <c r="BB436" s="49">
        <f ca="1"/>
        <v>0</v>
      </c>
      <c r="BC436" s="49">
        <f ca="1"/>
        <v>0</v>
      </c>
      <c r="BD436" s="49">
        <f ca="1"/>
        <v>0</v>
      </c>
      <c r="BE436" s="49">
        <f ca="1"/>
        <v>0</v>
      </c>
      <c r="BF436" s="49">
        <f ca="1"/>
        <v>0</v>
      </c>
      <c r="BG436" s="49">
        <f ca="1"/>
        <v>0</v>
      </c>
      <c r="BH436" s="49">
        <f ca="1"/>
        <v>0</v>
      </c>
      <c r="BI436" s="49">
        <f ca="1"/>
        <v>0</v>
      </c>
      <c r="BJ436" s="49">
        <f ca="1"/>
        <v>0</v>
      </c>
      <c r="BK436" s="49">
        <f ca="1"/>
        <v>0</v>
      </c>
      <c r="BL436" s="49">
        <f ca="1"/>
        <v>0</v>
      </c>
      <c r="BM436" s="49">
        <f ca="1"/>
        <v>0</v>
      </c>
      <c r="BN436" s="49">
        <f ca="1"/>
        <v>0</v>
      </c>
      <c r="BO436" s="49">
        <f ca="1"/>
        <v>0</v>
      </c>
      <c r="BP436" s="49">
        <f ca="1"/>
        <v>0</v>
      </c>
      <c r="BQ436" s="49">
        <f ca="1"/>
        <v>0</v>
      </c>
      <c r="BR436" s="49">
        <f ca="1"/>
        <v>0</v>
      </c>
      <c r="BS436" s="49">
        <f ca="1"/>
        <v>0</v>
      </c>
    </row>
    <row r="437" spans="1:71" outlineLevel="1" x14ac:dyDescent="0.2">
      <c r="D437" t="str">
        <f>HM_ZD_Moho!D459</f>
        <v>Revenus de droits gaziers</v>
      </c>
      <c r="I437" s="30">
        <f t="shared" ca="1" si="151"/>
        <v>0</v>
      </c>
      <c r="J437" s="26" t="s">
        <v>148</v>
      </c>
      <c r="L437" s="49" cm="1">
        <f t="array" aca="1" ref="L437:BS437" ca="1">HM_ZD_AM3_2005!CA_ent_rev_gas</f>
        <v>0</v>
      </c>
      <c r="M437" s="49">
        <f ca="1"/>
        <v>0</v>
      </c>
      <c r="N437" s="49">
        <f ca="1"/>
        <v>0</v>
      </c>
      <c r="O437" s="49">
        <f ca="1"/>
        <v>0</v>
      </c>
      <c r="P437" s="49">
        <f ca="1"/>
        <v>0</v>
      </c>
      <c r="Q437" s="49">
        <f ca="1"/>
        <v>0</v>
      </c>
      <c r="R437" s="49">
        <f ca="1"/>
        <v>0</v>
      </c>
      <c r="S437" s="49">
        <f ca="1"/>
        <v>0</v>
      </c>
      <c r="T437" s="49">
        <f ca="1"/>
        <v>0</v>
      </c>
      <c r="U437" s="49">
        <f ca="1"/>
        <v>0</v>
      </c>
      <c r="V437" s="49">
        <f ca="1"/>
        <v>0</v>
      </c>
      <c r="W437" s="49">
        <f ca="1"/>
        <v>0</v>
      </c>
      <c r="X437" s="49">
        <f ca="1"/>
        <v>0</v>
      </c>
      <c r="Y437" s="49">
        <f ca="1"/>
        <v>0</v>
      </c>
      <c r="Z437" s="49">
        <f ca="1"/>
        <v>0</v>
      </c>
      <c r="AA437" s="49">
        <f ca="1"/>
        <v>0</v>
      </c>
      <c r="AB437" s="49">
        <f ca="1"/>
        <v>0</v>
      </c>
      <c r="AC437" s="49">
        <f ca="1"/>
        <v>0</v>
      </c>
      <c r="AD437" s="49">
        <f ca="1"/>
        <v>0</v>
      </c>
      <c r="AE437" s="49">
        <f ca="1"/>
        <v>0</v>
      </c>
      <c r="AF437" s="49">
        <f ca="1"/>
        <v>0</v>
      </c>
      <c r="AG437" s="49">
        <f ca="1"/>
        <v>0</v>
      </c>
      <c r="AH437" s="49">
        <f ca="1"/>
        <v>0</v>
      </c>
      <c r="AI437" s="49">
        <f ca="1"/>
        <v>0</v>
      </c>
      <c r="AJ437" s="49">
        <f ca="1"/>
        <v>0</v>
      </c>
      <c r="AK437" s="49">
        <f ca="1"/>
        <v>0</v>
      </c>
      <c r="AL437" s="49">
        <f ca="1"/>
        <v>0</v>
      </c>
      <c r="AM437" s="49">
        <f ca="1"/>
        <v>0</v>
      </c>
      <c r="AN437" s="49">
        <f ca="1"/>
        <v>0</v>
      </c>
      <c r="AO437" s="49">
        <f ca="1"/>
        <v>0</v>
      </c>
      <c r="AP437" s="49">
        <f ca="1"/>
        <v>0</v>
      </c>
      <c r="AQ437" s="49">
        <f ca="1"/>
        <v>0</v>
      </c>
      <c r="AR437" s="49">
        <f ca="1"/>
        <v>0</v>
      </c>
      <c r="AS437" s="49">
        <f ca="1"/>
        <v>0</v>
      </c>
      <c r="AT437" s="49">
        <f ca="1"/>
        <v>0</v>
      </c>
      <c r="AU437" s="49">
        <f ca="1"/>
        <v>0</v>
      </c>
      <c r="AV437" s="49">
        <f ca="1"/>
        <v>0</v>
      </c>
      <c r="AW437" s="49">
        <f ca="1"/>
        <v>0</v>
      </c>
      <c r="AX437" s="49">
        <f ca="1"/>
        <v>0</v>
      </c>
      <c r="AY437" s="49">
        <f ca="1"/>
        <v>0</v>
      </c>
      <c r="AZ437" s="49">
        <f ca="1"/>
        <v>0</v>
      </c>
      <c r="BA437" s="49">
        <f ca="1"/>
        <v>0</v>
      </c>
      <c r="BB437" s="49">
        <f ca="1"/>
        <v>0</v>
      </c>
      <c r="BC437" s="49">
        <f ca="1"/>
        <v>0</v>
      </c>
      <c r="BD437" s="49">
        <f ca="1"/>
        <v>0</v>
      </c>
      <c r="BE437" s="49">
        <f ca="1"/>
        <v>0</v>
      </c>
      <c r="BF437" s="49">
        <f ca="1"/>
        <v>0</v>
      </c>
      <c r="BG437" s="49">
        <f ca="1"/>
        <v>0</v>
      </c>
      <c r="BH437" s="49">
        <f ca="1"/>
        <v>0</v>
      </c>
      <c r="BI437" s="49">
        <f ca="1"/>
        <v>0</v>
      </c>
      <c r="BJ437" s="49">
        <f ca="1"/>
        <v>0</v>
      </c>
      <c r="BK437" s="49">
        <f ca="1"/>
        <v>0</v>
      </c>
      <c r="BL437" s="49">
        <f ca="1"/>
        <v>0</v>
      </c>
      <c r="BM437" s="49">
        <f ca="1"/>
        <v>0</v>
      </c>
      <c r="BN437" s="49">
        <f ca="1"/>
        <v>0</v>
      </c>
      <c r="BO437" s="49">
        <f ca="1"/>
        <v>0</v>
      </c>
      <c r="BP437" s="49">
        <f ca="1"/>
        <v>0</v>
      </c>
      <c r="BQ437" s="49">
        <f ca="1"/>
        <v>0</v>
      </c>
      <c r="BR437" s="49">
        <f ca="1"/>
        <v>0</v>
      </c>
      <c r="BS437" s="49">
        <f ca="1"/>
        <v>0</v>
      </c>
    </row>
    <row r="438" spans="1:71" outlineLevel="1" x14ac:dyDescent="0.2">
      <c r="D438" s="11" t="str">
        <f>HM_ZD_Moho!D460</f>
        <v>Total revenus des droits</v>
      </c>
      <c r="I438" s="30">
        <f t="shared" ca="1" si="151"/>
        <v>1361.9091335195037</v>
      </c>
      <c r="J438" s="26" t="s">
        <v>148</v>
      </c>
      <c r="L438" s="49">
        <f ca="1">SUM(L436:L437)</f>
        <v>690.76412290209873</v>
      </c>
      <c r="M438" s="49">
        <f t="shared" ref="M438:BS438" ca="1" si="152">SUM(M436:M437)</f>
        <v>671.14501061740498</v>
      </c>
      <c r="N438" s="49">
        <f t="shared" ca="1" si="152"/>
        <v>0</v>
      </c>
      <c r="O438" s="49">
        <f t="shared" ca="1" si="152"/>
        <v>0</v>
      </c>
      <c r="P438" s="49">
        <f t="shared" ca="1" si="152"/>
        <v>0</v>
      </c>
      <c r="Q438" s="49">
        <f t="shared" ca="1" si="152"/>
        <v>0</v>
      </c>
      <c r="R438" s="49">
        <f t="shared" ca="1" si="152"/>
        <v>0</v>
      </c>
      <c r="S438" s="49">
        <f t="shared" ca="1" si="152"/>
        <v>0</v>
      </c>
      <c r="T438" s="49">
        <f t="shared" ca="1" si="152"/>
        <v>0</v>
      </c>
      <c r="U438" s="49">
        <f t="shared" ca="1" si="152"/>
        <v>0</v>
      </c>
      <c r="V438" s="49">
        <f t="shared" ca="1" si="152"/>
        <v>0</v>
      </c>
      <c r="W438" s="49">
        <f t="shared" ca="1" si="152"/>
        <v>0</v>
      </c>
      <c r="X438" s="49">
        <f t="shared" ca="1" si="152"/>
        <v>0</v>
      </c>
      <c r="Y438" s="49">
        <f t="shared" ca="1" si="152"/>
        <v>0</v>
      </c>
      <c r="Z438" s="49">
        <f t="shared" ca="1" si="152"/>
        <v>0</v>
      </c>
      <c r="AA438" s="49">
        <f t="shared" ca="1" si="152"/>
        <v>0</v>
      </c>
      <c r="AB438" s="49">
        <f t="shared" ca="1" si="152"/>
        <v>0</v>
      </c>
      <c r="AC438" s="49">
        <f t="shared" ca="1" si="152"/>
        <v>0</v>
      </c>
      <c r="AD438" s="49">
        <f t="shared" ca="1" si="152"/>
        <v>0</v>
      </c>
      <c r="AE438" s="49">
        <f t="shared" ca="1" si="152"/>
        <v>0</v>
      </c>
      <c r="AF438" s="49">
        <f t="shared" ca="1" si="152"/>
        <v>0</v>
      </c>
      <c r="AG438" s="49">
        <f t="shared" ca="1" si="152"/>
        <v>0</v>
      </c>
      <c r="AH438" s="49">
        <f t="shared" ca="1" si="152"/>
        <v>0</v>
      </c>
      <c r="AI438" s="49">
        <f t="shared" ca="1" si="152"/>
        <v>0</v>
      </c>
      <c r="AJ438" s="49">
        <f t="shared" ca="1" si="152"/>
        <v>0</v>
      </c>
      <c r="AK438" s="49">
        <f t="shared" ca="1" si="152"/>
        <v>0</v>
      </c>
      <c r="AL438" s="49">
        <f t="shared" ca="1" si="152"/>
        <v>0</v>
      </c>
      <c r="AM438" s="49">
        <f t="shared" ca="1" si="152"/>
        <v>0</v>
      </c>
      <c r="AN438" s="49">
        <f t="shared" ca="1" si="152"/>
        <v>0</v>
      </c>
      <c r="AO438" s="49">
        <f t="shared" ca="1" si="152"/>
        <v>0</v>
      </c>
      <c r="AP438" s="49">
        <f t="shared" ca="1" si="152"/>
        <v>0</v>
      </c>
      <c r="AQ438" s="49">
        <f t="shared" ca="1" si="152"/>
        <v>0</v>
      </c>
      <c r="AR438" s="49">
        <f t="shared" ca="1" si="152"/>
        <v>0</v>
      </c>
      <c r="AS438" s="49">
        <f t="shared" ca="1" si="152"/>
        <v>0</v>
      </c>
      <c r="AT438" s="49">
        <f t="shared" ca="1" si="152"/>
        <v>0</v>
      </c>
      <c r="AU438" s="49">
        <f t="shared" ca="1" si="152"/>
        <v>0</v>
      </c>
      <c r="AV438" s="49">
        <f t="shared" ca="1" si="152"/>
        <v>0</v>
      </c>
      <c r="AW438" s="49">
        <f t="shared" ca="1" si="152"/>
        <v>0</v>
      </c>
      <c r="AX438" s="49">
        <f t="shared" ca="1" si="152"/>
        <v>0</v>
      </c>
      <c r="AY438" s="49">
        <f t="shared" ca="1" si="152"/>
        <v>0</v>
      </c>
      <c r="AZ438" s="49">
        <f t="shared" ca="1" si="152"/>
        <v>0</v>
      </c>
      <c r="BA438" s="49">
        <f t="shared" ca="1" si="152"/>
        <v>0</v>
      </c>
      <c r="BB438" s="49">
        <f t="shared" ca="1" si="152"/>
        <v>0</v>
      </c>
      <c r="BC438" s="49">
        <f t="shared" ca="1" si="152"/>
        <v>0</v>
      </c>
      <c r="BD438" s="49">
        <f t="shared" ca="1" si="152"/>
        <v>0</v>
      </c>
      <c r="BE438" s="49">
        <f t="shared" ca="1" si="152"/>
        <v>0</v>
      </c>
      <c r="BF438" s="49">
        <f t="shared" ca="1" si="152"/>
        <v>0</v>
      </c>
      <c r="BG438" s="49">
        <f t="shared" ca="1" si="152"/>
        <v>0</v>
      </c>
      <c r="BH438" s="49">
        <f t="shared" ca="1" si="152"/>
        <v>0</v>
      </c>
      <c r="BI438" s="49">
        <f t="shared" ca="1" si="152"/>
        <v>0</v>
      </c>
      <c r="BJ438" s="49">
        <f t="shared" ca="1" si="152"/>
        <v>0</v>
      </c>
      <c r="BK438" s="49">
        <f t="shared" ca="1" si="152"/>
        <v>0</v>
      </c>
      <c r="BL438" s="49">
        <f t="shared" ca="1" si="152"/>
        <v>0</v>
      </c>
      <c r="BM438" s="49">
        <f t="shared" ca="1" si="152"/>
        <v>0</v>
      </c>
      <c r="BN438" s="49">
        <f t="shared" ca="1" si="152"/>
        <v>0</v>
      </c>
      <c r="BO438" s="49">
        <f t="shared" ca="1" si="152"/>
        <v>0</v>
      </c>
      <c r="BP438" s="49">
        <f t="shared" ca="1" si="152"/>
        <v>0</v>
      </c>
      <c r="BQ438" s="49">
        <f t="shared" ca="1" si="152"/>
        <v>0</v>
      </c>
      <c r="BR438" s="49">
        <f t="shared" ca="1" si="152"/>
        <v>0</v>
      </c>
      <c r="BS438" s="49">
        <f t="shared" ca="1" si="152"/>
        <v>0</v>
      </c>
    </row>
    <row r="439" spans="1:71" outlineLevel="1" x14ac:dyDescent="0.2">
      <c r="J439" s="26"/>
      <c r="L439" s="55"/>
      <c r="M439" s="55"/>
      <c r="N439" s="55"/>
      <c r="O439" s="55"/>
      <c r="P439" s="55"/>
      <c r="Q439" s="55"/>
      <c r="R439" s="55"/>
      <c r="S439" s="55"/>
      <c r="T439" s="55"/>
      <c r="U439" s="55"/>
      <c r="V439" s="55"/>
      <c r="W439" s="55"/>
      <c r="X439" s="55"/>
      <c r="Y439" s="55"/>
      <c r="Z439" s="55"/>
      <c r="AA439" s="55"/>
      <c r="AB439" s="55"/>
      <c r="AC439" s="55"/>
      <c r="AD439" s="55"/>
      <c r="AE439" s="55"/>
      <c r="AF439" s="55"/>
      <c r="AG439" s="55"/>
      <c r="AH439" s="55"/>
      <c r="AI439" s="55"/>
      <c r="AJ439" s="55"/>
      <c r="AK439" s="55"/>
      <c r="AL439" s="55"/>
      <c r="AM439" s="55"/>
      <c r="AN439" s="55"/>
      <c r="AO439" s="55"/>
      <c r="AP439" s="55"/>
      <c r="AQ439" s="55"/>
      <c r="AR439" s="55"/>
      <c r="AS439" s="55"/>
      <c r="AT439" s="55"/>
      <c r="AU439" s="55"/>
      <c r="AV439" s="55"/>
      <c r="AW439" s="55"/>
      <c r="AX439" s="55"/>
      <c r="AY439" s="55"/>
      <c r="AZ439" s="55"/>
      <c r="BA439" s="55"/>
      <c r="BB439" s="55"/>
      <c r="BC439" s="55"/>
      <c r="BD439" s="55"/>
      <c r="BE439" s="55"/>
      <c r="BF439" s="55"/>
      <c r="BG439" s="55"/>
      <c r="BH439" s="55"/>
      <c r="BI439" s="55"/>
      <c r="BJ439" s="55"/>
      <c r="BK439" s="55"/>
      <c r="BL439" s="55"/>
      <c r="BM439" s="55"/>
      <c r="BN439" s="55"/>
      <c r="BO439" s="55"/>
      <c r="BP439" s="55"/>
      <c r="BQ439" s="55"/>
      <c r="BR439" s="55"/>
      <c r="BS439" s="55"/>
    </row>
    <row r="440" spans="1:71" outlineLevel="1" x14ac:dyDescent="0.2">
      <c r="C440" s="11" t="str">
        <f>HM_ZD_Moho!C462</f>
        <v>Coûts d'exploitation</v>
      </c>
      <c r="I440" s="30">
        <f t="shared" ca="1" si="151"/>
        <v>392.69</v>
      </c>
      <c r="J440" s="26" t="s">
        <v>148</v>
      </c>
      <c r="L440" s="49">
        <f ca="1">L420</f>
        <v>172.67099999999999</v>
      </c>
      <c r="M440" s="49">
        <f t="shared" ref="M440:BS440" ca="1" si="153">M420</f>
        <v>220.01900000000001</v>
      </c>
      <c r="N440" s="49">
        <f t="shared" ca="1" si="153"/>
        <v>0</v>
      </c>
      <c r="O440" s="49">
        <f t="shared" ca="1" si="153"/>
        <v>0</v>
      </c>
      <c r="P440" s="49">
        <f t="shared" ca="1" si="153"/>
        <v>0</v>
      </c>
      <c r="Q440" s="49">
        <f t="shared" ca="1" si="153"/>
        <v>0</v>
      </c>
      <c r="R440" s="49">
        <f t="shared" ca="1" si="153"/>
        <v>0</v>
      </c>
      <c r="S440" s="49">
        <f t="shared" ca="1" si="153"/>
        <v>0</v>
      </c>
      <c r="T440" s="49">
        <f t="shared" ca="1" si="153"/>
        <v>0</v>
      </c>
      <c r="U440" s="49">
        <f t="shared" ca="1" si="153"/>
        <v>0</v>
      </c>
      <c r="V440" s="49">
        <f t="shared" ca="1" si="153"/>
        <v>0</v>
      </c>
      <c r="W440" s="49">
        <f t="shared" ca="1" si="153"/>
        <v>0</v>
      </c>
      <c r="X440" s="49">
        <f t="shared" ca="1" si="153"/>
        <v>0</v>
      </c>
      <c r="Y440" s="49">
        <f t="shared" ca="1" si="153"/>
        <v>0</v>
      </c>
      <c r="Z440" s="49">
        <f t="shared" ca="1" si="153"/>
        <v>0</v>
      </c>
      <c r="AA440" s="49">
        <f t="shared" ca="1" si="153"/>
        <v>0</v>
      </c>
      <c r="AB440" s="49">
        <f t="shared" ca="1" si="153"/>
        <v>0</v>
      </c>
      <c r="AC440" s="49">
        <f t="shared" ca="1" si="153"/>
        <v>0</v>
      </c>
      <c r="AD440" s="49">
        <f t="shared" ca="1" si="153"/>
        <v>0</v>
      </c>
      <c r="AE440" s="49">
        <f t="shared" ca="1" si="153"/>
        <v>0</v>
      </c>
      <c r="AF440" s="49">
        <f t="shared" ca="1" si="153"/>
        <v>0</v>
      </c>
      <c r="AG440" s="49">
        <f t="shared" ca="1" si="153"/>
        <v>0</v>
      </c>
      <c r="AH440" s="49">
        <f t="shared" ca="1" si="153"/>
        <v>0</v>
      </c>
      <c r="AI440" s="49">
        <f t="shared" ca="1" si="153"/>
        <v>0</v>
      </c>
      <c r="AJ440" s="49">
        <f t="shared" ca="1" si="153"/>
        <v>0</v>
      </c>
      <c r="AK440" s="49">
        <f t="shared" ca="1" si="153"/>
        <v>0</v>
      </c>
      <c r="AL440" s="49">
        <f t="shared" ca="1" si="153"/>
        <v>0</v>
      </c>
      <c r="AM440" s="49">
        <f t="shared" ca="1" si="153"/>
        <v>0</v>
      </c>
      <c r="AN440" s="49">
        <f t="shared" ca="1" si="153"/>
        <v>0</v>
      </c>
      <c r="AO440" s="49">
        <f t="shared" ca="1" si="153"/>
        <v>0</v>
      </c>
      <c r="AP440" s="49">
        <f t="shared" ca="1" si="153"/>
        <v>0</v>
      </c>
      <c r="AQ440" s="49">
        <f t="shared" ca="1" si="153"/>
        <v>0</v>
      </c>
      <c r="AR440" s="49">
        <f t="shared" ca="1" si="153"/>
        <v>0</v>
      </c>
      <c r="AS440" s="49">
        <f t="shared" ca="1" si="153"/>
        <v>0</v>
      </c>
      <c r="AT440" s="49">
        <f t="shared" ca="1" si="153"/>
        <v>0</v>
      </c>
      <c r="AU440" s="49">
        <f t="shared" ca="1" si="153"/>
        <v>0</v>
      </c>
      <c r="AV440" s="49">
        <f t="shared" ca="1" si="153"/>
        <v>0</v>
      </c>
      <c r="AW440" s="49">
        <f t="shared" ca="1" si="153"/>
        <v>0</v>
      </c>
      <c r="AX440" s="49">
        <f t="shared" ca="1" si="153"/>
        <v>0</v>
      </c>
      <c r="AY440" s="49">
        <f t="shared" ca="1" si="153"/>
        <v>0</v>
      </c>
      <c r="AZ440" s="49">
        <f t="shared" ca="1" si="153"/>
        <v>0</v>
      </c>
      <c r="BA440" s="49">
        <f t="shared" ca="1" si="153"/>
        <v>0</v>
      </c>
      <c r="BB440" s="49">
        <f t="shared" ca="1" si="153"/>
        <v>0</v>
      </c>
      <c r="BC440" s="49">
        <f t="shared" ca="1" si="153"/>
        <v>0</v>
      </c>
      <c r="BD440" s="49">
        <f t="shared" ca="1" si="153"/>
        <v>0</v>
      </c>
      <c r="BE440" s="49">
        <f t="shared" ca="1" si="153"/>
        <v>0</v>
      </c>
      <c r="BF440" s="49">
        <f t="shared" ca="1" si="153"/>
        <v>0</v>
      </c>
      <c r="BG440" s="49">
        <f t="shared" ca="1" si="153"/>
        <v>0</v>
      </c>
      <c r="BH440" s="49">
        <f t="shared" ca="1" si="153"/>
        <v>0</v>
      </c>
      <c r="BI440" s="49">
        <f t="shared" ca="1" si="153"/>
        <v>0</v>
      </c>
      <c r="BJ440" s="49">
        <f t="shared" ca="1" si="153"/>
        <v>0</v>
      </c>
      <c r="BK440" s="49">
        <f t="shared" ca="1" si="153"/>
        <v>0</v>
      </c>
      <c r="BL440" s="49">
        <f t="shared" ca="1" si="153"/>
        <v>0</v>
      </c>
      <c r="BM440" s="49">
        <f t="shared" ca="1" si="153"/>
        <v>0</v>
      </c>
      <c r="BN440" s="49">
        <f t="shared" ca="1" si="153"/>
        <v>0</v>
      </c>
      <c r="BO440" s="49">
        <f t="shared" ca="1" si="153"/>
        <v>0</v>
      </c>
      <c r="BP440" s="49">
        <f t="shared" ca="1" si="153"/>
        <v>0</v>
      </c>
      <c r="BQ440" s="49">
        <f t="shared" ca="1" si="153"/>
        <v>0</v>
      </c>
      <c r="BR440" s="49">
        <f t="shared" ca="1" si="153"/>
        <v>0</v>
      </c>
      <c r="BS440" s="49">
        <f t="shared" ca="1" si="153"/>
        <v>0</v>
      </c>
    </row>
    <row r="441" spans="1:71" outlineLevel="1" x14ac:dyDescent="0.2">
      <c r="J441" s="26"/>
      <c r="L441" s="55"/>
      <c r="M441" s="55"/>
      <c r="N441" s="55"/>
      <c r="O441" s="55"/>
      <c r="P441" s="55"/>
      <c r="Q441" s="55"/>
      <c r="R441" s="55"/>
      <c r="S441" s="55"/>
      <c r="T441" s="55"/>
      <c r="U441" s="55"/>
      <c r="V441" s="55"/>
      <c r="W441" s="55"/>
      <c r="X441" s="55"/>
      <c r="Y441" s="55"/>
      <c r="Z441" s="55"/>
      <c r="AA441" s="55"/>
      <c r="AB441" s="55"/>
      <c r="AC441" s="55"/>
      <c r="AD441" s="55"/>
      <c r="AE441" s="55"/>
      <c r="AF441" s="55"/>
      <c r="AG441" s="55"/>
      <c r="AH441" s="55"/>
      <c r="AI441" s="55"/>
      <c r="AJ441" s="55"/>
      <c r="AK441" s="55"/>
      <c r="AL441" s="55"/>
      <c r="AM441" s="55"/>
      <c r="AN441" s="55"/>
      <c r="AO441" s="55"/>
      <c r="AP441" s="55"/>
      <c r="AQ441" s="55"/>
      <c r="AR441" s="55"/>
      <c r="AS441" s="55"/>
      <c r="AT441" s="55"/>
      <c r="AU441" s="55"/>
      <c r="AV441" s="55"/>
      <c r="AW441" s="55"/>
      <c r="AX441" s="55"/>
      <c r="AY441" s="55"/>
      <c r="AZ441" s="55"/>
      <c r="BA441" s="55"/>
      <c r="BB441" s="55"/>
      <c r="BC441" s="55"/>
      <c r="BD441" s="55"/>
      <c r="BE441" s="55"/>
      <c r="BF441" s="55"/>
      <c r="BG441" s="55"/>
      <c r="BH441" s="55"/>
      <c r="BI441" s="55"/>
      <c r="BJ441" s="55"/>
      <c r="BK441" s="55"/>
      <c r="BL441" s="55"/>
      <c r="BM441" s="55"/>
      <c r="BN441" s="55"/>
      <c r="BO441" s="55"/>
      <c r="BP441" s="55"/>
      <c r="BQ441" s="55"/>
      <c r="BR441" s="55"/>
      <c r="BS441" s="55"/>
    </row>
    <row r="442" spans="1:71" outlineLevel="1" x14ac:dyDescent="0.2">
      <c r="C442" s="11" t="str">
        <f>HM_ZD_Moho!C464</f>
        <v>Bonus et frais</v>
      </c>
      <c r="I442" s="30">
        <f t="shared" ca="1" si="151"/>
        <v>37.299597132909994</v>
      </c>
      <c r="J442" s="26" t="s">
        <v>148</v>
      </c>
      <c r="L442" s="49" cm="1">
        <f t="array" aca="1" ref="L442:BS442" ca="1">HM_ZD_AM3_2005!CA_pid_fees</f>
        <v>19.121835466870003</v>
      </c>
      <c r="M442" s="49">
        <f ca="1"/>
        <v>18.177761666039995</v>
      </c>
      <c r="N442" s="49">
        <f ca="1"/>
        <v>0</v>
      </c>
      <c r="O442" s="49">
        <f ca="1"/>
        <v>0</v>
      </c>
      <c r="P442" s="49">
        <f ca="1"/>
        <v>0</v>
      </c>
      <c r="Q442" s="49">
        <f ca="1"/>
        <v>0</v>
      </c>
      <c r="R442" s="49">
        <f ca="1"/>
        <v>0</v>
      </c>
      <c r="S442" s="49">
        <f ca="1"/>
        <v>0</v>
      </c>
      <c r="T442" s="49">
        <f ca="1"/>
        <v>0</v>
      </c>
      <c r="U442" s="49">
        <f ca="1"/>
        <v>0</v>
      </c>
      <c r="V442" s="49">
        <f ca="1"/>
        <v>0</v>
      </c>
      <c r="W442" s="49">
        <f ca="1"/>
        <v>0</v>
      </c>
      <c r="X442" s="49">
        <f ca="1"/>
        <v>0</v>
      </c>
      <c r="Y442" s="49">
        <f ca="1"/>
        <v>0</v>
      </c>
      <c r="Z442" s="49">
        <f ca="1"/>
        <v>0</v>
      </c>
      <c r="AA442" s="49">
        <f ca="1"/>
        <v>0</v>
      </c>
      <c r="AB442" s="49">
        <f ca="1"/>
        <v>0</v>
      </c>
      <c r="AC442" s="49">
        <f ca="1"/>
        <v>0</v>
      </c>
      <c r="AD442" s="49">
        <f ca="1"/>
        <v>0</v>
      </c>
      <c r="AE442" s="49">
        <f ca="1"/>
        <v>0</v>
      </c>
      <c r="AF442" s="49">
        <f ca="1"/>
        <v>0</v>
      </c>
      <c r="AG442" s="49">
        <f ca="1"/>
        <v>0</v>
      </c>
      <c r="AH442" s="49">
        <f ca="1"/>
        <v>0</v>
      </c>
      <c r="AI442" s="49">
        <f ca="1"/>
        <v>0</v>
      </c>
      <c r="AJ442" s="49">
        <f ca="1"/>
        <v>0</v>
      </c>
      <c r="AK442" s="49">
        <f ca="1"/>
        <v>0</v>
      </c>
      <c r="AL442" s="49">
        <f ca="1"/>
        <v>0</v>
      </c>
      <c r="AM442" s="49">
        <f ca="1"/>
        <v>0</v>
      </c>
      <c r="AN442" s="49">
        <f ca="1"/>
        <v>0</v>
      </c>
      <c r="AO442" s="49">
        <f ca="1"/>
        <v>0</v>
      </c>
      <c r="AP442" s="49">
        <f ca="1"/>
        <v>0</v>
      </c>
      <c r="AQ442" s="49">
        <f ca="1"/>
        <v>0</v>
      </c>
      <c r="AR442" s="49">
        <f ca="1"/>
        <v>0</v>
      </c>
      <c r="AS442" s="49">
        <f ca="1"/>
        <v>0</v>
      </c>
      <c r="AT442" s="49">
        <f ca="1"/>
        <v>0</v>
      </c>
      <c r="AU442" s="49">
        <f ca="1"/>
        <v>0</v>
      </c>
      <c r="AV442" s="49">
        <f ca="1"/>
        <v>0</v>
      </c>
      <c r="AW442" s="49">
        <f ca="1"/>
        <v>0</v>
      </c>
      <c r="AX442" s="49">
        <f ca="1"/>
        <v>0</v>
      </c>
      <c r="AY442" s="49">
        <f ca="1"/>
        <v>0</v>
      </c>
      <c r="AZ442" s="49">
        <f ca="1"/>
        <v>0</v>
      </c>
      <c r="BA442" s="49">
        <f ca="1"/>
        <v>0</v>
      </c>
      <c r="BB442" s="49">
        <f ca="1"/>
        <v>0</v>
      </c>
      <c r="BC442" s="49">
        <f ca="1"/>
        <v>0</v>
      </c>
      <c r="BD442" s="49">
        <f ca="1"/>
        <v>0</v>
      </c>
      <c r="BE442" s="49">
        <f ca="1"/>
        <v>0</v>
      </c>
      <c r="BF442" s="49">
        <f ca="1"/>
        <v>0</v>
      </c>
      <c r="BG442" s="49">
        <f ca="1"/>
        <v>0</v>
      </c>
      <c r="BH442" s="49">
        <f ca="1"/>
        <v>0</v>
      </c>
      <c r="BI442" s="49">
        <f ca="1"/>
        <v>0</v>
      </c>
      <c r="BJ442" s="49">
        <f ca="1"/>
        <v>0</v>
      </c>
      <c r="BK442" s="49">
        <f ca="1"/>
        <v>0</v>
      </c>
      <c r="BL442" s="49">
        <f ca="1"/>
        <v>0</v>
      </c>
      <c r="BM442" s="49">
        <f ca="1"/>
        <v>0</v>
      </c>
      <c r="BN442" s="49">
        <f ca="1"/>
        <v>0</v>
      </c>
      <c r="BO442" s="49">
        <f ca="1"/>
        <v>0</v>
      </c>
      <c r="BP442" s="49">
        <f ca="1"/>
        <v>0</v>
      </c>
      <c r="BQ442" s="49">
        <f ca="1"/>
        <v>0</v>
      </c>
      <c r="BR442" s="49">
        <f ca="1"/>
        <v>0</v>
      </c>
      <c r="BS442" s="49">
        <f ca="1"/>
        <v>0</v>
      </c>
    </row>
    <row r="443" spans="1:71" outlineLevel="1" x14ac:dyDescent="0.2">
      <c r="J443" s="26"/>
      <c r="L443" s="55"/>
      <c r="M443" s="55"/>
      <c r="N443" s="55"/>
      <c r="O443" s="55"/>
      <c r="P443" s="55"/>
      <c r="Q443" s="55"/>
      <c r="R443" s="55"/>
      <c r="S443" s="55"/>
      <c r="T443" s="55"/>
      <c r="U443" s="55"/>
      <c r="V443" s="55"/>
      <c r="W443" s="55"/>
      <c r="X443" s="55"/>
      <c r="Y443" s="55"/>
      <c r="Z443" s="55"/>
      <c r="AA443" s="55"/>
      <c r="AB443" s="55"/>
      <c r="AC443" s="55"/>
      <c r="AD443" s="55"/>
      <c r="AE443" s="55"/>
      <c r="AF443" s="55"/>
      <c r="AG443" s="55"/>
      <c r="AH443" s="55"/>
      <c r="AI443" s="55"/>
      <c r="AJ443" s="55"/>
      <c r="AK443" s="55"/>
      <c r="AL443" s="55"/>
      <c r="AM443" s="55"/>
      <c r="AN443" s="55"/>
      <c r="AO443" s="55"/>
      <c r="AP443" s="55"/>
      <c r="AQ443" s="55"/>
      <c r="AR443" s="55"/>
      <c r="AS443" s="55"/>
      <c r="AT443" s="55"/>
      <c r="AU443" s="55"/>
      <c r="AV443" s="55"/>
      <c r="AW443" s="55"/>
      <c r="AX443" s="55"/>
      <c r="AY443" s="55"/>
      <c r="AZ443" s="55"/>
      <c r="BA443" s="55"/>
      <c r="BB443" s="55"/>
      <c r="BC443" s="55"/>
      <c r="BD443" s="55"/>
      <c r="BE443" s="55"/>
      <c r="BF443" s="55"/>
      <c r="BG443" s="55"/>
      <c r="BH443" s="55"/>
      <c r="BI443" s="55"/>
      <c r="BJ443" s="55"/>
      <c r="BK443" s="55"/>
      <c r="BL443" s="55"/>
      <c r="BM443" s="55"/>
      <c r="BN443" s="55"/>
      <c r="BO443" s="55"/>
      <c r="BP443" s="55"/>
      <c r="BQ443" s="55"/>
      <c r="BR443" s="55"/>
      <c r="BS443" s="55"/>
    </row>
    <row r="444" spans="1:71" outlineLevel="1" x14ac:dyDescent="0.2">
      <c r="C444" s="11" t="str">
        <f>HM_ZD_Moho!C466</f>
        <v>Production et autres taxes</v>
      </c>
      <c r="I444" s="30">
        <f t="shared" ref="I444:I454" si="154">SUM($L444:$BS444)</f>
        <v>0</v>
      </c>
      <c r="J444" s="26" t="s">
        <v>148</v>
      </c>
      <c r="L444" s="49">
        <v>0</v>
      </c>
      <c r="M444" s="49">
        <v>0</v>
      </c>
      <c r="N444" s="49">
        <v>0</v>
      </c>
      <c r="O444" s="49">
        <v>0</v>
      </c>
      <c r="P444" s="49">
        <v>0</v>
      </c>
      <c r="Q444" s="49">
        <v>0</v>
      </c>
      <c r="R444" s="49">
        <v>0</v>
      </c>
      <c r="S444" s="49">
        <v>0</v>
      </c>
      <c r="T444" s="49">
        <v>0</v>
      </c>
      <c r="U444" s="49">
        <v>0</v>
      </c>
      <c r="V444" s="49">
        <v>0</v>
      </c>
      <c r="W444" s="49">
        <v>0</v>
      </c>
      <c r="X444" s="49">
        <v>0</v>
      </c>
      <c r="Y444" s="49">
        <v>0</v>
      </c>
      <c r="Z444" s="49">
        <v>0</v>
      </c>
      <c r="AA444" s="49">
        <v>0</v>
      </c>
      <c r="AB444" s="49">
        <v>0</v>
      </c>
      <c r="AC444" s="49">
        <v>0</v>
      </c>
      <c r="AD444" s="49">
        <v>0</v>
      </c>
      <c r="AE444" s="49">
        <v>0</v>
      </c>
      <c r="AF444" s="49">
        <v>0</v>
      </c>
      <c r="AG444" s="49">
        <v>0</v>
      </c>
      <c r="AH444" s="49">
        <v>0</v>
      </c>
      <c r="AI444" s="49">
        <v>0</v>
      </c>
      <c r="AJ444" s="49">
        <v>0</v>
      </c>
      <c r="AK444" s="49">
        <v>0</v>
      </c>
      <c r="AL444" s="49">
        <v>0</v>
      </c>
      <c r="AM444" s="49">
        <v>0</v>
      </c>
      <c r="AN444" s="49">
        <v>0</v>
      </c>
      <c r="AO444" s="49">
        <v>0</v>
      </c>
      <c r="AP444" s="49">
        <v>0</v>
      </c>
      <c r="AQ444" s="49">
        <v>0</v>
      </c>
      <c r="AR444" s="49">
        <v>0</v>
      </c>
      <c r="AS444" s="49">
        <v>0</v>
      </c>
      <c r="AT444" s="49">
        <v>0</v>
      </c>
      <c r="AU444" s="49">
        <v>0</v>
      </c>
      <c r="AV444" s="49">
        <v>0</v>
      </c>
      <c r="AW444" s="49">
        <v>0</v>
      </c>
      <c r="AX444" s="49">
        <v>0</v>
      </c>
      <c r="AY444" s="49">
        <v>0</v>
      </c>
      <c r="AZ444" s="49">
        <v>0</v>
      </c>
      <c r="BA444" s="49">
        <v>0</v>
      </c>
      <c r="BB444" s="49">
        <v>0</v>
      </c>
      <c r="BC444" s="49">
        <v>0</v>
      </c>
      <c r="BD444" s="49">
        <v>0</v>
      </c>
      <c r="BE444" s="49">
        <v>0</v>
      </c>
      <c r="BF444" s="49">
        <v>0</v>
      </c>
      <c r="BG444" s="49">
        <v>0</v>
      </c>
      <c r="BH444" s="49">
        <v>0</v>
      </c>
      <c r="BI444" s="49">
        <v>0</v>
      </c>
      <c r="BJ444" s="49">
        <v>0</v>
      </c>
      <c r="BK444" s="49">
        <v>0</v>
      </c>
      <c r="BL444" s="49">
        <v>0</v>
      </c>
      <c r="BM444" s="49">
        <v>0</v>
      </c>
      <c r="BN444" s="49">
        <v>0</v>
      </c>
      <c r="BO444" s="49">
        <v>0</v>
      </c>
      <c r="BP444" s="49">
        <v>0</v>
      </c>
      <c r="BQ444" s="49">
        <v>0</v>
      </c>
      <c r="BR444" s="49">
        <v>0</v>
      </c>
      <c r="BS444" s="49">
        <v>0</v>
      </c>
    </row>
    <row r="445" spans="1:71" outlineLevel="1" x14ac:dyDescent="0.2">
      <c r="J445" s="26"/>
      <c r="L445" s="55"/>
      <c r="M445" s="55"/>
      <c r="N445" s="55"/>
      <c r="O445" s="55"/>
      <c r="P445" s="55"/>
      <c r="Q445" s="55"/>
      <c r="R445" s="55"/>
      <c r="S445" s="55"/>
      <c r="T445" s="55"/>
      <c r="U445" s="55"/>
      <c r="V445" s="55"/>
      <c r="W445" s="55"/>
      <c r="X445" s="55"/>
      <c r="Y445" s="55"/>
      <c r="Z445" s="55"/>
      <c r="AA445" s="55"/>
      <c r="AB445" s="55"/>
      <c r="AC445" s="55"/>
      <c r="AD445" s="55"/>
      <c r="AE445" s="55"/>
      <c r="AF445" s="55"/>
      <c r="AG445" s="55"/>
      <c r="AH445" s="55"/>
      <c r="AI445" s="55"/>
      <c r="AJ445" s="55"/>
      <c r="AK445" s="55"/>
      <c r="AL445" s="55"/>
      <c r="AM445" s="55"/>
      <c r="AN445" s="55"/>
      <c r="AO445" s="55"/>
      <c r="AP445" s="55"/>
      <c r="AQ445" s="55"/>
      <c r="AR445" s="55"/>
      <c r="AS445" s="55"/>
      <c r="AT445" s="55"/>
      <c r="AU445" s="55"/>
      <c r="AV445" s="55"/>
      <c r="AW445" s="55"/>
      <c r="AX445" s="55"/>
      <c r="AY445" s="55"/>
      <c r="AZ445" s="55"/>
      <c r="BA445" s="55"/>
      <c r="BB445" s="55"/>
      <c r="BC445" s="55"/>
      <c r="BD445" s="55"/>
      <c r="BE445" s="55"/>
      <c r="BF445" s="55"/>
      <c r="BG445" s="55"/>
      <c r="BH445" s="55"/>
      <c r="BI445" s="55"/>
      <c r="BJ445" s="55"/>
      <c r="BK445" s="55"/>
      <c r="BL445" s="55"/>
      <c r="BM445" s="55"/>
      <c r="BN445" s="55"/>
      <c r="BO445" s="55"/>
      <c r="BP445" s="55"/>
      <c r="BQ445" s="55"/>
      <c r="BR445" s="55"/>
      <c r="BS445" s="55"/>
    </row>
    <row r="446" spans="1:71" outlineLevel="1" x14ac:dyDescent="0.2">
      <c r="C446" s="11" t="str">
        <f>HM_ZD_Moho!C468</f>
        <v>Capex hors abandon</v>
      </c>
      <c r="I446" s="30">
        <f t="shared" ca="1" si="154"/>
        <v>3404.9939999999997</v>
      </c>
      <c r="J446" s="26" t="s">
        <v>148</v>
      </c>
      <c r="L446" s="49">
        <f ca="1">SUM(L423:L424)</f>
        <v>1286.7819999999999</v>
      </c>
      <c r="M446" s="49">
        <f t="shared" ref="M446:BS446" ca="1" si="155">SUM(M423:M424)</f>
        <v>2118.212</v>
      </c>
      <c r="N446" s="49">
        <f t="shared" ca="1" si="155"/>
        <v>0</v>
      </c>
      <c r="O446" s="49">
        <f t="shared" ca="1" si="155"/>
        <v>0</v>
      </c>
      <c r="P446" s="49">
        <f t="shared" ca="1" si="155"/>
        <v>0</v>
      </c>
      <c r="Q446" s="49">
        <f t="shared" ca="1" si="155"/>
        <v>0</v>
      </c>
      <c r="R446" s="49">
        <f t="shared" ca="1" si="155"/>
        <v>0</v>
      </c>
      <c r="S446" s="49">
        <f t="shared" ca="1" si="155"/>
        <v>0</v>
      </c>
      <c r="T446" s="49">
        <f t="shared" ca="1" si="155"/>
        <v>0</v>
      </c>
      <c r="U446" s="49">
        <f t="shared" ca="1" si="155"/>
        <v>0</v>
      </c>
      <c r="V446" s="49">
        <f t="shared" ca="1" si="155"/>
        <v>0</v>
      </c>
      <c r="W446" s="49">
        <f t="shared" ca="1" si="155"/>
        <v>0</v>
      </c>
      <c r="X446" s="49">
        <f t="shared" ca="1" si="155"/>
        <v>0</v>
      </c>
      <c r="Y446" s="49">
        <f t="shared" ca="1" si="155"/>
        <v>0</v>
      </c>
      <c r="Z446" s="49">
        <f t="shared" ca="1" si="155"/>
        <v>0</v>
      </c>
      <c r="AA446" s="49">
        <f t="shared" ca="1" si="155"/>
        <v>0</v>
      </c>
      <c r="AB446" s="49">
        <f t="shared" ca="1" si="155"/>
        <v>0</v>
      </c>
      <c r="AC446" s="49">
        <f t="shared" ca="1" si="155"/>
        <v>0</v>
      </c>
      <c r="AD446" s="49">
        <f t="shared" ca="1" si="155"/>
        <v>0</v>
      </c>
      <c r="AE446" s="49">
        <f t="shared" ca="1" si="155"/>
        <v>0</v>
      </c>
      <c r="AF446" s="49">
        <f t="shared" ca="1" si="155"/>
        <v>0</v>
      </c>
      <c r="AG446" s="49">
        <f t="shared" ca="1" si="155"/>
        <v>0</v>
      </c>
      <c r="AH446" s="49">
        <f t="shared" ca="1" si="155"/>
        <v>0</v>
      </c>
      <c r="AI446" s="49">
        <f t="shared" ca="1" si="155"/>
        <v>0</v>
      </c>
      <c r="AJ446" s="49">
        <f t="shared" ca="1" si="155"/>
        <v>0</v>
      </c>
      <c r="AK446" s="49">
        <f t="shared" ca="1" si="155"/>
        <v>0</v>
      </c>
      <c r="AL446" s="49">
        <f t="shared" ca="1" si="155"/>
        <v>0</v>
      </c>
      <c r="AM446" s="49">
        <f t="shared" ca="1" si="155"/>
        <v>0</v>
      </c>
      <c r="AN446" s="49">
        <f t="shared" ca="1" si="155"/>
        <v>0</v>
      </c>
      <c r="AO446" s="49">
        <f t="shared" ca="1" si="155"/>
        <v>0</v>
      </c>
      <c r="AP446" s="49">
        <f t="shared" ca="1" si="155"/>
        <v>0</v>
      </c>
      <c r="AQ446" s="49">
        <f t="shared" ca="1" si="155"/>
        <v>0</v>
      </c>
      <c r="AR446" s="49">
        <f t="shared" ca="1" si="155"/>
        <v>0</v>
      </c>
      <c r="AS446" s="49">
        <f t="shared" ca="1" si="155"/>
        <v>0</v>
      </c>
      <c r="AT446" s="49">
        <f t="shared" ca="1" si="155"/>
        <v>0</v>
      </c>
      <c r="AU446" s="49">
        <f t="shared" ca="1" si="155"/>
        <v>0</v>
      </c>
      <c r="AV446" s="49">
        <f t="shared" ca="1" si="155"/>
        <v>0</v>
      </c>
      <c r="AW446" s="49">
        <f t="shared" ca="1" si="155"/>
        <v>0</v>
      </c>
      <c r="AX446" s="49">
        <f t="shared" ca="1" si="155"/>
        <v>0</v>
      </c>
      <c r="AY446" s="49">
        <f t="shared" ca="1" si="155"/>
        <v>0</v>
      </c>
      <c r="AZ446" s="49">
        <f t="shared" ca="1" si="155"/>
        <v>0</v>
      </c>
      <c r="BA446" s="49">
        <f t="shared" ca="1" si="155"/>
        <v>0</v>
      </c>
      <c r="BB446" s="49">
        <f t="shared" ca="1" si="155"/>
        <v>0</v>
      </c>
      <c r="BC446" s="49">
        <f t="shared" ca="1" si="155"/>
        <v>0</v>
      </c>
      <c r="BD446" s="49">
        <f t="shared" ca="1" si="155"/>
        <v>0</v>
      </c>
      <c r="BE446" s="49">
        <f t="shared" ca="1" si="155"/>
        <v>0</v>
      </c>
      <c r="BF446" s="49">
        <f t="shared" ca="1" si="155"/>
        <v>0</v>
      </c>
      <c r="BG446" s="49">
        <f t="shared" ca="1" si="155"/>
        <v>0</v>
      </c>
      <c r="BH446" s="49">
        <f t="shared" ca="1" si="155"/>
        <v>0</v>
      </c>
      <c r="BI446" s="49">
        <f t="shared" ca="1" si="155"/>
        <v>0</v>
      </c>
      <c r="BJ446" s="49">
        <f t="shared" ca="1" si="155"/>
        <v>0</v>
      </c>
      <c r="BK446" s="49">
        <f t="shared" ca="1" si="155"/>
        <v>0</v>
      </c>
      <c r="BL446" s="49">
        <f t="shared" ca="1" si="155"/>
        <v>0</v>
      </c>
      <c r="BM446" s="49">
        <f t="shared" ca="1" si="155"/>
        <v>0</v>
      </c>
      <c r="BN446" s="49">
        <f t="shared" ca="1" si="155"/>
        <v>0</v>
      </c>
      <c r="BO446" s="49">
        <f t="shared" ca="1" si="155"/>
        <v>0</v>
      </c>
      <c r="BP446" s="49">
        <f t="shared" ca="1" si="155"/>
        <v>0</v>
      </c>
      <c r="BQ446" s="49">
        <f t="shared" ca="1" si="155"/>
        <v>0</v>
      </c>
      <c r="BR446" s="49">
        <f t="shared" ca="1" si="155"/>
        <v>0</v>
      </c>
      <c r="BS446" s="49">
        <f t="shared" ca="1" si="155"/>
        <v>0</v>
      </c>
    </row>
    <row r="447" spans="1:71" outlineLevel="1" x14ac:dyDescent="0.2">
      <c r="J447" s="26"/>
      <c r="L447" s="55"/>
      <c r="M447" s="55"/>
      <c r="N447" s="55"/>
      <c r="O447" s="55"/>
      <c r="P447" s="55"/>
      <c r="Q447" s="55"/>
      <c r="R447" s="55"/>
      <c r="S447" s="55"/>
      <c r="T447" s="55"/>
      <c r="U447" s="55"/>
      <c r="V447" s="55"/>
      <c r="W447" s="55"/>
      <c r="X447" s="55"/>
      <c r="Y447" s="55"/>
      <c r="Z447" s="55"/>
      <c r="AA447" s="55"/>
      <c r="AB447" s="55"/>
      <c r="AC447" s="55"/>
      <c r="AD447" s="55"/>
      <c r="AE447" s="55"/>
      <c r="AF447" s="55"/>
      <c r="AG447" s="55"/>
      <c r="AH447" s="55"/>
      <c r="AI447" s="55"/>
      <c r="AJ447" s="55"/>
      <c r="AK447" s="55"/>
      <c r="AL447" s="55"/>
      <c r="AM447" s="55"/>
      <c r="AN447" s="55"/>
      <c r="AO447" s="55"/>
      <c r="AP447" s="55"/>
      <c r="AQ447" s="55"/>
      <c r="AR447" s="55"/>
      <c r="AS447" s="55"/>
      <c r="AT447" s="55"/>
      <c r="AU447" s="55"/>
      <c r="AV447" s="55"/>
      <c r="AW447" s="55"/>
      <c r="AX447" s="55"/>
      <c r="AY447" s="55"/>
      <c r="AZ447" s="55"/>
      <c r="BA447" s="55"/>
      <c r="BB447" s="55"/>
      <c r="BC447" s="55"/>
      <c r="BD447" s="55"/>
      <c r="BE447" s="55"/>
      <c r="BF447" s="55"/>
      <c r="BG447" s="55"/>
      <c r="BH447" s="55"/>
      <c r="BI447" s="55"/>
      <c r="BJ447" s="55"/>
      <c r="BK447" s="55"/>
      <c r="BL447" s="55"/>
      <c r="BM447" s="55"/>
      <c r="BN447" s="55"/>
      <c r="BO447" s="55"/>
      <c r="BP447" s="55"/>
      <c r="BQ447" s="55"/>
      <c r="BR447" s="55"/>
      <c r="BS447" s="55"/>
    </row>
    <row r="448" spans="1:71" outlineLevel="1" x14ac:dyDescent="0.2">
      <c r="C448" s="11" t="str">
        <f>HM_ZD_Moho!C470</f>
        <v>Abandon</v>
      </c>
      <c r="I448" s="30">
        <f t="shared" ca="1" si="154"/>
        <v>0</v>
      </c>
      <c r="J448" s="26" t="s">
        <v>148</v>
      </c>
      <c r="L448" s="49">
        <f ca="1">L425</f>
        <v>0</v>
      </c>
      <c r="M448" s="49">
        <f t="shared" ref="M448:BS448" ca="1" si="156">M425</f>
        <v>0</v>
      </c>
      <c r="N448" s="49">
        <f t="shared" ca="1" si="156"/>
        <v>0</v>
      </c>
      <c r="O448" s="49">
        <f t="shared" ca="1" si="156"/>
        <v>0</v>
      </c>
      <c r="P448" s="49">
        <f t="shared" ca="1" si="156"/>
        <v>0</v>
      </c>
      <c r="Q448" s="49">
        <f t="shared" ca="1" si="156"/>
        <v>0</v>
      </c>
      <c r="R448" s="49">
        <f t="shared" ca="1" si="156"/>
        <v>0</v>
      </c>
      <c r="S448" s="49">
        <f t="shared" ca="1" si="156"/>
        <v>0</v>
      </c>
      <c r="T448" s="49">
        <f t="shared" ca="1" si="156"/>
        <v>0</v>
      </c>
      <c r="U448" s="49">
        <f t="shared" ca="1" si="156"/>
        <v>0</v>
      </c>
      <c r="V448" s="49">
        <f t="shared" ca="1" si="156"/>
        <v>0</v>
      </c>
      <c r="W448" s="49">
        <f t="shared" ca="1" si="156"/>
        <v>0</v>
      </c>
      <c r="X448" s="49">
        <f t="shared" ca="1" si="156"/>
        <v>0</v>
      </c>
      <c r="Y448" s="49">
        <f t="shared" ca="1" si="156"/>
        <v>0</v>
      </c>
      <c r="Z448" s="49">
        <f t="shared" ca="1" si="156"/>
        <v>0</v>
      </c>
      <c r="AA448" s="49">
        <f t="shared" ca="1" si="156"/>
        <v>0</v>
      </c>
      <c r="AB448" s="49">
        <f t="shared" ca="1" si="156"/>
        <v>0</v>
      </c>
      <c r="AC448" s="49">
        <f t="shared" ca="1" si="156"/>
        <v>0</v>
      </c>
      <c r="AD448" s="49">
        <f t="shared" ca="1" si="156"/>
        <v>0</v>
      </c>
      <c r="AE448" s="49">
        <f t="shared" ca="1" si="156"/>
        <v>0</v>
      </c>
      <c r="AF448" s="49">
        <f t="shared" ca="1" si="156"/>
        <v>0</v>
      </c>
      <c r="AG448" s="49">
        <f t="shared" ca="1" si="156"/>
        <v>0</v>
      </c>
      <c r="AH448" s="49">
        <f t="shared" ca="1" si="156"/>
        <v>0</v>
      </c>
      <c r="AI448" s="49">
        <f t="shared" ca="1" si="156"/>
        <v>0</v>
      </c>
      <c r="AJ448" s="49">
        <f t="shared" ca="1" si="156"/>
        <v>0</v>
      </c>
      <c r="AK448" s="49">
        <f t="shared" ca="1" si="156"/>
        <v>0</v>
      </c>
      <c r="AL448" s="49">
        <f t="shared" ca="1" si="156"/>
        <v>0</v>
      </c>
      <c r="AM448" s="49">
        <f t="shared" ca="1" si="156"/>
        <v>0</v>
      </c>
      <c r="AN448" s="49">
        <f t="shared" ca="1" si="156"/>
        <v>0</v>
      </c>
      <c r="AO448" s="49">
        <f t="shared" ca="1" si="156"/>
        <v>0</v>
      </c>
      <c r="AP448" s="49">
        <f t="shared" ca="1" si="156"/>
        <v>0</v>
      </c>
      <c r="AQ448" s="49">
        <f t="shared" ca="1" si="156"/>
        <v>0</v>
      </c>
      <c r="AR448" s="49">
        <f t="shared" ca="1" si="156"/>
        <v>0</v>
      </c>
      <c r="AS448" s="49">
        <f t="shared" ca="1" si="156"/>
        <v>0</v>
      </c>
      <c r="AT448" s="49">
        <f t="shared" ca="1" si="156"/>
        <v>0</v>
      </c>
      <c r="AU448" s="49">
        <f t="shared" ca="1" si="156"/>
        <v>0</v>
      </c>
      <c r="AV448" s="49">
        <f t="shared" ca="1" si="156"/>
        <v>0</v>
      </c>
      <c r="AW448" s="49">
        <f t="shared" ca="1" si="156"/>
        <v>0</v>
      </c>
      <c r="AX448" s="49">
        <f t="shared" ca="1" si="156"/>
        <v>0</v>
      </c>
      <c r="AY448" s="49">
        <f t="shared" ca="1" si="156"/>
        <v>0</v>
      </c>
      <c r="AZ448" s="49">
        <f t="shared" ca="1" si="156"/>
        <v>0</v>
      </c>
      <c r="BA448" s="49">
        <f t="shared" ca="1" si="156"/>
        <v>0</v>
      </c>
      <c r="BB448" s="49">
        <f t="shared" ca="1" si="156"/>
        <v>0</v>
      </c>
      <c r="BC448" s="49">
        <f t="shared" ca="1" si="156"/>
        <v>0</v>
      </c>
      <c r="BD448" s="49">
        <f t="shared" ca="1" si="156"/>
        <v>0</v>
      </c>
      <c r="BE448" s="49">
        <f t="shared" ca="1" si="156"/>
        <v>0</v>
      </c>
      <c r="BF448" s="49">
        <f t="shared" ca="1" si="156"/>
        <v>0</v>
      </c>
      <c r="BG448" s="49">
        <f t="shared" ca="1" si="156"/>
        <v>0</v>
      </c>
      <c r="BH448" s="49">
        <f t="shared" ca="1" si="156"/>
        <v>0</v>
      </c>
      <c r="BI448" s="49">
        <f t="shared" ca="1" si="156"/>
        <v>0</v>
      </c>
      <c r="BJ448" s="49">
        <f t="shared" ca="1" si="156"/>
        <v>0</v>
      </c>
      <c r="BK448" s="49">
        <f t="shared" ca="1" si="156"/>
        <v>0</v>
      </c>
      <c r="BL448" s="49">
        <f t="shared" ca="1" si="156"/>
        <v>0</v>
      </c>
      <c r="BM448" s="49">
        <f t="shared" ca="1" si="156"/>
        <v>0</v>
      </c>
      <c r="BN448" s="49">
        <f t="shared" ca="1" si="156"/>
        <v>0</v>
      </c>
      <c r="BO448" s="49">
        <f t="shared" ca="1" si="156"/>
        <v>0</v>
      </c>
      <c r="BP448" s="49">
        <f t="shared" ca="1" si="156"/>
        <v>0</v>
      </c>
      <c r="BQ448" s="49">
        <f t="shared" ca="1" si="156"/>
        <v>0</v>
      </c>
      <c r="BR448" s="49">
        <f t="shared" ca="1" si="156"/>
        <v>0</v>
      </c>
      <c r="BS448" s="49">
        <f t="shared" ca="1" si="156"/>
        <v>0</v>
      </c>
    </row>
    <row r="449" spans="3:71" outlineLevel="1" x14ac:dyDescent="0.2">
      <c r="J449" s="26"/>
      <c r="L449" s="55"/>
      <c r="M449" s="55"/>
      <c r="N449" s="55"/>
      <c r="O449" s="55"/>
      <c r="P449" s="55"/>
      <c r="Q449" s="55"/>
      <c r="R449" s="55"/>
      <c r="S449" s="55"/>
      <c r="T449" s="55"/>
      <c r="U449" s="55"/>
      <c r="V449" s="55"/>
      <c r="W449" s="55"/>
      <c r="X449" s="55"/>
      <c r="Y449" s="55"/>
      <c r="Z449" s="55"/>
      <c r="AA449" s="55"/>
      <c r="AB449" s="55"/>
      <c r="AC449" s="55"/>
      <c r="AD449" s="55"/>
      <c r="AE449" s="55"/>
      <c r="AF449" s="55"/>
      <c r="AG449" s="55"/>
      <c r="AH449" s="55"/>
      <c r="AI449" s="55"/>
      <c r="AJ449" s="55"/>
      <c r="AK449" s="55"/>
      <c r="AL449" s="55"/>
      <c r="AM449" s="55"/>
      <c r="AN449" s="55"/>
      <c r="AO449" s="55"/>
      <c r="AP449" s="55"/>
      <c r="AQ449" s="55"/>
      <c r="AR449" s="55"/>
      <c r="AS449" s="55"/>
      <c r="AT449" s="55"/>
      <c r="AU449" s="55"/>
      <c r="AV449" s="55"/>
      <c r="AW449" s="55"/>
      <c r="AX449" s="55"/>
      <c r="AY449" s="55"/>
      <c r="AZ449" s="55"/>
      <c r="BA449" s="55"/>
      <c r="BB449" s="55"/>
      <c r="BC449" s="55"/>
      <c r="BD449" s="55"/>
      <c r="BE449" s="55"/>
      <c r="BF449" s="55"/>
      <c r="BG449" s="55"/>
      <c r="BH449" s="55"/>
      <c r="BI449" s="55"/>
      <c r="BJ449" s="55"/>
      <c r="BK449" s="55"/>
      <c r="BL449" s="55"/>
      <c r="BM449" s="55"/>
      <c r="BN449" s="55"/>
      <c r="BO449" s="55"/>
      <c r="BP449" s="55"/>
      <c r="BQ449" s="55"/>
      <c r="BR449" s="55"/>
      <c r="BS449" s="55"/>
    </row>
    <row r="450" spans="3:71" outlineLevel="1" x14ac:dyDescent="0.2">
      <c r="C450" s="11" t="str">
        <f>HM_ZD_Moho!C472</f>
        <v>Impôt sur le revenu</v>
      </c>
      <c r="I450" s="30">
        <f t="shared" si="154"/>
        <v>0</v>
      </c>
      <c r="J450" s="26" t="s">
        <v>148</v>
      </c>
      <c r="L450" s="49">
        <v>0</v>
      </c>
      <c r="M450" s="49">
        <v>0</v>
      </c>
      <c r="N450" s="49">
        <v>0</v>
      </c>
      <c r="O450" s="49">
        <v>0</v>
      </c>
      <c r="P450" s="49">
        <v>0</v>
      </c>
      <c r="Q450" s="49">
        <v>0</v>
      </c>
      <c r="R450" s="49">
        <v>0</v>
      </c>
      <c r="S450" s="49">
        <v>0</v>
      </c>
      <c r="T450" s="49">
        <v>0</v>
      </c>
      <c r="U450" s="49">
        <v>0</v>
      </c>
      <c r="V450" s="49">
        <v>0</v>
      </c>
      <c r="W450" s="49">
        <v>0</v>
      </c>
      <c r="X450" s="49">
        <v>0</v>
      </c>
      <c r="Y450" s="49">
        <v>0</v>
      </c>
      <c r="Z450" s="49">
        <v>0</v>
      </c>
      <c r="AA450" s="49">
        <v>0</v>
      </c>
      <c r="AB450" s="49">
        <v>0</v>
      </c>
      <c r="AC450" s="49">
        <v>0</v>
      </c>
      <c r="AD450" s="49">
        <v>0</v>
      </c>
      <c r="AE450" s="49">
        <v>0</v>
      </c>
      <c r="AF450" s="49">
        <v>0</v>
      </c>
      <c r="AG450" s="49">
        <v>0</v>
      </c>
      <c r="AH450" s="49">
        <v>0</v>
      </c>
      <c r="AI450" s="49">
        <v>0</v>
      </c>
      <c r="AJ450" s="49">
        <v>0</v>
      </c>
      <c r="AK450" s="49">
        <v>0</v>
      </c>
      <c r="AL450" s="49">
        <v>0</v>
      </c>
      <c r="AM450" s="49">
        <v>0</v>
      </c>
      <c r="AN450" s="49">
        <v>0</v>
      </c>
      <c r="AO450" s="49">
        <v>0</v>
      </c>
      <c r="AP450" s="49">
        <v>0</v>
      </c>
      <c r="AQ450" s="49">
        <v>0</v>
      </c>
      <c r="AR450" s="49">
        <v>0</v>
      </c>
      <c r="AS450" s="49">
        <v>0</v>
      </c>
      <c r="AT450" s="49">
        <v>0</v>
      </c>
      <c r="AU450" s="49">
        <v>0</v>
      </c>
      <c r="AV450" s="49">
        <v>0</v>
      </c>
      <c r="AW450" s="49">
        <v>0</v>
      </c>
      <c r="AX450" s="49">
        <v>0</v>
      </c>
      <c r="AY450" s="49">
        <v>0</v>
      </c>
      <c r="AZ450" s="49">
        <v>0</v>
      </c>
      <c r="BA450" s="49">
        <v>0</v>
      </c>
      <c r="BB450" s="49">
        <v>0</v>
      </c>
      <c r="BC450" s="49">
        <v>0</v>
      </c>
      <c r="BD450" s="49">
        <v>0</v>
      </c>
      <c r="BE450" s="49">
        <v>0</v>
      </c>
      <c r="BF450" s="49">
        <v>0</v>
      </c>
      <c r="BG450" s="49">
        <v>0</v>
      </c>
      <c r="BH450" s="49">
        <v>0</v>
      </c>
      <c r="BI450" s="49">
        <v>0</v>
      </c>
      <c r="BJ450" s="49">
        <v>0</v>
      </c>
      <c r="BK450" s="49">
        <v>0</v>
      </c>
      <c r="BL450" s="49">
        <v>0</v>
      </c>
      <c r="BM450" s="49">
        <v>0</v>
      </c>
      <c r="BN450" s="49">
        <v>0</v>
      </c>
      <c r="BO450" s="49">
        <v>0</v>
      </c>
      <c r="BP450" s="49">
        <v>0</v>
      </c>
      <c r="BQ450" s="49">
        <v>0</v>
      </c>
      <c r="BR450" s="49">
        <v>0</v>
      </c>
      <c r="BS450" s="49">
        <v>0</v>
      </c>
    </row>
    <row r="451" spans="3:71" outlineLevel="1" x14ac:dyDescent="0.2">
      <c r="J451" s="26"/>
      <c r="L451" s="55"/>
      <c r="M451" s="55"/>
      <c r="N451" s="55"/>
      <c r="O451" s="55"/>
      <c r="P451" s="55"/>
      <c r="Q451" s="55"/>
      <c r="R451" s="55"/>
      <c r="S451" s="55"/>
      <c r="T451" s="55"/>
      <c r="U451" s="55"/>
      <c r="V451" s="55"/>
      <c r="W451" s="55"/>
      <c r="X451" s="55"/>
      <c r="Y451" s="55"/>
      <c r="Z451" s="55"/>
      <c r="AA451" s="55"/>
      <c r="AB451" s="55"/>
      <c r="AC451" s="55"/>
      <c r="AD451" s="55"/>
      <c r="AE451" s="55"/>
      <c r="AF451" s="55"/>
      <c r="AG451" s="55"/>
      <c r="AH451" s="55"/>
      <c r="AI451" s="55"/>
      <c r="AJ451" s="55"/>
      <c r="AK451" s="55"/>
      <c r="AL451" s="55"/>
      <c r="AM451" s="55"/>
      <c r="AN451" s="55"/>
      <c r="AO451" s="55"/>
      <c r="AP451" s="55"/>
      <c r="AQ451" s="55"/>
      <c r="AR451" s="55"/>
      <c r="AS451" s="55"/>
      <c r="AT451" s="55"/>
      <c r="AU451" s="55"/>
      <c r="AV451" s="55"/>
      <c r="AW451" s="55"/>
      <c r="AX451" s="55"/>
      <c r="AY451" s="55"/>
      <c r="AZ451" s="55"/>
      <c r="BA451" s="55"/>
      <c r="BB451" s="55"/>
      <c r="BC451" s="55"/>
      <c r="BD451" s="55"/>
      <c r="BE451" s="55"/>
      <c r="BF451" s="55"/>
      <c r="BG451" s="55"/>
      <c r="BH451" s="55"/>
      <c r="BI451" s="55"/>
      <c r="BJ451" s="55"/>
      <c r="BK451" s="55"/>
      <c r="BL451" s="55"/>
      <c r="BM451" s="55"/>
      <c r="BN451" s="55"/>
      <c r="BO451" s="55"/>
      <c r="BP451" s="55"/>
      <c r="BQ451" s="55"/>
      <c r="BR451" s="55"/>
      <c r="BS451" s="55"/>
    </row>
    <row r="452" spans="3:71" outlineLevel="1" x14ac:dyDescent="0.2">
      <c r="C452" s="11" t="str">
        <f>HM_ZD_Moho!C474</f>
        <v>Impôts supplémentaires</v>
      </c>
      <c r="I452" s="30">
        <f t="shared" si="154"/>
        <v>0</v>
      </c>
      <c r="J452" s="26" t="s">
        <v>148</v>
      </c>
      <c r="L452" s="49">
        <v>0</v>
      </c>
      <c r="M452" s="49">
        <v>0</v>
      </c>
      <c r="N452" s="49">
        <v>0</v>
      </c>
      <c r="O452" s="49">
        <v>0</v>
      </c>
      <c r="P452" s="49">
        <v>0</v>
      </c>
      <c r="Q452" s="49">
        <v>0</v>
      </c>
      <c r="R452" s="49">
        <v>0</v>
      </c>
      <c r="S452" s="49">
        <v>0</v>
      </c>
      <c r="T452" s="49">
        <v>0</v>
      </c>
      <c r="U452" s="49">
        <v>0</v>
      </c>
      <c r="V452" s="49">
        <v>0</v>
      </c>
      <c r="W452" s="49">
        <v>0</v>
      </c>
      <c r="X452" s="49">
        <v>0</v>
      </c>
      <c r="Y452" s="49">
        <v>0</v>
      </c>
      <c r="Z452" s="49">
        <v>0</v>
      </c>
      <c r="AA452" s="49">
        <v>0</v>
      </c>
      <c r="AB452" s="49">
        <v>0</v>
      </c>
      <c r="AC452" s="49">
        <v>0</v>
      </c>
      <c r="AD452" s="49">
        <v>0</v>
      </c>
      <c r="AE452" s="49">
        <v>0</v>
      </c>
      <c r="AF452" s="49">
        <v>0</v>
      </c>
      <c r="AG452" s="49">
        <v>0</v>
      </c>
      <c r="AH452" s="49">
        <v>0</v>
      </c>
      <c r="AI452" s="49">
        <v>0</v>
      </c>
      <c r="AJ452" s="49">
        <v>0</v>
      </c>
      <c r="AK452" s="49">
        <v>0</v>
      </c>
      <c r="AL452" s="49">
        <v>0</v>
      </c>
      <c r="AM452" s="49">
        <v>0</v>
      </c>
      <c r="AN452" s="49">
        <v>0</v>
      </c>
      <c r="AO452" s="49">
        <v>0</v>
      </c>
      <c r="AP452" s="49">
        <v>0</v>
      </c>
      <c r="AQ452" s="49">
        <v>0</v>
      </c>
      <c r="AR452" s="49">
        <v>0</v>
      </c>
      <c r="AS452" s="49">
        <v>0</v>
      </c>
      <c r="AT452" s="49">
        <v>0</v>
      </c>
      <c r="AU452" s="49">
        <v>0</v>
      </c>
      <c r="AV452" s="49">
        <v>0</v>
      </c>
      <c r="AW452" s="49">
        <v>0</v>
      </c>
      <c r="AX452" s="49">
        <v>0</v>
      </c>
      <c r="AY452" s="49">
        <v>0</v>
      </c>
      <c r="AZ452" s="49">
        <v>0</v>
      </c>
      <c r="BA452" s="49">
        <v>0</v>
      </c>
      <c r="BB452" s="49">
        <v>0</v>
      </c>
      <c r="BC452" s="49">
        <v>0</v>
      </c>
      <c r="BD452" s="49">
        <v>0</v>
      </c>
      <c r="BE452" s="49">
        <v>0</v>
      </c>
      <c r="BF452" s="49">
        <v>0</v>
      </c>
      <c r="BG452" s="49">
        <v>0</v>
      </c>
      <c r="BH452" s="49">
        <v>0</v>
      </c>
      <c r="BI452" s="49">
        <v>0</v>
      </c>
      <c r="BJ452" s="49">
        <v>0</v>
      </c>
      <c r="BK452" s="49">
        <v>0</v>
      </c>
      <c r="BL452" s="49">
        <v>0</v>
      </c>
      <c r="BM452" s="49">
        <v>0</v>
      </c>
      <c r="BN452" s="49">
        <v>0</v>
      </c>
      <c r="BO452" s="49">
        <v>0</v>
      </c>
      <c r="BP452" s="49">
        <v>0</v>
      </c>
      <c r="BQ452" s="49">
        <v>0</v>
      </c>
      <c r="BR452" s="49">
        <v>0</v>
      </c>
      <c r="BS452" s="49">
        <v>0</v>
      </c>
    </row>
    <row r="453" spans="3:71" outlineLevel="1" x14ac:dyDescent="0.2">
      <c r="J453" s="26"/>
      <c r="L453" s="55"/>
      <c r="M453" s="55"/>
      <c r="N453" s="55"/>
      <c r="O453" s="55"/>
      <c r="P453" s="55"/>
      <c r="Q453" s="55"/>
      <c r="R453" s="55"/>
      <c r="S453" s="55"/>
      <c r="T453" s="55"/>
      <c r="U453" s="55"/>
      <c r="V453" s="55"/>
      <c r="W453" s="55"/>
      <c r="X453" s="55"/>
      <c r="Y453" s="55"/>
      <c r="Z453" s="55"/>
      <c r="AA453" s="55"/>
      <c r="AB453" s="55"/>
      <c r="AC453" s="55"/>
      <c r="AD453" s="55"/>
      <c r="AE453" s="55"/>
      <c r="AF453" s="55"/>
      <c r="AG453" s="55"/>
      <c r="AH453" s="55"/>
      <c r="AI453" s="55"/>
      <c r="AJ453" s="55"/>
      <c r="AK453" s="55"/>
      <c r="AL453" s="55"/>
      <c r="AM453" s="55"/>
      <c r="AN453" s="55"/>
      <c r="AO453" s="55"/>
      <c r="AP453" s="55"/>
      <c r="AQ453" s="55"/>
      <c r="AR453" s="55"/>
      <c r="AS453" s="55"/>
      <c r="AT453" s="55"/>
      <c r="AU453" s="55"/>
      <c r="AV453" s="55"/>
      <c r="AW453" s="55"/>
      <c r="AX453" s="55"/>
      <c r="AY453" s="55"/>
      <c r="AZ453" s="55"/>
      <c r="BA453" s="55"/>
      <c r="BB453" s="55"/>
      <c r="BC453" s="55"/>
      <c r="BD453" s="55"/>
      <c r="BE453" s="55"/>
      <c r="BF453" s="55"/>
      <c r="BG453" s="55"/>
      <c r="BH453" s="55"/>
      <c r="BI453" s="55"/>
      <c r="BJ453" s="55"/>
      <c r="BK453" s="55"/>
      <c r="BL453" s="55"/>
      <c r="BM453" s="55"/>
      <c r="BN453" s="55"/>
      <c r="BO453" s="55"/>
      <c r="BP453" s="55"/>
      <c r="BQ453" s="55"/>
      <c r="BR453" s="55"/>
      <c r="BS453" s="55"/>
    </row>
    <row r="454" spans="3:71" outlineLevel="1" x14ac:dyDescent="0.2">
      <c r="C454" s="11" t="str">
        <f>HM_ZD_Moho!C476</f>
        <v>Flux de trésorerie après impôts</v>
      </c>
      <c r="I454" s="30">
        <f t="shared" ca="1" si="154"/>
        <v>-2473.0744636134059</v>
      </c>
      <c r="J454" s="26" t="s">
        <v>148</v>
      </c>
      <c r="K454" s="7" t="s">
        <v>431</v>
      </c>
      <c r="L454" s="49">
        <f ca="1">L438-L440-L442-L444-L446-L448-L450-L452</f>
        <v>-787.81071256477117</v>
      </c>
      <c r="M454" s="49">
        <f t="shared" ref="M454:BS454" ca="1" si="157">M438-M440-M442-M444-M446-M448-M450-M452</f>
        <v>-1685.263751048635</v>
      </c>
      <c r="N454" s="49">
        <f t="shared" ca="1" si="157"/>
        <v>0</v>
      </c>
      <c r="O454" s="49">
        <f t="shared" ca="1" si="157"/>
        <v>0</v>
      </c>
      <c r="P454" s="49">
        <f t="shared" ca="1" si="157"/>
        <v>0</v>
      </c>
      <c r="Q454" s="49">
        <f t="shared" ca="1" si="157"/>
        <v>0</v>
      </c>
      <c r="R454" s="49">
        <f t="shared" ca="1" si="157"/>
        <v>0</v>
      </c>
      <c r="S454" s="49">
        <f t="shared" ca="1" si="157"/>
        <v>0</v>
      </c>
      <c r="T454" s="49">
        <f t="shared" ca="1" si="157"/>
        <v>0</v>
      </c>
      <c r="U454" s="49">
        <f t="shared" ca="1" si="157"/>
        <v>0</v>
      </c>
      <c r="V454" s="49">
        <f t="shared" ca="1" si="157"/>
        <v>0</v>
      </c>
      <c r="W454" s="49">
        <f t="shared" ca="1" si="157"/>
        <v>0</v>
      </c>
      <c r="X454" s="49">
        <f t="shared" ca="1" si="157"/>
        <v>0</v>
      </c>
      <c r="Y454" s="49">
        <f t="shared" ca="1" si="157"/>
        <v>0</v>
      </c>
      <c r="Z454" s="49">
        <f t="shared" ca="1" si="157"/>
        <v>0</v>
      </c>
      <c r="AA454" s="49">
        <f t="shared" ca="1" si="157"/>
        <v>0</v>
      </c>
      <c r="AB454" s="49">
        <f t="shared" ca="1" si="157"/>
        <v>0</v>
      </c>
      <c r="AC454" s="49">
        <f t="shared" ca="1" si="157"/>
        <v>0</v>
      </c>
      <c r="AD454" s="49">
        <f t="shared" ca="1" si="157"/>
        <v>0</v>
      </c>
      <c r="AE454" s="49">
        <f t="shared" ca="1" si="157"/>
        <v>0</v>
      </c>
      <c r="AF454" s="49">
        <f t="shared" ca="1" si="157"/>
        <v>0</v>
      </c>
      <c r="AG454" s="49">
        <f t="shared" ca="1" si="157"/>
        <v>0</v>
      </c>
      <c r="AH454" s="49">
        <f t="shared" ca="1" si="157"/>
        <v>0</v>
      </c>
      <c r="AI454" s="49">
        <f t="shared" ca="1" si="157"/>
        <v>0</v>
      </c>
      <c r="AJ454" s="49">
        <f t="shared" ca="1" si="157"/>
        <v>0</v>
      </c>
      <c r="AK454" s="49">
        <f t="shared" ca="1" si="157"/>
        <v>0</v>
      </c>
      <c r="AL454" s="49">
        <f t="shared" ca="1" si="157"/>
        <v>0</v>
      </c>
      <c r="AM454" s="49">
        <f t="shared" ca="1" si="157"/>
        <v>0</v>
      </c>
      <c r="AN454" s="49">
        <f t="shared" ca="1" si="157"/>
        <v>0</v>
      </c>
      <c r="AO454" s="49">
        <f t="shared" ca="1" si="157"/>
        <v>0</v>
      </c>
      <c r="AP454" s="49">
        <f t="shared" ca="1" si="157"/>
        <v>0</v>
      </c>
      <c r="AQ454" s="49">
        <f t="shared" ca="1" si="157"/>
        <v>0</v>
      </c>
      <c r="AR454" s="49">
        <f t="shared" ca="1" si="157"/>
        <v>0</v>
      </c>
      <c r="AS454" s="49">
        <f t="shared" ca="1" si="157"/>
        <v>0</v>
      </c>
      <c r="AT454" s="49">
        <f t="shared" ca="1" si="157"/>
        <v>0</v>
      </c>
      <c r="AU454" s="49">
        <f t="shared" ca="1" si="157"/>
        <v>0</v>
      </c>
      <c r="AV454" s="49">
        <f t="shared" ca="1" si="157"/>
        <v>0</v>
      </c>
      <c r="AW454" s="49">
        <f t="shared" ca="1" si="157"/>
        <v>0</v>
      </c>
      <c r="AX454" s="49">
        <f t="shared" ca="1" si="157"/>
        <v>0</v>
      </c>
      <c r="AY454" s="49">
        <f t="shared" ca="1" si="157"/>
        <v>0</v>
      </c>
      <c r="AZ454" s="49">
        <f t="shared" ca="1" si="157"/>
        <v>0</v>
      </c>
      <c r="BA454" s="49">
        <f t="shared" ca="1" si="157"/>
        <v>0</v>
      </c>
      <c r="BB454" s="49">
        <f t="shared" ca="1" si="157"/>
        <v>0</v>
      </c>
      <c r="BC454" s="49">
        <f t="shared" ca="1" si="157"/>
        <v>0</v>
      </c>
      <c r="BD454" s="49">
        <f t="shared" ca="1" si="157"/>
        <v>0</v>
      </c>
      <c r="BE454" s="49">
        <f t="shared" ca="1" si="157"/>
        <v>0</v>
      </c>
      <c r="BF454" s="49">
        <f t="shared" ca="1" si="157"/>
        <v>0</v>
      </c>
      <c r="BG454" s="49">
        <f t="shared" ca="1" si="157"/>
        <v>0</v>
      </c>
      <c r="BH454" s="49">
        <f t="shared" ca="1" si="157"/>
        <v>0</v>
      </c>
      <c r="BI454" s="49">
        <f t="shared" ca="1" si="157"/>
        <v>0</v>
      </c>
      <c r="BJ454" s="49">
        <f t="shared" ca="1" si="157"/>
        <v>0</v>
      </c>
      <c r="BK454" s="49">
        <f t="shared" ca="1" si="157"/>
        <v>0</v>
      </c>
      <c r="BL454" s="49">
        <f t="shared" ca="1" si="157"/>
        <v>0</v>
      </c>
      <c r="BM454" s="49">
        <f t="shared" ca="1" si="157"/>
        <v>0</v>
      </c>
      <c r="BN454" s="49">
        <f t="shared" ca="1" si="157"/>
        <v>0</v>
      </c>
      <c r="BO454" s="49">
        <f t="shared" ca="1" si="157"/>
        <v>0</v>
      </c>
      <c r="BP454" s="49">
        <f t="shared" ca="1" si="157"/>
        <v>0</v>
      </c>
      <c r="BQ454" s="49">
        <f t="shared" ca="1" si="157"/>
        <v>0</v>
      </c>
      <c r="BR454" s="49">
        <f t="shared" ca="1" si="157"/>
        <v>0</v>
      </c>
      <c r="BS454" s="49">
        <f t="shared" ca="1" si="157"/>
        <v>0</v>
      </c>
    </row>
    <row r="455" spans="3:71" outlineLevel="1" x14ac:dyDescent="0.2">
      <c r="J455" s="26"/>
      <c r="L455" s="55"/>
      <c r="M455" s="55"/>
      <c r="N455" s="55"/>
      <c r="O455" s="55"/>
      <c r="P455" s="55"/>
      <c r="Q455" s="55"/>
      <c r="R455" s="55"/>
      <c r="S455" s="55"/>
      <c r="T455" s="55"/>
      <c r="U455" s="55"/>
      <c r="V455" s="55"/>
      <c r="W455" s="55"/>
      <c r="X455" s="55"/>
      <c r="Y455" s="55"/>
      <c r="Z455" s="55"/>
      <c r="AA455" s="55"/>
      <c r="AB455" s="55"/>
      <c r="AC455" s="55"/>
      <c r="AD455" s="55"/>
      <c r="AE455" s="55"/>
      <c r="AF455" s="55"/>
      <c r="AG455" s="55"/>
      <c r="AH455" s="55"/>
      <c r="AI455" s="55"/>
      <c r="AJ455" s="55"/>
      <c r="AK455" s="55"/>
      <c r="AL455" s="55"/>
      <c r="AM455" s="55"/>
      <c r="AN455" s="55"/>
      <c r="AO455" s="55"/>
      <c r="AP455" s="55"/>
      <c r="AQ455" s="55"/>
      <c r="AR455" s="55"/>
      <c r="AS455" s="55"/>
      <c r="AT455" s="55"/>
      <c r="AU455" s="55"/>
      <c r="AV455" s="55"/>
      <c r="AW455" s="55"/>
      <c r="AX455" s="55"/>
      <c r="AY455" s="55"/>
      <c r="AZ455" s="55"/>
      <c r="BA455" s="55"/>
      <c r="BB455" s="55"/>
      <c r="BC455" s="55"/>
      <c r="BD455" s="55"/>
      <c r="BE455" s="55"/>
      <c r="BF455" s="55"/>
      <c r="BG455" s="55"/>
      <c r="BH455" s="55"/>
      <c r="BI455" s="55"/>
      <c r="BJ455" s="55"/>
      <c r="BK455" s="55"/>
      <c r="BL455" s="55"/>
      <c r="BM455" s="55"/>
      <c r="BN455" s="55"/>
      <c r="BO455" s="55"/>
      <c r="BP455" s="55"/>
      <c r="BQ455" s="55"/>
      <c r="BR455" s="55"/>
      <c r="BS455" s="55"/>
    </row>
    <row r="456" spans="3:71" outlineLevel="1" x14ac:dyDescent="0.2">
      <c r="C456" s="11" t="str">
        <f>HM_ZD_Moho!C478</f>
        <v>Flux de trésorerie après impôts cumulé</v>
      </c>
      <c r="J456" s="26"/>
      <c r="L456" s="66">
        <f ca="1">(K456+L454)*HM_ZD_AM3_2005!CA_op_trig</f>
        <v>-787.81071256477117</v>
      </c>
      <c r="M456" s="66">
        <f ca="1">(L456+M454)*HM_ZD_AM3_2005!CA_op_trig</f>
        <v>-2473.0744636134059</v>
      </c>
      <c r="N456" s="66">
        <f ca="1">(M456+N454)*HM_ZD_AM3_2005!CA_op_trig</f>
        <v>0</v>
      </c>
      <c r="O456" s="66">
        <f ca="1">(N456+O454)*HM_ZD_AM3_2005!CA_op_trig</f>
        <v>0</v>
      </c>
      <c r="P456" s="66">
        <f ca="1">(O456+P454)*HM_ZD_AM3_2005!CA_op_trig</f>
        <v>0</v>
      </c>
      <c r="Q456" s="66">
        <f ca="1">(P456+Q454)*HM_ZD_AM3_2005!CA_op_trig</f>
        <v>0</v>
      </c>
      <c r="R456" s="66">
        <f ca="1">(Q456+R454)*HM_ZD_AM3_2005!CA_op_trig</f>
        <v>0</v>
      </c>
      <c r="S456" s="66">
        <f ca="1">(R456+S454)*HM_ZD_AM3_2005!CA_op_trig</f>
        <v>0</v>
      </c>
      <c r="T456" s="66">
        <f ca="1">(S456+T454)*HM_ZD_AM3_2005!CA_op_trig</f>
        <v>0</v>
      </c>
      <c r="U456" s="66">
        <f ca="1">(T456+U454)*HM_ZD_AM3_2005!CA_op_trig</f>
        <v>0</v>
      </c>
      <c r="V456" s="66">
        <f ca="1">(U456+V454)*HM_ZD_AM3_2005!CA_op_trig</f>
        <v>0</v>
      </c>
      <c r="W456" s="66">
        <f ca="1">(V456+W454)*HM_ZD_AM3_2005!CA_op_trig</f>
        <v>0</v>
      </c>
      <c r="X456" s="66">
        <f ca="1">(W456+X454)*HM_ZD_AM3_2005!CA_op_trig</f>
        <v>0</v>
      </c>
      <c r="Y456" s="66">
        <f ca="1">(X456+Y454)*HM_ZD_AM3_2005!CA_op_trig</f>
        <v>0</v>
      </c>
      <c r="Z456" s="66">
        <f ca="1">(Y456+Z454)*HM_ZD_AM3_2005!CA_op_trig</f>
        <v>0</v>
      </c>
      <c r="AA456" s="66">
        <f ca="1">(Z456+AA454)*HM_ZD_AM3_2005!CA_op_trig</f>
        <v>0</v>
      </c>
      <c r="AB456" s="66">
        <f ca="1">(AA456+AB454)*HM_ZD_AM3_2005!CA_op_trig</f>
        <v>0</v>
      </c>
      <c r="AC456" s="66">
        <f ca="1">(AB456+AC454)*HM_ZD_AM3_2005!CA_op_trig</f>
        <v>0</v>
      </c>
      <c r="AD456" s="66">
        <f ca="1">(AC456+AD454)*HM_ZD_AM3_2005!CA_op_trig</f>
        <v>0</v>
      </c>
      <c r="AE456" s="66">
        <f ca="1">(AD456+AE454)*HM_ZD_AM3_2005!CA_op_trig</f>
        <v>0</v>
      </c>
      <c r="AF456" s="66">
        <f ca="1">(AE456+AF454)*HM_ZD_AM3_2005!CA_op_trig</f>
        <v>0</v>
      </c>
      <c r="AG456" s="66">
        <f ca="1">(AF456+AG454)*HM_ZD_AM3_2005!CA_op_trig</f>
        <v>0</v>
      </c>
      <c r="AH456" s="66">
        <f ca="1">(AG456+AH454)*HM_ZD_AM3_2005!CA_op_trig</f>
        <v>0</v>
      </c>
      <c r="AI456" s="66">
        <f ca="1">(AH456+AI454)*HM_ZD_AM3_2005!CA_op_trig</f>
        <v>0</v>
      </c>
      <c r="AJ456" s="66">
        <f ca="1">(AI456+AJ454)*HM_ZD_AM3_2005!CA_op_trig</f>
        <v>0</v>
      </c>
      <c r="AK456" s="66">
        <f ca="1">(AJ456+AK454)*HM_ZD_AM3_2005!CA_op_trig</f>
        <v>0</v>
      </c>
      <c r="AL456" s="66">
        <f ca="1">(AK456+AL454)*HM_ZD_AM3_2005!CA_op_trig</f>
        <v>0</v>
      </c>
      <c r="AM456" s="66">
        <f ca="1">(AL456+AM454)*HM_ZD_AM3_2005!CA_op_trig</f>
        <v>0</v>
      </c>
      <c r="AN456" s="66">
        <f ca="1">(AM456+AN454)*HM_ZD_AM3_2005!CA_op_trig</f>
        <v>0</v>
      </c>
      <c r="AO456" s="66">
        <f ca="1">(AN456+AO454)*HM_ZD_AM3_2005!CA_op_trig</f>
        <v>0</v>
      </c>
      <c r="AP456" s="66">
        <f ca="1">(AO456+AP454)*HM_ZD_AM3_2005!CA_op_trig</f>
        <v>0</v>
      </c>
      <c r="AQ456" s="66">
        <f ca="1">(AP456+AQ454)*HM_ZD_AM3_2005!CA_op_trig</f>
        <v>0</v>
      </c>
      <c r="AR456" s="66">
        <f ca="1">(AQ456+AR454)*HM_ZD_AM3_2005!CA_op_trig</f>
        <v>0</v>
      </c>
      <c r="AS456" s="66">
        <f ca="1">(AR456+AS454)*HM_ZD_AM3_2005!CA_op_trig</f>
        <v>0</v>
      </c>
      <c r="AT456" s="66">
        <f ca="1">(AS456+AT454)*HM_ZD_AM3_2005!CA_op_trig</f>
        <v>0</v>
      </c>
      <c r="AU456" s="66">
        <f ca="1">(AT456+AU454)*HM_ZD_AM3_2005!CA_op_trig</f>
        <v>0</v>
      </c>
      <c r="AV456" s="66">
        <f ca="1">(AU456+AV454)*HM_ZD_AM3_2005!CA_op_trig</f>
        <v>0</v>
      </c>
      <c r="AW456" s="66">
        <f ca="1">(AV456+AW454)*HM_ZD_AM3_2005!CA_op_trig</f>
        <v>0</v>
      </c>
      <c r="AX456" s="66">
        <f ca="1">(AW456+AX454)*HM_ZD_AM3_2005!CA_op_trig</f>
        <v>0</v>
      </c>
      <c r="AY456" s="66">
        <f ca="1">(AX456+AY454)*HM_ZD_AM3_2005!CA_op_trig</f>
        <v>0</v>
      </c>
      <c r="AZ456" s="66">
        <f ca="1">(AY456+AZ454)*HM_ZD_AM3_2005!CA_op_trig</f>
        <v>0</v>
      </c>
      <c r="BA456" s="66">
        <f ca="1">(AZ456+BA454)*HM_ZD_AM3_2005!CA_op_trig</f>
        <v>0</v>
      </c>
      <c r="BB456" s="66">
        <f ca="1">(BA456+BB454)*HM_ZD_AM3_2005!CA_op_trig</f>
        <v>0</v>
      </c>
      <c r="BC456" s="66">
        <f ca="1">(BB456+BC454)*HM_ZD_AM3_2005!CA_op_trig</f>
        <v>0</v>
      </c>
      <c r="BD456" s="66">
        <f ca="1">(BC456+BD454)*HM_ZD_AM3_2005!CA_op_trig</f>
        <v>0</v>
      </c>
      <c r="BE456" s="66">
        <f ca="1">(BD456+BE454)*HM_ZD_AM3_2005!CA_op_trig</f>
        <v>0</v>
      </c>
      <c r="BF456" s="66">
        <f ca="1">(BE456+BF454)*HM_ZD_AM3_2005!CA_op_trig</f>
        <v>0</v>
      </c>
      <c r="BG456" s="66">
        <f ca="1">(BF456+BG454)*HM_ZD_AM3_2005!CA_op_trig</f>
        <v>0</v>
      </c>
      <c r="BH456" s="66">
        <f ca="1">(BG456+BH454)*HM_ZD_AM3_2005!CA_op_trig</f>
        <v>0</v>
      </c>
      <c r="BI456" s="66">
        <f ca="1">(BH456+BI454)*HM_ZD_AM3_2005!CA_op_trig</f>
        <v>0</v>
      </c>
      <c r="BJ456" s="66">
        <f ca="1">(BI456+BJ454)*HM_ZD_AM3_2005!CA_op_trig</f>
        <v>0</v>
      </c>
      <c r="BK456" s="66">
        <f ca="1">(BJ456+BK454)*HM_ZD_AM3_2005!CA_op_trig</f>
        <v>0</v>
      </c>
      <c r="BL456" s="66">
        <f ca="1">(BK456+BL454)*HM_ZD_AM3_2005!CA_op_trig</f>
        <v>0</v>
      </c>
      <c r="BM456" s="66">
        <f ca="1">(BL456+BM454)*HM_ZD_AM3_2005!CA_op_trig</f>
        <v>0</v>
      </c>
      <c r="BN456" s="66">
        <f ca="1">(BM456+BN454)*HM_ZD_AM3_2005!CA_op_trig</f>
        <v>0</v>
      </c>
      <c r="BO456" s="66">
        <f ca="1">(BN456+BO454)*HM_ZD_AM3_2005!CA_op_trig</f>
        <v>0</v>
      </c>
      <c r="BP456" s="66">
        <f ca="1">(BO456+BP454)*HM_ZD_AM3_2005!CA_op_trig</f>
        <v>0</v>
      </c>
      <c r="BQ456" s="66">
        <f ca="1">(BP456+BQ454)*HM_ZD_AM3_2005!CA_op_trig</f>
        <v>0</v>
      </c>
      <c r="BR456" s="66">
        <f ca="1">(BQ456+BR454)*HM_ZD_AM3_2005!CA_op_trig</f>
        <v>0</v>
      </c>
      <c r="BS456" s="66">
        <f ca="1">(BR456+BS454)*HM_ZD_AM3_2005!CA_op_trig</f>
        <v>0</v>
      </c>
    </row>
    <row r="457" spans="3:71" outlineLevel="1" x14ac:dyDescent="0.2">
      <c r="J457" s="26"/>
      <c r="L457" s="55"/>
      <c r="M457" s="55"/>
      <c r="N457" s="55"/>
      <c r="O457" s="55"/>
      <c r="P457" s="55"/>
      <c r="Q457" s="55"/>
      <c r="R457" s="55"/>
      <c r="S457" s="55"/>
      <c r="T457" s="55"/>
      <c r="U457" s="55"/>
      <c r="V457" s="55"/>
      <c r="W457" s="55"/>
      <c r="X457" s="55"/>
      <c r="Y457" s="55"/>
      <c r="Z457" s="55"/>
      <c r="AA457" s="55"/>
      <c r="AB457" s="55"/>
      <c r="AC457" s="55"/>
      <c r="AD457" s="55"/>
      <c r="AE457" s="55"/>
      <c r="AF457" s="55"/>
      <c r="AG457" s="55"/>
      <c r="AH457" s="55"/>
      <c r="AI457" s="55"/>
      <c r="AJ457" s="55"/>
      <c r="AK457" s="55"/>
      <c r="AL457" s="55"/>
      <c r="AM457" s="55"/>
      <c r="AN457" s="55"/>
      <c r="AO457" s="55"/>
      <c r="AP457" s="55"/>
      <c r="AQ457" s="55"/>
      <c r="AR457" s="55"/>
      <c r="AS457" s="55"/>
      <c r="AT457" s="55"/>
      <c r="AU457" s="55"/>
      <c r="AV457" s="55"/>
      <c r="AW457" s="55"/>
      <c r="AX457" s="55"/>
      <c r="AY457" s="55"/>
      <c r="AZ457" s="55"/>
      <c r="BA457" s="55"/>
      <c r="BB457" s="55"/>
      <c r="BC457" s="55"/>
      <c r="BD457" s="55"/>
      <c r="BE457" s="55"/>
      <c r="BF457" s="55"/>
      <c r="BG457" s="55"/>
      <c r="BH457" s="55"/>
      <c r="BI457" s="55"/>
      <c r="BJ457" s="55"/>
      <c r="BK457" s="55"/>
      <c r="BL457" s="55"/>
      <c r="BM457" s="55"/>
      <c r="BN457" s="55"/>
      <c r="BO457" s="55"/>
      <c r="BP457" s="55"/>
      <c r="BQ457" s="55"/>
      <c r="BR457" s="55"/>
      <c r="BS457" s="55"/>
    </row>
    <row r="458" spans="3:71" outlineLevel="1" x14ac:dyDescent="0.2">
      <c r="C458" s="11" t="str">
        <f>HM_ZD_Moho!C480</f>
        <v>VAN cycle complet</v>
      </c>
      <c r="G458" s="60"/>
      <c r="I458" s="63">
        <f ca="1">SUMPRODUCT(OA_cont_ATCF_AM_2005,HM_ZD_AM3_2005!CA_disc_factor_fc)</f>
        <v>-1031.8714002624297</v>
      </c>
      <c r="J458" s="26" t="s">
        <v>148</v>
      </c>
      <c r="L458" s="55"/>
      <c r="M458" s="55"/>
      <c r="N458" s="55"/>
      <c r="O458" s="55"/>
      <c r="P458" s="55"/>
      <c r="Q458" s="55"/>
      <c r="R458" s="55"/>
      <c r="S458" s="55"/>
      <c r="T458" s="55"/>
      <c r="U458" s="55"/>
      <c r="V458" s="55"/>
      <c r="W458" s="55"/>
      <c r="X458" s="55"/>
      <c r="Y458" s="55"/>
      <c r="Z458" s="55"/>
      <c r="AA458" s="55"/>
      <c r="AB458" s="55"/>
      <c r="AC458" s="55"/>
      <c r="AD458" s="55"/>
      <c r="AE458" s="55"/>
      <c r="AF458" s="55"/>
      <c r="AG458" s="55"/>
      <c r="AH458" s="55"/>
      <c r="AI458" s="55"/>
      <c r="AJ458" s="55"/>
      <c r="AK458" s="55"/>
      <c r="AL458" s="55"/>
      <c r="AM458" s="55"/>
      <c r="AN458" s="55"/>
      <c r="AO458" s="55"/>
      <c r="AP458" s="55"/>
      <c r="AQ458" s="55"/>
      <c r="AR458" s="55"/>
      <c r="AS458" s="55"/>
      <c r="AT458" s="55"/>
      <c r="AU458" s="55"/>
      <c r="AV458" s="55"/>
      <c r="AW458" s="55"/>
      <c r="AX458" s="55"/>
      <c r="AY458" s="55"/>
      <c r="AZ458" s="55"/>
      <c r="BA458" s="55"/>
      <c r="BB458" s="55"/>
      <c r="BC458" s="55"/>
      <c r="BD458" s="55"/>
      <c r="BE458" s="55"/>
      <c r="BF458" s="55"/>
      <c r="BG458" s="55"/>
      <c r="BH458" s="55"/>
      <c r="BI458" s="55"/>
      <c r="BJ458" s="55"/>
      <c r="BK458" s="55"/>
      <c r="BL458" s="55"/>
      <c r="BM458" s="55"/>
      <c r="BN458" s="55"/>
      <c r="BO458" s="55"/>
      <c r="BP458" s="55"/>
      <c r="BQ458" s="55"/>
      <c r="BR458" s="55"/>
      <c r="BS458" s="55"/>
    </row>
    <row r="459" spans="3:71" outlineLevel="1" x14ac:dyDescent="0.2">
      <c r="C459" s="11" t="str">
        <f>HM_ZD_Moho!C481</f>
        <v>VAN à terme</v>
      </c>
      <c r="I459" s="63">
        <f ca="1">SUMPRODUCT(OA_cont_ATCF_AM_2005,HM_ZD_AM3_2005!CA_disc_factor_pf)</f>
        <v>0</v>
      </c>
      <c r="J459" s="26" t="s">
        <v>148</v>
      </c>
      <c r="L459" s="55"/>
      <c r="M459" s="55"/>
      <c r="N459" s="55"/>
      <c r="O459" s="55"/>
      <c r="P459" s="55"/>
      <c r="Q459" s="55"/>
      <c r="R459" s="55"/>
      <c r="S459" s="55"/>
      <c r="T459" s="55"/>
      <c r="U459" s="55"/>
      <c r="V459" s="55"/>
      <c r="W459" s="55"/>
      <c r="X459" s="55"/>
      <c r="Y459" s="55"/>
      <c r="Z459" s="55"/>
      <c r="AA459" s="55"/>
      <c r="AB459" s="55"/>
      <c r="AC459" s="55"/>
      <c r="AD459" s="55"/>
      <c r="AE459" s="55"/>
      <c r="AF459" s="55"/>
      <c r="AG459" s="55"/>
      <c r="AH459" s="55"/>
      <c r="AI459" s="55"/>
      <c r="AJ459" s="55"/>
      <c r="AK459" s="55"/>
      <c r="AL459" s="55"/>
      <c r="AM459" s="55"/>
      <c r="AN459" s="55"/>
      <c r="AO459" s="55"/>
      <c r="AP459" s="55"/>
      <c r="AQ459" s="55"/>
      <c r="AR459" s="55"/>
      <c r="AS459" s="55"/>
      <c r="AT459" s="55"/>
      <c r="AU459" s="55"/>
      <c r="AV459" s="55"/>
      <c r="AW459" s="55"/>
      <c r="AX459" s="55"/>
      <c r="AY459" s="55"/>
      <c r="AZ459" s="55"/>
      <c r="BA459" s="55"/>
      <c r="BB459" s="55"/>
      <c r="BC459" s="55"/>
      <c r="BD459" s="55"/>
      <c r="BE459" s="55"/>
      <c r="BF459" s="55"/>
      <c r="BG459" s="55"/>
      <c r="BH459" s="55"/>
      <c r="BI459" s="55"/>
      <c r="BJ459" s="55"/>
      <c r="BK459" s="55"/>
      <c r="BL459" s="55"/>
      <c r="BM459" s="55"/>
      <c r="BN459" s="55"/>
      <c r="BO459" s="55"/>
      <c r="BP459" s="55"/>
      <c r="BQ459" s="55"/>
      <c r="BR459" s="55"/>
      <c r="BS459" s="55"/>
    </row>
    <row r="460" spans="3:71" outlineLevel="1" x14ac:dyDescent="0.2">
      <c r="I460" s="61"/>
      <c r="J460" s="26"/>
      <c r="L460" s="55"/>
      <c r="M460" s="55"/>
      <c r="N460" s="55"/>
      <c r="O460" s="55"/>
      <c r="P460" s="55"/>
      <c r="Q460" s="55"/>
      <c r="R460" s="55"/>
      <c r="S460" s="55"/>
      <c r="T460" s="55"/>
      <c r="U460" s="55"/>
      <c r="V460" s="55"/>
      <c r="W460" s="55"/>
      <c r="X460" s="55"/>
      <c r="Y460" s="55"/>
      <c r="Z460" s="55"/>
      <c r="AA460" s="55"/>
      <c r="AB460" s="55"/>
      <c r="AC460" s="55"/>
      <c r="AD460" s="55"/>
      <c r="AE460" s="55"/>
      <c r="AF460" s="55"/>
      <c r="AG460" s="55"/>
      <c r="AH460" s="55"/>
      <c r="AI460" s="55"/>
      <c r="AJ460" s="55"/>
      <c r="AK460" s="55"/>
      <c r="AL460" s="55"/>
      <c r="AM460" s="55"/>
      <c r="AN460" s="55"/>
      <c r="AO460" s="55"/>
      <c r="AP460" s="55"/>
      <c r="AQ460" s="55"/>
      <c r="AR460" s="55"/>
      <c r="AS460" s="55"/>
      <c r="AT460" s="55"/>
      <c r="AU460" s="55"/>
      <c r="AV460" s="55"/>
      <c r="AW460" s="55"/>
      <c r="AX460" s="55"/>
      <c r="AY460" s="55"/>
      <c r="AZ460" s="55"/>
      <c r="BA460" s="55"/>
      <c r="BB460" s="55"/>
      <c r="BC460" s="55"/>
      <c r="BD460" s="55"/>
      <c r="BE460" s="55"/>
      <c r="BF460" s="55"/>
      <c r="BG460" s="55"/>
      <c r="BH460" s="55"/>
      <c r="BI460" s="55"/>
      <c r="BJ460" s="55"/>
      <c r="BK460" s="55"/>
      <c r="BL460" s="55"/>
      <c r="BM460" s="55"/>
      <c r="BN460" s="55"/>
      <c r="BO460" s="55"/>
      <c r="BP460" s="55"/>
      <c r="BQ460" s="55"/>
      <c r="BR460" s="55"/>
      <c r="BS460" s="55"/>
    </row>
    <row r="461" spans="3:71" outlineLevel="1" x14ac:dyDescent="0.2">
      <c r="C461" s="11" t="str">
        <f>HM_ZD_Moho!C483</f>
        <v>TRI cycle complet</v>
      </c>
      <c r="I461" s="62" t="str">
        <f ca="1">IFERROR(IRR(INDEX(OA_cont_ATCF_AM_2005,1,MAX(1,$G$403-L4+1)):INDEX(OA_cont_ATCF_AM_2005,1,last_model_year)),"na")</f>
        <v>na</v>
      </c>
      <c r="J461" s="26" t="s">
        <v>90</v>
      </c>
      <c r="L461" s="55"/>
      <c r="M461" s="55"/>
      <c r="N461" s="55"/>
      <c r="O461" s="55"/>
      <c r="P461" s="55"/>
      <c r="Q461" s="55"/>
      <c r="R461" s="55"/>
      <c r="S461" s="55"/>
      <c r="T461" s="55"/>
      <c r="U461" s="55"/>
      <c r="V461" s="55"/>
      <c r="W461" s="55"/>
      <c r="X461" s="55"/>
      <c r="Y461" s="55"/>
      <c r="Z461" s="55"/>
      <c r="AA461" s="55"/>
      <c r="AB461" s="55"/>
      <c r="AC461" s="55"/>
      <c r="AD461" s="55"/>
      <c r="AE461" s="55"/>
      <c r="AF461" s="55"/>
      <c r="AG461" s="55"/>
      <c r="AH461" s="55"/>
      <c r="AI461" s="55"/>
      <c r="AJ461" s="55"/>
      <c r="AK461" s="55"/>
      <c r="AL461" s="55"/>
      <c r="AM461" s="55"/>
      <c r="AN461" s="55"/>
      <c r="AO461" s="55"/>
      <c r="AP461" s="55"/>
      <c r="AQ461" s="55"/>
      <c r="AR461" s="55"/>
      <c r="AS461" s="55"/>
      <c r="AT461" s="55"/>
      <c r="AU461" s="55"/>
      <c r="AV461" s="55"/>
      <c r="AW461" s="55"/>
      <c r="AX461" s="55"/>
      <c r="AY461" s="55"/>
      <c r="AZ461" s="55"/>
      <c r="BA461" s="55"/>
      <c r="BB461" s="55"/>
      <c r="BC461" s="55"/>
      <c r="BD461" s="55"/>
      <c r="BE461" s="55"/>
      <c r="BF461" s="55"/>
      <c r="BG461" s="55"/>
      <c r="BH461" s="55"/>
      <c r="BI461" s="55"/>
      <c r="BJ461" s="55"/>
      <c r="BK461" s="55"/>
      <c r="BL461" s="55"/>
      <c r="BM461" s="55"/>
      <c r="BN461" s="55"/>
      <c r="BO461" s="55"/>
      <c r="BP461" s="55"/>
      <c r="BQ461" s="55"/>
      <c r="BR461" s="55"/>
      <c r="BS461" s="55"/>
    </row>
    <row r="462" spans="3:71" outlineLevel="1" x14ac:dyDescent="0.2">
      <c r="C462" s="11" t="str">
        <f>HM_ZD_Moho!C484</f>
        <v>TRI à terme</v>
      </c>
      <c r="I462" s="62" t="str">
        <f ca="1">IFERROR(IRR(INDEX(OA_cont_ATCF_AM_2005,1,MAX(1,$G$404-L4+1)):INDEX(OA_cont_ATCF_AM_2005,1,last_model_year)),"na")</f>
        <v>na</v>
      </c>
      <c r="J462" s="26" t="s">
        <v>90</v>
      </c>
      <c r="L462" s="55"/>
      <c r="M462" s="55"/>
      <c r="N462" s="55"/>
      <c r="O462" s="55"/>
      <c r="P462" s="55"/>
      <c r="Q462" s="55"/>
      <c r="R462" s="55"/>
      <c r="S462" s="55"/>
      <c r="T462" s="55"/>
      <c r="U462" s="55"/>
      <c r="V462" s="55"/>
      <c r="W462" s="55"/>
      <c r="X462" s="55"/>
      <c r="Y462" s="55"/>
      <c r="Z462" s="55"/>
      <c r="AA462" s="55"/>
      <c r="AB462" s="55"/>
      <c r="AC462" s="55"/>
      <c r="AD462" s="55"/>
      <c r="AE462" s="55"/>
      <c r="AF462" s="55"/>
      <c r="AG462" s="55"/>
      <c r="AH462" s="55"/>
      <c r="AI462" s="55"/>
      <c r="AJ462" s="55"/>
      <c r="AK462" s="55"/>
      <c r="AL462" s="55"/>
      <c r="AM462" s="55"/>
      <c r="AN462" s="55"/>
      <c r="AO462" s="55"/>
      <c r="AP462" s="55"/>
      <c r="AQ462" s="55"/>
      <c r="AR462" s="55"/>
      <c r="AS462" s="55"/>
      <c r="AT462" s="55"/>
      <c r="AU462" s="55"/>
      <c r="AV462" s="55"/>
      <c r="AW462" s="55"/>
      <c r="AX462" s="55"/>
      <c r="AY462" s="55"/>
      <c r="AZ462" s="55"/>
      <c r="BA462" s="55"/>
      <c r="BB462" s="55"/>
      <c r="BC462" s="55"/>
      <c r="BD462" s="55"/>
      <c r="BE462" s="55"/>
      <c r="BF462" s="55"/>
      <c r="BG462" s="55"/>
      <c r="BH462" s="55"/>
      <c r="BI462" s="55"/>
      <c r="BJ462" s="55"/>
      <c r="BK462" s="55"/>
      <c r="BL462" s="55"/>
      <c r="BM462" s="55"/>
      <c r="BN462" s="55"/>
      <c r="BO462" s="55"/>
      <c r="BP462" s="55"/>
      <c r="BQ462" s="55"/>
      <c r="BR462" s="55"/>
      <c r="BS462" s="55"/>
    </row>
    <row r="463" spans="3:71" outlineLevel="1" x14ac:dyDescent="0.2">
      <c r="J463" s="26"/>
      <c r="L463" s="55"/>
      <c r="M463" s="55"/>
      <c r="N463" s="55"/>
      <c r="O463" s="55"/>
      <c r="P463" s="55"/>
      <c r="Q463" s="55"/>
      <c r="R463" s="55"/>
      <c r="S463" s="55"/>
      <c r="T463" s="55"/>
      <c r="U463" s="55"/>
      <c r="V463" s="55"/>
      <c r="W463" s="55"/>
      <c r="X463" s="55"/>
      <c r="Y463" s="55"/>
      <c r="Z463" s="55"/>
      <c r="AA463" s="55"/>
      <c r="AB463" s="55"/>
      <c r="AC463" s="55"/>
      <c r="AD463" s="55"/>
      <c r="AE463" s="55"/>
      <c r="AF463" s="55"/>
      <c r="AG463" s="55"/>
      <c r="AH463" s="55"/>
      <c r="AI463" s="55"/>
      <c r="AJ463" s="55"/>
      <c r="AK463" s="55"/>
      <c r="AL463" s="55"/>
      <c r="AM463" s="55"/>
      <c r="AN463" s="55"/>
      <c r="AO463" s="55"/>
      <c r="AP463" s="55"/>
      <c r="AQ463" s="55"/>
      <c r="AR463" s="55"/>
      <c r="AS463" s="55"/>
      <c r="AT463" s="55"/>
      <c r="AU463" s="55"/>
      <c r="AV463" s="55"/>
      <c r="AW463" s="55"/>
      <c r="AX463" s="55"/>
      <c r="AY463" s="55"/>
      <c r="AZ463" s="55"/>
      <c r="BA463" s="55"/>
      <c r="BB463" s="55"/>
      <c r="BC463" s="55"/>
      <c r="BD463" s="55"/>
      <c r="BE463" s="55"/>
      <c r="BF463" s="55"/>
      <c r="BG463" s="55"/>
      <c r="BH463" s="55"/>
      <c r="BI463" s="55"/>
      <c r="BJ463" s="55"/>
      <c r="BK463" s="55"/>
      <c r="BL463" s="55"/>
      <c r="BM463" s="55"/>
      <c r="BN463" s="55"/>
      <c r="BO463" s="55"/>
      <c r="BP463" s="55"/>
      <c r="BQ463" s="55"/>
      <c r="BR463" s="55"/>
      <c r="BS463" s="55"/>
    </row>
    <row r="464" spans="3:71" outlineLevel="1" x14ac:dyDescent="0.2">
      <c r="C464" s="11" t="str">
        <f>HM_ZD_Moho!C486</f>
        <v>Période de remboursement</v>
      </c>
      <c r="I464" s="67">
        <f ca="1">COUNTIF(L456:BS456,"&lt;0")+1</f>
        <v>3</v>
      </c>
      <c r="J464" s="26"/>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c r="BF464" s="7"/>
      <c r="BG464" s="7"/>
      <c r="BH464" s="7"/>
      <c r="BI464" s="7"/>
      <c r="BJ464" s="7"/>
      <c r="BK464" s="7"/>
      <c r="BL464" s="7"/>
      <c r="BM464" s="7"/>
      <c r="BN464" s="7"/>
      <c r="BO464" s="7"/>
      <c r="BP464" s="7"/>
      <c r="BQ464" s="7"/>
      <c r="BR464" s="7"/>
      <c r="BS464" s="7"/>
    </row>
    <row r="465" spans="1:71" outlineLevel="1" x14ac:dyDescent="0.2">
      <c r="J465" s="26"/>
      <c r="L465" s="55"/>
      <c r="M465" s="55"/>
      <c r="N465" s="55"/>
      <c r="O465" s="55"/>
      <c r="P465" s="55"/>
      <c r="Q465" s="55"/>
      <c r="R465" s="55"/>
      <c r="S465" s="55"/>
      <c r="T465" s="55"/>
      <c r="U465" s="55"/>
      <c r="V465" s="55"/>
      <c r="W465" s="55"/>
      <c r="X465" s="55"/>
      <c r="Y465" s="55"/>
      <c r="Z465" s="55"/>
      <c r="AA465" s="55"/>
      <c r="AB465" s="55"/>
      <c r="AC465" s="55"/>
      <c r="AD465" s="55"/>
      <c r="AE465" s="55"/>
      <c r="AF465" s="55"/>
      <c r="AG465" s="55"/>
      <c r="AH465" s="55"/>
      <c r="AI465" s="55"/>
      <c r="AJ465" s="55"/>
      <c r="AK465" s="55"/>
      <c r="AL465" s="55"/>
      <c r="AM465" s="55"/>
      <c r="AN465" s="55"/>
      <c r="AO465" s="55"/>
      <c r="AP465" s="55"/>
      <c r="AQ465" s="55"/>
      <c r="AR465" s="55"/>
      <c r="AS465" s="55"/>
      <c r="AT465" s="55"/>
      <c r="AU465" s="55"/>
      <c r="AV465" s="55"/>
      <c r="AW465" s="55"/>
      <c r="AX465" s="55"/>
      <c r="AY465" s="55"/>
      <c r="AZ465" s="55"/>
      <c r="BA465" s="55"/>
      <c r="BB465" s="55"/>
      <c r="BC465" s="55"/>
      <c r="BD465" s="55"/>
      <c r="BE465" s="55"/>
      <c r="BF465" s="55"/>
      <c r="BG465" s="55"/>
      <c r="BH465" s="55"/>
      <c r="BI465" s="55"/>
      <c r="BJ465" s="55"/>
      <c r="BK465" s="55"/>
      <c r="BL465" s="55"/>
      <c r="BM465" s="55"/>
      <c r="BN465" s="55"/>
      <c r="BO465" s="55"/>
      <c r="BP465" s="55"/>
      <c r="BQ465" s="55"/>
      <c r="BR465" s="55"/>
      <c r="BS465" s="55"/>
    </row>
    <row r="466" spans="1:71" outlineLevel="1" x14ac:dyDescent="0.2">
      <c r="J466" s="26"/>
      <c r="L466" s="55"/>
      <c r="M466" s="55"/>
      <c r="N466" s="55"/>
      <c r="O466" s="55"/>
      <c r="P466" s="55"/>
      <c r="Q466" s="55"/>
      <c r="R466" s="55"/>
      <c r="S466" s="55"/>
      <c r="T466" s="55"/>
      <c r="U466" s="55"/>
      <c r="V466" s="55"/>
      <c r="W466" s="55"/>
      <c r="X466" s="55"/>
      <c r="Y466" s="55"/>
      <c r="Z466" s="55"/>
      <c r="AA466" s="55"/>
      <c r="AB466" s="55"/>
      <c r="AC466" s="55"/>
      <c r="AD466" s="55"/>
      <c r="AE466" s="55"/>
      <c r="AF466" s="55"/>
      <c r="AG466" s="55"/>
      <c r="AH466" s="55"/>
      <c r="AI466" s="55"/>
      <c r="AJ466" s="55"/>
      <c r="AK466" s="55"/>
      <c r="AL466" s="55"/>
      <c r="AM466" s="55"/>
      <c r="AN466" s="55"/>
      <c r="AO466" s="55"/>
      <c r="AP466" s="55"/>
      <c r="AQ466" s="55"/>
      <c r="AR466" s="55"/>
      <c r="AS466" s="55"/>
      <c r="AT466" s="55"/>
      <c r="AU466" s="55"/>
      <c r="AV466" s="55"/>
      <c r="AW466" s="55"/>
      <c r="AX466" s="55"/>
      <c r="AY466" s="55"/>
      <c r="AZ466" s="55"/>
      <c r="BA466" s="55"/>
      <c r="BB466" s="55"/>
      <c r="BC466" s="55"/>
      <c r="BD466" s="55"/>
      <c r="BE466" s="55"/>
      <c r="BF466" s="55"/>
      <c r="BG466" s="55"/>
      <c r="BH466" s="55"/>
      <c r="BI466" s="55"/>
      <c r="BJ466" s="55"/>
      <c r="BK466" s="55"/>
      <c r="BL466" s="55"/>
      <c r="BM466" s="55"/>
      <c r="BN466" s="55"/>
      <c r="BO466" s="55"/>
      <c r="BP466" s="55"/>
      <c r="BQ466" s="55"/>
      <c r="BR466" s="55"/>
      <c r="BS466" s="55"/>
    </row>
    <row r="467" spans="1:71" outlineLevel="1" x14ac:dyDescent="0.2">
      <c r="J467" s="26"/>
      <c r="L467" s="55"/>
      <c r="M467" s="55"/>
      <c r="N467" s="55"/>
      <c r="O467" s="55"/>
      <c r="P467" s="55"/>
      <c r="Q467" s="55"/>
      <c r="R467" s="55"/>
      <c r="S467" s="55"/>
      <c r="T467" s="55"/>
      <c r="U467" s="55"/>
      <c r="V467" s="55"/>
      <c r="W467" s="55"/>
      <c r="X467" s="55"/>
      <c r="Y467" s="55"/>
      <c r="Z467" s="55"/>
      <c r="AA467" s="55"/>
      <c r="AB467" s="55"/>
      <c r="AC467" s="55"/>
      <c r="AD467" s="55"/>
      <c r="AE467" s="55"/>
      <c r="AF467" s="55"/>
      <c r="AG467" s="55"/>
      <c r="AH467" s="55"/>
      <c r="AI467" s="55"/>
      <c r="AJ467" s="55"/>
      <c r="AK467" s="55"/>
      <c r="AL467" s="55"/>
      <c r="AM467" s="55"/>
      <c r="AN467" s="55"/>
      <c r="AO467" s="55"/>
      <c r="AP467" s="55"/>
      <c r="AQ467" s="55"/>
      <c r="AR467" s="55"/>
      <c r="AS467" s="55"/>
      <c r="AT467" s="55"/>
      <c r="AU467" s="55"/>
      <c r="AV467" s="55"/>
      <c r="AW467" s="55"/>
      <c r="AX467" s="55"/>
      <c r="AY467" s="55"/>
      <c r="AZ467" s="55"/>
      <c r="BA467" s="55"/>
      <c r="BB467" s="55"/>
      <c r="BC467" s="55"/>
      <c r="BD467" s="55"/>
      <c r="BE467" s="55"/>
      <c r="BF467" s="55"/>
      <c r="BG467" s="55"/>
      <c r="BH467" s="55"/>
      <c r="BI467" s="55"/>
      <c r="BJ467" s="55"/>
      <c r="BK467" s="55"/>
      <c r="BL467" s="55"/>
      <c r="BM467" s="55"/>
      <c r="BN467" s="55"/>
      <c r="BO467" s="55"/>
      <c r="BP467" s="55"/>
      <c r="BQ467" s="55"/>
      <c r="BR467" s="55"/>
      <c r="BS467" s="55"/>
    </row>
    <row r="468" spans="1:71" outlineLevel="1" x14ac:dyDescent="0.2">
      <c r="A468" s="45"/>
      <c r="B468" s="38" t="str">
        <f>HM_ZD_Moho!B490</f>
        <v>Flux de trésorerie consortium compagnies pétrolières internationales</v>
      </c>
      <c r="C468" s="45"/>
      <c r="D468" s="45"/>
      <c r="E468" s="45"/>
      <c r="J468" s="26"/>
      <c r="L468" s="55"/>
      <c r="M468" s="55"/>
      <c r="N468" s="55"/>
      <c r="O468" s="55"/>
      <c r="P468" s="55"/>
      <c r="Q468" s="55"/>
      <c r="R468" s="55"/>
      <c r="S468" s="55"/>
      <c r="T468" s="55"/>
      <c r="U468" s="55"/>
      <c r="V468" s="55"/>
      <c r="W468" s="55"/>
      <c r="X468" s="55"/>
      <c r="Y468" s="55"/>
      <c r="Z468" s="55"/>
      <c r="AA468" s="55"/>
      <c r="AB468" s="55"/>
      <c r="AC468" s="55"/>
      <c r="AD468" s="55"/>
      <c r="AE468" s="55"/>
      <c r="AF468" s="55"/>
      <c r="AG468" s="55"/>
      <c r="AH468" s="55"/>
      <c r="AI468" s="55"/>
      <c r="AJ468" s="55"/>
      <c r="AK468" s="55"/>
      <c r="AL468" s="55"/>
      <c r="AM468" s="55"/>
      <c r="AN468" s="55"/>
      <c r="AO468" s="55"/>
      <c r="AP468" s="55"/>
      <c r="AQ468" s="55"/>
      <c r="AR468" s="55"/>
      <c r="AS468" s="55"/>
      <c r="AT468" s="55"/>
      <c r="AU468" s="55"/>
      <c r="AV468" s="55"/>
      <c r="AW468" s="55"/>
      <c r="AX468" s="55"/>
      <c r="AY468" s="55"/>
      <c r="AZ468" s="55"/>
      <c r="BA468" s="55"/>
      <c r="BB468" s="55"/>
      <c r="BC468" s="55"/>
      <c r="BD468" s="55"/>
      <c r="BE468" s="55"/>
      <c r="BF468" s="55"/>
      <c r="BG468" s="55"/>
      <c r="BH468" s="55"/>
      <c r="BI468" s="55"/>
      <c r="BJ468" s="55"/>
      <c r="BK468" s="55"/>
      <c r="BL468" s="55"/>
      <c r="BM468" s="55"/>
      <c r="BN468" s="55"/>
      <c r="BO468" s="55"/>
      <c r="BP468" s="55"/>
      <c r="BQ468" s="55"/>
      <c r="BR468" s="55"/>
      <c r="BS468" s="55"/>
    </row>
    <row r="469" spans="1:71" outlineLevel="1" x14ac:dyDescent="0.2">
      <c r="J469" s="26"/>
      <c r="L469" s="55"/>
      <c r="M469" s="55"/>
      <c r="N469" s="55"/>
      <c r="O469" s="55"/>
      <c r="P469" s="55"/>
      <c r="Q469" s="55"/>
      <c r="R469" s="55"/>
      <c r="S469" s="55"/>
      <c r="T469" s="55"/>
      <c r="U469" s="55"/>
      <c r="V469" s="55"/>
      <c r="W469" s="55"/>
      <c r="X469" s="55"/>
      <c r="Y469" s="55"/>
      <c r="Z469" s="55"/>
      <c r="AA469" s="55"/>
      <c r="AB469" s="55"/>
      <c r="AC469" s="55"/>
      <c r="AD469" s="55"/>
      <c r="AE469" s="55"/>
      <c r="AF469" s="55"/>
      <c r="AG469" s="55"/>
      <c r="AH469" s="55"/>
      <c r="AI469" s="55"/>
      <c r="AJ469" s="55"/>
      <c r="AK469" s="55"/>
      <c r="AL469" s="55"/>
      <c r="AM469" s="55"/>
      <c r="AN469" s="55"/>
      <c r="AO469" s="55"/>
      <c r="AP469" s="55"/>
      <c r="AQ469" s="55"/>
      <c r="AR469" s="55"/>
      <c r="AS469" s="55"/>
      <c r="AT469" s="55"/>
      <c r="AU469" s="55"/>
      <c r="AV469" s="55"/>
      <c r="AW469" s="55"/>
      <c r="AX469" s="55"/>
      <c r="AY469" s="55"/>
      <c r="AZ469" s="55"/>
      <c r="BA469" s="55"/>
      <c r="BB469" s="55"/>
      <c r="BC469" s="55"/>
      <c r="BD469" s="55"/>
      <c r="BE469" s="55"/>
      <c r="BF469" s="55"/>
      <c r="BG469" s="55"/>
      <c r="BH469" s="55"/>
      <c r="BI469" s="55"/>
      <c r="BJ469" s="55"/>
      <c r="BK469" s="55"/>
      <c r="BL469" s="55"/>
      <c r="BM469" s="55"/>
      <c r="BN469" s="55"/>
      <c r="BO469" s="55"/>
      <c r="BP469" s="55"/>
      <c r="BQ469" s="55"/>
      <c r="BR469" s="55"/>
      <c r="BS469" s="55"/>
    </row>
    <row r="470" spans="1:71" outlineLevel="1" x14ac:dyDescent="0.2">
      <c r="C470" s="11" t="str">
        <f>HM_ZD_Moho!C492</f>
        <v>Part Flux de trésorerie après impôts des compagnies pétrolières internationales</v>
      </c>
      <c r="I470" s="30">
        <f t="shared" ref="I470:I473" ca="1" si="158">SUM($L470:$BS470)</f>
        <v>-2102.1132940713951</v>
      </c>
      <c r="J470" s="26" t="s">
        <v>148</v>
      </c>
      <c r="L470" s="49" cm="1">
        <f t="array" aca="1" ref="L470:BS470" ca="1">OA_cont_ATCF_AM_2005*HM_ZD_AM3_2005!CA_IOC_WI</f>
        <v>-669.63910568005542</v>
      </c>
      <c r="M470" s="49">
        <f ca="1"/>
        <v>-1432.4741883913396</v>
      </c>
      <c r="N470" s="49">
        <f ca="1"/>
        <v>0</v>
      </c>
      <c r="O470" s="49">
        <f ca="1"/>
        <v>0</v>
      </c>
      <c r="P470" s="49">
        <f ca="1"/>
        <v>0</v>
      </c>
      <c r="Q470" s="49">
        <f ca="1"/>
        <v>0</v>
      </c>
      <c r="R470" s="49">
        <f ca="1"/>
        <v>0</v>
      </c>
      <c r="S470" s="49">
        <f ca="1"/>
        <v>0</v>
      </c>
      <c r="T470" s="49">
        <f ca="1"/>
        <v>0</v>
      </c>
      <c r="U470" s="49">
        <f ca="1"/>
        <v>0</v>
      </c>
      <c r="V470" s="49">
        <f ca="1"/>
        <v>0</v>
      </c>
      <c r="W470" s="49">
        <f ca="1"/>
        <v>0</v>
      </c>
      <c r="X470" s="49">
        <f ca="1"/>
        <v>0</v>
      </c>
      <c r="Y470" s="49">
        <f ca="1"/>
        <v>0</v>
      </c>
      <c r="Z470" s="49">
        <f ca="1"/>
        <v>0</v>
      </c>
      <c r="AA470" s="49">
        <f ca="1"/>
        <v>0</v>
      </c>
      <c r="AB470" s="49">
        <f ca="1"/>
        <v>0</v>
      </c>
      <c r="AC470" s="49">
        <f ca="1"/>
        <v>0</v>
      </c>
      <c r="AD470" s="49">
        <f ca="1"/>
        <v>0</v>
      </c>
      <c r="AE470" s="49">
        <f ca="1"/>
        <v>0</v>
      </c>
      <c r="AF470" s="49">
        <f ca="1"/>
        <v>0</v>
      </c>
      <c r="AG470" s="49">
        <f ca="1"/>
        <v>0</v>
      </c>
      <c r="AH470" s="49">
        <f ca="1"/>
        <v>0</v>
      </c>
      <c r="AI470" s="49">
        <f ca="1"/>
        <v>0</v>
      </c>
      <c r="AJ470" s="49">
        <f ca="1"/>
        <v>0</v>
      </c>
      <c r="AK470" s="49">
        <f ca="1"/>
        <v>0</v>
      </c>
      <c r="AL470" s="49">
        <f ca="1"/>
        <v>0</v>
      </c>
      <c r="AM470" s="49">
        <f ca="1"/>
        <v>0</v>
      </c>
      <c r="AN470" s="49">
        <f ca="1"/>
        <v>0</v>
      </c>
      <c r="AO470" s="49">
        <f ca="1"/>
        <v>0</v>
      </c>
      <c r="AP470" s="49">
        <f ca="1"/>
        <v>0</v>
      </c>
      <c r="AQ470" s="49">
        <f ca="1"/>
        <v>0</v>
      </c>
      <c r="AR470" s="49">
        <f ca="1"/>
        <v>0</v>
      </c>
      <c r="AS470" s="49">
        <f ca="1"/>
        <v>0</v>
      </c>
      <c r="AT470" s="49">
        <f ca="1"/>
        <v>0</v>
      </c>
      <c r="AU470" s="49">
        <f ca="1"/>
        <v>0</v>
      </c>
      <c r="AV470" s="49">
        <f ca="1"/>
        <v>0</v>
      </c>
      <c r="AW470" s="49">
        <f ca="1"/>
        <v>0</v>
      </c>
      <c r="AX470" s="49">
        <f ca="1"/>
        <v>0</v>
      </c>
      <c r="AY470" s="49">
        <f ca="1"/>
        <v>0</v>
      </c>
      <c r="AZ470" s="49">
        <f ca="1"/>
        <v>0</v>
      </c>
      <c r="BA470" s="49">
        <f ca="1"/>
        <v>0</v>
      </c>
      <c r="BB470" s="49">
        <f ca="1"/>
        <v>0</v>
      </c>
      <c r="BC470" s="49">
        <f ca="1"/>
        <v>0</v>
      </c>
      <c r="BD470" s="49">
        <f ca="1"/>
        <v>0</v>
      </c>
      <c r="BE470" s="49">
        <f ca="1"/>
        <v>0</v>
      </c>
      <c r="BF470" s="49">
        <f ca="1"/>
        <v>0</v>
      </c>
      <c r="BG470" s="49">
        <f ca="1"/>
        <v>0</v>
      </c>
      <c r="BH470" s="49">
        <f ca="1"/>
        <v>0</v>
      </c>
      <c r="BI470" s="49">
        <f ca="1"/>
        <v>0</v>
      </c>
      <c r="BJ470" s="49">
        <f ca="1"/>
        <v>0</v>
      </c>
      <c r="BK470" s="49">
        <f ca="1"/>
        <v>0</v>
      </c>
      <c r="BL470" s="49">
        <f ca="1"/>
        <v>0</v>
      </c>
      <c r="BM470" s="49">
        <f ca="1"/>
        <v>0</v>
      </c>
      <c r="BN470" s="49">
        <f ca="1"/>
        <v>0</v>
      </c>
      <c r="BO470" s="49">
        <f ca="1"/>
        <v>0</v>
      </c>
      <c r="BP470" s="49">
        <f ca="1"/>
        <v>0</v>
      </c>
      <c r="BQ470" s="49">
        <f ca="1"/>
        <v>0</v>
      </c>
      <c r="BR470" s="49">
        <f ca="1"/>
        <v>0</v>
      </c>
      <c r="BS470" s="49">
        <f ca="1"/>
        <v>0</v>
      </c>
    </row>
    <row r="471" spans="1:71" outlineLevel="1" x14ac:dyDescent="0.2">
      <c r="C471" s="11" t="str">
        <f>HM_ZD_Moho!C493</f>
        <v>Coûts portés</v>
      </c>
      <c r="I471" s="30">
        <f t="shared" ca="1" si="158"/>
        <v>-510.74909999999994</v>
      </c>
      <c r="J471" s="26" t="s">
        <v>148</v>
      </c>
      <c r="L471" s="49" cm="1">
        <f t="array" aca="1" ref="L471:BS471" ca="1">-HM_ZD_AM3_2005!CA_NOC_carried_costs</f>
        <v>-193.01729999999998</v>
      </c>
      <c r="M471" s="49">
        <f ca="1"/>
        <v>-317.73179999999996</v>
      </c>
      <c r="N471" s="49">
        <f ca="1"/>
        <v>0</v>
      </c>
      <c r="O471" s="49">
        <f ca="1"/>
        <v>0</v>
      </c>
      <c r="P471" s="49">
        <f ca="1"/>
        <v>0</v>
      </c>
      <c r="Q471" s="49">
        <f ca="1"/>
        <v>0</v>
      </c>
      <c r="R471" s="49">
        <f ca="1"/>
        <v>0</v>
      </c>
      <c r="S471" s="49">
        <f ca="1"/>
        <v>0</v>
      </c>
      <c r="T471" s="49">
        <f ca="1"/>
        <v>0</v>
      </c>
      <c r="U471" s="49">
        <f ca="1"/>
        <v>0</v>
      </c>
      <c r="V471" s="49">
        <f ca="1"/>
        <v>0</v>
      </c>
      <c r="W471" s="49">
        <f ca="1"/>
        <v>0</v>
      </c>
      <c r="X471" s="49">
        <f ca="1"/>
        <v>0</v>
      </c>
      <c r="Y471" s="49">
        <f ca="1"/>
        <v>0</v>
      </c>
      <c r="Z471" s="49">
        <f ca="1"/>
        <v>0</v>
      </c>
      <c r="AA471" s="49">
        <f ca="1"/>
        <v>0</v>
      </c>
      <c r="AB471" s="49">
        <f ca="1"/>
        <v>0</v>
      </c>
      <c r="AC471" s="49">
        <f ca="1"/>
        <v>0</v>
      </c>
      <c r="AD471" s="49">
        <f ca="1"/>
        <v>0</v>
      </c>
      <c r="AE471" s="49">
        <f ca="1"/>
        <v>0</v>
      </c>
      <c r="AF471" s="49">
        <f ca="1"/>
        <v>0</v>
      </c>
      <c r="AG471" s="49">
        <f ca="1"/>
        <v>0</v>
      </c>
      <c r="AH471" s="49">
        <f ca="1"/>
        <v>0</v>
      </c>
      <c r="AI471" s="49">
        <f ca="1"/>
        <v>0</v>
      </c>
      <c r="AJ471" s="49">
        <f ca="1"/>
        <v>0</v>
      </c>
      <c r="AK471" s="49">
        <f ca="1"/>
        <v>0</v>
      </c>
      <c r="AL471" s="49">
        <f ca="1"/>
        <v>0</v>
      </c>
      <c r="AM471" s="49">
        <f ca="1"/>
        <v>0</v>
      </c>
      <c r="AN471" s="49">
        <f ca="1"/>
        <v>0</v>
      </c>
      <c r="AO471" s="49">
        <f ca="1"/>
        <v>0</v>
      </c>
      <c r="AP471" s="49">
        <f ca="1"/>
        <v>0</v>
      </c>
      <c r="AQ471" s="49">
        <f ca="1"/>
        <v>0</v>
      </c>
      <c r="AR471" s="49">
        <f ca="1"/>
        <v>0</v>
      </c>
      <c r="AS471" s="49">
        <f ca="1"/>
        <v>0</v>
      </c>
      <c r="AT471" s="49">
        <f ca="1"/>
        <v>0</v>
      </c>
      <c r="AU471" s="49">
        <f ca="1"/>
        <v>0</v>
      </c>
      <c r="AV471" s="49">
        <f ca="1"/>
        <v>0</v>
      </c>
      <c r="AW471" s="49">
        <f ca="1"/>
        <v>0</v>
      </c>
      <c r="AX471" s="49">
        <f ca="1"/>
        <v>0</v>
      </c>
      <c r="AY471" s="49">
        <f ca="1"/>
        <v>0</v>
      </c>
      <c r="AZ471" s="49">
        <f ca="1"/>
        <v>0</v>
      </c>
      <c r="BA471" s="49">
        <f ca="1"/>
        <v>0</v>
      </c>
      <c r="BB471" s="49">
        <f ca="1"/>
        <v>0</v>
      </c>
      <c r="BC471" s="49">
        <f ca="1"/>
        <v>0</v>
      </c>
      <c r="BD471" s="49">
        <f ca="1"/>
        <v>0</v>
      </c>
      <c r="BE471" s="49">
        <f ca="1"/>
        <v>0</v>
      </c>
      <c r="BF471" s="49">
        <f ca="1"/>
        <v>0</v>
      </c>
      <c r="BG471" s="49">
        <f ca="1"/>
        <v>0</v>
      </c>
      <c r="BH471" s="49">
        <f ca="1"/>
        <v>0</v>
      </c>
      <c r="BI471" s="49">
        <f ca="1"/>
        <v>0</v>
      </c>
      <c r="BJ471" s="49">
        <f ca="1"/>
        <v>0</v>
      </c>
      <c r="BK471" s="49">
        <f ca="1"/>
        <v>0</v>
      </c>
      <c r="BL471" s="49">
        <f ca="1"/>
        <v>0</v>
      </c>
      <c r="BM471" s="49">
        <f ca="1"/>
        <v>0</v>
      </c>
      <c r="BN471" s="49">
        <f ca="1"/>
        <v>0</v>
      </c>
      <c r="BO471" s="49">
        <f ca="1"/>
        <v>0</v>
      </c>
      <c r="BP471" s="49">
        <f ca="1"/>
        <v>0</v>
      </c>
      <c r="BQ471" s="49">
        <f ca="1"/>
        <v>0</v>
      </c>
      <c r="BR471" s="49">
        <f ca="1"/>
        <v>0</v>
      </c>
      <c r="BS471" s="49">
        <f ca="1"/>
        <v>0</v>
      </c>
    </row>
    <row r="472" spans="1:71" outlineLevel="1" x14ac:dyDescent="0.2">
      <c r="C472" s="11" t="str">
        <f>HM_ZD_Moho!C494</f>
        <v>Remboursement du portage</v>
      </c>
      <c r="I472" s="30">
        <f t="shared" ca="1" si="158"/>
        <v>153.21477752094415</v>
      </c>
      <c r="J472" s="26" t="s">
        <v>148</v>
      </c>
      <c r="L472" s="49" cm="1">
        <f t="array" aca="1" ref="L472:BS472" ca="1">-HM_ZD_AM3_2005!CA_NOC_carry_payback</f>
        <v>77.710963826486108</v>
      </c>
      <c r="M472" s="49">
        <f ca="1"/>
        <v>75.50381369445806</v>
      </c>
      <c r="N472" s="49">
        <f ca="1"/>
        <v>0</v>
      </c>
      <c r="O472" s="49">
        <f ca="1"/>
        <v>0</v>
      </c>
      <c r="P472" s="49">
        <f ca="1"/>
        <v>0</v>
      </c>
      <c r="Q472" s="49">
        <f ca="1"/>
        <v>0</v>
      </c>
      <c r="R472" s="49">
        <f ca="1"/>
        <v>0</v>
      </c>
      <c r="S472" s="49">
        <f ca="1"/>
        <v>0</v>
      </c>
      <c r="T472" s="49">
        <f ca="1"/>
        <v>0</v>
      </c>
      <c r="U472" s="49">
        <f ca="1"/>
        <v>0</v>
      </c>
      <c r="V472" s="49">
        <f ca="1"/>
        <v>0</v>
      </c>
      <c r="W472" s="49">
        <f ca="1"/>
        <v>0</v>
      </c>
      <c r="X472" s="49">
        <f ca="1"/>
        <v>0</v>
      </c>
      <c r="Y472" s="49">
        <f ca="1"/>
        <v>0</v>
      </c>
      <c r="Z472" s="49">
        <f ca="1"/>
        <v>0</v>
      </c>
      <c r="AA472" s="49">
        <f ca="1"/>
        <v>0</v>
      </c>
      <c r="AB472" s="49">
        <f ca="1"/>
        <v>0</v>
      </c>
      <c r="AC472" s="49">
        <f ca="1"/>
        <v>0</v>
      </c>
      <c r="AD472" s="49">
        <f ca="1"/>
        <v>0</v>
      </c>
      <c r="AE472" s="49">
        <f ca="1"/>
        <v>0</v>
      </c>
      <c r="AF472" s="49">
        <f ca="1"/>
        <v>0</v>
      </c>
      <c r="AG472" s="49">
        <f ca="1"/>
        <v>0</v>
      </c>
      <c r="AH472" s="49">
        <f ca="1"/>
        <v>0</v>
      </c>
      <c r="AI472" s="49">
        <f ca="1"/>
        <v>0</v>
      </c>
      <c r="AJ472" s="49">
        <f ca="1"/>
        <v>0</v>
      </c>
      <c r="AK472" s="49">
        <f ca="1"/>
        <v>0</v>
      </c>
      <c r="AL472" s="49">
        <f ca="1"/>
        <v>0</v>
      </c>
      <c r="AM472" s="49">
        <f ca="1"/>
        <v>0</v>
      </c>
      <c r="AN472" s="49">
        <f ca="1"/>
        <v>0</v>
      </c>
      <c r="AO472" s="49">
        <f ca="1"/>
        <v>0</v>
      </c>
      <c r="AP472" s="49">
        <f ca="1"/>
        <v>0</v>
      </c>
      <c r="AQ472" s="49">
        <f ca="1"/>
        <v>0</v>
      </c>
      <c r="AR472" s="49">
        <f ca="1"/>
        <v>0</v>
      </c>
      <c r="AS472" s="49">
        <f ca="1"/>
        <v>0</v>
      </c>
      <c r="AT472" s="49">
        <f ca="1"/>
        <v>0</v>
      </c>
      <c r="AU472" s="49">
        <f ca="1"/>
        <v>0</v>
      </c>
      <c r="AV472" s="49">
        <f ca="1"/>
        <v>0</v>
      </c>
      <c r="AW472" s="49">
        <f ca="1"/>
        <v>0</v>
      </c>
      <c r="AX472" s="49">
        <f ca="1"/>
        <v>0</v>
      </c>
      <c r="AY472" s="49">
        <f ca="1"/>
        <v>0</v>
      </c>
      <c r="AZ472" s="49">
        <f ca="1"/>
        <v>0</v>
      </c>
      <c r="BA472" s="49">
        <f ca="1"/>
        <v>0</v>
      </c>
      <c r="BB472" s="49">
        <f ca="1"/>
        <v>0</v>
      </c>
      <c r="BC472" s="49">
        <f ca="1"/>
        <v>0</v>
      </c>
      <c r="BD472" s="49">
        <f ca="1"/>
        <v>0</v>
      </c>
      <c r="BE472" s="49">
        <f ca="1"/>
        <v>0</v>
      </c>
      <c r="BF472" s="49">
        <f ca="1"/>
        <v>0</v>
      </c>
      <c r="BG472" s="49">
        <f ca="1"/>
        <v>0</v>
      </c>
      <c r="BH472" s="49">
        <f ca="1"/>
        <v>0</v>
      </c>
      <c r="BI472" s="49">
        <f ca="1"/>
        <v>0</v>
      </c>
      <c r="BJ472" s="49">
        <f ca="1"/>
        <v>0</v>
      </c>
      <c r="BK472" s="49">
        <f ca="1"/>
        <v>0</v>
      </c>
      <c r="BL472" s="49">
        <f ca="1"/>
        <v>0</v>
      </c>
      <c r="BM472" s="49">
        <f ca="1"/>
        <v>0</v>
      </c>
      <c r="BN472" s="49">
        <f ca="1"/>
        <v>0</v>
      </c>
      <c r="BO472" s="49">
        <f ca="1"/>
        <v>0</v>
      </c>
      <c r="BP472" s="49">
        <f ca="1"/>
        <v>0</v>
      </c>
      <c r="BQ472" s="49">
        <f ca="1"/>
        <v>0</v>
      </c>
      <c r="BR472" s="49">
        <f ca="1"/>
        <v>0</v>
      </c>
      <c r="BS472" s="49">
        <f ca="1"/>
        <v>0</v>
      </c>
    </row>
    <row r="473" spans="1:71" outlineLevel="1" x14ac:dyDescent="0.2">
      <c r="C473" s="11" t="str">
        <f>HM_ZD_Moho!C495</f>
        <v>Flux de trésorerie après impôts des compagnies pétrolières internationales</v>
      </c>
      <c r="H473" s="7" t="s">
        <v>510</v>
      </c>
      <c r="I473" s="30">
        <f t="shared" ca="1" si="158"/>
        <v>-2459.6476165504509</v>
      </c>
      <c r="J473" s="26" t="s">
        <v>148</v>
      </c>
      <c r="K473" s="7" t="s">
        <v>432</v>
      </c>
      <c r="L473" s="49">
        <f ca="1">SUM(L470:L472)</f>
        <v>-784.94544185356926</v>
      </c>
      <c r="M473" s="49">
        <f t="shared" ref="M473:BS473" ca="1" si="159">SUM(M470:M472)</f>
        <v>-1674.7021746968815</v>
      </c>
      <c r="N473" s="49">
        <f t="shared" ca="1" si="159"/>
        <v>0</v>
      </c>
      <c r="O473" s="49">
        <f t="shared" ca="1" si="159"/>
        <v>0</v>
      </c>
      <c r="P473" s="49">
        <f t="shared" ca="1" si="159"/>
        <v>0</v>
      </c>
      <c r="Q473" s="49">
        <f t="shared" ca="1" si="159"/>
        <v>0</v>
      </c>
      <c r="R473" s="49">
        <f t="shared" ca="1" si="159"/>
        <v>0</v>
      </c>
      <c r="S473" s="49">
        <f t="shared" ca="1" si="159"/>
        <v>0</v>
      </c>
      <c r="T473" s="49">
        <f t="shared" ca="1" si="159"/>
        <v>0</v>
      </c>
      <c r="U473" s="49">
        <f t="shared" ca="1" si="159"/>
        <v>0</v>
      </c>
      <c r="V473" s="49">
        <f t="shared" ca="1" si="159"/>
        <v>0</v>
      </c>
      <c r="W473" s="49">
        <f t="shared" ca="1" si="159"/>
        <v>0</v>
      </c>
      <c r="X473" s="49">
        <f t="shared" ca="1" si="159"/>
        <v>0</v>
      </c>
      <c r="Y473" s="49">
        <f t="shared" ca="1" si="159"/>
        <v>0</v>
      </c>
      <c r="Z473" s="49">
        <f t="shared" ca="1" si="159"/>
        <v>0</v>
      </c>
      <c r="AA473" s="49">
        <f t="shared" ca="1" si="159"/>
        <v>0</v>
      </c>
      <c r="AB473" s="49">
        <f t="shared" ca="1" si="159"/>
        <v>0</v>
      </c>
      <c r="AC473" s="49">
        <f t="shared" ca="1" si="159"/>
        <v>0</v>
      </c>
      <c r="AD473" s="49">
        <f t="shared" ca="1" si="159"/>
        <v>0</v>
      </c>
      <c r="AE473" s="49">
        <f t="shared" ca="1" si="159"/>
        <v>0</v>
      </c>
      <c r="AF473" s="49">
        <f t="shared" ca="1" si="159"/>
        <v>0</v>
      </c>
      <c r="AG473" s="49">
        <f t="shared" ca="1" si="159"/>
        <v>0</v>
      </c>
      <c r="AH473" s="49">
        <f t="shared" ca="1" si="159"/>
        <v>0</v>
      </c>
      <c r="AI473" s="49">
        <f t="shared" ca="1" si="159"/>
        <v>0</v>
      </c>
      <c r="AJ473" s="49">
        <f t="shared" ca="1" si="159"/>
        <v>0</v>
      </c>
      <c r="AK473" s="49">
        <f t="shared" ca="1" si="159"/>
        <v>0</v>
      </c>
      <c r="AL473" s="49">
        <f t="shared" ca="1" si="159"/>
        <v>0</v>
      </c>
      <c r="AM473" s="49">
        <f t="shared" ca="1" si="159"/>
        <v>0</v>
      </c>
      <c r="AN473" s="49">
        <f t="shared" ca="1" si="159"/>
        <v>0</v>
      </c>
      <c r="AO473" s="49">
        <f t="shared" ca="1" si="159"/>
        <v>0</v>
      </c>
      <c r="AP473" s="49">
        <f t="shared" ca="1" si="159"/>
        <v>0</v>
      </c>
      <c r="AQ473" s="49">
        <f t="shared" ca="1" si="159"/>
        <v>0</v>
      </c>
      <c r="AR473" s="49">
        <f t="shared" ca="1" si="159"/>
        <v>0</v>
      </c>
      <c r="AS473" s="49">
        <f t="shared" ca="1" si="159"/>
        <v>0</v>
      </c>
      <c r="AT473" s="49">
        <f t="shared" ca="1" si="159"/>
        <v>0</v>
      </c>
      <c r="AU473" s="49">
        <f t="shared" ca="1" si="159"/>
        <v>0</v>
      </c>
      <c r="AV473" s="49">
        <f t="shared" ca="1" si="159"/>
        <v>0</v>
      </c>
      <c r="AW473" s="49">
        <f t="shared" ca="1" si="159"/>
        <v>0</v>
      </c>
      <c r="AX473" s="49">
        <f t="shared" ca="1" si="159"/>
        <v>0</v>
      </c>
      <c r="AY473" s="49">
        <f t="shared" ca="1" si="159"/>
        <v>0</v>
      </c>
      <c r="AZ473" s="49">
        <f t="shared" ca="1" si="159"/>
        <v>0</v>
      </c>
      <c r="BA473" s="49">
        <f t="shared" ca="1" si="159"/>
        <v>0</v>
      </c>
      <c r="BB473" s="49">
        <f t="shared" ca="1" si="159"/>
        <v>0</v>
      </c>
      <c r="BC473" s="49">
        <f t="shared" ca="1" si="159"/>
        <v>0</v>
      </c>
      <c r="BD473" s="49">
        <f t="shared" ca="1" si="159"/>
        <v>0</v>
      </c>
      <c r="BE473" s="49">
        <f t="shared" ca="1" si="159"/>
        <v>0</v>
      </c>
      <c r="BF473" s="49">
        <f t="shared" ca="1" si="159"/>
        <v>0</v>
      </c>
      <c r="BG473" s="49">
        <f t="shared" ca="1" si="159"/>
        <v>0</v>
      </c>
      <c r="BH473" s="49">
        <f t="shared" ca="1" si="159"/>
        <v>0</v>
      </c>
      <c r="BI473" s="49">
        <f t="shared" ca="1" si="159"/>
        <v>0</v>
      </c>
      <c r="BJ473" s="49">
        <f t="shared" ca="1" si="159"/>
        <v>0</v>
      </c>
      <c r="BK473" s="49">
        <f t="shared" ca="1" si="159"/>
        <v>0</v>
      </c>
      <c r="BL473" s="49">
        <f t="shared" ca="1" si="159"/>
        <v>0</v>
      </c>
      <c r="BM473" s="49">
        <f t="shared" ca="1" si="159"/>
        <v>0</v>
      </c>
      <c r="BN473" s="49">
        <f t="shared" ca="1" si="159"/>
        <v>0</v>
      </c>
      <c r="BO473" s="49">
        <f t="shared" ca="1" si="159"/>
        <v>0</v>
      </c>
      <c r="BP473" s="49">
        <f t="shared" ca="1" si="159"/>
        <v>0</v>
      </c>
      <c r="BQ473" s="49">
        <f t="shared" ca="1" si="159"/>
        <v>0</v>
      </c>
      <c r="BR473" s="49">
        <f t="shared" ca="1" si="159"/>
        <v>0</v>
      </c>
      <c r="BS473" s="49">
        <f t="shared" ca="1" si="159"/>
        <v>0</v>
      </c>
    </row>
    <row r="474" spans="1:71" outlineLevel="1" x14ac:dyDescent="0.2">
      <c r="J474" s="26"/>
      <c r="L474" s="55"/>
      <c r="M474" s="55"/>
      <c r="N474" s="55"/>
      <c r="O474" s="55"/>
      <c r="P474" s="55"/>
      <c r="Q474" s="55"/>
      <c r="R474" s="55"/>
      <c r="S474" s="55"/>
      <c r="T474" s="55"/>
      <c r="U474" s="55"/>
      <c r="V474" s="55"/>
      <c r="W474" s="55"/>
      <c r="X474" s="55"/>
      <c r="Y474" s="55"/>
      <c r="Z474" s="55"/>
      <c r="AA474" s="55"/>
      <c r="AB474" s="55"/>
      <c r="AC474" s="55"/>
      <c r="AD474" s="55"/>
      <c r="AE474" s="55"/>
      <c r="AF474" s="55"/>
      <c r="AG474" s="55"/>
      <c r="AH474" s="55"/>
      <c r="AI474" s="55"/>
      <c r="AJ474" s="55"/>
      <c r="AK474" s="55"/>
      <c r="AL474" s="55"/>
      <c r="AM474" s="55"/>
      <c r="AN474" s="55"/>
      <c r="AO474" s="55"/>
      <c r="AP474" s="55"/>
      <c r="AQ474" s="55"/>
      <c r="AR474" s="55"/>
      <c r="AS474" s="55"/>
      <c r="AT474" s="55"/>
      <c r="AU474" s="55"/>
      <c r="AV474" s="55"/>
      <c r="AW474" s="55"/>
      <c r="AX474" s="55"/>
      <c r="AY474" s="55"/>
      <c r="AZ474" s="55"/>
      <c r="BA474" s="55"/>
      <c r="BB474" s="55"/>
      <c r="BC474" s="55"/>
      <c r="BD474" s="55"/>
      <c r="BE474" s="55"/>
      <c r="BF474" s="55"/>
      <c r="BG474" s="55"/>
      <c r="BH474" s="55"/>
      <c r="BI474" s="55"/>
      <c r="BJ474" s="55"/>
      <c r="BK474" s="55"/>
      <c r="BL474" s="55"/>
      <c r="BM474" s="55"/>
      <c r="BN474" s="55"/>
      <c r="BO474" s="55"/>
      <c r="BP474" s="55"/>
      <c r="BQ474" s="55"/>
      <c r="BR474" s="55"/>
      <c r="BS474" s="55"/>
    </row>
    <row r="475" spans="1:71" outlineLevel="1" x14ac:dyDescent="0.2">
      <c r="C475" s="11" t="str">
        <f>HM_ZD_Moho!C497</f>
        <v>Flux de trésorerie après impôts cumulé</v>
      </c>
      <c r="J475" s="26"/>
      <c r="L475" s="66">
        <f ca="1">(K475+L473)*HM_ZD_AM3_2005!CA_op_trig</f>
        <v>-784.94544185356926</v>
      </c>
      <c r="M475" s="66">
        <f ca="1">(L475+M473)*HM_ZD_AM3_2005!CA_op_trig</f>
        <v>-2459.6476165504509</v>
      </c>
      <c r="N475" s="66">
        <f ca="1">(M475+N473)*HM_ZD_AM3_2005!CA_op_trig</f>
        <v>0</v>
      </c>
      <c r="O475" s="66">
        <f ca="1">(N475+O473)*HM_ZD_AM3_2005!CA_op_trig</f>
        <v>0</v>
      </c>
      <c r="P475" s="66">
        <f ca="1">(O475+P473)*HM_ZD_AM3_2005!CA_op_trig</f>
        <v>0</v>
      </c>
      <c r="Q475" s="66">
        <f ca="1">(P475+Q473)*HM_ZD_AM3_2005!CA_op_trig</f>
        <v>0</v>
      </c>
      <c r="R475" s="66">
        <f ca="1">(Q475+R473)*HM_ZD_AM3_2005!CA_op_trig</f>
        <v>0</v>
      </c>
      <c r="S475" s="66">
        <f ca="1">(R475+S473)*HM_ZD_AM3_2005!CA_op_trig</f>
        <v>0</v>
      </c>
      <c r="T475" s="66">
        <f ca="1">(S475+T473)*HM_ZD_AM3_2005!CA_op_trig</f>
        <v>0</v>
      </c>
      <c r="U475" s="66">
        <f ca="1">(T475+U473)*HM_ZD_AM3_2005!CA_op_trig</f>
        <v>0</v>
      </c>
      <c r="V475" s="66">
        <f ca="1">(U475+V473)*HM_ZD_AM3_2005!CA_op_trig</f>
        <v>0</v>
      </c>
      <c r="W475" s="66">
        <f ca="1">(V475+W473)*HM_ZD_AM3_2005!CA_op_trig</f>
        <v>0</v>
      </c>
      <c r="X475" s="66">
        <f ca="1">(W475+X473)*HM_ZD_AM3_2005!CA_op_trig</f>
        <v>0</v>
      </c>
      <c r="Y475" s="66">
        <f ca="1">(X475+Y473)*HM_ZD_AM3_2005!CA_op_trig</f>
        <v>0</v>
      </c>
      <c r="Z475" s="66">
        <f ca="1">(Y475+Z473)*HM_ZD_AM3_2005!CA_op_trig</f>
        <v>0</v>
      </c>
      <c r="AA475" s="66">
        <f ca="1">(Z475+AA473)*HM_ZD_AM3_2005!CA_op_trig</f>
        <v>0</v>
      </c>
      <c r="AB475" s="66">
        <f ca="1">(AA475+AB473)*HM_ZD_AM3_2005!CA_op_trig</f>
        <v>0</v>
      </c>
      <c r="AC475" s="66">
        <f ca="1">(AB475+AC473)*HM_ZD_AM3_2005!CA_op_trig</f>
        <v>0</v>
      </c>
      <c r="AD475" s="66">
        <f ca="1">(AC475+AD473)*HM_ZD_AM3_2005!CA_op_trig</f>
        <v>0</v>
      </c>
      <c r="AE475" s="66">
        <f ca="1">(AD475+AE473)*HM_ZD_AM3_2005!CA_op_trig</f>
        <v>0</v>
      </c>
      <c r="AF475" s="66">
        <f ca="1">(AE475+AF473)*HM_ZD_AM3_2005!CA_op_trig</f>
        <v>0</v>
      </c>
      <c r="AG475" s="66">
        <f ca="1">(AF475+AG473)*HM_ZD_AM3_2005!CA_op_trig</f>
        <v>0</v>
      </c>
      <c r="AH475" s="66">
        <f ca="1">(AG475+AH473)*HM_ZD_AM3_2005!CA_op_trig</f>
        <v>0</v>
      </c>
      <c r="AI475" s="66">
        <f ca="1">(AH475+AI473)*HM_ZD_AM3_2005!CA_op_trig</f>
        <v>0</v>
      </c>
      <c r="AJ475" s="66">
        <f ca="1">(AI475+AJ473)*HM_ZD_AM3_2005!CA_op_trig</f>
        <v>0</v>
      </c>
      <c r="AK475" s="66">
        <f ca="1">(AJ475+AK473)*HM_ZD_AM3_2005!CA_op_trig</f>
        <v>0</v>
      </c>
      <c r="AL475" s="66">
        <f ca="1">(AK475+AL473)*HM_ZD_AM3_2005!CA_op_trig</f>
        <v>0</v>
      </c>
      <c r="AM475" s="66">
        <f ca="1">(AL475+AM473)*HM_ZD_AM3_2005!CA_op_trig</f>
        <v>0</v>
      </c>
      <c r="AN475" s="66">
        <f ca="1">(AM475+AN473)*HM_ZD_AM3_2005!CA_op_trig</f>
        <v>0</v>
      </c>
      <c r="AO475" s="66">
        <f ca="1">(AN475+AO473)*HM_ZD_AM3_2005!CA_op_trig</f>
        <v>0</v>
      </c>
      <c r="AP475" s="66">
        <f ca="1">(AO475+AP473)*HM_ZD_AM3_2005!CA_op_trig</f>
        <v>0</v>
      </c>
      <c r="AQ475" s="66">
        <f ca="1">(AP475+AQ473)*HM_ZD_AM3_2005!CA_op_trig</f>
        <v>0</v>
      </c>
      <c r="AR475" s="66">
        <f ca="1">(AQ475+AR473)*HM_ZD_AM3_2005!CA_op_trig</f>
        <v>0</v>
      </c>
      <c r="AS475" s="66">
        <f ca="1">(AR475+AS473)*HM_ZD_AM3_2005!CA_op_trig</f>
        <v>0</v>
      </c>
      <c r="AT475" s="66">
        <f ca="1">(AS475+AT473)*HM_ZD_AM3_2005!CA_op_trig</f>
        <v>0</v>
      </c>
      <c r="AU475" s="66">
        <f ca="1">(AT475+AU473)*HM_ZD_AM3_2005!CA_op_trig</f>
        <v>0</v>
      </c>
      <c r="AV475" s="66">
        <f ca="1">(AU475+AV473)*HM_ZD_AM3_2005!CA_op_trig</f>
        <v>0</v>
      </c>
      <c r="AW475" s="66">
        <f ca="1">(AV475+AW473)*HM_ZD_AM3_2005!CA_op_trig</f>
        <v>0</v>
      </c>
      <c r="AX475" s="66">
        <f ca="1">(AW475+AX473)*HM_ZD_AM3_2005!CA_op_trig</f>
        <v>0</v>
      </c>
      <c r="AY475" s="66">
        <f ca="1">(AX475+AY473)*HM_ZD_AM3_2005!CA_op_trig</f>
        <v>0</v>
      </c>
      <c r="AZ475" s="66">
        <f ca="1">(AY475+AZ473)*HM_ZD_AM3_2005!CA_op_trig</f>
        <v>0</v>
      </c>
      <c r="BA475" s="66">
        <f ca="1">(AZ475+BA473)*HM_ZD_AM3_2005!CA_op_trig</f>
        <v>0</v>
      </c>
      <c r="BB475" s="66">
        <f ca="1">(BA475+BB473)*HM_ZD_AM3_2005!CA_op_trig</f>
        <v>0</v>
      </c>
      <c r="BC475" s="66">
        <f ca="1">(BB475+BC473)*HM_ZD_AM3_2005!CA_op_trig</f>
        <v>0</v>
      </c>
      <c r="BD475" s="66">
        <f ca="1">(BC475+BD473)*HM_ZD_AM3_2005!CA_op_trig</f>
        <v>0</v>
      </c>
      <c r="BE475" s="66">
        <f ca="1">(BD475+BE473)*HM_ZD_AM3_2005!CA_op_trig</f>
        <v>0</v>
      </c>
      <c r="BF475" s="66">
        <f ca="1">(BE475+BF473)*HM_ZD_AM3_2005!CA_op_trig</f>
        <v>0</v>
      </c>
      <c r="BG475" s="66">
        <f ca="1">(BF475+BG473)*HM_ZD_AM3_2005!CA_op_trig</f>
        <v>0</v>
      </c>
      <c r="BH475" s="66">
        <f ca="1">(BG475+BH473)*HM_ZD_AM3_2005!CA_op_trig</f>
        <v>0</v>
      </c>
      <c r="BI475" s="66">
        <f ca="1">(BH475+BI473)*HM_ZD_AM3_2005!CA_op_trig</f>
        <v>0</v>
      </c>
      <c r="BJ475" s="66">
        <f ca="1">(BI475+BJ473)*HM_ZD_AM3_2005!CA_op_trig</f>
        <v>0</v>
      </c>
      <c r="BK475" s="66">
        <f ca="1">(BJ475+BK473)*HM_ZD_AM3_2005!CA_op_trig</f>
        <v>0</v>
      </c>
      <c r="BL475" s="66">
        <f ca="1">(BK475+BL473)*HM_ZD_AM3_2005!CA_op_trig</f>
        <v>0</v>
      </c>
      <c r="BM475" s="66">
        <f ca="1">(BL475+BM473)*HM_ZD_AM3_2005!CA_op_trig</f>
        <v>0</v>
      </c>
      <c r="BN475" s="66">
        <f ca="1">(BM475+BN473)*HM_ZD_AM3_2005!CA_op_trig</f>
        <v>0</v>
      </c>
      <c r="BO475" s="66">
        <f ca="1">(BN475+BO473)*HM_ZD_AM3_2005!CA_op_trig</f>
        <v>0</v>
      </c>
      <c r="BP475" s="66">
        <f ca="1">(BO475+BP473)*HM_ZD_AM3_2005!CA_op_trig</f>
        <v>0</v>
      </c>
      <c r="BQ475" s="66">
        <f ca="1">(BP475+BQ473)*HM_ZD_AM3_2005!CA_op_trig</f>
        <v>0</v>
      </c>
      <c r="BR475" s="66">
        <f ca="1">(BQ475+BR473)*HM_ZD_AM3_2005!CA_op_trig</f>
        <v>0</v>
      </c>
      <c r="BS475" s="66">
        <f ca="1">(BR475+BS473)*HM_ZD_AM3_2005!CA_op_trig</f>
        <v>0</v>
      </c>
    </row>
    <row r="476" spans="1:71" outlineLevel="1" x14ac:dyDescent="0.2">
      <c r="J476" s="26"/>
      <c r="L476" s="55"/>
      <c r="M476" s="55"/>
      <c r="N476" s="55"/>
      <c r="O476" s="55"/>
      <c r="P476" s="55"/>
      <c r="Q476" s="55"/>
      <c r="R476" s="55"/>
      <c r="S476" s="55"/>
      <c r="T476" s="55"/>
      <c r="U476" s="55"/>
      <c r="V476" s="55"/>
      <c r="W476" s="55"/>
      <c r="X476" s="55"/>
      <c r="Y476" s="55"/>
      <c r="Z476" s="55"/>
      <c r="AA476" s="55"/>
      <c r="AB476" s="55"/>
      <c r="AC476" s="55"/>
      <c r="AD476" s="55"/>
      <c r="AE476" s="55"/>
      <c r="AF476" s="55"/>
      <c r="AG476" s="55"/>
      <c r="AH476" s="55"/>
      <c r="AI476" s="55"/>
      <c r="AJ476" s="55"/>
      <c r="AK476" s="55"/>
      <c r="AL476" s="55"/>
      <c r="AM476" s="55"/>
      <c r="AN476" s="55"/>
      <c r="AO476" s="55"/>
      <c r="AP476" s="55"/>
      <c r="AQ476" s="55"/>
      <c r="AR476" s="55"/>
      <c r="AS476" s="55"/>
      <c r="AT476" s="55"/>
      <c r="AU476" s="55"/>
      <c r="AV476" s="55"/>
      <c r="AW476" s="55"/>
      <c r="AX476" s="55"/>
      <c r="AY476" s="55"/>
      <c r="AZ476" s="55"/>
      <c r="BA476" s="55"/>
      <c r="BB476" s="55"/>
      <c r="BC476" s="55"/>
      <c r="BD476" s="55"/>
      <c r="BE476" s="55"/>
      <c r="BF476" s="55"/>
      <c r="BG476" s="55"/>
      <c r="BH476" s="55"/>
      <c r="BI476" s="55"/>
      <c r="BJ476" s="55"/>
      <c r="BK476" s="55"/>
      <c r="BL476" s="55"/>
      <c r="BM476" s="55"/>
      <c r="BN476" s="55"/>
      <c r="BO476" s="55"/>
      <c r="BP476" s="55"/>
      <c r="BQ476" s="55"/>
      <c r="BR476" s="55"/>
      <c r="BS476" s="55"/>
    </row>
    <row r="477" spans="1:71" outlineLevel="1" x14ac:dyDescent="0.2">
      <c r="C477" s="11" t="str">
        <f>HM_ZD_Moho!C499</f>
        <v>VAN cycle complet</v>
      </c>
      <c r="G477" s="60"/>
      <c r="H477" s="7" t="s">
        <v>511</v>
      </c>
      <c r="I477" s="63">
        <f ca="1">SUMPRODUCT(OA_IOC_ATCF_AM_3_2005,HM_ZD_AM3_2005!CA_disc_factor_fc)</f>
        <v>-1026.3262436590514</v>
      </c>
      <c r="J477" s="26" t="s">
        <v>148</v>
      </c>
      <c r="L477" s="55"/>
      <c r="M477" s="55"/>
      <c r="N477" s="55"/>
      <c r="O477" s="55"/>
      <c r="P477" s="55"/>
      <c r="Q477" s="55"/>
      <c r="R477" s="55"/>
      <c r="S477" s="55"/>
      <c r="T477" s="55"/>
      <c r="U477" s="55"/>
      <c r="V477" s="55"/>
      <c r="W477" s="55"/>
      <c r="X477" s="55"/>
      <c r="Y477" s="55"/>
      <c r="Z477" s="55"/>
      <c r="AA477" s="55"/>
      <c r="AB477" s="55"/>
      <c r="AC477" s="55"/>
      <c r="AD477" s="55"/>
      <c r="AE477" s="55"/>
      <c r="AF477" s="55"/>
      <c r="AG477" s="55"/>
      <c r="AH477" s="55"/>
      <c r="AI477" s="55"/>
      <c r="AJ477" s="55"/>
      <c r="AK477" s="55"/>
      <c r="AL477" s="55"/>
      <c r="AM477" s="55"/>
      <c r="AN477" s="55"/>
      <c r="AO477" s="55"/>
      <c r="AP477" s="55"/>
      <c r="AQ477" s="55"/>
      <c r="AR477" s="55"/>
      <c r="AS477" s="55"/>
      <c r="AT477" s="55"/>
      <c r="AU477" s="55"/>
      <c r="AV477" s="55"/>
      <c r="AW477" s="55"/>
      <c r="AX477" s="55"/>
      <c r="AY477" s="55"/>
      <c r="AZ477" s="55"/>
      <c r="BA477" s="55"/>
      <c r="BB477" s="55"/>
      <c r="BC477" s="55"/>
      <c r="BD477" s="55"/>
      <c r="BE477" s="55"/>
      <c r="BF477" s="55"/>
      <c r="BG477" s="55"/>
      <c r="BH477" s="55"/>
      <c r="BI477" s="55"/>
      <c r="BJ477" s="55"/>
      <c r="BK477" s="55"/>
      <c r="BL477" s="55"/>
      <c r="BM477" s="55"/>
      <c r="BN477" s="55"/>
      <c r="BO477" s="55"/>
      <c r="BP477" s="55"/>
      <c r="BQ477" s="55"/>
      <c r="BR477" s="55"/>
      <c r="BS477" s="55"/>
    </row>
    <row r="478" spans="1:71" outlineLevel="1" x14ac:dyDescent="0.2">
      <c r="C478" s="11" t="str">
        <f>HM_ZD_Moho!C500</f>
        <v>VAN à terme</v>
      </c>
      <c r="I478" s="63">
        <f ca="1">SUMPRODUCT(OA_IOC_ATCF_AM_3_2005,HM_ZD_AM3_2005!CA_disc_factor_pf)</f>
        <v>0</v>
      </c>
      <c r="J478" s="26" t="s">
        <v>148</v>
      </c>
      <c r="L478" s="55"/>
      <c r="M478" s="55"/>
      <c r="N478" s="55"/>
      <c r="O478" s="55"/>
      <c r="P478" s="55"/>
      <c r="Q478" s="55"/>
      <c r="R478" s="55"/>
      <c r="S478" s="55"/>
      <c r="T478" s="55"/>
      <c r="U478" s="55"/>
      <c r="V478" s="55"/>
      <c r="W478" s="55"/>
      <c r="X478" s="55"/>
      <c r="Y478" s="55"/>
      <c r="Z478" s="55"/>
      <c r="AA478" s="55"/>
      <c r="AB478" s="55"/>
      <c r="AC478" s="55"/>
      <c r="AD478" s="55"/>
      <c r="AE478" s="55"/>
      <c r="AF478" s="55"/>
      <c r="AG478" s="55"/>
      <c r="AH478" s="55"/>
      <c r="AI478" s="55"/>
      <c r="AJ478" s="55"/>
      <c r="AK478" s="55"/>
      <c r="AL478" s="55"/>
      <c r="AM478" s="55"/>
      <c r="AN478" s="55"/>
      <c r="AO478" s="55"/>
      <c r="AP478" s="55"/>
      <c r="AQ478" s="55"/>
      <c r="AR478" s="55"/>
      <c r="AS478" s="55"/>
      <c r="AT478" s="55"/>
      <c r="AU478" s="55"/>
      <c r="AV478" s="55"/>
      <c r="AW478" s="55"/>
      <c r="AX478" s="55"/>
      <c r="AY478" s="55"/>
      <c r="AZ478" s="55"/>
      <c r="BA478" s="55"/>
      <c r="BB478" s="55"/>
      <c r="BC478" s="55"/>
      <c r="BD478" s="55"/>
      <c r="BE478" s="55"/>
      <c r="BF478" s="55"/>
      <c r="BG478" s="55"/>
      <c r="BH478" s="55"/>
      <c r="BI478" s="55"/>
      <c r="BJ478" s="55"/>
      <c r="BK478" s="55"/>
      <c r="BL478" s="55"/>
      <c r="BM478" s="55"/>
      <c r="BN478" s="55"/>
      <c r="BO478" s="55"/>
      <c r="BP478" s="55"/>
      <c r="BQ478" s="55"/>
      <c r="BR478" s="55"/>
      <c r="BS478" s="55"/>
    </row>
    <row r="479" spans="1:71" outlineLevel="1" x14ac:dyDescent="0.2">
      <c r="I479" s="61"/>
      <c r="J479" s="26"/>
      <c r="L479" s="55"/>
      <c r="M479" s="55"/>
      <c r="N479" s="55"/>
      <c r="O479" s="55"/>
      <c r="P479" s="55"/>
      <c r="Q479" s="55"/>
      <c r="R479" s="55"/>
      <c r="S479" s="55"/>
      <c r="T479" s="55"/>
      <c r="U479" s="55"/>
      <c r="V479" s="55"/>
      <c r="W479" s="55"/>
      <c r="X479" s="55"/>
      <c r="Y479" s="55"/>
      <c r="Z479" s="55"/>
      <c r="AA479" s="55"/>
      <c r="AB479" s="55"/>
      <c r="AC479" s="55"/>
      <c r="AD479" s="55"/>
      <c r="AE479" s="55"/>
      <c r="AF479" s="55"/>
      <c r="AG479" s="55"/>
      <c r="AH479" s="55"/>
      <c r="AI479" s="55"/>
      <c r="AJ479" s="55"/>
      <c r="AK479" s="55"/>
      <c r="AL479" s="55"/>
      <c r="AM479" s="55"/>
      <c r="AN479" s="55"/>
      <c r="AO479" s="55"/>
      <c r="AP479" s="55"/>
      <c r="AQ479" s="55"/>
      <c r="AR479" s="55"/>
      <c r="AS479" s="55"/>
      <c r="AT479" s="55"/>
      <c r="AU479" s="55"/>
      <c r="AV479" s="55"/>
      <c r="AW479" s="55"/>
      <c r="AX479" s="55"/>
      <c r="AY479" s="55"/>
      <c r="AZ479" s="55"/>
      <c r="BA479" s="55"/>
      <c r="BB479" s="55"/>
      <c r="BC479" s="55"/>
      <c r="BD479" s="55"/>
      <c r="BE479" s="55"/>
      <c r="BF479" s="55"/>
      <c r="BG479" s="55"/>
      <c r="BH479" s="55"/>
      <c r="BI479" s="55"/>
      <c r="BJ479" s="55"/>
      <c r="BK479" s="55"/>
      <c r="BL479" s="55"/>
      <c r="BM479" s="55"/>
      <c r="BN479" s="55"/>
      <c r="BO479" s="55"/>
      <c r="BP479" s="55"/>
      <c r="BQ479" s="55"/>
      <c r="BR479" s="55"/>
      <c r="BS479" s="55"/>
    </row>
    <row r="480" spans="1:71" outlineLevel="1" x14ac:dyDescent="0.2">
      <c r="C480" s="11" t="str">
        <f>HM_ZD_Moho!C502</f>
        <v>TRI cycle complet</v>
      </c>
      <c r="H480" s="7" t="s">
        <v>512</v>
      </c>
      <c r="I480" s="62" t="str">
        <f ca="1">IFERROR(IRR(INDEX(OA_IOC_ATCF_AM_3_2005,1,MAX(1,$G$403-L4+1)):INDEX(OA_IOC_ATCF_AM_3_2005,1,last_model_year)),"na")</f>
        <v>na</v>
      </c>
      <c r="J480" s="26" t="s">
        <v>90</v>
      </c>
      <c r="L480" s="55"/>
      <c r="M480" s="55"/>
      <c r="N480" s="55"/>
      <c r="O480" s="55"/>
      <c r="P480" s="55"/>
      <c r="Q480" s="55"/>
      <c r="R480" s="55"/>
      <c r="S480" s="55"/>
      <c r="T480" s="55"/>
      <c r="U480" s="55"/>
      <c r="V480" s="55"/>
      <c r="W480" s="55"/>
      <c r="X480" s="55"/>
      <c r="Y480" s="55"/>
      <c r="Z480" s="55"/>
      <c r="AA480" s="55"/>
      <c r="AB480" s="55"/>
      <c r="AC480" s="55"/>
      <c r="AD480" s="55"/>
      <c r="AE480" s="55"/>
      <c r="AF480" s="55"/>
      <c r="AG480" s="55"/>
      <c r="AH480" s="55"/>
      <c r="AI480" s="55"/>
      <c r="AJ480" s="55"/>
      <c r="AK480" s="55"/>
      <c r="AL480" s="55"/>
      <c r="AM480" s="55"/>
      <c r="AN480" s="55"/>
      <c r="AO480" s="55"/>
      <c r="AP480" s="55"/>
      <c r="AQ480" s="55"/>
      <c r="AR480" s="55"/>
      <c r="AS480" s="55"/>
      <c r="AT480" s="55"/>
      <c r="AU480" s="55"/>
      <c r="AV480" s="55"/>
      <c r="AW480" s="55"/>
      <c r="AX480" s="55"/>
      <c r="AY480" s="55"/>
      <c r="AZ480" s="55"/>
      <c r="BA480" s="55"/>
      <c r="BB480" s="55"/>
      <c r="BC480" s="55"/>
      <c r="BD480" s="55"/>
      <c r="BE480" s="55"/>
      <c r="BF480" s="55"/>
      <c r="BG480" s="55"/>
      <c r="BH480" s="55"/>
      <c r="BI480" s="55"/>
      <c r="BJ480" s="55"/>
      <c r="BK480" s="55"/>
      <c r="BL480" s="55"/>
      <c r="BM480" s="55"/>
      <c r="BN480" s="55"/>
      <c r="BO480" s="55"/>
      <c r="BP480" s="55"/>
      <c r="BQ480" s="55"/>
      <c r="BR480" s="55"/>
      <c r="BS480" s="55"/>
    </row>
    <row r="481" spans="1:71" outlineLevel="1" x14ac:dyDescent="0.2">
      <c r="C481" s="11" t="str">
        <f>HM_ZD_Moho!C503</f>
        <v>TRI à terme</v>
      </c>
      <c r="I481" s="62" t="str">
        <f ca="1">IFERROR(IRR(INDEX(OA_IOC_ATCF_AM_3_2005,1,MAX(1,$G$404-L4+1)):INDEX(OA_IOC_ATCF_AM_3_2005,1,last_model_year)),"na")</f>
        <v>na</v>
      </c>
      <c r="J481" s="26" t="s">
        <v>90</v>
      </c>
      <c r="L481" s="55"/>
      <c r="M481" s="55"/>
      <c r="N481" s="55"/>
      <c r="O481" s="55"/>
      <c r="P481" s="55"/>
      <c r="Q481" s="55"/>
      <c r="R481" s="55"/>
      <c r="S481" s="55"/>
      <c r="T481" s="55"/>
      <c r="U481" s="55"/>
      <c r="V481" s="55"/>
      <c r="W481" s="55"/>
      <c r="X481" s="55"/>
      <c r="Y481" s="55"/>
      <c r="Z481" s="55"/>
      <c r="AA481" s="55"/>
      <c r="AB481" s="55"/>
      <c r="AC481" s="55"/>
      <c r="AD481" s="55"/>
      <c r="AE481" s="55"/>
      <c r="AF481" s="55"/>
      <c r="AG481" s="55"/>
      <c r="AH481" s="55"/>
      <c r="AI481" s="55"/>
      <c r="AJ481" s="55"/>
      <c r="AK481" s="55"/>
      <c r="AL481" s="55"/>
      <c r="AM481" s="55"/>
      <c r="AN481" s="55"/>
      <c r="AO481" s="55"/>
      <c r="AP481" s="55"/>
      <c r="AQ481" s="55"/>
      <c r="AR481" s="55"/>
      <c r="AS481" s="55"/>
      <c r="AT481" s="55"/>
      <c r="AU481" s="55"/>
      <c r="AV481" s="55"/>
      <c r="AW481" s="55"/>
      <c r="AX481" s="55"/>
      <c r="AY481" s="55"/>
      <c r="AZ481" s="55"/>
      <c r="BA481" s="55"/>
      <c r="BB481" s="55"/>
      <c r="BC481" s="55"/>
      <c r="BD481" s="55"/>
      <c r="BE481" s="55"/>
      <c r="BF481" s="55"/>
      <c r="BG481" s="55"/>
      <c r="BH481" s="55"/>
      <c r="BI481" s="55"/>
      <c r="BJ481" s="55"/>
      <c r="BK481" s="55"/>
      <c r="BL481" s="55"/>
      <c r="BM481" s="55"/>
      <c r="BN481" s="55"/>
      <c r="BO481" s="55"/>
      <c r="BP481" s="55"/>
      <c r="BQ481" s="55"/>
      <c r="BR481" s="55"/>
      <c r="BS481" s="55"/>
    </row>
    <row r="482" spans="1:71" outlineLevel="1" x14ac:dyDescent="0.2">
      <c r="J482" s="26"/>
      <c r="L482" s="55"/>
      <c r="M482" s="55"/>
      <c r="N482" s="55"/>
      <c r="O482" s="55"/>
      <c r="P482" s="55"/>
      <c r="Q482" s="55"/>
      <c r="R482" s="55"/>
      <c r="S482" s="55"/>
      <c r="T482" s="55"/>
      <c r="U482" s="55"/>
      <c r="V482" s="55"/>
      <c r="W482" s="55"/>
      <c r="X482" s="55"/>
      <c r="Y482" s="55"/>
      <c r="Z482" s="55"/>
      <c r="AA482" s="55"/>
      <c r="AB482" s="55"/>
      <c r="AC482" s="55"/>
      <c r="AD482" s="55"/>
      <c r="AE482" s="55"/>
      <c r="AF482" s="55"/>
      <c r="AG482" s="55"/>
      <c r="AH482" s="55"/>
      <c r="AI482" s="55"/>
      <c r="AJ482" s="55"/>
      <c r="AK482" s="55"/>
      <c r="AL482" s="55"/>
      <c r="AM482" s="55"/>
      <c r="AN482" s="55"/>
      <c r="AO482" s="55"/>
      <c r="AP482" s="55"/>
      <c r="AQ482" s="55"/>
      <c r="AR482" s="55"/>
      <c r="AS482" s="55"/>
      <c r="AT482" s="55"/>
      <c r="AU482" s="55"/>
      <c r="AV482" s="55"/>
      <c r="AW482" s="55"/>
      <c r="AX482" s="55"/>
      <c r="AY482" s="55"/>
      <c r="AZ482" s="55"/>
      <c r="BA482" s="55"/>
      <c r="BB482" s="55"/>
      <c r="BC482" s="55"/>
      <c r="BD482" s="55"/>
      <c r="BE482" s="55"/>
      <c r="BF482" s="55"/>
      <c r="BG482" s="55"/>
      <c r="BH482" s="55"/>
      <c r="BI482" s="55"/>
      <c r="BJ482" s="55"/>
      <c r="BK482" s="55"/>
      <c r="BL482" s="55"/>
      <c r="BM482" s="55"/>
      <c r="BN482" s="55"/>
      <c r="BO482" s="55"/>
      <c r="BP482" s="55"/>
      <c r="BQ482" s="55"/>
      <c r="BR482" s="55"/>
      <c r="BS482" s="55"/>
    </row>
    <row r="483" spans="1:71" outlineLevel="1" x14ac:dyDescent="0.2">
      <c r="C483" s="11" t="str">
        <f>HM_ZD_Moho!C505</f>
        <v>Période de remboursement</v>
      </c>
      <c r="H483" s="7" t="s">
        <v>513</v>
      </c>
      <c r="I483" s="67">
        <f ca="1">COUNTIF(L475:BS475,"&lt;0")+1</f>
        <v>3</v>
      </c>
      <c r="J483" s="26"/>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c r="BF483" s="7"/>
      <c r="BG483" s="7"/>
      <c r="BH483" s="7"/>
      <c r="BI483" s="7"/>
      <c r="BJ483" s="7"/>
      <c r="BK483" s="7"/>
      <c r="BL483" s="7"/>
      <c r="BM483" s="7"/>
      <c r="BN483" s="7"/>
      <c r="BO483" s="7"/>
      <c r="BP483" s="7"/>
      <c r="BQ483" s="7"/>
      <c r="BR483" s="7"/>
      <c r="BS483" s="7"/>
    </row>
    <row r="484" spans="1:71" outlineLevel="1" x14ac:dyDescent="0.2">
      <c r="C484" s="11"/>
      <c r="J484" s="26"/>
      <c r="L484" s="55"/>
      <c r="M484" s="55"/>
      <c r="N484" s="55"/>
      <c r="O484" s="55"/>
      <c r="P484" s="55"/>
      <c r="Q484" s="55"/>
      <c r="R484" s="55"/>
      <c r="S484" s="55"/>
      <c r="T484" s="55"/>
      <c r="U484" s="55"/>
      <c r="V484" s="55"/>
      <c r="W484" s="55"/>
      <c r="X484" s="55"/>
      <c r="Y484" s="55"/>
      <c r="Z484" s="55"/>
      <c r="AA484" s="55"/>
      <c r="AB484" s="55"/>
      <c r="AC484" s="55"/>
      <c r="AD484" s="55"/>
      <c r="AE484" s="55"/>
      <c r="AF484" s="55"/>
      <c r="AG484" s="55"/>
      <c r="AH484" s="55"/>
      <c r="AI484" s="55"/>
      <c r="AJ484" s="55"/>
      <c r="AK484" s="55"/>
      <c r="AL484" s="55"/>
      <c r="AM484" s="55"/>
      <c r="AN484" s="55"/>
      <c r="AO484" s="55"/>
      <c r="AP484" s="55"/>
      <c r="AQ484" s="55"/>
      <c r="AR484" s="55"/>
      <c r="AS484" s="55"/>
      <c r="AT484" s="55"/>
      <c r="AU484" s="55"/>
      <c r="AV484" s="55"/>
      <c r="AW484" s="55"/>
      <c r="AX484" s="55"/>
      <c r="AY484" s="55"/>
      <c r="AZ484" s="55"/>
      <c r="BA484" s="55"/>
      <c r="BB484" s="55"/>
      <c r="BC484" s="55"/>
      <c r="BD484" s="55"/>
      <c r="BE484" s="55"/>
      <c r="BF484" s="55"/>
      <c r="BG484" s="55"/>
      <c r="BH484" s="55"/>
      <c r="BI484" s="55"/>
      <c r="BJ484" s="55"/>
      <c r="BK484" s="55"/>
      <c r="BL484" s="55"/>
      <c r="BM484" s="55"/>
      <c r="BN484" s="55"/>
      <c r="BO484" s="55"/>
      <c r="BP484" s="55"/>
      <c r="BQ484" s="55"/>
      <c r="BR484" s="55"/>
      <c r="BS484" s="55"/>
    </row>
    <row r="485" spans="1:71" outlineLevel="1" x14ac:dyDescent="0.2">
      <c r="J485" s="26"/>
      <c r="L485" s="55"/>
      <c r="M485" s="55"/>
      <c r="N485" s="55"/>
      <c r="O485" s="55"/>
      <c r="P485" s="55"/>
      <c r="Q485" s="55"/>
      <c r="R485" s="55"/>
      <c r="S485" s="55"/>
      <c r="T485" s="55"/>
      <c r="U485" s="55"/>
      <c r="V485" s="55"/>
      <c r="W485" s="55"/>
      <c r="X485" s="55"/>
      <c r="Y485" s="55"/>
      <c r="Z485" s="55"/>
      <c r="AA485" s="55"/>
      <c r="AB485" s="55"/>
      <c r="AC485" s="55"/>
      <c r="AD485" s="55"/>
      <c r="AE485" s="55"/>
      <c r="AF485" s="55"/>
      <c r="AG485" s="55"/>
      <c r="AH485" s="55"/>
      <c r="AI485" s="55"/>
      <c r="AJ485" s="55"/>
      <c r="AK485" s="55"/>
      <c r="AL485" s="55"/>
      <c r="AM485" s="55"/>
      <c r="AN485" s="55"/>
      <c r="AO485" s="55"/>
      <c r="AP485" s="55"/>
      <c r="AQ485" s="55"/>
      <c r="AR485" s="55"/>
      <c r="AS485" s="55"/>
      <c r="AT485" s="55"/>
      <c r="AU485" s="55"/>
      <c r="AV485" s="55"/>
      <c r="AW485" s="55"/>
      <c r="AX485" s="55"/>
      <c r="AY485" s="55"/>
      <c r="AZ485" s="55"/>
      <c r="BA485" s="55"/>
      <c r="BB485" s="55"/>
      <c r="BC485" s="55"/>
      <c r="BD485" s="55"/>
      <c r="BE485" s="55"/>
      <c r="BF485" s="55"/>
      <c r="BG485" s="55"/>
      <c r="BH485" s="55"/>
      <c r="BI485" s="55"/>
      <c r="BJ485" s="55"/>
      <c r="BK485" s="55"/>
      <c r="BL485" s="55"/>
      <c r="BM485" s="55"/>
      <c r="BN485" s="55"/>
      <c r="BO485" s="55"/>
      <c r="BP485" s="55"/>
      <c r="BQ485" s="55"/>
      <c r="BR485" s="55"/>
      <c r="BS485" s="55"/>
    </row>
    <row r="486" spans="1:71" outlineLevel="1" x14ac:dyDescent="0.2">
      <c r="A486" s="45"/>
      <c r="B486" s="38" t="str">
        <f>HM_ZD_Moho!B508</f>
        <v>Flux de trésorerie compagnie nationale</v>
      </c>
      <c r="C486" s="45"/>
      <c r="D486" s="45"/>
      <c r="E486" s="45"/>
      <c r="J486" s="26"/>
      <c r="L486" s="55"/>
      <c r="M486" s="55"/>
      <c r="N486" s="55"/>
      <c r="O486" s="55"/>
      <c r="P486" s="55"/>
      <c r="Q486" s="55"/>
      <c r="R486" s="55"/>
      <c r="S486" s="55"/>
      <c r="T486" s="55"/>
      <c r="U486" s="55"/>
      <c r="V486" s="55"/>
      <c r="W486" s="55"/>
      <c r="X486" s="55"/>
      <c r="Y486" s="55"/>
      <c r="Z486" s="55"/>
      <c r="AA486" s="55"/>
      <c r="AB486" s="55"/>
      <c r="AC486" s="55"/>
      <c r="AD486" s="55"/>
      <c r="AE486" s="55"/>
      <c r="AF486" s="55"/>
      <c r="AG486" s="55"/>
      <c r="AH486" s="55"/>
      <c r="AI486" s="55"/>
      <c r="AJ486" s="55"/>
      <c r="AK486" s="55"/>
      <c r="AL486" s="55"/>
      <c r="AM486" s="55"/>
      <c r="AN486" s="55"/>
      <c r="AO486" s="55"/>
      <c r="AP486" s="55"/>
      <c r="AQ486" s="55"/>
      <c r="AR486" s="55"/>
      <c r="AS486" s="55"/>
      <c r="AT486" s="55"/>
      <c r="AU486" s="55"/>
      <c r="AV486" s="55"/>
      <c r="AW486" s="55"/>
      <c r="AX486" s="55"/>
      <c r="AY486" s="55"/>
      <c r="AZ486" s="55"/>
      <c r="BA486" s="55"/>
      <c r="BB486" s="55"/>
      <c r="BC486" s="55"/>
      <c r="BD486" s="55"/>
      <c r="BE486" s="55"/>
      <c r="BF486" s="55"/>
      <c r="BG486" s="55"/>
      <c r="BH486" s="55"/>
      <c r="BI486" s="55"/>
      <c r="BJ486" s="55"/>
      <c r="BK486" s="55"/>
      <c r="BL486" s="55"/>
      <c r="BM486" s="55"/>
      <c r="BN486" s="55"/>
      <c r="BO486" s="55"/>
      <c r="BP486" s="55"/>
      <c r="BQ486" s="55"/>
      <c r="BR486" s="55"/>
      <c r="BS486" s="55"/>
    </row>
    <row r="487" spans="1:71" outlineLevel="1" x14ac:dyDescent="0.2">
      <c r="J487" s="26"/>
      <c r="L487" s="55"/>
      <c r="M487" s="55"/>
      <c r="N487" s="55"/>
      <c r="O487" s="55"/>
      <c r="P487" s="55"/>
      <c r="Q487" s="55"/>
      <c r="R487" s="55"/>
      <c r="S487" s="55"/>
      <c r="T487" s="55"/>
      <c r="U487" s="55"/>
      <c r="V487" s="55"/>
      <c r="W487" s="55"/>
      <c r="X487" s="55"/>
      <c r="Y487" s="55"/>
      <c r="Z487" s="55"/>
      <c r="AA487" s="55"/>
      <c r="AB487" s="55"/>
      <c r="AC487" s="55"/>
      <c r="AD487" s="55"/>
      <c r="AE487" s="55"/>
      <c r="AF487" s="55"/>
      <c r="AG487" s="55"/>
      <c r="AH487" s="55"/>
      <c r="AI487" s="55"/>
      <c r="AJ487" s="55"/>
      <c r="AK487" s="55"/>
      <c r="AL487" s="55"/>
      <c r="AM487" s="55"/>
      <c r="AN487" s="55"/>
      <c r="AO487" s="55"/>
      <c r="AP487" s="55"/>
      <c r="AQ487" s="55"/>
      <c r="AR487" s="55"/>
      <c r="AS487" s="55"/>
      <c r="AT487" s="55"/>
      <c r="AU487" s="55"/>
      <c r="AV487" s="55"/>
      <c r="AW487" s="55"/>
      <c r="AX487" s="55"/>
      <c r="AY487" s="55"/>
      <c r="AZ487" s="55"/>
      <c r="BA487" s="55"/>
      <c r="BB487" s="55"/>
      <c r="BC487" s="55"/>
      <c r="BD487" s="55"/>
      <c r="BE487" s="55"/>
      <c r="BF487" s="55"/>
      <c r="BG487" s="55"/>
      <c r="BH487" s="55"/>
      <c r="BI487" s="55"/>
      <c r="BJ487" s="55"/>
      <c r="BK487" s="55"/>
      <c r="BL487" s="55"/>
      <c r="BM487" s="55"/>
      <c r="BN487" s="55"/>
      <c r="BO487" s="55"/>
      <c r="BP487" s="55"/>
      <c r="BQ487" s="55"/>
      <c r="BR487" s="55"/>
      <c r="BS487" s="55"/>
    </row>
    <row r="488" spans="1:71" outlineLevel="1" x14ac:dyDescent="0.2">
      <c r="C488" s="11" t="str">
        <f>HM_ZD_Moho!C510</f>
        <v>Revenus des droits</v>
      </c>
      <c r="J488" s="26"/>
      <c r="L488" s="55"/>
      <c r="M488" s="55"/>
      <c r="N488" s="55"/>
      <c r="O488" s="55"/>
      <c r="P488" s="55"/>
      <c r="Q488" s="55"/>
      <c r="R488" s="55"/>
      <c r="S488" s="55"/>
      <c r="T488" s="55"/>
      <c r="U488" s="55"/>
      <c r="V488" s="55"/>
      <c r="W488" s="55"/>
      <c r="X488" s="55"/>
      <c r="Y488" s="55"/>
      <c r="Z488" s="55"/>
      <c r="AA488" s="55"/>
      <c r="AB488" s="55"/>
      <c r="AC488" s="55"/>
      <c r="AD488" s="55"/>
      <c r="AE488" s="55"/>
      <c r="AF488" s="55"/>
      <c r="AG488" s="55"/>
      <c r="AH488" s="55"/>
      <c r="AI488" s="55"/>
      <c r="AJ488" s="55"/>
      <c r="AK488" s="55"/>
      <c r="AL488" s="55"/>
      <c r="AM488" s="55"/>
      <c r="AN488" s="55"/>
      <c r="AO488" s="55"/>
      <c r="AP488" s="55"/>
      <c r="AQ488" s="55"/>
      <c r="AR488" s="55"/>
      <c r="AS488" s="55"/>
      <c r="AT488" s="55"/>
      <c r="AU488" s="55"/>
      <c r="AV488" s="55"/>
      <c r="AW488" s="55"/>
      <c r="AX488" s="55"/>
      <c r="AY488" s="55"/>
      <c r="AZ488" s="55"/>
      <c r="BA488" s="55"/>
      <c r="BB488" s="55"/>
      <c r="BC488" s="55"/>
      <c r="BD488" s="55"/>
      <c r="BE488" s="55"/>
      <c r="BF488" s="55"/>
      <c r="BG488" s="55"/>
      <c r="BH488" s="55"/>
      <c r="BI488" s="55"/>
      <c r="BJ488" s="55"/>
      <c r="BK488" s="55"/>
      <c r="BL488" s="55"/>
      <c r="BM488" s="55"/>
      <c r="BN488" s="55"/>
      <c r="BO488" s="55"/>
      <c r="BP488" s="55"/>
      <c r="BQ488" s="55"/>
      <c r="BR488" s="55"/>
      <c r="BS488" s="55"/>
    </row>
    <row r="489" spans="1:71" outlineLevel="1" x14ac:dyDescent="0.2">
      <c r="D489" t="str">
        <f>HM_ZD_Moho!D511</f>
        <v>Revenus des droits</v>
      </c>
      <c r="I489" s="30">
        <f t="shared" ref="I489:I495" ca="1" si="160">SUM($L489:$BS489)</f>
        <v>204.28637002792556</v>
      </c>
      <c r="J489" s="26" t="s">
        <v>148</v>
      </c>
      <c r="L489" s="49" cm="1">
        <f t="array" aca="1" ref="L489:BS489" ca="1">(HM_ZD_AM3_2005!CA_ent_rev_gas+HM_ZD_AM3_2005!CA_ent_rev_oil)*HM_ZD_AM3_2005!CA_NOC_WI</f>
        <v>103.61461843531481</v>
      </c>
      <c r="M489" s="49">
        <f ca="1"/>
        <v>100.67175159261075</v>
      </c>
      <c r="N489" s="49">
        <f ca="1"/>
        <v>0</v>
      </c>
      <c r="O489" s="49">
        <f ca="1"/>
        <v>0</v>
      </c>
      <c r="P489" s="49">
        <f ca="1"/>
        <v>0</v>
      </c>
      <c r="Q489" s="49">
        <f ca="1"/>
        <v>0</v>
      </c>
      <c r="R489" s="49">
        <f ca="1"/>
        <v>0</v>
      </c>
      <c r="S489" s="49">
        <f ca="1"/>
        <v>0</v>
      </c>
      <c r="T489" s="49">
        <f ca="1"/>
        <v>0</v>
      </c>
      <c r="U489" s="49">
        <f ca="1"/>
        <v>0</v>
      </c>
      <c r="V489" s="49">
        <f ca="1"/>
        <v>0</v>
      </c>
      <c r="W489" s="49">
        <f ca="1"/>
        <v>0</v>
      </c>
      <c r="X489" s="49">
        <f ca="1"/>
        <v>0</v>
      </c>
      <c r="Y489" s="49">
        <f ca="1"/>
        <v>0</v>
      </c>
      <c r="Z489" s="49">
        <f ca="1"/>
        <v>0</v>
      </c>
      <c r="AA489" s="49">
        <f ca="1"/>
        <v>0</v>
      </c>
      <c r="AB489" s="49">
        <f ca="1"/>
        <v>0</v>
      </c>
      <c r="AC489" s="49">
        <f ca="1"/>
        <v>0</v>
      </c>
      <c r="AD489" s="49">
        <f ca="1"/>
        <v>0</v>
      </c>
      <c r="AE489" s="49">
        <f ca="1"/>
        <v>0</v>
      </c>
      <c r="AF489" s="49">
        <f ca="1"/>
        <v>0</v>
      </c>
      <c r="AG489" s="49">
        <f ca="1"/>
        <v>0</v>
      </c>
      <c r="AH489" s="49">
        <f ca="1"/>
        <v>0</v>
      </c>
      <c r="AI489" s="49">
        <f ca="1"/>
        <v>0</v>
      </c>
      <c r="AJ489" s="49">
        <f ca="1"/>
        <v>0</v>
      </c>
      <c r="AK489" s="49">
        <f ca="1"/>
        <v>0</v>
      </c>
      <c r="AL489" s="49">
        <f ca="1"/>
        <v>0</v>
      </c>
      <c r="AM489" s="49">
        <f ca="1"/>
        <v>0</v>
      </c>
      <c r="AN489" s="49">
        <f ca="1"/>
        <v>0</v>
      </c>
      <c r="AO489" s="49">
        <f ca="1"/>
        <v>0</v>
      </c>
      <c r="AP489" s="49">
        <f ca="1"/>
        <v>0</v>
      </c>
      <c r="AQ489" s="49">
        <f ca="1"/>
        <v>0</v>
      </c>
      <c r="AR489" s="49">
        <f ca="1"/>
        <v>0</v>
      </c>
      <c r="AS489" s="49">
        <f ca="1"/>
        <v>0</v>
      </c>
      <c r="AT489" s="49">
        <f ca="1"/>
        <v>0</v>
      </c>
      <c r="AU489" s="49">
        <f ca="1"/>
        <v>0</v>
      </c>
      <c r="AV489" s="49">
        <f ca="1"/>
        <v>0</v>
      </c>
      <c r="AW489" s="49">
        <f ca="1"/>
        <v>0</v>
      </c>
      <c r="AX489" s="49">
        <f ca="1"/>
        <v>0</v>
      </c>
      <c r="AY489" s="49">
        <f ca="1"/>
        <v>0</v>
      </c>
      <c r="AZ489" s="49">
        <f ca="1"/>
        <v>0</v>
      </c>
      <c r="BA489" s="49">
        <f ca="1"/>
        <v>0</v>
      </c>
      <c r="BB489" s="49">
        <f ca="1"/>
        <v>0</v>
      </c>
      <c r="BC489" s="49">
        <f ca="1"/>
        <v>0</v>
      </c>
      <c r="BD489" s="49">
        <f ca="1"/>
        <v>0</v>
      </c>
      <c r="BE489" s="49">
        <f ca="1"/>
        <v>0</v>
      </c>
      <c r="BF489" s="49">
        <f ca="1"/>
        <v>0</v>
      </c>
      <c r="BG489" s="49">
        <f ca="1"/>
        <v>0</v>
      </c>
      <c r="BH489" s="49">
        <f ca="1"/>
        <v>0</v>
      </c>
      <c r="BI489" s="49">
        <f ca="1"/>
        <v>0</v>
      </c>
      <c r="BJ489" s="49">
        <f ca="1"/>
        <v>0</v>
      </c>
      <c r="BK489" s="49">
        <f ca="1"/>
        <v>0</v>
      </c>
      <c r="BL489" s="49">
        <f ca="1"/>
        <v>0</v>
      </c>
      <c r="BM489" s="49">
        <f ca="1"/>
        <v>0</v>
      </c>
      <c r="BN489" s="49">
        <f ca="1"/>
        <v>0</v>
      </c>
      <c r="BO489" s="49">
        <f ca="1"/>
        <v>0</v>
      </c>
      <c r="BP489" s="49">
        <f ca="1"/>
        <v>0</v>
      </c>
      <c r="BQ489" s="49">
        <f ca="1"/>
        <v>0</v>
      </c>
      <c r="BR489" s="49">
        <f ca="1"/>
        <v>0</v>
      </c>
      <c r="BS489" s="49">
        <f ca="1"/>
        <v>0</v>
      </c>
    </row>
    <row r="490" spans="1:71" outlineLevel="1" x14ac:dyDescent="0.2">
      <c r="D490" t="str">
        <f>HM_ZD_Moho!D512</f>
        <v>Remboursement du portage</v>
      </c>
      <c r="I490" s="30">
        <f t="shared" ca="1" si="160"/>
        <v>-153.21477752094415</v>
      </c>
      <c r="J490" s="26" t="s">
        <v>148</v>
      </c>
      <c r="L490" s="49" cm="1">
        <f t="array" aca="1" ref="L490:BS490" ca="1">HM_ZD_AM3_2005!CA_NOC_carry_payback</f>
        <v>-77.710963826486108</v>
      </c>
      <c r="M490" s="49">
        <f ca="1"/>
        <v>-75.50381369445806</v>
      </c>
      <c r="N490" s="49">
        <f ca="1"/>
        <v>0</v>
      </c>
      <c r="O490" s="49">
        <f ca="1"/>
        <v>0</v>
      </c>
      <c r="P490" s="49">
        <f ca="1"/>
        <v>0</v>
      </c>
      <c r="Q490" s="49">
        <f ca="1"/>
        <v>0</v>
      </c>
      <c r="R490" s="49">
        <f ca="1"/>
        <v>0</v>
      </c>
      <c r="S490" s="49">
        <f ca="1"/>
        <v>0</v>
      </c>
      <c r="T490" s="49">
        <f ca="1"/>
        <v>0</v>
      </c>
      <c r="U490" s="49">
        <f ca="1"/>
        <v>0</v>
      </c>
      <c r="V490" s="49">
        <f ca="1"/>
        <v>0</v>
      </c>
      <c r="W490" s="49">
        <f ca="1"/>
        <v>0</v>
      </c>
      <c r="X490" s="49">
        <f ca="1"/>
        <v>0</v>
      </c>
      <c r="Y490" s="49">
        <f ca="1"/>
        <v>0</v>
      </c>
      <c r="Z490" s="49">
        <f ca="1"/>
        <v>0</v>
      </c>
      <c r="AA490" s="49">
        <f ca="1"/>
        <v>0</v>
      </c>
      <c r="AB490" s="49">
        <f ca="1"/>
        <v>0</v>
      </c>
      <c r="AC490" s="49">
        <f ca="1"/>
        <v>0</v>
      </c>
      <c r="AD490" s="49">
        <f ca="1"/>
        <v>0</v>
      </c>
      <c r="AE490" s="49">
        <f ca="1"/>
        <v>0</v>
      </c>
      <c r="AF490" s="49">
        <f ca="1"/>
        <v>0</v>
      </c>
      <c r="AG490" s="49">
        <f ca="1"/>
        <v>0</v>
      </c>
      <c r="AH490" s="49">
        <f ca="1"/>
        <v>0</v>
      </c>
      <c r="AI490" s="49">
        <f ca="1"/>
        <v>0</v>
      </c>
      <c r="AJ490" s="49">
        <f ca="1"/>
        <v>0</v>
      </c>
      <c r="AK490" s="49">
        <f ca="1"/>
        <v>0</v>
      </c>
      <c r="AL490" s="49">
        <f ca="1"/>
        <v>0</v>
      </c>
      <c r="AM490" s="49">
        <f ca="1"/>
        <v>0</v>
      </c>
      <c r="AN490" s="49">
        <f ca="1"/>
        <v>0</v>
      </c>
      <c r="AO490" s="49">
        <f ca="1"/>
        <v>0</v>
      </c>
      <c r="AP490" s="49">
        <f ca="1"/>
        <v>0</v>
      </c>
      <c r="AQ490" s="49">
        <f ca="1"/>
        <v>0</v>
      </c>
      <c r="AR490" s="49">
        <f ca="1"/>
        <v>0</v>
      </c>
      <c r="AS490" s="49">
        <f ca="1"/>
        <v>0</v>
      </c>
      <c r="AT490" s="49">
        <f ca="1"/>
        <v>0</v>
      </c>
      <c r="AU490" s="49">
        <f ca="1"/>
        <v>0</v>
      </c>
      <c r="AV490" s="49">
        <f ca="1"/>
        <v>0</v>
      </c>
      <c r="AW490" s="49">
        <f ca="1"/>
        <v>0</v>
      </c>
      <c r="AX490" s="49">
        <f ca="1"/>
        <v>0</v>
      </c>
      <c r="AY490" s="49">
        <f ca="1"/>
        <v>0</v>
      </c>
      <c r="AZ490" s="49">
        <f ca="1"/>
        <v>0</v>
      </c>
      <c r="BA490" s="49">
        <f ca="1"/>
        <v>0</v>
      </c>
      <c r="BB490" s="49">
        <f ca="1"/>
        <v>0</v>
      </c>
      <c r="BC490" s="49">
        <f ca="1"/>
        <v>0</v>
      </c>
      <c r="BD490" s="49">
        <f ca="1"/>
        <v>0</v>
      </c>
      <c r="BE490" s="49">
        <f ca="1"/>
        <v>0</v>
      </c>
      <c r="BF490" s="49">
        <f ca="1"/>
        <v>0</v>
      </c>
      <c r="BG490" s="49">
        <f ca="1"/>
        <v>0</v>
      </c>
      <c r="BH490" s="49">
        <f ca="1"/>
        <v>0</v>
      </c>
      <c r="BI490" s="49">
        <f ca="1"/>
        <v>0</v>
      </c>
      <c r="BJ490" s="49">
        <f ca="1"/>
        <v>0</v>
      </c>
      <c r="BK490" s="49">
        <f ca="1"/>
        <v>0</v>
      </c>
      <c r="BL490" s="49">
        <f ca="1"/>
        <v>0</v>
      </c>
      <c r="BM490" s="49">
        <f ca="1"/>
        <v>0</v>
      </c>
      <c r="BN490" s="49">
        <f ca="1"/>
        <v>0</v>
      </c>
      <c r="BO490" s="49">
        <f ca="1"/>
        <v>0</v>
      </c>
      <c r="BP490" s="49">
        <f ca="1"/>
        <v>0</v>
      </c>
      <c r="BQ490" s="49">
        <f ca="1"/>
        <v>0</v>
      </c>
      <c r="BR490" s="49">
        <f ca="1"/>
        <v>0</v>
      </c>
      <c r="BS490" s="49">
        <f ca="1"/>
        <v>0</v>
      </c>
    </row>
    <row r="491" spans="1:71" outlineLevel="1" x14ac:dyDescent="0.2">
      <c r="D491" s="11" t="str">
        <f>HM_ZD_Moho!D513</f>
        <v>Total Entitlement Revenue</v>
      </c>
      <c r="I491" s="30">
        <f t="shared" ca="1" si="160"/>
        <v>51.071592506981389</v>
      </c>
      <c r="J491" s="26" t="s">
        <v>148</v>
      </c>
      <c r="L491" s="49">
        <f ca="1">SUM(L489:L490)</f>
        <v>25.903654608828703</v>
      </c>
      <c r="M491" s="49">
        <f t="shared" ref="M491:BS491" ca="1" si="161">SUM(M489:M490)</f>
        <v>25.167937898152687</v>
      </c>
      <c r="N491" s="49">
        <f t="shared" ca="1" si="161"/>
        <v>0</v>
      </c>
      <c r="O491" s="49">
        <f t="shared" ca="1" si="161"/>
        <v>0</v>
      </c>
      <c r="P491" s="49">
        <f t="shared" ca="1" si="161"/>
        <v>0</v>
      </c>
      <c r="Q491" s="49">
        <f t="shared" ca="1" si="161"/>
        <v>0</v>
      </c>
      <c r="R491" s="49">
        <f t="shared" ca="1" si="161"/>
        <v>0</v>
      </c>
      <c r="S491" s="49">
        <f t="shared" ca="1" si="161"/>
        <v>0</v>
      </c>
      <c r="T491" s="49">
        <f t="shared" ca="1" si="161"/>
        <v>0</v>
      </c>
      <c r="U491" s="49">
        <f t="shared" ca="1" si="161"/>
        <v>0</v>
      </c>
      <c r="V491" s="49">
        <f t="shared" ca="1" si="161"/>
        <v>0</v>
      </c>
      <c r="W491" s="49">
        <f t="shared" ca="1" si="161"/>
        <v>0</v>
      </c>
      <c r="X491" s="49">
        <f t="shared" ca="1" si="161"/>
        <v>0</v>
      </c>
      <c r="Y491" s="49">
        <f t="shared" ca="1" si="161"/>
        <v>0</v>
      </c>
      <c r="Z491" s="49">
        <f t="shared" ca="1" si="161"/>
        <v>0</v>
      </c>
      <c r="AA491" s="49">
        <f t="shared" ca="1" si="161"/>
        <v>0</v>
      </c>
      <c r="AB491" s="49">
        <f t="shared" ca="1" si="161"/>
        <v>0</v>
      </c>
      <c r="AC491" s="49">
        <f t="shared" ca="1" si="161"/>
        <v>0</v>
      </c>
      <c r="AD491" s="49">
        <f t="shared" ca="1" si="161"/>
        <v>0</v>
      </c>
      <c r="AE491" s="49">
        <f t="shared" ca="1" si="161"/>
        <v>0</v>
      </c>
      <c r="AF491" s="49">
        <f t="shared" ca="1" si="161"/>
        <v>0</v>
      </c>
      <c r="AG491" s="49">
        <f t="shared" ca="1" si="161"/>
        <v>0</v>
      </c>
      <c r="AH491" s="49">
        <f t="shared" ca="1" si="161"/>
        <v>0</v>
      </c>
      <c r="AI491" s="49">
        <f t="shared" ca="1" si="161"/>
        <v>0</v>
      </c>
      <c r="AJ491" s="49">
        <f t="shared" ca="1" si="161"/>
        <v>0</v>
      </c>
      <c r="AK491" s="49">
        <f t="shared" ca="1" si="161"/>
        <v>0</v>
      </c>
      <c r="AL491" s="49">
        <f t="shared" ca="1" si="161"/>
        <v>0</v>
      </c>
      <c r="AM491" s="49">
        <f t="shared" ca="1" si="161"/>
        <v>0</v>
      </c>
      <c r="AN491" s="49">
        <f t="shared" ca="1" si="161"/>
        <v>0</v>
      </c>
      <c r="AO491" s="49">
        <f t="shared" ca="1" si="161"/>
        <v>0</v>
      </c>
      <c r="AP491" s="49">
        <f t="shared" ca="1" si="161"/>
        <v>0</v>
      </c>
      <c r="AQ491" s="49">
        <f t="shared" ca="1" si="161"/>
        <v>0</v>
      </c>
      <c r="AR491" s="49">
        <f t="shared" ca="1" si="161"/>
        <v>0</v>
      </c>
      <c r="AS491" s="49">
        <f t="shared" ca="1" si="161"/>
        <v>0</v>
      </c>
      <c r="AT491" s="49">
        <f t="shared" ca="1" si="161"/>
        <v>0</v>
      </c>
      <c r="AU491" s="49">
        <f t="shared" ca="1" si="161"/>
        <v>0</v>
      </c>
      <c r="AV491" s="49">
        <f t="shared" ca="1" si="161"/>
        <v>0</v>
      </c>
      <c r="AW491" s="49">
        <f t="shared" ca="1" si="161"/>
        <v>0</v>
      </c>
      <c r="AX491" s="49">
        <f t="shared" ca="1" si="161"/>
        <v>0</v>
      </c>
      <c r="AY491" s="49">
        <f t="shared" ca="1" si="161"/>
        <v>0</v>
      </c>
      <c r="AZ491" s="49">
        <f t="shared" ca="1" si="161"/>
        <v>0</v>
      </c>
      <c r="BA491" s="49">
        <f t="shared" ca="1" si="161"/>
        <v>0</v>
      </c>
      <c r="BB491" s="49">
        <f t="shared" ca="1" si="161"/>
        <v>0</v>
      </c>
      <c r="BC491" s="49">
        <f t="shared" ca="1" si="161"/>
        <v>0</v>
      </c>
      <c r="BD491" s="49">
        <f t="shared" ca="1" si="161"/>
        <v>0</v>
      </c>
      <c r="BE491" s="49">
        <f t="shared" ca="1" si="161"/>
        <v>0</v>
      </c>
      <c r="BF491" s="49">
        <f t="shared" ca="1" si="161"/>
        <v>0</v>
      </c>
      <c r="BG491" s="49">
        <f t="shared" ca="1" si="161"/>
        <v>0</v>
      </c>
      <c r="BH491" s="49">
        <f t="shared" ca="1" si="161"/>
        <v>0</v>
      </c>
      <c r="BI491" s="49">
        <f t="shared" ca="1" si="161"/>
        <v>0</v>
      </c>
      <c r="BJ491" s="49">
        <f t="shared" ca="1" si="161"/>
        <v>0</v>
      </c>
      <c r="BK491" s="49">
        <f t="shared" ca="1" si="161"/>
        <v>0</v>
      </c>
      <c r="BL491" s="49">
        <f t="shared" ca="1" si="161"/>
        <v>0</v>
      </c>
      <c r="BM491" s="49">
        <f t="shared" ca="1" si="161"/>
        <v>0</v>
      </c>
      <c r="BN491" s="49">
        <f t="shared" ca="1" si="161"/>
        <v>0</v>
      </c>
      <c r="BO491" s="49">
        <f t="shared" ca="1" si="161"/>
        <v>0</v>
      </c>
      <c r="BP491" s="49">
        <f t="shared" ca="1" si="161"/>
        <v>0</v>
      </c>
      <c r="BQ491" s="49">
        <f t="shared" ca="1" si="161"/>
        <v>0</v>
      </c>
      <c r="BR491" s="49">
        <f t="shared" ca="1" si="161"/>
        <v>0</v>
      </c>
      <c r="BS491" s="49">
        <f t="shared" ca="1" si="161"/>
        <v>0</v>
      </c>
    </row>
    <row r="492" spans="1:71" outlineLevel="1" x14ac:dyDescent="0.2">
      <c r="J492" s="26"/>
      <c r="L492" s="55"/>
      <c r="M492" s="55"/>
      <c r="N492" s="55"/>
      <c r="O492" s="55"/>
      <c r="P492" s="55"/>
      <c r="Q492" s="55"/>
      <c r="R492" s="55"/>
      <c r="S492" s="55"/>
      <c r="T492" s="55"/>
      <c r="U492" s="55"/>
      <c r="V492" s="55"/>
      <c r="W492" s="55"/>
      <c r="X492" s="55"/>
      <c r="Y492" s="55"/>
      <c r="Z492" s="55"/>
      <c r="AA492" s="55"/>
      <c r="AB492" s="55"/>
      <c r="AC492" s="55"/>
      <c r="AD492" s="55"/>
      <c r="AE492" s="55"/>
      <c r="AF492" s="55"/>
      <c r="AG492" s="55"/>
      <c r="AH492" s="55"/>
      <c r="AI492" s="55"/>
      <c r="AJ492" s="55"/>
      <c r="AK492" s="55"/>
      <c r="AL492" s="55"/>
      <c r="AM492" s="55"/>
      <c r="AN492" s="55"/>
      <c r="AO492" s="55"/>
      <c r="AP492" s="55"/>
      <c r="AQ492" s="55"/>
      <c r="AR492" s="55"/>
      <c r="AS492" s="55"/>
      <c r="AT492" s="55"/>
      <c r="AU492" s="55"/>
      <c r="AV492" s="55"/>
      <c r="AW492" s="55"/>
      <c r="AX492" s="55"/>
      <c r="AY492" s="55"/>
      <c r="AZ492" s="55"/>
      <c r="BA492" s="55"/>
      <c r="BB492" s="55"/>
      <c r="BC492" s="55"/>
      <c r="BD492" s="55"/>
      <c r="BE492" s="55"/>
      <c r="BF492" s="55"/>
      <c r="BG492" s="55"/>
      <c r="BH492" s="55"/>
      <c r="BI492" s="55"/>
      <c r="BJ492" s="55"/>
      <c r="BK492" s="55"/>
      <c r="BL492" s="55"/>
      <c r="BM492" s="55"/>
      <c r="BN492" s="55"/>
      <c r="BO492" s="55"/>
      <c r="BP492" s="55"/>
      <c r="BQ492" s="55"/>
      <c r="BR492" s="55"/>
      <c r="BS492" s="55"/>
    </row>
    <row r="493" spans="1:71" outlineLevel="1" x14ac:dyDescent="0.2">
      <c r="C493" s="11" t="str">
        <f>HM_ZD_Moho!C515</f>
        <v>Coûts d'exploitation</v>
      </c>
      <c r="I493" s="30">
        <f t="shared" ca="1" si="160"/>
        <v>58.903500000000001</v>
      </c>
      <c r="J493" s="26" t="s">
        <v>148</v>
      </c>
      <c r="L493" s="49">
        <f ca="1">(L440*HM_ZD_AM3_2005!CA_NOC_WI)-HM_ZD_AM3_2005!CA_NOC_CI_opex</f>
        <v>25.900649999999999</v>
      </c>
      <c r="M493" s="49">
        <f ca="1">(M440*HM_ZD_AM3_2005!CA_NOC_WI)-HM_ZD_AM3_2005!CA_NOC_CI_opex</f>
        <v>33.002850000000002</v>
      </c>
      <c r="N493" s="49">
        <f ca="1">(N440*HM_ZD_AM3_2005!CA_NOC_WI)-HM_ZD_AM3_2005!CA_NOC_CI_opex</f>
        <v>0</v>
      </c>
      <c r="O493" s="49">
        <f ca="1">(O440*HM_ZD_AM3_2005!CA_NOC_WI)-HM_ZD_AM3_2005!CA_NOC_CI_opex</f>
        <v>0</v>
      </c>
      <c r="P493" s="49">
        <f ca="1">(P440*HM_ZD_AM3_2005!CA_NOC_WI)-HM_ZD_AM3_2005!CA_NOC_CI_opex</f>
        <v>0</v>
      </c>
      <c r="Q493" s="49">
        <f ca="1">(Q440*HM_ZD_AM3_2005!CA_NOC_WI)-HM_ZD_AM3_2005!CA_NOC_CI_opex</f>
        <v>0</v>
      </c>
      <c r="R493" s="49">
        <f ca="1">(R440*HM_ZD_AM3_2005!CA_NOC_WI)-HM_ZD_AM3_2005!CA_NOC_CI_opex</f>
        <v>0</v>
      </c>
      <c r="S493" s="49">
        <f ca="1">(S440*HM_ZD_AM3_2005!CA_NOC_WI)-HM_ZD_AM3_2005!CA_NOC_CI_opex</f>
        <v>0</v>
      </c>
      <c r="T493" s="49">
        <f ca="1">(T440*HM_ZD_AM3_2005!CA_NOC_WI)-HM_ZD_AM3_2005!CA_NOC_CI_opex</f>
        <v>0</v>
      </c>
      <c r="U493" s="49">
        <f ca="1">(U440*HM_ZD_AM3_2005!CA_NOC_WI)-HM_ZD_AM3_2005!CA_NOC_CI_opex</f>
        <v>0</v>
      </c>
      <c r="V493" s="49">
        <f ca="1">(V440*HM_ZD_AM3_2005!CA_NOC_WI)-HM_ZD_AM3_2005!CA_NOC_CI_opex</f>
        <v>0</v>
      </c>
      <c r="W493" s="49">
        <f ca="1">(W440*HM_ZD_AM3_2005!CA_NOC_WI)-HM_ZD_AM3_2005!CA_NOC_CI_opex</f>
        <v>0</v>
      </c>
      <c r="X493" s="49">
        <f ca="1">(X440*HM_ZD_AM3_2005!CA_NOC_WI)-HM_ZD_AM3_2005!CA_NOC_CI_opex</f>
        <v>0</v>
      </c>
      <c r="Y493" s="49">
        <f ca="1">(Y440*HM_ZD_AM3_2005!CA_NOC_WI)-HM_ZD_AM3_2005!CA_NOC_CI_opex</f>
        <v>0</v>
      </c>
      <c r="Z493" s="49">
        <f ca="1">(Z440*HM_ZD_AM3_2005!CA_NOC_WI)-HM_ZD_AM3_2005!CA_NOC_CI_opex</f>
        <v>0</v>
      </c>
      <c r="AA493" s="49">
        <f ca="1">(AA440*HM_ZD_AM3_2005!CA_NOC_WI)-HM_ZD_AM3_2005!CA_NOC_CI_opex</f>
        <v>0</v>
      </c>
      <c r="AB493" s="49">
        <f ca="1">(AB440*HM_ZD_AM3_2005!CA_NOC_WI)-HM_ZD_AM3_2005!CA_NOC_CI_opex</f>
        <v>0</v>
      </c>
      <c r="AC493" s="49">
        <f ca="1">(AC440*HM_ZD_AM3_2005!CA_NOC_WI)-HM_ZD_AM3_2005!CA_NOC_CI_opex</f>
        <v>0</v>
      </c>
      <c r="AD493" s="49">
        <f ca="1">(AD440*HM_ZD_AM3_2005!CA_NOC_WI)-HM_ZD_AM3_2005!CA_NOC_CI_opex</f>
        <v>0</v>
      </c>
      <c r="AE493" s="49">
        <f ca="1">(AE440*HM_ZD_AM3_2005!CA_NOC_WI)-HM_ZD_AM3_2005!CA_NOC_CI_opex</f>
        <v>0</v>
      </c>
      <c r="AF493" s="49">
        <f ca="1">(AF440*HM_ZD_AM3_2005!CA_NOC_WI)-HM_ZD_AM3_2005!CA_NOC_CI_opex</f>
        <v>0</v>
      </c>
      <c r="AG493" s="49">
        <f ca="1">(AG440*HM_ZD_AM3_2005!CA_NOC_WI)-HM_ZD_AM3_2005!CA_NOC_CI_opex</f>
        <v>0</v>
      </c>
      <c r="AH493" s="49">
        <f ca="1">(AH440*HM_ZD_AM3_2005!CA_NOC_WI)-HM_ZD_AM3_2005!CA_NOC_CI_opex</f>
        <v>0</v>
      </c>
      <c r="AI493" s="49">
        <f ca="1">(AI440*HM_ZD_AM3_2005!CA_NOC_WI)-HM_ZD_AM3_2005!CA_NOC_CI_opex</f>
        <v>0</v>
      </c>
      <c r="AJ493" s="49">
        <f ca="1">(AJ440*HM_ZD_AM3_2005!CA_NOC_WI)-HM_ZD_AM3_2005!CA_NOC_CI_opex</f>
        <v>0</v>
      </c>
      <c r="AK493" s="49">
        <f ca="1">(AK440*HM_ZD_AM3_2005!CA_NOC_WI)-HM_ZD_AM3_2005!CA_NOC_CI_opex</f>
        <v>0</v>
      </c>
      <c r="AL493" s="49">
        <f ca="1">(AL440*HM_ZD_AM3_2005!CA_NOC_WI)-HM_ZD_AM3_2005!CA_NOC_CI_opex</f>
        <v>0</v>
      </c>
      <c r="AM493" s="49">
        <f ca="1">(AM440*HM_ZD_AM3_2005!CA_NOC_WI)-HM_ZD_AM3_2005!CA_NOC_CI_opex</f>
        <v>0</v>
      </c>
      <c r="AN493" s="49">
        <f ca="1">(AN440*HM_ZD_AM3_2005!CA_NOC_WI)-HM_ZD_AM3_2005!CA_NOC_CI_opex</f>
        <v>0</v>
      </c>
      <c r="AO493" s="49">
        <f ca="1">(AO440*HM_ZD_AM3_2005!CA_NOC_WI)-HM_ZD_AM3_2005!CA_NOC_CI_opex</f>
        <v>0</v>
      </c>
      <c r="AP493" s="49">
        <f ca="1">(AP440*HM_ZD_AM3_2005!CA_NOC_WI)-HM_ZD_AM3_2005!CA_NOC_CI_opex</f>
        <v>0</v>
      </c>
      <c r="AQ493" s="49">
        <f ca="1">(AQ440*HM_ZD_AM3_2005!CA_NOC_WI)-HM_ZD_AM3_2005!CA_NOC_CI_opex</f>
        <v>0</v>
      </c>
      <c r="AR493" s="49">
        <f ca="1">(AR440*HM_ZD_AM3_2005!CA_NOC_WI)-HM_ZD_AM3_2005!CA_NOC_CI_opex</f>
        <v>0</v>
      </c>
      <c r="AS493" s="49">
        <f ca="1">(AS440*HM_ZD_AM3_2005!CA_NOC_WI)-HM_ZD_AM3_2005!CA_NOC_CI_opex</f>
        <v>0</v>
      </c>
      <c r="AT493" s="49">
        <f ca="1">(AT440*HM_ZD_AM3_2005!CA_NOC_WI)-HM_ZD_AM3_2005!CA_NOC_CI_opex</f>
        <v>0</v>
      </c>
      <c r="AU493" s="49">
        <f ca="1">(AU440*HM_ZD_AM3_2005!CA_NOC_WI)-HM_ZD_AM3_2005!CA_NOC_CI_opex</f>
        <v>0</v>
      </c>
      <c r="AV493" s="49">
        <f ca="1">(AV440*HM_ZD_AM3_2005!CA_NOC_WI)-HM_ZD_AM3_2005!CA_NOC_CI_opex</f>
        <v>0</v>
      </c>
      <c r="AW493" s="49">
        <f ca="1">(AW440*HM_ZD_AM3_2005!CA_NOC_WI)-HM_ZD_AM3_2005!CA_NOC_CI_opex</f>
        <v>0</v>
      </c>
      <c r="AX493" s="49">
        <f ca="1">(AX440*HM_ZD_AM3_2005!CA_NOC_WI)-HM_ZD_AM3_2005!CA_NOC_CI_opex</f>
        <v>0</v>
      </c>
      <c r="AY493" s="49">
        <f ca="1">(AY440*HM_ZD_AM3_2005!CA_NOC_WI)-HM_ZD_AM3_2005!CA_NOC_CI_opex</f>
        <v>0</v>
      </c>
      <c r="AZ493" s="49">
        <f ca="1">(AZ440*HM_ZD_AM3_2005!CA_NOC_WI)-HM_ZD_AM3_2005!CA_NOC_CI_opex</f>
        <v>0</v>
      </c>
      <c r="BA493" s="49">
        <f ca="1">(BA440*HM_ZD_AM3_2005!CA_NOC_WI)-HM_ZD_AM3_2005!CA_NOC_CI_opex</f>
        <v>0</v>
      </c>
      <c r="BB493" s="49">
        <f ca="1">(BB440*HM_ZD_AM3_2005!CA_NOC_WI)-HM_ZD_AM3_2005!CA_NOC_CI_opex</f>
        <v>0</v>
      </c>
      <c r="BC493" s="49">
        <f ca="1">(BC440*HM_ZD_AM3_2005!CA_NOC_WI)-HM_ZD_AM3_2005!CA_NOC_CI_opex</f>
        <v>0</v>
      </c>
      <c r="BD493" s="49">
        <f ca="1">(BD440*HM_ZD_AM3_2005!CA_NOC_WI)-HM_ZD_AM3_2005!CA_NOC_CI_opex</f>
        <v>0</v>
      </c>
      <c r="BE493" s="49">
        <f ca="1">(BE440*HM_ZD_AM3_2005!CA_NOC_WI)-HM_ZD_AM3_2005!CA_NOC_CI_opex</f>
        <v>0</v>
      </c>
      <c r="BF493" s="49">
        <f ca="1">(BF440*HM_ZD_AM3_2005!CA_NOC_WI)-HM_ZD_AM3_2005!CA_NOC_CI_opex</f>
        <v>0</v>
      </c>
      <c r="BG493" s="49">
        <f ca="1">(BG440*HM_ZD_AM3_2005!CA_NOC_WI)-HM_ZD_AM3_2005!CA_NOC_CI_opex</f>
        <v>0</v>
      </c>
      <c r="BH493" s="49">
        <f ca="1">(BH440*HM_ZD_AM3_2005!CA_NOC_WI)-HM_ZD_AM3_2005!CA_NOC_CI_opex</f>
        <v>0</v>
      </c>
      <c r="BI493" s="49">
        <f ca="1">(BI440*HM_ZD_AM3_2005!CA_NOC_WI)-HM_ZD_AM3_2005!CA_NOC_CI_opex</f>
        <v>0</v>
      </c>
      <c r="BJ493" s="49">
        <f ca="1">(BJ440*HM_ZD_AM3_2005!CA_NOC_WI)-HM_ZD_AM3_2005!CA_NOC_CI_opex</f>
        <v>0</v>
      </c>
      <c r="BK493" s="49">
        <f ca="1">(BK440*HM_ZD_AM3_2005!CA_NOC_WI)-HM_ZD_AM3_2005!CA_NOC_CI_opex</f>
        <v>0</v>
      </c>
      <c r="BL493" s="49">
        <f ca="1">(BL440*HM_ZD_AM3_2005!CA_NOC_WI)-HM_ZD_AM3_2005!CA_NOC_CI_opex</f>
        <v>0</v>
      </c>
      <c r="BM493" s="49">
        <f ca="1">(BM440*HM_ZD_AM3_2005!CA_NOC_WI)-HM_ZD_AM3_2005!CA_NOC_CI_opex</f>
        <v>0</v>
      </c>
      <c r="BN493" s="49">
        <f ca="1">(BN440*HM_ZD_AM3_2005!CA_NOC_WI)-HM_ZD_AM3_2005!CA_NOC_CI_opex</f>
        <v>0</v>
      </c>
      <c r="BO493" s="49">
        <f ca="1">(BO440*HM_ZD_AM3_2005!CA_NOC_WI)-HM_ZD_AM3_2005!CA_NOC_CI_opex</f>
        <v>0</v>
      </c>
      <c r="BP493" s="49">
        <f ca="1">(BP440*HM_ZD_AM3_2005!CA_NOC_WI)-HM_ZD_AM3_2005!CA_NOC_CI_opex</f>
        <v>0</v>
      </c>
      <c r="BQ493" s="49">
        <f ca="1">(BQ440*HM_ZD_AM3_2005!CA_NOC_WI)-HM_ZD_AM3_2005!CA_NOC_CI_opex</f>
        <v>0</v>
      </c>
      <c r="BR493" s="49">
        <f ca="1">(BR440*HM_ZD_AM3_2005!CA_NOC_WI)-HM_ZD_AM3_2005!CA_NOC_CI_opex</f>
        <v>0</v>
      </c>
      <c r="BS493" s="49">
        <f ca="1">(BS440*HM_ZD_AM3_2005!CA_NOC_WI)-HM_ZD_AM3_2005!CA_NOC_CI_opex</f>
        <v>0</v>
      </c>
    </row>
    <row r="494" spans="1:71" outlineLevel="1" x14ac:dyDescent="0.2">
      <c r="J494" s="26"/>
      <c r="L494" s="55"/>
      <c r="M494" s="55"/>
      <c r="N494" s="55"/>
      <c r="O494" s="55"/>
      <c r="P494" s="55"/>
      <c r="Q494" s="55"/>
      <c r="R494" s="55"/>
      <c r="S494" s="55"/>
      <c r="T494" s="55"/>
      <c r="U494" s="55"/>
      <c r="V494" s="55"/>
      <c r="W494" s="55"/>
      <c r="X494" s="55"/>
      <c r="Y494" s="55"/>
      <c r="Z494" s="55"/>
      <c r="AA494" s="55"/>
      <c r="AB494" s="55"/>
      <c r="AC494" s="55"/>
      <c r="AD494" s="55"/>
      <c r="AE494" s="55"/>
      <c r="AF494" s="55"/>
      <c r="AG494" s="55"/>
      <c r="AH494" s="55"/>
      <c r="AI494" s="55"/>
      <c r="AJ494" s="55"/>
      <c r="AK494" s="55"/>
      <c r="AL494" s="55"/>
      <c r="AM494" s="55"/>
      <c r="AN494" s="55"/>
      <c r="AO494" s="55"/>
      <c r="AP494" s="55"/>
      <c r="AQ494" s="55"/>
      <c r="AR494" s="55"/>
      <c r="AS494" s="55"/>
      <c r="AT494" s="55"/>
      <c r="AU494" s="55"/>
      <c r="AV494" s="55"/>
      <c r="AW494" s="55"/>
      <c r="AX494" s="55"/>
      <c r="AY494" s="55"/>
      <c r="AZ494" s="55"/>
      <c r="BA494" s="55"/>
      <c r="BB494" s="55"/>
      <c r="BC494" s="55"/>
      <c r="BD494" s="55"/>
      <c r="BE494" s="55"/>
      <c r="BF494" s="55"/>
      <c r="BG494" s="55"/>
      <c r="BH494" s="55"/>
      <c r="BI494" s="55"/>
      <c r="BJ494" s="55"/>
      <c r="BK494" s="55"/>
      <c r="BL494" s="55"/>
      <c r="BM494" s="55"/>
      <c r="BN494" s="55"/>
      <c r="BO494" s="55"/>
      <c r="BP494" s="55"/>
      <c r="BQ494" s="55"/>
      <c r="BR494" s="55"/>
      <c r="BS494" s="55"/>
    </row>
    <row r="495" spans="1:71" outlineLevel="1" x14ac:dyDescent="0.2">
      <c r="C495" s="11" t="str">
        <f>HM_ZD_Moho!C517</f>
        <v>Bonus et frais</v>
      </c>
      <c r="I495" s="30">
        <f t="shared" ca="1" si="160"/>
        <v>5.5949395699364999</v>
      </c>
      <c r="J495" s="26" t="s">
        <v>148</v>
      </c>
      <c r="L495" s="49">
        <f ca="1">L442*HM_ZD_AM3_2005!CA_NOC_WI</f>
        <v>2.8682753200305005</v>
      </c>
      <c r="M495" s="49">
        <f ca="1">M442*HM_ZD_AM3_2005!CA_NOC_WI</f>
        <v>2.726664249905999</v>
      </c>
      <c r="N495" s="49">
        <f ca="1">N442*HM_ZD_AM3_2005!CA_NOC_WI</f>
        <v>0</v>
      </c>
      <c r="O495" s="49">
        <f ca="1">O442*HM_ZD_AM3_2005!CA_NOC_WI</f>
        <v>0</v>
      </c>
      <c r="P495" s="49">
        <f ca="1">P442*HM_ZD_AM3_2005!CA_NOC_WI</f>
        <v>0</v>
      </c>
      <c r="Q495" s="49">
        <f ca="1">Q442*HM_ZD_AM3_2005!CA_NOC_WI</f>
        <v>0</v>
      </c>
      <c r="R495" s="49">
        <f ca="1">R442*HM_ZD_AM3_2005!CA_NOC_WI</f>
        <v>0</v>
      </c>
      <c r="S495" s="49">
        <f ca="1">S442*HM_ZD_AM3_2005!CA_NOC_WI</f>
        <v>0</v>
      </c>
      <c r="T495" s="49">
        <f ca="1">T442*HM_ZD_AM3_2005!CA_NOC_WI</f>
        <v>0</v>
      </c>
      <c r="U495" s="49">
        <f ca="1">U442*HM_ZD_AM3_2005!CA_NOC_WI</f>
        <v>0</v>
      </c>
      <c r="V495" s="49">
        <f ca="1">V442*HM_ZD_AM3_2005!CA_NOC_WI</f>
        <v>0</v>
      </c>
      <c r="W495" s="49">
        <f ca="1">W442*HM_ZD_AM3_2005!CA_NOC_WI</f>
        <v>0</v>
      </c>
      <c r="X495" s="49">
        <f ca="1">X442*HM_ZD_AM3_2005!CA_NOC_WI</f>
        <v>0</v>
      </c>
      <c r="Y495" s="49">
        <f ca="1">Y442*HM_ZD_AM3_2005!CA_NOC_WI</f>
        <v>0</v>
      </c>
      <c r="Z495" s="49">
        <f ca="1">Z442*HM_ZD_AM3_2005!CA_NOC_WI</f>
        <v>0</v>
      </c>
      <c r="AA495" s="49">
        <f ca="1">AA442*HM_ZD_AM3_2005!CA_NOC_WI</f>
        <v>0</v>
      </c>
      <c r="AB495" s="49">
        <f ca="1">AB442*HM_ZD_AM3_2005!CA_NOC_WI</f>
        <v>0</v>
      </c>
      <c r="AC495" s="49">
        <f ca="1">AC442*HM_ZD_AM3_2005!CA_NOC_WI</f>
        <v>0</v>
      </c>
      <c r="AD495" s="49">
        <f ca="1">AD442*HM_ZD_AM3_2005!CA_NOC_WI</f>
        <v>0</v>
      </c>
      <c r="AE495" s="49">
        <f ca="1">AE442*HM_ZD_AM3_2005!CA_NOC_WI</f>
        <v>0</v>
      </c>
      <c r="AF495" s="49">
        <f ca="1">AF442*HM_ZD_AM3_2005!CA_NOC_WI</f>
        <v>0</v>
      </c>
      <c r="AG495" s="49">
        <f ca="1">AG442*HM_ZD_AM3_2005!CA_NOC_WI</f>
        <v>0</v>
      </c>
      <c r="AH495" s="49">
        <f ca="1">AH442*HM_ZD_AM3_2005!CA_NOC_WI</f>
        <v>0</v>
      </c>
      <c r="AI495" s="49">
        <f ca="1">AI442*HM_ZD_AM3_2005!CA_NOC_WI</f>
        <v>0</v>
      </c>
      <c r="AJ495" s="49">
        <f ca="1">AJ442*HM_ZD_AM3_2005!CA_NOC_WI</f>
        <v>0</v>
      </c>
      <c r="AK495" s="49">
        <f ca="1">AK442*HM_ZD_AM3_2005!CA_NOC_WI</f>
        <v>0</v>
      </c>
      <c r="AL495" s="49">
        <f ca="1">AL442*HM_ZD_AM3_2005!CA_NOC_WI</f>
        <v>0</v>
      </c>
      <c r="AM495" s="49">
        <f ca="1">AM442*HM_ZD_AM3_2005!CA_NOC_WI</f>
        <v>0</v>
      </c>
      <c r="AN495" s="49">
        <f ca="1">AN442*HM_ZD_AM3_2005!CA_NOC_WI</f>
        <v>0</v>
      </c>
      <c r="AO495" s="49">
        <f ca="1">AO442*HM_ZD_AM3_2005!CA_NOC_WI</f>
        <v>0</v>
      </c>
      <c r="AP495" s="49">
        <f ca="1">AP442*HM_ZD_AM3_2005!CA_NOC_WI</f>
        <v>0</v>
      </c>
      <c r="AQ495" s="49">
        <f ca="1">AQ442*HM_ZD_AM3_2005!CA_NOC_WI</f>
        <v>0</v>
      </c>
      <c r="AR495" s="49">
        <f ca="1">AR442*HM_ZD_AM3_2005!CA_NOC_WI</f>
        <v>0</v>
      </c>
      <c r="AS495" s="49">
        <f ca="1">AS442*HM_ZD_AM3_2005!CA_NOC_WI</f>
        <v>0</v>
      </c>
      <c r="AT495" s="49">
        <f ca="1">AT442*HM_ZD_AM3_2005!CA_NOC_WI</f>
        <v>0</v>
      </c>
      <c r="AU495" s="49">
        <f ca="1">AU442*HM_ZD_AM3_2005!CA_NOC_WI</f>
        <v>0</v>
      </c>
      <c r="AV495" s="49">
        <f ca="1">AV442*HM_ZD_AM3_2005!CA_NOC_WI</f>
        <v>0</v>
      </c>
      <c r="AW495" s="49">
        <f ca="1">AW442*HM_ZD_AM3_2005!CA_NOC_WI</f>
        <v>0</v>
      </c>
      <c r="AX495" s="49">
        <f ca="1">AX442*HM_ZD_AM3_2005!CA_NOC_WI</f>
        <v>0</v>
      </c>
      <c r="AY495" s="49">
        <f ca="1">AY442*HM_ZD_AM3_2005!CA_NOC_WI</f>
        <v>0</v>
      </c>
      <c r="AZ495" s="49">
        <f ca="1">AZ442*HM_ZD_AM3_2005!CA_NOC_WI</f>
        <v>0</v>
      </c>
      <c r="BA495" s="49">
        <f ca="1">BA442*HM_ZD_AM3_2005!CA_NOC_WI</f>
        <v>0</v>
      </c>
      <c r="BB495" s="49">
        <f ca="1">BB442*HM_ZD_AM3_2005!CA_NOC_WI</f>
        <v>0</v>
      </c>
      <c r="BC495" s="49">
        <f ca="1">BC442*HM_ZD_AM3_2005!CA_NOC_WI</f>
        <v>0</v>
      </c>
      <c r="BD495" s="49">
        <f ca="1">BD442*HM_ZD_AM3_2005!CA_NOC_WI</f>
        <v>0</v>
      </c>
      <c r="BE495" s="49">
        <f ca="1">BE442*HM_ZD_AM3_2005!CA_NOC_WI</f>
        <v>0</v>
      </c>
      <c r="BF495" s="49">
        <f ca="1">BF442*HM_ZD_AM3_2005!CA_NOC_WI</f>
        <v>0</v>
      </c>
      <c r="BG495" s="49">
        <f ca="1">BG442*HM_ZD_AM3_2005!CA_NOC_WI</f>
        <v>0</v>
      </c>
      <c r="BH495" s="49">
        <f ca="1">BH442*HM_ZD_AM3_2005!CA_NOC_WI</f>
        <v>0</v>
      </c>
      <c r="BI495" s="49">
        <f ca="1">BI442*HM_ZD_AM3_2005!CA_NOC_WI</f>
        <v>0</v>
      </c>
      <c r="BJ495" s="49">
        <f ca="1">BJ442*HM_ZD_AM3_2005!CA_NOC_WI</f>
        <v>0</v>
      </c>
      <c r="BK495" s="49">
        <f ca="1">BK442*HM_ZD_AM3_2005!CA_NOC_WI</f>
        <v>0</v>
      </c>
      <c r="BL495" s="49">
        <f ca="1">BL442*HM_ZD_AM3_2005!CA_NOC_WI</f>
        <v>0</v>
      </c>
      <c r="BM495" s="49">
        <f ca="1">BM442*HM_ZD_AM3_2005!CA_NOC_WI</f>
        <v>0</v>
      </c>
      <c r="BN495" s="49">
        <f ca="1">BN442*HM_ZD_AM3_2005!CA_NOC_WI</f>
        <v>0</v>
      </c>
      <c r="BO495" s="49">
        <f ca="1">BO442*HM_ZD_AM3_2005!CA_NOC_WI</f>
        <v>0</v>
      </c>
      <c r="BP495" s="49">
        <f ca="1">BP442*HM_ZD_AM3_2005!CA_NOC_WI</f>
        <v>0</v>
      </c>
      <c r="BQ495" s="49">
        <f ca="1">BQ442*HM_ZD_AM3_2005!CA_NOC_WI</f>
        <v>0</v>
      </c>
      <c r="BR495" s="49">
        <f ca="1">BR442*HM_ZD_AM3_2005!CA_NOC_WI</f>
        <v>0</v>
      </c>
      <c r="BS495" s="49">
        <f ca="1">BS442*HM_ZD_AM3_2005!CA_NOC_WI</f>
        <v>0</v>
      </c>
    </row>
    <row r="496" spans="1:71" outlineLevel="1" x14ac:dyDescent="0.2">
      <c r="J496" s="26"/>
      <c r="L496" s="55"/>
      <c r="M496" s="55"/>
      <c r="N496" s="55"/>
      <c r="O496" s="55"/>
      <c r="P496" s="55"/>
      <c r="Q496" s="55"/>
      <c r="R496" s="55"/>
      <c r="S496" s="55"/>
      <c r="T496" s="55"/>
      <c r="U496" s="55"/>
      <c r="V496" s="55"/>
      <c r="W496" s="55"/>
      <c r="X496" s="55"/>
      <c r="Y496" s="55"/>
      <c r="Z496" s="55"/>
      <c r="AA496" s="55"/>
      <c r="AB496" s="55"/>
      <c r="AC496" s="55"/>
      <c r="AD496" s="55"/>
      <c r="AE496" s="55"/>
      <c r="AF496" s="55"/>
      <c r="AG496" s="55"/>
      <c r="AH496" s="55"/>
      <c r="AI496" s="55"/>
      <c r="AJ496" s="55"/>
      <c r="AK496" s="55"/>
      <c r="AL496" s="55"/>
      <c r="AM496" s="55"/>
      <c r="AN496" s="55"/>
      <c r="AO496" s="55"/>
      <c r="AP496" s="55"/>
      <c r="AQ496" s="55"/>
      <c r="AR496" s="55"/>
      <c r="AS496" s="55"/>
      <c r="AT496" s="55"/>
      <c r="AU496" s="55"/>
      <c r="AV496" s="55"/>
      <c r="AW496" s="55"/>
      <c r="AX496" s="55"/>
      <c r="AY496" s="55"/>
      <c r="AZ496" s="55"/>
      <c r="BA496" s="55"/>
      <c r="BB496" s="55"/>
      <c r="BC496" s="55"/>
      <c r="BD496" s="55"/>
      <c r="BE496" s="55"/>
      <c r="BF496" s="55"/>
      <c r="BG496" s="55"/>
      <c r="BH496" s="55"/>
      <c r="BI496" s="55"/>
      <c r="BJ496" s="55"/>
      <c r="BK496" s="55"/>
      <c r="BL496" s="55"/>
      <c r="BM496" s="55"/>
      <c r="BN496" s="55"/>
      <c r="BO496" s="55"/>
      <c r="BP496" s="55"/>
      <c r="BQ496" s="55"/>
      <c r="BR496" s="55"/>
      <c r="BS496" s="55"/>
    </row>
    <row r="497" spans="3:71" outlineLevel="1" x14ac:dyDescent="0.2">
      <c r="C497" s="11" t="str">
        <f>HM_ZD_Moho!C519</f>
        <v>Production et autres taxes</v>
      </c>
      <c r="I497" s="30">
        <f t="shared" ref="I497:I507" ca="1" si="162">SUM($L497:$BS497)</f>
        <v>0</v>
      </c>
      <c r="J497" s="26" t="s">
        <v>148</v>
      </c>
      <c r="L497" s="49">
        <f ca="1">L444*HM_ZD_AM3_2005!CA_NOC_WI</f>
        <v>0</v>
      </c>
      <c r="M497" s="49">
        <f ca="1">M444*HM_ZD_AM3_2005!CA_NOC_WI</f>
        <v>0</v>
      </c>
      <c r="N497" s="49">
        <f>N444*HM_ZD_AM3_2005!CA_NOC_WI</f>
        <v>0</v>
      </c>
      <c r="O497" s="49">
        <f>O444*HM_ZD_AM3_2005!CA_NOC_WI</f>
        <v>0</v>
      </c>
      <c r="P497" s="49">
        <f>P444*HM_ZD_AM3_2005!CA_NOC_WI</f>
        <v>0</v>
      </c>
      <c r="Q497" s="49">
        <f>Q444*HM_ZD_AM3_2005!CA_NOC_WI</f>
        <v>0</v>
      </c>
      <c r="R497" s="49">
        <f>R444*HM_ZD_AM3_2005!CA_NOC_WI</f>
        <v>0</v>
      </c>
      <c r="S497" s="49">
        <f>S444*HM_ZD_AM3_2005!CA_NOC_WI</f>
        <v>0</v>
      </c>
      <c r="T497" s="49">
        <f>T444*HM_ZD_AM3_2005!CA_NOC_WI</f>
        <v>0</v>
      </c>
      <c r="U497" s="49">
        <f>U444*HM_ZD_AM3_2005!CA_NOC_WI</f>
        <v>0</v>
      </c>
      <c r="V497" s="49">
        <f>V444*HM_ZD_AM3_2005!CA_NOC_WI</f>
        <v>0</v>
      </c>
      <c r="W497" s="49">
        <f>W444*HM_ZD_AM3_2005!CA_NOC_WI</f>
        <v>0</v>
      </c>
      <c r="X497" s="49">
        <f>X444*HM_ZD_AM3_2005!CA_NOC_WI</f>
        <v>0</v>
      </c>
      <c r="Y497" s="49">
        <f>Y444*HM_ZD_AM3_2005!CA_NOC_WI</f>
        <v>0</v>
      </c>
      <c r="Z497" s="49">
        <f>Z444*HM_ZD_AM3_2005!CA_NOC_WI</f>
        <v>0</v>
      </c>
      <c r="AA497" s="49">
        <f>AA444*HM_ZD_AM3_2005!CA_NOC_WI</f>
        <v>0</v>
      </c>
      <c r="AB497" s="49">
        <f>AB444*HM_ZD_AM3_2005!CA_NOC_WI</f>
        <v>0</v>
      </c>
      <c r="AC497" s="49">
        <f>AC444*HM_ZD_AM3_2005!CA_NOC_WI</f>
        <v>0</v>
      </c>
      <c r="AD497" s="49">
        <f>AD444*HM_ZD_AM3_2005!CA_NOC_WI</f>
        <v>0</v>
      </c>
      <c r="AE497" s="49">
        <f>AE444*HM_ZD_AM3_2005!CA_NOC_WI</f>
        <v>0</v>
      </c>
      <c r="AF497" s="49">
        <f>AF444*HM_ZD_AM3_2005!CA_NOC_WI</f>
        <v>0</v>
      </c>
      <c r="AG497" s="49">
        <f>AG444*HM_ZD_AM3_2005!CA_NOC_WI</f>
        <v>0</v>
      </c>
      <c r="AH497" s="49">
        <f>AH444*HM_ZD_AM3_2005!CA_NOC_WI</f>
        <v>0</v>
      </c>
      <c r="AI497" s="49">
        <f>AI444*HM_ZD_AM3_2005!CA_NOC_WI</f>
        <v>0</v>
      </c>
      <c r="AJ497" s="49">
        <f>AJ444*HM_ZD_AM3_2005!CA_NOC_WI</f>
        <v>0</v>
      </c>
      <c r="AK497" s="49">
        <f>AK444*HM_ZD_AM3_2005!CA_NOC_WI</f>
        <v>0</v>
      </c>
      <c r="AL497" s="49">
        <f>AL444*HM_ZD_AM3_2005!CA_NOC_WI</f>
        <v>0</v>
      </c>
      <c r="AM497" s="49">
        <f>AM444*HM_ZD_AM3_2005!CA_NOC_WI</f>
        <v>0</v>
      </c>
      <c r="AN497" s="49">
        <f>AN444*HM_ZD_AM3_2005!CA_NOC_WI</f>
        <v>0</v>
      </c>
      <c r="AO497" s="49">
        <f>AO444*HM_ZD_AM3_2005!CA_NOC_WI</f>
        <v>0</v>
      </c>
      <c r="AP497" s="49">
        <f>AP444*HM_ZD_AM3_2005!CA_NOC_WI</f>
        <v>0</v>
      </c>
      <c r="AQ497" s="49">
        <f>AQ444*HM_ZD_AM3_2005!CA_NOC_WI</f>
        <v>0</v>
      </c>
      <c r="AR497" s="49">
        <f>AR444*HM_ZD_AM3_2005!CA_NOC_WI</f>
        <v>0</v>
      </c>
      <c r="AS497" s="49">
        <f>AS444*HM_ZD_AM3_2005!CA_NOC_WI</f>
        <v>0</v>
      </c>
      <c r="AT497" s="49">
        <f>AT444*HM_ZD_AM3_2005!CA_NOC_WI</f>
        <v>0</v>
      </c>
      <c r="AU497" s="49">
        <f>AU444*HM_ZD_AM3_2005!CA_NOC_WI</f>
        <v>0</v>
      </c>
      <c r="AV497" s="49">
        <f>AV444*HM_ZD_AM3_2005!CA_NOC_WI</f>
        <v>0</v>
      </c>
      <c r="AW497" s="49">
        <f>AW444*HM_ZD_AM3_2005!CA_NOC_WI</f>
        <v>0</v>
      </c>
      <c r="AX497" s="49">
        <f>AX444*HM_ZD_AM3_2005!CA_NOC_WI</f>
        <v>0</v>
      </c>
      <c r="AY497" s="49">
        <f>AY444*HM_ZD_AM3_2005!CA_NOC_WI</f>
        <v>0</v>
      </c>
      <c r="AZ497" s="49">
        <f>AZ444*HM_ZD_AM3_2005!CA_NOC_WI</f>
        <v>0</v>
      </c>
      <c r="BA497" s="49">
        <f>BA444*HM_ZD_AM3_2005!CA_NOC_WI</f>
        <v>0</v>
      </c>
      <c r="BB497" s="49">
        <f>BB444*HM_ZD_AM3_2005!CA_NOC_WI</f>
        <v>0</v>
      </c>
      <c r="BC497" s="49">
        <f>BC444*HM_ZD_AM3_2005!CA_NOC_WI</f>
        <v>0</v>
      </c>
      <c r="BD497" s="49">
        <f>BD444*HM_ZD_AM3_2005!CA_NOC_WI</f>
        <v>0</v>
      </c>
      <c r="BE497" s="49">
        <f>BE444*HM_ZD_AM3_2005!CA_NOC_WI</f>
        <v>0</v>
      </c>
      <c r="BF497" s="49">
        <f>BF444*HM_ZD_AM3_2005!CA_NOC_WI</f>
        <v>0</v>
      </c>
      <c r="BG497" s="49">
        <f>BG444*HM_ZD_AM3_2005!CA_NOC_WI</f>
        <v>0</v>
      </c>
      <c r="BH497" s="49">
        <f>BH444*HM_ZD_AM3_2005!CA_NOC_WI</f>
        <v>0</v>
      </c>
      <c r="BI497" s="49">
        <f>BI444*HM_ZD_AM3_2005!CA_NOC_WI</f>
        <v>0</v>
      </c>
      <c r="BJ497" s="49">
        <f>BJ444*HM_ZD_AM3_2005!CA_NOC_WI</f>
        <v>0</v>
      </c>
      <c r="BK497" s="49">
        <f>BK444*HM_ZD_AM3_2005!CA_NOC_WI</f>
        <v>0</v>
      </c>
      <c r="BL497" s="49">
        <f>BL444*HM_ZD_AM3_2005!CA_NOC_WI</f>
        <v>0</v>
      </c>
      <c r="BM497" s="49">
        <f>BM444*HM_ZD_AM3_2005!CA_NOC_WI</f>
        <v>0</v>
      </c>
      <c r="BN497" s="49">
        <f>BN444*HM_ZD_AM3_2005!CA_NOC_WI</f>
        <v>0</v>
      </c>
      <c r="BO497" s="49">
        <f>BO444*HM_ZD_AM3_2005!CA_NOC_WI</f>
        <v>0</v>
      </c>
      <c r="BP497" s="49">
        <f>BP444*HM_ZD_AM3_2005!CA_NOC_WI</f>
        <v>0</v>
      </c>
      <c r="BQ497" s="49">
        <f>BQ444*HM_ZD_AM3_2005!CA_NOC_WI</f>
        <v>0</v>
      </c>
      <c r="BR497" s="49">
        <f>BR444*HM_ZD_AM3_2005!CA_NOC_WI</f>
        <v>0</v>
      </c>
      <c r="BS497" s="49">
        <f>BS444*HM_ZD_AM3_2005!CA_NOC_WI</f>
        <v>0</v>
      </c>
    </row>
    <row r="498" spans="3:71" outlineLevel="1" x14ac:dyDescent="0.2">
      <c r="J498" s="26"/>
      <c r="L498" s="55"/>
      <c r="M498" s="55"/>
      <c r="N498" s="55"/>
      <c r="O498" s="55"/>
      <c r="P498" s="55"/>
      <c r="Q498" s="55"/>
      <c r="R498" s="55"/>
      <c r="S498" s="55"/>
      <c r="T498" s="55"/>
      <c r="U498" s="55"/>
      <c r="V498" s="55"/>
      <c r="W498" s="55"/>
      <c r="X498" s="55"/>
      <c r="Y498" s="55"/>
      <c r="Z498" s="55"/>
      <c r="AA498" s="55"/>
      <c r="AB498" s="55"/>
      <c r="AC498" s="55"/>
      <c r="AD498" s="55"/>
      <c r="AE498" s="55"/>
      <c r="AF498" s="55"/>
      <c r="AG498" s="55"/>
      <c r="AH498" s="55"/>
      <c r="AI498" s="55"/>
      <c r="AJ498" s="55"/>
      <c r="AK498" s="55"/>
      <c r="AL498" s="55"/>
      <c r="AM498" s="55"/>
      <c r="AN498" s="55"/>
      <c r="AO498" s="55"/>
      <c r="AP498" s="55"/>
      <c r="AQ498" s="55"/>
      <c r="AR498" s="55"/>
      <c r="AS498" s="55"/>
      <c r="AT498" s="55"/>
      <c r="AU498" s="55"/>
      <c r="AV498" s="55"/>
      <c r="AW498" s="55"/>
      <c r="AX498" s="55"/>
      <c r="AY498" s="55"/>
      <c r="AZ498" s="55"/>
      <c r="BA498" s="55"/>
      <c r="BB498" s="55"/>
      <c r="BC498" s="55"/>
      <c r="BD498" s="55"/>
      <c r="BE498" s="55"/>
      <c r="BF498" s="55"/>
      <c r="BG498" s="55"/>
      <c r="BH498" s="55"/>
      <c r="BI498" s="55"/>
      <c r="BJ498" s="55"/>
      <c r="BK498" s="55"/>
      <c r="BL498" s="55"/>
      <c r="BM498" s="55"/>
      <c r="BN498" s="55"/>
      <c r="BO498" s="55"/>
      <c r="BP498" s="55"/>
      <c r="BQ498" s="55"/>
      <c r="BR498" s="55"/>
      <c r="BS498" s="55"/>
    </row>
    <row r="499" spans="3:71" outlineLevel="1" x14ac:dyDescent="0.2">
      <c r="C499" s="11" t="str">
        <f>HM_ZD_Moho!C521</f>
        <v>Capex hors abandon</v>
      </c>
      <c r="I499" s="30">
        <f t="shared" ca="1" si="162"/>
        <v>0</v>
      </c>
      <c r="J499" s="26" t="s">
        <v>148</v>
      </c>
      <c r="L499" s="49">
        <f ca="1">L446*(HM_ZD_AM3_2005!CA_NOC_WI)-(HM_ZD_AM3_2005!CA_NOC_CI_devex+HM_ZD_AM3_2005!CA_NOC_CI_expex)</f>
        <v>0</v>
      </c>
      <c r="M499" s="49">
        <f ca="1">M446*(HM_ZD_AM3_2005!CA_NOC_WI)-(HM_ZD_AM3_2005!CA_NOC_CI_devex+HM_ZD_AM3_2005!CA_NOC_CI_expex)</f>
        <v>0</v>
      </c>
      <c r="N499" s="49">
        <f ca="1">N446*(HM_ZD_AM3_2005!CA_NOC_WI)-(HM_ZD_AM3_2005!CA_NOC_CI_devex+HM_ZD_AM3_2005!CA_NOC_CI_expex)</f>
        <v>0</v>
      </c>
      <c r="O499" s="49">
        <f ca="1">O446*(HM_ZD_AM3_2005!CA_NOC_WI)-(HM_ZD_AM3_2005!CA_NOC_CI_devex+HM_ZD_AM3_2005!CA_NOC_CI_expex)</f>
        <v>0</v>
      </c>
      <c r="P499" s="49">
        <f ca="1">P446*(HM_ZD_AM3_2005!CA_NOC_WI)-(HM_ZD_AM3_2005!CA_NOC_CI_devex+HM_ZD_AM3_2005!CA_NOC_CI_expex)</f>
        <v>0</v>
      </c>
      <c r="Q499" s="49">
        <f ca="1">Q446*(HM_ZD_AM3_2005!CA_NOC_WI)-(HM_ZD_AM3_2005!CA_NOC_CI_devex+HM_ZD_AM3_2005!CA_NOC_CI_expex)</f>
        <v>0</v>
      </c>
      <c r="R499" s="49">
        <f ca="1">R446*(HM_ZD_AM3_2005!CA_NOC_WI)-(HM_ZD_AM3_2005!CA_NOC_CI_devex+HM_ZD_AM3_2005!CA_NOC_CI_expex)</f>
        <v>0</v>
      </c>
      <c r="S499" s="49">
        <f ca="1">S446*(HM_ZD_AM3_2005!CA_NOC_WI)-(HM_ZD_AM3_2005!CA_NOC_CI_devex+HM_ZD_AM3_2005!CA_NOC_CI_expex)</f>
        <v>0</v>
      </c>
      <c r="T499" s="49">
        <f ca="1">T446*(HM_ZD_AM3_2005!CA_NOC_WI)-(HM_ZD_AM3_2005!CA_NOC_CI_devex+HM_ZD_AM3_2005!CA_NOC_CI_expex)</f>
        <v>0</v>
      </c>
      <c r="U499" s="49">
        <f ca="1">U446*(HM_ZD_AM3_2005!CA_NOC_WI)-(HM_ZD_AM3_2005!CA_NOC_CI_devex+HM_ZD_AM3_2005!CA_NOC_CI_expex)</f>
        <v>0</v>
      </c>
      <c r="V499" s="49">
        <f ca="1">V446*(HM_ZD_AM3_2005!CA_NOC_WI)-(HM_ZD_AM3_2005!CA_NOC_CI_devex+HM_ZD_AM3_2005!CA_NOC_CI_expex)</f>
        <v>0</v>
      </c>
      <c r="W499" s="49">
        <f ca="1">W446*(HM_ZD_AM3_2005!CA_NOC_WI)-(HM_ZD_AM3_2005!CA_NOC_CI_devex+HM_ZD_AM3_2005!CA_NOC_CI_expex)</f>
        <v>0</v>
      </c>
      <c r="X499" s="49">
        <f ca="1">X446*(HM_ZD_AM3_2005!CA_NOC_WI)-(HM_ZD_AM3_2005!CA_NOC_CI_devex+HM_ZD_AM3_2005!CA_NOC_CI_expex)</f>
        <v>0</v>
      </c>
      <c r="Y499" s="49">
        <f ca="1">Y446*(HM_ZD_AM3_2005!CA_NOC_WI)-(HM_ZD_AM3_2005!CA_NOC_CI_devex+HM_ZD_AM3_2005!CA_NOC_CI_expex)</f>
        <v>0</v>
      </c>
      <c r="Z499" s="49">
        <f ca="1">Z446*(HM_ZD_AM3_2005!CA_NOC_WI)-(HM_ZD_AM3_2005!CA_NOC_CI_devex+HM_ZD_AM3_2005!CA_NOC_CI_expex)</f>
        <v>0</v>
      </c>
      <c r="AA499" s="49">
        <f ca="1">AA446*(HM_ZD_AM3_2005!CA_NOC_WI)-(HM_ZD_AM3_2005!CA_NOC_CI_devex+HM_ZD_AM3_2005!CA_NOC_CI_expex)</f>
        <v>0</v>
      </c>
      <c r="AB499" s="49">
        <f ca="1">AB446*(HM_ZD_AM3_2005!CA_NOC_WI)-(HM_ZD_AM3_2005!CA_NOC_CI_devex+HM_ZD_AM3_2005!CA_NOC_CI_expex)</f>
        <v>0</v>
      </c>
      <c r="AC499" s="49">
        <f ca="1">AC446*(HM_ZD_AM3_2005!CA_NOC_WI)-(HM_ZD_AM3_2005!CA_NOC_CI_devex+HM_ZD_AM3_2005!CA_NOC_CI_expex)</f>
        <v>0</v>
      </c>
      <c r="AD499" s="49">
        <f ca="1">AD446*(HM_ZD_AM3_2005!CA_NOC_WI)-(HM_ZD_AM3_2005!CA_NOC_CI_devex+HM_ZD_AM3_2005!CA_NOC_CI_expex)</f>
        <v>0</v>
      </c>
      <c r="AE499" s="49">
        <f ca="1">AE446*(HM_ZD_AM3_2005!CA_NOC_WI)-(HM_ZD_AM3_2005!CA_NOC_CI_devex+HM_ZD_AM3_2005!CA_NOC_CI_expex)</f>
        <v>0</v>
      </c>
      <c r="AF499" s="49">
        <f ca="1">AF446*(HM_ZD_AM3_2005!CA_NOC_WI)-(HM_ZD_AM3_2005!CA_NOC_CI_devex+HM_ZD_AM3_2005!CA_NOC_CI_expex)</f>
        <v>0</v>
      </c>
      <c r="AG499" s="49">
        <f ca="1">AG446*(HM_ZD_AM3_2005!CA_NOC_WI)-(HM_ZD_AM3_2005!CA_NOC_CI_devex+HM_ZD_AM3_2005!CA_NOC_CI_expex)</f>
        <v>0</v>
      </c>
      <c r="AH499" s="49">
        <f ca="1">AH446*(HM_ZD_AM3_2005!CA_NOC_WI)-(HM_ZD_AM3_2005!CA_NOC_CI_devex+HM_ZD_AM3_2005!CA_NOC_CI_expex)</f>
        <v>0</v>
      </c>
      <c r="AI499" s="49">
        <f ca="1">AI446*(HM_ZD_AM3_2005!CA_NOC_WI)-(HM_ZD_AM3_2005!CA_NOC_CI_devex+HM_ZD_AM3_2005!CA_NOC_CI_expex)</f>
        <v>0</v>
      </c>
      <c r="AJ499" s="49">
        <f ca="1">AJ446*(HM_ZD_AM3_2005!CA_NOC_WI)-(HM_ZD_AM3_2005!CA_NOC_CI_devex+HM_ZD_AM3_2005!CA_NOC_CI_expex)</f>
        <v>0</v>
      </c>
      <c r="AK499" s="49">
        <f ca="1">AK446*(HM_ZD_AM3_2005!CA_NOC_WI)-(HM_ZD_AM3_2005!CA_NOC_CI_devex+HM_ZD_AM3_2005!CA_NOC_CI_expex)</f>
        <v>0</v>
      </c>
      <c r="AL499" s="49">
        <f ca="1">AL446*(HM_ZD_AM3_2005!CA_NOC_WI)-(HM_ZD_AM3_2005!CA_NOC_CI_devex+HM_ZD_AM3_2005!CA_NOC_CI_expex)</f>
        <v>0</v>
      </c>
      <c r="AM499" s="49">
        <f ca="1">AM446*(HM_ZD_AM3_2005!CA_NOC_WI)-(HM_ZD_AM3_2005!CA_NOC_CI_devex+HM_ZD_AM3_2005!CA_NOC_CI_expex)</f>
        <v>0</v>
      </c>
      <c r="AN499" s="49">
        <f ca="1">AN446*(HM_ZD_AM3_2005!CA_NOC_WI)-(HM_ZD_AM3_2005!CA_NOC_CI_devex+HM_ZD_AM3_2005!CA_NOC_CI_expex)</f>
        <v>0</v>
      </c>
      <c r="AO499" s="49">
        <f ca="1">AO446*(HM_ZD_AM3_2005!CA_NOC_WI)-(HM_ZD_AM3_2005!CA_NOC_CI_devex+HM_ZD_AM3_2005!CA_NOC_CI_expex)</f>
        <v>0</v>
      </c>
      <c r="AP499" s="49">
        <f ca="1">AP446*(HM_ZD_AM3_2005!CA_NOC_WI)-(HM_ZD_AM3_2005!CA_NOC_CI_devex+HM_ZD_AM3_2005!CA_NOC_CI_expex)</f>
        <v>0</v>
      </c>
      <c r="AQ499" s="49">
        <f ca="1">AQ446*(HM_ZD_AM3_2005!CA_NOC_WI)-(HM_ZD_AM3_2005!CA_NOC_CI_devex+HM_ZD_AM3_2005!CA_NOC_CI_expex)</f>
        <v>0</v>
      </c>
      <c r="AR499" s="49">
        <f ca="1">AR446*(HM_ZD_AM3_2005!CA_NOC_WI)-(HM_ZD_AM3_2005!CA_NOC_CI_devex+HM_ZD_AM3_2005!CA_NOC_CI_expex)</f>
        <v>0</v>
      </c>
      <c r="AS499" s="49">
        <f ca="1">AS446*(HM_ZD_AM3_2005!CA_NOC_WI)-(HM_ZD_AM3_2005!CA_NOC_CI_devex+HM_ZD_AM3_2005!CA_NOC_CI_expex)</f>
        <v>0</v>
      </c>
      <c r="AT499" s="49">
        <f ca="1">AT446*(HM_ZD_AM3_2005!CA_NOC_WI)-(HM_ZD_AM3_2005!CA_NOC_CI_devex+HM_ZD_AM3_2005!CA_NOC_CI_expex)</f>
        <v>0</v>
      </c>
      <c r="AU499" s="49">
        <f ca="1">AU446*(HM_ZD_AM3_2005!CA_NOC_WI)-(HM_ZD_AM3_2005!CA_NOC_CI_devex+HM_ZD_AM3_2005!CA_NOC_CI_expex)</f>
        <v>0</v>
      </c>
      <c r="AV499" s="49">
        <f ca="1">AV446*(HM_ZD_AM3_2005!CA_NOC_WI)-(HM_ZD_AM3_2005!CA_NOC_CI_devex+HM_ZD_AM3_2005!CA_NOC_CI_expex)</f>
        <v>0</v>
      </c>
      <c r="AW499" s="49">
        <f ca="1">AW446*(HM_ZD_AM3_2005!CA_NOC_WI)-(HM_ZD_AM3_2005!CA_NOC_CI_devex+HM_ZD_AM3_2005!CA_NOC_CI_expex)</f>
        <v>0</v>
      </c>
      <c r="AX499" s="49">
        <f ca="1">AX446*(HM_ZD_AM3_2005!CA_NOC_WI)-(HM_ZD_AM3_2005!CA_NOC_CI_devex+HM_ZD_AM3_2005!CA_NOC_CI_expex)</f>
        <v>0</v>
      </c>
      <c r="AY499" s="49">
        <f ca="1">AY446*(HM_ZD_AM3_2005!CA_NOC_WI)-(HM_ZD_AM3_2005!CA_NOC_CI_devex+HM_ZD_AM3_2005!CA_NOC_CI_expex)</f>
        <v>0</v>
      </c>
      <c r="AZ499" s="49">
        <f ca="1">AZ446*(HM_ZD_AM3_2005!CA_NOC_WI)-(HM_ZD_AM3_2005!CA_NOC_CI_devex+HM_ZD_AM3_2005!CA_NOC_CI_expex)</f>
        <v>0</v>
      </c>
      <c r="BA499" s="49">
        <f ca="1">BA446*(HM_ZD_AM3_2005!CA_NOC_WI)-(HM_ZD_AM3_2005!CA_NOC_CI_devex+HM_ZD_AM3_2005!CA_NOC_CI_expex)</f>
        <v>0</v>
      </c>
      <c r="BB499" s="49">
        <f ca="1">BB446*(HM_ZD_AM3_2005!CA_NOC_WI)-(HM_ZD_AM3_2005!CA_NOC_CI_devex+HM_ZD_AM3_2005!CA_NOC_CI_expex)</f>
        <v>0</v>
      </c>
      <c r="BC499" s="49">
        <f ca="1">BC446*(HM_ZD_AM3_2005!CA_NOC_WI)-(HM_ZD_AM3_2005!CA_NOC_CI_devex+HM_ZD_AM3_2005!CA_NOC_CI_expex)</f>
        <v>0</v>
      </c>
      <c r="BD499" s="49">
        <f ca="1">BD446*(HM_ZD_AM3_2005!CA_NOC_WI)-(HM_ZD_AM3_2005!CA_NOC_CI_devex+HM_ZD_AM3_2005!CA_NOC_CI_expex)</f>
        <v>0</v>
      </c>
      <c r="BE499" s="49">
        <f ca="1">BE446*(HM_ZD_AM3_2005!CA_NOC_WI)-(HM_ZD_AM3_2005!CA_NOC_CI_devex+HM_ZD_AM3_2005!CA_NOC_CI_expex)</f>
        <v>0</v>
      </c>
      <c r="BF499" s="49">
        <f ca="1">BF446*(HM_ZD_AM3_2005!CA_NOC_WI)-(HM_ZD_AM3_2005!CA_NOC_CI_devex+HM_ZD_AM3_2005!CA_NOC_CI_expex)</f>
        <v>0</v>
      </c>
      <c r="BG499" s="49">
        <f ca="1">BG446*(HM_ZD_AM3_2005!CA_NOC_WI)-(HM_ZD_AM3_2005!CA_NOC_CI_devex+HM_ZD_AM3_2005!CA_NOC_CI_expex)</f>
        <v>0</v>
      </c>
      <c r="BH499" s="49">
        <f ca="1">BH446*(HM_ZD_AM3_2005!CA_NOC_WI)-(HM_ZD_AM3_2005!CA_NOC_CI_devex+HM_ZD_AM3_2005!CA_NOC_CI_expex)</f>
        <v>0</v>
      </c>
      <c r="BI499" s="49">
        <f ca="1">BI446*(HM_ZD_AM3_2005!CA_NOC_WI)-(HM_ZD_AM3_2005!CA_NOC_CI_devex+HM_ZD_AM3_2005!CA_NOC_CI_expex)</f>
        <v>0</v>
      </c>
      <c r="BJ499" s="49">
        <f ca="1">BJ446*(HM_ZD_AM3_2005!CA_NOC_WI)-(HM_ZD_AM3_2005!CA_NOC_CI_devex+HM_ZD_AM3_2005!CA_NOC_CI_expex)</f>
        <v>0</v>
      </c>
      <c r="BK499" s="49">
        <f ca="1">BK446*(HM_ZD_AM3_2005!CA_NOC_WI)-(HM_ZD_AM3_2005!CA_NOC_CI_devex+HM_ZD_AM3_2005!CA_NOC_CI_expex)</f>
        <v>0</v>
      </c>
      <c r="BL499" s="49">
        <f ca="1">BL446*(HM_ZD_AM3_2005!CA_NOC_WI)-(HM_ZD_AM3_2005!CA_NOC_CI_devex+HM_ZD_AM3_2005!CA_NOC_CI_expex)</f>
        <v>0</v>
      </c>
      <c r="BM499" s="49">
        <f ca="1">BM446*(HM_ZD_AM3_2005!CA_NOC_WI)-(HM_ZD_AM3_2005!CA_NOC_CI_devex+HM_ZD_AM3_2005!CA_NOC_CI_expex)</f>
        <v>0</v>
      </c>
      <c r="BN499" s="49">
        <f ca="1">BN446*(HM_ZD_AM3_2005!CA_NOC_WI)-(HM_ZD_AM3_2005!CA_NOC_CI_devex+HM_ZD_AM3_2005!CA_NOC_CI_expex)</f>
        <v>0</v>
      </c>
      <c r="BO499" s="49">
        <f ca="1">BO446*(HM_ZD_AM3_2005!CA_NOC_WI)-(HM_ZD_AM3_2005!CA_NOC_CI_devex+HM_ZD_AM3_2005!CA_NOC_CI_expex)</f>
        <v>0</v>
      </c>
      <c r="BP499" s="49">
        <f ca="1">BP446*(HM_ZD_AM3_2005!CA_NOC_WI)-(HM_ZD_AM3_2005!CA_NOC_CI_devex+HM_ZD_AM3_2005!CA_NOC_CI_expex)</f>
        <v>0</v>
      </c>
      <c r="BQ499" s="49">
        <f ca="1">BQ446*(HM_ZD_AM3_2005!CA_NOC_WI)-(HM_ZD_AM3_2005!CA_NOC_CI_devex+HM_ZD_AM3_2005!CA_NOC_CI_expex)</f>
        <v>0</v>
      </c>
      <c r="BR499" s="49">
        <f ca="1">BR446*(HM_ZD_AM3_2005!CA_NOC_WI)-(HM_ZD_AM3_2005!CA_NOC_CI_devex+HM_ZD_AM3_2005!CA_NOC_CI_expex)</f>
        <v>0</v>
      </c>
      <c r="BS499" s="49">
        <f ca="1">BS446*(HM_ZD_AM3_2005!CA_NOC_WI)-(HM_ZD_AM3_2005!CA_NOC_CI_devex+HM_ZD_AM3_2005!CA_NOC_CI_expex)</f>
        <v>0</v>
      </c>
    </row>
    <row r="500" spans="3:71" outlineLevel="1" x14ac:dyDescent="0.2">
      <c r="J500" s="26"/>
      <c r="L500" s="55"/>
      <c r="M500" s="55"/>
      <c r="N500" s="55"/>
      <c r="O500" s="55"/>
      <c r="P500" s="55"/>
      <c r="Q500" s="55"/>
      <c r="R500" s="55"/>
      <c r="S500" s="55"/>
      <c r="T500" s="55"/>
      <c r="U500" s="55"/>
      <c r="V500" s="55"/>
      <c r="W500" s="55"/>
      <c r="X500" s="55"/>
      <c r="Y500" s="55"/>
      <c r="Z500" s="55"/>
      <c r="AA500" s="55"/>
      <c r="AB500" s="55"/>
      <c r="AC500" s="55"/>
      <c r="AD500" s="55"/>
      <c r="AE500" s="55"/>
      <c r="AF500" s="55"/>
      <c r="AG500" s="55"/>
      <c r="AH500" s="55"/>
      <c r="AI500" s="55"/>
      <c r="AJ500" s="55"/>
      <c r="AK500" s="55"/>
      <c r="AL500" s="55"/>
      <c r="AM500" s="55"/>
      <c r="AN500" s="55"/>
      <c r="AO500" s="55"/>
      <c r="AP500" s="55"/>
      <c r="AQ500" s="55"/>
      <c r="AR500" s="55"/>
      <c r="AS500" s="55"/>
      <c r="AT500" s="55"/>
      <c r="AU500" s="55"/>
      <c r="AV500" s="55"/>
      <c r="AW500" s="55"/>
      <c r="AX500" s="55"/>
      <c r="AY500" s="55"/>
      <c r="AZ500" s="55"/>
      <c r="BA500" s="55"/>
      <c r="BB500" s="55"/>
      <c r="BC500" s="55"/>
      <c r="BD500" s="55"/>
      <c r="BE500" s="55"/>
      <c r="BF500" s="55"/>
      <c r="BG500" s="55"/>
      <c r="BH500" s="55"/>
      <c r="BI500" s="55"/>
      <c r="BJ500" s="55"/>
      <c r="BK500" s="55"/>
      <c r="BL500" s="55"/>
      <c r="BM500" s="55"/>
      <c r="BN500" s="55"/>
      <c r="BO500" s="55"/>
      <c r="BP500" s="55"/>
      <c r="BQ500" s="55"/>
      <c r="BR500" s="55"/>
      <c r="BS500" s="55"/>
    </row>
    <row r="501" spans="3:71" outlineLevel="1" x14ac:dyDescent="0.2">
      <c r="C501" s="11" t="str">
        <f>HM_ZD_Moho!C523</f>
        <v>Abandon</v>
      </c>
      <c r="I501" s="30">
        <f t="shared" ca="1" si="162"/>
        <v>0</v>
      </c>
      <c r="J501" s="26" t="s">
        <v>148</v>
      </c>
      <c r="L501" s="49">
        <f ca="1">L448*HM_ZD_AM3_2005!CA_NOC_WI</f>
        <v>0</v>
      </c>
      <c r="M501" s="49">
        <f ca="1">M448*HM_ZD_AM3_2005!CA_NOC_WI</f>
        <v>0</v>
      </c>
      <c r="N501" s="49">
        <f ca="1">N448*HM_ZD_AM3_2005!CA_NOC_WI</f>
        <v>0</v>
      </c>
      <c r="O501" s="49">
        <f ca="1">O448*HM_ZD_AM3_2005!CA_NOC_WI</f>
        <v>0</v>
      </c>
      <c r="P501" s="49">
        <f ca="1">P448*HM_ZD_AM3_2005!CA_NOC_WI</f>
        <v>0</v>
      </c>
      <c r="Q501" s="49">
        <f ca="1">Q448*HM_ZD_AM3_2005!CA_NOC_WI</f>
        <v>0</v>
      </c>
      <c r="R501" s="49">
        <f ca="1">R448*HM_ZD_AM3_2005!CA_NOC_WI</f>
        <v>0</v>
      </c>
      <c r="S501" s="49">
        <f ca="1">S448*HM_ZD_AM3_2005!CA_NOC_WI</f>
        <v>0</v>
      </c>
      <c r="T501" s="49">
        <f ca="1">T448*HM_ZD_AM3_2005!CA_NOC_WI</f>
        <v>0</v>
      </c>
      <c r="U501" s="49">
        <f ca="1">U448*HM_ZD_AM3_2005!CA_NOC_WI</f>
        <v>0</v>
      </c>
      <c r="V501" s="49">
        <f ca="1">V448*HM_ZD_AM3_2005!CA_NOC_WI</f>
        <v>0</v>
      </c>
      <c r="W501" s="49">
        <f ca="1">W448*HM_ZD_AM3_2005!CA_NOC_WI</f>
        <v>0</v>
      </c>
      <c r="X501" s="49">
        <f ca="1">X448*HM_ZD_AM3_2005!CA_NOC_WI</f>
        <v>0</v>
      </c>
      <c r="Y501" s="49">
        <f ca="1">Y448*HM_ZD_AM3_2005!CA_NOC_WI</f>
        <v>0</v>
      </c>
      <c r="Z501" s="49">
        <f ca="1">Z448*HM_ZD_AM3_2005!CA_NOC_WI</f>
        <v>0</v>
      </c>
      <c r="AA501" s="49">
        <f ca="1">AA448*HM_ZD_AM3_2005!CA_NOC_WI</f>
        <v>0</v>
      </c>
      <c r="AB501" s="49">
        <f ca="1">AB448*HM_ZD_AM3_2005!CA_NOC_WI</f>
        <v>0</v>
      </c>
      <c r="AC501" s="49">
        <f ca="1">AC448*HM_ZD_AM3_2005!CA_NOC_WI</f>
        <v>0</v>
      </c>
      <c r="AD501" s="49">
        <f ca="1">AD448*HM_ZD_AM3_2005!CA_NOC_WI</f>
        <v>0</v>
      </c>
      <c r="AE501" s="49">
        <f ca="1">AE448*HM_ZD_AM3_2005!CA_NOC_WI</f>
        <v>0</v>
      </c>
      <c r="AF501" s="49">
        <f ca="1">AF448*HM_ZD_AM3_2005!CA_NOC_WI</f>
        <v>0</v>
      </c>
      <c r="AG501" s="49">
        <f ca="1">AG448*HM_ZD_AM3_2005!CA_NOC_WI</f>
        <v>0</v>
      </c>
      <c r="AH501" s="49">
        <f ca="1">AH448*HM_ZD_AM3_2005!CA_NOC_WI</f>
        <v>0</v>
      </c>
      <c r="AI501" s="49">
        <f ca="1">AI448*HM_ZD_AM3_2005!CA_NOC_WI</f>
        <v>0</v>
      </c>
      <c r="AJ501" s="49">
        <f ca="1">AJ448*HM_ZD_AM3_2005!CA_NOC_WI</f>
        <v>0</v>
      </c>
      <c r="AK501" s="49">
        <f ca="1">AK448*HM_ZD_AM3_2005!CA_NOC_WI</f>
        <v>0</v>
      </c>
      <c r="AL501" s="49">
        <f ca="1">AL448*HM_ZD_AM3_2005!CA_NOC_WI</f>
        <v>0</v>
      </c>
      <c r="AM501" s="49">
        <f ca="1">AM448*HM_ZD_AM3_2005!CA_NOC_WI</f>
        <v>0</v>
      </c>
      <c r="AN501" s="49">
        <f ca="1">AN448*HM_ZD_AM3_2005!CA_NOC_WI</f>
        <v>0</v>
      </c>
      <c r="AO501" s="49">
        <f ca="1">AO448*HM_ZD_AM3_2005!CA_NOC_WI</f>
        <v>0</v>
      </c>
      <c r="AP501" s="49">
        <f ca="1">AP448*HM_ZD_AM3_2005!CA_NOC_WI</f>
        <v>0</v>
      </c>
      <c r="AQ501" s="49">
        <f ca="1">AQ448*HM_ZD_AM3_2005!CA_NOC_WI</f>
        <v>0</v>
      </c>
      <c r="AR501" s="49">
        <f ca="1">AR448*HM_ZD_AM3_2005!CA_NOC_WI</f>
        <v>0</v>
      </c>
      <c r="AS501" s="49">
        <f ca="1">AS448*HM_ZD_AM3_2005!CA_NOC_WI</f>
        <v>0</v>
      </c>
      <c r="AT501" s="49">
        <f ca="1">AT448*HM_ZD_AM3_2005!CA_NOC_WI</f>
        <v>0</v>
      </c>
      <c r="AU501" s="49">
        <f ca="1">AU448*HM_ZD_AM3_2005!CA_NOC_WI</f>
        <v>0</v>
      </c>
      <c r="AV501" s="49">
        <f ca="1">AV448*HM_ZD_AM3_2005!CA_NOC_WI</f>
        <v>0</v>
      </c>
      <c r="AW501" s="49">
        <f ca="1">AW448*HM_ZD_AM3_2005!CA_NOC_WI</f>
        <v>0</v>
      </c>
      <c r="AX501" s="49">
        <f ca="1">AX448*HM_ZD_AM3_2005!CA_NOC_WI</f>
        <v>0</v>
      </c>
      <c r="AY501" s="49">
        <f ca="1">AY448*HM_ZD_AM3_2005!CA_NOC_WI</f>
        <v>0</v>
      </c>
      <c r="AZ501" s="49">
        <f ca="1">AZ448*HM_ZD_AM3_2005!CA_NOC_WI</f>
        <v>0</v>
      </c>
      <c r="BA501" s="49">
        <f ca="1">BA448*HM_ZD_AM3_2005!CA_NOC_WI</f>
        <v>0</v>
      </c>
      <c r="BB501" s="49">
        <f ca="1">BB448*HM_ZD_AM3_2005!CA_NOC_WI</f>
        <v>0</v>
      </c>
      <c r="BC501" s="49">
        <f ca="1">BC448*HM_ZD_AM3_2005!CA_NOC_WI</f>
        <v>0</v>
      </c>
      <c r="BD501" s="49">
        <f ca="1">BD448*HM_ZD_AM3_2005!CA_NOC_WI</f>
        <v>0</v>
      </c>
      <c r="BE501" s="49">
        <f ca="1">BE448*HM_ZD_AM3_2005!CA_NOC_WI</f>
        <v>0</v>
      </c>
      <c r="BF501" s="49">
        <f ca="1">BF448*HM_ZD_AM3_2005!CA_NOC_WI</f>
        <v>0</v>
      </c>
      <c r="BG501" s="49">
        <f ca="1">BG448*HM_ZD_AM3_2005!CA_NOC_WI</f>
        <v>0</v>
      </c>
      <c r="BH501" s="49">
        <f ca="1">BH448*HM_ZD_AM3_2005!CA_NOC_WI</f>
        <v>0</v>
      </c>
      <c r="BI501" s="49">
        <f ca="1">BI448*HM_ZD_AM3_2005!CA_NOC_WI</f>
        <v>0</v>
      </c>
      <c r="BJ501" s="49">
        <f ca="1">BJ448*HM_ZD_AM3_2005!CA_NOC_WI</f>
        <v>0</v>
      </c>
      <c r="BK501" s="49">
        <f ca="1">BK448*HM_ZD_AM3_2005!CA_NOC_WI</f>
        <v>0</v>
      </c>
      <c r="BL501" s="49">
        <f ca="1">BL448*HM_ZD_AM3_2005!CA_NOC_WI</f>
        <v>0</v>
      </c>
      <c r="BM501" s="49">
        <f ca="1">BM448*HM_ZD_AM3_2005!CA_NOC_WI</f>
        <v>0</v>
      </c>
      <c r="BN501" s="49">
        <f ca="1">BN448*HM_ZD_AM3_2005!CA_NOC_WI</f>
        <v>0</v>
      </c>
      <c r="BO501" s="49">
        <f ca="1">BO448*HM_ZD_AM3_2005!CA_NOC_WI</f>
        <v>0</v>
      </c>
      <c r="BP501" s="49">
        <f ca="1">BP448*HM_ZD_AM3_2005!CA_NOC_WI</f>
        <v>0</v>
      </c>
      <c r="BQ501" s="49">
        <f ca="1">BQ448*HM_ZD_AM3_2005!CA_NOC_WI</f>
        <v>0</v>
      </c>
      <c r="BR501" s="49">
        <f ca="1">BR448*HM_ZD_AM3_2005!CA_NOC_WI</f>
        <v>0</v>
      </c>
      <c r="BS501" s="49">
        <f ca="1">BS448*HM_ZD_AM3_2005!CA_NOC_WI</f>
        <v>0</v>
      </c>
    </row>
    <row r="502" spans="3:71" outlineLevel="1" x14ac:dyDescent="0.2">
      <c r="J502" s="26"/>
      <c r="L502" s="55"/>
      <c r="M502" s="55"/>
      <c r="N502" s="55"/>
      <c r="O502" s="55"/>
      <c r="P502" s="55"/>
      <c r="Q502" s="55"/>
      <c r="R502" s="55"/>
      <c r="S502" s="55"/>
      <c r="T502" s="55"/>
      <c r="U502" s="55"/>
      <c r="V502" s="55"/>
      <c r="W502" s="55"/>
      <c r="X502" s="55"/>
      <c r="Y502" s="55"/>
      <c r="Z502" s="55"/>
      <c r="AA502" s="55"/>
      <c r="AB502" s="55"/>
      <c r="AC502" s="55"/>
      <c r="AD502" s="55"/>
      <c r="AE502" s="55"/>
      <c r="AF502" s="55"/>
      <c r="AG502" s="55"/>
      <c r="AH502" s="55"/>
      <c r="AI502" s="55"/>
      <c r="AJ502" s="55"/>
      <c r="AK502" s="55"/>
      <c r="AL502" s="55"/>
      <c r="AM502" s="55"/>
      <c r="AN502" s="55"/>
      <c r="AO502" s="55"/>
      <c r="AP502" s="55"/>
      <c r="AQ502" s="55"/>
      <c r="AR502" s="55"/>
      <c r="AS502" s="55"/>
      <c r="AT502" s="55"/>
      <c r="AU502" s="55"/>
      <c r="AV502" s="55"/>
      <c r="AW502" s="55"/>
      <c r="AX502" s="55"/>
      <c r="AY502" s="55"/>
      <c r="AZ502" s="55"/>
      <c r="BA502" s="55"/>
      <c r="BB502" s="55"/>
      <c r="BC502" s="55"/>
      <c r="BD502" s="55"/>
      <c r="BE502" s="55"/>
      <c r="BF502" s="55"/>
      <c r="BG502" s="55"/>
      <c r="BH502" s="55"/>
      <c r="BI502" s="55"/>
      <c r="BJ502" s="55"/>
      <c r="BK502" s="55"/>
      <c r="BL502" s="55"/>
      <c r="BM502" s="55"/>
      <c r="BN502" s="55"/>
      <c r="BO502" s="55"/>
      <c r="BP502" s="55"/>
      <c r="BQ502" s="55"/>
      <c r="BR502" s="55"/>
      <c r="BS502" s="55"/>
    </row>
    <row r="503" spans="3:71" outlineLevel="1" x14ac:dyDescent="0.2">
      <c r="C503" s="11" t="str">
        <f>HM_ZD_Moho!C525</f>
        <v>Impôt sur le revenu</v>
      </c>
      <c r="I503" s="30">
        <f t="shared" ca="1" si="162"/>
        <v>0</v>
      </c>
      <c r="J503" s="26" t="s">
        <v>148</v>
      </c>
      <c r="L503" s="49">
        <f ca="1">L450*HM_ZD_AM3_2005!CA_NOC_WI</f>
        <v>0</v>
      </c>
      <c r="M503" s="49">
        <f ca="1">M450*HM_ZD_AM3_2005!CA_NOC_WI</f>
        <v>0</v>
      </c>
      <c r="N503" s="49">
        <f>N450*HM_ZD_AM3_2005!CA_NOC_WI</f>
        <v>0</v>
      </c>
      <c r="O503" s="49">
        <f>O450*HM_ZD_AM3_2005!CA_NOC_WI</f>
        <v>0</v>
      </c>
      <c r="P503" s="49">
        <f>P450*HM_ZD_AM3_2005!CA_NOC_WI</f>
        <v>0</v>
      </c>
      <c r="Q503" s="49">
        <f>Q450*HM_ZD_AM3_2005!CA_NOC_WI</f>
        <v>0</v>
      </c>
      <c r="R503" s="49">
        <f>R450*HM_ZD_AM3_2005!CA_NOC_WI</f>
        <v>0</v>
      </c>
      <c r="S503" s="49">
        <f>S450*HM_ZD_AM3_2005!CA_NOC_WI</f>
        <v>0</v>
      </c>
      <c r="T503" s="49">
        <f>T450*HM_ZD_AM3_2005!CA_NOC_WI</f>
        <v>0</v>
      </c>
      <c r="U503" s="49">
        <f>U450*HM_ZD_AM3_2005!CA_NOC_WI</f>
        <v>0</v>
      </c>
      <c r="V503" s="49">
        <f>V450*HM_ZD_AM3_2005!CA_NOC_WI</f>
        <v>0</v>
      </c>
      <c r="W503" s="49">
        <f>W450*HM_ZD_AM3_2005!CA_NOC_WI</f>
        <v>0</v>
      </c>
      <c r="X503" s="49">
        <f>X450*HM_ZD_AM3_2005!CA_NOC_WI</f>
        <v>0</v>
      </c>
      <c r="Y503" s="49">
        <f>Y450*HM_ZD_AM3_2005!CA_NOC_WI</f>
        <v>0</v>
      </c>
      <c r="Z503" s="49">
        <f>Z450*HM_ZD_AM3_2005!CA_NOC_WI</f>
        <v>0</v>
      </c>
      <c r="AA503" s="49">
        <f>AA450*HM_ZD_AM3_2005!CA_NOC_WI</f>
        <v>0</v>
      </c>
      <c r="AB503" s="49">
        <f>AB450*HM_ZD_AM3_2005!CA_NOC_WI</f>
        <v>0</v>
      </c>
      <c r="AC503" s="49">
        <f>AC450*HM_ZD_AM3_2005!CA_NOC_WI</f>
        <v>0</v>
      </c>
      <c r="AD503" s="49">
        <f>AD450*HM_ZD_AM3_2005!CA_NOC_WI</f>
        <v>0</v>
      </c>
      <c r="AE503" s="49">
        <f>AE450*HM_ZD_AM3_2005!CA_NOC_WI</f>
        <v>0</v>
      </c>
      <c r="AF503" s="49">
        <f>AF450*HM_ZD_AM3_2005!CA_NOC_WI</f>
        <v>0</v>
      </c>
      <c r="AG503" s="49">
        <f>AG450*HM_ZD_AM3_2005!CA_NOC_WI</f>
        <v>0</v>
      </c>
      <c r="AH503" s="49">
        <f>AH450*HM_ZD_AM3_2005!CA_NOC_WI</f>
        <v>0</v>
      </c>
      <c r="AI503" s="49">
        <f>AI450*HM_ZD_AM3_2005!CA_NOC_WI</f>
        <v>0</v>
      </c>
      <c r="AJ503" s="49">
        <f>AJ450*HM_ZD_AM3_2005!CA_NOC_WI</f>
        <v>0</v>
      </c>
      <c r="AK503" s="49">
        <f>AK450*HM_ZD_AM3_2005!CA_NOC_WI</f>
        <v>0</v>
      </c>
      <c r="AL503" s="49">
        <f>AL450*HM_ZD_AM3_2005!CA_NOC_WI</f>
        <v>0</v>
      </c>
      <c r="AM503" s="49">
        <f>AM450*HM_ZD_AM3_2005!CA_NOC_WI</f>
        <v>0</v>
      </c>
      <c r="AN503" s="49">
        <f>AN450*HM_ZD_AM3_2005!CA_NOC_WI</f>
        <v>0</v>
      </c>
      <c r="AO503" s="49">
        <f>AO450*HM_ZD_AM3_2005!CA_NOC_WI</f>
        <v>0</v>
      </c>
      <c r="AP503" s="49">
        <f>AP450*HM_ZD_AM3_2005!CA_NOC_WI</f>
        <v>0</v>
      </c>
      <c r="AQ503" s="49">
        <f>AQ450*HM_ZD_AM3_2005!CA_NOC_WI</f>
        <v>0</v>
      </c>
      <c r="AR503" s="49">
        <f>AR450*HM_ZD_AM3_2005!CA_NOC_WI</f>
        <v>0</v>
      </c>
      <c r="AS503" s="49">
        <f>AS450*HM_ZD_AM3_2005!CA_NOC_WI</f>
        <v>0</v>
      </c>
      <c r="AT503" s="49">
        <f>AT450*HM_ZD_AM3_2005!CA_NOC_WI</f>
        <v>0</v>
      </c>
      <c r="AU503" s="49">
        <f>AU450*HM_ZD_AM3_2005!CA_NOC_WI</f>
        <v>0</v>
      </c>
      <c r="AV503" s="49">
        <f>AV450*HM_ZD_AM3_2005!CA_NOC_WI</f>
        <v>0</v>
      </c>
      <c r="AW503" s="49">
        <f>AW450*HM_ZD_AM3_2005!CA_NOC_WI</f>
        <v>0</v>
      </c>
      <c r="AX503" s="49">
        <f>AX450*HM_ZD_AM3_2005!CA_NOC_WI</f>
        <v>0</v>
      </c>
      <c r="AY503" s="49">
        <f>AY450*HM_ZD_AM3_2005!CA_NOC_WI</f>
        <v>0</v>
      </c>
      <c r="AZ503" s="49">
        <f>AZ450*HM_ZD_AM3_2005!CA_NOC_WI</f>
        <v>0</v>
      </c>
      <c r="BA503" s="49">
        <f>BA450*HM_ZD_AM3_2005!CA_NOC_WI</f>
        <v>0</v>
      </c>
      <c r="BB503" s="49">
        <f>BB450*HM_ZD_AM3_2005!CA_NOC_WI</f>
        <v>0</v>
      </c>
      <c r="BC503" s="49">
        <f>BC450*HM_ZD_AM3_2005!CA_NOC_WI</f>
        <v>0</v>
      </c>
      <c r="BD503" s="49">
        <f>BD450*HM_ZD_AM3_2005!CA_NOC_WI</f>
        <v>0</v>
      </c>
      <c r="BE503" s="49">
        <f>BE450*HM_ZD_AM3_2005!CA_NOC_WI</f>
        <v>0</v>
      </c>
      <c r="BF503" s="49">
        <f>BF450*HM_ZD_AM3_2005!CA_NOC_WI</f>
        <v>0</v>
      </c>
      <c r="BG503" s="49">
        <f>BG450*HM_ZD_AM3_2005!CA_NOC_WI</f>
        <v>0</v>
      </c>
      <c r="BH503" s="49">
        <f>BH450*HM_ZD_AM3_2005!CA_NOC_WI</f>
        <v>0</v>
      </c>
      <c r="BI503" s="49">
        <f>BI450*HM_ZD_AM3_2005!CA_NOC_WI</f>
        <v>0</v>
      </c>
      <c r="BJ503" s="49">
        <f>BJ450*HM_ZD_AM3_2005!CA_NOC_WI</f>
        <v>0</v>
      </c>
      <c r="BK503" s="49">
        <f>BK450*HM_ZD_AM3_2005!CA_NOC_WI</f>
        <v>0</v>
      </c>
      <c r="BL503" s="49">
        <f>BL450*HM_ZD_AM3_2005!CA_NOC_WI</f>
        <v>0</v>
      </c>
      <c r="BM503" s="49">
        <f>BM450*HM_ZD_AM3_2005!CA_NOC_WI</f>
        <v>0</v>
      </c>
      <c r="BN503" s="49">
        <f>BN450*HM_ZD_AM3_2005!CA_NOC_WI</f>
        <v>0</v>
      </c>
      <c r="BO503" s="49">
        <f>BO450*HM_ZD_AM3_2005!CA_NOC_WI</f>
        <v>0</v>
      </c>
      <c r="BP503" s="49">
        <f>BP450*HM_ZD_AM3_2005!CA_NOC_WI</f>
        <v>0</v>
      </c>
      <c r="BQ503" s="49">
        <f>BQ450*HM_ZD_AM3_2005!CA_NOC_WI</f>
        <v>0</v>
      </c>
      <c r="BR503" s="49">
        <f>BR450*HM_ZD_AM3_2005!CA_NOC_WI</f>
        <v>0</v>
      </c>
      <c r="BS503" s="49">
        <f>BS450*HM_ZD_AM3_2005!CA_NOC_WI</f>
        <v>0</v>
      </c>
    </row>
    <row r="504" spans="3:71" outlineLevel="1" x14ac:dyDescent="0.2">
      <c r="J504" s="26"/>
      <c r="L504" s="55"/>
      <c r="M504" s="55"/>
      <c r="N504" s="55"/>
      <c r="O504" s="55"/>
      <c r="P504" s="55"/>
      <c r="Q504" s="55"/>
      <c r="R504" s="55"/>
      <c r="S504" s="55"/>
      <c r="T504" s="55"/>
      <c r="U504" s="55"/>
      <c r="V504" s="55"/>
      <c r="W504" s="55"/>
      <c r="X504" s="55"/>
      <c r="Y504" s="55"/>
      <c r="Z504" s="55"/>
      <c r="AA504" s="55"/>
      <c r="AB504" s="55"/>
      <c r="AC504" s="55"/>
      <c r="AD504" s="55"/>
      <c r="AE504" s="55"/>
      <c r="AF504" s="55"/>
      <c r="AG504" s="55"/>
      <c r="AH504" s="55"/>
      <c r="AI504" s="55"/>
      <c r="AJ504" s="55"/>
      <c r="AK504" s="55"/>
      <c r="AL504" s="55"/>
      <c r="AM504" s="55"/>
      <c r="AN504" s="55"/>
      <c r="AO504" s="55"/>
      <c r="AP504" s="55"/>
      <c r="AQ504" s="55"/>
      <c r="AR504" s="55"/>
      <c r="AS504" s="55"/>
      <c r="AT504" s="55"/>
      <c r="AU504" s="55"/>
      <c r="AV504" s="55"/>
      <c r="AW504" s="55"/>
      <c r="AX504" s="55"/>
      <c r="AY504" s="55"/>
      <c r="AZ504" s="55"/>
      <c r="BA504" s="55"/>
      <c r="BB504" s="55"/>
      <c r="BC504" s="55"/>
      <c r="BD504" s="55"/>
      <c r="BE504" s="55"/>
      <c r="BF504" s="55"/>
      <c r="BG504" s="55"/>
      <c r="BH504" s="55"/>
      <c r="BI504" s="55"/>
      <c r="BJ504" s="55"/>
      <c r="BK504" s="55"/>
      <c r="BL504" s="55"/>
      <c r="BM504" s="55"/>
      <c r="BN504" s="55"/>
      <c r="BO504" s="55"/>
      <c r="BP504" s="55"/>
      <c r="BQ504" s="55"/>
      <c r="BR504" s="55"/>
      <c r="BS504" s="55"/>
    </row>
    <row r="505" spans="3:71" outlineLevel="1" x14ac:dyDescent="0.2">
      <c r="C505" s="11" t="str">
        <f>HM_ZD_Moho!C527</f>
        <v>Impôts supplémentaires</v>
      </c>
      <c r="I505" s="30">
        <f t="shared" ca="1" si="162"/>
        <v>0</v>
      </c>
      <c r="J505" s="26" t="s">
        <v>148</v>
      </c>
      <c r="L505" s="49">
        <f ca="1">L452*HM_ZD_AM3_2005!CA_NOC_WI</f>
        <v>0</v>
      </c>
      <c r="M505" s="49">
        <f ca="1">M452*HM_ZD_AM3_2005!CA_NOC_WI</f>
        <v>0</v>
      </c>
      <c r="N505" s="49">
        <f>N452*HM_ZD_AM3_2005!CA_NOC_WI</f>
        <v>0</v>
      </c>
      <c r="O505" s="49">
        <f>O452*HM_ZD_AM3_2005!CA_NOC_WI</f>
        <v>0</v>
      </c>
      <c r="P505" s="49">
        <f>P452*HM_ZD_AM3_2005!CA_NOC_WI</f>
        <v>0</v>
      </c>
      <c r="Q505" s="49">
        <f>Q452*HM_ZD_AM3_2005!CA_NOC_WI</f>
        <v>0</v>
      </c>
      <c r="R505" s="49">
        <f>R452*HM_ZD_AM3_2005!CA_NOC_WI</f>
        <v>0</v>
      </c>
      <c r="S505" s="49">
        <f>S452*HM_ZD_AM3_2005!CA_NOC_WI</f>
        <v>0</v>
      </c>
      <c r="T505" s="49">
        <f>T452*HM_ZD_AM3_2005!CA_NOC_WI</f>
        <v>0</v>
      </c>
      <c r="U505" s="49">
        <f>U452*HM_ZD_AM3_2005!CA_NOC_WI</f>
        <v>0</v>
      </c>
      <c r="V505" s="49">
        <f>V452*HM_ZD_AM3_2005!CA_NOC_WI</f>
        <v>0</v>
      </c>
      <c r="W505" s="49">
        <f>W452*HM_ZD_AM3_2005!CA_NOC_WI</f>
        <v>0</v>
      </c>
      <c r="X505" s="49">
        <f>X452*HM_ZD_AM3_2005!CA_NOC_WI</f>
        <v>0</v>
      </c>
      <c r="Y505" s="49">
        <f>Y452*HM_ZD_AM3_2005!CA_NOC_WI</f>
        <v>0</v>
      </c>
      <c r="Z505" s="49">
        <f>Z452*HM_ZD_AM3_2005!CA_NOC_WI</f>
        <v>0</v>
      </c>
      <c r="AA505" s="49">
        <f>AA452*HM_ZD_AM3_2005!CA_NOC_WI</f>
        <v>0</v>
      </c>
      <c r="AB505" s="49">
        <f>AB452*HM_ZD_AM3_2005!CA_NOC_WI</f>
        <v>0</v>
      </c>
      <c r="AC505" s="49">
        <f>AC452*HM_ZD_AM3_2005!CA_NOC_WI</f>
        <v>0</v>
      </c>
      <c r="AD505" s="49">
        <f>AD452*HM_ZD_AM3_2005!CA_NOC_WI</f>
        <v>0</v>
      </c>
      <c r="AE505" s="49">
        <f>AE452*HM_ZD_AM3_2005!CA_NOC_WI</f>
        <v>0</v>
      </c>
      <c r="AF505" s="49">
        <f>AF452*HM_ZD_AM3_2005!CA_NOC_WI</f>
        <v>0</v>
      </c>
      <c r="AG505" s="49">
        <f>AG452*HM_ZD_AM3_2005!CA_NOC_WI</f>
        <v>0</v>
      </c>
      <c r="AH505" s="49">
        <f>AH452*HM_ZD_AM3_2005!CA_NOC_WI</f>
        <v>0</v>
      </c>
      <c r="AI505" s="49">
        <f>AI452*HM_ZD_AM3_2005!CA_NOC_WI</f>
        <v>0</v>
      </c>
      <c r="AJ505" s="49">
        <f>AJ452*HM_ZD_AM3_2005!CA_NOC_WI</f>
        <v>0</v>
      </c>
      <c r="AK505" s="49">
        <f>AK452*HM_ZD_AM3_2005!CA_NOC_WI</f>
        <v>0</v>
      </c>
      <c r="AL505" s="49">
        <f>AL452*HM_ZD_AM3_2005!CA_NOC_WI</f>
        <v>0</v>
      </c>
      <c r="AM505" s="49">
        <f>AM452*HM_ZD_AM3_2005!CA_NOC_WI</f>
        <v>0</v>
      </c>
      <c r="AN505" s="49">
        <f>AN452*HM_ZD_AM3_2005!CA_NOC_WI</f>
        <v>0</v>
      </c>
      <c r="AO505" s="49">
        <f>AO452*HM_ZD_AM3_2005!CA_NOC_WI</f>
        <v>0</v>
      </c>
      <c r="AP505" s="49">
        <f>AP452*HM_ZD_AM3_2005!CA_NOC_WI</f>
        <v>0</v>
      </c>
      <c r="AQ505" s="49">
        <f>AQ452*HM_ZD_AM3_2005!CA_NOC_WI</f>
        <v>0</v>
      </c>
      <c r="AR505" s="49">
        <f>AR452*HM_ZD_AM3_2005!CA_NOC_WI</f>
        <v>0</v>
      </c>
      <c r="AS505" s="49">
        <f>AS452*HM_ZD_AM3_2005!CA_NOC_WI</f>
        <v>0</v>
      </c>
      <c r="AT505" s="49">
        <f>AT452*HM_ZD_AM3_2005!CA_NOC_WI</f>
        <v>0</v>
      </c>
      <c r="AU505" s="49">
        <f>AU452*HM_ZD_AM3_2005!CA_NOC_WI</f>
        <v>0</v>
      </c>
      <c r="AV505" s="49">
        <f>AV452*HM_ZD_AM3_2005!CA_NOC_WI</f>
        <v>0</v>
      </c>
      <c r="AW505" s="49">
        <f>AW452*HM_ZD_AM3_2005!CA_NOC_WI</f>
        <v>0</v>
      </c>
      <c r="AX505" s="49">
        <f>AX452*HM_ZD_AM3_2005!CA_NOC_WI</f>
        <v>0</v>
      </c>
      <c r="AY505" s="49">
        <f>AY452*HM_ZD_AM3_2005!CA_NOC_WI</f>
        <v>0</v>
      </c>
      <c r="AZ505" s="49">
        <f>AZ452*HM_ZD_AM3_2005!CA_NOC_WI</f>
        <v>0</v>
      </c>
      <c r="BA505" s="49">
        <f>BA452*HM_ZD_AM3_2005!CA_NOC_WI</f>
        <v>0</v>
      </c>
      <c r="BB505" s="49">
        <f>BB452*HM_ZD_AM3_2005!CA_NOC_WI</f>
        <v>0</v>
      </c>
      <c r="BC505" s="49">
        <f>BC452*HM_ZD_AM3_2005!CA_NOC_WI</f>
        <v>0</v>
      </c>
      <c r="BD505" s="49">
        <f>BD452*HM_ZD_AM3_2005!CA_NOC_WI</f>
        <v>0</v>
      </c>
      <c r="BE505" s="49">
        <f>BE452*HM_ZD_AM3_2005!CA_NOC_WI</f>
        <v>0</v>
      </c>
      <c r="BF505" s="49">
        <f>BF452*HM_ZD_AM3_2005!CA_NOC_WI</f>
        <v>0</v>
      </c>
      <c r="BG505" s="49">
        <f>BG452*HM_ZD_AM3_2005!CA_NOC_WI</f>
        <v>0</v>
      </c>
      <c r="BH505" s="49">
        <f>BH452*HM_ZD_AM3_2005!CA_NOC_WI</f>
        <v>0</v>
      </c>
      <c r="BI505" s="49">
        <f>BI452*HM_ZD_AM3_2005!CA_NOC_WI</f>
        <v>0</v>
      </c>
      <c r="BJ505" s="49">
        <f>BJ452*HM_ZD_AM3_2005!CA_NOC_WI</f>
        <v>0</v>
      </c>
      <c r="BK505" s="49">
        <f>BK452*HM_ZD_AM3_2005!CA_NOC_WI</f>
        <v>0</v>
      </c>
      <c r="BL505" s="49">
        <f>BL452*HM_ZD_AM3_2005!CA_NOC_WI</f>
        <v>0</v>
      </c>
      <c r="BM505" s="49">
        <f>BM452*HM_ZD_AM3_2005!CA_NOC_WI</f>
        <v>0</v>
      </c>
      <c r="BN505" s="49">
        <f>BN452*HM_ZD_AM3_2005!CA_NOC_WI</f>
        <v>0</v>
      </c>
      <c r="BO505" s="49">
        <f>BO452*HM_ZD_AM3_2005!CA_NOC_WI</f>
        <v>0</v>
      </c>
      <c r="BP505" s="49">
        <f>BP452*HM_ZD_AM3_2005!CA_NOC_WI</f>
        <v>0</v>
      </c>
      <c r="BQ505" s="49">
        <f>BQ452*HM_ZD_AM3_2005!CA_NOC_WI</f>
        <v>0</v>
      </c>
      <c r="BR505" s="49">
        <f>BR452*HM_ZD_AM3_2005!CA_NOC_WI</f>
        <v>0</v>
      </c>
      <c r="BS505" s="49">
        <f>BS452*HM_ZD_AM3_2005!CA_NOC_WI</f>
        <v>0</v>
      </c>
    </row>
    <row r="506" spans="3:71" outlineLevel="1" x14ac:dyDescent="0.2">
      <c r="J506" s="26"/>
      <c r="L506" s="55"/>
      <c r="M506" s="55"/>
      <c r="N506" s="55"/>
      <c r="O506" s="55"/>
      <c r="P506" s="55"/>
      <c r="Q506" s="55"/>
      <c r="R506" s="55"/>
      <c r="S506" s="55"/>
      <c r="T506" s="55"/>
      <c r="U506" s="55"/>
      <c r="V506" s="55"/>
      <c r="W506" s="55"/>
      <c r="X506" s="55"/>
      <c r="Y506" s="55"/>
      <c r="Z506" s="55"/>
      <c r="AA506" s="55"/>
      <c r="AB506" s="55"/>
      <c r="AC506" s="55"/>
      <c r="AD506" s="55"/>
      <c r="AE506" s="55"/>
      <c r="AF506" s="55"/>
      <c r="AG506" s="55"/>
      <c r="AH506" s="55"/>
      <c r="AI506" s="55"/>
      <c r="AJ506" s="55"/>
      <c r="AK506" s="55"/>
      <c r="AL506" s="55"/>
      <c r="AM506" s="55"/>
      <c r="AN506" s="55"/>
      <c r="AO506" s="55"/>
      <c r="AP506" s="55"/>
      <c r="AQ506" s="55"/>
      <c r="AR506" s="55"/>
      <c r="AS506" s="55"/>
      <c r="AT506" s="55"/>
      <c r="AU506" s="55"/>
      <c r="AV506" s="55"/>
      <c r="AW506" s="55"/>
      <c r="AX506" s="55"/>
      <c r="AY506" s="55"/>
      <c r="AZ506" s="55"/>
      <c r="BA506" s="55"/>
      <c r="BB506" s="55"/>
      <c r="BC506" s="55"/>
      <c r="BD506" s="55"/>
      <c r="BE506" s="55"/>
      <c r="BF506" s="55"/>
      <c r="BG506" s="55"/>
      <c r="BH506" s="55"/>
      <c r="BI506" s="55"/>
      <c r="BJ506" s="55"/>
      <c r="BK506" s="55"/>
      <c r="BL506" s="55"/>
      <c r="BM506" s="55"/>
      <c r="BN506" s="55"/>
      <c r="BO506" s="55"/>
      <c r="BP506" s="55"/>
      <c r="BQ506" s="55"/>
      <c r="BR506" s="55"/>
      <c r="BS506" s="55"/>
    </row>
    <row r="507" spans="3:71" outlineLevel="1" x14ac:dyDescent="0.2">
      <c r="C507" s="11" t="str">
        <f>HM_ZD_Moho!C529</f>
        <v>Flux de trésorerie après impôts</v>
      </c>
      <c r="F507" s="64" t="b">
        <f ca="1">ROUND(I507+I473-I454,2)=0</f>
        <v>1</v>
      </c>
      <c r="H507" s="7" t="s">
        <v>508</v>
      </c>
      <c r="I507" s="30">
        <f t="shared" ca="1" si="162"/>
        <v>-13.426847062955112</v>
      </c>
      <c r="J507" s="26" t="s">
        <v>148</v>
      </c>
      <c r="K507" s="7" t="s">
        <v>433</v>
      </c>
      <c r="L507" s="49">
        <f ca="1">L491-L493-L495-L497-L499-L501-L503-L505</f>
        <v>-2.8652707112017968</v>
      </c>
      <c r="M507" s="49">
        <f t="shared" ref="M507:BS507" ca="1" si="163">M491-M493-M495-M497-M499-M501-M503-M505</f>
        <v>-10.561576351753315</v>
      </c>
      <c r="N507" s="49">
        <f t="shared" ca="1" si="163"/>
        <v>0</v>
      </c>
      <c r="O507" s="49">
        <f t="shared" ca="1" si="163"/>
        <v>0</v>
      </c>
      <c r="P507" s="49">
        <f t="shared" ca="1" si="163"/>
        <v>0</v>
      </c>
      <c r="Q507" s="49">
        <f t="shared" ca="1" si="163"/>
        <v>0</v>
      </c>
      <c r="R507" s="49">
        <f t="shared" ca="1" si="163"/>
        <v>0</v>
      </c>
      <c r="S507" s="49">
        <f t="shared" ca="1" si="163"/>
        <v>0</v>
      </c>
      <c r="T507" s="49">
        <f t="shared" ca="1" si="163"/>
        <v>0</v>
      </c>
      <c r="U507" s="49">
        <f t="shared" ca="1" si="163"/>
        <v>0</v>
      </c>
      <c r="V507" s="49">
        <f t="shared" ca="1" si="163"/>
        <v>0</v>
      </c>
      <c r="W507" s="49">
        <f t="shared" ca="1" si="163"/>
        <v>0</v>
      </c>
      <c r="X507" s="49">
        <f t="shared" ca="1" si="163"/>
        <v>0</v>
      </c>
      <c r="Y507" s="49">
        <f t="shared" ca="1" si="163"/>
        <v>0</v>
      </c>
      <c r="Z507" s="49">
        <f t="shared" ca="1" si="163"/>
        <v>0</v>
      </c>
      <c r="AA507" s="49">
        <f t="shared" ca="1" si="163"/>
        <v>0</v>
      </c>
      <c r="AB507" s="49">
        <f t="shared" ca="1" si="163"/>
        <v>0</v>
      </c>
      <c r="AC507" s="49">
        <f t="shared" ca="1" si="163"/>
        <v>0</v>
      </c>
      <c r="AD507" s="49">
        <f t="shared" ca="1" si="163"/>
        <v>0</v>
      </c>
      <c r="AE507" s="49">
        <f t="shared" ca="1" si="163"/>
        <v>0</v>
      </c>
      <c r="AF507" s="49">
        <f t="shared" ca="1" si="163"/>
        <v>0</v>
      </c>
      <c r="AG507" s="49">
        <f t="shared" ca="1" si="163"/>
        <v>0</v>
      </c>
      <c r="AH507" s="49">
        <f t="shared" ca="1" si="163"/>
        <v>0</v>
      </c>
      <c r="AI507" s="49">
        <f t="shared" ca="1" si="163"/>
        <v>0</v>
      </c>
      <c r="AJ507" s="49">
        <f t="shared" ca="1" si="163"/>
        <v>0</v>
      </c>
      <c r="AK507" s="49">
        <f t="shared" ca="1" si="163"/>
        <v>0</v>
      </c>
      <c r="AL507" s="49">
        <f t="shared" ca="1" si="163"/>
        <v>0</v>
      </c>
      <c r="AM507" s="49">
        <f t="shared" ca="1" si="163"/>
        <v>0</v>
      </c>
      <c r="AN507" s="49">
        <f t="shared" ca="1" si="163"/>
        <v>0</v>
      </c>
      <c r="AO507" s="49">
        <f t="shared" ca="1" si="163"/>
        <v>0</v>
      </c>
      <c r="AP507" s="49">
        <f t="shared" ca="1" si="163"/>
        <v>0</v>
      </c>
      <c r="AQ507" s="49">
        <f t="shared" ca="1" si="163"/>
        <v>0</v>
      </c>
      <c r="AR507" s="49">
        <f t="shared" ca="1" si="163"/>
        <v>0</v>
      </c>
      <c r="AS507" s="49">
        <f t="shared" ca="1" si="163"/>
        <v>0</v>
      </c>
      <c r="AT507" s="49">
        <f t="shared" ca="1" si="163"/>
        <v>0</v>
      </c>
      <c r="AU507" s="49">
        <f t="shared" ca="1" si="163"/>
        <v>0</v>
      </c>
      <c r="AV507" s="49">
        <f t="shared" ca="1" si="163"/>
        <v>0</v>
      </c>
      <c r="AW507" s="49">
        <f t="shared" ca="1" si="163"/>
        <v>0</v>
      </c>
      <c r="AX507" s="49">
        <f t="shared" ca="1" si="163"/>
        <v>0</v>
      </c>
      <c r="AY507" s="49">
        <f t="shared" ca="1" si="163"/>
        <v>0</v>
      </c>
      <c r="AZ507" s="49">
        <f t="shared" ca="1" si="163"/>
        <v>0</v>
      </c>
      <c r="BA507" s="49">
        <f t="shared" ca="1" si="163"/>
        <v>0</v>
      </c>
      <c r="BB507" s="49">
        <f t="shared" ca="1" si="163"/>
        <v>0</v>
      </c>
      <c r="BC507" s="49">
        <f t="shared" ca="1" si="163"/>
        <v>0</v>
      </c>
      <c r="BD507" s="49">
        <f t="shared" ca="1" si="163"/>
        <v>0</v>
      </c>
      <c r="BE507" s="49">
        <f t="shared" ca="1" si="163"/>
        <v>0</v>
      </c>
      <c r="BF507" s="49">
        <f t="shared" ca="1" si="163"/>
        <v>0</v>
      </c>
      <c r="BG507" s="49">
        <f t="shared" ca="1" si="163"/>
        <v>0</v>
      </c>
      <c r="BH507" s="49">
        <f t="shared" ca="1" si="163"/>
        <v>0</v>
      </c>
      <c r="BI507" s="49">
        <f t="shared" ca="1" si="163"/>
        <v>0</v>
      </c>
      <c r="BJ507" s="49">
        <f t="shared" ca="1" si="163"/>
        <v>0</v>
      </c>
      <c r="BK507" s="49">
        <f t="shared" ca="1" si="163"/>
        <v>0</v>
      </c>
      <c r="BL507" s="49">
        <f t="shared" ca="1" si="163"/>
        <v>0</v>
      </c>
      <c r="BM507" s="49">
        <f t="shared" ca="1" si="163"/>
        <v>0</v>
      </c>
      <c r="BN507" s="49">
        <f t="shared" ca="1" si="163"/>
        <v>0</v>
      </c>
      <c r="BO507" s="49">
        <f t="shared" ca="1" si="163"/>
        <v>0</v>
      </c>
      <c r="BP507" s="49">
        <f t="shared" ca="1" si="163"/>
        <v>0</v>
      </c>
      <c r="BQ507" s="49">
        <f t="shared" ca="1" si="163"/>
        <v>0</v>
      </c>
      <c r="BR507" s="49">
        <f t="shared" ca="1" si="163"/>
        <v>0</v>
      </c>
      <c r="BS507" s="49">
        <f t="shared" ca="1" si="163"/>
        <v>0</v>
      </c>
    </row>
    <row r="508" spans="3:71" outlineLevel="1" x14ac:dyDescent="0.2">
      <c r="J508" s="26"/>
      <c r="L508" s="55"/>
      <c r="M508" s="55"/>
      <c r="N508" s="55"/>
      <c r="O508" s="55"/>
      <c r="P508" s="55"/>
      <c r="Q508" s="55"/>
      <c r="R508" s="55"/>
      <c r="S508" s="55"/>
      <c r="T508" s="55"/>
      <c r="U508" s="55"/>
      <c r="V508" s="55"/>
      <c r="W508" s="55"/>
      <c r="X508" s="55"/>
      <c r="Y508" s="55"/>
      <c r="Z508" s="55"/>
      <c r="AA508" s="55"/>
      <c r="AB508" s="55"/>
      <c r="AC508" s="55"/>
      <c r="AD508" s="55"/>
      <c r="AE508" s="55"/>
      <c r="AF508" s="55"/>
      <c r="AG508" s="55"/>
      <c r="AH508" s="55"/>
      <c r="AI508" s="55"/>
      <c r="AJ508" s="55"/>
      <c r="AK508" s="55"/>
      <c r="AL508" s="55"/>
      <c r="AM508" s="55"/>
      <c r="AN508" s="55"/>
      <c r="AO508" s="55"/>
      <c r="AP508" s="55"/>
      <c r="AQ508" s="55"/>
      <c r="AR508" s="55"/>
      <c r="AS508" s="55"/>
      <c r="AT508" s="55"/>
      <c r="AU508" s="55"/>
      <c r="AV508" s="55"/>
      <c r="AW508" s="55"/>
      <c r="AX508" s="55"/>
      <c r="AY508" s="55"/>
      <c r="AZ508" s="55"/>
      <c r="BA508" s="55"/>
      <c r="BB508" s="55"/>
      <c r="BC508" s="55"/>
      <c r="BD508" s="55"/>
      <c r="BE508" s="55"/>
      <c r="BF508" s="55"/>
      <c r="BG508" s="55"/>
      <c r="BH508" s="55"/>
      <c r="BI508" s="55"/>
      <c r="BJ508" s="55"/>
      <c r="BK508" s="55"/>
      <c r="BL508" s="55"/>
      <c r="BM508" s="55"/>
      <c r="BN508" s="55"/>
      <c r="BO508" s="55"/>
      <c r="BP508" s="55"/>
      <c r="BQ508" s="55"/>
      <c r="BR508" s="55"/>
      <c r="BS508" s="55"/>
    </row>
    <row r="509" spans="3:71" outlineLevel="1" x14ac:dyDescent="0.2">
      <c r="C509" s="11" t="str">
        <f>HM_ZD_Moho!C531</f>
        <v>Flux de trésorerie après impôts cumulé</v>
      </c>
      <c r="J509" s="26"/>
      <c r="L509" s="66">
        <f ca="1">(K509+L507)*HM_ZD_AM3_2005!CA_op_trig</f>
        <v>-2.8652707112017968</v>
      </c>
      <c r="M509" s="66">
        <f ca="1">(L509+M507)*HM_ZD_AM3_2005!CA_op_trig</f>
        <v>-13.426847062955112</v>
      </c>
      <c r="N509" s="66">
        <f ca="1">(M509+N507)*HM_ZD_AM3_2005!CA_op_trig</f>
        <v>0</v>
      </c>
      <c r="O509" s="66">
        <f ca="1">(N509+O507)*HM_ZD_AM3_2005!CA_op_trig</f>
        <v>0</v>
      </c>
      <c r="P509" s="66">
        <f ca="1">(O509+P507)*HM_ZD_AM3_2005!CA_op_trig</f>
        <v>0</v>
      </c>
      <c r="Q509" s="66">
        <f ca="1">(P509+Q507)*HM_ZD_AM3_2005!CA_op_trig</f>
        <v>0</v>
      </c>
      <c r="R509" s="66">
        <f ca="1">(Q509+R507)*HM_ZD_AM3_2005!CA_op_trig</f>
        <v>0</v>
      </c>
      <c r="S509" s="66">
        <f ca="1">(R509+S507)*HM_ZD_AM3_2005!CA_op_trig</f>
        <v>0</v>
      </c>
      <c r="T509" s="66">
        <f ca="1">(S509+T507)*HM_ZD_AM3_2005!CA_op_trig</f>
        <v>0</v>
      </c>
      <c r="U509" s="66">
        <f ca="1">(T509+U507)*HM_ZD_AM3_2005!CA_op_trig</f>
        <v>0</v>
      </c>
      <c r="V509" s="66">
        <f ca="1">(U509+V507)*HM_ZD_AM3_2005!CA_op_trig</f>
        <v>0</v>
      </c>
      <c r="W509" s="66">
        <f ca="1">(V509+W507)*HM_ZD_AM3_2005!CA_op_trig</f>
        <v>0</v>
      </c>
      <c r="X509" s="66">
        <f ca="1">(W509+X507)*HM_ZD_AM3_2005!CA_op_trig</f>
        <v>0</v>
      </c>
      <c r="Y509" s="66">
        <f ca="1">(X509+Y507)*HM_ZD_AM3_2005!CA_op_trig</f>
        <v>0</v>
      </c>
      <c r="Z509" s="66">
        <f ca="1">(Y509+Z507)*HM_ZD_AM3_2005!CA_op_trig</f>
        <v>0</v>
      </c>
      <c r="AA509" s="66">
        <f ca="1">(Z509+AA507)*HM_ZD_AM3_2005!CA_op_trig</f>
        <v>0</v>
      </c>
      <c r="AB509" s="66">
        <f ca="1">(AA509+AB507)*HM_ZD_AM3_2005!CA_op_trig</f>
        <v>0</v>
      </c>
      <c r="AC509" s="66">
        <f ca="1">(AB509+AC507)*HM_ZD_AM3_2005!CA_op_trig</f>
        <v>0</v>
      </c>
      <c r="AD509" s="66">
        <f ca="1">(AC509+AD507)*HM_ZD_AM3_2005!CA_op_trig</f>
        <v>0</v>
      </c>
      <c r="AE509" s="66">
        <f ca="1">(AD509+AE507)*HM_ZD_AM3_2005!CA_op_trig</f>
        <v>0</v>
      </c>
      <c r="AF509" s="66">
        <f ca="1">(AE509+AF507)*HM_ZD_AM3_2005!CA_op_trig</f>
        <v>0</v>
      </c>
      <c r="AG509" s="66">
        <f ca="1">(AF509+AG507)*HM_ZD_AM3_2005!CA_op_trig</f>
        <v>0</v>
      </c>
      <c r="AH509" s="66">
        <f ca="1">(AG509+AH507)*HM_ZD_AM3_2005!CA_op_trig</f>
        <v>0</v>
      </c>
      <c r="AI509" s="66">
        <f ca="1">(AH509+AI507)*HM_ZD_AM3_2005!CA_op_trig</f>
        <v>0</v>
      </c>
      <c r="AJ509" s="66">
        <f ca="1">(AI509+AJ507)*HM_ZD_AM3_2005!CA_op_trig</f>
        <v>0</v>
      </c>
      <c r="AK509" s="66">
        <f ca="1">(AJ509+AK507)*HM_ZD_AM3_2005!CA_op_trig</f>
        <v>0</v>
      </c>
      <c r="AL509" s="66">
        <f ca="1">(AK509+AL507)*HM_ZD_AM3_2005!CA_op_trig</f>
        <v>0</v>
      </c>
      <c r="AM509" s="66">
        <f ca="1">(AL509+AM507)*HM_ZD_AM3_2005!CA_op_trig</f>
        <v>0</v>
      </c>
      <c r="AN509" s="66">
        <f ca="1">(AM509+AN507)*HM_ZD_AM3_2005!CA_op_trig</f>
        <v>0</v>
      </c>
      <c r="AO509" s="66">
        <f ca="1">(AN509+AO507)*HM_ZD_AM3_2005!CA_op_trig</f>
        <v>0</v>
      </c>
      <c r="AP509" s="66">
        <f ca="1">(AO509+AP507)*HM_ZD_AM3_2005!CA_op_trig</f>
        <v>0</v>
      </c>
      <c r="AQ509" s="66">
        <f ca="1">(AP509+AQ507)*HM_ZD_AM3_2005!CA_op_trig</f>
        <v>0</v>
      </c>
      <c r="AR509" s="66">
        <f ca="1">(AQ509+AR507)*HM_ZD_AM3_2005!CA_op_trig</f>
        <v>0</v>
      </c>
      <c r="AS509" s="66">
        <f ca="1">(AR509+AS507)*HM_ZD_AM3_2005!CA_op_trig</f>
        <v>0</v>
      </c>
      <c r="AT509" s="66">
        <f ca="1">(AS509+AT507)*HM_ZD_AM3_2005!CA_op_trig</f>
        <v>0</v>
      </c>
      <c r="AU509" s="66">
        <f ca="1">(AT509+AU507)*HM_ZD_AM3_2005!CA_op_trig</f>
        <v>0</v>
      </c>
      <c r="AV509" s="66">
        <f ca="1">(AU509+AV507)*HM_ZD_AM3_2005!CA_op_trig</f>
        <v>0</v>
      </c>
      <c r="AW509" s="66">
        <f ca="1">(AV509+AW507)*HM_ZD_AM3_2005!CA_op_trig</f>
        <v>0</v>
      </c>
      <c r="AX509" s="66">
        <f ca="1">(AW509+AX507)*HM_ZD_AM3_2005!CA_op_trig</f>
        <v>0</v>
      </c>
      <c r="AY509" s="66">
        <f ca="1">(AX509+AY507)*HM_ZD_AM3_2005!CA_op_trig</f>
        <v>0</v>
      </c>
      <c r="AZ509" s="66">
        <f ca="1">(AY509+AZ507)*HM_ZD_AM3_2005!CA_op_trig</f>
        <v>0</v>
      </c>
      <c r="BA509" s="66">
        <f ca="1">(AZ509+BA507)*HM_ZD_AM3_2005!CA_op_trig</f>
        <v>0</v>
      </c>
      <c r="BB509" s="66">
        <f ca="1">(BA509+BB507)*HM_ZD_AM3_2005!CA_op_trig</f>
        <v>0</v>
      </c>
      <c r="BC509" s="66">
        <f ca="1">(BB509+BC507)*HM_ZD_AM3_2005!CA_op_trig</f>
        <v>0</v>
      </c>
      <c r="BD509" s="66">
        <f ca="1">(BC509+BD507)*HM_ZD_AM3_2005!CA_op_trig</f>
        <v>0</v>
      </c>
      <c r="BE509" s="66">
        <f ca="1">(BD509+BE507)*HM_ZD_AM3_2005!CA_op_trig</f>
        <v>0</v>
      </c>
      <c r="BF509" s="66">
        <f ca="1">(BE509+BF507)*HM_ZD_AM3_2005!CA_op_trig</f>
        <v>0</v>
      </c>
      <c r="BG509" s="66">
        <f ca="1">(BF509+BG507)*HM_ZD_AM3_2005!CA_op_trig</f>
        <v>0</v>
      </c>
      <c r="BH509" s="66">
        <f ca="1">(BG509+BH507)*HM_ZD_AM3_2005!CA_op_trig</f>
        <v>0</v>
      </c>
      <c r="BI509" s="66">
        <f ca="1">(BH509+BI507)*HM_ZD_AM3_2005!CA_op_trig</f>
        <v>0</v>
      </c>
      <c r="BJ509" s="66">
        <f ca="1">(BI509+BJ507)*HM_ZD_AM3_2005!CA_op_trig</f>
        <v>0</v>
      </c>
      <c r="BK509" s="66">
        <f ca="1">(BJ509+BK507)*HM_ZD_AM3_2005!CA_op_trig</f>
        <v>0</v>
      </c>
      <c r="BL509" s="66">
        <f ca="1">(BK509+BL507)*HM_ZD_AM3_2005!CA_op_trig</f>
        <v>0</v>
      </c>
      <c r="BM509" s="66">
        <f ca="1">(BL509+BM507)*HM_ZD_AM3_2005!CA_op_trig</f>
        <v>0</v>
      </c>
      <c r="BN509" s="66">
        <f ca="1">(BM509+BN507)*HM_ZD_AM3_2005!CA_op_trig</f>
        <v>0</v>
      </c>
      <c r="BO509" s="66">
        <f ca="1">(BN509+BO507)*HM_ZD_AM3_2005!CA_op_trig</f>
        <v>0</v>
      </c>
      <c r="BP509" s="66">
        <f ca="1">(BO509+BP507)*HM_ZD_AM3_2005!CA_op_trig</f>
        <v>0</v>
      </c>
      <c r="BQ509" s="66">
        <f ca="1">(BP509+BQ507)*HM_ZD_AM3_2005!CA_op_trig</f>
        <v>0</v>
      </c>
      <c r="BR509" s="66">
        <f ca="1">(BQ509+BR507)*HM_ZD_AM3_2005!CA_op_trig</f>
        <v>0</v>
      </c>
      <c r="BS509" s="66">
        <f ca="1">(BR509+BS507)*HM_ZD_AM3_2005!CA_op_trig</f>
        <v>0</v>
      </c>
    </row>
    <row r="510" spans="3:71" outlineLevel="1" x14ac:dyDescent="0.2">
      <c r="J510" s="26"/>
      <c r="L510" s="55"/>
      <c r="M510" s="55"/>
      <c r="N510" s="55"/>
      <c r="O510" s="55"/>
      <c r="P510" s="55"/>
      <c r="Q510" s="55"/>
      <c r="R510" s="55"/>
      <c r="S510" s="55"/>
      <c r="T510" s="55"/>
      <c r="U510" s="55"/>
      <c r="V510" s="55"/>
      <c r="W510" s="55"/>
      <c r="X510" s="55"/>
      <c r="Y510" s="55"/>
      <c r="Z510" s="55"/>
      <c r="AA510" s="55"/>
      <c r="AB510" s="55"/>
      <c r="AC510" s="55"/>
      <c r="AD510" s="55"/>
      <c r="AE510" s="55"/>
      <c r="AF510" s="55"/>
      <c r="AG510" s="55"/>
      <c r="AH510" s="55"/>
      <c r="AI510" s="55"/>
      <c r="AJ510" s="55"/>
      <c r="AK510" s="55"/>
      <c r="AL510" s="55"/>
      <c r="AM510" s="55"/>
      <c r="AN510" s="55"/>
      <c r="AO510" s="55"/>
      <c r="AP510" s="55"/>
      <c r="AQ510" s="55"/>
      <c r="AR510" s="55"/>
      <c r="AS510" s="55"/>
      <c r="AT510" s="55"/>
      <c r="AU510" s="55"/>
      <c r="AV510" s="55"/>
      <c r="AW510" s="55"/>
      <c r="AX510" s="55"/>
      <c r="AY510" s="55"/>
      <c r="AZ510" s="55"/>
      <c r="BA510" s="55"/>
      <c r="BB510" s="55"/>
      <c r="BC510" s="55"/>
      <c r="BD510" s="55"/>
      <c r="BE510" s="55"/>
      <c r="BF510" s="55"/>
      <c r="BG510" s="55"/>
      <c r="BH510" s="55"/>
      <c r="BI510" s="55"/>
      <c r="BJ510" s="55"/>
      <c r="BK510" s="55"/>
      <c r="BL510" s="55"/>
      <c r="BM510" s="55"/>
      <c r="BN510" s="55"/>
      <c r="BO510" s="55"/>
      <c r="BP510" s="55"/>
      <c r="BQ510" s="55"/>
      <c r="BR510" s="55"/>
      <c r="BS510" s="55"/>
    </row>
    <row r="511" spans="3:71" outlineLevel="1" x14ac:dyDescent="0.2">
      <c r="C511" s="11" t="str">
        <f>HM_ZD_Moho!C533</f>
        <v>VAN cycle complet</v>
      </c>
      <c r="G511" s="60"/>
      <c r="H511" s="7" t="s">
        <v>509</v>
      </c>
      <c r="I511" s="63">
        <f ca="1">SUMPRODUCT(OA_noc_ATCF_Am_3_2005,HM_ZD_AM3_2005!CA_disc_factor_fc)</f>
        <v>-5.5451566033781665</v>
      </c>
      <c r="J511" s="26" t="s">
        <v>148</v>
      </c>
      <c r="L511" s="55"/>
      <c r="M511" s="55"/>
      <c r="N511" s="55"/>
      <c r="O511" s="55"/>
      <c r="P511" s="55"/>
      <c r="Q511" s="55"/>
      <c r="R511" s="55"/>
      <c r="S511" s="55"/>
      <c r="T511" s="55"/>
      <c r="U511" s="55"/>
      <c r="V511" s="55"/>
      <c r="W511" s="55"/>
      <c r="X511" s="55"/>
      <c r="Y511" s="55"/>
      <c r="Z511" s="55"/>
      <c r="AA511" s="55"/>
      <c r="AB511" s="55"/>
      <c r="AC511" s="55"/>
      <c r="AD511" s="55"/>
      <c r="AE511" s="55"/>
      <c r="AF511" s="55"/>
      <c r="AG511" s="55"/>
      <c r="AH511" s="55"/>
      <c r="AI511" s="55"/>
      <c r="AJ511" s="55"/>
      <c r="AK511" s="55"/>
      <c r="AL511" s="55"/>
      <c r="AM511" s="55"/>
      <c r="AN511" s="55"/>
      <c r="AO511" s="55"/>
      <c r="AP511" s="55"/>
      <c r="AQ511" s="55"/>
      <c r="AR511" s="55"/>
      <c r="AS511" s="55"/>
      <c r="AT511" s="55"/>
      <c r="AU511" s="55"/>
      <c r="AV511" s="55"/>
      <c r="AW511" s="55"/>
      <c r="AX511" s="55"/>
      <c r="AY511" s="55"/>
      <c r="AZ511" s="55"/>
      <c r="BA511" s="55"/>
      <c r="BB511" s="55"/>
      <c r="BC511" s="55"/>
      <c r="BD511" s="55"/>
      <c r="BE511" s="55"/>
      <c r="BF511" s="55"/>
      <c r="BG511" s="55"/>
      <c r="BH511" s="55"/>
      <c r="BI511" s="55"/>
      <c r="BJ511" s="55"/>
      <c r="BK511" s="55"/>
      <c r="BL511" s="55"/>
      <c r="BM511" s="55"/>
      <c r="BN511" s="55"/>
      <c r="BO511" s="55"/>
      <c r="BP511" s="55"/>
      <c r="BQ511" s="55"/>
      <c r="BR511" s="55"/>
      <c r="BS511" s="55"/>
    </row>
    <row r="512" spans="3:71" outlineLevel="1" x14ac:dyDescent="0.2">
      <c r="C512" s="11" t="str">
        <f>HM_ZD_Moho!C534</f>
        <v>VAN à terme</v>
      </c>
      <c r="I512" s="63">
        <f ca="1">SUMPRODUCT(OA_noc_ATCF_Am_3_2005,HM_ZD_AM3_2005!CA_disc_factor_pf)</f>
        <v>0</v>
      </c>
      <c r="J512" s="26" t="s">
        <v>148</v>
      </c>
      <c r="L512" s="55"/>
      <c r="M512" s="55"/>
      <c r="N512" s="55"/>
      <c r="O512" s="55"/>
      <c r="P512" s="55"/>
      <c r="Q512" s="55"/>
      <c r="R512" s="55"/>
      <c r="S512" s="55"/>
      <c r="T512" s="55"/>
      <c r="U512" s="55"/>
      <c r="V512" s="55"/>
      <c r="W512" s="55"/>
      <c r="X512" s="55"/>
      <c r="Y512" s="55"/>
      <c r="Z512" s="55"/>
      <c r="AA512" s="55"/>
      <c r="AB512" s="55"/>
      <c r="AC512" s="55"/>
      <c r="AD512" s="55"/>
      <c r="AE512" s="55"/>
      <c r="AF512" s="55"/>
      <c r="AG512" s="55"/>
      <c r="AH512" s="55"/>
      <c r="AI512" s="55"/>
      <c r="AJ512" s="55"/>
      <c r="AK512" s="55"/>
      <c r="AL512" s="55"/>
      <c r="AM512" s="55"/>
      <c r="AN512" s="55"/>
      <c r="AO512" s="55"/>
      <c r="AP512" s="55"/>
      <c r="AQ512" s="55"/>
      <c r="AR512" s="55"/>
      <c r="AS512" s="55"/>
      <c r="AT512" s="55"/>
      <c r="AU512" s="55"/>
      <c r="AV512" s="55"/>
      <c r="AW512" s="55"/>
      <c r="AX512" s="55"/>
      <c r="AY512" s="55"/>
      <c r="AZ512" s="55"/>
      <c r="BA512" s="55"/>
      <c r="BB512" s="55"/>
      <c r="BC512" s="55"/>
      <c r="BD512" s="55"/>
      <c r="BE512" s="55"/>
      <c r="BF512" s="55"/>
      <c r="BG512" s="55"/>
      <c r="BH512" s="55"/>
      <c r="BI512" s="55"/>
      <c r="BJ512" s="55"/>
      <c r="BK512" s="55"/>
      <c r="BL512" s="55"/>
      <c r="BM512" s="55"/>
      <c r="BN512" s="55"/>
      <c r="BO512" s="55"/>
      <c r="BP512" s="55"/>
      <c r="BQ512" s="55"/>
      <c r="BR512" s="55"/>
      <c r="BS512" s="55"/>
    </row>
    <row r="513" spans="1:71" outlineLevel="1" x14ac:dyDescent="0.2">
      <c r="I513" s="61"/>
      <c r="J513" s="26"/>
      <c r="L513" s="55"/>
      <c r="M513" s="55"/>
      <c r="N513" s="55"/>
      <c r="O513" s="55"/>
      <c r="P513" s="55"/>
      <c r="Q513" s="55"/>
      <c r="R513" s="55"/>
      <c r="S513" s="55"/>
      <c r="T513" s="55"/>
      <c r="U513" s="55"/>
      <c r="V513" s="55"/>
      <c r="W513" s="55"/>
      <c r="X513" s="55"/>
      <c r="Y513" s="55"/>
      <c r="Z513" s="55"/>
      <c r="AA513" s="55"/>
      <c r="AB513" s="55"/>
      <c r="AC513" s="55"/>
      <c r="AD513" s="55"/>
      <c r="AE513" s="55"/>
      <c r="AF513" s="55"/>
      <c r="AG513" s="55"/>
      <c r="AH513" s="55"/>
      <c r="AI513" s="55"/>
      <c r="AJ513" s="55"/>
      <c r="AK513" s="55"/>
      <c r="AL513" s="55"/>
      <c r="AM513" s="55"/>
      <c r="AN513" s="55"/>
      <c r="AO513" s="55"/>
      <c r="AP513" s="55"/>
      <c r="AQ513" s="55"/>
      <c r="AR513" s="55"/>
      <c r="AS513" s="55"/>
      <c r="AT513" s="55"/>
      <c r="AU513" s="55"/>
      <c r="AV513" s="55"/>
      <c r="AW513" s="55"/>
      <c r="AX513" s="55"/>
      <c r="AY513" s="55"/>
      <c r="AZ513" s="55"/>
      <c r="BA513" s="55"/>
      <c r="BB513" s="55"/>
      <c r="BC513" s="55"/>
      <c r="BD513" s="55"/>
      <c r="BE513" s="55"/>
      <c r="BF513" s="55"/>
      <c r="BG513" s="55"/>
      <c r="BH513" s="55"/>
      <c r="BI513" s="55"/>
      <c r="BJ513" s="55"/>
      <c r="BK513" s="55"/>
      <c r="BL513" s="55"/>
      <c r="BM513" s="55"/>
      <c r="BN513" s="55"/>
      <c r="BO513" s="55"/>
      <c r="BP513" s="55"/>
      <c r="BQ513" s="55"/>
      <c r="BR513" s="55"/>
      <c r="BS513" s="55"/>
    </row>
    <row r="514" spans="1:71" outlineLevel="1" x14ac:dyDescent="0.2">
      <c r="C514" s="11" t="str">
        <f>HM_ZD_Moho!C536</f>
        <v>TRI cycle complet</v>
      </c>
      <c r="I514" s="62" t="str">
        <f ca="1">IFERROR(IRR(INDEX(OA_noc_ATCF_Am_3_2005,1,MAX(1,$G$403-L4+1)):INDEX(OA_noc_ATCF_Am_3_2005,1,last_model_year)),"na")</f>
        <v>na</v>
      </c>
      <c r="J514" s="26" t="s">
        <v>90</v>
      </c>
      <c r="L514" s="55"/>
      <c r="M514" s="55"/>
      <c r="N514" s="55"/>
      <c r="O514" s="55"/>
      <c r="P514" s="55"/>
      <c r="Q514" s="55"/>
      <c r="R514" s="55"/>
      <c r="S514" s="55"/>
      <c r="T514" s="55"/>
      <c r="U514" s="55"/>
      <c r="V514" s="55"/>
      <c r="W514" s="55"/>
      <c r="X514" s="55"/>
      <c r="Y514" s="55"/>
      <c r="Z514" s="55"/>
      <c r="AA514" s="55"/>
      <c r="AB514" s="55"/>
      <c r="AC514" s="55"/>
      <c r="AD514" s="55"/>
      <c r="AE514" s="55"/>
      <c r="AF514" s="55"/>
      <c r="AG514" s="55"/>
      <c r="AH514" s="55"/>
      <c r="AI514" s="55"/>
      <c r="AJ514" s="55"/>
      <c r="AK514" s="55"/>
      <c r="AL514" s="55"/>
      <c r="AM514" s="55"/>
      <c r="AN514" s="55"/>
      <c r="AO514" s="55"/>
      <c r="AP514" s="55"/>
      <c r="AQ514" s="55"/>
      <c r="AR514" s="55"/>
      <c r="AS514" s="55"/>
      <c r="AT514" s="55"/>
      <c r="AU514" s="55"/>
      <c r="AV514" s="55"/>
      <c r="AW514" s="55"/>
      <c r="AX514" s="55"/>
      <c r="AY514" s="55"/>
      <c r="AZ514" s="55"/>
      <c r="BA514" s="55"/>
      <c r="BB514" s="55"/>
      <c r="BC514" s="55"/>
      <c r="BD514" s="55"/>
      <c r="BE514" s="55"/>
      <c r="BF514" s="55"/>
      <c r="BG514" s="55"/>
      <c r="BH514" s="55"/>
      <c r="BI514" s="55"/>
      <c r="BJ514" s="55"/>
      <c r="BK514" s="55"/>
      <c r="BL514" s="55"/>
      <c r="BM514" s="55"/>
      <c r="BN514" s="55"/>
      <c r="BO514" s="55"/>
      <c r="BP514" s="55"/>
      <c r="BQ514" s="55"/>
      <c r="BR514" s="55"/>
      <c r="BS514" s="55"/>
    </row>
    <row r="515" spans="1:71" outlineLevel="1" x14ac:dyDescent="0.2">
      <c r="C515" s="11" t="str">
        <f>HM_ZD_Moho!C537</f>
        <v>TRI à terme</v>
      </c>
      <c r="I515" s="62" t="str">
        <f ca="1">IFERROR(IRR(INDEX(OA_noc_ATCF_Am_3_2005,1,MAX(1,$G$404-L4+1)):INDEX(OA_noc_ATCF_Am_3_2005,1,last_model_year)),"na")</f>
        <v>na</v>
      </c>
      <c r="J515" s="26" t="s">
        <v>90</v>
      </c>
      <c r="L515" s="55"/>
      <c r="M515" s="55"/>
      <c r="N515" s="55"/>
      <c r="O515" s="55"/>
      <c r="P515" s="55"/>
      <c r="Q515" s="55"/>
      <c r="R515" s="55"/>
      <c r="S515" s="55"/>
      <c r="T515" s="55"/>
      <c r="U515" s="55"/>
      <c r="V515" s="55"/>
      <c r="W515" s="55"/>
      <c r="X515" s="55"/>
      <c r="Y515" s="55"/>
      <c r="Z515" s="55"/>
      <c r="AA515" s="55"/>
      <c r="AB515" s="55"/>
      <c r="AC515" s="55"/>
      <c r="AD515" s="55"/>
      <c r="AE515" s="55"/>
      <c r="AF515" s="55"/>
      <c r="AG515" s="55"/>
      <c r="AH515" s="55"/>
      <c r="AI515" s="55"/>
      <c r="AJ515" s="55"/>
      <c r="AK515" s="55"/>
      <c r="AL515" s="55"/>
      <c r="AM515" s="55"/>
      <c r="AN515" s="55"/>
      <c r="AO515" s="55"/>
      <c r="AP515" s="55"/>
      <c r="AQ515" s="55"/>
      <c r="AR515" s="55"/>
      <c r="AS515" s="55"/>
      <c r="AT515" s="55"/>
      <c r="AU515" s="55"/>
      <c r="AV515" s="55"/>
      <c r="AW515" s="55"/>
      <c r="AX515" s="55"/>
      <c r="AY515" s="55"/>
      <c r="AZ515" s="55"/>
      <c r="BA515" s="55"/>
      <c r="BB515" s="55"/>
      <c r="BC515" s="55"/>
      <c r="BD515" s="55"/>
      <c r="BE515" s="55"/>
      <c r="BF515" s="55"/>
      <c r="BG515" s="55"/>
      <c r="BH515" s="55"/>
      <c r="BI515" s="55"/>
      <c r="BJ515" s="55"/>
      <c r="BK515" s="55"/>
      <c r="BL515" s="55"/>
      <c r="BM515" s="55"/>
      <c r="BN515" s="55"/>
      <c r="BO515" s="55"/>
      <c r="BP515" s="55"/>
      <c r="BQ515" s="55"/>
      <c r="BR515" s="55"/>
      <c r="BS515" s="55"/>
    </row>
    <row r="516" spans="1:71" outlineLevel="1" x14ac:dyDescent="0.2">
      <c r="J516" s="26"/>
      <c r="L516" s="55"/>
      <c r="M516" s="55"/>
      <c r="N516" s="55"/>
      <c r="O516" s="55"/>
      <c r="P516" s="55"/>
      <c r="Q516" s="55"/>
      <c r="R516" s="55"/>
      <c r="S516" s="55"/>
      <c r="T516" s="55"/>
      <c r="U516" s="55"/>
      <c r="V516" s="55"/>
      <c r="W516" s="55"/>
      <c r="X516" s="55"/>
      <c r="Y516" s="55"/>
      <c r="Z516" s="55"/>
      <c r="AA516" s="55"/>
      <c r="AB516" s="55"/>
      <c r="AC516" s="55"/>
      <c r="AD516" s="55"/>
      <c r="AE516" s="55"/>
      <c r="AF516" s="55"/>
      <c r="AG516" s="55"/>
      <c r="AH516" s="55"/>
      <c r="AI516" s="55"/>
      <c r="AJ516" s="55"/>
      <c r="AK516" s="55"/>
      <c r="AL516" s="55"/>
      <c r="AM516" s="55"/>
      <c r="AN516" s="55"/>
      <c r="AO516" s="55"/>
      <c r="AP516" s="55"/>
      <c r="AQ516" s="55"/>
      <c r="AR516" s="55"/>
      <c r="AS516" s="55"/>
      <c r="AT516" s="55"/>
      <c r="AU516" s="55"/>
      <c r="AV516" s="55"/>
      <c r="AW516" s="55"/>
      <c r="AX516" s="55"/>
      <c r="AY516" s="55"/>
      <c r="AZ516" s="55"/>
      <c r="BA516" s="55"/>
      <c r="BB516" s="55"/>
      <c r="BC516" s="55"/>
      <c r="BD516" s="55"/>
      <c r="BE516" s="55"/>
      <c r="BF516" s="55"/>
      <c r="BG516" s="55"/>
      <c r="BH516" s="55"/>
      <c r="BI516" s="55"/>
      <c r="BJ516" s="55"/>
      <c r="BK516" s="55"/>
      <c r="BL516" s="55"/>
      <c r="BM516" s="55"/>
      <c r="BN516" s="55"/>
      <c r="BO516" s="55"/>
      <c r="BP516" s="55"/>
      <c r="BQ516" s="55"/>
      <c r="BR516" s="55"/>
      <c r="BS516" s="55"/>
    </row>
    <row r="517" spans="1:71" outlineLevel="1" x14ac:dyDescent="0.2">
      <c r="C517" s="11" t="str">
        <f>HM_ZD_Moho!C539</f>
        <v>Période de remboursement</v>
      </c>
      <c r="I517" s="67">
        <f ca="1">COUNTIF(L509:BS509,"&lt;0")+1</f>
        <v>3</v>
      </c>
      <c r="J517" s="26"/>
      <c r="L517" s="55"/>
      <c r="M517" s="55"/>
      <c r="N517" s="55"/>
      <c r="O517" s="55"/>
      <c r="P517" s="55"/>
      <c r="Q517" s="55"/>
      <c r="R517" s="55"/>
      <c r="S517" s="55"/>
      <c r="T517" s="55"/>
      <c r="U517" s="55"/>
      <c r="V517" s="55"/>
      <c r="W517" s="55"/>
      <c r="X517" s="55"/>
      <c r="Y517" s="55"/>
      <c r="Z517" s="55"/>
      <c r="AA517" s="55"/>
      <c r="AB517" s="55"/>
      <c r="AC517" s="55"/>
      <c r="AD517" s="55"/>
      <c r="AE517" s="55"/>
      <c r="AF517" s="55"/>
      <c r="AG517" s="55"/>
      <c r="AH517" s="55"/>
      <c r="AI517" s="55"/>
      <c r="AJ517" s="55"/>
      <c r="AK517" s="55"/>
      <c r="AL517" s="55"/>
      <c r="AM517" s="55"/>
      <c r="AN517" s="55"/>
      <c r="AO517" s="55"/>
      <c r="AP517" s="55"/>
      <c r="AQ517" s="55"/>
      <c r="AR517" s="55"/>
      <c r="AS517" s="55"/>
      <c r="AT517" s="55"/>
      <c r="AU517" s="55"/>
      <c r="AV517" s="55"/>
      <c r="AW517" s="55"/>
      <c r="AX517" s="55"/>
      <c r="AY517" s="55"/>
      <c r="AZ517" s="55"/>
      <c r="BA517" s="55"/>
      <c r="BB517" s="55"/>
      <c r="BC517" s="55"/>
      <c r="BD517" s="55"/>
      <c r="BE517" s="55"/>
      <c r="BF517" s="55"/>
      <c r="BG517" s="55"/>
      <c r="BH517" s="55"/>
      <c r="BI517" s="55"/>
      <c r="BJ517" s="55"/>
      <c r="BK517" s="55"/>
      <c r="BL517" s="55"/>
      <c r="BM517" s="55"/>
      <c r="BN517" s="55"/>
      <c r="BO517" s="55"/>
      <c r="BP517" s="55"/>
      <c r="BQ517" s="55"/>
      <c r="BR517" s="55"/>
      <c r="BS517" s="55"/>
    </row>
    <row r="518" spans="1:71" outlineLevel="1" x14ac:dyDescent="0.2">
      <c r="J518" s="26"/>
      <c r="L518" s="55"/>
      <c r="M518" s="55"/>
      <c r="N518" s="55"/>
      <c r="O518" s="55"/>
      <c r="P518" s="55"/>
      <c r="Q518" s="55"/>
      <c r="R518" s="55"/>
      <c r="S518" s="55"/>
      <c r="T518" s="55"/>
      <c r="U518" s="55"/>
      <c r="V518" s="55"/>
      <c r="W518" s="55"/>
      <c r="X518" s="55"/>
      <c r="Y518" s="55"/>
      <c r="Z518" s="55"/>
      <c r="AA518" s="55"/>
      <c r="AB518" s="55"/>
      <c r="AC518" s="55"/>
      <c r="AD518" s="55"/>
      <c r="AE518" s="55"/>
      <c r="AF518" s="55"/>
      <c r="AG518" s="55"/>
      <c r="AH518" s="55"/>
      <c r="AI518" s="55"/>
      <c r="AJ518" s="55"/>
      <c r="AK518" s="55"/>
      <c r="AL518" s="55"/>
      <c r="AM518" s="55"/>
      <c r="AN518" s="55"/>
      <c r="AO518" s="55"/>
      <c r="AP518" s="55"/>
      <c r="AQ518" s="55"/>
      <c r="AR518" s="55"/>
      <c r="AS518" s="55"/>
      <c r="AT518" s="55"/>
      <c r="AU518" s="55"/>
      <c r="AV518" s="55"/>
      <c r="AW518" s="55"/>
      <c r="AX518" s="55"/>
      <c r="AY518" s="55"/>
      <c r="AZ518" s="55"/>
      <c r="BA518" s="55"/>
      <c r="BB518" s="55"/>
      <c r="BC518" s="55"/>
      <c r="BD518" s="55"/>
      <c r="BE518" s="55"/>
      <c r="BF518" s="55"/>
      <c r="BG518" s="55"/>
      <c r="BH518" s="55"/>
      <c r="BI518" s="55"/>
      <c r="BJ518" s="55"/>
      <c r="BK518" s="55"/>
      <c r="BL518" s="55"/>
      <c r="BM518" s="55"/>
      <c r="BN518" s="55"/>
      <c r="BO518" s="55"/>
      <c r="BP518" s="55"/>
      <c r="BQ518" s="55"/>
      <c r="BR518" s="55"/>
      <c r="BS518" s="55"/>
    </row>
    <row r="519" spans="1:71" outlineLevel="1" x14ac:dyDescent="0.2">
      <c r="J519" s="26"/>
      <c r="L519" s="55"/>
      <c r="M519" s="55"/>
      <c r="N519" s="55"/>
      <c r="O519" s="55"/>
      <c r="P519" s="55"/>
      <c r="Q519" s="55"/>
      <c r="R519" s="55"/>
      <c r="S519" s="55"/>
      <c r="T519" s="55"/>
      <c r="U519" s="55"/>
      <c r="V519" s="55"/>
      <c r="W519" s="55"/>
      <c r="X519" s="55"/>
      <c r="Y519" s="55"/>
      <c r="Z519" s="55"/>
      <c r="AA519" s="55"/>
      <c r="AB519" s="55"/>
      <c r="AC519" s="55"/>
      <c r="AD519" s="55"/>
      <c r="AE519" s="55"/>
      <c r="AF519" s="55"/>
      <c r="AG519" s="55"/>
      <c r="AH519" s="55"/>
      <c r="AI519" s="55"/>
      <c r="AJ519" s="55"/>
      <c r="AK519" s="55"/>
      <c r="AL519" s="55"/>
      <c r="AM519" s="55"/>
      <c r="AN519" s="55"/>
      <c r="AO519" s="55"/>
      <c r="AP519" s="55"/>
      <c r="AQ519" s="55"/>
      <c r="AR519" s="55"/>
      <c r="AS519" s="55"/>
      <c r="AT519" s="55"/>
      <c r="AU519" s="55"/>
      <c r="AV519" s="55"/>
      <c r="AW519" s="55"/>
      <c r="AX519" s="55"/>
      <c r="AY519" s="55"/>
      <c r="AZ519" s="55"/>
      <c r="BA519" s="55"/>
      <c r="BB519" s="55"/>
      <c r="BC519" s="55"/>
      <c r="BD519" s="55"/>
      <c r="BE519" s="55"/>
      <c r="BF519" s="55"/>
      <c r="BG519" s="55"/>
      <c r="BH519" s="55"/>
      <c r="BI519" s="55"/>
      <c r="BJ519" s="55"/>
      <c r="BK519" s="55"/>
      <c r="BL519" s="55"/>
      <c r="BM519" s="55"/>
      <c r="BN519" s="55"/>
      <c r="BO519" s="55"/>
      <c r="BP519" s="55"/>
      <c r="BQ519" s="55"/>
      <c r="BR519" s="55"/>
      <c r="BS519" s="55"/>
    </row>
    <row r="520" spans="1:71" outlineLevel="1" x14ac:dyDescent="0.2">
      <c r="J520" s="26"/>
      <c r="L520" s="55"/>
      <c r="M520" s="55"/>
      <c r="N520" s="55"/>
      <c r="O520" s="55"/>
      <c r="P520" s="55"/>
      <c r="Q520" s="55"/>
      <c r="R520" s="55"/>
      <c r="S520" s="55"/>
      <c r="T520" s="55"/>
      <c r="U520" s="55"/>
      <c r="V520" s="55"/>
      <c r="W520" s="55"/>
      <c r="X520" s="55"/>
      <c r="Y520" s="55"/>
      <c r="Z520" s="55"/>
      <c r="AA520" s="55"/>
      <c r="AB520" s="55"/>
      <c r="AC520" s="55"/>
      <c r="AD520" s="55"/>
      <c r="AE520" s="55"/>
      <c r="AF520" s="55"/>
      <c r="AG520" s="55"/>
      <c r="AH520" s="55"/>
      <c r="AI520" s="55"/>
      <c r="AJ520" s="55"/>
      <c r="AK520" s="55"/>
      <c r="AL520" s="55"/>
      <c r="AM520" s="55"/>
      <c r="AN520" s="55"/>
      <c r="AO520" s="55"/>
      <c r="AP520" s="55"/>
      <c r="AQ520" s="55"/>
      <c r="AR520" s="55"/>
      <c r="AS520" s="55"/>
      <c r="AT520" s="55"/>
      <c r="AU520" s="55"/>
      <c r="AV520" s="55"/>
      <c r="AW520" s="55"/>
      <c r="AX520" s="55"/>
      <c r="AY520" s="55"/>
      <c r="AZ520" s="55"/>
      <c r="BA520" s="55"/>
      <c r="BB520" s="55"/>
      <c r="BC520" s="55"/>
      <c r="BD520" s="55"/>
      <c r="BE520" s="55"/>
      <c r="BF520" s="55"/>
      <c r="BG520" s="55"/>
      <c r="BH520" s="55"/>
      <c r="BI520" s="55"/>
      <c r="BJ520" s="55"/>
      <c r="BK520" s="55"/>
      <c r="BL520" s="55"/>
      <c r="BM520" s="55"/>
      <c r="BN520" s="55"/>
      <c r="BO520" s="55"/>
      <c r="BP520" s="55"/>
      <c r="BQ520" s="55"/>
      <c r="BR520" s="55"/>
      <c r="BS520" s="55"/>
    </row>
    <row r="521" spans="1:71" outlineLevel="1" x14ac:dyDescent="0.2">
      <c r="J521" s="26"/>
      <c r="L521" s="55"/>
      <c r="M521" s="55"/>
      <c r="N521" s="55"/>
      <c r="O521" s="55"/>
      <c r="P521" s="55"/>
      <c r="Q521" s="55"/>
      <c r="R521" s="55"/>
      <c r="S521" s="55"/>
      <c r="T521" s="55"/>
      <c r="U521" s="55"/>
      <c r="V521" s="55"/>
      <c r="W521" s="55"/>
      <c r="X521" s="55"/>
      <c r="Y521" s="55"/>
      <c r="Z521" s="55"/>
      <c r="AA521" s="55"/>
      <c r="AB521" s="55"/>
      <c r="AC521" s="55"/>
      <c r="AD521" s="55"/>
      <c r="AE521" s="55"/>
      <c r="AF521" s="55"/>
      <c r="AG521" s="55"/>
      <c r="AH521" s="55"/>
      <c r="AI521" s="55"/>
      <c r="AJ521" s="55"/>
      <c r="AK521" s="55"/>
      <c r="AL521" s="55"/>
      <c r="AM521" s="55"/>
      <c r="AN521" s="55"/>
      <c r="AO521" s="55"/>
      <c r="AP521" s="55"/>
      <c r="AQ521" s="55"/>
      <c r="AR521" s="55"/>
      <c r="AS521" s="55"/>
      <c r="AT521" s="55"/>
      <c r="AU521" s="55"/>
      <c r="AV521" s="55"/>
      <c r="AW521" s="55"/>
      <c r="AX521" s="55"/>
      <c r="AY521" s="55"/>
      <c r="AZ521" s="55"/>
      <c r="BA521" s="55"/>
      <c r="BB521" s="55"/>
      <c r="BC521" s="55"/>
      <c r="BD521" s="55"/>
      <c r="BE521" s="55"/>
      <c r="BF521" s="55"/>
      <c r="BG521" s="55"/>
      <c r="BH521" s="55"/>
      <c r="BI521" s="55"/>
      <c r="BJ521" s="55"/>
      <c r="BK521" s="55"/>
      <c r="BL521" s="55"/>
      <c r="BM521" s="55"/>
      <c r="BN521" s="55"/>
      <c r="BO521" s="55"/>
      <c r="BP521" s="55"/>
      <c r="BQ521" s="55"/>
      <c r="BR521" s="55"/>
      <c r="BS521" s="55"/>
    </row>
    <row r="522" spans="1:71" outlineLevel="1" x14ac:dyDescent="0.2">
      <c r="J522" s="26"/>
      <c r="L522" s="55"/>
      <c r="M522" s="55"/>
      <c r="N522" s="55"/>
      <c r="O522" s="55"/>
      <c r="P522" s="55"/>
      <c r="Q522" s="55"/>
      <c r="R522" s="55"/>
      <c r="S522" s="55"/>
      <c r="T522" s="55"/>
      <c r="U522" s="55"/>
      <c r="V522" s="55"/>
      <c r="W522" s="55"/>
      <c r="X522" s="55"/>
      <c r="Y522" s="55"/>
      <c r="Z522" s="55"/>
      <c r="AA522" s="55"/>
      <c r="AB522" s="55"/>
      <c r="AC522" s="55"/>
      <c r="AD522" s="55"/>
      <c r="AE522" s="55"/>
      <c r="AF522" s="55"/>
      <c r="AG522" s="55"/>
      <c r="AH522" s="55"/>
      <c r="AI522" s="55"/>
      <c r="AJ522" s="55"/>
      <c r="AK522" s="55"/>
      <c r="AL522" s="55"/>
      <c r="AM522" s="55"/>
      <c r="AN522" s="55"/>
      <c r="AO522" s="55"/>
      <c r="AP522" s="55"/>
      <c r="AQ522" s="55"/>
      <c r="AR522" s="55"/>
      <c r="AS522" s="55"/>
      <c r="AT522" s="55"/>
      <c r="AU522" s="55"/>
      <c r="AV522" s="55"/>
      <c r="AW522" s="55"/>
      <c r="AX522" s="55"/>
      <c r="AY522" s="55"/>
      <c r="AZ522" s="55"/>
      <c r="BA522" s="55"/>
      <c r="BB522" s="55"/>
      <c r="BC522" s="55"/>
      <c r="BD522" s="55"/>
      <c r="BE522" s="55"/>
      <c r="BF522" s="55"/>
      <c r="BG522" s="55"/>
      <c r="BH522" s="55"/>
      <c r="BI522" s="55"/>
      <c r="BJ522" s="55"/>
      <c r="BK522" s="55"/>
      <c r="BL522" s="55"/>
      <c r="BM522" s="55"/>
      <c r="BN522" s="55"/>
      <c r="BO522" s="55"/>
      <c r="BP522" s="55"/>
      <c r="BQ522" s="55"/>
      <c r="BR522" s="55"/>
      <c r="BS522" s="55"/>
    </row>
    <row r="523" spans="1:71" outlineLevel="1" x14ac:dyDescent="0.2">
      <c r="A523" s="45"/>
      <c r="B523" s="38" t="str">
        <f>HM_ZD_Moho!B545</f>
        <v>Flux de trésorerie du Gouv.</v>
      </c>
      <c r="C523" s="45"/>
      <c r="D523" s="45"/>
      <c r="E523" s="45"/>
      <c r="J523" s="26"/>
      <c r="L523" s="55"/>
      <c r="M523" s="55"/>
      <c r="N523" s="55"/>
      <c r="O523" s="55"/>
      <c r="P523" s="55"/>
      <c r="Q523" s="55"/>
      <c r="R523" s="55"/>
      <c r="S523" s="55"/>
      <c r="T523" s="55"/>
      <c r="U523" s="55"/>
      <c r="V523" s="55"/>
      <c r="W523" s="55"/>
      <c r="X523" s="55"/>
      <c r="Y523" s="55"/>
      <c r="Z523" s="55"/>
      <c r="AA523" s="55"/>
      <c r="AB523" s="55"/>
      <c r="AC523" s="55"/>
      <c r="AD523" s="55"/>
      <c r="AE523" s="55"/>
      <c r="AF523" s="55"/>
      <c r="AG523" s="55"/>
      <c r="AH523" s="55"/>
      <c r="AI523" s="55"/>
      <c r="AJ523" s="55"/>
      <c r="AK523" s="55"/>
      <c r="AL523" s="55"/>
      <c r="AM523" s="55"/>
      <c r="AN523" s="55"/>
      <c r="AO523" s="55"/>
      <c r="AP523" s="55"/>
      <c r="AQ523" s="55"/>
      <c r="AR523" s="55"/>
      <c r="AS523" s="55"/>
      <c r="AT523" s="55"/>
      <c r="AU523" s="55"/>
      <c r="AV523" s="55"/>
      <c r="AW523" s="55"/>
      <c r="AX523" s="55"/>
      <c r="AY523" s="55"/>
      <c r="AZ523" s="55"/>
      <c r="BA523" s="55"/>
      <c r="BB523" s="55"/>
      <c r="BC523" s="55"/>
      <c r="BD523" s="55"/>
      <c r="BE523" s="55"/>
      <c r="BF523" s="55"/>
      <c r="BG523" s="55"/>
      <c r="BH523" s="55"/>
      <c r="BI523" s="55"/>
      <c r="BJ523" s="55"/>
      <c r="BK523" s="55"/>
      <c r="BL523" s="55"/>
      <c r="BM523" s="55"/>
      <c r="BN523" s="55"/>
      <c r="BO523" s="55"/>
      <c r="BP523" s="55"/>
      <c r="BQ523" s="55"/>
      <c r="BR523" s="55"/>
      <c r="BS523" s="55"/>
    </row>
    <row r="524" spans="1:71" outlineLevel="1" x14ac:dyDescent="0.2">
      <c r="J524" s="26"/>
      <c r="L524" s="55"/>
      <c r="M524" s="55"/>
      <c r="N524" s="55"/>
      <c r="O524" s="55"/>
      <c r="P524" s="55"/>
      <c r="Q524" s="55"/>
      <c r="R524" s="55"/>
      <c r="S524" s="55"/>
      <c r="T524" s="55"/>
      <c r="U524" s="55"/>
      <c r="V524" s="55"/>
      <c r="W524" s="55"/>
      <c r="X524" s="55"/>
      <c r="Y524" s="55"/>
      <c r="Z524" s="55"/>
      <c r="AA524" s="55"/>
      <c r="AB524" s="55"/>
      <c r="AC524" s="55"/>
      <c r="AD524" s="55"/>
      <c r="AE524" s="55"/>
      <c r="AF524" s="55"/>
      <c r="AG524" s="55"/>
      <c r="AH524" s="55"/>
      <c r="AI524" s="55"/>
      <c r="AJ524" s="55"/>
      <c r="AK524" s="55"/>
      <c r="AL524" s="55"/>
      <c r="AM524" s="55"/>
      <c r="AN524" s="55"/>
      <c r="AO524" s="55"/>
      <c r="AP524" s="55"/>
      <c r="AQ524" s="55"/>
      <c r="AR524" s="55"/>
      <c r="AS524" s="55"/>
      <c r="AT524" s="55"/>
      <c r="AU524" s="55"/>
      <c r="AV524" s="55"/>
      <c r="AW524" s="55"/>
      <c r="AX524" s="55"/>
      <c r="AY524" s="55"/>
      <c r="AZ524" s="55"/>
      <c r="BA524" s="55"/>
      <c r="BB524" s="55"/>
      <c r="BC524" s="55"/>
      <c r="BD524" s="55"/>
      <c r="BE524" s="55"/>
      <c r="BF524" s="55"/>
      <c r="BG524" s="55"/>
      <c r="BH524" s="55"/>
      <c r="BI524" s="55"/>
      <c r="BJ524" s="55"/>
      <c r="BK524" s="55"/>
      <c r="BL524" s="55"/>
      <c r="BM524" s="55"/>
      <c r="BN524" s="55"/>
      <c r="BO524" s="55"/>
      <c r="BP524" s="55"/>
      <c r="BQ524" s="55"/>
      <c r="BR524" s="55"/>
      <c r="BS524" s="55"/>
    </row>
    <row r="525" spans="1:71" outlineLevel="1" x14ac:dyDescent="0.2">
      <c r="C525" s="11" t="str">
        <f>HM_ZD_Moho!C547</f>
        <v>Revenus</v>
      </c>
      <c r="J525" s="26"/>
      <c r="L525" s="55"/>
      <c r="M525" s="55"/>
      <c r="N525" s="55"/>
      <c r="O525" s="55"/>
      <c r="P525" s="55"/>
      <c r="Q525" s="55"/>
      <c r="R525" s="55"/>
      <c r="S525" s="55"/>
      <c r="T525" s="55"/>
      <c r="U525" s="55"/>
      <c r="V525" s="55"/>
      <c r="W525" s="55"/>
      <c r="X525" s="55"/>
      <c r="Y525" s="55"/>
      <c r="Z525" s="55"/>
      <c r="AA525" s="55"/>
      <c r="AB525" s="55"/>
      <c r="AC525" s="55"/>
      <c r="AD525" s="55"/>
      <c r="AE525" s="55"/>
      <c r="AF525" s="55"/>
      <c r="AG525" s="55"/>
      <c r="AH525" s="55"/>
      <c r="AI525" s="55"/>
      <c r="AJ525" s="55"/>
      <c r="AK525" s="55"/>
      <c r="AL525" s="55"/>
      <c r="AM525" s="55"/>
      <c r="AN525" s="55"/>
      <c r="AO525" s="55"/>
      <c r="AP525" s="55"/>
      <c r="AQ525" s="55"/>
      <c r="AR525" s="55"/>
      <c r="AS525" s="55"/>
      <c r="AT525" s="55"/>
      <c r="AU525" s="55"/>
      <c r="AV525" s="55"/>
      <c r="AW525" s="55"/>
      <c r="AX525" s="55"/>
      <c r="AY525" s="55"/>
      <c r="AZ525" s="55"/>
      <c r="BA525" s="55"/>
      <c r="BB525" s="55"/>
      <c r="BC525" s="55"/>
      <c r="BD525" s="55"/>
      <c r="BE525" s="55"/>
      <c r="BF525" s="55"/>
      <c r="BG525" s="55"/>
      <c r="BH525" s="55"/>
      <c r="BI525" s="55"/>
      <c r="BJ525" s="55"/>
      <c r="BK525" s="55"/>
      <c r="BL525" s="55"/>
      <c r="BM525" s="55"/>
      <c r="BN525" s="55"/>
      <c r="BO525" s="55"/>
      <c r="BP525" s="55"/>
      <c r="BQ525" s="55"/>
      <c r="BR525" s="55"/>
      <c r="BS525" s="55"/>
    </row>
    <row r="526" spans="1:71" outlineLevel="1" x14ac:dyDescent="0.2">
      <c r="D526" t="str">
        <f>HM_ZD_Moho!D548</f>
        <v>Redevance</v>
      </c>
      <c r="H526" s="7" t="s">
        <v>498</v>
      </c>
      <c r="I526" s="30">
        <f t="shared" ref="I526:I541" ca="1" si="164">SUM($L526:$BS526)</f>
        <v>559.49395699364993</v>
      </c>
      <c r="J526" s="26" t="s">
        <v>148</v>
      </c>
      <c r="L526" s="49" cm="1">
        <f t="array" aca="1" ref="L526:BS526" ca="1">HM_ZD_AM3_2005!CA_roy_total_fp</f>
        <v>286.82753200305001</v>
      </c>
      <c r="M526" s="49">
        <f ca="1"/>
        <v>272.66642499059992</v>
      </c>
      <c r="N526" s="49">
        <f ca="1"/>
        <v>0</v>
      </c>
      <c r="O526" s="49">
        <f ca="1"/>
        <v>0</v>
      </c>
      <c r="P526" s="49">
        <f ca="1"/>
        <v>0</v>
      </c>
      <c r="Q526" s="49">
        <f ca="1"/>
        <v>0</v>
      </c>
      <c r="R526" s="49">
        <f ca="1"/>
        <v>0</v>
      </c>
      <c r="S526" s="49">
        <f ca="1"/>
        <v>0</v>
      </c>
      <c r="T526" s="49">
        <f ca="1"/>
        <v>0</v>
      </c>
      <c r="U526" s="49">
        <f ca="1"/>
        <v>0</v>
      </c>
      <c r="V526" s="49">
        <f ca="1"/>
        <v>0</v>
      </c>
      <c r="W526" s="49">
        <f ca="1"/>
        <v>0</v>
      </c>
      <c r="X526" s="49">
        <f ca="1"/>
        <v>0</v>
      </c>
      <c r="Y526" s="49">
        <f ca="1"/>
        <v>0</v>
      </c>
      <c r="Z526" s="49">
        <f ca="1"/>
        <v>0</v>
      </c>
      <c r="AA526" s="49">
        <f ca="1"/>
        <v>0</v>
      </c>
      <c r="AB526" s="49">
        <f ca="1"/>
        <v>0</v>
      </c>
      <c r="AC526" s="49">
        <f ca="1"/>
        <v>0</v>
      </c>
      <c r="AD526" s="49">
        <f ca="1"/>
        <v>0</v>
      </c>
      <c r="AE526" s="49">
        <f ca="1"/>
        <v>0</v>
      </c>
      <c r="AF526" s="49">
        <f ca="1"/>
        <v>0</v>
      </c>
      <c r="AG526" s="49">
        <f ca="1"/>
        <v>0</v>
      </c>
      <c r="AH526" s="49">
        <f ca="1"/>
        <v>0</v>
      </c>
      <c r="AI526" s="49">
        <f ca="1"/>
        <v>0</v>
      </c>
      <c r="AJ526" s="49">
        <f ca="1"/>
        <v>0</v>
      </c>
      <c r="AK526" s="49">
        <f ca="1"/>
        <v>0</v>
      </c>
      <c r="AL526" s="49">
        <f ca="1"/>
        <v>0</v>
      </c>
      <c r="AM526" s="49">
        <f ca="1"/>
        <v>0</v>
      </c>
      <c r="AN526" s="49">
        <f ca="1"/>
        <v>0</v>
      </c>
      <c r="AO526" s="49">
        <f ca="1"/>
        <v>0</v>
      </c>
      <c r="AP526" s="49">
        <f ca="1"/>
        <v>0</v>
      </c>
      <c r="AQ526" s="49">
        <f ca="1"/>
        <v>0</v>
      </c>
      <c r="AR526" s="49">
        <f ca="1"/>
        <v>0</v>
      </c>
      <c r="AS526" s="49">
        <f ca="1"/>
        <v>0</v>
      </c>
      <c r="AT526" s="49">
        <f ca="1"/>
        <v>0</v>
      </c>
      <c r="AU526" s="49">
        <f ca="1"/>
        <v>0</v>
      </c>
      <c r="AV526" s="49">
        <f ca="1"/>
        <v>0</v>
      </c>
      <c r="AW526" s="49">
        <f ca="1"/>
        <v>0</v>
      </c>
      <c r="AX526" s="49">
        <f ca="1"/>
        <v>0</v>
      </c>
      <c r="AY526" s="49">
        <f ca="1"/>
        <v>0</v>
      </c>
      <c r="AZ526" s="49">
        <f ca="1"/>
        <v>0</v>
      </c>
      <c r="BA526" s="49">
        <f ca="1"/>
        <v>0</v>
      </c>
      <c r="BB526" s="49">
        <f ca="1"/>
        <v>0</v>
      </c>
      <c r="BC526" s="49">
        <f ca="1"/>
        <v>0</v>
      </c>
      <c r="BD526" s="49">
        <f ca="1"/>
        <v>0</v>
      </c>
      <c r="BE526" s="49">
        <f ca="1"/>
        <v>0</v>
      </c>
      <c r="BF526" s="49">
        <f ca="1"/>
        <v>0</v>
      </c>
      <c r="BG526" s="49">
        <f ca="1"/>
        <v>0</v>
      </c>
      <c r="BH526" s="49">
        <f ca="1"/>
        <v>0</v>
      </c>
      <c r="BI526" s="49">
        <f ca="1"/>
        <v>0</v>
      </c>
      <c r="BJ526" s="49">
        <f ca="1"/>
        <v>0</v>
      </c>
      <c r="BK526" s="49">
        <f ca="1"/>
        <v>0</v>
      </c>
      <c r="BL526" s="49">
        <f ca="1"/>
        <v>0</v>
      </c>
      <c r="BM526" s="49">
        <f ca="1"/>
        <v>0</v>
      </c>
      <c r="BN526" s="49">
        <f ca="1"/>
        <v>0</v>
      </c>
      <c r="BO526" s="49">
        <f ca="1"/>
        <v>0</v>
      </c>
      <c r="BP526" s="49">
        <f ca="1"/>
        <v>0</v>
      </c>
      <c r="BQ526" s="49">
        <f ca="1"/>
        <v>0</v>
      </c>
      <c r="BR526" s="49">
        <f ca="1"/>
        <v>0</v>
      </c>
      <c r="BS526" s="49">
        <f ca="1"/>
        <v>0</v>
      </c>
    </row>
    <row r="527" spans="1:71" outlineLevel="1" x14ac:dyDescent="0.2">
      <c r="D527" t="str">
        <f>HM_ZD_Moho!D549</f>
        <v>Coûts PID</v>
      </c>
      <c r="H527" s="7" t="s">
        <v>499</v>
      </c>
      <c r="I527" s="30">
        <f t="shared" ca="1" si="164"/>
        <v>37.299597132909994</v>
      </c>
      <c r="J527" s="26" t="s">
        <v>148</v>
      </c>
      <c r="L527" s="49" cm="1">
        <f t="array" aca="1" ref="L527:BS527" ca="1">HM_ZD_AM3_2005!CA_pid_fees</f>
        <v>19.121835466870003</v>
      </c>
      <c r="M527" s="49">
        <f ca="1"/>
        <v>18.177761666039995</v>
      </c>
      <c r="N527" s="49">
        <f ca="1"/>
        <v>0</v>
      </c>
      <c r="O527" s="49">
        <f ca="1"/>
        <v>0</v>
      </c>
      <c r="P527" s="49">
        <f ca="1"/>
        <v>0</v>
      </c>
      <c r="Q527" s="49">
        <f ca="1"/>
        <v>0</v>
      </c>
      <c r="R527" s="49">
        <f ca="1"/>
        <v>0</v>
      </c>
      <c r="S527" s="49">
        <f ca="1"/>
        <v>0</v>
      </c>
      <c r="T527" s="49">
        <f ca="1"/>
        <v>0</v>
      </c>
      <c r="U527" s="49">
        <f ca="1"/>
        <v>0</v>
      </c>
      <c r="V527" s="49">
        <f ca="1"/>
        <v>0</v>
      </c>
      <c r="W527" s="49">
        <f ca="1"/>
        <v>0</v>
      </c>
      <c r="X527" s="49">
        <f ca="1"/>
        <v>0</v>
      </c>
      <c r="Y527" s="49">
        <f ca="1"/>
        <v>0</v>
      </c>
      <c r="Z527" s="49">
        <f ca="1"/>
        <v>0</v>
      </c>
      <c r="AA527" s="49">
        <f ca="1"/>
        <v>0</v>
      </c>
      <c r="AB527" s="49">
        <f ca="1"/>
        <v>0</v>
      </c>
      <c r="AC527" s="49">
        <f ca="1"/>
        <v>0</v>
      </c>
      <c r="AD527" s="49">
        <f ca="1"/>
        <v>0</v>
      </c>
      <c r="AE527" s="49">
        <f ca="1"/>
        <v>0</v>
      </c>
      <c r="AF527" s="49">
        <f ca="1"/>
        <v>0</v>
      </c>
      <c r="AG527" s="49">
        <f ca="1"/>
        <v>0</v>
      </c>
      <c r="AH527" s="49">
        <f ca="1"/>
        <v>0</v>
      </c>
      <c r="AI527" s="49">
        <f ca="1"/>
        <v>0</v>
      </c>
      <c r="AJ527" s="49">
        <f ca="1"/>
        <v>0</v>
      </c>
      <c r="AK527" s="49">
        <f ca="1"/>
        <v>0</v>
      </c>
      <c r="AL527" s="49">
        <f ca="1"/>
        <v>0</v>
      </c>
      <c r="AM527" s="49">
        <f ca="1"/>
        <v>0</v>
      </c>
      <c r="AN527" s="49">
        <f ca="1"/>
        <v>0</v>
      </c>
      <c r="AO527" s="49">
        <f ca="1"/>
        <v>0</v>
      </c>
      <c r="AP527" s="49">
        <f ca="1"/>
        <v>0</v>
      </c>
      <c r="AQ527" s="49">
        <f ca="1"/>
        <v>0</v>
      </c>
      <c r="AR527" s="49">
        <f ca="1"/>
        <v>0</v>
      </c>
      <c r="AS527" s="49">
        <f ca="1"/>
        <v>0</v>
      </c>
      <c r="AT527" s="49">
        <f ca="1"/>
        <v>0</v>
      </c>
      <c r="AU527" s="49">
        <f ca="1"/>
        <v>0</v>
      </c>
      <c r="AV527" s="49">
        <f ca="1"/>
        <v>0</v>
      </c>
      <c r="AW527" s="49">
        <f ca="1"/>
        <v>0</v>
      </c>
      <c r="AX527" s="49">
        <f ca="1"/>
        <v>0</v>
      </c>
      <c r="AY527" s="49">
        <f ca="1"/>
        <v>0</v>
      </c>
      <c r="AZ527" s="49">
        <f ca="1"/>
        <v>0</v>
      </c>
      <c r="BA527" s="49">
        <f ca="1"/>
        <v>0</v>
      </c>
      <c r="BB527" s="49">
        <f ca="1"/>
        <v>0</v>
      </c>
      <c r="BC527" s="49">
        <f ca="1"/>
        <v>0</v>
      </c>
      <c r="BD527" s="49">
        <f ca="1"/>
        <v>0</v>
      </c>
      <c r="BE527" s="49">
        <f ca="1"/>
        <v>0</v>
      </c>
      <c r="BF527" s="49">
        <f ca="1"/>
        <v>0</v>
      </c>
      <c r="BG527" s="49">
        <f ca="1"/>
        <v>0</v>
      </c>
      <c r="BH527" s="49">
        <f ca="1"/>
        <v>0</v>
      </c>
      <c r="BI527" s="49">
        <f ca="1"/>
        <v>0</v>
      </c>
      <c r="BJ527" s="49">
        <f ca="1"/>
        <v>0</v>
      </c>
      <c r="BK527" s="49">
        <f ca="1"/>
        <v>0</v>
      </c>
      <c r="BL527" s="49">
        <f ca="1"/>
        <v>0</v>
      </c>
      <c r="BM527" s="49">
        <f ca="1"/>
        <v>0</v>
      </c>
      <c r="BN527" s="49">
        <f ca="1"/>
        <v>0</v>
      </c>
      <c r="BO527" s="49">
        <f ca="1"/>
        <v>0</v>
      </c>
      <c r="BP527" s="49">
        <f ca="1"/>
        <v>0</v>
      </c>
      <c r="BQ527" s="49">
        <f ca="1"/>
        <v>0</v>
      </c>
      <c r="BR527" s="49">
        <f ca="1"/>
        <v>0</v>
      </c>
      <c r="BS527" s="49">
        <f ca="1"/>
        <v>0</v>
      </c>
    </row>
    <row r="528" spans="1:71" outlineLevel="1" x14ac:dyDescent="0.2">
      <c r="D528" t="str">
        <f>HM_ZD_Moho!D550</f>
        <v>Excess Cost Oil</v>
      </c>
      <c r="H528" s="7" t="s">
        <v>500</v>
      </c>
      <c r="I528" s="30">
        <f t="shared" ca="1" si="164"/>
        <v>0</v>
      </c>
      <c r="J528" s="26" t="s">
        <v>148</v>
      </c>
      <c r="L528" s="49" cm="1">
        <f t="array" aca="1" ref="L528:BS528" ca="1">HM_ZD_AM3_2005!CA_excess_CR_gov</f>
        <v>0</v>
      </c>
      <c r="M528" s="49">
        <f ca="1"/>
        <v>0</v>
      </c>
      <c r="N528" s="49">
        <f ca="1"/>
        <v>0</v>
      </c>
      <c r="O528" s="49">
        <f ca="1"/>
        <v>0</v>
      </c>
      <c r="P528" s="49">
        <f ca="1"/>
        <v>0</v>
      </c>
      <c r="Q528" s="49">
        <f ca="1"/>
        <v>0</v>
      </c>
      <c r="R528" s="49">
        <f ca="1"/>
        <v>0</v>
      </c>
      <c r="S528" s="49">
        <f ca="1"/>
        <v>0</v>
      </c>
      <c r="T528" s="49">
        <f ca="1"/>
        <v>0</v>
      </c>
      <c r="U528" s="49">
        <f ca="1"/>
        <v>0</v>
      </c>
      <c r="V528" s="49">
        <f ca="1"/>
        <v>0</v>
      </c>
      <c r="W528" s="49">
        <f ca="1"/>
        <v>0</v>
      </c>
      <c r="X528" s="49">
        <f ca="1"/>
        <v>0</v>
      </c>
      <c r="Y528" s="49">
        <f ca="1"/>
        <v>0</v>
      </c>
      <c r="Z528" s="49">
        <f ca="1"/>
        <v>0</v>
      </c>
      <c r="AA528" s="49">
        <f ca="1"/>
        <v>0</v>
      </c>
      <c r="AB528" s="49">
        <f ca="1"/>
        <v>0</v>
      </c>
      <c r="AC528" s="49">
        <f ca="1"/>
        <v>0</v>
      </c>
      <c r="AD528" s="49">
        <f ca="1"/>
        <v>0</v>
      </c>
      <c r="AE528" s="49">
        <f ca="1"/>
        <v>0</v>
      </c>
      <c r="AF528" s="49">
        <f ca="1"/>
        <v>0</v>
      </c>
      <c r="AG528" s="49">
        <f ca="1"/>
        <v>0</v>
      </c>
      <c r="AH528" s="49">
        <f ca="1"/>
        <v>0</v>
      </c>
      <c r="AI528" s="49">
        <f ca="1"/>
        <v>0</v>
      </c>
      <c r="AJ528" s="49">
        <f ca="1"/>
        <v>0</v>
      </c>
      <c r="AK528" s="49">
        <f ca="1"/>
        <v>0</v>
      </c>
      <c r="AL528" s="49">
        <f ca="1"/>
        <v>0</v>
      </c>
      <c r="AM528" s="49">
        <f ca="1"/>
        <v>0</v>
      </c>
      <c r="AN528" s="49">
        <f ca="1"/>
        <v>0</v>
      </c>
      <c r="AO528" s="49">
        <f ca="1"/>
        <v>0</v>
      </c>
      <c r="AP528" s="49">
        <f ca="1"/>
        <v>0</v>
      </c>
      <c r="AQ528" s="49">
        <f ca="1"/>
        <v>0</v>
      </c>
      <c r="AR528" s="49">
        <f ca="1"/>
        <v>0</v>
      </c>
      <c r="AS528" s="49">
        <f ca="1"/>
        <v>0</v>
      </c>
      <c r="AT528" s="49">
        <f ca="1"/>
        <v>0</v>
      </c>
      <c r="AU528" s="49">
        <f ca="1"/>
        <v>0</v>
      </c>
      <c r="AV528" s="49">
        <f ca="1"/>
        <v>0</v>
      </c>
      <c r="AW528" s="49">
        <f ca="1"/>
        <v>0</v>
      </c>
      <c r="AX528" s="49">
        <f ca="1"/>
        <v>0</v>
      </c>
      <c r="AY528" s="49">
        <f ca="1"/>
        <v>0</v>
      </c>
      <c r="AZ528" s="49">
        <f ca="1"/>
        <v>0</v>
      </c>
      <c r="BA528" s="49">
        <f ca="1"/>
        <v>0</v>
      </c>
      <c r="BB528" s="49">
        <f ca="1"/>
        <v>0</v>
      </c>
      <c r="BC528" s="49">
        <f ca="1"/>
        <v>0</v>
      </c>
      <c r="BD528" s="49">
        <f ca="1"/>
        <v>0</v>
      </c>
      <c r="BE528" s="49">
        <f ca="1"/>
        <v>0</v>
      </c>
      <c r="BF528" s="49">
        <f ca="1"/>
        <v>0</v>
      </c>
      <c r="BG528" s="49">
        <f ca="1"/>
        <v>0</v>
      </c>
      <c r="BH528" s="49">
        <f ca="1"/>
        <v>0</v>
      </c>
      <c r="BI528" s="49">
        <f ca="1"/>
        <v>0</v>
      </c>
      <c r="BJ528" s="49">
        <f ca="1"/>
        <v>0</v>
      </c>
      <c r="BK528" s="49">
        <f ca="1"/>
        <v>0</v>
      </c>
      <c r="BL528" s="49">
        <f ca="1"/>
        <v>0</v>
      </c>
      <c r="BM528" s="49">
        <f ca="1"/>
        <v>0</v>
      </c>
      <c r="BN528" s="49">
        <f ca="1"/>
        <v>0</v>
      </c>
      <c r="BO528" s="49">
        <f ca="1"/>
        <v>0</v>
      </c>
      <c r="BP528" s="49">
        <f ca="1"/>
        <v>0</v>
      </c>
      <c r="BQ528" s="49">
        <f ca="1"/>
        <v>0</v>
      </c>
      <c r="BR528" s="49">
        <f ca="1"/>
        <v>0</v>
      </c>
      <c r="BS528" s="49">
        <f ca="1"/>
        <v>0</v>
      </c>
    </row>
    <row r="529" spans="3:71" outlineLevel="1" x14ac:dyDescent="0.2">
      <c r="D529" t="str">
        <f>HM_ZD_Moho!D551</f>
        <v>Super Profit Oil</v>
      </c>
      <c r="H529" s="7" t="s">
        <v>501</v>
      </c>
      <c r="I529" s="30">
        <f t="shared" ca="1" si="164"/>
        <v>1905.6400532007999</v>
      </c>
      <c r="J529" s="26" t="s">
        <v>148</v>
      </c>
      <c r="L529" s="49" cm="1">
        <f t="array" aca="1" ref="L529:BS529" ca="1">HM_ZD_AM3_2005!CA_Spo_gov</f>
        <v>995.81614967590008</v>
      </c>
      <c r="M529" s="49">
        <f ca="1"/>
        <v>909.82390352489983</v>
      </c>
      <c r="N529" s="49">
        <f ca="1"/>
        <v>0</v>
      </c>
      <c r="O529" s="49">
        <f ca="1"/>
        <v>0</v>
      </c>
      <c r="P529" s="49">
        <f ca="1"/>
        <v>0</v>
      </c>
      <c r="Q529" s="49">
        <f ca="1"/>
        <v>0</v>
      </c>
      <c r="R529" s="49">
        <f ca="1"/>
        <v>0</v>
      </c>
      <c r="S529" s="49">
        <f ca="1"/>
        <v>0</v>
      </c>
      <c r="T529" s="49">
        <f ca="1"/>
        <v>0</v>
      </c>
      <c r="U529" s="49">
        <f ca="1"/>
        <v>0</v>
      </c>
      <c r="V529" s="49">
        <f ca="1"/>
        <v>0</v>
      </c>
      <c r="W529" s="49">
        <f ca="1"/>
        <v>0</v>
      </c>
      <c r="X529" s="49">
        <f ca="1"/>
        <v>0</v>
      </c>
      <c r="Y529" s="49">
        <f ca="1"/>
        <v>0</v>
      </c>
      <c r="Z529" s="49">
        <f ca="1"/>
        <v>0</v>
      </c>
      <c r="AA529" s="49">
        <f ca="1"/>
        <v>0</v>
      </c>
      <c r="AB529" s="49">
        <f ca="1"/>
        <v>0</v>
      </c>
      <c r="AC529" s="49">
        <f ca="1"/>
        <v>0</v>
      </c>
      <c r="AD529" s="49">
        <f ca="1"/>
        <v>0</v>
      </c>
      <c r="AE529" s="49">
        <f ca="1"/>
        <v>0</v>
      </c>
      <c r="AF529" s="49">
        <f ca="1"/>
        <v>0</v>
      </c>
      <c r="AG529" s="49">
        <f ca="1"/>
        <v>0</v>
      </c>
      <c r="AH529" s="49">
        <f ca="1"/>
        <v>0</v>
      </c>
      <c r="AI529" s="49">
        <f ca="1"/>
        <v>0</v>
      </c>
      <c r="AJ529" s="49">
        <f ca="1"/>
        <v>0</v>
      </c>
      <c r="AK529" s="49">
        <f ca="1"/>
        <v>0</v>
      </c>
      <c r="AL529" s="49">
        <f ca="1"/>
        <v>0</v>
      </c>
      <c r="AM529" s="49">
        <f ca="1"/>
        <v>0</v>
      </c>
      <c r="AN529" s="49">
        <f ca="1"/>
        <v>0</v>
      </c>
      <c r="AO529" s="49">
        <f ca="1"/>
        <v>0</v>
      </c>
      <c r="AP529" s="49">
        <f ca="1"/>
        <v>0</v>
      </c>
      <c r="AQ529" s="49">
        <f ca="1"/>
        <v>0</v>
      </c>
      <c r="AR529" s="49">
        <f ca="1"/>
        <v>0</v>
      </c>
      <c r="AS529" s="49">
        <f ca="1"/>
        <v>0</v>
      </c>
      <c r="AT529" s="49">
        <f ca="1"/>
        <v>0</v>
      </c>
      <c r="AU529" s="49">
        <f ca="1"/>
        <v>0</v>
      </c>
      <c r="AV529" s="49">
        <f ca="1"/>
        <v>0</v>
      </c>
      <c r="AW529" s="49">
        <f ca="1"/>
        <v>0</v>
      </c>
      <c r="AX529" s="49">
        <f ca="1"/>
        <v>0</v>
      </c>
      <c r="AY529" s="49">
        <f ca="1"/>
        <v>0</v>
      </c>
      <c r="AZ529" s="49">
        <f ca="1"/>
        <v>0</v>
      </c>
      <c r="BA529" s="49">
        <f ca="1"/>
        <v>0</v>
      </c>
      <c r="BB529" s="49">
        <f ca="1"/>
        <v>0</v>
      </c>
      <c r="BC529" s="49">
        <f ca="1"/>
        <v>0</v>
      </c>
      <c r="BD529" s="49">
        <f ca="1"/>
        <v>0</v>
      </c>
      <c r="BE529" s="49">
        <f ca="1"/>
        <v>0</v>
      </c>
      <c r="BF529" s="49">
        <f ca="1"/>
        <v>0</v>
      </c>
      <c r="BG529" s="49">
        <f ca="1"/>
        <v>0</v>
      </c>
      <c r="BH529" s="49">
        <f ca="1"/>
        <v>0</v>
      </c>
      <c r="BI529" s="49">
        <f ca="1"/>
        <v>0</v>
      </c>
      <c r="BJ529" s="49">
        <f ca="1"/>
        <v>0</v>
      </c>
      <c r="BK529" s="49">
        <f ca="1"/>
        <v>0</v>
      </c>
      <c r="BL529" s="49">
        <f ca="1"/>
        <v>0</v>
      </c>
      <c r="BM529" s="49">
        <f ca="1"/>
        <v>0</v>
      </c>
      <c r="BN529" s="49">
        <f ca="1"/>
        <v>0</v>
      </c>
      <c r="BO529" s="49">
        <f ca="1"/>
        <v>0</v>
      </c>
      <c r="BP529" s="49">
        <f ca="1"/>
        <v>0</v>
      </c>
      <c r="BQ529" s="49">
        <f ca="1"/>
        <v>0</v>
      </c>
      <c r="BR529" s="49">
        <f ca="1"/>
        <v>0</v>
      </c>
      <c r="BS529" s="49">
        <f ca="1"/>
        <v>0</v>
      </c>
    </row>
    <row r="530" spans="3:71" outlineLevel="1" x14ac:dyDescent="0.2">
      <c r="D530" t="str">
        <f>HM_ZD_Moho!D552</f>
        <v>Profit Oil</v>
      </c>
      <c r="H530" s="7" t="s">
        <v>502</v>
      </c>
      <c r="I530" s="30">
        <f t="shared" ca="1" si="164"/>
        <v>0</v>
      </c>
      <c r="J530" s="26" t="s">
        <v>148</v>
      </c>
      <c r="L530" s="49" cm="1">
        <f t="array" aca="1" ref="L530:BS530" ca="1">HM_ZD_AM3_2005!CA_PS_gov</f>
        <v>0</v>
      </c>
      <c r="M530" s="49">
        <f ca="1"/>
        <v>0</v>
      </c>
      <c r="N530" s="49">
        <f ca="1"/>
        <v>0</v>
      </c>
      <c r="O530" s="49">
        <f ca="1"/>
        <v>0</v>
      </c>
      <c r="P530" s="49">
        <f ca="1"/>
        <v>0</v>
      </c>
      <c r="Q530" s="49">
        <f ca="1"/>
        <v>0</v>
      </c>
      <c r="R530" s="49">
        <f ca="1"/>
        <v>0</v>
      </c>
      <c r="S530" s="49">
        <f ca="1"/>
        <v>0</v>
      </c>
      <c r="T530" s="49">
        <f ca="1"/>
        <v>0</v>
      </c>
      <c r="U530" s="49">
        <f ca="1"/>
        <v>0</v>
      </c>
      <c r="V530" s="49">
        <f ca="1"/>
        <v>0</v>
      </c>
      <c r="W530" s="49">
        <f ca="1"/>
        <v>0</v>
      </c>
      <c r="X530" s="49">
        <f ca="1"/>
        <v>0</v>
      </c>
      <c r="Y530" s="49">
        <f ca="1"/>
        <v>0</v>
      </c>
      <c r="Z530" s="49">
        <f ca="1"/>
        <v>0</v>
      </c>
      <c r="AA530" s="49">
        <f ca="1"/>
        <v>0</v>
      </c>
      <c r="AB530" s="49">
        <f ca="1"/>
        <v>0</v>
      </c>
      <c r="AC530" s="49">
        <f ca="1"/>
        <v>0</v>
      </c>
      <c r="AD530" s="49">
        <f ca="1"/>
        <v>0</v>
      </c>
      <c r="AE530" s="49">
        <f ca="1"/>
        <v>0</v>
      </c>
      <c r="AF530" s="49">
        <f ca="1"/>
        <v>0</v>
      </c>
      <c r="AG530" s="49">
        <f ca="1"/>
        <v>0</v>
      </c>
      <c r="AH530" s="49">
        <f ca="1"/>
        <v>0</v>
      </c>
      <c r="AI530" s="49">
        <f ca="1"/>
        <v>0</v>
      </c>
      <c r="AJ530" s="49">
        <f ca="1"/>
        <v>0</v>
      </c>
      <c r="AK530" s="49">
        <f ca="1"/>
        <v>0</v>
      </c>
      <c r="AL530" s="49">
        <f ca="1"/>
        <v>0</v>
      </c>
      <c r="AM530" s="49">
        <f ca="1"/>
        <v>0</v>
      </c>
      <c r="AN530" s="49">
        <f ca="1"/>
        <v>0</v>
      </c>
      <c r="AO530" s="49">
        <f ca="1"/>
        <v>0</v>
      </c>
      <c r="AP530" s="49">
        <f ca="1"/>
        <v>0</v>
      </c>
      <c r="AQ530" s="49">
        <f ca="1"/>
        <v>0</v>
      </c>
      <c r="AR530" s="49">
        <f ca="1"/>
        <v>0</v>
      </c>
      <c r="AS530" s="49">
        <f ca="1"/>
        <v>0</v>
      </c>
      <c r="AT530" s="49">
        <f ca="1"/>
        <v>0</v>
      </c>
      <c r="AU530" s="49">
        <f ca="1"/>
        <v>0</v>
      </c>
      <c r="AV530" s="49">
        <f ca="1"/>
        <v>0</v>
      </c>
      <c r="AW530" s="49">
        <f ca="1"/>
        <v>0</v>
      </c>
      <c r="AX530" s="49">
        <f ca="1"/>
        <v>0</v>
      </c>
      <c r="AY530" s="49">
        <f ca="1"/>
        <v>0</v>
      </c>
      <c r="AZ530" s="49">
        <f ca="1"/>
        <v>0</v>
      </c>
      <c r="BA530" s="49">
        <f ca="1"/>
        <v>0</v>
      </c>
      <c r="BB530" s="49">
        <f ca="1"/>
        <v>0</v>
      </c>
      <c r="BC530" s="49">
        <f ca="1"/>
        <v>0</v>
      </c>
      <c r="BD530" s="49">
        <f ca="1"/>
        <v>0</v>
      </c>
      <c r="BE530" s="49">
        <f ca="1"/>
        <v>0</v>
      </c>
      <c r="BF530" s="49">
        <f ca="1"/>
        <v>0</v>
      </c>
      <c r="BG530" s="49">
        <f ca="1"/>
        <v>0</v>
      </c>
      <c r="BH530" s="49">
        <f ca="1"/>
        <v>0</v>
      </c>
      <c r="BI530" s="49">
        <f ca="1"/>
        <v>0</v>
      </c>
      <c r="BJ530" s="49">
        <f ca="1"/>
        <v>0</v>
      </c>
      <c r="BK530" s="49">
        <f ca="1"/>
        <v>0</v>
      </c>
      <c r="BL530" s="49">
        <f ca="1"/>
        <v>0</v>
      </c>
      <c r="BM530" s="49">
        <f ca="1"/>
        <v>0</v>
      </c>
      <c r="BN530" s="49">
        <f ca="1"/>
        <v>0</v>
      </c>
      <c r="BO530" s="49">
        <f ca="1"/>
        <v>0</v>
      </c>
      <c r="BP530" s="49">
        <f ca="1"/>
        <v>0</v>
      </c>
      <c r="BQ530" s="49">
        <f ca="1"/>
        <v>0</v>
      </c>
      <c r="BR530" s="49">
        <f ca="1"/>
        <v>0</v>
      </c>
      <c r="BS530" s="49">
        <f ca="1"/>
        <v>0</v>
      </c>
    </row>
    <row r="531" spans="3:71" outlineLevel="1" x14ac:dyDescent="0.2">
      <c r="D531" t="str">
        <f>HM_ZD_Moho!D553</f>
        <v>Production et autres taxes</v>
      </c>
      <c r="I531" s="30">
        <f t="shared" si="164"/>
        <v>0</v>
      </c>
      <c r="J531" s="26" t="s">
        <v>148</v>
      </c>
      <c r="L531" s="49">
        <v>0</v>
      </c>
      <c r="M531" s="49">
        <v>0</v>
      </c>
      <c r="N531" s="49">
        <v>0</v>
      </c>
      <c r="O531" s="49">
        <v>0</v>
      </c>
      <c r="P531" s="49">
        <v>0</v>
      </c>
      <c r="Q531" s="49">
        <v>0</v>
      </c>
      <c r="R531" s="49">
        <v>0</v>
      </c>
      <c r="S531" s="49">
        <v>0</v>
      </c>
      <c r="T531" s="49">
        <v>0</v>
      </c>
      <c r="U531" s="49">
        <v>0</v>
      </c>
      <c r="V531" s="49">
        <v>0</v>
      </c>
      <c r="W531" s="49">
        <v>0</v>
      </c>
      <c r="X531" s="49">
        <v>0</v>
      </c>
      <c r="Y531" s="49">
        <v>0</v>
      </c>
      <c r="Z531" s="49">
        <v>0</v>
      </c>
      <c r="AA531" s="49">
        <v>0</v>
      </c>
      <c r="AB531" s="49">
        <v>0</v>
      </c>
      <c r="AC531" s="49">
        <v>0</v>
      </c>
      <c r="AD531" s="49">
        <v>0</v>
      </c>
      <c r="AE531" s="49">
        <v>0</v>
      </c>
      <c r="AF531" s="49">
        <v>0</v>
      </c>
      <c r="AG531" s="49">
        <v>0</v>
      </c>
      <c r="AH531" s="49">
        <v>0</v>
      </c>
      <c r="AI531" s="49">
        <v>0</v>
      </c>
      <c r="AJ531" s="49">
        <v>0</v>
      </c>
      <c r="AK531" s="49">
        <v>0</v>
      </c>
      <c r="AL531" s="49">
        <v>0</v>
      </c>
      <c r="AM531" s="49">
        <v>0</v>
      </c>
      <c r="AN531" s="49">
        <v>0</v>
      </c>
      <c r="AO531" s="49">
        <v>0</v>
      </c>
      <c r="AP531" s="49">
        <v>0</v>
      </c>
      <c r="AQ531" s="49">
        <v>0</v>
      </c>
      <c r="AR531" s="49">
        <v>0</v>
      </c>
      <c r="AS531" s="49">
        <v>0</v>
      </c>
      <c r="AT531" s="49">
        <v>0</v>
      </c>
      <c r="AU531" s="49">
        <v>0</v>
      </c>
      <c r="AV531" s="49">
        <v>0</v>
      </c>
      <c r="AW531" s="49">
        <v>0</v>
      </c>
      <c r="AX531" s="49">
        <v>0</v>
      </c>
      <c r="AY531" s="49">
        <v>0</v>
      </c>
      <c r="AZ531" s="49">
        <v>0</v>
      </c>
      <c r="BA531" s="49">
        <v>0</v>
      </c>
      <c r="BB531" s="49">
        <v>0</v>
      </c>
      <c r="BC531" s="49">
        <v>0</v>
      </c>
      <c r="BD531" s="49">
        <v>0</v>
      </c>
      <c r="BE531" s="49">
        <v>0</v>
      </c>
      <c r="BF531" s="49">
        <v>0</v>
      </c>
      <c r="BG531" s="49">
        <v>0</v>
      </c>
      <c r="BH531" s="49">
        <v>0</v>
      </c>
      <c r="BI531" s="49">
        <v>0</v>
      </c>
      <c r="BJ531" s="49">
        <v>0</v>
      </c>
      <c r="BK531" s="49">
        <v>0</v>
      </c>
      <c r="BL531" s="49">
        <v>0</v>
      </c>
      <c r="BM531" s="49">
        <v>0</v>
      </c>
      <c r="BN531" s="49">
        <v>0</v>
      </c>
      <c r="BO531" s="49">
        <v>0</v>
      </c>
      <c r="BP531" s="49">
        <v>0</v>
      </c>
      <c r="BQ531" s="49">
        <v>0</v>
      </c>
      <c r="BR531" s="49">
        <v>0</v>
      </c>
      <c r="BS531" s="49">
        <v>0</v>
      </c>
    </row>
    <row r="532" spans="3:71" outlineLevel="1" x14ac:dyDescent="0.2">
      <c r="D532" t="str">
        <f>HM_ZD_Moho!D554</f>
        <v>Impôt sur le revenu</v>
      </c>
      <c r="I532" s="30">
        <f t="shared" si="164"/>
        <v>0</v>
      </c>
      <c r="J532" s="26" t="s">
        <v>148</v>
      </c>
      <c r="L532" s="49">
        <v>0</v>
      </c>
      <c r="M532" s="49">
        <v>0</v>
      </c>
      <c r="N532" s="49">
        <v>0</v>
      </c>
      <c r="O532" s="49">
        <v>0</v>
      </c>
      <c r="P532" s="49">
        <v>0</v>
      </c>
      <c r="Q532" s="49">
        <v>0</v>
      </c>
      <c r="R532" s="49">
        <v>0</v>
      </c>
      <c r="S532" s="49">
        <v>0</v>
      </c>
      <c r="T532" s="49">
        <v>0</v>
      </c>
      <c r="U532" s="49">
        <v>0</v>
      </c>
      <c r="V532" s="49">
        <v>0</v>
      </c>
      <c r="W532" s="49">
        <v>0</v>
      </c>
      <c r="X532" s="49">
        <v>0</v>
      </c>
      <c r="Y532" s="49">
        <v>0</v>
      </c>
      <c r="Z532" s="49">
        <v>0</v>
      </c>
      <c r="AA532" s="49">
        <v>0</v>
      </c>
      <c r="AB532" s="49">
        <v>0</v>
      </c>
      <c r="AC532" s="49">
        <v>0</v>
      </c>
      <c r="AD532" s="49">
        <v>0</v>
      </c>
      <c r="AE532" s="49">
        <v>0</v>
      </c>
      <c r="AF532" s="49">
        <v>0</v>
      </c>
      <c r="AG532" s="49">
        <v>0</v>
      </c>
      <c r="AH532" s="49">
        <v>0</v>
      </c>
      <c r="AI532" s="49">
        <v>0</v>
      </c>
      <c r="AJ532" s="49">
        <v>0</v>
      </c>
      <c r="AK532" s="49">
        <v>0</v>
      </c>
      <c r="AL532" s="49">
        <v>0</v>
      </c>
      <c r="AM532" s="49">
        <v>0</v>
      </c>
      <c r="AN532" s="49">
        <v>0</v>
      </c>
      <c r="AO532" s="49">
        <v>0</v>
      </c>
      <c r="AP532" s="49">
        <v>0</v>
      </c>
      <c r="AQ532" s="49">
        <v>0</v>
      </c>
      <c r="AR532" s="49">
        <v>0</v>
      </c>
      <c r="AS532" s="49">
        <v>0</v>
      </c>
      <c r="AT532" s="49">
        <v>0</v>
      </c>
      <c r="AU532" s="49">
        <v>0</v>
      </c>
      <c r="AV532" s="49">
        <v>0</v>
      </c>
      <c r="AW532" s="49">
        <v>0</v>
      </c>
      <c r="AX532" s="49">
        <v>0</v>
      </c>
      <c r="AY532" s="49">
        <v>0</v>
      </c>
      <c r="AZ532" s="49">
        <v>0</v>
      </c>
      <c r="BA532" s="49">
        <v>0</v>
      </c>
      <c r="BB532" s="49">
        <v>0</v>
      </c>
      <c r="BC532" s="49">
        <v>0</v>
      </c>
      <c r="BD532" s="49">
        <v>0</v>
      </c>
      <c r="BE532" s="49">
        <v>0</v>
      </c>
      <c r="BF532" s="49">
        <v>0</v>
      </c>
      <c r="BG532" s="49">
        <v>0</v>
      </c>
      <c r="BH532" s="49">
        <v>0</v>
      </c>
      <c r="BI532" s="49">
        <v>0</v>
      </c>
      <c r="BJ532" s="49">
        <v>0</v>
      </c>
      <c r="BK532" s="49">
        <v>0</v>
      </c>
      <c r="BL532" s="49">
        <v>0</v>
      </c>
      <c r="BM532" s="49">
        <v>0</v>
      </c>
      <c r="BN532" s="49">
        <v>0</v>
      </c>
      <c r="BO532" s="49">
        <v>0</v>
      </c>
      <c r="BP532" s="49">
        <v>0</v>
      </c>
      <c r="BQ532" s="49">
        <v>0</v>
      </c>
      <c r="BR532" s="49">
        <v>0</v>
      </c>
      <c r="BS532" s="49">
        <v>0</v>
      </c>
    </row>
    <row r="533" spans="3:71" outlineLevel="1" x14ac:dyDescent="0.2">
      <c r="D533" t="str">
        <f>HM_ZD_Moho!D555</f>
        <v>Impôts supplémentaires</v>
      </c>
      <c r="I533" s="30">
        <f t="shared" si="164"/>
        <v>0</v>
      </c>
      <c r="J533" s="26" t="s">
        <v>148</v>
      </c>
      <c r="L533" s="49">
        <v>0</v>
      </c>
      <c r="M533" s="49">
        <v>0</v>
      </c>
      <c r="N533" s="49">
        <v>0</v>
      </c>
      <c r="O533" s="49">
        <v>0</v>
      </c>
      <c r="P533" s="49">
        <v>0</v>
      </c>
      <c r="Q533" s="49">
        <v>0</v>
      </c>
      <c r="R533" s="49">
        <v>0</v>
      </c>
      <c r="S533" s="49">
        <v>0</v>
      </c>
      <c r="T533" s="49">
        <v>0</v>
      </c>
      <c r="U533" s="49">
        <v>0</v>
      </c>
      <c r="V533" s="49">
        <v>0</v>
      </c>
      <c r="W533" s="49">
        <v>0</v>
      </c>
      <c r="X533" s="49">
        <v>0</v>
      </c>
      <c r="Y533" s="49">
        <v>0</v>
      </c>
      <c r="Z533" s="49">
        <v>0</v>
      </c>
      <c r="AA533" s="49">
        <v>0</v>
      </c>
      <c r="AB533" s="49">
        <v>0</v>
      </c>
      <c r="AC533" s="49">
        <v>0</v>
      </c>
      <c r="AD533" s="49">
        <v>0</v>
      </c>
      <c r="AE533" s="49">
        <v>0</v>
      </c>
      <c r="AF533" s="49">
        <v>0</v>
      </c>
      <c r="AG533" s="49">
        <v>0</v>
      </c>
      <c r="AH533" s="49">
        <v>0</v>
      </c>
      <c r="AI533" s="49">
        <v>0</v>
      </c>
      <c r="AJ533" s="49">
        <v>0</v>
      </c>
      <c r="AK533" s="49">
        <v>0</v>
      </c>
      <c r="AL533" s="49">
        <v>0</v>
      </c>
      <c r="AM533" s="49">
        <v>0</v>
      </c>
      <c r="AN533" s="49">
        <v>0</v>
      </c>
      <c r="AO533" s="49">
        <v>0</v>
      </c>
      <c r="AP533" s="49">
        <v>0</v>
      </c>
      <c r="AQ533" s="49">
        <v>0</v>
      </c>
      <c r="AR533" s="49">
        <v>0</v>
      </c>
      <c r="AS533" s="49">
        <v>0</v>
      </c>
      <c r="AT533" s="49">
        <v>0</v>
      </c>
      <c r="AU533" s="49">
        <v>0</v>
      </c>
      <c r="AV533" s="49">
        <v>0</v>
      </c>
      <c r="AW533" s="49">
        <v>0</v>
      </c>
      <c r="AX533" s="49">
        <v>0</v>
      </c>
      <c r="AY533" s="49">
        <v>0</v>
      </c>
      <c r="AZ533" s="49">
        <v>0</v>
      </c>
      <c r="BA533" s="49">
        <v>0</v>
      </c>
      <c r="BB533" s="49">
        <v>0</v>
      </c>
      <c r="BC533" s="49">
        <v>0</v>
      </c>
      <c r="BD533" s="49">
        <v>0</v>
      </c>
      <c r="BE533" s="49">
        <v>0</v>
      </c>
      <c r="BF533" s="49">
        <v>0</v>
      </c>
      <c r="BG533" s="49">
        <v>0</v>
      </c>
      <c r="BH533" s="49">
        <v>0</v>
      </c>
      <c r="BI533" s="49">
        <v>0</v>
      </c>
      <c r="BJ533" s="49">
        <v>0</v>
      </c>
      <c r="BK533" s="49">
        <v>0</v>
      </c>
      <c r="BL533" s="49">
        <v>0</v>
      </c>
      <c r="BM533" s="49">
        <v>0</v>
      </c>
      <c r="BN533" s="49">
        <v>0</v>
      </c>
      <c r="BO533" s="49">
        <v>0</v>
      </c>
      <c r="BP533" s="49">
        <v>0</v>
      </c>
      <c r="BQ533" s="49">
        <v>0</v>
      </c>
      <c r="BR533" s="49">
        <v>0</v>
      </c>
      <c r="BS533" s="49">
        <v>0</v>
      </c>
    </row>
    <row r="534" spans="3:71" outlineLevel="1" x14ac:dyDescent="0.2">
      <c r="C534" s="11" t="str">
        <f>HM_ZD_Moho!C556</f>
        <v>Coûts</v>
      </c>
      <c r="J534" s="26"/>
      <c r="L534" s="55"/>
      <c r="M534" s="55"/>
      <c r="N534" s="55"/>
      <c r="O534" s="55"/>
      <c r="P534" s="55"/>
      <c r="Q534" s="55"/>
      <c r="R534" s="55"/>
      <c r="S534" s="55"/>
      <c r="T534" s="55"/>
      <c r="U534" s="55"/>
      <c r="V534" s="55"/>
      <c r="W534" s="55"/>
      <c r="X534" s="55"/>
      <c r="Y534" s="55"/>
      <c r="Z534" s="55"/>
      <c r="AA534" s="55"/>
      <c r="AB534" s="55"/>
      <c r="AC534" s="55"/>
      <c r="AD534" s="55"/>
      <c r="AE534" s="55"/>
      <c r="AF534" s="55"/>
      <c r="AG534" s="55"/>
      <c r="AH534" s="55"/>
      <c r="AI534" s="55"/>
      <c r="AJ534" s="55"/>
      <c r="AK534" s="55"/>
      <c r="AL534" s="55"/>
      <c r="AM534" s="55"/>
      <c r="AN534" s="55"/>
      <c r="AO534" s="55"/>
      <c r="AP534" s="55"/>
      <c r="AQ534" s="55"/>
      <c r="AR534" s="55"/>
      <c r="AS534" s="55"/>
      <c r="AT534" s="55"/>
      <c r="AU534" s="55"/>
      <c r="AV534" s="55"/>
      <c r="AW534" s="55"/>
      <c r="AX534" s="55"/>
      <c r="AY534" s="55"/>
      <c r="AZ534" s="55"/>
      <c r="BA534" s="55"/>
      <c r="BB534" s="55"/>
      <c r="BC534" s="55"/>
      <c r="BD534" s="55"/>
      <c r="BE534" s="55"/>
      <c r="BF534" s="55"/>
      <c r="BG534" s="55"/>
      <c r="BH534" s="55"/>
      <c r="BI534" s="55"/>
      <c r="BJ534" s="55"/>
      <c r="BK534" s="55"/>
      <c r="BL534" s="55"/>
      <c r="BM534" s="55"/>
      <c r="BN534" s="55"/>
      <c r="BO534" s="55"/>
      <c r="BP534" s="55"/>
      <c r="BQ534" s="55"/>
      <c r="BR534" s="55"/>
      <c r="BS534" s="55"/>
    </row>
    <row r="535" spans="3:71" outlineLevel="1" x14ac:dyDescent="0.2">
      <c r="D535" t="str">
        <f>HM_ZD_Moho!D557</f>
        <v>Coûts de financement</v>
      </c>
      <c r="I535" s="30">
        <f t="shared" si="164"/>
        <v>0</v>
      </c>
      <c r="J535" s="26" t="s">
        <v>148</v>
      </c>
      <c r="L535" s="49">
        <v>0</v>
      </c>
      <c r="M535" s="49">
        <v>0</v>
      </c>
      <c r="N535" s="49">
        <v>0</v>
      </c>
      <c r="O535" s="49">
        <v>0</v>
      </c>
      <c r="P535" s="49">
        <v>0</v>
      </c>
      <c r="Q535" s="49">
        <v>0</v>
      </c>
      <c r="R535" s="49">
        <v>0</v>
      </c>
      <c r="S535" s="49">
        <v>0</v>
      </c>
      <c r="T535" s="49">
        <v>0</v>
      </c>
      <c r="U535" s="49">
        <v>0</v>
      </c>
      <c r="V535" s="49">
        <v>0</v>
      </c>
      <c r="W535" s="49">
        <v>0</v>
      </c>
      <c r="X535" s="49">
        <v>0</v>
      </c>
      <c r="Y535" s="49">
        <v>0</v>
      </c>
      <c r="Z535" s="49">
        <v>0</v>
      </c>
      <c r="AA535" s="49">
        <v>0</v>
      </c>
      <c r="AB535" s="49">
        <v>0</v>
      </c>
      <c r="AC535" s="49">
        <v>0</v>
      </c>
      <c r="AD535" s="49">
        <v>0</v>
      </c>
      <c r="AE535" s="49">
        <v>0</v>
      </c>
      <c r="AF535" s="49">
        <v>0</v>
      </c>
      <c r="AG535" s="49">
        <v>0</v>
      </c>
      <c r="AH535" s="49">
        <v>0</v>
      </c>
      <c r="AI535" s="49">
        <v>0</v>
      </c>
      <c r="AJ535" s="49">
        <v>0</v>
      </c>
      <c r="AK535" s="49">
        <v>0</v>
      </c>
      <c r="AL535" s="49">
        <v>0</v>
      </c>
      <c r="AM535" s="49">
        <v>0</v>
      </c>
      <c r="AN535" s="49">
        <v>0</v>
      </c>
      <c r="AO535" s="49">
        <v>0</v>
      </c>
      <c r="AP535" s="49">
        <v>0</v>
      </c>
      <c r="AQ535" s="49">
        <v>0</v>
      </c>
      <c r="AR535" s="49">
        <v>0</v>
      </c>
      <c r="AS535" s="49">
        <v>0</v>
      </c>
      <c r="AT535" s="49">
        <v>0</v>
      </c>
      <c r="AU535" s="49">
        <v>0</v>
      </c>
      <c r="AV535" s="49">
        <v>0</v>
      </c>
      <c r="AW535" s="49">
        <v>0</v>
      </c>
      <c r="AX535" s="49">
        <v>0</v>
      </c>
      <c r="AY535" s="49">
        <v>0</v>
      </c>
      <c r="AZ535" s="49">
        <v>0</v>
      </c>
      <c r="BA535" s="49">
        <v>0</v>
      </c>
      <c r="BB535" s="49">
        <v>0</v>
      </c>
      <c r="BC535" s="49">
        <v>0</v>
      </c>
      <c r="BD535" s="49">
        <v>0</v>
      </c>
      <c r="BE535" s="49">
        <v>0</v>
      </c>
      <c r="BF535" s="49">
        <v>0</v>
      </c>
      <c r="BG535" s="49">
        <v>0</v>
      </c>
      <c r="BH535" s="49">
        <v>0</v>
      </c>
      <c r="BI535" s="49">
        <v>0</v>
      </c>
      <c r="BJ535" s="49">
        <v>0</v>
      </c>
      <c r="BK535" s="49">
        <v>0</v>
      </c>
      <c r="BL535" s="49">
        <v>0</v>
      </c>
      <c r="BM535" s="49">
        <v>0</v>
      </c>
      <c r="BN535" s="49">
        <v>0</v>
      </c>
      <c r="BO535" s="49">
        <v>0</v>
      </c>
      <c r="BP535" s="49">
        <v>0</v>
      </c>
      <c r="BQ535" s="49">
        <v>0</v>
      </c>
      <c r="BR535" s="49">
        <v>0</v>
      </c>
      <c r="BS535" s="49">
        <v>0</v>
      </c>
    </row>
    <row r="536" spans="3:71" outlineLevel="1" x14ac:dyDescent="0.2">
      <c r="D536" t="str">
        <f>HM_ZD_Moho!D558</f>
        <v>Autres coûts</v>
      </c>
      <c r="I536" s="30">
        <f t="shared" si="164"/>
        <v>0</v>
      </c>
      <c r="J536" s="26" t="s">
        <v>148</v>
      </c>
      <c r="L536" s="49">
        <v>0</v>
      </c>
      <c r="M536" s="49">
        <v>0</v>
      </c>
      <c r="N536" s="49">
        <v>0</v>
      </c>
      <c r="O536" s="49">
        <v>0</v>
      </c>
      <c r="P536" s="49">
        <v>0</v>
      </c>
      <c r="Q536" s="49">
        <v>0</v>
      </c>
      <c r="R536" s="49">
        <v>0</v>
      </c>
      <c r="S536" s="49">
        <v>0</v>
      </c>
      <c r="T536" s="49">
        <v>0</v>
      </c>
      <c r="U536" s="49">
        <v>0</v>
      </c>
      <c r="V536" s="49">
        <v>0</v>
      </c>
      <c r="W536" s="49">
        <v>0</v>
      </c>
      <c r="X536" s="49">
        <v>0</v>
      </c>
      <c r="Y536" s="49">
        <v>0</v>
      </c>
      <c r="Z536" s="49">
        <v>0</v>
      </c>
      <c r="AA536" s="49">
        <v>0</v>
      </c>
      <c r="AB536" s="49">
        <v>0</v>
      </c>
      <c r="AC536" s="49">
        <v>0</v>
      </c>
      <c r="AD536" s="49">
        <v>0</v>
      </c>
      <c r="AE536" s="49">
        <v>0</v>
      </c>
      <c r="AF536" s="49">
        <v>0</v>
      </c>
      <c r="AG536" s="49">
        <v>0</v>
      </c>
      <c r="AH536" s="49">
        <v>0</v>
      </c>
      <c r="AI536" s="49">
        <v>0</v>
      </c>
      <c r="AJ536" s="49">
        <v>0</v>
      </c>
      <c r="AK536" s="49">
        <v>0</v>
      </c>
      <c r="AL536" s="49">
        <v>0</v>
      </c>
      <c r="AM536" s="49">
        <v>0</v>
      </c>
      <c r="AN536" s="49">
        <v>0</v>
      </c>
      <c r="AO536" s="49">
        <v>0</v>
      </c>
      <c r="AP536" s="49">
        <v>0</v>
      </c>
      <c r="AQ536" s="49">
        <v>0</v>
      </c>
      <c r="AR536" s="49">
        <v>0</v>
      </c>
      <c r="AS536" s="49">
        <v>0</v>
      </c>
      <c r="AT536" s="49">
        <v>0</v>
      </c>
      <c r="AU536" s="49">
        <v>0</v>
      </c>
      <c r="AV536" s="49">
        <v>0</v>
      </c>
      <c r="AW536" s="49">
        <v>0</v>
      </c>
      <c r="AX536" s="49">
        <v>0</v>
      </c>
      <c r="AY536" s="49">
        <v>0</v>
      </c>
      <c r="AZ536" s="49">
        <v>0</v>
      </c>
      <c r="BA536" s="49">
        <v>0</v>
      </c>
      <c r="BB536" s="49">
        <v>0</v>
      </c>
      <c r="BC536" s="49">
        <v>0</v>
      </c>
      <c r="BD536" s="49">
        <v>0</v>
      </c>
      <c r="BE536" s="49">
        <v>0</v>
      </c>
      <c r="BF536" s="49">
        <v>0</v>
      </c>
      <c r="BG536" s="49">
        <v>0</v>
      </c>
      <c r="BH536" s="49">
        <v>0</v>
      </c>
      <c r="BI536" s="49">
        <v>0</v>
      </c>
      <c r="BJ536" s="49">
        <v>0</v>
      </c>
      <c r="BK536" s="49">
        <v>0</v>
      </c>
      <c r="BL536" s="49">
        <v>0</v>
      </c>
      <c r="BM536" s="49">
        <v>0</v>
      </c>
      <c r="BN536" s="49">
        <v>0</v>
      </c>
      <c r="BO536" s="49">
        <v>0</v>
      </c>
      <c r="BP536" s="49">
        <v>0</v>
      </c>
      <c r="BQ536" s="49">
        <v>0</v>
      </c>
      <c r="BR536" s="49">
        <v>0</v>
      </c>
      <c r="BS536" s="49">
        <v>0</v>
      </c>
    </row>
    <row r="537" spans="3:71" outlineLevel="1" x14ac:dyDescent="0.2">
      <c r="J537" s="26"/>
      <c r="L537" s="55"/>
      <c r="M537" s="55"/>
      <c r="N537" s="55"/>
      <c r="O537" s="55"/>
      <c r="P537" s="55"/>
      <c r="Q537" s="55"/>
      <c r="R537" s="55"/>
      <c r="S537" s="55"/>
      <c r="T537" s="55"/>
      <c r="U537" s="55"/>
      <c r="V537" s="55"/>
      <c r="W537" s="55"/>
      <c r="X537" s="55"/>
      <c r="Y537" s="55"/>
      <c r="Z537" s="55"/>
      <c r="AA537" s="55"/>
      <c r="AB537" s="55"/>
      <c r="AC537" s="55"/>
      <c r="AD537" s="55"/>
      <c r="AE537" s="55"/>
      <c r="AF537" s="55"/>
      <c r="AG537" s="55"/>
      <c r="AH537" s="55"/>
      <c r="AI537" s="55"/>
      <c r="AJ537" s="55"/>
      <c r="AK537" s="55"/>
      <c r="AL537" s="55"/>
      <c r="AM537" s="55"/>
      <c r="AN537" s="55"/>
      <c r="AO537" s="55"/>
      <c r="AP537" s="55"/>
      <c r="AQ537" s="55"/>
      <c r="AR537" s="55"/>
      <c r="AS537" s="55"/>
      <c r="AT537" s="55"/>
      <c r="AU537" s="55"/>
      <c r="AV537" s="55"/>
      <c r="AW537" s="55"/>
      <c r="AX537" s="55"/>
      <c r="AY537" s="55"/>
      <c r="AZ537" s="55"/>
      <c r="BA537" s="55"/>
      <c r="BB537" s="55"/>
      <c r="BC537" s="55"/>
      <c r="BD537" s="55"/>
      <c r="BE537" s="55"/>
      <c r="BF537" s="55"/>
      <c r="BG537" s="55"/>
      <c r="BH537" s="55"/>
      <c r="BI537" s="55"/>
      <c r="BJ537" s="55"/>
      <c r="BK537" s="55"/>
      <c r="BL537" s="55"/>
      <c r="BM537" s="55"/>
      <c r="BN537" s="55"/>
      <c r="BO537" s="55"/>
      <c r="BP537" s="55"/>
      <c r="BQ537" s="55"/>
      <c r="BR537" s="55"/>
      <c r="BS537" s="55"/>
    </row>
    <row r="538" spans="3:71" outlineLevel="1" x14ac:dyDescent="0.2">
      <c r="C538" s="11" t="str">
        <f>HM_ZD_Moho!C560</f>
        <v>Total flux de trésorerie du Gouv.</v>
      </c>
      <c r="F538" s="64" t="b">
        <f ca="1">ROUND(SUM(I538,I454),2)=ROUND(I428,2)</f>
        <v>0</v>
      </c>
      <c r="H538" s="7" t="s">
        <v>503</v>
      </c>
      <c r="I538" s="30">
        <f t="shared" ca="1" si="164"/>
        <v>2502.4336073273598</v>
      </c>
      <c r="J538" s="26" t="s">
        <v>148</v>
      </c>
      <c r="K538" s="7" t="s">
        <v>434</v>
      </c>
      <c r="L538" s="49">
        <f ca="1">SUM(L526:L533)-SUM(L535:L536)</f>
        <v>1301.76551714582</v>
      </c>
      <c r="M538" s="49">
        <f t="shared" ref="M538:BS538" ca="1" si="165">SUM(M526:M533)-SUM(M535:M536)</f>
        <v>1200.6680901815398</v>
      </c>
      <c r="N538" s="49">
        <f t="shared" ca="1" si="165"/>
        <v>0</v>
      </c>
      <c r="O538" s="49">
        <f t="shared" ca="1" si="165"/>
        <v>0</v>
      </c>
      <c r="P538" s="49">
        <f t="shared" ca="1" si="165"/>
        <v>0</v>
      </c>
      <c r="Q538" s="49">
        <f t="shared" ca="1" si="165"/>
        <v>0</v>
      </c>
      <c r="R538" s="49">
        <f t="shared" ca="1" si="165"/>
        <v>0</v>
      </c>
      <c r="S538" s="49">
        <f t="shared" ca="1" si="165"/>
        <v>0</v>
      </c>
      <c r="T538" s="49">
        <f t="shared" ca="1" si="165"/>
        <v>0</v>
      </c>
      <c r="U538" s="49">
        <f t="shared" ca="1" si="165"/>
        <v>0</v>
      </c>
      <c r="V538" s="49">
        <f t="shared" ca="1" si="165"/>
        <v>0</v>
      </c>
      <c r="W538" s="49">
        <f t="shared" ca="1" si="165"/>
        <v>0</v>
      </c>
      <c r="X538" s="49">
        <f t="shared" ca="1" si="165"/>
        <v>0</v>
      </c>
      <c r="Y538" s="49">
        <f t="shared" ca="1" si="165"/>
        <v>0</v>
      </c>
      <c r="Z538" s="49">
        <f t="shared" ca="1" si="165"/>
        <v>0</v>
      </c>
      <c r="AA538" s="49">
        <f t="shared" ca="1" si="165"/>
        <v>0</v>
      </c>
      <c r="AB538" s="49">
        <f t="shared" ca="1" si="165"/>
        <v>0</v>
      </c>
      <c r="AC538" s="49">
        <f t="shared" ca="1" si="165"/>
        <v>0</v>
      </c>
      <c r="AD538" s="49">
        <f t="shared" ca="1" si="165"/>
        <v>0</v>
      </c>
      <c r="AE538" s="49">
        <f t="shared" ca="1" si="165"/>
        <v>0</v>
      </c>
      <c r="AF538" s="49">
        <f t="shared" ca="1" si="165"/>
        <v>0</v>
      </c>
      <c r="AG538" s="49">
        <f t="shared" ca="1" si="165"/>
        <v>0</v>
      </c>
      <c r="AH538" s="49">
        <f t="shared" ca="1" si="165"/>
        <v>0</v>
      </c>
      <c r="AI538" s="49">
        <f t="shared" ca="1" si="165"/>
        <v>0</v>
      </c>
      <c r="AJ538" s="49">
        <f t="shared" ca="1" si="165"/>
        <v>0</v>
      </c>
      <c r="AK538" s="49">
        <f t="shared" ca="1" si="165"/>
        <v>0</v>
      </c>
      <c r="AL538" s="49">
        <f t="shared" ca="1" si="165"/>
        <v>0</v>
      </c>
      <c r="AM538" s="49">
        <f t="shared" ca="1" si="165"/>
        <v>0</v>
      </c>
      <c r="AN538" s="49">
        <f t="shared" ca="1" si="165"/>
        <v>0</v>
      </c>
      <c r="AO538" s="49">
        <f t="shared" ca="1" si="165"/>
        <v>0</v>
      </c>
      <c r="AP538" s="49">
        <f t="shared" ca="1" si="165"/>
        <v>0</v>
      </c>
      <c r="AQ538" s="49">
        <f t="shared" ca="1" si="165"/>
        <v>0</v>
      </c>
      <c r="AR538" s="49">
        <f t="shared" ca="1" si="165"/>
        <v>0</v>
      </c>
      <c r="AS538" s="49">
        <f t="shared" ca="1" si="165"/>
        <v>0</v>
      </c>
      <c r="AT538" s="49">
        <f t="shared" ca="1" si="165"/>
        <v>0</v>
      </c>
      <c r="AU538" s="49">
        <f t="shared" ca="1" si="165"/>
        <v>0</v>
      </c>
      <c r="AV538" s="49">
        <f t="shared" ca="1" si="165"/>
        <v>0</v>
      </c>
      <c r="AW538" s="49">
        <f t="shared" ca="1" si="165"/>
        <v>0</v>
      </c>
      <c r="AX538" s="49">
        <f t="shared" ca="1" si="165"/>
        <v>0</v>
      </c>
      <c r="AY538" s="49">
        <f t="shared" ca="1" si="165"/>
        <v>0</v>
      </c>
      <c r="AZ538" s="49">
        <f t="shared" ca="1" si="165"/>
        <v>0</v>
      </c>
      <c r="BA538" s="49">
        <f t="shared" ca="1" si="165"/>
        <v>0</v>
      </c>
      <c r="BB538" s="49">
        <f t="shared" ca="1" si="165"/>
        <v>0</v>
      </c>
      <c r="BC538" s="49">
        <f t="shared" ca="1" si="165"/>
        <v>0</v>
      </c>
      <c r="BD538" s="49">
        <f t="shared" ca="1" si="165"/>
        <v>0</v>
      </c>
      <c r="BE538" s="49">
        <f t="shared" ca="1" si="165"/>
        <v>0</v>
      </c>
      <c r="BF538" s="49">
        <f t="shared" ca="1" si="165"/>
        <v>0</v>
      </c>
      <c r="BG538" s="49">
        <f t="shared" ca="1" si="165"/>
        <v>0</v>
      </c>
      <c r="BH538" s="49">
        <f t="shared" ca="1" si="165"/>
        <v>0</v>
      </c>
      <c r="BI538" s="49">
        <f t="shared" ca="1" si="165"/>
        <v>0</v>
      </c>
      <c r="BJ538" s="49">
        <f t="shared" ca="1" si="165"/>
        <v>0</v>
      </c>
      <c r="BK538" s="49">
        <f t="shared" ca="1" si="165"/>
        <v>0</v>
      </c>
      <c r="BL538" s="49">
        <f t="shared" ca="1" si="165"/>
        <v>0</v>
      </c>
      <c r="BM538" s="49">
        <f t="shared" ca="1" si="165"/>
        <v>0</v>
      </c>
      <c r="BN538" s="49">
        <f t="shared" ca="1" si="165"/>
        <v>0</v>
      </c>
      <c r="BO538" s="49">
        <f t="shared" ca="1" si="165"/>
        <v>0</v>
      </c>
      <c r="BP538" s="49">
        <f t="shared" ca="1" si="165"/>
        <v>0</v>
      </c>
      <c r="BQ538" s="49">
        <f t="shared" ca="1" si="165"/>
        <v>0</v>
      </c>
      <c r="BR538" s="49">
        <f t="shared" ca="1" si="165"/>
        <v>0</v>
      </c>
      <c r="BS538" s="49">
        <f t="shared" ca="1" si="165"/>
        <v>0</v>
      </c>
    </row>
    <row r="539" spans="3:71" outlineLevel="1" x14ac:dyDescent="0.2">
      <c r="J539" s="26"/>
      <c r="L539" s="55"/>
      <c r="M539" s="55"/>
      <c r="N539" s="55"/>
      <c r="O539" s="55"/>
      <c r="P539" s="55"/>
      <c r="Q539" s="55"/>
      <c r="R539" s="55"/>
      <c r="S539" s="55"/>
      <c r="T539" s="55"/>
      <c r="U539" s="55"/>
      <c r="V539" s="55"/>
      <c r="W539" s="55"/>
      <c r="X539" s="55"/>
      <c r="Y539" s="55"/>
      <c r="Z539" s="55"/>
      <c r="AA539" s="55"/>
      <c r="AB539" s="55"/>
      <c r="AC539" s="55"/>
      <c r="AD539" s="55"/>
      <c r="AE539" s="55"/>
      <c r="AF539" s="55"/>
      <c r="AG539" s="55"/>
      <c r="AH539" s="55"/>
      <c r="AI539" s="55"/>
      <c r="AJ539" s="55"/>
      <c r="AK539" s="55"/>
      <c r="AL539" s="55"/>
      <c r="AM539" s="55"/>
      <c r="AN539" s="55"/>
      <c r="AO539" s="55"/>
      <c r="AP539" s="55"/>
      <c r="AQ539" s="55"/>
      <c r="AR539" s="55"/>
      <c r="AS539" s="55"/>
      <c r="AT539" s="55"/>
      <c r="AU539" s="55"/>
      <c r="AV539" s="55"/>
      <c r="AW539" s="55"/>
      <c r="AX539" s="55"/>
      <c r="AY539" s="55"/>
      <c r="AZ539" s="55"/>
      <c r="BA539" s="55"/>
      <c r="BB539" s="55"/>
      <c r="BC539" s="55"/>
      <c r="BD539" s="55"/>
      <c r="BE539" s="55"/>
      <c r="BF539" s="55"/>
      <c r="BG539" s="55"/>
      <c r="BH539" s="55"/>
      <c r="BI539" s="55"/>
      <c r="BJ539" s="55"/>
      <c r="BK539" s="55"/>
      <c r="BL539" s="55"/>
      <c r="BM539" s="55"/>
      <c r="BN539" s="55"/>
      <c r="BO539" s="55"/>
      <c r="BP539" s="55"/>
      <c r="BQ539" s="55"/>
      <c r="BR539" s="55"/>
      <c r="BS539" s="55"/>
    </row>
    <row r="540" spans="3:71" outlineLevel="1" x14ac:dyDescent="0.2">
      <c r="C540" s="11" t="str">
        <f>HM_ZD_Moho!C562</f>
        <v>VAN cycle complet</v>
      </c>
      <c r="G540" s="60"/>
      <c r="H540" s="7" t="s">
        <v>504</v>
      </c>
      <c r="I540" s="65">
        <f t="shared" ca="1" si="164"/>
        <v>1064.5254380727392</v>
      </c>
      <c r="J540" s="26" t="s">
        <v>148</v>
      </c>
      <c r="L540" s="49">
        <f ca="1">OA_gov_CF_AM_3_2005*HM_ZD_AM3_2005!CA_disc_factor_fc</f>
        <v>579.02183234875167</v>
      </c>
      <c r="M540" s="49">
        <f ca="1">OA_gov_CF_AM_3_2005*HM_ZD_AM3_2005!CA_disc_factor_fc</f>
        <v>485.50360572398745</v>
      </c>
      <c r="N540" s="49">
        <f ca="1">OA_gov_CF_AM_3_2005*HM_ZD_AM3_2005!CA_disc_factor_fc</f>
        <v>0</v>
      </c>
      <c r="O540" s="49">
        <f ca="1">OA_gov_CF_AM_3_2005*HM_ZD_AM3_2005!CA_disc_factor_fc</f>
        <v>0</v>
      </c>
      <c r="P540" s="49">
        <f ca="1">OA_gov_CF_AM_3_2005*HM_ZD_AM3_2005!CA_disc_factor_fc</f>
        <v>0</v>
      </c>
      <c r="Q540" s="49">
        <f ca="1">OA_gov_CF_AM_3_2005*HM_ZD_AM3_2005!CA_disc_factor_fc</f>
        <v>0</v>
      </c>
      <c r="R540" s="49">
        <f ca="1">OA_gov_CF_AM_3_2005*HM_ZD_AM3_2005!CA_disc_factor_fc</f>
        <v>0</v>
      </c>
      <c r="S540" s="49">
        <f ca="1">OA_gov_CF_AM_3_2005*HM_ZD_AM3_2005!CA_disc_factor_fc</f>
        <v>0</v>
      </c>
      <c r="T540" s="49">
        <f ca="1">OA_gov_CF_AM_3_2005*HM_ZD_AM3_2005!CA_disc_factor_fc</f>
        <v>0</v>
      </c>
      <c r="U540" s="49">
        <f ca="1">OA_gov_CF_AM_3_2005*HM_ZD_AM3_2005!CA_disc_factor_fc</f>
        <v>0</v>
      </c>
      <c r="V540" s="49">
        <f ca="1">OA_gov_CF_AM_3_2005*HM_ZD_AM3_2005!CA_disc_factor_fc</f>
        <v>0</v>
      </c>
      <c r="W540" s="49">
        <f ca="1">OA_gov_CF_AM_3_2005*HM_ZD_AM3_2005!CA_disc_factor_fc</f>
        <v>0</v>
      </c>
      <c r="X540" s="49">
        <f ca="1">OA_gov_CF_AM_3_2005*HM_ZD_AM3_2005!CA_disc_factor_fc</f>
        <v>0</v>
      </c>
      <c r="Y540" s="49">
        <f ca="1">OA_gov_CF_AM_3_2005*HM_ZD_AM3_2005!CA_disc_factor_fc</f>
        <v>0</v>
      </c>
      <c r="Z540" s="49">
        <f ca="1">OA_gov_CF_AM_3_2005*HM_ZD_AM3_2005!CA_disc_factor_fc</f>
        <v>0</v>
      </c>
      <c r="AA540" s="49">
        <f ca="1">OA_gov_CF_AM_3_2005*HM_ZD_AM3_2005!CA_disc_factor_fc</f>
        <v>0</v>
      </c>
      <c r="AB540" s="49">
        <f ca="1">OA_gov_CF_AM_3_2005*HM_ZD_AM3_2005!CA_disc_factor_fc</f>
        <v>0</v>
      </c>
      <c r="AC540" s="49">
        <f ca="1">OA_gov_CF_AM_3_2005*HM_ZD_AM3_2005!CA_disc_factor_fc</f>
        <v>0</v>
      </c>
      <c r="AD540" s="49">
        <f ca="1">OA_gov_CF_AM_3_2005*HM_ZD_AM3_2005!CA_disc_factor_fc</f>
        <v>0</v>
      </c>
      <c r="AE540" s="49">
        <f ca="1">OA_gov_CF_AM_3_2005*HM_ZD_AM3_2005!CA_disc_factor_fc</f>
        <v>0</v>
      </c>
      <c r="AF540" s="49">
        <f ca="1">OA_gov_CF_AM_3_2005*HM_ZD_AM3_2005!CA_disc_factor_fc</f>
        <v>0</v>
      </c>
      <c r="AG540" s="49">
        <f ca="1">OA_gov_CF_AM_3_2005*HM_ZD_AM3_2005!CA_disc_factor_fc</f>
        <v>0</v>
      </c>
      <c r="AH540" s="49">
        <f ca="1">OA_gov_CF_AM_3_2005*HM_ZD_AM3_2005!CA_disc_factor_fc</f>
        <v>0</v>
      </c>
      <c r="AI540" s="49">
        <f ca="1">OA_gov_CF_AM_3_2005*HM_ZD_AM3_2005!CA_disc_factor_fc</f>
        <v>0</v>
      </c>
      <c r="AJ540" s="49">
        <f ca="1">OA_gov_CF_AM_3_2005*HM_ZD_AM3_2005!CA_disc_factor_fc</f>
        <v>0</v>
      </c>
      <c r="AK540" s="49">
        <f ca="1">OA_gov_CF_AM_3_2005*HM_ZD_AM3_2005!CA_disc_factor_fc</f>
        <v>0</v>
      </c>
      <c r="AL540" s="49">
        <f ca="1">OA_gov_CF_AM_3_2005*HM_ZD_AM3_2005!CA_disc_factor_fc</f>
        <v>0</v>
      </c>
      <c r="AM540" s="49">
        <f ca="1">OA_gov_CF_AM_3_2005*HM_ZD_AM3_2005!CA_disc_factor_fc</f>
        <v>0</v>
      </c>
      <c r="AN540" s="49">
        <f ca="1">OA_gov_CF_AM_3_2005*HM_ZD_AM3_2005!CA_disc_factor_fc</f>
        <v>0</v>
      </c>
      <c r="AO540" s="49">
        <f ca="1">OA_gov_CF_AM_3_2005*HM_ZD_AM3_2005!CA_disc_factor_fc</f>
        <v>0</v>
      </c>
      <c r="AP540" s="49">
        <f ca="1">OA_gov_CF_AM_3_2005*HM_ZD_AM3_2005!CA_disc_factor_fc</f>
        <v>0</v>
      </c>
      <c r="AQ540" s="49">
        <f ca="1">OA_gov_CF_AM_3_2005*HM_ZD_AM3_2005!CA_disc_factor_fc</f>
        <v>0</v>
      </c>
      <c r="AR540" s="49">
        <f ca="1">OA_gov_CF_AM_3_2005*HM_ZD_AM3_2005!CA_disc_factor_fc</f>
        <v>0</v>
      </c>
      <c r="AS540" s="49">
        <f ca="1">OA_gov_CF_AM_3_2005*HM_ZD_AM3_2005!CA_disc_factor_fc</f>
        <v>0</v>
      </c>
      <c r="AT540" s="49">
        <f ca="1">OA_gov_CF_AM_3_2005*HM_ZD_AM3_2005!CA_disc_factor_fc</f>
        <v>0</v>
      </c>
      <c r="AU540" s="49">
        <f ca="1">OA_gov_CF_AM_3_2005*HM_ZD_AM3_2005!CA_disc_factor_fc</f>
        <v>0</v>
      </c>
      <c r="AV540" s="49">
        <f ca="1">OA_gov_CF_AM_3_2005*HM_ZD_AM3_2005!CA_disc_factor_fc</f>
        <v>0</v>
      </c>
      <c r="AW540" s="49">
        <f ca="1">OA_gov_CF_AM_3_2005*HM_ZD_AM3_2005!CA_disc_factor_fc</f>
        <v>0</v>
      </c>
      <c r="AX540" s="49">
        <f ca="1">OA_gov_CF_AM_3_2005*HM_ZD_AM3_2005!CA_disc_factor_fc</f>
        <v>0</v>
      </c>
      <c r="AY540" s="49">
        <f ca="1">OA_gov_CF_AM_3_2005*HM_ZD_AM3_2005!CA_disc_factor_fc</f>
        <v>0</v>
      </c>
      <c r="AZ540" s="49">
        <f ca="1">OA_gov_CF_AM_3_2005*HM_ZD_AM3_2005!CA_disc_factor_fc</f>
        <v>0</v>
      </c>
      <c r="BA540" s="49">
        <f ca="1">OA_gov_CF_AM_3_2005*HM_ZD_AM3_2005!CA_disc_factor_fc</f>
        <v>0</v>
      </c>
      <c r="BB540" s="49">
        <f ca="1">OA_gov_CF_AM_3_2005*HM_ZD_AM3_2005!CA_disc_factor_fc</f>
        <v>0</v>
      </c>
      <c r="BC540" s="49">
        <f ca="1">OA_gov_CF_AM_3_2005*HM_ZD_AM3_2005!CA_disc_factor_fc</f>
        <v>0</v>
      </c>
      <c r="BD540" s="49">
        <f ca="1">OA_gov_CF_AM_3_2005*HM_ZD_AM3_2005!CA_disc_factor_fc</f>
        <v>0</v>
      </c>
      <c r="BE540" s="49">
        <f ca="1">OA_gov_CF_AM_3_2005*HM_ZD_AM3_2005!CA_disc_factor_fc</f>
        <v>0</v>
      </c>
      <c r="BF540" s="49">
        <f ca="1">OA_gov_CF_AM_3_2005*HM_ZD_AM3_2005!CA_disc_factor_fc</f>
        <v>0</v>
      </c>
      <c r="BG540" s="49">
        <f ca="1">OA_gov_CF_AM_3_2005*HM_ZD_AM3_2005!CA_disc_factor_fc</f>
        <v>0</v>
      </c>
      <c r="BH540" s="49">
        <f ca="1">OA_gov_CF_AM_3_2005*HM_ZD_AM3_2005!CA_disc_factor_fc</f>
        <v>0</v>
      </c>
      <c r="BI540" s="49">
        <f ca="1">OA_gov_CF_AM_3_2005*HM_ZD_AM3_2005!CA_disc_factor_fc</f>
        <v>0</v>
      </c>
      <c r="BJ540" s="49">
        <f ca="1">OA_gov_CF_AM_3_2005*HM_ZD_AM3_2005!CA_disc_factor_fc</f>
        <v>0</v>
      </c>
      <c r="BK540" s="49">
        <f ca="1">OA_gov_CF_AM_3_2005*HM_ZD_AM3_2005!CA_disc_factor_fc</f>
        <v>0</v>
      </c>
      <c r="BL540" s="49">
        <f ca="1">OA_gov_CF_AM_3_2005*HM_ZD_AM3_2005!CA_disc_factor_fc</f>
        <v>0</v>
      </c>
      <c r="BM540" s="49">
        <f ca="1">OA_gov_CF_AM_3_2005*HM_ZD_AM3_2005!CA_disc_factor_fc</f>
        <v>0</v>
      </c>
      <c r="BN540" s="49">
        <f ca="1">OA_gov_CF_AM_3_2005*HM_ZD_AM3_2005!CA_disc_factor_fc</f>
        <v>0</v>
      </c>
      <c r="BO540" s="49">
        <f ca="1">OA_gov_CF_AM_3_2005*HM_ZD_AM3_2005!CA_disc_factor_fc</f>
        <v>0</v>
      </c>
      <c r="BP540" s="49">
        <f ca="1">OA_gov_CF_AM_3_2005*HM_ZD_AM3_2005!CA_disc_factor_fc</f>
        <v>0</v>
      </c>
      <c r="BQ540" s="49">
        <f ca="1">OA_gov_CF_AM_3_2005*HM_ZD_AM3_2005!CA_disc_factor_fc</f>
        <v>0</v>
      </c>
      <c r="BR540" s="49">
        <f ca="1">OA_gov_CF_AM_3_2005*HM_ZD_AM3_2005!CA_disc_factor_fc</f>
        <v>0</v>
      </c>
      <c r="BS540" s="49">
        <f ca="1">OA_gov_CF_AM_3_2005*HM_ZD_AM3_2005!CA_disc_factor_fc</f>
        <v>0</v>
      </c>
    </row>
    <row r="541" spans="3:71" outlineLevel="1" x14ac:dyDescent="0.2">
      <c r="C541" s="11" t="str">
        <f>HM_ZD_Moho!C563</f>
        <v>VAN à terme</v>
      </c>
      <c r="I541" s="65">
        <f t="shared" ca="1" si="164"/>
        <v>0</v>
      </c>
      <c r="J541" s="26" t="s">
        <v>148</v>
      </c>
      <c r="L541" s="49">
        <f ca="1">OA_gov_CF_AM_3_2005*HM_ZD_AM3_2005!CA_disc_factor_pf</f>
        <v>0</v>
      </c>
      <c r="M541" s="49">
        <f ca="1">OA_gov_CF_AM_3_2005*HM_ZD_AM3_2005!CA_disc_factor_pf</f>
        <v>0</v>
      </c>
      <c r="N541" s="49">
        <f ca="1">OA_gov_CF_AM_3_2005*HM_ZD_AM3_2005!CA_disc_factor_pf</f>
        <v>0</v>
      </c>
      <c r="O541" s="49">
        <f ca="1">OA_gov_CF_AM_3_2005*HM_ZD_AM3_2005!CA_disc_factor_pf</f>
        <v>0</v>
      </c>
      <c r="P541" s="49">
        <f ca="1">OA_gov_CF_AM_3_2005*HM_ZD_AM3_2005!CA_disc_factor_pf</f>
        <v>0</v>
      </c>
      <c r="Q541" s="49">
        <f ca="1">OA_gov_CF_AM_3_2005*HM_ZD_AM3_2005!CA_disc_factor_pf</f>
        <v>0</v>
      </c>
      <c r="R541" s="49">
        <f ca="1">OA_gov_CF_AM_3_2005*HM_ZD_AM3_2005!CA_disc_factor_pf</f>
        <v>0</v>
      </c>
      <c r="S541" s="49">
        <f ca="1">OA_gov_CF_AM_3_2005*HM_ZD_AM3_2005!CA_disc_factor_pf</f>
        <v>0</v>
      </c>
      <c r="T541" s="49">
        <f ca="1">OA_gov_CF_AM_3_2005*HM_ZD_AM3_2005!CA_disc_factor_pf</f>
        <v>0</v>
      </c>
      <c r="U541" s="49">
        <f ca="1">OA_gov_CF_AM_3_2005*HM_ZD_AM3_2005!CA_disc_factor_pf</f>
        <v>0</v>
      </c>
      <c r="V541" s="49">
        <f ca="1">OA_gov_CF_AM_3_2005*HM_ZD_AM3_2005!CA_disc_factor_pf</f>
        <v>0</v>
      </c>
      <c r="W541" s="49">
        <f ca="1">OA_gov_CF_AM_3_2005*HM_ZD_AM3_2005!CA_disc_factor_pf</f>
        <v>0</v>
      </c>
      <c r="X541" s="49">
        <f ca="1">OA_gov_CF_AM_3_2005*HM_ZD_AM3_2005!CA_disc_factor_pf</f>
        <v>0</v>
      </c>
      <c r="Y541" s="49">
        <f ca="1">OA_gov_CF_AM_3_2005*HM_ZD_AM3_2005!CA_disc_factor_pf</f>
        <v>0</v>
      </c>
      <c r="Z541" s="49">
        <f ca="1">OA_gov_CF_AM_3_2005*HM_ZD_AM3_2005!CA_disc_factor_pf</f>
        <v>0</v>
      </c>
      <c r="AA541" s="49">
        <f ca="1">OA_gov_CF_AM_3_2005*HM_ZD_AM3_2005!CA_disc_factor_pf</f>
        <v>0</v>
      </c>
      <c r="AB541" s="49">
        <f ca="1">OA_gov_CF_AM_3_2005*HM_ZD_AM3_2005!CA_disc_factor_pf</f>
        <v>0</v>
      </c>
      <c r="AC541" s="49">
        <f ca="1">OA_gov_CF_AM_3_2005*HM_ZD_AM3_2005!CA_disc_factor_pf</f>
        <v>0</v>
      </c>
      <c r="AD541" s="49">
        <f ca="1">OA_gov_CF_AM_3_2005*HM_ZD_AM3_2005!CA_disc_factor_pf</f>
        <v>0</v>
      </c>
      <c r="AE541" s="49">
        <f ca="1">OA_gov_CF_AM_3_2005*HM_ZD_AM3_2005!CA_disc_factor_pf</f>
        <v>0</v>
      </c>
      <c r="AF541" s="49">
        <f ca="1">OA_gov_CF_AM_3_2005*HM_ZD_AM3_2005!CA_disc_factor_pf</f>
        <v>0</v>
      </c>
      <c r="AG541" s="49">
        <f ca="1">OA_gov_CF_AM_3_2005*HM_ZD_AM3_2005!CA_disc_factor_pf</f>
        <v>0</v>
      </c>
      <c r="AH541" s="49">
        <f ca="1">OA_gov_CF_AM_3_2005*HM_ZD_AM3_2005!CA_disc_factor_pf</f>
        <v>0</v>
      </c>
      <c r="AI541" s="49">
        <f ca="1">OA_gov_CF_AM_3_2005*HM_ZD_AM3_2005!CA_disc_factor_pf</f>
        <v>0</v>
      </c>
      <c r="AJ541" s="49">
        <f ca="1">OA_gov_CF_AM_3_2005*HM_ZD_AM3_2005!CA_disc_factor_pf</f>
        <v>0</v>
      </c>
      <c r="AK541" s="49">
        <f ca="1">OA_gov_CF_AM_3_2005*HM_ZD_AM3_2005!CA_disc_factor_pf</f>
        <v>0</v>
      </c>
      <c r="AL541" s="49">
        <f ca="1">OA_gov_CF_AM_3_2005*HM_ZD_AM3_2005!CA_disc_factor_pf</f>
        <v>0</v>
      </c>
      <c r="AM541" s="49">
        <f ca="1">OA_gov_CF_AM_3_2005*HM_ZD_AM3_2005!CA_disc_factor_pf</f>
        <v>0</v>
      </c>
      <c r="AN541" s="49">
        <f ca="1">OA_gov_CF_AM_3_2005*HM_ZD_AM3_2005!CA_disc_factor_pf</f>
        <v>0</v>
      </c>
      <c r="AO541" s="49">
        <f ca="1">OA_gov_CF_AM_3_2005*HM_ZD_AM3_2005!CA_disc_factor_pf</f>
        <v>0</v>
      </c>
      <c r="AP541" s="49">
        <f ca="1">OA_gov_CF_AM_3_2005*HM_ZD_AM3_2005!CA_disc_factor_pf</f>
        <v>0</v>
      </c>
      <c r="AQ541" s="49">
        <f ca="1">OA_gov_CF_AM_3_2005*HM_ZD_AM3_2005!CA_disc_factor_pf</f>
        <v>0</v>
      </c>
      <c r="AR541" s="49">
        <f ca="1">OA_gov_CF_AM_3_2005*HM_ZD_AM3_2005!CA_disc_factor_pf</f>
        <v>0</v>
      </c>
      <c r="AS541" s="49">
        <f ca="1">OA_gov_CF_AM_3_2005*HM_ZD_AM3_2005!CA_disc_factor_pf</f>
        <v>0</v>
      </c>
      <c r="AT541" s="49">
        <f ca="1">OA_gov_CF_AM_3_2005*HM_ZD_AM3_2005!CA_disc_factor_pf</f>
        <v>0</v>
      </c>
      <c r="AU541" s="49">
        <f ca="1">OA_gov_CF_AM_3_2005*HM_ZD_AM3_2005!CA_disc_factor_pf</f>
        <v>0</v>
      </c>
      <c r="AV541" s="49">
        <f ca="1">OA_gov_CF_AM_3_2005*HM_ZD_AM3_2005!CA_disc_factor_pf</f>
        <v>0</v>
      </c>
      <c r="AW541" s="49">
        <f ca="1">OA_gov_CF_AM_3_2005*HM_ZD_AM3_2005!CA_disc_factor_pf</f>
        <v>0</v>
      </c>
      <c r="AX541" s="49">
        <f ca="1">OA_gov_CF_AM_3_2005*HM_ZD_AM3_2005!CA_disc_factor_pf</f>
        <v>0</v>
      </c>
      <c r="AY541" s="49">
        <f ca="1">OA_gov_CF_AM_3_2005*HM_ZD_AM3_2005!CA_disc_factor_pf</f>
        <v>0</v>
      </c>
      <c r="AZ541" s="49">
        <f ca="1">OA_gov_CF_AM_3_2005*HM_ZD_AM3_2005!CA_disc_factor_pf</f>
        <v>0</v>
      </c>
      <c r="BA541" s="49">
        <f ca="1">OA_gov_CF_AM_3_2005*HM_ZD_AM3_2005!CA_disc_factor_pf</f>
        <v>0</v>
      </c>
      <c r="BB541" s="49">
        <f ca="1">OA_gov_CF_AM_3_2005*HM_ZD_AM3_2005!CA_disc_factor_pf</f>
        <v>0</v>
      </c>
      <c r="BC541" s="49">
        <f ca="1">OA_gov_CF_AM_3_2005*HM_ZD_AM3_2005!CA_disc_factor_pf</f>
        <v>0</v>
      </c>
      <c r="BD541" s="49">
        <f ca="1">OA_gov_CF_AM_3_2005*HM_ZD_AM3_2005!CA_disc_factor_pf</f>
        <v>0</v>
      </c>
      <c r="BE541" s="49">
        <f ca="1">OA_gov_CF_AM_3_2005*HM_ZD_AM3_2005!CA_disc_factor_pf</f>
        <v>0</v>
      </c>
      <c r="BF541" s="49">
        <f ca="1">OA_gov_CF_AM_3_2005*HM_ZD_AM3_2005!CA_disc_factor_pf</f>
        <v>0</v>
      </c>
      <c r="BG541" s="49">
        <f ca="1">OA_gov_CF_AM_3_2005*HM_ZD_AM3_2005!CA_disc_factor_pf</f>
        <v>0</v>
      </c>
      <c r="BH541" s="49">
        <f ca="1">OA_gov_CF_AM_3_2005*HM_ZD_AM3_2005!CA_disc_factor_pf</f>
        <v>0</v>
      </c>
      <c r="BI541" s="49">
        <f ca="1">OA_gov_CF_AM_3_2005*HM_ZD_AM3_2005!CA_disc_factor_pf</f>
        <v>0</v>
      </c>
      <c r="BJ541" s="49">
        <f ca="1">OA_gov_CF_AM_3_2005*HM_ZD_AM3_2005!CA_disc_factor_pf</f>
        <v>0</v>
      </c>
      <c r="BK541" s="49">
        <f ca="1">OA_gov_CF_AM_3_2005*HM_ZD_AM3_2005!CA_disc_factor_pf</f>
        <v>0</v>
      </c>
      <c r="BL541" s="49">
        <f ca="1">OA_gov_CF_AM_3_2005*HM_ZD_AM3_2005!CA_disc_factor_pf</f>
        <v>0</v>
      </c>
      <c r="BM541" s="49">
        <f ca="1">OA_gov_CF_AM_3_2005*HM_ZD_AM3_2005!CA_disc_factor_pf</f>
        <v>0</v>
      </c>
      <c r="BN541" s="49">
        <f ca="1">OA_gov_CF_AM_3_2005*HM_ZD_AM3_2005!CA_disc_factor_pf</f>
        <v>0</v>
      </c>
      <c r="BO541" s="49">
        <f ca="1">OA_gov_CF_AM_3_2005*HM_ZD_AM3_2005!CA_disc_factor_pf</f>
        <v>0</v>
      </c>
      <c r="BP541" s="49">
        <f ca="1">OA_gov_CF_AM_3_2005*HM_ZD_AM3_2005!CA_disc_factor_pf</f>
        <v>0</v>
      </c>
      <c r="BQ541" s="49">
        <f ca="1">OA_gov_CF_AM_3_2005*HM_ZD_AM3_2005!CA_disc_factor_pf</f>
        <v>0</v>
      </c>
      <c r="BR541" s="49">
        <f ca="1">OA_gov_CF_AM_3_2005*HM_ZD_AM3_2005!CA_disc_factor_pf</f>
        <v>0</v>
      </c>
      <c r="BS541" s="49">
        <f ca="1">OA_gov_CF_AM_3_2005*HM_ZD_AM3_2005!CA_disc_factor_pf</f>
        <v>0</v>
      </c>
    </row>
    <row r="542" spans="3:71" outlineLevel="1" x14ac:dyDescent="0.2">
      <c r="I542" s="61"/>
      <c r="J542" s="26"/>
      <c r="L542" s="55"/>
      <c r="M542" s="55"/>
      <c r="N542" s="55"/>
      <c r="O542" s="55"/>
      <c r="P542" s="55"/>
      <c r="Q542" s="55"/>
      <c r="R542" s="55"/>
      <c r="S542" s="55"/>
      <c r="T542" s="55"/>
      <c r="U542" s="55"/>
      <c r="V542" s="55"/>
      <c r="W542" s="55"/>
      <c r="X542" s="55"/>
      <c r="Y542" s="55"/>
      <c r="Z542" s="55"/>
      <c r="AA542" s="55"/>
      <c r="AB542" s="55"/>
      <c r="AC542" s="55"/>
      <c r="AD542" s="55"/>
      <c r="AE542" s="55"/>
      <c r="AF542" s="55"/>
      <c r="AG542" s="55"/>
      <c r="AH542" s="55"/>
      <c r="AI542" s="55"/>
      <c r="AJ542" s="55"/>
      <c r="AK542" s="55"/>
      <c r="AL542" s="55"/>
      <c r="AM542" s="55"/>
      <c r="AN542" s="55"/>
      <c r="AO542" s="55"/>
      <c r="AP542" s="55"/>
      <c r="AQ542" s="55"/>
      <c r="AR542" s="55"/>
      <c r="AS542" s="55"/>
      <c r="AT542" s="55"/>
      <c r="AU542" s="55"/>
      <c r="AV542" s="55"/>
      <c r="AW542" s="55"/>
      <c r="AX542" s="55"/>
      <c r="AY542" s="55"/>
      <c r="AZ542" s="55"/>
      <c r="BA542" s="55"/>
      <c r="BB542" s="55"/>
      <c r="BC542" s="55"/>
      <c r="BD542" s="55"/>
      <c r="BE542" s="55"/>
      <c r="BF542" s="55"/>
      <c r="BG542" s="55"/>
      <c r="BH542" s="55"/>
      <c r="BI542" s="55"/>
      <c r="BJ542" s="55"/>
      <c r="BK542" s="55"/>
      <c r="BL542" s="55"/>
      <c r="BM542" s="55"/>
      <c r="BN542" s="55"/>
      <c r="BO542" s="55"/>
      <c r="BP542" s="55"/>
      <c r="BQ542" s="55"/>
      <c r="BR542" s="55"/>
      <c r="BS542" s="55"/>
    </row>
    <row r="543" spans="3:71" outlineLevel="1" x14ac:dyDescent="0.2">
      <c r="C543" s="11" t="str">
        <f>HM_ZD_Moho!C565</f>
        <v>TRI cycle complet</v>
      </c>
      <c r="I543" s="62" t="str">
        <f ca="1">IFERROR(IRR(INDEX(OA_gov_CF_AM_3_2005,1,MAX(1,$G$403-L4+1)):INDEX(OA_gov_CF_AM_3_2005,1,last_model_year)),"na")</f>
        <v>na</v>
      </c>
      <c r="J543" s="26" t="s">
        <v>90</v>
      </c>
      <c r="L543" s="55"/>
      <c r="M543" s="55"/>
      <c r="N543" s="55"/>
      <c r="O543" s="55"/>
      <c r="P543" s="55"/>
      <c r="Q543" s="55"/>
      <c r="R543" s="55"/>
      <c r="S543" s="55"/>
      <c r="T543" s="55"/>
      <c r="U543" s="55"/>
      <c r="V543" s="55"/>
      <c r="W543" s="55"/>
      <c r="X543" s="55"/>
      <c r="Y543" s="55"/>
      <c r="Z543" s="55"/>
      <c r="AA543" s="55"/>
      <c r="AB543" s="55"/>
      <c r="AC543" s="55"/>
      <c r="AD543" s="55"/>
      <c r="AE543" s="55"/>
      <c r="AF543" s="55"/>
      <c r="AG543" s="55"/>
      <c r="AH543" s="55"/>
      <c r="AI543" s="55"/>
      <c r="AJ543" s="55"/>
      <c r="AK543" s="55"/>
      <c r="AL543" s="55"/>
      <c r="AM543" s="55"/>
      <c r="AN543" s="55"/>
      <c r="AO543" s="55"/>
      <c r="AP543" s="55"/>
      <c r="AQ543" s="55"/>
      <c r="AR543" s="55"/>
      <c r="AS543" s="55"/>
      <c r="AT543" s="55"/>
      <c r="AU543" s="55"/>
      <c r="AV543" s="55"/>
      <c r="AW543" s="55"/>
      <c r="AX543" s="55"/>
      <c r="AY543" s="55"/>
      <c r="AZ543" s="55"/>
      <c r="BA543" s="55"/>
      <c r="BB543" s="55"/>
      <c r="BC543" s="55"/>
      <c r="BD543" s="55"/>
      <c r="BE543" s="55"/>
      <c r="BF543" s="55"/>
      <c r="BG543" s="55"/>
      <c r="BH543" s="55"/>
      <c r="BI543" s="55"/>
      <c r="BJ543" s="55"/>
      <c r="BK543" s="55"/>
      <c r="BL543" s="55"/>
      <c r="BM543" s="55"/>
      <c r="BN543" s="55"/>
      <c r="BO543" s="55"/>
      <c r="BP543" s="55"/>
      <c r="BQ543" s="55"/>
      <c r="BR543" s="55"/>
      <c r="BS543" s="55"/>
    </row>
    <row r="544" spans="3:71" outlineLevel="1" x14ac:dyDescent="0.2">
      <c r="C544" s="11" t="str">
        <f>HM_ZD_Moho!C566</f>
        <v>TRI à terme</v>
      </c>
      <c r="I544" s="62" t="str">
        <f ca="1">IFERROR(IRR(INDEX(OA_gov_CF_AM_3_2005,1,MAX(1,$G$404-L4+1)):INDEX(OA_gov_CF_AM_3_2005,1,last_model_year)),"na")</f>
        <v>na</v>
      </c>
      <c r="J544" s="26" t="s">
        <v>90</v>
      </c>
      <c r="L544" s="55"/>
      <c r="M544" s="55"/>
      <c r="N544" s="55"/>
      <c r="O544" s="55"/>
      <c r="P544" s="55"/>
      <c r="Q544" s="55"/>
      <c r="R544" s="55"/>
      <c r="S544" s="55"/>
      <c r="T544" s="55"/>
      <c r="U544" s="55"/>
      <c r="V544" s="55"/>
      <c r="W544" s="55"/>
      <c r="X544" s="55"/>
      <c r="Y544" s="55"/>
      <c r="Z544" s="55"/>
      <c r="AA544" s="55"/>
      <c r="AB544" s="55"/>
      <c r="AC544" s="55"/>
      <c r="AD544" s="55"/>
      <c r="AE544" s="55"/>
      <c r="AF544" s="55"/>
      <c r="AG544" s="55"/>
      <c r="AH544" s="55"/>
      <c r="AI544" s="55"/>
      <c r="AJ544" s="55"/>
      <c r="AK544" s="55"/>
      <c r="AL544" s="55"/>
      <c r="AM544" s="55"/>
      <c r="AN544" s="55"/>
      <c r="AO544" s="55"/>
      <c r="AP544" s="55"/>
      <c r="AQ544" s="55"/>
      <c r="AR544" s="55"/>
      <c r="AS544" s="55"/>
      <c r="AT544" s="55"/>
      <c r="AU544" s="55"/>
      <c r="AV544" s="55"/>
      <c r="AW544" s="55"/>
      <c r="AX544" s="55"/>
      <c r="AY544" s="55"/>
      <c r="AZ544" s="55"/>
      <c r="BA544" s="55"/>
      <c r="BB544" s="55"/>
      <c r="BC544" s="55"/>
      <c r="BD544" s="55"/>
      <c r="BE544" s="55"/>
      <c r="BF544" s="55"/>
      <c r="BG544" s="55"/>
      <c r="BH544" s="55"/>
      <c r="BI544" s="55"/>
      <c r="BJ544" s="55"/>
      <c r="BK544" s="55"/>
      <c r="BL544" s="55"/>
      <c r="BM544" s="55"/>
      <c r="BN544" s="55"/>
      <c r="BO544" s="55"/>
      <c r="BP544" s="55"/>
      <c r="BQ544" s="55"/>
      <c r="BR544" s="55"/>
      <c r="BS544" s="55"/>
    </row>
    <row r="545" spans="3:71" outlineLevel="1" x14ac:dyDescent="0.2">
      <c r="J545" s="26"/>
      <c r="L545" s="55"/>
      <c r="M545" s="55"/>
      <c r="N545" s="55"/>
      <c r="O545" s="55"/>
      <c r="P545" s="55"/>
      <c r="Q545" s="55"/>
      <c r="R545" s="55"/>
      <c r="S545" s="55"/>
      <c r="T545" s="55"/>
      <c r="U545" s="55"/>
      <c r="V545" s="55"/>
      <c r="W545" s="55"/>
      <c r="X545" s="55"/>
      <c r="Y545" s="55"/>
      <c r="Z545" s="55"/>
      <c r="AA545" s="55"/>
      <c r="AB545" s="55"/>
      <c r="AC545" s="55"/>
      <c r="AD545" s="55"/>
      <c r="AE545" s="55"/>
      <c r="AF545" s="55"/>
      <c r="AG545" s="55"/>
      <c r="AH545" s="55"/>
      <c r="AI545" s="55"/>
      <c r="AJ545" s="55"/>
      <c r="AK545" s="55"/>
      <c r="AL545" s="55"/>
      <c r="AM545" s="55"/>
      <c r="AN545" s="55"/>
      <c r="AO545" s="55"/>
      <c r="AP545" s="55"/>
      <c r="AQ545" s="55"/>
      <c r="AR545" s="55"/>
      <c r="AS545" s="55"/>
      <c r="AT545" s="55"/>
      <c r="AU545" s="55"/>
      <c r="AV545" s="55"/>
      <c r="AW545" s="55"/>
      <c r="AX545" s="55"/>
      <c r="AY545" s="55"/>
      <c r="AZ545" s="55"/>
      <c r="BA545" s="55"/>
      <c r="BB545" s="55"/>
      <c r="BC545" s="55"/>
      <c r="BD545" s="55"/>
      <c r="BE545" s="55"/>
      <c r="BF545" s="55"/>
      <c r="BG545" s="55"/>
      <c r="BH545" s="55"/>
      <c r="BI545" s="55"/>
      <c r="BJ545" s="55"/>
      <c r="BK545" s="55"/>
      <c r="BL545" s="55"/>
      <c r="BM545" s="55"/>
      <c r="BN545" s="55"/>
      <c r="BO545" s="55"/>
      <c r="BP545" s="55"/>
      <c r="BQ545" s="55"/>
      <c r="BR545" s="55"/>
      <c r="BS545" s="55"/>
    </row>
    <row r="546" spans="3:71" outlineLevel="1" x14ac:dyDescent="0.2">
      <c r="C546" s="11" t="str">
        <f>HM_ZD_Moho!C568</f>
        <v>Part nominale du Gouv. (%)</v>
      </c>
      <c r="H546" s="7" t="s">
        <v>505</v>
      </c>
      <c r="I546" s="62">
        <f ca="1">IFERROR(I538/I428,0)</f>
        <v>-36.950313232236709</v>
      </c>
      <c r="J546" s="26" t="s">
        <v>90</v>
      </c>
      <c r="L546" s="55"/>
      <c r="M546" s="55"/>
      <c r="N546" s="55"/>
      <c r="O546" s="55"/>
      <c r="P546" s="55"/>
      <c r="Q546" s="55"/>
      <c r="R546" s="55"/>
      <c r="S546" s="55"/>
      <c r="T546" s="55"/>
      <c r="U546" s="55"/>
      <c r="V546" s="55"/>
      <c r="W546" s="55"/>
      <c r="X546" s="55"/>
      <c r="Y546" s="55"/>
      <c r="Z546" s="55"/>
      <c r="AA546" s="55"/>
      <c r="AB546" s="55"/>
      <c r="AC546" s="55"/>
      <c r="AD546" s="55"/>
      <c r="AE546" s="55"/>
      <c r="AF546" s="55"/>
      <c r="AG546" s="55"/>
      <c r="AH546" s="55"/>
      <c r="AI546" s="55"/>
      <c r="AJ546" s="55"/>
      <c r="AK546" s="55"/>
      <c r="AL546" s="55"/>
      <c r="AM546" s="55"/>
      <c r="AN546" s="55"/>
      <c r="AO546" s="55"/>
      <c r="AP546" s="55"/>
      <c r="AQ546" s="55"/>
      <c r="AR546" s="55"/>
      <c r="AS546" s="55"/>
      <c r="AT546" s="55"/>
      <c r="AU546" s="55"/>
      <c r="AV546" s="55"/>
      <c r="AW546" s="55"/>
      <c r="AX546" s="55"/>
      <c r="AY546" s="55"/>
      <c r="AZ546" s="55"/>
      <c r="BA546" s="55"/>
      <c r="BB546" s="55"/>
      <c r="BC546" s="55"/>
      <c r="BD546" s="55"/>
      <c r="BE546" s="55"/>
      <c r="BF546" s="55"/>
      <c r="BG546" s="55"/>
      <c r="BH546" s="55"/>
      <c r="BI546" s="55"/>
      <c r="BJ546" s="55"/>
      <c r="BK546" s="55"/>
      <c r="BL546" s="55"/>
      <c r="BM546" s="55"/>
      <c r="BN546" s="55"/>
      <c r="BO546" s="55"/>
      <c r="BP546" s="55"/>
      <c r="BQ546" s="55"/>
      <c r="BR546" s="55"/>
      <c r="BS546" s="55"/>
    </row>
    <row r="547" spans="3:71" outlineLevel="1" x14ac:dyDescent="0.2">
      <c r="J547" s="26"/>
      <c r="L547" s="55"/>
      <c r="M547" s="55"/>
      <c r="N547" s="55"/>
      <c r="O547" s="55"/>
      <c r="P547" s="55"/>
      <c r="Q547" s="55"/>
      <c r="R547" s="55"/>
      <c r="S547" s="55"/>
      <c r="T547" s="55"/>
      <c r="U547" s="55"/>
      <c r="V547" s="55"/>
      <c r="W547" s="55"/>
      <c r="X547" s="55"/>
      <c r="Y547" s="55"/>
      <c r="Z547" s="55"/>
      <c r="AA547" s="55"/>
      <c r="AB547" s="55"/>
      <c r="AC547" s="55"/>
      <c r="AD547" s="55"/>
      <c r="AE547" s="55"/>
      <c r="AF547" s="55"/>
      <c r="AG547" s="55"/>
      <c r="AH547" s="55"/>
      <c r="AI547" s="55"/>
      <c r="AJ547" s="55"/>
      <c r="AK547" s="55"/>
      <c r="AL547" s="55"/>
      <c r="AM547" s="55"/>
      <c r="AN547" s="55"/>
      <c r="AO547" s="55"/>
      <c r="AP547" s="55"/>
      <c r="AQ547" s="55"/>
      <c r="AR547" s="55"/>
      <c r="AS547" s="55"/>
      <c r="AT547" s="55"/>
      <c r="AU547" s="55"/>
      <c r="AV547" s="55"/>
      <c r="AW547" s="55"/>
      <c r="AX547" s="55"/>
      <c r="AY547" s="55"/>
      <c r="AZ547" s="55"/>
      <c r="BA547" s="55"/>
      <c r="BB547" s="55"/>
      <c r="BC547" s="55"/>
      <c r="BD547" s="55"/>
      <c r="BE547" s="55"/>
      <c r="BF547" s="55"/>
      <c r="BG547" s="55"/>
      <c r="BH547" s="55"/>
      <c r="BI547" s="55"/>
      <c r="BJ547" s="55"/>
      <c r="BK547" s="55"/>
      <c r="BL547" s="55"/>
      <c r="BM547" s="55"/>
      <c r="BN547" s="55"/>
      <c r="BO547" s="55"/>
      <c r="BP547" s="55"/>
      <c r="BQ547" s="55"/>
      <c r="BR547" s="55"/>
      <c r="BS547" s="55"/>
    </row>
    <row r="548" spans="3:71" outlineLevel="1" x14ac:dyDescent="0.2">
      <c r="C548" s="11" t="str">
        <f>HM_ZD_Moho!C570</f>
        <v>Part nominale de l'État (%)</v>
      </c>
      <c r="H548" s="7" t="s">
        <v>506</v>
      </c>
      <c r="I548" s="62">
        <f ca="1">IFERROR(SUM(gov_CF_AM_3_2005,I507)/I428,0)</f>
        <v>-36.752055742709381</v>
      </c>
      <c r="J548" s="26"/>
      <c r="L548" s="55"/>
      <c r="M548" s="55"/>
      <c r="N548" s="55"/>
      <c r="O548" s="55"/>
      <c r="P548" s="55"/>
      <c r="Q548" s="55"/>
      <c r="R548" s="55"/>
      <c r="S548" s="55"/>
      <c r="T548" s="55"/>
      <c r="U548" s="55"/>
      <c r="V548" s="55"/>
      <c r="W548" s="55"/>
      <c r="X548" s="55"/>
      <c r="Y548" s="55"/>
      <c r="Z548" s="55"/>
      <c r="AA548" s="55"/>
      <c r="AB548" s="55"/>
      <c r="AC548" s="55"/>
      <c r="AD548" s="55"/>
      <c r="AE548" s="55"/>
      <c r="AF548" s="55"/>
      <c r="AG548" s="55"/>
      <c r="AH548" s="55"/>
      <c r="AI548" s="55"/>
      <c r="AJ548" s="55"/>
      <c r="AK548" s="55"/>
      <c r="AL548" s="55"/>
      <c r="AM548" s="55"/>
      <c r="AN548" s="55"/>
      <c r="AO548" s="55"/>
      <c r="AP548" s="55"/>
      <c r="AQ548" s="55"/>
      <c r="AR548" s="55"/>
      <c r="AS548" s="55"/>
      <c r="AT548" s="55"/>
      <c r="AU548" s="55"/>
      <c r="AV548" s="55"/>
      <c r="AW548" s="55"/>
      <c r="AX548" s="55"/>
      <c r="AY548" s="55"/>
      <c r="AZ548" s="55"/>
      <c r="BA548" s="55"/>
      <c r="BB548" s="55"/>
      <c r="BC548" s="55"/>
      <c r="BD548" s="55"/>
      <c r="BE548" s="55"/>
      <c r="BF548" s="55"/>
      <c r="BG548" s="55"/>
      <c r="BH548" s="55"/>
      <c r="BI548" s="55"/>
      <c r="BJ548" s="55"/>
      <c r="BK548" s="55"/>
      <c r="BL548" s="55"/>
      <c r="BM548" s="55"/>
      <c r="BN548" s="55"/>
      <c r="BO548" s="55"/>
      <c r="BP548" s="55"/>
      <c r="BQ548" s="55"/>
      <c r="BR548" s="55"/>
      <c r="BS548" s="55"/>
    </row>
    <row r="549" spans="3:71" outlineLevel="1" x14ac:dyDescent="0.2">
      <c r="J549" s="26"/>
      <c r="L549" s="55"/>
      <c r="M549" s="55"/>
      <c r="N549" s="55"/>
      <c r="O549" s="55"/>
      <c r="P549" s="55"/>
      <c r="Q549" s="55"/>
      <c r="R549" s="55"/>
      <c r="S549" s="55"/>
      <c r="T549" s="55"/>
      <c r="U549" s="55"/>
      <c r="V549" s="55"/>
      <c r="W549" s="55"/>
      <c r="X549" s="55"/>
      <c r="Y549" s="55"/>
      <c r="Z549" s="55"/>
      <c r="AA549" s="55"/>
      <c r="AB549" s="55"/>
      <c r="AC549" s="55"/>
      <c r="AD549" s="55"/>
      <c r="AE549" s="55"/>
      <c r="AF549" s="55"/>
      <c r="AG549" s="55"/>
      <c r="AH549" s="55"/>
      <c r="AI549" s="55"/>
      <c r="AJ549" s="55"/>
      <c r="AK549" s="55"/>
      <c r="AL549" s="55"/>
      <c r="AM549" s="55"/>
      <c r="AN549" s="55"/>
      <c r="AO549" s="55"/>
      <c r="AP549" s="55"/>
      <c r="AQ549" s="55"/>
      <c r="AR549" s="55"/>
      <c r="AS549" s="55"/>
      <c r="AT549" s="55"/>
      <c r="AU549" s="55"/>
      <c r="AV549" s="55"/>
      <c r="AW549" s="55"/>
      <c r="AX549" s="55"/>
      <c r="AY549" s="55"/>
      <c r="AZ549" s="55"/>
      <c r="BA549" s="55"/>
      <c r="BB549" s="55"/>
      <c r="BC549" s="55"/>
      <c r="BD549" s="55"/>
      <c r="BE549" s="55"/>
      <c r="BF549" s="55"/>
      <c r="BG549" s="55"/>
      <c r="BH549" s="55"/>
      <c r="BI549" s="55"/>
      <c r="BJ549" s="55"/>
      <c r="BK549" s="55"/>
      <c r="BL549" s="55"/>
      <c r="BM549" s="55"/>
      <c r="BN549" s="55"/>
      <c r="BO549" s="55"/>
      <c r="BP549" s="55"/>
      <c r="BQ549" s="55"/>
      <c r="BR549" s="55"/>
      <c r="BS549" s="55"/>
    </row>
    <row r="550" spans="3:71" outlineLevel="1" x14ac:dyDescent="0.2">
      <c r="C550" s="11" t="str">
        <f>HM_ZD_Moho!C572</f>
        <v>Annuité annuelle effective</v>
      </c>
      <c r="H550" s="7" t="s">
        <v>507</v>
      </c>
      <c r="I550" s="65">
        <f ca="1">(input_DiscRate_nom*$I$540)/(1-(1+input_DiscRate_nom)^-COUNTIF(HM_ZD_AM3_2005!CA_op_trig,"&lt;&gt;0"))</f>
        <v>613.36941908000665</v>
      </c>
      <c r="J550" s="26" t="s">
        <v>314</v>
      </c>
      <c r="L550" s="55"/>
      <c r="M550" s="55"/>
      <c r="N550" s="55"/>
      <c r="O550" s="55"/>
      <c r="P550" s="55"/>
      <c r="Q550" s="55"/>
      <c r="R550" s="55"/>
      <c r="S550" s="55"/>
      <c r="T550" s="55"/>
      <c r="U550" s="55"/>
      <c r="V550" s="55"/>
      <c r="W550" s="55"/>
      <c r="X550" s="55"/>
      <c r="Y550" s="55"/>
      <c r="Z550" s="55"/>
      <c r="AA550" s="55"/>
      <c r="AB550" s="55"/>
      <c r="AC550" s="55"/>
      <c r="AD550" s="55"/>
      <c r="AE550" s="55"/>
      <c r="AF550" s="55"/>
      <c r="AG550" s="55"/>
      <c r="AH550" s="55"/>
      <c r="AI550" s="55"/>
      <c r="AJ550" s="55"/>
      <c r="AK550" s="55"/>
      <c r="AL550" s="55"/>
      <c r="AM550" s="55"/>
      <c r="AN550" s="55"/>
      <c r="AO550" s="55"/>
      <c r="AP550" s="55"/>
      <c r="AQ550" s="55"/>
      <c r="AR550" s="55"/>
      <c r="AS550" s="55"/>
      <c r="AT550" s="55"/>
      <c r="AU550" s="55"/>
      <c r="AV550" s="55"/>
      <c r="AW550" s="55"/>
      <c r="AX550" s="55"/>
      <c r="AY550" s="55"/>
      <c r="AZ550" s="55"/>
      <c r="BA550" s="55"/>
      <c r="BB550" s="55"/>
      <c r="BC550" s="55"/>
      <c r="BD550" s="55"/>
      <c r="BE550" s="55"/>
      <c r="BF550" s="55"/>
      <c r="BG550" s="55"/>
      <c r="BH550" s="55"/>
      <c r="BI550" s="55"/>
      <c r="BJ550" s="55"/>
      <c r="BK550" s="55"/>
      <c r="BL550" s="55"/>
      <c r="BM550" s="55"/>
      <c r="BN550" s="55"/>
      <c r="BO550" s="55"/>
      <c r="BP550" s="55"/>
      <c r="BQ550" s="55"/>
      <c r="BR550" s="55"/>
      <c r="BS550" s="55"/>
    </row>
    <row r="551" spans="3:71" outlineLevel="1" x14ac:dyDescent="0.2">
      <c r="J551" s="26"/>
      <c r="L551" s="55"/>
      <c r="M551" s="55"/>
      <c r="N551" s="55"/>
      <c r="O551" s="55"/>
      <c r="P551" s="55"/>
      <c r="Q551" s="55"/>
      <c r="R551" s="55"/>
      <c r="S551" s="55"/>
      <c r="T551" s="55"/>
      <c r="U551" s="55"/>
      <c r="V551" s="55"/>
      <c r="W551" s="55"/>
      <c r="X551" s="55"/>
      <c r="Y551" s="55"/>
      <c r="Z551" s="55"/>
      <c r="AA551" s="55"/>
      <c r="AB551" s="55"/>
      <c r="AC551" s="55"/>
      <c r="AD551" s="55"/>
      <c r="AE551" s="55"/>
      <c r="AF551" s="55"/>
      <c r="AG551" s="55"/>
      <c r="AH551" s="55"/>
      <c r="AI551" s="55"/>
      <c r="AJ551" s="55"/>
      <c r="AK551" s="55"/>
      <c r="AL551" s="55"/>
      <c r="AM551" s="55"/>
      <c r="AN551" s="55"/>
      <c r="AO551" s="55"/>
      <c r="AP551" s="55"/>
      <c r="AQ551" s="55"/>
      <c r="AR551" s="55"/>
      <c r="AS551" s="55"/>
      <c r="AT551" s="55"/>
      <c r="AU551" s="55"/>
      <c r="AV551" s="55"/>
      <c r="AW551" s="55"/>
      <c r="AX551" s="55"/>
      <c r="AY551" s="55"/>
      <c r="AZ551" s="55"/>
      <c r="BA551" s="55"/>
      <c r="BB551" s="55"/>
      <c r="BC551" s="55"/>
      <c r="BD551" s="55"/>
      <c r="BE551" s="55"/>
      <c r="BF551" s="55"/>
      <c r="BG551" s="55"/>
      <c r="BH551" s="55"/>
      <c r="BI551" s="55"/>
      <c r="BJ551" s="55"/>
      <c r="BK551" s="55"/>
      <c r="BL551" s="55"/>
      <c r="BM551" s="55"/>
      <c r="BN551" s="55"/>
      <c r="BO551" s="55"/>
      <c r="BP551" s="55"/>
      <c r="BQ551" s="55"/>
      <c r="BR551" s="55"/>
      <c r="BS551" s="55"/>
    </row>
    <row r="552" spans="3:71" outlineLevel="1" x14ac:dyDescent="0.2">
      <c r="J552" s="26"/>
      <c r="L552" s="55"/>
      <c r="M552" s="55"/>
      <c r="N552" s="55"/>
      <c r="O552" s="55"/>
      <c r="P552" s="55"/>
      <c r="Q552" s="55"/>
      <c r="R552" s="55"/>
      <c r="S552" s="55"/>
      <c r="T552" s="55"/>
      <c r="U552" s="55"/>
      <c r="V552" s="55"/>
      <c r="W552" s="55"/>
      <c r="X552" s="55"/>
      <c r="Y552" s="55"/>
      <c r="Z552" s="55"/>
      <c r="AA552" s="55"/>
      <c r="AB552" s="55"/>
      <c r="AC552" s="55"/>
      <c r="AD552" s="55"/>
      <c r="AE552" s="55"/>
      <c r="AF552" s="55"/>
      <c r="AG552" s="55"/>
      <c r="AH552" s="55"/>
      <c r="AI552" s="55"/>
      <c r="AJ552" s="55"/>
      <c r="AK552" s="55"/>
      <c r="AL552" s="55"/>
      <c r="AM552" s="55"/>
      <c r="AN552" s="55"/>
      <c r="AO552" s="55"/>
      <c r="AP552" s="55"/>
      <c r="AQ552" s="55"/>
      <c r="AR552" s="55"/>
      <c r="AS552" s="55"/>
      <c r="AT552" s="55"/>
      <c r="AU552" s="55"/>
      <c r="AV552" s="55"/>
      <c r="AW552" s="55"/>
      <c r="AX552" s="55"/>
      <c r="AY552" s="55"/>
      <c r="AZ552" s="55"/>
      <c r="BA552" s="55"/>
      <c r="BB552" s="55"/>
      <c r="BC552" s="55"/>
      <c r="BD552" s="55"/>
      <c r="BE552" s="55"/>
      <c r="BF552" s="55"/>
      <c r="BG552" s="55"/>
      <c r="BH552" s="55"/>
      <c r="BI552" s="55"/>
      <c r="BJ552" s="55"/>
      <c r="BK552" s="55"/>
      <c r="BL552" s="55"/>
      <c r="BM552" s="55"/>
      <c r="BN552" s="55"/>
      <c r="BO552" s="55"/>
      <c r="BP552" s="55"/>
      <c r="BQ552" s="55"/>
      <c r="BR552" s="55"/>
      <c r="BS552" s="55"/>
    </row>
    <row r="553" spans="3:71" outlineLevel="1" x14ac:dyDescent="0.2">
      <c r="C553" s="11" t="str">
        <f>HM_ZD_Moho!C575</f>
        <v>Volumes</v>
      </c>
      <c r="J553" s="26"/>
      <c r="L553" s="55"/>
      <c r="M553" s="55"/>
      <c r="N553" s="55"/>
      <c r="O553" s="55"/>
      <c r="P553" s="55"/>
      <c r="Q553" s="55"/>
      <c r="R553" s="55"/>
      <c r="S553" s="55"/>
      <c r="T553" s="55"/>
      <c r="U553" s="55"/>
      <c r="V553" s="55"/>
      <c r="W553" s="55"/>
      <c r="X553" s="55"/>
      <c r="Y553" s="55"/>
      <c r="Z553" s="55"/>
      <c r="AA553" s="55"/>
      <c r="AB553" s="55"/>
      <c r="AC553" s="55"/>
      <c r="AD553" s="55"/>
      <c r="AE553" s="55"/>
      <c r="AF553" s="55"/>
      <c r="AG553" s="55"/>
      <c r="AH553" s="55"/>
      <c r="AI553" s="55"/>
      <c r="AJ553" s="55"/>
      <c r="AK553" s="55"/>
      <c r="AL553" s="55"/>
      <c r="AM553" s="55"/>
      <c r="AN553" s="55"/>
      <c r="AO553" s="55"/>
      <c r="AP553" s="55"/>
      <c r="AQ553" s="55"/>
      <c r="AR553" s="55"/>
      <c r="AS553" s="55"/>
      <c r="AT553" s="55"/>
      <c r="AU553" s="55"/>
      <c r="AV553" s="55"/>
      <c r="AW553" s="55"/>
      <c r="AX553" s="55"/>
      <c r="AY553" s="55"/>
      <c r="AZ553" s="55"/>
      <c r="BA553" s="55"/>
      <c r="BB553" s="55"/>
      <c r="BC553" s="55"/>
      <c r="BD553" s="55"/>
      <c r="BE553" s="55"/>
      <c r="BF553" s="55"/>
      <c r="BG553" s="55"/>
      <c r="BH553" s="55"/>
      <c r="BI553" s="55"/>
      <c r="BJ553" s="55"/>
      <c r="BK553" s="55"/>
      <c r="BL553" s="55"/>
      <c r="BM553" s="55"/>
      <c r="BN553" s="55"/>
      <c r="BO553" s="55"/>
      <c r="BP553" s="55"/>
      <c r="BQ553" s="55"/>
      <c r="BR553" s="55"/>
      <c r="BS553" s="55"/>
    </row>
    <row r="554" spans="3:71" outlineLevel="1" x14ac:dyDescent="0.2">
      <c r="D554" t="str">
        <f>HM_ZD_Moho!D576</f>
        <v>Redevance</v>
      </c>
      <c r="H554" s="7"/>
      <c r="I554" s="30">
        <f t="shared" ref="I554:I557" ca="1" si="166">SUM($L554:$BS554)</f>
        <v>5.5547248499999995</v>
      </c>
      <c r="J554" s="26" t="s">
        <v>692</v>
      </c>
      <c r="L554" s="49">
        <f ca="1">IFERROR((L526)/HM_ZD_AM3_2005!CA_FP_oil_nom,0)</f>
        <v>2.7170459999999999</v>
      </c>
      <c r="M554" s="49">
        <f ca="1">IFERROR((M526)/HM_ZD_AM3_2005!CA_FP_oil_nom,0)</f>
        <v>2.8376788499999996</v>
      </c>
      <c r="N554" s="49">
        <f ca="1">IFERROR((N526)/HM_ZD_AM3_2005!CA_FP_oil_nom,0)</f>
        <v>0</v>
      </c>
      <c r="O554" s="49">
        <f ca="1">IFERROR((O526)/HM_ZD_AM3_2005!CA_FP_oil_nom,0)</f>
        <v>0</v>
      </c>
      <c r="P554" s="49">
        <f ca="1">IFERROR((P526)/HM_ZD_AM3_2005!CA_FP_oil_nom,0)</f>
        <v>0</v>
      </c>
      <c r="Q554" s="49">
        <f ca="1">IFERROR((Q526)/HM_ZD_AM3_2005!CA_FP_oil_nom,0)</f>
        <v>0</v>
      </c>
      <c r="R554" s="49">
        <f ca="1">IFERROR((R526)/HM_ZD_AM3_2005!CA_FP_oil_nom,0)</f>
        <v>0</v>
      </c>
      <c r="S554" s="49">
        <f ca="1">IFERROR((S526)/HM_ZD_AM3_2005!CA_FP_oil_nom,0)</f>
        <v>0</v>
      </c>
      <c r="T554" s="49">
        <f ca="1">IFERROR((T526)/HM_ZD_AM3_2005!CA_FP_oil_nom,0)</f>
        <v>0</v>
      </c>
      <c r="U554" s="49">
        <f ca="1">IFERROR((U526)/HM_ZD_AM3_2005!CA_FP_oil_nom,0)</f>
        <v>0</v>
      </c>
      <c r="V554" s="49">
        <f ca="1">IFERROR((V526)/HM_ZD_AM3_2005!CA_FP_oil_nom,0)</f>
        <v>0</v>
      </c>
      <c r="W554" s="49">
        <f ca="1">IFERROR((W526)/HM_ZD_AM3_2005!CA_FP_oil_nom,0)</f>
        <v>0</v>
      </c>
      <c r="X554" s="49">
        <f ca="1">IFERROR((X526)/HM_ZD_AM3_2005!CA_FP_oil_nom,0)</f>
        <v>0</v>
      </c>
      <c r="Y554" s="49">
        <f ca="1">IFERROR((Y526)/HM_ZD_AM3_2005!CA_FP_oil_nom,0)</f>
        <v>0</v>
      </c>
      <c r="Z554" s="49">
        <f ca="1">IFERROR((Z526)/HM_ZD_AM3_2005!CA_FP_oil_nom,0)</f>
        <v>0</v>
      </c>
      <c r="AA554" s="49">
        <f ca="1">IFERROR((AA526)/HM_ZD_AM3_2005!CA_FP_oil_nom,0)</f>
        <v>0</v>
      </c>
      <c r="AB554" s="49">
        <f ca="1">IFERROR((AB526)/HM_ZD_AM3_2005!CA_FP_oil_nom,0)</f>
        <v>0</v>
      </c>
      <c r="AC554" s="49">
        <f ca="1">IFERROR((AC526)/HM_ZD_AM3_2005!CA_FP_oil_nom,0)</f>
        <v>0</v>
      </c>
      <c r="AD554" s="49">
        <f ca="1">IFERROR((AD526)/HM_ZD_AM3_2005!CA_FP_oil_nom,0)</f>
        <v>0</v>
      </c>
      <c r="AE554" s="49">
        <f ca="1">IFERROR((AE526)/HM_ZD_AM3_2005!CA_FP_oil_nom,0)</f>
        <v>0</v>
      </c>
      <c r="AF554" s="49">
        <f ca="1">IFERROR((AF526)/HM_ZD_AM3_2005!CA_FP_oil_nom,0)</f>
        <v>0</v>
      </c>
      <c r="AG554" s="49">
        <f ca="1">IFERROR((AG526)/HM_ZD_AM3_2005!CA_FP_oil_nom,0)</f>
        <v>0</v>
      </c>
      <c r="AH554" s="49">
        <f ca="1">IFERROR((AH526)/HM_ZD_AM3_2005!CA_FP_oil_nom,0)</f>
        <v>0</v>
      </c>
      <c r="AI554" s="49">
        <f ca="1">IFERROR((AI526)/HM_ZD_AM3_2005!CA_FP_oil_nom,0)</f>
        <v>0</v>
      </c>
      <c r="AJ554" s="49">
        <f ca="1">IFERROR((AJ526)/HM_ZD_AM3_2005!CA_FP_oil_nom,0)</f>
        <v>0</v>
      </c>
      <c r="AK554" s="49">
        <f ca="1">IFERROR((AK526)/HM_ZD_AM3_2005!CA_FP_oil_nom,0)</f>
        <v>0</v>
      </c>
      <c r="AL554" s="49">
        <f ca="1">IFERROR((AL526)/HM_ZD_AM3_2005!CA_FP_oil_nom,0)</f>
        <v>0</v>
      </c>
      <c r="AM554" s="49">
        <f ca="1">IFERROR((AM526)/HM_ZD_AM3_2005!CA_FP_oil_nom,0)</f>
        <v>0</v>
      </c>
      <c r="AN554" s="49">
        <f ca="1">IFERROR((AN526)/HM_ZD_AM3_2005!CA_FP_oil_nom,0)</f>
        <v>0</v>
      </c>
      <c r="AO554" s="49">
        <f ca="1">IFERROR((AO526)/HM_ZD_AM3_2005!CA_FP_oil_nom,0)</f>
        <v>0</v>
      </c>
      <c r="AP554" s="49">
        <f ca="1">IFERROR((AP526)/HM_ZD_AM3_2005!CA_FP_oil_nom,0)</f>
        <v>0</v>
      </c>
      <c r="AQ554" s="49">
        <f ca="1">IFERROR((AQ526)/HM_ZD_AM3_2005!CA_FP_oil_nom,0)</f>
        <v>0</v>
      </c>
      <c r="AR554" s="49">
        <f ca="1">IFERROR((AR526)/HM_ZD_AM3_2005!CA_FP_oil_nom,0)</f>
        <v>0</v>
      </c>
      <c r="AS554" s="49">
        <f ca="1">IFERROR((AS526)/HM_ZD_AM3_2005!CA_FP_oil_nom,0)</f>
        <v>0</v>
      </c>
      <c r="AT554" s="49">
        <f ca="1">IFERROR((AT526)/HM_ZD_AM3_2005!CA_FP_oil_nom,0)</f>
        <v>0</v>
      </c>
      <c r="AU554" s="49">
        <f ca="1">IFERROR((AU526)/HM_ZD_AM3_2005!CA_FP_oil_nom,0)</f>
        <v>0</v>
      </c>
      <c r="AV554" s="49">
        <f ca="1">IFERROR((AV526)/HM_ZD_AM3_2005!CA_FP_oil_nom,0)</f>
        <v>0</v>
      </c>
      <c r="AW554" s="49">
        <f ca="1">IFERROR((AW526)/HM_ZD_AM3_2005!CA_FP_oil_nom,0)</f>
        <v>0</v>
      </c>
      <c r="AX554" s="49">
        <f ca="1">IFERROR((AX526)/HM_ZD_AM3_2005!CA_FP_oil_nom,0)</f>
        <v>0</v>
      </c>
      <c r="AY554" s="49">
        <f ca="1">IFERROR((AY526)/HM_ZD_AM3_2005!CA_FP_oil_nom,0)</f>
        <v>0</v>
      </c>
      <c r="AZ554" s="49">
        <f ca="1">IFERROR((AZ526)/HM_ZD_AM3_2005!CA_FP_oil_nom,0)</f>
        <v>0</v>
      </c>
      <c r="BA554" s="49">
        <f ca="1">IFERROR((BA526)/HM_ZD_AM3_2005!CA_FP_oil_nom,0)</f>
        <v>0</v>
      </c>
      <c r="BB554" s="49">
        <f ca="1">IFERROR((BB526)/HM_ZD_AM3_2005!CA_FP_oil_nom,0)</f>
        <v>0</v>
      </c>
      <c r="BC554" s="49">
        <f ca="1">IFERROR((BC526)/HM_ZD_AM3_2005!CA_FP_oil_nom,0)</f>
        <v>0</v>
      </c>
      <c r="BD554" s="49">
        <f ca="1">IFERROR((BD526)/HM_ZD_AM3_2005!CA_FP_oil_nom,0)</f>
        <v>0</v>
      </c>
      <c r="BE554" s="49">
        <f ca="1">IFERROR((BE526)/HM_ZD_AM3_2005!CA_FP_oil_nom,0)</f>
        <v>0</v>
      </c>
      <c r="BF554" s="49">
        <f ca="1">IFERROR((BF526)/HM_ZD_AM3_2005!CA_FP_oil_nom,0)</f>
        <v>0</v>
      </c>
      <c r="BG554" s="49">
        <f ca="1">IFERROR((BG526)/HM_ZD_AM3_2005!CA_FP_oil_nom,0)</f>
        <v>0</v>
      </c>
      <c r="BH554" s="49">
        <f ca="1">IFERROR((BH526)/HM_ZD_AM3_2005!CA_FP_oil_nom,0)</f>
        <v>0</v>
      </c>
      <c r="BI554" s="49">
        <f ca="1">IFERROR((BI526)/HM_ZD_AM3_2005!CA_FP_oil_nom,0)</f>
        <v>0</v>
      </c>
      <c r="BJ554" s="49">
        <f ca="1">IFERROR((BJ526)/HM_ZD_AM3_2005!CA_FP_oil_nom,0)</f>
        <v>0</v>
      </c>
      <c r="BK554" s="49">
        <f ca="1">IFERROR((BK526)/HM_ZD_AM3_2005!CA_FP_oil_nom,0)</f>
        <v>0</v>
      </c>
      <c r="BL554" s="49">
        <f ca="1">IFERROR((BL526)/HM_ZD_AM3_2005!CA_FP_oil_nom,0)</f>
        <v>0</v>
      </c>
      <c r="BM554" s="49">
        <f ca="1">IFERROR((BM526)/HM_ZD_AM3_2005!CA_FP_oil_nom,0)</f>
        <v>0</v>
      </c>
      <c r="BN554" s="49">
        <f ca="1">IFERROR((BN526)/HM_ZD_AM3_2005!CA_FP_oil_nom,0)</f>
        <v>0</v>
      </c>
      <c r="BO554" s="49">
        <f ca="1">IFERROR((BO526)/HM_ZD_AM3_2005!CA_FP_oil_nom,0)</f>
        <v>0</v>
      </c>
      <c r="BP554" s="49">
        <f ca="1">IFERROR((BP526)/HM_ZD_AM3_2005!CA_FP_oil_nom,0)</f>
        <v>0</v>
      </c>
      <c r="BQ554" s="49">
        <f ca="1">IFERROR((BQ526)/HM_ZD_AM3_2005!CA_FP_oil_nom,0)</f>
        <v>0</v>
      </c>
      <c r="BR554" s="49">
        <f ca="1">IFERROR((BR526)/HM_ZD_AM3_2005!CA_FP_oil_nom,0)</f>
        <v>0</v>
      </c>
      <c r="BS554" s="49">
        <f ca="1">IFERROR((BS526)/HM_ZD_AM3_2005!CA_FP_oil_nom,0)</f>
        <v>0</v>
      </c>
    </row>
    <row r="555" spans="3:71" outlineLevel="1" x14ac:dyDescent="0.2">
      <c r="D555" t="str">
        <f>HM_ZD_Moho!D577</f>
        <v>Excess Cost Oil</v>
      </c>
      <c r="H555" s="7"/>
      <c r="I555" s="30">
        <f t="shared" ca="1" si="166"/>
        <v>0.37031499000000001</v>
      </c>
      <c r="J555" s="26" t="s">
        <v>692</v>
      </c>
      <c r="L555" s="49">
        <f ca="1">IFERROR((L527)/HM_ZD_AM3_2005!CA_FP_oil_nom,0)</f>
        <v>0.18113640000000003</v>
      </c>
      <c r="M555" s="49">
        <f ca="1">IFERROR((M527)/HM_ZD_AM3_2005!CA_FP_oil_nom,0)</f>
        <v>0.18917858999999998</v>
      </c>
      <c r="N555" s="49">
        <f ca="1">IFERROR((N527)/HM_ZD_AM3_2005!CA_FP_oil_nom,0)</f>
        <v>0</v>
      </c>
      <c r="O555" s="49">
        <f ca="1">IFERROR((O527)/HM_ZD_AM3_2005!CA_FP_oil_nom,0)</f>
        <v>0</v>
      </c>
      <c r="P555" s="49">
        <f ca="1">IFERROR((P527)/HM_ZD_AM3_2005!CA_FP_oil_nom,0)</f>
        <v>0</v>
      </c>
      <c r="Q555" s="49">
        <f ca="1">IFERROR((Q527)/HM_ZD_AM3_2005!CA_FP_oil_nom,0)</f>
        <v>0</v>
      </c>
      <c r="R555" s="49">
        <f ca="1">IFERROR((R527)/HM_ZD_AM3_2005!CA_FP_oil_nom,0)</f>
        <v>0</v>
      </c>
      <c r="S555" s="49">
        <f ca="1">IFERROR((S527)/HM_ZD_AM3_2005!CA_FP_oil_nom,0)</f>
        <v>0</v>
      </c>
      <c r="T555" s="49">
        <f ca="1">IFERROR((T527)/HM_ZD_AM3_2005!CA_FP_oil_nom,0)</f>
        <v>0</v>
      </c>
      <c r="U555" s="49">
        <f ca="1">IFERROR((U527)/HM_ZD_AM3_2005!CA_FP_oil_nom,0)</f>
        <v>0</v>
      </c>
      <c r="V555" s="49">
        <f ca="1">IFERROR((V527)/HM_ZD_AM3_2005!CA_FP_oil_nom,0)</f>
        <v>0</v>
      </c>
      <c r="W555" s="49">
        <f ca="1">IFERROR((W527)/HM_ZD_AM3_2005!CA_FP_oil_nom,0)</f>
        <v>0</v>
      </c>
      <c r="X555" s="49">
        <f ca="1">IFERROR((X527)/HM_ZD_AM3_2005!CA_FP_oil_nom,0)</f>
        <v>0</v>
      </c>
      <c r="Y555" s="49">
        <f ca="1">IFERROR((Y527)/HM_ZD_AM3_2005!CA_FP_oil_nom,0)</f>
        <v>0</v>
      </c>
      <c r="Z555" s="49">
        <f ca="1">IFERROR((Z527)/HM_ZD_AM3_2005!CA_FP_oil_nom,0)</f>
        <v>0</v>
      </c>
      <c r="AA555" s="49">
        <f ca="1">IFERROR((AA527)/HM_ZD_AM3_2005!CA_FP_oil_nom,0)</f>
        <v>0</v>
      </c>
      <c r="AB555" s="49">
        <f ca="1">IFERROR((AB527)/HM_ZD_AM3_2005!CA_FP_oil_nom,0)</f>
        <v>0</v>
      </c>
      <c r="AC555" s="49">
        <f ca="1">IFERROR((AC527)/HM_ZD_AM3_2005!CA_FP_oil_nom,0)</f>
        <v>0</v>
      </c>
      <c r="AD555" s="49">
        <f ca="1">IFERROR((AD527)/HM_ZD_AM3_2005!CA_FP_oil_nom,0)</f>
        <v>0</v>
      </c>
      <c r="AE555" s="49">
        <f ca="1">IFERROR((AE527)/HM_ZD_AM3_2005!CA_FP_oil_nom,0)</f>
        <v>0</v>
      </c>
      <c r="AF555" s="49">
        <f ca="1">IFERROR((AF527)/HM_ZD_AM3_2005!CA_FP_oil_nom,0)</f>
        <v>0</v>
      </c>
      <c r="AG555" s="49">
        <f ca="1">IFERROR((AG527)/HM_ZD_AM3_2005!CA_FP_oil_nom,0)</f>
        <v>0</v>
      </c>
      <c r="AH555" s="49">
        <f ca="1">IFERROR((AH527)/HM_ZD_AM3_2005!CA_FP_oil_nom,0)</f>
        <v>0</v>
      </c>
      <c r="AI555" s="49">
        <f ca="1">IFERROR((AI527)/HM_ZD_AM3_2005!CA_FP_oil_nom,0)</f>
        <v>0</v>
      </c>
      <c r="AJ555" s="49">
        <f ca="1">IFERROR((AJ527)/HM_ZD_AM3_2005!CA_FP_oil_nom,0)</f>
        <v>0</v>
      </c>
      <c r="AK555" s="49">
        <f ca="1">IFERROR((AK527)/HM_ZD_AM3_2005!CA_FP_oil_nom,0)</f>
        <v>0</v>
      </c>
      <c r="AL555" s="49">
        <f ca="1">IFERROR((AL527)/HM_ZD_AM3_2005!CA_FP_oil_nom,0)</f>
        <v>0</v>
      </c>
      <c r="AM555" s="49">
        <f ca="1">IFERROR((AM527)/HM_ZD_AM3_2005!CA_FP_oil_nom,0)</f>
        <v>0</v>
      </c>
      <c r="AN555" s="49">
        <f ca="1">IFERROR((AN527)/HM_ZD_AM3_2005!CA_FP_oil_nom,0)</f>
        <v>0</v>
      </c>
      <c r="AO555" s="49">
        <f ca="1">IFERROR((AO527)/HM_ZD_AM3_2005!CA_FP_oil_nom,0)</f>
        <v>0</v>
      </c>
      <c r="AP555" s="49">
        <f ca="1">IFERROR((AP527)/HM_ZD_AM3_2005!CA_FP_oil_nom,0)</f>
        <v>0</v>
      </c>
      <c r="AQ555" s="49">
        <f ca="1">IFERROR((AQ527)/HM_ZD_AM3_2005!CA_FP_oil_nom,0)</f>
        <v>0</v>
      </c>
      <c r="AR555" s="49">
        <f ca="1">IFERROR((AR527)/HM_ZD_AM3_2005!CA_FP_oil_nom,0)</f>
        <v>0</v>
      </c>
      <c r="AS555" s="49">
        <f ca="1">IFERROR((AS527)/HM_ZD_AM3_2005!CA_FP_oil_nom,0)</f>
        <v>0</v>
      </c>
      <c r="AT555" s="49">
        <f ca="1">IFERROR((AT527)/HM_ZD_AM3_2005!CA_FP_oil_nom,0)</f>
        <v>0</v>
      </c>
      <c r="AU555" s="49">
        <f ca="1">IFERROR((AU527)/HM_ZD_AM3_2005!CA_FP_oil_nom,0)</f>
        <v>0</v>
      </c>
      <c r="AV555" s="49">
        <f ca="1">IFERROR((AV527)/HM_ZD_AM3_2005!CA_FP_oil_nom,0)</f>
        <v>0</v>
      </c>
      <c r="AW555" s="49">
        <f ca="1">IFERROR((AW527)/HM_ZD_AM3_2005!CA_FP_oil_nom,0)</f>
        <v>0</v>
      </c>
      <c r="AX555" s="49">
        <f ca="1">IFERROR((AX527)/HM_ZD_AM3_2005!CA_FP_oil_nom,0)</f>
        <v>0</v>
      </c>
      <c r="AY555" s="49">
        <f ca="1">IFERROR((AY527)/HM_ZD_AM3_2005!CA_FP_oil_nom,0)</f>
        <v>0</v>
      </c>
      <c r="AZ555" s="49">
        <f ca="1">IFERROR((AZ527)/HM_ZD_AM3_2005!CA_FP_oil_nom,0)</f>
        <v>0</v>
      </c>
      <c r="BA555" s="49">
        <f ca="1">IFERROR((BA527)/HM_ZD_AM3_2005!CA_FP_oil_nom,0)</f>
        <v>0</v>
      </c>
      <c r="BB555" s="49">
        <f ca="1">IFERROR((BB527)/HM_ZD_AM3_2005!CA_FP_oil_nom,0)</f>
        <v>0</v>
      </c>
      <c r="BC555" s="49">
        <f ca="1">IFERROR((BC527)/HM_ZD_AM3_2005!CA_FP_oil_nom,0)</f>
        <v>0</v>
      </c>
      <c r="BD555" s="49">
        <f ca="1">IFERROR((BD527)/HM_ZD_AM3_2005!CA_FP_oil_nom,0)</f>
        <v>0</v>
      </c>
      <c r="BE555" s="49">
        <f ca="1">IFERROR((BE527)/HM_ZD_AM3_2005!CA_FP_oil_nom,0)</f>
        <v>0</v>
      </c>
      <c r="BF555" s="49">
        <f ca="1">IFERROR((BF527)/HM_ZD_AM3_2005!CA_FP_oil_nom,0)</f>
        <v>0</v>
      </c>
      <c r="BG555" s="49">
        <f ca="1">IFERROR((BG527)/HM_ZD_AM3_2005!CA_FP_oil_nom,0)</f>
        <v>0</v>
      </c>
      <c r="BH555" s="49">
        <f ca="1">IFERROR((BH527)/HM_ZD_AM3_2005!CA_FP_oil_nom,0)</f>
        <v>0</v>
      </c>
      <c r="BI555" s="49">
        <f ca="1">IFERROR((BI527)/HM_ZD_AM3_2005!CA_FP_oil_nom,0)</f>
        <v>0</v>
      </c>
      <c r="BJ555" s="49">
        <f ca="1">IFERROR((BJ527)/HM_ZD_AM3_2005!CA_FP_oil_nom,0)</f>
        <v>0</v>
      </c>
      <c r="BK555" s="49">
        <f ca="1">IFERROR((BK527)/HM_ZD_AM3_2005!CA_FP_oil_nom,0)</f>
        <v>0</v>
      </c>
      <c r="BL555" s="49">
        <f ca="1">IFERROR((BL527)/HM_ZD_AM3_2005!CA_FP_oil_nom,0)</f>
        <v>0</v>
      </c>
      <c r="BM555" s="49">
        <f ca="1">IFERROR((BM527)/HM_ZD_AM3_2005!CA_FP_oil_nom,0)</f>
        <v>0</v>
      </c>
      <c r="BN555" s="49">
        <f ca="1">IFERROR((BN527)/HM_ZD_AM3_2005!CA_FP_oil_nom,0)</f>
        <v>0</v>
      </c>
      <c r="BO555" s="49">
        <f ca="1">IFERROR((BO527)/HM_ZD_AM3_2005!CA_FP_oil_nom,0)</f>
        <v>0</v>
      </c>
      <c r="BP555" s="49">
        <f ca="1">IFERROR((BP527)/HM_ZD_AM3_2005!CA_FP_oil_nom,0)</f>
        <v>0</v>
      </c>
      <c r="BQ555" s="49">
        <f ca="1">IFERROR((BQ527)/HM_ZD_AM3_2005!CA_FP_oil_nom,0)</f>
        <v>0</v>
      </c>
      <c r="BR555" s="49">
        <f ca="1">IFERROR((BR527)/HM_ZD_AM3_2005!CA_FP_oil_nom,0)</f>
        <v>0</v>
      </c>
      <c r="BS555" s="49">
        <f ca="1">IFERROR((BS527)/HM_ZD_AM3_2005!CA_FP_oil_nom,0)</f>
        <v>0</v>
      </c>
    </row>
    <row r="556" spans="3:71" outlineLevel="1" x14ac:dyDescent="0.2">
      <c r="D556" t="str">
        <f>HM_ZD_Moho!D578</f>
        <v>Super Profit Oil</v>
      </c>
      <c r="H556" s="7"/>
      <c r="I556" s="30">
        <f t="shared" ca="1" si="166"/>
        <v>0</v>
      </c>
      <c r="J556" s="26" t="s">
        <v>692</v>
      </c>
      <c r="L556" s="49">
        <f ca="1">IFERROR((L528)/HM_ZD_AM3_2005!CA_FP_oil_nom,0)</f>
        <v>0</v>
      </c>
      <c r="M556" s="49">
        <f ca="1">IFERROR((M528)/HM_ZD_AM3_2005!CA_FP_oil_nom,0)</f>
        <v>0</v>
      </c>
      <c r="N556" s="49">
        <f ca="1">IFERROR((N528)/HM_ZD_AM3_2005!CA_FP_oil_nom,0)</f>
        <v>0</v>
      </c>
      <c r="O556" s="49">
        <f ca="1">IFERROR((O528)/HM_ZD_AM3_2005!CA_FP_oil_nom,0)</f>
        <v>0</v>
      </c>
      <c r="P556" s="49">
        <f ca="1">IFERROR((P528)/HM_ZD_AM3_2005!CA_FP_oil_nom,0)</f>
        <v>0</v>
      </c>
      <c r="Q556" s="49">
        <f ca="1">IFERROR((Q528)/HM_ZD_AM3_2005!CA_FP_oil_nom,0)</f>
        <v>0</v>
      </c>
      <c r="R556" s="49">
        <f ca="1">IFERROR((R528)/HM_ZD_AM3_2005!CA_FP_oil_nom,0)</f>
        <v>0</v>
      </c>
      <c r="S556" s="49">
        <f ca="1">IFERROR((S528)/HM_ZD_AM3_2005!CA_FP_oil_nom,0)</f>
        <v>0</v>
      </c>
      <c r="T556" s="49">
        <f ca="1">IFERROR((T528)/HM_ZD_AM3_2005!CA_FP_oil_nom,0)</f>
        <v>0</v>
      </c>
      <c r="U556" s="49">
        <f ca="1">IFERROR((U528)/HM_ZD_AM3_2005!CA_FP_oil_nom,0)</f>
        <v>0</v>
      </c>
      <c r="V556" s="49">
        <f ca="1">IFERROR((V528)/HM_ZD_AM3_2005!CA_FP_oil_nom,0)</f>
        <v>0</v>
      </c>
      <c r="W556" s="49">
        <f ca="1">IFERROR((W528)/HM_ZD_AM3_2005!CA_FP_oil_nom,0)</f>
        <v>0</v>
      </c>
      <c r="X556" s="49">
        <f ca="1">IFERROR((X528)/HM_ZD_AM3_2005!CA_FP_oil_nom,0)</f>
        <v>0</v>
      </c>
      <c r="Y556" s="49">
        <f ca="1">IFERROR((Y528)/HM_ZD_AM3_2005!CA_FP_oil_nom,0)</f>
        <v>0</v>
      </c>
      <c r="Z556" s="49">
        <f ca="1">IFERROR((Z528)/HM_ZD_AM3_2005!CA_FP_oil_nom,0)</f>
        <v>0</v>
      </c>
      <c r="AA556" s="49">
        <f ca="1">IFERROR((AA528)/HM_ZD_AM3_2005!CA_FP_oil_nom,0)</f>
        <v>0</v>
      </c>
      <c r="AB556" s="49">
        <f ca="1">IFERROR((AB528)/HM_ZD_AM3_2005!CA_FP_oil_nom,0)</f>
        <v>0</v>
      </c>
      <c r="AC556" s="49">
        <f ca="1">IFERROR((AC528)/HM_ZD_AM3_2005!CA_FP_oil_nom,0)</f>
        <v>0</v>
      </c>
      <c r="AD556" s="49">
        <f ca="1">IFERROR((AD528)/HM_ZD_AM3_2005!CA_FP_oil_nom,0)</f>
        <v>0</v>
      </c>
      <c r="AE556" s="49">
        <f ca="1">IFERROR((AE528)/HM_ZD_AM3_2005!CA_FP_oil_nom,0)</f>
        <v>0</v>
      </c>
      <c r="AF556" s="49">
        <f ca="1">IFERROR((AF528)/HM_ZD_AM3_2005!CA_FP_oil_nom,0)</f>
        <v>0</v>
      </c>
      <c r="AG556" s="49">
        <f ca="1">IFERROR((AG528)/HM_ZD_AM3_2005!CA_FP_oil_nom,0)</f>
        <v>0</v>
      </c>
      <c r="AH556" s="49">
        <f ca="1">IFERROR((AH528)/HM_ZD_AM3_2005!CA_FP_oil_nom,0)</f>
        <v>0</v>
      </c>
      <c r="AI556" s="49">
        <f ca="1">IFERROR((AI528)/HM_ZD_AM3_2005!CA_FP_oil_nom,0)</f>
        <v>0</v>
      </c>
      <c r="AJ556" s="49">
        <f ca="1">IFERROR((AJ528)/HM_ZD_AM3_2005!CA_FP_oil_nom,0)</f>
        <v>0</v>
      </c>
      <c r="AK556" s="49">
        <f ca="1">IFERROR((AK528)/HM_ZD_AM3_2005!CA_FP_oil_nom,0)</f>
        <v>0</v>
      </c>
      <c r="AL556" s="49">
        <f ca="1">IFERROR((AL528)/HM_ZD_AM3_2005!CA_FP_oil_nom,0)</f>
        <v>0</v>
      </c>
      <c r="AM556" s="49">
        <f ca="1">IFERROR((AM528)/HM_ZD_AM3_2005!CA_FP_oil_nom,0)</f>
        <v>0</v>
      </c>
      <c r="AN556" s="49">
        <f ca="1">IFERROR((AN528)/HM_ZD_AM3_2005!CA_FP_oil_nom,0)</f>
        <v>0</v>
      </c>
      <c r="AO556" s="49">
        <f ca="1">IFERROR((AO528)/HM_ZD_AM3_2005!CA_FP_oil_nom,0)</f>
        <v>0</v>
      </c>
      <c r="AP556" s="49">
        <f ca="1">IFERROR((AP528)/HM_ZD_AM3_2005!CA_FP_oil_nom,0)</f>
        <v>0</v>
      </c>
      <c r="AQ556" s="49">
        <f ca="1">IFERROR((AQ528)/HM_ZD_AM3_2005!CA_FP_oil_nom,0)</f>
        <v>0</v>
      </c>
      <c r="AR556" s="49">
        <f ca="1">IFERROR((AR528)/HM_ZD_AM3_2005!CA_FP_oil_nom,0)</f>
        <v>0</v>
      </c>
      <c r="AS556" s="49">
        <f ca="1">IFERROR((AS528)/HM_ZD_AM3_2005!CA_FP_oil_nom,0)</f>
        <v>0</v>
      </c>
      <c r="AT556" s="49">
        <f ca="1">IFERROR((AT528)/HM_ZD_AM3_2005!CA_FP_oil_nom,0)</f>
        <v>0</v>
      </c>
      <c r="AU556" s="49">
        <f ca="1">IFERROR((AU528)/HM_ZD_AM3_2005!CA_FP_oil_nom,0)</f>
        <v>0</v>
      </c>
      <c r="AV556" s="49">
        <f ca="1">IFERROR((AV528)/HM_ZD_AM3_2005!CA_FP_oil_nom,0)</f>
        <v>0</v>
      </c>
      <c r="AW556" s="49">
        <f ca="1">IFERROR((AW528)/HM_ZD_AM3_2005!CA_FP_oil_nom,0)</f>
        <v>0</v>
      </c>
      <c r="AX556" s="49">
        <f ca="1">IFERROR((AX528)/HM_ZD_AM3_2005!CA_FP_oil_nom,0)</f>
        <v>0</v>
      </c>
      <c r="AY556" s="49">
        <f ca="1">IFERROR((AY528)/HM_ZD_AM3_2005!CA_FP_oil_nom,0)</f>
        <v>0</v>
      </c>
      <c r="AZ556" s="49">
        <f ca="1">IFERROR((AZ528)/HM_ZD_AM3_2005!CA_FP_oil_nom,0)</f>
        <v>0</v>
      </c>
      <c r="BA556" s="49">
        <f ca="1">IFERROR((BA528)/HM_ZD_AM3_2005!CA_FP_oil_nom,0)</f>
        <v>0</v>
      </c>
      <c r="BB556" s="49">
        <f ca="1">IFERROR((BB528)/HM_ZD_AM3_2005!CA_FP_oil_nom,0)</f>
        <v>0</v>
      </c>
      <c r="BC556" s="49">
        <f ca="1">IFERROR((BC528)/HM_ZD_AM3_2005!CA_FP_oil_nom,0)</f>
        <v>0</v>
      </c>
      <c r="BD556" s="49">
        <f ca="1">IFERROR((BD528)/HM_ZD_AM3_2005!CA_FP_oil_nom,0)</f>
        <v>0</v>
      </c>
      <c r="BE556" s="49">
        <f ca="1">IFERROR((BE528)/HM_ZD_AM3_2005!CA_FP_oil_nom,0)</f>
        <v>0</v>
      </c>
      <c r="BF556" s="49">
        <f ca="1">IFERROR((BF528)/HM_ZD_AM3_2005!CA_FP_oil_nom,0)</f>
        <v>0</v>
      </c>
      <c r="BG556" s="49">
        <f ca="1">IFERROR((BG528)/HM_ZD_AM3_2005!CA_FP_oil_nom,0)</f>
        <v>0</v>
      </c>
      <c r="BH556" s="49">
        <f ca="1">IFERROR((BH528)/HM_ZD_AM3_2005!CA_FP_oil_nom,0)</f>
        <v>0</v>
      </c>
      <c r="BI556" s="49">
        <f ca="1">IFERROR((BI528)/HM_ZD_AM3_2005!CA_FP_oil_nom,0)</f>
        <v>0</v>
      </c>
      <c r="BJ556" s="49">
        <f ca="1">IFERROR((BJ528)/HM_ZD_AM3_2005!CA_FP_oil_nom,0)</f>
        <v>0</v>
      </c>
      <c r="BK556" s="49">
        <f ca="1">IFERROR((BK528)/HM_ZD_AM3_2005!CA_FP_oil_nom,0)</f>
        <v>0</v>
      </c>
      <c r="BL556" s="49">
        <f ca="1">IFERROR((BL528)/HM_ZD_AM3_2005!CA_FP_oil_nom,0)</f>
        <v>0</v>
      </c>
      <c r="BM556" s="49">
        <f ca="1">IFERROR((BM528)/HM_ZD_AM3_2005!CA_FP_oil_nom,0)</f>
        <v>0</v>
      </c>
      <c r="BN556" s="49">
        <f ca="1">IFERROR((BN528)/HM_ZD_AM3_2005!CA_FP_oil_nom,0)</f>
        <v>0</v>
      </c>
      <c r="BO556" s="49">
        <f ca="1">IFERROR((BO528)/HM_ZD_AM3_2005!CA_FP_oil_nom,0)</f>
        <v>0</v>
      </c>
      <c r="BP556" s="49">
        <f ca="1">IFERROR((BP528)/HM_ZD_AM3_2005!CA_FP_oil_nom,0)</f>
        <v>0</v>
      </c>
      <c r="BQ556" s="49">
        <f ca="1">IFERROR((BQ528)/HM_ZD_AM3_2005!CA_FP_oil_nom,0)</f>
        <v>0</v>
      </c>
      <c r="BR556" s="49">
        <f ca="1">IFERROR((BR528)/HM_ZD_AM3_2005!CA_FP_oil_nom,0)</f>
        <v>0</v>
      </c>
      <c r="BS556" s="49">
        <f ca="1">IFERROR((BS528)/HM_ZD_AM3_2005!CA_FP_oil_nom,0)</f>
        <v>0</v>
      </c>
    </row>
    <row r="557" spans="3:71" outlineLevel="1" x14ac:dyDescent="0.2">
      <c r="D557" t="str">
        <f>HM_ZD_Moho!D579</f>
        <v>Profit Oil</v>
      </c>
      <c r="H557" s="7"/>
      <c r="I557" s="30">
        <f t="shared" ca="1" si="166"/>
        <v>18.901787870791829</v>
      </c>
      <c r="J557" s="26" t="s">
        <v>692</v>
      </c>
      <c r="L557" s="49">
        <f ca="1">IFERROR((L529)/HM_ZD_AM3_2005!CA_FP_oil_nom,0)</f>
        <v>9.4331191546268105</v>
      </c>
      <c r="M557" s="49">
        <f ca="1">IFERROR((M529)/HM_ZD_AM3_2005!CA_FP_oil_nom,0)</f>
        <v>9.4686687161650163</v>
      </c>
      <c r="N557" s="49">
        <f ca="1">IFERROR((N529)/HM_ZD_AM3_2005!CA_FP_oil_nom,0)</f>
        <v>0</v>
      </c>
      <c r="O557" s="49">
        <f ca="1">IFERROR((O529)/HM_ZD_AM3_2005!CA_FP_oil_nom,0)</f>
        <v>0</v>
      </c>
      <c r="P557" s="49">
        <f ca="1">IFERROR((P529)/HM_ZD_AM3_2005!CA_FP_oil_nom,0)</f>
        <v>0</v>
      </c>
      <c r="Q557" s="49">
        <f ca="1">IFERROR((Q529)/HM_ZD_AM3_2005!CA_FP_oil_nom,0)</f>
        <v>0</v>
      </c>
      <c r="R557" s="49">
        <f ca="1">IFERROR((R529)/HM_ZD_AM3_2005!CA_FP_oil_nom,0)</f>
        <v>0</v>
      </c>
      <c r="S557" s="49">
        <f ca="1">IFERROR((S529)/HM_ZD_AM3_2005!CA_FP_oil_nom,0)</f>
        <v>0</v>
      </c>
      <c r="T557" s="49">
        <f ca="1">IFERROR((T529)/HM_ZD_AM3_2005!CA_FP_oil_nom,0)</f>
        <v>0</v>
      </c>
      <c r="U557" s="49">
        <f ca="1">IFERROR((U529)/HM_ZD_AM3_2005!CA_FP_oil_nom,0)</f>
        <v>0</v>
      </c>
      <c r="V557" s="49">
        <f ca="1">IFERROR((V529)/HM_ZD_AM3_2005!CA_FP_oil_nom,0)</f>
        <v>0</v>
      </c>
      <c r="W557" s="49">
        <f ca="1">IFERROR((W529)/HM_ZD_AM3_2005!CA_FP_oil_nom,0)</f>
        <v>0</v>
      </c>
      <c r="X557" s="49">
        <f ca="1">IFERROR((X529)/HM_ZD_AM3_2005!CA_FP_oil_nom,0)</f>
        <v>0</v>
      </c>
      <c r="Y557" s="49">
        <f ca="1">IFERROR((Y529)/HM_ZD_AM3_2005!CA_FP_oil_nom,0)</f>
        <v>0</v>
      </c>
      <c r="Z557" s="49">
        <f ca="1">IFERROR((Z529)/HM_ZD_AM3_2005!CA_FP_oil_nom,0)</f>
        <v>0</v>
      </c>
      <c r="AA557" s="49">
        <f ca="1">IFERROR((AA529)/HM_ZD_AM3_2005!CA_FP_oil_nom,0)</f>
        <v>0</v>
      </c>
      <c r="AB557" s="49">
        <f ca="1">IFERROR((AB529)/HM_ZD_AM3_2005!CA_FP_oil_nom,0)</f>
        <v>0</v>
      </c>
      <c r="AC557" s="49">
        <f ca="1">IFERROR((AC529)/HM_ZD_AM3_2005!CA_FP_oil_nom,0)</f>
        <v>0</v>
      </c>
      <c r="AD557" s="49">
        <f ca="1">IFERROR((AD529)/HM_ZD_AM3_2005!CA_FP_oil_nom,0)</f>
        <v>0</v>
      </c>
      <c r="AE557" s="49">
        <f ca="1">IFERROR((AE529)/HM_ZD_AM3_2005!CA_FP_oil_nom,0)</f>
        <v>0</v>
      </c>
      <c r="AF557" s="49">
        <f ca="1">IFERROR((AF529)/HM_ZD_AM3_2005!CA_FP_oil_nom,0)</f>
        <v>0</v>
      </c>
      <c r="AG557" s="49">
        <f ca="1">IFERROR((AG529)/HM_ZD_AM3_2005!CA_FP_oil_nom,0)</f>
        <v>0</v>
      </c>
      <c r="AH557" s="49">
        <f ca="1">IFERROR((AH529)/HM_ZD_AM3_2005!CA_FP_oil_nom,0)</f>
        <v>0</v>
      </c>
      <c r="AI557" s="49">
        <f ca="1">IFERROR((AI529)/HM_ZD_AM3_2005!CA_FP_oil_nom,0)</f>
        <v>0</v>
      </c>
      <c r="AJ557" s="49">
        <f ca="1">IFERROR((AJ529)/HM_ZD_AM3_2005!CA_FP_oil_nom,0)</f>
        <v>0</v>
      </c>
      <c r="AK557" s="49">
        <f ca="1">IFERROR((AK529)/HM_ZD_AM3_2005!CA_FP_oil_nom,0)</f>
        <v>0</v>
      </c>
      <c r="AL557" s="49">
        <f ca="1">IFERROR((AL529)/HM_ZD_AM3_2005!CA_FP_oil_nom,0)</f>
        <v>0</v>
      </c>
      <c r="AM557" s="49">
        <f ca="1">IFERROR((AM529)/HM_ZD_AM3_2005!CA_FP_oil_nom,0)</f>
        <v>0</v>
      </c>
      <c r="AN557" s="49">
        <f ca="1">IFERROR((AN529)/HM_ZD_AM3_2005!CA_FP_oil_nom,0)</f>
        <v>0</v>
      </c>
      <c r="AO557" s="49">
        <f ca="1">IFERROR((AO529)/HM_ZD_AM3_2005!CA_FP_oil_nom,0)</f>
        <v>0</v>
      </c>
      <c r="AP557" s="49">
        <f ca="1">IFERROR((AP529)/HM_ZD_AM3_2005!CA_FP_oil_nom,0)</f>
        <v>0</v>
      </c>
      <c r="AQ557" s="49">
        <f ca="1">IFERROR((AQ529)/HM_ZD_AM3_2005!CA_FP_oil_nom,0)</f>
        <v>0</v>
      </c>
      <c r="AR557" s="49">
        <f ca="1">IFERROR((AR529)/HM_ZD_AM3_2005!CA_FP_oil_nom,0)</f>
        <v>0</v>
      </c>
      <c r="AS557" s="49">
        <f ca="1">IFERROR((AS529)/HM_ZD_AM3_2005!CA_FP_oil_nom,0)</f>
        <v>0</v>
      </c>
      <c r="AT557" s="49">
        <f ca="1">IFERROR((AT529)/HM_ZD_AM3_2005!CA_FP_oil_nom,0)</f>
        <v>0</v>
      </c>
      <c r="AU557" s="49">
        <f ca="1">IFERROR((AU529)/HM_ZD_AM3_2005!CA_FP_oil_nom,0)</f>
        <v>0</v>
      </c>
      <c r="AV557" s="49">
        <f ca="1">IFERROR((AV529)/HM_ZD_AM3_2005!CA_FP_oil_nom,0)</f>
        <v>0</v>
      </c>
      <c r="AW557" s="49">
        <f ca="1">IFERROR((AW529)/HM_ZD_AM3_2005!CA_FP_oil_nom,0)</f>
        <v>0</v>
      </c>
      <c r="AX557" s="49">
        <f ca="1">IFERROR((AX529)/HM_ZD_AM3_2005!CA_FP_oil_nom,0)</f>
        <v>0</v>
      </c>
      <c r="AY557" s="49">
        <f ca="1">IFERROR((AY529)/HM_ZD_AM3_2005!CA_FP_oil_nom,0)</f>
        <v>0</v>
      </c>
      <c r="AZ557" s="49">
        <f ca="1">IFERROR((AZ529)/HM_ZD_AM3_2005!CA_FP_oil_nom,0)</f>
        <v>0</v>
      </c>
      <c r="BA557" s="49">
        <f ca="1">IFERROR((BA529)/HM_ZD_AM3_2005!CA_FP_oil_nom,0)</f>
        <v>0</v>
      </c>
      <c r="BB557" s="49">
        <f ca="1">IFERROR((BB529)/HM_ZD_AM3_2005!CA_FP_oil_nom,0)</f>
        <v>0</v>
      </c>
      <c r="BC557" s="49">
        <f ca="1">IFERROR((BC529)/HM_ZD_AM3_2005!CA_FP_oil_nom,0)</f>
        <v>0</v>
      </c>
      <c r="BD557" s="49">
        <f ca="1">IFERROR((BD529)/HM_ZD_AM3_2005!CA_FP_oil_nom,0)</f>
        <v>0</v>
      </c>
      <c r="BE557" s="49">
        <f ca="1">IFERROR((BE529)/HM_ZD_AM3_2005!CA_FP_oil_nom,0)</f>
        <v>0</v>
      </c>
      <c r="BF557" s="49">
        <f ca="1">IFERROR((BF529)/HM_ZD_AM3_2005!CA_FP_oil_nom,0)</f>
        <v>0</v>
      </c>
      <c r="BG557" s="49">
        <f ca="1">IFERROR((BG529)/HM_ZD_AM3_2005!CA_FP_oil_nom,0)</f>
        <v>0</v>
      </c>
      <c r="BH557" s="49">
        <f ca="1">IFERROR((BH529)/HM_ZD_AM3_2005!CA_FP_oil_nom,0)</f>
        <v>0</v>
      </c>
      <c r="BI557" s="49">
        <f ca="1">IFERROR((BI529)/HM_ZD_AM3_2005!CA_FP_oil_nom,0)</f>
        <v>0</v>
      </c>
      <c r="BJ557" s="49">
        <f ca="1">IFERROR((BJ529)/HM_ZD_AM3_2005!CA_FP_oil_nom,0)</f>
        <v>0</v>
      </c>
      <c r="BK557" s="49">
        <f ca="1">IFERROR((BK529)/HM_ZD_AM3_2005!CA_FP_oil_nom,0)</f>
        <v>0</v>
      </c>
      <c r="BL557" s="49">
        <f ca="1">IFERROR((BL529)/HM_ZD_AM3_2005!CA_FP_oil_nom,0)</f>
        <v>0</v>
      </c>
      <c r="BM557" s="49">
        <f ca="1">IFERROR((BM529)/HM_ZD_AM3_2005!CA_FP_oil_nom,0)</f>
        <v>0</v>
      </c>
      <c r="BN557" s="49">
        <f ca="1">IFERROR((BN529)/HM_ZD_AM3_2005!CA_FP_oil_nom,0)</f>
        <v>0</v>
      </c>
      <c r="BO557" s="49">
        <f ca="1">IFERROR((BO529)/HM_ZD_AM3_2005!CA_FP_oil_nom,0)</f>
        <v>0</v>
      </c>
      <c r="BP557" s="49">
        <f ca="1">IFERROR((BP529)/HM_ZD_AM3_2005!CA_FP_oil_nom,0)</f>
        <v>0</v>
      </c>
      <c r="BQ557" s="49">
        <f ca="1">IFERROR((BQ529)/HM_ZD_AM3_2005!CA_FP_oil_nom,0)</f>
        <v>0</v>
      </c>
      <c r="BR557" s="49">
        <f ca="1">IFERROR((BR529)/HM_ZD_AM3_2005!CA_FP_oil_nom,0)</f>
        <v>0</v>
      </c>
      <c r="BS557" s="49">
        <f ca="1">IFERROR((BS529)/HM_ZD_AM3_2005!CA_FP_oil_nom,0)</f>
        <v>0</v>
      </c>
    </row>
    <row r="558" spans="3:71" outlineLevel="1" x14ac:dyDescent="0.2">
      <c r="J558" s="26"/>
      <c r="L558" s="55"/>
      <c r="M558" s="55"/>
      <c r="N558" s="55"/>
      <c r="O558" s="55"/>
      <c r="P558" s="55"/>
      <c r="Q558" s="55"/>
      <c r="R558" s="55"/>
      <c r="S558" s="55"/>
      <c r="T558" s="55"/>
      <c r="U558" s="55"/>
      <c r="V558" s="55"/>
      <c r="W558" s="55"/>
      <c r="X558" s="55"/>
      <c r="Y558" s="55"/>
      <c r="Z558" s="55"/>
      <c r="AA558" s="55"/>
      <c r="AB558" s="55"/>
      <c r="AC558" s="55"/>
      <c r="AD558" s="55"/>
      <c r="AE558" s="55"/>
      <c r="AF558" s="55"/>
      <c r="AG558" s="55"/>
      <c r="AH558" s="55"/>
      <c r="AI558" s="55"/>
      <c r="AJ558" s="55"/>
      <c r="AK558" s="55"/>
      <c r="AL558" s="55"/>
      <c r="AM558" s="55"/>
      <c r="AN558" s="55"/>
      <c r="AO558" s="55"/>
      <c r="AP558" s="55"/>
      <c r="AQ558" s="55"/>
      <c r="AR558" s="55"/>
      <c r="AS558" s="55"/>
      <c r="AT558" s="55"/>
      <c r="AU558" s="55"/>
      <c r="AV558" s="55"/>
      <c r="AW558" s="55"/>
      <c r="AX558" s="55"/>
      <c r="AY558" s="55"/>
      <c r="AZ558" s="55"/>
      <c r="BA558" s="55"/>
      <c r="BB558" s="55"/>
      <c r="BC558" s="55"/>
      <c r="BD558" s="55"/>
      <c r="BE558" s="55"/>
      <c r="BF558" s="55"/>
      <c r="BG558" s="55"/>
      <c r="BH558" s="55"/>
      <c r="BI558" s="55"/>
      <c r="BJ558" s="55"/>
      <c r="BK558" s="55"/>
      <c r="BL558" s="55"/>
      <c r="BM558" s="55"/>
      <c r="BN558" s="55"/>
      <c r="BO558" s="55"/>
      <c r="BP558" s="55"/>
      <c r="BQ558" s="55"/>
      <c r="BR558" s="55"/>
      <c r="BS558" s="55"/>
    </row>
    <row r="559" spans="3:71" outlineLevel="1" x14ac:dyDescent="0.2">
      <c r="D559" t="str">
        <f>HM_ZD_Moho!D581</f>
        <v>Cost Oil Contracteur</v>
      </c>
      <c r="I559" s="30">
        <f t="shared" ref="I559:I562" ca="1" si="167">SUM($L559:$BS559)</f>
        <v>5.4273738292867169</v>
      </c>
      <c r="J559" s="26" t="s">
        <v>692</v>
      </c>
      <c r="L559" s="49">
        <f ca="1">IFERROR((L319)/HM_ZD_AM3_2005!CA_FP_oil_nom,0)</f>
        <v>2.5006716882754678</v>
      </c>
      <c r="M559" s="49">
        <f ca="1">IFERROR((M319)/HM_ZD_AM3_2005!CA_FP_oil_nom,0)</f>
        <v>2.9267021410112495</v>
      </c>
      <c r="N559" s="49">
        <f ca="1">IFERROR((N319)/HM_ZD_AM3_2005!CA_FP_oil_nom,0)</f>
        <v>0</v>
      </c>
      <c r="O559" s="49">
        <f ca="1">IFERROR((O319)/HM_ZD_AM3_2005!CA_FP_oil_nom,0)</f>
        <v>0</v>
      </c>
      <c r="P559" s="49">
        <f ca="1">IFERROR((P319)/HM_ZD_AM3_2005!CA_FP_oil_nom,0)</f>
        <v>0</v>
      </c>
      <c r="Q559" s="49">
        <f ca="1">IFERROR((Q319)/HM_ZD_AM3_2005!CA_FP_oil_nom,0)</f>
        <v>0</v>
      </c>
      <c r="R559" s="49">
        <f ca="1">IFERROR((R319)/HM_ZD_AM3_2005!CA_FP_oil_nom,0)</f>
        <v>0</v>
      </c>
      <c r="S559" s="49">
        <f ca="1">IFERROR((S319)/HM_ZD_AM3_2005!CA_FP_oil_nom,0)</f>
        <v>0</v>
      </c>
      <c r="T559" s="49">
        <f ca="1">IFERROR((T319)/HM_ZD_AM3_2005!CA_FP_oil_nom,0)</f>
        <v>0</v>
      </c>
      <c r="U559" s="49">
        <f ca="1">IFERROR((U319)/HM_ZD_AM3_2005!CA_FP_oil_nom,0)</f>
        <v>0</v>
      </c>
      <c r="V559" s="49">
        <f ca="1">IFERROR((V319)/HM_ZD_AM3_2005!CA_FP_oil_nom,0)</f>
        <v>0</v>
      </c>
      <c r="W559" s="49">
        <f ca="1">IFERROR((W319)/HM_ZD_AM3_2005!CA_FP_oil_nom,0)</f>
        <v>0</v>
      </c>
      <c r="X559" s="49">
        <f ca="1">IFERROR((X319)/HM_ZD_AM3_2005!CA_FP_oil_nom,0)</f>
        <v>0</v>
      </c>
      <c r="Y559" s="49">
        <f ca="1">IFERROR((Y319)/HM_ZD_AM3_2005!CA_FP_oil_nom,0)</f>
        <v>0</v>
      </c>
      <c r="Z559" s="49">
        <f ca="1">IFERROR((Z319)/HM_ZD_AM3_2005!CA_FP_oil_nom,0)</f>
        <v>0</v>
      </c>
      <c r="AA559" s="49">
        <f ca="1">IFERROR((AA319)/HM_ZD_AM3_2005!CA_FP_oil_nom,0)</f>
        <v>0</v>
      </c>
      <c r="AB559" s="49">
        <f ca="1">IFERROR((AB319)/HM_ZD_AM3_2005!CA_FP_oil_nom,0)</f>
        <v>0</v>
      </c>
      <c r="AC559" s="49">
        <f ca="1">IFERROR((AC319)/HM_ZD_AM3_2005!CA_FP_oil_nom,0)</f>
        <v>0</v>
      </c>
      <c r="AD559" s="49">
        <f ca="1">IFERROR((AD319)/HM_ZD_AM3_2005!CA_FP_oil_nom,0)</f>
        <v>0</v>
      </c>
      <c r="AE559" s="49">
        <f ca="1">IFERROR((AE319)/HM_ZD_AM3_2005!CA_FP_oil_nom,0)</f>
        <v>0</v>
      </c>
      <c r="AF559" s="49">
        <f ca="1">IFERROR((AF319)/HM_ZD_AM3_2005!CA_FP_oil_nom,0)</f>
        <v>0</v>
      </c>
      <c r="AG559" s="49">
        <f ca="1">IFERROR((AG319)/HM_ZD_AM3_2005!CA_FP_oil_nom,0)</f>
        <v>0</v>
      </c>
      <c r="AH559" s="49">
        <f ca="1">IFERROR((AH319)/HM_ZD_AM3_2005!CA_FP_oil_nom,0)</f>
        <v>0</v>
      </c>
      <c r="AI559" s="49">
        <f ca="1">IFERROR((AI319)/HM_ZD_AM3_2005!CA_FP_oil_nom,0)</f>
        <v>0</v>
      </c>
      <c r="AJ559" s="49">
        <f ca="1">IFERROR((AJ319)/HM_ZD_AM3_2005!CA_FP_oil_nom,0)</f>
        <v>0</v>
      </c>
      <c r="AK559" s="49">
        <f ca="1">IFERROR((AK319)/HM_ZD_AM3_2005!CA_FP_oil_nom,0)</f>
        <v>0</v>
      </c>
      <c r="AL559" s="49">
        <f ca="1">IFERROR((AL319)/HM_ZD_AM3_2005!CA_FP_oil_nom,0)</f>
        <v>0</v>
      </c>
      <c r="AM559" s="49">
        <f ca="1">IFERROR((AM319)/HM_ZD_AM3_2005!CA_FP_oil_nom,0)</f>
        <v>0</v>
      </c>
      <c r="AN559" s="49">
        <f ca="1">IFERROR((AN319)/HM_ZD_AM3_2005!CA_FP_oil_nom,0)</f>
        <v>0</v>
      </c>
      <c r="AO559" s="49">
        <f ca="1">IFERROR((AO319)/HM_ZD_AM3_2005!CA_FP_oil_nom,0)</f>
        <v>0</v>
      </c>
      <c r="AP559" s="49">
        <f ca="1">IFERROR((AP319)/HM_ZD_AM3_2005!CA_FP_oil_nom,0)</f>
        <v>0</v>
      </c>
      <c r="AQ559" s="49">
        <f ca="1">IFERROR((AQ319)/HM_ZD_AM3_2005!CA_FP_oil_nom,0)</f>
        <v>0</v>
      </c>
      <c r="AR559" s="49">
        <f ca="1">IFERROR((AR319)/HM_ZD_AM3_2005!CA_FP_oil_nom,0)</f>
        <v>0</v>
      </c>
      <c r="AS559" s="49">
        <f ca="1">IFERROR((AS319)/HM_ZD_AM3_2005!CA_FP_oil_nom,0)</f>
        <v>0</v>
      </c>
      <c r="AT559" s="49">
        <f ca="1">IFERROR((AT319)/HM_ZD_AM3_2005!CA_FP_oil_nom,0)</f>
        <v>0</v>
      </c>
      <c r="AU559" s="49">
        <f ca="1">IFERROR((AU319)/HM_ZD_AM3_2005!CA_FP_oil_nom,0)</f>
        <v>0</v>
      </c>
      <c r="AV559" s="49">
        <f ca="1">IFERROR((AV319)/HM_ZD_AM3_2005!CA_FP_oil_nom,0)</f>
        <v>0</v>
      </c>
      <c r="AW559" s="49">
        <f ca="1">IFERROR((AW319)/HM_ZD_AM3_2005!CA_FP_oil_nom,0)</f>
        <v>0</v>
      </c>
      <c r="AX559" s="49">
        <f ca="1">IFERROR((AX319)/HM_ZD_AM3_2005!CA_FP_oil_nom,0)</f>
        <v>0</v>
      </c>
      <c r="AY559" s="49">
        <f ca="1">IFERROR((AY319)/HM_ZD_AM3_2005!CA_FP_oil_nom,0)</f>
        <v>0</v>
      </c>
      <c r="AZ559" s="49">
        <f ca="1">IFERROR((AZ319)/HM_ZD_AM3_2005!CA_FP_oil_nom,0)</f>
        <v>0</v>
      </c>
      <c r="BA559" s="49">
        <f ca="1">IFERROR((BA319)/HM_ZD_AM3_2005!CA_FP_oil_nom,0)</f>
        <v>0</v>
      </c>
      <c r="BB559" s="49">
        <f ca="1">IFERROR((BB319)/HM_ZD_AM3_2005!CA_FP_oil_nom,0)</f>
        <v>0</v>
      </c>
      <c r="BC559" s="49">
        <f ca="1">IFERROR((BC319)/HM_ZD_AM3_2005!CA_FP_oil_nom,0)</f>
        <v>0</v>
      </c>
      <c r="BD559" s="49">
        <f ca="1">IFERROR((BD319)/HM_ZD_AM3_2005!CA_FP_oil_nom,0)</f>
        <v>0</v>
      </c>
      <c r="BE559" s="49">
        <f ca="1">IFERROR((BE319)/HM_ZD_AM3_2005!CA_FP_oil_nom,0)</f>
        <v>0</v>
      </c>
      <c r="BF559" s="49">
        <f ca="1">IFERROR((BF319)/HM_ZD_AM3_2005!CA_FP_oil_nom,0)</f>
        <v>0</v>
      </c>
      <c r="BG559" s="49">
        <f ca="1">IFERROR((BG319)/HM_ZD_AM3_2005!CA_FP_oil_nom,0)</f>
        <v>0</v>
      </c>
      <c r="BH559" s="49">
        <f ca="1">IFERROR((BH319)/HM_ZD_AM3_2005!CA_FP_oil_nom,0)</f>
        <v>0</v>
      </c>
      <c r="BI559" s="49">
        <f ca="1">IFERROR((BI319)/HM_ZD_AM3_2005!CA_FP_oil_nom,0)</f>
        <v>0</v>
      </c>
      <c r="BJ559" s="49">
        <f ca="1">IFERROR((BJ319)/HM_ZD_AM3_2005!CA_FP_oil_nom,0)</f>
        <v>0</v>
      </c>
      <c r="BK559" s="49">
        <f ca="1">IFERROR((BK319)/HM_ZD_AM3_2005!CA_FP_oil_nom,0)</f>
        <v>0</v>
      </c>
      <c r="BL559" s="49">
        <f ca="1">IFERROR((BL319)/HM_ZD_AM3_2005!CA_FP_oil_nom,0)</f>
        <v>0</v>
      </c>
      <c r="BM559" s="49">
        <f ca="1">IFERROR((BM319)/HM_ZD_AM3_2005!CA_FP_oil_nom,0)</f>
        <v>0</v>
      </c>
      <c r="BN559" s="49">
        <f ca="1">IFERROR((BN319)/HM_ZD_AM3_2005!CA_FP_oil_nom,0)</f>
        <v>0</v>
      </c>
      <c r="BO559" s="49">
        <f ca="1">IFERROR((BO319)/HM_ZD_AM3_2005!CA_FP_oil_nom,0)</f>
        <v>0</v>
      </c>
      <c r="BP559" s="49">
        <f ca="1">IFERROR((BP319)/HM_ZD_AM3_2005!CA_FP_oil_nom,0)</f>
        <v>0</v>
      </c>
      <c r="BQ559" s="49">
        <f ca="1">IFERROR((BQ319)/HM_ZD_AM3_2005!CA_FP_oil_nom,0)</f>
        <v>0</v>
      </c>
      <c r="BR559" s="49">
        <f ca="1">IFERROR((BR319)/HM_ZD_AM3_2005!CA_FP_oil_nom,0)</f>
        <v>0</v>
      </c>
      <c r="BS559" s="49">
        <f ca="1">IFERROR((BS319)/HM_ZD_AM3_2005!CA_FP_oil_nom,0)</f>
        <v>0</v>
      </c>
    </row>
    <row r="560" spans="3:71" outlineLevel="1" x14ac:dyDescent="0.2">
      <c r="D560" t="str">
        <f>HM_ZD_Moho!D583</f>
        <v>Excess Cost Oil Contracteur</v>
      </c>
      <c r="I560" s="30">
        <f t="shared" ca="1" si="167"/>
        <v>0</v>
      </c>
      <c r="J560" s="26" t="s">
        <v>692</v>
      </c>
      <c r="L560" s="49">
        <f ca="1">IFERROR((L320)/HM_ZD_AM3_2005!CA_FP_oil_nom,0)</f>
        <v>0</v>
      </c>
      <c r="M560" s="49">
        <f ca="1">IFERROR((M320)/HM_ZD_AM3_2005!CA_FP_oil_nom,0)</f>
        <v>0</v>
      </c>
      <c r="N560" s="49">
        <f ca="1">IFERROR((N320)/HM_ZD_AM3_2005!CA_FP_oil_nom,0)</f>
        <v>0</v>
      </c>
      <c r="O560" s="49">
        <f ca="1">IFERROR((O320)/HM_ZD_AM3_2005!CA_FP_oil_nom,0)</f>
        <v>0</v>
      </c>
      <c r="P560" s="49">
        <f ca="1">IFERROR((P320)/HM_ZD_AM3_2005!CA_FP_oil_nom,0)</f>
        <v>0</v>
      </c>
      <c r="Q560" s="49">
        <f ca="1">IFERROR((Q320)/HM_ZD_AM3_2005!CA_FP_oil_nom,0)</f>
        <v>0</v>
      </c>
      <c r="R560" s="49">
        <f ca="1">IFERROR((R320)/HM_ZD_AM3_2005!CA_FP_oil_nom,0)</f>
        <v>0</v>
      </c>
      <c r="S560" s="49">
        <f ca="1">IFERROR((S320)/HM_ZD_AM3_2005!CA_FP_oil_nom,0)</f>
        <v>0</v>
      </c>
      <c r="T560" s="49">
        <f ca="1">IFERROR((T320)/HM_ZD_AM3_2005!CA_FP_oil_nom,0)</f>
        <v>0</v>
      </c>
      <c r="U560" s="49">
        <f ca="1">IFERROR((U320)/HM_ZD_AM3_2005!CA_FP_oil_nom,0)</f>
        <v>0</v>
      </c>
      <c r="V560" s="49">
        <f ca="1">IFERROR((V320)/HM_ZD_AM3_2005!CA_FP_oil_nom,0)</f>
        <v>0</v>
      </c>
      <c r="W560" s="49">
        <f ca="1">IFERROR((W320)/HM_ZD_AM3_2005!CA_FP_oil_nom,0)</f>
        <v>0</v>
      </c>
      <c r="X560" s="49">
        <f ca="1">IFERROR((X320)/HM_ZD_AM3_2005!CA_FP_oil_nom,0)</f>
        <v>0</v>
      </c>
      <c r="Y560" s="49">
        <f ca="1">IFERROR((Y320)/HM_ZD_AM3_2005!CA_FP_oil_nom,0)</f>
        <v>0</v>
      </c>
      <c r="Z560" s="49">
        <f ca="1">IFERROR((Z320)/HM_ZD_AM3_2005!CA_FP_oil_nom,0)</f>
        <v>0</v>
      </c>
      <c r="AA560" s="49">
        <f ca="1">IFERROR((AA320)/HM_ZD_AM3_2005!CA_FP_oil_nom,0)</f>
        <v>0</v>
      </c>
      <c r="AB560" s="49">
        <f ca="1">IFERROR((AB320)/HM_ZD_AM3_2005!CA_FP_oil_nom,0)</f>
        <v>0</v>
      </c>
      <c r="AC560" s="49">
        <f ca="1">IFERROR((AC320)/HM_ZD_AM3_2005!CA_FP_oil_nom,0)</f>
        <v>0</v>
      </c>
      <c r="AD560" s="49">
        <f ca="1">IFERROR((AD320)/HM_ZD_AM3_2005!CA_FP_oil_nom,0)</f>
        <v>0</v>
      </c>
      <c r="AE560" s="49">
        <f ca="1">IFERROR((AE320)/HM_ZD_AM3_2005!CA_FP_oil_nom,0)</f>
        <v>0</v>
      </c>
      <c r="AF560" s="49">
        <f ca="1">IFERROR((AF320)/HM_ZD_AM3_2005!CA_FP_oil_nom,0)</f>
        <v>0</v>
      </c>
      <c r="AG560" s="49">
        <f ca="1">IFERROR((AG320)/HM_ZD_AM3_2005!CA_FP_oil_nom,0)</f>
        <v>0</v>
      </c>
      <c r="AH560" s="49">
        <f ca="1">IFERROR((AH320)/HM_ZD_AM3_2005!CA_FP_oil_nom,0)</f>
        <v>0</v>
      </c>
      <c r="AI560" s="49">
        <f ca="1">IFERROR((AI320)/HM_ZD_AM3_2005!CA_FP_oil_nom,0)</f>
        <v>0</v>
      </c>
      <c r="AJ560" s="49">
        <f ca="1">IFERROR((AJ320)/HM_ZD_AM3_2005!CA_FP_oil_nom,0)</f>
        <v>0</v>
      </c>
      <c r="AK560" s="49">
        <f ca="1">IFERROR((AK320)/HM_ZD_AM3_2005!CA_FP_oil_nom,0)</f>
        <v>0</v>
      </c>
      <c r="AL560" s="49">
        <f ca="1">IFERROR((AL320)/HM_ZD_AM3_2005!CA_FP_oil_nom,0)</f>
        <v>0</v>
      </c>
      <c r="AM560" s="49">
        <f ca="1">IFERROR((AM320)/HM_ZD_AM3_2005!CA_FP_oil_nom,0)</f>
        <v>0</v>
      </c>
      <c r="AN560" s="49">
        <f ca="1">IFERROR((AN320)/HM_ZD_AM3_2005!CA_FP_oil_nom,0)</f>
        <v>0</v>
      </c>
      <c r="AO560" s="49">
        <f ca="1">IFERROR((AO320)/HM_ZD_AM3_2005!CA_FP_oil_nom,0)</f>
        <v>0</v>
      </c>
      <c r="AP560" s="49">
        <f ca="1">IFERROR((AP320)/HM_ZD_AM3_2005!CA_FP_oil_nom,0)</f>
        <v>0</v>
      </c>
      <c r="AQ560" s="49">
        <f ca="1">IFERROR((AQ320)/HM_ZD_AM3_2005!CA_FP_oil_nom,0)</f>
        <v>0</v>
      </c>
      <c r="AR560" s="49">
        <f ca="1">IFERROR((AR320)/HM_ZD_AM3_2005!CA_FP_oil_nom,0)</f>
        <v>0</v>
      </c>
      <c r="AS560" s="49">
        <f ca="1">IFERROR((AS320)/HM_ZD_AM3_2005!CA_FP_oil_nom,0)</f>
        <v>0</v>
      </c>
      <c r="AT560" s="49">
        <f ca="1">IFERROR((AT320)/HM_ZD_AM3_2005!CA_FP_oil_nom,0)</f>
        <v>0</v>
      </c>
      <c r="AU560" s="49">
        <f ca="1">IFERROR((AU320)/HM_ZD_AM3_2005!CA_FP_oil_nom,0)</f>
        <v>0</v>
      </c>
      <c r="AV560" s="49">
        <f ca="1">IFERROR((AV320)/HM_ZD_AM3_2005!CA_FP_oil_nom,0)</f>
        <v>0</v>
      </c>
      <c r="AW560" s="49">
        <f ca="1">IFERROR((AW320)/HM_ZD_AM3_2005!CA_FP_oil_nom,0)</f>
        <v>0</v>
      </c>
      <c r="AX560" s="49">
        <f ca="1">IFERROR((AX320)/HM_ZD_AM3_2005!CA_FP_oil_nom,0)</f>
        <v>0</v>
      </c>
      <c r="AY560" s="49">
        <f ca="1">IFERROR((AY320)/HM_ZD_AM3_2005!CA_FP_oil_nom,0)</f>
        <v>0</v>
      </c>
      <c r="AZ560" s="49">
        <f ca="1">IFERROR((AZ320)/HM_ZD_AM3_2005!CA_FP_oil_nom,0)</f>
        <v>0</v>
      </c>
      <c r="BA560" s="49">
        <f ca="1">IFERROR((BA320)/HM_ZD_AM3_2005!CA_FP_oil_nom,0)</f>
        <v>0</v>
      </c>
      <c r="BB560" s="49">
        <f ca="1">IFERROR((BB320)/HM_ZD_AM3_2005!CA_FP_oil_nom,0)</f>
        <v>0</v>
      </c>
      <c r="BC560" s="49">
        <f ca="1">IFERROR((BC320)/HM_ZD_AM3_2005!CA_FP_oil_nom,0)</f>
        <v>0</v>
      </c>
      <c r="BD560" s="49">
        <f ca="1">IFERROR((BD320)/HM_ZD_AM3_2005!CA_FP_oil_nom,0)</f>
        <v>0</v>
      </c>
      <c r="BE560" s="49">
        <f ca="1">IFERROR((BE320)/HM_ZD_AM3_2005!CA_FP_oil_nom,0)</f>
        <v>0</v>
      </c>
      <c r="BF560" s="49">
        <f ca="1">IFERROR((BF320)/HM_ZD_AM3_2005!CA_FP_oil_nom,0)</f>
        <v>0</v>
      </c>
      <c r="BG560" s="49">
        <f ca="1">IFERROR((BG320)/HM_ZD_AM3_2005!CA_FP_oil_nom,0)</f>
        <v>0</v>
      </c>
      <c r="BH560" s="49">
        <f ca="1">IFERROR((BH320)/HM_ZD_AM3_2005!CA_FP_oil_nom,0)</f>
        <v>0</v>
      </c>
      <c r="BI560" s="49">
        <f ca="1">IFERROR((BI320)/HM_ZD_AM3_2005!CA_FP_oil_nom,0)</f>
        <v>0</v>
      </c>
      <c r="BJ560" s="49">
        <f ca="1">IFERROR((BJ320)/HM_ZD_AM3_2005!CA_FP_oil_nom,0)</f>
        <v>0</v>
      </c>
      <c r="BK560" s="49">
        <f ca="1">IFERROR((BK320)/HM_ZD_AM3_2005!CA_FP_oil_nom,0)</f>
        <v>0</v>
      </c>
      <c r="BL560" s="49">
        <f ca="1">IFERROR((BL320)/HM_ZD_AM3_2005!CA_FP_oil_nom,0)</f>
        <v>0</v>
      </c>
      <c r="BM560" s="49">
        <f ca="1">IFERROR((BM320)/HM_ZD_AM3_2005!CA_FP_oil_nom,0)</f>
        <v>0</v>
      </c>
      <c r="BN560" s="49">
        <f ca="1">IFERROR((BN320)/HM_ZD_AM3_2005!CA_FP_oil_nom,0)</f>
        <v>0</v>
      </c>
      <c r="BO560" s="49">
        <f ca="1">IFERROR((BO320)/HM_ZD_AM3_2005!CA_FP_oil_nom,0)</f>
        <v>0</v>
      </c>
      <c r="BP560" s="49">
        <f ca="1">IFERROR((BP320)/HM_ZD_AM3_2005!CA_FP_oil_nom,0)</f>
        <v>0</v>
      </c>
      <c r="BQ560" s="49">
        <f ca="1">IFERROR((BQ320)/HM_ZD_AM3_2005!CA_FP_oil_nom,0)</f>
        <v>0</v>
      </c>
      <c r="BR560" s="49">
        <f ca="1">IFERROR((BR320)/HM_ZD_AM3_2005!CA_FP_oil_nom,0)</f>
        <v>0</v>
      </c>
      <c r="BS560" s="49">
        <f ca="1">IFERROR((BS320)/HM_ZD_AM3_2005!CA_FP_oil_nom,0)</f>
        <v>0</v>
      </c>
    </row>
    <row r="561" spans="4:71" outlineLevel="1" x14ac:dyDescent="0.2">
      <c r="D561" t="str">
        <f>HM_ZD_Moho!D584</f>
        <v>SPO Contracteur</v>
      </c>
      <c r="I561" s="30">
        <f t="shared" ca="1" si="167"/>
        <v>8.1007662303393548</v>
      </c>
      <c r="J561" s="26" t="s">
        <v>692</v>
      </c>
      <c r="L561" s="49">
        <f ca="1">IFERROR((L321)/HM_ZD_AM3_2005!CA_FP_oil_nom,0)</f>
        <v>4.0427653519829203</v>
      </c>
      <c r="M561" s="49">
        <f ca="1">IFERROR((M321)/HM_ZD_AM3_2005!CA_FP_oil_nom,0)</f>
        <v>4.0580008783564345</v>
      </c>
      <c r="N561" s="49">
        <f ca="1">IFERROR((N321)/HM_ZD_AM3_2005!CA_FP_oil_nom,0)</f>
        <v>0</v>
      </c>
      <c r="O561" s="49">
        <f ca="1">IFERROR((O321)/HM_ZD_AM3_2005!CA_FP_oil_nom,0)</f>
        <v>0</v>
      </c>
      <c r="P561" s="49">
        <f ca="1">IFERROR((P321)/HM_ZD_AM3_2005!CA_FP_oil_nom,0)</f>
        <v>0</v>
      </c>
      <c r="Q561" s="49">
        <f ca="1">IFERROR((Q321)/HM_ZD_AM3_2005!CA_FP_oil_nom,0)</f>
        <v>0</v>
      </c>
      <c r="R561" s="49">
        <f ca="1">IFERROR((R321)/HM_ZD_AM3_2005!CA_FP_oil_nom,0)</f>
        <v>0</v>
      </c>
      <c r="S561" s="49">
        <f ca="1">IFERROR((S321)/HM_ZD_AM3_2005!CA_FP_oil_nom,0)</f>
        <v>0</v>
      </c>
      <c r="T561" s="49">
        <f ca="1">IFERROR((T321)/HM_ZD_AM3_2005!CA_FP_oil_nom,0)</f>
        <v>0</v>
      </c>
      <c r="U561" s="49">
        <f ca="1">IFERROR((U321)/HM_ZD_AM3_2005!CA_FP_oil_nom,0)</f>
        <v>0</v>
      </c>
      <c r="V561" s="49">
        <f ca="1">IFERROR((V321)/HM_ZD_AM3_2005!CA_FP_oil_nom,0)</f>
        <v>0</v>
      </c>
      <c r="W561" s="49">
        <f ca="1">IFERROR((W321)/HM_ZD_AM3_2005!CA_FP_oil_nom,0)</f>
        <v>0</v>
      </c>
      <c r="X561" s="49">
        <f ca="1">IFERROR((X321)/HM_ZD_AM3_2005!CA_FP_oil_nom,0)</f>
        <v>0</v>
      </c>
      <c r="Y561" s="49">
        <f ca="1">IFERROR((Y321)/HM_ZD_AM3_2005!CA_FP_oil_nom,0)</f>
        <v>0</v>
      </c>
      <c r="Z561" s="49">
        <f ca="1">IFERROR((Z321)/HM_ZD_AM3_2005!CA_FP_oil_nom,0)</f>
        <v>0</v>
      </c>
      <c r="AA561" s="49">
        <f ca="1">IFERROR((AA321)/HM_ZD_AM3_2005!CA_FP_oil_nom,0)</f>
        <v>0</v>
      </c>
      <c r="AB561" s="49">
        <f ca="1">IFERROR((AB321)/HM_ZD_AM3_2005!CA_FP_oil_nom,0)</f>
        <v>0</v>
      </c>
      <c r="AC561" s="49">
        <f ca="1">IFERROR((AC321)/HM_ZD_AM3_2005!CA_FP_oil_nom,0)</f>
        <v>0</v>
      </c>
      <c r="AD561" s="49">
        <f ca="1">IFERROR((AD321)/HM_ZD_AM3_2005!CA_FP_oil_nom,0)</f>
        <v>0</v>
      </c>
      <c r="AE561" s="49">
        <f ca="1">IFERROR((AE321)/HM_ZD_AM3_2005!CA_FP_oil_nom,0)</f>
        <v>0</v>
      </c>
      <c r="AF561" s="49">
        <f ca="1">IFERROR((AF321)/HM_ZD_AM3_2005!CA_FP_oil_nom,0)</f>
        <v>0</v>
      </c>
      <c r="AG561" s="49">
        <f ca="1">IFERROR((AG321)/HM_ZD_AM3_2005!CA_FP_oil_nom,0)</f>
        <v>0</v>
      </c>
      <c r="AH561" s="49">
        <f ca="1">IFERROR((AH321)/HM_ZD_AM3_2005!CA_FP_oil_nom,0)</f>
        <v>0</v>
      </c>
      <c r="AI561" s="49">
        <f ca="1">IFERROR((AI321)/HM_ZD_AM3_2005!CA_FP_oil_nom,0)</f>
        <v>0</v>
      </c>
      <c r="AJ561" s="49">
        <f ca="1">IFERROR((AJ321)/HM_ZD_AM3_2005!CA_FP_oil_nom,0)</f>
        <v>0</v>
      </c>
      <c r="AK561" s="49">
        <f ca="1">IFERROR((AK321)/HM_ZD_AM3_2005!CA_FP_oil_nom,0)</f>
        <v>0</v>
      </c>
      <c r="AL561" s="49">
        <f ca="1">IFERROR((AL321)/HM_ZD_AM3_2005!CA_FP_oil_nom,0)</f>
        <v>0</v>
      </c>
      <c r="AM561" s="49">
        <f ca="1">IFERROR((AM321)/HM_ZD_AM3_2005!CA_FP_oil_nom,0)</f>
        <v>0</v>
      </c>
      <c r="AN561" s="49">
        <f ca="1">IFERROR((AN321)/HM_ZD_AM3_2005!CA_FP_oil_nom,0)</f>
        <v>0</v>
      </c>
      <c r="AO561" s="49">
        <f ca="1">IFERROR((AO321)/HM_ZD_AM3_2005!CA_FP_oil_nom,0)</f>
        <v>0</v>
      </c>
      <c r="AP561" s="49">
        <f ca="1">IFERROR((AP321)/HM_ZD_AM3_2005!CA_FP_oil_nom,0)</f>
        <v>0</v>
      </c>
      <c r="AQ561" s="49">
        <f ca="1">IFERROR((AQ321)/HM_ZD_AM3_2005!CA_FP_oil_nom,0)</f>
        <v>0</v>
      </c>
      <c r="AR561" s="49">
        <f ca="1">IFERROR((AR321)/HM_ZD_AM3_2005!CA_FP_oil_nom,0)</f>
        <v>0</v>
      </c>
      <c r="AS561" s="49">
        <f ca="1">IFERROR((AS321)/HM_ZD_AM3_2005!CA_FP_oil_nom,0)</f>
        <v>0</v>
      </c>
      <c r="AT561" s="49">
        <f ca="1">IFERROR((AT321)/HM_ZD_AM3_2005!CA_FP_oil_nom,0)</f>
        <v>0</v>
      </c>
      <c r="AU561" s="49">
        <f ca="1">IFERROR((AU321)/HM_ZD_AM3_2005!CA_FP_oil_nom,0)</f>
        <v>0</v>
      </c>
      <c r="AV561" s="49">
        <f ca="1">IFERROR((AV321)/HM_ZD_AM3_2005!CA_FP_oil_nom,0)</f>
        <v>0</v>
      </c>
      <c r="AW561" s="49">
        <f ca="1">IFERROR((AW321)/HM_ZD_AM3_2005!CA_FP_oil_nom,0)</f>
        <v>0</v>
      </c>
      <c r="AX561" s="49">
        <f ca="1">IFERROR((AX321)/HM_ZD_AM3_2005!CA_FP_oil_nom,0)</f>
        <v>0</v>
      </c>
      <c r="AY561" s="49">
        <f ca="1">IFERROR((AY321)/HM_ZD_AM3_2005!CA_FP_oil_nom,0)</f>
        <v>0</v>
      </c>
      <c r="AZ561" s="49">
        <f ca="1">IFERROR((AZ321)/HM_ZD_AM3_2005!CA_FP_oil_nom,0)</f>
        <v>0</v>
      </c>
      <c r="BA561" s="49">
        <f ca="1">IFERROR((BA321)/HM_ZD_AM3_2005!CA_FP_oil_nom,0)</f>
        <v>0</v>
      </c>
      <c r="BB561" s="49">
        <f ca="1">IFERROR((BB321)/HM_ZD_AM3_2005!CA_FP_oil_nom,0)</f>
        <v>0</v>
      </c>
      <c r="BC561" s="49">
        <f ca="1">IFERROR((BC321)/HM_ZD_AM3_2005!CA_FP_oil_nom,0)</f>
        <v>0</v>
      </c>
      <c r="BD561" s="49">
        <f ca="1">IFERROR((BD321)/HM_ZD_AM3_2005!CA_FP_oil_nom,0)</f>
        <v>0</v>
      </c>
      <c r="BE561" s="49">
        <f ca="1">IFERROR((BE321)/HM_ZD_AM3_2005!CA_FP_oil_nom,0)</f>
        <v>0</v>
      </c>
      <c r="BF561" s="49">
        <f ca="1">IFERROR((BF321)/HM_ZD_AM3_2005!CA_FP_oil_nom,0)</f>
        <v>0</v>
      </c>
      <c r="BG561" s="49">
        <f ca="1">IFERROR((BG321)/HM_ZD_AM3_2005!CA_FP_oil_nom,0)</f>
        <v>0</v>
      </c>
      <c r="BH561" s="49">
        <f ca="1">IFERROR((BH321)/HM_ZD_AM3_2005!CA_FP_oil_nom,0)</f>
        <v>0</v>
      </c>
      <c r="BI561" s="49">
        <f ca="1">IFERROR((BI321)/HM_ZD_AM3_2005!CA_FP_oil_nom,0)</f>
        <v>0</v>
      </c>
      <c r="BJ561" s="49">
        <f ca="1">IFERROR((BJ321)/HM_ZD_AM3_2005!CA_FP_oil_nom,0)</f>
        <v>0</v>
      </c>
      <c r="BK561" s="49">
        <f ca="1">IFERROR((BK321)/HM_ZD_AM3_2005!CA_FP_oil_nom,0)</f>
        <v>0</v>
      </c>
      <c r="BL561" s="49">
        <f ca="1">IFERROR((BL321)/HM_ZD_AM3_2005!CA_FP_oil_nom,0)</f>
        <v>0</v>
      </c>
      <c r="BM561" s="49">
        <f ca="1">IFERROR((BM321)/HM_ZD_AM3_2005!CA_FP_oil_nom,0)</f>
        <v>0</v>
      </c>
      <c r="BN561" s="49">
        <f ca="1">IFERROR((BN321)/HM_ZD_AM3_2005!CA_FP_oil_nom,0)</f>
        <v>0</v>
      </c>
      <c r="BO561" s="49">
        <f ca="1">IFERROR((BO321)/HM_ZD_AM3_2005!CA_FP_oil_nom,0)</f>
        <v>0</v>
      </c>
      <c r="BP561" s="49">
        <f ca="1">IFERROR((BP321)/HM_ZD_AM3_2005!CA_FP_oil_nom,0)</f>
        <v>0</v>
      </c>
      <c r="BQ561" s="49">
        <f ca="1">IFERROR((BQ321)/HM_ZD_AM3_2005!CA_FP_oil_nom,0)</f>
        <v>0</v>
      </c>
      <c r="BR561" s="49">
        <f ca="1">IFERROR((BR321)/HM_ZD_AM3_2005!CA_FP_oil_nom,0)</f>
        <v>0</v>
      </c>
      <c r="BS561" s="49">
        <f ca="1">IFERROR((BS321)/HM_ZD_AM3_2005!CA_FP_oil_nom,0)</f>
        <v>0</v>
      </c>
    </row>
    <row r="562" spans="4:71" outlineLevel="1" x14ac:dyDescent="0.2">
      <c r="D562" t="str">
        <f>HM_ZD_Moho!D585</f>
        <v>Profit Oil Contracteur</v>
      </c>
      <c r="I562" s="30">
        <f t="shared" ca="1" si="167"/>
        <v>0</v>
      </c>
      <c r="J562" s="26" t="s">
        <v>692</v>
      </c>
      <c r="L562" s="49">
        <f ca="1">IFERROR((L322)/HM_ZD_AM3_2005!CA_FP_oil_nom,0)</f>
        <v>0</v>
      </c>
      <c r="M562" s="49">
        <f ca="1">IFERROR((M322)/HM_ZD_AM3_2005!CA_FP_oil_nom,0)</f>
        <v>0</v>
      </c>
      <c r="N562" s="49">
        <f ca="1">IFERROR((N322)/HM_ZD_AM3_2005!CA_FP_oil_nom,0)</f>
        <v>0</v>
      </c>
      <c r="O562" s="49">
        <f ca="1">IFERROR((O322)/HM_ZD_AM3_2005!CA_FP_oil_nom,0)</f>
        <v>0</v>
      </c>
      <c r="P562" s="49">
        <f ca="1">IFERROR((P322)/HM_ZD_AM3_2005!CA_FP_oil_nom,0)</f>
        <v>0</v>
      </c>
      <c r="Q562" s="49">
        <f ca="1">IFERROR((Q322)/HM_ZD_AM3_2005!CA_FP_oil_nom,0)</f>
        <v>0</v>
      </c>
      <c r="R562" s="49">
        <f ca="1">IFERROR((R322)/HM_ZD_AM3_2005!CA_FP_oil_nom,0)</f>
        <v>0</v>
      </c>
      <c r="S562" s="49">
        <f ca="1">IFERROR((S322)/HM_ZD_AM3_2005!CA_FP_oil_nom,0)</f>
        <v>0</v>
      </c>
      <c r="T562" s="49">
        <f ca="1">IFERROR((T322)/HM_ZD_AM3_2005!CA_FP_oil_nom,0)</f>
        <v>0</v>
      </c>
      <c r="U562" s="49">
        <f ca="1">IFERROR((U322)/HM_ZD_AM3_2005!CA_FP_oil_nom,0)</f>
        <v>0</v>
      </c>
      <c r="V562" s="49">
        <f ca="1">IFERROR((V322)/HM_ZD_AM3_2005!CA_FP_oil_nom,0)</f>
        <v>0</v>
      </c>
      <c r="W562" s="49">
        <f ca="1">IFERROR((W322)/HM_ZD_AM3_2005!CA_FP_oil_nom,0)</f>
        <v>0</v>
      </c>
      <c r="X562" s="49">
        <f ca="1">IFERROR((X322)/HM_ZD_AM3_2005!CA_FP_oil_nom,0)</f>
        <v>0</v>
      </c>
      <c r="Y562" s="49">
        <f ca="1">IFERROR((Y322)/HM_ZD_AM3_2005!CA_FP_oil_nom,0)</f>
        <v>0</v>
      </c>
      <c r="Z562" s="49">
        <f ca="1">IFERROR((Z322)/HM_ZD_AM3_2005!CA_FP_oil_nom,0)</f>
        <v>0</v>
      </c>
      <c r="AA562" s="49">
        <f ca="1">IFERROR((AA322)/HM_ZD_AM3_2005!CA_FP_oil_nom,0)</f>
        <v>0</v>
      </c>
      <c r="AB562" s="49">
        <f ca="1">IFERROR((AB322)/HM_ZD_AM3_2005!CA_FP_oil_nom,0)</f>
        <v>0</v>
      </c>
      <c r="AC562" s="49">
        <f ca="1">IFERROR((AC322)/HM_ZD_AM3_2005!CA_FP_oil_nom,0)</f>
        <v>0</v>
      </c>
      <c r="AD562" s="49">
        <f ca="1">IFERROR((AD322)/HM_ZD_AM3_2005!CA_FP_oil_nom,0)</f>
        <v>0</v>
      </c>
      <c r="AE562" s="49">
        <f ca="1">IFERROR((AE322)/HM_ZD_AM3_2005!CA_FP_oil_nom,0)</f>
        <v>0</v>
      </c>
      <c r="AF562" s="49">
        <f ca="1">IFERROR((AF322)/HM_ZD_AM3_2005!CA_FP_oil_nom,0)</f>
        <v>0</v>
      </c>
      <c r="AG562" s="49">
        <f ca="1">IFERROR((AG322)/HM_ZD_AM3_2005!CA_FP_oil_nom,0)</f>
        <v>0</v>
      </c>
      <c r="AH562" s="49">
        <f ca="1">IFERROR((AH322)/HM_ZD_AM3_2005!CA_FP_oil_nom,0)</f>
        <v>0</v>
      </c>
      <c r="AI562" s="49">
        <f ca="1">IFERROR((AI322)/HM_ZD_AM3_2005!CA_FP_oil_nom,0)</f>
        <v>0</v>
      </c>
      <c r="AJ562" s="49">
        <f ca="1">IFERROR((AJ322)/HM_ZD_AM3_2005!CA_FP_oil_nom,0)</f>
        <v>0</v>
      </c>
      <c r="AK562" s="49">
        <f ca="1">IFERROR((AK322)/HM_ZD_AM3_2005!CA_FP_oil_nom,0)</f>
        <v>0</v>
      </c>
      <c r="AL562" s="49">
        <f ca="1">IFERROR((AL322)/HM_ZD_AM3_2005!CA_FP_oil_nom,0)</f>
        <v>0</v>
      </c>
      <c r="AM562" s="49">
        <f ca="1">IFERROR((AM322)/HM_ZD_AM3_2005!CA_FP_oil_nom,0)</f>
        <v>0</v>
      </c>
      <c r="AN562" s="49">
        <f ca="1">IFERROR((AN322)/HM_ZD_AM3_2005!CA_FP_oil_nom,0)</f>
        <v>0</v>
      </c>
      <c r="AO562" s="49">
        <f ca="1">IFERROR((AO322)/HM_ZD_AM3_2005!CA_FP_oil_nom,0)</f>
        <v>0</v>
      </c>
      <c r="AP562" s="49">
        <f ca="1">IFERROR((AP322)/HM_ZD_AM3_2005!CA_FP_oil_nom,0)</f>
        <v>0</v>
      </c>
      <c r="AQ562" s="49">
        <f ca="1">IFERROR((AQ322)/HM_ZD_AM3_2005!CA_FP_oil_nom,0)</f>
        <v>0</v>
      </c>
      <c r="AR562" s="49">
        <f ca="1">IFERROR((AR322)/HM_ZD_AM3_2005!CA_FP_oil_nom,0)</f>
        <v>0</v>
      </c>
      <c r="AS562" s="49">
        <f ca="1">IFERROR((AS322)/HM_ZD_AM3_2005!CA_FP_oil_nom,0)</f>
        <v>0</v>
      </c>
      <c r="AT562" s="49">
        <f ca="1">IFERROR((AT322)/HM_ZD_AM3_2005!CA_FP_oil_nom,0)</f>
        <v>0</v>
      </c>
      <c r="AU562" s="49">
        <f ca="1">IFERROR((AU322)/HM_ZD_AM3_2005!CA_FP_oil_nom,0)</f>
        <v>0</v>
      </c>
      <c r="AV562" s="49">
        <f ca="1">IFERROR((AV322)/HM_ZD_AM3_2005!CA_FP_oil_nom,0)</f>
        <v>0</v>
      </c>
      <c r="AW562" s="49">
        <f ca="1">IFERROR((AW322)/HM_ZD_AM3_2005!CA_FP_oil_nom,0)</f>
        <v>0</v>
      </c>
      <c r="AX562" s="49">
        <f ca="1">IFERROR((AX322)/HM_ZD_AM3_2005!CA_FP_oil_nom,0)</f>
        <v>0</v>
      </c>
      <c r="AY562" s="49">
        <f ca="1">IFERROR((AY322)/HM_ZD_AM3_2005!CA_FP_oil_nom,0)</f>
        <v>0</v>
      </c>
      <c r="AZ562" s="49">
        <f ca="1">IFERROR((AZ322)/HM_ZD_AM3_2005!CA_FP_oil_nom,0)</f>
        <v>0</v>
      </c>
      <c r="BA562" s="49">
        <f ca="1">IFERROR((BA322)/HM_ZD_AM3_2005!CA_FP_oil_nom,0)</f>
        <v>0</v>
      </c>
      <c r="BB562" s="49">
        <f ca="1">IFERROR((BB322)/HM_ZD_AM3_2005!CA_FP_oil_nom,0)</f>
        <v>0</v>
      </c>
      <c r="BC562" s="49">
        <f ca="1">IFERROR((BC322)/HM_ZD_AM3_2005!CA_FP_oil_nom,0)</f>
        <v>0</v>
      </c>
      <c r="BD562" s="49">
        <f ca="1">IFERROR((BD322)/HM_ZD_AM3_2005!CA_FP_oil_nom,0)</f>
        <v>0</v>
      </c>
      <c r="BE562" s="49">
        <f ca="1">IFERROR((BE322)/HM_ZD_AM3_2005!CA_FP_oil_nom,0)</f>
        <v>0</v>
      </c>
      <c r="BF562" s="49">
        <f ca="1">IFERROR((BF322)/HM_ZD_AM3_2005!CA_FP_oil_nom,0)</f>
        <v>0</v>
      </c>
      <c r="BG562" s="49">
        <f ca="1">IFERROR((BG322)/HM_ZD_AM3_2005!CA_FP_oil_nom,0)</f>
        <v>0</v>
      </c>
      <c r="BH562" s="49">
        <f ca="1">IFERROR((BH322)/HM_ZD_AM3_2005!CA_FP_oil_nom,0)</f>
        <v>0</v>
      </c>
      <c r="BI562" s="49">
        <f ca="1">IFERROR((BI322)/HM_ZD_AM3_2005!CA_FP_oil_nom,0)</f>
        <v>0</v>
      </c>
      <c r="BJ562" s="49">
        <f ca="1">IFERROR((BJ322)/HM_ZD_AM3_2005!CA_FP_oil_nom,0)</f>
        <v>0</v>
      </c>
      <c r="BK562" s="49">
        <f ca="1">IFERROR((BK322)/HM_ZD_AM3_2005!CA_FP_oil_nom,0)</f>
        <v>0</v>
      </c>
      <c r="BL562" s="49">
        <f ca="1">IFERROR((BL322)/HM_ZD_AM3_2005!CA_FP_oil_nom,0)</f>
        <v>0</v>
      </c>
      <c r="BM562" s="49">
        <f ca="1">IFERROR((BM322)/HM_ZD_AM3_2005!CA_FP_oil_nom,0)</f>
        <v>0</v>
      </c>
      <c r="BN562" s="49">
        <f ca="1">IFERROR((BN322)/HM_ZD_AM3_2005!CA_FP_oil_nom,0)</f>
        <v>0</v>
      </c>
      <c r="BO562" s="49">
        <f ca="1">IFERROR((BO322)/HM_ZD_AM3_2005!CA_FP_oil_nom,0)</f>
        <v>0</v>
      </c>
      <c r="BP562" s="49">
        <f ca="1">IFERROR((BP322)/HM_ZD_AM3_2005!CA_FP_oil_nom,0)</f>
        <v>0</v>
      </c>
      <c r="BQ562" s="49">
        <f ca="1">IFERROR((BQ322)/HM_ZD_AM3_2005!CA_FP_oil_nom,0)</f>
        <v>0</v>
      </c>
      <c r="BR562" s="49">
        <f ca="1">IFERROR((BR322)/HM_ZD_AM3_2005!CA_FP_oil_nom,0)</f>
        <v>0</v>
      </c>
      <c r="BS562" s="49">
        <f ca="1">IFERROR((BS322)/HM_ZD_AM3_2005!CA_FP_oil_nom,0)</f>
        <v>0</v>
      </c>
    </row>
    <row r="563" spans="4:71" outlineLevel="1" x14ac:dyDescent="0.2">
      <c r="J563" s="26"/>
      <c r="L563" s="55"/>
      <c r="M563" s="55"/>
      <c r="N563" s="55"/>
      <c r="O563" s="55"/>
      <c r="P563" s="55"/>
      <c r="Q563" s="55"/>
      <c r="R563" s="55"/>
      <c r="S563" s="55"/>
      <c r="T563" s="55"/>
      <c r="U563" s="55"/>
      <c r="V563" s="55"/>
      <c r="W563" s="55"/>
      <c r="X563" s="55"/>
      <c r="Y563" s="55"/>
      <c r="Z563" s="55"/>
      <c r="AA563" s="55"/>
      <c r="AB563" s="55"/>
      <c r="AC563" s="55"/>
      <c r="AD563" s="55"/>
      <c r="AE563" s="55"/>
      <c r="AF563" s="55"/>
      <c r="AG563" s="55"/>
      <c r="AH563" s="55"/>
      <c r="AI563" s="55"/>
      <c r="AJ563" s="55"/>
      <c r="AK563" s="55"/>
      <c r="AL563" s="55"/>
      <c r="AM563" s="55"/>
      <c r="AN563" s="55"/>
      <c r="AO563" s="55"/>
      <c r="AP563" s="55"/>
      <c r="AQ563" s="55"/>
      <c r="AR563" s="55"/>
      <c r="AS563" s="55"/>
      <c r="AT563" s="55"/>
      <c r="AU563" s="55"/>
      <c r="AV563" s="55"/>
      <c r="AW563" s="55"/>
      <c r="AX563" s="55"/>
      <c r="AY563" s="55"/>
      <c r="AZ563" s="55"/>
      <c r="BA563" s="55"/>
      <c r="BB563" s="55"/>
      <c r="BC563" s="55"/>
      <c r="BD563" s="55"/>
      <c r="BE563" s="55"/>
      <c r="BF563" s="55"/>
      <c r="BG563" s="55"/>
      <c r="BH563" s="55"/>
      <c r="BI563" s="55"/>
      <c r="BJ563" s="55"/>
      <c r="BK563" s="55"/>
      <c r="BL563" s="55"/>
      <c r="BM563" s="55"/>
      <c r="BN563" s="55"/>
      <c r="BO563" s="55"/>
      <c r="BP563" s="55"/>
      <c r="BQ563" s="55"/>
      <c r="BR563" s="55"/>
      <c r="BS563" s="55"/>
    </row>
    <row r="564" spans="4:71" outlineLevel="1" x14ac:dyDescent="0.2">
      <c r="J564" s="26"/>
      <c r="L564" s="55"/>
      <c r="M564" s="55"/>
      <c r="N564" s="55"/>
      <c r="O564" s="55"/>
      <c r="P564" s="55"/>
      <c r="Q564" s="55"/>
      <c r="R564" s="55"/>
      <c r="S564" s="55"/>
      <c r="T564" s="55"/>
      <c r="U564" s="55"/>
      <c r="V564" s="55"/>
      <c r="W564" s="55"/>
      <c r="X564" s="55"/>
      <c r="Y564" s="55"/>
      <c r="Z564" s="55"/>
      <c r="AA564" s="55"/>
      <c r="AB564" s="55"/>
      <c r="AC564" s="55"/>
      <c r="AD564" s="55"/>
      <c r="AE564" s="55"/>
      <c r="AF564" s="55"/>
      <c r="AG564" s="55"/>
      <c r="AH564" s="55"/>
      <c r="AI564" s="55"/>
      <c r="AJ564" s="55"/>
      <c r="AK564" s="55"/>
      <c r="AL564" s="55"/>
      <c r="AM564" s="55"/>
      <c r="AN564" s="55"/>
      <c r="AO564" s="55"/>
      <c r="AP564" s="55"/>
      <c r="AQ564" s="55"/>
      <c r="AR564" s="55"/>
      <c r="AS564" s="55"/>
      <c r="AT564" s="55"/>
      <c r="AU564" s="55"/>
      <c r="AV564" s="55"/>
      <c r="AW564" s="55"/>
      <c r="AX564" s="55"/>
      <c r="AY564" s="55"/>
      <c r="AZ564" s="55"/>
      <c r="BA564" s="55"/>
      <c r="BB564" s="55"/>
      <c r="BC564" s="55"/>
      <c r="BD564" s="55"/>
      <c r="BE564" s="55"/>
      <c r="BF564" s="55"/>
      <c r="BG564" s="55"/>
      <c r="BH564" s="55"/>
      <c r="BI564" s="55"/>
      <c r="BJ564" s="55"/>
      <c r="BK564" s="55"/>
      <c r="BL564" s="55"/>
      <c r="BM564" s="55"/>
      <c r="BN564" s="55"/>
      <c r="BO564" s="55"/>
      <c r="BP564" s="55"/>
      <c r="BQ564" s="55"/>
      <c r="BR564" s="55"/>
      <c r="BS564" s="55"/>
    </row>
    <row r="565" spans="4:71" outlineLevel="1" x14ac:dyDescent="0.2">
      <c r="J565" s="26"/>
      <c r="L565" s="55"/>
      <c r="M565" s="55"/>
      <c r="N565" s="55"/>
      <c r="O565" s="55"/>
      <c r="P565" s="55"/>
      <c r="Q565" s="55"/>
      <c r="R565" s="55"/>
      <c r="S565" s="55"/>
      <c r="T565" s="55"/>
      <c r="U565" s="55"/>
      <c r="V565" s="55"/>
      <c r="W565" s="55"/>
      <c r="X565" s="55"/>
      <c r="Y565" s="55"/>
      <c r="Z565" s="55"/>
      <c r="AA565" s="55"/>
      <c r="AB565" s="55"/>
      <c r="AC565" s="55"/>
      <c r="AD565" s="55"/>
      <c r="AE565" s="55"/>
      <c r="AF565" s="55"/>
      <c r="AG565" s="55"/>
      <c r="AH565" s="55"/>
      <c r="AI565" s="55"/>
      <c r="AJ565" s="55"/>
      <c r="AK565" s="55"/>
      <c r="AL565" s="55"/>
      <c r="AM565" s="55"/>
      <c r="AN565" s="55"/>
      <c r="AO565" s="55"/>
      <c r="AP565" s="55"/>
      <c r="AQ565" s="55"/>
      <c r="AR565" s="55"/>
      <c r="AS565" s="55"/>
      <c r="AT565" s="55"/>
      <c r="AU565" s="55"/>
      <c r="AV565" s="55"/>
      <c r="AW565" s="55"/>
      <c r="AX565" s="55"/>
      <c r="AY565" s="55"/>
      <c r="AZ565" s="55"/>
      <c r="BA565" s="55"/>
      <c r="BB565" s="55"/>
      <c r="BC565" s="55"/>
      <c r="BD565" s="55"/>
      <c r="BE565" s="55"/>
      <c r="BF565" s="55"/>
      <c r="BG565" s="55"/>
      <c r="BH565" s="55"/>
      <c r="BI565" s="55"/>
      <c r="BJ565" s="55"/>
      <c r="BK565" s="55"/>
      <c r="BL565" s="55"/>
      <c r="BM565" s="55"/>
      <c r="BN565" s="55"/>
      <c r="BO565" s="55"/>
      <c r="BP565" s="55"/>
      <c r="BQ565" s="55"/>
      <c r="BR565" s="55"/>
      <c r="BS565" s="55"/>
    </row>
    <row r="566" spans="4:71" outlineLevel="1" x14ac:dyDescent="0.2">
      <c r="J566" s="26"/>
      <c r="L566" s="55"/>
      <c r="M566" s="55"/>
      <c r="N566" s="55"/>
      <c r="O566" s="55"/>
      <c r="P566" s="55"/>
      <c r="Q566" s="55"/>
      <c r="R566" s="55"/>
      <c r="S566" s="55"/>
      <c r="T566" s="55"/>
      <c r="U566" s="55"/>
      <c r="V566" s="55"/>
      <c r="W566" s="55"/>
      <c r="X566" s="55"/>
      <c r="Y566" s="55"/>
      <c r="Z566" s="55"/>
      <c r="AA566" s="55"/>
      <c r="AB566" s="55"/>
      <c r="AC566" s="55"/>
      <c r="AD566" s="55"/>
      <c r="AE566" s="55"/>
      <c r="AF566" s="55"/>
      <c r="AG566" s="55"/>
      <c r="AH566" s="55"/>
      <c r="AI566" s="55"/>
      <c r="AJ566" s="55"/>
      <c r="AK566" s="55"/>
      <c r="AL566" s="55"/>
      <c r="AM566" s="55"/>
      <c r="AN566" s="55"/>
      <c r="AO566" s="55"/>
      <c r="AP566" s="55"/>
      <c r="AQ566" s="55"/>
      <c r="AR566" s="55"/>
      <c r="AS566" s="55"/>
      <c r="AT566" s="55"/>
      <c r="AU566" s="55"/>
      <c r="AV566" s="55"/>
      <c r="AW566" s="55"/>
      <c r="AX566" s="55"/>
      <c r="AY566" s="55"/>
      <c r="AZ566" s="55"/>
      <c r="BA566" s="55"/>
      <c r="BB566" s="55"/>
      <c r="BC566" s="55"/>
      <c r="BD566" s="55"/>
      <c r="BE566" s="55"/>
      <c r="BF566" s="55"/>
      <c r="BG566" s="55"/>
      <c r="BH566" s="55"/>
      <c r="BI566" s="55"/>
      <c r="BJ566" s="55"/>
      <c r="BK566" s="55"/>
      <c r="BL566" s="55"/>
      <c r="BM566" s="55"/>
      <c r="BN566" s="55"/>
      <c r="BO566" s="55"/>
      <c r="BP566" s="55"/>
      <c r="BQ566" s="55"/>
      <c r="BR566" s="55"/>
      <c r="BS566" s="55"/>
    </row>
    <row r="567" spans="4:71" x14ac:dyDescent="0.2">
      <c r="J567" s="26"/>
      <c r="L567" s="55"/>
      <c r="M567" s="55"/>
      <c r="N567" s="55"/>
      <c r="O567" s="55"/>
      <c r="P567" s="55"/>
      <c r="Q567" s="55"/>
      <c r="R567" s="55"/>
      <c r="S567" s="55"/>
      <c r="T567" s="55"/>
      <c r="U567" s="55"/>
      <c r="V567" s="55"/>
      <c r="W567" s="55"/>
      <c r="X567" s="55"/>
      <c r="Y567" s="55"/>
      <c r="Z567" s="55"/>
      <c r="AA567" s="55"/>
      <c r="AB567" s="55"/>
      <c r="AC567" s="55"/>
      <c r="AD567" s="55"/>
      <c r="AE567" s="55"/>
      <c r="AF567" s="55"/>
      <c r="AG567" s="55"/>
      <c r="AH567" s="55"/>
      <c r="AI567" s="55"/>
      <c r="AJ567" s="55"/>
      <c r="AK567" s="55"/>
      <c r="AL567" s="55"/>
      <c r="AM567" s="55"/>
      <c r="AN567" s="55"/>
      <c r="AO567" s="55"/>
      <c r="AP567" s="55"/>
      <c r="AQ567" s="55"/>
      <c r="AR567" s="55"/>
      <c r="AS567" s="55"/>
      <c r="AT567" s="55"/>
      <c r="AU567" s="55"/>
      <c r="AV567" s="55"/>
      <c r="AW567" s="55"/>
      <c r="AX567" s="55"/>
      <c r="AY567" s="55"/>
      <c r="AZ567" s="55"/>
      <c r="BA567" s="55"/>
      <c r="BB567" s="55"/>
      <c r="BC567" s="55"/>
      <c r="BD567" s="55"/>
      <c r="BE567" s="55"/>
      <c r="BF567" s="55"/>
      <c r="BG567" s="55"/>
      <c r="BH567" s="55"/>
      <c r="BI567" s="55"/>
      <c r="BJ567" s="55"/>
      <c r="BK567" s="55"/>
      <c r="BL567" s="55"/>
      <c r="BM567" s="55"/>
      <c r="BN567" s="55"/>
      <c r="BO567" s="55"/>
      <c r="BP567" s="55"/>
      <c r="BQ567" s="55"/>
      <c r="BR567" s="55"/>
      <c r="BS567" s="55"/>
    </row>
  </sheetData>
  <mergeCells count="4">
    <mergeCell ref="B7:E7"/>
    <mergeCell ref="B78:E78"/>
    <mergeCell ref="B117:E117"/>
    <mergeCell ref="B398:E398"/>
  </mergeCells>
  <pageMargins left="0.7" right="0.7" top="0.75" bottom="0.75" header="0.3" footer="0.3"/>
</worksheet>
</file>

<file path=xl/worksheets/sheet1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75D61-D377-41B6-B45C-04A620DA05DD}">
  <sheetPr codeName="Sheet16"/>
  <dimension ref="A1:CP50"/>
  <sheetViews>
    <sheetView showGridLines="0" zoomScale="80" zoomScaleNormal="80" workbookViewId="0">
      <selection activeCell="C3" sqref="C3"/>
    </sheetView>
  </sheetViews>
  <sheetFormatPr baseColWidth="10" defaultColWidth="0" defaultRowHeight="15" x14ac:dyDescent="0.2"/>
  <cols>
    <col min="1" max="1" width="11" customWidth="1"/>
    <col min="2" max="2" width="18.5" customWidth="1"/>
    <col min="3" max="3" width="20.6640625" bestFit="1" customWidth="1"/>
    <col min="4" max="4" width="17.6640625" customWidth="1"/>
    <col min="5" max="5" width="16.6640625" customWidth="1"/>
    <col min="6" max="6" width="17.5" customWidth="1"/>
    <col min="7" max="7" width="16" bestFit="1" customWidth="1"/>
    <col min="8" max="8" width="150.1640625" customWidth="1"/>
    <col min="9" max="10" width="14.6640625" customWidth="1"/>
    <col min="11" max="11" width="17.6640625" style="7" customWidth="1"/>
    <col min="12" max="12" width="24.5" hidden="1" customWidth="1"/>
    <col min="13" max="93" width="9.1640625" customWidth="1"/>
    <col min="94" max="94" width="0" style="6" hidden="1" customWidth="1"/>
    <col min="95" max="16384" width="9.1640625" style="6" hidden="1"/>
  </cols>
  <sheetData>
    <row r="1" spans="1:93" s="5" customFormat="1" ht="20.25" customHeight="1" x14ac:dyDescent="0.2">
      <c r="A1" s="82" t="s">
        <v>902</v>
      </c>
      <c r="B1" s="82"/>
      <c r="C1" s="82"/>
      <c r="D1" s="82"/>
      <c r="E1" s="82"/>
      <c r="F1" s="82"/>
      <c r="G1" s="82"/>
      <c r="H1" s="82"/>
      <c r="I1" s="82"/>
      <c r="J1" s="82"/>
      <c r="K1" s="83"/>
      <c r="L1" s="82"/>
      <c r="M1" s="82"/>
      <c r="N1" s="82"/>
      <c r="O1" s="82"/>
      <c r="P1" s="82"/>
      <c r="Q1" s="82"/>
      <c r="R1" s="82"/>
      <c r="S1" s="82"/>
      <c r="T1" s="82"/>
      <c r="U1" s="82"/>
      <c r="V1" s="82"/>
      <c r="W1" s="82"/>
      <c r="X1" s="82"/>
      <c r="Y1" s="82"/>
      <c r="Z1" s="82"/>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row>
    <row r="2" spans="1:93" ht="9" customHeight="1" x14ac:dyDescent="0.2">
      <c r="A2" s="6"/>
      <c r="B2" s="6"/>
      <c r="C2" s="6"/>
      <c r="D2" s="6"/>
      <c r="E2" s="6"/>
      <c r="F2" s="6"/>
      <c r="G2" s="6"/>
      <c r="H2" s="6"/>
      <c r="I2" s="6"/>
      <c r="J2" s="6"/>
      <c r="K2" s="84"/>
      <c r="L2" s="6"/>
      <c r="M2" s="6"/>
      <c r="N2" s="6"/>
      <c r="O2" s="6"/>
      <c r="P2" s="6"/>
      <c r="Q2" s="6"/>
      <c r="R2" s="6"/>
      <c r="S2" s="6"/>
      <c r="T2" s="6"/>
      <c r="U2" s="6"/>
      <c r="V2" s="6"/>
      <c r="W2" s="6"/>
      <c r="X2" s="6"/>
      <c r="Y2" s="6"/>
      <c r="Z2" s="6"/>
    </row>
    <row r="3" spans="1:93" customFormat="1" x14ac:dyDescent="0.2">
      <c r="A3" s="150" t="s">
        <v>903</v>
      </c>
      <c r="B3" s="150" t="s">
        <v>904</v>
      </c>
      <c r="C3" s="150" t="s">
        <v>905</v>
      </c>
      <c r="D3" s="150" t="s">
        <v>906</v>
      </c>
      <c r="E3" s="150" t="s">
        <v>907</v>
      </c>
      <c r="F3" s="150" t="s">
        <v>908</v>
      </c>
      <c r="G3" s="150" t="s">
        <v>909</v>
      </c>
      <c r="H3" s="150" t="s">
        <v>912</v>
      </c>
      <c r="L3" t="str">
        <f t="array" ref="L3:L17">(list_tab_names)</f>
        <v>Info</v>
      </c>
    </row>
    <row r="4" spans="1:93" customFormat="1" x14ac:dyDescent="0.2">
      <c r="A4" s="151">
        <v>1</v>
      </c>
      <c r="B4" s="15" t="s">
        <v>716</v>
      </c>
      <c r="C4" s="151" t="s">
        <v>910</v>
      </c>
      <c r="D4" s="151">
        <v>0.414809988734756</v>
      </c>
      <c r="E4" s="151">
        <v>4.1480998873475601</v>
      </c>
      <c r="F4" s="153" t="d">
        <v>2021-10-25</v>
      </c>
      <c r="G4" s="151" t="s">
        <v>911</v>
      </c>
      <c r="H4" s="151" t="s">
        <v>913</v>
      </c>
      <c r="K4" s="7"/>
      <c r="L4" t="str">
        <v>Tableau de bord Backcasting</v>
      </c>
    </row>
    <row r="5" spans="1:93" customFormat="1" x14ac:dyDescent="0.2">
      <c r="A5" s="151">
        <f>A4+1</f>
        <v>2</v>
      </c>
      <c r="B5" s="15" t="s">
        <v>716</v>
      </c>
      <c r="C5" s="151" t="s">
        <v>927</v>
      </c>
      <c r="D5" s="151">
        <v>0.16884099377147982</v>
      </c>
      <c r="E5" s="151">
        <f>96.9/1000</f>
        <v>9.69E-2</v>
      </c>
      <c r="F5" s="153" t="d">
        <v>2021-10-31</v>
      </c>
      <c r="G5" s="151" t="s">
        <v>911</v>
      </c>
      <c r="H5" s="151" t="s">
        <v>928</v>
      </c>
      <c r="L5" t="str">
        <v>Tableau de bord Prévisions</v>
      </c>
    </row>
    <row r="6" spans="1:93" x14ac:dyDescent="0.2">
      <c r="A6" s="151">
        <f t="shared" ref="A6:A49" si="0">A5+1</f>
        <v>3</v>
      </c>
      <c r="B6" s="15" t="s">
        <v>934</v>
      </c>
      <c r="C6" s="151" t="s">
        <v>935</v>
      </c>
      <c r="D6" s="151"/>
      <c r="E6" s="151"/>
      <c r="F6" s="153" t="d">
        <v>2021-10-31</v>
      </c>
      <c r="G6" s="151" t="s">
        <v>911</v>
      </c>
      <c r="H6" s="151" t="s">
        <v>936</v>
      </c>
      <c r="L6" t="str">
        <v>Données graphiques</v>
      </c>
    </row>
    <row r="7" spans="1:93" x14ac:dyDescent="0.2">
      <c r="A7" s="151">
        <f t="shared" si="0"/>
        <v>4</v>
      </c>
      <c r="B7" s="15" t="s">
        <v>934</v>
      </c>
      <c r="C7" s="151" t="s">
        <v>937</v>
      </c>
      <c r="D7" s="151" t="s">
        <v>938</v>
      </c>
      <c r="E7" s="151"/>
      <c r="F7" s="153" t="d">
        <v>2021-10-31</v>
      </c>
      <c r="G7" s="151" t="s">
        <v>911</v>
      </c>
      <c r="H7" s="151" t="s">
        <v>939</v>
      </c>
      <c r="L7" t="str">
        <v>Données d'entrées</v>
      </c>
    </row>
    <row r="8" spans="1:93" x14ac:dyDescent="0.2">
      <c r="A8" s="151">
        <f t="shared" si="0"/>
        <v>5</v>
      </c>
      <c r="B8" s="15" t="s">
        <v>934</v>
      </c>
      <c r="C8" s="151" t="s">
        <v>962</v>
      </c>
      <c r="D8" s="151" t="s">
        <v>938</v>
      </c>
      <c r="E8" s="151" t="s">
        <v>963</v>
      </c>
      <c r="F8" s="153" t="d">
        <v>2021-11-02</v>
      </c>
      <c r="G8" s="151" t="s">
        <v>911</v>
      </c>
      <c r="H8" s="151" t="s">
        <v>964</v>
      </c>
      <c r="L8" t="str">
        <v>Mwafi_PSC</v>
      </c>
    </row>
    <row r="9" spans="1:93" x14ac:dyDescent="0.2">
      <c r="A9" s="151">
        <f t="shared" si="0"/>
        <v>6</v>
      </c>
      <c r="B9" s="15" t="s">
        <v>934</v>
      </c>
      <c r="C9" s="151" t="s">
        <v>965</v>
      </c>
      <c r="D9" s="151">
        <v>70</v>
      </c>
      <c r="E9" s="151">
        <v>40.43</v>
      </c>
      <c r="F9" s="153" t="d">
        <v>2021-11-02</v>
      </c>
      <c r="G9" s="151" t="s">
        <v>911</v>
      </c>
      <c r="H9" s="151" t="s">
        <v>966</v>
      </c>
      <c r="L9" t="str">
        <v>Haute_Mer_1994</v>
      </c>
    </row>
    <row r="10" spans="1:93" x14ac:dyDescent="0.2">
      <c r="A10" s="151">
        <f t="shared" si="0"/>
        <v>7</v>
      </c>
      <c r="B10" s="15" t="s">
        <v>934</v>
      </c>
      <c r="C10" s="151" t="s">
        <v>967</v>
      </c>
      <c r="D10" s="151" t="s">
        <v>938</v>
      </c>
      <c r="E10" s="151" t="s">
        <v>968</v>
      </c>
      <c r="F10" s="153" t="d">
        <v>2021-11-02</v>
      </c>
      <c r="G10" s="151" t="s">
        <v>911</v>
      </c>
      <c r="H10" s="151" t="s">
        <v>969</v>
      </c>
      <c r="L10" t="str">
        <v xml:space="preserve"> Résultats</v>
      </c>
    </row>
    <row r="11" spans="1:93" x14ac:dyDescent="0.2">
      <c r="A11" s="151">
        <f t="shared" si="0"/>
        <v>8</v>
      </c>
      <c r="B11" s="15" t="s">
        <v>934</v>
      </c>
      <c r="C11" s="151" t="s">
        <v>1006</v>
      </c>
      <c r="D11" s="151"/>
      <c r="E11" s="151">
        <f>108</f>
        <v>108</v>
      </c>
      <c r="F11" s="153" t="d">
        <v>2021-11-15</v>
      </c>
      <c r="G11" s="151" t="s">
        <v>911</v>
      </c>
      <c r="H11" s="151" t="s">
        <v>1005</v>
      </c>
      <c r="L11" t="str">
        <v>HM_ZA_Nkossa</v>
      </c>
    </row>
    <row r="12" spans="1:93" x14ac:dyDescent="0.2">
      <c r="A12" s="151">
        <f t="shared" si="0"/>
        <v>9</v>
      </c>
      <c r="B12" s="15"/>
      <c r="C12" s="151"/>
      <c r="D12" s="151"/>
      <c r="E12" s="151"/>
      <c r="F12" s="151"/>
      <c r="G12" s="151"/>
      <c r="H12" s="151"/>
      <c r="L12" t="str">
        <v>HM_ZB_Nsoko</v>
      </c>
    </row>
    <row r="13" spans="1:93" x14ac:dyDescent="0.2">
      <c r="A13" s="151">
        <f t="shared" si="0"/>
        <v>10</v>
      </c>
      <c r="B13" s="15"/>
      <c r="C13" s="151"/>
      <c r="D13" s="151"/>
      <c r="E13" s="151"/>
      <c r="F13" s="151"/>
      <c r="G13" s="151"/>
      <c r="H13" s="151"/>
      <c r="L13" t="str">
        <v>HM_ZD_Moho</v>
      </c>
    </row>
    <row r="14" spans="1:93" x14ac:dyDescent="0.2">
      <c r="A14" s="151">
        <f t="shared" si="0"/>
        <v>11</v>
      </c>
      <c r="B14" s="15"/>
      <c r="C14" s="151"/>
      <c r="D14" s="151"/>
      <c r="E14" s="151"/>
      <c r="F14" s="151"/>
      <c r="G14" s="151"/>
      <c r="H14" s="151"/>
      <c r="L14" t="str">
        <v>KLL_II_2020</v>
      </c>
    </row>
    <row r="15" spans="1:93" x14ac:dyDescent="0.2">
      <c r="A15" s="151">
        <f t="shared" si="0"/>
        <v>12</v>
      </c>
      <c r="B15" s="15"/>
      <c r="C15" s="151"/>
      <c r="D15" s="151"/>
      <c r="E15" s="151"/>
      <c r="F15" s="151"/>
      <c r="G15" s="151"/>
      <c r="H15" s="151"/>
      <c r="L15" t="str">
        <v>Loango_II</v>
      </c>
    </row>
    <row r="16" spans="1:93" x14ac:dyDescent="0.2">
      <c r="A16" s="151">
        <f t="shared" si="0"/>
        <v>13</v>
      </c>
      <c r="B16" s="15"/>
      <c r="C16" s="151"/>
      <c r="D16" s="151"/>
      <c r="E16" s="151"/>
      <c r="F16" s="151"/>
      <c r="G16" s="151"/>
      <c r="H16" s="151"/>
      <c r="L16" t="str">
        <v>Marine</v>
      </c>
    </row>
    <row r="17" spans="1:12" x14ac:dyDescent="0.2">
      <c r="A17" s="151">
        <f t="shared" si="0"/>
        <v>14</v>
      </c>
      <c r="B17" s="15"/>
      <c r="C17" s="151"/>
      <c r="D17" s="151"/>
      <c r="E17" s="151"/>
      <c r="F17" s="151"/>
      <c r="G17" s="151"/>
      <c r="H17" s="151"/>
      <c r="L17" t="str">
        <v>HM_ZD_AM3_2005</v>
      </c>
    </row>
    <row r="18" spans="1:12" x14ac:dyDescent="0.2">
      <c r="A18" s="151">
        <f t="shared" si="0"/>
        <v>15</v>
      </c>
      <c r="B18" s="15"/>
      <c r="C18" s="151"/>
      <c r="D18" s="151"/>
      <c r="E18" s="151"/>
      <c r="F18" s="151"/>
      <c r="G18" s="151"/>
      <c r="H18" s="151"/>
    </row>
    <row r="19" spans="1:12" x14ac:dyDescent="0.2">
      <c r="A19" s="151">
        <f t="shared" si="0"/>
        <v>16</v>
      </c>
      <c r="B19" s="15"/>
      <c r="C19" s="151"/>
      <c r="D19" s="151"/>
      <c r="E19" s="151"/>
      <c r="F19" s="151"/>
      <c r="G19" s="151"/>
      <c r="H19" s="151"/>
    </row>
    <row r="20" spans="1:12" x14ac:dyDescent="0.2">
      <c r="A20" s="151">
        <f t="shared" si="0"/>
        <v>17</v>
      </c>
      <c r="B20" s="15"/>
      <c r="C20" s="151"/>
      <c r="D20" s="151"/>
      <c r="E20" s="151"/>
      <c r="F20" s="151"/>
      <c r="G20" s="151"/>
      <c r="H20" s="151"/>
    </row>
    <row r="21" spans="1:12" x14ac:dyDescent="0.2">
      <c r="A21" s="151">
        <f t="shared" si="0"/>
        <v>18</v>
      </c>
      <c r="B21" s="15"/>
      <c r="C21" s="151"/>
      <c r="D21" s="151"/>
      <c r="E21" s="151"/>
      <c r="F21" s="151"/>
      <c r="G21" s="151"/>
      <c r="H21" s="151"/>
    </row>
    <row r="22" spans="1:12" x14ac:dyDescent="0.2">
      <c r="A22" s="151">
        <f t="shared" si="0"/>
        <v>19</v>
      </c>
      <c r="B22" s="15"/>
      <c r="C22" s="151"/>
      <c r="D22" s="151"/>
      <c r="E22" s="151"/>
      <c r="F22" s="151"/>
      <c r="G22" s="151"/>
      <c r="H22" s="151"/>
    </row>
    <row r="23" spans="1:12" x14ac:dyDescent="0.2">
      <c r="A23" s="151">
        <f t="shared" si="0"/>
        <v>20</v>
      </c>
      <c r="B23" s="15"/>
      <c r="C23" s="151"/>
      <c r="D23" s="151"/>
      <c r="E23" s="151"/>
      <c r="F23" s="151"/>
      <c r="G23" s="151"/>
      <c r="H23" s="151"/>
    </row>
    <row r="24" spans="1:12" x14ac:dyDescent="0.2">
      <c r="A24" s="151">
        <f t="shared" si="0"/>
        <v>21</v>
      </c>
      <c r="B24" s="15"/>
      <c r="C24" s="151"/>
      <c r="D24" s="151"/>
      <c r="E24" s="151"/>
      <c r="F24" s="151"/>
      <c r="G24" s="151"/>
      <c r="H24" s="151"/>
    </row>
    <row r="25" spans="1:12" x14ac:dyDescent="0.2">
      <c r="A25" s="151">
        <f t="shared" si="0"/>
        <v>22</v>
      </c>
      <c r="B25" s="15"/>
      <c r="C25" s="151"/>
      <c r="D25" s="151"/>
      <c r="E25" s="151"/>
      <c r="F25" s="151"/>
      <c r="G25" s="151"/>
      <c r="H25" s="151"/>
    </row>
    <row r="26" spans="1:12" x14ac:dyDescent="0.2">
      <c r="A26" s="151">
        <f t="shared" si="0"/>
        <v>23</v>
      </c>
      <c r="B26" s="15"/>
      <c r="C26" s="151"/>
      <c r="D26" s="151"/>
      <c r="E26" s="151"/>
      <c r="F26" s="151"/>
      <c r="G26" s="151"/>
      <c r="H26" s="151"/>
    </row>
    <row r="27" spans="1:12" x14ac:dyDescent="0.2">
      <c r="A27" s="151">
        <f t="shared" si="0"/>
        <v>24</v>
      </c>
      <c r="B27" s="15"/>
      <c r="C27" s="151"/>
      <c r="D27" s="151"/>
      <c r="E27" s="151"/>
      <c r="F27" s="151"/>
      <c r="G27" s="151"/>
      <c r="H27" s="151"/>
    </row>
    <row r="28" spans="1:12" x14ac:dyDescent="0.2">
      <c r="A28" s="151">
        <f t="shared" si="0"/>
        <v>25</v>
      </c>
      <c r="B28" s="15"/>
      <c r="C28" s="151"/>
      <c r="D28" s="151"/>
      <c r="E28" s="151"/>
      <c r="F28" s="151"/>
      <c r="G28" s="151"/>
      <c r="H28" s="151"/>
    </row>
    <row r="29" spans="1:12" x14ac:dyDescent="0.2">
      <c r="A29" s="151">
        <f t="shared" si="0"/>
        <v>26</v>
      </c>
      <c r="B29" s="15"/>
      <c r="C29" s="151"/>
      <c r="D29" s="151"/>
      <c r="E29" s="151"/>
      <c r="F29" s="151"/>
      <c r="G29" s="151"/>
      <c r="H29" s="151"/>
    </row>
    <row r="30" spans="1:12" x14ac:dyDescent="0.2">
      <c r="A30" s="151">
        <f t="shared" si="0"/>
        <v>27</v>
      </c>
      <c r="B30" s="15"/>
      <c r="C30" s="151"/>
      <c r="D30" s="151"/>
      <c r="E30" s="151"/>
      <c r="F30" s="151"/>
      <c r="G30" s="151"/>
      <c r="H30" s="151"/>
    </row>
    <row r="31" spans="1:12" x14ac:dyDescent="0.2">
      <c r="A31" s="151">
        <f t="shared" si="0"/>
        <v>28</v>
      </c>
      <c r="B31" s="15"/>
      <c r="C31" s="151"/>
      <c r="D31" s="151"/>
      <c r="E31" s="151"/>
      <c r="F31" s="151"/>
      <c r="G31" s="151"/>
      <c r="H31" s="151"/>
    </row>
    <row r="32" spans="1:12" x14ac:dyDescent="0.2">
      <c r="A32" s="151">
        <f t="shared" si="0"/>
        <v>29</v>
      </c>
      <c r="B32" s="15"/>
      <c r="C32" s="151"/>
      <c r="D32" s="151"/>
      <c r="E32" s="151"/>
      <c r="F32" s="151"/>
      <c r="G32" s="151"/>
      <c r="H32" s="151"/>
    </row>
    <row r="33" spans="1:8" x14ac:dyDescent="0.2">
      <c r="A33" s="151">
        <f t="shared" si="0"/>
        <v>30</v>
      </c>
      <c r="B33" s="15"/>
      <c r="C33" s="151"/>
      <c r="D33" s="151"/>
      <c r="E33" s="151"/>
      <c r="F33" s="151"/>
      <c r="G33" s="151"/>
      <c r="H33" s="151"/>
    </row>
    <row r="34" spans="1:8" x14ac:dyDescent="0.2">
      <c r="A34" s="151">
        <f t="shared" si="0"/>
        <v>31</v>
      </c>
      <c r="B34" s="15"/>
      <c r="C34" s="151"/>
      <c r="D34" s="151"/>
      <c r="E34" s="151"/>
      <c r="F34" s="151"/>
      <c r="G34" s="151"/>
      <c r="H34" s="151"/>
    </row>
    <row r="35" spans="1:8" x14ac:dyDescent="0.2">
      <c r="A35" s="151">
        <f t="shared" si="0"/>
        <v>32</v>
      </c>
      <c r="B35" s="15"/>
      <c r="C35" s="151"/>
      <c r="D35" s="151"/>
      <c r="E35" s="151"/>
      <c r="F35" s="151"/>
      <c r="G35" s="151"/>
      <c r="H35" s="151"/>
    </row>
    <row r="36" spans="1:8" x14ac:dyDescent="0.2">
      <c r="A36" s="151">
        <f t="shared" si="0"/>
        <v>33</v>
      </c>
      <c r="B36" s="15"/>
      <c r="C36" s="151"/>
      <c r="D36" s="151"/>
      <c r="E36" s="151"/>
      <c r="F36" s="151"/>
      <c r="G36" s="151"/>
      <c r="H36" s="151"/>
    </row>
    <row r="37" spans="1:8" x14ac:dyDescent="0.2">
      <c r="A37" s="151">
        <f t="shared" si="0"/>
        <v>34</v>
      </c>
      <c r="B37" s="15"/>
      <c r="C37" s="151"/>
      <c r="D37" s="151"/>
      <c r="E37" s="151"/>
      <c r="F37" s="151"/>
      <c r="G37" s="151"/>
      <c r="H37" s="151"/>
    </row>
    <row r="38" spans="1:8" x14ac:dyDescent="0.2">
      <c r="A38" s="151">
        <f t="shared" si="0"/>
        <v>35</v>
      </c>
      <c r="B38" s="15"/>
      <c r="C38" s="151"/>
      <c r="D38" s="151"/>
      <c r="E38" s="151"/>
      <c r="F38" s="151"/>
      <c r="G38" s="151"/>
      <c r="H38" s="151"/>
    </row>
    <row r="39" spans="1:8" x14ac:dyDescent="0.2">
      <c r="A39" s="151">
        <f t="shared" si="0"/>
        <v>36</v>
      </c>
      <c r="B39" s="15"/>
      <c r="C39" s="151"/>
      <c r="D39" s="151"/>
      <c r="E39" s="151"/>
      <c r="F39" s="151"/>
      <c r="G39" s="151"/>
      <c r="H39" s="151"/>
    </row>
    <row r="40" spans="1:8" x14ac:dyDescent="0.2">
      <c r="A40" s="151">
        <f t="shared" si="0"/>
        <v>37</v>
      </c>
      <c r="B40" s="15"/>
      <c r="C40" s="151"/>
      <c r="D40" s="151"/>
      <c r="E40" s="151"/>
      <c r="F40" s="151"/>
      <c r="G40" s="151"/>
      <c r="H40" s="151"/>
    </row>
    <row r="41" spans="1:8" x14ac:dyDescent="0.2">
      <c r="A41" s="151">
        <f t="shared" si="0"/>
        <v>38</v>
      </c>
      <c r="B41" s="15"/>
      <c r="C41" s="151"/>
      <c r="D41" s="151"/>
      <c r="E41" s="151"/>
      <c r="F41" s="151"/>
      <c r="G41" s="151"/>
      <c r="H41" s="151"/>
    </row>
    <row r="42" spans="1:8" x14ac:dyDescent="0.2">
      <c r="A42" s="151">
        <f t="shared" si="0"/>
        <v>39</v>
      </c>
      <c r="B42" s="15"/>
      <c r="C42" s="151"/>
      <c r="D42" s="151"/>
      <c r="E42" s="151"/>
      <c r="F42" s="151"/>
      <c r="G42" s="151"/>
      <c r="H42" s="151"/>
    </row>
    <row r="43" spans="1:8" x14ac:dyDescent="0.2">
      <c r="A43" s="151">
        <f t="shared" si="0"/>
        <v>40</v>
      </c>
      <c r="B43" s="15"/>
      <c r="C43" s="151"/>
      <c r="D43" s="151"/>
      <c r="E43" s="151"/>
      <c r="F43" s="151"/>
      <c r="G43" s="151"/>
      <c r="H43" s="151"/>
    </row>
    <row r="44" spans="1:8" x14ac:dyDescent="0.2">
      <c r="A44" s="151">
        <f t="shared" si="0"/>
        <v>41</v>
      </c>
      <c r="B44" s="15"/>
      <c r="C44" s="151"/>
      <c r="D44" s="151"/>
      <c r="E44" s="151"/>
      <c r="F44" s="151"/>
      <c r="G44" s="151"/>
      <c r="H44" s="151"/>
    </row>
    <row r="45" spans="1:8" x14ac:dyDescent="0.2">
      <c r="A45" s="151">
        <f t="shared" si="0"/>
        <v>42</v>
      </c>
      <c r="B45" s="15"/>
      <c r="C45" s="151"/>
      <c r="D45" s="151"/>
      <c r="E45" s="151"/>
      <c r="F45" s="151"/>
      <c r="G45" s="151"/>
      <c r="H45" s="151"/>
    </row>
    <row r="46" spans="1:8" x14ac:dyDescent="0.2">
      <c r="A46" s="151">
        <f t="shared" si="0"/>
        <v>43</v>
      </c>
      <c r="B46" s="15"/>
      <c r="C46" s="151"/>
      <c r="D46" s="151"/>
      <c r="E46" s="151"/>
      <c r="F46" s="151"/>
      <c r="G46" s="151"/>
      <c r="H46" s="151"/>
    </row>
    <row r="47" spans="1:8" x14ac:dyDescent="0.2">
      <c r="A47" s="151">
        <f t="shared" si="0"/>
        <v>44</v>
      </c>
      <c r="B47" s="15"/>
      <c r="C47" s="151"/>
      <c r="D47" s="151"/>
      <c r="E47" s="151"/>
      <c r="F47" s="151"/>
      <c r="G47" s="151"/>
      <c r="H47" s="151"/>
    </row>
    <row r="48" spans="1:8" x14ac:dyDescent="0.2">
      <c r="A48" s="151">
        <f t="shared" si="0"/>
        <v>45</v>
      </c>
      <c r="B48" s="15"/>
      <c r="C48" s="151"/>
      <c r="D48" s="151"/>
      <c r="E48" s="151"/>
      <c r="F48" s="151"/>
      <c r="G48" s="151"/>
      <c r="H48" s="151"/>
    </row>
    <row r="49" spans="1:8" x14ac:dyDescent="0.2">
      <c r="A49" s="151">
        <f t="shared" si="0"/>
        <v>46</v>
      </c>
      <c r="B49" s="15"/>
      <c r="C49" s="151"/>
      <c r="D49" s="151"/>
      <c r="E49" s="151"/>
      <c r="F49" s="151"/>
      <c r="G49" s="151"/>
      <c r="H49" s="151"/>
    </row>
    <row r="50" spans="1:8" x14ac:dyDescent="0.2">
      <c r="A50" s="152"/>
      <c r="B50" s="152"/>
      <c r="C50" s="152"/>
      <c r="D50" s="152"/>
      <c r="E50" s="152"/>
      <c r="F50" s="152"/>
      <c r="G50" s="152"/>
      <c r="H50" s="152"/>
    </row>
  </sheetData>
  <dataValidations count="1">
    <dataValidation type="list" allowBlank="1" showInputMessage="1" showErrorMessage="1" sqref="B4:B49" xr:uid="{97209B2B-4D4E-4627-9FFA-D14D92F132B8}">
      <formula1>list_tabNames</formula1>
    </dataValidation>
  </dataValidations>
  <pageMargins left="0.7" right="0.7" top="0.75" bottom="0.75" header="0.3" footer="0.3"/>
</worksheet>
</file>

<file path=xl/worksheets/sheet1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02827E-EC9D-49C4-9F7D-5A1B6E286645}">
  <sheetPr codeName="Sheet17"/>
  <dimension ref="A1:B13"/>
  <sheetViews>
    <sheetView workbookViewId="0">
      <selection activeCell="B12" sqref="B12"/>
    </sheetView>
  </sheetViews>
  <sheetFormatPr baseColWidth="10" defaultColWidth="8.83203125" defaultRowHeight="15" x14ac:dyDescent="0.2"/>
  <sheetData>
    <row r="1" spans="1:2" x14ac:dyDescent="0.2">
      <c r="A1" t="s">
        <v>943</v>
      </c>
      <c r="B1" t="s">
        <v>944</v>
      </c>
    </row>
    <row r="2" spans="1:2" x14ac:dyDescent="0.2">
      <c r="A2" s="164" t="d">
        <v>2021-10-01</v>
      </c>
      <c r="B2" s="60">
        <v>83.51</v>
      </c>
    </row>
    <row r="3" spans="1:2" x14ac:dyDescent="0.2">
      <c r="A3" s="164" t="d">
        <v>2021-09-01</v>
      </c>
      <c r="B3" s="60">
        <v>74.489999999999995</v>
      </c>
    </row>
    <row r="4" spans="1:2" x14ac:dyDescent="0.2">
      <c r="A4" s="164" t="d">
        <v>2021-08-01</v>
      </c>
      <c r="B4" s="60">
        <v>70.75</v>
      </c>
    </row>
    <row r="5" spans="1:2" x14ac:dyDescent="0.2">
      <c r="A5" s="164" t="d">
        <v>2021-07-01</v>
      </c>
      <c r="B5" s="60">
        <v>75.17</v>
      </c>
    </row>
    <row r="6" spans="1:2" x14ac:dyDescent="0.2">
      <c r="A6" s="164" t="d">
        <v>2021-06-01</v>
      </c>
      <c r="B6" s="60">
        <v>73.16</v>
      </c>
    </row>
    <row r="7" spans="1:2" x14ac:dyDescent="0.2">
      <c r="A7" s="164" t="d">
        <v>2021-05-01</v>
      </c>
      <c r="B7" s="60">
        <v>68.53</v>
      </c>
    </row>
    <row r="8" spans="1:2" x14ac:dyDescent="0.2">
      <c r="A8" s="164" t="d">
        <v>2021-04-01</v>
      </c>
      <c r="B8" s="60">
        <v>64.81</v>
      </c>
    </row>
    <row r="9" spans="1:2" x14ac:dyDescent="0.2">
      <c r="A9" s="164" t="d">
        <v>2021-03-01</v>
      </c>
      <c r="B9" s="60">
        <v>65.41</v>
      </c>
    </row>
    <row r="10" spans="1:2" x14ac:dyDescent="0.2">
      <c r="A10" s="164" t="d">
        <v>2021-02-01</v>
      </c>
      <c r="B10" s="60">
        <v>62.28</v>
      </c>
    </row>
    <row r="11" spans="1:2" x14ac:dyDescent="0.2">
      <c r="A11" s="164" t="d">
        <v>2021-01-01</v>
      </c>
      <c r="B11" s="60">
        <v>54.77</v>
      </c>
    </row>
    <row r="12" spans="1:2" x14ac:dyDescent="0.2">
      <c r="A12" s="164"/>
      <c r="B12" s="60">
        <f>AVERAGE(B2:B11)</f>
        <v>69.287999999999997</v>
      </c>
    </row>
    <row r="13" spans="1:2" x14ac:dyDescent="0.2">
      <c r="A13" s="164"/>
      <c r="B13" s="60"/>
    </row>
  </sheetData>
  <pageMargins left="0.7" right="0.7" top="0.75" bottom="0.75" header="0.3" footer="0.3"/>
</worksheet>
</file>

<file path=xl/worksheets/sheet18.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0EAAD2-F609-439C-BE9C-A752C7AF9091}">
  <sheetPr codeName="Sheet18"/>
  <dimension ref="A1:C510"/>
  <sheetViews>
    <sheetView topLeftCell="A239" zoomScale="90" zoomScaleNormal="90" workbookViewId="0">
      <selection activeCell="B223" sqref="B223"/>
    </sheetView>
  </sheetViews>
  <sheetFormatPr baseColWidth="10" defaultColWidth="8.83203125" defaultRowHeight="15" x14ac:dyDescent="0.2"/>
  <cols>
    <col min="1" max="1" width="21.5" bestFit="1" customWidth="1"/>
    <col min="2" max="2" width="82.1640625" bestFit="1" customWidth="1"/>
    <col min="3" max="3" width="37.6640625" customWidth="1"/>
  </cols>
  <sheetData>
    <row r="1" spans="1:3" x14ac:dyDescent="0.2">
      <c r="A1" s="201" t="s">
        <v>1061</v>
      </c>
      <c r="B1" s="202" t="s">
        <v>1062</v>
      </c>
      <c r="C1" s="203" t="s">
        <v>1063</v>
      </c>
    </row>
    <row r="2" spans="1:3" ht="32" x14ac:dyDescent="0.2">
      <c r="A2" t="s">
        <v>1064</v>
      </c>
      <c r="B2" s="216" t="s">
        <v>711</v>
      </c>
      <c r="C2" s="217" t="s">
        <v>1090</v>
      </c>
    </row>
    <row r="3" spans="1:3" ht="16" x14ac:dyDescent="0.2">
      <c r="B3" s="216" t="s">
        <v>4</v>
      </c>
      <c r="C3" s="217" t="s">
        <v>1091</v>
      </c>
    </row>
    <row r="4" spans="1:3" ht="16" x14ac:dyDescent="0.2">
      <c r="B4" s="216" t="s">
        <v>768</v>
      </c>
      <c r="C4" s="217" t="s">
        <v>1092</v>
      </c>
    </row>
    <row r="5" spans="1:3" ht="16" x14ac:dyDescent="0.2">
      <c r="B5" s="216" t="s">
        <v>769</v>
      </c>
      <c r="C5" s="217" t="s">
        <v>1440</v>
      </c>
    </row>
    <row r="6" spans="1:3" ht="16" x14ac:dyDescent="0.2">
      <c r="B6" s="216" t="s">
        <v>806</v>
      </c>
      <c r="C6" s="217" t="s">
        <v>1093</v>
      </c>
    </row>
    <row r="7" spans="1:3" ht="16" x14ac:dyDescent="0.2">
      <c r="B7" s="216" t="s">
        <v>1375</v>
      </c>
      <c r="C7" s="217" t="s">
        <v>1094</v>
      </c>
    </row>
    <row r="8" spans="1:3" ht="16" x14ac:dyDescent="0.2">
      <c r="B8" s="216" t="s">
        <v>712</v>
      </c>
      <c r="C8" s="217" t="s">
        <v>1095</v>
      </c>
    </row>
    <row r="9" spans="1:3" ht="16" x14ac:dyDescent="0.2">
      <c r="B9" s="216" t="s">
        <v>713</v>
      </c>
      <c r="C9" s="217" t="s">
        <v>1096</v>
      </c>
    </row>
    <row r="10" spans="1:3" ht="16" x14ac:dyDescent="0.2">
      <c r="B10" s="216" t="s">
        <v>719</v>
      </c>
      <c r="C10" s="217" t="s">
        <v>1097</v>
      </c>
    </row>
    <row r="11" spans="1:3" ht="16" x14ac:dyDescent="0.2">
      <c r="B11" s="216" t="s">
        <v>807</v>
      </c>
      <c r="C11" s="217" t="s">
        <v>1441</v>
      </c>
    </row>
    <row r="12" spans="1:3" ht="16" x14ac:dyDescent="0.2">
      <c r="B12" s="216" t="s">
        <v>810</v>
      </c>
      <c r="C12" s="217" t="s">
        <v>1098</v>
      </c>
    </row>
    <row r="13" spans="1:3" ht="16" x14ac:dyDescent="0.2">
      <c r="B13" s="216" t="s">
        <v>716</v>
      </c>
      <c r="C13" s="217" t="s">
        <v>1099</v>
      </c>
    </row>
    <row r="14" spans="1:3" ht="16" x14ac:dyDescent="0.2">
      <c r="B14" s="216" t="s">
        <v>763</v>
      </c>
      <c r="C14" s="217" t="s">
        <v>1100</v>
      </c>
    </row>
    <row r="15" spans="1:3" ht="16" x14ac:dyDescent="0.2">
      <c r="B15" s="216" t="s">
        <v>38</v>
      </c>
      <c r="C15" s="217" t="s">
        <v>1101</v>
      </c>
    </row>
    <row r="16" spans="1:3" ht="16" x14ac:dyDescent="0.2">
      <c r="B16" s="216" t="s">
        <v>70</v>
      </c>
      <c r="C16" s="217" t="s">
        <v>1102</v>
      </c>
    </row>
    <row r="17" spans="2:3" ht="16" x14ac:dyDescent="0.2">
      <c r="B17" s="216" t="s">
        <v>717</v>
      </c>
      <c r="C17" s="217" t="s">
        <v>1103</v>
      </c>
    </row>
    <row r="18" spans="2:3" ht="16" x14ac:dyDescent="0.2">
      <c r="B18" s="216" t="s">
        <v>71</v>
      </c>
      <c r="C18" s="217" t="s">
        <v>1104</v>
      </c>
    </row>
    <row r="19" spans="2:3" ht="16" x14ac:dyDescent="0.2">
      <c r="B19" s="216" t="s">
        <v>654</v>
      </c>
      <c r="C19" s="217" t="s">
        <v>1105</v>
      </c>
    </row>
    <row r="20" spans="2:3" ht="16" x14ac:dyDescent="0.2">
      <c r="B20" s="216" t="s">
        <v>51</v>
      </c>
      <c r="C20" s="217" t="s">
        <v>1106</v>
      </c>
    </row>
    <row r="21" spans="2:3" ht="16" x14ac:dyDescent="0.2">
      <c r="B21" s="216" t="s">
        <v>998</v>
      </c>
      <c r="C21" s="217" t="s">
        <v>1107</v>
      </c>
    </row>
    <row r="22" spans="2:3" ht="16" x14ac:dyDescent="0.2">
      <c r="B22" s="216" t="s">
        <v>367</v>
      </c>
      <c r="C22" s="217" t="s">
        <v>1108</v>
      </c>
    </row>
    <row r="23" spans="2:3" ht="16" x14ac:dyDescent="0.2">
      <c r="B23" s="216" t="s">
        <v>144</v>
      </c>
      <c r="C23" s="217" t="s">
        <v>1109</v>
      </c>
    </row>
    <row r="24" spans="2:3" ht="16" x14ac:dyDescent="0.2">
      <c r="B24" s="216" t="s">
        <v>736</v>
      </c>
      <c r="C24" s="217" t="s">
        <v>1442</v>
      </c>
    </row>
    <row r="25" spans="2:3" ht="16" x14ac:dyDescent="0.2">
      <c r="B25" s="216" t="s">
        <v>725</v>
      </c>
      <c r="C25" s="217" t="s">
        <v>1110</v>
      </c>
    </row>
    <row r="26" spans="2:3" ht="16" x14ac:dyDescent="0.2">
      <c r="B26" s="216" t="s">
        <v>723</v>
      </c>
      <c r="C26" s="217" t="s">
        <v>1111</v>
      </c>
    </row>
    <row r="27" spans="2:3" ht="16" x14ac:dyDescent="0.2">
      <c r="B27" s="216" t="s">
        <v>297</v>
      </c>
      <c r="C27" s="217" t="s">
        <v>1112</v>
      </c>
    </row>
    <row r="28" spans="2:3" ht="16" x14ac:dyDescent="0.2">
      <c r="B28" s="216" t="s">
        <v>737</v>
      </c>
      <c r="C28" s="217" t="s">
        <v>1113</v>
      </c>
    </row>
    <row r="29" spans="2:3" ht="16" x14ac:dyDescent="0.2">
      <c r="B29" s="216" t="s">
        <v>739</v>
      </c>
      <c r="C29" s="217" t="s">
        <v>1307</v>
      </c>
    </row>
    <row r="30" spans="2:3" ht="16" x14ac:dyDescent="0.2">
      <c r="B30" s="216" t="s">
        <v>738</v>
      </c>
      <c r="C30" s="217" t="s">
        <v>1114</v>
      </c>
    </row>
    <row r="31" spans="2:3" ht="16" x14ac:dyDescent="0.2">
      <c r="B31" s="216" t="s">
        <v>740</v>
      </c>
      <c r="C31" s="217" t="s">
        <v>1115</v>
      </c>
    </row>
    <row r="32" spans="2:3" ht="16" x14ac:dyDescent="0.2">
      <c r="B32" s="216" t="s">
        <v>741</v>
      </c>
      <c r="C32" s="217" t="s">
        <v>1116</v>
      </c>
    </row>
    <row r="33" spans="2:3" ht="16" x14ac:dyDescent="0.2">
      <c r="B33" s="216" t="s">
        <v>257</v>
      </c>
      <c r="C33" s="217" t="s">
        <v>1117</v>
      </c>
    </row>
    <row r="34" spans="2:3" ht="16" x14ac:dyDescent="0.2">
      <c r="B34" s="216" t="s">
        <v>732</v>
      </c>
      <c r="C34" s="217" t="s">
        <v>1443</v>
      </c>
    </row>
    <row r="35" spans="2:3" ht="16" x14ac:dyDescent="0.2">
      <c r="B35" s="216" t="s">
        <v>742</v>
      </c>
      <c r="C35" s="217" t="s">
        <v>1118</v>
      </c>
    </row>
    <row r="36" spans="2:3" ht="16" x14ac:dyDescent="0.2">
      <c r="B36" s="216" t="s">
        <v>1416</v>
      </c>
      <c r="C36" s="217" t="s">
        <v>1444</v>
      </c>
    </row>
    <row r="37" spans="2:3" ht="16" x14ac:dyDescent="0.2">
      <c r="B37" s="216" t="s">
        <v>744</v>
      </c>
      <c r="C37" s="217" t="s">
        <v>1119</v>
      </c>
    </row>
    <row r="38" spans="2:3" ht="16" x14ac:dyDescent="0.2">
      <c r="B38" s="216" t="s">
        <v>745</v>
      </c>
      <c r="C38" s="217" t="s">
        <v>1120</v>
      </c>
    </row>
    <row r="39" spans="2:3" ht="16" x14ac:dyDescent="0.2">
      <c r="B39" s="216" t="s">
        <v>755</v>
      </c>
      <c r="C39" s="217" t="s">
        <v>1121</v>
      </c>
    </row>
    <row r="40" spans="2:3" ht="16" x14ac:dyDescent="0.2">
      <c r="B40" s="216" t="s">
        <v>764</v>
      </c>
      <c r="C40" s="217" t="s">
        <v>1445</v>
      </c>
    </row>
    <row r="41" spans="2:3" ht="16" x14ac:dyDescent="0.2">
      <c r="B41" s="216" t="s">
        <v>293</v>
      </c>
      <c r="C41" s="217" t="s">
        <v>1122</v>
      </c>
    </row>
    <row r="42" spans="2:3" ht="16" x14ac:dyDescent="0.2">
      <c r="B42" s="216" t="s">
        <v>200</v>
      </c>
      <c r="C42" s="217" t="s">
        <v>200</v>
      </c>
    </row>
    <row r="43" spans="2:3" ht="16" x14ac:dyDescent="0.2">
      <c r="B43" s="216" t="s">
        <v>246</v>
      </c>
      <c r="C43" s="217" t="s">
        <v>246</v>
      </c>
    </row>
    <row r="44" spans="2:3" ht="16" x14ac:dyDescent="0.2">
      <c r="B44" s="216" t="s">
        <v>294</v>
      </c>
      <c r="C44" s="217" t="s">
        <v>294</v>
      </c>
    </row>
    <row r="45" spans="2:3" ht="16" x14ac:dyDescent="0.2">
      <c r="B45" s="216" t="s">
        <v>1417</v>
      </c>
      <c r="C45" s="217" t="s">
        <v>1446</v>
      </c>
    </row>
    <row r="46" spans="2:3" ht="16" x14ac:dyDescent="0.2">
      <c r="B46" s="216" t="s">
        <v>765</v>
      </c>
      <c r="C46" s="217" t="s">
        <v>1447</v>
      </c>
    </row>
    <row r="47" spans="2:3" ht="16" x14ac:dyDescent="0.2">
      <c r="B47" s="216" t="s">
        <v>746</v>
      </c>
      <c r="C47" s="217" t="s">
        <v>1448</v>
      </c>
    </row>
    <row r="48" spans="2:3" ht="32" x14ac:dyDescent="0.2">
      <c r="B48" s="216" t="s">
        <v>955</v>
      </c>
      <c r="C48" s="217" t="s">
        <v>1449</v>
      </c>
    </row>
    <row r="49" spans="2:3" ht="16" x14ac:dyDescent="0.2">
      <c r="B49" s="216" t="s">
        <v>728</v>
      </c>
      <c r="C49" s="217" t="s">
        <v>1054</v>
      </c>
    </row>
    <row r="50" spans="2:3" x14ac:dyDescent="0.2">
      <c r="B50" s="216" t="s">
        <v>747</v>
      </c>
      <c r="C50" s="216" t="s">
        <v>1123</v>
      </c>
    </row>
    <row r="51" spans="2:3" x14ac:dyDescent="0.2">
      <c r="B51" s="216" t="s">
        <v>748</v>
      </c>
      <c r="C51" s="216" t="s">
        <v>1450</v>
      </c>
    </row>
    <row r="52" spans="2:3" ht="16" x14ac:dyDescent="0.2">
      <c r="B52" s="216" t="s">
        <v>1380</v>
      </c>
      <c r="C52" s="217" t="s">
        <v>1381</v>
      </c>
    </row>
    <row r="53" spans="2:3" ht="16" x14ac:dyDescent="0.2">
      <c r="B53" s="216" t="s">
        <v>751</v>
      </c>
      <c r="C53" s="217" t="s">
        <v>1124</v>
      </c>
    </row>
    <row r="54" spans="2:3" ht="16" x14ac:dyDescent="0.2">
      <c r="B54" s="216" t="s">
        <v>749</v>
      </c>
      <c r="C54" s="217" t="s">
        <v>1125</v>
      </c>
    </row>
    <row r="55" spans="2:3" ht="16" x14ac:dyDescent="0.2">
      <c r="B55" s="216" t="s">
        <v>750</v>
      </c>
      <c r="C55" s="217" t="s">
        <v>1451</v>
      </c>
    </row>
    <row r="56" spans="2:3" ht="16" x14ac:dyDescent="0.2">
      <c r="B56" s="216" t="s">
        <v>757</v>
      </c>
      <c r="C56" s="217" t="s">
        <v>1126</v>
      </c>
    </row>
    <row r="57" spans="2:3" ht="16" x14ac:dyDescent="0.2">
      <c r="B57" s="216" t="s">
        <v>74</v>
      </c>
      <c r="C57" s="217" t="s">
        <v>1053</v>
      </c>
    </row>
    <row r="58" spans="2:3" ht="16" x14ac:dyDescent="0.2">
      <c r="B58" s="216" t="s">
        <v>267</v>
      </c>
      <c r="C58" s="217" t="s">
        <v>1127</v>
      </c>
    </row>
    <row r="59" spans="2:3" ht="16" x14ac:dyDescent="0.2">
      <c r="B59" s="216" t="s">
        <v>758</v>
      </c>
      <c r="C59" s="217" t="s">
        <v>758</v>
      </c>
    </row>
    <row r="60" spans="2:3" ht="16" x14ac:dyDescent="0.2">
      <c r="B60" s="216" t="s">
        <v>759</v>
      </c>
      <c r="C60" s="217" t="s">
        <v>1128</v>
      </c>
    </row>
    <row r="61" spans="2:3" ht="16" x14ac:dyDescent="0.2">
      <c r="B61" s="216" t="s">
        <v>760</v>
      </c>
      <c r="C61" s="217" t="s">
        <v>760</v>
      </c>
    </row>
    <row r="62" spans="2:3" ht="16" x14ac:dyDescent="0.2">
      <c r="B62" s="216" t="s">
        <v>761</v>
      </c>
      <c r="C62" s="217" t="s">
        <v>1129</v>
      </c>
    </row>
    <row r="63" spans="2:3" ht="16" x14ac:dyDescent="0.2">
      <c r="B63" s="216" t="s">
        <v>762</v>
      </c>
      <c r="C63" s="217" t="s">
        <v>1130</v>
      </c>
    </row>
    <row r="64" spans="2:3" ht="16" x14ac:dyDescent="0.2">
      <c r="B64" s="216" t="s">
        <v>816</v>
      </c>
      <c r="C64" s="217" t="s">
        <v>1131</v>
      </c>
    </row>
    <row r="65" spans="2:3" ht="16" x14ac:dyDescent="0.2">
      <c r="B65" s="216" t="s">
        <v>922</v>
      </c>
      <c r="C65" s="217" t="s">
        <v>1132</v>
      </c>
    </row>
    <row r="66" spans="2:3" ht="16" x14ac:dyDescent="0.2">
      <c r="B66" s="216" t="s">
        <v>923</v>
      </c>
      <c r="C66" s="217" t="s">
        <v>1133</v>
      </c>
    </row>
    <row r="67" spans="2:3" ht="16" x14ac:dyDescent="0.2">
      <c r="B67" s="216" t="s">
        <v>924</v>
      </c>
      <c r="C67" s="217" t="s">
        <v>1134</v>
      </c>
    </row>
    <row r="68" spans="2:3" ht="16" x14ac:dyDescent="0.2">
      <c r="B68" s="216" t="s">
        <v>778</v>
      </c>
      <c r="C68" s="217" t="s">
        <v>1135</v>
      </c>
    </row>
    <row r="69" spans="2:3" ht="16" x14ac:dyDescent="0.2">
      <c r="B69" s="216" t="s">
        <v>683</v>
      </c>
      <c r="C69" s="217" t="s">
        <v>1136</v>
      </c>
    </row>
    <row r="70" spans="2:3" ht="16" x14ac:dyDescent="0.2">
      <c r="B70" s="216" t="s">
        <v>787</v>
      </c>
      <c r="C70" s="217" t="s">
        <v>1137</v>
      </c>
    </row>
    <row r="71" spans="2:3" ht="16" x14ac:dyDescent="0.2">
      <c r="B71" s="216" t="s">
        <v>779</v>
      </c>
      <c r="C71" s="217" t="s">
        <v>1138</v>
      </c>
    </row>
    <row r="72" spans="2:3" ht="32" x14ac:dyDescent="0.2">
      <c r="B72" s="216" t="s">
        <v>780</v>
      </c>
      <c r="C72" s="217" t="s">
        <v>1452</v>
      </c>
    </row>
    <row r="73" spans="2:3" ht="16" x14ac:dyDescent="0.2">
      <c r="B73" s="216" t="s">
        <v>917</v>
      </c>
      <c r="C73" s="217" t="s">
        <v>1139</v>
      </c>
    </row>
    <row r="74" spans="2:3" ht="16" x14ac:dyDescent="0.2">
      <c r="B74" s="216" t="s">
        <v>918</v>
      </c>
      <c r="C74" s="217" t="s">
        <v>1140</v>
      </c>
    </row>
    <row r="75" spans="2:3" ht="16" x14ac:dyDescent="0.2">
      <c r="B75" s="216" t="s">
        <v>919</v>
      </c>
      <c r="C75" s="217" t="s">
        <v>1141</v>
      </c>
    </row>
    <row r="76" spans="2:3" ht="16" x14ac:dyDescent="0.2">
      <c r="B76" s="216" t="s">
        <v>920</v>
      </c>
      <c r="C76" s="217" t="s">
        <v>1142</v>
      </c>
    </row>
    <row r="77" spans="2:3" ht="16" x14ac:dyDescent="0.2">
      <c r="B77" s="216" t="s">
        <v>1382</v>
      </c>
      <c r="C77" s="217" t="s">
        <v>1382</v>
      </c>
    </row>
    <row r="78" spans="2:3" ht="16" x14ac:dyDescent="0.2">
      <c r="B78" s="216" t="s">
        <v>921</v>
      </c>
      <c r="C78" s="217" t="s">
        <v>921</v>
      </c>
    </row>
    <row r="79" spans="2:3" ht="16" x14ac:dyDescent="0.2">
      <c r="B79" s="216" t="s">
        <v>1418</v>
      </c>
      <c r="C79" s="217" t="s">
        <v>1418</v>
      </c>
    </row>
    <row r="80" spans="2:3" ht="16" x14ac:dyDescent="0.2">
      <c r="B80" s="216" t="s">
        <v>1003</v>
      </c>
      <c r="C80" s="217" t="s">
        <v>1453</v>
      </c>
    </row>
    <row r="81" spans="2:3" ht="16" x14ac:dyDescent="0.2">
      <c r="B81" s="216" t="s">
        <v>1004</v>
      </c>
      <c r="C81" s="217" t="s">
        <v>1454</v>
      </c>
    </row>
    <row r="82" spans="2:3" ht="16" x14ac:dyDescent="0.2">
      <c r="B82" s="216" t="s">
        <v>781</v>
      </c>
      <c r="C82" s="217" t="s">
        <v>1143</v>
      </c>
    </row>
    <row r="83" spans="2:3" ht="32" x14ac:dyDescent="0.2">
      <c r="B83" s="216" t="s">
        <v>914</v>
      </c>
      <c r="C83" s="217" t="s">
        <v>1144</v>
      </c>
    </row>
    <row r="84" spans="2:3" ht="16" x14ac:dyDescent="0.2">
      <c r="B84" s="216" t="s">
        <v>782</v>
      </c>
      <c r="C84" s="217" t="s">
        <v>1455</v>
      </c>
    </row>
    <row r="85" spans="2:3" ht="32" x14ac:dyDescent="0.2">
      <c r="B85" s="216" t="s">
        <v>784</v>
      </c>
      <c r="C85" s="217" t="s">
        <v>1456</v>
      </c>
    </row>
    <row r="86" spans="2:3" ht="32" x14ac:dyDescent="0.2">
      <c r="B86" s="216" t="s">
        <v>783</v>
      </c>
      <c r="C86" s="217" t="s">
        <v>1457</v>
      </c>
    </row>
    <row r="87" spans="2:3" ht="16" x14ac:dyDescent="0.2">
      <c r="B87" s="216" t="s">
        <v>785</v>
      </c>
      <c r="C87" s="217" t="s">
        <v>1145</v>
      </c>
    </row>
    <row r="88" spans="2:3" ht="16" x14ac:dyDescent="0.2">
      <c r="B88" s="216" t="s">
        <v>786</v>
      </c>
      <c r="C88" s="217" t="s">
        <v>1458</v>
      </c>
    </row>
    <row r="89" spans="2:3" ht="16" x14ac:dyDescent="0.2">
      <c r="B89" s="216" t="s">
        <v>788</v>
      </c>
      <c r="C89" s="217" t="s">
        <v>1459</v>
      </c>
    </row>
    <row r="90" spans="2:3" ht="16" x14ac:dyDescent="0.2">
      <c r="B90" s="216" t="s">
        <v>789</v>
      </c>
      <c r="C90" s="217" t="s">
        <v>1460</v>
      </c>
    </row>
    <row r="91" spans="2:3" ht="16" x14ac:dyDescent="0.2">
      <c r="B91" s="216" t="s">
        <v>790</v>
      </c>
      <c r="C91" s="217" t="s">
        <v>1146</v>
      </c>
    </row>
    <row r="92" spans="2:3" ht="16" x14ac:dyDescent="0.2">
      <c r="B92" s="216" t="s">
        <v>916</v>
      </c>
      <c r="C92" s="217" t="s">
        <v>1461</v>
      </c>
    </row>
    <row r="93" spans="2:3" ht="16" x14ac:dyDescent="0.2">
      <c r="B93" s="216" t="s">
        <v>791</v>
      </c>
      <c r="C93" s="217" t="s">
        <v>1462</v>
      </c>
    </row>
    <row r="94" spans="2:3" x14ac:dyDescent="0.2">
      <c r="B94" s="216" t="s">
        <v>794</v>
      </c>
      <c r="C94" s="216" t="s">
        <v>1147</v>
      </c>
    </row>
    <row r="95" spans="2:3" ht="16" x14ac:dyDescent="0.2">
      <c r="B95" s="216" t="s">
        <v>795</v>
      </c>
      <c r="C95" s="217" t="s">
        <v>1148</v>
      </c>
    </row>
    <row r="96" spans="2:3" ht="16" x14ac:dyDescent="0.2">
      <c r="B96" s="216" t="s">
        <v>792</v>
      </c>
      <c r="C96" s="217" t="s">
        <v>1463</v>
      </c>
    </row>
    <row r="97" spans="2:3" ht="32" x14ac:dyDescent="0.2">
      <c r="B97" s="216" t="s">
        <v>793</v>
      </c>
      <c r="C97" s="217" t="s">
        <v>1464</v>
      </c>
    </row>
    <row r="98" spans="2:3" ht="16" x14ac:dyDescent="0.2">
      <c r="B98" s="216" t="s">
        <v>796</v>
      </c>
      <c r="C98" s="217" t="s">
        <v>1149</v>
      </c>
    </row>
    <row r="99" spans="2:3" ht="16" x14ac:dyDescent="0.2">
      <c r="B99" s="216" t="s">
        <v>797</v>
      </c>
      <c r="C99" s="217" t="s">
        <v>1150</v>
      </c>
    </row>
    <row r="100" spans="2:3" ht="32" x14ac:dyDescent="0.2">
      <c r="B100" s="216" t="s">
        <v>798</v>
      </c>
      <c r="C100" s="217" t="s">
        <v>1465</v>
      </c>
    </row>
    <row r="101" spans="2:3" ht="32" x14ac:dyDescent="0.2">
      <c r="B101" s="216" t="s">
        <v>799</v>
      </c>
      <c r="C101" s="217" t="s">
        <v>1466</v>
      </c>
    </row>
    <row r="102" spans="2:3" ht="32" x14ac:dyDescent="0.2">
      <c r="B102" s="216" t="s">
        <v>956</v>
      </c>
      <c r="C102" s="217" t="s">
        <v>1151</v>
      </c>
    </row>
    <row r="103" spans="2:3" ht="16" x14ac:dyDescent="0.2">
      <c r="B103" s="216" t="s">
        <v>915</v>
      </c>
      <c r="C103" s="217" t="s">
        <v>1467</v>
      </c>
    </row>
    <row r="104" spans="2:3" ht="32" x14ac:dyDescent="0.2">
      <c r="B104" s="216" t="s">
        <v>800</v>
      </c>
      <c r="C104" s="217" t="s">
        <v>1468</v>
      </c>
    </row>
    <row r="105" spans="2:3" ht="32" x14ac:dyDescent="0.2">
      <c r="B105" s="216" t="s">
        <v>957</v>
      </c>
      <c r="C105" s="217" t="s">
        <v>1152</v>
      </c>
    </row>
    <row r="106" spans="2:3" ht="32" x14ac:dyDescent="0.2">
      <c r="B106" s="216" t="s">
        <v>958</v>
      </c>
      <c r="C106" s="217" t="s">
        <v>1469</v>
      </c>
    </row>
    <row r="107" spans="2:3" ht="16" x14ac:dyDescent="0.2">
      <c r="B107" s="216" t="s">
        <v>802</v>
      </c>
      <c r="C107" s="217" t="s">
        <v>1153</v>
      </c>
    </row>
    <row r="108" spans="2:3" ht="16" x14ac:dyDescent="0.2">
      <c r="B108" s="216" t="s">
        <v>804</v>
      </c>
      <c r="C108" s="217" t="s">
        <v>1154</v>
      </c>
    </row>
    <row r="109" spans="2:3" ht="16" x14ac:dyDescent="0.2">
      <c r="B109" s="216" t="s">
        <v>803</v>
      </c>
      <c r="C109" s="217" t="s">
        <v>1155</v>
      </c>
    </row>
    <row r="110" spans="2:3" ht="16" x14ac:dyDescent="0.2">
      <c r="B110" s="216" t="s">
        <v>926</v>
      </c>
      <c r="C110" s="217" t="s">
        <v>1156</v>
      </c>
    </row>
    <row r="111" spans="2:3" ht="16" x14ac:dyDescent="0.2">
      <c r="B111" s="216" t="s">
        <v>959</v>
      </c>
      <c r="C111" s="217" t="s">
        <v>1470</v>
      </c>
    </row>
    <row r="112" spans="2:3" ht="16" x14ac:dyDescent="0.2">
      <c r="B112" s="216" t="s">
        <v>960</v>
      </c>
      <c r="C112" s="217" t="s">
        <v>1471</v>
      </c>
    </row>
    <row r="113" spans="2:3" ht="32" x14ac:dyDescent="0.2">
      <c r="B113" s="216" t="s">
        <v>805</v>
      </c>
      <c r="C113" s="217" t="s">
        <v>1472</v>
      </c>
    </row>
    <row r="114" spans="2:3" ht="16" x14ac:dyDescent="0.2">
      <c r="B114" s="216" t="s">
        <v>972</v>
      </c>
      <c r="C114" s="217" t="s">
        <v>1473</v>
      </c>
    </row>
    <row r="115" spans="2:3" ht="32" x14ac:dyDescent="0.2">
      <c r="B115" s="216" t="s">
        <v>961</v>
      </c>
      <c r="C115" s="217" t="s">
        <v>1474</v>
      </c>
    </row>
    <row r="116" spans="2:3" ht="16" x14ac:dyDescent="0.2">
      <c r="B116" s="216" t="s">
        <v>1419</v>
      </c>
      <c r="C116" s="217" t="s">
        <v>1475</v>
      </c>
    </row>
    <row r="117" spans="2:3" ht="16" x14ac:dyDescent="0.2">
      <c r="B117" s="216" t="s">
        <v>1420</v>
      </c>
      <c r="C117" s="217" t="s">
        <v>1476</v>
      </c>
    </row>
    <row r="118" spans="2:3" ht="16" x14ac:dyDescent="0.2">
      <c r="B118" s="216" t="s">
        <v>1421</v>
      </c>
      <c r="C118" s="217" t="s">
        <v>1477</v>
      </c>
    </row>
    <row r="119" spans="2:3" ht="16" x14ac:dyDescent="0.2">
      <c r="B119" s="216" t="s">
        <v>971</v>
      </c>
      <c r="C119" s="217" t="s">
        <v>1478</v>
      </c>
    </row>
    <row r="120" spans="2:3" ht="32" x14ac:dyDescent="0.2">
      <c r="B120" s="216" t="s">
        <v>1422</v>
      </c>
      <c r="C120" s="217" t="s">
        <v>1479</v>
      </c>
    </row>
    <row r="121" spans="2:3" ht="32" x14ac:dyDescent="0.2">
      <c r="B121" s="216" t="s">
        <v>1423</v>
      </c>
      <c r="C121" s="217" t="s">
        <v>1480</v>
      </c>
    </row>
    <row r="122" spans="2:3" ht="32" x14ac:dyDescent="0.2">
      <c r="B122" s="216" t="s">
        <v>1424</v>
      </c>
      <c r="C122" s="217" t="s">
        <v>1481</v>
      </c>
    </row>
    <row r="123" spans="2:3" ht="16" x14ac:dyDescent="0.2">
      <c r="B123" s="216" t="s">
        <v>815</v>
      </c>
      <c r="C123" s="217" t="s">
        <v>1157</v>
      </c>
    </row>
    <row r="124" spans="2:3" ht="16" x14ac:dyDescent="0.2">
      <c r="B124" s="216" t="s">
        <v>773</v>
      </c>
      <c r="C124" s="217" t="s">
        <v>1158</v>
      </c>
    </row>
    <row r="125" spans="2:3" ht="16" x14ac:dyDescent="0.2">
      <c r="B125" s="216" t="s">
        <v>775</v>
      </c>
      <c r="C125" s="217" t="s">
        <v>1159</v>
      </c>
    </row>
    <row r="126" spans="2:3" ht="32" x14ac:dyDescent="0.2">
      <c r="B126" s="216" t="s">
        <v>772</v>
      </c>
      <c r="C126" s="217" t="s">
        <v>1160</v>
      </c>
    </row>
    <row r="127" spans="2:3" ht="16" x14ac:dyDescent="0.2">
      <c r="B127" s="216" t="s">
        <v>715</v>
      </c>
      <c r="C127" s="217" t="s">
        <v>1161</v>
      </c>
    </row>
    <row r="128" spans="2:3" ht="16" x14ac:dyDescent="0.2">
      <c r="B128" s="216" t="s">
        <v>770</v>
      </c>
      <c r="C128" s="217" t="s">
        <v>1162</v>
      </c>
    </row>
    <row r="129" spans="1:3" ht="16" x14ac:dyDescent="0.2">
      <c r="B129" s="216" t="s">
        <v>771</v>
      </c>
      <c r="C129" s="217" t="s">
        <v>1163</v>
      </c>
    </row>
    <row r="130" spans="1:3" ht="16" x14ac:dyDescent="0.2">
      <c r="A130" t="s">
        <v>1065</v>
      </c>
      <c r="B130" s="216" t="s">
        <v>0</v>
      </c>
      <c r="C130" s="217" t="s">
        <v>1164</v>
      </c>
    </row>
    <row r="131" spans="1:3" ht="16" x14ac:dyDescent="0.2">
      <c r="B131" s="216" t="s">
        <v>977</v>
      </c>
      <c r="C131" s="217" t="s">
        <v>1482</v>
      </c>
    </row>
    <row r="132" spans="1:3" ht="16" x14ac:dyDescent="0.2">
      <c r="B132" s="216" t="s">
        <v>973</v>
      </c>
      <c r="C132" s="217" t="s">
        <v>1165</v>
      </c>
    </row>
    <row r="133" spans="1:3" ht="16" x14ac:dyDescent="0.2">
      <c r="B133" s="216" t="s">
        <v>953</v>
      </c>
      <c r="C133" s="217" t="s">
        <v>1166</v>
      </c>
    </row>
    <row r="134" spans="1:3" ht="16" x14ac:dyDescent="0.2">
      <c r="B134" s="216" t="s">
        <v>954</v>
      </c>
      <c r="C134" s="217" t="s">
        <v>1167</v>
      </c>
    </row>
    <row r="135" spans="1:3" ht="16" x14ac:dyDescent="0.2">
      <c r="B135" s="216" t="s">
        <v>984</v>
      </c>
      <c r="C135" s="217" t="s">
        <v>1168</v>
      </c>
    </row>
    <row r="136" spans="1:3" ht="16" x14ac:dyDescent="0.2">
      <c r="B136" s="216" t="s">
        <v>978</v>
      </c>
      <c r="C136" s="217" t="s">
        <v>1169</v>
      </c>
    </row>
    <row r="137" spans="1:3" ht="16" x14ac:dyDescent="0.2">
      <c r="B137" s="216" t="s">
        <v>975</v>
      </c>
      <c r="C137" s="217" t="s">
        <v>1170</v>
      </c>
    </row>
    <row r="138" spans="1:3" ht="16" x14ac:dyDescent="0.2">
      <c r="B138" s="216" t="s">
        <v>979</v>
      </c>
      <c r="C138" s="217" t="s">
        <v>1171</v>
      </c>
    </row>
    <row r="139" spans="1:3" ht="16" x14ac:dyDescent="0.2">
      <c r="B139" s="216" t="s">
        <v>980</v>
      </c>
      <c r="C139" s="217" t="s">
        <v>1172</v>
      </c>
    </row>
    <row r="140" spans="1:3" ht="16" x14ac:dyDescent="0.2">
      <c r="B140" s="216" t="s">
        <v>981</v>
      </c>
      <c r="C140" s="217" t="s">
        <v>1173</v>
      </c>
    </row>
    <row r="141" spans="1:3" ht="16" x14ac:dyDescent="0.2">
      <c r="B141" s="216" t="s">
        <v>12</v>
      </c>
      <c r="C141" s="217" t="s">
        <v>1174</v>
      </c>
    </row>
    <row r="142" spans="1:3" ht="16" x14ac:dyDescent="0.2">
      <c r="B142" s="216" t="s">
        <v>13</v>
      </c>
      <c r="C142" s="217" t="s">
        <v>1483</v>
      </c>
    </row>
    <row r="143" spans="1:3" ht="16" x14ac:dyDescent="0.2">
      <c r="B143" s="216" t="s">
        <v>475</v>
      </c>
      <c r="C143" s="217" t="s">
        <v>1175</v>
      </c>
    </row>
    <row r="144" spans="1:3" ht="16" x14ac:dyDescent="0.2">
      <c r="B144" s="216" t="s">
        <v>292</v>
      </c>
      <c r="C144" s="217" t="s">
        <v>1445</v>
      </c>
    </row>
    <row r="145" spans="2:3" ht="16" x14ac:dyDescent="0.2">
      <c r="B145" s="216" t="s">
        <v>991</v>
      </c>
      <c r="C145" s="217" t="s">
        <v>1447</v>
      </c>
    </row>
    <row r="146" spans="2:3" ht="16" x14ac:dyDescent="0.2">
      <c r="B146" s="216" t="s">
        <v>993</v>
      </c>
      <c r="C146" s="217" t="s">
        <v>1443</v>
      </c>
    </row>
    <row r="147" spans="2:3" ht="16" x14ac:dyDescent="0.2">
      <c r="B147" s="216" t="s">
        <v>992</v>
      </c>
      <c r="C147" s="217" t="s">
        <v>1176</v>
      </c>
    </row>
    <row r="148" spans="2:3" ht="16" x14ac:dyDescent="0.2">
      <c r="B148" s="216" t="s">
        <v>995</v>
      </c>
      <c r="C148" s="217" t="s">
        <v>1484</v>
      </c>
    </row>
    <row r="149" spans="2:3" ht="16" x14ac:dyDescent="0.2">
      <c r="B149" s="216" t="s">
        <v>994</v>
      </c>
      <c r="C149" s="217" t="s">
        <v>1126</v>
      </c>
    </row>
    <row r="150" spans="2:3" ht="16" x14ac:dyDescent="0.2">
      <c r="B150" s="216" t="s">
        <v>988</v>
      </c>
      <c r="C150" s="217" t="s">
        <v>1177</v>
      </c>
    </row>
    <row r="151" spans="2:3" ht="16" x14ac:dyDescent="0.2">
      <c r="B151" s="216" t="s">
        <v>1007</v>
      </c>
      <c r="C151" s="217" t="s">
        <v>1485</v>
      </c>
    </row>
    <row r="152" spans="2:3" ht="16" x14ac:dyDescent="0.2">
      <c r="B152" s="216" t="s">
        <v>989</v>
      </c>
      <c r="C152" s="217" t="s">
        <v>1178</v>
      </c>
    </row>
    <row r="153" spans="2:3" ht="32" x14ac:dyDescent="0.2">
      <c r="B153" s="216" t="s">
        <v>1014</v>
      </c>
      <c r="C153" s="217" t="s">
        <v>1179</v>
      </c>
    </row>
    <row r="154" spans="2:3" ht="32" x14ac:dyDescent="0.2">
      <c r="B154" s="216" t="s">
        <v>1013</v>
      </c>
      <c r="C154" s="217" t="s">
        <v>1180</v>
      </c>
    </row>
    <row r="155" spans="2:3" ht="16" x14ac:dyDescent="0.2">
      <c r="B155" s="216" t="s">
        <v>1376</v>
      </c>
      <c r="C155" s="217" t="s">
        <v>1392</v>
      </c>
    </row>
    <row r="156" spans="2:3" ht="16" x14ac:dyDescent="0.2">
      <c r="B156" s="216" t="s">
        <v>1087</v>
      </c>
      <c r="C156" s="217" t="s">
        <v>1393</v>
      </c>
    </row>
    <row r="157" spans="2:3" ht="16" x14ac:dyDescent="0.2">
      <c r="B157" s="216" t="s">
        <v>1088</v>
      </c>
      <c r="C157" s="217" t="s">
        <v>1394</v>
      </c>
    </row>
    <row r="158" spans="2:3" ht="16" x14ac:dyDescent="0.2">
      <c r="B158" s="216" t="s">
        <v>1089</v>
      </c>
      <c r="C158" s="217" t="s">
        <v>1395</v>
      </c>
    </row>
    <row r="159" spans="2:3" ht="16" x14ac:dyDescent="0.2">
      <c r="B159" s="216" t="s">
        <v>1396</v>
      </c>
      <c r="C159" s="217" t="s">
        <v>1397</v>
      </c>
    </row>
    <row r="160" spans="2:3" ht="16" x14ac:dyDescent="0.2">
      <c r="B160" s="216" t="s">
        <v>1398</v>
      </c>
      <c r="C160" s="217" t="s">
        <v>1399</v>
      </c>
    </row>
    <row r="161" spans="1:3" ht="16" x14ac:dyDescent="0.2">
      <c r="A161" t="s">
        <v>934</v>
      </c>
      <c r="B161" s="216" t="s">
        <v>17</v>
      </c>
      <c r="C161" s="217" t="s">
        <v>1181</v>
      </c>
    </row>
    <row r="162" spans="1:3" ht="16" x14ac:dyDescent="0.2">
      <c r="B162" s="216" t="s">
        <v>18</v>
      </c>
      <c r="C162" s="217" t="s">
        <v>1182</v>
      </c>
    </row>
    <row r="163" spans="1:3" ht="16" x14ac:dyDescent="0.2">
      <c r="B163" s="216" t="s">
        <v>19</v>
      </c>
      <c r="C163" s="217" t="s">
        <v>1183</v>
      </c>
    </row>
    <row r="164" spans="1:3" ht="16" x14ac:dyDescent="0.2">
      <c r="B164" s="217" t="s">
        <v>305</v>
      </c>
      <c r="C164" s="217" t="s">
        <v>1486</v>
      </c>
    </row>
    <row r="165" spans="1:3" ht="16" x14ac:dyDescent="0.2">
      <c r="B165" s="216" t="s">
        <v>5</v>
      </c>
      <c r="C165" s="217" t="s">
        <v>1184</v>
      </c>
    </row>
    <row r="166" spans="1:3" ht="16" x14ac:dyDescent="0.2">
      <c r="B166" s="216" t="s">
        <v>6</v>
      </c>
      <c r="C166" s="217" t="s">
        <v>6</v>
      </c>
    </row>
    <row r="167" spans="1:3" ht="16" x14ac:dyDescent="0.2">
      <c r="B167" s="216" t="s">
        <v>16</v>
      </c>
      <c r="C167" s="217" t="s">
        <v>1185</v>
      </c>
    </row>
    <row r="168" spans="1:3" ht="16" x14ac:dyDescent="0.2">
      <c r="B168" s="216" t="s">
        <v>15</v>
      </c>
      <c r="C168" s="217" t="s">
        <v>1186</v>
      </c>
    </row>
    <row r="169" spans="1:3" ht="16" x14ac:dyDescent="0.2">
      <c r="B169" s="216" t="s">
        <v>22</v>
      </c>
      <c r="C169" s="217" t="s">
        <v>1187</v>
      </c>
    </row>
    <row r="170" spans="1:3" ht="16" x14ac:dyDescent="0.2">
      <c r="B170" s="216" t="s">
        <v>478</v>
      </c>
      <c r="C170" s="217" t="s">
        <v>1188</v>
      </c>
    </row>
    <row r="171" spans="1:3" ht="16" x14ac:dyDescent="0.2">
      <c r="B171" s="216" t="s">
        <v>288</v>
      </c>
      <c r="C171" s="217" t="s">
        <v>1189</v>
      </c>
    </row>
    <row r="172" spans="1:3" ht="16" x14ac:dyDescent="0.2">
      <c r="B172" s="216" t="s">
        <v>9</v>
      </c>
      <c r="C172" s="217" t="s">
        <v>1190</v>
      </c>
    </row>
    <row r="173" spans="1:3" ht="16" x14ac:dyDescent="0.2">
      <c r="B173" s="216" t="s">
        <v>10</v>
      </c>
      <c r="C173" s="217" t="s">
        <v>1191</v>
      </c>
    </row>
    <row r="174" spans="1:3" ht="16" x14ac:dyDescent="0.2">
      <c r="B174" s="216" t="s">
        <v>14</v>
      </c>
      <c r="C174" s="217" t="s">
        <v>1192</v>
      </c>
    </row>
    <row r="175" spans="1:3" ht="16" x14ac:dyDescent="0.2">
      <c r="B175" s="216" t="s">
        <v>477</v>
      </c>
      <c r="C175" s="217" t="s">
        <v>1193</v>
      </c>
    </row>
    <row r="176" spans="1:3" ht="16" x14ac:dyDescent="0.2">
      <c r="B176" s="216" t="s">
        <v>24</v>
      </c>
      <c r="C176" s="217" t="s">
        <v>1194</v>
      </c>
    </row>
    <row r="177" spans="2:3" ht="16" x14ac:dyDescent="0.2">
      <c r="B177" s="216" t="s">
        <v>25</v>
      </c>
      <c r="C177" s="217" t="s">
        <v>1195</v>
      </c>
    </row>
    <row r="178" spans="2:3" ht="16" x14ac:dyDescent="0.2">
      <c r="B178" s="216" t="s">
        <v>27</v>
      </c>
      <c r="C178" s="217" t="s">
        <v>1196</v>
      </c>
    </row>
    <row r="179" spans="2:3" ht="16" x14ac:dyDescent="0.2">
      <c r="B179" s="216" t="s">
        <v>28</v>
      </c>
      <c r="C179" s="217" t="s">
        <v>1197</v>
      </c>
    </row>
    <row r="180" spans="2:3" ht="16" x14ac:dyDescent="0.2">
      <c r="B180" s="216" t="s">
        <v>29</v>
      </c>
      <c r="C180" s="217" t="s">
        <v>1198</v>
      </c>
    </row>
    <row r="181" spans="2:3" ht="16" x14ac:dyDescent="0.2">
      <c r="B181" s="216" t="s">
        <v>35</v>
      </c>
      <c r="C181" s="217" t="s">
        <v>1199</v>
      </c>
    </row>
    <row r="182" spans="2:3" ht="16" x14ac:dyDescent="0.2">
      <c r="B182" s="216" t="s">
        <v>474</v>
      </c>
      <c r="C182" s="217" t="s">
        <v>1487</v>
      </c>
    </row>
    <row r="183" spans="2:3" ht="16" x14ac:dyDescent="0.2">
      <c r="B183" s="216" t="s">
        <v>36</v>
      </c>
      <c r="C183" s="217" t="s">
        <v>1200</v>
      </c>
    </row>
    <row r="184" spans="2:3" ht="16" x14ac:dyDescent="0.2">
      <c r="B184" s="216" t="s">
        <v>39</v>
      </c>
      <c r="C184" s="217" t="s">
        <v>1201</v>
      </c>
    </row>
    <row r="185" spans="2:3" ht="16" x14ac:dyDescent="0.2">
      <c r="B185" s="216" t="s">
        <v>940</v>
      </c>
      <c r="C185" s="217" t="s">
        <v>1202</v>
      </c>
    </row>
    <row r="186" spans="2:3" ht="16" x14ac:dyDescent="0.2">
      <c r="B186" s="216" t="s">
        <v>651</v>
      </c>
      <c r="C186" s="217" t="s">
        <v>1203</v>
      </c>
    </row>
    <row r="187" spans="2:3" ht="16" x14ac:dyDescent="0.2">
      <c r="B187" s="216" t="s">
        <v>44</v>
      </c>
      <c r="C187" s="217" t="s">
        <v>1204</v>
      </c>
    </row>
    <row r="188" spans="2:3" ht="16" x14ac:dyDescent="0.2">
      <c r="B188" s="216" t="s">
        <v>655</v>
      </c>
      <c r="C188" s="217" t="s">
        <v>1488</v>
      </c>
    </row>
    <row r="189" spans="2:3" ht="16" x14ac:dyDescent="0.2">
      <c r="B189" s="216" t="s">
        <v>656</v>
      </c>
      <c r="C189" s="217" t="s">
        <v>1205</v>
      </c>
    </row>
    <row r="190" spans="2:3" ht="16" x14ac:dyDescent="0.2">
      <c r="B190" s="216" t="s">
        <v>657</v>
      </c>
      <c r="C190" s="217" t="s">
        <v>1206</v>
      </c>
    </row>
    <row r="191" spans="2:3" ht="16" x14ac:dyDescent="0.2">
      <c r="B191" s="216" t="s">
        <v>58</v>
      </c>
      <c r="C191" s="217" t="s">
        <v>1207</v>
      </c>
    </row>
    <row r="192" spans="2:3" ht="16" x14ac:dyDescent="0.2">
      <c r="B192" s="216" t="s">
        <v>306</v>
      </c>
      <c r="C192" s="217" t="s">
        <v>1208</v>
      </c>
    </row>
    <row r="193" spans="2:3" ht="16" x14ac:dyDescent="0.2">
      <c r="B193" s="216" t="s">
        <v>945</v>
      </c>
      <c r="C193" s="217" t="s">
        <v>1209</v>
      </c>
    </row>
    <row r="194" spans="2:3" ht="16" x14ac:dyDescent="0.2">
      <c r="B194" s="216" t="s">
        <v>59</v>
      </c>
      <c r="C194" s="217" t="s">
        <v>1210</v>
      </c>
    </row>
    <row r="195" spans="2:3" ht="16" x14ac:dyDescent="0.2">
      <c r="B195" s="216" t="s">
        <v>307</v>
      </c>
      <c r="C195" s="217" t="s">
        <v>1211</v>
      </c>
    </row>
    <row r="196" spans="2:3" ht="16" x14ac:dyDescent="0.2">
      <c r="B196" s="216" t="s">
        <v>680</v>
      </c>
      <c r="C196" s="217" t="s">
        <v>1212</v>
      </c>
    </row>
    <row r="197" spans="2:3" ht="16" x14ac:dyDescent="0.2">
      <c r="B197" s="216" t="s">
        <v>1384</v>
      </c>
      <c r="C197" s="217" t="s">
        <v>1385</v>
      </c>
    </row>
    <row r="198" spans="2:3" ht="16" x14ac:dyDescent="0.2">
      <c r="B198" s="216" t="s">
        <v>664</v>
      </c>
      <c r="C198" s="217" t="s">
        <v>1213</v>
      </c>
    </row>
    <row r="199" spans="2:3" ht="16" x14ac:dyDescent="0.2">
      <c r="B199" s="216" t="s">
        <v>50</v>
      </c>
      <c r="C199" s="217" t="s">
        <v>1214</v>
      </c>
    </row>
    <row r="200" spans="2:3" ht="16" x14ac:dyDescent="0.2">
      <c r="B200" s="216" t="s">
        <v>52</v>
      </c>
      <c r="C200" s="217" t="s">
        <v>1215</v>
      </c>
    </row>
    <row r="201" spans="2:3" ht="16" x14ac:dyDescent="0.2">
      <c r="B201" s="216" t="s">
        <v>165</v>
      </c>
      <c r="C201" s="217" t="s">
        <v>165</v>
      </c>
    </row>
    <row r="202" spans="2:3" ht="16" x14ac:dyDescent="0.2">
      <c r="B202" s="216" t="s">
        <v>661</v>
      </c>
      <c r="C202" s="217" t="s">
        <v>1216</v>
      </c>
    </row>
    <row r="203" spans="2:3" ht="16" x14ac:dyDescent="0.2">
      <c r="B203" s="216" t="s">
        <v>62</v>
      </c>
      <c r="C203" s="217" t="s">
        <v>1217</v>
      </c>
    </row>
    <row r="204" spans="2:3" ht="16" x14ac:dyDescent="0.2">
      <c r="B204" s="216" t="s">
        <v>572</v>
      </c>
      <c r="C204" s="217" t="s">
        <v>1489</v>
      </c>
    </row>
    <row r="205" spans="2:3" ht="16" x14ac:dyDescent="0.2">
      <c r="B205" s="218" t="s">
        <v>571</v>
      </c>
      <c r="C205" s="217" t="s">
        <v>1218</v>
      </c>
    </row>
    <row r="206" spans="2:3" ht="16" x14ac:dyDescent="0.2">
      <c r="B206" s="216" t="s">
        <v>60</v>
      </c>
      <c r="C206" s="217" t="s">
        <v>1490</v>
      </c>
    </row>
    <row r="207" spans="2:3" ht="16" x14ac:dyDescent="0.2">
      <c r="B207" s="216" t="s">
        <v>1425</v>
      </c>
      <c r="C207" s="217" t="s">
        <v>1491</v>
      </c>
    </row>
    <row r="208" spans="2:3" ht="16" x14ac:dyDescent="0.2">
      <c r="B208" s="216" t="s">
        <v>63</v>
      </c>
      <c r="C208" s="217" t="s">
        <v>1219</v>
      </c>
    </row>
    <row r="209" spans="1:3" ht="16" x14ac:dyDescent="0.2">
      <c r="B209" s="216" t="s">
        <v>662</v>
      </c>
      <c r="C209" s="217" t="s">
        <v>1220</v>
      </c>
    </row>
    <row r="210" spans="1:3" ht="16" x14ac:dyDescent="0.2">
      <c r="A210" t="s">
        <v>568</v>
      </c>
      <c r="B210" s="216" t="s">
        <v>568</v>
      </c>
      <c r="C210" s="217" t="s">
        <v>1221</v>
      </c>
    </row>
    <row r="211" spans="1:3" ht="16" x14ac:dyDescent="0.2">
      <c r="B211" s="216" t="s">
        <v>565</v>
      </c>
      <c r="C211" s="217" t="s">
        <v>1222</v>
      </c>
    </row>
    <row r="212" spans="1:3" ht="32" x14ac:dyDescent="0.2">
      <c r="B212" s="216" t="s">
        <v>1066</v>
      </c>
      <c r="C212" s="217" t="s">
        <v>1492</v>
      </c>
    </row>
    <row r="213" spans="1:3" ht="32" x14ac:dyDescent="0.2">
      <c r="B213" s="216" t="s">
        <v>1067</v>
      </c>
      <c r="C213" s="217" t="s">
        <v>1493</v>
      </c>
    </row>
    <row r="214" spans="1:3" ht="48" x14ac:dyDescent="0.2">
      <c r="B214" s="216" t="s">
        <v>1068</v>
      </c>
      <c r="C214" s="217" t="s">
        <v>1494</v>
      </c>
    </row>
    <row r="215" spans="1:3" ht="48" x14ac:dyDescent="0.2">
      <c r="B215" s="216" t="s">
        <v>1069</v>
      </c>
      <c r="C215" s="217" t="s">
        <v>1495</v>
      </c>
    </row>
    <row r="216" spans="1:3" ht="32" x14ac:dyDescent="0.2">
      <c r="B216" s="216" t="s">
        <v>1070</v>
      </c>
      <c r="C216" s="217" t="s">
        <v>1496</v>
      </c>
    </row>
    <row r="217" spans="1:3" ht="32" x14ac:dyDescent="0.2">
      <c r="B217" s="216" t="s">
        <v>1071</v>
      </c>
      <c r="C217" s="217" t="s">
        <v>1497</v>
      </c>
    </row>
    <row r="218" spans="1:3" ht="32" x14ac:dyDescent="0.2">
      <c r="B218" s="216" t="s">
        <v>1072</v>
      </c>
      <c r="C218" s="217" t="s">
        <v>1498</v>
      </c>
    </row>
    <row r="219" spans="1:3" ht="16" x14ac:dyDescent="0.2">
      <c r="B219" s="216" t="s">
        <v>1073</v>
      </c>
      <c r="C219" s="217" t="s">
        <v>1499</v>
      </c>
    </row>
    <row r="220" spans="1:3" ht="32" x14ac:dyDescent="0.2">
      <c r="B220" s="216" t="s">
        <v>1074</v>
      </c>
      <c r="C220" s="217" t="s">
        <v>1223</v>
      </c>
    </row>
    <row r="221" spans="1:3" ht="32" x14ac:dyDescent="0.2">
      <c r="B221" s="216" t="s">
        <v>1075</v>
      </c>
      <c r="C221" s="217" t="s">
        <v>1224</v>
      </c>
    </row>
    <row r="222" spans="1:3" ht="32" x14ac:dyDescent="0.2">
      <c r="B222" s="216" t="s">
        <v>1076</v>
      </c>
      <c r="C222" s="217" t="s">
        <v>1500</v>
      </c>
    </row>
    <row r="223" spans="1:3" ht="32" x14ac:dyDescent="0.2">
      <c r="B223" s="217" t="s">
        <v>1647</v>
      </c>
      <c r="C223" s="217" t="s">
        <v>1501</v>
      </c>
    </row>
    <row r="224" spans="1:3" ht="32" x14ac:dyDescent="0.2">
      <c r="B224" s="216" t="s">
        <v>1077</v>
      </c>
      <c r="C224" s="217" t="s">
        <v>1502</v>
      </c>
    </row>
    <row r="225" spans="1:3" ht="16" x14ac:dyDescent="0.2">
      <c r="B225" s="216" t="s">
        <v>1078</v>
      </c>
      <c r="C225" s="217" t="s">
        <v>1225</v>
      </c>
    </row>
    <row r="226" spans="1:3" ht="16" x14ac:dyDescent="0.2">
      <c r="B226" s="216" t="s">
        <v>1079</v>
      </c>
      <c r="C226" s="217" t="s">
        <v>1503</v>
      </c>
    </row>
    <row r="227" spans="1:3" ht="16" x14ac:dyDescent="0.2">
      <c r="B227" s="216" t="s">
        <v>1603</v>
      </c>
      <c r="C227" s="217" t="s">
        <v>1648</v>
      </c>
    </row>
    <row r="228" spans="1:3" ht="48" x14ac:dyDescent="0.2">
      <c r="B228" s="217" t="s">
        <v>1607</v>
      </c>
      <c r="C228" s="217" t="s">
        <v>1649</v>
      </c>
    </row>
    <row r="229" spans="1:3" ht="16" x14ac:dyDescent="0.2">
      <c r="B229" s="217" t="s">
        <v>1609</v>
      </c>
      <c r="C229" s="217" t="s">
        <v>1650</v>
      </c>
    </row>
    <row r="230" spans="1:3" ht="32" x14ac:dyDescent="0.2">
      <c r="B230" s="217" t="s">
        <v>1625</v>
      </c>
      <c r="C230" s="217" t="s">
        <v>1651</v>
      </c>
    </row>
    <row r="231" spans="1:3" ht="32" x14ac:dyDescent="0.2">
      <c r="B231" s="217" t="s">
        <v>1610</v>
      </c>
      <c r="C231" s="217" t="s">
        <v>1650</v>
      </c>
    </row>
    <row r="232" spans="1:3" ht="16" x14ac:dyDescent="0.2">
      <c r="B232" s="217" t="s">
        <v>1618</v>
      </c>
      <c r="C232" s="217" t="s">
        <v>1617</v>
      </c>
    </row>
    <row r="233" spans="1:3" ht="32" x14ac:dyDescent="0.2">
      <c r="B233" s="217" t="s">
        <v>1626</v>
      </c>
      <c r="C233" s="217" t="s">
        <v>1624</v>
      </c>
    </row>
    <row r="234" spans="1:3" ht="16" x14ac:dyDescent="0.2">
      <c r="B234" s="217" t="s">
        <v>1628</v>
      </c>
      <c r="C234" s="217" t="s">
        <v>1631</v>
      </c>
    </row>
    <row r="235" spans="1:3" ht="16" x14ac:dyDescent="0.2">
      <c r="B235" s="217" t="s">
        <v>1634</v>
      </c>
      <c r="C235" s="217" t="s">
        <v>1635</v>
      </c>
    </row>
    <row r="236" spans="1:3" ht="16" x14ac:dyDescent="0.2">
      <c r="B236" s="217" t="s">
        <v>1640</v>
      </c>
      <c r="C236" s="217" t="s">
        <v>1639</v>
      </c>
    </row>
    <row r="237" spans="1:3" ht="16" x14ac:dyDescent="0.2">
      <c r="B237" s="217" t="s">
        <v>1644</v>
      </c>
      <c r="C237" s="217" t="s">
        <v>1645</v>
      </c>
    </row>
    <row r="238" spans="1:3" ht="32" x14ac:dyDescent="0.2">
      <c r="B238" s="217" t="s">
        <v>1654</v>
      </c>
      <c r="C238" s="217" t="s">
        <v>1655</v>
      </c>
    </row>
    <row r="239" spans="1:3" ht="16" x14ac:dyDescent="0.2">
      <c r="A239" t="s">
        <v>644</v>
      </c>
      <c r="B239" s="216" t="s">
        <v>65</v>
      </c>
      <c r="C239" s="217" t="s">
        <v>1226</v>
      </c>
    </row>
    <row r="240" spans="1:3" ht="16" x14ac:dyDescent="0.2">
      <c r="B240" s="216" t="s">
        <v>601</v>
      </c>
      <c r="C240" s="217" t="s">
        <v>1227</v>
      </c>
    </row>
    <row r="241" spans="2:3" ht="16" x14ac:dyDescent="0.2">
      <c r="B241" s="216" t="s">
        <v>602</v>
      </c>
      <c r="C241" s="217" t="s">
        <v>1504</v>
      </c>
    </row>
    <row r="242" spans="2:3" ht="16" x14ac:dyDescent="0.2">
      <c r="B242" s="216" t="s">
        <v>127</v>
      </c>
      <c r="C242" s="217" t="s">
        <v>1505</v>
      </c>
    </row>
    <row r="243" spans="2:3" ht="16" x14ac:dyDescent="0.2">
      <c r="B243" s="216" t="s">
        <v>66</v>
      </c>
      <c r="C243" s="217" t="s">
        <v>1228</v>
      </c>
    </row>
    <row r="244" spans="2:3" ht="16" x14ac:dyDescent="0.2">
      <c r="B244" s="216" t="s">
        <v>67</v>
      </c>
      <c r="C244" s="217" t="s">
        <v>1229</v>
      </c>
    </row>
    <row r="245" spans="2:3" ht="16" x14ac:dyDescent="0.2">
      <c r="B245" s="216" t="s">
        <v>69</v>
      </c>
      <c r="C245" s="217" t="s">
        <v>1230</v>
      </c>
    </row>
    <row r="246" spans="2:3" x14ac:dyDescent="0.2">
      <c r="B246" s="216" t="s">
        <v>76</v>
      </c>
      <c r="C246" s="216" t="s">
        <v>76</v>
      </c>
    </row>
    <row r="247" spans="2:3" ht="16" x14ac:dyDescent="0.2">
      <c r="B247" s="216" t="s">
        <v>368</v>
      </c>
      <c r="C247" s="217" t="s">
        <v>368</v>
      </c>
    </row>
    <row r="248" spans="2:3" ht="16" x14ac:dyDescent="0.2">
      <c r="B248" s="216" t="s">
        <v>369</v>
      </c>
      <c r="C248" s="217" t="s">
        <v>1506</v>
      </c>
    </row>
    <row r="249" spans="2:3" ht="16" x14ac:dyDescent="0.2">
      <c r="B249" s="216" t="s">
        <v>308</v>
      </c>
      <c r="C249" s="217" t="s">
        <v>1507</v>
      </c>
    </row>
    <row r="250" spans="2:3" ht="16" x14ac:dyDescent="0.2">
      <c r="B250" s="216" t="s">
        <v>80</v>
      </c>
      <c r="C250" s="217" t="s">
        <v>1231</v>
      </c>
    </row>
    <row r="251" spans="2:3" ht="16" x14ac:dyDescent="0.2">
      <c r="B251" s="216" t="s">
        <v>361</v>
      </c>
      <c r="C251" s="217" t="s">
        <v>1508</v>
      </c>
    </row>
    <row r="252" spans="2:3" ht="16" x14ac:dyDescent="0.2">
      <c r="B252" s="216" t="s">
        <v>1426</v>
      </c>
      <c r="C252" s="217" t="s">
        <v>1426</v>
      </c>
    </row>
    <row r="253" spans="2:3" x14ac:dyDescent="0.2">
      <c r="B253" s="216" t="s">
        <v>100</v>
      </c>
      <c r="C253" s="216" t="s">
        <v>100</v>
      </c>
    </row>
    <row r="254" spans="2:3" ht="16" x14ac:dyDescent="0.2">
      <c r="B254" s="216" t="s">
        <v>99</v>
      </c>
      <c r="C254" s="217" t="s">
        <v>1232</v>
      </c>
    </row>
    <row r="255" spans="2:3" ht="16" x14ac:dyDescent="0.2">
      <c r="B255" s="216" t="s">
        <v>607</v>
      </c>
      <c r="C255" s="217" t="s">
        <v>1509</v>
      </c>
    </row>
    <row r="256" spans="2:3" ht="16" x14ac:dyDescent="0.2">
      <c r="B256" s="216" t="s">
        <v>107</v>
      </c>
      <c r="C256" s="217" t="s">
        <v>1446</v>
      </c>
    </row>
    <row r="257" spans="2:3" ht="16" x14ac:dyDescent="0.2">
      <c r="B257" s="216" t="s">
        <v>309</v>
      </c>
      <c r="C257" s="217" t="s">
        <v>1510</v>
      </c>
    </row>
    <row r="258" spans="2:3" ht="16" x14ac:dyDescent="0.2">
      <c r="B258" s="216" t="s">
        <v>111</v>
      </c>
      <c r="C258" s="217" t="s">
        <v>1233</v>
      </c>
    </row>
    <row r="259" spans="2:3" ht="16" x14ac:dyDescent="0.2">
      <c r="B259" s="216" t="s">
        <v>114</v>
      </c>
      <c r="C259" s="217" t="s">
        <v>1511</v>
      </c>
    </row>
    <row r="260" spans="2:3" ht="16" x14ac:dyDescent="0.2">
      <c r="B260" s="216" t="s">
        <v>115</v>
      </c>
      <c r="C260" s="217" t="s">
        <v>1234</v>
      </c>
    </row>
    <row r="261" spans="2:3" ht="16" x14ac:dyDescent="0.2">
      <c r="B261" s="216" t="s">
        <v>316</v>
      </c>
      <c r="C261" s="217" t="s">
        <v>1512</v>
      </c>
    </row>
    <row r="262" spans="2:3" ht="32" x14ac:dyDescent="0.2">
      <c r="B262" s="216" t="s">
        <v>116</v>
      </c>
      <c r="C262" s="217" t="s">
        <v>1513</v>
      </c>
    </row>
    <row r="263" spans="2:3" ht="32" x14ac:dyDescent="0.2">
      <c r="B263" s="216" t="s">
        <v>117</v>
      </c>
      <c r="C263" s="217" t="s">
        <v>1514</v>
      </c>
    </row>
    <row r="264" spans="2:3" x14ac:dyDescent="0.2">
      <c r="B264" s="216" t="s">
        <v>121</v>
      </c>
      <c r="C264" s="216" t="s">
        <v>1515</v>
      </c>
    </row>
    <row r="265" spans="2:3" ht="32" x14ac:dyDescent="0.2">
      <c r="B265" s="216" t="s">
        <v>317</v>
      </c>
      <c r="C265" s="217" t="s">
        <v>1516</v>
      </c>
    </row>
    <row r="266" spans="2:3" ht="32" x14ac:dyDescent="0.2">
      <c r="B266" s="216" t="s">
        <v>318</v>
      </c>
      <c r="C266" s="217" t="s">
        <v>1517</v>
      </c>
    </row>
    <row r="267" spans="2:3" ht="16" x14ac:dyDescent="0.2">
      <c r="B267" s="216" t="s">
        <v>321</v>
      </c>
      <c r="C267" s="217" t="s">
        <v>1518</v>
      </c>
    </row>
    <row r="268" spans="2:3" ht="16" x14ac:dyDescent="0.2">
      <c r="B268" s="216" t="s">
        <v>327</v>
      </c>
      <c r="C268" s="217" t="s">
        <v>1235</v>
      </c>
    </row>
    <row r="269" spans="2:3" ht="32" x14ac:dyDescent="0.2">
      <c r="B269" s="216" t="s">
        <v>328</v>
      </c>
      <c r="C269" s="217" t="s">
        <v>1519</v>
      </c>
    </row>
    <row r="270" spans="2:3" ht="16" x14ac:dyDescent="0.2">
      <c r="B270" s="216" t="s">
        <v>122</v>
      </c>
      <c r="C270" s="217" t="s">
        <v>1236</v>
      </c>
    </row>
    <row r="271" spans="2:3" ht="16" x14ac:dyDescent="0.2">
      <c r="B271" s="216" t="s">
        <v>123</v>
      </c>
      <c r="C271" s="217" t="s">
        <v>1237</v>
      </c>
    </row>
    <row r="272" spans="2:3" ht="16" x14ac:dyDescent="0.2">
      <c r="B272" s="216" t="s">
        <v>124</v>
      </c>
      <c r="C272" s="217" t="s">
        <v>1238</v>
      </c>
    </row>
    <row r="273" spans="2:3" ht="16" x14ac:dyDescent="0.2">
      <c r="B273" s="216" t="s">
        <v>129</v>
      </c>
      <c r="C273" s="217" t="s">
        <v>129</v>
      </c>
    </row>
    <row r="274" spans="2:3" ht="16" x14ac:dyDescent="0.2">
      <c r="B274" s="216" t="s">
        <v>134</v>
      </c>
      <c r="C274" s="217" t="s">
        <v>1239</v>
      </c>
    </row>
    <row r="275" spans="2:3" ht="16" x14ac:dyDescent="0.2">
      <c r="B275" s="216" t="s">
        <v>667</v>
      </c>
      <c r="C275" s="217" t="s">
        <v>1240</v>
      </c>
    </row>
    <row r="276" spans="2:3" ht="16" x14ac:dyDescent="0.2">
      <c r="B276" s="216" t="s">
        <v>668</v>
      </c>
      <c r="C276" s="217" t="s">
        <v>1241</v>
      </c>
    </row>
    <row r="277" spans="2:3" ht="16" x14ac:dyDescent="0.2">
      <c r="B277" s="216" t="s">
        <v>138</v>
      </c>
      <c r="C277" s="217" t="s">
        <v>1386</v>
      </c>
    </row>
    <row r="278" spans="2:3" ht="16" x14ac:dyDescent="0.2">
      <c r="B278" s="216" t="s">
        <v>139</v>
      </c>
      <c r="C278" s="217" t="s">
        <v>1242</v>
      </c>
    </row>
    <row r="279" spans="2:3" ht="16" x14ac:dyDescent="0.2">
      <c r="B279" s="216" t="s">
        <v>688</v>
      </c>
      <c r="C279" s="217" t="s">
        <v>1243</v>
      </c>
    </row>
    <row r="280" spans="2:3" ht="16" x14ac:dyDescent="0.2">
      <c r="B280" s="216" t="s">
        <v>140</v>
      </c>
      <c r="C280" s="217" t="s">
        <v>1244</v>
      </c>
    </row>
    <row r="281" spans="2:3" ht="16" x14ac:dyDescent="0.2">
      <c r="B281" s="216" t="s">
        <v>611</v>
      </c>
      <c r="C281" s="217" t="s">
        <v>1245</v>
      </c>
    </row>
    <row r="282" spans="2:3" ht="16" x14ac:dyDescent="0.2">
      <c r="B282" s="216" t="s">
        <v>612</v>
      </c>
      <c r="C282" s="217" t="s">
        <v>1246</v>
      </c>
    </row>
    <row r="283" spans="2:3" ht="16" x14ac:dyDescent="0.2">
      <c r="B283" s="216" t="s">
        <v>613</v>
      </c>
      <c r="C283" s="217" t="s">
        <v>1247</v>
      </c>
    </row>
    <row r="284" spans="2:3" ht="16" x14ac:dyDescent="0.2">
      <c r="B284" s="216" t="s">
        <v>614</v>
      </c>
      <c r="C284" s="217" t="s">
        <v>1248</v>
      </c>
    </row>
    <row r="285" spans="2:3" ht="16" x14ac:dyDescent="0.2">
      <c r="B285" s="216" t="s">
        <v>721</v>
      </c>
      <c r="C285" s="217" t="s">
        <v>1249</v>
      </c>
    </row>
    <row r="286" spans="2:3" ht="16" x14ac:dyDescent="0.2">
      <c r="B286" s="216" t="s">
        <v>145</v>
      </c>
      <c r="C286" s="217" t="s">
        <v>1250</v>
      </c>
    </row>
    <row r="287" spans="2:3" ht="16" x14ac:dyDescent="0.2">
      <c r="B287" s="216" t="s">
        <v>146</v>
      </c>
      <c r="C287" s="217" t="s">
        <v>1251</v>
      </c>
    </row>
    <row r="288" spans="2:3" ht="16" x14ac:dyDescent="0.2">
      <c r="B288" s="216" t="s">
        <v>147</v>
      </c>
      <c r="C288" s="217" t="s">
        <v>1252</v>
      </c>
    </row>
    <row r="289" spans="2:3" ht="16" x14ac:dyDescent="0.2">
      <c r="B289" s="216" t="s">
        <v>150</v>
      </c>
      <c r="C289" s="217" t="s">
        <v>1253</v>
      </c>
    </row>
    <row r="290" spans="2:3" ht="16" x14ac:dyDescent="0.2">
      <c r="B290" s="216" t="s">
        <v>617</v>
      </c>
      <c r="C290" s="217" t="s">
        <v>1254</v>
      </c>
    </row>
    <row r="291" spans="2:3" ht="16" x14ac:dyDescent="0.2">
      <c r="B291" s="216" t="s">
        <v>618</v>
      </c>
      <c r="C291" s="217" t="s">
        <v>1255</v>
      </c>
    </row>
    <row r="292" spans="2:3" ht="16" x14ac:dyDescent="0.2">
      <c r="B292" s="216" t="s">
        <v>619</v>
      </c>
      <c r="C292" s="217" t="s">
        <v>1256</v>
      </c>
    </row>
    <row r="293" spans="2:3" ht="16" x14ac:dyDescent="0.2">
      <c r="B293" s="216" t="s">
        <v>621</v>
      </c>
      <c r="C293" s="217" t="s">
        <v>1257</v>
      </c>
    </row>
    <row r="294" spans="2:3" ht="16" x14ac:dyDescent="0.2">
      <c r="B294" s="216" t="s">
        <v>228</v>
      </c>
      <c r="C294" s="217" t="s">
        <v>1258</v>
      </c>
    </row>
    <row r="295" spans="2:3" ht="16" x14ac:dyDescent="0.2">
      <c r="B295" s="216" t="s">
        <v>229</v>
      </c>
      <c r="C295" s="217" t="s">
        <v>1259</v>
      </c>
    </row>
    <row r="296" spans="2:3" ht="16" x14ac:dyDescent="0.2">
      <c r="B296" s="216" t="s">
        <v>230</v>
      </c>
      <c r="C296" s="217" t="s">
        <v>1260</v>
      </c>
    </row>
    <row r="297" spans="2:3" ht="16" x14ac:dyDescent="0.2">
      <c r="B297" s="216" t="s">
        <v>162</v>
      </c>
      <c r="C297" s="217" t="s">
        <v>1261</v>
      </c>
    </row>
    <row r="298" spans="2:3" ht="16" x14ac:dyDescent="0.2">
      <c r="B298" s="216" t="s">
        <v>160</v>
      </c>
      <c r="C298" s="217" t="s">
        <v>1262</v>
      </c>
    </row>
    <row r="299" spans="2:3" ht="16" x14ac:dyDescent="0.2">
      <c r="B299" s="216" t="s">
        <v>161</v>
      </c>
      <c r="C299" s="217" t="s">
        <v>1263</v>
      </c>
    </row>
    <row r="300" spans="2:3" ht="16" x14ac:dyDescent="0.2">
      <c r="B300" s="216" t="s">
        <v>163</v>
      </c>
      <c r="C300" s="217" t="s">
        <v>1264</v>
      </c>
    </row>
    <row r="301" spans="2:3" ht="16" x14ac:dyDescent="0.2">
      <c r="B301" s="216" t="s">
        <v>57</v>
      </c>
      <c r="C301" s="217" t="s">
        <v>1265</v>
      </c>
    </row>
    <row r="302" spans="2:3" ht="16" x14ac:dyDescent="0.2">
      <c r="B302" s="216" t="s">
        <v>167</v>
      </c>
      <c r="C302" s="217" t="s">
        <v>1266</v>
      </c>
    </row>
    <row r="303" spans="2:3" ht="16" x14ac:dyDescent="0.2">
      <c r="B303" s="216" t="s">
        <v>168</v>
      </c>
      <c r="C303" s="217" t="s">
        <v>1520</v>
      </c>
    </row>
    <row r="304" spans="2:3" ht="16" x14ac:dyDescent="0.2">
      <c r="B304" s="216" t="s">
        <v>169</v>
      </c>
      <c r="C304" s="217" t="s">
        <v>1521</v>
      </c>
    </row>
    <row r="305" spans="2:3" ht="16" x14ac:dyDescent="0.2">
      <c r="B305" s="216" t="s">
        <v>312</v>
      </c>
      <c r="C305" s="217" t="s">
        <v>1267</v>
      </c>
    </row>
    <row r="306" spans="2:3" ht="16" x14ac:dyDescent="0.2">
      <c r="B306" s="216" t="s">
        <v>173</v>
      </c>
      <c r="C306" s="217" t="s">
        <v>1268</v>
      </c>
    </row>
    <row r="307" spans="2:3" ht="16" x14ac:dyDescent="0.2">
      <c r="B307" s="216" t="s">
        <v>212</v>
      </c>
      <c r="C307" s="217" t="s">
        <v>1522</v>
      </c>
    </row>
    <row r="308" spans="2:3" ht="16" x14ac:dyDescent="0.2">
      <c r="B308" s="216" t="s">
        <v>623</v>
      </c>
      <c r="C308" s="217" t="s">
        <v>1523</v>
      </c>
    </row>
    <row r="309" spans="2:3" ht="16" x14ac:dyDescent="0.2">
      <c r="B309" s="216" t="s">
        <v>175</v>
      </c>
      <c r="C309" s="217" t="s">
        <v>1269</v>
      </c>
    </row>
    <row r="310" spans="2:3" ht="16" x14ac:dyDescent="0.2">
      <c r="B310" s="216" t="s">
        <v>176</v>
      </c>
      <c r="C310" s="217" t="s">
        <v>1270</v>
      </c>
    </row>
    <row r="311" spans="2:3" ht="16" x14ac:dyDescent="0.2">
      <c r="B311" s="216" t="s">
        <v>179</v>
      </c>
      <c r="C311" s="217" t="s">
        <v>1271</v>
      </c>
    </row>
    <row r="312" spans="2:3" ht="16" x14ac:dyDescent="0.2">
      <c r="B312" s="216" t="s">
        <v>181</v>
      </c>
      <c r="C312" s="217" t="s">
        <v>1272</v>
      </c>
    </row>
    <row r="313" spans="2:3" ht="16" x14ac:dyDescent="0.2">
      <c r="B313" s="216" t="s">
        <v>182</v>
      </c>
      <c r="C313" s="217" t="s">
        <v>182</v>
      </c>
    </row>
    <row r="314" spans="2:3" ht="16" x14ac:dyDescent="0.2">
      <c r="B314" s="216" t="s">
        <v>183</v>
      </c>
      <c r="C314" s="217" t="s">
        <v>1524</v>
      </c>
    </row>
    <row r="315" spans="2:3" ht="16" x14ac:dyDescent="0.2">
      <c r="B315" s="216" t="s">
        <v>184</v>
      </c>
      <c r="C315" s="217" t="s">
        <v>1525</v>
      </c>
    </row>
    <row r="316" spans="2:3" ht="16" x14ac:dyDescent="0.2">
      <c r="B316" s="216" t="s">
        <v>677</v>
      </c>
      <c r="C316" s="217" t="s">
        <v>1219</v>
      </c>
    </row>
    <row r="317" spans="2:3" ht="16" x14ac:dyDescent="0.2">
      <c r="B317" s="216" t="s">
        <v>675</v>
      </c>
      <c r="C317" s="217" t="s">
        <v>1220</v>
      </c>
    </row>
    <row r="318" spans="2:3" ht="16" x14ac:dyDescent="0.2">
      <c r="B318" s="216" t="s">
        <v>185</v>
      </c>
      <c r="C318" s="217" t="s">
        <v>1273</v>
      </c>
    </row>
    <row r="319" spans="2:3" ht="16" x14ac:dyDescent="0.2">
      <c r="B319" s="216" t="s">
        <v>186</v>
      </c>
      <c r="C319" s="217" t="s">
        <v>1274</v>
      </c>
    </row>
    <row r="320" spans="2:3" ht="16" x14ac:dyDescent="0.2">
      <c r="B320" s="216" t="s">
        <v>801</v>
      </c>
      <c r="C320" s="217" t="s">
        <v>1275</v>
      </c>
    </row>
    <row r="321" spans="2:3" ht="16" x14ac:dyDescent="0.2">
      <c r="B321" s="216" t="s">
        <v>191</v>
      </c>
      <c r="C321" s="217" t="s">
        <v>1276</v>
      </c>
    </row>
    <row r="322" spans="2:3" ht="16" x14ac:dyDescent="0.2">
      <c r="B322" s="216" t="s">
        <v>192</v>
      </c>
      <c r="C322" s="217" t="s">
        <v>1277</v>
      </c>
    </row>
    <row r="323" spans="2:3" ht="16" x14ac:dyDescent="0.2">
      <c r="B323" s="216" t="s">
        <v>193</v>
      </c>
      <c r="C323" s="217" t="s">
        <v>1526</v>
      </c>
    </row>
    <row r="324" spans="2:3" ht="16" x14ac:dyDescent="0.2">
      <c r="B324" s="216" t="s">
        <v>194</v>
      </c>
      <c r="C324" s="217" t="s">
        <v>1527</v>
      </c>
    </row>
    <row r="325" spans="2:3" ht="16" x14ac:dyDescent="0.2">
      <c r="B325" s="216" t="s">
        <v>195</v>
      </c>
      <c r="C325" s="217" t="s">
        <v>1278</v>
      </c>
    </row>
    <row r="326" spans="2:3" ht="16" x14ac:dyDescent="0.2">
      <c r="B326" s="216" t="s">
        <v>201</v>
      </c>
      <c r="C326" s="217" t="s">
        <v>1279</v>
      </c>
    </row>
    <row r="327" spans="2:3" ht="16" x14ac:dyDescent="0.2">
      <c r="B327" s="216" t="s">
        <v>202</v>
      </c>
      <c r="C327" s="217" t="s">
        <v>1280</v>
      </c>
    </row>
    <row r="328" spans="2:3" ht="16" x14ac:dyDescent="0.2">
      <c r="B328" s="216" t="s">
        <v>203</v>
      </c>
      <c r="C328" s="217" t="s">
        <v>1528</v>
      </c>
    </row>
    <row r="329" spans="2:3" ht="16" x14ac:dyDescent="0.2">
      <c r="B329" s="216" t="s">
        <v>204</v>
      </c>
      <c r="C329" s="217" t="s">
        <v>1529</v>
      </c>
    </row>
    <row r="330" spans="2:3" ht="16" x14ac:dyDescent="0.2">
      <c r="B330" s="216" t="s">
        <v>205</v>
      </c>
      <c r="C330" s="217" t="s">
        <v>1530</v>
      </c>
    </row>
    <row r="331" spans="2:3" ht="16" x14ac:dyDescent="0.2">
      <c r="B331" s="216" t="s">
        <v>206</v>
      </c>
      <c r="C331" s="217" t="s">
        <v>1531</v>
      </c>
    </row>
    <row r="332" spans="2:3" ht="16" x14ac:dyDescent="0.2">
      <c r="B332" s="216" t="s">
        <v>866</v>
      </c>
      <c r="C332" s="217" t="s">
        <v>1387</v>
      </c>
    </row>
    <row r="333" spans="2:3" ht="16" x14ac:dyDescent="0.2">
      <c r="B333" s="216" t="s">
        <v>865</v>
      </c>
      <c r="C333" s="217" t="s">
        <v>1388</v>
      </c>
    </row>
    <row r="334" spans="2:3" ht="16" x14ac:dyDescent="0.2">
      <c r="B334" s="216" t="s">
        <v>678</v>
      </c>
      <c r="C334" s="217" t="s">
        <v>1532</v>
      </c>
    </row>
    <row r="335" spans="2:3" ht="16" x14ac:dyDescent="0.2">
      <c r="B335" s="216" t="s">
        <v>207</v>
      </c>
      <c r="C335" s="217" t="s">
        <v>1281</v>
      </c>
    </row>
    <row r="336" spans="2:3" ht="32" x14ac:dyDescent="0.2">
      <c r="B336" s="216" t="s">
        <v>1427</v>
      </c>
      <c r="C336" s="217" t="s">
        <v>1533</v>
      </c>
    </row>
    <row r="337" spans="2:3" ht="16" x14ac:dyDescent="0.2">
      <c r="B337" s="216" t="s">
        <v>1428</v>
      </c>
      <c r="C337" s="217" t="s">
        <v>1534</v>
      </c>
    </row>
    <row r="338" spans="2:3" ht="16" x14ac:dyDescent="0.2">
      <c r="B338" s="216" t="s">
        <v>1429</v>
      </c>
      <c r="C338" s="217" t="s">
        <v>1535</v>
      </c>
    </row>
    <row r="339" spans="2:3" ht="16" x14ac:dyDescent="0.2">
      <c r="B339" s="216" t="s">
        <v>98</v>
      </c>
      <c r="C339" s="217" t="s">
        <v>98</v>
      </c>
    </row>
    <row r="340" spans="2:3" ht="16" x14ac:dyDescent="0.2">
      <c r="B340" s="216" t="s">
        <v>217</v>
      </c>
      <c r="C340" s="217" t="s">
        <v>1282</v>
      </c>
    </row>
    <row r="341" spans="2:3" ht="16" x14ac:dyDescent="0.2">
      <c r="B341" s="216" t="s">
        <v>220</v>
      </c>
      <c r="C341" s="217" t="s">
        <v>1283</v>
      </c>
    </row>
    <row r="342" spans="2:3" ht="16" x14ac:dyDescent="0.2">
      <c r="B342" s="216" t="s">
        <v>218</v>
      </c>
      <c r="C342" s="217" t="s">
        <v>1284</v>
      </c>
    </row>
    <row r="343" spans="2:3" ht="16" x14ac:dyDescent="0.2">
      <c r="B343" s="216" t="s">
        <v>386</v>
      </c>
      <c r="C343" s="217" t="s">
        <v>1285</v>
      </c>
    </row>
    <row r="344" spans="2:3" ht="16" x14ac:dyDescent="0.2">
      <c r="B344" s="216" t="s">
        <v>310</v>
      </c>
      <c r="C344" s="217" t="s">
        <v>1286</v>
      </c>
    </row>
    <row r="345" spans="2:3" ht="16" x14ac:dyDescent="0.2">
      <c r="B345" s="216" t="s">
        <v>222</v>
      </c>
      <c r="C345" s="217" t="s">
        <v>1287</v>
      </c>
    </row>
    <row r="346" spans="2:3" ht="16" x14ac:dyDescent="0.2">
      <c r="B346" s="216" t="s">
        <v>223</v>
      </c>
      <c r="C346" s="217" t="s">
        <v>1536</v>
      </c>
    </row>
    <row r="347" spans="2:3" ht="16" x14ac:dyDescent="0.2">
      <c r="B347" s="216" t="s">
        <v>226</v>
      </c>
      <c r="C347" s="217" t="s">
        <v>226</v>
      </c>
    </row>
    <row r="348" spans="2:3" ht="16" x14ac:dyDescent="0.2">
      <c r="B348" s="216" t="s">
        <v>1430</v>
      </c>
      <c r="C348" s="217" t="s">
        <v>1537</v>
      </c>
    </row>
    <row r="349" spans="2:3" ht="16" x14ac:dyDescent="0.2">
      <c r="B349" s="216" t="s">
        <v>1431</v>
      </c>
      <c r="C349" s="217" t="s">
        <v>1538</v>
      </c>
    </row>
    <row r="350" spans="2:3" ht="16" x14ac:dyDescent="0.2">
      <c r="B350" s="216" t="s">
        <v>235</v>
      </c>
      <c r="C350" s="217" t="s">
        <v>1539</v>
      </c>
    </row>
    <row r="351" spans="2:3" ht="16" x14ac:dyDescent="0.2">
      <c r="B351" s="216" t="s">
        <v>236</v>
      </c>
      <c r="C351" s="217" t="s">
        <v>1540</v>
      </c>
    </row>
    <row r="352" spans="2:3" x14ac:dyDescent="0.2">
      <c r="B352" s="216" t="s">
        <v>237</v>
      </c>
      <c r="C352" s="216" t="s">
        <v>1541</v>
      </c>
    </row>
    <row r="353" spans="2:3" ht="16" x14ac:dyDescent="0.2">
      <c r="B353" s="216" t="s">
        <v>1432</v>
      </c>
      <c r="C353" s="217" t="s">
        <v>1542</v>
      </c>
    </row>
    <row r="354" spans="2:3" ht="16" x14ac:dyDescent="0.2">
      <c r="B354" s="216" t="s">
        <v>239</v>
      </c>
      <c r="C354" s="217" t="s">
        <v>1543</v>
      </c>
    </row>
    <row r="355" spans="2:3" ht="16" x14ac:dyDescent="0.2">
      <c r="B355" s="216" t="s">
        <v>240</v>
      </c>
      <c r="C355" s="217" t="s">
        <v>1544</v>
      </c>
    </row>
    <row r="356" spans="2:3" ht="16" x14ac:dyDescent="0.2">
      <c r="B356" s="216" t="s">
        <v>243</v>
      </c>
      <c r="C356" s="217" t="s">
        <v>1288</v>
      </c>
    </row>
    <row r="357" spans="2:3" ht="16" x14ac:dyDescent="0.2">
      <c r="B357" s="216" t="s">
        <v>244</v>
      </c>
      <c r="C357" s="217" t="s">
        <v>1289</v>
      </c>
    </row>
    <row r="358" spans="2:3" ht="16" x14ac:dyDescent="0.2">
      <c r="B358" s="216" t="s">
        <v>245</v>
      </c>
      <c r="C358" s="217" t="s">
        <v>245</v>
      </c>
    </row>
    <row r="359" spans="2:3" ht="16" x14ac:dyDescent="0.2">
      <c r="B359" s="216" t="s">
        <v>246</v>
      </c>
      <c r="C359" s="217" t="s">
        <v>246</v>
      </c>
    </row>
    <row r="360" spans="2:3" ht="16" x14ac:dyDescent="0.2">
      <c r="B360" s="216" t="s">
        <v>248</v>
      </c>
      <c r="C360" s="217" t="s">
        <v>1290</v>
      </c>
    </row>
    <row r="361" spans="2:3" x14ac:dyDescent="0.2">
      <c r="B361" s="216" t="s">
        <v>249</v>
      </c>
      <c r="C361" s="216" t="s">
        <v>1545</v>
      </c>
    </row>
    <row r="362" spans="2:3" x14ac:dyDescent="0.2">
      <c r="B362" s="216" t="s">
        <v>250</v>
      </c>
      <c r="C362" s="216" t="s">
        <v>1546</v>
      </c>
    </row>
    <row r="363" spans="2:3" ht="16" x14ac:dyDescent="0.2">
      <c r="B363" s="216" t="s">
        <v>252</v>
      </c>
      <c r="C363" s="217" t="s">
        <v>1291</v>
      </c>
    </row>
    <row r="364" spans="2:3" ht="16" x14ac:dyDescent="0.2">
      <c r="B364" s="216" t="s">
        <v>1433</v>
      </c>
      <c r="C364" s="217" t="s">
        <v>1292</v>
      </c>
    </row>
    <row r="365" spans="2:3" ht="16" x14ac:dyDescent="0.2">
      <c r="B365" s="216" t="s">
        <v>1293</v>
      </c>
      <c r="C365" s="217" t="s">
        <v>1547</v>
      </c>
    </row>
    <row r="366" spans="2:3" ht="16" x14ac:dyDescent="0.2">
      <c r="B366" s="216" t="s">
        <v>342</v>
      </c>
      <c r="C366" s="217" t="s">
        <v>1548</v>
      </c>
    </row>
    <row r="367" spans="2:3" ht="16" x14ac:dyDescent="0.2">
      <c r="B367" s="216" t="s">
        <v>343</v>
      </c>
      <c r="C367" s="217" t="s">
        <v>1549</v>
      </c>
    </row>
    <row r="368" spans="2:3" ht="16" x14ac:dyDescent="0.2">
      <c r="B368" s="216" t="s">
        <v>344</v>
      </c>
      <c r="C368" s="217" t="s">
        <v>1550</v>
      </c>
    </row>
    <row r="369" spans="2:3" ht="16" x14ac:dyDescent="0.2">
      <c r="B369" s="216" t="s">
        <v>345</v>
      </c>
      <c r="C369" s="217" t="s">
        <v>1551</v>
      </c>
    </row>
    <row r="370" spans="2:3" ht="16" x14ac:dyDescent="0.2">
      <c r="B370" s="216" t="s">
        <v>254</v>
      </c>
      <c r="C370" s="217" t="s">
        <v>1552</v>
      </c>
    </row>
    <row r="371" spans="2:3" ht="16" x14ac:dyDescent="0.2">
      <c r="B371" s="216" t="s">
        <v>330</v>
      </c>
      <c r="C371" s="217" t="s">
        <v>1553</v>
      </c>
    </row>
    <row r="372" spans="2:3" ht="32" x14ac:dyDescent="0.2">
      <c r="B372" s="216" t="s">
        <v>331</v>
      </c>
      <c r="C372" s="217" t="s">
        <v>1554</v>
      </c>
    </row>
    <row r="373" spans="2:3" ht="16" x14ac:dyDescent="0.2">
      <c r="B373" s="216" t="s">
        <v>332</v>
      </c>
      <c r="C373" s="217" t="s">
        <v>1555</v>
      </c>
    </row>
    <row r="374" spans="2:3" ht="32" x14ac:dyDescent="0.2">
      <c r="B374" s="216" t="s">
        <v>334</v>
      </c>
      <c r="C374" s="217" t="s">
        <v>1556</v>
      </c>
    </row>
    <row r="375" spans="2:3" ht="16" x14ac:dyDescent="0.2">
      <c r="B375" s="216" t="s">
        <v>337</v>
      </c>
      <c r="C375" s="217" t="s">
        <v>1557</v>
      </c>
    </row>
    <row r="376" spans="2:3" ht="16" x14ac:dyDescent="0.2">
      <c r="B376" s="216" t="s">
        <v>348</v>
      </c>
      <c r="C376" s="217" t="s">
        <v>1558</v>
      </c>
    </row>
    <row r="377" spans="2:3" ht="16" x14ac:dyDescent="0.2">
      <c r="B377" s="216" t="s">
        <v>327</v>
      </c>
      <c r="C377" s="217" t="s">
        <v>1235</v>
      </c>
    </row>
    <row r="378" spans="2:3" ht="16" x14ac:dyDescent="0.2">
      <c r="B378" s="216" t="s">
        <v>336</v>
      </c>
      <c r="C378" s="217" t="s">
        <v>1559</v>
      </c>
    </row>
    <row r="379" spans="2:3" ht="32" x14ac:dyDescent="0.2">
      <c r="B379" s="216" t="s">
        <v>346</v>
      </c>
      <c r="C379" s="217" t="s">
        <v>1560</v>
      </c>
    </row>
    <row r="380" spans="2:3" ht="32" x14ac:dyDescent="0.2">
      <c r="B380" s="216" t="s">
        <v>347</v>
      </c>
      <c r="C380" s="217" t="s">
        <v>1561</v>
      </c>
    </row>
    <row r="381" spans="2:3" ht="16" x14ac:dyDescent="0.2">
      <c r="B381" s="216" t="s">
        <v>349</v>
      </c>
      <c r="C381" s="217" t="s">
        <v>1562</v>
      </c>
    </row>
    <row r="382" spans="2:3" ht="16" x14ac:dyDescent="0.2">
      <c r="B382" s="216" t="s">
        <v>350</v>
      </c>
      <c r="C382" s="217" t="s">
        <v>1294</v>
      </c>
    </row>
    <row r="383" spans="2:3" ht="16" x14ac:dyDescent="0.2">
      <c r="B383" s="216" t="s">
        <v>255</v>
      </c>
      <c r="C383" s="217" t="s">
        <v>1295</v>
      </c>
    </row>
    <row r="384" spans="2:3" ht="16" x14ac:dyDescent="0.2">
      <c r="B384" s="216" t="s">
        <v>311</v>
      </c>
      <c r="C384" s="217" t="s">
        <v>1296</v>
      </c>
    </row>
    <row r="385" spans="2:3" ht="16" x14ac:dyDescent="0.2">
      <c r="B385" s="216" t="s">
        <v>278</v>
      </c>
      <c r="C385" s="217" t="s">
        <v>1297</v>
      </c>
    </row>
    <row r="386" spans="2:3" ht="16" x14ac:dyDescent="0.2">
      <c r="B386" s="216" t="s">
        <v>277</v>
      </c>
      <c r="C386" s="217" t="s">
        <v>1298</v>
      </c>
    </row>
    <row r="387" spans="2:3" ht="16" x14ac:dyDescent="0.2">
      <c r="B387" s="216" t="s">
        <v>279</v>
      </c>
      <c r="C387" s="217" t="s">
        <v>1299</v>
      </c>
    </row>
    <row r="388" spans="2:3" ht="16" x14ac:dyDescent="0.2">
      <c r="B388" s="216" t="s">
        <v>280</v>
      </c>
      <c r="C388" s="217" t="s">
        <v>1300</v>
      </c>
    </row>
    <row r="389" spans="2:3" ht="16" x14ac:dyDescent="0.2">
      <c r="B389" s="216" t="s">
        <v>258</v>
      </c>
      <c r="C389" s="217" t="s">
        <v>1301</v>
      </c>
    </row>
    <row r="390" spans="2:3" ht="16" x14ac:dyDescent="0.2">
      <c r="B390" s="216" t="s">
        <v>259</v>
      </c>
      <c r="C390" s="217" t="s">
        <v>1302</v>
      </c>
    </row>
    <row r="391" spans="2:3" ht="16" x14ac:dyDescent="0.2">
      <c r="B391" s="216" t="s">
        <v>260</v>
      </c>
      <c r="C391" s="217" t="s">
        <v>1303</v>
      </c>
    </row>
    <row r="392" spans="2:3" ht="16" x14ac:dyDescent="0.2">
      <c r="B392" s="216" t="s">
        <v>261</v>
      </c>
      <c r="C392" s="217" t="s">
        <v>1304</v>
      </c>
    </row>
    <row r="393" spans="2:3" ht="16" x14ac:dyDescent="0.2">
      <c r="B393" s="216" t="s">
        <v>158</v>
      </c>
      <c r="C393" s="217" t="s">
        <v>1305</v>
      </c>
    </row>
    <row r="394" spans="2:3" ht="16" x14ac:dyDescent="0.2">
      <c r="B394" s="216" t="s">
        <v>262</v>
      </c>
      <c r="C394" s="217" t="s">
        <v>1306</v>
      </c>
    </row>
    <row r="395" spans="2:3" ht="16" x14ac:dyDescent="0.2">
      <c r="B395" s="216" t="s">
        <v>263</v>
      </c>
      <c r="C395" s="217" t="s">
        <v>1307</v>
      </c>
    </row>
    <row r="396" spans="2:3" ht="16" x14ac:dyDescent="0.2">
      <c r="B396" s="216" t="s">
        <v>264</v>
      </c>
      <c r="C396" s="217" t="s">
        <v>1115</v>
      </c>
    </row>
    <row r="397" spans="2:3" ht="16" x14ac:dyDescent="0.2">
      <c r="B397" s="216" t="s">
        <v>265</v>
      </c>
      <c r="C397" s="217" t="s">
        <v>265</v>
      </c>
    </row>
    <row r="398" spans="2:3" ht="16" x14ac:dyDescent="0.2">
      <c r="B398" s="216" t="s">
        <v>268</v>
      </c>
      <c r="C398" s="217" t="s">
        <v>1308</v>
      </c>
    </row>
    <row r="399" spans="2:3" ht="16" x14ac:dyDescent="0.2">
      <c r="B399" s="216" t="s">
        <v>269</v>
      </c>
      <c r="C399" s="217" t="s">
        <v>1309</v>
      </c>
    </row>
    <row r="400" spans="2:3" ht="16" x14ac:dyDescent="0.2">
      <c r="B400" s="216" t="s">
        <v>270</v>
      </c>
      <c r="C400" s="217" t="s">
        <v>1563</v>
      </c>
    </row>
    <row r="401" spans="2:3" ht="16" x14ac:dyDescent="0.2">
      <c r="B401" s="216" t="s">
        <v>271</v>
      </c>
      <c r="C401" s="217" t="s">
        <v>1564</v>
      </c>
    </row>
    <row r="402" spans="2:3" ht="16" x14ac:dyDescent="0.2">
      <c r="B402" s="216" t="s">
        <v>272</v>
      </c>
      <c r="C402" s="217" t="s">
        <v>1565</v>
      </c>
    </row>
    <row r="403" spans="2:3" ht="16" x14ac:dyDescent="0.2">
      <c r="B403" s="216" t="s">
        <v>273</v>
      </c>
      <c r="C403" s="217" t="s">
        <v>1310</v>
      </c>
    </row>
    <row r="404" spans="2:3" ht="16" x14ac:dyDescent="0.2">
      <c r="B404" s="216" t="s">
        <v>274</v>
      </c>
      <c r="C404" s="217" t="s">
        <v>1311</v>
      </c>
    </row>
    <row r="405" spans="2:3" ht="16" x14ac:dyDescent="0.2">
      <c r="B405" s="216" t="s">
        <v>275</v>
      </c>
      <c r="C405" s="217" t="s">
        <v>1312</v>
      </c>
    </row>
    <row r="406" spans="2:3" ht="16" x14ac:dyDescent="0.2">
      <c r="B406" s="216" t="s">
        <v>276</v>
      </c>
      <c r="C406" s="217" t="s">
        <v>1313</v>
      </c>
    </row>
    <row r="407" spans="2:3" ht="16" x14ac:dyDescent="0.2">
      <c r="B407" s="216" t="s">
        <v>303</v>
      </c>
      <c r="C407" s="217" t="s">
        <v>1566</v>
      </c>
    </row>
    <row r="408" spans="2:3" ht="16" x14ac:dyDescent="0.2">
      <c r="B408" s="216" t="s">
        <v>284</v>
      </c>
      <c r="C408" s="217" t="s">
        <v>1314</v>
      </c>
    </row>
    <row r="409" spans="2:3" ht="16" x14ac:dyDescent="0.2">
      <c r="B409" s="216" t="s">
        <v>285</v>
      </c>
      <c r="C409" s="217" t="s">
        <v>1315</v>
      </c>
    </row>
    <row r="410" spans="2:3" ht="16" x14ac:dyDescent="0.2">
      <c r="B410" s="216" t="s">
        <v>286</v>
      </c>
      <c r="C410" s="217" t="s">
        <v>1316</v>
      </c>
    </row>
    <row r="411" spans="2:3" ht="16" x14ac:dyDescent="0.2">
      <c r="B411" s="216" t="s">
        <v>287</v>
      </c>
      <c r="C411" s="217" t="s">
        <v>1317</v>
      </c>
    </row>
    <row r="412" spans="2:3" ht="16" x14ac:dyDescent="0.2">
      <c r="B412" s="216" t="s">
        <v>304</v>
      </c>
      <c r="C412" s="217" t="s">
        <v>1318</v>
      </c>
    </row>
    <row r="413" spans="2:3" ht="32" x14ac:dyDescent="0.2">
      <c r="B413" s="216" t="s">
        <v>353</v>
      </c>
      <c r="C413" s="217" t="s">
        <v>1567</v>
      </c>
    </row>
    <row r="414" spans="2:3" ht="32" x14ac:dyDescent="0.2">
      <c r="B414" s="216" t="s">
        <v>354</v>
      </c>
      <c r="C414" s="217" t="s">
        <v>1568</v>
      </c>
    </row>
    <row r="415" spans="2:3" ht="16" x14ac:dyDescent="0.2">
      <c r="B415" s="216" t="s">
        <v>355</v>
      </c>
      <c r="C415" s="217" t="s">
        <v>1569</v>
      </c>
    </row>
    <row r="416" spans="2:3" ht="32" x14ac:dyDescent="0.2">
      <c r="B416" s="216" t="s">
        <v>356</v>
      </c>
      <c r="C416" s="217" t="s">
        <v>1570</v>
      </c>
    </row>
    <row r="417" spans="1:3" ht="16" x14ac:dyDescent="0.2">
      <c r="B417" s="216" t="s">
        <v>290</v>
      </c>
      <c r="C417" s="217" t="s">
        <v>1571</v>
      </c>
    </row>
    <row r="418" spans="1:3" ht="16" x14ac:dyDescent="0.2">
      <c r="B418" s="216" t="s">
        <v>296</v>
      </c>
      <c r="C418" s="217" t="s">
        <v>1319</v>
      </c>
    </row>
    <row r="419" spans="1:3" ht="16" x14ac:dyDescent="0.2">
      <c r="B419" s="216" t="s">
        <v>298</v>
      </c>
      <c r="C419" s="217" t="s">
        <v>1320</v>
      </c>
    </row>
    <row r="420" spans="1:3" ht="16" x14ac:dyDescent="0.2">
      <c r="B420" s="216" t="s">
        <v>300</v>
      </c>
      <c r="C420" s="217" t="s">
        <v>1447</v>
      </c>
    </row>
    <row r="421" spans="1:3" ht="16" x14ac:dyDescent="0.2">
      <c r="B421" s="216" t="s">
        <v>302</v>
      </c>
      <c r="C421" s="217" t="s">
        <v>1572</v>
      </c>
    </row>
    <row r="422" spans="1:3" ht="16" x14ac:dyDescent="0.2">
      <c r="B422" s="216" t="s">
        <v>490</v>
      </c>
      <c r="C422" s="217" t="s">
        <v>1321</v>
      </c>
    </row>
    <row r="423" spans="1:3" ht="16" x14ac:dyDescent="0.2">
      <c r="B423" s="216" t="s">
        <v>313</v>
      </c>
      <c r="C423" s="217" t="s">
        <v>1322</v>
      </c>
    </row>
    <row r="424" spans="1:3" ht="16" x14ac:dyDescent="0.2">
      <c r="B424" s="216" t="s">
        <v>691</v>
      </c>
      <c r="C424" s="217" t="s">
        <v>691</v>
      </c>
    </row>
    <row r="425" spans="1:3" ht="16" x14ac:dyDescent="0.2">
      <c r="B425" s="216" t="s">
        <v>752</v>
      </c>
      <c r="C425" s="217" t="s">
        <v>1573</v>
      </c>
    </row>
    <row r="426" spans="1:3" x14ac:dyDescent="0.2">
      <c r="B426" s="216" t="s">
        <v>898</v>
      </c>
      <c r="C426" s="216" t="s">
        <v>1574</v>
      </c>
    </row>
    <row r="427" spans="1:3" ht="16" x14ac:dyDescent="0.2">
      <c r="B427" s="216" t="s">
        <v>1080</v>
      </c>
      <c r="C427" s="217" t="s">
        <v>1575</v>
      </c>
    </row>
    <row r="428" spans="1:3" ht="16" x14ac:dyDescent="0.2">
      <c r="B428" s="216" t="s">
        <v>753</v>
      </c>
      <c r="C428" s="217" t="s">
        <v>1576</v>
      </c>
    </row>
    <row r="429" spans="1:3" ht="16" x14ac:dyDescent="0.2">
      <c r="B429" s="216" t="s">
        <v>754</v>
      </c>
      <c r="C429" s="217" t="s">
        <v>1577</v>
      </c>
    </row>
    <row r="430" spans="1:3" ht="16" x14ac:dyDescent="0.2">
      <c r="B430" s="216" t="s">
        <v>901</v>
      </c>
      <c r="C430" s="217" t="s">
        <v>1578</v>
      </c>
    </row>
    <row r="431" spans="1:3" ht="16" x14ac:dyDescent="0.2">
      <c r="A431" t="s">
        <v>646</v>
      </c>
      <c r="B431" s="216" t="s">
        <v>698</v>
      </c>
      <c r="C431" s="217" t="s">
        <v>1323</v>
      </c>
    </row>
    <row r="432" spans="1:3" ht="16" x14ac:dyDescent="0.2">
      <c r="B432" s="216" t="s">
        <v>699</v>
      </c>
      <c r="C432" s="217" t="s">
        <v>1324</v>
      </c>
    </row>
    <row r="433" spans="1:3" ht="16" x14ac:dyDescent="0.2">
      <c r="B433" s="216" t="s">
        <v>410</v>
      </c>
      <c r="C433" s="217" t="s">
        <v>1325</v>
      </c>
    </row>
    <row r="434" spans="1:3" ht="16" x14ac:dyDescent="0.2">
      <c r="B434" s="216" t="s">
        <v>409</v>
      </c>
      <c r="C434" s="217" t="s">
        <v>1326</v>
      </c>
    </row>
    <row r="435" spans="1:3" ht="16" x14ac:dyDescent="0.2">
      <c r="B435" s="216" t="s">
        <v>621</v>
      </c>
      <c r="C435" s="217" t="s">
        <v>1257</v>
      </c>
    </row>
    <row r="436" spans="1:3" ht="32" x14ac:dyDescent="0.2">
      <c r="B436" s="216" t="s">
        <v>1081</v>
      </c>
      <c r="C436" s="217" t="s">
        <v>1327</v>
      </c>
    </row>
    <row r="437" spans="1:3" ht="16" x14ac:dyDescent="0.2">
      <c r="B437" s="216" t="s">
        <v>1434</v>
      </c>
      <c r="C437" s="217" t="s">
        <v>1579</v>
      </c>
    </row>
    <row r="438" spans="1:3" ht="48" x14ac:dyDescent="0.2">
      <c r="A438" t="s">
        <v>648</v>
      </c>
      <c r="B438" s="216" t="s">
        <v>767</v>
      </c>
      <c r="C438" s="217" t="s">
        <v>1580</v>
      </c>
    </row>
    <row r="439" spans="1:3" ht="16" x14ac:dyDescent="0.2">
      <c r="B439" s="216" t="s">
        <v>125</v>
      </c>
      <c r="C439" s="217" t="s">
        <v>1328</v>
      </c>
    </row>
    <row r="440" spans="1:3" ht="16" x14ac:dyDescent="0.2">
      <c r="B440" s="216" t="s">
        <v>1083</v>
      </c>
      <c r="C440" s="217" t="s">
        <v>1581</v>
      </c>
    </row>
    <row r="441" spans="1:3" ht="16" x14ac:dyDescent="0.2">
      <c r="B441" s="216" t="s">
        <v>462</v>
      </c>
      <c r="C441" s="217" t="s">
        <v>1329</v>
      </c>
    </row>
    <row r="442" spans="1:3" ht="16" x14ac:dyDescent="0.2">
      <c r="B442" s="216" t="s">
        <v>442</v>
      </c>
      <c r="C442" s="217" t="s">
        <v>1330</v>
      </c>
    </row>
    <row r="443" spans="1:3" ht="16" x14ac:dyDescent="0.2">
      <c r="B443" s="216" t="s">
        <v>445</v>
      </c>
      <c r="C443" s="217" t="s">
        <v>1331</v>
      </c>
    </row>
    <row r="444" spans="1:3" ht="16" x14ac:dyDescent="0.2">
      <c r="B444" s="216" t="s">
        <v>996</v>
      </c>
      <c r="C444" s="217" t="s">
        <v>1582</v>
      </c>
    </row>
    <row r="445" spans="1:3" ht="16" x14ac:dyDescent="0.2">
      <c r="B445" s="216" t="s">
        <v>1391</v>
      </c>
      <c r="C445" s="217" t="s">
        <v>1332</v>
      </c>
    </row>
    <row r="446" spans="1:3" ht="16" x14ac:dyDescent="0.2">
      <c r="B446" s="216" t="s">
        <v>451</v>
      </c>
      <c r="C446" s="217" t="s">
        <v>1333</v>
      </c>
    </row>
    <row r="447" spans="1:3" ht="16" x14ac:dyDescent="0.2">
      <c r="B447" s="216" t="s">
        <v>454</v>
      </c>
      <c r="C447" s="217" t="s">
        <v>1334</v>
      </c>
    </row>
    <row r="448" spans="1:3" ht="16" x14ac:dyDescent="0.2">
      <c r="B448" s="216" t="s">
        <v>423</v>
      </c>
      <c r="C448" s="217" t="s">
        <v>1335</v>
      </c>
    </row>
    <row r="449" spans="1:3" ht="16" x14ac:dyDescent="0.2">
      <c r="B449" s="216" t="s">
        <v>424</v>
      </c>
      <c r="C449" s="217" t="s">
        <v>1336</v>
      </c>
    </row>
    <row r="450" spans="1:3" ht="16" x14ac:dyDescent="0.2">
      <c r="B450" s="216" t="s">
        <v>464</v>
      </c>
      <c r="C450" s="217" t="s">
        <v>1337</v>
      </c>
    </row>
    <row r="451" spans="1:3" ht="16" x14ac:dyDescent="0.2">
      <c r="B451" s="216" t="s">
        <v>457</v>
      </c>
      <c r="C451" s="217" t="s">
        <v>1338</v>
      </c>
    </row>
    <row r="452" spans="1:3" ht="16" x14ac:dyDescent="0.2">
      <c r="B452" s="216" t="s">
        <v>458</v>
      </c>
      <c r="C452" s="217" t="s">
        <v>1339</v>
      </c>
    </row>
    <row r="453" spans="1:3" ht="16" x14ac:dyDescent="0.2">
      <c r="B453" s="216" t="s">
        <v>465</v>
      </c>
      <c r="C453" s="217" t="s">
        <v>1340</v>
      </c>
    </row>
    <row r="454" spans="1:3" ht="16" x14ac:dyDescent="0.2">
      <c r="B454" s="216" t="s">
        <v>1435</v>
      </c>
      <c r="C454" s="217" t="s">
        <v>1583</v>
      </c>
    </row>
    <row r="455" spans="1:3" ht="16" x14ac:dyDescent="0.2">
      <c r="B455" s="216" t="s">
        <v>187</v>
      </c>
      <c r="C455" s="217" t="s">
        <v>1341</v>
      </c>
    </row>
    <row r="456" spans="1:3" ht="16" x14ac:dyDescent="0.2">
      <c r="B456" s="216" t="s">
        <v>427</v>
      </c>
      <c r="C456" s="217" t="s">
        <v>1342</v>
      </c>
    </row>
    <row r="457" spans="1:3" ht="16" x14ac:dyDescent="0.2">
      <c r="B457" s="216" t="s">
        <v>467</v>
      </c>
      <c r="C457" s="217" t="s">
        <v>1343</v>
      </c>
    </row>
    <row r="458" spans="1:3" ht="16" x14ac:dyDescent="0.2">
      <c r="B458" s="216" t="s">
        <v>468</v>
      </c>
      <c r="C458" s="217" t="s">
        <v>1344</v>
      </c>
    </row>
    <row r="459" spans="1:3" ht="16" x14ac:dyDescent="0.2">
      <c r="B459" s="216" t="s">
        <v>428</v>
      </c>
      <c r="C459" s="217" t="s">
        <v>1345</v>
      </c>
    </row>
    <row r="460" spans="1:3" ht="16" x14ac:dyDescent="0.2">
      <c r="B460" s="216" t="s">
        <v>429</v>
      </c>
      <c r="C460" s="217" t="s">
        <v>1346</v>
      </c>
    </row>
    <row r="461" spans="1:3" ht="16" x14ac:dyDescent="0.2">
      <c r="B461" s="216" t="s">
        <v>430</v>
      </c>
      <c r="C461" s="217" t="s">
        <v>1347</v>
      </c>
    </row>
    <row r="462" spans="1:3" ht="16" x14ac:dyDescent="0.2">
      <c r="A462" t="s">
        <v>650</v>
      </c>
      <c r="B462" s="216" t="s">
        <v>706</v>
      </c>
      <c r="C462" s="217" t="s">
        <v>1348</v>
      </c>
    </row>
    <row r="463" spans="1:3" ht="16" x14ac:dyDescent="0.2">
      <c r="B463" s="216" t="s">
        <v>707</v>
      </c>
      <c r="C463" s="217" t="s">
        <v>1349</v>
      </c>
    </row>
    <row r="464" spans="1:3" ht="16" x14ac:dyDescent="0.2">
      <c r="B464" s="216" t="s">
        <v>709</v>
      </c>
      <c r="C464" s="217" t="s">
        <v>709</v>
      </c>
    </row>
    <row r="465" spans="1:3" ht="16" x14ac:dyDescent="0.2">
      <c r="B465" s="216" t="s">
        <v>1082</v>
      </c>
      <c r="C465" s="217" t="s">
        <v>1350</v>
      </c>
    </row>
    <row r="466" spans="1:3" ht="16" x14ac:dyDescent="0.2">
      <c r="B466" s="216" t="s">
        <v>315</v>
      </c>
      <c r="C466" s="217" t="s">
        <v>1351</v>
      </c>
    </row>
    <row r="467" spans="1:3" ht="16" x14ac:dyDescent="0.2">
      <c r="A467" t="s">
        <v>817</v>
      </c>
      <c r="B467" s="216" t="s">
        <v>818</v>
      </c>
      <c r="C467" s="217" t="s">
        <v>1352</v>
      </c>
    </row>
    <row r="468" spans="1:3" ht="16" x14ac:dyDescent="0.2">
      <c r="B468" s="216" t="s">
        <v>821</v>
      </c>
      <c r="C468" s="217" t="s">
        <v>1353</v>
      </c>
    </row>
    <row r="469" spans="1:3" ht="16" x14ac:dyDescent="0.2">
      <c r="B469" s="216" t="s">
        <v>820</v>
      </c>
      <c r="C469" s="217" t="s">
        <v>1354</v>
      </c>
    </row>
    <row r="470" spans="1:3" ht="16" x14ac:dyDescent="0.2">
      <c r="B470" s="216" t="s">
        <v>1436</v>
      </c>
      <c r="C470" s="217" t="s">
        <v>1584</v>
      </c>
    </row>
    <row r="471" spans="1:3" ht="16" x14ac:dyDescent="0.2">
      <c r="B471" s="216" t="s">
        <v>1437</v>
      </c>
      <c r="C471" s="217" t="s">
        <v>1585</v>
      </c>
    </row>
    <row r="472" spans="1:3" ht="16" x14ac:dyDescent="0.2">
      <c r="B472" s="216" t="s">
        <v>833</v>
      </c>
      <c r="C472" s="217" t="s">
        <v>1355</v>
      </c>
    </row>
    <row r="473" spans="1:3" ht="32" x14ac:dyDescent="0.2">
      <c r="B473" s="216" t="s">
        <v>834</v>
      </c>
      <c r="C473" s="217" t="s">
        <v>1586</v>
      </c>
    </row>
    <row r="474" spans="1:3" ht="16" x14ac:dyDescent="0.2">
      <c r="B474" s="216" t="s">
        <v>835</v>
      </c>
      <c r="C474" s="217" t="s">
        <v>1356</v>
      </c>
    </row>
    <row r="475" spans="1:3" ht="16" x14ac:dyDescent="0.2">
      <c r="B475" s="216" t="s">
        <v>836</v>
      </c>
      <c r="C475" s="217" t="s">
        <v>1357</v>
      </c>
    </row>
    <row r="476" spans="1:3" ht="16" x14ac:dyDescent="0.2">
      <c r="B476" s="216" t="s">
        <v>838</v>
      </c>
      <c r="C476" s="217" t="s">
        <v>1358</v>
      </c>
    </row>
    <row r="477" spans="1:3" ht="16" x14ac:dyDescent="0.2">
      <c r="B477" s="216" t="s">
        <v>839</v>
      </c>
      <c r="C477" s="217" t="s">
        <v>1359</v>
      </c>
    </row>
    <row r="478" spans="1:3" ht="16" x14ac:dyDescent="0.2">
      <c r="B478" s="216" t="s">
        <v>842</v>
      </c>
      <c r="C478" s="217" t="s">
        <v>1360</v>
      </c>
    </row>
    <row r="479" spans="1:3" ht="16" x14ac:dyDescent="0.2">
      <c r="B479" s="216" t="s">
        <v>843</v>
      </c>
      <c r="C479" s="217" t="s">
        <v>1361</v>
      </c>
    </row>
    <row r="480" spans="1:3" ht="16" x14ac:dyDescent="0.2">
      <c r="B480" s="216" t="s">
        <v>845</v>
      </c>
      <c r="C480" s="217" t="s">
        <v>1362</v>
      </c>
    </row>
    <row r="481" spans="2:3" ht="16" x14ac:dyDescent="0.2">
      <c r="B481" s="216" t="s">
        <v>846</v>
      </c>
      <c r="C481" s="217" t="s">
        <v>1363</v>
      </c>
    </row>
    <row r="482" spans="2:3" ht="16" x14ac:dyDescent="0.2">
      <c r="B482" s="216" t="s">
        <v>847</v>
      </c>
      <c r="C482" s="217" t="s">
        <v>1364</v>
      </c>
    </row>
    <row r="483" spans="2:3" ht="16" x14ac:dyDescent="0.2">
      <c r="B483" s="216" t="s">
        <v>154</v>
      </c>
      <c r="C483" s="217" t="s">
        <v>1365</v>
      </c>
    </row>
    <row r="484" spans="2:3" ht="16" x14ac:dyDescent="0.2">
      <c r="B484" s="216" t="s">
        <v>156</v>
      </c>
      <c r="C484" s="217" t="s">
        <v>1587</v>
      </c>
    </row>
    <row r="485" spans="2:3" ht="16" x14ac:dyDescent="0.2">
      <c r="B485" s="216" t="s">
        <v>849</v>
      </c>
      <c r="C485" s="217" t="s">
        <v>1366</v>
      </c>
    </row>
    <row r="486" spans="2:3" ht="16" x14ac:dyDescent="0.2">
      <c r="B486" s="216" t="s">
        <v>852</v>
      </c>
      <c r="C486" s="217" t="s">
        <v>1367</v>
      </c>
    </row>
    <row r="487" spans="2:3" ht="16" x14ac:dyDescent="0.2">
      <c r="B487" s="216" t="s">
        <v>854</v>
      </c>
      <c r="C487" s="217" t="s">
        <v>1368</v>
      </c>
    </row>
    <row r="488" spans="2:3" x14ac:dyDescent="0.2">
      <c r="B488" s="216" t="s">
        <v>859</v>
      </c>
      <c r="C488" s="216" t="s">
        <v>1588</v>
      </c>
    </row>
    <row r="489" spans="2:3" x14ac:dyDescent="0.2">
      <c r="B489" s="216" t="s">
        <v>856</v>
      </c>
      <c r="C489" s="216" t="s">
        <v>1589</v>
      </c>
    </row>
    <row r="490" spans="2:3" ht="16" x14ac:dyDescent="0.2">
      <c r="B490" s="216" t="s">
        <v>858</v>
      </c>
      <c r="C490" s="217" t="s">
        <v>1369</v>
      </c>
    </row>
    <row r="491" spans="2:3" ht="16" x14ac:dyDescent="0.2">
      <c r="B491" s="216" t="s">
        <v>866</v>
      </c>
      <c r="C491" s="217" t="s">
        <v>1590</v>
      </c>
    </row>
    <row r="492" spans="2:3" ht="16" x14ac:dyDescent="0.2">
      <c r="B492" s="216" t="s">
        <v>865</v>
      </c>
      <c r="C492" s="217" t="s">
        <v>1370</v>
      </c>
    </row>
    <row r="493" spans="2:3" ht="16" x14ac:dyDescent="0.2">
      <c r="B493" s="216" t="s">
        <v>862</v>
      </c>
      <c r="C493" s="217" t="s">
        <v>1591</v>
      </c>
    </row>
    <row r="494" spans="2:3" x14ac:dyDescent="0.2">
      <c r="B494" s="216" t="s">
        <v>860</v>
      </c>
      <c r="C494" s="216" t="s">
        <v>1592</v>
      </c>
    </row>
    <row r="495" spans="2:3" x14ac:dyDescent="0.2">
      <c r="B495" s="216" t="s">
        <v>861</v>
      </c>
      <c r="C495" s="216" t="s">
        <v>1593</v>
      </c>
    </row>
    <row r="496" spans="2:3" ht="16" x14ac:dyDescent="0.2">
      <c r="B496" s="216" t="s">
        <v>863</v>
      </c>
      <c r="C496" s="217" t="s">
        <v>1371</v>
      </c>
    </row>
    <row r="497" spans="1:3" x14ac:dyDescent="0.2">
      <c r="B497" s="216" t="s">
        <v>867</v>
      </c>
      <c r="C497" s="216" t="s">
        <v>1594</v>
      </c>
    </row>
    <row r="498" spans="1:3" ht="32" x14ac:dyDescent="0.2">
      <c r="B498" s="216" t="s">
        <v>868</v>
      </c>
      <c r="C498" s="217" t="s">
        <v>1595</v>
      </c>
    </row>
    <row r="499" spans="1:3" ht="32" x14ac:dyDescent="0.2">
      <c r="B499" s="216" t="s">
        <v>869</v>
      </c>
      <c r="C499" s="217" t="s">
        <v>1596</v>
      </c>
    </row>
    <row r="500" spans="1:3" x14ac:dyDescent="0.2">
      <c r="B500" s="216" t="s">
        <v>874</v>
      </c>
      <c r="C500" s="216" t="s">
        <v>1597</v>
      </c>
    </row>
    <row r="501" spans="1:3" ht="16" x14ac:dyDescent="0.2">
      <c r="B501" s="216" t="s">
        <v>876</v>
      </c>
      <c r="C501" s="217" t="s">
        <v>1598</v>
      </c>
    </row>
    <row r="502" spans="1:3" ht="16" x14ac:dyDescent="0.2">
      <c r="B502" s="216" t="s">
        <v>877</v>
      </c>
      <c r="C502" s="217" t="s">
        <v>1599</v>
      </c>
    </row>
    <row r="503" spans="1:3" x14ac:dyDescent="0.2">
      <c r="B503" s="216" t="s">
        <v>875</v>
      </c>
      <c r="C503" s="216" t="s">
        <v>1600</v>
      </c>
    </row>
    <row r="504" spans="1:3" ht="16" x14ac:dyDescent="0.2">
      <c r="B504" s="216" t="s">
        <v>1438</v>
      </c>
      <c r="C504" s="217" t="s">
        <v>1601</v>
      </c>
    </row>
    <row r="505" spans="1:3" x14ac:dyDescent="0.2">
      <c r="B505" s="216" t="s">
        <v>1080</v>
      </c>
      <c r="C505" s="216" t="s">
        <v>1575</v>
      </c>
    </row>
    <row r="506" spans="1:3" x14ac:dyDescent="0.2">
      <c r="B506" s="216" t="s">
        <v>1439</v>
      </c>
      <c r="C506" s="216" t="s">
        <v>1602</v>
      </c>
    </row>
    <row r="507" spans="1:3" ht="16" x14ac:dyDescent="0.2">
      <c r="A507" t="s">
        <v>1084</v>
      </c>
      <c r="B507" s="216" t="s">
        <v>416</v>
      </c>
      <c r="C507" s="217" t="s">
        <v>1372</v>
      </c>
    </row>
    <row r="508" spans="1:3" ht="16" x14ac:dyDescent="0.2">
      <c r="B508" s="216" t="s">
        <v>1085</v>
      </c>
      <c r="C508" s="217" t="s">
        <v>1373</v>
      </c>
    </row>
    <row r="509" spans="1:3" ht="32" x14ac:dyDescent="0.2">
      <c r="B509" s="216" t="s">
        <v>1086</v>
      </c>
      <c r="C509" s="217" t="s">
        <v>1374</v>
      </c>
    </row>
    <row r="510" spans="1:3" x14ac:dyDescent="0.2">
      <c r="B510" s="216" t="s">
        <v>40</v>
      </c>
      <c r="C510" s="216" t="s">
        <v>1383</v>
      </c>
    </row>
  </sheetData>
  <pageMargins left="0.7" right="0.7" top="0.75" bottom="0.75" header="0.3" footer="0.3"/>
</worksheet>
</file>

<file path=xl/worksheets/sheet19.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6965F-6802-497C-816F-9E39FAAEB58F}">
  <sheetPr codeName="Sheet5"/>
  <dimension ref="A1:CP5"/>
  <sheetViews>
    <sheetView showGridLines="0" zoomScale="80" zoomScaleNormal="80" workbookViewId="0">
      <pane xSplit="10" ySplit="5" topLeftCell="K6" activePane="bottomRight" state="frozen"/>
      <selection activeCell="D42" sqref="D42"/>
      <selection pane="topRight" activeCell="D42" sqref="D42"/>
      <selection pane="bottomLeft" activeCell="D42" sqref="D42"/>
      <selection pane="bottomRight" activeCell="D42" sqref="D42"/>
    </sheetView>
  </sheetViews>
  <sheetFormatPr baseColWidth="10" defaultColWidth="0" defaultRowHeight="15" x14ac:dyDescent="0.2"/>
  <cols>
    <col min="1" max="3" width="5.6640625" customWidth="1"/>
    <col min="4" max="10" width="14.6640625" customWidth="1"/>
    <col min="11" max="11" width="17.6640625" style="7" customWidth="1"/>
    <col min="12" max="93" width="9.1640625" customWidth="1"/>
    <col min="94" max="94" width="0" style="6" hidden="1" customWidth="1"/>
    <col min="95" max="16384" width="9.1640625" style="6" hidden="1"/>
  </cols>
  <sheetData>
    <row r="1" spans="1:93" s="5" customFormat="1" ht="20.25" customHeight="1" x14ac:dyDescent="0.2">
      <c r="A1" s="82" t="s">
        <v>0</v>
      </c>
      <c r="B1" s="82"/>
      <c r="C1" s="82"/>
      <c r="D1" s="82"/>
      <c r="E1" s="82"/>
      <c r="F1" s="82"/>
      <c r="G1" s="82"/>
      <c r="H1" s="82"/>
      <c r="I1" s="82"/>
      <c r="J1" s="82"/>
      <c r="K1" s="83"/>
      <c r="L1" s="82"/>
      <c r="M1" s="82"/>
      <c r="N1" s="82"/>
      <c r="O1" s="82"/>
      <c r="P1" s="82"/>
      <c r="Q1" s="82"/>
      <c r="R1" s="82"/>
      <c r="S1" s="82"/>
      <c r="T1" s="82"/>
      <c r="U1" s="82"/>
      <c r="V1" s="82"/>
      <c r="W1" s="82"/>
      <c r="X1" s="82"/>
      <c r="Y1" s="82"/>
      <c r="Z1" s="82"/>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row>
    <row r="2" spans="1:93" ht="9" customHeight="1" x14ac:dyDescent="0.2">
      <c r="A2" s="6"/>
      <c r="B2" s="6"/>
      <c r="C2" s="6"/>
      <c r="D2" s="6"/>
      <c r="E2" s="6"/>
      <c r="F2" s="6"/>
      <c r="G2" s="6"/>
      <c r="H2" s="6"/>
      <c r="I2" s="6"/>
      <c r="J2" s="6"/>
      <c r="K2" s="84"/>
      <c r="L2" s="6"/>
      <c r="M2" s="6"/>
      <c r="N2" s="6"/>
      <c r="O2" s="6"/>
      <c r="P2" s="6"/>
      <c r="Q2" s="6"/>
      <c r="R2" s="6"/>
      <c r="S2" s="6"/>
      <c r="T2" s="6"/>
      <c r="U2" s="6"/>
      <c r="V2" s="6"/>
      <c r="W2" s="6"/>
      <c r="X2" s="6"/>
      <c r="Y2" s="6"/>
      <c r="Z2" s="6"/>
    </row>
    <row r="3" spans="1:93" x14ac:dyDescent="0.2">
      <c r="L3" s="3">
        <f t="array" ref="L3:BS3">IA_Periods</f>
        <v>1</v>
      </c>
      <c r="M3" s="3">
        <v>2</v>
      </c>
      <c r="N3" s="3">
        <v>3</v>
      </c>
      <c r="O3" s="3">
        <v>4</v>
      </c>
      <c r="P3" s="3">
        <v>5</v>
      </c>
      <c r="Q3" s="3">
        <v>6</v>
      </c>
      <c r="R3" s="3">
        <v>7</v>
      </c>
      <c r="S3" s="3">
        <v>8</v>
      </c>
      <c r="T3" s="3">
        <v>9</v>
      </c>
      <c r="U3" s="3">
        <v>10</v>
      </c>
      <c r="V3" s="3">
        <v>11</v>
      </c>
      <c r="W3" s="3">
        <v>12</v>
      </c>
      <c r="X3" s="3">
        <v>13</v>
      </c>
      <c r="Y3" s="3">
        <v>14</v>
      </c>
      <c r="Z3" s="3">
        <v>15</v>
      </c>
      <c r="AA3" s="3">
        <v>16</v>
      </c>
      <c r="AB3" s="3">
        <v>17</v>
      </c>
      <c r="AC3" s="3">
        <v>18</v>
      </c>
      <c r="AD3" s="3">
        <v>19</v>
      </c>
      <c r="AE3" s="3">
        <v>20</v>
      </c>
      <c r="AF3" s="3">
        <v>21</v>
      </c>
      <c r="AG3" s="3">
        <v>22</v>
      </c>
      <c r="AH3" s="3">
        <v>23</v>
      </c>
      <c r="AI3" s="3">
        <v>24</v>
      </c>
      <c r="AJ3" s="3">
        <v>25</v>
      </c>
      <c r="AK3" s="3">
        <v>26</v>
      </c>
      <c r="AL3" s="3">
        <v>27</v>
      </c>
      <c r="AM3" s="3">
        <v>28</v>
      </c>
      <c r="AN3" s="3">
        <v>29</v>
      </c>
      <c r="AO3" s="3">
        <v>30</v>
      </c>
      <c r="AP3" s="3">
        <v>31</v>
      </c>
      <c r="AQ3" s="3">
        <v>32</v>
      </c>
      <c r="AR3" s="3">
        <v>33</v>
      </c>
      <c r="AS3" s="3">
        <v>34</v>
      </c>
      <c r="AT3" s="3">
        <v>35</v>
      </c>
      <c r="AU3" s="3">
        <v>36</v>
      </c>
      <c r="AV3" s="3">
        <v>37</v>
      </c>
      <c r="AW3" s="3">
        <v>38</v>
      </c>
      <c r="AX3" s="3">
        <v>39</v>
      </c>
      <c r="AY3" s="3">
        <v>40</v>
      </c>
      <c r="AZ3" s="3">
        <v>41</v>
      </c>
      <c r="BA3" s="3">
        <v>42</v>
      </c>
      <c r="BB3" s="3">
        <v>43</v>
      </c>
      <c r="BC3" s="3">
        <v>44</v>
      </c>
      <c r="BD3" s="3">
        <v>45</v>
      </c>
      <c r="BE3" s="3">
        <v>46</v>
      </c>
      <c r="BF3" s="3">
        <v>47</v>
      </c>
      <c r="BG3" s="3">
        <v>48</v>
      </c>
      <c r="BH3" s="3">
        <v>49</v>
      </c>
      <c r="BI3" s="3">
        <v>50</v>
      </c>
      <c r="BJ3" s="3">
        <v>51</v>
      </c>
      <c r="BK3" s="3">
        <v>52</v>
      </c>
      <c r="BL3" s="3">
        <v>53</v>
      </c>
      <c r="BM3" s="3">
        <v>54</v>
      </c>
      <c r="BN3" s="3">
        <v>55</v>
      </c>
      <c r="BO3" s="3">
        <v>56</v>
      </c>
      <c r="BP3" s="3">
        <v>57</v>
      </c>
      <c r="BQ3" s="3">
        <v>58</v>
      </c>
      <c r="BR3" s="3">
        <v>59</v>
      </c>
      <c r="BS3" s="3">
        <v>60</v>
      </c>
    </row>
    <row r="4" spans="1:93" x14ac:dyDescent="0.2">
      <c r="L4" s="4">
        <f t="array" ref="L4:BS4">IA_Years</f>
        <v>2013</v>
      </c>
      <c r="M4">
        <v>2014</v>
      </c>
      <c r="N4">
        <v>2015</v>
      </c>
      <c r="O4">
        <v>2016</v>
      </c>
      <c r="P4">
        <v>2017</v>
      </c>
      <c r="Q4">
        <v>2018</v>
      </c>
      <c r="R4">
        <v>2019</v>
      </c>
      <c r="S4">
        <v>2020</v>
      </c>
      <c r="T4">
        <v>2021</v>
      </c>
      <c r="U4">
        <v>2022</v>
      </c>
      <c r="V4">
        <v>2023</v>
      </c>
      <c r="W4">
        <v>2024</v>
      </c>
      <c r="X4">
        <v>2025</v>
      </c>
      <c r="Y4">
        <v>2026</v>
      </c>
      <c r="Z4">
        <v>2027</v>
      </c>
      <c r="AA4">
        <v>2028</v>
      </c>
      <c r="AB4">
        <v>2029</v>
      </c>
      <c r="AC4">
        <v>2030</v>
      </c>
      <c r="AD4">
        <v>2031</v>
      </c>
      <c r="AE4">
        <v>2032</v>
      </c>
      <c r="AF4">
        <v>2033</v>
      </c>
      <c r="AG4">
        <v>2034</v>
      </c>
      <c r="AH4">
        <v>2035</v>
      </c>
      <c r="AI4">
        <v>2036</v>
      </c>
      <c r="AJ4">
        <v>2037</v>
      </c>
      <c r="AK4">
        <v>2038</v>
      </c>
      <c r="AL4">
        <v>2039</v>
      </c>
      <c r="AM4">
        <v>2040</v>
      </c>
      <c r="AN4">
        <v>2041</v>
      </c>
      <c r="AO4">
        <v>2042</v>
      </c>
      <c r="AP4">
        <v>2043</v>
      </c>
      <c r="AQ4">
        <v>2044</v>
      </c>
      <c r="AR4">
        <v>2045</v>
      </c>
      <c r="AS4">
        <v>2046</v>
      </c>
      <c r="AT4">
        <v>2047</v>
      </c>
      <c r="AU4">
        <v>2048</v>
      </c>
      <c r="AV4">
        <v>2049</v>
      </c>
      <c r="AW4">
        <v>2050</v>
      </c>
      <c r="AX4">
        <v>2051</v>
      </c>
      <c r="AY4">
        <v>2052</v>
      </c>
      <c r="AZ4">
        <v>2053</v>
      </c>
      <c r="BA4">
        <v>2054</v>
      </c>
      <c r="BB4">
        <v>2055</v>
      </c>
      <c r="BC4">
        <v>2056</v>
      </c>
      <c r="BD4">
        <v>2057</v>
      </c>
      <c r="BE4">
        <v>2058</v>
      </c>
      <c r="BF4">
        <v>2059</v>
      </c>
      <c r="BG4">
        <v>2060</v>
      </c>
      <c r="BH4">
        <v>2061</v>
      </c>
      <c r="BI4">
        <v>2062</v>
      </c>
      <c r="BJ4">
        <v>2063</v>
      </c>
      <c r="BK4">
        <v>2064</v>
      </c>
      <c r="BL4">
        <v>2065</v>
      </c>
      <c r="BM4">
        <v>2066</v>
      </c>
      <c r="BN4">
        <v>2067</v>
      </c>
      <c r="BO4">
        <v>2068</v>
      </c>
      <c r="BP4">
        <v>2069</v>
      </c>
      <c r="BQ4">
        <v>2070</v>
      </c>
      <c r="BR4">
        <v>2071</v>
      </c>
      <c r="BS4">
        <v>2072</v>
      </c>
    </row>
    <row r="5" spans="1:93" x14ac:dyDescent="0.2">
      <c r="L5" s="3">
        <f t="array" ref="L5:BS5">+IA_Days</f>
        <v>365</v>
      </c>
      <c r="M5" s="3">
        <v>365</v>
      </c>
      <c r="N5" s="3">
        <v>365</v>
      </c>
      <c r="O5" s="3">
        <v>366</v>
      </c>
      <c r="P5" s="3">
        <v>365</v>
      </c>
      <c r="Q5" s="3">
        <v>365</v>
      </c>
      <c r="R5" s="3">
        <v>365</v>
      </c>
      <c r="S5" s="3">
        <v>366</v>
      </c>
      <c r="T5" s="3">
        <v>365</v>
      </c>
      <c r="U5" s="3">
        <v>365</v>
      </c>
      <c r="V5" s="3">
        <v>365</v>
      </c>
      <c r="W5" s="3">
        <v>366</v>
      </c>
      <c r="X5" s="3">
        <v>365</v>
      </c>
      <c r="Y5" s="3">
        <v>365</v>
      </c>
      <c r="Z5" s="3">
        <v>365</v>
      </c>
      <c r="AA5" s="3">
        <v>366</v>
      </c>
      <c r="AB5" s="3">
        <v>365</v>
      </c>
      <c r="AC5" s="3">
        <v>365</v>
      </c>
      <c r="AD5" s="3">
        <v>365</v>
      </c>
      <c r="AE5" s="3">
        <v>366</v>
      </c>
      <c r="AF5" s="3">
        <v>365</v>
      </c>
      <c r="AG5" s="3">
        <v>365</v>
      </c>
      <c r="AH5" s="3">
        <v>365</v>
      </c>
      <c r="AI5" s="3">
        <v>366</v>
      </c>
      <c r="AJ5" s="3">
        <v>365</v>
      </c>
      <c r="AK5" s="3">
        <v>365</v>
      </c>
      <c r="AL5" s="3">
        <v>365</v>
      </c>
      <c r="AM5" s="3">
        <v>366</v>
      </c>
      <c r="AN5" s="3">
        <v>365</v>
      </c>
      <c r="AO5" s="3">
        <v>365</v>
      </c>
      <c r="AP5" s="3">
        <v>365</v>
      </c>
      <c r="AQ5" s="3">
        <v>366</v>
      </c>
      <c r="AR5" s="3">
        <v>365</v>
      </c>
      <c r="AS5" s="3">
        <v>365</v>
      </c>
      <c r="AT5" s="3">
        <v>365</v>
      </c>
      <c r="AU5" s="3">
        <v>366</v>
      </c>
      <c r="AV5" s="3">
        <v>365</v>
      </c>
      <c r="AW5" s="3">
        <v>365</v>
      </c>
      <c r="AX5" s="3">
        <v>365</v>
      </c>
      <c r="AY5" s="3">
        <v>366</v>
      </c>
      <c r="AZ5" s="3">
        <v>365</v>
      </c>
      <c r="BA5" s="3">
        <v>365</v>
      </c>
      <c r="BB5" s="3">
        <v>365</v>
      </c>
      <c r="BC5" s="3">
        <v>366</v>
      </c>
      <c r="BD5" s="3">
        <v>365</v>
      </c>
      <c r="BE5" s="3">
        <v>365</v>
      </c>
      <c r="BF5" s="3">
        <v>365</v>
      </c>
      <c r="BG5" s="3">
        <v>366</v>
      </c>
      <c r="BH5" s="3">
        <v>365</v>
      </c>
      <c r="BI5" s="3">
        <v>365</v>
      </c>
      <c r="BJ5" s="3">
        <v>365</v>
      </c>
      <c r="BK5" s="3">
        <v>366</v>
      </c>
      <c r="BL5" s="3">
        <v>365</v>
      </c>
      <c r="BM5" s="3">
        <v>365</v>
      </c>
      <c r="BN5" s="3">
        <v>365</v>
      </c>
      <c r="BO5" s="3">
        <v>366</v>
      </c>
      <c r="BP5" s="3">
        <v>365</v>
      </c>
      <c r="BQ5" s="3">
        <v>365</v>
      </c>
      <c r="BR5" s="3">
        <v>365</v>
      </c>
      <c r="BS5" s="3">
        <v>366</v>
      </c>
    </row>
  </sheetData>
  <pageMargins left="0.7" right="0.7" top="0.75" bottom="0.75" header="0.3" footer="0.3"/>
</worksheet>
</file>

<file path=xl/worksheets/sheet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688FBA-15D4-4DDC-9BD8-52323E73E08E}">
  <sheetPr codeName="Sheet1"/>
  <dimension ref="A1:CZ197"/>
  <sheetViews>
    <sheetView showGridLines="0" tabSelected="1" zoomScale="80" zoomScaleNormal="80" workbookViewId="0">
      <pane xSplit="7" ySplit="20" topLeftCell="H301" activePane="bottomRight" state="frozen"/>
      <selection pane="topRight" activeCell="H1" sqref="H1"/>
      <selection pane="bottomLeft" activeCell="A22" sqref="A22"/>
      <selection pane="bottomRight" activeCell="T308" sqref="T308"/>
    </sheetView>
  </sheetViews>
  <sheetFormatPr baseColWidth="10" defaultColWidth="0" defaultRowHeight="15" outlineLevelRow="1" outlineLevelCol="1" x14ac:dyDescent="0.2"/>
  <cols>
    <col min="1" max="3" width="2.5" customWidth="1"/>
    <col min="4" max="4" width="25.83203125" customWidth="1"/>
    <col min="5" max="5" width="5.6640625" customWidth="1"/>
    <col min="6" max="6" width="10.6640625" style="98" customWidth="1"/>
    <col min="7" max="7" width="3.33203125" style="98" customWidth="1"/>
    <col min="8" max="11" width="10.6640625" customWidth="1"/>
    <col min="12" max="15" width="10.6640625" style="7" customWidth="1"/>
    <col min="16" max="16" width="4.6640625" customWidth="1"/>
    <col min="17" max="24" width="10.6640625" customWidth="1"/>
    <col min="25" max="25" width="4.6640625" customWidth="1"/>
    <col min="26" max="33" width="10.6640625" customWidth="1"/>
    <col min="34" max="34" width="4.5" customWidth="1"/>
    <col min="35" max="42" width="10.6640625" hidden="1" customWidth="1" outlineLevel="1"/>
    <col min="43" max="43" width="9.1640625" customWidth="1" collapsed="1"/>
    <col min="44" max="104" width="9.1640625" hidden="1" customWidth="1"/>
    <col min="105" max="16384" width="9.1640625" style="6" hidden="1"/>
  </cols>
  <sheetData>
    <row r="1" spans="1:104" s="5" customFormat="1" ht="20.25" customHeight="1" x14ac:dyDescent="0.2">
      <c r="A1" s="82" t="str">
        <f>CHOOSE(db_ML_selected,'Liste Traduction'!B2,'Liste Traduction'!C2)</f>
        <v>Modèle d'analyse comparative et de Forecasting R4D</v>
      </c>
      <c r="B1" s="82"/>
      <c r="C1" s="82"/>
      <c r="D1" s="82"/>
      <c r="E1" s="82"/>
      <c r="F1" s="93"/>
      <c r="G1" s="93"/>
      <c r="H1" s="82"/>
      <c r="I1" s="82"/>
      <c r="J1" s="82"/>
      <c r="K1" s="82"/>
      <c r="L1" s="83"/>
      <c r="M1" s="83"/>
      <c r="N1" s="83"/>
      <c r="O1" s="83"/>
      <c r="P1" s="82"/>
      <c r="Q1" s="82"/>
      <c r="R1" s="82"/>
      <c r="S1" s="82"/>
      <c r="T1" s="82"/>
      <c r="U1" s="82"/>
      <c r="V1" s="82"/>
      <c r="W1" s="82"/>
      <c r="X1" s="82"/>
      <c r="Y1" s="82"/>
      <c r="Z1" s="82"/>
      <c r="AA1" s="82"/>
      <c r="AB1" s="82"/>
      <c r="AC1" s="82"/>
      <c r="AD1" s="82"/>
      <c r="AE1" s="82"/>
      <c r="AF1" s="82"/>
      <c r="AG1" s="82"/>
      <c r="AH1" s="82"/>
      <c r="AI1" s="82"/>
      <c r="AJ1" s="82"/>
      <c r="AK1" s="82"/>
      <c r="AL1" s="82"/>
      <c r="AM1" s="82"/>
      <c r="AN1" s="82"/>
      <c r="AO1" s="82"/>
      <c r="AP1" s="82"/>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row>
    <row r="2" spans="1:104" ht="9" customHeight="1" x14ac:dyDescent="0.2">
      <c r="A2" s="6"/>
      <c r="B2" s="6"/>
      <c r="C2" s="6"/>
      <c r="D2" s="6"/>
      <c r="E2" s="6"/>
      <c r="F2" s="97"/>
      <c r="G2" s="97"/>
      <c r="H2" s="6"/>
      <c r="I2" s="6"/>
      <c r="J2" s="6"/>
      <c r="K2" s="6"/>
      <c r="L2" s="84"/>
      <c r="M2" s="84"/>
      <c r="N2" s="84"/>
      <c r="O2" s="84"/>
      <c r="P2" s="6"/>
      <c r="Q2" s="6"/>
      <c r="R2" s="6"/>
      <c r="S2" s="6"/>
      <c r="T2" s="6"/>
      <c r="U2" s="6"/>
      <c r="V2" s="6"/>
      <c r="W2" s="6"/>
      <c r="X2" s="6"/>
      <c r="Y2" s="6"/>
      <c r="Z2" s="6"/>
      <c r="AA2" s="6"/>
      <c r="AB2" s="6"/>
      <c r="AC2" s="6"/>
      <c r="AD2" s="6"/>
      <c r="AE2" s="6"/>
      <c r="AF2" s="6"/>
      <c r="AG2" s="6"/>
      <c r="AH2" s="6"/>
      <c r="AI2" s="6"/>
      <c r="AJ2" s="6"/>
      <c r="AK2" s="6"/>
      <c r="AL2" s="6"/>
      <c r="AM2" s="6"/>
      <c r="AN2" s="6"/>
      <c r="AO2" s="6"/>
      <c r="AP2" s="6"/>
    </row>
    <row r="3" spans="1:104" ht="18.75" customHeight="1" x14ac:dyDescent="0.2">
      <c r="A3" s="6"/>
      <c r="B3" s="6"/>
      <c r="C3" s="6"/>
      <c r="D3" s="92" t="str">
        <f>CHOOSE(db_ML_selected,'Liste Traduction'!B3,'Liste Traduction'!C3)</f>
        <v>Légende</v>
      </c>
      <c r="E3" s="92"/>
      <c r="F3" s="92"/>
      <c r="G3" s="92"/>
      <c r="H3" s="92"/>
      <c r="I3" s="92"/>
      <c r="J3" s="92"/>
      <c r="K3" s="92"/>
      <c r="L3" s="92"/>
      <c r="M3" s="92"/>
      <c r="N3" s="92"/>
      <c r="O3" s="92"/>
      <c r="P3" s="6"/>
      <c r="Q3" s="6"/>
      <c r="R3" s="6"/>
      <c r="S3" s="6"/>
      <c r="T3" s="6"/>
      <c r="U3" s="6"/>
      <c r="V3" s="6"/>
      <c r="W3" s="6"/>
      <c r="X3" s="6"/>
      <c r="Y3" s="6"/>
      <c r="Z3" s="6"/>
      <c r="AA3" s="6"/>
      <c r="AB3" s="6"/>
      <c r="AC3" s="6"/>
      <c r="AD3" s="6"/>
      <c r="AE3" s="6"/>
      <c r="AF3" s="6"/>
      <c r="AG3" s="6"/>
      <c r="AH3" s="6"/>
      <c r="AI3" s="6"/>
      <c r="AJ3" s="6"/>
      <c r="AK3" s="6"/>
      <c r="AL3" s="6"/>
      <c r="AM3" s="6"/>
      <c r="AN3" s="6"/>
      <c r="AO3" s="6"/>
      <c r="AP3" s="6"/>
    </row>
    <row r="4" spans="1:104" ht="15" hidden="1" customHeight="1" outlineLevel="1" x14ac:dyDescent="0.2">
      <c r="A4" s="6"/>
      <c r="B4" s="6"/>
      <c r="C4" s="6"/>
      <c r="D4" s="6"/>
      <c r="E4" s="6"/>
      <c r="F4" s="97"/>
      <c r="G4" s="97"/>
      <c r="H4" s="6"/>
      <c r="I4" s="6"/>
      <c r="J4" s="6"/>
      <c r="K4" s="6"/>
      <c r="L4" s="84"/>
      <c r="M4" s="84"/>
      <c r="N4" s="84"/>
      <c r="O4" s="84"/>
      <c r="P4" s="6"/>
      <c r="Q4" s="6"/>
      <c r="R4" s="6"/>
      <c r="S4" s="6"/>
      <c r="T4" s="6"/>
      <c r="U4" s="6"/>
      <c r="V4" s="6"/>
      <c r="W4" s="6"/>
      <c r="X4" s="6"/>
      <c r="Y4" s="6"/>
      <c r="Z4" s="6"/>
      <c r="AA4" s="6"/>
      <c r="AB4" s="6"/>
      <c r="AC4" s="6"/>
      <c r="AD4" s="6"/>
      <c r="AE4" s="6"/>
      <c r="AF4" s="6"/>
      <c r="AG4" s="6"/>
      <c r="AH4" s="6"/>
      <c r="AI4" s="6"/>
      <c r="AJ4" s="6"/>
      <c r="AK4" s="6"/>
      <c r="AL4" s="6"/>
      <c r="AM4" s="6"/>
      <c r="AN4" s="6"/>
      <c r="AO4" s="6"/>
      <c r="AP4" s="6"/>
    </row>
    <row r="5" spans="1:104" ht="15" hidden="1" customHeight="1" outlineLevel="1" x14ac:dyDescent="0.2">
      <c r="A5" s="6"/>
      <c r="B5" s="6"/>
      <c r="C5" s="6"/>
      <c r="D5" s="6" t="str">
        <f>CHOOSE(db_ML_selected,'Liste Traduction'!B4,'Liste Traduction'!C4)</f>
        <v>Entrées client/résultats</v>
      </c>
      <c r="E5" s="6"/>
      <c r="F5" s="124"/>
      <c r="G5" s="97"/>
      <c r="H5" s="6"/>
      <c r="I5" s="6"/>
      <c r="J5" s="6"/>
      <c r="K5" s="6"/>
      <c r="L5" s="84"/>
      <c r="M5" s="84"/>
      <c r="N5" s="84"/>
      <c r="O5" s="84"/>
      <c r="P5" s="6"/>
      <c r="Q5" s="6"/>
      <c r="R5" s="6"/>
      <c r="S5" s="6"/>
      <c r="T5" s="6"/>
      <c r="U5" s="6"/>
      <c r="V5" s="6"/>
      <c r="W5" s="6"/>
      <c r="X5" s="6"/>
      <c r="Y5" s="6"/>
      <c r="Z5" s="6"/>
      <c r="AA5" s="6"/>
      <c r="AB5" s="6"/>
      <c r="AC5" s="6"/>
      <c r="AD5" s="6"/>
      <c r="AE5" s="6"/>
      <c r="AF5" s="6"/>
      <c r="AG5" s="6"/>
      <c r="AH5" s="6"/>
      <c r="AI5" s="6"/>
      <c r="AJ5" s="6"/>
      <c r="AK5" s="6"/>
      <c r="AL5" s="6"/>
      <c r="AM5" s="6"/>
      <c r="AN5" s="6"/>
      <c r="AO5" s="6"/>
      <c r="AP5" s="6"/>
    </row>
    <row r="6" spans="1:104" ht="15" hidden="1" customHeight="1" outlineLevel="1" x14ac:dyDescent="0.2">
      <c r="A6" s="6"/>
      <c r="B6" s="6"/>
      <c r="C6" s="6"/>
      <c r="D6" s="6" t="str">
        <f>CHOOSE(db_ML_selected,'Liste Traduction'!B5,'Liste Traduction'!C5)</f>
        <v>Calculs R4D/totaux</v>
      </c>
      <c r="E6" s="6"/>
      <c r="F6" s="125"/>
      <c r="G6" s="97"/>
      <c r="H6" s="6"/>
      <c r="I6" s="6"/>
      <c r="J6" s="6"/>
      <c r="K6" s="6"/>
      <c r="L6" s="84"/>
      <c r="M6" s="84"/>
      <c r="N6" s="84"/>
      <c r="O6" s="84"/>
      <c r="P6" s="6"/>
      <c r="Q6" s="6"/>
      <c r="R6" s="6"/>
      <c r="S6" s="6"/>
      <c r="T6" s="6"/>
      <c r="U6" s="6"/>
      <c r="V6" s="6"/>
      <c r="W6" s="6"/>
      <c r="X6" s="6"/>
      <c r="Y6" s="6"/>
      <c r="Z6" s="6"/>
      <c r="AA6" s="6"/>
      <c r="AB6" s="6"/>
      <c r="AC6" s="6"/>
      <c r="AD6" s="6"/>
      <c r="AE6" s="6"/>
      <c r="AF6" s="6"/>
      <c r="AG6" s="6"/>
      <c r="AH6" s="6"/>
      <c r="AI6" s="6"/>
      <c r="AJ6" s="6"/>
      <c r="AK6" s="6"/>
      <c r="AL6" s="6"/>
      <c r="AM6" s="6"/>
      <c r="AN6" s="6"/>
      <c r="AO6" s="6"/>
      <c r="AP6" s="6"/>
    </row>
    <row r="7" spans="1:104" ht="15" hidden="1" customHeight="1" outlineLevel="1" x14ac:dyDescent="0.2">
      <c r="A7" s="6"/>
      <c r="B7" s="6"/>
      <c r="C7" s="6"/>
      <c r="D7" s="145" t="str">
        <f>CHOOSE(db_ML_selected,'Liste Traduction'!B6,'Liste Traduction'!C6)</f>
        <v>Non vérifié</v>
      </c>
      <c r="E7" s="6"/>
      <c r="F7" s="146"/>
      <c r="G7" s="97"/>
      <c r="H7" s="6"/>
      <c r="I7" s="6"/>
      <c r="J7" s="6"/>
      <c r="K7" s="6"/>
      <c r="L7" s="84"/>
      <c r="M7" s="84"/>
      <c r="N7" s="84"/>
      <c r="O7" s="84"/>
      <c r="P7" s="6"/>
      <c r="Q7" s="6"/>
      <c r="R7" s="6"/>
      <c r="S7" s="6"/>
      <c r="T7" s="6"/>
      <c r="U7" s="6"/>
      <c r="V7" s="6"/>
      <c r="W7" s="6"/>
      <c r="X7" s="6"/>
      <c r="Y7" s="6"/>
      <c r="Z7" s="6"/>
      <c r="AA7" s="6"/>
      <c r="AB7" s="6"/>
      <c r="AC7" s="6"/>
      <c r="AD7" s="6"/>
      <c r="AE7" s="6"/>
      <c r="AF7" s="6"/>
      <c r="AG7" s="6"/>
      <c r="AH7" s="6"/>
      <c r="AI7" s="6"/>
      <c r="AJ7" s="6"/>
      <c r="AK7" s="6"/>
      <c r="AL7" s="6"/>
      <c r="AM7" s="6"/>
      <c r="AN7" s="6"/>
      <c r="AO7" s="6"/>
      <c r="AP7" s="6"/>
    </row>
    <row r="8" spans="1:104" ht="15" hidden="1" customHeight="1" outlineLevel="1" x14ac:dyDescent="0.2">
      <c r="A8" s="6"/>
      <c r="B8" s="6"/>
      <c r="C8" s="6"/>
      <c r="D8" s="6"/>
      <c r="E8" s="6"/>
      <c r="F8" s="97"/>
      <c r="G8" s="97"/>
      <c r="H8" s="6"/>
      <c r="I8" s="6"/>
      <c r="J8" s="6"/>
      <c r="K8" s="6"/>
      <c r="L8" s="84"/>
      <c r="M8" s="84"/>
      <c r="N8" s="84"/>
      <c r="O8" s="84"/>
      <c r="P8" s="6"/>
      <c r="Q8" s="6"/>
      <c r="R8" s="6"/>
      <c r="S8" s="6"/>
      <c r="T8" s="6"/>
      <c r="U8" s="6"/>
      <c r="V8" s="6"/>
      <c r="W8" s="6"/>
      <c r="X8" s="6"/>
      <c r="Y8" s="6"/>
      <c r="Z8" s="6"/>
      <c r="AA8" s="6"/>
      <c r="AB8" s="6"/>
      <c r="AC8" s="6"/>
      <c r="AD8" s="6"/>
      <c r="AE8" s="6"/>
      <c r="AF8" s="6"/>
      <c r="AG8" s="6"/>
      <c r="AH8" s="6"/>
      <c r="AI8" s="6"/>
      <c r="AJ8" s="6"/>
      <c r="AK8" s="6"/>
      <c r="AL8" s="6"/>
      <c r="AM8" s="6"/>
      <c r="AN8" s="6"/>
      <c r="AO8" s="6"/>
      <c r="AP8" s="6"/>
    </row>
    <row r="9" spans="1:104" ht="15" hidden="1" customHeight="1" outlineLevel="1" x14ac:dyDescent="0.2">
      <c r="A9" s="6"/>
      <c r="B9" s="6"/>
      <c r="C9" s="6"/>
      <c r="D9" s="6"/>
      <c r="E9" s="6"/>
      <c r="F9" s="97"/>
      <c r="G9" s="97"/>
      <c r="H9" s="6"/>
      <c r="I9" s="6"/>
      <c r="J9" s="6"/>
      <c r="K9" s="6"/>
      <c r="L9" s="84"/>
      <c r="M9" s="84"/>
      <c r="N9" s="84"/>
      <c r="O9" s="84"/>
      <c r="P9" s="6"/>
      <c r="Q9" s="6"/>
      <c r="R9" s="6"/>
      <c r="S9" s="6"/>
      <c r="T9" s="6"/>
      <c r="U9" s="6"/>
      <c r="V9" s="6"/>
      <c r="W9" s="6"/>
      <c r="X9" s="6"/>
      <c r="Y9" s="6"/>
      <c r="Z9" s="6"/>
      <c r="AA9" s="6"/>
      <c r="AB9" s="6"/>
      <c r="AC9" s="6"/>
      <c r="AD9" s="6"/>
      <c r="AE9" s="6"/>
      <c r="AF9" s="6"/>
      <c r="AG9" s="6"/>
      <c r="AH9" s="6"/>
      <c r="AI9" s="6"/>
      <c r="AJ9" s="6"/>
      <c r="AK9" s="6"/>
      <c r="AL9" s="6"/>
      <c r="AM9" s="6"/>
      <c r="AN9" s="6"/>
      <c r="AO9" s="6"/>
      <c r="AP9" s="6"/>
    </row>
    <row r="10" spans="1:104" ht="18.75" customHeight="1" collapsed="1" x14ac:dyDescent="0.2">
      <c r="A10" s="6"/>
      <c r="B10" s="6"/>
      <c r="C10" s="6"/>
      <c r="D10" s="92" t="str">
        <f>CHOOSE(db_ML_selected,'Liste Traduction'!B7,'Liste Traduction'!C7)</f>
        <v>Sélections</v>
      </c>
      <c r="E10" s="92"/>
      <c r="F10" s="92"/>
      <c r="G10" s="92"/>
      <c r="H10" s="92"/>
      <c r="I10" s="92"/>
      <c r="J10" s="92"/>
      <c r="K10" s="92"/>
      <c r="L10" s="92"/>
      <c r="M10" s="92"/>
      <c r="N10" s="92"/>
      <c r="O10" s="92"/>
      <c r="P10" s="6"/>
      <c r="Q10" s="92" t="str">
        <f>CHOOSE(db_ML_selected,'Liste Traduction'!B124,'Liste Traduction'!C124)</f>
        <v>Mise en forme conditionnelle</v>
      </c>
      <c r="R10" s="92"/>
      <c r="S10" s="92"/>
      <c r="T10" s="92"/>
      <c r="U10" s="92"/>
      <c r="V10" s="92"/>
      <c r="W10" s="92"/>
      <c r="X10" s="92"/>
      <c r="Y10" s="6"/>
      <c r="Z10" s="92"/>
      <c r="AA10" s="92"/>
      <c r="AB10" s="92"/>
      <c r="AC10" s="92"/>
      <c r="AD10" s="92"/>
      <c r="AE10" s="92"/>
      <c r="AF10" s="92"/>
      <c r="AG10" s="92"/>
      <c r="AH10" s="6"/>
      <c r="AI10" s="92"/>
      <c r="AJ10" s="92"/>
      <c r="AK10" s="92"/>
      <c r="AL10" s="92"/>
      <c r="AM10" s="92"/>
      <c r="AN10" s="92"/>
      <c r="AO10" s="92"/>
      <c r="AP10" s="92"/>
    </row>
    <row r="11" spans="1:104" ht="9" customHeight="1" x14ac:dyDescent="0.2">
      <c r="A11" s="6"/>
      <c r="B11" s="6"/>
      <c r="C11" s="6"/>
      <c r="D11" s="6"/>
      <c r="E11" s="6"/>
      <c r="F11" s="97"/>
      <c r="G11" s="97"/>
      <c r="H11" s="6"/>
      <c r="I11" s="6"/>
      <c r="J11" s="6"/>
      <c r="K11" s="6"/>
      <c r="L11" s="84"/>
      <c r="M11" s="84"/>
      <c r="N11" s="84"/>
      <c r="O11" s="84"/>
      <c r="P11" s="6"/>
      <c r="Q11" s="6"/>
      <c r="R11" s="6"/>
      <c r="S11" s="6"/>
      <c r="T11" s="6"/>
      <c r="U11" s="6"/>
      <c r="V11" s="6"/>
      <c r="W11" s="6"/>
      <c r="Y11" s="6"/>
      <c r="Z11" s="6"/>
      <c r="AA11" s="6"/>
      <c r="AB11" s="6"/>
      <c r="AC11" s="6"/>
      <c r="AD11" s="6"/>
      <c r="AE11" s="6"/>
      <c r="AF11" s="6"/>
      <c r="AG11" s="6"/>
      <c r="AH11" s="6"/>
      <c r="AI11" s="6"/>
      <c r="AJ11" s="6"/>
      <c r="AK11" s="6"/>
      <c r="AL11" s="6"/>
      <c r="AM11" s="6"/>
      <c r="AN11" s="6"/>
      <c r="AO11" s="6"/>
      <c r="AP11" s="6"/>
    </row>
    <row r="12" spans="1:104" x14ac:dyDescent="0.2">
      <c r="D12" s="11" t="str">
        <f>CHOOSE(db_ML_selected,'Liste Traduction'!B8,'Liste Traduction'!C8)</f>
        <v>Sélectionner le CPP</v>
      </c>
      <c r="E12" s="98"/>
      <c r="F12" s="15" t="s">
        <v>648</v>
      </c>
      <c r="G12"/>
      <c r="H12" s="89" t="s">
        <v>714</v>
      </c>
      <c r="P12" s="4"/>
      <c r="Q12" s="51" t="str">
        <f>CHOOSE(db_ML_selected,'Liste Traduction'!B125,'Liste Traduction'!C125)</f>
        <v>Appliquer la mise en forme conditionnelle</v>
      </c>
      <c r="R12" s="6"/>
      <c r="S12" s="6"/>
      <c r="T12" s="6"/>
      <c r="U12" s="15" t="s">
        <v>777</v>
      </c>
      <c r="V12" s="6"/>
      <c r="W12" s="15" t="s">
        <v>777</v>
      </c>
    </row>
    <row r="13" spans="1:104" x14ac:dyDescent="0.2">
      <c r="D13" s="50" t="str">
        <f>CHOOSE(db_ML_selected,'Liste Traduction'!B9,'Liste Traduction'!C9)</f>
        <v>Nom du CPP</v>
      </c>
      <c r="E13" s="98"/>
      <c r="F13" t="str">
        <f>INDEX(list_FieldDescr,MATCH(db_psc_selector,list_FieldName,0))</f>
        <v>HM_ZD_Moho</v>
      </c>
      <c r="G13"/>
      <c r="P13" s="3"/>
      <c r="Q13" s="6"/>
      <c r="R13" s="6"/>
      <c r="S13" s="6"/>
      <c r="T13" s="6"/>
      <c r="U13" s="6"/>
      <c r="V13" s="6"/>
      <c r="W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row>
    <row r="14" spans="1:104" x14ac:dyDescent="0.2">
      <c r="D14" s="50" t="str">
        <f>CHOOSE(db_ML_selected,'Liste Traduction'!B10,'Liste Traduction'!C10)</f>
        <v>Numéro d'index du CPP</v>
      </c>
      <c r="E14" s="98"/>
      <c r="F14">
        <f>MATCH(db_psc_selector,list_FieldName,0)</f>
        <v>3</v>
      </c>
      <c r="G14"/>
      <c r="H14" s="89" t="s">
        <v>720</v>
      </c>
      <c r="P14" s="3"/>
      <c r="U14" s="20" t="s">
        <v>148</v>
      </c>
      <c r="V14" s="6"/>
      <c r="W14" s="20" t="s">
        <v>90</v>
      </c>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row>
    <row r="15" spans="1:104" x14ac:dyDescent="0.2">
      <c r="D15" s="50" t="str">
        <f>CHOOSE(db_ML_selected,'Liste Traduction'!B11,'Liste Traduction'!C11)</f>
        <v>Inclure Abandon ?</v>
      </c>
      <c r="E15" s="98"/>
      <c r="F15" s="15" t="s">
        <v>776</v>
      </c>
      <c r="G15"/>
      <c r="H15" s="89" t="s">
        <v>808</v>
      </c>
      <c r="P15" s="3"/>
      <c r="Q15" s="50" t="str">
        <f>CHOOSE(db_ML_selected,'Liste Traduction'!B126,'Liste Traduction'!C126)</f>
        <v>Mettre en évidence les cellules avec une différence +/-</v>
      </c>
      <c r="R15" s="98"/>
      <c r="T15" s="3"/>
      <c r="U15" s="134">
        <v>0.5</v>
      </c>
      <c r="V15" s="132" t="s">
        <v>774</v>
      </c>
      <c r="W15" s="130">
        <v>0.1</v>
      </c>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row>
    <row r="16" spans="1:104" x14ac:dyDescent="0.2">
      <c r="D16" s="50" t="str">
        <f>CHOOSE(db_ML_selected,'Liste Traduction'!B12,'Liste Traduction'!C12)</f>
        <v>Taille de la réserve (Mmboe)</v>
      </c>
      <c r="F16" s="147">
        <v>100</v>
      </c>
      <c r="G16"/>
      <c r="H16" s="89" t="s">
        <v>811</v>
      </c>
      <c r="P16" s="3"/>
      <c r="Q16" s="50" t="str">
        <f>Q15</f>
        <v>Mettre en évidence les cellules avec une différence +/-</v>
      </c>
      <c r="R16" s="98"/>
      <c r="T16" s="3"/>
      <c r="U16" s="133">
        <v>5</v>
      </c>
      <c r="V16" s="132" t="s">
        <v>774</v>
      </c>
      <c r="W16" s="131">
        <v>0.25</v>
      </c>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row>
    <row r="17" spans="4:82" x14ac:dyDescent="0.2">
      <c r="D17" s="50" t="s">
        <v>1377</v>
      </c>
      <c r="E17" s="98"/>
      <c r="F17" s="15" t="s">
        <v>1063</v>
      </c>
      <c r="G17" s="204">
        <f>IF($F$17="English",1,2)</f>
        <v>2</v>
      </c>
      <c r="H17" s="89" t="s">
        <v>1378</v>
      </c>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row>
    <row r="18" spans="4:82" x14ac:dyDescent="0.2">
      <c r="D18" s="50"/>
      <c r="E18" s="98"/>
      <c r="F18"/>
      <c r="G18"/>
      <c r="H18" s="89"/>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row>
    <row r="19" spans="4:82" ht="19" x14ac:dyDescent="0.25">
      <c r="D19" s="92" t="str">
        <f>CHOOSE(db_ML_selected,'Liste Traduction'!B13,'Liste Traduction'!C13)</f>
        <v>Résultats réels</v>
      </c>
      <c r="E19" s="92"/>
      <c r="F19" s="92"/>
      <c r="G19" s="92"/>
      <c r="H19" s="92"/>
      <c r="I19" s="92"/>
      <c r="J19" s="92"/>
      <c r="K19" s="92"/>
      <c r="L19" s="92"/>
      <c r="M19" s="92"/>
      <c r="N19" s="92"/>
      <c r="O19" s="92"/>
      <c r="P19" s="96"/>
      <c r="Q19" s="92" t="str">
        <f>CHOOSE(db_ML_selected,'Liste Traduction'!B127,'Liste Traduction'!C127)</f>
        <v>Résultats du modèle</v>
      </c>
      <c r="R19" s="92"/>
      <c r="S19" s="92"/>
      <c r="T19" s="92"/>
      <c r="U19" s="92"/>
      <c r="V19" s="92"/>
      <c r="W19" s="92"/>
      <c r="X19" s="92"/>
      <c r="Y19" s="96"/>
      <c r="Z19" s="92" t="str">
        <f>CHOOSE(db_ML_selected,'Liste Traduction'!B128,'Liste Traduction'!C128)</f>
        <v xml:space="preserve">Différence en dollars </v>
      </c>
      <c r="AA19" s="92"/>
      <c r="AB19" s="92"/>
      <c r="AC19" s="92"/>
      <c r="AD19" s="92"/>
      <c r="AE19" s="92"/>
      <c r="AF19" s="92"/>
      <c r="AG19" s="92"/>
      <c r="AI19" s="92" t="str">
        <f>CHOOSE(db_ML_selected,'Liste Traduction'!B129,'Liste Traduction'!C129)</f>
        <v>Différence en %</v>
      </c>
      <c r="AJ19" s="92"/>
      <c r="AK19" s="92"/>
      <c r="AL19" s="92"/>
      <c r="AM19" s="92"/>
      <c r="AN19" s="92"/>
      <c r="AO19" s="92"/>
      <c r="AP19" s="92"/>
    </row>
    <row r="20" spans="4:82" x14ac:dyDescent="0.2">
      <c r="D20" s="90"/>
      <c r="E20" s="90"/>
      <c r="F20" s="99"/>
      <c r="G20" s="99"/>
      <c r="H20" s="91">
        <f>'Données d''entrées'!L$4</f>
        <v>2013</v>
      </c>
      <c r="I20" s="91">
        <f>'Données d''entrées'!M$4</f>
        <v>2014</v>
      </c>
      <c r="J20" s="91">
        <f>'Données d''entrées'!N$4</f>
        <v>2015</v>
      </c>
      <c r="K20" s="91">
        <f>'Données d''entrées'!O$4</f>
        <v>2016</v>
      </c>
      <c r="L20" s="91">
        <f>'Données d''entrées'!P$4</f>
        <v>2017</v>
      </c>
      <c r="M20" s="91">
        <f>'Données d''entrées'!Q$4</f>
        <v>2018</v>
      </c>
      <c r="N20" s="91">
        <f>'Données d''entrées'!R$4</f>
        <v>2019</v>
      </c>
      <c r="O20" s="91">
        <f>'Données d''entrées'!S$4</f>
        <v>2020</v>
      </c>
      <c r="Q20" s="91">
        <f t="shared" ref="Q20:X20" si="0">H20</f>
        <v>2013</v>
      </c>
      <c r="R20" s="91">
        <f t="shared" si="0"/>
        <v>2014</v>
      </c>
      <c r="S20" s="91">
        <f t="shared" si="0"/>
        <v>2015</v>
      </c>
      <c r="T20" s="91">
        <f t="shared" si="0"/>
        <v>2016</v>
      </c>
      <c r="U20" s="91">
        <f t="shared" si="0"/>
        <v>2017</v>
      </c>
      <c r="V20" s="91">
        <f t="shared" si="0"/>
        <v>2018</v>
      </c>
      <c r="W20" s="91">
        <f t="shared" si="0"/>
        <v>2019</v>
      </c>
      <c r="X20" s="91">
        <f t="shared" si="0"/>
        <v>2020</v>
      </c>
      <c r="Z20" s="91">
        <f>Q20</f>
        <v>2013</v>
      </c>
      <c r="AA20" s="91">
        <f>R20</f>
        <v>2014</v>
      </c>
      <c r="AB20" s="91">
        <f>S20</f>
        <v>2015</v>
      </c>
      <c r="AC20" s="91">
        <f>T20</f>
        <v>2016</v>
      </c>
      <c r="AD20" s="91">
        <f t="shared" ref="AD20" si="1">U20</f>
        <v>2017</v>
      </c>
      <c r="AE20" s="91">
        <f t="shared" ref="AE20" si="2">V20</f>
        <v>2018</v>
      </c>
      <c r="AF20" s="91">
        <f t="shared" ref="AF20:AG20" si="3">W20</f>
        <v>2019</v>
      </c>
      <c r="AG20" s="91">
        <f t="shared" si="3"/>
        <v>2020</v>
      </c>
      <c r="AI20" s="91">
        <f>Z20</f>
        <v>2013</v>
      </c>
      <c r="AJ20" s="91">
        <f>AA20</f>
        <v>2014</v>
      </c>
      <c r="AK20" s="91">
        <f>AB20</f>
        <v>2015</v>
      </c>
      <c r="AL20" s="91">
        <f>AC20</f>
        <v>2016</v>
      </c>
      <c r="AM20" s="91">
        <f t="shared" ref="AM20" si="4">AD20</f>
        <v>2017</v>
      </c>
      <c r="AN20" s="91">
        <f t="shared" ref="AN20" si="5">AE20</f>
        <v>2018</v>
      </c>
      <c r="AO20" s="91">
        <f t="shared" ref="AO20:AP20" si="6">AF20</f>
        <v>2019</v>
      </c>
      <c r="AP20" s="91">
        <f t="shared" si="6"/>
        <v>2020</v>
      </c>
    </row>
    <row r="21" spans="4:82" ht="16" x14ac:dyDescent="0.2">
      <c r="D21" s="94" t="str">
        <f>CHOOSE(db_ML_selected,'Liste Traduction'!B14,'Liste Traduction'!C14)</f>
        <v>Flux de trésorerie du projet</v>
      </c>
    </row>
    <row r="22" spans="4:82" outlineLevel="1" x14ac:dyDescent="0.2"/>
    <row r="23" spans="4:82" outlineLevel="1" x14ac:dyDescent="0.2">
      <c r="D23" s="51" t="str">
        <f>CHOOSE(db_ML_selected,'Liste Traduction'!B15,'Liste Traduction'!C15)</f>
        <v>Volumes de production</v>
      </c>
    </row>
    <row r="24" spans="4:82" outlineLevel="1" x14ac:dyDescent="0.2">
      <c r="D24" s="95" t="str">
        <f>CHOOSE(db_ML_selected,'Liste Traduction'!B16,'Liste Traduction'!C16)</f>
        <v>Pétrole</v>
      </c>
      <c r="F24" s="98" t="s">
        <v>88</v>
      </c>
      <c r="H24" s="124" cm="1">
        <f t="array" aca="1" ref="H24:O24" ca="1">OFFSET(IA_prod_oil,,,,8)</f>
        <v>19.447364196999999</v>
      </c>
      <c r="I24" s="124">
        <f ca="1"/>
        <v>20.182617144999998</v>
      </c>
      <c r="J24" s="124">
        <f ca="1"/>
        <v>15.296483690999999</v>
      </c>
      <c r="K24" s="124">
        <f ca="1"/>
        <v>17.000243239</v>
      </c>
      <c r="L24" s="124">
        <f ca="1"/>
        <v>35.274046927000001</v>
      </c>
      <c r="M24" s="124">
        <f ca="1"/>
        <v>55.634612757999996</v>
      </c>
      <c r="N24" s="124">
        <f ca="1"/>
        <v>56.357201902999996</v>
      </c>
      <c r="O24" s="124">
        <f ca="1"/>
        <v>52.048200000000001</v>
      </c>
      <c r="P24" s="55"/>
      <c r="Q24" s="55" cm="1">
        <f t="array" aca="1" ref="Q24:X24" ca="1">CHOOSE(db_psc_number,OFFSET(HM_ZA_Nkossa!CA_gross_prod_oil,,,,8),OFFSET(HM_ZB_Nsoko!CA_gross_prod_oil,,,,8),OFFSET(HM_ZD_Moho!CA_gross_prod_oil,,,,8),OFFSET(KLL_II_2020!CA_gross_prod_oil,,,,8),OFFSET(Marine!CA_gross_prod_oil,,,,8),,)</f>
        <v>19.447364196999999</v>
      </c>
      <c r="R24" s="55">
        <f ca="1"/>
        <v>20.182617144999998</v>
      </c>
      <c r="S24" s="55">
        <f ca="1"/>
        <v>15.296483690999999</v>
      </c>
      <c r="T24" s="55">
        <f ca="1"/>
        <v>17.000243239</v>
      </c>
      <c r="U24" s="55">
        <f ca="1"/>
        <v>35.274046927000001</v>
      </c>
      <c r="V24" s="55">
        <f ca="1"/>
        <v>55.634612757999996</v>
      </c>
      <c r="W24" s="55">
        <f ca="1"/>
        <v>56.357201902999996</v>
      </c>
      <c r="X24" s="55">
        <f ca="1"/>
        <v>52.048200000000001</v>
      </c>
      <c r="Z24" s="55">
        <f t="shared" ref="Z24:AG26" ca="1" si="7">H24-Q24</f>
        <v>0</v>
      </c>
      <c r="AA24" s="55">
        <f t="shared" ca="1" si="7"/>
        <v>0</v>
      </c>
      <c r="AB24" s="55">
        <f t="shared" ca="1" si="7"/>
        <v>0</v>
      </c>
      <c r="AC24" s="55">
        <f t="shared" ca="1" si="7"/>
        <v>0</v>
      </c>
      <c r="AD24" s="55">
        <f t="shared" ca="1" si="7"/>
        <v>0</v>
      </c>
      <c r="AE24" s="55">
        <f t="shared" ca="1" si="7"/>
        <v>0</v>
      </c>
      <c r="AF24" s="55">
        <f t="shared" ca="1" si="7"/>
        <v>0</v>
      </c>
      <c r="AG24" s="55">
        <f t="shared" ca="1" si="7"/>
        <v>0</v>
      </c>
      <c r="AI24" s="111">
        <f t="shared" ref="AI24:AP24" ca="1" si="8">IFERROR(Q24/H24-1,0)</f>
        <v>0</v>
      </c>
      <c r="AJ24" s="111">
        <f t="shared" ca="1" si="8"/>
        <v>0</v>
      </c>
      <c r="AK24" s="111">
        <f t="shared" ca="1" si="8"/>
        <v>0</v>
      </c>
      <c r="AL24" s="111">
        <f t="shared" ca="1" si="8"/>
        <v>0</v>
      </c>
      <c r="AM24" s="111">
        <f t="shared" ca="1" si="8"/>
        <v>0</v>
      </c>
      <c r="AN24" s="111">
        <f t="shared" ca="1" si="8"/>
        <v>0</v>
      </c>
      <c r="AO24" s="111">
        <f t="shared" ca="1" si="8"/>
        <v>0</v>
      </c>
      <c r="AP24" s="111">
        <f t="shared" ca="1" si="8"/>
        <v>0</v>
      </c>
    </row>
    <row r="25" spans="4:82" outlineLevel="1" x14ac:dyDescent="0.2">
      <c r="D25" s="95" t="str">
        <f>CHOOSE(db_ML_selected,'Liste Traduction'!B17,'Liste Traduction'!C17)</f>
        <v>Gaz de pétrole liquéfié</v>
      </c>
      <c r="F25" s="98" t="s">
        <v>88</v>
      </c>
      <c r="H25" s="124" cm="1">
        <f t="array" aca="1" ref="H25:O25" ca="1">OFFSET(IA_prod_lpg,,,,8)</f>
        <v>0</v>
      </c>
      <c r="I25" s="124">
        <f ca="1"/>
        <v>0</v>
      </c>
      <c r="J25" s="124">
        <f ca="1"/>
        <v>0</v>
      </c>
      <c r="K25" s="124">
        <f ca="1"/>
        <v>0</v>
      </c>
      <c r="L25" s="124">
        <f ca="1"/>
        <v>0</v>
      </c>
      <c r="M25" s="124">
        <f ca="1"/>
        <v>0</v>
      </c>
      <c r="N25" s="124">
        <f ca="1"/>
        <v>0</v>
      </c>
      <c r="O25" s="124">
        <f ca="1"/>
        <v>0</v>
      </c>
      <c r="P25" s="55"/>
      <c r="Q25" s="55" cm="1">
        <f t="array" aca="1" ref="Q25:X25" ca="1">CHOOSE(db_psc_number,OFFSET([0]!CA_gross_prod_lpg,,,,8),OFFSET(HM_ZB_Nsoko!CA_gross_prod_lpg,,,,8),OFFSET(HM_ZD_Moho!CA_gross_prod_lpg,,,,8),OFFSET(KLL_II_2020!CA_gross_prod_lpg,,,,8),OFFSET(Marine!CA_gross_prod_lpg,,,,8),,)</f>
        <v>0</v>
      </c>
      <c r="R25" s="55">
        <f ca="1"/>
        <v>0</v>
      </c>
      <c r="S25" s="55">
        <f ca="1"/>
        <v>0</v>
      </c>
      <c r="T25" s="55">
        <f ca="1"/>
        <v>0</v>
      </c>
      <c r="U25" s="55">
        <f ca="1"/>
        <v>0</v>
      </c>
      <c r="V25" s="55">
        <f ca="1"/>
        <v>0</v>
      </c>
      <c r="W25" s="55">
        <f ca="1"/>
        <v>0</v>
      </c>
      <c r="X25" s="55">
        <f ca="1"/>
        <v>0</v>
      </c>
      <c r="Z25" s="55">
        <f t="shared" ca="1" si="7"/>
        <v>0</v>
      </c>
      <c r="AA25" s="55">
        <f t="shared" ca="1" si="7"/>
        <v>0</v>
      </c>
      <c r="AB25" s="55">
        <f t="shared" ca="1" si="7"/>
        <v>0</v>
      </c>
      <c r="AC25" s="55">
        <f t="shared" ca="1" si="7"/>
        <v>0</v>
      </c>
      <c r="AD25" s="55">
        <f t="shared" ca="1" si="7"/>
        <v>0</v>
      </c>
      <c r="AE25" s="55">
        <f t="shared" ca="1" si="7"/>
        <v>0</v>
      </c>
      <c r="AF25" s="55">
        <f t="shared" ca="1" si="7"/>
        <v>0</v>
      </c>
      <c r="AG25" s="55">
        <f t="shared" ca="1" si="7"/>
        <v>0</v>
      </c>
      <c r="AI25" s="111">
        <f t="shared" ref="AI25:AI26" ca="1" si="9">IFERROR(Q25/H25-1,0)</f>
        <v>0</v>
      </c>
      <c r="AJ25" s="111">
        <f t="shared" ref="AJ25:AJ26" ca="1" si="10">IFERROR(R25/I25-1,0)</f>
        <v>0</v>
      </c>
      <c r="AK25" s="111">
        <f t="shared" ref="AK25:AK26" ca="1" si="11">IFERROR(S25/J25-1,0)</f>
        <v>0</v>
      </c>
      <c r="AL25" s="111">
        <f t="shared" ref="AL25:AL26" ca="1" si="12">IFERROR(T25/K25-1,0)</f>
        <v>0</v>
      </c>
      <c r="AM25" s="111">
        <f t="shared" ref="AM25:AM26" ca="1" si="13">IFERROR(U25/L25-1,0)</f>
        <v>0</v>
      </c>
      <c r="AN25" s="111">
        <f t="shared" ref="AN25:AN26" ca="1" si="14">IFERROR(V25/M25-1,0)</f>
        <v>0</v>
      </c>
      <c r="AO25" s="111">
        <f t="shared" ref="AO25:AP26" ca="1" si="15">IFERROR(W25/N25-1,0)</f>
        <v>0</v>
      </c>
      <c r="AP25" s="111">
        <f t="shared" ca="1" si="15"/>
        <v>0</v>
      </c>
    </row>
    <row r="26" spans="4:82" outlineLevel="1" x14ac:dyDescent="0.2">
      <c r="D26" s="95" t="str">
        <f>CHOOSE(db_ML_selected,'Liste Traduction'!B18,'Liste Traduction'!C18)</f>
        <v>Gaz</v>
      </c>
      <c r="F26" s="98" t="s">
        <v>653</v>
      </c>
      <c r="H26" s="124" cm="1">
        <f t="array" aca="1" ref="H26:O26" ca="1">OFFSET(IA_prod_gas,,,,8)</f>
        <v>0</v>
      </c>
      <c r="I26" s="124">
        <f ca="1"/>
        <v>0</v>
      </c>
      <c r="J26" s="124">
        <f ca="1"/>
        <v>0</v>
      </c>
      <c r="K26" s="124">
        <f ca="1"/>
        <v>0</v>
      </c>
      <c r="L26" s="124">
        <f ca="1"/>
        <v>0</v>
      </c>
      <c r="M26" s="124">
        <f ca="1"/>
        <v>0</v>
      </c>
      <c r="N26" s="124">
        <f ca="1"/>
        <v>0</v>
      </c>
      <c r="O26" s="124">
        <f ca="1"/>
        <v>0</v>
      </c>
      <c r="P26" s="55"/>
      <c r="Q26" s="55" cm="1">
        <f t="array" aca="1" ref="Q26:X26" ca="1">CHOOSE(db_psc_number,OFFSET(HM_ZA_Nkossa!CA_gross_prod_gas,,,,8),OFFSET(HM_ZB_Nsoko!CA_gross_prod_gas,,,,8),OFFSET(HM_ZD_Moho!CA_gross_prod_gas,,,,8),OFFSET(KLL_II_2020!CA_gross_prod_gas,,,,8),OFFSET(Marine!CA_gross_prod_gas,,,,8),,)</f>
        <v>0</v>
      </c>
      <c r="R26" s="55">
        <f ca="1"/>
        <v>0</v>
      </c>
      <c r="S26" s="55">
        <f ca="1"/>
        <v>0</v>
      </c>
      <c r="T26" s="55">
        <f ca="1"/>
        <v>0</v>
      </c>
      <c r="U26" s="55">
        <f ca="1"/>
        <v>0</v>
      </c>
      <c r="V26" s="55">
        <f ca="1"/>
        <v>0</v>
      </c>
      <c r="W26" s="55">
        <f ca="1"/>
        <v>0</v>
      </c>
      <c r="X26" s="55">
        <f ca="1"/>
        <v>0</v>
      </c>
      <c r="Z26" s="55">
        <f t="shared" ca="1" si="7"/>
        <v>0</v>
      </c>
      <c r="AA26" s="55">
        <f t="shared" ca="1" si="7"/>
        <v>0</v>
      </c>
      <c r="AB26" s="55">
        <f t="shared" ca="1" si="7"/>
        <v>0</v>
      </c>
      <c r="AC26" s="55">
        <f t="shared" ca="1" si="7"/>
        <v>0</v>
      </c>
      <c r="AD26" s="55">
        <f t="shared" ca="1" si="7"/>
        <v>0</v>
      </c>
      <c r="AE26" s="55">
        <f t="shared" ca="1" si="7"/>
        <v>0</v>
      </c>
      <c r="AF26" s="55">
        <f t="shared" ca="1" si="7"/>
        <v>0</v>
      </c>
      <c r="AG26" s="55">
        <f t="shared" ca="1" si="7"/>
        <v>0</v>
      </c>
      <c r="AI26" s="111">
        <f t="shared" ca="1" si="9"/>
        <v>0</v>
      </c>
      <c r="AJ26" s="111">
        <f t="shared" ca="1" si="10"/>
        <v>0</v>
      </c>
      <c r="AK26" s="111">
        <f t="shared" ca="1" si="11"/>
        <v>0</v>
      </c>
      <c r="AL26" s="111">
        <f t="shared" ca="1" si="12"/>
        <v>0</v>
      </c>
      <c r="AM26" s="111">
        <f t="shared" ca="1" si="13"/>
        <v>0</v>
      </c>
      <c r="AN26" s="111">
        <f t="shared" ca="1" si="14"/>
        <v>0</v>
      </c>
      <c r="AO26" s="111">
        <f t="shared" ca="1" si="15"/>
        <v>0</v>
      </c>
      <c r="AP26" s="111">
        <f t="shared" ca="1" si="15"/>
        <v>0</v>
      </c>
    </row>
    <row r="27" spans="4:82" outlineLevel="1" x14ac:dyDescent="0.2">
      <c r="H27" s="55"/>
      <c r="I27" s="55"/>
      <c r="J27" s="55"/>
      <c r="K27" s="55"/>
      <c r="L27" s="104"/>
      <c r="M27" s="104"/>
      <c r="N27" s="104"/>
      <c r="O27" s="104"/>
      <c r="P27" s="55"/>
      <c r="Q27" s="55"/>
      <c r="R27" s="55"/>
      <c r="S27" s="55"/>
      <c r="T27" s="55"/>
      <c r="U27" s="55"/>
      <c r="V27" s="55"/>
      <c r="W27" s="55"/>
      <c r="X27" s="55"/>
      <c r="Z27" s="55"/>
      <c r="AA27" s="55"/>
      <c r="AB27" s="55"/>
      <c r="AC27" s="55"/>
      <c r="AD27" s="55"/>
      <c r="AE27" s="55"/>
      <c r="AF27" s="55"/>
      <c r="AG27" s="55"/>
      <c r="AI27" s="55"/>
      <c r="AJ27" s="55"/>
      <c r="AK27" s="55"/>
      <c r="AL27" s="55"/>
      <c r="AM27" s="55"/>
      <c r="AN27" s="55"/>
      <c r="AO27" s="55"/>
      <c r="AP27" s="55"/>
    </row>
    <row r="28" spans="4:82" outlineLevel="1" x14ac:dyDescent="0.2">
      <c r="D28" s="51" t="str">
        <f>CHOOSE(db_ML_selected,'Liste Traduction'!B19,'Liste Traduction'!C19)</f>
        <v>Volumes de vente</v>
      </c>
      <c r="H28" s="55"/>
      <c r="I28" s="55"/>
      <c r="J28" s="55"/>
      <c r="K28" s="55"/>
      <c r="L28" s="104"/>
      <c r="M28" s="104"/>
      <c r="N28" s="104"/>
      <c r="O28" s="104"/>
      <c r="P28" s="55"/>
      <c r="Q28" s="55"/>
      <c r="R28" s="55"/>
      <c r="S28" s="55"/>
      <c r="T28" s="55"/>
      <c r="U28" s="55"/>
      <c r="V28" s="55"/>
      <c r="W28" s="55"/>
      <c r="X28" s="55"/>
      <c r="Z28" s="55"/>
      <c r="AA28" s="55"/>
      <c r="AB28" s="55"/>
      <c r="AC28" s="55"/>
      <c r="AD28" s="55"/>
      <c r="AE28" s="55"/>
      <c r="AF28" s="55"/>
      <c r="AG28" s="55"/>
      <c r="AI28" s="55"/>
      <c r="AJ28" s="55"/>
      <c r="AK28" s="55"/>
      <c r="AL28" s="55"/>
      <c r="AM28" s="55"/>
      <c r="AN28" s="55"/>
      <c r="AO28" s="55"/>
      <c r="AP28" s="55"/>
    </row>
    <row r="29" spans="4:82" outlineLevel="1" x14ac:dyDescent="0.2">
      <c r="D29" s="95" t="str">
        <f>D24</f>
        <v>Pétrole</v>
      </c>
      <c r="F29" s="98" t="s">
        <v>88</v>
      </c>
      <c r="H29" s="124" cm="1">
        <f t="array" aca="1" ref="H29:O29" ca="1">OFFSET(IA_sales_oil,,,,8)</f>
        <v>18.11364</v>
      </c>
      <c r="I29" s="124">
        <f ca="1"/>
        <v>18.917859</v>
      </c>
      <c r="J29" s="124">
        <f ca="1"/>
        <v>15.366923</v>
      </c>
      <c r="K29" s="124">
        <f ca="1"/>
        <v>15.591395</v>
      </c>
      <c r="L29" s="124">
        <f ca="1"/>
        <v>32.634275000000002</v>
      </c>
      <c r="M29" s="124">
        <f ca="1"/>
        <v>52.389181999999998</v>
      </c>
      <c r="N29" s="124">
        <f ca="1"/>
        <v>54.643199000000003</v>
      </c>
      <c r="O29" s="124">
        <f ca="1"/>
        <v>52.048200000000001</v>
      </c>
      <c r="P29" s="55"/>
      <c r="Q29" s="55" cm="1">
        <f t="array" aca="1" ref="Q29:X29" ca="1">CHOOSE(db_psc_number,OFFSET([0]!CA_gross_sales_oil,,,,8),OFFSET(HM_ZB_Nsoko!CA_gross_sales_oil,,,,8),OFFSET(HM_ZD_Moho!CA_gross_sales_oil,,,,8),OFFSET(KLL_II_2020!CA_gross_sales_oil,,,,8),OFFSET(Marine!CA_gross_sales_oil,,,,8),,)</f>
        <v>18.11364</v>
      </c>
      <c r="R29" s="55">
        <f ca="1"/>
        <v>18.917859</v>
      </c>
      <c r="S29" s="55">
        <f ca="1"/>
        <v>15.366923</v>
      </c>
      <c r="T29" s="55">
        <f ca="1"/>
        <v>15.591395</v>
      </c>
      <c r="U29" s="55">
        <f ca="1"/>
        <v>32.634275000000002</v>
      </c>
      <c r="V29" s="55">
        <f ca="1"/>
        <v>52.389181999999998</v>
      </c>
      <c r="W29" s="55">
        <f ca="1"/>
        <v>54.643199000000003</v>
      </c>
      <c r="X29" s="55">
        <f ca="1"/>
        <v>52.048200000000001</v>
      </c>
      <c r="Z29" s="55">
        <f t="shared" ref="Z29:AG31" ca="1" si="16">H29-Q29</f>
        <v>0</v>
      </c>
      <c r="AA29" s="55">
        <f t="shared" ca="1" si="16"/>
        <v>0</v>
      </c>
      <c r="AB29" s="55">
        <f t="shared" ca="1" si="16"/>
        <v>0</v>
      </c>
      <c r="AC29" s="55">
        <f t="shared" ca="1" si="16"/>
        <v>0</v>
      </c>
      <c r="AD29" s="55">
        <f t="shared" ca="1" si="16"/>
        <v>0</v>
      </c>
      <c r="AE29" s="55">
        <f t="shared" ca="1" si="16"/>
        <v>0</v>
      </c>
      <c r="AF29" s="55">
        <f t="shared" ca="1" si="16"/>
        <v>0</v>
      </c>
      <c r="AG29" s="55">
        <f t="shared" ca="1" si="16"/>
        <v>0</v>
      </c>
      <c r="AI29" s="111">
        <f t="shared" ref="AI29:AI31" ca="1" si="17">IFERROR(Q29/H29-1,0)</f>
        <v>0</v>
      </c>
      <c r="AJ29" s="111">
        <f t="shared" ref="AJ29:AJ31" ca="1" si="18">IFERROR(R29/I29-1,0)</f>
        <v>0</v>
      </c>
      <c r="AK29" s="111">
        <f t="shared" ref="AK29:AK31" ca="1" si="19">IFERROR(S29/J29-1,0)</f>
        <v>0</v>
      </c>
      <c r="AL29" s="111">
        <f t="shared" ref="AL29:AL31" ca="1" si="20">IFERROR(T29/K29-1,0)</f>
        <v>0</v>
      </c>
      <c r="AM29" s="111">
        <f t="shared" ref="AM29:AM31" ca="1" si="21">IFERROR(U29/L29-1,0)</f>
        <v>0</v>
      </c>
      <c r="AN29" s="111">
        <f t="shared" ref="AN29:AN31" ca="1" si="22">IFERROR(V29/M29-1,0)</f>
        <v>0</v>
      </c>
      <c r="AO29" s="111">
        <f t="shared" ref="AO29:AP31" ca="1" si="23">IFERROR(W29/N29-1,0)</f>
        <v>0</v>
      </c>
      <c r="AP29" s="111">
        <f t="shared" ca="1" si="23"/>
        <v>0</v>
      </c>
    </row>
    <row r="30" spans="4:82" outlineLevel="1" x14ac:dyDescent="0.2">
      <c r="D30" s="95" t="str">
        <f>D25</f>
        <v>Gaz de pétrole liquéfié</v>
      </c>
      <c r="F30" s="98" t="s">
        <v>88</v>
      </c>
      <c r="H30" s="124" cm="1">
        <f t="array" aca="1" ref="H30:O30" ca="1">OFFSET(IA_sales_lpg,,,,8)</f>
        <v>0</v>
      </c>
      <c r="I30" s="124">
        <f ca="1"/>
        <v>0</v>
      </c>
      <c r="J30" s="124">
        <f ca="1"/>
        <v>0</v>
      </c>
      <c r="K30" s="124">
        <f ca="1"/>
        <v>0</v>
      </c>
      <c r="L30" s="124">
        <f ca="1"/>
        <v>0</v>
      </c>
      <c r="M30" s="124">
        <f ca="1"/>
        <v>0</v>
      </c>
      <c r="N30" s="124">
        <f ca="1"/>
        <v>0</v>
      </c>
      <c r="O30" s="124">
        <f ca="1"/>
        <v>0</v>
      </c>
      <c r="P30" s="55"/>
      <c r="Q30" s="55" cm="1">
        <f t="array" aca="1" ref="Q30:X30" ca="1">CHOOSE(db_psc_number,OFFSET([0]!CA_gross_sales_lpg,,,,8),OFFSET(HM_ZB_Nsoko!CA_gross_sales_lpg,,,,8),OFFSET(HM_ZD_Moho!CA_gross_sales_lpg,,,,8),OFFSET(KLL_II_2020!CA_gross_sales_lpg,,,,8),OFFSET(Marine!CA_gross_sales_lpg,,,,8),,)</f>
        <v>0</v>
      </c>
      <c r="R30" s="55">
        <f ca="1"/>
        <v>0</v>
      </c>
      <c r="S30" s="55">
        <f ca="1"/>
        <v>0</v>
      </c>
      <c r="T30" s="55">
        <f ca="1"/>
        <v>0</v>
      </c>
      <c r="U30" s="55">
        <f ca="1"/>
        <v>0</v>
      </c>
      <c r="V30" s="55">
        <f ca="1"/>
        <v>0</v>
      </c>
      <c r="W30" s="55">
        <f ca="1"/>
        <v>0</v>
      </c>
      <c r="X30" s="55">
        <f ca="1"/>
        <v>0</v>
      </c>
      <c r="Z30" s="55">
        <f t="shared" ca="1" si="16"/>
        <v>0</v>
      </c>
      <c r="AA30" s="55">
        <f t="shared" ca="1" si="16"/>
        <v>0</v>
      </c>
      <c r="AB30" s="55">
        <f t="shared" ca="1" si="16"/>
        <v>0</v>
      </c>
      <c r="AC30" s="55">
        <f t="shared" ca="1" si="16"/>
        <v>0</v>
      </c>
      <c r="AD30" s="55">
        <f t="shared" ca="1" si="16"/>
        <v>0</v>
      </c>
      <c r="AE30" s="55">
        <f t="shared" ca="1" si="16"/>
        <v>0</v>
      </c>
      <c r="AF30" s="55">
        <f t="shared" ca="1" si="16"/>
        <v>0</v>
      </c>
      <c r="AG30" s="55">
        <f t="shared" ca="1" si="16"/>
        <v>0</v>
      </c>
      <c r="AI30" s="111">
        <f t="shared" ca="1" si="17"/>
        <v>0</v>
      </c>
      <c r="AJ30" s="111">
        <f t="shared" ca="1" si="18"/>
        <v>0</v>
      </c>
      <c r="AK30" s="111">
        <f t="shared" ca="1" si="19"/>
        <v>0</v>
      </c>
      <c r="AL30" s="111">
        <f t="shared" ca="1" si="20"/>
        <v>0</v>
      </c>
      <c r="AM30" s="111">
        <f t="shared" ca="1" si="21"/>
        <v>0</v>
      </c>
      <c r="AN30" s="111">
        <f t="shared" ca="1" si="22"/>
        <v>0</v>
      </c>
      <c r="AO30" s="111">
        <f t="shared" ca="1" si="23"/>
        <v>0</v>
      </c>
      <c r="AP30" s="111">
        <f t="shared" ca="1" si="23"/>
        <v>0</v>
      </c>
    </row>
    <row r="31" spans="4:82" outlineLevel="1" x14ac:dyDescent="0.2">
      <c r="D31" s="95" t="str">
        <f>D26</f>
        <v>Gaz</v>
      </c>
      <c r="F31" s="98" t="s">
        <v>653</v>
      </c>
      <c r="H31" s="124" cm="1">
        <f t="array" aca="1" ref="H31:O31" ca="1">OFFSET(IA_sales_gas,,,,8)</f>
        <v>0</v>
      </c>
      <c r="I31" s="124">
        <f ca="1"/>
        <v>0</v>
      </c>
      <c r="J31" s="124">
        <f ca="1"/>
        <v>0</v>
      </c>
      <c r="K31" s="124">
        <f ca="1"/>
        <v>0</v>
      </c>
      <c r="L31" s="124">
        <f ca="1"/>
        <v>0</v>
      </c>
      <c r="M31" s="124">
        <f ca="1"/>
        <v>0</v>
      </c>
      <c r="N31" s="124">
        <f ca="1"/>
        <v>0</v>
      </c>
      <c r="O31" s="124">
        <f ca="1"/>
        <v>0</v>
      </c>
      <c r="P31" s="55"/>
      <c r="Q31" s="55" cm="1">
        <f t="array" aca="1" ref="Q31:X31" ca="1">CHOOSE(db_psc_number,OFFSET([0]!CA_gross_sales_gas,,,,8),OFFSET(HM_ZB_Nsoko!CA_gross_sales_gas,,,,8),OFFSET(HM_ZD_Moho!CA_gross_sales_gas,,,,8),OFFSET(KLL_II_2020!CA_gross_sales_gas,,,,8),OFFSET(Marine!CA_gross_sales_gas,,,,8),,)</f>
        <v>0</v>
      </c>
      <c r="R31" s="55">
        <f ca="1"/>
        <v>0</v>
      </c>
      <c r="S31" s="55">
        <f ca="1"/>
        <v>0</v>
      </c>
      <c r="T31" s="55">
        <f ca="1"/>
        <v>0</v>
      </c>
      <c r="U31" s="55">
        <f ca="1"/>
        <v>0</v>
      </c>
      <c r="V31" s="55">
        <f ca="1"/>
        <v>0</v>
      </c>
      <c r="W31" s="55">
        <f ca="1"/>
        <v>0</v>
      </c>
      <c r="X31" s="55">
        <f ca="1"/>
        <v>0</v>
      </c>
      <c r="Z31" s="55">
        <f t="shared" ca="1" si="16"/>
        <v>0</v>
      </c>
      <c r="AA31" s="55">
        <f t="shared" ca="1" si="16"/>
        <v>0</v>
      </c>
      <c r="AB31" s="55">
        <f t="shared" ca="1" si="16"/>
        <v>0</v>
      </c>
      <c r="AC31" s="55">
        <f t="shared" ca="1" si="16"/>
        <v>0</v>
      </c>
      <c r="AD31" s="55">
        <f t="shared" ca="1" si="16"/>
        <v>0</v>
      </c>
      <c r="AE31" s="55">
        <f t="shared" ca="1" si="16"/>
        <v>0</v>
      </c>
      <c r="AF31" s="55">
        <f t="shared" ca="1" si="16"/>
        <v>0</v>
      </c>
      <c r="AG31" s="55">
        <f t="shared" ca="1" si="16"/>
        <v>0</v>
      </c>
      <c r="AI31" s="111">
        <f t="shared" ca="1" si="17"/>
        <v>0</v>
      </c>
      <c r="AJ31" s="111">
        <f t="shared" ca="1" si="18"/>
        <v>0</v>
      </c>
      <c r="AK31" s="111">
        <f t="shared" ca="1" si="19"/>
        <v>0</v>
      </c>
      <c r="AL31" s="111">
        <f t="shared" ca="1" si="20"/>
        <v>0</v>
      </c>
      <c r="AM31" s="111">
        <f t="shared" ca="1" si="21"/>
        <v>0</v>
      </c>
      <c r="AN31" s="111">
        <f t="shared" ca="1" si="22"/>
        <v>0</v>
      </c>
      <c r="AO31" s="111">
        <f t="shared" ca="1" si="23"/>
        <v>0</v>
      </c>
      <c r="AP31" s="111">
        <f t="shared" ca="1" si="23"/>
        <v>0</v>
      </c>
    </row>
    <row r="32" spans="4:82" outlineLevel="1" x14ac:dyDescent="0.2">
      <c r="H32" s="55"/>
      <c r="I32" s="55"/>
      <c r="J32" s="55"/>
      <c r="K32" s="55"/>
      <c r="L32" s="104"/>
      <c r="M32" s="104"/>
      <c r="N32" s="104"/>
      <c r="O32" s="104"/>
      <c r="P32" s="55"/>
      <c r="Q32" s="55"/>
      <c r="R32" s="55"/>
      <c r="S32" s="55"/>
      <c r="T32" s="55"/>
      <c r="U32" s="55"/>
      <c r="V32" s="55"/>
      <c r="W32" s="55"/>
      <c r="X32" s="55"/>
    </row>
    <row r="33" spans="4:42" outlineLevel="1" x14ac:dyDescent="0.2">
      <c r="D33" s="51" t="str">
        <f>CHOOSE(db_ML_selected,'Liste Traduction'!B20,'Liste Traduction'!C20)</f>
        <v>Prix</v>
      </c>
      <c r="H33" s="55"/>
      <c r="I33" s="55"/>
      <c r="J33" s="55"/>
      <c r="K33" s="55"/>
      <c r="L33" s="104"/>
      <c r="M33" s="104"/>
      <c r="N33" s="104"/>
      <c r="O33" s="104"/>
      <c r="P33" s="55"/>
      <c r="Q33" s="55"/>
      <c r="R33" s="55"/>
      <c r="S33" s="55"/>
      <c r="T33" s="55"/>
      <c r="U33" s="55"/>
      <c r="V33" s="55"/>
      <c r="W33" s="55"/>
      <c r="X33" s="55"/>
    </row>
    <row r="34" spans="4:42" outlineLevel="1" x14ac:dyDescent="0.2">
      <c r="D34" s="95" t="str">
        <f>D29</f>
        <v>Pétrole</v>
      </c>
      <c r="F34" s="98" t="s">
        <v>46</v>
      </c>
      <c r="H34" s="125" cm="1">
        <f t="array" aca="1" ref="H34:O34" ca="1">OFFSET(IA_oilprice_nominal,,,,8)</f>
        <v>105.56594625304467</v>
      </c>
      <c r="I34" s="125">
        <f ca="1"/>
        <v>96.087837772974183</v>
      </c>
      <c r="J34" s="125">
        <f ca="1"/>
        <v>47.83306661001685</v>
      </c>
      <c r="K34" s="125">
        <f ca="1"/>
        <v>40.514178138774625</v>
      </c>
      <c r="L34" s="125">
        <f ca="1"/>
        <v>54.30988909203591</v>
      </c>
      <c r="M34" s="125">
        <f ca="1"/>
        <v>68.447232066727068</v>
      </c>
      <c r="N34" s="125">
        <f ca="1"/>
        <v>64.497153078556039</v>
      </c>
      <c r="O34" s="125">
        <f ca="1"/>
        <v>40.43</v>
      </c>
      <c r="P34" s="55"/>
      <c r="Q34" s="55" cm="1">
        <f t="array" aca="1" ref="Q34:X34" ca="1">CHOOSE(db_psc_number,OFFSET(HM_ZA_Nkossa!CA_FP_oil_nom,,,,8),OFFSET(HM_ZB_Nsoko!CA_FP_oil_nom,,,,8),OFFSET(HM_ZD_Moho!CA_FP_oil_nom,,,,8),OFFSET(KLL_II_2020!CA_FP_oil_nom,,,,8),OFFSET(Marine!CA_FP_oil_nom,,,,8),,)</f>
        <v>105.56594625304467</v>
      </c>
      <c r="R34" s="55">
        <f ca="1"/>
        <v>96.087837772974183</v>
      </c>
      <c r="S34" s="55">
        <f ca="1"/>
        <v>47.83306661001685</v>
      </c>
      <c r="T34" s="55">
        <f ca="1"/>
        <v>40.514178138774625</v>
      </c>
      <c r="U34" s="55">
        <f ca="1"/>
        <v>54.30988909203591</v>
      </c>
      <c r="V34" s="55">
        <f ca="1"/>
        <v>68.447232066727068</v>
      </c>
      <c r="W34" s="55">
        <f ca="1"/>
        <v>64.497153078556039</v>
      </c>
      <c r="X34" s="55">
        <f ca="1"/>
        <v>40.43</v>
      </c>
      <c r="Z34" s="55">
        <f t="shared" ref="Z34:AG36" ca="1" si="24">H34-Q34</f>
        <v>0</v>
      </c>
      <c r="AA34" s="55">
        <f t="shared" ca="1" si="24"/>
        <v>0</v>
      </c>
      <c r="AB34" s="55">
        <f t="shared" ca="1" si="24"/>
        <v>0</v>
      </c>
      <c r="AC34" s="55">
        <f t="shared" ca="1" si="24"/>
        <v>0</v>
      </c>
      <c r="AD34" s="55">
        <f t="shared" ca="1" si="24"/>
        <v>0</v>
      </c>
      <c r="AE34" s="55">
        <f t="shared" ca="1" si="24"/>
        <v>0</v>
      </c>
      <c r="AF34" s="55">
        <f t="shared" ca="1" si="24"/>
        <v>0</v>
      </c>
      <c r="AG34" s="55">
        <f t="shared" ca="1" si="24"/>
        <v>0</v>
      </c>
      <c r="AI34" s="111">
        <f t="shared" ref="AI34:AI36" ca="1" si="25">IFERROR(Q34/H34-1,0)</f>
        <v>0</v>
      </c>
      <c r="AJ34" s="111">
        <f t="shared" ref="AJ34:AJ36" ca="1" si="26">IFERROR(R34/I34-1,0)</f>
        <v>0</v>
      </c>
      <c r="AK34" s="111">
        <f t="shared" ref="AK34:AK36" ca="1" si="27">IFERROR(S34/J34-1,0)</f>
        <v>0</v>
      </c>
      <c r="AL34" s="111">
        <f t="shared" ref="AL34:AL36" ca="1" si="28">IFERROR(T34/K34-1,0)</f>
        <v>0</v>
      </c>
      <c r="AM34" s="111">
        <f t="shared" ref="AM34:AM36" ca="1" si="29">IFERROR(U34/L34-1,0)</f>
        <v>0</v>
      </c>
      <c r="AN34" s="111">
        <f t="shared" ref="AN34:AN36" ca="1" si="30">IFERROR(V34/M34-1,0)</f>
        <v>0</v>
      </c>
      <c r="AO34" s="111">
        <f t="shared" ref="AO34:AP36" ca="1" si="31">IFERROR(W34/N34-1,0)</f>
        <v>0</v>
      </c>
      <c r="AP34" s="111">
        <f t="shared" ca="1" si="31"/>
        <v>0</v>
      </c>
    </row>
    <row r="35" spans="4:42" outlineLevel="1" x14ac:dyDescent="0.2">
      <c r="D35" s="95" t="str">
        <f>D30</f>
        <v>Gaz de pétrole liquéfié</v>
      </c>
      <c r="F35" s="98" t="s">
        <v>46</v>
      </c>
      <c r="H35" s="125" cm="1">
        <f t="array" aca="1" ref="H35:O35" ca="1">OFFSET(IA_lpgprice_nominal,,,,8)</f>
        <v>0</v>
      </c>
      <c r="I35" s="125">
        <f ca="1"/>
        <v>0</v>
      </c>
      <c r="J35" s="125">
        <f ca="1"/>
        <v>0</v>
      </c>
      <c r="K35" s="125">
        <f ca="1"/>
        <v>0</v>
      </c>
      <c r="L35" s="125">
        <f ca="1"/>
        <v>0</v>
      </c>
      <c r="M35" s="125">
        <f ca="1"/>
        <v>0</v>
      </c>
      <c r="N35" s="125">
        <f ca="1"/>
        <v>0</v>
      </c>
      <c r="O35" s="125">
        <f ca="1"/>
        <v>0</v>
      </c>
      <c r="P35" s="55"/>
      <c r="Q35" s="55" cm="1">
        <f t="array" aca="1" ref="Q35:X35" ca="1">CHOOSE(db_psc_number,OFFSET([0]!CA_FP_lpg_nom,,,,8),OFFSET(HM_ZB_Nsoko!CA_FP_lpg_nom,,,,8),OFFSET(HM_ZD_Moho!CA_FP_lpg_nom,,,,8),OFFSET(KLL_II_2020!CA_FP_lpg_nom,,,,8),OFFSET(Marine!CA_FP_lpg_nom,,,,8),,)</f>
        <v>0</v>
      </c>
      <c r="R35" s="55">
        <f ca="1"/>
        <v>0</v>
      </c>
      <c r="S35" s="55">
        <f ca="1"/>
        <v>0</v>
      </c>
      <c r="T35" s="55">
        <f ca="1"/>
        <v>0</v>
      </c>
      <c r="U35" s="55">
        <f ca="1"/>
        <v>0</v>
      </c>
      <c r="V35" s="55">
        <f ca="1"/>
        <v>0</v>
      </c>
      <c r="W35" s="55">
        <f ca="1"/>
        <v>0</v>
      </c>
      <c r="X35" s="55">
        <f ca="1"/>
        <v>0</v>
      </c>
      <c r="Z35" s="55">
        <f t="shared" ca="1" si="24"/>
        <v>0</v>
      </c>
      <c r="AA35" s="55">
        <f t="shared" ca="1" si="24"/>
        <v>0</v>
      </c>
      <c r="AB35" s="55">
        <f t="shared" ca="1" si="24"/>
        <v>0</v>
      </c>
      <c r="AC35" s="55">
        <f t="shared" ca="1" si="24"/>
        <v>0</v>
      </c>
      <c r="AD35" s="55">
        <f t="shared" ca="1" si="24"/>
        <v>0</v>
      </c>
      <c r="AE35" s="55">
        <f t="shared" ca="1" si="24"/>
        <v>0</v>
      </c>
      <c r="AF35" s="55">
        <f t="shared" ca="1" si="24"/>
        <v>0</v>
      </c>
      <c r="AG35" s="55">
        <f t="shared" ca="1" si="24"/>
        <v>0</v>
      </c>
      <c r="AI35" s="111">
        <f t="shared" ca="1" si="25"/>
        <v>0</v>
      </c>
      <c r="AJ35" s="111">
        <f t="shared" ca="1" si="26"/>
        <v>0</v>
      </c>
      <c r="AK35" s="111">
        <f t="shared" ca="1" si="27"/>
        <v>0</v>
      </c>
      <c r="AL35" s="111">
        <f t="shared" ca="1" si="28"/>
        <v>0</v>
      </c>
      <c r="AM35" s="111">
        <f t="shared" ca="1" si="29"/>
        <v>0</v>
      </c>
      <c r="AN35" s="111">
        <f t="shared" ca="1" si="30"/>
        <v>0</v>
      </c>
      <c r="AO35" s="111">
        <f t="shared" ca="1" si="31"/>
        <v>0</v>
      </c>
      <c r="AP35" s="111">
        <f t="shared" ca="1" si="31"/>
        <v>0</v>
      </c>
    </row>
    <row r="36" spans="4:42" outlineLevel="1" x14ac:dyDescent="0.2">
      <c r="D36" s="95" t="str">
        <f>D31</f>
        <v>Gaz</v>
      </c>
      <c r="F36" s="98" t="s">
        <v>718</v>
      </c>
      <c r="H36" s="125" cm="1">
        <f t="array" aca="1" ref="H36:O36" ca="1">OFFSET(IA_gasprice_nominal,,,,8)</f>
        <v>0</v>
      </c>
      <c r="I36" s="125">
        <f ca="1"/>
        <v>0</v>
      </c>
      <c r="J36" s="125">
        <f ca="1"/>
        <v>0</v>
      </c>
      <c r="K36" s="125">
        <f ca="1"/>
        <v>0</v>
      </c>
      <c r="L36" s="125">
        <f ca="1"/>
        <v>0</v>
      </c>
      <c r="M36" s="125">
        <f ca="1"/>
        <v>0</v>
      </c>
      <c r="N36" s="125">
        <f ca="1"/>
        <v>0</v>
      </c>
      <c r="O36" s="125">
        <f ca="1"/>
        <v>0</v>
      </c>
      <c r="P36" s="55"/>
      <c r="Q36" s="55" cm="1">
        <f t="array" aca="1" ref="Q36:X36" ca="1">CHOOSE(db_psc_number,OFFSET(HM_ZA_Nkossa!CA_FP_gas_nom,,,,8),OFFSET(HM_ZB_Nsoko!CA_FP_gas_nom,,,,8),OFFSET(HM_ZD_Moho!CA_FP_gas_nom,,,,8),OFFSET(KLL_II_2020!CA_FP_gas_nom,,,,8),OFFSET(Marine!CA_FP_gas_nom,,,,8),,)</f>
        <v>0</v>
      </c>
      <c r="R36" s="55">
        <f ca="1"/>
        <v>0</v>
      </c>
      <c r="S36" s="55">
        <f ca="1"/>
        <v>0</v>
      </c>
      <c r="T36" s="55">
        <f ca="1"/>
        <v>0</v>
      </c>
      <c r="U36" s="55">
        <f ca="1"/>
        <v>0</v>
      </c>
      <c r="V36" s="55">
        <f ca="1"/>
        <v>0</v>
      </c>
      <c r="W36" s="55">
        <f ca="1"/>
        <v>0</v>
      </c>
      <c r="X36" s="55">
        <f ca="1"/>
        <v>0</v>
      </c>
      <c r="Z36" s="55">
        <f t="shared" ca="1" si="24"/>
        <v>0</v>
      </c>
      <c r="AA36" s="55">
        <f t="shared" ca="1" si="24"/>
        <v>0</v>
      </c>
      <c r="AB36" s="55">
        <f t="shared" ca="1" si="24"/>
        <v>0</v>
      </c>
      <c r="AC36" s="55">
        <f t="shared" ca="1" si="24"/>
        <v>0</v>
      </c>
      <c r="AD36" s="55">
        <f t="shared" ca="1" si="24"/>
        <v>0</v>
      </c>
      <c r="AE36" s="55">
        <f t="shared" ca="1" si="24"/>
        <v>0</v>
      </c>
      <c r="AF36" s="55">
        <f t="shared" ca="1" si="24"/>
        <v>0</v>
      </c>
      <c r="AG36" s="55">
        <f t="shared" ca="1" si="24"/>
        <v>0</v>
      </c>
      <c r="AI36" s="111">
        <f t="shared" ca="1" si="25"/>
        <v>0</v>
      </c>
      <c r="AJ36" s="111">
        <f t="shared" ca="1" si="26"/>
        <v>0</v>
      </c>
      <c r="AK36" s="111">
        <f t="shared" ca="1" si="27"/>
        <v>0</v>
      </c>
      <c r="AL36" s="111">
        <f t="shared" ca="1" si="28"/>
        <v>0</v>
      </c>
      <c r="AM36" s="111">
        <f t="shared" ca="1" si="29"/>
        <v>0</v>
      </c>
      <c r="AN36" s="111">
        <f t="shared" ca="1" si="30"/>
        <v>0</v>
      </c>
      <c r="AO36" s="111">
        <f t="shared" ca="1" si="31"/>
        <v>0</v>
      </c>
      <c r="AP36" s="111">
        <f t="shared" ca="1" si="31"/>
        <v>0</v>
      </c>
    </row>
    <row r="37" spans="4:42" outlineLevel="1" x14ac:dyDescent="0.2">
      <c r="D37" s="95" t="str">
        <f>CHOOSE(db_ML_selected,'Liste Traduction'!B21,'Liste Traduction'!C21)</f>
        <v>Prix moyenne pondérée</v>
      </c>
      <c r="F37" s="98" t="s">
        <v>1379</v>
      </c>
      <c r="H37" s="125">
        <f t="shared" ref="H37:O37" ca="1" si="32">IFERROR((H34*H24+H35*H25+H36*H26)/SUM(H24,H25,H26*conv_CMtoBbls),0)</f>
        <v>105.56594625304467</v>
      </c>
      <c r="I37" s="125">
        <f t="shared" ca="1" si="32"/>
        <v>96.087837772974183</v>
      </c>
      <c r="J37" s="125">
        <f t="shared" ca="1" si="32"/>
        <v>47.83306661001685</v>
      </c>
      <c r="K37" s="125">
        <f t="shared" ca="1" si="32"/>
        <v>40.514178138774625</v>
      </c>
      <c r="L37" s="125">
        <f t="shared" ca="1" si="32"/>
        <v>54.30988909203591</v>
      </c>
      <c r="M37" s="125">
        <f t="shared" ca="1" si="32"/>
        <v>68.447232066727068</v>
      </c>
      <c r="N37" s="125">
        <f t="shared" ca="1" si="32"/>
        <v>64.497153078556039</v>
      </c>
      <c r="O37" s="125">
        <f t="shared" ca="1" si="32"/>
        <v>40.43</v>
      </c>
      <c r="P37" s="55"/>
      <c r="Q37" s="192">
        <f t="shared" ref="Q37:X37" ca="1" si="33">IFERROR((Q34*Q24+Q35*Q25+Q36*Q26)/SUM(Q24,Q25,Q26*conv_CMtoBbls),0)</f>
        <v>105.56594625304467</v>
      </c>
      <c r="R37" s="192">
        <f t="shared" ca="1" si="33"/>
        <v>96.087837772974183</v>
      </c>
      <c r="S37" s="192">
        <f t="shared" ca="1" si="33"/>
        <v>47.83306661001685</v>
      </c>
      <c r="T37" s="192">
        <f t="shared" ca="1" si="33"/>
        <v>40.514178138774625</v>
      </c>
      <c r="U37" s="192">
        <f t="shared" ca="1" si="33"/>
        <v>54.30988909203591</v>
      </c>
      <c r="V37" s="192">
        <f t="shared" ca="1" si="33"/>
        <v>68.447232066727068</v>
      </c>
      <c r="W37" s="192">
        <f t="shared" ca="1" si="33"/>
        <v>64.497153078556039</v>
      </c>
      <c r="X37" s="192">
        <f t="shared" ca="1" si="33"/>
        <v>40.43</v>
      </c>
      <c r="Z37" s="55">
        <f t="shared" ref="Z37" ca="1" si="34">H37-Q37</f>
        <v>0</v>
      </c>
      <c r="AA37" s="55">
        <f t="shared" ref="AA37" ca="1" si="35">I37-R37</f>
        <v>0</v>
      </c>
      <c r="AB37" s="55">
        <f t="shared" ref="AB37" ca="1" si="36">J37-S37</f>
        <v>0</v>
      </c>
      <c r="AC37" s="55">
        <f t="shared" ref="AC37" ca="1" si="37">K37-T37</f>
        <v>0</v>
      </c>
      <c r="AD37" s="55">
        <f t="shared" ref="AD37" ca="1" si="38">L37-U37</f>
        <v>0</v>
      </c>
      <c r="AE37" s="55">
        <f t="shared" ref="AE37" ca="1" si="39">M37-V37</f>
        <v>0</v>
      </c>
      <c r="AF37" s="55">
        <f t="shared" ref="AF37" ca="1" si="40">N37-W37</f>
        <v>0</v>
      </c>
      <c r="AG37" s="55">
        <f t="shared" ref="AG37" ca="1" si="41">O37-X37</f>
        <v>0</v>
      </c>
      <c r="AI37" s="111">
        <f t="shared" ref="AI37" ca="1" si="42">IFERROR(Q37/H37-1,0)</f>
        <v>0</v>
      </c>
      <c r="AJ37" s="111">
        <f t="shared" ref="AJ37" ca="1" si="43">IFERROR(R37/I37-1,0)</f>
        <v>0</v>
      </c>
      <c r="AK37" s="111">
        <f t="shared" ref="AK37" ca="1" si="44">IFERROR(S37/J37-1,0)</f>
        <v>0</v>
      </c>
      <c r="AL37" s="111">
        <f t="shared" ref="AL37" ca="1" si="45">IFERROR(T37/K37-1,0)</f>
        <v>0</v>
      </c>
      <c r="AM37" s="111">
        <f t="shared" ref="AM37" ca="1" si="46">IFERROR(U37/L37-1,0)</f>
        <v>0</v>
      </c>
      <c r="AN37" s="111">
        <f t="shared" ref="AN37" ca="1" si="47">IFERROR(V37/M37-1,0)</f>
        <v>0</v>
      </c>
      <c r="AO37" s="111">
        <f t="shared" ref="AO37" ca="1" si="48">IFERROR(W37/N37-1,0)</f>
        <v>0</v>
      </c>
      <c r="AP37" s="111">
        <f t="shared" ref="AP37" ca="1" si="49">IFERROR(X37/O37-1,0)</f>
        <v>0</v>
      </c>
    </row>
    <row r="38" spans="4:42" outlineLevel="1" x14ac:dyDescent="0.2">
      <c r="H38" s="55"/>
      <c r="I38" s="55"/>
      <c r="J38" s="55"/>
      <c r="K38" s="55"/>
      <c r="L38" s="104"/>
      <c r="M38" s="104"/>
      <c r="N38" s="104"/>
      <c r="O38" s="104"/>
      <c r="P38" s="55"/>
      <c r="Q38" s="55"/>
      <c r="R38" s="55"/>
      <c r="S38" s="55"/>
      <c r="T38" s="55"/>
      <c r="U38" s="55"/>
      <c r="V38" s="55"/>
      <c r="W38" s="55"/>
      <c r="X38" s="55"/>
    </row>
    <row r="39" spans="4:42" outlineLevel="1" x14ac:dyDescent="0.2">
      <c r="D39" s="95" t="str">
        <f>CHOOSE(db_ML_selected,'Liste Traduction'!B22,'Liste Traduction'!C22)</f>
        <v>PH</v>
      </c>
      <c r="F39" s="98" t="s">
        <v>46</v>
      </c>
      <c r="H39" s="125" cm="1">
        <f t="array" aca="1" ref="H39:O39" ca="1">OFFSET(IA_historic_HP,,,,8)</f>
        <v>27.028749999999999</v>
      </c>
      <c r="I39" s="125">
        <f ca="1"/>
        <v>27.382999999999999</v>
      </c>
      <c r="J39" s="125">
        <f ca="1"/>
        <v>27.72325</v>
      </c>
      <c r="K39" s="125">
        <f ca="1"/>
        <v>28.14725</v>
      </c>
      <c r="L39" s="125">
        <f ca="1"/>
        <v>97.840500000000006</v>
      </c>
      <c r="M39" s="125">
        <f ca="1"/>
        <v>100.089</v>
      </c>
      <c r="N39" s="125">
        <f ca="1"/>
        <v>101.9695</v>
      </c>
      <c r="O39" s="125">
        <f ca="1"/>
        <v>104.43</v>
      </c>
      <c r="P39" s="55"/>
      <c r="Q39" s="55" cm="1">
        <f t="array" aca="1" ref="Q39:X39" ca="1">CHOOSE(db_psc_number,OFFSET([0]!CA_HP_effective,,,,8),OFFSET(HM_ZB_Nsoko!CA_HP_effective,,,,8),OFFSET(CA_HP_oil_nom_period1,,,,8),OFFSET(KLL_II_2020!CA_HP_effective,,,,8),OFFSET(Marine!CA_HP_effective,,,,8),,)</f>
        <v>27.028749999999999</v>
      </c>
      <c r="R39" s="55">
        <f ca="1"/>
        <v>27.382999999999999</v>
      </c>
      <c r="S39" s="55">
        <f ca="1"/>
        <v>27.72325</v>
      </c>
      <c r="T39" s="55">
        <f ca="1"/>
        <v>28.14725</v>
      </c>
      <c r="U39" s="55">
        <f ca="1"/>
        <v>97.840500000000006</v>
      </c>
      <c r="V39" s="55">
        <f ca="1"/>
        <v>100.089</v>
      </c>
      <c r="W39" s="55">
        <f ca="1"/>
        <v>101.9695</v>
      </c>
      <c r="X39" s="55">
        <f ca="1"/>
        <v>104.43</v>
      </c>
      <c r="Z39" s="55">
        <f ca="1">H39-Q39</f>
        <v>0</v>
      </c>
      <c r="AA39" s="55">
        <f ca="1">I39-R39</f>
        <v>0</v>
      </c>
      <c r="AB39" s="55">
        <f ca="1">J39-S39</f>
        <v>0</v>
      </c>
      <c r="AC39" s="55">
        <f ca="1">K39-T39</f>
        <v>0</v>
      </c>
      <c r="AD39" s="55">
        <f ca="1">L39-U39</f>
        <v>0</v>
      </c>
      <c r="AE39" s="55">
        <f t="shared" ref="AE39" ca="1" si="50">M39-V39</f>
        <v>0</v>
      </c>
      <c r="AF39" s="55">
        <f t="shared" ref="AF39:AG39" ca="1" si="51">N39-W39</f>
        <v>0</v>
      </c>
      <c r="AG39" s="55">
        <f t="shared" ca="1" si="51"/>
        <v>0</v>
      </c>
      <c r="AI39" s="111">
        <f t="shared" ref="AI39" ca="1" si="52">IFERROR(Q39/H39-1,0)</f>
        <v>0</v>
      </c>
      <c r="AJ39" s="111">
        <f t="shared" ref="AJ39" ca="1" si="53">IFERROR(R39/I39-1,0)</f>
        <v>0</v>
      </c>
      <c r="AK39" s="111">
        <f t="shared" ref="AK39" ca="1" si="54">IFERROR(S39/J39-1,0)</f>
        <v>0</v>
      </c>
      <c r="AL39" s="111">
        <f t="shared" ref="AL39" ca="1" si="55">IFERROR(T39/K39-1,0)</f>
        <v>0</v>
      </c>
      <c r="AM39" s="111">
        <f t="shared" ref="AM39" ca="1" si="56">IFERROR(U39/L39-1,0)</f>
        <v>0</v>
      </c>
      <c r="AN39" s="111">
        <f t="shared" ref="AN39" ca="1" si="57">IFERROR(V39/M39-1,0)</f>
        <v>0</v>
      </c>
      <c r="AO39" s="111">
        <f t="shared" ref="AO39:AP39" ca="1" si="58">IFERROR(W39/N39-1,0)</f>
        <v>0</v>
      </c>
      <c r="AP39" s="111">
        <f t="shared" ca="1" si="58"/>
        <v>0</v>
      </c>
    </row>
    <row r="40" spans="4:42" outlineLevel="1" x14ac:dyDescent="0.2">
      <c r="H40" s="55"/>
      <c r="I40" s="55"/>
      <c r="J40" s="55"/>
      <c r="K40" s="55"/>
      <c r="L40" s="104"/>
      <c r="M40" s="104"/>
      <c r="N40" s="104"/>
      <c r="O40" s="104"/>
      <c r="P40" s="55"/>
      <c r="Q40" s="55"/>
      <c r="R40" s="55"/>
      <c r="S40" s="55"/>
      <c r="T40" s="55"/>
      <c r="U40" s="55"/>
      <c r="V40" s="55"/>
      <c r="W40" s="55"/>
      <c r="X40" s="55"/>
    </row>
    <row r="41" spans="4:42" outlineLevel="1" x14ac:dyDescent="0.2">
      <c r="D41" s="51" t="str">
        <f>CHOOSE(db_ML_selected,'Liste Traduction'!B23,'Liste Traduction'!C23)</f>
        <v>Revenus</v>
      </c>
      <c r="H41" s="55"/>
      <c r="I41" s="55"/>
      <c r="J41" s="55"/>
      <c r="K41" s="55"/>
      <c r="L41" s="104"/>
      <c r="M41" s="104"/>
      <c r="N41" s="104"/>
      <c r="O41" s="104"/>
      <c r="P41" s="55"/>
      <c r="Q41" s="55"/>
      <c r="R41" s="55"/>
      <c r="S41" s="55"/>
      <c r="T41" s="55"/>
      <c r="U41" s="55"/>
      <c r="V41" s="55"/>
      <c r="W41" s="55"/>
      <c r="X41" s="55"/>
    </row>
    <row r="42" spans="4:42" outlineLevel="1" x14ac:dyDescent="0.2">
      <c r="D42" s="95" t="str">
        <f>CHOOSE(db_ML_selected,'Liste Traduction'!B24,'Liste Traduction'!C24)</f>
        <v>Revenus hydrocarbures liquides</v>
      </c>
      <c r="F42" s="98" t="s">
        <v>148</v>
      </c>
      <c r="H42" s="125" cm="1">
        <f t="array" aca="1" ref="H42:O42" ca="1">OFFSET(RA_rev_oil,,,,8)+OFFSET(RA_rev_lpg,,,,8)</f>
        <v>1912.183546687</v>
      </c>
      <c r="I42" s="125">
        <f ca="1"/>
        <v>1817.7761666039996</v>
      </c>
      <c r="J42" s="125">
        <f ca="1"/>
        <v>735.04705144999991</v>
      </c>
      <c r="K42" s="125">
        <f ca="1"/>
        <v>631.67255446199999</v>
      </c>
      <c r="L42" s="125">
        <f ca="1"/>
        <v>1772.3638558490002</v>
      </c>
      <c r="M42" s="125">
        <f ca="1"/>
        <v>3585.8944981400005</v>
      </c>
      <c r="N42" s="125">
        <f ca="1"/>
        <v>3524.3307706050005</v>
      </c>
      <c r="O42" s="125">
        <f ca="1"/>
        <v>2104.3087260000002</v>
      </c>
      <c r="P42" s="55"/>
      <c r="Q42" s="55" cm="1">
        <f t="array" aca="1" ref="Q42:X42" ca="1">CHOOSE(db_psc_number,OFFSET(HM_ZA_Nkossa!CA_gross_rev_oil_fp,,,,8),OFFSET(HM_ZB_Nsoko!CA_gross_rev_oil_fp,,,,8),OFFSET(HM_ZD_Moho!CA_gross_rev_oil_fp,,,,8),OFFSET(KLL_II_2020!CA_gross_rev_oil_fp,,,,8),OFFSET(Marine!CA_gross_rev_oil_fp,,,,8),,)</f>
        <v>1912.1835466870002</v>
      </c>
      <c r="R42" s="55">
        <f ca="1"/>
        <v>1817.7761666039996</v>
      </c>
      <c r="S42" s="55">
        <f ca="1"/>
        <v>735.04705144999991</v>
      </c>
      <c r="T42" s="55">
        <f ca="1"/>
        <v>631.67255446199999</v>
      </c>
      <c r="U42" s="55">
        <f ca="1"/>
        <v>1772.3638558490004</v>
      </c>
      <c r="V42" s="55">
        <f ca="1"/>
        <v>3585.8944981400005</v>
      </c>
      <c r="W42" s="55">
        <f ca="1"/>
        <v>3524.3307706050005</v>
      </c>
      <c r="X42" s="55">
        <f ca="1"/>
        <v>2104.3087260000002</v>
      </c>
      <c r="Z42" s="55">
        <f t="shared" ref="Z42:AD44" ca="1" si="59">H42-Q42</f>
        <v>0</v>
      </c>
      <c r="AA42" s="55">
        <f t="shared" ca="1" si="59"/>
        <v>0</v>
      </c>
      <c r="AB42" s="55">
        <f t="shared" ca="1" si="59"/>
        <v>0</v>
      </c>
      <c r="AC42" s="55">
        <f t="shared" ca="1" si="59"/>
        <v>0</v>
      </c>
      <c r="AD42" s="55">
        <f t="shared" ca="1" si="59"/>
        <v>0</v>
      </c>
      <c r="AE42" s="55">
        <f t="shared" ref="AE42:AE44" ca="1" si="60">M42-V42</f>
        <v>0</v>
      </c>
      <c r="AF42" s="55">
        <f t="shared" ref="AF42:AG44" ca="1" si="61">N42-W42</f>
        <v>0</v>
      </c>
      <c r="AG42" s="55">
        <f t="shared" ca="1" si="61"/>
        <v>0</v>
      </c>
      <c r="AI42" s="111">
        <f t="shared" ref="AI42" ca="1" si="62">IFERROR(Q42/H42-1,0)</f>
        <v>2.2204460492503131E-16</v>
      </c>
      <c r="AJ42" s="111">
        <f t="shared" ref="AJ42" ca="1" si="63">IFERROR(R42/I42-1,0)</f>
        <v>0</v>
      </c>
      <c r="AK42" s="111">
        <f t="shared" ref="AK42" ca="1" si="64">IFERROR(S42/J42-1,0)</f>
        <v>0</v>
      </c>
      <c r="AL42" s="111">
        <f t="shared" ref="AL42" ca="1" si="65">IFERROR(T42/K42-1,0)</f>
        <v>0</v>
      </c>
      <c r="AM42" s="111">
        <f t="shared" ref="AM42" ca="1" si="66">IFERROR(U42/L42-1,0)</f>
        <v>2.2204460492503131E-16</v>
      </c>
      <c r="AN42" s="111">
        <f t="shared" ref="AN42" ca="1" si="67">IFERROR(V42/M42-1,0)</f>
        <v>0</v>
      </c>
      <c r="AO42" s="111">
        <f t="shared" ref="AO42:AP42" ca="1" si="68">IFERROR(W42/N42-1,0)</f>
        <v>0</v>
      </c>
      <c r="AP42" s="111">
        <f t="shared" ca="1" si="68"/>
        <v>0</v>
      </c>
    </row>
    <row r="43" spans="4:42" outlineLevel="1" x14ac:dyDescent="0.2">
      <c r="D43" s="95" t="str">
        <f>CHOOSE(db_ML_selected,'Liste Traduction'!B25,'Liste Traduction'!C25)</f>
        <v>Revenus gaz</v>
      </c>
      <c r="F43" s="98" t="s">
        <v>148</v>
      </c>
      <c r="H43" s="55" cm="1">
        <f t="array" aca="1" ref="H43:O43" ca="1">OFFSET(RA_rev_gas,,,,8)</f>
        <v>0</v>
      </c>
      <c r="I43" s="55">
        <f ca="1"/>
        <v>0</v>
      </c>
      <c r="J43" s="55">
        <f ca="1"/>
        <v>0</v>
      </c>
      <c r="K43" s="55">
        <f ca="1"/>
        <v>0</v>
      </c>
      <c r="L43" s="55">
        <f ca="1"/>
        <v>0</v>
      </c>
      <c r="M43" s="55">
        <f ca="1"/>
        <v>0</v>
      </c>
      <c r="N43" s="55">
        <f ca="1"/>
        <v>0</v>
      </c>
      <c r="O43" s="55">
        <f ca="1"/>
        <v>0</v>
      </c>
      <c r="P43" s="55"/>
      <c r="Q43" s="55" cm="1">
        <f t="array" aca="1" ref="Q43:X43" ca="1">CHOOSE(db_psc_number,OFFSET(HM_ZA_Nkossa!CA_gross_rev_gas_fp,,,,8),OFFSET(HM_ZB_Nsoko!CA_gross_rev_gas_fp,,,,8),OFFSET(HM_ZD_Moho!CA_gross_rev_gas_fp,,,,8),OFFSET(KLL_II_2020!CA_gross_rev_gas_fp,,,,8),OFFSET(Marine!CA_gross_rev_gas_fp,,,,8)+OFFSET([0]!CA_gross_rev_domestic_gas_fp,,,,8),,)</f>
        <v>0</v>
      </c>
      <c r="R43" s="55">
        <f ca="1"/>
        <v>0</v>
      </c>
      <c r="S43" s="55">
        <f ca="1"/>
        <v>0</v>
      </c>
      <c r="T43" s="55">
        <f ca="1"/>
        <v>0</v>
      </c>
      <c r="U43" s="55">
        <f ca="1"/>
        <v>0</v>
      </c>
      <c r="V43" s="55">
        <f ca="1"/>
        <v>0</v>
      </c>
      <c r="W43" s="55">
        <f ca="1"/>
        <v>0</v>
      </c>
      <c r="X43" s="55">
        <f ca="1"/>
        <v>0</v>
      </c>
      <c r="Z43" s="55">
        <f t="shared" ca="1" si="59"/>
        <v>0</v>
      </c>
      <c r="AA43" s="55">
        <f t="shared" ca="1" si="59"/>
        <v>0</v>
      </c>
      <c r="AB43" s="55">
        <f t="shared" ca="1" si="59"/>
        <v>0</v>
      </c>
      <c r="AC43" s="55">
        <f t="shared" ca="1" si="59"/>
        <v>0</v>
      </c>
      <c r="AD43" s="55">
        <f t="shared" ca="1" si="59"/>
        <v>0</v>
      </c>
      <c r="AE43" s="55">
        <f t="shared" ca="1" si="60"/>
        <v>0</v>
      </c>
      <c r="AF43" s="55">
        <f t="shared" ca="1" si="61"/>
        <v>0</v>
      </c>
      <c r="AG43" s="55">
        <f t="shared" ca="1" si="61"/>
        <v>0</v>
      </c>
      <c r="AI43" s="111">
        <f t="shared" ref="AI43" ca="1" si="69">IFERROR(Q43/H43-1,0)</f>
        <v>0</v>
      </c>
      <c r="AJ43" s="111">
        <f t="shared" ref="AJ43" ca="1" si="70">IFERROR(R43/I43-1,0)</f>
        <v>0</v>
      </c>
      <c r="AK43" s="111">
        <f t="shared" ref="AK43" ca="1" si="71">IFERROR(S43/J43-1,0)</f>
        <v>0</v>
      </c>
      <c r="AL43" s="111">
        <f t="shared" ref="AL43" ca="1" si="72">IFERROR(T43/K43-1,0)</f>
        <v>0</v>
      </c>
      <c r="AM43" s="111">
        <f t="shared" ref="AM43" ca="1" si="73">IFERROR(U43/L43-1,0)</f>
        <v>0</v>
      </c>
      <c r="AN43" s="111">
        <f t="shared" ref="AN43" ca="1" si="74">IFERROR(V43/M43-1,0)</f>
        <v>0</v>
      </c>
      <c r="AO43" s="111">
        <f t="shared" ref="AO43:AP43" ca="1" si="75">IFERROR(W43/N43-1,0)</f>
        <v>0</v>
      </c>
      <c r="AP43" s="111">
        <f t="shared" ca="1" si="75"/>
        <v>0</v>
      </c>
    </row>
    <row r="44" spans="4:42" outlineLevel="1" x14ac:dyDescent="0.2">
      <c r="D44" s="100" t="str">
        <f>CHOOSE(db_ML_selected,'Liste Traduction'!B26,'Liste Traduction'!C26)</f>
        <v>Total revenus</v>
      </c>
      <c r="E44" s="11"/>
      <c r="F44" s="102" t="s">
        <v>148</v>
      </c>
      <c r="G44" s="102"/>
      <c r="H44" s="103">
        <f ca="1">SUM(H42:H43)</f>
        <v>1912.183546687</v>
      </c>
      <c r="I44" s="103">
        <f t="shared" ref="I44:N44" ca="1" si="76">SUM(I42:I43)</f>
        <v>1817.7761666039996</v>
      </c>
      <c r="J44" s="103">
        <f t="shared" ca="1" si="76"/>
        <v>735.04705144999991</v>
      </c>
      <c r="K44" s="103">
        <f t="shared" ca="1" si="76"/>
        <v>631.67255446199999</v>
      </c>
      <c r="L44" s="103">
        <f t="shared" ca="1" si="76"/>
        <v>1772.3638558490002</v>
      </c>
      <c r="M44" s="103">
        <f t="shared" ca="1" si="76"/>
        <v>3585.8944981400005</v>
      </c>
      <c r="N44" s="103">
        <f t="shared" ca="1" si="76"/>
        <v>3524.3307706050005</v>
      </c>
      <c r="O44" s="103">
        <f t="shared" ref="O44" ca="1" si="77">SUM(O42:O43)</f>
        <v>2104.3087260000002</v>
      </c>
      <c r="P44" s="103"/>
      <c r="Q44" s="103">
        <f ca="1">SUM(Q42:Q43)</f>
        <v>1912.1835466870002</v>
      </c>
      <c r="R44" s="103">
        <f t="shared" ref="R44" ca="1" si="78">SUM(R42:R43)</f>
        <v>1817.7761666039996</v>
      </c>
      <c r="S44" s="103">
        <f t="shared" ref="S44" ca="1" si="79">SUM(S42:S43)</f>
        <v>735.04705144999991</v>
      </c>
      <c r="T44" s="103">
        <f t="shared" ref="T44" ca="1" si="80">SUM(T42:T43)</f>
        <v>631.67255446199999</v>
      </c>
      <c r="U44" s="103">
        <f t="shared" ref="U44" ca="1" si="81">SUM(U42:U43)</f>
        <v>1772.3638558490004</v>
      </c>
      <c r="V44" s="103">
        <f t="shared" ref="V44" ca="1" si="82">SUM(V42:V43)</f>
        <v>3585.8944981400005</v>
      </c>
      <c r="W44" s="103">
        <f t="shared" ref="W44:X44" ca="1" si="83">SUM(W42:W43)</f>
        <v>3524.3307706050005</v>
      </c>
      <c r="X44" s="103">
        <f t="shared" ca="1" si="83"/>
        <v>2104.3087260000002</v>
      </c>
      <c r="Y44" s="11"/>
      <c r="Z44" s="103">
        <f t="shared" ca="1" si="59"/>
        <v>0</v>
      </c>
      <c r="AA44" s="103">
        <f t="shared" ca="1" si="59"/>
        <v>0</v>
      </c>
      <c r="AB44" s="103">
        <f t="shared" ca="1" si="59"/>
        <v>0</v>
      </c>
      <c r="AC44" s="103">
        <f t="shared" ca="1" si="59"/>
        <v>0</v>
      </c>
      <c r="AD44" s="103">
        <f t="shared" ca="1" si="59"/>
        <v>0</v>
      </c>
      <c r="AE44" s="103">
        <f t="shared" ca="1" si="60"/>
        <v>0</v>
      </c>
      <c r="AF44" s="103">
        <f t="shared" ca="1" si="61"/>
        <v>0</v>
      </c>
      <c r="AG44" s="103">
        <f t="shared" ca="1" si="61"/>
        <v>0</v>
      </c>
      <c r="AI44" s="128">
        <f t="shared" ref="AI44" ca="1" si="84">IFERROR(Q44/H44-1,0)</f>
        <v>2.2204460492503131E-16</v>
      </c>
      <c r="AJ44" s="128">
        <f t="shared" ref="AJ44" ca="1" si="85">IFERROR(R44/I44-1,0)</f>
        <v>0</v>
      </c>
      <c r="AK44" s="128">
        <f t="shared" ref="AK44" ca="1" si="86">IFERROR(S44/J44-1,0)</f>
        <v>0</v>
      </c>
      <c r="AL44" s="128">
        <f t="shared" ref="AL44" ca="1" si="87">IFERROR(T44/K44-1,0)</f>
        <v>0</v>
      </c>
      <c r="AM44" s="128">
        <f t="shared" ref="AM44" ca="1" si="88">IFERROR(U44/L44-1,0)</f>
        <v>2.2204460492503131E-16</v>
      </c>
      <c r="AN44" s="128">
        <f t="shared" ref="AN44" ca="1" si="89">IFERROR(V44/M44-1,0)</f>
        <v>0</v>
      </c>
      <c r="AO44" s="128">
        <f t="shared" ref="AO44:AP44" ca="1" si="90">IFERROR(W44/N44-1,0)</f>
        <v>0</v>
      </c>
      <c r="AP44" s="128">
        <f t="shared" ca="1" si="90"/>
        <v>0</v>
      </c>
    </row>
    <row r="45" spans="4:42" outlineLevel="1" x14ac:dyDescent="0.2">
      <c r="H45" s="55"/>
      <c r="I45" s="55"/>
      <c r="J45" s="55"/>
      <c r="K45" s="55"/>
      <c r="L45" s="104"/>
      <c r="M45" s="104"/>
      <c r="N45" s="104"/>
      <c r="O45" s="104"/>
      <c r="P45" s="55"/>
      <c r="Q45" s="55"/>
      <c r="R45" s="55"/>
      <c r="S45" s="55"/>
      <c r="T45" s="55"/>
      <c r="U45" s="55"/>
      <c r="V45" s="55"/>
      <c r="W45" s="55"/>
      <c r="X45" s="55"/>
    </row>
    <row r="46" spans="4:42" outlineLevel="1" x14ac:dyDescent="0.2">
      <c r="D46" s="51" t="str">
        <f>CHOOSE(db_ML_selected,'Liste Traduction'!B27,'Liste Traduction'!C27)</f>
        <v>Coûts</v>
      </c>
      <c r="H46" s="55"/>
      <c r="I46" s="55"/>
      <c r="J46" s="55"/>
      <c r="K46" s="55"/>
      <c r="L46" s="104"/>
      <c r="M46" s="104"/>
      <c r="N46" s="104"/>
      <c r="O46" s="104"/>
      <c r="P46" s="55"/>
      <c r="Q46" s="55"/>
      <c r="R46" s="55"/>
      <c r="S46" s="55"/>
      <c r="T46" s="55"/>
      <c r="U46" s="55"/>
      <c r="V46" s="55"/>
      <c r="W46" s="55"/>
      <c r="X46" s="55"/>
    </row>
    <row r="47" spans="4:42" outlineLevel="1" x14ac:dyDescent="0.2">
      <c r="D47" s="95" t="str">
        <f>CHOOSE(db_ML_selected,'Liste Traduction'!B28,'Liste Traduction'!C28)</f>
        <v>Exploitation et autres</v>
      </c>
      <c r="F47" s="98" t="s">
        <v>148</v>
      </c>
      <c r="H47" s="124" cm="1">
        <f t="array" aca="1" ref="H47:O47" ca="1">OFFSET(IA_fixedopex_real,,,,8)+OFFSET(IA_varopex_real,,,,8)+OFFSET(IA_othercosts_real,,,,8)</f>
        <v>172.67099999999999</v>
      </c>
      <c r="I47" s="124">
        <f ca="1"/>
        <v>220.01900000000001</v>
      </c>
      <c r="J47" s="124">
        <f ca="1"/>
        <v>282.71699999999998</v>
      </c>
      <c r="K47" s="124">
        <f ca="1"/>
        <v>470.46699999999998</v>
      </c>
      <c r="L47" s="124">
        <f ca="1"/>
        <v>868.58600000000001</v>
      </c>
      <c r="M47" s="124">
        <f ca="1"/>
        <v>248.2</v>
      </c>
      <c r="N47" s="124">
        <f ca="1"/>
        <v>281.8</v>
      </c>
      <c r="O47" s="124">
        <f ca="1"/>
        <v>286.3</v>
      </c>
      <c r="P47" s="55"/>
      <c r="Q47" s="55" cm="1">
        <f t="array" aca="1" ref="Q47:X47" ca="1">CHOOSE(db_psc_number,OFFSET(HM_ZA_Nkossa!CA_opex_total_nom,,,,8),OFFSET(HM_ZB_Nsoko!CA_opex_total_nom,,,,8),OFFSET(HM_ZD_Moho!CA_opex_total_nom,,,,8),OFFSET(KLL_II_2020!CA_opex_total_nom,,,,8),OFFSET(Marine!CA_opex_total_nom,,,,8),,)</f>
        <v>172.67099999999999</v>
      </c>
      <c r="R47" s="55">
        <f ca="1"/>
        <v>220.01900000000001</v>
      </c>
      <c r="S47" s="55">
        <f ca="1"/>
        <v>282.71699999999998</v>
      </c>
      <c r="T47" s="55">
        <f ca="1"/>
        <v>470.46699999999998</v>
      </c>
      <c r="U47" s="55">
        <f ca="1"/>
        <v>868.58600000000001</v>
      </c>
      <c r="V47" s="55">
        <f ca="1"/>
        <v>248.2</v>
      </c>
      <c r="W47" s="55">
        <f ca="1"/>
        <v>281.8</v>
      </c>
      <c r="X47" s="55">
        <f ca="1"/>
        <v>286.3</v>
      </c>
      <c r="Z47" s="55">
        <f t="shared" ref="Z47:Z50" ca="1" si="91">H47-Q47</f>
        <v>0</v>
      </c>
      <c r="AA47" s="55">
        <f t="shared" ref="AA47:AA50" ca="1" si="92">I47-R47</f>
        <v>0</v>
      </c>
      <c r="AB47" s="55">
        <f t="shared" ref="AB47:AB50" ca="1" si="93">J47-S47</f>
        <v>0</v>
      </c>
      <c r="AC47" s="55">
        <f t="shared" ref="AC47:AC50" ca="1" si="94">K47-T47</f>
        <v>0</v>
      </c>
      <c r="AD47" s="55">
        <f t="shared" ref="AD47:AD50" ca="1" si="95">L47-U47</f>
        <v>0</v>
      </c>
      <c r="AE47" s="55">
        <f t="shared" ref="AE47:AE50" ca="1" si="96">M47-V47</f>
        <v>0</v>
      </c>
      <c r="AF47" s="55">
        <f t="shared" ref="AF47:AG50" ca="1" si="97">N47-W47</f>
        <v>0</v>
      </c>
      <c r="AG47" s="55">
        <f t="shared" ca="1" si="97"/>
        <v>0</v>
      </c>
      <c r="AI47" s="111">
        <f t="shared" ref="AI47:AI51" ca="1" si="98">IFERROR(Q47/H47-1,0)</f>
        <v>0</v>
      </c>
      <c r="AJ47" s="111">
        <f t="shared" ref="AJ47:AJ51" ca="1" si="99">IFERROR(R47/I47-1,0)</f>
        <v>0</v>
      </c>
      <c r="AK47" s="111">
        <f t="shared" ref="AK47:AK51" ca="1" si="100">IFERROR(S47/J47-1,0)</f>
        <v>0</v>
      </c>
      <c r="AL47" s="111">
        <f t="shared" ref="AL47:AL51" ca="1" si="101">IFERROR(T47/K47-1,0)</f>
        <v>0</v>
      </c>
      <c r="AM47" s="111">
        <f t="shared" ref="AM47:AM51" ca="1" si="102">IFERROR(U47/L47-1,0)</f>
        <v>0</v>
      </c>
      <c r="AN47" s="111">
        <f t="shared" ref="AN47:AN51" ca="1" si="103">IFERROR(V47/M47-1,0)</f>
        <v>0</v>
      </c>
      <c r="AO47" s="111">
        <f t="shared" ref="AO47:AP51" ca="1" si="104">IFERROR(W47/N47-1,0)</f>
        <v>0</v>
      </c>
      <c r="AP47" s="111">
        <f t="shared" ca="1" si="104"/>
        <v>0</v>
      </c>
    </row>
    <row r="48" spans="4:42" outlineLevel="1" x14ac:dyDescent="0.2">
      <c r="D48" s="95" t="str">
        <f>CHOOSE(db_ML_selected,'Liste Traduction'!B29,'Liste Traduction'!C29)</f>
        <v>Exploration et évaluation</v>
      </c>
      <c r="F48" s="98" t="s">
        <v>148</v>
      </c>
      <c r="H48" s="124" cm="1">
        <f t="array" aca="1" ref="H48:O48" ca="1">OFFSET(IA_EandA_real,,,,8)</f>
        <v>0</v>
      </c>
      <c r="I48" s="124">
        <f ca="1"/>
        <v>0</v>
      </c>
      <c r="J48" s="124">
        <f ca="1"/>
        <v>0</v>
      </c>
      <c r="K48" s="124">
        <f ca="1"/>
        <v>0</v>
      </c>
      <c r="L48" s="124">
        <f ca="1"/>
        <v>0</v>
      </c>
      <c r="M48" s="124">
        <f ca="1"/>
        <v>0</v>
      </c>
      <c r="N48" s="124">
        <f ca="1"/>
        <v>0</v>
      </c>
      <c r="O48" s="124">
        <f ca="1"/>
        <v>0</v>
      </c>
      <c r="P48" s="55"/>
      <c r="Q48" s="55" cm="1">
        <f t="array" aca="1" ref="Q48:X48" ca="1">CHOOSE(db_psc_number,OFFSET(HM_ZA_Nkossa!CA_expex_nom,,,,8),OFFSET(HM_ZB_Nsoko!CA_expex_nom,,,,8),OFFSET(HM_ZD_Moho!CA_expex_nom,,,,8),OFFSET(KLL_II_2020!CA_expex_nom,,,,8),OFFSET(Marine!CA_expex_nom,,,,8),,)</f>
        <v>0</v>
      </c>
      <c r="R48" s="55">
        <f ca="1"/>
        <v>0</v>
      </c>
      <c r="S48" s="55">
        <f ca="1"/>
        <v>0</v>
      </c>
      <c r="T48" s="55">
        <f ca="1"/>
        <v>0</v>
      </c>
      <c r="U48" s="55">
        <f ca="1"/>
        <v>0</v>
      </c>
      <c r="V48" s="55">
        <f ca="1"/>
        <v>0</v>
      </c>
      <c r="W48" s="55">
        <f ca="1"/>
        <v>0</v>
      </c>
      <c r="X48" s="55">
        <f ca="1"/>
        <v>0</v>
      </c>
      <c r="Z48" s="55">
        <f t="shared" ca="1" si="91"/>
        <v>0</v>
      </c>
      <c r="AA48" s="55">
        <f t="shared" ca="1" si="92"/>
        <v>0</v>
      </c>
      <c r="AB48" s="55">
        <f t="shared" ca="1" si="93"/>
        <v>0</v>
      </c>
      <c r="AC48" s="55">
        <f t="shared" ca="1" si="94"/>
        <v>0</v>
      </c>
      <c r="AD48" s="55">
        <f t="shared" ca="1" si="95"/>
        <v>0</v>
      </c>
      <c r="AE48" s="55">
        <f t="shared" ca="1" si="96"/>
        <v>0</v>
      </c>
      <c r="AF48" s="55">
        <f t="shared" ca="1" si="97"/>
        <v>0</v>
      </c>
      <c r="AG48" s="55">
        <f t="shared" ca="1" si="97"/>
        <v>0</v>
      </c>
      <c r="AI48" s="111">
        <f t="shared" ca="1" si="98"/>
        <v>0</v>
      </c>
      <c r="AJ48" s="111">
        <f t="shared" ca="1" si="99"/>
        <v>0</v>
      </c>
      <c r="AK48" s="111">
        <f t="shared" ca="1" si="100"/>
        <v>0</v>
      </c>
      <c r="AL48" s="111">
        <f t="shared" ca="1" si="101"/>
        <v>0</v>
      </c>
      <c r="AM48" s="111">
        <f t="shared" ca="1" si="102"/>
        <v>0</v>
      </c>
      <c r="AN48" s="111">
        <f t="shared" ca="1" si="103"/>
        <v>0</v>
      </c>
      <c r="AO48" s="111">
        <f t="shared" ca="1" si="104"/>
        <v>0</v>
      </c>
      <c r="AP48" s="111">
        <f t="shared" ca="1" si="104"/>
        <v>0</v>
      </c>
    </row>
    <row r="49" spans="1:104" outlineLevel="1" x14ac:dyDescent="0.2">
      <c r="D49" s="95" t="str">
        <f>CHOOSE(db_ML_selected,'Liste Traduction'!B30,'Liste Traduction'!C30)</f>
        <v>Développement</v>
      </c>
      <c r="F49" s="98" t="s">
        <v>148</v>
      </c>
      <c r="H49" s="124" cm="1">
        <f t="array" aca="1" ref="H49:O49" ca="1">OFFSET(IA_devcapex_real,,,,8)</f>
        <v>1286.7819999999999</v>
      </c>
      <c r="I49" s="124">
        <f ca="1"/>
        <v>2118.212</v>
      </c>
      <c r="J49" s="124">
        <f ca="1"/>
        <v>3130.5740000000001</v>
      </c>
      <c r="K49" s="124">
        <f ca="1"/>
        <v>2571.201</v>
      </c>
      <c r="L49" s="124">
        <f ca="1"/>
        <v>1153.232</v>
      </c>
      <c r="M49" s="124">
        <f ca="1"/>
        <v>653.59</v>
      </c>
      <c r="N49" s="124">
        <f ca="1"/>
        <v>0</v>
      </c>
      <c r="O49" s="124">
        <f ca="1"/>
        <v>0</v>
      </c>
      <c r="P49" s="55"/>
      <c r="Q49" s="55" cm="1">
        <f t="array" aca="1" ref="Q49:X49" ca="1">CHOOSE(db_psc_number,OFFSET(HM_ZA_Nkossa!CA_devex_nom,,,,8),OFFSET(HM_ZB_Nsoko!CA_devex_nom,,,,8),OFFSET(HM_ZD_Moho!CA_devex_nom,,,,8),OFFSET(KLL_II_2020!CA_devex_nom,,,,8),OFFSET(Marine!CA_devex_nom,,,,8),,)</f>
        <v>1286.7819999999999</v>
      </c>
      <c r="R49" s="55">
        <f ca="1"/>
        <v>2118.212</v>
      </c>
      <c r="S49" s="55">
        <f ca="1"/>
        <v>3130.5740000000001</v>
      </c>
      <c r="T49" s="55">
        <f ca="1"/>
        <v>2571.201</v>
      </c>
      <c r="U49" s="55">
        <f ca="1"/>
        <v>1153.232</v>
      </c>
      <c r="V49" s="55">
        <f ca="1"/>
        <v>653.59</v>
      </c>
      <c r="W49" s="55">
        <f ca="1"/>
        <v>0</v>
      </c>
      <c r="X49" s="55">
        <f ca="1"/>
        <v>0</v>
      </c>
      <c r="Z49" s="55">
        <f t="shared" ca="1" si="91"/>
        <v>0</v>
      </c>
      <c r="AA49" s="55">
        <f t="shared" ca="1" si="92"/>
        <v>0</v>
      </c>
      <c r="AB49" s="55">
        <f t="shared" ca="1" si="93"/>
        <v>0</v>
      </c>
      <c r="AC49" s="55">
        <f t="shared" ca="1" si="94"/>
        <v>0</v>
      </c>
      <c r="AD49" s="55">
        <f t="shared" ca="1" si="95"/>
        <v>0</v>
      </c>
      <c r="AE49" s="55">
        <f t="shared" ca="1" si="96"/>
        <v>0</v>
      </c>
      <c r="AF49" s="55">
        <f t="shared" ca="1" si="97"/>
        <v>0</v>
      </c>
      <c r="AG49" s="55">
        <f t="shared" ca="1" si="97"/>
        <v>0</v>
      </c>
      <c r="AI49" s="111">
        <f t="shared" ca="1" si="98"/>
        <v>0</v>
      </c>
      <c r="AJ49" s="111">
        <f t="shared" ca="1" si="99"/>
        <v>0</v>
      </c>
      <c r="AK49" s="111">
        <f t="shared" ca="1" si="100"/>
        <v>0</v>
      </c>
      <c r="AL49" s="111">
        <f t="shared" ca="1" si="101"/>
        <v>0</v>
      </c>
      <c r="AM49" s="111">
        <f t="shared" ca="1" si="102"/>
        <v>0</v>
      </c>
      <c r="AN49" s="111">
        <f t="shared" ca="1" si="103"/>
        <v>0</v>
      </c>
      <c r="AO49" s="111">
        <f t="shared" ca="1" si="104"/>
        <v>0</v>
      </c>
      <c r="AP49" s="111">
        <f t="shared" ca="1" si="104"/>
        <v>0</v>
      </c>
    </row>
    <row r="50" spans="1:104" outlineLevel="1" x14ac:dyDescent="0.2">
      <c r="D50" s="95" t="str">
        <f>CHOOSE(db_ML_selected,'Liste Traduction'!B31,'Liste Traduction'!C31)</f>
        <v>Abandon</v>
      </c>
      <c r="F50" s="98" t="s">
        <v>148</v>
      </c>
      <c r="H50" s="124" cm="1">
        <f t="array" aca="1" ref="H50:O50" ca="1">OFFSET(IA_decom_real,,,,8)</f>
        <v>0</v>
      </c>
      <c r="I50" s="124">
        <f ca="1"/>
        <v>0</v>
      </c>
      <c r="J50" s="124">
        <f ca="1"/>
        <v>0</v>
      </c>
      <c r="K50" s="124">
        <f ca="1"/>
        <v>0</v>
      </c>
      <c r="L50" s="124">
        <f ca="1"/>
        <v>0</v>
      </c>
      <c r="M50" s="124">
        <f ca="1"/>
        <v>0</v>
      </c>
      <c r="N50" s="124">
        <f ca="1"/>
        <v>0</v>
      </c>
      <c r="O50" s="124">
        <f ca="1"/>
        <v>0</v>
      </c>
      <c r="P50" s="55"/>
      <c r="Q50" s="55" cm="1">
        <f t="array" aca="1" ref="Q50:X50" ca="1">CHOOSE(db_psc_number,OFFSET(HM_ZA_Nkossa!CA_decom_nom,,,,8),OFFSET(HM_ZB_Nsoko!CA_decom_nom,,,,8),OFFSET(HM_ZD_Moho!CA_decom_nom,,,,8),OFFSET(KLL_II_2020!CA_decom_nom,,,,8),OFFSET(Marine!CA_decom_nom,,,,8),,)</f>
        <v>0</v>
      </c>
      <c r="R50" s="55">
        <f ca="1"/>
        <v>0</v>
      </c>
      <c r="S50" s="55">
        <f ca="1"/>
        <v>0</v>
      </c>
      <c r="T50" s="55">
        <f ca="1"/>
        <v>0</v>
      </c>
      <c r="U50" s="55">
        <f ca="1"/>
        <v>0</v>
      </c>
      <c r="V50" s="55">
        <f ca="1"/>
        <v>0</v>
      </c>
      <c r="W50" s="55">
        <f ca="1"/>
        <v>0</v>
      </c>
      <c r="X50" s="55">
        <f ca="1"/>
        <v>0</v>
      </c>
      <c r="Z50" s="55">
        <f t="shared" ca="1" si="91"/>
        <v>0</v>
      </c>
      <c r="AA50" s="55">
        <f t="shared" ca="1" si="92"/>
        <v>0</v>
      </c>
      <c r="AB50" s="55">
        <f t="shared" ca="1" si="93"/>
        <v>0</v>
      </c>
      <c r="AC50" s="55">
        <f t="shared" ca="1" si="94"/>
        <v>0</v>
      </c>
      <c r="AD50" s="55">
        <f t="shared" ca="1" si="95"/>
        <v>0</v>
      </c>
      <c r="AE50" s="55">
        <f t="shared" ca="1" si="96"/>
        <v>0</v>
      </c>
      <c r="AF50" s="55">
        <f t="shared" ca="1" si="97"/>
        <v>0</v>
      </c>
      <c r="AG50" s="55">
        <f t="shared" ca="1" si="97"/>
        <v>0</v>
      </c>
      <c r="AI50" s="111">
        <f t="shared" ca="1" si="98"/>
        <v>0</v>
      </c>
      <c r="AJ50" s="111">
        <f t="shared" ca="1" si="99"/>
        <v>0</v>
      </c>
      <c r="AK50" s="111">
        <f t="shared" ca="1" si="100"/>
        <v>0</v>
      </c>
      <c r="AL50" s="111">
        <f t="shared" ca="1" si="101"/>
        <v>0</v>
      </c>
      <c r="AM50" s="111">
        <f t="shared" ca="1" si="102"/>
        <v>0</v>
      </c>
      <c r="AN50" s="111">
        <f t="shared" ca="1" si="103"/>
        <v>0</v>
      </c>
      <c r="AO50" s="111">
        <f t="shared" ca="1" si="104"/>
        <v>0</v>
      </c>
      <c r="AP50" s="111">
        <f t="shared" ca="1" si="104"/>
        <v>0</v>
      </c>
    </row>
    <row r="51" spans="1:104" outlineLevel="1" x14ac:dyDescent="0.2">
      <c r="D51" s="100" t="str">
        <f>CHOOSE(db_ML_selected,'Liste Traduction'!B32,'Liste Traduction'!C32)</f>
        <v>Total des coûts</v>
      </c>
      <c r="E51" s="11"/>
      <c r="F51" s="102" t="s">
        <v>148</v>
      </c>
      <c r="G51" s="102"/>
      <c r="H51" s="103">
        <f ca="1">SUM(H47:H50)</f>
        <v>1459.453</v>
      </c>
      <c r="I51" s="103">
        <f t="shared" ref="I51:N51" ca="1" si="105">SUM(I47:I50)</f>
        <v>2338.2309999999998</v>
      </c>
      <c r="J51" s="103">
        <f t="shared" ca="1" si="105"/>
        <v>3413.2910000000002</v>
      </c>
      <c r="K51" s="103">
        <f t="shared" ca="1" si="105"/>
        <v>3041.6680000000001</v>
      </c>
      <c r="L51" s="103">
        <f t="shared" ca="1" si="105"/>
        <v>2021.818</v>
      </c>
      <c r="M51" s="103">
        <f t="shared" ca="1" si="105"/>
        <v>901.79</v>
      </c>
      <c r="N51" s="103">
        <f t="shared" ca="1" si="105"/>
        <v>281.8</v>
      </c>
      <c r="O51" s="103">
        <f t="shared" ref="O51" ca="1" si="106">SUM(O47:O50)</f>
        <v>286.3</v>
      </c>
      <c r="P51" s="103"/>
      <c r="Q51" s="103">
        <f ca="1">SUM(Q47:Q50)</f>
        <v>1459.453</v>
      </c>
      <c r="R51" s="103">
        <f t="shared" ref="R51:W51" ca="1" si="107">SUM(R47:R50)</f>
        <v>2338.2309999999998</v>
      </c>
      <c r="S51" s="103">
        <f t="shared" ca="1" si="107"/>
        <v>3413.2910000000002</v>
      </c>
      <c r="T51" s="103">
        <f t="shared" ca="1" si="107"/>
        <v>3041.6680000000001</v>
      </c>
      <c r="U51" s="103">
        <f t="shared" ca="1" si="107"/>
        <v>2021.818</v>
      </c>
      <c r="V51" s="103">
        <f t="shared" ca="1" si="107"/>
        <v>901.79</v>
      </c>
      <c r="W51" s="103">
        <f t="shared" ca="1" si="107"/>
        <v>281.8</v>
      </c>
      <c r="X51" s="103">
        <f t="shared" ref="X51" ca="1" si="108">SUM(X47:X50)</f>
        <v>286.3</v>
      </c>
      <c r="Y51" s="11"/>
      <c r="Z51" s="103">
        <f ca="1">H51-Q51</f>
        <v>0</v>
      </c>
      <c r="AA51" s="103">
        <f ca="1">I51-R51</f>
        <v>0</v>
      </c>
      <c r="AB51" s="103">
        <f ca="1">J51-S51</f>
        <v>0</v>
      </c>
      <c r="AC51" s="103">
        <f ca="1">K51-T51</f>
        <v>0</v>
      </c>
      <c r="AD51" s="103">
        <f ca="1">L51-U51</f>
        <v>0</v>
      </c>
      <c r="AE51" s="103">
        <f t="shared" ref="AE51" ca="1" si="109">M51-V51</f>
        <v>0</v>
      </c>
      <c r="AF51" s="103">
        <f t="shared" ref="AF51:AG51" ca="1" si="110">N51-W51</f>
        <v>0</v>
      </c>
      <c r="AG51" s="103">
        <f t="shared" ca="1" si="110"/>
        <v>0</v>
      </c>
      <c r="AI51" s="128">
        <f t="shared" ca="1" si="98"/>
        <v>0</v>
      </c>
      <c r="AJ51" s="128">
        <f t="shared" ca="1" si="99"/>
        <v>0</v>
      </c>
      <c r="AK51" s="128">
        <f t="shared" ca="1" si="100"/>
        <v>0</v>
      </c>
      <c r="AL51" s="128">
        <f t="shared" ca="1" si="101"/>
        <v>0</v>
      </c>
      <c r="AM51" s="128">
        <f t="shared" ca="1" si="102"/>
        <v>0</v>
      </c>
      <c r="AN51" s="128">
        <f t="shared" ca="1" si="103"/>
        <v>0</v>
      </c>
      <c r="AO51" s="128">
        <f t="shared" ca="1" si="104"/>
        <v>0</v>
      </c>
      <c r="AP51" s="128">
        <f t="shared" ca="1" si="104"/>
        <v>0</v>
      </c>
    </row>
    <row r="52" spans="1:104" outlineLevel="1" x14ac:dyDescent="0.2"/>
    <row r="53" spans="1:104" outlineLevel="1" x14ac:dyDescent="0.2">
      <c r="D53" s="100" t="str">
        <f>CHOOSE(db_ML_selected,'Liste Traduction'!B33,'Liste Traduction'!C33)</f>
        <v>Revenu divisible</v>
      </c>
      <c r="F53" s="102" t="s">
        <v>148</v>
      </c>
      <c r="G53" s="102"/>
      <c r="H53" s="126">
        <f ca="1">H44-H51</f>
        <v>452.73054668700001</v>
      </c>
      <c r="I53" s="126">
        <f t="shared" ref="I53:N53" ca="1" si="111">I44-I51</f>
        <v>-520.45483339600014</v>
      </c>
      <c r="J53" s="126">
        <f t="shared" ca="1" si="111"/>
        <v>-2678.2439485500004</v>
      </c>
      <c r="K53" s="126">
        <f t="shared" ca="1" si="111"/>
        <v>-2409.9954455380002</v>
      </c>
      <c r="L53" s="126">
        <f t="shared" ca="1" si="111"/>
        <v>-249.45414415099981</v>
      </c>
      <c r="M53" s="126">
        <f t="shared" ca="1" si="111"/>
        <v>2684.1044981400005</v>
      </c>
      <c r="N53" s="126">
        <f t="shared" ca="1" si="111"/>
        <v>3242.5307706050003</v>
      </c>
      <c r="O53" s="126">
        <f t="shared" ref="O53" ca="1" si="112">O44-O51</f>
        <v>1818.0087260000003</v>
      </c>
      <c r="P53" s="103"/>
      <c r="Q53" s="103" cm="1">
        <f t="array" aca="1" ref="Q53:X53" ca="1">CHOOSE(db_psc_number,OFFSET(HM_ZA_Nkossa!L425,,,,8),OFFSET(HM_ZB_Nsoko!L436,,,,8),OFFSET(HM_ZD_Moho!L450,,,,8),OFFSET(KLL_II_2020!L423,,,,8),OFFSET(Marine!L462,,,,8),,)</f>
        <v>452.73054668700024</v>
      </c>
      <c r="R53" s="103">
        <f ca="1"/>
        <v>-520.45483339600037</v>
      </c>
      <c r="S53" s="103">
        <f ca="1"/>
        <v>-2678.2439485499999</v>
      </c>
      <c r="T53" s="103">
        <f ca="1"/>
        <v>-2409.9954455380002</v>
      </c>
      <c r="U53" s="103">
        <f ca="1"/>
        <v>-249.45414415099958</v>
      </c>
      <c r="V53" s="103">
        <f ca="1"/>
        <v>2684.1044981400005</v>
      </c>
      <c r="W53" s="103">
        <f ca="1"/>
        <v>3242.5307706050003</v>
      </c>
      <c r="X53" s="103">
        <f ca="1"/>
        <v>1818.0087260000003</v>
      </c>
      <c r="Y53" s="11"/>
      <c r="Z53" s="103">
        <f ca="1">H53-Q53</f>
        <v>0</v>
      </c>
      <c r="AA53" s="103">
        <f ca="1">I53-R53</f>
        <v>0</v>
      </c>
      <c r="AB53" s="103">
        <f ca="1">J53-S53</f>
        <v>0</v>
      </c>
      <c r="AC53" s="103">
        <f ca="1">K53-T53</f>
        <v>0</v>
      </c>
      <c r="AD53" s="103">
        <f ca="1">L53-U53</f>
        <v>-2.2737367544323206E-13</v>
      </c>
      <c r="AE53" s="103">
        <f t="shared" ref="AE53" ca="1" si="113">M53-V53</f>
        <v>0</v>
      </c>
      <c r="AF53" s="103">
        <f t="shared" ref="AF53:AG53" ca="1" si="114">N53-W53</f>
        <v>0</v>
      </c>
      <c r="AG53" s="103">
        <f t="shared" ca="1" si="114"/>
        <v>0</v>
      </c>
      <c r="AI53" s="128">
        <f t="shared" ref="AI53" ca="1" si="115">IFERROR(Q53/H53-1,0)</f>
        <v>4.4408920985006262E-16</v>
      </c>
      <c r="AJ53" s="128">
        <f t="shared" ref="AJ53" ca="1" si="116">IFERROR(R53/I53-1,0)</f>
        <v>4.4408920985006262E-16</v>
      </c>
      <c r="AK53" s="128">
        <f t="shared" ref="AK53" ca="1" si="117">IFERROR(S53/J53-1,0)</f>
        <v>-2.2204460492503131E-16</v>
      </c>
      <c r="AL53" s="128">
        <f t="shared" ref="AL53" ca="1" si="118">IFERROR(T53/K53-1,0)</f>
        <v>0</v>
      </c>
      <c r="AM53" s="128">
        <f t="shared" ref="AM53" ca="1" si="119">IFERROR(U53/L53-1,0)</f>
        <v>-8.8817841970012523E-16</v>
      </c>
      <c r="AN53" s="128">
        <f t="shared" ref="AN53" ca="1" si="120">IFERROR(V53/M53-1,0)</f>
        <v>0</v>
      </c>
      <c r="AO53" s="128">
        <f t="shared" ref="AO53:AP53" ca="1" si="121">IFERROR(W53/N53-1,0)</f>
        <v>0</v>
      </c>
      <c r="AP53" s="128">
        <f t="shared" ca="1" si="121"/>
        <v>0</v>
      </c>
    </row>
    <row r="54" spans="1:104" ht="16" thickBot="1" x14ac:dyDescent="0.25"/>
    <row r="55" spans="1:104" ht="16" x14ac:dyDescent="0.2">
      <c r="D55" s="106" t="str">
        <f>CHOOSE(db_ML_selected,'Liste Traduction'!B34,'Liste Traduction'!C34)</f>
        <v>Part du Gouv.</v>
      </c>
      <c r="E55" s="107"/>
      <c r="F55" s="108"/>
      <c r="G55" s="108"/>
      <c r="H55" s="107"/>
      <c r="I55" s="107"/>
      <c r="J55" s="107"/>
      <c r="K55" s="107"/>
      <c r="L55" s="109"/>
      <c r="M55" s="109"/>
      <c r="N55" s="109"/>
      <c r="O55" s="109"/>
      <c r="Q55" s="109"/>
      <c r="R55" s="109"/>
      <c r="S55" s="109"/>
      <c r="T55" s="109"/>
      <c r="U55" s="109"/>
      <c r="V55" s="109"/>
      <c r="W55" s="109"/>
      <c r="X55" s="109"/>
      <c r="Z55" s="109"/>
      <c r="AA55" s="109"/>
      <c r="AB55" s="109"/>
      <c r="AC55" s="109"/>
      <c r="AD55" s="109"/>
      <c r="AE55" s="109"/>
      <c r="AF55" s="109"/>
      <c r="AG55" s="109"/>
      <c r="AI55" s="109"/>
      <c r="AJ55" s="109"/>
      <c r="AK55" s="109"/>
      <c r="AL55" s="109"/>
      <c r="AM55" s="109"/>
      <c r="AN55" s="109"/>
      <c r="AO55" s="109"/>
      <c r="AP55" s="109"/>
    </row>
    <row r="56" spans="1:104" outlineLevel="1" x14ac:dyDescent="0.2"/>
    <row r="57" spans="1:104" outlineLevel="1" x14ac:dyDescent="0.2">
      <c r="D57" s="110" t="str">
        <f>CHOOSE(db_ML_selected,'Liste Traduction'!B35,'Liste Traduction'!C35)</f>
        <v>Volumes de redevances</v>
      </c>
      <c r="F57" s="98" t="s">
        <v>88</v>
      </c>
      <c r="H57" s="124" cm="1">
        <f t="array" aca="1" ref="H57:O57" ca="1">OFFSET(RA_roy_gov,,,,8)</f>
        <v>2.9171046295500003</v>
      </c>
      <c r="I57" s="124">
        <f ca="1"/>
        <v>3.0273925717499997</v>
      </c>
      <c r="J57" s="124">
        <f ca="1"/>
        <v>2.294473</v>
      </c>
      <c r="K57" s="124">
        <f ca="1"/>
        <v>2.54411960865</v>
      </c>
      <c r="L57" s="124">
        <f ca="1"/>
        <v>5.2911070390499999</v>
      </c>
      <c r="M57" s="124">
        <f ca="1"/>
        <v>8.345191913699999</v>
      </c>
      <c r="N57" s="124">
        <f ca="1"/>
        <v>8.4535802854500002</v>
      </c>
      <c r="O57" s="124">
        <f ca="1"/>
        <v>7.8071999999999999</v>
      </c>
      <c r="Q57" s="55" cm="1">
        <f t="array" aca="1" ref="Q57:X57" ca="1">CHOOSE(db_psc_number,OFFSET(HM_ZA_Nkossa!L551,,,,8),OFFSET(HM_ZB_Nsoko!L562,,,,8),OFFSET(HM_ZD_Moho!L576,,,,8),OFFSET(KLL_II_2020!L549,,,,8),OFFSET(Marine!L588,,,,8),,)</f>
        <v>2.7170459999999999</v>
      </c>
      <c r="R57" s="55">
        <f ca="1"/>
        <v>2.8376788499999996</v>
      </c>
      <c r="S57" s="55">
        <f ca="1"/>
        <v>2.3050384500000001</v>
      </c>
      <c r="T57" s="55">
        <f ca="1"/>
        <v>2.33870925</v>
      </c>
      <c r="U57" s="55">
        <f ca="1"/>
        <v>4.89514125</v>
      </c>
      <c r="V57" s="55">
        <f ca="1"/>
        <v>7.858377299999999</v>
      </c>
      <c r="W57" s="55">
        <f ca="1"/>
        <v>8.1964798499999993</v>
      </c>
      <c r="X57" s="55">
        <f ca="1"/>
        <v>7.8072300000000006</v>
      </c>
      <c r="Z57" s="101">
        <f ca="1">H57-Q57</f>
        <v>0.20005862955000042</v>
      </c>
      <c r="AA57" s="101">
        <f ca="1">I57-R57</f>
        <v>0.18971372175000001</v>
      </c>
      <c r="AB57" s="101">
        <f ca="1">J57-S57</f>
        <v>-1.0565450000000087E-2</v>
      </c>
      <c r="AC57" s="101">
        <f ca="1">K57-T57</f>
        <v>0.20541035865000001</v>
      </c>
      <c r="AD57" s="101">
        <f ca="1">L57-U57</f>
        <v>0.39596578904999991</v>
      </c>
      <c r="AE57" s="101">
        <f t="shared" ref="AE57" ca="1" si="122">M57-V57</f>
        <v>0.48681461370000001</v>
      </c>
      <c r="AF57" s="101">
        <f t="shared" ref="AF57:AG57" ca="1" si="123">N57-W57</f>
        <v>0.25710043545000083</v>
      </c>
      <c r="AG57" s="101">
        <f t="shared" ca="1" si="123"/>
        <v>-3.0000000000640625E-5</v>
      </c>
      <c r="AI57" s="111">
        <f t="shared" ref="AI57:AI60" ca="1" si="124">IFERROR(Q57/H57-1,0)</f>
        <v>-6.8581232062581821E-2</v>
      </c>
      <c r="AJ57" s="111">
        <f t="shared" ref="AJ57:AJ60" ca="1" si="125">IFERROR(R57/I57-1,0)</f>
        <v>-6.2665715546872391E-2</v>
      </c>
      <c r="AK57" s="111">
        <f t="shared" ref="AK57:AK60" ca="1" si="126">IFERROR(S57/J57-1,0)</f>
        <v>4.6047393017918381E-3</v>
      </c>
      <c r="AL57" s="111">
        <f t="shared" ref="AL57:AL60" ca="1" si="127">IFERROR(T57/K57-1,0)</f>
        <v>-8.0739269471295838E-2</v>
      </c>
      <c r="AM57" s="111">
        <f t="shared" ref="AM57:AM60" ca="1" si="128">IFERROR(U57/L57-1,0)</f>
        <v>-7.4836095003871672E-2</v>
      </c>
      <c r="AN57" s="111">
        <f t="shared" ref="AN57:AN60" ca="1" si="129">IFERROR(V57/M57-1,0)</f>
        <v>-5.8334741577460214E-2</v>
      </c>
      <c r="AO57" s="111">
        <f t="shared" ref="AO57:AP60" ca="1" si="130">IFERROR(W57/N57-1,0)</f>
        <v>-3.0413200888682934E-2</v>
      </c>
      <c r="AP57" s="111">
        <f t="shared" ca="1" si="130"/>
        <v>3.8426068245112077E-6</v>
      </c>
    </row>
    <row r="58" spans="1:104" outlineLevel="1" x14ac:dyDescent="0.2">
      <c r="D58" s="110" t="str">
        <f>CHOOSE(db_ML_selected,'Liste Traduction'!B36,'Liste Traduction'!C36)</f>
        <v>Volume Excess Cost Oil</v>
      </c>
      <c r="F58" s="98" t="s">
        <v>88</v>
      </c>
      <c r="H58" s="124" cm="1">
        <f t="array" aca="1" ref="H58:O58" ca="1">OFFSET(RA_ECR_gov,,,,8)</f>
        <v>0</v>
      </c>
      <c r="I58" s="124">
        <f ca="1"/>
        <v>0</v>
      </c>
      <c r="J58" s="124">
        <f ca="1"/>
        <v>0</v>
      </c>
      <c r="K58" s="124">
        <f ca="1"/>
        <v>0</v>
      </c>
      <c r="L58" s="124">
        <f ca="1"/>
        <v>0</v>
      </c>
      <c r="M58" s="124">
        <f ca="1"/>
        <v>0</v>
      </c>
      <c r="N58" s="124">
        <f ca="1"/>
        <v>0</v>
      </c>
      <c r="O58" s="124">
        <f ca="1"/>
        <v>0</v>
      </c>
      <c r="Q58" s="55" cm="1">
        <f t="array" aca="1" ref="Q58:X58" ca="1">CHOOSE(db_psc_number,OFFSET(HM_ZA_Nkossa!L552,,,,8),OFFSET(HM_ZB_Nsoko!L563,,,,8),OFFSET(HM_ZD_Moho!L577,,,,8),OFFSET(KLL_II_2020!L550,,,,8),OFFSET(Marine!L589,,,,8),,)</f>
        <v>0</v>
      </c>
      <c r="R58" s="55">
        <f ca="1"/>
        <v>0</v>
      </c>
      <c r="S58" s="55">
        <f ca="1"/>
        <v>0</v>
      </c>
      <c r="T58" s="55">
        <f ca="1"/>
        <v>0</v>
      </c>
      <c r="U58" s="55">
        <f ca="1"/>
        <v>0</v>
      </c>
      <c r="V58" s="55">
        <f ca="1"/>
        <v>0</v>
      </c>
      <c r="W58" s="55">
        <f ca="1"/>
        <v>0</v>
      </c>
      <c r="X58" s="55">
        <f ca="1"/>
        <v>0</v>
      </c>
      <c r="Z58" s="101">
        <f t="shared" ref="Z58:Z60" ca="1" si="131">H58-Q58</f>
        <v>0</v>
      </c>
      <c r="AA58" s="101">
        <f t="shared" ref="AA58:AA60" ca="1" si="132">I58-R58</f>
        <v>0</v>
      </c>
      <c r="AB58" s="101">
        <f t="shared" ref="AB58:AB60" ca="1" si="133">J58-S58</f>
        <v>0</v>
      </c>
      <c r="AC58" s="101">
        <f t="shared" ref="AC58:AC60" ca="1" si="134">K58-T58</f>
        <v>0</v>
      </c>
      <c r="AD58" s="101">
        <f t="shared" ref="AD58:AD60" ca="1" si="135">L58-U58</f>
        <v>0</v>
      </c>
      <c r="AE58" s="101">
        <f t="shared" ref="AE58:AE60" ca="1" si="136">M58-V58</f>
        <v>0</v>
      </c>
      <c r="AF58" s="101">
        <f t="shared" ref="AF58:AG60" ca="1" si="137">N58-W58</f>
        <v>0</v>
      </c>
      <c r="AG58" s="101">
        <f t="shared" ca="1" si="137"/>
        <v>0</v>
      </c>
      <c r="AI58" s="111">
        <f t="shared" ca="1" si="124"/>
        <v>0</v>
      </c>
      <c r="AJ58" s="111">
        <f t="shared" ca="1" si="125"/>
        <v>0</v>
      </c>
      <c r="AK58" s="111">
        <f t="shared" ca="1" si="126"/>
        <v>0</v>
      </c>
      <c r="AL58" s="111">
        <f t="shared" ca="1" si="127"/>
        <v>0</v>
      </c>
      <c r="AM58" s="111">
        <f t="shared" ca="1" si="128"/>
        <v>0</v>
      </c>
      <c r="AN58" s="111">
        <f t="shared" ca="1" si="129"/>
        <v>0</v>
      </c>
      <c r="AO58" s="111">
        <f t="shared" ca="1" si="130"/>
        <v>0</v>
      </c>
      <c r="AP58" s="111">
        <f t="shared" ca="1" si="130"/>
        <v>0</v>
      </c>
    </row>
    <row r="59" spans="1:104" outlineLevel="1" x14ac:dyDescent="0.2">
      <c r="D59" s="110" t="str">
        <f>CHOOSE(db_ML_selected,'Liste Traduction'!B37,'Liste Traduction'!C37)</f>
        <v>Volumes SPO</v>
      </c>
      <c r="F59" s="98" t="s">
        <v>88</v>
      </c>
      <c r="H59" s="124" cm="1">
        <f t="array" aca="1" ref="H59:O59" ca="1">OFFSET(RA_spo_gov,,,,8)</f>
        <v>7.3730599633022349</v>
      </c>
      <c r="I59" s="124">
        <f ca="1"/>
        <v>7.2044742908897659</v>
      </c>
      <c r="J59" s="124">
        <f ca="1"/>
        <v>0</v>
      </c>
      <c r="K59" s="124">
        <f ca="1"/>
        <v>0</v>
      </c>
      <c r="L59" s="124">
        <f ca="1"/>
        <v>0</v>
      </c>
      <c r="M59" s="124">
        <f ca="1"/>
        <v>0</v>
      </c>
      <c r="N59" s="124">
        <f ca="1"/>
        <v>0</v>
      </c>
      <c r="O59" s="124">
        <f ca="1"/>
        <v>0</v>
      </c>
      <c r="Q59" s="55" cm="1">
        <f t="array" aca="1" ref="Q59:X59" ca="1">CHOOSE(db_psc_number,OFFSET(HM_ZA_Nkossa!L553,,,,8),OFFSET(HM_ZB_Nsoko!L564,,,,8),OFFSET(HM_ZD_Moho!L578,,,,8),OFFSET(KLL_II_2020!L551,,,,8),OFFSET(Marine!L590,,,,8),,)</f>
        <v>9.4331191546268105</v>
      </c>
      <c r="R59" s="55">
        <f ca="1"/>
        <v>9.4686687161650163</v>
      </c>
      <c r="S59" s="55">
        <f ca="1"/>
        <v>0</v>
      </c>
      <c r="T59" s="55">
        <f ca="1"/>
        <v>0</v>
      </c>
      <c r="U59" s="55">
        <f ca="1"/>
        <v>0</v>
      </c>
      <c r="V59" s="55">
        <f ca="1"/>
        <v>0</v>
      </c>
      <c r="W59" s="55">
        <f ca="1"/>
        <v>0</v>
      </c>
      <c r="X59" s="55">
        <f ca="1"/>
        <v>0</v>
      </c>
      <c r="Z59" s="101">
        <f t="shared" ca="1" si="131"/>
        <v>-2.0600591913245756</v>
      </c>
      <c r="AA59" s="101">
        <f t="shared" ca="1" si="132"/>
        <v>-2.2641944252752504</v>
      </c>
      <c r="AB59" s="101">
        <f t="shared" ca="1" si="133"/>
        <v>0</v>
      </c>
      <c r="AC59" s="101">
        <f t="shared" ca="1" si="134"/>
        <v>0</v>
      </c>
      <c r="AD59" s="101">
        <f t="shared" ca="1" si="135"/>
        <v>0</v>
      </c>
      <c r="AE59" s="101">
        <f t="shared" ca="1" si="136"/>
        <v>0</v>
      </c>
      <c r="AF59" s="101">
        <f t="shared" ca="1" si="137"/>
        <v>0</v>
      </c>
      <c r="AG59" s="101">
        <f t="shared" ca="1" si="137"/>
        <v>0</v>
      </c>
      <c r="AI59" s="111">
        <f t="shared" ca="1" si="124"/>
        <v>0.27940355857378907</v>
      </c>
      <c r="AJ59" s="111">
        <f t="shared" ca="1" si="125"/>
        <v>0.31427614755158184</v>
      </c>
      <c r="AK59" s="111">
        <f t="shared" ca="1" si="126"/>
        <v>0</v>
      </c>
      <c r="AL59" s="111">
        <f t="shared" ca="1" si="127"/>
        <v>0</v>
      </c>
      <c r="AM59" s="111">
        <f t="shared" ca="1" si="128"/>
        <v>0</v>
      </c>
      <c r="AN59" s="111">
        <f t="shared" ca="1" si="129"/>
        <v>0</v>
      </c>
      <c r="AO59" s="111">
        <f t="shared" ca="1" si="130"/>
        <v>0</v>
      </c>
      <c r="AP59" s="111">
        <f t="shared" ca="1" si="130"/>
        <v>0</v>
      </c>
    </row>
    <row r="60" spans="1:104" outlineLevel="1" x14ac:dyDescent="0.2">
      <c r="D60" s="110" t="str">
        <f>CHOOSE(db_ML_selected,'Liste Traduction'!B38,'Liste Traduction'!C38)</f>
        <v>Volumes Profit Oil</v>
      </c>
      <c r="F60" s="98" t="s">
        <v>88</v>
      </c>
      <c r="H60" s="124" cm="1">
        <f t="array" aca="1" ref="H60:O60" ca="1">OFFSET(RA_profitoil_gov,,,,8)</f>
        <v>1.8456010749975718</v>
      </c>
      <c r="I60" s="124">
        <f ca="1"/>
        <v>1.9196133672616253</v>
      </c>
      <c r="J60" s="124">
        <f ca="1"/>
        <v>1.3827199999999999</v>
      </c>
      <c r="K60" s="124">
        <f ca="1"/>
        <v>0.7632358825950003</v>
      </c>
      <c r="L60" s="124">
        <f ca="1"/>
        <v>1.5873321117150005</v>
      </c>
      <c r="M60" s="124">
        <f ca="1"/>
        <v>2.5035575741100011</v>
      </c>
      <c r="N60" s="124">
        <f ca="1"/>
        <v>2.536074085635001</v>
      </c>
      <c r="O60" s="124">
        <f ca="1"/>
        <v>2.3422000000000001</v>
      </c>
      <c r="Q60" s="55" cm="1">
        <f t="array" aca="1" ref="Q60:X60" ca="1">CHOOSE(db_psc_number,OFFSET(HM_ZA_Nkossa!L554,,,,8),OFFSET(HM_ZB_Nsoko!L565,,,,8),OFFSET(HM_ZD_Moho!L579,,,,8),OFFSET(KLL_II_2020!L552,,,,8),OFFSET(Marine!L591,,,,8),,)</f>
        <v>0</v>
      </c>
      <c r="R60" s="55">
        <f ca="1"/>
        <v>0</v>
      </c>
      <c r="S60" s="55">
        <f ca="1"/>
        <v>0.69151153500000051</v>
      </c>
      <c r="T60" s="55">
        <f ca="1"/>
        <v>0.70161277500000019</v>
      </c>
      <c r="U60" s="55">
        <f ca="1"/>
        <v>1.4685423750000011</v>
      </c>
      <c r="V60" s="55">
        <f ca="1"/>
        <v>2.3575131900000015</v>
      </c>
      <c r="W60" s="55">
        <f ca="1"/>
        <v>2.8687679474999985</v>
      </c>
      <c r="X60" s="55">
        <f ca="1"/>
        <v>2.7325305000000024</v>
      </c>
      <c r="Z60" s="101">
        <f t="shared" ca="1" si="131"/>
        <v>1.8456010749975718</v>
      </c>
      <c r="AA60" s="101">
        <f t="shared" ca="1" si="132"/>
        <v>1.9196133672616253</v>
      </c>
      <c r="AB60" s="101">
        <f t="shared" ca="1" si="133"/>
        <v>0.69120846499999944</v>
      </c>
      <c r="AC60" s="101">
        <f t="shared" ca="1" si="134"/>
        <v>6.1623107595000115E-2</v>
      </c>
      <c r="AD60" s="101">
        <f t="shared" ca="1" si="135"/>
        <v>0.11878973671499948</v>
      </c>
      <c r="AE60" s="101">
        <f t="shared" ca="1" si="136"/>
        <v>0.14604438410999965</v>
      </c>
      <c r="AF60" s="101">
        <f t="shared" ca="1" si="137"/>
        <v>-0.3326938618649975</v>
      </c>
      <c r="AG60" s="101">
        <f t="shared" ca="1" si="137"/>
        <v>-0.39033050000000236</v>
      </c>
      <c r="AI60" s="111">
        <f t="shared" ca="1" si="124"/>
        <v>-1</v>
      </c>
      <c r="AJ60" s="111">
        <f t="shared" ca="1" si="125"/>
        <v>-1</v>
      </c>
      <c r="AK60" s="111">
        <f t="shared" ca="1" si="126"/>
        <v>-0.49989040803633378</v>
      </c>
      <c r="AL60" s="111">
        <f t="shared" ca="1" si="127"/>
        <v>-8.0739269471295949E-2</v>
      </c>
      <c r="AM60" s="111">
        <f t="shared" ca="1" si="128"/>
        <v>-7.4836095003871339E-2</v>
      </c>
      <c r="AN60" s="111">
        <f t="shared" ca="1" si="129"/>
        <v>-5.8334741577459992E-2</v>
      </c>
      <c r="AO60" s="111">
        <f t="shared" ca="1" si="130"/>
        <v>0.13118459896320234</v>
      </c>
      <c r="AP60" s="111">
        <f t="shared" ca="1" si="130"/>
        <v>0.16665122534369492</v>
      </c>
    </row>
    <row r="61" spans="1:104" s="47" customFormat="1" outlineLevel="1" x14ac:dyDescent="0.2">
      <c r="A61" s="11"/>
      <c r="B61" s="11"/>
      <c r="C61" s="11"/>
      <c r="D61" s="114" t="str">
        <f>CHOOSE(db_ML_selected,'Liste Traduction'!B39,'Liste Traduction'!C39)</f>
        <v>Volumes totaux</v>
      </c>
      <c r="E61" s="115"/>
      <c r="F61" s="116" t="s">
        <v>88</v>
      </c>
      <c r="G61" s="116"/>
      <c r="H61" s="118">
        <f ca="1">SUM(H57:H60)</f>
        <v>12.135765667849807</v>
      </c>
      <c r="I61" s="118">
        <f t="shared" ref="I61:N61" ca="1" si="138">SUM(I57:I60)</f>
        <v>12.151480229901392</v>
      </c>
      <c r="J61" s="118">
        <f t="shared" ca="1" si="138"/>
        <v>3.6771929999999999</v>
      </c>
      <c r="K61" s="118">
        <f t="shared" ca="1" si="138"/>
        <v>3.3073554912450005</v>
      </c>
      <c r="L61" s="118">
        <f t="shared" ca="1" si="138"/>
        <v>6.8784391507650007</v>
      </c>
      <c r="M61" s="118">
        <f t="shared" ca="1" si="138"/>
        <v>10.84874948781</v>
      </c>
      <c r="N61" s="118">
        <f t="shared" ca="1" si="138"/>
        <v>10.989654371085001</v>
      </c>
      <c r="O61" s="118">
        <f t="shared" ref="O61" ca="1" si="139">SUM(O57:O60)</f>
        <v>10.1494</v>
      </c>
      <c r="P61" s="11"/>
      <c r="Q61" s="118">
        <f t="shared" ref="Q61" ca="1" si="140">SUM(Q57:Q60)</f>
        <v>12.15016515462681</v>
      </c>
      <c r="R61" s="118">
        <f t="shared" ref="R61" ca="1" si="141">SUM(R57:R60)</f>
        <v>12.306347566165016</v>
      </c>
      <c r="S61" s="118">
        <f t="shared" ref="S61" ca="1" si="142">SUM(S57:S60)</f>
        <v>2.9965499850000006</v>
      </c>
      <c r="T61" s="118">
        <f t="shared" ref="T61" ca="1" si="143">SUM(T57:T60)</f>
        <v>3.040322025</v>
      </c>
      <c r="U61" s="118">
        <f t="shared" ref="U61" ca="1" si="144">SUM(U57:U60)</f>
        <v>6.3636836250000011</v>
      </c>
      <c r="V61" s="118">
        <f t="shared" ref="V61" ca="1" si="145">SUM(V57:V60)</f>
        <v>10.21589049</v>
      </c>
      <c r="W61" s="118">
        <f t="shared" ref="W61:X61" ca="1" si="146">SUM(W57:W60)</f>
        <v>11.065247797499998</v>
      </c>
      <c r="X61" s="118">
        <f t="shared" ca="1" si="146"/>
        <v>10.539760500000003</v>
      </c>
      <c r="Y61" s="11"/>
      <c r="Z61" s="118">
        <f t="shared" ref="Z61" ca="1" si="147">H61-Q61</f>
        <v>-1.4399486777003645E-2</v>
      </c>
      <c r="AA61" s="118">
        <f t="shared" ref="AA61" ca="1" si="148">I61-R61</f>
        <v>-0.15486733626362437</v>
      </c>
      <c r="AB61" s="118">
        <f t="shared" ref="AB61" ca="1" si="149">J61-S61</f>
        <v>0.68064301499999935</v>
      </c>
      <c r="AC61" s="118">
        <f t="shared" ref="AC61" ca="1" si="150">K61-T61</f>
        <v>0.26703346624500046</v>
      </c>
      <c r="AD61" s="118">
        <f t="shared" ref="AD61" ca="1" si="151">L61-U61</f>
        <v>0.51475552576499961</v>
      </c>
      <c r="AE61" s="118">
        <f t="shared" ref="AE61" ca="1" si="152">M61-V61</f>
        <v>0.63285899781000055</v>
      </c>
      <c r="AF61" s="118">
        <f t="shared" ref="AF61:AG61" ca="1" si="153">N61-W61</f>
        <v>-7.5593426414997111E-2</v>
      </c>
      <c r="AG61" s="118">
        <f t="shared" ca="1" si="153"/>
        <v>-0.39036050000000344</v>
      </c>
      <c r="AH61" s="11"/>
      <c r="AI61" s="129">
        <f t="shared" ref="AI61" ca="1" si="154">IFERROR(Q61/H61-1,0)</f>
        <v>1.1865330273432839E-3</v>
      </c>
      <c r="AJ61" s="129">
        <f t="shared" ref="AJ61" ca="1" si="155">IFERROR(R61/I61-1,0)</f>
        <v>1.2744730134402804E-2</v>
      </c>
      <c r="AK61" s="129">
        <f t="shared" ref="AK61" ca="1" si="156">IFERROR(S61/J61-1,0)</f>
        <v>-0.18509852895945345</v>
      </c>
      <c r="AL61" s="129">
        <f t="shared" ref="AL61" ca="1" si="157">IFERROR(T61/K61-1,0)</f>
        <v>-8.0739269471295949E-2</v>
      </c>
      <c r="AM61" s="129">
        <f t="shared" ref="AM61" ca="1" si="158">IFERROR(U61/L61-1,0)</f>
        <v>-7.4836095003871672E-2</v>
      </c>
      <c r="AN61" s="129">
        <f t="shared" ref="AN61" ca="1" si="159">IFERROR(V61/M61-1,0)</f>
        <v>-5.8334741577460214E-2</v>
      </c>
      <c r="AO61" s="129">
        <f t="shared" ref="AO61:AP61" ca="1" si="160">IFERROR(W61/N61-1,0)</f>
        <v>6.8785990771367267E-3</v>
      </c>
      <c r="AP61" s="129">
        <f t="shared" ca="1" si="160"/>
        <v>3.8461436144008765E-2</v>
      </c>
      <c r="AQ61" s="11"/>
      <c r="AR61" s="11"/>
      <c r="AS61" s="11"/>
      <c r="AT61" s="11"/>
      <c r="AU61" s="11"/>
      <c r="AV61" s="11"/>
      <c r="AW61" s="11"/>
      <c r="AX61" s="11"/>
      <c r="AY61" s="11"/>
      <c r="AZ61" s="11"/>
      <c r="BA61" s="11"/>
      <c r="BB61" s="11"/>
      <c r="BC61" s="11"/>
      <c r="BD61" s="11"/>
      <c r="BE61" s="11"/>
      <c r="BF61" s="11"/>
      <c r="BG61" s="11"/>
      <c r="BH61" s="11"/>
      <c r="BI61" s="11"/>
      <c r="BJ61" s="11"/>
      <c r="BK61" s="11"/>
      <c r="BL61" s="11"/>
      <c r="BM61" s="11"/>
      <c r="BN61" s="11"/>
      <c r="BO61" s="11"/>
      <c r="BP61" s="11"/>
      <c r="BQ61" s="11"/>
      <c r="BR61" s="11"/>
      <c r="BS61" s="11"/>
      <c r="BT61" s="11"/>
      <c r="BU61" s="11"/>
      <c r="BV61" s="11"/>
      <c r="BW61" s="11"/>
      <c r="BX61" s="11"/>
      <c r="BY61" s="11"/>
      <c r="BZ61" s="11"/>
      <c r="CA61" s="11"/>
      <c r="CB61" s="11"/>
      <c r="CC61" s="11"/>
      <c r="CD61" s="11"/>
      <c r="CE61" s="11"/>
      <c r="CF61" s="11"/>
      <c r="CG61" s="11"/>
      <c r="CH61" s="11"/>
      <c r="CI61" s="11"/>
      <c r="CJ61" s="11"/>
      <c r="CK61" s="11"/>
      <c r="CL61" s="11"/>
      <c r="CM61" s="11"/>
      <c r="CN61" s="11"/>
      <c r="CO61" s="11"/>
      <c r="CP61" s="11"/>
      <c r="CQ61" s="11"/>
      <c r="CR61" s="11"/>
      <c r="CS61" s="11"/>
      <c r="CT61" s="11"/>
      <c r="CU61" s="11"/>
      <c r="CV61" s="11"/>
      <c r="CW61" s="11"/>
      <c r="CX61" s="11"/>
      <c r="CY61" s="11"/>
      <c r="CZ61" s="11"/>
    </row>
    <row r="62" spans="1:104" s="47" customFormat="1" outlineLevel="1" x14ac:dyDescent="0.2">
      <c r="A62" s="11"/>
      <c r="B62" s="11"/>
      <c r="C62" s="11"/>
      <c r="D62" s="112"/>
      <c r="E62" s="11"/>
      <c r="F62" s="102"/>
      <c r="G62" s="102"/>
      <c r="H62" s="113"/>
      <c r="I62" s="113"/>
      <c r="J62" s="113"/>
      <c r="K62" s="113"/>
      <c r="L62" s="113"/>
      <c r="M62" s="113"/>
      <c r="N62" s="113"/>
      <c r="O62" s="113"/>
      <c r="P62" s="11"/>
      <c r="Q62" s="103"/>
      <c r="R62" s="103"/>
      <c r="S62" s="103"/>
      <c r="T62" s="103"/>
      <c r="U62" s="103"/>
      <c r="V62" s="103"/>
      <c r="W62" s="103"/>
      <c r="X62" s="103"/>
      <c r="Y62" s="11"/>
      <c r="Z62" s="103"/>
      <c r="AA62" s="103"/>
      <c r="AB62" s="103"/>
      <c r="AC62" s="103"/>
      <c r="AD62" s="103"/>
      <c r="AE62" s="103"/>
      <c r="AF62" s="103"/>
      <c r="AG62" s="103"/>
      <c r="AH62" s="11"/>
      <c r="AI62" s="103"/>
      <c r="AJ62" s="103"/>
      <c r="AK62" s="103"/>
      <c r="AL62" s="103"/>
      <c r="AM62" s="103"/>
      <c r="AN62" s="103"/>
      <c r="AO62" s="103"/>
      <c r="AP62" s="103"/>
      <c r="AQ62" s="11"/>
      <c r="AR62" s="11"/>
      <c r="AS62" s="11"/>
      <c r="AT62" s="11"/>
      <c r="AU62" s="11"/>
      <c r="AV62" s="11"/>
      <c r="AW62" s="11"/>
      <c r="AX62" s="11"/>
      <c r="AY62" s="11"/>
      <c r="AZ62" s="11"/>
      <c r="BA62" s="11"/>
      <c r="BB62" s="11"/>
      <c r="BC62" s="11"/>
      <c r="BD62" s="11"/>
      <c r="BE62" s="11"/>
      <c r="BF62" s="11"/>
      <c r="BG62" s="11"/>
      <c r="BH62" s="11"/>
      <c r="BI62" s="11"/>
      <c r="BJ62" s="11"/>
      <c r="BK62" s="11"/>
      <c r="BL62" s="11"/>
      <c r="BM62" s="11"/>
      <c r="BN62" s="11"/>
      <c r="BO62" s="11"/>
      <c r="BP62" s="11"/>
      <c r="BQ62" s="11"/>
      <c r="BR62" s="11"/>
      <c r="BS62" s="11"/>
      <c r="BT62" s="11"/>
      <c r="BU62" s="11"/>
      <c r="BV62" s="11"/>
      <c r="BW62" s="11"/>
      <c r="BX62" s="11"/>
      <c r="BY62" s="11"/>
      <c r="BZ62" s="11"/>
      <c r="CA62" s="11"/>
      <c r="CB62" s="11"/>
      <c r="CC62" s="11"/>
      <c r="CD62" s="11"/>
      <c r="CE62" s="11"/>
      <c r="CF62" s="11"/>
      <c r="CG62" s="11"/>
      <c r="CH62" s="11"/>
      <c r="CI62" s="11"/>
      <c r="CJ62" s="11"/>
      <c r="CK62" s="11"/>
      <c r="CL62" s="11"/>
      <c r="CM62" s="11"/>
      <c r="CN62" s="11"/>
      <c r="CO62" s="11"/>
      <c r="CP62" s="11"/>
      <c r="CQ62" s="11"/>
      <c r="CR62" s="11"/>
      <c r="CS62" s="11"/>
      <c r="CT62" s="11"/>
      <c r="CU62" s="11"/>
      <c r="CV62" s="11"/>
      <c r="CW62" s="11"/>
      <c r="CX62" s="11"/>
      <c r="CY62" s="11"/>
      <c r="CZ62" s="11"/>
    </row>
    <row r="63" spans="1:104" outlineLevel="1" x14ac:dyDescent="0.2"/>
    <row r="64" spans="1:104" outlineLevel="1" x14ac:dyDescent="0.2">
      <c r="D64" s="51" t="str">
        <f>CHOOSE(db_ML_selected,'Liste Traduction'!B40,'Liste Traduction'!C40)</f>
        <v>Flux de trésorerie du Gouv.</v>
      </c>
      <c r="L64"/>
      <c r="M64"/>
      <c r="N64"/>
      <c r="O64"/>
    </row>
    <row r="65" spans="1:104" outlineLevel="1" x14ac:dyDescent="0.2">
      <c r="D65" s="95" t="str">
        <f>CHOOSE(db_ML_selected,'Liste Traduction'!B41,'Liste Traduction'!C41)</f>
        <v>Redevances</v>
      </c>
      <c r="F65" s="98" t="s">
        <v>148</v>
      </c>
      <c r="H65" s="125">
        <f ca="1">H57*H37</f>
        <v>307.94691053758311</v>
      </c>
      <c r="I65" s="125">
        <f t="shared" ref="I65:O65" ca="1" si="161">I57*I37</f>
        <v>290.89560630942105</v>
      </c>
      <c r="J65" s="125">
        <f t="shared" ca="1" si="161"/>
        <v>109.75167984388519</v>
      </c>
      <c r="K65" s="125">
        <f t="shared" ca="1" si="161"/>
        <v>103.07291503119568</v>
      </c>
      <c r="L65" s="125">
        <f t="shared" ca="1" si="161"/>
        <v>287.35943646489602</v>
      </c>
      <c r="M65" s="125">
        <f t="shared" ca="1" si="161"/>
        <v>571.20528755839803</v>
      </c>
      <c r="N65" s="125">
        <f t="shared" ca="1" si="161"/>
        <v>545.23186173253214</v>
      </c>
      <c r="O65" s="125">
        <f t="shared" ca="1" si="161"/>
        <v>315.64509599999997</v>
      </c>
      <c r="Q65" s="55" cm="1">
        <f t="array" aca="1" ref="Q65:X65" ca="1">CHOOSE(db_psc_number,OFFSET(HM_ZA_Nkossa!L523,,,,8),OFFSET(HM_ZB_Nsoko!L534,,,,8),OFFSET(HM_ZD_Moho!L548,,,,8),OFFSET(KLL_II_2020!L521,,,,8),OFFSET(Marine!L560,,,,8),,)</f>
        <v>286.82753200305001</v>
      </c>
      <c r="R65" s="55">
        <f ca="1"/>
        <v>272.66642499059992</v>
      </c>
      <c r="S65" s="55">
        <f ca="1"/>
        <v>110.25705771749999</v>
      </c>
      <c r="T65" s="55">
        <f ca="1"/>
        <v>94.750883169299996</v>
      </c>
      <c r="U65" s="55">
        <f ca="1"/>
        <v>265.85457837735004</v>
      </c>
      <c r="V65" s="55">
        <f ca="1"/>
        <v>537.88417472100002</v>
      </c>
      <c r="W65" s="55">
        <f ca="1"/>
        <v>528.64961559075005</v>
      </c>
      <c r="X65" s="55">
        <f ca="1"/>
        <v>315.64630890000001</v>
      </c>
      <c r="Z65" s="101">
        <f ca="1">H65-Q65</f>
        <v>21.119378534533098</v>
      </c>
      <c r="AA65" s="101">
        <f ca="1">I65-R65</f>
        <v>18.229181318821134</v>
      </c>
      <c r="AB65" s="101">
        <f ca="1">J65-S65</f>
        <v>-0.50537787361480468</v>
      </c>
      <c r="AC65" s="101">
        <f ca="1">K65-T65</f>
        <v>8.322031861895681</v>
      </c>
      <c r="AD65" s="101">
        <f ca="1">L65-U65</f>
        <v>21.504858087545983</v>
      </c>
      <c r="AE65" s="101">
        <f t="shared" ref="AE65:AE68" ca="1" si="162">M65-V65</f>
        <v>33.321112837398005</v>
      </c>
      <c r="AF65" s="101">
        <f t="shared" ref="AF65:AG68" ca="1" si="163">N65-W65</f>
        <v>16.582246141782093</v>
      </c>
      <c r="AG65" s="101">
        <f t="shared" ca="1" si="163"/>
        <v>-1.2129000000413726E-3</v>
      </c>
      <c r="AI65" s="111">
        <f t="shared" ref="AI65:AI70" ca="1" si="164">IFERROR(Q65/H65-1,0)</f>
        <v>-6.8581232062581821E-2</v>
      </c>
      <c r="AJ65" s="111">
        <f t="shared" ref="AJ65:AJ70" ca="1" si="165">IFERROR(R65/I65-1,0)</f>
        <v>-6.266571554687228E-2</v>
      </c>
      <c r="AK65" s="111">
        <f t="shared" ref="AK65:AK70" ca="1" si="166">IFERROR(S65/J65-1,0)</f>
        <v>4.6047393017918381E-3</v>
      </c>
      <c r="AL65" s="111">
        <f t="shared" ref="AL65:AL70" ca="1" si="167">IFERROR(T65/K65-1,0)</f>
        <v>-8.0739269471295727E-2</v>
      </c>
      <c r="AM65" s="111">
        <f t="shared" ref="AM65:AM70" ca="1" si="168">IFERROR(U65/L65-1,0)</f>
        <v>-7.4836095003871672E-2</v>
      </c>
      <c r="AN65" s="111">
        <f t="shared" ref="AN65:AN70" ca="1" si="169">IFERROR(V65/M65-1,0)</f>
        <v>-5.8334741577460214E-2</v>
      </c>
      <c r="AO65" s="111">
        <f t="shared" ref="AO65:AP70" ca="1" si="170">IFERROR(W65/N65-1,0)</f>
        <v>-3.0413200888682934E-2</v>
      </c>
      <c r="AP65" s="111">
        <f t="shared" ca="1" si="170"/>
        <v>3.8426068245112077E-6</v>
      </c>
    </row>
    <row r="66" spans="1:104" outlineLevel="1" x14ac:dyDescent="0.2">
      <c r="D66" s="95" t="str">
        <f>CHOOSE(db_ML_selected,'Liste Traduction'!B42,'Liste Traduction'!C42)</f>
        <v>PID</v>
      </c>
      <c r="F66" s="98" t="s">
        <v>148</v>
      </c>
      <c r="H66" s="125" cm="1">
        <f t="array" aca="1" ref="H66:O66" ca="1">OFFSET(RA_pid_gov,,,,8)</f>
        <v>20.534758022249697</v>
      </c>
      <c r="I66" s="125">
        <f ca="1"/>
        <v>19.129832350994999</v>
      </c>
      <c r="J66" s="125">
        <f ca="1"/>
        <v>7.3099130866430597</v>
      </c>
      <c r="K66" s="125">
        <f ca="1"/>
        <v>6.8124576475457399</v>
      </c>
      <c r="L66" s="125">
        <f ca="1"/>
        <v>19.100886826789498</v>
      </c>
      <c r="M66" s="125">
        <f ca="1"/>
        <v>38.231386150506104</v>
      </c>
      <c r="N66" s="125">
        <f ca="1"/>
        <v>36.2742601816662</v>
      </c>
      <c r="O66" s="125">
        <f ca="1"/>
        <v>21</v>
      </c>
      <c r="Q66" s="55" cm="1">
        <f t="array" aca="1" ref="Q66:X66" ca="1">CHOOSE(db_psc_number,OFFSET(HM_ZA_Nkossa!L524,,,,8),OFFSET(HM_ZB_Nsoko!L535,,,,8),OFFSET(HM_ZD_Moho!L549,,,,8),OFFSET(KLL_II_2020!L522,,,,8),OFFSET(Marine!L561,,,,8),,)</f>
        <v>19.121835466870003</v>
      </c>
      <c r="R66" s="55">
        <f ca="1"/>
        <v>18.177761666039995</v>
      </c>
      <c r="S66" s="55">
        <f ca="1"/>
        <v>7.3504705144999996</v>
      </c>
      <c r="T66" s="55">
        <f ca="1"/>
        <v>6.3167255446199997</v>
      </c>
      <c r="U66" s="55">
        <f ca="1"/>
        <v>17.723638558490006</v>
      </c>
      <c r="V66" s="55">
        <f ca="1"/>
        <v>35.858944981400008</v>
      </c>
      <c r="W66" s="55">
        <f ca="1"/>
        <v>35.243307706050004</v>
      </c>
      <c r="X66" s="55">
        <f ca="1"/>
        <v>21.043087260000004</v>
      </c>
      <c r="Z66" s="101">
        <f t="shared" ref="Z66:Z68" ca="1" si="171">H66-Q66</f>
        <v>1.4129225553796942</v>
      </c>
      <c r="AA66" s="101">
        <f t="shared" ref="AA66:AA68" ca="1" si="172">I66-R66</f>
        <v>0.9520706849550038</v>
      </c>
      <c r="AB66" s="101">
        <f t="shared" ref="AB66:AB68" ca="1" si="173">J66-S66</f>
        <v>-4.0557427856939832E-2</v>
      </c>
      <c r="AC66" s="101">
        <f t="shared" ref="AC66:AC68" ca="1" si="174">K66-T66</f>
        <v>0.49573210292574021</v>
      </c>
      <c r="AD66" s="101">
        <f t="shared" ref="AD66:AD68" ca="1" si="175">L66-U66</f>
        <v>1.3772482682994927</v>
      </c>
      <c r="AE66" s="101">
        <f t="shared" ca="1" si="162"/>
        <v>2.3724411691060965</v>
      </c>
      <c r="AF66" s="101">
        <f t="shared" ca="1" si="163"/>
        <v>1.0309524756161963</v>
      </c>
      <c r="AG66" s="101">
        <f t="shared" ca="1" si="163"/>
        <v>-4.3087260000003624E-2</v>
      </c>
      <c r="AI66" s="111">
        <f t="shared" ca="1" si="164"/>
        <v>-6.8806389335037355E-2</v>
      </c>
      <c r="AJ66" s="111">
        <f t="shared" ca="1" si="165"/>
        <v>-4.9768898518626314E-2</v>
      </c>
      <c r="AK66" s="111">
        <f t="shared" ca="1" si="166"/>
        <v>5.548277712227323E-3</v>
      </c>
      <c r="AL66" s="111">
        <f t="shared" ca="1" si="167"/>
        <v>-7.2768467500760603E-2</v>
      </c>
      <c r="AM66" s="111">
        <f t="shared" ca="1" si="168"/>
        <v>-7.210389134225248E-2</v>
      </c>
      <c r="AN66" s="111">
        <f t="shared" ca="1" si="169"/>
        <v>-6.2054803866291142E-2</v>
      </c>
      <c r="AO66" s="111">
        <f t="shared" ca="1" si="170"/>
        <v>-2.8421047609325512E-2</v>
      </c>
      <c r="AP66" s="111">
        <f t="shared" ca="1" si="170"/>
        <v>2.0517742857144583E-3</v>
      </c>
    </row>
    <row r="67" spans="1:104" outlineLevel="1" x14ac:dyDescent="0.2">
      <c r="D67" s="95" t="str">
        <f>CHOOSE(db_ML_selected,'Liste Traduction'!B43,'Liste Traduction'!C43)</f>
        <v>Excess Cost Oil</v>
      </c>
      <c r="F67" s="98" t="s">
        <v>148</v>
      </c>
      <c r="H67" s="125">
        <f ca="1">H58*H37</f>
        <v>0</v>
      </c>
      <c r="I67" s="125">
        <f t="shared" ref="I67:O67" ca="1" si="176">I58*I37</f>
        <v>0</v>
      </c>
      <c r="J67" s="125">
        <f t="shared" ca="1" si="176"/>
        <v>0</v>
      </c>
      <c r="K67" s="125">
        <f t="shared" ca="1" si="176"/>
        <v>0</v>
      </c>
      <c r="L67" s="125">
        <f t="shared" ca="1" si="176"/>
        <v>0</v>
      </c>
      <c r="M67" s="125">
        <f t="shared" ca="1" si="176"/>
        <v>0</v>
      </c>
      <c r="N67" s="125">
        <f t="shared" ca="1" si="176"/>
        <v>0</v>
      </c>
      <c r="O67" s="125">
        <f t="shared" ca="1" si="176"/>
        <v>0</v>
      </c>
      <c r="Q67" s="55" cm="1">
        <f t="array" aca="1" ref="Q67:X67" ca="1">CHOOSE(db_psc_number,OFFSET(HM_ZA_Nkossa!L525,,,,8),OFFSET(HM_ZB_Nsoko!L536,,,,8),OFFSET(HM_ZD_Moho!L550,,,,8),OFFSET(KLL_II_2020!L523,,,,8),OFFSET(Marine!L562,,,,8),,)</f>
        <v>0</v>
      </c>
      <c r="R67" s="55">
        <f ca="1"/>
        <v>0</v>
      </c>
      <c r="S67" s="55">
        <f ca="1"/>
        <v>0</v>
      </c>
      <c r="T67" s="55">
        <f ca="1"/>
        <v>0</v>
      </c>
      <c r="U67" s="55">
        <f ca="1"/>
        <v>0</v>
      </c>
      <c r="V67" s="55">
        <f ca="1"/>
        <v>0</v>
      </c>
      <c r="W67" s="55">
        <f ca="1"/>
        <v>0</v>
      </c>
      <c r="X67" s="55">
        <f ca="1"/>
        <v>0</v>
      </c>
      <c r="Z67" s="101">
        <f t="shared" ca="1" si="171"/>
        <v>0</v>
      </c>
      <c r="AA67" s="101">
        <f t="shared" ca="1" si="172"/>
        <v>0</v>
      </c>
      <c r="AB67" s="101">
        <f t="shared" ca="1" si="173"/>
        <v>0</v>
      </c>
      <c r="AC67" s="101">
        <f t="shared" ca="1" si="174"/>
        <v>0</v>
      </c>
      <c r="AD67" s="101">
        <f t="shared" ca="1" si="175"/>
        <v>0</v>
      </c>
      <c r="AE67" s="101">
        <f t="shared" ca="1" si="162"/>
        <v>0</v>
      </c>
      <c r="AF67" s="101">
        <f t="shared" ca="1" si="163"/>
        <v>0</v>
      </c>
      <c r="AG67" s="101">
        <f t="shared" ca="1" si="163"/>
        <v>0</v>
      </c>
      <c r="AI67" s="111">
        <f t="shared" ca="1" si="164"/>
        <v>0</v>
      </c>
      <c r="AJ67" s="111">
        <f t="shared" ca="1" si="165"/>
        <v>0</v>
      </c>
      <c r="AK67" s="111">
        <f t="shared" ca="1" si="166"/>
        <v>0</v>
      </c>
      <c r="AL67" s="111">
        <f t="shared" ca="1" si="167"/>
        <v>0</v>
      </c>
      <c r="AM67" s="111">
        <f t="shared" ca="1" si="168"/>
        <v>0</v>
      </c>
      <c r="AN67" s="111">
        <f t="shared" ca="1" si="169"/>
        <v>0</v>
      </c>
      <c r="AO67" s="111">
        <f t="shared" ca="1" si="170"/>
        <v>0</v>
      </c>
      <c r="AP67" s="111">
        <f t="shared" ca="1" si="170"/>
        <v>0</v>
      </c>
    </row>
    <row r="68" spans="1:104" outlineLevel="1" x14ac:dyDescent="0.2">
      <c r="D68" s="95" t="str">
        <f>CHOOSE(db_ML_selected,'Liste Traduction'!B44,'Liste Traduction'!C44)</f>
        <v>SPO</v>
      </c>
      <c r="F68" s="98" t="s">
        <v>148</v>
      </c>
      <c r="H68" s="125">
        <f ca="1">IFERROR(H59*((H34*H29+H35*H30)/SUM(H29,H30)),0)</f>
        <v>778.34405180643921</v>
      </c>
      <c r="I68" s="125">
        <f t="shared" ref="I68:O68" ca="1" si="177">IFERROR(I59*((I34*I29+I35*I30)/SUM(I29,I30)),0)</f>
        <v>692.26235690257909</v>
      </c>
      <c r="J68" s="125">
        <f t="shared" ca="1" si="177"/>
        <v>0</v>
      </c>
      <c r="K68" s="125">
        <f t="shared" ca="1" si="177"/>
        <v>0</v>
      </c>
      <c r="L68" s="125">
        <f t="shared" ca="1" si="177"/>
        <v>0</v>
      </c>
      <c r="M68" s="125">
        <f t="shared" ca="1" si="177"/>
        <v>0</v>
      </c>
      <c r="N68" s="125">
        <f t="shared" ca="1" si="177"/>
        <v>0</v>
      </c>
      <c r="O68" s="125">
        <f t="shared" ca="1" si="177"/>
        <v>0</v>
      </c>
      <c r="Q68" s="55" cm="1">
        <f t="array" aca="1" ref="Q68:X68" ca="1">CHOOSE(db_psc_number,OFFSET(HM_ZA_Nkossa!L526,,,,8),OFFSET(HM_ZB_Nsoko!L537,,,,8),OFFSET(HM_ZD_Moho!L551,,,,8),OFFSET(KLL_II_2020!L524,,,,8),OFFSET(Marine!L563,,,,8),,)</f>
        <v>995.81614967590008</v>
      </c>
      <c r="R68" s="55">
        <f ca="1"/>
        <v>909.82390352489983</v>
      </c>
      <c r="S68" s="55">
        <f ca="1"/>
        <v>0</v>
      </c>
      <c r="T68" s="55">
        <f ca="1"/>
        <v>0</v>
      </c>
      <c r="U68" s="55">
        <f ca="1"/>
        <v>0</v>
      </c>
      <c r="V68" s="55">
        <f ca="1"/>
        <v>0</v>
      </c>
      <c r="W68" s="55">
        <f ca="1"/>
        <v>0</v>
      </c>
      <c r="X68" s="55">
        <f ca="1"/>
        <v>0</v>
      </c>
      <c r="Z68" s="101">
        <f t="shared" ca="1" si="171"/>
        <v>-217.47209786946087</v>
      </c>
      <c r="AA68" s="101">
        <f t="shared" ca="1" si="172"/>
        <v>-217.56154662232075</v>
      </c>
      <c r="AB68" s="101">
        <f t="shared" ca="1" si="173"/>
        <v>0</v>
      </c>
      <c r="AC68" s="101">
        <f t="shared" ca="1" si="174"/>
        <v>0</v>
      </c>
      <c r="AD68" s="101">
        <f t="shared" ca="1" si="175"/>
        <v>0</v>
      </c>
      <c r="AE68" s="101">
        <f t="shared" ca="1" si="162"/>
        <v>0</v>
      </c>
      <c r="AF68" s="101">
        <f t="shared" ca="1" si="163"/>
        <v>0</v>
      </c>
      <c r="AG68" s="101">
        <f t="shared" ca="1" si="163"/>
        <v>0</v>
      </c>
      <c r="AI68" s="111">
        <f t="shared" ca="1" si="164"/>
        <v>0.27940355857378929</v>
      </c>
      <c r="AJ68" s="111">
        <f t="shared" ca="1" si="165"/>
        <v>0.31427614755158184</v>
      </c>
      <c r="AK68" s="111">
        <f t="shared" ca="1" si="166"/>
        <v>0</v>
      </c>
      <c r="AL68" s="111">
        <f t="shared" ca="1" si="167"/>
        <v>0</v>
      </c>
      <c r="AM68" s="111">
        <f t="shared" ca="1" si="168"/>
        <v>0</v>
      </c>
      <c r="AN68" s="111">
        <f t="shared" ca="1" si="169"/>
        <v>0</v>
      </c>
      <c r="AO68" s="111">
        <f t="shared" ca="1" si="170"/>
        <v>0</v>
      </c>
      <c r="AP68" s="111">
        <f t="shared" ca="1" si="170"/>
        <v>0</v>
      </c>
    </row>
    <row r="69" spans="1:104" outlineLevel="1" x14ac:dyDescent="0.2">
      <c r="D69" s="95" t="str">
        <f>CHOOSE(db_ML_selected,'Liste Traduction'!B45,'Liste Traduction'!C45)</f>
        <v>Partage du profit</v>
      </c>
      <c r="F69" s="98" t="s">
        <v>148</v>
      </c>
      <c r="H69" s="125">
        <f ca="1">H60*H37</f>
        <v>194.83262388775512</v>
      </c>
      <c r="I69" s="125">
        <f t="shared" ref="I69:O69" ca="1" si="178">I60*I37</f>
        <v>184.45149782026778</v>
      </c>
      <c r="J69" s="125">
        <f t="shared" ca="1" si="178"/>
        <v>66.139737863002495</v>
      </c>
      <c r="K69" s="125">
        <f t="shared" ca="1" si="178"/>
        <v>30.921874509358716</v>
      </c>
      <c r="L69" s="125">
        <f t="shared" ca="1" si="178"/>
        <v>86.207830939468835</v>
      </c>
      <c r="M69" s="125">
        <f t="shared" ca="1" si="178"/>
        <v>171.3615862675195</v>
      </c>
      <c r="N69" s="125">
        <f t="shared" ca="1" si="178"/>
        <v>163.56955851975971</v>
      </c>
      <c r="O69" s="125">
        <f t="shared" ca="1" si="178"/>
        <v>94.695146000000008</v>
      </c>
      <c r="Q69" s="55" cm="1">
        <f t="array" aca="1" ref="Q69:X69" ca="1">CHOOSE(db_psc_number,OFFSET(HM_ZA_Nkossa!L527,,,,8),OFFSET(HM_ZB_Nsoko!L538,,,,8),OFFSET(HM_ZD_Moho!L552,,,,8),OFFSET(KLL_II_2020!L525,,,,8),OFFSET(Marine!L564,,,,8),,)</f>
        <v>0</v>
      </c>
      <c r="R69" s="55">
        <f ca="1"/>
        <v>0</v>
      </c>
      <c r="S69" s="55">
        <f ca="1"/>
        <v>33.077117315250021</v>
      </c>
      <c r="T69" s="55">
        <f ca="1"/>
        <v>28.425264950790009</v>
      </c>
      <c r="U69" s="55">
        <f ca="1"/>
        <v>79.756373513205062</v>
      </c>
      <c r="V69" s="55">
        <f ca="1"/>
        <v>161.36525241630011</v>
      </c>
      <c r="W69" s="55">
        <f ca="1"/>
        <v>185.02736545676242</v>
      </c>
      <c r="X69" s="55">
        <f ca="1"/>
        <v>110.47620811500011</v>
      </c>
      <c r="Z69" s="101">
        <f t="shared" ref="Z69" ca="1" si="179">H69-Q69</f>
        <v>194.83262388775512</v>
      </c>
      <c r="AA69" s="101">
        <f t="shared" ref="AA69" ca="1" si="180">I69-R69</f>
        <v>184.45149782026778</v>
      </c>
      <c r="AB69" s="101">
        <f t="shared" ref="AB69" ca="1" si="181">J69-S69</f>
        <v>33.062620547752473</v>
      </c>
      <c r="AC69" s="101">
        <f t="shared" ref="AC69" ca="1" si="182">K69-T69</f>
        <v>2.4966095585687071</v>
      </c>
      <c r="AD69" s="101">
        <f t="shared" ref="AD69" ca="1" si="183">L69-U69</f>
        <v>6.4514574262637723</v>
      </c>
      <c r="AE69" s="101">
        <f t="shared" ref="AE69" ca="1" si="184">M69-V69</f>
        <v>9.99633385121939</v>
      </c>
      <c r="AF69" s="101">
        <f t="shared" ref="AF69:AG69" ca="1" si="185">N69-W69</f>
        <v>-21.457806937002715</v>
      </c>
      <c r="AG69" s="101">
        <f t="shared" ca="1" si="185"/>
        <v>-15.781062115000097</v>
      </c>
      <c r="AI69" s="111">
        <f t="shared" ca="1" si="164"/>
        <v>-1</v>
      </c>
      <c r="AJ69" s="111">
        <f t="shared" ca="1" si="165"/>
        <v>-1</v>
      </c>
      <c r="AK69" s="111">
        <f t="shared" ca="1" si="166"/>
        <v>-0.49989040803633378</v>
      </c>
      <c r="AL69" s="111">
        <f t="shared" ca="1" si="167"/>
        <v>-8.0739269471295838E-2</v>
      </c>
      <c r="AM69" s="111">
        <f t="shared" ca="1" si="168"/>
        <v>-7.4836095003871339E-2</v>
      </c>
      <c r="AN69" s="111">
        <f t="shared" ca="1" si="169"/>
        <v>-5.8334741577460103E-2</v>
      </c>
      <c r="AO69" s="111">
        <f t="shared" ca="1" si="170"/>
        <v>0.13118459896320211</v>
      </c>
      <c r="AP69" s="111">
        <f t="shared" ca="1" si="170"/>
        <v>0.16665122534369492</v>
      </c>
    </row>
    <row r="70" spans="1:104" outlineLevel="1" x14ac:dyDescent="0.2">
      <c r="D70" s="119" t="str">
        <f>CHOOSE(db_ML_selected,'Liste Traduction'!B46,'Liste Traduction'!C46)</f>
        <v>Total flux de trésorerie du Gouv.</v>
      </c>
      <c r="E70" s="105"/>
      <c r="F70" s="116" t="s">
        <v>148</v>
      </c>
      <c r="G70" s="116"/>
      <c r="H70" s="117">
        <f ca="1">SUM(H65:H69)</f>
        <v>1301.658344254027</v>
      </c>
      <c r="I70" s="117">
        <f t="shared" ref="I70:N70" ca="1" si="186">SUM(I65:I69)</f>
        <v>1186.739293383263</v>
      </c>
      <c r="J70" s="117">
        <f t="shared" ca="1" si="186"/>
        <v>183.20133079353076</v>
      </c>
      <c r="K70" s="117">
        <f t="shared" ca="1" si="186"/>
        <v>140.80724718810012</v>
      </c>
      <c r="L70" s="117">
        <f t="shared" ca="1" si="186"/>
        <v>392.6681542311544</v>
      </c>
      <c r="M70" s="117">
        <f t="shared" ca="1" si="186"/>
        <v>780.79825997642365</v>
      </c>
      <c r="N70" s="117">
        <f t="shared" ca="1" si="186"/>
        <v>745.07568043395804</v>
      </c>
      <c r="O70" s="117">
        <f t="shared" ref="O70" ca="1" si="187">SUM(O65:O69)</f>
        <v>431.34024199999999</v>
      </c>
      <c r="Q70" s="117">
        <f ca="1">SUM(Q65:Q69)</f>
        <v>1301.76551714582</v>
      </c>
      <c r="R70" s="117">
        <f t="shared" ref="R70" ca="1" si="188">SUM(R65:R69)</f>
        <v>1200.6680901815398</v>
      </c>
      <c r="S70" s="117">
        <f t="shared" ref="S70" ca="1" si="189">SUM(S65:S69)</f>
        <v>150.68464554725</v>
      </c>
      <c r="T70" s="117">
        <f t="shared" ref="T70" ca="1" si="190">SUM(T65:T69)</f>
        <v>129.49287366471</v>
      </c>
      <c r="U70" s="117">
        <f t="shared" ref="U70" ca="1" si="191">SUM(U65:U69)</f>
        <v>363.33459044904509</v>
      </c>
      <c r="V70" s="117">
        <f t="shared" ref="V70" ca="1" si="192">SUM(V65:V69)</f>
        <v>735.10837211870012</v>
      </c>
      <c r="W70" s="117">
        <f t="shared" ref="W70:X70" ca="1" si="193">SUM(W65:W69)</f>
        <v>748.92028875356255</v>
      </c>
      <c r="X70" s="117">
        <f t="shared" ca="1" si="193"/>
        <v>447.16560427500008</v>
      </c>
      <c r="Z70" s="118">
        <f ca="1">SUM(Z65:Z69)</f>
        <v>-0.1071728917929704</v>
      </c>
      <c r="AA70" s="118">
        <f t="shared" ref="AA70" ca="1" si="194">SUM(AA65:AA69)</f>
        <v>-13.928796798276835</v>
      </c>
      <c r="AB70" s="118">
        <f t="shared" ref="AB70" ca="1" si="195">SUM(AB65:AB69)</f>
        <v>32.51668524628073</v>
      </c>
      <c r="AC70" s="118">
        <f t="shared" ref="AC70" ca="1" si="196">SUM(AC65:AC69)</f>
        <v>11.314373523390127</v>
      </c>
      <c r="AD70" s="118">
        <f t="shared" ref="AD70" ca="1" si="197">SUM(AD65:AD69)</f>
        <v>29.333563782109248</v>
      </c>
      <c r="AE70" s="118">
        <f t="shared" ref="AE70" ca="1" si="198">SUM(AE65:AE69)</f>
        <v>45.689887857723491</v>
      </c>
      <c r="AF70" s="118">
        <f t="shared" ref="AF70:AG70" ca="1" si="199">SUM(AF65:AF69)</f>
        <v>-3.8446083196044256</v>
      </c>
      <c r="AG70" s="118">
        <f t="shared" ca="1" si="199"/>
        <v>-15.825362275000142</v>
      </c>
      <c r="AI70" s="129">
        <f t="shared" ca="1" si="164"/>
        <v>8.2335654564058558E-5</v>
      </c>
      <c r="AJ70" s="129">
        <f t="shared" ca="1" si="165"/>
        <v>1.1737031777693474E-2</v>
      </c>
      <c r="AK70" s="129">
        <f t="shared" ca="1" si="166"/>
        <v>-0.17749153407038998</v>
      </c>
      <c r="AL70" s="129">
        <f t="shared" ca="1" si="167"/>
        <v>-8.0353630578940183E-2</v>
      </c>
      <c r="AM70" s="129">
        <f t="shared" ca="1" si="168"/>
        <v>-7.4703190126391927E-2</v>
      </c>
      <c r="AN70" s="129">
        <f t="shared" ca="1" si="169"/>
        <v>-5.8516892518565733E-2</v>
      </c>
      <c r="AO70" s="129">
        <f t="shared" ca="1" si="170"/>
        <v>5.1600239016864613E-3</v>
      </c>
      <c r="AP70" s="129">
        <f t="shared" ca="1" si="170"/>
        <v>3.6688814847468221E-2</v>
      </c>
    </row>
    <row r="71" spans="1:104" outlineLevel="1" x14ac:dyDescent="0.2"/>
    <row r="72" spans="1:104" outlineLevel="1" x14ac:dyDescent="0.2">
      <c r="D72" s="95" t="str">
        <f>CHOOSE(db_ML_selected,'Liste Traduction'!B47,'Liste Traduction'!C47)</f>
        <v>Part du Gouv. (%)</v>
      </c>
      <c r="F72" s="98" t="s">
        <v>90</v>
      </c>
      <c r="H72" s="127">
        <f ca="1">H70/H53</f>
        <v>2.8751281612856183</v>
      </c>
      <c r="I72" s="127">
        <f t="shared" ref="I72:N72" ca="1" si="200">I70/I53</f>
        <v>-2.2801965074273887</v>
      </c>
      <c r="J72" s="127">
        <f t="shared" ca="1" si="200"/>
        <v>-6.8403526457220545E-2</v>
      </c>
      <c r="K72" s="127">
        <f t="shared" ca="1" si="200"/>
        <v>-5.8426354061705175E-2</v>
      </c>
      <c r="L72" s="127">
        <f t="shared" ca="1" si="200"/>
        <v>-1.574109564575781</v>
      </c>
      <c r="M72" s="127">
        <f t="shared" ca="1" si="200"/>
        <v>0.29089711690341868</v>
      </c>
      <c r="N72" s="127">
        <f t="shared" ca="1" si="200"/>
        <v>0.2297821464605376</v>
      </c>
      <c r="O72" s="127">
        <f t="shared" ref="O72" ca="1" si="201">O70/O53</f>
        <v>0.23725972039146304</v>
      </c>
      <c r="Q72" s="111">
        <f ca="1">Q70/Q53</f>
        <v>2.8753648868447317</v>
      </c>
      <c r="R72" s="111">
        <f t="shared" ref="R72:W72" ca="1" si="202">R70/R53</f>
        <v>-2.3069592462944484</v>
      </c>
      <c r="S72" s="111">
        <f t="shared" ca="1" si="202"/>
        <v>-5.6262479610503964E-2</v>
      </c>
      <c r="T72" s="111">
        <f t="shared" ca="1" si="202"/>
        <v>-5.3731584391356557E-2</v>
      </c>
      <c r="U72" s="111">
        <f t="shared" ca="1" si="202"/>
        <v>-1.4565185584935056</v>
      </c>
      <c r="V72" s="111">
        <f t="shared" ca="1" si="202"/>
        <v>0.27387472157962067</v>
      </c>
      <c r="W72" s="111">
        <f t="shared" ca="1" si="202"/>
        <v>0.23096782782845479</v>
      </c>
      <c r="X72" s="111">
        <f t="shared" ref="X72" ca="1" si="203">X70/X53</f>
        <v>0.24596449834366749</v>
      </c>
    </row>
    <row r="73" spans="1:104" outlineLevel="1" x14ac:dyDescent="0.2"/>
    <row r="74" spans="1:104" s="122" customFormat="1" ht="14" outlineLevel="1" x14ac:dyDescent="0.2">
      <c r="A74" s="120"/>
      <c r="B74" s="120"/>
      <c r="C74" s="120"/>
      <c r="D74" s="121" t="str">
        <f>CHOOSE(db_ML_selected,'Liste Traduction'!B48,'Liste Traduction'!C48)</f>
        <v>Revenus divisibles - Somme (flux de trésorerie du contracteur et du Gouv.)</v>
      </c>
      <c r="E74" s="120"/>
      <c r="F74" s="120"/>
      <c r="G74" s="120"/>
      <c r="H74" s="169">
        <f ca="1">ROUND(H53-SUM(H70,H97),1)</f>
        <v>-140.80000000000001</v>
      </c>
      <c r="I74" s="169">
        <f t="shared" ref="I74:O74" ca="1" si="204">ROUND(I53-SUM(I70,I97),1)</f>
        <v>-121.5</v>
      </c>
      <c r="J74" s="169">
        <f t="shared" ca="1" si="204"/>
        <v>3.4</v>
      </c>
      <c r="K74" s="169">
        <f t="shared" ca="1" si="204"/>
        <v>-55.5</v>
      </c>
      <c r="L74" s="169">
        <f t="shared" ca="1" si="204"/>
        <v>-143.4</v>
      </c>
      <c r="M74" s="169">
        <f t="shared" ca="1" si="204"/>
        <v>-222.1</v>
      </c>
      <c r="N74" s="169">
        <f t="shared" ca="1" si="204"/>
        <v>-110.5</v>
      </c>
      <c r="O74" s="169">
        <f t="shared" ca="1" si="204"/>
        <v>221</v>
      </c>
      <c r="P74" s="120"/>
      <c r="Q74" s="169">
        <f ca="1">ROUND(Q53-SUM(Q70,Q97),1)</f>
        <v>-61.2</v>
      </c>
      <c r="R74" s="169">
        <f t="shared" ref="R74:X74" ca="1" si="205">ROUND(R53-SUM(R70,R97),1)</f>
        <v>-35.9</v>
      </c>
      <c r="S74" s="169">
        <f t="shared" ca="1" si="205"/>
        <v>0</v>
      </c>
      <c r="T74" s="169">
        <f t="shared" ca="1" si="205"/>
        <v>0</v>
      </c>
      <c r="U74" s="169">
        <f t="shared" ca="1" si="205"/>
        <v>0</v>
      </c>
      <c r="V74" s="169">
        <f t="shared" ca="1" si="205"/>
        <v>0</v>
      </c>
      <c r="W74" s="169">
        <f t="shared" ca="1" si="205"/>
        <v>0</v>
      </c>
      <c r="X74" s="169">
        <f t="shared" ca="1" si="205"/>
        <v>0</v>
      </c>
      <c r="Y74" s="120"/>
      <c r="Z74" s="120"/>
      <c r="AA74" s="120"/>
      <c r="AB74" s="120"/>
      <c r="AC74" s="120"/>
      <c r="AD74" s="120"/>
      <c r="AE74" s="120"/>
      <c r="AF74" s="120"/>
      <c r="AG74" s="120"/>
      <c r="AH74" s="120"/>
      <c r="AI74" s="120"/>
      <c r="AJ74" s="120"/>
      <c r="AK74" s="120"/>
      <c r="AL74" s="120"/>
      <c r="AM74" s="120"/>
      <c r="AN74" s="120"/>
      <c r="AO74" s="120"/>
      <c r="AP74" s="120"/>
      <c r="AQ74" s="120"/>
      <c r="AR74" s="120"/>
      <c r="AS74" s="120"/>
      <c r="AT74" s="120"/>
      <c r="AU74" s="120"/>
      <c r="AV74" s="120"/>
      <c r="AW74" s="120"/>
      <c r="AX74" s="120"/>
      <c r="AY74" s="120"/>
      <c r="AZ74" s="120"/>
      <c r="BA74" s="120"/>
      <c r="BB74" s="120"/>
      <c r="BC74" s="120"/>
      <c r="BD74" s="120"/>
      <c r="BE74" s="120"/>
      <c r="BF74" s="120"/>
      <c r="BG74" s="120"/>
      <c r="BH74" s="120"/>
      <c r="BI74" s="120"/>
      <c r="BJ74" s="120"/>
      <c r="BK74" s="120"/>
      <c r="BL74" s="120"/>
      <c r="BM74" s="120"/>
      <c r="BN74" s="120"/>
      <c r="BO74" s="120"/>
      <c r="BP74" s="120"/>
      <c r="BQ74" s="120"/>
      <c r="BR74" s="120"/>
      <c r="BS74" s="120"/>
      <c r="BT74" s="120"/>
      <c r="BU74" s="120"/>
      <c r="BV74" s="120"/>
      <c r="BW74" s="120"/>
      <c r="BX74" s="120"/>
      <c r="BY74" s="120"/>
      <c r="BZ74" s="120"/>
      <c r="CA74" s="120"/>
      <c r="CB74" s="120"/>
      <c r="CC74" s="120"/>
      <c r="CD74" s="120"/>
      <c r="CE74" s="120"/>
      <c r="CF74" s="120"/>
      <c r="CG74" s="120"/>
      <c r="CH74" s="120"/>
      <c r="CI74" s="120"/>
      <c r="CJ74" s="120"/>
      <c r="CK74" s="120"/>
      <c r="CL74" s="120"/>
      <c r="CM74" s="120"/>
      <c r="CN74" s="120"/>
      <c r="CO74" s="120"/>
      <c r="CP74" s="120"/>
      <c r="CQ74" s="120"/>
      <c r="CR74" s="120"/>
      <c r="CS74" s="120"/>
      <c r="CT74" s="120"/>
      <c r="CU74" s="120"/>
      <c r="CV74" s="120"/>
      <c r="CW74" s="120"/>
      <c r="CX74" s="120"/>
      <c r="CY74" s="120"/>
      <c r="CZ74" s="120"/>
    </row>
    <row r="75" spans="1:104" ht="16" thickBot="1" x14ac:dyDescent="0.25"/>
    <row r="76" spans="1:104" ht="16" x14ac:dyDescent="0.2">
      <c r="D76" s="106" t="str">
        <f>CHOOSE(db_ML_selected,'Liste Traduction'!B49,'Liste Traduction'!C49)</f>
        <v>Part du Contracteur</v>
      </c>
      <c r="E76" s="107"/>
      <c r="F76" s="108"/>
      <c r="G76" s="108"/>
      <c r="H76" s="107"/>
      <c r="I76" s="107"/>
      <c r="J76" s="107"/>
      <c r="K76" s="107"/>
      <c r="L76" s="109"/>
      <c r="M76" s="109"/>
      <c r="N76" s="109"/>
      <c r="O76" s="109"/>
      <c r="Q76" s="109"/>
      <c r="R76" s="109"/>
      <c r="S76" s="109"/>
      <c r="T76" s="109"/>
      <c r="U76" s="109"/>
      <c r="V76" s="109"/>
      <c r="W76" s="109"/>
      <c r="X76" s="109"/>
      <c r="Z76" s="109"/>
      <c r="AA76" s="109"/>
      <c r="AB76" s="109"/>
      <c r="AC76" s="109"/>
      <c r="AD76" s="109"/>
      <c r="AE76" s="109"/>
      <c r="AF76" s="109"/>
      <c r="AG76" s="109"/>
      <c r="AI76" s="109"/>
      <c r="AJ76" s="109"/>
      <c r="AK76" s="109"/>
      <c r="AL76" s="109"/>
      <c r="AM76" s="109"/>
      <c r="AN76" s="109"/>
      <c r="AO76" s="109"/>
      <c r="AP76" s="109"/>
    </row>
    <row r="77" spans="1:104" outlineLevel="1" x14ac:dyDescent="0.2"/>
    <row r="78" spans="1:104" outlineLevel="1" x14ac:dyDescent="0.2">
      <c r="D78" s="110" t="str">
        <f>CHOOSE(db_ML_selected,'Liste Traduction'!B50,'Liste Traduction'!C50)</f>
        <v>Vol. Cost Oil</v>
      </c>
      <c r="F78" s="98" t="s">
        <v>88</v>
      </c>
      <c r="H78" s="124" cm="1">
        <f t="array" aca="1" ref="H78:O78" ca="1">OFFSET(RA_costoil_cont,,,,8)</f>
        <v>2.9992264411255869</v>
      </c>
      <c r="I78" s="124">
        <f ca="1"/>
        <v>3.6277583419481636</v>
      </c>
      <c r="J78" s="124">
        <f ca="1"/>
        <v>9.3187840000000008</v>
      </c>
      <c r="K78" s="124">
        <f ca="1"/>
        <v>11.872558173700002</v>
      </c>
      <c r="L78" s="124">
        <f ca="1"/>
        <v>24.691832848900003</v>
      </c>
      <c r="M78" s="124">
        <f ca="1"/>
        <v>38.944228930599998</v>
      </c>
      <c r="N78" s="124">
        <f ca="1"/>
        <v>39.4500413321</v>
      </c>
      <c r="O78" s="124">
        <f ca="1"/>
        <v>36.433700000000002</v>
      </c>
      <c r="Q78" s="55" cm="1">
        <f t="array" aca="1" ref="Q78:X78" ca="1">CHOOSE(db_psc_number,OFFSET(HM_ZA_Nkossa!L557,,,,8),OFFSET(HM_ZB_Nsoko!L567,,,,8),OFFSET(HM_ZD_Moho!L581,,,,8),OFFSET(KLL_II_2020!L554,,,,8),OFFSET(Marine!L593,,,,8),,)</f>
        <v>2.5006716882754678</v>
      </c>
      <c r="R78" s="55">
        <f ca="1"/>
        <v>2.9267021410112495</v>
      </c>
      <c r="S78" s="55">
        <f ca="1"/>
        <v>10.756846099999999</v>
      </c>
      <c r="T78" s="55">
        <f ca="1"/>
        <v>10.913976499999999</v>
      </c>
      <c r="U78" s="55">
        <f ca="1"/>
        <v>22.843992500000002</v>
      </c>
      <c r="V78" s="55">
        <f ca="1"/>
        <v>36.672427399999997</v>
      </c>
      <c r="W78" s="55">
        <f ca="1"/>
        <v>38.250239300000004</v>
      </c>
      <c r="X78" s="55">
        <f ca="1"/>
        <v>36.43374</v>
      </c>
      <c r="Z78" s="101">
        <f ca="1">H78-Q78</f>
        <v>0.49855475285011908</v>
      </c>
      <c r="AA78" s="101">
        <f ca="1">I78-R78</f>
        <v>0.70105620093691412</v>
      </c>
      <c r="AB78" s="101">
        <f ca="1">J78-S78</f>
        <v>-1.438062099999998</v>
      </c>
      <c r="AC78" s="101">
        <f ca="1">K78-T78</f>
        <v>0.95858167370000302</v>
      </c>
      <c r="AD78" s="101">
        <f ca="1">L78-U78</f>
        <v>1.8478403489000002</v>
      </c>
      <c r="AE78" s="101">
        <f t="shared" ref="AE78" ca="1" si="206">M78-V78</f>
        <v>2.2718015306000012</v>
      </c>
      <c r="AF78" s="101">
        <f t="shared" ref="AF78:AG78" ca="1" si="207">N78-W78</f>
        <v>1.1998020320999956</v>
      </c>
      <c r="AG78" s="101">
        <f t="shared" ca="1" si="207"/>
        <v>-3.9999999998485691E-5</v>
      </c>
      <c r="AI78" s="111">
        <f t="shared" ref="AI78:AI84" ca="1" si="208">IFERROR(Q78/H78-1,0)</f>
        <v>-0.16622777994148896</v>
      </c>
      <c r="AJ78" s="111">
        <f t="shared" ref="AJ78:AJ84" ca="1" si="209">IFERROR(R78/I78-1,0)</f>
        <v>-0.1932477675898433</v>
      </c>
      <c r="AK78" s="111">
        <f t="shared" ref="AK78:AK84" ca="1" si="210">IFERROR(S78/J78-1,0)</f>
        <v>0.15431864286155772</v>
      </c>
      <c r="AL78" s="111">
        <f t="shared" ref="AL78:AL84" ca="1" si="211">IFERROR(T78/K78-1,0)</f>
        <v>-8.073926947129606E-2</v>
      </c>
      <c r="AM78" s="111">
        <f t="shared" ref="AM78:AM84" ca="1" si="212">IFERROR(U78/L78-1,0)</f>
        <v>-7.4836095003871672E-2</v>
      </c>
      <c r="AN78" s="111">
        <f t="shared" ref="AN78:AN84" ca="1" si="213">IFERROR(V78/M78-1,0)</f>
        <v>-5.8334741577460214E-2</v>
      </c>
      <c r="AO78" s="111">
        <f t="shared" ref="AO78:AP84" ca="1" si="214">IFERROR(W78/N78-1,0)</f>
        <v>-3.0413200888682712E-2</v>
      </c>
      <c r="AP78" s="111">
        <f t="shared" ca="1" si="214"/>
        <v>1.0978846507470053E-6</v>
      </c>
    </row>
    <row r="79" spans="1:104" outlineLevel="1" x14ac:dyDescent="0.2">
      <c r="D79" s="110" t="str">
        <f>CHOOSE(db_ML_selected,'Liste Traduction'!B51,'Liste Traduction'!C51)</f>
        <v>Vol. Cost Gaz</v>
      </c>
      <c r="F79" s="98" t="s">
        <v>653</v>
      </c>
      <c r="H79" s="124" cm="1">
        <f t="array" aca="1" ref="H79:O79" ca="1">OFFSET(RA_costgas_cont,,,,8)</f>
        <v>0</v>
      </c>
      <c r="I79" s="124">
        <f ca="1"/>
        <v>0</v>
      </c>
      <c r="J79" s="124">
        <f ca="1"/>
        <v>0</v>
      </c>
      <c r="K79" s="124">
        <f ca="1"/>
        <v>0</v>
      </c>
      <c r="L79" s="124">
        <f ca="1"/>
        <v>0</v>
      </c>
      <c r="M79" s="124">
        <f ca="1"/>
        <v>0</v>
      </c>
      <c r="N79" s="124">
        <f ca="1"/>
        <v>0</v>
      </c>
      <c r="O79" s="124">
        <f ca="1"/>
        <v>0</v>
      </c>
      <c r="Q79" s="55" cm="1">
        <f t="array" aca="1" ref="Q79:X79" ca="1">CHOOSE(db_psc_number,OFFSET(HM_ZA_Nkossa!L558,,,,8),OFFSET(HM_ZB_Nsoko!L568,,,,8),OFFSET(HM_ZD_Moho!L582,,,,8),OFFSET(KLL_II_2020!L555,,,,8),OFFSET(Marine!L594,,,,8),,)</f>
        <v>0</v>
      </c>
      <c r="R79" s="55">
        <f ca="1"/>
        <v>0</v>
      </c>
      <c r="S79" s="55">
        <f ca="1"/>
        <v>0</v>
      </c>
      <c r="T79" s="55">
        <f ca="1"/>
        <v>0</v>
      </c>
      <c r="U79" s="55">
        <f ca="1"/>
        <v>0</v>
      </c>
      <c r="V79" s="55">
        <f ca="1"/>
        <v>0</v>
      </c>
      <c r="W79" s="55">
        <f ca="1"/>
        <v>0</v>
      </c>
      <c r="X79" s="55">
        <f ca="1"/>
        <v>0</v>
      </c>
      <c r="Z79" s="101">
        <f t="shared" ref="Z79:Z83" ca="1" si="215">H79-Q79</f>
        <v>0</v>
      </c>
      <c r="AA79" s="101">
        <f t="shared" ref="AA79:AA83" ca="1" si="216">I79-R79</f>
        <v>0</v>
      </c>
      <c r="AB79" s="101">
        <f t="shared" ref="AB79:AB83" ca="1" si="217">J79-S79</f>
        <v>0</v>
      </c>
      <c r="AC79" s="101">
        <f t="shared" ref="AC79:AC83" ca="1" si="218">K79-T79</f>
        <v>0</v>
      </c>
      <c r="AD79" s="101">
        <f t="shared" ref="AD79:AD83" ca="1" si="219">L79-U79</f>
        <v>0</v>
      </c>
      <c r="AE79" s="101">
        <f t="shared" ref="AE79:AE83" ca="1" si="220">M79-V79</f>
        <v>0</v>
      </c>
      <c r="AF79" s="101">
        <f t="shared" ref="AF79:AG83" ca="1" si="221">N79-W79</f>
        <v>0</v>
      </c>
      <c r="AG79" s="101">
        <f t="shared" ca="1" si="221"/>
        <v>0</v>
      </c>
      <c r="AI79" s="111">
        <f t="shared" ca="1" si="208"/>
        <v>0</v>
      </c>
      <c r="AJ79" s="111">
        <f t="shared" ca="1" si="209"/>
        <v>0</v>
      </c>
      <c r="AK79" s="111">
        <f t="shared" ca="1" si="210"/>
        <v>0</v>
      </c>
      <c r="AL79" s="111">
        <f t="shared" ca="1" si="211"/>
        <v>0</v>
      </c>
      <c r="AM79" s="111">
        <f t="shared" ca="1" si="212"/>
        <v>0</v>
      </c>
      <c r="AN79" s="111">
        <f t="shared" ca="1" si="213"/>
        <v>0</v>
      </c>
      <c r="AO79" s="111">
        <f t="shared" ca="1" si="214"/>
        <v>0</v>
      </c>
      <c r="AP79" s="111">
        <f t="shared" ca="1" si="214"/>
        <v>0</v>
      </c>
    </row>
    <row r="80" spans="1:104" outlineLevel="1" x14ac:dyDescent="0.2">
      <c r="D80" s="110" t="str">
        <f>CHOOSE(db_ML_selected,'Liste Traduction'!B52,'Liste Traduction'!C52)</f>
        <v>Vol. ECO</v>
      </c>
      <c r="F80" s="98" t="s">
        <v>88</v>
      </c>
      <c r="H80" s="124"/>
      <c r="I80" s="124"/>
      <c r="J80" s="124"/>
      <c r="K80" s="124"/>
      <c r="L80" s="124"/>
      <c r="M80" s="124"/>
      <c r="N80" s="124"/>
      <c r="O80" s="124"/>
      <c r="Q80" s="55" cm="1">
        <f t="array" aca="1" ref="Q80:X80" ca="1">CHOOSE(db_psc_number,OFFSET(HM_ZA_Nkossa!L559,,,,8),OFFSET(HM_ZB_Nsoko!L569,,,,8),OFFSET(HM_ZD_Moho!L583,,,,8),OFFSET(KLL_II_2020!L556,,,,8),OFFSET(Marine!L595,,,,8)+OFFSET(Marine!L596,,,,8)*conv_CMtoBbls,,)</f>
        <v>0</v>
      </c>
      <c r="R80" s="55">
        <f ca="1"/>
        <v>0</v>
      </c>
      <c r="S80" s="55">
        <f ca="1"/>
        <v>0</v>
      </c>
      <c r="T80" s="55">
        <f ca="1"/>
        <v>0</v>
      </c>
      <c r="U80" s="55">
        <f ca="1"/>
        <v>0</v>
      </c>
      <c r="V80" s="55">
        <f ca="1"/>
        <v>0</v>
      </c>
      <c r="W80" s="55">
        <f ca="1"/>
        <v>0</v>
      </c>
      <c r="X80" s="55">
        <f ca="1"/>
        <v>0</v>
      </c>
      <c r="Z80" s="101">
        <f t="shared" ca="1" si="215"/>
        <v>0</v>
      </c>
      <c r="AA80" s="101">
        <f t="shared" ca="1" si="216"/>
        <v>0</v>
      </c>
      <c r="AB80" s="101">
        <f t="shared" ca="1" si="217"/>
        <v>0</v>
      </c>
      <c r="AC80" s="101">
        <f t="shared" ca="1" si="218"/>
        <v>0</v>
      </c>
      <c r="AD80" s="101">
        <f t="shared" ca="1" si="219"/>
        <v>0</v>
      </c>
      <c r="AE80" s="101">
        <f t="shared" ca="1" si="220"/>
        <v>0</v>
      </c>
      <c r="AF80" s="101">
        <f t="shared" ca="1" si="221"/>
        <v>0</v>
      </c>
      <c r="AG80" s="101">
        <f t="shared" ca="1" si="221"/>
        <v>0</v>
      </c>
      <c r="AI80" s="111">
        <f t="shared" ca="1" si="208"/>
        <v>0</v>
      </c>
      <c r="AJ80" s="111">
        <f t="shared" ca="1" si="209"/>
        <v>0</v>
      </c>
      <c r="AK80" s="111">
        <f t="shared" ca="1" si="210"/>
        <v>0</v>
      </c>
      <c r="AL80" s="111">
        <f t="shared" ca="1" si="211"/>
        <v>0</v>
      </c>
      <c r="AM80" s="111">
        <f t="shared" ca="1" si="212"/>
        <v>0</v>
      </c>
      <c r="AN80" s="111">
        <f t="shared" ca="1" si="213"/>
        <v>0</v>
      </c>
      <c r="AO80" s="111">
        <f t="shared" ca="1" si="214"/>
        <v>0</v>
      </c>
      <c r="AP80" s="111">
        <f t="shared" ca="1" si="214"/>
        <v>0</v>
      </c>
    </row>
    <row r="81" spans="1:104" outlineLevel="1" x14ac:dyDescent="0.2">
      <c r="D81" s="110" t="str">
        <f>CHOOSE(db_ML_selected,'Liste Traduction'!B53,'Liste Traduction'!C53)</f>
        <v>Vol. SPO</v>
      </c>
      <c r="F81" s="98" t="s">
        <v>88</v>
      </c>
      <c r="H81" s="124" cm="1">
        <f t="array" aca="1" ref="H81:O81" ca="1">OFFSET(RA_spo_cont,,,,8)</f>
        <v>1.3011282288180415</v>
      </c>
      <c r="I81" s="124">
        <f ca="1"/>
        <v>1.2713778160393705</v>
      </c>
      <c r="J81" s="124">
        <f ca="1"/>
        <v>0</v>
      </c>
      <c r="K81" s="124">
        <f ca="1"/>
        <v>0</v>
      </c>
      <c r="L81" s="124">
        <f ca="1"/>
        <v>0</v>
      </c>
      <c r="M81" s="124">
        <f ca="1"/>
        <v>0</v>
      </c>
      <c r="N81" s="124">
        <f ca="1"/>
        <v>0</v>
      </c>
      <c r="O81" s="124">
        <f ca="1"/>
        <v>0</v>
      </c>
      <c r="Q81" s="55" cm="1">
        <f t="array" aca="1" ref="Q81:X81" ca="1">CHOOSE(db_psc_number,OFFSET(HM_ZA_Nkossa!L560,,,,8),OFFSET(HM_ZB_Nsoko!L570,,,,8),OFFSET(HM_ZD_Moho!L584,,,,8),OFFSET(KLL_II_2020!L557,,,,8),OFFSET(Marine!L597,,,,8),,)</f>
        <v>4.0427653519829203</v>
      </c>
      <c r="R81" s="55">
        <f ca="1"/>
        <v>4.0580008783564345</v>
      </c>
      <c r="S81" s="55">
        <f ca="1"/>
        <v>0</v>
      </c>
      <c r="T81" s="55">
        <f ca="1"/>
        <v>0</v>
      </c>
      <c r="U81" s="55">
        <f ca="1"/>
        <v>0</v>
      </c>
      <c r="V81" s="55">
        <f ca="1"/>
        <v>0</v>
      </c>
      <c r="W81" s="55">
        <f ca="1"/>
        <v>0</v>
      </c>
      <c r="X81" s="55">
        <f ca="1"/>
        <v>0</v>
      </c>
      <c r="Z81" s="101">
        <f t="shared" ca="1" si="215"/>
        <v>-2.7416371231648791</v>
      </c>
      <c r="AA81" s="101">
        <f t="shared" ca="1" si="216"/>
        <v>-2.786623062317064</v>
      </c>
      <c r="AB81" s="101">
        <f t="shared" ca="1" si="217"/>
        <v>0</v>
      </c>
      <c r="AC81" s="101">
        <f t="shared" ca="1" si="218"/>
        <v>0</v>
      </c>
      <c r="AD81" s="101">
        <f t="shared" ca="1" si="219"/>
        <v>0</v>
      </c>
      <c r="AE81" s="101">
        <f t="shared" ca="1" si="220"/>
        <v>0</v>
      </c>
      <c r="AF81" s="101">
        <f t="shared" ca="1" si="221"/>
        <v>0</v>
      </c>
      <c r="AG81" s="101">
        <f t="shared" ca="1" si="221"/>
        <v>0</v>
      </c>
      <c r="AI81" s="111">
        <f t="shared" ca="1" si="208"/>
        <v>2.1071229279649177</v>
      </c>
      <c r="AJ81" s="111">
        <f t="shared" ca="1" si="209"/>
        <v>2.1918135011966982</v>
      </c>
      <c r="AK81" s="111">
        <f t="shared" ca="1" si="210"/>
        <v>0</v>
      </c>
      <c r="AL81" s="111">
        <f t="shared" ca="1" si="211"/>
        <v>0</v>
      </c>
      <c r="AM81" s="111">
        <f t="shared" ca="1" si="212"/>
        <v>0</v>
      </c>
      <c r="AN81" s="111">
        <f t="shared" ca="1" si="213"/>
        <v>0</v>
      </c>
      <c r="AO81" s="111">
        <f t="shared" ca="1" si="214"/>
        <v>0</v>
      </c>
      <c r="AP81" s="111">
        <f t="shared" ca="1" si="214"/>
        <v>0</v>
      </c>
    </row>
    <row r="82" spans="1:104" outlineLevel="1" x14ac:dyDescent="0.2">
      <c r="D82" s="110" t="str">
        <f>CHOOSE(db_ML_selected,'Liste Traduction'!B54,'Liste Traduction'!C54)</f>
        <v>Vol. Profit Oil</v>
      </c>
      <c r="F82" s="98" t="s">
        <v>88</v>
      </c>
      <c r="H82" s="124" cm="1">
        <f t="array" aca="1" ref="H82:O82" ca="1">OFFSET(RA_profitoil_cont,,,,8)</f>
        <v>3.0112438592065649</v>
      </c>
      <c r="I82" s="124">
        <f ca="1"/>
        <v>3.1320007571110731</v>
      </c>
      <c r="J82" s="124">
        <f ca="1"/>
        <v>2.3005080000000002</v>
      </c>
      <c r="K82" s="124">
        <f ca="1"/>
        <v>1.780883726055001</v>
      </c>
      <c r="L82" s="124">
        <f ca="1"/>
        <v>3.7037749273350014</v>
      </c>
      <c r="M82" s="124">
        <f ca="1"/>
        <v>5.8416343395900006</v>
      </c>
      <c r="N82" s="124">
        <f ca="1"/>
        <v>5.9175061998150014</v>
      </c>
      <c r="O82" s="124">
        <f ca="1"/>
        <v>0</v>
      </c>
      <c r="Q82" s="55" cm="1">
        <f t="array" aca="1" ref="Q82:X82" ca="1">CHOOSE(db_psc_number,OFFSET(HM_ZA_Nkossa!L561,,,,8),OFFSET(HM_ZB_Nsoko!L571,,,,8),OFFSET(HM_ZD_Moho!L585,,,,8),OFFSET(KLL_II_2020!L558,,,,8),OFFSET(Marine!L598,,,,8),,)</f>
        <v>0</v>
      </c>
      <c r="R82" s="55">
        <f ca="1"/>
        <v>0</v>
      </c>
      <c r="S82" s="55">
        <f ca="1"/>
        <v>1.6135269150000009</v>
      </c>
      <c r="T82" s="55">
        <f ca="1"/>
        <v>1.6370964750000008</v>
      </c>
      <c r="U82" s="55">
        <f ca="1"/>
        <v>3.4265988750000025</v>
      </c>
      <c r="V82" s="55">
        <f ca="1"/>
        <v>5.5008641100000029</v>
      </c>
      <c r="W82" s="55">
        <f ca="1"/>
        <v>5.3277119024999982</v>
      </c>
      <c r="X82" s="55">
        <f ca="1"/>
        <v>5.0746995000000057</v>
      </c>
      <c r="Z82" s="101">
        <f t="shared" ca="1" si="215"/>
        <v>3.0112438592065649</v>
      </c>
      <c r="AA82" s="101">
        <f t="shared" ca="1" si="216"/>
        <v>3.1320007571110731</v>
      </c>
      <c r="AB82" s="101">
        <f t="shared" ca="1" si="217"/>
        <v>0.68698108499999933</v>
      </c>
      <c r="AC82" s="101">
        <f t="shared" ca="1" si="218"/>
        <v>0.14378725105500023</v>
      </c>
      <c r="AD82" s="101">
        <f t="shared" ca="1" si="219"/>
        <v>0.27717605233499887</v>
      </c>
      <c r="AE82" s="101">
        <f t="shared" ca="1" si="220"/>
        <v>0.3407702295899977</v>
      </c>
      <c r="AF82" s="101">
        <f t="shared" ca="1" si="221"/>
        <v>0.58979429731500321</v>
      </c>
      <c r="AG82" s="101">
        <f t="shared" ca="1" si="221"/>
        <v>-5.0746995000000057</v>
      </c>
      <c r="AI82" s="111">
        <f t="shared" ca="1" si="208"/>
        <v>-1</v>
      </c>
      <c r="AJ82" s="111">
        <f t="shared" ca="1" si="209"/>
        <v>-1</v>
      </c>
      <c r="AK82" s="111">
        <f t="shared" ca="1" si="210"/>
        <v>-0.29862147186621357</v>
      </c>
      <c r="AL82" s="111">
        <f t="shared" ca="1" si="211"/>
        <v>-8.0739269471295949E-2</v>
      </c>
      <c r="AM82" s="111">
        <f t="shared" ca="1" si="212"/>
        <v>-7.4836095003871339E-2</v>
      </c>
      <c r="AN82" s="111">
        <f t="shared" ca="1" si="213"/>
        <v>-5.833474157745977E-2</v>
      </c>
      <c r="AO82" s="111">
        <f t="shared" ca="1" si="214"/>
        <v>-9.9669400825206034E-2</v>
      </c>
      <c r="AP82" s="111">
        <f t="shared" ca="1" si="214"/>
        <v>0</v>
      </c>
    </row>
    <row r="83" spans="1:104" outlineLevel="1" x14ac:dyDescent="0.2">
      <c r="D83" s="110" t="str">
        <f>CHOOSE(db_ML_selected,'Liste Traduction'!B55,'Liste Traduction'!C55)</f>
        <v>Vol. Profit Gaz</v>
      </c>
      <c r="F83" s="98" t="s">
        <v>653</v>
      </c>
      <c r="H83" s="124" cm="1">
        <f t="array" aca="1" ref="H83:O83" ca="1">OFFSET(RA_profitgas_cont,,,,8)</f>
        <v>0</v>
      </c>
      <c r="I83" s="124">
        <f ca="1"/>
        <v>0</v>
      </c>
      <c r="J83" s="124">
        <f ca="1"/>
        <v>0</v>
      </c>
      <c r="K83" s="124">
        <f ca="1"/>
        <v>0</v>
      </c>
      <c r="L83" s="124">
        <f ca="1"/>
        <v>0</v>
      </c>
      <c r="M83" s="124">
        <f ca="1"/>
        <v>0</v>
      </c>
      <c r="N83" s="124">
        <f ca="1"/>
        <v>0</v>
      </c>
      <c r="O83" s="124">
        <f ca="1"/>
        <v>0</v>
      </c>
      <c r="Q83" s="55" cm="1">
        <f t="array" aca="1" ref="Q83:X83" ca="1">CHOOSE(db_psc_number,OFFSET(HM_ZA_Nkossa!L562,,,,8),OFFSET(HM_ZB_Nsoko!L572,,,,8),OFFSET(HM_ZD_Moho!L586,,,,8),OFFSET(KLL_II_2020!L559,,,,8),OFFSET(Marine!L599,,,,8),,)</f>
        <v>0</v>
      </c>
      <c r="R83" s="55">
        <f ca="1"/>
        <v>0</v>
      </c>
      <c r="S83" s="55">
        <f ca="1"/>
        <v>0</v>
      </c>
      <c r="T83" s="55">
        <f ca="1"/>
        <v>0</v>
      </c>
      <c r="U83" s="55">
        <f ca="1"/>
        <v>0</v>
      </c>
      <c r="V83" s="55">
        <f ca="1"/>
        <v>0</v>
      </c>
      <c r="W83" s="55">
        <f ca="1"/>
        <v>0</v>
      </c>
      <c r="X83" s="55">
        <f ca="1"/>
        <v>0</v>
      </c>
      <c r="Z83" s="101">
        <f t="shared" ca="1" si="215"/>
        <v>0</v>
      </c>
      <c r="AA83" s="101">
        <f t="shared" ca="1" si="216"/>
        <v>0</v>
      </c>
      <c r="AB83" s="101">
        <f t="shared" ca="1" si="217"/>
        <v>0</v>
      </c>
      <c r="AC83" s="101">
        <f t="shared" ca="1" si="218"/>
        <v>0</v>
      </c>
      <c r="AD83" s="101">
        <f t="shared" ca="1" si="219"/>
        <v>0</v>
      </c>
      <c r="AE83" s="101">
        <f t="shared" ca="1" si="220"/>
        <v>0</v>
      </c>
      <c r="AF83" s="101">
        <f t="shared" ca="1" si="221"/>
        <v>0</v>
      </c>
      <c r="AG83" s="101">
        <f t="shared" ca="1" si="221"/>
        <v>0</v>
      </c>
      <c r="AI83" s="111">
        <f t="shared" ca="1" si="208"/>
        <v>0</v>
      </c>
      <c r="AJ83" s="111">
        <f t="shared" ca="1" si="209"/>
        <v>0</v>
      </c>
      <c r="AK83" s="111">
        <f t="shared" ca="1" si="210"/>
        <v>0</v>
      </c>
      <c r="AL83" s="111">
        <f t="shared" ca="1" si="211"/>
        <v>0</v>
      </c>
      <c r="AM83" s="111">
        <f t="shared" ca="1" si="212"/>
        <v>0</v>
      </c>
      <c r="AN83" s="111">
        <f t="shared" ca="1" si="213"/>
        <v>0</v>
      </c>
      <c r="AO83" s="111">
        <f t="shared" ca="1" si="214"/>
        <v>0</v>
      </c>
      <c r="AP83" s="111">
        <f t="shared" ca="1" si="214"/>
        <v>0</v>
      </c>
    </row>
    <row r="84" spans="1:104" s="47" customFormat="1" outlineLevel="1" x14ac:dyDescent="0.2">
      <c r="A84" s="11"/>
      <c r="B84" s="11"/>
      <c r="C84" s="11"/>
      <c r="D84" s="114" t="str">
        <f>D61</f>
        <v>Volumes totaux</v>
      </c>
      <c r="E84" s="115"/>
      <c r="F84" s="116" t="s">
        <v>149</v>
      </c>
      <c r="G84" s="116"/>
      <c r="H84" s="117">
        <f t="shared" ref="H84:N84" ca="1" si="222">SUM(H78,H80,H81,H82)+SUM(H79,H83)*conv_CMtoBbls</f>
        <v>7.311598529150193</v>
      </c>
      <c r="I84" s="117">
        <f t="shared" ca="1" si="222"/>
        <v>8.0311369150986067</v>
      </c>
      <c r="J84" s="117">
        <f t="shared" ca="1" si="222"/>
        <v>11.619292000000002</v>
      </c>
      <c r="K84" s="117">
        <f t="shared" ca="1" si="222"/>
        <v>13.653441899755002</v>
      </c>
      <c r="L84" s="117">
        <f t="shared" ca="1" si="222"/>
        <v>28.395607776235003</v>
      </c>
      <c r="M84" s="117">
        <f t="shared" ca="1" si="222"/>
        <v>44.785863270189999</v>
      </c>
      <c r="N84" s="117">
        <f t="shared" ca="1" si="222"/>
        <v>45.367547531915001</v>
      </c>
      <c r="O84" s="117">
        <f t="shared" ref="O84" ca="1" si="223">SUM(O78,O80,O81,O82)+SUM(O79,O83)*conv_CMtoBbls</f>
        <v>36.433700000000002</v>
      </c>
      <c r="P84" s="11"/>
      <c r="Q84" s="118">
        <f t="shared" ref="Q84:W84" ca="1" si="224">SUM(Q78,Q80,Q81,Q82)+SUM(Q79,Q83)*conv_CMtoBbls</f>
        <v>6.5434370402583877</v>
      </c>
      <c r="R84" s="118">
        <f t="shared" ca="1" si="224"/>
        <v>6.984703019367684</v>
      </c>
      <c r="S84" s="118">
        <f t="shared" ca="1" si="224"/>
        <v>12.370373015</v>
      </c>
      <c r="T84" s="118">
        <f t="shared" ca="1" si="224"/>
        <v>12.551072975</v>
      </c>
      <c r="U84" s="118">
        <f t="shared" ca="1" si="224"/>
        <v>26.270591375000006</v>
      </c>
      <c r="V84" s="118">
        <f t="shared" ca="1" si="224"/>
        <v>42.173291509999999</v>
      </c>
      <c r="W84" s="118">
        <f t="shared" ca="1" si="224"/>
        <v>43.577951202500003</v>
      </c>
      <c r="X84" s="118">
        <f t="shared" ref="X84" ca="1" si="225">SUM(X78,X80,X81,X82)+SUM(X79,X83)*conv_CMtoBbls</f>
        <v>41.508439500000009</v>
      </c>
      <c r="Y84" s="11"/>
      <c r="Z84" s="118">
        <f t="shared" ref="Z84" ca="1" si="226">H84-Q84</f>
        <v>0.76816148889180536</v>
      </c>
      <c r="AA84" s="118">
        <f t="shared" ref="AA84" ca="1" si="227">I84-R84</f>
        <v>1.0464338957309227</v>
      </c>
      <c r="AB84" s="118">
        <f t="shared" ref="AB84" ca="1" si="228">J84-S84</f>
        <v>-0.75108101499999869</v>
      </c>
      <c r="AC84" s="118">
        <f t="shared" ref="AC84" ca="1" si="229">K84-T84</f>
        <v>1.1023689247550017</v>
      </c>
      <c r="AD84" s="118">
        <f t="shared" ref="AD84" ca="1" si="230">L84-U84</f>
        <v>2.1250164012349977</v>
      </c>
      <c r="AE84" s="118">
        <f t="shared" ref="AE84" ca="1" si="231">M84-V84</f>
        <v>2.6125717601900007</v>
      </c>
      <c r="AF84" s="118">
        <f t="shared" ref="AF84:AG84" ca="1" si="232">N84-W84</f>
        <v>1.7895963294149979</v>
      </c>
      <c r="AG84" s="118">
        <f t="shared" ca="1" si="232"/>
        <v>-5.0747395000000068</v>
      </c>
      <c r="AH84" s="11"/>
      <c r="AI84" s="129">
        <f t="shared" ca="1" si="208"/>
        <v>-0.10506067665357532</v>
      </c>
      <c r="AJ84" s="129">
        <f t="shared" ca="1" si="209"/>
        <v>-0.13029710572654019</v>
      </c>
      <c r="AK84" s="129">
        <f t="shared" ca="1" si="210"/>
        <v>6.4640858926688249E-2</v>
      </c>
      <c r="AL84" s="129">
        <f t="shared" ca="1" si="211"/>
        <v>-8.0739269471295949E-2</v>
      </c>
      <c r="AM84" s="129">
        <f t="shared" ca="1" si="212"/>
        <v>-7.4836095003871561E-2</v>
      </c>
      <c r="AN84" s="129">
        <f t="shared" ca="1" si="213"/>
        <v>-5.8334741577460214E-2</v>
      </c>
      <c r="AO84" s="129">
        <f t="shared" ca="1" si="214"/>
        <v>-3.9446618271707479E-2</v>
      </c>
      <c r="AP84" s="129">
        <f t="shared" ca="1" si="214"/>
        <v>0.13928696509001304</v>
      </c>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1"/>
      <c r="CN84" s="11"/>
      <c r="CO84" s="11"/>
      <c r="CP84" s="11"/>
      <c r="CQ84" s="11"/>
      <c r="CR84" s="11"/>
      <c r="CS84" s="11"/>
      <c r="CT84" s="11"/>
      <c r="CU84" s="11"/>
      <c r="CV84" s="11"/>
      <c r="CW84" s="11"/>
      <c r="CX84" s="11"/>
      <c r="CY84" s="11"/>
      <c r="CZ84" s="11"/>
    </row>
    <row r="85" spans="1:104" outlineLevel="1" x14ac:dyDescent="0.2"/>
    <row r="86" spans="1:104" outlineLevel="1" x14ac:dyDescent="0.2">
      <c r="D86" s="51" t="str">
        <f>CHOOSE(db_ML_selected,'Liste Traduction'!B56,'Liste Traduction'!C56)</f>
        <v>Flux de trésorerie Contracteur</v>
      </c>
    </row>
    <row r="87" spans="1:104" outlineLevel="1" x14ac:dyDescent="0.2">
      <c r="D87" s="110" t="str">
        <f>CHOOSE(db_ML_selected,'Liste Traduction'!B57,'Liste Traduction'!C57)</f>
        <v>Récupération des coûts</v>
      </c>
      <c r="F87" s="98" t="s">
        <v>148</v>
      </c>
      <c r="H87" s="125">
        <f t="shared" ref="H87:O87" ca="1" si="233">(H78+H79*conv_CMtoBbls)*H37</f>
        <v>316.61617728457418</v>
      </c>
      <c r="I87" s="125">
        <f t="shared" ca="1" si="233"/>
        <v>348.58345504066892</v>
      </c>
      <c r="J87" s="125">
        <f t="shared" ca="1" si="233"/>
        <v>445.7460157963593</v>
      </c>
      <c r="K87" s="125">
        <f t="shared" ca="1" si="233"/>
        <v>481.00693681224658</v>
      </c>
      <c r="L87" s="125">
        <f t="shared" ca="1" si="233"/>
        <v>1341.0107035028482</v>
      </c>
      <c r="M87" s="125">
        <f t="shared" ca="1" si="233"/>
        <v>2665.6246752725242</v>
      </c>
      <c r="N87" s="125">
        <f t="shared" ca="1" si="233"/>
        <v>2544.4153547518163</v>
      </c>
      <c r="O87" s="125">
        <f t="shared" ca="1" si="233"/>
        <v>1473.0144910000001</v>
      </c>
      <c r="Q87" s="55" cm="1">
        <f t="array" aca="1" ref="Q87:X87" ca="1">CHOOSE(db_psc_number,OFFSET(HM_ZA_Nkossa!L316,,,,8),OFFSET(HM_ZB_Nsoko!L327,,,,8),OFFSET(HM_ZD_Moho!L341,,,,8),OFFSET(KLL_II_2020!L314,,,,8),OFFSET(Marine!L353,,,,8)+OFFSET(Marine!L360,,,,8),,)</f>
        <v>263.98577304099854</v>
      </c>
      <c r="R87" s="55">
        <f ca="1"/>
        <v>281.22048053530517</v>
      </c>
      <c r="S87" s="55">
        <f ca="1"/>
        <v>514.5329360149999</v>
      </c>
      <c r="T87" s="55">
        <f ca="1"/>
        <v>442.17078812339997</v>
      </c>
      <c r="U87" s="55">
        <f ca="1"/>
        <v>1240.6546990943002</v>
      </c>
      <c r="V87" s="55">
        <f ca="1"/>
        <v>2510.1261486980002</v>
      </c>
      <c r="W87" s="55">
        <f ca="1"/>
        <v>2467.0315394235004</v>
      </c>
      <c r="X87" s="55">
        <f ca="1"/>
        <v>1473.0161082</v>
      </c>
      <c r="Z87" s="101">
        <f t="shared" ref="Z87:Z90" ca="1" si="234">H87-Q87</f>
        <v>52.63040424357564</v>
      </c>
      <c r="AA87" s="101">
        <f t="shared" ref="AA87:AA90" ca="1" si="235">I87-R87</f>
        <v>67.362974505363752</v>
      </c>
      <c r="AB87" s="101">
        <f t="shared" ref="AB87:AB90" ca="1" si="236">J87-S87</f>
        <v>-68.786920218640603</v>
      </c>
      <c r="AC87" s="101">
        <f t="shared" ref="AC87:AC90" ca="1" si="237">K87-T87</f>
        <v>38.836148688846606</v>
      </c>
      <c r="AD87" s="101">
        <f t="shared" ref="AD87:AD90" ca="1" si="238">L87-U87</f>
        <v>100.35600440854796</v>
      </c>
      <c r="AE87" s="101">
        <f t="shared" ref="AE87:AE90" ca="1" si="239">M87-V87</f>
        <v>155.49852657452402</v>
      </c>
      <c r="AF87" s="101">
        <f t="shared" ref="AF87:AG90" ca="1" si="240">N87-W87</f>
        <v>77.383815328315904</v>
      </c>
      <c r="AG87" s="101">
        <f t="shared" ca="1" si="240"/>
        <v>-1.6171999998277897E-3</v>
      </c>
      <c r="AI87" s="111">
        <f t="shared" ref="AI87:AI91" ca="1" si="241">IFERROR(Q87/H87-1,0)</f>
        <v>-0.16622777994148896</v>
      </c>
      <c r="AJ87" s="111">
        <f t="shared" ref="AJ87:AJ91" ca="1" si="242">IFERROR(R87/I87-1,0)</f>
        <v>-0.19324776758984319</v>
      </c>
      <c r="AK87" s="111">
        <f t="shared" ref="AK87:AK91" ca="1" si="243">IFERROR(S87/J87-1,0)</f>
        <v>0.15431864286155772</v>
      </c>
      <c r="AL87" s="111">
        <f t="shared" ref="AL87:AL91" ca="1" si="244">IFERROR(T87/K87-1,0)</f>
        <v>-8.0739269471295949E-2</v>
      </c>
      <c r="AM87" s="111">
        <f t="shared" ref="AM87:AM91" ca="1" si="245">IFERROR(U87/L87-1,0)</f>
        <v>-7.4836095003871672E-2</v>
      </c>
      <c r="AN87" s="111">
        <f t="shared" ref="AN87:AN91" ca="1" si="246">IFERROR(V87/M87-1,0)</f>
        <v>-5.8334741577460214E-2</v>
      </c>
      <c r="AO87" s="111">
        <f t="shared" ref="AO87:AP91" ca="1" si="247">IFERROR(W87/N87-1,0)</f>
        <v>-3.0413200888682712E-2</v>
      </c>
      <c r="AP87" s="111">
        <f t="shared" ca="1" si="247"/>
        <v>1.0978846505249606E-6</v>
      </c>
    </row>
    <row r="88" spans="1:104" outlineLevel="1" x14ac:dyDescent="0.2">
      <c r="D88" s="110" t="str">
        <f>CHOOSE(db_ML_selected,'Liste Traduction'!B43,'Liste Traduction'!C43)</f>
        <v>Excess Cost Oil</v>
      </c>
      <c r="F88" s="98" t="s">
        <v>148</v>
      </c>
      <c r="H88" s="125"/>
      <c r="I88" s="125"/>
      <c r="J88" s="125"/>
      <c r="K88" s="125"/>
      <c r="L88" s="125"/>
      <c r="M88" s="125"/>
      <c r="N88" s="125"/>
      <c r="O88" s="125"/>
      <c r="Q88" s="55" cm="1">
        <f t="array" aca="1" ref="Q88:X88" ca="1">CHOOSE(db_psc_number,OFFSET(HM_ZA_Nkossa!L317,,,,8),OFFSET(HM_ZB_Nsoko!L328,,,,8),OFFSET(HM_ZD_Moho!L342,,,,8),OFFSET(KLL_II_2020!L315,,,,8),OFFSET(Marine!L354,,,,8)+OFFSET(Marine!L361,,,,8),,)</f>
        <v>0</v>
      </c>
      <c r="R88" s="55">
        <f ca="1"/>
        <v>0</v>
      </c>
      <c r="S88" s="55">
        <f ca="1"/>
        <v>0</v>
      </c>
      <c r="T88" s="55">
        <f ca="1"/>
        <v>0</v>
      </c>
      <c r="U88" s="55">
        <f ca="1"/>
        <v>0</v>
      </c>
      <c r="V88" s="55">
        <f ca="1"/>
        <v>0</v>
      </c>
      <c r="W88" s="55">
        <f ca="1"/>
        <v>0</v>
      </c>
      <c r="X88" s="55">
        <f ca="1"/>
        <v>0</v>
      </c>
      <c r="Z88" s="101">
        <f t="shared" ca="1" si="234"/>
        <v>0</v>
      </c>
      <c r="AA88" s="101">
        <f t="shared" ca="1" si="235"/>
        <v>0</v>
      </c>
      <c r="AB88" s="101">
        <f t="shared" ca="1" si="236"/>
        <v>0</v>
      </c>
      <c r="AC88" s="101">
        <f t="shared" ca="1" si="237"/>
        <v>0</v>
      </c>
      <c r="AD88" s="101">
        <f t="shared" ca="1" si="238"/>
        <v>0</v>
      </c>
      <c r="AE88" s="101">
        <f t="shared" ca="1" si="239"/>
        <v>0</v>
      </c>
      <c r="AF88" s="101">
        <f t="shared" ca="1" si="240"/>
        <v>0</v>
      </c>
      <c r="AG88" s="101">
        <f t="shared" ca="1" si="240"/>
        <v>0</v>
      </c>
      <c r="AI88" s="111">
        <f t="shared" ca="1" si="241"/>
        <v>0</v>
      </c>
      <c r="AJ88" s="111">
        <f t="shared" ca="1" si="242"/>
        <v>0</v>
      </c>
      <c r="AK88" s="111">
        <f t="shared" ca="1" si="243"/>
        <v>0</v>
      </c>
      <c r="AL88" s="111">
        <f t="shared" ca="1" si="244"/>
        <v>0</v>
      </c>
      <c r="AM88" s="111">
        <f t="shared" ca="1" si="245"/>
        <v>0</v>
      </c>
      <c r="AN88" s="111">
        <f t="shared" ca="1" si="246"/>
        <v>0</v>
      </c>
      <c r="AO88" s="111">
        <f t="shared" ca="1" si="247"/>
        <v>0</v>
      </c>
      <c r="AP88" s="111">
        <f t="shared" ca="1" si="247"/>
        <v>0</v>
      </c>
    </row>
    <row r="89" spans="1:104" outlineLevel="1" x14ac:dyDescent="0.2">
      <c r="D89" s="110" t="str">
        <f>D68</f>
        <v>SPO</v>
      </c>
      <c r="F89" s="98" t="s">
        <v>148</v>
      </c>
      <c r="H89" s="125">
        <f ca="1">IFERROR(H81*((H34*H29+H35*H30)/SUM(H29,H30)),0)</f>
        <v>137.35483267172458</v>
      </c>
      <c r="I89" s="125">
        <f t="shared" ref="I89:O89" ca="1" si="248">IFERROR(I81*((I34*I29+I35*I30)/SUM(I29,I30)),0)</f>
        <v>122.16394533574925</v>
      </c>
      <c r="J89" s="125">
        <f t="shared" ca="1" si="248"/>
        <v>0</v>
      </c>
      <c r="K89" s="125">
        <f t="shared" ca="1" si="248"/>
        <v>0</v>
      </c>
      <c r="L89" s="125">
        <f t="shared" ca="1" si="248"/>
        <v>0</v>
      </c>
      <c r="M89" s="125">
        <f t="shared" ca="1" si="248"/>
        <v>0</v>
      </c>
      <c r="N89" s="125">
        <f t="shared" ca="1" si="248"/>
        <v>0</v>
      </c>
      <c r="O89" s="125">
        <f t="shared" ca="1" si="248"/>
        <v>0</v>
      </c>
      <c r="Q89" s="55" cm="1">
        <f t="array" aca="1" ref="Q89:X89" ca="1">CHOOSE(db_psc_number,OFFSET(HM_ZA_Nkossa!L318,,,,8),OFFSET(HM_ZB_Nsoko!L329,,,,8),OFFSET(HM_ZD_Moho!L343,,,,8),OFFSET(KLL_II_2020!L316,,,,8),OFFSET(Marine!L355,,,,8),,)</f>
        <v>426.7783498611002</v>
      </c>
      <c r="R89" s="55">
        <f ca="1"/>
        <v>389.92453008209986</v>
      </c>
      <c r="S89" s="55">
        <f ca="1"/>
        <v>0</v>
      </c>
      <c r="T89" s="55">
        <f ca="1"/>
        <v>0</v>
      </c>
      <c r="U89" s="55">
        <f ca="1"/>
        <v>0</v>
      </c>
      <c r="V89" s="55">
        <f ca="1"/>
        <v>0</v>
      </c>
      <c r="W89" s="55">
        <f ca="1"/>
        <v>0</v>
      </c>
      <c r="X89" s="55">
        <f ca="1"/>
        <v>0</v>
      </c>
      <c r="Z89" s="101">
        <f t="shared" ca="1" si="234"/>
        <v>-289.42351718937562</v>
      </c>
      <c r="AA89" s="101">
        <f t="shared" ca="1" si="235"/>
        <v>-267.76058474635062</v>
      </c>
      <c r="AB89" s="101">
        <f t="shared" ca="1" si="236"/>
        <v>0</v>
      </c>
      <c r="AC89" s="101">
        <f t="shared" ca="1" si="237"/>
        <v>0</v>
      </c>
      <c r="AD89" s="101">
        <f t="shared" ca="1" si="238"/>
        <v>0</v>
      </c>
      <c r="AE89" s="101">
        <f t="shared" ca="1" si="239"/>
        <v>0</v>
      </c>
      <c r="AF89" s="101">
        <f t="shared" ca="1" si="240"/>
        <v>0</v>
      </c>
      <c r="AG89" s="101">
        <f t="shared" ca="1" si="240"/>
        <v>0</v>
      </c>
      <c r="AI89" s="111">
        <f t="shared" ca="1" si="241"/>
        <v>2.1071229279649177</v>
      </c>
      <c r="AJ89" s="111">
        <f t="shared" ca="1" si="242"/>
        <v>2.1918135011966982</v>
      </c>
      <c r="AK89" s="111">
        <f t="shared" ca="1" si="243"/>
        <v>0</v>
      </c>
      <c r="AL89" s="111">
        <f t="shared" ca="1" si="244"/>
        <v>0</v>
      </c>
      <c r="AM89" s="111">
        <f t="shared" ca="1" si="245"/>
        <v>0</v>
      </c>
      <c r="AN89" s="111">
        <f t="shared" ca="1" si="246"/>
        <v>0</v>
      </c>
      <c r="AO89" s="111">
        <f t="shared" ca="1" si="247"/>
        <v>0</v>
      </c>
      <c r="AP89" s="111">
        <f t="shared" ca="1" si="247"/>
        <v>0</v>
      </c>
    </row>
    <row r="90" spans="1:104" outlineLevel="1" x14ac:dyDescent="0.2">
      <c r="D90" s="110" t="str">
        <f>D69</f>
        <v>Partage du profit</v>
      </c>
      <c r="F90" s="98" t="s">
        <v>148</v>
      </c>
      <c r="H90" s="125">
        <f t="shared" ref="H90:O90" ca="1" si="249">(H82+H83*conv_CMtoBbls)*H37</f>
        <v>317.88480739581104</v>
      </c>
      <c r="I90" s="125">
        <f t="shared" ca="1" si="249"/>
        <v>300.9471806541211</v>
      </c>
      <c r="J90" s="125">
        <f t="shared" ca="1" si="249"/>
        <v>110.04035240087666</v>
      </c>
      <c r="K90" s="125">
        <f t="shared" ca="1" si="249"/>
        <v>72.151040521837018</v>
      </c>
      <c r="L90" s="125">
        <f t="shared" ca="1" si="249"/>
        <v>201.15160552542727</v>
      </c>
      <c r="M90" s="125">
        <f t="shared" ca="1" si="249"/>
        <v>399.8437012908787</v>
      </c>
      <c r="N90" s="125">
        <f t="shared" ca="1" si="249"/>
        <v>381.66230321277254</v>
      </c>
      <c r="O90" s="125">
        <f t="shared" ca="1" si="249"/>
        <v>0</v>
      </c>
      <c r="Q90" s="55" cm="1">
        <f t="array" aca="1" ref="Q90:X90" ca="1">CHOOSE(db_psc_number,OFFSET(HM_ZA_Nkossa!L319,,,,8),OFFSET(HM_ZB_Nsoko!L330,,,,8),OFFSET(HM_ZD_Moho!L344,,,,8),OFFSET(KLL_II_2020!L317,,,,8),OFFSET(Marine!L356,,,,8)+OFFSET(Marine!L362,,,,8),,)</f>
        <v>0</v>
      </c>
      <c r="R90" s="55">
        <f ca="1"/>
        <v>0</v>
      </c>
      <c r="S90" s="55">
        <f ca="1"/>
        <v>77.17994040225004</v>
      </c>
      <c r="T90" s="55">
        <f ca="1"/>
        <v>66.32561821851003</v>
      </c>
      <c r="U90" s="55">
        <f ca="1"/>
        <v>186.09820486414515</v>
      </c>
      <c r="V90" s="55">
        <f ca="1"/>
        <v>376.51892230470025</v>
      </c>
      <c r="W90" s="55">
        <f ca="1"/>
        <v>343.62225013398739</v>
      </c>
      <c r="X90" s="55">
        <f ca="1"/>
        <v>205.17010078500024</v>
      </c>
      <c r="Z90" s="101">
        <f t="shared" ca="1" si="234"/>
        <v>317.88480739581104</v>
      </c>
      <c r="AA90" s="101">
        <f t="shared" ca="1" si="235"/>
        <v>300.9471806541211</v>
      </c>
      <c r="AB90" s="101">
        <f t="shared" ca="1" si="236"/>
        <v>32.860411998626617</v>
      </c>
      <c r="AC90" s="101">
        <f t="shared" ca="1" si="237"/>
        <v>5.8254223033269881</v>
      </c>
      <c r="AD90" s="101">
        <f t="shared" ca="1" si="238"/>
        <v>15.053400661282126</v>
      </c>
      <c r="AE90" s="101">
        <f t="shared" ca="1" si="239"/>
        <v>23.324778986178444</v>
      </c>
      <c r="AF90" s="101">
        <f t="shared" ca="1" si="240"/>
        <v>38.040053078785149</v>
      </c>
      <c r="AG90" s="101">
        <f t="shared" ca="1" si="240"/>
        <v>-205.17010078500024</v>
      </c>
      <c r="AI90" s="111">
        <f t="shared" ca="1" si="241"/>
        <v>-1</v>
      </c>
      <c r="AJ90" s="111">
        <f t="shared" ca="1" si="242"/>
        <v>-1</v>
      </c>
      <c r="AK90" s="111">
        <f t="shared" ca="1" si="243"/>
        <v>-0.29862147186621357</v>
      </c>
      <c r="AL90" s="111">
        <f t="shared" ca="1" si="244"/>
        <v>-8.0739269471295838E-2</v>
      </c>
      <c r="AM90" s="111">
        <f t="shared" ca="1" si="245"/>
        <v>-7.4836095003871339E-2</v>
      </c>
      <c r="AN90" s="111">
        <f t="shared" ca="1" si="246"/>
        <v>-5.833474157745977E-2</v>
      </c>
      <c r="AO90" s="111">
        <f t="shared" ca="1" si="247"/>
        <v>-9.9669400825206034E-2</v>
      </c>
      <c r="AP90" s="111">
        <f t="shared" ca="1" si="247"/>
        <v>0</v>
      </c>
    </row>
    <row r="91" spans="1:104" outlineLevel="1" x14ac:dyDescent="0.2">
      <c r="D91" s="114" t="str">
        <f>CHOOSE(db_ML_selected,'Liste Traduction'!B58,'Liste Traduction'!C58)</f>
        <v>Revenus des droits</v>
      </c>
      <c r="E91" s="105"/>
      <c r="F91" s="116" t="s">
        <v>148</v>
      </c>
      <c r="G91" s="116"/>
      <c r="H91" s="117">
        <f ca="1">SUM(H87:H90)</f>
        <v>771.85581735210985</v>
      </c>
      <c r="I91" s="117">
        <f t="shared" ref="I91:Q91" ca="1" si="250">SUM(I87:I90)</f>
        <v>771.69458103053921</v>
      </c>
      <c r="J91" s="117">
        <f t="shared" ca="1" si="250"/>
        <v>555.78636819723602</v>
      </c>
      <c r="K91" s="117">
        <f t="shared" ca="1" si="250"/>
        <v>553.15797733408363</v>
      </c>
      <c r="L91" s="117">
        <f t="shared" ca="1" si="250"/>
        <v>1542.1623090282756</v>
      </c>
      <c r="M91" s="117">
        <f t="shared" ca="1" si="250"/>
        <v>3065.4683765634027</v>
      </c>
      <c r="N91" s="117">
        <f t="shared" ca="1" si="250"/>
        <v>2926.077657964589</v>
      </c>
      <c r="O91" s="117">
        <f t="shared" ref="O91" ca="1" si="251">SUM(O87:O90)</f>
        <v>1473.0144910000001</v>
      </c>
      <c r="Q91" s="118">
        <f t="shared" ca="1" si="250"/>
        <v>690.76412290209873</v>
      </c>
      <c r="R91" s="118">
        <f t="shared" ref="R91" ca="1" si="252">SUM(R87:R90)</f>
        <v>671.14501061740498</v>
      </c>
      <c r="S91" s="118">
        <f t="shared" ref="S91" ca="1" si="253">SUM(S87:S90)</f>
        <v>591.71287641724996</v>
      </c>
      <c r="T91" s="118">
        <f t="shared" ref="T91" ca="1" si="254">SUM(T87:T90)</f>
        <v>508.49640634191002</v>
      </c>
      <c r="U91" s="118">
        <f t="shared" ref="U91" ca="1" si="255">SUM(U87:U90)</f>
        <v>1426.7529039584454</v>
      </c>
      <c r="V91" s="118">
        <f t="shared" ref="V91" ca="1" si="256">SUM(V87:V90)</f>
        <v>2886.6450710027002</v>
      </c>
      <c r="W91" s="118">
        <f t="shared" ref="W91:X91" ca="1" si="257">SUM(W87:W90)</f>
        <v>2810.6537895574879</v>
      </c>
      <c r="X91" s="118">
        <f t="shared" ca="1" si="257"/>
        <v>1678.1862089850001</v>
      </c>
      <c r="Z91" s="118">
        <f t="shared" ref="Z91" ca="1" si="258">H91-Q91</f>
        <v>81.091694450011119</v>
      </c>
      <c r="AA91" s="118">
        <f t="shared" ref="AA91" ca="1" si="259">I91-R91</f>
        <v>100.54957041313423</v>
      </c>
      <c r="AB91" s="118">
        <f t="shared" ref="AB91" ca="1" si="260">J91-S91</f>
        <v>-35.926508220013943</v>
      </c>
      <c r="AC91" s="118">
        <f t="shared" ref="AC91" ca="1" si="261">K91-T91</f>
        <v>44.661570992173608</v>
      </c>
      <c r="AD91" s="118">
        <f t="shared" ref="AD91" ca="1" si="262">L91-U91</f>
        <v>115.4094050698302</v>
      </c>
      <c r="AE91" s="118">
        <f t="shared" ref="AE91" ca="1" si="263">M91-V91</f>
        <v>178.82330556070247</v>
      </c>
      <c r="AF91" s="118">
        <f t="shared" ref="AF91:AG91" ca="1" si="264">N91-W91</f>
        <v>115.42386840710105</v>
      </c>
      <c r="AG91" s="118">
        <f t="shared" ca="1" si="264"/>
        <v>-205.17171798499999</v>
      </c>
      <c r="AI91" s="129">
        <f t="shared" ca="1" si="241"/>
        <v>-0.10506067665357532</v>
      </c>
      <c r="AJ91" s="129">
        <f t="shared" ca="1" si="242"/>
        <v>-0.13029710572654007</v>
      </c>
      <c r="AK91" s="129">
        <f t="shared" ca="1" si="243"/>
        <v>6.4640858926688249E-2</v>
      </c>
      <c r="AL91" s="129">
        <f t="shared" ca="1" si="244"/>
        <v>-8.0739269471295949E-2</v>
      </c>
      <c r="AM91" s="129">
        <f t="shared" ca="1" si="245"/>
        <v>-7.4836095003871672E-2</v>
      </c>
      <c r="AN91" s="129">
        <f t="shared" ca="1" si="246"/>
        <v>-5.8334741577460214E-2</v>
      </c>
      <c r="AO91" s="129">
        <f t="shared" ca="1" si="247"/>
        <v>-3.9446618271707479E-2</v>
      </c>
      <c r="AP91" s="129">
        <f t="shared" ca="1" si="247"/>
        <v>0.13928696509001282</v>
      </c>
    </row>
    <row r="92" spans="1:104" outlineLevel="1" x14ac:dyDescent="0.2">
      <c r="D92" s="110"/>
    </row>
    <row r="93" spans="1:104" outlineLevel="1" x14ac:dyDescent="0.2">
      <c r="D93" s="110" t="str">
        <f>CHOOSE(db_ML_selected,'Liste Traduction'!B59,'Liste Traduction'!C59)</f>
        <v>(-)PID</v>
      </c>
      <c r="F93" s="98" t="s">
        <v>148</v>
      </c>
      <c r="H93" s="124">
        <f t="shared" ref="H93:N93" ca="1" si="265">H66</f>
        <v>20.534758022249697</v>
      </c>
      <c r="I93" s="124">
        <f t="shared" ca="1" si="265"/>
        <v>19.129832350994999</v>
      </c>
      <c r="J93" s="124">
        <f t="shared" ca="1" si="265"/>
        <v>7.3099130866430597</v>
      </c>
      <c r="K93" s="124">
        <f t="shared" ca="1" si="265"/>
        <v>6.8124576475457399</v>
      </c>
      <c r="L93" s="124">
        <f t="shared" ca="1" si="265"/>
        <v>19.100886826789498</v>
      </c>
      <c r="M93" s="124">
        <f t="shared" ca="1" si="265"/>
        <v>38.231386150506104</v>
      </c>
      <c r="N93" s="124">
        <f t="shared" ca="1" si="265"/>
        <v>36.2742601816662</v>
      </c>
      <c r="O93" s="124">
        <f t="shared" ref="O93" ca="1" si="266">O66</f>
        <v>21</v>
      </c>
      <c r="Q93" s="55" cm="1">
        <f t="array" aca="1" ref="Q93:X93" ca="1">CHOOSE(db_psc_number,OFFSET(HM_ZA_Nkossa!L439,,,,8),OFFSET(HM_ZB_Nsoko!L450,,,,8),OFFSET(HM_ZD_Moho!L464,,,,8),OFFSET(KLL_II_2020!L437,,,,8),OFFSET(Marine!L476,,,,8),,)</f>
        <v>19.121835466870003</v>
      </c>
      <c r="R93" s="55">
        <f ca="1"/>
        <v>18.177761666039995</v>
      </c>
      <c r="S93" s="55">
        <f ca="1"/>
        <v>7.3504705144999996</v>
      </c>
      <c r="T93" s="55">
        <f ca="1"/>
        <v>6.3167255446199997</v>
      </c>
      <c r="U93" s="55">
        <f ca="1"/>
        <v>17.723638558490006</v>
      </c>
      <c r="V93" s="55">
        <f ca="1"/>
        <v>35.858944981400008</v>
      </c>
      <c r="W93" s="55">
        <f ca="1"/>
        <v>35.243307706050004</v>
      </c>
      <c r="X93" s="55">
        <f ca="1"/>
        <v>21.043087260000004</v>
      </c>
      <c r="Z93" s="101">
        <f t="shared" ref="Z93" ca="1" si="267">H93-Q93</f>
        <v>1.4129225553796942</v>
      </c>
      <c r="AA93" s="101">
        <f t="shared" ref="AA93" ca="1" si="268">I93-R93</f>
        <v>0.9520706849550038</v>
      </c>
      <c r="AB93" s="101">
        <f t="shared" ref="AB93" ca="1" si="269">J93-S93</f>
        <v>-4.0557427856939832E-2</v>
      </c>
      <c r="AC93" s="101">
        <f t="shared" ref="AC93" ca="1" si="270">K93-T93</f>
        <v>0.49573210292574021</v>
      </c>
      <c r="AD93" s="101">
        <f t="shared" ref="AD93" ca="1" si="271">L93-U93</f>
        <v>1.3772482682994927</v>
      </c>
      <c r="AE93" s="101">
        <f t="shared" ref="AE93" ca="1" si="272">M93-V93</f>
        <v>2.3724411691060965</v>
      </c>
      <c r="AF93" s="101">
        <f t="shared" ref="AF93:AG93" ca="1" si="273">N93-W93</f>
        <v>1.0309524756161963</v>
      </c>
      <c r="AG93" s="101">
        <f t="shared" ca="1" si="273"/>
        <v>-4.3087260000003624E-2</v>
      </c>
      <c r="AI93" s="111">
        <f t="shared" ref="AI93:AI97" ca="1" si="274">IFERROR(Q93/H93-1,0)</f>
        <v>-6.8806389335037355E-2</v>
      </c>
      <c r="AJ93" s="111">
        <f t="shared" ref="AJ93:AJ97" ca="1" si="275">IFERROR(R93/I93-1,0)</f>
        <v>-4.9768898518626314E-2</v>
      </c>
      <c r="AK93" s="111">
        <f t="shared" ref="AK93:AK97" ca="1" si="276">IFERROR(S93/J93-1,0)</f>
        <v>5.548277712227323E-3</v>
      </c>
      <c r="AL93" s="111">
        <f t="shared" ref="AL93:AL97" ca="1" si="277">IFERROR(T93/K93-1,0)</f>
        <v>-7.2768467500760603E-2</v>
      </c>
      <c r="AM93" s="111">
        <f t="shared" ref="AM93:AM97" ca="1" si="278">IFERROR(U93/L93-1,0)</f>
        <v>-7.210389134225248E-2</v>
      </c>
      <c r="AN93" s="111">
        <f t="shared" ref="AN93:AN97" ca="1" si="279">IFERROR(V93/M93-1,0)</f>
        <v>-6.2054803866291142E-2</v>
      </c>
      <c r="AO93" s="111">
        <f t="shared" ref="AO93:AP97" ca="1" si="280">IFERROR(W93/N93-1,0)</f>
        <v>-2.8421047609325512E-2</v>
      </c>
      <c r="AP93" s="111">
        <f t="shared" ca="1" si="280"/>
        <v>2.0517742857144583E-3</v>
      </c>
    </row>
    <row r="94" spans="1:104" outlineLevel="1" x14ac:dyDescent="0.2">
      <c r="D94" s="110" t="str">
        <f>CHOOSE(db_ML_selected,'Liste Traduction'!B60,'Liste Traduction'!C60)</f>
        <v>(-)Opex et autres</v>
      </c>
      <c r="F94" s="98" t="s">
        <v>148</v>
      </c>
      <c r="H94" s="124">
        <f ca="1">H47</f>
        <v>172.67099999999999</v>
      </c>
      <c r="I94" s="124">
        <f t="shared" ref="I94:N94" ca="1" si="281">I47</f>
        <v>220.01900000000001</v>
      </c>
      <c r="J94" s="124">
        <f t="shared" ca="1" si="281"/>
        <v>282.71699999999998</v>
      </c>
      <c r="K94" s="124">
        <f t="shared" ca="1" si="281"/>
        <v>470.46699999999998</v>
      </c>
      <c r="L94" s="124">
        <f t="shared" ca="1" si="281"/>
        <v>868.58600000000001</v>
      </c>
      <c r="M94" s="124">
        <f t="shared" ca="1" si="281"/>
        <v>248.2</v>
      </c>
      <c r="N94" s="124">
        <f t="shared" ca="1" si="281"/>
        <v>281.8</v>
      </c>
      <c r="O94" s="124">
        <f t="shared" ref="O94" ca="1" si="282">O47</f>
        <v>286.3</v>
      </c>
      <c r="Q94" s="55" cm="1">
        <f t="array" aca="1" ref="Q94:X94" ca="1">CHOOSE(db_psc_number,OFFSET(HM_ZA_Nkossa!L437,,,,8),OFFSET(HM_ZB_Nsoko!L448,,,,8),OFFSET(HM_ZD_Moho!L462,,,,8),OFFSET(KLL_II_2020!L435,,,,8),OFFSET(Marine!L474,,,,8),,)</f>
        <v>172.67099999999999</v>
      </c>
      <c r="R94" s="55">
        <f ca="1"/>
        <v>220.01900000000001</v>
      </c>
      <c r="S94" s="55">
        <f ca="1"/>
        <v>282.71699999999998</v>
      </c>
      <c r="T94" s="55">
        <f ca="1"/>
        <v>470.46699999999998</v>
      </c>
      <c r="U94" s="55">
        <f ca="1"/>
        <v>868.58600000000001</v>
      </c>
      <c r="V94" s="55">
        <f ca="1"/>
        <v>248.2</v>
      </c>
      <c r="W94" s="55">
        <f ca="1"/>
        <v>281.8</v>
      </c>
      <c r="X94" s="55">
        <f ca="1"/>
        <v>286.3</v>
      </c>
      <c r="Z94" s="101">
        <f t="shared" ref="Z94:Z96" ca="1" si="283">H94-Q94</f>
        <v>0</v>
      </c>
      <c r="AA94" s="101">
        <f t="shared" ref="AA94:AA96" ca="1" si="284">I94-R94</f>
        <v>0</v>
      </c>
      <c r="AB94" s="101">
        <f t="shared" ref="AB94:AB96" ca="1" si="285">J94-S94</f>
        <v>0</v>
      </c>
      <c r="AC94" s="101">
        <f t="shared" ref="AC94:AC96" ca="1" si="286">K94-T94</f>
        <v>0</v>
      </c>
      <c r="AD94" s="101">
        <f t="shared" ref="AD94:AD96" ca="1" si="287">L94-U94</f>
        <v>0</v>
      </c>
      <c r="AE94" s="101">
        <f t="shared" ref="AE94:AE96" ca="1" si="288">M94-V94</f>
        <v>0</v>
      </c>
      <c r="AF94" s="101">
        <f t="shared" ref="AF94:AG96" ca="1" si="289">N94-W94</f>
        <v>0</v>
      </c>
      <c r="AG94" s="101">
        <f t="shared" ca="1" si="289"/>
        <v>0</v>
      </c>
      <c r="AI94" s="111">
        <f t="shared" ca="1" si="274"/>
        <v>0</v>
      </c>
      <c r="AJ94" s="111">
        <f t="shared" ca="1" si="275"/>
        <v>0</v>
      </c>
      <c r="AK94" s="111">
        <f t="shared" ca="1" si="276"/>
        <v>0</v>
      </c>
      <c r="AL94" s="111">
        <f t="shared" ca="1" si="277"/>
        <v>0</v>
      </c>
      <c r="AM94" s="111">
        <f t="shared" ca="1" si="278"/>
        <v>0</v>
      </c>
      <c r="AN94" s="111">
        <f t="shared" ca="1" si="279"/>
        <v>0</v>
      </c>
      <c r="AO94" s="111">
        <f t="shared" ca="1" si="280"/>
        <v>0</v>
      </c>
      <c r="AP94" s="111">
        <f t="shared" ca="1" si="280"/>
        <v>0</v>
      </c>
    </row>
    <row r="95" spans="1:104" outlineLevel="1" x14ac:dyDescent="0.2">
      <c r="D95" s="110" t="str">
        <f>CHOOSE(db_ML_selected,'Liste Traduction'!B61,'Liste Traduction'!C61)</f>
        <v>(-)Capex</v>
      </c>
      <c r="F95" s="98" t="s">
        <v>148</v>
      </c>
      <c r="H95" s="124">
        <f ca="1">SUM(H48:H49)</f>
        <v>1286.7819999999999</v>
      </c>
      <c r="I95" s="124">
        <f t="shared" ref="I95:N95" ca="1" si="290">SUM(I48:I49)</f>
        <v>2118.212</v>
      </c>
      <c r="J95" s="124">
        <f t="shared" ca="1" si="290"/>
        <v>3130.5740000000001</v>
      </c>
      <c r="K95" s="124">
        <f t="shared" ca="1" si="290"/>
        <v>2571.201</v>
      </c>
      <c r="L95" s="124">
        <f t="shared" ca="1" si="290"/>
        <v>1153.232</v>
      </c>
      <c r="M95" s="124">
        <f t="shared" ca="1" si="290"/>
        <v>653.59</v>
      </c>
      <c r="N95" s="124">
        <f t="shared" ca="1" si="290"/>
        <v>0</v>
      </c>
      <c r="O95" s="124">
        <f t="shared" ref="O95" ca="1" si="291">SUM(O48:O49)</f>
        <v>0</v>
      </c>
      <c r="Q95" s="55" cm="1">
        <f t="array" aca="1" ref="Q95:X95" ca="1">CHOOSE(db_psc_number,OFFSET(HM_ZA_Nkossa!L443,,,,8),OFFSET(HM_ZB_Nsoko!L454,,,,8),OFFSET(HM_ZD_Moho!L468,,,,8),OFFSET(KLL_II_2020!L441,,,,8),OFFSET(Marine!L480,,,,8),,)</f>
        <v>1286.7819999999999</v>
      </c>
      <c r="R95" s="55">
        <f ca="1"/>
        <v>2118.212</v>
      </c>
      <c r="S95" s="55">
        <f ca="1"/>
        <v>3130.5740000000001</v>
      </c>
      <c r="T95" s="55">
        <f ca="1"/>
        <v>2571.201</v>
      </c>
      <c r="U95" s="55">
        <f ca="1"/>
        <v>1153.232</v>
      </c>
      <c r="V95" s="55">
        <f ca="1"/>
        <v>653.59</v>
      </c>
      <c r="W95" s="55">
        <f ca="1"/>
        <v>0</v>
      </c>
      <c r="X95" s="55">
        <f ca="1"/>
        <v>0</v>
      </c>
      <c r="Z95" s="101">
        <f t="shared" ca="1" si="283"/>
        <v>0</v>
      </c>
      <c r="AA95" s="101">
        <f t="shared" ca="1" si="284"/>
        <v>0</v>
      </c>
      <c r="AB95" s="101">
        <f t="shared" ca="1" si="285"/>
        <v>0</v>
      </c>
      <c r="AC95" s="101">
        <f t="shared" ca="1" si="286"/>
        <v>0</v>
      </c>
      <c r="AD95" s="101">
        <f t="shared" ca="1" si="287"/>
        <v>0</v>
      </c>
      <c r="AE95" s="101">
        <f t="shared" ca="1" si="288"/>
        <v>0</v>
      </c>
      <c r="AF95" s="101">
        <f t="shared" ca="1" si="289"/>
        <v>0</v>
      </c>
      <c r="AG95" s="101">
        <f t="shared" ca="1" si="289"/>
        <v>0</v>
      </c>
      <c r="AI95" s="111">
        <f t="shared" ca="1" si="274"/>
        <v>0</v>
      </c>
      <c r="AJ95" s="111">
        <f t="shared" ca="1" si="275"/>
        <v>0</v>
      </c>
      <c r="AK95" s="111">
        <f t="shared" ca="1" si="276"/>
        <v>0</v>
      </c>
      <c r="AL95" s="111">
        <f t="shared" ca="1" si="277"/>
        <v>0</v>
      </c>
      <c r="AM95" s="111">
        <f t="shared" ca="1" si="278"/>
        <v>0</v>
      </c>
      <c r="AN95" s="111">
        <f t="shared" ca="1" si="279"/>
        <v>0</v>
      </c>
      <c r="AO95" s="111">
        <f t="shared" ca="1" si="280"/>
        <v>0</v>
      </c>
      <c r="AP95" s="111">
        <f t="shared" ca="1" si="280"/>
        <v>0</v>
      </c>
    </row>
    <row r="96" spans="1:104" outlineLevel="1" x14ac:dyDescent="0.2">
      <c r="D96" s="110" t="str">
        <f>CHOOSE(db_ML_selected,'Liste Traduction'!B62,'Liste Traduction'!C62)</f>
        <v>(-)Abandon</v>
      </c>
      <c r="F96" s="98" t="s">
        <v>148</v>
      </c>
      <c r="H96" s="124">
        <f ca="1">H50</f>
        <v>0</v>
      </c>
      <c r="I96" s="124">
        <f t="shared" ref="I96:N96" ca="1" si="292">I50</f>
        <v>0</v>
      </c>
      <c r="J96" s="124">
        <f t="shared" ca="1" si="292"/>
        <v>0</v>
      </c>
      <c r="K96" s="124">
        <f t="shared" ca="1" si="292"/>
        <v>0</v>
      </c>
      <c r="L96" s="124">
        <f t="shared" ca="1" si="292"/>
        <v>0</v>
      </c>
      <c r="M96" s="124">
        <f t="shared" ca="1" si="292"/>
        <v>0</v>
      </c>
      <c r="N96" s="124">
        <f t="shared" ca="1" si="292"/>
        <v>0</v>
      </c>
      <c r="O96" s="124">
        <f t="shared" ref="O96" ca="1" si="293">O50</f>
        <v>0</v>
      </c>
      <c r="Q96" s="55" cm="1">
        <f t="array" aca="1" ref="Q96:X96" ca="1">CHOOSE(db_psc_number,OFFSET(HM_ZA_Nkossa!L445,,,,8),OFFSET(HM_ZB_Nsoko!L456,,,,8),OFFSET(HM_ZD_Moho!L470,,,,8),OFFSET(KLL_II_2020!L443,,,,8),OFFSET(Marine!L482,,,,8),,)</f>
        <v>0</v>
      </c>
      <c r="R96" s="55">
        <f ca="1"/>
        <v>0</v>
      </c>
      <c r="S96" s="55">
        <f ca="1"/>
        <v>0</v>
      </c>
      <c r="T96" s="55">
        <f ca="1"/>
        <v>0</v>
      </c>
      <c r="U96" s="55">
        <f ca="1"/>
        <v>0</v>
      </c>
      <c r="V96" s="55">
        <f ca="1"/>
        <v>0</v>
      </c>
      <c r="W96" s="55">
        <f ca="1"/>
        <v>0</v>
      </c>
      <c r="X96" s="55">
        <f ca="1"/>
        <v>0</v>
      </c>
      <c r="Z96" s="101">
        <f t="shared" ca="1" si="283"/>
        <v>0</v>
      </c>
      <c r="AA96" s="101">
        <f t="shared" ca="1" si="284"/>
        <v>0</v>
      </c>
      <c r="AB96" s="101">
        <f t="shared" ca="1" si="285"/>
        <v>0</v>
      </c>
      <c r="AC96" s="101">
        <f t="shared" ca="1" si="286"/>
        <v>0</v>
      </c>
      <c r="AD96" s="101">
        <f t="shared" ca="1" si="287"/>
        <v>0</v>
      </c>
      <c r="AE96" s="101">
        <f t="shared" ca="1" si="288"/>
        <v>0</v>
      </c>
      <c r="AF96" s="101">
        <f t="shared" ca="1" si="289"/>
        <v>0</v>
      </c>
      <c r="AG96" s="101">
        <f t="shared" ca="1" si="289"/>
        <v>0</v>
      </c>
      <c r="AI96" s="111">
        <f t="shared" ca="1" si="274"/>
        <v>0</v>
      </c>
      <c r="AJ96" s="111">
        <f t="shared" ca="1" si="275"/>
        <v>0</v>
      </c>
      <c r="AK96" s="111">
        <f t="shared" ca="1" si="276"/>
        <v>0</v>
      </c>
      <c r="AL96" s="111">
        <f t="shared" ca="1" si="277"/>
        <v>0</v>
      </c>
      <c r="AM96" s="111">
        <f t="shared" ca="1" si="278"/>
        <v>0</v>
      </c>
      <c r="AN96" s="111">
        <f t="shared" ca="1" si="279"/>
        <v>0</v>
      </c>
      <c r="AO96" s="111">
        <f t="shared" ca="1" si="280"/>
        <v>0</v>
      </c>
      <c r="AP96" s="111">
        <f t="shared" ca="1" si="280"/>
        <v>0</v>
      </c>
    </row>
    <row r="97" spans="4:42" outlineLevel="1" x14ac:dyDescent="0.2">
      <c r="D97" s="114" t="str">
        <f>CHOOSE(db_ML_selected,'Liste Traduction'!B63,'Liste Traduction'!C63)</f>
        <v>Total flux de trésorerie du contracteur</v>
      </c>
      <c r="E97" s="115"/>
      <c r="F97" s="116" t="s">
        <v>148</v>
      </c>
      <c r="G97" s="116"/>
      <c r="H97" s="117">
        <f t="shared" ref="H97:N97" ca="1" si="294">H91-SUM(H93:H96)</f>
        <v>-708.13194067013978</v>
      </c>
      <c r="I97" s="117">
        <f t="shared" ca="1" si="294"/>
        <v>-1585.666251320456</v>
      </c>
      <c r="J97" s="117">
        <f t="shared" ca="1" si="294"/>
        <v>-2864.8145448894074</v>
      </c>
      <c r="K97" s="117">
        <f t="shared" ca="1" si="294"/>
        <v>-2495.3224803134622</v>
      </c>
      <c r="L97" s="117">
        <f t="shared" ca="1" si="294"/>
        <v>-498.75657779851394</v>
      </c>
      <c r="M97" s="117">
        <f t="shared" ca="1" si="294"/>
        <v>2125.4469904128964</v>
      </c>
      <c r="N97" s="117">
        <f t="shared" ca="1" si="294"/>
        <v>2608.0033977829225</v>
      </c>
      <c r="O97" s="117">
        <f t="shared" ref="O97" ca="1" si="295">O91-SUM(O93:O96)</f>
        <v>1165.7144910000002</v>
      </c>
      <c r="Q97" s="118">
        <f t="shared" ref="Q97:W97" ca="1" si="296">Q91-SUM(Q93:Q96)</f>
        <v>-787.81071256477117</v>
      </c>
      <c r="R97" s="118">
        <f t="shared" ca="1" si="296"/>
        <v>-1685.263751048635</v>
      </c>
      <c r="S97" s="118">
        <f t="shared" ca="1" si="296"/>
        <v>-2828.92859409725</v>
      </c>
      <c r="T97" s="118">
        <f t="shared" ca="1" si="296"/>
        <v>-2539.48831920271</v>
      </c>
      <c r="U97" s="118">
        <f t="shared" ca="1" si="296"/>
        <v>-612.78873460004456</v>
      </c>
      <c r="V97" s="118">
        <f t="shared" ca="1" si="296"/>
        <v>1948.9961260213001</v>
      </c>
      <c r="W97" s="118">
        <f t="shared" ca="1" si="296"/>
        <v>2493.6104818514377</v>
      </c>
      <c r="X97" s="118">
        <f t="shared" ref="X97" ca="1" si="297">X91-SUM(X93:X96)</f>
        <v>1370.8431217250002</v>
      </c>
      <c r="Z97" s="118">
        <f t="shared" ref="Z97" ca="1" si="298">H97-Q97</f>
        <v>79.678771894631382</v>
      </c>
      <c r="AA97" s="118">
        <f t="shared" ref="AA97" ca="1" si="299">I97-R97</f>
        <v>99.597499728178946</v>
      </c>
      <c r="AB97" s="118">
        <f t="shared" ref="AB97" ca="1" si="300">J97-S97</f>
        <v>-35.885950792157473</v>
      </c>
      <c r="AC97" s="118">
        <f t="shared" ref="AC97" ca="1" si="301">K97-T97</f>
        <v>44.16583888924788</v>
      </c>
      <c r="AD97" s="118">
        <f t="shared" ref="AD97" ca="1" si="302">L97-U97</f>
        <v>114.03215680153062</v>
      </c>
      <c r="AE97" s="118">
        <f t="shared" ref="AE97" ca="1" si="303">M97-V97</f>
        <v>176.45086439159627</v>
      </c>
      <c r="AF97" s="118">
        <f t="shared" ref="AF97:AG97" ca="1" si="304">N97-W97</f>
        <v>114.39291593148482</v>
      </c>
      <c r="AG97" s="118">
        <f t="shared" ca="1" si="304"/>
        <v>-205.12863072499999</v>
      </c>
      <c r="AI97" s="129">
        <f t="shared" ca="1" si="274"/>
        <v>0.11251966945485825</v>
      </c>
      <c r="AJ97" s="129">
        <f t="shared" ca="1" si="275"/>
        <v>6.281113673526173E-2</v>
      </c>
      <c r="AK97" s="129">
        <f t="shared" ca="1" si="276"/>
        <v>-1.252644812774184E-2</v>
      </c>
      <c r="AL97" s="129">
        <f t="shared" ca="1" si="277"/>
        <v>1.7699451368586194E-2</v>
      </c>
      <c r="AM97" s="129">
        <f t="shared" ca="1" si="278"/>
        <v>0.22863288802097159</v>
      </c>
      <c r="AN97" s="129">
        <f t="shared" ca="1" si="279"/>
        <v>-8.3018238134143441E-2</v>
      </c>
      <c r="AO97" s="129">
        <f t="shared" ca="1" si="280"/>
        <v>-4.3862257245803726E-2</v>
      </c>
      <c r="AP97" s="129">
        <f t="shared" ca="1" si="280"/>
        <v>0.17596815713342617</v>
      </c>
    </row>
    <row r="98" spans="4:42" outlineLevel="1" x14ac:dyDescent="0.2"/>
    <row r="99" spans="4:42" ht="16" thickBot="1" x14ac:dyDescent="0.25">
      <c r="D99" s="110"/>
      <c r="L99"/>
      <c r="M99"/>
      <c r="N99"/>
      <c r="O99"/>
    </row>
    <row r="100" spans="4:42" ht="16" x14ac:dyDescent="0.2">
      <c r="D100" s="106" t="str">
        <f>CHOOSE(db_ML_selected,'Liste Traduction'!B64,'Liste Traduction'!C64)</f>
        <v>Vérification des données et de la fiscalité</v>
      </c>
      <c r="E100" s="107"/>
      <c r="F100" s="108"/>
      <c r="G100" s="108"/>
      <c r="H100" s="107"/>
      <c r="I100" s="107"/>
      <c r="J100" s="107"/>
      <c r="K100" s="107"/>
      <c r="L100" s="109"/>
      <c r="M100" s="109"/>
      <c r="N100" s="109"/>
      <c r="O100" s="109"/>
      <c r="Q100" s="109"/>
      <c r="R100" s="109"/>
      <c r="S100" s="109"/>
      <c r="T100" s="109"/>
      <c r="U100" s="109"/>
      <c r="V100" s="109"/>
      <c r="W100" s="109"/>
      <c r="X100" s="109"/>
      <c r="Z100" s="109"/>
      <c r="AA100" s="109"/>
      <c r="AB100" s="109"/>
      <c r="AC100" s="109"/>
      <c r="AD100" s="109"/>
      <c r="AE100" s="109"/>
      <c r="AF100" s="109"/>
      <c r="AG100" s="109"/>
    </row>
    <row r="101" spans="4:42" hidden="1" outlineLevel="1" x14ac:dyDescent="0.2"/>
    <row r="102" spans="4:42" hidden="1" outlineLevel="1" x14ac:dyDescent="0.2">
      <c r="D102" t="str">
        <f>CHOOSE(db_ML_selected,'Liste Traduction'!B65,'Liste Traduction'!C65)</f>
        <v>Mise en évidence des problèmes de données</v>
      </c>
      <c r="F102" s="15" t="s">
        <v>776</v>
      </c>
    </row>
    <row r="103" spans="4:42" hidden="1" outlineLevel="1" x14ac:dyDescent="0.2"/>
    <row r="104" spans="4:42" hidden="1" outlineLevel="1" x14ac:dyDescent="0.2">
      <c r="D104" t="str">
        <f>CHOOSE(db_ML_selected,'Liste Traduction'!B66,'Liste Traduction'!C66)</f>
        <v>Tolérance (MM$)</v>
      </c>
      <c r="E104" s="160" t="s">
        <v>925</v>
      </c>
      <c r="F104" s="158">
        <v>0.5</v>
      </c>
    </row>
    <row r="105" spans="4:42" hidden="1" outlineLevel="1" x14ac:dyDescent="0.2">
      <c r="D105" s="132" t="s">
        <v>774</v>
      </c>
      <c r="E105" s="6"/>
      <c r="F105" s="132"/>
    </row>
    <row r="106" spans="4:42" hidden="1" outlineLevel="1" x14ac:dyDescent="0.2">
      <c r="D106" t="str">
        <f>CHOOSE(db_ML_selected,'Liste Traduction'!B67,'Liste Traduction'!C67)</f>
        <v>Tolérance (%)</v>
      </c>
      <c r="E106" s="160" t="s">
        <v>925</v>
      </c>
      <c r="F106" s="159">
        <v>0.02</v>
      </c>
    </row>
    <row r="107" spans="4:42" hidden="1" outlineLevel="1" x14ac:dyDescent="0.2"/>
    <row r="108" spans="4:42" hidden="1" outlineLevel="1" x14ac:dyDescent="0.2"/>
    <row r="109" spans="4:42" hidden="1" outlineLevel="1" x14ac:dyDescent="0.2">
      <c r="D109" s="51" t="str">
        <f>CHOOSE(db_ML_selected,'Liste Traduction'!B68,'Liste Traduction'!C68)</f>
        <v>Volume des ventes &lt; Volume de production ?</v>
      </c>
    </row>
    <row r="110" spans="4:42" hidden="1" outlineLevel="1" x14ac:dyDescent="0.2">
      <c r="D110" s="95" t="str">
        <f>D34</f>
        <v>Pétrole</v>
      </c>
      <c r="H110" s="157">
        <f ca="1">H29-H24</f>
        <v>-1.3337241969999987</v>
      </c>
      <c r="I110" s="157">
        <f t="shared" ref="I110:N110" ca="1" si="305">I29-I24</f>
        <v>-1.2647581449999983</v>
      </c>
      <c r="J110" s="157">
        <f t="shared" ca="1" si="305"/>
        <v>7.043930900000106E-2</v>
      </c>
      <c r="K110" s="157">
        <f t="shared" ca="1" si="305"/>
        <v>-1.4088482389999992</v>
      </c>
      <c r="L110" s="157">
        <f t="shared" ca="1" si="305"/>
        <v>-2.6397719269999982</v>
      </c>
      <c r="M110" s="157">
        <f t="shared" ca="1" si="305"/>
        <v>-3.2454307579999977</v>
      </c>
      <c r="N110" s="157">
        <f t="shared" ca="1" si="305"/>
        <v>-1.7140029029999937</v>
      </c>
      <c r="O110" s="157">
        <f t="shared" ref="O110" ca="1" si="306">O29-O24</f>
        <v>0</v>
      </c>
    </row>
    <row r="111" spans="4:42" hidden="1" outlineLevel="1" x14ac:dyDescent="0.2">
      <c r="D111" s="95" t="str">
        <f>CHOOSE(db_ML_selected,'Liste Traduction'!B69,'Liste Traduction'!C69)</f>
        <v>GPL</v>
      </c>
      <c r="H111" s="157">
        <f t="shared" ref="H111:N111" ca="1" si="307">H30-H25</f>
        <v>0</v>
      </c>
      <c r="I111" s="157">
        <f t="shared" ca="1" si="307"/>
        <v>0</v>
      </c>
      <c r="J111" s="157">
        <f t="shared" ca="1" si="307"/>
        <v>0</v>
      </c>
      <c r="K111" s="157">
        <f t="shared" ca="1" si="307"/>
        <v>0</v>
      </c>
      <c r="L111" s="157">
        <f t="shared" ca="1" si="307"/>
        <v>0</v>
      </c>
      <c r="M111" s="157">
        <f t="shared" ca="1" si="307"/>
        <v>0</v>
      </c>
      <c r="N111" s="157">
        <f t="shared" ca="1" si="307"/>
        <v>0</v>
      </c>
      <c r="O111" s="157">
        <f t="shared" ref="O111" ca="1" si="308">O30-O25</f>
        <v>0</v>
      </c>
    </row>
    <row r="112" spans="4:42" hidden="1" outlineLevel="1" x14ac:dyDescent="0.2">
      <c r="D112" s="95" t="str">
        <f>D36</f>
        <v>Gaz</v>
      </c>
      <c r="H112" s="157">
        <f t="shared" ref="H112:N112" ca="1" si="309">H31-H26</f>
        <v>0</v>
      </c>
      <c r="I112" s="157">
        <f t="shared" ca="1" si="309"/>
        <v>0</v>
      </c>
      <c r="J112" s="157">
        <f t="shared" ca="1" si="309"/>
        <v>0</v>
      </c>
      <c r="K112" s="157">
        <f t="shared" ca="1" si="309"/>
        <v>0</v>
      </c>
      <c r="L112" s="157">
        <f t="shared" ca="1" si="309"/>
        <v>0</v>
      </c>
      <c r="M112" s="157">
        <f t="shared" ca="1" si="309"/>
        <v>0</v>
      </c>
      <c r="N112" s="157">
        <f t="shared" ca="1" si="309"/>
        <v>0</v>
      </c>
      <c r="O112" s="157">
        <f t="shared" ref="O112" ca="1" si="310">O31-O26</f>
        <v>0</v>
      </c>
    </row>
    <row r="113" spans="4:16" hidden="1" outlineLevel="1" x14ac:dyDescent="0.2">
      <c r="H113" s="20"/>
      <c r="I113" s="20"/>
      <c r="J113" s="20"/>
      <c r="K113" s="20"/>
      <c r="L113" s="135"/>
      <c r="M113" s="135"/>
      <c r="N113" s="135"/>
      <c r="O113" s="135"/>
    </row>
    <row r="114" spans="4:16" hidden="1" outlineLevel="1" x14ac:dyDescent="0.2">
      <c r="D114" s="51" t="str">
        <f>CHOOSE(db_ML_selected,'Liste Traduction'!B70,'Liste Traduction'!C70)</f>
        <v>PF&gt;PH ?</v>
      </c>
      <c r="H114" s="157">
        <f ca="1">H34-H39</f>
        <v>78.537196253044669</v>
      </c>
      <c r="I114" s="157">
        <f t="shared" ref="I114:N114" ca="1" si="311">I34-I39</f>
        <v>68.704837772974187</v>
      </c>
      <c r="J114" s="157">
        <f t="shared" ca="1" si="311"/>
        <v>20.10981661001685</v>
      </c>
      <c r="K114" s="157">
        <f t="shared" ca="1" si="311"/>
        <v>12.366928138774625</v>
      </c>
      <c r="L114" s="157">
        <f t="shared" ca="1" si="311"/>
        <v>-43.530610907964096</v>
      </c>
      <c r="M114" s="157">
        <f t="shared" ca="1" si="311"/>
        <v>-31.641767933272931</v>
      </c>
      <c r="N114" s="157">
        <f t="shared" ca="1" si="311"/>
        <v>-37.472346921443958</v>
      </c>
      <c r="O114" s="157">
        <f t="shared" ref="O114" ca="1" si="312">O34-O39</f>
        <v>-64</v>
      </c>
    </row>
    <row r="115" spans="4:16" hidden="1" outlineLevel="1" x14ac:dyDescent="0.2">
      <c r="H115" s="20"/>
      <c r="I115" s="20"/>
      <c r="J115" s="20"/>
      <c r="K115" s="20"/>
      <c r="L115" s="135"/>
      <c r="M115" s="135"/>
      <c r="N115" s="135"/>
      <c r="O115" s="135"/>
    </row>
    <row r="116" spans="4:16" hidden="1" outlineLevel="1" x14ac:dyDescent="0.2">
      <c r="D116" s="51" t="str">
        <f>CHOOSE(db_ML_selected,'Liste Traduction'!B71,'Liste Traduction'!C71)</f>
        <v>Vérification des revenus</v>
      </c>
      <c r="H116" s="20"/>
      <c r="I116" s="20"/>
      <c r="J116" s="20"/>
      <c r="K116" s="20"/>
      <c r="L116" s="135"/>
      <c r="M116" s="135"/>
      <c r="N116" s="135"/>
      <c r="O116" s="135"/>
    </row>
    <row r="117" spans="4:16" ht="48" hidden="1" outlineLevel="1" x14ac:dyDescent="0.2">
      <c r="D117" s="205" t="str">
        <f>CHOOSE(db_ML_selected,'Liste Traduction'!B72,'Liste Traduction'!C72)</f>
        <v>Revenus hydrocarbures liquides = Somme (Rev. pétrole, Rev. GPL)</v>
      </c>
      <c r="H117" s="157">
        <f ca="1">SUM(H34*H29,H35*H30)-H42</f>
        <v>0</v>
      </c>
      <c r="I117" s="157">
        <f t="shared" ref="I117:N117" ca="1" si="313">SUM(I34*I29,I35*I30)-I42</f>
        <v>0</v>
      </c>
      <c r="J117" s="157">
        <f t="shared" ca="1" si="313"/>
        <v>0</v>
      </c>
      <c r="K117" s="157">
        <f t="shared" ca="1" si="313"/>
        <v>0</v>
      </c>
      <c r="L117" s="157">
        <f t="shared" ca="1" si="313"/>
        <v>0</v>
      </c>
      <c r="M117" s="157">
        <f t="shared" ca="1" si="313"/>
        <v>0</v>
      </c>
      <c r="N117" s="157">
        <f t="shared" ca="1" si="313"/>
        <v>0</v>
      </c>
      <c r="O117" s="157">
        <f t="shared" ref="O117" ca="1" si="314">SUM(O34*O29,O35*O30)-O42</f>
        <v>0</v>
      </c>
    </row>
    <row r="118" spans="4:16" hidden="1" outlineLevel="1" x14ac:dyDescent="0.2">
      <c r="H118" s="20"/>
      <c r="I118" s="20"/>
      <c r="J118" s="20"/>
      <c r="K118" s="20"/>
      <c r="L118" s="135"/>
      <c r="M118" s="135"/>
      <c r="N118" s="135"/>
      <c r="O118" s="135"/>
    </row>
    <row r="119" spans="4:16" hidden="1" outlineLevel="1" x14ac:dyDescent="0.2">
      <c r="D119" s="51" t="str">
        <f>CHOOSE(db_ML_selected,'Liste Traduction'!B73,'Liste Traduction'!C73)</f>
        <v>Vérification des volumes</v>
      </c>
      <c r="H119" s="20"/>
      <c r="I119" s="20"/>
      <c r="J119" s="20"/>
      <c r="K119" s="20"/>
      <c r="L119" s="135"/>
      <c r="M119" s="135"/>
      <c r="N119" s="135"/>
      <c r="O119" s="135"/>
    </row>
    <row r="120" spans="4:16" hidden="1" outlineLevel="1" x14ac:dyDescent="0.2">
      <c r="D120" s="95" t="str">
        <f>CHOOSE(db_ML_selected,'Liste Traduction'!B74,'Liste Traduction'!C74)</f>
        <v>Volume total des ventes</v>
      </c>
      <c r="F120" s="98" t="s">
        <v>88</v>
      </c>
      <c r="H120" s="157">
        <f t="shared" ref="H120:O120" ca="1" si="315">SUM(H29:H30)+H31*conv_CMtoBbls</f>
        <v>18.11364</v>
      </c>
      <c r="I120" s="157">
        <f t="shared" ca="1" si="315"/>
        <v>18.917859</v>
      </c>
      <c r="J120" s="157">
        <f t="shared" ca="1" si="315"/>
        <v>15.366923</v>
      </c>
      <c r="K120" s="157">
        <f t="shared" ca="1" si="315"/>
        <v>15.591395</v>
      </c>
      <c r="L120" s="157">
        <f t="shared" ca="1" si="315"/>
        <v>32.634275000000002</v>
      </c>
      <c r="M120" s="157">
        <f t="shared" ca="1" si="315"/>
        <v>52.389181999999998</v>
      </c>
      <c r="N120" s="157">
        <f t="shared" ca="1" si="315"/>
        <v>54.643199000000003</v>
      </c>
      <c r="O120" s="157">
        <f t="shared" ca="1" si="315"/>
        <v>52.048200000000001</v>
      </c>
      <c r="P120" s="157"/>
    </row>
    <row r="121" spans="4:16" hidden="1" outlineLevel="1" x14ac:dyDescent="0.2">
      <c r="D121" s="138" t="str">
        <f>CHOOSE(db_ML_selected,'Liste Traduction'!B75,'Liste Traduction'!C75)</f>
        <v xml:space="preserve"> - Redevance</v>
      </c>
      <c r="F121" s="98" t="s">
        <v>88</v>
      </c>
      <c r="H121" s="157">
        <f ca="1">-H57</f>
        <v>-2.9171046295500003</v>
      </c>
      <c r="I121" s="157">
        <f t="shared" ref="I121:N121" ca="1" si="316">-I57</f>
        <v>-3.0273925717499997</v>
      </c>
      <c r="J121" s="157">
        <f t="shared" ca="1" si="316"/>
        <v>-2.294473</v>
      </c>
      <c r="K121" s="157">
        <f t="shared" ca="1" si="316"/>
        <v>-2.54411960865</v>
      </c>
      <c r="L121" s="157">
        <f t="shared" ca="1" si="316"/>
        <v>-5.2911070390499999</v>
      </c>
      <c r="M121" s="157">
        <f t="shared" ca="1" si="316"/>
        <v>-8.345191913699999</v>
      </c>
      <c r="N121" s="157">
        <f t="shared" ca="1" si="316"/>
        <v>-8.4535802854500002</v>
      </c>
      <c r="O121" s="157">
        <f t="shared" ref="O121" ca="1" si="317">-O57</f>
        <v>-7.8071999999999999</v>
      </c>
      <c r="P121" s="157"/>
    </row>
    <row r="122" spans="4:16" hidden="1" outlineLevel="1" x14ac:dyDescent="0.2">
      <c r="D122" s="138" t="str">
        <f>CHOOSE(db_ML_selected,'Liste Traduction'!B76,'Liste Traduction'!C76)</f>
        <v xml:space="preserve"> - Récupération des coûts</v>
      </c>
      <c r="F122" s="98" t="s">
        <v>88</v>
      </c>
      <c r="H122" s="157">
        <f t="shared" ref="H122:O122" ca="1" si="318">-(H78+H79*conv_CMtoBbls)</f>
        <v>-2.9992264411255869</v>
      </c>
      <c r="I122" s="157">
        <f t="shared" ca="1" si="318"/>
        <v>-3.6277583419481636</v>
      </c>
      <c r="J122" s="157">
        <f t="shared" ca="1" si="318"/>
        <v>-9.3187840000000008</v>
      </c>
      <c r="K122" s="157">
        <f t="shared" ca="1" si="318"/>
        <v>-11.872558173700002</v>
      </c>
      <c r="L122" s="157">
        <f t="shared" ca="1" si="318"/>
        <v>-24.691832848900003</v>
      </c>
      <c r="M122" s="157">
        <f t="shared" ca="1" si="318"/>
        <v>-38.944228930599998</v>
      </c>
      <c r="N122" s="157">
        <f t="shared" ca="1" si="318"/>
        <v>-39.4500413321</v>
      </c>
      <c r="O122" s="157">
        <f t="shared" ca="1" si="318"/>
        <v>-36.433700000000002</v>
      </c>
      <c r="P122" s="157"/>
    </row>
    <row r="123" spans="4:16" hidden="1" outlineLevel="1" x14ac:dyDescent="0.2">
      <c r="D123" s="138" t="str">
        <f>CHOOSE(db_ML_selected,'Liste Traduction'!B77,'Liste Traduction'!C77)</f>
        <v xml:space="preserve"> - ECO</v>
      </c>
      <c r="F123" s="98" t="s">
        <v>88</v>
      </c>
      <c r="H123" s="157">
        <f ca="1">-SUM(H58,H80)</f>
        <v>0</v>
      </c>
      <c r="I123" s="157">
        <f t="shared" ref="I123:N123" ca="1" si="319">-SUM(I58,I80)</f>
        <v>0</v>
      </c>
      <c r="J123" s="157">
        <f t="shared" ca="1" si="319"/>
        <v>0</v>
      </c>
      <c r="K123" s="157">
        <f t="shared" ca="1" si="319"/>
        <v>0</v>
      </c>
      <c r="L123" s="157">
        <f t="shared" ca="1" si="319"/>
        <v>0</v>
      </c>
      <c r="M123" s="157">
        <f t="shared" ca="1" si="319"/>
        <v>0</v>
      </c>
      <c r="N123" s="157">
        <f t="shared" ca="1" si="319"/>
        <v>0</v>
      </c>
      <c r="O123" s="157">
        <f t="shared" ref="O123" ca="1" si="320">-SUM(O58,O80)</f>
        <v>0</v>
      </c>
      <c r="P123" s="157"/>
    </row>
    <row r="124" spans="4:16" hidden="1" outlineLevel="1" x14ac:dyDescent="0.2">
      <c r="D124" s="138" t="str">
        <f>CHOOSE(db_ML_selected,'Liste Traduction'!B78,'Liste Traduction'!C78)</f>
        <v xml:space="preserve"> - SPO</v>
      </c>
      <c r="F124" s="98" t="s">
        <v>88</v>
      </c>
      <c r="H124" s="157">
        <f ca="1">-SUM(H59,H81)</f>
        <v>-8.6741881921202761</v>
      </c>
      <c r="I124" s="157">
        <f t="shared" ref="I124:N124" ca="1" si="321">-SUM(I59,I81)</f>
        <v>-8.4758521069291355</v>
      </c>
      <c r="J124" s="157">
        <f t="shared" ca="1" si="321"/>
        <v>0</v>
      </c>
      <c r="K124" s="157">
        <f t="shared" ca="1" si="321"/>
        <v>0</v>
      </c>
      <c r="L124" s="157">
        <f t="shared" ca="1" si="321"/>
        <v>0</v>
      </c>
      <c r="M124" s="157">
        <f t="shared" ca="1" si="321"/>
        <v>0</v>
      </c>
      <c r="N124" s="157">
        <f t="shared" ca="1" si="321"/>
        <v>0</v>
      </c>
      <c r="O124" s="157">
        <f t="shared" ref="O124" ca="1" si="322">-SUM(O59,O81)</f>
        <v>0</v>
      </c>
      <c r="P124" s="157"/>
    </row>
    <row r="125" spans="4:16" hidden="1" outlineLevel="1" x14ac:dyDescent="0.2">
      <c r="D125" s="138" t="str">
        <f>CHOOSE(db_ML_selected,'Liste Traduction'!B79,'Liste Traduction'!C79)</f>
        <v xml:space="preserve"> - Profit Oil</v>
      </c>
      <c r="F125" s="98" t="s">
        <v>88</v>
      </c>
      <c r="H125" s="157">
        <f t="shared" ref="H125:O125" ca="1" si="323">-(SUM(H60,H82)+H83*conv_CMtoBbls)</f>
        <v>-4.8568449342041369</v>
      </c>
      <c r="I125" s="157">
        <f t="shared" ca="1" si="323"/>
        <v>-5.0516141243726986</v>
      </c>
      <c r="J125" s="157">
        <f t="shared" ca="1" si="323"/>
        <v>-3.6832280000000002</v>
      </c>
      <c r="K125" s="157">
        <f t="shared" ca="1" si="323"/>
        <v>-2.5441196086500013</v>
      </c>
      <c r="L125" s="157">
        <f t="shared" ca="1" si="323"/>
        <v>-5.2911070390500017</v>
      </c>
      <c r="M125" s="157">
        <f t="shared" ca="1" si="323"/>
        <v>-8.3451919137000026</v>
      </c>
      <c r="N125" s="157">
        <f t="shared" ca="1" si="323"/>
        <v>-8.453580285450002</v>
      </c>
      <c r="O125" s="157">
        <f t="shared" ca="1" si="323"/>
        <v>-2.3422000000000001</v>
      </c>
      <c r="P125" s="157"/>
    </row>
    <row r="126" spans="4:16" hidden="1" outlineLevel="1" x14ac:dyDescent="0.2">
      <c r="D126" s="100" t="str">
        <f>CHOOSE(db_ML_selected,'Liste Traduction'!B80,'Liste Traduction'!C80)</f>
        <v>Vol. Restant. basé sur les ventes totales</v>
      </c>
      <c r="F126" s="98" t="s">
        <v>88</v>
      </c>
      <c r="H126" s="161">
        <f ca="1">SUM(H120:H125)</f>
        <v>-1.3337241969999987</v>
      </c>
      <c r="I126" s="161">
        <f t="shared" ref="I126:O126" ca="1" si="324">SUM(I120:I125)</f>
        <v>-1.2647581449999974</v>
      </c>
      <c r="J126" s="161">
        <f t="shared" ca="1" si="324"/>
        <v>7.043799999999889E-2</v>
      </c>
      <c r="K126" s="161">
        <f t="shared" ca="1" si="324"/>
        <v>-1.3694023910000026</v>
      </c>
      <c r="L126" s="161">
        <f t="shared" ca="1" si="324"/>
        <v>-2.6397719270000026</v>
      </c>
      <c r="M126" s="161">
        <f t="shared" ca="1" si="324"/>
        <v>-3.2454307580000012</v>
      </c>
      <c r="N126" s="161">
        <f t="shared" ca="1" si="324"/>
        <v>-1.7140029030000008</v>
      </c>
      <c r="O126" s="161">
        <f t="shared" ca="1" si="324"/>
        <v>5.4650999999999978</v>
      </c>
    </row>
    <row r="127" spans="4:16" hidden="1" outlineLevel="1" x14ac:dyDescent="0.2">
      <c r="D127" s="100" t="str">
        <f>CHOOSE(db_ML_selected,'Liste Traduction'!B81,'Liste Traduction'!C81)</f>
        <v>Vol. Restant basé sur la production totale</v>
      </c>
      <c r="F127" s="98" t="s">
        <v>88</v>
      </c>
      <c r="H127" s="161">
        <f t="shared" ref="H127:O127" ca="1" si="325">SUM(H24:H25,H26*conv_CMtoBbls)+SUM(H121:H125)</f>
        <v>0</v>
      </c>
      <c r="I127" s="161">
        <f t="shared" ca="1" si="325"/>
        <v>0</v>
      </c>
      <c r="J127" s="161">
        <f t="shared" ca="1" si="325"/>
        <v>-1.3090000017257353E-6</v>
      </c>
      <c r="K127" s="161">
        <f t="shared" ca="1" si="325"/>
        <v>3.9445847999996175E-2</v>
      </c>
      <c r="L127" s="161">
        <f t="shared" ca="1" si="325"/>
        <v>0</v>
      </c>
      <c r="M127" s="161">
        <f t="shared" ca="1" si="325"/>
        <v>0</v>
      </c>
      <c r="N127" s="161">
        <f t="shared" ca="1" si="325"/>
        <v>0</v>
      </c>
      <c r="O127" s="161">
        <f t="shared" ca="1" si="325"/>
        <v>5.4650999999999996</v>
      </c>
    </row>
    <row r="128" spans="4:16" hidden="1" outlineLevel="1" x14ac:dyDescent="0.2">
      <c r="H128" s="20"/>
      <c r="I128" s="20"/>
      <c r="J128" s="20"/>
      <c r="K128" s="20"/>
      <c r="L128" s="135"/>
      <c r="M128" s="135"/>
      <c r="N128" s="135"/>
      <c r="O128" s="135"/>
    </row>
    <row r="129" spans="4:15" hidden="1" outlineLevel="1" x14ac:dyDescent="0.2">
      <c r="D129" s="51" t="str">
        <f>CHOOSE(db_ML_selected,'Liste Traduction'!B82,'Liste Traduction'!C82)</f>
        <v>Redevance (%)</v>
      </c>
      <c r="H129" s="20"/>
      <c r="I129" s="20"/>
      <c r="J129" s="20"/>
      <c r="K129" s="20"/>
      <c r="L129" s="135"/>
      <c r="M129" s="135"/>
      <c r="N129" s="135"/>
      <c r="O129" s="135"/>
    </row>
    <row r="130" spans="4:15" hidden="1" outlineLevel="1" x14ac:dyDescent="0.2">
      <c r="D130" s="95" t="str">
        <f>CHOOSE(db_ML_selected,'Liste Traduction'!B83,'Liste Traduction'!C83)</f>
        <v>Volumes de redevance/Volume total de production</v>
      </c>
      <c r="H130" s="136">
        <f t="shared" ref="H130:O130" ca="1" si="326">IFERROR(H57/(SUM(H24:H25)+H26*conv_CMtoBbls),0)</f>
        <v>0.15000000000000002</v>
      </c>
      <c r="I130" s="136">
        <f t="shared" ca="1" si="326"/>
        <v>0.15</v>
      </c>
      <c r="J130" s="136">
        <f t="shared" ca="1" si="326"/>
        <v>0.15000002917990887</v>
      </c>
      <c r="K130" s="136">
        <f t="shared" ca="1" si="326"/>
        <v>0.14965195337991247</v>
      </c>
      <c r="L130" s="136">
        <f t="shared" ca="1" si="326"/>
        <v>0.15</v>
      </c>
      <c r="M130" s="136">
        <f t="shared" ca="1" si="326"/>
        <v>0.15</v>
      </c>
      <c r="N130" s="136">
        <f t="shared" ca="1" si="326"/>
        <v>0.15000000000000002</v>
      </c>
      <c r="O130" s="136">
        <f t="shared" ca="1" si="326"/>
        <v>0.14999942361119115</v>
      </c>
    </row>
    <row r="131" spans="4:15" hidden="1" outlineLevel="1" x14ac:dyDescent="0.2">
      <c r="D131" s="95" t="str">
        <f>CHOOSE(db_ML_selected,'Liste Traduction'!B84,'Liste Traduction'!C84)</f>
        <v>Redevance $/Revenus totaux</v>
      </c>
      <c r="H131" s="136">
        <f ca="1">IFERROR(H65/H44,0)</f>
        <v>0.16104463981563066</v>
      </c>
      <c r="I131" s="136">
        <f t="shared" ref="I131:O131" ca="1" si="327">IFERROR(I65/I44,0)</f>
        <v>0.16002828712012282</v>
      </c>
      <c r="J131" s="136">
        <f t="shared" ca="1" si="327"/>
        <v>0.14931245506989266</v>
      </c>
      <c r="K131" s="136">
        <f t="shared" ca="1" si="327"/>
        <v>0.16317459782463339</v>
      </c>
      <c r="L131" s="136">
        <f t="shared" ca="1" si="327"/>
        <v>0.16213343299491104</v>
      </c>
      <c r="M131" s="136">
        <f t="shared" ca="1" si="327"/>
        <v>0.15929227361671727</v>
      </c>
      <c r="N131" s="136">
        <f t="shared" ca="1" si="327"/>
        <v>0.15470507657229218</v>
      </c>
      <c r="O131" s="136">
        <f t="shared" ca="1" si="327"/>
        <v>0.14999942361119115</v>
      </c>
    </row>
    <row r="132" spans="4:15" hidden="1" outlineLevel="1" x14ac:dyDescent="0.2">
      <c r="H132" s="20"/>
      <c r="I132" s="20"/>
      <c r="J132" s="20"/>
      <c r="K132" s="20"/>
      <c r="L132" s="135"/>
      <c r="M132" s="135"/>
      <c r="N132" s="135"/>
      <c r="O132" s="135"/>
    </row>
    <row r="133" spans="4:15" ht="32" hidden="1" outlineLevel="1" x14ac:dyDescent="0.2">
      <c r="D133" s="205" t="str">
        <f>CHOOSE(db_ML_selected,'Liste Traduction'!B85,'Liste Traduction'!C85)</f>
        <v>% de redevance applicable basé sur les termes fiscaux</v>
      </c>
      <c r="H133" s="136">
        <f>CHOOSE(db_psc_number,INDEX([0]!FA_royalty_oil,MATCH('Tableau de bord Backcasting'!H20,HM_ZA_Nkossa!$F$20:$F$21,1)),HM_ZB_Nsoko!royalty_rate_oil,HM_ZD_Moho!royalty_rate_oil,KLL_II_2020!royalty_rate_oil,)</f>
        <v>0.15</v>
      </c>
      <c r="I133" s="136">
        <f>CHOOSE(db_psc_number,INDEX([0]!FA_royalty_oil,MATCH('Tableau de bord Backcasting'!I20,HM_ZA_Nkossa!$F$20:$F$21,1)),HM_ZB_Nsoko!royalty_rate_oil,HM_ZD_Moho!royalty_rate_oil,KLL_II_2020!royalty_rate_oil,)</f>
        <v>0.15</v>
      </c>
      <c r="J133" s="136">
        <f>CHOOSE(db_psc_number,INDEX([0]!FA_royalty_oil,MATCH('Tableau de bord Backcasting'!J20,HM_ZA_Nkossa!$F$20:$F$21,1)),HM_ZB_Nsoko!royalty_rate_oil,HM_ZD_Moho!royalty_rate_oil,KLL_II_2020!royalty_rate_oil,)</f>
        <v>0.15</v>
      </c>
      <c r="K133" s="136">
        <f>CHOOSE(db_psc_number,INDEX([0]!FA_royalty_oil,MATCH('Tableau de bord Backcasting'!K20,HM_ZA_Nkossa!$F$20:$F$21,1)),HM_ZB_Nsoko!royalty_rate_oil,HM_ZD_Moho!royalty_rate_oil,KLL_II_2020!royalty_rate_oil,)</f>
        <v>0.15</v>
      </c>
      <c r="L133" s="136">
        <f>CHOOSE(db_psc_number,INDEX([0]!FA_royalty_oil,MATCH('Tableau de bord Backcasting'!L20,HM_ZA_Nkossa!$F$20:$F$21,1)),HM_ZB_Nsoko!royalty_rate_oil,HM_ZD_Moho!royalty_rate_oil,KLL_II_2020!royalty_rate_oil,)</f>
        <v>0.15</v>
      </c>
      <c r="M133" s="136">
        <f>CHOOSE(db_psc_number,INDEX([0]!FA_royalty_oil,MATCH('Tableau de bord Backcasting'!M20,HM_ZA_Nkossa!$F$20:$F$21,1)),HM_ZB_Nsoko!royalty_rate_oil,HM_ZD_Moho!royalty_rate_oil,KLL_II_2020!royalty_rate_oil,)</f>
        <v>0.15</v>
      </c>
      <c r="N133" s="136">
        <f>CHOOSE(db_psc_number,INDEX([0]!FA_royalty_oil,MATCH('Tableau de bord Backcasting'!N20,HM_ZA_Nkossa!$F$20:$F$21,1)),HM_ZB_Nsoko!royalty_rate_oil,HM_ZD_Moho!royalty_rate_oil,KLL_II_2020!royalty_rate_oil,)</f>
        <v>0.15</v>
      </c>
      <c r="O133" s="136">
        <f>CHOOSE(db_psc_number,INDEX([0]!FA_royalty_oil,MATCH('Tableau de bord Backcasting'!O20,HM_ZA_Nkossa!$F$20:$F$21,1)),HM_ZB_Nsoko!royalty_rate_oil,HM_ZD_Moho!royalty_rate_oil,KLL_II_2020!royalty_rate_oil,)</f>
        <v>0.15</v>
      </c>
    </row>
    <row r="134" spans="4:15" ht="48" hidden="1" outlineLevel="1" x14ac:dyDescent="0.2">
      <c r="D134" s="205" t="str">
        <f>CHOOSE(db_ML_selected,'Liste Traduction'!B86,'Liste Traduction'!C86)</f>
        <v>Le pourcentage de redevance est-il cohérent avec les termes fiscaux ?</v>
      </c>
      <c r="H134" s="154">
        <f ca="1">H130-H133</f>
        <v>0</v>
      </c>
      <c r="I134" s="154">
        <f t="shared" ref="I134:O134" ca="1" si="328">I130-I133</f>
        <v>0</v>
      </c>
      <c r="J134" s="154">
        <f t="shared" ca="1" si="328"/>
        <v>2.9179908878074201E-8</v>
      </c>
      <c r="K134" s="154">
        <f t="shared" ca="1" si="328"/>
        <v>-3.4804662008752763E-4</v>
      </c>
      <c r="L134" s="154">
        <f t="shared" ca="1" si="328"/>
        <v>0</v>
      </c>
      <c r="M134" s="154">
        <f t="shared" ca="1" si="328"/>
        <v>0</v>
      </c>
      <c r="N134" s="154">
        <f t="shared" ca="1" si="328"/>
        <v>0</v>
      </c>
      <c r="O134" s="154">
        <f t="shared" ca="1" si="328"/>
        <v>-5.7638880884836041E-7</v>
      </c>
    </row>
    <row r="135" spans="4:15" hidden="1" outlineLevel="1" x14ac:dyDescent="0.2"/>
    <row r="136" spans="4:15" hidden="1" outlineLevel="1" x14ac:dyDescent="0.2">
      <c r="D136" s="51" t="str">
        <f>CHOOSE(db_ML_selected,'Liste Traduction'!B87,'Liste Traduction'!C87)</f>
        <v>% PID</v>
      </c>
    </row>
    <row r="137" spans="4:15" hidden="1" outlineLevel="1" x14ac:dyDescent="0.2">
      <c r="D137" s="95" t="str">
        <f>CHOOSE(db_ML_selected,'Liste Traduction'!B88,'Liste Traduction'!C88)</f>
        <v>% PID à paritr des résultats réels</v>
      </c>
      <c r="H137" s="137">
        <f ca="1">IFERROR(H66/H44,0)</f>
        <v>1.0738905299037683E-2</v>
      </c>
      <c r="I137" s="137">
        <f t="shared" ref="I137:O137" ca="1" si="329">IFERROR(I66/I44,0)</f>
        <v>1.0523755731011523E-2</v>
      </c>
      <c r="J137" s="137">
        <f t="shared" ca="1" si="329"/>
        <v>9.9448233582096097E-3</v>
      </c>
      <c r="K137" s="137">
        <f t="shared" ca="1" si="329"/>
        <v>1.0784792847851303E-2</v>
      </c>
      <c r="L137" s="137">
        <f t="shared" ca="1" si="329"/>
        <v>1.077706858202644E-2</v>
      </c>
      <c r="M137" s="137">
        <f t="shared" ca="1" si="329"/>
        <v>1.0661603728257115E-2</v>
      </c>
      <c r="N137" s="137">
        <f t="shared" ca="1" si="329"/>
        <v>1.0292524323827646E-2</v>
      </c>
      <c r="O137" s="137">
        <f t="shared" ca="1" si="329"/>
        <v>9.979524268721774E-3</v>
      </c>
    </row>
    <row r="138" spans="4:15" hidden="1" outlineLevel="1" x14ac:dyDescent="0.2">
      <c r="D138" s="95" t="str">
        <f>CHOOSE(db_ML_selected,'Liste Traduction'!B89,'Liste Traduction'!C89)</f>
        <v>% PID à partir des termes fiscaux</v>
      </c>
      <c r="H138" s="137">
        <f>CHOOSE(db_psc_number,HM_ZA_Nkossa!fees_PID_perc,HM_ZB_Nsoko!fees_PID_perc,HM_ZD_Moho!fees_PID_perc,KLL_II_2020!fees_PID_perc,)</f>
        <v>0.01</v>
      </c>
      <c r="I138" s="137">
        <f>CHOOSE(db_psc_number,HM_ZA_Nkossa!fees_PID_perc,HM_ZB_Nsoko!fees_PID_perc,HM_ZD_Moho!fees_PID_perc,KLL_II_2020!fees_PID_perc,)</f>
        <v>0.01</v>
      </c>
      <c r="J138" s="137">
        <f>CHOOSE(db_psc_number,HM_ZA_Nkossa!fees_PID_perc,HM_ZB_Nsoko!fees_PID_perc,HM_ZD_Moho!fees_PID_perc,KLL_II_2020!fees_PID_perc,)</f>
        <v>0.01</v>
      </c>
      <c r="K138" s="137">
        <f>CHOOSE(db_psc_number,HM_ZA_Nkossa!fees_PID_perc,HM_ZB_Nsoko!fees_PID_perc,HM_ZD_Moho!fees_PID_perc,KLL_II_2020!fees_PID_perc,)</f>
        <v>0.01</v>
      </c>
      <c r="L138" s="137">
        <f>CHOOSE(db_psc_number,HM_ZA_Nkossa!fees_PID_perc,HM_ZB_Nsoko!fees_PID_perc,HM_ZD_Moho!fees_PID_perc,KLL_II_2020!fees_PID_perc,)</f>
        <v>0.01</v>
      </c>
      <c r="M138" s="137">
        <f>CHOOSE(db_psc_number,HM_ZA_Nkossa!fees_PID_perc,HM_ZB_Nsoko!fees_PID_perc,HM_ZD_Moho!fees_PID_perc,KLL_II_2020!fees_PID_perc,)</f>
        <v>0.01</v>
      </c>
      <c r="N138" s="137">
        <f>CHOOSE(db_psc_number,HM_ZA_Nkossa!fees_PID_perc,HM_ZB_Nsoko!fees_PID_perc,HM_ZD_Moho!fees_PID_perc,KLL_II_2020!fees_PID_perc,)</f>
        <v>0.01</v>
      </c>
      <c r="O138" s="137">
        <f>CHOOSE(db_psc_number,HM_ZA_Nkossa!fees_PID_perc,HM_ZB_Nsoko!fees_PID_perc,HM_ZD_Moho!fees_PID_perc,KLL_II_2020!fees_PID_perc,)</f>
        <v>0.01</v>
      </c>
    </row>
    <row r="139" spans="4:15" hidden="1" outlineLevel="1" x14ac:dyDescent="0.2">
      <c r="D139" s="95" t="str">
        <f>CHOOSE(db_ML_selected,'Liste Traduction'!B90,'Liste Traduction'!C90)</f>
        <v>La PID est-elles conforme aux termes fiscaux ?</v>
      </c>
      <c r="H139" s="156">
        <f ca="1">H137-H138</f>
        <v>7.3890529903768327E-4</v>
      </c>
      <c r="I139" s="156">
        <f t="shared" ref="I139:O139" ca="1" si="330">I137-I138</f>
        <v>5.237557310115229E-4</v>
      </c>
      <c r="J139" s="156">
        <f t="shared" ca="1" si="330"/>
        <v>-5.517664179039046E-5</v>
      </c>
      <c r="K139" s="156">
        <f t="shared" ca="1" si="330"/>
        <v>7.8479284785130249E-4</v>
      </c>
      <c r="L139" s="156">
        <f t="shared" ca="1" si="330"/>
        <v>7.7706858202643975E-4</v>
      </c>
      <c r="M139" s="156">
        <f t="shared" ca="1" si="330"/>
        <v>6.6160372825711453E-4</v>
      </c>
      <c r="N139" s="156">
        <f t="shared" ca="1" si="330"/>
        <v>2.9252432382764586E-4</v>
      </c>
      <c r="O139" s="156">
        <f t="shared" ca="1" si="330"/>
        <v>-2.0475731278226175E-5</v>
      </c>
    </row>
    <row r="140" spans="4:15" hidden="1" outlineLevel="1" x14ac:dyDescent="0.2"/>
    <row r="141" spans="4:15" hidden="1" outlineLevel="1" x14ac:dyDescent="0.2">
      <c r="D141" s="51" t="str">
        <f>CHOOSE(db_ML_selected,'Liste Traduction'!B91,'Liste Traduction'!C91)</f>
        <v>Vérification des coûts non récupérés</v>
      </c>
    </row>
    <row r="142" spans="4:15" hidden="1" outlineLevel="1" x14ac:dyDescent="0.2">
      <c r="D142" s="95" t="str">
        <f>CHOOSE(db_ML_selected,'Liste Traduction'!B92,'Liste Traduction'!C92)</f>
        <v>Coûts non récupérés réels Solde clôture</v>
      </c>
      <c r="H142" s="141" cm="1">
        <f t="array" aca="1" ref="H142:O142" ca="1">OFFSET(IA_unrec_cost_bal_real,,,,8)</f>
        <v>3428.5025865500002</v>
      </c>
      <c r="I142" s="141">
        <f ca="1"/>
        <v>5523.1720680100007</v>
      </c>
      <c r="J142" s="141">
        <f ca="1"/>
        <v>8492.1819892099993</v>
      </c>
      <c r="K142" s="141">
        <f ca="1"/>
        <v>11097.814713989999</v>
      </c>
      <c r="L142" s="141">
        <f ca="1"/>
        <v>11550.295716860001</v>
      </c>
      <c r="M142" s="141">
        <f ca="1"/>
        <v>10228.118162500001</v>
      </c>
      <c r="N142" s="141">
        <f ca="1"/>
        <v>8720.8316428999988</v>
      </c>
      <c r="O142" s="141">
        <f ca="1"/>
        <v>7534</v>
      </c>
    </row>
    <row r="143" spans="4:15" hidden="1" outlineLevel="1" x14ac:dyDescent="0.2"/>
    <row r="144" spans="4:15" hidden="1" outlineLevel="1" x14ac:dyDescent="0.2">
      <c r="D144" s="95" t="str">
        <f>CHOOSE(db_ML_selected,'Liste Traduction'!B93,'Liste Traduction'!C93)</f>
        <v>Coûts non récupérés Solde d'ouverture</v>
      </c>
      <c r="F144" s="98" t="s">
        <v>148</v>
      </c>
      <c r="H144" s="139">
        <f ca="1">H147-H145+H146</f>
        <v>2285.6657638345741</v>
      </c>
      <c r="I144" s="139">
        <f ca="1">H147</f>
        <v>3428.5025865500002</v>
      </c>
      <c r="J144" s="139">
        <f t="shared" ref="J144:O144" ca="1" si="331">I147</f>
        <v>5418.150131509331</v>
      </c>
      <c r="K144" s="139">
        <f t="shared" ca="1" si="331"/>
        <v>8385.6951157129715</v>
      </c>
      <c r="L144" s="139">
        <f t="shared" ca="1" si="331"/>
        <v>10946.356178900725</v>
      </c>
      <c r="M144" s="139">
        <f t="shared" ca="1" si="331"/>
        <v>11627.163475397876</v>
      </c>
      <c r="N144" s="139">
        <f t="shared" ca="1" si="331"/>
        <v>9863.3288001253532</v>
      </c>
      <c r="O144" s="139">
        <f t="shared" ca="1" si="331"/>
        <v>7600.7134453735362</v>
      </c>
    </row>
    <row r="145" spans="4:15" hidden="1" outlineLevel="1" x14ac:dyDescent="0.2">
      <c r="D145" s="138" t="str">
        <f>CHOOSE(db_ML_selected,'Liste Traduction'!B94,'Liste Traduction'!C94)</f>
        <v xml:space="preserve"> +Total Coûts engagés</v>
      </c>
      <c r="H145" s="139">
        <f ca="1">H51</f>
        <v>1459.453</v>
      </c>
      <c r="I145" s="139">
        <f t="shared" ref="I145:N145" ca="1" si="332">I51</f>
        <v>2338.2309999999998</v>
      </c>
      <c r="J145" s="139">
        <f t="shared" ca="1" si="332"/>
        <v>3413.2910000000002</v>
      </c>
      <c r="K145" s="139">
        <f t="shared" ca="1" si="332"/>
        <v>3041.6680000000001</v>
      </c>
      <c r="L145" s="139">
        <f t="shared" ca="1" si="332"/>
        <v>2021.818</v>
      </c>
      <c r="M145" s="139">
        <f t="shared" ca="1" si="332"/>
        <v>901.79</v>
      </c>
      <c r="N145" s="139">
        <f t="shared" ca="1" si="332"/>
        <v>281.8</v>
      </c>
      <c r="O145" s="139">
        <f t="shared" ref="O145" ca="1" si="333">O51</f>
        <v>286.3</v>
      </c>
    </row>
    <row r="146" spans="4:15" hidden="1" outlineLevel="1" x14ac:dyDescent="0.2">
      <c r="D146" s="138" t="str">
        <f>CHOOSE(db_ML_selected,'Liste Traduction'!B95,'Liste Traduction'!C95)</f>
        <v xml:space="preserve"> - Total Coûts récupérés </v>
      </c>
      <c r="H146" s="139">
        <f ca="1">H87</f>
        <v>316.61617728457418</v>
      </c>
      <c r="I146" s="139">
        <f t="shared" ref="I146:N146" ca="1" si="334">I87</f>
        <v>348.58345504066892</v>
      </c>
      <c r="J146" s="139">
        <f t="shared" ca="1" si="334"/>
        <v>445.7460157963593</v>
      </c>
      <c r="K146" s="139">
        <f t="shared" ca="1" si="334"/>
        <v>481.00693681224658</v>
      </c>
      <c r="L146" s="139">
        <f t="shared" ca="1" si="334"/>
        <v>1341.0107035028482</v>
      </c>
      <c r="M146" s="139">
        <f t="shared" ca="1" si="334"/>
        <v>2665.6246752725242</v>
      </c>
      <c r="N146" s="139">
        <f t="shared" ca="1" si="334"/>
        <v>2544.4153547518163</v>
      </c>
      <c r="O146" s="139">
        <f t="shared" ref="O146" ca="1" si="335">O87</f>
        <v>1473.0144910000001</v>
      </c>
    </row>
    <row r="147" spans="4:15" hidden="1" outlineLevel="1" x14ac:dyDescent="0.2">
      <c r="D147" s="95" t="str">
        <f>CHOOSE(db_ML_selected,'Liste Traduction'!B96,'Liste Traduction'!C96)</f>
        <v>Coûts non récupérés Solde clôture</v>
      </c>
      <c r="H147" s="139">
        <f ca="1">H142</f>
        <v>3428.5025865500002</v>
      </c>
      <c r="I147" s="139">
        <f t="shared" ref="I147:N147" ca="1" si="336">I144+I145-I146</f>
        <v>5418.150131509331</v>
      </c>
      <c r="J147" s="139">
        <f t="shared" ca="1" si="336"/>
        <v>8385.6951157129715</v>
      </c>
      <c r="K147" s="139">
        <f t="shared" ca="1" si="336"/>
        <v>10946.356178900725</v>
      </c>
      <c r="L147" s="139">
        <f t="shared" ca="1" si="336"/>
        <v>11627.163475397876</v>
      </c>
      <c r="M147" s="139">
        <f t="shared" ca="1" si="336"/>
        <v>9863.3288001253532</v>
      </c>
      <c r="N147" s="139">
        <f t="shared" ca="1" si="336"/>
        <v>7600.7134453735362</v>
      </c>
      <c r="O147" s="139">
        <f t="shared" ref="O147" ca="1" si="337">O144+O145-O146</f>
        <v>6413.9989543735364</v>
      </c>
    </row>
    <row r="148" spans="4:15" hidden="1" outlineLevel="1" x14ac:dyDescent="0.2"/>
    <row r="149" spans="4:15" hidden="1" outlineLevel="1" x14ac:dyDescent="0.2">
      <c r="D149" s="95" t="str">
        <f>CHOOSE(db_ML_selected,'Liste Traduction'!B97,'Liste Traduction'!C97)</f>
        <v xml:space="preserve">Y-a-t-il réconciliation avec le solde des coûts non récupérés? </v>
      </c>
      <c r="H149" s="155">
        <f ca="1">ROUND(H142,2)-ROUND(H147,2)</f>
        <v>0</v>
      </c>
      <c r="I149" s="155">
        <f t="shared" ref="I149:N149" ca="1" si="338">ROUND(I142,2)-ROUND(I147,2)</f>
        <v>105.02000000000044</v>
      </c>
      <c r="J149" s="155">
        <f t="shared" ca="1" si="338"/>
        <v>106.47999999999956</v>
      </c>
      <c r="K149" s="155">
        <f t="shared" ca="1" si="338"/>
        <v>151.44999999999891</v>
      </c>
      <c r="L149" s="155">
        <f t="shared" ca="1" si="338"/>
        <v>-76.860000000000582</v>
      </c>
      <c r="M149" s="155">
        <f t="shared" ca="1" si="338"/>
        <v>364.79000000000087</v>
      </c>
      <c r="N149" s="155">
        <f t="shared" ca="1" si="338"/>
        <v>1120.1199999999999</v>
      </c>
      <c r="O149" s="155">
        <f t="shared" ref="O149" ca="1" si="339">ROUND(O142,2)-ROUND(O147,2)</f>
        <v>1120</v>
      </c>
    </row>
    <row r="150" spans="4:15" hidden="1" outlineLevel="1" x14ac:dyDescent="0.2">
      <c r="I150" s="140"/>
    </row>
    <row r="151" spans="4:15" hidden="1" outlineLevel="1" x14ac:dyDescent="0.2">
      <c r="D151" s="51" t="str">
        <f>CHOOSE(db_ML_selected,'Liste Traduction'!B98,'Liste Traduction'!C98)</f>
        <v>Vérification de la récupération des coûts</v>
      </c>
    </row>
    <row r="152" spans="4:15" hidden="1" outlineLevel="1" x14ac:dyDescent="0.2">
      <c r="D152" s="95" t="str">
        <f>CHOOSE(db_ML_selected,'Liste Traduction'!B99,'Liste Traduction'!C99)</f>
        <v>Revenus au PH</v>
      </c>
      <c r="H152" s="139">
        <f ca="1">SUM(H29:H30)*H39</f>
        <v>489.58904715</v>
      </c>
      <c r="I152" s="139">
        <f t="shared" ref="I152:N152" ca="1" si="340">SUM(I29:I30)*I39</f>
        <v>518.02773299699993</v>
      </c>
      <c r="J152" s="139">
        <f t="shared" ca="1" si="340"/>
        <v>426.02104805975</v>
      </c>
      <c r="K152" s="139">
        <f t="shared" ca="1" si="340"/>
        <v>438.85489291375001</v>
      </c>
      <c r="L152" s="139">
        <f t="shared" ca="1" si="340"/>
        <v>3192.9537831375005</v>
      </c>
      <c r="M152" s="139">
        <f t="shared" ca="1" si="340"/>
        <v>5243.5808371980002</v>
      </c>
      <c r="N152" s="139">
        <f t="shared" ca="1" si="340"/>
        <v>5571.9396804304997</v>
      </c>
      <c r="O152" s="139">
        <f t="shared" ref="O152" ca="1" si="341">SUM(O29:O30)*O39</f>
        <v>5435.3935260000007</v>
      </c>
    </row>
    <row r="153" spans="4:15" hidden="1" outlineLevel="1" x14ac:dyDescent="0.2"/>
    <row r="154" spans="4:15" hidden="1" outlineLevel="1" x14ac:dyDescent="0.2">
      <c r="D154" s="95" t="str">
        <f>CHOOSE(db_ML_selected,'Liste Traduction'!B100,'Liste Traduction'!C100)</f>
        <v>% de récupération des coûts dans les revenus @ PF</v>
      </c>
      <c r="H154" s="136">
        <f ca="1">IFERROR(H87/H44,0)</f>
        <v>0.16557833992094284</v>
      </c>
      <c r="I154" s="136">
        <f t="shared" ref="I154:O154" ca="1" si="342">IFERROR(I87/I44,0)</f>
        <v>0.1917636843549877</v>
      </c>
      <c r="J154" s="136">
        <f t="shared" ca="1" si="342"/>
        <v>0.60641834412783879</v>
      </c>
      <c r="K154" s="136">
        <f t="shared" ca="1" si="342"/>
        <v>0.76148145651495591</v>
      </c>
      <c r="L154" s="136">
        <f t="shared" ca="1" si="342"/>
        <v>0.75662268730958482</v>
      </c>
      <c r="M154" s="136">
        <f t="shared" ca="1" si="342"/>
        <v>0.74336394354468061</v>
      </c>
      <c r="N154" s="136">
        <f t="shared" ca="1" si="342"/>
        <v>0.72195702400403017</v>
      </c>
      <c r="O154" s="136">
        <f t="shared" ca="1" si="342"/>
        <v>0.69999923148158827</v>
      </c>
    </row>
    <row r="155" spans="4:15" hidden="1" outlineLevel="1" x14ac:dyDescent="0.2">
      <c r="D155" s="95" t="str">
        <f>CHOOSE(db_ML_selected,'Liste Traduction'!B101,'Liste Traduction'!C101)</f>
        <v>% de récupération des coûts dans les revenus @ PH</v>
      </c>
      <c r="H155" s="136">
        <f t="shared" ref="H155:O155" ca="1" si="343">IFERROR(H87/H152,0)</f>
        <v>0.64669783592517649</v>
      </c>
      <c r="I155" s="136">
        <f t="shared" ca="1" si="343"/>
        <v>0.67290500650220531</v>
      </c>
      <c r="J155" s="136">
        <f t="shared" ca="1" si="343"/>
        <v>1.04630045352558</v>
      </c>
      <c r="K155" s="136">
        <f t="shared" ca="1" si="343"/>
        <v>1.0960500716276187</v>
      </c>
      <c r="L155" s="136">
        <f t="shared" ca="1" si="343"/>
        <v>0.41999064019809496</v>
      </c>
      <c r="M155" s="136">
        <f t="shared" ca="1" si="343"/>
        <v>0.50835960349129428</v>
      </c>
      <c r="N155" s="136">
        <f t="shared" ca="1" si="343"/>
        <v>0.45664804371235213</v>
      </c>
      <c r="O155" s="136">
        <f t="shared" ca="1" si="343"/>
        <v>0.27100420309107165</v>
      </c>
    </row>
    <row r="156" spans="4:15" hidden="1" outlineLevel="1" x14ac:dyDescent="0.2"/>
    <row r="157" spans="4:15" ht="48" hidden="1" outlineLevel="1" x14ac:dyDescent="0.2">
      <c r="D157" s="205" t="str">
        <f>CHOOSE(db_ML_selected,'Liste Traduction'!B102,'Liste Traduction'!C102)</f>
        <v>Vol. la la récupération des coûts en % de la production totale</v>
      </c>
      <c r="H157" s="136">
        <f t="shared" ref="H157:O157" ca="1" si="344">IFERROR((H78+H79*conv_CMtoBbls)/(SUM(H24:H25)+H26*conv_CMtoBbls),0)</f>
        <v>0.15422277336628762</v>
      </c>
      <c r="I157" s="136">
        <f t="shared" ca="1" si="344"/>
        <v>0.17974667585897786</v>
      </c>
      <c r="J157" s="136">
        <f t="shared" ca="1" si="344"/>
        <v>0.60921086102179811</v>
      </c>
      <c r="K157" s="136">
        <f t="shared" ca="1" si="344"/>
        <v>0.69837578243959164</v>
      </c>
      <c r="L157" s="136">
        <f t="shared" ca="1" si="344"/>
        <v>0.70000000000000007</v>
      </c>
      <c r="M157" s="136">
        <f t="shared" ca="1" si="344"/>
        <v>0.70000000000000007</v>
      </c>
      <c r="N157" s="136">
        <f t="shared" ca="1" si="344"/>
        <v>0.70000000000000007</v>
      </c>
      <c r="O157" s="136">
        <f t="shared" ca="1" si="344"/>
        <v>0.69999923148158827</v>
      </c>
    </row>
    <row r="158" spans="4:15" hidden="1" outlineLevel="1" x14ac:dyDescent="0.2"/>
    <row r="159" spans="4:15" hidden="1" outlineLevel="1" x14ac:dyDescent="0.2">
      <c r="D159" s="95" t="str">
        <f>CHOOSE(db_ML_selected,'Liste Traduction'!B103,'Liste Traduction'!C103)</f>
        <v>Cost oil garanti % (si applicable)</v>
      </c>
      <c r="H159" s="136">
        <f>CHOOSE(db_psc_number,HM_ZA_Nkossa!GCO_perc*('Tableau de bord Backcasting'!H20&gt;=YEAR(HM_ZA_Nkossa!GCO_date)),"NA",HM_ZD_Moho!GCO_perc*('Tableau de bord Backcasting'!H20&gt;=YEAR(HM_ZD_Moho!GCO_date)),KLL_II_2020!GCO_perc*('Tableau de bord Backcasting'!H20&gt;=YEAR(KLL_II_2020!GCO_date)),"NA")</f>
        <v>0.4</v>
      </c>
      <c r="I159" s="136">
        <f>CHOOSE(db_psc_number,HM_ZA_Nkossa!GCO_perc*('Tableau de bord Backcasting'!I20&gt;=YEAR(HM_ZA_Nkossa!GCO_date)),"NA",HM_ZD_Moho!GCO_perc*('Tableau de bord Backcasting'!I20&gt;=YEAR(HM_ZD_Moho!GCO_date)),KLL_II_2020!GCO_perc*('Tableau de bord Backcasting'!I20&gt;=YEAR(KLL_II_2020!GCO_date)),"NA")</f>
        <v>0.4</v>
      </c>
      <c r="J159" s="136">
        <f>CHOOSE(db_psc_number,HM_ZA_Nkossa!GCO_perc*('Tableau de bord Backcasting'!J20&gt;=YEAR(HM_ZA_Nkossa!GCO_date)),"NA",HM_ZD_Moho!GCO_perc*('Tableau de bord Backcasting'!J20&gt;=YEAR(HM_ZD_Moho!GCO_date)),KLL_II_2020!GCO_perc*('Tableau de bord Backcasting'!J20&gt;=YEAR(KLL_II_2020!GCO_date)),"NA")</f>
        <v>0.4</v>
      </c>
      <c r="K159" s="136">
        <f>CHOOSE(db_psc_number,HM_ZA_Nkossa!GCO_perc*('Tableau de bord Backcasting'!K20&gt;=YEAR(HM_ZA_Nkossa!GCO_date)),"NA",HM_ZD_Moho!GCO_perc*('Tableau de bord Backcasting'!K20&gt;=YEAR(HM_ZD_Moho!GCO_date)),KLL_II_2020!GCO_perc*('Tableau de bord Backcasting'!K20&gt;=YEAR(KLL_II_2020!GCO_date)),"NA")</f>
        <v>0.4</v>
      </c>
      <c r="L159" s="136">
        <f>CHOOSE(db_psc_number,HM_ZA_Nkossa!GCO_perc*('Tableau de bord Backcasting'!L20&gt;=YEAR(HM_ZA_Nkossa!GCO_date)),"NA",HM_ZD_Moho!GCO_perc*('Tableau de bord Backcasting'!L20&gt;=YEAR(HM_ZD_Moho!GCO_date)),KLL_II_2020!GCO_perc*('Tableau de bord Backcasting'!L20&gt;=YEAR(KLL_II_2020!GCO_date)),"NA")</f>
        <v>0.4</v>
      </c>
      <c r="M159" s="136">
        <f>CHOOSE(db_psc_number,HM_ZA_Nkossa!GCO_perc*('Tableau de bord Backcasting'!M20&gt;=YEAR(HM_ZA_Nkossa!GCO_date)),"NA",HM_ZD_Moho!GCO_perc*('Tableau de bord Backcasting'!M20&gt;=YEAR(HM_ZD_Moho!GCO_date)),KLL_II_2020!GCO_perc*('Tableau de bord Backcasting'!M20&gt;=YEAR(KLL_II_2020!GCO_date)),"NA")</f>
        <v>0.4</v>
      </c>
      <c r="N159" s="136">
        <f>CHOOSE(db_psc_number,HM_ZA_Nkossa!GCO_perc*('Tableau de bord Backcasting'!N20&gt;=YEAR(HM_ZA_Nkossa!GCO_date)),"NA",HM_ZD_Moho!GCO_perc*('Tableau de bord Backcasting'!N20&gt;=YEAR(HM_ZD_Moho!GCO_date)),KLL_II_2020!GCO_perc*('Tableau de bord Backcasting'!N20&gt;=YEAR(KLL_II_2020!GCO_date)),"NA")</f>
        <v>0.4</v>
      </c>
      <c r="O159" s="136">
        <f>CHOOSE(db_psc_number,HM_ZA_Nkossa!GCO_perc*('Tableau de bord Backcasting'!O20&gt;=YEAR(HM_ZA_Nkossa!GCO_date)),"NA",HM_ZD_Moho!GCO_perc*('Tableau de bord Backcasting'!O20&gt;=YEAR(HM_ZD_Moho!GCO_date)),KLL_II_2020!GCO_perc*('Tableau de bord Backcasting'!O20&gt;=YEAR(KLL_II_2020!GCO_date)),"NA")</f>
        <v>0.4</v>
      </c>
    </row>
    <row r="160" spans="4:15" hidden="1" outlineLevel="1" x14ac:dyDescent="0.2"/>
    <row r="161" spans="4:15" ht="32" hidden="1" outlineLevel="1" x14ac:dyDescent="0.2">
      <c r="D161" s="205" t="str">
        <f>CHOOSE(db_ML_selected,'Liste Traduction'!B104,'Liste Traduction'!C104)</f>
        <v>% du Cost stop effectif basé sur les termes fiscaux</v>
      </c>
      <c r="H161" s="136" cm="1">
        <f t="array" aca="1" ref="H161:O161" ca="1">CHOOSE(db_psc_number,OFFSET(HM_ZA_Nkossa!L233,,,,8),OFFSET(HM_ZB_Nsoko!L240,,,,8),OFFSET(HM_ZD_Moho!L251,,,,8),OFFSET(KLL_II_2020!L229,,,,8),OFFSET(Marine!L225,,,,8))</f>
        <v>0.6</v>
      </c>
      <c r="I161" s="136">
        <f ca="1"/>
        <v>0.6</v>
      </c>
      <c r="J161" s="136">
        <f ca="1"/>
        <v>0.7</v>
      </c>
      <c r="K161" s="136">
        <f ca="1"/>
        <v>0.7</v>
      </c>
      <c r="L161" s="136">
        <f ca="1"/>
        <v>0.7</v>
      </c>
      <c r="M161" s="136">
        <f ca="1"/>
        <v>0.7</v>
      </c>
      <c r="N161" s="136">
        <f ca="1"/>
        <v>0.7</v>
      </c>
      <c r="O161" s="136">
        <f ca="1"/>
        <v>0.7</v>
      </c>
    </row>
    <row r="162" spans="4:15" hidden="1" outlineLevel="1" x14ac:dyDescent="0.2"/>
    <row r="163" spans="4:15" ht="32" hidden="1" outlineLevel="1" x14ac:dyDescent="0.2">
      <c r="D163" s="205" t="str">
        <f>CHOOSE(db_ML_selected,'Liste Traduction'!B105,'Liste Traduction'!C105)</f>
        <v>Le % de récupération des coûts est-il &gt; Cost Stop ?</v>
      </c>
      <c r="H163" s="154">
        <f ca="1">MAX(H157-H161,0)</f>
        <v>0</v>
      </c>
      <c r="I163" s="154">
        <f t="shared" ref="I163:O163" ca="1" si="345">MAX(I157-I161,0)</f>
        <v>0</v>
      </c>
      <c r="J163" s="154">
        <f t="shared" ca="1" si="345"/>
        <v>0</v>
      </c>
      <c r="K163" s="154">
        <f t="shared" ca="1" si="345"/>
        <v>0</v>
      </c>
      <c r="L163" s="154">
        <f t="shared" ca="1" si="345"/>
        <v>1.1102230246251565E-16</v>
      </c>
      <c r="M163" s="154">
        <f t="shared" ca="1" si="345"/>
        <v>1.1102230246251565E-16</v>
      </c>
      <c r="N163" s="154">
        <f t="shared" ca="1" si="345"/>
        <v>1.1102230246251565E-16</v>
      </c>
      <c r="O163" s="154">
        <f t="shared" ca="1" si="345"/>
        <v>0</v>
      </c>
    </row>
    <row r="164" spans="4:15" hidden="1" outlineLevel="1" x14ac:dyDescent="0.2"/>
    <row r="165" spans="4:15" ht="48" hidden="1" outlineLevel="1" x14ac:dyDescent="0.2">
      <c r="D165" s="205" t="str">
        <f>CHOOSE(db_ML_selected,'Liste Traduction'!B106,'Liste Traduction'!C106)</f>
        <v>Le % de récupération des coûts est-il &gt; Cost oil garanti ?</v>
      </c>
      <c r="H165" s="154">
        <f ca="1">IFERROR(IF(H159&lt;&gt;0,H157-H159,0),"NA")</f>
        <v>-0.2457772266337124</v>
      </c>
      <c r="I165" s="154">
        <f t="shared" ref="I165:O165" ca="1" si="346">IFERROR(IF(I159&lt;&gt;0,I157-I159,0),"NA")</f>
        <v>-0.22025332414102217</v>
      </c>
      <c r="J165" s="154">
        <f t="shared" ca="1" si="346"/>
        <v>0.20921086102179809</v>
      </c>
      <c r="K165" s="154">
        <f t="shared" ca="1" si="346"/>
        <v>0.29837578243959162</v>
      </c>
      <c r="L165" s="154">
        <f t="shared" ca="1" si="346"/>
        <v>0.30000000000000004</v>
      </c>
      <c r="M165" s="154">
        <f t="shared" ca="1" si="346"/>
        <v>0.30000000000000004</v>
      </c>
      <c r="N165" s="154">
        <f t="shared" ca="1" si="346"/>
        <v>0.30000000000000004</v>
      </c>
      <c r="O165" s="154">
        <f t="shared" ca="1" si="346"/>
        <v>0.29999923148158825</v>
      </c>
    </row>
    <row r="166" spans="4:15" hidden="1" outlineLevel="1" x14ac:dyDescent="0.2"/>
    <row r="167" spans="4:15" hidden="1" outlineLevel="1" x14ac:dyDescent="0.2">
      <c r="D167" s="51" t="str">
        <f>CHOOSE(db_ML_selected,'Liste Traduction'!B107,'Liste Traduction'!C107)</f>
        <v>Vérification du SPO</v>
      </c>
    </row>
    <row r="168" spans="4:15" hidden="1" outlineLevel="1" x14ac:dyDescent="0.2">
      <c r="D168" s="95" t="str">
        <f>CHOOSE(db_ML_selected,'Liste Traduction'!B108,'Liste Traduction'!C108)</f>
        <v>Différence de revenus PF-PH</v>
      </c>
      <c r="H168" s="71">
        <f ca="1">MAX((H44-H152),0)</f>
        <v>1422.594499537</v>
      </c>
      <c r="I168" s="71">
        <f t="shared" ref="I168:N168" ca="1" si="347">MAX((I44-I152),0)</f>
        <v>1299.7484336069997</v>
      </c>
      <c r="J168" s="71">
        <f t="shared" ca="1" si="347"/>
        <v>309.02600339024991</v>
      </c>
      <c r="K168" s="71">
        <f t="shared" ca="1" si="347"/>
        <v>192.81766154824999</v>
      </c>
      <c r="L168" s="71">
        <f t="shared" ca="1" si="347"/>
        <v>0</v>
      </c>
      <c r="M168" s="71">
        <f t="shared" ca="1" si="347"/>
        <v>0</v>
      </c>
      <c r="N168" s="71">
        <f t="shared" ca="1" si="347"/>
        <v>0</v>
      </c>
      <c r="O168" s="71">
        <f t="shared" ref="O168" ca="1" si="348">MAX((O44-O152),0)</f>
        <v>0</v>
      </c>
    </row>
    <row r="169" spans="4:15" hidden="1" outlineLevel="1" x14ac:dyDescent="0.2">
      <c r="D169" s="95" t="str">
        <f>CHOOSE(db_ML_selected,'Liste Traduction'!B109,'Liste Traduction'!C109)</f>
        <v>Redevance sur la différence de rev.</v>
      </c>
      <c r="H169" s="71">
        <f t="shared" ref="H169:O169" ca="1" si="349">H168*H133</f>
        <v>213.38917493055001</v>
      </c>
      <c r="I169" s="71">
        <f t="shared" ca="1" si="349"/>
        <v>194.96226504104996</v>
      </c>
      <c r="J169" s="71">
        <f t="shared" ca="1" si="349"/>
        <v>46.353900508537485</v>
      </c>
      <c r="K169" s="71">
        <f t="shared" ca="1" si="349"/>
        <v>28.922649232237497</v>
      </c>
      <c r="L169" s="71">
        <f t="shared" ca="1" si="349"/>
        <v>0</v>
      </c>
      <c r="M169" s="71">
        <f t="shared" ca="1" si="349"/>
        <v>0</v>
      </c>
      <c r="N169" s="71">
        <f t="shared" ca="1" si="349"/>
        <v>0</v>
      </c>
      <c r="O169" s="71">
        <f t="shared" ca="1" si="349"/>
        <v>0</v>
      </c>
    </row>
    <row r="170" spans="4:15" hidden="1" outlineLevel="1" x14ac:dyDescent="0.2">
      <c r="D170" s="95" t="str">
        <f>CHOOSE(db_ML_selected,'Liste Traduction'!B110,'Liste Traduction'!C110)</f>
        <v>Ajustements aux revenus du SPO</v>
      </c>
      <c r="H170" s="71">
        <f ca="1">CHOOSE(db_psc_number,MAX(H87-H161*H152,0)*(H20&gt;=HM_ZA_Nkossa!$F$52),0,MAX(H87-H161*(H39/H34)*H42,0)*(H20&gt;=2015),MAX(H87-H161*MIN(H152,H42),0)*(H20&gt;=2020),)</f>
        <v>0</v>
      </c>
      <c r="I170" s="71">
        <f ca="1">CHOOSE(db_psc_number,MAX(I87-I161*I152,0)*(I20&gt;=HM_ZA_Nkossa!$F$52),0,MAX(I87-I161*(I39/I34)*I42,0)*(I20&gt;=2015),MAX(I87-I161*MIN(I152,I42),0)*(I20&gt;=2020),)</f>
        <v>0</v>
      </c>
      <c r="J170" s="71">
        <f ca="1">CHOOSE(db_psc_number,MAX(J87-J161*J152,0)*(J20&gt;=HM_ZA_Nkossa!$F$52),0,MAX(J87-J161*(J39/J34)*J42,0)*(J20&gt;=2015),MAX(J87-J161*MIN(J152,J42),0)*(J20&gt;=2020),)</f>
        <v>147.53128215453432</v>
      </c>
      <c r="K170" s="71">
        <f ca="1">CHOOSE(db_psc_number,MAX(K87-K161*K152,0)*(K20&gt;=HM_ZA_Nkossa!$F$52),0,MAX(K87-K161*(K39/K34)*K42,0)*(K20&gt;=2015),MAX(K87-K161*MIN(K152,K42),0)*(K20&gt;=2020),)</f>
        <v>173.80851177262161</v>
      </c>
      <c r="L170" s="71">
        <f ca="1">CHOOSE(db_psc_number,MAX(L87-L161*L152,0)*(L20&gt;=HM_ZA_Nkossa!$F$52),0,MAX(L87-L161*(L39/L34)*L42,0)*(L20&gt;=2015),MAX(L87-L161*MIN(L152,L42),0)*(L20&gt;=2020),)</f>
        <v>0</v>
      </c>
      <c r="M170" s="71">
        <f ca="1">CHOOSE(db_psc_number,MAX(M87-M161*M152,0)*(M20&gt;=HM_ZA_Nkossa!$F$52),0,MAX(M87-M161*(M39/M34)*M42,0)*(M20&gt;=2015),MAX(M87-M161*MIN(M152,M42),0)*(M20&gt;=2020),)</f>
        <v>0</v>
      </c>
      <c r="N170" s="71">
        <f ca="1">CHOOSE(db_psc_number,MAX(N87-N161*N152,0)*(N20&gt;=HM_ZA_Nkossa!$F$52),0,MAX(N87-N161*(N39/N34)*N42,0)*(N20&gt;=2015),MAX(N87-N161*MIN(N152,N42),0)*(N20&gt;=2020),)</f>
        <v>0</v>
      </c>
      <c r="O170" s="71">
        <f ca="1">CHOOSE(db_psc_number,MAX(O87-O161*O152,0)*(O20&gt;=HM_ZA_Nkossa!$F$52),0,MAX(O87-O161*(O39/O34)*O42,0)*(O20&gt;=2015),MAX(O87-O161*MIN(O152,O42),0)*(O20&gt;=2020),)</f>
        <v>0</v>
      </c>
    </row>
    <row r="171" spans="4:15" hidden="1" outlineLevel="1" x14ac:dyDescent="0.2"/>
    <row r="172" spans="4:15" hidden="1" outlineLevel="1" x14ac:dyDescent="0.2">
      <c r="D172" s="95" t="str">
        <f>CHOOSE(db_ML_selected,'Liste Traduction'!B111,'Liste Traduction'!C111)</f>
        <v>% calculé de la part du Gouv. dans le SPO</v>
      </c>
      <c r="H172" s="136">
        <f ca="1">IFERROR(H68/(H168-H169-H170),0)</f>
        <v>0.64368228949021578</v>
      </c>
      <c r="I172" s="136">
        <f t="shared" ref="I172:N172" ca="1" si="350">IFERROR(I68/(I168-I169-I170),0)</f>
        <v>0.62660302653965994</v>
      </c>
      <c r="J172" s="136">
        <f t="shared" ca="1" si="350"/>
        <v>0</v>
      </c>
      <c r="K172" s="136">
        <f t="shared" ca="1" si="350"/>
        <v>0</v>
      </c>
      <c r="L172" s="136">
        <f t="shared" ca="1" si="350"/>
        <v>0</v>
      </c>
      <c r="M172" s="136">
        <f t="shared" ca="1" si="350"/>
        <v>0</v>
      </c>
      <c r="N172" s="136">
        <f t="shared" ca="1" si="350"/>
        <v>0</v>
      </c>
      <c r="O172" s="136">
        <f t="shared" ref="O172" ca="1" si="351">IFERROR(O68/(O168-O169-O170),0)</f>
        <v>0</v>
      </c>
    </row>
    <row r="173" spans="4:15" hidden="1" outlineLevel="1" x14ac:dyDescent="0.2">
      <c r="H173" s="111"/>
      <c r="I173" s="111"/>
      <c r="J173" s="111"/>
      <c r="K173" s="111"/>
      <c r="L173" s="111"/>
      <c r="M173" s="111"/>
      <c r="N173" s="111"/>
      <c r="O173" s="111"/>
    </row>
    <row r="174" spans="4:15" ht="32" hidden="1" outlineLevel="1" x14ac:dyDescent="0.2">
      <c r="D174" s="205" t="str">
        <f>CHOOSE(db_ML_selected,'Liste Traduction'!B112,'Liste Traduction'!C112)</f>
        <v>Volume total du SPO déclaré (MMboe)</v>
      </c>
      <c r="H174" s="171">
        <f ca="1">H59+H81</f>
        <v>8.6741881921202761</v>
      </c>
      <c r="I174" s="171">
        <f t="shared" ref="I174:O174" ca="1" si="352">I59+I81</f>
        <v>8.4758521069291355</v>
      </c>
      <c r="J174" s="171">
        <f t="shared" ca="1" si="352"/>
        <v>0</v>
      </c>
      <c r="K174" s="171">
        <f t="shared" ca="1" si="352"/>
        <v>0</v>
      </c>
      <c r="L174" s="171">
        <f t="shared" ca="1" si="352"/>
        <v>0</v>
      </c>
      <c r="M174" s="171">
        <f t="shared" ca="1" si="352"/>
        <v>0</v>
      </c>
      <c r="N174" s="171">
        <f t="shared" ca="1" si="352"/>
        <v>0</v>
      </c>
      <c r="O174" s="171">
        <f t="shared" ca="1" si="352"/>
        <v>0</v>
      </c>
    </row>
    <row r="175" spans="4:15" hidden="1" outlineLevel="1" x14ac:dyDescent="0.2">
      <c r="H175" s="111"/>
      <c r="I175" s="111"/>
      <c r="J175" s="111"/>
      <c r="K175" s="111"/>
      <c r="L175" s="111"/>
      <c r="M175" s="111"/>
      <c r="N175" s="111"/>
      <c r="O175" s="111"/>
    </row>
    <row r="176" spans="4:15" ht="32" hidden="1" outlineLevel="1" x14ac:dyDescent="0.2">
      <c r="D176" s="205" t="str">
        <f>CHOOSE(db_ML_selected,'Liste Traduction'!B113,'Liste Traduction'!C113)</f>
        <v>Part du Gouv. dans le SPO en % selon les termes fiscaux</v>
      </c>
      <c r="H176" s="136">
        <f ca="1">CHOOSE(db_psc_number,INDEX(HM_ZA_Nkossa!FA_SPO_govt_rate,MATCH('Tableau de bord Backcasting'!H20,HM_ZA_Nkossa!$F$51:$F$52,1)),HM_ZB_Nsoko!SPO_govt_rate,HM_ZD_Moho!$G$56*(_xlfn.XLOOKUP('Tableau de bord Backcasting'!H20,HM_ZD_Moho!$L$4:$S$4,HM_ZD_Moho!$L$311:$S$311)&lt;&gt;0),KLL_II_2020!SPO_govt_rate,)*(H168&lt;&gt;0)</f>
        <v>0.66</v>
      </c>
      <c r="I176" s="136">
        <f ca="1">CHOOSE(db_psc_number,INDEX(HM_ZA_Nkossa!FA_SPO_govt_rate,MATCH('Tableau de bord Backcasting'!I20,HM_ZA_Nkossa!$F$51:$F$52,1)),HM_ZB_Nsoko!SPO_govt_rate,HM_ZD_Moho!$G$56*(_xlfn.XLOOKUP('Tableau de bord Backcasting'!I20,HM_ZD_Moho!$L$4:$S$4,HM_ZD_Moho!$L$311:$S$311)&lt;&gt;0),KLL_II_2020!SPO_govt_rate,)*(I168&lt;&gt;0)</f>
        <v>0.66</v>
      </c>
      <c r="J176" s="136">
        <f ca="1">CHOOSE(db_psc_number,INDEX(HM_ZA_Nkossa!FA_SPO_govt_rate,MATCH('Tableau de bord Backcasting'!J20,HM_ZA_Nkossa!$F$51:$F$52,1)),HM_ZB_Nsoko!SPO_govt_rate,HM_ZD_Moho!$G$56*(_xlfn.XLOOKUP('Tableau de bord Backcasting'!J20,HM_ZD_Moho!$L$4:$S$4,HM_ZD_Moho!$L$311:$S$311)&lt;&gt;0),KLL_II_2020!SPO_govt_rate,)*(J168&lt;&gt;0)</f>
        <v>0</v>
      </c>
      <c r="K176" s="136">
        <f ca="1">CHOOSE(db_psc_number,INDEX(HM_ZA_Nkossa!FA_SPO_govt_rate,MATCH('Tableau de bord Backcasting'!K20,HM_ZA_Nkossa!$F$51:$F$52,1)),HM_ZB_Nsoko!SPO_govt_rate,HM_ZD_Moho!$G$56*(_xlfn.XLOOKUP('Tableau de bord Backcasting'!K20,HM_ZD_Moho!$L$4:$S$4,HM_ZD_Moho!$L$311:$S$311)&lt;&gt;0),KLL_II_2020!SPO_govt_rate,)*(K168&lt;&gt;0)</f>
        <v>0</v>
      </c>
      <c r="L176" s="136">
        <f ca="1">CHOOSE(db_psc_number,INDEX(HM_ZA_Nkossa!FA_SPO_govt_rate,MATCH('Tableau de bord Backcasting'!L20,HM_ZA_Nkossa!$F$51:$F$52,1)),HM_ZB_Nsoko!SPO_govt_rate,HM_ZD_Moho!$G$56*(_xlfn.XLOOKUP('Tableau de bord Backcasting'!L20,HM_ZD_Moho!$L$4:$S$4,HM_ZD_Moho!$L$311:$S$311)&lt;&gt;0),KLL_II_2020!SPO_govt_rate,)*(L168&lt;&gt;0)</f>
        <v>0</v>
      </c>
      <c r="M176" s="136">
        <f ca="1">CHOOSE(db_psc_number,INDEX(HM_ZA_Nkossa!FA_SPO_govt_rate,MATCH('Tableau de bord Backcasting'!M20,HM_ZA_Nkossa!$F$51:$F$52,1)),HM_ZB_Nsoko!SPO_govt_rate,HM_ZD_Moho!$G$56*(_xlfn.XLOOKUP('Tableau de bord Backcasting'!M20,HM_ZD_Moho!$L$4:$S$4,HM_ZD_Moho!$L$311:$S$311)&lt;&gt;0),KLL_II_2020!SPO_govt_rate,)*(M168&lt;&gt;0)</f>
        <v>0</v>
      </c>
      <c r="N176" s="136">
        <f ca="1">CHOOSE(db_psc_number,INDEX(HM_ZA_Nkossa!FA_SPO_govt_rate,MATCH('Tableau de bord Backcasting'!N20,HM_ZA_Nkossa!$F$51:$F$52,1)),HM_ZB_Nsoko!SPO_govt_rate,HM_ZD_Moho!$G$56*(_xlfn.XLOOKUP('Tableau de bord Backcasting'!N20,HM_ZD_Moho!$L$4:$S$4,HM_ZD_Moho!$L$311:$S$311)&lt;&gt;0),KLL_II_2020!SPO_govt_rate,)*(N168&lt;&gt;0)</f>
        <v>0</v>
      </c>
      <c r="O176" s="136">
        <f ca="1">CHOOSE(db_psc_number,INDEX(HM_ZA_Nkossa!FA_SPO_govt_rate,MATCH('Tableau de bord Backcasting'!O20,HM_ZA_Nkossa!$F$51:$F$52,1)),HM_ZB_Nsoko!SPO_govt_rate,HM_ZD_Moho!$G$56*(_xlfn.XLOOKUP('Tableau de bord Backcasting'!O20,HM_ZD_Moho!$L$4:$S$4,HM_ZD_Moho!$L$311:$S$311)&lt;&gt;0),KLL_II_2020!SPO_govt_rate,)*(O168&lt;&gt;0)</f>
        <v>0</v>
      </c>
    </row>
    <row r="177" spans="4:15" hidden="1" outlineLevel="1" x14ac:dyDescent="0.2"/>
    <row r="178" spans="4:15" hidden="1" outlineLevel="1" x14ac:dyDescent="0.2">
      <c r="D178" s="95" t="str">
        <f>CHOOSE(db_ML_selected,'Liste Traduction'!B114,'Liste Traduction'!C114)</f>
        <v xml:space="preserve">Part du Gouv. déclarée dans le SPO en % </v>
      </c>
      <c r="H178" s="136">
        <f ca="1">IFERROR(H59/H174,0)</f>
        <v>0.85</v>
      </c>
      <c r="I178" s="136">
        <f t="shared" ref="I178:O178" ca="1" si="353">IFERROR(I59/I174,0)</f>
        <v>0.85000000000000009</v>
      </c>
      <c r="J178" s="136">
        <f t="shared" ca="1" si="353"/>
        <v>0</v>
      </c>
      <c r="K178" s="136">
        <f t="shared" ca="1" si="353"/>
        <v>0</v>
      </c>
      <c r="L178" s="136">
        <f t="shared" ca="1" si="353"/>
        <v>0</v>
      </c>
      <c r="M178" s="136">
        <f t="shared" ca="1" si="353"/>
        <v>0</v>
      </c>
      <c r="N178" s="136">
        <f t="shared" ca="1" si="353"/>
        <v>0</v>
      </c>
      <c r="O178" s="136">
        <f t="shared" ca="1" si="353"/>
        <v>0</v>
      </c>
    </row>
    <row r="179" spans="4:15" hidden="1" outlineLevel="1" x14ac:dyDescent="0.2"/>
    <row r="180" spans="4:15" ht="48" hidden="1" outlineLevel="1" x14ac:dyDescent="0.2">
      <c r="D180" s="205" t="str">
        <f>CHOOSE(db_ML_selected,'Liste Traduction'!B115,'Liste Traduction'!C115)</f>
        <v>Différence entre le % SPO déclaré et le % SPO selon les termes fiscaux</v>
      </c>
      <c r="H180" s="154">
        <f ca="1">ROUND(H176,2)-ROUND(H178,2)</f>
        <v>-0.18999999999999995</v>
      </c>
      <c r="I180" s="154">
        <f t="shared" ref="I180:O180" ca="1" si="354">ROUND(I176,2)-ROUND(I178,2)</f>
        <v>-0.18999999999999995</v>
      </c>
      <c r="J180" s="154">
        <f t="shared" ca="1" si="354"/>
        <v>0</v>
      </c>
      <c r="K180" s="154">
        <f t="shared" ca="1" si="354"/>
        <v>0</v>
      </c>
      <c r="L180" s="154">
        <f t="shared" ca="1" si="354"/>
        <v>0</v>
      </c>
      <c r="M180" s="154">
        <f t="shared" ca="1" si="354"/>
        <v>0</v>
      </c>
      <c r="N180" s="154">
        <f t="shared" ca="1" si="354"/>
        <v>0</v>
      </c>
      <c r="O180" s="154">
        <f t="shared" ca="1" si="354"/>
        <v>0</v>
      </c>
    </row>
    <row r="181" spans="4:15" hidden="1" outlineLevel="1" x14ac:dyDescent="0.2"/>
    <row r="182" spans="4:15" hidden="1" outlineLevel="1" x14ac:dyDescent="0.2">
      <c r="D182" s="51" t="str">
        <f>CHOOSE(db_ML_selected,'Liste Traduction'!B116,'Liste Traduction'!C116)</f>
        <v>Vérification du Partage du profit</v>
      </c>
    </row>
    <row r="183" spans="4:15" hidden="1" outlineLevel="1" x14ac:dyDescent="0.2">
      <c r="D183" s="95" t="str">
        <f>CHOOSE(db_ML_selected,'Liste Traduction'!B117,'Liste Traduction'!C117)</f>
        <v>Volumes PO déclaré (Gouv + Cont.) en Mmboe</v>
      </c>
      <c r="H183" s="144">
        <f t="shared" ref="H183:O183" ca="1" si="355">H60+H82+(H83*conv_CMtoBbls)</f>
        <v>4.8568449342041369</v>
      </c>
      <c r="I183" s="144">
        <f t="shared" ca="1" si="355"/>
        <v>5.0516141243726986</v>
      </c>
      <c r="J183" s="144">
        <f t="shared" ca="1" si="355"/>
        <v>3.6832280000000002</v>
      </c>
      <c r="K183" s="144">
        <f t="shared" ca="1" si="355"/>
        <v>2.5441196086500013</v>
      </c>
      <c r="L183" s="144">
        <f t="shared" ca="1" si="355"/>
        <v>5.2911070390500017</v>
      </c>
      <c r="M183" s="144">
        <f t="shared" ca="1" si="355"/>
        <v>8.3451919137000026</v>
      </c>
      <c r="N183" s="144">
        <f t="shared" ca="1" si="355"/>
        <v>8.453580285450002</v>
      </c>
      <c r="O183" s="144">
        <f t="shared" ca="1" si="355"/>
        <v>2.3422000000000001</v>
      </c>
    </row>
    <row r="184" spans="4:15" hidden="1" outlineLevel="1" x14ac:dyDescent="0.2"/>
    <row r="185" spans="4:15" hidden="1" outlineLevel="1" x14ac:dyDescent="0.2">
      <c r="D185" s="95" t="str">
        <f>CHOOSE(db_ML_selected,'Liste Traduction'!B118,'Liste Traduction'!C118)</f>
        <v>Volumes PO calculé (MMboe)</v>
      </c>
      <c r="H185" s="71">
        <f t="shared" ref="H185:O185" ca="1" si="356">SUM(H24:H25)+(H26*conv_CMtoBbls)-SUM(H57,H78,(H79*conv_CMtoBbls),H58,H80,H59,H81)</f>
        <v>4.8568449342041351</v>
      </c>
      <c r="I185" s="71">
        <f t="shared" ca="1" si="356"/>
        <v>5.0516141243726995</v>
      </c>
      <c r="J185" s="71">
        <f t="shared" ca="1" si="356"/>
        <v>3.683226690999998</v>
      </c>
      <c r="K185" s="71">
        <f t="shared" ca="1" si="356"/>
        <v>2.5835654566499979</v>
      </c>
      <c r="L185" s="71">
        <f t="shared" ca="1" si="356"/>
        <v>5.2911070390499972</v>
      </c>
      <c r="M185" s="71">
        <f t="shared" ca="1" si="356"/>
        <v>8.345191913699999</v>
      </c>
      <c r="N185" s="71">
        <f t="shared" ca="1" si="356"/>
        <v>8.4535802854499948</v>
      </c>
      <c r="O185" s="71">
        <f t="shared" ca="1" si="356"/>
        <v>7.8072999999999979</v>
      </c>
    </row>
    <row r="186" spans="4:15" hidden="1" outlineLevel="1" x14ac:dyDescent="0.2"/>
    <row r="187" spans="4:15" ht="32" hidden="1" outlineLevel="1" x14ac:dyDescent="0.2">
      <c r="D187" s="205" t="str">
        <f>CHOOSE(db_ML_selected,'Liste Traduction'!B119,'Liste Traduction'!C119)</f>
        <v>Différence entre calculés et déclarés</v>
      </c>
      <c r="H187" s="170">
        <f ca="1">H185-H183</f>
        <v>0</v>
      </c>
      <c r="I187" s="170">
        <f t="shared" ref="I187:O187" ca="1" si="357">I185-I183</f>
        <v>0</v>
      </c>
      <c r="J187" s="170">
        <f t="shared" ca="1" si="357"/>
        <v>-1.3090000021698245E-6</v>
      </c>
      <c r="K187" s="170">
        <f t="shared" ca="1" si="357"/>
        <v>3.9445847999996619E-2</v>
      </c>
      <c r="L187" s="170">
        <f t="shared" ca="1" si="357"/>
        <v>0</v>
      </c>
      <c r="M187" s="170">
        <f t="shared" ca="1" si="357"/>
        <v>0</v>
      </c>
      <c r="N187" s="170">
        <f t="shared" ca="1" si="357"/>
        <v>0</v>
      </c>
      <c r="O187" s="170">
        <f t="shared" ca="1" si="357"/>
        <v>5.4650999999999978</v>
      </c>
    </row>
    <row r="188" spans="4:15" hidden="1" outlineLevel="1" x14ac:dyDescent="0.2"/>
    <row r="189" spans="4:15" ht="32" hidden="1" outlineLevel="1" x14ac:dyDescent="0.2">
      <c r="D189" s="205" t="str">
        <f>CHOOSE(db_ML_selected,'Liste Traduction'!B120,'Liste Traduction'!C120)</f>
        <v>Part du Profit du Gouv. selon les données fiscales</v>
      </c>
      <c r="H189" s="136" cm="1">
        <f t="array" aca="1" ref="H189:O189" ca="1">CHOOSE(db_psc_number,1-OFFSET(HM_ZA_Nkossa!L298,,,,8),1-OFFSET(HM_ZB_Nsoko!L309,,,,8),1-OFFSET(HM_ZD_Moho!L323,,,,8),1-OFFSET(KLL_II_2020!L296,,,,8),OFFSET(Marine!L348,,,,8))</f>
        <v>0.38</v>
      </c>
      <c r="I189" s="136">
        <f ca="1"/>
        <v>0.38</v>
      </c>
      <c r="J189" s="136">
        <f ca="1"/>
        <v>0.30000000000000004</v>
      </c>
      <c r="K189" s="136">
        <f ca="1"/>
        <v>0.30000000000000004</v>
      </c>
      <c r="L189" s="136">
        <f ca="1"/>
        <v>0.30000000000000004</v>
      </c>
      <c r="M189" s="136">
        <f ca="1"/>
        <v>0.30000000000000004</v>
      </c>
      <c r="N189" s="136">
        <f ca="1"/>
        <v>0.35</v>
      </c>
      <c r="O189" s="136">
        <f ca="1"/>
        <v>0.35</v>
      </c>
    </row>
    <row r="190" spans="4:15" hidden="1" outlineLevel="1" x14ac:dyDescent="0.2"/>
    <row r="191" spans="4:15" ht="32" hidden="1" outlineLevel="1" x14ac:dyDescent="0.2">
      <c r="D191" s="205" t="str">
        <f>CHOOSE(db_ML_selected,'Liste Traduction'!B121,'Liste Traduction'!C121)</f>
        <v xml:space="preserve">Part du Profit du Gouv. selon les chiffres déclarés </v>
      </c>
      <c r="H191" s="136">
        <f ca="1">IFERROR(H60/H183,0)</f>
        <v>0.37999999999999995</v>
      </c>
      <c r="I191" s="136">
        <f t="shared" ref="I191:O191" ca="1" si="358">IFERROR(I60/I183,0)</f>
        <v>0.37999999999999995</v>
      </c>
      <c r="J191" s="136">
        <f t="shared" ca="1" si="358"/>
        <v>0.3754098307245709</v>
      </c>
      <c r="K191" s="136">
        <f t="shared" ca="1" si="358"/>
        <v>0.3</v>
      </c>
      <c r="L191" s="136">
        <f t="shared" ca="1" si="358"/>
        <v>0.3</v>
      </c>
      <c r="M191" s="136">
        <f t="shared" ca="1" si="358"/>
        <v>0.30000000000000004</v>
      </c>
      <c r="N191" s="136">
        <f t="shared" ca="1" si="358"/>
        <v>0.30000000000000004</v>
      </c>
      <c r="O191" s="136">
        <f t="shared" ca="1" si="358"/>
        <v>1</v>
      </c>
    </row>
    <row r="192" spans="4:15" hidden="1" outlineLevel="1" x14ac:dyDescent="0.2"/>
    <row r="193" spans="4:33" ht="32" hidden="1" outlineLevel="1" x14ac:dyDescent="0.2">
      <c r="D193" s="205" t="str">
        <f>CHOOSE(db_ML_selected,'Liste Traduction'!B122,'Liste Traduction'!C122)</f>
        <v>Différence entre le PO déclaré et le PO calculé (%)</v>
      </c>
      <c r="H193" s="154">
        <f ca="1">ROUND(H189,2)-ROUND(H191,2)</f>
        <v>0</v>
      </c>
      <c r="I193" s="154">
        <f t="shared" ref="I193:O193" ca="1" si="359">ROUND(I189,2)-ROUND(I191,2)</f>
        <v>0</v>
      </c>
      <c r="J193" s="154">
        <f t="shared" ca="1" si="359"/>
        <v>-8.0000000000000016E-2</v>
      </c>
      <c r="K193" s="154">
        <f t="shared" ca="1" si="359"/>
        <v>0</v>
      </c>
      <c r="L193" s="154">
        <f t="shared" ca="1" si="359"/>
        <v>0</v>
      </c>
      <c r="M193" s="154">
        <f t="shared" ca="1" si="359"/>
        <v>0</v>
      </c>
      <c r="N193" s="154">
        <f t="shared" ca="1" si="359"/>
        <v>4.9999999999999989E-2</v>
      </c>
      <c r="O193" s="154">
        <f t="shared" ca="1" si="359"/>
        <v>-0.65</v>
      </c>
    </row>
    <row r="194" spans="4:33" hidden="1" outlineLevel="1" x14ac:dyDescent="0.2"/>
    <row r="195" spans="4:33" hidden="1" outlineLevel="1" x14ac:dyDescent="0.2"/>
    <row r="196" spans="4:33" ht="16" collapsed="1" thickBot="1" x14ac:dyDescent="0.25"/>
    <row r="197" spans="4:33" ht="16" x14ac:dyDescent="0.2">
      <c r="D197" s="106" t="str">
        <f>CHOOSE(db_ML_selected,'Liste Traduction'!B123,'Liste Traduction'!C123)</f>
        <v>Graphiques</v>
      </c>
      <c r="E197" s="107"/>
      <c r="F197" s="108"/>
      <c r="G197" s="108"/>
      <c r="H197" s="107"/>
      <c r="I197" s="107"/>
      <c r="J197" s="107"/>
      <c r="K197" s="107"/>
      <c r="L197" s="109"/>
      <c r="M197" s="109"/>
      <c r="N197" s="109"/>
      <c r="O197" s="109"/>
      <c r="Q197" s="109"/>
      <c r="R197" s="109"/>
      <c r="S197" s="109"/>
      <c r="T197" s="109"/>
      <c r="U197" s="109"/>
      <c r="V197" s="109"/>
      <c r="W197" s="109"/>
      <c r="X197" s="109"/>
      <c r="Z197" s="109"/>
      <c r="AA197" s="109"/>
      <c r="AB197" s="109"/>
      <c r="AC197" s="109"/>
      <c r="AD197" s="109"/>
      <c r="AE197" s="109"/>
      <c r="AF197" s="109"/>
      <c r="AG197" s="109"/>
    </row>
  </sheetData>
  <conditionalFormatting sqref="AI57:AP61 AI65:AP70 AI78:AP84 AI87:AP91 AI93:AP97">
    <cfRule type="expression" dxfId="11" priority="22">
      <formula>AND(OR(AI57&gt;=$W$16,AI57&lt;=-$W$16),$W$12="Yes")</formula>
    </cfRule>
    <cfRule type="expression" dxfId="10" priority="23">
      <formula>AND(OR(AI57&gt;=$W$15,AI57&lt;=-$W$15),$W$12="Yes")</formula>
    </cfRule>
  </conditionalFormatting>
  <conditionalFormatting sqref="Z57:AG61 Z65:AG70 Z78:AG84 Z87:AG91 Z93:AG97">
    <cfRule type="expression" dxfId="9" priority="26">
      <formula>AND(OR(Z57&gt;=$U$16,Z57&lt;=-$U$16),$U$12="Yes")</formula>
    </cfRule>
    <cfRule type="expression" dxfId="8" priority="42">
      <formula>AND(OR(Z57&gt;=$U$15,Z57&lt;=-$U$15),$U$12="Yes")</formula>
    </cfRule>
  </conditionalFormatting>
  <conditionalFormatting sqref="H110:O112">
    <cfRule type="expression" dxfId="7" priority="4">
      <formula>AND(H110&gt;$F$104,$F$102="Yes")</formula>
    </cfRule>
  </conditionalFormatting>
  <conditionalFormatting sqref="H117:O117 H187:O187">
    <cfRule type="expression" dxfId="6" priority="3">
      <formula>AND(OR(H117&gt;$F$104,H117&lt;-$F$104),$F$102="Yes")</formula>
    </cfRule>
  </conditionalFormatting>
  <conditionalFormatting sqref="H149:O149">
    <cfRule type="expression" dxfId="5" priority="2">
      <formula>AND(OR(H149&gt;$F$104,H149&lt;-$F$104),$F$102="Yes")</formula>
    </cfRule>
  </conditionalFormatting>
  <conditionalFormatting sqref="H134:O134 H139:O139 H163:O163 H165:O165 H193:O193 H180:O180">
    <cfRule type="expression" dxfId="4" priority="1">
      <formula>AND(OR(H134&gt;=$F$106,H134&lt;=-$F$106),$F$102="Yes")</formula>
    </cfRule>
  </conditionalFormatting>
  <conditionalFormatting sqref="Q57:W61 Q65:W70 Q93:W97 Q87:W91 Q78:W84">
    <cfRule type="expression" dxfId="3" priority="43">
      <formula>OR(AND(OR(Z57&gt;=$U$16,Z57&lt;=-$U$16),$U$12="Yes"),AND(OR(AI57&gt;=$W$16,AI57&lt;=-$W$16),$W$12="Yes"))</formula>
    </cfRule>
    <cfRule type="expression" dxfId="2" priority="44">
      <formula>OR(AND(OR(Z57&gt;=$U$15,Z57&lt;=-$U$15),$U$12="Yes"),AND(OR(AI57&gt;=$W$15,AI57&lt;=-$W$15),$W$12="Yes"))</formula>
    </cfRule>
  </conditionalFormatting>
  <conditionalFormatting sqref="X57:X61 X65:X70 X93:X97 X87:X91 X78:X84">
    <cfRule type="expression" dxfId="1" priority="45">
      <formula>OR(AND(OR(AH57&gt;=$U$16,AH57&lt;=-$U$16),$U$12="Yes"),AND(OR(AQ57&gt;=$W$16,AQ57&lt;=-$W$16),$W$12="Yes"))</formula>
    </cfRule>
    <cfRule type="expression" dxfId="0" priority="46">
      <formula>OR(AND(OR(AH57&gt;=$U$15,AH57&lt;=-$U$15),$U$12="Yes"),AND(OR(AQ57&gt;=$W$15,AQ57&lt;=-$W$15),$W$12="Yes"))</formula>
    </cfRule>
  </conditionalFormatting>
  <dataValidations count="4">
    <dataValidation type="list" allowBlank="1" showInputMessage="1" showErrorMessage="1" sqref="F12" xr:uid="{926A0D7B-E58D-4870-98E6-85C3E75B6795}">
      <formula1>list_FieldName</formula1>
    </dataValidation>
    <dataValidation type="list" allowBlank="1" showInputMessage="1" showErrorMessage="1" sqref="U12 W12" xr:uid="{1A79178A-0300-43C1-B397-A961CAAF2125}">
      <formula1>"Yes,No"</formula1>
    </dataValidation>
    <dataValidation type="list" allowBlank="1" showInputMessage="1" showErrorMessage="1" sqref="F15 F102" xr:uid="{67FF4A69-947A-46B1-9B53-6077E12BEB98}">
      <formula1>"Yes, No"</formula1>
    </dataValidation>
    <dataValidation type="list" allowBlank="1" showInputMessage="1" showErrorMessage="1" sqref="F17" xr:uid="{513A8EA2-6000-4F99-A487-71ACE5F2D19A}">
      <formula1>"English, French"</formula1>
    </dataValidation>
  </dataValidations>
  <pageMargins left="0.7" right="0.7" top="0.75" bottom="0.75" header="0.3" footer="0.3"/>
  <drawing r:id="rId1"/>
</worksheet>
</file>

<file path=xl/worksheets/sheet3.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0AEF7-3B91-4975-AACF-6B273B7A36B0}">
  <sheetPr codeName="Sheet4">
    <pageSetUpPr autoPageBreaks="0"/>
  </sheetPr>
  <dimension ref="A1:DB209"/>
  <sheetViews>
    <sheetView showGridLines="0" zoomScale="70" zoomScaleNormal="70" workbookViewId="0">
      <pane xSplit="9" ySplit="5" topLeftCell="J6" activePane="bottomRight" state="frozen"/>
      <selection pane="topRight" activeCell="J1" sqref="J1"/>
      <selection pane="bottomLeft" activeCell="A6" sqref="A6"/>
      <selection pane="bottomRight" activeCell="AB217" sqref="AB217"/>
    </sheetView>
  </sheetViews>
  <sheetFormatPr baseColWidth="10" defaultColWidth="0" defaultRowHeight="15" x14ac:dyDescent="0.2"/>
  <cols>
    <col min="1" max="3" width="2.5" customWidth="1"/>
    <col min="4" max="4" width="30.5" customWidth="1"/>
    <col min="5" max="5" width="7.33203125" style="26" customWidth="1"/>
    <col min="6" max="6" width="6.33203125" customWidth="1"/>
    <col min="7" max="7" width="16" style="166" customWidth="1"/>
    <col min="8" max="8" width="15.1640625" customWidth="1"/>
    <col min="9" max="9" width="4.5" customWidth="1"/>
    <col min="10" max="10" width="30.6640625" customWidth="1"/>
    <col min="11" max="11" width="4.6640625" customWidth="1"/>
    <col min="12" max="12" width="8.83203125" customWidth="1"/>
    <col min="13" max="13" width="4.5" customWidth="1"/>
    <col min="14" max="14" width="10.6640625" customWidth="1"/>
    <col min="15" max="15" width="4.6640625" customWidth="1"/>
    <col min="16" max="21" width="10.6640625" customWidth="1"/>
    <col min="22" max="22" width="2.6640625" customWidth="1"/>
    <col min="23" max="23" width="4.5" customWidth="1"/>
    <col min="24" max="24" width="10.83203125" customWidth="1"/>
    <col min="25" max="26" width="10.6640625" customWidth="1"/>
    <col min="27" max="27" width="4.6640625" customWidth="1"/>
    <col min="28" max="35" width="10.6640625" customWidth="1"/>
    <col min="36" max="36" width="4.5" customWidth="1"/>
    <col min="37" max="44" width="10.6640625" customWidth="1"/>
    <col min="45" max="46" width="9.1640625" customWidth="1"/>
    <col min="47" max="16384" width="9.1640625" hidden="1"/>
  </cols>
  <sheetData>
    <row r="1" spans="1:106" s="5" customFormat="1" ht="20.25" customHeight="1" x14ac:dyDescent="0.2">
      <c r="A1" s="82" t="str">
        <f>'Tableau de bord Backcasting'!A1</f>
        <v>Modèle d'analyse comparative et de Forecasting R4D</v>
      </c>
      <c r="B1" s="82"/>
      <c r="C1" s="82"/>
      <c r="D1" s="82"/>
      <c r="E1" s="85"/>
      <c r="F1" s="93"/>
      <c r="G1" s="165"/>
      <c r="H1" s="82"/>
      <c r="I1" s="82"/>
      <c r="J1" s="82"/>
      <c r="K1" s="82"/>
      <c r="L1" s="83"/>
      <c r="M1" s="83"/>
      <c r="N1" s="83"/>
      <c r="O1" s="83"/>
      <c r="P1" s="83"/>
      <c r="Q1" s="83"/>
      <c r="R1" s="82"/>
      <c r="S1" s="82"/>
      <c r="T1" s="82"/>
      <c r="U1" s="82"/>
      <c r="V1" s="82"/>
      <c r="W1" s="82"/>
      <c r="X1" s="82"/>
      <c r="Y1" s="82"/>
      <c r="Z1" s="82"/>
      <c r="AA1" s="82"/>
      <c r="AB1" s="82"/>
      <c r="AC1" s="82"/>
      <c r="AD1" s="82"/>
      <c r="AE1" s="82"/>
      <c r="AF1" s="82"/>
      <c r="AG1" s="82"/>
      <c r="AH1" s="82"/>
      <c r="AI1" s="82"/>
      <c r="AJ1" s="82"/>
      <c r="AK1" s="82"/>
      <c r="AL1" s="82"/>
      <c r="AM1" s="82"/>
      <c r="AN1" s="82"/>
      <c r="AO1" s="82"/>
      <c r="AP1" s="82"/>
      <c r="AQ1" s="82"/>
      <c r="AR1" s="82"/>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row>
    <row r="2" spans="1:106" ht="9" customHeight="1" x14ac:dyDescent="0.2"/>
    <row r="3" spans="1:106" ht="18.75" customHeight="1" x14ac:dyDescent="0.2">
      <c r="C3" s="92" t="str">
        <f>CHOOSE(db_ML_selected,'Liste Traduction'!B130,'Liste Traduction'!C130)</f>
        <v>Entrées</v>
      </c>
      <c r="D3" s="92"/>
      <c r="E3" s="85"/>
      <c r="F3" s="92"/>
      <c r="G3" s="165"/>
      <c r="H3" s="92"/>
      <c r="J3" s="92" t="str">
        <f>CHOOSE(db_ML_selected,'Liste Traduction'!B150,'Liste Traduction'!C150)</f>
        <v>Prévisions</v>
      </c>
      <c r="K3" s="92"/>
      <c r="L3" s="85"/>
      <c r="M3" s="85"/>
      <c r="N3" s="92"/>
      <c r="O3" s="92"/>
      <c r="P3" s="165"/>
      <c r="Q3" s="92"/>
      <c r="R3" s="92"/>
      <c r="S3" s="92"/>
      <c r="T3" s="92"/>
      <c r="U3" s="92"/>
      <c r="V3" s="92"/>
      <c r="X3" s="92" t="str">
        <f>CHOOSE(db_ML_selected,'Liste Traduction'!B151,'Liste Traduction'!C151)</f>
        <v>Revenus du Gouv.</v>
      </c>
      <c r="Y3" s="92"/>
      <c r="Z3" s="85"/>
      <c r="AA3" s="85"/>
      <c r="AB3" s="92"/>
      <c r="AC3" s="92"/>
      <c r="AD3" s="165"/>
      <c r="AE3" s="92"/>
      <c r="AF3" s="92"/>
      <c r="AG3" s="92"/>
      <c r="AH3" s="92"/>
    </row>
    <row r="4" spans="1:106" ht="15" customHeight="1" x14ac:dyDescent="0.2">
      <c r="N4" s="80"/>
      <c r="O4" s="11"/>
      <c r="P4" s="179" t="str">
        <f>CHOOSE(db_ML_selected,'Liste Traduction'!B152,'Liste Traduction'!C152)</f>
        <v>Réels</v>
      </c>
      <c r="Q4" s="219" t="str">
        <f>CHOOSE(db_ML_selected,'Liste Traduction'!B150,'Liste Traduction'!C150)</f>
        <v>Prévisions</v>
      </c>
      <c r="R4" s="219"/>
      <c r="S4" s="219"/>
      <c r="T4" s="219"/>
      <c r="U4" s="219"/>
    </row>
    <row r="5" spans="1:106" ht="15" customHeight="1" x14ac:dyDescent="0.2">
      <c r="D5" s="11" t="str">
        <f>CHOOSE(db_ML_selected,'Liste Traduction'!B8,'Liste Traduction'!C8)</f>
        <v>Sélectionner le CPP</v>
      </c>
      <c r="G5" s="173" t="s">
        <v>650</v>
      </c>
      <c r="H5" s="89" t="s">
        <v>947</v>
      </c>
      <c r="N5" s="81" t="s">
        <v>990</v>
      </c>
      <c r="P5" s="180">
        <v>2020</v>
      </c>
      <c r="Q5" s="38">
        <f t="shared" ref="Q5:W5" si="0">IF(P5&lt;$P$5+df_forecast_years,P5+1,"")</f>
        <v>2021</v>
      </c>
      <c r="R5" s="38">
        <f t="shared" si="0"/>
        <v>2022</v>
      </c>
      <c r="S5" s="38">
        <f t="shared" si="0"/>
        <v>2023</v>
      </c>
      <c r="T5" s="38">
        <f t="shared" si="0"/>
        <v>2024</v>
      </c>
      <c r="U5" s="38">
        <f t="shared" si="0"/>
        <v>2025</v>
      </c>
      <c r="V5" t="str">
        <f t="shared" si="0"/>
        <v/>
      </c>
      <c r="W5" t="str">
        <f t="shared" si="0"/>
        <v/>
      </c>
    </row>
    <row r="6" spans="1:106" ht="15" customHeight="1" x14ac:dyDescent="0.2">
      <c r="D6" s="50" t="str">
        <f>CHOOSE(db_ML_selected,'Liste Traduction'!B9,'Liste Traduction'!C9)</f>
        <v>Nom du CPP</v>
      </c>
      <c r="G6" s="174" t="str">
        <f>INDEX(list_FieldDescr,MATCH(df_psc_selector,list_FieldName,0))</f>
        <v>Kombi_Likalala_Libondo</v>
      </c>
      <c r="H6" s="26"/>
      <c r="J6" s="185" t="str">
        <f>CHOOSE(db_ML_selected,'Liste Traduction'!B14,'Liste Traduction'!C14)</f>
        <v>Flux de trésorerie du projet</v>
      </c>
      <c r="K6" s="45"/>
      <c r="L6" s="45"/>
      <c r="M6" s="45"/>
      <c r="N6" s="45"/>
      <c r="O6" s="45"/>
      <c r="P6" s="45"/>
      <c r="Q6" s="45"/>
      <c r="R6" s="45"/>
      <c r="S6" s="45"/>
      <c r="T6" s="45"/>
      <c r="U6" s="45"/>
    </row>
    <row r="7" spans="1:106" ht="15" customHeight="1" x14ac:dyDescent="0.2">
      <c r="D7" s="50" t="str">
        <f>CHOOSE(db_ML_selected,'Liste Traduction'!B10,'Liste Traduction'!C10)</f>
        <v>Numéro d'index du CPP</v>
      </c>
      <c r="G7" s="174">
        <f>MATCH(df_psc_selector,list_FieldName,0)</f>
        <v>4</v>
      </c>
      <c r="H7" s="89" t="s">
        <v>948</v>
      </c>
      <c r="J7" s="94"/>
      <c r="K7" s="6"/>
      <c r="L7" s="6"/>
      <c r="M7" s="6"/>
      <c r="N7" s="6"/>
      <c r="O7" s="6"/>
      <c r="P7" s="6"/>
      <c r="Q7" s="6"/>
      <c r="R7" s="6"/>
      <c r="S7" s="6"/>
      <c r="T7" s="6"/>
      <c r="U7" s="6"/>
    </row>
    <row r="8" spans="1:106" ht="15" customHeight="1" x14ac:dyDescent="0.2">
      <c r="D8" s="50" t="str">
        <f>CHOOSE(db_ML_selected,'Liste Traduction'!B131,'Liste Traduction'!C131)</f>
        <v>Inclure coûts futurs d'abandon ?</v>
      </c>
      <c r="G8" s="173" t="s">
        <v>777</v>
      </c>
      <c r="H8" s="89" t="s">
        <v>949</v>
      </c>
      <c r="J8" s="51" t="str">
        <f>CHOOSE(db_ML_selected,'Liste Traduction'!B15,'Liste Traduction'!C15)</f>
        <v>Volumes de production</v>
      </c>
      <c r="L8" s="98"/>
    </row>
    <row r="9" spans="1:106" ht="15" customHeight="1" x14ac:dyDescent="0.2">
      <c r="D9" s="50" t="str">
        <f>CHOOSE(db_ML_selected,'Liste Traduction'!B12,'Liste Traduction'!C12)</f>
        <v>Taille de la réserve (Mmboe)</v>
      </c>
      <c r="G9" s="175">
        <v>100</v>
      </c>
      <c r="H9" s="89" t="s">
        <v>950</v>
      </c>
      <c r="J9" s="95" t="str">
        <f>CHOOSE(db_ML_selected,'Liste Traduction'!B16,'Liste Traduction'!C16)</f>
        <v>Pétrole</v>
      </c>
      <c r="L9" s="98" t="s">
        <v>88</v>
      </c>
      <c r="M9" s="167"/>
      <c r="N9" s="184">
        <f ca="1">SUM(P9:U9)</f>
        <v>28.053690121307966</v>
      </c>
      <c r="O9" s="188"/>
      <c r="P9" s="183" cm="1">
        <f t="array" aca="1" ref="P9:U9" ca="1">CHOOSE(df_psc_number,OFFSET(HM_ZA_Nkossa!CA_gross_prod_oil,,7,,df_forecast_years+1),OFFSET(HM_ZB_Nsoko!CA_gross_prod_oil,,7,,df_forecast_years+1),OFFSET(HM_ZD_Moho!CA_gross_prod_oil,,7,,df_forecast_years+1),OFFSET(KLL_II_2020!CA_gross_prod_oil,,7,,df_forecast_years+1),OFFSET(Marine!CA_gross_prod_oil,,7,,df_forecast_years+1))</f>
        <v>5.5629</v>
      </c>
      <c r="Q9" s="183">
        <f ca="1"/>
        <v>5.1734969999999993</v>
      </c>
      <c r="R9" s="183">
        <f ca="1"/>
        <v>4.811352209999999</v>
      </c>
      <c r="S9" s="183">
        <f ca="1"/>
        <v>4.4745575552999988</v>
      </c>
      <c r="T9" s="183">
        <f ca="1"/>
        <v>4.1613385264289988</v>
      </c>
      <c r="U9" s="183">
        <f ca="1"/>
        <v>3.8700448295789687</v>
      </c>
    </row>
    <row r="10" spans="1:106" x14ac:dyDescent="0.2">
      <c r="D10" s="50" t="str">
        <f>CHOOSE(db_ML_selected,'Liste Traduction'!B132,'Liste Traduction'!C132)</f>
        <v>Nombre d'années de prévision</v>
      </c>
      <c r="G10" s="176">
        <v>5</v>
      </c>
      <c r="H10" s="89" t="s">
        <v>974</v>
      </c>
      <c r="J10" s="95" t="str">
        <f>CHOOSE(db_ML_selected,'Liste Traduction'!B17,'Liste Traduction'!C17)</f>
        <v>Gaz de pétrole liquéfié</v>
      </c>
      <c r="L10" s="98" t="s">
        <v>88</v>
      </c>
      <c r="M10" s="167"/>
      <c r="N10" s="184">
        <f ca="1">SUM(P10:U10)</f>
        <v>0</v>
      </c>
      <c r="O10" s="188"/>
      <c r="P10" s="183" cm="1">
        <f t="array" aca="1" ref="P10:U10" ca="1">CHOOSE(df_psc_number,OFFSET([0]!CA_gross_prod_lpg,,7,,df_forecast_years+1),OFFSET(HM_ZB_Nsoko!CA_gross_prod_lpg,,7,,df_forecast_years+1),OFFSET(HM_ZD_Moho!CA_gross_prod_lpg,,7,,df_forecast_years+1),OFFSET(KLL_II_2020!CA_gross_prod_lpg,,7,,df_forecast_years+1),OFFSET(Marine!CA_gross_prod_lpg,,7,,df_forecast_years+1))</f>
        <v>0</v>
      </c>
      <c r="Q10" s="183">
        <f ca="1"/>
        <v>0</v>
      </c>
      <c r="R10" s="183">
        <f ca="1"/>
        <v>0</v>
      </c>
      <c r="S10" s="183">
        <f ca="1"/>
        <v>0</v>
      </c>
      <c r="T10" s="183">
        <f ca="1"/>
        <v>0</v>
      </c>
      <c r="U10" s="183">
        <f ca="1"/>
        <v>0</v>
      </c>
    </row>
    <row r="11" spans="1:106" x14ac:dyDescent="0.2">
      <c r="H11" s="26"/>
      <c r="J11" s="95" t="str">
        <f>CHOOSE(db_ML_selected,'Liste Traduction'!B18,'Liste Traduction'!C18)</f>
        <v>Gaz</v>
      </c>
      <c r="L11" s="98" t="s">
        <v>653</v>
      </c>
      <c r="N11" s="184">
        <f ca="1">SUM(P11:U11)</f>
        <v>0</v>
      </c>
      <c r="O11" s="188"/>
      <c r="P11" s="183" cm="1">
        <f t="array" aca="1" ref="P11:U11" ca="1">CHOOSE(df_psc_number,OFFSET(HM_ZA_Nkossa!CA_gross_prod_gas,,7,,df_forecast_years+1),OFFSET(HM_ZB_Nsoko!CA_gross_prod_gas,,7,,df_forecast_years+1),OFFSET(HM_ZD_Moho!CA_gross_prod_gas,,7,,df_forecast_years+1),OFFSET(KLL_II_2020!CA_gross_prod_gas,,7,,df_forecast_years+1),OFFSET(Marine!CA_gross_prod_gas,,7,,df_forecast_years+1))</f>
        <v>0</v>
      </c>
      <c r="Q11" s="183">
        <f ca="1"/>
        <v>0</v>
      </c>
      <c r="R11" s="183">
        <f ca="1"/>
        <v>0</v>
      </c>
      <c r="S11" s="183">
        <f ca="1"/>
        <v>0</v>
      </c>
      <c r="T11" s="183">
        <f ca="1"/>
        <v>0</v>
      </c>
      <c r="U11" s="183">
        <f ca="1"/>
        <v>0</v>
      </c>
    </row>
    <row r="12" spans="1:106" x14ac:dyDescent="0.2">
      <c r="D12" s="11" t="str">
        <f>CHOOSE(db_ML_selected,'Liste Traduction'!B133,'Liste Traduction'!C133)</f>
        <v>Prix du pétrole sélectionné (réel)</v>
      </c>
      <c r="E12" s="167" t="s">
        <v>46</v>
      </c>
      <c r="G12" s="173">
        <v>70</v>
      </c>
      <c r="H12" s="89" t="s">
        <v>951</v>
      </c>
      <c r="L12" s="98"/>
      <c r="N12" s="184"/>
      <c r="O12" s="188"/>
      <c r="P12" s="188"/>
      <c r="Q12" s="188"/>
      <c r="R12" s="188"/>
      <c r="S12" s="188"/>
      <c r="T12" s="188"/>
      <c r="U12" s="188"/>
    </row>
    <row r="13" spans="1:106" x14ac:dyDescent="0.2">
      <c r="D13" s="50" t="str">
        <f>CHOOSE(db_ML_selected,'Liste Traduction'!B134,'Liste Traduction'!C134)</f>
        <v>Prix du pétrole personnalisé (réel)</v>
      </c>
      <c r="E13" s="167" t="s">
        <v>46</v>
      </c>
      <c r="G13" s="175">
        <v>110</v>
      </c>
      <c r="H13" s="89" t="s">
        <v>952</v>
      </c>
      <c r="J13" s="51" t="str">
        <f>CHOOSE(db_ML_selected,'Liste Traduction'!B19,'Liste Traduction'!C19)</f>
        <v>Volumes de vente</v>
      </c>
      <c r="L13" s="98"/>
      <c r="N13" s="184"/>
      <c r="O13" s="188"/>
      <c r="P13" s="188"/>
      <c r="Q13" s="188"/>
      <c r="R13" s="188"/>
      <c r="S13" s="188"/>
      <c r="T13" s="188"/>
      <c r="U13" s="188"/>
    </row>
    <row r="14" spans="1:106" x14ac:dyDescent="0.2">
      <c r="D14" s="50" t="str">
        <f>CHOOSE(db_ML_selected,'Liste Traduction'!B135,'Liste Traduction'!C135)</f>
        <v>Actualisation pour le prix du GPL</v>
      </c>
      <c r="E14" s="26" t="s">
        <v>90</v>
      </c>
      <c r="G14" s="178">
        <v>0.4</v>
      </c>
      <c r="H14" s="89" t="s">
        <v>985</v>
      </c>
      <c r="J14" s="95" t="str">
        <f>J9</f>
        <v>Pétrole</v>
      </c>
      <c r="L14" s="98" t="s">
        <v>88</v>
      </c>
      <c r="M14" s="167"/>
      <c r="N14" s="184">
        <f ca="1">SUM(P14:U14)</f>
        <v>28.053690121307966</v>
      </c>
      <c r="O14" s="188"/>
      <c r="P14" s="183" cm="1">
        <f t="array" aca="1" ref="P14:U14" ca="1">CHOOSE(df_psc_number,OFFSET([0]!CA_gross_sales_oil,,7,,df_forecast_years+1),OFFSET(HM_ZB_Nsoko!CA_gross_sales_oil,,7,,df_forecast_years+1),OFFSET(HM_ZD_Moho!CA_gross_sales_oil,,7,,df_forecast_years+1),OFFSET(KLL_II_2020!CA_gross_sales_oil,,7,,df_forecast_years+1),OFFSET(Marine!CA_gross_sales_oil,,7,,df_forecast_years+1))</f>
        <v>5.5629</v>
      </c>
      <c r="Q14" s="183">
        <f ca="1"/>
        <v>5.1734969999999993</v>
      </c>
      <c r="R14" s="183">
        <f ca="1"/>
        <v>4.811352209999999</v>
      </c>
      <c r="S14" s="183">
        <f ca="1"/>
        <v>4.4745575552999988</v>
      </c>
      <c r="T14" s="183">
        <f ca="1"/>
        <v>4.1613385264289988</v>
      </c>
      <c r="U14" s="183">
        <f ca="1"/>
        <v>3.8700448295789687</v>
      </c>
    </row>
    <row r="15" spans="1:106" x14ac:dyDescent="0.2">
      <c r="J15" s="95" t="str">
        <f>J10</f>
        <v>Gaz de pétrole liquéfié</v>
      </c>
      <c r="L15" s="98" t="s">
        <v>88</v>
      </c>
      <c r="M15" s="167"/>
      <c r="N15" s="184">
        <f ca="1">SUM(P15:U15)</f>
        <v>0</v>
      </c>
      <c r="O15" s="188"/>
      <c r="P15" s="183" cm="1">
        <f t="array" aca="1" ref="P15:U15" ca="1">CHOOSE(df_psc_number,OFFSET([0]!CA_gross_sales_lpg,,7,,df_forecast_years+1),OFFSET(HM_ZB_Nsoko!CA_gross_sales_lpg,,7,,df_forecast_years+1),OFFSET(HM_ZD_Moho!CA_gross_sales_lpg,,7,,df_forecast_years+1),OFFSET(KLL_II_2020!CA_gross_sales_lpg,,7,,df_forecast_years+1),OFFSET(Marine!CA_gross_sales_lpg,,7,,df_forecast_years+1))</f>
        <v>0</v>
      </c>
      <c r="Q15" s="183">
        <f ca="1"/>
        <v>0</v>
      </c>
      <c r="R15" s="183">
        <f ca="1"/>
        <v>0</v>
      </c>
      <c r="S15" s="183">
        <f ca="1"/>
        <v>0</v>
      </c>
      <c r="T15" s="183">
        <f ca="1"/>
        <v>0</v>
      </c>
      <c r="U15" s="183">
        <f ca="1"/>
        <v>0</v>
      </c>
    </row>
    <row r="16" spans="1:106" x14ac:dyDescent="0.2">
      <c r="D16" s="11" t="str">
        <f>CHOOSE(db_ML_selected,'Liste Traduction'!B136,'Liste Traduction'!C136)</f>
        <v>Options de prévision de la production</v>
      </c>
      <c r="J16" s="95" t="str">
        <f>J11</f>
        <v>Gaz</v>
      </c>
      <c r="L16" s="98" t="s">
        <v>653</v>
      </c>
      <c r="N16" s="184">
        <f ca="1">SUM(P16:U16)</f>
        <v>0</v>
      </c>
      <c r="O16" s="188"/>
      <c r="P16" s="183" cm="1">
        <f t="array" aca="1" ref="P16:U16" ca="1">CHOOSE(df_psc_number,OFFSET([0]!CA_gross_sales_gas,,7,,df_forecast_years+1),OFFSET(HM_ZB_Nsoko!CA_gross_sales_gas,,7,,df_forecast_years+1),OFFSET(HM_ZD_Moho!CA_gross_sales_gas,,7,,df_forecast_years+1),OFFSET(KLL_II_2020!CA_gross_sales_gas,,7,,df_forecast_years+1),OFFSET(Marine!CA_gross_sales_gas,,7,,df_forecast_years+1))</f>
        <v>0</v>
      </c>
      <c r="Q16" s="183">
        <f ca="1"/>
        <v>0</v>
      </c>
      <c r="R16" s="183">
        <f ca="1"/>
        <v>0</v>
      </c>
      <c r="S16" s="183">
        <f ca="1"/>
        <v>0</v>
      </c>
      <c r="T16" s="183">
        <f ca="1"/>
        <v>0</v>
      </c>
      <c r="U16" s="183">
        <f ca="1"/>
        <v>0</v>
      </c>
    </row>
    <row r="17" spans="4:21" x14ac:dyDescent="0.2">
      <c r="D17" s="50" t="str">
        <f>CHOOSE(db_ML_selected,'Liste Traduction'!B137,'Liste Traduction'!C137)</f>
        <v>Taux de déclin du pétrole liquide</v>
      </c>
      <c r="E17" s="26" t="s">
        <v>90</v>
      </c>
      <c r="G17" s="177">
        <v>7.0000000000000007E-2</v>
      </c>
      <c r="H17" s="89" t="s">
        <v>976</v>
      </c>
      <c r="L17" s="98"/>
    </row>
    <row r="18" spans="4:21" x14ac:dyDescent="0.2">
      <c r="D18" s="50"/>
      <c r="G18"/>
      <c r="H18" s="89"/>
      <c r="J18" s="51" t="str">
        <f>CHOOSE(db_ML_selected,'Liste Traduction'!B20,'Liste Traduction'!C20)</f>
        <v>Prix</v>
      </c>
      <c r="L18" s="98"/>
    </row>
    <row r="19" spans="4:21" x14ac:dyDescent="0.2">
      <c r="J19" s="95" t="str">
        <f>J14</f>
        <v>Pétrole</v>
      </c>
      <c r="L19" s="98" t="s">
        <v>46</v>
      </c>
      <c r="N19" s="182"/>
      <c r="P19" s="181" cm="1">
        <f t="array" aca="1" ref="P19:U19" ca="1">CHOOSE(df_psc_number,OFFSET([0]!CA_FP_oil_nom,,7,,df_forecast_years+1),OFFSET(HM_ZB_Nsoko!CA_FP_oil_nom,,7,,df_forecast_years+1),OFFSET(HM_ZD_Moho!CA_FP_oil_nom,,7,,df_forecast_years+1),OFFSET(KLL_II_2020!CA_FP_oil_nom,,7,,df_forecast_years+1),OFFSET(Marine!CA_FP_oil_nom,,7,,df_forecast_years+1))</f>
        <v>40.43</v>
      </c>
      <c r="Q19" s="181">
        <f ca="1"/>
        <v>66.5184</v>
      </c>
      <c r="R19" s="181">
        <f ca="1"/>
        <v>71.400000000000006</v>
      </c>
      <c r="S19" s="181">
        <f ca="1"/>
        <v>72.828000000000003</v>
      </c>
      <c r="T19" s="181">
        <f ca="1"/>
        <v>74.284559999999999</v>
      </c>
      <c r="U19" s="181">
        <f ca="1"/>
        <v>75.770251200000004</v>
      </c>
    </row>
    <row r="20" spans="4:21" x14ac:dyDescent="0.2">
      <c r="D20" s="11" t="str">
        <f>CHOOSE(db_ML_selected,'Liste Traduction'!B138,'Liste Traduction'!C138)</f>
        <v>Sensibilité aux coûts</v>
      </c>
      <c r="J20" s="95" t="str">
        <f>J15</f>
        <v>Gaz de pétrole liquéfié</v>
      </c>
      <c r="L20" s="98" t="s">
        <v>46</v>
      </c>
      <c r="N20" s="182"/>
      <c r="P20" s="181" cm="1">
        <f t="array" aca="1" ref="P20:U20" ca="1">CHOOSE(df_psc_number,OFFSET([0]!CA_FP_lpg_nom,,7,,df_forecast_years+1),OFFSET(HM_ZB_Nsoko!CA_FP_lpg_nom,,7,,df_forecast_years+1),OFFSET(HM_ZD_Moho!CA_FP_lpg_nom,,7,,df_forecast_years+1),OFFSET(KLL_II_2020!CA_FP_lpg_nom,,7,,df_forecast_years+1),OFFSET(Marine!CA_FP_lpg_nom,,7,,df_forecast_years+1))</f>
        <v>0</v>
      </c>
      <c r="Q20" s="181">
        <f ca="1"/>
        <v>0</v>
      </c>
      <c r="R20" s="181">
        <f ca="1"/>
        <v>0</v>
      </c>
      <c r="S20" s="181">
        <f ca="1"/>
        <v>0</v>
      </c>
      <c r="T20" s="181">
        <f ca="1"/>
        <v>0</v>
      </c>
      <c r="U20" s="181">
        <f ca="1"/>
        <v>0</v>
      </c>
    </row>
    <row r="21" spans="4:21" x14ac:dyDescent="0.2">
      <c r="D21" s="50" t="str">
        <f>CHOOSE(db_ML_selected,'Liste Traduction'!B139,'Liste Traduction'!C139)</f>
        <v>Sensibilité Opex</v>
      </c>
      <c r="E21" s="26" t="s">
        <v>90</v>
      </c>
      <c r="G21" s="178">
        <v>0</v>
      </c>
      <c r="H21" s="89" t="s">
        <v>982</v>
      </c>
      <c r="J21" s="95" t="str">
        <f>J16</f>
        <v>Gaz</v>
      </c>
      <c r="L21" s="98" t="s">
        <v>718</v>
      </c>
      <c r="N21" s="182"/>
      <c r="P21" s="181" cm="1">
        <f t="array" aca="1" ref="P21:U21" ca="1">CHOOSE(df_psc_number,OFFSET([0]!CA_FP_gas_nom,,7,,df_forecast_years+1),OFFSET(HM_ZB_Nsoko!CA_FP_gas_nom,,7,,df_forecast_years+1),OFFSET(HM_ZD_Moho!CA_FP_gas_nom,,7,,df_forecast_years+1),OFFSET(KLL_II_2020!CA_FP_gas_nom,,7,,df_forecast_years+1),OFFSET(Marine!CA_FP_gas_nom,,7,,df_forecast_years+1))</f>
        <v>0</v>
      </c>
      <c r="Q21" s="181">
        <f ca="1"/>
        <v>0</v>
      </c>
      <c r="R21" s="181">
        <f ca="1"/>
        <v>0</v>
      </c>
      <c r="S21" s="181">
        <f ca="1"/>
        <v>0</v>
      </c>
      <c r="T21" s="181">
        <f ca="1"/>
        <v>0</v>
      </c>
      <c r="U21" s="181">
        <f ca="1"/>
        <v>0</v>
      </c>
    </row>
    <row r="22" spans="4:21" x14ac:dyDescent="0.2">
      <c r="D22" s="50" t="str">
        <f>CHOOSE(db_ML_selected,'Liste Traduction'!B140,'Liste Traduction'!C140)</f>
        <v>Sensibilité Capex</v>
      </c>
      <c r="E22" s="26" t="s">
        <v>90</v>
      </c>
      <c r="G22" s="178">
        <v>0</v>
      </c>
      <c r="H22" s="89" t="s">
        <v>983</v>
      </c>
      <c r="L22" s="98"/>
    </row>
    <row r="23" spans="4:21" x14ac:dyDescent="0.2">
      <c r="J23" s="95" t="str">
        <f>CHOOSE(db_ML_selected,'Liste Traduction'!B22,'Liste Traduction'!C22)</f>
        <v>PH</v>
      </c>
      <c r="L23" s="98" t="s">
        <v>46</v>
      </c>
      <c r="P23" s="181" cm="1">
        <f t="array" aca="1" ref="P23:U23" ca="1">CHOOSE(df_psc_number,OFFSET([0]!CA_HP_effective,,7,,df_forecast_years+1),OFFSET(HM_ZB_Nsoko!CA_HP_effective,,7,,df_forecast_years+1),OFFSET(HM_ZD_Moho!CA_HP_effective,,7,,df_forecast_years+1),OFFSET(KLL_II_2020!CA_HP_effective,,7,,df_forecast_years+1),OFFSET(Marine!CA_HP_effective,,7,,df_forecast_years+1))</f>
        <v>50.62</v>
      </c>
      <c r="Q23" s="55">
        <f ca="1"/>
        <v>51</v>
      </c>
      <c r="R23" s="55">
        <f ca="1"/>
        <v>52.019999999999996</v>
      </c>
      <c r="S23" s="55">
        <f ca="1"/>
        <v>53.060399999999994</v>
      </c>
      <c r="T23" s="55">
        <f ca="1"/>
        <v>54.121608000000002</v>
      </c>
      <c r="U23" s="55">
        <f ca="1"/>
        <v>55.204040159999998</v>
      </c>
    </row>
    <row r="24" spans="4:21" x14ac:dyDescent="0.2">
      <c r="D24" s="11" t="str">
        <f>CHOOSE(db_ML_selected,'Liste Traduction'!B141,'Liste Traduction'!C141)</f>
        <v>Hypothèses macroéconomiques</v>
      </c>
      <c r="L24" s="98"/>
    </row>
    <row r="25" spans="4:21" x14ac:dyDescent="0.2">
      <c r="D25" s="50" t="str">
        <f>CHOOSE(db_ML_selected,'Liste Traduction'!B142,'Liste Traduction'!C142)</f>
        <v>Taux d'inflation USA</v>
      </c>
      <c r="E25" s="26" t="s">
        <v>90</v>
      </c>
      <c r="G25" s="178">
        <v>0.02</v>
      </c>
      <c r="H25" s="89" t="s">
        <v>986</v>
      </c>
      <c r="J25" s="51" t="str">
        <f>CHOOSE(db_ML_selected,'Liste Traduction'!B23,'Liste Traduction'!C23)</f>
        <v>Revenus</v>
      </c>
      <c r="L25" s="98"/>
    </row>
    <row r="26" spans="4:21" x14ac:dyDescent="0.2">
      <c r="D26" s="50" t="str">
        <f>CHOOSE(db_ML_selected,'Liste Traduction'!B143,'Liste Traduction'!C143)</f>
        <v>Taux d'indexation des coûts</v>
      </c>
      <c r="E26" s="26" t="s">
        <v>90</v>
      </c>
      <c r="G26" s="178">
        <v>0.02</v>
      </c>
      <c r="H26" s="89" t="s">
        <v>987</v>
      </c>
      <c r="J26" s="95" t="str">
        <f>CHOOSE(db_ML_selected,'Liste Traduction'!B24,'Liste Traduction'!C24)</f>
        <v>Revenus hydrocarbures liquides</v>
      </c>
      <c r="L26" s="98" t="s">
        <v>148</v>
      </c>
      <c r="N26" s="184">
        <f ca="1">SUM(P26:U26)</f>
        <v>1840.8018856154745</v>
      </c>
      <c r="O26" s="188"/>
      <c r="P26" s="183" cm="1">
        <f t="array" aca="1" ref="P26:U26" ca="1">CHOOSE(df_psc_number,OFFSET(HM_ZA_Nkossa!CA_gross_rev_oil_fp,,7,,df_forecast_years+1),OFFSET(HM_ZB_Nsoko!CA_gross_rev_oil_fp,,7,,df_forecast_years+1),OFFSET(HM_ZD_Moho!CA_gross_rev_oil_fp,,7,,df_forecast_years+1),OFFSET(KLL_II_2020!CA_gross_rev_oil_fp,,7,,df_forecast_years+1),OFFSET(Marine!CA_gross_rev_oil_fp,,7,,df_forecast_years+1))</f>
        <v>224.90804700000001</v>
      </c>
      <c r="Q26" s="183">
        <f ca="1"/>
        <v>344.13274284479996</v>
      </c>
      <c r="R26" s="183">
        <f ca="1"/>
        <v>343.53054779399997</v>
      </c>
      <c r="S26" s="183">
        <f ca="1"/>
        <v>325.87307763738835</v>
      </c>
      <c r="T26" s="183">
        <f ca="1"/>
        <v>309.12320144682656</v>
      </c>
      <c r="U26" s="183">
        <f ca="1"/>
        <v>293.23426889245968</v>
      </c>
    </row>
    <row r="27" spans="4:21" x14ac:dyDescent="0.2">
      <c r="J27" s="95" t="str">
        <f>CHOOSE(db_ML_selected,'Liste Traduction'!B25,'Liste Traduction'!C25)</f>
        <v>Revenus gaz</v>
      </c>
      <c r="L27" s="98" t="s">
        <v>148</v>
      </c>
      <c r="N27" s="184">
        <f ca="1">SUM(P27:U27)</f>
        <v>0</v>
      </c>
      <c r="O27" s="188"/>
      <c r="P27" s="183" cm="1">
        <f t="array" aca="1" ref="P27:U27" ca="1">CHOOSE(df_psc_number,OFFSET(HM_ZA_Nkossa!CA_gross_rev_gas_fp,,7,,df_forecast_years+1),OFFSET(HM_ZB_Nsoko!CA_gross_rev_gas_fp,,7,,df_forecast_years+1),OFFSET(HM_ZD_Moho!CA_gross_rev_gas_fp,,7,,df_forecast_years+1),OFFSET(KLL_II_2020!CA_gross_rev_gas_fp,,7,,df_forecast_years+1),(OFFSET(Marine!CA_gross_rev_gas_fp,,7,,df_forecast_years+1)+OFFSET([0]!CA_gross_rev_domestic_gas_fp,,7,,df_forecast_years+1)))</f>
        <v>0</v>
      </c>
      <c r="Q27" s="183">
        <f ca="1"/>
        <v>0</v>
      </c>
      <c r="R27" s="183">
        <f ca="1"/>
        <v>0</v>
      </c>
      <c r="S27" s="183">
        <f ca="1"/>
        <v>0</v>
      </c>
      <c r="T27" s="183">
        <f ca="1"/>
        <v>0</v>
      </c>
      <c r="U27" s="183">
        <f ca="1"/>
        <v>0</v>
      </c>
    </row>
    <row r="28" spans="4:21" x14ac:dyDescent="0.2">
      <c r="J28" s="100" t="str">
        <f>CHOOSE(db_ML_selected,'Liste Traduction'!B26,'Liste Traduction'!C26)</f>
        <v>Total revenus</v>
      </c>
      <c r="K28" s="11"/>
      <c r="L28" s="102" t="s">
        <v>148</v>
      </c>
      <c r="N28" s="184">
        <f ca="1">SUM(P28:U28)</f>
        <v>1840.8018856154745</v>
      </c>
      <c r="O28" s="188"/>
      <c r="P28" s="184">
        <f ca="1">SUM(P26:P27)</f>
        <v>224.90804700000001</v>
      </c>
      <c r="Q28" s="184">
        <f t="shared" ref="Q28:U28" ca="1" si="1">SUM(Q26:Q27)</f>
        <v>344.13274284479996</v>
      </c>
      <c r="R28" s="184">
        <f t="shared" ca="1" si="1"/>
        <v>343.53054779399997</v>
      </c>
      <c r="S28" s="184">
        <f t="shared" ca="1" si="1"/>
        <v>325.87307763738835</v>
      </c>
      <c r="T28" s="184">
        <f t="shared" ca="1" si="1"/>
        <v>309.12320144682656</v>
      </c>
      <c r="U28" s="184">
        <f t="shared" ca="1" si="1"/>
        <v>293.23426889245968</v>
      </c>
    </row>
    <row r="29" spans="4:21" x14ac:dyDescent="0.2">
      <c r="L29" s="98"/>
      <c r="N29" s="188"/>
      <c r="O29" s="188"/>
      <c r="P29" s="188"/>
      <c r="Q29" s="188"/>
      <c r="R29" s="188"/>
      <c r="S29" s="188"/>
      <c r="T29" s="188"/>
      <c r="U29" s="188"/>
    </row>
    <row r="30" spans="4:21" x14ac:dyDescent="0.2">
      <c r="J30" s="51" t="str">
        <f>CHOOSE(db_ML_selected,'Liste Traduction'!B27,'Liste Traduction'!C27)</f>
        <v>Coûts</v>
      </c>
      <c r="L30" s="98"/>
      <c r="N30" s="188"/>
      <c r="O30" s="188"/>
      <c r="P30" s="188"/>
      <c r="Q30" s="188"/>
      <c r="R30" s="188"/>
      <c r="S30" s="188"/>
      <c r="T30" s="188"/>
      <c r="U30" s="188"/>
    </row>
    <row r="31" spans="4:21" x14ac:dyDescent="0.2">
      <c r="J31" s="95" t="str">
        <f>CHOOSE(db_ML_selected,'Liste Traduction'!B28,'Liste Traduction'!C28)</f>
        <v>Exploitation et autres</v>
      </c>
      <c r="L31" s="98" t="s">
        <v>148</v>
      </c>
      <c r="N31" s="184">
        <f ca="1">SUM(P31:U31)</f>
        <v>370.19634211200002</v>
      </c>
      <c r="O31" s="188"/>
      <c r="P31" s="183" cm="1">
        <f t="array" aca="1" ref="P31:U31" ca="1">CHOOSE(df_psc_number,OFFSET(HM_ZA_Nkossa!CA_opex_total_nom,,7,,df_forecast_years+1),OFFSET(HM_ZB_Nsoko!CA_opex_total_nom,,7,,df_forecast_years+1),OFFSET(HM_ZD_Moho!CA_opex_total_nom,,7,,df_forecast_years+1),OFFSET(KLL_II_2020!CA_opex_total_nom,,7,,df_forecast_years+1),OFFSET(Marine!CA_opex_total_nom,,7,,df_forecast_years+1))</f>
        <v>61.2</v>
      </c>
      <c r="Q31" s="183">
        <f ca="1"/>
        <v>60.6</v>
      </c>
      <c r="R31" s="183">
        <f ca="1"/>
        <v>61.2</v>
      </c>
      <c r="S31" s="183">
        <f ca="1"/>
        <v>61.799759999999999</v>
      </c>
      <c r="T31" s="183">
        <f ca="1"/>
        <v>62.399030399999994</v>
      </c>
      <c r="U31" s="183">
        <f ca="1"/>
        <v>62.997551712000003</v>
      </c>
    </row>
    <row r="32" spans="4:21" x14ac:dyDescent="0.2">
      <c r="J32" s="95" t="str">
        <f>CHOOSE(db_ML_selected,'Liste Traduction'!B29,'Liste Traduction'!C29)</f>
        <v>Exploration et évaluation</v>
      </c>
      <c r="L32" s="98" t="s">
        <v>148</v>
      </c>
      <c r="N32" s="184">
        <f ca="1">SUM(P32:U32)</f>
        <v>0</v>
      </c>
      <c r="O32" s="188"/>
      <c r="P32" s="183" cm="1">
        <f t="array" aca="1" ref="P32:U32" ca="1">CHOOSE(df_psc_number,OFFSET(HM_ZA_Nkossa!CA_expex_nom,,7,,df_forecast_years+1),OFFSET(HM_ZB_Nsoko!CA_expex_nom,,7,,df_forecast_years+1),OFFSET(HM_ZD_Moho!CA_expex_nom,,7,,df_forecast_years+1),OFFSET(KLL_II_2020!CA_expex_nom,,7,,df_forecast_years+1),OFFSET(Marine!CA_expex_nom,,7,,df_forecast_years+1))</f>
        <v>0</v>
      </c>
      <c r="Q32" s="183">
        <f ca="1"/>
        <v>0</v>
      </c>
      <c r="R32" s="183">
        <f ca="1"/>
        <v>0</v>
      </c>
      <c r="S32" s="183">
        <f ca="1"/>
        <v>0</v>
      </c>
      <c r="T32" s="183">
        <f ca="1"/>
        <v>0</v>
      </c>
      <c r="U32" s="183">
        <f ca="1"/>
        <v>0</v>
      </c>
    </row>
    <row r="33" spans="10:21" x14ac:dyDescent="0.2">
      <c r="J33" s="95" t="str">
        <f>CHOOSE(db_ML_selected,'Liste Traduction'!B30,'Liste Traduction'!C30)</f>
        <v>Développement</v>
      </c>
      <c r="L33" s="98" t="s">
        <v>148</v>
      </c>
      <c r="N33" s="184">
        <f ca="1">SUM(P33:U33)</f>
        <v>0</v>
      </c>
      <c r="O33" s="188"/>
      <c r="P33" s="183" cm="1">
        <f t="array" aca="1" ref="P33:U33" ca="1">CHOOSE(df_psc_number,OFFSET(HM_ZA_Nkossa!CA_devex_nom,,7,,df_forecast_years+1),OFFSET(HM_ZB_Nsoko!CA_devex_nom,,7,,df_forecast_years+1),OFFSET(HM_ZD_Moho!CA_devex_nom,,7,,df_forecast_years+1),OFFSET(KLL_II_2020!CA_devex_nom,,7,,df_forecast_years+1),OFFSET(Marine!CA_devex_nom,,7,,df_forecast_years+1))</f>
        <v>0</v>
      </c>
      <c r="Q33" s="183">
        <f ca="1"/>
        <v>0</v>
      </c>
      <c r="R33" s="183">
        <f ca="1"/>
        <v>0</v>
      </c>
      <c r="S33" s="183">
        <f ca="1"/>
        <v>0</v>
      </c>
      <c r="T33" s="183">
        <f ca="1"/>
        <v>0</v>
      </c>
      <c r="U33" s="183">
        <f ca="1"/>
        <v>0</v>
      </c>
    </row>
    <row r="34" spans="10:21" x14ac:dyDescent="0.2">
      <c r="J34" s="95" t="str">
        <f>CHOOSE(db_ML_selected,'Liste Traduction'!B31,'Liste Traduction'!C31)</f>
        <v>Abandon</v>
      </c>
      <c r="L34" s="98" t="s">
        <v>148</v>
      </c>
      <c r="N34" s="184">
        <f ca="1">SUM(P34:U34)</f>
        <v>0</v>
      </c>
      <c r="O34" s="188"/>
      <c r="P34" s="183" cm="1">
        <f t="array" aca="1" ref="P34:U34" ca="1">CHOOSE(df_psc_number,OFFSET(HM_ZA_Nkossa!CA_decom_nom,,7,,df_forecast_years+1),OFFSET(HM_ZB_Nsoko!CA_decom_nom,,7,,df_forecast_years+1),OFFSET(HM_ZD_Moho!CA_decom_nom,,7,,df_forecast_years+1),OFFSET(KLL_II_2020!CA_decom_nom,,7,,df_forecast_years+1),OFFSET(Marine!CA_decom_nom,,7,,df_forecast_years+1))</f>
        <v>0</v>
      </c>
      <c r="Q34" s="183">
        <f ca="1"/>
        <v>0</v>
      </c>
      <c r="R34" s="183">
        <f ca="1"/>
        <v>0</v>
      </c>
      <c r="S34" s="183">
        <f ca="1"/>
        <v>0</v>
      </c>
      <c r="T34" s="183">
        <f ca="1"/>
        <v>0</v>
      </c>
      <c r="U34" s="183">
        <f ca="1"/>
        <v>0</v>
      </c>
    </row>
    <row r="35" spans="10:21" x14ac:dyDescent="0.2">
      <c r="J35" s="100" t="str">
        <f>CHOOSE(db_ML_selected,'Liste Traduction'!B32,'Liste Traduction'!C32)</f>
        <v>Total des coûts</v>
      </c>
      <c r="K35" s="11"/>
      <c r="L35" s="102" t="s">
        <v>148</v>
      </c>
      <c r="N35" s="184">
        <f ca="1">SUM(P35:U35)</f>
        <v>370.19634211200002</v>
      </c>
      <c r="O35" s="188"/>
      <c r="P35" s="184">
        <f ca="1">SUM(P31:P34)</f>
        <v>61.2</v>
      </c>
      <c r="Q35" s="184">
        <f t="shared" ref="Q35:U35" ca="1" si="2">SUM(Q31:Q34)</f>
        <v>60.6</v>
      </c>
      <c r="R35" s="184">
        <f t="shared" ca="1" si="2"/>
        <v>61.2</v>
      </c>
      <c r="S35" s="184">
        <f t="shared" ca="1" si="2"/>
        <v>61.799759999999999</v>
      </c>
      <c r="T35" s="184">
        <f t="shared" ca="1" si="2"/>
        <v>62.399030399999994</v>
      </c>
      <c r="U35" s="184">
        <f t="shared" ca="1" si="2"/>
        <v>62.997551712000003</v>
      </c>
    </row>
    <row r="36" spans="10:21" x14ac:dyDescent="0.2">
      <c r="L36" s="98"/>
      <c r="N36" s="188"/>
      <c r="O36" s="188"/>
      <c r="P36" s="188"/>
      <c r="Q36" s="188"/>
      <c r="R36" s="188"/>
      <c r="S36" s="188"/>
      <c r="T36" s="188"/>
      <c r="U36" s="188"/>
    </row>
    <row r="37" spans="10:21" x14ac:dyDescent="0.2">
      <c r="J37" s="100" t="str">
        <f>CHOOSE(db_ML_selected,'Liste Traduction'!B33,'Liste Traduction'!C33)</f>
        <v>Revenu divisible</v>
      </c>
      <c r="L37" s="102" t="s">
        <v>148</v>
      </c>
      <c r="N37" s="184">
        <f ca="1">SUM(P37:U37)</f>
        <v>1470.6055435034746</v>
      </c>
      <c r="O37" s="188"/>
      <c r="P37" s="188">
        <f ca="1">P28-P35</f>
        <v>163.70804700000002</v>
      </c>
      <c r="Q37" s="188">
        <f t="shared" ref="Q37:U37" ca="1" si="3">Q28-Q35</f>
        <v>283.53274284479994</v>
      </c>
      <c r="R37" s="188">
        <f t="shared" ca="1" si="3"/>
        <v>282.33054779399998</v>
      </c>
      <c r="S37" s="188">
        <f t="shared" ca="1" si="3"/>
        <v>264.07331763738836</v>
      </c>
      <c r="T37" s="188">
        <f t="shared" ca="1" si="3"/>
        <v>246.72417104682657</v>
      </c>
      <c r="U37" s="188">
        <f t="shared" ca="1" si="3"/>
        <v>230.23671718045966</v>
      </c>
    </row>
    <row r="39" spans="10:21" ht="16" x14ac:dyDescent="0.2">
      <c r="J39" s="185" t="str">
        <f>CHOOSE(db_ML_selected,'Liste Traduction'!B144,'Liste Traduction'!C144)</f>
        <v>Flux de trésorerie du Gouv.</v>
      </c>
      <c r="K39" s="45"/>
      <c r="L39" s="45"/>
      <c r="M39" s="45"/>
      <c r="N39" s="45"/>
      <c r="O39" s="45"/>
      <c r="P39" s="45"/>
      <c r="Q39" s="45"/>
      <c r="R39" s="45"/>
      <c r="S39" s="45"/>
      <c r="T39" s="45"/>
      <c r="U39" s="45"/>
    </row>
    <row r="40" spans="10:21" ht="16" x14ac:dyDescent="0.2">
      <c r="J40" s="94"/>
      <c r="K40" s="6"/>
      <c r="L40" s="6"/>
      <c r="M40" s="6"/>
      <c r="N40" s="6"/>
      <c r="O40" s="6"/>
      <c r="P40" s="6"/>
      <c r="Q40" s="6"/>
      <c r="R40" s="6"/>
      <c r="S40" s="6"/>
      <c r="T40" s="6"/>
      <c r="U40" s="6"/>
    </row>
    <row r="41" spans="10:21" x14ac:dyDescent="0.2">
      <c r="J41" s="95" t="str">
        <f>CHOOSE(db_ML_selected,'Liste Traduction'!B41,'Liste Traduction'!C41)</f>
        <v>Redevances</v>
      </c>
      <c r="L41" s="98" t="s">
        <v>148</v>
      </c>
      <c r="N41" s="184">
        <f t="shared" ref="N41:N46" ca="1" si="4">SUM(P41:U41)</f>
        <v>276.12028284232116</v>
      </c>
      <c r="O41" s="188"/>
      <c r="P41" s="183" cm="1">
        <f t="array" aca="1" ref="P41:U41" ca="1">CHOOSE(df_psc_number,OFFSET(HM_ZA_Nkossa!L523,,7,,df_forecast_years+1),OFFSET(HM_ZB_Nsoko!L534,,7,,df_forecast_years+1),OFFSET(HM_ZD_Moho!L548,,7,,df_forecast_years+1),OFFSET(KLL_II_2020!L521,,7,,df_forecast_years+1),OFFSET(Marine!L560,,7,,df_forecast_years+1))</f>
        <v>33.736207049999997</v>
      </c>
      <c r="Q41" s="183">
        <f ca="1"/>
        <v>51.619911426719995</v>
      </c>
      <c r="R41" s="183">
        <f ca="1"/>
        <v>51.529582169099996</v>
      </c>
      <c r="S41" s="183">
        <f ca="1"/>
        <v>48.880961645608252</v>
      </c>
      <c r="T41" s="183">
        <f ca="1"/>
        <v>46.368480217023979</v>
      </c>
      <c r="U41" s="183">
        <f ca="1"/>
        <v>43.985140333868948</v>
      </c>
    </row>
    <row r="42" spans="10:21" x14ac:dyDescent="0.2">
      <c r="J42" s="95" t="str">
        <f>CHOOSE(db_ML_selected,'Liste Traduction'!B42,'Liste Traduction'!C42)</f>
        <v>PID</v>
      </c>
      <c r="L42" s="98" t="s">
        <v>148</v>
      </c>
      <c r="N42" s="184">
        <f t="shared" ca="1" si="4"/>
        <v>18.408018856154744</v>
      </c>
      <c r="O42" s="188"/>
      <c r="P42" s="183" cm="1">
        <f t="array" aca="1" ref="P42:U42" ca="1">CHOOSE(df_psc_number,OFFSET(HM_ZA_Nkossa!L524,,7,,df_forecast_years+1),OFFSET(HM_ZB_Nsoko!L535,,7,,df_forecast_years+1),OFFSET(HM_ZD_Moho!L549,,7,,df_forecast_years+1),OFFSET(KLL_II_2020!L522,,7,,df_forecast_years+1),OFFSET(Marine!L561,,7,,df_forecast_years+1))</f>
        <v>2.24908047</v>
      </c>
      <c r="Q42" s="183">
        <f ca="1"/>
        <v>3.4413274284479995</v>
      </c>
      <c r="R42" s="183">
        <f ca="1"/>
        <v>3.4353054779399996</v>
      </c>
      <c r="S42" s="183">
        <f ca="1"/>
        <v>3.2587307763738838</v>
      </c>
      <c r="T42" s="183">
        <f ca="1"/>
        <v>3.0912320144682655</v>
      </c>
      <c r="U42" s="183">
        <f ca="1"/>
        <v>2.9323426889245967</v>
      </c>
    </row>
    <row r="43" spans="10:21" x14ac:dyDescent="0.2">
      <c r="J43" s="95" t="str">
        <f>CHOOSE(db_ML_selected,'Liste Traduction'!B43,'Liste Traduction'!C43)</f>
        <v>Excess Cost Oil</v>
      </c>
      <c r="L43" s="98" t="s">
        <v>148</v>
      </c>
      <c r="N43" s="184">
        <f t="shared" ca="1" si="4"/>
        <v>0</v>
      </c>
      <c r="O43" s="188"/>
      <c r="P43" s="183" cm="1">
        <f t="array" aca="1" ref="P43:U43" ca="1">CHOOSE(df_psc_number,OFFSET(HM_ZA_Nkossa!L525,,7,,df_forecast_years+1),OFFSET(HM_ZB_Nsoko!L536,,7,,df_forecast_years+1),OFFSET(HM_ZD_Moho!L550,,7,,df_forecast_years+1),OFFSET(KLL_II_2020!L523,,7,,df_forecast_years+1),OFFSET(Marine!L562,,7,,df_forecast_years+1))</f>
        <v>0</v>
      </c>
      <c r="Q43" s="183">
        <f ca="1"/>
        <v>0</v>
      </c>
      <c r="R43" s="183">
        <f ca="1"/>
        <v>0</v>
      </c>
      <c r="S43" s="183">
        <f ca="1"/>
        <v>0</v>
      </c>
      <c r="T43" s="183">
        <f ca="1"/>
        <v>0</v>
      </c>
      <c r="U43" s="183">
        <f ca="1"/>
        <v>0</v>
      </c>
    </row>
    <row r="44" spans="10:21" x14ac:dyDescent="0.2">
      <c r="J44" s="95" t="str">
        <f>CHOOSE(db_ML_selected,'Liste Traduction'!B44,'Liste Traduction'!C44)</f>
        <v>SPO</v>
      </c>
      <c r="L44" s="98" t="s">
        <v>148</v>
      </c>
      <c r="N44" s="184">
        <f t="shared" ca="1" si="4"/>
        <v>238.69242492349889</v>
      </c>
      <c r="O44" s="188"/>
      <c r="P44" s="183" cm="1">
        <f t="array" aca="1" ref="P44:U44" ca="1">CHOOSE(df_psc_number,OFFSET(HM_ZA_Nkossa!L526,,7,,df_forecast_years+1),OFFSET(HM_ZB_Nsoko!L537,,7,,df_forecast_years+1),OFFSET(HM_ZD_Moho!L551,,7,,df_forecast_years+1),OFFSET(KLL_II_2020!L524,,7,,df_forecast_years+1),OFFSET(Marine!L563,,7,,df_forecast_years+1))</f>
        <v>0</v>
      </c>
      <c r="Q44" s="183">
        <f ca="1"/>
        <v>45.039546068932786</v>
      </c>
      <c r="R44" s="183">
        <f ca="1"/>
        <v>52.30988727051782</v>
      </c>
      <c r="S44" s="183">
        <f ca="1"/>
        <v>49.621159064813206</v>
      </c>
      <c r="T44" s="183">
        <f ca="1"/>
        <v>47.07063148888178</v>
      </c>
      <c r="U44" s="183">
        <f ca="1"/>
        <v>44.651201030353278</v>
      </c>
    </row>
    <row r="45" spans="10:21" x14ac:dyDescent="0.2">
      <c r="J45" s="95" t="str">
        <f>CHOOSE(db_ML_selected,'Liste Traduction'!B45,'Liste Traduction'!C45)</f>
        <v>Partage du profit</v>
      </c>
      <c r="L45" s="98" t="s">
        <v>148</v>
      </c>
      <c r="N45" s="184">
        <f t="shared" ca="1" si="4"/>
        <v>247.68190866076097</v>
      </c>
      <c r="O45" s="188"/>
      <c r="P45" s="183" cm="1">
        <f t="array" aca="1" ref="P45:U45" ca="1">CHOOSE(df_psc_number,OFFSET(HM_ZA_Nkossa!L527,,7,,df_forecast_years+1),OFFSET(HM_ZB_Nsoko!L538,,7,,df_forecast_years+1),OFFSET(HM_ZD_Moho!L552,,7,,df_forecast_years+1),OFFSET(KLL_II_2020!L525,,7,,df_forecast_years+1),OFFSET(Marine!L564,,7,,df_forecast_years+1))</f>
        <v>39.358908225000008</v>
      </c>
      <c r="Q45" s="183">
        <f ca="1"/>
        <v>46.173460724999984</v>
      </c>
      <c r="R45" s="183">
        <f ca="1"/>
        <v>43.800144843734998</v>
      </c>
      <c r="S45" s="183">
        <f ca="1"/>
        <v>41.548817398767007</v>
      </c>
      <c r="T45" s="183">
        <f ca="1"/>
        <v>39.413208184470378</v>
      </c>
      <c r="U45" s="183">
        <f ca="1"/>
        <v>37.387369283788615</v>
      </c>
    </row>
    <row r="46" spans="10:21" x14ac:dyDescent="0.2">
      <c r="J46" s="119" t="str">
        <f>CHOOSE(db_ML_selected,'Liste Traduction'!B145,'Liste Traduction'!C145)</f>
        <v>Total flux de trésorerie du Gouv.</v>
      </c>
      <c r="K46" s="105"/>
      <c r="L46" s="190" t="s">
        <v>148</v>
      </c>
      <c r="N46" s="189">
        <f t="shared" ca="1" si="4"/>
        <v>780.90263528273567</v>
      </c>
      <c r="O46" s="188"/>
      <c r="P46" s="189">
        <f ca="1">SUM(P41:P45)</f>
        <v>75.344195745000007</v>
      </c>
      <c r="Q46" s="189">
        <f t="shared" ref="Q46:U46" ca="1" si="5">SUM(Q41:Q45)</f>
        <v>146.27424564910075</v>
      </c>
      <c r="R46" s="189">
        <f t="shared" ca="1" si="5"/>
        <v>151.07491976129279</v>
      </c>
      <c r="S46" s="189">
        <f t="shared" ca="1" si="5"/>
        <v>143.30966888556233</v>
      </c>
      <c r="T46" s="189">
        <f t="shared" ca="1" si="5"/>
        <v>135.94355190484441</v>
      </c>
      <c r="U46" s="189">
        <f t="shared" ca="1" si="5"/>
        <v>128.95605333693544</v>
      </c>
    </row>
    <row r="47" spans="10:21" x14ac:dyDescent="0.2">
      <c r="J47" s="186" t="str">
        <f>CHOOSE(db_ML_selected,'Liste Traduction'!B146,'Liste Traduction'!C146)</f>
        <v>Part du Gouv.</v>
      </c>
      <c r="L47" s="98" t="s">
        <v>90</v>
      </c>
      <c r="N47" s="187">
        <f ca="1">N46/N37</f>
        <v>0.53100754225525648</v>
      </c>
      <c r="P47" s="187">
        <f ca="1">P46/P37</f>
        <v>0.46023513886889139</v>
      </c>
      <c r="Q47" s="187">
        <f t="shared" ref="Q47:U47" ca="1" si="6">Q46/Q37</f>
        <v>0.51589895467264713</v>
      </c>
      <c r="R47" s="187">
        <f t="shared" ca="1" si="6"/>
        <v>0.53509944616947114</v>
      </c>
      <c r="S47" s="187">
        <f t="shared" ca="1" si="6"/>
        <v>0.54268894020693015</v>
      </c>
      <c r="T47" s="187">
        <f t="shared" ca="1" si="6"/>
        <v>0.55099405675596835</v>
      </c>
      <c r="U47" s="187">
        <f t="shared" ca="1" si="6"/>
        <v>0.56010203288235572</v>
      </c>
    </row>
    <row r="49" spans="10:21" x14ac:dyDescent="0.2">
      <c r="J49" s="95" t="str">
        <f>CHOOSE(db_ML_selected,'Liste Traduction'!B147,'Liste Traduction'!C147)</f>
        <v>Flux de trésorerie de la SNPC</v>
      </c>
      <c r="L49" s="98" t="s">
        <v>148</v>
      </c>
      <c r="N49" s="184">
        <f ca="1">SUM(P49:U49)</f>
        <v>137.94058164414773</v>
      </c>
      <c r="O49" s="188"/>
      <c r="P49" s="183" cm="1">
        <f t="array" aca="1" ref="P49:U49" ca="1">CHOOSE(df_psc_number,OFFSET(HM_ZA_Nkossa!L504,,7,,df_forecast_years+1),OFFSET(HM_ZB_Nsoko!L515,,7,,df_forecast_years+1),OFFSET(HM_ZD_Moho!L529,,7,,df_forecast_years+1),OFFSET(KLL_II_2020!L502,,7,,df_forecast_years+1),OFFSET(Marine!L541,,7,,df_forecast_years+1))</f>
        <v>17.672770250999999</v>
      </c>
      <c r="Q49" s="183">
        <f ca="1"/>
        <v>27.45169943913983</v>
      </c>
      <c r="R49" s="183">
        <f ca="1"/>
        <v>26.251125606541436</v>
      </c>
      <c r="S49" s="183">
        <f ca="1"/>
        <v>24.1527297503652</v>
      </c>
      <c r="T49" s="183">
        <f ca="1"/>
        <v>22.156123828396421</v>
      </c>
      <c r="U49" s="183">
        <f ca="1"/>
        <v>20.256132768704848</v>
      </c>
    </row>
    <row r="50" spans="10:21" x14ac:dyDescent="0.2">
      <c r="N50" s="188"/>
      <c r="O50" s="188"/>
      <c r="P50" s="188"/>
      <c r="Q50" s="188"/>
      <c r="R50" s="188"/>
      <c r="S50" s="188"/>
      <c r="T50" s="188"/>
      <c r="U50" s="188"/>
    </row>
    <row r="51" spans="10:21" x14ac:dyDescent="0.2">
      <c r="J51" s="100" t="str">
        <f>CHOOSE(db_ML_selected,'Liste Traduction'!B148,'Liste Traduction'!C148)</f>
        <v>Flux de trésorerie du Gouv. incl. la SNPC</v>
      </c>
      <c r="L51" s="102" t="s">
        <v>148</v>
      </c>
      <c r="N51" s="184">
        <f ca="1">SUM(P51:U51)</f>
        <v>918.84321692688343</v>
      </c>
      <c r="O51" s="188"/>
      <c r="P51" s="184">
        <f t="shared" ref="P51:U51" ca="1" si="7">SUM(P46,P49)</f>
        <v>93.01696599600001</v>
      </c>
      <c r="Q51" s="184">
        <f t="shared" ca="1" si="7"/>
        <v>173.72594508824056</v>
      </c>
      <c r="R51" s="184">
        <f t="shared" ca="1" si="7"/>
        <v>177.32604536783424</v>
      </c>
      <c r="S51" s="184">
        <f t="shared" ca="1" si="7"/>
        <v>167.46239863592754</v>
      </c>
      <c r="T51" s="184">
        <f t="shared" ca="1" si="7"/>
        <v>158.09967573324084</v>
      </c>
      <c r="U51" s="184">
        <f t="shared" ca="1" si="7"/>
        <v>149.21218610564028</v>
      </c>
    </row>
    <row r="54" spans="10:21" ht="16" x14ac:dyDescent="0.2">
      <c r="J54" s="185" t="str">
        <f>CHOOSE(db_ML_selected,'Liste Traduction'!B149,'Liste Traduction'!C149)</f>
        <v>Flux de trésorerie Contracteur</v>
      </c>
      <c r="K54" s="45"/>
      <c r="L54" s="45"/>
      <c r="M54" s="45"/>
      <c r="N54" s="45"/>
      <c r="O54" s="45"/>
      <c r="P54" s="45"/>
      <c r="Q54" s="45"/>
      <c r="R54" s="45"/>
      <c r="S54" s="45"/>
      <c r="T54" s="45"/>
      <c r="U54" s="45"/>
    </row>
    <row r="55" spans="10:21" ht="16" x14ac:dyDescent="0.2">
      <c r="J55" s="94"/>
      <c r="K55" s="6"/>
      <c r="L55" s="6"/>
      <c r="M55" s="6"/>
      <c r="N55" s="6"/>
      <c r="O55" s="6"/>
      <c r="P55" s="6"/>
      <c r="Q55" s="6"/>
      <c r="R55" s="6"/>
      <c r="S55" s="6"/>
      <c r="T55" s="6"/>
      <c r="U55" s="6"/>
    </row>
    <row r="56" spans="10:21" x14ac:dyDescent="0.2">
      <c r="J56" s="110" t="str">
        <f>CHOOSE(db_ML_selected,'Liste Traduction'!B57,'Liste Traduction'!C57)</f>
        <v>Récupération des coûts</v>
      </c>
      <c r="L56" s="98" t="s">
        <v>148</v>
      </c>
      <c r="N56" s="184">
        <f ca="1">SUM(P56:U56)</f>
        <v>707.66259617360288</v>
      </c>
      <c r="P56" s="183" cm="1">
        <f t="array" aca="1" ref="P56:U56" ca="1">CHOOSE(df_psc_number,OFFSET(HM_ZA_Nkossa!L316,,7,,df_forecast_years+1)+OFFSET(HM_ZA_Nkossa!L323,,7,,df_forecast_years+1),OFFSET(HM_ZB_Nsoko!L327,,7,,df_forecast_years+1)+OFFSET(HM_ZB_Nsoko!L334,,7,,df_forecast_years+1),OFFSET(HM_ZD_Moho!L341,,7,,df_forecast_years+1)+OFFSET(HM_ZD_Moho!L348,,7,,df_forecast_years+1),OFFSET(KLL_II_2020!L314,,7,,df_forecast_years+1)+OFFSET(KLL_II_2020!L321,,7,,df_forecast_years+1),OFFSET(Marine!L353,,7,,df_forecast_years+1)+OFFSET(Marine!L360,,7,,df_forecast_years+1))</f>
        <v>112.45402350000001</v>
      </c>
      <c r="Q56" s="183">
        <f ca="1"/>
        <v>131.92417349999999</v>
      </c>
      <c r="R56" s="183">
        <f ca="1"/>
        <v>125.14327098209996</v>
      </c>
      <c r="S56" s="183">
        <f ca="1"/>
        <v>118.71090685362002</v>
      </c>
      <c r="T56" s="183">
        <f ca="1"/>
        <v>112.60916624134396</v>
      </c>
      <c r="U56" s="183">
        <f ca="1"/>
        <v>106.82105509653887</v>
      </c>
    </row>
    <row r="57" spans="10:21" x14ac:dyDescent="0.2">
      <c r="J57" s="110" t="str">
        <f>CHOOSE(db_ML_selected,'Liste Traduction'!B43,'Liste Traduction'!C43)</f>
        <v>Excess Cost Oil</v>
      </c>
      <c r="L57" s="98" t="s">
        <v>148</v>
      </c>
      <c r="N57" s="184">
        <f t="shared" ref="N57:N60" ca="1" si="8">SUM(P57:U57)</f>
        <v>0</v>
      </c>
      <c r="P57" s="183" cm="1">
        <f t="array" aca="1" ref="P57:U57" ca="1">CHOOSE(df_psc_number,OFFSET(HM_ZA_Nkossa!L317,,7,,df_forecast_years+1)+OFFSET(HM_ZA_Nkossa!L324,,7,,df_forecast_years+1),OFFSET(HM_ZB_Nsoko!L328,,7,,df_forecast_years+1)+OFFSET(HM_ZB_Nsoko!L335,,7,,df_forecast_years+1),OFFSET(HM_ZD_Moho!L342,,7,,df_forecast_years+1)+OFFSET(HM_ZD_Moho!L349,,7,,df_forecast_years+1),OFFSET(KLL_II_2020!L315,,7,,df_forecast_years+1)+OFFSET(KLL_II_2020!L322,,7,,df_forecast_years+1),OFFSET(Marine!L354,,7,,df_forecast_years+1)+OFFSET(Marine!L361,,7,,df_forecast_years+1))</f>
        <v>0</v>
      </c>
      <c r="Q57" s="183">
        <f ca="1"/>
        <v>0</v>
      </c>
      <c r="R57" s="183">
        <f ca="1"/>
        <v>0</v>
      </c>
      <c r="S57" s="183">
        <f ca="1"/>
        <v>0</v>
      </c>
      <c r="T57" s="183">
        <f ca="1"/>
        <v>0</v>
      </c>
      <c r="U57" s="183">
        <f ca="1"/>
        <v>0</v>
      </c>
    </row>
    <row r="58" spans="10:21" x14ac:dyDescent="0.2">
      <c r="J58" s="110" t="str">
        <f>J44</f>
        <v>SPO</v>
      </c>
      <c r="L58" s="98" t="s">
        <v>148</v>
      </c>
      <c r="N58" s="184">
        <f t="shared" ca="1" si="8"/>
        <v>122.96276435452968</v>
      </c>
      <c r="P58" s="183" cm="1">
        <f t="array" aca="1" ref="P58:U58" ca="1">CHOOSE(df_psc_number,OFFSET(HM_ZA_Nkossa!L318,,7,,df_forecast_years+1),OFFSET(HM_ZB_Nsoko!L329,,7,,df_forecast_years+1),OFFSET(HM_ZD_Moho!L343,,7,,df_forecast_years+1),OFFSET(KLL_II_2020!L316,,7,,df_forecast_years+1),OFFSET(Marine!L355,,7,,df_forecast_years+1))</f>
        <v>0</v>
      </c>
      <c r="Q58" s="183">
        <f ca="1"/>
        <v>23.202190399147192</v>
      </c>
      <c r="R58" s="183">
        <f ca="1"/>
        <v>26.947517684812208</v>
      </c>
      <c r="S58" s="183">
        <f ca="1"/>
        <v>25.56241527581286</v>
      </c>
      <c r="T58" s="183">
        <f ca="1"/>
        <v>24.248507130636064</v>
      </c>
      <c r="U58" s="183">
        <f ca="1"/>
        <v>23.00213386412138</v>
      </c>
    </row>
    <row r="59" spans="10:21" x14ac:dyDescent="0.2">
      <c r="J59" s="110" t="str">
        <f>J45</f>
        <v>Partage du profit</v>
      </c>
      <c r="L59" s="98" t="s">
        <v>148</v>
      </c>
      <c r="N59" s="184">
        <f t="shared" ca="1" si="8"/>
        <v>247.68190866076097</v>
      </c>
      <c r="P59" s="183" cm="1">
        <f t="array" aca="1" ref="P59:U59" ca="1">CHOOSE(df_psc_number,OFFSET(HM_ZA_Nkossa!L319,,7,,df_forecast_years+1)+OFFSET(HM_ZA_Nkossa!L325,,7,,df_forecast_years+1),OFFSET(HM_ZB_Nsoko!L330,,7,,df_forecast_years+1)+OFFSET(HM_ZB_Nsoko!L336,,7,,df_forecast_years+1),OFFSET(HM_ZD_Moho!L344,,7,,df_forecast_years+1)+OFFSET(HM_ZD_Moho!L350,,7,,df_forecast_years+1),OFFSET(KLL_II_2020!L317,,7,,df_forecast_years+1)+OFFSET(KLL_II_2020!L323,,7,,df_forecast_years+1),OFFSET(Marine!L356,,7,,df_forecast_years+1)+OFFSET(Marine!L362,,7,,df_forecast_years+1))</f>
        <v>39.358908225000008</v>
      </c>
      <c r="Q59" s="183">
        <f ca="1"/>
        <v>46.173460724999984</v>
      </c>
      <c r="R59" s="183">
        <f ca="1"/>
        <v>43.800144843734998</v>
      </c>
      <c r="S59" s="183">
        <f ca="1"/>
        <v>41.548817398767007</v>
      </c>
      <c r="T59" s="183">
        <f ca="1"/>
        <v>39.413208184470378</v>
      </c>
      <c r="U59" s="183">
        <f ca="1"/>
        <v>37.387369283788615</v>
      </c>
    </row>
    <row r="60" spans="10:21" x14ac:dyDescent="0.2">
      <c r="J60" s="114" t="str">
        <f>CHOOSE(db_ML_selected,'Liste Traduction'!B58,'Liste Traduction'!C58)</f>
        <v>Revenus des droits</v>
      </c>
      <c r="K60" s="105"/>
      <c r="L60" s="116" t="s">
        <v>148</v>
      </c>
      <c r="N60" s="189">
        <f t="shared" ca="1" si="8"/>
        <v>1078.3072691888933</v>
      </c>
      <c r="P60" s="189">
        <f ca="1">SUM(P56:P59)</f>
        <v>151.812931725</v>
      </c>
      <c r="Q60" s="189">
        <f t="shared" ref="Q60:U60" ca="1" si="9">SUM(Q56:Q59)</f>
        <v>201.29982462414716</v>
      </c>
      <c r="R60" s="189">
        <f t="shared" ca="1" si="9"/>
        <v>195.89093351064719</v>
      </c>
      <c r="S60" s="189">
        <f t="shared" ca="1" si="9"/>
        <v>185.82213952819987</v>
      </c>
      <c r="T60" s="189">
        <f t="shared" ca="1" si="9"/>
        <v>176.27088155645038</v>
      </c>
      <c r="U60" s="189">
        <f t="shared" ca="1" si="9"/>
        <v>167.21055824444886</v>
      </c>
    </row>
    <row r="61" spans="10:21" x14ac:dyDescent="0.2">
      <c r="J61" s="110"/>
      <c r="L61" s="98"/>
      <c r="N61" s="188"/>
    </row>
    <row r="62" spans="10:21" x14ac:dyDescent="0.2">
      <c r="J62" s="110" t="str">
        <f>CHOOSE(db_ML_selected,'Liste Traduction'!B59,'Liste Traduction'!C59)</f>
        <v>(-)PID</v>
      </c>
      <c r="L62" s="98" t="s">
        <v>148</v>
      </c>
      <c r="N62" s="184">
        <f ca="1">SUM(P62:U62)</f>
        <v>18.408018856154744</v>
      </c>
      <c r="P62" s="183" cm="1">
        <f t="array" aca="1" ref="P62:U62" ca="1">CHOOSE(df_psc_number,OFFSET(HM_ZA_Nkossa!L439,,7,,df_forecast_years+1),OFFSET(HM_ZB_Nsoko!L450,,7,,df_forecast_years+1),OFFSET(HM_ZD_Moho!L464,,7,,df_forecast_years+1),OFFSET(KLL_II_2020!L437,,7,,df_forecast_years+1),OFFSET(Marine!L476,,7,,df_forecast_years+1))</f>
        <v>2.24908047</v>
      </c>
      <c r="Q62" s="183">
        <f ca="1"/>
        <v>3.4413274284479995</v>
      </c>
      <c r="R62" s="183">
        <f ca="1"/>
        <v>3.4353054779399996</v>
      </c>
      <c r="S62" s="183">
        <f ca="1"/>
        <v>3.2587307763738838</v>
      </c>
      <c r="T62" s="183">
        <f ca="1"/>
        <v>3.0912320144682655</v>
      </c>
      <c r="U62" s="183">
        <f ca="1"/>
        <v>2.9323426889245967</v>
      </c>
    </row>
    <row r="63" spans="10:21" x14ac:dyDescent="0.2">
      <c r="J63" s="110" t="str">
        <f>CHOOSE(db_ML_selected,'Liste Traduction'!B60,'Liste Traduction'!C60)</f>
        <v>(-)Opex et autres</v>
      </c>
      <c r="L63" s="98" t="s">
        <v>148</v>
      </c>
      <c r="N63" s="184">
        <f t="shared" ref="N63:N66" ca="1" si="10">SUM(P63:U63)</f>
        <v>370.19634211200002</v>
      </c>
      <c r="P63" s="183" cm="1">
        <f t="array" aca="1" ref="P63:U63" ca="1">CHOOSE(df_psc_number,OFFSET(HM_ZA_Nkossa!L437,,7,,df_forecast_years+1),OFFSET(HM_ZB_Nsoko!L448,,7,,df_forecast_years+1),OFFSET(HM_ZD_Moho!L462,,7,,df_forecast_years+1),OFFSET(KLL_II_2020!L435,,7,,df_forecast_years+1),OFFSET(Marine!L474,,7,,df_forecast_years+1))</f>
        <v>61.2</v>
      </c>
      <c r="Q63" s="183">
        <f ca="1"/>
        <v>60.6</v>
      </c>
      <c r="R63" s="183">
        <f ca="1"/>
        <v>61.2</v>
      </c>
      <c r="S63" s="183">
        <f ca="1"/>
        <v>61.799759999999999</v>
      </c>
      <c r="T63" s="183">
        <f ca="1"/>
        <v>62.399030399999994</v>
      </c>
      <c r="U63" s="183">
        <f ca="1"/>
        <v>62.997551712000003</v>
      </c>
    </row>
    <row r="64" spans="10:21" x14ac:dyDescent="0.2">
      <c r="J64" s="110" t="str">
        <f>CHOOSE(db_ML_selected,'Liste Traduction'!B61,'Liste Traduction'!C61)</f>
        <v>(-)Capex</v>
      </c>
      <c r="L64" s="98" t="s">
        <v>148</v>
      </c>
      <c r="N64" s="184">
        <f t="shared" ca="1" si="10"/>
        <v>0</v>
      </c>
      <c r="P64" s="183" cm="1">
        <f t="array" aca="1" ref="P64:U64" ca="1">CHOOSE(df_psc_number,OFFSET(HM_ZA_Nkossa!L443,,7,,df_forecast_years+1),OFFSET(HM_ZB_Nsoko!L454,,7,,df_forecast_years+1),OFFSET(HM_ZD_Moho!L468,,7,,df_forecast_years+1),OFFSET(KLL_II_2020!L441,,7,,df_forecast_years+1),OFFSET(Marine!L480,,7,,df_forecast_years+1))</f>
        <v>0</v>
      </c>
      <c r="Q64" s="183">
        <f ca="1"/>
        <v>0</v>
      </c>
      <c r="R64" s="183">
        <f ca="1"/>
        <v>0</v>
      </c>
      <c r="S64" s="183">
        <f ca="1"/>
        <v>0</v>
      </c>
      <c r="T64" s="183">
        <f ca="1"/>
        <v>0</v>
      </c>
      <c r="U64" s="183">
        <f ca="1"/>
        <v>0</v>
      </c>
    </row>
    <row r="65" spans="10:34" x14ac:dyDescent="0.2">
      <c r="J65" s="110" t="str">
        <f>CHOOSE(db_ML_selected,'Liste Traduction'!B62,'Liste Traduction'!C62)</f>
        <v>(-)Abandon</v>
      </c>
      <c r="L65" s="98" t="s">
        <v>148</v>
      </c>
      <c r="N65" s="184">
        <f t="shared" ca="1" si="10"/>
        <v>0</v>
      </c>
      <c r="P65" s="183" cm="1">
        <f t="array" aca="1" ref="P65:U65" ca="1">CHOOSE(df_psc_number,OFFSET(HM_ZA_Nkossa!L445,,7,,df_forecast_years+1),OFFSET(HM_ZB_Nsoko!L456,,7,,df_forecast_years+1),OFFSET(HM_ZD_Moho!L470,,7,,df_forecast_years+1),OFFSET(KLL_II_2020!L443,,7,,df_forecast_years+1),OFFSET(Marine!L482,,7,,df_forecast_years+1))</f>
        <v>0</v>
      </c>
      <c r="Q65" s="183">
        <f ca="1"/>
        <v>0</v>
      </c>
      <c r="R65" s="183">
        <f ca="1"/>
        <v>0</v>
      </c>
      <c r="S65" s="183">
        <f ca="1"/>
        <v>0</v>
      </c>
      <c r="T65" s="183">
        <f ca="1"/>
        <v>0</v>
      </c>
      <c r="U65" s="183">
        <f ca="1"/>
        <v>0</v>
      </c>
    </row>
    <row r="66" spans="10:34" x14ac:dyDescent="0.2">
      <c r="J66" s="114" t="str">
        <f>CHOOSE(db_ML_selected,'Liste Traduction'!B63,'Liste Traduction'!C63)</f>
        <v>Total flux de trésorerie du contracteur</v>
      </c>
      <c r="K66" s="115"/>
      <c r="L66" s="116" t="s">
        <v>148</v>
      </c>
      <c r="N66" s="189">
        <f t="shared" ca="1" si="10"/>
        <v>689.70290822073866</v>
      </c>
      <c r="P66" s="189">
        <f ca="1">P60-SUM(P62:P65)</f>
        <v>88.363851254999986</v>
      </c>
      <c r="Q66" s="189">
        <f t="shared" ref="Q66:U66" ca="1" si="11">Q60-SUM(Q62:Q65)</f>
        <v>137.25849719569916</v>
      </c>
      <c r="R66" s="189">
        <f t="shared" ca="1" si="11"/>
        <v>131.25562803270719</v>
      </c>
      <c r="S66" s="189">
        <f t="shared" ca="1" si="11"/>
        <v>120.76364875182598</v>
      </c>
      <c r="T66" s="189">
        <f t="shared" ca="1" si="11"/>
        <v>110.78061914198211</v>
      </c>
      <c r="U66" s="189">
        <f t="shared" ca="1" si="11"/>
        <v>101.28066384352427</v>
      </c>
    </row>
    <row r="67" spans="10:34" x14ac:dyDescent="0.2">
      <c r="P67" s="183"/>
      <c r="Q67" s="183"/>
      <c r="R67" s="183"/>
      <c r="S67" s="183"/>
      <c r="T67" s="183"/>
      <c r="U67" s="183"/>
    </row>
    <row r="68" spans="10:34" x14ac:dyDescent="0.2">
      <c r="P68" s="183"/>
      <c r="Q68" s="183"/>
      <c r="R68" s="183"/>
      <c r="S68" s="183"/>
      <c r="T68" s="183"/>
      <c r="U68" s="183"/>
    </row>
    <row r="69" spans="10:34" x14ac:dyDescent="0.2">
      <c r="J69" s="121" t="s">
        <v>756</v>
      </c>
      <c r="K69" s="98"/>
      <c r="L69" s="98"/>
      <c r="M69" s="98"/>
      <c r="N69" s="191">
        <f ca="1">N37-N46-N66</f>
        <v>0</v>
      </c>
      <c r="O69" s="120"/>
      <c r="P69" s="191">
        <f t="shared" ref="P69:U69" ca="1" si="12">P37-P46-P66</f>
        <v>0</v>
      </c>
      <c r="Q69" s="191">
        <f t="shared" ca="1" si="12"/>
        <v>0</v>
      </c>
      <c r="R69" s="191">
        <f t="shared" ca="1" si="12"/>
        <v>0</v>
      </c>
      <c r="S69" s="191">
        <f t="shared" ca="1" si="12"/>
        <v>0</v>
      </c>
      <c r="T69" s="191">
        <f t="shared" ca="1" si="12"/>
        <v>0</v>
      </c>
      <c r="U69" s="191">
        <f t="shared" ca="1" si="12"/>
        <v>0</v>
      </c>
    </row>
    <row r="71" spans="10:34" ht="19" x14ac:dyDescent="0.2">
      <c r="J71" s="92" t="str">
        <f>CHOOSE(db_ML_selected,'Liste Traduction'!B155,'Liste Traduction'!C155)</f>
        <v>Prévisions consolidés</v>
      </c>
      <c r="K71" s="92"/>
      <c r="L71" s="92"/>
      <c r="M71" s="92"/>
      <c r="N71" s="92"/>
      <c r="O71" s="92"/>
      <c r="P71" s="92"/>
      <c r="Q71" s="92"/>
      <c r="R71" s="92"/>
      <c r="S71" s="92"/>
      <c r="T71" s="92"/>
      <c r="U71" s="92"/>
      <c r="X71" s="92" t="str">
        <f>CHOOSE(db_ML_selected,'Liste Traduction'!B159,'Liste Traduction'!C159)</f>
        <v>Revenus de l'État consolidés</v>
      </c>
      <c r="Y71" s="92"/>
      <c r="Z71" s="92"/>
      <c r="AA71" s="92"/>
      <c r="AB71" s="92"/>
      <c r="AC71" s="92"/>
      <c r="AD71" s="92"/>
      <c r="AE71" s="92"/>
      <c r="AF71" s="92"/>
      <c r="AG71" s="92"/>
      <c r="AH71" s="92"/>
    </row>
    <row r="73" spans="10:34" ht="16" x14ac:dyDescent="0.2">
      <c r="J73" s="185" t="str">
        <f>CHOOSE(db_ML_selected,'Liste Traduction'!B156,'Liste Traduction'!C156)</f>
        <v>Flux de trésorerie du projet consolidés</v>
      </c>
      <c r="K73" s="45"/>
      <c r="L73" s="45"/>
      <c r="M73" s="45"/>
      <c r="N73" s="45"/>
      <c r="O73" s="45"/>
      <c r="P73" s="45"/>
      <c r="Q73" s="45"/>
      <c r="R73" s="45"/>
      <c r="S73" s="45"/>
      <c r="T73" s="45"/>
      <c r="U73" s="45"/>
    </row>
    <row r="74" spans="10:34" ht="16" x14ac:dyDescent="0.2">
      <c r="J74" s="94"/>
      <c r="K74" s="6"/>
      <c r="L74" s="6"/>
      <c r="M74" s="6"/>
      <c r="N74" s="6"/>
      <c r="O74" s="6"/>
      <c r="P74" s="6"/>
      <c r="Q74" s="6"/>
      <c r="R74" s="6"/>
      <c r="S74" s="6"/>
      <c r="T74" s="6"/>
      <c r="U74" s="6"/>
    </row>
    <row r="75" spans="10:34" x14ac:dyDescent="0.2">
      <c r="J75" s="51" t="str">
        <f>J8</f>
        <v>Volumes de production</v>
      </c>
      <c r="L75" s="98"/>
    </row>
    <row r="76" spans="10:34" x14ac:dyDescent="0.2">
      <c r="J76" s="95" t="str">
        <f>J9</f>
        <v>Pétrole</v>
      </c>
      <c r="L76" s="98" t="s">
        <v>88</v>
      </c>
      <c r="M76" s="167"/>
      <c r="N76" s="184">
        <f ca="1">SUM(P76:U76)</f>
        <v>312.61207027877526</v>
      </c>
      <c r="O76" s="188"/>
      <c r="P76" s="183" cm="1">
        <f t="array" aca="1" ref="P76:U76" ca="1">OFFSET(HM_ZA_Nkossa!CA_gross_prod_oil,,7,,df_forecast_years+1)+OFFSET(HM_ZB_Nsoko!CA_gross_prod_oil,,7,,df_forecast_years+1)+OFFSET(HM_ZD_Moho!CA_gross_prod_oil,,7,,df_forecast_years+1)+OFFSET(KLL_II_2020!CA_gross_prod_oil,,7,,df_forecast_years+1)+(OFFSET(Marine!CA_gross_prod_oil,,7,,df_forecast_years+1)*0)</f>
        <v>61.989338238000002</v>
      </c>
      <c r="Q76" s="183">
        <f ca="1"/>
        <v>57.650084561339995</v>
      </c>
      <c r="R76" s="183">
        <f ca="1"/>
        <v>53.614578642046197</v>
      </c>
      <c r="S76" s="183">
        <f ca="1"/>
        <v>49.861558137102961</v>
      </c>
      <c r="T76" s="183">
        <f ca="1"/>
        <v>46.371249067505744</v>
      </c>
      <c r="U76" s="183">
        <f ca="1"/>
        <v>43.125261632780337</v>
      </c>
    </row>
    <row r="77" spans="10:34" x14ac:dyDescent="0.2">
      <c r="J77" s="95" t="str">
        <f t="shared" ref="J77:J78" si="13">J10</f>
        <v>Gaz de pétrole liquéfié</v>
      </c>
      <c r="L77" s="98" t="s">
        <v>88</v>
      </c>
      <c r="M77" s="167"/>
      <c r="N77" s="184">
        <f ca="1">SUM(P77:U77)</f>
        <v>7.0082447487567352</v>
      </c>
      <c r="O77" s="188"/>
      <c r="P77" s="183" cm="1">
        <f t="array" aca="1" ref="P77:U77" ca="1">OFFSET([0]!CA_gross_prod_lpg,,7,,df_forecast_years+1)+OFFSET(HM_ZB_Nsoko!CA_gross_prod_lpg,,7,,df_forecast_years+1)+OFFSET(HM_ZD_Moho!CA_gross_prod_lpg,,7,,df_forecast_years+1)+OFFSET(KLL_II_2020!CA_gross_prod_lpg,,7,,df_forecast_years+1)+(OFFSET(Marine!CA_gross_prod_lpg,,7,,df_forecast_years+1)*0)</f>
        <v>1.389698273</v>
      </c>
      <c r="Q77" s="183">
        <f ca="1"/>
        <v>1.2924193938899997</v>
      </c>
      <c r="R77" s="183">
        <f ca="1"/>
        <v>1.2019500363176998</v>
      </c>
      <c r="S77" s="183">
        <f ca="1"/>
        <v>1.1178135337754607</v>
      </c>
      <c r="T77" s="183">
        <f ca="1"/>
        <v>1.0395665864111785</v>
      </c>
      <c r="U77" s="183">
        <f ca="1"/>
        <v>0.96679692536239592</v>
      </c>
    </row>
    <row r="78" spans="10:34" x14ac:dyDescent="0.2">
      <c r="J78" s="95" t="str">
        <f t="shared" si="13"/>
        <v>Gaz</v>
      </c>
      <c r="L78" s="98" t="s">
        <v>653</v>
      </c>
      <c r="N78" s="184">
        <f ca="1">SUM(P78:U78)</f>
        <v>0</v>
      </c>
      <c r="O78" s="188"/>
      <c r="P78" s="183" cm="1">
        <f t="array" aca="1" ref="P78:U78" ca="1">OFFSET(HM_ZA_Nkossa!CA_gross_prod_gas,,7,,df_forecast_years+1)+OFFSET(HM_ZB_Nsoko!CA_gross_prod_gas,,7,,df_forecast_years+1)+OFFSET(HM_ZD_Moho!CA_gross_prod_gas,,7,,df_forecast_years+1)+OFFSET(KLL_II_2020!CA_gross_prod_gas,,7,,df_forecast_years+1)+(OFFSET(Marine!CA_gross_prod_gas,,7,,df_forecast_years+1)*0)</f>
        <v>0</v>
      </c>
      <c r="Q78" s="183">
        <f ca="1"/>
        <v>0</v>
      </c>
      <c r="R78" s="183">
        <f ca="1"/>
        <v>0</v>
      </c>
      <c r="S78" s="183">
        <f ca="1"/>
        <v>0</v>
      </c>
      <c r="T78" s="183">
        <f ca="1"/>
        <v>0</v>
      </c>
      <c r="U78" s="183">
        <f ca="1"/>
        <v>0</v>
      </c>
    </row>
    <row r="79" spans="10:34" x14ac:dyDescent="0.2">
      <c r="L79" s="98"/>
      <c r="N79" s="184"/>
      <c r="O79" s="188"/>
      <c r="P79" s="188"/>
      <c r="Q79" s="188"/>
      <c r="R79" s="188"/>
      <c r="S79" s="188"/>
      <c r="T79" s="188"/>
      <c r="U79" s="188"/>
    </row>
    <row r="80" spans="10:34" x14ac:dyDescent="0.2">
      <c r="J80" s="51" t="str">
        <f>J13</f>
        <v>Volumes de vente</v>
      </c>
      <c r="L80" s="98"/>
      <c r="N80" s="184"/>
      <c r="O80" s="188"/>
      <c r="P80" s="188"/>
      <c r="Q80" s="188"/>
      <c r="R80" s="188"/>
      <c r="S80" s="188"/>
      <c r="T80" s="188"/>
      <c r="U80" s="188"/>
    </row>
    <row r="81" spans="10:21" x14ac:dyDescent="0.2">
      <c r="J81" s="95" t="str">
        <f t="shared" ref="J81:J104" si="14">J14</f>
        <v>Pétrole</v>
      </c>
      <c r="L81" s="98" t="s">
        <v>88</v>
      </c>
      <c r="M81" s="167"/>
      <c r="N81" s="184">
        <f ca="1">SUM(P81:U81)</f>
        <v>312.61207027877526</v>
      </c>
      <c r="O81" s="188"/>
      <c r="P81" s="183" cm="1">
        <f t="array" aca="1" ref="P81:U81" ca="1">OFFSET([0]!CA_gross_sales_oil,,7,,df_forecast_years+1)+OFFSET(HM_ZB_Nsoko!CA_gross_sales_oil,,7,,df_forecast_years+1)+OFFSET(HM_ZD_Moho!CA_gross_sales_oil,,7,,df_forecast_years+1)+OFFSET(KLL_II_2020!CA_gross_sales_oil,,7,,df_forecast_years+1)+(OFFSET(Marine!CA_gross_sales_oil,,7,,df_forecast_years+1)*0)</f>
        <v>61.989338238000002</v>
      </c>
      <c r="Q81" s="183">
        <f ca="1"/>
        <v>57.650084561339995</v>
      </c>
      <c r="R81" s="183">
        <f ca="1"/>
        <v>53.614578642046197</v>
      </c>
      <c r="S81" s="183">
        <f ca="1"/>
        <v>49.861558137102961</v>
      </c>
      <c r="T81" s="183">
        <f ca="1"/>
        <v>46.371249067505744</v>
      </c>
      <c r="U81" s="183">
        <f ca="1"/>
        <v>43.125261632780337</v>
      </c>
    </row>
    <row r="82" spans="10:21" x14ac:dyDescent="0.2">
      <c r="J82" s="95" t="str">
        <f t="shared" si="14"/>
        <v>Gaz de pétrole liquéfié</v>
      </c>
      <c r="L82" s="98" t="s">
        <v>88</v>
      </c>
      <c r="M82" s="167"/>
      <c r="N82" s="184">
        <f ca="1">SUM(P82:U82)</f>
        <v>7.0082447487567352</v>
      </c>
      <c r="O82" s="188"/>
      <c r="P82" s="183" cm="1">
        <f t="array" aca="1" ref="P82:U82" ca="1">OFFSET([0]!CA_gross_sales_lpg,,7,,df_forecast_years+1)+OFFSET(HM_ZB_Nsoko!CA_gross_sales_lpg,,7,,df_forecast_years+1)+OFFSET(HM_ZD_Moho!CA_gross_sales_lpg,,7,,df_forecast_years+1)+OFFSET(KLL_II_2020!CA_gross_sales_lpg,,7,,df_forecast_years+1)+(OFFSET(Marine!CA_gross_sales_lpg,,7,,df_forecast_years+1)*0)</f>
        <v>1.389698273</v>
      </c>
      <c r="Q82" s="183">
        <f ca="1"/>
        <v>1.2924193938899997</v>
      </c>
      <c r="R82" s="183">
        <f ca="1"/>
        <v>1.2019500363176998</v>
      </c>
      <c r="S82" s="183">
        <f ca="1"/>
        <v>1.1178135337754607</v>
      </c>
      <c r="T82" s="183">
        <f ca="1"/>
        <v>1.0395665864111785</v>
      </c>
      <c r="U82" s="183">
        <f ca="1"/>
        <v>0.96679692536239592</v>
      </c>
    </row>
    <row r="83" spans="10:21" x14ac:dyDescent="0.2">
      <c r="J83" s="95" t="str">
        <f t="shared" si="14"/>
        <v>Gaz</v>
      </c>
      <c r="L83" s="98" t="s">
        <v>653</v>
      </c>
      <c r="N83" s="184">
        <f ca="1">SUM(P83:U83)</f>
        <v>0</v>
      </c>
      <c r="O83" s="188"/>
      <c r="P83" s="183" cm="1">
        <f t="array" aca="1" ref="P83:U83" ca="1">OFFSET([0]!CA_gross_sales_gas,,7,,df_forecast_years+1)+OFFSET(HM_ZB_Nsoko!CA_gross_sales_gas,,7,,df_forecast_years+1)+OFFSET(HM_ZD_Moho!CA_gross_sales_gas,,7,,df_forecast_years+1)+OFFSET(KLL_II_2020!CA_gross_sales_gas,,7,,df_forecast_years+1)+(OFFSET(Marine!CA_gross_sales_gas,,7,,df_forecast_years+1)*0)</f>
        <v>0</v>
      </c>
      <c r="Q83" s="183">
        <f ca="1"/>
        <v>0</v>
      </c>
      <c r="R83" s="183">
        <f ca="1"/>
        <v>0</v>
      </c>
      <c r="S83" s="183">
        <f ca="1"/>
        <v>0</v>
      </c>
      <c r="T83" s="183">
        <f ca="1"/>
        <v>0</v>
      </c>
      <c r="U83" s="183">
        <f ca="1"/>
        <v>0</v>
      </c>
    </row>
    <row r="84" spans="10:21" x14ac:dyDescent="0.2">
      <c r="L84" s="98"/>
    </row>
    <row r="85" spans="10:21" x14ac:dyDescent="0.2">
      <c r="J85" s="51" t="str">
        <f t="shared" si="14"/>
        <v>Prix</v>
      </c>
      <c r="L85" s="98"/>
    </row>
    <row r="86" spans="10:21" x14ac:dyDescent="0.2">
      <c r="J86" s="95" t="str">
        <f t="shared" si="14"/>
        <v>Pétrole</v>
      </c>
      <c r="L86" s="98" t="s">
        <v>46</v>
      </c>
      <c r="N86" s="182"/>
      <c r="P86" s="181" cm="1">
        <f t="array" aca="1" ref="P86:U86" ca="1">(OFFSET(HM_ZA_Nkossa!CA_FP_oil_nom,,7,,df_forecast_years+1)+OFFSET(HM_ZB_Nsoko!CA_FP_oil_nom,,7,,df_forecast_years+1)+OFFSET(HM_ZD_Moho!CA_FP_oil_nom,,7,,df_forecast_years+1)+OFFSET(KLL_II_2020!CA_FP_oil_nom,,7,,df_forecast_years+1))/4</f>
        <v>40.717416666666665</v>
      </c>
      <c r="Q86" s="181">
        <f ca="1"/>
        <v>66.5184</v>
      </c>
      <c r="R86" s="181">
        <f ca="1"/>
        <v>71.400000000000006</v>
      </c>
      <c r="S86" s="181">
        <f ca="1"/>
        <v>72.828000000000003</v>
      </c>
      <c r="T86" s="181">
        <f ca="1"/>
        <v>74.284559999999999</v>
      </c>
      <c r="U86" s="181">
        <f ca="1"/>
        <v>75.770251200000004</v>
      </c>
    </row>
    <row r="87" spans="10:21" x14ac:dyDescent="0.2">
      <c r="J87" s="95" t="str">
        <f t="shared" si="14"/>
        <v>Gaz de pétrole liquéfié</v>
      </c>
      <c r="L87" s="98" t="s">
        <v>46</v>
      </c>
      <c r="N87" s="182"/>
      <c r="P87" s="181" cm="1">
        <f t="array" aca="1" ref="P87:U87" ca="1">(OFFSET([0]!CA_FP_lpg_nom,,7,,df_forecast_years+1)+OFFSET(HM_ZB_Nsoko!CA_FP_lpg_nom,,7,,df_forecast_years+1))/2</f>
        <v>41.00483333333333</v>
      </c>
      <c r="Q87" s="181">
        <f ca="1"/>
        <v>39.91104</v>
      </c>
      <c r="R87" s="181">
        <f ca="1"/>
        <v>42.84</v>
      </c>
      <c r="S87" s="181">
        <f ca="1"/>
        <v>43.696800000000003</v>
      </c>
      <c r="T87" s="181">
        <f ca="1"/>
        <v>44.570735999999997</v>
      </c>
      <c r="U87" s="181">
        <f ca="1"/>
        <v>45.462150720000004</v>
      </c>
    </row>
    <row r="88" spans="10:21" x14ac:dyDescent="0.2">
      <c r="J88" s="95" t="str">
        <f t="shared" si="14"/>
        <v>Gaz</v>
      </c>
      <c r="L88" s="98" t="s">
        <v>718</v>
      </c>
      <c r="N88" s="182"/>
      <c r="P88" s="181" cm="1">
        <f t="array" aca="1" ref="P88:U88" ca="1">(OFFSET(Marine!CA_FP_gas_nom,,7,,df_forecast_years+1)*0)</f>
        <v>0</v>
      </c>
      <c r="Q88" s="181">
        <f ca="1"/>
        <v>0</v>
      </c>
      <c r="R88" s="181">
        <f ca="1"/>
        <v>0</v>
      </c>
      <c r="S88" s="181">
        <f ca="1"/>
        <v>0</v>
      </c>
      <c r="T88" s="181">
        <f ca="1"/>
        <v>0</v>
      </c>
      <c r="U88" s="181">
        <f ca="1"/>
        <v>0</v>
      </c>
    </row>
    <row r="89" spans="10:21" x14ac:dyDescent="0.2">
      <c r="L89" s="98"/>
    </row>
    <row r="90" spans="10:21" x14ac:dyDescent="0.2">
      <c r="J90" s="95" t="str">
        <f t="shared" si="14"/>
        <v>PH</v>
      </c>
      <c r="L90" s="98" t="s">
        <v>46</v>
      </c>
      <c r="P90" s="181" cm="1">
        <f t="array" aca="1" ref="P90:U90" ca="1">(OFFSET([0]!CA_HP_effective,,7,,df_forecast_years+1)+OFFSET(HM_ZB_Nsoko!CA_HP_effective,,7,,df_forecast_years+1)+OFFSET(HM_ZD_Moho!CA_HP_effective,,7,,df_forecast_years+1)+OFFSET(KLL_II_2020!CA_HP_effective,,7,,df_forecast_years+1))/4</f>
        <v>69.112499999999997</v>
      </c>
      <c r="Q90" s="55">
        <f ca="1"/>
        <v>69.729105394001991</v>
      </c>
      <c r="R90" s="55">
        <f ca="1"/>
        <v>70.873687501882031</v>
      </c>
      <c r="S90" s="55">
        <f ca="1"/>
        <v>72.041161251919675</v>
      </c>
      <c r="T90" s="55">
        <f ca="1"/>
        <v>60.549566531332616</v>
      </c>
      <c r="U90" s="55">
        <f ca="1"/>
        <v>61.510557861959263</v>
      </c>
    </row>
    <row r="91" spans="10:21" x14ac:dyDescent="0.2">
      <c r="L91" s="98"/>
    </row>
    <row r="92" spans="10:21" x14ac:dyDescent="0.2">
      <c r="J92" s="51" t="str">
        <f t="shared" si="14"/>
        <v>Revenus</v>
      </c>
      <c r="L92" s="98"/>
    </row>
    <row r="93" spans="10:21" x14ac:dyDescent="0.2">
      <c r="J93" s="95" t="str">
        <f t="shared" si="14"/>
        <v>Revenus hydrocarbures liquides</v>
      </c>
      <c r="L93" s="98" t="s">
        <v>148</v>
      </c>
      <c r="N93" s="184">
        <f ca="1">SUM(P93:U93)</f>
        <v>20814.404776377098</v>
      </c>
      <c r="O93" s="188"/>
      <c r="P93" s="183" cm="1">
        <f t="array" aca="1" ref="P93:U93" ca="1">OFFSET(HM_ZA_Nkossa!CA_gross_rev_oil_fp,,7,,df_forecast_years+1)+OFFSET(HM_ZB_Nsoko!CA_gross_rev_oil_fp,,7,,df_forecast_years+1)+OFFSET(HM_ZD_Moho!CA_gross_rev_oil_fp,,7,,df_forecast_years+1)+OFFSET(KLL_II_2020!CA_gross_rev_oil_fp,,7,,df_forecast_years+1)+(OFFSET(Marine!CA_gross_rev_oil_fp,,7,,df_forecast_years+1)*0)</f>
        <v>2565.7300483108033</v>
      </c>
      <c r="Q93" s="183">
        <f ca="1"/>
        <v>3886.3731870113579</v>
      </c>
      <c r="R93" s="183">
        <f ca="1"/>
        <v>3879.5724545979488</v>
      </c>
      <c r="S93" s="183">
        <f ca="1"/>
        <v>3680.1624304316138</v>
      </c>
      <c r="T93" s="183">
        <f ca="1"/>
        <v>3491.0020815074281</v>
      </c>
      <c r="U93" s="183">
        <f ca="1"/>
        <v>3311.5645745179468</v>
      </c>
    </row>
    <row r="94" spans="10:21" x14ac:dyDescent="0.2">
      <c r="J94" s="95" t="str">
        <f t="shared" si="14"/>
        <v>Revenus gaz</v>
      </c>
      <c r="L94" s="98" t="s">
        <v>148</v>
      </c>
      <c r="N94" s="184">
        <f ca="1">SUM(P94:U94)</f>
        <v>0</v>
      </c>
      <c r="O94" s="188"/>
      <c r="P94" s="183" cm="1">
        <f t="array" aca="1" ref="P94:U94" ca="1">OFFSET(HM_ZA_Nkossa!CA_gross_rev_gas_fp,,7,,df_forecast_years+1)+OFFSET(HM_ZB_Nsoko!CA_gross_rev_gas_fp,,7,,df_forecast_years+1)+OFFSET(HM_ZD_Moho!CA_gross_rev_gas_fp,,7,,df_forecast_years+1)+OFFSET(KLL_II_2020!CA_gross_rev_gas_fp,,7,,df_forecast_years+1)+((OFFSET(Marine!CA_gross_rev_gas_fp,,7,,df_forecast_years+1)+OFFSET([0]!CA_gross_rev_domestic_gas_fp,,7,,df_forecast_years+1))*0)</f>
        <v>0</v>
      </c>
      <c r="Q94" s="183">
        <f ca="1"/>
        <v>0</v>
      </c>
      <c r="R94" s="183">
        <f ca="1"/>
        <v>0</v>
      </c>
      <c r="S94" s="183">
        <f ca="1"/>
        <v>0</v>
      </c>
      <c r="T94" s="183">
        <f ca="1"/>
        <v>0</v>
      </c>
      <c r="U94" s="183">
        <f ca="1"/>
        <v>0</v>
      </c>
    </row>
    <row r="95" spans="10:21" x14ac:dyDescent="0.2">
      <c r="J95" s="100" t="str">
        <f t="shared" si="14"/>
        <v>Total revenus</v>
      </c>
      <c r="K95" s="11"/>
      <c r="L95" s="102" t="s">
        <v>148</v>
      </c>
      <c r="N95" s="184">
        <f ca="1">SUM(P95:U95)</f>
        <v>20814.404776377098</v>
      </c>
      <c r="O95" s="188"/>
      <c r="P95" s="184">
        <f ca="1">SUM(P93:P94)</f>
        <v>2565.7300483108033</v>
      </c>
      <c r="Q95" s="184">
        <f t="shared" ref="Q95:U95" ca="1" si="15">SUM(Q93:Q94)</f>
        <v>3886.3731870113579</v>
      </c>
      <c r="R95" s="184">
        <f t="shared" ca="1" si="15"/>
        <v>3879.5724545979488</v>
      </c>
      <c r="S95" s="184">
        <f t="shared" ca="1" si="15"/>
        <v>3680.1624304316138</v>
      </c>
      <c r="T95" s="184">
        <f t="shared" ca="1" si="15"/>
        <v>3491.0020815074281</v>
      </c>
      <c r="U95" s="184">
        <f t="shared" ca="1" si="15"/>
        <v>3311.5645745179468</v>
      </c>
    </row>
    <row r="96" spans="10:21" x14ac:dyDescent="0.2">
      <c r="L96" s="98"/>
      <c r="N96" s="188"/>
      <c r="O96" s="188"/>
      <c r="P96" s="188"/>
      <c r="Q96" s="188"/>
      <c r="R96" s="188"/>
      <c r="S96" s="188"/>
      <c r="T96" s="188"/>
      <c r="U96" s="188"/>
    </row>
    <row r="97" spans="10:21" x14ac:dyDescent="0.2">
      <c r="J97" s="51" t="str">
        <f t="shared" si="14"/>
        <v>Coûts</v>
      </c>
      <c r="L97" s="98"/>
      <c r="N97" s="188"/>
      <c r="O97" s="188"/>
      <c r="P97" s="188"/>
      <c r="Q97" s="188"/>
      <c r="R97" s="188"/>
      <c r="S97" s="188"/>
      <c r="T97" s="188"/>
      <c r="U97" s="188"/>
    </row>
    <row r="98" spans="10:21" x14ac:dyDescent="0.2">
      <c r="J98" s="95" t="str">
        <f t="shared" si="14"/>
        <v>Exploitation et autres</v>
      </c>
      <c r="L98" s="98" t="s">
        <v>148</v>
      </c>
      <c r="N98" s="184">
        <f ca="1">SUM(P98:U98)</f>
        <v>2562.3297700479998</v>
      </c>
      <c r="O98" s="188"/>
      <c r="P98" s="183" cm="1">
        <f t="array" aca="1" ref="P98:U98" ca="1">OFFSET(HM_ZA_Nkossa!CA_opex_total_nom,,7,,df_forecast_years+1)+OFFSET(HM_ZB_Nsoko!CA_opex_total_nom,,7,,df_forecast_years+1)+OFFSET(HM_ZD_Moho!CA_opex_total_nom,,7,,df_forecast_years+1)+OFFSET(KLL_II_2020!CA_opex_total_nom,,7,,df_forecast_years+1)+(OFFSET(Marine!CA_opex_total_nom,,7,,df_forecast_years+1)*0)</f>
        <v>423.7</v>
      </c>
      <c r="Q98" s="183">
        <f ca="1"/>
        <v>419.4</v>
      </c>
      <c r="R98" s="183">
        <f ca="1"/>
        <v>423.60600000000005</v>
      </c>
      <c r="S98" s="183">
        <f ca="1"/>
        <v>427.70844</v>
      </c>
      <c r="T98" s="183">
        <f ca="1"/>
        <v>431.91165599999999</v>
      </c>
      <c r="U98" s="183">
        <f ca="1"/>
        <v>436.00367404799999</v>
      </c>
    </row>
    <row r="99" spans="10:21" x14ac:dyDescent="0.2">
      <c r="J99" s="95" t="str">
        <f t="shared" si="14"/>
        <v>Exploration et évaluation</v>
      </c>
      <c r="L99" s="98" t="s">
        <v>148</v>
      </c>
      <c r="N99" s="184">
        <f ca="1">SUM(P99:U99)</f>
        <v>0</v>
      </c>
      <c r="O99" s="188"/>
      <c r="P99" s="183" cm="1">
        <f t="array" aca="1" ref="P99:U99" ca="1">OFFSET(HM_ZA_Nkossa!CA_expex_nom,,7,,df_forecast_years+1)+OFFSET(HM_ZB_Nsoko!CA_expex_nom,,7,,df_forecast_years+1)+OFFSET(HM_ZD_Moho!CA_expex_nom,,7,,df_forecast_years+1)+OFFSET(KLL_II_2020!CA_expex_nom,,7,,df_forecast_years+1)+(OFFSET(Marine!CA_expex_nom,,7,,df_forecast_years+1)*0)</f>
        <v>0</v>
      </c>
      <c r="Q99" s="183">
        <f ca="1"/>
        <v>0</v>
      </c>
      <c r="R99" s="183">
        <f ca="1"/>
        <v>0</v>
      </c>
      <c r="S99" s="183">
        <f ca="1"/>
        <v>0</v>
      </c>
      <c r="T99" s="183">
        <f ca="1"/>
        <v>0</v>
      </c>
      <c r="U99" s="183">
        <f ca="1"/>
        <v>0</v>
      </c>
    </row>
    <row r="100" spans="10:21" x14ac:dyDescent="0.2">
      <c r="J100" s="95" t="str">
        <f t="shared" si="14"/>
        <v>Développement</v>
      </c>
      <c r="L100" s="98" t="s">
        <v>148</v>
      </c>
      <c r="N100" s="184">
        <f ca="1">SUM(P100:U100)</f>
        <v>0</v>
      </c>
      <c r="O100" s="188"/>
      <c r="P100" s="183" cm="1">
        <f t="array" aca="1" ref="P100:U100" ca="1">OFFSET(HM_ZA_Nkossa!CA_devex_nom,,7,,df_forecast_years+1)+OFFSET(HM_ZB_Nsoko!CA_devex_nom,,7,,df_forecast_years+1)+OFFSET(HM_ZD_Moho!CA_devex_nom,,7,,df_forecast_years+1)+OFFSET(KLL_II_2020!CA_devex_nom,,7,,df_forecast_years+1)+(OFFSET(Marine!CA_devex_nom,,7,,df_forecast_years+1)*0)</f>
        <v>0</v>
      </c>
      <c r="Q100" s="183">
        <f ca="1"/>
        <v>0</v>
      </c>
      <c r="R100" s="183">
        <f ca="1"/>
        <v>0</v>
      </c>
      <c r="S100" s="183">
        <f ca="1"/>
        <v>0</v>
      </c>
      <c r="T100" s="183">
        <f ca="1"/>
        <v>0</v>
      </c>
      <c r="U100" s="183">
        <f ca="1"/>
        <v>0</v>
      </c>
    </row>
    <row r="101" spans="10:21" x14ac:dyDescent="0.2">
      <c r="J101" s="95" t="str">
        <f t="shared" si="14"/>
        <v>Abandon</v>
      </c>
      <c r="L101" s="98" t="s">
        <v>148</v>
      </c>
      <c r="N101" s="184">
        <f ca="1">SUM(P101:U101)</f>
        <v>0</v>
      </c>
      <c r="O101" s="188"/>
      <c r="P101" s="183" cm="1">
        <f t="array" aca="1" ref="P101:U101" ca="1">OFFSET(HM_ZA_Nkossa!CA_decom_nom,,7,,df_forecast_years+1)+OFFSET(HM_ZB_Nsoko!CA_decom_nom,,7,,df_forecast_years+1)+OFFSET(HM_ZD_Moho!CA_decom_nom,,7,,df_forecast_years+1)+OFFSET(KLL_II_2020!CA_decom_nom,,7,,df_forecast_years+1)+(OFFSET(Marine!CA_decom_nom,,7,,df_forecast_years+1)*0)</f>
        <v>0</v>
      </c>
      <c r="Q101" s="183">
        <f ca="1"/>
        <v>0</v>
      </c>
      <c r="R101" s="183">
        <f ca="1"/>
        <v>0</v>
      </c>
      <c r="S101" s="183">
        <f ca="1"/>
        <v>0</v>
      </c>
      <c r="T101" s="183">
        <f ca="1"/>
        <v>0</v>
      </c>
      <c r="U101" s="183">
        <f ca="1"/>
        <v>0</v>
      </c>
    </row>
    <row r="102" spans="10:21" x14ac:dyDescent="0.2">
      <c r="J102" s="100" t="str">
        <f t="shared" si="14"/>
        <v>Total des coûts</v>
      </c>
      <c r="K102" s="11"/>
      <c r="L102" s="102" t="s">
        <v>148</v>
      </c>
      <c r="N102" s="184">
        <f ca="1">SUM(P102:U102)</f>
        <v>2562.3297700479998</v>
      </c>
      <c r="O102" s="188"/>
      <c r="P102" s="184">
        <f ca="1">SUM(P98:P101)</f>
        <v>423.7</v>
      </c>
      <c r="Q102" s="184">
        <f t="shared" ref="Q102:U102" ca="1" si="16">SUM(Q98:Q101)</f>
        <v>419.4</v>
      </c>
      <c r="R102" s="184">
        <f t="shared" ca="1" si="16"/>
        <v>423.60600000000005</v>
      </c>
      <c r="S102" s="184">
        <f t="shared" ca="1" si="16"/>
        <v>427.70844</v>
      </c>
      <c r="T102" s="184">
        <f t="shared" ca="1" si="16"/>
        <v>431.91165599999999</v>
      </c>
      <c r="U102" s="184">
        <f t="shared" ca="1" si="16"/>
        <v>436.00367404799999</v>
      </c>
    </row>
    <row r="103" spans="10:21" x14ac:dyDescent="0.2">
      <c r="L103" s="98"/>
      <c r="N103" s="188"/>
      <c r="O103" s="188"/>
      <c r="P103" s="188"/>
      <c r="Q103" s="188"/>
      <c r="R103" s="188"/>
      <c r="S103" s="188"/>
      <c r="T103" s="188"/>
      <c r="U103" s="188"/>
    </row>
    <row r="104" spans="10:21" x14ac:dyDescent="0.2">
      <c r="J104" s="100" t="str">
        <f t="shared" si="14"/>
        <v>Revenu divisible</v>
      </c>
      <c r="L104" s="102" t="s">
        <v>148</v>
      </c>
      <c r="N104" s="184">
        <f ca="1">SUM(P104:U104)</f>
        <v>18252.075006329098</v>
      </c>
      <c r="O104" s="188"/>
      <c r="P104" s="188">
        <f ca="1">P95-P102</f>
        <v>2142.0300483108035</v>
      </c>
      <c r="Q104" s="188">
        <f t="shared" ref="Q104:U104" ca="1" si="17">Q95-Q102</f>
        <v>3466.9731870113578</v>
      </c>
      <c r="R104" s="188">
        <f t="shared" ca="1" si="17"/>
        <v>3455.9664545979485</v>
      </c>
      <c r="S104" s="188">
        <f t="shared" ca="1" si="17"/>
        <v>3252.4539904316139</v>
      </c>
      <c r="T104" s="188">
        <f t="shared" ca="1" si="17"/>
        <v>3059.0904255074283</v>
      </c>
      <c r="U104" s="188">
        <f t="shared" ca="1" si="17"/>
        <v>2875.5609004699468</v>
      </c>
    </row>
    <row r="106" spans="10:21" ht="16" x14ac:dyDescent="0.2">
      <c r="J106" s="185" t="str">
        <f>CHOOSE(db_ML_selected,'Liste Traduction'!B157,'Liste Traduction'!C157)</f>
        <v>Flux de trésorerie de l'État consolidés</v>
      </c>
      <c r="K106" s="45"/>
      <c r="L106" s="45"/>
      <c r="M106" s="45"/>
      <c r="N106" s="45"/>
      <c r="O106" s="45"/>
      <c r="P106" s="45"/>
      <c r="Q106" s="45"/>
      <c r="R106" s="45"/>
      <c r="S106" s="45"/>
      <c r="T106" s="45"/>
      <c r="U106" s="45"/>
    </row>
    <row r="107" spans="10:21" ht="16" x14ac:dyDescent="0.2">
      <c r="J107" s="94"/>
      <c r="K107" s="6"/>
      <c r="L107" s="6"/>
      <c r="M107" s="6"/>
      <c r="N107" s="6"/>
      <c r="O107" s="6"/>
      <c r="P107" s="6"/>
      <c r="Q107" s="6"/>
      <c r="R107" s="6"/>
      <c r="S107" s="6"/>
      <c r="T107" s="6"/>
      <c r="U107" s="6"/>
    </row>
    <row r="108" spans="10:21" x14ac:dyDescent="0.2">
      <c r="J108" s="95" t="str">
        <f>J41</f>
        <v>Redevances</v>
      </c>
      <c r="L108" s="98" t="s">
        <v>148</v>
      </c>
      <c r="N108" s="184">
        <f t="shared" ref="N108:N113" ca="1" si="18">SUM(P108:U108)</f>
        <v>3122.1607164565644</v>
      </c>
      <c r="O108" s="188"/>
      <c r="P108" s="183" cm="1">
        <f t="array" aca="1" ref="P108:U108" ca="1">OFFSET(HM_ZA_Nkossa!L523,,7,,df_forecast_years+1)+OFFSET(HM_ZB_Nsoko!L534,,7,,df_forecast_years+1)+OFFSET(HM_ZD_Moho!L548,,7,,df_forecast_years+1)+OFFSET(KLL_II_2020!L521,,7,,df_forecast_years+1)+(OFFSET(Marine!L560,,7,,df_forecast_years+1)*0)</f>
        <v>384.85950724662052</v>
      </c>
      <c r="Q108" s="183">
        <f ca="1"/>
        <v>582.95597805170371</v>
      </c>
      <c r="R108" s="183">
        <f ca="1"/>
        <v>581.9358681896922</v>
      </c>
      <c r="S108" s="183">
        <f ca="1"/>
        <v>552.02436456474209</v>
      </c>
      <c r="T108" s="183">
        <f ca="1"/>
        <v>523.65031222611424</v>
      </c>
      <c r="U108" s="183">
        <f ca="1"/>
        <v>496.73468617769203</v>
      </c>
    </row>
    <row r="109" spans="10:21" x14ac:dyDescent="0.2">
      <c r="J109" s="95" t="str">
        <f t="shared" ref="J109:J118" si="19">J42</f>
        <v>PID</v>
      </c>
      <c r="L109" s="98" t="s">
        <v>148</v>
      </c>
      <c r="N109" s="184">
        <f t="shared" ca="1" si="18"/>
        <v>208.144047763771</v>
      </c>
      <c r="O109" s="188"/>
      <c r="P109" s="183" cm="1">
        <f t="array" aca="1" ref="P109:U109" ca="1">OFFSET(HM_ZA_Nkossa!L524,,7,,df_forecast_years+1)+OFFSET(HM_ZB_Nsoko!L535,,7,,df_forecast_years+1)+OFFSET(HM_ZD_Moho!L549,,7,,df_forecast_years+1)+OFFSET(KLL_II_2020!L522,,7,,df_forecast_years+1)+(OFFSET(Marine!L561,,7,,df_forecast_years+1)*0)</f>
        <v>25.657300483108035</v>
      </c>
      <c r="Q109" s="183">
        <f ca="1"/>
        <v>38.863731870113583</v>
      </c>
      <c r="R109" s="183">
        <f ca="1"/>
        <v>38.795724545979482</v>
      </c>
      <c r="S109" s="183">
        <f ca="1"/>
        <v>36.801624304316135</v>
      </c>
      <c r="T109" s="183">
        <f ca="1"/>
        <v>34.91002081507429</v>
      </c>
      <c r="U109" s="183">
        <f ca="1"/>
        <v>33.115645745179471</v>
      </c>
    </row>
    <row r="110" spans="10:21" x14ac:dyDescent="0.2">
      <c r="J110" s="95" t="str">
        <f t="shared" si="19"/>
        <v>Excess Cost Oil</v>
      </c>
      <c r="L110" s="98" t="s">
        <v>148</v>
      </c>
      <c r="N110" s="184">
        <f t="shared" ca="1" si="18"/>
        <v>0</v>
      </c>
      <c r="O110" s="188"/>
      <c r="P110" s="183" cm="1">
        <f t="array" aca="1" ref="P110:U110" ca="1">OFFSET(HM_ZA_Nkossa!L525,,7,,df_forecast_years+1)+OFFSET(HM_ZB_Nsoko!L536,,7,,df_forecast_years+1)+OFFSET(HM_ZD_Moho!L550,,7,,df_forecast_years+1)+OFFSET(KLL_II_2020!L523,,7,,df_forecast_years+1)+(OFFSET(Marine!L562,,7,,df_forecast_years+1)*0)</f>
        <v>0</v>
      </c>
      <c r="Q110" s="183">
        <f ca="1"/>
        <v>0</v>
      </c>
      <c r="R110" s="183">
        <f ca="1"/>
        <v>0</v>
      </c>
      <c r="S110" s="183">
        <f ca="1"/>
        <v>0</v>
      </c>
      <c r="T110" s="183">
        <f ca="1"/>
        <v>0</v>
      </c>
      <c r="U110" s="183">
        <f ca="1"/>
        <v>0</v>
      </c>
    </row>
    <row r="111" spans="10:21" x14ac:dyDescent="0.2">
      <c r="J111" s="95" t="str">
        <f t="shared" si="19"/>
        <v>SPO</v>
      </c>
      <c r="L111" s="98" t="s">
        <v>148</v>
      </c>
      <c r="N111" s="184">
        <f t="shared" ca="1" si="18"/>
        <v>462.7312236688112</v>
      </c>
      <c r="O111" s="188"/>
      <c r="P111" s="183" cm="1">
        <f t="array" aca="1" ref="P111:U111" ca="1">OFFSET(HM_ZA_Nkossa!L526,,7,,df_forecast_years+1)+OFFSET(HM_ZB_Nsoko!L537,,7,,df_forecast_years+1)+OFFSET(HM_ZD_Moho!L551,,7,,df_forecast_years+1)+OFFSET(KLL_II_2020!L524,,7,,df_forecast_years+1)+(OFFSET(Marine!L563,,7,,df_forecast_years+1)*0)</f>
        <v>0</v>
      </c>
      <c r="Q111" s="183">
        <f ca="1"/>
        <v>50.350866933977528</v>
      </c>
      <c r="R111" s="183">
        <f ca="1"/>
        <v>59.288147711665587</v>
      </c>
      <c r="S111" s="183">
        <f ca="1"/>
        <v>56.665578626350872</v>
      </c>
      <c r="T111" s="183">
        <f ca="1"/>
        <v>151.93430401538382</v>
      </c>
      <c r="U111" s="183">
        <f ca="1"/>
        <v>144.49232638143343</v>
      </c>
    </row>
    <row r="112" spans="10:21" x14ac:dyDescent="0.2">
      <c r="J112" s="95" t="str">
        <f t="shared" si="19"/>
        <v>Partage du profit</v>
      </c>
      <c r="L112" s="98" t="s">
        <v>148</v>
      </c>
      <c r="N112" s="184">
        <f t="shared" ca="1" si="18"/>
        <v>2017.3447998669417</v>
      </c>
      <c r="O112" s="188"/>
      <c r="P112" s="183" cm="1">
        <f t="array" aca="1" ref="P112:U112" ca="1">OFFSET(HM_ZA_Nkossa!L527,,7,,df_forecast_years+1)+OFFSET(HM_ZB_Nsoko!L538,,7,,df_forecast_years+1)+OFFSET(HM_ZD_Moho!L552,,7,,df_forecast_years+1)+OFFSET(KLL_II_2020!L525,,7,,df_forecast_years+1)+(OFFSET(Marine!L564,,7,,df_forecast_years+1)*0)</f>
        <v>184.5386165396838</v>
      </c>
      <c r="Q112" s="183">
        <f ca="1"/>
        <v>261.5626096352355</v>
      </c>
      <c r="R112" s="183">
        <f ca="1"/>
        <v>258.51305859069942</v>
      </c>
      <c r="S112" s="183">
        <f ca="1"/>
        <v>313.75141505313616</v>
      </c>
      <c r="T112" s="183">
        <f ca="1"/>
        <v>512.69871463232641</v>
      </c>
      <c r="U112" s="183">
        <f ca="1"/>
        <v>486.28038541586022</v>
      </c>
    </row>
    <row r="113" spans="10:27" x14ac:dyDescent="0.2">
      <c r="J113" s="119" t="str">
        <f t="shared" si="19"/>
        <v>Total flux de trésorerie du Gouv.</v>
      </c>
      <c r="K113" s="105"/>
      <c r="L113" s="190" t="s">
        <v>148</v>
      </c>
      <c r="N113" s="189">
        <f t="shared" ca="1" si="18"/>
        <v>5810.3807877560885</v>
      </c>
      <c r="O113" s="188"/>
      <c r="P113" s="189">
        <f ca="1">SUM(P108:P112)</f>
        <v>595.05542426941236</v>
      </c>
      <c r="Q113" s="189">
        <f t="shared" ref="Q113:U113" ca="1" si="20">SUM(Q108:Q112)</f>
        <v>933.73318649103032</v>
      </c>
      <c r="R113" s="189">
        <f t="shared" ca="1" si="20"/>
        <v>938.53279903803673</v>
      </c>
      <c r="S113" s="189">
        <f t="shared" ca="1" si="20"/>
        <v>959.24298254854523</v>
      </c>
      <c r="T113" s="189">
        <f t="shared" ca="1" si="20"/>
        <v>1223.1933516888989</v>
      </c>
      <c r="U113" s="189">
        <f t="shared" ca="1" si="20"/>
        <v>1160.6230437201652</v>
      </c>
    </row>
    <row r="114" spans="10:27" x14ac:dyDescent="0.2">
      <c r="J114" s="186" t="str">
        <f t="shared" si="19"/>
        <v>Part du Gouv.</v>
      </c>
      <c r="L114" s="98" t="s">
        <v>90</v>
      </c>
      <c r="N114" s="187">
        <f ca="1">N113/N104</f>
        <v>0.3183408344388941</v>
      </c>
      <c r="P114" s="187">
        <f ca="1">P113/P104</f>
        <v>0.27779975576844534</v>
      </c>
      <c r="Q114" s="187">
        <f t="shared" ref="Q114:U114" ca="1" si="21">Q113/Q104</f>
        <v>0.26932229819058345</v>
      </c>
      <c r="R114" s="187">
        <f t="shared" ca="1" si="21"/>
        <v>0.2715688393877137</v>
      </c>
      <c r="S114" s="187">
        <f t="shared" ca="1" si="21"/>
        <v>0.29492899372920867</v>
      </c>
      <c r="T114" s="187">
        <f t="shared" ca="1" si="21"/>
        <v>0.39985524503938163</v>
      </c>
      <c r="U114" s="187">
        <f t="shared" ca="1" si="21"/>
        <v>0.40361622789156965</v>
      </c>
    </row>
    <row r="116" spans="10:27" x14ac:dyDescent="0.2">
      <c r="J116" s="95" t="str">
        <f t="shared" si="19"/>
        <v>Flux de trésorerie de la SNPC</v>
      </c>
      <c r="L116" s="98" t="s">
        <v>148</v>
      </c>
      <c r="N116" s="184">
        <f ca="1">SUM(P116:U116)</f>
        <v>1342.1447735366846</v>
      </c>
      <c r="O116" s="188"/>
      <c r="P116" s="183" cm="1">
        <f t="array" aca="1" ref="P116:U116" ca="1">OFFSET(HM_ZA_Nkossa!L504,,7,,df_forecast_years+1)+OFFSET(HM_ZB_Nsoko!L515,,7,,df_forecast_years+1)+OFFSET(HM_ZD_Moho!L529,,7,,df_forecast_years+1)+OFFSET(KLL_II_2020!L502,,7,,df_forecast_years+1)+(OFFSET(Marine!L541,,7,,df_forecast_years+1)*0)</f>
        <v>47.668437658146132</v>
      </c>
      <c r="Q116" s="183">
        <f ca="1"/>
        <v>97.971454942233891</v>
      </c>
      <c r="R116" s="183">
        <f ca="1"/>
        <v>303.25674358173092</v>
      </c>
      <c r="S116" s="183">
        <f ca="1"/>
        <v>350.01983362005154</v>
      </c>
      <c r="T116" s="183">
        <f ca="1"/>
        <v>280.92359202987859</v>
      </c>
      <c r="U116" s="183">
        <f ca="1"/>
        <v>262.30471170464341</v>
      </c>
    </row>
    <row r="117" spans="10:27" x14ac:dyDescent="0.2">
      <c r="N117" s="188"/>
      <c r="O117" s="188"/>
      <c r="P117" s="188"/>
      <c r="Q117" s="188"/>
      <c r="R117" s="188"/>
      <c r="S117" s="188"/>
      <c r="T117" s="188"/>
      <c r="U117" s="188"/>
    </row>
    <row r="118" spans="10:27" x14ac:dyDescent="0.2">
      <c r="J118" s="100" t="str">
        <f t="shared" si="19"/>
        <v>Flux de trésorerie du Gouv. incl. la SNPC</v>
      </c>
      <c r="L118" s="102" t="s">
        <v>148</v>
      </c>
      <c r="N118" s="184">
        <f ca="1">SUM(P118:U118)</f>
        <v>7152.525561292774</v>
      </c>
      <c r="O118" s="188"/>
      <c r="P118" s="184">
        <f t="shared" ref="P118:U118" ca="1" si="22">SUM(P113,P116)</f>
        <v>642.72386192755846</v>
      </c>
      <c r="Q118" s="184">
        <f t="shared" ca="1" si="22"/>
        <v>1031.7046414332642</v>
      </c>
      <c r="R118" s="184">
        <f t="shared" ca="1" si="22"/>
        <v>1241.7895426197676</v>
      </c>
      <c r="S118" s="184">
        <f t="shared" ca="1" si="22"/>
        <v>1309.2628161685968</v>
      </c>
      <c r="T118" s="184">
        <f t="shared" ca="1" si="22"/>
        <v>1504.1169437187775</v>
      </c>
      <c r="U118" s="184">
        <f t="shared" ca="1" si="22"/>
        <v>1422.9277554248088</v>
      </c>
    </row>
    <row r="121" spans="10:27" ht="16" x14ac:dyDescent="0.2">
      <c r="J121" s="185" t="str">
        <f>CHOOSE(db_ML_selected,'Liste Traduction'!B158,'Liste Traduction'!C158)</f>
        <v>Flux de trésorerie Contracteur consolidés</v>
      </c>
      <c r="K121" s="45"/>
      <c r="L121" s="45"/>
      <c r="M121" s="45"/>
      <c r="N121" s="45"/>
      <c r="O121" s="45"/>
      <c r="P121" s="45"/>
      <c r="Q121" s="45"/>
      <c r="R121" s="45"/>
      <c r="S121" s="45"/>
      <c r="T121" s="45"/>
      <c r="U121" s="45"/>
    </row>
    <row r="122" spans="10:27" ht="16" x14ac:dyDescent="0.2">
      <c r="J122" s="94"/>
      <c r="K122" s="6"/>
      <c r="L122" s="6"/>
      <c r="M122" s="6"/>
      <c r="N122" s="6"/>
      <c r="O122" s="6"/>
      <c r="P122" s="6"/>
      <c r="Q122" s="6"/>
      <c r="R122" s="6"/>
      <c r="S122" s="6"/>
      <c r="T122" s="6"/>
      <c r="U122" s="6"/>
    </row>
    <row r="123" spans="10:27" x14ac:dyDescent="0.2">
      <c r="J123" s="110" t="str">
        <f>J56</f>
        <v>Récupération des coûts</v>
      </c>
      <c r="L123" s="98" t="s">
        <v>148</v>
      </c>
      <c r="N123" s="184">
        <f ca="1">SUM(P123:U123)</f>
        <v>12582.299916553682</v>
      </c>
      <c r="P123" s="183" cm="1">
        <f t="array" aca="1" ref="P123:U123" ca="1">OFFSET(HM_ZA_Nkossa!L316,,7,,df_forecast_years+1)+OFFSET(HM_ZA_Nkossa!L323,,7,,df_forecast_years+1)+OFFSET(HM_ZB_Nsoko!L327,,7,,df_forecast_years+1)+OFFSET(HM_ZB_Nsoko!L334,,7,,df_forecast_years+1)+OFFSET(HM_ZD_Moho!L341,,7,,df_forecast_years+1)+OFFSET(HM_ZD_Moho!L348,,7,,df_forecast_years+1)+OFFSET(KLL_II_2020!L314,,7,,df_forecast_years+1)+OFFSET(KLL_II_2020!L321,,7,,df_forecast_years+1)+((OFFSET(Marine!L353,,7,,df_forecast_years+1)+OFFSET(Marine!L360,,7,,df_forecast_years+1))*0)</f>
        <v>1717.0994153148151</v>
      </c>
      <c r="Q123" s="183">
        <f ca="1"/>
        <v>2560.7092711697637</v>
      </c>
      <c r="R123" s="183">
        <f ca="1"/>
        <v>2548.2414857849371</v>
      </c>
      <c r="S123" s="183">
        <f ca="1"/>
        <v>2416.8977233809637</v>
      </c>
      <c r="T123" s="183">
        <f ca="1"/>
        <v>1713.8802084923282</v>
      </c>
      <c r="U123" s="183">
        <f ca="1"/>
        <v>1625.471812410874</v>
      </c>
    </row>
    <row r="124" spans="10:27" x14ac:dyDescent="0.2">
      <c r="J124" s="110" t="str">
        <f t="shared" ref="J124:J133" si="23">J57</f>
        <v>Excess Cost Oil</v>
      </c>
      <c r="L124" s="98" t="s">
        <v>148</v>
      </c>
      <c r="N124" s="184">
        <f t="shared" ref="N124:N127" ca="1" si="24">SUM(P124:U124)</f>
        <v>0</v>
      </c>
      <c r="P124" s="183" cm="1">
        <f t="array" aca="1" ref="P124:U124" ca="1">OFFSET(HM_ZA_Nkossa!L317,,7,,df_forecast_years+1)+OFFSET(HM_ZA_Nkossa!L324,,7,,df_forecast_years+1)+OFFSET(HM_ZB_Nsoko!L328,,7,,df_forecast_years+1)+OFFSET(HM_ZB_Nsoko!L335,,7,,df_forecast_years+1)+OFFSET(HM_ZD_Moho!L342,,7,,df_forecast_years+1)+OFFSET(HM_ZD_Moho!L349,,7,,df_forecast_years+1)+OFFSET(KLL_II_2020!L315,,7,,df_forecast_years+1)+OFFSET(KLL_II_2020!L322,,7,,df_forecast_years+1)+((OFFSET(Marine!L354,,7,,df_forecast_years+1)+OFFSET(Marine!L361,,7,,df_forecast_years+1))*0)</f>
        <v>0</v>
      </c>
      <c r="Q124" s="183">
        <f ca="1"/>
        <v>0</v>
      </c>
      <c r="R124" s="183">
        <f ca="1"/>
        <v>0</v>
      </c>
      <c r="S124" s="183">
        <f ca="1"/>
        <v>0</v>
      </c>
      <c r="T124" s="183">
        <f ca="1"/>
        <v>0</v>
      </c>
      <c r="U124" s="183">
        <f ca="1"/>
        <v>0</v>
      </c>
      <c r="AA124" s="199" t="str">
        <f>CHOOSE(db_ML_selected,'Liste Traduction'!B153,'Liste Traduction'!C153)</f>
        <v>Note : Mettre à jour le graphique pour différents taux de déclin</v>
      </c>
    </row>
    <row r="125" spans="10:27" x14ac:dyDescent="0.2">
      <c r="J125" s="110" t="str">
        <f t="shared" si="23"/>
        <v>SPO</v>
      </c>
      <c r="L125" s="98" t="s">
        <v>148</v>
      </c>
      <c r="N125" s="184">
        <f t="shared" ca="1" si="24"/>
        <v>228.29992977089071</v>
      </c>
      <c r="P125" s="183" cm="1">
        <f t="array" aca="1" ref="P125:U125" ca="1">OFFSET(HM_ZA_Nkossa!L318,,7,,df_forecast_years+1)+OFFSET(HM_ZB_Nsoko!L329,,7,,df_forecast_years+1)+OFFSET(HM_ZD_Moho!L343,,7,,df_forecast_years+1)+OFFSET(KLL_II_2020!L316,,7,,df_forecast_years+1)+(OFFSET(Marine!L355,,7,,df_forecast_years+1)*0)</f>
        <v>0</v>
      </c>
      <c r="Q125" s="183">
        <f ca="1"/>
        <v>24.340330584513922</v>
      </c>
      <c r="R125" s="183">
        <f ca="1"/>
        <v>28.442859207915301</v>
      </c>
      <c r="S125" s="183">
        <f ca="1"/>
        <v>27.071933753285219</v>
      </c>
      <c r="T125" s="183">
        <f ca="1"/>
        <v>76.139827508949537</v>
      </c>
      <c r="U125" s="183">
        <f ca="1"/>
        <v>72.304978716226714</v>
      </c>
    </row>
    <row r="126" spans="10:27" x14ac:dyDescent="0.2">
      <c r="J126" s="110" t="str">
        <f t="shared" si="23"/>
        <v>Partage du profit</v>
      </c>
      <c r="L126" s="98" t="s">
        <v>148</v>
      </c>
      <c r="N126" s="184">
        <f t="shared" ca="1" si="24"/>
        <v>2401.5681900602094</v>
      </c>
      <c r="P126" s="183" cm="1">
        <f t="array" aca="1" ref="P126:U126" ca="1">OFFSET(HM_ZA_Nkossa!L319,,7,,df_forecast_years+1)+OFFSET(HM_ZA_Nkossa!L325,,7,,df_forecast_years+1)+OFFSET(HM_ZB_Nsoko!L330,,7,,df_forecast_years+1)+OFFSET(HM_ZB_Nsoko!L336,,7,,df_forecast_years+1)+OFFSET(HM_ZD_Moho!L344,,7,,df_forecast_years+1)+OFFSET(HM_ZD_Moho!L350,,7,,df_forecast_years+1)+OFFSET(KLL_II_2020!L317,,7,,df_forecast_years+1)+OFFSET(KLL_II_2020!L323,,7,,df_forecast_years+1)+((OFFSET(Marine!L356,,7,,df_forecast_years+1)+OFFSET(Marine!L362,,7,,df_forecast_years+1))*0)</f>
        <v>279.23250920968394</v>
      </c>
      <c r="Q126" s="183">
        <f ca="1"/>
        <v>406.45413063616348</v>
      </c>
      <c r="R126" s="183">
        <f ca="1"/>
        <v>403.15103511303948</v>
      </c>
      <c r="S126" s="183">
        <f ca="1"/>
        <v>313.75141505313616</v>
      </c>
      <c r="T126" s="183">
        <f ca="1"/>
        <v>512.69871463232641</v>
      </c>
      <c r="U126" s="183">
        <f ca="1"/>
        <v>486.28038541586022</v>
      </c>
    </row>
    <row r="127" spans="10:27" x14ac:dyDescent="0.2">
      <c r="J127" s="114" t="str">
        <f t="shared" si="23"/>
        <v>Revenus des droits</v>
      </c>
      <c r="K127" s="105"/>
      <c r="L127" s="116" t="s">
        <v>148</v>
      </c>
      <c r="N127" s="189">
        <f t="shared" ca="1" si="24"/>
        <v>15212.168036384783</v>
      </c>
      <c r="P127" s="189">
        <f ca="1">SUM(P123:P126)</f>
        <v>1996.3319245244991</v>
      </c>
      <c r="Q127" s="189">
        <f t="shared" ref="Q127:U127" ca="1" si="25">SUM(Q123:Q126)</f>
        <v>2991.5037323904412</v>
      </c>
      <c r="R127" s="189">
        <f t="shared" ca="1" si="25"/>
        <v>2979.835380105892</v>
      </c>
      <c r="S127" s="189">
        <f t="shared" ca="1" si="25"/>
        <v>2757.7210721873848</v>
      </c>
      <c r="T127" s="189">
        <f t="shared" ca="1" si="25"/>
        <v>2302.718750633604</v>
      </c>
      <c r="U127" s="189">
        <f t="shared" ca="1" si="25"/>
        <v>2184.0571765429609</v>
      </c>
    </row>
    <row r="128" spans="10:27" x14ac:dyDescent="0.2">
      <c r="J128" s="110"/>
      <c r="L128" s="98"/>
      <c r="N128" s="188"/>
    </row>
    <row r="129" spans="10:21" x14ac:dyDescent="0.2">
      <c r="J129" s="110" t="str">
        <f t="shared" si="23"/>
        <v>(-)PID</v>
      </c>
      <c r="L129" s="98" t="s">
        <v>148</v>
      </c>
      <c r="N129" s="184">
        <f ca="1">SUM(P129:U129)</f>
        <v>208.144047763771</v>
      </c>
      <c r="P129" s="183" cm="1">
        <f t="array" aca="1" ref="P129:U129" ca="1">OFFSET(HM_ZA_Nkossa!L439,,7,,df_forecast_years+1)+OFFSET(HM_ZB_Nsoko!L450,,7,,df_forecast_years+1)+OFFSET(HM_ZD_Moho!L464,,7,,df_forecast_years+1)+OFFSET(KLL_II_2020!L437,,7,,df_forecast_years+1)+(OFFSET(Marine!L476,,7,,df_forecast_years+1)*0)</f>
        <v>25.657300483108035</v>
      </c>
      <c r="Q129" s="183">
        <f ca="1"/>
        <v>38.863731870113583</v>
      </c>
      <c r="R129" s="183">
        <f ca="1"/>
        <v>38.795724545979482</v>
      </c>
      <c r="S129" s="183">
        <f ca="1"/>
        <v>36.801624304316135</v>
      </c>
      <c r="T129" s="183">
        <f ca="1"/>
        <v>34.91002081507429</v>
      </c>
      <c r="U129" s="183">
        <f ca="1"/>
        <v>33.115645745179471</v>
      </c>
    </row>
    <row r="130" spans="10:21" x14ac:dyDescent="0.2">
      <c r="J130" s="110" t="str">
        <f t="shared" si="23"/>
        <v>(-)Opex et autres</v>
      </c>
      <c r="L130" s="98" t="s">
        <v>148</v>
      </c>
      <c r="N130" s="184">
        <f t="shared" ref="N130:N133" ca="1" si="26">SUM(P130:U130)</f>
        <v>2562.3297700479998</v>
      </c>
      <c r="P130" s="183" cm="1">
        <f t="array" aca="1" ref="P130:U130" ca="1">OFFSET(HM_ZA_Nkossa!L437,,7,,df_forecast_years+1)+OFFSET(HM_ZB_Nsoko!L448,,7,,df_forecast_years+1)+OFFSET(HM_ZD_Moho!L462,,7,,df_forecast_years+1)+OFFSET(KLL_II_2020!L435,,7,,df_forecast_years+1)+(OFFSET(Marine!L474,,7,,df_forecast_years+1)*0)</f>
        <v>423.7</v>
      </c>
      <c r="Q130" s="183">
        <f ca="1"/>
        <v>419.4</v>
      </c>
      <c r="R130" s="183">
        <f ca="1"/>
        <v>423.60600000000005</v>
      </c>
      <c r="S130" s="183">
        <f ca="1"/>
        <v>427.70844</v>
      </c>
      <c r="T130" s="183">
        <f ca="1"/>
        <v>431.91165599999999</v>
      </c>
      <c r="U130" s="183">
        <f ca="1"/>
        <v>436.00367404799999</v>
      </c>
    </row>
    <row r="131" spans="10:21" x14ac:dyDescent="0.2">
      <c r="J131" s="110" t="str">
        <f t="shared" si="23"/>
        <v>(-)Capex</v>
      </c>
      <c r="L131" s="98" t="s">
        <v>148</v>
      </c>
      <c r="N131" s="184">
        <f t="shared" ca="1" si="26"/>
        <v>0</v>
      </c>
      <c r="P131" s="183" cm="1">
        <f t="array" aca="1" ref="P131:U131" ca="1">OFFSET(HM_ZA_Nkossa!L443,,7,,df_forecast_years+1)+OFFSET(HM_ZB_Nsoko!L454,,7,,df_forecast_years+1)+OFFSET(HM_ZD_Moho!L468,,7,,df_forecast_years+1)+OFFSET(KLL_II_2020!L441,,7,,df_forecast_years+1)+(OFFSET(Marine!L480,,7,,df_forecast_years+1)*0)</f>
        <v>0</v>
      </c>
      <c r="Q131" s="183">
        <f ca="1"/>
        <v>0</v>
      </c>
      <c r="R131" s="183">
        <f ca="1"/>
        <v>0</v>
      </c>
      <c r="S131" s="183">
        <f ca="1"/>
        <v>0</v>
      </c>
      <c r="T131" s="183">
        <f ca="1"/>
        <v>0</v>
      </c>
      <c r="U131" s="183">
        <f ca="1"/>
        <v>0</v>
      </c>
    </row>
    <row r="132" spans="10:21" x14ac:dyDescent="0.2">
      <c r="J132" s="110" t="str">
        <f t="shared" si="23"/>
        <v>(-)Abandon</v>
      </c>
      <c r="L132" s="98" t="s">
        <v>148</v>
      </c>
      <c r="N132" s="184">
        <f t="shared" ca="1" si="26"/>
        <v>0</v>
      </c>
      <c r="P132" s="183" cm="1">
        <f t="array" aca="1" ref="P132:U132" ca="1">OFFSET(HM_ZA_Nkossa!L445,,7,,df_forecast_years+1)+OFFSET(HM_ZB_Nsoko!L456,,7,,df_forecast_years+1)+OFFSET(HM_ZD_Moho!L470,,7,,df_forecast_years+1)+OFFSET(KLL_II_2020!L443,,7,,df_forecast_years+1)+(OFFSET(Marine!L482,,7,,df_forecast_years+1)*0)</f>
        <v>0</v>
      </c>
      <c r="Q132" s="183">
        <f ca="1"/>
        <v>0</v>
      </c>
      <c r="R132" s="183">
        <f ca="1"/>
        <v>0</v>
      </c>
      <c r="S132" s="183">
        <f ca="1"/>
        <v>0</v>
      </c>
      <c r="T132" s="183">
        <f ca="1"/>
        <v>0</v>
      </c>
      <c r="U132" s="183">
        <f ca="1"/>
        <v>0</v>
      </c>
    </row>
    <row r="133" spans="10:21" x14ac:dyDescent="0.2">
      <c r="J133" s="114" t="str">
        <f t="shared" si="23"/>
        <v>Total flux de trésorerie du contracteur</v>
      </c>
      <c r="K133" s="115"/>
      <c r="L133" s="116" t="s">
        <v>148</v>
      </c>
      <c r="N133" s="189">
        <f t="shared" ca="1" si="26"/>
        <v>12441.694218573011</v>
      </c>
      <c r="P133" s="189">
        <f ca="1">P127-SUM(P129:P132)</f>
        <v>1546.9746240413911</v>
      </c>
      <c r="Q133" s="189">
        <f t="shared" ref="Q133:U133" ca="1" si="27">Q127-SUM(Q129:Q132)</f>
        <v>2533.2400005203276</v>
      </c>
      <c r="R133" s="189">
        <f t="shared" ca="1" si="27"/>
        <v>2517.4336555599125</v>
      </c>
      <c r="S133" s="189">
        <f t="shared" ca="1" si="27"/>
        <v>2293.2110078830688</v>
      </c>
      <c r="T133" s="189">
        <f t="shared" ca="1" si="27"/>
        <v>1835.8970738185299</v>
      </c>
      <c r="U133" s="189">
        <f t="shared" ca="1" si="27"/>
        <v>1714.9378567497815</v>
      </c>
    </row>
    <row r="134" spans="10:21" x14ac:dyDescent="0.2">
      <c r="P134" s="183"/>
      <c r="Q134" s="183"/>
      <c r="R134" s="183"/>
      <c r="S134" s="183"/>
      <c r="T134" s="183"/>
      <c r="U134" s="183"/>
    </row>
    <row r="135" spans="10:21" x14ac:dyDescent="0.2">
      <c r="P135" s="183"/>
      <c r="Q135" s="183"/>
      <c r="R135" s="183"/>
      <c r="S135" s="183"/>
      <c r="T135" s="183"/>
      <c r="U135" s="183"/>
    </row>
    <row r="136" spans="10:21" x14ac:dyDescent="0.2">
      <c r="J136" s="121" t="s">
        <v>756</v>
      </c>
      <c r="K136" s="98"/>
      <c r="L136" s="98"/>
      <c r="M136" s="98"/>
      <c r="N136" s="191">
        <f ca="1">N104-N113-N133</f>
        <v>0</v>
      </c>
      <c r="O136" s="120"/>
      <c r="P136" s="191">
        <f ca="1">P104-P113-P133</f>
        <v>0</v>
      </c>
      <c r="Q136" s="191">
        <f t="shared" ref="Q136:U136" ca="1" si="28">Q104-Q113-Q133</f>
        <v>0</v>
      </c>
      <c r="R136" s="191">
        <f t="shared" ca="1" si="28"/>
        <v>0</v>
      </c>
      <c r="S136" s="191">
        <f t="shared" ca="1" si="28"/>
        <v>0</v>
      </c>
      <c r="T136" s="191">
        <f t="shared" ca="1" si="28"/>
        <v>0</v>
      </c>
      <c r="U136" s="191">
        <f t="shared" ca="1" si="28"/>
        <v>0</v>
      </c>
    </row>
    <row r="152" spans="27:27" x14ac:dyDescent="0.2">
      <c r="AA152" s="199" t="str">
        <f>CHOOSE(db_ML_selected,'Liste Traduction'!B154,'Liste Traduction'!C154)</f>
        <v>Note : Mettre à jour le graphique pour différents scénarios de prix</v>
      </c>
    </row>
    <row r="209" spans="29:29" x14ac:dyDescent="0.2">
      <c r="AC209" s="199" t="str">
        <f>AA124</f>
        <v>Note : Mettre à jour le graphique pour différents taux de déclin</v>
      </c>
    </row>
  </sheetData>
  <mergeCells count="1">
    <mergeCell ref="Q4:U4"/>
  </mergeCells>
  <dataValidations disablePrompts="1" count="4">
    <dataValidation type="list" allowBlank="1" showInputMessage="1" showErrorMessage="1" sqref="G8" xr:uid="{BF332399-DE51-43A5-AAF0-4280D322E4FE}">
      <formula1>"Yes, No"</formula1>
    </dataValidation>
    <dataValidation type="list" allowBlank="1" showInputMessage="1" showErrorMessage="1" sqref="G5" xr:uid="{F38F7D9F-BC57-4CB3-9C29-72398B87889E}">
      <formula1>list_FieldName</formula1>
    </dataValidation>
    <dataValidation type="list" allowBlank="1" showInputMessage="1" showErrorMessage="1" sqref="G12" xr:uid="{034B361D-BBC4-4166-8B16-75AD5889082D}">
      <formula1>"50,70,90,100,Custom"</formula1>
    </dataValidation>
    <dataValidation type="list" allowBlank="1" showInputMessage="1" showErrorMessage="1" sqref="G17" xr:uid="{7114947C-5D32-431B-B828-03ED38F734C9}">
      <formula1>"7%,10%,12%,15%"</formula1>
    </dataValidation>
  </dataValidations>
  <pageMargins left="0.7" right="0.7" top="0.75" bottom="0.75" header="0.3" footer="0.3"/>
  <pageSetup orientation="portrait" r:id="rId1"/>
  <drawing r:id="rId2"/>
  <mc:AlternateContent xmlns:mc="http://schemas.openxmlformats.org/markup-compatibility/2006">
    <mc:Choice Requires="v">
      <legacyDrawing r:id="rId3"/>
    </mc:Choice>
  </mc:AlternateContent>
  <controls>
    <control shapeId="2057" r:id="rId4" name="Button 9">
      <controlPr defaultSize="0" print="0" autoFill="0" autoPict="0" macro="[0]!updatePrice">
        <anchor moveWithCells="1">
          <from>
            <xdr:col>23</xdr:col>
            <xdr:colOff>88900</xdr:colOff>
            <xdr:row>122</xdr:row>
            <xdr:rowOff>76200</xdr:rowOff>
          </from>
          <to>
            <xdr:col>25</xdr:col>
            <xdr:colOff>203200</xdr:colOff>
            <xdr:row>124</xdr:row>
            <xdr:rowOff>0</xdr:rowOff>
          </to>
        </anchor>
      </controlPr>
    </control>
    <control shapeId="2058" r:id="rId5" name="Button 10">
      <controlPr defaultSize="0" print="0" autoFill="0" autoPict="0" macro="[0]!updateProduction">
        <anchor moveWithCells="1">
          <from>
            <xdr:col>23</xdr:col>
            <xdr:colOff>127000</xdr:colOff>
            <xdr:row>150</xdr:row>
            <xdr:rowOff>101600</xdr:rowOff>
          </from>
          <to>
            <xdr:col>25</xdr:col>
            <xdr:colOff>571500</xdr:colOff>
            <xdr:row>152</xdr:row>
            <xdr:rowOff>38100</xdr:rowOff>
          </to>
        </anchor>
      </controlPr>
    </control>
    <control shapeId="2062" r:id="rId6" name="Button 14">
      <controlPr defaultSize="0" print="0" autoFill="0" autoPict="0" macro="[0]!updateSPOandECO">
        <anchor moveWithCells="1">
          <from>
            <xdr:col>23</xdr:col>
            <xdr:colOff>673100</xdr:colOff>
            <xdr:row>207</xdr:row>
            <xdr:rowOff>63500</xdr:rowOff>
          </from>
          <to>
            <xdr:col>27</xdr:col>
            <xdr:colOff>266700</xdr:colOff>
            <xdr:row>208</xdr:row>
            <xdr:rowOff>165100</xdr:rowOff>
          </to>
        </anchor>
      </controlPr>
    </control>
  </controls>
</worksheet>
</file>

<file path=xl/worksheets/sheet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96C94-3B65-4995-ABA0-2E79E2F1A92E}">
  <sheetPr codeName="Sheet6"/>
  <dimension ref="A1:DC351"/>
  <sheetViews>
    <sheetView showGridLines="0" zoomScale="80" zoomScaleNormal="80" workbookViewId="0">
      <pane xSplit="10" ySplit="5" topLeftCell="L187" activePane="bottomRight" state="frozen"/>
      <selection pane="topRight" activeCell="K1" sqref="K1"/>
      <selection pane="bottomLeft" activeCell="A6" sqref="A6"/>
      <selection pane="bottomRight" activeCell="I194" sqref="I194"/>
    </sheetView>
  </sheetViews>
  <sheetFormatPr baseColWidth="10" defaultColWidth="0" defaultRowHeight="15" x14ac:dyDescent="0.2"/>
  <cols>
    <col min="1" max="3" width="5.6640625" customWidth="1"/>
    <col min="4" max="10" width="14.6640625" customWidth="1"/>
    <col min="11" max="11" width="17.6640625" style="7" customWidth="1"/>
    <col min="12" max="93" width="9.1640625" customWidth="1"/>
    <col min="94" max="94" width="0" style="6" hidden="1" customWidth="1"/>
    <col min="95" max="16384" width="9.1640625" style="6" hidden="1"/>
  </cols>
  <sheetData>
    <row r="1" spans="1:93" s="5" customFormat="1" ht="20.25" customHeight="1" x14ac:dyDescent="0.2">
      <c r="A1" s="82" t="str">
        <f>CHOOSE(db_ML_selected,'Liste Traduction'!B210,'Liste Traduction'!C210)</f>
        <v>Données du tableau</v>
      </c>
      <c r="B1" s="82"/>
      <c r="C1" s="82"/>
      <c r="D1" s="82"/>
      <c r="E1" s="82"/>
      <c r="F1" s="82"/>
      <c r="G1" s="82"/>
      <c r="H1" s="82"/>
      <c r="I1" s="82"/>
      <c r="J1" s="82"/>
      <c r="K1" s="83"/>
      <c r="L1" s="82"/>
      <c r="M1" s="82"/>
      <c r="N1" s="82"/>
      <c r="O1" s="82"/>
      <c r="P1" s="82"/>
      <c r="Q1" s="82"/>
      <c r="R1" s="82"/>
      <c r="S1" s="82"/>
      <c r="T1" s="82"/>
      <c r="U1" s="82"/>
      <c r="V1" s="82"/>
      <c r="W1" s="82"/>
      <c r="X1" s="82"/>
      <c r="Y1" s="82"/>
      <c r="Z1" s="82"/>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row>
    <row r="2" spans="1:93" ht="9" customHeight="1" x14ac:dyDescent="0.2">
      <c r="A2" s="6"/>
      <c r="B2" s="6"/>
      <c r="C2" s="6"/>
      <c r="D2" s="6"/>
      <c r="E2" s="6"/>
      <c r="F2" s="6"/>
      <c r="G2" s="6"/>
      <c r="H2" s="6"/>
      <c r="I2" s="6"/>
      <c r="J2" s="6"/>
      <c r="K2" s="84"/>
      <c r="L2" s="6"/>
      <c r="M2" s="6"/>
      <c r="N2" s="6"/>
      <c r="O2" s="6"/>
      <c r="P2" s="6"/>
      <c r="Q2" s="6"/>
      <c r="R2" s="6"/>
      <c r="S2" s="6"/>
      <c r="T2" s="6"/>
      <c r="U2" s="6"/>
      <c r="V2" s="6"/>
      <c r="W2" s="6"/>
      <c r="X2" s="6"/>
      <c r="Y2" s="6"/>
      <c r="Z2" s="6"/>
    </row>
    <row r="3" spans="1:93" x14ac:dyDescent="0.2">
      <c r="L3" s="3">
        <f t="array" ref="L3:BS3">IA_Periods</f>
        <v>1</v>
      </c>
      <c r="M3" s="3">
        <v>2</v>
      </c>
      <c r="N3" s="3">
        <v>3</v>
      </c>
      <c r="O3" s="3">
        <v>4</v>
      </c>
      <c r="P3" s="3">
        <v>5</v>
      </c>
      <c r="Q3" s="3">
        <v>6</v>
      </c>
      <c r="R3" s="3">
        <v>7</v>
      </c>
      <c r="S3" s="3">
        <v>8</v>
      </c>
      <c r="T3" s="3">
        <v>9</v>
      </c>
      <c r="U3" s="3">
        <v>10</v>
      </c>
      <c r="V3" s="3">
        <v>11</v>
      </c>
      <c r="W3" s="3">
        <v>12</v>
      </c>
      <c r="X3" s="3">
        <v>13</v>
      </c>
      <c r="Y3" s="3">
        <v>14</v>
      </c>
      <c r="Z3" s="3">
        <v>15</v>
      </c>
      <c r="AA3" s="3">
        <v>16</v>
      </c>
      <c r="AB3" s="3">
        <v>17</v>
      </c>
      <c r="AC3" s="3">
        <v>18</v>
      </c>
      <c r="AD3" s="3">
        <v>19</v>
      </c>
      <c r="AE3" s="3">
        <v>20</v>
      </c>
      <c r="AF3" s="3">
        <v>21</v>
      </c>
      <c r="AG3" s="3">
        <v>22</v>
      </c>
      <c r="AH3" s="3">
        <v>23</v>
      </c>
      <c r="AI3" s="3">
        <v>24</v>
      </c>
      <c r="AJ3" s="3">
        <v>25</v>
      </c>
      <c r="AK3" s="3">
        <v>26</v>
      </c>
      <c r="AL3" s="3">
        <v>27</v>
      </c>
      <c r="AM3" s="3">
        <v>28</v>
      </c>
      <c r="AN3" s="3">
        <v>29</v>
      </c>
      <c r="AO3" s="3">
        <v>30</v>
      </c>
      <c r="AP3" s="3">
        <v>31</v>
      </c>
      <c r="AQ3" s="3">
        <v>32</v>
      </c>
      <c r="AR3" s="3">
        <v>33</v>
      </c>
      <c r="AS3" s="3">
        <v>34</v>
      </c>
      <c r="AT3" s="3">
        <v>35</v>
      </c>
      <c r="AU3" s="3">
        <v>36</v>
      </c>
      <c r="AV3" s="3">
        <v>37</v>
      </c>
      <c r="AW3" s="3">
        <v>38</v>
      </c>
      <c r="AX3" s="3">
        <v>39</v>
      </c>
      <c r="AY3" s="3">
        <v>40</v>
      </c>
      <c r="AZ3" s="3">
        <v>41</v>
      </c>
      <c r="BA3" s="3">
        <v>42</v>
      </c>
      <c r="BB3" s="3">
        <v>43</v>
      </c>
      <c r="BC3" s="3">
        <v>44</v>
      </c>
      <c r="BD3" s="3">
        <v>45</v>
      </c>
      <c r="BE3" s="3">
        <v>46</v>
      </c>
      <c r="BF3" s="3">
        <v>47</v>
      </c>
      <c r="BG3" s="3">
        <v>48</v>
      </c>
      <c r="BH3" s="3">
        <v>49</v>
      </c>
      <c r="BI3" s="3">
        <v>50</v>
      </c>
      <c r="BJ3" s="3">
        <v>51</v>
      </c>
      <c r="BK3" s="3">
        <v>52</v>
      </c>
      <c r="BL3" s="3">
        <v>53</v>
      </c>
      <c r="BM3" s="3">
        <v>54</v>
      </c>
      <c r="BN3" s="3">
        <v>55</v>
      </c>
      <c r="BO3" s="3">
        <v>56</v>
      </c>
      <c r="BP3" s="3">
        <v>57</v>
      </c>
      <c r="BQ3" s="3">
        <v>58</v>
      </c>
      <c r="BR3" s="3">
        <v>59</v>
      </c>
      <c r="BS3" s="3">
        <v>60</v>
      </c>
    </row>
    <row r="4" spans="1:93" x14ac:dyDescent="0.2">
      <c r="L4">
        <v>2013</v>
      </c>
      <c r="M4">
        <f>L4+1</f>
        <v>2014</v>
      </c>
      <c r="N4">
        <f t="shared" ref="N4:R4" si="0">M4+1</f>
        <v>2015</v>
      </c>
      <c r="O4">
        <f t="shared" si="0"/>
        <v>2016</v>
      </c>
      <c r="P4">
        <f t="shared" si="0"/>
        <v>2017</v>
      </c>
      <c r="Q4">
        <f t="shared" si="0"/>
        <v>2018</v>
      </c>
      <c r="R4">
        <f t="shared" si="0"/>
        <v>2019</v>
      </c>
    </row>
    <row r="5" spans="1:93" x14ac:dyDescent="0.2">
      <c r="L5" s="3">
        <f t="array" ref="L5:BS5">+IA_Days</f>
        <v>365</v>
      </c>
      <c r="M5" s="3">
        <v>365</v>
      </c>
      <c r="N5" s="3">
        <v>365</v>
      </c>
      <c r="O5" s="3">
        <v>366</v>
      </c>
      <c r="P5" s="3">
        <v>365</v>
      </c>
      <c r="Q5" s="3">
        <v>365</v>
      </c>
      <c r="R5" s="3">
        <v>365</v>
      </c>
      <c r="S5" s="3">
        <v>366</v>
      </c>
      <c r="T5" s="3">
        <v>365</v>
      </c>
      <c r="U5" s="3">
        <v>365</v>
      </c>
      <c r="V5" s="3">
        <v>365</v>
      </c>
      <c r="W5" s="3">
        <v>366</v>
      </c>
      <c r="X5" s="3">
        <v>365</v>
      </c>
      <c r="Y5" s="3">
        <v>365</v>
      </c>
      <c r="Z5" s="3">
        <v>365</v>
      </c>
      <c r="AA5" s="3">
        <v>366</v>
      </c>
      <c r="AB5" s="3">
        <v>365</v>
      </c>
      <c r="AC5" s="3">
        <v>365</v>
      </c>
      <c r="AD5" s="3">
        <v>365</v>
      </c>
      <c r="AE5" s="3">
        <v>366</v>
      </c>
      <c r="AF5" s="3">
        <v>365</v>
      </c>
      <c r="AG5" s="3">
        <v>365</v>
      </c>
      <c r="AH5" s="3">
        <v>365</v>
      </c>
      <c r="AI5" s="3">
        <v>366</v>
      </c>
      <c r="AJ5" s="3">
        <v>365</v>
      </c>
      <c r="AK5" s="3">
        <v>365</v>
      </c>
      <c r="AL5" s="3">
        <v>365</v>
      </c>
      <c r="AM5" s="3">
        <v>366</v>
      </c>
      <c r="AN5" s="3">
        <v>365</v>
      </c>
      <c r="AO5" s="3">
        <v>365</v>
      </c>
      <c r="AP5" s="3">
        <v>365</v>
      </c>
      <c r="AQ5" s="3">
        <v>366</v>
      </c>
      <c r="AR5" s="3">
        <v>365</v>
      </c>
      <c r="AS5" s="3">
        <v>365</v>
      </c>
      <c r="AT5" s="3">
        <v>365</v>
      </c>
      <c r="AU5" s="3">
        <v>366</v>
      </c>
      <c r="AV5" s="3">
        <v>365</v>
      </c>
      <c r="AW5" s="3">
        <v>365</v>
      </c>
      <c r="AX5" s="3">
        <v>365</v>
      </c>
      <c r="AY5" s="3">
        <v>366</v>
      </c>
      <c r="AZ5" s="3">
        <v>365</v>
      </c>
      <c r="BA5" s="3">
        <v>365</v>
      </c>
      <c r="BB5" s="3">
        <v>365</v>
      </c>
      <c r="BC5" s="3">
        <v>366</v>
      </c>
      <c r="BD5" s="3">
        <v>365</v>
      </c>
      <c r="BE5" s="3">
        <v>365</v>
      </c>
      <c r="BF5" s="3">
        <v>365</v>
      </c>
      <c r="BG5" s="3">
        <v>366</v>
      </c>
      <c r="BH5" s="3">
        <v>365</v>
      </c>
      <c r="BI5" s="3">
        <v>365</v>
      </c>
      <c r="BJ5" s="3">
        <v>365</v>
      </c>
      <c r="BK5" s="3">
        <v>366</v>
      </c>
      <c r="BL5" s="3">
        <v>365</v>
      </c>
      <c r="BM5" s="3">
        <v>365</v>
      </c>
      <c r="BN5" s="3">
        <v>365</v>
      </c>
      <c r="BO5" s="3">
        <v>366</v>
      </c>
      <c r="BP5" s="3">
        <v>365</v>
      </c>
      <c r="BQ5" s="3">
        <v>365</v>
      </c>
      <c r="BR5" s="3">
        <v>365</v>
      </c>
      <c r="BS5" s="3">
        <v>366</v>
      </c>
    </row>
    <row r="6" spans="1:93" ht="16" thickBot="1" x14ac:dyDescent="0.25"/>
    <row r="7" spans="1:93" ht="22" thickBot="1" x14ac:dyDescent="0.25">
      <c r="A7" s="8"/>
      <c r="B7" s="221" t="str">
        <f>CHOOSE(db_ML_selected,'Liste Traduction'!B211,'Liste Traduction'!C211)</f>
        <v>Titres des graphiques</v>
      </c>
      <c r="C7" s="222"/>
      <c r="D7" s="222"/>
      <c r="E7" s="223"/>
      <c r="F7" s="9"/>
      <c r="G7" s="9"/>
      <c r="H7" s="9"/>
      <c r="I7" s="9"/>
      <c r="J7" s="9"/>
      <c r="K7" s="10"/>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row>
    <row r="9" spans="1:93" x14ac:dyDescent="0.2">
      <c r="C9" t="s">
        <v>563</v>
      </c>
      <c r="F9" s="7" t="s">
        <v>564</v>
      </c>
      <c r="G9" s="78" t="str">
        <f>CHOOSE(db_ML_selected, db_psc_selector &amp;" Gov. Cash Flows 
 Actual vs. Modeled Results","Flux de trésorerie de l'État pour "&amp; db_psc_selector&amp;
" Résultats réels et modélisés")</f>
        <v>Flux de trésorerie de l'État pour Moho Résultats réels et modélisés</v>
      </c>
      <c r="K9" t="s">
        <v>1615</v>
      </c>
      <c r="N9" s="7" t="s">
        <v>1616</v>
      </c>
      <c r="O9" s="78" t="str">
        <f>CHOOSE(db_ML_selected, 'Liste Traduction'!B232,'Liste Traduction'!C232)</f>
        <v>Prix Fixé Congo (Djeno) 2013 -2019</v>
      </c>
    </row>
    <row r="10" spans="1:93" x14ac:dyDescent="0.2">
      <c r="C10" t="s">
        <v>566</v>
      </c>
      <c r="F10" s="7" t="s">
        <v>567</v>
      </c>
      <c r="G10" s="78" t="str">
        <f>CHOOSE(db_ML_selected,"Gov. Revenues by License", "Revenus Etat par license")</f>
        <v>Revenus Etat par license</v>
      </c>
      <c r="K10" t="s">
        <v>1622</v>
      </c>
      <c r="N10" s="7" t="s">
        <v>1623</v>
      </c>
      <c r="O10" s="78" t="str">
        <f>CHOOSE(db_ML_selected, 'Liste Traduction'!B233,'Liste Traduction'!C233)</f>
        <v>Production du Congo - Nkossa, Nsoko, Moho, KLL</v>
      </c>
    </row>
    <row r="11" spans="1:93" x14ac:dyDescent="0.2">
      <c r="C11" t="s">
        <v>569</v>
      </c>
      <c r="F11" s="7" t="s">
        <v>570</v>
      </c>
      <c r="G11" s="78" t="str">
        <f>CHOOSE(db_ML_selected, df_psc_selector&amp;" Gov. Cash Flow Breakdown","Ventilation des flux de trésorerie de l'État pour " &amp; df_psc_selector)</f>
        <v>Ventilation des flux de trésorerie de l'État pour KLL</v>
      </c>
      <c r="K11" t="s">
        <v>1629</v>
      </c>
      <c r="N11" s="7" t="s">
        <v>1630</v>
      </c>
      <c r="O11" s="78" t="str">
        <f>CHOOSE(db_ML_selected, 'Liste Traduction'!B234,'Liste Traduction'!C234)</f>
        <v>Part des revenus du Congo</v>
      </c>
    </row>
    <row r="12" spans="1:93" x14ac:dyDescent="0.2">
      <c r="C12" t="s">
        <v>575</v>
      </c>
      <c r="F12" s="7" t="s">
        <v>576</v>
      </c>
      <c r="G12" s="78" t="str">
        <f>CHOOSE(db_ML_selected,"Change in Total Gov. Revenues at Different Prices 
Base Decline Rate: "&amp;I72*100 &amp;"%", "Variation des revenus totaux de l'État à différents
 taux de déclin : "&amp;I72*100 &amp;"%" )</f>
        <v>Variation des revenus totaux de l'État à différents
 taux de déclin : 7%</v>
      </c>
      <c r="K12" t="s">
        <v>1632</v>
      </c>
      <c r="N12" s="7" t="s">
        <v>1636</v>
      </c>
      <c r="O12" s="78" t="str">
        <f>CHOOSE(db_ML_selected, 'Liste Traduction'!B235,'Liste Traduction'!C235)</f>
        <v>% récupération des coûts dans les revenus</v>
      </c>
    </row>
    <row r="13" spans="1:93" x14ac:dyDescent="0.2">
      <c r="C13" t="s">
        <v>1010</v>
      </c>
      <c r="F13" s="7" t="s">
        <v>1012</v>
      </c>
      <c r="G13" s="78" t="str">
        <f>CHOOSE(db_ML_selected,"Change in Total Gov. Revenues at Different Decline Rates 
Base Price: $"&amp; I86&amp;"/bbl","Variation des revenus totaux de l'État à différents taux de déclin 
Prix de base : "&amp; I86&amp;"/bbl")</f>
        <v>Variation des revenus totaux de l'État à différents taux de déclin 
Prix de base : 70/bbl</v>
      </c>
      <c r="K13" t="s">
        <v>1637</v>
      </c>
      <c r="N13" s="7" t="s">
        <v>1641</v>
      </c>
      <c r="O13" s="78" t="str">
        <f>CHOOSE(db_ML_selected, 'Liste Traduction'!B236,'Liste Traduction'!C236)</f>
        <v xml:space="preserve">Sources de Revenus du Congo - Moho </v>
      </c>
    </row>
    <row r="14" spans="1:93" x14ac:dyDescent="0.2">
      <c r="C14" t="s">
        <v>1016</v>
      </c>
      <c r="F14" s="7" t="s">
        <v>1017</v>
      </c>
      <c r="G14" s="78" t="str">
        <f>CHOOSE(db_ML_selected,'Liste Traduction'!B216,'Liste Traduction'!C216)</f>
        <v xml:space="preserve">Revenus totaux du Gouv. par permis à différents prix </v>
      </c>
      <c r="K14" t="s">
        <v>1642</v>
      </c>
      <c r="N14" s="7" t="s">
        <v>1646</v>
      </c>
      <c r="O14" s="78" t="str">
        <f>CHOOSE(db_ML_selected, 'Liste Traduction'!B237,'Liste Traduction'!C237)</f>
        <v xml:space="preserve">Sources de Revenus du Congo - Nkossa </v>
      </c>
    </row>
    <row r="15" spans="1:93" x14ac:dyDescent="0.2">
      <c r="C15" t="s">
        <v>1019</v>
      </c>
      <c r="F15" s="7" t="s">
        <v>1020</v>
      </c>
      <c r="G15" s="78" t="str">
        <f>CHOOSE(db_ML_selected,"Gov. Share of SPO at Different Prices 
Base Decline Rate: "&amp;I100*100 &amp;"%","Part de l'État dans le SPO à différents prix 
taux de déclin de base : "&amp;I100*100 &amp;"%")</f>
        <v>Part de l'État dans le SPO à différents prix 
taux de déclin de base : 7%</v>
      </c>
      <c r="K15" t="s">
        <v>1652</v>
      </c>
      <c r="N15" s="7" t="s">
        <v>1653</v>
      </c>
      <c r="O15" s="78" t="str">
        <f>CHOOSE(db_ML_selected, 'Liste Traduction'!B238,'Liste Traduction'!C238)</f>
        <v>Marge d'nette Contracteur v. flux de trésorerie  Résultats reportés consolidés</v>
      </c>
    </row>
    <row r="16" spans="1:93" x14ac:dyDescent="0.2">
      <c r="C16" t="s">
        <v>1023</v>
      </c>
      <c r="F16" s="7" t="s">
        <v>1024</v>
      </c>
      <c r="G16" s="78" t="str">
        <f>CHOOSE(db_ML_selected,"Gov. Share of ECO at Different Prices 
Base Decline Rate: "&amp;I113*100 &amp;"%","Part de l'État dans l'ECO à différents prix 
Taux de déclin de base : "&amp;I113*100 &amp;"%")</f>
        <v>Part de l'État dans l'ECO à différents prix 
Taux de déclin de base : 7%</v>
      </c>
    </row>
    <row r="17" spans="1:93" x14ac:dyDescent="0.2">
      <c r="C17" t="s">
        <v>1025</v>
      </c>
      <c r="F17" s="7" t="s">
        <v>1026</v>
      </c>
      <c r="G17" s="78" t="str">
        <f>CHOOSE(db_ML_selected,'Liste Traduction'!B219,'Liste Traduction'!C219)</f>
        <v>Revenus déclarés du Gouvernemnt par permis</v>
      </c>
    </row>
    <row r="18" spans="1:93" x14ac:dyDescent="0.2">
      <c r="C18" t="s">
        <v>1027</v>
      </c>
      <c r="F18" s="7" t="s">
        <v>1030</v>
      </c>
      <c r="G18" s="78" t="str">
        <f xml:space="preserve"> CHOOSE(db_ML_selected,db_psc_selector &amp;" Split of a Barrel of Oil
 Reported Volumes","Volumes déclarés partage d'un baril de pétrole pour " &amp;db_psc_selector)</f>
        <v>Volumes déclarés partage d'un baril de pétrole pour Moho</v>
      </c>
    </row>
    <row r="19" spans="1:93" x14ac:dyDescent="0.2">
      <c r="C19" t="s">
        <v>1031</v>
      </c>
      <c r="F19" s="7" t="s">
        <v>1032</v>
      </c>
      <c r="G19" s="78" t="str">
        <f xml:space="preserve"> CHOOSE(db_ML_selected,"Split of a Barrel of Oil
 Reported Volumes for All Licenses",'Liste Traduction'!C221)</f>
        <v>Volumes déclarés partage d'un baril de pétrole pour Moho pour tous les permis</v>
      </c>
    </row>
    <row r="20" spans="1:93" x14ac:dyDescent="0.2">
      <c r="C20" t="s">
        <v>1034</v>
      </c>
      <c r="F20" s="7" t="s">
        <v>1035</v>
      </c>
      <c r="G20" s="78" t="str">
        <f>CHOOSE(db_ML_selected,"Gov. Share Volumes Consolidated 
 Actual vs. Modeled Results",'Liste Traduction'!C222)</f>
        <v>Part du Gouv. Volumes consolidés réels v. résultats modélisés</v>
      </c>
    </row>
    <row r="21" spans="1:93" x14ac:dyDescent="0.2">
      <c r="C21" t="s">
        <v>1036</v>
      </c>
      <c r="F21" s="7" t="s">
        <v>1042</v>
      </c>
      <c r="G21" s="78" t="str">
        <f>CHOOSE(db_ML_selected,"Con. FCF vs. Cash flows 
 Reported Results Consolidated",'Liste Traduction'!C223)</f>
        <v>Marge d'exploitation Contracteur v. flux de trésorerie  Résultats reportés consolidés</v>
      </c>
    </row>
    <row r="22" spans="1:93" x14ac:dyDescent="0.2">
      <c r="C22" t="s">
        <v>1043</v>
      </c>
      <c r="F22" s="7" t="s">
        <v>1046</v>
      </c>
      <c r="G22" s="78" t="str">
        <f>CHOOSE(db_ML_selected,"Gov. Share of SPO Revenue 
 Reported Results",'Liste Traduction'!C224)</f>
        <v>Part du Gouv. dans les revenus du SPO Résultats déclarés</v>
      </c>
    </row>
    <row r="23" spans="1:93" x14ac:dyDescent="0.2">
      <c r="C23" t="s">
        <v>1047</v>
      </c>
      <c r="F23" s="7" t="s">
        <v>1049</v>
      </c>
      <c r="G23" s="78" t="str">
        <f>CHOOSE(db_ML_selected,"High Prices vs. Fixed Price 
 Reported Results",'Liste Traduction'!C225)</f>
        <v xml:space="preserve">Prix Haut vs. Prix Fixé Résultats déclarés </v>
      </c>
    </row>
    <row r="24" spans="1:93" x14ac:dyDescent="0.2">
      <c r="C24" t="s">
        <v>1050</v>
      </c>
      <c r="F24" s="7" t="s">
        <v>1052</v>
      </c>
      <c r="G24" s="78" t="str">
        <f>CHOOSE(db_ML_selected,"Total Gov. Revenue Consolidated",'Liste Traduction'!C226)</f>
        <v>Total des revenus du Gouv. consolidés</v>
      </c>
    </row>
    <row r="25" spans="1:93" x14ac:dyDescent="0.2">
      <c r="C25" t="s">
        <v>1400</v>
      </c>
      <c r="F25" s="7" t="s">
        <v>1401</v>
      </c>
      <c r="G25" s="78" t="str">
        <f>CHOOSE(db_ML_selected,'Liste Traduction'!B160,'Liste Traduction'!C160)</f>
        <v xml:space="preserve">Revenus totaux de l'État Moho à différents prix </v>
      </c>
    </row>
    <row r="26" spans="1:93" x14ac:dyDescent="0.2">
      <c r="C26" t="s">
        <v>1604</v>
      </c>
      <c r="F26" s="7" t="s">
        <v>1605</v>
      </c>
      <c r="G26" s="78" t="str">
        <f>CHOOSE(db_ML_selected,"Con. FCF vs. Cash flows 
 Reported Results",'Liste Traduction'!C228)&amp;" "&amp;db_psc_selector</f>
        <v>Marge d'exploitation Contracteur v. flux de trésorerie 
Résultats déclarés Moho</v>
      </c>
    </row>
    <row r="27" spans="1:93" x14ac:dyDescent="0.2">
      <c r="C27" t="s">
        <v>1606</v>
      </c>
      <c r="F27" s="7" t="s">
        <v>1608</v>
      </c>
      <c r="G27" s="78" t="str">
        <f>CHOOSE(db_ML_selected,"Con. Entitlement Volumes 
 Reported Results",'Liste Traduction'!C230)&amp;" "&amp;db_psc_selector</f>
        <v>Volumes de droits Contracteur
Résultats déclarés Moho</v>
      </c>
    </row>
    <row r="28" spans="1:93" x14ac:dyDescent="0.2">
      <c r="C28" t="s">
        <v>1611</v>
      </c>
      <c r="F28" s="7" t="s">
        <v>1612</v>
      </c>
      <c r="G28" s="78" t="str">
        <f>CHOOSE(db_ML_selected,"Con. Entitlement Volumes 
 Reported Results Consolidated",'Liste Traduction'!C231)</f>
        <v>Volumes de droits Contracteur</v>
      </c>
    </row>
    <row r="29" spans="1:93" ht="16" thickBot="1" x14ac:dyDescent="0.25"/>
    <row r="30" spans="1:93" ht="22" thickBot="1" x14ac:dyDescent="0.25">
      <c r="A30" s="8"/>
      <c r="B30" s="221" t="s">
        <v>568</v>
      </c>
      <c r="C30" s="222"/>
      <c r="D30" s="222"/>
      <c r="E30" s="223"/>
      <c r="F30" s="9"/>
      <c r="G30" s="9"/>
      <c r="H30" s="9"/>
      <c r="I30" s="9"/>
      <c r="J30" s="9"/>
      <c r="K30" s="10"/>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row>
    <row r="32" spans="1:93" customFormat="1" x14ac:dyDescent="0.2"/>
    <row r="33" spans="3:27" customFormat="1" x14ac:dyDescent="0.2">
      <c r="C33" s="11" t="s">
        <v>563</v>
      </c>
      <c r="E33" s="29" t="str">
        <f>db_psc_selector</f>
        <v>Moho</v>
      </c>
    </row>
    <row r="34" spans="3:27" customFormat="1" x14ac:dyDescent="0.2">
      <c r="C34" s="11"/>
    </row>
    <row r="35" spans="3:27" customFormat="1" x14ac:dyDescent="0.2">
      <c r="C35" s="75" t="str">
        <f>'Tableau de bord Backcasting'!D64</f>
        <v>Flux de trésorerie du Gouv.</v>
      </c>
      <c r="L35" s="220">
        <v>2013</v>
      </c>
      <c r="M35" s="220"/>
      <c r="N35" s="220">
        <f>L35+1</f>
        <v>2014</v>
      </c>
      <c r="O35" s="220"/>
      <c r="P35" s="220">
        <f t="shared" ref="P35" si="1">N35+1</f>
        <v>2015</v>
      </c>
      <c r="Q35" s="220"/>
      <c r="R35" s="220">
        <f t="shared" ref="R35" si="2">P35+1</f>
        <v>2016</v>
      </c>
      <c r="S35" s="220"/>
      <c r="T35" s="220">
        <f t="shared" ref="T35" si="3">R35+1</f>
        <v>2017</v>
      </c>
      <c r="U35" s="220"/>
      <c r="V35" s="220">
        <f t="shared" ref="V35" si="4">T35+1</f>
        <v>2018</v>
      </c>
      <c r="W35" s="220"/>
      <c r="X35" s="220">
        <f t="shared" ref="X35" si="5">V35+1</f>
        <v>2019</v>
      </c>
      <c r="Y35" s="220"/>
      <c r="Z35" s="220">
        <f t="shared" ref="Z35" si="6">X35+1</f>
        <v>2020</v>
      </c>
      <c r="AA35" s="220"/>
    </row>
    <row r="36" spans="3:27" customFormat="1" x14ac:dyDescent="0.2">
      <c r="C36" s="75"/>
      <c r="L36" s="148" t="s">
        <v>813</v>
      </c>
      <c r="M36" s="148" t="s">
        <v>814</v>
      </c>
      <c r="N36" s="148" t="s">
        <v>813</v>
      </c>
      <c r="O36" s="148" t="s">
        <v>814</v>
      </c>
      <c r="P36" s="148" t="s">
        <v>813</v>
      </c>
      <c r="Q36" s="148" t="s">
        <v>814</v>
      </c>
      <c r="R36" s="148" t="s">
        <v>813</v>
      </c>
      <c r="S36" s="148" t="s">
        <v>814</v>
      </c>
      <c r="T36" s="148" t="s">
        <v>813</v>
      </c>
      <c r="U36" s="148" t="s">
        <v>814</v>
      </c>
      <c r="V36" s="148" t="s">
        <v>813</v>
      </c>
      <c r="W36" s="148" t="s">
        <v>814</v>
      </c>
      <c r="X36" s="148" t="s">
        <v>813</v>
      </c>
      <c r="Y36" s="148" t="s">
        <v>814</v>
      </c>
      <c r="Z36" s="194" t="s">
        <v>813</v>
      </c>
      <c r="AA36" s="194" t="s">
        <v>814</v>
      </c>
    </row>
    <row r="37" spans="3:27" customFormat="1" x14ac:dyDescent="0.2">
      <c r="D37" s="142" t="str">
        <f>'Tableau de bord Backcasting'!D65</f>
        <v>Redevances</v>
      </c>
      <c r="J37" s="26" t="s">
        <v>148</v>
      </c>
      <c r="L37" s="149">
        <f ca="1">'Tableau de bord Backcasting'!H65</f>
        <v>307.94691053758311</v>
      </c>
      <c r="M37" s="57">
        <f ca="1">'Tableau de bord Backcasting'!Q65</f>
        <v>286.82753200305001</v>
      </c>
      <c r="N37" s="149">
        <f ca="1">'Tableau de bord Backcasting'!I65</f>
        <v>290.89560630942105</v>
      </c>
      <c r="O37" s="57">
        <f ca="1">'Tableau de bord Backcasting'!R65</f>
        <v>272.66642499059992</v>
      </c>
      <c r="P37" s="149">
        <f ca="1">'Tableau de bord Backcasting'!J65</f>
        <v>109.75167984388519</v>
      </c>
      <c r="Q37" s="57">
        <f ca="1">'Tableau de bord Backcasting'!S65</f>
        <v>110.25705771749999</v>
      </c>
      <c r="R37" s="149">
        <f ca="1">'Tableau de bord Backcasting'!K65</f>
        <v>103.07291503119568</v>
      </c>
      <c r="S37" s="57">
        <f ca="1">'Tableau de bord Backcasting'!T65</f>
        <v>94.750883169299996</v>
      </c>
      <c r="T37" s="149">
        <f ca="1">'Tableau de bord Backcasting'!L65</f>
        <v>287.35943646489602</v>
      </c>
      <c r="U37" s="57">
        <f ca="1">'Tableau de bord Backcasting'!U65</f>
        <v>265.85457837735004</v>
      </c>
      <c r="V37" s="149">
        <f ca="1">'Tableau de bord Backcasting'!M65</f>
        <v>571.20528755839803</v>
      </c>
      <c r="W37" s="57">
        <f ca="1">'Tableau de bord Backcasting'!V65</f>
        <v>537.88417472100002</v>
      </c>
      <c r="X37" s="149">
        <f ca="1">'Tableau de bord Backcasting'!N65</f>
        <v>545.23186173253214</v>
      </c>
      <c r="Y37" s="57">
        <f ca="1">'Tableau de bord Backcasting'!W65</f>
        <v>528.64961559075005</v>
      </c>
      <c r="Z37" s="149">
        <f ca="1">'Tableau de bord Backcasting'!O65</f>
        <v>315.64509599999997</v>
      </c>
      <c r="AA37" s="57">
        <f ca="1">'Tableau de bord Backcasting'!X65</f>
        <v>315.64630890000001</v>
      </c>
    </row>
    <row r="38" spans="3:27" customFormat="1" x14ac:dyDescent="0.2">
      <c r="D38" s="142" t="str">
        <f>'Tableau de bord Backcasting'!D66</f>
        <v>PID</v>
      </c>
      <c r="J38" s="26" t="s">
        <v>148</v>
      </c>
      <c r="L38" s="149">
        <f ca="1">'Tableau de bord Backcasting'!H66</f>
        <v>20.534758022249697</v>
      </c>
      <c r="M38" s="57">
        <f ca="1">'Tableau de bord Backcasting'!Q66</f>
        <v>19.121835466870003</v>
      </c>
      <c r="N38" s="149">
        <f ca="1">'Tableau de bord Backcasting'!I66</f>
        <v>19.129832350994999</v>
      </c>
      <c r="O38" s="57">
        <f ca="1">'Tableau de bord Backcasting'!R66</f>
        <v>18.177761666039995</v>
      </c>
      <c r="P38" s="149">
        <f ca="1">'Tableau de bord Backcasting'!J66</f>
        <v>7.3099130866430597</v>
      </c>
      <c r="Q38" s="57">
        <f ca="1">'Tableau de bord Backcasting'!S66</f>
        <v>7.3504705144999996</v>
      </c>
      <c r="R38" s="149">
        <f ca="1">'Tableau de bord Backcasting'!K66</f>
        <v>6.8124576475457399</v>
      </c>
      <c r="S38" s="57">
        <f ca="1">'Tableau de bord Backcasting'!T66</f>
        <v>6.3167255446199997</v>
      </c>
      <c r="T38" s="149">
        <f ca="1">'Tableau de bord Backcasting'!L66</f>
        <v>19.100886826789498</v>
      </c>
      <c r="U38" s="57">
        <f ca="1">'Tableau de bord Backcasting'!U66</f>
        <v>17.723638558490006</v>
      </c>
      <c r="V38" s="149">
        <f ca="1">'Tableau de bord Backcasting'!M66</f>
        <v>38.231386150506104</v>
      </c>
      <c r="W38" s="57">
        <f ca="1">'Tableau de bord Backcasting'!V66</f>
        <v>35.858944981400008</v>
      </c>
      <c r="X38" s="149">
        <f ca="1">'Tableau de bord Backcasting'!N66</f>
        <v>36.2742601816662</v>
      </c>
      <c r="Y38" s="57">
        <f ca="1">'Tableau de bord Backcasting'!W66</f>
        <v>35.243307706050004</v>
      </c>
      <c r="Z38" s="149">
        <f ca="1">'Tableau de bord Backcasting'!O66</f>
        <v>21</v>
      </c>
      <c r="AA38" s="57">
        <f ca="1">'Tableau de bord Backcasting'!X66</f>
        <v>21.043087260000004</v>
      </c>
    </row>
    <row r="39" spans="3:27" customFormat="1" x14ac:dyDescent="0.2">
      <c r="D39" s="142" t="str">
        <f>'Tableau de bord Backcasting'!D67</f>
        <v>Excess Cost Oil</v>
      </c>
      <c r="J39" s="26" t="s">
        <v>148</v>
      </c>
      <c r="L39" s="149">
        <f ca="1">'Tableau de bord Backcasting'!H67</f>
        <v>0</v>
      </c>
      <c r="M39" s="57">
        <f ca="1">'Tableau de bord Backcasting'!Q67</f>
        <v>0</v>
      </c>
      <c r="N39" s="149">
        <f ca="1">'Tableau de bord Backcasting'!I67</f>
        <v>0</v>
      </c>
      <c r="O39" s="57">
        <f ca="1">'Tableau de bord Backcasting'!R67</f>
        <v>0</v>
      </c>
      <c r="P39" s="149">
        <f ca="1">'Tableau de bord Backcasting'!J67</f>
        <v>0</v>
      </c>
      <c r="Q39" s="57">
        <f ca="1">'Tableau de bord Backcasting'!S67</f>
        <v>0</v>
      </c>
      <c r="R39" s="149">
        <f ca="1">'Tableau de bord Backcasting'!K67</f>
        <v>0</v>
      </c>
      <c r="S39" s="57">
        <f ca="1">'Tableau de bord Backcasting'!T67</f>
        <v>0</v>
      </c>
      <c r="T39" s="149">
        <f ca="1">'Tableau de bord Backcasting'!L67</f>
        <v>0</v>
      </c>
      <c r="U39" s="57">
        <f ca="1">'Tableau de bord Backcasting'!U67</f>
        <v>0</v>
      </c>
      <c r="V39" s="149">
        <f ca="1">'Tableau de bord Backcasting'!M67</f>
        <v>0</v>
      </c>
      <c r="W39" s="57">
        <f ca="1">'Tableau de bord Backcasting'!V67</f>
        <v>0</v>
      </c>
      <c r="X39" s="149">
        <f ca="1">'Tableau de bord Backcasting'!N67</f>
        <v>0</v>
      </c>
      <c r="Y39" s="57">
        <f ca="1">'Tableau de bord Backcasting'!W67</f>
        <v>0</v>
      </c>
      <c r="Z39" s="149">
        <f ca="1">'Tableau de bord Backcasting'!O67</f>
        <v>0</v>
      </c>
      <c r="AA39" s="57">
        <f ca="1">'Tableau de bord Backcasting'!X67</f>
        <v>0</v>
      </c>
    </row>
    <row r="40" spans="3:27" customFormat="1" x14ac:dyDescent="0.2">
      <c r="D40" s="142" t="str">
        <f>'Tableau de bord Backcasting'!D68</f>
        <v>SPO</v>
      </c>
      <c r="J40" s="26" t="s">
        <v>148</v>
      </c>
      <c r="L40" s="149">
        <f ca="1">'Tableau de bord Backcasting'!H68</f>
        <v>778.34405180643921</v>
      </c>
      <c r="M40" s="57">
        <f ca="1">'Tableau de bord Backcasting'!Q68</f>
        <v>995.81614967590008</v>
      </c>
      <c r="N40" s="149">
        <f ca="1">'Tableau de bord Backcasting'!I68</f>
        <v>692.26235690257909</v>
      </c>
      <c r="O40" s="57">
        <f ca="1">'Tableau de bord Backcasting'!R68</f>
        <v>909.82390352489983</v>
      </c>
      <c r="P40" s="149">
        <f ca="1">'Tableau de bord Backcasting'!J68</f>
        <v>0</v>
      </c>
      <c r="Q40" s="57">
        <f ca="1">'Tableau de bord Backcasting'!S68</f>
        <v>0</v>
      </c>
      <c r="R40" s="149">
        <f ca="1">'Tableau de bord Backcasting'!K68</f>
        <v>0</v>
      </c>
      <c r="S40" s="57">
        <f ca="1">'Tableau de bord Backcasting'!T68</f>
        <v>0</v>
      </c>
      <c r="T40" s="149">
        <f ca="1">'Tableau de bord Backcasting'!L68</f>
        <v>0</v>
      </c>
      <c r="U40" s="57">
        <f ca="1">'Tableau de bord Backcasting'!U68</f>
        <v>0</v>
      </c>
      <c r="V40" s="149">
        <f ca="1">'Tableau de bord Backcasting'!M68</f>
        <v>0</v>
      </c>
      <c r="W40" s="57">
        <f ca="1">'Tableau de bord Backcasting'!V68</f>
        <v>0</v>
      </c>
      <c r="X40" s="149">
        <f ca="1">'Tableau de bord Backcasting'!N68</f>
        <v>0</v>
      </c>
      <c r="Y40" s="57">
        <f ca="1">'Tableau de bord Backcasting'!W68</f>
        <v>0</v>
      </c>
      <c r="Z40" s="149">
        <f ca="1">'Tableau de bord Backcasting'!O68</f>
        <v>0</v>
      </c>
      <c r="AA40" s="57">
        <f ca="1">'Tableau de bord Backcasting'!X68</f>
        <v>0</v>
      </c>
    </row>
    <row r="41" spans="3:27" customFormat="1" x14ac:dyDescent="0.2">
      <c r="D41" s="142" t="str">
        <f>'Tableau de bord Backcasting'!D69</f>
        <v>Partage du profit</v>
      </c>
      <c r="J41" s="26" t="s">
        <v>148</v>
      </c>
      <c r="L41" s="149">
        <f ca="1">'Tableau de bord Backcasting'!H69</f>
        <v>194.83262388775512</v>
      </c>
      <c r="M41" s="57">
        <f ca="1">'Tableau de bord Backcasting'!Q69</f>
        <v>0</v>
      </c>
      <c r="N41" s="149">
        <f ca="1">'Tableau de bord Backcasting'!I69</f>
        <v>184.45149782026778</v>
      </c>
      <c r="O41" s="57">
        <f ca="1">'Tableau de bord Backcasting'!R69</f>
        <v>0</v>
      </c>
      <c r="P41" s="149">
        <f ca="1">'Tableau de bord Backcasting'!J69</f>
        <v>66.139737863002495</v>
      </c>
      <c r="Q41" s="57">
        <f ca="1">'Tableau de bord Backcasting'!S69</f>
        <v>33.077117315250021</v>
      </c>
      <c r="R41" s="149">
        <f ca="1">'Tableau de bord Backcasting'!K69</f>
        <v>30.921874509358716</v>
      </c>
      <c r="S41" s="57">
        <f ca="1">'Tableau de bord Backcasting'!T69</f>
        <v>28.425264950790009</v>
      </c>
      <c r="T41" s="149">
        <f ca="1">'Tableau de bord Backcasting'!L69</f>
        <v>86.207830939468835</v>
      </c>
      <c r="U41" s="57">
        <f ca="1">'Tableau de bord Backcasting'!U69</f>
        <v>79.756373513205062</v>
      </c>
      <c r="V41" s="149">
        <f ca="1">'Tableau de bord Backcasting'!M69</f>
        <v>171.3615862675195</v>
      </c>
      <c r="W41" s="57">
        <f ca="1">'Tableau de bord Backcasting'!V69</f>
        <v>161.36525241630011</v>
      </c>
      <c r="X41" s="149">
        <f ca="1">'Tableau de bord Backcasting'!N69</f>
        <v>163.56955851975971</v>
      </c>
      <c r="Y41" s="57">
        <f ca="1">'Tableau de bord Backcasting'!W69</f>
        <v>185.02736545676242</v>
      </c>
      <c r="Z41" s="149">
        <f ca="1">'Tableau de bord Backcasting'!O69</f>
        <v>94.695146000000008</v>
      </c>
      <c r="AA41" s="57">
        <f ca="1">'Tableau de bord Backcasting'!X69</f>
        <v>110.47620811500011</v>
      </c>
    </row>
    <row r="42" spans="3:27" customFormat="1" x14ac:dyDescent="0.2">
      <c r="D42" s="142" t="str">
        <f>CHOOSE(db_ML_selected,"% Difference", "% Différence")</f>
        <v>% Différence</v>
      </c>
      <c r="M42" s="200">
        <f ca="1">SUM(M37:M41)/SUM(L37:L41)-1</f>
        <v>8.2335654564058558E-5</v>
      </c>
      <c r="N42" s="200"/>
      <c r="O42" s="200">
        <f ca="1">SUM(O37:O41)/SUM(N37:N41)-1</f>
        <v>1.1737031777693474E-2</v>
      </c>
      <c r="P42" s="200"/>
      <c r="Q42" s="200">
        <f ca="1">SUM(Q37:Q41)/SUM(P37:P41)-1</f>
        <v>-0.17749153407038998</v>
      </c>
      <c r="R42" s="200"/>
      <c r="S42" s="200">
        <f ca="1">SUM(S37:S41)/SUM(R37:R41)-1</f>
        <v>-8.0353630578940183E-2</v>
      </c>
      <c r="T42" s="200"/>
      <c r="U42" s="200">
        <f ca="1">SUM(U37:U41)/SUM(T37:T41)-1</f>
        <v>-7.4703190126391927E-2</v>
      </c>
      <c r="V42" s="200"/>
      <c r="W42" s="200">
        <f ca="1">SUM(W37:W41)/SUM(V37:V41)-1</f>
        <v>-5.8516892518565733E-2</v>
      </c>
      <c r="X42" s="200"/>
      <c r="Y42" s="200">
        <f ca="1">SUM(Y37:Y41)/SUM(X37:X41)-1</f>
        <v>5.1600239016864613E-3</v>
      </c>
      <c r="Z42" s="200"/>
      <c r="AA42" s="200">
        <f ca="1">SUM(AA37:AA41)/SUM(Z37:Z41)-1</f>
        <v>3.6688814847468221E-2</v>
      </c>
    </row>
    <row r="43" spans="3:27" customFormat="1" x14ac:dyDescent="0.2"/>
    <row r="44" spans="3:27" customFormat="1" x14ac:dyDescent="0.2"/>
    <row r="45" spans="3:27" customFormat="1" x14ac:dyDescent="0.2"/>
    <row r="46" spans="3:27" customFormat="1" x14ac:dyDescent="0.2"/>
    <row r="47" spans="3:27" customFormat="1" x14ac:dyDescent="0.2">
      <c r="C47" s="11" t="s">
        <v>566</v>
      </c>
    </row>
    <row r="48" spans="3:27" customFormat="1" x14ac:dyDescent="0.2"/>
    <row r="49" spans="3:17" customFormat="1" x14ac:dyDescent="0.2">
      <c r="C49" s="75" t="str">
        <f>'Tableau de bord Prévisions'!J39</f>
        <v>Flux de trésorerie du Gouv.</v>
      </c>
    </row>
    <row r="50" spans="3:17" customFormat="1" x14ac:dyDescent="0.2">
      <c r="L50">
        <f>'Tableau de bord Prévisions'!P5</f>
        <v>2020</v>
      </c>
      <c r="M50">
        <f>'Tableau de bord Prévisions'!Q5</f>
        <v>2021</v>
      </c>
      <c r="N50">
        <f>'Tableau de bord Prévisions'!R5</f>
        <v>2022</v>
      </c>
      <c r="O50">
        <f>'Tableau de bord Prévisions'!S5</f>
        <v>2023</v>
      </c>
      <c r="P50">
        <f>'Tableau de bord Prévisions'!T5</f>
        <v>2024</v>
      </c>
      <c r="Q50">
        <f>'Tableau de bord Prévisions'!U5</f>
        <v>2025</v>
      </c>
    </row>
    <row r="51" spans="3:17" customFormat="1" x14ac:dyDescent="0.2">
      <c r="D51" t="str" cm="1">
        <f t="array" ref="D51:D55">list_FieldName</f>
        <v>Nkossa</v>
      </c>
      <c r="J51" s="26" t="s">
        <v>148</v>
      </c>
      <c r="L51" s="57" cm="1">
        <f t="array" aca="1" ref="L51:Q51" ca="1">OFFSET(OA_gov_CF_Nkossa2017,,7,,df_forecast_years+1)</f>
        <v>63.727825744333316</v>
      </c>
      <c r="M51" s="57">
        <f ca="1"/>
        <v>86.724148384972764</v>
      </c>
      <c r="N51" s="57">
        <f ca="1"/>
        <v>86.572390512383976</v>
      </c>
      <c r="O51" s="57">
        <f ca="1"/>
        <v>82.122569640047431</v>
      </c>
      <c r="P51" s="57">
        <f ca="1"/>
        <v>77.901469560548989</v>
      </c>
      <c r="Q51" s="57">
        <f ca="1"/>
        <v>73.897334025136772</v>
      </c>
    </row>
    <row r="52" spans="3:17" customFormat="1" x14ac:dyDescent="0.2">
      <c r="D52" t="str">
        <v>Nsoko</v>
      </c>
      <c r="J52" s="26" t="s">
        <v>148</v>
      </c>
      <c r="L52" s="57" cm="1">
        <f t="array" aca="1" ref="L52:Q52" ca="1">OFFSET(OA_gov_CF_Nsoko1999,,7,,df_forecast_years+1)</f>
        <v>8.8177985050788994</v>
      </c>
      <c r="M52" s="57">
        <f ca="1"/>
        <v>16.524832174796753</v>
      </c>
      <c r="N52" s="57">
        <f ca="1"/>
        <v>17.872821853309972</v>
      </c>
      <c r="O52" s="57">
        <f ca="1"/>
        <v>17.303135926567432</v>
      </c>
      <c r="P52" s="57">
        <f ca="1"/>
        <v>16.738303458303225</v>
      </c>
      <c r="Q52" s="57">
        <f ca="1"/>
        <v>16.179784968622506</v>
      </c>
    </row>
    <row r="53" spans="3:17" customFormat="1" x14ac:dyDescent="0.2">
      <c r="D53" t="str">
        <v>Moho</v>
      </c>
      <c r="J53" s="26" t="s">
        <v>148</v>
      </c>
      <c r="L53" s="57" cm="1">
        <f t="array" aca="1" ref="L53:Q53" ca="1">OFFSET(OA_gov_CF_AM_4_AM_6,,7,,df_forecast_years+1)</f>
        <v>447.16560427500008</v>
      </c>
      <c r="M53" s="57">
        <f ca="1"/>
        <v>684.20996028215995</v>
      </c>
      <c r="N53" s="57">
        <f ca="1"/>
        <v>683.01266691105002</v>
      </c>
      <c r="O53" s="57">
        <f ca="1"/>
        <v>716.50760809636802</v>
      </c>
      <c r="P53" s="57">
        <f ca="1"/>
        <v>992.61002676520206</v>
      </c>
      <c r="Q53" s="57">
        <f ca="1"/>
        <v>941.58987138947043</v>
      </c>
    </row>
    <row r="54" spans="3:17" customFormat="1" x14ac:dyDescent="0.2">
      <c r="D54" t="str">
        <v>KLL</v>
      </c>
      <c r="J54" s="26" t="s">
        <v>148</v>
      </c>
      <c r="L54" s="57" cm="1">
        <f t="array" aca="1" ref="L54:Q54" ca="1">OFFSET(OA_gov_CF_KLL2020,,7,,df_forecast_years+1)</f>
        <v>75.344195745000007</v>
      </c>
      <c r="M54" s="57">
        <f ca="1"/>
        <v>146.27424564910075</v>
      </c>
      <c r="N54" s="57">
        <f ca="1"/>
        <v>151.07491976129279</v>
      </c>
      <c r="O54" s="57">
        <f ca="1"/>
        <v>143.30966888556233</v>
      </c>
      <c r="P54" s="57">
        <f ca="1"/>
        <v>135.94355190484441</v>
      </c>
      <c r="Q54" s="57">
        <f ca="1"/>
        <v>128.95605333693544</v>
      </c>
    </row>
    <row r="55" spans="3:17" customFormat="1" x14ac:dyDescent="0.2">
      <c r="D55">
        <v>0</v>
      </c>
      <c r="J55" s="26" t="s">
        <v>148</v>
      </c>
      <c r="L55" s="57" cm="1">
        <f t="array" aca="1" ref="L55:Q55" ca="1">OFFSET(OA_gov_CF_Marine,,7,,df_forecast_years+1)</f>
        <v>124.69002701533161</v>
      </c>
      <c r="M55" s="57">
        <f ca="1"/>
        <v>168.30044450966864</v>
      </c>
      <c r="N55" s="57">
        <f ca="1"/>
        <v>168.05751829874873</v>
      </c>
      <c r="O55" s="57">
        <f ca="1"/>
        <v>161.46388515024032</v>
      </c>
      <c r="P55" s="57">
        <f ca="1"/>
        <v>162.3254873638798</v>
      </c>
      <c r="Q55" s="57">
        <f ca="1"/>
        <v>155.98397156074134</v>
      </c>
    </row>
    <row r="56" spans="3:17" customFormat="1" x14ac:dyDescent="0.2">
      <c r="L56" s="139">
        <f ca="1">SUM(L51:L54)</f>
        <v>595.05542426941224</v>
      </c>
      <c r="M56" s="139">
        <f ca="1">SUM(M51:M54)</f>
        <v>933.73318649103021</v>
      </c>
      <c r="N56" s="139">
        <f t="shared" ref="N56:Q56" ca="1" si="7">SUM(N51:N54)</f>
        <v>938.53279903803673</v>
      </c>
      <c r="O56" s="139">
        <f t="shared" ca="1" si="7"/>
        <v>959.24298254854523</v>
      </c>
      <c r="P56" s="139">
        <f t="shared" ca="1" si="7"/>
        <v>1223.1933516888985</v>
      </c>
      <c r="Q56" s="139">
        <f t="shared" ca="1" si="7"/>
        <v>1160.623043720165</v>
      </c>
    </row>
    <row r="57" spans="3:17" customFormat="1" x14ac:dyDescent="0.2"/>
    <row r="58" spans="3:17" customFormat="1" x14ac:dyDescent="0.2"/>
    <row r="59" spans="3:17" customFormat="1" x14ac:dyDescent="0.2">
      <c r="C59" s="11" t="s">
        <v>569</v>
      </c>
    </row>
    <row r="60" spans="3:17" customFormat="1" x14ac:dyDescent="0.2">
      <c r="E60" s="29" t="str">
        <f>df_psc_selector</f>
        <v>KLL</v>
      </c>
    </row>
    <row r="61" spans="3:17" customFormat="1" x14ac:dyDescent="0.2">
      <c r="C61" s="75" t="str">
        <f>'Tableau de bord Prévisions'!J39</f>
        <v>Flux de trésorerie du Gouv.</v>
      </c>
      <c r="L61">
        <f>L50</f>
        <v>2020</v>
      </c>
      <c r="M61">
        <f t="shared" ref="M61:Q61" si="8">M50</f>
        <v>2021</v>
      </c>
      <c r="N61">
        <f t="shared" si="8"/>
        <v>2022</v>
      </c>
      <c r="O61">
        <f t="shared" si="8"/>
        <v>2023</v>
      </c>
      <c r="P61">
        <f t="shared" si="8"/>
        <v>2024</v>
      </c>
      <c r="Q61">
        <f t="shared" si="8"/>
        <v>2025</v>
      </c>
    </row>
    <row r="62" spans="3:17" customFormat="1" x14ac:dyDescent="0.2">
      <c r="D62" t="str">
        <f>'Tableau de bord Prévisions'!J41</f>
        <v>Redevances</v>
      </c>
      <c r="J62" s="26" t="s">
        <v>148</v>
      </c>
      <c r="L62" s="57">
        <f ca="1">'Tableau de bord Prévisions'!P41</f>
        <v>33.736207049999997</v>
      </c>
      <c r="M62" s="57">
        <f ca="1">'Tableau de bord Prévisions'!Q41</f>
        <v>51.619911426719995</v>
      </c>
      <c r="N62" s="57">
        <f ca="1">'Tableau de bord Prévisions'!R41</f>
        <v>51.529582169099996</v>
      </c>
      <c r="O62" s="57">
        <f ca="1">'Tableau de bord Prévisions'!S41</f>
        <v>48.880961645608252</v>
      </c>
      <c r="P62" s="57">
        <f ca="1">'Tableau de bord Prévisions'!T41</f>
        <v>46.368480217023979</v>
      </c>
      <c r="Q62" s="57">
        <f ca="1">'Tableau de bord Prévisions'!U41</f>
        <v>43.985140333868948</v>
      </c>
    </row>
    <row r="63" spans="3:17" customFormat="1" x14ac:dyDescent="0.2">
      <c r="D63" t="str">
        <f>'Tableau de bord Prévisions'!J42</f>
        <v>PID</v>
      </c>
      <c r="J63" s="26" t="s">
        <v>148</v>
      </c>
      <c r="L63" s="57">
        <f ca="1">'Tableau de bord Prévisions'!P42</f>
        <v>2.24908047</v>
      </c>
      <c r="M63" s="57">
        <f ca="1">'Tableau de bord Prévisions'!Q42</f>
        <v>3.4413274284479995</v>
      </c>
      <c r="N63" s="57">
        <f ca="1">'Tableau de bord Prévisions'!R42</f>
        <v>3.4353054779399996</v>
      </c>
      <c r="O63" s="57">
        <f ca="1">'Tableau de bord Prévisions'!S42</f>
        <v>3.2587307763738838</v>
      </c>
      <c r="P63" s="57">
        <f ca="1">'Tableau de bord Prévisions'!T42</f>
        <v>3.0912320144682655</v>
      </c>
      <c r="Q63" s="57">
        <f ca="1">'Tableau de bord Prévisions'!U42</f>
        <v>2.9323426889245967</v>
      </c>
    </row>
    <row r="64" spans="3:17" customFormat="1" x14ac:dyDescent="0.2">
      <c r="D64" t="str">
        <f>'Tableau de bord Prévisions'!J43</f>
        <v>Excess Cost Oil</v>
      </c>
      <c r="J64" s="26" t="s">
        <v>148</v>
      </c>
      <c r="L64" s="57">
        <f ca="1">'Tableau de bord Prévisions'!P43</f>
        <v>0</v>
      </c>
      <c r="M64" s="57">
        <f ca="1">'Tableau de bord Prévisions'!Q43</f>
        <v>0</v>
      </c>
      <c r="N64" s="57">
        <f ca="1">'Tableau de bord Prévisions'!R43</f>
        <v>0</v>
      </c>
      <c r="O64" s="57">
        <f ca="1">'Tableau de bord Prévisions'!S43</f>
        <v>0</v>
      </c>
      <c r="P64" s="57">
        <f ca="1">'Tableau de bord Prévisions'!T43</f>
        <v>0</v>
      </c>
      <c r="Q64" s="57">
        <f ca="1">'Tableau de bord Prévisions'!U43</f>
        <v>0</v>
      </c>
    </row>
    <row r="65" spans="3:17" customFormat="1" x14ac:dyDescent="0.2">
      <c r="D65" t="str">
        <f>'Tableau de bord Prévisions'!J44</f>
        <v>SPO</v>
      </c>
      <c r="J65" s="26" t="s">
        <v>148</v>
      </c>
      <c r="L65" s="57">
        <f ca="1">'Tableau de bord Prévisions'!P44</f>
        <v>0</v>
      </c>
      <c r="M65" s="57">
        <f ca="1">'Tableau de bord Prévisions'!Q44</f>
        <v>45.039546068932786</v>
      </c>
      <c r="N65" s="57">
        <f ca="1">'Tableau de bord Prévisions'!R44</f>
        <v>52.30988727051782</v>
      </c>
      <c r="O65" s="57">
        <f ca="1">'Tableau de bord Prévisions'!S44</f>
        <v>49.621159064813206</v>
      </c>
      <c r="P65" s="57">
        <f ca="1">'Tableau de bord Prévisions'!T44</f>
        <v>47.07063148888178</v>
      </c>
      <c r="Q65" s="57">
        <f ca="1">'Tableau de bord Prévisions'!U44</f>
        <v>44.651201030353278</v>
      </c>
    </row>
    <row r="66" spans="3:17" customFormat="1" x14ac:dyDescent="0.2">
      <c r="D66" t="str">
        <f>'Tableau de bord Prévisions'!J45</f>
        <v>Partage du profit</v>
      </c>
      <c r="J66" s="26" t="s">
        <v>148</v>
      </c>
      <c r="L66" s="57">
        <f ca="1">'Tableau de bord Prévisions'!P45</f>
        <v>39.358908225000008</v>
      </c>
      <c r="M66" s="57">
        <f ca="1">'Tableau de bord Prévisions'!Q45</f>
        <v>46.173460724999984</v>
      </c>
      <c r="N66" s="57">
        <f ca="1">'Tableau de bord Prévisions'!R45</f>
        <v>43.800144843734998</v>
      </c>
      <c r="O66" s="57">
        <f ca="1">'Tableau de bord Prévisions'!S45</f>
        <v>41.548817398767007</v>
      </c>
      <c r="P66" s="57">
        <f ca="1">'Tableau de bord Prévisions'!T45</f>
        <v>39.413208184470378</v>
      </c>
      <c r="Q66" s="57">
        <f ca="1">'Tableau de bord Prévisions'!U45</f>
        <v>37.387369283788615</v>
      </c>
    </row>
    <row r="67" spans="3:17" customFormat="1" x14ac:dyDescent="0.2"/>
    <row r="68" spans="3:17" customFormat="1" x14ac:dyDescent="0.2"/>
    <row r="69" spans="3:17" customFormat="1" x14ac:dyDescent="0.2">
      <c r="C69" s="11" t="s">
        <v>575</v>
      </c>
    </row>
    <row r="70" spans="3:17" customFormat="1" x14ac:dyDescent="0.2">
      <c r="C70" t="s">
        <v>1008</v>
      </c>
    </row>
    <row r="71" spans="3:17" customFormat="1" x14ac:dyDescent="0.2"/>
    <row r="72" spans="3:17" customFormat="1" x14ac:dyDescent="0.2">
      <c r="D72" t="str">
        <f>'Tableau de bord Prévisions'!J51</f>
        <v>Flux de trésorerie du Gouv. incl. la SNPC</v>
      </c>
      <c r="G72" s="25">
        <f ca="1">'Tableau de bord Prévisions'!N51</f>
        <v>918.84321692688343</v>
      </c>
      <c r="I72" s="111">
        <v>7.0000000000000007E-2</v>
      </c>
    </row>
    <row r="73" spans="3:17" customFormat="1" x14ac:dyDescent="0.2"/>
    <row r="74" spans="3:17" customFormat="1" x14ac:dyDescent="0.2">
      <c r="F74" s="195">
        <v>50</v>
      </c>
      <c r="G74" s="195">
        <v>70</v>
      </c>
      <c r="H74" s="195">
        <v>90</v>
      </c>
      <c r="I74" s="195">
        <v>100</v>
      </c>
    </row>
    <row r="75" spans="3:17" customFormat="1" x14ac:dyDescent="0.2">
      <c r="D75" t="str">
        <f>D51</f>
        <v>Nkossa</v>
      </c>
      <c r="F75" s="196">
        <v>445.99833000424047</v>
      </c>
      <c r="G75" s="196">
        <v>568.14042337355966</v>
      </c>
      <c r="H75" s="196">
        <v>752.2000439942102</v>
      </c>
      <c r="I75" s="196">
        <v>864.86763278113324</v>
      </c>
    </row>
    <row r="76" spans="3:17" customFormat="1" x14ac:dyDescent="0.2">
      <c r="D76" t="str">
        <f>D52</f>
        <v>Nsoko</v>
      </c>
      <c r="F76" s="196">
        <v>67.699260777905948</v>
      </c>
      <c r="G76" s="196">
        <v>105.04972692293858</v>
      </c>
      <c r="H76" s="196">
        <v>144.74567387095672</v>
      </c>
      <c r="I76" s="196">
        <v>164.59364734496577</v>
      </c>
    </row>
    <row r="77" spans="3:17" customFormat="1" x14ac:dyDescent="0.2">
      <c r="D77" t="str">
        <f>D53</f>
        <v>Moho</v>
      </c>
      <c r="F77" s="196">
        <v>4212.8720746453728</v>
      </c>
      <c r="G77" s="196">
        <v>5560.4921940693912</v>
      </c>
      <c r="H77" s="196">
        <v>7816.4546342138419</v>
      </c>
      <c r="I77" s="196">
        <v>9030.7417485815949</v>
      </c>
    </row>
    <row r="78" spans="3:17" customFormat="1" x14ac:dyDescent="0.2">
      <c r="D78" t="str">
        <f>D54</f>
        <v>KLL</v>
      </c>
      <c r="F78" s="196">
        <v>642.19520896232314</v>
      </c>
      <c r="G78" s="196">
        <v>918.84321692688343</v>
      </c>
      <c r="H78" s="196">
        <v>1201.1015081253574</v>
      </c>
      <c r="I78" s="196">
        <v>1342.2306537245947</v>
      </c>
    </row>
    <row r="79" spans="3:17" customFormat="1" x14ac:dyDescent="0.2">
      <c r="D79" t="s">
        <v>129</v>
      </c>
      <c r="F79" s="196">
        <f>SUM(F75:F78)</f>
        <v>5368.7648743898417</v>
      </c>
      <c r="G79" s="196">
        <f t="shared" ref="G79:I79" si="9">SUM(G75:G78)</f>
        <v>7152.5255612927731</v>
      </c>
      <c r="H79" s="196">
        <f t="shared" si="9"/>
        <v>9914.5018602043656</v>
      </c>
      <c r="I79" s="196">
        <f t="shared" si="9"/>
        <v>11402.433682432289</v>
      </c>
    </row>
    <row r="80" spans="3:17" customFormat="1" x14ac:dyDescent="0.2">
      <c r="D80" t="s">
        <v>1009</v>
      </c>
      <c r="F80" s="197">
        <f>F79/G79-1</f>
        <v>-0.24938892865424844</v>
      </c>
      <c r="G80" s="197"/>
      <c r="H80" s="197">
        <f>H79/F79-1</f>
        <v>0.8467007015894219</v>
      </c>
      <c r="I80" s="197">
        <f>I79/F79-1</f>
        <v>1.1238467225160744</v>
      </c>
    </row>
    <row r="81" spans="3:9" customFormat="1" x14ac:dyDescent="0.2"/>
    <row r="82" spans="3:9" customFormat="1" x14ac:dyDescent="0.2"/>
    <row r="83" spans="3:9" customFormat="1" x14ac:dyDescent="0.2">
      <c r="C83" s="11" t="s">
        <v>1010</v>
      </c>
    </row>
    <row r="84" spans="3:9" customFormat="1" x14ac:dyDescent="0.2">
      <c r="C84" t="s">
        <v>1011</v>
      </c>
    </row>
    <row r="85" spans="3:9" customFormat="1" x14ac:dyDescent="0.2"/>
    <row r="86" spans="3:9" customFormat="1" x14ac:dyDescent="0.2">
      <c r="D86" t="str">
        <f>'Tableau de bord Prévisions'!J51</f>
        <v>Flux de trésorerie du Gouv. incl. la SNPC</v>
      </c>
      <c r="G86" s="25">
        <f ca="1">'Tableau de bord Prévisions'!N51</f>
        <v>918.84321692688343</v>
      </c>
      <c r="I86">
        <v>70</v>
      </c>
    </row>
    <row r="87" spans="3:9" customFormat="1" x14ac:dyDescent="0.2"/>
    <row r="88" spans="3:9" customFormat="1" x14ac:dyDescent="0.2">
      <c r="F88" s="198">
        <v>7.0000000000000007E-2</v>
      </c>
      <c r="G88" s="198">
        <v>0.1</v>
      </c>
      <c r="H88" s="198">
        <v>0.12</v>
      </c>
      <c r="I88" s="198">
        <v>0.15</v>
      </c>
    </row>
    <row r="89" spans="3:9" customFormat="1" x14ac:dyDescent="0.2">
      <c r="D89" t="str">
        <f>D75</f>
        <v>Nkossa</v>
      </c>
      <c r="F89" s="196">
        <v>568.14042337355966</v>
      </c>
      <c r="G89" s="196">
        <v>519.13842031961917</v>
      </c>
      <c r="H89" s="196">
        <v>488.6980015926581</v>
      </c>
      <c r="I89" s="196">
        <v>446.16836021524648</v>
      </c>
    </row>
    <row r="90" spans="3:9" customFormat="1" x14ac:dyDescent="0.2">
      <c r="D90" t="str">
        <f t="shared" ref="D90:D92" si="10">D76</f>
        <v>Nsoko</v>
      </c>
      <c r="F90" s="196">
        <v>105.04972692293858</v>
      </c>
      <c r="G90" s="196">
        <v>95.714399225368226</v>
      </c>
      <c r="H90" s="196">
        <v>89.920136836876452</v>
      </c>
      <c r="I90" s="196">
        <v>81.831921789238805</v>
      </c>
    </row>
    <row r="91" spans="3:9" customFormat="1" x14ac:dyDescent="0.2">
      <c r="D91" t="str">
        <f t="shared" si="10"/>
        <v>Moho</v>
      </c>
      <c r="F91" s="196">
        <v>5560.4921940693912</v>
      </c>
      <c r="G91" s="196">
        <v>4965.6486973014398</v>
      </c>
      <c r="H91" s="196">
        <v>4434.9784275160837</v>
      </c>
      <c r="I91" s="196">
        <v>3986.6127802341525</v>
      </c>
    </row>
    <row r="92" spans="3:9" customFormat="1" x14ac:dyDescent="0.2">
      <c r="D92" t="str">
        <f t="shared" si="10"/>
        <v>KLL</v>
      </c>
      <c r="F92" s="196">
        <v>918.84321692688343</v>
      </c>
      <c r="G92" s="196">
        <v>838.53225563999945</v>
      </c>
      <c r="H92" s="196">
        <v>788.6484153472602</v>
      </c>
      <c r="I92" s="196">
        <v>718.96248242236038</v>
      </c>
    </row>
    <row r="93" spans="3:9" customFormat="1" x14ac:dyDescent="0.2">
      <c r="D93" t="s">
        <v>129</v>
      </c>
      <c r="F93" s="196">
        <f>SUM(F89:F92)</f>
        <v>7152.5255612927731</v>
      </c>
      <c r="G93" s="196">
        <f t="shared" ref="G93" si="11">SUM(G89:G92)</f>
        <v>6419.0337724864266</v>
      </c>
      <c r="H93" s="196">
        <f t="shared" ref="H93" si="12">SUM(H89:H92)</f>
        <v>5802.244981292878</v>
      </c>
      <c r="I93" s="196">
        <f t="shared" ref="I93" si="13">SUM(I89:I92)</f>
        <v>5233.5755446609983</v>
      </c>
    </row>
    <row r="94" spans="3:9" customFormat="1" x14ac:dyDescent="0.2">
      <c r="D94" t="s">
        <v>1009</v>
      </c>
      <c r="F94" s="197"/>
      <c r="G94" s="197">
        <f t="shared" ref="G94" si="14">G93/F93-1</f>
        <v>-0.10255004089405484</v>
      </c>
      <c r="H94" s="197">
        <f>H93/F93-1</f>
        <v>-0.18878374756284555</v>
      </c>
      <c r="I94" s="197">
        <f>I93/F93-1</f>
        <v>-0.26828985093272939</v>
      </c>
    </row>
    <row r="95" spans="3:9" customFormat="1" x14ac:dyDescent="0.2"/>
    <row r="96" spans="3:9" customFormat="1" x14ac:dyDescent="0.2"/>
    <row r="97" spans="3:9" customFormat="1" x14ac:dyDescent="0.2">
      <c r="C97" s="11" t="s">
        <v>1019</v>
      </c>
    </row>
    <row r="98" spans="3:9" customFormat="1" x14ac:dyDescent="0.2">
      <c r="C98" t="s">
        <v>294</v>
      </c>
    </row>
    <row r="100" spans="3:9" x14ac:dyDescent="0.2">
      <c r="D100" t="s">
        <v>1018</v>
      </c>
      <c r="G100" s="25">
        <f ca="1">'Tableau de bord Prévisions'!N44</f>
        <v>238.69242492349889</v>
      </c>
      <c r="I100" s="111">
        <v>7.0000000000000007E-2</v>
      </c>
    </row>
    <row r="102" spans="3:9" x14ac:dyDescent="0.2">
      <c r="F102" s="195">
        <v>50</v>
      </c>
      <c r="G102" s="195">
        <v>70</v>
      </c>
      <c r="H102" s="195">
        <v>90</v>
      </c>
      <c r="I102" s="195">
        <v>100</v>
      </c>
    </row>
    <row r="103" spans="3:9" x14ac:dyDescent="0.2">
      <c r="D103" t="str">
        <f>D89</f>
        <v>Nkossa</v>
      </c>
      <c r="F103" s="196">
        <v>0</v>
      </c>
      <c r="G103" s="196">
        <v>0</v>
      </c>
      <c r="H103" s="196">
        <v>99.429605805057491</v>
      </c>
      <c r="I103" s="196">
        <v>182.28536684518832</v>
      </c>
    </row>
    <row r="104" spans="3:9" x14ac:dyDescent="0.2">
      <c r="D104" t="str">
        <f t="shared" ref="D104:D106" si="15">D90</f>
        <v>Nsoko</v>
      </c>
      <c r="F104" s="196">
        <v>5.311320865044741</v>
      </c>
      <c r="G104" s="196">
        <v>33.492544453421218</v>
      </c>
      <c r="H104" s="196">
        <v>65.033024434820433</v>
      </c>
      <c r="I104" s="196">
        <v>80.803264425520013</v>
      </c>
    </row>
    <row r="105" spans="3:9" x14ac:dyDescent="0.2">
      <c r="D105" t="str">
        <f t="shared" si="15"/>
        <v>Moho</v>
      </c>
      <c r="F105" s="196">
        <v>0</v>
      </c>
      <c r="G105" s="196">
        <v>190.54625429189113</v>
      </c>
      <c r="H105" s="196">
        <v>1366.1000523473215</v>
      </c>
      <c r="I105" s="196">
        <v>1817.7724840236856</v>
      </c>
    </row>
    <row r="106" spans="3:9" x14ac:dyDescent="0.2">
      <c r="D106" t="str">
        <f t="shared" si="15"/>
        <v>KLL</v>
      </c>
      <c r="F106" s="196">
        <v>45.039546068932786</v>
      </c>
      <c r="G106" s="196">
        <v>238.69242492349889</v>
      </c>
      <c r="H106" s="196">
        <v>442.53756055988401</v>
      </c>
      <c r="I106" s="196">
        <v>544.46012837807666</v>
      </c>
    </row>
    <row r="107" spans="3:9" x14ac:dyDescent="0.2">
      <c r="D107" t="s">
        <v>129</v>
      </c>
      <c r="F107" s="196">
        <f>SUM(F103:F106)</f>
        <v>50.350866933977528</v>
      </c>
      <c r="G107" s="196">
        <f t="shared" ref="G107:I107" si="16">SUM(G103:G106)</f>
        <v>462.73122366881125</v>
      </c>
      <c r="H107" s="196">
        <f t="shared" si="16"/>
        <v>1973.1002431470833</v>
      </c>
      <c r="I107" s="196">
        <f t="shared" si="16"/>
        <v>2625.3212436724707</v>
      </c>
    </row>
    <row r="108" spans="3:9" x14ac:dyDescent="0.2">
      <c r="G108" s="197"/>
      <c r="H108" s="197"/>
      <c r="I108" s="197"/>
    </row>
    <row r="110" spans="3:9" x14ac:dyDescent="0.2">
      <c r="C110" s="11" t="s">
        <v>1023</v>
      </c>
    </row>
    <row r="111" spans="3:9" x14ac:dyDescent="0.2">
      <c r="C111" t="s">
        <v>1021</v>
      </c>
    </row>
    <row r="113" spans="3:19" x14ac:dyDescent="0.2">
      <c r="D113" t="s">
        <v>1022</v>
      </c>
      <c r="G113" s="25">
        <f ca="1">'Tableau de bord Prévisions'!N43</f>
        <v>0</v>
      </c>
      <c r="I113" s="111">
        <f>I100</f>
        <v>7.0000000000000007E-2</v>
      </c>
    </row>
    <row r="115" spans="3:19" x14ac:dyDescent="0.2">
      <c r="F115" s="195">
        <v>50</v>
      </c>
      <c r="G115" s="195">
        <v>70</v>
      </c>
      <c r="H115" s="195">
        <v>90</v>
      </c>
      <c r="I115" s="195">
        <v>100</v>
      </c>
    </row>
    <row r="116" spans="3:19" x14ac:dyDescent="0.2">
      <c r="D116" t="str">
        <f>D103</f>
        <v>Nkossa</v>
      </c>
      <c r="F116" s="196">
        <v>0</v>
      </c>
      <c r="G116" s="196">
        <v>0</v>
      </c>
      <c r="H116" s="196">
        <v>0</v>
      </c>
      <c r="I116" s="196">
        <v>0</v>
      </c>
    </row>
    <row r="117" spans="3:19" x14ac:dyDescent="0.2">
      <c r="D117" t="str">
        <f t="shared" ref="D117:D120" si="17">D104</f>
        <v>Nsoko</v>
      </c>
      <c r="F117" s="196">
        <v>0</v>
      </c>
      <c r="G117" s="196">
        <v>0</v>
      </c>
      <c r="H117" s="196">
        <v>0</v>
      </c>
      <c r="I117" s="196">
        <v>0</v>
      </c>
    </row>
    <row r="118" spans="3:19" x14ac:dyDescent="0.2">
      <c r="D118" t="str">
        <f t="shared" si="17"/>
        <v>Moho</v>
      </c>
      <c r="F118" s="196">
        <v>0</v>
      </c>
      <c r="G118" s="196">
        <v>0</v>
      </c>
      <c r="H118" s="196">
        <v>135.64665113874136</v>
      </c>
      <c r="I118" s="196">
        <v>39.032227250749003</v>
      </c>
    </row>
    <row r="119" spans="3:19" x14ac:dyDescent="0.2">
      <c r="D119" t="str">
        <f t="shared" si="17"/>
        <v>KLL</v>
      </c>
      <c r="F119" s="196">
        <v>0</v>
      </c>
      <c r="G119" s="196">
        <v>0</v>
      </c>
      <c r="H119" s="196">
        <v>0</v>
      </c>
      <c r="I119" s="196">
        <v>0</v>
      </c>
    </row>
    <row r="120" spans="3:19" x14ac:dyDescent="0.2">
      <c r="D120" t="str">
        <f t="shared" si="17"/>
        <v>Total</v>
      </c>
      <c r="F120" s="196">
        <f>SUM(F116:F119)</f>
        <v>0</v>
      </c>
      <c r="G120" s="196">
        <f t="shared" ref="G120:I120" si="18">SUM(G116:G119)</f>
        <v>0</v>
      </c>
      <c r="H120" s="196">
        <f t="shared" si="18"/>
        <v>135.64665113874136</v>
      </c>
      <c r="I120" s="196">
        <f t="shared" si="18"/>
        <v>39.032227250749003</v>
      </c>
    </row>
    <row r="123" spans="3:19" x14ac:dyDescent="0.2">
      <c r="C123" s="11" t="s">
        <v>1025</v>
      </c>
    </row>
    <row r="124" spans="3:19" x14ac:dyDescent="0.2">
      <c r="C124" t="str">
        <f>'Tableau de bord Backcasting'!D64&amp;" ("&amp;'Tableau de bord Backcasting'!D19&amp;")"</f>
        <v>Flux de trésorerie du Gouv. (Résultats réels)</v>
      </c>
    </row>
    <row r="125" spans="3:19" x14ac:dyDescent="0.2">
      <c r="L125">
        <v>2013</v>
      </c>
      <c r="M125">
        <f>L125+1</f>
        <v>2014</v>
      </c>
      <c r="N125">
        <f t="shared" ref="N125:R125" si="19">M125+1</f>
        <v>2015</v>
      </c>
      <c r="O125">
        <f t="shared" si="19"/>
        <v>2016</v>
      </c>
      <c r="P125">
        <f t="shared" si="19"/>
        <v>2017</v>
      </c>
      <c r="Q125">
        <f t="shared" si="19"/>
        <v>2018</v>
      </c>
      <c r="R125">
        <f t="shared" si="19"/>
        <v>2019</v>
      </c>
      <c r="S125">
        <f t="shared" ref="S125" si="20">R125+1</f>
        <v>2020</v>
      </c>
    </row>
    <row r="126" spans="3:19" x14ac:dyDescent="0.2">
      <c r="D126" t="str">
        <f>D116</f>
        <v>Nkossa</v>
      </c>
      <c r="L126" s="57">
        <v>601.81807466124428</v>
      </c>
      <c r="M126" s="57">
        <v>586.44915796109751</v>
      </c>
      <c r="N126" s="57">
        <v>179.42466954809419</v>
      </c>
      <c r="O126" s="57">
        <v>130.73187900847728</v>
      </c>
      <c r="P126" s="57">
        <v>104.23506374255233</v>
      </c>
      <c r="Q126" s="57">
        <v>123.72805381268375</v>
      </c>
      <c r="R126" s="57">
        <v>102.69062637148241</v>
      </c>
      <c r="S126" s="57">
        <v>51.346804833333337</v>
      </c>
    </row>
    <row r="127" spans="3:19" x14ac:dyDescent="0.2">
      <c r="D127" t="str">
        <f t="shared" ref="D127:D129" si="21">D117</f>
        <v>Nsoko</v>
      </c>
      <c r="L127" s="57">
        <v>71.759624821199907</v>
      </c>
      <c r="M127" s="57">
        <v>44.188958796113745</v>
      </c>
      <c r="N127" s="57">
        <v>21.917219906841233</v>
      </c>
      <c r="O127" s="57">
        <v>13.933877110400513</v>
      </c>
      <c r="P127" s="57">
        <v>18.658698060727559</v>
      </c>
      <c r="Q127" s="57">
        <v>23.401374040557215</v>
      </c>
      <c r="R127" s="57">
        <v>14.379892740187351</v>
      </c>
      <c r="S127" s="57">
        <v>12.260113952901504</v>
      </c>
    </row>
    <row r="128" spans="3:19" x14ac:dyDescent="0.2">
      <c r="D128" t="str">
        <f t="shared" si="21"/>
        <v>Moho</v>
      </c>
      <c r="L128" s="57">
        <v>1301.658344254027</v>
      </c>
      <c r="M128" s="57">
        <v>1186.739293383263</v>
      </c>
      <c r="N128" s="57">
        <v>183.20133079353076</v>
      </c>
      <c r="O128" s="57">
        <v>140.80724718810012</v>
      </c>
      <c r="P128" s="57">
        <v>392.6681542311544</v>
      </c>
      <c r="Q128" s="57">
        <v>780.79825997642365</v>
      </c>
      <c r="R128" s="57">
        <v>745.07568043395804</v>
      </c>
      <c r="S128" s="57">
        <v>431.34024199999999</v>
      </c>
    </row>
    <row r="129" spans="3:19" x14ac:dyDescent="0.2">
      <c r="D129" t="str">
        <f t="shared" si="21"/>
        <v>KLL</v>
      </c>
      <c r="L129" s="57">
        <v>319.04761165269014</v>
      </c>
      <c r="M129" s="57">
        <v>305.22435336438934</v>
      </c>
      <c r="N129" s="57">
        <v>122.14741527054858</v>
      </c>
      <c r="O129" s="57">
        <v>61.809158203205698</v>
      </c>
      <c r="P129" s="57">
        <v>110.22067459744622</v>
      </c>
      <c r="Q129" s="57">
        <v>192.84756029606632</v>
      </c>
      <c r="R129" s="57">
        <v>185.95955525562408</v>
      </c>
      <c r="S129" s="57">
        <v>83.726019999999991</v>
      </c>
    </row>
    <row r="130" spans="3:19" x14ac:dyDescent="0.2">
      <c r="L130" s="7"/>
      <c r="M130" s="7"/>
      <c r="N130" s="7"/>
      <c r="O130" s="7"/>
      <c r="P130" s="7"/>
      <c r="Q130" s="7"/>
      <c r="R130" s="7"/>
      <c r="S130" s="7"/>
    </row>
    <row r="131" spans="3:19" x14ac:dyDescent="0.2">
      <c r="C131" s="11" t="s">
        <v>1027</v>
      </c>
    </row>
    <row r="132" spans="3:19" x14ac:dyDescent="0.2">
      <c r="C132" t="s">
        <v>1028</v>
      </c>
      <c r="E132" s="29" t="str">
        <f>db_psc_selector</f>
        <v>Moho</v>
      </c>
    </row>
    <row r="133" spans="3:19" x14ac:dyDescent="0.2">
      <c r="L133">
        <f>L125</f>
        <v>2013</v>
      </c>
      <c r="M133">
        <f t="shared" ref="M133:R133" si="22">M125</f>
        <v>2014</v>
      </c>
      <c r="N133">
        <f t="shared" si="22"/>
        <v>2015</v>
      </c>
      <c r="O133">
        <f t="shared" si="22"/>
        <v>2016</v>
      </c>
      <c r="P133">
        <f t="shared" si="22"/>
        <v>2017</v>
      </c>
      <c r="Q133">
        <f t="shared" si="22"/>
        <v>2018</v>
      </c>
      <c r="R133">
        <f t="shared" si="22"/>
        <v>2019</v>
      </c>
      <c r="S133">
        <f t="shared" ref="S133" si="23">S125</f>
        <v>2020</v>
      </c>
    </row>
    <row r="134" spans="3:19" x14ac:dyDescent="0.2">
      <c r="D134" t="str">
        <f>CHOOSE(db_ML_selected,"Cost Recovery","Récupération des coûts")</f>
        <v>Récupération des coûts</v>
      </c>
      <c r="L134" s="57">
        <f ca="1">'Tableau de bord Backcasting'!H78</f>
        <v>2.9992264411255869</v>
      </c>
      <c r="M134" s="57">
        <f ca="1">'Tableau de bord Backcasting'!I78</f>
        <v>3.6277583419481636</v>
      </c>
      <c r="N134" s="57">
        <f ca="1">'Tableau de bord Backcasting'!J78</f>
        <v>9.3187840000000008</v>
      </c>
      <c r="O134" s="57">
        <f ca="1">'Tableau de bord Backcasting'!K78</f>
        <v>11.872558173700002</v>
      </c>
      <c r="P134" s="57">
        <f ca="1">'Tableau de bord Backcasting'!L78</f>
        <v>24.691832848900003</v>
      </c>
      <c r="Q134" s="57">
        <f ca="1">'Tableau de bord Backcasting'!M78</f>
        <v>38.944228930599998</v>
      </c>
      <c r="R134" s="57">
        <f ca="1">'Tableau de bord Backcasting'!N78</f>
        <v>39.4500413321</v>
      </c>
      <c r="S134" s="57">
        <f ca="1">'Tableau de bord Backcasting'!O78</f>
        <v>36.433700000000002</v>
      </c>
    </row>
    <row r="135" spans="3:19" x14ac:dyDescent="0.2">
      <c r="D135" t="str">
        <f>CHOOSE(db_ML_selected,"Gov. Share","Part de l’Etat")</f>
        <v>Part de l’Etat</v>
      </c>
      <c r="L135" s="57">
        <f ca="1">'Tableau de bord Backcasting'!H61</f>
        <v>12.135765667849807</v>
      </c>
      <c r="M135" s="57">
        <f ca="1">'Tableau de bord Backcasting'!I61</f>
        <v>12.151480229901392</v>
      </c>
      <c r="N135" s="57">
        <f ca="1">'Tableau de bord Backcasting'!J61</f>
        <v>3.6771929999999999</v>
      </c>
      <c r="O135" s="57">
        <f ca="1">'Tableau de bord Backcasting'!K61</f>
        <v>3.3073554912450005</v>
      </c>
      <c r="P135" s="57">
        <f ca="1">'Tableau de bord Backcasting'!L61</f>
        <v>6.8784391507650007</v>
      </c>
      <c r="Q135" s="57">
        <f ca="1">'Tableau de bord Backcasting'!M61</f>
        <v>10.84874948781</v>
      </c>
      <c r="R135" s="57">
        <f ca="1">'Tableau de bord Backcasting'!N61</f>
        <v>10.989654371085001</v>
      </c>
      <c r="S135" s="57">
        <f ca="1">'Tableau de bord Backcasting'!O61</f>
        <v>10.1494</v>
      </c>
    </row>
    <row r="136" spans="3:19" x14ac:dyDescent="0.2">
      <c r="D136" t="str">
        <f>CHOOSE(db_ML_selected,"Contractor Share","Part du Contracteur")</f>
        <v>Part du Contracteur</v>
      </c>
      <c r="L136" s="57">
        <f ca="1">SUM('Tableau de bord Backcasting'!H80:H83)</f>
        <v>4.3123720880246061</v>
      </c>
      <c r="M136" s="57">
        <f ca="1">SUM('Tableau de bord Backcasting'!I80:I83)</f>
        <v>4.4033785731504436</v>
      </c>
      <c r="N136" s="57">
        <f ca="1">SUM('Tableau de bord Backcasting'!J80:J83)</f>
        <v>2.3005080000000002</v>
      </c>
      <c r="O136" s="57">
        <f ca="1">SUM('Tableau de bord Backcasting'!K80:K83)</f>
        <v>1.780883726055001</v>
      </c>
      <c r="P136" s="57">
        <f ca="1">SUM('Tableau de bord Backcasting'!L80:L83)</f>
        <v>3.7037749273350014</v>
      </c>
      <c r="Q136" s="57">
        <f ca="1">SUM('Tableau de bord Backcasting'!M80:M83)</f>
        <v>5.8416343395900006</v>
      </c>
      <c r="R136" s="57">
        <f ca="1">SUM('Tableau de bord Backcasting'!N80:N83)</f>
        <v>5.9175061998150014</v>
      </c>
      <c r="S136" s="57">
        <f ca="1">SUM('Tableau de bord Backcasting'!O80:O83)</f>
        <v>0</v>
      </c>
    </row>
    <row r="137" spans="3:19" x14ac:dyDescent="0.2">
      <c r="L137" s="7"/>
      <c r="M137" s="7"/>
      <c r="N137" s="7"/>
      <c r="O137" s="7"/>
      <c r="P137" s="7"/>
      <c r="Q137" s="7"/>
      <c r="R137" s="7"/>
    </row>
    <row r="138" spans="3:19" x14ac:dyDescent="0.2">
      <c r="D138" t="str">
        <f>D126</f>
        <v>Nkossa</v>
      </c>
    </row>
    <row r="139" spans="3:19" x14ac:dyDescent="0.2">
      <c r="D139" s="75" t="str">
        <f>D134</f>
        <v>Récupération des coûts</v>
      </c>
      <c r="L139" s="57">
        <v>1.3807403081049057</v>
      </c>
      <c r="M139" s="57">
        <v>1.9157743336614546</v>
      </c>
      <c r="N139" s="57">
        <v>3.4773850197796841</v>
      </c>
      <c r="O139" s="57">
        <v>3.7375901938459899</v>
      </c>
      <c r="P139" s="57">
        <v>4.4421720128500013</v>
      </c>
      <c r="Q139" s="57">
        <v>3.2357743596602591</v>
      </c>
      <c r="R139" s="57">
        <v>3.5382089994055161</v>
      </c>
      <c r="S139" s="57">
        <v>2.7574000000000001</v>
      </c>
    </row>
    <row r="140" spans="3:19" x14ac:dyDescent="0.2">
      <c r="D140" s="75" t="str">
        <f t="shared" ref="D140:D141" si="24">D135</f>
        <v>Part de l’Etat</v>
      </c>
      <c r="L140" s="57">
        <v>5.6424651202858911</v>
      </c>
      <c r="M140" s="57">
        <v>6.3219509005151746</v>
      </c>
      <c r="N140" s="57">
        <v>3.737436292447736</v>
      </c>
      <c r="O140" s="57">
        <v>3.1107105317486754</v>
      </c>
      <c r="P140" s="57">
        <v>2.0097283902666874</v>
      </c>
      <c r="Q140" s="57">
        <v>1.7319116092464224</v>
      </c>
      <c r="R140" s="57">
        <v>1.7125143652967556</v>
      </c>
      <c r="S140" s="57">
        <v>1.2010000000000001</v>
      </c>
    </row>
    <row r="141" spans="3:19" x14ac:dyDescent="0.2">
      <c r="D141" s="75" t="str">
        <f t="shared" si="24"/>
        <v>Part du Contracteur</v>
      </c>
      <c r="L141" s="57">
        <v>1.1906011673517256</v>
      </c>
      <c r="M141" s="57">
        <v>1.4454864404633214</v>
      </c>
      <c r="N141" s="57">
        <v>1.0096098811734282</v>
      </c>
      <c r="O141" s="57">
        <v>1.052315605002577</v>
      </c>
      <c r="P141" s="57">
        <v>0.7982269322166875</v>
      </c>
      <c r="Q141" s="57">
        <v>0.71565807846513219</v>
      </c>
      <c r="R141" s="57">
        <v>0.74610300670918095</v>
      </c>
      <c r="S141" s="57">
        <v>0</v>
      </c>
    </row>
    <row r="143" spans="3:19" x14ac:dyDescent="0.2">
      <c r="D143" t="str">
        <f>D127</f>
        <v>Nsoko</v>
      </c>
    </row>
    <row r="144" spans="3:19" x14ac:dyDescent="0.2">
      <c r="D144" s="75" t="str">
        <f>D139</f>
        <v>Récupération des coûts</v>
      </c>
      <c r="L144" s="57">
        <v>0.15431406704487888</v>
      </c>
      <c r="M144" s="57">
        <v>0.14552027333156853</v>
      </c>
      <c r="N144" s="57">
        <v>0.33990963503722305</v>
      </c>
      <c r="O144" s="57">
        <v>0.32692710207644987</v>
      </c>
      <c r="P144" s="57">
        <v>0.31065433628298816</v>
      </c>
      <c r="Q144" s="57">
        <v>0.18013151347648948</v>
      </c>
      <c r="R144" s="57">
        <v>5.2881010000000008E-3</v>
      </c>
      <c r="S144" s="57">
        <v>0.27165069087919902</v>
      </c>
    </row>
    <row r="145" spans="4:19" x14ac:dyDescent="0.2">
      <c r="D145" s="75" t="str">
        <f t="shared" ref="D145:D146" si="25">D140</f>
        <v>Part de l’Etat</v>
      </c>
      <c r="L145" s="57">
        <v>0.66758497703396524</v>
      </c>
      <c r="M145" s="57">
        <v>0.45821441942569119</v>
      </c>
      <c r="N145" s="57">
        <v>0.45127385274359133</v>
      </c>
      <c r="O145" s="57">
        <v>0.33215886581580056</v>
      </c>
      <c r="P145" s="57">
        <v>0.39453851918358729</v>
      </c>
      <c r="Q145" s="57">
        <v>0.34297359805516625</v>
      </c>
      <c r="R145" s="57">
        <v>0.23815606149068783</v>
      </c>
      <c r="S145" s="57">
        <v>0.29206687486011418</v>
      </c>
    </row>
    <row r="146" spans="4:19" x14ac:dyDescent="0.2">
      <c r="D146" s="75" t="str">
        <f t="shared" si="25"/>
        <v>Part du Contracteur</v>
      </c>
      <c r="L146" s="57">
        <v>0.15672112071223998</v>
      </c>
      <c r="M146" s="57">
        <v>0.11800983526007203</v>
      </c>
      <c r="N146" s="57">
        <v>0.16139612165340386</v>
      </c>
      <c r="O146" s="57">
        <v>0.15857567589434449</v>
      </c>
      <c r="P146" s="57">
        <v>0.12475538484098807</v>
      </c>
      <c r="Q146" s="57">
        <v>9.4822008722546355E-2</v>
      </c>
      <c r="R146" s="57">
        <v>0.12934014140931221</v>
      </c>
      <c r="S146" s="57">
        <v>0.18416335491795696</v>
      </c>
    </row>
    <row r="148" spans="4:19" x14ac:dyDescent="0.2">
      <c r="D148" t="str">
        <f>D128</f>
        <v>Moho</v>
      </c>
    </row>
    <row r="149" spans="4:19" x14ac:dyDescent="0.2">
      <c r="D149" s="75" t="str">
        <f>D144</f>
        <v>Récupération des coûts</v>
      </c>
      <c r="L149" s="57">
        <v>2.9992264411255869</v>
      </c>
      <c r="M149" s="57">
        <v>3.6277583419481636</v>
      </c>
      <c r="N149" s="57">
        <v>9.3187840000000008</v>
      </c>
      <c r="O149" s="57">
        <v>11.872558173700002</v>
      </c>
      <c r="P149" s="57">
        <v>24.691832848900003</v>
      </c>
      <c r="Q149" s="57">
        <v>38.944228930599998</v>
      </c>
      <c r="R149" s="57">
        <v>39.4500413321</v>
      </c>
      <c r="S149" s="57">
        <v>36.433700000000002</v>
      </c>
    </row>
    <row r="150" spans="4:19" x14ac:dyDescent="0.2">
      <c r="D150" s="75" t="str">
        <f t="shared" ref="D150:D151" si="26">D145</f>
        <v>Part de l’Etat</v>
      </c>
      <c r="L150" s="57">
        <v>12.135765667849807</v>
      </c>
      <c r="M150" s="57">
        <v>12.151480229901392</v>
      </c>
      <c r="N150" s="57">
        <v>3.6771929999999999</v>
      </c>
      <c r="O150" s="57">
        <v>3.3073554912450005</v>
      </c>
      <c r="P150" s="57">
        <v>6.8784391507650007</v>
      </c>
      <c r="Q150" s="57">
        <v>10.84874948781</v>
      </c>
      <c r="R150" s="57">
        <v>10.989654371085001</v>
      </c>
      <c r="S150" s="57">
        <v>10.1494</v>
      </c>
    </row>
    <row r="151" spans="4:19" x14ac:dyDescent="0.2">
      <c r="D151" s="75" t="str">
        <f t="shared" si="26"/>
        <v>Part du Contracteur</v>
      </c>
      <c r="L151" s="57">
        <v>4.3123720880246061</v>
      </c>
      <c r="M151" s="57">
        <v>4.4033785731504436</v>
      </c>
      <c r="N151" s="57">
        <v>2.3005080000000002</v>
      </c>
      <c r="O151" s="57">
        <v>1.780883726055001</v>
      </c>
      <c r="P151" s="57">
        <v>3.7037749273350014</v>
      </c>
      <c r="Q151" s="57">
        <v>5.8416343395900006</v>
      </c>
      <c r="R151" s="57">
        <v>5.9175061998150014</v>
      </c>
      <c r="S151" s="57">
        <v>0</v>
      </c>
    </row>
    <row r="153" spans="4:19" x14ac:dyDescent="0.2">
      <c r="D153" t="str">
        <f>D129</f>
        <v>KLL</v>
      </c>
    </row>
    <row r="154" spans="4:19" x14ac:dyDescent="0.2">
      <c r="D154" s="75" t="str">
        <f>D149</f>
        <v>Récupération des coûts</v>
      </c>
      <c r="L154" s="57">
        <v>1.4114358390000001</v>
      </c>
      <c r="M154" s="57">
        <v>1.6188763611569861</v>
      </c>
      <c r="N154" s="57">
        <v>2.8081180867335052</v>
      </c>
      <c r="O154" s="57">
        <v>2.7774102616656244</v>
      </c>
      <c r="P154" s="57">
        <v>2.0809056299626487</v>
      </c>
      <c r="Q154" s="57">
        <v>1.8729654654403585</v>
      </c>
      <c r="R154" s="57">
        <v>2.0447946418442813</v>
      </c>
      <c r="S154" s="57">
        <v>2.1454</v>
      </c>
    </row>
    <row r="155" spans="4:19" x14ac:dyDescent="0.2">
      <c r="D155" s="75" t="str">
        <f t="shared" ref="D155:D156" si="27">D150</f>
        <v>Part de l’Etat</v>
      </c>
      <c r="L155" s="57">
        <v>2.9730359633158865</v>
      </c>
      <c r="M155" s="57">
        <v>3.1684761648386912</v>
      </c>
      <c r="N155" s="57">
        <v>2.4559642374945092</v>
      </c>
      <c r="O155" s="57">
        <v>1.4811820004913037</v>
      </c>
      <c r="P155" s="57">
        <v>2.004194367231384</v>
      </c>
      <c r="Q155" s="57">
        <v>2.7590745794955835</v>
      </c>
      <c r="R155" s="57">
        <v>2.8179972846855654</v>
      </c>
      <c r="S155" s="57">
        <v>2.0140000000000002</v>
      </c>
    </row>
    <row r="156" spans="4:19" x14ac:dyDescent="0.2">
      <c r="D156" s="75" t="str">
        <f t="shared" si="27"/>
        <v>Part du Contracteur</v>
      </c>
      <c r="L156" s="57">
        <v>1.1784517277842965</v>
      </c>
      <c r="M156" s="57">
        <v>1.373401489176858</v>
      </c>
      <c r="N156" s="57">
        <v>1.5068037309942526</v>
      </c>
      <c r="O156" s="57">
        <v>0.60075905036323318</v>
      </c>
      <c r="P156" s="57">
        <v>1.4063559729277977</v>
      </c>
      <c r="Q156" s="57">
        <v>1.3405456180205668</v>
      </c>
      <c r="R156" s="57">
        <v>1.6228370264701539</v>
      </c>
      <c r="S156" s="57">
        <v>0</v>
      </c>
    </row>
    <row r="158" spans="4:19" x14ac:dyDescent="0.2">
      <c r="D158" t="s">
        <v>1029</v>
      </c>
    </row>
    <row r="159" spans="4:19" x14ac:dyDescent="0.2">
      <c r="D159" s="75" t="str">
        <f>D154</f>
        <v>Récupération des coûts</v>
      </c>
      <c r="L159" s="57">
        <f>SUM(L154,L149,L144,L139)</f>
        <v>5.9457166552753717</v>
      </c>
      <c r="M159" s="57">
        <f t="shared" ref="M159:R159" si="28">SUM(M154,M149,M144,M139)</f>
        <v>7.3079293100981726</v>
      </c>
      <c r="N159" s="57">
        <f t="shared" si="28"/>
        <v>15.944196741550412</v>
      </c>
      <c r="O159" s="57">
        <f t="shared" si="28"/>
        <v>18.714485731288065</v>
      </c>
      <c r="P159" s="57">
        <f t="shared" si="28"/>
        <v>31.525564827995638</v>
      </c>
      <c r="Q159" s="57">
        <f t="shared" si="28"/>
        <v>44.233100269177108</v>
      </c>
      <c r="R159" s="57">
        <f t="shared" si="28"/>
        <v>45.038333074349801</v>
      </c>
      <c r="S159" s="57">
        <f t="shared" ref="S159" si="29">SUM(S154,S149,S144,S139)</f>
        <v>41.608150690879199</v>
      </c>
    </row>
    <row r="160" spans="4:19" x14ac:dyDescent="0.2">
      <c r="D160" s="75" t="str">
        <f t="shared" ref="D160:D161" si="30">D155</f>
        <v>Part de l’Etat</v>
      </c>
      <c r="L160" s="57">
        <f t="shared" ref="L160:R160" si="31">SUM(L155,L150,L145,L140)</f>
        <v>21.418851728485549</v>
      </c>
      <c r="M160" s="57">
        <f t="shared" si="31"/>
        <v>22.100121714680945</v>
      </c>
      <c r="N160" s="57">
        <f t="shared" si="31"/>
        <v>10.321867382685836</v>
      </c>
      <c r="O160" s="57">
        <f t="shared" si="31"/>
        <v>8.2314068893007786</v>
      </c>
      <c r="P160" s="57">
        <f t="shared" si="31"/>
        <v>11.28690042744666</v>
      </c>
      <c r="Q160" s="57">
        <f t="shared" si="31"/>
        <v>15.682709274607173</v>
      </c>
      <c r="R160" s="57">
        <f t="shared" si="31"/>
        <v>15.75832208255801</v>
      </c>
      <c r="S160" s="57">
        <f t="shared" ref="S160" si="32">SUM(S155,S150,S145,S140)</f>
        <v>13.656466874860113</v>
      </c>
    </row>
    <row r="161" spans="3:107" x14ac:dyDescent="0.2">
      <c r="D161" s="75" t="str">
        <f t="shared" si="30"/>
        <v>Part du Contracteur</v>
      </c>
      <c r="L161" s="57">
        <f t="shared" ref="L161:R161" si="33">SUM(L156,L151,L146,L141)</f>
        <v>6.8381461038728686</v>
      </c>
      <c r="M161" s="57">
        <f t="shared" si="33"/>
        <v>7.3402763380506943</v>
      </c>
      <c r="N161" s="57">
        <f t="shared" si="33"/>
        <v>4.9783177338210844</v>
      </c>
      <c r="O161" s="57">
        <f t="shared" si="33"/>
        <v>3.5925340573151554</v>
      </c>
      <c r="P161" s="57">
        <f t="shared" si="33"/>
        <v>6.0331132173204747</v>
      </c>
      <c r="Q161" s="57">
        <f t="shared" si="33"/>
        <v>7.9926600447982459</v>
      </c>
      <c r="R161" s="57">
        <f t="shared" si="33"/>
        <v>8.4157863744036483</v>
      </c>
      <c r="S161" s="57">
        <f t="shared" ref="S161" si="34">SUM(S156,S151,S146,S141)</f>
        <v>0.18416335491795696</v>
      </c>
    </row>
    <row r="165" spans="3:107" x14ac:dyDescent="0.2">
      <c r="C165" s="11" t="s">
        <v>1034</v>
      </c>
    </row>
    <row r="166" spans="3:107" x14ac:dyDescent="0.2">
      <c r="C166" t="str">
        <f>'Tableau de bord Backcasting'!D55&amp;" "&amp;'Tableau de bord Backcasting'!D61</f>
        <v>Part du Gouv. Volumes totaux</v>
      </c>
    </row>
    <row r="167" spans="3:107" x14ac:dyDescent="0.2">
      <c r="L167" s="220">
        <v>2013</v>
      </c>
      <c r="M167" s="220"/>
      <c r="N167" s="220">
        <v>2014</v>
      </c>
      <c r="O167" s="220"/>
      <c r="P167" s="220">
        <v>2015</v>
      </c>
      <c r="Q167" s="220"/>
      <c r="R167" s="220">
        <v>2016</v>
      </c>
      <c r="S167" s="220"/>
      <c r="T167" s="220">
        <v>2017</v>
      </c>
      <c r="U167" s="220"/>
      <c r="V167" s="220">
        <v>2018</v>
      </c>
      <c r="W167" s="220"/>
      <c r="X167" s="220">
        <v>2019</v>
      </c>
      <c r="Y167" s="220"/>
      <c r="Z167" s="220">
        <v>2020</v>
      </c>
      <c r="AA167" s="220"/>
    </row>
    <row r="168" spans="3:107" x14ac:dyDescent="0.2">
      <c r="D168" t="str">
        <f>D126</f>
        <v>Nkossa</v>
      </c>
      <c r="L168" s="194" t="s">
        <v>813</v>
      </c>
      <c r="M168" s="194" t="s">
        <v>814</v>
      </c>
      <c r="N168" s="194" t="s">
        <v>813</v>
      </c>
      <c r="O168" s="194" t="s">
        <v>814</v>
      </c>
      <c r="P168" s="194" t="s">
        <v>813</v>
      </c>
      <c r="Q168" s="194" t="s">
        <v>814</v>
      </c>
      <c r="R168" s="194" t="s">
        <v>813</v>
      </c>
      <c r="S168" s="194" t="s">
        <v>814</v>
      </c>
      <c r="T168" s="194" t="s">
        <v>813</v>
      </c>
      <c r="U168" s="194" t="s">
        <v>814</v>
      </c>
      <c r="V168" s="194" t="s">
        <v>813</v>
      </c>
      <c r="W168" s="194" t="s">
        <v>814</v>
      </c>
      <c r="X168" s="194" t="s">
        <v>813</v>
      </c>
      <c r="Y168" s="194" t="s">
        <v>814</v>
      </c>
      <c r="Z168" s="194" t="s">
        <v>813</v>
      </c>
      <c r="AA168" s="194" t="s">
        <v>814</v>
      </c>
    </row>
    <row r="169" spans="3:107" x14ac:dyDescent="0.2">
      <c r="D169" s="75" t="s">
        <v>293</v>
      </c>
      <c r="L169" s="149">
        <v>1.03553218656</v>
      </c>
      <c r="M169" s="57">
        <v>1.0537274976076132</v>
      </c>
      <c r="N169" s="149">
        <v>1.21280778072</v>
      </c>
      <c r="O169" s="57">
        <v>1.2821917314529805</v>
      </c>
      <c r="P169" s="149">
        <v>1.1507753715600002</v>
      </c>
      <c r="Q169" s="57">
        <v>1.1145925105412442</v>
      </c>
      <c r="R169" s="149">
        <v>1.0860716465940001</v>
      </c>
      <c r="S169" s="57">
        <v>1.187370755713534</v>
      </c>
      <c r="T169" s="149">
        <v>1.2115014580500001</v>
      </c>
      <c r="U169" s="57">
        <v>1.3053097475233852</v>
      </c>
      <c r="V169" s="149">
        <v>0.9311093695499999</v>
      </c>
      <c r="W169" s="57">
        <v>1.0063766060523198</v>
      </c>
      <c r="X169" s="149">
        <v>0.96490117515000018</v>
      </c>
      <c r="Y169" s="57">
        <v>1.1516643463985261</v>
      </c>
      <c r="Z169" s="149">
        <v>0.75219999999999998</v>
      </c>
      <c r="AA169" s="57">
        <v>0.75200999999999996</v>
      </c>
    </row>
    <row r="170" spans="3:107" x14ac:dyDescent="0.2">
      <c r="D170" s="75" t="s">
        <v>85</v>
      </c>
      <c r="L170" s="149">
        <v>0</v>
      </c>
      <c r="M170" s="57">
        <v>0</v>
      </c>
      <c r="N170" s="149">
        <v>0</v>
      </c>
      <c r="O170" s="57">
        <v>0</v>
      </c>
      <c r="P170" s="149">
        <v>0</v>
      </c>
      <c r="Q170" s="57">
        <v>0</v>
      </c>
      <c r="R170" s="149">
        <v>0</v>
      </c>
      <c r="S170" s="57">
        <v>0</v>
      </c>
      <c r="T170" s="149">
        <v>0</v>
      </c>
      <c r="U170" s="57">
        <v>0</v>
      </c>
      <c r="V170" s="149">
        <v>0</v>
      </c>
      <c r="W170" s="57">
        <v>2.0579976436112367E-16</v>
      </c>
      <c r="X170" s="149">
        <v>0</v>
      </c>
      <c r="Y170" s="57">
        <v>0</v>
      </c>
      <c r="Z170" s="149">
        <v>0</v>
      </c>
      <c r="AA170" s="57">
        <v>0</v>
      </c>
    </row>
    <row r="171" spans="3:107" x14ac:dyDescent="0.2">
      <c r="D171" s="75" t="s">
        <v>812</v>
      </c>
      <c r="L171" s="149">
        <v>4.2998658438847253</v>
      </c>
      <c r="M171" s="57">
        <v>4.4433178667534339</v>
      </c>
      <c r="N171" s="149">
        <v>4.6111540964004361</v>
      </c>
      <c r="O171" s="57">
        <v>5.01851774481083</v>
      </c>
      <c r="P171" s="149">
        <v>1.9849090672266285</v>
      </c>
      <c r="Q171" s="57">
        <v>2.0317488694445229</v>
      </c>
      <c r="R171" s="149">
        <v>1.2237861974328132</v>
      </c>
      <c r="S171" s="57">
        <v>1.3039433951604702</v>
      </c>
      <c r="T171" s="149">
        <v>0</v>
      </c>
      <c r="U171" s="57">
        <v>0</v>
      </c>
      <c r="V171" s="149">
        <v>0.1756098325395363</v>
      </c>
      <c r="W171" s="57">
        <v>6.7639488290694473E-3</v>
      </c>
      <c r="X171" s="149">
        <v>3.2477063173643656E-3</v>
      </c>
      <c r="Y171" s="57">
        <v>0</v>
      </c>
      <c r="Z171" s="149">
        <v>0</v>
      </c>
      <c r="AA171" s="57">
        <v>0</v>
      </c>
    </row>
    <row r="172" spans="3:107" x14ac:dyDescent="0.2">
      <c r="D172" s="75" t="s">
        <v>227</v>
      </c>
      <c r="L172" s="149">
        <v>0.30706708984116576</v>
      </c>
      <c r="M172" s="57">
        <v>0.51192187849540716</v>
      </c>
      <c r="N172" s="149">
        <v>0.49798902339473888</v>
      </c>
      <c r="O172" s="57">
        <v>0.72394735811462885</v>
      </c>
      <c r="P172" s="149">
        <v>0.60175185366110728</v>
      </c>
      <c r="Q172" s="57">
        <v>1.2359601254421857</v>
      </c>
      <c r="R172" s="149">
        <v>0.80085268772186191</v>
      </c>
      <c r="S172" s="57">
        <v>1.5406211690389089</v>
      </c>
      <c r="T172" s="149">
        <v>0.7982269322166875</v>
      </c>
      <c r="U172" s="57">
        <v>1.3053097475233855</v>
      </c>
      <c r="V172" s="149">
        <v>0.62519240715688618</v>
      </c>
      <c r="W172" s="57">
        <v>1.0045680635846539</v>
      </c>
      <c r="X172" s="149">
        <v>0.74436548382939105</v>
      </c>
      <c r="Y172" s="57">
        <v>1.1516643463985261</v>
      </c>
      <c r="Z172" s="149">
        <v>0.44879999999999998</v>
      </c>
      <c r="AA172" s="57">
        <v>0.75200999999999962</v>
      </c>
    </row>
    <row r="173" spans="3:107" x14ac:dyDescent="0.2">
      <c r="D173" s="75" t="s">
        <v>200</v>
      </c>
      <c r="L173" s="149">
        <v>8.56934331671729E-2</v>
      </c>
      <c r="M173" s="57">
        <v>8.7810624800634451E-2</v>
      </c>
      <c r="N173" s="149">
        <v>0.10278928291657556</v>
      </c>
      <c r="O173" s="57">
        <v>0.10684931095441505</v>
      </c>
      <c r="P173" s="149">
        <v>9.6666991205337588E-2</v>
      </c>
      <c r="Q173" s="57">
        <v>9.2882709211770373E-2</v>
      </c>
      <c r="R173" s="149">
        <v>8.856785653815244E-2</v>
      </c>
      <c r="S173" s="57">
        <v>9.8947562976127848E-2</v>
      </c>
      <c r="T173" s="149">
        <v>8.329310619637624E-2</v>
      </c>
      <c r="U173" s="57">
        <v>8.7020649834892355E-2</v>
      </c>
      <c r="V173" s="149">
        <v>5.9979194274864922E-2</v>
      </c>
      <c r="W173" s="57">
        <v>6.709177373682132E-2</v>
      </c>
      <c r="X173" s="149">
        <v>6.4582149134237876E-2</v>
      </c>
      <c r="Y173" s="57">
        <v>7.6777623093235089E-2</v>
      </c>
      <c r="Z173" s="149">
        <v>5.1213474834267504E-2</v>
      </c>
      <c r="AA173" s="57">
        <v>5.0133999999999991E-2</v>
      </c>
    </row>
    <row r="175" spans="3:107" x14ac:dyDescent="0.2">
      <c r="D175" t="str">
        <f>D127</f>
        <v>Nsoko</v>
      </c>
      <c r="CP175"/>
      <c r="CQ175"/>
      <c r="CR175"/>
      <c r="CS175"/>
      <c r="CT175"/>
      <c r="CU175"/>
      <c r="CV175"/>
    </row>
    <row r="176" spans="3:107" x14ac:dyDescent="0.2">
      <c r="D176" s="75" t="str">
        <f>'Tableau de bord Backcasting'!D65</f>
        <v>Redevances</v>
      </c>
      <c r="L176" s="149">
        <v>0.14841261960000002</v>
      </c>
      <c r="M176" s="57">
        <v>0.11725549033209608</v>
      </c>
      <c r="N176" s="149">
        <v>0.1095304854</v>
      </c>
      <c r="O176" s="57">
        <v>0.13176712587893263</v>
      </c>
      <c r="P176" s="149">
        <v>0.14853961200000002</v>
      </c>
      <c r="Q176" s="57">
        <v>0.14954485305776047</v>
      </c>
      <c r="R176" s="149">
        <v>0.12473470156200001</v>
      </c>
      <c r="S176" s="57">
        <v>0.11759131053309119</v>
      </c>
      <c r="T176" s="149">
        <v>0.12703000605000001</v>
      </c>
      <c r="U176" s="57">
        <v>0.11780250528339246</v>
      </c>
      <c r="V176" s="149">
        <v>9.224131725000001E-2</v>
      </c>
      <c r="W176" s="57">
        <v>0.10484210634761465</v>
      </c>
      <c r="X176" s="149">
        <v>5.8080559949999999E-2</v>
      </c>
      <c r="Y176" s="57">
        <v>4.1546006407821606E-2</v>
      </c>
      <c r="Z176" s="149">
        <v>0.10656588007874998</v>
      </c>
      <c r="AA176" s="57">
        <v>0.11318047665</v>
      </c>
      <c r="CP176"/>
      <c r="CQ176"/>
      <c r="CR176"/>
      <c r="CS176"/>
      <c r="CT176"/>
      <c r="CU176"/>
      <c r="CV176"/>
      <c r="CW176"/>
      <c r="CX176"/>
      <c r="CY176"/>
      <c r="CZ176"/>
      <c r="DA176"/>
      <c r="DB176"/>
      <c r="DC176"/>
    </row>
    <row r="177" spans="4:107" x14ac:dyDescent="0.2">
      <c r="D177" s="75" t="str">
        <f>'Tableau de bord Backcasting'!D67</f>
        <v>Excess Cost Oil</v>
      </c>
      <c r="L177" s="149">
        <v>0</v>
      </c>
      <c r="M177" s="57">
        <v>0</v>
      </c>
      <c r="N177" s="149">
        <v>0</v>
      </c>
      <c r="O177" s="57">
        <v>0</v>
      </c>
      <c r="P177" s="149">
        <v>0</v>
      </c>
      <c r="Q177" s="57">
        <v>0</v>
      </c>
      <c r="R177" s="149">
        <v>0</v>
      </c>
      <c r="S177" s="57">
        <v>0</v>
      </c>
      <c r="T177" s="149">
        <v>0</v>
      </c>
      <c r="U177" s="57">
        <v>0</v>
      </c>
      <c r="V177" s="149">
        <v>0</v>
      </c>
      <c r="W177" s="57">
        <v>0</v>
      </c>
      <c r="X177" s="149">
        <v>0</v>
      </c>
      <c r="Y177" s="57">
        <v>0</v>
      </c>
      <c r="Z177" s="149">
        <v>7.1900000000000006E-2</v>
      </c>
      <c r="AA177" s="57">
        <v>0</v>
      </c>
      <c r="CP177"/>
      <c r="CQ177"/>
      <c r="CR177"/>
      <c r="CS177"/>
      <c r="CT177"/>
      <c r="CU177"/>
      <c r="CV177"/>
      <c r="CW177"/>
      <c r="CX177"/>
      <c r="CY177"/>
      <c r="CZ177"/>
      <c r="DA177"/>
      <c r="DB177"/>
      <c r="DC177"/>
    </row>
    <row r="178" spans="4:107" x14ac:dyDescent="0.2">
      <c r="D178" s="75" t="str">
        <f>'Tableau de bord Backcasting'!D68</f>
        <v>SPO</v>
      </c>
      <c r="L178" s="149">
        <v>0.4941341042955954</v>
      </c>
      <c r="M178" s="57">
        <v>0.3951947512607964</v>
      </c>
      <c r="N178" s="149">
        <v>0.32484503721805136</v>
      </c>
      <c r="O178" s="57">
        <v>0.4231946677074076</v>
      </c>
      <c r="P178" s="149">
        <v>0.24958249060025753</v>
      </c>
      <c r="Q178" s="57">
        <v>0.25901409963050209</v>
      </c>
      <c r="R178" s="149">
        <v>0.14457914637291752</v>
      </c>
      <c r="S178" s="57">
        <v>0.14056456918169921</v>
      </c>
      <c r="T178" s="149">
        <v>0.23037663590318044</v>
      </c>
      <c r="U178" s="57">
        <v>0.16320017260006733</v>
      </c>
      <c r="V178" s="149">
        <v>0.22810382761076223</v>
      </c>
      <c r="W178" s="57">
        <v>0.25902909431021165</v>
      </c>
      <c r="X178" s="149">
        <v>4.9892755125502293E-2</v>
      </c>
      <c r="Y178" s="57">
        <v>6.0729774050328818E-2</v>
      </c>
      <c r="Z178" s="149">
        <v>1.6700994781364231E-2</v>
      </c>
      <c r="AA178" s="57">
        <v>0</v>
      </c>
      <c r="CP178"/>
      <c r="CQ178"/>
      <c r="CR178"/>
      <c r="CS178"/>
      <c r="CT178"/>
      <c r="CU178"/>
      <c r="CV178"/>
      <c r="CW178"/>
      <c r="CX178"/>
      <c r="CY178"/>
      <c r="CZ178"/>
      <c r="DA178"/>
      <c r="DB178"/>
      <c r="DC178"/>
    </row>
    <row r="179" spans="4:107" x14ac:dyDescent="0.2">
      <c r="D179" s="75" t="str">
        <f>'Tableau de bord Backcasting'!D69</f>
        <v>Partage du profit</v>
      </c>
      <c r="L179" s="149">
        <v>2.5038253138369854E-2</v>
      </c>
      <c r="M179" s="57">
        <v>1.7913995426916154E-2</v>
      </c>
      <c r="N179" s="149">
        <v>2.383889680763986E-2</v>
      </c>
      <c r="O179" s="57">
        <v>2.2595404825039935E-2</v>
      </c>
      <c r="P179" s="149">
        <v>5.3151750143333787E-2</v>
      </c>
      <c r="Q179" s="57">
        <v>5.172300743960194E-2</v>
      </c>
      <c r="R179" s="149">
        <v>6.284501788088305E-2</v>
      </c>
      <c r="S179" s="57">
        <v>4.8108682282499891E-2</v>
      </c>
      <c r="T179" s="149">
        <v>3.713187723040684E-2</v>
      </c>
      <c r="U179" s="57">
        <v>4.5557071849429358E-2</v>
      </c>
      <c r="V179" s="149">
        <v>2.2628453194404E-2</v>
      </c>
      <c r="W179" s="57">
        <v>2.71347295189131E-2</v>
      </c>
      <c r="X179" s="149">
        <v>0.13018274641518554</v>
      </c>
      <c r="Y179" s="57">
        <v>2.3777069497530712E-2</v>
      </c>
      <c r="Z179" s="149">
        <v>9.69E-2</v>
      </c>
      <c r="AA179" s="57">
        <v>9.4317063874999982E-2</v>
      </c>
      <c r="CP179"/>
      <c r="CQ179"/>
      <c r="CR179"/>
      <c r="CS179"/>
      <c r="CT179"/>
      <c r="CU179"/>
      <c r="CV179"/>
      <c r="CW179"/>
      <c r="CX179"/>
      <c r="CY179"/>
      <c r="CZ179"/>
      <c r="DA179"/>
      <c r="DB179"/>
      <c r="DC179"/>
    </row>
    <row r="180" spans="4:107" x14ac:dyDescent="0.2">
      <c r="D180" s="75" t="str">
        <f>'Tableau de bord Backcasting'!D66</f>
        <v>PID</v>
      </c>
      <c r="L180" s="149">
        <v>0</v>
      </c>
      <c r="M180" s="57">
        <v>7.8170326888064058E-3</v>
      </c>
      <c r="N180" s="149">
        <v>0</v>
      </c>
      <c r="O180" s="57">
        <v>8.7844750585955086E-3</v>
      </c>
      <c r="P180" s="149">
        <v>0</v>
      </c>
      <c r="Q180" s="57">
        <v>9.9696568705173651E-3</v>
      </c>
      <c r="R180" s="149">
        <v>0</v>
      </c>
      <c r="S180" s="57">
        <v>7.8394207022060795E-3</v>
      </c>
      <c r="T180" s="149">
        <v>0</v>
      </c>
      <c r="U180" s="57">
        <v>7.8535003522261643E-3</v>
      </c>
      <c r="V180" s="149">
        <v>0</v>
      </c>
      <c r="W180" s="57">
        <v>6.9894737565076434E-3</v>
      </c>
      <c r="X180" s="149">
        <v>3.8285920469366204E-3</v>
      </c>
      <c r="Y180" s="57">
        <v>2.76973376052144E-3</v>
      </c>
      <c r="Z180" s="149">
        <v>6.9250477075873179E-3</v>
      </c>
      <c r="AA180" s="57">
        <v>7.5453651100000014E-3</v>
      </c>
      <c r="CP180"/>
      <c r="CQ180"/>
      <c r="CR180"/>
      <c r="CS180"/>
      <c r="CT180"/>
      <c r="CU180"/>
      <c r="CV180"/>
    </row>
    <row r="182" spans="4:107" x14ac:dyDescent="0.2">
      <c r="D182" t="str">
        <f>D128</f>
        <v>Moho</v>
      </c>
    </row>
    <row r="183" spans="4:107" x14ac:dyDescent="0.2">
      <c r="D183" s="75" t="str">
        <f>D176</f>
        <v>Redevances</v>
      </c>
      <c r="L183" s="149">
        <v>2.9171046295500003</v>
      </c>
      <c r="M183" s="57">
        <v>2.7170459999999999</v>
      </c>
      <c r="N183" s="149">
        <v>3.0273925717499997</v>
      </c>
      <c r="O183" s="57">
        <v>2.8376788499999996</v>
      </c>
      <c r="P183" s="149">
        <v>2.294473</v>
      </c>
      <c r="Q183" s="57">
        <v>2.3050384500000001</v>
      </c>
      <c r="R183" s="149">
        <v>2.54411960865</v>
      </c>
      <c r="S183" s="57">
        <v>2.33870925</v>
      </c>
      <c r="T183" s="149">
        <v>5.2911070390499999</v>
      </c>
      <c r="U183" s="57">
        <v>4.89514125</v>
      </c>
      <c r="V183" s="149">
        <v>8.345191913699999</v>
      </c>
      <c r="W183" s="57">
        <v>7.858377299999999</v>
      </c>
      <c r="X183" s="149">
        <v>8.4535802854500002</v>
      </c>
      <c r="Y183" s="57">
        <v>8.1964798499999993</v>
      </c>
      <c r="Z183" s="149">
        <v>7.8071999999999999</v>
      </c>
      <c r="AA183" s="57">
        <v>7.8072300000000006</v>
      </c>
      <c r="CP183"/>
      <c r="CQ183"/>
      <c r="CR183"/>
      <c r="CS183"/>
      <c r="CT183"/>
      <c r="CU183"/>
      <c r="CV183"/>
    </row>
    <row r="184" spans="4:107" x14ac:dyDescent="0.2">
      <c r="D184" s="75" t="str">
        <f t="shared" ref="D184:D187" si="35">D177</f>
        <v>Excess Cost Oil</v>
      </c>
      <c r="L184" s="149">
        <v>0</v>
      </c>
      <c r="M184" s="57">
        <v>0</v>
      </c>
      <c r="N184" s="149">
        <v>0</v>
      </c>
      <c r="O184" s="57">
        <v>0</v>
      </c>
      <c r="P184" s="149">
        <v>0</v>
      </c>
      <c r="Q184" s="57">
        <v>0</v>
      </c>
      <c r="R184" s="149">
        <v>0</v>
      </c>
      <c r="S184" s="57">
        <v>0</v>
      </c>
      <c r="T184" s="149">
        <v>0</v>
      </c>
      <c r="U184" s="57">
        <v>0</v>
      </c>
      <c r="V184" s="149">
        <v>0</v>
      </c>
      <c r="W184" s="57">
        <v>0</v>
      </c>
      <c r="X184" s="149">
        <v>0</v>
      </c>
      <c r="Y184" s="57">
        <v>0</v>
      </c>
      <c r="Z184" s="149">
        <v>0</v>
      </c>
      <c r="AA184" s="57">
        <v>0</v>
      </c>
      <c r="CP184"/>
      <c r="CQ184"/>
      <c r="CR184"/>
      <c r="CS184"/>
      <c r="CT184"/>
      <c r="CU184"/>
      <c r="CV184"/>
    </row>
    <row r="185" spans="4:107" x14ac:dyDescent="0.2">
      <c r="D185" s="75" t="str">
        <f t="shared" si="35"/>
        <v>SPO</v>
      </c>
      <c r="L185" s="149">
        <v>7.3730599633022349</v>
      </c>
      <c r="M185" s="57">
        <v>9.4331191546268105</v>
      </c>
      <c r="N185" s="149">
        <v>7.2044742908897659</v>
      </c>
      <c r="O185" s="57">
        <v>9.4686687161650163</v>
      </c>
      <c r="P185" s="149">
        <v>0</v>
      </c>
      <c r="Q185" s="57">
        <v>0</v>
      </c>
      <c r="R185" s="149">
        <v>0</v>
      </c>
      <c r="S185" s="57">
        <v>0</v>
      </c>
      <c r="T185" s="149">
        <v>0</v>
      </c>
      <c r="U185" s="57">
        <v>0</v>
      </c>
      <c r="V185" s="149">
        <v>0</v>
      </c>
      <c r="W185" s="57">
        <v>0</v>
      </c>
      <c r="X185" s="149">
        <v>0</v>
      </c>
      <c r="Y185" s="57">
        <v>0</v>
      </c>
      <c r="Z185" s="149">
        <v>0</v>
      </c>
      <c r="AA185" s="57">
        <v>0</v>
      </c>
      <c r="CP185"/>
      <c r="CQ185"/>
      <c r="CR185"/>
      <c r="CS185"/>
      <c r="CT185"/>
      <c r="CU185"/>
      <c r="CV185"/>
    </row>
    <row r="186" spans="4:107" x14ac:dyDescent="0.2">
      <c r="D186" s="75" t="str">
        <f t="shared" si="35"/>
        <v>Partage du profit</v>
      </c>
      <c r="L186" s="149">
        <v>1.8456010749975718</v>
      </c>
      <c r="M186" s="57">
        <v>0</v>
      </c>
      <c r="N186" s="149">
        <v>1.9196133672616253</v>
      </c>
      <c r="O186" s="57">
        <v>0</v>
      </c>
      <c r="P186" s="149">
        <v>1.3827199999999999</v>
      </c>
      <c r="Q186" s="57">
        <v>0.69151153500000051</v>
      </c>
      <c r="R186" s="149">
        <v>0.7632358825950003</v>
      </c>
      <c r="S186" s="57">
        <v>0.70161277500000019</v>
      </c>
      <c r="T186" s="149">
        <v>1.5873321117150005</v>
      </c>
      <c r="U186" s="57">
        <v>1.4685423750000011</v>
      </c>
      <c r="V186" s="149">
        <v>2.5035575741100011</v>
      </c>
      <c r="W186" s="57">
        <v>2.3575131900000015</v>
      </c>
      <c r="X186" s="149">
        <v>2.536074085635001</v>
      </c>
      <c r="Y186" s="57">
        <v>2.8687679474999985</v>
      </c>
      <c r="Z186" s="149">
        <v>2.3422000000000001</v>
      </c>
      <c r="AA186" s="57">
        <v>2.7325305000000024</v>
      </c>
      <c r="CP186"/>
      <c r="CQ186"/>
      <c r="CR186"/>
      <c r="CS186"/>
      <c r="CT186"/>
      <c r="CU186"/>
      <c r="CV186"/>
    </row>
    <row r="187" spans="4:107" x14ac:dyDescent="0.2">
      <c r="D187" s="75" t="str">
        <f t="shared" si="35"/>
        <v>PID</v>
      </c>
      <c r="L187" s="149">
        <v>0.19452066458086095</v>
      </c>
      <c r="M187" s="57">
        <v>0.18113640000000003</v>
      </c>
      <c r="N187" s="149">
        <v>0.19908692706971792</v>
      </c>
      <c r="O187" s="57">
        <v>0.18917858999999998</v>
      </c>
      <c r="P187" s="149">
        <v>0.15282133479420848</v>
      </c>
      <c r="Q187" s="57">
        <v>0.15366922999999999</v>
      </c>
      <c r="R187" s="149">
        <v>0.16814996528402457</v>
      </c>
      <c r="S187" s="57">
        <v>0.15591395</v>
      </c>
      <c r="T187" s="149">
        <v>0.35170181979971088</v>
      </c>
      <c r="U187" s="57">
        <v>0.32634275000000007</v>
      </c>
      <c r="V187" s="149">
        <v>0.55855269813154051</v>
      </c>
      <c r="W187" s="57">
        <v>0.52389182000000001</v>
      </c>
      <c r="X187" s="149">
        <v>0.56241645483925451</v>
      </c>
      <c r="Y187" s="57">
        <v>0.54643198999999998</v>
      </c>
      <c r="Z187" s="149">
        <v>0.51941627504328469</v>
      </c>
      <c r="AA187" s="57">
        <v>0.52048200000000011</v>
      </c>
      <c r="CP187"/>
      <c r="CQ187"/>
      <c r="CR187"/>
      <c r="CS187"/>
      <c r="CT187"/>
      <c r="CU187"/>
      <c r="CV187"/>
    </row>
    <row r="188" spans="4:107" x14ac:dyDescent="0.2">
      <c r="CP188"/>
      <c r="CQ188"/>
      <c r="CR188"/>
      <c r="CS188"/>
      <c r="CT188"/>
      <c r="CU188"/>
      <c r="CV188"/>
    </row>
    <row r="189" spans="4:107" x14ac:dyDescent="0.2">
      <c r="D189" t="str">
        <f>D129</f>
        <v>KLL</v>
      </c>
      <c r="CP189"/>
      <c r="CQ189"/>
      <c r="CR189"/>
      <c r="CS189"/>
      <c r="CT189"/>
      <c r="CU189"/>
      <c r="CV189"/>
    </row>
    <row r="190" spans="4:107" x14ac:dyDescent="0.2">
      <c r="D190" s="75" t="str">
        <f>D183</f>
        <v>Redevances</v>
      </c>
      <c r="L190" s="149">
        <v>0.84686150339999999</v>
      </c>
      <c r="M190" s="57">
        <v>0.70949700000000004</v>
      </c>
      <c r="N190" s="149">
        <v>0.93905395545000003</v>
      </c>
      <c r="O190" s="57">
        <v>0.87360344999999995</v>
      </c>
      <c r="P190" s="149">
        <v>1.0590887867999998</v>
      </c>
      <c r="Q190" s="57">
        <v>0.89958104999999999</v>
      </c>
      <c r="R190" s="149">
        <v>0.92085782850000009</v>
      </c>
      <c r="S190" s="57">
        <v>0.92775855000287133</v>
      </c>
      <c r="T190" s="149">
        <v>0.85162084950000005</v>
      </c>
      <c r="U190" s="57">
        <v>0.83425998376460531</v>
      </c>
      <c r="V190" s="149">
        <v>0.96035746979999992</v>
      </c>
      <c r="W190" s="57">
        <v>0.8984658000053326</v>
      </c>
      <c r="X190" s="149">
        <v>0.97284434295000011</v>
      </c>
      <c r="Y190" s="57">
        <v>0.92882564999999995</v>
      </c>
      <c r="Z190" s="149">
        <v>0.83440000000000003</v>
      </c>
      <c r="AA190" s="57">
        <v>0.83443499999999993</v>
      </c>
      <c r="CP190"/>
      <c r="CQ190"/>
      <c r="CR190"/>
      <c r="CS190"/>
      <c r="CT190"/>
      <c r="CU190"/>
      <c r="CV190"/>
      <c r="CW190"/>
      <c r="CX190"/>
      <c r="CY190"/>
      <c r="CZ190"/>
      <c r="DA190"/>
      <c r="DB190"/>
      <c r="DC190"/>
    </row>
    <row r="191" spans="4:107" x14ac:dyDescent="0.2">
      <c r="D191" s="75" t="str">
        <f t="shared" ref="D191:D194" si="36">D184</f>
        <v>Excess Cost Oil</v>
      </c>
      <c r="L191" s="149">
        <v>0</v>
      </c>
      <c r="M191" s="57">
        <v>0</v>
      </c>
      <c r="N191" s="149">
        <v>0</v>
      </c>
      <c r="O191" s="57">
        <v>0</v>
      </c>
      <c r="P191" s="149">
        <v>0</v>
      </c>
      <c r="Q191" s="57">
        <v>0</v>
      </c>
      <c r="R191" s="149">
        <v>0</v>
      </c>
      <c r="S191" s="57">
        <v>0</v>
      </c>
      <c r="T191" s="149">
        <v>0</v>
      </c>
      <c r="U191" s="57">
        <v>0</v>
      </c>
      <c r="V191" s="149">
        <v>0</v>
      </c>
      <c r="W191" s="57">
        <v>0</v>
      </c>
      <c r="X191" s="149">
        <v>0</v>
      </c>
      <c r="Y191" s="57">
        <v>0</v>
      </c>
      <c r="Z191" s="149">
        <v>0.23749999999999999</v>
      </c>
      <c r="AA191" s="57">
        <v>0</v>
      </c>
      <c r="CP191"/>
      <c r="CQ191"/>
      <c r="CR191"/>
      <c r="CS191"/>
      <c r="CT191"/>
      <c r="CU191"/>
      <c r="CV191"/>
      <c r="CW191"/>
      <c r="CX191"/>
      <c r="CY191"/>
      <c r="CZ191"/>
      <c r="DA191"/>
      <c r="DB191"/>
      <c r="DC191"/>
    </row>
    <row r="192" spans="4:107" x14ac:dyDescent="0.2">
      <c r="D192" s="75" t="str">
        <f t="shared" si="36"/>
        <v>SPO</v>
      </c>
      <c r="L192" s="149">
        <v>2.0642144973733645</v>
      </c>
      <c r="M192" s="57">
        <v>1.7315361276068884</v>
      </c>
      <c r="N192" s="149">
        <v>2.0618270446061109</v>
      </c>
      <c r="O192" s="57">
        <v>1.9863409102864291</v>
      </c>
      <c r="P192" s="149">
        <v>0.81028356931700685</v>
      </c>
      <c r="Q192" s="57">
        <v>0.75546912324341342</v>
      </c>
      <c r="R192" s="149">
        <v>0.32775396500116888</v>
      </c>
      <c r="S192" s="57">
        <v>0.17112445042392488</v>
      </c>
      <c r="T192" s="149">
        <v>0.85028586031190811</v>
      </c>
      <c r="U192" s="57">
        <v>0.85764489306951819</v>
      </c>
      <c r="V192" s="149">
        <v>1.4902696848279176</v>
      </c>
      <c r="W192" s="57">
        <v>1.4101267145871701</v>
      </c>
      <c r="X192" s="149">
        <v>1.3441782544837162</v>
      </c>
      <c r="Y192" s="57">
        <v>1.2953502216409045</v>
      </c>
      <c r="Z192" s="149">
        <v>0.1807</v>
      </c>
      <c r="AA192" s="57">
        <v>0</v>
      </c>
      <c r="CP192"/>
      <c r="CQ192"/>
      <c r="CR192"/>
      <c r="CS192"/>
      <c r="CT192"/>
      <c r="CU192"/>
      <c r="CV192"/>
      <c r="CW192"/>
      <c r="CX192"/>
      <c r="CY192"/>
      <c r="CZ192"/>
      <c r="DA192"/>
      <c r="DB192"/>
      <c r="DC192"/>
    </row>
    <row r="193" spans="3:100" x14ac:dyDescent="0.2">
      <c r="D193" s="75" t="str">
        <f t="shared" si="36"/>
        <v>Partage du profit</v>
      </c>
      <c r="L193" s="149">
        <v>6.1959962542522194E-2</v>
      </c>
      <c r="M193" s="57">
        <v>0.20132419771507362</v>
      </c>
      <c r="N193" s="149">
        <v>0.16759516478258024</v>
      </c>
      <c r="O193" s="57">
        <v>0.1696822260602272</v>
      </c>
      <c r="P193" s="149">
        <v>0.5865918813775024</v>
      </c>
      <c r="Q193" s="57">
        <v>0.56969356588267739</v>
      </c>
      <c r="R193" s="149">
        <v>0.23257020699013467</v>
      </c>
      <c r="S193" s="57">
        <v>0.72030273530638977</v>
      </c>
      <c r="T193" s="149">
        <v>0.30228765741947583</v>
      </c>
      <c r="U193" s="57">
        <v>0.49403692007261651</v>
      </c>
      <c r="V193" s="149">
        <v>0.30844742486766602</v>
      </c>
      <c r="W193" s="57">
        <v>0.42583170006330617</v>
      </c>
      <c r="X193" s="149">
        <v>0.5009746872518489</v>
      </c>
      <c r="Y193" s="57">
        <v>0.47568818074240504</v>
      </c>
      <c r="Z193" s="149">
        <v>0.76139999999999997</v>
      </c>
      <c r="AA193" s="57">
        <v>0.97350750000000019</v>
      </c>
      <c r="CP193"/>
      <c r="CQ193"/>
      <c r="CR193"/>
      <c r="CS193"/>
      <c r="CT193"/>
      <c r="CU193"/>
      <c r="CV193"/>
    </row>
    <row r="194" spans="3:100" x14ac:dyDescent="0.2">
      <c r="D194" s="75" t="str">
        <f t="shared" si="36"/>
        <v>PID</v>
      </c>
      <c r="L194" s="149">
        <v>5.6477604063335803E-2</v>
      </c>
      <c r="M194" s="57">
        <v>4.7299800000000003E-2</v>
      </c>
      <c r="N194" s="149">
        <v>6.1997769619510965E-2</v>
      </c>
      <c r="O194" s="57">
        <v>5.8240230000000004E-2</v>
      </c>
      <c r="P194" s="149">
        <v>6.9710109753339661E-2</v>
      </c>
      <c r="Q194" s="57">
        <v>5.9972070000000002E-2</v>
      </c>
      <c r="R194" s="149">
        <v>6.197856599162882E-2</v>
      </c>
      <c r="S194" s="57">
        <v>6.1850570000191417E-2</v>
      </c>
      <c r="T194" s="149">
        <v>5.6635473695136787E-2</v>
      </c>
      <c r="U194" s="57">
        <v>5.5617332250973692E-2</v>
      </c>
      <c r="V194" s="149">
        <v>6.4270059081703815E-2</v>
      </c>
      <c r="W194" s="57">
        <v>5.9897720000355509E-2</v>
      </c>
      <c r="X194" s="149">
        <v>6.4726581030701363E-2</v>
      </c>
      <c r="Y194" s="57">
        <v>6.1921710000000005E-2</v>
      </c>
      <c r="Z194" s="149">
        <v>5.6888449171407368E-2</v>
      </c>
      <c r="AA194" s="57">
        <v>5.5628999999999998E-2</v>
      </c>
      <c r="CP194"/>
      <c r="CQ194"/>
      <c r="CR194"/>
      <c r="CS194"/>
      <c r="CT194"/>
      <c r="CU194"/>
      <c r="CV194"/>
    </row>
    <row r="195" spans="3:100" x14ac:dyDescent="0.2">
      <c r="CP195"/>
      <c r="CQ195"/>
      <c r="CR195"/>
      <c r="CS195"/>
      <c r="CT195"/>
      <c r="CU195"/>
      <c r="CV195"/>
    </row>
    <row r="196" spans="3:100" x14ac:dyDescent="0.2">
      <c r="D196" s="143" t="s">
        <v>129</v>
      </c>
      <c r="L196" s="220">
        <v>2013</v>
      </c>
      <c r="M196" s="220"/>
      <c r="N196" s="220">
        <v>2014</v>
      </c>
      <c r="O196" s="220"/>
      <c r="P196" s="220">
        <v>2015</v>
      </c>
      <c r="Q196" s="220"/>
      <c r="R196" s="220">
        <v>2016</v>
      </c>
      <c r="S196" s="220"/>
      <c r="T196" s="220">
        <v>2017</v>
      </c>
      <c r="U196" s="220"/>
      <c r="V196" s="220">
        <v>2018</v>
      </c>
      <c r="W196" s="220"/>
      <c r="X196" s="220">
        <v>2019</v>
      </c>
      <c r="Y196" s="220"/>
      <c r="Z196" s="220">
        <v>2020</v>
      </c>
      <c r="AA196" s="220"/>
      <c r="CP196"/>
      <c r="CQ196"/>
      <c r="CR196"/>
      <c r="CS196"/>
      <c r="CT196"/>
      <c r="CU196"/>
      <c r="CV196"/>
    </row>
    <row r="197" spans="3:100" x14ac:dyDescent="0.2">
      <c r="L197" s="194" t="s">
        <v>813</v>
      </c>
      <c r="M197" s="194" t="s">
        <v>814</v>
      </c>
      <c r="N197" s="194" t="s">
        <v>813</v>
      </c>
      <c r="O197" s="194" t="s">
        <v>814</v>
      </c>
      <c r="P197" s="194" t="s">
        <v>813</v>
      </c>
      <c r="Q197" s="194" t="s">
        <v>814</v>
      </c>
      <c r="R197" s="194" t="s">
        <v>813</v>
      </c>
      <c r="S197" s="194" t="s">
        <v>814</v>
      </c>
      <c r="T197" s="194" t="s">
        <v>813</v>
      </c>
      <c r="U197" s="194" t="s">
        <v>814</v>
      </c>
      <c r="V197" s="194" t="s">
        <v>813</v>
      </c>
      <c r="W197" s="194" t="s">
        <v>814</v>
      </c>
      <c r="X197" s="194" t="s">
        <v>813</v>
      </c>
      <c r="Y197" s="194" t="s">
        <v>814</v>
      </c>
      <c r="Z197" s="194" t="s">
        <v>813</v>
      </c>
      <c r="AA197" s="194" t="s">
        <v>814</v>
      </c>
      <c r="CP197"/>
      <c r="CQ197"/>
      <c r="CR197"/>
      <c r="CS197"/>
      <c r="CT197"/>
      <c r="CU197"/>
      <c r="CV197"/>
    </row>
    <row r="198" spans="3:100" x14ac:dyDescent="0.2">
      <c r="D198" s="75" t="str">
        <f>D190</f>
        <v>Redevances</v>
      </c>
      <c r="L198" s="149">
        <f>SUM(L169,L176,L183,L190)</f>
        <v>4.9479109391100007</v>
      </c>
      <c r="M198" s="57">
        <f t="shared" ref="M198:AA198" si="37">SUM(M169,M176,M183,M190)</f>
        <v>4.5975259879397088</v>
      </c>
      <c r="N198" s="149">
        <f t="shared" si="37"/>
        <v>5.2887847933200005</v>
      </c>
      <c r="O198" s="57">
        <f t="shared" si="37"/>
        <v>5.1252411573319128</v>
      </c>
      <c r="P198" s="149">
        <f t="shared" si="37"/>
        <v>4.6528767703600007</v>
      </c>
      <c r="Q198" s="57">
        <f t="shared" si="37"/>
        <v>4.4687568635990047</v>
      </c>
      <c r="R198" s="149">
        <f t="shared" si="37"/>
        <v>4.6757837853059998</v>
      </c>
      <c r="S198" s="57">
        <f t="shared" si="37"/>
        <v>4.5714298662494963</v>
      </c>
      <c r="T198" s="149">
        <f t="shared" si="37"/>
        <v>7.4812593526499995</v>
      </c>
      <c r="U198" s="57">
        <f t="shared" si="37"/>
        <v>7.1525134865713831</v>
      </c>
      <c r="V198" s="149">
        <f t="shared" si="37"/>
        <v>10.3289000703</v>
      </c>
      <c r="W198" s="57">
        <f t="shared" si="37"/>
        <v>9.8680618124052657</v>
      </c>
      <c r="X198" s="149">
        <f t="shared" si="37"/>
        <v>10.4494063635</v>
      </c>
      <c r="Y198" s="57">
        <f t="shared" si="37"/>
        <v>10.318515852806348</v>
      </c>
      <c r="Z198" s="149">
        <f t="shared" si="37"/>
        <v>9.5003658800787498</v>
      </c>
      <c r="AA198" s="57">
        <f t="shared" si="37"/>
        <v>9.5068554766499993</v>
      </c>
      <c r="CP198"/>
      <c r="CQ198"/>
      <c r="CR198"/>
      <c r="CS198"/>
      <c r="CT198"/>
      <c r="CU198"/>
      <c r="CV198"/>
    </row>
    <row r="199" spans="3:100" x14ac:dyDescent="0.2">
      <c r="D199" s="75" t="str">
        <f>D191</f>
        <v>Excess Cost Oil</v>
      </c>
      <c r="L199" s="149">
        <f>SUM(L170,L177,L184,L191)</f>
        <v>0</v>
      </c>
      <c r="M199" s="57">
        <f t="shared" ref="M199:AA199" si="38">SUM(M170,M177,M184,M191)</f>
        <v>0</v>
      </c>
      <c r="N199" s="149">
        <f t="shared" si="38"/>
        <v>0</v>
      </c>
      <c r="O199" s="57">
        <f t="shared" si="38"/>
        <v>0</v>
      </c>
      <c r="P199" s="149">
        <f t="shared" si="38"/>
        <v>0</v>
      </c>
      <c r="Q199" s="57">
        <f t="shared" si="38"/>
        <v>0</v>
      </c>
      <c r="R199" s="149">
        <f t="shared" si="38"/>
        <v>0</v>
      </c>
      <c r="S199" s="57">
        <f t="shared" si="38"/>
        <v>0</v>
      </c>
      <c r="T199" s="149">
        <f t="shared" si="38"/>
        <v>0</v>
      </c>
      <c r="U199" s="57">
        <f t="shared" si="38"/>
        <v>0</v>
      </c>
      <c r="V199" s="149">
        <f t="shared" si="38"/>
        <v>0</v>
      </c>
      <c r="W199" s="57">
        <f t="shared" si="38"/>
        <v>2.0579976436112367E-16</v>
      </c>
      <c r="X199" s="149">
        <f t="shared" si="38"/>
        <v>0</v>
      </c>
      <c r="Y199" s="57">
        <f t="shared" si="38"/>
        <v>0</v>
      </c>
      <c r="Z199" s="149">
        <f t="shared" si="38"/>
        <v>0.30940000000000001</v>
      </c>
      <c r="AA199" s="57">
        <f t="shared" si="38"/>
        <v>0</v>
      </c>
      <c r="CP199"/>
      <c r="CQ199"/>
      <c r="CR199"/>
      <c r="CS199"/>
      <c r="CT199"/>
      <c r="CU199"/>
      <c r="CV199"/>
    </row>
    <row r="200" spans="3:100" x14ac:dyDescent="0.2">
      <c r="D200" s="75" t="s">
        <v>1033</v>
      </c>
      <c r="L200" s="149">
        <f>SUM(L171,L172,L178,L179,L185,L186,L192,L193)</f>
        <v>16.47094078937555</v>
      </c>
      <c r="M200" s="57">
        <f t="shared" ref="M200:AA200" si="39">SUM(M171,M172,M178,M179,M185,M186,M192,M193)</f>
        <v>16.734327971885325</v>
      </c>
      <c r="N200" s="149">
        <f t="shared" si="39"/>
        <v>16.811336921360947</v>
      </c>
      <c r="O200" s="57">
        <f t="shared" si="39"/>
        <v>17.812947027969578</v>
      </c>
      <c r="P200" s="149">
        <f t="shared" si="39"/>
        <v>5.6689906123258371</v>
      </c>
      <c r="Q200" s="57">
        <f t="shared" si="39"/>
        <v>5.5951203260829043</v>
      </c>
      <c r="R200" s="149">
        <f t="shared" si="39"/>
        <v>3.5556231039947797</v>
      </c>
      <c r="S200" s="57">
        <f t="shared" si="39"/>
        <v>4.6262777763938931</v>
      </c>
      <c r="T200" s="149">
        <f t="shared" si="39"/>
        <v>3.8056410747966591</v>
      </c>
      <c r="U200" s="57">
        <f t="shared" si="39"/>
        <v>4.3342911801150183</v>
      </c>
      <c r="V200" s="149">
        <f t="shared" si="39"/>
        <v>5.353809204307173</v>
      </c>
      <c r="W200" s="57">
        <f t="shared" si="39"/>
        <v>5.4909674408933258</v>
      </c>
      <c r="X200" s="149">
        <f t="shared" si="39"/>
        <v>5.3089157190580094</v>
      </c>
      <c r="Y200" s="57">
        <f t="shared" si="39"/>
        <v>5.8759775398296936</v>
      </c>
      <c r="Z200" s="149">
        <f t="shared" si="39"/>
        <v>3.8467009947813642</v>
      </c>
      <c r="AA200" s="57">
        <f t="shared" si="39"/>
        <v>4.5523650638750022</v>
      </c>
    </row>
    <row r="201" spans="3:100" x14ac:dyDescent="0.2">
      <c r="D201" s="75" t="str">
        <f>D194</f>
        <v>PID</v>
      </c>
      <c r="L201" s="149">
        <f>SUM(L173,L180,L187,L194)</f>
        <v>0.33669170181136965</v>
      </c>
      <c r="M201" s="57">
        <f t="shared" ref="M201:AA201" si="40">SUM(M173,M180,M187,M194)</f>
        <v>0.32406385748944089</v>
      </c>
      <c r="N201" s="149">
        <f t="shared" si="40"/>
        <v>0.36387397960580448</v>
      </c>
      <c r="O201" s="57">
        <f t="shared" si="40"/>
        <v>0.36305260601301054</v>
      </c>
      <c r="P201" s="149">
        <f t="shared" si="40"/>
        <v>0.31919843575288576</v>
      </c>
      <c r="Q201" s="57">
        <f t="shared" si="40"/>
        <v>0.31649366608228774</v>
      </c>
      <c r="R201" s="149">
        <f t="shared" si="40"/>
        <v>0.31869638781380583</v>
      </c>
      <c r="S201" s="57">
        <f t="shared" si="40"/>
        <v>0.32455150367852531</v>
      </c>
      <c r="T201" s="149">
        <f t="shared" si="40"/>
        <v>0.49163039969122391</v>
      </c>
      <c r="U201" s="57">
        <f t="shared" si="40"/>
        <v>0.47683423243809231</v>
      </c>
      <c r="V201" s="149">
        <f t="shared" si="40"/>
        <v>0.68280195148810918</v>
      </c>
      <c r="W201" s="57">
        <f t="shared" si="40"/>
        <v>0.65787078749368455</v>
      </c>
      <c r="X201" s="149">
        <f t="shared" si="40"/>
        <v>0.69555377705113042</v>
      </c>
      <c r="Y201" s="57">
        <f t="shared" si="40"/>
        <v>0.68790105685375647</v>
      </c>
      <c r="Z201" s="149">
        <f t="shared" si="40"/>
        <v>0.63444324675654684</v>
      </c>
      <c r="AA201" s="57">
        <f t="shared" si="40"/>
        <v>0.6337903651100002</v>
      </c>
    </row>
    <row r="202" spans="3:100" x14ac:dyDescent="0.2">
      <c r="M202" s="200">
        <f>SUM(M198:M201)/SUM(L198:L201)-1</f>
        <v>-4.5793208200767266E-3</v>
      </c>
      <c r="O202" s="200">
        <f>SUM(O198:O201)/SUM(N198:N201)-1</f>
        <v>3.7270533186608557E-2</v>
      </c>
      <c r="Q202" s="200">
        <f>SUM(Q198:Q201)/SUM(P198:P201)-1</f>
        <v>-2.4498952184169198E-2</v>
      </c>
      <c r="S202" s="200">
        <f>SUM(S198:S201)/SUM(R198:R201)-1</f>
        <v>0.11370106742563313</v>
      </c>
      <c r="U202" s="200">
        <f>SUM(U198:U201)/SUM(T198:T201)-1</f>
        <v>1.5715718259200928E-2</v>
      </c>
      <c r="W202" s="200">
        <f>SUM(W198:W201)/SUM(V198:V201)-1</f>
        <v>-2.1301576253061727E-2</v>
      </c>
      <c r="Y202" s="200">
        <f>SUM(Y198:Y201)/SUM(X198:X201)-1</f>
        <v>2.6043626045130219E-2</v>
      </c>
      <c r="AA202" s="200">
        <f>SUM(AA198:AA201)/SUM(Z198:Z201)-1</f>
        <v>2.8136821279850732E-2</v>
      </c>
    </row>
    <row r="205" spans="3:100" x14ac:dyDescent="0.2">
      <c r="C205" s="11" t="s">
        <v>1036</v>
      </c>
      <c r="U205" s="29" t="str">
        <f>E33</f>
        <v>Moho</v>
      </c>
    </row>
    <row r="206" spans="3:100" x14ac:dyDescent="0.2">
      <c r="C206" t="s">
        <v>1040</v>
      </c>
    </row>
    <row r="207" spans="3:100" x14ac:dyDescent="0.2">
      <c r="L207">
        <v>2013</v>
      </c>
      <c r="M207">
        <f>L207+1</f>
        <v>2014</v>
      </c>
      <c r="N207">
        <f t="shared" ref="N207:S207" si="41">M207+1</f>
        <v>2015</v>
      </c>
      <c r="O207">
        <f t="shared" si="41"/>
        <v>2016</v>
      </c>
      <c r="P207">
        <f t="shared" si="41"/>
        <v>2017</v>
      </c>
      <c r="Q207">
        <f t="shared" si="41"/>
        <v>2018</v>
      </c>
      <c r="R207">
        <f t="shared" si="41"/>
        <v>2019</v>
      </c>
      <c r="S207">
        <f t="shared" si="41"/>
        <v>2020</v>
      </c>
      <c r="U207">
        <v>2013</v>
      </c>
      <c r="V207">
        <f>U207+1</f>
        <v>2014</v>
      </c>
      <c r="W207">
        <f t="shared" ref="W207" si="42">V207+1</f>
        <v>2015</v>
      </c>
      <c r="X207">
        <f t="shared" ref="X207" si="43">W207+1</f>
        <v>2016</v>
      </c>
      <c r="Y207">
        <f t="shared" ref="Y207" si="44">X207+1</f>
        <v>2017</v>
      </c>
      <c r="Z207">
        <f t="shared" ref="Z207" si="45">Y207+1</f>
        <v>2018</v>
      </c>
      <c r="AA207">
        <f t="shared" ref="AA207" si="46">Z207+1</f>
        <v>2019</v>
      </c>
      <c r="AB207">
        <f t="shared" ref="AB207" si="47">AA207+1</f>
        <v>2020</v>
      </c>
    </row>
    <row r="208" spans="3:100" x14ac:dyDescent="0.2">
      <c r="D208" t="s">
        <v>1037</v>
      </c>
      <c r="L208" s="57">
        <v>1347.7188707745906</v>
      </c>
      <c r="M208" s="57">
        <v>1386.9991655780705</v>
      </c>
      <c r="N208" s="57">
        <v>997.96670877276347</v>
      </c>
      <c r="O208" s="57">
        <v>904.84341706805753</v>
      </c>
      <c r="P208" s="57">
        <v>2011.4339373422106</v>
      </c>
      <c r="Q208" s="57">
        <v>3576.5396560424551</v>
      </c>
      <c r="R208" s="57">
        <v>3418.2238866913303</v>
      </c>
      <c r="S208" s="57">
        <v>1691.5103194122382</v>
      </c>
      <c r="U208" s="57">
        <f ca="1">'Tableau de bord Backcasting'!H$91</f>
        <v>771.85581735210985</v>
      </c>
      <c r="V208" s="57">
        <f ca="1">'Tableau de bord Backcasting'!I$91</f>
        <v>771.69458103053921</v>
      </c>
      <c r="W208" s="57">
        <f ca="1">'Tableau de bord Backcasting'!J$91</f>
        <v>555.78636819723602</v>
      </c>
      <c r="X208" s="57">
        <f ca="1">'Tableau de bord Backcasting'!K$91</f>
        <v>553.15797733408363</v>
      </c>
      <c r="Y208" s="57">
        <f ca="1">'Tableau de bord Backcasting'!L$91</f>
        <v>1542.1623090282756</v>
      </c>
      <c r="Z208" s="57">
        <f ca="1">'Tableau de bord Backcasting'!M$91</f>
        <v>3065.4683765634027</v>
      </c>
      <c r="AA208" s="57">
        <f ca="1">'Tableau de bord Backcasting'!N$91</f>
        <v>2926.077657964589</v>
      </c>
      <c r="AB208" s="57">
        <f ca="1">'Tableau de bord Backcasting'!O$91</f>
        <v>1473.0144910000001</v>
      </c>
    </row>
    <row r="209" spans="3:28" x14ac:dyDescent="0.2">
      <c r="D209" t="s">
        <v>1038</v>
      </c>
      <c r="L209" s="57">
        <v>35.457976627571981</v>
      </c>
      <c r="M209" s="57">
        <v>34.392615535682232</v>
      </c>
      <c r="N209" s="57">
        <v>15.1828139874389</v>
      </c>
      <c r="O209" s="57">
        <v>12.918015883612389</v>
      </c>
      <c r="P209" s="57">
        <v>26.278049451031539</v>
      </c>
      <c r="Q209" s="57">
        <v>46.763004281522065</v>
      </c>
      <c r="R209" s="57">
        <v>44.408450805885636</v>
      </c>
      <c r="S209" s="57">
        <v>25.683960427075</v>
      </c>
      <c r="U209" s="57">
        <f ca="1">'Tableau de bord Backcasting'!H$93</f>
        <v>20.534758022249697</v>
      </c>
      <c r="V209" s="57">
        <f ca="1">'Tableau de bord Backcasting'!I$93</f>
        <v>19.129832350994999</v>
      </c>
      <c r="W209" s="57">
        <f ca="1">'Tableau de bord Backcasting'!J$93</f>
        <v>7.3099130866430597</v>
      </c>
      <c r="X209" s="57">
        <f ca="1">'Tableau de bord Backcasting'!K$93</f>
        <v>6.8124576475457399</v>
      </c>
      <c r="Y209" s="57">
        <f ca="1">'Tableau de bord Backcasting'!L$93</f>
        <v>19.100886826789498</v>
      </c>
      <c r="Z209" s="57">
        <f ca="1">'Tableau de bord Backcasting'!M$93</f>
        <v>38.231386150506104</v>
      </c>
      <c r="AA209" s="57">
        <f ca="1">'Tableau de bord Backcasting'!N$93</f>
        <v>36.2742601816662</v>
      </c>
      <c r="AB209" s="57">
        <f ca="1">'Tableau de bord Backcasting'!O$93</f>
        <v>21</v>
      </c>
    </row>
    <row r="210" spans="3:28" x14ac:dyDescent="0.2">
      <c r="D210" t="s">
        <v>1039</v>
      </c>
      <c r="L210" s="57">
        <v>458.85299999999995</v>
      </c>
      <c r="M210" s="57">
        <v>487.94499999999999</v>
      </c>
      <c r="N210" s="57">
        <v>481.86199999999997</v>
      </c>
      <c r="O210" s="57">
        <v>812.99299999999994</v>
      </c>
      <c r="P210" s="57">
        <v>1169.385</v>
      </c>
      <c r="Q210" s="57">
        <v>391.79999999999995</v>
      </c>
      <c r="R210" s="57">
        <v>428.5</v>
      </c>
      <c r="S210" s="57">
        <v>423.7</v>
      </c>
      <c r="U210" s="57">
        <f ca="1">'Tableau de bord Backcasting'!H$94</f>
        <v>172.67099999999999</v>
      </c>
      <c r="V210" s="57">
        <f ca="1">'Tableau de bord Backcasting'!I$94</f>
        <v>220.01900000000001</v>
      </c>
      <c r="W210" s="57">
        <f ca="1">'Tableau de bord Backcasting'!J$94</f>
        <v>282.71699999999998</v>
      </c>
      <c r="X210" s="57">
        <f ca="1">'Tableau de bord Backcasting'!K$94</f>
        <v>470.46699999999998</v>
      </c>
      <c r="Y210" s="57">
        <f ca="1">'Tableau de bord Backcasting'!L$94</f>
        <v>868.58600000000001</v>
      </c>
      <c r="Z210" s="57">
        <f ca="1">'Tableau de bord Backcasting'!M$94</f>
        <v>248.2</v>
      </c>
      <c r="AA210" s="57">
        <f ca="1">'Tableau de bord Backcasting'!N$94</f>
        <v>281.8</v>
      </c>
      <c r="AB210" s="57">
        <f ca="1">'Tableau de bord Backcasting'!O$94</f>
        <v>286.3</v>
      </c>
    </row>
    <row r="211" spans="3:28" x14ac:dyDescent="0.2">
      <c r="D211" t="str">
        <f>CHOOSE(db_ML_selected, "Operating Margin", "Marge Nette")</f>
        <v>Marge Nette</v>
      </c>
      <c r="L211" s="57">
        <f>L208-L209-L210</f>
        <v>853.40789414701874</v>
      </c>
      <c r="M211" s="57">
        <f t="shared" ref="M211:S211" si="48">M208-M209-M210</f>
        <v>864.6615500423884</v>
      </c>
      <c r="N211" s="57">
        <f t="shared" si="48"/>
        <v>500.92189478532464</v>
      </c>
      <c r="O211" s="57">
        <f t="shared" si="48"/>
        <v>78.932401184445212</v>
      </c>
      <c r="P211" s="57">
        <f t="shared" si="48"/>
        <v>815.77088789117897</v>
      </c>
      <c r="Q211" s="57">
        <f t="shared" si="48"/>
        <v>3137.9766517609332</v>
      </c>
      <c r="R211" s="57">
        <f t="shared" si="48"/>
        <v>2945.3154358854449</v>
      </c>
      <c r="S211" s="57">
        <f t="shared" si="48"/>
        <v>1242.1263589851633</v>
      </c>
      <c r="U211" s="57">
        <f ca="1">U208-U209-U210</f>
        <v>578.65005932986014</v>
      </c>
      <c r="V211" s="57">
        <f t="shared" ref="V211:AB211" ca="1" si="49">V208-V209-V210</f>
        <v>532.5457486795442</v>
      </c>
      <c r="W211" s="57">
        <f t="shared" ca="1" si="49"/>
        <v>265.75945511059297</v>
      </c>
      <c r="X211" s="57">
        <f t="shared" ca="1" si="49"/>
        <v>75.878519686537857</v>
      </c>
      <c r="Y211" s="57">
        <f t="shared" ca="1" si="49"/>
        <v>654.47542220148603</v>
      </c>
      <c r="Z211" s="57">
        <f t="shared" ca="1" si="49"/>
        <v>2779.0369904128966</v>
      </c>
      <c r="AA211" s="57">
        <f t="shared" ca="1" si="49"/>
        <v>2608.0033977829225</v>
      </c>
      <c r="AB211" s="57">
        <f t="shared" ca="1" si="49"/>
        <v>1165.7144910000002</v>
      </c>
    </row>
    <row r="212" spans="3:28" x14ac:dyDescent="0.2">
      <c r="D212" t="s">
        <v>1041</v>
      </c>
      <c r="L212" s="111">
        <f>L211/L208</f>
        <v>0.63322397026059996</v>
      </c>
      <c r="M212" s="111">
        <f t="shared" ref="M212:S212" si="50">M211/M208</f>
        <v>0.62340452071001551</v>
      </c>
      <c r="N212" s="111">
        <f t="shared" si="50"/>
        <v>0.50194249004691427</v>
      </c>
      <c r="O212" s="111">
        <f t="shared" si="50"/>
        <v>8.7233215930561755E-2</v>
      </c>
      <c r="P212" s="111">
        <f t="shared" si="50"/>
        <v>0.40556683107827551</v>
      </c>
      <c r="Q212" s="111">
        <f t="shared" si="50"/>
        <v>0.87737784382158801</v>
      </c>
      <c r="R212" s="111">
        <f t="shared" si="50"/>
        <v>0.86165082613601496</v>
      </c>
      <c r="S212" s="111">
        <f t="shared" si="50"/>
        <v>0.7343297553258642</v>
      </c>
      <c r="U212" s="111">
        <f ca="1">U211/U208</f>
        <v>0.74968672428349148</v>
      </c>
      <c r="V212" s="111">
        <f t="shared" ref="V212:AB212" ca="1" si="51">V211/V208</f>
        <v>0.69009911663286527</v>
      </c>
      <c r="W212" s="111">
        <f t="shared" ca="1" si="51"/>
        <v>0.47816835805566382</v>
      </c>
      <c r="X212" s="111">
        <f t="shared" ca="1" si="51"/>
        <v>0.13717332623897149</v>
      </c>
      <c r="Y212" s="111">
        <f t="shared" ca="1" si="51"/>
        <v>0.42438815834753113</v>
      </c>
      <c r="Z212" s="111">
        <f t="shared" ca="1" si="51"/>
        <v>0.90656195042154863</v>
      </c>
      <c r="AA212" s="111">
        <f t="shared" ca="1" si="51"/>
        <v>0.89129671274585298</v>
      </c>
      <c r="AB212" s="111">
        <f t="shared" ca="1" si="51"/>
        <v>0.79138019219934486</v>
      </c>
    </row>
    <row r="213" spans="3:28" x14ac:dyDescent="0.2">
      <c r="D213" t="str">
        <f>'Tableau de bord Backcasting'!D95</f>
        <v>(-)Capex</v>
      </c>
      <c r="L213" s="57">
        <v>1670.3149999999998</v>
      </c>
      <c r="M213" s="57">
        <v>2499.6289999999999</v>
      </c>
      <c r="N213" s="57">
        <v>3316.6060000000002</v>
      </c>
      <c r="O213" s="57">
        <v>2638.5789999999997</v>
      </c>
      <c r="P213" s="57">
        <v>1222.288</v>
      </c>
      <c r="Q213" s="57">
        <v>831.59</v>
      </c>
      <c r="R213" s="57">
        <v>0</v>
      </c>
      <c r="S213" s="57">
        <v>0</v>
      </c>
      <c r="U213" s="57">
        <f ca="1">'Tableau de bord Backcasting'!H$95</f>
        <v>1286.7819999999999</v>
      </c>
      <c r="V213" s="57">
        <f ca="1">'Tableau de bord Backcasting'!I$95</f>
        <v>2118.212</v>
      </c>
      <c r="W213" s="57">
        <f ca="1">'Tableau de bord Backcasting'!J$95</f>
        <v>3130.5740000000001</v>
      </c>
      <c r="X213" s="57">
        <f ca="1">'Tableau de bord Backcasting'!K$95</f>
        <v>2571.201</v>
      </c>
      <c r="Y213" s="57">
        <f ca="1">'Tableau de bord Backcasting'!L$95</f>
        <v>1153.232</v>
      </c>
      <c r="Z213" s="57">
        <f ca="1">'Tableau de bord Backcasting'!M$95</f>
        <v>653.59</v>
      </c>
      <c r="AA213" s="57">
        <f ca="1">'Tableau de bord Backcasting'!N$95</f>
        <v>0</v>
      </c>
      <c r="AB213" s="57">
        <f ca="1">'Tableau de bord Backcasting'!O$95</f>
        <v>0</v>
      </c>
    </row>
    <row r="214" spans="3:28" x14ac:dyDescent="0.2">
      <c r="D214" t="str">
        <f>CHOOSE(db_ML_selected,'Liste Traduction'!B227,'Liste Traduction'!C227)</f>
        <v>Flux de trésorerie net</v>
      </c>
      <c r="L214" s="57">
        <f>L211-L213</f>
        <v>-816.90710585298109</v>
      </c>
      <c r="M214" s="57">
        <f t="shared" ref="M214:S214" si="52">M211-M213</f>
        <v>-1634.9674499576115</v>
      </c>
      <c r="N214" s="57">
        <f t="shared" si="52"/>
        <v>-2815.6841052146756</v>
      </c>
      <c r="O214" s="57">
        <f t="shared" si="52"/>
        <v>-2559.6465988155546</v>
      </c>
      <c r="P214" s="57">
        <f t="shared" si="52"/>
        <v>-406.51711210882104</v>
      </c>
      <c r="Q214" s="57">
        <f t="shared" si="52"/>
        <v>2306.3866517609331</v>
      </c>
      <c r="R214" s="57">
        <f t="shared" si="52"/>
        <v>2945.3154358854449</v>
      </c>
      <c r="S214" s="57">
        <f t="shared" si="52"/>
        <v>1242.1263589851633</v>
      </c>
      <c r="U214" s="57">
        <f ca="1">U211-U213</f>
        <v>-708.13194067013978</v>
      </c>
      <c r="V214" s="57">
        <f t="shared" ref="V214" ca="1" si="53">V211-V213</f>
        <v>-1585.6662513204558</v>
      </c>
      <c r="W214" s="57">
        <f t="shared" ref="W214" ca="1" si="54">W211-W213</f>
        <v>-2864.814544889407</v>
      </c>
      <c r="X214" s="57">
        <f t="shared" ref="X214" ca="1" si="55">X211-X213</f>
        <v>-2495.3224803134622</v>
      </c>
      <c r="Y214" s="57">
        <f t="shared" ref="Y214" ca="1" si="56">Y211-Y213</f>
        <v>-498.75657779851394</v>
      </c>
      <c r="Z214" s="57">
        <f t="shared" ref="Z214" ca="1" si="57">Z211-Z213</f>
        <v>2125.4469904128964</v>
      </c>
      <c r="AA214" s="57">
        <f t="shared" ref="AA214" ca="1" si="58">AA211-AA213</f>
        <v>2608.0033977829225</v>
      </c>
      <c r="AB214" s="57">
        <f t="shared" ref="AB214" ca="1" si="59">AB211-AB213</f>
        <v>1165.7144910000002</v>
      </c>
    </row>
    <row r="215" spans="3:28" x14ac:dyDescent="0.2">
      <c r="D215" t="s">
        <v>1055</v>
      </c>
      <c r="L215" s="57">
        <v>-880.52410585298128</v>
      </c>
      <c r="M215" s="57">
        <v>-1746.5124499576118</v>
      </c>
      <c r="N215" s="57">
        <v>-2999.4601052146759</v>
      </c>
      <c r="O215" s="57">
        <v>-2845.7255988155553</v>
      </c>
      <c r="P215" s="57">
        <v>-766.932112108821</v>
      </c>
      <c r="Q215" s="57">
        <v>1882.6826517609327</v>
      </c>
      <c r="R215" s="57">
        <v>2502.4334358854444</v>
      </c>
      <c r="S215" s="57">
        <v>1242.1263589851633</v>
      </c>
      <c r="U215" s="57">
        <f ca="1">'Tableau de bord Backcasting'!H$97</f>
        <v>-708.13194067013978</v>
      </c>
      <c r="V215" s="57">
        <f ca="1">'Tableau de bord Backcasting'!I$97</f>
        <v>-1585.666251320456</v>
      </c>
      <c r="W215" s="57">
        <f ca="1">'Tableau de bord Backcasting'!J$97</f>
        <v>-2864.8145448894074</v>
      </c>
      <c r="X215" s="57">
        <f ca="1">'Tableau de bord Backcasting'!K$97</f>
        <v>-2495.3224803134622</v>
      </c>
      <c r="Y215" s="57">
        <f ca="1">'Tableau de bord Backcasting'!L$97</f>
        <v>-498.75657779851394</v>
      </c>
      <c r="Z215" s="57">
        <f ca="1">'Tableau de bord Backcasting'!M$97</f>
        <v>2125.4469904128964</v>
      </c>
      <c r="AA215" s="57">
        <f ca="1">'Tableau de bord Backcasting'!N$97</f>
        <v>2608.0033977829225</v>
      </c>
      <c r="AB215" s="57">
        <f ca="1">'Tableau de bord Backcasting'!O$97</f>
        <v>1165.7144910000002</v>
      </c>
    </row>
    <row r="218" spans="3:28" x14ac:dyDescent="0.2">
      <c r="C218" s="11" t="s">
        <v>1043</v>
      </c>
    </row>
    <row r="219" spans="3:28" x14ac:dyDescent="0.2">
      <c r="C219" t="s">
        <v>1044</v>
      </c>
    </row>
    <row r="220" spans="3:28" x14ac:dyDescent="0.2">
      <c r="L220">
        <f>L207</f>
        <v>2013</v>
      </c>
      <c r="M220">
        <f t="shared" ref="M220:S220" si="60">M207</f>
        <v>2014</v>
      </c>
      <c r="N220">
        <f t="shared" si="60"/>
        <v>2015</v>
      </c>
      <c r="O220">
        <f t="shared" si="60"/>
        <v>2016</v>
      </c>
      <c r="P220">
        <f t="shared" si="60"/>
        <v>2017</v>
      </c>
      <c r="Q220">
        <f t="shared" si="60"/>
        <v>2018</v>
      </c>
      <c r="R220">
        <f t="shared" si="60"/>
        <v>2019</v>
      </c>
      <c r="S220">
        <f t="shared" si="60"/>
        <v>2020</v>
      </c>
    </row>
    <row r="221" spans="3:28" x14ac:dyDescent="0.2">
      <c r="D221" t="str">
        <f>D126</f>
        <v>Nkossa</v>
      </c>
      <c r="L221" s="57">
        <v>452.22112767776127</v>
      </c>
      <c r="M221" s="57">
        <v>420.50888183781211</v>
      </c>
      <c r="N221" s="57">
        <v>93.311941198710997</v>
      </c>
      <c r="O221" s="57">
        <v>49.919363850933728</v>
      </c>
      <c r="P221" s="57">
        <v>0</v>
      </c>
      <c r="Q221" s="57">
        <v>12.120860632115837</v>
      </c>
      <c r="R221" s="57">
        <v>0.19049247760407986</v>
      </c>
      <c r="S221" s="57">
        <v>0</v>
      </c>
    </row>
    <row r="222" spans="3:28" x14ac:dyDescent="0.2">
      <c r="D222" t="str">
        <f>D127</f>
        <v>Nsoko</v>
      </c>
      <c r="L222" s="57">
        <v>53.135785398615027</v>
      </c>
      <c r="M222" s="57">
        <v>31.399728314015022</v>
      </c>
      <c r="N222" s="57">
        <v>12.109650871427165</v>
      </c>
      <c r="O222" s="57">
        <v>6.0210674194926508</v>
      </c>
      <c r="P222" s="57">
        <v>10.338094635236846</v>
      </c>
      <c r="Q222" s="57">
        <v>15.585240066648542</v>
      </c>
      <c r="R222" s="57">
        <v>2.9919595827461873</v>
      </c>
      <c r="S222" s="57">
        <v>0.68482150751070991</v>
      </c>
    </row>
    <row r="223" spans="3:28" x14ac:dyDescent="0.2">
      <c r="D223" t="str">
        <f>D128</f>
        <v>Moho</v>
      </c>
      <c r="L223" s="57">
        <v>778.34405180643921</v>
      </c>
      <c r="M223" s="57">
        <v>692.26235690257909</v>
      </c>
      <c r="N223" s="57">
        <v>0</v>
      </c>
      <c r="O223" s="57">
        <v>0</v>
      </c>
      <c r="P223" s="57">
        <v>0</v>
      </c>
      <c r="Q223" s="57">
        <v>0</v>
      </c>
      <c r="R223" s="57">
        <v>0</v>
      </c>
      <c r="S223" s="57">
        <v>0</v>
      </c>
    </row>
    <row r="224" spans="3:28" x14ac:dyDescent="0.2">
      <c r="D224" t="str">
        <f>D129</f>
        <v>KLL</v>
      </c>
      <c r="L224" s="57">
        <v>217.3889275219712</v>
      </c>
      <c r="M224" s="57">
        <v>194.80727571468745</v>
      </c>
      <c r="N224" s="57">
        <v>39.187175391837748</v>
      </c>
      <c r="O224" s="57">
        <v>13.127730914421749</v>
      </c>
      <c r="P224" s="57">
        <v>45.476558872560858</v>
      </c>
      <c r="Q224" s="57">
        <v>101.7923454955461</v>
      </c>
      <c r="R224" s="57">
        <v>86.710625794179222</v>
      </c>
      <c r="S224" s="57">
        <v>7.305701</v>
      </c>
    </row>
    <row r="227" spans="3:24" x14ac:dyDescent="0.2">
      <c r="C227" s="11" t="s">
        <v>1047</v>
      </c>
    </row>
    <row r="228" spans="3:24" x14ac:dyDescent="0.2">
      <c r="C228" t="s">
        <v>1048</v>
      </c>
    </row>
    <row r="229" spans="3:24" x14ac:dyDescent="0.2">
      <c r="L229">
        <f>L220</f>
        <v>2013</v>
      </c>
      <c r="M229">
        <f t="shared" ref="M229:S229" si="61">M220</f>
        <v>2014</v>
      </c>
      <c r="N229">
        <f t="shared" si="61"/>
        <v>2015</v>
      </c>
      <c r="O229">
        <f t="shared" si="61"/>
        <v>2016</v>
      </c>
      <c r="P229">
        <f t="shared" si="61"/>
        <v>2017</v>
      </c>
      <c r="Q229">
        <f t="shared" si="61"/>
        <v>2018</v>
      </c>
      <c r="R229">
        <f t="shared" si="61"/>
        <v>2019</v>
      </c>
      <c r="S229">
        <f t="shared" si="61"/>
        <v>2020</v>
      </c>
    </row>
    <row r="230" spans="3:24" x14ac:dyDescent="0.2">
      <c r="D230" t="s">
        <v>1056</v>
      </c>
      <c r="L230" s="57">
        <v>105.7474522914833</v>
      </c>
      <c r="M230" s="57">
        <v>94.490602143210737</v>
      </c>
      <c r="N230" s="57">
        <v>47.847421826767324</v>
      </c>
      <c r="O230" s="57">
        <v>40.914760876827444</v>
      </c>
      <c r="P230" s="57">
        <v>52.06999317300108</v>
      </c>
      <c r="Q230" s="57">
        <v>68.46179192045004</v>
      </c>
      <c r="R230" s="57">
        <v>61.518309773265528</v>
      </c>
      <c r="S230" s="57">
        <v>40.717416666666665</v>
      </c>
    </row>
    <row r="231" spans="3:24" x14ac:dyDescent="0.2">
      <c r="D231" t="str">
        <f>D126&amp; " - PH"</f>
        <v>Nkossa - PH</v>
      </c>
      <c r="L231" s="57">
        <v>32.270000000000003</v>
      </c>
      <c r="M231" s="57">
        <v>32.519750000000002</v>
      </c>
      <c r="N231" s="57">
        <v>32.923999999999999</v>
      </c>
      <c r="O231" s="57">
        <v>33.427250000000001</v>
      </c>
      <c r="P231" s="57">
        <v>66.422750000000008</v>
      </c>
      <c r="Q231" s="57">
        <v>68.897500000000008</v>
      </c>
      <c r="R231" s="57">
        <v>69.747250000000008</v>
      </c>
      <c r="S231" s="57">
        <v>71.400000000000006</v>
      </c>
    </row>
    <row r="232" spans="3:24" x14ac:dyDescent="0.2">
      <c r="D232" t="str">
        <f>D127&amp; " - PH"</f>
        <v>Nsoko - PH</v>
      </c>
      <c r="L232" s="57">
        <v>29.870249999999999</v>
      </c>
      <c r="M232" s="57">
        <v>30.137</v>
      </c>
      <c r="N232" s="57">
        <v>30.511749999999999</v>
      </c>
      <c r="O232" s="57">
        <v>30.977999999999998</v>
      </c>
      <c r="P232" s="57">
        <v>31.553000000000001</v>
      </c>
      <c r="Q232" s="57">
        <v>32.152000000000001</v>
      </c>
      <c r="R232" s="57">
        <v>41.183999999999997</v>
      </c>
      <c r="S232" s="57">
        <v>50</v>
      </c>
    </row>
    <row r="233" spans="3:24" x14ac:dyDescent="0.2">
      <c r="D233" t="str">
        <f>D128&amp; " - PH"</f>
        <v>Moho - PH</v>
      </c>
      <c r="L233" s="57">
        <v>27.028749999999999</v>
      </c>
      <c r="M233" s="57">
        <v>27.382999999999999</v>
      </c>
      <c r="N233" s="57">
        <v>27.72325</v>
      </c>
      <c r="O233" s="57">
        <v>28.14725</v>
      </c>
      <c r="P233" s="57">
        <v>97.840500000000006</v>
      </c>
      <c r="Q233" s="57">
        <v>100.089</v>
      </c>
      <c r="R233" s="57">
        <v>101.9695</v>
      </c>
      <c r="S233" s="57">
        <v>104.43</v>
      </c>
    </row>
    <row r="234" spans="3:24" x14ac:dyDescent="0.2">
      <c r="D234" t="str">
        <f>D129&amp; " - PH"</f>
        <v>KLL - PH</v>
      </c>
      <c r="L234" s="57">
        <v>36.591749999999998</v>
      </c>
      <c r="M234" s="57">
        <v>37.042000000000002</v>
      </c>
      <c r="N234" s="57">
        <v>37.502749999999999</v>
      </c>
      <c r="O234" s="57">
        <v>38.078249999999997</v>
      </c>
      <c r="P234" s="57">
        <v>38.782499999999999</v>
      </c>
      <c r="Q234" s="57">
        <v>39.640750000000004</v>
      </c>
      <c r="R234" s="57">
        <v>40.453749999999999</v>
      </c>
      <c r="S234" s="57">
        <v>50.62</v>
      </c>
    </row>
    <row r="238" spans="3:24" x14ac:dyDescent="0.2">
      <c r="C238" s="11" t="s">
        <v>1050</v>
      </c>
    </row>
    <row r="239" spans="3:24" x14ac:dyDescent="0.2">
      <c r="C239" t="s">
        <v>1051</v>
      </c>
      <c r="O239" t="s">
        <v>1045</v>
      </c>
    </row>
    <row r="240" spans="3:24" x14ac:dyDescent="0.2">
      <c r="L240">
        <f>L229</f>
        <v>2013</v>
      </c>
      <c r="M240">
        <f t="shared" ref="M240:S240" si="62">M229</f>
        <v>2014</v>
      </c>
      <c r="N240">
        <f t="shared" si="62"/>
        <v>2015</v>
      </c>
      <c r="O240">
        <f t="shared" si="62"/>
        <v>2016</v>
      </c>
      <c r="P240">
        <f t="shared" si="62"/>
        <v>2017</v>
      </c>
      <c r="Q240">
        <f t="shared" si="62"/>
        <v>2018</v>
      </c>
      <c r="R240">
        <f t="shared" si="62"/>
        <v>2019</v>
      </c>
      <c r="S240">
        <f t="shared" si="62"/>
        <v>2020</v>
      </c>
      <c r="T240">
        <f>S240+1</f>
        <v>2021</v>
      </c>
      <c r="U240">
        <f t="shared" ref="U240:X240" si="63">T240+1</f>
        <v>2022</v>
      </c>
      <c r="V240">
        <f t="shared" si="63"/>
        <v>2023</v>
      </c>
      <c r="W240">
        <f t="shared" si="63"/>
        <v>2024</v>
      </c>
      <c r="X240">
        <f t="shared" si="63"/>
        <v>2025</v>
      </c>
    </row>
    <row r="241" spans="3:24" x14ac:dyDescent="0.2">
      <c r="D241" t="s">
        <v>1057</v>
      </c>
      <c r="L241" s="57">
        <f>SUM(L126:L129)</f>
        <v>2294.2836553891611</v>
      </c>
      <c r="M241" s="57">
        <f t="shared" ref="M241:S241" si="64">SUM(M126:M129)</f>
        <v>2122.6017635048638</v>
      </c>
      <c r="N241" s="57">
        <f t="shared" si="64"/>
        <v>506.69063551901479</v>
      </c>
      <c r="O241" s="57">
        <f t="shared" si="64"/>
        <v>347.28216151018364</v>
      </c>
      <c r="P241" s="57">
        <f t="shared" si="64"/>
        <v>625.78259063188045</v>
      </c>
      <c r="Q241" s="57">
        <f t="shared" si="64"/>
        <v>1120.775248125731</v>
      </c>
      <c r="R241" s="57">
        <f t="shared" si="64"/>
        <v>1048.1057548012518</v>
      </c>
      <c r="S241" s="57">
        <f t="shared" si="64"/>
        <v>578.67318078623475</v>
      </c>
      <c r="T241" s="57"/>
      <c r="U241" s="57"/>
      <c r="V241" s="57"/>
      <c r="W241" s="57"/>
      <c r="X241" s="57"/>
    </row>
    <row r="242" spans="3:24" x14ac:dyDescent="0.2">
      <c r="D242" t="s">
        <v>1059</v>
      </c>
      <c r="L242" s="57"/>
      <c r="M242" s="57"/>
      <c r="N242" s="57"/>
      <c r="O242" s="57"/>
      <c r="P242" s="57"/>
      <c r="Q242" s="57"/>
      <c r="R242" s="57"/>
      <c r="S242" s="57">
        <v>579</v>
      </c>
      <c r="T242" s="57">
        <v>903.61276112035205</v>
      </c>
      <c r="U242" s="57">
        <v>599.91647335681216</v>
      </c>
      <c r="V242" s="57">
        <v>550.72332254155356</v>
      </c>
      <c r="W242" s="57">
        <v>727.52791719191998</v>
      </c>
      <c r="X242" s="57">
        <v>667.87062798218267</v>
      </c>
    </row>
    <row r="243" spans="3:24" x14ac:dyDescent="0.2">
      <c r="D243" t="s">
        <v>1058</v>
      </c>
      <c r="L243" s="57"/>
      <c r="M243" s="57"/>
      <c r="N243" s="57"/>
      <c r="O243" s="57"/>
      <c r="P243" s="57"/>
      <c r="Q243" s="57"/>
      <c r="R243" s="57"/>
      <c r="S243" s="57">
        <v>579</v>
      </c>
      <c r="T243" s="57">
        <v>903.61276112035205</v>
      </c>
      <c r="U243" s="57">
        <v>878.95891689306291</v>
      </c>
      <c r="V243" s="57">
        <v>807.20056854983</v>
      </c>
      <c r="W243" s="57">
        <v>1072.8360425675305</v>
      </c>
      <c r="X243" s="57">
        <v>985.11967617901178</v>
      </c>
    </row>
    <row r="244" spans="3:24" x14ac:dyDescent="0.2">
      <c r="D244" t="s">
        <v>1060</v>
      </c>
      <c r="L244" s="57"/>
      <c r="M244" s="57"/>
      <c r="N244" s="57"/>
      <c r="O244" s="57"/>
      <c r="P244" s="57"/>
      <c r="Q244" s="57"/>
      <c r="R244" s="57"/>
      <c r="S244" s="57">
        <v>579</v>
      </c>
      <c r="T244" s="57">
        <v>903.61276112035205</v>
      </c>
      <c r="U244" s="57">
        <v>1192.3027079044732</v>
      </c>
      <c r="V244" s="57">
        <v>1094.850168698305</v>
      </c>
      <c r="W244" s="57">
        <v>1776.3858995520548</v>
      </c>
      <c r="X244" s="57">
        <v>1630.9784448908051</v>
      </c>
    </row>
    <row r="245" spans="3:24" x14ac:dyDescent="0.2">
      <c r="D245" t="str">
        <f>'Tableau de bord Prévisions'!J8</f>
        <v>Volumes de production</v>
      </c>
      <c r="L245" s="57" cm="1">
        <f t="array" aca="1" ref="L245:S245" ca="1">OFFSET(HM_ZA_Nkossa!CA_gross_prod_oil,,,,8)+OFFSET(HM_ZB_Nsoko!CA_gross_prod_oil,,,,8)+OFFSET(HM_ZD_Moho!CA_gross_prod_oil,,,,8)+OFFSET(KLL_II_2020!CA_gross_prod_oil,,,,8)</f>
        <v>33.265190167</v>
      </c>
      <c r="M245" s="57">
        <f ca="1"/>
        <v>35.572766373</v>
      </c>
      <c r="N245" s="57">
        <f ca="1"/>
        <v>31.076485458999997</v>
      </c>
      <c r="O245" s="57">
        <f ca="1"/>
        <v>31.161619239</v>
      </c>
      <c r="P245" s="57">
        <f ca="1"/>
        <v>48.430250927000003</v>
      </c>
      <c r="Q245" s="57">
        <f ca="1"/>
        <v>68.788219757999997</v>
      </c>
      <c r="R245" s="57">
        <f ca="1"/>
        <v>68.453631926</v>
      </c>
      <c r="S245" s="57">
        <f ca="1"/>
        <v>61.989338238000002</v>
      </c>
      <c r="T245" s="57" cm="1">
        <f t="array" aca="1" ref="T245:X245" ca="1">OFFSET(HM_ZA_Nkossa!CA_gross_prod_oil,,8,,df_forecast_years)+OFFSET(HM_ZB_Nsoko!CA_gross_prod_oil,,8,,df_forecast_years)+OFFSET(HM_ZD_Moho!CA_gross_prod_oil,,8,,df_forecast_years)+OFFSET(KLL_II_2020!CA_gross_prod_oil,,8,,df_forecast_years)</f>
        <v>57.650084561339995</v>
      </c>
      <c r="U245" s="57">
        <f ca="1"/>
        <v>53.614578642046197</v>
      </c>
      <c r="V245" s="57">
        <f ca="1"/>
        <v>49.861558137102961</v>
      </c>
      <c r="W245" s="57">
        <f ca="1"/>
        <v>46.371249067505744</v>
      </c>
      <c r="X245" s="57">
        <f ca="1"/>
        <v>43.125261632780337</v>
      </c>
    </row>
    <row r="248" spans="3:24" x14ac:dyDescent="0.2">
      <c r="C248" s="11" t="s">
        <v>1606</v>
      </c>
    </row>
    <row r="249" spans="3:24" x14ac:dyDescent="0.2">
      <c r="C249" t="str">
        <f>'Tableau de bord Backcasting'!D76</f>
        <v>Part du Contracteur</v>
      </c>
    </row>
    <row r="250" spans="3:24" x14ac:dyDescent="0.2">
      <c r="E250" s="29" t="str">
        <f>E33</f>
        <v>Moho</v>
      </c>
    </row>
    <row r="251" spans="3:24" x14ac:dyDescent="0.2">
      <c r="L251">
        <f>L207</f>
        <v>2013</v>
      </c>
      <c r="M251">
        <f t="shared" ref="M251:S251" si="65">M207</f>
        <v>2014</v>
      </c>
      <c r="N251">
        <f t="shared" si="65"/>
        <v>2015</v>
      </c>
      <c r="O251">
        <f t="shared" si="65"/>
        <v>2016</v>
      </c>
      <c r="P251">
        <f t="shared" si="65"/>
        <v>2017</v>
      </c>
      <c r="Q251">
        <f t="shared" si="65"/>
        <v>2018</v>
      </c>
      <c r="R251">
        <f t="shared" si="65"/>
        <v>2019</v>
      </c>
      <c r="S251">
        <f t="shared" si="65"/>
        <v>2020</v>
      </c>
    </row>
    <row r="252" spans="3:24" x14ac:dyDescent="0.2">
      <c r="D252" t="str">
        <f>'Tableau de bord Backcasting'!D78</f>
        <v>Vol. Cost Oil</v>
      </c>
      <c r="L252" s="57">
        <f ca="1">'Tableau de bord Backcasting'!H78</f>
        <v>2.9992264411255869</v>
      </c>
      <c r="M252" s="57">
        <f ca="1">'Tableau de bord Backcasting'!I78</f>
        <v>3.6277583419481636</v>
      </c>
      <c r="N252" s="57">
        <f ca="1">'Tableau de bord Backcasting'!J78</f>
        <v>9.3187840000000008</v>
      </c>
      <c r="O252" s="57">
        <f ca="1">'Tableau de bord Backcasting'!K78</f>
        <v>11.872558173700002</v>
      </c>
      <c r="P252" s="57">
        <f ca="1">'Tableau de bord Backcasting'!L78</f>
        <v>24.691832848900003</v>
      </c>
      <c r="Q252" s="57">
        <f ca="1">'Tableau de bord Backcasting'!M78</f>
        <v>38.944228930599998</v>
      </c>
      <c r="R252" s="57">
        <f ca="1">'Tableau de bord Backcasting'!N78</f>
        <v>39.4500413321</v>
      </c>
      <c r="S252" s="57">
        <f ca="1">'Tableau de bord Backcasting'!O78</f>
        <v>36.433700000000002</v>
      </c>
    </row>
    <row r="253" spans="3:24" x14ac:dyDescent="0.2">
      <c r="D253" t="str">
        <f>'Tableau de bord Backcasting'!D80</f>
        <v>Vol. ECO</v>
      </c>
      <c r="L253" s="57">
        <f>'Tableau de bord Backcasting'!H80</f>
        <v>0</v>
      </c>
      <c r="M253" s="57">
        <f>'Tableau de bord Backcasting'!I80</f>
        <v>0</v>
      </c>
      <c r="N253" s="57">
        <f>'Tableau de bord Backcasting'!J80</f>
        <v>0</v>
      </c>
      <c r="O253" s="57">
        <f>'Tableau de bord Backcasting'!K80</f>
        <v>0</v>
      </c>
      <c r="P253" s="57">
        <f>'Tableau de bord Backcasting'!L80</f>
        <v>0</v>
      </c>
      <c r="Q253" s="57">
        <f>'Tableau de bord Backcasting'!M80</f>
        <v>0</v>
      </c>
      <c r="R253" s="57">
        <f>'Tableau de bord Backcasting'!N80</f>
        <v>0</v>
      </c>
      <c r="S253" s="57">
        <f>'Tableau de bord Backcasting'!O80</f>
        <v>0</v>
      </c>
    </row>
    <row r="254" spans="3:24" x14ac:dyDescent="0.2">
      <c r="D254" t="str">
        <f>'Tableau de bord Backcasting'!D81</f>
        <v>Vol. SPO</v>
      </c>
      <c r="L254" s="57">
        <f ca="1">'Tableau de bord Backcasting'!H81</f>
        <v>1.3011282288180415</v>
      </c>
      <c r="M254" s="57">
        <f ca="1">'Tableau de bord Backcasting'!I81</f>
        <v>1.2713778160393705</v>
      </c>
      <c r="N254" s="57">
        <f ca="1">'Tableau de bord Backcasting'!J81</f>
        <v>0</v>
      </c>
      <c r="O254" s="57">
        <f ca="1">'Tableau de bord Backcasting'!K81</f>
        <v>0</v>
      </c>
      <c r="P254" s="57">
        <f ca="1">'Tableau de bord Backcasting'!L81</f>
        <v>0</v>
      </c>
      <c r="Q254" s="57">
        <f ca="1">'Tableau de bord Backcasting'!M81</f>
        <v>0</v>
      </c>
      <c r="R254" s="57">
        <f ca="1">'Tableau de bord Backcasting'!N81</f>
        <v>0</v>
      </c>
      <c r="S254" s="57">
        <f ca="1">'Tableau de bord Backcasting'!O81</f>
        <v>0</v>
      </c>
    </row>
    <row r="255" spans="3:24" x14ac:dyDescent="0.2">
      <c r="D255" t="str">
        <f>'Tableau de bord Backcasting'!D82</f>
        <v>Vol. Profit Oil</v>
      </c>
      <c r="L255" s="57">
        <f ca="1">'Tableau de bord Backcasting'!H82</f>
        <v>3.0112438592065649</v>
      </c>
      <c r="M255" s="57">
        <f ca="1">'Tableau de bord Backcasting'!I82</f>
        <v>3.1320007571110731</v>
      </c>
      <c r="N255" s="57">
        <f ca="1">'Tableau de bord Backcasting'!J82</f>
        <v>2.3005080000000002</v>
      </c>
      <c r="O255" s="57">
        <f ca="1">'Tableau de bord Backcasting'!K82</f>
        <v>1.780883726055001</v>
      </c>
      <c r="P255" s="57">
        <f ca="1">'Tableau de bord Backcasting'!L82</f>
        <v>3.7037749273350014</v>
      </c>
      <c r="Q255" s="57">
        <f ca="1">'Tableau de bord Backcasting'!M82</f>
        <v>5.8416343395900006</v>
      </c>
      <c r="R255" s="57">
        <f ca="1">'Tableau de bord Backcasting'!N82</f>
        <v>5.9175061998150014</v>
      </c>
      <c r="S255" s="57">
        <f ca="1">'Tableau de bord Backcasting'!O82</f>
        <v>0</v>
      </c>
    </row>
    <row r="256" spans="3:24" x14ac:dyDescent="0.2">
      <c r="D256" t="str">
        <f>CHOOSE(db_ML_selected,'Liste Traduction'!B229,'Liste Traduction'!C229)</f>
        <v>Volumes de droits Contracteur</v>
      </c>
      <c r="L256" s="57">
        <f ca="1">'Tableau de bord Backcasting'!H84</f>
        <v>7.311598529150193</v>
      </c>
      <c r="M256" s="57">
        <f ca="1">'Tableau de bord Backcasting'!I84</f>
        <v>8.0311369150986067</v>
      </c>
      <c r="N256" s="57">
        <f ca="1">'Tableau de bord Backcasting'!J84</f>
        <v>11.619292000000002</v>
      </c>
      <c r="O256" s="57">
        <f ca="1">'Tableau de bord Backcasting'!K84</f>
        <v>13.653441899755002</v>
      </c>
      <c r="P256" s="57">
        <f ca="1">'Tableau de bord Backcasting'!L84</f>
        <v>28.395607776235003</v>
      </c>
      <c r="Q256" s="57">
        <f ca="1">'Tableau de bord Backcasting'!M84</f>
        <v>44.785863270189999</v>
      </c>
      <c r="R256" s="57">
        <f ca="1">'Tableau de bord Backcasting'!N84</f>
        <v>45.367547531915001</v>
      </c>
      <c r="S256" s="57">
        <f ca="1">'Tableau de bord Backcasting'!O84</f>
        <v>36.433700000000002</v>
      </c>
    </row>
    <row r="259" spans="4:19" x14ac:dyDescent="0.2">
      <c r="D259" t="s">
        <v>644</v>
      </c>
    </row>
    <row r="260" spans="4:19" x14ac:dyDescent="0.2">
      <c r="L260">
        <v>2013</v>
      </c>
      <c r="M260">
        <v>2014</v>
      </c>
      <c r="N260">
        <v>2015</v>
      </c>
      <c r="O260">
        <v>2016</v>
      </c>
      <c r="P260">
        <v>2017</v>
      </c>
      <c r="Q260">
        <v>2018</v>
      </c>
      <c r="R260">
        <v>2019</v>
      </c>
      <c r="S260">
        <v>2020</v>
      </c>
    </row>
    <row r="261" spans="4:19" x14ac:dyDescent="0.2">
      <c r="D261" t="str">
        <f t="shared" ref="D261:D265" si="66">D252</f>
        <v>Vol. Cost Oil</v>
      </c>
      <c r="L261" s="57">
        <v>1.3807403081049057</v>
      </c>
      <c r="M261" s="57">
        <v>1.9157743336614546</v>
      </c>
      <c r="N261" s="57">
        <v>3.4773850197796841</v>
      </c>
      <c r="O261" s="57">
        <v>3.7375901938459899</v>
      </c>
      <c r="P261" s="57">
        <v>4.4421720128500013</v>
      </c>
      <c r="Q261" s="57">
        <v>3.2357743596602591</v>
      </c>
      <c r="R261" s="57">
        <v>3.5382089994055161</v>
      </c>
      <c r="S261" s="57">
        <v>2.7574000000000001</v>
      </c>
    </row>
    <row r="262" spans="4:19" x14ac:dyDescent="0.2">
      <c r="D262" t="str">
        <f t="shared" si="66"/>
        <v>Vol. ECO</v>
      </c>
      <c r="L262" s="57">
        <v>0</v>
      </c>
      <c r="M262" s="57">
        <v>0</v>
      </c>
      <c r="N262" s="57">
        <v>0</v>
      </c>
      <c r="O262" s="57">
        <v>0</v>
      </c>
      <c r="P262" s="57">
        <v>0</v>
      </c>
      <c r="Q262" s="57">
        <v>0</v>
      </c>
      <c r="R262" s="57">
        <v>0</v>
      </c>
      <c r="S262" s="57">
        <v>0</v>
      </c>
    </row>
    <row r="263" spans="4:19" x14ac:dyDescent="0.2">
      <c r="D263" t="str">
        <f t="shared" si="66"/>
        <v>Vol. SPO</v>
      </c>
      <c r="L263" s="57">
        <v>0.8835340775105599</v>
      </c>
      <c r="M263" s="57">
        <v>0.94749741706858259</v>
      </c>
      <c r="N263" s="57">
        <v>0.40785802751232092</v>
      </c>
      <c r="O263" s="57">
        <v>0.25146291728071501</v>
      </c>
      <c r="P263" s="57">
        <v>0</v>
      </c>
      <c r="Q263" s="57">
        <v>9.0465671308245996E-2</v>
      </c>
      <c r="R263" s="57">
        <v>1.7375228797899358E-3</v>
      </c>
      <c r="S263" s="57">
        <v>0</v>
      </c>
    </row>
    <row r="264" spans="4:19" x14ac:dyDescent="0.2">
      <c r="D264" t="str">
        <f t="shared" si="66"/>
        <v>Vol. Profit Oil</v>
      </c>
      <c r="L264" s="57">
        <v>0.30706708984116576</v>
      </c>
      <c r="M264" s="57">
        <v>0.49798902339473888</v>
      </c>
      <c r="N264" s="57">
        <v>0.60175185366110728</v>
      </c>
      <c r="O264" s="57">
        <v>0.80085268772186191</v>
      </c>
      <c r="P264" s="57">
        <v>0.7982269322166875</v>
      </c>
      <c r="Q264" s="57">
        <v>0.62519240715688618</v>
      </c>
      <c r="R264" s="57">
        <v>0.74436548382939105</v>
      </c>
      <c r="S264" s="57">
        <v>0</v>
      </c>
    </row>
    <row r="265" spans="4:19" x14ac:dyDescent="0.2">
      <c r="D265" t="str">
        <f t="shared" si="66"/>
        <v>Volumes de droits Contracteur</v>
      </c>
      <c r="L265" s="57">
        <v>2.5713414754566313</v>
      </c>
      <c r="M265" s="57">
        <v>3.3612607741247764</v>
      </c>
      <c r="N265" s="57">
        <v>4.4869949009531123</v>
      </c>
      <c r="O265" s="57">
        <v>4.7899057988485669</v>
      </c>
      <c r="P265" s="57">
        <v>5.2403989450666888</v>
      </c>
      <c r="Q265" s="57">
        <v>3.9514324381253911</v>
      </c>
      <c r="R265" s="57">
        <v>4.2843120061146971</v>
      </c>
      <c r="S265" s="57">
        <v>2.7574000000000001</v>
      </c>
    </row>
    <row r="267" spans="4:19" x14ac:dyDescent="0.2">
      <c r="D267" t="s">
        <v>646</v>
      </c>
    </row>
    <row r="269" spans="4:19" x14ac:dyDescent="0.2">
      <c r="D269" t="str">
        <f t="shared" ref="D269:D273" si="67">D261</f>
        <v>Vol. Cost Oil</v>
      </c>
      <c r="L269" s="57">
        <v>0.15431406704487888</v>
      </c>
      <c r="M269" s="57">
        <v>0.14552027333156853</v>
      </c>
      <c r="N269" s="57">
        <v>0.33990963503722305</v>
      </c>
      <c r="O269" s="57">
        <v>0.32692710207644987</v>
      </c>
      <c r="P269" s="57">
        <v>0.31065433628298816</v>
      </c>
      <c r="Q269" s="57">
        <v>0.18013151347648948</v>
      </c>
      <c r="R269" s="57">
        <v>5.2881010000000008E-3</v>
      </c>
      <c r="S269" s="57">
        <v>0.27165069087919902</v>
      </c>
    </row>
    <row r="270" spans="4:19" x14ac:dyDescent="0.2">
      <c r="D270" t="str">
        <f t="shared" si="67"/>
        <v>Vol. ECO</v>
      </c>
      <c r="L270" s="57">
        <v>0</v>
      </c>
      <c r="M270" s="57">
        <v>0</v>
      </c>
      <c r="N270" s="57">
        <v>0</v>
      </c>
      <c r="O270" s="57">
        <v>0</v>
      </c>
      <c r="P270" s="57">
        <v>0</v>
      </c>
      <c r="Q270" s="57">
        <v>0</v>
      </c>
      <c r="R270" s="57">
        <v>0</v>
      </c>
      <c r="S270" s="57">
        <v>0</v>
      </c>
    </row>
    <row r="271" spans="4:19" x14ac:dyDescent="0.2">
      <c r="D271" t="str">
        <f t="shared" si="67"/>
        <v>Vol. SPO</v>
      </c>
      <c r="L271" s="57">
        <v>0.10588587949191329</v>
      </c>
      <c r="M271" s="57">
        <v>6.9609650832439571E-2</v>
      </c>
      <c r="N271" s="57">
        <v>5.3481962271483753E-2</v>
      </c>
      <c r="O271" s="57">
        <v>3.0981245651339466E-2</v>
      </c>
      <c r="P271" s="57">
        <v>4.936642197925295E-2</v>
      </c>
      <c r="Q271" s="57">
        <v>4.8879391630877622E-2</v>
      </c>
      <c r="R271" s="57">
        <v>8.8046038456768751E-3</v>
      </c>
      <c r="S271" s="57">
        <v>2.9472343731819233E-3</v>
      </c>
    </row>
    <row r="272" spans="4:19" x14ac:dyDescent="0.2">
      <c r="D272" t="str">
        <f t="shared" si="67"/>
        <v>Vol. Profit Oil</v>
      </c>
      <c r="L272" s="57">
        <v>5.0835241220326684E-2</v>
      </c>
      <c r="M272" s="57">
        <v>4.8400184427632449E-2</v>
      </c>
      <c r="N272" s="57">
        <v>0.10791415938192012</v>
      </c>
      <c r="O272" s="57">
        <v>0.12759443024300501</v>
      </c>
      <c r="P272" s="57">
        <v>7.5388962861735118E-2</v>
      </c>
      <c r="Q272" s="57">
        <v>4.5942617091668733E-2</v>
      </c>
      <c r="R272" s="57">
        <v>0.12053553756363533</v>
      </c>
      <c r="S272" s="57">
        <v>0.18121612054477504</v>
      </c>
    </row>
    <row r="273" spans="4:19" x14ac:dyDescent="0.2">
      <c r="D273" t="str">
        <f t="shared" si="67"/>
        <v>Volumes de droits Contracteur</v>
      </c>
      <c r="L273" s="57">
        <v>0.31103518775711886</v>
      </c>
      <c r="M273" s="57">
        <v>0.26353010859164056</v>
      </c>
      <c r="N273" s="57">
        <v>0.50130575669062694</v>
      </c>
      <c r="O273" s="57">
        <v>0.48550277797079433</v>
      </c>
      <c r="P273" s="57">
        <v>0.43540972112397625</v>
      </c>
      <c r="Q273" s="57">
        <v>0.27495352219903585</v>
      </c>
      <c r="R273" s="57">
        <v>0.1346282424093122</v>
      </c>
      <c r="S273" s="57">
        <v>0.45581404579715601</v>
      </c>
    </row>
    <row r="275" spans="4:19" x14ac:dyDescent="0.2">
      <c r="D275" t="s">
        <v>648</v>
      </c>
    </row>
    <row r="277" spans="4:19" x14ac:dyDescent="0.2">
      <c r="D277" t="str">
        <f t="shared" ref="D277:D281" si="68">D269</f>
        <v>Vol. Cost Oil</v>
      </c>
      <c r="L277" s="57">
        <v>2.9992264411255869</v>
      </c>
      <c r="M277" s="57">
        <v>3.6277583419481636</v>
      </c>
      <c r="N277" s="57">
        <v>9.3187840000000008</v>
      </c>
      <c r="O277" s="57">
        <v>11.872558173700002</v>
      </c>
      <c r="P277" s="57">
        <v>24.691832848900003</v>
      </c>
      <c r="Q277" s="57">
        <v>38.944228930599998</v>
      </c>
      <c r="R277" s="57">
        <v>39.4500413321</v>
      </c>
      <c r="S277" s="57">
        <v>36.433700000000002</v>
      </c>
    </row>
    <row r="278" spans="4:19" x14ac:dyDescent="0.2">
      <c r="D278" t="str">
        <f t="shared" si="68"/>
        <v>Vol. ECO</v>
      </c>
      <c r="L278" s="57">
        <v>0</v>
      </c>
      <c r="M278" s="57">
        <v>0</v>
      </c>
      <c r="N278" s="57">
        <v>0</v>
      </c>
      <c r="O278" s="57">
        <v>0</v>
      </c>
      <c r="P278" s="57">
        <v>0</v>
      </c>
      <c r="Q278" s="57">
        <v>0</v>
      </c>
      <c r="R278" s="57">
        <v>0</v>
      </c>
      <c r="S278" s="57">
        <v>0</v>
      </c>
    </row>
    <row r="279" spans="4:19" x14ac:dyDescent="0.2">
      <c r="D279" t="str">
        <f t="shared" si="68"/>
        <v>Vol. SPO</v>
      </c>
      <c r="L279" s="57">
        <v>1.3011282288180415</v>
      </c>
      <c r="M279" s="57">
        <v>1.2713778160393705</v>
      </c>
      <c r="N279" s="57">
        <v>0</v>
      </c>
      <c r="O279" s="57">
        <v>0</v>
      </c>
      <c r="P279" s="57">
        <v>0</v>
      </c>
      <c r="Q279" s="57">
        <v>0</v>
      </c>
      <c r="R279" s="57">
        <v>0</v>
      </c>
      <c r="S279" s="57">
        <v>0</v>
      </c>
    </row>
    <row r="280" spans="4:19" x14ac:dyDescent="0.2">
      <c r="D280" t="str">
        <f t="shared" si="68"/>
        <v>Vol. Profit Oil</v>
      </c>
      <c r="L280" s="57">
        <v>3.0112438592065649</v>
      </c>
      <c r="M280" s="57">
        <v>3.1320007571110731</v>
      </c>
      <c r="N280" s="57">
        <v>2.3005080000000002</v>
      </c>
      <c r="O280" s="57">
        <v>1.780883726055001</v>
      </c>
      <c r="P280" s="57">
        <v>3.7037749273350014</v>
      </c>
      <c r="Q280" s="57">
        <v>5.8416343395900006</v>
      </c>
      <c r="R280" s="57">
        <v>5.9175061998150014</v>
      </c>
      <c r="S280" s="57">
        <v>0</v>
      </c>
    </row>
    <row r="281" spans="4:19" x14ac:dyDescent="0.2">
      <c r="D281" t="str">
        <f t="shared" si="68"/>
        <v>Volumes de droits Contracteur</v>
      </c>
      <c r="L281" s="57">
        <v>7.311598529150193</v>
      </c>
      <c r="M281" s="57">
        <v>8.0311369150986067</v>
      </c>
      <c r="N281" s="57">
        <v>11.619292000000002</v>
      </c>
      <c r="O281" s="57">
        <v>13.653441899755002</v>
      </c>
      <c r="P281" s="57">
        <v>28.395607776235003</v>
      </c>
      <c r="Q281" s="57">
        <v>44.785863270189999</v>
      </c>
      <c r="R281" s="57">
        <v>45.367547531915001</v>
      </c>
      <c r="S281" s="57">
        <v>36.433700000000002</v>
      </c>
    </row>
    <row r="283" spans="4:19" x14ac:dyDescent="0.2">
      <c r="D283" t="s">
        <v>650</v>
      </c>
    </row>
    <row r="285" spans="4:19" x14ac:dyDescent="0.2">
      <c r="D285" t="str">
        <f t="shared" ref="D285:D289" si="69">D277</f>
        <v>Vol. Cost Oil</v>
      </c>
      <c r="L285" s="57">
        <v>1.4114358390000001</v>
      </c>
      <c r="M285" s="57">
        <v>1.6188763611569861</v>
      </c>
      <c r="N285" s="57">
        <v>2.8081180867335052</v>
      </c>
      <c r="O285" s="57">
        <v>2.7774102616656244</v>
      </c>
      <c r="P285" s="57">
        <v>2.0809056299626487</v>
      </c>
      <c r="Q285" s="57">
        <v>1.8729654654403585</v>
      </c>
      <c r="R285" s="57">
        <v>2.0447946418442813</v>
      </c>
      <c r="S285" s="57">
        <v>2.1454</v>
      </c>
    </row>
    <row r="286" spans="4:19" x14ac:dyDescent="0.2">
      <c r="D286" t="str">
        <f t="shared" si="69"/>
        <v>Vol. ECO</v>
      </c>
      <c r="L286" s="57">
        <v>0</v>
      </c>
      <c r="M286" s="57">
        <v>0</v>
      </c>
      <c r="N286" s="57">
        <v>0</v>
      </c>
      <c r="O286" s="57">
        <v>0</v>
      </c>
      <c r="P286" s="57">
        <v>0</v>
      </c>
      <c r="Q286" s="57">
        <v>0</v>
      </c>
      <c r="R286" s="57">
        <v>0</v>
      </c>
      <c r="S286" s="57">
        <v>0</v>
      </c>
    </row>
    <row r="287" spans="4:19" x14ac:dyDescent="0.2">
      <c r="D287" t="str">
        <f t="shared" si="69"/>
        <v>Vol. SPO</v>
      </c>
      <c r="L287" s="57">
        <v>1.0633832259196123</v>
      </c>
      <c r="M287" s="57">
        <v>1.0621533260092089</v>
      </c>
      <c r="N287" s="57">
        <v>0.41741880843603402</v>
      </c>
      <c r="O287" s="57">
        <v>0.16884295166726887</v>
      </c>
      <c r="P287" s="57">
        <v>0.84496460914877114</v>
      </c>
      <c r="Q287" s="57">
        <v>0.76771468612347271</v>
      </c>
      <c r="R287" s="57">
        <v>0.69245546443100559</v>
      </c>
      <c r="S287" s="57">
        <v>0</v>
      </c>
    </row>
    <row r="288" spans="4:19" x14ac:dyDescent="0.2">
      <c r="D288" t="str">
        <f t="shared" si="69"/>
        <v>Vol. Profit Oil</v>
      </c>
      <c r="L288" s="57">
        <v>0.11506850186468412</v>
      </c>
      <c r="M288" s="57">
        <v>0.31124816316764908</v>
      </c>
      <c r="N288" s="57">
        <v>1.0893849225582186</v>
      </c>
      <c r="O288" s="57">
        <v>0.43191609869596437</v>
      </c>
      <c r="P288" s="57">
        <v>0.56139136377902654</v>
      </c>
      <c r="Q288" s="57">
        <v>0.57283093189709422</v>
      </c>
      <c r="R288" s="57">
        <v>0.93038156203914835</v>
      </c>
      <c r="S288" s="57">
        <v>0</v>
      </c>
    </row>
    <row r="289" spans="3:19" x14ac:dyDescent="0.2">
      <c r="D289" t="str">
        <f t="shared" si="69"/>
        <v>Volumes de droits Contracteur</v>
      </c>
      <c r="L289" s="57">
        <v>2.5898875667842964</v>
      </c>
      <c r="M289" s="57">
        <v>2.9922778503338439</v>
      </c>
      <c r="N289" s="57">
        <v>4.3149218177277575</v>
      </c>
      <c r="O289" s="57">
        <v>3.3781693120288576</v>
      </c>
      <c r="P289" s="57">
        <v>3.4872616028904462</v>
      </c>
      <c r="Q289" s="57">
        <v>3.2135110834609257</v>
      </c>
      <c r="R289" s="57">
        <v>3.667631668314435</v>
      </c>
      <c r="S289" s="57">
        <v>2.1454</v>
      </c>
    </row>
    <row r="291" spans="3:19" x14ac:dyDescent="0.2">
      <c r="D291" t="s">
        <v>1029</v>
      </c>
    </row>
    <row r="293" spans="3:19" x14ac:dyDescent="0.2">
      <c r="D293" t="str">
        <f>D285</f>
        <v>Vol. Cost Oil</v>
      </c>
      <c r="L293" s="57">
        <f>SUM(L285,L277,L269,L261)</f>
        <v>5.9457166552753717</v>
      </c>
      <c r="M293" s="57">
        <f t="shared" ref="M293:S293" si="70">SUM(M285,M277,M269,M261)</f>
        <v>7.3079293100981726</v>
      </c>
      <c r="N293" s="57">
        <f t="shared" si="70"/>
        <v>15.944196741550412</v>
      </c>
      <c r="O293" s="57">
        <f t="shared" si="70"/>
        <v>18.714485731288065</v>
      </c>
      <c r="P293" s="57">
        <f t="shared" si="70"/>
        <v>31.525564827995638</v>
      </c>
      <c r="Q293" s="57">
        <f t="shared" si="70"/>
        <v>44.233100269177108</v>
      </c>
      <c r="R293" s="57">
        <f t="shared" si="70"/>
        <v>45.038333074349801</v>
      </c>
      <c r="S293" s="57">
        <f t="shared" si="70"/>
        <v>41.608150690879199</v>
      </c>
    </row>
    <row r="294" spans="3:19" x14ac:dyDescent="0.2">
      <c r="D294" t="str">
        <f t="shared" ref="D294:D297" si="71">D286</f>
        <v>Vol. ECO</v>
      </c>
      <c r="L294" s="57">
        <f t="shared" ref="L294:S297" si="72">SUM(L286,L278,L270,L262)</f>
        <v>0</v>
      </c>
      <c r="M294" s="57">
        <f t="shared" si="72"/>
        <v>0</v>
      </c>
      <c r="N294" s="57">
        <f t="shared" si="72"/>
        <v>0</v>
      </c>
      <c r="O294" s="57">
        <f t="shared" si="72"/>
        <v>0</v>
      </c>
      <c r="P294" s="57">
        <f t="shared" si="72"/>
        <v>0</v>
      </c>
      <c r="Q294" s="57">
        <f t="shared" si="72"/>
        <v>0</v>
      </c>
      <c r="R294" s="57">
        <f t="shared" si="72"/>
        <v>0</v>
      </c>
      <c r="S294" s="57">
        <f t="shared" si="72"/>
        <v>0</v>
      </c>
    </row>
    <row r="295" spans="3:19" x14ac:dyDescent="0.2">
      <c r="D295" t="str">
        <f t="shared" si="71"/>
        <v>Vol. SPO</v>
      </c>
      <c r="L295" s="57">
        <f t="shared" si="72"/>
        <v>3.3539314117401271</v>
      </c>
      <c r="M295" s="57">
        <f t="shared" si="72"/>
        <v>3.3506382099496017</v>
      </c>
      <c r="N295" s="57">
        <f t="shared" si="72"/>
        <v>0.87875879821983871</v>
      </c>
      <c r="O295" s="57">
        <f t="shared" si="72"/>
        <v>0.45128711459932336</v>
      </c>
      <c r="P295" s="57">
        <f t="shared" si="72"/>
        <v>0.89433103112802415</v>
      </c>
      <c r="Q295" s="57">
        <f t="shared" si="72"/>
        <v>0.90705974906259634</v>
      </c>
      <c r="R295" s="57">
        <f t="shared" si="72"/>
        <v>0.70299759115647231</v>
      </c>
      <c r="S295" s="57">
        <f t="shared" si="72"/>
        <v>2.9472343731819233E-3</v>
      </c>
    </row>
    <row r="296" spans="3:19" x14ac:dyDescent="0.2">
      <c r="D296" t="str">
        <f t="shared" si="71"/>
        <v>Vol. Profit Oil</v>
      </c>
      <c r="L296" s="57">
        <f t="shared" si="72"/>
        <v>3.484214692132741</v>
      </c>
      <c r="M296" s="57">
        <f t="shared" si="72"/>
        <v>3.9896381281010935</v>
      </c>
      <c r="N296" s="57">
        <f t="shared" si="72"/>
        <v>4.0995589356012463</v>
      </c>
      <c r="O296" s="57">
        <f t="shared" si="72"/>
        <v>3.1412469427158323</v>
      </c>
      <c r="P296" s="57">
        <f t="shared" si="72"/>
        <v>5.1387821861924508</v>
      </c>
      <c r="Q296" s="57">
        <f t="shared" si="72"/>
        <v>7.0856002957356496</v>
      </c>
      <c r="R296" s="57">
        <f t="shared" si="72"/>
        <v>7.7127887832471762</v>
      </c>
      <c r="S296" s="57">
        <f t="shared" si="72"/>
        <v>0.18121612054477504</v>
      </c>
    </row>
    <row r="297" spans="3:19" x14ac:dyDescent="0.2">
      <c r="D297" t="str">
        <f t="shared" si="71"/>
        <v>Volumes de droits Contracteur</v>
      </c>
      <c r="L297" s="57">
        <f t="shared" si="72"/>
        <v>12.783862759148239</v>
      </c>
      <c r="M297" s="57">
        <f t="shared" si="72"/>
        <v>14.648205648148867</v>
      </c>
      <c r="N297" s="57">
        <f t="shared" si="72"/>
        <v>20.9225144753715</v>
      </c>
      <c r="O297" s="57">
        <f t="shared" si="72"/>
        <v>22.30701978860322</v>
      </c>
      <c r="P297" s="57">
        <f t="shared" si="72"/>
        <v>37.558678045316114</v>
      </c>
      <c r="Q297" s="57">
        <f t="shared" si="72"/>
        <v>52.22576031397535</v>
      </c>
      <c r="R297" s="57">
        <f t="shared" si="72"/>
        <v>53.454119448753445</v>
      </c>
      <c r="S297" s="57">
        <f t="shared" si="72"/>
        <v>41.792314045797156</v>
      </c>
    </row>
    <row r="300" spans="3:19" x14ac:dyDescent="0.2">
      <c r="C300" s="11" t="s">
        <v>1615</v>
      </c>
    </row>
    <row r="301" spans="3:19" x14ac:dyDescent="0.2">
      <c r="D301" t="s">
        <v>1613</v>
      </c>
    </row>
    <row r="303" spans="3:19" x14ac:dyDescent="0.2">
      <c r="D303" t="str">
        <f>D221</f>
        <v>Nkossa</v>
      </c>
      <c r="L303" s="57">
        <v>104.73829767617765</v>
      </c>
      <c r="M303" s="57">
        <v>91.498428064650341</v>
      </c>
      <c r="N303" s="57">
        <v>46.56770369734091</v>
      </c>
      <c r="O303" s="57">
        <v>40.90753460412715</v>
      </c>
      <c r="P303" s="57">
        <v>49.801238983305296</v>
      </c>
      <c r="Q303" s="57">
        <v>69.051851246368514</v>
      </c>
      <c r="R303" s="57">
        <v>57.784030648519838</v>
      </c>
      <c r="S303" s="57">
        <v>41.004833333333337</v>
      </c>
    </row>
    <row r="304" spans="3:19" x14ac:dyDescent="0.2">
      <c r="D304" t="str">
        <f t="shared" ref="D304:D306" si="73">D222</f>
        <v>Nsoko</v>
      </c>
      <c r="L304" s="57">
        <v>107.3724169187476</v>
      </c>
      <c r="M304" s="57">
        <v>95.89330227373668</v>
      </c>
      <c r="N304" s="57">
        <v>48.626619063855742</v>
      </c>
      <c r="O304" s="57">
        <v>42.183716418859802</v>
      </c>
      <c r="P304" s="57">
        <v>50.685355572329733</v>
      </c>
      <c r="Q304" s="57">
        <v>68.043436873512476</v>
      </c>
      <c r="R304" s="57">
        <v>59.283776419393838</v>
      </c>
      <c r="S304" s="57">
        <v>41.004833333333323</v>
      </c>
    </row>
    <row r="305" spans="3:19" x14ac:dyDescent="0.2">
      <c r="D305" t="str">
        <f t="shared" si="73"/>
        <v>Moho</v>
      </c>
      <c r="L305" s="57">
        <v>105.56594625304467</v>
      </c>
      <c r="M305" s="57">
        <v>96.087837772974183</v>
      </c>
      <c r="N305" s="57">
        <v>47.83306661001685</v>
      </c>
      <c r="O305" s="57">
        <v>40.514178138774625</v>
      </c>
      <c r="P305" s="57">
        <v>54.30988909203591</v>
      </c>
      <c r="Q305" s="57">
        <v>68.447232066727068</v>
      </c>
      <c r="R305" s="57">
        <v>64.497153078556039</v>
      </c>
      <c r="S305" s="57">
        <v>40.43</v>
      </c>
    </row>
    <row r="306" spans="3:19" x14ac:dyDescent="0.2">
      <c r="D306" t="str">
        <f t="shared" si="73"/>
        <v>KLL</v>
      </c>
      <c r="L306" s="57">
        <v>105.3131483179633</v>
      </c>
      <c r="M306" s="57">
        <v>94.482840461481686</v>
      </c>
      <c r="N306" s="57">
        <v>48.3622979358558</v>
      </c>
      <c r="O306" s="57">
        <v>40.053614345548198</v>
      </c>
      <c r="P306" s="57">
        <v>53.483489044333382</v>
      </c>
      <c r="Q306" s="57">
        <v>68.3046474951921</v>
      </c>
      <c r="R306" s="57">
        <v>64.508278946592398</v>
      </c>
      <c r="S306" s="57">
        <v>40.43</v>
      </c>
    </row>
    <row r="307" spans="3:19" x14ac:dyDescent="0.2">
      <c r="D307" t="s">
        <v>1614</v>
      </c>
      <c r="L307" s="57">
        <f>AVERAGE(L303:L306)</f>
        <v>105.7474522914833</v>
      </c>
      <c r="M307" s="57">
        <f t="shared" ref="M307:S307" si="74">AVERAGE(M303:M306)</f>
        <v>94.490602143210737</v>
      </c>
      <c r="N307" s="57">
        <f t="shared" si="74"/>
        <v>47.847421826767324</v>
      </c>
      <c r="O307" s="57">
        <f t="shared" si="74"/>
        <v>40.914760876827444</v>
      </c>
      <c r="P307" s="57">
        <f t="shared" si="74"/>
        <v>52.06999317300108</v>
      </c>
      <c r="Q307" s="57">
        <f t="shared" si="74"/>
        <v>68.46179192045004</v>
      </c>
      <c r="R307" s="57">
        <f t="shared" si="74"/>
        <v>61.518309773265528</v>
      </c>
      <c r="S307" s="57">
        <f t="shared" si="74"/>
        <v>40.717416666666665</v>
      </c>
    </row>
    <row r="310" spans="3:19" x14ac:dyDescent="0.2">
      <c r="C310" s="11" t="s">
        <v>1622</v>
      </c>
    </row>
    <row r="311" spans="3:19" x14ac:dyDescent="0.2">
      <c r="D311" t="s">
        <v>1619</v>
      </c>
    </row>
    <row r="313" spans="3:19" x14ac:dyDescent="0.2">
      <c r="D313" t="str">
        <f>D303</f>
        <v>Nkossa</v>
      </c>
      <c r="E313" t="s">
        <v>88</v>
      </c>
      <c r="L313" s="57">
        <v>8.6294348880000005</v>
      </c>
      <c r="M313" s="57">
        <v>10.106731505999999</v>
      </c>
      <c r="N313" s="57">
        <v>9.5930509429999979</v>
      </c>
      <c r="O313" s="57">
        <v>9.0505969999999998</v>
      </c>
      <c r="P313" s="57">
        <v>8.0766759999999991</v>
      </c>
      <c r="Q313" s="57">
        <v>7.1800010000000007</v>
      </c>
      <c r="R313" s="57">
        <v>6.4326745010000002</v>
      </c>
      <c r="S313" s="57">
        <v>5.0133999999999999</v>
      </c>
    </row>
    <row r="314" spans="3:19" x14ac:dyDescent="0.2">
      <c r="D314" t="str">
        <f t="shared" ref="D314:D316" si="75">D304</f>
        <v>Nsoko</v>
      </c>
      <c r="E314" t="s">
        <v>88</v>
      </c>
      <c r="L314" s="57">
        <v>0.98941746400000019</v>
      </c>
      <c r="M314" s="57">
        <v>0.73020323600000003</v>
      </c>
      <c r="N314" s="57">
        <v>0.98700926900000019</v>
      </c>
      <c r="O314" s="57">
        <v>0.83156399999999997</v>
      </c>
      <c r="P314" s="57">
        <v>0.84686700000000004</v>
      </c>
      <c r="Q314" s="57">
        <v>0.61494199999999999</v>
      </c>
      <c r="R314" s="57">
        <v>0.38720373299999999</v>
      </c>
      <c r="S314" s="57">
        <v>0.75453651099999997</v>
      </c>
    </row>
    <row r="315" spans="3:19" x14ac:dyDescent="0.2">
      <c r="D315" t="str">
        <f t="shared" si="75"/>
        <v>Moho</v>
      </c>
      <c r="E315" t="s">
        <v>88</v>
      </c>
      <c r="L315" s="57">
        <v>19.447364196999999</v>
      </c>
      <c r="M315" s="57">
        <v>20.182617144999998</v>
      </c>
      <c r="N315" s="57">
        <v>15.296483690999999</v>
      </c>
      <c r="O315" s="57">
        <v>17.000243239</v>
      </c>
      <c r="P315" s="57">
        <v>35.274046927000001</v>
      </c>
      <c r="Q315" s="57">
        <v>55.634612757999996</v>
      </c>
      <c r="R315" s="57">
        <v>56.357201902999996</v>
      </c>
      <c r="S315" s="57">
        <v>52.048200000000001</v>
      </c>
    </row>
    <row r="316" spans="3:19" x14ac:dyDescent="0.2">
      <c r="D316" t="str">
        <f t="shared" si="75"/>
        <v>KLL</v>
      </c>
      <c r="E316" t="s">
        <v>88</v>
      </c>
      <c r="L316" s="57">
        <v>5.6457433560000005</v>
      </c>
      <c r="M316" s="57">
        <v>6.2603597030000007</v>
      </c>
      <c r="N316" s="57">
        <v>7.0605919999999998</v>
      </c>
      <c r="O316" s="57">
        <v>6.1390520000000004</v>
      </c>
      <c r="P316" s="57">
        <v>5.6774719999999999</v>
      </c>
      <c r="Q316" s="57">
        <v>6.4023830000000004</v>
      </c>
      <c r="R316" s="57">
        <v>6.4856289530000009</v>
      </c>
      <c r="S316" s="57">
        <v>5.5629</v>
      </c>
    </row>
    <row r="317" spans="3:19" x14ac:dyDescent="0.2">
      <c r="D317" t="s">
        <v>1620</v>
      </c>
      <c r="E317" t="s">
        <v>1621</v>
      </c>
      <c r="L317" s="57">
        <f>SUM(L313:L316)/365*1000</f>
        <v>95.101260013698635</v>
      </c>
      <c r="M317" s="57">
        <f t="shared" ref="M317:S317" si="76">SUM(M313:M316)/365*1000</f>
        <v>102.13674408219177</v>
      </c>
      <c r="N317" s="57">
        <f t="shared" si="76"/>
        <v>90.238728501369849</v>
      </c>
      <c r="O317" s="57">
        <f t="shared" si="76"/>
        <v>90.469743120547946</v>
      </c>
      <c r="P317" s="57">
        <f t="shared" si="76"/>
        <v>136.64400527945205</v>
      </c>
      <c r="Q317" s="57">
        <f t="shared" si="76"/>
        <v>191.32038015890413</v>
      </c>
      <c r="R317" s="57">
        <f t="shared" si="76"/>
        <v>190.8567372328767</v>
      </c>
      <c r="S317" s="57">
        <f t="shared" si="76"/>
        <v>173.64119592054794</v>
      </c>
    </row>
    <row r="320" spans="3:19" x14ac:dyDescent="0.2">
      <c r="C320" s="11" t="s">
        <v>1629</v>
      </c>
    </row>
    <row r="321" spans="3:19" x14ac:dyDescent="0.2">
      <c r="D321" t="s">
        <v>1627</v>
      </c>
    </row>
    <row r="323" spans="3:19" x14ac:dyDescent="0.2">
      <c r="D323" t="str">
        <f>'Tableau de bord Backcasting'!D44</f>
        <v>Total revenus</v>
      </c>
      <c r="L323" s="57">
        <v>3413.9595372109998</v>
      </c>
      <c r="M323" s="57">
        <v>3429.9380339799995</v>
      </c>
      <c r="N323" s="57">
        <v>1506.0982819689998</v>
      </c>
      <c r="O323" s="57">
        <v>1317.246117869</v>
      </c>
      <c r="P323" s="57">
        <v>2543.0041175360002</v>
      </c>
      <c r="Q323" s="57">
        <v>4505.8636628049999</v>
      </c>
      <c r="R323" s="57">
        <v>4383.8491450520005</v>
      </c>
      <c r="S323" s="57">
        <v>2565.7300483108033</v>
      </c>
    </row>
    <row r="324" spans="3:19" x14ac:dyDescent="0.2">
      <c r="D324" t="str">
        <f>'Tableau de bord Backcasting'!D70</f>
        <v>Total flux de trésorerie du Gouv.</v>
      </c>
      <c r="L324" s="57">
        <f>L241</f>
        <v>2294.2836553891611</v>
      </c>
      <c r="M324" s="57">
        <f t="shared" ref="M324:S324" si="77">M241</f>
        <v>2122.6017635048638</v>
      </c>
      <c r="N324" s="57">
        <f t="shared" si="77"/>
        <v>506.69063551901479</v>
      </c>
      <c r="O324" s="57">
        <f t="shared" si="77"/>
        <v>347.28216151018364</v>
      </c>
      <c r="P324" s="57">
        <f t="shared" si="77"/>
        <v>625.78259063188045</v>
      </c>
      <c r="Q324" s="57">
        <f t="shared" si="77"/>
        <v>1120.775248125731</v>
      </c>
      <c r="R324" s="57">
        <f t="shared" si="77"/>
        <v>1048.1057548012518</v>
      </c>
      <c r="S324" s="57">
        <f t="shared" si="77"/>
        <v>578.67318078623475</v>
      </c>
    </row>
    <row r="325" spans="3:19" x14ac:dyDescent="0.2">
      <c r="D325" t="str">
        <f>CHOOSE(db_ML_selected,'Liste Traduction'!B234,'Liste Traduction'!C234)</f>
        <v>Part des revenus du Congo</v>
      </c>
      <c r="L325" s="53">
        <f>L324/L323</f>
        <v>0.67203012524965466</v>
      </c>
      <c r="M325" s="53">
        <f t="shared" ref="M325:S325" si="78">M324/M323</f>
        <v>0.61884551338143534</v>
      </c>
      <c r="N325" s="53">
        <f t="shared" si="78"/>
        <v>0.33642600989929555</v>
      </c>
      <c r="O325" s="53">
        <f t="shared" si="78"/>
        <v>0.26364257734310576</v>
      </c>
      <c r="P325" s="53">
        <f t="shared" si="78"/>
        <v>0.24608005402611052</v>
      </c>
      <c r="Q325" s="53">
        <f t="shared" si="78"/>
        <v>0.24873705287124101</v>
      </c>
      <c r="R325" s="53">
        <f t="shared" si="78"/>
        <v>0.23908344473582915</v>
      </c>
      <c r="S325" s="53">
        <f t="shared" si="78"/>
        <v>0.2255393864086423</v>
      </c>
    </row>
    <row r="328" spans="3:19" x14ac:dyDescent="0.2">
      <c r="C328" s="11" t="s">
        <v>1632</v>
      </c>
    </row>
    <row r="329" spans="3:19" x14ac:dyDescent="0.2">
      <c r="D329" t="s">
        <v>1633</v>
      </c>
    </row>
    <row r="331" spans="3:19" x14ac:dyDescent="0.2">
      <c r="D331" t="str">
        <f>D323</f>
        <v>Total revenus</v>
      </c>
      <c r="L331" s="57">
        <f>L323</f>
        <v>3413.9595372109998</v>
      </c>
      <c r="M331" s="57">
        <f t="shared" ref="M331:S331" si="79">M323</f>
        <v>3429.9380339799995</v>
      </c>
      <c r="N331" s="57">
        <f t="shared" si="79"/>
        <v>1506.0982819689998</v>
      </c>
      <c r="O331" s="57">
        <f t="shared" si="79"/>
        <v>1317.246117869</v>
      </c>
      <c r="P331" s="57">
        <f t="shared" si="79"/>
        <v>2543.0041175360002</v>
      </c>
      <c r="Q331" s="57">
        <f t="shared" si="79"/>
        <v>4505.8636628049999</v>
      </c>
      <c r="R331" s="57">
        <f t="shared" si="79"/>
        <v>4383.8491450520005</v>
      </c>
      <c r="S331" s="57">
        <f t="shared" si="79"/>
        <v>2565.7300483108033</v>
      </c>
    </row>
    <row r="332" spans="3:19" x14ac:dyDescent="0.2">
      <c r="D332" t="str">
        <f>'Tableau de bord Backcasting'!D87</f>
        <v>Récupération des coûts</v>
      </c>
      <c r="L332" s="57">
        <v>626.44439288542935</v>
      </c>
      <c r="M332" s="57">
        <v>690.78425161289533</v>
      </c>
      <c r="N332" s="57">
        <v>760.01555092779199</v>
      </c>
      <c r="O332" s="57">
        <v>758.9388566668033</v>
      </c>
      <c r="P332" s="57">
        <v>1689.2760924767297</v>
      </c>
      <c r="Q332" s="57">
        <v>3029.2498981763379</v>
      </c>
      <c r="R332" s="57">
        <v>2881.0870137562888</v>
      </c>
      <c r="S332" s="57">
        <v>1683.95873173772</v>
      </c>
    </row>
    <row r="333" spans="3:19" x14ac:dyDescent="0.2">
      <c r="D333" t="str">
        <f>CHOOSE(db_ML_selected,'Liste Traduction'!B235,'Liste Traduction'!C235)</f>
        <v>% récupération des coûts dans les revenus</v>
      </c>
      <c r="L333" s="53">
        <f>L332/L331</f>
        <v>0.18349496707778701</v>
      </c>
      <c r="M333" s="53">
        <f t="shared" ref="M333:S333" si="80">M332/M331</f>
        <v>0.20139846398663055</v>
      </c>
      <c r="N333" s="53">
        <f t="shared" si="80"/>
        <v>0.50462546835534838</v>
      </c>
      <c r="O333" s="53">
        <f t="shared" si="80"/>
        <v>0.57615569814287326</v>
      </c>
      <c r="P333" s="53">
        <f t="shared" si="80"/>
        <v>0.66428366388707405</v>
      </c>
      <c r="Q333" s="53">
        <f t="shared" si="80"/>
        <v>0.67229062503204162</v>
      </c>
      <c r="R333" s="53">
        <f t="shared" si="80"/>
        <v>0.65720487143316464</v>
      </c>
      <c r="S333" s="53">
        <f t="shared" si="80"/>
        <v>0.65632732206039601</v>
      </c>
    </row>
    <row r="336" spans="3:19" x14ac:dyDescent="0.2">
      <c r="C336" s="11" t="s">
        <v>1637</v>
      </c>
    </row>
    <row r="337" spans="3:19" x14ac:dyDescent="0.2">
      <c r="D337" t="s">
        <v>1640</v>
      </c>
    </row>
    <row r="338" spans="3:19" x14ac:dyDescent="0.2">
      <c r="D338" t="str">
        <f>D183&amp;" and "&amp;D187</f>
        <v>Redevances and PID</v>
      </c>
      <c r="L338" s="57">
        <v>328.48166855983283</v>
      </c>
      <c r="M338" s="57">
        <v>310.02543866041606</v>
      </c>
      <c r="N338" s="57">
        <v>117.06159293052825</v>
      </c>
      <c r="O338" s="57">
        <v>109.88537267874142</v>
      </c>
      <c r="P338" s="57">
        <v>306.46032329168554</v>
      </c>
      <c r="Q338" s="57">
        <v>609.4366737089041</v>
      </c>
      <c r="R338" s="57">
        <v>581.50612191419839</v>
      </c>
      <c r="S338" s="57">
        <v>336.64509599999997</v>
      </c>
    </row>
    <row r="339" spans="3:19" x14ac:dyDescent="0.2">
      <c r="D339" t="str">
        <f>D184</f>
        <v>Excess Cost Oil</v>
      </c>
      <c r="L339" s="57">
        <v>0</v>
      </c>
      <c r="M339" s="57">
        <v>0</v>
      </c>
      <c r="N339" s="57">
        <v>0</v>
      </c>
      <c r="O339" s="57">
        <v>0</v>
      </c>
      <c r="P339" s="57">
        <v>0</v>
      </c>
      <c r="Q339" s="57">
        <v>0</v>
      </c>
      <c r="R339" s="57">
        <v>0</v>
      </c>
      <c r="S339" s="57">
        <v>0</v>
      </c>
    </row>
    <row r="340" spans="3:19" x14ac:dyDescent="0.2">
      <c r="D340" t="str">
        <f>D185</f>
        <v>SPO</v>
      </c>
      <c r="L340" s="57">
        <v>778.34405180643921</v>
      </c>
      <c r="M340" s="57">
        <v>692.26235690257909</v>
      </c>
      <c r="N340" s="57">
        <v>0</v>
      </c>
      <c r="O340" s="57">
        <v>0</v>
      </c>
      <c r="P340" s="57">
        <v>0</v>
      </c>
      <c r="Q340" s="57">
        <v>0</v>
      </c>
      <c r="R340" s="57">
        <v>0</v>
      </c>
      <c r="S340" s="57">
        <v>0</v>
      </c>
    </row>
    <row r="341" spans="3:19" x14ac:dyDescent="0.2">
      <c r="D341" t="s">
        <v>1638</v>
      </c>
      <c r="L341" s="57">
        <v>194.83262388775512</v>
      </c>
      <c r="M341" s="57">
        <v>184.45149782026778</v>
      </c>
      <c r="N341" s="57">
        <v>66.139737863002495</v>
      </c>
      <c r="O341" s="57">
        <v>30.921874509358716</v>
      </c>
      <c r="P341" s="57">
        <v>86.207830939468835</v>
      </c>
      <c r="Q341" s="57">
        <v>171.3615862675195</v>
      </c>
      <c r="R341" s="57">
        <v>163.56955851975971</v>
      </c>
      <c r="S341" s="57">
        <v>94.695146000000008</v>
      </c>
    </row>
    <row r="342" spans="3:19" x14ac:dyDescent="0.2">
      <c r="D342" t="s">
        <v>1643</v>
      </c>
      <c r="L342" s="57">
        <f>L233</f>
        <v>27.028749999999999</v>
      </c>
      <c r="M342" s="57">
        <f t="shared" ref="M342:S342" si="81">M233</f>
        <v>27.382999999999999</v>
      </c>
      <c r="N342" s="57">
        <f t="shared" si="81"/>
        <v>27.72325</v>
      </c>
      <c r="O342" s="57">
        <f t="shared" si="81"/>
        <v>28.14725</v>
      </c>
      <c r="P342" s="57">
        <f t="shared" si="81"/>
        <v>97.840500000000006</v>
      </c>
      <c r="Q342" s="57">
        <f t="shared" si="81"/>
        <v>100.089</v>
      </c>
      <c r="R342" s="57">
        <f t="shared" si="81"/>
        <v>101.9695</v>
      </c>
      <c r="S342" s="57">
        <f t="shared" si="81"/>
        <v>104.43</v>
      </c>
    </row>
    <row r="345" spans="3:19" x14ac:dyDescent="0.2">
      <c r="C345" s="11" t="s">
        <v>1642</v>
      </c>
    </row>
    <row r="346" spans="3:19" x14ac:dyDescent="0.2">
      <c r="D346" t="s">
        <v>1640</v>
      </c>
    </row>
    <row r="347" spans="3:19" x14ac:dyDescent="0.2">
      <c r="D347" t="str">
        <f>D183&amp;" and "&amp;D187</f>
        <v>Redevances and PID</v>
      </c>
      <c r="L347" s="57">
        <v>117.4352627211414</v>
      </c>
      <c r="M347" s="57">
        <v>120.37506328921643</v>
      </c>
      <c r="N347" s="57">
        <v>58.090526328767098</v>
      </c>
      <c r="O347" s="57">
        <v>48.051606121753252</v>
      </c>
      <c r="P347" s="57">
        <v>64.482373528318433</v>
      </c>
      <c r="Q347" s="57">
        <v>68.436500081211562</v>
      </c>
      <c r="R347" s="57">
        <v>59.487695962580496</v>
      </c>
      <c r="S347" s="57">
        <v>32.943835633333336</v>
      </c>
    </row>
    <row r="348" spans="3:19" x14ac:dyDescent="0.2">
      <c r="D348" t="str">
        <f>D339</f>
        <v>Excess Cost Oil</v>
      </c>
      <c r="L348" s="57">
        <v>0</v>
      </c>
      <c r="M348" s="57">
        <v>0</v>
      </c>
      <c r="N348" s="57">
        <v>0</v>
      </c>
      <c r="O348" s="57">
        <v>0</v>
      </c>
      <c r="P348" s="57">
        <v>0</v>
      </c>
      <c r="Q348" s="57">
        <v>0</v>
      </c>
      <c r="R348" s="57">
        <v>0</v>
      </c>
      <c r="S348" s="57">
        <v>0</v>
      </c>
    </row>
    <row r="349" spans="3:19" x14ac:dyDescent="0.2">
      <c r="D349" t="str">
        <f t="shared" ref="D349:D350" si="82">D340</f>
        <v>SPO</v>
      </c>
      <c r="L349" s="57">
        <v>452.22112767776127</v>
      </c>
      <c r="M349" s="57">
        <v>420.50888183781211</v>
      </c>
      <c r="N349" s="57">
        <v>93.311941198710997</v>
      </c>
      <c r="O349" s="57">
        <v>49.919363850933728</v>
      </c>
      <c r="P349" s="57">
        <v>0</v>
      </c>
      <c r="Q349" s="57">
        <v>12.120860632115837</v>
      </c>
      <c r="R349" s="57">
        <v>0.19049247760407986</v>
      </c>
      <c r="S349" s="57">
        <v>0</v>
      </c>
    </row>
    <row r="350" spans="3:19" x14ac:dyDescent="0.2">
      <c r="D350" t="str">
        <f t="shared" si="82"/>
        <v>PO</v>
      </c>
      <c r="L350" s="57">
        <v>32.161684262341609</v>
      </c>
      <c r="M350" s="57">
        <v>45.565212834068994</v>
      </c>
      <c r="N350" s="57">
        <v>28.022202020616092</v>
      </c>
      <c r="O350" s="57">
        <v>32.760909035790299</v>
      </c>
      <c r="P350" s="57">
        <v>39.752690214233894</v>
      </c>
      <c r="Q350" s="57">
        <v>43.170693099356363</v>
      </c>
      <c r="R350" s="57">
        <v>43.012437931297832</v>
      </c>
      <c r="S350" s="57">
        <v>18.402969200000001</v>
      </c>
    </row>
    <row r="351" spans="3:19" x14ac:dyDescent="0.2">
      <c r="D351" t="str">
        <f>D231</f>
        <v>Nkossa - PH</v>
      </c>
      <c r="L351" s="57">
        <f>L231</f>
        <v>32.270000000000003</v>
      </c>
      <c r="M351" s="57">
        <f t="shared" ref="M351:S351" si="83">M231</f>
        <v>32.519750000000002</v>
      </c>
      <c r="N351" s="57">
        <f t="shared" si="83"/>
        <v>32.923999999999999</v>
      </c>
      <c r="O351" s="57">
        <f t="shared" si="83"/>
        <v>33.427250000000001</v>
      </c>
      <c r="P351" s="57">
        <f t="shared" si="83"/>
        <v>66.422750000000008</v>
      </c>
      <c r="Q351" s="57">
        <f t="shared" si="83"/>
        <v>68.897500000000008</v>
      </c>
      <c r="R351" s="57">
        <f t="shared" si="83"/>
        <v>69.747250000000008</v>
      </c>
      <c r="S351" s="57">
        <f t="shared" si="83"/>
        <v>71.400000000000006</v>
      </c>
    </row>
  </sheetData>
  <mergeCells count="26">
    <mergeCell ref="B7:E7"/>
    <mergeCell ref="B30:E30"/>
    <mergeCell ref="L35:M35"/>
    <mergeCell ref="N35:O35"/>
    <mergeCell ref="P35:Q35"/>
    <mergeCell ref="T35:U35"/>
    <mergeCell ref="V35:W35"/>
    <mergeCell ref="X35:Y35"/>
    <mergeCell ref="V167:W167"/>
    <mergeCell ref="X167:Y167"/>
    <mergeCell ref="Z35:AA35"/>
    <mergeCell ref="Z167:AA167"/>
    <mergeCell ref="L196:M196"/>
    <mergeCell ref="N196:O196"/>
    <mergeCell ref="P196:Q196"/>
    <mergeCell ref="R196:S196"/>
    <mergeCell ref="T196:U196"/>
    <mergeCell ref="V196:W196"/>
    <mergeCell ref="X196:Y196"/>
    <mergeCell ref="Z196:AA196"/>
    <mergeCell ref="L167:M167"/>
    <mergeCell ref="N167:O167"/>
    <mergeCell ref="P167:Q167"/>
    <mergeCell ref="R167:S167"/>
    <mergeCell ref="T167:U167"/>
    <mergeCell ref="R35:S35"/>
  </mergeCells>
  <pageMargins left="0.7" right="0.7" top="0.75" bottom="0.75" header="0.3" footer="0.3"/>
</worksheet>
</file>

<file path=xl/worksheets/sheet5.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2E093-7597-48B7-B095-072AAB842896}">
  <sheetPr codeName="Sheet2"/>
  <dimension ref="A1:XFD225"/>
  <sheetViews>
    <sheetView showGridLines="0" zoomScale="80" zoomScaleNormal="80" workbookViewId="0">
      <pane xSplit="10" ySplit="5" topLeftCell="K51" activePane="bottomRight" state="frozen"/>
      <selection pane="topRight" activeCell="K1" sqref="K1"/>
      <selection pane="bottomLeft" activeCell="A6" sqref="A6"/>
      <selection pane="bottomRight" activeCell="T63" sqref="T63"/>
    </sheetView>
  </sheetViews>
  <sheetFormatPr baseColWidth="10" defaultColWidth="0" defaultRowHeight="15" outlineLevelRow="1" x14ac:dyDescent="0.2"/>
  <cols>
    <col min="1" max="3" width="5.6640625" customWidth="1"/>
    <col min="4" max="10" width="14.6640625" customWidth="1"/>
    <col min="11" max="11" width="17.6640625" style="7" customWidth="1"/>
    <col min="12" max="93" width="9.1640625" customWidth="1"/>
    <col min="94" max="94" width="0" style="6" hidden="1" customWidth="1"/>
    <col min="95" max="16384" width="9.1640625" style="6" hidden="1"/>
  </cols>
  <sheetData>
    <row r="1" spans="1:93" s="5" customFormat="1" ht="20.25" customHeight="1" x14ac:dyDescent="0.2">
      <c r="A1" s="82" t="str">
        <f>CHOOSE(db_ML_selected,'Liste Traduction'!B130,'Liste Traduction'!C130)</f>
        <v>Entrées</v>
      </c>
      <c r="B1" s="82"/>
      <c r="C1" s="82"/>
      <c r="D1" s="82"/>
      <c r="E1" s="82"/>
      <c r="F1" s="82"/>
      <c r="G1" s="82"/>
      <c r="H1" s="82"/>
      <c r="I1" s="82"/>
      <c r="J1" s="82"/>
      <c r="K1" s="83"/>
      <c r="L1" s="82"/>
      <c r="M1" s="82"/>
      <c r="N1" s="82"/>
      <c r="O1" s="82"/>
      <c r="P1" s="82"/>
      <c r="Q1" s="82"/>
      <c r="R1" s="82"/>
      <c r="S1" s="82"/>
      <c r="T1" s="82"/>
      <c r="U1" s="82"/>
      <c r="V1" s="82"/>
      <c r="W1" s="82"/>
      <c r="X1" s="82"/>
      <c r="Y1" s="82"/>
      <c r="Z1" s="82"/>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row>
    <row r="2" spans="1:93" ht="9" customHeight="1" x14ac:dyDescent="0.2">
      <c r="A2" s="6"/>
      <c r="B2" s="6"/>
      <c r="C2" s="6"/>
      <c r="D2" s="6"/>
      <c r="E2" s="6"/>
      <c r="F2" s="6"/>
      <c r="G2" s="6"/>
      <c r="H2" s="6"/>
      <c r="I2" s="6"/>
      <c r="J2" s="6"/>
      <c r="K2" s="84"/>
      <c r="L2" s="6"/>
      <c r="M2" s="6"/>
      <c r="N2" s="6"/>
      <c r="O2" s="6"/>
      <c r="P2" s="6"/>
      <c r="Q2" s="6"/>
      <c r="R2" s="6"/>
      <c r="S2" s="6"/>
      <c r="T2" s="6"/>
      <c r="U2" s="6"/>
      <c r="V2" s="6"/>
      <c r="W2" s="6"/>
      <c r="X2" s="6"/>
      <c r="Y2" s="6"/>
      <c r="Z2" s="6"/>
    </row>
    <row r="3" spans="1:93" x14ac:dyDescent="0.2">
      <c r="K3" s="7" t="s">
        <v>2</v>
      </c>
      <c r="L3" s="3">
        <v>1</v>
      </c>
      <c r="M3" s="3">
        <f>L3+1</f>
        <v>2</v>
      </c>
      <c r="N3" s="3">
        <f t="shared" ref="N3:BS3" si="0">M3+1</f>
        <v>3</v>
      </c>
      <c r="O3" s="3">
        <f t="shared" si="0"/>
        <v>4</v>
      </c>
      <c r="P3" s="3">
        <f t="shared" si="0"/>
        <v>5</v>
      </c>
      <c r="Q3" s="3">
        <f t="shared" si="0"/>
        <v>6</v>
      </c>
      <c r="R3" s="3">
        <f t="shared" si="0"/>
        <v>7</v>
      </c>
      <c r="S3" s="3">
        <f t="shared" si="0"/>
        <v>8</v>
      </c>
      <c r="T3" s="3">
        <f t="shared" si="0"/>
        <v>9</v>
      </c>
      <c r="U3" s="3">
        <f t="shared" si="0"/>
        <v>10</v>
      </c>
      <c r="V3" s="3">
        <f t="shared" si="0"/>
        <v>11</v>
      </c>
      <c r="W3" s="3">
        <f t="shared" si="0"/>
        <v>12</v>
      </c>
      <c r="X3" s="3">
        <f t="shared" si="0"/>
        <v>13</v>
      </c>
      <c r="Y3" s="3">
        <f t="shared" si="0"/>
        <v>14</v>
      </c>
      <c r="Z3" s="3">
        <f t="shared" si="0"/>
        <v>15</v>
      </c>
      <c r="AA3" s="3">
        <f t="shared" si="0"/>
        <v>16</v>
      </c>
      <c r="AB3" s="3">
        <f t="shared" si="0"/>
        <v>17</v>
      </c>
      <c r="AC3" s="3">
        <f t="shared" si="0"/>
        <v>18</v>
      </c>
      <c r="AD3" s="3">
        <f t="shared" si="0"/>
        <v>19</v>
      </c>
      <c r="AE3" s="3">
        <f t="shared" si="0"/>
        <v>20</v>
      </c>
      <c r="AF3" s="3">
        <f t="shared" si="0"/>
        <v>21</v>
      </c>
      <c r="AG3" s="3">
        <f t="shared" si="0"/>
        <v>22</v>
      </c>
      <c r="AH3" s="3">
        <f t="shared" si="0"/>
        <v>23</v>
      </c>
      <c r="AI3" s="3">
        <f t="shared" si="0"/>
        <v>24</v>
      </c>
      <c r="AJ3" s="3">
        <f t="shared" si="0"/>
        <v>25</v>
      </c>
      <c r="AK3" s="3">
        <f t="shared" si="0"/>
        <v>26</v>
      </c>
      <c r="AL3" s="3">
        <f t="shared" si="0"/>
        <v>27</v>
      </c>
      <c r="AM3" s="3">
        <f t="shared" si="0"/>
        <v>28</v>
      </c>
      <c r="AN3" s="3">
        <f t="shared" si="0"/>
        <v>29</v>
      </c>
      <c r="AO3" s="3">
        <f t="shared" si="0"/>
        <v>30</v>
      </c>
      <c r="AP3" s="3">
        <f t="shared" si="0"/>
        <v>31</v>
      </c>
      <c r="AQ3" s="3">
        <f t="shared" si="0"/>
        <v>32</v>
      </c>
      <c r="AR3" s="3">
        <f t="shared" si="0"/>
        <v>33</v>
      </c>
      <c r="AS3" s="3">
        <f t="shared" si="0"/>
        <v>34</v>
      </c>
      <c r="AT3" s="3">
        <f t="shared" si="0"/>
        <v>35</v>
      </c>
      <c r="AU3" s="3">
        <f t="shared" si="0"/>
        <v>36</v>
      </c>
      <c r="AV3" s="3">
        <f t="shared" si="0"/>
        <v>37</v>
      </c>
      <c r="AW3" s="3">
        <f t="shared" si="0"/>
        <v>38</v>
      </c>
      <c r="AX3" s="3">
        <f t="shared" si="0"/>
        <v>39</v>
      </c>
      <c r="AY3" s="3">
        <f t="shared" si="0"/>
        <v>40</v>
      </c>
      <c r="AZ3" s="3">
        <f t="shared" si="0"/>
        <v>41</v>
      </c>
      <c r="BA3" s="3">
        <f t="shared" si="0"/>
        <v>42</v>
      </c>
      <c r="BB3" s="3">
        <f t="shared" si="0"/>
        <v>43</v>
      </c>
      <c r="BC3" s="3">
        <f t="shared" si="0"/>
        <v>44</v>
      </c>
      <c r="BD3" s="3">
        <f t="shared" si="0"/>
        <v>45</v>
      </c>
      <c r="BE3" s="3">
        <f t="shared" si="0"/>
        <v>46</v>
      </c>
      <c r="BF3" s="3">
        <f t="shared" si="0"/>
        <v>47</v>
      </c>
      <c r="BG3" s="3">
        <f t="shared" si="0"/>
        <v>48</v>
      </c>
      <c r="BH3" s="3">
        <f t="shared" si="0"/>
        <v>49</v>
      </c>
      <c r="BI3" s="3">
        <f t="shared" si="0"/>
        <v>50</v>
      </c>
      <c r="BJ3" s="3">
        <f t="shared" si="0"/>
        <v>51</v>
      </c>
      <c r="BK3" s="3">
        <f t="shared" si="0"/>
        <v>52</v>
      </c>
      <c r="BL3" s="3">
        <f t="shared" si="0"/>
        <v>53</v>
      </c>
      <c r="BM3" s="3">
        <f t="shared" si="0"/>
        <v>54</v>
      </c>
      <c r="BN3" s="3">
        <f t="shared" si="0"/>
        <v>55</v>
      </c>
      <c r="BO3" s="3">
        <f t="shared" si="0"/>
        <v>56</v>
      </c>
      <c r="BP3" s="3">
        <f t="shared" si="0"/>
        <v>57</v>
      </c>
      <c r="BQ3" s="3">
        <f t="shared" si="0"/>
        <v>58</v>
      </c>
      <c r="BR3" s="3">
        <f t="shared" si="0"/>
        <v>59</v>
      </c>
      <c r="BS3" s="3">
        <f t="shared" si="0"/>
        <v>60</v>
      </c>
    </row>
    <row r="4" spans="1:93" x14ac:dyDescent="0.2">
      <c r="K4" s="7" t="s">
        <v>1</v>
      </c>
      <c r="L4" s="4">
        <f>ModelStart_year</f>
        <v>2013</v>
      </c>
      <c r="M4">
        <f>L4+1</f>
        <v>2014</v>
      </c>
      <c r="N4">
        <f t="shared" ref="N4:BS4" si="1">M4+1</f>
        <v>2015</v>
      </c>
      <c r="O4">
        <f t="shared" si="1"/>
        <v>2016</v>
      </c>
      <c r="P4">
        <f t="shared" si="1"/>
        <v>2017</v>
      </c>
      <c r="Q4">
        <f t="shared" si="1"/>
        <v>2018</v>
      </c>
      <c r="R4">
        <f t="shared" si="1"/>
        <v>2019</v>
      </c>
      <c r="S4">
        <f t="shared" si="1"/>
        <v>2020</v>
      </c>
      <c r="T4">
        <f t="shared" si="1"/>
        <v>2021</v>
      </c>
      <c r="U4">
        <f t="shared" si="1"/>
        <v>2022</v>
      </c>
      <c r="V4">
        <f t="shared" si="1"/>
        <v>2023</v>
      </c>
      <c r="W4">
        <f t="shared" si="1"/>
        <v>2024</v>
      </c>
      <c r="X4">
        <f t="shared" si="1"/>
        <v>2025</v>
      </c>
      <c r="Y4">
        <f t="shared" si="1"/>
        <v>2026</v>
      </c>
      <c r="Z4">
        <f t="shared" si="1"/>
        <v>2027</v>
      </c>
      <c r="AA4">
        <f t="shared" si="1"/>
        <v>2028</v>
      </c>
      <c r="AB4">
        <f t="shared" si="1"/>
        <v>2029</v>
      </c>
      <c r="AC4">
        <f t="shared" si="1"/>
        <v>2030</v>
      </c>
      <c r="AD4">
        <f t="shared" si="1"/>
        <v>2031</v>
      </c>
      <c r="AE4">
        <f t="shared" si="1"/>
        <v>2032</v>
      </c>
      <c r="AF4">
        <f t="shared" si="1"/>
        <v>2033</v>
      </c>
      <c r="AG4">
        <f t="shared" si="1"/>
        <v>2034</v>
      </c>
      <c r="AH4">
        <f t="shared" si="1"/>
        <v>2035</v>
      </c>
      <c r="AI4">
        <f t="shared" si="1"/>
        <v>2036</v>
      </c>
      <c r="AJ4">
        <f t="shared" si="1"/>
        <v>2037</v>
      </c>
      <c r="AK4">
        <f t="shared" si="1"/>
        <v>2038</v>
      </c>
      <c r="AL4">
        <f t="shared" si="1"/>
        <v>2039</v>
      </c>
      <c r="AM4">
        <f t="shared" si="1"/>
        <v>2040</v>
      </c>
      <c r="AN4">
        <f t="shared" si="1"/>
        <v>2041</v>
      </c>
      <c r="AO4">
        <f t="shared" si="1"/>
        <v>2042</v>
      </c>
      <c r="AP4">
        <f t="shared" si="1"/>
        <v>2043</v>
      </c>
      <c r="AQ4">
        <f t="shared" si="1"/>
        <v>2044</v>
      </c>
      <c r="AR4">
        <f t="shared" si="1"/>
        <v>2045</v>
      </c>
      <c r="AS4">
        <f t="shared" si="1"/>
        <v>2046</v>
      </c>
      <c r="AT4">
        <f t="shared" si="1"/>
        <v>2047</v>
      </c>
      <c r="AU4">
        <f t="shared" si="1"/>
        <v>2048</v>
      </c>
      <c r="AV4">
        <f t="shared" si="1"/>
        <v>2049</v>
      </c>
      <c r="AW4">
        <f t="shared" si="1"/>
        <v>2050</v>
      </c>
      <c r="AX4">
        <f t="shared" si="1"/>
        <v>2051</v>
      </c>
      <c r="AY4">
        <f t="shared" si="1"/>
        <v>2052</v>
      </c>
      <c r="AZ4">
        <f t="shared" si="1"/>
        <v>2053</v>
      </c>
      <c r="BA4">
        <f t="shared" si="1"/>
        <v>2054</v>
      </c>
      <c r="BB4">
        <f t="shared" si="1"/>
        <v>2055</v>
      </c>
      <c r="BC4">
        <f t="shared" si="1"/>
        <v>2056</v>
      </c>
      <c r="BD4">
        <f t="shared" si="1"/>
        <v>2057</v>
      </c>
      <c r="BE4">
        <f t="shared" si="1"/>
        <v>2058</v>
      </c>
      <c r="BF4">
        <f t="shared" si="1"/>
        <v>2059</v>
      </c>
      <c r="BG4">
        <f t="shared" si="1"/>
        <v>2060</v>
      </c>
      <c r="BH4">
        <f t="shared" si="1"/>
        <v>2061</v>
      </c>
      <c r="BI4">
        <f t="shared" si="1"/>
        <v>2062</v>
      </c>
      <c r="BJ4">
        <f t="shared" si="1"/>
        <v>2063</v>
      </c>
      <c r="BK4">
        <f t="shared" si="1"/>
        <v>2064</v>
      </c>
      <c r="BL4">
        <f t="shared" si="1"/>
        <v>2065</v>
      </c>
      <c r="BM4">
        <f t="shared" si="1"/>
        <v>2066</v>
      </c>
      <c r="BN4">
        <f t="shared" si="1"/>
        <v>2067</v>
      </c>
      <c r="BO4">
        <f t="shared" si="1"/>
        <v>2068</v>
      </c>
      <c r="BP4">
        <f t="shared" si="1"/>
        <v>2069</v>
      </c>
      <c r="BQ4">
        <f t="shared" si="1"/>
        <v>2070</v>
      </c>
      <c r="BR4">
        <f t="shared" si="1"/>
        <v>2071</v>
      </c>
      <c r="BS4">
        <f t="shared" si="1"/>
        <v>2072</v>
      </c>
    </row>
    <row r="5" spans="1:93" x14ac:dyDescent="0.2">
      <c r="K5" s="7" t="s">
        <v>3</v>
      </c>
      <c r="L5" s="3">
        <f>IF(OR(MOD(L4,400)=0,AND(MOD(L4,4)=0,MOD(L4,100)&lt;&gt;0)),366, 365)</f>
        <v>365</v>
      </c>
      <c r="M5" s="3">
        <f t="shared" ref="M5:BS5" si="2">IF(OR(MOD(M4,400)=0,AND(MOD(M4,4)=0,MOD(M4,100)&lt;&gt;0)),366, 365)</f>
        <v>365</v>
      </c>
      <c r="N5" s="3">
        <f t="shared" si="2"/>
        <v>365</v>
      </c>
      <c r="O5" s="3">
        <f t="shared" si="2"/>
        <v>366</v>
      </c>
      <c r="P5" s="3">
        <f t="shared" si="2"/>
        <v>365</v>
      </c>
      <c r="Q5" s="3">
        <f t="shared" si="2"/>
        <v>365</v>
      </c>
      <c r="R5" s="3">
        <f t="shared" si="2"/>
        <v>365</v>
      </c>
      <c r="S5" s="3">
        <f t="shared" si="2"/>
        <v>366</v>
      </c>
      <c r="T5" s="3">
        <f t="shared" si="2"/>
        <v>365</v>
      </c>
      <c r="U5" s="3">
        <f t="shared" si="2"/>
        <v>365</v>
      </c>
      <c r="V5" s="3">
        <f t="shared" si="2"/>
        <v>365</v>
      </c>
      <c r="W5" s="3">
        <f t="shared" si="2"/>
        <v>366</v>
      </c>
      <c r="X5" s="3">
        <f t="shared" si="2"/>
        <v>365</v>
      </c>
      <c r="Y5" s="3">
        <f t="shared" si="2"/>
        <v>365</v>
      </c>
      <c r="Z5" s="3">
        <f t="shared" si="2"/>
        <v>365</v>
      </c>
      <c r="AA5" s="3">
        <f t="shared" si="2"/>
        <v>366</v>
      </c>
      <c r="AB5" s="3">
        <f t="shared" si="2"/>
        <v>365</v>
      </c>
      <c r="AC5" s="3">
        <f t="shared" si="2"/>
        <v>365</v>
      </c>
      <c r="AD5" s="3">
        <f t="shared" si="2"/>
        <v>365</v>
      </c>
      <c r="AE5" s="3">
        <f t="shared" si="2"/>
        <v>366</v>
      </c>
      <c r="AF5" s="3">
        <f t="shared" si="2"/>
        <v>365</v>
      </c>
      <c r="AG5" s="3">
        <f t="shared" si="2"/>
        <v>365</v>
      </c>
      <c r="AH5" s="3">
        <f t="shared" si="2"/>
        <v>365</v>
      </c>
      <c r="AI5" s="3">
        <f t="shared" si="2"/>
        <v>366</v>
      </c>
      <c r="AJ5" s="3">
        <f t="shared" si="2"/>
        <v>365</v>
      </c>
      <c r="AK5" s="3">
        <f t="shared" si="2"/>
        <v>365</v>
      </c>
      <c r="AL5" s="3">
        <f t="shared" si="2"/>
        <v>365</v>
      </c>
      <c r="AM5" s="3">
        <f t="shared" si="2"/>
        <v>366</v>
      </c>
      <c r="AN5" s="3">
        <f t="shared" si="2"/>
        <v>365</v>
      </c>
      <c r="AO5" s="3">
        <f t="shared" si="2"/>
        <v>365</v>
      </c>
      <c r="AP5" s="3">
        <f t="shared" si="2"/>
        <v>365</v>
      </c>
      <c r="AQ5" s="3">
        <f t="shared" si="2"/>
        <v>366</v>
      </c>
      <c r="AR5" s="3">
        <f t="shared" si="2"/>
        <v>365</v>
      </c>
      <c r="AS5" s="3">
        <f t="shared" si="2"/>
        <v>365</v>
      </c>
      <c r="AT5" s="3">
        <f t="shared" si="2"/>
        <v>365</v>
      </c>
      <c r="AU5" s="3">
        <f t="shared" si="2"/>
        <v>366</v>
      </c>
      <c r="AV5" s="3">
        <f t="shared" si="2"/>
        <v>365</v>
      </c>
      <c r="AW5" s="3">
        <f t="shared" si="2"/>
        <v>365</v>
      </c>
      <c r="AX5" s="3">
        <f t="shared" si="2"/>
        <v>365</v>
      </c>
      <c r="AY5" s="3">
        <f t="shared" si="2"/>
        <v>366</v>
      </c>
      <c r="AZ5" s="3">
        <f t="shared" si="2"/>
        <v>365</v>
      </c>
      <c r="BA5" s="3">
        <f t="shared" si="2"/>
        <v>365</v>
      </c>
      <c r="BB5" s="3">
        <f t="shared" si="2"/>
        <v>365</v>
      </c>
      <c r="BC5" s="3">
        <f t="shared" si="2"/>
        <v>366</v>
      </c>
      <c r="BD5" s="3">
        <f t="shared" si="2"/>
        <v>365</v>
      </c>
      <c r="BE5" s="3">
        <f t="shared" si="2"/>
        <v>365</v>
      </c>
      <c r="BF5" s="3">
        <f t="shared" si="2"/>
        <v>365</v>
      </c>
      <c r="BG5" s="3">
        <f t="shared" si="2"/>
        <v>366</v>
      </c>
      <c r="BH5" s="3">
        <f t="shared" si="2"/>
        <v>365</v>
      </c>
      <c r="BI5" s="3">
        <f t="shared" si="2"/>
        <v>365</v>
      </c>
      <c r="BJ5" s="3">
        <f t="shared" si="2"/>
        <v>365</v>
      </c>
      <c r="BK5" s="3">
        <f t="shared" si="2"/>
        <v>366</v>
      </c>
      <c r="BL5" s="3">
        <f t="shared" si="2"/>
        <v>365</v>
      </c>
      <c r="BM5" s="3">
        <f t="shared" si="2"/>
        <v>365</v>
      </c>
      <c r="BN5" s="3">
        <f t="shared" si="2"/>
        <v>365</v>
      </c>
      <c r="BO5" s="3">
        <f t="shared" si="2"/>
        <v>366</v>
      </c>
      <c r="BP5" s="3">
        <f t="shared" si="2"/>
        <v>365</v>
      </c>
      <c r="BQ5" s="3">
        <f t="shared" si="2"/>
        <v>365</v>
      </c>
      <c r="BR5" s="3">
        <f t="shared" si="2"/>
        <v>365</v>
      </c>
      <c r="BS5" s="3">
        <f t="shared" si="2"/>
        <v>366</v>
      </c>
    </row>
    <row r="6" spans="1:93" ht="16" thickBot="1" x14ac:dyDescent="0.25"/>
    <row r="7" spans="1:93" ht="22" thickBot="1" x14ac:dyDescent="0.25">
      <c r="A7" s="8"/>
      <c r="B7" s="221" t="str">
        <f>CHOOSE(db_ML_selected,'Liste Traduction'!B3,'Liste Traduction'!C3)</f>
        <v>Légende</v>
      </c>
      <c r="C7" s="222"/>
      <c r="D7" s="222"/>
      <c r="E7" s="223"/>
      <c r="F7" s="9"/>
      <c r="G7" s="9"/>
      <c r="H7" s="9"/>
      <c r="I7" s="9"/>
      <c r="J7" s="9"/>
      <c r="K7" s="10"/>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row>
    <row r="8" spans="1:93" outlineLevel="1" x14ac:dyDescent="0.2"/>
    <row r="9" spans="1:93" outlineLevel="1" x14ac:dyDescent="0.2">
      <c r="D9" t="str">
        <f>CHOOSE(db_ML_selected,'Liste Traduction'!B161,'Liste Traduction'!C161)</f>
        <v>Cellule d'entrée</v>
      </c>
      <c r="G9" s="12"/>
    </row>
    <row r="10" spans="1:93" outlineLevel="1" x14ac:dyDescent="0.2">
      <c r="D10" t="str">
        <f>CHOOSE(db_ML_selected,'Liste Traduction'!B162,'Liste Traduction'!C162)</f>
        <v>Cellule de calcul</v>
      </c>
      <c r="G10" s="13"/>
    </row>
    <row r="11" spans="1:93" outlineLevel="1" x14ac:dyDescent="0.2">
      <c r="D11" t="str">
        <f>CHOOSE(db_ML_selected,'Liste Traduction'!B163,'Liste Traduction'!C163)</f>
        <v>Cellule de somme</v>
      </c>
      <c r="G11" s="14"/>
    </row>
    <row r="12" spans="1:93" outlineLevel="1" x14ac:dyDescent="0.2">
      <c r="D12" t="str">
        <f>CHOOSE(db_ML_selected,'Liste Traduction'!B164,'Liste Traduction'!C164)</f>
        <v>Bouton de bascule/Interrupteur</v>
      </c>
      <c r="G12" s="15"/>
    </row>
    <row r="13" spans="1:93" outlineLevel="1" x14ac:dyDescent="0.2"/>
    <row r="14" spans="1:93" ht="16" thickBot="1" x14ac:dyDescent="0.25">
      <c r="G14" s="2"/>
    </row>
    <row r="15" spans="1:93" ht="22" thickBot="1" x14ac:dyDescent="0.25">
      <c r="A15" s="8"/>
      <c r="B15" s="221" t="str">
        <f>CHOOSE(db_ML_selected,'Liste Traduction'!B165,'Liste Traduction'!C165)</f>
        <v>Hypothèses générales</v>
      </c>
      <c r="C15" s="222"/>
      <c r="D15" s="222"/>
      <c r="E15" s="223"/>
      <c r="F15" s="9"/>
      <c r="G15" s="9"/>
      <c r="H15" s="9"/>
      <c r="I15" s="9"/>
      <c r="J15" s="9"/>
      <c r="K15" s="10"/>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row>
    <row r="16" spans="1:93" outlineLevel="1" x14ac:dyDescent="0.2"/>
    <row r="17" spans="3:71" outlineLevel="1" x14ac:dyDescent="0.2">
      <c r="C17" s="11" t="s">
        <v>6</v>
      </c>
    </row>
    <row r="18" spans="3:71" outlineLevel="1" x14ac:dyDescent="0.2">
      <c r="D18" t="str">
        <f>CHOOSE(db_ML_selected,'Liste Traduction'!B167,'Liste Traduction'!C167)</f>
        <v>Année en cours</v>
      </c>
      <c r="G18" s="19">
        <v>2021</v>
      </c>
      <c r="H18" s="16" t="s">
        <v>7</v>
      </c>
    </row>
    <row r="19" spans="3:71" outlineLevel="1" x14ac:dyDescent="0.2">
      <c r="D19" t="str">
        <f>CHOOSE(db_ML_selected,'Liste Traduction'!B168,'Liste Traduction'!C168)</f>
        <v>Année de début du modèle</v>
      </c>
      <c r="G19" s="19">
        <v>2013</v>
      </c>
      <c r="H19" s="16" t="s">
        <v>8</v>
      </c>
    </row>
    <row r="20" spans="3:71" outlineLevel="1" x14ac:dyDescent="0.2">
      <c r="D20" t="str">
        <f>CHOOSE(db_ML_selected,'Liste Traduction'!B169,'Liste Traduction'!C169)</f>
        <v>Année de base de l'indice d'inflation</v>
      </c>
      <c r="G20" s="19">
        <v>2021</v>
      </c>
      <c r="H20" s="16" t="s">
        <v>23</v>
      </c>
    </row>
    <row r="21" spans="3:71" outlineLevel="1" x14ac:dyDescent="0.2">
      <c r="D21" t="str">
        <f>CHOOSE(db_ML_selected,'Liste Traduction'!B170,'Liste Traduction'!C170)</f>
        <v>Année de base de l'indexation des coûts</v>
      </c>
      <c r="G21" s="19">
        <v>2021</v>
      </c>
      <c r="H21" s="16" t="s">
        <v>479</v>
      </c>
    </row>
    <row r="22" spans="3:71" outlineLevel="1" x14ac:dyDescent="0.2">
      <c r="D22" t="str">
        <f>CHOOSE(db_ML_selected,'Liste Traduction'!B171,'Liste Traduction'!C171)</f>
        <v>Dernière année du modèle</v>
      </c>
      <c r="G22" s="19">
        <f>BS3</f>
        <v>60</v>
      </c>
      <c r="H22" s="16" t="s">
        <v>289</v>
      </c>
    </row>
    <row r="23" spans="3:71" outlineLevel="1" x14ac:dyDescent="0.2">
      <c r="G23" s="20"/>
    </row>
    <row r="24" spans="3:71" outlineLevel="1" x14ac:dyDescent="0.2">
      <c r="G24" s="20"/>
    </row>
    <row r="25" spans="3:71" outlineLevel="1" x14ac:dyDescent="0.2">
      <c r="C25" s="11" t="str">
        <f>CHOOSE(db_ML_selected,'Liste Traduction'!B172,'Liste Traduction'!C172)</f>
        <v>Hypothèses de valorisation</v>
      </c>
      <c r="G25" s="20"/>
    </row>
    <row r="26" spans="3:71" outlineLevel="1" x14ac:dyDescent="0.2">
      <c r="D26" t="str">
        <f>CHOOSE(db_ML_selected,'Liste Traduction'!B173,'Liste Traduction'!C173)</f>
        <v>Taux d'actualisation (nominal)</v>
      </c>
      <c r="G26" s="21">
        <v>0.1</v>
      </c>
      <c r="H26" s="16" t="s">
        <v>11</v>
      </c>
    </row>
    <row r="27" spans="3:71" outlineLevel="1" x14ac:dyDescent="0.2">
      <c r="G27" s="20"/>
    </row>
    <row r="28" spans="3:71" outlineLevel="1" x14ac:dyDescent="0.2">
      <c r="G28" s="20"/>
    </row>
    <row r="29" spans="3:71" outlineLevel="1" x14ac:dyDescent="0.2">
      <c r="C29" s="11" t="str">
        <f>CHOOSE(db_ML_selected,'Liste Traduction'!B141,'Liste Traduction'!C141)</f>
        <v>Hypothèses macroéconomiques</v>
      </c>
      <c r="G29" s="20"/>
    </row>
    <row r="30" spans="3:71" outlineLevel="1" x14ac:dyDescent="0.2">
      <c r="D30" t="str">
        <f>CHOOSE(db_ML_selected,'Liste Traduction'!B142,'Liste Traduction'!C142)</f>
        <v>Taux d'inflation USA</v>
      </c>
      <c r="G30" s="21">
        <f>df_infl_perc</f>
        <v>0.02</v>
      </c>
      <c r="H30" s="16" t="s">
        <v>20</v>
      </c>
    </row>
    <row r="31" spans="3:71" outlineLevel="1" x14ac:dyDescent="0.2">
      <c r="D31" t="str">
        <f>CHOOSE(db_ML_selected,'Liste Traduction'!B174,'Liste Traduction'!C174)</f>
        <v>Indice d'inflation</v>
      </c>
      <c r="G31" s="20"/>
      <c r="K31" s="7" t="s">
        <v>21</v>
      </c>
      <c r="L31" s="17">
        <f t="shared" ref="L31:Z31" si="3">IF(IA_Years&lt;=InflationBase_year,1,(1+input_US_inflation_perc)^(IA_Years-InflationBase_year))</f>
        <v>1</v>
      </c>
      <c r="M31" s="17">
        <f t="shared" si="3"/>
        <v>1</v>
      </c>
      <c r="N31" s="17">
        <f t="shared" si="3"/>
        <v>1</v>
      </c>
      <c r="O31" s="17">
        <f t="shared" si="3"/>
        <v>1</v>
      </c>
      <c r="P31" s="17">
        <f t="shared" si="3"/>
        <v>1</v>
      </c>
      <c r="Q31" s="17">
        <f t="shared" si="3"/>
        <v>1</v>
      </c>
      <c r="R31" s="17">
        <f t="shared" si="3"/>
        <v>1</v>
      </c>
      <c r="S31" s="17">
        <f t="shared" si="3"/>
        <v>1</v>
      </c>
      <c r="T31" s="17">
        <f t="shared" si="3"/>
        <v>1</v>
      </c>
      <c r="U31" s="17">
        <f t="shared" si="3"/>
        <v>1.02</v>
      </c>
      <c r="V31" s="17">
        <f t="shared" si="3"/>
        <v>1.0404</v>
      </c>
      <c r="W31" s="17">
        <f t="shared" si="3"/>
        <v>1.0612079999999999</v>
      </c>
      <c r="X31" s="17">
        <f t="shared" si="3"/>
        <v>1.08243216</v>
      </c>
      <c r="Y31" s="17">
        <f t="shared" si="3"/>
        <v>1.1040808032</v>
      </c>
      <c r="Z31" s="17">
        <f t="shared" si="3"/>
        <v>1.1261624192640001</v>
      </c>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row>
    <row r="32" spans="3:71" outlineLevel="1" x14ac:dyDescent="0.2">
      <c r="D32" t="str">
        <f>CHOOSE(db_ML_selected,'Liste Traduction'!B175,'Liste Traduction'!C175)</f>
        <v>Indice d'indexation des coûts</v>
      </c>
      <c r="G32" s="21">
        <f>df_esc_perc</f>
        <v>0.02</v>
      </c>
      <c r="H32" s="16" t="s">
        <v>476</v>
      </c>
    </row>
    <row r="33" spans="1:93" outlineLevel="1" x14ac:dyDescent="0.2">
      <c r="D33" t="str">
        <f>CHOOSE(db_ML_selected,'Liste Traduction'!B176,'Liste Traduction'!C176)</f>
        <v>Taux de conversion</v>
      </c>
      <c r="G33" s="20"/>
      <c r="K33" s="7" t="s">
        <v>480</v>
      </c>
      <c r="L33" s="17">
        <f t="shared" ref="L33:Z33" si="4">IF(IA_Years&lt;=costescBase_year,1,(1+input_cost_esc_perc)^(IA_Years-costescBase_year))</f>
        <v>1</v>
      </c>
      <c r="M33" s="17">
        <f t="shared" si="4"/>
        <v>1</v>
      </c>
      <c r="N33" s="17">
        <f t="shared" si="4"/>
        <v>1</v>
      </c>
      <c r="O33" s="17">
        <f t="shared" si="4"/>
        <v>1</v>
      </c>
      <c r="P33" s="17">
        <f t="shared" si="4"/>
        <v>1</v>
      </c>
      <c r="Q33" s="17">
        <f t="shared" si="4"/>
        <v>1</v>
      </c>
      <c r="R33" s="17">
        <f t="shared" si="4"/>
        <v>1</v>
      </c>
      <c r="S33" s="17">
        <f t="shared" si="4"/>
        <v>1</v>
      </c>
      <c r="T33" s="17">
        <f t="shared" si="4"/>
        <v>1</v>
      </c>
      <c r="U33" s="17">
        <f t="shared" si="4"/>
        <v>1.02</v>
      </c>
      <c r="V33" s="17">
        <f t="shared" si="4"/>
        <v>1.0404</v>
      </c>
      <c r="W33" s="17">
        <f t="shared" si="4"/>
        <v>1.0612079999999999</v>
      </c>
      <c r="X33" s="17">
        <f t="shared" si="4"/>
        <v>1.08243216</v>
      </c>
      <c r="Y33" s="17">
        <f t="shared" si="4"/>
        <v>1.1040808032</v>
      </c>
      <c r="Z33" s="17">
        <f t="shared" si="4"/>
        <v>1.1261624192640001</v>
      </c>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row>
    <row r="34" spans="1:93" outlineLevel="1" x14ac:dyDescent="0.2">
      <c r="G34" s="20"/>
    </row>
    <row r="35" spans="1:93" outlineLevel="1" x14ac:dyDescent="0.2">
      <c r="G35" s="20"/>
    </row>
    <row r="36" spans="1:93" outlineLevel="1" x14ac:dyDescent="0.2">
      <c r="C36" s="11" t="str">
        <f>CHOOSE(db_ML_selected,'Liste Traduction'!B176,'Liste Traduction'!C176)</f>
        <v>Taux de conversion</v>
      </c>
      <c r="G36" s="20"/>
    </row>
    <row r="37" spans="1:93" outlineLevel="1" x14ac:dyDescent="0.2">
      <c r="D37" t="str">
        <f>CHOOSE(db_ML_selected,'Liste Traduction'!B177,'Liste Traduction'!C177)</f>
        <v>1 baril de pétrole</v>
      </c>
      <c r="F37" t="s">
        <v>26</v>
      </c>
      <c r="G37" s="24">
        <v>6</v>
      </c>
      <c r="H37" s="16" t="s">
        <v>30</v>
      </c>
    </row>
    <row r="38" spans="1:93" outlineLevel="1" x14ac:dyDescent="0.2">
      <c r="D38" t="str">
        <f>CHOOSE(db_ML_selected,'Liste Traduction'!B178,'Liste Traduction'!C178)</f>
        <v>1 tonne de pétrole</v>
      </c>
      <c r="F38" t="s">
        <v>26</v>
      </c>
      <c r="G38" s="22">
        <v>7.39</v>
      </c>
      <c r="H38" s="16" t="s">
        <v>31</v>
      </c>
    </row>
    <row r="39" spans="1:93" outlineLevel="1" x14ac:dyDescent="0.2">
      <c r="D39" t="str">
        <f>CHOOSE(db_ML_selected,'Liste Traduction'!B179,'Liste Traduction'!C179)</f>
        <v>1 mètre cube</v>
      </c>
      <c r="F39" t="s">
        <v>26</v>
      </c>
      <c r="G39" s="22">
        <v>6.29</v>
      </c>
      <c r="H39" s="16" t="s">
        <v>32</v>
      </c>
    </row>
    <row r="40" spans="1:93" outlineLevel="1" x14ac:dyDescent="0.2">
      <c r="D40" t="str">
        <f>D39</f>
        <v>1 mètre cube</v>
      </c>
      <c r="F40" t="s">
        <v>26</v>
      </c>
      <c r="G40" s="23">
        <v>35.35</v>
      </c>
      <c r="H40" s="16" t="s">
        <v>33</v>
      </c>
    </row>
    <row r="41" spans="1:93" outlineLevel="1" x14ac:dyDescent="0.2">
      <c r="D41" t="str">
        <f>CHOOSE(db_ML_selected,'Liste Traduction'!B180,'Liste Traduction'!C180)</f>
        <v>1 tonne de GNL</v>
      </c>
      <c r="F41" t="s">
        <v>26</v>
      </c>
      <c r="G41" s="24">
        <v>2.1999999999999999E-2</v>
      </c>
      <c r="H41" s="16" t="s">
        <v>34</v>
      </c>
    </row>
    <row r="42" spans="1:93" outlineLevel="1" x14ac:dyDescent="0.2"/>
    <row r="43" spans="1:93" ht="16" thickBot="1" x14ac:dyDescent="0.25"/>
    <row r="44" spans="1:93" ht="22" thickBot="1" x14ac:dyDescent="0.25">
      <c r="A44" s="8"/>
      <c r="B44" s="221" t="str">
        <f>CHOOSE(db_ML_selected,'Liste Traduction'!B181,'Liste Traduction'!C181)</f>
        <v>Hypothèses de champ</v>
      </c>
      <c r="C44" s="222"/>
      <c r="D44" s="222"/>
      <c r="E44" s="223"/>
      <c r="F44" s="9"/>
      <c r="G44" s="9"/>
      <c r="H44" s="9"/>
      <c r="I44" s="9"/>
      <c r="J44" s="9"/>
      <c r="K44" s="10"/>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row>
    <row r="45" spans="1:93" outlineLevel="1" x14ac:dyDescent="0.2"/>
    <row r="46" spans="1:93" outlineLevel="1" x14ac:dyDescent="0.2">
      <c r="C46" s="11" t="str">
        <f>CHOOSE(db_ML_selected,'Liste Traduction'!B182,'Liste Traduction'!C182)</f>
        <v>Champ sélectionné</v>
      </c>
      <c r="G46" s="77" t="str">
        <f>db_psc_selector</f>
        <v>Moho</v>
      </c>
      <c r="H46" s="16" t="s">
        <v>41</v>
      </c>
    </row>
    <row r="47" spans="1:93" outlineLevel="1" x14ac:dyDescent="0.2">
      <c r="C47" s="6"/>
    </row>
    <row r="48" spans="1:93" outlineLevel="1" x14ac:dyDescent="0.2">
      <c r="C48" s="11" t="str">
        <f>CHOOSE(db_ML_selected,'Liste Traduction'!B183,'Liste Traduction'!C183)</f>
        <v>Champs</v>
      </c>
    </row>
    <row r="49" spans="1:93" outlineLevel="1" x14ac:dyDescent="0.2">
      <c r="D49" s="16" t="s">
        <v>473</v>
      </c>
      <c r="G49" s="16" t="s">
        <v>37</v>
      </c>
    </row>
    <row r="50" spans="1:93" outlineLevel="1" x14ac:dyDescent="0.2">
      <c r="D50" t="s">
        <v>643</v>
      </c>
      <c r="G50" s="19" t="s">
        <v>644</v>
      </c>
    </row>
    <row r="51" spans="1:93" outlineLevel="1" x14ac:dyDescent="0.2">
      <c r="D51" t="s">
        <v>645</v>
      </c>
      <c r="G51" s="19" t="s">
        <v>646</v>
      </c>
    </row>
    <row r="52" spans="1:93" outlineLevel="1" x14ac:dyDescent="0.2">
      <c r="B52" s="6"/>
      <c r="D52" t="s">
        <v>647</v>
      </c>
      <c r="G52" s="19" t="s">
        <v>648</v>
      </c>
    </row>
    <row r="53" spans="1:93" outlineLevel="1" x14ac:dyDescent="0.2">
      <c r="B53" s="6"/>
      <c r="D53" t="s">
        <v>649</v>
      </c>
      <c r="G53" s="19" t="s">
        <v>650</v>
      </c>
    </row>
    <row r="54" spans="1:93" outlineLevel="1" x14ac:dyDescent="0.2">
      <c r="B54" s="6"/>
      <c r="G54" s="19"/>
    </row>
    <row r="55" spans="1:93" outlineLevel="1" x14ac:dyDescent="0.2"/>
    <row r="56" spans="1:93" outlineLevel="1" x14ac:dyDescent="0.2"/>
    <row r="57" spans="1:93" ht="16" thickBot="1" x14ac:dyDescent="0.25"/>
    <row r="58" spans="1:93" ht="22" thickBot="1" x14ac:dyDescent="0.25">
      <c r="A58" s="8"/>
      <c r="B58" s="221" t="str">
        <f>CHOOSE(db_ML_selected,'Liste Traduction'!B15,'Liste Traduction'!C15)</f>
        <v>Volumes de production</v>
      </c>
      <c r="C58" s="222"/>
      <c r="D58" s="222"/>
      <c r="E58" s="223"/>
      <c r="F58" s="9"/>
      <c r="G58" s="9"/>
      <c r="H58" s="9"/>
      <c r="I58" s="9"/>
      <c r="J58" s="9"/>
      <c r="K58" s="10"/>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row>
    <row r="59" spans="1:93" outlineLevel="1" x14ac:dyDescent="0.2">
      <c r="L59" s="25"/>
      <c r="M59" s="25"/>
      <c r="N59" s="25"/>
      <c r="O59" s="25"/>
      <c r="P59" s="25"/>
      <c r="Q59" s="25"/>
      <c r="R59" s="25"/>
      <c r="S59" s="25"/>
      <c r="T59" s="162"/>
      <c r="U59" s="162"/>
      <c r="V59" s="162"/>
      <c r="W59" s="162"/>
      <c r="X59" s="162"/>
    </row>
    <row r="60" spans="1:93" outlineLevel="1" x14ac:dyDescent="0.2">
      <c r="C60" s="11" t="str">
        <f>CHOOSE(db_ML_selected,'Liste Traduction'!B184,'Liste Traduction'!C184)</f>
        <v>Production de pétrole</v>
      </c>
    </row>
    <row r="61" spans="1:93" outlineLevel="1" x14ac:dyDescent="0.2">
      <c r="D61" t="str">
        <f>CHOOSE(db_ML_selected,'Liste Traduction'!B510,'Liste Traduction'!C510)</f>
        <v>sélectionnés</v>
      </c>
      <c r="G61" s="29" t="str">
        <f>field_selected</f>
        <v>Moho</v>
      </c>
      <c r="I61" s="30">
        <f ca="1">SUM($L61:$BS61)</f>
        <v>481.67150605728227</v>
      </c>
      <c r="J61" s="26" t="s">
        <v>42</v>
      </c>
      <c r="K61" s="7" t="s">
        <v>43</v>
      </c>
      <c r="L61" s="18">
        <f t="shared" ref="L61:Z61" ca="1" si="5">OFFSET(L$61,MATCH(field_selected,list_FieldName,0)+1,0)</f>
        <v>19.447364196999999</v>
      </c>
      <c r="M61" s="18">
        <f t="shared" ca="1" si="5"/>
        <v>20.182617144999998</v>
      </c>
      <c r="N61" s="18">
        <f t="shared" ca="1" si="5"/>
        <v>15.296483690999999</v>
      </c>
      <c r="O61" s="18">
        <f t="shared" ca="1" si="5"/>
        <v>17.000243239</v>
      </c>
      <c r="P61" s="18">
        <f t="shared" ca="1" si="5"/>
        <v>35.274046927000001</v>
      </c>
      <c r="Q61" s="18">
        <f t="shared" ca="1" si="5"/>
        <v>55.634612757999996</v>
      </c>
      <c r="R61" s="18">
        <f t="shared" ca="1" si="5"/>
        <v>56.357201902999996</v>
      </c>
      <c r="S61" s="18">
        <f t="shared" ca="1" si="5"/>
        <v>52.048200000000001</v>
      </c>
      <c r="T61" s="18">
        <f t="shared" ca="1" si="5"/>
        <v>48.404826</v>
      </c>
      <c r="U61" s="18">
        <f t="shared" ca="1" si="5"/>
        <v>45.016488179999996</v>
      </c>
      <c r="V61" s="18">
        <f t="shared" ca="1" si="5"/>
        <v>41.865334007399994</v>
      </c>
      <c r="W61" s="18">
        <f t="shared" ca="1" si="5"/>
        <v>38.934760626881989</v>
      </c>
      <c r="X61" s="18">
        <f t="shared" ca="1" si="5"/>
        <v>36.20932738300025</v>
      </c>
      <c r="Y61" s="18">
        <f t="shared" ca="1" si="5"/>
        <v>0</v>
      </c>
      <c r="Z61" s="18">
        <f t="shared" ca="1" si="5"/>
        <v>0</v>
      </c>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c r="BA61" s="18"/>
      <c r="BB61" s="18"/>
      <c r="BC61" s="18"/>
      <c r="BD61" s="18"/>
      <c r="BE61" s="18"/>
      <c r="BF61" s="18"/>
      <c r="BG61" s="18"/>
      <c r="BH61" s="18"/>
      <c r="BI61" s="18"/>
      <c r="BJ61" s="18"/>
      <c r="BK61" s="18"/>
      <c r="BL61" s="18"/>
      <c r="BM61" s="18"/>
      <c r="BN61" s="18"/>
      <c r="BO61" s="18"/>
      <c r="BP61" s="18"/>
      <c r="BQ61" s="18"/>
      <c r="BR61" s="18"/>
      <c r="BS61" s="18"/>
    </row>
    <row r="62" spans="1:93" outlineLevel="1" x14ac:dyDescent="0.2">
      <c r="E62" t="str">
        <f>CHOOSE(db_ML_selected,'Liste Traduction'!B185,'Liste Traduction'!C185)</f>
        <v>Taux de déclin</v>
      </c>
      <c r="G62" s="163">
        <f>df_prod_decline_rate</f>
        <v>7.0000000000000007E-2</v>
      </c>
      <c r="H62" s="7" t="s">
        <v>941</v>
      </c>
      <c r="J62" s="26"/>
    </row>
    <row r="63" spans="1:93" outlineLevel="1" x14ac:dyDescent="0.2">
      <c r="C63" s="27">
        <v>1</v>
      </c>
      <c r="D63" t="str">
        <f t="array" ref="D63:D67">list_FieldName</f>
        <v>Nkossa</v>
      </c>
      <c r="I63" s="30">
        <f>SUM($L63:$BS63)</f>
        <v>68.124104999340148</v>
      </c>
      <c r="J63" s="26" t="s">
        <v>42</v>
      </c>
      <c r="L63" s="28">
        <v>7.274601209000001</v>
      </c>
      <c r="M63" s="28">
        <v>8.4740681769999995</v>
      </c>
      <c r="N63" s="28">
        <v>7.8323114849999991</v>
      </c>
      <c r="O63" s="28">
        <v>7.2717980000000004</v>
      </c>
      <c r="P63" s="28">
        <v>6.7108840000000001</v>
      </c>
      <c r="Q63" s="28">
        <v>6.1973960000000003</v>
      </c>
      <c r="R63" s="28">
        <v>5.272779549</v>
      </c>
      <c r="S63" s="28">
        <v>3.7854999999999999</v>
      </c>
      <c r="T63" s="18">
        <f t="shared" ref="T63:X66" si="6">S63*(1-prod_decline_rate)</f>
        <v>3.5205149999999996</v>
      </c>
      <c r="U63" s="18">
        <f t="shared" si="6"/>
        <v>3.2740789499999994</v>
      </c>
      <c r="V63" s="18">
        <f t="shared" si="6"/>
        <v>3.0448934234999991</v>
      </c>
      <c r="W63" s="18">
        <f t="shared" si="6"/>
        <v>2.831750883854999</v>
      </c>
      <c r="X63" s="18">
        <f t="shared" si="6"/>
        <v>2.6335283219851489</v>
      </c>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c r="BA63" s="18"/>
      <c r="BB63" s="18"/>
      <c r="BC63" s="18"/>
      <c r="BD63" s="18"/>
      <c r="BE63" s="18"/>
      <c r="BF63" s="18"/>
      <c r="BG63" s="18"/>
      <c r="BH63" s="18"/>
      <c r="BI63" s="18"/>
      <c r="BJ63" s="18"/>
      <c r="BK63" s="18"/>
      <c r="BL63" s="18"/>
      <c r="BM63" s="18"/>
      <c r="BN63" s="18"/>
      <c r="BO63" s="18"/>
      <c r="BP63" s="18"/>
      <c r="BQ63" s="18"/>
      <c r="BR63" s="18"/>
      <c r="BS63" s="18"/>
      <c r="BT63" s="25"/>
      <c r="BU63" s="25"/>
      <c r="BV63" s="25"/>
      <c r="BW63" s="25"/>
      <c r="BX63" s="25"/>
      <c r="BY63" s="25"/>
      <c r="BZ63" s="25"/>
      <c r="CA63" s="25"/>
      <c r="CB63" s="25"/>
      <c r="CC63" s="25"/>
      <c r="CD63" s="25"/>
      <c r="CE63" s="25"/>
      <c r="CF63" s="25"/>
      <c r="CG63" s="25"/>
      <c r="CH63" s="25"/>
      <c r="CI63" s="25"/>
      <c r="CJ63" s="25"/>
      <c r="CK63" s="25"/>
      <c r="CL63" s="25"/>
      <c r="CM63" s="25"/>
      <c r="CN63" s="25"/>
      <c r="CO63" s="25"/>
    </row>
    <row r="64" spans="1:93" outlineLevel="1" x14ac:dyDescent="0.2">
      <c r="C64" s="27">
        <f>C63+1</f>
        <v>2</v>
      </c>
      <c r="D64" t="str">
        <v>Nsoko</v>
      </c>
      <c r="I64" s="30">
        <f>SUM($L64:$BS64)</f>
        <v>7.8397019378449011</v>
      </c>
      <c r="J64" s="26" t="s">
        <v>42</v>
      </c>
      <c r="L64" s="28">
        <v>0.89748140500000018</v>
      </c>
      <c r="M64" s="28">
        <v>0.65572134800000004</v>
      </c>
      <c r="N64" s="28">
        <v>0.88709828300000015</v>
      </c>
      <c r="O64" s="28">
        <v>0.75052600000000003</v>
      </c>
      <c r="P64" s="28">
        <v>0.76784799999999997</v>
      </c>
      <c r="Q64" s="28">
        <v>0.55382799999999999</v>
      </c>
      <c r="R64" s="28">
        <v>0.33802152099999999</v>
      </c>
      <c r="S64" s="28">
        <v>0.59273823799999992</v>
      </c>
      <c r="T64" s="18">
        <f t="shared" si="6"/>
        <v>0.55124656133999994</v>
      </c>
      <c r="U64" s="18">
        <f t="shared" si="6"/>
        <v>0.51265930204619992</v>
      </c>
      <c r="V64" s="18">
        <f t="shared" si="6"/>
        <v>0.4767731509029659</v>
      </c>
      <c r="W64" s="18">
        <f t="shared" si="6"/>
        <v>0.44339903033975825</v>
      </c>
      <c r="X64" s="18">
        <f t="shared" si="6"/>
        <v>0.41236109821597516</v>
      </c>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c r="BA64" s="18"/>
      <c r="BB64" s="18"/>
      <c r="BC64" s="18"/>
      <c r="BD64" s="18"/>
      <c r="BE64" s="18"/>
      <c r="BF64" s="18"/>
      <c r="BG64" s="18"/>
      <c r="BH64" s="18"/>
      <c r="BI64" s="18"/>
      <c r="BJ64" s="18"/>
      <c r="BK64" s="18"/>
      <c r="BL64" s="18"/>
      <c r="BM64" s="18"/>
      <c r="BN64" s="18"/>
      <c r="BO64" s="18"/>
      <c r="BP64" s="18"/>
      <c r="BQ64" s="18"/>
      <c r="BR64" s="18"/>
      <c r="BS64" s="18"/>
    </row>
    <row r="65" spans="3:93" outlineLevel="1" x14ac:dyDescent="0.2">
      <c r="C65" s="27">
        <f t="shared" ref="C65:C67" si="7">C64+1</f>
        <v>3</v>
      </c>
      <c r="D65" t="str">
        <v>Moho</v>
      </c>
      <c r="F65" s="193" t="s">
        <v>999</v>
      </c>
      <c r="G65" s="28">
        <v>200</v>
      </c>
      <c r="H65" s="16" t="s">
        <v>1001</v>
      </c>
      <c r="I65" s="30">
        <f>SUM($L65:$BS65)</f>
        <v>481.67150605728227</v>
      </c>
      <c r="J65" s="26" t="s">
        <v>42</v>
      </c>
      <c r="L65" s="28">
        <f>19.447364197</f>
        <v>19.447364196999999</v>
      </c>
      <c r="M65" s="28">
        <v>20.182617144999998</v>
      </c>
      <c r="N65" s="28">
        <v>15.296483690999999</v>
      </c>
      <c r="O65" s="28">
        <v>17.000243239</v>
      </c>
      <c r="P65" s="28">
        <v>35.274046927000001</v>
      </c>
      <c r="Q65" s="28">
        <v>55.634612757999996</v>
      </c>
      <c r="R65" s="28">
        <v>56.357201902999996</v>
      </c>
      <c r="S65" s="28">
        <v>52.048200000000001</v>
      </c>
      <c r="T65" s="18">
        <f t="shared" si="6"/>
        <v>48.404826</v>
      </c>
      <c r="U65" s="18">
        <f t="shared" si="6"/>
        <v>45.016488179999996</v>
      </c>
      <c r="V65" s="18">
        <f t="shared" si="6"/>
        <v>41.865334007399994</v>
      </c>
      <c r="W65" s="18">
        <f t="shared" si="6"/>
        <v>38.934760626881989</v>
      </c>
      <c r="X65" s="18">
        <f t="shared" si="6"/>
        <v>36.20932738300025</v>
      </c>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c r="AX65" s="18"/>
      <c r="AY65" s="18"/>
      <c r="AZ65" s="18"/>
      <c r="BA65" s="18"/>
      <c r="BB65" s="18"/>
      <c r="BC65" s="18"/>
      <c r="BD65" s="18"/>
      <c r="BE65" s="18"/>
      <c r="BF65" s="18"/>
      <c r="BG65" s="18"/>
      <c r="BH65" s="18"/>
      <c r="BI65" s="18"/>
      <c r="BJ65" s="18"/>
      <c r="BK65" s="18"/>
      <c r="BL65" s="18"/>
      <c r="BM65" s="18"/>
      <c r="BN65" s="18"/>
      <c r="BO65" s="18"/>
      <c r="BP65" s="18"/>
      <c r="BQ65" s="18"/>
      <c r="BR65" s="18"/>
      <c r="BS65" s="18"/>
    </row>
    <row r="66" spans="3:93" outlineLevel="1" x14ac:dyDescent="0.2">
      <c r="C66" s="27">
        <f t="shared" si="7"/>
        <v>4</v>
      </c>
      <c r="D66" t="str">
        <v>KLL</v>
      </c>
      <c r="I66" s="30">
        <f>SUM($L66:$BS66)</f>
        <v>71.724921133307959</v>
      </c>
      <c r="J66" s="26" t="s">
        <v>42</v>
      </c>
      <c r="L66" s="28">
        <v>5.6457433560000005</v>
      </c>
      <c r="M66" s="28">
        <v>6.2603597030000007</v>
      </c>
      <c r="N66" s="28">
        <v>7.0605919999999998</v>
      </c>
      <c r="O66" s="28">
        <v>6.1390520000000004</v>
      </c>
      <c r="P66" s="28">
        <v>5.6774719999999999</v>
      </c>
      <c r="Q66" s="28">
        <v>6.4023830000000004</v>
      </c>
      <c r="R66" s="28">
        <v>6.4856289530000009</v>
      </c>
      <c r="S66" s="28">
        <v>5.5629</v>
      </c>
      <c r="T66" s="18">
        <f t="shared" si="6"/>
        <v>5.1734969999999993</v>
      </c>
      <c r="U66" s="18">
        <f t="shared" si="6"/>
        <v>4.811352209999999</v>
      </c>
      <c r="V66" s="18">
        <f t="shared" si="6"/>
        <v>4.4745575552999988</v>
      </c>
      <c r="W66" s="18">
        <f t="shared" si="6"/>
        <v>4.1613385264289988</v>
      </c>
      <c r="X66" s="18">
        <f t="shared" si="6"/>
        <v>3.8700448295789687</v>
      </c>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c r="AX66" s="18"/>
      <c r="AY66" s="18"/>
      <c r="AZ66" s="18"/>
      <c r="BA66" s="18"/>
      <c r="BB66" s="18"/>
      <c r="BC66" s="18"/>
      <c r="BD66" s="18"/>
      <c r="BE66" s="18"/>
      <c r="BF66" s="18"/>
      <c r="BG66" s="18"/>
      <c r="BH66" s="18"/>
      <c r="BI66" s="18"/>
      <c r="BJ66" s="18"/>
      <c r="BK66" s="18"/>
      <c r="BL66" s="18"/>
      <c r="BM66" s="18"/>
      <c r="BN66" s="18"/>
      <c r="BO66" s="18"/>
      <c r="BP66" s="18"/>
      <c r="BQ66" s="18"/>
      <c r="BR66" s="18"/>
      <c r="BS66" s="18"/>
    </row>
    <row r="67" spans="3:93" outlineLevel="1" x14ac:dyDescent="0.2">
      <c r="C67" s="27">
        <f t="shared" si="7"/>
        <v>5</v>
      </c>
      <c r="D67">
        <v>0</v>
      </c>
      <c r="I67" s="30">
        <f>SUM($L67:$BS67)</f>
        <v>72.259852838624681</v>
      </c>
      <c r="J67" s="26" t="s">
        <v>42</v>
      </c>
      <c r="L67" s="28">
        <v>0</v>
      </c>
      <c r="M67" s="28">
        <v>2.4969890000000002E-3</v>
      </c>
      <c r="N67" s="28">
        <v>1.6571122753991308</v>
      </c>
      <c r="O67" s="28">
        <v>2.9500777230539699</v>
      </c>
      <c r="P67" s="28">
        <v>5.5107276499922282</v>
      </c>
      <c r="Q67" s="28">
        <v>9.4090187889681651</v>
      </c>
      <c r="R67" s="28">
        <v>9.6455713021616614</v>
      </c>
      <c r="S67" s="28">
        <v>8.5434999999999999</v>
      </c>
      <c r="T67" s="18">
        <f>S67*(1-prod_decline_rate)</f>
        <v>7.945454999999999</v>
      </c>
      <c r="U67" s="18">
        <f>T67*(1-prod_decline_rate)</f>
        <v>7.3892731499999984</v>
      </c>
      <c r="V67" s="18">
        <f>U67*(1-prod_decline_rate)+(1.83*marine_upside_toggle)</f>
        <v>6.8720240294999977</v>
      </c>
      <c r="W67" s="18">
        <f>V67*(1-prod_decline_rate)+(3.65*marine_upside_toggle)</f>
        <v>6.3909823474349974</v>
      </c>
      <c r="X67" s="18">
        <f>W67*(1-prod_decline_rate)+(3.65*marine_upside_toggle)</f>
        <v>5.9436135831145469</v>
      </c>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c r="AX67" s="18"/>
      <c r="AY67" s="18"/>
      <c r="AZ67" s="18"/>
      <c r="BA67" s="18"/>
      <c r="BB67" s="18"/>
      <c r="BC67" s="18"/>
      <c r="BD67" s="18"/>
      <c r="BE67" s="18"/>
      <c r="BF67" s="18"/>
      <c r="BG67" s="18"/>
      <c r="BH67" s="18"/>
      <c r="BI67" s="18"/>
      <c r="BJ67" s="18"/>
      <c r="BK67" s="18"/>
      <c r="BL67" s="18"/>
      <c r="BM67" s="18"/>
      <c r="BN67" s="18"/>
      <c r="BO67" s="18"/>
      <c r="BP67" s="18"/>
      <c r="BQ67" s="18"/>
      <c r="BR67" s="18"/>
      <c r="BS67" s="18"/>
    </row>
    <row r="68" spans="3:93" outlineLevel="1" x14ac:dyDescent="0.2">
      <c r="J68" s="26"/>
    </row>
    <row r="69" spans="3:93" outlineLevel="1" x14ac:dyDescent="0.2">
      <c r="C69" s="11" t="str">
        <f>CHOOSE(db_ML_selected,'Liste Traduction'!B186,'Liste Traduction'!C186)</f>
        <v>Production de gaz de pétrole liquéfié</v>
      </c>
    </row>
    <row r="70" spans="3:93" outlineLevel="1" x14ac:dyDescent="0.2">
      <c r="D70" t="str">
        <f>D61</f>
        <v>sélectionnés</v>
      </c>
      <c r="G70" s="29" t="str">
        <f>field_selected</f>
        <v>Moho</v>
      </c>
      <c r="I70" s="30">
        <f ca="1">SUM($L70:$BS70)</f>
        <v>0</v>
      </c>
      <c r="J70" s="26" t="s">
        <v>42</v>
      </c>
      <c r="K70" s="7" t="s">
        <v>652</v>
      </c>
      <c r="L70" s="18">
        <f t="shared" ref="L70:Z70" ca="1" si="8">OFFSET(L$70,MATCH(field_selected,list_FieldName,0)+1,0)</f>
        <v>0</v>
      </c>
      <c r="M70" s="18">
        <f t="shared" ca="1" si="8"/>
        <v>0</v>
      </c>
      <c r="N70" s="18">
        <f t="shared" ca="1" si="8"/>
        <v>0</v>
      </c>
      <c r="O70" s="18">
        <f t="shared" ca="1" si="8"/>
        <v>0</v>
      </c>
      <c r="P70" s="18">
        <f t="shared" ca="1" si="8"/>
        <v>0</v>
      </c>
      <c r="Q70" s="18">
        <f t="shared" ca="1" si="8"/>
        <v>0</v>
      </c>
      <c r="R70" s="18">
        <f t="shared" ca="1" si="8"/>
        <v>0</v>
      </c>
      <c r="S70" s="18">
        <f t="shared" ca="1" si="8"/>
        <v>0</v>
      </c>
      <c r="T70" s="18">
        <f t="shared" ca="1" si="8"/>
        <v>0</v>
      </c>
      <c r="U70" s="18">
        <f t="shared" ca="1" si="8"/>
        <v>0</v>
      </c>
      <c r="V70" s="18">
        <f t="shared" ca="1" si="8"/>
        <v>0</v>
      </c>
      <c r="W70" s="18">
        <f t="shared" ca="1" si="8"/>
        <v>0</v>
      </c>
      <c r="X70" s="18">
        <f t="shared" ca="1" si="8"/>
        <v>0</v>
      </c>
      <c r="Y70" s="18">
        <f t="shared" ca="1" si="8"/>
        <v>0</v>
      </c>
      <c r="Z70" s="18">
        <f t="shared" ca="1" si="8"/>
        <v>0</v>
      </c>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c r="BA70" s="18"/>
      <c r="BB70" s="18"/>
      <c r="BC70" s="18"/>
      <c r="BD70" s="18"/>
      <c r="BE70" s="18"/>
      <c r="BF70" s="18"/>
      <c r="BG70" s="18"/>
      <c r="BH70" s="18"/>
      <c r="BI70" s="18"/>
      <c r="BJ70" s="18"/>
      <c r="BK70" s="18"/>
      <c r="BL70" s="18"/>
      <c r="BM70" s="18"/>
      <c r="BN70" s="18"/>
      <c r="BO70" s="18"/>
      <c r="BP70" s="18"/>
      <c r="BQ70" s="18"/>
      <c r="BR70" s="18"/>
      <c r="BS70" s="18"/>
    </row>
    <row r="71" spans="3:93" outlineLevel="1" x14ac:dyDescent="0.2">
      <c r="J71" s="26"/>
    </row>
    <row r="72" spans="3:93" outlineLevel="1" x14ac:dyDescent="0.2">
      <c r="C72" s="27">
        <v>1</v>
      </c>
      <c r="D72" t="str">
        <f t="array" ref="D72:D76">list_FieldName</f>
        <v>Nkossa</v>
      </c>
      <c r="I72" s="30">
        <f>SUM($L72:$BS72)</f>
        <v>16.227623900042467</v>
      </c>
      <c r="J72" s="26" t="s">
        <v>42</v>
      </c>
      <c r="L72" s="28">
        <v>1.354833679</v>
      </c>
      <c r="M72" s="28">
        <v>1.6326633289999999</v>
      </c>
      <c r="N72" s="28">
        <v>1.7607394579999998</v>
      </c>
      <c r="O72" s="28">
        <v>1.778799</v>
      </c>
      <c r="P72" s="28">
        <v>1.3657919999999999</v>
      </c>
      <c r="Q72" s="28">
        <v>0.98260499999999995</v>
      </c>
      <c r="R72" s="28">
        <v>1.1598949520000001</v>
      </c>
      <c r="S72" s="28">
        <v>1.2279</v>
      </c>
      <c r="T72" s="18">
        <f t="shared" ref="T72:X73" si="9">S72*(1-prod_decline_rate)</f>
        <v>1.1419469999999998</v>
      </c>
      <c r="U72" s="18">
        <f t="shared" si="9"/>
        <v>1.0620107099999998</v>
      </c>
      <c r="V72" s="18">
        <f t="shared" si="9"/>
        <v>0.98766996029999976</v>
      </c>
      <c r="W72" s="18">
        <f t="shared" si="9"/>
        <v>0.91853306307899973</v>
      </c>
      <c r="X72" s="18">
        <f t="shared" si="9"/>
        <v>0.85423574866346974</v>
      </c>
      <c r="Y72" s="18"/>
      <c r="Z72" s="18"/>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c r="BA72" s="18"/>
      <c r="BB72" s="18"/>
      <c r="BC72" s="18"/>
      <c r="BD72" s="18"/>
      <c r="BE72" s="18"/>
      <c r="BF72" s="18"/>
      <c r="BG72" s="18"/>
      <c r="BH72" s="18"/>
      <c r="BI72" s="18"/>
      <c r="BJ72" s="18"/>
      <c r="BK72" s="18"/>
      <c r="BL72" s="18"/>
      <c r="BM72" s="18"/>
      <c r="BN72" s="18"/>
      <c r="BO72" s="18"/>
      <c r="BP72" s="18"/>
      <c r="BQ72" s="18"/>
      <c r="BR72" s="18"/>
      <c r="BS72" s="18"/>
      <c r="BT72" s="25"/>
      <c r="BU72" s="25"/>
      <c r="BV72" s="25"/>
      <c r="BW72" s="25"/>
      <c r="BX72" s="25"/>
      <c r="BY72" s="25"/>
      <c r="BZ72" s="25"/>
      <c r="CA72" s="25"/>
      <c r="CB72" s="25"/>
      <c r="CC72" s="25"/>
      <c r="CD72" s="25"/>
      <c r="CE72" s="25"/>
      <c r="CF72" s="25"/>
      <c r="CG72" s="25"/>
      <c r="CH72" s="25"/>
      <c r="CI72" s="25"/>
      <c r="CJ72" s="25"/>
      <c r="CK72" s="25"/>
      <c r="CL72" s="25"/>
      <c r="CM72" s="25"/>
      <c r="CN72" s="25"/>
      <c r="CO72" s="25"/>
    </row>
    <row r="73" spans="3:93" outlineLevel="1" x14ac:dyDescent="0.2">
      <c r="C73" s="27">
        <f>C72+1</f>
        <v>2</v>
      </c>
      <c r="D73" t="str">
        <v>Nsoko</v>
      </c>
      <c r="I73" s="30">
        <f>SUM($L73:$BS73)</f>
        <v>1.3526304117142658</v>
      </c>
      <c r="J73" s="26" t="s">
        <v>42</v>
      </c>
      <c r="L73" s="28">
        <v>9.1936059000000014E-2</v>
      </c>
      <c r="M73" s="28">
        <v>7.448188800000001E-2</v>
      </c>
      <c r="N73" s="28">
        <v>9.9910986000000007E-2</v>
      </c>
      <c r="O73" s="28">
        <v>8.1037999999999999E-2</v>
      </c>
      <c r="P73" s="28">
        <v>7.9019000000000006E-2</v>
      </c>
      <c r="Q73" s="28">
        <v>6.1114000000000002E-2</v>
      </c>
      <c r="R73" s="28">
        <v>4.9182212000000003E-2</v>
      </c>
      <c r="S73" s="28">
        <v>0.16179827299999999</v>
      </c>
      <c r="T73" s="18">
        <f t="shared" si="9"/>
        <v>0.15047239388999997</v>
      </c>
      <c r="U73" s="18">
        <f t="shared" si="9"/>
        <v>0.13993932631769995</v>
      </c>
      <c r="V73" s="18">
        <f t="shared" si="9"/>
        <v>0.13014357347546096</v>
      </c>
      <c r="W73" s="18">
        <f t="shared" si="9"/>
        <v>0.12103352333217869</v>
      </c>
      <c r="X73" s="18">
        <f t="shared" si="9"/>
        <v>0.11256117669892618</v>
      </c>
      <c r="Y73" s="18"/>
      <c r="Z73" s="18"/>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c r="BA73" s="18"/>
      <c r="BB73" s="18"/>
      <c r="BC73" s="18"/>
      <c r="BD73" s="18"/>
      <c r="BE73" s="18"/>
      <c r="BF73" s="18"/>
      <c r="BG73" s="18"/>
      <c r="BH73" s="18"/>
      <c r="BI73" s="18"/>
      <c r="BJ73" s="18"/>
      <c r="BK73" s="18"/>
      <c r="BL73" s="18"/>
      <c r="BM73" s="18"/>
      <c r="BN73" s="18"/>
      <c r="BO73" s="18"/>
      <c r="BP73" s="18"/>
      <c r="BQ73" s="18"/>
      <c r="BR73" s="18"/>
      <c r="BS73" s="18"/>
    </row>
    <row r="74" spans="3:93" outlineLevel="1" x14ac:dyDescent="0.2">
      <c r="C74" s="27">
        <f t="shared" ref="C74:C76" si="10">C73+1</f>
        <v>3</v>
      </c>
      <c r="D74" t="str">
        <v>Moho</v>
      </c>
      <c r="I74" s="30">
        <f>SUM($L74:$BS74)</f>
        <v>0</v>
      </c>
      <c r="J74" s="26" t="s">
        <v>42</v>
      </c>
      <c r="L74" s="28"/>
      <c r="M74" s="28"/>
      <c r="N74" s="28"/>
      <c r="O74" s="28"/>
      <c r="P74" s="28"/>
      <c r="Q74" s="28"/>
      <c r="R74" s="28"/>
      <c r="S74" s="2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c r="BA74" s="18"/>
      <c r="BB74" s="18"/>
      <c r="BC74" s="18"/>
      <c r="BD74" s="18"/>
      <c r="BE74" s="18"/>
      <c r="BF74" s="18"/>
      <c r="BG74" s="18"/>
      <c r="BH74" s="18"/>
      <c r="BI74" s="18"/>
      <c r="BJ74" s="18"/>
      <c r="BK74" s="18"/>
      <c r="BL74" s="18"/>
      <c r="BM74" s="18"/>
      <c r="BN74" s="18"/>
      <c r="BO74" s="18"/>
      <c r="BP74" s="18"/>
      <c r="BQ74" s="18"/>
      <c r="BR74" s="18"/>
      <c r="BS74" s="18"/>
    </row>
    <row r="75" spans="3:93" outlineLevel="1" x14ac:dyDescent="0.2">
      <c r="C75" s="27">
        <f t="shared" si="10"/>
        <v>4</v>
      </c>
      <c r="D75" t="str">
        <v>KLL</v>
      </c>
      <c r="I75" s="30">
        <f>SUM($L75:$BS75)</f>
        <v>3.8000057000037999E-5</v>
      </c>
      <c r="J75" s="26" t="s">
        <v>42</v>
      </c>
      <c r="L75" s="28">
        <v>0</v>
      </c>
      <c r="M75" s="28">
        <v>0</v>
      </c>
      <c r="N75" s="28">
        <v>0</v>
      </c>
      <c r="O75" s="28">
        <f>(P75*0.5)/1000000</f>
        <v>1.9000000000000002E-11</v>
      </c>
      <c r="P75" s="28">
        <v>3.8000000000000002E-5</v>
      </c>
      <c r="Q75" s="28">
        <f t="shared" ref="Q75:R75" si="11">(P75)/1000000</f>
        <v>3.8000000000000004E-11</v>
      </c>
      <c r="R75" s="28">
        <f t="shared" si="11"/>
        <v>3.8000000000000007E-17</v>
      </c>
      <c r="S75" s="28">
        <v>0</v>
      </c>
      <c r="T75" s="18">
        <f>S75*(1-prod_decline_rate)</f>
        <v>0</v>
      </c>
      <c r="U75" s="18">
        <f>T75*(1-prod_decline_rate)</f>
        <v>0</v>
      </c>
      <c r="V75" s="18">
        <f>U75*(1-prod_decline_rate)</f>
        <v>0</v>
      </c>
      <c r="W75" s="18">
        <f>V75*(1-prod_decline_rate)</f>
        <v>0</v>
      </c>
      <c r="X75" s="18">
        <f>W75*(1-prod_decline_rate)</f>
        <v>0</v>
      </c>
      <c r="Y75" s="18"/>
      <c r="Z75" s="18"/>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c r="BA75" s="18"/>
      <c r="BB75" s="18"/>
      <c r="BC75" s="18"/>
      <c r="BD75" s="18"/>
      <c r="BE75" s="18"/>
      <c r="BF75" s="18"/>
      <c r="BG75" s="18"/>
      <c r="BH75" s="18"/>
      <c r="BI75" s="18"/>
      <c r="BJ75" s="18"/>
      <c r="BK75" s="18"/>
      <c r="BL75" s="18"/>
      <c r="BM75" s="18"/>
      <c r="BN75" s="18"/>
      <c r="BO75" s="18"/>
      <c r="BP75" s="18"/>
      <c r="BQ75" s="18"/>
      <c r="BR75" s="18"/>
      <c r="BS75" s="18"/>
    </row>
    <row r="76" spans="3:93" outlineLevel="1" x14ac:dyDescent="0.2">
      <c r="C76" s="27">
        <f t="shared" si="10"/>
        <v>5</v>
      </c>
      <c r="D76">
        <v>0</v>
      </c>
      <c r="I76" s="30">
        <f>SUM($L76:$BS76)</f>
        <v>0</v>
      </c>
      <c r="J76" s="26" t="s">
        <v>42</v>
      </c>
      <c r="L76" s="28"/>
      <c r="M76" s="28"/>
      <c r="N76" s="28"/>
      <c r="O76" s="28"/>
      <c r="P76" s="28"/>
      <c r="Q76" s="28"/>
      <c r="R76" s="28"/>
      <c r="S76" s="2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8"/>
      <c r="BA76" s="18"/>
      <c r="BB76" s="18"/>
      <c r="BC76" s="18"/>
      <c r="BD76" s="18"/>
      <c r="BE76" s="18"/>
      <c r="BF76" s="18"/>
      <c r="BG76" s="18"/>
      <c r="BH76" s="18"/>
      <c r="BI76" s="18"/>
      <c r="BJ76" s="18"/>
      <c r="BK76" s="18"/>
      <c r="BL76" s="18"/>
      <c r="BM76" s="18"/>
      <c r="BN76" s="18"/>
      <c r="BO76" s="18"/>
      <c r="BP76" s="18"/>
      <c r="BQ76" s="18"/>
      <c r="BR76" s="18"/>
      <c r="BS76" s="18"/>
    </row>
    <row r="77" spans="3:93" outlineLevel="1" x14ac:dyDescent="0.2">
      <c r="J77" s="26"/>
    </row>
    <row r="78" spans="3:93" outlineLevel="1" x14ac:dyDescent="0.2">
      <c r="C78" s="11" t="str">
        <f>CHOOSE(db_ML_selected,'Liste Traduction'!B187,'Liste Traduction'!C187)</f>
        <v>Production de gaz</v>
      </c>
      <c r="J78" s="26"/>
    </row>
    <row r="79" spans="3:93" outlineLevel="1" x14ac:dyDescent="0.2">
      <c r="D79" t="str">
        <f>D61</f>
        <v>sélectionnés</v>
      </c>
      <c r="G79" s="29" t="str">
        <f>field_selected</f>
        <v>Moho</v>
      </c>
      <c r="I79" s="30">
        <f ca="1">SUM($L79:$BS79)</f>
        <v>0</v>
      </c>
      <c r="J79" s="26" t="s">
        <v>653</v>
      </c>
      <c r="K79" s="7" t="s">
        <v>54</v>
      </c>
      <c r="L79" s="18">
        <f t="shared" ref="L79:Z79" ca="1" si="12">OFFSET(L$79,MATCH(field_selected,list_FieldName,0)+1,0)</f>
        <v>0</v>
      </c>
      <c r="M79" s="18">
        <f t="shared" ca="1" si="12"/>
        <v>0</v>
      </c>
      <c r="N79" s="18">
        <f t="shared" ca="1" si="12"/>
        <v>0</v>
      </c>
      <c r="O79" s="18">
        <f t="shared" ca="1" si="12"/>
        <v>0</v>
      </c>
      <c r="P79" s="18">
        <f t="shared" ca="1" si="12"/>
        <v>0</v>
      </c>
      <c r="Q79" s="18">
        <f t="shared" ca="1" si="12"/>
        <v>0</v>
      </c>
      <c r="R79" s="18">
        <f t="shared" ca="1" si="12"/>
        <v>0</v>
      </c>
      <c r="S79" s="18">
        <f t="shared" ca="1" si="12"/>
        <v>0</v>
      </c>
      <c r="T79" s="18">
        <f t="shared" ca="1" si="12"/>
        <v>0</v>
      </c>
      <c r="U79" s="18">
        <f t="shared" ca="1" si="12"/>
        <v>0</v>
      </c>
      <c r="V79" s="18">
        <f t="shared" ca="1" si="12"/>
        <v>0</v>
      </c>
      <c r="W79" s="18">
        <f t="shared" ca="1" si="12"/>
        <v>0</v>
      </c>
      <c r="X79" s="18">
        <f t="shared" ca="1" si="12"/>
        <v>0</v>
      </c>
      <c r="Y79" s="18">
        <f t="shared" ca="1" si="12"/>
        <v>0</v>
      </c>
      <c r="Z79" s="18">
        <f t="shared" ca="1" si="12"/>
        <v>0</v>
      </c>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c r="BA79" s="18"/>
      <c r="BB79" s="18"/>
      <c r="BC79" s="18"/>
      <c r="BD79" s="18"/>
      <c r="BE79" s="18"/>
      <c r="BF79" s="18"/>
      <c r="BG79" s="18"/>
      <c r="BH79" s="18"/>
      <c r="BI79" s="18"/>
      <c r="BJ79" s="18"/>
      <c r="BK79" s="18"/>
      <c r="BL79" s="18"/>
      <c r="BM79" s="18"/>
      <c r="BN79" s="18"/>
      <c r="BO79" s="18"/>
      <c r="BP79" s="18"/>
      <c r="BQ79" s="18"/>
      <c r="BR79" s="18"/>
      <c r="BS79" s="18"/>
    </row>
    <row r="80" spans="3:93" outlineLevel="1" x14ac:dyDescent="0.2">
      <c r="J80" s="26"/>
    </row>
    <row r="81" spans="1:93" outlineLevel="1" x14ac:dyDescent="0.2">
      <c r="C81" s="27">
        <v>1</v>
      </c>
      <c r="D81" t="str">
        <f t="array" ref="D81:D85">list_FieldName</f>
        <v>Nkossa</v>
      </c>
      <c r="I81" s="30">
        <f>SUM($L81:$BS81)</f>
        <v>0</v>
      </c>
      <c r="J81" s="26" t="s">
        <v>653</v>
      </c>
      <c r="L81" s="28"/>
      <c r="M81" s="28"/>
      <c r="N81" s="28"/>
      <c r="O81" s="28"/>
      <c r="P81" s="28"/>
      <c r="Q81" s="28"/>
      <c r="R81" s="28"/>
      <c r="S81" s="2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c r="BA81" s="18"/>
      <c r="BB81" s="18"/>
      <c r="BC81" s="18"/>
      <c r="BD81" s="18"/>
      <c r="BE81" s="18"/>
      <c r="BF81" s="18"/>
      <c r="BG81" s="18"/>
      <c r="BH81" s="18"/>
      <c r="BI81" s="18"/>
      <c r="BJ81" s="18"/>
      <c r="BK81" s="18"/>
      <c r="BL81" s="18"/>
      <c r="BM81" s="18"/>
      <c r="BN81" s="18"/>
      <c r="BO81" s="18"/>
      <c r="BP81" s="18"/>
      <c r="BQ81" s="18"/>
      <c r="BR81" s="18"/>
      <c r="BS81" s="18"/>
      <c r="BT81" s="25"/>
      <c r="BU81" s="25"/>
      <c r="BV81" s="25"/>
      <c r="BW81" s="25"/>
      <c r="BX81" s="25"/>
      <c r="BY81" s="25"/>
      <c r="BZ81" s="25"/>
      <c r="CA81" s="25"/>
      <c r="CB81" s="25"/>
      <c r="CC81" s="25"/>
      <c r="CD81" s="25"/>
      <c r="CE81" s="25"/>
      <c r="CF81" s="25"/>
      <c r="CG81" s="25"/>
      <c r="CH81" s="25"/>
      <c r="CI81" s="25"/>
      <c r="CJ81" s="25"/>
      <c r="CK81" s="25"/>
      <c r="CL81" s="25"/>
      <c r="CM81" s="25"/>
      <c r="CN81" s="25"/>
      <c r="CO81" s="25"/>
    </row>
    <row r="82" spans="1:93" outlineLevel="1" x14ac:dyDescent="0.2">
      <c r="C82" s="27">
        <f>C81+1</f>
        <v>2</v>
      </c>
      <c r="D82" t="str">
        <v>Nsoko</v>
      </c>
      <c r="I82" s="30">
        <f>SUM($L82:$BS82)</f>
        <v>0</v>
      </c>
      <c r="J82" s="26" t="s">
        <v>653</v>
      </c>
      <c r="L82" s="28"/>
      <c r="M82" s="28"/>
      <c r="N82" s="28"/>
      <c r="O82" s="28"/>
      <c r="P82" s="28"/>
      <c r="Q82" s="28"/>
      <c r="R82" s="28"/>
      <c r="S82" s="2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c r="BA82" s="18"/>
      <c r="BB82" s="18"/>
      <c r="BC82" s="18"/>
      <c r="BD82" s="18"/>
      <c r="BE82" s="18"/>
      <c r="BF82" s="18"/>
      <c r="BG82" s="18"/>
      <c r="BH82" s="18"/>
      <c r="BI82" s="18"/>
      <c r="BJ82" s="18"/>
      <c r="BK82" s="18"/>
      <c r="BL82" s="18"/>
      <c r="BM82" s="18"/>
      <c r="BN82" s="18"/>
      <c r="BO82" s="18"/>
      <c r="BP82" s="18"/>
      <c r="BQ82" s="18"/>
      <c r="BR82" s="18"/>
      <c r="BS82" s="18"/>
    </row>
    <row r="83" spans="1:93" outlineLevel="1" x14ac:dyDescent="0.2">
      <c r="C83" s="27">
        <f t="shared" ref="C83:C85" si="13">C82+1</f>
        <v>3</v>
      </c>
      <c r="D83" t="str">
        <v>Moho</v>
      </c>
      <c r="I83" s="30">
        <f>SUM($L83:$BS83)</f>
        <v>0</v>
      </c>
      <c r="J83" s="26" t="s">
        <v>653</v>
      </c>
      <c r="L83" s="28"/>
      <c r="M83" s="28"/>
      <c r="N83" s="28"/>
      <c r="O83" s="28"/>
      <c r="P83" s="28"/>
      <c r="Q83" s="28"/>
      <c r="R83" s="28"/>
      <c r="S83" s="2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c r="BA83" s="18"/>
      <c r="BB83" s="18"/>
      <c r="BC83" s="18"/>
      <c r="BD83" s="18"/>
      <c r="BE83" s="18"/>
      <c r="BF83" s="18"/>
      <c r="BG83" s="18"/>
      <c r="BH83" s="18"/>
      <c r="BI83" s="18"/>
      <c r="BJ83" s="18"/>
      <c r="BK83" s="18"/>
      <c r="BL83" s="18"/>
      <c r="BM83" s="18"/>
      <c r="BN83" s="18"/>
      <c r="BO83" s="18"/>
      <c r="BP83" s="18"/>
      <c r="BQ83" s="18"/>
      <c r="BR83" s="18"/>
      <c r="BS83" s="18"/>
    </row>
    <row r="84" spans="1:93" outlineLevel="1" x14ac:dyDescent="0.2">
      <c r="C84" s="27">
        <f t="shared" si="13"/>
        <v>4</v>
      </c>
      <c r="D84" t="str">
        <v>KLL</v>
      </c>
      <c r="I84" s="30">
        <f>SUM($L84:$BS84)</f>
        <v>0</v>
      </c>
      <c r="J84" s="26" t="s">
        <v>653</v>
      </c>
      <c r="L84" s="28"/>
      <c r="M84" s="28"/>
      <c r="N84" s="28"/>
      <c r="O84" s="28"/>
      <c r="P84" s="28"/>
      <c r="Q84" s="28"/>
      <c r="R84" s="28"/>
      <c r="S84" s="2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c r="BA84" s="18"/>
      <c r="BB84" s="18"/>
      <c r="BC84" s="18"/>
      <c r="BD84" s="18"/>
      <c r="BE84" s="18"/>
      <c r="BF84" s="18"/>
      <c r="BG84" s="18"/>
      <c r="BH84" s="18"/>
      <c r="BI84" s="18"/>
      <c r="BJ84" s="18"/>
      <c r="BK84" s="18"/>
      <c r="BL84" s="18"/>
      <c r="BM84" s="18"/>
      <c r="BN84" s="18"/>
      <c r="BO84" s="18"/>
      <c r="BP84" s="18"/>
      <c r="BQ84" s="18"/>
      <c r="BR84" s="18"/>
      <c r="BS84" s="18"/>
    </row>
    <row r="85" spans="1:93" outlineLevel="1" x14ac:dyDescent="0.2">
      <c r="C85" s="27">
        <f t="shared" si="13"/>
        <v>5</v>
      </c>
      <c r="D85">
        <v>0</v>
      </c>
      <c r="I85" s="30">
        <f>SUM($L85:$BS85)</f>
        <v>7.0220484578474576</v>
      </c>
      <c r="J85" s="26" t="s">
        <v>653</v>
      </c>
      <c r="L85" s="28">
        <v>0</v>
      </c>
      <c r="M85" s="28">
        <v>8.628911029682812E-2</v>
      </c>
      <c r="N85" s="28">
        <v>0.42813948700000004</v>
      </c>
      <c r="O85" s="28">
        <v>0.65880000000000005</v>
      </c>
      <c r="P85" s="28">
        <v>0.59554779799999991</v>
      </c>
      <c r="Q85" s="28">
        <v>0.64051102599999998</v>
      </c>
      <c r="R85" s="28">
        <f>(Q85)/1000000</f>
        <v>6.4051102600000003E-7</v>
      </c>
      <c r="S85" s="28">
        <v>0.80879999999999996</v>
      </c>
      <c r="T85" s="18">
        <f>27.99/conv_CMtoCF</f>
        <v>0.79179632248939169</v>
      </c>
      <c r="U85" s="18">
        <f>27.43/conv_CMtoCF</f>
        <v>0.77595473833097595</v>
      </c>
      <c r="V85" s="18">
        <f>26.88/conv_CMtoCF</f>
        <v>0.76039603960396029</v>
      </c>
      <c r="W85" s="18">
        <f>26.35/conv_CMtoCF</f>
        <v>0.74540311173974538</v>
      </c>
      <c r="X85" s="18">
        <f>25.82/conv_CMtoCF</f>
        <v>0.73041018387553036</v>
      </c>
      <c r="Y85" s="18"/>
      <c r="Z85" s="18"/>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c r="BA85" s="18"/>
      <c r="BB85" s="18"/>
      <c r="BC85" s="18"/>
      <c r="BD85" s="18"/>
      <c r="BE85" s="18"/>
      <c r="BF85" s="18"/>
      <c r="BG85" s="18"/>
      <c r="BH85" s="18"/>
      <c r="BI85" s="18"/>
      <c r="BJ85" s="18"/>
      <c r="BK85" s="18"/>
      <c r="BL85" s="18"/>
      <c r="BM85" s="18"/>
      <c r="BN85" s="18"/>
      <c r="BO85" s="18"/>
      <c r="BP85" s="18"/>
      <c r="BQ85" s="18"/>
      <c r="BR85" s="18"/>
      <c r="BS85" s="18"/>
    </row>
    <row r="86" spans="1:93" outlineLevel="1" x14ac:dyDescent="0.2"/>
    <row r="87" spans="1:93" ht="16" thickBot="1" x14ac:dyDescent="0.25"/>
    <row r="88" spans="1:93" ht="22" thickBot="1" x14ac:dyDescent="0.25">
      <c r="A88" s="8"/>
      <c r="B88" s="221" t="str">
        <f>CHOOSE(db_ML_selected,'Liste Traduction'!B19,'Liste Traduction'!C19)</f>
        <v>Volumes de vente</v>
      </c>
      <c r="C88" s="222"/>
      <c r="D88" s="222"/>
      <c r="E88" s="223"/>
      <c r="F88" s="9"/>
      <c r="G88" s="9"/>
      <c r="H88" s="9"/>
      <c r="I88" s="9"/>
      <c r="J88" s="9"/>
      <c r="K88" s="10"/>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row>
    <row r="89" spans="1:93" outlineLevel="1" x14ac:dyDescent="0.2"/>
    <row r="90" spans="1:93" outlineLevel="1" x14ac:dyDescent="0.2">
      <c r="C90" s="11" t="str">
        <f>CHOOSE(db_ML_selected,'Liste Traduction'!B188,'Liste Traduction'!C188)</f>
        <v>Ventes pétrolières</v>
      </c>
    </row>
    <row r="91" spans="1:93" outlineLevel="1" x14ac:dyDescent="0.2">
      <c r="D91" t="str">
        <f>D79</f>
        <v>sélectionnés</v>
      </c>
      <c r="G91" s="29" t="str">
        <f>field_selected</f>
        <v>Moho</v>
      </c>
      <c r="I91" s="30">
        <f ca="1">SUM($L91:$BS91)</f>
        <v>470.13540919728229</v>
      </c>
      <c r="J91" s="26" t="s">
        <v>42</v>
      </c>
      <c r="K91" s="7" t="s">
        <v>658</v>
      </c>
      <c r="L91" s="18">
        <f t="shared" ref="L91:Z91" ca="1" si="14">OFFSET(L$91,MATCH(field_selected,list_FieldName,0)+1,0)</f>
        <v>18.11364</v>
      </c>
      <c r="M91" s="18">
        <f t="shared" ca="1" si="14"/>
        <v>18.917859</v>
      </c>
      <c r="N91" s="18">
        <f t="shared" ca="1" si="14"/>
        <v>15.366923</v>
      </c>
      <c r="O91" s="18">
        <f t="shared" ca="1" si="14"/>
        <v>15.591395</v>
      </c>
      <c r="P91" s="18">
        <f t="shared" ca="1" si="14"/>
        <v>32.634275000000002</v>
      </c>
      <c r="Q91" s="18">
        <f t="shared" ca="1" si="14"/>
        <v>52.389181999999998</v>
      </c>
      <c r="R91" s="18">
        <f t="shared" ca="1" si="14"/>
        <v>54.643199000000003</v>
      </c>
      <c r="S91" s="18">
        <f t="shared" ca="1" si="14"/>
        <v>52.048200000000001</v>
      </c>
      <c r="T91" s="18">
        <f t="shared" ca="1" si="14"/>
        <v>48.404826</v>
      </c>
      <c r="U91" s="18">
        <f t="shared" ca="1" si="14"/>
        <v>45.016488179999996</v>
      </c>
      <c r="V91" s="18">
        <f t="shared" ca="1" si="14"/>
        <v>41.865334007399994</v>
      </c>
      <c r="W91" s="18">
        <f t="shared" ca="1" si="14"/>
        <v>38.934760626881989</v>
      </c>
      <c r="X91" s="18">
        <f t="shared" ca="1" si="14"/>
        <v>36.20932738300025</v>
      </c>
      <c r="Y91" s="18">
        <f t="shared" ca="1" si="14"/>
        <v>0</v>
      </c>
      <c r="Z91" s="18">
        <f t="shared" ca="1" si="14"/>
        <v>0</v>
      </c>
      <c r="AA91" s="18"/>
      <c r="AB91" s="18"/>
      <c r="AC91" s="18"/>
      <c r="AD91" s="18"/>
      <c r="AE91" s="18"/>
      <c r="AF91" s="18"/>
      <c r="AG91" s="18"/>
      <c r="AH91" s="18"/>
      <c r="AI91" s="18"/>
      <c r="AJ91" s="18"/>
      <c r="AK91" s="18"/>
      <c r="AL91" s="18"/>
      <c r="AM91" s="18"/>
      <c r="AN91" s="18"/>
      <c r="AO91" s="18"/>
      <c r="AP91" s="18"/>
      <c r="AQ91" s="18"/>
      <c r="AR91" s="18"/>
      <c r="AS91" s="18"/>
      <c r="AT91" s="18"/>
      <c r="AU91" s="18"/>
      <c r="AV91" s="18"/>
      <c r="AW91" s="18"/>
      <c r="AX91" s="18"/>
      <c r="AY91" s="18"/>
      <c r="AZ91" s="18"/>
      <c r="BA91" s="18"/>
      <c r="BB91" s="18"/>
      <c r="BC91" s="18"/>
      <c r="BD91" s="18"/>
      <c r="BE91" s="18"/>
      <c r="BF91" s="18"/>
      <c r="BG91" s="18"/>
      <c r="BH91" s="18"/>
      <c r="BI91" s="18"/>
      <c r="BJ91" s="18"/>
      <c r="BK91" s="18"/>
      <c r="BL91" s="18"/>
      <c r="BM91" s="18"/>
      <c r="BN91" s="18"/>
      <c r="BO91" s="18"/>
      <c r="BP91" s="18"/>
      <c r="BQ91" s="18"/>
      <c r="BR91" s="18"/>
      <c r="BS91" s="18"/>
    </row>
    <row r="92" spans="1:93" outlineLevel="1" x14ac:dyDescent="0.2">
      <c r="J92" s="26"/>
    </row>
    <row r="93" spans="1:93" outlineLevel="1" x14ac:dyDescent="0.2">
      <c r="C93" s="27">
        <v>1</v>
      </c>
      <c r="D93" t="str">
        <f t="array" ref="D93:D97">list_FieldName</f>
        <v>Nkossa</v>
      </c>
      <c r="I93" s="30">
        <f>SUM($L93:$BS93)</f>
        <v>70.61990457934013</v>
      </c>
      <c r="J93" s="26" t="s">
        <v>42</v>
      </c>
      <c r="L93" s="28">
        <v>7.47546</v>
      </c>
      <c r="M93" s="28">
        <v>8.8948470000000004</v>
      </c>
      <c r="N93" s="28">
        <v>7.7062299999999997</v>
      </c>
      <c r="O93" s="28">
        <v>7.9170199999999999</v>
      </c>
      <c r="P93" s="28">
        <v>7.3475190000000001</v>
      </c>
      <c r="Q93" s="28">
        <v>5.786556</v>
      </c>
      <c r="R93" s="28">
        <v>6.4020060000000001</v>
      </c>
      <c r="S93" s="28">
        <f>S63</f>
        <v>3.7854999999999999</v>
      </c>
      <c r="T93" s="18">
        <f>T63</f>
        <v>3.5205149999999996</v>
      </c>
      <c r="U93" s="18">
        <f t="shared" ref="U93:X93" si="15">U63</f>
        <v>3.2740789499999994</v>
      </c>
      <c r="V93" s="18">
        <f t="shared" si="15"/>
        <v>3.0448934234999991</v>
      </c>
      <c r="W93" s="18">
        <f t="shared" si="15"/>
        <v>2.831750883854999</v>
      </c>
      <c r="X93" s="18">
        <f t="shared" si="15"/>
        <v>2.6335283219851489</v>
      </c>
      <c r="Y93" s="18"/>
      <c r="Z93" s="18"/>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c r="BA93" s="18"/>
      <c r="BB93" s="18"/>
      <c r="BC93" s="18"/>
      <c r="BD93" s="18"/>
      <c r="BE93" s="18"/>
      <c r="BF93" s="18"/>
      <c r="BG93" s="18"/>
      <c r="BH93" s="18"/>
      <c r="BI93" s="18"/>
      <c r="BJ93" s="18"/>
      <c r="BK93" s="18"/>
      <c r="BL93" s="18"/>
      <c r="BM93" s="18"/>
      <c r="BN93" s="18"/>
      <c r="BO93" s="18"/>
      <c r="BP93" s="18"/>
      <c r="BQ93" s="18"/>
      <c r="BR93" s="18"/>
      <c r="BS93" s="18"/>
      <c r="BT93" s="25"/>
      <c r="BU93" s="25"/>
      <c r="BV93" s="25"/>
      <c r="BW93" s="25"/>
      <c r="BX93" s="25"/>
      <c r="BY93" s="25"/>
      <c r="BZ93" s="25"/>
      <c r="CA93" s="25"/>
      <c r="CB93" s="25"/>
      <c r="CC93" s="25"/>
      <c r="CD93" s="25"/>
      <c r="CE93" s="25"/>
      <c r="CF93" s="25"/>
      <c r="CG93" s="25"/>
      <c r="CH93" s="25"/>
      <c r="CI93" s="25"/>
      <c r="CJ93" s="25"/>
      <c r="CK93" s="25"/>
      <c r="CL93" s="25"/>
      <c r="CM93" s="25"/>
      <c r="CN93" s="25"/>
      <c r="CO93" s="25"/>
    </row>
    <row r="94" spans="1:93" outlineLevel="1" x14ac:dyDescent="0.2">
      <c r="C94" s="27">
        <f>C93+1</f>
        <v>2</v>
      </c>
      <c r="D94" t="str">
        <v>Nsoko</v>
      </c>
      <c r="I94" s="30">
        <f>SUM($L94:$BS94)</f>
        <v>7.5585643808449001</v>
      </c>
      <c r="J94" s="26" t="s">
        <v>42</v>
      </c>
      <c r="L94" s="28">
        <v>0.71158600000000005</v>
      </c>
      <c r="M94" s="28">
        <v>0.80262699999999998</v>
      </c>
      <c r="N94" s="28">
        <v>0.893347</v>
      </c>
      <c r="O94" s="28">
        <v>0.69643600000000006</v>
      </c>
      <c r="P94" s="28">
        <v>0.58618599999999998</v>
      </c>
      <c r="Q94" s="28">
        <v>0.63382099999999997</v>
      </c>
      <c r="R94" s="28">
        <v>0.24538399999999999</v>
      </c>
      <c r="S94" s="28">
        <f t="shared" ref="S94:X97" si="16">S64</f>
        <v>0.59273823799999992</v>
      </c>
      <c r="T94" s="18">
        <f t="shared" si="16"/>
        <v>0.55124656133999994</v>
      </c>
      <c r="U94" s="18">
        <f t="shared" si="16"/>
        <v>0.51265930204619992</v>
      </c>
      <c r="V94" s="18">
        <f t="shared" si="16"/>
        <v>0.4767731509029659</v>
      </c>
      <c r="W94" s="18">
        <f t="shared" si="16"/>
        <v>0.44339903033975825</v>
      </c>
      <c r="X94" s="18">
        <f t="shared" si="16"/>
        <v>0.41236109821597516</v>
      </c>
      <c r="Y94" s="18"/>
      <c r="Z94" s="18"/>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c r="BA94" s="18"/>
      <c r="BB94" s="18"/>
      <c r="BC94" s="18"/>
      <c r="BD94" s="18"/>
      <c r="BE94" s="18"/>
      <c r="BF94" s="18"/>
      <c r="BG94" s="18"/>
      <c r="BH94" s="18"/>
      <c r="BI94" s="18"/>
      <c r="BJ94" s="18"/>
      <c r="BK94" s="18"/>
      <c r="BL94" s="18"/>
      <c r="BM94" s="18"/>
      <c r="BN94" s="18"/>
      <c r="BO94" s="18"/>
      <c r="BP94" s="18"/>
      <c r="BQ94" s="18"/>
      <c r="BR94" s="18"/>
      <c r="BS94" s="18"/>
    </row>
    <row r="95" spans="1:93" outlineLevel="1" x14ac:dyDescent="0.2">
      <c r="C95" s="27">
        <f t="shared" ref="C95:C97" si="17">C94+1</f>
        <v>3</v>
      </c>
      <c r="D95" t="str">
        <v>Moho</v>
      </c>
      <c r="F95" s="193" t="s">
        <v>1000</v>
      </c>
      <c r="G95" s="28">
        <f>G65</f>
        <v>200</v>
      </c>
      <c r="H95" s="16" t="s">
        <v>1002</v>
      </c>
      <c r="I95" s="30">
        <f>SUM($L95:$BS95)</f>
        <v>470.13540919728229</v>
      </c>
      <c r="J95" s="26" t="s">
        <v>42</v>
      </c>
      <c r="L95" s="28">
        <v>18.11364</v>
      </c>
      <c r="M95" s="28">
        <v>18.917859</v>
      </c>
      <c r="N95" s="28">
        <v>15.366923</v>
      </c>
      <c r="O95" s="28">
        <v>15.591395</v>
      </c>
      <c r="P95" s="28">
        <v>32.634275000000002</v>
      </c>
      <c r="Q95" s="28">
        <v>52.389181999999998</v>
      </c>
      <c r="R95" s="28">
        <v>54.643199000000003</v>
      </c>
      <c r="S95" s="28">
        <f t="shared" si="16"/>
        <v>52.048200000000001</v>
      </c>
      <c r="T95" s="18">
        <f t="shared" si="16"/>
        <v>48.404826</v>
      </c>
      <c r="U95" s="18">
        <f t="shared" si="16"/>
        <v>45.016488179999996</v>
      </c>
      <c r="V95" s="18">
        <f t="shared" si="16"/>
        <v>41.865334007399994</v>
      </c>
      <c r="W95" s="18">
        <f t="shared" si="16"/>
        <v>38.934760626881989</v>
      </c>
      <c r="X95" s="18">
        <f t="shared" si="16"/>
        <v>36.20932738300025</v>
      </c>
      <c r="Y95" s="18"/>
      <c r="Z95" s="18"/>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c r="BA95" s="18"/>
      <c r="BB95" s="18"/>
      <c r="BC95" s="18"/>
      <c r="BD95" s="18"/>
      <c r="BE95" s="18"/>
      <c r="BF95" s="18"/>
      <c r="BG95" s="18"/>
      <c r="BH95" s="18"/>
      <c r="BI95" s="18"/>
      <c r="BJ95" s="18"/>
      <c r="BK95" s="18"/>
      <c r="BL95" s="18"/>
      <c r="BM95" s="18"/>
      <c r="BN95" s="18"/>
      <c r="BO95" s="18"/>
      <c r="BP95" s="18"/>
      <c r="BQ95" s="18"/>
      <c r="BR95" s="18"/>
      <c r="BS95" s="18"/>
    </row>
    <row r="96" spans="1:93" outlineLevel="1" x14ac:dyDescent="0.2">
      <c r="C96" s="27">
        <f t="shared" si="17"/>
        <v>4</v>
      </c>
      <c r="D96" t="str">
        <v>KLL</v>
      </c>
      <c r="I96" s="30">
        <f>SUM($L96:$BS96)</f>
        <v>68.533596121307966</v>
      </c>
      <c r="J96" s="26" t="s">
        <v>42</v>
      </c>
      <c r="L96" s="28">
        <v>4.7299800000000003</v>
      </c>
      <c r="M96" s="28">
        <v>5.8240230000000004</v>
      </c>
      <c r="N96" s="28">
        <v>5.9972070000000004</v>
      </c>
      <c r="O96" s="28">
        <v>6.1850569999999996</v>
      </c>
      <c r="P96" s="28">
        <v>5.5616960000000004</v>
      </c>
      <c r="Q96" s="28">
        <v>5.9897720000000003</v>
      </c>
      <c r="R96" s="28">
        <v>6.1921710000000001</v>
      </c>
      <c r="S96" s="28">
        <f t="shared" si="16"/>
        <v>5.5629</v>
      </c>
      <c r="T96" s="18">
        <f t="shared" si="16"/>
        <v>5.1734969999999993</v>
      </c>
      <c r="U96" s="18">
        <f t="shared" si="16"/>
        <v>4.811352209999999</v>
      </c>
      <c r="V96" s="18">
        <f t="shared" si="16"/>
        <v>4.4745575552999988</v>
      </c>
      <c r="W96" s="18">
        <f t="shared" si="16"/>
        <v>4.1613385264289988</v>
      </c>
      <c r="X96" s="18">
        <f t="shared" si="16"/>
        <v>3.8700448295789687</v>
      </c>
      <c r="Y96" s="18"/>
      <c r="Z96" s="18"/>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c r="BA96" s="18"/>
      <c r="BB96" s="18"/>
      <c r="BC96" s="18"/>
      <c r="BD96" s="18"/>
      <c r="BE96" s="18"/>
      <c r="BF96" s="18"/>
      <c r="BG96" s="18"/>
      <c r="BH96" s="18"/>
      <c r="BI96" s="18"/>
      <c r="BJ96" s="18"/>
      <c r="BK96" s="18"/>
      <c r="BL96" s="18"/>
      <c r="BM96" s="18"/>
      <c r="BN96" s="18"/>
      <c r="BO96" s="18"/>
      <c r="BP96" s="18"/>
      <c r="BQ96" s="18"/>
      <c r="BR96" s="18"/>
      <c r="BS96" s="18"/>
    </row>
    <row r="97" spans="3:93" outlineLevel="1" x14ac:dyDescent="0.2">
      <c r="C97" s="27">
        <f t="shared" si="17"/>
        <v>5</v>
      </c>
      <c r="D97">
        <v>0</v>
      </c>
      <c r="I97" s="30">
        <f>SUM($L97:$BS97)</f>
        <v>72.259852838624681</v>
      </c>
      <c r="J97" s="26"/>
      <c r="L97" s="28">
        <f>L67</f>
        <v>0</v>
      </c>
      <c r="M97" s="28">
        <f t="shared" ref="M97:R97" si="18">M67</f>
        <v>2.4969890000000002E-3</v>
      </c>
      <c r="N97" s="28">
        <f t="shared" si="18"/>
        <v>1.6571122753991308</v>
      </c>
      <c r="O97" s="28">
        <f t="shared" si="18"/>
        <v>2.9500777230539699</v>
      </c>
      <c r="P97" s="28">
        <f t="shared" si="18"/>
        <v>5.5107276499922282</v>
      </c>
      <c r="Q97" s="28">
        <f t="shared" si="18"/>
        <v>9.4090187889681651</v>
      </c>
      <c r="R97" s="28">
        <f t="shared" si="18"/>
        <v>9.6455713021616614</v>
      </c>
      <c r="S97" s="28">
        <f t="shared" si="16"/>
        <v>8.5434999999999999</v>
      </c>
      <c r="T97" s="18">
        <f t="shared" si="16"/>
        <v>7.945454999999999</v>
      </c>
      <c r="U97" s="18">
        <f t="shared" si="16"/>
        <v>7.3892731499999984</v>
      </c>
      <c r="V97" s="18">
        <f t="shared" si="16"/>
        <v>6.8720240294999977</v>
      </c>
      <c r="W97" s="18">
        <f t="shared" si="16"/>
        <v>6.3909823474349974</v>
      </c>
      <c r="X97" s="18">
        <f t="shared" si="16"/>
        <v>5.9436135831145469</v>
      </c>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c r="BD97" s="18"/>
      <c r="BE97" s="18"/>
      <c r="BF97" s="18"/>
      <c r="BG97" s="18"/>
      <c r="BH97" s="18"/>
      <c r="BI97" s="18"/>
      <c r="BJ97" s="18"/>
      <c r="BK97" s="18"/>
      <c r="BL97" s="18"/>
      <c r="BM97" s="18"/>
      <c r="BN97" s="18"/>
      <c r="BO97" s="18"/>
      <c r="BP97" s="18"/>
      <c r="BQ97" s="18"/>
      <c r="BR97" s="18"/>
      <c r="BS97" s="18"/>
    </row>
    <row r="98" spans="3:93" outlineLevel="1" x14ac:dyDescent="0.2">
      <c r="J98" s="26"/>
    </row>
    <row r="99" spans="3:93" outlineLevel="1" x14ac:dyDescent="0.2">
      <c r="C99" s="11" t="str">
        <f>CHOOSE(db_ML_selected,'Liste Traduction'!B189,'Liste Traduction'!C189)</f>
        <v>Ventes de gaz de pétrole liquéfié</v>
      </c>
    </row>
    <row r="100" spans="3:93" outlineLevel="1" x14ac:dyDescent="0.2">
      <c r="D100" t="str">
        <f>D91</f>
        <v>sélectionnés</v>
      </c>
      <c r="G100" s="29" t="str">
        <f>field_selected</f>
        <v>Moho</v>
      </c>
      <c r="I100" s="30">
        <f ca="1">SUM($L100:$BS100)</f>
        <v>0</v>
      </c>
      <c r="J100" s="26" t="s">
        <v>42</v>
      </c>
      <c r="K100" s="7" t="s">
        <v>659</v>
      </c>
      <c r="L100" s="18">
        <f t="shared" ref="L100:Z100" ca="1" si="19">OFFSET(L$100,MATCH(field_selected,list_FieldName,0)+1,0)</f>
        <v>0</v>
      </c>
      <c r="M100" s="18">
        <f t="shared" ca="1" si="19"/>
        <v>0</v>
      </c>
      <c r="N100" s="18">
        <f t="shared" ca="1" si="19"/>
        <v>0</v>
      </c>
      <c r="O100" s="18">
        <f t="shared" ca="1" si="19"/>
        <v>0</v>
      </c>
      <c r="P100" s="18">
        <f t="shared" ca="1" si="19"/>
        <v>0</v>
      </c>
      <c r="Q100" s="18">
        <f t="shared" ca="1" si="19"/>
        <v>0</v>
      </c>
      <c r="R100" s="18">
        <f t="shared" ca="1" si="19"/>
        <v>0</v>
      </c>
      <c r="S100" s="18">
        <f t="shared" ca="1" si="19"/>
        <v>0</v>
      </c>
      <c r="T100" s="18">
        <f t="shared" ca="1" si="19"/>
        <v>0</v>
      </c>
      <c r="U100" s="18">
        <f t="shared" ca="1" si="19"/>
        <v>0</v>
      </c>
      <c r="V100" s="18">
        <f t="shared" ca="1" si="19"/>
        <v>0</v>
      </c>
      <c r="W100" s="18">
        <f t="shared" ca="1" si="19"/>
        <v>0</v>
      </c>
      <c r="X100" s="18">
        <f t="shared" ca="1" si="19"/>
        <v>0</v>
      </c>
      <c r="Y100" s="18">
        <f t="shared" ca="1" si="19"/>
        <v>0</v>
      </c>
      <c r="Z100" s="18">
        <f t="shared" ca="1" si="19"/>
        <v>0</v>
      </c>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c r="BA100" s="18"/>
      <c r="BB100" s="18"/>
      <c r="BC100" s="18"/>
      <c r="BD100" s="18"/>
      <c r="BE100" s="18"/>
      <c r="BF100" s="18"/>
      <c r="BG100" s="18"/>
      <c r="BH100" s="18"/>
      <c r="BI100" s="18"/>
      <c r="BJ100" s="18"/>
      <c r="BK100" s="18"/>
      <c r="BL100" s="18"/>
      <c r="BM100" s="18"/>
      <c r="BN100" s="18"/>
      <c r="BO100" s="18"/>
      <c r="BP100" s="18"/>
      <c r="BQ100" s="18"/>
      <c r="BR100" s="18"/>
      <c r="BS100" s="18"/>
    </row>
    <row r="101" spans="3:93" outlineLevel="1" x14ac:dyDescent="0.2">
      <c r="J101" s="26"/>
    </row>
    <row r="102" spans="3:93" outlineLevel="1" x14ac:dyDescent="0.2">
      <c r="C102" s="27">
        <v>1</v>
      </c>
      <c r="D102" t="str">
        <f t="array" ref="D102:D106">list_FieldName</f>
        <v>Nkossa</v>
      </c>
      <c r="I102" s="30">
        <f>SUM($L102:$BS102)</f>
        <v>16.17104648204247</v>
      </c>
      <c r="J102" s="26" t="s">
        <v>42</v>
      </c>
      <c r="L102" s="28">
        <v>1.269476</v>
      </c>
      <c r="M102" s="28">
        <v>1.825771</v>
      </c>
      <c r="N102" s="28">
        <v>1.4945170000000001</v>
      </c>
      <c r="O102" s="28">
        <v>2.006024</v>
      </c>
      <c r="P102" s="28">
        <v>1.2955760000000001</v>
      </c>
      <c r="Q102" s="28">
        <v>0.92556799999999995</v>
      </c>
      <c r="R102" s="28">
        <v>1.161818</v>
      </c>
      <c r="S102" s="28">
        <f>S72</f>
        <v>1.2279</v>
      </c>
      <c r="T102" s="18">
        <f>T72</f>
        <v>1.1419469999999998</v>
      </c>
      <c r="U102" s="18">
        <f t="shared" ref="U102:X103" si="20">U72</f>
        <v>1.0620107099999998</v>
      </c>
      <c r="V102" s="18">
        <f t="shared" si="20"/>
        <v>0.98766996029999976</v>
      </c>
      <c r="W102" s="18">
        <f t="shared" si="20"/>
        <v>0.91853306307899973</v>
      </c>
      <c r="X102" s="18">
        <f t="shared" si="20"/>
        <v>0.85423574866346974</v>
      </c>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c r="BA102" s="18"/>
      <c r="BB102" s="18"/>
      <c r="BC102" s="18"/>
      <c r="BD102" s="18"/>
      <c r="BE102" s="18"/>
      <c r="BF102" s="18"/>
      <c r="BG102" s="18"/>
      <c r="BH102" s="18"/>
      <c r="BI102" s="18"/>
      <c r="BJ102" s="18"/>
      <c r="BK102" s="18"/>
      <c r="BL102" s="18"/>
      <c r="BM102" s="18"/>
      <c r="BN102" s="18"/>
      <c r="BO102" s="18"/>
      <c r="BP102" s="18"/>
      <c r="BQ102" s="18"/>
      <c r="BR102" s="18"/>
      <c r="BS102" s="18"/>
      <c r="BT102" s="25"/>
      <c r="BU102" s="25"/>
      <c r="BV102" s="25"/>
      <c r="BW102" s="25"/>
      <c r="BX102" s="25"/>
      <c r="BY102" s="25"/>
      <c r="BZ102" s="25"/>
      <c r="CA102" s="25"/>
      <c r="CB102" s="25"/>
      <c r="CC102" s="25"/>
      <c r="CD102" s="25"/>
      <c r="CE102" s="25"/>
      <c r="CF102" s="25"/>
      <c r="CG102" s="25"/>
      <c r="CH102" s="25"/>
      <c r="CI102" s="25"/>
      <c r="CJ102" s="25"/>
      <c r="CK102" s="25"/>
      <c r="CL102" s="25"/>
      <c r="CM102" s="25"/>
      <c r="CN102" s="25"/>
      <c r="CO102" s="25"/>
    </row>
    <row r="103" spans="3:93" outlineLevel="1" x14ac:dyDescent="0.2">
      <c r="C103" s="27">
        <f>C102+1</f>
        <v>2</v>
      </c>
      <c r="D103" t="str">
        <v>Nsoko</v>
      </c>
      <c r="I103" s="30">
        <f>SUM($L103:$BS103)</f>
        <v>1.5487282667142654</v>
      </c>
      <c r="J103" s="26" t="s">
        <v>42</v>
      </c>
      <c r="L103" s="28">
        <v>6.8948999999999996E-2</v>
      </c>
      <c r="M103" s="28">
        <v>6.8847000000000005E-2</v>
      </c>
      <c r="N103" s="28">
        <v>0.10581699999999999</v>
      </c>
      <c r="O103" s="28">
        <v>9.7638000000000003E-2</v>
      </c>
      <c r="P103" s="28">
        <v>0.30085499999999998</v>
      </c>
      <c r="Q103" s="28">
        <v>6.2244000000000001E-2</v>
      </c>
      <c r="R103" s="28">
        <v>2.843E-2</v>
      </c>
      <c r="S103" s="28">
        <f>S73</f>
        <v>0.16179827299999999</v>
      </c>
      <c r="T103" s="18">
        <f>T73</f>
        <v>0.15047239388999997</v>
      </c>
      <c r="U103" s="18">
        <f t="shared" si="20"/>
        <v>0.13993932631769995</v>
      </c>
      <c r="V103" s="18">
        <f t="shared" si="20"/>
        <v>0.13014357347546096</v>
      </c>
      <c r="W103" s="18">
        <f t="shared" si="20"/>
        <v>0.12103352333217869</v>
      </c>
      <c r="X103" s="18">
        <f t="shared" si="20"/>
        <v>0.11256117669892618</v>
      </c>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c r="AZ103" s="18"/>
      <c r="BA103" s="18"/>
      <c r="BB103" s="18"/>
      <c r="BC103" s="18"/>
      <c r="BD103" s="18"/>
      <c r="BE103" s="18"/>
      <c r="BF103" s="18"/>
      <c r="BG103" s="18"/>
      <c r="BH103" s="18"/>
      <c r="BI103" s="18"/>
      <c r="BJ103" s="18"/>
      <c r="BK103" s="18"/>
      <c r="BL103" s="18"/>
      <c r="BM103" s="18"/>
      <c r="BN103" s="18"/>
      <c r="BO103" s="18"/>
      <c r="BP103" s="18"/>
      <c r="BQ103" s="18"/>
      <c r="BR103" s="18"/>
      <c r="BS103" s="18"/>
    </row>
    <row r="104" spans="3:93" outlineLevel="1" x14ac:dyDescent="0.2">
      <c r="C104" s="27">
        <f t="shared" ref="C104:C106" si="21">C103+1</f>
        <v>3</v>
      </c>
      <c r="D104" t="str">
        <v>Moho</v>
      </c>
      <c r="I104" s="30">
        <f>SUM($L104:$BS104)</f>
        <v>0</v>
      </c>
      <c r="J104" s="26" t="s">
        <v>42</v>
      </c>
      <c r="L104" s="28"/>
      <c r="M104" s="28"/>
      <c r="N104" s="28"/>
      <c r="O104" s="28"/>
      <c r="P104" s="28"/>
      <c r="Q104" s="28"/>
      <c r="R104" s="28"/>
      <c r="S104" s="28"/>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c r="AZ104" s="18"/>
      <c r="BA104" s="18"/>
      <c r="BB104" s="18"/>
      <c r="BC104" s="18"/>
      <c r="BD104" s="18"/>
      <c r="BE104" s="18"/>
      <c r="BF104" s="18"/>
      <c r="BG104" s="18"/>
      <c r="BH104" s="18"/>
      <c r="BI104" s="18"/>
      <c r="BJ104" s="18"/>
      <c r="BK104" s="18"/>
      <c r="BL104" s="18"/>
      <c r="BM104" s="18"/>
      <c r="BN104" s="18"/>
      <c r="BO104" s="18"/>
      <c r="BP104" s="18"/>
      <c r="BQ104" s="18"/>
      <c r="BR104" s="18"/>
      <c r="BS104" s="18"/>
    </row>
    <row r="105" spans="3:93" outlineLevel="1" x14ac:dyDescent="0.2">
      <c r="C105" s="27">
        <f t="shared" si="21"/>
        <v>4</v>
      </c>
      <c r="D105" t="str">
        <v>KLL</v>
      </c>
      <c r="I105" s="30">
        <f>SUM($L105:$BS105)</f>
        <v>0</v>
      </c>
      <c r="J105" s="26" t="s">
        <v>42</v>
      </c>
      <c r="L105" s="28"/>
      <c r="M105" s="28"/>
      <c r="N105" s="28"/>
      <c r="O105" s="28"/>
      <c r="P105" s="28"/>
      <c r="Q105" s="28"/>
      <c r="R105" s="28"/>
      <c r="S105" s="2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c r="BA105" s="18"/>
      <c r="BB105" s="18"/>
      <c r="BC105" s="18"/>
      <c r="BD105" s="18"/>
      <c r="BE105" s="18"/>
      <c r="BF105" s="18"/>
      <c r="BG105" s="18"/>
      <c r="BH105" s="18"/>
      <c r="BI105" s="18"/>
      <c r="BJ105" s="18"/>
      <c r="BK105" s="18"/>
      <c r="BL105" s="18"/>
      <c r="BM105" s="18"/>
      <c r="BN105" s="18"/>
      <c r="BO105" s="18"/>
      <c r="BP105" s="18"/>
      <c r="BQ105" s="18"/>
      <c r="BR105" s="18"/>
      <c r="BS105" s="18"/>
    </row>
    <row r="106" spans="3:93" outlineLevel="1" x14ac:dyDescent="0.2">
      <c r="C106" s="27">
        <f t="shared" si="21"/>
        <v>5</v>
      </c>
      <c r="D106">
        <v>0</v>
      </c>
      <c r="I106" s="30">
        <f>SUM($L106:$BS106)</f>
        <v>0</v>
      </c>
      <c r="J106" s="26"/>
      <c r="L106" s="28"/>
      <c r="M106" s="28"/>
      <c r="N106" s="28"/>
      <c r="O106" s="28"/>
      <c r="P106" s="28"/>
      <c r="Q106" s="28"/>
      <c r="R106" s="28"/>
      <c r="S106" s="2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c r="BG106" s="18"/>
      <c r="BH106" s="18"/>
      <c r="BI106" s="18"/>
      <c r="BJ106" s="18"/>
      <c r="BK106" s="18"/>
      <c r="BL106" s="18"/>
      <c r="BM106" s="18"/>
      <c r="BN106" s="18"/>
      <c r="BO106" s="18"/>
      <c r="BP106" s="18"/>
      <c r="BQ106" s="18"/>
      <c r="BR106" s="18"/>
      <c r="BS106" s="18"/>
    </row>
    <row r="107" spans="3:93" outlineLevel="1" x14ac:dyDescent="0.2">
      <c r="J107" s="26"/>
    </row>
    <row r="108" spans="3:93" outlineLevel="1" x14ac:dyDescent="0.2">
      <c r="C108" s="11" t="str">
        <f>CHOOSE(db_ML_selected,'Liste Traduction'!B190,'Liste Traduction'!C190)</f>
        <v>Ventes gazières</v>
      </c>
      <c r="J108" s="26"/>
    </row>
    <row r="109" spans="3:93" outlineLevel="1" x14ac:dyDescent="0.2">
      <c r="D109" t="str">
        <f>D100</f>
        <v>sélectionnés</v>
      </c>
      <c r="G109" s="29" t="str">
        <f>field_selected</f>
        <v>Moho</v>
      </c>
      <c r="I109" s="30">
        <f ca="1">SUM($L109:$BS109)</f>
        <v>0</v>
      </c>
      <c r="J109" s="26" t="s">
        <v>653</v>
      </c>
      <c r="K109" s="7" t="s">
        <v>660</v>
      </c>
      <c r="L109" s="18">
        <f t="shared" ref="L109:Z109" ca="1" si="22">OFFSET(L$109,MATCH(field_selected,list_FieldName,0)+1,0)</f>
        <v>0</v>
      </c>
      <c r="M109" s="18">
        <f t="shared" ca="1" si="22"/>
        <v>0</v>
      </c>
      <c r="N109" s="18">
        <f t="shared" ca="1" si="22"/>
        <v>0</v>
      </c>
      <c r="O109" s="18">
        <f t="shared" ca="1" si="22"/>
        <v>0</v>
      </c>
      <c r="P109" s="18">
        <f t="shared" ca="1" si="22"/>
        <v>0</v>
      </c>
      <c r="Q109" s="18">
        <f t="shared" ca="1" si="22"/>
        <v>0</v>
      </c>
      <c r="R109" s="18">
        <f t="shared" ca="1" si="22"/>
        <v>0</v>
      </c>
      <c r="S109" s="18">
        <f t="shared" ca="1" si="22"/>
        <v>0</v>
      </c>
      <c r="T109" s="18">
        <f t="shared" ca="1" si="22"/>
        <v>0</v>
      </c>
      <c r="U109" s="18">
        <f t="shared" ca="1" si="22"/>
        <v>0</v>
      </c>
      <c r="V109" s="18">
        <f t="shared" ca="1" si="22"/>
        <v>0</v>
      </c>
      <c r="W109" s="18">
        <f t="shared" ca="1" si="22"/>
        <v>0</v>
      </c>
      <c r="X109" s="18">
        <f t="shared" ca="1" si="22"/>
        <v>0</v>
      </c>
      <c r="Y109" s="18">
        <f t="shared" ca="1" si="22"/>
        <v>0</v>
      </c>
      <c r="Z109" s="18">
        <f t="shared" ca="1" si="22"/>
        <v>0</v>
      </c>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c r="AZ109" s="18"/>
      <c r="BA109" s="18"/>
      <c r="BB109" s="18"/>
      <c r="BC109" s="18"/>
      <c r="BD109" s="18"/>
      <c r="BE109" s="18"/>
      <c r="BF109" s="18"/>
      <c r="BG109" s="18"/>
      <c r="BH109" s="18"/>
      <c r="BI109" s="18"/>
      <c r="BJ109" s="18"/>
      <c r="BK109" s="18"/>
      <c r="BL109" s="18"/>
      <c r="BM109" s="18"/>
      <c r="BN109" s="18"/>
      <c r="BO109" s="18"/>
      <c r="BP109" s="18"/>
      <c r="BQ109" s="18"/>
      <c r="BR109" s="18"/>
      <c r="BS109" s="18"/>
    </row>
    <row r="110" spans="3:93" outlineLevel="1" x14ac:dyDescent="0.2">
      <c r="J110" s="26"/>
    </row>
    <row r="111" spans="3:93" outlineLevel="1" x14ac:dyDescent="0.2">
      <c r="C111" s="27">
        <v>1</v>
      </c>
      <c r="D111" t="str">
        <f t="array" ref="D111:D115">list_FieldName</f>
        <v>Nkossa</v>
      </c>
      <c r="I111" s="30">
        <f>SUM($L111:$BS111)</f>
        <v>0</v>
      </c>
      <c r="J111" s="26" t="s">
        <v>653</v>
      </c>
      <c r="L111" s="28"/>
      <c r="M111" s="28"/>
      <c r="N111" s="28"/>
      <c r="O111" s="28"/>
      <c r="P111" s="28"/>
      <c r="Q111" s="28"/>
      <c r="R111" s="28"/>
      <c r="S111" s="28"/>
      <c r="T111" s="18"/>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c r="AZ111" s="18"/>
      <c r="BA111" s="18"/>
      <c r="BB111" s="18"/>
      <c r="BC111" s="18"/>
      <c r="BD111" s="18"/>
      <c r="BE111" s="18"/>
      <c r="BF111" s="18"/>
      <c r="BG111" s="18"/>
      <c r="BH111" s="18"/>
      <c r="BI111" s="18"/>
      <c r="BJ111" s="18"/>
      <c r="BK111" s="18"/>
      <c r="BL111" s="18"/>
      <c r="BM111" s="18"/>
      <c r="BN111" s="18"/>
      <c r="BO111" s="18"/>
      <c r="BP111" s="18"/>
      <c r="BQ111" s="18"/>
      <c r="BR111" s="18"/>
      <c r="BS111" s="18"/>
      <c r="BT111" s="25"/>
      <c r="BU111" s="25"/>
      <c r="BV111" s="25"/>
      <c r="BW111" s="25"/>
      <c r="BX111" s="25"/>
      <c r="BY111" s="25"/>
      <c r="BZ111" s="25"/>
      <c r="CA111" s="25"/>
      <c r="CB111" s="25"/>
      <c r="CC111" s="25"/>
      <c r="CD111" s="25"/>
      <c r="CE111" s="25"/>
      <c r="CF111" s="25"/>
      <c r="CG111" s="25"/>
      <c r="CH111" s="25"/>
      <c r="CI111" s="25"/>
      <c r="CJ111" s="25"/>
      <c r="CK111" s="25"/>
      <c r="CL111" s="25"/>
      <c r="CM111" s="25"/>
      <c r="CN111" s="25"/>
      <c r="CO111" s="25"/>
    </row>
    <row r="112" spans="3:93" outlineLevel="1" x14ac:dyDescent="0.2">
      <c r="C112" s="27">
        <f>C111+1</f>
        <v>2</v>
      </c>
      <c r="D112" t="str">
        <v>Nsoko</v>
      </c>
      <c r="I112" s="30">
        <f>SUM($L112:$BS112)</f>
        <v>0</v>
      </c>
      <c r="J112" s="26" t="s">
        <v>653</v>
      </c>
      <c r="L112" s="28"/>
      <c r="M112" s="28"/>
      <c r="N112" s="28"/>
      <c r="O112" s="28"/>
      <c r="P112" s="28"/>
      <c r="Q112" s="28"/>
      <c r="R112" s="28"/>
      <c r="S112" s="28"/>
      <c r="T112" s="18"/>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c r="AZ112" s="18"/>
      <c r="BA112" s="18"/>
      <c r="BB112" s="18"/>
      <c r="BC112" s="18"/>
      <c r="BD112" s="18"/>
      <c r="BE112" s="18"/>
      <c r="BF112" s="18"/>
      <c r="BG112" s="18"/>
      <c r="BH112" s="18"/>
      <c r="BI112" s="18"/>
      <c r="BJ112" s="18"/>
      <c r="BK112" s="18"/>
      <c r="BL112" s="18"/>
      <c r="BM112" s="18"/>
      <c r="BN112" s="18"/>
      <c r="BO112" s="18"/>
      <c r="BP112" s="18"/>
      <c r="BQ112" s="18"/>
      <c r="BR112" s="18"/>
      <c r="BS112" s="18"/>
    </row>
    <row r="113" spans="1:16384" outlineLevel="1" x14ac:dyDescent="0.2">
      <c r="C113" s="27">
        <f t="shared" ref="C113:C115" si="23">C112+1</f>
        <v>3</v>
      </c>
      <c r="D113" t="str">
        <v>Moho</v>
      </c>
      <c r="I113" s="30">
        <f>SUM($L113:$BS113)</f>
        <v>0</v>
      </c>
      <c r="J113" s="26" t="s">
        <v>653</v>
      </c>
      <c r="L113" s="28"/>
      <c r="M113" s="28"/>
      <c r="N113" s="28"/>
      <c r="O113" s="28"/>
      <c r="P113" s="28"/>
      <c r="Q113" s="28"/>
      <c r="R113" s="28"/>
      <c r="S113" s="28"/>
      <c r="T113" s="18"/>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c r="AZ113" s="18"/>
      <c r="BA113" s="18"/>
      <c r="BB113" s="18"/>
      <c r="BC113" s="18"/>
      <c r="BD113" s="18"/>
      <c r="BE113" s="18"/>
      <c r="BF113" s="18"/>
      <c r="BG113" s="18"/>
      <c r="BH113" s="18"/>
      <c r="BI113" s="18"/>
      <c r="BJ113" s="18"/>
      <c r="BK113" s="18"/>
      <c r="BL113" s="18"/>
      <c r="BM113" s="18"/>
      <c r="BN113" s="18"/>
      <c r="BO113" s="18"/>
      <c r="BP113" s="18"/>
      <c r="BQ113" s="18"/>
      <c r="BR113" s="18"/>
      <c r="BS113" s="18"/>
    </row>
    <row r="114" spans="1:16384" outlineLevel="1" x14ac:dyDescent="0.2">
      <c r="C114" s="27">
        <f t="shared" si="23"/>
        <v>4</v>
      </c>
      <c r="D114" t="str">
        <v>KLL</v>
      </c>
      <c r="I114" s="30">
        <f>SUM($L114:$BS114)</f>
        <v>0</v>
      </c>
      <c r="J114" s="26" t="s">
        <v>653</v>
      </c>
      <c r="L114" s="28"/>
      <c r="M114" s="28"/>
      <c r="N114" s="28"/>
      <c r="O114" s="28"/>
      <c r="P114" s="28"/>
      <c r="Q114" s="28"/>
      <c r="R114" s="28"/>
      <c r="S114" s="28"/>
      <c r="T114" s="18"/>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c r="AZ114" s="18"/>
      <c r="BA114" s="18"/>
      <c r="BB114" s="18"/>
      <c r="BC114" s="18"/>
      <c r="BD114" s="18"/>
      <c r="BE114" s="18"/>
      <c r="BF114" s="18"/>
      <c r="BG114" s="18"/>
      <c r="BH114" s="18"/>
      <c r="BI114" s="18"/>
      <c r="BJ114" s="18"/>
      <c r="BK114" s="18"/>
      <c r="BL114" s="18"/>
      <c r="BM114" s="18"/>
      <c r="BN114" s="18"/>
      <c r="BO114" s="18"/>
      <c r="BP114" s="18"/>
      <c r="BQ114" s="18"/>
      <c r="BR114" s="18"/>
      <c r="BS114" s="18"/>
    </row>
    <row r="115" spans="1:16384" outlineLevel="1" x14ac:dyDescent="0.2">
      <c r="C115" s="27">
        <f t="shared" si="23"/>
        <v>5</v>
      </c>
      <c r="D115">
        <v>0</v>
      </c>
      <c r="I115" s="30">
        <f>SUM($L115:$BS115)</f>
        <v>7.0220484578474576</v>
      </c>
      <c r="J115" s="26" t="s">
        <v>653</v>
      </c>
      <c r="L115" s="28">
        <f>L85</f>
        <v>0</v>
      </c>
      <c r="M115" s="28">
        <f t="shared" ref="M115:S115" si="24">M85</f>
        <v>8.628911029682812E-2</v>
      </c>
      <c r="N115" s="28">
        <f t="shared" si="24"/>
        <v>0.42813948700000004</v>
      </c>
      <c r="O115" s="28">
        <f t="shared" si="24"/>
        <v>0.65880000000000005</v>
      </c>
      <c r="P115" s="28">
        <f t="shared" si="24"/>
        <v>0.59554779799999991</v>
      </c>
      <c r="Q115" s="28">
        <f t="shared" si="24"/>
        <v>0.64051102599999998</v>
      </c>
      <c r="R115" s="28">
        <f t="shared" si="24"/>
        <v>6.4051102600000003E-7</v>
      </c>
      <c r="S115" s="28">
        <f t="shared" si="24"/>
        <v>0.80879999999999996</v>
      </c>
      <c r="T115" s="18">
        <f>T85</f>
        <v>0.79179632248939169</v>
      </c>
      <c r="U115" s="18">
        <f t="shared" ref="U115:X115" si="25">U85</f>
        <v>0.77595473833097595</v>
      </c>
      <c r="V115" s="18">
        <f t="shared" si="25"/>
        <v>0.76039603960396029</v>
      </c>
      <c r="W115" s="18">
        <f t="shared" si="25"/>
        <v>0.74540311173974538</v>
      </c>
      <c r="X115" s="18">
        <f t="shared" si="25"/>
        <v>0.73041018387553036</v>
      </c>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c r="AZ115" s="18"/>
      <c r="BA115" s="18"/>
      <c r="BB115" s="18"/>
      <c r="BC115" s="18"/>
      <c r="BD115" s="18"/>
      <c r="BE115" s="18"/>
      <c r="BF115" s="18"/>
      <c r="BG115" s="18"/>
      <c r="BH115" s="18"/>
      <c r="BI115" s="18"/>
      <c r="BJ115" s="18"/>
      <c r="BK115" s="18"/>
      <c r="BL115" s="18"/>
      <c r="BM115" s="18"/>
      <c r="BN115" s="18"/>
      <c r="BO115" s="18"/>
      <c r="BP115" s="18"/>
      <c r="BQ115" s="18"/>
      <c r="BR115" s="18"/>
      <c r="BS115" s="18"/>
    </row>
    <row r="116" spans="1:16384" outlineLevel="1" x14ac:dyDescent="0.2"/>
    <row r="117" spans="1:16384" ht="16" thickBot="1" x14ac:dyDescent="0.25"/>
    <row r="118" spans="1:16384" ht="22" thickBot="1" x14ac:dyDescent="0.25">
      <c r="A118" s="8"/>
      <c r="B118" s="221" t="str">
        <f>CHOOSE(db_ML_selected,'Liste Traduction'!B20,'Liste Traduction'!C20)</f>
        <v>Prix</v>
      </c>
      <c r="C118" s="222"/>
      <c r="D118" s="222"/>
      <c r="E118" s="223"/>
      <c r="F118" s="9"/>
      <c r="G118" s="9"/>
      <c r="H118" s="9"/>
      <c r="I118" s="9"/>
      <c r="J118" s="9"/>
      <c r="K118" s="10"/>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row>
    <row r="119" spans="1:16384" outlineLevel="1" x14ac:dyDescent="0.2"/>
    <row r="120" spans="1:16384" outlineLevel="1" x14ac:dyDescent="0.2">
      <c r="C120" s="11" t="str">
        <f>CHOOSE(db_ML_selected,'Liste Traduction'!B191,'Liste Traduction'!C191)</f>
        <v>Prix du pétrole</v>
      </c>
    </row>
    <row r="121" spans="1:16384" outlineLevel="1" x14ac:dyDescent="0.2">
      <c r="D121" t="str">
        <f>CHOOSE(db_ML_selected,'Liste Traduction'!B192,'Liste Traduction'!C192)</f>
        <v>Prix du pétrole sélectionné (nominal)</v>
      </c>
      <c r="G121" s="29" t="str">
        <f>field_selected</f>
        <v>Moho</v>
      </c>
      <c r="J121" s="26" t="s">
        <v>46</v>
      </c>
      <c r="K121" s="7" t="s">
        <v>48</v>
      </c>
      <c r="L121" s="18">
        <f t="shared" ref="L121:Z121" ca="1" si="26">OFFSET(L$121,MATCH(field_selected,list_FieldName,0)+1,0)</f>
        <v>105.56594625304467</v>
      </c>
      <c r="M121" s="18">
        <f t="shared" ca="1" si="26"/>
        <v>96.087837772974183</v>
      </c>
      <c r="N121" s="18">
        <f t="shared" ca="1" si="26"/>
        <v>47.83306661001685</v>
      </c>
      <c r="O121" s="18">
        <f t="shared" ca="1" si="26"/>
        <v>40.514178138774625</v>
      </c>
      <c r="P121" s="18">
        <f t="shared" ca="1" si="26"/>
        <v>54.30988909203591</v>
      </c>
      <c r="Q121" s="18">
        <f t="shared" ca="1" si="26"/>
        <v>68.447232066727068</v>
      </c>
      <c r="R121" s="18">
        <f t="shared" ca="1" si="26"/>
        <v>64.497153078556039</v>
      </c>
      <c r="S121" s="18">
        <f t="shared" ca="1" si="26"/>
        <v>40.43</v>
      </c>
      <c r="T121" s="18">
        <f t="shared" ca="1" si="26"/>
        <v>66.5184</v>
      </c>
      <c r="U121" s="18">
        <f t="shared" ca="1" si="26"/>
        <v>71.400000000000006</v>
      </c>
      <c r="V121" s="18">
        <f t="shared" ca="1" si="26"/>
        <v>72.828000000000003</v>
      </c>
      <c r="W121" s="18">
        <f t="shared" ca="1" si="26"/>
        <v>74.284559999999999</v>
      </c>
      <c r="X121" s="18">
        <f t="shared" ca="1" si="26"/>
        <v>75.770251200000004</v>
      </c>
      <c r="Y121" s="18">
        <f t="shared" ca="1" si="26"/>
        <v>0</v>
      </c>
      <c r="Z121" s="18">
        <f t="shared" ca="1" si="26"/>
        <v>0</v>
      </c>
      <c r="AA121" s="18"/>
      <c r="AB121" s="18"/>
      <c r="AC121" s="18"/>
      <c r="AD121" s="18"/>
      <c r="AE121" s="18"/>
      <c r="AF121" s="18"/>
      <c r="AG121" s="18"/>
      <c r="AH121" s="18"/>
      <c r="AI121" s="18"/>
      <c r="AJ121" s="18"/>
      <c r="AK121" s="18"/>
      <c r="AL121" s="18"/>
      <c r="AM121" s="18"/>
      <c r="AN121" s="18"/>
      <c r="AO121" s="18"/>
      <c r="AP121" s="18"/>
      <c r="AQ121" s="18"/>
      <c r="AR121" s="18"/>
      <c r="AS121" s="18"/>
      <c r="AT121" s="18"/>
      <c r="AU121" s="18"/>
      <c r="AV121" s="18"/>
      <c r="AW121" s="18"/>
      <c r="AX121" s="18"/>
      <c r="AY121" s="18"/>
      <c r="AZ121" s="18"/>
      <c r="BA121" s="18"/>
      <c r="BB121" s="18"/>
      <c r="BC121" s="18"/>
      <c r="BD121" s="18"/>
      <c r="BE121" s="18"/>
      <c r="BF121" s="18"/>
      <c r="BG121" s="18"/>
      <c r="BH121" s="18"/>
      <c r="BI121" s="18"/>
      <c r="BJ121" s="18"/>
      <c r="BK121" s="18"/>
      <c r="BL121" s="18"/>
      <c r="BM121" s="18"/>
      <c r="BN121" s="18"/>
      <c r="BO121" s="18"/>
      <c r="BP121" s="18"/>
      <c r="BQ121" s="18"/>
      <c r="BR121" s="18"/>
      <c r="BS121" s="18"/>
    </row>
    <row r="122" spans="1:16384" outlineLevel="1" x14ac:dyDescent="0.2">
      <c r="E122" t="str">
        <f>CHOOSE(db_ML_selected,'Liste Traduction'!B193,'Liste Traduction'!C193)</f>
        <v>Prix sélectionné</v>
      </c>
      <c r="G122" s="168">
        <f>IF(df_price_selector="Custom",df_custom_price,df_price_selector)</f>
        <v>70</v>
      </c>
      <c r="H122" s="16" t="s">
        <v>946</v>
      </c>
    </row>
    <row r="123" spans="1:16384" outlineLevel="1" x14ac:dyDescent="0.2">
      <c r="C123" s="27">
        <v>1</v>
      </c>
      <c r="D123" t="str" cm="1">
        <f t="array" ref="D123:D127">list_FieldName</f>
        <v>Nkossa</v>
      </c>
      <c r="J123" s="26" t="s">
        <v>46</v>
      </c>
      <c r="L123" s="28">
        <v>110.47853731971006</v>
      </c>
      <c r="M123" s="28">
        <v>97.113585750154002</v>
      </c>
      <c r="N123" s="28">
        <v>50.419480057823343</v>
      </c>
      <c r="O123" s="28">
        <v>44.986673720793931</v>
      </c>
      <c r="P123" s="28">
        <v>52.79293074914132</v>
      </c>
      <c r="Q123" s="28">
        <v>73.033536931121034</v>
      </c>
      <c r="R123" s="28">
        <v>63.659895132869302</v>
      </c>
      <c r="S123" s="28">
        <v>41.00483333333333</v>
      </c>
      <c r="T123" s="18">
        <f>69.29*0.96</f>
        <v>66.5184</v>
      </c>
      <c r="U123" s="18">
        <f t="shared" ref="U123:X127" si="27">price_selected*(IA_infl_index)</f>
        <v>71.400000000000006</v>
      </c>
      <c r="V123" s="18">
        <f t="shared" si="27"/>
        <v>72.828000000000003</v>
      </c>
      <c r="W123" s="18">
        <f t="shared" si="27"/>
        <v>74.284559999999999</v>
      </c>
      <c r="X123" s="18">
        <f t="shared" si="27"/>
        <v>75.770251200000004</v>
      </c>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8"/>
      <c r="AV123" s="18"/>
      <c r="AW123" s="18"/>
      <c r="AX123" s="18"/>
      <c r="AY123" s="18"/>
      <c r="AZ123" s="18"/>
      <c r="BA123" s="18"/>
      <c r="BB123" s="18"/>
      <c r="BC123" s="18"/>
      <c r="BD123" s="18"/>
      <c r="BE123" s="18"/>
      <c r="BF123" s="18"/>
      <c r="BG123" s="18"/>
      <c r="BH123" s="18"/>
      <c r="BI123" s="18"/>
      <c r="BJ123" s="18"/>
      <c r="BK123" s="18"/>
      <c r="BL123" s="18"/>
      <c r="BM123" s="18"/>
      <c r="BN123" s="18"/>
      <c r="BO123" s="18"/>
      <c r="BP123" s="18"/>
      <c r="BQ123" s="18"/>
      <c r="BR123" s="18"/>
      <c r="BS123" s="18"/>
    </row>
    <row r="124" spans="1:16384" outlineLevel="1" x14ac:dyDescent="0.2">
      <c r="C124" s="27">
        <f>C123+1</f>
        <v>2</v>
      </c>
      <c r="D124" t="str">
        <v>Nsoko</v>
      </c>
      <c r="J124" s="26" t="s">
        <v>46</v>
      </c>
      <c r="L124" s="28">
        <v>110.63020024705375</v>
      </c>
      <c r="M124" s="28">
        <v>99.296178547444811</v>
      </c>
      <c r="N124" s="28">
        <v>50.940892120307119</v>
      </c>
      <c r="O124" s="28">
        <v>44.240222864699696</v>
      </c>
      <c r="P124" s="28">
        <v>52.890568232608757</v>
      </c>
      <c r="Q124" s="28">
        <v>70.855180980118988</v>
      </c>
      <c r="R124" s="28">
        <v>63.030585726860757</v>
      </c>
      <c r="S124" s="28">
        <v>41.00483333333333</v>
      </c>
      <c r="T124" s="18">
        <f t="shared" ref="T124:T127" si="28">69.29*0.96</f>
        <v>66.5184</v>
      </c>
      <c r="U124" s="18">
        <f t="shared" si="27"/>
        <v>71.400000000000006</v>
      </c>
      <c r="V124" s="18">
        <f t="shared" si="27"/>
        <v>72.828000000000003</v>
      </c>
      <c r="W124" s="18">
        <f t="shared" si="27"/>
        <v>74.284559999999999</v>
      </c>
      <c r="X124" s="18">
        <f t="shared" si="27"/>
        <v>75.770251200000004</v>
      </c>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8"/>
      <c r="AV124" s="18"/>
      <c r="AW124" s="18"/>
      <c r="AX124" s="18"/>
      <c r="AY124" s="18"/>
      <c r="AZ124" s="18"/>
      <c r="BA124" s="18"/>
      <c r="BB124" s="18"/>
      <c r="BC124" s="18"/>
      <c r="BD124" s="18"/>
      <c r="BE124" s="18"/>
      <c r="BF124" s="18"/>
      <c r="BG124" s="18"/>
      <c r="BH124" s="18"/>
      <c r="BI124" s="18"/>
      <c r="BJ124" s="18"/>
      <c r="BK124" s="18"/>
      <c r="BL124" s="18"/>
      <c r="BM124" s="18"/>
      <c r="BN124" s="18"/>
      <c r="BO124" s="18"/>
      <c r="BP124" s="18"/>
      <c r="BQ124" s="18"/>
      <c r="BR124" s="18"/>
      <c r="BS124" s="18"/>
    </row>
    <row r="125" spans="1:16384" outlineLevel="1" x14ac:dyDescent="0.2">
      <c r="C125" s="27">
        <f t="shared" ref="C125:C127" si="29">C124+1</f>
        <v>3</v>
      </c>
      <c r="D125" t="str">
        <v>Moho</v>
      </c>
      <c r="J125" s="26" t="s">
        <v>46</v>
      </c>
      <c r="L125" s="28">
        <v>105.56594625304467</v>
      </c>
      <c r="M125" s="28">
        <v>96.087837772974183</v>
      </c>
      <c r="N125" s="28">
        <v>47.83306661001685</v>
      </c>
      <c r="O125" s="28">
        <v>40.514178138774625</v>
      </c>
      <c r="P125" s="28">
        <v>54.30988909203591</v>
      </c>
      <c r="Q125" s="28">
        <v>68.447232066727068</v>
      </c>
      <c r="R125" s="28">
        <v>64.497153078556039</v>
      </c>
      <c r="S125" s="28">
        <v>40.43</v>
      </c>
      <c r="T125" s="18">
        <f t="shared" si="28"/>
        <v>66.5184</v>
      </c>
      <c r="U125" s="18">
        <f t="shared" si="27"/>
        <v>71.400000000000006</v>
      </c>
      <c r="V125" s="18">
        <f t="shared" si="27"/>
        <v>72.828000000000003</v>
      </c>
      <c r="W125" s="18">
        <f t="shared" si="27"/>
        <v>74.284559999999999</v>
      </c>
      <c r="X125" s="18">
        <f t="shared" si="27"/>
        <v>75.770251200000004</v>
      </c>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8"/>
      <c r="AV125" s="18"/>
      <c r="AW125" s="18"/>
      <c r="AX125" s="18"/>
      <c r="AY125" s="18"/>
      <c r="AZ125" s="18"/>
      <c r="BA125" s="18"/>
      <c r="BB125" s="18"/>
      <c r="BC125" s="18"/>
      <c r="BD125" s="18"/>
      <c r="BE125" s="18"/>
      <c r="BF125" s="18"/>
      <c r="BG125" s="18"/>
      <c r="BH125" s="18"/>
      <c r="BI125" s="18"/>
      <c r="BJ125" s="18"/>
      <c r="BK125" s="18"/>
      <c r="BL125" s="18"/>
      <c r="BM125" s="18"/>
      <c r="BN125" s="18"/>
      <c r="BO125" s="18"/>
      <c r="BP125" s="18"/>
      <c r="BQ125" s="18"/>
      <c r="BR125" s="18"/>
      <c r="BS125" s="18"/>
    </row>
    <row r="126" spans="1:16384" outlineLevel="1" x14ac:dyDescent="0.2">
      <c r="C126" s="27">
        <f t="shared" si="29"/>
        <v>4</v>
      </c>
      <c r="D126" t="str">
        <v>KLL</v>
      </c>
      <c r="J126" s="26" t="s">
        <v>46</v>
      </c>
      <c r="L126" s="28">
        <v>105.3131483179633</v>
      </c>
      <c r="M126" s="28">
        <v>94.482840461481686</v>
      </c>
      <c r="N126" s="28">
        <v>48.3622979358558</v>
      </c>
      <c r="O126" s="28">
        <v>40.053614345672159</v>
      </c>
      <c r="P126" s="28">
        <v>53.483847015730461</v>
      </c>
      <c r="Q126" s="28">
        <v>68.304647495597507</v>
      </c>
      <c r="R126" s="28">
        <v>64.508278946592398</v>
      </c>
      <c r="S126" s="28">
        <v>40.43</v>
      </c>
      <c r="T126" s="18">
        <f t="shared" si="28"/>
        <v>66.5184</v>
      </c>
      <c r="U126" s="18">
        <f t="shared" si="27"/>
        <v>71.400000000000006</v>
      </c>
      <c r="V126" s="18">
        <f t="shared" si="27"/>
        <v>72.828000000000003</v>
      </c>
      <c r="W126" s="18">
        <f t="shared" si="27"/>
        <v>74.284559999999999</v>
      </c>
      <c r="X126" s="18">
        <f t="shared" si="27"/>
        <v>75.770251200000004</v>
      </c>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18"/>
      <c r="AW126" s="18"/>
      <c r="AX126" s="18"/>
      <c r="AY126" s="18"/>
      <c r="AZ126" s="18"/>
      <c r="BA126" s="18"/>
      <c r="BB126" s="18"/>
      <c r="BC126" s="18"/>
      <c r="BD126" s="18"/>
      <c r="BE126" s="18"/>
      <c r="BF126" s="18"/>
      <c r="BG126" s="18"/>
      <c r="BH126" s="18"/>
      <c r="BI126" s="18"/>
      <c r="BJ126" s="18"/>
      <c r="BK126" s="18"/>
      <c r="BL126" s="18"/>
      <c r="BM126" s="18"/>
      <c r="BN126" s="18"/>
      <c r="BO126" s="18"/>
      <c r="BP126" s="18"/>
      <c r="BQ126" s="18"/>
      <c r="BR126" s="18"/>
      <c r="BS126" s="18"/>
    </row>
    <row r="127" spans="1:16384" outlineLevel="1" x14ac:dyDescent="0.2">
      <c r="C127" s="27">
        <f t="shared" si="29"/>
        <v>5</v>
      </c>
      <c r="D127">
        <v>0</v>
      </c>
      <c r="J127" s="26" t="s">
        <v>46</v>
      </c>
      <c r="L127" s="28"/>
      <c r="M127" s="28">
        <f>M123</f>
        <v>97.113585750154002</v>
      </c>
      <c r="N127" s="28">
        <f>N123</f>
        <v>50.419480057823343</v>
      </c>
      <c r="O127" s="28">
        <v>43.820750000000004</v>
      </c>
      <c r="P127" s="28">
        <v>54.210749999999997</v>
      </c>
      <c r="Q127" s="28">
        <v>70.636833333333342</v>
      </c>
      <c r="R127" s="28">
        <v>64.037416666666672</v>
      </c>
      <c r="S127" s="28">
        <v>41.00483333333333</v>
      </c>
      <c r="T127" s="18">
        <f t="shared" si="28"/>
        <v>66.5184</v>
      </c>
      <c r="U127" s="18">
        <f t="shared" si="27"/>
        <v>71.400000000000006</v>
      </c>
      <c r="V127" s="18">
        <f t="shared" si="27"/>
        <v>72.828000000000003</v>
      </c>
      <c r="W127" s="18">
        <f t="shared" si="27"/>
        <v>74.284559999999999</v>
      </c>
      <c r="X127" s="18">
        <f t="shared" si="27"/>
        <v>75.770251200000004</v>
      </c>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18"/>
      <c r="AX127" s="18"/>
      <c r="AY127" s="18"/>
      <c r="AZ127" s="18"/>
      <c r="BA127" s="18"/>
      <c r="BB127" s="18"/>
      <c r="BC127" s="18"/>
      <c r="BD127" s="18"/>
      <c r="BE127" s="18"/>
      <c r="BF127" s="18"/>
      <c r="BG127" s="18"/>
      <c r="BH127" s="18"/>
      <c r="BI127" s="18"/>
      <c r="BJ127" s="18"/>
      <c r="BK127" s="18"/>
      <c r="BL127" s="18"/>
      <c r="BM127" s="18"/>
      <c r="BN127" s="18"/>
      <c r="BO127" s="18"/>
      <c r="BP127" s="18"/>
      <c r="BQ127" s="18"/>
      <c r="BR127" s="18"/>
      <c r="BS127" s="18"/>
    </row>
    <row r="128" spans="1:16384" outlineLevel="1" x14ac:dyDescent="0.2">
      <c r="K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c r="MW128"/>
      <c r="MX128"/>
      <c r="MY128"/>
      <c r="MZ128"/>
      <c r="NA128"/>
      <c r="NB128"/>
      <c r="NC128"/>
      <c r="ND128"/>
      <c r="NE128"/>
      <c r="NF128"/>
      <c r="NG128"/>
      <c r="NH128"/>
      <c r="NI128"/>
      <c r="NJ128"/>
      <c r="NK128"/>
      <c r="NL128"/>
      <c r="NM128"/>
      <c r="NN128"/>
      <c r="NO128"/>
      <c r="NP128"/>
      <c r="NQ128"/>
      <c r="NR128"/>
      <c r="NS128"/>
      <c r="NT128"/>
      <c r="NU128"/>
      <c r="NV128"/>
      <c r="NW128"/>
      <c r="NX128"/>
      <c r="NY128"/>
      <c r="NZ128"/>
      <c r="OA128"/>
      <c r="OB128"/>
      <c r="OC128"/>
      <c r="OD128"/>
      <c r="OE128"/>
      <c r="OF128"/>
      <c r="OG128"/>
      <c r="OH128"/>
      <c r="OI128"/>
      <c r="OJ128"/>
      <c r="OK128"/>
      <c r="OL128"/>
      <c r="OM128"/>
      <c r="ON128"/>
      <c r="OO128"/>
      <c r="OP128"/>
      <c r="OQ128"/>
      <c r="OR128"/>
      <c r="OS128"/>
      <c r="OT128"/>
      <c r="OU128"/>
      <c r="OV128"/>
      <c r="OW128"/>
      <c r="OX128"/>
      <c r="OY128"/>
      <c r="OZ128"/>
      <c r="PA128"/>
      <c r="PB128"/>
      <c r="PC128"/>
      <c r="PD128"/>
      <c r="PE128"/>
      <c r="PF128"/>
      <c r="PG128"/>
      <c r="PH128"/>
      <c r="PI128"/>
      <c r="PJ128"/>
      <c r="PK128"/>
      <c r="PL128"/>
      <c r="PM128"/>
      <c r="PN128"/>
      <c r="PO128"/>
      <c r="PP128"/>
      <c r="PQ128"/>
      <c r="PR128"/>
      <c r="PS128"/>
      <c r="PT128"/>
      <c r="PU128"/>
      <c r="PV128"/>
      <c r="PW128"/>
      <c r="PX128"/>
      <c r="PY128"/>
      <c r="PZ128"/>
      <c r="QA128"/>
      <c r="QB128"/>
      <c r="QC128"/>
      <c r="QD128"/>
      <c r="QE128"/>
      <c r="QF128"/>
      <c r="QG128"/>
      <c r="QH128"/>
      <c r="QI128"/>
      <c r="QJ128"/>
      <c r="QK128"/>
      <c r="QL128"/>
      <c r="QM128"/>
      <c r="QN128"/>
      <c r="QO128"/>
      <c r="QP128"/>
      <c r="QQ128"/>
      <c r="QR128"/>
      <c r="QS128"/>
      <c r="QT128"/>
      <c r="QU128"/>
      <c r="QV128"/>
      <c r="QW128"/>
      <c r="QX128"/>
      <c r="QY128"/>
      <c r="QZ128"/>
      <c r="RA128"/>
      <c r="RB128"/>
      <c r="RC128"/>
      <c r="RD128"/>
      <c r="RE128"/>
      <c r="RF128"/>
      <c r="RG128"/>
      <c r="RH128"/>
      <c r="RI128"/>
      <c r="RJ128"/>
      <c r="RK128"/>
      <c r="RL128"/>
      <c r="RM128"/>
      <c r="RN128"/>
      <c r="RO128"/>
      <c r="RP128"/>
      <c r="RQ128"/>
      <c r="RR128"/>
      <c r="RS128"/>
      <c r="RT128"/>
      <c r="RU128"/>
      <c r="RV128"/>
      <c r="RW128"/>
      <c r="RX128"/>
      <c r="RY128"/>
      <c r="RZ128"/>
      <c r="SA128"/>
      <c r="SB128"/>
      <c r="SC128"/>
      <c r="SD128"/>
      <c r="SE128"/>
      <c r="SF128"/>
      <c r="SG128"/>
      <c r="SH128"/>
      <c r="SI128"/>
      <c r="SJ128"/>
      <c r="SK128"/>
      <c r="SL128"/>
      <c r="SM128"/>
      <c r="SN128"/>
      <c r="SO128"/>
      <c r="SP128"/>
      <c r="SQ128"/>
      <c r="SR128"/>
      <c r="SS128"/>
      <c r="ST128"/>
      <c r="SU128"/>
      <c r="SV128"/>
      <c r="SW128"/>
      <c r="SX128"/>
      <c r="SY128"/>
      <c r="SZ128"/>
      <c r="TA128"/>
      <c r="TB128"/>
      <c r="TC128"/>
      <c r="TD128"/>
      <c r="TE128"/>
      <c r="TF128"/>
      <c r="TG128"/>
      <c r="TH128"/>
      <c r="TI128"/>
      <c r="TJ128"/>
      <c r="TK128"/>
      <c r="TL128"/>
      <c r="TM128"/>
      <c r="TN128"/>
      <c r="TO128"/>
      <c r="TP128"/>
      <c r="TQ128"/>
      <c r="TR128"/>
      <c r="TS128"/>
      <c r="TT128"/>
      <c r="TU128"/>
      <c r="TV128"/>
      <c r="TW128"/>
      <c r="TX128"/>
      <c r="TY128"/>
      <c r="TZ128"/>
      <c r="UA128"/>
      <c r="UB128"/>
      <c r="UC128"/>
      <c r="UD128"/>
      <c r="UE128"/>
      <c r="UF128"/>
      <c r="UG128"/>
      <c r="UH128"/>
      <c r="UI128"/>
      <c r="UJ128"/>
      <c r="UK128"/>
      <c r="UL128"/>
      <c r="UM128"/>
      <c r="UN128"/>
      <c r="UO128"/>
      <c r="UP128"/>
      <c r="UQ128"/>
      <c r="UR128"/>
      <c r="US128"/>
      <c r="UT128"/>
      <c r="UU128"/>
      <c r="UV128"/>
      <c r="UW128"/>
      <c r="UX128"/>
      <c r="UY128"/>
      <c r="UZ128"/>
      <c r="VA128"/>
      <c r="VB128"/>
      <c r="VC128"/>
      <c r="VD128"/>
      <c r="VE128"/>
      <c r="VF128"/>
      <c r="VG128"/>
      <c r="VH128"/>
      <c r="VI128"/>
      <c r="VJ128"/>
      <c r="VK128"/>
      <c r="VL128"/>
      <c r="VM128"/>
      <c r="VN128"/>
      <c r="VO128"/>
      <c r="VP128"/>
      <c r="VQ128"/>
      <c r="VR128"/>
      <c r="VS128"/>
      <c r="VT128"/>
      <c r="VU128"/>
      <c r="VV128"/>
      <c r="VW128"/>
      <c r="VX128"/>
      <c r="VY128"/>
      <c r="VZ128"/>
      <c r="WA128"/>
      <c r="WB128"/>
      <c r="WC128"/>
      <c r="WD128"/>
      <c r="WE128"/>
      <c r="WF128"/>
      <c r="WG128"/>
      <c r="WH128"/>
      <c r="WI128"/>
      <c r="WJ128"/>
      <c r="WK128"/>
      <c r="WL128"/>
      <c r="WM128"/>
      <c r="WN128"/>
      <c r="WO128"/>
      <c r="WP128"/>
      <c r="WQ128"/>
      <c r="WR128"/>
      <c r="WS128"/>
      <c r="WT128"/>
      <c r="WU128"/>
      <c r="WV128"/>
      <c r="WW128"/>
      <c r="WX128"/>
      <c r="WY128"/>
      <c r="WZ128"/>
      <c r="XA128"/>
      <c r="XB128"/>
      <c r="XC128"/>
      <c r="XD128"/>
      <c r="XE128"/>
      <c r="XF128"/>
      <c r="XG128"/>
      <c r="XH128"/>
      <c r="XI128"/>
      <c r="XJ128"/>
      <c r="XK128"/>
      <c r="XL128"/>
      <c r="XM128"/>
      <c r="XN128"/>
      <c r="XO128"/>
      <c r="XP128"/>
      <c r="XQ128"/>
      <c r="XR128"/>
      <c r="XS128"/>
      <c r="XT128"/>
      <c r="XU128"/>
      <c r="XV128"/>
      <c r="XW128"/>
      <c r="XX128"/>
      <c r="XY128"/>
      <c r="XZ128"/>
      <c r="YA128"/>
      <c r="YB128"/>
      <c r="YC128"/>
      <c r="YD128"/>
      <c r="YE128"/>
      <c r="YF128"/>
      <c r="YG128"/>
      <c r="YH128"/>
      <c r="YI128"/>
      <c r="YJ128"/>
      <c r="YK128"/>
      <c r="YL128"/>
      <c r="YM128"/>
      <c r="YN128"/>
      <c r="YO128"/>
      <c r="YP128"/>
      <c r="YQ128"/>
      <c r="YR128"/>
      <c r="YS128"/>
      <c r="YT128"/>
      <c r="YU128"/>
      <c r="YV128"/>
      <c r="YW128"/>
      <c r="YX128"/>
      <c r="YY128"/>
      <c r="YZ128"/>
      <c r="ZA128"/>
      <c r="ZB128"/>
      <c r="ZC128"/>
      <c r="ZD128"/>
      <c r="ZE128"/>
      <c r="ZF128"/>
      <c r="ZG128"/>
      <c r="ZH128"/>
      <c r="ZI128"/>
      <c r="ZJ128"/>
      <c r="ZK128"/>
      <c r="ZL128"/>
      <c r="ZM128"/>
      <c r="ZN128"/>
      <c r="ZO128"/>
      <c r="ZP128"/>
      <c r="ZQ128"/>
      <c r="ZR128"/>
      <c r="ZS128"/>
      <c r="ZT128"/>
      <c r="ZU128"/>
      <c r="ZV128"/>
      <c r="ZW128"/>
      <c r="ZX128"/>
      <c r="ZY128"/>
      <c r="ZZ128"/>
      <c r="AAA128"/>
      <c r="AAB128"/>
      <c r="AAC128"/>
      <c r="AAD128"/>
      <c r="AAE128"/>
      <c r="AAF128"/>
      <c r="AAG128"/>
      <c r="AAH128"/>
      <c r="AAI128"/>
      <c r="AAJ128"/>
      <c r="AAK128"/>
      <c r="AAL128"/>
      <c r="AAM128"/>
      <c r="AAN128"/>
      <c r="AAO128"/>
      <c r="AAP128"/>
      <c r="AAQ128"/>
      <c r="AAR128"/>
      <c r="AAS128"/>
      <c r="AAT128"/>
      <c r="AAU128"/>
      <c r="AAV128"/>
      <c r="AAW128"/>
      <c r="AAX128"/>
      <c r="AAY128"/>
      <c r="AAZ128"/>
      <c r="ABA128"/>
      <c r="ABB128"/>
      <c r="ABC128"/>
      <c r="ABD128"/>
      <c r="ABE128"/>
      <c r="ABF128"/>
      <c r="ABG128"/>
      <c r="ABH128"/>
      <c r="ABI128"/>
      <c r="ABJ128"/>
      <c r="ABK128"/>
      <c r="ABL128"/>
      <c r="ABM128"/>
      <c r="ABN128"/>
      <c r="ABO128"/>
      <c r="ABP128"/>
      <c r="ABQ128"/>
      <c r="ABR128"/>
      <c r="ABS128"/>
      <c r="ABT128"/>
      <c r="ABU128"/>
      <c r="ABV128"/>
      <c r="ABW128"/>
      <c r="ABX128"/>
      <c r="ABY128"/>
      <c r="ABZ128"/>
      <c r="ACA128"/>
      <c r="ACB128"/>
      <c r="ACC128"/>
      <c r="ACD128"/>
      <c r="ACE128"/>
      <c r="ACF128"/>
      <c r="ACG128"/>
      <c r="ACH128"/>
      <c r="ACI128"/>
      <c r="ACJ128"/>
      <c r="ACK128"/>
      <c r="ACL128"/>
      <c r="ACM128"/>
      <c r="ACN128"/>
      <c r="ACO128"/>
      <c r="ACP128"/>
      <c r="ACQ128"/>
      <c r="ACR128"/>
      <c r="ACS128"/>
      <c r="ACT128"/>
      <c r="ACU128"/>
      <c r="ACV128"/>
      <c r="ACW128"/>
      <c r="ACX128"/>
      <c r="ACY128"/>
      <c r="ACZ128"/>
      <c r="ADA128"/>
      <c r="ADB128"/>
      <c r="ADC128"/>
      <c r="ADD128"/>
      <c r="ADE128"/>
      <c r="ADF128"/>
      <c r="ADG128"/>
      <c r="ADH128"/>
      <c r="ADI128"/>
      <c r="ADJ128"/>
      <c r="ADK128"/>
      <c r="ADL128"/>
      <c r="ADM128"/>
      <c r="ADN128"/>
      <c r="ADO128"/>
      <c r="ADP128"/>
      <c r="ADQ128"/>
      <c r="ADR128"/>
      <c r="ADS128"/>
      <c r="ADT128"/>
      <c r="ADU128"/>
      <c r="ADV128"/>
      <c r="ADW128"/>
      <c r="ADX128"/>
      <c r="ADY128"/>
      <c r="ADZ128"/>
      <c r="AEA128"/>
      <c r="AEB128"/>
      <c r="AEC128"/>
      <c r="AED128"/>
      <c r="AEE128"/>
      <c r="AEF128"/>
      <c r="AEG128"/>
      <c r="AEH128"/>
      <c r="AEI128"/>
      <c r="AEJ128"/>
      <c r="AEK128"/>
      <c r="AEL128"/>
      <c r="AEM128"/>
      <c r="AEN128"/>
      <c r="AEO128"/>
      <c r="AEP128"/>
      <c r="AEQ128"/>
      <c r="AER128"/>
      <c r="AES128"/>
      <c r="AET128"/>
      <c r="AEU128"/>
      <c r="AEV128"/>
      <c r="AEW128"/>
      <c r="AEX128"/>
      <c r="AEY128"/>
      <c r="AEZ128"/>
      <c r="AFA128"/>
      <c r="AFB128"/>
      <c r="AFC128"/>
      <c r="AFD128"/>
      <c r="AFE128"/>
      <c r="AFF128"/>
      <c r="AFG128"/>
      <c r="AFH128"/>
      <c r="AFI128"/>
      <c r="AFJ128"/>
      <c r="AFK128"/>
      <c r="AFL128"/>
      <c r="AFM128"/>
      <c r="AFN128"/>
      <c r="AFO128"/>
      <c r="AFP128"/>
      <c r="AFQ128"/>
      <c r="AFR128"/>
      <c r="AFS128"/>
      <c r="AFT128"/>
      <c r="AFU128"/>
      <c r="AFV128"/>
      <c r="AFW128"/>
      <c r="AFX128"/>
      <c r="AFY128"/>
      <c r="AFZ128"/>
      <c r="AGA128"/>
      <c r="AGB128"/>
      <c r="AGC128"/>
      <c r="AGD128"/>
      <c r="AGE128"/>
      <c r="AGF128"/>
      <c r="AGG128"/>
      <c r="AGH128"/>
      <c r="AGI128"/>
      <c r="AGJ128"/>
      <c r="AGK128"/>
      <c r="AGL128"/>
      <c r="AGM128"/>
      <c r="AGN128"/>
      <c r="AGO128"/>
      <c r="AGP128"/>
      <c r="AGQ128"/>
      <c r="AGR128"/>
      <c r="AGS128"/>
      <c r="AGT128"/>
      <c r="AGU128"/>
      <c r="AGV128"/>
      <c r="AGW128"/>
      <c r="AGX128"/>
      <c r="AGY128"/>
      <c r="AGZ128"/>
      <c r="AHA128"/>
      <c r="AHB128"/>
      <c r="AHC128"/>
      <c r="AHD128"/>
      <c r="AHE128"/>
      <c r="AHF128"/>
      <c r="AHG128"/>
      <c r="AHH128"/>
      <c r="AHI128"/>
      <c r="AHJ128"/>
      <c r="AHK128"/>
      <c r="AHL128"/>
      <c r="AHM128"/>
      <c r="AHN128"/>
      <c r="AHO128"/>
      <c r="AHP128"/>
      <c r="AHQ128"/>
      <c r="AHR128"/>
      <c r="AHS128"/>
      <c r="AHT128"/>
      <c r="AHU128"/>
      <c r="AHV128"/>
      <c r="AHW128"/>
      <c r="AHX128"/>
      <c r="AHY128"/>
      <c r="AHZ128"/>
      <c r="AIA128"/>
      <c r="AIB128"/>
      <c r="AIC128"/>
      <c r="AID128"/>
      <c r="AIE128"/>
      <c r="AIF128"/>
      <c r="AIG128"/>
      <c r="AIH128"/>
      <c r="AII128"/>
      <c r="AIJ128"/>
      <c r="AIK128"/>
      <c r="AIL128"/>
      <c r="AIM128"/>
      <c r="AIN128"/>
      <c r="AIO128"/>
      <c r="AIP128"/>
      <c r="AIQ128"/>
      <c r="AIR128"/>
      <c r="AIS128"/>
      <c r="AIT128"/>
      <c r="AIU128"/>
      <c r="AIV128"/>
      <c r="AIW128"/>
      <c r="AIX128"/>
      <c r="AIY128"/>
      <c r="AIZ128"/>
      <c r="AJA128"/>
      <c r="AJB128"/>
      <c r="AJC128"/>
      <c r="AJD128"/>
      <c r="AJE128"/>
      <c r="AJF128"/>
      <c r="AJG128"/>
      <c r="AJH128"/>
      <c r="AJI128"/>
      <c r="AJJ128"/>
      <c r="AJK128"/>
      <c r="AJL128"/>
      <c r="AJM128"/>
      <c r="AJN128"/>
      <c r="AJO128"/>
      <c r="AJP128"/>
      <c r="AJQ128"/>
      <c r="AJR128"/>
      <c r="AJS128"/>
      <c r="AJT128"/>
      <c r="AJU128"/>
      <c r="AJV128"/>
      <c r="AJW128"/>
      <c r="AJX128"/>
      <c r="AJY128"/>
      <c r="AJZ128"/>
      <c r="AKA128"/>
      <c r="AKB128"/>
      <c r="AKC128"/>
      <c r="AKD128"/>
      <c r="AKE128"/>
      <c r="AKF128"/>
      <c r="AKG128"/>
      <c r="AKH128"/>
      <c r="AKI128"/>
      <c r="AKJ128"/>
      <c r="AKK128"/>
      <c r="AKL128"/>
      <c r="AKM128"/>
      <c r="AKN128"/>
      <c r="AKO128"/>
      <c r="AKP128"/>
      <c r="AKQ128"/>
      <c r="AKR128"/>
      <c r="AKS128"/>
      <c r="AKT128"/>
      <c r="AKU128"/>
      <c r="AKV128"/>
      <c r="AKW128"/>
      <c r="AKX128"/>
      <c r="AKY128"/>
      <c r="AKZ128"/>
      <c r="ALA128"/>
      <c r="ALB128"/>
      <c r="ALC128"/>
      <c r="ALD128"/>
      <c r="ALE128"/>
      <c r="ALF128"/>
      <c r="ALG128"/>
      <c r="ALH128"/>
      <c r="ALI128"/>
      <c r="ALJ128"/>
      <c r="ALK128"/>
      <c r="ALL128"/>
      <c r="ALM128"/>
      <c r="ALN128"/>
      <c r="ALO128"/>
      <c r="ALP128"/>
      <c r="ALQ128"/>
      <c r="ALR128"/>
      <c r="ALS128"/>
      <c r="ALT128"/>
      <c r="ALU128"/>
      <c r="ALV128"/>
      <c r="ALW128"/>
      <c r="ALX128"/>
      <c r="ALY128"/>
      <c r="ALZ128"/>
      <c r="AMA128"/>
      <c r="AMB128"/>
      <c r="AMC128"/>
      <c r="AMD128"/>
      <c r="AME128"/>
      <c r="AMF128"/>
      <c r="AMG128"/>
      <c r="AMH128"/>
      <c r="AMI128"/>
      <c r="AMJ128"/>
      <c r="AMK128"/>
      <c r="AML128"/>
      <c r="AMM128"/>
      <c r="AMN128"/>
      <c r="AMO128"/>
      <c r="AMP128"/>
      <c r="AMQ128"/>
      <c r="AMR128"/>
      <c r="AMS128"/>
      <c r="AMT128"/>
      <c r="AMU128"/>
      <c r="AMV128"/>
      <c r="AMW128"/>
      <c r="AMX128"/>
      <c r="AMY128"/>
      <c r="AMZ128"/>
      <c r="ANA128"/>
      <c r="ANB128"/>
      <c r="ANC128"/>
      <c r="AND128"/>
      <c r="ANE128"/>
      <c r="ANF128"/>
      <c r="ANG128"/>
      <c r="ANH128"/>
      <c r="ANI128"/>
      <c r="ANJ128"/>
      <c r="ANK128"/>
      <c r="ANL128"/>
      <c r="ANM128"/>
      <c r="ANN128"/>
      <c r="ANO128"/>
      <c r="ANP128"/>
      <c r="ANQ128"/>
      <c r="ANR128"/>
      <c r="ANS128"/>
      <c r="ANT128"/>
      <c r="ANU128"/>
      <c r="ANV128"/>
      <c r="ANW128"/>
      <c r="ANX128"/>
      <c r="ANY128"/>
      <c r="ANZ128"/>
      <c r="AOA128"/>
      <c r="AOB128"/>
      <c r="AOC128"/>
      <c r="AOD128"/>
      <c r="AOE128"/>
      <c r="AOF128"/>
      <c r="AOG128"/>
      <c r="AOH128"/>
      <c r="AOI128"/>
      <c r="AOJ128"/>
      <c r="AOK128"/>
      <c r="AOL128"/>
      <c r="AOM128"/>
      <c r="AON128"/>
      <c r="AOO128"/>
      <c r="AOP128"/>
      <c r="AOQ128"/>
      <c r="AOR128"/>
      <c r="AOS128"/>
      <c r="AOT128"/>
      <c r="AOU128"/>
      <c r="AOV128"/>
      <c r="AOW128"/>
      <c r="AOX128"/>
      <c r="AOY128"/>
      <c r="AOZ128"/>
      <c r="APA128"/>
      <c r="APB128"/>
      <c r="APC128"/>
      <c r="APD128"/>
      <c r="APE128"/>
      <c r="APF128"/>
      <c r="APG128"/>
      <c r="APH128"/>
      <c r="API128"/>
      <c r="APJ128"/>
      <c r="APK128"/>
      <c r="APL128"/>
      <c r="APM128"/>
      <c r="APN128"/>
      <c r="APO128"/>
      <c r="APP128"/>
      <c r="APQ128"/>
      <c r="APR128"/>
      <c r="APS128"/>
      <c r="APT128"/>
      <c r="APU128"/>
      <c r="APV128"/>
      <c r="APW128"/>
      <c r="APX128"/>
      <c r="APY128"/>
      <c r="APZ128"/>
      <c r="AQA128"/>
      <c r="AQB128"/>
      <c r="AQC128"/>
      <c r="AQD128"/>
      <c r="AQE128"/>
      <c r="AQF128"/>
      <c r="AQG128"/>
      <c r="AQH128"/>
      <c r="AQI128"/>
      <c r="AQJ128"/>
      <c r="AQK128"/>
      <c r="AQL128"/>
      <c r="AQM128"/>
      <c r="AQN128"/>
      <c r="AQO128"/>
      <c r="AQP128"/>
      <c r="AQQ128"/>
      <c r="AQR128"/>
      <c r="AQS128"/>
      <c r="AQT128"/>
      <c r="AQU128"/>
      <c r="AQV128"/>
      <c r="AQW128"/>
      <c r="AQX128"/>
      <c r="AQY128"/>
      <c r="AQZ128"/>
      <c r="ARA128"/>
      <c r="ARB128"/>
      <c r="ARC128"/>
      <c r="ARD128"/>
      <c r="ARE128"/>
      <c r="ARF128"/>
      <c r="ARG128"/>
      <c r="ARH128"/>
      <c r="ARI128"/>
      <c r="ARJ128"/>
      <c r="ARK128"/>
      <c r="ARL128"/>
      <c r="ARM128"/>
      <c r="ARN128"/>
      <c r="ARO128"/>
      <c r="ARP128"/>
      <c r="ARQ128"/>
      <c r="ARR128"/>
      <c r="ARS128"/>
      <c r="ART128"/>
      <c r="ARU128"/>
      <c r="ARV128"/>
      <c r="ARW128"/>
      <c r="ARX128"/>
      <c r="ARY128"/>
      <c r="ARZ128"/>
      <c r="ASA128"/>
      <c r="ASB128"/>
      <c r="ASC128"/>
      <c r="ASD128"/>
      <c r="ASE128"/>
      <c r="ASF128"/>
      <c r="ASG128"/>
      <c r="ASH128"/>
      <c r="ASI128"/>
      <c r="ASJ128"/>
      <c r="ASK128"/>
      <c r="ASL128"/>
      <c r="ASM128"/>
      <c r="ASN128"/>
      <c r="ASO128"/>
      <c r="ASP128"/>
      <c r="ASQ128"/>
      <c r="ASR128"/>
      <c r="ASS128"/>
      <c r="AST128"/>
      <c r="ASU128"/>
      <c r="ASV128"/>
      <c r="ASW128"/>
      <c r="ASX128"/>
      <c r="ASY128"/>
      <c r="ASZ128"/>
      <c r="ATA128"/>
      <c r="ATB128"/>
      <c r="ATC128"/>
      <c r="ATD128"/>
      <c r="ATE128"/>
      <c r="ATF128"/>
      <c r="ATG128"/>
      <c r="ATH128"/>
      <c r="ATI128"/>
      <c r="ATJ128"/>
      <c r="ATK128"/>
      <c r="ATL128"/>
      <c r="ATM128"/>
      <c r="ATN128"/>
      <c r="ATO128"/>
      <c r="ATP128"/>
      <c r="ATQ128"/>
      <c r="ATR128"/>
      <c r="ATS128"/>
      <c r="ATT128"/>
      <c r="ATU128"/>
      <c r="ATV128"/>
      <c r="ATW128"/>
      <c r="ATX128"/>
      <c r="ATY128"/>
      <c r="ATZ128"/>
      <c r="AUA128"/>
      <c r="AUB128"/>
      <c r="AUC128"/>
      <c r="AUD128"/>
      <c r="AUE128"/>
      <c r="AUF128"/>
      <c r="AUG128"/>
      <c r="AUH128"/>
      <c r="AUI128"/>
      <c r="AUJ128"/>
      <c r="AUK128"/>
      <c r="AUL128"/>
      <c r="AUM128"/>
      <c r="AUN128"/>
      <c r="AUO128"/>
      <c r="AUP128"/>
      <c r="AUQ128"/>
      <c r="AUR128"/>
      <c r="AUS128"/>
      <c r="AUT128"/>
      <c r="AUU128"/>
      <c r="AUV128"/>
      <c r="AUW128"/>
      <c r="AUX128"/>
      <c r="AUY128"/>
      <c r="AUZ128"/>
      <c r="AVA128"/>
      <c r="AVB128"/>
      <c r="AVC128"/>
      <c r="AVD128"/>
      <c r="AVE128"/>
      <c r="AVF128"/>
      <c r="AVG128"/>
      <c r="AVH128"/>
      <c r="AVI128"/>
      <c r="AVJ128"/>
      <c r="AVK128"/>
      <c r="AVL128"/>
      <c r="AVM128"/>
      <c r="AVN128"/>
      <c r="AVO128"/>
      <c r="AVP128"/>
      <c r="AVQ128"/>
      <c r="AVR128"/>
      <c r="AVS128"/>
      <c r="AVT128"/>
      <c r="AVU128"/>
      <c r="AVV128"/>
      <c r="AVW128"/>
      <c r="AVX128"/>
      <c r="AVY128"/>
      <c r="AVZ128"/>
      <c r="AWA128"/>
      <c r="AWB128"/>
      <c r="AWC128"/>
      <c r="AWD128"/>
      <c r="AWE128"/>
      <c r="AWF128"/>
      <c r="AWG128"/>
      <c r="AWH128"/>
      <c r="AWI128"/>
      <c r="AWJ128"/>
      <c r="AWK128"/>
      <c r="AWL128"/>
      <c r="AWM128"/>
      <c r="AWN128"/>
      <c r="AWO128"/>
      <c r="AWP128"/>
      <c r="AWQ128"/>
      <c r="AWR128"/>
      <c r="AWS128"/>
      <c r="AWT128"/>
      <c r="AWU128"/>
      <c r="AWV128"/>
      <c r="AWW128"/>
      <c r="AWX128"/>
      <c r="AWY128"/>
      <c r="AWZ128"/>
      <c r="AXA128"/>
      <c r="AXB128"/>
      <c r="AXC128"/>
      <c r="AXD128"/>
      <c r="AXE128"/>
      <c r="AXF128"/>
      <c r="AXG128"/>
      <c r="AXH128"/>
      <c r="AXI128"/>
      <c r="AXJ128"/>
      <c r="AXK128"/>
      <c r="AXL128"/>
      <c r="AXM128"/>
      <c r="AXN128"/>
      <c r="AXO128"/>
      <c r="AXP128"/>
      <c r="AXQ128"/>
      <c r="AXR128"/>
      <c r="AXS128"/>
      <c r="AXT128"/>
      <c r="AXU128"/>
      <c r="AXV128"/>
      <c r="AXW128"/>
      <c r="AXX128"/>
      <c r="AXY128"/>
      <c r="AXZ128"/>
      <c r="AYA128"/>
      <c r="AYB128"/>
      <c r="AYC128"/>
      <c r="AYD128"/>
      <c r="AYE128"/>
      <c r="AYF128"/>
      <c r="AYG128"/>
      <c r="AYH128"/>
      <c r="AYI128"/>
      <c r="AYJ128"/>
      <c r="AYK128"/>
      <c r="AYL128"/>
      <c r="AYM128"/>
      <c r="AYN128"/>
      <c r="AYO128"/>
      <c r="AYP128"/>
      <c r="AYQ128"/>
      <c r="AYR128"/>
      <c r="AYS128"/>
      <c r="AYT128"/>
      <c r="AYU128"/>
      <c r="AYV128"/>
      <c r="AYW128"/>
      <c r="AYX128"/>
      <c r="AYY128"/>
      <c r="AYZ128"/>
      <c r="AZA128"/>
      <c r="AZB128"/>
      <c r="AZC128"/>
      <c r="AZD128"/>
      <c r="AZE128"/>
      <c r="AZF128"/>
      <c r="AZG128"/>
      <c r="AZH128"/>
      <c r="AZI128"/>
      <c r="AZJ128"/>
      <c r="AZK128"/>
      <c r="AZL128"/>
      <c r="AZM128"/>
      <c r="AZN128"/>
      <c r="AZO128"/>
      <c r="AZP128"/>
      <c r="AZQ128"/>
      <c r="AZR128"/>
      <c r="AZS128"/>
      <c r="AZT128"/>
      <c r="AZU128"/>
      <c r="AZV128"/>
      <c r="AZW128"/>
      <c r="AZX128"/>
      <c r="AZY128"/>
      <c r="AZZ128"/>
      <c r="BAA128"/>
      <c r="BAB128"/>
      <c r="BAC128"/>
      <c r="BAD128"/>
      <c r="BAE128"/>
      <c r="BAF128"/>
      <c r="BAG128"/>
      <c r="BAH128"/>
      <c r="BAI128"/>
      <c r="BAJ128"/>
      <c r="BAK128"/>
      <c r="BAL128"/>
      <c r="BAM128"/>
      <c r="BAN128"/>
      <c r="BAO128"/>
      <c r="BAP128"/>
      <c r="BAQ128"/>
      <c r="BAR128"/>
      <c r="BAS128"/>
      <c r="BAT128"/>
      <c r="BAU128"/>
      <c r="BAV128"/>
      <c r="BAW128"/>
      <c r="BAX128"/>
      <c r="BAY128"/>
      <c r="BAZ128"/>
      <c r="BBA128"/>
      <c r="BBB128"/>
      <c r="BBC128"/>
      <c r="BBD128"/>
      <c r="BBE128"/>
      <c r="BBF128"/>
      <c r="BBG128"/>
      <c r="BBH128"/>
      <c r="BBI128"/>
      <c r="BBJ128"/>
      <c r="BBK128"/>
      <c r="BBL128"/>
      <c r="BBM128"/>
      <c r="BBN128"/>
      <c r="BBO128"/>
      <c r="BBP128"/>
      <c r="BBQ128"/>
      <c r="BBR128"/>
      <c r="BBS128"/>
      <c r="BBT128"/>
      <c r="BBU128"/>
      <c r="BBV128"/>
      <c r="BBW128"/>
      <c r="BBX128"/>
      <c r="BBY128"/>
      <c r="BBZ128"/>
      <c r="BCA128"/>
      <c r="BCB128"/>
      <c r="BCC128"/>
      <c r="BCD128"/>
      <c r="BCE128"/>
      <c r="BCF128"/>
      <c r="BCG128"/>
      <c r="BCH128"/>
      <c r="BCI128"/>
      <c r="BCJ128"/>
      <c r="BCK128"/>
      <c r="BCL128"/>
      <c r="BCM128"/>
      <c r="BCN128"/>
      <c r="BCO128"/>
      <c r="BCP128"/>
      <c r="BCQ128"/>
      <c r="BCR128"/>
      <c r="BCS128"/>
      <c r="BCT128"/>
      <c r="BCU128"/>
      <c r="BCV128"/>
      <c r="BCW128"/>
      <c r="BCX128"/>
      <c r="BCY128"/>
      <c r="BCZ128"/>
      <c r="BDA128"/>
      <c r="BDB128"/>
      <c r="BDC128"/>
      <c r="BDD128"/>
      <c r="BDE128"/>
      <c r="BDF128"/>
      <c r="BDG128"/>
      <c r="BDH128"/>
      <c r="BDI128"/>
      <c r="BDJ128"/>
      <c r="BDK128"/>
      <c r="BDL128"/>
      <c r="BDM128"/>
      <c r="BDN128"/>
      <c r="BDO128"/>
      <c r="BDP128"/>
      <c r="BDQ128"/>
      <c r="BDR128"/>
      <c r="BDS128"/>
      <c r="BDT128"/>
      <c r="BDU128"/>
      <c r="BDV128"/>
      <c r="BDW128"/>
      <c r="BDX128"/>
      <c r="BDY128"/>
      <c r="BDZ128"/>
      <c r="BEA128"/>
      <c r="BEB128"/>
      <c r="BEC128"/>
      <c r="BED128"/>
      <c r="BEE128"/>
      <c r="BEF128"/>
      <c r="BEG128"/>
      <c r="BEH128"/>
      <c r="BEI128"/>
      <c r="BEJ128"/>
      <c r="BEK128"/>
      <c r="BEL128"/>
      <c r="BEM128"/>
      <c r="BEN128"/>
      <c r="BEO128"/>
      <c r="BEP128"/>
      <c r="BEQ128"/>
      <c r="BER128"/>
      <c r="BES128"/>
      <c r="BET128"/>
      <c r="BEU128"/>
      <c r="BEV128"/>
      <c r="BEW128"/>
      <c r="BEX128"/>
      <c r="BEY128"/>
      <c r="BEZ128"/>
      <c r="BFA128"/>
      <c r="BFB128"/>
      <c r="BFC128"/>
      <c r="BFD128"/>
      <c r="BFE128"/>
      <c r="BFF128"/>
      <c r="BFG128"/>
      <c r="BFH128"/>
      <c r="BFI128"/>
      <c r="BFJ128"/>
      <c r="BFK128"/>
      <c r="BFL128"/>
      <c r="BFM128"/>
      <c r="BFN128"/>
      <c r="BFO128"/>
      <c r="BFP128"/>
      <c r="BFQ128"/>
      <c r="BFR128"/>
      <c r="BFS128"/>
      <c r="BFT128"/>
      <c r="BFU128"/>
      <c r="BFV128"/>
      <c r="BFW128"/>
      <c r="BFX128"/>
      <c r="BFY128"/>
      <c r="BFZ128"/>
      <c r="BGA128"/>
      <c r="BGB128"/>
      <c r="BGC128"/>
      <c r="BGD128"/>
      <c r="BGE128"/>
      <c r="BGF128"/>
      <c r="BGG128"/>
      <c r="BGH128"/>
      <c r="BGI128"/>
      <c r="BGJ128"/>
      <c r="BGK128"/>
      <c r="BGL128"/>
      <c r="BGM128"/>
      <c r="BGN128"/>
      <c r="BGO128"/>
      <c r="BGP128"/>
      <c r="BGQ128"/>
      <c r="BGR128"/>
      <c r="BGS128"/>
      <c r="BGT128"/>
      <c r="BGU128"/>
      <c r="BGV128"/>
      <c r="BGW128"/>
      <c r="BGX128"/>
      <c r="BGY128"/>
      <c r="BGZ128"/>
      <c r="BHA128"/>
      <c r="BHB128"/>
      <c r="BHC128"/>
      <c r="BHD128"/>
      <c r="BHE128"/>
      <c r="BHF128"/>
      <c r="BHG128"/>
      <c r="BHH128"/>
      <c r="BHI128"/>
      <c r="BHJ128"/>
      <c r="BHK128"/>
      <c r="BHL128"/>
      <c r="BHM128"/>
      <c r="BHN128"/>
      <c r="BHO128"/>
      <c r="BHP128"/>
      <c r="BHQ128"/>
      <c r="BHR128"/>
      <c r="BHS128"/>
      <c r="BHT128"/>
      <c r="BHU128"/>
      <c r="BHV128"/>
      <c r="BHW128"/>
      <c r="BHX128"/>
      <c r="BHY128"/>
      <c r="BHZ128"/>
      <c r="BIA128"/>
      <c r="BIB128"/>
      <c r="BIC128"/>
      <c r="BID128"/>
      <c r="BIE128"/>
      <c r="BIF128"/>
      <c r="BIG128"/>
      <c r="BIH128"/>
      <c r="BII128"/>
      <c r="BIJ128"/>
      <c r="BIK128"/>
      <c r="BIL128"/>
      <c r="BIM128"/>
      <c r="BIN128"/>
      <c r="BIO128"/>
      <c r="BIP128"/>
      <c r="BIQ128"/>
      <c r="BIR128"/>
      <c r="BIS128"/>
      <c r="BIT128"/>
      <c r="BIU128"/>
      <c r="BIV128"/>
      <c r="BIW128"/>
      <c r="BIX128"/>
      <c r="BIY128"/>
      <c r="BIZ128"/>
      <c r="BJA128"/>
      <c r="BJB128"/>
      <c r="BJC128"/>
      <c r="BJD128"/>
      <c r="BJE128"/>
      <c r="BJF128"/>
      <c r="BJG128"/>
      <c r="BJH128"/>
      <c r="BJI128"/>
      <c r="BJJ128"/>
      <c r="BJK128"/>
      <c r="BJL128"/>
      <c r="BJM128"/>
      <c r="BJN128"/>
      <c r="BJO128"/>
      <c r="BJP128"/>
      <c r="BJQ128"/>
      <c r="BJR128"/>
      <c r="BJS128"/>
      <c r="BJT128"/>
      <c r="BJU128"/>
      <c r="BJV128"/>
      <c r="BJW128"/>
      <c r="BJX128"/>
      <c r="BJY128"/>
      <c r="BJZ128"/>
      <c r="BKA128"/>
      <c r="BKB128"/>
      <c r="BKC128"/>
      <c r="BKD128"/>
      <c r="BKE128"/>
      <c r="BKF128"/>
      <c r="BKG128"/>
      <c r="BKH128"/>
      <c r="BKI128"/>
      <c r="BKJ128"/>
      <c r="BKK128"/>
      <c r="BKL128"/>
      <c r="BKM128"/>
      <c r="BKN128"/>
      <c r="BKO128"/>
      <c r="BKP128"/>
      <c r="BKQ128"/>
      <c r="BKR128"/>
      <c r="BKS128"/>
      <c r="BKT128"/>
      <c r="BKU128"/>
      <c r="BKV128"/>
      <c r="BKW128"/>
      <c r="BKX128"/>
      <c r="BKY128"/>
      <c r="BKZ128"/>
      <c r="BLA128"/>
      <c r="BLB128"/>
      <c r="BLC128"/>
      <c r="BLD128"/>
      <c r="BLE128"/>
      <c r="BLF128"/>
      <c r="BLG128"/>
      <c r="BLH128"/>
      <c r="BLI128"/>
      <c r="BLJ128"/>
      <c r="BLK128"/>
      <c r="BLL128"/>
      <c r="BLM128"/>
      <c r="BLN128"/>
      <c r="BLO128"/>
      <c r="BLP128"/>
      <c r="BLQ128"/>
      <c r="BLR128"/>
      <c r="BLS128"/>
      <c r="BLT128"/>
      <c r="BLU128"/>
      <c r="BLV128"/>
      <c r="BLW128"/>
      <c r="BLX128"/>
      <c r="BLY128"/>
      <c r="BLZ128"/>
      <c r="BMA128"/>
      <c r="BMB128"/>
      <c r="BMC128"/>
      <c r="BMD128"/>
      <c r="BME128"/>
      <c r="BMF128"/>
      <c r="BMG128"/>
      <c r="BMH128"/>
      <c r="BMI128"/>
      <c r="BMJ128"/>
      <c r="BMK128"/>
      <c r="BML128"/>
      <c r="BMM128"/>
      <c r="BMN128"/>
      <c r="BMO128"/>
      <c r="BMP128"/>
      <c r="BMQ128"/>
      <c r="BMR128"/>
      <c r="BMS128"/>
      <c r="BMT128"/>
      <c r="BMU128"/>
      <c r="BMV128"/>
      <c r="BMW128"/>
      <c r="BMX128"/>
      <c r="BMY128"/>
      <c r="BMZ128"/>
      <c r="BNA128"/>
      <c r="BNB128"/>
      <c r="BNC128"/>
      <c r="BND128"/>
      <c r="BNE128"/>
      <c r="BNF128"/>
      <c r="BNG128"/>
      <c r="BNH128"/>
      <c r="BNI128"/>
      <c r="BNJ128"/>
      <c r="BNK128"/>
      <c r="BNL128"/>
      <c r="BNM128"/>
      <c r="BNN128"/>
      <c r="BNO128"/>
      <c r="BNP128"/>
      <c r="BNQ128"/>
      <c r="BNR128"/>
      <c r="BNS128"/>
      <c r="BNT128"/>
      <c r="BNU128"/>
      <c r="BNV128"/>
      <c r="BNW128"/>
      <c r="BNX128"/>
      <c r="BNY128"/>
      <c r="BNZ128"/>
      <c r="BOA128"/>
      <c r="BOB128"/>
      <c r="BOC128"/>
      <c r="BOD128"/>
      <c r="BOE128"/>
      <c r="BOF128"/>
      <c r="BOG128"/>
      <c r="BOH128"/>
      <c r="BOI128"/>
      <c r="BOJ128"/>
      <c r="BOK128"/>
      <c r="BOL128"/>
      <c r="BOM128"/>
      <c r="BON128"/>
      <c r="BOO128"/>
      <c r="BOP128"/>
      <c r="BOQ128"/>
      <c r="BOR128"/>
      <c r="BOS128"/>
      <c r="BOT128"/>
      <c r="BOU128"/>
      <c r="BOV128"/>
      <c r="BOW128"/>
      <c r="BOX128"/>
      <c r="BOY128"/>
      <c r="BOZ128"/>
      <c r="BPA128"/>
      <c r="BPB128"/>
      <c r="BPC128"/>
      <c r="BPD128"/>
      <c r="BPE128"/>
      <c r="BPF128"/>
      <c r="BPG128"/>
      <c r="BPH128"/>
      <c r="BPI128"/>
      <c r="BPJ128"/>
      <c r="BPK128"/>
      <c r="BPL128"/>
      <c r="BPM128"/>
      <c r="BPN128"/>
      <c r="BPO128"/>
      <c r="BPP128"/>
      <c r="BPQ128"/>
      <c r="BPR128"/>
      <c r="BPS128"/>
      <c r="BPT128"/>
      <c r="BPU128"/>
      <c r="BPV128"/>
      <c r="BPW128"/>
      <c r="BPX128"/>
      <c r="BPY128"/>
      <c r="BPZ128"/>
      <c r="BQA128"/>
      <c r="BQB128"/>
      <c r="BQC128"/>
      <c r="BQD128"/>
      <c r="BQE128"/>
      <c r="BQF128"/>
      <c r="BQG128"/>
      <c r="BQH128"/>
      <c r="BQI128"/>
      <c r="BQJ128"/>
      <c r="BQK128"/>
      <c r="BQL128"/>
      <c r="BQM128"/>
      <c r="BQN128"/>
      <c r="BQO128"/>
      <c r="BQP128"/>
      <c r="BQQ128"/>
      <c r="BQR128"/>
      <c r="BQS128"/>
      <c r="BQT128"/>
      <c r="BQU128"/>
      <c r="BQV128"/>
      <c r="BQW128"/>
      <c r="BQX128"/>
      <c r="BQY128"/>
      <c r="BQZ128"/>
      <c r="BRA128"/>
      <c r="BRB128"/>
      <c r="BRC128"/>
      <c r="BRD128"/>
      <c r="BRE128"/>
      <c r="BRF128"/>
      <c r="BRG128"/>
      <c r="BRH128"/>
      <c r="BRI128"/>
      <c r="BRJ128"/>
      <c r="BRK128"/>
      <c r="BRL128"/>
      <c r="BRM128"/>
      <c r="BRN128"/>
      <c r="BRO128"/>
      <c r="BRP128"/>
      <c r="BRQ128"/>
      <c r="BRR128"/>
      <c r="BRS128"/>
      <c r="BRT128"/>
      <c r="BRU128"/>
      <c r="BRV128"/>
      <c r="BRW128"/>
      <c r="BRX128"/>
      <c r="BRY128"/>
      <c r="BRZ128"/>
      <c r="BSA128"/>
      <c r="BSB128"/>
      <c r="BSC128"/>
      <c r="BSD128"/>
      <c r="BSE128"/>
      <c r="BSF128"/>
      <c r="BSG128"/>
      <c r="BSH128"/>
      <c r="BSI128"/>
      <c r="BSJ128"/>
      <c r="BSK128"/>
      <c r="BSL128"/>
      <c r="BSM128"/>
      <c r="BSN128"/>
      <c r="BSO128"/>
      <c r="BSP128"/>
      <c r="BSQ128"/>
      <c r="BSR128"/>
      <c r="BSS128"/>
      <c r="BST128"/>
      <c r="BSU128"/>
      <c r="BSV128"/>
      <c r="BSW128"/>
      <c r="BSX128"/>
      <c r="BSY128"/>
      <c r="BSZ128"/>
      <c r="BTA128"/>
      <c r="BTB128"/>
      <c r="BTC128"/>
      <c r="BTD128"/>
      <c r="BTE128"/>
      <c r="BTF128"/>
      <c r="BTG128"/>
      <c r="BTH128"/>
      <c r="BTI128"/>
      <c r="BTJ128"/>
      <c r="BTK128"/>
      <c r="BTL128"/>
      <c r="BTM128"/>
      <c r="BTN128"/>
      <c r="BTO128"/>
      <c r="BTP128"/>
      <c r="BTQ128"/>
      <c r="BTR128"/>
      <c r="BTS128"/>
      <c r="BTT128"/>
      <c r="BTU128"/>
      <c r="BTV128"/>
      <c r="BTW128"/>
      <c r="BTX128"/>
      <c r="BTY128"/>
      <c r="BTZ128"/>
      <c r="BUA128"/>
      <c r="BUB128"/>
      <c r="BUC128"/>
      <c r="BUD128"/>
      <c r="BUE128"/>
      <c r="BUF128"/>
      <c r="BUG128"/>
      <c r="BUH128"/>
      <c r="BUI128"/>
      <c r="BUJ128"/>
      <c r="BUK128"/>
      <c r="BUL128"/>
      <c r="BUM128"/>
      <c r="BUN128"/>
      <c r="BUO128"/>
      <c r="BUP128"/>
      <c r="BUQ128"/>
      <c r="BUR128"/>
      <c r="BUS128"/>
      <c r="BUT128"/>
      <c r="BUU128"/>
      <c r="BUV128"/>
      <c r="BUW128"/>
      <c r="BUX128"/>
      <c r="BUY128"/>
      <c r="BUZ128"/>
      <c r="BVA128"/>
      <c r="BVB128"/>
      <c r="BVC128"/>
      <c r="BVD128"/>
      <c r="BVE128"/>
      <c r="BVF128"/>
      <c r="BVG128"/>
      <c r="BVH128"/>
      <c r="BVI128"/>
      <c r="BVJ128"/>
      <c r="BVK128"/>
      <c r="BVL128"/>
      <c r="BVM128"/>
      <c r="BVN128"/>
      <c r="BVO128"/>
      <c r="BVP128"/>
      <c r="BVQ128"/>
      <c r="BVR128"/>
      <c r="BVS128"/>
      <c r="BVT128"/>
      <c r="BVU128"/>
      <c r="BVV128"/>
      <c r="BVW128"/>
      <c r="BVX128"/>
      <c r="BVY128"/>
      <c r="BVZ128"/>
      <c r="BWA128"/>
      <c r="BWB128"/>
      <c r="BWC128"/>
      <c r="BWD128"/>
      <c r="BWE128"/>
      <c r="BWF128"/>
      <c r="BWG128"/>
      <c r="BWH128"/>
      <c r="BWI128"/>
      <c r="BWJ128"/>
      <c r="BWK128"/>
      <c r="BWL128"/>
      <c r="BWM128"/>
      <c r="BWN128"/>
      <c r="BWO128"/>
      <c r="BWP128"/>
      <c r="BWQ128"/>
      <c r="BWR128"/>
      <c r="BWS128"/>
      <c r="BWT128"/>
      <c r="BWU128"/>
      <c r="BWV128"/>
      <c r="BWW128"/>
      <c r="BWX128"/>
      <c r="BWY128"/>
      <c r="BWZ128"/>
      <c r="BXA128"/>
      <c r="BXB128"/>
      <c r="BXC128"/>
      <c r="BXD128"/>
      <c r="BXE128"/>
      <c r="BXF128"/>
      <c r="BXG128"/>
      <c r="BXH128"/>
      <c r="BXI128"/>
      <c r="BXJ128"/>
      <c r="BXK128"/>
      <c r="BXL128"/>
      <c r="BXM128"/>
      <c r="BXN128"/>
      <c r="BXO128"/>
      <c r="BXP128"/>
      <c r="BXQ128"/>
      <c r="BXR128"/>
      <c r="BXS128"/>
      <c r="BXT128"/>
      <c r="BXU128"/>
      <c r="BXV128"/>
      <c r="BXW128"/>
      <c r="BXX128"/>
      <c r="BXY128"/>
      <c r="BXZ128"/>
      <c r="BYA128"/>
      <c r="BYB128"/>
      <c r="BYC128"/>
      <c r="BYD128"/>
      <c r="BYE128"/>
      <c r="BYF128"/>
      <c r="BYG128"/>
      <c r="BYH128"/>
      <c r="BYI128"/>
      <c r="BYJ128"/>
      <c r="BYK128"/>
      <c r="BYL128"/>
      <c r="BYM128"/>
      <c r="BYN128"/>
      <c r="BYO128"/>
      <c r="BYP128"/>
      <c r="BYQ128"/>
      <c r="BYR128"/>
      <c r="BYS128"/>
      <c r="BYT128"/>
      <c r="BYU128"/>
      <c r="BYV128"/>
      <c r="BYW128"/>
      <c r="BYX128"/>
      <c r="BYY128"/>
      <c r="BYZ128"/>
      <c r="BZA128"/>
      <c r="BZB128"/>
      <c r="BZC128"/>
      <c r="BZD128"/>
      <c r="BZE128"/>
      <c r="BZF128"/>
      <c r="BZG128"/>
      <c r="BZH128"/>
      <c r="BZI128"/>
      <c r="BZJ128"/>
      <c r="BZK128"/>
      <c r="BZL128"/>
      <c r="BZM128"/>
      <c r="BZN128"/>
      <c r="BZO128"/>
      <c r="BZP128"/>
      <c r="BZQ128"/>
      <c r="BZR128"/>
      <c r="BZS128"/>
      <c r="BZT128"/>
      <c r="BZU128"/>
      <c r="BZV128"/>
      <c r="BZW128"/>
      <c r="BZX128"/>
      <c r="BZY128"/>
      <c r="BZZ128"/>
      <c r="CAA128"/>
      <c r="CAB128"/>
      <c r="CAC128"/>
      <c r="CAD128"/>
      <c r="CAE128"/>
      <c r="CAF128"/>
      <c r="CAG128"/>
      <c r="CAH128"/>
      <c r="CAI128"/>
      <c r="CAJ128"/>
      <c r="CAK128"/>
      <c r="CAL128"/>
      <c r="CAM128"/>
      <c r="CAN128"/>
      <c r="CAO128"/>
      <c r="CAP128"/>
      <c r="CAQ128"/>
      <c r="CAR128"/>
      <c r="CAS128"/>
      <c r="CAT128"/>
      <c r="CAU128"/>
      <c r="CAV128"/>
      <c r="CAW128"/>
      <c r="CAX128"/>
      <c r="CAY128"/>
      <c r="CAZ128"/>
      <c r="CBA128"/>
      <c r="CBB128"/>
      <c r="CBC128"/>
      <c r="CBD128"/>
      <c r="CBE128"/>
      <c r="CBF128"/>
      <c r="CBG128"/>
      <c r="CBH128"/>
      <c r="CBI128"/>
      <c r="CBJ128"/>
      <c r="CBK128"/>
      <c r="CBL128"/>
      <c r="CBM128"/>
      <c r="CBN128"/>
      <c r="CBO128"/>
      <c r="CBP128"/>
      <c r="CBQ128"/>
      <c r="CBR128"/>
      <c r="CBS128"/>
      <c r="CBT128"/>
      <c r="CBU128"/>
      <c r="CBV128"/>
      <c r="CBW128"/>
      <c r="CBX128"/>
      <c r="CBY128"/>
      <c r="CBZ128"/>
      <c r="CCA128"/>
      <c r="CCB128"/>
      <c r="CCC128"/>
      <c r="CCD128"/>
      <c r="CCE128"/>
      <c r="CCF128"/>
      <c r="CCG128"/>
      <c r="CCH128"/>
      <c r="CCI128"/>
      <c r="CCJ128"/>
      <c r="CCK128"/>
      <c r="CCL128"/>
      <c r="CCM128"/>
      <c r="CCN128"/>
      <c r="CCO128"/>
      <c r="CCP128"/>
      <c r="CCQ128"/>
      <c r="CCR128"/>
      <c r="CCS128"/>
      <c r="CCT128"/>
      <c r="CCU128"/>
      <c r="CCV128"/>
      <c r="CCW128"/>
      <c r="CCX128"/>
      <c r="CCY128"/>
      <c r="CCZ128"/>
      <c r="CDA128"/>
      <c r="CDB128"/>
      <c r="CDC128"/>
      <c r="CDD128"/>
      <c r="CDE128"/>
      <c r="CDF128"/>
      <c r="CDG128"/>
      <c r="CDH128"/>
      <c r="CDI128"/>
      <c r="CDJ128"/>
      <c r="CDK128"/>
      <c r="CDL128"/>
      <c r="CDM128"/>
      <c r="CDN128"/>
      <c r="CDO128"/>
      <c r="CDP128"/>
      <c r="CDQ128"/>
      <c r="CDR128"/>
      <c r="CDS128"/>
      <c r="CDT128"/>
      <c r="CDU128"/>
      <c r="CDV128"/>
      <c r="CDW128"/>
      <c r="CDX128"/>
      <c r="CDY128"/>
      <c r="CDZ128"/>
      <c r="CEA128"/>
      <c r="CEB128"/>
      <c r="CEC128"/>
      <c r="CED128"/>
      <c r="CEE128"/>
      <c r="CEF128"/>
      <c r="CEG128"/>
      <c r="CEH128"/>
      <c r="CEI128"/>
      <c r="CEJ128"/>
      <c r="CEK128"/>
      <c r="CEL128"/>
      <c r="CEM128"/>
      <c r="CEN128"/>
      <c r="CEO128"/>
      <c r="CEP128"/>
      <c r="CEQ128"/>
      <c r="CER128"/>
      <c r="CES128"/>
      <c r="CET128"/>
      <c r="CEU128"/>
      <c r="CEV128"/>
      <c r="CEW128"/>
      <c r="CEX128"/>
      <c r="CEY128"/>
      <c r="CEZ128"/>
      <c r="CFA128"/>
      <c r="CFB128"/>
      <c r="CFC128"/>
      <c r="CFD128"/>
      <c r="CFE128"/>
      <c r="CFF128"/>
      <c r="CFG128"/>
      <c r="CFH128"/>
      <c r="CFI128"/>
      <c r="CFJ128"/>
      <c r="CFK128"/>
      <c r="CFL128"/>
      <c r="CFM128"/>
      <c r="CFN128"/>
      <c r="CFO128"/>
      <c r="CFP128"/>
      <c r="CFQ128"/>
      <c r="CFR128"/>
      <c r="CFS128"/>
      <c r="CFT128"/>
      <c r="CFU128"/>
      <c r="CFV128"/>
      <c r="CFW128"/>
      <c r="CFX128"/>
      <c r="CFY128"/>
      <c r="CFZ128"/>
      <c r="CGA128"/>
      <c r="CGB128"/>
      <c r="CGC128"/>
      <c r="CGD128"/>
      <c r="CGE128"/>
      <c r="CGF128"/>
      <c r="CGG128"/>
      <c r="CGH128"/>
      <c r="CGI128"/>
      <c r="CGJ128"/>
      <c r="CGK128"/>
      <c r="CGL128"/>
      <c r="CGM128"/>
      <c r="CGN128"/>
      <c r="CGO128"/>
      <c r="CGP128"/>
      <c r="CGQ128"/>
      <c r="CGR128"/>
      <c r="CGS128"/>
      <c r="CGT128"/>
      <c r="CGU128"/>
      <c r="CGV128"/>
      <c r="CGW128"/>
      <c r="CGX128"/>
      <c r="CGY128"/>
      <c r="CGZ128"/>
      <c r="CHA128"/>
      <c r="CHB128"/>
      <c r="CHC128"/>
      <c r="CHD128"/>
      <c r="CHE128"/>
      <c r="CHF128"/>
      <c r="CHG128"/>
      <c r="CHH128"/>
      <c r="CHI128"/>
      <c r="CHJ128"/>
      <c r="CHK128"/>
      <c r="CHL128"/>
      <c r="CHM128"/>
      <c r="CHN128"/>
      <c r="CHO128"/>
      <c r="CHP128"/>
      <c r="CHQ128"/>
      <c r="CHR128"/>
      <c r="CHS128"/>
      <c r="CHT128"/>
      <c r="CHU128"/>
      <c r="CHV128"/>
      <c r="CHW128"/>
      <c r="CHX128"/>
      <c r="CHY128"/>
      <c r="CHZ128"/>
      <c r="CIA128"/>
      <c r="CIB128"/>
      <c r="CIC128"/>
      <c r="CID128"/>
      <c r="CIE128"/>
      <c r="CIF128"/>
      <c r="CIG128"/>
      <c r="CIH128"/>
      <c r="CII128"/>
      <c r="CIJ128"/>
      <c r="CIK128"/>
      <c r="CIL128"/>
      <c r="CIM128"/>
      <c r="CIN128"/>
      <c r="CIO128"/>
      <c r="CIP128"/>
      <c r="CIQ128"/>
      <c r="CIR128"/>
      <c r="CIS128"/>
      <c r="CIT128"/>
      <c r="CIU128"/>
      <c r="CIV128"/>
      <c r="CIW128"/>
      <c r="CIX128"/>
      <c r="CIY128"/>
      <c r="CIZ128"/>
      <c r="CJA128"/>
      <c r="CJB128"/>
      <c r="CJC128"/>
      <c r="CJD128"/>
      <c r="CJE128"/>
      <c r="CJF128"/>
      <c r="CJG128"/>
      <c r="CJH128"/>
      <c r="CJI128"/>
      <c r="CJJ128"/>
      <c r="CJK128"/>
      <c r="CJL128"/>
      <c r="CJM128"/>
      <c r="CJN128"/>
      <c r="CJO128"/>
      <c r="CJP128"/>
      <c r="CJQ128"/>
      <c r="CJR128"/>
      <c r="CJS128"/>
      <c r="CJT128"/>
      <c r="CJU128"/>
      <c r="CJV128"/>
      <c r="CJW128"/>
      <c r="CJX128"/>
      <c r="CJY128"/>
      <c r="CJZ128"/>
      <c r="CKA128"/>
      <c r="CKB128"/>
      <c r="CKC128"/>
      <c r="CKD128"/>
      <c r="CKE128"/>
      <c r="CKF128"/>
      <c r="CKG128"/>
      <c r="CKH128"/>
      <c r="CKI128"/>
      <c r="CKJ128"/>
      <c r="CKK128"/>
      <c r="CKL128"/>
      <c r="CKM128"/>
      <c r="CKN128"/>
      <c r="CKO128"/>
      <c r="CKP128"/>
      <c r="CKQ128"/>
      <c r="CKR128"/>
      <c r="CKS128"/>
      <c r="CKT128"/>
      <c r="CKU128"/>
      <c r="CKV128"/>
      <c r="CKW128"/>
      <c r="CKX128"/>
      <c r="CKY128"/>
      <c r="CKZ128"/>
      <c r="CLA128"/>
      <c r="CLB128"/>
      <c r="CLC128"/>
      <c r="CLD128"/>
      <c r="CLE128"/>
      <c r="CLF128"/>
      <c r="CLG128"/>
      <c r="CLH128"/>
      <c r="CLI128"/>
      <c r="CLJ128"/>
      <c r="CLK128"/>
      <c r="CLL128"/>
      <c r="CLM128"/>
      <c r="CLN128"/>
      <c r="CLO128"/>
      <c r="CLP128"/>
      <c r="CLQ128"/>
      <c r="CLR128"/>
      <c r="CLS128"/>
      <c r="CLT128"/>
      <c r="CLU128"/>
      <c r="CLV128"/>
      <c r="CLW128"/>
      <c r="CLX128"/>
      <c r="CLY128"/>
      <c r="CLZ128"/>
      <c r="CMA128"/>
      <c r="CMB128"/>
      <c r="CMC128"/>
      <c r="CMD128"/>
      <c r="CME128"/>
      <c r="CMF128"/>
      <c r="CMG128"/>
      <c r="CMH128"/>
      <c r="CMI128"/>
      <c r="CMJ128"/>
      <c r="CMK128"/>
      <c r="CML128"/>
      <c r="CMM128"/>
      <c r="CMN128"/>
      <c r="CMO128"/>
      <c r="CMP128"/>
      <c r="CMQ128"/>
      <c r="CMR128"/>
      <c r="CMS128"/>
      <c r="CMT128"/>
      <c r="CMU128"/>
      <c r="CMV128"/>
      <c r="CMW128"/>
      <c r="CMX128"/>
      <c r="CMY128"/>
      <c r="CMZ128"/>
      <c r="CNA128"/>
      <c r="CNB128"/>
      <c r="CNC128"/>
      <c r="CND128"/>
      <c r="CNE128"/>
      <c r="CNF128"/>
      <c r="CNG128"/>
      <c r="CNH128"/>
      <c r="CNI128"/>
      <c r="CNJ128"/>
      <c r="CNK128"/>
      <c r="CNL128"/>
      <c r="CNM128"/>
      <c r="CNN128"/>
      <c r="CNO128"/>
      <c r="CNP128"/>
      <c r="CNQ128"/>
      <c r="CNR128"/>
      <c r="CNS128"/>
      <c r="CNT128"/>
      <c r="CNU128"/>
      <c r="CNV128"/>
      <c r="CNW128"/>
      <c r="CNX128"/>
      <c r="CNY128"/>
      <c r="CNZ128"/>
      <c r="COA128"/>
      <c r="COB128"/>
      <c r="COC128"/>
      <c r="COD128"/>
      <c r="COE128"/>
      <c r="COF128"/>
      <c r="COG128"/>
      <c r="COH128"/>
      <c r="COI128"/>
      <c r="COJ128"/>
      <c r="COK128"/>
      <c r="COL128"/>
      <c r="COM128"/>
      <c r="CON128"/>
      <c r="COO128"/>
      <c r="COP128"/>
      <c r="COQ128"/>
      <c r="COR128"/>
      <c r="COS128"/>
      <c r="COT128"/>
      <c r="COU128"/>
      <c r="COV128"/>
      <c r="COW128"/>
      <c r="COX128"/>
      <c r="COY128"/>
      <c r="COZ128"/>
      <c r="CPA128"/>
      <c r="CPB128"/>
      <c r="CPC128"/>
      <c r="CPD128"/>
      <c r="CPE128"/>
      <c r="CPF128"/>
      <c r="CPG128"/>
      <c r="CPH128"/>
      <c r="CPI128"/>
      <c r="CPJ128"/>
      <c r="CPK128"/>
      <c r="CPL128"/>
      <c r="CPM128"/>
      <c r="CPN128"/>
      <c r="CPO128"/>
      <c r="CPP128"/>
      <c r="CPQ128"/>
      <c r="CPR128"/>
      <c r="CPS128"/>
      <c r="CPT128"/>
      <c r="CPU128"/>
      <c r="CPV128"/>
      <c r="CPW128"/>
      <c r="CPX128"/>
      <c r="CPY128"/>
      <c r="CPZ128"/>
      <c r="CQA128"/>
      <c r="CQB128"/>
      <c r="CQC128"/>
      <c r="CQD128"/>
      <c r="CQE128"/>
      <c r="CQF128"/>
      <c r="CQG128"/>
      <c r="CQH128"/>
      <c r="CQI128"/>
      <c r="CQJ128"/>
      <c r="CQK128"/>
      <c r="CQL128"/>
      <c r="CQM128"/>
      <c r="CQN128"/>
      <c r="CQO128"/>
      <c r="CQP128"/>
      <c r="CQQ128"/>
      <c r="CQR128"/>
      <c r="CQS128"/>
      <c r="CQT128"/>
      <c r="CQU128"/>
      <c r="CQV128"/>
      <c r="CQW128"/>
      <c r="CQX128"/>
      <c r="CQY128"/>
      <c r="CQZ128"/>
      <c r="CRA128"/>
      <c r="CRB128"/>
      <c r="CRC128"/>
      <c r="CRD128"/>
      <c r="CRE128"/>
      <c r="CRF128"/>
      <c r="CRG128"/>
      <c r="CRH128"/>
      <c r="CRI128"/>
      <c r="CRJ128"/>
      <c r="CRK128"/>
      <c r="CRL128"/>
      <c r="CRM128"/>
      <c r="CRN128"/>
      <c r="CRO128"/>
      <c r="CRP128"/>
      <c r="CRQ128"/>
      <c r="CRR128"/>
      <c r="CRS128"/>
      <c r="CRT128"/>
      <c r="CRU128"/>
      <c r="CRV128"/>
      <c r="CRW128"/>
      <c r="CRX128"/>
      <c r="CRY128"/>
      <c r="CRZ128"/>
      <c r="CSA128"/>
      <c r="CSB128"/>
      <c r="CSC128"/>
      <c r="CSD128"/>
      <c r="CSE128"/>
      <c r="CSF128"/>
      <c r="CSG128"/>
      <c r="CSH128"/>
      <c r="CSI128"/>
      <c r="CSJ128"/>
      <c r="CSK128"/>
      <c r="CSL128"/>
      <c r="CSM128"/>
      <c r="CSN128"/>
      <c r="CSO128"/>
      <c r="CSP128"/>
      <c r="CSQ128"/>
      <c r="CSR128"/>
      <c r="CSS128"/>
      <c r="CST128"/>
      <c r="CSU128"/>
      <c r="CSV128"/>
      <c r="CSW128"/>
      <c r="CSX128"/>
      <c r="CSY128"/>
      <c r="CSZ128"/>
      <c r="CTA128"/>
      <c r="CTB128"/>
      <c r="CTC128"/>
      <c r="CTD128"/>
      <c r="CTE128"/>
      <c r="CTF128"/>
      <c r="CTG128"/>
      <c r="CTH128"/>
      <c r="CTI128"/>
      <c r="CTJ128"/>
      <c r="CTK128"/>
      <c r="CTL128"/>
      <c r="CTM128"/>
      <c r="CTN128"/>
      <c r="CTO128"/>
      <c r="CTP128"/>
      <c r="CTQ128"/>
      <c r="CTR128"/>
      <c r="CTS128"/>
      <c r="CTT128"/>
      <c r="CTU128"/>
      <c r="CTV128"/>
      <c r="CTW128"/>
      <c r="CTX128"/>
      <c r="CTY128"/>
      <c r="CTZ128"/>
      <c r="CUA128"/>
      <c r="CUB128"/>
      <c r="CUC128"/>
      <c r="CUD128"/>
      <c r="CUE128"/>
      <c r="CUF128"/>
      <c r="CUG128"/>
      <c r="CUH128"/>
      <c r="CUI128"/>
      <c r="CUJ128"/>
      <c r="CUK128"/>
      <c r="CUL128"/>
      <c r="CUM128"/>
      <c r="CUN128"/>
      <c r="CUO128"/>
      <c r="CUP128"/>
      <c r="CUQ128"/>
      <c r="CUR128"/>
      <c r="CUS128"/>
      <c r="CUT128"/>
      <c r="CUU128"/>
      <c r="CUV128"/>
      <c r="CUW128"/>
      <c r="CUX128"/>
      <c r="CUY128"/>
      <c r="CUZ128"/>
      <c r="CVA128"/>
      <c r="CVB128"/>
      <c r="CVC128"/>
      <c r="CVD128"/>
      <c r="CVE128"/>
      <c r="CVF128"/>
      <c r="CVG128"/>
      <c r="CVH128"/>
      <c r="CVI128"/>
      <c r="CVJ128"/>
      <c r="CVK128"/>
      <c r="CVL128"/>
      <c r="CVM128"/>
      <c r="CVN128"/>
      <c r="CVO128"/>
      <c r="CVP128"/>
      <c r="CVQ128"/>
      <c r="CVR128"/>
      <c r="CVS128"/>
      <c r="CVT128"/>
      <c r="CVU128"/>
      <c r="CVV128"/>
      <c r="CVW128"/>
      <c r="CVX128"/>
      <c r="CVY128"/>
      <c r="CVZ128"/>
      <c r="CWA128"/>
      <c r="CWB128"/>
      <c r="CWC128"/>
      <c r="CWD128"/>
      <c r="CWE128"/>
      <c r="CWF128"/>
      <c r="CWG128"/>
      <c r="CWH128"/>
      <c r="CWI128"/>
      <c r="CWJ128"/>
      <c r="CWK128"/>
      <c r="CWL128"/>
      <c r="CWM128"/>
      <c r="CWN128"/>
      <c r="CWO128"/>
      <c r="CWP128"/>
      <c r="CWQ128"/>
      <c r="CWR128"/>
      <c r="CWS128"/>
      <c r="CWT128"/>
      <c r="CWU128"/>
      <c r="CWV128"/>
      <c r="CWW128"/>
      <c r="CWX128"/>
      <c r="CWY128"/>
      <c r="CWZ128"/>
      <c r="CXA128"/>
      <c r="CXB128"/>
      <c r="CXC128"/>
      <c r="CXD128"/>
      <c r="CXE128"/>
      <c r="CXF128"/>
      <c r="CXG128"/>
      <c r="CXH128"/>
      <c r="CXI128"/>
      <c r="CXJ128"/>
      <c r="CXK128"/>
      <c r="CXL128"/>
      <c r="CXM128"/>
      <c r="CXN128"/>
      <c r="CXO128"/>
      <c r="CXP128"/>
      <c r="CXQ128"/>
      <c r="CXR128"/>
      <c r="CXS128"/>
      <c r="CXT128"/>
      <c r="CXU128"/>
      <c r="CXV128"/>
      <c r="CXW128"/>
      <c r="CXX128"/>
      <c r="CXY128"/>
      <c r="CXZ128"/>
      <c r="CYA128"/>
      <c r="CYB128"/>
      <c r="CYC128"/>
      <c r="CYD128"/>
      <c r="CYE128"/>
      <c r="CYF128"/>
      <c r="CYG128"/>
      <c r="CYH128"/>
      <c r="CYI128"/>
      <c r="CYJ128"/>
      <c r="CYK128"/>
      <c r="CYL128"/>
      <c r="CYM128"/>
      <c r="CYN128"/>
      <c r="CYO128"/>
      <c r="CYP128"/>
      <c r="CYQ128"/>
      <c r="CYR128"/>
      <c r="CYS128"/>
      <c r="CYT128"/>
      <c r="CYU128"/>
      <c r="CYV128"/>
      <c r="CYW128"/>
      <c r="CYX128"/>
      <c r="CYY128"/>
      <c r="CYZ128"/>
      <c r="CZA128"/>
      <c r="CZB128"/>
      <c r="CZC128"/>
      <c r="CZD128"/>
      <c r="CZE128"/>
      <c r="CZF128"/>
      <c r="CZG128"/>
      <c r="CZH128"/>
      <c r="CZI128"/>
      <c r="CZJ128"/>
      <c r="CZK128"/>
      <c r="CZL128"/>
      <c r="CZM128"/>
      <c r="CZN128"/>
      <c r="CZO128"/>
      <c r="CZP128"/>
      <c r="CZQ128"/>
      <c r="CZR128"/>
      <c r="CZS128"/>
      <c r="CZT128"/>
      <c r="CZU128"/>
      <c r="CZV128"/>
      <c r="CZW128"/>
      <c r="CZX128"/>
      <c r="CZY128"/>
      <c r="CZZ128"/>
      <c r="DAA128"/>
      <c r="DAB128"/>
      <c r="DAC128"/>
      <c r="DAD128"/>
      <c r="DAE128"/>
      <c r="DAF128"/>
      <c r="DAG128"/>
      <c r="DAH128"/>
      <c r="DAI128"/>
      <c r="DAJ128"/>
      <c r="DAK128"/>
      <c r="DAL128"/>
      <c r="DAM128"/>
      <c r="DAN128"/>
      <c r="DAO128"/>
      <c r="DAP128"/>
      <c r="DAQ128"/>
      <c r="DAR128"/>
      <c r="DAS128"/>
      <c r="DAT128"/>
      <c r="DAU128"/>
      <c r="DAV128"/>
      <c r="DAW128"/>
      <c r="DAX128"/>
      <c r="DAY128"/>
      <c r="DAZ128"/>
      <c r="DBA128"/>
      <c r="DBB128"/>
      <c r="DBC128"/>
      <c r="DBD128"/>
      <c r="DBE128"/>
      <c r="DBF128"/>
      <c r="DBG128"/>
      <c r="DBH128"/>
      <c r="DBI128"/>
      <c r="DBJ128"/>
      <c r="DBK128"/>
      <c r="DBL128"/>
      <c r="DBM128"/>
      <c r="DBN128"/>
      <c r="DBO128"/>
      <c r="DBP128"/>
      <c r="DBQ128"/>
      <c r="DBR128"/>
      <c r="DBS128"/>
      <c r="DBT128"/>
      <c r="DBU128"/>
      <c r="DBV128"/>
      <c r="DBW128"/>
      <c r="DBX128"/>
      <c r="DBY128"/>
      <c r="DBZ128"/>
      <c r="DCA128"/>
      <c r="DCB128"/>
      <c r="DCC128"/>
      <c r="DCD128"/>
      <c r="DCE128"/>
      <c r="DCF128"/>
      <c r="DCG128"/>
      <c r="DCH128"/>
      <c r="DCI128"/>
      <c r="DCJ128"/>
      <c r="DCK128"/>
      <c r="DCL128"/>
      <c r="DCM128"/>
      <c r="DCN128"/>
      <c r="DCO128"/>
      <c r="DCP128"/>
      <c r="DCQ128"/>
      <c r="DCR128"/>
      <c r="DCS128"/>
      <c r="DCT128"/>
      <c r="DCU128"/>
      <c r="DCV128"/>
      <c r="DCW128"/>
      <c r="DCX128"/>
      <c r="DCY128"/>
      <c r="DCZ128"/>
      <c r="DDA128"/>
      <c r="DDB128"/>
      <c r="DDC128"/>
      <c r="DDD128"/>
      <c r="DDE128"/>
      <c r="DDF128"/>
      <c r="DDG128"/>
      <c r="DDH128"/>
      <c r="DDI128"/>
      <c r="DDJ128"/>
      <c r="DDK128"/>
      <c r="DDL128"/>
      <c r="DDM128"/>
      <c r="DDN128"/>
      <c r="DDO128"/>
      <c r="DDP128"/>
      <c r="DDQ128"/>
      <c r="DDR128"/>
      <c r="DDS128"/>
      <c r="DDT128"/>
      <c r="DDU128"/>
      <c r="DDV128"/>
      <c r="DDW128"/>
      <c r="DDX128"/>
      <c r="DDY128"/>
      <c r="DDZ128"/>
      <c r="DEA128"/>
      <c r="DEB128"/>
      <c r="DEC128"/>
      <c r="DED128"/>
      <c r="DEE128"/>
      <c r="DEF128"/>
      <c r="DEG128"/>
      <c r="DEH128"/>
      <c r="DEI128"/>
      <c r="DEJ128"/>
      <c r="DEK128"/>
      <c r="DEL128"/>
      <c r="DEM128"/>
      <c r="DEN128"/>
      <c r="DEO128"/>
      <c r="DEP128"/>
      <c r="DEQ128"/>
      <c r="DER128"/>
      <c r="DES128"/>
      <c r="DET128"/>
      <c r="DEU128"/>
      <c r="DEV128"/>
      <c r="DEW128"/>
      <c r="DEX128"/>
      <c r="DEY128"/>
      <c r="DEZ128"/>
      <c r="DFA128"/>
      <c r="DFB128"/>
      <c r="DFC128"/>
      <c r="DFD128"/>
      <c r="DFE128"/>
      <c r="DFF128"/>
      <c r="DFG128"/>
      <c r="DFH128"/>
      <c r="DFI128"/>
      <c r="DFJ128"/>
      <c r="DFK128"/>
      <c r="DFL128"/>
      <c r="DFM128"/>
      <c r="DFN128"/>
      <c r="DFO128"/>
      <c r="DFP128"/>
      <c r="DFQ128"/>
      <c r="DFR128"/>
      <c r="DFS128"/>
      <c r="DFT128"/>
      <c r="DFU128"/>
      <c r="DFV128"/>
      <c r="DFW128"/>
      <c r="DFX128"/>
      <c r="DFY128"/>
      <c r="DFZ128"/>
      <c r="DGA128"/>
      <c r="DGB128"/>
      <c r="DGC128"/>
      <c r="DGD128"/>
      <c r="DGE128"/>
      <c r="DGF128"/>
      <c r="DGG128"/>
      <c r="DGH128"/>
      <c r="DGI128"/>
      <c r="DGJ128"/>
      <c r="DGK128"/>
      <c r="DGL128"/>
      <c r="DGM128"/>
      <c r="DGN128"/>
      <c r="DGO128"/>
      <c r="DGP128"/>
      <c r="DGQ128"/>
      <c r="DGR128"/>
      <c r="DGS128"/>
      <c r="DGT128"/>
      <c r="DGU128"/>
      <c r="DGV128"/>
      <c r="DGW128"/>
      <c r="DGX128"/>
      <c r="DGY128"/>
      <c r="DGZ128"/>
      <c r="DHA128"/>
      <c r="DHB128"/>
      <c r="DHC128"/>
      <c r="DHD128"/>
      <c r="DHE128"/>
      <c r="DHF128"/>
      <c r="DHG128"/>
      <c r="DHH128"/>
      <c r="DHI128"/>
      <c r="DHJ128"/>
      <c r="DHK128"/>
      <c r="DHL128"/>
      <c r="DHM128"/>
      <c r="DHN128"/>
      <c r="DHO128"/>
      <c r="DHP128"/>
      <c r="DHQ128"/>
      <c r="DHR128"/>
      <c r="DHS128"/>
      <c r="DHT128"/>
      <c r="DHU128"/>
      <c r="DHV128"/>
      <c r="DHW128"/>
      <c r="DHX128"/>
      <c r="DHY128"/>
      <c r="DHZ128"/>
      <c r="DIA128"/>
      <c r="DIB128"/>
      <c r="DIC128"/>
      <c r="DID128"/>
      <c r="DIE128"/>
      <c r="DIF128"/>
      <c r="DIG128"/>
      <c r="DIH128"/>
      <c r="DII128"/>
      <c r="DIJ128"/>
      <c r="DIK128"/>
      <c r="DIL128"/>
      <c r="DIM128"/>
      <c r="DIN128"/>
      <c r="DIO128"/>
      <c r="DIP128"/>
      <c r="DIQ128"/>
      <c r="DIR128"/>
      <c r="DIS128"/>
      <c r="DIT128"/>
      <c r="DIU128"/>
      <c r="DIV128"/>
      <c r="DIW128"/>
      <c r="DIX128"/>
      <c r="DIY128"/>
      <c r="DIZ128"/>
      <c r="DJA128"/>
      <c r="DJB128"/>
      <c r="DJC128"/>
      <c r="DJD128"/>
      <c r="DJE128"/>
      <c r="DJF128"/>
      <c r="DJG128"/>
      <c r="DJH128"/>
      <c r="DJI128"/>
      <c r="DJJ128"/>
      <c r="DJK128"/>
      <c r="DJL128"/>
      <c r="DJM128"/>
      <c r="DJN128"/>
      <c r="DJO128"/>
      <c r="DJP128"/>
      <c r="DJQ128"/>
      <c r="DJR128"/>
      <c r="DJS128"/>
      <c r="DJT128"/>
      <c r="DJU128"/>
      <c r="DJV128"/>
      <c r="DJW128"/>
      <c r="DJX128"/>
      <c r="DJY128"/>
      <c r="DJZ128"/>
      <c r="DKA128"/>
      <c r="DKB128"/>
      <c r="DKC128"/>
      <c r="DKD128"/>
      <c r="DKE128"/>
      <c r="DKF128"/>
      <c r="DKG128"/>
      <c r="DKH128"/>
      <c r="DKI128"/>
      <c r="DKJ128"/>
      <c r="DKK128"/>
      <c r="DKL128"/>
      <c r="DKM128"/>
      <c r="DKN128"/>
      <c r="DKO128"/>
      <c r="DKP128"/>
      <c r="DKQ128"/>
      <c r="DKR128"/>
      <c r="DKS128"/>
      <c r="DKT128"/>
      <c r="DKU128"/>
      <c r="DKV128"/>
      <c r="DKW128"/>
      <c r="DKX128"/>
      <c r="DKY128"/>
      <c r="DKZ128"/>
      <c r="DLA128"/>
      <c r="DLB128"/>
      <c r="DLC128"/>
      <c r="DLD128"/>
      <c r="DLE128"/>
      <c r="DLF128"/>
      <c r="DLG128"/>
      <c r="DLH128"/>
      <c r="DLI128"/>
      <c r="DLJ128"/>
      <c r="DLK128"/>
      <c r="DLL128"/>
      <c r="DLM128"/>
      <c r="DLN128"/>
      <c r="DLO128"/>
      <c r="DLP128"/>
      <c r="DLQ128"/>
      <c r="DLR128"/>
      <c r="DLS128"/>
      <c r="DLT128"/>
      <c r="DLU128"/>
      <c r="DLV128"/>
      <c r="DLW128"/>
      <c r="DLX128"/>
      <c r="DLY128"/>
      <c r="DLZ128"/>
      <c r="DMA128"/>
      <c r="DMB128"/>
      <c r="DMC128"/>
      <c r="DMD128"/>
      <c r="DME128"/>
      <c r="DMF128"/>
      <c r="DMG128"/>
      <c r="DMH128"/>
      <c r="DMI128"/>
      <c r="DMJ128"/>
      <c r="DMK128"/>
      <c r="DML128"/>
      <c r="DMM128"/>
      <c r="DMN128"/>
      <c r="DMO128"/>
      <c r="DMP128"/>
      <c r="DMQ128"/>
      <c r="DMR128"/>
      <c r="DMS128"/>
      <c r="DMT128"/>
      <c r="DMU128"/>
      <c r="DMV128"/>
      <c r="DMW128"/>
      <c r="DMX128"/>
      <c r="DMY128"/>
      <c r="DMZ128"/>
      <c r="DNA128"/>
      <c r="DNB128"/>
      <c r="DNC128"/>
      <c r="DND128"/>
      <c r="DNE128"/>
      <c r="DNF128"/>
      <c r="DNG128"/>
      <c r="DNH128"/>
      <c r="DNI128"/>
      <c r="DNJ128"/>
      <c r="DNK128"/>
      <c r="DNL128"/>
      <c r="DNM128"/>
      <c r="DNN128"/>
      <c r="DNO128"/>
      <c r="DNP128"/>
      <c r="DNQ128"/>
      <c r="DNR128"/>
      <c r="DNS128"/>
      <c r="DNT128"/>
      <c r="DNU128"/>
      <c r="DNV128"/>
      <c r="DNW128"/>
      <c r="DNX128"/>
      <c r="DNY128"/>
      <c r="DNZ128"/>
      <c r="DOA128"/>
      <c r="DOB128"/>
      <c r="DOC128"/>
      <c r="DOD128"/>
      <c r="DOE128"/>
      <c r="DOF128"/>
      <c r="DOG128"/>
      <c r="DOH128"/>
      <c r="DOI128"/>
      <c r="DOJ128"/>
      <c r="DOK128"/>
      <c r="DOL128"/>
      <c r="DOM128"/>
      <c r="DON128"/>
      <c r="DOO128"/>
      <c r="DOP128"/>
      <c r="DOQ128"/>
      <c r="DOR128"/>
      <c r="DOS128"/>
      <c r="DOT128"/>
      <c r="DOU128"/>
      <c r="DOV128"/>
      <c r="DOW128"/>
      <c r="DOX128"/>
      <c r="DOY128"/>
      <c r="DOZ128"/>
      <c r="DPA128"/>
      <c r="DPB128"/>
      <c r="DPC128"/>
      <c r="DPD128"/>
      <c r="DPE128"/>
      <c r="DPF128"/>
      <c r="DPG128"/>
      <c r="DPH128"/>
      <c r="DPI128"/>
      <c r="DPJ128"/>
      <c r="DPK128"/>
      <c r="DPL128"/>
      <c r="DPM128"/>
      <c r="DPN128"/>
      <c r="DPO128"/>
      <c r="DPP128"/>
      <c r="DPQ128"/>
      <c r="DPR128"/>
      <c r="DPS128"/>
      <c r="DPT128"/>
      <c r="DPU128"/>
      <c r="DPV128"/>
      <c r="DPW128"/>
      <c r="DPX128"/>
      <c r="DPY128"/>
      <c r="DPZ128"/>
      <c r="DQA128"/>
      <c r="DQB128"/>
      <c r="DQC128"/>
      <c r="DQD128"/>
      <c r="DQE128"/>
      <c r="DQF128"/>
      <c r="DQG128"/>
      <c r="DQH128"/>
      <c r="DQI128"/>
      <c r="DQJ128"/>
      <c r="DQK128"/>
      <c r="DQL128"/>
      <c r="DQM128"/>
      <c r="DQN128"/>
      <c r="DQO128"/>
      <c r="DQP128"/>
      <c r="DQQ128"/>
      <c r="DQR128"/>
      <c r="DQS128"/>
      <c r="DQT128"/>
      <c r="DQU128"/>
      <c r="DQV128"/>
      <c r="DQW128"/>
      <c r="DQX128"/>
      <c r="DQY128"/>
      <c r="DQZ128"/>
      <c r="DRA128"/>
      <c r="DRB128"/>
      <c r="DRC128"/>
      <c r="DRD128"/>
      <c r="DRE128"/>
      <c r="DRF128"/>
      <c r="DRG128"/>
      <c r="DRH128"/>
      <c r="DRI128"/>
      <c r="DRJ128"/>
      <c r="DRK128"/>
      <c r="DRL128"/>
      <c r="DRM128"/>
      <c r="DRN128"/>
      <c r="DRO128"/>
      <c r="DRP128"/>
      <c r="DRQ128"/>
      <c r="DRR128"/>
      <c r="DRS128"/>
      <c r="DRT128"/>
      <c r="DRU128"/>
      <c r="DRV128"/>
      <c r="DRW128"/>
      <c r="DRX128"/>
      <c r="DRY128"/>
      <c r="DRZ128"/>
      <c r="DSA128"/>
      <c r="DSB128"/>
      <c r="DSC128"/>
      <c r="DSD128"/>
      <c r="DSE128"/>
      <c r="DSF128"/>
      <c r="DSG128"/>
      <c r="DSH128"/>
      <c r="DSI128"/>
      <c r="DSJ128"/>
      <c r="DSK128"/>
      <c r="DSL128"/>
      <c r="DSM128"/>
      <c r="DSN128"/>
      <c r="DSO128"/>
      <c r="DSP128"/>
      <c r="DSQ128"/>
      <c r="DSR128"/>
      <c r="DSS128"/>
      <c r="DST128"/>
      <c r="DSU128"/>
      <c r="DSV128"/>
      <c r="DSW128"/>
      <c r="DSX128"/>
      <c r="DSY128"/>
      <c r="DSZ128"/>
      <c r="DTA128"/>
      <c r="DTB128"/>
      <c r="DTC128"/>
      <c r="DTD128"/>
      <c r="DTE128"/>
      <c r="DTF128"/>
      <c r="DTG128"/>
      <c r="DTH128"/>
      <c r="DTI128"/>
      <c r="DTJ128"/>
      <c r="DTK128"/>
      <c r="DTL128"/>
      <c r="DTM128"/>
      <c r="DTN128"/>
      <c r="DTO128"/>
      <c r="DTP128"/>
      <c r="DTQ128"/>
      <c r="DTR128"/>
      <c r="DTS128"/>
      <c r="DTT128"/>
      <c r="DTU128"/>
      <c r="DTV128"/>
      <c r="DTW128"/>
      <c r="DTX128"/>
      <c r="DTY128"/>
      <c r="DTZ128"/>
      <c r="DUA128"/>
      <c r="DUB128"/>
      <c r="DUC128"/>
      <c r="DUD128"/>
      <c r="DUE128"/>
      <c r="DUF128"/>
      <c r="DUG128"/>
      <c r="DUH128"/>
      <c r="DUI128"/>
      <c r="DUJ128"/>
      <c r="DUK128"/>
      <c r="DUL128"/>
      <c r="DUM128"/>
      <c r="DUN128"/>
      <c r="DUO128"/>
      <c r="DUP128"/>
      <c r="DUQ128"/>
      <c r="DUR128"/>
      <c r="DUS128"/>
      <c r="DUT128"/>
      <c r="DUU128"/>
      <c r="DUV128"/>
      <c r="DUW128"/>
      <c r="DUX128"/>
      <c r="DUY128"/>
      <c r="DUZ128"/>
      <c r="DVA128"/>
      <c r="DVB128"/>
      <c r="DVC128"/>
      <c r="DVD128"/>
      <c r="DVE128"/>
      <c r="DVF128"/>
      <c r="DVG128"/>
      <c r="DVH128"/>
      <c r="DVI128"/>
      <c r="DVJ128"/>
      <c r="DVK128"/>
      <c r="DVL128"/>
      <c r="DVM128"/>
      <c r="DVN128"/>
      <c r="DVO128"/>
      <c r="DVP128"/>
      <c r="DVQ128"/>
      <c r="DVR128"/>
      <c r="DVS128"/>
      <c r="DVT128"/>
      <c r="DVU128"/>
      <c r="DVV128"/>
      <c r="DVW128"/>
      <c r="DVX128"/>
      <c r="DVY128"/>
      <c r="DVZ128"/>
      <c r="DWA128"/>
      <c r="DWB128"/>
      <c r="DWC128"/>
      <c r="DWD128"/>
      <c r="DWE128"/>
      <c r="DWF128"/>
      <c r="DWG128"/>
      <c r="DWH128"/>
      <c r="DWI128"/>
      <c r="DWJ128"/>
      <c r="DWK128"/>
      <c r="DWL128"/>
      <c r="DWM128"/>
      <c r="DWN128"/>
      <c r="DWO128"/>
      <c r="DWP128"/>
      <c r="DWQ128"/>
      <c r="DWR128"/>
      <c r="DWS128"/>
      <c r="DWT128"/>
      <c r="DWU128"/>
      <c r="DWV128"/>
      <c r="DWW128"/>
      <c r="DWX128"/>
      <c r="DWY128"/>
      <c r="DWZ128"/>
      <c r="DXA128"/>
      <c r="DXB128"/>
      <c r="DXC128"/>
      <c r="DXD128"/>
      <c r="DXE128"/>
      <c r="DXF128"/>
      <c r="DXG128"/>
      <c r="DXH128"/>
      <c r="DXI128"/>
      <c r="DXJ128"/>
      <c r="DXK128"/>
      <c r="DXL128"/>
      <c r="DXM128"/>
      <c r="DXN128"/>
      <c r="DXO128"/>
      <c r="DXP128"/>
      <c r="DXQ128"/>
      <c r="DXR128"/>
      <c r="DXS128"/>
      <c r="DXT128"/>
      <c r="DXU128"/>
      <c r="DXV128"/>
      <c r="DXW128"/>
      <c r="DXX128"/>
      <c r="DXY128"/>
      <c r="DXZ128"/>
      <c r="DYA128"/>
      <c r="DYB128"/>
      <c r="DYC128"/>
      <c r="DYD128"/>
      <c r="DYE128"/>
      <c r="DYF128"/>
      <c r="DYG128"/>
      <c r="DYH128"/>
      <c r="DYI128"/>
      <c r="DYJ128"/>
      <c r="DYK128"/>
      <c r="DYL128"/>
      <c r="DYM128"/>
      <c r="DYN128"/>
      <c r="DYO128"/>
      <c r="DYP128"/>
      <c r="DYQ128"/>
      <c r="DYR128"/>
      <c r="DYS128"/>
      <c r="DYT128"/>
      <c r="DYU128"/>
      <c r="DYV128"/>
      <c r="DYW128"/>
      <c r="DYX128"/>
      <c r="DYY128"/>
      <c r="DYZ128"/>
      <c r="DZA128"/>
      <c r="DZB128"/>
      <c r="DZC128"/>
      <c r="DZD128"/>
      <c r="DZE128"/>
      <c r="DZF128"/>
      <c r="DZG128"/>
      <c r="DZH128"/>
      <c r="DZI128"/>
      <c r="DZJ128"/>
      <c r="DZK128"/>
      <c r="DZL128"/>
      <c r="DZM128"/>
      <c r="DZN128"/>
      <c r="DZO128"/>
      <c r="DZP128"/>
      <c r="DZQ128"/>
      <c r="DZR128"/>
      <c r="DZS128"/>
      <c r="DZT128"/>
      <c r="DZU128"/>
      <c r="DZV128"/>
      <c r="DZW128"/>
      <c r="DZX128"/>
      <c r="DZY128"/>
      <c r="DZZ128"/>
      <c r="EAA128"/>
      <c r="EAB128"/>
      <c r="EAC128"/>
      <c r="EAD128"/>
      <c r="EAE128"/>
      <c r="EAF128"/>
      <c r="EAG128"/>
      <c r="EAH128"/>
      <c r="EAI128"/>
      <c r="EAJ128"/>
      <c r="EAK128"/>
      <c r="EAL128"/>
      <c r="EAM128"/>
      <c r="EAN128"/>
      <c r="EAO128"/>
      <c r="EAP128"/>
      <c r="EAQ128"/>
      <c r="EAR128"/>
      <c r="EAS128"/>
      <c r="EAT128"/>
      <c r="EAU128"/>
      <c r="EAV128"/>
      <c r="EAW128"/>
      <c r="EAX128"/>
      <c r="EAY128"/>
      <c r="EAZ128"/>
      <c r="EBA128"/>
      <c r="EBB128"/>
      <c r="EBC128"/>
      <c r="EBD128"/>
      <c r="EBE128"/>
      <c r="EBF128"/>
      <c r="EBG128"/>
      <c r="EBH128"/>
      <c r="EBI128"/>
      <c r="EBJ128"/>
      <c r="EBK128"/>
      <c r="EBL128"/>
      <c r="EBM128"/>
      <c r="EBN128"/>
      <c r="EBO128"/>
      <c r="EBP128"/>
      <c r="EBQ128"/>
      <c r="EBR128"/>
      <c r="EBS128"/>
      <c r="EBT128"/>
      <c r="EBU128"/>
      <c r="EBV128"/>
      <c r="EBW128"/>
      <c r="EBX128"/>
      <c r="EBY128"/>
      <c r="EBZ128"/>
      <c r="ECA128"/>
      <c r="ECB128"/>
      <c r="ECC128"/>
      <c r="ECD128"/>
      <c r="ECE128"/>
      <c r="ECF128"/>
      <c r="ECG128"/>
      <c r="ECH128"/>
      <c r="ECI128"/>
      <c r="ECJ128"/>
      <c r="ECK128"/>
      <c r="ECL128"/>
      <c r="ECM128"/>
      <c r="ECN128"/>
      <c r="ECO128"/>
      <c r="ECP128"/>
      <c r="ECQ128"/>
      <c r="ECR128"/>
      <c r="ECS128"/>
      <c r="ECT128"/>
      <c r="ECU128"/>
      <c r="ECV128"/>
      <c r="ECW128"/>
      <c r="ECX128"/>
      <c r="ECY128"/>
      <c r="ECZ128"/>
      <c r="EDA128"/>
      <c r="EDB128"/>
      <c r="EDC128"/>
      <c r="EDD128"/>
      <c r="EDE128"/>
      <c r="EDF128"/>
      <c r="EDG128"/>
      <c r="EDH128"/>
      <c r="EDI128"/>
      <c r="EDJ128"/>
      <c r="EDK128"/>
      <c r="EDL128"/>
      <c r="EDM128"/>
      <c r="EDN128"/>
      <c r="EDO128"/>
      <c r="EDP128"/>
      <c r="EDQ128"/>
      <c r="EDR128"/>
      <c r="EDS128"/>
      <c r="EDT128"/>
      <c r="EDU128"/>
      <c r="EDV128"/>
      <c r="EDW128"/>
      <c r="EDX128"/>
      <c r="EDY128"/>
      <c r="EDZ128"/>
      <c r="EEA128"/>
      <c r="EEB128"/>
      <c r="EEC128"/>
      <c r="EED128"/>
      <c r="EEE128"/>
      <c r="EEF128"/>
      <c r="EEG128"/>
      <c r="EEH128"/>
      <c r="EEI128"/>
      <c r="EEJ128"/>
      <c r="EEK128"/>
      <c r="EEL128"/>
      <c r="EEM128"/>
      <c r="EEN128"/>
      <c r="EEO128"/>
      <c r="EEP128"/>
      <c r="EEQ128"/>
      <c r="EER128"/>
      <c r="EES128"/>
      <c r="EET128"/>
      <c r="EEU128"/>
      <c r="EEV128"/>
      <c r="EEW128"/>
      <c r="EEX128"/>
      <c r="EEY128"/>
      <c r="EEZ128"/>
      <c r="EFA128"/>
      <c r="EFB128"/>
      <c r="EFC128"/>
      <c r="EFD128"/>
      <c r="EFE128"/>
      <c r="EFF128"/>
      <c r="EFG128"/>
      <c r="EFH128"/>
      <c r="EFI128"/>
      <c r="EFJ128"/>
      <c r="EFK128"/>
      <c r="EFL128"/>
      <c r="EFM128"/>
      <c r="EFN128"/>
      <c r="EFO128"/>
      <c r="EFP128"/>
      <c r="EFQ128"/>
      <c r="EFR128"/>
      <c r="EFS128"/>
      <c r="EFT128"/>
      <c r="EFU128"/>
      <c r="EFV128"/>
      <c r="EFW128"/>
      <c r="EFX128"/>
      <c r="EFY128"/>
      <c r="EFZ128"/>
      <c r="EGA128"/>
      <c r="EGB128"/>
      <c r="EGC128"/>
      <c r="EGD128"/>
      <c r="EGE128"/>
      <c r="EGF128"/>
      <c r="EGG128"/>
      <c r="EGH128"/>
      <c r="EGI128"/>
      <c r="EGJ128"/>
      <c r="EGK128"/>
      <c r="EGL128"/>
      <c r="EGM128"/>
      <c r="EGN128"/>
      <c r="EGO128"/>
      <c r="EGP128"/>
      <c r="EGQ128"/>
      <c r="EGR128"/>
      <c r="EGS128"/>
      <c r="EGT128"/>
      <c r="EGU128"/>
      <c r="EGV128"/>
      <c r="EGW128"/>
      <c r="EGX128"/>
      <c r="EGY128"/>
      <c r="EGZ128"/>
      <c r="EHA128"/>
      <c r="EHB128"/>
      <c r="EHC128"/>
      <c r="EHD128"/>
      <c r="EHE128"/>
      <c r="EHF128"/>
      <c r="EHG128"/>
      <c r="EHH128"/>
      <c r="EHI128"/>
      <c r="EHJ128"/>
      <c r="EHK128"/>
      <c r="EHL128"/>
      <c r="EHM128"/>
      <c r="EHN128"/>
      <c r="EHO128"/>
      <c r="EHP128"/>
      <c r="EHQ128"/>
      <c r="EHR128"/>
      <c r="EHS128"/>
      <c r="EHT128"/>
      <c r="EHU128"/>
      <c r="EHV128"/>
      <c r="EHW128"/>
      <c r="EHX128"/>
      <c r="EHY128"/>
      <c r="EHZ128"/>
      <c r="EIA128"/>
      <c r="EIB128"/>
      <c r="EIC128"/>
      <c r="EID128"/>
      <c r="EIE128"/>
      <c r="EIF128"/>
      <c r="EIG128"/>
      <c r="EIH128"/>
      <c r="EII128"/>
      <c r="EIJ128"/>
      <c r="EIK128"/>
      <c r="EIL128"/>
      <c r="EIM128"/>
      <c r="EIN128"/>
      <c r="EIO128"/>
      <c r="EIP128"/>
      <c r="EIQ128"/>
      <c r="EIR128"/>
      <c r="EIS128"/>
      <c r="EIT128"/>
      <c r="EIU128"/>
      <c r="EIV128"/>
      <c r="EIW128"/>
      <c r="EIX128"/>
      <c r="EIY128"/>
      <c r="EIZ128"/>
      <c r="EJA128"/>
      <c r="EJB128"/>
      <c r="EJC128"/>
      <c r="EJD128"/>
      <c r="EJE128"/>
      <c r="EJF128"/>
      <c r="EJG128"/>
      <c r="EJH128"/>
      <c r="EJI128"/>
      <c r="EJJ128"/>
      <c r="EJK128"/>
      <c r="EJL128"/>
      <c r="EJM128"/>
      <c r="EJN128"/>
      <c r="EJO128"/>
      <c r="EJP128"/>
      <c r="EJQ128"/>
      <c r="EJR128"/>
      <c r="EJS128"/>
      <c r="EJT128"/>
      <c r="EJU128"/>
      <c r="EJV128"/>
      <c r="EJW128"/>
      <c r="EJX128"/>
      <c r="EJY128"/>
      <c r="EJZ128"/>
      <c r="EKA128"/>
      <c r="EKB128"/>
      <c r="EKC128"/>
      <c r="EKD128"/>
      <c r="EKE128"/>
      <c r="EKF128"/>
      <c r="EKG128"/>
      <c r="EKH128"/>
      <c r="EKI128"/>
      <c r="EKJ128"/>
      <c r="EKK128"/>
      <c r="EKL128"/>
      <c r="EKM128"/>
      <c r="EKN128"/>
      <c r="EKO128"/>
      <c r="EKP128"/>
      <c r="EKQ128"/>
      <c r="EKR128"/>
      <c r="EKS128"/>
      <c r="EKT128"/>
      <c r="EKU128"/>
      <c r="EKV128"/>
      <c r="EKW128"/>
      <c r="EKX128"/>
      <c r="EKY128"/>
      <c r="EKZ128"/>
      <c r="ELA128"/>
      <c r="ELB128"/>
      <c r="ELC128"/>
      <c r="ELD128"/>
      <c r="ELE128"/>
      <c r="ELF128"/>
      <c r="ELG128"/>
      <c r="ELH128"/>
      <c r="ELI128"/>
      <c r="ELJ128"/>
      <c r="ELK128"/>
      <c r="ELL128"/>
      <c r="ELM128"/>
      <c r="ELN128"/>
      <c r="ELO128"/>
      <c r="ELP128"/>
      <c r="ELQ128"/>
      <c r="ELR128"/>
      <c r="ELS128"/>
      <c r="ELT128"/>
      <c r="ELU128"/>
      <c r="ELV128"/>
      <c r="ELW128"/>
      <c r="ELX128"/>
      <c r="ELY128"/>
      <c r="ELZ128"/>
      <c r="EMA128"/>
      <c r="EMB128"/>
      <c r="EMC128"/>
      <c r="EMD128"/>
      <c r="EME128"/>
      <c r="EMF128"/>
      <c r="EMG128"/>
      <c r="EMH128"/>
      <c r="EMI128"/>
      <c r="EMJ128"/>
      <c r="EMK128"/>
      <c r="EML128"/>
      <c r="EMM128"/>
      <c r="EMN128"/>
      <c r="EMO128"/>
      <c r="EMP128"/>
      <c r="EMQ128"/>
      <c r="EMR128"/>
      <c r="EMS128"/>
      <c r="EMT128"/>
      <c r="EMU128"/>
      <c r="EMV128"/>
      <c r="EMW128"/>
      <c r="EMX128"/>
      <c r="EMY128"/>
      <c r="EMZ128"/>
      <c r="ENA128"/>
      <c r="ENB128"/>
      <c r="ENC128"/>
      <c r="END128"/>
      <c r="ENE128"/>
      <c r="ENF128"/>
      <c r="ENG128"/>
      <c r="ENH128"/>
      <c r="ENI128"/>
      <c r="ENJ128"/>
      <c r="ENK128"/>
      <c r="ENL128"/>
      <c r="ENM128"/>
      <c r="ENN128"/>
      <c r="ENO128"/>
      <c r="ENP128"/>
      <c r="ENQ128"/>
      <c r="ENR128"/>
      <c r="ENS128"/>
      <c r="ENT128"/>
      <c r="ENU128"/>
      <c r="ENV128"/>
      <c r="ENW128"/>
      <c r="ENX128"/>
      <c r="ENY128"/>
      <c r="ENZ128"/>
      <c r="EOA128"/>
      <c r="EOB128"/>
      <c r="EOC128"/>
      <c r="EOD128"/>
      <c r="EOE128"/>
      <c r="EOF128"/>
      <c r="EOG128"/>
      <c r="EOH128"/>
      <c r="EOI128"/>
      <c r="EOJ128"/>
      <c r="EOK128"/>
      <c r="EOL128"/>
      <c r="EOM128"/>
      <c r="EON128"/>
      <c r="EOO128"/>
      <c r="EOP128"/>
      <c r="EOQ128"/>
      <c r="EOR128"/>
      <c r="EOS128"/>
      <c r="EOT128"/>
      <c r="EOU128"/>
      <c r="EOV128"/>
      <c r="EOW128"/>
      <c r="EOX128"/>
      <c r="EOY128"/>
      <c r="EOZ128"/>
      <c r="EPA128"/>
      <c r="EPB128"/>
      <c r="EPC128"/>
      <c r="EPD128"/>
      <c r="EPE128"/>
      <c r="EPF128"/>
      <c r="EPG128"/>
      <c r="EPH128"/>
      <c r="EPI128"/>
      <c r="EPJ128"/>
      <c r="EPK128"/>
      <c r="EPL128"/>
      <c r="EPM128"/>
      <c r="EPN128"/>
      <c r="EPO128"/>
      <c r="EPP128"/>
      <c r="EPQ128"/>
      <c r="EPR128"/>
      <c r="EPS128"/>
      <c r="EPT128"/>
      <c r="EPU128"/>
      <c r="EPV128"/>
      <c r="EPW128"/>
      <c r="EPX128"/>
      <c r="EPY128"/>
      <c r="EPZ128"/>
      <c r="EQA128"/>
      <c r="EQB128"/>
      <c r="EQC128"/>
      <c r="EQD128"/>
      <c r="EQE128"/>
      <c r="EQF128"/>
      <c r="EQG128"/>
      <c r="EQH128"/>
      <c r="EQI128"/>
      <c r="EQJ128"/>
      <c r="EQK128"/>
      <c r="EQL128"/>
      <c r="EQM128"/>
      <c r="EQN128"/>
      <c r="EQO128"/>
      <c r="EQP128"/>
      <c r="EQQ128"/>
      <c r="EQR128"/>
      <c r="EQS128"/>
      <c r="EQT128"/>
      <c r="EQU128"/>
      <c r="EQV128"/>
      <c r="EQW128"/>
      <c r="EQX128"/>
      <c r="EQY128"/>
      <c r="EQZ128"/>
      <c r="ERA128"/>
      <c r="ERB128"/>
      <c r="ERC128"/>
      <c r="ERD128"/>
      <c r="ERE128"/>
      <c r="ERF128"/>
      <c r="ERG128"/>
      <c r="ERH128"/>
      <c r="ERI128"/>
      <c r="ERJ128"/>
      <c r="ERK128"/>
      <c r="ERL128"/>
      <c r="ERM128"/>
      <c r="ERN128"/>
      <c r="ERO128"/>
      <c r="ERP128"/>
      <c r="ERQ128"/>
      <c r="ERR128"/>
      <c r="ERS128"/>
      <c r="ERT128"/>
      <c r="ERU128"/>
      <c r="ERV128"/>
      <c r="ERW128"/>
      <c r="ERX128"/>
      <c r="ERY128"/>
      <c r="ERZ128"/>
      <c r="ESA128"/>
      <c r="ESB128"/>
      <c r="ESC128"/>
      <c r="ESD128"/>
      <c r="ESE128"/>
      <c r="ESF128"/>
      <c r="ESG128"/>
      <c r="ESH128"/>
      <c r="ESI128"/>
      <c r="ESJ128"/>
      <c r="ESK128"/>
      <c r="ESL128"/>
      <c r="ESM128"/>
      <c r="ESN128"/>
      <c r="ESO128"/>
      <c r="ESP128"/>
      <c r="ESQ128"/>
      <c r="ESR128"/>
      <c r="ESS128"/>
      <c r="EST128"/>
      <c r="ESU128"/>
      <c r="ESV128"/>
      <c r="ESW128"/>
      <c r="ESX128"/>
      <c r="ESY128"/>
      <c r="ESZ128"/>
      <c r="ETA128"/>
      <c r="ETB128"/>
      <c r="ETC128"/>
      <c r="ETD128"/>
      <c r="ETE128"/>
      <c r="ETF128"/>
      <c r="ETG128"/>
      <c r="ETH128"/>
      <c r="ETI128"/>
      <c r="ETJ128"/>
      <c r="ETK128"/>
      <c r="ETL128"/>
      <c r="ETM128"/>
      <c r="ETN128"/>
      <c r="ETO128"/>
      <c r="ETP128"/>
      <c r="ETQ128"/>
      <c r="ETR128"/>
      <c r="ETS128"/>
      <c r="ETT128"/>
      <c r="ETU128"/>
      <c r="ETV128"/>
      <c r="ETW128"/>
      <c r="ETX128"/>
      <c r="ETY128"/>
      <c r="ETZ128"/>
      <c r="EUA128"/>
      <c r="EUB128"/>
      <c r="EUC128"/>
      <c r="EUD128"/>
      <c r="EUE128"/>
      <c r="EUF128"/>
      <c r="EUG128"/>
      <c r="EUH128"/>
      <c r="EUI128"/>
      <c r="EUJ128"/>
      <c r="EUK128"/>
      <c r="EUL128"/>
      <c r="EUM128"/>
      <c r="EUN128"/>
      <c r="EUO128"/>
      <c r="EUP128"/>
      <c r="EUQ128"/>
      <c r="EUR128"/>
      <c r="EUS128"/>
      <c r="EUT128"/>
      <c r="EUU128"/>
      <c r="EUV128"/>
      <c r="EUW128"/>
      <c r="EUX128"/>
      <c r="EUY128"/>
      <c r="EUZ128"/>
      <c r="EVA128"/>
      <c r="EVB128"/>
      <c r="EVC128"/>
      <c r="EVD128"/>
      <c r="EVE128"/>
      <c r="EVF128"/>
      <c r="EVG128"/>
      <c r="EVH128"/>
      <c r="EVI128"/>
      <c r="EVJ128"/>
      <c r="EVK128"/>
      <c r="EVL128"/>
      <c r="EVM128"/>
      <c r="EVN128"/>
      <c r="EVO128"/>
      <c r="EVP128"/>
      <c r="EVQ128"/>
      <c r="EVR128"/>
      <c r="EVS128"/>
      <c r="EVT128"/>
      <c r="EVU128"/>
      <c r="EVV128"/>
      <c r="EVW128"/>
      <c r="EVX128"/>
      <c r="EVY128"/>
      <c r="EVZ128"/>
      <c r="EWA128"/>
      <c r="EWB128"/>
      <c r="EWC128"/>
      <c r="EWD128"/>
      <c r="EWE128"/>
      <c r="EWF128"/>
      <c r="EWG128"/>
      <c r="EWH128"/>
      <c r="EWI128"/>
      <c r="EWJ128"/>
      <c r="EWK128"/>
      <c r="EWL128"/>
      <c r="EWM128"/>
      <c r="EWN128"/>
      <c r="EWO128"/>
      <c r="EWP128"/>
      <c r="EWQ128"/>
      <c r="EWR128"/>
      <c r="EWS128"/>
      <c r="EWT128"/>
      <c r="EWU128"/>
      <c r="EWV128"/>
      <c r="EWW128"/>
      <c r="EWX128"/>
      <c r="EWY128"/>
      <c r="EWZ128"/>
      <c r="EXA128"/>
      <c r="EXB128"/>
      <c r="EXC128"/>
      <c r="EXD128"/>
      <c r="EXE128"/>
      <c r="EXF128"/>
      <c r="EXG128"/>
      <c r="EXH128"/>
      <c r="EXI128"/>
      <c r="EXJ128"/>
      <c r="EXK128"/>
      <c r="EXL128"/>
      <c r="EXM128"/>
      <c r="EXN128"/>
      <c r="EXO128"/>
      <c r="EXP128"/>
      <c r="EXQ128"/>
      <c r="EXR128"/>
      <c r="EXS128"/>
      <c r="EXT128"/>
      <c r="EXU128"/>
      <c r="EXV128"/>
      <c r="EXW128"/>
      <c r="EXX128"/>
      <c r="EXY128"/>
      <c r="EXZ128"/>
      <c r="EYA128"/>
      <c r="EYB128"/>
      <c r="EYC128"/>
      <c r="EYD128"/>
      <c r="EYE128"/>
      <c r="EYF128"/>
      <c r="EYG128"/>
      <c r="EYH128"/>
      <c r="EYI128"/>
      <c r="EYJ128"/>
      <c r="EYK128"/>
      <c r="EYL128"/>
      <c r="EYM128"/>
      <c r="EYN128"/>
      <c r="EYO128"/>
      <c r="EYP128"/>
      <c r="EYQ128"/>
      <c r="EYR128"/>
      <c r="EYS128"/>
      <c r="EYT128"/>
      <c r="EYU128"/>
      <c r="EYV128"/>
      <c r="EYW128"/>
      <c r="EYX128"/>
      <c r="EYY128"/>
      <c r="EYZ128"/>
      <c r="EZA128"/>
      <c r="EZB128"/>
      <c r="EZC128"/>
      <c r="EZD128"/>
      <c r="EZE128"/>
      <c r="EZF128"/>
      <c r="EZG128"/>
      <c r="EZH128"/>
      <c r="EZI128"/>
      <c r="EZJ128"/>
      <c r="EZK128"/>
      <c r="EZL128"/>
      <c r="EZM128"/>
      <c r="EZN128"/>
      <c r="EZO128"/>
      <c r="EZP128"/>
      <c r="EZQ128"/>
      <c r="EZR128"/>
      <c r="EZS128"/>
      <c r="EZT128"/>
      <c r="EZU128"/>
      <c r="EZV128"/>
      <c r="EZW128"/>
      <c r="EZX128"/>
      <c r="EZY128"/>
      <c r="EZZ128"/>
      <c r="FAA128"/>
      <c r="FAB128"/>
      <c r="FAC128"/>
      <c r="FAD128"/>
      <c r="FAE128"/>
      <c r="FAF128"/>
      <c r="FAG128"/>
      <c r="FAH128"/>
      <c r="FAI128"/>
      <c r="FAJ128"/>
      <c r="FAK128"/>
      <c r="FAL128"/>
      <c r="FAM128"/>
      <c r="FAN128"/>
      <c r="FAO128"/>
      <c r="FAP128"/>
      <c r="FAQ128"/>
      <c r="FAR128"/>
      <c r="FAS128"/>
      <c r="FAT128"/>
      <c r="FAU128"/>
      <c r="FAV128"/>
      <c r="FAW128"/>
      <c r="FAX128"/>
      <c r="FAY128"/>
      <c r="FAZ128"/>
      <c r="FBA128"/>
      <c r="FBB128"/>
      <c r="FBC128"/>
      <c r="FBD128"/>
      <c r="FBE128"/>
      <c r="FBF128"/>
      <c r="FBG128"/>
      <c r="FBH128"/>
      <c r="FBI128"/>
      <c r="FBJ128"/>
      <c r="FBK128"/>
      <c r="FBL128"/>
      <c r="FBM128"/>
      <c r="FBN128"/>
      <c r="FBO128"/>
      <c r="FBP128"/>
      <c r="FBQ128"/>
      <c r="FBR128"/>
      <c r="FBS128"/>
      <c r="FBT128"/>
      <c r="FBU128"/>
      <c r="FBV128"/>
      <c r="FBW128"/>
      <c r="FBX128"/>
      <c r="FBY128"/>
      <c r="FBZ128"/>
      <c r="FCA128"/>
      <c r="FCB128"/>
      <c r="FCC128"/>
      <c r="FCD128"/>
      <c r="FCE128"/>
      <c r="FCF128"/>
      <c r="FCG128"/>
      <c r="FCH128"/>
      <c r="FCI128"/>
      <c r="FCJ128"/>
      <c r="FCK128"/>
      <c r="FCL128"/>
      <c r="FCM128"/>
      <c r="FCN128"/>
      <c r="FCO128"/>
      <c r="FCP128"/>
      <c r="FCQ128"/>
      <c r="FCR128"/>
      <c r="FCS128"/>
      <c r="FCT128"/>
      <c r="FCU128"/>
      <c r="FCV128"/>
      <c r="FCW128"/>
      <c r="FCX128"/>
      <c r="FCY128"/>
      <c r="FCZ128"/>
      <c r="FDA128"/>
      <c r="FDB128"/>
      <c r="FDC128"/>
      <c r="FDD128"/>
      <c r="FDE128"/>
      <c r="FDF128"/>
      <c r="FDG128"/>
      <c r="FDH128"/>
      <c r="FDI128"/>
      <c r="FDJ128"/>
      <c r="FDK128"/>
      <c r="FDL128"/>
      <c r="FDM128"/>
      <c r="FDN128"/>
      <c r="FDO128"/>
      <c r="FDP128"/>
      <c r="FDQ128"/>
      <c r="FDR128"/>
      <c r="FDS128"/>
      <c r="FDT128"/>
      <c r="FDU128"/>
      <c r="FDV128"/>
      <c r="FDW128"/>
      <c r="FDX128"/>
      <c r="FDY128"/>
      <c r="FDZ128"/>
      <c r="FEA128"/>
      <c r="FEB128"/>
      <c r="FEC128"/>
      <c r="FED128"/>
      <c r="FEE128"/>
      <c r="FEF128"/>
      <c r="FEG128"/>
      <c r="FEH128"/>
      <c r="FEI128"/>
      <c r="FEJ128"/>
      <c r="FEK128"/>
      <c r="FEL128"/>
      <c r="FEM128"/>
      <c r="FEN128"/>
      <c r="FEO128"/>
      <c r="FEP128"/>
      <c r="FEQ128"/>
      <c r="FER128"/>
      <c r="FES128"/>
      <c r="FET128"/>
      <c r="FEU128"/>
      <c r="FEV128"/>
      <c r="FEW128"/>
      <c r="FEX128"/>
      <c r="FEY128"/>
      <c r="FEZ128"/>
      <c r="FFA128"/>
      <c r="FFB128"/>
      <c r="FFC128"/>
      <c r="FFD128"/>
      <c r="FFE128"/>
      <c r="FFF128"/>
      <c r="FFG128"/>
      <c r="FFH128"/>
      <c r="FFI128"/>
      <c r="FFJ128"/>
      <c r="FFK128"/>
      <c r="FFL128"/>
      <c r="FFM128"/>
      <c r="FFN128"/>
      <c r="FFO128"/>
      <c r="FFP128"/>
      <c r="FFQ128"/>
      <c r="FFR128"/>
      <c r="FFS128"/>
      <c r="FFT128"/>
      <c r="FFU128"/>
      <c r="FFV128"/>
      <c r="FFW128"/>
      <c r="FFX128"/>
      <c r="FFY128"/>
      <c r="FFZ128"/>
      <c r="FGA128"/>
      <c r="FGB128"/>
      <c r="FGC128"/>
      <c r="FGD128"/>
      <c r="FGE128"/>
      <c r="FGF128"/>
      <c r="FGG128"/>
      <c r="FGH128"/>
      <c r="FGI128"/>
      <c r="FGJ128"/>
      <c r="FGK128"/>
      <c r="FGL128"/>
      <c r="FGM128"/>
      <c r="FGN128"/>
      <c r="FGO128"/>
      <c r="FGP128"/>
      <c r="FGQ128"/>
      <c r="FGR128"/>
      <c r="FGS128"/>
      <c r="FGT128"/>
      <c r="FGU128"/>
      <c r="FGV128"/>
      <c r="FGW128"/>
      <c r="FGX128"/>
      <c r="FGY128"/>
      <c r="FGZ128"/>
      <c r="FHA128"/>
      <c r="FHB128"/>
      <c r="FHC128"/>
      <c r="FHD128"/>
      <c r="FHE128"/>
      <c r="FHF128"/>
      <c r="FHG128"/>
      <c r="FHH128"/>
      <c r="FHI128"/>
      <c r="FHJ128"/>
      <c r="FHK128"/>
      <c r="FHL128"/>
      <c r="FHM128"/>
      <c r="FHN128"/>
      <c r="FHO128"/>
      <c r="FHP128"/>
      <c r="FHQ128"/>
      <c r="FHR128"/>
      <c r="FHS128"/>
      <c r="FHT128"/>
      <c r="FHU128"/>
      <c r="FHV128"/>
      <c r="FHW128"/>
      <c r="FHX128"/>
      <c r="FHY128"/>
      <c r="FHZ128"/>
      <c r="FIA128"/>
      <c r="FIB128"/>
      <c r="FIC128"/>
      <c r="FID128"/>
      <c r="FIE128"/>
      <c r="FIF128"/>
      <c r="FIG128"/>
      <c r="FIH128"/>
      <c r="FII128"/>
      <c r="FIJ128"/>
      <c r="FIK128"/>
      <c r="FIL128"/>
      <c r="FIM128"/>
      <c r="FIN128"/>
      <c r="FIO128"/>
      <c r="FIP128"/>
      <c r="FIQ128"/>
      <c r="FIR128"/>
      <c r="FIS128"/>
      <c r="FIT128"/>
      <c r="FIU128"/>
      <c r="FIV128"/>
      <c r="FIW128"/>
      <c r="FIX128"/>
      <c r="FIY128"/>
      <c r="FIZ128"/>
      <c r="FJA128"/>
      <c r="FJB128"/>
      <c r="FJC128"/>
      <c r="FJD128"/>
      <c r="FJE128"/>
      <c r="FJF128"/>
      <c r="FJG128"/>
      <c r="FJH128"/>
      <c r="FJI128"/>
      <c r="FJJ128"/>
      <c r="FJK128"/>
      <c r="FJL128"/>
      <c r="FJM128"/>
      <c r="FJN128"/>
      <c r="FJO128"/>
      <c r="FJP128"/>
      <c r="FJQ128"/>
      <c r="FJR128"/>
      <c r="FJS128"/>
      <c r="FJT128"/>
      <c r="FJU128"/>
      <c r="FJV128"/>
      <c r="FJW128"/>
      <c r="FJX128"/>
      <c r="FJY128"/>
      <c r="FJZ128"/>
      <c r="FKA128"/>
      <c r="FKB128"/>
      <c r="FKC128"/>
      <c r="FKD128"/>
      <c r="FKE128"/>
      <c r="FKF128"/>
      <c r="FKG128"/>
      <c r="FKH128"/>
      <c r="FKI128"/>
      <c r="FKJ128"/>
      <c r="FKK128"/>
      <c r="FKL128"/>
      <c r="FKM128"/>
      <c r="FKN128"/>
      <c r="FKO128"/>
      <c r="FKP128"/>
      <c r="FKQ128"/>
      <c r="FKR128"/>
      <c r="FKS128"/>
      <c r="FKT128"/>
      <c r="FKU128"/>
      <c r="FKV128"/>
      <c r="FKW128"/>
      <c r="FKX128"/>
      <c r="FKY128"/>
      <c r="FKZ128"/>
      <c r="FLA128"/>
      <c r="FLB128"/>
      <c r="FLC128"/>
      <c r="FLD128"/>
      <c r="FLE128"/>
      <c r="FLF128"/>
      <c r="FLG128"/>
      <c r="FLH128"/>
      <c r="FLI128"/>
      <c r="FLJ128"/>
      <c r="FLK128"/>
      <c r="FLL128"/>
      <c r="FLM128"/>
      <c r="FLN128"/>
      <c r="FLO128"/>
      <c r="FLP128"/>
      <c r="FLQ128"/>
      <c r="FLR128"/>
      <c r="FLS128"/>
      <c r="FLT128"/>
      <c r="FLU128"/>
      <c r="FLV128"/>
      <c r="FLW128"/>
      <c r="FLX128"/>
      <c r="FLY128"/>
      <c r="FLZ128"/>
      <c r="FMA128"/>
      <c r="FMB128"/>
      <c r="FMC128"/>
      <c r="FMD128"/>
      <c r="FME128"/>
      <c r="FMF128"/>
      <c r="FMG128"/>
      <c r="FMH128"/>
      <c r="FMI128"/>
      <c r="FMJ128"/>
      <c r="FMK128"/>
      <c r="FML128"/>
      <c r="FMM128"/>
      <c r="FMN128"/>
      <c r="FMO128"/>
      <c r="FMP128"/>
      <c r="FMQ128"/>
      <c r="FMR128"/>
      <c r="FMS128"/>
      <c r="FMT128"/>
      <c r="FMU128"/>
      <c r="FMV128"/>
      <c r="FMW128"/>
      <c r="FMX128"/>
      <c r="FMY128"/>
      <c r="FMZ128"/>
      <c r="FNA128"/>
      <c r="FNB128"/>
      <c r="FNC128"/>
      <c r="FND128"/>
      <c r="FNE128"/>
      <c r="FNF128"/>
      <c r="FNG128"/>
      <c r="FNH128"/>
      <c r="FNI128"/>
      <c r="FNJ128"/>
      <c r="FNK128"/>
      <c r="FNL128"/>
      <c r="FNM128"/>
      <c r="FNN128"/>
      <c r="FNO128"/>
      <c r="FNP128"/>
      <c r="FNQ128"/>
      <c r="FNR128"/>
      <c r="FNS128"/>
      <c r="FNT128"/>
      <c r="FNU128"/>
      <c r="FNV128"/>
      <c r="FNW128"/>
      <c r="FNX128"/>
      <c r="FNY128"/>
      <c r="FNZ128"/>
      <c r="FOA128"/>
      <c r="FOB128"/>
      <c r="FOC128"/>
      <c r="FOD128"/>
      <c r="FOE128"/>
      <c r="FOF128"/>
      <c r="FOG128"/>
      <c r="FOH128"/>
      <c r="FOI128"/>
      <c r="FOJ128"/>
      <c r="FOK128"/>
      <c r="FOL128"/>
      <c r="FOM128"/>
      <c r="FON128"/>
      <c r="FOO128"/>
      <c r="FOP128"/>
      <c r="FOQ128"/>
      <c r="FOR128"/>
      <c r="FOS128"/>
      <c r="FOT128"/>
      <c r="FOU128"/>
      <c r="FOV128"/>
      <c r="FOW128"/>
      <c r="FOX128"/>
      <c r="FOY128"/>
      <c r="FOZ128"/>
      <c r="FPA128"/>
      <c r="FPB128"/>
      <c r="FPC128"/>
      <c r="FPD128"/>
      <c r="FPE128"/>
      <c r="FPF128"/>
      <c r="FPG128"/>
      <c r="FPH128"/>
      <c r="FPI128"/>
      <c r="FPJ128"/>
      <c r="FPK128"/>
      <c r="FPL128"/>
      <c r="FPM128"/>
      <c r="FPN128"/>
      <c r="FPO128"/>
      <c r="FPP128"/>
      <c r="FPQ128"/>
      <c r="FPR128"/>
      <c r="FPS128"/>
      <c r="FPT128"/>
      <c r="FPU128"/>
      <c r="FPV128"/>
      <c r="FPW128"/>
      <c r="FPX128"/>
      <c r="FPY128"/>
      <c r="FPZ128"/>
      <c r="FQA128"/>
      <c r="FQB128"/>
      <c r="FQC128"/>
      <c r="FQD128"/>
      <c r="FQE128"/>
      <c r="FQF128"/>
      <c r="FQG128"/>
      <c r="FQH128"/>
      <c r="FQI128"/>
      <c r="FQJ128"/>
      <c r="FQK128"/>
      <c r="FQL128"/>
      <c r="FQM128"/>
      <c r="FQN128"/>
      <c r="FQO128"/>
      <c r="FQP128"/>
      <c r="FQQ128"/>
      <c r="FQR128"/>
      <c r="FQS128"/>
      <c r="FQT128"/>
      <c r="FQU128"/>
      <c r="FQV128"/>
      <c r="FQW128"/>
      <c r="FQX128"/>
      <c r="FQY128"/>
      <c r="FQZ128"/>
      <c r="FRA128"/>
      <c r="FRB128"/>
      <c r="FRC128"/>
      <c r="FRD128"/>
      <c r="FRE128"/>
      <c r="FRF128"/>
      <c r="FRG128"/>
      <c r="FRH128"/>
      <c r="FRI128"/>
      <c r="FRJ128"/>
      <c r="FRK128"/>
      <c r="FRL128"/>
      <c r="FRM128"/>
      <c r="FRN128"/>
      <c r="FRO128"/>
      <c r="FRP128"/>
      <c r="FRQ128"/>
      <c r="FRR128"/>
      <c r="FRS128"/>
      <c r="FRT128"/>
      <c r="FRU128"/>
      <c r="FRV128"/>
      <c r="FRW128"/>
      <c r="FRX128"/>
      <c r="FRY128"/>
      <c r="FRZ128"/>
      <c r="FSA128"/>
      <c r="FSB128"/>
      <c r="FSC128"/>
      <c r="FSD128"/>
      <c r="FSE128"/>
      <c r="FSF128"/>
      <c r="FSG128"/>
      <c r="FSH128"/>
      <c r="FSI128"/>
      <c r="FSJ128"/>
      <c r="FSK128"/>
      <c r="FSL128"/>
      <c r="FSM128"/>
      <c r="FSN128"/>
      <c r="FSO128"/>
      <c r="FSP128"/>
      <c r="FSQ128"/>
      <c r="FSR128"/>
      <c r="FSS128"/>
      <c r="FST128"/>
      <c r="FSU128"/>
      <c r="FSV128"/>
      <c r="FSW128"/>
      <c r="FSX128"/>
      <c r="FSY128"/>
      <c r="FSZ128"/>
      <c r="FTA128"/>
      <c r="FTB128"/>
      <c r="FTC128"/>
      <c r="FTD128"/>
      <c r="FTE128"/>
      <c r="FTF128"/>
      <c r="FTG128"/>
      <c r="FTH128"/>
      <c r="FTI128"/>
      <c r="FTJ128"/>
      <c r="FTK128"/>
      <c r="FTL128"/>
      <c r="FTM128"/>
      <c r="FTN128"/>
      <c r="FTO128"/>
      <c r="FTP128"/>
      <c r="FTQ128"/>
      <c r="FTR128"/>
      <c r="FTS128"/>
      <c r="FTT128"/>
      <c r="FTU128"/>
      <c r="FTV128"/>
      <c r="FTW128"/>
      <c r="FTX128"/>
      <c r="FTY128"/>
      <c r="FTZ128"/>
      <c r="FUA128"/>
      <c r="FUB128"/>
      <c r="FUC128"/>
      <c r="FUD128"/>
      <c r="FUE128"/>
      <c r="FUF128"/>
      <c r="FUG128"/>
      <c r="FUH128"/>
      <c r="FUI128"/>
      <c r="FUJ128"/>
      <c r="FUK128"/>
      <c r="FUL128"/>
      <c r="FUM128"/>
      <c r="FUN128"/>
      <c r="FUO128"/>
      <c r="FUP128"/>
      <c r="FUQ128"/>
      <c r="FUR128"/>
      <c r="FUS128"/>
      <c r="FUT128"/>
      <c r="FUU128"/>
      <c r="FUV128"/>
      <c r="FUW128"/>
      <c r="FUX128"/>
      <c r="FUY128"/>
      <c r="FUZ128"/>
      <c r="FVA128"/>
      <c r="FVB128"/>
      <c r="FVC128"/>
      <c r="FVD128"/>
      <c r="FVE128"/>
      <c r="FVF128"/>
      <c r="FVG128"/>
      <c r="FVH128"/>
      <c r="FVI128"/>
      <c r="FVJ128"/>
      <c r="FVK128"/>
      <c r="FVL128"/>
      <c r="FVM128"/>
      <c r="FVN128"/>
      <c r="FVO128"/>
      <c r="FVP128"/>
      <c r="FVQ128"/>
      <c r="FVR128"/>
      <c r="FVS128"/>
      <c r="FVT128"/>
      <c r="FVU128"/>
      <c r="FVV128"/>
      <c r="FVW128"/>
      <c r="FVX128"/>
      <c r="FVY128"/>
      <c r="FVZ128"/>
      <c r="FWA128"/>
      <c r="FWB128"/>
      <c r="FWC128"/>
      <c r="FWD128"/>
      <c r="FWE128"/>
      <c r="FWF128"/>
      <c r="FWG128"/>
      <c r="FWH128"/>
      <c r="FWI128"/>
      <c r="FWJ128"/>
      <c r="FWK128"/>
      <c r="FWL128"/>
      <c r="FWM128"/>
      <c r="FWN128"/>
      <c r="FWO128"/>
      <c r="FWP128"/>
      <c r="FWQ128"/>
      <c r="FWR128"/>
      <c r="FWS128"/>
      <c r="FWT128"/>
      <c r="FWU128"/>
      <c r="FWV128"/>
      <c r="FWW128"/>
      <c r="FWX128"/>
      <c r="FWY128"/>
      <c r="FWZ128"/>
      <c r="FXA128"/>
      <c r="FXB128"/>
      <c r="FXC128"/>
      <c r="FXD128"/>
      <c r="FXE128"/>
      <c r="FXF128"/>
      <c r="FXG128"/>
      <c r="FXH128"/>
      <c r="FXI128"/>
      <c r="FXJ128"/>
      <c r="FXK128"/>
      <c r="FXL128"/>
      <c r="FXM128"/>
      <c r="FXN128"/>
      <c r="FXO128"/>
      <c r="FXP128"/>
      <c r="FXQ128"/>
      <c r="FXR128"/>
      <c r="FXS128"/>
      <c r="FXT128"/>
      <c r="FXU128"/>
      <c r="FXV128"/>
      <c r="FXW128"/>
      <c r="FXX128"/>
      <c r="FXY128"/>
      <c r="FXZ128"/>
      <c r="FYA128"/>
      <c r="FYB128"/>
      <c r="FYC128"/>
      <c r="FYD128"/>
      <c r="FYE128"/>
      <c r="FYF128"/>
      <c r="FYG128"/>
      <c r="FYH128"/>
      <c r="FYI128"/>
      <c r="FYJ128"/>
      <c r="FYK128"/>
      <c r="FYL128"/>
      <c r="FYM128"/>
      <c r="FYN128"/>
      <c r="FYO128"/>
      <c r="FYP128"/>
      <c r="FYQ128"/>
      <c r="FYR128"/>
      <c r="FYS128"/>
      <c r="FYT128"/>
      <c r="FYU128"/>
      <c r="FYV128"/>
      <c r="FYW128"/>
      <c r="FYX128"/>
      <c r="FYY128"/>
      <c r="FYZ128"/>
      <c r="FZA128"/>
      <c r="FZB128"/>
      <c r="FZC128"/>
      <c r="FZD128"/>
      <c r="FZE128"/>
      <c r="FZF128"/>
      <c r="FZG128"/>
      <c r="FZH128"/>
      <c r="FZI128"/>
      <c r="FZJ128"/>
      <c r="FZK128"/>
      <c r="FZL128"/>
      <c r="FZM128"/>
      <c r="FZN128"/>
      <c r="FZO128"/>
      <c r="FZP128"/>
      <c r="FZQ128"/>
      <c r="FZR128"/>
      <c r="FZS128"/>
      <c r="FZT128"/>
      <c r="FZU128"/>
      <c r="FZV128"/>
      <c r="FZW128"/>
      <c r="FZX128"/>
      <c r="FZY128"/>
      <c r="FZZ128"/>
      <c r="GAA128"/>
      <c r="GAB128"/>
      <c r="GAC128"/>
      <c r="GAD128"/>
      <c r="GAE128"/>
      <c r="GAF128"/>
      <c r="GAG128"/>
      <c r="GAH128"/>
      <c r="GAI128"/>
      <c r="GAJ128"/>
      <c r="GAK128"/>
      <c r="GAL128"/>
      <c r="GAM128"/>
      <c r="GAN128"/>
      <c r="GAO128"/>
      <c r="GAP128"/>
      <c r="GAQ128"/>
      <c r="GAR128"/>
      <c r="GAS128"/>
      <c r="GAT128"/>
      <c r="GAU128"/>
      <c r="GAV128"/>
      <c r="GAW128"/>
      <c r="GAX128"/>
      <c r="GAY128"/>
      <c r="GAZ128"/>
      <c r="GBA128"/>
      <c r="GBB128"/>
      <c r="GBC128"/>
      <c r="GBD128"/>
      <c r="GBE128"/>
      <c r="GBF128"/>
      <c r="GBG128"/>
      <c r="GBH128"/>
      <c r="GBI128"/>
      <c r="GBJ128"/>
      <c r="GBK128"/>
      <c r="GBL128"/>
      <c r="GBM128"/>
      <c r="GBN128"/>
      <c r="GBO128"/>
      <c r="GBP128"/>
      <c r="GBQ128"/>
      <c r="GBR128"/>
      <c r="GBS128"/>
      <c r="GBT128"/>
      <c r="GBU128"/>
      <c r="GBV128"/>
      <c r="GBW128"/>
      <c r="GBX128"/>
      <c r="GBY128"/>
      <c r="GBZ128"/>
      <c r="GCA128"/>
      <c r="GCB128"/>
      <c r="GCC128"/>
      <c r="GCD128"/>
      <c r="GCE128"/>
      <c r="GCF128"/>
      <c r="GCG128"/>
      <c r="GCH128"/>
      <c r="GCI128"/>
      <c r="GCJ128"/>
      <c r="GCK128"/>
      <c r="GCL128"/>
      <c r="GCM128"/>
      <c r="GCN128"/>
      <c r="GCO128"/>
      <c r="GCP128"/>
      <c r="GCQ128"/>
      <c r="GCR128"/>
      <c r="GCS128"/>
      <c r="GCT128"/>
      <c r="GCU128"/>
      <c r="GCV128"/>
      <c r="GCW128"/>
      <c r="GCX128"/>
      <c r="GCY128"/>
      <c r="GCZ128"/>
      <c r="GDA128"/>
      <c r="GDB128"/>
      <c r="GDC128"/>
      <c r="GDD128"/>
      <c r="GDE128"/>
      <c r="GDF128"/>
      <c r="GDG128"/>
      <c r="GDH128"/>
      <c r="GDI128"/>
      <c r="GDJ128"/>
      <c r="GDK128"/>
      <c r="GDL128"/>
      <c r="GDM128"/>
      <c r="GDN128"/>
      <c r="GDO128"/>
      <c r="GDP128"/>
      <c r="GDQ128"/>
      <c r="GDR128"/>
      <c r="GDS128"/>
      <c r="GDT128"/>
      <c r="GDU128"/>
      <c r="GDV128"/>
      <c r="GDW128"/>
      <c r="GDX128"/>
      <c r="GDY128"/>
      <c r="GDZ128"/>
      <c r="GEA128"/>
      <c r="GEB128"/>
      <c r="GEC128"/>
      <c r="GED128"/>
      <c r="GEE128"/>
      <c r="GEF128"/>
      <c r="GEG128"/>
      <c r="GEH128"/>
      <c r="GEI128"/>
      <c r="GEJ128"/>
      <c r="GEK128"/>
      <c r="GEL128"/>
      <c r="GEM128"/>
      <c r="GEN128"/>
      <c r="GEO128"/>
      <c r="GEP128"/>
      <c r="GEQ128"/>
      <c r="GER128"/>
      <c r="GES128"/>
      <c r="GET128"/>
      <c r="GEU128"/>
      <c r="GEV128"/>
      <c r="GEW128"/>
      <c r="GEX128"/>
      <c r="GEY128"/>
      <c r="GEZ128"/>
      <c r="GFA128"/>
      <c r="GFB128"/>
      <c r="GFC128"/>
      <c r="GFD128"/>
      <c r="GFE128"/>
      <c r="GFF128"/>
      <c r="GFG128"/>
      <c r="GFH128"/>
      <c r="GFI128"/>
      <c r="GFJ128"/>
      <c r="GFK128"/>
      <c r="GFL128"/>
      <c r="GFM128"/>
      <c r="GFN128"/>
      <c r="GFO128"/>
      <c r="GFP128"/>
      <c r="GFQ128"/>
      <c r="GFR128"/>
      <c r="GFS128"/>
      <c r="GFT128"/>
      <c r="GFU128"/>
      <c r="GFV128"/>
      <c r="GFW128"/>
      <c r="GFX128"/>
      <c r="GFY128"/>
      <c r="GFZ128"/>
      <c r="GGA128"/>
      <c r="GGB128"/>
      <c r="GGC128"/>
      <c r="GGD128"/>
      <c r="GGE128"/>
      <c r="GGF128"/>
      <c r="GGG128"/>
      <c r="GGH128"/>
      <c r="GGI128"/>
      <c r="GGJ128"/>
      <c r="GGK128"/>
      <c r="GGL128"/>
      <c r="GGM128"/>
      <c r="GGN128"/>
      <c r="GGO128"/>
      <c r="GGP128"/>
      <c r="GGQ128"/>
      <c r="GGR128"/>
      <c r="GGS128"/>
      <c r="GGT128"/>
      <c r="GGU128"/>
      <c r="GGV128"/>
      <c r="GGW128"/>
      <c r="GGX128"/>
      <c r="GGY128"/>
      <c r="GGZ128"/>
      <c r="GHA128"/>
      <c r="GHB128"/>
      <c r="GHC128"/>
      <c r="GHD128"/>
      <c r="GHE128"/>
      <c r="GHF128"/>
      <c r="GHG128"/>
      <c r="GHH128"/>
      <c r="GHI128"/>
      <c r="GHJ128"/>
      <c r="GHK128"/>
      <c r="GHL128"/>
      <c r="GHM128"/>
      <c r="GHN128"/>
      <c r="GHO128"/>
      <c r="GHP128"/>
      <c r="GHQ128"/>
      <c r="GHR128"/>
      <c r="GHS128"/>
      <c r="GHT128"/>
      <c r="GHU128"/>
      <c r="GHV128"/>
      <c r="GHW128"/>
      <c r="GHX128"/>
      <c r="GHY128"/>
      <c r="GHZ128"/>
      <c r="GIA128"/>
      <c r="GIB128"/>
      <c r="GIC128"/>
      <c r="GID128"/>
      <c r="GIE128"/>
      <c r="GIF128"/>
      <c r="GIG128"/>
      <c r="GIH128"/>
      <c r="GII128"/>
      <c r="GIJ128"/>
      <c r="GIK128"/>
      <c r="GIL128"/>
      <c r="GIM128"/>
      <c r="GIN128"/>
      <c r="GIO128"/>
      <c r="GIP128"/>
      <c r="GIQ128"/>
      <c r="GIR128"/>
      <c r="GIS128"/>
      <c r="GIT128"/>
      <c r="GIU128"/>
      <c r="GIV128"/>
      <c r="GIW128"/>
      <c r="GIX128"/>
      <c r="GIY128"/>
      <c r="GIZ128"/>
      <c r="GJA128"/>
      <c r="GJB128"/>
      <c r="GJC128"/>
      <c r="GJD128"/>
      <c r="GJE128"/>
      <c r="GJF128"/>
      <c r="GJG128"/>
      <c r="GJH128"/>
      <c r="GJI128"/>
      <c r="GJJ128"/>
      <c r="GJK128"/>
      <c r="GJL128"/>
      <c r="GJM128"/>
      <c r="GJN128"/>
      <c r="GJO128"/>
      <c r="GJP128"/>
      <c r="GJQ128"/>
      <c r="GJR128"/>
      <c r="GJS128"/>
      <c r="GJT128"/>
      <c r="GJU128"/>
      <c r="GJV128"/>
      <c r="GJW128"/>
      <c r="GJX128"/>
      <c r="GJY128"/>
      <c r="GJZ128"/>
      <c r="GKA128"/>
      <c r="GKB128"/>
      <c r="GKC128"/>
      <c r="GKD128"/>
      <c r="GKE128"/>
      <c r="GKF128"/>
      <c r="GKG128"/>
      <c r="GKH128"/>
      <c r="GKI128"/>
      <c r="GKJ128"/>
      <c r="GKK128"/>
      <c r="GKL128"/>
      <c r="GKM128"/>
      <c r="GKN128"/>
      <c r="GKO128"/>
      <c r="GKP128"/>
      <c r="GKQ128"/>
      <c r="GKR128"/>
      <c r="GKS128"/>
      <c r="GKT128"/>
      <c r="GKU128"/>
      <c r="GKV128"/>
      <c r="GKW128"/>
      <c r="GKX128"/>
      <c r="GKY128"/>
      <c r="GKZ128"/>
      <c r="GLA128"/>
      <c r="GLB128"/>
      <c r="GLC128"/>
      <c r="GLD128"/>
      <c r="GLE128"/>
      <c r="GLF128"/>
      <c r="GLG128"/>
      <c r="GLH128"/>
      <c r="GLI128"/>
      <c r="GLJ128"/>
      <c r="GLK128"/>
      <c r="GLL128"/>
      <c r="GLM128"/>
      <c r="GLN128"/>
      <c r="GLO128"/>
      <c r="GLP128"/>
      <c r="GLQ128"/>
      <c r="GLR128"/>
      <c r="GLS128"/>
      <c r="GLT128"/>
      <c r="GLU128"/>
      <c r="GLV128"/>
      <c r="GLW128"/>
      <c r="GLX128"/>
      <c r="GLY128"/>
      <c r="GLZ128"/>
      <c r="GMA128"/>
      <c r="GMB128"/>
      <c r="GMC128"/>
      <c r="GMD128"/>
      <c r="GME128"/>
      <c r="GMF128"/>
      <c r="GMG128"/>
      <c r="GMH128"/>
      <c r="GMI128"/>
      <c r="GMJ128"/>
      <c r="GMK128"/>
      <c r="GML128"/>
      <c r="GMM128"/>
      <c r="GMN128"/>
      <c r="GMO128"/>
      <c r="GMP128"/>
      <c r="GMQ128"/>
      <c r="GMR128"/>
      <c r="GMS128"/>
      <c r="GMT128"/>
      <c r="GMU128"/>
      <c r="GMV128"/>
      <c r="GMW128"/>
      <c r="GMX128"/>
      <c r="GMY128"/>
      <c r="GMZ128"/>
      <c r="GNA128"/>
      <c r="GNB128"/>
      <c r="GNC128"/>
      <c r="GND128"/>
      <c r="GNE128"/>
      <c r="GNF128"/>
      <c r="GNG128"/>
      <c r="GNH128"/>
      <c r="GNI128"/>
      <c r="GNJ128"/>
      <c r="GNK128"/>
      <c r="GNL128"/>
      <c r="GNM128"/>
      <c r="GNN128"/>
      <c r="GNO128"/>
      <c r="GNP128"/>
      <c r="GNQ128"/>
      <c r="GNR128"/>
      <c r="GNS128"/>
      <c r="GNT128"/>
      <c r="GNU128"/>
      <c r="GNV128"/>
      <c r="GNW128"/>
      <c r="GNX128"/>
      <c r="GNY128"/>
      <c r="GNZ128"/>
      <c r="GOA128"/>
      <c r="GOB128"/>
      <c r="GOC128"/>
      <c r="GOD128"/>
      <c r="GOE128"/>
      <c r="GOF128"/>
      <c r="GOG128"/>
      <c r="GOH128"/>
      <c r="GOI128"/>
      <c r="GOJ128"/>
      <c r="GOK128"/>
      <c r="GOL128"/>
      <c r="GOM128"/>
      <c r="GON128"/>
      <c r="GOO128"/>
      <c r="GOP128"/>
      <c r="GOQ128"/>
      <c r="GOR128"/>
      <c r="GOS128"/>
      <c r="GOT128"/>
      <c r="GOU128"/>
      <c r="GOV128"/>
      <c r="GOW128"/>
      <c r="GOX128"/>
      <c r="GOY128"/>
      <c r="GOZ128"/>
      <c r="GPA128"/>
      <c r="GPB128"/>
      <c r="GPC128"/>
      <c r="GPD128"/>
      <c r="GPE128"/>
      <c r="GPF128"/>
      <c r="GPG128"/>
      <c r="GPH128"/>
      <c r="GPI128"/>
      <c r="GPJ128"/>
      <c r="GPK128"/>
      <c r="GPL128"/>
      <c r="GPM128"/>
      <c r="GPN128"/>
      <c r="GPO128"/>
      <c r="GPP128"/>
      <c r="GPQ128"/>
      <c r="GPR128"/>
      <c r="GPS128"/>
      <c r="GPT128"/>
      <c r="GPU128"/>
      <c r="GPV128"/>
      <c r="GPW128"/>
      <c r="GPX128"/>
      <c r="GPY128"/>
      <c r="GPZ128"/>
      <c r="GQA128"/>
      <c r="GQB128"/>
      <c r="GQC128"/>
      <c r="GQD128"/>
      <c r="GQE128"/>
      <c r="GQF128"/>
      <c r="GQG128"/>
      <c r="GQH128"/>
      <c r="GQI128"/>
      <c r="GQJ128"/>
      <c r="GQK128"/>
      <c r="GQL128"/>
      <c r="GQM128"/>
      <c r="GQN128"/>
      <c r="GQO128"/>
      <c r="GQP128"/>
      <c r="GQQ128"/>
      <c r="GQR128"/>
      <c r="GQS128"/>
      <c r="GQT128"/>
      <c r="GQU128"/>
      <c r="GQV128"/>
      <c r="GQW128"/>
      <c r="GQX128"/>
      <c r="GQY128"/>
      <c r="GQZ128"/>
      <c r="GRA128"/>
      <c r="GRB128"/>
      <c r="GRC128"/>
      <c r="GRD128"/>
      <c r="GRE128"/>
      <c r="GRF128"/>
      <c r="GRG128"/>
      <c r="GRH128"/>
      <c r="GRI128"/>
      <c r="GRJ128"/>
      <c r="GRK128"/>
      <c r="GRL128"/>
      <c r="GRM128"/>
      <c r="GRN128"/>
      <c r="GRO128"/>
      <c r="GRP128"/>
      <c r="GRQ128"/>
      <c r="GRR128"/>
      <c r="GRS128"/>
      <c r="GRT128"/>
      <c r="GRU128"/>
      <c r="GRV128"/>
      <c r="GRW128"/>
      <c r="GRX128"/>
      <c r="GRY128"/>
      <c r="GRZ128"/>
      <c r="GSA128"/>
      <c r="GSB128"/>
      <c r="GSC128"/>
      <c r="GSD128"/>
      <c r="GSE128"/>
      <c r="GSF128"/>
      <c r="GSG128"/>
      <c r="GSH128"/>
      <c r="GSI128"/>
      <c r="GSJ128"/>
      <c r="GSK128"/>
      <c r="GSL128"/>
      <c r="GSM128"/>
      <c r="GSN128"/>
      <c r="GSO128"/>
      <c r="GSP128"/>
      <c r="GSQ128"/>
      <c r="GSR128"/>
      <c r="GSS128"/>
      <c r="GST128"/>
      <c r="GSU128"/>
      <c r="GSV128"/>
      <c r="GSW128"/>
      <c r="GSX128"/>
      <c r="GSY128"/>
      <c r="GSZ128"/>
      <c r="GTA128"/>
      <c r="GTB128"/>
      <c r="GTC128"/>
      <c r="GTD128"/>
      <c r="GTE128"/>
      <c r="GTF128"/>
      <c r="GTG128"/>
      <c r="GTH128"/>
      <c r="GTI128"/>
      <c r="GTJ128"/>
      <c r="GTK128"/>
      <c r="GTL128"/>
      <c r="GTM128"/>
      <c r="GTN128"/>
      <c r="GTO128"/>
      <c r="GTP128"/>
      <c r="GTQ128"/>
      <c r="GTR128"/>
      <c r="GTS128"/>
      <c r="GTT128"/>
      <c r="GTU128"/>
      <c r="GTV128"/>
      <c r="GTW128"/>
      <c r="GTX128"/>
      <c r="GTY128"/>
      <c r="GTZ128"/>
      <c r="GUA128"/>
      <c r="GUB128"/>
      <c r="GUC128"/>
      <c r="GUD128"/>
      <c r="GUE128"/>
      <c r="GUF128"/>
      <c r="GUG128"/>
      <c r="GUH128"/>
      <c r="GUI128"/>
      <c r="GUJ128"/>
      <c r="GUK128"/>
      <c r="GUL128"/>
      <c r="GUM128"/>
      <c r="GUN128"/>
      <c r="GUO128"/>
      <c r="GUP128"/>
      <c r="GUQ128"/>
      <c r="GUR128"/>
      <c r="GUS128"/>
      <c r="GUT128"/>
      <c r="GUU128"/>
      <c r="GUV128"/>
      <c r="GUW128"/>
      <c r="GUX128"/>
      <c r="GUY128"/>
      <c r="GUZ128"/>
      <c r="GVA128"/>
      <c r="GVB128"/>
      <c r="GVC128"/>
      <c r="GVD128"/>
      <c r="GVE128"/>
      <c r="GVF128"/>
      <c r="GVG128"/>
      <c r="GVH128"/>
      <c r="GVI128"/>
      <c r="GVJ128"/>
      <c r="GVK128"/>
      <c r="GVL128"/>
      <c r="GVM128"/>
      <c r="GVN128"/>
      <c r="GVO128"/>
      <c r="GVP128"/>
      <c r="GVQ128"/>
      <c r="GVR128"/>
      <c r="GVS128"/>
      <c r="GVT128"/>
      <c r="GVU128"/>
      <c r="GVV128"/>
      <c r="GVW128"/>
      <c r="GVX128"/>
      <c r="GVY128"/>
      <c r="GVZ128"/>
      <c r="GWA128"/>
      <c r="GWB128"/>
      <c r="GWC128"/>
      <c r="GWD128"/>
      <c r="GWE128"/>
      <c r="GWF128"/>
      <c r="GWG128"/>
      <c r="GWH128"/>
      <c r="GWI128"/>
      <c r="GWJ128"/>
      <c r="GWK128"/>
      <c r="GWL128"/>
      <c r="GWM128"/>
      <c r="GWN128"/>
      <c r="GWO128"/>
      <c r="GWP128"/>
      <c r="GWQ128"/>
      <c r="GWR128"/>
      <c r="GWS128"/>
      <c r="GWT128"/>
      <c r="GWU128"/>
      <c r="GWV128"/>
      <c r="GWW128"/>
      <c r="GWX128"/>
      <c r="GWY128"/>
      <c r="GWZ128"/>
      <c r="GXA128"/>
      <c r="GXB128"/>
      <c r="GXC128"/>
      <c r="GXD128"/>
      <c r="GXE128"/>
      <c r="GXF128"/>
      <c r="GXG128"/>
      <c r="GXH128"/>
      <c r="GXI128"/>
      <c r="GXJ128"/>
      <c r="GXK128"/>
      <c r="GXL128"/>
      <c r="GXM128"/>
      <c r="GXN128"/>
      <c r="GXO128"/>
      <c r="GXP128"/>
      <c r="GXQ128"/>
      <c r="GXR128"/>
      <c r="GXS128"/>
      <c r="GXT128"/>
      <c r="GXU128"/>
      <c r="GXV128"/>
      <c r="GXW128"/>
      <c r="GXX128"/>
      <c r="GXY128"/>
      <c r="GXZ128"/>
      <c r="GYA128"/>
      <c r="GYB128"/>
      <c r="GYC128"/>
      <c r="GYD128"/>
      <c r="GYE128"/>
      <c r="GYF128"/>
      <c r="GYG128"/>
      <c r="GYH128"/>
      <c r="GYI128"/>
      <c r="GYJ128"/>
      <c r="GYK128"/>
      <c r="GYL128"/>
      <c r="GYM128"/>
      <c r="GYN128"/>
      <c r="GYO128"/>
      <c r="GYP128"/>
      <c r="GYQ128"/>
      <c r="GYR128"/>
      <c r="GYS128"/>
      <c r="GYT128"/>
      <c r="GYU128"/>
      <c r="GYV128"/>
      <c r="GYW128"/>
      <c r="GYX128"/>
      <c r="GYY128"/>
      <c r="GYZ128"/>
      <c r="GZA128"/>
      <c r="GZB128"/>
      <c r="GZC128"/>
      <c r="GZD128"/>
      <c r="GZE128"/>
      <c r="GZF128"/>
      <c r="GZG128"/>
      <c r="GZH128"/>
      <c r="GZI128"/>
      <c r="GZJ128"/>
      <c r="GZK128"/>
      <c r="GZL128"/>
      <c r="GZM128"/>
      <c r="GZN128"/>
      <c r="GZO128"/>
      <c r="GZP128"/>
      <c r="GZQ128"/>
      <c r="GZR128"/>
      <c r="GZS128"/>
      <c r="GZT128"/>
      <c r="GZU128"/>
      <c r="GZV128"/>
      <c r="GZW128"/>
      <c r="GZX128"/>
      <c r="GZY128"/>
      <c r="GZZ128"/>
      <c r="HAA128"/>
      <c r="HAB128"/>
      <c r="HAC128"/>
      <c r="HAD128"/>
      <c r="HAE128"/>
      <c r="HAF128"/>
      <c r="HAG128"/>
      <c r="HAH128"/>
      <c r="HAI128"/>
      <c r="HAJ128"/>
      <c r="HAK128"/>
      <c r="HAL128"/>
      <c r="HAM128"/>
      <c r="HAN128"/>
      <c r="HAO128"/>
      <c r="HAP128"/>
      <c r="HAQ128"/>
      <c r="HAR128"/>
      <c r="HAS128"/>
      <c r="HAT128"/>
      <c r="HAU128"/>
      <c r="HAV128"/>
      <c r="HAW128"/>
      <c r="HAX128"/>
      <c r="HAY128"/>
      <c r="HAZ128"/>
      <c r="HBA128"/>
      <c r="HBB128"/>
      <c r="HBC128"/>
      <c r="HBD128"/>
      <c r="HBE128"/>
      <c r="HBF128"/>
      <c r="HBG128"/>
      <c r="HBH128"/>
      <c r="HBI128"/>
      <c r="HBJ128"/>
      <c r="HBK128"/>
      <c r="HBL128"/>
      <c r="HBM128"/>
      <c r="HBN128"/>
      <c r="HBO128"/>
      <c r="HBP128"/>
      <c r="HBQ128"/>
      <c r="HBR128"/>
      <c r="HBS128"/>
      <c r="HBT128"/>
      <c r="HBU128"/>
      <c r="HBV128"/>
      <c r="HBW128"/>
      <c r="HBX128"/>
      <c r="HBY128"/>
      <c r="HBZ128"/>
      <c r="HCA128"/>
      <c r="HCB128"/>
      <c r="HCC128"/>
      <c r="HCD128"/>
      <c r="HCE128"/>
      <c r="HCF128"/>
      <c r="HCG128"/>
      <c r="HCH128"/>
      <c r="HCI128"/>
      <c r="HCJ128"/>
      <c r="HCK128"/>
      <c r="HCL128"/>
      <c r="HCM128"/>
      <c r="HCN128"/>
      <c r="HCO128"/>
      <c r="HCP128"/>
      <c r="HCQ128"/>
      <c r="HCR128"/>
      <c r="HCS128"/>
      <c r="HCT128"/>
      <c r="HCU128"/>
      <c r="HCV128"/>
      <c r="HCW128"/>
      <c r="HCX128"/>
      <c r="HCY128"/>
      <c r="HCZ128"/>
      <c r="HDA128"/>
      <c r="HDB128"/>
      <c r="HDC128"/>
      <c r="HDD128"/>
      <c r="HDE128"/>
      <c r="HDF128"/>
      <c r="HDG128"/>
      <c r="HDH128"/>
      <c r="HDI128"/>
      <c r="HDJ128"/>
      <c r="HDK128"/>
      <c r="HDL128"/>
      <c r="HDM128"/>
      <c r="HDN128"/>
      <c r="HDO128"/>
      <c r="HDP128"/>
      <c r="HDQ128"/>
      <c r="HDR128"/>
      <c r="HDS128"/>
      <c r="HDT128"/>
      <c r="HDU128"/>
      <c r="HDV128"/>
      <c r="HDW128"/>
      <c r="HDX128"/>
      <c r="HDY128"/>
      <c r="HDZ128"/>
      <c r="HEA128"/>
      <c r="HEB128"/>
      <c r="HEC128"/>
      <c r="HED128"/>
      <c r="HEE128"/>
      <c r="HEF128"/>
      <c r="HEG128"/>
      <c r="HEH128"/>
      <c r="HEI128"/>
      <c r="HEJ128"/>
      <c r="HEK128"/>
      <c r="HEL128"/>
      <c r="HEM128"/>
      <c r="HEN128"/>
      <c r="HEO128"/>
      <c r="HEP128"/>
      <c r="HEQ128"/>
      <c r="HER128"/>
      <c r="HES128"/>
      <c r="HET128"/>
      <c r="HEU128"/>
      <c r="HEV128"/>
      <c r="HEW128"/>
      <c r="HEX128"/>
      <c r="HEY128"/>
      <c r="HEZ128"/>
      <c r="HFA128"/>
      <c r="HFB128"/>
      <c r="HFC128"/>
      <c r="HFD128"/>
      <c r="HFE128"/>
      <c r="HFF128"/>
      <c r="HFG128"/>
      <c r="HFH128"/>
      <c r="HFI128"/>
      <c r="HFJ128"/>
      <c r="HFK128"/>
      <c r="HFL128"/>
      <c r="HFM128"/>
      <c r="HFN128"/>
      <c r="HFO128"/>
      <c r="HFP128"/>
      <c r="HFQ128"/>
      <c r="HFR128"/>
      <c r="HFS128"/>
      <c r="HFT128"/>
      <c r="HFU128"/>
      <c r="HFV128"/>
      <c r="HFW128"/>
      <c r="HFX128"/>
      <c r="HFY128"/>
      <c r="HFZ128"/>
      <c r="HGA128"/>
      <c r="HGB128"/>
      <c r="HGC128"/>
      <c r="HGD128"/>
      <c r="HGE128"/>
      <c r="HGF128"/>
      <c r="HGG128"/>
      <c r="HGH128"/>
      <c r="HGI128"/>
      <c r="HGJ128"/>
      <c r="HGK128"/>
      <c r="HGL128"/>
      <c r="HGM128"/>
      <c r="HGN128"/>
      <c r="HGO128"/>
      <c r="HGP128"/>
      <c r="HGQ128"/>
      <c r="HGR128"/>
      <c r="HGS128"/>
      <c r="HGT128"/>
      <c r="HGU128"/>
      <c r="HGV128"/>
      <c r="HGW128"/>
      <c r="HGX128"/>
      <c r="HGY128"/>
      <c r="HGZ128"/>
      <c r="HHA128"/>
      <c r="HHB128"/>
      <c r="HHC128"/>
      <c r="HHD128"/>
      <c r="HHE128"/>
      <c r="HHF128"/>
      <c r="HHG128"/>
      <c r="HHH128"/>
      <c r="HHI128"/>
      <c r="HHJ128"/>
      <c r="HHK128"/>
      <c r="HHL128"/>
      <c r="HHM128"/>
      <c r="HHN128"/>
      <c r="HHO128"/>
      <c r="HHP128"/>
      <c r="HHQ128"/>
      <c r="HHR128"/>
      <c r="HHS128"/>
      <c r="HHT128"/>
      <c r="HHU128"/>
      <c r="HHV128"/>
      <c r="HHW128"/>
      <c r="HHX128"/>
      <c r="HHY128"/>
      <c r="HHZ128"/>
      <c r="HIA128"/>
      <c r="HIB128"/>
      <c r="HIC128"/>
      <c r="HID128"/>
      <c r="HIE128"/>
      <c r="HIF128"/>
      <c r="HIG128"/>
      <c r="HIH128"/>
      <c r="HII128"/>
      <c r="HIJ128"/>
      <c r="HIK128"/>
      <c r="HIL128"/>
      <c r="HIM128"/>
      <c r="HIN128"/>
      <c r="HIO128"/>
      <c r="HIP128"/>
      <c r="HIQ128"/>
      <c r="HIR128"/>
      <c r="HIS128"/>
      <c r="HIT128"/>
      <c r="HIU128"/>
      <c r="HIV128"/>
      <c r="HIW128"/>
      <c r="HIX128"/>
      <c r="HIY128"/>
      <c r="HIZ128"/>
      <c r="HJA128"/>
      <c r="HJB128"/>
      <c r="HJC128"/>
      <c r="HJD128"/>
      <c r="HJE128"/>
      <c r="HJF128"/>
      <c r="HJG128"/>
      <c r="HJH128"/>
      <c r="HJI128"/>
      <c r="HJJ128"/>
      <c r="HJK128"/>
      <c r="HJL128"/>
      <c r="HJM128"/>
      <c r="HJN128"/>
      <c r="HJO128"/>
      <c r="HJP128"/>
      <c r="HJQ128"/>
      <c r="HJR128"/>
      <c r="HJS128"/>
      <c r="HJT128"/>
      <c r="HJU128"/>
      <c r="HJV128"/>
      <c r="HJW128"/>
      <c r="HJX128"/>
      <c r="HJY128"/>
      <c r="HJZ128"/>
      <c r="HKA128"/>
      <c r="HKB128"/>
      <c r="HKC128"/>
      <c r="HKD128"/>
      <c r="HKE128"/>
      <c r="HKF128"/>
      <c r="HKG128"/>
      <c r="HKH128"/>
      <c r="HKI128"/>
      <c r="HKJ128"/>
      <c r="HKK128"/>
      <c r="HKL128"/>
      <c r="HKM128"/>
      <c r="HKN128"/>
      <c r="HKO128"/>
      <c r="HKP128"/>
      <c r="HKQ128"/>
      <c r="HKR128"/>
      <c r="HKS128"/>
      <c r="HKT128"/>
      <c r="HKU128"/>
      <c r="HKV128"/>
      <c r="HKW128"/>
      <c r="HKX128"/>
      <c r="HKY128"/>
      <c r="HKZ128"/>
      <c r="HLA128"/>
      <c r="HLB128"/>
      <c r="HLC128"/>
      <c r="HLD128"/>
      <c r="HLE128"/>
      <c r="HLF128"/>
      <c r="HLG128"/>
      <c r="HLH128"/>
      <c r="HLI128"/>
      <c r="HLJ128"/>
      <c r="HLK128"/>
      <c r="HLL128"/>
      <c r="HLM128"/>
      <c r="HLN128"/>
      <c r="HLO128"/>
      <c r="HLP128"/>
      <c r="HLQ128"/>
      <c r="HLR128"/>
      <c r="HLS128"/>
      <c r="HLT128"/>
      <c r="HLU128"/>
      <c r="HLV128"/>
      <c r="HLW128"/>
      <c r="HLX128"/>
      <c r="HLY128"/>
      <c r="HLZ128"/>
      <c r="HMA128"/>
      <c r="HMB128"/>
      <c r="HMC128"/>
      <c r="HMD128"/>
      <c r="HME128"/>
      <c r="HMF128"/>
      <c r="HMG128"/>
      <c r="HMH128"/>
      <c r="HMI128"/>
      <c r="HMJ128"/>
      <c r="HMK128"/>
      <c r="HML128"/>
      <c r="HMM128"/>
      <c r="HMN128"/>
      <c r="HMO128"/>
      <c r="HMP128"/>
      <c r="HMQ128"/>
      <c r="HMR128"/>
      <c r="HMS128"/>
      <c r="HMT128"/>
      <c r="HMU128"/>
      <c r="HMV128"/>
      <c r="HMW128"/>
      <c r="HMX128"/>
      <c r="HMY128"/>
      <c r="HMZ128"/>
      <c r="HNA128"/>
      <c r="HNB128"/>
      <c r="HNC128"/>
      <c r="HND128"/>
      <c r="HNE128"/>
      <c r="HNF128"/>
      <c r="HNG128"/>
      <c r="HNH128"/>
      <c r="HNI128"/>
      <c r="HNJ128"/>
      <c r="HNK128"/>
      <c r="HNL128"/>
      <c r="HNM128"/>
      <c r="HNN128"/>
      <c r="HNO128"/>
      <c r="HNP128"/>
      <c r="HNQ128"/>
      <c r="HNR128"/>
      <c r="HNS128"/>
      <c r="HNT128"/>
      <c r="HNU128"/>
      <c r="HNV128"/>
      <c r="HNW128"/>
      <c r="HNX128"/>
      <c r="HNY128"/>
      <c r="HNZ128"/>
      <c r="HOA128"/>
      <c r="HOB128"/>
      <c r="HOC128"/>
      <c r="HOD128"/>
      <c r="HOE128"/>
      <c r="HOF128"/>
      <c r="HOG128"/>
      <c r="HOH128"/>
      <c r="HOI128"/>
      <c r="HOJ128"/>
      <c r="HOK128"/>
      <c r="HOL128"/>
      <c r="HOM128"/>
      <c r="HON128"/>
      <c r="HOO128"/>
      <c r="HOP128"/>
      <c r="HOQ128"/>
      <c r="HOR128"/>
      <c r="HOS128"/>
      <c r="HOT128"/>
      <c r="HOU128"/>
      <c r="HOV128"/>
      <c r="HOW128"/>
      <c r="HOX128"/>
      <c r="HOY128"/>
      <c r="HOZ128"/>
      <c r="HPA128"/>
      <c r="HPB128"/>
      <c r="HPC128"/>
      <c r="HPD128"/>
      <c r="HPE128"/>
      <c r="HPF128"/>
      <c r="HPG128"/>
      <c r="HPH128"/>
      <c r="HPI128"/>
      <c r="HPJ128"/>
      <c r="HPK128"/>
      <c r="HPL128"/>
      <c r="HPM128"/>
      <c r="HPN128"/>
      <c r="HPO128"/>
      <c r="HPP128"/>
      <c r="HPQ128"/>
      <c r="HPR128"/>
      <c r="HPS128"/>
      <c r="HPT128"/>
      <c r="HPU128"/>
      <c r="HPV128"/>
      <c r="HPW128"/>
      <c r="HPX128"/>
      <c r="HPY128"/>
      <c r="HPZ128"/>
      <c r="HQA128"/>
      <c r="HQB128"/>
      <c r="HQC128"/>
      <c r="HQD128"/>
      <c r="HQE128"/>
      <c r="HQF128"/>
      <c r="HQG128"/>
      <c r="HQH128"/>
      <c r="HQI128"/>
      <c r="HQJ128"/>
      <c r="HQK128"/>
      <c r="HQL128"/>
      <c r="HQM128"/>
      <c r="HQN128"/>
      <c r="HQO128"/>
      <c r="HQP128"/>
      <c r="HQQ128"/>
      <c r="HQR128"/>
      <c r="HQS128"/>
      <c r="HQT128"/>
      <c r="HQU128"/>
      <c r="HQV128"/>
      <c r="HQW128"/>
      <c r="HQX128"/>
      <c r="HQY128"/>
      <c r="HQZ128"/>
      <c r="HRA128"/>
      <c r="HRB128"/>
      <c r="HRC128"/>
      <c r="HRD128"/>
      <c r="HRE128"/>
      <c r="HRF128"/>
      <c r="HRG128"/>
      <c r="HRH128"/>
      <c r="HRI128"/>
      <c r="HRJ128"/>
      <c r="HRK128"/>
      <c r="HRL128"/>
      <c r="HRM128"/>
      <c r="HRN128"/>
      <c r="HRO128"/>
      <c r="HRP128"/>
      <c r="HRQ128"/>
      <c r="HRR128"/>
      <c r="HRS128"/>
      <c r="HRT128"/>
      <c r="HRU128"/>
      <c r="HRV128"/>
      <c r="HRW128"/>
      <c r="HRX128"/>
      <c r="HRY128"/>
      <c r="HRZ128"/>
      <c r="HSA128"/>
      <c r="HSB128"/>
      <c r="HSC128"/>
      <c r="HSD128"/>
      <c r="HSE128"/>
      <c r="HSF128"/>
      <c r="HSG128"/>
      <c r="HSH128"/>
      <c r="HSI128"/>
      <c r="HSJ128"/>
      <c r="HSK128"/>
      <c r="HSL128"/>
      <c r="HSM128"/>
      <c r="HSN128"/>
      <c r="HSO128"/>
      <c r="HSP128"/>
      <c r="HSQ128"/>
      <c r="HSR128"/>
      <c r="HSS128"/>
      <c r="HST128"/>
      <c r="HSU128"/>
      <c r="HSV128"/>
      <c r="HSW128"/>
      <c r="HSX128"/>
      <c r="HSY128"/>
      <c r="HSZ128"/>
      <c r="HTA128"/>
      <c r="HTB128"/>
      <c r="HTC128"/>
      <c r="HTD128"/>
      <c r="HTE128"/>
      <c r="HTF128"/>
      <c r="HTG128"/>
      <c r="HTH128"/>
      <c r="HTI128"/>
      <c r="HTJ128"/>
      <c r="HTK128"/>
      <c r="HTL128"/>
      <c r="HTM128"/>
      <c r="HTN128"/>
      <c r="HTO128"/>
      <c r="HTP128"/>
      <c r="HTQ128"/>
      <c r="HTR128"/>
      <c r="HTS128"/>
      <c r="HTT128"/>
      <c r="HTU128"/>
      <c r="HTV128"/>
      <c r="HTW128"/>
      <c r="HTX128"/>
      <c r="HTY128"/>
      <c r="HTZ128"/>
      <c r="HUA128"/>
      <c r="HUB128"/>
      <c r="HUC128"/>
      <c r="HUD128"/>
      <c r="HUE128"/>
      <c r="HUF128"/>
      <c r="HUG128"/>
      <c r="HUH128"/>
      <c r="HUI128"/>
      <c r="HUJ128"/>
      <c r="HUK128"/>
      <c r="HUL128"/>
      <c r="HUM128"/>
      <c r="HUN128"/>
      <c r="HUO128"/>
      <c r="HUP128"/>
      <c r="HUQ128"/>
      <c r="HUR128"/>
      <c r="HUS128"/>
      <c r="HUT128"/>
      <c r="HUU128"/>
      <c r="HUV128"/>
      <c r="HUW128"/>
      <c r="HUX128"/>
      <c r="HUY128"/>
      <c r="HUZ128"/>
      <c r="HVA128"/>
      <c r="HVB128"/>
      <c r="HVC128"/>
      <c r="HVD128"/>
      <c r="HVE128"/>
      <c r="HVF128"/>
      <c r="HVG128"/>
      <c r="HVH128"/>
      <c r="HVI128"/>
      <c r="HVJ128"/>
      <c r="HVK128"/>
      <c r="HVL128"/>
      <c r="HVM128"/>
      <c r="HVN128"/>
      <c r="HVO128"/>
      <c r="HVP128"/>
      <c r="HVQ128"/>
      <c r="HVR128"/>
      <c r="HVS128"/>
      <c r="HVT128"/>
      <c r="HVU128"/>
      <c r="HVV128"/>
      <c r="HVW128"/>
      <c r="HVX128"/>
      <c r="HVY128"/>
      <c r="HVZ128"/>
      <c r="HWA128"/>
      <c r="HWB128"/>
      <c r="HWC128"/>
      <c r="HWD128"/>
      <c r="HWE128"/>
      <c r="HWF128"/>
      <c r="HWG128"/>
      <c r="HWH128"/>
      <c r="HWI128"/>
      <c r="HWJ128"/>
      <c r="HWK128"/>
      <c r="HWL128"/>
      <c r="HWM128"/>
      <c r="HWN128"/>
      <c r="HWO128"/>
      <c r="HWP128"/>
      <c r="HWQ128"/>
      <c r="HWR128"/>
      <c r="HWS128"/>
      <c r="HWT128"/>
      <c r="HWU128"/>
      <c r="HWV128"/>
      <c r="HWW128"/>
      <c r="HWX128"/>
      <c r="HWY128"/>
      <c r="HWZ128"/>
      <c r="HXA128"/>
      <c r="HXB128"/>
      <c r="HXC128"/>
      <c r="HXD128"/>
      <c r="HXE128"/>
      <c r="HXF128"/>
      <c r="HXG128"/>
      <c r="HXH128"/>
      <c r="HXI128"/>
      <c r="HXJ128"/>
      <c r="HXK128"/>
      <c r="HXL128"/>
      <c r="HXM128"/>
      <c r="HXN128"/>
      <c r="HXO128"/>
      <c r="HXP128"/>
      <c r="HXQ128"/>
      <c r="HXR128"/>
      <c r="HXS128"/>
      <c r="HXT128"/>
      <c r="HXU128"/>
      <c r="HXV128"/>
      <c r="HXW128"/>
      <c r="HXX128"/>
      <c r="HXY128"/>
      <c r="HXZ128"/>
      <c r="HYA128"/>
      <c r="HYB128"/>
      <c r="HYC128"/>
      <c r="HYD128"/>
      <c r="HYE128"/>
      <c r="HYF128"/>
      <c r="HYG128"/>
      <c r="HYH128"/>
      <c r="HYI128"/>
      <c r="HYJ128"/>
      <c r="HYK128"/>
      <c r="HYL128"/>
      <c r="HYM128"/>
      <c r="HYN128"/>
      <c r="HYO128"/>
      <c r="HYP128"/>
      <c r="HYQ128"/>
      <c r="HYR128"/>
      <c r="HYS128"/>
      <c r="HYT128"/>
      <c r="HYU128"/>
      <c r="HYV128"/>
      <c r="HYW128"/>
      <c r="HYX128"/>
      <c r="HYY128"/>
      <c r="HYZ128"/>
      <c r="HZA128"/>
      <c r="HZB128"/>
      <c r="HZC128"/>
      <c r="HZD128"/>
      <c r="HZE128"/>
      <c r="HZF128"/>
      <c r="HZG128"/>
      <c r="HZH128"/>
      <c r="HZI128"/>
      <c r="HZJ128"/>
      <c r="HZK128"/>
      <c r="HZL128"/>
      <c r="HZM128"/>
      <c r="HZN128"/>
      <c r="HZO128"/>
      <c r="HZP128"/>
      <c r="HZQ128"/>
      <c r="HZR128"/>
      <c r="HZS128"/>
      <c r="HZT128"/>
      <c r="HZU128"/>
      <c r="HZV128"/>
      <c r="HZW128"/>
      <c r="HZX128"/>
      <c r="HZY128"/>
      <c r="HZZ128"/>
      <c r="IAA128"/>
      <c r="IAB128"/>
      <c r="IAC128"/>
      <c r="IAD128"/>
      <c r="IAE128"/>
      <c r="IAF128"/>
      <c r="IAG128"/>
      <c r="IAH128"/>
      <c r="IAI128"/>
      <c r="IAJ128"/>
      <c r="IAK128"/>
      <c r="IAL128"/>
      <c r="IAM128"/>
      <c r="IAN128"/>
      <c r="IAO128"/>
      <c r="IAP128"/>
      <c r="IAQ128"/>
      <c r="IAR128"/>
      <c r="IAS128"/>
      <c r="IAT128"/>
      <c r="IAU128"/>
      <c r="IAV128"/>
      <c r="IAW128"/>
      <c r="IAX128"/>
      <c r="IAY128"/>
      <c r="IAZ128"/>
      <c r="IBA128"/>
      <c r="IBB128"/>
      <c r="IBC128"/>
      <c r="IBD128"/>
      <c r="IBE128"/>
      <c r="IBF128"/>
      <c r="IBG128"/>
      <c r="IBH128"/>
      <c r="IBI128"/>
      <c r="IBJ128"/>
      <c r="IBK128"/>
      <c r="IBL128"/>
      <c r="IBM128"/>
      <c r="IBN128"/>
      <c r="IBO128"/>
      <c r="IBP128"/>
      <c r="IBQ128"/>
      <c r="IBR128"/>
      <c r="IBS128"/>
      <c r="IBT128"/>
      <c r="IBU128"/>
      <c r="IBV128"/>
      <c r="IBW128"/>
      <c r="IBX128"/>
      <c r="IBY128"/>
      <c r="IBZ128"/>
      <c r="ICA128"/>
      <c r="ICB128"/>
      <c r="ICC128"/>
      <c r="ICD128"/>
      <c r="ICE128"/>
      <c r="ICF128"/>
      <c r="ICG128"/>
      <c r="ICH128"/>
      <c r="ICI128"/>
      <c r="ICJ128"/>
      <c r="ICK128"/>
      <c r="ICL128"/>
      <c r="ICM128"/>
      <c r="ICN128"/>
      <c r="ICO128"/>
      <c r="ICP128"/>
      <c r="ICQ128"/>
      <c r="ICR128"/>
      <c r="ICS128"/>
      <c r="ICT128"/>
      <c r="ICU128"/>
      <c r="ICV128"/>
      <c r="ICW128"/>
      <c r="ICX128"/>
      <c r="ICY128"/>
      <c r="ICZ128"/>
      <c r="IDA128"/>
      <c r="IDB128"/>
      <c r="IDC128"/>
      <c r="IDD128"/>
      <c r="IDE128"/>
      <c r="IDF128"/>
      <c r="IDG128"/>
      <c r="IDH128"/>
      <c r="IDI128"/>
      <c r="IDJ128"/>
      <c r="IDK128"/>
      <c r="IDL128"/>
      <c r="IDM128"/>
      <c r="IDN128"/>
      <c r="IDO128"/>
      <c r="IDP128"/>
      <c r="IDQ128"/>
      <c r="IDR128"/>
      <c r="IDS128"/>
      <c r="IDT128"/>
      <c r="IDU128"/>
      <c r="IDV128"/>
      <c r="IDW128"/>
      <c r="IDX128"/>
      <c r="IDY128"/>
      <c r="IDZ128"/>
      <c r="IEA128"/>
      <c r="IEB128"/>
      <c r="IEC128"/>
      <c r="IED128"/>
      <c r="IEE128"/>
      <c r="IEF128"/>
      <c r="IEG128"/>
      <c r="IEH128"/>
      <c r="IEI128"/>
      <c r="IEJ128"/>
      <c r="IEK128"/>
      <c r="IEL128"/>
      <c r="IEM128"/>
      <c r="IEN128"/>
      <c r="IEO128"/>
      <c r="IEP128"/>
      <c r="IEQ128"/>
      <c r="IER128"/>
      <c r="IES128"/>
      <c r="IET128"/>
      <c r="IEU128"/>
      <c r="IEV128"/>
      <c r="IEW128"/>
      <c r="IEX128"/>
      <c r="IEY128"/>
      <c r="IEZ128"/>
      <c r="IFA128"/>
      <c r="IFB128"/>
      <c r="IFC128"/>
      <c r="IFD128"/>
      <c r="IFE128"/>
      <c r="IFF128"/>
      <c r="IFG128"/>
      <c r="IFH128"/>
      <c r="IFI128"/>
      <c r="IFJ128"/>
      <c r="IFK128"/>
      <c r="IFL128"/>
      <c r="IFM128"/>
      <c r="IFN128"/>
      <c r="IFO128"/>
      <c r="IFP128"/>
      <c r="IFQ128"/>
      <c r="IFR128"/>
      <c r="IFS128"/>
      <c r="IFT128"/>
      <c r="IFU128"/>
      <c r="IFV128"/>
      <c r="IFW128"/>
      <c r="IFX128"/>
      <c r="IFY128"/>
      <c r="IFZ128"/>
      <c r="IGA128"/>
      <c r="IGB128"/>
      <c r="IGC128"/>
      <c r="IGD128"/>
      <c r="IGE128"/>
      <c r="IGF128"/>
      <c r="IGG128"/>
      <c r="IGH128"/>
      <c r="IGI128"/>
      <c r="IGJ128"/>
      <c r="IGK128"/>
      <c r="IGL128"/>
      <c r="IGM128"/>
      <c r="IGN128"/>
      <c r="IGO128"/>
      <c r="IGP128"/>
      <c r="IGQ128"/>
      <c r="IGR128"/>
      <c r="IGS128"/>
      <c r="IGT128"/>
      <c r="IGU128"/>
      <c r="IGV128"/>
      <c r="IGW128"/>
      <c r="IGX128"/>
      <c r="IGY128"/>
      <c r="IGZ128"/>
      <c r="IHA128"/>
      <c r="IHB128"/>
      <c r="IHC128"/>
      <c r="IHD128"/>
      <c r="IHE128"/>
      <c r="IHF128"/>
      <c r="IHG128"/>
      <c r="IHH128"/>
      <c r="IHI128"/>
      <c r="IHJ128"/>
      <c r="IHK128"/>
      <c r="IHL128"/>
      <c r="IHM128"/>
      <c r="IHN128"/>
      <c r="IHO128"/>
      <c r="IHP128"/>
      <c r="IHQ128"/>
      <c r="IHR128"/>
      <c r="IHS128"/>
      <c r="IHT128"/>
      <c r="IHU128"/>
      <c r="IHV128"/>
      <c r="IHW128"/>
      <c r="IHX128"/>
      <c r="IHY128"/>
      <c r="IHZ128"/>
      <c r="IIA128"/>
      <c r="IIB128"/>
      <c r="IIC128"/>
      <c r="IID128"/>
      <c r="IIE128"/>
      <c r="IIF128"/>
      <c r="IIG128"/>
      <c r="IIH128"/>
      <c r="III128"/>
      <c r="IIJ128"/>
      <c r="IIK128"/>
      <c r="IIL128"/>
      <c r="IIM128"/>
      <c r="IIN128"/>
      <c r="IIO128"/>
      <c r="IIP128"/>
      <c r="IIQ128"/>
      <c r="IIR128"/>
      <c r="IIS128"/>
      <c r="IIT128"/>
      <c r="IIU128"/>
      <c r="IIV128"/>
      <c r="IIW128"/>
      <c r="IIX128"/>
      <c r="IIY128"/>
      <c r="IIZ128"/>
      <c r="IJA128"/>
      <c r="IJB128"/>
      <c r="IJC128"/>
      <c r="IJD128"/>
      <c r="IJE128"/>
      <c r="IJF128"/>
      <c r="IJG128"/>
      <c r="IJH128"/>
      <c r="IJI128"/>
      <c r="IJJ128"/>
      <c r="IJK128"/>
      <c r="IJL128"/>
      <c r="IJM128"/>
      <c r="IJN128"/>
      <c r="IJO128"/>
      <c r="IJP128"/>
      <c r="IJQ128"/>
      <c r="IJR128"/>
      <c r="IJS128"/>
      <c r="IJT128"/>
      <c r="IJU128"/>
      <c r="IJV128"/>
      <c r="IJW128"/>
      <c r="IJX128"/>
      <c r="IJY128"/>
      <c r="IJZ128"/>
      <c r="IKA128"/>
      <c r="IKB128"/>
      <c r="IKC128"/>
      <c r="IKD128"/>
      <c r="IKE128"/>
      <c r="IKF128"/>
      <c r="IKG128"/>
      <c r="IKH128"/>
      <c r="IKI128"/>
      <c r="IKJ128"/>
      <c r="IKK128"/>
      <c r="IKL128"/>
      <c r="IKM128"/>
      <c r="IKN128"/>
      <c r="IKO128"/>
      <c r="IKP128"/>
      <c r="IKQ128"/>
      <c r="IKR128"/>
      <c r="IKS128"/>
      <c r="IKT128"/>
      <c r="IKU128"/>
      <c r="IKV128"/>
      <c r="IKW128"/>
      <c r="IKX128"/>
      <c r="IKY128"/>
      <c r="IKZ128"/>
      <c r="ILA128"/>
      <c r="ILB128"/>
      <c r="ILC128"/>
      <c r="ILD128"/>
      <c r="ILE128"/>
      <c r="ILF128"/>
      <c r="ILG128"/>
      <c r="ILH128"/>
      <c r="ILI128"/>
      <c r="ILJ128"/>
      <c r="ILK128"/>
      <c r="ILL128"/>
      <c r="ILM128"/>
      <c r="ILN128"/>
      <c r="ILO128"/>
      <c r="ILP128"/>
      <c r="ILQ128"/>
      <c r="ILR128"/>
      <c r="ILS128"/>
      <c r="ILT128"/>
      <c r="ILU128"/>
      <c r="ILV128"/>
      <c r="ILW128"/>
      <c r="ILX128"/>
      <c r="ILY128"/>
      <c r="ILZ128"/>
      <c r="IMA128"/>
      <c r="IMB128"/>
      <c r="IMC128"/>
      <c r="IMD128"/>
      <c r="IME128"/>
      <c r="IMF128"/>
      <c r="IMG128"/>
      <c r="IMH128"/>
      <c r="IMI128"/>
      <c r="IMJ128"/>
      <c r="IMK128"/>
      <c r="IML128"/>
      <c r="IMM128"/>
      <c r="IMN128"/>
      <c r="IMO128"/>
      <c r="IMP128"/>
      <c r="IMQ128"/>
      <c r="IMR128"/>
      <c r="IMS128"/>
      <c r="IMT128"/>
      <c r="IMU128"/>
      <c r="IMV128"/>
      <c r="IMW128"/>
      <c r="IMX128"/>
      <c r="IMY128"/>
      <c r="IMZ128"/>
      <c r="INA128"/>
      <c r="INB128"/>
      <c r="INC128"/>
      <c r="IND128"/>
      <c r="INE128"/>
      <c r="INF128"/>
      <c r="ING128"/>
      <c r="INH128"/>
      <c r="INI128"/>
      <c r="INJ128"/>
      <c r="INK128"/>
      <c r="INL128"/>
      <c r="INM128"/>
      <c r="INN128"/>
      <c r="INO128"/>
      <c r="INP128"/>
      <c r="INQ128"/>
      <c r="INR128"/>
      <c r="INS128"/>
      <c r="INT128"/>
      <c r="INU128"/>
      <c r="INV128"/>
      <c r="INW128"/>
      <c r="INX128"/>
      <c r="INY128"/>
      <c r="INZ128"/>
      <c r="IOA128"/>
      <c r="IOB128"/>
      <c r="IOC128"/>
      <c r="IOD128"/>
      <c r="IOE128"/>
      <c r="IOF128"/>
      <c r="IOG128"/>
      <c r="IOH128"/>
      <c r="IOI128"/>
      <c r="IOJ128"/>
      <c r="IOK128"/>
      <c r="IOL128"/>
      <c r="IOM128"/>
      <c r="ION128"/>
      <c r="IOO128"/>
      <c r="IOP128"/>
      <c r="IOQ128"/>
      <c r="IOR128"/>
      <c r="IOS128"/>
      <c r="IOT128"/>
      <c r="IOU128"/>
      <c r="IOV128"/>
      <c r="IOW128"/>
      <c r="IOX128"/>
      <c r="IOY128"/>
      <c r="IOZ128"/>
      <c r="IPA128"/>
      <c r="IPB128"/>
      <c r="IPC128"/>
      <c r="IPD128"/>
      <c r="IPE128"/>
      <c r="IPF128"/>
      <c r="IPG128"/>
      <c r="IPH128"/>
      <c r="IPI128"/>
      <c r="IPJ128"/>
      <c r="IPK128"/>
      <c r="IPL128"/>
      <c r="IPM128"/>
      <c r="IPN128"/>
      <c r="IPO128"/>
      <c r="IPP128"/>
      <c r="IPQ128"/>
      <c r="IPR128"/>
      <c r="IPS128"/>
      <c r="IPT128"/>
      <c r="IPU128"/>
      <c r="IPV128"/>
      <c r="IPW128"/>
      <c r="IPX128"/>
      <c r="IPY128"/>
      <c r="IPZ128"/>
      <c r="IQA128"/>
      <c r="IQB128"/>
      <c r="IQC128"/>
      <c r="IQD128"/>
      <c r="IQE128"/>
      <c r="IQF128"/>
      <c r="IQG128"/>
      <c r="IQH128"/>
      <c r="IQI128"/>
      <c r="IQJ128"/>
      <c r="IQK128"/>
      <c r="IQL128"/>
      <c r="IQM128"/>
      <c r="IQN128"/>
      <c r="IQO128"/>
      <c r="IQP128"/>
      <c r="IQQ128"/>
      <c r="IQR128"/>
      <c r="IQS128"/>
      <c r="IQT128"/>
      <c r="IQU128"/>
      <c r="IQV128"/>
      <c r="IQW128"/>
      <c r="IQX128"/>
      <c r="IQY128"/>
      <c r="IQZ128"/>
      <c r="IRA128"/>
      <c r="IRB128"/>
      <c r="IRC128"/>
      <c r="IRD128"/>
      <c r="IRE128"/>
      <c r="IRF128"/>
      <c r="IRG128"/>
      <c r="IRH128"/>
      <c r="IRI128"/>
      <c r="IRJ128"/>
      <c r="IRK128"/>
      <c r="IRL128"/>
      <c r="IRM128"/>
      <c r="IRN128"/>
      <c r="IRO128"/>
      <c r="IRP128"/>
      <c r="IRQ128"/>
      <c r="IRR128"/>
      <c r="IRS128"/>
      <c r="IRT128"/>
      <c r="IRU128"/>
      <c r="IRV128"/>
      <c r="IRW128"/>
      <c r="IRX128"/>
      <c r="IRY128"/>
      <c r="IRZ128"/>
      <c r="ISA128"/>
      <c r="ISB128"/>
      <c r="ISC128"/>
      <c r="ISD128"/>
      <c r="ISE128"/>
      <c r="ISF128"/>
      <c r="ISG128"/>
      <c r="ISH128"/>
      <c r="ISI128"/>
      <c r="ISJ128"/>
      <c r="ISK128"/>
      <c r="ISL128"/>
      <c r="ISM128"/>
      <c r="ISN128"/>
      <c r="ISO128"/>
      <c r="ISP128"/>
      <c r="ISQ128"/>
      <c r="ISR128"/>
      <c r="ISS128"/>
      <c r="IST128"/>
      <c r="ISU128"/>
      <c r="ISV128"/>
      <c r="ISW128"/>
      <c r="ISX128"/>
      <c r="ISY128"/>
      <c r="ISZ128"/>
      <c r="ITA128"/>
      <c r="ITB128"/>
      <c r="ITC128"/>
      <c r="ITD128"/>
      <c r="ITE128"/>
      <c r="ITF128"/>
      <c r="ITG128"/>
      <c r="ITH128"/>
      <c r="ITI128"/>
      <c r="ITJ128"/>
      <c r="ITK128"/>
      <c r="ITL128"/>
      <c r="ITM128"/>
      <c r="ITN128"/>
      <c r="ITO128"/>
      <c r="ITP128"/>
      <c r="ITQ128"/>
      <c r="ITR128"/>
      <c r="ITS128"/>
      <c r="ITT128"/>
      <c r="ITU128"/>
      <c r="ITV128"/>
      <c r="ITW128"/>
      <c r="ITX128"/>
      <c r="ITY128"/>
      <c r="ITZ128"/>
      <c r="IUA128"/>
      <c r="IUB128"/>
      <c r="IUC128"/>
      <c r="IUD128"/>
      <c r="IUE128"/>
      <c r="IUF128"/>
      <c r="IUG128"/>
      <c r="IUH128"/>
      <c r="IUI128"/>
      <c r="IUJ128"/>
      <c r="IUK128"/>
      <c r="IUL128"/>
      <c r="IUM128"/>
      <c r="IUN128"/>
      <c r="IUO128"/>
      <c r="IUP128"/>
      <c r="IUQ128"/>
      <c r="IUR128"/>
      <c r="IUS128"/>
      <c r="IUT128"/>
      <c r="IUU128"/>
      <c r="IUV128"/>
      <c r="IUW128"/>
      <c r="IUX128"/>
      <c r="IUY128"/>
      <c r="IUZ128"/>
      <c r="IVA128"/>
      <c r="IVB128"/>
      <c r="IVC128"/>
      <c r="IVD128"/>
      <c r="IVE128"/>
      <c r="IVF128"/>
      <c r="IVG128"/>
      <c r="IVH128"/>
      <c r="IVI128"/>
      <c r="IVJ128"/>
      <c r="IVK128"/>
      <c r="IVL128"/>
      <c r="IVM128"/>
      <c r="IVN128"/>
      <c r="IVO128"/>
      <c r="IVP128"/>
      <c r="IVQ128"/>
      <c r="IVR128"/>
      <c r="IVS128"/>
      <c r="IVT128"/>
      <c r="IVU128"/>
      <c r="IVV128"/>
      <c r="IVW128"/>
      <c r="IVX128"/>
      <c r="IVY128"/>
      <c r="IVZ128"/>
      <c r="IWA128"/>
      <c r="IWB128"/>
      <c r="IWC128"/>
      <c r="IWD128"/>
      <c r="IWE128"/>
      <c r="IWF128"/>
      <c r="IWG128"/>
      <c r="IWH128"/>
      <c r="IWI128"/>
      <c r="IWJ128"/>
      <c r="IWK128"/>
      <c r="IWL128"/>
      <c r="IWM128"/>
      <c r="IWN128"/>
      <c r="IWO128"/>
      <c r="IWP128"/>
      <c r="IWQ128"/>
      <c r="IWR128"/>
      <c r="IWS128"/>
      <c r="IWT128"/>
      <c r="IWU128"/>
      <c r="IWV128"/>
      <c r="IWW128"/>
      <c r="IWX128"/>
      <c r="IWY128"/>
      <c r="IWZ128"/>
      <c r="IXA128"/>
      <c r="IXB128"/>
      <c r="IXC128"/>
      <c r="IXD128"/>
      <c r="IXE128"/>
      <c r="IXF128"/>
      <c r="IXG128"/>
      <c r="IXH128"/>
      <c r="IXI128"/>
      <c r="IXJ128"/>
      <c r="IXK128"/>
      <c r="IXL128"/>
      <c r="IXM128"/>
      <c r="IXN128"/>
      <c r="IXO128"/>
      <c r="IXP128"/>
      <c r="IXQ128"/>
      <c r="IXR128"/>
      <c r="IXS128"/>
      <c r="IXT128"/>
      <c r="IXU128"/>
      <c r="IXV128"/>
      <c r="IXW128"/>
      <c r="IXX128"/>
      <c r="IXY128"/>
      <c r="IXZ128"/>
      <c r="IYA128"/>
      <c r="IYB128"/>
      <c r="IYC128"/>
      <c r="IYD128"/>
      <c r="IYE128"/>
      <c r="IYF128"/>
      <c r="IYG128"/>
      <c r="IYH128"/>
      <c r="IYI128"/>
      <c r="IYJ128"/>
      <c r="IYK128"/>
      <c r="IYL128"/>
      <c r="IYM128"/>
      <c r="IYN128"/>
      <c r="IYO128"/>
      <c r="IYP128"/>
      <c r="IYQ128"/>
      <c r="IYR128"/>
      <c r="IYS128"/>
      <c r="IYT128"/>
      <c r="IYU128"/>
      <c r="IYV128"/>
      <c r="IYW128"/>
      <c r="IYX128"/>
      <c r="IYY128"/>
      <c r="IYZ128"/>
      <c r="IZA128"/>
      <c r="IZB128"/>
      <c r="IZC128"/>
      <c r="IZD128"/>
      <c r="IZE128"/>
      <c r="IZF128"/>
      <c r="IZG128"/>
      <c r="IZH128"/>
      <c r="IZI128"/>
      <c r="IZJ128"/>
      <c r="IZK128"/>
      <c r="IZL128"/>
      <c r="IZM128"/>
      <c r="IZN128"/>
      <c r="IZO128"/>
      <c r="IZP128"/>
      <c r="IZQ128"/>
      <c r="IZR128"/>
      <c r="IZS128"/>
      <c r="IZT128"/>
      <c r="IZU128"/>
      <c r="IZV128"/>
      <c r="IZW128"/>
      <c r="IZX128"/>
      <c r="IZY128"/>
      <c r="IZZ128"/>
      <c r="JAA128"/>
      <c r="JAB128"/>
      <c r="JAC128"/>
      <c r="JAD128"/>
      <c r="JAE128"/>
      <c r="JAF128"/>
      <c r="JAG128"/>
      <c r="JAH128"/>
      <c r="JAI128"/>
      <c r="JAJ128"/>
      <c r="JAK128"/>
      <c r="JAL128"/>
      <c r="JAM128"/>
      <c r="JAN128"/>
      <c r="JAO128"/>
      <c r="JAP128"/>
      <c r="JAQ128"/>
      <c r="JAR128"/>
      <c r="JAS128"/>
      <c r="JAT128"/>
      <c r="JAU128"/>
      <c r="JAV128"/>
      <c r="JAW128"/>
      <c r="JAX128"/>
      <c r="JAY128"/>
      <c r="JAZ128"/>
      <c r="JBA128"/>
      <c r="JBB128"/>
      <c r="JBC128"/>
      <c r="JBD128"/>
      <c r="JBE128"/>
      <c r="JBF128"/>
      <c r="JBG128"/>
      <c r="JBH128"/>
      <c r="JBI128"/>
      <c r="JBJ128"/>
      <c r="JBK128"/>
      <c r="JBL128"/>
      <c r="JBM128"/>
      <c r="JBN128"/>
      <c r="JBO128"/>
      <c r="JBP128"/>
      <c r="JBQ128"/>
      <c r="JBR128"/>
      <c r="JBS128"/>
      <c r="JBT128"/>
      <c r="JBU128"/>
      <c r="JBV128"/>
      <c r="JBW128"/>
      <c r="JBX128"/>
      <c r="JBY128"/>
      <c r="JBZ128"/>
      <c r="JCA128"/>
      <c r="JCB128"/>
      <c r="JCC128"/>
      <c r="JCD128"/>
      <c r="JCE128"/>
      <c r="JCF128"/>
      <c r="JCG128"/>
      <c r="JCH128"/>
      <c r="JCI128"/>
      <c r="JCJ128"/>
      <c r="JCK128"/>
      <c r="JCL128"/>
      <c r="JCM128"/>
      <c r="JCN128"/>
      <c r="JCO128"/>
      <c r="JCP128"/>
      <c r="JCQ128"/>
      <c r="JCR128"/>
      <c r="JCS128"/>
      <c r="JCT128"/>
      <c r="JCU128"/>
      <c r="JCV128"/>
      <c r="JCW128"/>
      <c r="JCX128"/>
      <c r="JCY128"/>
      <c r="JCZ128"/>
      <c r="JDA128"/>
      <c r="JDB128"/>
      <c r="JDC128"/>
      <c r="JDD128"/>
      <c r="JDE128"/>
      <c r="JDF128"/>
      <c r="JDG128"/>
      <c r="JDH128"/>
      <c r="JDI128"/>
      <c r="JDJ128"/>
      <c r="JDK128"/>
      <c r="JDL128"/>
      <c r="JDM128"/>
      <c r="JDN128"/>
      <c r="JDO128"/>
      <c r="JDP128"/>
      <c r="JDQ128"/>
      <c r="JDR128"/>
      <c r="JDS128"/>
      <c r="JDT128"/>
      <c r="JDU128"/>
      <c r="JDV128"/>
      <c r="JDW128"/>
      <c r="JDX128"/>
      <c r="JDY128"/>
      <c r="JDZ128"/>
      <c r="JEA128"/>
      <c r="JEB128"/>
      <c r="JEC128"/>
      <c r="JED128"/>
      <c r="JEE128"/>
      <c r="JEF128"/>
      <c r="JEG128"/>
      <c r="JEH128"/>
      <c r="JEI128"/>
      <c r="JEJ128"/>
      <c r="JEK128"/>
      <c r="JEL128"/>
      <c r="JEM128"/>
      <c r="JEN128"/>
      <c r="JEO128"/>
      <c r="JEP128"/>
      <c r="JEQ128"/>
      <c r="JER128"/>
      <c r="JES128"/>
      <c r="JET128"/>
      <c r="JEU128"/>
      <c r="JEV128"/>
      <c r="JEW128"/>
      <c r="JEX128"/>
      <c r="JEY128"/>
      <c r="JEZ128"/>
      <c r="JFA128"/>
      <c r="JFB128"/>
      <c r="JFC128"/>
      <c r="JFD128"/>
      <c r="JFE128"/>
      <c r="JFF128"/>
      <c r="JFG128"/>
      <c r="JFH128"/>
      <c r="JFI128"/>
      <c r="JFJ128"/>
      <c r="JFK128"/>
      <c r="JFL128"/>
      <c r="JFM128"/>
      <c r="JFN128"/>
      <c r="JFO128"/>
      <c r="JFP128"/>
      <c r="JFQ128"/>
      <c r="JFR128"/>
      <c r="JFS128"/>
      <c r="JFT128"/>
      <c r="JFU128"/>
      <c r="JFV128"/>
      <c r="JFW128"/>
      <c r="JFX128"/>
      <c r="JFY128"/>
      <c r="JFZ128"/>
      <c r="JGA128"/>
      <c r="JGB128"/>
      <c r="JGC128"/>
      <c r="JGD128"/>
      <c r="JGE128"/>
      <c r="JGF128"/>
      <c r="JGG128"/>
      <c r="JGH128"/>
      <c r="JGI128"/>
      <c r="JGJ128"/>
      <c r="JGK128"/>
      <c r="JGL128"/>
      <c r="JGM128"/>
      <c r="JGN128"/>
      <c r="JGO128"/>
      <c r="JGP128"/>
      <c r="JGQ128"/>
      <c r="JGR128"/>
      <c r="JGS128"/>
      <c r="JGT128"/>
      <c r="JGU128"/>
      <c r="JGV128"/>
      <c r="JGW128"/>
      <c r="JGX128"/>
      <c r="JGY128"/>
      <c r="JGZ128"/>
      <c r="JHA128"/>
      <c r="JHB128"/>
      <c r="JHC128"/>
      <c r="JHD128"/>
      <c r="JHE128"/>
      <c r="JHF128"/>
      <c r="JHG128"/>
      <c r="JHH128"/>
      <c r="JHI128"/>
      <c r="JHJ128"/>
      <c r="JHK128"/>
      <c r="JHL128"/>
      <c r="JHM128"/>
      <c r="JHN128"/>
      <c r="JHO128"/>
      <c r="JHP128"/>
      <c r="JHQ128"/>
      <c r="JHR128"/>
      <c r="JHS128"/>
      <c r="JHT128"/>
      <c r="JHU128"/>
      <c r="JHV128"/>
      <c r="JHW128"/>
      <c r="JHX128"/>
      <c r="JHY128"/>
      <c r="JHZ128"/>
      <c r="JIA128"/>
      <c r="JIB128"/>
      <c r="JIC128"/>
      <c r="JID128"/>
      <c r="JIE128"/>
      <c r="JIF128"/>
      <c r="JIG128"/>
      <c r="JIH128"/>
      <c r="JII128"/>
      <c r="JIJ128"/>
      <c r="JIK128"/>
      <c r="JIL128"/>
      <c r="JIM128"/>
      <c r="JIN128"/>
      <c r="JIO128"/>
      <c r="JIP128"/>
      <c r="JIQ128"/>
      <c r="JIR128"/>
      <c r="JIS128"/>
      <c r="JIT128"/>
      <c r="JIU128"/>
      <c r="JIV128"/>
      <c r="JIW128"/>
      <c r="JIX128"/>
      <c r="JIY128"/>
      <c r="JIZ128"/>
      <c r="JJA128"/>
      <c r="JJB128"/>
      <c r="JJC128"/>
      <c r="JJD128"/>
      <c r="JJE128"/>
      <c r="JJF128"/>
      <c r="JJG128"/>
      <c r="JJH128"/>
      <c r="JJI128"/>
      <c r="JJJ128"/>
      <c r="JJK128"/>
      <c r="JJL128"/>
      <c r="JJM128"/>
      <c r="JJN128"/>
      <c r="JJO128"/>
      <c r="JJP128"/>
      <c r="JJQ128"/>
      <c r="JJR128"/>
      <c r="JJS128"/>
      <c r="JJT128"/>
      <c r="JJU128"/>
      <c r="JJV128"/>
      <c r="JJW128"/>
      <c r="JJX128"/>
      <c r="JJY128"/>
      <c r="JJZ128"/>
      <c r="JKA128"/>
      <c r="JKB128"/>
      <c r="JKC128"/>
      <c r="JKD128"/>
      <c r="JKE128"/>
      <c r="JKF128"/>
      <c r="JKG128"/>
      <c r="JKH128"/>
      <c r="JKI128"/>
      <c r="JKJ128"/>
      <c r="JKK128"/>
      <c r="JKL128"/>
      <c r="JKM128"/>
      <c r="JKN128"/>
      <c r="JKO128"/>
      <c r="JKP128"/>
      <c r="JKQ128"/>
      <c r="JKR128"/>
      <c r="JKS128"/>
      <c r="JKT128"/>
      <c r="JKU128"/>
      <c r="JKV128"/>
      <c r="JKW128"/>
      <c r="JKX128"/>
      <c r="JKY128"/>
      <c r="JKZ128"/>
      <c r="JLA128"/>
      <c r="JLB128"/>
      <c r="JLC128"/>
      <c r="JLD128"/>
      <c r="JLE128"/>
      <c r="JLF128"/>
      <c r="JLG128"/>
      <c r="JLH128"/>
      <c r="JLI128"/>
      <c r="JLJ128"/>
      <c r="JLK128"/>
      <c r="JLL128"/>
      <c r="JLM128"/>
      <c r="JLN128"/>
      <c r="JLO128"/>
      <c r="JLP128"/>
      <c r="JLQ128"/>
      <c r="JLR128"/>
      <c r="JLS128"/>
      <c r="JLT128"/>
      <c r="JLU128"/>
      <c r="JLV128"/>
      <c r="JLW128"/>
      <c r="JLX128"/>
      <c r="JLY128"/>
      <c r="JLZ128"/>
      <c r="JMA128"/>
      <c r="JMB128"/>
      <c r="JMC128"/>
      <c r="JMD128"/>
      <c r="JME128"/>
      <c r="JMF128"/>
      <c r="JMG128"/>
      <c r="JMH128"/>
      <c r="JMI128"/>
      <c r="JMJ128"/>
      <c r="JMK128"/>
      <c r="JML128"/>
      <c r="JMM128"/>
      <c r="JMN128"/>
      <c r="JMO128"/>
      <c r="JMP128"/>
      <c r="JMQ128"/>
      <c r="JMR128"/>
      <c r="JMS128"/>
      <c r="JMT128"/>
      <c r="JMU128"/>
      <c r="JMV128"/>
      <c r="JMW128"/>
      <c r="JMX128"/>
      <c r="JMY128"/>
      <c r="JMZ128"/>
      <c r="JNA128"/>
      <c r="JNB128"/>
      <c r="JNC128"/>
      <c r="JND128"/>
      <c r="JNE128"/>
      <c r="JNF128"/>
      <c r="JNG128"/>
      <c r="JNH128"/>
      <c r="JNI128"/>
      <c r="JNJ128"/>
      <c r="JNK128"/>
      <c r="JNL128"/>
      <c r="JNM128"/>
      <c r="JNN128"/>
      <c r="JNO128"/>
      <c r="JNP128"/>
      <c r="JNQ128"/>
      <c r="JNR128"/>
      <c r="JNS128"/>
      <c r="JNT128"/>
      <c r="JNU128"/>
      <c r="JNV128"/>
      <c r="JNW128"/>
      <c r="JNX128"/>
      <c r="JNY128"/>
      <c r="JNZ128"/>
      <c r="JOA128"/>
      <c r="JOB128"/>
      <c r="JOC128"/>
      <c r="JOD128"/>
      <c r="JOE128"/>
      <c r="JOF128"/>
      <c r="JOG128"/>
      <c r="JOH128"/>
      <c r="JOI128"/>
      <c r="JOJ128"/>
      <c r="JOK128"/>
      <c r="JOL128"/>
      <c r="JOM128"/>
      <c r="JON128"/>
      <c r="JOO128"/>
      <c r="JOP128"/>
      <c r="JOQ128"/>
      <c r="JOR128"/>
      <c r="JOS128"/>
      <c r="JOT128"/>
      <c r="JOU128"/>
      <c r="JOV128"/>
      <c r="JOW128"/>
      <c r="JOX128"/>
      <c r="JOY128"/>
      <c r="JOZ128"/>
      <c r="JPA128"/>
      <c r="JPB128"/>
      <c r="JPC128"/>
      <c r="JPD128"/>
      <c r="JPE128"/>
      <c r="JPF128"/>
      <c r="JPG128"/>
      <c r="JPH128"/>
      <c r="JPI128"/>
      <c r="JPJ128"/>
      <c r="JPK128"/>
      <c r="JPL128"/>
      <c r="JPM128"/>
      <c r="JPN128"/>
      <c r="JPO128"/>
      <c r="JPP128"/>
      <c r="JPQ128"/>
      <c r="JPR128"/>
      <c r="JPS128"/>
      <c r="JPT128"/>
      <c r="JPU128"/>
      <c r="JPV128"/>
      <c r="JPW128"/>
      <c r="JPX128"/>
      <c r="JPY128"/>
      <c r="JPZ128"/>
      <c r="JQA128"/>
      <c r="JQB128"/>
      <c r="JQC128"/>
      <c r="JQD128"/>
      <c r="JQE128"/>
      <c r="JQF128"/>
      <c r="JQG128"/>
      <c r="JQH128"/>
      <c r="JQI128"/>
      <c r="JQJ128"/>
      <c r="JQK128"/>
      <c r="JQL128"/>
      <c r="JQM128"/>
      <c r="JQN128"/>
      <c r="JQO128"/>
      <c r="JQP128"/>
      <c r="JQQ128"/>
      <c r="JQR128"/>
      <c r="JQS128"/>
      <c r="JQT128"/>
      <c r="JQU128"/>
      <c r="JQV128"/>
      <c r="JQW128"/>
      <c r="JQX128"/>
      <c r="JQY128"/>
      <c r="JQZ128"/>
      <c r="JRA128"/>
      <c r="JRB128"/>
      <c r="JRC128"/>
      <c r="JRD128"/>
      <c r="JRE128"/>
      <c r="JRF128"/>
      <c r="JRG128"/>
      <c r="JRH128"/>
      <c r="JRI128"/>
      <c r="JRJ128"/>
      <c r="JRK128"/>
      <c r="JRL128"/>
      <c r="JRM128"/>
      <c r="JRN128"/>
      <c r="JRO128"/>
      <c r="JRP128"/>
      <c r="JRQ128"/>
      <c r="JRR128"/>
      <c r="JRS128"/>
      <c r="JRT128"/>
      <c r="JRU128"/>
      <c r="JRV128"/>
      <c r="JRW128"/>
      <c r="JRX128"/>
      <c r="JRY128"/>
      <c r="JRZ128"/>
      <c r="JSA128"/>
      <c r="JSB128"/>
      <c r="JSC128"/>
      <c r="JSD128"/>
      <c r="JSE128"/>
      <c r="JSF128"/>
      <c r="JSG128"/>
      <c r="JSH128"/>
      <c r="JSI128"/>
      <c r="JSJ128"/>
      <c r="JSK128"/>
      <c r="JSL128"/>
      <c r="JSM128"/>
      <c r="JSN128"/>
      <c r="JSO128"/>
      <c r="JSP128"/>
      <c r="JSQ128"/>
      <c r="JSR128"/>
      <c r="JSS128"/>
      <c r="JST128"/>
      <c r="JSU128"/>
      <c r="JSV128"/>
      <c r="JSW128"/>
      <c r="JSX128"/>
      <c r="JSY128"/>
      <c r="JSZ128"/>
      <c r="JTA128"/>
      <c r="JTB128"/>
      <c r="JTC128"/>
      <c r="JTD128"/>
      <c r="JTE128"/>
      <c r="JTF128"/>
      <c r="JTG128"/>
      <c r="JTH128"/>
      <c r="JTI128"/>
      <c r="JTJ128"/>
      <c r="JTK128"/>
      <c r="JTL128"/>
      <c r="JTM128"/>
      <c r="JTN128"/>
      <c r="JTO128"/>
      <c r="JTP128"/>
      <c r="JTQ128"/>
      <c r="JTR128"/>
      <c r="JTS128"/>
      <c r="JTT128"/>
      <c r="JTU128"/>
      <c r="JTV128"/>
      <c r="JTW128"/>
      <c r="JTX128"/>
      <c r="JTY128"/>
      <c r="JTZ128"/>
      <c r="JUA128"/>
      <c r="JUB128"/>
      <c r="JUC128"/>
      <c r="JUD128"/>
      <c r="JUE128"/>
      <c r="JUF128"/>
      <c r="JUG128"/>
      <c r="JUH128"/>
      <c r="JUI128"/>
      <c r="JUJ128"/>
      <c r="JUK128"/>
      <c r="JUL128"/>
      <c r="JUM128"/>
      <c r="JUN128"/>
      <c r="JUO128"/>
      <c r="JUP128"/>
      <c r="JUQ128"/>
      <c r="JUR128"/>
      <c r="JUS128"/>
      <c r="JUT128"/>
      <c r="JUU128"/>
      <c r="JUV128"/>
      <c r="JUW128"/>
      <c r="JUX128"/>
      <c r="JUY128"/>
      <c r="JUZ128"/>
      <c r="JVA128"/>
      <c r="JVB128"/>
      <c r="JVC128"/>
      <c r="JVD128"/>
      <c r="JVE128"/>
      <c r="JVF128"/>
      <c r="JVG128"/>
      <c r="JVH128"/>
      <c r="JVI128"/>
      <c r="JVJ128"/>
      <c r="JVK128"/>
      <c r="JVL128"/>
      <c r="JVM128"/>
      <c r="JVN128"/>
      <c r="JVO128"/>
      <c r="JVP128"/>
      <c r="JVQ128"/>
      <c r="JVR128"/>
      <c r="JVS128"/>
      <c r="JVT128"/>
      <c r="JVU128"/>
      <c r="JVV128"/>
      <c r="JVW128"/>
      <c r="JVX128"/>
      <c r="JVY128"/>
      <c r="JVZ128"/>
      <c r="JWA128"/>
      <c r="JWB128"/>
      <c r="JWC128"/>
      <c r="JWD128"/>
      <c r="JWE128"/>
      <c r="JWF128"/>
      <c r="JWG128"/>
      <c r="JWH128"/>
      <c r="JWI128"/>
      <c r="JWJ128"/>
      <c r="JWK128"/>
      <c r="JWL128"/>
      <c r="JWM128"/>
      <c r="JWN128"/>
      <c r="JWO128"/>
      <c r="JWP128"/>
      <c r="JWQ128"/>
      <c r="JWR128"/>
      <c r="JWS128"/>
      <c r="JWT128"/>
      <c r="JWU128"/>
      <c r="JWV128"/>
      <c r="JWW128"/>
      <c r="JWX128"/>
      <c r="JWY128"/>
      <c r="JWZ128"/>
      <c r="JXA128"/>
      <c r="JXB128"/>
      <c r="JXC128"/>
      <c r="JXD128"/>
      <c r="JXE128"/>
      <c r="JXF128"/>
      <c r="JXG128"/>
      <c r="JXH128"/>
      <c r="JXI128"/>
      <c r="JXJ128"/>
      <c r="JXK128"/>
      <c r="JXL128"/>
      <c r="JXM128"/>
      <c r="JXN128"/>
      <c r="JXO128"/>
      <c r="JXP128"/>
      <c r="JXQ128"/>
      <c r="JXR128"/>
      <c r="JXS128"/>
      <c r="JXT128"/>
      <c r="JXU128"/>
      <c r="JXV128"/>
      <c r="JXW128"/>
      <c r="JXX128"/>
      <c r="JXY128"/>
      <c r="JXZ128"/>
      <c r="JYA128"/>
      <c r="JYB128"/>
      <c r="JYC128"/>
      <c r="JYD128"/>
      <c r="JYE128"/>
      <c r="JYF128"/>
      <c r="JYG128"/>
      <c r="JYH128"/>
      <c r="JYI128"/>
      <c r="JYJ128"/>
      <c r="JYK128"/>
      <c r="JYL128"/>
      <c r="JYM128"/>
      <c r="JYN128"/>
      <c r="JYO128"/>
      <c r="JYP128"/>
      <c r="JYQ128"/>
      <c r="JYR128"/>
      <c r="JYS128"/>
      <c r="JYT128"/>
      <c r="JYU128"/>
      <c r="JYV128"/>
      <c r="JYW128"/>
      <c r="JYX128"/>
      <c r="JYY128"/>
      <c r="JYZ128"/>
      <c r="JZA128"/>
      <c r="JZB128"/>
      <c r="JZC128"/>
      <c r="JZD128"/>
      <c r="JZE128"/>
      <c r="JZF128"/>
      <c r="JZG128"/>
      <c r="JZH128"/>
      <c r="JZI128"/>
      <c r="JZJ128"/>
      <c r="JZK128"/>
      <c r="JZL128"/>
      <c r="JZM128"/>
      <c r="JZN128"/>
      <c r="JZO128"/>
      <c r="JZP128"/>
      <c r="JZQ128"/>
      <c r="JZR128"/>
      <c r="JZS128"/>
      <c r="JZT128"/>
      <c r="JZU128"/>
      <c r="JZV128"/>
      <c r="JZW128"/>
      <c r="JZX128"/>
      <c r="JZY128"/>
      <c r="JZZ128"/>
      <c r="KAA128"/>
      <c r="KAB128"/>
      <c r="KAC128"/>
      <c r="KAD128"/>
      <c r="KAE128"/>
      <c r="KAF128"/>
      <c r="KAG128"/>
      <c r="KAH128"/>
      <c r="KAI128"/>
      <c r="KAJ128"/>
      <c r="KAK128"/>
      <c r="KAL128"/>
      <c r="KAM128"/>
      <c r="KAN128"/>
      <c r="KAO128"/>
      <c r="KAP128"/>
      <c r="KAQ128"/>
      <c r="KAR128"/>
      <c r="KAS128"/>
      <c r="KAT128"/>
      <c r="KAU128"/>
      <c r="KAV128"/>
      <c r="KAW128"/>
      <c r="KAX128"/>
      <c r="KAY128"/>
      <c r="KAZ128"/>
      <c r="KBA128"/>
      <c r="KBB128"/>
      <c r="KBC128"/>
      <c r="KBD128"/>
      <c r="KBE128"/>
      <c r="KBF128"/>
      <c r="KBG128"/>
      <c r="KBH128"/>
      <c r="KBI128"/>
      <c r="KBJ128"/>
      <c r="KBK128"/>
      <c r="KBL128"/>
      <c r="KBM128"/>
      <c r="KBN128"/>
      <c r="KBO128"/>
      <c r="KBP128"/>
      <c r="KBQ128"/>
      <c r="KBR128"/>
      <c r="KBS128"/>
      <c r="KBT128"/>
      <c r="KBU128"/>
      <c r="KBV128"/>
      <c r="KBW128"/>
      <c r="KBX128"/>
      <c r="KBY128"/>
      <c r="KBZ128"/>
      <c r="KCA128"/>
      <c r="KCB128"/>
      <c r="KCC128"/>
      <c r="KCD128"/>
      <c r="KCE128"/>
      <c r="KCF128"/>
      <c r="KCG128"/>
      <c r="KCH128"/>
      <c r="KCI128"/>
      <c r="KCJ128"/>
      <c r="KCK128"/>
      <c r="KCL128"/>
      <c r="KCM128"/>
      <c r="KCN128"/>
      <c r="KCO128"/>
      <c r="KCP128"/>
      <c r="KCQ128"/>
      <c r="KCR128"/>
      <c r="KCS128"/>
      <c r="KCT128"/>
      <c r="KCU128"/>
      <c r="KCV128"/>
      <c r="KCW128"/>
      <c r="KCX128"/>
      <c r="KCY128"/>
      <c r="KCZ128"/>
      <c r="KDA128"/>
      <c r="KDB128"/>
      <c r="KDC128"/>
      <c r="KDD128"/>
      <c r="KDE128"/>
      <c r="KDF128"/>
      <c r="KDG128"/>
      <c r="KDH128"/>
      <c r="KDI128"/>
      <c r="KDJ128"/>
      <c r="KDK128"/>
      <c r="KDL128"/>
      <c r="KDM128"/>
      <c r="KDN128"/>
      <c r="KDO128"/>
      <c r="KDP128"/>
      <c r="KDQ128"/>
      <c r="KDR128"/>
      <c r="KDS128"/>
      <c r="KDT128"/>
      <c r="KDU128"/>
      <c r="KDV128"/>
      <c r="KDW128"/>
      <c r="KDX128"/>
      <c r="KDY128"/>
      <c r="KDZ128"/>
      <c r="KEA128"/>
      <c r="KEB128"/>
      <c r="KEC128"/>
      <c r="KED128"/>
      <c r="KEE128"/>
      <c r="KEF128"/>
      <c r="KEG128"/>
      <c r="KEH128"/>
      <c r="KEI128"/>
      <c r="KEJ128"/>
      <c r="KEK128"/>
      <c r="KEL128"/>
      <c r="KEM128"/>
      <c r="KEN128"/>
      <c r="KEO128"/>
      <c r="KEP128"/>
      <c r="KEQ128"/>
      <c r="KER128"/>
      <c r="KES128"/>
      <c r="KET128"/>
      <c r="KEU128"/>
      <c r="KEV128"/>
      <c r="KEW128"/>
      <c r="KEX128"/>
      <c r="KEY128"/>
      <c r="KEZ128"/>
      <c r="KFA128"/>
      <c r="KFB128"/>
      <c r="KFC128"/>
      <c r="KFD128"/>
      <c r="KFE128"/>
      <c r="KFF128"/>
      <c r="KFG128"/>
      <c r="KFH128"/>
      <c r="KFI128"/>
      <c r="KFJ128"/>
      <c r="KFK128"/>
      <c r="KFL128"/>
      <c r="KFM128"/>
      <c r="KFN128"/>
      <c r="KFO128"/>
      <c r="KFP128"/>
      <c r="KFQ128"/>
      <c r="KFR128"/>
      <c r="KFS128"/>
      <c r="KFT128"/>
      <c r="KFU128"/>
      <c r="KFV128"/>
      <c r="KFW128"/>
      <c r="KFX128"/>
      <c r="KFY128"/>
      <c r="KFZ128"/>
      <c r="KGA128"/>
      <c r="KGB128"/>
      <c r="KGC128"/>
      <c r="KGD128"/>
      <c r="KGE128"/>
      <c r="KGF128"/>
      <c r="KGG128"/>
      <c r="KGH128"/>
      <c r="KGI128"/>
      <c r="KGJ128"/>
      <c r="KGK128"/>
      <c r="KGL128"/>
      <c r="KGM128"/>
      <c r="KGN128"/>
      <c r="KGO128"/>
      <c r="KGP128"/>
      <c r="KGQ128"/>
      <c r="KGR128"/>
      <c r="KGS128"/>
      <c r="KGT128"/>
      <c r="KGU128"/>
      <c r="KGV128"/>
      <c r="KGW128"/>
      <c r="KGX128"/>
      <c r="KGY128"/>
      <c r="KGZ128"/>
      <c r="KHA128"/>
      <c r="KHB128"/>
      <c r="KHC128"/>
      <c r="KHD128"/>
      <c r="KHE128"/>
      <c r="KHF128"/>
      <c r="KHG128"/>
      <c r="KHH128"/>
      <c r="KHI128"/>
      <c r="KHJ128"/>
      <c r="KHK128"/>
      <c r="KHL128"/>
      <c r="KHM128"/>
      <c r="KHN128"/>
      <c r="KHO128"/>
      <c r="KHP128"/>
      <c r="KHQ128"/>
      <c r="KHR128"/>
      <c r="KHS128"/>
      <c r="KHT128"/>
      <c r="KHU128"/>
      <c r="KHV128"/>
      <c r="KHW128"/>
      <c r="KHX128"/>
      <c r="KHY128"/>
      <c r="KHZ128"/>
      <c r="KIA128"/>
      <c r="KIB128"/>
      <c r="KIC128"/>
      <c r="KID128"/>
      <c r="KIE128"/>
      <c r="KIF128"/>
      <c r="KIG128"/>
      <c r="KIH128"/>
      <c r="KII128"/>
      <c r="KIJ128"/>
      <c r="KIK128"/>
      <c r="KIL128"/>
      <c r="KIM128"/>
      <c r="KIN128"/>
      <c r="KIO128"/>
      <c r="KIP128"/>
      <c r="KIQ128"/>
      <c r="KIR128"/>
      <c r="KIS128"/>
      <c r="KIT128"/>
      <c r="KIU128"/>
      <c r="KIV128"/>
      <c r="KIW128"/>
      <c r="KIX128"/>
      <c r="KIY128"/>
      <c r="KIZ128"/>
      <c r="KJA128"/>
      <c r="KJB128"/>
      <c r="KJC128"/>
      <c r="KJD128"/>
      <c r="KJE128"/>
      <c r="KJF128"/>
      <c r="KJG128"/>
      <c r="KJH128"/>
      <c r="KJI128"/>
      <c r="KJJ128"/>
      <c r="KJK128"/>
      <c r="KJL128"/>
      <c r="KJM128"/>
      <c r="KJN128"/>
      <c r="KJO128"/>
      <c r="KJP128"/>
      <c r="KJQ128"/>
      <c r="KJR128"/>
      <c r="KJS128"/>
      <c r="KJT128"/>
      <c r="KJU128"/>
      <c r="KJV128"/>
      <c r="KJW128"/>
      <c r="KJX128"/>
      <c r="KJY128"/>
      <c r="KJZ128"/>
      <c r="KKA128"/>
      <c r="KKB128"/>
      <c r="KKC128"/>
      <c r="KKD128"/>
      <c r="KKE128"/>
      <c r="KKF128"/>
      <c r="KKG128"/>
      <c r="KKH128"/>
      <c r="KKI128"/>
      <c r="KKJ128"/>
      <c r="KKK128"/>
      <c r="KKL128"/>
      <c r="KKM128"/>
      <c r="KKN128"/>
      <c r="KKO128"/>
      <c r="KKP128"/>
      <c r="KKQ128"/>
      <c r="KKR128"/>
      <c r="KKS128"/>
      <c r="KKT128"/>
      <c r="KKU128"/>
      <c r="KKV128"/>
      <c r="KKW128"/>
      <c r="KKX128"/>
      <c r="KKY128"/>
      <c r="KKZ128"/>
      <c r="KLA128"/>
      <c r="KLB128"/>
      <c r="KLC128"/>
      <c r="KLD128"/>
      <c r="KLE128"/>
      <c r="KLF128"/>
      <c r="KLG128"/>
      <c r="KLH128"/>
      <c r="KLI128"/>
      <c r="KLJ128"/>
      <c r="KLK128"/>
      <c r="KLL128"/>
      <c r="KLM128"/>
      <c r="KLN128"/>
      <c r="KLO128"/>
      <c r="KLP128"/>
      <c r="KLQ128"/>
      <c r="KLR128"/>
      <c r="KLS128"/>
      <c r="KLT128"/>
      <c r="KLU128"/>
      <c r="KLV128"/>
      <c r="KLW128"/>
      <c r="KLX128"/>
      <c r="KLY128"/>
      <c r="KLZ128"/>
      <c r="KMA128"/>
      <c r="KMB128"/>
      <c r="KMC128"/>
      <c r="KMD128"/>
      <c r="KME128"/>
      <c r="KMF128"/>
      <c r="KMG128"/>
      <c r="KMH128"/>
      <c r="KMI128"/>
      <c r="KMJ128"/>
      <c r="KMK128"/>
      <c r="KML128"/>
      <c r="KMM128"/>
      <c r="KMN128"/>
      <c r="KMO128"/>
      <c r="KMP128"/>
      <c r="KMQ128"/>
      <c r="KMR128"/>
      <c r="KMS128"/>
      <c r="KMT128"/>
      <c r="KMU128"/>
      <c r="KMV128"/>
      <c r="KMW128"/>
      <c r="KMX128"/>
      <c r="KMY128"/>
      <c r="KMZ128"/>
      <c r="KNA128"/>
      <c r="KNB128"/>
      <c r="KNC128"/>
      <c r="KND128"/>
      <c r="KNE128"/>
      <c r="KNF128"/>
      <c r="KNG128"/>
      <c r="KNH128"/>
      <c r="KNI128"/>
      <c r="KNJ128"/>
      <c r="KNK128"/>
      <c r="KNL128"/>
      <c r="KNM128"/>
      <c r="KNN128"/>
      <c r="KNO128"/>
      <c r="KNP128"/>
      <c r="KNQ128"/>
      <c r="KNR128"/>
      <c r="KNS128"/>
      <c r="KNT128"/>
      <c r="KNU128"/>
      <c r="KNV128"/>
      <c r="KNW128"/>
      <c r="KNX128"/>
      <c r="KNY128"/>
      <c r="KNZ128"/>
      <c r="KOA128"/>
      <c r="KOB128"/>
      <c r="KOC128"/>
      <c r="KOD128"/>
      <c r="KOE128"/>
      <c r="KOF128"/>
      <c r="KOG128"/>
      <c r="KOH128"/>
      <c r="KOI128"/>
      <c r="KOJ128"/>
      <c r="KOK128"/>
      <c r="KOL128"/>
      <c r="KOM128"/>
      <c r="KON128"/>
      <c r="KOO128"/>
      <c r="KOP128"/>
      <c r="KOQ128"/>
      <c r="KOR128"/>
      <c r="KOS128"/>
      <c r="KOT128"/>
      <c r="KOU128"/>
      <c r="KOV128"/>
      <c r="KOW128"/>
      <c r="KOX128"/>
      <c r="KOY128"/>
      <c r="KOZ128"/>
      <c r="KPA128"/>
      <c r="KPB128"/>
      <c r="KPC128"/>
      <c r="KPD128"/>
      <c r="KPE128"/>
      <c r="KPF128"/>
      <c r="KPG128"/>
      <c r="KPH128"/>
      <c r="KPI128"/>
      <c r="KPJ128"/>
      <c r="KPK128"/>
      <c r="KPL128"/>
      <c r="KPM128"/>
      <c r="KPN128"/>
      <c r="KPO128"/>
      <c r="KPP128"/>
      <c r="KPQ128"/>
      <c r="KPR128"/>
      <c r="KPS128"/>
      <c r="KPT128"/>
      <c r="KPU128"/>
      <c r="KPV128"/>
      <c r="KPW128"/>
      <c r="KPX128"/>
      <c r="KPY128"/>
      <c r="KPZ128"/>
      <c r="KQA128"/>
      <c r="KQB128"/>
      <c r="KQC128"/>
      <c r="KQD128"/>
      <c r="KQE128"/>
      <c r="KQF128"/>
      <c r="KQG128"/>
      <c r="KQH128"/>
      <c r="KQI128"/>
      <c r="KQJ128"/>
      <c r="KQK128"/>
      <c r="KQL128"/>
      <c r="KQM128"/>
      <c r="KQN128"/>
      <c r="KQO128"/>
      <c r="KQP128"/>
      <c r="KQQ128"/>
      <c r="KQR128"/>
      <c r="KQS128"/>
      <c r="KQT128"/>
      <c r="KQU128"/>
      <c r="KQV128"/>
      <c r="KQW128"/>
      <c r="KQX128"/>
      <c r="KQY128"/>
      <c r="KQZ128"/>
      <c r="KRA128"/>
      <c r="KRB128"/>
      <c r="KRC128"/>
      <c r="KRD128"/>
      <c r="KRE128"/>
      <c r="KRF128"/>
      <c r="KRG128"/>
      <c r="KRH128"/>
      <c r="KRI128"/>
      <c r="KRJ128"/>
      <c r="KRK128"/>
      <c r="KRL128"/>
      <c r="KRM128"/>
      <c r="KRN128"/>
      <c r="KRO128"/>
      <c r="KRP128"/>
      <c r="KRQ128"/>
      <c r="KRR128"/>
      <c r="KRS128"/>
      <c r="KRT128"/>
      <c r="KRU128"/>
      <c r="KRV128"/>
      <c r="KRW128"/>
      <c r="KRX128"/>
      <c r="KRY128"/>
      <c r="KRZ128"/>
      <c r="KSA128"/>
      <c r="KSB128"/>
      <c r="KSC128"/>
      <c r="KSD128"/>
      <c r="KSE128"/>
      <c r="KSF128"/>
      <c r="KSG128"/>
      <c r="KSH128"/>
      <c r="KSI128"/>
      <c r="KSJ128"/>
      <c r="KSK128"/>
      <c r="KSL128"/>
      <c r="KSM128"/>
      <c r="KSN128"/>
      <c r="KSO128"/>
      <c r="KSP128"/>
      <c r="KSQ128"/>
      <c r="KSR128"/>
      <c r="KSS128"/>
      <c r="KST128"/>
      <c r="KSU128"/>
      <c r="KSV128"/>
      <c r="KSW128"/>
      <c r="KSX128"/>
      <c r="KSY128"/>
      <c r="KSZ128"/>
      <c r="KTA128"/>
      <c r="KTB128"/>
      <c r="KTC128"/>
      <c r="KTD128"/>
      <c r="KTE128"/>
      <c r="KTF128"/>
      <c r="KTG128"/>
      <c r="KTH128"/>
      <c r="KTI128"/>
      <c r="KTJ128"/>
      <c r="KTK128"/>
      <c r="KTL128"/>
      <c r="KTM128"/>
      <c r="KTN128"/>
      <c r="KTO128"/>
      <c r="KTP128"/>
      <c r="KTQ128"/>
      <c r="KTR128"/>
      <c r="KTS128"/>
      <c r="KTT128"/>
      <c r="KTU128"/>
      <c r="KTV128"/>
      <c r="KTW128"/>
      <c r="KTX128"/>
      <c r="KTY128"/>
      <c r="KTZ128"/>
      <c r="KUA128"/>
      <c r="KUB128"/>
      <c r="KUC128"/>
      <c r="KUD128"/>
      <c r="KUE128"/>
      <c r="KUF128"/>
      <c r="KUG128"/>
      <c r="KUH128"/>
      <c r="KUI128"/>
      <c r="KUJ128"/>
      <c r="KUK128"/>
      <c r="KUL128"/>
      <c r="KUM128"/>
      <c r="KUN128"/>
      <c r="KUO128"/>
      <c r="KUP128"/>
      <c r="KUQ128"/>
      <c r="KUR128"/>
      <c r="KUS128"/>
      <c r="KUT128"/>
      <c r="KUU128"/>
      <c r="KUV128"/>
      <c r="KUW128"/>
      <c r="KUX128"/>
      <c r="KUY128"/>
      <c r="KUZ128"/>
      <c r="KVA128"/>
      <c r="KVB128"/>
      <c r="KVC128"/>
      <c r="KVD128"/>
      <c r="KVE128"/>
      <c r="KVF128"/>
      <c r="KVG128"/>
      <c r="KVH128"/>
      <c r="KVI128"/>
      <c r="KVJ128"/>
      <c r="KVK128"/>
      <c r="KVL128"/>
      <c r="KVM128"/>
      <c r="KVN128"/>
      <c r="KVO128"/>
      <c r="KVP128"/>
      <c r="KVQ128"/>
      <c r="KVR128"/>
      <c r="KVS128"/>
      <c r="KVT128"/>
      <c r="KVU128"/>
      <c r="KVV128"/>
      <c r="KVW128"/>
      <c r="KVX128"/>
      <c r="KVY128"/>
      <c r="KVZ128"/>
      <c r="KWA128"/>
      <c r="KWB128"/>
      <c r="KWC128"/>
      <c r="KWD128"/>
      <c r="KWE128"/>
      <c r="KWF128"/>
      <c r="KWG128"/>
      <c r="KWH128"/>
      <c r="KWI128"/>
      <c r="KWJ128"/>
      <c r="KWK128"/>
      <c r="KWL128"/>
      <c r="KWM128"/>
      <c r="KWN128"/>
      <c r="KWO128"/>
      <c r="KWP128"/>
      <c r="KWQ128"/>
      <c r="KWR128"/>
      <c r="KWS128"/>
      <c r="KWT128"/>
      <c r="KWU128"/>
      <c r="KWV128"/>
      <c r="KWW128"/>
      <c r="KWX128"/>
      <c r="KWY128"/>
      <c r="KWZ128"/>
      <c r="KXA128"/>
      <c r="KXB128"/>
      <c r="KXC128"/>
      <c r="KXD128"/>
      <c r="KXE128"/>
      <c r="KXF128"/>
      <c r="KXG128"/>
      <c r="KXH128"/>
      <c r="KXI128"/>
      <c r="KXJ128"/>
      <c r="KXK128"/>
      <c r="KXL128"/>
      <c r="KXM128"/>
      <c r="KXN128"/>
      <c r="KXO128"/>
      <c r="KXP128"/>
      <c r="KXQ128"/>
      <c r="KXR128"/>
      <c r="KXS128"/>
      <c r="KXT128"/>
      <c r="KXU128"/>
      <c r="KXV128"/>
      <c r="KXW128"/>
      <c r="KXX128"/>
      <c r="KXY128"/>
      <c r="KXZ128"/>
      <c r="KYA128"/>
      <c r="KYB128"/>
      <c r="KYC128"/>
      <c r="KYD128"/>
      <c r="KYE128"/>
      <c r="KYF128"/>
      <c r="KYG128"/>
      <c r="KYH128"/>
      <c r="KYI128"/>
      <c r="KYJ128"/>
      <c r="KYK128"/>
      <c r="KYL128"/>
      <c r="KYM128"/>
      <c r="KYN128"/>
      <c r="KYO128"/>
      <c r="KYP128"/>
      <c r="KYQ128"/>
      <c r="KYR128"/>
      <c r="KYS128"/>
      <c r="KYT128"/>
      <c r="KYU128"/>
      <c r="KYV128"/>
      <c r="KYW128"/>
      <c r="KYX128"/>
      <c r="KYY128"/>
      <c r="KYZ128"/>
      <c r="KZA128"/>
      <c r="KZB128"/>
      <c r="KZC128"/>
      <c r="KZD128"/>
      <c r="KZE128"/>
      <c r="KZF128"/>
      <c r="KZG128"/>
      <c r="KZH128"/>
      <c r="KZI128"/>
      <c r="KZJ128"/>
      <c r="KZK128"/>
      <c r="KZL128"/>
      <c r="KZM128"/>
      <c r="KZN128"/>
      <c r="KZO128"/>
      <c r="KZP128"/>
      <c r="KZQ128"/>
      <c r="KZR128"/>
      <c r="KZS128"/>
      <c r="KZT128"/>
      <c r="KZU128"/>
      <c r="KZV128"/>
      <c r="KZW128"/>
      <c r="KZX128"/>
      <c r="KZY128"/>
      <c r="KZZ128"/>
      <c r="LAA128"/>
      <c r="LAB128"/>
      <c r="LAC128"/>
      <c r="LAD128"/>
      <c r="LAE128"/>
      <c r="LAF128"/>
      <c r="LAG128"/>
      <c r="LAH128"/>
      <c r="LAI128"/>
      <c r="LAJ128"/>
      <c r="LAK128"/>
      <c r="LAL128"/>
      <c r="LAM128"/>
      <c r="LAN128"/>
      <c r="LAO128"/>
      <c r="LAP128"/>
      <c r="LAQ128"/>
      <c r="LAR128"/>
      <c r="LAS128"/>
      <c r="LAT128"/>
      <c r="LAU128"/>
      <c r="LAV128"/>
      <c r="LAW128"/>
      <c r="LAX128"/>
      <c r="LAY128"/>
      <c r="LAZ128"/>
      <c r="LBA128"/>
      <c r="LBB128"/>
      <c r="LBC128"/>
      <c r="LBD128"/>
      <c r="LBE128"/>
      <c r="LBF128"/>
      <c r="LBG128"/>
      <c r="LBH128"/>
      <c r="LBI128"/>
      <c r="LBJ128"/>
      <c r="LBK128"/>
      <c r="LBL128"/>
      <c r="LBM128"/>
      <c r="LBN128"/>
      <c r="LBO128"/>
      <c r="LBP128"/>
      <c r="LBQ128"/>
      <c r="LBR128"/>
      <c r="LBS128"/>
      <c r="LBT128"/>
      <c r="LBU128"/>
      <c r="LBV128"/>
      <c r="LBW128"/>
      <c r="LBX128"/>
      <c r="LBY128"/>
      <c r="LBZ128"/>
      <c r="LCA128"/>
      <c r="LCB128"/>
      <c r="LCC128"/>
      <c r="LCD128"/>
      <c r="LCE128"/>
      <c r="LCF128"/>
      <c r="LCG128"/>
      <c r="LCH128"/>
      <c r="LCI128"/>
      <c r="LCJ128"/>
      <c r="LCK128"/>
      <c r="LCL128"/>
      <c r="LCM128"/>
      <c r="LCN128"/>
      <c r="LCO128"/>
      <c r="LCP128"/>
      <c r="LCQ128"/>
      <c r="LCR128"/>
      <c r="LCS128"/>
      <c r="LCT128"/>
      <c r="LCU128"/>
      <c r="LCV128"/>
      <c r="LCW128"/>
      <c r="LCX128"/>
      <c r="LCY128"/>
      <c r="LCZ128"/>
      <c r="LDA128"/>
      <c r="LDB128"/>
      <c r="LDC128"/>
      <c r="LDD128"/>
      <c r="LDE128"/>
      <c r="LDF128"/>
      <c r="LDG128"/>
      <c r="LDH128"/>
      <c r="LDI128"/>
      <c r="LDJ128"/>
      <c r="LDK128"/>
      <c r="LDL128"/>
      <c r="LDM128"/>
      <c r="LDN128"/>
      <c r="LDO128"/>
      <c r="LDP128"/>
      <c r="LDQ128"/>
      <c r="LDR128"/>
      <c r="LDS128"/>
      <c r="LDT128"/>
      <c r="LDU128"/>
      <c r="LDV128"/>
      <c r="LDW128"/>
      <c r="LDX128"/>
      <c r="LDY128"/>
      <c r="LDZ128"/>
      <c r="LEA128"/>
      <c r="LEB128"/>
      <c r="LEC128"/>
      <c r="LED128"/>
      <c r="LEE128"/>
      <c r="LEF128"/>
      <c r="LEG128"/>
      <c r="LEH128"/>
      <c r="LEI128"/>
      <c r="LEJ128"/>
      <c r="LEK128"/>
      <c r="LEL128"/>
      <c r="LEM128"/>
      <c r="LEN128"/>
      <c r="LEO128"/>
      <c r="LEP128"/>
      <c r="LEQ128"/>
      <c r="LER128"/>
      <c r="LES128"/>
      <c r="LET128"/>
      <c r="LEU128"/>
      <c r="LEV128"/>
      <c r="LEW128"/>
      <c r="LEX128"/>
      <c r="LEY128"/>
      <c r="LEZ128"/>
      <c r="LFA128"/>
      <c r="LFB128"/>
      <c r="LFC128"/>
      <c r="LFD128"/>
      <c r="LFE128"/>
      <c r="LFF128"/>
      <c r="LFG128"/>
      <c r="LFH128"/>
      <c r="LFI128"/>
      <c r="LFJ128"/>
      <c r="LFK128"/>
      <c r="LFL128"/>
      <c r="LFM128"/>
      <c r="LFN128"/>
      <c r="LFO128"/>
      <c r="LFP128"/>
      <c r="LFQ128"/>
      <c r="LFR128"/>
      <c r="LFS128"/>
      <c r="LFT128"/>
      <c r="LFU128"/>
      <c r="LFV128"/>
      <c r="LFW128"/>
      <c r="LFX128"/>
      <c r="LFY128"/>
      <c r="LFZ128"/>
      <c r="LGA128"/>
      <c r="LGB128"/>
      <c r="LGC128"/>
      <c r="LGD128"/>
      <c r="LGE128"/>
      <c r="LGF128"/>
      <c r="LGG128"/>
      <c r="LGH128"/>
      <c r="LGI128"/>
      <c r="LGJ128"/>
      <c r="LGK128"/>
      <c r="LGL128"/>
      <c r="LGM128"/>
      <c r="LGN128"/>
      <c r="LGO128"/>
      <c r="LGP128"/>
      <c r="LGQ128"/>
      <c r="LGR128"/>
      <c r="LGS128"/>
      <c r="LGT128"/>
      <c r="LGU128"/>
      <c r="LGV128"/>
      <c r="LGW128"/>
      <c r="LGX128"/>
      <c r="LGY128"/>
      <c r="LGZ128"/>
      <c r="LHA128"/>
      <c r="LHB128"/>
      <c r="LHC128"/>
      <c r="LHD128"/>
      <c r="LHE128"/>
      <c r="LHF128"/>
      <c r="LHG128"/>
      <c r="LHH128"/>
      <c r="LHI128"/>
      <c r="LHJ128"/>
      <c r="LHK128"/>
      <c r="LHL128"/>
      <c r="LHM128"/>
      <c r="LHN128"/>
      <c r="LHO128"/>
      <c r="LHP128"/>
      <c r="LHQ128"/>
      <c r="LHR128"/>
      <c r="LHS128"/>
      <c r="LHT128"/>
      <c r="LHU128"/>
      <c r="LHV128"/>
      <c r="LHW128"/>
      <c r="LHX128"/>
      <c r="LHY128"/>
      <c r="LHZ128"/>
      <c r="LIA128"/>
      <c r="LIB128"/>
      <c r="LIC128"/>
      <c r="LID128"/>
      <c r="LIE128"/>
      <c r="LIF128"/>
      <c r="LIG128"/>
      <c r="LIH128"/>
      <c r="LII128"/>
      <c r="LIJ128"/>
      <c r="LIK128"/>
      <c r="LIL128"/>
      <c r="LIM128"/>
      <c r="LIN128"/>
      <c r="LIO128"/>
      <c r="LIP128"/>
      <c r="LIQ128"/>
      <c r="LIR128"/>
      <c r="LIS128"/>
      <c r="LIT128"/>
      <c r="LIU128"/>
      <c r="LIV128"/>
      <c r="LIW128"/>
      <c r="LIX128"/>
      <c r="LIY128"/>
      <c r="LIZ128"/>
      <c r="LJA128"/>
      <c r="LJB128"/>
      <c r="LJC128"/>
      <c r="LJD128"/>
      <c r="LJE128"/>
      <c r="LJF128"/>
      <c r="LJG128"/>
      <c r="LJH128"/>
      <c r="LJI128"/>
      <c r="LJJ128"/>
      <c r="LJK128"/>
      <c r="LJL128"/>
      <c r="LJM128"/>
      <c r="LJN128"/>
      <c r="LJO128"/>
      <c r="LJP128"/>
      <c r="LJQ128"/>
      <c r="LJR128"/>
      <c r="LJS128"/>
      <c r="LJT128"/>
      <c r="LJU128"/>
      <c r="LJV128"/>
      <c r="LJW128"/>
      <c r="LJX128"/>
      <c r="LJY128"/>
      <c r="LJZ128"/>
      <c r="LKA128"/>
      <c r="LKB128"/>
      <c r="LKC128"/>
      <c r="LKD128"/>
      <c r="LKE128"/>
      <c r="LKF128"/>
      <c r="LKG128"/>
      <c r="LKH128"/>
      <c r="LKI128"/>
      <c r="LKJ128"/>
      <c r="LKK128"/>
      <c r="LKL128"/>
      <c r="LKM128"/>
      <c r="LKN128"/>
      <c r="LKO128"/>
      <c r="LKP128"/>
      <c r="LKQ128"/>
      <c r="LKR128"/>
      <c r="LKS128"/>
      <c r="LKT128"/>
      <c r="LKU128"/>
      <c r="LKV128"/>
      <c r="LKW128"/>
      <c r="LKX128"/>
      <c r="LKY128"/>
      <c r="LKZ128"/>
      <c r="LLA128"/>
      <c r="LLB128"/>
      <c r="LLC128"/>
      <c r="LLD128"/>
      <c r="LLE128"/>
      <c r="LLF128"/>
      <c r="LLG128"/>
      <c r="LLH128"/>
      <c r="LLI128"/>
      <c r="LLJ128"/>
      <c r="LLK128"/>
      <c r="LLL128"/>
      <c r="LLM128"/>
      <c r="LLN128"/>
      <c r="LLO128"/>
      <c r="LLP128"/>
      <c r="LLQ128"/>
      <c r="LLR128"/>
      <c r="LLS128"/>
      <c r="LLT128"/>
      <c r="LLU128"/>
      <c r="LLV128"/>
      <c r="LLW128"/>
      <c r="LLX128"/>
      <c r="LLY128"/>
      <c r="LLZ128"/>
      <c r="LMA128"/>
      <c r="LMB128"/>
      <c r="LMC128"/>
      <c r="LMD128"/>
      <c r="LME128"/>
      <c r="LMF128"/>
      <c r="LMG128"/>
      <c r="LMH128"/>
      <c r="LMI128"/>
      <c r="LMJ128"/>
      <c r="LMK128"/>
      <c r="LML128"/>
      <c r="LMM128"/>
      <c r="LMN128"/>
      <c r="LMO128"/>
      <c r="LMP128"/>
      <c r="LMQ128"/>
      <c r="LMR128"/>
      <c r="LMS128"/>
      <c r="LMT128"/>
      <c r="LMU128"/>
      <c r="LMV128"/>
      <c r="LMW128"/>
      <c r="LMX128"/>
      <c r="LMY128"/>
      <c r="LMZ128"/>
      <c r="LNA128"/>
      <c r="LNB128"/>
      <c r="LNC128"/>
      <c r="LND128"/>
      <c r="LNE128"/>
      <c r="LNF128"/>
      <c r="LNG128"/>
      <c r="LNH128"/>
      <c r="LNI128"/>
      <c r="LNJ128"/>
      <c r="LNK128"/>
      <c r="LNL128"/>
      <c r="LNM128"/>
      <c r="LNN128"/>
      <c r="LNO128"/>
      <c r="LNP128"/>
      <c r="LNQ128"/>
      <c r="LNR128"/>
      <c r="LNS128"/>
      <c r="LNT128"/>
      <c r="LNU128"/>
      <c r="LNV128"/>
      <c r="LNW128"/>
      <c r="LNX128"/>
      <c r="LNY128"/>
      <c r="LNZ128"/>
      <c r="LOA128"/>
      <c r="LOB128"/>
      <c r="LOC128"/>
      <c r="LOD128"/>
      <c r="LOE128"/>
      <c r="LOF128"/>
      <c r="LOG128"/>
      <c r="LOH128"/>
      <c r="LOI128"/>
      <c r="LOJ128"/>
      <c r="LOK128"/>
      <c r="LOL128"/>
      <c r="LOM128"/>
      <c r="LON128"/>
      <c r="LOO128"/>
      <c r="LOP128"/>
      <c r="LOQ128"/>
      <c r="LOR128"/>
      <c r="LOS128"/>
      <c r="LOT128"/>
      <c r="LOU128"/>
      <c r="LOV128"/>
      <c r="LOW128"/>
      <c r="LOX128"/>
      <c r="LOY128"/>
      <c r="LOZ128"/>
      <c r="LPA128"/>
      <c r="LPB128"/>
      <c r="LPC128"/>
      <c r="LPD128"/>
      <c r="LPE128"/>
      <c r="LPF128"/>
      <c r="LPG128"/>
      <c r="LPH128"/>
      <c r="LPI128"/>
      <c r="LPJ128"/>
      <c r="LPK128"/>
      <c r="LPL128"/>
      <c r="LPM128"/>
      <c r="LPN128"/>
      <c r="LPO128"/>
      <c r="LPP128"/>
      <c r="LPQ128"/>
      <c r="LPR128"/>
      <c r="LPS128"/>
      <c r="LPT128"/>
      <c r="LPU128"/>
      <c r="LPV128"/>
      <c r="LPW128"/>
      <c r="LPX128"/>
      <c r="LPY128"/>
      <c r="LPZ128"/>
      <c r="LQA128"/>
      <c r="LQB128"/>
      <c r="LQC128"/>
      <c r="LQD128"/>
      <c r="LQE128"/>
      <c r="LQF128"/>
      <c r="LQG128"/>
      <c r="LQH128"/>
      <c r="LQI128"/>
      <c r="LQJ128"/>
      <c r="LQK128"/>
      <c r="LQL128"/>
      <c r="LQM128"/>
      <c r="LQN128"/>
      <c r="LQO128"/>
      <c r="LQP128"/>
      <c r="LQQ128"/>
      <c r="LQR128"/>
      <c r="LQS128"/>
      <c r="LQT128"/>
      <c r="LQU128"/>
      <c r="LQV128"/>
      <c r="LQW128"/>
      <c r="LQX128"/>
      <c r="LQY128"/>
      <c r="LQZ128"/>
      <c r="LRA128"/>
      <c r="LRB128"/>
      <c r="LRC128"/>
      <c r="LRD128"/>
      <c r="LRE128"/>
      <c r="LRF128"/>
      <c r="LRG128"/>
      <c r="LRH128"/>
      <c r="LRI128"/>
      <c r="LRJ128"/>
      <c r="LRK128"/>
      <c r="LRL128"/>
      <c r="LRM128"/>
      <c r="LRN128"/>
      <c r="LRO128"/>
      <c r="LRP128"/>
      <c r="LRQ128"/>
      <c r="LRR128"/>
      <c r="LRS128"/>
      <c r="LRT128"/>
      <c r="LRU128"/>
      <c r="LRV128"/>
      <c r="LRW128"/>
      <c r="LRX128"/>
      <c r="LRY128"/>
      <c r="LRZ128"/>
      <c r="LSA128"/>
      <c r="LSB128"/>
      <c r="LSC128"/>
      <c r="LSD128"/>
      <c r="LSE128"/>
      <c r="LSF128"/>
      <c r="LSG128"/>
      <c r="LSH128"/>
      <c r="LSI128"/>
      <c r="LSJ128"/>
      <c r="LSK128"/>
      <c r="LSL128"/>
      <c r="LSM128"/>
      <c r="LSN128"/>
      <c r="LSO128"/>
      <c r="LSP128"/>
      <c r="LSQ128"/>
      <c r="LSR128"/>
      <c r="LSS128"/>
      <c r="LST128"/>
      <c r="LSU128"/>
      <c r="LSV128"/>
      <c r="LSW128"/>
      <c r="LSX128"/>
      <c r="LSY128"/>
      <c r="LSZ128"/>
      <c r="LTA128"/>
      <c r="LTB128"/>
      <c r="LTC128"/>
      <c r="LTD128"/>
      <c r="LTE128"/>
      <c r="LTF128"/>
      <c r="LTG128"/>
      <c r="LTH128"/>
      <c r="LTI128"/>
      <c r="LTJ128"/>
      <c r="LTK128"/>
      <c r="LTL128"/>
      <c r="LTM128"/>
      <c r="LTN128"/>
      <c r="LTO128"/>
      <c r="LTP128"/>
      <c r="LTQ128"/>
      <c r="LTR128"/>
      <c r="LTS128"/>
      <c r="LTT128"/>
      <c r="LTU128"/>
      <c r="LTV128"/>
      <c r="LTW128"/>
      <c r="LTX128"/>
      <c r="LTY128"/>
      <c r="LTZ128"/>
      <c r="LUA128"/>
      <c r="LUB128"/>
      <c r="LUC128"/>
      <c r="LUD128"/>
      <c r="LUE128"/>
      <c r="LUF128"/>
      <c r="LUG128"/>
      <c r="LUH128"/>
      <c r="LUI128"/>
      <c r="LUJ128"/>
      <c r="LUK128"/>
      <c r="LUL128"/>
      <c r="LUM128"/>
      <c r="LUN128"/>
      <c r="LUO128"/>
      <c r="LUP128"/>
      <c r="LUQ128"/>
      <c r="LUR128"/>
      <c r="LUS128"/>
      <c r="LUT128"/>
      <c r="LUU128"/>
      <c r="LUV128"/>
      <c r="LUW128"/>
      <c r="LUX128"/>
      <c r="LUY128"/>
      <c r="LUZ128"/>
      <c r="LVA128"/>
      <c r="LVB128"/>
      <c r="LVC128"/>
      <c r="LVD128"/>
      <c r="LVE128"/>
      <c r="LVF128"/>
      <c r="LVG128"/>
      <c r="LVH128"/>
      <c r="LVI128"/>
      <c r="LVJ128"/>
      <c r="LVK128"/>
      <c r="LVL128"/>
      <c r="LVM128"/>
      <c r="LVN128"/>
      <c r="LVO128"/>
      <c r="LVP128"/>
      <c r="LVQ128"/>
      <c r="LVR128"/>
      <c r="LVS128"/>
      <c r="LVT128"/>
      <c r="LVU128"/>
      <c r="LVV128"/>
      <c r="LVW128"/>
      <c r="LVX128"/>
      <c r="LVY128"/>
      <c r="LVZ128"/>
      <c r="LWA128"/>
      <c r="LWB128"/>
      <c r="LWC128"/>
      <c r="LWD128"/>
      <c r="LWE128"/>
      <c r="LWF128"/>
      <c r="LWG128"/>
      <c r="LWH128"/>
      <c r="LWI128"/>
      <c r="LWJ128"/>
      <c r="LWK128"/>
      <c r="LWL128"/>
      <c r="LWM128"/>
      <c r="LWN128"/>
      <c r="LWO128"/>
      <c r="LWP128"/>
      <c r="LWQ128"/>
      <c r="LWR128"/>
      <c r="LWS128"/>
      <c r="LWT128"/>
      <c r="LWU128"/>
      <c r="LWV128"/>
      <c r="LWW128"/>
      <c r="LWX128"/>
      <c r="LWY128"/>
      <c r="LWZ128"/>
      <c r="LXA128"/>
      <c r="LXB128"/>
      <c r="LXC128"/>
      <c r="LXD128"/>
      <c r="LXE128"/>
      <c r="LXF128"/>
      <c r="LXG128"/>
      <c r="LXH128"/>
      <c r="LXI128"/>
      <c r="LXJ128"/>
      <c r="LXK128"/>
      <c r="LXL128"/>
      <c r="LXM128"/>
      <c r="LXN128"/>
      <c r="LXO128"/>
      <c r="LXP128"/>
      <c r="LXQ128"/>
      <c r="LXR128"/>
      <c r="LXS128"/>
      <c r="LXT128"/>
      <c r="LXU128"/>
      <c r="LXV128"/>
      <c r="LXW128"/>
      <c r="LXX128"/>
      <c r="LXY128"/>
      <c r="LXZ128"/>
      <c r="LYA128"/>
      <c r="LYB128"/>
      <c r="LYC128"/>
      <c r="LYD128"/>
      <c r="LYE128"/>
      <c r="LYF128"/>
      <c r="LYG128"/>
      <c r="LYH128"/>
      <c r="LYI128"/>
      <c r="LYJ128"/>
      <c r="LYK128"/>
      <c r="LYL128"/>
      <c r="LYM128"/>
      <c r="LYN128"/>
      <c r="LYO128"/>
      <c r="LYP128"/>
      <c r="LYQ128"/>
      <c r="LYR128"/>
      <c r="LYS128"/>
      <c r="LYT128"/>
      <c r="LYU128"/>
      <c r="LYV128"/>
      <c r="LYW128"/>
      <c r="LYX128"/>
      <c r="LYY128"/>
      <c r="LYZ128"/>
      <c r="LZA128"/>
      <c r="LZB128"/>
      <c r="LZC128"/>
      <c r="LZD128"/>
      <c r="LZE128"/>
      <c r="LZF128"/>
      <c r="LZG128"/>
      <c r="LZH128"/>
      <c r="LZI128"/>
      <c r="LZJ128"/>
      <c r="LZK128"/>
      <c r="LZL128"/>
      <c r="LZM128"/>
      <c r="LZN128"/>
      <c r="LZO128"/>
      <c r="LZP128"/>
      <c r="LZQ128"/>
      <c r="LZR128"/>
      <c r="LZS128"/>
      <c r="LZT128"/>
      <c r="LZU128"/>
      <c r="LZV128"/>
      <c r="LZW128"/>
      <c r="LZX128"/>
      <c r="LZY128"/>
      <c r="LZZ128"/>
      <c r="MAA128"/>
      <c r="MAB128"/>
      <c r="MAC128"/>
      <c r="MAD128"/>
      <c r="MAE128"/>
      <c r="MAF128"/>
      <c r="MAG128"/>
      <c r="MAH128"/>
      <c r="MAI128"/>
      <c r="MAJ128"/>
      <c r="MAK128"/>
      <c r="MAL128"/>
      <c r="MAM128"/>
      <c r="MAN128"/>
      <c r="MAO128"/>
      <c r="MAP128"/>
      <c r="MAQ128"/>
      <c r="MAR128"/>
      <c r="MAS128"/>
      <c r="MAT128"/>
      <c r="MAU128"/>
      <c r="MAV128"/>
      <c r="MAW128"/>
      <c r="MAX128"/>
      <c r="MAY128"/>
      <c r="MAZ128"/>
      <c r="MBA128"/>
      <c r="MBB128"/>
      <c r="MBC128"/>
      <c r="MBD128"/>
      <c r="MBE128"/>
      <c r="MBF128"/>
      <c r="MBG128"/>
      <c r="MBH128"/>
      <c r="MBI128"/>
      <c r="MBJ128"/>
      <c r="MBK128"/>
      <c r="MBL128"/>
      <c r="MBM128"/>
      <c r="MBN128"/>
      <c r="MBO128"/>
      <c r="MBP128"/>
      <c r="MBQ128"/>
      <c r="MBR128"/>
      <c r="MBS128"/>
      <c r="MBT128"/>
      <c r="MBU128"/>
      <c r="MBV128"/>
      <c r="MBW128"/>
      <c r="MBX128"/>
      <c r="MBY128"/>
      <c r="MBZ128"/>
      <c r="MCA128"/>
      <c r="MCB128"/>
      <c r="MCC128"/>
      <c r="MCD128"/>
      <c r="MCE128"/>
      <c r="MCF128"/>
      <c r="MCG128"/>
      <c r="MCH128"/>
      <c r="MCI128"/>
      <c r="MCJ128"/>
      <c r="MCK128"/>
      <c r="MCL128"/>
      <c r="MCM128"/>
      <c r="MCN128"/>
      <c r="MCO128"/>
      <c r="MCP128"/>
      <c r="MCQ128"/>
      <c r="MCR128"/>
      <c r="MCS128"/>
      <c r="MCT128"/>
      <c r="MCU128"/>
      <c r="MCV128"/>
      <c r="MCW128"/>
      <c r="MCX128"/>
      <c r="MCY128"/>
      <c r="MCZ128"/>
      <c r="MDA128"/>
      <c r="MDB128"/>
      <c r="MDC128"/>
      <c r="MDD128"/>
      <c r="MDE128"/>
      <c r="MDF128"/>
      <c r="MDG128"/>
      <c r="MDH128"/>
      <c r="MDI128"/>
      <c r="MDJ128"/>
      <c r="MDK128"/>
      <c r="MDL128"/>
      <c r="MDM128"/>
      <c r="MDN128"/>
      <c r="MDO128"/>
      <c r="MDP128"/>
      <c r="MDQ128"/>
      <c r="MDR128"/>
      <c r="MDS128"/>
      <c r="MDT128"/>
      <c r="MDU128"/>
      <c r="MDV128"/>
      <c r="MDW128"/>
      <c r="MDX128"/>
      <c r="MDY128"/>
      <c r="MDZ128"/>
      <c r="MEA128"/>
      <c r="MEB128"/>
      <c r="MEC128"/>
      <c r="MED128"/>
      <c r="MEE128"/>
      <c r="MEF128"/>
      <c r="MEG128"/>
      <c r="MEH128"/>
      <c r="MEI128"/>
      <c r="MEJ128"/>
      <c r="MEK128"/>
      <c r="MEL128"/>
      <c r="MEM128"/>
      <c r="MEN128"/>
      <c r="MEO128"/>
      <c r="MEP128"/>
      <c r="MEQ128"/>
      <c r="MER128"/>
      <c r="MES128"/>
      <c r="MET128"/>
      <c r="MEU128"/>
      <c r="MEV128"/>
      <c r="MEW128"/>
      <c r="MEX128"/>
      <c r="MEY128"/>
      <c r="MEZ128"/>
      <c r="MFA128"/>
      <c r="MFB128"/>
      <c r="MFC128"/>
      <c r="MFD128"/>
      <c r="MFE128"/>
      <c r="MFF128"/>
      <c r="MFG128"/>
      <c r="MFH128"/>
      <c r="MFI128"/>
      <c r="MFJ128"/>
      <c r="MFK128"/>
      <c r="MFL128"/>
      <c r="MFM128"/>
      <c r="MFN128"/>
      <c r="MFO128"/>
      <c r="MFP128"/>
      <c r="MFQ128"/>
      <c r="MFR128"/>
      <c r="MFS128"/>
      <c r="MFT128"/>
      <c r="MFU128"/>
      <c r="MFV128"/>
      <c r="MFW128"/>
      <c r="MFX128"/>
      <c r="MFY128"/>
      <c r="MFZ128"/>
      <c r="MGA128"/>
      <c r="MGB128"/>
      <c r="MGC128"/>
      <c r="MGD128"/>
      <c r="MGE128"/>
      <c r="MGF128"/>
      <c r="MGG128"/>
      <c r="MGH128"/>
      <c r="MGI128"/>
      <c r="MGJ128"/>
      <c r="MGK128"/>
      <c r="MGL128"/>
      <c r="MGM128"/>
      <c r="MGN128"/>
      <c r="MGO128"/>
      <c r="MGP128"/>
      <c r="MGQ128"/>
      <c r="MGR128"/>
      <c r="MGS128"/>
      <c r="MGT128"/>
      <c r="MGU128"/>
      <c r="MGV128"/>
      <c r="MGW128"/>
      <c r="MGX128"/>
      <c r="MGY128"/>
      <c r="MGZ128"/>
      <c r="MHA128"/>
      <c r="MHB128"/>
      <c r="MHC128"/>
      <c r="MHD128"/>
      <c r="MHE128"/>
      <c r="MHF128"/>
      <c r="MHG128"/>
      <c r="MHH128"/>
      <c r="MHI128"/>
      <c r="MHJ128"/>
      <c r="MHK128"/>
      <c r="MHL128"/>
      <c r="MHM128"/>
      <c r="MHN128"/>
      <c r="MHO128"/>
      <c r="MHP128"/>
      <c r="MHQ128"/>
      <c r="MHR128"/>
      <c r="MHS128"/>
      <c r="MHT128"/>
      <c r="MHU128"/>
      <c r="MHV128"/>
      <c r="MHW128"/>
      <c r="MHX128"/>
      <c r="MHY128"/>
      <c r="MHZ128"/>
      <c r="MIA128"/>
      <c r="MIB128"/>
      <c r="MIC128"/>
      <c r="MID128"/>
      <c r="MIE128"/>
      <c r="MIF128"/>
      <c r="MIG128"/>
      <c r="MIH128"/>
      <c r="MII128"/>
      <c r="MIJ128"/>
      <c r="MIK128"/>
      <c r="MIL128"/>
      <c r="MIM128"/>
      <c r="MIN128"/>
      <c r="MIO128"/>
      <c r="MIP128"/>
      <c r="MIQ128"/>
      <c r="MIR128"/>
      <c r="MIS128"/>
      <c r="MIT128"/>
      <c r="MIU128"/>
      <c r="MIV128"/>
      <c r="MIW128"/>
      <c r="MIX128"/>
      <c r="MIY128"/>
      <c r="MIZ128"/>
      <c r="MJA128"/>
      <c r="MJB128"/>
      <c r="MJC128"/>
      <c r="MJD128"/>
      <c r="MJE128"/>
      <c r="MJF128"/>
      <c r="MJG128"/>
      <c r="MJH128"/>
      <c r="MJI128"/>
      <c r="MJJ128"/>
      <c r="MJK128"/>
      <c r="MJL128"/>
      <c r="MJM128"/>
      <c r="MJN128"/>
      <c r="MJO128"/>
      <c r="MJP128"/>
      <c r="MJQ128"/>
      <c r="MJR128"/>
      <c r="MJS128"/>
      <c r="MJT128"/>
      <c r="MJU128"/>
      <c r="MJV128"/>
      <c r="MJW128"/>
      <c r="MJX128"/>
      <c r="MJY128"/>
      <c r="MJZ128"/>
      <c r="MKA128"/>
      <c r="MKB128"/>
      <c r="MKC128"/>
      <c r="MKD128"/>
      <c r="MKE128"/>
      <c r="MKF128"/>
      <c r="MKG128"/>
      <c r="MKH128"/>
      <c r="MKI128"/>
      <c r="MKJ128"/>
      <c r="MKK128"/>
      <c r="MKL128"/>
      <c r="MKM128"/>
      <c r="MKN128"/>
      <c r="MKO128"/>
      <c r="MKP128"/>
      <c r="MKQ128"/>
      <c r="MKR128"/>
      <c r="MKS128"/>
      <c r="MKT128"/>
      <c r="MKU128"/>
      <c r="MKV128"/>
      <c r="MKW128"/>
      <c r="MKX128"/>
      <c r="MKY128"/>
      <c r="MKZ128"/>
      <c r="MLA128"/>
      <c r="MLB128"/>
      <c r="MLC128"/>
      <c r="MLD128"/>
      <c r="MLE128"/>
      <c r="MLF128"/>
      <c r="MLG128"/>
      <c r="MLH128"/>
      <c r="MLI128"/>
      <c r="MLJ128"/>
      <c r="MLK128"/>
      <c r="MLL128"/>
      <c r="MLM128"/>
      <c r="MLN128"/>
      <c r="MLO128"/>
      <c r="MLP128"/>
      <c r="MLQ128"/>
      <c r="MLR128"/>
      <c r="MLS128"/>
      <c r="MLT128"/>
      <c r="MLU128"/>
      <c r="MLV128"/>
      <c r="MLW128"/>
      <c r="MLX128"/>
      <c r="MLY128"/>
      <c r="MLZ128"/>
      <c r="MMA128"/>
      <c r="MMB128"/>
      <c r="MMC128"/>
      <c r="MMD128"/>
      <c r="MME128"/>
      <c r="MMF128"/>
      <c r="MMG128"/>
      <c r="MMH128"/>
      <c r="MMI128"/>
      <c r="MMJ128"/>
      <c r="MMK128"/>
      <c r="MML128"/>
      <c r="MMM128"/>
      <c r="MMN128"/>
      <c r="MMO128"/>
      <c r="MMP128"/>
      <c r="MMQ128"/>
      <c r="MMR128"/>
      <c r="MMS128"/>
      <c r="MMT128"/>
      <c r="MMU128"/>
      <c r="MMV128"/>
      <c r="MMW128"/>
      <c r="MMX128"/>
      <c r="MMY128"/>
      <c r="MMZ128"/>
      <c r="MNA128"/>
      <c r="MNB128"/>
      <c r="MNC128"/>
      <c r="MND128"/>
      <c r="MNE128"/>
      <c r="MNF128"/>
      <c r="MNG128"/>
      <c r="MNH128"/>
      <c r="MNI128"/>
      <c r="MNJ128"/>
      <c r="MNK128"/>
      <c r="MNL128"/>
      <c r="MNM128"/>
      <c r="MNN128"/>
      <c r="MNO128"/>
      <c r="MNP128"/>
      <c r="MNQ128"/>
      <c r="MNR128"/>
      <c r="MNS128"/>
      <c r="MNT128"/>
      <c r="MNU128"/>
      <c r="MNV128"/>
      <c r="MNW128"/>
      <c r="MNX128"/>
      <c r="MNY128"/>
      <c r="MNZ128"/>
      <c r="MOA128"/>
      <c r="MOB128"/>
      <c r="MOC128"/>
      <c r="MOD128"/>
      <c r="MOE128"/>
      <c r="MOF128"/>
      <c r="MOG128"/>
      <c r="MOH128"/>
      <c r="MOI128"/>
      <c r="MOJ128"/>
      <c r="MOK128"/>
      <c r="MOL128"/>
      <c r="MOM128"/>
      <c r="MON128"/>
      <c r="MOO128"/>
      <c r="MOP128"/>
      <c r="MOQ128"/>
      <c r="MOR128"/>
      <c r="MOS128"/>
      <c r="MOT128"/>
      <c r="MOU128"/>
      <c r="MOV128"/>
      <c r="MOW128"/>
      <c r="MOX128"/>
      <c r="MOY128"/>
      <c r="MOZ128"/>
      <c r="MPA128"/>
      <c r="MPB128"/>
      <c r="MPC128"/>
      <c r="MPD128"/>
      <c r="MPE128"/>
      <c r="MPF128"/>
      <c r="MPG128"/>
      <c r="MPH128"/>
      <c r="MPI128"/>
      <c r="MPJ128"/>
      <c r="MPK128"/>
      <c r="MPL128"/>
      <c r="MPM128"/>
      <c r="MPN128"/>
      <c r="MPO128"/>
      <c r="MPP128"/>
      <c r="MPQ128"/>
      <c r="MPR128"/>
      <c r="MPS128"/>
      <c r="MPT128"/>
      <c r="MPU128"/>
      <c r="MPV128"/>
      <c r="MPW128"/>
      <c r="MPX128"/>
      <c r="MPY128"/>
      <c r="MPZ128"/>
      <c r="MQA128"/>
      <c r="MQB128"/>
      <c r="MQC128"/>
      <c r="MQD128"/>
      <c r="MQE128"/>
      <c r="MQF128"/>
      <c r="MQG128"/>
      <c r="MQH128"/>
      <c r="MQI128"/>
      <c r="MQJ128"/>
      <c r="MQK128"/>
      <c r="MQL128"/>
      <c r="MQM128"/>
      <c r="MQN128"/>
      <c r="MQO128"/>
      <c r="MQP128"/>
      <c r="MQQ128"/>
      <c r="MQR128"/>
      <c r="MQS128"/>
      <c r="MQT128"/>
      <c r="MQU128"/>
      <c r="MQV128"/>
      <c r="MQW128"/>
      <c r="MQX128"/>
      <c r="MQY128"/>
      <c r="MQZ128"/>
      <c r="MRA128"/>
      <c r="MRB128"/>
      <c r="MRC128"/>
      <c r="MRD128"/>
      <c r="MRE128"/>
      <c r="MRF128"/>
      <c r="MRG128"/>
      <c r="MRH128"/>
      <c r="MRI128"/>
      <c r="MRJ128"/>
      <c r="MRK128"/>
      <c r="MRL128"/>
      <c r="MRM128"/>
      <c r="MRN128"/>
      <c r="MRO128"/>
      <c r="MRP128"/>
      <c r="MRQ128"/>
      <c r="MRR128"/>
      <c r="MRS128"/>
      <c r="MRT128"/>
      <c r="MRU128"/>
      <c r="MRV128"/>
      <c r="MRW128"/>
      <c r="MRX128"/>
      <c r="MRY128"/>
      <c r="MRZ128"/>
      <c r="MSA128"/>
      <c r="MSB128"/>
      <c r="MSC128"/>
      <c r="MSD128"/>
      <c r="MSE128"/>
      <c r="MSF128"/>
      <c r="MSG128"/>
      <c r="MSH128"/>
      <c r="MSI128"/>
      <c r="MSJ128"/>
      <c r="MSK128"/>
      <c r="MSL128"/>
      <c r="MSM128"/>
      <c r="MSN128"/>
      <c r="MSO128"/>
      <c r="MSP128"/>
      <c r="MSQ128"/>
      <c r="MSR128"/>
      <c r="MSS128"/>
      <c r="MST128"/>
      <c r="MSU128"/>
      <c r="MSV128"/>
      <c r="MSW128"/>
      <c r="MSX128"/>
      <c r="MSY128"/>
      <c r="MSZ128"/>
      <c r="MTA128"/>
      <c r="MTB128"/>
      <c r="MTC128"/>
      <c r="MTD128"/>
      <c r="MTE128"/>
      <c r="MTF128"/>
      <c r="MTG128"/>
      <c r="MTH128"/>
      <c r="MTI128"/>
      <c r="MTJ128"/>
      <c r="MTK128"/>
      <c r="MTL128"/>
      <c r="MTM128"/>
      <c r="MTN128"/>
      <c r="MTO128"/>
      <c r="MTP128"/>
      <c r="MTQ128"/>
      <c r="MTR128"/>
      <c r="MTS128"/>
      <c r="MTT128"/>
      <c r="MTU128"/>
      <c r="MTV128"/>
      <c r="MTW128"/>
      <c r="MTX128"/>
      <c r="MTY128"/>
      <c r="MTZ128"/>
      <c r="MUA128"/>
      <c r="MUB128"/>
      <c r="MUC128"/>
      <c r="MUD128"/>
      <c r="MUE128"/>
      <c r="MUF128"/>
      <c r="MUG128"/>
      <c r="MUH128"/>
      <c r="MUI128"/>
      <c r="MUJ128"/>
      <c r="MUK128"/>
      <c r="MUL128"/>
      <c r="MUM128"/>
      <c r="MUN128"/>
      <c r="MUO128"/>
      <c r="MUP128"/>
      <c r="MUQ128"/>
      <c r="MUR128"/>
      <c r="MUS128"/>
      <c r="MUT128"/>
      <c r="MUU128"/>
      <c r="MUV128"/>
      <c r="MUW128"/>
      <c r="MUX128"/>
      <c r="MUY128"/>
      <c r="MUZ128"/>
      <c r="MVA128"/>
      <c r="MVB128"/>
      <c r="MVC128"/>
      <c r="MVD128"/>
      <c r="MVE128"/>
      <c r="MVF128"/>
      <c r="MVG128"/>
      <c r="MVH128"/>
      <c r="MVI128"/>
      <c r="MVJ128"/>
      <c r="MVK128"/>
      <c r="MVL128"/>
      <c r="MVM128"/>
      <c r="MVN128"/>
      <c r="MVO128"/>
      <c r="MVP128"/>
      <c r="MVQ128"/>
      <c r="MVR128"/>
      <c r="MVS128"/>
      <c r="MVT128"/>
      <c r="MVU128"/>
      <c r="MVV128"/>
      <c r="MVW128"/>
      <c r="MVX128"/>
      <c r="MVY128"/>
      <c r="MVZ128"/>
      <c r="MWA128"/>
      <c r="MWB128"/>
      <c r="MWC128"/>
      <c r="MWD128"/>
      <c r="MWE128"/>
      <c r="MWF128"/>
      <c r="MWG128"/>
      <c r="MWH128"/>
      <c r="MWI128"/>
      <c r="MWJ128"/>
      <c r="MWK128"/>
      <c r="MWL128"/>
      <c r="MWM128"/>
      <c r="MWN128"/>
      <c r="MWO128"/>
      <c r="MWP128"/>
      <c r="MWQ128"/>
      <c r="MWR128"/>
      <c r="MWS128"/>
      <c r="MWT128"/>
      <c r="MWU128"/>
      <c r="MWV128"/>
      <c r="MWW128"/>
      <c r="MWX128"/>
      <c r="MWY128"/>
      <c r="MWZ128"/>
      <c r="MXA128"/>
      <c r="MXB128"/>
      <c r="MXC128"/>
      <c r="MXD128"/>
      <c r="MXE128"/>
      <c r="MXF128"/>
      <c r="MXG128"/>
      <c r="MXH128"/>
      <c r="MXI128"/>
      <c r="MXJ128"/>
      <c r="MXK128"/>
      <c r="MXL128"/>
      <c r="MXM128"/>
      <c r="MXN128"/>
      <c r="MXO128"/>
      <c r="MXP128"/>
      <c r="MXQ128"/>
      <c r="MXR128"/>
      <c r="MXS128"/>
      <c r="MXT128"/>
      <c r="MXU128"/>
      <c r="MXV128"/>
      <c r="MXW128"/>
      <c r="MXX128"/>
      <c r="MXY128"/>
      <c r="MXZ128"/>
      <c r="MYA128"/>
      <c r="MYB128"/>
      <c r="MYC128"/>
      <c r="MYD128"/>
      <c r="MYE128"/>
      <c r="MYF128"/>
      <c r="MYG128"/>
      <c r="MYH128"/>
      <c r="MYI128"/>
      <c r="MYJ128"/>
      <c r="MYK128"/>
      <c r="MYL128"/>
      <c r="MYM128"/>
      <c r="MYN128"/>
      <c r="MYO128"/>
      <c r="MYP128"/>
      <c r="MYQ128"/>
      <c r="MYR128"/>
      <c r="MYS128"/>
      <c r="MYT128"/>
      <c r="MYU128"/>
      <c r="MYV128"/>
      <c r="MYW128"/>
      <c r="MYX128"/>
      <c r="MYY128"/>
      <c r="MYZ128"/>
      <c r="MZA128"/>
      <c r="MZB128"/>
      <c r="MZC128"/>
      <c r="MZD128"/>
      <c r="MZE128"/>
      <c r="MZF128"/>
      <c r="MZG128"/>
      <c r="MZH128"/>
      <c r="MZI128"/>
      <c r="MZJ128"/>
      <c r="MZK128"/>
      <c r="MZL128"/>
      <c r="MZM128"/>
      <c r="MZN128"/>
      <c r="MZO128"/>
      <c r="MZP128"/>
      <c r="MZQ128"/>
      <c r="MZR128"/>
      <c r="MZS128"/>
      <c r="MZT128"/>
      <c r="MZU128"/>
      <c r="MZV128"/>
      <c r="MZW128"/>
      <c r="MZX128"/>
      <c r="MZY128"/>
      <c r="MZZ128"/>
      <c r="NAA128"/>
      <c r="NAB128"/>
      <c r="NAC128"/>
      <c r="NAD128"/>
      <c r="NAE128"/>
      <c r="NAF128"/>
      <c r="NAG128"/>
      <c r="NAH128"/>
      <c r="NAI128"/>
      <c r="NAJ128"/>
      <c r="NAK128"/>
      <c r="NAL128"/>
      <c r="NAM128"/>
      <c r="NAN128"/>
      <c r="NAO128"/>
      <c r="NAP128"/>
      <c r="NAQ128"/>
      <c r="NAR128"/>
      <c r="NAS128"/>
      <c r="NAT128"/>
      <c r="NAU128"/>
      <c r="NAV128"/>
      <c r="NAW128"/>
      <c r="NAX128"/>
      <c r="NAY128"/>
      <c r="NAZ128"/>
      <c r="NBA128"/>
      <c r="NBB128"/>
      <c r="NBC128"/>
      <c r="NBD128"/>
      <c r="NBE128"/>
      <c r="NBF128"/>
      <c r="NBG128"/>
      <c r="NBH128"/>
      <c r="NBI128"/>
      <c r="NBJ128"/>
      <c r="NBK128"/>
      <c r="NBL128"/>
      <c r="NBM128"/>
      <c r="NBN128"/>
      <c r="NBO128"/>
      <c r="NBP128"/>
      <c r="NBQ128"/>
      <c r="NBR128"/>
      <c r="NBS128"/>
      <c r="NBT128"/>
      <c r="NBU128"/>
      <c r="NBV128"/>
      <c r="NBW128"/>
      <c r="NBX128"/>
      <c r="NBY128"/>
      <c r="NBZ128"/>
      <c r="NCA128"/>
      <c r="NCB128"/>
      <c r="NCC128"/>
      <c r="NCD128"/>
      <c r="NCE128"/>
      <c r="NCF128"/>
      <c r="NCG128"/>
      <c r="NCH128"/>
      <c r="NCI128"/>
      <c r="NCJ128"/>
      <c r="NCK128"/>
      <c r="NCL128"/>
      <c r="NCM128"/>
      <c r="NCN128"/>
      <c r="NCO128"/>
      <c r="NCP128"/>
      <c r="NCQ128"/>
      <c r="NCR128"/>
      <c r="NCS128"/>
      <c r="NCT128"/>
      <c r="NCU128"/>
      <c r="NCV128"/>
      <c r="NCW128"/>
      <c r="NCX128"/>
      <c r="NCY128"/>
      <c r="NCZ128"/>
      <c r="NDA128"/>
      <c r="NDB128"/>
      <c r="NDC128"/>
      <c r="NDD128"/>
      <c r="NDE128"/>
      <c r="NDF128"/>
      <c r="NDG128"/>
      <c r="NDH128"/>
      <c r="NDI128"/>
      <c r="NDJ128"/>
      <c r="NDK128"/>
      <c r="NDL128"/>
      <c r="NDM128"/>
      <c r="NDN128"/>
      <c r="NDO128"/>
      <c r="NDP128"/>
      <c r="NDQ128"/>
      <c r="NDR128"/>
      <c r="NDS128"/>
      <c r="NDT128"/>
      <c r="NDU128"/>
      <c r="NDV128"/>
      <c r="NDW128"/>
      <c r="NDX128"/>
      <c r="NDY128"/>
      <c r="NDZ128"/>
      <c r="NEA128"/>
      <c r="NEB128"/>
      <c r="NEC128"/>
      <c r="NED128"/>
      <c r="NEE128"/>
      <c r="NEF128"/>
      <c r="NEG128"/>
      <c r="NEH128"/>
      <c r="NEI128"/>
      <c r="NEJ128"/>
      <c r="NEK128"/>
      <c r="NEL128"/>
      <c r="NEM128"/>
      <c r="NEN128"/>
      <c r="NEO128"/>
      <c r="NEP128"/>
      <c r="NEQ128"/>
      <c r="NER128"/>
      <c r="NES128"/>
      <c r="NET128"/>
      <c r="NEU128"/>
      <c r="NEV128"/>
      <c r="NEW128"/>
      <c r="NEX128"/>
      <c r="NEY128"/>
      <c r="NEZ128"/>
      <c r="NFA128"/>
      <c r="NFB128"/>
      <c r="NFC128"/>
      <c r="NFD128"/>
      <c r="NFE128"/>
      <c r="NFF128"/>
      <c r="NFG128"/>
      <c r="NFH128"/>
      <c r="NFI128"/>
      <c r="NFJ128"/>
      <c r="NFK128"/>
      <c r="NFL128"/>
      <c r="NFM128"/>
      <c r="NFN128"/>
      <c r="NFO128"/>
      <c r="NFP128"/>
      <c r="NFQ128"/>
      <c r="NFR128"/>
      <c r="NFS128"/>
      <c r="NFT128"/>
      <c r="NFU128"/>
      <c r="NFV128"/>
      <c r="NFW128"/>
      <c r="NFX128"/>
      <c r="NFY128"/>
      <c r="NFZ128"/>
      <c r="NGA128"/>
      <c r="NGB128"/>
      <c r="NGC128"/>
      <c r="NGD128"/>
      <c r="NGE128"/>
      <c r="NGF128"/>
      <c r="NGG128"/>
      <c r="NGH128"/>
      <c r="NGI128"/>
      <c r="NGJ128"/>
      <c r="NGK128"/>
      <c r="NGL128"/>
      <c r="NGM128"/>
      <c r="NGN128"/>
      <c r="NGO128"/>
      <c r="NGP128"/>
      <c r="NGQ128"/>
      <c r="NGR128"/>
      <c r="NGS128"/>
      <c r="NGT128"/>
      <c r="NGU128"/>
      <c r="NGV128"/>
      <c r="NGW128"/>
      <c r="NGX128"/>
      <c r="NGY128"/>
      <c r="NGZ128"/>
      <c r="NHA128"/>
      <c r="NHB128"/>
      <c r="NHC128"/>
      <c r="NHD128"/>
      <c r="NHE128"/>
      <c r="NHF128"/>
      <c r="NHG128"/>
      <c r="NHH128"/>
      <c r="NHI128"/>
      <c r="NHJ128"/>
      <c r="NHK128"/>
      <c r="NHL128"/>
      <c r="NHM128"/>
      <c r="NHN128"/>
      <c r="NHO128"/>
      <c r="NHP128"/>
      <c r="NHQ128"/>
      <c r="NHR128"/>
      <c r="NHS128"/>
      <c r="NHT128"/>
      <c r="NHU128"/>
      <c r="NHV128"/>
      <c r="NHW128"/>
      <c r="NHX128"/>
      <c r="NHY128"/>
      <c r="NHZ128"/>
      <c r="NIA128"/>
      <c r="NIB128"/>
      <c r="NIC128"/>
      <c r="NID128"/>
      <c r="NIE128"/>
      <c r="NIF128"/>
      <c r="NIG128"/>
      <c r="NIH128"/>
      <c r="NII128"/>
      <c r="NIJ128"/>
      <c r="NIK128"/>
      <c r="NIL128"/>
      <c r="NIM128"/>
      <c r="NIN128"/>
      <c r="NIO128"/>
      <c r="NIP128"/>
      <c r="NIQ128"/>
      <c r="NIR128"/>
      <c r="NIS128"/>
      <c r="NIT128"/>
      <c r="NIU128"/>
      <c r="NIV128"/>
      <c r="NIW128"/>
      <c r="NIX128"/>
      <c r="NIY128"/>
      <c r="NIZ128"/>
      <c r="NJA128"/>
      <c r="NJB128"/>
      <c r="NJC128"/>
      <c r="NJD128"/>
      <c r="NJE128"/>
      <c r="NJF128"/>
      <c r="NJG128"/>
      <c r="NJH128"/>
      <c r="NJI128"/>
      <c r="NJJ128"/>
      <c r="NJK128"/>
      <c r="NJL128"/>
      <c r="NJM128"/>
      <c r="NJN128"/>
      <c r="NJO128"/>
      <c r="NJP128"/>
      <c r="NJQ128"/>
      <c r="NJR128"/>
      <c r="NJS128"/>
      <c r="NJT128"/>
      <c r="NJU128"/>
      <c r="NJV128"/>
      <c r="NJW128"/>
      <c r="NJX128"/>
      <c r="NJY128"/>
      <c r="NJZ128"/>
      <c r="NKA128"/>
      <c r="NKB128"/>
      <c r="NKC128"/>
      <c r="NKD128"/>
      <c r="NKE128"/>
      <c r="NKF128"/>
      <c r="NKG128"/>
      <c r="NKH128"/>
      <c r="NKI128"/>
      <c r="NKJ128"/>
      <c r="NKK128"/>
      <c r="NKL128"/>
      <c r="NKM128"/>
      <c r="NKN128"/>
      <c r="NKO128"/>
      <c r="NKP128"/>
      <c r="NKQ128"/>
      <c r="NKR128"/>
      <c r="NKS128"/>
      <c r="NKT128"/>
      <c r="NKU128"/>
      <c r="NKV128"/>
      <c r="NKW128"/>
      <c r="NKX128"/>
      <c r="NKY128"/>
      <c r="NKZ128"/>
      <c r="NLA128"/>
      <c r="NLB128"/>
      <c r="NLC128"/>
      <c r="NLD128"/>
      <c r="NLE128"/>
      <c r="NLF128"/>
      <c r="NLG128"/>
      <c r="NLH128"/>
      <c r="NLI128"/>
      <c r="NLJ128"/>
      <c r="NLK128"/>
      <c r="NLL128"/>
      <c r="NLM128"/>
      <c r="NLN128"/>
      <c r="NLO128"/>
      <c r="NLP128"/>
      <c r="NLQ128"/>
      <c r="NLR128"/>
      <c r="NLS128"/>
      <c r="NLT128"/>
      <c r="NLU128"/>
      <c r="NLV128"/>
      <c r="NLW128"/>
      <c r="NLX128"/>
      <c r="NLY128"/>
      <c r="NLZ128"/>
      <c r="NMA128"/>
      <c r="NMB128"/>
      <c r="NMC128"/>
      <c r="NMD128"/>
      <c r="NME128"/>
      <c r="NMF128"/>
      <c r="NMG128"/>
      <c r="NMH128"/>
      <c r="NMI128"/>
      <c r="NMJ128"/>
      <c r="NMK128"/>
      <c r="NML128"/>
      <c r="NMM128"/>
      <c r="NMN128"/>
      <c r="NMO128"/>
      <c r="NMP128"/>
      <c r="NMQ128"/>
      <c r="NMR128"/>
      <c r="NMS128"/>
      <c r="NMT128"/>
      <c r="NMU128"/>
      <c r="NMV128"/>
      <c r="NMW128"/>
      <c r="NMX128"/>
      <c r="NMY128"/>
      <c r="NMZ128"/>
      <c r="NNA128"/>
      <c r="NNB128"/>
      <c r="NNC128"/>
      <c r="NND128"/>
      <c r="NNE128"/>
      <c r="NNF128"/>
      <c r="NNG128"/>
      <c r="NNH128"/>
      <c r="NNI128"/>
      <c r="NNJ128"/>
      <c r="NNK128"/>
      <c r="NNL128"/>
      <c r="NNM128"/>
      <c r="NNN128"/>
      <c r="NNO128"/>
      <c r="NNP128"/>
      <c r="NNQ128"/>
      <c r="NNR128"/>
      <c r="NNS128"/>
      <c r="NNT128"/>
      <c r="NNU128"/>
      <c r="NNV128"/>
      <c r="NNW128"/>
      <c r="NNX128"/>
      <c r="NNY128"/>
      <c r="NNZ128"/>
      <c r="NOA128"/>
      <c r="NOB128"/>
      <c r="NOC128"/>
      <c r="NOD128"/>
      <c r="NOE128"/>
      <c r="NOF128"/>
      <c r="NOG128"/>
      <c r="NOH128"/>
      <c r="NOI128"/>
      <c r="NOJ128"/>
      <c r="NOK128"/>
      <c r="NOL128"/>
      <c r="NOM128"/>
      <c r="NON128"/>
      <c r="NOO128"/>
      <c r="NOP128"/>
      <c r="NOQ128"/>
      <c r="NOR128"/>
      <c r="NOS128"/>
      <c r="NOT128"/>
      <c r="NOU128"/>
      <c r="NOV128"/>
      <c r="NOW128"/>
      <c r="NOX128"/>
      <c r="NOY128"/>
      <c r="NOZ128"/>
      <c r="NPA128"/>
      <c r="NPB128"/>
      <c r="NPC128"/>
      <c r="NPD128"/>
      <c r="NPE128"/>
      <c r="NPF128"/>
      <c r="NPG128"/>
      <c r="NPH128"/>
      <c r="NPI128"/>
      <c r="NPJ128"/>
      <c r="NPK128"/>
      <c r="NPL128"/>
      <c r="NPM128"/>
      <c r="NPN128"/>
      <c r="NPO128"/>
      <c r="NPP128"/>
      <c r="NPQ128"/>
      <c r="NPR128"/>
      <c r="NPS128"/>
      <c r="NPT128"/>
      <c r="NPU128"/>
      <c r="NPV128"/>
      <c r="NPW128"/>
      <c r="NPX128"/>
      <c r="NPY128"/>
      <c r="NPZ128"/>
      <c r="NQA128"/>
      <c r="NQB128"/>
      <c r="NQC128"/>
      <c r="NQD128"/>
      <c r="NQE128"/>
      <c r="NQF128"/>
      <c r="NQG128"/>
      <c r="NQH128"/>
      <c r="NQI128"/>
      <c r="NQJ128"/>
      <c r="NQK128"/>
      <c r="NQL128"/>
      <c r="NQM128"/>
      <c r="NQN128"/>
      <c r="NQO128"/>
      <c r="NQP128"/>
      <c r="NQQ128"/>
      <c r="NQR128"/>
      <c r="NQS128"/>
      <c r="NQT128"/>
      <c r="NQU128"/>
      <c r="NQV128"/>
      <c r="NQW128"/>
      <c r="NQX128"/>
      <c r="NQY128"/>
      <c r="NQZ128"/>
      <c r="NRA128"/>
      <c r="NRB128"/>
      <c r="NRC128"/>
      <c r="NRD128"/>
      <c r="NRE128"/>
      <c r="NRF128"/>
      <c r="NRG128"/>
      <c r="NRH128"/>
      <c r="NRI128"/>
      <c r="NRJ128"/>
      <c r="NRK128"/>
      <c r="NRL128"/>
      <c r="NRM128"/>
      <c r="NRN128"/>
      <c r="NRO128"/>
      <c r="NRP128"/>
      <c r="NRQ128"/>
      <c r="NRR128"/>
      <c r="NRS128"/>
      <c r="NRT128"/>
      <c r="NRU128"/>
      <c r="NRV128"/>
      <c r="NRW128"/>
      <c r="NRX128"/>
      <c r="NRY128"/>
      <c r="NRZ128"/>
      <c r="NSA128"/>
      <c r="NSB128"/>
      <c r="NSC128"/>
      <c r="NSD128"/>
      <c r="NSE128"/>
      <c r="NSF128"/>
      <c r="NSG128"/>
      <c r="NSH128"/>
      <c r="NSI128"/>
      <c r="NSJ128"/>
      <c r="NSK128"/>
      <c r="NSL128"/>
      <c r="NSM128"/>
      <c r="NSN128"/>
      <c r="NSO128"/>
      <c r="NSP128"/>
      <c r="NSQ128"/>
      <c r="NSR128"/>
      <c r="NSS128"/>
      <c r="NST128"/>
      <c r="NSU128"/>
      <c r="NSV128"/>
      <c r="NSW128"/>
      <c r="NSX128"/>
      <c r="NSY128"/>
      <c r="NSZ128"/>
      <c r="NTA128"/>
      <c r="NTB128"/>
      <c r="NTC128"/>
      <c r="NTD128"/>
      <c r="NTE128"/>
      <c r="NTF128"/>
      <c r="NTG128"/>
      <c r="NTH128"/>
      <c r="NTI128"/>
      <c r="NTJ128"/>
      <c r="NTK128"/>
      <c r="NTL128"/>
      <c r="NTM128"/>
      <c r="NTN128"/>
      <c r="NTO128"/>
      <c r="NTP128"/>
      <c r="NTQ128"/>
      <c r="NTR128"/>
      <c r="NTS128"/>
      <c r="NTT128"/>
      <c r="NTU128"/>
      <c r="NTV128"/>
      <c r="NTW128"/>
      <c r="NTX128"/>
      <c r="NTY128"/>
      <c r="NTZ128"/>
      <c r="NUA128"/>
      <c r="NUB128"/>
      <c r="NUC128"/>
      <c r="NUD128"/>
      <c r="NUE128"/>
      <c r="NUF128"/>
      <c r="NUG128"/>
      <c r="NUH128"/>
      <c r="NUI128"/>
      <c r="NUJ128"/>
      <c r="NUK128"/>
      <c r="NUL128"/>
      <c r="NUM128"/>
      <c r="NUN128"/>
      <c r="NUO128"/>
      <c r="NUP128"/>
      <c r="NUQ128"/>
      <c r="NUR128"/>
      <c r="NUS128"/>
      <c r="NUT128"/>
      <c r="NUU128"/>
      <c r="NUV128"/>
      <c r="NUW128"/>
      <c r="NUX128"/>
      <c r="NUY128"/>
      <c r="NUZ128"/>
      <c r="NVA128"/>
      <c r="NVB128"/>
      <c r="NVC128"/>
      <c r="NVD128"/>
      <c r="NVE128"/>
      <c r="NVF128"/>
      <c r="NVG128"/>
      <c r="NVH128"/>
      <c r="NVI128"/>
      <c r="NVJ128"/>
      <c r="NVK128"/>
      <c r="NVL128"/>
      <c r="NVM128"/>
      <c r="NVN128"/>
      <c r="NVO128"/>
      <c r="NVP128"/>
      <c r="NVQ128"/>
      <c r="NVR128"/>
      <c r="NVS128"/>
      <c r="NVT128"/>
      <c r="NVU128"/>
      <c r="NVV128"/>
      <c r="NVW128"/>
      <c r="NVX128"/>
      <c r="NVY128"/>
      <c r="NVZ128"/>
      <c r="NWA128"/>
      <c r="NWB128"/>
      <c r="NWC128"/>
      <c r="NWD128"/>
      <c r="NWE128"/>
      <c r="NWF128"/>
      <c r="NWG128"/>
      <c r="NWH128"/>
      <c r="NWI128"/>
      <c r="NWJ128"/>
      <c r="NWK128"/>
      <c r="NWL128"/>
      <c r="NWM128"/>
      <c r="NWN128"/>
      <c r="NWO128"/>
      <c r="NWP128"/>
      <c r="NWQ128"/>
      <c r="NWR128"/>
      <c r="NWS128"/>
      <c r="NWT128"/>
      <c r="NWU128"/>
      <c r="NWV128"/>
      <c r="NWW128"/>
      <c r="NWX128"/>
      <c r="NWY128"/>
      <c r="NWZ128"/>
      <c r="NXA128"/>
      <c r="NXB128"/>
      <c r="NXC128"/>
      <c r="NXD128"/>
      <c r="NXE128"/>
      <c r="NXF128"/>
      <c r="NXG128"/>
      <c r="NXH128"/>
      <c r="NXI128"/>
      <c r="NXJ128"/>
      <c r="NXK128"/>
      <c r="NXL128"/>
      <c r="NXM128"/>
      <c r="NXN128"/>
      <c r="NXO128"/>
      <c r="NXP128"/>
      <c r="NXQ128"/>
      <c r="NXR128"/>
      <c r="NXS128"/>
      <c r="NXT128"/>
      <c r="NXU128"/>
      <c r="NXV128"/>
      <c r="NXW128"/>
      <c r="NXX128"/>
      <c r="NXY128"/>
      <c r="NXZ128"/>
      <c r="NYA128"/>
      <c r="NYB128"/>
      <c r="NYC128"/>
      <c r="NYD128"/>
      <c r="NYE128"/>
      <c r="NYF128"/>
      <c r="NYG128"/>
      <c r="NYH128"/>
      <c r="NYI128"/>
      <c r="NYJ128"/>
      <c r="NYK128"/>
      <c r="NYL128"/>
      <c r="NYM128"/>
      <c r="NYN128"/>
      <c r="NYO128"/>
      <c r="NYP128"/>
      <c r="NYQ128"/>
      <c r="NYR128"/>
      <c r="NYS128"/>
      <c r="NYT128"/>
      <c r="NYU128"/>
      <c r="NYV128"/>
      <c r="NYW128"/>
      <c r="NYX128"/>
      <c r="NYY128"/>
      <c r="NYZ128"/>
      <c r="NZA128"/>
      <c r="NZB128"/>
      <c r="NZC128"/>
      <c r="NZD128"/>
      <c r="NZE128"/>
      <c r="NZF128"/>
      <c r="NZG128"/>
      <c r="NZH128"/>
      <c r="NZI128"/>
      <c r="NZJ128"/>
      <c r="NZK128"/>
      <c r="NZL128"/>
      <c r="NZM128"/>
      <c r="NZN128"/>
      <c r="NZO128"/>
      <c r="NZP128"/>
      <c r="NZQ128"/>
      <c r="NZR128"/>
      <c r="NZS128"/>
      <c r="NZT128"/>
      <c r="NZU128"/>
      <c r="NZV128"/>
      <c r="NZW128"/>
      <c r="NZX128"/>
      <c r="NZY128"/>
      <c r="NZZ128"/>
      <c r="OAA128"/>
      <c r="OAB128"/>
      <c r="OAC128"/>
      <c r="OAD128"/>
      <c r="OAE128"/>
      <c r="OAF128"/>
      <c r="OAG128"/>
      <c r="OAH128"/>
      <c r="OAI128"/>
      <c r="OAJ128"/>
      <c r="OAK128"/>
      <c r="OAL128"/>
      <c r="OAM128"/>
      <c r="OAN128"/>
      <c r="OAO128"/>
      <c r="OAP128"/>
      <c r="OAQ128"/>
      <c r="OAR128"/>
      <c r="OAS128"/>
      <c r="OAT128"/>
      <c r="OAU128"/>
      <c r="OAV128"/>
      <c r="OAW128"/>
      <c r="OAX128"/>
      <c r="OAY128"/>
      <c r="OAZ128"/>
      <c r="OBA128"/>
      <c r="OBB128"/>
      <c r="OBC128"/>
      <c r="OBD128"/>
      <c r="OBE128"/>
      <c r="OBF128"/>
      <c r="OBG128"/>
      <c r="OBH128"/>
      <c r="OBI128"/>
      <c r="OBJ128"/>
      <c r="OBK128"/>
      <c r="OBL128"/>
      <c r="OBM128"/>
      <c r="OBN128"/>
      <c r="OBO128"/>
      <c r="OBP128"/>
      <c r="OBQ128"/>
      <c r="OBR128"/>
      <c r="OBS128"/>
      <c r="OBT128"/>
      <c r="OBU128"/>
      <c r="OBV128"/>
      <c r="OBW128"/>
      <c r="OBX128"/>
      <c r="OBY128"/>
      <c r="OBZ128"/>
      <c r="OCA128"/>
      <c r="OCB128"/>
      <c r="OCC128"/>
      <c r="OCD128"/>
      <c r="OCE128"/>
      <c r="OCF128"/>
      <c r="OCG128"/>
      <c r="OCH128"/>
      <c r="OCI128"/>
      <c r="OCJ128"/>
      <c r="OCK128"/>
      <c r="OCL128"/>
      <c r="OCM128"/>
      <c r="OCN128"/>
      <c r="OCO128"/>
      <c r="OCP128"/>
      <c r="OCQ128"/>
      <c r="OCR128"/>
      <c r="OCS128"/>
      <c r="OCT128"/>
      <c r="OCU128"/>
      <c r="OCV128"/>
      <c r="OCW128"/>
      <c r="OCX128"/>
      <c r="OCY128"/>
      <c r="OCZ128"/>
      <c r="ODA128"/>
      <c r="ODB128"/>
      <c r="ODC128"/>
      <c r="ODD128"/>
      <c r="ODE128"/>
      <c r="ODF128"/>
      <c r="ODG128"/>
      <c r="ODH128"/>
      <c r="ODI128"/>
      <c r="ODJ128"/>
      <c r="ODK128"/>
      <c r="ODL128"/>
      <c r="ODM128"/>
      <c r="ODN128"/>
      <c r="ODO128"/>
      <c r="ODP128"/>
      <c r="ODQ128"/>
      <c r="ODR128"/>
      <c r="ODS128"/>
      <c r="ODT128"/>
      <c r="ODU128"/>
      <c r="ODV128"/>
      <c r="ODW128"/>
      <c r="ODX128"/>
      <c r="ODY128"/>
      <c r="ODZ128"/>
      <c r="OEA128"/>
      <c r="OEB128"/>
      <c r="OEC128"/>
      <c r="OED128"/>
      <c r="OEE128"/>
      <c r="OEF128"/>
      <c r="OEG128"/>
      <c r="OEH128"/>
      <c r="OEI128"/>
      <c r="OEJ128"/>
      <c r="OEK128"/>
      <c r="OEL128"/>
      <c r="OEM128"/>
      <c r="OEN128"/>
      <c r="OEO128"/>
      <c r="OEP128"/>
      <c r="OEQ128"/>
      <c r="OER128"/>
      <c r="OES128"/>
      <c r="OET128"/>
      <c r="OEU128"/>
      <c r="OEV128"/>
      <c r="OEW128"/>
      <c r="OEX128"/>
      <c r="OEY128"/>
      <c r="OEZ128"/>
      <c r="OFA128"/>
      <c r="OFB128"/>
      <c r="OFC128"/>
      <c r="OFD128"/>
      <c r="OFE128"/>
      <c r="OFF128"/>
      <c r="OFG128"/>
      <c r="OFH128"/>
      <c r="OFI128"/>
      <c r="OFJ128"/>
      <c r="OFK128"/>
      <c r="OFL128"/>
      <c r="OFM128"/>
      <c r="OFN128"/>
      <c r="OFO128"/>
      <c r="OFP128"/>
      <c r="OFQ128"/>
      <c r="OFR128"/>
      <c r="OFS128"/>
      <c r="OFT128"/>
      <c r="OFU128"/>
      <c r="OFV128"/>
      <c r="OFW128"/>
      <c r="OFX128"/>
      <c r="OFY128"/>
      <c r="OFZ128"/>
      <c r="OGA128"/>
      <c r="OGB128"/>
      <c r="OGC128"/>
      <c r="OGD128"/>
      <c r="OGE128"/>
      <c r="OGF128"/>
      <c r="OGG128"/>
      <c r="OGH128"/>
      <c r="OGI128"/>
      <c r="OGJ128"/>
      <c r="OGK128"/>
      <c r="OGL128"/>
      <c r="OGM128"/>
      <c r="OGN128"/>
      <c r="OGO128"/>
      <c r="OGP128"/>
      <c r="OGQ128"/>
      <c r="OGR128"/>
      <c r="OGS128"/>
      <c r="OGT128"/>
      <c r="OGU128"/>
      <c r="OGV128"/>
      <c r="OGW128"/>
      <c r="OGX128"/>
      <c r="OGY128"/>
      <c r="OGZ128"/>
      <c r="OHA128"/>
      <c r="OHB128"/>
      <c r="OHC128"/>
      <c r="OHD128"/>
      <c r="OHE128"/>
      <c r="OHF128"/>
      <c r="OHG128"/>
      <c r="OHH128"/>
      <c r="OHI128"/>
      <c r="OHJ128"/>
      <c r="OHK128"/>
      <c r="OHL128"/>
      <c r="OHM128"/>
      <c r="OHN128"/>
      <c r="OHO128"/>
      <c r="OHP128"/>
      <c r="OHQ128"/>
      <c r="OHR128"/>
      <c r="OHS128"/>
      <c r="OHT128"/>
      <c r="OHU128"/>
      <c r="OHV128"/>
      <c r="OHW128"/>
      <c r="OHX128"/>
      <c r="OHY128"/>
      <c r="OHZ128"/>
      <c r="OIA128"/>
      <c r="OIB128"/>
      <c r="OIC128"/>
      <c r="OID128"/>
      <c r="OIE128"/>
      <c r="OIF128"/>
      <c r="OIG128"/>
      <c r="OIH128"/>
      <c r="OII128"/>
      <c r="OIJ128"/>
      <c r="OIK128"/>
      <c r="OIL128"/>
      <c r="OIM128"/>
      <c r="OIN128"/>
      <c r="OIO128"/>
      <c r="OIP128"/>
      <c r="OIQ128"/>
      <c r="OIR128"/>
      <c r="OIS128"/>
      <c r="OIT128"/>
      <c r="OIU128"/>
      <c r="OIV128"/>
      <c r="OIW128"/>
      <c r="OIX128"/>
      <c r="OIY128"/>
      <c r="OIZ128"/>
      <c r="OJA128"/>
      <c r="OJB128"/>
      <c r="OJC128"/>
      <c r="OJD128"/>
      <c r="OJE128"/>
      <c r="OJF128"/>
      <c r="OJG128"/>
      <c r="OJH128"/>
      <c r="OJI128"/>
      <c r="OJJ128"/>
      <c r="OJK128"/>
      <c r="OJL128"/>
      <c r="OJM128"/>
      <c r="OJN128"/>
      <c r="OJO128"/>
      <c r="OJP128"/>
      <c r="OJQ128"/>
      <c r="OJR128"/>
      <c r="OJS128"/>
      <c r="OJT128"/>
      <c r="OJU128"/>
      <c r="OJV128"/>
      <c r="OJW128"/>
      <c r="OJX128"/>
      <c r="OJY128"/>
      <c r="OJZ128"/>
      <c r="OKA128"/>
      <c r="OKB128"/>
      <c r="OKC128"/>
      <c r="OKD128"/>
      <c r="OKE128"/>
      <c r="OKF128"/>
      <c r="OKG128"/>
      <c r="OKH128"/>
      <c r="OKI128"/>
      <c r="OKJ128"/>
      <c r="OKK128"/>
      <c r="OKL128"/>
      <c r="OKM128"/>
      <c r="OKN128"/>
      <c r="OKO128"/>
      <c r="OKP128"/>
      <c r="OKQ128"/>
      <c r="OKR128"/>
      <c r="OKS128"/>
      <c r="OKT128"/>
      <c r="OKU128"/>
      <c r="OKV128"/>
      <c r="OKW128"/>
      <c r="OKX128"/>
      <c r="OKY128"/>
      <c r="OKZ128"/>
      <c r="OLA128"/>
      <c r="OLB128"/>
      <c r="OLC128"/>
      <c r="OLD128"/>
      <c r="OLE128"/>
      <c r="OLF128"/>
      <c r="OLG128"/>
      <c r="OLH128"/>
      <c r="OLI128"/>
      <c r="OLJ128"/>
      <c r="OLK128"/>
      <c r="OLL128"/>
      <c r="OLM128"/>
      <c r="OLN128"/>
      <c r="OLO128"/>
      <c r="OLP128"/>
      <c r="OLQ128"/>
      <c r="OLR128"/>
      <c r="OLS128"/>
      <c r="OLT128"/>
      <c r="OLU128"/>
      <c r="OLV128"/>
      <c r="OLW128"/>
      <c r="OLX128"/>
      <c r="OLY128"/>
      <c r="OLZ128"/>
      <c r="OMA128"/>
      <c r="OMB128"/>
      <c r="OMC128"/>
      <c r="OMD128"/>
      <c r="OME128"/>
      <c r="OMF128"/>
      <c r="OMG128"/>
      <c r="OMH128"/>
      <c r="OMI128"/>
      <c r="OMJ128"/>
      <c r="OMK128"/>
      <c r="OML128"/>
      <c r="OMM128"/>
      <c r="OMN128"/>
      <c r="OMO128"/>
      <c r="OMP128"/>
      <c r="OMQ128"/>
      <c r="OMR128"/>
      <c r="OMS128"/>
      <c r="OMT128"/>
      <c r="OMU128"/>
      <c r="OMV128"/>
      <c r="OMW128"/>
      <c r="OMX128"/>
      <c r="OMY128"/>
      <c r="OMZ128"/>
      <c r="ONA128"/>
      <c r="ONB128"/>
      <c r="ONC128"/>
      <c r="OND128"/>
      <c r="ONE128"/>
      <c r="ONF128"/>
      <c r="ONG128"/>
      <c r="ONH128"/>
      <c r="ONI128"/>
      <c r="ONJ128"/>
      <c r="ONK128"/>
      <c r="ONL128"/>
      <c r="ONM128"/>
      <c r="ONN128"/>
      <c r="ONO128"/>
      <c r="ONP128"/>
      <c r="ONQ128"/>
      <c r="ONR128"/>
      <c r="ONS128"/>
      <c r="ONT128"/>
      <c r="ONU128"/>
      <c r="ONV128"/>
      <c r="ONW128"/>
      <c r="ONX128"/>
      <c r="ONY128"/>
      <c r="ONZ128"/>
      <c r="OOA128"/>
      <c r="OOB128"/>
      <c r="OOC128"/>
      <c r="OOD128"/>
      <c r="OOE128"/>
      <c r="OOF128"/>
      <c r="OOG128"/>
      <c r="OOH128"/>
      <c r="OOI128"/>
      <c r="OOJ128"/>
      <c r="OOK128"/>
      <c r="OOL128"/>
      <c r="OOM128"/>
      <c r="OON128"/>
      <c r="OOO128"/>
      <c r="OOP128"/>
      <c r="OOQ128"/>
      <c r="OOR128"/>
      <c r="OOS128"/>
      <c r="OOT128"/>
      <c r="OOU128"/>
      <c r="OOV128"/>
      <c r="OOW128"/>
      <c r="OOX128"/>
      <c r="OOY128"/>
      <c r="OOZ128"/>
      <c r="OPA128"/>
      <c r="OPB128"/>
      <c r="OPC128"/>
      <c r="OPD128"/>
      <c r="OPE128"/>
      <c r="OPF128"/>
      <c r="OPG128"/>
      <c r="OPH128"/>
      <c r="OPI128"/>
      <c r="OPJ128"/>
      <c r="OPK128"/>
      <c r="OPL128"/>
      <c r="OPM128"/>
      <c r="OPN128"/>
      <c r="OPO128"/>
      <c r="OPP128"/>
      <c r="OPQ128"/>
      <c r="OPR128"/>
      <c r="OPS128"/>
      <c r="OPT128"/>
      <c r="OPU128"/>
      <c r="OPV128"/>
      <c r="OPW128"/>
      <c r="OPX128"/>
      <c r="OPY128"/>
      <c r="OPZ128"/>
      <c r="OQA128"/>
      <c r="OQB128"/>
      <c r="OQC128"/>
      <c r="OQD128"/>
      <c r="OQE128"/>
      <c r="OQF128"/>
      <c r="OQG128"/>
      <c r="OQH128"/>
      <c r="OQI128"/>
      <c r="OQJ128"/>
      <c r="OQK128"/>
      <c r="OQL128"/>
      <c r="OQM128"/>
      <c r="OQN128"/>
      <c r="OQO128"/>
      <c r="OQP128"/>
      <c r="OQQ128"/>
      <c r="OQR128"/>
      <c r="OQS128"/>
      <c r="OQT128"/>
      <c r="OQU128"/>
      <c r="OQV128"/>
      <c r="OQW128"/>
      <c r="OQX128"/>
      <c r="OQY128"/>
      <c r="OQZ128"/>
      <c r="ORA128"/>
      <c r="ORB128"/>
      <c r="ORC128"/>
      <c r="ORD128"/>
      <c r="ORE128"/>
      <c r="ORF128"/>
      <c r="ORG128"/>
      <c r="ORH128"/>
      <c r="ORI128"/>
      <c r="ORJ128"/>
      <c r="ORK128"/>
      <c r="ORL128"/>
      <c r="ORM128"/>
      <c r="ORN128"/>
      <c r="ORO128"/>
      <c r="ORP128"/>
      <c r="ORQ128"/>
      <c r="ORR128"/>
      <c r="ORS128"/>
      <c r="ORT128"/>
      <c r="ORU128"/>
      <c r="ORV128"/>
      <c r="ORW128"/>
      <c r="ORX128"/>
      <c r="ORY128"/>
      <c r="ORZ128"/>
      <c r="OSA128"/>
      <c r="OSB128"/>
      <c r="OSC128"/>
      <c r="OSD128"/>
      <c r="OSE128"/>
      <c r="OSF128"/>
      <c r="OSG128"/>
      <c r="OSH128"/>
      <c r="OSI128"/>
      <c r="OSJ128"/>
      <c r="OSK128"/>
      <c r="OSL128"/>
      <c r="OSM128"/>
      <c r="OSN128"/>
      <c r="OSO128"/>
      <c r="OSP128"/>
      <c r="OSQ128"/>
      <c r="OSR128"/>
      <c r="OSS128"/>
      <c r="OST128"/>
      <c r="OSU128"/>
      <c r="OSV128"/>
      <c r="OSW128"/>
      <c r="OSX128"/>
      <c r="OSY128"/>
      <c r="OSZ128"/>
      <c r="OTA128"/>
      <c r="OTB128"/>
      <c r="OTC128"/>
      <c r="OTD128"/>
      <c r="OTE128"/>
      <c r="OTF128"/>
      <c r="OTG128"/>
      <c r="OTH128"/>
      <c r="OTI128"/>
      <c r="OTJ128"/>
      <c r="OTK128"/>
      <c r="OTL128"/>
      <c r="OTM128"/>
      <c r="OTN128"/>
      <c r="OTO128"/>
      <c r="OTP128"/>
      <c r="OTQ128"/>
      <c r="OTR128"/>
      <c r="OTS128"/>
      <c r="OTT128"/>
      <c r="OTU128"/>
      <c r="OTV128"/>
      <c r="OTW128"/>
      <c r="OTX128"/>
      <c r="OTY128"/>
      <c r="OTZ128"/>
      <c r="OUA128"/>
      <c r="OUB128"/>
      <c r="OUC128"/>
      <c r="OUD128"/>
      <c r="OUE128"/>
      <c r="OUF128"/>
      <c r="OUG128"/>
      <c r="OUH128"/>
      <c r="OUI128"/>
      <c r="OUJ128"/>
      <c r="OUK128"/>
      <c r="OUL128"/>
      <c r="OUM128"/>
      <c r="OUN128"/>
      <c r="OUO128"/>
      <c r="OUP128"/>
      <c r="OUQ128"/>
      <c r="OUR128"/>
      <c r="OUS128"/>
      <c r="OUT128"/>
      <c r="OUU128"/>
      <c r="OUV128"/>
      <c r="OUW128"/>
      <c r="OUX128"/>
      <c r="OUY128"/>
      <c r="OUZ128"/>
      <c r="OVA128"/>
      <c r="OVB128"/>
      <c r="OVC128"/>
      <c r="OVD128"/>
      <c r="OVE128"/>
      <c r="OVF128"/>
      <c r="OVG128"/>
      <c r="OVH128"/>
      <c r="OVI128"/>
      <c r="OVJ128"/>
      <c r="OVK128"/>
      <c r="OVL128"/>
      <c r="OVM128"/>
      <c r="OVN128"/>
      <c r="OVO128"/>
      <c r="OVP128"/>
      <c r="OVQ128"/>
      <c r="OVR128"/>
      <c r="OVS128"/>
      <c r="OVT128"/>
      <c r="OVU128"/>
      <c r="OVV128"/>
      <c r="OVW128"/>
      <c r="OVX128"/>
      <c r="OVY128"/>
      <c r="OVZ128"/>
      <c r="OWA128"/>
      <c r="OWB128"/>
      <c r="OWC128"/>
      <c r="OWD128"/>
      <c r="OWE128"/>
      <c r="OWF128"/>
      <c r="OWG128"/>
      <c r="OWH128"/>
      <c r="OWI128"/>
      <c r="OWJ128"/>
      <c r="OWK128"/>
      <c r="OWL128"/>
      <c r="OWM128"/>
      <c r="OWN128"/>
      <c r="OWO128"/>
      <c r="OWP128"/>
      <c r="OWQ128"/>
      <c r="OWR128"/>
      <c r="OWS128"/>
      <c r="OWT128"/>
      <c r="OWU128"/>
      <c r="OWV128"/>
      <c r="OWW128"/>
      <c r="OWX128"/>
      <c r="OWY128"/>
      <c r="OWZ128"/>
      <c r="OXA128"/>
      <c r="OXB128"/>
      <c r="OXC128"/>
      <c r="OXD128"/>
      <c r="OXE128"/>
      <c r="OXF128"/>
      <c r="OXG128"/>
      <c r="OXH128"/>
      <c r="OXI128"/>
      <c r="OXJ128"/>
      <c r="OXK128"/>
      <c r="OXL128"/>
      <c r="OXM128"/>
      <c r="OXN128"/>
      <c r="OXO128"/>
      <c r="OXP128"/>
      <c r="OXQ128"/>
      <c r="OXR128"/>
      <c r="OXS128"/>
      <c r="OXT128"/>
      <c r="OXU128"/>
      <c r="OXV128"/>
      <c r="OXW128"/>
      <c r="OXX128"/>
      <c r="OXY128"/>
      <c r="OXZ128"/>
      <c r="OYA128"/>
      <c r="OYB128"/>
      <c r="OYC128"/>
      <c r="OYD128"/>
      <c r="OYE128"/>
      <c r="OYF128"/>
      <c r="OYG128"/>
      <c r="OYH128"/>
      <c r="OYI128"/>
      <c r="OYJ128"/>
      <c r="OYK128"/>
      <c r="OYL128"/>
      <c r="OYM128"/>
      <c r="OYN128"/>
      <c r="OYO128"/>
      <c r="OYP128"/>
      <c r="OYQ128"/>
      <c r="OYR128"/>
      <c r="OYS128"/>
      <c r="OYT128"/>
      <c r="OYU128"/>
      <c r="OYV128"/>
      <c r="OYW128"/>
      <c r="OYX128"/>
      <c r="OYY128"/>
      <c r="OYZ128"/>
      <c r="OZA128"/>
      <c r="OZB128"/>
      <c r="OZC128"/>
      <c r="OZD128"/>
      <c r="OZE128"/>
      <c r="OZF128"/>
      <c r="OZG128"/>
      <c r="OZH128"/>
      <c r="OZI128"/>
      <c r="OZJ128"/>
      <c r="OZK128"/>
      <c r="OZL128"/>
      <c r="OZM128"/>
      <c r="OZN128"/>
      <c r="OZO128"/>
      <c r="OZP128"/>
      <c r="OZQ128"/>
      <c r="OZR128"/>
      <c r="OZS128"/>
      <c r="OZT128"/>
      <c r="OZU128"/>
      <c r="OZV128"/>
      <c r="OZW128"/>
      <c r="OZX128"/>
      <c r="OZY128"/>
      <c r="OZZ128"/>
      <c r="PAA128"/>
      <c r="PAB128"/>
      <c r="PAC128"/>
      <c r="PAD128"/>
      <c r="PAE128"/>
      <c r="PAF128"/>
      <c r="PAG128"/>
      <c r="PAH128"/>
      <c r="PAI128"/>
      <c r="PAJ128"/>
      <c r="PAK128"/>
      <c r="PAL128"/>
      <c r="PAM128"/>
      <c r="PAN128"/>
      <c r="PAO128"/>
      <c r="PAP128"/>
      <c r="PAQ128"/>
      <c r="PAR128"/>
      <c r="PAS128"/>
      <c r="PAT128"/>
      <c r="PAU128"/>
      <c r="PAV128"/>
      <c r="PAW128"/>
      <c r="PAX128"/>
      <c r="PAY128"/>
      <c r="PAZ128"/>
      <c r="PBA128"/>
      <c r="PBB128"/>
      <c r="PBC128"/>
      <c r="PBD128"/>
      <c r="PBE128"/>
      <c r="PBF128"/>
      <c r="PBG128"/>
      <c r="PBH128"/>
      <c r="PBI128"/>
      <c r="PBJ128"/>
      <c r="PBK128"/>
      <c r="PBL128"/>
      <c r="PBM128"/>
      <c r="PBN128"/>
      <c r="PBO128"/>
      <c r="PBP128"/>
      <c r="PBQ128"/>
      <c r="PBR128"/>
      <c r="PBS128"/>
      <c r="PBT128"/>
      <c r="PBU128"/>
      <c r="PBV128"/>
      <c r="PBW128"/>
      <c r="PBX128"/>
      <c r="PBY128"/>
      <c r="PBZ128"/>
      <c r="PCA128"/>
      <c r="PCB128"/>
      <c r="PCC128"/>
      <c r="PCD128"/>
      <c r="PCE128"/>
      <c r="PCF128"/>
      <c r="PCG128"/>
      <c r="PCH128"/>
      <c r="PCI128"/>
      <c r="PCJ128"/>
      <c r="PCK128"/>
      <c r="PCL128"/>
      <c r="PCM128"/>
      <c r="PCN128"/>
      <c r="PCO128"/>
      <c r="PCP128"/>
      <c r="PCQ128"/>
      <c r="PCR128"/>
      <c r="PCS128"/>
      <c r="PCT128"/>
      <c r="PCU128"/>
      <c r="PCV128"/>
      <c r="PCW128"/>
      <c r="PCX128"/>
      <c r="PCY128"/>
      <c r="PCZ128"/>
      <c r="PDA128"/>
      <c r="PDB128"/>
      <c r="PDC128"/>
      <c r="PDD128"/>
      <c r="PDE128"/>
      <c r="PDF128"/>
      <c r="PDG128"/>
      <c r="PDH128"/>
      <c r="PDI128"/>
      <c r="PDJ128"/>
      <c r="PDK128"/>
      <c r="PDL128"/>
      <c r="PDM128"/>
      <c r="PDN128"/>
      <c r="PDO128"/>
      <c r="PDP128"/>
      <c r="PDQ128"/>
      <c r="PDR128"/>
      <c r="PDS128"/>
      <c r="PDT128"/>
      <c r="PDU128"/>
      <c r="PDV128"/>
      <c r="PDW128"/>
      <c r="PDX128"/>
      <c r="PDY128"/>
      <c r="PDZ128"/>
      <c r="PEA128"/>
      <c r="PEB128"/>
      <c r="PEC128"/>
      <c r="PED128"/>
      <c r="PEE128"/>
      <c r="PEF128"/>
      <c r="PEG128"/>
      <c r="PEH128"/>
      <c r="PEI128"/>
      <c r="PEJ128"/>
      <c r="PEK128"/>
      <c r="PEL128"/>
      <c r="PEM128"/>
      <c r="PEN128"/>
      <c r="PEO128"/>
      <c r="PEP128"/>
      <c r="PEQ128"/>
      <c r="PER128"/>
      <c r="PES128"/>
      <c r="PET128"/>
      <c r="PEU128"/>
      <c r="PEV128"/>
      <c r="PEW128"/>
      <c r="PEX128"/>
      <c r="PEY128"/>
      <c r="PEZ128"/>
      <c r="PFA128"/>
      <c r="PFB128"/>
      <c r="PFC128"/>
      <c r="PFD128"/>
      <c r="PFE128"/>
      <c r="PFF128"/>
      <c r="PFG128"/>
      <c r="PFH128"/>
      <c r="PFI128"/>
      <c r="PFJ128"/>
      <c r="PFK128"/>
      <c r="PFL128"/>
      <c r="PFM128"/>
      <c r="PFN128"/>
      <c r="PFO128"/>
      <c r="PFP128"/>
      <c r="PFQ128"/>
      <c r="PFR128"/>
      <c r="PFS128"/>
      <c r="PFT128"/>
      <c r="PFU128"/>
      <c r="PFV128"/>
      <c r="PFW128"/>
      <c r="PFX128"/>
      <c r="PFY128"/>
      <c r="PFZ128"/>
      <c r="PGA128"/>
      <c r="PGB128"/>
      <c r="PGC128"/>
      <c r="PGD128"/>
      <c r="PGE128"/>
      <c r="PGF128"/>
      <c r="PGG128"/>
      <c r="PGH128"/>
      <c r="PGI128"/>
      <c r="PGJ128"/>
      <c r="PGK128"/>
      <c r="PGL128"/>
      <c r="PGM128"/>
      <c r="PGN128"/>
      <c r="PGO128"/>
      <c r="PGP128"/>
      <c r="PGQ128"/>
      <c r="PGR128"/>
      <c r="PGS128"/>
      <c r="PGT128"/>
      <c r="PGU128"/>
      <c r="PGV128"/>
      <c r="PGW128"/>
      <c r="PGX128"/>
      <c r="PGY128"/>
      <c r="PGZ128"/>
      <c r="PHA128"/>
      <c r="PHB128"/>
      <c r="PHC128"/>
      <c r="PHD128"/>
      <c r="PHE128"/>
      <c r="PHF128"/>
      <c r="PHG128"/>
      <c r="PHH128"/>
      <c r="PHI128"/>
      <c r="PHJ128"/>
      <c r="PHK128"/>
      <c r="PHL128"/>
      <c r="PHM128"/>
      <c r="PHN128"/>
      <c r="PHO128"/>
      <c r="PHP128"/>
      <c r="PHQ128"/>
      <c r="PHR128"/>
      <c r="PHS128"/>
      <c r="PHT128"/>
      <c r="PHU128"/>
      <c r="PHV128"/>
      <c r="PHW128"/>
      <c r="PHX128"/>
      <c r="PHY128"/>
      <c r="PHZ128"/>
      <c r="PIA128"/>
      <c r="PIB128"/>
      <c r="PIC128"/>
      <c r="PID128"/>
      <c r="PIE128"/>
      <c r="PIF128"/>
      <c r="PIG128"/>
      <c r="PIH128"/>
      <c r="PII128"/>
      <c r="PIJ128"/>
      <c r="PIK128"/>
      <c r="PIL128"/>
      <c r="PIM128"/>
      <c r="PIN128"/>
      <c r="PIO128"/>
      <c r="PIP128"/>
      <c r="PIQ128"/>
      <c r="PIR128"/>
      <c r="PIS128"/>
      <c r="PIT128"/>
      <c r="PIU128"/>
      <c r="PIV128"/>
      <c r="PIW128"/>
      <c r="PIX128"/>
      <c r="PIY128"/>
      <c r="PIZ128"/>
      <c r="PJA128"/>
      <c r="PJB128"/>
      <c r="PJC128"/>
      <c r="PJD128"/>
      <c r="PJE128"/>
      <c r="PJF128"/>
      <c r="PJG128"/>
      <c r="PJH128"/>
      <c r="PJI128"/>
      <c r="PJJ128"/>
      <c r="PJK128"/>
      <c r="PJL128"/>
      <c r="PJM128"/>
      <c r="PJN128"/>
      <c r="PJO128"/>
      <c r="PJP128"/>
      <c r="PJQ128"/>
      <c r="PJR128"/>
      <c r="PJS128"/>
      <c r="PJT128"/>
      <c r="PJU128"/>
      <c r="PJV128"/>
      <c r="PJW128"/>
      <c r="PJX128"/>
      <c r="PJY128"/>
      <c r="PJZ128"/>
      <c r="PKA128"/>
      <c r="PKB128"/>
      <c r="PKC128"/>
      <c r="PKD128"/>
      <c r="PKE128"/>
      <c r="PKF128"/>
      <c r="PKG128"/>
      <c r="PKH128"/>
      <c r="PKI128"/>
      <c r="PKJ128"/>
      <c r="PKK128"/>
      <c r="PKL128"/>
      <c r="PKM128"/>
      <c r="PKN128"/>
      <c r="PKO128"/>
      <c r="PKP128"/>
      <c r="PKQ128"/>
      <c r="PKR128"/>
      <c r="PKS128"/>
      <c r="PKT128"/>
      <c r="PKU128"/>
      <c r="PKV128"/>
      <c r="PKW128"/>
      <c r="PKX128"/>
      <c r="PKY128"/>
      <c r="PKZ128"/>
      <c r="PLA128"/>
      <c r="PLB128"/>
      <c r="PLC128"/>
      <c r="PLD128"/>
      <c r="PLE128"/>
      <c r="PLF128"/>
      <c r="PLG128"/>
      <c r="PLH128"/>
      <c r="PLI128"/>
      <c r="PLJ128"/>
      <c r="PLK128"/>
      <c r="PLL128"/>
      <c r="PLM128"/>
      <c r="PLN128"/>
      <c r="PLO128"/>
      <c r="PLP128"/>
      <c r="PLQ128"/>
      <c r="PLR128"/>
      <c r="PLS128"/>
      <c r="PLT128"/>
      <c r="PLU128"/>
      <c r="PLV128"/>
      <c r="PLW128"/>
      <c r="PLX128"/>
      <c r="PLY128"/>
      <c r="PLZ128"/>
      <c r="PMA128"/>
      <c r="PMB128"/>
      <c r="PMC128"/>
      <c r="PMD128"/>
      <c r="PME128"/>
      <c r="PMF128"/>
      <c r="PMG128"/>
      <c r="PMH128"/>
      <c r="PMI128"/>
      <c r="PMJ128"/>
      <c r="PMK128"/>
      <c r="PML128"/>
      <c r="PMM128"/>
      <c r="PMN128"/>
      <c r="PMO128"/>
      <c r="PMP128"/>
      <c r="PMQ128"/>
      <c r="PMR128"/>
      <c r="PMS128"/>
      <c r="PMT128"/>
      <c r="PMU128"/>
      <c r="PMV128"/>
      <c r="PMW128"/>
      <c r="PMX128"/>
      <c r="PMY128"/>
      <c r="PMZ128"/>
      <c r="PNA128"/>
      <c r="PNB128"/>
      <c r="PNC128"/>
      <c r="PND128"/>
      <c r="PNE128"/>
      <c r="PNF128"/>
      <c r="PNG128"/>
      <c r="PNH128"/>
      <c r="PNI128"/>
      <c r="PNJ128"/>
      <c r="PNK128"/>
      <c r="PNL128"/>
      <c r="PNM128"/>
      <c r="PNN128"/>
      <c r="PNO128"/>
      <c r="PNP128"/>
      <c r="PNQ128"/>
      <c r="PNR128"/>
      <c r="PNS128"/>
      <c r="PNT128"/>
      <c r="PNU128"/>
      <c r="PNV128"/>
      <c r="PNW128"/>
      <c r="PNX128"/>
      <c r="PNY128"/>
      <c r="PNZ128"/>
      <c r="POA128"/>
      <c r="POB128"/>
      <c r="POC128"/>
      <c r="POD128"/>
      <c r="POE128"/>
      <c r="POF128"/>
      <c r="POG128"/>
      <c r="POH128"/>
      <c r="POI128"/>
      <c r="POJ128"/>
      <c r="POK128"/>
      <c r="POL128"/>
      <c r="POM128"/>
      <c r="PON128"/>
      <c r="POO128"/>
      <c r="POP128"/>
      <c r="POQ128"/>
      <c r="POR128"/>
      <c r="POS128"/>
      <c r="POT128"/>
      <c r="POU128"/>
      <c r="POV128"/>
      <c r="POW128"/>
      <c r="POX128"/>
      <c r="POY128"/>
      <c r="POZ128"/>
      <c r="PPA128"/>
      <c r="PPB128"/>
      <c r="PPC128"/>
      <c r="PPD128"/>
      <c r="PPE128"/>
      <c r="PPF128"/>
      <c r="PPG128"/>
      <c r="PPH128"/>
      <c r="PPI128"/>
      <c r="PPJ128"/>
      <c r="PPK128"/>
      <c r="PPL128"/>
      <c r="PPM128"/>
      <c r="PPN128"/>
      <c r="PPO128"/>
      <c r="PPP128"/>
      <c r="PPQ128"/>
      <c r="PPR128"/>
      <c r="PPS128"/>
      <c r="PPT128"/>
      <c r="PPU128"/>
      <c r="PPV128"/>
      <c r="PPW128"/>
      <c r="PPX128"/>
      <c r="PPY128"/>
      <c r="PPZ128"/>
      <c r="PQA128"/>
      <c r="PQB128"/>
      <c r="PQC128"/>
      <c r="PQD128"/>
      <c r="PQE128"/>
      <c r="PQF128"/>
      <c r="PQG128"/>
      <c r="PQH128"/>
      <c r="PQI128"/>
      <c r="PQJ128"/>
      <c r="PQK128"/>
      <c r="PQL128"/>
      <c r="PQM128"/>
      <c r="PQN128"/>
      <c r="PQO128"/>
      <c r="PQP128"/>
      <c r="PQQ128"/>
      <c r="PQR128"/>
      <c r="PQS128"/>
      <c r="PQT128"/>
      <c r="PQU128"/>
      <c r="PQV128"/>
      <c r="PQW128"/>
      <c r="PQX128"/>
      <c r="PQY128"/>
      <c r="PQZ128"/>
      <c r="PRA128"/>
      <c r="PRB128"/>
      <c r="PRC128"/>
      <c r="PRD128"/>
      <c r="PRE128"/>
      <c r="PRF128"/>
      <c r="PRG128"/>
      <c r="PRH128"/>
      <c r="PRI128"/>
      <c r="PRJ128"/>
      <c r="PRK128"/>
      <c r="PRL128"/>
      <c r="PRM128"/>
      <c r="PRN128"/>
      <c r="PRO128"/>
      <c r="PRP128"/>
      <c r="PRQ128"/>
      <c r="PRR128"/>
      <c r="PRS128"/>
      <c r="PRT128"/>
      <c r="PRU128"/>
      <c r="PRV128"/>
      <c r="PRW128"/>
      <c r="PRX128"/>
      <c r="PRY128"/>
      <c r="PRZ128"/>
      <c r="PSA128"/>
      <c r="PSB128"/>
      <c r="PSC128"/>
      <c r="PSD128"/>
      <c r="PSE128"/>
      <c r="PSF128"/>
      <c r="PSG128"/>
      <c r="PSH128"/>
      <c r="PSI128"/>
      <c r="PSJ128"/>
      <c r="PSK128"/>
      <c r="PSL128"/>
      <c r="PSM128"/>
      <c r="PSN128"/>
      <c r="PSO128"/>
      <c r="PSP128"/>
      <c r="PSQ128"/>
      <c r="PSR128"/>
      <c r="PSS128"/>
      <c r="PST128"/>
      <c r="PSU128"/>
      <c r="PSV128"/>
      <c r="PSW128"/>
      <c r="PSX128"/>
      <c r="PSY128"/>
      <c r="PSZ128"/>
      <c r="PTA128"/>
      <c r="PTB128"/>
      <c r="PTC128"/>
      <c r="PTD128"/>
      <c r="PTE128"/>
      <c r="PTF128"/>
      <c r="PTG128"/>
      <c r="PTH128"/>
      <c r="PTI128"/>
      <c r="PTJ128"/>
      <c r="PTK128"/>
      <c r="PTL128"/>
      <c r="PTM128"/>
      <c r="PTN128"/>
      <c r="PTO128"/>
      <c r="PTP128"/>
      <c r="PTQ128"/>
      <c r="PTR128"/>
      <c r="PTS128"/>
      <c r="PTT128"/>
      <c r="PTU128"/>
      <c r="PTV128"/>
      <c r="PTW128"/>
      <c r="PTX128"/>
      <c r="PTY128"/>
      <c r="PTZ128"/>
      <c r="PUA128"/>
      <c r="PUB128"/>
      <c r="PUC128"/>
      <c r="PUD128"/>
      <c r="PUE128"/>
      <c r="PUF128"/>
      <c r="PUG128"/>
      <c r="PUH128"/>
      <c r="PUI128"/>
      <c r="PUJ128"/>
      <c r="PUK128"/>
      <c r="PUL128"/>
      <c r="PUM128"/>
      <c r="PUN128"/>
      <c r="PUO128"/>
      <c r="PUP128"/>
      <c r="PUQ128"/>
      <c r="PUR128"/>
      <c r="PUS128"/>
      <c r="PUT128"/>
      <c r="PUU128"/>
      <c r="PUV128"/>
      <c r="PUW128"/>
      <c r="PUX128"/>
      <c r="PUY128"/>
      <c r="PUZ128"/>
      <c r="PVA128"/>
      <c r="PVB128"/>
      <c r="PVC128"/>
      <c r="PVD128"/>
      <c r="PVE128"/>
      <c r="PVF128"/>
      <c r="PVG128"/>
      <c r="PVH128"/>
      <c r="PVI128"/>
      <c r="PVJ128"/>
      <c r="PVK128"/>
      <c r="PVL128"/>
      <c r="PVM128"/>
      <c r="PVN128"/>
      <c r="PVO128"/>
      <c r="PVP128"/>
      <c r="PVQ128"/>
      <c r="PVR128"/>
      <c r="PVS128"/>
      <c r="PVT128"/>
      <c r="PVU128"/>
      <c r="PVV128"/>
      <c r="PVW128"/>
      <c r="PVX128"/>
      <c r="PVY128"/>
      <c r="PVZ128"/>
      <c r="PWA128"/>
      <c r="PWB128"/>
      <c r="PWC128"/>
      <c r="PWD128"/>
      <c r="PWE128"/>
      <c r="PWF128"/>
      <c r="PWG128"/>
      <c r="PWH128"/>
      <c r="PWI128"/>
      <c r="PWJ128"/>
      <c r="PWK128"/>
      <c r="PWL128"/>
      <c r="PWM128"/>
      <c r="PWN128"/>
      <c r="PWO128"/>
      <c r="PWP128"/>
      <c r="PWQ128"/>
      <c r="PWR128"/>
      <c r="PWS128"/>
      <c r="PWT128"/>
      <c r="PWU128"/>
      <c r="PWV128"/>
      <c r="PWW128"/>
      <c r="PWX128"/>
      <c r="PWY128"/>
      <c r="PWZ128"/>
      <c r="PXA128"/>
      <c r="PXB128"/>
      <c r="PXC128"/>
      <c r="PXD128"/>
      <c r="PXE128"/>
      <c r="PXF128"/>
      <c r="PXG128"/>
      <c r="PXH128"/>
      <c r="PXI128"/>
      <c r="PXJ128"/>
      <c r="PXK128"/>
      <c r="PXL128"/>
      <c r="PXM128"/>
      <c r="PXN128"/>
      <c r="PXO128"/>
      <c r="PXP128"/>
      <c r="PXQ128"/>
      <c r="PXR128"/>
      <c r="PXS128"/>
      <c r="PXT128"/>
      <c r="PXU128"/>
      <c r="PXV128"/>
      <c r="PXW128"/>
      <c r="PXX128"/>
      <c r="PXY128"/>
      <c r="PXZ128"/>
      <c r="PYA128"/>
      <c r="PYB128"/>
      <c r="PYC128"/>
      <c r="PYD128"/>
      <c r="PYE128"/>
      <c r="PYF128"/>
      <c r="PYG128"/>
      <c r="PYH128"/>
      <c r="PYI128"/>
      <c r="PYJ128"/>
      <c r="PYK128"/>
      <c r="PYL128"/>
      <c r="PYM128"/>
      <c r="PYN128"/>
      <c r="PYO128"/>
      <c r="PYP128"/>
      <c r="PYQ128"/>
      <c r="PYR128"/>
      <c r="PYS128"/>
      <c r="PYT128"/>
      <c r="PYU128"/>
      <c r="PYV128"/>
      <c r="PYW128"/>
      <c r="PYX128"/>
      <c r="PYY128"/>
      <c r="PYZ128"/>
      <c r="PZA128"/>
      <c r="PZB128"/>
      <c r="PZC128"/>
      <c r="PZD128"/>
      <c r="PZE128"/>
      <c r="PZF128"/>
      <c r="PZG128"/>
      <c r="PZH128"/>
      <c r="PZI128"/>
      <c r="PZJ128"/>
      <c r="PZK128"/>
      <c r="PZL128"/>
      <c r="PZM128"/>
      <c r="PZN128"/>
      <c r="PZO128"/>
      <c r="PZP128"/>
      <c r="PZQ128"/>
      <c r="PZR128"/>
      <c r="PZS128"/>
      <c r="PZT128"/>
      <c r="PZU128"/>
      <c r="PZV128"/>
      <c r="PZW128"/>
      <c r="PZX128"/>
      <c r="PZY128"/>
      <c r="PZZ128"/>
      <c r="QAA128"/>
      <c r="QAB128"/>
      <c r="QAC128"/>
      <c r="QAD128"/>
      <c r="QAE128"/>
      <c r="QAF128"/>
      <c r="QAG128"/>
      <c r="QAH128"/>
      <c r="QAI128"/>
      <c r="QAJ128"/>
      <c r="QAK128"/>
      <c r="QAL128"/>
      <c r="QAM128"/>
      <c r="QAN128"/>
      <c r="QAO128"/>
      <c r="QAP128"/>
      <c r="QAQ128"/>
      <c r="QAR128"/>
      <c r="QAS128"/>
      <c r="QAT128"/>
      <c r="QAU128"/>
      <c r="QAV128"/>
      <c r="QAW128"/>
      <c r="QAX128"/>
      <c r="QAY128"/>
      <c r="QAZ128"/>
      <c r="QBA128"/>
      <c r="QBB128"/>
      <c r="QBC128"/>
      <c r="QBD128"/>
      <c r="QBE128"/>
      <c r="QBF128"/>
      <c r="QBG128"/>
      <c r="QBH128"/>
      <c r="QBI128"/>
      <c r="QBJ128"/>
      <c r="QBK128"/>
      <c r="QBL128"/>
      <c r="QBM128"/>
      <c r="QBN128"/>
      <c r="QBO128"/>
      <c r="QBP128"/>
      <c r="QBQ128"/>
      <c r="QBR128"/>
      <c r="QBS128"/>
      <c r="QBT128"/>
      <c r="QBU128"/>
      <c r="QBV128"/>
      <c r="QBW128"/>
      <c r="QBX128"/>
      <c r="QBY128"/>
      <c r="QBZ128"/>
      <c r="QCA128"/>
      <c r="QCB128"/>
      <c r="QCC128"/>
      <c r="QCD128"/>
      <c r="QCE128"/>
      <c r="QCF128"/>
      <c r="QCG128"/>
      <c r="QCH128"/>
      <c r="QCI128"/>
      <c r="QCJ128"/>
      <c r="QCK128"/>
      <c r="QCL128"/>
      <c r="QCM128"/>
      <c r="QCN128"/>
      <c r="QCO128"/>
      <c r="QCP128"/>
      <c r="QCQ128"/>
      <c r="QCR128"/>
      <c r="QCS128"/>
      <c r="QCT128"/>
      <c r="QCU128"/>
      <c r="QCV128"/>
      <c r="QCW128"/>
      <c r="QCX128"/>
      <c r="QCY128"/>
      <c r="QCZ128"/>
      <c r="QDA128"/>
      <c r="QDB128"/>
      <c r="QDC128"/>
      <c r="QDD128"/>
      <c r="QDE128"/>
      <c r="QDF128"/>
      <c r="QDG128"/>
      <c r="QDH128"/>
      <c r="QDI128"/>
      <c r="QDJ128"/>
      <c r="QDK128"/>
      <c r="QDL128"/>
      <c r="QDM128"/>
      <c r="QDN128"/>
      <c r="QDO128"/>
      <c r="QDP128"/>
      <c r="QDQ128"/>
      <c r="QDR128"/>
      <c r="QDS128"/>
      <c r="QDT128"/>
      <c r="QDU128"/>
      <c r="QDV128"/>
      <c r="QDW128"/>
      <c r="QDX128"/>
      <c r="QDY128"/>
      <c r="QDZ128"/>
      <c r="QEA128"/>
      <c r="QEB128"/>
      <c r="QEC128"/>
      <c r="QED128"/>
      <c r="QEE128"/>
      <c r="QEF128"/>
      <c r="QEG128"/>
      <c r="QEH128"/>
      <c r="QEI128"/>
      <c r="QEJ128"/>
      <c r="QEK128"/>
      <c r="QEL128"/>
      <c r="QEM128"/>
      <c r="QEN128"/>
      <c r="QEO128"/>
      <c r="QEP128"/>
      <c r="QEQ128"/>
      <c r="QER128"/>
      <c r="QES128"/>
      <c r="QET128"/>
      <c r="QEU128"/>
      <c r="QEV128"/>
      <c r="QEW128"/>
      <c r="QEX128"/>
      <c r="QEY128"/>
      <c r="QEZ128"/>
      <c r="QFA128"/>
      <c r="QFB128"/>
      <c r="QFC128"/>
      <c r="QFD128"/>
      <c r="QFE128"/>
      <c r="QFF128"/>
      <c r="QFG128"/>
      <c r="QFH128"/>
      <c r="QFI128"/>
      <c r="QFJ128"/>
      <c r="QFK128"/>
      <c r="QFL128"/>
      <c r="QFM128"/>
      <c r="QFN128"/>
      <c r="QFO128"/>
      <c r="QFP128"/>
      <c r="QFQ128"/>
      <c r="QFR128"/>
      <c r="QFS128"/>
      <c r="QFT128"/>
      <c r="QFU128"/>
      <c r="QFV128"/>
      <c r="QFW128"/>
      <c r="QFX128"/>
      <c r="QFY128"/>
      <c r="QFZ128"/>
      <c r="QGA128"/>
      <c r="QGB128"/>
      <c r="QGC128"/>
      <c r="QGD128"/>
      <c r="QGE128"/>
      <c r="QGF128"/>
      <c r="QGG128"/>
      <c r="QGH128"/>
      <c r="QGI128"/>
      <c r="QGJ128"/>
      <c r="QGK128"/>
      <c r="QGL128"/>
      <c r="QGM128"/>
      <c r="QGN128"/>
      <c r="QGO128"/>
      <c r="QGP128"/>
      <c r="QGQ128"/>
      <c r="QGR128"/>
      <c r="QGS128"/>
      <c r="QGT128"/>
      <c r="QGU128"/>
      <c r="QGV128"/>
      <c r="QGW128"/>
      <c r="QGX128"/>
      <c r="QGY128"/>
      <c r="QGZ128"/>
      <c r="QHA128"/>
      <c r="QHB128"/>
      <c r="QHC128"/>
      <c r="QHD128"/>
      <c r="QHE128"/>
      <c r="QHF128"/>
      <c r="QHG128"/>
      <c r="QHH128"/>
      <c r="QHI128"/>
      <c r="QHJ128"/>
      <c r="QHK128"/>
      <c r="QHL128"/>
      <c r="QHM128"/>
      <c r="QHN128"/>
      <c r="QHO128"/>
      <c r="QHP128"/>
      <c r="QHQ128"/>
      <c r="QHR128"/>
      <c r="QHS128"/>
      <c r="QHT128"/>
      <c r="QHU128"/>
      <c r="QHV128"/>
      <c r="QHW128"/>
      <c r="QHX128"/>
      <c r="QHY128"/>
      <c r="QHZ128"/>
      <c r="QIA128"/>
      <c r="QIB128"/>
      <c r="QIC128"/>
      <c r="QID128"/>
      <c r="QIE128"/>
      <c r="QIF128"/>
      <c r="QIG128"/>
      <c r="QIH128"/>
      <c r="QII128"/>
      <c r="QIJ128"/>
      <c r="QIK128"/>
      <c r="QIL128"/>
      <c r="QIM128"/>
      <c r="QIN128"/>
      <c r="QIO128"/>
      <c r="QIP128"/>
      <c r="QIQ128"/>
      <c r="QIR128"/>
      <c r="QIS128"/>
      <c r="QIT128"/>
      <c r="QIU128"/>
      <c r="QIV128"/>
      <c r="QIW128"/>
      <c r="QIX128"/>
      <c r="QIY128"/>
      <c r="QIZ128"/>
      <c r="QJA128"/>
      <c r="QJB128"/>
      <c r="QJC128"/>
      <c r="QJD128"/>
      <c r="QJE128"/>
      <c r="QJF128"/>
      <c r="QJG128"/>
      <c r="QJH128"/>
      <c r="QJI128"/>
      <c r="QJJ128"/>
      <c r="QJK128"/>
      <c r="QJL128"/>
      <c r="QJM128"/>
      <c r="QJN128"/>
      <c r="QJO128"/>
      <c r="QJP128"/>
      <c r="QJQ128"/>
      <c r="QJR128"/>
      <c r="QJS128"/>
      <c r="QJT128"/>
      <c r="QJU128"/>
      <c r="QJV128"/>
      <c r="QJW128"/>
      <c r="QJX128"/>
      <c r="QJY128"/>
      <c r="QJZ128"/>
      <c r="QKA128"/>
      <c r="QKB128"/>
      <c r="QKC128"/>
      <c r="QKD128"/>
      <c r="QKE128"/>
      <c r="QKF128"/>
      <c r="QKG128"/>
      <c r="QKH128"/>
      <c r="QKI128"/>
      <c r="QKJ128"/>
      <c r="QKK128"/>
      <c r="QKL128"/>
      <c r="QKM128"/>
      <c r="QKN128"/>
      <c r="QKO128"/>
      <c r="QKP128"/>
      <c r="QKQ128"/>
      <c r="QKR128"/>
      <c r="QKS128"/>
      <c r="QKT128"/>
      <c r="QKU128"/>
      <c r="QKV128"/>
      <c r="QKW128"/>
      <c r="QKX128"/>
      <c r="QKY128"/>
      <c r="QKZ128"/>
      <c r="QLA128"/>
      <c r="QLB128"/>
      <c r="QLC128"/>
      <c r="QLD128"/>
      <c r="QLE128"/>
      <c r="QLF128"/>
      <c r="QLG128"/>
      <c r="QLH128"/>
      <c r="QLI128"/>
      <c r="QLJ128"/>
      <c r="QLK128"/>
      <c r="QLL128"/>
      <c r="QLM128"/>
      <c r="QLN128"/>
      <c r="QLO128"/>
      <c r="QLP128"/>
      <c r="QLQ128"/>
      <c r="QLR128"/>
      <c r="QLS128"/>
      <c r="QLT128"/>
      <c r="QLU128"/>
      <c r="QLV128"/>
      <c r="QLW128"/>
      <c r="QLX128"/>
      <c r="QLY128"/>
      <c r="QLZ128"/>
      <c r="QMA128"/>
      <c r="QMB128"/>
      <c r="QMC128"/>
      <c r="QMD128"/>
      <c r="QME128"/>
      <c r="QMF128"/>
      <c r="QMG128"/>
      <c r="QMH128"/>
      <c r="QMI128"/>
      <c r="QMJ128"/>
      <c r="QMK128"/>
      <c r="QML128"/>
      <c r="QMM128"/>
      <c r="QMN128"/>
      <c r="QMO128"/>
      <c r="QMP128"/>
      <c r="QMQ128"/>
      <c r="QMR128"/>
      <c r="QMS128"/>
      <c r="QMT128"/>
      <c r="QMU128"/>
      <c r="QMV128"/>
      <c r="QMW128"/>
      <c r="QMX128"/>
      <c r="QMY128"/>
      <c r="QMZ128"/>
      <c r="QNA128"/>
      <c r="QNB128"/>
      <c r="QNC128"/>
      <c r="QND128"/>
      <c r="QNE128"/>
      <c r="QNF128"/>
      <c r="QNG128"/>
      <c r="QNH128"/>
      <c r="QNI128"/>
      <c r="QNJ128"/>
      <c r="QNK128"/>
      <c r="QNL128"/>
      <c r="QNM128"/>
      <c r="QNN128"/>
      <c r="QNO128"/>
      <c r="QNP128"/>
      <c r="QNQ128"/>
      <c r="QNR128"/>
      <c r="QNS128"/>
      <c r="QNT128"/>
      <c r="QNU128"/>
      <c r="QNV128"/>
      <c r="QNW128"/>
      <c r="QNX128"/>
      <c r="QNY128"/>
      <c r="QNZ128"/>
      <c r="QOA128"/>
      <c r="QOB128"/>
      <c r="QOC128"/>
      <c r="QOD128"/>
      <c r="QOE128"/>
      <c r="QOF128"/>
      <c r="QOG128"/>
      <c r="QOH128"/>
      <c r="QOI128"/>
      <c r="QOJ128"/>
      <c r="QOK128"/>
      <c r="QOL128"/>
      <c r="QOM128"/>
      <c r="QON128"/>
      <c r="QOO128"/>
      <c r="QOP128"/>
      <c r="QOQ128"/>
      <c r="QOR128"/>
      <c r="QOS128"/>
      <c r="QOT128"/>
      <c r="QOU128"/>
      <c r="QOV128"/>
      <c r="QOW128"/>
      <c r="QOX128"/>
      <c r="QOY128"/>
      <c r="QOZ128"/>
      <c r="QPA128"/>
      <c r="QPB128"/>
      <c r="QPC128"/>
      <c r="QPD128"/>
      <c r="QPE128"/>
      <c r="QPF128"/>
      <c r="QPG128"/>
      <c r="QPH128"/>
      <c r="QPI128"/>
      <c r="QPJ128"/>
      <c r="QPK128"/>
      <c r="QPL128"/>
      <c r="QPM128"/>
      <c r="QPN128"/>
      <c r="QPO128"/>
      <c r="QPP128"/>
      <c r="QPQ128"/>
      <c r="QPR128"/>
      <c r="QPS128"/>
      <c r="QPT128"/>
      <c r="QPU128"/>
      <c r="QPV128"/>
      <c r="QPW128"/>
      <c r="QPX128"/>
      <c r="QPY128"/>
      <c r="QPZ128"/>
      <c r="QQA128"/>
      <c r="QQB128"/>
      <c r="QQC128"/>
      <c r="QQD128"/>
      <c r="QQE128"/>
      <c r="QQF128"/>
      <c r="QQG128"/>
      <c r="QQH128"/>
      <c r="QQI128"/>
      <c r="QQJ128"/>
      <c r="QQK128"/>
      <c r="QQL128"/>
      <c r="QQM128"/>
      <c r="QQN128"/>
      <c r="QQO128"/>
      <c r="QQP128"/>
      <c r="QQQ128"/>
      <c r="QQR128"/>
      <c r="QQS128"/>
      <c r="QQT128"/>
      <c r="QQU128"/>
      <c r="QQV128"/>
      <c r="QQW128"/>
      <c r="QQX128"/>
      <c r="QQY128"/>
      <c r="QQZ128"/>
      <c r="QRA128"/>
      <c r="QRB128"/>
      <c r="QRC128"/>
      <c r="QRD128"/>
      <c r="QRE128"/>
      <c r="QRF128"/>
      <c r="QRG128"/>
      <c r="QRH128"/>
      <c r="QRI128"/>
      <c r="QRJ128"/>
      <c r="QRK128"/>
      <c r="QRL128"/>
      <c r="QRM128"/>
      <c r="QRN128"/>
      <c r="QRO128"/>
      <c r="QRP128"/>
      <c r="QRQ128"/>
      <c r="QRR128"/>
      <c r="QRS128"/>
      <c r="QRT128"/>
      <c r="QRU128"/>
      <c r="QRV128"/>
      <c r="QRW128"/>
      <c r="QRX128"/>
      <c r="QRY128"/>
      <c r="QRZ128"/>
      <c r="QSA128"/>
      <c r="QSB128"/>
      <c r="QSC128"/>
      <c r="QSD128"/>
      <c r="QSE128"/>
      <c r="QSF128"/>
      <c r="QSG128"/>
      <c r="QSH128"/>
      <c r="QSI128"/>
      <c r="QSJ128"/>
      <c r="QSK128"/>
      <c r="QSL128"/>
      <c r="QSM128"/>
      <c r="QSN128"/>
      <c r="QSO128"/>
      <c r="QSP128"/>
      <c r="QSQ128"/>
      <c r="QSR128"/>
      <c r="QSS128"/>
      <c r="QST128"/>
      <c r="QSU128"/>
      <c r="QSV128"/>
      <c r="QSW128"/>
      <c r="QSX128"/>
      <c r="QSY128"/>
      <c r="QSZ128"/>
      <c r="QTA128"/>
      <c r="QTB128"/>
      <c r="QTC128"/>
      <c r="QTD128"/>
      <c r="QTE128"/>
      <c r="QTF128"/>
      <c r="QTG128"/>
      <c r="QTH128"/>
      <c r="QTI128"/>
      <c r="QTJ128"/>
      <c r="QTK128"/>
      <c r="QTL128"/>
      <c r="QTM128"/>
      <c r="QTN128"/>
      <c r="QTO128"/>
      <c r="QTP128"/>
      <c r="QTQ128"/>
      <c r="QTR128"/>
      <c r="QTS128"/>
      <c r="QTT128"/>
      <c r="QTU128"/>
      <c r="QTV128"/>
      <c r="QTW128"/>
      <c r="QTX128"/>
      <c r="QTY128"/>
      <c r="QTZ128"/>
      <c r="QUA128"/>
      <c r="QUB128"/>
      <c r="QUC128"/>
      <c r="QUD128"/>
      <c r="QUE128"/>
      <c r="QUF128"/>
      <c r="QUG128"/>
      <c r="QUH128"/>
      <c r="QUI128"/>
      <c r="QUJ128"/>
      <c r="QUK128"/>
      <c r="QUL128"/>
      <c r="QUM128"/>
      <c r="QUN128"/>
      <c r="QUO128"/>
      <c r="QUP128"/>
      <c r="QUQ128"/>
      <c r="QUR128"/>
      <c r="QUS128"/>
      <c r="QUT128"/>
      <c r="QUU128"/>
      <c r="QUV128"/>
      <c r="QUW128"/>
      <c r="QUX128"/>
      <c r="QUY128"/>
      <c r="QUZ128"/>
      <c r="QVA128"/>
      <c r="QVB128"/>
      <c r="QVC128"/>
      <c r="QVD128"/>
      <c r="QVE128"/>
      <c r="QVF128"/>
      <c r="QVG128"/>
      <c r="QVH128"/>
      <c r="QVI128"/>
      <c r="QVJ128"/>
      <c r="QVK128"/>
      <c r="QVL128"/>
      <c r="QVM128"/>
      <c r="QVN128"/>
      <c r="QVO128"/>
      <c r="QVP128"/>
      <c r="QVQ128"/>
      <c r="QVR128"/>
      <c r="QVS128"/>
      <c r="QVT128"/>
      <c r="QVU128"/>
      <c r="QVV128"/>
      <c r="QVW128"/>
      <c r="QVX128"/>
      <c r="QVY128"/>
      <c r="QVZ128"/>
      <c r="QWA128"/>
      <c r="QWB128"/>
      <c r="QWC128"/>
      <c r="QWD128"/>
      <c r="QWE128"/>
      <c r="QWF128"/>
      <c r="QWG128"/>
      <c r="QWH128"/>
      <c r="QWI128"/>
      <c r="QWJ128"/>
      <c r="QWK128"/>
      <c r="QWL128"/>
      <c r="QWM128"/>
      <c r="QWN128"/>
      <c r="QWO128"/>
      <c r="QWP128"/>
      <c r="QWQ128"/>
      <c r="QWR128"/>
      <c r="QWS128"/>
      <c r="QWT128"/>
      <c r="QWU128"/>
      <c r="QWV128"/>
      <c r="QWW128"/>
      <c r="QWX128"/>
      <c r="QWY128"/>
      <c r="QWZ128"/>
      <c r="QXA128"/>
      <c r="QXB128"/>
      <c r="QXC128"/>
      <c r="QXD128"/>
      <c r="QXE128"/>
      <c r="QXF128"/>
      <c r="QXG128"/>
      <c r="QXH128"/>
      <c r="QXI128"/>
      <c r="QXJ128"/>
      <c r="QXK128"/>
      <c r="QXL128"/>
      <c r="QXM128"/>
      <c r="QXN128"/>
      <c r="QXO128"/>
      <c r="QXP128"/>
      <c r="QXQ128"/>
      <c r="QXR128"/>
      <c r="QXS128"/>
      <c r="QXT128"/>
      <c r="QXU128"/>
      <c r="QXV128"/>
      <c r="QXW128"/>
      <c r="QXX128"/>
      <c r="QXY128"/>
      <c r="QXZ128"/>
      <c r="QYA128"/>
      <c r="QYB128"/>
      <c r="QYC128"/>
      <c r="QYD128"/>
      <c r="QYE128"/>
      <c r="QYF128"/>
      <c r="QYG128"/>
      <c r="QYH128"/>
      <c r="QYI128"/>
      <c r="QYJ128"/>
      <c r="QYK128"/>
      <c r="QYL128"/>
      <c r="QYM128"/>
      <c r="QYN128"/>
      <c r="QYO128"/>
      <c r="QYP128"/>
      <c r="QYQ128"/>
      <c r="QYR128"/>
      <c r="QYS128"/>
      <c r="QYT128"/>
      <c r="QYU128"/>
      <c r="QYV128"/>
      <c r="QYW128"/>
      <c r="QYX128"/>
      <c r="QYY128"/>
      <c r="QYZ128"/>
      <c r="QZA128"/>
      <c r="QZB128"/>
      <c r="QZC128"/>
      <c r="QZD128"/>
      <c r="QZE128"/>
      <c r="QZF128"/>
      <c r="QZG128"/>
      <c r="QZH128"/>
      <c r="QZI128"/>
      <c r="QZJ128"/>
      <c r="QZK128"/>
      <c r="QZL128"/>
      <c r="QZM128"/>
      <c r="QZN128"/>
      <c r="QZO128"/>
      <c r="QZP128"/>
      <c r="QZQ128"/>
      <c r="QZR128"/>
      <c r="QZS128"/>
      <c r="QZT128"/>
      <c r="QZU128"/>
      <c r="QZV128"/>
      <c r="QZW128"/>
      <c r="QZX128"/>
      <c r="QZY128"/>
      <c r="QZZ128"/>
      <c r="RAA128"/>
      <c r="RAB128"/>
      <c r="RAC128"/>
      <c r="RAD128"/>
      <c r="RAE128"/>
      <c r="RAF128"/>
      <c r="RAG128"/>
      <c r="RAH128"/>
      <c r="RAI128"/>
      <c r="RAJ128"/>
      <c r="RAK128"/>
      <c r="RAL128"/>
      <c r="RAM128"/>
      <c r="RAN128"/>
      <c r="RAO128"/>
      <c r="RAP128"/>
      <c r="RAQ128"/>
      <c r="RAR128"/>
      <c r="RAS128"/>
      <c r="RAT128"/>
      <c r="RAU128"/>
      <c r="RAV128"/>
      <c r="RAW128"/>
      <c r="RAX128"/>
      <c r="RAY128"/>
      <c r="RAZ128"/>
      <c r="RBA128"/>
      <c r="RBB128"/>
      <c r="RBC128"/>
      <c r="RBD128"/>
      <c r="RBE128"/>
      <c r="RBF128"/>
      <c r="RBG128"/>
      <c r="RBH128"/>
      <c r="RBI128"/>
      <c r="RBJ128"/>
      <c r="RBK128"/>
      <c r="RBL128"/>
      <c r="RBM128"/>
      <c r="RBN128"/>
      <c r="RBO128"/>
      <c r="RBP128"/>
      <c r="RBQ128"/>
      <c r="RBR128"/>
      <c r="RBS128"/>
      <c r="RBT128"/>
      <c r="RBU128"/>
      <c r="RBV128"/>
      <c r="RBW128"/>
      <c r="RBX128"/>
      <c r="RBY128"/>
      <c r="RBZ128"/>
      <c r="RCA128"/>
      <c r="RCB128"/>
      <c r="RCC128"/>
      <c r="RCD128"/>
      <c r="RCE128"/>
      <c r="RCF128"/>
      <c r="RCG128"/>
      <c r="RCH128"/>
      <c r="RCI128"/>
      <c r="RCJ128"/>
      <c r="RCK128"/>
      <c r="RCL128"/>
      <c r="RCM128"/>
      <c r="RCN128"/>
      <c r="RCO128"/>
      <c r="RCP128"/>
      <c r="RCQ128"/>
      <c r="RCR128"/>
      <c r="RCS128"/>
      <c r="RCT128"/>
      <c r="RCU128"/>
      <c r="RCV128"/>
      <c r="RCW128"/>
      <c r="RCX128"/>
      <c r="RCY128"/>
      <c r="RCZ128"/>
      <c r="RDA128"/>
      <c r="RDB128"/>
      <c r="RDC128"/>
      <c r="RDD128"/>
      <c r="RDE128"/>
      <c r="RDF128"/>
      <c r="RDG128"/>
      <c r="RDH128"/>
      <c r="RDI128"/>
      <c r="RDJ128"/>
      <c r="RDK128"/>
      <c r="RDL128"/>
      <c r="RDM128"/>
      <c r="RDN128"/>
      <c r="RDO128"/>
      <c r="RDP128"/>
      <c r="RDQ128"/>
      <c r="RDR128"/>
      <c r="RDS128"/>
      <c r="RDT128"/>
      <c r="RDU128"/>
      <c r="RDV128"/>
      <c r="RDW128"/>
      <c r="RDX128"/>
      <c r="RDY128"/>
      <c r="RDZ128"/>
      <c r="REA128"/>
      <c r="REB128"/>
      <c r="REC128"/>
      <c r="RED128"/>
      <c r="REE128"/>
      <c r="REF128"/>
      <c r="REG128"/>
      <c r="REH128"/>
      <c r="REI128"/>
      <c r="REJ128"/>
      <c r="REK128"/>
      <c r="REL128"/>
      <c r="REM128"/>
      <c r="REN128"/>
      <c r="REO128"/>
      <c r="REP128"/>
      <c r="REQ128"/>
      <c r="RER128"/>
      <c r="RES128"/>
      <c r="RET128"/>
      <c r="REU128"/>
      <c r="REV128"/>
      <c r="REW128"/>
      <c r="REX128"/>
      <c r="REY128"/>
      <c r="REZ128"/>
      <c r="RFA128"/>
      <c r="RFB128"/>
      <c r="RFC128"/>
      <c r="RFD128"/>
      <c r="RFE128"/>
      <c r="RFF128"/>
      <c r="RFG128"/>
      <c r="RFH128"/>
      <c r="RFI128"/>
      <c r="RFJ128"/>
      <c r="RFK128"/>
      <c r="RFL128"/>
      <c r="RFM128"/>
      <c r="RFN128"/>
      <c r="RFO128"/>
      <c r="RFP128"/>
      <c r="RFQ128"/>
      <c r="RFR128"/>
      <c r="RFS128"/>
      <c r="RFT128"/>
      <c r="RFU128"/>
      <c r="RFV128"/>
      <c r="RFW128"/>
      <c r="RFX128"/>
      <c r="RFY128"/>
      <c r="RFZ128"/>
      <c r="RGA128"/>
      <c r="RGB128"/>
      <c r="RGC128"/>
      <c r="RGD128"/>
      <c r="RGE128"/>
      <c r="RGF128"/>
      <c r="RGG128"/>
      <c r="RGH128"/>
      <c r="RGI128"/>
      <c r="RGJ128"/>
      <c r="RGK128"/>
      <c r="RGL128"/>
      <c r="RGM128"/>
      <c r="RGN128"/>
      <c r="RGO128"/>
      <c r="RGP128"/>
      <c r="RGQ128"/>
      <c r="RGR128"/>
      <c r="RGS128"/>
      <c r="RGT128"/>
      <c r="RGU128"/>
      <c r="RGV128"/>
      <c r="RGW128"/>
      <c r="RGX128"/>
      <c r="RGY128"/>
      <c r="RGZ128"/>
      <c r="RHA128"/>
      <c r="RHB128"/>
      <c r="RHC128"/>
      <c r="RHD128"/>
      <c r="RHE128"/>
      <c r="RHF128"/>
      <c r="RHG128"/>
      <c r="RHH128"/>
      <c r="RHI128"/>
      <c r="RHJ128"/>
      <c r="RHK128"/>
      <c r="RHL128"/>
      <c r="RHM128"/>
      <c r="RHN128"/>
      <c r="RHO128"/>
      <c r="RHP128"/>
      <c r="RHQ128"/>
      <c r="RHR128"/>
      <c r="RHS128"/>
      <c r="RHT128"/>
      <c r="RHU128"/>
      <c r="RHV128"/>
      <c r="RHW128"/>
      <c r="RHX128"/>
      <c r="RHY128"/>
      <c r="RHZ128"/>
      <c r="RIA128"/>
      <c r="RIB128"/>
      <c r="RIC128"/>
      <c r="RID128"/>
      <c r="RIE128"/>
      <c r="RIF128"/>
      <c r="RIG128"/>
      <c r="RIH128"/>
      <c r="RII128"/>
      <c r="RIJ128"/>
      <c r="RIK128"/>
      <c r="RIL128"/>
      <c r="RIM128"/>
      <c r="RIN128"/>
      <c r="RIO128"/>
      <c r="RIP128"/>
      <c r="RIQ128"/>
      <c r="RIR128"/>
      <c r="RIS128"/>
      <c r="RIT128"/>
      <c r="RIU128"/>
      <c r="RIV128"/>
      <c r="RIW128"/>
      <c r="RIX128"/>
      <c r="RIY128"/>
      <c r="RIZ128"/>
      <c r="RJA128"/>
      <c r="RJB128"/>
      <c r="RJC128"/>
      <c r="RJD128"/>
      <c r="RJE128"/>
      <c r="RJF128"/>
      <c r="RJG128"/>
      <c r="RJH128"/>
      <c r="RJI128"/>
      <c r="RJJ128"/>
      <c r="RJK128"/>
      <c r="RJL128"/>
      <c r="RJM128"/>
      <c r="RJN128"/>
      <c r="RJO128"/>
      <c r="RJP128"/>
      <c r="RJQ128"/>
      <c r="RJR128"/>
      <c r="RJS128"/>
      <c r="RJT128"/>
      <c r="RJU128"/>
      <c r="RJV128"/>
      <c r="RJW128"/>
      <c r="RJX128"/>
      <c r="RJY128"/>
      <c r="RJZ128"/>
      <c r="RKA128"/>
      <c r="RKB128"/>
      <c r="RKC128"/>
      <c r="RKD128"/>
      <c r="RKE128"/>
      <c r="RKF128"/>
      <c r="RKG128"/>
      <c r="RKH128"/>
      <c r="RKI128"/>
      <c r="RKJ128"/>
      <c r="RKK128"/>
      <c r="RKL128"/>
      <c r="RKM128"/>
      <c r="RKN128"/>
      <c r="RKO128"/>
      <c r="RKP128"/>
      <c r="RKQ128"/>
      <c r="RKR128"/>
      <c r="RKS128"/>
      <c r="RKT128"/>
      <c r="RKU128"/>
      <c r="RKV128"/>
      <c r="RKW128"/>
      <c r="RKX128"/>
      <c r="RKY128"/>
      <c r="RKZ128"/>
      <c r="RLA128"/>
      <c r="RLB128"/>
      <c r="RLC128"/>
      <c r="RLD128"/>
      <c r="RLE128"/>
      <c r="RLF128"/>
      <c r="RLG128"/>
      <c r="RLH128"/>
      <c r="RLI128"/>
      <c r="RLJ128"/>
      <c r="RLK128"/>
      <c r="RLL128"/>
      <c r="RLM128"/>
      <c r="RLN128"/>
      <c r="RLO128"/>
      <c r="RLP128"/>
      <c r="RLQ128"/>
      <c r="RLR128"/>
      <c r="RLS128"/>
      <c r="RLT128"/>
      <c r="RLU128"/>
      <c r="RLV128"/>
      <c r="RLW128"/>
      <c r="RLX128"/>
      <c r="RLY128"/>
      <c r="RLZ128"/>
      <c r="RMA128"/>
      <c r="RMB128"/>
      <c r="RMC128"/>
      <c r="RMD128"/>
      <c r="RME128"/>
      <c r="RMF128"/>
      <c r="RMG128"/>
      <c r="RMH128"/>
      <c r="RMI128"/>
      <c r="RMJ128"/>
      <c r="RMK128"/>
      <c r="RML128"/>
      <c r="RMM128"/>
      <c r="RMN128"/>
      <c r="RMO128"/>
      <c r="RMP128"/>
      <c r="RMQ128"/>
      <c r="RMR128"/>
      <c r="RMS128"/>
      <c r="RMT128"/>
      <c r="RMU128"/>
      <c r="RMV128"/>
      <c r="RMW128"/>
      <c r="RMX128"/>
      <c r="RMY128"/>
      <c r="RMZ128"/>
      <c r="RNA128"/>
      <c r="RNB128"/>
      <c r="RNC128"/>
      <c r="RND128"/>
      <c r="RNE128"/>
      <c r="RNF128"/>
      <c r="RNG128"/>
      <c r="RNH128"/>
      <c r="RNI128"/>
      <c r="RNJ128"/>
      <c r="RNK128"/>
      <c r="RNL128"/>
      <c r="RNM128"/>
      <c r="RNN128"/>
      <c r="RNO128"/>
      <c r="RNP128"/>
      <c r="RNQ128"/>
      <c r="RNR128"/>
      <c r="RNS128"/>
      <c r="RNT128"/>
      <c r="RNU128"/>
      <c r="RNV128"/>
      <c r="RNW128"/>
      <c r="RNX128"/>
      <c r="RNY128"/>
      <c r="RNZ128"/>
      <c r="ROA128"/>
      <c r="ROB128"/>
      <c r="ROC128"/>
      <c r="ROD128"/>
      <c r="ROE128"/>
      <c r="ROF128"/>
      <c r="ROG128"/>
      <c r="ROH128"/>
      <c r="ROI128"/>
      <c r="ROJ128"/>
      <c r="ROK128"/>
      <c r="ROL128"/>
      <c r="ROM128"/>
      <c r="RON128"/>
      <c r="ROO128"/>
      <c r="ROP128"/>
      <c r="ROQ128"/>
      <c r="ROR128"/>
      <c r="ROS128"/>
      <c r="ROT128"/>
      <c r="ROU128"/>
      <c r="ROV128"/>
      <c r="ROW128"/>
      <c r="ROX128"/>
      <c r="ROY128"/>
      <c r="ROZ128"/>
      <c r="RPA128"/>
      <c r="RPB128"/>
      <c r="RPC128"/>
      <c r="RPD128"/>
      <c r="RPE128"/>
      <c r="RPF128"/>
      <c r="RPG128"/>
      <c r="RPH128"/>
      <c r="RPI128"/>
      <c r="RPJ128"/>
      <c r="RPK128"/>
      <c r="RPL128"/>
      <c r="RPM128"/>
      <c r="RPN128"/>
      <c r="RPO128"/>
      <c r="RPP128"/>
      <c r="RPQ128"/>
      <c r="RPR128"/>
      <c r="RPS128"/>
      <c r="RPT128"/>
      <c r="RPU128"/>
      <c r="RPV128"/>
      <c r="RPW128"/>
      <c r="RPX128"/>
      <c r="RPY128"/>
      <c r="RPZ128"/>
      <c r="RQA128"/>
      <c r="RQB128"/>
      <c r="RQC128"/>
      <c r="RQD128"/>
      <c r="RQE128"/>
      <c r="RQF128"/>
      <c r="RQG128"/>
      <c r="RQH128"/>
      <c r="RQI128"/>
      <c r="RQJ128"/>
      <c r="RQK128"/>
      <c r="RQL128"/>
      <c r="RQM128"/>
      <c r="RQN128"/>
      <c r="RQO128"/>
      <c r="RQP128"/>
      <c r="RQQ128"/>
      <c r="RQR128"/>
      <c r="RQS128"/>
      <c r="RQT128"/>
      <c r="RQU128"/>
      <c r="RQV128"/>
      <c r="RQW128"/>
      <c r="RQX128"/>
      <c r="RQY128"/>
      <c r="RQZ128"/>
      <c r="RRA128"/>
      <c r="RRB128"/>
      <c r="RRC128"/>
      <c r="RRD128"/>
      <c r="RRE128"/>
      <c r="RRF128"/>
      <c r="RRG128"/>
      <c r="RRH128"/>
      <c r="RRI128"/>
      <c r="RRJ128"/>
      <c r="RRK128"/>
      <c r="RRL128"/>
      <c r="RRM128"/>
      <c r="RRN128"/>
      <c r="RRO128"/>
      <c r="RRP128"/>
      <c r="RRQ128"/>
      <c r="RRR128"/>
      <c r="RRS128"/>
      <c r="RRT128"/>
      <c r="RRU128"/>
      <c r="RRV128"/>
      <c r="RRW128"/>
      <c r="RRX128"/>
      <c r="RRY128"/>
      <c r="RRZ128"/>
      <c r="RSA128"/>
      <c r="RSB128"/>
      <c r="RSC128"/>
      <c r="RSD128"/>
      <c r="RSE128"/>
      <c r="RSF128"/>
      <c r="RSG128"/>
      <c r="RSH128"/>
      <c r="RSI128"/>
      <c r="RSJ128"/>
      <c r="RSK128"/>
      <c r="RSL128"/>
      <c r="RSM128"/>
      <c r="RSN128"/>
      <c r="RSO128"/>
      <c r="RSP128"/>
      <c r="RSQ128"/>
      <c r="RSR128"/>
      <c r="RSS128"/>
      <c r="RST128"/>
      <c r="RSU128"/>
      <c r="RSV128"/>
      <c r="RSW128"/>
      <c r="RSX128"/>
      <c r="RSY128"/>
      <c r="RSZ128"/>
      <c r="RTA128"/>
      <c r="RTB128"/>
      <c r="RTC128"/>
      <c r="RTD128"/>
      <c r="RTE128"/>
      <c r="RTF128"/>
      <c r="RTG128"/>
      <c r="RTH128"/>
      <c r="RTI128"/>
      <c r="RTJ128"/>
      <c r="RTK128"/>
      <c r="RTL128"/>
      <c r="RTM128"/>
      <c r="RTN128"/>
      <c r="RTO128"/>
      <c r="RTP128"/>
      <c r="RTQ128"/>
      <c r="RTR128"/>
      <c r="RTS128"/>
      <c r="RTT128"/>
      <c r="RTU128"/>
      <c r="RTV128"/>
      <c r="RTW128"/>
      <c r="RTX128"/>
      <c r="RTY128"/>
      <c r="RTZ128"/>
      <c r="RUA128"/>
      <c r="RUB128"/>
      <c r="RUC128"/>
      <c r="RUD128"/>
      <c r="RUE128"/>
      <c r="RUF128"/>
      <c r="RUG128"/>
      <c r="RUH128"/>
      <c r="RUI128"/>
      <c r="RUJ128"/>
      <c r="RUK128"/>
      <c r="RUL128"/>
      <c r="RUM128"/>
      <c r="RUN128"/>
      <c r="RUO128"/>
      <c r="RUP128"/>
      <c r="RUQ128"/>
      <c r="RUR128"/>
      <c r="RUS128"/>
      <c r="RUT128"/>
      <c r="RUU128"/>
      <c r="RUV128"/>
      <c r="RUW128"/>
      <c r="RUX128"/>
      <c r="RUY128"/>
      <c r="RUZ128"/>
      <c r="RVA128"/>
      <c r="RVB128"/>
      <c r="RVC128"/>
      <c r="RVD128"/>
      <c r="RVE128"/>
      <c r="RVF128"/>
      <c r="RVG128"/>
      <c r="RVH128"/>
      <c r="RVI128"/>
      <c r="RVJ128"/>
      <c r="RVK128"/>
      <c r="RVL128"/>
      <c r="RVM128"/>
      <c r="RVN128"/>
      <c r="RVO128"/>
      <c r="RVP128"/>
      <c r="RVQ128"/>
      <c r="RVR128"/>
      <c r="RVS128"/>
      <c r="RVT128"/>
      <c r="RVU128"/>
      <c r="RVV128"/>
      <c r="RVW128"/>
      <c r="RVX128"/>
      <c r="RVY128"/>
      <c r="RVZ128"/>
      <c r="RWA128"/>
      <c r="RWB128"/>
      <c r="RWC128"/>
      <c r="RWD128"/>
      <c r="RWE128"/>
      <c r="RWF128"/>
      <c r="RWG128"/>
      <c r="RWH128"/>
      <c r="RWI128"/>
      <c r="RWJ128"/>
      <c r="RWK128"/>
      <c r="RWL128"/>
      <c r="RWM128"/>
      <c r="RWN128"/>
      <c r="RWO128"/>
      <c r="RWP128"/>
      <c r="RWQ128"/>
      <c r="RWR128"/>
      <c r="RWS128"/>
      <c r="RWT128"/>
      <c r="RWU128"/>
      <c r="RWV128"/>
      <c r="RWW128"/>
      <c r="RWX128"/>
      <c r="RWY128"/>
      <c r="RWZ128"/>
      <c r="RXA128"/>
      <c r="RXB128"/>
      <c r="RXC128"/>
      <c r="RXD128"/>
      <c r="RXE128"/>
      <c r="RXF128"/>
      <c r="RXG128"/>
      <c r="RXH128"/>
      <c r="RXI128"/>
      <c r="RXJ128"/>
      <c r="RXK128"/>
      <c r="RXL128"/>
      <c r="RXM128"/>
      <c r="RXN128"/>
      <c r="RXO128"/>
      <c r="RXP128"/>
      <c r="RXQ128"/>
      <c r="RXR128"/>
      <c r="RXS128"/>
      <c r="RXT128"/>
      <c r="RXU128"/>
      <c r="RXV128"/>
      <c r="RXW128"/>
      <c r="RXX128"/>
      <c r="RXY128"/>
      <c r="RXZ128"/>
      <c r="RYA128"/>
      <c r="RYB128"/>
      <c r="RYC128"/>
      <c r="RYD128"/>
      <c r="RYE128"/>
      <c r="RYF128"/>
      <c r="RYG128"/>
      <c r="RYH128"/>
      <c r="RYI128"/>
      <c r="RYJ128"/>
      <c r="RYK128"/>
      <c r="RYL128"/>
      <c r="RYM128"/>
      <c r="RYN128"/>
      <c r="RYO128"/>
      <c r="RYP128"/>
      <c r="RYQ128"/>
      <c r="RYR128"/>
      <c r="RYS128"/>
      <c r="RYT128"/>
      <c r="RYU128"/>
      <c r="RYV128"/>
      <c r="RYW128"/>
      <c r="RYX128"/>
      <c r="RYY128"/>
      <c r="RYZ128"/>
      <c r="RZA128"/>
      <c r="RZB128"/>
      <c r="RZC128"/>
      <c r="RZD128"/>
      <c r="RZE128"/>
      <c r="RZF128"/>
      <c r="RZG128"/>
      <c r="RZH128"/>
      <c r="RZI128"/>
      <c r="RZJ128"/>
      <c r="RZK128"/>
      <c r="RZL128"/>
      <c r="RZM128"/>
      <c r="RZN128"/>
      <c r="RZO128"/>
      <c r="RZP128"/>
      <c r="RZQ128"/>
      <c r="RZR128"/>
      <c r="RZS128"/>
      <c r="RZT128"/>
      <c r="RZU128"/>
      <c r="RZV128"/>
      <c r="RZW128"/>
      <c r="RZX128"/>
      <c r="RZY128"/>
      <c r="RZZ128"/>
      <c r="SAA128"/>
      <c r="SAB128"/>
      <c r="SAC128"/>
      <c r="SAD128"/>
      <c r="SAE128"/>
      <c r="SAF128"/>
      <c r="SAG128"/>
      <c r="SAH128"/>
      <c r="SAI128"/>
      <c r="SAJ128"/>
      <c r="SAK128"/>
      <c r="SAL128"/>
      <c r="SAM128"/>
      <c r="SAN128"/>
      <c r="SAO128"/>
      <c r="SAP128"/>
      <c r="SAQ128"/>
      <c r="SAR128"/>
      <c r="SAS128"/>
      <c r="SAT128"/>
      <c r="SAU128"/>
      <c r="SAV128"/>
      <c r="SAW128"/>
      <c r="SAX128"/>
      <c r="SAY128"/>
      <c r="SAZ128"/>
      <c r="SBA128"/>
      <c r="SBB128"/>
      <c r="SBC128"/>
      <c r="SBD128"/>
      <c r="SBE128"/>
      <c r="SBF128"/>
      <c r="SBG128"/>
      <c r="SBH128"/>
      <c r="SBI128"/>
      <c r="SBJ128"/>
      <c r="SBK128"/>
      <c r="SBL128"/>
      <c r="SBM128"/>
      <c r="SBN128"/>
      <c r="SBO128"/>
      <c r="SBP128"/>
      <c r="SBQ128"/>
      <c r="SBR128"/>
      <c r="SBS128"/>
      <c r="SBT128"/>
      <c r="SBU128"/>
      <c r="SBV128"/>
      <c r="SBW128"/>
      <c r="SBX128"/>
      <c r="SBY128"/>
      <c r="SBZ128"/>
      <c r="SCA128"/>
      <c r="SCB128"/>
      <c r="SCC128"/>
      <c r="SCD128"/>
      <c r="SCE128"/>
      <c r="SCF128"/>
      <c r="SCG128"/>
      <c r="SCH128"/>
      <c r="SCI128"/>
      <c r="SCJ128"/>
      <c r="SCK128"/>
      <c r="SCL128"/>
      <c r="SCM128"/>
      <c r="SCN128"/>
      <c r="SCO128"/>
      <c r="SCP128"/>
      <c r="SCQ128"/>
      <c r="SCR128"/>
      <c r="SCS128"/>
      <c r="SCT128"/>
      <c r="SCU128"/>
      <c r="SCV128"/>
      <c r="SCW128"/>
      <c r="SCX128"/>
      <c r="SCY128"/>
      <c r="SCZ128"/>
      <c r="SDA128"/>
      <c r="SDB128"/>
      <c r="SDC128"/>
      <c r="SDD128"/>
      <c r="SDE128"/>
      <c r="SDF128"/>
      <c r="SDG128"/>
      <c r="SDH128"/>
      <c r="SDI128"/>
      <c r="SDJ128"/>
      <c r="SDK128"/>
      <c r="SDL128"/>
      <c r="SDM128"/>
      <c r="SDN128"/>
      <c r="SDO128"/>
      <c r="SDP128"/>
      <c r="SDQ128"/>
      <c r="SDR128"/>
      <c r="SDS128"/>
      <c r="SDT128"/>
      <c r="SDU128"/>
      <c r="SDV128"/>
      <c r="SDW128"/>
      <c r="SDX128"/>
      <c r="SDY128"/>
      <c r="SDZ128"/>
      <c r="SEA128"/>
      <c r="SEB128"/>
      <c r="SEC128"/>
      <c r="SED128"/>
      <c r="SEE128"/>
      <c r="SEF128"/>
      <c r="SEG128"/>
      <c r="SEH128"/>
      <c r="SEI128"/>
      <c r="SEJ128"/>
      <c r="SEK128"/>
      <c r="SEL128"/>
      <c r="SEM128"/>
      <c r="SEN128"/>
      <c r="SEO128"/>
      <c r="SEP128"/>
      <c r="SEQ128"/>
      <c r="SER128"/>
      <c r="SES128"/>
      <c r="SET128"/>
      <c r="SEU128"/>
      <c r="SEV128"/>
      <c r="SEW128"/>
      <c r="SEX128"/>
      <c r="SEY128"/>
      <c r="SEZ128"/>
      <c r="SFA128"/>
      <c r="SFB128"/>
      <c r="SFC128"/>
      <c r="SFD128"/>
      <c r="SFE128"/>
      <c r="SFF128"/>
      <c r="SFG128"/>
      <c r="SFH128"/>
      <c r="SFI128"/>
      <c r="SFJ128"/>
      <c r="SFK128"/>
      <c r="SFL128"/>
      <c r="SFM128"/>
      <c r="SFN128"/>
      <c r="SFO128"/>
      <c r="SFP128"/>
      <c r="SFQ128"/>
      <c r="SFR128"/>
      <c r="SFS128"/>
      <c r="SFT128"/>
      <c r="SFU128"/>
      <c r="SFV128"/>
      <c r="SFW128"/>
      <c r="SFX128"/>
      <c r="SFY128"/>
      <c r="SFZ128"/>
      <c r="SGA128"/>
      <c r="SGB128"/>
      <c r="SGC128"/>
      <c r="SGD128"/>
      <c r="SGE128"/>
      <c r="SGF128"/>
      <c r="SGG128"/>
      <c r="SGH128"/>
      <c r="SGI128"/>
      <c r="SGJ128"/>
      <c r="SGK128"/>
      <c r="SGL128"/>
      <c r="SGM128"/>
      <c r="SGN128"/>
      <c r="SGO128"/>
      <c r="SGP128"/>
      <c r="SGQ128"/>
      <c r="SGR128"/>
      <c r="SGS128"/>
      <c r="SGT128"/>
      <c r="SGU128"/>
      <c r="SGV128"/>
      <c r="SGW128"/>
      <c r="SGX128"/>
      <c r="SGY128"/>
      <c r="SGZ128"/>
      <c r="SHA128"/>
      <c r="SHB128"/>
      <c r="SHC128"/>
      <c r="SHD128"/>
      <c r="SHE128"/>
      <c r="SHF128"/>
      <c r="SHG128"/>
      <c r="SHH128"/>
      <c r="SHI128"/>
      <c r="SHJ128"/>
      <c r="SHK128"/>
      <c r="SHL128"/>
      <c r="SHM128"/>
      <c r="SHN128"/>
      <c r="SHO128"/>
      <c r="SHP128"/>
      <c r="SHQ128"/>
      <c r="SHR128"/>
      <c r="SHS128"/>
      <c r="SHT128"/>
      <c r="SHU128"/>
      <c r="SHV128"/>
      <c r="SHW128"/>
      <c r="SHX128"/>
      <c r="SHY128"/>
      <c r="SHZ128"/>
      <c r="SIA128"/>
      <c r="SIB128"/>
      <c r="SIC128"/>
      <c r="SID128"/>
      <c r="SIE128"/>
      <c r="SIF128"/>
      <c r="SIG128"/>
      <c r="SIH128"/>
      <c r="SII128"/>
      <c r="SIJ128"/>
      <c r="SIK128"/>
      <c r="SIL128"/>
      <c r="SIM128"/>
      <c r="SIN128"/>
      <c r="SIO128"/>
      <c r="SIP128"/>
      <c r="SIQ128"/>
      <c r="SIR128"/>
      <c r="SIS128"/>
      <c r="SIT128"/>
      <c r="SIU128"/>
      <c r="SIV128"/>
      <c r="SIW128"/>
      <c r="SIX128"/>
      <c r="SIY128"/>
      <c r="SIZ128"/>
      <c r="SJA128"/>
      <c r="SJB128"/>
      <c r="SJC128"/>
      <c r="SJD128"/>
      <c r="SJE128"/>
      <c r="SJF128"/>
      <c r="SJG128"/>
      <c r="SJH128"/>
      <c r="SJI128"/>
      <c r="SJJ128"/>
      <c r="SJK128"/>
      <c r="SJL128"/>
      <c r="SJM128"/>
      <c r="SJN128"/>
      <c r="SJO128"/>
      <c r="SJP128"/>
      <c r="SJQ128"/>
      <c r="SJR128"/>
      <c r="SJS128"/>
      <c r="SJT128"/>
      <c r="SJU128"/>
      <c r="SJV128"/>
      <c r="SJW128"/>
      <c r="SJX128"/>
      <c r="SJY128"/>
      <c r="SJZ128"/>
      <c r="SKA128"/>
      <c r="SKB128"/>
      <c r="SKC128"/>
      <c r="SKD128"/>
      <c r="SKE128"/>
      <c r="SKF128"/>
      <c r="SKG128"/>
      <c r="SKH128"/>
      <c r="SKI128"/>
      <c r="SKJ128"/>
      <c r="SKK128"/>
      <c r="SKL128"/>
      <c r="SKM128"/>
      <c r="SKN128"/>
      <c r="SKO128"/>
      <c r="SKP128"/>
      <c r="SKQ128"/>
      <c r="SKR128"/>
      <c r="SKS128"/>
      <c r="SKT128"/>
      <c r="SKU128"/>
      <c r="SKV128"/>
      <c r="SKW128"/>
      <c r="SKX128"/>
      <c r="SKY128"/>
      <c r="SKZ128"/>
      <c r="SLA128"/>
      <c r="SLB128"/>
      <c r="SLC128"/>
      <c r="SLD128"/>
      <c r="SLE128"/>
      <c r="SLF128"/>
      <c r="SLG128"/>
      <c r="SLH128"/>
      <c r="SLI128"/>
      <c r="SLJ128"/>
      <c r="SLK128"/>
      <c r="SLL128"/>
      <c r="SLM128"/>
      <c r="SLN128"/>
      <c r="SLO128"/>
      <c r="SLP128"/>
      <c r="SLQ128"/>
      <c r="SLR128"/>
      <c r="SLS128"/>
      <c r="SLT128"/>
      <c r="SLU128"/>
      <c r="SLV128"/>
      <c r="SLW128"/>
      <c r="SLX128"/>
      <c r="SLY128"/>
      <c r="SLZ128"/>
      <c r="SMA128"/>
      <c r="SMB128"/>
      <c r="SMC128"/>
      <c r="SMD128"/>
      <c r="SME128"/>
      <c r="SMF128"/>
      <c r="SMG128"/>
      <c r="SMH128"/>
      <c r="SMI128"/>
      <c r="SMJ128"/>
      <c r="SMK128"/>
      <c r="SML128"/>
      <c r="SMM128"/>
      <c r="SMN128"/>
      <c r="SMO128"/>
      <c r="SMP128"/>
      <c r="SMQ128"/>
      <c r="SMR128"/>
      <c r="SMS128"/>
      <c r="SMT128"/>
      <c r="SMU128"/>
      <c r="SMV128"/>
      <c r="SMW128"/>
      <c r="SMX128"/>
      <c r="SMY128"/>
      <c r="SMZ128"/>
      <c r="SNA128"/>
      <c r="SNB128"/>
      <c r="SNC128"/>
      <c r="SND128"/>
      <c r="SNE128"/>
      <c r="SNF128"/>
      <c r="SNG128"/>
      <c r="SNH128"/>
      <c r="SNI128"/>
      <c r="SNJ128"/>
      <c r="SNK128"/>
      <c r="SNL128"/>
      <c r="SNM128"/>
      <c r="SNN128"/>
      <c r="SNO128"/>
      <c r="SNP128"/>
      <c r="SNQ128"/>
      <c r="SNR128"/>
      <c r="SNS128"/>
      <c r="SNT128"/>
      <c r="SNU128"/>
      <c r="SNV128"/>
      <c r="SNW128"/>
      <c r="SNX128"/>
      <c r="SNY128"/>
      <c r="SNZ128"/>
      <c r="SOA128"/>
      <c r="SOB128"/>
      <c r="SOC128"/>
      <c r="SOD128"/>
      <c r="SOE128"/>
      <c r="SOF128"/>
      <c r="SOG128"/>
      <c r="SOH128"/>
      <c r="SOI128"/>
      <c r="SOJ128"/>
      <c r="SOK128"/>
      <c r="SOL128"/>
      <c r="SOM128"/>
      <c r="SON128"/>
      <c r="SOO128"/>
      <c r="SOP128"/>
      <c r="SOQ128"/>
      <c r="SOR128"/>
      <c r="SOS128"/>
      <c r="SOT128"/>
      <c r="SOU128"/>
      <c r="SOV128"/>
      <c r="SOW128"/>
      <c r="SOX128"/>
      <c r="SOY128"/>
      <c r="SOZ128"/>
      <c r="SPA128"/>
      <c r="SPB128"/>
      <c r="SPC128"/>
      <c r="SPD128"/>
      <c r="SPE128"/>
      <c r="SPF128"/>
      <c r="SPG128"/>
      <c r="SPH128"/>
      <c r="SPI128"/>
      <c r="SPJ128"/>
      <c r="SPK128"/>
      <c r="SPL128"/>
      <c r="SPM128"/>
      <c r="SPN128"/>
      <c r="SPO128"/>
      <c r="SPP128"/>
      <c r="SPQ128"/>
      <c r="SPR128"/>
      <c r="SPS128"/>
      <c r="SPT128"/>
      <c r="SPU128"/>
      <c r="SPV128"/>
      <c r="SPW128"/>
      <c r="SPX128"/>
      <c r="SPY128"/>
      <c r="SPZ128"/>
      <c r="SQA128"/>
      <c r="SQB128"/>
      <c r="SQC128"/>
      <c r="SQD128"/>
      <c r="SQE128"/>
      <c r="SQF128"/>
      <c r="SQG128"/>
      <c r="SQH128"/>
      <c r="SQI128"/>
      <c r="SQJ128"/>
      <c r="SQK128"/>
      <c r="SQL128"/>
      <c r="SQM128"/>
      <c r="SQN128"/>
      <c r="SQO128"/>
      <c r="SQP128"/>
      <c r="SQQ128"/>
      <c r="SQR128"/>
      <c r="SQS128"/>
      <c r="SQT128"/>
      <c r="SQU128"/>
      <c r="SQV128"/>
      <c r="SQW128"/>
      <c r="SQX128"/>
      <c r="SQY128"/>
      <c r="SQZ128"/>
      <c r="SRA128"/>
      <c r="SRB128"/>
      <c r="SRC128"/>
      <c r="SRD128"/>
      <c r="SRE128"/>
      <c r="SRF128"/>
      <c r="SRG128"/>
      <c r="SRH128"/>
      <c r="SRI128"/>
      <c r="SRJ128"/>
      <c r="SRK128"/>
      <c r="SRL128"/>
      <c r="SRM128"/>
      <c r="SRN128"/>
      <c r="SRO128"/>
      <c r="SRP128"/>
      <c r="SRQ128"/>
      <c r="SRR128"/>
      <c r="SRS128"/>
      <c r="SRT128"/>
      <c r="SRU128"/>
      <c r="SRV128"/>
      <c r="SRW128"/>
      <c r="SRX128"/>
      <c r="SRY128"/>
      <c r="SRZ128"/>
      <c r="SSA128"/>
      <c r="SSB128"/>
      <c r="SSC128"/>
      <c r="SSD128"/>
      <c r="SSE128"/>
      <c r="SSF128"/>
      <c r="SSG128"/>
      <c r="SSH128"/>
      <c r="SSI128"/>
      <c r="SSJ128"/>
      <c r="SSK128"/>
      <c r="SSL128"/>
      <c r="SSM128"/>
      <c r="SSN128"/>
      <c r="SSO128"/>
      <c r="SSP128"/>
      <c r="SSQ128"/>
      <c r="SSR128"/>
      <c r="SSS128"/>
      <c r="SST128"/>
      <c r="SSU128"/>
      <c r="SSV128"/>
      <c r="SSW128"/>
      <c r="SSX128"/>
      <c r="SSY128"/>
      <c r="SSZ128"/>
      <c r="STA128"/>
      <c r="STB128"/>
      <c r="STC128"/>
      <c r="STD128"/>
      <c r="STE128"/>
      <c r="STF128"/>
      <c r="STG128"/>
      <c r="STH128"/>
      <c r="STI128"/>
      <c r="STJ128"/>
      <c r="STK128"/>
      <c r="STL128"/>
      <c r="STM128"/>
      <c r="STN128"/>
      <c r="STO128"/>
      <c r="STP128"/>
      <c r="STQ128"/>
      <c r="STR128"/>
      <c r="STS128"/>
      <c r="STT128"/>
      <c r="STU128"/>
      <c r="STV128"/>
      <c r="STW128"/>
      <c r="STX128"/>
      <c r="STY128"/>
      <c r="STZ128"/>
      <c r="SUA128"/>
      <c r="SUB128"/>
      <c r="SUC128"/>
      <c r="SUD128"/>
      <c r="SUE128"/>
      <c r="SUF128"/>
      <c r="SUG128"/>
      <c r="SUH128"/>
      <c r="SUI128"/>
      <c r="SUJ128"/>
      <c r="SUK128"/>
      <c r="SUL128"/>
      <c r="SUM128"/>
      <c r="SUN128"/>
      <c r="SUO128"/>
      <c r="SUP128"/>
      <c r="SUQ128"/>
      <c r="SUR128"/>
      <c r="SUS128"/>
      <c r="SUT128"/>
      <c r="SUU128"/>
      <c r="SUV128"/>
      <c r="SUW128"/>
      <c r="SUX128"/>
      <c r="SUY128"/>
      <c r="SUZ128"/>
      <c r="SVA128"/>
      <c r="SVB128"/>
      <c r="SVC128"/>
      <c r="SVD128"/>
      <c r="SVE128"/>
      <c r="SVF128"/>
      <c r="SVG128"/>
      <c r="SVH128"/>
      <c r="SVI128"/>
      <c r="SVJ128"/>
      <c r="SVK128"/>
      <c r="SVL128"/>
      <c r="SVM128"/>
      <c r="SVN128"/>
      <c r="SVO128"/>
      <c r="SVP128"/>
      <c r="SVQ128"/>
      <c r="SVR128"/>
      <c r="SVS128"/>
      <c r="SVT128"/>
      <c r="SVU128"/>
      <c r="SVV128"/>
      <c r="SVW128"/>
      <c r="SVX128"/>
      <c r="SVY128"/>
      <c r="SVZ128"/>
      <c r="SWA128"/>
      <c r="SWB128"/>
      <c r="SWC128"/>
      <c r="SWD128"/>
      <c r="SWE128"/>
      <c r="SWF128"/>
      <c r="SWG128"/>
      <c r="SWH128"/>
      <c r="SWI128"/>
      <c r="SWJ128"/>
      <c r="SWK128"/>
      <c r="SWL128"/>
      <c r="SWM128"/>
      <c r="SWN128"/>
      <c r="SWO128"/>
      <c r="SWP128"/>
      <c r="SWQ128"/>
      <c r="SWR128"/>
      <c r="SWS128"/>
      <c r="SWT128"/>
      <c r="SWU128"/>
      <c r="SWV128"/>
      <c r="SWW128"/>
      <c r="SWX128"/>
      <c r="SWY128"/>
      <c r="SWZ128"/>
      <c r="SXA128"/>
      <c r="SXB128"/>
      <c r="SXC128"/>
      <c r="SXD128"/>
      <c r="SXE128"/>
      <c r="SXF128"/>
      <c r="SXG128"/>
      <c r="SXH128"/>
      <c r="SXI128"/>
      <c r="SXJ128"/>
      <c r="SXK128"/>
      <c r="SXL128"/>
      <c r="SXM128"/>
      <c r="SXN128"/>
      <c r="SXO128"/>
      <c r="SXP128"/>
      <c r="SXQ128"/>
      <c r="SXR128"/>
      <c r="SXS128"/>
      <c r="SXT128"/>
      <c r="SXU128"/>
      <c r="SXV128"/>
      <c r="SXW128"/>
      <c r="SXX128"/>
      <c r="SXY128"/>
      <c r="SXZ128"/>
      <c r="SYA128"/>
      <c r="SYB128"/>
      <c r="SYC128"/>
      <c r="SYD128"/>
      <c r="SYE128"/>
      <c r="SYF128"/>
      <c r="SYG128"/>
      <c r="SYH128"/>
      <c r="SYI128"/>
      <c r="SYJ128"/>
      <c r="SYK128"/>
      <c r="SYL128"/>
      <c r="SYM128"/>
      <c r="SYN128"/>
      <c r="SYO128"/>
      <c r="SYP128"/>
      <c r="SYQ128"/>
      <c r="SYR128"/>
      <c r="SYS128"/>
      <c r="SYT128"/>
      <c r="SYU128"/>
      <c r="SYV128"/>
      <c r="SYW128"/>
      <c r="SYX128"/>
      <c r="SYY128"/>
      <c r="SYZ128"/>
      <c r="SZA128"/>
      <c r="SZB128"/>
      <c r="SZC128"/>
      <c r="SZD128"/>
      <c r="SZE128"/>
      <c r="SZF128"/>
      <c r="SZG128"/>
      <c r="SZH128"/>
      <c r="SZI128"/>
      <c r="SZJ128"/>
      <c r="SZK128"/>
      <c r="SZL128"/>
      <c r="SZM128"/>
      <c r="SZN128"/>
      <c r="SZO128"/>
      <c r="SZP128"/>
      <c r="SZQ128"/>
      <c r="SZR128"/>
      <c r="SZS128"/>
      <c r="SZT128"/>
      <c r="SZU128"/>
      <c r="SZV128"/>
      <c r="SZW128"/>
      <c r="SZX128"/>
      <c r="SZY128"/>
      <c r="SZZ128"/>
      <c r="TAA128"/>
      <c r="TAB128"/>
      <c r="TAC128"/>
      <c r="TAD128"/>
      <c r="TAE128"/>
      <c r="TAF128"/>
      <c r="TAG128"/>
      <c r="TAH128"/>
      <c r="TAI128"/>
      <c r="TAJ128"/>
      <c r="TAK128"/>
      <c r="TAL128"/>
      <c r="TAM128"/>
      <c r="TAN128"/>
      <c r="TAO128"/>
      <c r="TAP128"/>
      <c r="TAQ128"/>
      <c r="TAR128"/>
      <c r="TAS128"/>
      <c r="TAT128"/>
      <c r="TAU128"/>
      <c r="TAV128"/>
      <c r="TAW128"/>
      <c r="TAX128"/>
      <c r="TAY128"/>
      <c r="TAZ128"/>
      <c r="TBA128"/>
      <c r="TBB128"/>
      <c r="TBC128"/>
      <c r="TBD128"/>
      <c r="TBE128"/>
      <c r="TBF128"/>
      <c r="TBG128"/>
      <c r="TBH128"/>
      <c r="TBI128"/>
      <c r="TBJ128"/>
      <c r="TBK128"/>
      <c r="TBL128"/>
      <c r="TBM128"/>
      <c r="TBN128"/>
      <c r="TBO128"/>
      <c r="TBP128"/>
      <c r="TBQ128"/>
      <c r="TBR128"/>
      <c r="TBS128"/>
      <c r="TBT128"/>
      <c r="TBU128"/>
      <c r="TBV128"/>
      <c r="TBW128"/>
      <c r="TBX128"/>
      <c r="TBY128"/>
      <c r="TBZ128"/>
      <c r="TCA128"/>
      <c r="TCB128"/>
      <c r="TCC128"/>
      <c r="TCD128"/>
      <c r="TCE128"/>
      <c r="TCF128"/>
      <c r="TCG128"/>
      <c r="TCH128"/>
      <c r="TCI128"/>
      <c r="TCJ128"/>
      <c r="TCK128"/>
      <c r="TCL128"/>
      <c r="TCM128"/>
      <c r="TCN128"/>
      <c r="TCO128"/>
      <c r="TCP128"/>
      <c r="TCQ128"/>
      <c r="TCR128"/>
      <c r="TCS128"/>
      <c r="TCT128"/>
      <c r="TCU128"/>
      <c r="TCV128"/>
      <c r="TCW128"/>
      <c r="TCX128"/>
      <c r="TCY128"/>
      <c r="TCZ128"/>
      <c r="TDA128"/>
      <c r="TDB128"/>
      <c r="TDC128"/>
      <c r="TDD128"/>
      <c r="TDE128"/>
      <c r="TDF128"/>
      <c r="TDG128"/>
      <c r="TDH128"/>
      <c r="TDI128"/>
      <c r="TDJ128"/>
      <c r="TDK128"/>
      <c r="TDL128"/>
      <c r="TDM128"/>
      <c r="TDN128"/>
      <c r="TDO128"/>
      <c r="TDP128"/>
      <c r="TDQ128"/>
      <c r="TDR128"/>
      <c r="TDS128"/>
      <c r="TDT128"/>
      <c r="TDU128"/>
      <c r="TDV128"/>
      <c r="TDW128"/>
      <c r="TDX128"/>
      <c r="TDY128"/>
      <c r="TDZ128"/>
      <c r="TEA128"/>
      <c r="TEB128"/>
      <c r="TEC128"/>
      <c r="TED128"/>
      <c r="TEE128"/>
      <c r="TEF128"/>
      <c r="TEG128"/>
      <c r="TEH128"/>
      <c r="TEI128"/>
      <c r="TEJ128"/>
      <c r="TEK128"/>
      <c r="TEL128"/>
      <c r="TEM128"/>
      <c r="TEN128"/>
      <c r="TEO128"/>
      <c r="TEP128"/>
      <c r="TEQ128"/>
      <c r="TER128"/>
      <c r="TES128"/>
      <c r="TET128"/>
      <c r="TEU128"/>
      <c r="TEV128"/>
      <c r="TEW128"/>
      <c r="TEX128"/>
      <c r="TEY128"/>
      <c r="TEZ128"/>
      <c r="TFA128"/>
      <c r="TFB128"/>
      <c r="TFC128"/>
      <c r="TFD128"/>
      <c r="TFE128"/>
      <c r="TFF128"/>
      <c r="TFG128"/>
      <c r="TFH128"/>
      <c r="TFI128"/>
      <c r="TFJ128"/>
      <c r="TFK128"/>
      <c r="TFL128"/>
      <c r="TFM128"/>
      <c r="TFN128"/>
      <c r="TFO128"/>
      <c r="TFP128"/>
      <c r="TFQ128"/>
      <c r="TFR128"/>
      <c r="TFS128"/>
      <c r="TFT128"/>
      <c r="TFU128"/>
      <c r="TFV128"/>
      <c r="TFW128"/>
      <c r="TFX128"/>
      <c r="TFY128"/>
      <c r="TFZ128"/>
      <c r="TGA128"/>
      <c r="TGB128"/>
      <c r="TGC128"/>
      <c r="TGD128"/>
      <c r="TGE128"/>
      <c r="TGF128"/>
      <c r="TGG128"/>
      <c r="TGH128"/>
      <c r="TGI128"/>
      <c r="TGJ128"/>
      <c r="TGK128"/>
      <c r="TGL128"/>
      <c r="TGM128"/>
      <c r="TGN128"/>
      <c r="TGO128"/>
      <c r="TGP128"/>
      <c r="TGQ128"/>
      <c r="TGR128"/>
      <c r="TGS128"/>
      <c r="TGT128"/>
      <c r="TGU128"/>
      <c r="TGV128"/>
      <c r="TGW128"/>
      <c r="TGX128"/>
      <c r="TGY128"/>
      <c r="TGZ128"/>
      <c r="THA128"/>
      <c r="THB128"/>
      <c r="THC128"/>
      <c r="THD128"/>
      <c r="THE128"/>
      <c r="THF128"/>
      <c r="THG128"/>
      <c r="THH128"/>
      <c r="THI128"/>
      <c r="THJ128"/>
      <c r="THK128"/>
      <c r="THL128"/>
      <c r="THM128"/>
      <c r="THN128"/>
      <c r="THO128"/>
      <c r="THP128"/>
      <c r="THQ128"/>
      <c r="THR128"/>
      <c r="THS128"/>
      <c r="THT128"/>
      <c r="THU128"/>
      <c r="THV128"/>
      <c r="THW128"/>
      <c r="THX128"/>
      <c r="THY128"/>
      <c r="THZ128"/>
      <c r="TIA128"/>
      <c r="TIB128"/>
      <c r="TIC128"/>
      <c r="TID128"/>
      <c r="TIE128"/>
      <c r="TIF128"/>
      <c r="TIG128"/>
      <c r="TIH128"/>
      <c r="TII128"/>
      <c r="TIJ128"/>
      <c r="TIK128"/>
      <c r="TIL128"/>
      <c r="TIM128"/>
      <c r="TIN128"/>
      <c r="TIO128"/>
      <c r="TIP128"/>
      <c r="TIQ128"/>
      <c r="TIR128"/>
      <c r="TIS128"/>
      <c r="TIT128"/>
      <c r="TIU128"/>
      <c r="TIV128"/>
      <c r="TIW128"/>
      <c r="TIX128"/>
      <c r="TIY128"/>
      <c r="TIZ128"/>
      <c r="TJA128"/>
      <c r="TJB128"/>
      <c r="TJC128"/>
      <c r="TJD128"/>
      <c r="TJE128"/>
      <c r="TJF128"/>
      <c r="TJG128"/>
      <c r="TJH128"/>
      <c r="TJI128"/>
      <c r="TJJ128"/>
      <c r="TJK128"/>
      <c r="TJL128"/>
      <c r="TJM128"/>
      <c r="TJN128"/>
      <c r="TJO128"/>
      <c r="TJP128"/>
      <c r="TJQ128"/>
      <c r="TJR128"/>
      <c r="TJS128"/>
      <c r="TJT128"/>
      <c r="TJU128"/>
      <c r="TJV128"/>
      <c r="TJW128"/>
      <c r="TJX128"/>
      <c r="TJY128"/>
      <c r="TJZ128"/>
      <c r="TKA128"/>
      <c r="TKB128"/>
      <c r="TKC128"/>
      <c r="TKD128"/>
      <c r="TKE128"/>
      <c r="TKF128"/>
      <c r="TKG128"/>
      <c r="TKH128"/>
      <c r="TKI128"/>
      <c r="TKJ128"/>
      <c r="TKK128"/>
      <c r="TKL128"/>
      <c r="TKM128"/>
      <c r="TKN128"/>
      <c r="TKO128"/>
      <c r="TKP128"/>
      <c r="TKQ128"/>
      <c r="TKR128"/>
      <c r="TKS128"/>
      <c r="TKT128"/>
      <c r="TKU128"/>
      <c r="TKV128"/>
      <c r="TKW128"/>
      <c r="TKX128"/>
      <c r="TKY128"/>
      <c r="TKZ128"/>
      <c r="TLA128"/>
      <c r="TLB128"/>
      <c r="TLC128"/>
      <c r="TLD128"/>
      <c r="TLE128"/>
      <c r="TLF128"/>
      <c r="TLG128"/>
      <c r="TLH128"/>
      <c r="TLI128"/>
      <c r="TLJ128"/>
      <c r="TLK128"/>
      <c r="TLL128"/>
      <c r="TLM128"/>
      <c r="TLN128"/>
      <c r="TLO128"/>
      <c r="TLP128"/>
      <c r="TLQ128"/>
      <c r="TLR128"/>
      <c r="TLS128"/>
      <c r="TLT128"/>
      <c r="TLU128"/>
      <c r="TLV128"/>
      <c r="TLW128"/>
      <c r="TLX128"/>
      <c r="TLY128"/>
      <c r="TLZ128"/>
      <c r="TMA128"/>
      <c r="TMB128"/>
      <c r="TMC128"/>
      <c r="TMD128"/>
      <c r="TME128"/>
      <c r="TMF128"/>
      <c r="TMG128"/>
      <c r="TMH128"/>
      <c r="TMI128"/>
      <c r="TMJ128"/>
      <c r="TMK128"/>
      <c r="TML128"/>
      <c r="TMM128"/>
      <c r="TMN128"/>
      <c r="TMO128"/>
      <c r="TMP128"/>
      <c r="TMQ128"/>
      <c r="TMR128"/>
      <c r="TMS128"/>
      <c r="TMT128"/>
      <c r="TMU128"/>
      <c r="TMV128"/>
      <c r="TMW128"/>
      <c r="TMX128"/>
      <c r="TMY128"/>
      <c r="TMZ128"/>
      <c r="TNA128"/>
      <c r="TNB128"/>
      <c r="TNC128"/>
      <c r="TND128"/>
      <c r="TNE128"/>
      <c r="TNF128"/>
      <c r="TNG128"/>
      <c r="TNH128"/>
      <c r="TNI128"/>
      <c r="TNJ128"/>
      <c r="TNK128"/>
      <c r="TNL128"/>
      <c r="TNM128"/>
      <c r="TNN128"/>
      <c r="TNO128"/>
      <c r="TNP128"/>
      <c r="TNQ128"/>
      <c r="TNR128"/>
      <c r="TNS128"/>
      <c r="TNT128"/>
      <c r="TNU128"/>
      <c r="TNV128"/>
      <c r="TNW128"/>
      <c r="TNX128"/>
      <c r="TNY128"/>
      <c r="TNZ128"/>
      <c r="TOA128"/>
      <c r="TOB128"/>
      <c r="TOC128"/>
      <c r="TOD128"/>
      <c r="TOE128"/>
      <c r="TOF128"/>
      <c r="TOG128"/>
      <c r="TOH128"/>
      <c r="TOI128"/>
      <c r="TOJ128"/>
      <c r="TOK128"/>
      <c r="TOL128"/>
      <c r="TOM128"/>
      <c r="TON128"/>
      <c r="TOO128"/>
      <c r="TOP128"/>
      <c r="TOQ128"/>
      <c r="TOR128"/>
      <c r="TOS128"/>
      <c r="TOT128"/>
      <c r="TOU128"/>
      <c r="TOV128"/>
      <c r="TOW128"/>
      <c r="TOX128"/>
      <c r="TOY128"/>
      <c r="TOZ128"/>
      <c r="TPA128"/>
      <c r="TPB128"/>
      <c r="TPC128"/>
      <c r="TPD128"/>
      <c r="TPE128"/>
      <c r="TPF128"/>
      <c r="TPG128"/>
      <c r="TPH128"/>
      <c r="TPI128"/>
      <c r="TPJ128"/>
      <c r="TPK128"/>
      <c r="TPL128"/>
      <c r="TPM128"/>
      <c r="TPN128"/>
      <c r="TPO128"/>
      <c r="TPP128"/>
      <c r="TPQ128"/>
      <c r="TPR128"/>
      <c r="TPS128"/>
      <c r="TPT128"/>
      <c r="TPU128"/>
      <c r="TPV128"/>
      <c r="TPW128"/>
      <c r="TPX128"/>
      <c r="TPY128"/>
      <c r="TPZ128"/>
      <c r="TQA128"/>
      <c r="TQB128"/>
      <c r="TQC128"/>
      <c r="TQD128"/>
      <c r="TQE128"/>
      <c r="TQF128"/>
      <c r="TQG128"/>
      <c r="TQH128"/>
      <c r="TQI128"/>
      <c r="TQJ128"/>
      <c r="TQK128"/>
      <c r="TQL128"/>
      <c r="TQM128"/>
      <c r="TQN128"/>
      <c r="TQO128"/>
      <c r="TQP128"/>
      <c r="TQQ128"/>
      <c r="TQR128"/>
      <c r="TQS128"/>
      <c r="TQT128"/>
      <c r="TQU128"/>
      <c r="TQV128"/>
      <c r="TQW128"/>
      <c r="TQX128"/>
      <c r="TQY128"/>
      <c r="TQZ128"/>
      <c r="TRA128"/>
      <c r="TRB128"/>
      <c r="TRC128"/>
      <c r="TRD128"/>
      <c r="TRE128"/>
      <c r="TRF128"/>
      <c r="TRG128"/>
      <c r="TRH128"/>
      <c r="TRI128"/>
      <c r="TRJ128"/>
      <c r="TRK128"/>
      <c r="TRL128"/>
      <c r="TRM128"/>
      <c r="TRN128"/>
      <c r="TRO128"/>
      <c r="TRP128"/>
      <c r="TRQ128"/>
      <c r="TRR128"/>
      <c r="TRS128"/>
      <c r="TRT128"/>
      <c r="TRU128"/>
      <c r="TRV128"/>
      <c r="TRW128"/>
      <c r="TRX128"/>
      <c r="TRY128"/>
      <c r="TRZ128"/>
      <c r="TSA128"/>
      <c r="TSB128"/>
      <c r="TSC128"/>
      <c r="TSD128"/>
      <c r="TSE128"/>
      <c r="TSF128"/>
      <c r="TSG128"/>
      <c r="TSH128"/>
      <c r="TSI128"/>
      <c r="TSJ128"/>
      <c r="TSK128"/>
      <c r="TSL128"/>
      <c r="TSM128"/>
      <c r="TSN128"/>
      <c r="TSO128"/>
      <c r="TSP128"/>
      <c r="TSQ128"/>
      <c r="TSR128"/>
      <c r="TSS128"/>
      <c r="TST128"/>
      <c r="TSU128"/>
      <c r="TSV128"/>
      <c r="TSW128"/>
      <c r="TSX128"/>
      <c r="TSY128"/>
      <c r="TSZ128"/>
      <c r="TTA128"/>
      <c r="TTB128"/>
      <c r="TTC128"/>
      <c r="TTD128"/>
      <c r="TTE128"/>
      <c r="TTF128"/>
      <c r="TTG128"/>
      <c r="TTH128"/>
      <c r="TTI128"/>
      <c r="TTJ128"/>
      <c r="TTK128"/>
      <c r="TTL128"/>
      <c r="TTM128"/>
      <c r="TTN128"/>
      <c r="TTO128"/>
      <c r="TTP128"/>
      <c r="TTQ128"/>
      <c r="TTR128"/>
      <c r="TTS128"/>
      <c r="TTT128"/>
      <c r="TTU128"/>
      <c r="TTV128"/>
      <c r="TTW128"/>
      <c r="TTX128"/>
      <c r="TTY128"/>
      <c r="TTZ128"/>
      <c r="TUA128"/>
      <c r="TUB128"/>
      <c r="TUC128"/>
      <c r="TUD128"/>
      <c r="TUE128"/>
      <c r="TUF128"/>
      <c r="TUG128"/>
      <c r="TUH128"/>
      <c r="TUI128"/>
      <c r="TUJ128"/>
      <c r="TUK128"/>
      <c r="TUL128"/>
      <c r="TUM128"/>
      <c r="TUN128"/>
      <c r="TUO128"/>
      <c r="TUP128"/>
      <c r="TUQ128"/>
      <c r="TUR128"/>
      <c r="TUS128"/>
      <c r="TUT128"/>
      <c r="TUU128"/>
      <c r="TUV128"/>
      <c r="TUW128"/>
      <c r="TUX128"/>
      <c r="TUY128"/>
      <c r="TUZ128"/>
      <c r="TVA128"/>
      <c r="TVB128"/>
      <c r="TVC128"/>
      <c r="TVD128"/>
      <c r="TVE128"/>
      <c r="TVF128"/>
      <c r="TVG128"/>
      <c r="TVH128"/>
      <c r="TVI128"/>
      <c r="TVJ128"/>
      <c r="TVK128"/>
      <c r="TVL128"/>
      <c r="TVM128"/>
      <c r="TVN128"/>
      <c r="TVO128"/>
      <c r="TVP128"/>
      <c r="TVQ128"/>
      <c r="TVR128"/>
      <c r="TVS128"/>
      <c r="TVT128"/>
      <c r="TVU128"/>
      <c r="TVV128"/>
      <c r="TVW128"/>
      <c r="TVX128"/>
      <c r="TVY128"/>
      <c r="TVZ128"/>
      <c r="TWA128"/>
      <c r="TWB128"/>
      <c r="TWC128"/>
      <c r="TWD128"/>
      <c r="TWE128"/>
      <c r="TWF128"/>
      <c r="TWG128"/>
      <c r="TWH128"/>
      <c r="TWI128"/>
      <c r="TWJ128"/>
      <c r="TWK128"/>
      <c r="TWL128"/>
      <c r="TWM128"/>
      <c r="TWN128"/>
      <c r="TWO128"/>
      <c r="TWP128"/>
      <c r="TWQ128"/>
      <c r="TWR128"/>
      <c r="TWS128"/>
      <c r="TWT128"/>
      <c r="TWU128"/>
      <c r="TWV128"/>
      <c r="TWW128"/>
      <c r="TWX128"/>
      <c r="TWY128"/>
      <c r="TWZ128"/>
      <c r="TXA128"/>
      <c r="TXB128"/>
      <c r="TXC128"/>
      <c r="TXD128"/>
      <c r="TXE128"/>
      <c r="TXF128"/>
      <c r="TXG128"/>
      <c r="TXH128"/>
      <c r="TXI128"/>
      <c r="TXJ128"/>
      <c r="TXK128"/>
      <c r="TXL128"/>
      <c r="TXM128"/>
      <c r="TXN128"/>
      <c r="TXO128"/>
      <c r="TXP128"/>
      <c r="TXQ128"/>
      <c r="TXR128"/>
      <c r="TXS128"/>
      <c r="TXT128"/>
      <c r="TXU128"/>
      <c r="TXV128"/>
      <c r="TXW128"/>
      <c r="TXX128"/>
      <c r="TXY128"/>
      <c r="TXZ128"/>
      <c r="TYA128"/>
      <c r="TYB128"/>
      <c r="TYC128"/>
      <c r="TYD128"/>
      <c r="TYE128"/>
      <c r="TYF128"/>
      <c r="TYG128"/>
      <c r="TYH128"/>
      <c r="TYI128"/>
      <c r="TYJ128"/>
      <c r="TYK128"/>
      <c r="TYL128"/>
      <c r="TYM128"/>
      <c r="TYN128"/>
      <c r="TYO128"/>
      <c r="TYP128"/>
      <c r="TYQ128"/>
      <c r="TYR128"/>
      <c r="TYS128"/>
      <c r="TYT128"/>
      <c r="TYU128"/>
      <c r="TYV128"/>
      <c r="TYW128"/>
      <c r="TYX128"/>
      <c r="TYY128"/>
      <c r="TYZ128"/>
      <c r="TZA128"/>
      <c r="TZB128"/>
      <c r="TZC128"/>
      <c r="TZD128"/>
      <c r="TZE128"/>
      <c r="TZF128"/>
      <c r="TZG128"/>
      <c r="TZH128"/>
      <c r="TZI128"/>
      <c r="TZJ128"/>
      <c r="TZK128"/>
      <c r="TZL128"/>
      <c r="TZM128"/>
      <c r="TZN128"/>
      <c r="TZO128"/>
      <c r="TZP128"/>
      <c r="TZQ128"/>
      <c r="TZR128"/>
      <c r="TZS128"/>
      <c r="TZT128"/>
      <c r="TZU128"/>
      <c r="TZV128"/>
      <c r="TZW128"/>
      <c r="TZX128"/>
      <c r="TZY128"/>
      <c r="TZZ128"/>
      <c r="UAA128"/>
      <c r="UAB128"/>
      <c r="UAC128"/>
      <c r="UAD128"/>
      <c r="UAE128"/>
      <c r="UAF128"/>
      <c r="UAG128"/>
      <c r="UAH128"/>
      <c r="UAI128"/>
      <c r="UAJ128"/>
      <c r="UAK128"/>
      <c r="UAL128"/>
      <c r="UAM128"/>
      <c r="UAN128"/>
      <c r="UAO128"/>
      <c r="UAP128"/>
      <c r="UAQ128"/>
      <c r="UAR128"/>
      <c r="UAS128"/>
      <c r="UAT128"/>
      <c r="UAU128"/>
      <c r="UAV128"/>
      <c r="UAW128"/>
      <c r="UAX128"/>
      <c r="UAY128"/>
      <c r="UAZ128"/>
      <c r="UBA128"/>
      <c r="UBB128"/>
      <c r="UBC128"/>
      <c r="UBD128"/>
      <c r="UBE128"/>
      <c r="UBF128"/>
      <c r="UBG128"/>
      <c r="UBH128"/>
      <c r="UBI128"/>
      <c r="UBJ128"/>
      <c r="UBK128"/>
      <c r="UBL128"/>
      <c r="UBM128"/>
      <c r="UBN128"/>
      <c r="UBO128"/>
      <c r="UBP128"/>
      <c r="UBQ128"/>
      <c r="UBR128"/>
      <c r="UBS128"/>
      <c r="UBT128"/>
      <c r="UBU128"/>
      <c r="UBV128"/>
      <c r="UBW128"/>
      <c r="UBX128"/>
      <c r="UBY128"/>
      <c r="UBZ128"/>
      <c r="UCA128"/>
      <c r="UCB128"/>
      <c r="UCC128"/>
      <c r="UCD128"/>
      <c r="UCE128"/>
      <c r="UCF128"/>
      <c r="UCG128"/>
      <c r="UCH128"/>
      <c r="UCI128"/>
      <c r="UCJ128"/>
      <c r="UCK128"/>
      <c r="UCL128"/>
      <c r="UCM128"/>
      <c r="UCN128"/>
      <c r="UCO128"/>
      <c r="UCP128"/>
      <c r="UCQ128"/>
      <c r="UCR128"/>
      <c r="UCS128"/>
      <c r="UCT128"/>
      <c r="UCU128"/>
      <c r="UCV128"/>
      <c r="UCW128"/>
      <c r="UCX128"/>
      <c r="UCY128"/>
      <c r="UCZ128"/>
      <c r="UDA128"/>
      <c r="UDB128"/>
      <c r="UDC128"/>
      <c r="UDD128"/>
      <c r="UDE128"/>
      <c r="UDF128"/>
      <c r="UDG128"/>
      <c r="UDH128"/>
      <c r="UDI128"/>
      <c r="UDJ128"/>
      <c r="UDK128"/>
      <c r="UDL128"/>
      <c r="UDM128"/>
      <c r="UDN128"/>
      <c r="UDO128"/>
      <c r="UDP128"/>
      <c r="UDQ128"/>
      <c r="UDR128"/>
      <c r="UDS128"/>
      <c r="UDT128"/>
      <c r="UDU128"/>
      <c r="UDV128"/>
      <c r="UDW128"/>
      <c r="UDX128"/>
      <c r="UDY128"/>
      <c r="UDZ128"/>
      <c r="UEA128"/>
      <c r="UEB128"/>
      <c r="UEC128"/>
      <c r="UED128"/>
      <c r="UEE128"/>
      <c r="UEF128"/>
      <c r="UEG128"/>
      <c r="UEH128"/>
      <c r="UEI128"/>
      <c r="UEJ128"/>
      <c r="UEK128"/>
      <c r="UEL128"/>
      <c r="UEM128"/>
      <c r="UEN128"/>
      <c r="UEO128"/>
      <c r="UEP128"/>
      <c r="UEQ128"/>
      <c r="UER128"/>
      <c r="UES128"/>
      <c r="UET128"/>
      <c r="UEU128"/>
      <c r="UEV128"/>
      <c r="UEW128"/>
      <c r="UEX128"/>
      <c r="UEY128"/>
      <c r="UEZ128"/>
      <c r="UFA128"/>
      <c r="UFB128"/>
      <c r="UFC128"/>
      <c r="UFD128"/>
      <c r="UFE128"/>
      <c r="UFF128"/>
      <c r="UFG128"/>
      <c r="UFH128"/>
      <c r="UFI128"/>
      <c r="UFJ128"/>
      <c r="UFK128"/>
      <c r="UFL128"/>
      <c r="UFM128"/>
      <c r="UFN128"/>
      <c r="UFO128"/>
      <c r="UFP128"/>
      <c r="UFQ128"/>
      <c r="UFR128"/>
      <c r="UFS128"/>
      <c r="UFT128"/>
      <c r="UFU128"/>
      <c r="UFV128"/>
      <c r="UFW128"/>
      <c r="UFX128"/>
      <c r="UFY128"/>
      <c r="UFZ128"/>
      <c r="UGA128"/>
      <c r="UGB128"/>
      <c r="UGC128"/>
      <c r="UGD128"/>
      <c r="UGE128"/>
      <c r="UGF128"/>
      <c r="UGG128"/>
      <c r="UGH128"/>
      <c r="UGI128"/>
      <c r="UGJ128"/>
      <c r="UGK128"/>
      <c r="UGL128"/>
      <c r="UGM128"/>
      <c r="UGN128"/>
      <c r="UGO128"/>
      <c r="UGP128"/>
      <c r="UGQ128"/>
      <c r="UGR128"/>
      <c r="UGS128"/>
      <c r="UGT128"/>
      <c r="UGU128"/>
      <c r="UGV128"/>
      <c r="UGW128"/>
      <c r="UGX128"/>
      <c r="UGY128"/>
      <c r="UGZ128"/>
      <c r="UHA128"/>
      <c r="UHB128"/>
      <c r="UHC128"/>
      <c r="UHD128"/>
      <c r="UHE128"/>
      <c r="UHF128"/>
      <c r="UHG128"/>
      <c r="UHH128"/>
      <c r="UHI128"/>
      <c r="UHJ128"/>
      <c r="UHK128"/>
      <c r="UHL128"/>
      <c r="UHM128"/>
      <c r="UHN128"/>
      <c r="UHO128"/>
      <c r="UHP128"/>
      <c r="UHQ128"/>
      <c r="UHR128"/>
      <c r="UHS128"/>
      <c r="UHT128"/>
      <c r="UHU128"/>
      <c r="UHV128"/>
      <c r="UHW128"/>
      <c r="UHX128"/>
      <c r="UHY128"/>
      <c r="UHZ128"/>
      <c r="UIA128"/>
      <c r="UIB128"/>
      <c r="UIC128"/>
      <c r="UID128"/>
      <c r="UIE128"/>
      <c r="UIF128"/>
      <c r="UIG128"/>
      <c r="UIH128"/>
      <c r="UII128"/>
      <c r="UIJ128"/>
      <c r="UIK128"/>
      <c r="UIL128"/>
      <c r="UIM128"/>
      <c r="UIN128"/>
      <c r="UIO128"/>
      <c r="UIP128"/>
      <c r="UIQ128"/>
      <c r="UIR128"/>
      <c r="UIS128"/>
      <c r="UIT128"/>
      <c r="UIU128"/>
      <c r="UIV128"/>
      <c r="UIW128"/>
      <c r="UIX128"/>
      <c r="UIY128"/>
      <c r="UIZ128"/>
      <c r="UJA128"/>
      <c r="UJB128"/>
      <c r="UJC128"/>
      <c r="UJD128"/>
      <c r="UJE128"/>
      <c r="UJF128"/>
      <c r="UJG128"/>
      <c r="UJH128"/>
      <c r="UJI128"/>
      <c r="UJJ128"/>
      <c r="UJK128"/>
      <c r="UJL128"/>
      <c r="UJM128"/>
      <c r="UJN128"/>
      <c r="UJO128"/>
      <c r="UJP128"/>
      <c r="UJQ128"/>
      <c r="UJR128"/>
      <c r="UJS128"/>
      <c r="UJT128"/>
      <c r="UJU128"/>
      <c r="UJV128"/>
      <c r="UJW128"/>
      <c r="UJX128"/>
      <c r="UJY128"/>
      <c r="UJZ128"/>
      <c r="UKA128"/>
      <c r="UKB128"/>
      <c r="UKC128"/>
      <c r="UKD128"/>
      <c r="UKE128"/>
      <c r="UKF128"/>
      <c r="UKG128"/>
      <c r="UKH128"/>
      <c r="UKI128"/>
      <c r="UKJ128"/>
      <c r="UKK128"/>
      <c r="UKL128"/>
      <c r="UKM128"/>
      <c r="UKN128"/>
      <c r="UKO128"/>
      <c r="UKP128"/>
      <c r="UKQ128"/>
      <c r="UKR128"/>
      <c r="UKS128"/>
      <c r="UKT128"/>
      <c r="UKU128"/>
      <c r="UKV128"/>
      <c r="UKW128"/>
      <c r="UKX128"/>
      <c r="UKY128"/>
      <c r="UKZ128"/>
      <c r="ULA128"/>
      <c r="ULB128"/>
      <c r="ULC128"/>
      <c r="ULD128"/>
      <c r="ULE128"/>
      <c r="ULF128"/>
      <c r="ULG128"/>
      <c r="ULH128"/>
      <c r="ULI128"/>
      <c r="ULJ128"/>
      <c r="ULK128"/>
      <c r="ULL128"/>
      <c r="ULM128"/>
      <c r="ULN128"/>
      <c r="ULO128"/>
      <c r="ULP128"/>
      <c r="ULQ128"/>
      <c r="ULR128"/>
      <c r="ULS128"/>
      <c r="ULT128"/>
      <c r="ULU128"/>
      <c r="ULV128"/>
      <c r="ULW128"/>
      <c r="ULX128"/>
      <c r="ULY128"/>
      <c r="ULZ128"/>
      <c r="UMA128"/>
      <c r="UMB128"/>
      <c r="UMC128"/>
      <c r="UMD128"/>
      <c r="UME128"/>
      <c r="UMF128"/>
      <c r="UMG128"/>
      <c r="UMH128"/>
      <c r="UMI128"/>
      <c r="UMJ128"/>
      <c r="UMK128"/>
      <c r="UML128"/>
      <c r="UMM128"/>
      <c r="UMN128"/>
      <c r="UMO128"/>
      <c r="UMP128"/>
      <c r="UMQ128"/>
      <c r="UMR128"/>
      <c r="UMS128"/>
      <c r="UMT128"/>
      <c r="UMU128"/>
      <c r="UMV128"/>
      <c r="UMW128"/>
      <c r="UMX128"/>
      <c r="UMY128"/>
      <c r="UMZ128"/>
      <c r="UNA128"/>
      <c r="UNB128"/>
      <c r="UNC128"/>
      <c r="UND128"/>
      <c r="UNE128"/>
      <c r="UNF128"/>
      <c r="UNG128"/>
      <c r="UNH128"/>
      <c r="UNI128"/>
      <c r="UNJ128"/>
      <c r="UNK128"/>
      <c r="UNL128"/>
      <c r="UNM128"/>
      <c r="UNN128"/>
      <c r="UNO128"/>
      <c r="UNP128"/>
      <c r="UNQ128"/>
      <c r="UNR128"/>
      <c r="UNS128"/>
      <c r="UNT128"/>
      <c r="UNU128"/>
      <c r="UNV128"/>
      <c r="UNW128"/>
      <c r="UNX128"/>
      <c r="UNY128"/>
      <c r="UNZ128"/>
      <c r="UOA128"/>
      <c r="UOB128"/>
      <c r="UOC128"/>
      <c r="UOD128"/>
      <c r="UOE128"/>
      <c r="UOF128"/>
      <c r="UOG128"/>
      <c r="UOH128"/>
      <c r="UOI128"/>
      <c r="UOJ128"/>
      <c r="UOK128"/>
      <c r="UOL128"/>
      <c r="UOM128"/>
      <c r="UON128"/>
      <c r="UOO128"/>
      <c r="UOP128"/>
      <c r="UOQ128"/>
      <c r="UOR128"/>
      <c r="UOS128"/>
      <c r="UOT128"/>
      <c r="UOU128"/>
      <c r="UOV128"/>
      <c r="UOW128"/>
      <c r="UOX128"/>
      <c r="UOY128"/>
      <c r="UOZ128"/>
      <c r="UPA128"/>
      <c r="UPB128"/>
      <c r="UPC128"/>
      <c r="UPD128"/>
      <c r="UPE128"/>
      <c r="UPF128"/>
      <c r="UPG128"/>
      <c r="UPH128"/>
      <c r="UPI128"/>
      <c r="UPJ128"/>
      <c r="UPK128"/>
      <c r="UPL128"/>
      <c r="UPM128"/>
      <c r="UPN128"/>
      <c r="UPO128"/>
      <c r="UPP128"/>
      <c r="UPQ128"/>
      <c r="UPR128"/>
      <c r="UPS128"/>
      <c r="UPT128"/>
      <c r="UPU128"/>
      <c r="UPV128"/>
      <c r="UPW128"/>
      <c r="UPX128"/>
      <c r="UPY128"/>
      <c r="UPZ128"/>
      <c r="UQA128"/>
      <c r="UQB128"/>
      <c r="UQC128"/>
      <c r="UQD128"/>
      <c r="UQE128"/>
      <c r="UQF128"/>
      <c r="UQG128"/>
      <c r="UQH128"/>
      <c r="UQI128"/>
      <c r="UQJ128"/>
      <c r="UQK128"/>
      <c r="UQL128"/>
      <c r="UQM128"/>
      <c r="UQN128"/>
      <c r="UQO128"/>
      <c r="UQP128"/>
      <c r="UQQ128"/>
      <c r="UQR128"/>
      <c r="UQS128"/>
      <c r="UQT128"/>
      <c r="UQU128"/>
      <c r="UQV128"/>
      <c r="UQW128"/>
      <c r="UQX128"/>
      <c r="UQY128"/>
      <c r="UQZ128"/>
      <c r="URA128"/>
      <c r="URB128"/>
      <c r="URC128"/>
      <c r="URD128"/>
      <c r="URE128"/>
      <c r="URF128"/>
      <c r="URG128"/>
      <c r="URH128"/>
      <c r="URI128"/>
      <c r="URJ128"/>
      <c r="URK128"/>
      <c r="URL128"/>
      <c r="URM128"/>
      <c r="URN128"/>
      <c r="URO128"/>
      <c r="URP128"/>
      <c r="URQ128"/>
      <c r="URR128"/>
      <c r="URS128"/>
      <c r="URT128"/>
      <c r="URU128"/>
      <c r="URV128"/>
      <c r="URW128"/>
      <c r="URX128"/>
      <c r="URY128"/>
      <c r="URZ128"/>
      <c r="USA128"/>
      <c r="USB128"/>
      <c r="USC128"/>
      <c r="USD128"/>
      <c r="USE128"/>
      <c r="USF128"/>
      <c r="USG128"/>
      <c r="USH128"/>
      <c r="USI128"/>
      <c r="USJ128"/>
      <c r="USK128"/>
      <c r="USL128"/>
      <c r="USM128"/>
      <c r="USN128"/>
      <c r="USO128"/>
      <c r="USP128"/>
      <c r="USQ128"/>
      <c r="USR128"/>
      <c r="USS128"/>
      <c r="UST128"/>
      <c r="USU128"/>
      <c r="USV128"/>
      <c r="USW128"/>
      <c r="USX128"/>
      <c r="USY128"/>
      <c r="USZ128"/>
      <c r="UTA128"/>
      <c r="UTB128"/>
      <c r="UTC128"/>
      <c r="UTD128"/>
      <c r="UTE128"/>
      <c r="UTF128"/>
      <c r="UTG128"/>
      <c r="UTH128"/>
      <c r="UTI128"/>
      <c r="UTJ128"/>
      <c r="UTK128"/>
      <c r="UTL128"/>
      <c r="UTM128"/>
      <c r="UTN128"/>
      <c r="UTO128"/>
      <c r="UTP128"/>
      <c r="UTQ128"/>
      <c r="UTR128"/>
      <c r="UTS128"/>
      <c r="UTT128"/>
      <c r="UTU128"/>
      <c r="UTV128"/>
      <c r="UTW128"/>
      <c r="UTX128"/>
      <c r="UTY128"/>
      <c r="UTZ128"/>
      <c r="UUA128"/>
      <c r="UUB128"/>
      <c r="UUC128"/>
      <c r="UUD128"/>
      <c r="UUE128"/>
      <c r="UUF128"/>
      <c r="UUG128"/>
      <c r="UUH128"/>
      <c r="UUI128"/>
      <c r="UUJ128"/>
      <c r="UUK128"/>
      <c r="UUL128"/>
      <c r="UUM128"/>
      <c r="UUN128"/>
      <c r="UUO128"/>
      <c r="UUP128"/>
      <c r="UUQ128"/>
      <c r="UUR128"/>
      <c r="UUS128"/>
      <c r="UUT128"/>
      <c r="UUU128"/>
      <c r="UUV128"/>
      <c r="UUW128"/>
      <c r="UUX128"/>
      <c r="UUY128"/>
      <c r="UUZ128"/>
      <c r="UVA128"/>
      <c r="UVB128"/>
      <c r="UVC128"/>
      <c r="UVD128"/>
      <c r="UVE128"/>
      <c r="UVF128"/>
      <c r="UVG128"/>
      <c r="UVH128"/>
      <c r="UVI128"/>
      <c r="UVJ128"/>
      <c r="UVK128"/>
      <c r="UVL128"/>
      <c r="UVM128"/>
      <c r="UVN128"/>
      <c r="UVO128"/>
      <c r="UVP128"/>
      <c r="UVQ128"/>
      <c r="UVR128"/>
      <c r="UVS128"/>
      <c r="UVT128"/>
      <c r="UVU128"/>
      <c r="UVV128"/>
      <c r="UVW128"/>
      <c r="UVX128"/>
      <c r="UVY128"/>
      <c r="UVZ128"/>
      <c r="UWA128"/>
      <c r="UWB128"/>
      <c r="UWC128"/>
      <c r="UWD128"/>
      <c r="UWE128"/>
      <c r="UWF128"/>
      <c r="UWG128"/>
      <c r="UWH128"/>
      <c r="UWI128"/>
      <c r="UWJ128"/>
      <c r="UWK128"/>
      <c r="UWL128"/>
      <c r="UWM128"/>
      <c r="UWN128"/>
      <c r="UWO128"/>
      <c r="UWP128"/>
      <c r="UWQ128"/>
      <c r="UWR128"/>
      <c r="UWS128"/>
      <c r="UWT128"/>
      <c r="UWU128"/>
      <c r="UWV128"/>
      <c r="UWW128"/>
      <c r="UWX128"/>
      <c r="UWY128"/>
      <c r="UWZ128"/>
      <c r="UXA128"/>
      <c r="UXB128"/>
      <c r="UXC128"/>
      <c r="UXD128"/>
      <c r="UXE128"/>
      <c r="UXF128"/>
      <c r="UXG128"/>
      <c r="UXH128"/>
      <c r="UXI128"/>
      <c r="UXJ128"/>
      <c r="UXK128"/>
      <c r="UXL128"/>
      <c r="UXM128"/>
      <c r="UXN128"/>
      <c r="UXO128"/>
      <c r="UXP128"/>
      <c r="UXQ128"/>
      <c r="UXR128"/>
      <c r="UXS128"/>
      <c r="UXT128"/>
      <c r="UXU128"/>
      <c r="UXV128"/>
      <c r="UXW128"/>
      <c r="UXX128"/>
      <c r="UXY128"/>
      <c r="UXZ128"/>
      <c r="UYA128"/>
      <c r="UYB128"/>
      <c r="UYC128"/>
      <c r="UYD128"/>
      <c r="UYE128"/>
      <c r="UYF128"/>
      <c r="UYG128"/>
      <c r="UYH128"/>
      <c r="UYI128"/>
      <c r="UYJ128"/>
      <c r="UYK128"/>
      <c r="UYL128"/>
      <c r="UYM128"/>
      <c r="UYN128"/>
      <c r="UYO128"/>
      <c r="UYP128"/>
      <c r="UYQ128"/>
      <c r="UYR128"/>
      <c r="UYS128"/>
      <c r="UYT128"/>
      <c r="UYU128"/>
      <c r="UYV128"/>
      <c r="UYW128"/>
      <c r="UYX128"/>
      <c r="UYY128"/>
      <c r="UYZ128"/>
      <c r="UZA128"/>
      <c r="UZB128"/>
      <c r="UZC128"/>
      <c r="UZD128"/>
      <c r="UZE128"/>
      <c r="UZF128"/>
      <c r="UZG128"/>
      <c r="UZH128"/>
      <c r="UZI128"/>
      <c r="UZJ128"/>
      <c r="UZK128"/>
      <c r="UZL128"/>
      <c r="UZM128"/>
      <c r="UZN128"/>
      <c r="UZO128"/>
      <c r="UZP128"/>
      <c r="UZQ128"/>
      <c r="UZR128"/>
      <c r="UZS128"/>
      <c r="UZT128"/>
      <c r="UZU128"/>
      <c r="UZV128"/>
      <c r="UZW128"/>
      <c r="UZX128"/>
      <c r="UZY128"/>
      <c r="UZZ128"/>
      <c r="VAA128"/>
      <c r="VAB128"/>
      <c r="VAC128"/>
      <c r="VAD128"/>
      <c r="VAE128"/>
      <c r="VAF128"/>
      <c r="VAG128"/>
      <c r="VAH128"/>
      <c r="VAI128"/>
      <c r="VAJ128"/>
      <c r="VAK128"/>
      <c r="VAL128"/>
      <c r="VAM128"/>
      <c r="VAN128"/>
      <c r="VAO128"/>
      <c r="VAP128"/>
      <c r="VAQ128"/>
      <c r="VAR128"/>
      <c r="VAS128"/>
      <c r="VAT128"/>
      <c r="VAU128"/>
      <c r="VAV128"/>
      <c r="VAW128"/>
      <c r="VAX128"/>
      <c r="VAY128"/>
      <c r="VAZ128"/>
      <c r="VBA128"/>
      <c r="VBB128"/>
      <c r="VBC128"/>
      <c r="VBD128"/>
      <c r="VBE128"/>
      <c r="VBF128"/>
      <c r="VBG128"/>
      <c r="VBH128"/>
      <c r="VBI128"/>
      <c r="VBJ128"/>
      <c r="VBK128"/>
      <c r="VBL128"/>
      <c r="VBM128"/>
      <c r="VBN128"/>
      <c r="VBO128"/>
      <c r="VBP128"/>
      <c r="VBQ128"/>
      <c r="VBR128"/>
      <c r="VBS128"/>
      <c r="VBT128"/>
      <c r="VBU128"/>
      <c r="VBV128"/>
      <c r="VBW128"/>
      <c r="VBX128"/>
      <c r="VBY128"/>
      <c r="VBZ128"/>
      <c r="VCA128"/>
      <c r="VCB128"/>
      <c r="VCC128"/>
      <c r="VCD128"/>
      <c r="VCE128"/>
      <c r="VCF128"/>
      <c r="VCG128"/>
      <c r="VCH128"/>
      <c r="VCI128"/>
      <c r="VCJ128"/>
      <c r="VCK128"/>
      <c r="VCL128"/>
      <c r="VCM128"/>
      <c r="VCN128"/>
      <c r="VCO128"/>
      <c r="VCP128"/>
      <c r="VCQ128"/>
      <c r="VCR128"/>
      <c r="VCS128"/>
      <c r="VCT128"/>
      <c r="VCU128"/>
      <c r="VCV128"/>
      <c r="VCW128"/>
      <c r="VCX128"/>
      <c r="VCY128"/>
      <c r="VCZ128"/>
      <c r="VDA128"/>
      <c r="VDB128"/>
      <c r="VDC128"/>
      <c r="VDD128"/>
      <c r="VDE128"/>
      <c r="VDF128"/>
      <c r="VDG128"/>
      <c r="VDH128"/>
      <c r="VDI128"/>
      <c r="VDJ128"/>
      <c r="VDK128"/>
      <c r="VDL128"/>
      <c r="VDM128"/>
      <c r="VDN128"/>
      <c r="VDO128"/>
      <c r="VDP128"/>
      <c r="VDQ128"/>
      <c r="VDR128"/>
      <c r="VDS128"/>
      <c r="VDT128"/>
      <c r="VDU128"/>
      <c r="VDV128"/>
      <c r="VDW128"/>
      <c r="VDX128"/>
      <c r="VDY128"/>
      <c r="VDZ128"/>
      <c r="VEA128"/>
      <c r="VEB128"/>
      <c r="VEC128"/>
      <c r="VED128"/>
      <c r="VEE128"/>
      <c r="VEF128"/>
      <c r="VEG128"/>
      <c r="VEH128"/>
      <c r="VEI128"/>
      <c r="VEJ128"/>
      <c r="VEK128"/>
      <c r="VEL128"/>
      <c r="VEM128"/>
      <c r="VEN128"/>
      <c r="VEO128"/>
      <c r="VEP128"/>
      <c r="VEQ128"/>
      <c r="VER128"/>
      <c r="VES128"/>
      <c r="VET128"/>
      <c r="VEU128"/>
      <c r="VEV128"/>
      <c r="VEW128"/>
      <c r="VEX128"/>
      <c r="VEY128"/>
      <c r="VEZ128"/>
      <c r="VFA128"/>
      <c r="VFB128"/>
      <c r="VFC128"/>
      <c r="VFD128"/>
      <c r="VFE128"/>
      <c r="VFF128"/>
      <c r="VFG128"/>
      <c r="VFH128"/>
      <c r="VFI128"/>
      <c r="VFJ128"/>
      <c r="VFK128"/>
      <c r="VFL128"/>
      <c r="VFM128"/>
      <c r="VFN128"/>
      <c r="VFO128"/>
      <c r="VFP128"/>
      <c r="VFQ128"/>
      <c r="VFR128"/>
      <c r="VFS128"/>
      <c r="VFT128"/>
      <c r="VFU128"/>
      <c r="VFV128"/>
      <c r="VFW128"/>
      <c r="VFX128"/>
      <c r="VFY128"/>
      <c r="VFZ128"/>
      <c r="VGA128"/>
      <c r="VGB128"/>
      <c r="VGC128"/>
      <c r="VGD128"/>
      <c r="VGE128"/>
      <c r="VGF128"/>
      <c r="VGG128"/>
      <c r="VGH128"/>
      <c r="VGI128"/>
      <c r="VGJ128"/>
      <c r="VGK128"/>
      <c r="VGL128"/>
      <c r="VGM128"/>
      <c r="VGN128"/>
      <c r="VGO128"/>
      <c r="VGP128"/>
      <c r="VGQ128"/>
      <c r="VGR128"/>
      <c r="VGS128"/>
      <c r="VGT128"/>
      <c r="VGU128"/>
      <c r="VGV128"/>
      <c r="VGW128"/>
      <c r="VGX128"/>
      <c r="VGY128"/>
      <c r="VGZ128"/>
      <c r="VHA128"/>
      <c r="VHB128"/>
      <c r="VHC128"/>
      <c r="VHD128"/>
      <c r="VHE128"/>
      <c r="VHF128"/>
      <c r="VHG128"/>
      <c r="VHH128"/>
      <c r="VHI128"/>
      <c r="VHJ128"/>
      <c r="VHK128"/>
      <c r="VHL128"/>
      <c r="VHM128"/>
      <c r="VHN128"/>
      <c r="VHO128"/>
      <c r="VHP128"/>
      <c r="VHQ128"/>
      <c r="VHR128"/>
      <c r="VHS128"/>
      <c r="VHT128"/>
      <c r="VHU128"/>
      <c r="VHV128"/>
      <c r="VHW128"/>
      <c r="VHX128"/>
      <c r="VHY128"/>
      <c r="VHZ128"/>
      <c r="VIA128"/>
      <c r="VIB128"/>
      <c r="VIC128"/>
      <c r="VID128"/>
      <c r="VIE128"/>
      <c r="VIF128"/>
      <c r="VIG128"/>
      <c r="VIH128"/>
      <c r="VII128"/>
      <c r="VIJ128"/>
      <c r="VIK128"/>
      <c r="VIL128"/>
      <c r="VIM128"/>
      <c r="VIN128"/>
      <c r="VIO128"/>
      <c r="VIP128"/>
      <c r="VIQ128"/>
      <c r="VIR128"/>
      <c r="VIS128"/>
      <c r="VIT128"/>
      <c r="VIU128"/>
      <c r="VIV128"/>
      <c r="VIW128"/>
      <c r="VIX128"/>
      <c r="VIY128"/>
      <c r="VIZ128"/>
      <c r="VJA128"/>
      <c r="VJB128"/>
      <c r="VJC128"/>
      <c r="VJD128"/>
      <c r="VJE128"/>
      <c r="VJF128"/>
      <c r="VJG128"/>
      <c r="VJH128"/>
      <c r="VJI128"/>
      <c r="VJJ128"/>
      <c r="VJK128"/>
      <c r="VJL128"/>
      <c r="VJM128"/>
      <c r="VJN128"/>
      <c r="VJO128"/>
      <c r="VJP128"/>
      <c r="VJQ128"/>
      <c r="VJR128"/>
      <c r="VJS128"/>
      <c r="VJT128"/>
      <c r="VJU128"/>
      <c r="VJV128"/>
      <c r="VJW128"/>
      <c r="VJX128"/>
      <c r="VJY128"/>
      <c r="VJZ128"/>
      <c r="VKA128"/>
      <c r="VKB128"/>
      <c r="VKC128"/>
      <c r="VKD128"/>
      <c r="VKE128"/>
      <c r="VKF128"/>
      <c r="VKG128"/>
      <c r="VKH128"/>
      <c r="VKI128"/>
      <c r="VKJ128"/>
      <c r="VKK128"/>
      <c r="VKL128"/>
      <c r="VKM128"/>
      <c r="VKN128"/>
      <c r="VKO128"/>
      <c r="VKP128"/>
      <c r="VKQ128"/>
      <c r="VKR128"/>
      <c r="VKS128"/>
      <c r="VKT128"/>
      <c r="VKU128"/>
      <c r="VKV128"/>
      <c r="VKW128"/>
      <c r="VKX128"/>
      <c r="VKY128"/>
      <c r="VKZ128"/>
      <c r="VLA128"/>
      <c r="VLB128"/>
      <c r="VLC128"/>
      <c r="VLD128"/>
      <c r="VLE128"/>
      <c r="VLF128"/>
      <c r="VLG128"/>
      <c r="VLH128"/>
      <c r="VLI128"/>
      <c r="VLJ128"/>
      <c r="VLK128"/>
      <c r="VLL128"/>
      <c r="VLM128"/>
      <c r="VLN128"/>
      <c r="VLO128"/>
      <c r="VLP128"/>
      <c r="VLQ128"/>
      <c r="VLR128"/>
      <c r="VLS128"/>
      <c r="VLT128"/>
      <c r="VLU128"/>
      <c r="VLV128"/>
      <c r="VLW128"/>
      <c r="VLX128"/>
      <c r="VLY128"/>
      <c r="VLZ128"/>
      <c r="VMA128"/>
      <c r="VMB128"/>
      <c r="VMC128"/>
      <c r="VMD128"/>
      <c r="VME128"/>
      <c r="VMF128"/>
      <c r="VMG128"/>
      <c r="VMH128"/>
      <c r="VMI128"/>
      <c r="VMJ128"/>
      <c r="VMK128"/>
      <c r="VML128"/>
      <c r="VMM128"/>
      <c r="VMN128"/>
      <c r="VMO128"/>
      <c r="VMP128"/>
      <c r="VMQ128"/>
      <c r="VMR128"/>
      <c r="VMS128"/>
      <c r="VMT128"/>
      <c r="VMU128"/>
      <c r="VMV128"/>
      <c r="VMW128"/>
      <c r="VMX128"/>
      <c r="VMY128"/>
      <c r="VMZ128"/>
      <c r="VNA128"/>
      <c r="VNB128"/>
      <c r="VNC128"/>
      <c r="VND128"/>
      <c r="VNE128"/>
      <c r="VNF128"/>
      <c r="VNG128"/>
      <c r="VNH128"/>
      <c r="VNI128"/>
      <c r="VNJ128"/>
      <c r="VNK128"/>
      <c r="VNL128"/>
      <c r="VNM128"/>
      <c r="VNN128"/>
      <c r="VNO128"/>
      <c r="VNP128"/>
      <c r="VNQ128"/>
      <c r="VNR128"/>
      <c r="VNS128"/>
      <c r="VNT128"/>
      <c r="VNU128"/>
      <c r="VNV128"/>
      <c r="VNW128"/>
      <c r="VNX128"/>
      <c r="VNY128"/>
      <c r="VNZ128"/>
      <c r="VOA128"/>
      <c r="VOB128"/>
      <c r="VOC128"/>
      <c r="VOD128"/>
      <c r="VOE128"/>
      <c r="VOF128"/>
      <c r="VOG128"/>
      <c r="VOH128"/>
      <c r="VOI128"/>
      <c r="VOJ128"/>
      <c r="VOK128"/>
      <c r="VOL128"/>
      <c r="VOM128"/>
      <c r="VON128"/>
      <c r="VOO128"/>
      <c r="VOP128"/>
      <c r="VOQ128"/>
      <c r="VOR128"/>
      <c r="VOS128"/>
      <c r="VOT128"/>
      <c r="VOU128"/>
      <c r="VOV128"/>
      <c r="VOW128"/>
      <c r="VOX128"/>
      <c r="VOY128"/>
      <c r="VOZ128"/>
      <c r="VPA128"/>
      <c r="VPB128"/>
      <c r="VPC128"/>
      <c r="VPD128"/>
      <c r="VPE128"/>
      <c r="VPF128"/>
      <c r="VPG128"/>
      <c r="VPH128"/>
      <c r="VPI128"/>
      <c r="VPJ128"/>
      <c r="VPK128"/>
      <c r="VPL128"/>
      <c r="VPM128"/>
      <c r="VPN128"/>
      <c r="VPO128"/>
      <c r="VPP128"/>
      <c r="VPQ128"/>
      <c r="VPR128"/>
      <c r="VPS128"/>
      <c r="VPT128"/>
      <c r="VPU128"/>
      <c r="VPV128"/>
      <c r="VPW128"/>
      <c r="VPX128"/>
      <c r="VPY128"/>
      <c r="VPZ128"/>
      <c r="VQA128"/>
      <c r="VQB128"/>
      <c r="VQC128"/>
      <c r="VQD128"/>
      <c r="VQE128"/>
      <c r="VQF128"/>
      <c r="VQG128"/>
      <c r="VQH128"/>
      <c r="VQI128"/>
      <c r="VQJ128"/>
      <c r="VQK128"/>
      <c r="VQL128"/>
      <c r="VQM128"/>
      <c r="VQN128"/>
      <c r="VQO128"/>
      <c r="VQP128"/>
      <c r="VQQ128"/>
      <c r="VQR128"/>
      <c r="VQS128"/>
      <c r="VQT128"/>
      <c r="VQU128"/>
      <c r="VQV128"/>
      <c r="VQW128"/>
      <c r="VQX128"/>
      <c r="VQY128"/>
      <c r="VQZ128"/>
      <c r="VRA128"/>
      <c r="VRB128"/>
      <c r="VRC128"/>
      <c r="VRD128"/>
      <c r="VRE128"/>
      <c r="VRF128"/>
      <c r="VRG128"/>
      <c r="VRH128"/>
      <c r="VRI128"/>
      <c r="VRJ128"/>
      <c r="VRK128"/>
      <c r="VRL128"/>
      <c r="VRM128"/>
      <c r="VRN128"/>
      <c r="VRO128"/>
      <c r="VRP128"/>
      <c r="VRQ128"/>
      <c r="VRR128"/>
      <c r="VRS128"/>
      <c r="VRT128"/>
      <c r="VRU128"/>
      <c r="VRV128"/>
      <c r="VRW128"/>
      <c r="VRX128"/>
      <c r="VRY128"/>
      <c r="VRZ128"/>
      <c r="VSA128"/>
      <c r="VSB128"/>
      <c r="VSC128"/>
      <c r="VSD128"/>
      <c r="VSE128"/>
      <c r="VSF128"/>
      <c r="VSG128"/>
      <c r="VSH128"/>
      <c r="VSI128"/>
      <c r="VSJ128"/>
      <c r="VSK128"/>
      <c r="VSL128"/>
      <c r="VSM128"/>
      <c r="VSN128"/>
      <c r="VSO128"/>
      <c r="VSP128"/>
      <c r="VSQ128"/>
      <c r="VSR128"/>
      <c r="VSS128"/>
      <c r="VST128"/>
      <c r="VSU128"/>
      <c r="VSV128"/>
      <c r="VSW128"/>
      <c r="VSX128"/>
      <c r="VSY128"/>
      <c r="VSZ128"/>
      <c r="VTA128"/>
      <c r="VTB128"/>
      <c r="VTC128"/>
      <c r="VTD128"/>
      <c r="VTE128"/>
      <c r="VTF128"/>
      <c r="VTG128"/>
      <c r="VTH128"/>
      <c r="VTI128"/>
      <c r="VTJ128"/>
      <c r="VTK128"/>
      <c r="VTL128"/>
      <c r="VTM128"/>
      <c r="VTN128"/>
      <c r="VTO128"/>
      <c r="VTP128"/>
      <c r="VTQ128"/>
      <c r="VTR128"/>
      <c r="VTS128"/>
      <c r="VTT128"/>
      <c r="VTU128"/>
      <c r="VTV128"/>
      <c r="VTW128"/>
      <c r="VTX128"/>
      <c r="VTY128"/>
      <c r="VTZ128"/>
      <c r="VUA128"/>
      <c r="VUB128"/>
      <c r="VUC128"/>
      <c r="VUD128"/>
      <c r="VUE128"/>
      <c r="VUF128"/>
      <c r="VUG128"/>
      <c r="VUH128"/>
      <c r="VUI128"/>
      <c r="VUJ128"/>
      <c r="VUK128"/>
      <c r="VUL128"/>
      <c r="VUM128"/>
      <c r="VUN128"/>
      <c r="VUO128"/>
      <c r="VUP128"/>
      <c r="VUQ128"/>
      <c r="VUR128"/>
      <c r="VUS128"/>
      <c r="VUT128"/>
      <c r="VUU128"/>
      <c r="VUV128"/>
      <c r="VUW128"/>
      <c r="VUX128"/>
      <c r="VUY128"/>
      <c r="VUZ128"/>
      <c r="VVA128"/>
      <c r="VVB128"/>
      <c r="VVC128"/>
      <c r="VVD128"/>
      <c r="VVE128"/>
      <c r="VVF128"/>
      <c r="VVG128"/>
      <c r="VVH128"/>
      <c r="VVI128"/>
      <c r="VVJ128"/>
      <c r="VVK128"/>
      <c r="VVL128"/>
      <c r="VVM128"/>
      <c r="VVN128"/>
      <c r="VVO128"/>
      <c r="VVP128"/>
      <c r="VVQ128"/>
      <c r="VVR128"/>
      <c r="VVS128"/>
      <c r="VVT128"/>
      <c r="VVU128"/>
      <c r="VVV128"/>
      <c r="VVW128"/>
      <c r="VVX128"/>
      <c r="VVY128"/>
      <c r="VVZ128"/>
      <c r="VWA128"/>
      <c r="VWB128"/>
      <c r="VWC128"/>
      <c r="VWD128"/>
      <c r="VWE128"/>
      <c r="VWF128"/>
      <c r="VWG128"/>
      <c r="VWH128"/>
      <c r="VWI128"/>
      <c r="VWJ128"/>
      <c r="VWK128"/>
      <c r="VWL128"/>
      <c r="VWM128"/>
      <c r="VWN128"/>
      <c r="VWO128"/>
      <c r="VWP128"/>
      <c r="VWQ128"/>
      <c r="VWR128"/>
      <c r="VWS128"/>
      <c r="VWT128"/>
      <c r="VWU128"/>
      <c r="VWV128"/>
      <c r="VWW128"/>
      <c r="VWX128"/>
      <c r="VWY128"/>
      <c r="VWZ128"/>
      <c r="VXA128"/>
      <c r="VXB128"/>
      <c r="VXC128"/>
      <c r="VXD128"/>
      <c r="VXE128"/>
      <c r="VXF128"/>
      <c r="VXG128"/>
      <c r="VXH128"/>
      <c r="VXI128"/>
      <c r="VXJ128"/>
      <c r="VXK128"/>
      <c r="VXL128"/>
      <c r="VXM128"/>
      <c r="VXN128"/>
      <c r="VXO128"/>
      <c r="VXP128"/>
      <c r="VXQ128"/>
      <c r="VXR128"/>
      <c r="VXS128"/>
      <c r="VXT128"/>
      <c r="VXU128"/>
      <c r="VXV128"/>
      <c r="VXW128"/>
      <c r="VXX128"/>
      <c r="VXY128"/>
      <c r="VXZ128"/>
      <c r="VYA128"/>
      <c r="VYB128"/>
      <c r="VYC128"/>
      <c r="VYD128"/>
      <c r="VYE128"/>
      <c r="VYF128"/>
      <c r="VYG128"/>
      <c r="VYH128"/>
      <c r="VYI128"/>
      <c r="VYJ128"/>
      <c r="VYK128"/>
      <c r="VYL128"/>
      <c r="VYM128"/>
      <c r="VYN128"/>
      <c r="VYO128"/>
      <c r="VYP128"/>
      <c r="VYQ128"/>
      <c r="VYR128"/>
      <c r="VYS128"/>
      <c r="VYT128"/>
      <c r="VYU128"/>
      <c r="VYV128"/>
      <c r="VYW128"/>
      <c r="VYX128"/>
      <c r="VYY128"/>
      <c r="VYZ128"/>
      <c r="VZA128"/>
      <c r="VZB128"/>
      <c r="VZC128"/>
      <c r="VZD128"/>
      <c r="VZE128"/>
      <c r="VZF128"/>
      <c r="VZG128"/>
      <c r="VZH128"/>
      <c r="VZI128"/>
      <c r="VZJ128"/>
      <c r="VZK128"/>
      <c r="VZL128"/>
      <c r="VZM128"/>
      <c r="VZN128"/>
      <c r="VZO128"/>
      <c r="VZP128"/>
      <c r="VZQ128"/>
      <c r="VZR128"/>
      <c r="VZS128"/>
      <c r="VZT128"/>
      <c r="VZU128"/>
      <c r="VZV128"/>
      <c r="VZW128"/>
      <c r="VZX128"/>
      <c r="VZY128"/>
      <c r="VZZ128"/>
      <c r="WAA128"/>
      <c r="WAB128"/>
      <c r="WAC128"/>
      <c r="WAD128"/>
      <c r="WAE128"/>
      <c r="WAF128"/>
      <c r="WAG128"/>
      <c r="WAH128"/>
      <c r="WAI128"/>
      <c r="WAJ128"/>
      <c r="WAK128"/>
      <c r="WAL128"/>
      <c r="WAM128"/>
      <c r="WAN128"/>
      <c r="WAO128"/>
      <c r="WAP128"/>
      <c r="WAQ128"/>
      <c r="WAR128"/>
      <c r="WAS128"/>
      <c r="WAT128"/>
      <c r="WAU128"/>
      <c r="WAV128"/>
      <c r="WAW128"/>
      <c r="WAX128"/>
      <c r="WAY128"/>
      <c r="WAZ128"/>
      <c r="WBA128"/>
      <c r="WBB128"/>
      <c r="WBC128"/>
      <c r="WBD128"/>
      <c r="WBE128"/>
      <c r="WBF128"/>
      <c r="WBG128"/>
      <c r="WBH128"/>
      <c r="WBI128"/>
      <c r="WBJ128"/>
      <c r="WBK128"/>
      <c r="WBL128"/>
      <c r="WBM128"/>
      <c r="WBN128"/>
      <c r="WBO128"/>
      <c r="WBP128"/>
      <c r="WBQ128"/>
      <c r="WBR128"/>
      <c r="WBS128"/>
      <c r="WBT128"/>
      <c r="WBU128"/>
      <c r="WBV128"/>
      <c r="WBW128"/>
      <c r="WBX128"/>
      <c r="WBY128"/>
      <c r="WBZ128"/>
      <c r="WCA128"/>
      <c r="WCB128"/>
      <c r="WCC128"/>
      <c r="WCD128"/>
      <c r="WCE128"/>
      <c r="WCF128"/>
      <c r="WCG128"/>
      <c r="WCH128"/>
      <c r="WCI128"/>
      <c r="WCJ128"/>
      <c r="WCK128"/>
      <c r="WCL128"/>
      <c r="WCM128"/>
      <c r="WCN128"/>
      <c r="WCO128"/>
      <c r="WCP128"/>
      <c r="WCQ128"/>
      <c r="WCR128"/>
      <c r="WCS128"/>
      <c r="WCT128"/>
      <c r="WCU128"/>
      <c r="WCV128"/>
      <c r="WCW128"/>
      <c r="WCX128"/>
      <c r="WCY128"/>
      <c r="WCZ128"/>
      <c r="WDA128"/>
      <c r="WDB128"/>
      <c r="WDC128"/>
      <c r="WDD128"/>
      <c r="WDE128"/>
      <c r="WDF128"/>
      <c r="WDG128"/>
      <c r="WDH128"/>
      <c r="WDI128"/>
      <c r="WDJ128"/>
      <c r="WDK128"/>
      <c r="WDL128"/>
      <c r="WDM128"/>
      <c r="WDN128"/>
      <c r="WDO128"/>
      <c r="WDP128"/>
      <c r="WDQ128"/>
      <c r="WDR128"/>
      <c r="WDS128"/>
      <c r="WDT128"/>
      <c r="WDU128"/>
      <c r="WDV128"/>
      <c r="WDW128"/>
      <c r="WDX128"/>
      <c r="WDY128"/>
      <c r="WDZ128"/>
      <c r="WEA128"/>
      <c r="WEB128"/>
      <c r="WEC128"/>
      <c r="WED128"/>
      <c r="WEE128"/>
      <c r="WEF128"/>
      <c r="WEG128"/>
      <c r="WEH128"/>
      <c r="WEI128"/>
      <c r="WEJ128"/>
      <c r="WEK128"/>
      <c r="WEL128"/>
      <c r="WEM128"/>
      <c r="WEN128"/>
      <c r="WEO128"/>
      <c r="WEP128"/>
      <c r="WEQ128"/>
      <c r="WER128"/>
      <c r="WES128"/>
      <c r="WET128"/>
      <c r="WEU128"/>
      <c r="WEV128"/>
      <c r="WEW128"/>
      <c r="WEX128"/>
      <c r="WEY128"/>
      <c r="WEZ128"/>
      <c r="WFA128"/>
      <c r="WFB128"/>
      <c r="WFC128"/>
      <c r="WFD128"/>
      <c r="WFE128"/>
      <c r="WFF128"/>
      <c r="WFG128"/>
      <c r="WFH128"/>
      <c r="WFI128"/>
      <c r="WFJ128"/>
      <c r="WFK128"/>
      <c r="WFL128"/>
      <c r="WFM128"/>
      <c r="WFN128"/>
      <c r="WFO128"/>
      <c r="WFP128"/>
      <c r="WFQ128"/>
      <c r="WFR128"/>
      <c r="WFS128"/>
      <c r="WFT128"/>
      <c r="WFU128"/>
      <c r="WFV128"/>
      <c r="WFW128"/>
      <c r="WFX128"/>
      <c r="WFY128"/>
      <c r="WFZ128"/>
      <c r="WGA128"/>
      <c r="WGB128"/>
      <c r="WGC128"/>
      <c r="WGD128"/>
      <c r="WGE128"/>
      <c r="WGF128"/>
      <c r="WGG128"/>
      <c r="WGH128"/>
      <c r="WGI128"/>
      <c r="WGJ128"/>
      <c r="WGK128"/>
      <c r="WGL128"/>
      <c r="WGM128"/>
      <c r="WGN128"/>
      <c r="WGO128"/>
      <c r="WGP128"/>
      <c r="WGQ128"/>
      <c r="WGR128"/>
      <c r="WGS128"/>
      <c r="WGT128"/>
      <c r="WGU128"/>
      <c r="WGV128"/>
      <c r="WGW128"/>
      <c r="WGX128"/>
      <c r="WGY128"/>
      <c r="WGZ128"/>
      <c r="WHA128"/>
      <c r="WHB128"/>
      <c r="WHC128"/>
      <c r="WHD128"/>
      <c r="WHE128"/>
      <c r="WHF128"/>
      <c r="WHG128"/>
      <c r="WHH128"/>
      <c r="WHI128"/>
      <c r="WHJ128"/>
      <c r="WHK128"/>
      <c r="WHL128"/>
      <c r="WHM128"/>
      <c r="WHN128"/>
      <c r="WHO128"/>
      <c r="WHP128"/>
      <c r="WHQ128"/>
      <c r="WHR128"/>
      <c r="WHS128"/>
      <c r="WHT128"/>
      <c r="WHU128"/>
      <c r="WHV128"/>
      <c r="WHW128"/>
      <c r="WHX128"/>
      <c r="WHY128"/>
      <c r="WHZ128"/>
      <c r="WIA128"/>
      <c r="WIB128"/>
      <c r="WIC128"/>
      <c r="WID128"/>
      <c r="WIE128"/>
      <c r="WIF128"/>
      <c r="WIG128"/>
      <c r="WIH128"/>
      <c r="WII128"/>
      <c r="WIJ128"/>
      <c r="WIK128"/>
      <c r="WIL128"/>
      <c r="WIM128"/>
      <c r="WIN128"/>
      <c r="WIO128"/>
      <c r="WIP128"/>
      <c r="WIQ128"/>
      <c r="WIR128"/>
      <c r="WIS128"/>
      <c r="WIT128"/>
      <c r="WIU128"/>
      <c r="WIV128"/>
      <c r="WIW128"/>
      <c r="WIX128"/>
      <c r="WIY128"/>
      <c r="WIZ128"/>
      <c r="WJA128"/>
      <c r="WJB128"/>
      <c r="WJC128"/>
      <c r="WJD128"/>
      <c r="WJE128"/>
      <c r="WJF128"/>
      <c r="WJG128"/>
      <c r="WJH128"/>
      <c r="WJI128"/>
      <c r="WJJ128"/>
      <c r="WJK128"/>
      <c r="WJL128"/>
      <c r="WJM128"/>
      <c r="WJN128"/>
      <c r="WJO128"/>
      <c r="WJP128"/>
      <c r="WJQ128"/>
      <c r="WJR128"/>
      <c r="WJS128"/>
      <c r="WJT128"/>
      <c r="WJU128"/>
      <c r="WJV128"/>
      <c r="WJW128"/>
      <c r="WJX128"/>
      <c r="WJY128"/>
      <c r="WJZ128"/>
      <c r="WKA128"/>
      <c r="WKB128"/>
      <c r="WKC128"/>
      <c r="WKD128"/>
      <c r="WKE128"/>
      <c r="WKF128"/>
      <c r="WKG128"/>
      <c r="WKH128"/>
      <c r="WKI128"/>
      <c r="WKJ128"/>
      <c r="WKK128"/>
      <c r="WKL128"/>
      <c r="WKM128"/>
      <c r="WKN128"/>
      <c r="WKO128"/>
      <c r="WKP128"/>
      <c r="WKQ128"/>
      <c r="WKR128"/>
      <c r="WKS128"/>
      <c r="WKT128"/>
      <c r="WKU128"/>
      <c r="WKV128"/>
      <c r="WKW128"/>
      <c r="WKX128"/>
      <c r="WKY128"/>
      <c r="WKZ128"/>
      <c r="WLA128"/>
      <c r="WLB128"/>
      <c r="WLC128"/>
      <c r="WLD128"/>
      <c r="WLE128"/>
      <c r="WLF128"/>
      <c r="WLG128"/>
      <c r="WLH128"/>
      <c r="WLI128"/>
      <c r="WLJ128"/>
      <c r="WLK128"/>
      <c r="WLL128"/>
      <c r="WLM128"/>
      <c r="WLN128"/>
      <c r="WLO128"/>
      <c r="WLP128"/>
      <c r="WLQ128"/>
      <c r="WLR128"/>
      <c r="WLS128"/>
      <c r="WLT128"/>
      <c r="WLU128"/>
      <c r="WLV128"/>
      <c r="WLW128"/>
      <c r="WLX128"/>
      <c r="WLY128"/>
      <c r="WLZ128"/>
      <c r="WMA128"/>
      <c r="WMB128"/>
      <c r="WMC128"/>
      <c r="WMD128"/>
      <c r="WME128"/>
      <c r="WMF128"/>
      <c r="WMG128"/>
      <c r="WMH128"/>
      <c r="WMI128"/>
      <c r="WMJ128"/>
      <c r="WMK128"/>
      <c r="WML128"/>
      <c r="WMM128"/>
      <c r="WMN128"/>
      <c r="WMO128"/>
      <c r="WMP128"/>
      <c r="WMQ128"/>
      <c r="WMR128"/>
      <c r="WMS128"/>
      <c r="WMT128"/>
      <c r="WMU128"/>
      <c r="WMV128"/>
      <c r="WMW128"/>
      <c r="WMX128"/>
      <c r="WMY128"/>
      <c r="WMZ128"/>
      <c r="WNA128"/>
      <c r="WNB128"/>
      <c r="WNC128"/>
      <c r="WND128"/>
      <c r="WNE128"/>
      <c r="WNF128"/>
      <c r="WNG128"/>
      <c r="WNH128"/>
      <c r="WNI128"/>
      <c r="WNJ128"/>
      <c r="WNK128"/>
      <c r="WNL128"/>
      <c r="WNM128"/>
      <c r="WNN128"/>
      <c r="WNO128"/>
      <c r="WNP128"/>
      <c r="WNQ128"/>
      <c r="WNR128"/>
      <c r="WNS128"/>
      <c r="WNT128"/>
      <c r="WNU128"/>
      <c r="WNV128"/>
      <c r="WNW128"/>
      <c r="WNX128"/>
      <c r="WNY128"/>
      <c r="WNZ128"/>
      <c r="WOA128"/>
      <c r="WOB128"/>
      <c r="WOC128"/>
      <c r="WOD128"/>
      <c r="WOE128"/>
      <c r="WOF128"/>
      <c r="WOG128"/>
      <c r="WOH128"/>
      <c r="WOI128"/>
      <c r="WOJ128"/>
      <c r="WOK128"/>
      <c r="WOL128"/>
      <c r="WOM128"/>
      <c r="WON128"/>
      <c r="WOO128"/>
      <c r="WOP128"/>
      <c r="WOQ128"/>
      <c r="WOR128"/>
      <c r="WOS128"/>
      <c r="WOT128"/>
      <c r="WOU128"/>
      <c r="WOV128"/>
      <c r="WOW128"/>
      <c r="WOX128"/>
      <c r="WOY128"/>
      <c r="WOZ128"/>
      <c r="WPA128"/>
      <c r="WPB128"/>
      <c r="WPC128"/>
      <c r="WPD128"/>
      <c r="WPE128"/>
      <c r="WPF128"/>
      <c r="WPG128"/>
      <c r="WPH128"/>
      <c r="WPI128"/>
      <c r="WPJ128"/>
      <c r="WPK128"/>
      <c r="WPL128"/>
      <c r="WPM128"/>
      <c r="WPN128"/>
      <c r="WPO128"/>
      <c r="WPP128"/>
      <c r="WPQ128"/>
      <c r="WPR128"/>
      <c r="WPS128"/>
      <c r="WPT128"/>
      <c r="WPU128"/>
      <c r="WPV128"/>
      <c r="WPW128"/>
      <c r="WPX128"/>
      <c r="WPY128"/>
      <c r="WPZ128"/>
      <c r="WQA128"/>
      <c r="WQB128"/>
      <c r="WQC128"/>
      <c r="WQD128"/>
      <c r="WQE128"/>
      <c r="WQF128"/>
      <c r="WQG128"/>
      <c r="WQH128"/>
      <c r="WQI128"/>
      <c r="WQJ128"/>
      <c r="WQK128"/>
      <c r="WQL128"/>
      <c r="WQM128"/>
      <c r="WQN128"/>
      <c r="WQO128"/>
      <c r="WQP128"/>
      <c r="WQQ128"/>
      <c r="WQR128"/>
      <c r="WQS128"/>
      <c r="WQT128"/>
      <c r="WQU128"/>
      <c r="WQV128"/>
      <c r="WQW128"/>
      <c r="WQX128"/>
      <c r="WQY128"/>
      <c r="WQZ128"/>
      <c r="WRA128"/>
      <c r="WRB128"/>
      <c r="WRC128"/>
      <c r="WRD128"/>
      <c r="WRE128"/>
      <c r="WRF128"/>
      <c r="WRG128"/>
      <c r="WRH128"/>
      <c r="WRI128"/>
      <c r="WRJ128"/>
      <c r="WRK128"/>
      <c r="WRL128"/>
      <c r="WRM128"/>
      <c r="WRN128"/>
      <c r="WRO128"/>
      <c r="WRP128"/>
      <c r="WRQ128"/>
      <c r="WRR128"/>
      <c r="WRS128"/>
      <c r="WRT128"/>
      <c r="WRU128"/>
      <c r="WRV128"/>
      <c r="WRW128"/>
      <c r="WRX128"/>
      <c r="WRY128"/>
      <c r="WRZ128"/>
      <c r="WSA128"/>
      <c r="WSB128"/>
      <c r="WSC128"/>
      <c r="WSD128"/>
      <c r="WSE128"/>
      <c r="WSF128"/>
      <c r="WSG128"/>
      <c r="WSH128"/>
      <c r="WSI128"/>
      <c r="WSJ128"/>
      <c r="WSK128"/>
      <c r="WSL128"/>
      <c r="WSM128"/>
      <c r="WSN128"/>
      <c r="WSO128"/>
      <c r="WSP128"/>
      <c r="WSQ128"/>
      <c r="WSR128"/>
      <c r="WSS128"/>
      <c r="WST128"/>
      <c r="WSU128"/>
      <c r="WSV128"/>
      <c r="WSW128"/>
      <c r="WSX128"/>
      <c r="WSY128"/>
      <c r="WSZ128"/>
      <c r="WTA128"/>
      <c r="WTB128"/>
      <c r="WTC128"/>
      <c r="WTD128"/>
      <c r="WTE128"/>
      <c r="WTF128"/>
      <c r="WTG128"/>
      <c r="WTH128"/>
      <c r="WTI128"/>
      <c r="WTJ128"/>
      <c r="WTK128"/>
      <c r="WTL128"/>
      <c r="WTM128"/>
      <c r="WTN128"/>
      <c r="WTO128"/>
      <c r="WTP128"/>
      <c r="WTQ128"/>
      <c r="WTR128"/>
      <c r="WTS128"/>
      <c r="WTT128"/>
      <c r="WTU128"/>
      <c r="WTV128"/>
      <c r="WTW128"/>
      <c r="WTX128"/>
      <c r="WTY128"/>
      <c r="WTZ128"/>
      <c r="WUA128"/>
      <c r="WUB128"/>
      <c r="WUC128"/>
      <c r="WUD128"/>
      <c r="WUE128"/>
      <c r="WUF128"/>
      <c r="WUG128"/>
      <c r="WUH128"/>
      <c r="WUI128"/>
      <c r="WUJ128"/>
      <c r="WUK128"/>
      <c r="WUL128"/>
      <c r="WUM128"/>
      <c r="WUN128"/>
      <c r="WUO128"/>
      <c r="WUP128"/>
      <c r="WUQ128"/>
      <c r="WUR128"/>
      <c r="WUS128"/>
      <c r="WUT128"/>
      <c r="WUU128"/>
      <c r="WUV128"/>
      <c r="WUW128"/>
      <c r="WUX128"/>
      <c r="WUY128"/>
      <c r="WUZ128"/>
      <c r="WVA128"/>
      <c r="WVB128"/>
      <c r="WVC128"/>
      <c r="WVD128"/>
      <c r="WVE128"/>
      <c r="WVF128"/>
      <c r="WVG128"/>
      <c r="WVH128"/>
      <c r="WVI128"/>
      <c r="WVJ128"/>
      <c r="WVK128"/>
      <c r="WVL128"/>
      <c r="WVM128"/>
      <c r="WVN128"/>
      <c r="WVO128"/>
      <c r="WVP128"/>
      <c r="WVQ128"/>
      <c r="WVR128"/>
      <c r="WVS128"/>
      <c r="WVT128"/>
      <c r="WVU128"/>
      <c r="WVV128"/>
      <c r="WVW128"/>
      <c r="WVX128"/>
      <c r="WVY128"/>
      <c r="WVZ128"/>
      <c r="WWA128"/>
      <c r="WWB128"/>
      <c r="WWC128"/>
      <c r="WWD128"/>
      <c r="WWE128"/>
      <c r="WWF128"/>
      <c r="WWG128"/>
      <c r="WWH128"/>
      <c r="WWI128"/>
      <c r="WWJ128"/>
      <c r="WWK128"/>
      <c r="WWL128"/>
      <c r="WWM128"/>
      <c r="WWN128"/>
      <c r="WWO128"/>
      <c r="WWP128"/>
      <c r="WWQ128"/>
      <c r="WWR128"/>
      <c r="WWS128"/>
      <c r="WWT128"/>
      <c r="WWU128"/>
      <c r="WWV128"/>
      <c r="WWW128"/>
      <c r="WWX128"/>
      <c r="WWY128"/>
      <c r="WWZ128"/>
      <c r="WXA128"/>
      <c r="WXB128"/>
      <c r="WXC128"/>
      <c r="WXD128"/>
      <c r="WXE128"/>
      <c r="WXF128"/>
      <c r="WXG128"/>
      <c r="WXH128"/>
      <c r="WXI128"/>
      <c r="WXJ128"/>
      <c r="WXK128"/>
      <c r="WXL128"/>
      <c r="WXM128"/>
      <c r="WXN128"/>
      <c r="WXO128"/>
      <c r="WXP128"/>
      <c r="WXQ128"/>
      <c r="WXR128"/>
      <c r="WXS128"/>
      <c r="WXT128"/>
      <c r="WXU128"/>
      <c r="WXV128"/>
      <c r="WXW128"/>
      <c r="WXX128"/>
      <c r="WXY128"/>
      <c r="WXZ128"/>
      <c r="WYA128"/>
      <c r="WYB128"/>
      <c r="WYC128"/>
      <c r="WYD128"/>
      <c r="WYE128"/>
      <c r="WYF128"/>
      <c r="WYG128"/>
      <c r="WYH128"/>
      <c r="WYI128"/>
      <c r="WYJ128"/>
      <c r="WYK128"/>
      <c r="WYL128"/>
      <c r="WYM128"/>
      <c r="WYN128"/>
      <c r="WYO128"/>
      <c r="WYP128"/>
      <c r="WYQ128"/>
      <c r="WYR128"/>
      <c r="WYS128"/>
      <c r="WYT128"/>
      <c r="WYU128"/>
      <c r="WYV128"/>
      <c r="WYW128"/>
      <c r="WYX128"/>
      <c r="WYY128"/>
      <c r="WYZ128"/>
      <c r="WZA128"/>
      <c r="WZB128"/>
      <c r="WZC128"/>
      <c r="WZD128"/>
      <c r="WZE128"/>
      <c r="WZF128"/>
      <c r="WZG128"/>
      <c r="WZH128"/>
      <c r="WZI128"/>
      <c r="WZJ128"/>
      <c r="WZK128"/>
      <c r="WZL128"/>
      <c r="WZM128"/>
      <c r="WZN128"/>
      <c r="WZO128"/>
      <c r="WZP128"/>
      <c r="WZQ128"/>
      <c r="WZR128"/>
      <c r="WZS128"/>
      <c r="WZT128"/>
      <c r="WZU128"/>
      <c r="WZV128"/>
      <c r="WZW128"/>
      <c r="WZX128"/>
      <c r="WZY128"/>
      <c r="WZZ128"/>
      <c r="XAA128"/>
      <c r="XAB128"/>
      <c r="XAC128"/>
      <c r="XAD128"/>
      <c r="XAE128"/>
      <c r="XAF128"/>
      <c r="XAG128"/>
      <c r="XAH128"/>
      <c r="XAI128"/>
      <c r="XAJ128"/>
      <c r="XAK128"/>
      <c r="XAL128"/>
      <c r="XAM128"/>
      <c r="XAN128"/>
      <c r="XAO128"/>
      <c r="XAP128"/>
      <c r="XAQ128"/>
      <c r="XAR128"/>
      <c r="XAS128"/>
      <c r="XAT128"/>
      <c r="XAU128"/>
      <c r="XAV128"/>
      <c r="XAW128"/>
      <c r="XAX128"/>
      <c r="XAY128"/>
      <c r="XAZ128"/>
      <c r="XBA128"/>
      <c r="XBB128"/>
      <c r="XBC128"/>
      <c r="XBD128"/>
      <c r="XBE128"/>
      <c r="XBF128"/>
      <c r="XBG128"/>
      <c r="XBH128"/>
      <c r="XBI128"/>
      <c r="XBJ128"/>
      <c r="XBK128"/>
      <c r="XBL128"/>
      <c r="XBM128"/>
      <c r="XBN128"/>
      <c r="XBO128"/>
      <c r="XBP128"/>
      <c r="XBQ128"/>
      <c r="XBR128"/>
      <c r="XBS128"/>
      <c r="XBT128"/>
      <c r="XBU128"/>
      <c r="XBV128"/>
      <c r="XBW128"/>
      <c r="XBX128"/>
      <c r="XBY128"/>
      <c r="XBZ128"/>
      <c r="XCA128"/>
      <c r="XCB128"/>
      <c r="XCC128"/>
      <c r="XCD128"/>
      <c r="XCE128"/>
      <c r="XCF128"/>
      <c r="XCG128"/>
      <c r="XCH128"/>
      <c r="XCI128"/>
      <c r="XCJ128"/>
      <c r="XCK128"/>
      <c r="XCL128"/>
      <c r="XCM128"/>
      <c r="XCN128"/>
      <c r="XCO128"/>
      <c r="XCP128"/>
      <c r="XCQ128"/>
      <c r="XCR128"/>
      <c r="XCS128"/>
      <c r="XCT128"/>
      <c r="XCU128"/>
      <c r="XCV128"/>
      <c r="XCW128"/>
      <c r="XCX128"/>
      <c r="XCY128"/>
      <c r="XCZ128"/>
      <c r="XDA128"/>
      <c r="XDB128"/>
      <c r="XDC128"/>
      <c r="XDD128"/>
      <c r="XDE128"/>
      <c r="XDF128"/>
      <c r="XDG128"/>
      <c r="XDH128"/>
      <c r="XDI128"/>
      <c r="XDJ128"/>
      <c r="XDK128"/>
      <c r="XDL128"/>
      <c r="XDM128"/>
      <c r="XDN128"/>
      <c r="XDO128"/>
      <c r="XDP128"/>
      <c r="XDQ128"/>
      <c r="XDR128"/>
      <c r="XDS128"/>
      <c r="XDT128"/>
      <c r="XDU128"/>
      <c r="XDV128"/>
      <c r="XDW128"/>
      <c r="XDX128"/>
      <c r="XDY128"/>
      <c r="XDZ128"/>
      <c r="XEA128"/>
      <c r="XEB128"/>
      <c r="XEC128"/>
      <c r="XED128"/>
      <c r="XEE128"/>
      <c r="XEF128"/>
      <c r="XEG128"/>
      <c r="XEH128"/>
      <c r="XEI128"/>
      <c r="XEJ128"/>
      <c r="XEK128"/>
      <c r="XEL128"/>
      <c r="XEM128"/>
      <c r="XEN128"/>
      <c r="XEO128"/>
      <c r="XEP128"/>
      <c r="XEQ128"/>
      <c r="XER128"/>
      <c r="XES128"/>
      <c r="XET128"/>
      <c r="XEU128"/>
      <c r="XEV128"/>
      <c r="XEW128"/>
      <c r="XEX128"/>
      <c r="XEY128"/>
      <c r="XEZ128"/>
      <c r="XFA128"/>
      <c r="XFB128"/>
      <c r="XFC128"/>
      <c r="XFD128"/>
    </row>
    <row r="129" spans="3:71" outlineLevel="1" x14ac:dyDescent="0.2">
      <c r="C129" s="11" t="str">
        <f>CHOOSE(db_ML_selected,'Liste Traduction'!B194,'Liste Traduction'!C194)</f>
        <v>Prix du gaz</v>
      </c>
    </row>
    <row r="130" spans="3:71" outlineLevel="1" x14ac:dyDescent="0.2">
      <c r="D130" t="str">
        <f>CHOOSE(db_ML_selected,'Liste Traduction'!B195,'Liste Traduction'!C195)</f>
        <v>Prix du gaz sélectionné (nominal)</v>
      </c>
      <c r="G130" s="29" t="str">
        <f>field_selected</f>
        <v>Moho</v>
      </c>
      <c r="J130" s="26" t="s">
        <v>682</v>
      </c>
      <c r="K130" s="7" t="s">
        <v>49</v>
      </c>
      <c r="L130" s="18">
        <f t="shared" ref="L130:Z130" ca="1" si="30">OFFSET(L$130,MATCH(field_selected,list_FieldName,0)+1,0)</f>
        <v>0</v>
      </c>
      <c r="M130" s="18">
        <f t="shared" ca="1" si="30"/>
        <v>0</v>
      </c>
      <c r="N130" s="18">
        <f t="shared" ca="1" si="30"/>
        <v>0</v>
      </c>
      <c r="O130" s="18">
        <f t="shared" ca="1" si="30"/>
        <v>0</v>
      </c>
      <c r="P130" s="18">
        <f t="shared" ca="1" si="30"/>
        <v>0</v>
      </c>
      <c r="Q130" s="18">
        <f t="shared" ca="1" si="30"/>
        <v>0</v>
      </c>
      <c r="R130" s="18">
        <f t="shared" ca="1" si="30"/>
        <v>0</v>
      </c>
      <c r="S130" s="18">
        <f t="shared" ca="1" si="30"/>
        <v>0</v>
      </c>
      <c r="T130" s="18">
        <f t="shared" ca="1" si="30"/>
        <v>0</v>
      </c>
      <c r="U130" s="18">
        <f t="shared" ca="1" si="30"/>
        <v>0</v>
      </c>
      <c r="V130" s="18">
        <f t="shared" ca="1" si="30"/>
        <v>0</v>
      </c>
      <c r="W130" s="18">
        <f t="shared" ca="1" si="30"/>
        <v>0</v>
      </c>
      <c r="X130" s="18">
        <f t="shared" ca="1" si="30"/>
        <v>0</v>
      </c>
      <c r="Y130" s="18">
        <f t="shared" ca="1" si="30"/>
        <v>0</v>
      </c>
      <c r="Z130" s="18">
        <f t="shared" ca="1" si="30"/>
        <v>0</v>
      </c>
      <c r="AA130" s="18"/>
      <c r="AB130" s="18"/>
      <c r="AC130" s="18"/>
      <c r="AD130" s="18"/>
      <c r="AE130" s="18"/>
      <c r="AF130" s="18"/>
      <c r="AG130" s="18"/>
      <c r="AH130" s="18"/>
      <c r="AI130" s="18"/>
      <c r="AJ130" s="18"/>
      <c r="AK130" s="18"/>
      <c r="AL130" s="18"/>
      <c r="AM130" s="18"/>
      <c r="AN130" s="18"/>
      <c r="AO130" s="18"/>
      <c r="AP130" s="18"/>
      <c r="AQ130" s="18"/>
      <c r="AR130" s="18"/>
      <c r="AS130" s="18"/>
      <c r="AT130" s="18"/>
      <c r="AU130" s="18"/>
      <c r="AV130" s="18"/>
      <c r="AW130" s="18"/>
      <c r="AX130" s="18"/>
      <c r="AY130" s="18"/>
      <c r="AZ130" s="18"/>
      <c r="BA130" s="18"/>
      <c r="BB130" s="18"/>
      <c r="BC130" s="18"/>
      <c r="BD130" s="18"/>
      <c r="BE130" s="18"/>
      <c r="BF130" s="18"/>
      <c r="BG130" s="18"/>
      <c r="BH130" s="18"/>
      <c r="BI130" s="18"/>
      <c r="BJ130" s="18"/>
      <c r="BK130" s="18"/>
      <c r="BL130" s="18"/>
      <c r="BM130" s="18"/>
      <c r="BN130" s="18"/>
      <c r="BO130" s="18"/>
      <c r="BP130" s="18"/>
      <c r="BQ130" s="18"/>
      <c r="BR130" s="18"/>
      <c r="BS130" s="18"/>
    </row>
    <row r="131" spans="3:71" outlineLevel="1" x14ac:dyDescent="0.2"/>
    <row r="132" spans="3:71" outlineLevel="1" x14ac:dyDescent="0.2">
      <c r="C132" s="27">
        <v>1</v>
      </c>
      <c r="D132" t="str" cm="1">
        <f t="array" ref="D132:D136">list_FieldName</f>
        <v>Nkossa</v>
      </c>
      <c r="J132" s="26" t="s">
        <v>682</v>
      </c>
      <c r="L132" s="28"/>
      <c r="M132" s="28"/>
      <c r="N132" s="28"/>
      <c r="O132" s="28"/>
      <c r="P132" s="28"/>
      <c r="Q132" s="28"/>
      <c r="R132" s="28"/>
      <c r="S132" s="28"/>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c r="AU132" s="18"/>
      <c r="AV132" s="18"/>
      <c r="AW132" s="18"/>
      <c r="AX132" s="18"/>
      <c r="AY132" s="18"/>
      <c r="AZ132" s="18"/>
      <c r="BA132" s="18"/>
      <c r="BB132" s="18"/>
      <c r="BC132" s="18"/>
      <c r="BD132" s="18"/>
      <c r="BE132" s="18"/>
      <c r="BF132" s="18"/>
      <c r="BG132" s="18"/>
      <c r="BH132" s="18"/>
      <c r="BI132" s="18"/>
      <c r="BJ132" s="18"/>
      <c r="BK132" s="18"/>
      <c r="BL132" s="18"/>
      <c r="BM132" s="18"/>
      <c r="BN132" s="18"/>
      <c r="BO132" s="18"/>
      <c r="BP132" s="18"/>
      <c r="BQ132" s="18"/>
      <c r="BR132" s="18"/>
      <c r="BS132" s="18"/>
    </row>
    <row r="133" spans="3:71" outlineLevel="1" x14ac:dyDescent="0.2">
      <c r="C133" s="27">
        <f>C132+1</f>
        <v>2</v>
      </c>
      <c r="D133" t="str">
        <v>Nsoko</v>
      </c>
      <c r="J133" s="26" t="s">
        <v>682</v>
      </c>
      <c r="L133" s="28"/>
      <c r="M133" s="28"/>
      <c r="N133" s="28"/>
      <c r="O133" s="28"/>
      <c r="P133" s="28"/>
      <c r="Q133" s="28"/>
      <c r="R133" s="28"/>
      <c r="S133" s="28"/>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8"/>
      <c r="AU133" s="18"/>
      <c r="AV133" s="18"/>
      <c r="AW133" s="18"/>
      <c r="AX133" s="18"/>
      <c r="AY133" s="18"/>
      <c r="AZ133" s="18"/>
      <c r="BA133" s="18"/>
      <c r="BB133" s="18"/>
      <c r="BC133" s="18"/>
      <c r="BD133" s="18"/>
      <c r="BE133" s="18"/>
      <c r="BF133" s="18"/>
      <c r="BG133" s="18"/>
      <c r="BH133" s="18"/>
      <c r="BI133" s="18"/>
      <c r="BJ133" s="18"/>
      <c r="BK133" s="18"/>
      <c r="BL133" s="18"/>
      <c r="BM133" s="18"/>
      <c r="BN133" s="18"/>
      <c r="BO133" s="18"/>
      <c r="BP133" s="18"/>
      <c r="BQ133" s="18"/>
      <c r="BR133" s="18"/>
      <c r="BS133" s="18"/>
    </row>
    <row r="134" spans="3:71" outlineLevel="1" x14ac:dyDescent="0.2">
      <c r="C134" s="27">
        <f t="shared" ref="C134:C136" si="31">C133+1</f>
        <v>3</v>
      </c>
      <c r="D134" t="str">
        <v>Moho</v>
      </c>
      <c r="J134" s="26" t="s">
        <v>682</v>
      </c>
      <c r="L134" s="28"/>
      <c r="M134" s="28"/>
      <c r="N134" s="28"/>
      <c r="O134" s="28"/>
      <c r="P134" s="28"/>
      <c r="Q134" s="28"/>
      <c r="R134" s="28"/>
      <c r="S134" s="28"/>
      <c r="T134" s="18"/>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8"/>
      <c r="AT134" s="18"/>
      <c r="AU134" s="18"/>
      <c r="AV134" s="18"/>
      <c r="AW134" s="18"/>
      <c r="AX134" s="18"/>
      <c r="AY134" s="18"/>
      <c r="AZ134" s="18"/>
      <c r="BA134" s="18"/>
      <c r="BB134" s="18"/>
      <c r="BC134" s="18"/>
      <c r="BD134" s="18"/>
      <c r="BE134" s="18"/>
      <c r="BF134" s="18"/>
      <c r="BG134" s="18"/>
      <c r="BH134" s="18"/>
      <c r="BI134" s="18"/>
      <c r="BJ134" s="18"/>
      <c r="BK134" s="18"/>
      <c r="BL134" s="18"/>
      <c r="BM134" s="18"/>
      <c r="BN134" s="18"/>
      <c r="BO134" s="18"/>
      <c r="BP134" s="18"/>
      <c r="BQ134" s="18"/>
      <c r="BR134" s="18"/>
      <c r="BS134" s="18"/>
    </row>
    <row r="135" spans="3:71" outlineLevel="1" x14ac:dyDescent="0.2">
      <c r="C135" s="27">
        <f t="shared" si="31"/>
        <v>4</v>
      </c>
      <c r="D135" t="str">
        <v>KLL</v>
      </c>
      <c r="J135" s="26" t="s">
        <v>682</v>
      </c>
      <c r="L135" s="28"/>
      <c r="M135" s="28"/>
      <c r="N135" s="28"/>
      <c r="O135" s="28"/>
      <c r="P135" s="28"/>
      <c r="Q135" s="28"/>
      <c r="R135" s="28"/>
      <c r="S135" s="28"/>
      <c r="T135" s="18"/>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8"/>
      <c r="AT135" s="18"/>
      <c r="AU135" s="18"/>
      <c r="AV135" s="18"/>
      <c r="AW135" s="18"/>
      <c r="AX135" s="18"/>
      <c r="AY135" s="18"/>
      <c r="AZ135" s="18"/>
      <c r="BA135" s="18"/>
      <c r="BB135" s="18"/>
      <c r="BC135" s="18"/>
      <c r="BD135" s="18"/>
      <c r="BE135" s="18"/>
      <c r="BF135" s="18"/>
      <c r="BG135" s="18"/>
      <c r="BH135" s="18"/>
      <c r="BI135" s="18"/>
      <c r="BJ135" s="18"/>
      <c r="BK135" s="18"/>
      <c r="BL135" s="18"/>
      <c r="BM135" s="18"/>
      <c r="BN135" s="18"/>
      <c r="BO135" s="18"/>
      <c r="BP135" s="18"/>
      <c r="BQ135" s="18"/>
      <c r="BR135" s="18"/>
      <c r="BS135" s="18"/>
    </row>
    <row r="136" spans="3:71" outlineLevel="1" x14ac:dyDescent="0.2">
      <c r="C136" s="27">
        <f t="shared" si="31"/>
        <v>5</v>
      </c>
      <c r="D136">
        <v>0</v>
      </c>
      <c r="J136" s="26" t="s">
        <v>682</v>
      </c>
      <c r="L136" s="28"/>
      <c r="M136" s="28">
        <f>N136/1.02</f>
        <v>106.10636437157464</v>
      </c>
      <c r="N136" s="28">
        <f>O136/1.02</f>
        <v>108.22849165900614</v>
      </c>
      <c r="O136" s="28">
        <f>P136/1.02</f>
        <v>110.39306149218626</v>
      </c>
      <c r="P136" s="28">
        <f>Q136/1.02</f>
        <v>112.60092272202999</v>
      </c>
      <c r="Q136" s="28">
        <f>R136/1.02</f>
        <v>114.85294117647059</v>
      </c>
      <c r="R136" s="28">
        <v>117.15</v>
      </c>
      <c r="S136" s="28">
        <v>119.5</v>
      </c>
      <c r="T136" s="18">
        <v>121.89</v>
      </c>
      <c r="U136" s="18">
        <v>124.32</v>
      </c>
      <c r="V136" s="18">
        <v>126.81</v>
      </c>
      <c r="W136" s="18">
        <v>129.35</v>
      </c>
      <c r="X136" s="18">
        <v>131.93</v>
      </c>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c r="AU136" s="18"/>
      <c r="AV136" s="18"/>
      <c r="AW136" s="18"/>
      <c r="AX136" s="18"/>
      <c r="AY136" s="18"/>
      <c r="AZ136" s="18"/>
      <c r="BA136" s="18"/>
      <c r="BB136" s="18"/>
      <c r="BC136" s="18"/>
      <c r="BD136" s="18"/>
      <c r="BE136" s="18"/>
      <c r="BF136" s="18"/>
      <c r="BG136" s="18"/>
      <c r="BH136" s="18"/>
      <c r="BI136" s="18"/>
      <c r="BJ136" s="18"/>
      <c r="BK136" s="18"/>
      <c r="BL136" s="18"/>
      <c r="BM136" s="18"/>
      <c r="BN136" s="18"/>
      <c r="BO136" s="18"/>
      <c r="BP136" s="18"/>
      <c r="BQ136" s="18"/>
      <c r="BR136" s="18"/>
      <c r="BS136" s="18"/>
    </row>
    <row r="137" spans="3:71" outlineLevel="1" x14ac:dyDescent="0.2"/>
    <row r="138" spans="3:71" outlineLevel="1" x14ac:dyDescent="0.2">
      <c r="C138" s="11" t="str">
        <f>CHOOSE(db_ML_selected,'Liste Traduction'!B196,'Liste Traduction'!C196)</f>
        <v>Prix du GPL</v>
      </c>
    </row>
    <row r="139" spans="3:71" outlineLevel="1" x14ac:dyDescent="0.2">
      <c r="D139" t="str">
        <f>CHOOSE(db_ML_selected,'Liste Traduction'!B197,'Liste Traduction'!C197)</f>
        <v>Prix du GPL sélectionné (nominal)</v>
      </c>
      <c r="G139" s="29" t="str">
        <f>field_selected</f>
        <v>Moho</v>
      </c>
      <c r="J139" s="26" t="s">
        <v>46</v>
      </c>
      <c r="K139" s="7" t="s">
        <v>681</v>
      </c>
      <c r="L139" s="18">
        <f t="shared" ref="L139:Z139" ca="1" si="32">OFFSET(L$139,MATCH(field_selected,list_FieldName,0)+1,0)</f>
        <v>0</v>
      </c>
      <c r="M139" s="18">
        <f t="shared" ca="1" si="32"/>
        <v>0</v>
      </c>
      <c r="N139" s="18">
        <f t="shared" ca="1" si="32"/>
        <v>0</v>
      </c>
      <c r="O139" s="18">
        <f t="shared" ca="1" si="32"/>
        <v>0</v>
      </c>
      <c r="P139" s="18">
        <f t="shared" ca="1" si="32"/>
        <v>0</v>
      </c>
      <c r="Q139" s="18">
        <f t="shared" ca="1" si="32"/>
        <v>0</v>
      </c>
      <c r="R139" s="18">
        <f t="shared" ca="1" si="32"/>
        <v>0</v>
      </c>
      <c r="S139" s="18">
        <f t="shared" ca="1" si="32"/>
        <v>0</v>
      </c>
      <c r="T139" s="18">
        <f t="shared" ca="1" si="32"/>
        <v>0</v>
      </c>
      <c r="U139" s="18">
        <f t="shared" ca="1" si="32"/>
        <v>0</v>
      </c>
      <c r="V139" s="18">
        <f t="shared" ca="1" si="32"/>
        <v>0</v>
      </c>
      <c r="W139" s="18">
        <f t="shared" ca="1" si="32"/>
        <v>0</v>
      </c>
      <c r="X139" s="18">
        <f t="shared" ca="1" si="32"/>
        <v>0</v>
      </c>
      <c r="Y139" s="18">
        <f t="shared" ca="1" si="32"/>
        <v>0</v>
      </c>
      <c r="Z139" s="18">
        <f t="shared" ca="1" si="32"/>
        <v>0</v>
      </c>
      <c r="AA139" s="18"/>
      <c r="AB139" s="18"/>
      <c r="AC139" s="18"/>
      <c r="AD139" s="18"/>
      <c r="AE139" s="18"/>
      <c r="AF139" s="18"/>
      <c r="AG139" s="18"/>
      <c r="AH139" s="18"/>
      <c r="AI139" s="18"/>
      <c r="AJ139" s="18"/>
      <c r="AK139" s="18"/>
      <c r="AL139" s="18"/>
      <c r="AM139" s="18"/>
      <c r="AN139" s="18"/>
      <c r="AO139" s="18"/>
      <c r="AP139" s="18"/>
      <c r="AQ139" s="18"/>
      <c r="AR139" s="18"/>
      <c r="AS139" s="18"/>
      <c r="AT139" s="18"/>
      <c r="AU139" s="18"/>
      <c r="AV139" s="18"/>
      <c r="AW139" s="18"/>
      <c r="AX139" s="18"/>
      <c r="AY139" s="18"/>
      <c r="AZ139" s="18"/>
      <c r="BA139" s="18"/>
      <c r="BB139" s="18"/>
      <c r="BC139" s="18"/>
      <c r="BD139" s="18"/>
      <c r="BE139" s="18"/>
      <c r="BF139" s="18"/>
      <c r="BG139" s="18"/>
      <c r="BH139" s="18"/>
      <c r="BI139" s="18"/>
      <c r="BJ139" s="18"/>
      <c r="BK139" s="18"/>
      <c r="BL139" s="18"/>
      <c r="BM139" s="18"/>
      <c r="BN139" s="18"/>
      <c r="BO139" s="18"/>
      <c r="BP139" s="18"/>
      <c r="BQ139" s="18"/>
      <c r="BR139" s="18"/>
      <c r="BS139" s="18"/>
    </row>
    <row r="140" spans="3:71" outlineLevel="1" x14ac:dyDescent="0.2"/>
    <row r="141" spans="3:71" outlineLevel="1" x14ac:dyDescent="0.2">
      <c r="C141" s="27">
        <v>1</v>
      </c>
      <c r="D141" t="str" cm="1">
        <f t="array" ref="D141:D145">list_FieldName</f>
        <v>Nkossa</v>
      </c>
      <c r="J141" s="26" t="s">
        <v>46</v>
      </c>
      <c r="L141" s="28">
        <v>73.916836047314021</v>
      </c>
      <c r="M141" s="28">
        <v>62.353883560972321</v>
      </c>
      <c r="N141" s="28">
        <v>29.433815949902208</v>
      </c>
      <c r="O141" s="28">
        <v>24.231858673176394</v>
      </c>
      <c r="P141" s="28">
        <v>35.101419095444811</v>
      </c>
      <c r="Q141" s="28">
        <v>43.938929028445237</v>
      </c>
      <c r="R141" s="28">
        <v>31.072871993720188</v>
      </c>
      <c r="S141" s="28">
        <v>41.00483333333333</v>
      </c>
      <c r="T141" s="18">
        <f t="shared" ref="T141:X142" si="33">T123*(1-df_LPG_dscount)</f>
        <v>39.91104</v>
      </c>
      <c r="U141" s="18">
        <f t="shared" si="33"/>
        <v>42.84</v>
      </c>
      <c r="V141" s="18">
        <f t="shared" si="33"/>
        <v>43.696800000000003</v>
      </c>
      <c r="W141" s="18">
        <f t="shared" si="33"/>
        <v>44.570735999999997</v>
      </c>
      <c r="X141" s="18">
        <f t="shared" si="33"/>
        <v>45.462150720000004</v>
      </c>
      <c r="Y141" s="18"/>
      <c r="Z141" s="18"/>
      <c r="AA141" s="18"/>
      <c r="AB141" s="18"/>
      <c r="AC141" s="18"/>
      <c r="AD141" s="18"/>
      <c r="AE141" s="18"/>
      <c r="AF141" s="18"/>
      <c r="AG141" s="18"/>
      <c r="AH141" s="18"/>
      <c r="AI141" s="18"/>
      <c r="AJ141" s="18"/>
      <c r="AK141" s="18"/>
      <c r="AL141" s="18"/>
      <c r="AM141" s="18"/>
      <c r="AN141" s="18"/>
      <c r="AO141" s="18"/>
      <c r="AP141" s="18"/>
      <c r="AQ141" s="18"/>
      <c r="AR141" s="18"/>
      <c r="AS141" s="18"/>
      <c r="AT141" s="18"/>
      <c r="AU141" s="18"/>
      <c r="AV141" s="18"/>
      <c r="AW141" s="18"/>
      <c r="AX141" s="18"/>
      <c r="AY141" s="18"/>
      <c r="AZ141" s="18"/>
      <c r="BA141" s="18"/>
      <c r="BB141" s="18"/>
      <c r="BC141" s="18"/>
      <c r="BD141" s="18"/>
      <c r="BE141" s="18"/>
      <c r="BF141" s="18"/>
      <c r="BG141" s="18"/>
      <c r="BH141" s="18"/>
      <c r="BI141" s="18"/>
      <c r="BJ141" s="18"/>
      <c r="BK141" s="18"/>
      <c r="BL141" s="18"/>
      <c r="BM141" s="18"/>
      <c r="BN141" s="18"/>
      <c r="BO141" s="18"/>
      <c r="BP141" s="18"/>
      <c r="BQ141" s="18"/>
      <c r="BR141" s="18"/>
      <c r="BS141" s="18"/>
    </row>
    <row r="142" spans="3:71" outlineLevel="1" x14ac:dyDescent="0.2">
      <c r="C142" s="27">
        <f>C141+1</f>
        <v>2</v>
      </c>
      <c r="D142" t="str">
        <v>Nsoko</v>
      </c>
      <c r="J142" s="26" t="s">
        <v>46</v>
      </c>
      <c r="L142" s="28">
        <v>75.569879476134531</v>
      </c>
      <c r="M142" s="28">
        <v>65.935165105233324</v>
      </c>
      <c r="N142" s="28">
        <v>28.078451770509467</v>
      </c>
      <c r="O142" s="28">
        <v>23.137570699932404</v>
      </c>
      <c r="P142" s="28">
        <v>29.256735483870973</v>
      </c>
      <c r="Q142" s="28">
        <v>42.562816801619441</v>
      </c>
      <c r="R142" s="28">
        <v>33.53255195216321</v>
      </c>
      <c r="S142" s="28">
        <v>41.00483333333333</v>
      </c>
      <c r="T142" s="18">
        <f t="shared" si="33"/>
        <v>39.91104</v>
      </c>
      <c r="U142" s="18">
        <f t="shared" si="33"/>
        <v>42.84</v>
      </c>
      <c r="V142" s="18">
        <f t="shared" si="33"/>
        <v>43.696800000000003</v>
      </c>
      <c r="W142" s="18">
        <f t="shared" si="33"/>
        <v>44.570735999999997</v>
      </c>
      <c r="X142" s="18">
        <f t="shared" si="33"/>
        <v>45.462150720000004</v>
      </c>
      <c r="Y142" s="18"/>
      <c r="Z142" s="18"/>
      <c r="AA142" s="18"/>
      <c r="AB142" s="18"/>
      <c r="AC142" s="18"/>
      <c r="AD142" s="18"/>
      <c r="AE142" s="18"/>
      <c r="AF142" s="18"/>
      <c r="AG142" s="18"/>
      <c r="AH142" s="18"/>
      <c r="AI142" s="18"/>
      <c r="AJ142" s="18"/>
      <c r="AK142" s="18"/>
      <c r="AL142" s="18"/>
      <c r="AM142" s="18"/>
      <c r="AN142" s="18"/>
      <c r="AO142" s="18"/>
      <c r="AP142" s="18"/>
      <c r="AQ142" s="18"/>
      <c r="AR142" s="18"/>
      <c r="AS142" s="18"/>
      <c r="AT142" s="18"/>
      <c r="AU142" s="18"/>
      <c r="AV142" s="18"/>
      <c r="AW142" s="18"/>
      <c r="AX142" s="18"/>
      <c r="AY142" s="18"/>
      <c r="AZ142" s="18"/>
      <c r="BA142" s="18"/>
      <c r="BB142" s="18"/>
      <c r="BC142" s="18"/>
      <c r="BD142" s="18"/>
      <c r="BE142" s="18"/>
      <c r="BF142" s="18"/>
      <c r="BG142" s="18"/>
      <c r="BH142" s="18"/>
      <c r="BI142" s="18"/>
      <c r="BJ142" s="18"/>
      <c r="BK142" s="18"/>
      <c r="BL142" s="18"/>
      <c r="BM142" s="18"/>
      <c r="BN142" s="18"/>
      <c r="BO142" s="18"/>
      <c r="BP142" s="18"/>
      <c r="BQ142" s="18"/>
      <c r="BR142" s="18"/>
      <c r="BS142" s="18"/>
    </row>
    <row r="143" spans="3:71" outlineLevel="1" x14ac:dyDescent="0.2">
      <c r="C143" s="27">
        <f t="shared" ref="C143:C145" si="34">C142+1</f>
        <v>3</v>
      </c>
      <c r="D143" t="str">
        <v>Moho</v>
      </c>
      <c r="J143" s="26" t="s">
        <v>46</v>
      </c>
      <c r="L143" s="28"/>
      <c r="M143" s="28"/>
      <c r="N143" s="28"/>
      <c r="O143" s="28"/>
      <c r="P143" s="28"/>
      <c r="Q143" s="28"/>
      <c r="R143" s="28"/>
      <c r="S143" s="28"/>
      <c r="T143" s="18"/>
      <c r="U143" s="18"/>
      <c r="V143" s="18"/>
      <c r="W143" s="18"/>
      <c r="X143" s="18"/>
      <c r="Y143" s="18"/>
      <c r="Z143" s="18"/>
      <c r="AA143" s="18"/>
      <c r="AB143" s="18"/>
      <c r="AC143" s="18"/>
      <c r="AD143" s="18"/>
      <c r="AE143" s="18"/>
      <c r="AF143" s="18"/>
      <c r="AG143" s="18"/>
      <c r="AH143" s="18"/>
      <c r="AI143" s="18"/>
      <c r="AJ143" s="18"/>
      <c r="AK143" s="18"/>
      <c r="AL143" s="18"/>
      <c r="AM143" s="18"/>
      <c r="AN143" s="18"/>
      <c r="AO143" s="18"/>
      <c r="AP143" s="18"/>
      <c r="AQ143" s="18"/>
      <c r="AR143" s="18"/>
      <c r="AS143" s="18"/>
      <c r="AT143" s="18"/>
      <c r="AU143" s="18"/>
      <c r="AV143" s="18"/>
      <c r="AW143" s="18"/>
      <c r="AX143" s="18"/>
      <c r="AY143" s="18"/>
      <c r="AZ143" s="18"/>
      <c r="BA143" s="18"/>
      <c r="BB143" s="18"/>
      <c r="BC143" s="18"/>
      <c r="BD143" s="18"/>
      <c r="BE143" s="18"/>
      <c r="BF143" s="18"/>
      <c r="BG143" s="18"/>
      <c r="BH143" s="18"/>
      <c r="BI143" s="18"/>
      <c r="BJ143" s="18"/>
      <c r="BK143" s="18"/>
      <c r="BL143" s="18"/>
      <c r="BM143" s="18"/>
      <c r="BN143" s="18"/>
      <c r="BO143" s="18"/>
      <c r="BP143" s="18"/>
      <c r="BQ143" s="18"/>
      <c r="BR143" s="18"/>
      <c r="BS143" s="18"/>
    </row>
    <row r="144" spans="3:71" outlineLevel="1" x14ac:dyDescent="0.2">
      <c r="C144" s="27">
        <f t="shared" si="34"/>
        <v>4</v>
      </c>
      <c r="D144" t="str">
        <v>KLL</v>
      </c>
      <c r="J144" s="26" t="s">
        <v>46</v>
      </c>
      <c r="L144" s="28"/>
      <c r="M144" s="28"/>
      <c r="N144" s="28"/>
      <c r="O144" s="28"/>
      <c r="P144" s="28"/>
      <c r="Q144" s="28"/>
      <c r="R144" s="28"/>
      <c r="S144" s="28"/>
      <c r="T144" s="18"/>
      <c r="U144" s="18"/>
      <c r="V144" s="18"/>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8"/>
      <c r="AT144" s="18"/>
      <c r="AU144" s="18"/>
      <c r="AV144" s="18"/>
      <c r="AW144" s="18"/>
      <c r="AX144" s="18"/>
      <c r="AY144" s="18"/>
      <c r="AZ144" s="18"/>
      <c r="BA144" s="18"/>
      <c r="BB144" s="18"/>
      <c r="BC144" s="18"/>
      <c r="BD144" s="18"/>
      <c r="BE144" s="18"/>
      <c r="BF144" s="18"/>
      <c r="BG144" s="18"/>
      <c r="BH144" s="18"/>
      <c r="BI144" s="18"/>
      <c r="BJ144" s="18"/>
      <c r="BK144" s="18"/>
      <c r="BL144" s="18"/>
      <c r="BM144" s="18"/>
      <c r="BN144" s="18"/>
      <c r="BO144" s="18"/>
      <c r="BP144" s="18"/>
      <c r="BQ144" s="18"/>
      <c r="BR144" s="18"/>
      <c r="BS144" s="18"/>
    </row>
    <row r="145" spans="1:93" outlineLevel="1" x14ac:dyDescent="0.2">
      <c r="C145" s="27">
        <f t="shared" si="34"/>
        <v>5</v>
      </c>
      <c r="D145">
        <v>0</v>
      </c>
      <c r="J145" s="26" t="s">
        <v>46</v>
      </c>
      <c r="L145" s="28"/>
      <c r="M145" s="28"/>
      <c r="N145" s="28"/>
      <c r="O145" s="28"/>
      <c r="P145" s="28"/>
      <c r="Q145" s="28"/>
      <c r="R145" s="28"/>
      <c r="S145" s="28"/>
      <c r="T145" s="18"/>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8"/>
      <c r="AT145" s="18"/>
      <c r="AU145" s="18"/>
      <c r="AV145" s="18"/>
      <c r="AW145" s="18"/>
      <c r="AX145" s="18"/>
      <c r="AY145" s="18"/>
      <c r="AZ145" s="18"/>
      <c r="BA145" s="18"/>
      <c r="BB145" s="18"/>
      <c r="BC145" s="18"/>
      <c r="BD145" s="18"/>
      <c r="BE145" s="18"/>
      <c r="BF145" s="18"/>
      <c r="BG145" s="18"/>
      <c r="BH145" s="18"/>
      <c r="BI145" s="18"/>
      <c r="BJ145" s="18"/>
      <c r="BK145" s="18"/>
      <c r="BL145" s="18"/>
      <c r="BM145" s="18"/>
      <c r="BN145" s="18"/>
      <c r="BO145" s="18"/>
      <c r="BP145" s="18"/>
      <c r="BQ145" s="18"/>
      <c r="BR145" s="18"/>
      <c r="BS145" s="18"/>
    </row>
    <row r="146" spans="1:93" outlineLevel="1" x14ac:dyDescent="0.2"/>
    <row r="147" spans="1:93" outlineLevel="1" x14ac:dyDescent="0.2"/>
    <row r="148" spans="1:93" outlineLevel="1" x14ac:dyDescent="0.2">
      <c r="C148" s="11" t="str">
        <f>CHOOSE(db_ML_selected,'Liste Traduction'!B198,'Liste Traduction'!C198)</f>
        <v>PH réel</v>
      </c>
    </row>
    <row r="149" spans="1:93" outlineLevel="1" x14ac:dyDescent="0.2">
      <c r="D149" t="str">
        <f>D109</f>
        <v>sélectionnés</v>
      </c>
      <c r="G149" s="29" t="str">
        <f>field_selected</f>
        <v>Moho</v>
      </c>
      <c r="J149" s="26" t="s">
        <v>46</v>
      </c>
      <c r="K149" s="7" t="s">
        <v>665</v>
      </c>
      <c r="L149" s="18">
        <f t="shared" ref="L149:Z149" ca="1" si="35">OFFSET(L$149,MATCH(field_selected,list_FieldName,0)+1,0)</f>
        <v>27.028749999999999</v>
      </c>
      <c r="M149" s="18">
        <f t="shared" ca="1" si="35"/>
        <v>27.382999999999999</v>
      </c>
      <c r="N149" s="18">
        <f t="shared" ca="1" si="35"/>
        <v>27.72325</v>
      </c>
      <c r="O149" s="18">
        <f t="shared" ca="1" si="35"/>
        <v>28.14725</v>
      </c>
      <c r="P149" s="18">
        <f t="shared" ca="1" si="35"/>
        <v>97.840500000000006</v>
      </c>
      <c r="Q149" s="18">
        <f t="shared" ca="1" si="35"/>
        <v>100.089</v>
      </c>
      <c r="R149" s="18">
        <f t="shared" ca="1" si="35"/>
        <v>101.9695</v>
      </c>
      <c r="S149" s="18">
        <f t="shared" ca="1" si="35"/>
        <v>104.43</v>
      </c>
      <c r="T149" s="18">
        <f t="shared" ca="1" si="35"/>
        <v>0</v>
      </c>
      <c r="U149" s="18">
        <f t="shared" ca="1" si="35"/>
        <v>0</v>
      </c>
      <c r="V149" s="18">
        <f t="shared" ca="1" si="35"/>
        <v>0</v>
      </c>
      <c r="W149" s="18">
        <f t="shared" ca="1" si="35"/>
        <v>0</v>
      </c>
      <c r="X149" s="18">
        <f t="shared" ca="1" si="35"/>
        <v>0</v>
      </c>
      <c r="Y149" s="18">
        <f t="shared" ca="1" si="35"/>
        <v>0</v>
      </c>
      <c r="Z149" s="18">
        <f t="shared" ca="1" si="35"/>
        <v>0</v>
      </c>
      <c r="AA149" s="18"/>
      <c r="AB149" s="18"/>
      <c r="AC149" s="18"/>
      <c r="AD149" s="18"/>
      <c r="AE149" s="18"/>
      <c r="AF149" s="18"/>
      <c r="AG149" s="18"/>
      <c r="AH149" s="18"/>
      <c r="AI149" s="18"/>
      <c r="AJ149" s="18"/>
      <c r="AK149" s="18"/>
      <c r="AL149" s="18"/>
      <c r="AM149" s="18"/>
      <c r="AN149" s="18"/>
      <c r="AO149" s="18"/>
      <c r="AP149" s="18"/>
      <c r="AQ149" s="18"/>
      <c r="AR149" s="18"/>
      <c r="AS149" s="18"/>
      <c r="AT149" s="18"/>
      <c r="AU149" s="18"/>
      <c r="AV149" s="18"/>
      <c r="AW149" s="18"/>
      <c r="AX149" s="18"/>
      <c r="AY149" s="18"/>
      <c r="AZ149" s="18"/>
      <c r="BA149" s="18"/>
      <c r="BB149" s="18"/>
      <c r="BC149" s="18"/>
      <c r="BD149" s="18"/>
      <c r="BE149" s="18"/>
      <c r="BF149" s="18"/>
      <c r="BG149" s="18"/>
      <c r="BH149" s="18"/>
      <c r="BI149" s="18"/>
      <c r="BJ149" s="18"/>
      <c r="BK149" s="18"/>
      <c r="BL149" s="18"/>
      <c r="BM149" s="18"/>
      <c r="BN149" s="18"/>
      <c r="BO149" s="18"/>
      <c r="BP149" s="18"/>
      <c r="BQ149" s="18"/>
      <c r="BR149" s="18"/>
      <c r="BS149" s="18"/>
    </row>
    <row r="150" spans="1:93" outlineLevel="1" x14ac:dyDescent="0.2"/>
    <row r="151" spans="1:93" outlineLevel="1" x14ac:dyDescent="0.2">
      <c r="C151" s="27">
        <v>1</v>
      </c>
      <c r="D151" t="str" cm="1">
        <f t="array" ref="D151:D155">list_FieldName</f>
        <v>Nkossa</v>
      </c>
      <c r="J151" s="26" t="s">
        <v>46</v>
      </c>
      <c r="L151" s="28">
        <v>32.270000000000003</v>
      </c>
      <c r="M151" s="28">
        <v>32.519750000000002</v>
      </c>
      <c r="N151" s="28">
        <v>32.923999999999999</v>
      </c>
      <c r="O151" s="28">
        <v>33.427250000000001</v>
      </c>
      <c r="P151" s="28">
        <v>66.422750000000008</v>
      </c>
      <c r="Q151" s="28">
        <v>68.897500000000008</v>
      </c>
      <c r="R151" s="28">
        <v>69.747250000000008</v>
      </c>
      <c r="S151" s="28">
        <v>71.400000000000006</v>
      </c>
      <c r="T151" s="28"/>
      <c r="U151" s="28"/>
      <c r="V151" s="28"/>
      <c r="W151" s="28"/>
      <c r="X151" s="28"/>
      <c r="Y151" s="28"/>
      <c r="Z151" s="28"/>
      <c r="AA151" s="28"/>
      <c r="AB151" s="28"/>
      <c r="AC151" s="28"/>
      <c r="AD151" s="28"/>
      <c r="AE151" s="28"/>
      <c r="AF151" s="28"/>
      <c r="AG151" s="28"/>
      <c r="AH151" s="28"/>
      <c r="AI151" s="28"/>
      <c r="AJ151" s="28"/>
      <c r="AK151" s="28"/>
      <c r="AL151" s="28"/>
      <c r="AM151" s="28"/>
      <c r="AN151" s="28"/>
      <c r="AO151" s="28"/>
      <c r="AP151" s="28"/>
      <c r="AQ151" s="28"/>
      <c r="AR151" s="28"/>
      <c r="AS151" s="28"/>
      <c r="AT151" s="28"/>
      <c r="AU151" s="28"/>
      <c r="AV151" s="28"/>
      <c r="AW151" s="28"/>
      <c r="AX151" s="28"/>
      <c r="AY151" s="28"/>
      <c r="AZ151" s="28"/>
      <c r="BA151" s="28"/>
      <c r="BB151" s="28"/>
      <c r="BC151" s="28"/>
      <c r="BD151" s="28"/>
      <c r="BE151" s="28"/>
      <c r="BF151" s="28"/>
      <c r="BG151" s="28"/>
      <c r="BH151" s="28"/>
      <c r="BI151" s="28"/>
      <c r="BJ151" s="28"/>
      <c r="BK151" s="28"/>
      <c r="BL151" s="28"/>
      <c r="BM151" s="28"/>
      <c r="BN151" s="28"/>
      <c r="BO151" s="28"/>
      <c r="BP151" s="28"/>
      <c r="BQ151" s="28"/>
      <c r="BR151" s="28"/>
      <c r="BS151" s="28"/>
    </row>
    <row r="152" spans="1:93" outlineLevel="1" x14ac:dyDescent="0.2">
      <c r="C152" s="27">
        <f>C151+1</f>
        <v>2</v>
      </c>
      <c r="D152" t="str">
        <v>Nsoko</v>
      </c>
      <c r="J152" s="26" t="s">
        <v>46</v>
      </c>
      <c r="L152" s="28">
        <v>29.870249999999999</v>
      </c>
      <c r="M152" s="28">
        <v>30.137</v>
      </c>
      <c r="N152" s="28">
        <v>30.511749999999999</v>
      </c>
      <c r="O152" s="28">
        <v>30.977999999999998</v>
      </c>
      <c r="P152" s="28">
        <v>31.553000000000001</v>
      </c>
      <c r="Q152" s="28">
        <v>32.152000000000001</v>
      </c>
      <c r="R152" s="28">
        <v>41.183999999999997</v>
      </c>
      <c r="S152" s="28">
        <v>50</v>
      </c>
      <c r="T152" s="28"/>
      <c r="U152" s="28"/>
      <c r="V152" s="28"/>
      <c r="W152" s="28"/>
      <c r="X152" s="28"/>
      <c r="Y152" s="28"/>
      <c r="Z152" s="28"/>
      <c r="AA152" s="28"/>
      <c r="AB152" s="28"/>
      <c r="AC152" s="28"/>
      <c r="AD152" s="28"/>
      <c r="AE152" s="28"/>
      <c r="AF152" s="28"/>
      <c r="AG152" s="28"/>
      <c r="AH152" s="28"/>
      <c r="AI152" s="28"/>
      <c r="AJ152" s="28"/>
      <c r="AK152" s="28"/>
      <c r="AL152" s="28"/>
      <c r="AM152" s="28"/>
      <c r="AN152" s="28"/>
      <c r="AO152" s="28"/>
      <c r="AP152" s="28"/>
      <c r="AQ152" s="28"/>
      <c r="AR152" s="28"/>
      <c r="AS152" s="28"/>
      <c r="AT152" s="28"/>
      <c r="AU152" s="28"/>
      <c r="AV152" s="28"/>
      <c r="AW152" s="28"/>
      <c r="AX152" s="28"/>
      <c r="AY152" s="28"/>
      <c r="AZ152" s="28"/>
      <c r="BA152" s="28"/>
      <c r="BB152" s="28"/>
      <c r="BC152" s="28"/>
      <c r="BD152" s="28"/>
      <c r="BE152" s="28"/>
      <c r="BF152" s="28"/>
      <c r="BG152" s="28"/>
      <c r="BH152" s="28"/>
      <c r="BI152" s="28"/>
      <c r="BJ152" s="28"/>
      <c r="BK152" s="28"/>
      <c r="BL152" s="28"/>
      <c r="BM152" s="28"/>
      <c r="BN152" s="28"/>
      <c r="BO152" s="28"/>
      <c r="BP152" s="28"/>
      <c r="BQ152" s="28"/>
      <c r="BR152" s="28"/>
      <c r="BS152" s="28"/>
    </row>
    <row r="153" spans="1:93" outlineLevel="1" x14ac:dyDescent="0.2">
      <c r="C153" s="27">
        <f t="shared" ref="C153:C155" si="36">C152+1</f>
        <v>3</v>
      </c>
      <c r="D153" t="str">
        <v>Moho</v>
      </c>
      <c r="J153" s="26" t="s">
        <v>46</v>
      </c>
      <c r="L153" s="28">
        <v>27.028749999999999</v>
      </c>
      <c r="M153" s="28">
        <v>27.382999999999999</v>
      </c>
      <c r="N153" s="28">
        <v>27.72325</v>
      </c>
      <c r="O153" s="28">
        <v>28.14725</v>
      </c>
      <c r="P153" s="28">
        <v>97.840500000000006</v>
      </c>
      <c r="Q153" s="28">
        <v>100.089</v>
      </c>
      <c r="R153" s="28">
        <v>101.9695</v>
      </c>
      <c r="S153" s="28">
        <v>104.43</v>
      </c>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28"/>
      <c r="AS153" s="28"/>
      <c r="AT153" s="28"/>
      <c r="AU153" s="28"/>
      <c r="AV153" s="28"/>
      <c r="AW153" s="28"/>
      <c r="AX153" s="28"/>
      <c r="AY153" s="28"/>
      <c r="AZ153" s="28"/>
      <c r="BA153" s="28"/>
      <c r="BB153" s="28"/>
      <c r="BC153" s="28"/>
      <c r="BD153" s="28"/>
      <c r="BE153" s="28"/>
      <c r="BF153" s="28"/>
      <c r="BG153" s="28"/>
      <c r="BH153" s="28"/>
      <c r="BI153" s="28"/>
      <c r="BJ153" s="28"/>
      <c r="BK153" s="28"/>
      <c r="BL153" s="28"/>
      <c r="BM153" s="28"/>
      <c r="BN153" s="28"/>
      <c r="BO153" s="28"/>
      <c r="BP153" s="28"/>
      <c r="BQ153" s="28"/>
      <c r="BR153" s="28"/>
      <c r="BS153" s="28"/>
    </row>
    <row r="154" spans="1:93" outlineLevel="1" x14ac:dyDescent="0.2">
      <c r="C154" s="27">
        <f t="shared" si="36"/>
        <v>4</v>
      </c>
      <c r="D154" t="str">
        <v>KLL</v>
      </c>
      <c r="J154" s="26" t="s">
        <v>46</v>
      </c>
      <c r="L154" s="28">
        <v>36.591749999999998</v>
      </c>
      <c r="M154" s="28">
        <v>37.042000000000002</v>
      </c>
      <c r="N154" s="28">
        <v>37.502749999999999</v>
      </c>
      <c r="O154" s="28">
        <v>38.078249999999997</v>
      </c>
      <c r="P154" s="28">
        <v>38.782499999999999</v>
      </c>
      <c r="Q154" s="28">
        <v>39.640750000000004</v>
      </c>
      <c r="R154" s="28">
        <v>40.453749999999999</v>
      </c>
      <c r="S154" s="28">
        <v>50.62</v>
      </c>
      <c r="T154" s="28"/>
      <c r="U154" s="28"/>
      <c r="V154" s="28"/>
      <c r="W154" s="28"/>
      <c r="X154" s="28"/>
      <c r="Y154" s="28"/>
      <c r="Z154" s="28"/>
      <c r="AA154" s="28"/>
      <c r="AB154" s="28"/>
      <c r="AC154" s="28"/>
      <c r="AD154" s="28"/>
      <c r="AE154" s="28"/>
      <c r="AF154" s="28"/>
      <c r="AG154" s="28"/>
      <c r="AH154" s="28"/>
      <c r="AI154" s="28"/>
      <c r="AJ154" s="28"/>
      <c r="AK154" s="28"/>
      <c r="AL154" s="28"/>
      <c r="AM154" s="28"/>
      <c r="AN154" s="28"/>
      <c r="AO154" s="28"/>
      <c r="AP154" s="28"/>
      <c r="AQ154" s="28"/>
      <c r="AR154" s="28"/>
      <c r="AS154" s="28"/>
      <c r="AT154" s="28"/>
      <c r="AU154" s="28"/>
      <c r="AV154" s="28"/>
      <c r="AW154" s="28"/>
      <c r="AX154" s="28"/>
      <c r="AY154" s="28"/>
      <c r="AZ154" s="28"/>
      <c r="BA154" s="28"/>
      <c r="BB154" s="28"/>
      <c r="BC154" s="28"/>
      <c r="BD154" s="28"/>
      <c r="BE154" s="28"/>
      <c r="BF154" s="28"/>
      <c r="BG154" s="28"/>
      <c r="BH154" s="28"/>
      <c r="BI154" s="28"/>
      <c r="BJ154" s="28"/>
      <c r="BK154" s="28"/>
      <c r="BL154" s="28"/>
      <c r="BM154" s="28"/>
      <c r="BN154" s="28"/>
      <c r="BO154" s="28"/>
      <c r="BP154" s="28"/>
      <c r="BQ154" s="28"/>
      <c r="BR154" s="28"/>
      <c r="BS154" s="28"/>
    </row>
    <row r="155" spans="1:93" outlineLevel="1" x14ac:dyDescent="0.2">
      <c r="C155" s="27">
        <f t="shared" si="36"/>
        <v>5</v>
      </c>
      <c r="D155">
        <v>0</v>
      </c>
      <c r="J155" s="26" t="s">
        <v>46</v>
      </c>
      <c r="L155" s="28"/>
      <c r="M155" s="28">
        <v>34.859000000000002</v>
      </c>
      <c r="N155" s="28">
        <v>35.18</v>
      </c>
      <c r="O155" s="28">
        <v>35.844500000000004</v>
      </c>
      <c r="P155" s="28">
        <v>36.519999999999996</v>
      </c>
      <c r="Q155" s="28">
        <v>36.548749999999998</v>
      </c>
      <c r="R155" s="28">
        <v>37.829250000000002</v>
      </c>
      <c r="S155" s="28">
        <v>38.729999999999997</v>
      </c>
      <c r="T155" s="28"/>
      <c r="U155" s="28"/>
      <c r="V155" s="28"/>
      <c r="W155" s="28"/>
      <c r="X155" s="28"/>
      <c r="Y155" s="28"/>
      <c r="Z155" s="28"/>
      <c r="AA155" s="28"/>
      <c r="AB155" s="28"/>
      <c r="AC155" s="28"/>
      <c r="AD155" s="28"/>
      <c r="AE155" s="28"/>
      <c r="AF155" s="28"/>
      <c r="AG155" s="28"/>
      <c r="AH155" s="28"/>
      <c r="AI155" s="28"/>
      <c r="AJ155" s="28"/>
      <c r="AK155" s="28"/>
      <c r="AL155" s="28"/>
      <c r="AM155" s="28"/>
      <c r="AN155" s="28"/>
      <c r="AO155" s="28"/>
      <c r="AP155" s="28"/>
      <c r="AQ155" s="28"/>
      <c r="AR155" s="28"/>
      <c r="AS155" s="28"/>
      <c r="AT155" s="28"/>
      <c r="AU155" s="28"/>
      <c r="AV155" s="28"/>
      <c r="AW155" s="28"/>
      <c r="AX155" s="28"/>
      <c r="AY155" s="28"/>
      <c r="AZ155" s="28"/>
      <c r="BA155" s="28"/>
      <c r="BB155" s="28"/>
      <c r="BC155" s="28"/>
      <c r="BD155" s="28"/>
      <c r="BE155" s="28"/>
      <c r="BF155" s="28"/>
      <c r="BG155" s="28"/>
      <c r="BH155" s="28"/>
      <c r="BI155" s="28"/>
      <c r="BJ155" s="28"/>
      <c r="BK155" s="28"/>
      <c r="BL155" s="28"/>
      <c r="BM155" s="28"/>
      <c r="BN155" s="28"/>
      <c r="BO155" s="28"/>
      <c r="BP155" s="28"/>
      <c r="BQ155" s="28"/>
      <c r="BR155" s="28"/>
      <c r="BS155" s="28"/>
    </row>
    <row r="156" spans="1:93" outlineLevel="1" x14ac:dyDescent="0.2"/>
    <row r="157" spans="1:93" ht="16" thickBot="1" x14ac:dyDescent="0.25"/>
    <row r="158" spans="1:93" ht="22" thickBot="1" x14ac:dyDescent="0.25">
      <c r="A158" s="8"/>
      <c r="B158" s="221" t="str">
        <f>CHOOSE(db_ML_selected,'Liste Traduction'!B199,'Liste Traduction'!C199)</f>
        <v>Coûts d'exploitation</v>
      </c>
      <c r="C158" s="222"/>
      <c r="D158" s="222"/>
      <c r="E158" s="223"/>
      <c r="F158" s="9"/>
      <c r="G158" s="9"/>
      <c r="H158" s="9"/>
      <c r="I158" s="9"/>
      <c r="J158" s="9"/>
      <c r="K158" s="10"/>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c r="CA158" s="9"/>
      <c r="CB158" s="9"/>
      <c r="CC158" s="9"/>
      <c r="CD158" s="9"/>
      <c r="CE158" s="9"/>
      <c r="CF158" s="9"/>
      <c r="CG158" s="9"/>
      <c r="CH158" s="9"/>
      <c r="CI158" s="9"/>
      <c r="CJ158" s="9"/>
      <c r="CK158" s="9"/>
      <c r="CL158" s="9"/>
      <c r="CM158" s="9"/>
      <c r="CN158" s="9"/>
      <c r="CO158" s="9"/>
    </row>
    <row r="159" spans="1:93" outlineLevel="1" x14ac:dyDescent="0.2"/>
    <row r="160" spans="1:93" hidden="1" outlineLevel="1" x14ac:dyDescent="0.2">
      <c r="C160" s="11" t="s">
        <v>52</v>
      </c>
    </row>
    <row r="161" spans="3:71" hidden="1" outlineLevel="1" x14ac:dyDescent="0.2">
      <c r="D161" t="s">
        <v>40</v>
      </c>
      <c r="G161" s="29" t="str">
        <f>field_selected</f>
        <v>Moho</v>
      </c>
      <c r="I161" s="30">
        <f ca="1">SUM($L161:$BS161)</f>
        <v>0</v>
      </c>
      <c r="J161" s="26" t="s">
        <v>53</v>
      </c>
      <c r="K161" s="7" t="s">
        <v>55</v>
      </c>
      <c r="L161" s="18">
        <f t="shared" ref="L161:Z161" ca="1" si="37">OFFSET(L$161,MATCH(field_selected,list_FieldName,0)+1,0)</f>
        <v>0</v>
      </c>
      <c r="M161" s="18">
        <f t="shared" ca="1" si="37"/>
        <v>0</v>
      </c>
      <c r="N161" s="18">
        <f t="shared" ca="1" si="37"/>
        <v>0</v>
      </c>
      <c r="O161" s="18">
        <f t="shared" ca="1" si="37"/>
        <v>0</v>
      </c>
      <c r="P161" s="18">
        <f t="shared" ca="1" si="37"/>
        <v>0</v>
      </c>
      <c r="Q161" s="18">
        <f t="shared" ca="1" si="37"/>
        <v>0</v>
      </c>
      <c r="R161" s="18">
        <f t="shared" ca="1" si="37"/>
        <v>0</v>
      </c>
      <c r="S161" s="18">
        <f t="shared" ca="1" si="37"/>
        <v>0</v>
      </c>
      <c r="T161" s="18">
        <f t="shared" ca="1" si="37"/>
        <v>0</v>
      </c>
      <c r="U161" s="18">
        <f t="shared" ca="1" si="37"/>
        <v>0</v>
      </c>
      <c r="V161" s="18">
        <f t="shared" ca="1" si="37"/>
        <v>0</v>
      </c>
      <c r="W161" s="18">
        <f t="shared" ca="1" si="37"/>
        <v>0</v>
      </c>
      <c r="X161" s="18">
        <f t="shared" ca="1" si="37"/>
        <v>0</v>
      </c>
      <c r="Y161" s="18">
        <f t="shared" ca="1" si="37"/>
        <v>0</v>
      </c>
      <c r="Z161" s="18">
        <f t="shared" ca="1" si="37"/>
        <v>0</v>
      </c>
      <c r="AA161" s="18"/>
      <c r="AB161" s="18"/>
      <c r="AC161" s="18"/>
      <c r="AD161" s="18"/>
      <c r="AE161" s="18"/>
      <c r="AF161" s="18"/>
      <c r="AG161" s="18"/>
      <c r="AH161" s="18"/>
      <c r="AI161" s="18"/>
      <c r="AJ161" s="18"/>
      <c r="AK161" s="18"/>
      <c r="AL161" s="18"/>
      <c r="AM161" s="18"/>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c r="BP161" s="18"/>
      <c r="BQ161" s="18"/>
      <c r="BR161" s="18"/>
      <c r="BS161" s="18"/>
    </row>
    <row r="162" spans="3:71" hidden="1" outlineLevel="1" x14ac:dyDescent="0.2"/>
    <row r="163" spans="3:71" hidden="1" outlineLevel="1" x14ac:dyDescent="0.2">
      <c r="C163" s="27">
        <v>1</v>
      </c>
      <c r="D163" t="str" cm="1">
        <f t="array" ref="D163:D167">list_FieldName</f>
        <v>Nkossa</v>
      </c>
      <c r="I163" s="30">
        <f>SUM($L163:$BS163)</f>
        <v>0</v>
      </c>
      <c r="J163" s="26" t="s">
        <v>53</v>
      </c>
      <c r="L163" s="28"/>
      <c r="M163" s="28"/>
      <c r="N163" s="28"/>
      <c r="O163" s="28"/>
      <c r="P163" s="28"/>
      <c r="Q163" s="28"/>
      <c r="R163" s="28"/>
      <c r="S163" s="28"/>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8"/>
      <c r="AV163" s="18"/>
      <c r="AW163" s="18"/>
      <c r="AX163" s="18"/>
      <c r="AY163" s="18"/>
      <c r="AZ163" s="18"/>
      <c r="BA163" s="18"/>
      <c r="BB163" s="18"/>
      <c r="BC163" s="18"/>
      <c r="BD163" s="18"/>
      <c r="BE163" s="18"/>
      <c r="BF163" s="18"/>
      <c r="BG163" s="18"/>
      <c r="BH163" s="18"/>
      <c r="BI163" s="18"/>
      <c r="BJ163" s="18"/>
      <c r="BK163" s="18"/>
      <c r="BL163" s="18"/>
      <c r="BM163" s="18"/>
      <c r="BN163" s="18"/>
      <c r="BO163" s="18"/>
      <c r="BP163" s="18"/>
      <c r="BQ163" s="18"/>
      <c r="BR163" s="18"/>
      <c r="BS163" s="18"/>
    </row>
    <row r="164" spans="3:71" hidden="1" outlineLevel="1" x14ac:dyDescent="0.2">
      <c r="C164" s="27">
        <f>C163+1</f>
        <v>2</v>
      </c>
      <c r="D164" t="str">
        <v>Nsoko</v>
      </c>
      <c r="I164" s="30">
        <f>SUM($L164:$BS164)</f>
        <v>0</v>
      </c>
      <c r="J164" s="26" t="s">
        <v>53</v>
      </c>
      <c r="L164" s="28"/>
      <c r="M164" s="28"/>
      <c r="N164" s="28"/>
      <c r="O164" s="28"/>
      <c r="P164" s="28"/>
      <c r="Q164" s="28"/>
      <c r="R164" s="28"/>
      <c r="S164" s="28"/>
      <c r="T164" s="18"/>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c r="AU164" s="18"/>
      <c r="AV164" s="18"/>
      <c r="AW164" s="18"/>
      <c r="AX164" s="18"/>
      <c r="AY164" s="18"/>
      <c r="AZ164" s="18"/>
      <c r="BA164" s="18"/>
      <c r="BB164" s="18"/>
      <c r="BC164" s="18"/>
      <c r="BD164" s="18"/>
      <c r="BE164" s="18"/>
      <c r="BF164" s="18"/>
      <c r="BG164" s="18"/>
      <c r="BH164" s="18"/>
      <c r="BI164" s="18"/>
      <c r="BJ164" s="18"/>
      <c r="BK164" s="18"/>
      <c r="BL164" s="18"/>
      <c r="BM164" s="18"/>
      <c r="BN164" s="18"/>
      <c r="BO164" s="18"/>
      <c r="BP164" s="18"/>
      <c r="BQ164" s="18"/>
      <c r="BR164" s="18"/>
      <c r="BS164" s="18"/>
    </row>
    <row r="165" spans="3:71" hidden="1" outlineLevel="1" x14ac:dyDescent="0.2">
      <c r="C165" s="27">
        <f t="shared" ref="C165:C167" si="38">C164+1</f>
        <v>3</v>
      </c>
      <c r="D165" t="str">
        <v>Moho</v>
      </c>
      <c r="I165" s="30">
        <f>SUM($L165:$BS165)</f>
        <v>0</v>
      </c>
      <c r="J165" s="26" t="s">
        <v>53</v>
      </c>
      <c r="L165" s="28"/>
      <c r="M165" s="28"/>
      <c r="N165" s="28"/>
      <c r="O165" s="28"/>
      <c r="P165" s="28"/>
      <c r="Q165" s="28"/>
      <c r="R165" s="28"/>
      <c r="S165" s="2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8"/>
      <c r="AV165" s="18"/>
      <c r="AW165" s="18"/>
      <c r="AX165" s="18"/>
      <c r="AY165" s="18"/>
      <c r="AZ165" s="18"/>
      <c r="BA165" s="18"/>
      <c r="BB165" s="18"/>
      <c r="BC165" s="18"/>
      <c r="BD165" s="18"/>
      <c r="BE165" s="18"/>
      <c r="BF165" s="18"/>
      <c r="BG165" s="18"/>
      <c r="BH165" s="18"/>
      <c r="BI165" s="18"/>
      <c r="BJ165" s="18"/>
      <c r="BK165" s="18"/>
      <c r="BL165" s="18"/>
      <c r="BM165" s="18"/>
      <c r="BN165" s="18"/>
      <c r="BO165" s="18"/>
      <c r="BP165" s="18"/>
      <c r="BQ165" s="18"/>
      <c r="BR165" s="18"/>
      <c r="BS165" s="18"/>
    </row>
    <row r="166" spans="3:71" hidden="1" outlineLevel="1" x14ac:dyDescent="0.2">
      <c r="C166" s="27">
        <f t="shared" si="38"/>
        <v>4</v>
      </c>
      <c r="D166" t="str">
        <v>KLL</v>
      </c>
      <c r="I166" s="30">
        <f>SUM($L166:$BS166)</f>
        <v>0</v>
      </c>
      <c r="J166" s="26" t="s">
        <v>53</v>
      </c>
      <c r="L166" s="28"/>
      <c r="M166" s="28"/>
      <c r="N166" s="28"/>
      <c r="O166" s="28"/>
      <c r="P166" s="28"/>
      <c r="Q166" s="28"/>
      <c r="R166" s="28"/>
      <c r="S166" s="2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c r="AY166" s="18"/>
      <c r="AZ166" s="18"/>
      <c r="BA166" s="18"/>
      <c r="BB166" s="18"/>
      <c r="BC166" s="18"/>
      <c r="BD166" s="18"/>
      <c r="BE166" s="18"/>
      <c r="BF166" s="18"/>
      <c r="BG166" s="18"/>
      <c r="BH166" s="18"/>
      <c r="BI166" s="18"/>
      <c r="BJ166" s="18"/>
      <c r="BK166" s="18"/>
      <c r="BL166" s="18"/>
      <c r="BM166" s="18"/>
      <c r="BN166" s="18"/>
      <c r="BO166" s="18"/>
      <c r="BP166" s="18"/>
      <c r="BQ166" s="18"/>
      <c r="BR166" s="18"/>
      <c r="BS166" s="18"/>
    </row>
    <row r="167" spans="3:71" hidden="1" outlineLevel="1" x14ac:dyDescent="0.2">
      <c r="C167" s="27">
        <f t="shared" si="38"/>
        <v>5</v>
      </c>
      <c r="D167">
        <v>0</v>
      </c>
      <c r="I167" s="30">
        <f>SUM($L167:$BS167)</f>
        <v>0</v>
      </c>
      <c r="J167" s="26" t="s">
        <v>53</v>
      </c>
      <c r="L167" s="28"/>
      <c r="M167" s="28"/>
      <c r="N167" s="28"/>
      <c r="O167" s="28"/>
      <c r="P167" s="28"/>
      <c r="Q167" s="28"/>
      <c r="R167" s="28"/>
      <c r="S167" s="28"/>
      <c r="T167" s="18"/>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c r="AU167" s="18"/>
      <c r="AV167" s="18"/>
      <c r="AW167" s="18"/>
      <c r="AX167" s="18"/>
      <c r="AY167" s="18"/>
      <c r="AZ167" s="18"/>
      <c r="BA167" s="18"/>
      <c r="BB167" s="18"/>
      <c r="BC167" s="18"/>
      <c r="BD167" s="18"/>
      <c r="BE167" s="18"/>
      <c r="BF167" s="18"/>
      <c r="BG167" s="18"/>
      <c r="BH167" s="18"/>
      <c r="BI167" s="18"/>
      <c r="BJ167" s="18"/>
      <c r="BK167" s="18"/>
      <c r="BL167" s="18"/>
      <c r="BM167" s="18"/>
      <c r="BN167" s="18"/>
      <c r="BO167" s="18"/>
      <c r="BP167" s="18"/>
      <c r="BQ167" s="18"/>
      <c r="BR167" s="18"/>
      <c r="BS167" s="18"/>
    </row>
    <row r="168" spans="3:71" hidden="1" outlineLevel="1" x14ac:dyDescent="0.2"/>
    <row r="169" spans="3:71" outlineLevel="1" x14ac:dyDescent="0.2">
      <c r="C169" s="11" t="str">
        <f>CHOOSE(db_ML_selected,'Liste Traduction'!B201,'Liste Traduction'!C201)</f>
        <v>Total Opex</v>
      </c>
    </row>
    <row r="170" spans="3:71" outlineLevel="1" x14ac:dyDescent="0.2">
      <c r="D170" t="str">
        <f>D149</f>
        <v>sélectionnés</v>
      </c>
      <c r="G170" s="29" t="str">
        <f>field_selected</f>
        <v>Moho</v>
      </c>
      <c r="I170" s="30">
        <f ca="1">SUM($L170:$BS170)</f>
        <v>3446.2129999999997</v>
      </c>
      <c r="J170" s="26" t="s">
        <v>53</v>
      </c>
      <c r="K170" s="7" t="s">
        <v>56</v>
      </c>
      <c r="L170" s="18">
        <f t="shared" ref="L170:Z170" ca="1" si="39">OFFSET(L$170,MATCH(field_selected,list_FieldName,0)+1,0)</f>
        <v>148.06899999999999</v>
      </c>
      <c r="M170" s="18">
        <f t="shared" ca="1" si="39"/>
        <v>183.88499999999999</v>
      </c>
      <c r="N170" s="18">
        <f t="shared" ca="1" si="39"/>
        <v>135.70400000000001</v>
      </c>
      <c r="O170" s="18">
        <f t="shared" ca="1" si="39"/>
        <v>240.88499999999999</v>
      </c>
      <c r="P170" s="18">
        <f t="shared" ca="1" si="39"/>
        <v>536.79</v>
      </c>
      <c r="Q170" s="18">
        <f t="shared" ca="1" si="39"/>
        <v>243.78</v>
      </c>
      <c r="R170" s="18">
        <f t="shared" ca="1" si="39"/>
        <v>281.8</v>
      </c>
      <c r="S170" s="18">
        <f t="shared" ca="1" si="39"/>
        <v>286.3</v>
      </c>
      <c r="T170" s="18">
        <f t="shared" ca="1" si="39"/>
        <v>283.39999999999998</v>
      </c>
      <c r="U170" s="18">
        <f t="shared" ca="1" si="39"/>
        <v>280.60000000000002</v>
      </c>
      <c r="V170" s="18">
        <f t="shared" ca="1" si="39"/>
        <v>277.8</v>
      </c>
      <c r="W170" s="18">
        <f t="shared" ca="1" si="39"/>
        <v>275</v>
      </c>
      <c r="X170" s="18">
        <f t="shared" ca="1" si="39"/>
        <v>272.2</v>
      </c>
      <c r="Y170" s="18">
        <f t="shared" ca="1" si="39"/>
        <v>0</v>
      </c>
      <c r="Z170" s="18">
        <f t="shared" ca="1" si="39"/>
        <v>0</v>
      </c>
      <c r="AA170" s="18"/>
      <c r="AB170" s="18"/>
      <c r="AC170" s="18"/>
      <c r="AD170" s="18"/>
      <c r="AE170" s="18"/>
      <c r="AF170" s="18"/>
      <c r="AG170" s="18"/>
      <c r="AH170" s="18"/>
      <c r="AI170" s="18"/>
      <c r="AJ170" s="18"/>
      <c r="AK170" s="18"/>
      <c r="AL170" s="18"/>
      <c r="AM170" s="18"/>
      <c r="AN170" s="18"/>
      <c r="AO170" s="18"/>
      <c r="AP170" s="18"/>
      <c r="AQ170" s="18"/>
      <c r="AR170" s="18"/>
      <c r="AS170" s="18"/>
      <c r="AT170" s="18"/>
      <c r="AU170" s="18"/>
      <c r="AV170" s="18"/>
      <c r="AW170" s="18"/>
      <c r="AX170" s="18"/>
      <c r="AY170" s="18"/>
      <c r="AZ170" s="18"/>
      <c r="BA170" s="18"/>
      <c r="BB170" s="18"/>
      <c r="BC170" s="18"/>
      <c r="BD170" s="18"/>
      <c r="BE170" s="18"/>
      <c r="BF170" s="18"/>
      <c r="BG170" s="18"/>
      <c r="BH170" s="18"/>
      <c r="BI170" s="18"/>
      <c r="BJ170" s="18"/>
      <c r="BK170" s="18"/>
      <c r="BL170" s="18"/>
      <c r="BM170" s="18"/>
      <c r="BN170" s="18"/>
      <c r="BO170" s="18"/>
      <c r="BP170" s="18"/>
      <c r="BQ170" s="18"/>
      <c r="BR170" s="18"/>
      <c r="BS170" s="18"/>
    </row>
    <row r="171" spans="3:71" outlineLevel="1" x14ac:dyDescent="0.2"/>
    <row r="172" spans="3:71" outlineLevel="1" x14ac:dyDescent="0.2">
      <c r="C172" s="27">
        <v>1</v>
      </c>
      <c r="D172" t="str" cm="1">
        <f t="array" ref="D172:D176">list_FieldName</f>
        <v>Nkossa</v>
      </c>
      <c r="F172" s="31"/>
      <c r="G172" s="32"/>
      <c r="I172" s="30">
        <f>SUM($L172:$BS172)</f>
        <v>1186.356</v>
      </c>
      <c r="J172" s="26" t="s">
        <v>53</v>
      </c>
      <c r="L172" s="28">
        <v>150.18</v>
      </c>
      <c r="M172" s="28">
        <v>157.67500000000001</v>
      </c>
      <c r="N172" s="28">
        <v>123.19</v>
      </c>
      <c r="O172" s="28">
        <v>102.411</v>
      </c>
      <c r="P172" s="28">
        <v>107</v>
      </c>
      <c r="Q172" s="28">
        <v>81.400000000000006</v>
      </c>
      <c r="R172" s="172">
        <v>77.2</v>
      </c>
      <c r="S172" s="172">
        <v>66.2</v>
      </c>
      <c r="T172" s="18">
        <v>65.5</v>
      </c>
      <c r="U172" s="18">
        <v>64.900000000000006</v>
      </c>
      <c r="V172" s="18">
        <v>64.2</v>
      </c>
      <c r="W172" s="18">
        <v>63.6</v>
      </c>
      <c r="X172" s="18">
        <v>62.9</v>
      </c>
      <c r="Y172" s="18"/>
      <c r="Z172" s="18"/>
      <c r="AA172" s="18"/>
      <c r="AB172" s="18"/>
      <c r="AC172" s="18"/>
      <c r="AD172" s="18"/>
      <c r="AE172" s="18"/>
      <c r="AF172" s="18"/>
      <c r="AG172" s="18"/>
      <c r="AH172" s="18"/>
      <c r="AI172" s="18"/>
      <c r="AJ172" s="18"/>
      <c r="AK172" s="18"/>
      <c r="AL172" s="18"/>
      <c r="AM172" s="18"/>
      <c r="AN172" s="18"/>
      <c r="AO172" s="18"/>
      <c r="AP172" s="18"/>
      <c r="AQ172" s="18"/>
      <c r="AR172" s="18"/>
      <c r="AS172" s="18"/>
      <c r="AT172" s="18"/>
      <c r="AU172" s="18"/>
      <c r="AV172" s="18"/>
      <c r="AW172" s="18"/>
      <c r="AX172" s="18"/>
      <c r="AY172" s="18"/>
      <c r="AZ172" s="18"/>
      <c r="BA172" s="18"/>
      <c r="BB172" s="18"/>
      <c r="BC172" s="18"/>
      <c r="BD172" s="18"/>
      <c r="BE172" s="18"/>
      <c r="BF172" s="18"/>
      <c r="BG172" s="18"/>
      <c r="BH172" s="18"/>
      <c r="BI172" s="18"/>
      <c r="BJ172" s="18"/>
      <c r="BK172" s="18"/>
      <c r="BL172" s="18"/>
      <c r="BM172" s="18"/>
      <c r="BN172" s="18"/>
      <c r="BO172" s="18"/>
      <c r="BP172" s="18"/>
      <c r="BQ172" s="18"/>
      <c r="BR172" s="18"/>
      <c r="BS172" s="18"/>
    </row>
    <row r="173" spans="3:71" outlineLevel="1" x14ac:dyDescent="0.2">
      <c r="C173" s="27">
        <f>C172+1</f>
        <v>2</v>
      </c>
      <c r="D173" t="str">
        <v>Nsoko</v>
      </c>
      <c r="F173" s="31"/>
      <c r="G173" s="32"/>
      <c r="I173" s="30">
        <f>SUM($L173:$BS173)</f>
        <v>102.485</v>
      </c>
      <c r="J173" s="26" t="s">
        <v>53</v>
      </c>
      <c r="L173" s="28">
        <v>7.7720000000000002</v>
      </c>
      <c r="M173" s="28">
        <v>6.7469999999999999</v>
      </c>
      <c r="N173" s="28">
        <v>6.8550000000000004</v>
      </c>
      <c r="O173" s="28">
        <v>5.8109999999999999</v>
      </c>
      <c r="P173" s="28">
        <v>6.1</v>
      </c>
      <c r="Q173" s="172">
        <v>6.1</v>
      </c>
      <c r="R173" s="172">
        <v>4.5999999999999996</v>
      </c>
      <c r="S173" s="172">
        <v>10</v>
      </c>
      <c r="T173" s="18">
        <v>9.9</v>
      </c>
      <c r="U173" s="18">
        <v>9.8000000000000007</v>
      </c>
      <c r="V173" s="18">
        <v>9.6999999999999993</v>
      </c>
      <c r="W173" s="18">
        <v>9.6</v>
      </c>
      <c r="X173" s="18">
        <v>9.5</v>
      </c>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8"/>
      <c r="AV173" s="18"/>
      <c r="AW173" s="18"/>
      <c r="AX173" s="18"/>
      <c r="AY173" s="18"/>
      <c r="AZ173" s="18"/>
      <c r="BA173" s="18"/>
      <c r="BB173" s="18"/>
      <c r="BC173" s="18"/>
      <c r="BD173" s="18"/>
      <c r="BE173" s="18"/>
      <c r="BF173" s="18"/>
      <c r="BG173" s="18"/>
      <c r="BH173" s="18"/>
      <c r="BI173" s="18"/>
      <c r="BJ173" s="18"/>
      <c r="BK173" s="18"/>
      <c r="BL173" s="18"/>
      <c r="BM173" s="18"/>
      <c r="BN173" s="18"/>
      <c r="BO173" s="18"/>
      <c r="BP173" s="18"/>
      <c r="BQ173" s="18"/>
      <c r="BR173" s="18"/>
      <c r="BS173" s="18"/>
    </row>
    <row r="174" spans="3:71" outlineLevel="1" x14ac:dyDescent="0.2">
      <c r="C174" s="27">
        <f t="shared" ref="C174:C176" si="40">C173+1</f>
        <v>3</v>
      </c>
      <c r="D174" t="str">
        <v>Moho</v>
      </c>
      <c r="F174" s="31"/>
      <c r="G174" s="32"/>
      <c r="I174" s="30">
        <f>SUM($L174:$BS174)</f>
        <v>3446.2129999999997</v>
      </c>
      <c r="J174" s="26" t="s">
        <v>53</v>
      </c>
      <c r="L174" s="28">
        <v>148.06899999999999</v>
      </c>
      <c r="M174" s="28">
        <v>183.88499999999999</v>
      </c>
      <c r="N174" s="28">
        <v>135.70400000000001</v>
      </c>
      <c r="O174" s="28">
        <v>240.88499999999999</v>
      </c>
      <c r="P174" s="28">
        <v>536.79</v>
      </c>
      <c r="Q174" s="28">
        <v>243.78</v>
      </c>
      <c r="R174" s="172">
        <v>281.8</v>
      </c>
      <c r="S174" s="172">
        <v>286.3</v>
      </c>
      <c r="T174" s="18">
        <v>283.39999999999998</v>
      </c>
      <c r="U174" s="18">
        <v>280.60000000000002</v>
      </c>
      <c r="V174" s="18">
        <v>277.8</v>
      </c>
      <c r="W174" s="18">
        <v>275</v>
      </c>
      <c r="X174" s="18">
        <v>272.2</v>
      </c>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c r="AU174" s="18"/>
      <c r="AV174" s="18"/>
      <c r="AW174" s="18"/>
      <c r="AX174" s="18"/>
      <c r="AY174" s="18"/>
      <c r="AZ174" s="18"/>
      <c r="BA174" s="18"/>
      <c r="BB174" s="18"/>
      <c r="BC174" s="18"/>
      <c r="BD174" s="18"/>
      <c r="BE174" s="18"/>
      <c r="BF174" s="18"/>
      <c r="BG174" s="18"/>
      <c r="BH174" s="18"/>
      <c r="BI174" s="18"/>
      <c r="BJ174" s="18"/>
      <c r="BK174" s="18"/>
      <c r="BL174" s="18"/>
      <c r="BM174" s="18"/>
      <c r="BN174" s="18"/>
      <c r="BO174" s="18"/>
      <c r="BP174" s="18"/>
      <c r="BQ174" s="18"/>
      <c r="BR174" s="18"/>
      <c r="BS174" s="18"/>
    </row>
    <row r="175" spans="3:71" outlineLevel="1" x14ac:dyDescent="0.2">
      <c r="C175" s="27">
        <f t="shared" si="40"/>
        <v>4</v>
      </c>
      <c r="D175" t="str">
        <v>KLL</v>
      </c>
      <c r="F175" s="31"/>
      <c r="G175" s="32"/>
      <c r="I175" s="30">
        <f>SUM($L175:$BS175)</f>
        <v>778.75599999999997</v>
      </c>
      <c r="J175" s="26" t="s">
        <v>53</v>
      </c>
      <c r="L175" s="28">
        <v>64.376000000000005</v>
      </c>
      <c r="M175" s="28">
        <v>83.224000000000004</v>
      </c>
      <c r="N175" s="28">
        <v>66.552000000000007</v>
      </c>
      <c r="O175" s="28">
        <v>62.323999999999998</v>
      </c>
      <c r="P175" s="28">
        <v>42.78</v>
      </c>
      <c r="Q175" s="28">
        <v>36.4</v>
      </c>
      <c r="R175" s="172">
        <v>64.900000000000006</v>
      </c>
      <c r="S175" s="172">
        <v>61.2</v>
      </c>
      <c r="T175" s="18">
        <v>60.6</v>
      </c>
      <c r="U175" s="18">
        <v>60</v>
      </c>
      <c r="V175" s="18">
        <v>59.4</v>
      </c>
      <c r="W175" s="18">
        <v>58.8</v>
      </c>
      <c r="X175" s="18">
        <v>58.2</v>
      </c>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8"/>
      <c r="AV175" s="18"/>
      <c r="AW175" s="18"/>
      <c r="AX175" s="18"/>
      <c r="AY175" s="18"/>
      <c r="AZ175" s="18"/>
      <c r="BA175" s="18"/>
      <c r="BB175" s="18"/>
      <c r="BC175" s="18"/>
      <c r="BD175" s="18"/>
      <c r="BE175" s="18"/>
      <c r="BF175" s="18"/>
      <c r="BG175" s="18"/>
      <c r="BH175" s="18"/>
      <c r="BI175" s="18"/>
      <c r="BJ175" s="18"/>
      <c r="BK175" s="18"/>
      <c r="BL175" s="18"/>
      <c r="BM175" s="18"/>
      <c r="BN175" s="18"/>
      <c r="BO175" s="18"/>
      <c r="BP175" s="18"/>
      <c r="BQ175" s="18"/>
      <c r="BR175" s="18"/>
      <c r="BS175" s="18"/>
    </row>
    <row r="176" spans="3:71" outlineLevel="1" x14ac:dyDescent="0.2">
      <c r="C176" s="27">
        <f t="shared" si="40"/>
        <v>5</v>
      </c>
      <c r="D176">
        <v>0</v>
      </c>
      <c r="F176" s="31"/>
      <c r="G176" s="32"/>
      <c r="I176" s="30">
        <f>SUM($L176:$BS176)</f>
        <v>1644.6799999999998</v>
      </c>
      <c r="J176" s="26" t="s">
        <v>53</v>
      </c>
      <c r="L176" s="28">
        <v>0</v>
      </c>
      <c r="M176" s="28">
        <v>0</v>
      </c>
      <c r="N176" s="28">
        <v>12.516999999999999</v>
      </c>
      <c r="O176" s="28">
        <v>45.155000000000001</v>
      </c>
      <c r="P176" s="28">
        <v>61.304000000000002</v>
      </c>
      <c r="Q176" s="28">
        <v>61.304000000000002</v>
      </c>
      <c r="R176" s="172">
        <v>176</v>
      </c>
      <c r="S176" s="172">
        <v>198.9</v>
      </c>
      <c r="T176" s="18">
        <v>204.4</v>
      </c>
      <c r="U176" s="18">
        <v>210.6</v>
      </c>
      <c r="V176" s="18">
        <f>217.3+(32.1*marine_upside_toggle)</f>
        <v>217.3</v>
      </c>
      <c r="W176" s="18">
        <f>224.6+(70.5*marine_upside_toggle)</f>
        <v>224.6</v>
      </c>
      <c r="X176" s="18">
        <f>232.6+(77.6*marine_upside_toggle)</f>
        <v>232.6</v>
      </c>
      <c r="Y176" s="18"/>
      <c r="Z176" s="18"/>
      <c r="AA176" s="18"/>
      <c r="AB176" s="18"/>
      <c r="AC176" s="18"/>
      <c r="AD176" s="18"/>
      <c r="AE176" s="18"/>
      <c r="AF176" s="18"/>
      <c r="AG176" s="18"/>
      <c r="AH176" s="18"/>
      <c r="AI176" s="18"/>
      <c r="AJ176" s="18"/>
      <c r="AK176" s="18"/>
      <c r="AL176" s="18"/>
      <c r="AM176" s="18"/>
      <c r="AN176" s="18"/>
      <c r="AO176" s="18"/>
      <c r="AP176" s="18"/>
      <c r="AQ176" s="18"/>
      <c r="AR176" s="18"/>
      <c r="AS176" s="18"/>
      <c r="AT176" s="18"/>
      <c r="AU176" s="18"/>
      <c r="AV176" s="18"/>
      <c r="AW176" s="18"/>
      <c r="AX176" s="18"/>
      <c r="AY176" s="18"/>
      <c r="AZ176" s="18"/>
      <c r="BA176" s="18"/>
      <c r="BB176" s="18"/>
      <c r="BC176" s="18"/>
      <c r="BD176" s="18"/>
      <c r="BE176" s="18"/>
      <c r="BF176" s="18"/>
      <c r="BG176" s="18"/>
      <c r="BH176" s="18"/>
      <c r="BI176" s="18"/>
      <c r="BJ176" s="18"/>
      <c r="BK176" s="18"/>
      <c r="BL176" s="18"/>
      <c r="BM176" s="18"/>
      <c r="BN176" s="18"/>
      <c r="BO176" s="18"/>
      <c r="BP176" s="18"/>
      <c r="BQ176" s="18"/>
      <c r="BR176" s="18"/>
      <c r="BS176" s="18"/>
    </row>
    <row r="177" spans="1:93" outlineLevel="1" x14ac:dyDescent="0.2"/>
    <row r="178" spans="1:93" outlineLevel="1" x14ac:dyDescent="0.2">
      <c r="C178" s="11" t="str">
        <f>CHOOSE(db_ML_selected,'Liste Traduction'!B202,'Liste Traduction'!C202)</f>
        <v>Autres coûts</v>
      </c>
    </row>
    <row r="179" spans="1:93" outlineLevel="1" x14ac:dyDescent="0.2">
      <c r="D179" t="str">
        <f>D170</f>
        <v>sélectionnés</v>
      </c>
      <c r="G179" s="29" t="str">
        <f>field_selected</f>
        <v>Moho</v>
      </c>
      <c r="I179" s="30">
        <f ca="1">SUM($L179:$BS179)</f>
        <v>773.54699999999991</v>
      </c>
      <c r="J179" s="26" t="s">
        <v>53</v>
      </c>
      <c r="K179" s="7" t="s">
        <v>690</v>
      </c>
      <c r="L179" s="18">
        <f t="shared" ref="L179:Z179" ca="1" si="41">OFFSET(L$179,MATCH(field_selected,list_FieldName,0)+1,0)</f>
        <v>24.602</v>
      </c>
      <c r="M179" s="18">
        <f t="shared" ca="1" si="41"/>
        <v>36.134</v>
      </c>
      <c r="N179" s="18">
        <f t="shared" ca="1" si="41"/>
        <v>147.01300000000001</v>
      </c>
      <c r="O179" s="18">
        <f t="shared" ca="1" si="41"/>
        <v>229.58199999999999</v>
      </c>
      <c r="P179" s="18">
        <f t="shared" ca="1" si="41"/>
        <v>331.79599999999999</v>
      </c>
      <c r="Q179" s="18">
        <f t="shared" ca="1" si="41"/>
        <v>4.42</v>
      </c>
      <c r="R179" s="18">
        <f t="shared" ca="1" si="41"/>
        <v>0</v>
      </c>
      <c r="S179" s="18">
        <f t="shared" ca="1" si="41"/>
        <v>0</v>
      </c>
      <c r="T179" s="18">
        <f t="shared" ca="1" si="41"/>
        <v>0</v>
      </c>
      <c r="U179" s="18">
        <f t="shared" ca="1" si="41"/>
        <v>0</v>
      </c>
      <c r="V179" s="18">
        <f t="shared" ca="1" si="41"/>
        <v>0</v>
      </c>
      <c r="W179" s="18">
        <f t="shared" ca="1" si="41"/>
        <v>0</v>
      </c>
      <c r="X179" s="18">
        <f t="shared" ca="1" si="41"/>
        <v>0</v>
      </c>
      <c r="Y179" s="18">
        <f t="shared" ca="1" si="41"/>
        <v>0</v>
      </c>
      <c r="Z179" s="18">
        <f t="shared" ca="1" si="41"/>
        <v>0</v>
      </c>
      <c r="AA179" s="18"/>
      <c r="AB179" s="18"/>
      <c r="AC179" s="18"/>
      <c r="AD179" s="18"/>
      <c r="AE179" s="18"/>
      <c r="AF179" s="18"/>
      <c r="AG179" s="18"/>
      <c r="AH179" s="18"/>
      <c r="AI179" s="18"/>
      <c r="AJ179" s="18"/>
      <c r="AK179" s="18"/>
      <c r="AL179" s="18"/>
      <c r="AM179" s="18"/>
      <c r="AN179" s="18"/>
      <c r="AO179" s="18"/>
      <c r="AP179" s="18"/>
      <c r="AQ179" s="18"/>
      <c r="AR179" s="18"/>
      <c r="AS179" s="18"/>
      <c r="AT179" s="18"/>
      <c r="AU179" s="18"/>
      <c r="AV179" s="18"/>
      <c r="AW179" s="18"/>
      <c r="AX179" s="18"/>
      <c r="AY179" s="18"/>
      <c r="AZ179" s="18"/>
      <c r="BA179" s="18"/>
      <c r="BB179" s="18"/>
      <c r="BC179" s="18"/>
      <c r="BD179" s="18"/>
      <c r="BE179" s="18"/>
      <c r="BF179" s="18"/>
      <c r="BG179" s="18"/>
      <c r="BH179" s="18"/>
      <c r="BI179" s="18"/>
      <c r="BJ179" s="18"/>
      <c r="BK179" s="18"/>
      <c r="BL179" s="18"/>
      <c r="BM179" s="18"/>
      <c r="BN179" s="18"/>
      <c r="BO179" s="18"/>
      <c r="BP179" s="18"/>
      <c r="BQ179" s="18"/>
      <c r="BR179" s="18"/>
      <c r="BS179" s="18"/>
    </row>
    <row r="180" spans="1:93" outlineLevel="1" x14ac:dyDescent="0.2"/>
    <row r="181" spans="1:93" outlineLevel="1" x14ac:dyDescent="0.2">
      <c r="C181" s="27">
        <v>1</v>
      </c>
      <c r="D181" t="str" cm="1">
        <f t="array" ref="D181:D185">list_FieldName</f>
        <v>Nkossa</v>
      </c>
      <c r="I181" s="30">
        <f>SUM($L181:$BS181)</f>
        <v>235.25200000000001</v>
      </c>
      <c r="J181" s="26" t="s">
        <v>53</v>
      </c>
      <c r="L181" s="28">
        <v>62.048999999999999</v>
      </c>
      <c r="M181" s="28">
        <v>19.081</v>
      </c>
      <c r="N181" s="28">
        <v>2.0710000000000002</v>
      </c>
      <c r="O181" s="28">
        <v>55.091000000000001</v>
      </c>
      <c r="P181" s="28">
        <v>89.16</v>
      </c>
      <c r="Q181" s="28">
        <v>7.8</v>
      </c>
      <c r="R181" s="28"/>
      <c r="S181" s="28"/>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28"/>
      <c r="BH181" s="28"/>
      <c r="BI181" s="28"/>
      <c r="BJ181" s="28"/>
      <c r="BK181" s="28"/>
      <c r="BL181" s="28"/>
      <c r="BM181" s="28"/>
      <c r="BN181" s="28"/>
      <c r="BO181" s="28"/>
      <c r="BP181" s="28"/>
      <c r="BQ181" s="28"/>
      <c r="BR181" s="28"/>
      <c r="BS181" s="28"/>
    </row>
    <row r="182" spans="1:93" outlineLevel="1" x14ac:dyDescent="0.2">
      <c r="C182" s="27">
        <f>C181+1</f>
        <v>2</v>
      </c>
      <c r="D182" t="str">
        <v>Nsoko</v>
      </c>
      <c r="I182" s="30">
        <f>SUM($L182:$BS182)</f>
        <v>6.7</v>
      </c>
      <c r="J182" s="26" t="s">
        <v>53</v>
      </c>
      <c r="L182" s="28">
        <v>1.8049999999999999</v>
      </c>
      <c r="M182" s="28">
        <v>1.1990000000000001</v>
      </c>
      <c r="N182" s="28">
        <v>0.47699999999999998</v>
      </c>
      <c r="O182" s="28">
        <v>0.86599999999999999</v>
      </c>
      <c r="P182" s="28">
        <v>1.153</v>
      </c>
      <c r="Q182" s="28">
        <v>1.2</v>
      </c>
      <c r="R182" s="28"/>
      <c r="S182" s="28"/>
      <c r="T182" s="28"/>
      <c r="U182" s="28"/>
      <c r="V182" s="28"/>
      <c r="W182" s="28"/>
      <c r="X182" s="28"/>
      <c r="Y182" s="28"/>
      <c r="Z182" s="28"/>
      <c r="AA182" s="28"/>
      <c r="AB182" s="28"/>
      <c r="AC182" s="28"/>
      <c r="AD182" s="28"/>
      <c r="AE182" s="28"/>
      <c r="AF182" s="28"/>
      <c r="AG182" s="28"/>
      <c r="AH182" s="28"/>
      <c r="AI182" s="28"/>
      <c r="AJ182" s="28"/>
      <c r="AK182" s="28"/>
      <c r="AL182" s="28"/>
      <c r="AM182" s="28"/>
      <c r="AN182" s="28"/>
      <c r="AO182" s="28"/>
      <c r="AP182" s="28"/>
      <c r="AQ182" s="28"/>
      <c r="AR182" s="28"/>
      <c r="AS182" s="28"/>
      <c r="AT182" s="28"/>
      <c r="AU182" s="28"/>
      <c r="AV182" s="28"/>
      <c r="AW182" s="28"/>
      <c r="AX182" s="28"/>
      <c r="AY182" s="28"/>
      <c r="AZ182" s="28"/>
      <c r="BA182" s="28"/>
      <c r="BB182" s="28"/>
      <c r="BC182" s="28"/>
      <c r="BD182" s="28"/>
      <c r="BE182" s="28"/>
      <c r="BF182" s="28"/>
      <c r="BG182" s="28"/>
      <c r="BH182" s="28"/>
      <c r="BI182" s="28"/>
      <c r="BJ182" s="28"/>
      <c r="BK182" s="28"/>
      <c r="BL182" s="28"/>
      <c r="BM182" s="28"/>
      <c r="BN182" s="28"/>
      <c r="BO182" s="28"/>
      <c r="BP182" s="28"/>
      <c r="BQ182" s="28"/>
      <c r="BR182" s="28"/>
      <c r="BS182" s="28"/>
    </row>
    <row r="183" spans="1:93" outlineLevel="1" x14ac:dyDescent="0.2">
      <c r="C183" s="27">
        <f t="shared" ref="C183:C185" si="42">C182+1</f>
        <v>3</v>
      </c>
      <c r="D183" t="str">
        <v>Moho</v>
      </c>
      <c r="I183" s="30">
        <f>SUM($L183:$BS183)</f>
        <v>773.54699999999991</v>
      </c>
      <c r="J183" s="26" t="s">
        <v>53</v>
      </c>
      <c r="L183" s="28">
        <v>24.602</v>
      </c>
      <c r="M183" s="28">
        <v>36.134</v>
      </c>
      <c r="N183" s="28">
        <v>147.01300000000001</v>
      </c>
      <c r="O183" s="28">
        <v>229.58199999999999</v>
      </c>
      <c r="P183" s="28">
        <v>331.79599999999999</v>
      </c>
      <c r="Q183" s="28">
        <v>4.42</v>
      </c>
      <c r="R183" s="28"/>
      <c r="S183" s="28"/>
      <c r="T183" s="28"/>
      <c r="U183" s="28"/>
      <c r="V183" s="28"/>
      <c r="W183" s="28"/>
      <c r="X183" s="28"/>
      <c r="Y183" s="28"/>
      <c r="Z183" s="28"/>
      <c r="AA183" s="28"/>
      <c r="AB183" s="28"/>
      <c r="AC183" s="28"/>
      <c r="AD183" s="28"/>
      <c r="AE183" s="28"/>
      <c r="AF183" s="28"/>
      <c r="AG183" s="28"/>
      <c r="AH183" s="28"/>
      <c r="AI183" s="28"/>
      <c r="AJ183" s="28"/>
      <c r="AK183" s="28"/>
      <c r="AL183" s="28"/>
      <c r="AM183" s="28"/>
      <c r="AN183" s="28"/>
      <c r="AO183" s="28"/>
      <c r="AP183" s="28"/>
      <c r="AQ183" s="28"/>
      <c r="AR183" s="28"/>
      <c r="AS183" s="28"/>
      <c r="AT183" s="28"/>
      <c r="AU183" s="28"/>
      <c r="AV183" s="28"/>
      <c r="AW183" s="28"/>
      <c r="AX183" s="28"/>
      <c r="AY183" s="28"/>
      <c r="AZ183" s="28"/>
      <c r="BA183" s="28"/>
      <c r="BB183" s="28"/>
      <c r="BC183" s="28"/>
      <c r="BD183" s="28"/>
      <c r="BE183" s="28"/>
      <c r="BF183" s="28"/>
      <c r="BG183" s="28"/>
      <c r="BH183" s="28"/>
      <c r="BI183" s="28"/>
      <c r="BJ183" s="28"/>
      <c r="BK183" s="28"/>
      <c r="BL183" s="28"/>
      <c r="BM183" s="28"/>
      <c r="BN183" s="28"/>
      <c r="BO183" s="28"/>
      <c r="BP183" s="28"/>
      <c r="BQ183" s="28"/>
      <c r="BR183" s="28"/>
      <c r="BS183" s="28"/>
    </row>
    <row r="184" spans="1:93" outlineLevel="1" x14ac:dyDescent="0.2">
      <c r="C184" s="27">
        <f t="shared" si="42"/>
        <v>4</v>
      </c>
      <c r="D184" t="str">
        <v>KLL</v>
      </c>
      <c r="I184" s="30">
        <f>SUM($L184:$BS184)</f>
        <v>181.32899999999998</v>
      </c>
      <c r="J184" s="26" t="s">
        <v>53</v>
      </c>
      <c r="L184" s="28"/>
      <c r="M184" s="28"/>
      <c r="N184" s="28"/>
      <c r="O184" s="28">
        <v>116.023</v>
      </c>
      <c r="P184" s="28">
        <v>54.606000000000002</v>
      </c>
      <c r="Q184" s="28">
        <v>10.7</v>
      </c>
      <c r="R184" s="28"/>
      <c r="S184" s="28"/>
      <c r="T184" s="28"/>
      <c r="U184" s="28"/>
      <c r="V184" s="28"/>
      <c r="W184" s="28"/>
      <c r="X184" s="28"/>
      <c r="Y184" s="28"/>
      <c r="Z184" s="28"/>
      <c r="AA184" s="28"/>
      <c r="AB184" s="28"/>
      <c r="AC184" s="28"/>
      <c r="AD184" s="28"/>
      <c r="AE184" s="28"/>
      <c r="AF184" s="28"/>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c r="BC184" s="28"/>
      <c r="BD184" s="28"/>
      <c r="BE184" s="28"/>
      <c r="BF184" s="28"/>
      <c r="BG184" s="28"/>
      <c r="BH184" s="28"/>
      <c r="BI184" s="28"/>
      <c r="BJ184" s="28"/>
      <c r="BK184" s="28"/>
      <c r="BL184" s="28"/>
      <c r="BM184" s="28"/>
      <c r="BN184" s="28"/>
      <c r="BO184" s="28"/>
      <c r="BP184" s="28"/>
      <c r="BQ184" s="28"/>
      <c r="BR184" s="28"/>
      <c r="BS184" s="28"/>
    </row>
    <row r="185" spans="1:93" outlineLevel="1" x14ac:dyDescent="0.2">
      <c r="C185" s="27">
        <f t="shared" si="42"/>
        <v>5</v>
      </c>
      <c r="D185">
        <v>0</v>
      </c>
      <c r="I185" s="30">
        <f>SUM($L185:$BS185)</f>
        <v>631.24399999999991</v>
      </c>
      <c r="J185" s="26" t="s">
        <v>53</v>
      </c>
      <c r="L185" s="28">
        <v>37.1</v>
      </c>
      <c r="M185" s="28">
        <v>101.941</v>
      </c>
      <c r="N185" s="28">
        <v>106.911</v>
      </c>
      <c r="O185" s="28">
        <v>133.54</v>
      </c>
      <c r="P185" s="28">
        <v>86.644999999999996</v>
      </c>
      <c r="Q185" s="28">
        <v>165.107</v>
      </c>
      <c r="R185" s="28"/>
      <c r="S185" s="28"/>
      <c r="T185" s="28"/>
      <c r="U185" s="28"/>
      <c r="V185" s="28"/>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C185" s="28"/>
      <c r="BD185" s="28"/>
      <c r="BE185" s="28"/>
      <c r="BF185" s="28"/>
      <c r="BG185" s="28"/>
      <c r="BH185" s="28"/>
      <c r="BI185" s="28"/>
      <c r="BJ185" s="28"/>
      <c r="BK185" s="28"/>
      <c r="BL185" s="28"/>
      <c r="BM185" s="28"/>
      <c r="BN185" s="28"/>
      <c r="BO185" s="28"/>
      <c r="BP185" s="28"/>
      <c r="BQ185" s="28"/>
      <c r="BR185" s="28"/>
      <c r="BS185" s="28"/>
    </row>
    <row r="186" spans="1:93" outlineLevel="1" x14ac:dyDescent="0.2">
      <c r="C186" s="27"/>
    </row>
    <row r="187" spans="1:93" ht="16" thickBot="1" x14ac:dyDescent="0.25"/>
    <row r="188" spans="1:93" ht="22" thickBot="1" x14ac:dyDescent="0.25">
      <c r="A188" s="8"/>
      <c r="B188" s="221" t="str">
        <f>CHOOSE(db_ML_selected,'Liste Traduction'!B203,'Liste Traduction'!C203)</f>
        <v>Coûts d'investissement</v>
      </c>
      <c r="C188" s="222"/>
      <c r="D188" s="222"/>
      <c r="E188" s="223"/>
      <c r="F188" s="9"/>
      <c r="G188" s="9"/>
      <c r="H188" s="9"/>
      <c r="I188" s="9"/>
      <c r="J188" s="9"/>
      <c r="K188" s="10"/>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c r="CA188" s="9"/>
      <c r="CB188" s="9"/>
      <c r="CC188" s="9"/>
      <c r="CD188" s="9"/>
      <c r="CE188" s="9"/>
      <c r="CF188" s="9"/>
      <c r="CG188" s="9"/>
      <c r="CH188" s="9"/>
      <c r="CI188" s="9"/>
      <c r="CJ188" s="9"/>
      <c r="CK188" s="9"/>
      <c r="CL188" s="9"/>
      <c r="CM188" s="9"/>
      <c r="CN188" s="9"/>
      <c r="CO188" s="9"/>
    </row>
    <row r="189" spans="1:93" outlineLevel="1" x14ac:dyDescent="0.2"/>
    <row r="190" spans="1:93" outlineLevel="1" x14ac:dyDescent="0.2">
      <c r="C190" s="11" t="str">
        <f>CHOOSE(db_ML_selected,'Liste Traduction'!B204,'Liste Traduction'!C204)</f>
        <v>Coûts Exploration et Evaluation</v>
      </c>
    </row>
    <row r="191" spans="1:93" outlineLevel="1" x14ac:dyDescent="0.2">
      <c r="D191" t="str">
        <f>D179</f>
        <v>sélectionnés</v>
      </c>
      <c r="G191" s="29" t="str">
        <f>field_selected</f>
        <v>Moho</v>
      </c>
      <c r="I191" s="30">
        <f ca="1">SUM($L191:$BS191)</f>
        <v>0</v>
      </c>
      <c r="J191" s="26" t="s">
        <v>53</v>
      </c>
      <c r="K191" s="7" t="s">
        <v>574</v>
      </c>
      <c r="L191" s="18">
        <f t="shared" ref="L191:Z191" ca="1" si="43">OFFSET(L$191,MATCH(field_selected,list_FieldName,0)+1,0)</f>
        <v>0</v>
      </c>
      <c r="M191" s="18">
        <f t="shared" ca="1" si="43"/>
        <v>0</v>
      </c>
      <c r="N191" s="18">
        <f t="shared" ca="1" si="43"/>
        <v>0</v>
      </c>
      <c r="O191" s="18">
        <f t="shared" ca="1" si="43"/>
        <v>0</v>
      </c>
      <c r="P191" s="18">
        <f t="shared" ca="1" si="43"/>
        <v>0</v>
      </c>
      <c r="Q191" s="18">
        <f t="shared" ca="1" si="43"/>
        <v>0</v>
      </c>
      <c r="R191" s="18">
        <f t="shared" ca="1" si="43"/>
        <v>0</v>
      </c>
      <c r="S191" s="18">
        <f t="shared" ca="1" si="43"/>
        <v>0</v>
      </c>
      <c r="T191" s="18">
        <f t="shared" ca="1" si="43"/>
        <v>0</v>
      </c>
      <c r="U191" s="18">
        <f t="shared" ca="1" si="43"/>
        <v>0</v>
      </c>
      <c r="V191" s="18">
        <f t="shared" ca="1" si="43"/>
        <v>0</v>
      </c>
      <c r="W191" s="18">
        <f t="shared" ca="1" si="43"/>
        <v>0</v>
      </c>
      <c r="X191" s="18">
        <f t="shared" ca="1" si="43"/>
        <v>0</v>
      </c>
      <c r="Y191" s="18">
        <f t="shared" ca="1" si="43"/>
        <v>0</v>
      </c>
      <c r="Z191" s="18">
        <f t="shared" ca="1" si="43"/>
        <v>0</v>
      </c>
      <c r="AA191" s="18"/>
      <c r="AB191" s="18"/>
      <c r="AC191" s="18"/>
      <c r="AD191" s="18"/>
      <c r="AE191" s="18"/>
      <c r="AF191" s="18"/>
      <c r="AG191" s="18"/>
      <c r="AH191" s="18"/>
      <c r="AI191" s="18"/>
      <c r="AJ191" s="18"/>
      <c r="AK191" s="18"/>
      <c r="AL191" s="18"/>
      <c r="AM191" s="18"/>
      <c r="AN191" s="18"/>
      <c r="AO191" s="18"/>
      <c r="AP191" s="18"/>
      <c r="AQ191" s="18"/>
      <c r="AR191" s="18"/>
      <c r="AS191" s="18"/>
      <c r="AT191" s="18"/>
      <c r="AU191" s="18"/>
      <c r="AV191" s="18"/>
      <c r="AW191" s="18"/>
      <c r="AX191" s="18"/>
      <c r="AY191" s="18"/>
      <c r="AZ191" s="18"/>
      <c r="BA191" s="18"/>
      <c r="BB191" s="18"/>
      <c r="BC191" s="18"/>
      <c r="BD191" s="18"/>
      <c r="BE191" s="18"/>
      <c r="BF191" s="18"/>
      <c r="BG191" s="18"/>
      <c r="BH191" s="18"/>
      <c r="BI191" s="18"/>
      <c r="BJ191" s="18"/>
      <c r="BK191" s="18"/>
      <c r="BL191" s="18"/>
      <c r="BM191" s="18"/>
      <c r="BN191" s="18"/>
      <c r="BO191" s="18"/>
      <c r="BP191" s="18"/>
      <c r="BQ191" s="18"/>
      <c r="BR191" s="18"/>
      <c r="BS191" s="18"/>
    </row>
    <row r="192" spans="1:93" outlineLevel="1" x14ac:dyDescent="0.2">
      <c r="E192" t="str">
        <f>CHOOSE(db_ML_selected,'Liste Traduction'!B205,'Liste Traduction'!C205)</f>
        <v>Récupérables ?</v>
      </c>
      <c r="G192" s="44">
        <v>1</v>
      </c>
      <c r="H192" s="16" t="s">
        <v>573</v>
      </c>
    </row>
    <row r="193" spans="3:71" outlineLevel="1" x14ac:dyDescent="0.2">
      <c r="C193" s="27">
        <v>1</v>
      </c>
      <c r="D193" t="str" cm="1">
        <f t="array" ref="D193:D197">list_FieldName</f>
        <v>Nkossa</v>
      </c>
      <c r="I193" s="30">
        <f>SUM($L193:$BS193)</f>
        <v>0</v>
      </c>
      <c r="J193" s="26" t="s">
        <v>53</v>
      </c>
      <c r="L193" s="28"/>
      <c r="M193" s="28"/>
      <c r="N193" s="28"/>
      <c r="O193" s="28"/>
      <c r="P193" s="28"/>
      <c r="Q193" s="28"/>
      <c r="R193" s="28"/>
      <c r="S193" s="28"/>
      <c r="T193" s="18"/>
      <c r="U193" s="18"/>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8"/>
      <c r="AV193" s="18"/>
      <c r="AW193" s="18"/>
      <c r="AX193" s="18"/>
      <c r="AY193" s="18"/>
      <c r="AZ193" s="18"/>
      <c r="BA193" s="18"/>
      <c r="BB193" s="18"/>
      <c r="BC193" s="18"/>
      <c r="BD193" s="18"/>
      <c r="BE193" s="18"/>
      <c r="BF193" s="18"/>
      <c r="BG193" s="18"/>
      <c r="BH193" s="18"/>
      <c r="BI193" s="18"/>
      <c r="BJ193" s="18"/>
      <c r="BK193" s="18"/>
      <c r="BL193" s="18"/>
      <c r="BM193" s="18"/>
      <c r="BN193" s="18"/>
      <c r="BO193" s="18"/>
      <c r="BP193" s="18"/>
      <c r="BQ193" s="18"/>
      <c r="BR193" s="18"/>
      <c r="BS193" s="18"/>
    </row>
    <row r="194" spans="3:71" outlineLevel="1" x14ac:dyDescent="0.2">
      <c r="C194" s="27">
        <f>C193+1</f>
        <v>2</v>
      </c>
      <c r="D194" t="str">
        <v>Nsoko</v>
      </c>
      <c r="I194" s="30">
        <f>SUM($L194:$BS194)</f>
        <v>0</v>
      </c>
      <c r="J194" s="26" t="s">
        <v>53</v>
      </c>
      <c r="L194" s="28"/>
      <c r="M194" s="28"/>
      <c r="N194" s="28"/>
      <c r="O194" s="28"/>
      <c r="P194" s="28"/>
      <c r="Q194" s="28"/>
      <c r="R194" s="28"/>
      <c r="S194" s="2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c r="BG194" s="18"/>
      <c r="BH194" s="18"/>
      <c r="BI194" s="18"/>
      <c r="BJ194" s="18"/>
      <c r="BK194" s="18"/>
      <c r="BL194" s="18"/>
      <c r="BM194" s="18"/>
      <c r="BN194" s="18"/>
      <c r="BO194" s="18"/>
      <c r="BP194" s="18"/>
      <c r="BQ194" s="18"/>
      <c r="BR194" s="18"/>
      <c r="BS194" s="18"/>
    </row>
    <row r="195" spans="3:71" outlineLevel="1" x14ac:dyDescent="0.2">
      <c r="C195" s="27">
        <f t="shared" ref="C195:C197" si="44">C194+1</f>
        <v>3</v>
      </c>
      <c r="D195" t="str">
        <v>Moho</v>
      </c>
      <c r="I195" s="30">
        <f>SUM($L195:$BS195)</f>
        <v>0</v>
      </c>
      <c r="J195" s="26" t="s">
        <v>53</v>
      </c>
      <c r="L195" s="28"/>
      <c r="M195" s="28"/>
      <c r="N195" s="28"/>
      <c r="O195" s="28"/>
      <c r="P195" s="28"/>
      <c r="Q195" s="28"/>
      <c r="R195" s="28"/>
      <c r="S195" s="28"/>
      <c r="T195" s="18"/>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8"/>
      <c r="AV195" s="18"/>
      <c r="AW195" s="18"/>
      <c r="AX195" s="18"/>
      <c r="AY195" s="18"/>
      <c r="AZ195" s="18"/>
      <c r="BA195" s="18"/>
      <c r="BB195" s="18"/>
      <c r="BC195" s="18"/>
      <c r="BD195" s="18"/>
      <c r="BE195" s="18"/>
      <c r="BF195" s="18"/>
      <c r="BG195" s="18"/>
      <c r="BH195" s="18"/>
      <c r="BI195" s="18"/>
      <c r="BJ195" s="18"/>
      <c r="BK195" s="18"/>
      <c r="BL195" s="18"/>
      <c r="BM195" s="18"/>
      <c r="BN195" s="18"/>
      <c r="BO195" s="18"/>
      <c r="BP195" s="18"/>
      <c r="BQ195" s="18"/>
      <c r="BR195" s="18"/>
      <c r="BS195" s="18"/>
    </row>
    <row r="196" spans="3:71" outlineLevel="1" x14ac:dyDescent="0.2">
      <c r="C196" s="27">
        <f t="shared" si="44"/>
        <v>4</v>
      </c>
      <c r="D196" t="str">
        <v>KLL</v>
      </c>
      <c r="I196" s="30">
        <f>SUM($L196:$BS196)</f>
        <v>0</v>
      </c>
      <c r="J196" s="26" t="s">
        <v>53</v>
      </c>
      <c r="L196" s="28"/>
      <c r="M196" s="28"/>
      <c r="N196" s="28"/>
      <c r="O196" s="28"/>
      <c r="P196" s="28"/>
      <c r="Q196" s="28"/>
      <c r="R196" s="28"/>
      <c r="S196" s="28"/>
      <c r="T196" s="18"/>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8"/>
      <c r="AT196" s="18"/>
      <c r="AU196" s="18"/>
      <c r="AV196" s="18"/>
      <c r="AW196" s="18"/>
      <c r="AX196" s="18"/>
      <c r="AY196" s="18"/>
      <c r="AZ196" s="18"/>
      <c r="BA196" s="18"/>
      <c r="BB196" s="18"/>
      <c r="BC196" s="18"/>
      <c r="BD196" s="18"/>
      <c r="BE196" s="18"/>
      <c r="BF196" s="18"/>
      <c r="BG196" s="18"/>
      <c r="BH196" s="18"/>
      <c r="BI196" s="18"/>
      <c r="BJ196" s="18"/>
      <c r="BK196" s="18"/>
      <c r="BL196" s="18"/>
      <c r="BM196" s="18"/>
      <c r="BN196" s="18"/>
      <c r="BO196" s="18"/>
      <c r="BP196" s="18"/>
      <c r="BQ196" s="18"/>
      <c r="BR196" s="18"/>
      <c r="BS196" s="18"/>
    </row>
    <row r="197" spans="3:71" outlineLevel="1" x14ac:dyDescent="0.2">
      <c r="C197" s="27">
        <f t="shared" si="44"/>
        <v>5</v>
      </c>
      <c r="D197">
        <v>0</v>
      </c>
      <c r="I197" s="30">
        <f>SUM($L197:$BS197)</f>
        <v>366.815</v>
      </c>
      <c r="J197" s="26" t="s">
        <v>53</v>
      </c>
      <c r="L197" s="28">
        <v>170.22300000000001</v>
      </c>
      <c r="M197" s="28">
        <v>70.763000000000005</v>
      </c>
      <c r="N197" s="28">
        <v>95.635999999999996</v>
      </c>
      <c r="O197" s="28">
        <v>26.408999999999999</v>
      </c>
      <c r="P197" s="28">
        <v>0.76</v>
      </c>
      <c r="Q197" s="28">
        <v>3.024</v>
      </c>
      <c r="R197" s="28"/>
      <c r="S197" s="28"/>
      <c r="T197" s="18"/>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8"/>
      <c r="AT197" s="18"/>
      <c r="AU197" s="18"/>
      <c r="AV197" s="18"/>
      <c r="AW197" s="18"/>
      <c r="AX197" s="18"/>
      <c r="AY197" s="18"/>
      <c r="AZ197" s="18"/>
      <c r="BA197" s="18"/>
      <c r="BB197" s="18"/>
      <c r="BC197" s="18"/>
      <c r="BD197" s="18"/>
      <c r="BE197" s="18"/>
      <c r="BF197" s="18"/>
      <c r="BG197" s="18"/>
      <c r="BH197" s="18"/>
      <c r="BI197" s="18"/>
      <c r="BJ197" s="18"/>
      <c r="BK197" s="18"/>
      <c r="BL197" s="18"/>
      <c r="BM197" s="18"/>
      <c r="BN197" s="18"/>
      <c r="BO197" s="18"/>
      <c r="BP197" s="18"/>
      <c r="BQ197" s="18"/>
      <c r="BR197" s="18"/>
      <c r="BS197" s="18"/>
    </row>
    <row r="198" spans="3:71" outlineLevel="1" x14ac:dyDescent="0.2"/>
    <row r="199" spans="3:71" outlineLevel="1" x14ac:dyDescent="0.2">
      <c r="C199" s="11" t="str">
        <f>CHOOSE(db_ML_selected,'Liste Traduction'!B206,'Liste Traduction'!C206)</f>
        <v>Total Capex Développement</v>
      </c>
    </row>
    <row r="200" spans="3:71" outlineLevel="1" x14ac:dyDescent="0.2">
      <c r="D200" t="str">
        <f>D191</f>
        <v>sélectionnés</v>
      </c>
      <c r="G200" s="29" t="str">
        <f>field_selected</f>
        <v>Moho</v>
      </c>
      <c r="I200" s="30">
        <f ca="1">SUM($L200:$BS200)</f>
        <v>10913.591</v>
      </c>
      <c r="J200" s="26" t="s">
        <v>53</v>
      </c>
      <c r="K200" s="7" t="s">
        <v>61</v>
      </c>
      <c r="L200" s="18">
        <f t="shared" ref="L200:Z200" ca="1" si="45">OFFSET(L$200,MATCH(field_selected,list_FieldName,0)+1,0)</f>
        <v>1286.7819999999999</v>
      </c>
      <c r="M200" s="18">
        <f t="shared" ca="1" si="45"/>
        <v>2118.212</v>
      </c>
      <c r="N200" s="18">
        <f t="shared" ca="1" si="45"/>
        <v>3130.5740000000001</v>
      </c>
      <c r="O200" s="18">
        <f t="shared" ca="1" si="45"/>
        <v>2571.201</v>
      </c>
      <c r="P200" s="18">
        <f t="shared" ca="1" si="45"/>
        <v>1153.232</v>
      </c>
      <c r="Q200" s="18">
        <f t="shared" ca="1" si="45"/>
        <v>653.59</v>
      </c>
      <c r="R200" s="18">
        <f t="shared" ca="1" si="45"/>
        <v>0</v>
      </c>
      <c r="S200" s="18">
        <f t="shared" ca="1" si="45"/>
        <v>0</v>
      </c>
      <c r="T200" s="18">
        <f t="shared" ca="1" si="45"/>
        <v>0</v>
      </c>
      <c r="U200" s="18">
        <f t="shared" ca="1" si="45"/>
        <v>0</v>
      </c>
      <c r="V200" s="18">
        <f t="shared" ca="1" si="45"/>
        <v>0</v>
      </c>
      <c r="W200" s="18">
        <f t="shared" ca="1" si="45"/>
        <v>0</v>
      </c>
      <c r="X200" s="18">
        <f t="shared" ca="1" si="45"/>
        <v>0</v>
      </c>
      <c r="Y200" s="18">
        <f t="shared" ca="1" si="45"/>
        <v>0</v>
      </c>
      <c r="Z200" s="18">
        <f t="shared" ca="1" si="45"/>
        <v>0</v>
      </c>
      <c r="AA200" s="18"/>
      <c r="AB200" s="18"/>
      <c r="AC200" s="18"/>
      <c r="AD200" s="18"/>
      <c r="AE200" s="18"/>
      <c r="AF200" s="18"/>
      <c r="AG200" s="18"/>
      <c r="AH200" s="18"/>
      <c r="AI200" s="18"/>
      <c r="AJ200" s="18"/>
      <c r="AK200" s="18"/>
      <c r="AL200" s="18"/>
      <c r="AM200" s="18"/>
      <c r="AN200" s="18"/>
      <c r="AO200" s="18"/>
      <c r="AP200" s="18"/>
      <c r="AQ200" s="18"/>
      <c r="AR200" s="18"/>
      <c r="AS200" s="18"/>
      <c r="AT200" s="18"/>
      <c r="AU200" s="18"/>
      <c r="AV200" s="18"/>
      <c r="AW200" s="18"/>
      <c r="AX200" s="18"/>
      <c r="AY200" s="18"/>
      <c r="AZ200" s="18"/>
      <c r="BA200" s="18"/>
      <c r="BB200" s="18"/>
      <c r="BC200" s="18"/>
      <c r="BD200" s="18"/>
      <c r="BE200" s="18"/>
      <c r="BF200" s="18"/>
      <c r="BG200" s="18"/>
      <c r="BH200" s="18"/>
      <c r="BI200" s="18"/>
      <c r="BJ200" s="18"/>
      <c r="BK200" s="18"/>
      <c r="BL200" s="18"/>
      <c r="BM200" s="18"/>
      <c r="BN200" s="18"/>
      <c r="BO200" s="18"/>
      <c r="BP200" s="18"/>
      <c r="BQ200" s="18"/>
      <c r="BR200" s="18"/>
      <c r="BS200" s="18"/>
    </row>
    <row r="201" spans="3:71" outlineLevel="1" x14ac:dyDescent="0.2">
      <c r="E201" t="str">
        <f>CHOOSE(db_ML_selected,'Liste Traduction'!B207,'Liste Traduction'!C207)</f>
        <v>Inclure Capex de Marine XII PIII</v>
      </c>
      <c r="G201" s="44">
        <f>IF(df_marine_upside="Yes",1,0)</f>
        <v>0</v>
      </c>
      <c r="H201" s="16" t="s">
        <v>942</v>
      </c>
    </row>
    <row r="202" spans="3:71" outlineLevel="1" x14ac:dyDescent="0.2">
      <c r="C202" s="27">
        <v>1</v>
      </c>
      <c r="D202" t="str" cm="1">
        <f t="array" ref="D202:D206">list_FieldName</f>
        <v>Nkossa</v>
      </c>
      <c r="I202" s="30">
        <f>SUM($L202:$BS202)</f>
        <v>818.52100000000007</v>
      </c>
      <c r="J202" s="26" t="s">
        <v>53</v>
      </c>
      <c r="L202" s="28">
        <v>331.70699999999999</v>
      </c>
      <c r="M202" s="28">
        <v>170.95500000000001</v>
      </c>
      <c r="N202" s="28">
        <v>108.699</v>
      </c>
      <c r="O202" s="28">
        <v>38.56</v>
      </c>
      <c r="P202" s="28">
        <v>50.6</v>
      </c>
      <c r="Q202" s="28">
        <v>118</v>
      </c>
      <c r="R202" s="28"/>
      <c r="S202" s="28"/>
      <c r="T202" s="18"/>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8"/>
      <c r="AV202" s="18"/>
      <c r="AW202" s="18"/>
      <c r="AX202" s="18"/>
      <c r="AY202" s="18"/>
      <c r="AZ202" s="18"/>
      <c r="BA202" s="18"/>
      <c r="BB202" s="18"/>
      <c r="BC202" s="18"/>
      <c r="BD202" s="18"/>
      <c r="BE202" s="18"/>
      <c r="BF202" s="18"/>
      <c r="BG202" s="18"/>
      <c r="BH202" s="18"/>
      <c r="BI202" s="18"/>
      <c r="BJ202" s="18"/>
      <c r="BK202" s="18"/>
      <c r="BL202" s="18"/>
      <c r="BM202" s="18"/>
      <c r="BN202" s="18"/>
      <c r="BO202" s="18"/>
      <c r="BP202" s="18"/>
      <c r="BQ202" s="18"/>
      <c r="BR202" s="18"/>
      <c r="BS202" s="18"/>
    </row>
    <row r="203" spans="3:71" outlineLevel="1" x14ac:dyDescent="0.2">
      <c r="C203" s="27">
        <f>C202+1</f>
        <v>2</v>
      </c>
      <c r="D203" t="str">
        <v>Nsoko</v>
      </c>
      <c r="I203" s="30">
        <f>SUM($L203:$BS203)</f>
        <v>40.866999999999997</v>
      </c>
      <c r="J203" s="26" t="s">
        <v>53</v>
      </c>
      <c r="L203" s="28">
        <v>0.81200000000000006</v>
      </c>
      <c r="M203" s="28">
        <v>38.951000000000001</v>
      </c>
      <c r="N203" s="28">
        <v>0.69199999999999995</v>
      </c>
      <c r="O203" s="28">
        <v>0.156</v>
      </c>
      <c r="P203" s="28">
        <v>0.25600000000000001</v>
      </c>
      <c r="Q203" s="28"/>
      <c r="R203" s="28"/>
      <c r="S203" s="28"/>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8"/>
      <c r="AV203" s="18"/>
      <c r="AW203" s="18"/>
      <c r="AX203" s="18"/>
      <c r="AY203" s="18"/>
      <c r="AZ203" s="18"/>
      <c r="BA203" s="18"/>
      <c r="BB203" s="18"/>
      <c r="BC203" s="18"/>
      <c r="BD203" s="18"/>
      <c r="BE203" s="18"/>
      <c r="BF203" s="18"/>
      <c r="BG203" s="18"/>
      <c r="BH203" s="18"/>
      <c r="BI203" s="18"/>
      <c r="BJ203" s="18"/>
      <c r="BK203" s="18"/>
      <c r="BL203" s="18"/>
      <c r="BM203" s="18"/>
      <c r="BN203" s="18"/>
      <c r="BO203" s="18"/>
      <c r="BP203" s="18"/>
      <c r="BQ203" s="18"/>
      <c r="BR203" s="18"/>
      <c r="BS203" s="18"/>
    </row>
    <row r="204" spans="3:71" outlineLevel="1" x14ac:dyDescent="0.2">
      <c r="C204" s="27">
        <f t="shared" ref="C204:C206" si="46">C203+1</f>
        <v>3</v>
      </c>
      <c r="D204" t="str">
        <v>Moho</v>
      </c>
      <c r="I204" s="30">
        <f>SUM($L204:$BS204)</f>
        <v>10913.591</v>
      </c>
      <c r="J204" s="26" t="s">
        <v>53</v>
      </c>
      <c r="L204" s="28">
        <v>1286.7819999999999</v>
      </c>
      <c r="M204" s="28">
        <v>2118.212</v>
      </c>
      <c r="N204" s="28">
        <v>3130.5740000000001</v>
      </c>
      <c r="O204" s="28">
        <v>2571.201</v>
      </c>
      <c r="P204" s="28">
        <v>1153.232</v>
      </c>
      <c r="Q204" s="28">
        <v>653.59</v>
      </c>
      <c r="R204" s="28"/>
      <c r="S204" s="28"/>
      <c r="T204" s="18"/>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8"/>
      <c r="AV204" s="18"/>
      <c r="AW204" s="18"/>
      <c r="AX204" s="18"/>
      <c r="AY204" s="18"/>
      <c r="AZ204" s="18"/>
      <c r="BA204" s="18"/>
      <c r="BB204" s="18"/>
      <c r="BC204" s="18"/>
      <c r="BD204" s="18"/>
      <c r="BE204" s="18"/>
      <c r="BF204" s="18"/>
      <c r="BG204" s="18"/>
      <c r="BH204" s="18"/>
      <c r="BI204" s="18"/>
      <c r="BJ204" s="18"/>
      <c r="BK204" s="18"/>
      <c r="BL204" s="18"/>
      <c r="BM204" s="18"/>
      <c r="BN204" s="18"/>
      <c r="BO204" s="18"/>
      <c r="BP204" s="18"/>
      <c r="BQ204" s="18"/>
      <c r="BR204" s="18"/>
      <c r="BS204" s="18"/>
    </row>
    <row r="205" spans="3:71" outlineLevel="1" x14ac:dyDescent="0.2">
      <c r="C205" s="27">
        <f t="shared" si="46"/>
        <v>4</v>
      </c>
      <c r="D205" t="str">
        <v>KLL</v>
      </c>
      <c r="I205" s="30">
        <f>SUM($L205:$BS205)</f>
        <v>406.02799999999996</v>
      </c>
      <c r="J205" s="26" t="s">
        <v>53</v>
      </c>
      <c r="L205" s="28">
        <v>51.014000000000003</v>
      </c>
      <c r="M205" s="28">
        <v>171.511</v>
      </c>
      <c r="N205" s="28">
        <v>76.641000000000005</v>
      </c>
      <c r="O205" s="28">
        <v>28.661999999999999</v>
      </c>
      <c r="P205" s="28">
        <v>18.2</v>
      </c>
      <c r="Q205" s="28">
        <v>60</v>
      </c>
      <c r="R205" s="28"/>
      <c r="S205" s="28"/>
      <c r="T205" s="18"/>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8"/>
      <c r="AV205" s="18"/>
      <c r="AW205" s="18"/>
      <c r="AX205" s="18"/>
      <c r="AY205" s="18"/>
      <c r="AZ205" s="18"/>
      <c r="BA205" s="18"/>
      <c r="BB205" s="18"/>
      <c r="BC205" s="18"/>
      <c r="BD205" s="18"/>
      <c r="BE205" s="18"/>
      <c r="BF205" s="18"/>
      <c r="BG205" s="18"/>
      <c r="BH205" s="18"/>
      <c r="BI205" s="18"/>
      <c r="BJ205" s="18"/>
      <c r="BK205" s="18"/>
      <c r="BL205" s="18"/>
      <c r="BM205" s="18"/>
      <c r="BN205" s="18"/>
      <c r="BO205" s="18"/>
      <c r="BP205" s="18"/>
      <c r="BQ205" s="18"/>
      <c r="BR205" s="18"/>
      <c r="BS205" s="18"/>
    </row>
    <row r="206" spans="3:71" outlineLevel="1" x14ac:dyDescent="0.2">
      <c r="C206" s="27">
        <f t="shared" si="46"/>
        <v>5</v>
      </c>
      <c r="D206">
        <v>0</v>
      </c>
      <c r="I206" s="30">
        <f>SUM($L206:$BS206)</f>
        <v>2393.6419999999998</v>
      </c>
      <c r="J206" s="26" t="s">
        <v>53</v>
      </c>
      <c r="L206" s="28">
        <v>217.36199999999999</v>
      </c>
      <c r="M206" s="28">
        <v>432.14400000000001</v>
      </c>
      <c r="N206" s="28">
        <v>682.33</v>
      </c>
      <c r="O206" s="28">
        <v>428.005</v>
      </c>
      <c r="P206" s="28">
        <v>406.53100000000001</v>
      </c>
      <c r="Q206" s="28">
        <v>227.27</v>
      </c>
      <c r="R206" s="28"/>
      <c r="S206" s="28">
        <f>163.8*marine_upside_toggle</f>
        <v>0</v>
      </c>
      <c r="T206" s="18">
        <f>163.8*marine_upside_toggle</f>
        <v>0</v>
      </c>
      <c r="U206" s="18">
        <f>163.8*marine_upside_toggle</f>
        <v>0</v>
      </c>
      <c r="V206" s="18">
        <f>163.8*marine_upside_toggle</f>
        <v>0</v>
      </c>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8"/>
      <c r="AV206" s="18"/>
      <c r="AW206" s="18"/>
      <c r="AX206" s="18"/>
      <c r="AY206" s="18"/>
      <c r="AZ206" s="18"/>
      <c r="BA206" s="18"/>
      <c r="BB206" s="18"/>
      <c r="BC206" s="18"/>
      <c r="BD206" s="18"/>
      <c r="BE206" s="18"/>
      <c r="BF206" s="18"/>
      <c r="BG206" s="18"/>
      <c r="BH206" s="18"/>
      <c r="BI206" s="18"/>
      <c r="BJ206" s="18"/>
      <c r="BK206" s="18"/>
      <c r="BL206" s="18"/>
      <c r="BM206" s="18"/>
      <c r="BN206" s="18"/>
      <c r="BO206" s="18"/>
      <c r="BP206" s="18"/>
      <c r="BQ206" s="18"/>
      <c r="BR206" s="18"/>
      <c r="BS206" s="18"/>
    </row>
    <row r="207" spans="3:71" outlineLevel="1" x14ac:dyDescent="0.2"/>
    <row r="208" spans="3:71" outlineLevel="1" x14ac:dyDescent="0.2">
      <c r="C208" s="11" t="str">
        <f>CHOOSE(db_ML_selected,'Liste Traduction'!B208,'Liste Traduction'!C208)</f>
        <v>Coûts d'abandon</v>
      </c>
    </row>
    <row r="209" spans="3:16384" outlineLevel="1" x14ac:dyDescent="0.2">
      <c r="D209" t="str">
        <f>D200</f>
        <v>sélectionnés</v>
      </c>
      <c r="G209" s="29" t="str">
        <f>field_selected</f>
        <v>Moho</v>
      </c>
      <c r="I209" s="30">
        <f ca="1">SUM($L209:$BS209)</f>
        <v>0</v>
      </c>
      <c r="J209" s="26" t="s">
        <v>53</v>
      </c>
      <c r="K209" s="7" t="s">
        <v>64</v>
      </c>
      <c r="L209" s="18">
        <f t="shared" ref="L209:Z209" ca="1" si="47">OFFSET(L$209,MATCH(field_selected,list_FieldName,0)+1,0)*decom_toggle</f>
        <v>0</v>
      </c>
      <c r="M209" s="18">
        <f t="shared" ca="1" si="47"/>
        <v>0</v>
      </c>
      <c r="N209" s="18">
        <f t="shared" ca="1" si="47"/>
        <v>0</v>
      </c>
      <c r="O209" s="18">
        <f t="shared" ca="1" si="47"/>
        <v>0</v>
      </c>
      <c r="P209" s="18">
        <f t="shared" ca="1" si="47"/>
        <v>0</v>
      </c>
      <c r="Q209" s="18">
        <f t="shared" ca="1" si="47"/>
        <v>0</v>
      </c>
      <c r="R209" s="18">
        <f t="shared" ca="1" si="47"/>
        <v>0</v>
      </c>
      <c r="S209" s="18">
        <f t="shared" ca="1" si="47"/>
        <v>0</v>
      </c>
      <c r="T209" s="18">
        <f t="shared" ca="1" si="47"/>
        <v>0</v>
      </c>
      <c r="U209" s="18">
        <f t="shared" ca="1" si="47"/>
        <v>0</v>
      </c>
      <c r="V209" s="18">
        <f t="shared" ca="1" si="47"/>
        <v>0</v>
      </c>
      <c r="W209" s="18">
        <f t="shared" ca="1" si="47"/>
        <v>0</v>
      </c>
      <c r="X209" s="18">
        <f t="shared" ca="1" si="47"/>
        <v>0</v>
      </c>
      <c r="Y209" s="18">
        <f t="shared" ca="1" si="47"/>
        <v>0</v>
      </c>
      <c r="Z209" s="18">
        <f t="shared" ca="1" si="47"/>
        <v>0</v>
      </c>
      <c r="AA209" s="18"/>
      <c r="AB209" s="18"/>
      <c r="AC209" s="18"/>
      <c r="AD209" s="18"/>
      <c r="AE209" s="18"/>
      <c r="AF209" s="18"/>
      <c r="AG209" s="18"/>
      <c r="AH209" s="18"/>
      <c r="AI209" s="18"/>
      <c r="AJ209" s="18"/>
      <c r="AK209" s="18"/>
      <c r="AL209" s="18"/>
      <c r="AM209" s="18"/>
      <c r="AN209" s="18"/>
      <c r="AO209" s="18"/>
      <c r="AP209" s="18"/>
      <c r="AQ209" s="18"/>
      <c r="AR209" s="18"/>
      <c r="AS209" s="18"/>
      <c r="AT209" s="18"/>
      <c r="AU209" s="18"/>
      <c r="AV209" s="18"/>
      <c r="AW209" s="18"/>
      <c r="AX209" s="18"/>
      <c r="AY209" s="18"/>
      <c r="AZ209" s="18"/>
      <c r="BA209" s="18"/>
      <c r="BB209" s="18"/>
      <c r="BC209" s="18"/>
      <c r="BD209" s="18"/>
      <c r="BE209" s="18"/>
      <c r="BF209" s="18"/>
      <c r="BG209" s="18"/>
      <c r="BH209" s="18"/>
      <c r="BI209" s="18"/>
      <c r="BJ209" s="18"/>
      <c r="BK209" s="18"/>
      <c r="BL209" s="18"/>
      <c r="BM209" s="18"/>
      <c r="BN209" s="18"/>
      <c r="BO209" s="18"/>
      <c r="BP209" s="18"/>
      <c r="BQ209" s="18"/>
      <c r="BR209" s="18"/>
      <c r="BS209" s="18"/>
    </row>
    <row r="210" spans="3:16384" outlineLevel="1" x14ac:dyDescent="0.2">
      <c r="E210" t="str">
        <f>CHOOSE(db_ML_selected,'Liste Traduction'!B11,'Liste Traduction'!C11)</f>
        <v>Inclure Abandon ?</v>
      </c>
      <c r="G210" s="44">
        <f>IF(db_decom_switch="Yes",1,0)</f>
        <v>1</v>
      </c>
      <c r="H210" s="16" t="s">
        <v>809</v>
      </c>
    </row>
    <row r="211" spans="3:16384" outlineLevel="1" x14ac:dyDescent="0.2">
      <c r="C211" s="27">
        <v>1</v>
      </c>
      <c r="D211" t="str" cm="1">
        <f t="array" ref="D211:D215">list_FieldName</f>
        <v>Nkossa</v>
      </c>
      <c r="I211" s="30">
        <f>SUM($L211:$BS211)</f>
        <v>1158.403</v>
      </c>
      <c r="J211" s="26" t="s">
        <v>53</v>
      </c>
      <c r="L211" s="28">
        <v>31.151</v>
      </c>
      <c r="M211" s="28">
        <v>68.504999999999995</v>
      </c>
      <c r="N211" s="28">
        <v>126.03400000000001</v>
      </c>
      <c r="O211" s="28">
        <v>177.893</v>
      </c>
      <c r="P211" s="28">
        <v>221.03700000000001</v>
      </c>
      <c r="Q211" s="28">
        <v>254.56800000000001</v>
      </c>
      <c r="R211" s="28">
        <v>279.21499999999997</v>
      </c>
      <c r="S211" s="28"/>
      <c r="T211" s="18"/>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8"/>
      <c r="AT211" s="18"/>
      <c r="AU211" s="18"/>
      <c r="AV211" s="18"/>
      <c r="AW211" s="18"/>
      <c r="AX211" s="18"/>
      <c r="AY211" s="18"/>
      <c r="AZ211" s="18"/>
      <c r="BA211" s="18"/>
      <c r="BB211" s="18"/>
      <c r="BC211" s="18"/>
      <c r="BD211" s="18"/>
      <c r="BE211" s="18"/>
      <c r="BF211" s="18"/>
      <c r="BG211" s="18"/>
      <c r="BH211" s="18"/>
      <c r="BI211" s="18"/>
      <c r="BJ211" s="18"/>
      <c r="BK211" s="18"/>
      <c r="BL211" s="18"/>
      <c r="BM211" s="18"/>
      <c r="BN211" s="18"/>
      <c r="BO211" s="18"/>
      <c r="BP211" s="18"/>
      <c r="BQ211" s="18"/>
      <c r="BR211" s="18"/>
      <c r="BS211" s="18"/>
    </row>
    <row r="212" spans="3:16384" outlineLevel="1" x14ac:dyDescent="0.2">
      <c r="C212" s="27">
        <f>C211+1</f>
        <v>2</v>
      </c>
      <c r="D212" t="str">
        <v>Nsoko</v>
      </c>
      <c r="I212" s="30">
        <f>SUM($L212:$BS212)</f>
        <v>37.902999999999999</v>
      </c>
      <c r="J212" s="26" t="s">
        <v>53</v>
      </c>
      <c r="L212" s="28">
        <v>4.1470000000000002</v>
      </c>
      <c r="M212" s="28">
        <v>4.7190000000000003</v>
      </c>
      <c r="N212" s="28">
        <v>6.5110000000000001</v>
      </c>
      <c r="O212" s="28">
        <v>7.0970000000000004</v>
      </c>
      <c r="P212" s="28">
        <v>7.5179999999999998</v>
      </c>
      <c r="Q212" s="28">
        <v>7.9109999999999996</v>
      </c>
      <c r="R212" s="28"/>
      <c r="S212" s="28"/>
      <c r="T212" s="18"/>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8"/>
      <c r="AT212" s="18"/>
      <c r="AU212" s="18"/>
      <c r="AV212" s="18"/>
      <c r="AW212" s="18"/>
      <c r="AX212" s="18"/>
      <c r="AY212" s="18"/>
      <c r="AZ212" s="18"/>
      <c r="BA212" s="18"/>
      <c r="BB212" s="18"/>
      <c r="BC212" s="18"/>
      <c r="BD212" s="18"/>
      <c r="BE212" s="18"/>
      <c r="BF212" s="18"/>
      <c r="BG212" s="18"/>
      <c r="BH212" s="18"/>
      <c r="BI212" s="18"/>
      <c r="BJ212" s="18"/>
      <c r="BK212" s="18"/>
      <c r="BL212" s="18"/>
      <c r="BM212" s="18"/>
      <c r="BN212" s="18"/>
      <c r="BO212" s="18"/>
      <c r="BP212" s="18"/>
      <c r="BQ212" s="18"/>
      <c r="BR212" s="18"/>
      <c r="BS212" s="18"/>
    </row>
    <row r="213" spans="3:16384" outlineLevel="1" x14ac:dyDescent="0.2">
      <c r="C213" s="27">
        <f t="shared" ref="C213:C215" si="48">C212+1</f>
        <v>3</v>
      </c>
      <c r="D213" t="str">
        <v>Moho</v>
      </c>
      <c r="I213" s="30">
        <f>SUM($L213:$BS213)</f>
        <v>0</v>
      </c>
      <c r="J213" s="26" t="s">
        <v>53</v>
      </c>
      <c r="L213" s="28"/>
      <c r="M213" s="28"/>
      <c r="N213" s="28"/>
      <c r="O213" s="28"/>
      <c r="P213" s="28"/>
      <c r="Q213" s="28"/>
      <c r="R213" s="28"/>
      <c r="S213" s="28"/>
      <c r="T213" s="18"/>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8"/>
      <c r="AU213" s="18"/>
      <c r="AV213" s="18"/>
      <c r="AW213" s="18"/>
      <c r="AX213" s="18"/>
      <c r="AY213" s="18"/>
      <c r="AZ213" s="18"/>
      <c r="BA213" s="18"/>
      <c r="BB213" s="18"/>
      <c r="BC213" s="18"/>
      <c r="BD213" s="18"/>
      <c r="BE213" s="18"/>
      <c r="BF213" s="18"/>
      <c r="BG213" s="18"/>
      <c r="BH213" s="18"/>
      <c r="BI213" s="18"/>
      <c r="BJ213" s="18"/>
      <c r="BK213" s="18"/>
      <c r="BL213" s="18"/>
      <c r="BM213" s="18"/>
      <c r="BN213" s="18"/>
      <c r="BO213" s="18"/>
      <c r="BP213" s="18"/>
      <c r="BQ213" s="18"/>
      <c r="BR213" s="18"/>
      <c r="BS213" s="18"/>
    </row>
    <row r="214" spans="3:16384" outlineLevel="1" x14ac:dyDescent="0.2">
      <c r="C214" s="27">
        <f t="shared" si="48"/>
        <v>4</v>
      </c>
      <c r="D214" t="str">
        <v>KLL</v>
      </c>
      <c r="I214" s="30">
        <f>SUM($L214:$BS214)</f>
        <v>675.7120000000001</v>
      </c>
      <c r="J214" s="26" t="s">
        <v>53</v>
      </c>
      <c r="L214" s="28">
        <v>28.318999999999999</v>
      </c>
      <c r="M214" s="28">
        <v>38.320999999999998</v>
      </c>
      <c r="N214" s="28">
        <v>51.231000000000002</v>
      </c>
      <c r="O214" s="28">
        <v>101.089</v>
      </c>
      <c r="P214" s="28">
        <v>131.86000000000001</v>
      </c>
      <c r="Q214" s="28">
        <v>161.22499999999999</v>
      </c>
      <c r="R214" s="28">
        <v>163.667</v>
      </c>
      <c r="S214" s="28"/>
      <c r="T214" s="18"/>
      <c r="U214" s="18"/>
      <c r="V214" s="18"/>
      <c r="W214" s="18"/>
      <c r="X214" s="18"/>
      <c r="Y214" s="18"/>
      <c r="Z214" s="18"/>
      <c r="AA214" s="18"/>
      <c r="AB214" s="18"/>
      <c r="AC214" s="18"/>
      <c r="AD214" s="18"/>
      <c r="AE214" s="18"/>
      <c r="AF214" s="18"/>
      <c r="AG214" s="18"/>
      <c r="AH214" s="18"/>
      <c r="AI214" s="18"/>
      <c r="AJ214" s="18"/>
      <c r="AK214" s="18"/>
      <c r="AL214" s="18"/>
      <c r="AM214" s="18"/>
      <c r="AN214" s="18"/>
      <c r="AO214" s="18"/>
      <c r="AP214" s="18"/>
      <c r="AQ214" s="18"/>
      <c r="AR214" s="18"/>
      <c r="AS214" s="18"/>
      <c r="AT214" s="18"/>
      <c r="AU214" s="18"/>
      <c r="AV214" s="18"/>
      <c r="AW214" s="18"/>
      <c r="AX214" s="18"/>
      <c r="AY214" s="18"/>
      <c r="AZ214" s="18"/>
      <c r="BA214" s="18"/>
      <c r="BB214" s="18"/>
      <c r="BC214" s="18"/>
      <c r="BD214" s="18"/>
      <c r="BE214" s="18"/>
      <c r="BF214" s="18"/>
      <c r="BG214" s="18"/>
      <c r="BH214" s="18"/>
      <c r="BI214" s="18"/>
      <c r="BJ214" s="18"/>
      <c r="BK214" s="18"/>
      <c r="BL214" s="18"/>
      <c r="BM214" s="18"/>
      <c r="BN214" s="18"/>
      <c r="BO214" s="18"/>
      <c r="BP214" s="18"/>
      <c r="BQ214" s="18"/>
      <c r="BR214" s="18"/>
      <c r="BS214" s="18"/>
    </row>
    <row r="215" spans="3:16384" outlineLevel="1" x14ac:dyDescent="0.2">
      <c r="C215" s="27">
        <f t="shared" si="48"/>
        <v>5</v>
      </c>
      <c r="D215">
        <v>0</v>
      </c>
      <c r="I215" s="30">
        <f>SUM($L215:$BS215)</f>
        <v>0</v>
      </c>
      <c r="J215" s="26" t="s">
        <v>53</v>
      </c>
      <c r="L215" s="28"/>
      <c r="M215" s="28"/>
      <c r="N215" s="28"/>
      <c r="O215" s="28"/>
      <c r="P215" s="28"/>
      <c r="Q215" s="28"/>
      <c r="R215" s="28"/>
      <c r="S215" s="28"/>
      <c r="T215" s="18"/>
      <c r="U215" s="18"/>
      <c r="V215" s="18"/>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8"/>
      <c r="AT215" s="18"/>
      <c r="AU215" s="18"/>
      <c r="AV215" s="18"/>
      <c r="AW215" s="18"/>
      <c r="AX215" s="18"/>
      <c r="AY215" s="18"/>
      <c r="AZ215" s="18"/>
      <c r="BA215" s="18"/>
      <c r="BB215" s="18"/>
      <c r="BC215" s="18"/>
      <c r="BD215" s="18"/>
      <c r="BE215" s="18"/>
      <c r="BF215" s="18"/>
      <c r="BG215" s="18"/>
      <c r="BH215" s="18"/>
      <c r="BI215" s="18"/>
      <c r="BJ215" s="18"/>
      <c r="BK215" s="18"/>
      <c r="BL215" s="18"/>
      <c r="BM215" s="18"/>
      <c r="BN215" s="18"/>
      <c r="BO215" s="18"/>
      <c r="BP215" s="18"/>
      <c r="BQ215" s="18"/>
      <c r="BR215" s="18"/>
      <c r="BS215" s="18"/>
    </row>
    <row r="216" spans="3:16384" outlineLevel="1" x14ac:dyDescent="0.2">
      <c r="K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c r="IZ216"/>
      <c r="JA216"/>
      <c r="JB216"/>
      <c r="JC216"/>
      <c r="JD216"/>
      <c r="JE216"/>
      <c r="JF216"/>
      <c r="JG216"/>
      <c r="JH216"/>
      <c r="JI216"/>
      <c r="JJ216"/>
      <c r="JK216"/>
      <c r="JL216"/>
      <c r="JM216"/>
      <c r="JN216"/>
      <c r="JO216"/>
      <c r="JP216"/>
      <c r="JQ216"/>
      <c r="JR216"/>
      <c r="JS216"/>
      <c r="JT216"/>
      <c r="JU216"/>
      <c r="JV216"/>
      <c r="JW216"/>
      <c r="JX216"/>
      <c r="JY216"/>
      <c r="JZ216"/>
      <c r="KA216"/>
      <c r="KB216"/>
      <c r="KC216"/>
      <c r="KD216"/>
      <c r="KE216"/>
      <c r="KF216"/>
      <c r="KG216"/>
      <c r="KH216"/>
      <c r="KI216"/>
      <c r="KJ216"/>
      <c r="KK216"/>
      <c r="KL216"/>
      <c r="KM216"/>
      <c r="KN216"/>
      <c r="KO216"/>
      <c r="KP216"/>
      <c r="KQ216"/>
      <c r="KR216"/>
      <c r="KS216"/>
      <c r="KT216"/>
      <c r="KU216"/>
      <c r="KV216"/>
      <c r="KW216"/>
      <c r="KX216"/>
      <c r="KY216"/>
      <c r="KZ216"/>
      <c r="LA216"/>
      <c r="LB216"/>
      <c r="LC216"/>
      <c r="LD216"/>
      <c r="LE216"/>
      <c r="LF216"/>
      <c r="LG216"/>
      <c r="LH216"/>
      <c r="LI216"/>
      <c r="LJ216"/>
      <c r="LK216"/>
      <c r="LL216"/>
      <c r="LM216"/>
      <c r="LN216"/>
      <c r="LO216"/>
      <c r="LP216"/>
      <c r="LQ216"/>
      <c r="LR216"/>
      <c r="LS216"/>
      <c r="LT216"/>
      <c r="LU216"/>
      <c r="LV216"/>
      <c r="LW216"/>
      <c r="LX216"/>
      <c r="LY216"/>
      <c r="LZ216"/>
      <c r="MA216"/>
      <c r="MB216"/>
      <c r="MC216"/>
      <c r="MD216"/>
      <c r="ME216"/>
      <c r="MF216"/>
      <c r="MG216"/>
      <c r="MH216"/>
      <c r="MI216"/>
      <c r="MJ216"/>
      <c r="MK216"/>
      <c r="ML216"/>
      <c r="MM216"/>
      <c r="MN216"/>
      <c r="MO216"/>
      <c r="MP216"/>
      <c r="MQ216"/>
      <c r="MR216"/>
      <c r="MS216"/>
      <c r="MT216"/>
      <c r="MU216"/>
      <c r="MV216"/>
      <c r="MW216"/>
      <c r="MX216"/>
      <c r="MY216"/>
      <c r="MZ216"/>
      <c r="NA216"/>
      <c r="NB216"/>
      <c r="NC216"/>
      <c r="ND216"/>
      <c r="NE216"/>
      <c r="NF216"/>
      <c r="NG216"/>
      <c r="NH216"/>
      <c r="NI216"/>
      <c r="NJ216"/>
      <c r="NK216"/>
      <c r="NL216"/>
      <c r="NM216"/>
      <c r="NN216"/>
      <c r="NO216"/>
      <c r="NP216"/>
      <c r="NQ216"/>
      <c r="NR216"/>
      <c r="NS216"/>
      <c r="NT216"/>
      <c r="NU216"/>
      <c r="NV216"/>
      <c r="NW216"/>
      <c r="NX216"/>
      <c r="NY216"/>
      <c r="NZ216"/>
      <c r="OA216"/>
      <c r="OB216"/>
      <c r="OC216"/>
      <c r="OD216"/>
      <c r="OE216"/>
      <c r="OF216"/>
      <c r="OG216"/>
      <c r="OH216"/>
      <c r="OI216"/>
      <c r="OJ216"/>
      <c r="OK216"/>
      <c r="OL216"/>
      <c r="OM216"/>
      <c r="ON216"/>
      <c r="OO216"/>
      <c r="OP216"/>
      <c r="OQ216"/>
      <c r="OR216"/>
      <c r="OS216"/>
      <c r="OT216"/>
      <c r="OU216"/>
      <c r="OV216"/>
      <c r="OW216"/>
      <c r="OX216"/>
      <c r="OY216"/>
      <c r="OZ216"/>
      <c r="PA216"/>
      <c r="PB216"/>
      <c r="PC216"/>
      <c r="PD216"/>
      <c r="PE216"/>
      <c r="PF216"/>
      <c r="PG216"/>
      <c r="PH216"/>
      <c r="PI216"/>
      <c r="PJ216"/>
      <c r="PK216"/>
      <c r="PL216"/>
      <c r="PM216"/>
      <c r="PN216"/>
      <c r="PO216"/>
      <c r="PP216"/>
      <c r="PQ216"/>
      <c r="PR216"/>
      <c r="PS216"/>
      <c r="PT216"/>
      <c r="PU216"/>
      <c r="PV216"/>
      <c r="PW216"/>
      <c r="PX216"/>
      <c r="PY216"/>
      <c r="PZ216"/>
      <c r="QA216"/>
      <c r="QB216"/>
      <c r="QC216"/>
      <c r="QD216"/>
      <c r="QE216"/>
      <c r="QF216"/>
      <c r="QG216"/>
      <c r="QH216"/>
      <c r="QI216"/>
      <c r="QJ216"/>
      <c r="QK216"/>
      <c r="QL216"/>
      <c r="QM216"/>
      <c r="QN216"/>
      <c r="QO216"/>
      <c r="QP216"/>
      <c r="QQ216"/>
      <c r="QR216"/>
      <c r="QS216"/>
      <c r="QT216"/>
      <c r="QU216"/>
      <c r="QV216"/>
      <c r="QW216"/>
      <c r="QX216"/>
      <c r="QY216"/>
      <c r="QZ216"/>
      <c r="RA216"/>
      <c r="RB216"/>
      <c r="RC216"/>
      <c r="RD216"/>
      <c r="RE216"/>
      <c r="RF216"/>
      <c r="RG216"/>
      <c r="RH216"/>
      <c r="RI216"/>
      <c r="RJ216"/>
      <c r="RK216"/>
      <c r="RL216"/>
      <c r="RM216"/>
      <c r="RN216"/>
      <c r="RO216"/>
      <c r="RP216"/>
      <c r="RQ216"/>
      <c r="RR216"/>
      <c r="RS216"/>
      <c r="RT216"/>
      <c r="RU216"/>
      <c r="RV216"/>
      <c r="RW216"/>
      <c r="RX216"/>
      <c r="RY216"/>
      <c r="RZ216"/>
      <c r="SA216"/>
      <c r="SB216"/>
      <c r="SC216"/>
      <c r="SD216"/>
      <c r="SE216"/>
      <c r="SF216"/>
      <c r="SG216"/>
      <c r="SH216"/>
      <c r="SI216"/>
      <c r="SJ216"/>
      <c r="SK216"/>
      <c r="SL216"/>
      <c r="SM216"/>
      <c r="SN216"/>
      <c r="SO216"/>
      <c r="SP216"/>
      <c r="SQ216"/>
      <c r="SR216"/>
      <c r="SS216"/>
      <c r="ST216"/>
      <c r="SU216"/>
      <c r="SV216"/>
      <c r="SW216"/>
      <c r="SX216"/>
      <c r="SY216"/>
      <c r="SZ216"/>
      <c r="TA216"/>
      <c r="TB216"/>
      <c r="TC216"/>
      <c r="TD216"/>
      <c r="TE216"/>
      <c r="TF216"/>
      <c r="TG216"/>
      <c r="TH216"/>
      <c r="TI216"/>
      <c r="TJ216"/>
      <c r="TK216"/>
      <c r="TL216"/>
      <c r="TM216"/>
      <c r="TN216"/>
      <c r="TO216"/>
      <c r="TP216"/>
      <c r="TQ216"/>
      <c r="TR216"/>
      <c r="TS216"/>
      <c r="TT216"/>
      <c r="TU216"/>
      <c r="TV216"/>
      <c r="TW216"/>
      <c r="TX216"/>
      <c r="TY216"/>
      <c r="TZ216"/>
      <c r="UA216"/>
      <c r="UB216"/>
      <c r="UC216"/>
      <c r="UD216"/>
      <c r="UE216"/>
      <c r="UF216"/>
      <c r="UG216"/>
      <c r="UH216"/>
      <c r="UI216"/>
      <c r="UJ216"/>
      <c r="UK216"/>
      <c r="UL216"/>
      <c r="UM216"/>
      <c r="UN216"/>
      <c r="UO216"/>
      <c r="UP216"/>
      <c r="UQ216"/>
      <c r="UR216"/>
      <c r="US216"/>
      <c r="UT216"/>
      <c r="UU216"/>
      <c r="UV216"/>
      <c r="UW216"/>
      <c r="UX216"/>
      <c r="UY216"/>
      <c r="UZ216"/>
      <c r="VA216"/>
      <c r="VB216"/>
      <c r="VC216"/>
      <c r="VD216"/>
      <c r="VE216"/>
      <c r="VF216"/>
      <c r="VG216"/>
      <c r="VH216"/>
      <c r="VI216"/>
      <c r="VJ216"/>
      <c r="VK216"/>
      <c r="VL216"/>
      <c r="VM216"/>
      <c r="VN216"/>
      <c r="VO216"/>
      <c r="VP216"/>
      <c r="VQ216"/>
      <c r="VR216"/>
      <c r="VS216"/>
      <c r="VT216"/>
      <c r="VU216"/>
      <c r="VV216"/>
      <c r="VW216"/>
      <c r="VX216"/>
      <c r="VY216"/>
      <c r="VZ216"/>
      <c r="WA216"/>
      <c r="WB216"/>
      <c r="WC216"/>
      <c r="WD216"/>
      <c r="WE216"/>
      <c r="WF216"/>
      <c r="WG216"/>
      <c r="WH216"/>
      <c r="WI216"/>
      <c r="WJ216"/>
      <c r="WK216"/>
      <c r="WL216"/>
      <c r="WM216"/>
      <c r="WN216"/>
      <c r="WO216"/>
      <c r="WP216"/>
      <c r="WQ216"/>
      <c r="WR216"/>
      <c r="WS216"/>
      <c r="WT216"/>
      <c r="WU216"/>
      <c r="WV216"/>
      <c r="WW216"/>
      <c r="WX216"/>
      <c r="WY216"/>
      <c r="WZ216"/>
      <c r="XA216"/>
      <c r="XB216"/>
      <c r="XC216"/>
      <c r="XD216"/>
      <c r="XE216"/>
      <c r="XF216"/>
      <c r="XG216"/>
      <c r="XH216"/>
      <c r="XI216"/>
      <c r="XJ216"/>
      <c r="XK216"/>
      <c r="XL216"/>
      <c r="XM216"/>
      <c r="XN216"/>
      <c r="XO216"/>
      <c r="XP216"/>
      <c r="XQ216"/>
      <c r="XR216"/>
      <c r="XS216"/>
      <c r="XT216"/>
      <c r="XU216"/>
      <c r="XV216"/>
      <c r="XW216"/>
      <c r="XX216"/>
      <c r="XY216"/>
      <c r="XZ216"/>
      <c r="YA216"/>
      <c r="YB216"/>
      <c r="YC216"/>
      <c r="YD216"/>
      <c r="YE216"/>
      <c r="YF216"/>
      <c r="YG216"/>
      <c r="YH216"/>
      <c r="YI216"/>
      <c r="YJ216"/>
      <c r="YK216"/>
      <c r="YL216"/>
      <c r="YM216"/>
      <c r="YN216"/>
      <c r="YO216"/>
      <c r="YP216"/>
      <c r="YQ216"/>
      <c r="YR216"/>
      <c r="YS216"/>
      <c r="YT216"/>
      <c r="YU216"/>
      <c r="YV216"/>
      <c r="YW216"/>
      <c r="YX216"/>
      <c r="YY216"/>
      <c r="YZ216"/>
      <c r="ZA216"/>
      <c r="ZB216"/>
      <c r="ZC216"/>
      <c r="ZD216"/>
      <c r="ZE216"/>
      <c r="ZF216"/>
      <c r="ZG216"/>
      <c r="ZH216"/>
      <c r="ZI216"/>
      <c r="ZJ216"/>
      <c r="ZK216"/>
      <c r="ZL216"/>
      <c r="ZM216"/>
      <c r="ZN216"/>
      <c r="ZO216"/>
      <c r="ZP216"/>
      <c r="ZQ216"/>
      <c r="ZR216"/>
      <c r="ZS216"/>
      <c r="ZT216"/>
      <c r="ZU216"/>
      <c r="ZV216"/>
      <c r="ZW216"/>
      <c r="ZX216"/>
      <c r="ZY216"/>
      <c r="ZZ216"/>
      <c r="AAA216"/>
      <c r="AAB216"/>
      <c r="AAC216"/>
      <c r="AAD216"/>
      <c r="AAE216"/>
      <c r="AAF216"/>
      <c r="AAG216"/>
      <c r="AAH216"/>
      <c r="AAI216"/>
      <c r="AAJ216"/>
      <c r="AAK216"/>
      <c r="AAL216"/>
      <c r="AAM216"/>
      <c r="AAN216"/>
      <c r="AAO216"/>
      <c r="AAP216"/>
      <c r="AAQ216"/>
      <c r="AAR216"/>
      <c r="AAS216"/>
      <c r="AAT216"/>
      <c r="AAU216"/>
      <c r="AAV216"/>
      <c r="AAW216"/>
      <c r="AAX216"/>
      <c r="AAY216"/>
      <c r="AAZ216"/>
      <c r="ABA216"/>
      <c r="ABB216"/>
      <c r="ABC216"/>
      <c r="ABD216"/>
      <c r="ABE216"/>
      <c r="ABF216"/>
      <c r="ABG216"/>
      <c r="ABH216"/>
      <c r="ABI216"/>
      <c r="ABJ216"/>
      <c r="ABK216"/>
      <c r="ABL216"/>
      <c r="ABM216"/>
      <c r="ABN216"/>
      <c r="ABO216"/>
      <c r="ABP216"/>
      <c r="ABQ216"/>
      <c r="ABR216"/>
      <c r="ABS216"/>
      <c r="ABT216"/>
      <c r="ABU216"/>
      <c r="ABV216"/>
      <c r="ABW216"/>
      <c r="ABX216"/>
      <c r="ABY216"/>
      <c r="ABZ216"/>
      <c r="ACA216"/>
      <c r="ACB216"/>
      <c r="ACC216"/>
      <c r="ACD216"/>
      <c r="ACE216"/>
      <c r="ACF216"/>
      <c r="ACG216"/>
      <c r="ACH216"/>
      <c r="ACI216"/>
      <c r="ACJ216"/>
      <c r="ACK216"/>
      <c r="ACL216"/>
      <c r="ACM216"/>
      <c r="ACN216"/>
      <c r="ACO216"/>
      <c r="ACP216"/>
      <c r="ACQ216"/>
      <c r="ACR216"/>
      <c r="ACS216"/>
      <c r="ACT216"/>
      <c r="ACU216"/>
      <c r="ACV216"/>
      <c r="ACW216"/>
      <c r="ACX216"/>
      <c r="ACY216"/>
      <c r="ACZ216"/>
      <c r="ADA216"/>
      <c r="ADB216"/>
      <c r="ADC216"/>
      <c r="ADD216"/>
      <c r="ADE216"/>
      <c r="ADF216"/>
      <c r="ADG216"/>
      <c r="ADH216"/>
      <c r="ADI216"/>
      <c r="ADJ216"/>
      <c r="ADK216"/>
      <c r="ADL216"/>
      <c r="ADM216"/>
      <c r="ADN216"/>
      <c r="ADO216"/>
      <c r="ADP216"/>
      <c r="ADQ216"/>
      <c r="ADR216"/>
      <c r="ADS216"/>
      <c r="ADT216"/>
      <c r="ADU216"/>
      <c r="ADV216"/>
      <c r="ADW216"/>
      <c r="ADX216"/>
      <c r="ADY216"/>
      <c r="ADZ216"/>
      <c r="AEA216"/>
      <c r="AEB216"/>
      <c r="AEC216"/>
      <c r="AED216"/>
      <c r="AEE216"/>
      <c r="AEF216"/>
      <c r="AEG216"/>
      <c r="AEH216"/>
      <c r="AEI216"/>
      <c r="AEJ216"/>
      <c r="AEK216"/>
      <c r="AEL216"/>
      <c r="AEM216"/>
      <c r="AEN216"/>
      <c r="AEO216"/>
      <c r="AEP216"/>
      <c r="AEQ216"/>
      <c r="AER216"/>
      <c r="AES216"/>
      <c r="AET216"/>
      <c r="AEU216"/>
      <c r="AEV216"/>
      <c r="AEW216"/>
      <c r="AEX216"/>
      <c r="AEY216"/>
      <c r="AEZ216"/>
      <c r="AFA216"/>
      <c r="AFB216"/>
      <c r="AFC216"/>
      <c r="AFD216"/>
      <c r="AFE216"/>
      <c r="AFF216"/>
      <c r="AFG216"/>
      <c r="AFH216"/>
      <c r="AFI216"/>
      <c r="AFJ216"/>
      <c r="AFK216"/>
      <c r="AFL216"/>
      <c r="AFM216"/>
      <c r="AFN216"/>
      <c r="AFO216"/>
      <c r="AFP216"/>
      <c r="AFQ216"/>
      <c r="AFR216"/>
      <c r="AFS216"/>
      <c r="AFT216"/>
      <c r="AFU216"/>
      <c r="AFV216"/>
      <c r="AFW216"/>
      <c r="AFX216"/>
      <c r="AFY216"/>
      <c r="AFZ216"/>
      <c r="AGA216"/>
      <c r="AGB216"/>
      <c r="AGC216"/>
      <c r="AGD216"/>
      <c r="AGE216"/>
      <c r="AGF216"/>
      <c r="AGG216"/>
      <c r="AGH216"/>
      <c r="AGI216"/>
      <c r="AGJ216"/>
      <c r="AGK216"/>
      <c r="AGL216"/>
      <c r="AGM216"/>
      <c r="AGN216"/>
      <c r="AGO216"/>
      <c r="AGP216"/>
      <c r="AGQ216"/>
      <c r="AGR216"/>
      <c r="AGS216"/>
      <c r="AGT216"/>
      <c r="AGU216"/>
      <c r="AGV216"/>
      <c r="AGW216"/>
      <c r="AGX216"/>
      <c r="AGY216"/>
      <c r="AGZ216"/>
      <c r="AHA216"/>
      <c r="AHB216"/>
      <c r="AHC216"/>
      <c r="AHD216"/>
      <c r="AHE216"/>
      <c r="AHF216"/>
      <c r="AHG216"/>
      <c r="AHH216"/>
      <c r="AHI216"/>
      <c r="AHJ216"/>
      <c r="AHK216"/>
      <c r="AHL216"/>
      <c r="AHM216"/>
      <c r="AHN216"/>
      <c r="AHO216"/>
      <c r="AHP216"/>
      <c r="AHQ216"/>
      <c r="AHR216"/>
      <c r="AHS216"/>
      <c r="AHT216"/>
      <c r="AHU216"/>
      <c r="AHV216"/>
      <c r="AHW216"/>
      <c r="AHX216"/>
      <c r="AHY216"/>
      <c r="AHZ216"/>
      <c r="AIA216"/>
      <c r="AIB216"/>
      <c r="AIC216"/>
      <c r="AID216"/>
      <c r="AIE216"/>
      <c r="AIF216"/>
      <c r="AIG216"/>
      <c r="AIH216"/>
      <c r="AII216"/>
      <c r="AIJ216"/>
      <c r="AIK216"/>
      <c r="AIL216"/>
      <c r="AIM216"/>
      <c r="AIN216"/>
      <c r="AIO216"/>
      <c r="AIP216"/>
      <c r="AIQ216"/>
      <c r="AIR216"/>
      <c r="AIS216"/>
      <c r="AIT216"/>
      <c r="AIU216"/>
      <c r="AIV216"/>
      <c r="AIW216"/>
      <c r="AIX216"/>
      <c r="AIY216"/>
      <c r="AIZ216"/>
      <c r="AJA216"/>
      <c r="AJB216"/>
      <c r="AJC216"/>
      <c r="AJD216"/>
      <c r="AJE216"/>
      <c r="AJF216"/>
      <c r="AJG216"/>
      <c r="AJH216"/>
      <c r="AJI216"/>
      <c r="AJJ216"/>
      <c r="AJK216"/>
      <c r="AJL216"/>
      <c r="AJM216"/>
      <c r="AJN216"/>
      <c r="AJO216"/>
      <c r="AJP216"/>
      <c r="AJQ216"/>
      <c r="AJR216"/>
      <c r="AJS216"/>
      <c r="AJT216"/>
      <c r="AJU216"/>
      <c r="AJV216"/>
      <c r="AJW216"/>
      <c r="AJX216"/>
      <c r="AJY216"/>
      <c r="AJZ216"/>
      <c r="AKA216"/>
      <c r="AKB216"/>
      <c r="AKC216"/>
      <c r="AKD216"/>
      <c r="AKE216"/>
      <c r="AKF216"/>
      <c r="AKG216"/>
      <c r="AKH216"/>
      <c r="AKI216"/>
      <c r="AKJ216"/>
      <c r="AKK216"/>
      <c r="AKL216"/>
      <c r="AKM216"/>
      <c r="AKN216"/>
      <c r="AKO216"/>
      <c r="AKP216"/>
      <c r="AKQ216"/>
      <c r="AKR216"/>
      <c r="AKS216"/>
      <c r="AKT216"/>
      <c r="AKU216"/>
      <c r="AKV216"/>
      <c r="AKW216"/>
      <c r="AKX216"/>
      <c r="AKY216"/>
      <c r="AKZ216"/>
      <c r="ALA216"/>
      <c r="ALB216"/>
      <c r="ALC216"/>
      <c r="ALD216"/>
      <c r="ALE216"/>
      <c r="ALF216"/>
      <c r="ALG216"/>
      <c r="ALH216"/>
      <c r="ALI216"/>
      <c r="ALJ216"/>
      <c r="ALK216"/>
      <c r="ALL216"/>
      <c r="ALM216"/>
      <c r="ALN216"/>
      <c r="ALO216"/>
      <c r="ALP216"/>
      <c r="ALQ216"/>
      <c r="ALR216"/>
      <c r="ALS216"/>
      <c r="ALT216"/>
      <c r="ALU216"/>
      <c r="ALV216"/>
      <c r="ALW216"/>
      <c r="ALX216"/>
      <c r="ALY216"/>
      <c r="ALZ216"/>
      <c r="AMA216"/>
      <c r="AMB216"/>
      <c r="AMC216"/>
      <c r="AMD216"/>
      <c r="AME216"/>
      <c r="AMF216"/>
      <c r="AMG216"/>
      <c r="AMH216"/>
      <c r="AMI216"/>
      <c r="AMJ216"/>
      <c r="AMK216"/>
      <c r="AML216"/>
      <c r="AMM216"/>
      <c r="AMN216"/>
      <c r="AMO216"/>
      <c r="AMP216"/>
      <c r="AMQ216"/>
      <c r="AMR216"/>
      <c r="AMS216"/>
      <c r="AMT216"/>
      <c r="AMU216"/>
      <c r="AMV216"/>
      <c r="AMW216"/>
      <c r="AMX216"/>
      <c r="AMY216"/>
      <c r="AMZ216"/>
      <c r="ANA216"/>
      <c r="ANB216"/>
      <c r="ANC216"/>
      <c r="AND216"/>
      <c r="ANE216"/>
      <c r="ANF216"/>
      <c r="ANG216"/>
      <c r="ANH216"/>
      <c r="ANI216"/>
      <c r="ANJ216"/>
      <c r="ANK216"/>
      <c r="ANL216"/>
      <c r="ANM216"/>
      <c r="ANN216"/>
      <c r="ANO216"/>
      <c r="ANP216"/>
      <c r="ANQ216"/>
      <c r="ANR216"/>
      <c r="ANS216"/>
      <c r="ANT216"/>
      <c r="ANU216"/>
      <c r="ANV216"/>
      <c r="ANW216"/>
      <c r="ANX216"/>
      <c r="ANY216"/>
      <c r="ANZ216"/>
      <c r="AOA216"/>
      <c r="AOB216"/>
      <c r="AOC216"/>
      <c r="AOD216"/>
      <c r="AOE216"/>
      <c r="AOF216"/>
      <c r="AOG216"/>
      <c r="AOH216"/>
      <c r="AOI216"/>
      <c r="AOJ216"/>
      <c r="AOK216"/>
      <c r="AOL216"/>
      <c r="AOM216"/>
      <c r="AON216"/>
      <c r="AOO216"/>
      <c r="AOP216"/>
      <c r="AOQ216"/>
      <c r="AOR216"/>
      <c r="AOS216"/>
      <c r="AOT216"/>
      <c r="AOU216"/>
      <c r="AOV216"/>
      <c r="AOW216"/>
      <c r="AOX216"/>
      <c r="AOY216"/>
      <c r="AOZ216"/>
      <c r="APA216"/>
      <c r="APB216"/>
      <c r="APC216"/>
      <c r="APD216"/>
      <c r="APE216"/>
      <c r="APF216"/>
      <c r="APG216"/>
      <c r="APH216"/>
      <c r="API216"/>
      <c r="APJ216"/>
      <c r="APK216"/>
      <c r="APL216"/>
      <c r="APM216"/>
      <c r="APN216"/>
      <c r="APO216"/>
      <c r="APP216"/>
      <c r="APQ216"/>
      <c r="APR216"/>
      <c r="APS216"/>
      <c r="APT216"/>
      <c r="APU216"/>
      <c r="APV216"/>
      <c r="APW216"/>
      <c r="APX216"/>
      <c r="APY216"/>
      <c r="APZ216"/>
      <c r="AQA216"/>
      <c r="AQB216"/>
      <c r="AQC216"/>
      <c r="AQD216"/>
      <c r="AQE216"/>
      <c r="AQF216"/>
      <c r="AQG216"/>
      <c r="AQH216"/>
      <c r="AQI216"/>
      <c r="AQJ216"/>
      <c r="AQK216"/>
      <c r="AQL216"/>
      <c r="AQM216"/>
      <c r="AQN216"/>
      <c r="AQO216"/>
      <c r="AQP216"/>
      <c r="AQQ216"/>
      <c r="AQR216"/>
      <c r="AQS216"/>
      <c r="AQT216"/>
      <c r="AQU216"/>
      <c r="AQV216"/>
      <c r="AQW216"/>
      <c r="AQX216"/>
      <c r="AQY216"/>
      <c r="AQZ216"/>
      <c r="ARA216"/>
      <c r="ARB216"/>
      <c r="ARC216"/>
      <c r="ARD216"/>
      <c r="ARE216"/>
      <c r="ARF216"/>
      <c r="ARG216"/>
      <c r="ARH216"/>
      <c r="ARI216"/>
      <c r="ARJ216"/>
      <c r="ARK216"/>
      <c r="ARL216"/>
      <c r="ARM216"/>
      <c r="ARN216"/>
      <c r="ARO216"/>
      <c r="ARP216"/>
      <c r="ARQ216"/>
      <c r="ARR216"/>
      <c r="ARS216"/>
      <c r="ART216"/>
      <c r="ARU216"/>
      <c r="ARV216"/>
      <c r="ARW216"/>
      <c r="ARX216"/>
      <c r="ARY216"/>
      <c r="ARZ216"/>
      <c r="ASA216"/>
      <c r="ASB216"/>
      <c r="ASC216"/>
      <c r="ASD216"/>
      <c r="ASE216"/>
      <c r="ASF216"/>
      <c r="ASG216"/>
      <c r="ASH216"/>
      <c r="ASI216"/>
      <c r="ASJ216"/>
      <c r="ASK216"/>
      <c r="ASL216"/>
      <c r="ASM216"/>
      <c r="ASN216"/>
      <c r="ASO216"/>
      <c r="ASP216"/>
      <c r="ASQ216"/>
      <c r="ASR216"/>
      <c r="ASS216"/>
      <c r="AST216"/>
      <c r="ASU216"/>
      <c r="ASV216"/>
      <c r="ASW216"/>
      <c r="ASX216"/>
      <c r="ASY216"/>
      <c r="ASZ216"/>
      <c r="ATA216"/>
      <c r="ATB216"/>
      <c r="ATC216"/>
      <c r="ATD216"/>
      <c r="ATE216"/>
      <c r="ATF216"/>
      <c r="ATG216"/>
      <c r="ATH216"/>
      <c r="ATI216"/>
      <c r="ATJ216"/>
      <c r="ATK216"/>
      <c r="ATL216"/>
      <c r="ATM216"/>
      <c r="ATN216"/>
      <c r="ATO216"/>
      <c r="ATP216"/>
      <c r="ATQ216"/>
      <c r="ATR216"/>
      <c r="ATS216"/>
      <c r="ATT216"/>
      <c r="ATU216"/>
      <c r="ATV216"/>
      <c r="ATW216"/>
      <c r="ATX216"/>
      <c r="ATY216"/>
      <c r="ATZ216"/>
      <c r="AUA216"/>
      <c r="AUB216"/>
      <c r="AUC216"/>
      <c r="AUD216"/>
      <c r="AUE216"/>
      <c r="AUF216"/>
      <c r="AUG216"/>
      <c r="AUH216"/>
      <c r="AUI216"/>
      <c r="AUJ216"/>
      <c r="AUK216"/>
      <c r="AUL216"/>
      <c r="AUM216"/>
      <c r="AUN216"/>
      <c r="AUO216"/>
      <c r="AUP216"/>
      <c r="AUQ216"/>
      <c r="AUR216"/>
      <c r="AUS216"/>
      <c r="AUT216"/>
      <c r="AUU216"/>
      <c r="AUV216"/>
      <c r="AUW216"/>
      <c r="AUX216"/>
      <c r="AUY216"/>
      <c r="AUZ216"/>
      <c r="AVA216"/>
      <c r="AVB216"/>
      <c r="AVC216"/>
      <c r="AVD216"/>
      <c r="AVE216"/>
      <c r="AVF216"/>
      <c r="AVG216"/>
      <c r="AVH216"/>
      <c r="AVI216"/>
      <c r="AVJ216"/>
      <c r="AVK216"/>
      <c r="AVL216"/>
      <c r="AVM216"/>
      <c r="AVN216"/>
      <c r="AVO216"/>
      <c r="AVP216"/>
      <c r="AVQ216"/>
      <c r="AVR216"/>
      <c r="AVS216"/>
      <c r="AVT216"/>
      <c r="AVU216"/>
      <c r="AVV216"/>
      <c r="AVW216"/>
      <c r="AVX216"/>
      <c r="AVY216"/>
      <c r="AVZ216"/>
      <c r="AWA216"/>
      <c r="AWB216"/>
      <c r="AWC216"/>
      <c r="AWD216"/>
      <c r="AWE216"/>
      <c r="AWF216"/>
      <c r="AWG216"/>
      <c r="AWH216"/>
      <c r="AWI216"/>
      <c r="AWJ216"/>
      <c r="AWK216"/>
      <c r="AWL216"/>
      <c r="AWM216"/>
      <c r="AWN216"/>
      <c r="AWO216"/>
      <c r="AWP216"/>
      <c r="AWQ216"/>
      <c r="AWR216"/>
      <c r="AWS216"/>
      <c r="AWT216"/>
      <c r="AWU216"/>
      <c r="AWV216"/>
      <c r="AWW216"/>
      <c r="AWX216"/>
      <c r="AWY216"/>
      <c r="AWZ216"/>
      <c r="AXA216"/>
      <c r="AXB216"/>
      <c r="AXC216"/>
      <c r="AXD216"/>
      <c r="AXE216"/>
      <c r="AXF216"/>
      <c r="AXG216"/>
      <c r="AXH216"/>
      <c r="AXI216"/>
      <c r="AXJ216"/>
      <c r="AXK216"/>
      <c r="AXL216"/>
      <c r="AXM216"/>
      <c r="AXN216"/>
      <c r="AXO216"/>
      <c r="AXP216"/>
      <c r="AXQ216"/>
      <c r="AXR216"/>
      <c r="AXS216"/>
      <c r="AXT216"/>
      <c r="AXU216"/>
      <c r="AXV216"/>
      <c r="AXW216"/>
      <c r="AXX216"/>
      <c r="AXY216"/>
      <c r="AXZ216"/>
      <c r="AYA216"/>
      <c r="AYB216"/>
      <c r="AYC216"/>
      <c r="AYD216"/>
      <c r="AYE216"/>
      <c r="AYF216"/>
      <c r="AYG216"/>
      <c r="AYH216"/>
      <c r="AYI216"/>
      <c r="AYJ216"/>
      <c r="AYK216"/>
      <c r="AYL216"/>
      <c r="AYM216"/>
      <c r="AYN216"/>
      <c r="AYO216"/>
      <c r="AYP216"/>
      <c r="AYQ216"/>
      <c r="AYR216"/>
      <c r="AYS216"/>
      <c r="AYT216"/>
      <c r="AYU216"/>
      <c r="AYV216"/>
      <c r="AYW216"/>
      <c r="AYX216"/>
      <c r="AYY216"/>
      <c r="AYZ216"/>
      <c r="AZA216"/>
      <c r="AZB216"/>
      <c r="AZC216"/>
      <c r="AZD216"/>
      <c r="AZE216"/>
      <c r="AZF216"/>
      <c r="AZG216"/>
      <c r="AZH216"/>
      <c r="AZI216"/>
      <c r="AZJ216"/>
      <c r="AZK216"/>
      <c r="AZL216"/>
      <c r="AZM216"/>
      <c r="AZN216"/>
      <c r="AZO216"/>
      <c r="AZP216"/>
      <c r="AZQ216"/>
      <c r="AZR216"/>
      <c r="AZS216"/>
      <c r="AZT216"/>
      <c r="AZU216"/>
      <c r="AZV216"/>
      <c r="AZW216"/>
      <c r="AZX216"/>
      <c r="AZY216"/>
      <c r="AZZ216"/>
      <c r="BAA216"/>
      <c r="BAB216"/>
      <c r="BAC216"/>
      <c r="BAD216"/>
      <c r="BAE216"/>
      <c r="BAF216"/>
      <c r="BAG216"/>
      <c r="BAH216"/>
      <c r="BAI216"/>
      <c r="BAJ216"/>
      <c r="BAK216"/>
      <c r="BAL216"/>
      <c r="BAM216"/>
      <c r="BAN216"/>
      <c r="BAO216"/>
      <c r="BAP216"/>
      <c r="BAQ216"/>
      <c r="BAR216"/>
      <c r="BAS216"/>
      <c r="BAT216"/>
      <c r="BAU216"/>
      <c r="BAV216"/>
      <c r="BAW216"/>
      <c r="BAX216"/>
      <c r="BAY216"/>
      <c r="BAZ216"/>
      <c r="BBA216"/>
      <c r="BBB216"/>
      <c r="BBC216"/>
      <c r="BBD216"/>
      <c r="BBE216"/>
      <c r="BBF216"/>
      <c r="BBG216"/>
      <c r="BBH216"/>
      <c r="BBI216"/>
      <c r="BBJ216"/>
      <c r="BBK216"/>
      <c r="BBL216"/>
      <c r="BBM216"/>
      <c r="BBN216"/>
      <c r="BBO216"/>
      <c r="BBP216"/>
      <c r="BBQ216"/>
      <c r="BBR216"/>
      <c r="BBS216"/>
      <c r="BBT216"/>
      <c r="BBU216"/>
      <c r="BBV216"/>
      <c r="BBW216"/>
      <c r="BBX216"/>
      <c r="BBY216"/>
      <c r="BBZ216"/>
      <c r="BCA216"/>
      <c r="BCB216"/>
      <c r="BCC216"/>
      <c r="BCD216"/>
      <c r="BCE216"/>
      <c r="BCF216"/>
      <c r="BCG216"/>
      <c r="BCH216"/>
      <c r="BCI216"/>
      <c r="BCJ216"/>
      <c r="BCK216"/>
      <c r="BCL216"/>
      <c r="BCM216"/>
      <c r="BCN216"/>
      <c r="BCO216"/>
      <c r="BCP216"/>
      <c r="BCQ216"/>
      <c r="BCR216"/>
      <c r="BCS216"/>
      <c r="BCT216"/>
      <c r="BCU216"/>
      <c r="BCV216"/>
      <c r="BCW216"/>
      <c r="BCX216"/>
      <c r="BCY216"/>
      <c r="BCZ216"/>
      <c r="BDA216"/>
      <c r="BDB216"/>
      <c r="BDC216"/>
      <c r="BDD216"/>
      <c r="BDE216"/>
      <c r="BDF216"/>
      <c r="BDG216"/>
      <c r="BDH216"/>
      <c r="BDI216"/>
      <c r="BDJ216"/>
      <c r="BDK216"/>
      <c r="BDL216"/>
      <c r="BDM216"/>
      <c r="BDN216"/>
      <c r="BDO216"/>
      <c r="BDP216"/>
      <c r="BDQ216"/>
      <c r="BDR216"/>
      <c r="BDS216"/>
      <c r="BDT216"/>
      <c r="BDU216"/>
      <c r="BDV216"/>
      <c r="BDW216"/>
      <c r="BDX216"/>
      <c r="BDY216"/>
      <c r="BDZ216"/>
      <c r="BEA216"/>
      <c r="BEB216"/>
      <c r="BEC216"/>
      <c r="BED216"/>
      <c r="BEE216"/>
      <c r="BEF216"/>
      <c r="BEG216"/>
      <c r="BEH216"/>
      <c r="BEI216"/>
      <c r="BEJ216"/>
      <c r="BEK216"/>
      <c r="BEL216"/>
      <c r="BEM216"/>
      <c r="BEN216"/>
      <c r="BEO216"/>
      <c r="BEP216"/>
      <c r="BEQ216"/>
      <c r="BER216"/>
      <c r="BES216"/>
      <c r="BET216"/>
      <c r="BEU216"/>
      <c r="BEV216"/>
      <c r="BEW216"/>
      <c r="BEX216"/>
      <c r="BEY216"/>
      <c r="BEZ216"/>
      <c r="BFA216"/>
      <c r="BFB216"/>
      <c r="BFC216"/>
      <c r="BFD216"/>
      <c r="BFE216"/>
      <c r="BFF216"/>
      <c r="BFG216"/>
      <c r="BFH216"/>
      <c r="BFI216"/>
      <c r="BFJ216"/>
      <c r="BFK216"/>
      <c r="BFL216"/>
      <c r="BFM216"/>
      <c r="BFN216"/>
      <c r="BFO216"/>
      <c r="BFP216"/>
      <c r="BFQ216"/>
      <c r="BFR216"/>
      <c r="BFS216"/>
      <c r="BFT216"/>
      <c r="BFU216"/>
      <c r="BFV216"/>
      <c r="BFW216"/>
      <c r="BFX216"/>
      <c r="BFY216"/>
      <c r="BFZ216"/>
      <c r="BGA216"/>
      <c r="BGB216"/>
      <c r="BGC216"/>
      <c r="BGD216"/>
      <c r="BGE216"/>
      <c r="BGF216"/>
      <c r="BGG216"/>
      <c r="BGH216"/>
      <c r="BGI216"/>
      <c r="BGJ216"/>
      <c r="BGK216"/>
      <c r="BGL216"/>
      <c r="BGM216"/>
      <c r="BGN216"/>
      <c r="BGO216"/>
      <c r="BGP216"/>
      <c r="BGQ216"/>
      <c r="BGR216"/>
      <c r="BGS216"/>
      <c r="BGT216"/>
      <c r="BGU216"/>
      <c r="BGV216"/>
      <c r="BGW216"/>
      <c r="BGX216"/>
      <c r="BGY216"/>
      <c r="BGZ216"/>
      <c r="BHA216"/>
      <c r="BHB216"/>
      <c r="BHC216"/>
      <c r="BHD216"/>
      <c r="BHE216"/>
      <c r="BHF216"/>
      <c r="BHG216"/>
      <c r="BHH216"/>
      <c r="BHI216"/>
      <c r="BHJ216"/>
      <c r="BHK216"/>
      <c r="BHL216"/>
      <c r="BHM216"/>
      <c r="BHN216"/>
      <c r="BHO216"/>
      <c r="BHP216"/>
      <c r="BHQ216"/>
      <c r="BHR216"/>
      <c r="BHS216"/>
      <c r="BHT216"/>
      <c r="BHU216"/>
      <c r="BHV216"/>
      <c r="BHW216"/>
      <c r="BHX216"/>
      <c r="BHY216"/>
      <c r="BHZ216"/>
      <c r="BIA216"/>
      <c r="BIB216"/>
      <c r="BIC216"/>
      <c r="BID216"/>
      <c r="BIE216"/>
      <c r="BIF216"/>
      <c r="BIG216"/>
      <c r="BIH216"/>
      <c r="BII216"/>
      <c r="BIJ216"/>
      <c r="BIK216"/>
      <c r="BIL216"/>
      <c r="BIM216"/>
      <c r="BIN216"/>
      <c r="BIO216"/>
      <c r="BIP216"/>
      <c r="BIQ216"/>
      <c r="BIR216"/>
      <c r="BIS216"/>
      <c r="BIT216"/>
      <c r="BIU216"/>
      <c r="BIV216"/>
      <c r="BIW216"/>
      <c r="BIX216"/>
      <c r="BIY216"/>
      <c r="BIZ216"/>
      <c r="BJA216"/>
      <c r="BJB216"/>
      <c r="BJC216"/>
      <c r="BJD216"/>
      <c r="BJE216"/>
      <c r="BJF216"/>
      <c r="BJG216"/>
      <c r="BJH216"/>
      <c r="BJI216"/>
      <c r="BJJ216"/>
      <c r="BJK216"/>
      <c r="BJL216"/>
      <c r="BJM216"/>
      <c r="BJN216"/>
      <c r="BJO216"/>
      <c r="BJP216"/>
      <c r="BJQ216"/>
      <c r="BJR216"/>
      <c r="BJS216"/>
      <c r="BJT216"/>
      <c r="BJU216"/>
      <c r="BJV216"/>
      <c r="BJW216"/>
      <c r="BJX216"/>
      <c r="BJY216"/>
      <c r="BJZ216"/>
      <c r="BKA216"/>
      <c r="BKB216"/>
      <c r="BKC216"/>
      <c r="BKD216"/>
      <c r="BKE216"/>
      <c r="BKF216"/>
      <c r="BKG216"/>
      <c r="BKH216"/>
      <c r="BKI216"/>
      <c r="BKJ216"/>
      <c r="BKK216"/>
      <c r="BKL216"/>
      <c r="BKM216"/>
      <c r="BKN216"/>
      <c r="BKO216"/>
      <c r="BKP216"/>
      <c r="BKQ216"/>
      <c r="BKR216"/>
      <c r="BKS216"/>
      <c r="BKT216"/>
      <c r="BKU216"/>
      <c r="BKV216"/>
      <c r="BKW216"/>
      <c r="BKX216"/>
      <c r="BKY216"/>
      <c r="BKZ216"/>
      <c r="BLA216"/>
      <c r="BLB216"/>
      <c r="BLC216"/>
      <c r="BLD216"/>
      <c r="BLE216"/>
      <c r="BLF216"/>
      <c r="BLG216"/>
      <c r="BLH216"/>
      <c r="BLI216"/>
      <c r="BLJ216"/>
      <c r="BLK216"/>
      <c r="BLL216"/>
      <c r="BLM216"/>
      <c r="BLN216"/>
      <c r="BLO216"/>
      <c r="BLP216"/>
      <c r="BLQ216"/>
      <c r="BLR216"/>
      <c r="BLS216"/>
      <c r="BLT216"/>
      <c r="BLU216"/>
      <c r="BLV216"/>
      <c r="BLW216"/>
      <c r="BLX216"/>
      <c r="BLY216"/>
      <c r="BLZ216"/>
      <c r="BMA216"/>
      <c r="BMB216"/>
      <c r="BMC216"/>
      <c r="BMD216"/>
      <c r="BME216"/>
      <c r="BMF216"/>
      <c r="BMG216"/>
      <c r="BMH216"/>
      <c r="BMI216"/>
      <c r="BMJ216"/>
      <c r="BMK216"/>
      <c r="BML216"/>
      <c r="BMM216"/>
      <c r="BMN216"/>
      <c r="BMO216"/>
      <c r="BMP216"/>
      <c r="BMQ216"/>
      <c r="BMR216"/>
      <c r="BMS216"/>
      <c r="BMT216"/>
      <c r="BMU216"/>
      <c r="BMV216"/>
      <c r="BMW216"/>
      <c r="BMX216"/>
      <c r="BMY216"/>
      <c r="BMZ216"/>
      <c r="BNA216"/>
      <c r="BNB216"/>
      <c r="BNC216"/>
      <c r="BND216"/>
      <c r="BNE216"/>
      <c r="BNF216"/>
      <c r="BNG216"/>
      <c r="BNH216"/>
      <c r="BNI216"/>
      <c r="BNJ216"/>
      <c r="BNK216"/>
      <c r="BNL216"/>
      <c r="BNM216"/>
      <c r="BNN216"/>
      <c r="BNO216"/>
      <c r="BNP216"/>
      <c r="BNQ216"/>
      <c r="BNR216"/>
      <c r="BNS216"/>
      <c r="BNT216"/>
      <c r="BNU216"/>
      <c r="BNV216"/>
      <c r="BNW216"/>
      <c r="BNX216"/>
      <c r="BNY216"/>
      <c r="BNZ216"/>
      <c r="BOA216"/>
      <c r="BOB216"/>
      <c r="BOC216"/>
      <c r="BOD216"/>
      <c r="BOE216"/>
      <c r="BOF216"/>
      <c r="BOG216"/>
      <c r="BOH216"/>
      <c r="BOI216"/>
      <c r="BOJ216"/>
      <c r="BOK216"/>
      <c r="BOL216"/>
      <c r="BOM216"/>
      <c r="BON216"/>
      <c r="BOO216"/>
      <c r="BOP216"/>
      <c r="BOQ216"/>
      <c r="BOR216"/>
      <c r="BOS216"/>
      <c r="BOT216"/>
      <c r="BOU216"/>
      <c r="BOV216"/>
      <c r="BOW216"/>
      <c r="BOX216"/>
      <c r="BOY216"/>
      <c r="BOZ216"/>
      <c r="BPA216"/>
      <c r="BPB216"/>
      <c r="BPC216"/>
      <c r="BPD216"/>
      <c r="BPE216"/>
      <c r="BPF216"/>
      <c r="BPG216"/>
      <c r="BPH216"/>
      <c r="BPI216"/>
      <c r="BPJ216"/>
      <c r="BPK216"/>
      <c r="BPL216"/>
      <c r="BPM216"/>
      <c r="BPN216"/>
      <c r="BPO216"/>
      <c r="BPP216"/>
      <c r="BPQ216"/>
      <c r="BPR216"/>
      <c r="BPS216"/>
      <c r="BPT216"/>
      <c r="BPU216"/>
      <c r="BPV216"/>
      <c r="BPW216"/>
      <c r="BPX216"/>
      <c r="BPY216"/>
      <c r="BPZ216"/>
      <c r="BQA216"/>
      <c r="BQB216"/>
      <c r="BQC216"/>
      <c r="BQD216"/>
      <c r="BQE216"/>
      <c r="BQF216"/>
      <c r="BQG216"/>
      <c r="BQH216"/>
      <c r="BQI216"/>
      <c r="BQJ216"/>
      <c r="BQK216"/>
      <c r="BQL216"/>
      <c r="BQM216"/>
      <c r="BQN216"/>
      <c r="BQO216"/>
      <c r="BQP216"/>
      <c r="BQQ216"/>
      <c r="BQR216"/>
      <c r="BQS216"/>
      <c r="BQT216"/>
      <c r="BQU216"/>
      <c r="BQV216"/>
      <c r="BQW216"/>
      <c r="BQX216"/>
      <c r="BQY216"/>
      <c r="BQZ216"/>
      <c r="BRA216"/>
      <c r="BRB216"/>
      <c r="BRC216"/>
      <c r="BRD216"/>
      <c r="BRE216"/>
      <c r="BRF216"/>
      <c r="BRG216"/>
      <c r="BRH216"/>
      <c r="BRI216"/>
      <c r="BRJ216"/>
      <c r="BRK216"/>
      <c r="BRL216"/>
      <c r="BRM216"/>
      <c r="BRN216"/>
      <c r="BRO216"/>
      <c r="BRP216"/>
      <c r="BRQ216"/>
      <c r="BRR216"/>
      <c r="BRS216"/>
      <c r="BRT216"/>
      <c r="BRU216"/>
      <c r="BRV216"/>
      <c r="BRW216"/>
      <c r="BRX216"/>
      <c r="BRY216"/>
      <c r="BRZ216"/>
      <c r="BSA216"/>
      <c r="BSB216"/>
      <c r="BSC216"/>
      <c r="BSD216"/>
      <c r="BSE216"/>
      <c r="BSF216"/>
      <c r="BSG216"/>
      <c r="BSH216"/>
      <c r="BSI216"/>
      <c r="BSJ216"/>
      <c r="BSK216"/>
      <c r="BSL216"/>
      <c r="BSM216"/>
      <c r="BSN216"/>
      <c r="BSO216"/>
      <c r="BSP216"/>
      <c r="BSQ216"/>
      <c r="BSR216"/>
      <c r="BSS216"/>
      <c r="BST216"/>
      <c r="BSU216"/>
      <c r="BSV216"/>
      <c r="BSW216"/>
      <c r="BSX216"/>
      <c r="BSY216"/>
      <c r="BSZ216"/>
      <c r="BTA216"/>
      <c r="BTB216"/>
      <c r="BTC216"/>
      <c r="BTD216"/>
      <c r="BTE216"/>
      <c r="BTF216"/>
      <c r="BTG216"/>
      <c r="BTH216"/>
      <c r="BTI216"/>
      <c r="BTJ216"/>
      <c r="BTK216"/>
      <c r="BTL216"/>
      <c r="BTM216"/>
      <c r="BTN216"/>
      <c r="BTO216"/>
      <c r="BTP216"/>
      <c r="BTQ216"/>
      <c r="BTR216"/>
      <c r="BTS216"/>
      <c r="BTT216"/>
      <c r="BTU216"/>
      <c r="BTV216"/>
      <c r="BTW216"/>
      <c r="BTX216"/>
      <c r="BTY216"/>
      <c r="BTZ216"/>
      <c r="BUA216"/>
      <c r="BUB216"/>
      <c r="BUC216"/>
      <c r="BUD216"/>
      <c r="BUE216"/>
      <c r="BUF216"/>
      <c r="BUG216"/>
      <c r="BUH216"/>
      <c r="BUI216"/>
      <c r="BUJ216"/>
      <c r="BUK216"/>
      <c r="BUL216"/>
      <c r="BUM216"/>
      <c r="BUN216"/>
      <c r="BUO216"/>
      <c r="BUP216"/>
      <c r="BUQ216"/>
      <c r="BUR216"/>
      <c r="BUS216"/>
      <c r="BUT216"/>
      <c r="BUU216"/>
      <c r="BUV216"/>
      <c r="BUW216"/>
      <c r="BUX216"/>
      <c r="BUY216"/>
      <c r="BUZ216"/>
      <c r="BVA216"/>
      <c r="BVB216"/>
      <c r="BVC216"/>
      <c r="BVD216"/>
      <c r="BVE216"/>
      <c r="BVF216"/>
      <c r="BVG216"/>
      <c r="BVH216"/>
      <c r="BVI216"/>
      <c r="BVJ216"/>
      <c r="BVK216"/>
      <c r="BVL216"/>
      <c r="BVM216"/>
      <c r="BVN216"/>
      <c r="BVO216"/>
      <c r="BVP216"/>
      <c r="BVQ216"/>
      <c r="BVR216"/>
      <c r="BVS216"/>
      <c r="BVT216"/>
      <c r="BVU216"/>
      <c r="BVV216"/>
      <c r="BVW216"/>
      <c r="BVX216"/>
      <c r="BVY216"/>
      <c r="BVZ216"/>
      <c r="BWA216"/>
      <c r="BWB216"/>
      <c r="BWC216"/>
      <c r="BWD216"/>
      <c r="BWE216"/>
      <c r="BWF216"/>
      <c r="BWG216"/>
      <c r="BWH216"/>
      <c r="BWI216"/>
      <c r="BWJ216"/>
      <c r="BWK216"/>
      <c r="BWL216"/>
      <c r="BWM216"/>
      <c r="BWN216"/>
      <c r="BWO216"/>
      <c r="BWP216"/>
      <c r="BWQ216"/>
      <c r="BWR216"/>
      <c r="BWS216"/>
      <c r="BWT216"/>
      <c r="BWU216"/>
      <c r="BWV216"/>
      <c r="BWW216"/>
      <c r="BWX216"/>
      <c r="BWY216"/>
      <c r="BWZ216"/>
      <c r="BXA216"/>
      <c r="BXB216"/>
      <c r="BXC216"/>
      <c r="BXD216"/>
      <c r="BXE216"/>
      <c r="BXF216"/>
      <c r="BXG216"/>
      <c r="BXH216"/>
      <c r="BXI216"/>
      <c r="BXJ216"/>
      <c r="BXK216"/>
      <c r="BXL216"/>
      <c r="BXM216"/>
      <c r="BXN216"/>
      <c r="BXO216"/>
      <c r="BXP216"/>
      <c r="BXQ216"/>
      <c r="BXR216"/>
      <c r="BXS216"/>
      <c r="BXT216"/>
      <c r="BXU216"/>
      <c r="BXV216"/>
      <c r="BXW216"/>
      <c r="BXX216"/>
      <c r="BXY216"/>
      <c r="BXZ216"/>
      <c r="BYA216"/>
      <c r="BYB216"/>
      <c r="BYC216"/>
      <c r="BYD216"/>
      <c r="BYE216"/>
      <c r="BYF216"/>
      <c r="BYG216"/>
      <c r="BYH216"/>
      <c r="BYI216"/>
      <c r="BYJ216"/>
      <c r="BYK216"/>
      <c r="BYL216"/>
      <c r="BYM216"/>
      <c r="BYN216"/>
      <c r="BYO216"/>
      <c r="BYP216"/>
      <c r="BYQ216"/>
      <c r="BYR216"/>
      <c r="BYS216"/>
      <c r="BYT216"/>
      <c r="BYU216"/>
      <c r="BYV216"/>
      <c r="BYW216"/>
      <c r="BYX216"/>
      <c r="BYY216"/>
      <c r="BYZ216"/>
      <c r="BZA216"/>
      <c r="BZB216"/>
      <c r="BZC216"/>
      <c r="BZD216"/>
      <c r="BZE216"/>
      <c r="BZF216"/>
      <c r="BZG216"/>
      <c r="BZH216"/>
      <c r="BZI216"/>
      <c r="BZJ216"/>
      <c r="BZK216"/>
      <c r="BZL216"/>
      <c r="BZM216"/>
      <c r="BZN216"/>
      <c r="BZO216"/>
      <c r="BZP216"/>
      <c r="BZQ216"/>
      <c r="BZR216"/>
      <c r="BZS216"/>
      <c r="BZT216"/>
      <c r="BZU216"/>
      <c r="BZV216"/>
      <c r="BZW216"/>
      <c r="BZX216"/>
      <c r="BZY216"/>
      <c r="BZZ216"/>
      <c r="CAA216"/>
      <c r="CAB216"/>
      <c r="CAC216"/>
      <c r="CAD216"/>
      <c r="CAE216"/>
      <c r="CAF216"/>
      <c r="CAG216"/>
      <c r="CAH216"/>
      <c r="CAI216"/>
      <c r="CAJ216"/>
      <c r="CAK216"/>
      <c r="CAL216"/>
      <c r="CAM216"/>
      <c r="CAN216"/>
      <c r="CAO216"/>
      <c r="CAP216"/>
      <c r="CAQ216"/>
      <c r="CAR216"/>
      <c r="CAS216"/>
      <c r="CAT216"/>
      <c r="CAU216"/>
      <c r="CAV216"/>
      <c r="CAW216"/>
      <c r="CAX216"/>
      <c r="CAY216"/>
      <c r="CAZ216"/>
      <c r="CBA216"/>
      <c r="CBB216"/>
      <c r="CBC216"/>
      <c r="CBD216"/>
      <c r="CBE216"/>
      <c r="CBF216"/>
      <c r="CBG216"/>
      <c r="CBH216"/>
      <c r="CBI216"/>
      <c r="CBJ216"/>
      <c r="CBK216"/>
      <c r="CBL216"/>
      <c r="CBM216"/>
      <c r="CBN216"/>
      <c r="CBO216"/>
      <c r="CBP216"/>
      <c r="CBQ216"/>
      <c r="CBR216"/>
      <c r="CBS216"/>
      <c r="CBT216"/>
      <c r="CBU216"/>
      <c r="CBV216"/>
      <c r="CBW216"/>
      <c r="CBX216"/>
      <c r="CBY216"/>
      <c r="CBZ216"/>
      <c r="CCA216"/>
      <c r="CCB216"/>
      <c r="CCC216"/>
      <c r="CCD216"/>
      <c r="CCE216"/>
      <c r="CCF216"/>
      <c r="CCG216"/>
      <c r="CCH216"/>
      <c r="CCI216"/>
      <c r="CCJ216"/>
      <c r="CCK216"/>
      <c r="CCL216"/>
      <c r="CCM216"/>
      <c r="CCN216"/>
      <c r="CCO216"/>
      <c r="CCP216"/>
      <c r="CCQ216"/>
      <c r="CCR216"/>
      <c r="CCS216"/>
      <c r="CCT216"/>
      <c r="CCU216"/>
      <c r="CCV216"/>
      <c r="CCW216"/>
      <c r="CCX216"/>
      <c r="CCY216"/>
      <c r="CCZ216"/>
      <c r="CDA216"/>
      <c r="CDB216"/>
      <c r="CDC216"/>
      <c r="CDD216"/>
      <c r="CDE216"/>
      <c r="CDF216"/>
      <c r="CDG216"/>
      <c r="CDH216"/>
      <c r="CDI216"/>
      <c r="CDJ216"/>
      <c r="CDK216"/>
      <c r="CDL216"/>
      <c r="CDM216"/>
      <c r="CDN216"/>
      <c r="CDO216"/>
      <c r="CDP216"/>
      <c r="CDQ216"/>
      <c r="CDR216"/>
      <c r="CDS216"/>
      <c r="CDT216"/>
      <c r="CDU216"/>
      <c r="CDV216"/>
      <c r="CDW216"/>
      <c r="CDX216"/>
      <c r="CDY216"/>
      <c r="CDZ216"/>
      <c r="CEA216"/>
      <c r="CEB216"/>
      <c r="CEC216"/>
      <c r="CED216"/>
      <c r="CEE216"/>
      <c r="CEF216"/>
      <c r="CEG216"/>
      <c r="CEH216"/>
      <c r="CEI216"/>
      <c r="CEJ216"/>
      <c r="CEK216"/>
      <c r="CEL216"/>
      <c r="CEM216"/>
      <c r="CEN216"/>
      <c r="CEO216"/>
      <c r="CEP216"/>
      <c r="CEQ216"/>
      <c r="CER216"/>
      <c r="CES216"/>
      <c r="CET216"/>
      <c r="CEU216"/>
      <c r="CEV216"/>
      <c r="CEW216"/>
      <c r="CEX216"/>
      <c r="CEY216"/>
      <c r="CEZ216"/>
      <c r="CFA216"/>
      <c r="CFB216"/>
      <c r="CFC216"/>
      <c r="CFD216"/>
      <c r="CFE216"/>
      <c r="CFF216"/>
      <c r="CFG216"/>
      <c r="CFH216"/>
      <c r="CFI216"/>
      <c r="CFJ216"/>
      <c r="CFK216"/>
      <c r="CFL216"/>
      <c r="CFM216"/>
      <c r="CFN216"/>
      <c r="CFO216"/>
      <c r="CFP216"/>
      <c r="CFQ216"/>
      <c r="CFR216"/>
      <c r="CFS216"/>
      <c r="CFT216"/>
      <c r="CFU216"/>
      <c r="CFV216"/>
      <c r="CFW216"/>
      <c r="CFX216"/>
      <c r="CFY216"/>
      <c r="CFZ216"/>
      <c r="CGA216"/>
      <c r="CGB216"/>
      <c r="CGC216"/>
      <c r="CGD216"/>
      <c r="CGE216"/>
      <c r="CGF216"/>
      <c r="CGG216"/>
      <c r="CGH216"/>
      <c r="CGI216"/>
      <c r="CGJ216"/>
      <c r="CGK216"/>
      <c r="CGL216"/>
      <c r="CGM216"/>
      <c r="CGN216"/>
      <c r="CGO216"/>
      <c r="CGP216"/>
      <c r="CGQ216"/>
      <c r="CGR216"/>
      <c r="CGS216"/>
      <c r="CGT216"/>
      <c r="CGU216"/>
      <c r="CGV216"/>
      <c r="CGW216"/>
      <c r="CGX216"/>
      <c r="CGY216"/>
      <c r="CGZ216"/>
      <c r="CHA216"/>
      <c r="CHB216"/>
      <c r="CHC216"/>
      <c r="CHD216"/>
      <c r="CHE216"/>
      <c r="CHF216"/>
      <c r="CHG216"/>
      <c r="CHH216"/>
      <c r="CHI216"/>
      <c r="CHJ216"/>
      <c r="CHK216"/>
      <c r="CHL216"/>
      <c r="CHM216"/>
      <c r="CHN216"/>
      <c r="CHO216"/>
      <c r="CHP216"/>
      <c r="CHQ216"/>
      <c r="CHR216"/>
      <c r="CHS216"/>
      <c r="CHT216"/>
      <c r="CHU216"/>
      <c r="CHV216"/>
      <c r="CHW216"/>
      <c r="CHX216"/>
      <c r="CHY216"/>
      <c r="CHZ216"/>
      <c r="CIA216"/>
      <c r="CIB216"/>
      <c r="CIC216"/>
      <c r="CID216"/>
      <c r="CIE216"/>
      <c r="CIF216"/>
      <c r="CIG216"/>
      <c r="CIH216"/>
      <c r="CII216"/>
      <c r="CIJ216"/>
      <c r="CIK216"/>
      <c r="CIL216"/>
      <c r="CIM216"/>
      <c r="CIN216"/>
      <c r="CIO216"/>
      <c r="CIP216"/>
      <c r="CIQ216"/>
      <c r="CIR216"/>
      <c r="CIS216"/>
      <c r="CIT216"/>
      <c r="CIU216"/>
      <c r="CIV216"/>
      <c r="CIW216"/>
      <c r="CIX216"/>
      <c r="CIY216"/>
      <c r="CIZ216"/>
      <c r="CJA216"/>
      <c r="CJB216"/>
      <c r="CJC216"/>
      <c r="CJD216"/>
      <c r="CJE216"/>
      <c r="CJF216"/>
      <c r="CJG216"/>
      <c r="CJH216"/>
      <c r="CJI216"/>
      <c r="CJJ216"/>
      <c r="CJK216"/>
      <c r="CJL216"/>
      <c r="CJM216"/>
      <c r="CJN216"/>
      <c r="CJO216"/>
      <c r="CJP216"/>
      <c r="CJQ216"/>
      <c r="CJR216"/>
      <c r="CJS216"/>
      <c r="CJT216"/>
      <c r="CJU216"/>
      <c r="CJV216"/>
      <c r="CJW216"/>
      <c r="CJX216"/>
      <c r="CJY216"/>
      <c r="CJZ216"/>
      <c r="CKA216"/>
      <c r="CKB216"/>
      <c r="CKC216"/>
      <c r="CKD216"/>
      <c r="CKE216"/>
      <c r="CKF216"/>
      <c r="CKG216"/>
      <c r="CKH216"/>
      <c r="CKI216"/>
      <c r="CKJ216"/>
      <c r="CKK216"/>
      <c r="CKL216"/>
      <c r="CKM216"/>
      <c r="CKN216"/>
      <c r="CKO216"/>
      <c r="CKP216"/>
      <c r="CKQ216"/>
      <c r="CKR216"/>
      <c r="CKS216"/>
      <c r="CKT216"/>
      <c r="CKU216"/>
      <c r="CKV216"/>
      <c r="CKW216"/>
      <c r="CKX216"/>
      <c r="CKY216"/>
      <c r="CKZ216"/>
      <c r="CLA216"/>
      <c r="CLB216"/>
      <c r="CLC216"/>
      <c r="CLD216"/>
      <c r="CLE216"/>
      <c r="CLF216"/>
      <c r="CLG216"/>
      <c r="CLH216"/>
      <c r="CLI216"/>
      <c r="CLJ216"/>
      <c r="CLK216"/>
      <c r="CLL216"/>
      <c r="CLM216"/>
      <c r="CLN216"/>
      <c r="CLO216"/>
      <c r="CLP216"/>
      <c r="CLQ216"/>
      <c r="CLR216"/>
      <c r="CLS216"/>
      <c r="CLT216"/>
      <c r="CLU216"/>
      <c r="CLV216"/>
      <c r="CLW216"/>
      <c r="CLX216"/>
      <c r="CLY216"/>
      <c r="CLZ216"/>
      <c r="CMA216"/>
      <c r="CMB216"/>
      <c r="CMC216"/>
      <c r="CMD216"/>
      <c r="CME216"/>
      <c r="CMF216"/>
      <c r="CMG216"/>
      <c r="CMH216"/>
      <c r="CMI216"/>
      <c r="CMJ216"/>
      <c r="CMK216"/>
      <c r="CML216"/>
      <c r="CMM216"/>
      <c r="CMN216"/>
      <c r="CMO216"/>
      <c r="CMP216"/>
      <c r="CMQ216"/>
      <c r="CMR216"/>
      <c r="CMS216"/>
      <c r="CMT216"/>
      <c r="CMU216"/>
      <c r="CMV216"/>
      <c r="CMW216"/>
      <c r="CMX216"/>
      <c r="CMY216"/>
      <c r="CMZ216"/>
      <c r="CNA216"/>
      <c r="CNB216"/>
      <c r="CNC216"/>
      <c r="CND216"/>
      <c r="CNE216"/>
      <c r="CNF216"/>
      <c r="CNG216"/>
      <c r="CNH216"/>
      <c r="CNI216"/>
      <c r="CNJ216"/>
      <c r="CNK216"/>
      <c r="CNL216"/>
      <c r="CNM216"/>
      <c r="CNN216"/>
      <c r="CNO216"/>
      <c r="CNP216"/>
      <c r="CNQ216"/>
      <c r="CNR216"/>
      <c r="CNS216"/>
      <c r="CNT216"/>
      <c r="CNU216"/>
      <c r="CNV216"/>
      <c r="CNW216"/>
      <c r="CNX216"/>
      <c r="CNY216"/>
      <c r="CNZ216"/>
      <c r="COA216"/>
      <c r="COB216"/>
      <c r="COC216"/>
      <c r="COD216"/>
      <c r="COE216"/>
      <c r="COF216"/>
      <c r="COG216"/>
      <c r="COH216"/>
      <c r="COI216"/>
      <c r="COJ216"/>
      <c r="COK216"/>
      <c r="COL216"/>
      <c r="COM216"/>
      <c r="CON216"/>
      <c r="COO216"/>
      <c r="COP216"/>
      <c r="COQ216"/>
      <c r="COR216"/>
      <c r="COS216"/>
      <c r="COT216"/>
      <c r="COU216"/>
      <c r="COV216"/>
      <c r="COW216"/>
      <c r="COX216"/>
      <c r="COY216"/>
      <c r="COZ216"/>
      <c r="CPA216"/>
      <c r="CPB216"/>
      <c r="CPC216"/>
      <c r="CPD216"/>
      <c r="CPE216"/>
      <c r="CPF216"/>
      <c r="CPG216"/>
      <c r="CPH216"/>
      <c r="CPI216"/>
      <c r="CPJ216"/>
      <c r="CPK216"/>
      <c r="CPL216"/>
      <c r="CPM216"/>
      <c r="CPN216"/>
      <c r="CPO216"/>
      <c r="CPP216"/>
      <c r="CPQ216"/>
      <c r="CPR216"/>
      <c r="CPS216"/>
      <c r="CPT216"/>
      <c r="CPU216"/>
      <c r="CPV216"/>
      <c r="CPW216"/>
      <c r="CPX216"/>
      <c r="CPY216"/>
      <c r="CPZ216"/>
      <c r="CQA216"/>
      <c r="CQB216"/>
      <c r="CQC216"/>
      <c r="CQD216"/>
      <c r="CQE216"/>
      <c r="CQF216"/>
      <c r="CQG216"/>
      <c r="CQH216"/>
      <c r="CQI216"/>
      <c r="CQJ216"/>
      <c r="CQK216"/>
      <c r="CQL216"/>
      <c r="CQM216"/>
      <c r="CQN216"/>
      <c r="CQO216"/>
      <c r="CQP216"/>
      <c r="CQQ216"/>
      <c r="CQR216"/>
      <c r="CQS216"/>
      <c r="CQT216"/>
      <c r="CQU216"/>
      <c r="CQV216"/>
      <c r="CQW216"/>
      <c r="CQX216"/>
      <c r="CQY216"/>
      <c r="CQZ216"/>
      <c r="CRA216"/>
      <c r="CRB216"/>
      <c r="CRC216"/>
      <c r="CRD216"/>
      <c r="CRE216"/>
      <c r="CRF216"/>
      <c r="CRG216"/>
      <c r="CRH216"/>
      <c r="CRI216"/>
      <c r="CRJ216"/>
      <c r="CRK216"/>
      <c r="CRL216"/>
      <c r="CRM216"/>
      <c r="CRN216"/>
      <c r="CRO216"/>
      <c r="CRP216"/>
      <c r="CRQ216"/>
      <c r="CRR216"/>
      <c r="CRS216"/>
      <c r="CRT216"/>
      <c r="CRU216"/>
      <c r="CRV216"/>
      <c r="CRW216"/>
      <c r="CRX216"/>
      <c r="CRY216"/>
      <c r="CRZ216"/>
      <c r="CSA216"/>
      <c r="CSB216"/>
      <c r="CSC216"/>
      <c r="CSD216"/>
      <c r="CSE216"/>
      <c r="CSF216"/>
      <c r="CSG216"/>
      <c r="CSH216"/>
      <c r="CSI216"/>
      <c r="CSJ216"/>
      <c r="CSK216"/>
      <c r="CSL216"/>
      <c r="CSM216"/>
      <c r="CSN216"/>
      <c r="CSO216"/>
      <c r="CSP216"/>
      <c r="CSQ216"/>
      <c r="CSR216"/>
      <c r="CSS216"/>
      <c r="CST216"/>
      <c r="CSU216"/>
      <c r="CSV216"/>
      <c r="CSW216"/>
      <c r="CSX216"/>
      <c r="CSY216"/>
      <c r="CSZ216"/>
      <c r="CTA216"/>
      <c r="CTB216"/>
      <c r="CTC216"/>
      <c r="CTD216"/>
      <c r="CTE216"/>
      <c r="CTF216"/>
      <c r="CTG216"/>
      <c r="CTH216"/>
      <c r="CTI216"/>
      <c r="CTJ216"/>
      <c r="CTK216"/>
      <c r="CTL216"/>
      <c r="CTM216"/>
      <c r="CTN216"/>
      <c r="CTO216"/>
      <c r="CTP216"/>
      <c r="CTQ216"/>
      <c r="CTR216"/>
      <c r="CTS216"/>
      <c r="CTT216"/>
      <c r="CTU216"/>
      <c r="CTV216"/>
      <c r="CTW216"/>
      <c r="CTX216"/>
      <c r="CTY216"/>
      <c r="CTZ216"/>
      <c r="CUA216"/>
      <c r="CUB216"/>
      <c r="CUC216"/>
      <c r="CUD216"/>
      <c r="CUE216"/>
      <c r="CUF216"/>
      <c r="CUG216"/>
      <c r="CUH216"/>
      <c r="CUI216"/>
      <c r="CUJ216"/>
      <c r="CUK216"/>
      <c r="CUL216"/>
      <c r="CUM216"/>
      <c r="CUN216"/>
      <c r="CUO216"/>
      <c r="CUP216"/>
      <c r="CUQ216"/>
      <c r="CUR216"/>
      <c r="CUS216"/>
      <c r="CUT216"/>
      <c r="CUU216"/>
      <c r="CUV216"/>
      <c r="CUW216"/>
      <c r="CUX216"/>
      <c r="CUY216"/>
      <c r="CUZ216"/>
      <c r="CVA216"/>
      <c r="CVB216"/>
      <c r="CVC216"/>
      <c r="CVD216"/>
      <c r="CVE216"/>
      <c r="CVF216"/>
      <c r="CVG216"/>
      <c r="CVH216"/>
      <c r="CVI216"/>
      <c r="CVJ216"/>
      <c r="CVK216"/>
      <c r="CVL216"/>
      <c r="CVM216"/>
      <c r="CVN216"/>
      <c r="CVO216"/>
      <c r="CVP216"/>
      <c r="CVQ216"/>
      <c r="CVR216"/>
      <c r="CVS216"/>
      <c r="CVT216"/>
      <c r="CVU216"/>
      <c r="CVV216"/>
      <c r="CVW216"/>
      <c r="CVX216"/>
      <c r="CVY216"/>
      <c r="CVZ216"/>
      <c r="CWA216"/>
      <c r="CWB216"/>
      <c r="CWC216"/>
      <c r="CWD216"/>
      <c r="CWE216"/>
      <c r="CWF216"/>
      <c r="CWG216"/>
      <c r="CWH216"/>
      <c r="CWI216"/>
      <c r="CWJ216"/>
      <c r="CWK216"/>
      <c r="CWL216"/>
      <c r="CWM216"/>
      <c r="CWN216"/>
      <c r="CWO216"/>
      <c r="CWP216"/>
      <c r="CWQ216"/>
      <c r="CWR216"/>
      <c r="CWS216"/>
      <c r="CWT216"/>
      <c r="CWU216"/>
      <c r="CWV216"/>
      <c r="CWW216"/>
      <c r="CWX216"/>
      <c r="CWY216"/>
      <c r="CWZ216"/>
      <c r="CXA216"/>
      <c r="CXB216"/>
      <c r="CXC216"/>
      <c r="CXD216"/>
      <c r="CXE216"/>
      <c r="CXF216"/>
      <c r="CXG216"/>
      <c r="CXH216"/>
      <c r="CXI216"/>
      <c r="CXJ216"/>
      <c r="CXK216"/>
      <c r="CXL216"/>
      <c r="CXM216"/>
      <c r="CXN216"/>
      <c r="CXO216"/>
      <c r="CXP216"/>
      <c r="CXQ216"/>
      <c r="CXR216"/>
      <c r="CXS216"/>
      <c r="CXT216"/>
      <c r="CXU216"/>
      <c r="CXV216"/>
      <c r="CXW216"/>
      <c r="CXX216"/>
      <c r="CXY216"/>
      <c r="CXZ216"/>
      <c r="CYA216"/>
      <c r="CYB216"/>
      <c r="CYC216"/>
      <c r="CYD216"/>
      <c r="CYE216"/>
      <c r="CYF216"/>
      <c r="CYG216"/>
      <c r="CYH216"/>
      <c r="CYI216"/>
      <c r="CYJ216"/>
      <c r="CYK216"/>
      <c r="CYL216"/>
      <c r="CYM216"/>
      <c r="CYN216"/>
      <c r="CYO216"/>
      <c r="CYP216"/>
      <c r="CYQ216"/>
      <c r="CYR216"/>
      <c r="CYS216"/>
      <c r="CYT216"/>
      <c r="CYU216"/>
      <c r="CYV216"/>
      <c r="CYW216"/>
      <c r="CYX216"/>
      <c r="CYY216"/>
      <c r="CYZ216"/>
      <c r="CZA216"/>
      <c r="CZB216"/>
      <c r="CZC216"/>
      <c r="CZD216"/>
      <c r="CZE216"/>
      <c r="CZF216"/>
      <c r="CZG216"/>
      <c r="CZH216"/>
      <c r="CZI216"/>
      <c r="CZJ216"/>
      <c r="CZK216"/>
      <c r="CZL216"/>
      <c r="CZM216"/>
      <c r="CZN216"/>
      <c r="CZO216"/>
      <c r="CZP216"/>
      <c r="CZQ216"/>
      <c r="CZR216"/>
      <c r="CZS216"/>
      <c r="CZT216"/>
      <c r="CZU216"/>
      <c r="CZV216"/>
      <c r="CZW216"/>
      <c r="CZX216"/>
      <c r="CZY216"/>
      <c r="CZZ216"/>
      <c r="DAA216"/>
      <c r="DAB216"/>
      <c r="DAC216"/>
      <c r="DAD216"/>
      <c r="DAE216"/>
      <c r="DAF216"/>
      <c r="DAG216"/>
      <c r="DAH216"/>
      <c r="DAI216"/>
      <c r="DAJ216"/>
      <c r="DAK216"/>
      <c r="DAL216"/>
      <c r="DAM216"/>
      <c r="DAN216"/>
      <c r="DAO216"/>
      <c r="DAP216"/>
      <c r="DAQ216"/>
      <c r="DAR216"/>
      <c r="DAS216"/>
      <c r="DAT216"/>
      <c r="DAU216"/>
      <c r="DAV216"/>
      <c r="DAW216"/>
      <c r="DAX216"/>
      <c r="DAY216"/>
      <c r="DAZ216"/>
      <c r="DBA216"/>
      <c r="DBB216"/>
      <c r="DBC216"/>
      <c r="DBD216"/>
      <c r="DBE216"/>
      <c r="DBF216"/>
      <c r="DBG216"/>
      <c r="DBH216"/>
      <c r="DBI216"/>
      <c r="DBJ216"/>
      <c r="DBK216"/>
      <c r="DBL216"/>
      <c r="DBM216"/>
      <c r="DBN216"/>
      <c r="DBO216"/>
      <c r="DBP216"/>
      <c r="DBQ216"/>
      <c r="DBR216"/>
      <c r="DBS216"/>
      <c r="DBT216"/>
      <c r="DBU216"/>
      <c r="DBV216"/>
      <c r="DBW216"/>
      <c r="DBX216"/>
      <c r="DBY216"/>
      <c r="DBZ216"/>
      <c r="DCA216"/>
      <c r="DCB216"/>
      <c r="DCC216"/>
      <c r="DCD216"/>
      <c r="DCE216"/>
      <c r="DCF216"/>
      <c r="DCG216"/>
      <c r="DCH216"/>
      <c r="DCI216"/>
      <c r="DCJ216"/>
      <c r="DCK216"/>
      <c r="DCL216"/>
      <c r="DCM216"/>
      <c r="DCN216"/>
      <c r="DCO216"/>
      <c r="DCP216"/>
      <c r="DCQ216"/>
      <c r="DCR216"/>
      <c r="DCS216"/>
      <c r="DCT216"/>
      <c r="DCU216"/>
      <c r="DCV216"/>
      <c r="DCW216"/>
      <c r="DCX216"/>
      <c r="DCY216"/>
      <c r="DCZ216"/>
      <c r="DDA216"/>
      <c r="DDB216"/>
      <c r="DDC216"/>
      <c r="DDD216"/>
      <c r="DDE216"/>
      <c r="DDF216"/>
      <c r="DDG216"/>
      <c r="DDH216"/>
      <c r="DDI216"/>
      <c r="DDJ216"/>
      <c r="DDK216"/>
      <c r="DDL216"/>
      <c r="DDM216"/>
      <c r="DDN216"/>
      <c r="DDO216"/>
      <c r="DDP216"/>
      <c r="DDQ216"/>
      <c r="DDR216"/>
      <c r="DDS216"/>
      <c r="DDT216"/>
      <c r="DDU216"/>
      <c r="DDV216"/>
      <c r="DDW216"/>
      <c r="DDX216"/>
      <c r="DDY216"/>
      <c r="DDZ216"/>
      <c r="DEA216"/>
      <c r="DEB216"/>
      <c r="DEC216"/>
      <c r="DED216"/>
      <c r="DEE216"/>
      <c r="DEF216"/>
      <c r="DEG216"/>
      <c r="DEH216"/>
      <c r="DEI216"/>
      <c r="DEJ216"/>
      <c r="DEK216"/>
      <c r="DEL216"/>
      <c r="DEM216"/>
      <c r="DEN216"/>
      <c r="DEO216"/>
      <c r="DEP216"/>
      <c r="DEQ216"/>
      <c r="DER216"/>
      <c r="DES216"/>
      <c r="DET216"/>
      <c r="DEU216"/>
      <c r="DEV216"/>
      <c r="DEW216"/>
      <c r="DEX216"/>
      <c r="DEY216"/>
      <c r="DEZ216"/>
      <c r="DFA216"/>
      <c r="DFB216"/>
      <c r="DFC216"/>
      <c r="DFD216"/>
      <c r="DFE216"/>
      <c r="DFF216"/>
      <c r="DFG216"/>
      <c r="DFH216"/>
      <c r="DFI216"/>
      <c r="DFJ216"/>
      <c r="DFK216"/>
      <c r="DFL216"/>
      <c r="DFM216"/>
      <c r="DFN216"/>
      <c r="DFO216"/>
      <c r="DFP216"/>
      <c r="DFQ216"/>
      <c r="DFR216"/>
      <c r="DFS216"/>
      <c r="DFT216"/>
      <c r="DFU216"/>
      <c r="DFV216"/>
      <c r="DFW216"/>
      <c r="DFX216"/>
      <c r="DFY216"/>
      <c r="DFZ216"/>
      <c r="DGA216"/>
      <c r="DGB216"/>
      <c r="DGC216"/>
      <c r="DGD216"/>
      <c r="DGE216"/>
      <c r="DGF216"/>
      <c r="DGG216"/>
      <c r="DGH216"/>
      <c r="DGI216"/>
      <c r="DGJ216"/>
      <c r="DGK216"/>
      <c r="DGL216"/>
      <c r="DGM216"/>
      <c r="DGN216"/>
      <c r="DGO216"/>
      <c r="DGP216"/>
      <c r="DGQ216"/>
      <c r="DGR216"/>
      <c r="DGS216"/>
      <c r="DGT216"/>
      <c r="DGU216"/>
      <c r="DGV216"/>
      <c r="DGW216"/>
      <c r="DGX216"/>
      <c r="DGY216"/>
      <c r="DGZ216"/>
      <c r="DHA216"/>
      <c r="DHB216"/>
      <c r="DHC216"/>
      <c r="DHD216"/>
      <c r="DHE216"/>
      <c r="DHF216"/>
      <c r="DHG216"/>
      <c r="DHH216"/>
      <c r="DHI216"/>
      <c r="DHJ216"/>
      <c r="DHK216"/>
      <c r="DHL216"/>
      <c r="DHM216"/>
      <c r="DHN216"/>
      <c r="DHO216"/>
      <c r="DHP216"/>
      <c r="DHQ216"/>
      <c r="DHR216"/>
      <c r="DHS216"/>
      <c r="DHT216"/>
      <c r="DHU216"/>
      <c r="DHV216"/>
      <c r="DHW216"/>
      <c r="DHX216"/>
      <c r="DHY216"/>
      <c r="DHZ216"/>
      <c r="DIA216"/>
      <c r="DIB216"/>
      <c r="DIC216"/>
      <c r="DID216"/>
      <c r="DIE216"/>
      <c r="DIF216"/>
      <c r="DIG216"/>
      <c r="DIH216"/>
      <c r="DII216"/>
      <c r="DIJ216"/>
      <c r="DIK216"/>
      <c r="DIL216"/>
      <c r="DIM216"/>
      <c r="DIN216"/>
      <c r="DIO216"/>
      <c r="DIP216"/>
      <c r="DIQ216"/>
      <c r="DIR216"/>
      <c r="DIS216"/>
      <c r="DIT216"/>
      <c r="DIU216"/>
      <c r="DIV216"/>
      <c r="DIW216"/>
      <c r="DIX216"/>
      <c r="DIY216"/>
      <c r="DIZ216"/>
      <c r="DJA216"/>
      <c r="DJB216"/>
      <c r="DJC216"/>
      <c r="DJD216"/>
      <c r="DJE216"/>
      <c r="DJF216"/>
      <c r="DJG216"/>
      <c r="DJH216"/>
      <c r="DJI216"/>
      <c r="DJJ216"/>
      <c r="DJK216"/>
      <c r="DJL216"/>
      <c r="DJM216"/>
      <c r="DJN216"/>
      <c r="DJO216"/>
      <c r="DJP216"/>
      <c r="DJQ216"/>
      <c r="DJR216"/>
      <c r="DJS216"/>
      <c r="DJT216"/>
      <c r="DJU216"/>
      <c r="DJV216"/>
      <c r="DJW216"/>
      <c r="DJX216"/>
      <c r="DJY216"/>
      <c r="DJZ216"/>
      <c r="DKA216"/>
      <c r="DKB216"/>
      <c r="DKC216"/>
      <c r="DKD216"/>
      <c r="DKE216"/>
      <c r="DKF216"/>
      <c r="DKG216"/>
      <c r="DKH216"/>
      <c r="DKI216"/>
      <c r="DKJ216"/>
      <c r="DKK216"/>
      <c r="DKL216"/>
      <c r="DKM216"/>
      <c r="DKN216"/>
      <c r="DKO216"/>
      <c r="DKP216"/>
      <c r="DKQ216"/>
      <c r="DKR216"/>
      <c r="DKS216"/>
      <c r="DKT216"/>
      <c r="DKU216"/>
      <c r="DKV216"/>
      <c r="DKW216"/>
      <c r="DKX216"/>
      <c r="DKY216"/>
      <c r="DKZ216"/>
      <c r="DLA216"/>
      <c r="DLB216"/>
      <c r="DLC216"/>
      <c r="DLD216"/>
      <c r="DLE216"/>
      <c r="DLF216"/>
      <c r="DLG216"/>
      <c r="DLH216"/>
      <c r="DLI216"/>
      <c r="DLJ216"/>
      <c r="DLK216"/>
      <c r="DLL216"/>
      <c r="DLM216"/>
      <c r="DLN216"/>
      <c r="DLO216"/>
      <c r="DLP216"/>
      <c r="DLQ216"/>
      <c r="DLR216"/>
      <c r="DLS216"/>
      <c r="DLT216"/>
      <c r="DLU216"/>
      <c r="DLV216"/>
      <c r="DLW216"/>
      <c r="DLX216"/>
      <c r="DLY216"/>
      <c r="DLZ216"/>
      <c r="DMA216"/>
      <c r="DMB216"/>
      <c r="DMC216"/>
      <c r="DMD216"/>
      <c r="DME216"/>
      <c r="DMF216"/>
      <c r="DMG216"/>
      <c r="DMH216"/>
      <c r="DMI216"/>
      <c r="DMJ216"/>
      <c r="DMK216"/>
      <c r="DML216"/>
      <c r="DMM216"/>
      <c r="DMN216"/>
      <c r="DMO216"/>
      <c r="DMP216"/>
      <c r="DMQ216"/>
      <c r="DMR216"/>
      <c r="DMS216"/>
      <c r="DMT216"/>
      <c r="DMU216"/>
      <c r="DMV216"/>
      <c r="DMW216"/>
      <c r="DMX216"/>
      <c r="DMY216"/>
      <c r="DMZ216"/>
      <c r="DNA216"/>
      <c r="DNB216"/>
      <c r="DNC216"/>
      <c r="DND216"/>
      <c r="DNE216"/>
      <c r="DNF216"/>
      <c r="DNG216"/>
      <c r="DNH216"/>
      <c r="DNI216"/>
      <c r="DNJ216"/>
      <c r="DNK216"/>
      <c r="DNL216"/>
      <c r="DNM216"/>
      <c r="DNN216"/>
      <c r="DNO216"/>
      <c r="DNP216"/>
      <c r="DNQ216"/>
      <c r="DNR216"/>
      <c r="DNS216"/>
      <c r="DNT216"/>
      <c r="DNU216"/>
      <c r="DNV216"/>
      <c r="DNW216"/>
      <c r="DNX216"/>
      <c r="DNY216"/>
      <c r="DNZ216"/>
      <c r="DOA216"/>
      <c r="DOB216"/>
      <c r="DOC216"/>
      <c r="DOD216"/>
      <c r="DOE216"/>
      <c r="DOF216"/>
      <c r="DOG216"/>
      <c r="DOH216"/>
      <c r="DOI216"/>
      <c r="DOJ216"/>
      <c r="DOK216"/>
      <c r="DOL216"/>
      <c r="DOM216"/>
      <c r="DON216"/>
      <c r="DOO216"/>
      <c r="DOP216"/>
      <c r="DOQ216"/>
      <c r="DOR216"/>
      <c r="DOS216"/>
      <c r="DOT216"/>
      <c r="DOU216"/>
      <c r="DOV216"/>
      <c r="DOW216"/>
      <c r="DOX216"/>
      <c r="DOY216"/>
      <c r="DOZ216"/>
      <c r="DPA216"/>
      <c r="DPB216"/>
      <c r="DPC216"/>
      <c r="DPD216"/>
      <c r="DPE216"/>
      <c r="DPF216"/>
      <c r="DPG216"/>
      <c r="DPH216"/>
      <c r="DPI216"/>
      <c r="DPJ216"/>
      <c r="DPK216"/>
      <c r="DPL216"/>
      <c r="DPM216"/>
      <c r="DPN216"/>
      <c r="DPO216"/>
      <c r="DPP216"/>
      <c r="DPQ216"/>
      <c r="DPR216"/>
      <c r="DPS216"/>
      <c r="DPT216"/>
      <c r="DPU216"/>
      <c r="DPV216"/>
      <c r="DPW216"/>
      <c r="DPX216"/>
      <c r="DPY216"/>
      <c r="DPZ216"/>
      <c r="DQA216"/>
      <c r="DQB216"/>
      <c r="DQC216"/>
      <c r="DQD216"/>
      <c r="DQE216"/>
      <c r="DQF216"/>
      <c r="DQG216"/>
      <c r="DQH216"/>
      <c r="DQI216"/>
      <c r="DQJ216"/>
      <c r="DQK216"/>
      <c r="DQL216"/>
      <c r="DQM216"/>
      <c r="DQN216"/>
      <c r="DQO216"/>
      <c r="DQP216"/>
      <c r="DQQ216"/>
      <c r="DQR216"/>
      <c r="DQS216"/>
      <c r="DQT216"/>
      <c r="DQU216"/>
      <c r="DQV216"/>
      <c r="DQW216"/>
      <c r="DQX216"/>
      <c r="DQY216"/>
      <c r="DQZ216"/>
      <c r="DRA216"/>
      <c r="DRB216"/>
      <c r="DRC216"/>
      <c r="DRD216"/>
      <c r="DRE216"/>
      <c r="DRF216"/>
      <c r="DRG216"/>
      <c r="DRH216"/>
      <c r="DRI216"/>
      <c r="DRJ216"/>
      <c r="DRK216"/>
      <c r="DRL216"/>
      <c r="DRM216"/>
      <c r="DRN216"/>
      <c r="DRO216"/>
      <c r="DRP216"/>
      <c r="DRQ216"/>
      <c r="DRR216"/>
      <c r="DRS216"/>
      <c r="DRT216"/>
      <c r="DRU216"/>
      <c r="DRV216"/>
      <c r="DRW216"/>
      <c r="DRX216"/>
      <c r="DRY216"/>
      <c r="DRZ216"/>
      <c r="DSA216"/>
      <c r="DSB216"/>
      <c r="DSC216"/>
      <c r="DSD216"/>
      <c r="DSE216"/>
      <c r="DSF216"/>
      <c r="DSG216"/>
      <c r="DSH216"/>
      <c r="DSI216"/>
      <c r="DSJ216"/>
      <c r="DSK216"/>
      <c r="DSL216"/>
      <c r="DSM216"/>
      <c r="DSN216"/>
      <c r="DSO216"/>
      <c r="DSP216"/>
      <c r="DSQ216"/>
      <c r="DSR216"/>
      <c r="DSS216"/>
      <c r="DST216"/>
      <c r="DSU216"/>
      <c r="DSV216"/>
      <c r="DSW216"/>
      <c r="DSX216"/>
      <c r="DSY216"/>
      <c r="DSZ216"/>
      <c r="DTA216"/>
      <c r="DTB216"/>
      <c r="DTC216"/>
      <c r="DTD216"/>
      <c r="DTE216"/>
      <c r="DTF216"/>
      <c r="DTG216"/>
      <c r="DTH216"/>
      <c r="DTI216"/>
      <c r="DTJ216"/>
      <c r="DTK216"/>
      <c r="DTL216"/>
      <c r="DTM216"/>
      <c r="DTN216"/>
      <c r="DTO216"/>
      <c r="DTP216"/>
      <c r="DTQ216"/>
      <c r="DTR216"/>
      <c r="DTS216"/>
      <c r="DTT216"/>
      <c r="DTU216"/>
      <c r="DTV216"/>
      <c r="DTW216"/>
      <c r="DTX216"/>
      <c r="DTY216"/>
      <c r="DTZ216"/>
      <c r="DUA216"/>
      <c r="DUB216"/>
      <c r="DUC216"/>
      <c r="DUD216"/>
      <c r="DUE216"/>
      <c r="DUF216"/>
      <c r="DUG216"/>
      <c r="DUH216"/>
      <c r="DUI216"/>
      <c r="DUJ216"/>
      <c r="DUK216"/>
      <c r="DUL216"/>
      <c r="DUM216"/>
      <c r="DUN216"/>
      <c r="DUO216"/>
      <c r="DUP216"/>
      <c r="DUQ216"/>
      <c r="DUR216"/>
      <c r="DUS216"/>
      <c r="DUT216"/>
      <c r="DUU216"/>
      <c r="DUV216"/>
      <c r="DUW216"/>
      <c r="DUX216"/>
      <c r="DUY216"/>
      <c r="DUZ216"/>
      <c r="DVA216"/>
      <c r="DVB216"/>
      <c r="DVC216"/>
      <c r="DVD216"/>
      <c r="DVE216"/>
      <c r="DVF216"/>
      <c r="DVG216"/>
      <c r="DVH216"/>
      <c r="DVI216"/>
      <c r="DVJ216"/>
      <c r="DVK216"/>
      <c r="DVL216"/>
      <c r="DVM216"/>
      <c r="DVN216"/>
      <c r="DVO216"/>
      <c r="DVP216"/>
      <c r="DVQ216"/>
      <c r="DVR216"/>
      <c r="DVS216"/>
      <c r="DVT216"/>
      <c r="DVU216"/>
      <c r="DVV216"/>
      <c r="DVW216"/>
      <c r="DVX216"/>
      <c r="DVY216"/>
      <c r="DVZ216"/>
      <c r="DWA216"/>
      <c r="DWB216"/>
      <c r="DWC216"/>
      <c r="DWD216"/>
      <c r="DWE216"/>
      <c r="DWF216"/>
      <c r="DWG216"/>
      <c r="DWH216"/>
      <c r="DWI216"/>
      <c r="DWJ216"/>
      <c r="DWK216"/>
      <c r="DWL216"/>
      <c r="DWM216"/>
      <c r="DWN216"/>
      <c r="DWO216"/>
      <c r="DWP216"/>
      <c r="DWQ216"/>
      <c r="DWR216"/>
      <c r="DWS216"/>
      <c r="DWT216"/>
      <c r="DWU216"/>
      <c r="DWV216"/>
      <c r="DWW216"/>
      <c r="DWX216"/>
      <c r="DWY216"/>
      <c r="DWZ216"/>
      <c r="DXA216"/>
      <c r="DXB216"/>
      <c r="DXC216"/>
      <c r="DXD216"/>
      <c r="DXE216"/>
      <c r="DXF216"/>
      <c r="DXG216"/>
      <c r="DXH216"/>
      <c r="DXI216"/>
      <c r="DXJ216"/>
      <c r="DXK216"/>
      <c r="DXL216"/>
      <c r="DXM216"/>
      <c r="DXN216"/>
      <c r="DXO216"/>
      <c r="DXP216"/>
      <c r="DXQ216"/>
      <c r="DXR216"/>
      <c r="DXS216"/>
      <c r="DXT216"/>
      <c r="DXU216"/>
      <c r="DXV216"/>
      <c r="DXW216"/>
      <c r="DXX216"/>
      <c r="DXY216"/>
      <c r="DXZ216"/>
      <c r="DYA216"/>
      <c r="DYB216"/>
      <c r="DYC216"/>
      <c r="DYD216"/>
      <c r="DYE216"/>
      <c r="DYF216"/>
      <c r="DYG216"/>
      <c r="DYH216"/>
      <c r="DYI216"/>
      <c r="DYJ216"/>
      <c r="DYK216"/>
      <c r="DYL216"/>
      <c r="DYM216"/>
      <c r="DYN216"/>
      <c r="DYO216"/>
      <c r="DYP216"/>
      <c r="DYQ216"/>
      <c r="DYR216"/>
      <c r="DYS216"/>
      <c r="DYT216"/>
      <c r="DYU216"/>
      <c r="DYV216"/>
      <c r="DYW216"/>
      <c r="DYX216"/>
      <c r="DYY216"/>
      <c r="DYZ216"/>
      <c r="DZA216"/>
      <c r="DZB216"/>
      <c r="DZC216"/>
      <c r="DZD216"/>
      <c r="DZE216"/>
      <c r="DZF216"/>
      <c r="DZG216"/>
      <c r="DZH216"/>
      <c r="DZI216"/>
      <c r="DZJ216"/>
      <c r="DZK216"/>
      <c r="DZL216"/>
      <c r="DZM216"/>
      <c r="DZN216"/>
      <c r="DZO216"/>
      <c r="DZP216"/>
      <c r="DZQ216"/>
      <c r="DZR216"/>
      <c r="DZS216"/>
      <c r="DZT216"/>
      <c r="DZU216"/>
      <c r="DZV216"/>
      <c r="DZW216"/>
      <c r="DZX216"/>
      <c r="DZY216"/>
      <c r="DZZ216"/>
      <c r="EAA216"/>
      <c r="EAB216"/>
      <c r="EAC216"/>
      <c r="EAD216"/>
      <c r="EAE216"/>
      <c r="EAF216"/>
      <c r="EAG216"/>
      <c r="EAH216"/>
      <c r="EAI216"/>
      <c r="EAJ216"/>
      <c r="EAK216"/>
      <c r="EAL216"/>
      <c r="EAM216"/>
      <c r="EAN216"/>
      <c r="EAO216"/>
      <c r="EAP216"/>
      <c r="EAQ216"/>
      <c r="EAR216"/>
      <c r="EAS216"/>
      <c r="EAT216"/>
      <c r="EAU216"/>
      <c r="EAV216"/>
      <c r="EAW216"/>
      <c r="EAX216"/>
      <c r="EAY216"/>
      <c r="EAZ216"/>
      <c r="EBA216"/>
      <c r="EBB216"/>
      <c r="EBC216"/>
      <c r="EBD216"/>
      <c r="EBE216"/>
      <c r="EBF216"/>
      <c r="EBG216"/>
      <c r="EBH216"/>
      <c r="EBI216"/>
      <c r="EBJ216"/>
      <c r="EBK216"/>
      <c r="EBL216"/>
      <c r="EBM216"/>
      <c r="EBN216"/>
      <c r="EBO216"/>
      <c r="EBP216"/>
      <c r="EBQ216"/>
      <c r="EBR216"/>
      <c r="EBS216"/>
      <c r="EBT216"/>
      <c r="EBU216"/>
      <c r="EBV216"/>
      <c r="EBW216"/>
      <c r="EBX216"/>
      <c r="EBY216"/>
      <c r="EBZ216"/>
      <c r="ECA216"/>
      <c r="ECB216"/>
      <c r="ECC216"/>
      <c r="ECD216"/>
      <c r="ECE216"/>
      <c r="ECF216"/>
      <c r="ECG216"/>
      <c r="ECH216"/>
      <c r="ECI216"/>
      <c r="ECJ216"/>
      <c r="ECK216"/>
      <c r="ECL216"/>
      <c r="ECM216"/>
      <c r="ECN216"/>
      <c r="ECO216"/>
      <c r="ECP216"/>
      <c r="ECQ216"/>
      <c r="ECR216"/>
      <c r="ECS216"/>
      <c r="ECT216"/>
      <c r="ECU216"/>
      <c r="ECV216"/>
      <c r="ECW216"/>
      <c r="ECX216"/>
      <c r="ECY216"/>
      <c r="ECZ216"/>
      <c r="EDA216"/>
      <c r="EDB216"/>
      <c r="EDC216"/>
      <c r="EDD216"/>
      <c r="EDE216"/>
      <c r="EDF216"/>
      <c r="EDG216"/>
      <c r="EDH216"/>
      <c r="EDI216"/>
      <c r="EDJ216"/>
      <c r="EDK216"/>
      <c r="EDL216"/>
      <c r="EDM216"/>
      <c r="EDN216"/>
      <c r="EDO216"/>
      <c r="EDP216"/>
      <c r="EDQ216"/>
      <c r="EDR216"/>
      <c r="EDS216"/>
      <c r="EDT216"/>
      <c r="EDU216"/>
      <c r="EDV216"/>
      <c r="EDW216"/>
      <c r="EDX216"/>
      <c r="EDY216"/>
      <c r="EDZ216"/>
      <c r="EEA216"/>
      <c r="EEB216"/>
      <c r="EEC216"/>
      <c r="EED216"/>
      <c r="EEE216"/>
      <c r="EEF216"/>
      <c r="EEG216"/>
      <c r="EEH216"/>
      <c r="EEI216"/>
      <c r="EEJ216"/>
      <c r="EEK216"/>
      <c r="EEL216"/>
      <c r="EEM216"/>
      <c r="EEN216"/>
      <c r="EEO216"/>
      <c r="EEP216"/>
      <c r="EEQ216"/>
      <c r="EER216"/>
      <c r="EES216"/>
      <c r="EET216"/>
      <c r="EEU216"/>
      <c r="EEV216"/>
      <c r="EEW216"/>
      <c r="EEX216"/>
      <c r="EEY216"/>
      <c r="EEZ216"/>
      <c r="EFA216"/>
      <c r="EFB216"/>
      <c r="EFC216"/>
      <c r="EFD216"/>
      <c r="EFE216"/>
      <c r="EFF216"/>
      <c r="EFG216"/>
      <c r="EFH216"/>
      <c r="EFI216"/>
      <c r="EFJ216"/>
      <c r="EFK216"/>
      <c r="EFL216"/>
      <c r="EFM216"/>
      <c r="EFN216"/>
      <c r="EFO216"/>
      <c r="EFP216"/>
      <c r="EFQ216"/>
      <c r="EFR216"/>
      <c r="EFS216"/>
      <c r="EFT216"/>
      <c r="EFU216"/>
      <c r="EFV216"/>
      <c r="EFW216"/>
      <c r="EFX216"/>
      <c r="EFY216"/>
      <c r="EFZ216"/>
      <c r="EGA216"/>
      <c r="EGB216"/>
      <c r="EGC216"/>
      <c r="EGD216"/>
      <c r="EGE216"/>
      <c r="EGF216"/>
      <c r="EGG216"/>
      <c r="EGH216"/>
      <c r="EGI216"/>
      <c r="EGJ216"/>
      <c r="EGK216"/>
      <c r="EGL216"/>
      <c r="EGM216"/>
      <c r="EGN216"/>
      <c r="EGO216"/>
      <c r="EGP216"/>
      <c r="EGQ216"/>
      <c r="EGR216"/>
      <c r="EGS216"/>
      <c r="EGT216"/>
      <c r="EGU216"/>
      <c r="EGV216"/>
      <c r="EGW216"/>
      <c r="EGX216"/>
      <c r="EGY216"/>
      <c r="EGZ216"/>
      <c r="EHA216"/>
      <c r="EHB216"/>
      <c r="EHC216"/>
      <c r="EHD216"/>
      <c r="EHE216"/>
      <c r="EHF216"/>
      <c r="EHG216"/>
      <c r="EHH216"/>
      <c r="EHI216"/>
      <c r="EHJ216"/>
      <c r="EHK216"/>
      <c r="EHL216"/>
      <c r="EHM216"/>
      <c r="EHN216"/>
      <c r="EHO216"/>
      <c r="EHP216"/>
      <c r="EHQ216"/>
      <c r="EHR216"/>
      <c r="EHS216"/>
      <c r="EHT216"/>
      <c r="EHU216"/>
      <c r="EHV216"/>
      <c r="EHW216"/>
      <c r="EHX216"/>
      <c r="EHY216"/>
      <c r="EHZ216"/>
      <c r="EIA216"/>
      <c r="EIB216"/>
      <c r="EIC216"/>
      <c r="EID216"/>
      <c r="EIE216"/>
      <c r="EIF216"/>
      <c r="EIG216"/>
      <c r="EIH216"/>
      <c r="EII216"/>
      <c r="EIJ216"/>
      <c r="EIK216"/>
      <c r="EIL216"/>
      <c r="EIM216"/>
      <c r="EIN216"/>
      <c r="EIO216"/>
      <c r="EIP216"/>
      <c r="EIQ216"/>
      <c r="EIR216"/>
      <c r="EIS216"/>
      <c r="EIT216"/>
      <c r="EIU216"/>
      <c r="EIV216"/>
      <c r="EIW216"/>
      <c r="EIX216"/>
      <c r="EIY216"/>
      <c r="EIZ216"/>
      <c r="EJA216"/>
      <c r="EJB216"/>
      <c r="EJC216"/>
      <c r="EJD216"/>
      <c r="EJE216"/>
      <c r="EJF216"/>
      <c r="EJG216"/>
      <c r="EJH216"/>
      <c r="EJI216"/>
      <c r="EJJ216"/>
      <c r="EJK216"/>
      <c r="EJL216"/>
      <c r="EJM216"/>
      <c r="EJN216"/>
      <c r="EJO216"/>
      <c r="EJP216"/>
      <c r="EJQ216"/>
      <c r="EJR216"/>
      <c r="EJS216"/>
      <c r="EJT216"/>
      <c r="EJU216"/>
      <c r="EJV216"/>
      <c r="EJW216"/>
      <c r="EJX216"/>
      <c r="EJY216"/>
      <c r="EJZ216"/>
      <c r="EKA216"/>
      <c r="EKB216"/>
      <c r="EKC216"/>
      <c r="EKD216"/>
      <c r="EKE216"/>
      <c r="EKF216"/>
      <c r="EKG216"/>
      <c r="EKH216"/>
      <c r="EKI216"/>
      <c r="EKJ216"/>
      <c r="EKK216"/>
      <c r="EKL216"/>
      <c r="EKM216"/>
      <c r="EKN216"/>
      <c r="EKO216"/>
      <c r="EKP216"/>
      <c r="EKQ216"/>
      <c r="EKR216"/>
      <c r="EKS216"/>
      <c r="EKT216"/>
      <c r="EKU216"/>
      <c r="EKV216"/>
      <c r="EKW216"/>
      <c r="EKX216"/>
      <c r="EKY216"/>
      <c r="EKZ216"/>
      <c r="ELA216"/>
      <c r="ELB216"/>
      <c r="ELC216"/>
      <c r="ELD216"/>
      <c r="ELE216"/>
      <c r="ELF216"/>
      <c r="ELG216"/>
      <c r="ELH216"/>
      <c r="ELI216"/>
      <c r="ELJ216"/>
      <c r="ELK216"/>
      <c r="ELL216"/>
      <c r="ELM216"/>
      <c r="ELN216"/>
      <c r="ELO216"/>
      <c r="ELP216"/>
      <c r="ELQ216"/>
      <c r="ELR216"/>
      <c r="ELS216"/>
      <c r="ELT216"/>
      <c r="ELU216"/>
      <c r="ELV216"/>
      <c r="ELW216"/>
      <c r="ELX216"/>
      <c r="ELY216"/>
      <c r="ELZ216"/>
      <c r="EMA216"/>
      <c r="EMB216"/>
      <c r="EMC216"/>
      <c r="EMD216"/>
      <c r="EME216"/>
      <c r="EMF216"/>
      <c r="EMG216"/>
      <c r="EMH216"/>
      <c r="EMI216"/>
      <c r="EMJ216"/>
      <c r="EMK216"/>
      <c r="EML216"/>
      <c r="EMM216"/>
      <c r="EMN216"/>
      <c r="EMO216"/>
      <c r="EMP216"/>
      <c r="EMQ216"/>
      <c r="EMR216"/>
      <c r="EMS216"/>
      <c r="EMT216"/>
      <c r="EMU216"/>
      <c r="EMV216"/>
      <c r="EMW216"/>
      <c r="EMX216"/>
      <c r="EMY216"/>
      <c r="EMZ216"/>
      <c r="ENA216"/>
      <c r="ENB216"/>
      <c r="ENC216"/>
      <c r="END216"/>
      <c r="ENE216"/>
      <c r="ENF216"/>
      <c r="ENG216"/>
      <c r="ENH216"/>
      <c r="ENI216"/>
      <c r="ENJ216"/>
      <c r="ENK216"/>
      <c r="ENL216"/>
      <c r="ENM216"/>
      <c r="ENN216"/>
      <c r="ENO216"/>
      <c r="ENP216"/>
      <c r="ENQ216"/>
      <c r="ENR216"/>
      <c r="ENS216"/>
      <c r="ENT216"/>
      <c r="ENU216"/>
      <c r="ENV216"/>
      <c r="ENW216"/>
      <c r="ENX216"/>
      <c r="ENY216"/>
      <c r="ENZ216"/>
      <c r="EOA216"/>
      <c r="EOB216"/>
      <c r="EOC216"/>
      <c r="EOD216"/>
      <c r="EOE216"/>
      <c r="EOF216"/>
      <c r="EOG216"/>
      <c r="EOH216"/>
      <c r="EOI216"/>
      <c r="EOJ216"/>
      <c r="EOK216"/>
      <c r="EOL216"/>
      <c r="EOM216"/>
      <c r="EON216"/>
      <c r="EOO216"/>
      <c r="EOP216"/>
      <c r="EOQ216"/>
      <c r="EOR216"/>
      <c r="EOS216"/>
      <c r="EOT216"/>
      <c r="EOU216"/>
      <c r="EOV216"/>
      <c r="EOW216"/>
      <c r="EOX216"/>
      <c r="EOY216"/>
      <c r="EOZ216"/>
      <c r="EPA216"/>
      <c r="EPB216"/>
      <c r="EPC216"/>
      <c r="EPD216"/>
      <c r="EPE216"/>
      <c r="EPF216"/>
      <c r="EPG216"/>
      <c r="EPH216"/>
      <c r="EPI216"/>
      <c r="EPJ216"/>
      <c r="EPK216"/>
      <c r="EPL216"/>
      <c r="EPM216"/>
      <c r="EPN216"/>
      <c r="EPO216"/>
      <c r="EPP216"/>
      <c r="EPQ216"/>
      <c r="EPR216"/>
      <c r="EPS216"/>
      <c r="EPT216"/>
      <c r="EPU216"/>
      <c r="EPV216"/>
      <c r="EPW216"/>
      <c r="EPX216"/>
      <c r="EPY216"/>
      <c r="EPZ216"/>
      <c r="EQA216"/>
      <c r="EQB216"/>
      <c r="EQC216"/>
      <c r="EQD216"/>
      <c r="EQE216"/>
      <c r="EQF216"/>
      <c r="EQG216"/>
      <c r="EQH216"/>
      <c r="EQI216"/>
      <c r="EQJ216"/>
      <c r="EQK216"/>
      <c r="EQL216"/>
      <c r="EQM216"/>
      <c r="EQN216"/>
      <c r="EQO216"/>
      <c r="EQP216"/>
      <c r="EQQ216"/>
      <c r="EQR216"/>
      <c r="EQS216"/>
      <c r="EQT216"/>
      <c r="EQU216"/>
      <c r="EQV216"/>
      <c r="EQW216"/>
      <c r="EQX216"/>
      <c r="EQY216"/>
      <c r="EQZ216"/>
      <c r="ERA216"/>
      <c r="ERB216"/>
      <c r="ERC216"/>
      <c r="ERD216"/>
      <c r="ERE216"/>
      <c r="ERF216"/>
      <c r="ERG216"/>
      <c r="ERH216"/>
      <c r="ERI216"/>
      <c r="ERJ216"/>
      <c r="ERK216"/>
      <c r="ERL216"/>
      <c r="ERM216"/>
      <c r="ERN216"/>
      <c r="ERO216"/>
      <c r="ERP216"/>
      <c r="ERQ216"/>
      <c r="ERR216"/>
      <c r="ERS216"/>
      <c r="ERT216"/>
      <c r="ERU216"/>
      <c r="ERV216"/>
      <c r="ERW216"/>
      <c r="ERX216"/>
      <c r="ERY216"/>
      <c r="ERZ216"/>
      <c r="ESA216"/>
      <c r="ESB216"/>
      <c r="ESC216"/>
      <c r="ESD216"/>
      <c r="ESE216"/>
      <c r="ESF216"/>
      <c r="ESG216"/>
      <c r="ESH216"/>
      <c r="ESI216"/>
      <c r="ESJ216"/>
      <c r="ESK216"/>
      <c r="ESL216"/>
      <c r="ESM216"/>
      <c r="ESN216"/>
      <c r="ESO216"/>
      <c r="ESP216"/>
      <c r="ESQ216"/>
      <c r="ESR216"/>
      <c r="ESS216"/>
      <c r="EST216"/>
      <c r="ESU216"/>
      <c r="ESV216"/>
      <c r="ESW216"/>
      <c r="ESX216"/>
      <c r="ESY216"/>
      <c r="ESZ216"/>
      <c r="ETA216"/>
      <c r="ETB216"/>
      <c r="ETC216"/>
      <c r="ETD216"/>
      <c r="ETE216"/>
      <c r="ETF216"/>
      <c r="ETG216"/>
      <c r="ETH216"/>
      <c r="ETI216"/>
      <c r="ETJ216"/>
      <c r="ETK216"/>
      <c r="ETL216"/>
      <c r="ETM216"/>
      <c r="ETN216"/>
      <c r="ETO216"/>
      <c r="ETP216"/>
      <c r="ETQ216"/>
      <c r="ETR216"/>
      <c r="ETS216"/>
      <c r="ETT216"/>
      <c r="ETU216"/>
      <c r="ETV216"/>
      <c r="ETW216"/>
      <c r="ETX216"/>
      <c r="ETY216"/>
      <c r="ETZ216"/>
      <c r="EUA216"/>
      <c r="EUB216"/>
      <c r="EUC216"/>
      <c r="EUD216"/>
      <c r="EUE216"/>
      <c r="EUF216"/>
      <c r="EUG216"/>
      <c r="EUH216"/>
      <c r="EUI216"/>
      <c r="EUJ216"/>
      <c r="EUK216"/>
      <c r="EUL216"/>
      <c r="EUM216"/>
      <c r="EUN216"/>
      <c r="EUO216"/>
      <c r="EUP216"/>
      <c r="EUQ216"/>
      <c r="EUR216"/>
      <c r="EUS216"/>
      <c r="EUT216"/>
      <c r="EUU216"/>
      <c r="EUV216"/>
      <c r="EUW216"/>
      <c r="EUX216"/>
      <c r="EUY216"/>
      <c r="EUZ216"/>
      <c r="EVA216"/>
      <c r="EVB216"/>
      <c r="EVC216"/>
      <c r="EVD216"/>
      <c r="EVE216"/>
      <c r="EVF216"/>
      <c r="EVG216"/>
      <c r="EVH216"/>
      <c r="EVI216"/>
      <c r="EVJ216"/>
      <c r="EVK216"/>
      <c r="EVL216"/>
      <c r="EVM216"/>
      <c r="EVN216"/>
      <c r="EVO216"/>
      <c r="EVP216"/>
      <c r="EVQ216"/>
      <c r="EVR216"/>
      <c r="EVS216"/>
      <c r="EVT216"/>
      <c r="EVU216"/>
      <c r="EVV216"/>
      <c r="EVW216"/>
      <c r="EVX216"/>
      <c r="EVY216"/>
      <c r="EVZ216"/>
      <c r="EWA216"/>
      <c r="EWB216"/>
      <c r="EWC216"/>
      <c r="EWD216"/>
      <c r="EWE216"/>
      <c r="EWF216"/>
      <c r="EWG216"/>
      <c r="EWH216"/>
      <c r="EWI216"/>
      <c r="EWJ216"/>
      <c r="EWK216"/>
      <c r="EWL216"/>
      <c r="EWM216"/>
      <c r="EWN216"/>
      <c r="EWO216"/>
      <c r="EWP216"/>
      <c r="EWQ216"/>
      <c r="EWR216"/>
      <c r="EWS216"/>
      <c r="EWT216"/>
      <c r="EWU216"/>
      <c r="EWV216"/>
      <c r="EWW216"/>
      <c r="EWX216"/>
      <c r="EWY216"/>
      <c r="EWZ216"/>
      <c r="EXA216"/>
      <c r="EXB216"/>
      <c r="EXC216"/>
      <c r="EXD216"/>
      <c r="EXE216"/>
      <c r="EXF216"/>
      <c r="EXG216"/>
      <c r="EXH216"/>
      <c r="EXI216"/>
      <c r="EXJ216"/>
      <c r="EXK216"/>
      <c r="EXL216"/>
      <c r="EXM216"/>
      <c r="EXN216"/>
      <c r="EXO216"/>
      <c r="EXP216"/>
      <c r="EXQ216"/>
      <c r="EXR216"/>
      <c r="EXS216"/>
      <c r="EXT216"/>
      <c r="EXU216"/>
      <c r="EXV216"/>
      <c r="EXW216"/>
      <c r="EXX216"/>
      <c r="EXY216"/>
      <c r="EXZ216"/>
      <c r="EYA216"/>
      <c r="EYB216"/>
      <c r="EYC216"/>
      <c r="EYD216"/>
      <c r="EYE216"/>
      <c r="EYF216"/>
      <c r="EYG216"/>
      <c r="EYH216"/>
      <c r="EYI216"/>
      <c r="EYJ216"/>
      <c r="EYK216"/>
      <c r="EYL216"/>
      <c r="EYM216"/>
      <c r="EYN216"/>
      <c r="EYO216"/>
      <c r="EYP216"/>
      <c r="EYQ216"/>
      <c r="EYR216"/>
      <c r="EYS216"/>
      <c r="EYT216"/>
      <c r="EYU216"/>
      <c r="EYV216"/>
      <c r="EYW216"/>
      <c r="EYX216"/>
      <c r="EYY216"/>
      <c r="EYZ216"/>
      <c r="EZA216"/>
      <c r="EZB216"/>
      <c r="EZC216"/>
      <c r="EZD216"/>
      <c r="EZE216"/>
      <c r="EZF216"/>
      <c r="EZG216"/>
      <c r="EZH216"/>
      <c r="EZI216"/>
      <c r="EZJ216"/>
      <c r="EZK216"/>
      <c r="EZL216"/>
      <c r="EZM216"/>
      <c r="EZN216"/>
      <c r="EZO216"/>
      <c r="EZP216"/>
      <c r="EZQ216"/>
      <c r="EZR216"/>
      <c r="EZS216"/>
      <c r="EZT216"/>
      <c r="EZU216"/>
      <c r="EZV216"/>
      <c r="EZW216"/>
      <c r="EZX216"/>
      <c r="EZY216"/>
      <c r="EZZ216"/>
      <c r="FAA216"/>
      <c r="FAB216"/>
      <c r="FAC216"/>
      <c r="FAD216"/>
      <c r="FAE216"/>
      <c r="FAF216"/>
      <c r="FAG216"/>
      <c r="FAH216"/>
      <c r="FAI216"/>
      <c r="FAJ216"/>
      <c r="FAK216"/>
      <c r="FAL216"/>
      <c r="FAM216"/>
      <c r="FAN216"/>
      <c r="FAO216"/>
      <c r="FAP216"/>
      <c r="FAQ216"/>
      <c r="FAR216"/>
      <c r="FAS216"/>
      <c r="FAT216"/>
      <c r="FAU216"/>
      <c r="FAV216"/>
      <c r="FAW216"/>
      <c r="FAX216"/>
      <c r="FAY216"/>
      <c r="FAZ216"/>
      <c r="FBA216"/>
      <c r="FBB216"/>
      <c r="FBC216"/>
      <c r="FBD216"/>
      <c r="FBE216"/>
      <c r="FBF216"/>
      <c r="FBG216"/>
      <c r="FBH216"/>
      <c r="FBI216"/>
      <c r="FBJ216"/>
      <c r="FBK216"/>
      <c r="FBL216"/>
      <c r="FBM216"/>
      <c r="FBN216"/>
      <c r="FBO216"/>
      <c r="FBP216"/>
      <c r="FBQ216"/>
      <c r="FBR216"/>
      <c r="FBS216"/>
      <c r="FBT216"/>
      <c r="FBU216"/>
      <c r="FBV216"/>
      <c r="FBW216"/>
      <c r="FBX216"/>
      <c r="FBY216"/>
      <c r="FBZ216"/>
      <c r="FCA216"/>
      <c r="FCB216"/>
      <c r="FCC216"/>
      <c r="FCD216"/>
      <c r="FCE216"/>
      <c r="FCF216"/>
      <c r="FCG216"/>
      <c r="FCH216"/>
      <c r="FCI216"/>
      <c r="FCJ216"/>
      <c r="FCK216"/>
      <c r="FCL216"/>
      <c r="FCM216"/>
      <c r="FCN216"/>
      <c r="FCO216"/>
      <c r="FCP216"/>
      <c r="FCQ216"/>
      <c r="FCR216"/>
      <c r="FCS216"/>
      <c r="FCT216"/>
      <c r="FCU216"/>
      <c r="FCV216"/>
      <c r="FCW216"/>
      <c r="FCX216"/>
      <c r="FCY216"/>
      <c r="FCZ216"/>
      <c r="FDA216"/>
      <c r="FDB216"/>
      <c r="FDC216"/>
      <c r="FDD216"/>
      <c r="FDE216"/>
      <c r="FDF216"/>
      <c r="FDG216"/>
      <c r="FDH216"/>
      <c r="FDI216"/>
      <c r="FDJ216"/>
      <c r="FDK216"/>
      <c r="FDL216"/>
      <c r="FDM216"/>
      <c r="FDN216"/>
      <c r="FDO216"/>
      <c r="FDP216"/>
      <c r="FDQ216"/>
      <c r="FDR216"/>
      <c r="FDS216"/>
      <c r="FDT216"/>
      <c r="FDU216"/>
      <c r="FDV216"/>
      <c r="FDW216"/>
      <c r="FDX216"/>
      <c r="FDY216"/>
      <c r="FDZ216"/>
      <c r="FEA216"/>
      <c r="FEB216"/>
      <c r="FEC216"/>
      <c r="FED216"/>
      <c r="FEE216"/>
      <c r="FEF216"/>
      <c r="FEG216"/>
      <c r="FEH216"/>
      <c r="FEI216"/>
      <c r="FEJ216"/>
      <c r="FEK216"/>
      <c r="FEL216"/>
      <c r="FEM216"/>
      <c r="FEN216"/>
      <c r="FEO216"/>
      <c r="FEP216"/>
      <c r="FEQ216"/>
      <c r="FER216"/>
      <c r="FES216"/>
      <c r="FET216"/>
      <c r="FEU216"/>
      <c r="FEV216"/>
      <c r="FEW216"/>
      <c r="FEX216"/>
      <c r="FEY216"/>
      <c r="FEZ216"/>
      <c r="FFA216"/>
      <c r="FFB216"/>
      <c r="FFC216"/>
      <c r="FFD216"/>
      <c r="FFE216"/>
      <c r="FFF216"/>
      <c r="FFG216"/>
      <c r="FFH216"/>
      <c r="FFI216"/>
      <c r="FFJ216"/>
      <c r="FFK216"/>
      <c r="FFL216"/>
      <c r="FFM216"/>
      <c r="FFN216"/>
      <c r="FFO216"/>
      <c r="FFP216"/>
      <c r="FFQ216"/>
      <c r="FFR216"/>
      <c r="FFS216"/>
      <c r="FFT216"/>
      <c r="FFU216"/>
      <c r="FFV216"/>
      <c r="FFW216"/>
      <c r="FFX216"/>
      <c r="FFY216"/>
      <c r="FFZ216"/>
      <c r="FGA216"/>
      <c r="FGB216"/>
      <c r="FGC216"/>
      <c r="FGD216"/>
      <c r="FGE216"/>
      <c r="FGF216"/>
      <c r="FGG216"/>
      <c r="FGH216"/>
      <c r="FGI216"/>
      <c r="FGJ216"/>
      <c r="FGK216"/>
      <c r="FGL216"/>
      <c r="FGM216"/>
      <c r="FGN216"/>
      <c r="FGO216"/>
      <c r="FGP216"/>
      <c r="FGQ216"/>
      <c r="FGR216"/>
      <c r="FGS216"/>
      <c r="FGT216"/>
      <c r="FGU216"/>
      <c r="FGV216"/>
      <c r="FGW216"/>
      <c r="FGX216"/>
      <c r="FGY216"/>
      <c r="FGZ216"/>
      <c r="FHA216"/>
      <c r="FHB216"/>
      <c r="FHC216"/>
      <c r="FHD216"/>
      <c r="FHE216"/>
      <c r="FHF216"/>
      <c r="FHG216"/>
      <c r="FHH216"/>
      <c r="FHI216"/>
      <c r="FHJ216"/>
      <c r="FHK216"/>
      <c r="FHL216"/>
      <c r="FHM216"/>
      <c r="FHN216"/>
      <c r="FHO216"/>
      <c r="FHP216"/>
      <c r="FHQ216"/>
      <c r="FHR216"/>
      <c r="FHS216"/>
      <c r="FHT216"/>
      <c r="FHU216"/>
      <c r="FHV216"/>
      <c r="FHW216"/>
      <c r="FHX216"/>
      <c r="FHY216"/>
      <c r="FHZ216"/>
      <c r="FIA216"/>
      <c r="FIB216"/>
      <c r="FIC216"/>
      <c r="FID216"/>
      <c r="FIE216"/>
      <c r="FIF216"/>
      <c r="FIG216"/>
      <c r="FIH216"/>
      <c r="FII216"/>
      <c r="FIJ216"/>
      <c r="FIK216"/>
      <c r="FIL216"/>
      <c r="FIM216"/>
      <c r="FIN216"/>
      <c r="FIO216"/>
      <c r="FIP216"/>
      <c r="FIQ216"/>
      <c r="FIR216"/>
      <c r="FIS216"/>
      <c r="FIT216"/>
      <c r="FIU216"/>
      <c r="FIV216"/>
      <c r="FIW216"/>
      <c r="FIX216"/>
      <c r="FIY216"/>
      <c r="FIZ216"/>
      <c r="FJA216"/>
      <c r="FJB216"/>
      <c r="FJC216"/>
      <c r="FJD216"/>
      <c r="FJE216"/>
      <c r="FJF216"/>
      <c r="FJG216"/>
      <c r="FJH216"/>
      <c r="FJI216"/>
      <c r="FJJ216"/>
      <c r="FJK216"/>
      <c r="FJL216"/>
      <c r="FJM216"/>
      <c r="FJN216"/>
      <c r="FJO216"/>
      <c r="FJP216"/>
      <c r="FJQ216"/>
      <c r="FJR216"/>
      <c r="FJS216"/>
      <c r="FJT216"/>
      <c r="FJU216"/>
      <c r="FJV216"/>
      <c r="FJW216"/>
      <c r="FJX216"/>
      <c r="FJY216"/>
      <c r="FJZ216"/>
      <c r="FKA216"/>
      <c r="FKB216"/>
      <c r="FKC216"/>
      <c r="FKD216"/>
      <c r="FKE216"/>
      <c r="FKF216"/>
      <c r="FKG216"/>
      <c r="FKH216"/>
      <c r="FKI216"/>
      <c r="FKJ216"/>
      <c r="FKK216"/>
      <c r="FKL216"/>
      <c r="FKM216"/>
      <c r="FKN216"/>
      <c r="FKO216"/>
      <c r="FKP216"/>
      <c r="FKQ216"/>
      <c r="FKR216"/>
      <c r="FKS216"/>
      <c r="FKT216"/>
      <c r="FKU216"/>
      <c r="FKV216"/>
      <c r="FKW216"/>
      <c r="FKX216"/>
      <c r="FKY216"/>
      <c r="FKZ216"/>
      <c r="FLA216"/>
      <c r="FLB216"/>
      <c r="FLC216"/>
      <c r="FLD216"/>
      <c r="FLE216"/>
      <c r="FLF216"/>
      <c r="FLG216"/>
      <c r="FLH216"/>
      <c r="FLI216"/>
      <c r="FLJ216"/>
      <c r="FLK216"/>
      <c r="FLL216"/>
      <c r="FLM216"/>
      <c r="FLN216"/>
      <c r="FLO216"/>
      <c r="FLP216"/>
      <c r="FLQ216"/>
      <c r="FLR216"/>
      <c r="FLS216"/>
      <c r="FLT216"/>
      <c r="FLU216"/>
      <c r="FLV216"/>
      <c r="FLW216"/>
      <c r="FLX216"/>
      <c r="FLY216"/>
      <c r="FLZ216"/>
      <c r="FMA216"/>
      <c r="FMB216"/>
      <c r="FMC216"/>
      <c r="FMD216"/>
      <c r="FME216"/>
      <c r="FMF216"/>
      <c r="FMG216"/>
      <c r="FMH216"/>
      <c r="FMI216"/>
      <c r="FMJ216"/>
      <c r="FMK216"/>
      <c r="FML216"/>
      <c r="FMM216"/>
      <c r="FMN216"/>
      <c r="FMO216"/>
      <c r="FMP216"/>
      <c r="FMQ216"/>
      <c r="FMR216"/>
      <c r="FMS216"/>
      <c r="FMT216"/>
      <c r="FMU216"/>
      <c r="FMV216"/>
      <c r="FMW216"/>
      <c r="FMX216"/>
      <c r="FMY216"/>
      <c r="FMZ216"/>
      <c r="FNA216"/>
      <c r="FNB216"/>
      <c r="FNC216"/>
      <c r="FND216"/>
      <c r="FNE216"/>
      <c r="FNF216"/>
      <c r="FNG216"/>
      <c r="FNH216"/>
      <c r="FNI216"/>
      <c r="FNJ216"/>
      <c r="FNK216"/>
      <c r="FNL216"/>
      <c r="FNM216"/>
      <c r="FNN216"/>
      <c r="FNO216"/>
      <c r="FNP216"/>
      <c r="FNQ216"/>
      <c r="FNR216"/>
      <c r="FNS216"/>
      <c r="FNT216"/>
      <c r="FNU216"/>
      <c r="FNV216"/>
      <c r="FNW216"/>
      <c r="FNX216"/>
      <c r="FNY216"/>
      <c r="FNZ216"/>
      <c r="FOA216"/>
      <c r="FOB216"/>
      <c r="FOC216"/>
      <c r="FOD216"/>
      <c r="FOE216"/>
      <c r="FOF216"/>
      <c r="FOG216"/>
      <c r="FOH216"/>
      <c r="FOI216"/>
      <c r="FOJ216"/>
      <c r="FOK216"/>
      <c r="FOL216"/>
      <c r="FOM216"/>
      <c r="FON216"/>
      <c r="FOO216"/>
      <c r="FOP216"/>
      <c r="FOQ216"/>
      <c r="FOR216"/>
      <c r="FOS216"/>
      <c r="FOT216"/>
      <c r="FOU216"/>
      <c r="FOV216"/>
      <c r="FOW216"/>
      <c r="FOX216"/>
      <c r="FOY216"/>
      <c r="FOZ216"/>
      <c r="FPA216"/>
      <c r="FPB216"/>
      <c r="FPC216"/>
      <c r="FPD216"/>
      <c r="FPE216"/>
      <c r="FPF216"/>
      <c r="FPG216"/>
      <c r="FPH216"/>
      <c r="FPI216"/>
      <c r="FPJ216"/>
      <c r="FPK216"/>
      <c r="FPL216"/>
      <c r="FPM216"/>
      <c r="FPN216"/>
      <c r="FPO216"/>
      <c r="FPP216"/>
      <c r="FPQ216"/>
      <c r="FPR216"/>
      <c r="FPS216"/>
      <c r="FPT216"/>
      <c r="FPU216"/>
      <c r="FPV216"/>
      <c r="FPW216"/>
      <c r="FPX216"/>
      <c r="FPY216"/>
      <c r="FPZ216"/>
      <c r="FQA216"/>
      <c r="FQB216"/>
      <c r="FQC216"/>
      <c r="FQD216"/>
      <c r="FQE216"/>
      <c r="FQF216"/>
      <c r="FQG216"/>
      <c r="FQH216"/>
      <c r="FQI216"/>
      <c r="FQJ216"/>
      <c r="FQK216"/>
      <c r="FQL216"/>
      <c r="FQM216"/>
      <c r="FQN216"/>
      <c r="FQO216"/>
      <c r="FQP216"/>
      <c r="FQQ216"/>
      <c r="FQR216"/>
      <c r="FQS216"/>
      <c r="FQT216"/>
      <c r="FQU216"/>
      <c r="FQV216"/>
      <c r="FQW216"/>
      <c r="FQX216"/>
      <c r="FQY216"/>
      <c r="FQZ216"/>
      <c r="FRA216"/>
      <c r="FRB216"/>
      <c r="FRC216"/>
      <c r="FRD216"/>
      <c r="FRE216"/>
      <c r="FRF216"/>
      <c r="FRG216"/>
      <c r="FRH216"/>
      <c r="FRI216"/>
      <c r="FRJ216"/>
      <c r="FRK216"/>
      <c r="FRL216"/>
      <c r="FRM216"/>
      <c r="FRN216"/>
      <c r="FRO216"/>
      <c r="FRP216"/>
      <c r="FRQ216"/>
      <c r="FRR216"/>
      <c r="FRS216"/>
      <c r="FRT216"/>
      <c r="FRU216"/>
      <c r="FRV216"/>
      <c r="FRW216"/>
      <c r="FRX216"/>
      <c r="FRY216"/>
      <c r="FRZ216"/>
      <c r="FSA216"/>
      <c r="FSB216"/>
      <c r="FSC216"/>
      <c r="FSD216"/>
      <c r="FSE216"/>
      <c r="FSF216"/>
      <c r="FSG216"/>
      <c r="FSH216"/>
      <c r="FSI216"/>
      <c r="FSJ216"/>
      <c r="FSK216"/>
      <c r="FSL216"/>
      <c r="FSM216"/>
      <c r="FSN216"/>
      <c r="FSO216"/>
      <c r="FSP216"/>
      <c r="FSQ216"/>
      <c r="FSR216"/>
      <c r="FSS216"/>
      <c r="FST216"/>
      <c r="FSU216"/>
      <c r="FSV216"/>
      <c r="FSW216"/>
      <c r="FSX216"/>
      <c r="FSY216"/>
      <c r="FSZ216"/>
      <c r="FTA216"/>
      <c r="FTB216"/>
      <c r="FTC216"/>
      <c r="FTD216"/>
      <c r="FTE216"/>
      <c r="FTF216"/>
      <c r="FTG216"/>
      <c r="FTH216"/>
      <c r="FTI216"/>
      <c r="FTJ216"/>
      <c r="FTK216"/>
      <c r="FTL216"/>
      <c r="FTM216"/>
      <c r="FTN216"/>
      <c r="FTO216"/>
      <c r="FTP216"/>
      <c r="FTQ216"/>
      <c r="FTR216"/>
      <c r="FTS216"/>
      <c r="FTT216"/>
      <c r="FTU216"/>
      <c r="FTV216"/>
      <c r="FTW216"/>
      <c r="FTX216"/>
      <c r="FTY216"/>
      <c r="FTZ216"/>
      <c r="FUA216"/>
      <c r="FUB216"/>
      <c r="FUC216"/>
      <c r="FUD216"/>
      <c r="FUE216"/>
      <c r="FUF216"/>
      <c r="FUG216"/>
      <c r="FUH216"/>
      <c r="FUI216"/>
      <c r="FUJ216"/>
      <c r="FUK216"/>
      <c r="FUL216"/>
      <c r="FUM216"/>
      <c r="FUN216"/>
      <c r="FUO216"/>
      <c r="FUP216"/>
      <c r="FUQ216"/>
      <c r="FUR216"/>
      <c r="FUS216"/>
      <c r="FUT216"/>
      <c r="FUU216"/>
      <c r="FUV216"/>
      <c r="FUW216"/>
      <c r="FUX216"/>
      <c r="FUY216"/>
      <c r="FUZ216"/>
      <c r="FVA216"/>
      <c r="FVB216"/>
      <c r="FVC216"/>
      <c r="FVD216"/>
      <c r="FVE216"/>
      <c r="FVF216"/>
      <c r="FVG216"/>
      <c r="FVH216"/>
      <c r="FVI216"/>
      <c r="FVJ216"/>
      <c r="FVK216"/>
      <c r="FVL216"/>
      <c r="FVM216"/>
      <c r="FVN216"/>
      <c r="FVO216"/>
      <c r="FVP216"/>
      <c r="FVQ216"/>
      <c r="FVR216"/>
      <c r="FVS216"/>
      <c r="FVT216"/>
      <c r="FVU216"/>
      <c r="FVV216"/>
      <c r="FVW216"/>
      <c r="FVX216"/>
      <c r="FVY216"/>
      <c r="FVZ216"/>
      <c r="FWA216"/>
      <c r="FWB216"/>
      <c r="FWC216"/>
      <c r="FWD216"/>
      <c r="FWE216"/>
      <c r="FWF216"/>
      <c r="FWG216"/>
      <c r="FWH216"/>
      <c r="FWI216"/>
      <c r="FWJ216"/>
      <c r="FWK216"/>
      <c r="FWL216"/>
      <c r="FWM216"/>
      <c r="FWN216"/>
      <c r="FWO216"/>
      <c r="FWP216"/>
      <c r="FWQ216"/>
      <c r="FWR216"/>
      <c r="FWS216"/>
      <c r="FWT216"/>
      <c r="FWU216"/>
      <c r="FWV216"/>
      <c r="FWW216"/>
      <c r="FWX216"/>
      <c r="FWY216"/>
      <c r="FWZ216"/>
      <c r="FXA216"/>
      <c r="FXB216"/>
      <c r="FXC216"/>
      <c r="FXD216"/>
      <c r="FXE216"/>
      <c r="FXF216"/>
      <c r="FXG216"/>
      <c r="FXH216"/>
      <c r="FXI216"/>
      <c r="FXJ216"/>
      <c r="FXK216"/>
      <c r="FXL216"/>
      <c r="FXM216"/>
      <c r="FXN216"/>
      <c r="FXO216"/>
      <c r="FXP216"/>
      <c r="FXQ216"/>
      <c r="FXR216"/>
      <c r="FXS216"/>
      <c r="FXT216"/>
      <c r="FXU216"/>
      <c r="FXV216"/>
      <c r="FXW216"/>
      <c r="FXX216"/>
      <c r="FXY216"/>
      <c r="FXZ216"/>
      <c r="FYA216"/>
      <c r="FYB216"/>
      <c r="FYC216"/>
      <c r="FYD216"/>
      <c r="FYE216"/>
      <c r="FYF216"/>
      <c r="FYG216"/>
      <c r="FYH216"/>
      <c r="FYI216"/>
      <c r="FYJ216"/>
      <c r="FYK216"/>
      <c r="FYL216"/>
      <c r="FYM216"/>
      <c r="FYN216"/>
      <c r="FYO216"/>
      <c r="FYP216"/>
      <c r="FYQ216"/>
      <c r="FYR216"/>
      <c r="FYS216"/>
      <c r="FYT216"/>
      <c r="FYU216"/>
      <c r="FYV216"/>
      <c r="FYW216"/>
      <c r="FYX216"/>
      <c r="FYY216"/>
      <c r="FYZ216"/>
      <c r="FZA216"/>
      <c r="FZB216"/>
      <c r="FZC216"/>
      <c r="FZD216"/>
      <c r="FZE216"/>
      <c r="FZF216"/>
      <c r="FZG216"/>
      <c r="FZH216"/>
      <c r="FZI216"/>
      <c r="FZJ216"/>
      <c r="FZK216"/>
      <c r="FZL216"/>
      <c r="FZM216"/>
      <c r="FZN216"/>
      <c r="FZO216"/>
      <c r="FZP216"/>
      <c r="FZQ216"/>
      <c r="FZR216"/>
      <c r="FZS216"/>
      <c r="FZT216"/>
      <c r="FZU216"/>
      <c r="FZV216"/>
      <c r="FZW216"/>
      <c r="FZX216"/>
      <c r="FZY216"/>
      <c r="FZZ216"/>
      <c r="GAA216"/>
      <c r="GAB216"/>
      <c r="GAC216"/>
      <c r="GAD216"/>
      <c r="GAE216"/>
      <c r="GAF216"/>
      <c r="GAG216"/>
      <c r="GAH216"/>
      <c r="GAI216"/>
      <c r="GAJ216"/>
      <c r="GAK216"/>
      <c r="GAL216"/>
      <c r="GAM216"/>
      <c r="GAN216"/>
      <c r="GAO216"/>
      <c r="GAP216"/>
      <c r="GAQ216"/>
      <c r="GAR216"/>
      <c r="GAS216"/>
      <c r="GAT216"/>
      <c r="GAU216"/>
      <c r="GAV216"/>
      <c r="GAW216"/>
      <c r="GAX216"/>
      <c r="GAY216"/>
      <c r="GAZ216"/>
      <c r="GBA216"/>
      <c r="GBB216"/>
      <c r="GBC216"/>
      <c r="GBD216"/>
      <c r="GBE216"/>
      <c r="GBF216"/>
      <c r="GBG216"/>
      <c r="GBH216"/>
      <c r="GBI216"/>
      <c r="GBJ216"/>
      <c r="GBK216"/>
      <c r="GBL216"/>
      <c r="GBM216"/>
      <c r="GBN216"/>
      <c r="GBO216"/>
      <c r="GBP216"/>
      <c r="GBQ216"/>
      <c r="GBR216"/>
      <c r="GBS216"/>
      <c r="GBT216"/>
      <c r="GBU216"/>
      <c r="GBV216"/>
      <c r="GBW216"/>
      <c r="GBX216"/>
      <c r="GBY216"/>
      <c r="GBZ216"/>
      <c r="GCA216"/>
      <c r="GCB216"/>
      <c r="GCC216"/>
      <c r="GCD216"/>
      <c r="GCE216"/>
      <c r="GCF216"/>
      <c r="GCG216"/>
      <c r="GCH216"/>
      <c r="GCI216"/>
      <c r="GCJ216"/>
      <c r="GCK216"/>
      <c r="GCL216"/>
      <c r="GCM216"/>
      <c r="GCN216"/>
      <c r="GCO216"/>
      <c r="GCP216"/>
      <c r="GCQ216"/>
      <c r="GCR216"/>
      <c r="GCS216"/>
      <c r="GCT216"/>
      <c r="GCU216"/>
      <c r="GCV216"/>
      <c r="GCW216"/>
      <c r="GCX216"/>
      <c r="GCY216"/>
      <c r="GCZ216"/>
      <c r="GDA216"/>
      <c r="GDB216"/>
      <c r="GDC216"/>
      <c r="GDD216"/>
      <c r="GDE216"/>
      <c r="GDF216"/>
      <c r="GDG216"/>
      <c r="GDH216"/>
      <c r="GDI216"/>
      <c r="GDJ216"/>
      <c r="GDK216"/>
      <c r="GDL216"/>
      <c r="GDM216"/>
      <c r="GDN216"/>
      <c r="GDO216"/>
      <c r="GDP216"/>
      <c r="GDQ216"/>
      <c r="GDR216"/>
      <c r="GDS216"/>
      <c r="GDT216"/>
      <c r="GDU216"/>
      <c r="GDV216"/>
      <c r="GDW216"/>
      <c r="GDX216"/>
      <c r="GDY216"/>
      <c r="GDZ216"/>
      <c r="GEA216"/>
      <c r="GEB216"/>
      <c r="GEC216"/>
      <c r="GED216"/>
      <c r="GEE216"/>
      <c r="GEF216"/>
      <c r="GEG216"/>
      <c r="GEH216"/>
      <c r="GEI216"/>
      <c r="GEJ216"/>
      <c r="GEK216"/>
      <c r="GEL216"/>
      <c r="GEM216"/>
      <c r="GEN216"/>
      <c r="GEO216"/>
      <c r="GEP216"/>
      <c r="GEQ216"/>
      <c r="GER216"/>
      <c r="GES216"/>
      <c r="GET216"/>
      <c r="GEU216"/>
      <c r="GEV216"/>
      <c r="GEW216"/>
      <c r="GEX216"/>
      <c r="GEY216"/>
      <c r="GEZ216"/>
      <c r="GFA216"/>
      <c r="GFB216"/>
      <c r="GFC216"/>
      <c r="GFD216"/>
      <c r="GFE216"/>
      <c r="GFF216"/>
      <c r="GFG216"/>
      <c r="GFH216"/>
      <c r="GFI216"/>
      <c r="GFJ216"/>
      <c r="GFK216"/>
      <c r="GFL216"/>
      <c r="GFM216"/>
      <c r="GFN216"/>
      <c r="GFO216"/>
      <c r="GFP216"/>
      <c r="GFQ216"/>
      <c r="GFR216"/>
      <c r="GFS216"/>
      <c r="GFT216"/>
      <c r="GFU216"/>
      <c r="GFV216"/>
      <c r="GFW216"/>
      <c r="GFX216"/>
      <c r="GFY216"/>
      <c r="GFZ216"/>
      <c r="GGA216"/>
      <c r="GGB216"/>
      <c r="GGC216"/>
      <c r="GGD216"/>
      <c r="GGE216"/>
      <c r="GGF216"/>
      <c r="GGG216"/>
      <c r="GGH216"/>
      <c r="GGI216"/>
      <c r="GGJ216"/>
      <c r="GGK216"/>
      <c r="GGL216"/>
      <c r="GGM216"/>
      <c r="GGN216"/>
      <c r="GGO216"/>
      <c r="GGP216"/>
      <c r="GGQ216"/>
      <c r="GGR216"/>
      <c r="GGS216"/>
      <c r="GGT216"/>
      <c r="GGU216"/>
      <c r="GGV216"/>
      <c r="GGW216"/>
      <c r="GGX216"/>
      <c r="GGY216"/>
      <c r="GGZ216"/>
      <c r="GHA216"/>
      <c r="GHB216"/>
      <c r="GHC216"/>
      <c r="GHD216"/>
      <c r="GHE216"/>
      <c r="GHF216"/>
      <c r="GHG216"/>
      <c r="GHH216"/>
      <c r="GHI216"/>
      <c r="GHJ216"/>
      <c r="GHK216"/>
      <c r="GHL216"/>
      <c r="GHM216"/>
      <c r="GHN216"/>
      <c r="GHO216"/>
      <c r="GHP216"/>
      <c r="GHQ216"/>
      <c r="GHR216"/>
      <c r="GHS216"/>
      <c r="GHT216"/>
      <c r="GHU216"/>
      <c r="GHV216"/>
      <c r="GHW216"/>
      <c r="GHX216"/>
      <c r="GHY216"/>
      <c r="GHZ216"/>
      <c r="GIA216"/>
      <c r="GIB216"/>
      <c r="GIC216"/>
      <c r="GID216"/>
      <c r="GIE216"/>
      <c r="GIF216"/>
      <c r="GIG216"/>
      <c r="GIH216"/>
      <c r="GII216"/>
      <c r="GIJ216"/>
      <c r="GIK216"/>
      <c r="GIL216"/>
      <c r="GIM216"/>
      <c r="GIN216"/>
      <c r="GIO216"/>
      <c r="GIP216"/>
      <c r="GIQ216"/>
      <c r="GIR216"/>
      <c r="GIS216"/>
      <c r="GIT216"/>
      <c r="GIU216"/>
      <c r="GIV216"/>
      <c r="GIW216"/>
      <c r="GIX216"/>
      <c r="GIY216"/>
      <c r="GIZ216"/>
      <c r="GJA216"/>
      <c r="GJB216"/>
      <c r="GJC216"/>
      <c r="GJD216"/>
      <c r="GJE216"/>
      <c r="GJF216"/>
      <c r="GJG216"/>
      <c r="GJH216"/>
      <c r="GJI216"/>
      <c r="GJJ216"/>
      <c r="GJK216"/>
      <c r="GJL216"/>
      <c r="GJM216"/>
      <c r="GJN216"/>
      <c r="GJO216"/>
      <c r="GJP216"/>
      <c r="GJQ216"/>
      <c r="GJR216"/>
      <c r="GJS216"/>
      <c r="GJT216"/>
      <c r="GJU216"/>
      <c r="GJV216"/>
      <c r="GJW216"/>
      <c r="GJX216"/>
      <c r="GJY216"/>
      <c r="GJZ216"/>
      <c r="GKA216"/>
      <c r="GKB216"/>
      <c r="GKC216"/>
      <c r="GKD216"/>
      <c r="GKE216"/>
      <c r="GKF216"/>
      <c r="GKG216"/>
      <c r="GKH216"/>
      <c r="GKI216"/>
      <c r="GKJ216"/>
      <c r="GKK216"/>
      <c r="GKL216"/>
      <c r="GKM216"/>
      <c r="GKN216"/>
      <c r="GKO216"/>
      <c r="GKP216"/>
      <c r="GKQ216"/>
      <c r="GKR216"/>
      <c r="GKS216"/>
      <c r="GKT216"/>
      <c r="GKU216"/>
      <c r="GKV216"/>
      <c r="GKW216"/>
      <c r="GKX216"/>
      <c r="GKY216"/>
      <c r="GKZ216"/>
      <c r="GLA216"/>
      <c r="GLB216"/>
      <c r="GLC216"/>
      <c r="GLD216"/>
      <c r="GLE216"/>
      <c r="GLF216"/>
      <c r="GLG216"/>
      <c r="GLH216"/>
      <c r="GLI216"/>
      <c r="GLJ216"/>
      <c r="GLK216"/>
      <c r="GLL216"/>
      <c r="GLM216"/>
      <c r="GLN216"/>
      <c r="GLO216"/>
      <c r="GLP216"/>
      <c r="GLQ216"/>
      <c r="GLR216"/>
      <c r="GLS216"/>
      <c r="GLT216"/>
      <c r="GLU216"/>
      <c r="GLV216"/>
      <c r="GLW216"/>
      <c r="GLX216"/>
      <c r="GLY216"/>
      <c r="GLZ216"/>
      <c r="GMA216"/>
      <c r="GMB216"/>
      <c r="GMC216"/>
      <c r="GMD216"/>
      <c r="GME216"/>
      <c r="GMF216"/>
      <c r="GMG216"/>
      <c r="GMH216"/>
      <c r="GMI216"/>
      <c r="GMJ216"/>
      <c r="GMK216"/>
      <c r="GML216"/>
      <c r="GMM216"/>
      <c r="GMN216"/>
      <c r="GMO216"/>
      <c r="GMP216"/>
      <c r="GMQ216"/>
      <c r="GMR216"/>
      <c r="GMS216"/>
      <c r="GMT216"/>
      <c r="GMU216"/>
      <c r="GMV216"/>
      <c r="GMW216"/>
      <c r="GMX216"/>
      <c r="GMY216"/>
      <c r="GMZ216"/>
      <c r="GNA216"/>
      <c r="GNB216"/>
      <c r="GNC216"/>
      <c r="GND216"/>
      <c r="GNE216"/>
      <c r="GNF216"/>
      <c r="GNG216"/>
      <c r="GNH216"/>
      <c r="GNI216"/>
      <c r="GNJ216"/>
      <c r="GNK216"/>
      <c r="GNL216"/>
      <c r="GNM216"/>
      <c r="GNN216"/>
      <c r="GNO216"/>
      <c r="GNP216"/>
      <c r="GNQ216"/>
      <c r="GNR216"/>
      <c r="GNS216"/>
      <c r="GNT216"/>
      <c r="GNU216"/>
      <c r="GNV216"/>
      <c r="GNW216"/>
      <c r="GNX216"/>
      <c r="GNY216"/>
      <c r="GNZ216"/>
      <c r="GOA216"/>
      <c r="GOB216"/>
      <c r="GOC216"/>
      <c r="GOD216"/>
      <c r="GOE216"/>
      <c r="GOF216"/>
      <c r="GOG216"/>
      <c r="GOH216"/>
      <c r="GOI216"/>
      <c r="GOJ216"/>
      <c r="GOK216"/>
      <c r="GOL216"/>
      <c r="GOM216"/>
      <c r="GON216"/>
      <c r="GOO216"/>
      <c r="GOP216"/>
      <c r="GOQ216"/>
      <c r="GOR216"/>
      <c r="GOS216"/>
      <c r="GOT216"/>
      <c r="GOU216"/>
      <c r="GOV216"/>
      <c r="GOW216"/>
      <c r="GOX216"/>
      <c r="GOY216"/>
      <c r="GOZ216"/>
      <c r="GPA216"/>
      <c r="GPB216"/>
      <c r="GPC216"/>
      <c r="GPD216"/>
      <c r="GPE216"/>
      <c r="GPF216"/>
      <c r="GPG216"/>
      <c r="GPH216"/>
      <c r="GPI216"/>
      <c r="GPJ216"/>
      <c r="GPK216"/>
      <c r="GPL216"/>
      <c r="GPM216"/>
      <c r="GPN216"/>
      <c r="GPO216"/>
      <c r="GPP216"/>
      <c r="GPQ216"/>
      <c r="GPR216"/>
      <c r="GPS216"/>
      <c r="GPT216"/>
      <c r="GPU216"/>
      <c r="GPV216"/>
      <c r="GPW216"/>
      <c r="GPX216"/>
      <c r="GPY216"/>
      <c r="GPZ216"/>
      <c r="GQA216"/>
      <c r="GQB216"/>
      <c r="GQC216"/>
      <c r="GQD216"/>
      <c r="GQE216"/>
      <c r="GQF216"/>
      <c r="GQG216"/>
      <c r="GQH216"/>
      <c r="GQI216"/>
      <c r="GQJ216"/>
      <c r="GQK216"/>
      <c r="GQL216"/>
      <c r="GQM216"/>
      <c r="GQN216"/>
      <c r="GQO216"/>
      <c r="GQP216"/>
      <c r="GQQ216"/>
      <c r="GQR216"/>
      <c r="GQS216"/>
      <c r="GQT216"/>
      <c r="GQU216"/>
      <c r="GQV216"/>
      <c r="GQW216"/>
      <c r="GQX216"/>
      <c r="GQY216"/>
      <c r="GQZ216"/>
      <c r="GRA216"/>
      <c r="GRB216"/>
      <c r="GRC216"/>
      <c r="GRD216"/>
      <c r="GRE216"/>
      <c r="GRF216"/>
      <c r="GRG216"/>
      <c r="GRH216"/>
      <c r="GRI216"/>
      <c r="GRJ216"/>
      <c r="GRK216"/>
      <c r="GRL216"/>
      <c r="GRM216"/>
      <c r="GRN216"/>
      <c r="GRO216"/>
      <c r="GRP216"/>
      <c r="GRQ216"/>
      <c r="GRR216"/>
      <c r="GRS216"/>
      <c r="GRT216"/>
      <c r="GRU216"/>
      <c r="GRV216"/>
      <c r="GRW216"/>
      <c r="GRX216"/>
      <c r="GRY216"/>
      <c r="GRZ216"/>
      <c r="GSA216"/>
      <c r="GSB216"/>
      <c r="GSC216"/>
      <c r="GSD216"/>
      <c r="GSE216"/>
      <c r="GSF216"/>
      <c r="GSG216"/>
      <c r="GSH216"/>
      <c r="GSI216"/>
      <c r="GSJ216"/>
      <c r="GSK216"/>
      <c r="GSL216"/>
      <c r="GSM216"/>
      <c r="GSN216"/>
      <c r="GSO216"/>
      <c r="GSP216"/>
      <c r="GSQ216"/>
      <c r="GSR216"/>
      <c r="GSS216"/>
      <c r="GST216"/>
      <c r="GSU216"/>
      <c r="GSV216"/>
      <c r="GSW216"/>
      <c r="GSX216"/>
      <c r="GSY216"/>
      <c r="GSZ216"/>
      <c r="GTA216"/>
      <c r="GTB216"/>
      <c r="GTC216"/>
      <c r="GTD216"/>
      <c r="GTE216"/>
      <c r="GTF216"/>
      <c r="GTG216"/>
      <c r="GTH216"/>
      <c r="GTI216"/>
      <c r="GTJ216"/>
      <c r="GTK216"/>
      <c r="GTL216"/>
      <c r="GTM216"/>
      <c r="GTN216"/>
      <c r="GTO216"/>
      <c r="GTP216"/>
      <c r="GTQ216"/>
      <c r="GTR216"/>
      <c r="GTS216"/>
      <c r="GTT216"/>
      <c r="GTU216"/>
      <c r="GTV216"/>
      <c r="GTW216"/>
      <c r="GTX216"/>
      <c r="GTY216"/>
      <c r="GTZ216"/>
      <c r="GUA216"/>
      <c r="GUB216"/>
      <c r="GUC216"/>
      <c r="GUD216"/>
      <c r="GUE216"/>
      <c r="GUF216"/>
      <c r="GUG216"/>
      <c r="GUH216"/>
      <c r="GUI216"/>
      <c r="GUJ216"/>
      <c r="GUK216"/>
      <c r="GUL216"/>
      <c r="GUM216"/>
      <c r="GUN216"/>
      <c r="GUO216"/>
      <c r="GUP216"/>
      <c r="GUQ216"/>
      <c r="GUR216"/>
      <c r="GUS216"/>
      <c r="GUT216"/>
      <c r="GUU216"/>
      <c r="GUV216"/>
      <c r="GUW216"/>
      <c r="GUX216"/>
      <c r="GUY216"/>
      <c r="GUZ216"/>
      <c r="GVA216"/>
      <c r="GVB216"/>
      <c r="GVC216"/>
      <c r="GVD216"/>
      <c r="GVE216"/>
      <c r="GVF216"/>
      <c r="GVG216"/>
      <c r="GVH216"/>
      <c r="GVI216"/>
      <c r="GVJ216"/>
      <c r="GVK216"/>
      <c r="GVL216"/>
      <c r="GVM216"/>
      <c r="GVN216"/>
      <c r="GVO216"/>
      <c r="GVP216"/>
      <c r="GVQ216"/>
      <c r="GVR216"/>
      <c r="GVS216"/>
      <c r="GVT216"/>
      <c r="GVU216"/>
      <c r="GVV216"/>
      <c r="GVW216"/>
      <c r="GVX216"/>
      <c r="GVY216"/>
      <c r="GVZ216"/>
      <c r="GWA216"/>
      <c r="GWB216"/>
      <c r="GWC216"/>
      <c r="GWD216"/>
      <c r="GWE216"/>
      <c r="GWF216"/>
      <c r="GWG216"/>
      <c r="GWH216"/>
      <c r="GWI216"/>
      <c r="GWJ216"/>
      <c r="GWK216"/>
      <c r="GWL216"/>
      <c r="GWM216"/>
      <c r="GWN216"/>
      <c r="GWO216"/>
      <c r="GWP216"/>
      <c r="GWQ216"/>
      <c r="GWR216"/>
      <c r="GWS216"/>
      <c r="GWT216"/>
      <c r="GWU216"/>
      <c r="GWV216"/>
      <c r="GWW216"/>
      <c r="GWX216"/>
      <c r="GWY216"/>
      <c r="GWZ216"/>
      <c r="GXA216"/>
      <c r="GXB216"/>
      <c r="GXC216"/>
      <c r="GXD216"/>
      <c r="GXE216"/>
      <c r="GXF216"/>
      <c r="GXG216"/>
      <c r="GXH216"/>
      <c r="GXI216"/>
      <c r="GXJ216"/>
      <c r="GXK216"/>
      <c r="GXL216"/>
      <c r="GXM216"/>
      <c r="GXN216"/>
      <c r="GXO216"/>
      <c r="GXP216"/>
      <c r="GXQ216"/>
      <c r="GXR216"/>
      <c r="GXS216"/>
      <c r="GXT216"/>
      <c r="GXU216"/>
      <c r="GXV216"/>
      <c r="GXW216"/>
      <c r="GXX216"/>
      <c r="GXY216"/>
      <c r="GXZ216"/>
      <c r="GYA216"/>
      <c r="GYB216"/>
      <c r="GYC216"/>
      <c r="GYD216"/>
      <c r="GYE216"/>
      <c r="GYF216"/>
      <c r="GYG216"/>
      <c r="GYH216"/>
      <c r="GYI216"/>
      <c r="GYJ216"/>
      <c r="GYK216"/>
      <c r="GYL216"/>
      <c r="GYM216"/>
      <c r="GYN216"/>
      <c r="GYO216"/>
      <c r="GYP216"/>
      <c r="GYQ216"/>
      <c r="GYR216"/>
      <c r="GYS216"/>
      <c r="GYT216"/>
      <c r="GYU216"/>
      <c r="GYV216"/>
      <c r="GYW216"/>
      <c r="GYX216"/>
      <c r="GYY216"/>
      <c r="GYZ216"/>
      <c r="GZA216"/>
      <c r="GZB216"/>
      <c r="GZC216"/>
      <c r="GZD216"/>
      <c r="GZE216"/>
      <c r="GZF216"/>
      <c r="GZG216"/>
      <c r="GZH216"/>
      <c r="GZI216"/>
      <c r="GZJ216"/>
      <c r="GZK216"/>
      <c r="GZL216"/>
      <c r="GZM216"/>
      <c r="GZN216"/>
      <c r="GZO216"/>
      <c r="GZP216"/>
      <c r="GZQ216"/>
      <c r="GZR216"/>
      <c r="GZS216"/>
      <c r="GZT216"/>
      <c r="GZU216"/>
      <c r="GZV216"/>
      <c r="GZW216"/>
      <c r="GZX216"/>
      <c r="GZY216"/>
      <c r="GZZ216"/>
      <c r="HAA216"/>
      <c r="HAB216"/>
      <c r="HAC216"/>
      <c r="HAD216"/>
      <c r="HAE216"/>
      <c r="HAF216"/>
      <c r="HAG216"/>
      <c r="HAH216"/>
      <c r="HAI216"/>
      <c r="HAJ216"/>
      <c r="HAK216"/>
      <c r="HAL216"/>
      <c r="HAM216"/>
      <c r="HAN216"/>
      <c r="HAO216"/>
      <c r="HAP216"/>
      <c r="HAQ216"/>
      <c r="HAR216"/>
      <c r="HAS216"/>
      <c r="HAT216"/>
      <c r="HAU216"/>
      <c r="HAV216"/>
      <c r="HAW216"/>
      <c r="HAX216"/>
      <c r="HAY216"/>
      <c r="HAZ216"/>
      <c r="HBA216"/>
      <c r="HBB216"/>
      <c r="HBC216"/>
      <c r="HBD216"/>
      <c r="HBE216"/>
      <c r="HBF216"/>
      <c r="HBG216"/>
      <c r="HBH216"/>
      <c r="HBI216"/>
      <c r="HBJ216"/>
      <c r="HBK216"/>
      <c r="HBL216"/>
      <c r="HBM216"/>
      <c r="HBN216"/>
      <c r="HBO216"/>
      <c r="HBP216"/>
      <c r="HBQ216"/>
      <c r="HBR216"/>
      <c r="HBS216"/>
      <c r="HBT216"/>
      <c r="HBU216"/>
      <c r="HBV216"/>
      <c r="HBW216"/>
      <c r="HBX216"/>
      <c r="HBY216"/>
      <c r="HBZ216"/>
      <c r="HCA216"/>
      <c r="HCB216"/>
      <c r="HCC216"/>
      <c r="HCD216"/>
      <c r="HCE216"/>
      <c r="HCF216"/>
      <c r="HCG216"/>
      <c r="HCH216"/>
      <c r="HCI216"/>
      <c r="HCJ216"/>
      <c r="HCK216"/>
      <c r="HCL216"/>
      <c r="HCM216"/>
      <c r="HCN216"/>
      <c r="HCO216"/>
      <c r="HCP216"/>
      <c r="HCQ216"/>
      <c r="HCR216"/>
      <c r="HCS216"/>
      <c r="HCT216"/>
      <c r="HCU216"/>
      <c r="HCV216"/>
      <c r="HCW216"/>
      <c r="HCX216"/>
      <c r="HCY216"/>
      <c r="HCZ216"/>
      <c r="HDA216"/>
      <c r="HDB216"/>
      <c r="HDC216"/>
      <c r="HDD216"/>
      <c r="HDE216"/>
      <c r="HDF216"/>
      <c r="HDG216"/>
      <c r="HDH216"/>
      <c r="HDI216"/>
      <c r="HDJ216"/>
      <c r="HDK216"/>
      <c r="HDL216"/>
      <c r="HDM216"/>
      <c r="HDN216"/>
      <c r="HDO216"/>
      <c r="HDP216"/>
      <c r="HDQ216"/>
      <c r="HDR216"/>
      <c r="HDS216"/>
      <c r="HDT216"/>
      <c r="HDU216"/>
      <c r="HDV216"/>
      <c r="HDW216"/>
      <c r="HDX216"/>
      <c r="HDY216"/>
      <c r="HDZ216"/>
      <c r="HEA216"/>
      <c r="HEB216"/>
      <c r="HEC216"/>
      <c r="HED216"/>
      <c r="HEE216"/>
      <c r="HEF216"/>
      <c r="HEG216"/>
      <c r="HEH216"/>
      <c r="HEI216"/>
      <c r="HEJ216"/>
      <c r="HEK216"/>
      <c r="HEL216"/>
      <c r="HEM216"/>
      <c r="HEN216"/>
      <c r="HEO216"/>
      <c r="HEP216"/>
      <c r="HEQ216"/>
      <c r="HER216"/>
      <c r="HES216"/>
      <c r="HET216"/>
      <c r="HEU216"/>
      <c r="HEV216"/>
      <c r="HEW216"/>
      <c r="HEX216"/>
      <c r="HEY216"/>
      <c r="HEZ216"/>
      <c r="HFA216"/>
      <c r="HFB216"/>
      <c r="HFC216"/>
      <c r="HFD216"/>
      <c r="HFE216"/>
      <c r="HFF216"/>
      <c r="HFG216"/>
      <c r="HFH216"/>
      <c r="HFI216"/>
      <c r="HFJ216"/>
      <c r="HFK216"/>
      <c r="HFL216"/>
      <c r="HFM216"/>
      <c r="HFN216"/>
      <c r="HFO216"/>
      <c r="HFP216"/>
      <c r="HFQ216"/>
      <c r="HFR216"/>
      <c r="HFS216"/>
      <c r="HFT216"/>
      <c r="HFU216"/>
      <c r="HFV216"/>
      <c r="HFW216"/>
      <c r="HFX216"/>
      <c r="HFY216"/>
      <c r="HFZ216"/>
      <c r="HGA216"/>
      <c r="HGB216"/>
      <c r="HGC216"/>
      <c r="HGD216"/>
      <c r="HGE216"/>
      <c r="HGF216"/>
      <c r="HGG216"/>
      <c r="HGH216"/>
      <c r="HGI216"/>
      <c r="HGJ216"/>
      <c r="HGK216"/>
      <c r="HGL216"/>
      <c r="HGM216"/>
      <c r="HGN216"/>
      <c r="HGO216"/>
      <c r="HGP216"/>
      <c r="HGQ216"/>
      <c r="HGR216"/>
      <c r="HGS216"/>
      <c r="HGT216"/>
      <c r="HGU216"/>
      <c r="HGV216"/>
      <c r="HGW216"/>
      <c r="HGX216"/>
      <c r="HGY216"/>
      <c r="HGZ216"/>
      <c r="HHA216"/>
      <c r="HHB216"/>
      <c r="HHC216"/>
      <c r="HHD216"/>
      <c r="HHE216"/>
      <c r="HHF216"/>
      <c r="HHG216"/>
      <c r="HHH216"/>
      <c r="HHI216"/>
      <c r="HHJ216"/>
      <c r="HHK216"/>
      <c r="HHL216"/>
      <c r="HHM216"/>
      <c r="HHN216"/>
      <c r="HHO216"/>
      <c r="HHP216"/>
      <c r="HHQ216"/>
      <c r="HHR216"/>
      <c r="HHS216"/>
      <c r="HHT216"/>
      <c r="HHU216"/>
      <c r="HHV216"/>
      <c r="HHW216"/>
      <c r="HHX216"/>
      <c r="HHY216"/>
      <c r="HHZ216"/>
      <c r="HIA216"/>
      <c r="HIB216"/>
      <c r="HIC216"/>
      <c r="HID216"/>
      <c r="HIE216"/>
      <c r="HIF216"/>
      <c r="HIG216"/>
      <c r="HIH216"/>
      <c r="HII216"/>
      <c r="HIJ216"/>
      <c r="HIK216"/>
      <c r="HIL216"/>
      <c r="HIM216"/>
      <c r="HIN216"/>
      <c r="HIO216"/>
      <c r="HIP216"/>
      <c r="HIQ216"/>
      <c r="HIR216"/>
      <c r="HIS216"/>
      <c r="HIT216"/>
      <c r="HIU216"/>
      <c r="HIV216"/>
      <c r="HIW216"/>
      <c r="HIX216"/>
      <c r="HIY216"/>
      <c r="HIZ216"/>
      <c r="HJA216"/>
      <c r="HJB216"/>
      <c r="HJC216"/>
      <c r="HJD216"/>
      <c r="HJE216"/>
      <c r="HJF216"/>
      <c r="HJG216"/>
      <c r="HJH216"/>
      <c r="HJI216"/>
      <c r="HJJ216"/>
      <c r="HJK216"/>
      <c r="HJL216"/>
      <c r="HJM216"/>
      <c r="HJN216"/>
      <c r="HJO216"/>
      <c r="HJP216"/>
      <c r="HJQ216"/>
      <c r="HJR216"/>
      <c r="HJS216"/>
      <c r="HJT216"/>
      <c r="HJU216"/>
      <c r="HJV216"/>
      <c r="HJW216"/>
      <c r="HJX216"/>
      <c r="HJY216"/>
      <c r="HJZ216"/>
      <c r="HKA216"/>
      <c r="HKB216"/>
      <c r="HKC216"/>
      <c r="HKD216"/>
      <c r="HKE216"/>
      <c r="HKF216"/>
      <c r="HKG216"/>
      <c r="HKH216"/>
      <c r="HKI216"/>
      <c r="HKJ216"/>
      <c r="HKK216"/>
      <c r="HKL216"/>
      <c r="HKM216"/>
      <c r="HKN216"/>
      <c r="HKO216"/>
      <c r="HKP216"/>
      <c r="HKQ216"/>
      <c r="HKR216"/>
      <c r="HKS216"/>
      <c r="HKT216"/>
      <c r="HKU216"/>
      <c r="HKV216"/>
      <c r="HKW216"/>
      <c r="HKX216"/>
      <c r="HKY216"/>
      <c r="HKZ216"/>
      <c r="HLA216"/>
      <c r="HLB216"/>
      <c r="HLC216"/>
      <c r="HLD216"/>
      <c r="HLE216"/>
      <c r="HLF216"/>
      <c r="HLG216"/>
      <c r="HLH216"/>
      <c r="HLI216"/>
      <c r="HLJ216"/>
      <c r="HLK216"/>
      <c r="HLL216"/>
      <c r="HLM216"/>
      <c r="HLN216"/>
      <c r="HLO216"/>
      <c r="HLP216"/>
      <c r="HLQ216"/>
      <c r="HLR216"/>
      <c r="HLS216"/>
      <c r="HLT216"/>
      <c r="HLU216"/>
      <c r="HLV216"/>
      <c r="HLW216"/>
      <c r="HLX216"/>
      <c r="HLY216"/>
      <c r="HLZ216"/>
      <c r="HMA216"/>
      <c r="HMB216"/>
      <c r="HMC216"/>
      <c r="HMD216"/>
      <c r="HME216"/>
      <c r="HMF216"/>
      <c r="HMG216"/>
      <c r="HMH216"/>
      <c r="HMI216"/>
      <c r="HMJ216"/>
      <c r="HMK216"/>
      <c r="HML216"/>
      <c r="HMM216"/>
      <c r="HMN216"/>
      <c r="HMO216"/>
      <c r="HMP216"/>
      <c r="HMQ216"/>
      <c r="HMR216"/>
      <c r="HMS216"/>
      <c r="HMT216"/>
      <c r="HMU216"/>
      <c r="HMV216"/>
      <c r="HMW216"/>
      <c r="HMX216"/>
      <c r="HMY216"/>
      <c r="HMZ216"/>
      <c r="HNA216"/>
      <c r="HNB216"/>
      <c r="HNC216"/>
      <c r="HND216"/>
      <c r="HNE216"/>
      <c r="HNF216"/>
      <c r="HNG216"/>
      <c r="HNH216"/>
      <c r="HNI216"/>
      <c r="HNJ216"/>
      <c r="HNK216"/>
      <c r="HNL216"/>
      <c r="HNM216"/>
      <c r="HNN216"/>
      <c r="HNO216"/>
      <c r="HNP216"/>
      <c r="HNQ216"/>
      <c r="HNR216"/>
      <c r="HNS216"/>
      <c r="HNT216"/>
      <c r="HNU216"/>
      <c r="HNV216"/>
      <c r="HNW216"/>
      <c r="HNX216"/>
      <c r="HNY216"/>
      <c r="HNZ216"/>
      <c r="HOA216"/>
      <c r="HOB216"/>
      <c r="HOC216"/>
      <c r="HOD216"/>
      <c r="HOE216"/>
      <c r="HOF216"/>
      <c r="HOG216"/>
      <c r="HOH216"/>
      <c r="HOI216"/>
      <c r="HOJ216"/>
      <c r="HOK216"/>
      <c r="HOL216"/>
      <c r="HOM216"/>
      <c r="HON216"/>
      <c r="HOO216"/>
      <c r="HOP216"/>
      <c r="HOQ216"/>
      <c r="HOR216"/>
      <c r="HOS216"/>
      <c r="HOT216"/>
      <c r="HOU216"/>
      <c r="HOV216"/>
      <c r="HOW216"/>
      <c r="HOX216"/>
      <c r="HOY216"/>
      <c r="HOZ216"/>
      <c r="HPA216"/>
      <c r="HPB216"/>
      <c r="HPC216"/>
      <c r="HPD216"/>
      <c r="HPE216"/>
      <c r="HPF216"/>
      <c r="HPG216"/>
      <c r="HPH216"/>
      <c r="HPI216"/>
      <c r="HPJ216"/>
      <c r="HPK216"/>
      <c r="HPL216"/>
      <c r="HPM216"/>
      <c r="HPN216"/>
      <c r="HPO216"/>
      <c r="HPP216"/>
      <c r="HPQ216"/>
      <c r="HPR216"/>
      <c r="HPS216"/>
      <c r="HPT216"/>
      <c r="HPU216"/>
      <c r="HPV216"/>
      <c r="HPW216"/>
      <c r="HPX216"/>
      <c r="HPY216"/>
      <c r="HPZ216"/>
      <c r="HQA216"/>
      <c r="HQB216"/>
      <c r="HQC216"/>
      <c r="HQD216"/>
      <c r="HQE216"/>
      <c r="HQF216"/>
      <c r="HQG216"/>
      <c r="HQH216"/>
      <c r="HQI216"/>
      <c r="HQJ216"/>
      <c r="HQK216"/>
      <c r="HQL216"/>
      <c r="HQM216"/>
      <c r="HQN216"/>
      <c r="HQO216"/>
      <c r="HQP216"/>
      <c r="HQQ216"/>
      <c r="HQR216"/>
      <c r="HQS216"/>
      <c r="HQT216"/>
      <c r="HQU216"/>
      <c r="HQV216"/>
      <c r="HQW216"/>
      <c r="HQX216"/>
      <c r="HQY216"/>
      <c r="HQZ216"/>
      <c r="HRA216"/>
      <c r="HRB216"/>
      <c r="HRC216"/>
      <c r="HRD216"/>
      <c r="HRE216"/>
      <c r="HRF216"/>
      <c r="HRG216"/>
      <c r="HRH216"/>
      <c r="HRI216"/>
      <c r="HRJ216"/>
      <c r="HRK216"/>
      <c r="HRL216"/>
      <c r="HRM216"/>
      <c r="HRN216"/>
      <c r="HRO216"/>
      <c r="HRP216"/>
      <c r="HRQ216"/>
      <c r="HRR216"/>
      <c r="HRS216"/>
      <c r="HRT216"/>
      <c r="HRU216"/>
      <c r="HRV216"/>
      <c r="HRW216"/>
      <c r="HRX216"/>
      <c r="HRY216"/>
      <c r="HRZ216"/>
      <c r="HSA216"/>
      <c r="HSB216"/>
      <c r="HSC216"/>
      <c r="HSD216"/>
      <c r="HSE216"/>
      <c r="HSF216"/>
      <c r="HSG216"/>
      <c r="HSH216"/>
      <c r="HSI216"/>
      <c r="HSJ216"/>
      <c r="HSK216"/>
      <c r="HSL216"/>
      <c r="HSM216"/>
      <c r="HSN216"/>
      <c r="HSO216"/>
      <c r="HSP216"/>
      <c r="HSQ216"/>
      <c r="HSR216"/>
      <c r="HSS216"/>
      <c r="HST216"/>
      <c r="HSU216"/>
      <c r="HSV216"/>
      <c r="HSW216"/>
      <c r="HSX216"/>
      <c r="HSY216"/>
      <c r="HSZ216"/>
      <c r="HTA216"/>
      <c r="HTB216"/>
      <c r="HTC216"/>
      <c r="HTD216"/>
      <c r="HTE216"/>
      <c r="HTF216"/>
      <c r="HTG216"/>
      <c r="HTH216"/>
      <c r="HTI216"/>
      <c r="HTJ216"/>
      <c r="HTK216"/>
      <c r="HTL216"/>
      <c r="HTM216"/>
      <c r="HTN216"/>
      <c r="HTO216"/>
      <c r="HTP216"/>
      <c r="HTQ216"/>
      <c r="HTR216"/>
      <c r="HTS216"/>
      <c r="HTT216"/>
      <c r="HTU216"/>
      <c r="HTV216"/>
      <c r="HTW216"/>
      <c r="HTX216"/>
      <c r="HTY216"/>
      <c r="HTZ216"/>
      <c r="HUA216"/>
      <c r="HUB216"/>
      <c r="HUC216"/>
      <c r="HUD216"/>
      <c r="HUE216"/>
      <c r="HUF216"/>
      <c r="HUG216"/>
      <c r="HUH216"/>
      <c r="HUI216"/>
      <c r="HUJ216"/>
      <c r="HUK216"/>
      <c r="HUL216"/>
      <c r="HUM216"/>
      <c r="HUN216"/>
      <c r="HUO216"/>
      <c r="HUP216"/>
      <c r="HUQ216"/>
      <c r="HUR216"/>
      <c r="HUS216"/>
      <c r="HUT216"/>
      <c r="HUU216"/>
      <c r="HUV216"/>
      <c r="HUW216"/>
      <c r="HUX216"/>
      <c r="HUY216"/>
      <c r="HUZ216"/>
      <c r="HVA216"/>
      <c r="HVB216"/>
      <c r="HVC216"/>
      <c r="HVD216"/>
      <c r="HVE216"/>
      <c r="HVF216"/>
      <c r="HVG216"/>
      <c r="HVH216"/>
      <c r="HVI216"/>
      <c r="HVJ216"/>
      <c r="HVK216"/>
      <c r="HVL216"/>
      <c r="HVM216"/>
      <c r="HVN216"/>
      <c r="HVO216"/>
      <c r="HVP216"/>
      <c r="HVQ216"/>
      <c r="HVR216"/>
      <c r="HVS216"/>
      <c r="HVT216"/>
      <c r="HVU216"/>
      <c r="HVV216"/>
      <c r="HVW216"/>
      <c r="HVX216"/>
      <c r="HVY216"/>
      <c r="HVZ216"/>
      <c r="HWA216"/>
      <c r="HWB216"/>
      <c r="HWC216"/>
      <c r="HWD216"/>
      <c r="HWE216"/>
      <c r="HWF216"/>
      <c r="HWG216"/>
      <c r="HWH216"/>
      <c r="HWI216"/>
      <c r="HWJ216"/>
      <c r="HWK216"/>
      <c r="HWL216"/>
      <c r="HWM216"/>
      <c r="HWN216"/>
      <c r="HWO216"/>
      <c r="HWP216"/>
      <c r="HWQ216"/>
      <c r="HWR216"/>
      <c r="HWS216"/>
      <c r="HWT216"/>
      <c r="HWU216"/>
      <c r="HWV216"/>
      <c r="HWW216"/>
      <c r="HWX216"/>
      <c r="HWY216"/>
      <c r="HWZ216"/>
      <c r="HXA216"/>
      <c r="HXB216"/>
      <c r="HXC216"/>
      <c r="HXD216"/>
      <c r="HXE216"/>
      <c r="HXF216"/>
      <c r="HXG216"/>
      <c r="HXH216"/>
      <c r="HXI216"/>
      <c r="HXJ216"/>
      <c r="HXK216"/>
      <c r="HXL216"/>
      <c r="HXM216"/>
      <c r="HXN216"/>
      <c r="HXO216"/>
      <c r="HXP216"/>
      <c r="HXQ216"/>
      <c r="HXR216"/>
      <c r="HXS216"/>
      <c r="HXT216"/>
      <c r="HXU216"/>
      <c r="HXV216"/>
      <c r="HXW216"/>
      <c r="HXX216"/>
      <c r="HXY216"/>
      <c r="HXZ216"/>
      <c r="HYA216"/>
      <c r="HYB216"/>
      <c r="HYC216"/>
      <c r="HYD216"/>
      <c r="HYE216"/>
      <c r="HYF216"/>
      <c r="HYG216"/>
      <c r="HYH216"/>
      <c r="HYI216"/>
      <c r="HYJ216"/>
      <c r="HYK216"/>
      <c r="HYL216"/>
      <c r="HYM216"/>
      <c r="HYN216"/>
      <c r="HYO216"/>
      <c r="HYP216"/>
      <c r="HYQ216"/>
      <c r="HYR216"/>
      <c r="HYS216"/>
      <c r="HYT216"/>
      <c r="HYU216"/>
      <c r="HYV216"/>
      <c r="HYW216"/>
      <c r="HYX216"/>
      <c r="HYY216"/>
      <c r="HYZ216"/>
      <c r="HZA216"/>
      <c r="HZB216"/>
      <c r="HZC216"/>
      <c r="HZD216"/>
      <c r="HZE216"/>
      <c r="HZF216"/>
      <c r="HZG216"/>
      <c r="HZH216"/>
      <c r="HZI216"/>
      <c r="HZJ216"/>
      <c r="HZK216"/>
      <c r="HZL216"/>
      <c r="HZM216"/>
      <c r="HZN216"/>
      <c r="HZO216"/>
      <c r="HZP216"/>
      <c r="HZQ216"/>
      <c r="HZR216"/>
      <c r="HZS216"/>
      <c r="HZT216"/>
      <c r="HZU216"/>
      <c r="HZV216"/>
      <c r="HZW216"/>
      <c r="HZX216"/>
      <c r="HZY216"/>
      <c r="HZZ216"/>
      <c r="IAA216"/>
      <c r="IAB216"/>
      <c r="IAC216"/>
      <c r="IAD216"/>
      <c r="IAE216"/>
      <c r="IAF216"/>
      <c r="IAG216"/>
      <c r="IAH216"/>
      <c r="IAI216"/>
      <c r="IAJ216"/>
      <c r="IAK216"/>
      <c r="IAL216"/>
      <c r="IAM216"/>
      <c r="IAN216"/>
      <c r="IAO216"/>
      <c r="IAP216"/>
      <c r="IAQ216"/>
      <c r="IAR216"/>
      <c r="IAS216"/>
      <c r="IAT216"/>
      <c r="IAU216"/>
      <c r="IAV216"/>
      <c r="IAW216"/>
      <c r="IAX216"/>
      <c r="IAY216"/>
      <c r="IAZ216"/>
      <c r="IBA216"/>
      <c r="IBB216"/>
      <c r="IBC216"/>
      <c r="IBD216"/>
      <c r="IBE216"/>
      <c r="IBF216"/>
      <c r="IBG216"/>
      <c r="IBH216"/>
      <c r="IBI216"/>
      <c r="IBJ216"/>
      <c r="IBK216"/>
      <c r="IBL216"/>
      <c r="IBM216"/>
      <c r="IBN216"/>
      <c r="IBO216"/>
      <c r="IBP216"/>
      <c r="IBQ216"/>
      <c r="IBR216"/>
      <c r="IBS216"/>
      <c r="IBT216"/>
      <c r="IBU216"/>
      <c r="IBV216"/>
      <c r="IBW216"/>
      <c r="IBX216"/>
      <c r="IBY216"/>
      <c r="IBZ216"/>
      <c r="ICA216"/>
      <c r="ICB216"/>
      <c r="ICC216"/>
      <c r="ICD216"/>
      <c r="ICE216"/>
      <c r="ICF216"/>
      <c r="ICG216"/>
      <c r="ICH216"/>
      <c r="ICI216"/>
      <c r="ICJ216"/>
      <c r="ICK216"/>
      <c r="ICL216"/>
      <c r="ICM216"/>
      <c r="ICN216"/>
      <c r="ICO216"/>
      <c r="ICP216"/>
      <c r="ICQ216"/>
      <c r="ICR216"/>
      <c r="ICS216"/>
      <c r="ICT216"/>
      <c r="ICU216"/>
      <c r="ICV216"/>
      <c r="ICW216"/>
      <c r="ICX216"/>
      <c r="ICY216"/>
      <c r="ICZ216"/>
      <c r="IDA216"/>
      <c r="IDB216"/>
      <c r="IDC216"/>
      <c r="IDD216"/>
      <c r="IDE216"/>
      <c r="IDF216"/>
      <c r="IDG216"/>
      <c r="IDH216"/>
      <c r="IDI216"/>
      <c r="IDJ216"/>
      <c r="IDK216"/>
      <c r="IDL216"/>
      <c r="IDM216"/>
      <c r="IDN216"/>
      <c r="IDO216"/>
      <c r="IDP216"/>
      <c r="IDQ216"/>
      <c r="IDR216"/>
      <c r="IDS216"/>
      <c r="IDT216"/>
      <c r="IDU216"/>
      <c r="IDV216"/>
      <c r="IDW216"/>
      <c r="IDX216"/>
      <c r="IDY216"/>
      <c r="IDZ216"/>
      <c r="IEA216"/>
      <c r="IEB216"/>
      <c r="IEC216"/>
      <c r="IED216"/>
      <c r="IEE216"/>
      <c r="IEF216"/>
      <c r="IEG216"/>
      <c r="IEH216"/>
      <c r="IEI216"/>
      <c r="IEJ216"/>
      <c r="IEK216"/>
      <c r="IEL216"/>
      <c r="IEM216"/>
      <c r="IEN216"/>
      <c r="IEO216"/>
      <c r="IEP216"/>
      <c r="IEQ216"/>
      <c r="IER216"/>
      <c r="IES216"/>
      <c r="IET216"/>
      <c r="IEU216"/>
      <c r="IEV216"/>
      <c r="IEW216"/>
      <c r="IEX216"/>
      <c r="IEY216"/>
      <c r="IEZ216"/>
      <c r="IFA216"/>
      <c r="IFB216"/>
      <c r="IFC216"/>
      <c r="IFD216"/>
      <c r="IFE216"/>
      <c r="IFF216"/>
      <c r="IFG216"/>
      <c r="IFH216"/>
      <c r="IFI216"/>
      <c r="IFJ216"/>
      <c r="IFK216"/>
      <c r="IFL216"/>
      <c r="IFM216"/>
      <c r="IFN216"/>
      <c r="IFO216"/>
      <c r="IFP216"/>
      <c r="IFQ216"/>
      <c r="IFR216"/>
      <c r="IFS216"/>
      <c r="IFT216"/>
      <c r="IFU216"/>
      <c r="IFV216"/>
      <c r="IFW216"/>
      <c r="IFX216"/>
      <c r="IFY216"/>
      <c r="IFZ216"/>
      <c r="IGA216"/>
      <c r="IGB216"/>
      <c r="IGC216"/>
      <c r="IGD216"/>
      <c r="IGE216"/>
      <c r="IGF216"/>
      <c r="IGG216"/>
      <c r="IGH216"/>
      <c r="IGI216"/>
      <c r="IGJ216"/>
      <c r="IGK216"/>
      <c r="IGL216"/>
      <c r="IGM216"/>
      <c r="IGN216"/>
      <c r="IGO216"/>
      <c r="IGP216"/>
      <c r="IGQ216"/>
      <c r="IGR216"/>
      <c r="IGS216"/>
      <c r="IGT216"/>
      <c r="IGU216"/>
      <c r="IGV216"/>
      <c r="IGW216"/>
      <c r="IGX216"/>
      <c r="IGY216"/>
      <c r="IGZ216"/>
      <c r="IHA216"/>
      <c r="IHB216"/>
      <c r="IHC216"/>
      <c r="IHD216"/>
      <c r="IHE216"/>
      <c r="IHF216"/>
      <c r="IHG216"/>
      <c r="IHH216"/>
      <c r="IHI216"/>
      <c r="IHJ216"/>
      <c r="IHK216"/>
      <c r="IHL216"/>
      <c r="IHM216"/>
      <c r="IHN216"/>
      <c r="IHO216"/>
      <c r="IHP216"/>
      <c r="IHQ216"/>
      <c r="IHR216"/>
      <c r="IHS216"/>
      <c r="IHT216"/>
      <c r="IHU216"/>
      <c r="IHV216"/>
      <c r="IHW216"/>
      <c r="IHX216"/>
      <c r="IHY216"/>
      <c r="IHZ216"/>
      <c r="IIA216"/>
      <c r="IIB216"/>
      <c r="IIC216"/>
      <c r="IID216"/>
      <c r="IIE216"/>
      <c r="IIF216"/>
      <c r="IIG216"/>
      <c r="IIH216"/>
      <c r="III216"/>
      <c r="IIJ216"/>
      <c r="IIK216"/>
      <c r="IIL216"/>
      <c r="IIM216"/>
      <c r="IIN216"/>
      <c r="IIO216"/>
      <c r="IIP216"/>
      <c r="IIQ216"/>
      <c r="IIR216"/>
      <c r="IIS216"/>
      <c r="IIT216"/>
      <c r="IIU216"/>
      <c r="IIV216"/>
      <c r="IIW216"/>
      <c r="IIX216"/>
      <c r="IIY216"/>
      <c r="IIZ216"/>
      <c r="IJA216"/>
      <c r="IJB216"/>
      <c r="IJC216"/>
      <c r="IJD216"/>
      <c r="IJE216"/>
      <c r="IJF216"/>
      <c r="IJG216"/>
      <c r="IJH216"/>
      <c r="IJI216"/>
      <c r="IJJ216"/>
      <c r="IJK216"/>
      <c r="IJL216"/>
      <c r="IJM216"/>
      <c r="IJN216"/>
      <c r="IJO216"/>
      <c r="IJP216"/>
      <c r="IJQ216"/>
      <c r="IJR216"/>
      <c r="IJS216"/>
      <c r="IJT216"/>
      <c r="IJU216"/>
      <c r="IJV216"/>
      <c r="IJW216"/>
      <c r="IJX216"/>
      <c r="IJY216"/>
      <c r="IJZ216"/>
      <c r="IKA216"/>
      <c r="IKB216"/>
      <c r="IKC216"/>
      <c r="IKD216"/>
      <c r="IKE216"/>
      <c r="IKF216"/>
      <c r="IKG216"/>
      <c r="IKH216"/>
      <c r="IKI216"/>
      <c r="IKJ216"/>
      <c r="IKK216"/>
      <c r="IKL216"/>
      <c r="IKM216"/>
      <c r="IKN216"/>
      <c r="IKO216"/>
      <c r="IKP216"/>
      <c r="IKQ216"/>
      <c r="IKR216"/>
      <c r="IKS216"/>
      <c r="IKT216"/>
      <c r="IKU216"/>
      <c r="IKV216"/>
      <c r="IKW216"/>
      <c r="IKX216"/>
      <c r="IKY216"/>
      <c r="IKZ216"/>
      <c r="ILA216"/>
      <c r="ILB216"/>
      <c r="ILC216"/>
      <c r="ILD216"/>
      <c r="ILE216"/>
      <c r="ILF216"/>
      <c r="ILG216"/>
      <c r="ILH216"/>
      <c r="ILI216"/>
      <c r="ILJ216"/>
      <c r="ILK216"/>
      <c r="ILL216"/>
      <c r="ILM216"/>
      <c r="ILN216"/>
      <c r="ILO216"/>
      <c r="ILP216"/>
      <c r="ILQ216"/>
      <c r="ILR216"/>
      <c r="ILS216"/>
      <c r="ILT216"/>
      <c r="ILU216"/>
      <c r="ILV216"/>
      <c r="ILW216"/>
      <c r="ILX216"/>
      <c r="ILY216"/>
      <c r="ILZ216"/>
      <c r="IMA216"/>
      <c r="IMB216"/>
      <c r="IMC216"/>
      <c r="IMD216"/>
      <c r="IME216"/>
      <c r="IMF216"/>
      <c r="IMG216"/>
      <c r="IMH216"/>
      <c r="IMI216"/>
      <c r="IMJ216"/>
      <c r="IMK216"/>
      <c r="IML216"/>
      <c r="IMM216"/>
      <c r="IMN216"/>
      <c r="IMO216"/>
      <c r="IMP216"/>
      <c r="IMQ216"/>
      <c r="IMR216"/>
      <c r="IMS216"/>
      <c r="IMT216"/>
      <c r="IMU216"/>
      <c r="IMV216"/>
      <c r="IMW216"/>
      <c r="IMX216"/>
      <c r="IMY216"/>
      <c r="IMZ216"/>
      <c r="INA216"/>
      <c r="INB216"/>
      <c r="INC216"/>
      <c r="IND216"/>
      <c r="INE216"/>
      <c r="INF216"/>
      <c r="ING216"/>
      <c r="INH216"/>
      <c r="INI216"/>
      <c r="INJ216"/>
      <c r="INK216"/>
      <c r="INL216"/>
      <c r="INM216"/>
      <c r="INN216"/>
      <c r="INO216"/>
      <c r="INP216"/>
      <c r="INQ216"/>
      <c r="INR216"/>
      <c r="INS216"/>
      <c r="INT216"/>
      <c r="INU216"/>
      <c r="INV216"/>
      <c r="INW216"/>
      <c r="INX216"/>
      <c r="INY216"/>
      <c r="INZ216"/>
      <c r="IOA216"/>
      <c r="IOB216"/>
      <c r="IOC216"/>
      <c r="IOD216"/>
      <c r="IOE216"/>
      <c r="IOF216"/>
      <c r="IOG216"/>
      <c r="IOH216"/>
      <c r="IOI216"/>
      <c r="IOJ216"/>
      <c r="IOK216"/>
      <c r="IOL216"/>
      <c r="IOM216"/>
      <c r="ION216"/>
      <c r="IOO216"/>
      <c r="IOP216"/>
      <c r="IOQ216"/>
      <c r="IOR216"/>
      <c r="IOS216"/>
      <c r="IOT216"/>
      <c r="IOU216"/>
      <c r="IOV216"/>
      <c r="IOW216"/>
      <c r="IOX216"/>
      <c r="IOY216"/>
      <c r="IOZ216"/>
      <c r="IPA216"/>
      <c r="IPB216"/>
      <c r="IPC216"/>
      <c r="IPD216"/>
      <c r="IPE216"/>
      <c r="IPF216"/>
      <c r="IPG216"/>
      <c r="IPH216"/>
      <c r="IPI216"/>
      <c r="IPJ216"/>
      <c r="IPK216"/>
      <c r="IPL216"/>
      <c r="IPM216"/>
      <c r="IPN216"/>
      <c r="IPO216"/>
      <c r="IPP216"/>
      <c r="IPQ216"/>
      <c r="IPR216"/>
      <c r="IPS216"/>
      <c r="IPT216"/>
      <c r="IPU216"/>
      <c r="IPV216"/>
      <c r="IPW216"/>
      <c r="IPX216"/>
      <c r="IPY216"/>
      <c r="IPZ216"/>
      <c r="IQA216"/>
      <c r="IQB216"/>
      <c r="IQC216"/>
      <c r="IQD216"/>
      <c r="IQE216"/>
      <c r="IQF216"/>
      <c r="IQG216"/>
      <c r="IQH216"/>
      <c r="IQI216"/>
      <c r="IQJ216"/>
      <c r="IQK216"/>
      <c r="IQL216"/>
      <c r="IQM216"/>
      <c r="IQN216"/>
      <c r="IQO216"/>
      <c r="IQP216"/>
      <c r="IQQ216"/>
      <c r="IQR216"/>
      <c r="IQS216"/>
      <c r="IQT216"/>
      <c r="IQU216"/>
      <c r="IQV216"/>
      <c r="IQW216"/>
      <c r="IQX216"/>
      <c r="IQY216"/>
      <c r="IQZ216"/>
      <c r="IRA216"/>
      <c r="IRB216"/>
      <c r="IRC216"/>
      <c r="IRD216"/>
      <c r="IRE216"/>
      <c r="IRF216"/>
      <c r="IRG216"/>
      <c r="IRH216"/>
      <c r="IRI216"/>
      <c r="IRJ216"/>
      <c r="IRK216"/>
      <c r="IRL216"/>
      <c r="IRM216"/>
      <c r="IRN216"/>
      <c r="IRO216"/>
      <c r="IRP216"/>
      <c r="IRQ216"/>
      <c r="IRR216"/>
      <c r="IRS216"/>
      <c r="IRT216"/>
      <c r="IRU216"/>
      <c r="IRV216"/>
      <c r="IRW216"/>
      <c r="IRX216"/>
      <c r="IRY216"/>
      <c r="IRZ216"/>
      <c r="ISA216"/>
      <c r="ISB216"/>
      <c r="ISC216"/>
      <c r="ISD216"/>
      <c r="ISE216"/>
      <c r="ISF216"/>
      <c r="ISG216"/>
      <c r="ISH216"/>
      <c r="ISI216"/>
      <c r="ISJ216"/>
      <c r="ISK216"/>
      <c r="ISL216"/>
      <c r="ISM216"/>
      <c r="ISN216"/>
      <c r="ISO216"/>
      <c r="ISP216"/>
      <c r="ISQ216"/>
      <c r="ISR216"/>
      <c r="ISS216"/>
      <c r="IST216"/>
      <c r="ISU216"/>
      <c r="ISV216"/>
      <c r="ISW216"/>
      <c r="ISX216"/>
      <c r="ISY216"/>
      <c r="ISZ216"/>
      <c r="ITA216"/>
      <c r="ITB216"/>
      <c r="ITC216"/>
      <c r="ITD216"/>
      <c r="ITE216"/>
      <c r="ITF216"/>
      <c r="ITG216"/>
      <c r="ITH216"/>
      <c r="ITI216"/>
      <c r="ITJ216"/>
      <c r="ITK216"/>
      <c r="ITL216"/>
      <c r="ITM216"/>
      <c r="ITN216"/>
      <c r="ITO216"/>
      <c r="ITP216"/>
      <c r="ITQ216"/>
      <c r="ITR216"/>
      <c r="ITS216"/>
      <c r="ITT216"/>
      <c r="ITU216"/>
      <c r="ITV216"/>
      <c r="ITW216"/>
      <c r="ITX216"/>
      <c r="ITY216"/>
      <c r="ITZ216"/>
      <c r="IUA216"/>
      <c r="IUB216"/>
      <c r="IUC216"/>
      <c r="IUD216"/>
      <c r="IUE216"/>
      <c r="IUF216"/>
      <c r="IUG216"/>
      <c r="IUH216"/>
      <c r="IUI216"/>
      <c r="IUJ216"/>
      <c r="IUK216"/>
      <c r="IUL216"/>
      <c r="IUM216"/>
      <c r="IUN216"/>
      <c r="IUO216"/>
      <c r="IUP216"/>
      <c r="IUQ216"/>
      <c r="IUR216"/>
      <c r="IUS216"/>
      <c r="IUT216"/>
      <c r="IUU216"/>
      <c r="IUV216"/>
      <c r="IUW216"/>
      <c r="IUX216"/>
      <c r="IUY216"/>
      <c r="IUZ216"/>
      <c r="IVA216"/>
      <c r="IVB216"/>
      <c r="IVC216"/>
      <c r="IVD216"/>
      <c r="IVE216"/>
      <c r="IVF216"/>
      <c r="IVG216"/>
      <c r="IVH216"/>
      <c r="IVI216"/>
      <c r="IVJ216"/>
      <c r="IVK216"/>
      <c r="IVL216"/>
      <c r="IVM216"/>
      <c r="IVN216"/>
      <c r="IVO216"/>
      <c r="IVP216"/>
      <c r="IVQ216"/>
      <c r="IVR216"/>
      <c r="IVS216"/>
      <c r="IVT216"/>
      <c r="IVU216"/>
      <c r="IVV216"/>
      <c r="IVW216"/>
      <c r="IVX216"/>
      <c r="IVY216"/>
      <c r="IVZ216"/>
      <c r="IWA216"/>
      <c r="IWB216"/>
      <c r="IWC216"/>
      <c r="IWD216"/>
      <c r="IWE216"/>
      <c r="IWF216"/>
      <c r="IWG216"/>
      <c r="IWH216"/>
      <c r="IWI216"/>
      <c r="IWJ216"/>
      <c r="IWK216"/>
      <c r="IWL216"/>
      <c r="IWM216"/>
      <c r="IWN216"/>
      <c r="IWO216"/>
      <c r="IWP216"/>
      <c r="IWQ216"/>
      <c r="IWR216"/>
      <c r="IWS216"/>
      <c r="IWT216"/>
      <c r="IWU216"/>
      <c r="IWV216"/>
      <c r="IWW216"/>
      <c r="IWX216"/>
      <c r="IWY216"/>
      <c r="IWZ216"/>
      <c r="IXA216"/>
      <c r="IXB216"/>
      <c r="IXC216"/>
      <c r="IXD216"/>
      <c r="IXE216"/>
      <c r="IXF216"/>
      <c r="IXG216"/>
      <c r="IXH216"/>
      <c r="IXI216"/>
      <c r="IXJ216"/>
      <c r="IXK216"/>
      <c r="IXL216"/>
      <c r="IXM216"/>
      <c r="IXN216"/>
      <c r="IXO216"/>
      <c r="IXP216"/>
      <c r="IXQ216"/>
      <c r="IXR216"/>
      <c r="IXS216"/>
      <c r="IXT216"/>
      <c r="IXU216"/>
      <c r="IXV216"/>
      <c r="IXW216"/>
      <c r="IXX216"/>
      <c r="IXY216"/>
      <c r="IXZ216"/>
      <c r="IYA216"/>
      <c r="IYB216"/>
      <c r="IYC216"/>
      <c r="IYD216"/>
      <c r="IYE216"/>
      <c r="IYF216"/>
      <c r="IYG216"/>
      <c r="IYH216"/>
      <c r="IYI216"/>
      <c r="IYJ216"/>
      <c r="IYK216"/>
      <c r="IYL216"/>
      <c r="IYM216"/>
      <c r="IYN216"/>
      <c r="IYO216"/>
      <c r="IYP216"/>
      <c r="IYQ216"/>
      <c r="IYR216"/>
      <c r="IYS216"/>
      <c r="IYT216"/>
      <c r="IYU216"/>
      <c r="IYV216"/>
      <c r="IYW216"/>
      <c r="IYX216"/>
      <c r="IYY216"/>
      <c r="IYZ216"/>
      <c r="IZA216"/>
      <c r="IZB216"/>
      <c r="IZC216"/>
      <c r="IZD216"/>
      <c r="IZE216"/>
      <c r="IZF216"/>
      <c r="IZG216"/>
      <c r="IZH216"/>
      <c r="IZI216"/>
      <c r="IZJ216"/>
      <c r="IZK216"/>
      <c r="IZL216"/>
      <c r="IZM216"/>
      <c r="IZN216"/>
      <c r="IZO216"/>
      <c r="IZP216"/>
      <c r="IZQ216"/>
      <c r="IZR216"/>
      <c r="IZS216"/>
      <c r="IZT216"/>
      <c r="IZU216"/>
      <c r="IZV216"/>
      <c r="IZW216"/>
      <c r="IZX216"/>
      <c r="IZY216"/>
      <c r="IZZ216"/>
      <c r="JAA216"/>
      <c r="JAB216"/>
      <c r="JAC216"/>
      <c r="JAD216"/>
      <c r="JAE216"/>
      <c r="JAF216"/>
      <c r="JAG216"/>
      <c r="JAH216"/>
      <c r="JAI216"/>
      <c r="JAJ216"/>
      <c r="JAK216"/>
      <c r="JAL216"/>
      <c r="JAM216"/>
      <c r="JAN216"/>
      <c r="JAO216"/>
      <c r="JAP216"/>
      <c r="JAQ216"/>
      <c r="JAR216"/>
      <c r="JAS216"/>
      <c r="JAT216"/>
      <c r="JAU216"/>
      <c r="JAV216"/>
      <c r="JAW216"/>
      <c r="JAX216"/>
      <c r="JAY216"/>
      <c r="JAZ216"/>
      <c r="JBA216"/>
      <c r="JBB216"/>
      <c r="JBC216"/>
      <c r="JBD216"/>
      <c r="JBE216"/>
      <c r="JBF216"/>
      <c r="JBG216"/>
      <c r="JBH216"/>
      <c r="JBI216"/>
      <c r="JBJ216"/>
      <c r="JBK216"/>
      <c r="JBL216"/>
      <c r="JBM216"/>
      <c r="JBN216"/>
      <c r="JBO216"/>
      <c r="JBP216"/>
      <c r="JBQ216"/>
      <c r="JBR216"/>
      <c r="JBS216"/>
      <c r="JBT216"/>
      <c r="JBU216"/>
      <c r="JBV216"/>
      <c r="JBW216"/>
      <c r="JBX216"/>
      <c r="JBY216"/>
      <c r="JBZ216"/>
      <c r="JCA216"/>
      <c r="JCB216"/>
      <c r="JCC216"/>
      <c r="JCD216"/>
      <c r="JCE216"/>
      <c r="JCF216"/>
      <c r="JCG216"/>
      <c r="JCH216"/>
      <c r="JCI216"/>
      <c r="JCJ216"/>
      <c r="JCK216"/>
      <c r="JCL216"/>
      <c r="JCM216"/>
      <c r="JCN216"/>
      <c r="JCO216"/>
      <c r="JCP216"/>
      <c r="JCQ216"/>
      <c r="JCR216"/>
      <c r="JCS216"/>
      <c r="JCT216"/>
      <c r="JCU216"/>
      <c r="JCV216"/>
      <c r="JCW216"/>
      <c r="JCX216"/>
      <c r="JCY216"/>
      <c r="JCZ216"/>
      <c r="JDA216"/>
      <c r="JDB216"/>
      <c r="JDC216"/>
      <c r="JDD216"/>
      <c r="JDE216"/>
      <c r="JDF216"/>
      <c r="JDG216"/>
      <c r="JDH216"/>
      <c r="JDI216"/>
      <c r="JDJ216"/>
      <c r="JDK216"/>
      <c r="JDL216"/>
      <c r="JDM216"/>
      <c r="JDN216"/>
      <c r="JDO216"/>
      <c r="JDP216"/>
      <c r="JDQ216"/>
      <c r="JDR216"/>
      <c r="JDS216"/>
      <c r="JDT216"/>
      <c r="JDU216"/>
      <c r="JDV216"/>
      <c r="JDW216"/>
      <c r="JDX216"/>
      <c r="JDY216"/>
      <c r="JDZ216"/>
      <c r="JEA216"/>
      <c r="JEB216"/>
      <c r="JEC216"/>
      <c r="JED216"/>
      <c r="JEE216"/>
      <c r="JEF216"/>
      <c r="JEG216"/>
      <c r="JEH216"/>
      <c r="JEI216"/>
      <c r="JEJ216"/>
      <c r="JEK216"/>
      <c r="JEL216"/>
      <c r="JEM216"/>
      <c r="JEN216"/>
      <c r="JEO216"/>
      <c r="JEP216"/>
      <c r="JEQ216"/>
      <c r="JER216"/>
      <c r="JES216"/>
      <c r="JET216"/>
      <c r="JEU216"/>
      <c r="JEV216"/>
      <c r="JEW216"/>
      <c r="JEX216"/>
      <c r="JEY216"/>
      <c r="JEZ216"/>
      <c r="JFA216"/>
      <c r="JFB216"/>
      <c r="JFC216"/>
      <c r="JFD216"/>
      <c r="JFE216"/>
      <c r="JFF216"/>
      <c r="JFG216"/>
      <c r="JFH216"/>
      <c r="JFI216"/>
      <c r="JFJ216"/>
      <c r="JFK216"/>
      <c r="JFL216"/>
      <c r="JFM216"/>
      <c r="JFN216"/>
      <c r="JFO216"/>
      <c r="JFP216"/>
      <c r="JFQ216"/>
      <c r="JFR216"/>
      <c r="JFS216"/>
      <c r="JFT216"/>
      <c r="JFU216"/>
      <c r="JFV216"/>
      <c r="JFW216"/>
      <c r="JFX216"/>
      <c r="JFY216"/>
      <c r="JFZ216"/>
      <c r="JGA216"/>
      <c r="JGB216"/>
      <c r="JGC216"/>
      <c r="JGD216"/>
      <c r="JGE216"/>
      <c r="JGF216"/>
      <c r="JGG216"/>
      <c r="JGH216"/>
      <c r="JGI216"/>
      <c r="JGJ216"/>
      <c r="JGK216"/>
      <c r="JGL216"/>
      <c r="JGM216"/>
      <c r="JGN216"/>
      <c r="JGO216"/>
      <c r="JGP216"/>
      <c r="JGQ216"/>
      <c r="JGR216"/>
      <c r="JGS216"/>
      <c r="JGT216"/>
      <c r="JGU216"/>
      <c r="JGV216"/>
      <c r="JGW216"/>
      <c r="JGX216"/>
      <c r="JGY216"/>
      <c r="JGZ216"/>
      <c r="JHA216"/>
      <c r="JHB216"/>
      <c r="JHC216"/>
      <c r="JHD216"/>
      <c r="JHE216"/>
      <c r="JHF216"/>
      <c r="JHG216"/>
      <c r="JHH216"/>
      <c r="JHI216"/>
      <c r="JHJ216"/>
      <c r="JHK216"/>
      <c r="JHL216"/>
      <c r="JHM216"/>
      <c r="JHN216"/>
      <c r="JHO216"/>
      <c r="JHP216"/>
      <c r="JHQ216"/>
      <c r="JHR216"/>
      <c r="JHS216"/>
      <c r="JHT216"/>
      <c r="JHU216"/>
      <c r="JHV216"/>
      <c r="JHW216"/>
      <c r="JHX216"/>
      <c r="JHY216"/>
      <c r="JHZ216"/>
      <c r="JIA216"/>
      <c r="JIB216"/>
      <c r="JIC216"/>
      <c r="JID216"/>
      <c r="JIE216"/>
      <c r="JIF216"/>
      <c r="JIG216"/>
      <c r="JIH216"/>
      <c r="JII216"/>
      <c r="JIJ216"/>
      <c r="JIK216"/>
      <c r="JIL216"/>
      <c r="JIM216"/>
      <c r="JIN216"/>
      <c r="JIO216"/>
      <c r="JIP216"/>
      <c r="JIQ216"/>
      <c r="JIR216"/>
      <c r="JIS216"/>
      <c r="JIT216"/>
      <c r="JIU216"/>
      <c r="JIV216"/>
      <c r="JIW216"/>
      <c r="JIX216"/>
      <c r="JIY216"/>
      <c r="JIZ216"/>
      <c r="JJA216"/>
      <c r="JJB216"/>
      <c r="JJC216"/>
      <c r="JJD216"/>
      <c r="JJE216"/>
      <c r="JJF216"/>
      <c r="JJG216"/>
      <c r="JJH216"/>
      <c r="JJI216"/>
      <c r="JJJ216"/>
      <c r="JJK216"/>
      <c r="JJL216"/>
      <c r="JJM216"/>
      <c r="JJN216"/>
      <c r="JJO216"/>
      <c r="JJP216"/>
      <c r="JJQ216"/>
      <c r="JJR216"/>
      <c r="JJS216"/>
      <c r="JJT216"/>
      <c r="JJU216"/>
      <c r="JJV216"/>
      <c r="JJW216"/>
      <c r="JJX216"/>
      <c r="JJY216"/>
      <c r="JJZ216"/>
      <c r="JKA216"/>
      <c r="JKB216"/>
      <c r="JKC216"/>
      <c r="JKD216"/>
      <c r="JKE216"/>
      <c r="JKF216"/>
      <c r="JKG216"/>
      <c r="JKH216"/>
      <c r="JKI216"/>
      <c r="JKJ216"/>
      <c r="JKK216"/>
      <c r="JKL216"/>
      <c r="JKM216"/>
      <c r="JKN216"/>
      <c r="JKO216"/>
      <c r="JKP216"/>
      <c r="JKQ216"/>
      <c r="JKR216"/>
      <c r="JKS216"/>
      <c r="JKT216"/>
      <c r="JKU216"/>
      <c r="JKV216"/>
      <c r="JKW216"/>
      <c r="JKX216"/>
      <c r="JKY216"/>
      <c r="JKZ216"/>
      <c r="JLA216"/>
      <c r="JLB216"/>
      <c r="JLC216"/>
      <c r="JLD216"/>
      <c r="JLE216"/>
      <c r="JLF216"/>
      <c r="JLG216"/>
      <c r="JLH216"/>
      <c r="JLI216"/>
      <c r="JLJ216"/>
      <c r="JLK216"/>
      <c r="JLL216"/>
      <c r="JLM216"/>
      <c r="JLN216"/>
      <c r="JLO216"/>
      <c r="JLP216"/>
      <c r="JLQ216"/>
      <c r="JLR216"/>
      <c r="JLS216"/>
      <c r="JLT216"/>
      <c r="JLU216"/>
      <c r="JLV216"/>
      <c r="JLW216"/>
      <c r="JLX216"/>
      <c r="JLY216"/>
      <c r="JLZ216"/>
      <c r="JMA216"/>
      <c r="JMB216"/>
      <c r="JMC216"/>
      <c r="JMD216"/>
      <c r="JME216"/>
      <c r="JMF216"/>
      <c r="JMG216"/>
      <c r="JMH216"/>
      <c r="JMI216"/>
      <c r="JMJ216"/>
      <c r="JMK216"/>
      <c r="JML216"/>
      <c r="JMM216"/>
      <c r="JMN216"/>
      <c r="JMO216"/>
      <c r="JMP216"/>
      <c r="JMQ216"/>
      <c r="JMR216"/>
      <c r="JMS216"/>
      <c r="JMT216"/>
      <c r="JMU216"/>
      <c r="JMV216"/>
      <c r="JMW216"/>
      <c r="JMX216"/>
      <c r="JMY216"/>
      <c r="JMZ216"/>
      <c r="JNA216"/>
      <c r="JNB216"/>
      <c r="JNC216"/>
      <c r="JND216"/>
      <c r="JNE216"/>
      <c r="JNF216"/>
      <c r="JNG216"/>
      <c r="JNH216"/>
      <c r="JNI216"/>
      <c r="JNJ216"/>
      <c r="JNK216"/>
      <c r="JNL216"/>
      <c r="JNM216"/>
      <c r="JNN216"/>
      <c r="JNO216"/>
      <c r="JNP216"/>
      <c r="JNQ216"/>
      <c r="JNR216"/>
      <c r="JNS216"/>
      <c r="JNT216"/>
      <c r="JNU216"/>
      <c r="JNV216"/>
      <c r="JNW216"/>
      <c r="JNX216"/>
      <c r="JNY216"/>
      <c r="JNZ216"/>
      <c r="JOA216"/>
      <c r="JOB216"/>
      <c r="JOC216"/>
      <c r="JOD216"/>
      <c r="JOE216"/>
      <c r="JOF216"/>
      <c r="JOG216"/>
      <c r="JOH216"/>
      <c r="JOI216"/>
      <c r="JOJ216"/>
      <c r="JOK216"/>
      <c r="JOL216"/>
      <c r="JOM216"/>
      <c r="JON216"/>
      <c r="JOO216"/>
      <c r="JOP216"/>
      <c r="JOQ216"/>
      <c r="JOR216"/>
      <c r="JOS216"/>
      <c r="JOT216"/>
      <c r="JOU216"/>
      <c r="JOV216"/>
      <c r="JOW216"/>
      <c r="JOX216"/>
      <c r="JOY216"/>
      <c r="JOZ216"/>
      <c r="JPA216"/>
      <c r="JPB216"/>
      <c r="JPC216"/>
      <c r="JPD216"/>
      <c r="JPE216"/>
      <c r="JPF216"/>
      <c r="JPG216"/>
      <c r="JPH216"/>
      <c r="JPI216"/>
      <c r="JPJ216"/>
      <c r="JPK216"/>
      <c r="JPL216"/>
      <c r="JPM216"/>
      <c r="JPN216"/>
      <c r="JPO216"/>
      <c r="JPP216"/>
      <c r="JPQ216"/>
      <c r="JPR216"/>
      <c r="JPS216"/>
      <c r="JPT216"/>
      <c r="JPU216"/>
      <c r="JPV216"/>
      <c r="JPW216"/>
      <c r="JPX216"/>
      <c r="JPY216"/>
      <c r="JPZ216"/>
      <c r="JQA216"/>
      <c r="JQB216"/>
      <c r="JQC216"/>
      <c r="JQD216"/>
      <c r="JQE216"/>
      <c r="JQF216"/>
      <c r="JQG216"/>
      <c r="JQH216"/>
      <c r="JQI216"/>
      <c r="JQJ216"/>
      <c r="JQK216"/>
      <c r="JQL216"/>
      <c r="JQM216"/>
      <c r="JQN216"/>
      <c r="JQO216"/>
      <c r="JQP216"/>
      <c r="JQQ216"/>
      <c r="JQR216"/>
      <c r="JQS216"/>
      <c r="JQT216"/>
      <c r="JQU216"/>
      <c r="JQV216"/>
      <c r="JQW216"/>
      <c r="JQX216"/>
      <c r="JQY216"/>
      <c r="JQZ216"/>
      <c r="JRA216"/>
      <c r="JRB216"/>
      <c r="JRC216"/>
      <c r="JRD216"/>
      <c r="JRE216"/>
      <c r="JRF216"/>
      <c r="JRG216"/>
      <c r="JRH216"/>
      <c r="JRI216"/>
      <c r="JRJ216"/>
      <c r="JRK216"/>
      <c r="JRL216"/>
      <c r="JRM216"/>
      <c r="JRN216"/>
      <c r="JRO216"/>
      <c r="JRP216"/>
      <c r="JRQ216"/>
      <c r="JRR216"/>
      <c r="JRS216"/>
      <c r="JRT216"/>
      <c r="JRU216"/>
      <c r="JRV216"/>
      <c r="JRW216"/>
      <c r="JRX216"/>
      <c r="JRY216"/>
      <c r="JRZ216"/>
      <c r="JSA216"/>
      <c r="JSB216"/>
      <c r="JSC216"/>
      <c r="JSD216"/>
      <c r="JSE216"/>
      <c r="JSF216"/>
      <c r="JSG216"/>
      <c r="JSH216"/>
      <c r="JSI216"/>
      <c r="JSJ216"/>
      <c r="JSK216"/>
      <c r="JSL216"/>
      <c r="JSM216"/>
      <c r="JSN216"/>
      <c r="JSO216"/>
      <c r="JSP216"/>
      <c r="JSQ216"/>
      <c r="JSR216"/>
      <c r="JSS216"/>
      <c r="JST216"/>
      <c r="JSU216"/>
      <c r="JSV216"/>
      <c r="JSW216"/>
      <c r="JSX216"/>
      <c r="JSY216"/>
      <c r="JSZ216"/>
      <c r="JTA216"/>
      <c r="JTB216"/>
      <c r="JTC216"/>
      <c r="JTD216"/>
      <c r="JTE216"/>
      <c r="JTF216"/>
      <c r="JTG216"/>
      <c r="JTH216"/>
      <c r="JTI216"/>
      <c r="JTJ216"/>
      <c r="JTK216"/>
      <c r="JTL216"/>
      <c r="JTM216"/>
      <c r="JTN216"/>
      <c r="JTO216"/>
      <c r="JTP216"/>
      <c r="JTQ216"/>
      <c r="JTR216"/>
      <c r="JTS216"/>
      <c r="JTT216"/>
      <c r="JTU216"/>
      <c r="JTV216"/>
      <c r="JTW216"/>
      <c r="JTX216"/>
      <c r="JTY216"/>
      <c r="JTZ216"/>
      <c r="JUA216"/>
      <c r="JUB216"/>
      <c r="JUC216"/>
      <c r="JUD216"/>
      <c r="JUE216"/>
      <c r="JUF216"/>
      <c r="JUG216"/>
      <c r="JUH216"/>
      <c r="JUI216"/>
      <c r="JUJ216"/>
      <c r="JUK216"/>
      <c r="JUL216"/>
      <c r="JUM216"/>
      <c r="JUN216"/>
      <c r="JUO216"/>
      <c r="JUP216"/>
      <c r="JUQ216"/>
      <c r="JUR216"/>
      <c r="JUS216"/>
      <c r="JUT216"/>
      <c r="JUU216"/>
      <c r="JUV216"/>
      <c r="JUW216"/>
      <c r="JUX216"/>
      <c r="JUY216"/>
      <c r="JUZ216"/>
      <c r="JVA216"/>
      <c r="JVB216"/>
      <c r="JVC216"/>
      <c r="JVD216"/>
      <c r="JVE216"/>
      <c r="JVF216"/>
      <c r="JVG216"/>
      <c r="JVH216"/>
      <c r="JVI216"/>
      <c r="JVJ216"/>
      <c r="JVK216"/>
      <c r="JVL216"/>
      <c r="JVM216"/>
      <c r="JVN216"/>
      <c r="JVO216"/>
      <c r="JVP216"/>
      <c r="JVQ216"/>
      <c r="JVR216"/>
      <c r="JVS216"/>
      <c r="JVT216"/>
      <c r="JVU216"/>
      <c r="JVV216"/>
      <c r="JVW216"/>
      <c r="JVX216"/>
      <c r="JVY216"/>
      <c r="JVZ216"/>
      <c r="JWA216"/>
      <c r="JWB216"/>
      <c r="JWC216"/>
      <c r="JWD216"/>
      <c r="JWE216"/>
      <c r="JWF216"/>
      <c r="JWG216"/>
      <c r="JWH216"/>
      <c r="JWI216"/>
      <c r="JWJ216"/>
      <c r="JWK216"/>
      <c r="JWL216"/>
      <c r="JWM216"/>
      <c r="JWN216"/>
      <c r="JWO216"/>
      <c r="JWP216"/>
      <c r="JWQ216"/>
      <c r="JWR216"/>
      <c r="JWS216"/>
      <c r="JWT216"/>
      <c r="JWU216"/>
      <c r="JWV216"/>
      <c r="JWW216"/>
      <c r="JWX216"/>
      <c r="JWY216"/>
      <c r="JWZ216"/>
      <c r="JXA216"/>
      <c r="JXB216"/>
      <c r="JXC216"/>
      <c r="JXD216"/>
      <c r="JXE216"/>
      <c r="JXF216"/>
      <c r="JXG216"/>
      <c r="JXH216"/>
      <c r="JXI216"/>
      <c r="JXJ216"/>
      <c r="JXK216"/>
      <c r="JXL216"/>
      <c r="JXM216"/>
      <c r="JXN216"/>
      <c r="JXO216"/>
      <c r="JXP216"/>
      <c r="JXQ216"/>
      <c r="JXR216"/>
      <c r="JXS216"/>
      <c r="JXT216"/>
      <c r="JXU216"/>
      <c r="JXV216"/>
      <c r="JXW216"/>
      <c r="JXX216"/>
      <c r="JXY216"/>
      <c r="JXZ216"/>
      <c r="JYA216"/>
      <c r="JYB216"/>
      <c r="JYC216"/>
      <c r="JYD216"/>
      <c r="JYE216"/>
      <c r="JYF216"/>
      <c r="JYG216"/>
      <c r="JYH216"/>
      <c r="JYI216"/>
      <c r="JYJ216"/>
      <c r="JYK216"/>
      <c r="JYL216"/>
      <c r="JYM216"/>
      <c r="JYN216"/>
      <c r="JYO216"/>
      <c r="JYP216"/>
      <c r="JYQ216"/>
      <c r="JYR216"/>
      <c r="JYS216"/>
      <c r="JYT216"/>
      <c r="JYU216"/>
      <c r="JYV216"/>
      <c r="JYW216"/>
      <c r="JYX216"/>
      <c r="JYY216"/>
      <c r="JYZ216"/>
      <c r="JZA216"/>
      <c r="JZB216"/>
      <c r="JZC216"/>
      <c r="JZD216"/>
      <c r="JZE216"/>
      <c r="JZF216"/>
      <c r="JZG216"/>
      <c r="JZH216"/>
      <c r="JZI216"/>
      <c r="JZJ216"/>
      <c r="JZK216"/>
      <c r="JZL216"/>
      <c r="JZM216"/>
      <c r="JZN216"/>
      <c r="JZO216"/>
      <c r="JZP216"/>
      <c r="JZQ216"/>
      <c r="JZR216"/>
      <c r="JZS216"/>
      <c r="JZT216"/>
      <c r="JZU216"/>
      <c r="JZV216"/>
      <c r="JZW216"/>
      <c r="JZX216"/>
      <c r="JZY216"/>
      <c r="JZZ216"/>
      <c r="KAA216"/>
      <c r="KAB216"/>
      <c r="KAC216"/>
      <c r="KAD216"/>
      <c r="KAE216"/>
      <c r="KAF216"/>
      <c r="KAG216"/>
      <c r="KAH216"/>
      <c r="KAI216"/>
      <c r="KAJ216"/>
      <c r="KAK216"/>
      <c r="KAL216"/>
      <c r="KAM216"/>
      <c r="KAN216"/>
      <c r="KAO216"/>
      <c r="KAP216"/>
      <c r="KAQ216"/>
      <c r="KAR216"/>
      <c r="KAS216"/>
      <c r="KAT216"/>
      <c r="KAU216"/>
      <c r="KAV216"/>
      <c r="KAW216"/>
      <c r="KAX216"/>
      <c r="KAY216"/>
      <c r="KAZ216"/>
      <c r="KBA216"/>
      <c r="KBB216"/>
      <c r="KBC216"/>
      <c r="KBD216"/>
      <c r="KBE216"/>
      <c r="KBF216"/>
      <c r="KBG216"/>
      <c r="KBH216"/>
      <c r="KBI216"/>
      <c r="KBJ216"/>
      <c r="KBK216"/>
      <c r="KBL216"/>
      <c r="KBM216"/>
      <c r="KBN216"/>
      <c r="KBO216"/>
      <c r="KBP216"/>
      <c r="KBQ216"/>
      <c r="KBR216"/>
      <c r="KBS216"/>
      <c r="KBT216"/>
      <c r="KBU216"/>
      <c r="KBV216"/>
      <c r="KBW216"/>
      <c r="KBX216"/>
      <c r="KBY216"/>
      <c r="KBZ216"/>
      <c r="KCA216"/>
      <c r="KCB216"/>
      <c r="KCC216"/>
      <c r="KCD216"/>
      <c r="KCE216"/>
      <c r="KCF216"/>
      <c r="KCG216"/>
      <c r="KCH216"/>
      <c r="KCI216"/>
      <c r="KCJ216"/>
      <c r="KCK216"/>
      <c r="KCL216"/>
      <c r="KCM216"/>
      <c r="KCN216"/>
      <c r="KCO216"/>
      <c r="KCP216"/>
      <c r="KCQ216"/>
      <c r="KCR216"/>
      <c r="KCS216"/>
      <c r="KCT216"/>
      <c r="KCU216"/>
      <c r="KCV216"/>
      <c r="KCW216"/>
      <c r="KCX216"/>
      <c r="KCY216"/>
      <c r="KCZ216"/>
      <c r="KDA216"/>
      <c r="KDB216"/>
      <c r="KDC216"/>
      <c r="KDD216"/>
      <c r="KDE216"/>
      <c r="KDF216"/>
      <c r="KDG216"/>
      <c r="KDH216"/>
      <c r="KDI216"/>
      <c r="KDJ216"/>
      <c r="KDK216"/>
      <c r="KDL216"/>
      <c r="KDM216"/>
      <c r="KDN216"/>
      <c r="KDO216"/>
      <c r="KDP216"/>
      <c r="KDQ216"/>
      <c r="KDR216"/>
      <c r="KDS216"/>
      <c r="KDT216"/>
      <c r="KDU216"/>
      <c r="KDV216"/>
      <c r="KDW216"/>
      <c r="KDX216"/>
      <c r="KDY216"/>
      <c r="KDZ216"/>
      <c r="KEA216"/>
      <c r="KEB216"/>
      <c r="KEC216"/>
      <c r="KED216"/>
      <c r="KEE216"/>
      <c r="KEF216"/>
      <c r="KEG216"/>
      <c r="KEH216"/>
      <c r="KEI216"/>
      <c r="KEJ216"/>
      <c r="KEK216"/>
      <c r="KEL216"/>
      <c r="KEM216"/>
      <c r="KEN216"/>
      <c r="KEO216"/>
      <c r="KEP216"/>
      <c r="KEQ216"/>
      <c r="KER216"/>
      <c r="KES216"/>
      <c r="KET216"/>
      <c r="KEU216"/>
      <c r="KEV216"/>
      <c r="KEW216"/>
      <c r="KEX216"/>
      <c r="KEY216"/>
      <c r="KEZ216"/>
      <c r="KFA216"/>
      <c r="KFB216"/>
      <c r="KFC216"/>
      <c r="KFD216"/>
      <c r="KFE216"/>
      <c r="KFF216"/>
      <c r="KFG216"/>
      <c r="KFH216"/>
      <c r="KFI216"/>
      <c r="KFJ216"/>
      <c r="KFK216"/>
      <c r="KFL216"/>
      <c r="KFM216"/>
      <c r="KFN216"/>
      <c r="KFO216"/>
      <c r="KFP216"/>
      <c r="KFQ216"/>
      <c r="KFR216"/>
      <c r="KFS216"/>
      <c r="KFT216"/>
      <c r="KFU216"/>
      <c r="KFV216"/>
      <c r="KFW216"/>
      <c r="KFX216"/>
      <c r="KFY216"/>
      <c r="KFZ216"/>
      <c r="KGA216"/>
      <c r="KGB216"/>
      <c r="KGC216"/>
      <c r="KGD216"/>
      <c r="KGE216"/>
      <c r="KGF216"/>
      <c r="KGG216"/>
      <c r="KGH216"/>
      <c r="KGI216"/>
      <c r="KGJ216"/>
      <c r="KGK216"/>
      <c r="KGL216"/>
      <c r="KGM216"/>
      <c r="KGN216"/>
      <c r="KGO216"/>
      <c r="KGP216"/>
      <c r="KGQ216"/>
      <c r="KGR216"/>
      <c r="KGS216"/>
      <c r="KGT216"/>
      <c r="KGU216"/>
      <c r="KGV216"/>
      <c r="KGW216"/>
      <c r="KGX216"/>
      <c r="KGY216"/>
      <c r="KGZ216"/>
      <c r="KHA216"/>
      <c r="KHB216"/>
      <c r="KHC216"/>
      <c r="KHD216"/>
      <c r="KHE216"/>
      <c r="KHF216"/>
      <c r="KHG216"/>
      <c r="KHH216"/>
      <c r="KHI216"/>
      <c r="KHJ216"/>
      <c r="KHK216"/>
      <c r="KHL216"/>
      <c r="KHM216"/>
      <c r="KHN216"/>
      <c r="KHO216"/>
      <c r="KHP216"/>
      <c r="KHQ216"/>
      <c r="KHR216"/>
      <c r="KHS216"/>
      <c r="KHT216"/>
      <c r="KHU216"/>
      <c r="KHV216"/>
      <c r="KHW216"/>
      <c r="KHX216"/>
      <c r="KHY216"/>
      <c r="KHZ216"/>
      <c r="KIA216"/>
      <c r="KIB216"/>
      <c r="KIC216"/>
      <c r="KID216"/>
      <c r="KIE216"/>
      <c r="KIF216"/>
      <c r="KIG216"/>
      <c r="KIH216"/>
      <c r="KII216"/>
      <c r="KIJ216"/>
      <c r="KIK216"/>
      <c r="KIL216"/>
      <c r="KIM216"/>
      <c r="KIN216"/>
      <c r="KIO216"/>
      <c r="KIP216"/>
      <c r="KIQ216"/>
      <c r="KIR216"/>
      <c r="KIS216"/>
      <c r="KIT216"/>
      <c r="KIU216"/>
      <c r="KIV216"/>
      <c r="KIW216"/>
      <c r="KIX216"/>
      <c r="KIY216"/>
      <c r="KIZ216"/>
      <c r="KJA216"/>
      <c r="KJB216"/>
      <c r="KJC216"/>
      <c r="KJD216"/>
      <c r="KJE216"/>
      <c r="KJF216"/>
      <c r="KJG216"/>
      <c r="KJH216"/>
      <c r="KJI216"/>
      <c r="KJJ216"/>
      <c r="KJK216"/>
      <c r="KJL216"/>
      <c r="KJM216"/>
      <c r="KJN216"/>
      <c r="KJO216"/>
      <c r="KJP216"/>
      <c r="KJQ216"/>
      <c r="KJR216"/>
      <c r="KJS216"/>
      <c r="KJT216"/>
      <c r="KJU216"/>
      <c r="KJV216"/>
      <c r="KJW216"/>
      <c r="KJX216"/>
      <c r="KJY216"/>
      <c r="KJZ216"/>
      <c r="KKA216"/>
      <c r="KKB216"/>
      <c r="KKC216"/>
      <c r="KKD216"/>
      <c r="KKE216"/>
      <c r="KKF216"/>
      <c r="KKG216"/>
      <c r="KKH216"/>
      <c r="KKI216"/>
      <c r="KKJ216"/>
      <c r="KKK216"/>
      <c r="KKL216"/>
      <c r="KKM216"/>
      <c r="KKN216"/>
      <c r="KKO216"/>
      <c r="KKP216"/>
      <c r="KKQ216"/>
      <c r="KKR216"/>
      <c r="KKS216"/>
      <c r="KKT216"/>
      <c r="KKU216"/>
      <c r="KKV216"/>
      <c r="KKW216"/>
      <c r="KKX216"/>
      <c r="KKY216"/>
      <c r="KKZ216"/>
      <c r="KLA216"/>
      <c r="KLB216"/>
      <c r="KLC216"/>
      <c r="KLD216"/>
      <c r="KLE216"/>
      <c r="KLF216"/>
      <c r="KLG216"/>
      <c r="KLH216"/>
      <c r="KLI216"/>
      <c r="KLJ216"/>
      <c r="KLK216"/>
      <c r="KLL216"/>
      <c r="KLM216"/>
      <c r="KLN216"/>
      <c r="KLO216"/>
      <c r="KLP216"/>
      <c r="KLQ216"/>
      <c r="KLR216"/>
      <c r="KLS216"/>
      <c r="KLT216"/>
      <c r="KLU216"/>
      <c r="KLV216"/>
      <c r="KLW216"/>
      <c r="KLX216"/>
      <c r="KLY216"/>
      <c r="KLZ216"/>
      <c r="KMA216"/>
      <c r="KMB216"/>
      <c r="KMC216"/>
      <c r="KMD216"/>
      <c r="KME216"/>
      <c r="KMF216"/>
      <c r="KMG216"/>
      <c r="KMH216"/>
      <c r="KMI216"/>
      <c r="KMJ216"/>
      <c r="KMK216"/>
      <c r="KML216"/>
      <c r="KMM216"/>
      <c r="KMN216"/>
      <c r="KMO216"/>
      <c r="KMP216"/>
      <c r="KMQ216"/>
      <c r="KMR216"/>
      <c r="KMS216"/>
      <c r="KMT216"/>
      <c r="KMU216"/>
      <c r="KMV216"/>
      <c r="KMW216"/>
      <c r="KMX216"/>
      <c r="KMY216"/>
      <c r="KMZ216"/>
      <c r="KNA216"/>
      <c r="KNB216"/>
      <c r="KNC216"/>
      <c r="KND216"/>
      <c r="KNE216"/>
      <c r="KNF216"/>
      <c r="KNG216"/>
      <c r="KNH216"/>
      <c r="KNI216"/>
      <c r="KNJ216"/>
      <c r="KNK216"/>
      <c r="KNL216"/>
      <c r="KNM216"/>
      <c r="KNN216"/>
      <c r="KNO216"/>
      <c r="KNP216"/>
      <c r="KNQ216"/>
      <c r="KNR216"/>
      <c r="KNS216"/>
      <c r="KNT216"/>
      <c r="KNU216"/>
      <c r="KNV216"/>
      <c r="KNW216"/>
      <c r="KNX216"/>
      <c r="KNY216"/>
      <c r="KNZ216"/>
      <c r="KOA216"/>
      <c r="KOB216"/>
      <c r="KOC216"/>
      <c r="KOD216"/>
      <c r="KOE216"/>
      <c r="KOF216"/>
      <c r="KOG216"/>
      <c r="KOH216"/>
      <c r="KOI216"/>
      <c r="KOJ216"/>
      <c r="KOK216"/>
      <c r="KOL216"/>
      <c r="KOM216"/>
      <c r="KON216"/>
      <c r="KOO216"/>
      <c r="KOP216"/>
      <c r="KOQ216"/>
      <c r="KOR216"/>
      <c r="KOS216"/>
      <c r="KOT216"/>
      <c r="KOU216"/>
      <c r="KOV216"/>
      <c r="KOW216"/>
      <c r="KOX216"/>
      <c r="KOY216"/>
      <c r="KOZ216"/>
      <c r="KPA216"/>
      <c r="KPB216"/>
      <c r="KPC216"/>
      <c r="KPD216"/>
      <c r="KPE216"/>
      <c r="KPF216"/>
      <c r="KPG216"/>
      <c r="KPH216"/>
      <c r="KPI216"/>
      <c r="KPJ216"/>
      <c r="KPK216"/>
      <c r="KPL216"/>
      <c r="KPM216"/>
      <c r="KPN216"/>
      <c r="KPO216"/>
      <c r="KPP216"/>
      <c r="KPQ216"/>
      <c r="KPR216"/>
      <c r="KPS216"/>
      <c r="KPT216"/>
      <c r="KPU216"/>
      <c r="KPV216"/>
      <c r="KPW216"/>
      <c r="KPX216"/>
      <c r="KPY216"/>
      <c r="KPZ216"/>
      <c r="KQA216"/>
      <c r="KQB216"/>
      <c r="KQC216"/>
      <c r="KQD216"/>
      <c r="KQE216"/>
      <c r="KQF216"/>
      <c r="KQG216"/>
      <c r="KQH216"/>
      <c r="KQI216"/>
      <c r="KQJ216"/>
      <c r="KQK216"/>
      <c r="KQL216"/>
      <c r="KQM216"/>
      <c r="KQN216"/>
      <c r="KQO216"/>
      <c r="KQP216"/>
      <c r="KQQ216"/>
      <c r="KQR216"/>
      <c r="KQS216"/>
      <c r="KQT216"/>
      <c r="KQU216"/>
      <c r="KQV216"/>
      <c r="KQW216"/>
      <c r="KQX216"/>
      <c r="KQY216"/>
      <c r="KQZ216"/>
      <c r="KRA216"/>
      <c r="KRB216"/>
      <c r="KRC216"/>
      <c r="KRD216"/>
      <c r="KRE216"/>
      <c r="KRF216"/>
      <c r="KRG216"/>
      <c r="KRH216"/>
      <c r="KRI216"/>
      <c r="KRJ216"/>
      <c r="KRK216"/>
      <c r="KRL216"/>
      <c r="KRM216"/>
      <c r="KRN216"/>
      <c r="KRO216"/>
      <c r="KRP216"/>
      <c r="KRQ216"/>
      <c r="KRR216"/>
      <c r="KRS216"/>
      <c r="KRT216"/>
      <c r="KRU216"/>
      <c r="KRV216"/>
      <c r="KRW216"/>
      <c r="KRX216"/>
      <c r="KRY216"/>
      <c r="KRZ216"/>
      <c r="KSA216"/>
      <c r="KSB216"/>
      <c r="KSC216"/>
      <c r="KSD216"/>
      <c r="KSE216"/>
      <c r="KSF216"/>
      <c r="KSG216"/>
      <c r="KSH216"/>
      <c r="KSI216"/>
      <c r="KSJ216"/>
      <c r="KSK216"/>
      <c r="KSL216"/>
      <c r="KSM216"/>
      <c r="KSN216"/>
      <c r="KSO216"/>
      <c r="KSP216"/>
      <c r="KSQ216"/>
      <c r="KSR216"/>
      <c r="KSS216"/>
      <c r="KST216"/>
      <c r="KSU216"/>
      <c r="KSV216"/>
      <c r="KSW216"/>
      <c r="KSX216"/>
      <c r="KSY216"/>
      <c r="KSZ216"/>
      <c r="KTA216"/>
      <c r="KTB216"/>
      <c r="KTC216"/>
      <c r="KTD216"/>
      <c r="KTE216"/>
      <c r="KTF216"/>
      <c r="KTG216"/>
      <c r="KTH216"/>
      <c r="KTI216"/>
      <c r="KTJ216"/>
      <c r="KTK216"/>
      <c r="KTL216"/>
      <c r="KTM216"/>
      <c r="KTN216"/>
      <c r="KTO216"/>
      <c r="KTP216"/>
      <c r="KTQ216"/>
      <c r="KTR216"/>
      <c r="KTS216"/>
      <c r="KTT216"/>
      <c r="KTU216"/>
      <c r="KTV216"/>
      <c r="KTW216"/>
      <c r="KTX216"/>
      <c r="KTY216"/>
      <c r="KTZ216"/>
      <c r="KUA216"/>
      <c r="KUB216"/>
      <c r="KUC216"/>
      <c r="KUD216"/>
      <c r="KUE216"/>
      <c r="KUF216"/>
      <c r="KUG216"/>
      <c r="KUH216"/>
      <c r="KUI216"/>
      <c r="KUJ216"/>
      <c r="KUK216"/>
      <c r="KUL216"/>
      <c r="KUM216"/>
      <c r="KUN216"/>
      <c r="KUO216"/>
      <c r="KUP216"/>
      <c r="KUQ216"/>
      <c r="KUR216"/>
      <c r="KUS216"/>
      <c r="KUT216"/>
      <c r="KUU216"/>
      <c r="KUV216"/>
      <c r="KUW216"/>
      <c r="KUX216"/>
      <c r="KUY216"/>
      <c r="KUZ216"/>
      <c r="KVA216"/>
      <c r="KVB216"/>
      <c r="KVC216"/>
      <c r="KVD216"/>
      <c r="KVE216"/>
      <c r="KVF216"/>
      <c r="KVG216"/>
      <c r="KVH216"/>
      <c r="KVI216"/>
      <c r="KVJ216"/>
      <c r="KVK216"/>
      <c r="KVL216"/>
      <c r="KVM216"/>
      <c r="KVN216"/>
      <c r="KVO216"/>
      <c r="KVP216"/>
      <c r="KVQ216"/>
      <c r="KVR216"/>
      <c r="KVS216"/>
      <c r="KVT216"/>
      <c r="KVU216"/>
      <c r="KVV216"/>
      <c r="KVW216"/>
      <c r="KVX216"/>
      <c r="KVY216"/>
      <c r="KVZ216"/>
      <c r="KWA216"/>
      <c r="KWB216"/>
      <c r="KWC216"/>
      <c r="KWD216"/>
      <c r="KWE216"/>
      <c r="KWF216"/>
      <c r="KWG216"/>
      <c r="KWH216"/>
      <c r="KWI216"/>
      <c r="KWJ216"/>
      <c r="KWK216"/>
      <c r="KWL216"/>
      <c r="KWM216"/>
      <c r="KWN216"/>
      <c r="KWO216"/>
      <c r="KWP216"/>
      <c r="KWQ216"/>
      <c r="KWR216"/>
      <c r="KWS216"/>
      <c r="KWT216"/>
      <c r="KWU216"/>
      <c r="KWV216"/>
      <c r="KWW216"/>
      <c r="KWX216"/>
      <c r="KWY216"/>
      <c r="KWZ216"/>
      <c r="KXA216"/>
      <c r="KXB216"/>
      <c r="KXC216"/>
      <c r="KXD216"/>
      <c r="KXE216"/>
      <c r="KXF216"/>
      <c r="KXG216"/>
      <c r="KXH216"/>
      <c r="KXI216"/>
      <c r="KXJ216"/>
      <c r="KXK216"/>
      <c r="KXL216"/>
      <c r="KXM216"/>
      <c r="KXN216"/>
      <c r="KXO216"/>
      <c r="KXP216"/>
      <c r="KXQ216"/>
      <c r="KXR216"/>
      <c r="KXS216"/>
      <c r="KXT216"/>
      <c r="KXU216"/>
      <c r="KXV216"/>
      <c r="KXW216"/>
      <c r="KXX216"/>
      <c r="KXY216"/>
      <c r="KXZ216"/>
      <c r="KYA216"/>
      <c r="KYB216"/>
      <c r="KYC216"/>
      <c r="KYD216"/>
      <c r="KYE216"/>
      <c r="KYF216"/>
      <c r="KYG216"/>
      <c r="KYH216"/>
      <c r="KYI216"/>
      <c r="KYJ216"/>
      <c r="KYK216"/>
      <c r="KYL216"/>
      <c r="KYM216"/>
      <c r="KYN216"/>
      <c r="KYO216"/>
      <c r="KYP216"/>
      <c r="KYQ216"/>
      <c r="KYR216"/>
      <c r="KYS216"/>
      <c r="KYT216"/>
      <c r="KYU216"/>
      <c r="KYV216"/>
      <c r="KYW216"/>
      <c r="KYX216"/>
      <c r="KYY216"/>
      <c r="KYZ216"/>
      <c r="KZA216"/>
      <c r="KZB216"/>
      <c r="KZC216"/>
      <c r="KZD216"/>
      <c r="KZE216"/>
      <c r="KZF216"/>
      <c r="KZG216"/>
      <c r="KZH216"/>
      <c r="KZI216"/>
      <c r="KZJ216"/>
      <c r="KZK216"/>
      <c r="KZL216"/>
      <c r="KZM216"/>
      <c r="KZN216"/>
      <c r="KZO216"/>
      <c r="KZP216"/>
      <c r="KZQ216"/>
      <c r="KZR216"/>
      <c r="KZS216"/>
      <c r="KZT216"/>
      <c r="KZU216"/>
      <c r="KZV216"/>
      <c r="KZW216"/>
      <c r="KZX216"/>
      <c r="KZY216"/>
      <c r="KZZ216"/>
      <c r="LAA216"/>
      <c r="LAB216"/>
      <c r="LAC216"/>
      <c r="LAD216"/>
      <c r="LAE216"/>
      <c r="LAF216"/>
      <c r="LAG216"/>
      <c r="LAH216"/>
      <c r="LAI216"/>
      <c r="LAJ216"/>
      <c r="LAK216"/>
      <c r="LAL216"/>
      <c r="LAM216"/>
      <c r="LAN216"/>
      <c r="LAO216"/>
      <c r="LAP216"/>
      <c r="LAQ216"/>
      <c r="LAR216"/>
      <c r="LAS216"/>
      <c r="LAT216"/>
      <c r="LAU216"/>
      <c r="LAV216"/>
      <c r="LAW216"/>
      <c r="LAX216"/>
      <c r="LAY216"/>
      <c r="LAZ216"/>
      <c r="LBA216"/>
      <c r="LBB216"/>
      <c r="LBC216"/>
      <c r="LBD216"/>
      <c r="LBE216"/>
      <c r="LBF216"/>
      <c r="LBG216"/>
      <c r="LBH216"/>
      <c r="LBI216"/>
      <c r="LBJ216"/>
      <c r="LBK216"/>
      <c r="LBL216"/>
      <c r="LBM216"/>
      <c r="LBN216"/>
      <c r="LBO216"/>
      <c r="LBP216"/>
      <c r="LBQ216"/>
      <c r="LBR216"/>
      <c r="LBS216"/>
      <c r="LBT216"/>
      <c r="LBU216"/>
      <c r="LBV216"/>
      <c r="LBW216"/>
      <c r="LBX216"/>
      <c r="LBY216"/>
      <c r="LBZ216"/>
      <c r="LCA216"/>
      <c r="LCB216"/>
      <c r="LCC216"/>
      <c r="LCD216"/>
      <c r="LCE216"/>
      <c r="LCF216"/>
      <c r="LCG216"/>
      <c r="LCH216"/>
      <c r="LCI216"/>
      <c r="LCJ216"/>
      <c r="LCK216"/>
      <c r="LCL216"/>
      <c r="LCM216"/>
      <c r="LCN216"/>
      <c r="LCO216"/>
      <c r="LCP216"/>
      <c r="LCQ216"/>
      <c r="LCR216"/>
      <c r="LCS216"/>
      <c r="LCT216"/>
      <c r="LCU216"/>
      <c r="LCV216"/>
      <c r="LCW216"/>
      <c r="LCX216"/>
      <c r="LCY216"/>
      <c r="LCZ216"/>
      <c r="LDA216"/>
      <c r="LDB216"/>
      <c r="LDC216"/>
      <c r="LDD216"/>
      <c r="LDE216"/>
      <c r="LDF216"/>
      <c r="LDG216"/>
      <c r="LDH216"/>
      <c r="LDI216"/>
      <c r="LDJ216"/>
      <c r="LDK216"/>
      <c r="LDL216"/>
      <c r="LDM216"/>
      <c r="LDN216"/>
      <c r="LDO216"/>
      <c r="LDP216"/>
      <c r="LDQ216"/>
      <c r="LDR216"/>
      <c r="LDS216"/>
      <c r="LDT216"/>
      <c r="LDU216"/>
      <c r="LDV216"/>
      <c r="LDW216"/>
      <c r="LDX216"/>
      <c r="LDY216"/>
      <c r="LDZ216"/>
      <c r="LEA216"/>
      <c r="LEB216"/>
      <c r="LEC216"/>
      <c r="LED216"/>
      <c r="LEE216"/>
      <c r="LEF216"/>
      <c r="LEG216"/>
      <c r="LEH216"/>
      <c r="LEI216"/>
      <c r="LEJ216"/>
      <c r="LEK216"/>
      <c r="LEL216"/>
      <c r="LEM216"/>
      <c r="LEN216"/>
      <c r="LEO216"/>
      <c r="LEP216"/>
      <c r="LEQ216"/>
      <c r="LER216"/>
      <c r="LES216"/>
      <c r="LET216"/>
      <c r="LEU216"/>
      <c r="LEV216"/>
      <c r="LEW216"/>
      <c r="LEX216"/>
      <c r="LEY216"/>
      <c r="LEZ216"/>
      <c r="LFA216"/>
      <c r="LFB216"/>
      <c r="LFC216"/>
      <c r="LFD216"/>
      <c r="LFE216"/>
      <c r="LFF216"/>
      <c r="LFG216"/>
      <c r="LFH216"/>
      <c r="LFI216"/>
      <c r="LFJ216"/>
      <c r="LFK216"/>
      <c r="LFL216"/>
      <c r="LFM216"/>
      <c r="LFN216"/>
      <c r="LFO216"/>
      <c r="LFP216"/>
      <c r="LFQ216"/>
      <c r="LFR216"/>
      <c r="LFS216"/>
      <c r="LFT216"/>
      <c r="LFU216"/>
      <c r="LFV216"/>
      <c r="LFW216"/>
      <c r="LFX216"/>
      <c r="LFY216"/>
      <c r="LFZ216"/>
      <c r="LGA216"/>
      <c r="LGB216"/>
      <c r="LGC216"/>
      <c r="LGD216"/>
      <c r="LGE216"/>
      <c r="LGF216"/>
      <c r="LGG216"/>
      <c r="LGH216"/>
      <c r="LGI216"/>
      <c r="LGJ216"/>
      <c r="LGK216"/>
      <c r="LGL216"/>
      <c r="LGM216"/>
      <c r="LGN216"/>
      <c r="LGO216"/>
      <c r="LGP216"/>
      <c r="LGQ216"/>
      <c r="LGR216"/>
      <c r="LGS216"/>
      <c r="LGT216"/>
      <c r="LGU216"/>
      <c r="LGV216"/>
      <c r="LGW216"/>
      <c r="LGX216"/>
      <c r="LGY216"/>
      <c r="LGZ216"/>
      <c r="LHA216"/>
      <c r="LHB216"/>
      <c r="LHC216"/>
      <c r="LHD216"/>
      <c r="LHE216"/>
      <c r="LHF216"/>
      <c r="LHG216"/>
      <c r="LHH216"/>
      <c r="LHI216"/>
      <c r="LHJ216"/>
      <c r="LHK216"/>
      <c r="LHL216"/>
      <c r="LHM216"/>
      <c r="LHN216"/>
      <c r="LHO216"/>
      <c r="LHP216"/>
      <c r="LHQ216"/>
      <c r="LHR216"/>
      <c r="LHS216"/>
      <c r="LHT216"/>
      <c r="LHU216"/>
      <c r="LHV216"/>
      <c r="LHW216"/>
      <c r="LHX216"/>
      <c r="LHY216"/>
      <c r="LHZ216"/>
      <c r="LIA216"/>
      <c r="LIB216"/>
      <c r="LIC216"/>
      <c r="LID216"/>
      <c r="LIE216"/>
      <c r="LIF216"/>
      <c r="LIG216"/>
      <c r="LIH216"/>
      <c r="LII216"/>
      <c r="LIJ216"/>
      <c r="LIK216"/>
      <c r="LIL216"/>
      <c r="LIM216"/>
      <c r="LIN216"/>
      <c r="LIO216"/>
      <c r="LIP216"/>
      <c r="LIQ216"/>
      <c r="LIR216"/>
      <c r="LIS216"/>
      <c r="LIT216"/>
      <c r="LIU216"/>
      <c r="LIV216"/>
      <c r="LIW216"/>
      <c r="LIX216"/>
      <c r="LIY216"/>
      <c r="LIZ216"/>
      <c r="LJA216"/>
      <c r="LJB216"/>
      <c r="LJC216"/>
      <c r="LJD216"/>
      <c r="LJE216"/>
      <c r="LJF216"/>
      <c r="LJG216"/>
      <c r="LJH216"/>
      <c r="LJI216"/>
      <c r="LJJ216"/>
      <c r="LJK216"/>
      <c r="LJL216"/>
      <c r="LJM216"/>
      <c r="LJN216"/>
      <c r="LJO216"/>
      <c r="LJP216"/>
      <c r="LJQ216"/>
      <c r="LJR216"/>
      <c r="LJS216"/>
      <c r="LJT216"/>
      <c r="LJU216"/>
      <c r="LJV216"/>
      <c r="LJW216"/>
      <c r="LJX216"/>
      <c r="LJY216"/>
      <c r="LJZ216"/>
      <c r="LKA216"/>
      <c r="LKB216"/>
      <c r="LKC216"/>
      <c r="LKD216"/>
      <c r="LKE216"/>
      <c r="LKF216"/>
      <c r="LKG216"/>
      <c r="LKH216"/>
      <c r="LKI216"/>
      <c r="LKJ216"/>
      <c r="LKK216"/>
      <c r="LKL216"/>
      <c r="LKM216"/>
      <c r="LKN216"/>
      <c r="LKO216"/>
      <c r="LKP216"/>
      <c r="LKQ216"/>
      <c r="LKR216"/>
      <c r="LKS216"/>
      <c r="LKT216"/>
      <c r="LKU216"/>
      <c r="LKV216"/>
      <c r="LKW216"/>
      <c r="LKX216"/>
      <c r="LKY216"/>
      <c r="LKZ216"/>
      <c r="LLA216"/>
      <c r="LLB216"/>
      <c r="LLC216"/>
      <c r="LLD216"/>
      <c r="LLE216"/>
      <c r="LLF216"/>
      <c r="LLG216"/>
      <c r="LLH216"/>
      <c r="LLI216"/>
      <c r="LLJ216"/>
      <c r="LLK216"/>
      <c r="LLL216"/>
      <c r="LLM216"/>
      <c r="LLN216"/>
      <c r="LLO216"/>
      <c r="LLP216"/>
      <c r="LLQ216"/>
      <c r="LLR216"/>
      <c r="LLS216"/>
      <c r="LLT216"/>
      <c r="LLU216"/>
      <c r="LLV216"/>
      <c r="LLW216"/>
      <c r="LLX216"/>
      <c r="LLY216"/>
      <c r="LLZ216"/>
      <c r="LMA216"/>
      <c r="LMB216"/>
      <c r="LMC216"/>
      <c r="LMD216"/>
      <c r="LME216"/>
      <c r="LMF216"/>
      <c r="LMG216"/>
      <c r="LMH216"/>
      <c r="LMI216"/>
      <c r="LMJ216"/>
      <c r="LMK216"/>
      <c r="LML216"/>
      <c r="LMM216"/>
      <c r="LMN216"/>
      <c r="LMO216"/>
      <c r="LMP216"/>
      <c r="LMQ216"/>
      <c r="LMR216"/>
      <c r="LMS216"/>
      <c r="LMT216"/>
      <c r="LMU216"/>
      <c r="LMV216"/>
      <c r="LMW216"/>
      <c r="LMX216"/>
      <c r="LMY216"/>
      <c r="LMZ216"/>
      <c r="LNA216"/>
      <c r="LNB216"/>
      <c r="LNC216"/>
      <c r="LND216"/>
      <c r="LNE216"/>
      <c r="LNF216"/>
      <c r="LNG216"/>
      <c r="LNH216"/>
      <c r="LNI216"/>
      <c r="LNJ216"/>
      <c r="LNK216"/>
      <c r="LNL216"/>
      <c r="LNM216"/>
      <c r="LNN216"/>
      <c r="LNO216"/>
      <c r="LNP216"/>
      <c r="LNQ216"/>
      <c r="LNR216"/>
      <c r="LNS216"/>
      <c r="LNT216"/>
      <c r="LNU216"/>
      <c r="LNV216"/>
      <c r="LNW216"/>
      <c r="LNX216"/>
      <c r="LNY216"/>
      <c r="LNZ216"/>
      <c r="LOA216"/>
      <c r="LOB216"/>
      <c r="LOC216"/>
      <c r="LOD216"/>
      <c r="LOE216"/>
      <c r="LOF216"/>
      <c r="LOG216"/>
      <c r="LOH216"/>
      <c r="LOI216"/>
      <c r="LOJ216"/>
      <c r="LOK216"/>
      <c r="LOL216"/>
      <c r="LOM216"/>
      <c r="LON216"/>
      <c r="LOO216"/>
      <c r="LOP216"/>
      <c r="LOQ216"/>
      <c r="LOR216"/>
      <c r="LOS216"/>
      <c r="LOT216"/>
      <c r="LOU216"/>
      <c r="LOV216"/>
      <c r="LOW216"/>
      <c r="LOX216"/>
      <c r="LOY216"/>
      <c r="LOZ216"/>
      <c r="LPA216"/>
      <c r="LPB216"/>
      <c r="LPC216"/>
      <c r="LPD216"/>
      <c r="LPE216"/>
      <c r="LPF216"/>
      <c r="LPG216"/>
      <c r="LPH216"/>
      <c r="LPI216"/>
      <c r="LPJ216"/>
      <c r="LPK216"/>
      <c r="LPL216"/>
      <c r="LPM216"/>
      <c r="LPN216"/>
      <c r="LPO216"/>
      <c r="LPP216"/>
      <c r="LPQ216"/>
      <c r="LPR216"/>
      <c r="LPS216"/>
      <c r="LPT216"/>
      <c r="LPU216"/>
      <c r="LPV216"/>
      <c r="LPW216"/>
      <c r="LPX216"/>
      <c r="LPY216"/>
      <c r="LPZ216"/>
      <c r="LQA216"/>
      <c r="LQB216"/>
      <c r="LQC216"/>
      <c r="LQD216"/>
      <c r="LQE216"/>
      <c r="LQF216"/>
      <c r="LQG216"/>
      <c r="LQH216"/>
      <c r="LQI216"/>
      <c r="LQJ216"/>
      <c r="LQK216"/>
      <c r="LQL216"/>
      <c r="LQM216"/>
      <c r="LQN216"/>
      <c r="LQO216"/>
      <c r="LQP216"/>
      <c r="LQQ216"/>
      <c r="LQR216"/>
      <c r="LQS216"/>
      <c r="LQT216"/>
      <c r="LQU216"/>
      <c r="LQV216"/>
      <c r="LQW216"/>
      <c r="LQX216"/>
      <c r="LQY216"/>
      <c r="LQZ216"/>
      <c r="LRA216"/>
      <c r="LRB216"/>
      <c r="LRC216"/>
      <c r="LRD216"/>
      <c r="LRE216"/>
      <c r="LRF216"/>
      <c r="LRG216"/>
      <c r="LRH216"/>
      <c r="LRI216"/>
      <c r="LRJ216"/>
      <c r="LRK216"/>
      <c r="LRL216"/>
      <c r="LRM216"/>
      <c r="LRN216"/>
      <c r="LRO216"/>
      <c r="LRP216"/>
      <c r="LRQ216"/>
      <c r="LRR216"/>
      <c r="LRS216"/>
      <c r="LRT216"/>
      <c r="LRU216"/>
      <c r="LRV216"/>
      <c r="LRW216"/>
      <c r="LRX216"/>
      <c r="LRY216"/>
      <c r="LRZ216"/>
      <c r="LSA216"/>
      <c r="LSB216"/>
      <c r="LSC216"/>
      <c r="LSD216"/>
      <c r="LSE216"/>
      <c r="LSF216"/>
      <c r="LSG216"/>
      <c r="LSH216"/>
      <c r="LSI216"/>
      <c r="LSJ216"/>
      <c r="LSK216"/>
      <c r="LSL216"/>
      <c r="LSM216"/>
      <c r="LSN216"/>
      <c r="LSO216"/>
      <c r="LSP216"/>
      <c r="LSQ216"/>
      <c r="LSR216"/>
      <c r="LSS216"/>
      <c r="LST216"/>
      <c r="LSU216"/>
      <c r="LSV216"/>
      <c r="LSW216"/>
      <c r="LSX216"/>
      <c r="LSY216"/>
      <c r="LSZ216"/>
      <c r="LTA216"/>
      <c r="LTB216"/>
      <c r="LTC216"/>
      <c r="LTD216"/>
      <c r="LTE216"/>
      <c r="LTF216"/>
      <c r="LTG216"/>
      <c r="LTH216"/>
      <c r="LTI216"/>
      <c r="LTJ216"/>
      <c r="LTK216"/>
      <c r="LTL216"/>
      <c r="LTM216"/>
      <c r="LTN216"/>
      <c r="LTO216"/>
      <c r="LTP216"/>
      <c r="LTQ216"/>
      <c r="LTR216"/>
      <c r="LTS216"/>
      <c r="LTT216"/>
      <c r="LTU216"/>
      <c r="LTV216"/>
      <c r="LTW216"/>
      <c r="LTX216"/>
      <c r="LTY216"/>
      <c r="LTZ216"/>
      <c r="LUA216"/>
      <c r="LUB216"/>
      <c r="LUC216"/>
      <c r="LUD216"/>
      <c r="LUE216"/>
      <c r="LUF216"/>
      <c r="LUG216"/>
      <c r="LUH216"/>
      <c r="LUI216"/>
      <c r="LUJ216"/>
      <c r="LUK216"/>
      <c r="LUL216"/>
      <c r="LUM216"/>
      <c r="LUN216"/>
      <c r="LUO216"/>
      <c r="LUP216"/>
      <c r="LUQ216"/>
      <c r="LUR216"/>
      <c r="LUS216"/>
      <c r="LUT216"/>
      <c r="LUU216"/>
      <c r="LUV216"/>
      <c r="LUW216"/>
      <c r="LUX216"/>
      <c r="LUY216"/>
      <c r="LUZ216"/>
      <c r="LVA216"/>
      <c r="LVB216"/>
      <c r="LVC216"/>
      <c r="LVD216"/>
      <c r="LVE216"/>
      <c r="LVF216"/>
      <c r="LVG216"/>
      <c r="LVH216"/>
      <c r="LVI216"/>
      <c r="LVJ216"/>
      <c r="LVK216"/>
      <c r="LVL216"/>
      <c r="LVM216"/>
      <c r="LVN216"/>
      <c r="LVO216"/>
      <c r="LVP216"/>
      <c r="LVQ216"/>
      <c r="LVR216"/>
      <c r="LVS216"/>
      <c r="LVT216"/>
      <c r="LVU216"/>
      <c r="LVV216"/>
      <c r="LVW216"/>
      <c r="LVX216"/>
      <c r="LVY216"/>
      <c r="LVZ216"/>
      <c r="LWA216"/>
      <c r="LWB216"/>
      <c r="LWC216"/>
      <c r="LWD216"/>
      <c r="LWE216"/>
      <c r="LWF216"/>
      <c r="LWG216"/>
      <c r="LWH216"/>
      <c r="LWI216"/>
      <c r="LWJ216"/>
      <c r="LWK216"/>
      <c r="LWL216"/>
      <c r="LWM216"/>
      <c r="LWN216"/>
      <c r="LWO216"/>
      <c r="LWP216"/>
      <c r="LWQ216"/>
      <c r="LWR216"/>
      <c r="LWS216"/>
      <c r="LWT216"/>
      <c r="LWU216"/>
      <c r="LWV216"/>
      <c r="LWW216"/>
      <c r="LWX216"/>
      <c r="LWY216"/>
      <c r="LWZ216"/>
      <c r="LXA216"/>
      <c r="LXB216"/>
      <c r="LXC216"/>
      <c r="LXD216"/>
      <c r="LXE216"/>
      <c r="LXF216"/>
      <c r="LXG216"/>
      <c r="LXH216"/>
      <c r="LXI216"/>
      <c r="LXJ216"/>
      <c r="LXK216"/>
      <c r="LXL216"/>
      <c r="LXM216"/>
      <c r="LXN216"/>
      <c r="LXO216"/>
      <c r="LXP216"/>
      <c r="LXQ216"/>
      <c r="LXR216"/>
      <c r="LXS216"/>
      <c r="LXT216"/>
      <c r="LXU216"/>
      <c r="LXV216"/>
      <c r="LXW216"/>
      <c r="LXX216"/>
      <c r="LXY216"/>
      <c r="LXZ216"/>
      <c r="LYA216"/>
      <c r="LYB216"/>
      <c r="LYC216"/>
      <c r="LYD216"/>
      <c r="LYE216"/>
      <c r="LYF216"/>
      <c r="LYG216"/>
      <c r="LYH216"/>
      <c r="LYI216"/>
      <c r="LYJ216"/>
      <c r="LYK216"/>
      <c r="LYL216"/>
      <c r="LYM216"/>
      <c r="LYN216"/>
      <c r="LYO216"/>
      <c r="LYP216"/>
      <c r="LYQ216"/>
      <c r="LYR216"/>
      <c r="LYS216"/>
      <c r="LYT216"/>
      <c r="LYU216"/>
      <c r="LYV216"/>
      <c r="LYW216"/>
      <c r="LYX216"/>
      <c r="LYY216"/>
      <c r="LYZ216"/>
      <c r="LZA216"/>
      <c r="LZB216"/>
      <c r="LZC216"/>
      <c r="LZD216"/>
      <c r="LZE216"/>
      <c r="LZF216"/>
      <c r="LZG216"/>
      <c r="LZH216"/>
      <c r="LZI216"/>
      <c r="LZJ216"/>
      <c r="LZK216"/>
      <c r="LZL216"/>
      <c r="LZM216"/>
      <c r="LZN216"/>
      <c r="LZO216"/>
      <c r="LZP216"/>
      <c r="LZQ216"/>
      <c r="LZR216"/>
      <c r="LZS216"/>
      <c r="LZT216"/>
      <c r="LZU216"/>
      <c r="LZV216"/>
      <c r="LZW216"/>
      <c r="LZX216"/>
      <c r="LZY216"/>
      <c r="LZZ216"/>
      <c r="MAA216"/>
      <c r="MAB216"/>
      <c r="MAC216"/>
      <c r="MAD216"/>
      <c r="MAE216"/>
      <c r="MAF216"/>
      <c r="MAG216"/>
      <c r="MAH216"/>
      <c r="MAI216"/>
      <c r="MAJ216"/>
      <c r="MAK216"/>
      <c r="MAL216"/>
      <c r="MAM216"/>
      <c r="MAN216"/>
      <c r="MAO216"/>
      <c r="MAP216"/>
      <c r="MAQ216"/>
      <c r="MAR216"/>
      <c r="MAS216"/>
      <c r="MAT216"/>
      <c r="MAU216"/>
      <c r="MAV216"/>
      <c r="MAW216"/>
      <c r="MAX216"/>
      <c r="MAY216"/>
      <c r="MAZ216"/>
      <c r="MBA216"/>
      <c r="MBB216"/>
      <c r="MBC216"/>
      <c r="MBD216"/>
      <c r="MBE216"/>
      <c r="MBF216"/>
      <c r="MBG216"/>
      <c r="MBH216"/>
      <c r="MBI216"/>
      <c r="MBJ216"/>
      <c r="MBK216"/>
      <c r="MBL216"/>
      <c r="MBM216"/>
      <c r="MBN216"/>
      <c r="MBO216"/>
      <c r="MBP216"/>
      <c r="MBQ216"/>
      <c r="MBR216"/>
      <c r="MBS216"/>
      <c r="MBT216"/>
      <c r="MBU216"/>
      <c r="MBV216"/>
      <c r="MBW216"/>
      <c r="MBX216"/>
      <c r="MBY216"/>
      <c r="MBZ216"/>
      <c r="MCA216"/>
      <c r="MCB216"/>
      <c r="MCC216"/>
      <c r="MCD216"/>
      <c r="MCE216"/>
      <c r="MCF216"/>
      <c r="MCG216"/>
      <c r="MCH216"/>
      <c r="MCI216"/>
      <c r="MCJ216"/>
      <c r="MCK216"/>
      <c r="MCL216"/>
      <c r="MCM216"/>
      <c r="MCN216"/>
      <c r="MCO216"/>
      <c r="MCP216"/>
      <c r="MCQ216"/>
      <c r="MCR216"/>
      <c r="MCS216"/>
      <c r="MCT216"/>
      <c r="MCU216"/>
      <c r="MCV216"/>
      <c r="MCW216"/>
      <c r="MCX216"/>
      <c r="MCY216"/>
      <c r="MCZ216"/>
      <c r="MDA216"/>
      <c r="MDB216"/>
      <c r="MDC216"/>
      <c r="MDD216"/>
      <c r="MDE216"/>
      <c r="MDF216"/>
      <c r="MDG216"/>
      <c r="MDH216"/>
      <c r="MDI216"/>
      <c r="MDJ216"/>
      <c r="MDK216"/>
      <c r="MDL216"/>
      <c r="MDM216"/>
      <c r="MDN216"/>
      <c r="MDO216"/>
      <c r="MDP216"/>
      <c r="MDQ216"/>
      <c r="MDR216"/>
      <c r="MDS216"/>
      <c r="MDT216"/>
      <c r="MDU216"/>
      <c r="MDV216"/>
      <c r="MDW216"/>
      <c r="MDX216"/>
      <c r="MDY216"/>
      <c r="MDZ216"/>
      <c r="MEA216"/>
      <c r="MEB216"/>
      <c r="MEC216"/>
      <c r="MED216"/>
      <c r="MEE216"/>
      <c r="MEF216"/>
      <c r="MEG216"/>
      <c r="MEH216"/>
      <c r="MEI216"/>
      <c r="MEJ216"/>
      <c r="MEK216"/>
      <c r="MEL216"/>
      <c r="MEM216"/>
      <c r="MEN216"/>
      <c r="MEO216"/>
      <c r="MEP216"/>
      <c r="MEQ216"/>
      <c r="MER216"/>
      <c r="MES216"/>
      <c r="MET216"/>
      <c r="MEU216"/>
      <c r="MEV216"/>
      <c r="MEW216"/>
      <c r="MEX216"/>
      <c r="MEY216"/>
      <c r="MEZ216"/>
      <c r="MFA216"/>
      <c r="MFB216"/>
      <c r="MFC216"/>
      <c r="MFD216"/>
      <c r="MFE216"/>
      <c r="MFF216"/>
      <c r="MFG216"/>
      <c r="MFH216"/>
      <c r="MFI216"/>
      <c r="MFJ216"/>
      <c r="MFK216"/>
      <c r="MFL216"/>
      <c r="MFM216"/>
      <c r="MFN216"/>
      <c r="MFO216"/>
      <c r="MFP216"/>
      <c r="MFQ216"/>
      <c r="MFR216"/>
      <c r="MFS216"/>
      <c r="MFT216"/>
      <c r="MFU216"/>
      <c r="MFV216"/>
      <c r="MFW216"/>
      <c r="MFX216"/>
      <c r="MFY216"/>
      <c r="MFZ216"/>
      <c r="MGA216"/>
      <c r="MGB216"/>
      <c r="MGC216"/>
      <c r="MGD216"/>
      <c r="MGE216"/>
      <c r="MGF216"/>
      <c r="MGG216"/>
      <c r="MGH216"/>
      <c r="MGI216"/>
      <c r="MGJ216"/>
      <c r="MGK216"/>
      <c r="MGL216"/>
      <c r="MGM216"/>
      <c r="MGN216"/>
      <c r="MGO216"/>
      <c r="MGP216"/>
      <c r="MGQ216"/>
      <c r="MGR216"/>
      <c r="MGS216"/>
      <c r="MGT216"/>
      <c r="MGU216"/>
      <c r="MGV216"/>
      <c r="MGW216"/>
      <c r="MGX216"/>
      <c r="MGY216"/>
      <c r="MGZ216"/>
      <c r="MHA216"/>
      <c r="MHB216"/>
      <c r="MHC216"/>
      <c r="MHD216"/>
      <c r="MHE216"/>
      <c r="MHF216"/>
      <c r="MHG216"/>
      <c r="MHH216"/>
      <c r="MHI216"/>
      <c r="MHJ216"/>
      <c r="MHK216"/>
      <c r="MHL216"/>
      <c r="MHM216"/>
      <c r="MHN216"/>
      <c r="MHO216"/>
      <c r="MHP216"/>
      <c r="MHQ216"/>
      <c r="MHR216"/>
      <c r="MHS216"/>
      <c r="MHT216"/>
      <c r="MHU216"/>
      <c r="MHV216"/>
      <c r="MHW216"/>
      <c r="MHX216"/>
      <c r="MHY216"/>
      <c r="MHZ216"/>
      <c r="MIA216"/>
      <c r="MIB216"/>
      <c r="MIC216"/>
      <c r="MID216"/>
      <c r="MIE216"/>
      <c r="MIF216"/>
      <c r="MIG216"/>
      <c r="MIH216"/>
      <c r="MII216"/>
      <c r="MIJ216"/>
      <c r="MIK216"/>
      <c r="MIL216"/>
      <c r="MIM216"/>
      <c r="MIN216"/>
      <c r="MIO216"/>
      <c r="MIP216"/>
      <c r="MIQ216"/>
      <c r="MIR216"/>
      <c r="MIS216"/>
      <c r="MIT216"/>
      <c r="MIU216"/>
      <c r="MIV216"/>
      <c r="MIW216"/>
      <c r="MIX216"/>
      <c r="MIY216"/>
      <c r="MIZ216"/>
      <c r="MJA216"/>
      <c r="MJB216"/>
      <c r="MJC216"/>
      <c r="MJD216"/>
      <c r="MJE216"/>
      <c r="MJF216"/>
      <c r="MJG216"/>
      <c r="MJH216"/>
      <c r="MJI216"/>
      <c r="MJJ216"/>
      <c r="MJK216"/>
      <c r="MJL216"/>
      <c r="MJM216"/>
      <c r="MJN216"/>
      <c r="MJO216"/>
      <c r="MJP216"/>
      <c r="MJQ216"/>
      <c r="MJR216"/>
      <c r="MJS216"/>
      <c r="MJT216"/>
      <c r="MJU216"/>
      <c r="MJV216"/>
      <c r="MJW216"/>
      <c r="MJX216"/>
      <c r="MJY216"/>
      <c r="MJZ216"/>
      <c r="MKA216"/>
      <c r="MKB216"/>
      <c r="MKC216"/>
      <c r="MKD216"/>
      <c r="MKE216"/>
      <c r="MKF216"/>
      <c r="MKG216"/>
      <c r="MKH216"/>
      <c r="MKI216"/>
      <c r="MKJ216"/>
      <c r="MKK216"/>
      <c r="MKL216"/>
      <c r="MKM216"/>
      <c r="MKN216"/>
      <c r="MKO216"/>
      <c r="MKP216"/>
      <c r="MKQ216"/>
      <c r="MKR216"/>
      <c r="MKS216"/>
      <c r="MKT216"/>
      <c r="MKU216"/>
      <c r="MKV216"/>
      <c r="MKW216"/>
      <c r="MKX216"/>
      <c r="MKY216"/>
      <c r="MKZ216"/>
      <c r="MLA216"/>
      <c r="MLB216"/>
      <c r="MLC216"/>
      <c r="MLD216"/>
      <c r="MLE216"/>
      <c r="MLF216"/>
      <c r="MLG216"/>
      <c r="MLH216"/>
      <c r="MLI216"/>
      <c r="MLJ216"/>
      <c r="MLK216"/>
      <c r="MLL216"/>
      <c r="MLM216"/>
      <c r="MLN216"/>
      <c r="MLO216"/>
      <c r="MLP216"/>
      <c r="MLQ216"/>
      <c r="MLR216"/>
      <c r="MLS216"/>
      <c r="MLT216"/>
      <c r="MLU216"/>
      <c r="MLV216"/>
      <c r="MLW216"/>
      <c r="MLX216"/>
      <c r="MLY216"/>
      <c r="MLZ216"/>
      <c r="MMA216"/>
      <c r="MMB216"/>
      <c r="MMC216"/>
      <c r="MMD216"/>
      <c r="MME216"/>
      <c r="MMF216"/>
      <c r="MMG216"/>
      <c r="MMH216"/>
      <c r="MMI216"/>
      <c r="MMJ216"/>
      <c r="MMK216"/>
      <c r="MML216"/>
      <c r="MMM216"/>
      <c r="MMN216"/>
      <c r="MMO216"/>
      <c r="MMP216"/>
      <c r="MMQ216"/>
      <c r="MMR216"/>
      <c r="MMS216"/>
      <c r="MMT216"/>
      <c r="MMU216"/>
      <c r="MMV216"/>
      <c r="MMW216"/>
      <c r="MMX216"/>
      <c r="MMY216"/>
      <c r="MMZ216"/>
      <c r="MNA216"/>
      <c r="MNB216"/>
      <c r="MNC216"/>
      <c r="MND216"/>
      <c r="MNE216"/>
      <c r="MNF216"/>
      <c r="MNG216"/>
      <c r="MNH216"/>
      <c r="MNI216"/>
      <c r="MNJ216"/>
      <c r="MNK216"/>
      <c r="MNL216"/>
      <c r="MNM216"/>
      <c r="MNN216"/>
      <c r="MNO216"/>
      <c r="MNP216"/>
      <c r="MNQ216"/>
      <c r="MNR216"/>
      <c r="MNS216"/>
      <c r="MNT216"/>
      <c r="MNU216"/>
      <c r="MNV216"/>
      <c r="MNW216"/>
      <c r="MNX216"/>
      <c r="MNY216"/>
      <c r="MNZ216"/>
      <c r="MOA216"/>
      <c r="MOB216"/>
      <c r="MOC216"/>
      <c r="MOD216"/>
      <c r="MOE216"/>
      <c r="MOF216"/>
      <c r="MOG216"/>
      <c r="MOH216"/>
      <c r="MOI216"/>
      <c r="MOJ216"/>
      <c r="MOK216"/>
      <c r="MOL216"/>
      <c r="MOM216"/>
      <c r="MON216"/>
      <c r="MOO216"/>
      <c r="MOP216"/>
      <c r="MOQ216"/>
      <c r="MOR216"/>
      <c r="MOS216"/>
      <c r="MOT216"/>
      <c r="MOU216"/>
      <c r="MOV216"/>
      <c r="MOW216"/>
      <c r="MOX216"/>
      <c r="MOY216"/>
      <c r="MOZ216"/>
      <c r="MPA216"/>
      <c r="MPB216"/>
      <c r="MPC216"/>
      <c r="MPD216"/>
      <c r="MPE216"/>
      <c r="MPF216"/>
      <c r="MPG216"/>
      <c r="MPH216"/>
      <c r="MPI216"/>
      <c r="MPJ216"/>
      <c r="MPK216"/>
      <c r="MPL216"/>
      <c r="MPM216"/>
      <c r="MPN216"/>
      <c r="MPO216"/>
      <c r="MPP216"/>
      <c r="MPQ216"/>
      <c r="MPR216"/>
      <c r="MPS216"/>
      <c r="MPT216"/>
      <c r="MPU216"/>
      <c r="MPV216"/>
      <c r="MPW216"/>
      <c r="MPX216"/>
      <c r="MPY216"/>
      <c r="MPZ216"/>
      <c r="MQA216"/>
      <c r="MQB216"/>
      <c r="MQC216"/>
      <c r="MQD216"/>
      <c r="MQE216"/>
      <c r="MQF216"/>
      <c r="MQG216"/>
      <c r="MQH216"/>
      <c r="MQI216"/>
      <c r="MQJ216"/>
      <c r="MQK216"/>
      <c r="MQL216"/>
      <c r="MQM216"/>
      <c r="MQN216"/>
      <c r="MQO216"/>
      <c r="MQP216"/>
      <c r="MQQ216"/>
      <c r="MQR216"/>
      <c r="MQS216"/>
      <c r="MQT216"/>
      <c r="MQU216"/>
      <c r="MQV216"/>
      <c r="MQW216"/>
      <c r="MQX216"/>
      <c r="MQY216"/>
      <c r="MQZ216"/>
      <c r="MRA216"/>
      <c r="MRB216"/>
      <c r="MRC216"/>
      <c r="MRD216"/>
      <c r="MRE216"/>
      <c r="MRF216"/>
      <c r="MRG216"/>
      <c r="MRH216"/>
      <c r="MRI216"/>
      <c r="MRJ216"/>
      <c r="MRK216"/>
      <c r="MRL216"/>
      <c r="MRM216"/>
      <c r="MRN216"/>
      <c r="MRO216"/>
      <c r="MRP216"/>
      <c r="MRQ216"/>
      <c r="MRR216"/>
      <c r="MRS216"/>
      <c r="MRT216"/>
      <c r="MRU216"/>
      <c r="MRV216"/>
      <c r="MRW216"/>
      <c r="MRX216"/>
      <c r="MRY216"/>
      <c r="MRZ216"/>
      <c r="MSA216"/>
      <c r="MSB216"/>
      <c r="MSC216"/>
      <c r="MSD216"/>
      <c r="MSE216"/>
      <c r="MSF216"/>
      <c r="MSG216"/>
      <c r="MSH216"/>
      <c r="MSI216"/>
      <c r="MSJ216"/>
      <c r="MSK216"/>
      <c r="MSL216"/>
      <c r="MSM216"/>
      <c r="MSN216"/>
      <c r="MSO216"/>
      <c r="MSP216"/>
      <c r="MSQ216"/>
      <c r="MSR216"/>
      <c r="MSS216"/>
      <c r="MST216"/>
      <c r="MSU216"/>
      <c r="MSV216"/>
      <c r="MSW216"/>
      <c r="MSX216"/>
      <c r="MSY216"/>
      <c r="MSZ216"/>
      <c r="MTA216"/>
      <c r="MTB216"/>
      <c r="MTC216"/>
      <c r="MTD216"/>
      <c r="MTE216"/>
      <c r="MTF216"/>
      <c r="MTG216"/>
      <c r="MTH216"/>
      <c r="MTI216"/>
      <c r="MTJ216"/>
      <c r="MTK216"/>
      <c r="MTL216"/>
      <c r="MTM216"/>
      <c r="MTN216"/>
      <c r="MTO216"/>
      <c r="MTP216"/>
      <c r="MTQ216"/>
      <c r="MTR216"/>
      <c r="MTS216"/>
      <c r="MTT216"/>
      <c r="MTU216"/>
      <c r="MTV216"/>
      <c r="MTW216"/>
      <c r="MTX216"/>
      <c r="MTY216"/>
      <c r="MTZ216"/>
      <c r="MUA216"/>
      <c r="MUB216"/>
      <c r="MUC216"/>
      <c r="MUD216"/>
      <c r="MUE216"/>
      <c r="MUF216"/>
      <c r="MUG216"/>
      <c r="MUH216"/>
      <c r="MUI216"/>
      <c r="MUJ216"/>
      <c r="MUK216"/>
      <c r="MUL216"/>
      <c r="MUM216"/>
      <c r="MUN216"/>
      <c r="MUO216"/>
      <c r="MUP216"/>
      <c r="MUQ216"/>
      <c r="MUR216"/>
      <c r="MUS216"/>
      <c r="MUT216"/>
      <c r="MUU216"/>
      <c r="MUV216"/>
      <c r="MUW216"/>
      <c r="MUX216"/>
      <c r="MUY216"/>
      <c r="MUZ216"/>
      <c r="MVA216"/>
      <c r="MVB216"/>
      <c r="MVC216"/>
      <c r="MVD216"/>
      <c r="MVE216"/>
      <c r="MVF216"/>
      <c r="MVG216"/>
      <c r="MVH216"/>
      <c r="MVI216"/>
      <c r="MVJ216"/>
      <c r="MVK216"/>
      <c r="MVL216"/>
      <c r="MVM216"/>
      <c r="MVN216"/>
      <c r="MVO216"/>
      <c r="MVP216"/>
      <c r="MVQ216"/>
      <c r="MVR216"/>
      <c r="MVS216"/>
      <c r="MVT216"/>
      <c r="MVU216"/>
      <c r="MVV216"/>
      <c r="MVW216"/>
      <c r="MVX216"/>
      <c r="MVY216"/>
      <c r="MVZ216"/>
      <c r="MWA216"/>
      <c r="MWB216"/>
      <c r="MWC216"/>
      <c r="MWD216"/>
      <c r="MWE216"/>
      <c r="MWF216"/>
      <c r="MWG216"/>
      <c r="MWH216"/>
      <c r="MWI216"/>
      <c r="MWJ216"/>
      <c r="MWK216"/>
      <c r="MWL216"/>
      <c r="MWM216"/>
      <c r="MWN216"/>
      <c r="MWO216"/>
      <c r="MWP216"/>
      <c r="MWQ216"/>
      <c r="MWR216"/>
      <c r="MWS216"/>
      <c r="MWT216"/>
      <c r="MWU216"/>
      <c r="MWV216"/>
      <c r="MWW216"/>
      <c r="MWX216"/>
      <c r="MWY216"/>
      <c r="MWZ216"/>
      <c r="MXA216"/>
      <c r="MXB216"/>
      <c r="MXC216"/>
      <c r="MXD216"/>
      <c r="MXE216"/>
      <c r="MXF216"/>
      <c r="MXG216"/>
      <c r="MXH216"/>
      <c r="MXI216"/>
      <c r="MXJ216"/>
      <c r="MXK216"/>
      <c r="MXL216"/>
      <c r="MXM216"/>
      <c r="MXN216"/>
      <c r="MXO216"/>
      <c r="MXP216"/>
      <c r="MXQ216"/>
      <c r="MXR216"/>
      <c r="MXS216"/>
      <c r="MXT216"/>
      <c r="MXU216"/>
      <c r="MXV216"/>
      <c r="MXW216"/>
      <c r="MXX216"/>
      <c r="MXY216"/>
      <c r="MXZ216"/>
      <c r="MYA216"/>
      <c r="MYB216"/>
      <c r="MYC216"/>
      <c r="MYD216"/>
      <c r="MYE216"/>
      <c r="MYF216"/>
      <c r="MYG216"/>
      <c r="MYH216"/>
      <c r="MYI216"/>
      <c r="MYJ216"/>
      <c r="MYK216"/>
      <c r="MYL216"/>
      <c r="MYM216"/>
      <c r="MYN216"/>
      <c r="MYO216"/>
      <c r="MYP216"/>
      <c r="MYQ216"/>
      <c r="MYR216"/>
      <c r="MYS216"/>
      <c r="MYT216"/>
      <c r="MYU216"/>
      <c r="MYV216"/>
      <c r="MYW216"/>
      <c r="MYX216"/>
      <c r="MYY216"/>
      <c r="MYZ216"/>
      <c r="MZA216"/>
      <c r="MZB216"/>
      <c r="MZC216"/>
      <c r="MZD216"/>
      <c r="MZE216"/>
      <c r="MZF216"/>
      <c r="MZG216"/>
      <c r="MZH216"/>
      <c r="MZI216"/>
      <c r="MZJ216"/>
      <c r="MZK216"/>
      <c r="MZL216"/>
      <c r="MZM216"/>
      <c r="MZN216"/>
      <c r="MZO216"/>
      <c r="MZP216"/>
      <c r="MZQ216"/>
      <c r="MZR216"/>
      <c r="MZS216"/>
      <c r="MZT216"/>
      <c r="MZU216"/>
      <c r="MZV216"/>
      <c r="MZW216"/>
      <c r="MZX216"/>
      <c r="MZY216"/>
      <c r="MZZ216"/>
      <c r="NAA216"/>
      <c r="NAB216"/>
      <c r="NAC216"/>
      <c r="NAD216"/>
      <c r="NAE216"/>
      <c r="NAF216"/>
      <c r="NAG216"/>
      <c r="NAH216"/>
      <c r="NAI216"/>
      <c r="NAJ216"/>
      <c r="NAK216"/>
      <c r="NAL216"/>
      <c r="NAM216"/>
      <c r="NAN216"/>
      <c r="NAO216"/>
      <c r="NAP216"/>
      <c r="NAQ216"/>
      <c r="NAR216"/>
      <c r="NAS216"/>
      <c r="NAT216"/>
      <c r="NAU216"/>
      <c r="NAV216"/>
      <c r="NAW216"/>
      <c r="NAX216"/>
      <c r="NAY216"/>
      <c r="NAZ216"/>
      <c r="NBA216"/>
      <c r="NBB216"/>
      <c r="NBC216"/>
      <c r="NBD216"/>
      <c r="NBE216"/>
      <c r="NBF216"/>
      <c r="NBG216"/>
      <c r="NBH216"/>
      <c r="NBI216"/>
      <c r="NBJ216"/>
      <c r="NBK216"/>
      <c r="NBL216"/>
      <c r="NBM216"/>
      <c r="NBN216"/>
      <c r="NBO216"/>
      <c r="NBP216"/>
      <c r="NBQ216"/>
      <c r="NBR216"/>
      <c r="NBS216"/>
      <c r="NBT216"/>
      <c r="NBU216"/>
      <c r="NBV216"/>
      <c r="NBW216"/>
      <c r="NBX216"/>
      <c r="NBY216"/>
      <c r="NBZ216"/>
      <c r="NCA216"/>
      <c r="NCB216"/>
      <c r="NCC216"/>
      <c r="NCD216"/>
      <c r="NCE216"/>
      <c r="NCF216"/>
      <c r="NCG216"/>
      <c r="NCH216"/>
      <c r="NCI216"/>
      <c r="NCJ216"/>
      <c r="NCK216"/>
      <c r="NCL216"/>
      <c r="NCM216"/>
      <c r="NCN216"/>
      <c r="NCO216"/>
      <c r="NCP216"/>
      <c r="NCQ216"/>
      <c r="NCR216"/>
      <c r="NCS216"/>
      <c r="NCT216"/>
      <c r="NCU216"/>
      <c r="NCV216"/>
      <c r="NCW216"/>
      <c r="NCX216"/>
      <c r="NCY216"/>
      <c r="NCZ216"/>
      <c r="NDA216"/>
      <c r="NDB216"/>
      <c r="NDC216"/>
      <c r="NDD216"/>
      <c r="NDE216"/>
      <c r="NDF216"/>
      <c r="NDG216"/>
      <c r="NDH216"/>
      <c r="NDI216"/>
      <c r="NDJ216"/>
      <c r="NDK216"/>
      <c r="NDL216"/>
      <c r="NDM216"/>
      <c r="NDN216"/>
      <c r="NDO216"/>
      <c r="NDP216"/>
      <c r="NDQ216"/>
      <c r="NDR216"/>
      <c r="NDS216"/>
      <c r="NDT216"/>
      <c r="NDU216"/>
      <c r="NDV216"/>
      <c r="NDW216"/>
      <c r="NDX216"/>
      <c r="NDY216"/>
      <c r="NDZ216"/>
      <c r="NEA216"/>
      <c r="NEB216"/>
      <c r="NEC216"/>
      <c r="NED216"/>
      <c r="NEE216"/>
      <c r="NEF216"/>
      <c r="NEG216"/>
      <c r="NEH216"/>
      <c r="NEI216"/>
      <c r="NEJ216"/>
      <c r="NEK216"/>
      <c r="NEL216"/>
      <c r="NEM216"/>
      <c r="NEN216"/>
      <c r="NEO216"/>
      <c r="NEP216"/>
      <c r="NEQ216"/>
      <c r="NER216"/>
      <c r="NES216"/>
      <c r="NET216"/>
      <c r="NEU216"/>
      <c r="NEV216"/>
      <c r="NEW216"/>
      <c r="NEX216"/>
      <c r="NEY216"/>
      <c r="NEZ216"/>
      <c r="NFA216"/>
      <c r="NFB216"/>
      <c r="NFC216"/>
      <c r="NFD216"/>
      <c r="NFE216"/>
      <c r="NFF216"/>
      <c r="NFG216"/>
      <c r="NFH216"/>
      <c r="NFI216"/>
      <c r="NFJ216"/>
      <c r="NFK216"/>
      <c r="NFL216"/>
      <c r="NFM216"/>
      <c r="NFN216"/>
      <c r="NFO216"/>
      <c r="NFP216"/>
      <c r="NFQ216"/>
      <c r="NFR216"/>
      <c r="NFS216"/>
      <c r="NFT216"/>
      <c r="NFU216"/>
      <c r="NFV216"/>
      <c r="NFW216"/>
      <c r="NFX216"/>
      <c r="NFY216"/>
      <c r="NFZ216"/>
      <c r="NGA216"/>
      <c r="NGB216"/>
      <c r="NGC216"/>
      <c r="NGD216"/>
      <c r="NGE216"/>
      <c r="NGF216"/>
      <c r="NGG216"/>
      <c r="NGH216"/>
      <c r="NGI216"/>
      <c r="NGJ216"/>
      <c r="NGK216"/>
      <c r="NGL216"/>
      <c r="NGM216"/>
      <c r="NGN216"/>
      <c r="NGO216"/>
      <c r="NGP216"/>
      <c r="NGQ216"/>
      <c r="NGR216"/>
      <c r="NGS216"/>
      <c r="NGT216"/>
      <c r="NGU216"/>
      <c r="NGV216"/>
      <c r="NGW216"/>
      <c r="NGX216"/>
      <c r="NGY216"/>
      <c r="NGZ216"/>
      <c r="NHA216"/>
      <c r="NHB216"/>
      <c r="NHC216"/>
      <c r="NHD216"/>
      <c r="NHE216"/>
      <c r="NHF216"/>
      <c r="NHG216"/>
      <c r="NHH216"/>
      <c r="NHI216"/>
      <c r="NHJ216"/>
      <c r="NHK216"/>
      <c r="NHL216"/>
      <c r="NHM216"/>
      <c r="NHN216"/>
      <c r="NHO216"/>
      <c r="NHP216"/>
      <c r="NHQ216"/>
      <c r="NHR216"/>
      <c r="NHS216"/>
      <c r="NHT216"/>
      <c r="NHU216"/>
      <c r="NHV216"/>
      <c r="NHW216"/>
      <c r="NHX216"/>
      <c r="NHY216"/>
      <c r="NHZ216"/>
      <c r="NIA216"/>
      <c r="NIB216"/>
      <c r="NIC216"/>
      <c r="NID216"/>
      <c r="NIE216"/>
      <c r="NIF216"/>
      <c r="NIG216"/>
      <c r="NIH216"/>
      <c r="NII216"/>
      <c r="NIJ216"/>
      <c r="NIK216"/>
      <c r="NIL216"/>
      <c r="NIM216"/>
      <c r="NIN216"/>
      <c r="NIO216"/>
      <c r="NIP216"/>
      <c r="NIQ216"/>
      <c r="NIR216"/>
      <c r="NIS216"/>
      <c r="NIT216"/>
      <c r="NIU216"/>
      <c r="NIV216"/>
      <c r="NIW216"/>
      <c r="NIX216"/>
      <c r="NIY216"/>
      <c r="NIZ216"/>
      <c r="NJA216"/>
      <c r="NJB216"/>
      <c r="NJC216"/>
      <c r="NJD216"/>
      <c r="NJE216"/>
      <c r="NJF216"/>
      <c r="NJG216"/>
      <c r="NJH216"/>
      <c r="NJI216"/>
      <c r="NJJ216"/>
      <c r="NJK216"/>
      <c r="NJL216"/>
      <c r="NJM216"/>
      <c r="NJN216"/>
      <c r="NJO216"/>
      <c r="NJP216"/>
      <c r="NJQ216"/>
      <c r="NJR216"/>
      <c r="NJS216"/>
      <c r="NJT216"/>
      <c r="NJU216"/>
      <c r="NJV216"/>
      <c r="NJW216"/>
      <c r="NJX216"/>
      <c r="NJY216"/>
      <c r="NJZ216"/>
      <c r="NKA216"/>
      <c r="NKB216"/>
      <c r="NKC216"/>
      <c r="NKD216"/>
      <c r="NKE216"/>
      <c r="NKF216"/>
      <c r="NKG216"/>
      <c r="NKH216"/>
      <c r="NKI216"/>
      <c r="NKJ216"/>
      <c r="NKK216"/>
      <c r="NKL216"/>
      <c r="NKM216"/>
      <c r="NKN216"/>
      <c r="NKO216"/>
      <c r="NKP216"/>
      <c r="NKQ216"/>
      <c r="NKR216"/>
      <c r="NKS216"/>
      <c r="NKT216"/>
      <c r="NKU216"/>
      <c r="NKV216"/>
      <c r="NKW216"/>
      <c r="NKX216"/>
      <c r="NKY216"/>
      <c r="NKZ216"/>
      <c r="NLA216"/>
      <c r="NLB216"/>
      <c r="NLC216"/>
      <c r="NLD216"/>
      <c r="NLE216"/>
      <c r="NLF216"/>
      <c r="NLG216"/>
      <c r="NLH216"/>
      <c r="NLI216"/>
      <c r="NLJ216"/>
      <c r="NLK216"/>
      <c r="NLL216"/>
      <c r="NLM216"/>
      <c r="NLN216"/>
      <c r="NLO216"/>
      <c r="NLP216"/>
      <c r="NLQ216"/>
      <c r="NLR216"/>
      <c r="NLS216"/>
      <c r="NLT216"/>
      <c r="NLU216"/>
      <c r="NLV216"/>
      <c r="NLW216"/>
      <c r="NLX216"/>
      <c r="NLY216"/>
      <c r="NLZ216"/>
      <c r="NMA216"/>
      <c r="NMB216"/>
      <c r="NMC216"/>
      <c r="NMD216"/>
      <c r="NME216"/>
      <c r="NMF216"/>
      <c r="NMG216"/>
      <c r="NMH216"/>
      <c r="NMI216"/>
      <c r="NMJ216"/>
      <c r="NMK216"/>
      <c r="NML216"/>
      <c r="NMM216"/>
      <c r="NMN216"/>
      <c r="NMO216"/>
      <c r="NMP216"/>
      <c r="NMQ216"/>
      <c r="NMR216"/>
      <c r="NMS216"/>
      <c r="NMT216"/>
      <c r="NMU216"/>
      <c r="NMV216"/>
      <c r="NMW216"/>
      <c r="NMX216"/>
      <c r="NMY216"/>
      <c r="NMZ216"/>
      <c r="NNA216"/>
      <c r="NNB216"/>
      <c r="NNC216"/>
      <c r="NND216"/>
      <c r="NNE216"/>
      <c r="NNF216"/>
      <c r="NNG216"/>
      <c r="NNH216"/>
      <c r="NNI216"/>
      <c r="NNJ216"/>
      <c r="NNK216"/>
      <c r="NNL216"/>
      <c r="NNM216"/>
      <c r="NNN216"/>
      <c r="NNO216"/>
      <c r="NNP216"/>
      <c r="NNQ216"/>
      <c r="NNR216"/>
      <c r="NNS216"/>
      <c r="NNT216"/>
      <c r="NNU216"/>
      <c r="NNV216"/>
      <c r="NNW216"/>
      <c r="NNX216"/>
      <c r="NNY216"/>
      <c r="NNZ216"/>
      <c r="NOA216"/>
      <c r="NOB216"/>
      <c r="NOC216"/>
      <c r="NOD216"/>
      <c r="NOE216"/>
      <c r="NOF216"/>
      <c r="NOG216"/>
      <c r="NOH216"/>
      <c r="NOI216"/>
      <c r="NOJ216"/>
      <c r="NOK216"/>
      <c r="NOL216"/>
      <c r="NOM216"/>
      <c r="NON216"/>
      <c r="NOO216"/>
      <c r="NOP216"/>
      <c r="NOQ216"/>
      <c r="NOR216"/>
      <c r="NOS216"/>
      <c r="NOT216"/>
      <c r="NOU216"/>
      <c r="NOV216"/>
      <c r="NOW216"/>
      <c r="NOX216"/>
      <c r="NOY216"/>
      <c r="NOZ216"/>
      <c r="NPA216"/>
      <c r="NPB216"/>
      <c r="NPC216"/>
      <c r="NPD216"/>
      <c r="NPE216"/>
      <c r="NPF216"/>
      <c r="NPG216"/>
      <c r="NPH216"/>
      <c r="NPI216"/>
      <c r="NPJ216"/>
      <c r="NPK216"/>
      <c r="NPL216"/>
      <c r="NPM216"/>
      <c r="NPN216"/>
      <c r="NPO216"/>
      <c r="NPP216"/>
      <c r="NPQ216"/>
      <c r="NPR216"/>
      <c r="NPS216"/>
      <c r="NPT216"/>
      <c r="NPU216"/>
      <c r="NPV216"/>
      <c r="NPW216"/>
      <c r="NPX216"/>
      <c r="NPY216"/>
      <c r="NPZ216"/>
      <c r="NQA216"/>
      <c r="NQB216"/>
      <c r="NQC216"/>
      <c r="NQD216"/>
      <c r="NQE216"/>
      <c r="NQF216"/>
      <c r="NQG216"/>
      <c r="NQH216"/>
      <c r="NQI216"/>
      <c r="NQJ216"/>
      <c r="NQK216"/>
      <c r="NQL216"/>
      <c r="NQM216"/>
      <c r="NQN216"/>
      <c r="NQO216"/>
      <c r="NQP216"/>
      <c r="NQQ216"/>
      <c r="NQR216"/>
      <c r="NQS216"/>
      <c r="NQT216"/>
      <c r="NQU216"/>
      <c r="NQV216"/>
      <c r="NQW216"/>
      <c r="NQX216"/>
      <c r="NQY216"/>
      <c r="NQZ216"/>
      <c r="NRA216"/>
      <c r="NRB216"/>
      <c r="NRC216"/>
      <c r="NRD216"/>
      <c r="NRE216"/>
      <c r="NRF216"/>
      <c r="NRG216"/>
      <c r="NRH216"/>
      <c r="NRI216"/>
      <c r="NRJ216"/>
      <c r="NRK216"/>
      <c r="NRL216"/>
      <c r="NRM216"/>
      <c r="NRN216"/>
      <c r="NRO216"/>
      <c r="NRP216"/>
      <c r="NRQ216"/>
      <c r="NRR216"/>
      <c r="NRS216"/>
      <c r="NRT216"/>
      <c r="NRU216"/>
      <c r="NRV216"/>
      <c r="NRW216"/>
      <c r="NRX216"/>
      <c r="NRY216"/>
      <c r="NRZ216"/>
      <c r="NSA216"/>
      <c r="NSB216"/>
      <c r="NSC216"/>
      <c r="NSD216"/>
      <c r="NSE216"/>
      <c r="NSF216"/>
      <c r="NSG216"/>
      <c r="NSH216"/>
      <c r="NSI216"/>
      <c r="NSJ216"/>
      <c r="NSK216"/>
      <c r="NSL216"/>
      <c r="NSM216"/>
      <c r="NSN216"/>
      <c r="NSO216"/>
      <c r="NSP216"/>
      <c r="NSQ216"/>
      <c r="NSR216"/>
      <c r="NSS216"/>
      <c r="NST216"/>
      <c r="NSU216"/>
      <c r="NSV216"/>
      <c r="NSW216"/>
      <c r="NSX216"/>
      <c r="NSY216"/>
      <c r="NSZ216"/>
      <c r="NTA216"/>
      <c r="NTB216"/>
      <c r="NTC216"/>
      <c r="NTD216"/>
      <c r="NTE216"/>
      <c r="NTF216"/>
      <c r="NTG216"/>
      <c r="NTH216"/>
      <c r="NTI216"/>
      <c r="NTJ216"/>
      <c r="NTK216"/>
      <c r="NTL216"/>
      <c r="NTM216"/>
      <c r="NTN216"/>
      <c r="NTO216"/>
      <c r="NTP216"/>
      <c r="NTQ216"/>
      <c r="NTR216"/>
      <c r="NTS216"/>
      <c r="NTT216"/>
      <c r="NTU216"/>
      <c r="NTV216"/>
      <c r="NTW216"/>
      <c r="NTX216"/>
      <c r="NTY216"/>
      <c r="NTZ216"/>
      <c r="NUA216"/>
      <c r="NUB216"/>
      <c r="NUC216"/>
      <c r="NUD216"/>
      <c r="NUE216"/>
      <c r="NUF216"/>
      <c r="NUG216"/>
      <c r="NUH216"/>
      <c r="NUI216"/>
      <c r="NUJ216"/>
      <c r="NUK216"/>
      <c r="NUL216"/>
      <c r="NUM216"/>
      <c r="NUN216"/>
      <c r="NUO216"/>
      <c r="NUP216"/>
      <c r="NUQ216"/>
      <c r="NUR216"/>
      <c r="NUS216"/>
      <c r="NUT216"/>
      <c r="NUU216"/>
      <c r="NUV216"/>
      <c r="NUW216"/>
      <c r="NUX216"/>
      <c r="NUY216"/>
      <c r="NUZ216"/>
      <c r="NVA216"/>
      <c r="NVB216"/>
      <c r="NVC216"/>
      <c r="NVD216"/>
      <c r="NVE216"/>
      <c r="NVF216"/>
      <c r="NVG216"/>
      <c r="NVH216"/>
      <c r="NVI216"/>
      <c r="NVJ216"/>
      <c r="NVK216"/>
      <c r="NVL216"/>
      <c r="NVM216"/>
      <c r="NVN216"/>
      <c r="NVO216"/>
      <c r="NVP216"/>
      <c r="NVQ216"/>
      <c r="NVR216"/>
      <c r="NVS216"/>
      <c r="NVT216"/>
      <c r="NVU216"/>
      <c r="NVV216"/>
      <c r="NVW216"/>
      <c r="NVX216"/>
      <c r="NVY216"/>
      <c r="NVZ216"/>
      <c r="NWA216"/>
      <c r="NWB216"/>
      <c r="NWC216"/>
      <c r="NWD216"/>
      <c r="NWE216"/>
      <c r="NWF216"/>
      <c r="NWG216"/>
      <c r="NWH216"/>
      <c r="NWI216"/>
      <c r="NWJ216"/>
      <c r="NWK216"/>
      <c r="NWL216"/>
      <c r="NWM216"/>
      <c r="NWN216"/>
      <c r="NWO216"/>
      <c r="NWP216"/>
      <c r="NWQ216"/>
      <c r="NWR216"/>
      <c r="NWS216"/>
      <c r="NWT216"/>
      <c r="NWU216"/>
      <c r="NWV216"/>
      <c r="NWW216"/>
      <c r="NWX216"/>
      <c r="NWY216"/>
      <c r="NWZ216"/>
      <c r="NXA216"/>
      <c r="NXB216"/>
      <c r="NXC216"/>
      <c r="NXD216"/>
      <c r="NXE216"/>
      <c r="NXF216"/>
      <c r="NXG216"/>
      <c r="NXH216"/>
      <c r="NXI216"/>
      <c r="NXJ216"/>
      <c r="NXK216"/>
      <c r="NXL216"/>
      <c r="NXM216"/>
      <c r="NXN216"/>
      <c r="NXO216"/>
      <c r="NXP216"/>
      <c r="NXQ216"/>
      <c r="NXR216"/>
      <c r="NXS216"/>
      <c r="NXT216"/>
      <c r="NXU216"/>
      <c r="NXV216"/>
      <c r="NXW216"/>
      <c r="NXX216"/>
      <c r="NXY216"/>
      <c r="NXZ216"/>
      <c r="NYA216"/>
      <c r="NYB216"/>
      <c r="NYC216"/>
      <c r="NYD216"/>
      <c r="NYE216"/>
      <c r="NYF216"/>
      <c r="NYG216"/>
      <c r="NYH216"/>
      <c r="NYI216"/>
      <c r="NYJ216"/>
      <c r="NYK216"/>
      <c r="NYL216"/>
      <c r="NYM216"/>
      <c r="NYN216"/>
      <c r="NYO216"/>
      <c r="NYP216"/>
      <c r="NYQ216"/>
      <c r="NYR216"/>
      <c r="NYS216"/>
      <c r="NYT216"/>
      <c r="NYU216"/>
      <c r="NYV216"/>
      <c r="NYW216"/>
      <c r="NYX216"/>
      <c r="NYY216"/>
      <c r="NYZ216"/>
      <c r="NZA216"/>
      <c r="NZB216"/>
      <c r="NZC216"/>
      <c r="NZD216"/>
      <c r="NZE216"/>
      <c r="NZF216"/>
      <c r="NZG216"/>
      <c r="NZH216"/>
      <c r="NZI216"/>
      <c r="NZJ216"/>
      <c r="NZK216"/>
      <c r="NZL216"/>
      <c r="NZM216"/>
      <c r="NZN216"/>
      <c r="NZO216"/>
      <c r="NZP216"/>
      <c r="NZQ216"/>
      <c r="NZR216"/>
      <c r="NZS216"/>
      <c r="NZT216"/>
      <c r="NZU216"/>
      <c r="NZV216"/>
      <c r="NZW216"/>
      <c r="NZX216"/>
      <c r="NZY216"/>
      <c r="NZZ216"/>
      <c r="OAA216"/>
      <c r="OAB216"/>
      <c r="OAC216"/>
      <c r="OAD216"/>
      <c r="OAE216"/>
      <c r="OAF216"/>
      <c r="OAG216"/>
      <c r="OAH216"/>
      <c r="OAI216"/>
      <c r="OAJ216"/>
      <c r="OAK216"/>
      <c r="OAL216"/>
      <c r="OAM216"/>
      <c r="OAN216"/>
      <c r="OAO216"/>
      <c r="OAP216"/>
      <c r="OAQ216"/>
      <c r="OAR216"/>
      <c r="OAS216"/>
      <c r="OAT216"/>
      <c r="OAU216"/>
      <c r="OAV216"/>
      <c r="OAW216"/>
      <c r="OAX216"/>
      <c r="OAY216"/>
      <c r="OAZ216"/>
      <c r="OBA216"/>
      <c r="OBB216"/>
      <c r="OBC216"/>
      <c r="OBD216"/>
      <c r="OBE216"/>
      <c r="OBF216"/>
      <c r="OBG216"/>
      <c r="OBH216"/>
      <c r="OBI216"/>
      <c r="OBJ216"/>
      <c r="OBK216"/>
      <c r="OBL216"/>
      <c r="OBM216"/>
      <c r="OBN216"/>
      <c r="OBO216"/>
      <c r="OBP216"/>
      <c r="OBQ216"/>
      <c r="OBR216"/>
      <c r="OBS216"/>
      <c r="OBT216"/>
      <c r="OBU216"/>
      <c r="OBV216"/>
      <c r="OBW216"/>
      <c r="OBX216"/>
      <c r="OBY216"/>
      <c r="OBZ216"/>
      <c r="OCA216"/>
      <c r="OCB216"/>
      <c r="OCC216"/>
      <c r="OCD216"/>
      <c r="OCE216"/>
      <c r="OCF216"/>
      <c r="OCG216"/>
      <c r="OCH216"/>
      <c r="OCI216"/>
      <c r="OCJ216"/>
      <c r="OCK216"/>
      <c r="OCL216"/>
      <c r="OCM216"/>
      <c r="OCN216"/>
      <c r="OCO216"/>
      <c r="OCP216"/>
      <c r="OCQ216"/>
      <c r="OCR216"/>
      <c r="OCS216"/>
      <c r="OCT216"/>
      <c r="OCU216"/>
      <c r="OCV216"/>
      <c r="OCW216"/>
      <c r="OCX216"/>
      <c r="OCY216"/>
      <c r="OCZ216"/>
      <c r="ODA216"/>
      <c r="ODB216"/>
      <c r="ODC216"/>
      <c r="ODD216"/>
      <c r="ODE216"/>
      <c r="ODF216"/>
      <c r="ODG216"/>
      <c r="ODH216"/>
      <c r="ODI216"/>
      <c r="ODJ216"/>
      <c r="ODK216"/>
      <c r="ODL216"/>
      <c r="ODM216"/>
      <c r="ODN216"/>
      <c r="ODO216"/>
      <c r="ODP216"/>
      <c r="ODQ216"/>
      <c r="ODR216"/>
      <c r="ODS216"/>
      <c r="ODT216"/>
      <c r="ODU216"/>
      <c r="ODV216"/>
      <c r="ODW216"/>
      <c r="ODX216"/>
      <c r="ODY216"/>
      <c r="ODZ216"/>
      <c r="OEA216"/>
      <c r="OEB216"/>
      <c r="OEC216"/>
      <c r="OED216"/>
      <c r="OEE216"/>
      <c r="OEF216"/>
      <c r="OEG216"/>
      <c r="OEH216"/>
      <c r="OEI216"/>
      <c r="OEJ216"/>
      <c r="OEK216"/>
      <c r="OEL216"/>
      <c r="OEM216"/>
      <c r="OEN216"/>
      <c r="OEO216"/>
      <c r="OEP216"/>
      <c r="OEQ216"/>
      <c r="OER216"/>
      <c r="OES216"/>
      <c r="OET216"/>
      <c r="OEU216"/>
      <c r="OEV216"/>
      <c r="OEW216"/>
      <c r="OEX216"/>
      <c r="OEY216"/>
      <c r="OEZ216"/>
      <c r="OFA216"/>
      <c r="OFB216"/>
      <c r="OFC216"/>
      <c r="OFD216"/>
      <c r="OFE216"/>
      <c r="OFF216"/>
      <c r="OFG216"/>
      <c r="OFH216"/>
      <c r="OFI216"/>
      <c r="OFJ216"/>
      <c r="OFK216"/>
      <c r="OFL216"/>
      <c r="OFM216"/>
      <c r="OFN216"/>
      <c r="OFO216"/>
      <c r="OFP216"/>
      <c r="OFQ216"/>
      <c r="OFR216"/>
      <c r="OFS216"/>
      <c r="OFT216"/>
      <c r="OFU216"/>
      <c r="OFV216"/>
      <c r="OFW216"/>
      <c r="OFX216"/>
      <c r="OFY216"/>
      <c r="OFZ216"/>
      <c r="OGA216"/>
      <c r="OGB216"/>
      <c r="OGC216"/>
      <c r="OGD216"/>
      <c r="OGE216"/>
      <c r="OGF216"/>
      <c r="OGG216"/>
      <c r="OGH216"/>
      <c r="OGI216"/>
      <c r="OGJ216"/>
      <c r="OGK216"/>
      <c r="OGL216"/>
      <c r="OGM216"/>
      <c r="OGN216"/>
      <c r="OGO216"/>
      <c r="OGP216"/>
      <c r="OGQ216"/>
      <c r="OGR216"/>
      <c r="OGS216"/>
      <c r="OGT216"/>
      <c r="OGU216"/>
      <c r="OGV216"/>
      <c r="OGW216"/>
      <c r="OGX216"/>
      <c r="OGY216"/>
      <c r="OGZ216"/>
      <c r="OHA216"/>
      <c r="OHB216"/>
      <c r="OHC216"/>
      <c r="OHD216"/>
      <c r="OHE216"/>
      <c r="OHF216"/>
      <c r="OHG216"/>
      <c r="OHH216"/>
      <c r="OHI216"/>
      <c r="OHJ216"/>
      <c r="OHK216"/>
      <c r="OHL216"/>
      <c r="OHM216"/>
      <c r="OHN216"/>
      <c r="OHO216"/>
      <c r="OHP216"/>
      <c r="OHQ216"/>
      <c r="OHR216"/>
      <c r="OHS216"/>
      <c r="OHT216"/>
      <c r="OHU216"/>
      <c r="OHV216"/>
      <c r="OHW216"/>
      <c r="OHX216"/>
      <c r="OHY216"/>
      <c r="OHZ216"/>
      <c r="OIA216"/>
      <c r="OIB216"/>
      <c r="OIC216"/>
      <c r="OID216"/>
      <c r="OIE216"/>
      <c r="OIF216"/>
      <c r="OIG216"/>
      <c r="OIH216"/>
      <c r="OII216"/>
      <c r="OIJ216"/>
      <c r="OIK216"/>
      <c r="OIL216"/>
      <c r="OIM216"/>
      <c r="OIN216"/>
      <c r="OIO216"/>
      <c r="OIP216"/>
      <c r="OIQ216"/>
      <c r="OIR216"/>
      <c r="OIS216"/>
      <c r="OIT216"/>
      <c r="OIU216"/>
      <c r="OIV216"/>
      <c r="OIW216"/>
      <c r="OIX216"/>
      <c r="OIY216"/>
      <c r="OIZ216"/>
      <c r="OJA216"/>
      <c r="OJB216"/>
      <c r="OJC216"/>
      <c r="OJD216"/>
      <c r="OJE216"/>
      <c r="OJF216"/>
      <c r="OJG216"/>
      <c r="OJH216"/>
      <c r="OJI216"/>
      <c r="OJJ216"/>
      <c r="OJK216"/>
      <c r="OJL216"/>
      <c r="OJM216"/>
      <c r="OJN216"/>
      <c r="OJO216"/>
      <c r="OJP216"/>
      <c r="OJQ216"/>
      <c r="OJR216"/>
      <c r="OJS216"/>
      <c r="OJT216"/>
      <c r="OJU216"/>
      <c r="OJV216"/>
      <c r="OJW216"/>
      <c r="OJX216"/>
      <c r="OJY216"/>
      <c r="OJZ216"/>
      <c r="OKA216"/>
      <c r="OKB216"/>
      <c r="OKC216"/>
      <c r="OKD216"/>
      <c r="OKE216"/>
      <c r="OKF216"/>
      <c r="OKG216"/>
      <c r="OKH216"/>
      <c r="OKI216"/>
      <c r="OKJ216"/>
      <c r="OKK216"/>
      <c r="OKL216"/>
      <c r="OKM216"/>
      <c r="OKN216"/>
      <c r="OKO216"/>
      <c r="OKP216"/>
      <c r="OKQ216"/>
      <c r="OKR216"/>
      <c r="OKS216"/>
      <c r="OKT216"/>
      <c r="OKU216"/>
      <c r="OKV216"/>
      <c r="OKW216"/>
      <c r="OKX216"/>
      <c r="OKY216"/>
      <c r="OKZ216"/>
      <c r="OLA216"/>
      <c r="OLB216"/>
      <c r="OLC216"/>
      <c r="OLD216"/>
      <c r="OLE216"/>
      <c r="OLF216"/>
      <c r="OLG216"/>
      <c r="OLH216"/>
      <c r="OLI216"/>
      <c r="OLJ216"/>
      <c r="OLK216"/>
      <c r="OLL216"/>
      <c r="OLM216"/>
      <c r="OLN216"/>
      <c r="OLO216"/>
      <c r="OLP216"/>
      <c r="OLQ216"/>
      <c r="OLR216"/>
      <c r="OLS216"/>
      <c r="OLT216"/>
      <c r="OLU216"/>
      <c r="OLV216"/>
      <c r="OLW216"/>
      <c r="OLX216"/>
      <c r="OLY216"/>
      <c r="OLZ216"/>
      <c r="OMA216"/>
      <c r="OMB216"/>
      <c r="OMC216"/>
      <c r="OMD216"/>
      <c r="OME216"/>
      <c r="OMF216"/>
      <c r="OMG216"/>
      <c r="OMH216"/>
      <c r="OMI216"/>
      <c r="OMJ216"/>
      <c r="OMK216"/>
      <c r="OML216"/>
      <c r="OMM216"/>
      <c r="OMN216"/>
      <c r="OMO216"/>
      <c r="OMP216"/>
      <c r="OMQ216"/>
      <c r="OMR216"/>
      <c r="OMS216"/>
      <c r="OMT216"/>
      <c r="OMU216"/>
      <c r="OMV216"/>
      <c r="OMW216"/>
      <c r="OMX216"/>
      <c r="OMY216"/>
      <c r="OMZ216"/>
      <c r="ONA216"/>
      <c r="ONB216"/>
      <c r="ONC216"/>
      <c r="OND216"/>
      <c r="ONE216"/>
      <c r="ONF216"/>
      <c r="ONG216"/>
      <c r="ONH216"/>
      <c r="ONI216"/>
      <c r="ONJ216"/>
      <c r="ONK216"/>
      <c r="ONL216"/>
      <c r="ONM216"/>
      <c r="ONN216"/>
      <c r="ONO216"/>
      <c r="ONP216"/>
      <c r="ONQ216"/>
      <c r="ONR216"/>
      <c r="ONS216"/>
      <c r="ONT216"/>
      <c r="ONU216"/>
      <c r="ONV216"/>
      <c r="ONW216"/>
      <c r="ONX216"/>
      <c r="ONY216"/>
      <c r="ONZ216"/>
      <c r="OOA216"/>
      <c r="OOB216"/>
      <c r="OOC216"/>
      <c r="OOD216"/>
      <c r="OOE216"/>
      <c r="OOF216"/>
      <c r="OOG216"/>
      <c r="OOH216"/>
      <c r="OOI216"/>
      <c r="OOJ216"/>
      <c r="OOK216"/>
      <c r="OOL216"/>
      <c r="OOM216"/>
      <c r="OON216"/>
      <c r="OOO216"/>
      <c r="OOP216"/>
      <c r="OOQ216"/>
      <c r="OOR216"/>
      <c r="OOS216"/>
      <c r="OOT216"/>
      <c r="OOU216"/>
      <c r="OOV216"/>
      <c r="OOW216"/>
      <c r="OOX216"/>
      <c r="OOY216"/>
      <c r="OOZ216"/>
      <c r="OPA216"/>
      <c r="OPB216"/>
      <c r="OPC216"/>
      <c r="OPD216"/>
      <c r="OPE216"/>
      <c r="OPF216"/>
      <c r="OPG216"/>
      <c r="OPH216"/>
      <c r="OPI216"/>
      <c r="OPJ216"/>
      <c r="OPK216"/>
      <c r="OPL216"/>
      <c r="OPM216"/>
      <c r="OPN216"/>
      <c r="OPO216"/>
      <c r="OPP216"/>
      <c r="OPQ216"/>
      <c r="OPR216"/>
      <c r="OPS216"/>
      <c r="OPT216"/>
      <c r="OPU216"/>
      <c r="OPV216"/>
      <c r="OPW216"/>
      <c r="OPX216"/>
      <c r="OPY216"/>
      <c r="OPZ216"/>
      <c r="OQA216"/>
      <c r="OQB216"/>
      <c r="OQC216"/>
      <c r="OQD216"/>
      <c r="OQE216"/>
      <c r="OQF216"/>
      <c r="OQG216"/>
      <c r="OQH216"/>
      <c r="OQI216"/>
      <c r="OQJ216"/>
      <c r="OQK216"/>
      <c r="OQL216"/>
      <c r="OQM216"/>
      <c r="OQN216"/>
      <c r="OQO216"/>
      <c r="OQP216"/>
      <c r="OQQ216"/>
      <c r="OQR216"/>
      <c r="OQS216"/>
      <c r="OQT216"/>
      <c r="OQU216"/>
      <c r="OQV216"/>
      <c r="OQW216"/>
      <c r="OQX216"/>
      <c r="OQY216"/>
      <c r="OQZ216"/>
      <c r="ORA216"/>
      <c r="ORB216"/>
      <c r="ORC216"/>
      <c r="ORD216"/>
      <c r="ORE216"/>
      <c r="ORF216"/>
      <c r="ORG216"/>
      <c r="ORH216"/>
      <c r="ORI216"/>
      <c r="ORJ216"/>
      <c r="ORK216"/>
      <c r="ORL216"/>
      <c r="ORM216"/>
      <c r="ORN216"/>
      <c r="ORO216"/>
      <c r="ORP216"/>
      <c r="ORQ216"/>
      <c r="ORR216"/>
      <c r="ORS216"/>
      <c r="ORT216"/>
      <c r="ORU216"/>
      <c r="ORV216"/>
      <c r="ORW216"/>
      <c r="ORX216"/>
      <c r="ORY216"/>
      <c r="ORZ216"/>
      <c r="OSA216"/>
      <c r="OSB216"/>
      <c r="OSC216"/>
      <c r="OSD216"/>
      <c r="OSE216"/>
      <c r="OSF216"/>
      <c r="OSG216"/>
      <c r="OSH216"/>
      <c r="OSI216"/>
      <c r="OSJ216"/>
      <c r="OSK216"/>
      <c r="OSL216"/>
      <c r="OSM216"/>
      <c r="OSN216"/>
      <c r="OSO216"/>
      <c r="OSP216"/>
      <c r="OSQ216"/>
      <c r="OSR216"/>
      <c r="OSS216"/>
      <c r="OST216"/>
      <c r="OSU216"/>
      <c r="OSV216"/>
      <c r="OSW216"/>
      <c r="OSX216"/>
      <c r="OSY216"/>
      <c r="OSZ216"/>
      <c r="OTA216"/>
      <c r="OTB216"/>
      <c r="OTC216"/>
      <c r="OTD216"/>
      <c r="OTE216"/>
      <c r="OTF216"/>
      <c r="OTG216"/>
      <c r="OTH216"/>
      <c r="OTI216"/>
      <c r="OTJ216"/>
      <c r="OTK216"/>
      <c r="OTL216"/>
      <c r="OTM216"/>
      <c r="OTN216"/>
      <c r="OTO216"/>
      <c r="OTP216"/>
      <c r="OTQ216"/>
      <c r="OTR216"/>
      <c r="OTS216"/>
      <c r="OTT216"/>
      <c r="OTU216"/>
      <c r="OTV216"/>
      <c r="OTW216"/>
      <c r="OTX216"/>
      <c r="OTY216"/>
      <c r="OTZ216"/>
      <c r="OUA216"/>
      <c r="OUB216"/>
      <c r="OUC216"/>
      <c r="OUD216"/>
      <c r="OUE216"/>
      <c r="OUF216"/>
      <c r="OUG216"/>
      <c r="OUH216"/>
      <c r="OUI216"/>
      <c r="OUJ216"/>
      <c r="OUK216"/>
      <c r="OUL216"/>
      <c r="OUM216"/>
      <c r="OUN216"/>
      <c r="OUO216"/>
      <c r="OUP216"/>
      <c r="OUQ216"/>
      <c r="OUR216"/>
      <c r="OUS216"/>
      <c r="OUT216"/>
      <c r="OUU216"/>
      <c r="OUV216"/>
      <c r="OUW216"/>
      <c r="OUX216"/>
      <c r="OUY216"/>
      <c r="OUZ216"/>
      <c r="OVA216"/>
      <c r="OVB216"/>
      <c r="OVC216"/>
      <c r="OVD216"/>
      <c r="OVE216"/>
      <c r="OVF216"/>
      <c r="OVG216"/>
      <c r="OVH216"/>
      <c r="OVI216"/>
      <c r="OVJ216"/>
      <c r="OVK216"/>
      <c r="OVL216"/>
      <c r="OVM216"/>
      <c r="OVN216"/>
      <c r="OVO216"/>
      <c r="OVP216"/>
      <c r="OVQ216"/>
      <c r="OVR216"/>
      <c r="OVS216"/>
      <c r="OVT216"/>
      <c r="OVU216"/>
      <c r="OVV216"/>
      <c r="OVW216"/>
      <c r="OVX216"/>
      <c r="OVY216"/>
      <c r="OVZ216"/>
      <c r="OWA216"/>
      <c r="OWB216"/>
      <c r="OWC216"/>
      <c r="OWD216"/>
      <c r="OWE216"/>
      <c r="OWF216"/>
      <c r="OWG216"/>
      <c r="OWH216"/>
      <c r="OWI216"/>
      <c r="OWJ216"/>
      <c r="OWK216"/>
      <c r="OWL216"/>
      <c r="OWM216"/>
      <c r="OWN216"/>
      <c r="OWO216"/>
      <c r="OWP216"/>
      <c r="OWQ216"/>
      <c r="OWR216"/>
      <c r="OWS216"/>
      <c r="OWT216"/>
      <c r="OWU216"/>
      <c r="OWV216"/>
      <c r="OWW216"/>
      <c r="OWX216"/>
      <c r="OWY216"/>
      <c r="OWZ216"/>
      <c r="OXA216"/>
      <c r="OXB216"/>
      <c r="OXC216"/>
      <c r="OXD216"/>
      <c r="OXE216"/>
      <c r="OXF216"/>
      <c r="OXG216"/>
      <c r="OXH216"/>
      <c r="OXI216"/>
      <c r="OXJ216"/>
      <c r="OXK216"/>
      <c r="OXL216"/>
      <c r="OXM216"/>
      <c r="OXN216"/>
      <c r="OXO216"/>
      <c r="OXP216"/>
      <c r="OXQ216"/>
      <c r="OXR216"/>
      <c r="OXS216"/>
      <c r="OXT216"/>
      <c r="OXU216"/>
      <c r="OXV216"/>
      <c r="OXW216"/>
      <c r="OXX216"/>
      <c r="OXY216"/>
      <c r="OXZ216"/>
      <c r="OYA216"/>
      <c r="OYB216"/>
      <c r="OYC216"/>
      <c r="OYD216"/>
      <c r="OYE216"/>
      <c r="OYF216"/>
      <c r="OYG216"/>
      <c r="OYH216"/>
      <c r="OYI216"/>
      <c r="OYJ216"/>
      <c r="OYK216"/>
      <c r="OYL216"/>
      <c r="OYM216"/>
      <c r="OYN216"/>
      <c r="OYO216"/>
      <c r="OYP216"/>
      <c r="OYQ216"/>
      <c r="OYR216"/>
      <c r="OYS216"/>
      <c r="OYT216"/>
      <c r="OYU216"/>
      <c r="OYV216"/>
      <c r="OYW216"/>
      <c r="OYX216"/>
      <c r="OYY216"/>
      <c r="OYZ216"/>
      <c r="OZA216"/>
      <c r="OZB216"/>
      <c r="OZC216"/>
      <c r="OZD216"/>
      <c r="OZE216"/>
      <c r="OZF216"/>
      <c r="OZG216"/>
      <c r="OZH216"/>
      <c r="OZI216"/>
      <c r="OZJ216"/>
      <c r="OZK216"/>
      <c r="OZL216"/>
      <c r="OZM216"/>
      <c r="OZN216"/>
      <c r="OZO216"/>
      <c r="OZP216"/>
      <c r="OZQ216"/>
      <c r="OZR216"/>
      <c r="OZS216"/>
      <c r="OZT216"/>
      <c r="OZU216"/>
      <c r="OZV216"/>
      <c r="OZW216"/>
      <c r="OZX216"/>
      <c r="OZY216"/>
      <c r="OZZ216"/>
      <c r="PAA216"/>
      <c r="PAB216"/>
      <c r="PAC216"/>
      <c r="PAD216"/>
      <c r="PAE216"/>
      <c r="PAF216"/>
      <c r="PAG216"/>
      <c r="PAH216"/>
      <c r="PAI216"/>
      <c r="PAJ216"/>
      <c r="PAK216"/>
      <c r="PAL216"/>
      <c r="PAM216"/>
      <c r="PAN216"/>
      <c r="PAO216"/>
      <c r="PAP216"/>
      <c r="PAQ216"/>
      <c r="PAR216"/>
      <c r="PAS216"/>
      <c r="PAT216"/>
      <c r="PAU216"/>
      <c r="PAV216"/>
      <c r="PAW216"/>
      <c r="PAX216"/>
      <c r="PAY216"/>
      <c r="PAZ216"/>
      <c r="PBA216"/>
      <c r="PBB216"/>
      <c r="PBC216"/>
      <c r="PBD216"/>
      <c r="PBE216"/>
      <c r="PBF216"/>
      <c r="PBG216"/>
      <c r="PBH216"/>
      <c r="PBI216"/>
      <c r="PBJ216"/>
      <c r="PBK216"/>
      <c r="PBL216"/>
      <c r="PBM216"/>
      <c r="PBN216"/>
      <c r="PBO216"/>
      <c r="PBP216"/>
      <c r="PBQ216"/>
      <c r="PBR216"/>
      <c r="PBS216"/>
      <c r="PBT216"/>
      <c r="PBU216"/>
      <c r="PBV216"/>
      <c r="PBW216"/>
      <c r="PBX216"/>
      <c r="PBY216"/>
      <c r="PBZ216"/>
      <c r="PCA216"/>
      <c r="PCB216"/>
      <c r="PCC216"/>
      <c r="PCD216"/>
      <c r="PCE216"/>
      <c r="PCF216"/>
      <c r="PCG216"/>
      <c r="PCH216"/>
      <c r="PCI216"/>
      <c r="PCJ216"/>
      <c r="PCK216"/>
      <c r="PCL216"/>
      <c r="PCM216"/>
      <c r="PCN216"/>
      <c r="PCO216"/>
      <c r="PCP216"/>
      <c r="PCQ216"/>
      <c r="PCR216"/>
      <c r="PCS216"/>
      <c r="PCT216"/>
      <c r="PCU216"/>
      <c r="PCV216"/>
      <c r="PCW216"/>
      <c r="PCX216"/>
      <c r="PCY216"/>
      <c r="PCZ216"/>
      <c r="PDA216"/>
      <c r="PDB216"/>
      <c r="PDC216"/>
      <c r="PDD216"/>
      <c r="PDE216"/>
      <c r="PDF216"/>
      <c r="PDG216"/>
      <c r="PDH216"/>
      <c r="PDI216"/>
      <c r="PDJ216"/>
      <c r="PDK216"/>
      <c r="PDL216"/>
      <c r="PDM216"/>
      <c r="PDN216"/>
      <c r="PDO216"/>
      <c r="PDP216"/>
      <c r="PDQ216"/>
      <c r="PDR216"/>
      <c r="PDS216"/>
      <c r="PDT216"/>
      <c r="PDU216"/>
      <c r="PDV216"/>
      <c r="PDW216"/>
      <c r="PDX216"/>
      <c r="PDY216"/>
      <c r="PDZ216"/>
      <c r="PEA216"/>
      <c r="PEB216"/>
      <c r="PEC216"/>
      <c r="PED216"/>
      <c r="PEE216"/>
      <c r="PEF216"/>
      <c r="PEG216"/>
      <c r="PEH216"/>
      <c r="PEI216"/>
      <c r="PEJ216"/>
      <c r="PEK216"/>
      <c r="PEL216"/>
      <c r="PEM216"/>
      <c r="PEN216"/>
      <c r="PEO216"/>
      <c r="PEP216"/>
      <c r="PEQ216"/>
      <c r="PER216"/>
      <c r="PES216"/>
      <c r="PET216"/>
      <c r="PEU216"/>
      <c r="PEV216"/>
      <c r="PEW216"/>
      <c r="PEX216"/>
      <c r="PEY216"/>
      <c r="PEZ216"/>
      <c r="PFA216"/>
      <c r="PFB216"/>
      <c r="PFC216"/>
      <c r="PFD216"/>
      <c r="PFE216"/>
      <c r="PFF216"/>
      <c r="PFG216"/>
      <c r="PFH216"/>
      <c r="PFI216"/>
      <c r="PFJ216"/>
      <c r="PFK216"/>
      <c r="PFL216"/>
      <c r="PFM216"/>
      <c r="PFN216"/>
      <c r="PFO216"/>
      <c r="PFP216"/>
      <c r="PFQ216"/>
      <c r="PFR216"/>
      <c r="PFS216"/>
      <c r="PFT216"/>
      <c r="PFU216"/>
      <c r="PFV216"/>
      <c r="PFW216"/>
      <c r="PFX216"/>
      <c r="PFY216"/>
      <c r="PFZ216"/>
      <c r="PGA216"/>
      <c r="PGB216"/>
      <c r="PGC216"/>
      <c r="PGD216"/>
      <c r="PGE216"/>
      <c r="PGF216"/>
      <c r="PGG216"/>
      <c r="PGH216"/>
      <c r="PGI216"/>
      <c r="PGJ216"/>
      <c r="PGK216"/>
      <c r="PGL216"/>
      <c r="PGM216"/>
      <c r="PGN216"/>
      <c r="PGO216"/>
      <c r="PGP216"/>
      <c r="PGQ216"/>
      <c r="PGR216"/>
      <c r="PGS216"/>
      <c r="PGT216"/>
      <c r="PGU216"/>
      <c r="PGV216"/>
      <c r="PGW216"/>
      <c r="PGX216"/>
      <c r="PGY216"/>
      <c r="PGZ216"/>
      <c r="PHA216"/>
      <c r="PHB216"/>
      <c r="PHC216"/>
      <c r="PHD216"/>
      <c r="PHE216"/>
      <c r="PHF216"/>
      <c r="PHG216"/>
      <c r="PHH216"/>
      <c r="PHI216"/>
      <c r="PHJ216"/>
      <c r="PHK216"/>
      <c r="PHL216"/>
      <c r="PHM216"/>
      <c r="PHN216"/>
      <c r="PHO216"/>
      <c r="PHP216"/>
      <c r="PHQ216"/>
      <c r="PHR216"/>
      <c r="PHS216"/>
      <c r="PHT216"/>
      <c r="PHU216"/>
      <c r="PHV216"/>
      <c r="PHW216"/>
      <c r="PHX216"/>
      <c r="PHY216"/>
      <c r="PHZ216"/>
      <c r="PIA216"/>
      <c r="PIB216"/>
      <c r="PIC216"/>
      <c r="PID216"/>
      <c r="PIE216"/>
      <c r="PIF216"/>
      <c r="PIG216"/>
      <c r="PIH216"/>
      <c r="PII216"/>
      <c r="PIJ216"/>
      <c r="PIK216"/>
      <c r="PIL216"/>
      <c r="PIM216"/>
      <c r="PIN216"/>
      <c r="PIO216"/>
      <c r="PIP216"/>
      <c r="PIQ216"/>
      <c r="PIR216"/>
      <c r="PIS216"/>
      <c r="PIT216"/>
      <c r="PIU216"/>
      <c r="PIV216"/>
      <c r="PIW216"/>
      <c r="PIX216"/>
      <c r="PIY216"/>
      <c r="PIZ216"/>
      <c r="PJA216"/>
      <c r="PJB216"/>
      <c r="PJC216"/>
      <c r="PJD216"/>
      <c r="PJE216"/>
      <c r="PJF216"/>
      <c r="PJG216"/>
      <c r="PJH216"/>
      <c r="PJI216"/>
      <c r="PJJ216"/>
      <c r="PJK216"/>
      <c r="PJL216"/>
      <c r="PJM216"/>
      <c r="PJN216"/>
      <c r="PJO216"/>
      <c r="PJP216"/>
      <c r="PJQ216"/>
      <c r="PJR216"/>
      <c r="PJS216"/>
      <c r="PJT216"/>
      <c r="PJU216"/>
      <c r="PJV216"/>
      <c r="PJW216"/>
      <c r="PJX216"/>
      <c r="PJY216"/>
      <c r="PJZ216"/>
      <c r="PKA216"/>
      <c r="PKB216"/>
      <c r="PKC216"/>
      <c r="PKD216"/>
      <c r="PKE216"/>
      <c r="PKF216"/>
      <c r="PKG216"/>
      <c r="PKH216"/>
      <c r="PKI216"/>
      <c r="PKJ216"/>
      <c r="PKK216"/>
      <c r="PKL216"/>
      <c r="PKM216"/>
      <c r="PKN216"/>
      <c r="PKO216"/>
      <c r="PKP216"/>
      <c r="PKQ216"/>
      <c r="PKR216"/>
      <c r="PKS216"/>
      <c r="PKT216"/>
      <c r="PKU216"/>
      <c r="PKV216"/>
      <c r="PKW216"/>
      <c r="PKX216"/>
      <c r="PKY216"/>
      <c r="PKZ216"/>
      <c r="PLA216"/>
      <c r="PLB216"/>
      <c r="PLC216"/>
      <c r="PLD216"/>
      <c r="PLE216"/>
      <c r="PLF216"/>
      <c r="PLG216"/>
      <c r="PLH216"/>
      <c r="PLI216"/>
      <c r="PLJ216"/>
      <c r="PLK216"/>
      <c r="PLL216"/>
      <c r="PLM216"/>
      <c r="PLN216"/>
      <c r="PLO216"/>
      <c r="PLP216"/>
      <c r="PLQ216"/>
      <c r="PLR216"/>
      <c r="PLS216"/>
      <c r="PLT216"/>
      <c r="PLU216"/>
      <c r="PLV216"/>
      <c r="PLW216"/>
      <c r="PLX216"/>
      <c r="PLY216"/>
      <c r="PLZ216"/>
      <c r="PMA216"/>
      <c r="PMB216"/>
      <c r="PMC216"/>
      <c r="PMD216"/>
      <c r="PME216"/>
      <c r="PMF216"/>
      <c r="PMG216"/>
      <c r="PMH216"/>
      <c r="PMI216"/>
      <c r="PMJ216"/>
      <c r="PMK216"/>
      <c r="PML216"/>
      <c r="PMM216"/>
      <c r="PMN216"/>
      <c r="PMO216"/>
      <c r="PMP216"/>
      <c r="PMQ216"/>
      <c r="PMR216"/>
      <c r="PMS216"/>
      <c r="PMT216"/>
      <c r="PMU216"/>
      <c r="PMV216"/>
      <c r="PMW216"/>
      <c r="PMX216"/>
      <c r="PMY216"/>
      <c r="PMZ216"/>
      <c r="PNA216"/>
      <c r="PNB216"/>
      <c r="PNC216"/>
      <c r="PND216"/>
      <c r="PNE216"/>
      <c r="PNF216"/>
      <c r="PNG216"/>
      <c r="PNH216"/>
      <c r="PNI216"/>
      <c r="PNJ216"/>
      <c r="PNK216"/>
      <c r="PNL216"/>
      <c r="PNM216"/>
      <c r="PNN216"/>
      <c r="PNO216"/>
      <c r="PNP216"/>
      <c r="PNQ216"/>
      <c r="PNR216"/>
      <c r="PNS216"/>
      <c r="PNT216"/>
      <c r="PNU216"/>
      <c r="PNV216"/>
      <c r="PNW216"/>
      <c r="PNX216"/>
      <c r="PNY216"/>
      <c r="PNZ216"/>
      <c r="POA216"/>
      <c r="POB216"/>
      <c r="POC216"/>
      <c r="POD216"/>
      <c r="POE216"/>
      <c r="POF216"/>
      <c r="POG216"/>
      <c r="POH216"/>
      <c r="POI216"/>
      <c r="POJ216"/>
      <c r="POK216"/>
      <c r="POL216"/>
      <c r="POM216"/>
      <c r="PON216"/>
      <c r="POO216"/>
      <c r="POP216"/>
      <c r="POQ216"/>
      <c r="POR216"/>
      <c r="POS216"/>
      <c r="POT216"/>
      <c r="POU216"/>
      <c r="POV216"/>
      <c r="POW216"/>
      <c r="POX216"/>
      <c r="POY216"/>
      <c r="POZ216"/>
      <c r="PPA216"/>
      <c r="PPB216"/>
      <c r="PPC216"/>
      <c r="PPD216"/>
      <c r="PPE216"/>
      <c r="PPF216"/>
      <c r="PPG216"/>
      <c r="PPH216"/>
      <c r="PPI216"/>
      <c r="PPJ216"/>
      <c r="PPK216"/>
      <c r="PPL216"/>
      <c r="PPM216"/>
      <c r="PPN216"/>
      <c r="PPO216"/>
      <c r="PPP216"/>
      <c r="PPQ216"/>
      <c r="PPR216"/>
      <c r="PPS216"/>
      <c r="PPT216"/>
      <c r="PPU216"/>
      <c r="PPV216"/>
      <c r="PPW216"/>
      <c r="PPX216"/>
      <c r="PPY216"/>
      <c r="PPZ216"/>
      <c r="PQA216"/>
      <c r="PQB216"/>
      <c r="PQC216"/>
      <c r="PQD216"/>
      <c r="PQE216"/>
      <c r="PQF216"/>
      <c r="PQG216"/>
      <c r="PQH216"/>
      <c r="PQI216"/>
      <c r="PQJ216"/>
      <c r="PQK216"/>
      <c r="PQL216"/>
      <c r="PQM216"/>
      <c r="PQN216"/>
      <c r="PQO216"/>
      <c r="PQP216"/>
      <c r="PQQ216"/>
      <c r="PQR216"/>
      <c r="PQS216"/>
      <c r="PQT216"/>
      <c r="PQU216"/>
      <c r="PQV216"/>
      <c r="PQW216"/>
      <c r="PQX216"/>
      <c r="PQY216"/>
      <c r="PQZ216"/>
      <c r="PRA216"/>
      <c r="PRB216"/>
      <c r="PRC216"/>
      <c r="PRD216"/>
      <c r="PRE216"/>
      <c r="PRF216"/>
      <c r="PRG216"/>
      <c r="PRH216"/>
      <c r="PRI216"/>
      <c r="PRJ216"/>
      <c r="PRK216"/>
      <c r="PRL216"/>
      <c r="PRM216"/>
      <c r="PRN216"/>
      <c r="PRO216"/>
      <c r="PRP216"/>
      <c r="PRQ216"/>
      <c r="PRR216"/>
      <c r="PRS216"/>
      <c r="PRT216"/>
      <c r="PRU216"/>
      <c r="PRV216"/>
      <c r="PRW216"/>
      <c r="PRX216"/>
      <c r="PRY216"/>
      <c r="PRZ216"/>
      <c r="PSA216"/>
      <c r="PSB216"/>
      <c r="PSC216"/>
      <c r="PSD216"/>
      <c r="PSE216"/>
      <c r="PSF216"/>
      <c r="PSG216"/>
      <c r="PSH216"/>
      <c r="PSI216"/>
      <c r="PSJ216"/>
      <c r="PSK216"/>
      <c r="PSL216"/>
      <c r="PSM216"/>
      <c r="PSN216"/>
      <c r="PSO216"/>
      <c r="PSP216"/>
      <c r="PSQ216"/>
      <c r="PSR216"/>
      <c r="PSS216"/>
      <c r="PST216"/>
      <c r="PSU216"/>
      <c r="PSV216"/>
      <c r="PSW216"/>
      <c r="PSX216"/>
      <c r="PSY216"/>
      <c r="PSZ216"/>
      <c r="PTA216"/>
      <c r="PTB216"/>
      <c r="PTC216"/>
      <c r="PTD216"/>
      <c r="PTE216"/>
      <c r="PTF216"/>
      <c r="PTG216"/>
      <c r="PTH216"/>
      <c r="PTI216"/>
      <c r="PTJ216"/>
      <c r="PTK216"/>
      <c r="PTL216"/>
      <c r="PTM216"/>
      <c r="PTN216"/>
      <c r="PTO216"/>
      <c r="PTP216"/>
      <c r="PTQ216"/>
      <c r="PTR216"/>
      <c r="PTS216"/>
      <c r="PTT216"/>
      <c r="PTU216"/>
      <c r="PTV216"/>
      <c r="PTW216"/>
      <c r="PTX216"/>
      <c r="PTY216"/>
      <c r="PTZ216"/>
      <c r="PUA216"/>
      <c r="PUB216"/>
      <c r="PUC216"/>
      <c r="PUD216"/>
      <c r="PUE216"/>
      <c r="PUF216"/>
      <c r="PUG216"/>
      <c r="PUH216"/>
      <c r="PUI216"/>
      <c r="PUJ216"/>
      <c r="PUK216"/>
      <c r="PUL216"/>
      <c r="PUM216"/>
      <c r="PUN216"/>
      <c r="PUO216"/>
      <c r="PUP216"/>
      <c r="PUQ216"/>
      <c r="PUR216"/>
      <c r="PUS216"/>
      <c r="PUT216"/>
      <c r="PUU216"/>
      <c r="PUV216"/>
      <c r="PUW216"/>
      <c r="PUX216"/>
      <c r="PUY216"/>
      <c r="PUZ216"/>
      <c r="PVA216"/>
      <c r="PVB216"/>
      <c r="PVC216"/>
      <c r="PVD216"/>
      <c r="PVE216"/>
      <c r="PVF216"/>
      <c r="PVG216"/>
      <c r="PVH216"/>
      <c r="PVI216"/>
      <c r="PVJ216"/>
      <c r="PVK216"/>
      <c r="PVL216"/>
      <c r="PVM216"/>
      <c r="PVN216"/>
      <c r="PVO216"/>
      <c r="PVP216"/>
      <c r="PVQ216"/>
      <c r="PVR216"/>
      <c r="PVS216"/>
      <c r="PVT216"/>
      <c r="PVU216"/>
      <c r="PVV216"/>
      <c r="PVW216"/>
      <c r="PVX216"/>
      <c r="PVY216"/>
      <c r="PVZ216"/>
      <c r="PWA216"/>
      <c r="PWB216"/>
      <c r="PWC216"/>
      <c r="PWD216"/>
      <c r="PWE216"/>
      <c r="PWF216"/>
      <c r="PWG216"/>
      <c r="PWH216"/>
      <c r="PWI216"/>
      <c r="PWJ216"/>
      <c r="PWK216"/>
      <c r="PWL216"/>
      <c r="PWM216"/>
      <c r="PWN216"/>
      <c r="PWO216"/>
      <c r="PWP216"/>
      <c r="PWQ216"/>
      <c r="PWR216"/>
      <c r="PWS216"/>
      <c r="PWT216"/>
      <c r="PWU216"/>
      <c r="PWV216"/>
      <c r="PWW216"/>
      <c r="PWX216"/>
      <c r="PWY216"/>
      <c r="PWZ216"/>
      <c r="PXA216"/>
      <c r="PXB216"/>
      <c r="PXC216"/>
      <c r="PXD216"/>
      <c r="PXE216"/>
      <c r="PXF216"/>
      <c r="PXG216"/>
      <c r="PXH216"/>
      <c r="PXI216"/>
      <c r="PXJ216"/>
      <c r="PXK216"/>
      <c r="PXL216"/>
      <c r="PXM216"/>
      <c r="PXN216"/>
      <c r="PXO216"/>
      <c r="PXP216"/>
      <c r="PXQ216"/>
      <c r="PXR216"/>
      <c r="PXS216"/>
      <c r="PXT216"/>
      <c r="PXU216"/>
      <c r="PXV216"/>
      <c r="PXW216"/>
      <c r="PXX216"/>
      <c r="PXY216"/>
      <c r="PXZ216"/>
      <c r="PYA216"/>
      <c r="PYB216"/>
      <c r="PYC216"/>
      <c r="PYD216"/>
      <c r="PYE216"/>
      <c r="PYF216"/>
      <c r="PYG216"/>
      <c r="PYH216"/>
      <c r="PYI216"/>
      <c r="PYJ216"/>
      <c r="PYK216"/>
      <c r="PYL216"/>
      <c r="PYM216"/>
      <c r="PYN216"/>
      <c r="PYO216"/>
      <c r="PYP216"/>
      <c r="PYQ216"/>
      <c r="PYR216"/>
      <c r="PYS216"/>
      <c r="PYT216"/>
      <c r="PYU216"/>
      <c r="PYV216"/>
      <c r="PYW216"/>
      <c r="PYX216"/>
      <c r="PYY216"/>
      <c r="PYZ216"/>
      <c r="PZA216"/>
      <c r="PZB216"/>
      <c r="PZC216"/>
      <c r="PZD216"/>
      <c r="PZE216"/>
      <c r="PZF216"/>
      <c r="PZG216"/>
      <c r="PZH216"/>
      <c r="PZI216"/>
      <c r="PZJ216"/>
      <c r="PZK216"/>
      <c r="PZL216"/>
      <c r="PZM216"/>
      <c r="PZN216"/>
      <c r="PZO216"/>
      <c r="PZP216"/>
      <c r="PZQ216"/>
      <c r="PZR216"/>
      <c r="PZS216"/>
      <c r="PZT216"/>
      <c r="PZU216"/>
      <c r="PZV216"/>
      <c r="PZW216"/>
      <c r="PZX216"/>
      <c r="PZY216"/>
      <c r="PZZ216"/>
      <c r="QAA216"/>
      <c r="QAB216"/>
      <c r="QAC216"/>
      <c r="QAD216"/>
      <c r="QAE216"/>
      <c r="QAF216"/>
      <c r="QAG216"/>
      <c r="QAH216"/>
      <c r="QAI216"/>
      <c r="QAJ216"/>
      <c r="QAK216"/>
      <c r="QAL216"/>
      <c r="QAM216"/>
      <c r="QAN216"/>
      <c r="QAO216"/>
      <c r="QAP216"/>
      <c r="QAQ216"/>
      <c r="QAR216"/>
      <c r="QAS216"/>
      <c r="QAT216"/>
      <c r="QAU216"/>
      <c r="QAV216"/>
      <c r="QAW216"/>
      <c r="QAX216"/>
      <c r="QAY216"/>
      <c r="QAZ216"/>
      <c r="QBA216"/>
      <c r="QBB216"/>
      <c r="QBC216"/>
      <c r="QBD216"/>
      <c r="QBE216"/>
      <c r="QBF216"/>
      <c r="QBG216"/>
      <c r="QBH216"/>
      <c r="QBI216"/>
      <c r="QBJ216"/>
      <c r="QBK216"/>
      <c r="QBL216"/>
      <c r="QBM216"/>
      <c r="QBN216"/>
      <c r="QBO216"/>
      <c r="QBP216"/>
      <c r="QBQ216"/>
      <c r="QBR216"/>
      <c r="QBS216"/>
      <c r="QBT216"/>
      <c r="QBU216"/>
      <c r="QBV216"/>
      <c r="QBW216"/>
      <c r="QBX216"/>
      <c r="QBY216"/>
      <c r="QBZ216"/>
      <c r="QCA216"/>
      <c r="QCB216"/>
      <c r="QCC216"/>
      <c r="QCD216"/>
      <c r="QCE216"/>
      <c r="QCF216"/>
      <c r="QCG216"/>
      <c r="QCH216"/>
      <c r="QCI216"/>
      <c r="QCJ216"/>
      <c r="QCK216"/>
      <c r="QCL216"/>
      <c r="QCM216"/>
      <c r="QCN216"/>
      <c r="QCO216"/>
      <c r="QCP216"/>
      <c r="QCQ216"/>
      <c r="QCR216"/>
      <c r="QCS216"/>
      <c r="QCT216"/>
      <c r="QCU216"/>
      <c r="QCV216"/>
      <c r="QCW216"/>
      <c r="QCX216"/>
      <c r="QCY216"/>
      <c r="QCZ216"/>
      <c r="QDA216"/>
      <c r="QDB216"/>
      <c r="QDC216"/>
      <c r="QDD216"/>
      <c r="QDE216"/>
      <c r="QDF216"/>
      <c r="QDG216"/>
      <c r="QDH216"/>
      <c r="QDI216"/>
      <c r="QDJ216"/>
      <c r="QDK216"/>
      <c r="QDL216"/>
      <c r="QDM216"/>
      <c r="QDN216"/>
      <c r="QDO216"/>
      <c r="QDP216"/>
      <c r="QDQ216"/>
      <c r="QDR216"/>
      <c r="QDS216"/>
      <c r="QDT216"/>
      <c r="QDU216"/>
      <c r="QDV216"/>
      <c r="QDW216"/>
      <c r="QDX216"/>
      <c r="QDY216"/>
      <c r="QDZ216"/>
      <c r="QEA216"/>
      <c r="QEB216"/>
      <c r="QEC216"/>
      <c r="QED216"/>
      <c r="QEE216"/>
      <c r="QEF216"/>
      <c r="QEG216"/>
      <c r="QEH216"/>
      <c r="QEI216"/>
      <c r="QEJ216"/>
      <c r="QEK216"/>
      <c r="QEL216"/>
      <c r="QEM216"/>
      <c r="QEN216"/>
      <c r="QEO216"/>
      <c r="QEP216"/>
      <c r="QEQ216"/>
      <c r="QER216"/>
      <c r="QES216"/>
      <c r="QET216"/>
      <c r="QEU216"/>
      <c r="QEV216"/>
      <c r="QEW216"/>
      <c r="QEX216"/>
      <c r="QEY216"/>
      <c r="QEZ216"/>
      <c r="QFA216"/>
      <c r="QFB216"/>
      <c r="QFC216"/>
      <c r="QFD216"/>
      <c r="QFE216"/>
      <c r="QFF216"/>
      <c r="QFG216"/>
      <c r="QFH216"/>
      <c r="QFI216"/>
      <c r="QFJ216"/>
      <c r="QFK216"/>
      <c r="QFL216"/>
      <c r="QFM216"/>
      <c r="QFN216"/>
      <c r="QFO216"/>
      <c r="QFP216"/>
      <c r="QFQ216"/>
      <c r="QFR216"/>
      <c r="QFS216"/>
      <c r="QFT216"/>
      <c r="QFU216"/>
      <c r="QFV216"/>
      <c r="QFW216"/>
      <c r="QFX216"/>
      <c r="QFY216"/>
      <c r="QFZ216"/>
      <c r="QGA216"/>
      <c r="QGB216"/>
      <c r="QGC216"/>
      <c r="QGD216"/>
      <c r="QGE216"/>
      <c r="QGF216"/>
      <c r="QGG216"/>
      <c r="QGH216"/>
      <c r="QGI216"/>
      <c r="QGJ216"/>
      <c r="QGK216"/>
      <c r="QGL216"/>
      <c r="QGM216"/>
      <c r="QGN216"/>
      <c r="QGO216"/>
      <c r="QGP216"/>
      <c r="QGQ216"/>
      <c r="QGR216"/>
      <c r="QGS216"/>
      <c r="QGT216"/>
      <c r="QGU216"/>
      <c r="QGV216"/>
      <c r="QGW216"/>
      <c r="QGX216"/>
      <c r="QGY216"/>
      <c r="QGZ216"/>
      <c r="QHA216"/>
      <c r="QHB216"/>
      <c r="QHC216"/>
      <c r="QHD216"/>
      <c r="QHE216"/>
      <c r="QHF216"/>
      <c r="QHG216"/>
      <c r="QHH216"/>
      <c r="QHI216"/>
      <c r="QHJ216"/>
      <c r="QHK216"/>
      <c r="QHL216"/>
      <c r="QHM216"/>
      <c r="QHN216"/>
      <c r="QHO216"/>
      <c r="QHP216"/>
      <c r="QHQ216"/>
      <c r="QHR216"/>
      <c r="QHS216"/>
      <c r="QHT216"/>
      <c r="QHU216"/>
      <c r="QHV216"/>
      <c r="QHW216"/>
      <c r="QHX216"/>
      <c r="QHY216"/>
      <c r="QHZ216"/>
      <c r="QIA216"/>
      <c r="QIB216"/>
      <c r="QIC216"/>
      <c r="QID216"/>
      <c r="QIE216"/>
      <c r="QIF216"/>
      <c r="QIG216"/>
      <c r="QIH216"/>
      <c r="QII216"/>
      <c r="QIJ216"/>
      <c r="QIK216"/>
      <c r="QIL216"/>
      <c r="QIM216"/>
      <c r="QIN216"/>
      <c r="QIO216"/>
      <c r="QIP216"/>
      <c r="QIQ216"/>
      <c r="QIR216"/>
      <c r="QIS216"/>
      <c r="QIT216"/>
      <c r="QIU216"/>
      <c r="QIV216"/>
      <c r="QIW216"/>
      <c r="QIX216"/>
      <c r="QIY216"/>
      <c r="QIZ216"/>
      <c r="QJA216"/>
      <c r="QJB216"/>
      <c r="QJC216"/>
      <c r="QJD216"/>
      <c r="QJE216"/>
      <c r="QJF216"/>
      <c r="QJG216"/>
      <c r="QJH216"/>
      <c r="QJI216"/>
      <c r="QJJ216"/>
      <c r="QJK216"/>
      <c r="QJL216"/>
      <c r="QJM216"/>
      <c r="QJN216"/>
      <c r="QJO216"/>
      <c r="QJP216"/>
      <c r="QJQ216"/>
      <c r="QJR216"/>
      <c r="QJS216"/>
      <c r="QJT216"/>
      <c r="QJU216"/>
      <c r="QJV216"/>
      <c r="QJW216"/>
      <c r="QJX216"/>
      <c r="QJY216"/>
      <c r="QJZ216"/>
      <c r="QKA216"/>
      <c r="QKB216"/>
      <c r="QKC216"/>
      <c r="QKD216"/>
      <c r="QKE216"/>
      <c r="QKF216"/>
      <c r="QKG216"/>
      <c r="QKH216"/>
      <c r="QKI216"/>
      <c r="QKJ216"/>
      <c r="QKK216"/>
      <c r="QKL216"/>
      <c r="QKM216"/>
      <c r="QKN216"/>
      <c r="QKO216"/>
      <c r="QKP216"/>
      <c r="QKQ216"/>
      <c r="QKR216"/>
      <c r="QKS216"/>
      <c r="QKT216"/>
      <c r="QKU216"/>
      <c r="QKV216"/>
      <c r="QKW216"/>
      <c r="QKX216"/>
      <c r="QKY216"/>
      <c r="QKZ216"/>
      <c r="QLA216"/>
      <c r="QLB216"/>
      <c r="QLC216"/>
      <c r="QLD216"/>
      <c r="QLE216"/>
      <c r="QLF216"/>
      <c r="QLG216"/>
      <c r="QLH216"/>
      <c r="QLI216"/>
      <c r="QLJ216"/>
      <c r="QLK216"/>
      <c r="QLL216"/>
      <c r="QLM216"/>
      <c r="QLN216"/>
      <c r="QLO216"/>
      <c r="QLP216"/>
      <c r="QLQ216"/>
      <c r="QLR216"/>
      <c r="QLS216"/>
      <c r="QLT216"/>
      <c r="QLU216"/>
      <c r="QLV216"/>
      <c r="QLW216"/>
      <c r="QLX216"/>
      <c r="QLY216"/>
      <c r="QLZ216"/>
      <c r="QMA216"/>
      <c r="QMB216"/>
      <c r="QMC216"/>
      <c r="QMD216"/>
      <c r="QME216"/>
      <c r="QMF216"/>
      <c r="QMG216"/>
      <c r="QMH216"/>
      <c r="QMI216"/>
      <c r="QMJ216"/>
      <c r="QMK216"/>
      <c r="QML216"/>
      <c r="QMM216"/>
      <c r="QMN216"/>
      <c r="QMO216"/>
      <c r="QMP216"/>
      <c r="QMQ216"/>
      <c r="QMR216"/>
      <c r="QMS216"/>
      <c r="QMT216"/>
      <c r="QMU216"/>
      <c r="QMV216"/>
      <c r="QMW216"/>
      <c r="QMX216"/>
      <c r="QMY216"/>
      <c r="QMZ216"/>
      <c r="QNA216"/>
      <c r="QNB216"/>
      <c r="QNC216"/>
      <c r="QND216"/>
      <c r="QNE216"/>
      <c r="QNF216"/>
      <c r="QNG216"/>
      <c r="QNH216"/>
      <c r="QNI216"/>
      <c r="QNJ216"/>
      <c r="QNK216"/>
      <c r="QNL216"/>
      <c r="QNM216"/>
      <c r="QNN216"/>
      <c r="QNO216"/>
      <c r="QNP216"/>
      <c r="QNQ216"/>
      <c r="QNR216"/>
      <c r="QNS216"/>
      <c r="QNT216"/>
      <c r="QNU216"/>
      <c r="QNV216"/>
      <c r="QNW216"/>
      <c r="QNX216"/>
      <c r="QNY216"/>
      <c r="QNZ216"/>
      <c r="QOA216"/>
      <c r="QOB216"/>
      <c r="QOC216"/>
      <c r="QOD216"/>
      <c r="QOE216"/>
      <c r="QOF216"/>
      <c r="QOG216"/>
      <c r="QOH216"/>
      <c r="QOI216"/>
      <c r="QOJ216"/>
      <c r="QOK216"/>
      <c r="QOL216"/>
      <c r="QOM216"/>
      <c r="QON216"/>
      <c r="QOO216"/>
      <c r="QOP216"/>
      <c r="QOQ216"/>
      <c r="QOR216"/>
      <c r="QOS216"/>
      <c r="QOT216"/>
      <c r="QOU216"/>
      <c r="QOV216"/>
      <c r="QOW216"/>
      <c r="QOX216"/>
      <c r="QOY216"/>
      <c r="QOZ216"/>
      <c r="QPA216"/>
      <c r="QPB216"/>
      <c r="QPC216"/>
      <c r="QPD216"/>
      <c r="QPE216"/>
      <c r="QPF216"/>
      <c r="QPG216"/>
      <c r="QPH216"/>
      <c r="QPI216"/>
      <c r="QPJ216"/>
      <c r="QPK216"/>
      <c r="QPL216"/>
      <c r="QPM216"/>
      <c r="QPN216"/>
      <c r="QPO216"/>
      <c r="QPP216"/>
      <c r="QPQ216"/>
      <c r="QPR216"/>
      <c r="QPS216"/>
      <c r="QPT216"/>
      <c r="QPU216"/>
      <c r="QPV216"/>
      <c r="QPW216"/>
      <c r="QPX216"/>
      <c r="QPY216"/>
      <c r="QPZ216"/>
      <c r="QQA216"/>
      <c r="QQB216"/>
      <c r="QQC216"/>
      <c r="QQD216"/>
      <c r="QQE216"/>
      <c r="QQF216"/>
      <c r="QQG216"/>
      <c r="QQH216"/>
      <c r="QQI216"/>
      <c r="QQJ216"/>
      <c r="QQK216"/>
      <c r="QQL216"/>
      <c r="QQM216"/>
      <c r="QQN216"/>
      <c r="QQO216"/>
      <c r="QQP216"/>
      <c r="QQQ216"/>
      <c r="QQR216"/>
      <c r="QQS216"/>
      <c r="QQT216"/>
      <c r="QQU216"/>
      <c r="QQV216"/>
      <c r="QQW216"/>
      <c r="QQX216"/>
      <c r="QQY216"/>
      <c r="QQZ216"/>
      <c r="QRA216"/>
      <c r="QRB216"/>
      <c r="QRC216"/>
      <c r="QRD216"/>
      <c r="QRE216"/>
      <c r="QRF216"/>
      <c r="QRG216"/>
      <c r="QRH216"/>
      <c r="QRI216"/>
      <c r="QRJ216"/>
      <c r="QRK216"/>
      <c r="QRL216"/>
      <c r="QRM216"/>
      <c r="QRN216"/>
      <c r="QRO216"/>
      <c r="QRP216"/>
      <c r="QRQ216"/>
      <c r="QRR216"/>
      <c r="QRS216"/>
      <c r="QRT216"/>
      <c r="QRU216"/>
      <c r="QRV216"/>
      <c r="QRW216"/>
      <c r="QRX216"/>
      <c r="QRY216"/>
      <c r="QRZ216"/>
      <c r="QSA216"/>
      <c r="QSB216"/>
      <c r="QSC216"/>
      <c r="QSD216"/>
      <c r="QSE216"/>
      <c r="QSF216"/>
      <c r="QSG216"/>
      <c r="QSH216"/>
      <c r="QSI216"/>
      <c r="QSJ216"/>
      <c r="QSK216"/>
      <c r="QSL216"/>
      <c r="QSM216"/>
      <c r="QSN216"/>
      <c r="QSO216"/>
      <c r="QSP216"/>
      <c r="QSQ216"/>
      <c r="QSR216"/>
      <c r="QSS216"/>
      <c r="QST216"/>
      <c r="QSU216"/>
      <c r="QSV216"/>
      <c r="QSW216"/>
      <c r="QSX216"/>
      <c r="QSY216"/>
      <c r="QSZ216"/>
      <c r="QTA216"/>
      <c r="QTB216"/>
      <c r="QTC216"/>
      <c r="QTD216"/>
      <c r="QTE216"/>
      <c r="QTF216"/>
      <c r="QTG216"/>
      <c r="QTH216"/>
      <c r="QTI216"/>
      <c r="QTJ216"/>
      <c r="QTK216"/>
      <c r="QTL216"/>
      <c r="QTM216"/>
      <c r="QTN216"/>
      <c r="QTO216"/>
      <c r="QTP216"/>
      <c r="QTQ216"/>
      <c r="QTR216"/>
      <c r="QTS216"/>
      <c r="QTT216"/>
      <c r="QTU216"/>
      <c r="QTV216"/>
      <c r="QTW216"/>
      <c r="QTX216"/>
      <c r="QTY216"/>
      <c r="QTZ216"/>
      <c r="QUA216"/>
      <c r="QUB216"/>
      <c r="QUC216"/>
      <c r="QUD216"/>
      <c r="QUE216"/>
      <c r="QUF216"/>
      <c r="QUG216"/>
      <c r="QUH216"/>
      <c r="QUI216"/>
      <c r="QUJ216"/>
      <c r="QUK216"/>
      <c r="QUL216"/>
      <c r="QUM216"/>
      <c r="QUN216"/>
      <c r="QUO216"/>
      <c r="QUP216"/>
      <c r="QUQ216"/>
      <c r="QUR216"/>
      <c r="QUS216"/>
      <c r="QUT216"/>
      <c r="QUU216"/>
      <c r="QUV216"/>
      <c r="QUW216"/>
      <c r="QUX216"/>
      <c r="QUY216"/>
      <c r="QUZ216"/>
      <c r="QVA216"/>
      <c r="QVB216"/>
      <c r="QVC216"/>
      <c r="QVD216"/>
      <c r="QVE216"/>
      <c r="QVF216"/>
      <c r="QVG216"/>
      <c r="QVH216"/>
      <c r="QVI216"/>
      <c r="QVJ216"/>
      <c r="QVK216"/>
      <c r="QVL216"/>
      <c r="QVM216"/>
      <c r="QVN216"/>
      <c r="QVO216"/>
      <c r="QVP216"/>
      <c r="QVQ216"/>
      <c r="QVR216"/>
      <c r="QVS216"/>
      <c r="QVT216"/>
      <c r="QVU216"/>
      <c r="QVV216"/>
      <c r="QVW216"/>
      <c r="QVX216"/>
      <c r="QVY216"/>
      <c r="QVZ216"/>
      <c r="QWA216"/>
      <c r="QWB216"/>
      <c r="QWC216"/>
      <c r="QWD216"/>
      <c r="QWE216"/>
      <c r="QWF216"/>
      <c r="QWG216"/>
      <c r="QWH216"/>
      <c r="QWI216"/>
      <c r="QWJ216"/>
      <c r="QWK216"/>
      <c r="QWL216"/>
      <c r="QWM216"/>
      <c r="QWN216"/>
      <c r="QWO216"/>
      <c r="QWP216"/>
      <c r="QWQ216"/>
      <c r="QWR216"/>
      <c r="QWS216"/>
      <c r="QWT216"/>
      <c r="QWU216"/>
      <c r="QWV216"/>
      <c r="QWW216"/>
      <c r="QWX216"/>
      <c r="QWY216"/>
      <c r="QWZ216"/>
      <c r="QXA216"/>
      <c r="QXB216"/>
      <c r="QXC216"/>
      <c r="QXD216"/>
      <c r="QXE216"/>
      <c r="QXF216"/>
      <c r="QXG216"/>
      <c r="QXH216"/>
      <c r="QXI216"/>
      <c r="QXJ216"/>
      <c r="QXK216"/>
      <c r="QXL216"/>
      <c r="QXM216"/>
      <c r="QXN216"/>
      <c r="QXO216"/>
      <c r="QXP216"/>
      <c r="QXQ216"/>
      <c r="QXR216"/>
      <c r="QXS216"/>
      <c r="QXT216"/>
      <c r="QXU216"/>
      <c r="QXV216"/>
      <c r="QXW216"/>
      <c r="QXX216"/>
      <c r="QXY216"/>
      <c r="QXZ216"/>
      <c r="QYA216"/>
      <c r="QYB216"/>
      <c r="QYC216"/>
      <c r="QYD216"/>
      <c r="QYE216"/>
      <c r="QYF216"/>
      <c r="QYG216"/>
      <c r="QYH216"/>
      <c r="QYI216"/>
      <c r="QYJ216"/>
      <c r="QYK216"/>
      <c r="QYL216"/>
      <c r="QYM216"/>
      <c r="QYN216"/>
      <c r="QYO216"/>
      <c r="QYP216"/>
      <c r="QYQ216"/>
      <c r="QYR216"/>
      <c r="QYS216"/>
      <c r="QYT216"/>
      <c r="QYU216"/>
      <c r="QYV216"/>
      <c r="QYW216"/>
      <c r="QYX216"/>
      <c r="QYY216"/>
      <c r="QYZ216"/>
      <c r="QZA216"/>
      <c r="QZB216"/>
      <c r="QZC216"/>
      <c r="QZD216"/>
      <c r="QZE216"/>
      <c r="QZF216"/>
      <c r="QZG216"/>
      <c r="QZH216"/>
      <c r="QZI216"/>
      <c r="QZJ216"/>
      <c r="QZK216"/>
      <c r="QZL216"/>
      <c r="QZM216"/>
      <c r="QZN216"/>
      <c r="QZO216"/>
      <c r="QZP216"/>
      <c r="QZQ216"/>
      <c r="QZR216"/>
      <c r="QZS216"/>
      <c r="QZT216"/>
      <c r="QZU216"/>
      <c r="QZV216"/>
      <c r="QZW216"/>
      <c r="QZX216"/>
      <c r="QZY216"/>
      <c r="QZZ216"/>
      <c r="RAA216"/>
      <c r="RAB216"/>
      <c r="RAC216"/>
      <c r="RAD216"/>
      <c r="RAE216"/>
      <c r="RAF216"/>
      <c r="RAG216"/>
      <c r="RAH216"/>
      <c r="RAI216"/>
      <c r="RAJ216"/>
      <c r="RAK216"/>
      <c r="RAL216"/>
      <c r="RAM216"/>
      <c r="RAN216"/>
      <c r="RAO216"/>
      <c r="RAP216"/>
      <c r="RAQ216"/>
      <c r="RAR216"/>
      <c r="RAS216"/>
      <c r="RAT216"/>
      <c r="RAU216"/>
      <c r="RAV216"/>
      <c r="RAW216"/>
      <c r="RAX216"/>
      <c r="RAY216"/>
      <c r="RAZ216"/>
      <c r="RBA216"/>
      <c r="RBB216"/>
      <c r="RBC216"/>
      <c r="RBD216"/>
      <c r="RBE216"/>
      <c r="RBF216"/>
      <c r="RBG216"/>
      <c r="RBH216"/>
      <c r="RBI216"/>
      <c r="RBJ216"/>
      <c r="RBK216"/>
      <c r="RBL216"/>
      <c r="RBM216"/>
      <c r="RBN216"/>
      <c r="RBO216"/>
      <c r="RBP216"/>
      <c r="RBQ216"/>
      <c r="RBR216"/>
      <c r="RBS216"/>
      <c r="RBT216"/>
      <c r="RBU216"/>
      <c r="RBV216"/>
      <c r="RBW216"/>
      <c r="RBX216"/>
      <c r="RBY216"/>
      <c r="RBZ216"/>
      <c r="RCA216"/>
      <c r="RCB216"/>
      <c r="RCC216"/>
      <c r="RCD216"/>
      <c r="RCE216"/>
      <c r="RCF216"/>
      <c r="RCG216"/>
      <c r="RCH216"/>
      <c r="RCI216"/>
      <c r="RCJ216"/>
      <c r="RCK216"/>
      <c r="RCL216"/>
      <c r="RCM216"/>
      <c r="RCN216"/>
      <c r="RCO216"/>
      <c r="RCP216"/>
      <c r="RCQ216"/>
      <c r="RCR216"/>
      <c r="RCS216"/>
      <c r="RCT216"/>
      <c r="RCU216"/>
      <c r="RCV216"/>
      <c r="RCW216"/>
      <c r="RCX216"/>
      <c r="RCY216"/>
      <c r="RCZ216"/>
      <c r="RDA216"/>
      <c r="RDB216"/>
      <c r="RDC216"/>
      <c r="RDD216"/>
      <c r="RDE216"/>
      <c r="RDF216"/>
      <c r="RDG216"/>
      <c r="RDH216"/>
      <c r="RDI216"/>
      <c r="RDJ216"/>
      <c r="RDK216"/>
      <c r="RDL216"/>
      <c r="RDM216"/>
      <c r="RDN216"/>
      <c r="RDO216"/>
      <c r="RDP216"/>
      <c r="RDQ216"/>
      <c r="RDR216"/>
      <c r="RDS216"/>
      <c r="RDT216"/>
      <c r="RDU216"/>
      <c r="RDV216"/>
      <c r="RDW216"/>
      <c r="RDX216"/>
      <c r="RDY216"/>
      <c r="RDZ216"/>
      <c r="REA216"/>
      <c r="REB216"/>
      <c r="REC216"/>
      <c r="RED216"/>
      <c r="REE216"/>
      <c r="REF216"/>
      <c r="REG216"/>
      <c r="REH216"/>
      <c r="REI216"/>
      <c r="REJ216"/>
      <c r="REK216"/>
      <c r="REL216"/>
      <c r="REM216"/>
      <c r="REN216"/>
      <c r="REO216"/>
      <c r="REP216"/>
      <c r="REQ216"/>
      <c r="RER216"/>
      <c r="RES216"/>
      <c r="RET216"/>
      <c r="REU216"/>
      <c r="REV216"/>
      <c r="REW216"/>
      <c r="REX216"/>
      <c r="REY216"/>
      <c r="REZ216"/>
      <c r="RFA216"/>
      <c r="RFB216"/>
      <c r="RFC216"/>
      <c r="RFD216"/>
      <c r="RFE216"/>
      <c r="RFF216"/>
      <c r="RFG216"/>
      <c r="RFH216"/>
      <c r="RFI216"/>
      <c r="RFJ216"/>
      <c r="RFK216"/>
      <c r="RFL216"/>
      <c r="RFM216"/>
      <c r="RFN216"/>
      <c r="RFO216"/>
      <c r="RFP216"/>
      <c r="RFQ216"/>
      <c r="RFR216"/>
      <c r="RFS216"/>
      <c r="RFT216"/>
      <c r="RFU216"/>
      <c r="RFV216"/>
      <c r="RFW216"/>
      <c r="RFX216"/>
      <c r="RFY216"/>
      <c r="RFZ216"/>
      <c r="RGA216"/>
      <c r="RGB216"/>
      <c r="RGC216"/>
      <c r="RGD216"/>
      <c r="RGE216"/>
      <c r="RGF216"/>
      <c r="RGG216"/>
      <c r="RGH216"/>
      <c r="RGI216"/>
      <c r="RGJ216"/>
      <c r="RGK216"/>
      <c r="RGL216"/>
      <c r="RGM216"/>
      <c r="RGN216"/>
      <c r="RGO216"/>
      <c r="RGP216"/>
      <c r="RGQ216"/>
      <c r="RGR216"/>
      <c r="RGS216"/>
      <c r="RGT216"/>
      <c r="RGU216"/>
      <c r="RGV216"/>
      <c r="RGW216"/>
      <c r="RGX216"/>
      <c r="RGY216"/>
      <c r="RGZ216"/>
      <c r="RHA216"/>
      <c r="RHB216"/>
      <c r="RHC216"/>
      <c r="RHD216"/>
      <c r="RHE216"/>
      <c r="RHF216"/>
      <c r="RHG216"/>
      <c r="RHH216"/>
      <c r="RHI216"/>
      <c r="RHJ216"/>
      <c r="RHK216"/>
      <c r="RHL216"/>
      <c r="RHM216"/>
      <c r="RHN216"/>
      <c r="RHO216"/>
      <c r="RHP216"/>
      <c r="RHQ216"/>
      <c r="RHR216"/>
      <c r="RHS216"/>
      <c r="RHT216"/>
      <c r="RHU216"/>
      <c r="RHV216"/>
      <c r="RHW216"/>
      <c r="RHX216"/>
      <c r="RHY216"/>
      <c r="RHZ216"/>
      <c r="RIA216"/>
      <c r="RIB216"/>
      <c r="RIC216"/>
      <c r="RID216"/>
      <c r="RIE216"/>
      <c r="RIF216"/>
      <c r="RIG216"/>
      <c r="RIH216"/>
      <c r="RII216"/>
      <c r="RIJ216"/>
      <c r="RIK216"/>
      <c r="RIL216"/>
      <c r="RIM216"/>
      <c r="RIN216"/>
      <c r="RIO216"/>
      <c r="RIP216"/>
      <c r="RIQ216"/>
      <c r="RIR216"/>
      <c r="RIS216"/>
      <c r="RIT216"/>
      <c r="RIU216"/>
      <c r="RIV216"/>
      <c r="RIW216"/>
      <c r="RIX216"/>
      <c r="RIY216"/>
      <c r="RIZ216"/>
      <c r="RJA216"/>
      <c r="RJB216"/>
      <c r="RJC216"/>
      <c r="RJD216"/>
      <c r="RJE216"/>
      <c r="RJF216"/>
      <c r="RJG216"/>
      <c r="RJH216"/>
      <c r="RJI216"/>
      <c r="RJJ216"/>
      <c r="RJK216"/>
      <c r="RJL216"/>
      <c r="RJM216"/>
      <c r="RJN216"/>
      <c r="RJO216"/>
      <c r="RJP216"/>
      <c r="RJQ216"/>
      <c r="RJR216"/>
      <c r="RJS216"/>
      <c r="RJT216"/>
      <c r="RJU216"/>
      <c r="RJV216"/>
      <c r="RJW216"/>
      <c r="RJX216"/>
      <c r="RJY216"/>
      <c r="RJZ216"/>
      <c r="RKA216"/>
      <c r="RKB216"/>
      <c r="RKC216"/>
      <c r="RKD216"/>
      <c r="RKE216"/>
      <c r="RKF216"/>
      <c r="RKG216"/>
      <c r="RKH216"/>
      <c r="RKI216"/>
      <c r="RKJ216"/>
      <c r="RKK216"/>
      <c r="RKL216"/>
      <c r="RKM216"/>
      <c r="RKN216"/>
      <c r="RKO216"/>
      <c r="RKP216"/>
      <c r="RKQ216"/>
      <c r="RKR216"/>
      <c r="RKS216"/>
      <c r="RKT216"/>
      <c r="RKU216"/>
      <c r="RKV216"/>
      <c r="RKW216"/>
      <c r="RKX216"/>
      <c r="RKY216"/>
      <c r="RKZ216"/>
      <c r="RLA216"/>
      <c r="RLB216"/>
      <c r="RLC216"/>
      <c r="RLD216"/>
      <c r="RLE216"/>
      <c r="RLF216"/>
      <c r="RLG216"/>
      <c r="RLH216"/>
      <c r="RLI216"/>
      <c r="RLJ216"/>
      <c r="RLK216"/>
      <c r="RLL216"/>
      <c r="RLM216"/>
      <c r="RLN216"/>
      <c r="RLO216"/>
      <c r="RLP216"/>
      <c r="RLQ216"/>
      <c r="RLR216"/>
      <c r="RLS216"/>
      <c r="RLT216"/>
      <c r="RLU216"/>
      <c r="RLV216"/>
      <c r="RLW216"/>
      <c r="RLX216"/>
      <c r="RLY216"/>
      <c r="RLZ216"/>
      <c r="RMA216"/>
      <c r="RMB216"/>
      <c r="RMC216"/>
      <c r="RMD216"/>
      <c r="RME216"/>
      <c r="RMF216"/>
      <c r="RMG216"/>
      <c r="RMH216"/>
      <c r="RMI216"/>
      <c r="RMJ216"/>
      <c r="RMK216"/>
      <c r="RML216"/>
      <c r="RMM216"/>
      <c r="RMN216"/>
      <c r="RMO216"/>
      <c r="RMP216"/>
      <c r="RMQ216"/>
      <c r="RMR216"/>
      <c r="RMS216"/>
      <c r="RMT216"/>
      <c r="RMU216"/>
      <c r="RMV216"/>
      <c r="RMW216"/>
      <c r="RMX216"/>
      <c r="RMY216"/>
      <c r="RMZ216"/>
      <c r="RNA216"/>
      <c r="RNB216"/>
      <c r="RNC216"/>
      <c r="RND216"/>
      <c r="RNE216"/>
      <c r="RNF216"/>
      <c r="RNG216"/>
      <c r="RNH216"/>
      <c r="RNI216"/>
      <c r="RNJ216"/>
      <c r="RNK216"/>
      <c r="RNL216"/>
      <c r="RNM216"/>
      <c r="RNN216"/>
      <c r="RNO216"/>
      <c r="RNP216"/>
      <c r="RNQ216"/>
      <c r="RNR216"/>
      <c r="RNS216"/>
      <c r="RNT216"/>
      <c r="RNU216"/>
      <c r="RNV216"/>
      <c r="RNW216"/>
      <c r="RNX216"/>
      <c r="RNY216"/>
      <c r="RNZ216"/>
      <c r="ROA216"/>
      <c r="ROB216"/>
      <c r="ROC216"/>
      <c r="ROD216"/>
      <c r="ROE216"/>
      <c r="ROF216"/>
      <c r="ROG216"/>
      <c r="ROH216"/>
      <c r="ROI216"/>
      <c r="ROJ216"/>
      <c r="ROK216"/>
      <c r="ROL216"/>
      <c r="ROM216"/>
      <c r="RON216"/>
      <c r="ROO216"/>
      <c r="ROP216"/>
      <c r="ROQ216"/>
      <c r="ROR216"/>
      <c r="ROS216"/>
      <c r="ROT216"/>
      <c r="ROU216"/>
      <c r="ROV216"/>
      <c r="ROW216"/>
      <c r="ROX216"/>
      <c r="ROY216"/>
      <c r="ROZ216"/>
      <c r="RPA216"/>
      <c r="RPB216"/>
      <c r="RPC216"/>
      <c r="RPD216"/>
      <c r="RPE216"/>
      <c r="RPF216"/>
      <c r="RPG216"/>
      <c r="RPH216"/>
      <c r="RPI216"/>
      <c r="RPJ216"/>
      <c r="RPK216"/>
      <c r="RPL216"/>
      <c r="RPM216"/>
      <c r="RPN216"/>
      <c r="RPO216"/>
      <c r="RPP216"/>
      <c r="RPQ216"/>
      <c r="RPR216"/>
      <c r="RPS216"/>
      <c r="RPT216"/>
      <c r="RPU216"/>
      <c r="RPV216"/>
      <c r="RPW216"/>
      <c r="RPX216"/>
      <c r="RPY216"/>
      <c r="RPZ216"/>
      <c r="RQA216"/>
      <c r="RQB216"/>
      <c r="RQC216"/>
      <c r="RQD216"/>
      <c r="RQE216"/>
      <c r="RQF216"/>
      <c r="RQG216"/>
      <c r="RQH216"/>
      <c r="RQI216"/>
      <c r="RQJ216"/>
      <c r="RQK216"/>
      <c r="RQL216"/>
      <c r="RQM216"/>
      <c r="RQN216"/>
      <c r="RQO216"/>
      <c r="RQP216"/>
      <c r="RQQ216"/>
      <c r="RQR216"/>
      <c r="RQS216"/>
      <c r="RQT216"/>
      <c r="RQU216"/>
      <c r="RQV216"/>
      <c r="RQW216"/>
      <c r="RQX216"/>
      <c r="RQY216"/>
      <c r="RQZ216"/>
      <c r="RRA216"/>
      <c r="RRB216"/>
      <c r="RRC216"/>
      <c r="RRD216"/>
      <c r="RRE216"/>
      <c r="RRF216"/>
      <c r="RRG216"/>
      <c r="RRH216"/>
      <c r="RRI216"/>
      <c r="RRJ216"/>
      <c r="RRK216"/>
      <c r="RRL216"/>
      <c r="RRM216"/>
      <c r="RRN216"/>
      <c r="RRO216"/>
      <c r="RRP216"/>
      <c r="RRQ216"/>
      <c r="RRR216"/>
      <c r="RRS216"/>
      <c r="RRT216"/>
      <c r="RRU216"/>
      <c r="RRV216"/>
      <c r="RRW216"/>
      <c r="RRX216"/>
      <c r="RRY216"/>
      <c r="RRZ216"/>
      <c r="RSA216"/>
      <c r="RSB216"/>
      <c r="RSC216"/>
      <c r="RSD216"/>
      <c r="RSE216"/>
      <c r="RSF216"/>
      <c r="RSG216"/>
      <c r="RSH216"/>
      <c r="RSI216"/>
      <c r="RSJ216"/>
      <c r="RSK216"/>
      <c r="RSL216"/>
      <c r="RSM216"/>
      <c r="RSN216"/>
      <c r="RSO216"/>
      <c r="RSP216"/>
      <c r="RSQ216"/>
      <c r="RSR216"/>
      <c r="RSS216"/>
      <c r="RST216"/>
      <c r="RSU216"/>
      <c r="RSV216"/>
      <c r="RSW216"/>
      <c r="RSX216"/>
      <c r="RSY216"/>
      <c r="RSZ216"/>
      <c r="RTA216"/>
      <c r="RTB216"/>
      <c r="RTC216"/>
      <c r="RTD216"/>
      <c r="RTE216"/>
      <c r="RTF216"/>
      <c r="RTG216"/>
      <c r="RTH216"/>
      <c r="RTI216"/>
      <c r="RTJ216"/>
      <c r="RTK216"/>
      <c r="RTL216"/>
      <c r="RTM216"/>
      <c r="RTN216"/>
      <c r="RTO216"/>
      <c r="RTP216"/>
      <c r="RTQ216"/>
      <c r="RTR216"/>
      <c r="RTS216"/>
      <c r="RTT216"/>
      <c r="RTU216"/>
      <c r="RTV216"/>
      <c r="RTW216"/>
      <c r="RTX216"/>
      <c r="RTY216"/>
      <c r="RTZ216"/>
      <c r="RUA216"/>
      <c r="RUB216"/>
      <c r="RUC216"/>
      <c r="RUD216"/>
      <c r="RUE216"/>
      <c r="RUF216"/>
      <c r="RUG216"/>
      <c r="RUH216"/>
      <c r="RUI216"/>
      <c r="RUJ216"/>
      <c r="RUK216"/>
      <c r="RUL216"/>
      <c r="RUM216"/>
      <c r="RUN216"/>
      <c r="RUO216"/>
      <c r="RUP216"/>
      <c r="RUQ216"/>
      <c r="RUR216"/>
      <c r="RUS216"/>
      <c r="RUT216"/>
      <c r="RUU216"/>
      <c r="RUV216"/>
      <c r="RUW216"/>
      <c r="RUX216"/>
      <c r="RUY216"/>
      <c r="RUZ216"/>
      <c r="RVA216"/>
      <c r="RVB216"/>
      <c r="RVC216"/>
      <c r="RVD216"/>
      <c r="RVE216"/>
      <c r="RVF216"/>
      <c r="RVG216"/>
      <c r="RVH216"/>
      <c r="RVI216"/>
      <c r="RVJ216"/>
      <c r="RVK216"/>
      <c r="RVL216"/>
      <c r="RVM216"/>
      <c r="RVN216"/>
      <c r="RVO216"/>
      <c r="RVP216"/>
      <c r="RVQ216"/>
      <c r="RVR216"/>
      <c r="RVS216"/>
      <c r="RVT216"/>
      <c r="RVU216"/>
      <c r="RVV216"/>
      <c r="RVW216"/>
      <c r="RVX216"/>
      <c r="RVY216"/>
      <c r="RVZ216"/>
      <c r="RWA216"/>
      <c r="RWB216"/>
      <c r="RWC216"/>
      <c r="RWD216"/>
      <c r="RWE216"/>
      <c r="RWF216"/>
      <c r="RWG216"/>
      <c r="RWH216"/>
      <c r="RWI216"/>
      <c r="RWJ216"/>
      <c r="RWK216"/>
      <c r="RWL216"/>
      <c r="RWM216"/>
      <c r="RWN216"/>
      <c r="RWO216"/>
      <c r="RWP216"/>
      <c r="RWQ216"/>
      <c r="RWR216"/>
      <c r="RWS216"/>
      <c r="RWT216"/>
      <c r="RWU216"/>
      <c r="RWV216"/>
      <c r="RWW216"/>
      <c r="RWX216"/>
      <c r="RWY216"/>
      <c r="RWZ216"/>
      <c r="RXA216"/>
      <c r="RXB216"/>
      <c r="RXC216"/>
      <c r="RXD216"/>
      <c r="RXE216"/>
      <c r="RXF216"/>
      <c r="RXG216"/>
      <c r="RXH216"/>
      <c r="RXI216"/>
      <c r="RXJ216"/>
      <c r="RXK216"/>
      <c r="RXL216"/>
      <c r="RXM216"/>
      <c r="RXN216"/>
      <c r="RXO216"/>
      <c r="RXP216"/>
      <c r="RXQ216"/>
      <c r="RXR216"/>
      <c r="RXS216"/>
      <c r="RXT216"/>
      <c r="RXU216"/>
      <c r="RXV216"/>
      <c r="RXW216"/>
      <c r="RXX216"/>
      <c r="RXY216"/>
      <c r="RXZ216"/>
      <c r="RYA216"/>
      <c r="RYB216"/>
      <c r="RYC216"/>
      <c r="RYD216"/>
      <c r="RYE216"/>
      <c r="RYF216"/>
      <c r="RYG216"/>
      <c r="RYH216"/>
      <c r="RYI216"/>
      <c r="RYJ216"/>
      <c r="RYK216"/>
      <c r="RYL216"/>
      <c r="RYM216"/>
      <c r="RYN216"/>
      <c r="RYO216"/>
      <c r="RYP216"/>
      <c r="RYQ216"/>
      <c r="RYR216"/>
      <c r="RYS216"/>
      <c r="RYT216"/>
      <c r="RYU216"/>
      <c r="RYV216"/>
      <c r="RYW216"/>
      <c r="RYX216"/>
      <c r="RYY216"/>
      <c r="RYZ216"/>
      <c r="RZA216"/>
      <c r="RZB216"/>
      <c r="RZC216"/>
      <c r="RZD216"/>
      <c r="RZE216"/>
      <c r="RZF216"/>
      <c r="RZG216"/>
      <c r="RZH216"/>
      <c r="RZI216"/>
      <c r="RZJ216"/>
      <c r="RZK216"/>
      <c r="RZL216"/>
      <c r="RZM216"/>
      <c r="RZN216"/>
      <c r="RZO216"/>
      <c r="RZP216"/>
      <c r="RZQ216"/>
      <c r="RZR216"/>
      <c r="RZS216"/>
      <c r="RZT216"/>
      <c r="RZU216"/>
      <c r="RZV216"/>
      <c r="RZW216"/>
      <c r="RZX216"/>
      <c r="RZY216"/>
      <c r="RZZ216"/>
      <c r="SAA216"/>
      <c r="SAB216"/>
      <c r="SAC216"/>
      <c r="SAD216"/>
      <c r="SAE216"/>
      <c r="SAF216"/>
      <c r="SAG216"/>
      <c r="SAH216"/>
      <c r="SAI216"/>
      <c r="SAJ216"/>
      <c r="SAK216"/>
      <c r="SAL216"/>
      <c r="SAM216"/>
      <c r="SAN216"/>
      <c r="SAO216"/>
      <c r="SAP216"/>
      <c r="SAQ216"/>
      <c r="SAR216"/>
      <c r="SAS216"/>
      <c r="SAT216"/>
      <c r="SAU216"/>
      <c r="SAV216"/>
      <c r="SAW216"/>
      <c r="SAX216"/>
      <c r="SAY216"/>
      <c r="SAZ216"/>
      <c r="SBA216"/>
      <c r="SBB216"/>
      <c r="SBC216"/>
      <c r="SBD216"/>
      <c r="SBE216"/>
      <c r="SBF216"/>
      <c r="SBG216"/>
      <c r="SBH216"/>
      <c r="SBI216"/>
      <c r="SBJ216"/>
      <c r="SBK216"/>
      <c r="SBL216"/>
      <c r="SBM216"/>
      <c r="SBN216"/>
      <c r="SBO216"/>
      <c r="SBP216"/>
      <c r="SBQ216"/>
      <c r="SBR216"/>
      <c r="SBS216"/>
      <c r="SBT216"/>
      <c r="SBU216"/>
      <c r="SBV216"/>
      <c r="SBW216"/>
      <c r="SBX216"/>
      <c r="SBY216"/>
      <c r="SBZ216"/>
      <c r="SCA216"/>
      <c r="SCB216"/>
      <c r="SCC216"/>
      <c r="SCD216"/>
      <c r="SCE216"/>
      <c r="SCF216"/>
      <c r="SCG216"/>
      <c r="SCH216"/>
      <c r="SCI216"/>
      <c r="SCJ216"/>
      <c r="SCK216"/>
      <c r="SCL216"/>
      <c r="SCM216"/>
      <c r="SCN216"/>
      <c r="SCO216"/>
      <c r="SCP216"/>
      <c r="SCQ216"/>
      <c r="SCR216"/>
      <c r="SCS216"/>
      <c r="SCT216"/>
      <c r="SCU216"/>
      <c r="SCV216"/>
      <c r="SCW216"/>
      <c r="SCX216"/>
      <c r="SCY216"/>
      <c r="SCZ216"/>
      <c r="SDA216"/>
      <c r="SDB216"/>
      <c r="SDC216"/>
      <c r="SDD216"/>
      <c r="SDE216"/>
      <c r="SDF216"/>
      <c r="SDG216"/>
      <c r="SDH216"/>
      <c r="SDI216"/>
      <c r="SDJ216"/>
      <c r="SDK216"/>
      <c r="SDL216"/>
      <c r="SDM216"/>
      <c r="SDN216"/>
      <c r="SDO216"/>
      <c r="SDP216"/>
      <c r="SDQ216"/>
      <c r="SDR216"/>
      <c r="SDS216"/>
      <c r="SDT216"/>
      <c r="SDU216"/>
      <c r="SDV216"/>
      <c r="SDW216"/>
      <c r="SDX216"/>
      <c r="SDY216"/>
      <c r="SDZ216"/>
      <c r="SEA216"/>
      <c r="SEB216"/>
      <c r="SEC216"/>
      <c r="SED216"/>
      <c r="SEE216"/>
      <c r="SEF216"/>
      <c r="SEG216"/>
      <c r="SEH216"/>
      <c r="SEI216"/>
      <c r="SEJ216"/>
      <c r="SEK216"/>
      <c r="SEL216"/>
      <c r="SEM216"/>
      <c r="SEN216"/>
      <c r="SEO216"/>
      <c r="SEP216"/>
      <c r="SEQ216"/>
      <c r="SER216"/>
      <c r="SES216"/>
      <c r="SET216"/>
      <c r="SEU216"/>
      <c r="SEV216"/>
      <c r="SEW216"/>
      <c r="SEX216"/>
      <c r="SEY216"/>
      <c r="SEZ216"/>
      <c r="SFA216"/>
      <c r="SFB216"/>
      <c r="SFC216"/>
      <c r="SFD216"/>
      <c r="SFE216"/>
      <c r="SFF216"/>
      <c r="SFG216"/>
      <c r="SFH216"/>
      <c r="SFI216"/>
      <c r="SFJ216"/>
      <c r="SFK216"/>
      <c r="SFL216"/>
      <c r="SFM216"/>
      <c r="SFN216"/>
      <c r="SFO216"/>
      <c r="SFP216"/>
      <c r="SFQ216"/>
      <c r="SFR216"/>
      <c r="SFS216"/>
      <c r="SFT216"/>
      <c r="SFU216"/>
      <c r="SFV216"/>
      <c r="SFW216"/>
      <c r="SFX216"/>
      <c r="SFY216"/>
      <c r="SFZ216"/>
      <c r="SGA216"/>
      <c r="SGB216"/>
      <c r="SGC216"/>
      <c r="SGD216"/>
      <c r="SGE216"/>
      <c r="SGF216"/>
      <c r="SGG216"/>
      <c r="SGH216"/>
      <c r="SGI216"/>
      <c r="SGJ216"/>
      <c r="SGK216"/>
      <c r="SGL216"/>
      <c r="SGM216"/>
      <c r="SGN216"/>
      <c r="SGO216"/>
      <c r="SGP216"/>
      <c r="SGQ216"/>
      <c r="SGR216"/>
      <c r="SGS216"/>
      <c r="SGT216"/>
      <c r="SGU216"/>
      <c r="SGV216"/>
      <c r="SGW216"/>
      <c r="SGX216"/>
      <c r="SGY216"/>
      <c r="SGZ216"/>
      <c r="SHA216"/>
      <c r="SHB216"/>
      <c r="SHC216"/>
      <c r="SHD216"/>
      <c r="SHE216"/>
      <c r="SHF216"/>
      <c r="SHG216"/>
      <c r="SHH216"/>
      <c r="SHI216"/>
      <c r="SHJ216"/>
      <c r="SHK216"/>
      <c r="SHL216"/>
      <c r="SHM216"/>
      <c r="SHN216"/>
      <c r="SHO216"/>
      <c r="SHP216"/>
      <c r="SHQ216"/>
      <c r="SHR216"/>
      <c r="SHS216"/>
      <c r="SHT216"/>
      <c r="SHU216"/>
      <c r="SHV216"/>
      <c r="SHW216"/>
      <c r="SHX216"/>
      <c r="SHY216"/>
      <c r="SHZ216"/>
      <c r="SIA216"/>
      <c r="SIB216"/>
      <c r="SIC216"/>
      <c r="SID216"/>
      <c r="SIE216"/>
      <c r="SIF216"/>
      <c r="SIG216"/>
      <c r="SIH216"/>
      <c r="SII216"/>
      <c r="SIJ216"/>
      <c r="SIK216"/>
      <c r="SIL216"/>
      <c r="SIM216"/>
      <c r="SIN216"/>
      <c r="SIO216"/>
      <c r="SIP216"/>
      <c r="SIQ216"/>
      <c r="SIR216"/>
      <c r="SIS216"/>
      <c r="SIT216"/>
      <c r="SIU216"/>
      <c r="SIV216"/>
      <c r="SIW216"/>
      <c r="SIX216"/>
      <c r="SIY216"/>
      <c r="SIZ216"/>
      <c r="SJA216"/>
      <c r="SJB216"/>
      <c r="SJC216"/>
      <c r="SJD216"/>
      <c r="SJE216"/>
      <c r="SJF216"/>
      <c r="SJG216"/>
      <c r="SJH216"/>
      <c r="SJI216"/>
      <c r="SJJ216"/>
      <c r="SJK216"/>
      <c r="SJL216"/>
      <c r="SJM216"/>
      <c r="SJN216"/>
      <c r="SJO216"/>
      <c r="SJP216"/>
      <c r="SJQ216"/>
      <c r="SJR216"/>
      <c r="SJS216"/>
      <c r="SJT216"/>
      <c r="SJU216"/>
      <c r="SJV216"/>
      <c r="SJW216"/>
      <c r="SJX216"/>
      <c r="SJY216"/>
      <c r="SJZ216"/>
      <c r="SKA216"/>
      <c r="SKB216"/>
      <c r="SKC216"/>
      <c r="SKD216"/>
      <c r="SKE216"/>
      <c r="SKF216"/>
      <c r="SKG216"/>
      <c r="SKH216"/>
      <c r="SKI216"/>
      <c r="SKJ216"/>
      <c r="SKK216"/>
      <c r="SKL216"/>
      <c r="SKM216"/>
      <c r="SKN216"/>
      <c r="SKO216"/>
      <c r="SKP216"/>
      <c r="SKQ216"/>
      <c r="SKR216"/>
      <c r="SKS216"/>
      <c r="SKT216"/>
      <c r="SKU216"/>
      <c r="SKV216"/>
      <c r="SKW216"/>
      <c r="SKX216"/>
      <c r="SKY216"/>
      <c r="SKZ216"/>
      <c r="SLA216"/>
      <c r="SLB216"/>
      <c r="SLC216"/>
      <c r="SLD216"/>
      <c r="SLE216"/>
      <c r="SLF216"/>
      <c r="SLG216"/>
      <c r="SLH216"/>
      <c r="SLI216"/>
      <c r="SLJ216"/>
      <c r="SLK216"/>
      <c r="SLL216"/>
      <c r="SLM216"/>
      <c r="SLN216"/>
      <c r="SLO216"/>
      <c r="SLP216"/>
      <c r="SLQ216"/>
      <c r="SLR216"/>
      <c r="SLS216"/>
      <c r="SLT216"/>
      <c r="SLU216"/>
      <c r="SLV216"/>
      <c r="SLW216"/>
      <c r="SLX216"/>
      <c r="SLY216"/>
      <c r="SLZ216"/>
      <c r="SMA216"/>
      <c r="SMB216"/>
      <c r="SMC216"/>
      <c r="SMD216"/>
      <c r="SME216"/>
      <c r="SMF216"/>
      <c r="SMG216"/>
      <c r="SMH216"/>
      <c r="SMI216"/>
      <c r="SMJ216"/>
      <c r="SMK216"/>
      <c r="SML216"/>
      <c r="SMM216"/>
      <c r="SMN216"/>
      <c r="SMO216"/>
      <c r="SMP216"/>
      <c r="SMQ216"/>
      <c r="SMR216"/>
      <c r="SMS216"/>
      <c r="SMT216"/>
      <c r="SMU216"/>
      <c r="SMV216"/>
      <c r="SMW216"/>
      <c r="SMX216"/>
      <c r="SMY216"/>
      <c r="SMZ216"/>
      <c r="SNA216"/>
      <c r="SNB216"/>
      <c r="SNC216"/>
      <c r="SND216"/>
      <c r="SNE216"/>
      <c r="SNF216"/>
      <c r="SNG216"/>
      <c r="SNH216"/>
      <c r="SNI216"/>
      <c r="SNJ216"/>
      <c r="SNK216"/>
      <c r="SNL216"/>
      <c r="SNM216"/>
      <c r="SNN216"/>
      <c r="SNO216"/>
      <c r="SNP216"/>
      <c r="SNQ216"/>
      <c r="SNR216"/>
      <c r="SNS216"/>
      <c r="SNT216"/>
      <c r="SNU216"/>
      <c r="SNV216"/>
      <c r="SNW216"/>
      <c r="SNX216"/>
      <c r="SNY216"/>
      <c r="SNZ216"/>
      <c r="SOA216"/>
      <c r="SOB216"/>
      <c r="SOC216"/>
      <c r="SOD216"/>
      <c r="SOE216"/>
      <c r="SOF216"/>
      <c r="SOG216"/>
      <c r="SOH216"/>
      <c r="SOI216"/>
      <c r="SOJ216"/>
      <c r="SOK216"/>
      <c r="SOL216"/>
      <c r="SOM216"/>
      <c r="SON216"/>
      <c r="SOO216"/>
      <c r="SOP216"/>
      <c r="SOQ216"/>
      <c r="SOR216"/>
      <c r="SOS216"/>
      <c r="SOT216"/>
      <c r="SOU216"/>
      <c r="SOV216"/>
      <c r="SOW216"/>
      <c r="SOX216"/>
      <c r="SOY216"/>
      <c r="SOZ216"/>
      <c r="SPA216"/>
      <c r="SPB216"/>
      <c r="SPC216"/>
      <c r="SPD216"/>
      <c r="SPE216"/>
      <c r="SPF216"/>
      <c r="SPG216"/>
      <c r="SPH216"/>
      <c r="SPI216"/>
      <c r="SPJ216"/>
      <c r="SPK216"/>
      <c r="SPL216"/>
      <c r="SPM216"/>
      <c r="SPN216"/>
      <c r="SPO216"/>
      <c r="SPP216"/>
      <c r="SPQ216"/>
      <c r="SPR216"/>
      <c r="SPS216"/>
      <c r="SPT216"/>
      <c r="SPU216"/>
      <c r="SPV216"/>
      <c r="SPW216"/>
      <c r="SPX216"/>
      <c r="SPY216"/>
      <c r="SPZ216"/>
      <c r="SQA216"/>
      <c r="SQB216"/>
      <c r="SQC216"/>
      <c r="SQD216"/>
      <c r="SQE216"/>
      <c r="SQF216"/>
      <c r="SQG216"/>
      <c r="SQH216"/>
      <c r="SQI216"/>
      <c r="SQJ216"/>
      <c r="SQK216"/>
      <c r="SQL216"/>
      <c r="SQM216"/>
      <c r="SQN216"/>
      <c r="SQO216"/>
      <c r="SQP216"/>
      <c r="SQQ216"/>
      <c r="SQR216"/>
      <c r="SQS216"/>
      <c r="SQT216"/>
      <c r="SQU216"/>
      <c r="SQV216"/>
      <c r="SQW216"/>
      <c r="SQX216"/>
      <c r="SQY216"/>
      <c r="SQZ216"/>
      <c r="SRA216"/>
      <c r="SRB216"/>
      <c r="SRC216"/>
      <c r="SRD216"/>
      <c r="SRE216"/>
      <c r="SRF216"/>
      <c r="SRG216"/>
      <c r="SRH216"/>
      <c r="SRI216"/>
      <c r="SRJ216"/>
      <c r="SRK216"/>
      <c r="SRL216"/>
      <c r="SRM216"/>
      <c r="SRN216"/>
      <c r="SRO216"/>
      <c r="SRP216"/>
      <c r="SRQ216"/>
      <c r="SRR216"/>
      <c r="SRS216"/>
      <c r="SRT216"/>
      <c r="SRU216"/>
      <c r="SRV216"/>
      <c r="SRW216"/>
      <c r="SRX216"/>
      <c r="SRY216"/>
      <c r="SRZ216"/>
      <c r="SSA216"/>
      <c r="SSB216"/>
      <c r="SSC216"/>
      <c r="SSD216"/>
      <c r="SSE216"/>
      <c r="SSF216"/>
      <c r="SSG216"/>
      <c r="SSH216"/>
      <c r="SSI216"/>
      <c r="SSJ216"/>
      <c r="SSK216"/>
      <c r="SSL216"/>
      <c r="SSM216"/>
      <c r="SSN216"/>
      <c r="SSO216"/>
      <c r="SSP216"/>
      <c r="SSQ216"/>
      <c r="SSR216"/>
      <c r="SSS216"/>
      <c r="SST216"/>
      <c r="SSU216"/>
      <c r="SSV216"/>
      <c r="SSW216"/>
      <c r="SSX216"/>
      <c r="SSY216"/>
      <c r="SSZ216"/>
      <c r="STA216"/>
      <c r="STB216"/>
      <c r="STC216"/>
      <c r="STD216"/>
      <c r="STE216"/>
      <c r="STF216"/>
      <c r="STG216"/>
      <c r="STH216"/>
      <c r="STI216"/>
      <c r="STJ216"/>
      <c r="STK216"/>
      <c r="STL216"/>
      <c r="STM216"/>
      <c r="STN216"/>
      <c r="STO216"/>
      <c r="STP216"/>
      <c r="STQ216"/>
      <c r="STR216"/>
      <c r="STS216"/>
      <c r="STT216"/>
      <c r="STU216"/>
      <c r="STV216"/>
      <c r="STW216"/>
      <c r="STX216"/>
      <c r="STY216"/>
      <c r="STZ216"/>
      <c r="SUA216"/>
      <c r="SUB216"/>
      <c r="SUC216"/>
      <c r="SUD216"/>
      <c r="SUE216"/>
      <c r="SUF216"/>
      <c r="SUG216"/>
      <c r="SUH216"/>
      <c r="SUI216"/>
      <c r="SUJ216"/>
      <c r="SUK216"/>
      <c r="SUL216"/>
      <c r="SUM216"/>
      <c r="SUN216"/>
      <c r="SUO216"/>
      <c r="SUP216"/>
      <c r="SUQ216"/>
      <c r="SUR216"/>
      <c r="SUS216"/>
      <c r="SUT216"/>
      <c r="SUU216"/>
      <c r="SUV216"/>
      <c r="SUW216"/>
      <c r="SUX216"/>
      <c r="SUY216"/>
      <c r="SUZ216"/>
      <c r="SVA216"/>
      <c r="SVB216"/>
      <c r="SVC216"/>
      <c r="SVD216"/>
      <c r="SVE216"/>
      <c r="SVF216"/>
      <c r="SVG216"/>
      <c r="SVH216"/>
      <c r="SVI216"/>
      <c r="SVJ216"/>
      <c r="SVK216"/>
      <c r="SVL216"/>
      <c r="SVM216"/>
      <c r="SVN216"/>
      <c r="SVO216"/>
      <c r="SVP216"/>
      <c r="SVQ216"/>
      <c r="SVR216"/>
      <c r="SVS216"/>
      <c r="SVT216"/>
      <c r="SVU216"/>
      <c r="SVV216"/>
      <c r="SVW216"/>
      <c r="SVX216"/>
      <c r="SVY216"/>
      <c r="SVZ216"/>
      <c r="SWA216"/>
      <c r="SWB216"/>
      <c r="SWC216"/>
      <c r="SWD216"/>
      <c r="SWE216"/>
      <c r="SWF216"/>
      <c r="SWG216"/>
      <c r="SWH216"/>
      <c r="SWI216"/>
      <c r="SWJ216"/>
      <c r="SWK216"/>
      <c r="SWL216"/>
      <c r="SWM216"/>
      <c r="SWN216"/>
      <c r="SWO216"/>
      <c r="SWP216"/>
      <c r="SWQ216"/>
      <c r="SWR216"/>
      <c r="SWS216"/>
      <c r="SWT216"/>
      <c r="SWU216"/>
      <c r="SWV216"/>
      <c r="SWW216"/>
      <c r="SWX216"/>
      <c r="SWY216"/>
      <c r="SWZ216"/>
      <c r="SXA216"/>
      <c r="SXB216"/>
      <c r="SXC216"/>
      <c r="SXD216"/>
      <c r="SXE216"/>
      <c r="SXF216"/>
      <c r="SXG216"/>
      <c r="SXH216"/>
      <c r="SXI216"/>
      <c r="SXJ216"/>
      <c r="SXK216"/>
      <c r="SXL216"/>
      <c r="SXM216"/>
      <c r="SXN216"/>
      <c r="SXO216"/>
      <c r="SXP216"/>
      <c r="SXQ216"/>
      <c r="SXR216"/>
      <c r="SXS216"/>
      <c r="SXT216"/>
      <c r="SXU216"/>
      <c r="SXV216"/>
      <c r="SXW216"/>
      <c r="SXX216"/>
      <c r="SXY216"/>
      <c r="SXZ216"/>
      <c r="SYA216"/>
      <c r="SYB216"/>
      <c r="SYC216"/>
      <c r="SYD216"/>
      <c r="SYE216"/>
      <c r="SYF216"/>
      <c r="SYG216"/>
      <c r="SYH216"/>
      <c r="SYI216"/>
      <c r="SYJ216"/>
      <c r="SYK216"/>
      <c r="SYL216"/>
      <c r="SYM216"/>
      <c r="SYN216"/>
      <c r="SYO216"/>
      <c r="SYP216"/>
      <c r="SYQ216"/>
      <c r="SYR216"/>
      <c r="SYS216"/>
      <c r="SYT216"/>
      <c r="SYU216"/>
      <c r="SYV216"/>
      <c r="SYW216"/>
      <c r="SYX216"/>
      <c r="SYY216"/>
      <c r="SYZ216"/>
      <c r="SZA216"/>
      <c r="SZB216"/>
      <c r="SZC216"/>
      <c r="SZD216"/>
      <c r="SZE216"/>
      <c r="SZF216"/>
      <c r="SZG216"/>
      <c r="SZH216"/>
      <c r="SZI216"/>
      <c r="SZJ216"/>
      <c r="SZK216"/>
      <c r="SZL216"/>
      <c r="SZM216"/>
      <c r="SZN216"/>
      <c r="SZO216"/>
      <c r="SZP216"/>
      <c r="SZQ216"/>
      <c r="SZR216"/>
      <c r="SZS216"/>
      <c r="SZT216"/>
      <c r="SZU216"/>
      <c r="SZV216"/>
      <c r="SZW216"/>
      <c r="SZX216"/>
      <c r="SZY216"/>
      <c r="SZZ216"/>
      <c r="TAA216"/>
      <c r="TAB216"/>
      <c r="TAC216"/>
      <c r="TAD216"/>
      <c r="TAE216"/>
      <c r="TAF216"/>
      <c r="TAG216"/>
      <c r="TAH216"/>
      <c r="TAI216"/>
      <c r="TAJ216"/>
      <c r="TAK216"/>
      <c r="TAL216"/>
      <c r="TAM216"/>
      <c r="TAN216"/>
      <c r="TAO216"/>
      <c r="TAP216"/>
      <c r="TAQ216"/>
      <c r="TAR216"/>
      <c r="TAS216"/>
      <c r="TAT216"/>
      <c r="TAU216"/>
      <c r="TAV216"/>
      <c r="TAW216"/>
      <c r="TAX216"/>
      <c r="TAY216"/>
      <c r="TAZ216"/>
      <c r="TBA216"/>
      <c r="TBB216"/>
      <c r="TBC216"/>
      <c r="TBD216"/>
      <c r="TBE216"/>
      <c r="TBF216"/>
      <c r="TBG216"/>
      <c r="TBH216"/>
      <c r="TBI216"/>
      <c r="TBJ216"/>
      <c r="TBK216"/>
      <c r="TBL216"/>
      <c r="TBM216"/>
      <c r="TBN216"/>
      <c r="TBO216"/>
      <c r="TBP216"/>
      <c r="TBQ216"/>
      <c r="TBR216"/>
      <c r="TBS216"/>
      <c r="TBT216"/>
      <c r="TBU216"/>
      <c r="TBV216"/>
      <c r="TBW216"/>
      <c r="TBX216"/>
      <c r="TBY216"/>
      <c r="TBZ216"/>
      <c r="TCA216"/>
      <c r="TCB216"/>
      <c r="TCC216"/>
      <c r="TCD216"/>
      <c r="TCE216"/>
      <c r="TCF216"/>
      <c r="TCG216"/>
      <c r="TCH216"/>
      <c r="TCI216"/>
      <c r="TCJ216"/>
      <c r="TCK216"/>
      <c r="TCL216"/>
      <c r="TCM216"/>
      <c r="TCN216"/>
      <c r="TCO216"/>
      <c r="TCP216"/>
      <c r="TCQ216"/>
      <c r="TCR216"/>
      <c r="TCS216"/>
      <c r="TCT216"/>
      <c r="TCU216"/>
      <c r="TCV216"/>
      <c r="TCW216"/>
      <c r="TCX216"/>
      <c r="TCY216"/>
      <c r="TCZ216"/>
      <c r="TDA216"/>
      <c r="TDB216"/>
      <c r="TDC216"/>
      <c r="TDD216"/>
      <c r="TDE216"/>
      <c r="TDF216"/>
      <c r="TDG216"/>
      <c r="TDH216"/>
      <c r="TDI216"/>
      <c r="TDJ216"/>
      <c r="TDK216"/>
      <c r="TDL216"/>
      <c r="TDM216"/>
      <c r="TDN216"/>
      <c r="TDO216"/>
      <c r="TDP216"/>
      <c r="TDQ216"/>
      <c r="TDR216"/>
      <c r="TDS216"/>
      <c r="TDT216"/>
      <c r="TDU216"/>
      <c r="TDV216"/>
      <c r="TDW216"/>
      <c r="TDX216"/>
      <c r="TDY216"/>
      <c r="TDZ216"/>
      <c r="TEA216"/>
      <c r="TEB216"/>
      <c r="TEC216"/>
      <c r="TED216"/>
      <c r="TEE216"/>
      <c r="TEF216"/>
      <c r="TEG216"/>
      <c r="TEH216"/>
      <c r="TEI216"/>
      <c r="TEJ216"/>
      <c r="TEK216"/>
      <c r="TEL216"/>
      <c r="TEM216"/>
      <c r="TEN216"/>
      <c r="TEO216"/>
      <c r="TEP216"/>
      <c r="TEQ216"/>
      <c r="TER216"/>
      <c r="TES216"/>
      <c r="TET216"/>
      <c r="TEU216"/>
      <c r="TEV216"/>
      <c r="TEW216"/>
      <c r="TEX216"/>
      <c r="TEY216"/>
      <c r="TEZ216"/>
      <c r="TFA216"/>
      <c r="TFB216"/>
      <c r="TFC216"/>
      <c r="TFD216"/>
      <c r="TFE216"/>
      <c r="TFF216"/>
      <c r="TFG216"/>
      <c r="TFH216"/>
      <c r="TFI216"/>
      <c r="TFJ216"/>
      <c r="TFK216"/>
      <c r="TFL216"/>
      <c r="TFM216"/>
      <c r="TFN216"/>
      <c r="TFO216"/>
      <c r="TFP216"/>
      <c r="TFQ216"/>
      <c r="TFR216"/>
      <c r="TFS216"/>
      <c r="TFT216"/>
      <c r="TFU216"/>
      <c r="TFV216"/>
      <c r="TFW216"/>
      <c r="TFX216"/>
      <c r="TFY216"/>
      <c r="TFZ216"/>
      <c r="TGA216"/>
      <c r="TGB216"/>
      <c r="TGC216"/>
      <c r="TGD216"/>
      <c r="TGE216"/>
      <c r="TGF216"/>
      <c r="TGG216"/>
      <c r="TGH216"/>
      <c r="TGI216"/>
      <c r="TGJ216"/>
      <c r="TGK216"/>
      <c r="TGL216"/>
      <c r="TGM216"/>
      <c r="TGN216"/>
      <c r="TGO216"/>
      <c r="TGP216"/>
      <c r="TGQ216"/>
      <c r="TGR216"/>
      <c r="TGS216"/>
      <c r="TGT216"/>
      <c r="TGU216"/>
      <c r="TGV216"/>
      <c r="TGW216"/>
      <c r="TGX216"/>
      <c r="TGY216"/>
      <c r="TGZ216"/>
      <c r="THA216"/>
      <c r="THB216"/>
      <c r="THC216"/>
      <c r="THD216"/>
      <c r="THE216"/>
      <c r="THF216"/>
      <c r="THG216"/>
      <c r="THH216"/>
      <c r="THI216"/>
      <c r="THJ216"/>
      <c r="THK216"/>
      <c r="THL216"/>
      <c r="THM216"/>
      <c r="THN216"/>
      <c r="THO216"/>
      <c r="THP216"/>
      <c r="THQ216"/>
      <c r="THR216"/>
      <c r="THS216"/>
      <c r="THT216"/>
      <c r="THU216"/>
      <c r="THV216"/>
      <c r="THW216"/>
      <c r="THX216"/>
      <c r="THY216"/>
      <c r="THZ216"/>
      <c r="TIA216"/>
      <c r="TIB216"/>
      <c r="TIC216"/>
      <c r="TID216"/>
      <c r="TIE216"/>
      <c r="TIF216"/>
      <c r="TIG216"/>
      <c r="TIH216"/>
      <c r="TII216"/>
      <c r="TIJ216"/>
      <c r="TIK216"/>
      <c r="TIL216"/>
      <c r="TIM216"/>
      <c r="TIN216"/>
      <c r="TIO216"/>
      <c r="TIP216"/>
      <c r="TIQ216"/>
      <c r="TIR216"/>
      <c r="TIS216"/>
      <c r="TIT216"/>
      <c r="TIU216"/>
      <c r="TIV216"/>
      <c r="TIW216"/>
      <c r="TIX216"/>
      <c r="TIY216"/>
      <c r="TIZ216"/>
      <c r="TJA216"/>
      <c r="TJB216"/>
      <c r="TJC216"/>
      <c r="TJD216"/>
      <c r="TJE216"/>
      <c r="TJF216"/>
      <c r="TJG216"/>
      <c r="TJH216"/>
      <c r="TJI216"/>
      <c r="TJJ216"/>
      <c r="TJK216"/>
      <c r="TJL216"/>
      <c r="TJM216"/>
      <c r="TJN216"/>
      <c r="TJO216"/>
      <c r="TJP216"/>
      <c r="TJQ216"/>
      <c r="TJR216"/>
      <c r="TJS216"/>
      <c r="TJT216"/>
      <c r="TJU216"/>
      <c r="TJV216"/>
      <c r="TJW216"/>
      <c r="TJX216"/>
      <c r="TJY216"/>
      <c r="TJZ216"/>
      <c r="TKA216"/>
      <c r="TKB216"/>
      <c r="TKC216"/>
      <c r="TKD216"/>
      <c r="TKE216"/>
      <c r="TKF216"/>
      <c r="TKG216"/>
      <c r="TKH216"/>
      <c r="TKI216"/>
      <c r="TKJ216"/>
      <c r="TKK216"/>
      <c r="TKL216"/>
      <c r="TKM216"/>
      <c r="TKN216"/>
      <c r="TKO216"/>
      <c r="TKP216"/>
      <c r="TKQ216"/>
      <c r="TKR216"/>
      <c r="TKS216"/>
      <c r="TKT216"/>
      <c r="TKU216"/>
      <c r="TKV216"/>
      <c r="TKW216"/>
      <c r="TKX216"/>
      <c r="TKY216"/>
      <c r="TKZ216"/>
      <c r="TLA216"/>
      <c r="TLB216"/>
      <c r="TLC216"/>
      <c r="TLD216"/>
      <c r="TLE216"/>
      <c r="TLF216"/>
      <c r="TLG216"/>
      <c r="TLH216"/>
      <c r="TLI216"/>
      <c r="TLJ216"/>
      <c r="TLK216"/>
      <c r="TLL216"/>
      <c r="TLM216"/>
      <c r="TLN216"/>
      <c r="TLO216"/>
      <c r="TLP216"/>
      <c r="TLQ216"/>
      <c r="TLR216"/>
      <c r="TLS216"/>
      <c r="TLT216"/>
      <c r="TLU216"/>
      <c r="TLV216"/>
      <c r="TLW216"/>
      <c r="TLX216"/>
      <c r="TLY216"/>
      <c r="TLZ216"/>
      <c r="TMA216"/>
      <c r="TMB216"/>
      <c r="TMC216"/>
      <c r="TMD216"/>
      <c r="TME216"/>
      <c r="TMF216"/>
      <c r="TMG216"/>
      <c r="TMH216"/>
      <c r="TMI216"/>
      <c r="TMJ216"/>
      <c r="TMK216"/>
      <c r="TML216"/>
      <c r="TMM216"/>
      <c r="TMN216"/>
      <c r="TMO216"/>
      <c r="TMP216"/>
      <c r="TMQ216"/>
      <c r="TMR216"/>
      <c r="TMS216"/>
      <c r="TMT216"/>
      <c r="TMU216"/>
      <c r="TMV216"/>
      <c r="TMW216"/>
      <c r="TMX216"/>
      <c r="TMY216"/>
      <c r="TMZ216"/>
      <c r="TNA216"/>
      <c r="TNB216"/>
      <c r="TNC216"/>
      <c r="TND216"/>
      <c r="TNE216"/>
      <c r="TNF216"/>
      <c r="TNG216"/>
      <c r="TNH216"/>
      <c r="TNI216"/>
      <c r="TNJ216"/>
      <c r="TNK216"/>
      <c r="TNL216"/>
      <c r="TNM216"/>
      <c r="TNN216"/>
      <c r="TNO216"/>
      <c r="TNP216"/>
      <c r="TNQ216"/>
      <c r="TNR216"/>
      <c r="TNS216"/>
      <c r="TNT216"/>
      <c r="TNU216"/>
      <c r="TNV216"/>
      <c r="TNW216"/>
      <c r="TNX216"/>
      <c r="TNY216"/>
      <c r="TNZ216"/>
      <c r="TOA216"/>
      <c r="TOB216"/>
      <c r="TOC216"/>
      <c r="TOD216"/>
      <c r="TOE216"/>
      <c r="TOF216"/>
      <c r="TOG216"/>
      <c r="TOH216"/>
      <c r="TOI216"/>
      <c r="TOJ216"/>
      <c r="TOK216"/>
      <c r="TOL216"/>
      <c r="TOM216"/>
      <c r="TON216"/>
      <c r="TOO216"/>
      <c r="TOP216"/>
      <c r="TOQ216"/>
      <c r="TOR216"/>
      <c r="TOS216"/>
      <c r="TOT216"/>
      <c r="TOU216"/>
      <c r="TOV216"/>
      <c r="TOW216"/>
      <c r="TOX216"/>
      <c r="TOY216"/>
      <c r="TOZ216"/>
      <c r="TPA216"/>
      <c r="TPB216"/>
      <c r="TPC216"/>
      <c r="TPD216"/>
      <c r="TPE216"/>
      <c r="TPF216"/>
      <c r="TPG216"/>
      <c r="TPH216"/>
      <c r="TPI216"/>
      <c r="TPJ216"/>
      <c r="TPK216"/>
      <c r="TPL216"/>
      <c r="TPM216"/>
      <c r="TPN216"/>
      <c r="TPO216"/>
      <c r="TPP216"/>
      <c r="TPQ216"/>
      <c r="TPR216"/>
      <c r="TPS216"/>
      <c r="TPT216"/>
      <c r="TPU216"/>
      <c r="TPV216"/>
      <c r="TPW216"/>
      <c r="TPX216"/>
      <c r="TPY216"/>
      <c r="TPZ216"/>
      <c r="TQA216"/>
      <c r="TQB216"/>
      <c r="TQC216"/>
      <c r="TQD216"/>
      <c r="TQE216"/>
      <c r="TQF216"/>
      <c r="TQG216"/>
      <c r="TQH216"/>
      <c r="TQI216"/>
      <c r="TQJ216"/>
      <c r="TQK216"/>
      <c r="TQL216"/>
      <c r="TQM216"/>
      <c r="TQN216"/>
      <c r="TQO216"/>
      <c r="TQP216"/>
      <c r="TQQ216"/>
      <c r="TQR216"/>
      <c r="TQS216"/>
      <c r="TQT216"/>
      <c r="TQU216"/>
      <c r="TQV216"/>
      <c r="TQW216"/>
      <c r="TQX216"/>
      <c r="TQY216"/>
      <c r="TQZ216"/>
      <c r="TRA216"/>
      <c r="TRB216"/>
      <c r="TRC216"/>
      <c r="TRD216"/>
      <c r="TRE216"/>
      <c r="TRF216"/>
      <c r="TRG216"/>
      <c r="TRH216"/>
      <c r="TRI216"/>
      <c r="TRJ216"/>
      <c r="TRK216"/>
      <c r="TRL216"/>
      <c r="TRM216"/>
      <c r="TRN216"/>
      <c r="TRO216"/>
      <c r="TRP216"/>
      <c r="TRQ216"/>
      <c r="TRR216"/>
      <c r="TRS216"/>
      <c r="TRT216"/>
      <c r="TRU216"/>
      <c r="TRV216"/>
      <c r="TRW216"/>
      <c r="TRX216"/>
      <c r="TRY216"/>
      <c r="TRZ216"/>
      <c r="TSA216"/>
      <c r="TSB216"/>
      <c r="TSC216"/>
      <c r="TSD216"/>
      <c r="TSE216"/>
      <c r="TSF216"/>
      <c r="TSG216"/>
      <c r="TSH216"/>
      <c r="TSI216"/>
      <c r="TSJ216"/>
      <c r="TSK216"/>
      <c r="TSL216"/>
      <c r="TSM216"/>
      <c r="TSN216"/>
      <c r="TSO216"/>
      <c r="TSP216"/>
      <c r="TSQ216"/>
      <c r="TSR216"/>
      <c r="TSS216"/>
      <c r="TST216"/>
      <c r="TSU216"/>
      <c r="TSV216"/>
      <c r="TSW216"/>
      <c r="TSX216"/>
      <c r="TSY216"/>
      <c r="TSZ216"/>
      <c r="TTA216"/>
      <c r="TTB216"/>
      <c r="TTC216"/>
      <c r="TTD216"/>
      <c r="TTE216"/>
      <c r="TTF216"/>
      <c r="TTG216"/>
      <c r="TTH216"/>
      <c r="TTI216"/>
      <c r="TTJ216"/>
      <c r="TTK216"/>
      <c r="TTL216"/>
      <c r="TTM216"/>
      <c r="TTN216"/>
      <c r="TTO216"/>
      <c r="TTP216"/>
      <c r="TTQ216"/>
      <c r="TTR216"/>
      <c r="TTS216"/>
      <c r="TTT216"/>
      <c r="TTU216"/>
      <c r="TTV216"/>
      <c r="TTW216"/>
      <c r="TTX216"/>
      <c r="TTY216"/>
      <c r="TTZ216"/>
      <c r="TUA216"/>
      <c r="TUB216"/>
      <c r="TUC216"/>
      <c r="TUD216"/>
      <c r="TUE216"/>
      <c r="TUF216"/>
      <c r="TUG216"/>
      <c r="TUH216"/>
      <c r="TUI216"/>
      <c r="TUJ216"/>
      <c r="TUK216"/>
      <c r="TUL216"/>
      <c r="TUM216"/>
      <c r="TUN216"/>
      <c r="TUO216"/>
      <c r="TUP216"/>
      <c r="TUQ216"/>
      <c r="TUR216"/>
      <c r="TUS216"/>
      <c r="TUT216"/>
      <c r="TUU216"/>
      <c r="TUV216"/>
      <c r="TUW216"/>
      <c r="TUX216"/>
      <c r="TUY216"/>
      <c r="TUZ216"/>
      <c r="TVA216"/>
      <c r="TVB216"/>
      <c r="TVC216"/>
      <c r="TVD216"/>
      <c r="TVE216"/>
      <c r="TVF216"/>
      <c r="TVG216"/>
      <c r="TVH216"/>
      <c r="TVI216"/>
      <c r="TVJ216"/>
      <c r="TVK216"/>
      <c r="TVL216"/>
      <c r="TVM216"/>
      <c r="TVN216"/>
      <c r="TVO216"/>
      <c r="TVP216"/>
      <c r="TVQ216"/>
      <c r="TVR216"/>
      <c r="TVS216"/>
      <c r="TVT216"/>
      <c r="TVU216"/>
      <c r="TVV216"/>
      <c r="TVW216"/>
      <c r="TVX216"/>
      <c r="TVY216"/>
      <c r="TVZ216"/>
      <c r="TWA216"/>
      <c r="TWB216"/>
      <c r="TWC216"/>
      <c r="TWD216"/>
      <c r="TWE216"/>
      <c r="TWF216"/>
      <c r="TWG216"/>
      <c r="TWH216"/>
      <c r="TWI216"/>
      <c r="TWJ216"/>
      <c r="TWK216"/>
      <c r="TWL216"/>
      <c r="TWM216"/>
      <c r="TWN216"/>
      <c r="TWO216"/>
      <c r="TWP216"/>
      <c r="TWQ216"/>
      <c r="TWR216"/>
      <c r="TWS216"/>
      <c r="TWT216"/>
      <c r="TWU216"/>
      <c r="TWV216"/>
      <c r="TWW216"/>
      <c r="TWX216"/>
      <c r="TWY216"/>
      <c r="TWZ216"/>
      <c r="TXA216"/>
      <c r="TXB216"/>
      <c r="TXC216"/>
      <c r="TXD216"/>
      <c r="TXE216"/>
      <c r="TXF216"/>
      <c r="TXG216"/>
      <c r="TXH216"/>
      <c r="TXI216"/>
      <c r="TXJ216"/>
      <c r="TXK216"/>
      <c r="TXL216"/>
      <c r="TXM216"/>
      <c r="TXN216"/>
      <c r="TXO216"/>
      <c r="TXP216"/>
      <c r="TXQ216"/>
      <c r="TXR216"/>
      <c r="TXS216"/>
      <c r="TXT216"/>
      <c r="TXU216"/>
      <c r="TXV216"/>
      <c r="TXW216"/>
      <c r="TXX216"/>
      <c r="TXY216"/>
      <c r="TXZ216"/>
      <c r="TYA216"/>
      <c r="TYB216"/>
      <c r="TYC216"/>
      <c r="TYD216"/>
      <c r="TYE216"/>
      <c r="TYF216"/>
      <c r="TYG216"/>
      <c r="TYH216"/>
      <c r="TYI216"/>
      <c r="TYJ216"/>
      <c r="TYK216"/>
      <c r="TYL216"/>
      <c r="TYM216"/>
      <c r="TYN216"/>
      <c r="TYO216"/>
      <c r="TYP216"/>
      <c r="TYQ216"/>
      <c r="TYR216"/>
      <c r="TYS216"/>
      <c r="TYT216"/>
      <c r="TYU216"/>
      <c r="TYV216"/>
      <c r="TYW216"/>
      <c r="TYX216"/>
      <c r="TYY216"/>
      <c r="TYZ216"/>
      <c r="TZA216"/>
      <c r="TZB216"/>
      <c r="TZC216"/>
      <c r="TZD216"/>
      <c r="TZE216"/>
      <c r="TZF216"/>
      <c r="TZG216"/>
      <c r="TZH216"/>
      <c r="TZI216"/>
      <c r="TZJ216"/>
      <c r="TZK216"/>
      <c r="TZL216"/>
      <c r="TZM216"/>
      <c r="TZN216"/>
      <c r="TZO216"/>
      <c r="TZP216"/>
      <c r="TZQ216"/>
      <c r="TZR216"/>
      <c r="TZS216"/>
      <c r="TZT216"/>
      <c r="TZU216"/>
      <c r="TZV216"/>
      <c r="TZW216"/>
      <c r="TZX216"/>
      <c r="TZY216"/>
      <c r="TZZ216"/>
      <c r="UAA216"/>
      <c r="UAB216"/>
      <c r="UAC216"/>
      <c r="UAD216"/>
      <c r="UAE216"/>
      <c r="UAF216"/>
      <c r="UAG216"/>
      <c r="UAH216"/>
      <c r="UAI216"/>
      <c r="UAJ216"/>
      <c r="UAK216"/>
      <c r="UAL216"/>
      <c r="UAM216"/>
      <c r="UAN216"/>
      <c r="UAO216"/>
      <c r="UAP216"/>
      <c r="UAQ216"/>
      <c r="UAR216"/>
      <c r="UAS216"/>
      <c r="UAT216"/>
      <c r="UAU216"/>
      <c r="UAV216"/>
      <c r="UAW216"/>
      <c r="UAX216"/>
      <c r="UAY216"/>
      <c r="UAZ216"/>
      <c r="UBA216"/>
      <c r="UBB216"/>
      <c r="UBC216"/>
      <c r="UBD216"/>
      <c r="UBE216"/>
      <c r="UBF216"/>
      <c r="UBG216"/>
      <c r="UBH216"/>
      <c r="UBI216"/>
      <c r="UBJ216"/>
      <c r="UBK216"/>
      <c r="UBL216"/>
      <c r="UBM216"/>
      <c r="UBN216"/>
      <c r="UBO216"/>
      <c r="UBP216"/>
      <c r="UBQ216"/>
      <c r="UBR216"/>
      <c r="UBS216"/>
      <c r="UBT216"/>
      <c r="UBU216"/>
      <c r="UBV216"/>
      <c r="UBW216"/>
      <c r="UBX216"/>
      <c r="UBY216"/>
      <c r="UBZ216"/>
      <c r="UCA216"/>
      <c r="UCB216"/>
      <c r="UCC216"/>
      <c r="UCD216"/>
      <c r="UCE216"/>
      <c r="UCF216"/>
      <c r="UCG216"/>
      <c r="UCH216"/>
      <c r="UCI216"/>
      <c r="UCJ216"/>
      <c r="UCK216"/>
      <c r="UCL216"/>
      <c r="UCM216"/>
      <c r="UCN216"/>
      <c r="UCO216"/>
      <c r="UCP216"/>
      <c r="UCQ216"/>
      <c r="UCR216"/>
      <c r="UCS216"/>
      <c r="UCT216"/>
      <c r="UCU216"/>
      <c r="UCV216"/>
      <c r="UCW216"/>
      <c r="UCX216"/>
      <c r="UCY216"/>
      <c r="UCZ216"/>
      <c r="UDA216"/>
      <c r="UDB216"/>
      <c r="UDC216"/>
      <c r="UDD216"/>
      <c r="UDE216"/>
      <c r="UDF216"/>
      <c r="UDG216"/>
      <c r="UDH216"/>
      <c r="UDI216"/>
      <c r="UDJ216"/>
      <c r="UDK216"/>
      <c r="UDL216"/>
      <c r="UDM216"/>
      <c r="UDN216"/>
      <c r="UDO216"/>
      <c r="UDP216"/>
      <c r="UDQ216"/>
      <c r="UDR216"/>
      <c r="UDS216"/>
      <c r="UDT216"/>
      <c r="UDU216"/>
      <c r="UDV216"/>
      <c r="UDW216"/>
      <c r="UDX216"/>
      <c r="UDY216"/>
      <c r="UDZ216"/>
      <c r="UEA216"/>
      <c r="UEB216"/>
      <c r="UEC216"/>
      <c r="UED216"/>
      <c r="UEE216"/>
      <c r="UEF216"/>
      <c r="UEG216"/>
      <c r="UEH216"/>
      <c r="UEI216"/>
      <c r="UEJ216"/>
      <c r="UEK216"/>
      <c r="UEL216"/>
      <c r="UEM216"/>
      <c r="UEN216"/>
      <c r="UEO216"/>
      <c r="UEP216"/>
      <c r="UEQ216"/>
      <c r="UER216"/>
      <c r="UES216"/>
      <c r="UET216"/>
      <c r="UEU216"/>
      <c r="UEV216"/>
      <c r="UEW216"/>
      <c r="UEX216"/>
      <c r="UEY216"/>
      <c r="UEZ216"/>
      <c r="UFA216"/>
      <c r="UFB216"/>
      <c r="UFC216"/>
      <c r="UFD216"/>
      <c r="UFE216"/>
      <c r="UFF216"/>
      <c r="UFG216"/>
      <c r="UFH216"/>
      <c r="UFI216"/>
      <c r="UFJ216"/>
      <c r="UFK216"/>
      <c r="UFL216"/>
      <c r="UFM216"/>
      <c r="UFN216"/>
      <c r="UFO216"/>
      <c r="UFP216"/>
      <c r="UFQ216"/>
      <c r="UFR216"/>
      <c r="UFS216"/>
      <c r="UFT216"/>
      <c r="UFU216"/>
      <c r="UFV216"/>
      <c r="UFW216"/>
      <c r="UFX216"/>
      <c r="UFY216"/>
      <c r="UFZ216"/>
      <c r="UGA216"/>
      <c r="UGB216"/>
      <c r="UGC216"/>
      <c r="UGD216"/>
      <c r="UGE216"/>
      <c r="UGF216"/>
      <c r="UGG216"/>
      <c r="UGH216"/>
      <c r="UGI216"/>
      <c r="UGJ216"/>
      <c r="UGK216"/>
      <c r="UGL216"/>
      <c r="UGM216"/>
      <c r="UGN216"/>
      <c r="UGO216"/>
      <c r="UGP216"/>
      <c r="UGQ216"/>
      <c r="UGR216"/>
      <c r="UGS216"/>
      <c r="UGT216"/>
      <c r="UGU216"/>
      <c r="UGV216"/>
      <c r="UGW216"/>
      <c r="UGX216"/>
      <c r="UGY216"/>
      <c r="UGZ216"/>
      <c r="UHA216"/>
      <c r="UHB216"/>
      <c r="UHC216"/>
      <c r="UHD216"/>
      <c r="UHE216"/>
      <c r="UHF216"/>
      <c r="UHG216"/>
      <c r="UHH216"/>
      <c r="UHI216"/>
      <c r="UHJ216"/>
      <c r="UHK216"/>
      <c r="UHL216"/>
      <c r="UHM216"/>
      <c r="UHN216"/>
      <c r="UHO216"/>
      <c r="UHP216"/>
      <c r="UHQ216"/>
      <c r="UHR216"/>
      <c r="UHS216"/>
      <c r="UHT216"/>
      <c r="UHU216"/>
      <c r="UHV216"/>
      <c r="UHW216"/>
      <c r="UHX216"/>
      <c r="UHY216"/>
      <c r="UHZ216"/>
      <c r="UIA216"/>
      <c r="UIB216"/>
      <c r="UIC216"/>
      <c r="UID216"/>
      <c r="UIE216"/>
      <c r="UIF216"/>
      <c r="UIG216"/>
      <c r="UIH216"/>
      <c r="UII216"/>
      <c r="UIJ216"/>
      <c r="UIK216"/>
      <c r="UIL216"/>
      <c r="UIM216"/>
      <c r="UIN216"/>
      <c r="UIO216"/>
      <c r="UIP216"/>
      <c r="UIQ216"/>
      <c r="UIR216"/>
      <c r="UIS216"/>
      <c r="UIT216"/>
      <c r="UIU216"/>
      <c r="UIV216"/>
      <c r="UIW216"/>
      <c r="UIX216"/>
      <c r="UIY216"/>
      <c r="UIZ216"/>
      <c r="UJA216"/>
      <c r="UJB216"/>
      <c r="UJC216"/>
      <c r="UJD216"/>
      <c r="UJE216"/>
      <c r="UJF216"/>
      <c r="UJG216"/>
      <c r="UJH216"/>
      <c r="UJI216"/>
      <c r="UJJ216"/>
      <c r="UJK216"/>
      <c r="UJL216"/>
      <c r="UJM216"/>
      <c r="UJN216"/>
      <c r="UJO216"/>
      <c r="UJP216"/>
      <c r="UJQ216"/>
      <c r="UJR216"/>
      <c r="UJS216"/>
      <c r="UJT216"/>
      <c r="UJU216"/>
      <c r="UJV216"/>
      <c r="UJW216"/>
      <c r="UJX216"/>
      <c r="UJY216"/>
      <c r="UJZ216"/>
      <c r="UKA216"/>
      <c r="UKB216"/>
      <c r="UKC216"/>
      <c r="UKD216"/>
      <c r="UKE216"/>
      <c r="UKF216"/>
      <c r="UKG216"/>
      <c r="UKH216"/>
      <c r="UKI216"/>
      <c r="UKJ216"/>
      <c r="UKK216"/>
      <c r="UKL216"/>
      <c r="UKM216"/>
      <c r="UKN216"/>
      <c r="UKO216"/>
      <c r="UKP216"/>
      <c r="UKQ216"/>
      <c r="UKR216"/>
      <c r="UKS216"/>
      <c r="UKT216"/>
      <c r="UKU216"/>
      <c r="UKV216"/>
      <c r="UKW216"/>
      <c r="UKX216"/>
      <c r="UKY216"/>
      <c r="UKZ216"/>
      <c r="ULA216"/>
      <c r="ULB216"/>
      <c r="ULC216"/>
      <c r="ULD216"/>
      <c r="ULE216"/>
      <c r="ULF216"/>
      <c r="ULG216"/>
      <c r="ULH216"/>
      <c r="ULI216"/>
      <c r="ULJ216"/>
      <c r="ULK216"/>
      <c r="ULL216"/>
      <c r="ULM216"/>
      <c r="ULN216"/>
      <c r="ULO216"/>
      <c r="ULP216"/>
      <c r="ULQ216"/>
      <c r="ULR216"/>
      <c r="ULS216"/>
      <c r="ULT216"/>
      <c r="ULU216"/>
      <c r="ULV216"/>
      <c r="ULW216"/>
      <c r="ULX216"/>
      <c r="ULY216"/>
      <c r="ULZ216"/>
      <c r="UMA216"/>
      <c r="UMB216"/>
      <c r="UMC216"/>
      <c r="UMD216"/>
      <c r="UME216"/>
      <c r="UMF216"/>
      <c r="UMG216"/>
      <c r="UMH216"/>
      <c r="UMI216"/>
      <c r="UMJ216"/>
      <c r="UMK216"/>
      <c r="UML216"/>
      <c r="UMM216"/>
      <c r="UMN216"/>
      <c r="UMO216"/>
      <c r="UMP216"/>
      <c r="UMQ216"/>
      <c r="UMR216"/>
      <c r="UMS216"/>
      <c r="UMT216"/>
      <c r="UMU216"/>
      <c r="UMV216"/>
      <c r="UMW216"/>
      <c r="UMX216"/>
      <c r="UMY216"/>
      <c r="UMZ216"/>
      <c r="UNA216"/>
      <c r="UNB216"/>
      <c r="UNC216"/>
      <c r="UND216"/>
      <c r="UNE216"/>
      <c r="UNF216"/>
      <c r="UNG216"/>
      <c r="UNH216"/>
      <c r="UNI216"/>
      <c r="UNJ216"/>
      <c r="UNK216"/>
      <c r="UNL216"/>
      <c r="UNM216"/>
      <c r="UNN216"/>
      <c r="UNO216"/>
      <c r="UNP216"/>
      <c r="UNQ216"/>
      <c r="UNR216"/>
      <c r="UNS216"/>
      <c r="UNT216"/>
      <c r="UNU216"/>
      <c r="UNV216"/>
      <c r="UNW216"/>
      <c r="UNX216"/>
      <c r="UNY216"/>
      <c r="UNZ216"/>
      <c r="UOA216"/>
      <c r="UOB216"/>
      <c r="UOC216"/>
      <c r="UOD216"/>
      <c r="UOE216"/>
      <c r="UOF216"/>
      <c r="UOG216"/>
      <c r="UOH216"/>
      <c r="UOI216"/>
      <c r="UOJ216"/>
      <c r="UOK216"/>
      <c r="UOL216"/>
      <c r="UOM216"/>
      <c r="UON216"/>
      <c r="UOO216"/>
      <c r="UOP216"/>
      <c r="UOQ216"/>
      <c r="UOR216"/>
      <c r="UOS216"/>
      <c r="UOT216"/>
      <c r="UOU216"/>
      <c r="UOV216"/>
      <c r="UOW216"/>
      <c r="UOX216"/>
      <c r="UOY216"/>
      <c r="UOZ216"/>
      <c r="UPA216"/>
      <c r="UPB216"/>
      <c r="UPC216"/>
      <c r="UPD216"/>
      <c r="UPE216"/>
      <c r="UPF216"/>
      <c r="UPG216"/>
      <c r="UPH216"/>
      <c r="UPI216"/>
      <c r="UPJ216"/>
      <c r="UPK216"/>
      <c r="UPL216"/>
      <c r="UPM216"/>
      <c r="UPN216"/>
      <c r="UPO216"/>
      <c r="UPP216"/>
      <c r="UPQ216"/>
      <c r="UPR216"/>
      <c r="UPS216"/>
      <c r="UPT216"/>
      <c r="UPU216"/>
      <c r="UPV216"/>
      <c r="UPW216"/>
      <c r="UPX216"/>
      <c r="UPY216"/>
      <c r="UPZ216"/>
      <c r="UQA216"/>
      <c r="UQB216"/>
      <c r="UQC216"/>
      <c r="UQD216"/>
      <c r="UQE216"/>
      <c r="UQF216"/>
      <c r="UQG216"/>
      <c r="UQH216"/>
      <c r="UQI216"/>
      <c r="UQJ216"/>
      <c r="UQK216"/>
      <c r="UQL216"/>
      <c r="UQM216"/>
      <c r="UQN216"/>
      <c r="UQO216"/>
      <c r="UQP216"/>
      <c r="UQQ216"/>
      <c r="UQR216"/>
      <c r="UQS216"/>
      <c r="UQT216"/>
      <c r="UQU216"/>
      <c r="UQV216"/>
      <c r="UQW216"/>
      <c r="UQX216"/>
      <c r="UQY216"/>
      <c r="UQZ216"/>
      <c r="URA216"/>
      <c r="URB216"/>
      <c r="URC216"/>
      <c r="URD216"/>
      <c r="URE216"/>
      <c r="URF216"/>
      <c r="URG216"/>
      <c r="URH216"/>
      <c r="URI216"/>
      <c r="URJ216"/>
      <c r="URK216"/>
      <c r="URL216"/>
      <c r="URM216"/>
      <c r="URN216"/>
      <c r="URO216"/>
      <c r="URP216"/>
      <c r="URQ216"/>
      <c r="URR216"/>
      <c r="URS216"/>
      <c r="URT216"/>
      <c r="URU216"/>
      <c r="URV216"/>
      <c r="URW216"/>
      <c r="URX216"/>
      <c r="URY216"/>
      <c r="URZ216"/>
      <c r="USA216"/>
      <c r="USB216"/>
      <c r="USC216"/>
      <c r="USD216"/>
      <c r="USE216"/>
      <c r="USF216"/>
      <c r="USG216"/>
      <c r="USH216"/>
      <c r="USI216"/>
      <c r="USJ216"/>
      <c r="USK216"/>
      <c r="USL216"/>
      <c r="USM216"/>
      <c r="USN216"/>
      <c r="USO216"/>
      <c r="USP216"/>
      <c r="USQ216"/>
      <c r="USR216"/>
      <c r="USS216"/>
      <c r="UST216"/>
      <c r="USU216"/>
      <c r="USV216"/>
      <c r="USW216"/>
      <c r="USX216"/>
      <c r="USY216"/>
      <c r="USZ216"/>
      <c r="UTA216"/>
      <c r="UTB216"/>
      <c r="UTC216"/>
      <c r="UTD216"/>
      <c r="UTE216"/>
      <c r="UTF216"/>
      <c r="UTG216"/>
      <c r="UTH216"/>
      <c r="UTI216"/>
      <c r="UTJ216"/>
      <c r="UTK216"/>
      <c r="UTL216"/>
      <c r="UTM216"/>
      <c r="UTN216"/>
      <c r="UTO216"/>
      <c r="UTP216"/>
      <c r="UTQ216"/>
      <c r="UTR216"/>
      <c r="UTS216"/>
      <c r="UTT216"/>
      <c r="UTU216"/>
      <c r="UTV216"/>
      <c r="UTW216"/>
      <c r="UTX216"/>
      <c r="UTY216"/>
      <c r="UTZ216"/>
      <c r="UUA216"/>
      <c r="UUB216"/>
      <c r="UUC216"/>
      <c r="UUD216"/>
      <c r="UUE216"/>
      <c r="UUF216"/>
      <c r="UUG216"/>
      <c r="UUH216"/>
      <c r="UUI216"/>
      <c r="UUJ216"/>
      <c r="UUK216"/>
      <c r="UUL216"/>
      <c r="UUM216"/>
      <c r="UUN216"/>
      <c r="UUO216"/>
      <c r="UUP216"/>
      <c r="UUQ216"/>
      <c r="UUR216"/>
      <c r="UUS216"/>
      <c r="UUT216"/>
      <c r="UUU216"/>
      <c r="UUV216"/>
      <c r="UUW216"/>
      <c r="UUX216"/>
      <c r="UUY216"/>
      <c r="UUZ216"/>
      <c r="UVA216"/>
      <c r="UVB216"/>
      <c r="UVC216"/>
      <c r="UVD216"/>
      <c r="UVE216"/>
      <c r="UVF216"/>
      <c r="UVG216"/>
      <c r="UVH216"/>
      <c r="UVI216"/>
      <c r="UVJ216"/>
      <c r="UVK216"/>
      <c r="UVL216"/>
      <c r="UVM216"/>
      <c r="UVN216"/>
      <c r="UVO216"/>
      <c r="UVP216"/>
      <c r="UVQ216"/>
      <c r="UVR216"/>
      <c r="UVS216"/>
      <c r="UVT216"/>
      <c r="UVU216"/>
      <c r="UVV216"/>
      <c r="UVW216"/>
      <c r="UVX216"/>
      <c r="UVY216"/>
      <c r="UVZ216"/>
      <c r="UWA216"/>
      <c r="UWB216"/>
      <c r="UWC216"/>
      <c r="UWD216"/>
      <c r="UWE216"/>
      <c r="UWF216"/>
      <c r="UWG216"/>
      <c r="UWH216"/>
      <c r="UWI216"/>
      <c r="UWJ216"/>
      <c r="UWK216"/>
      <c r="UWL216"/>
      <c r="UWM216"/>
      <c r="UWN216"/>
      <c r="UWO216"/>
      <c r="UWP216"/>
      <c r="UWQ216"/>
      <c r="UWR216"/>
      <c r="UWS216"/>
      <c r="UWT216"/>
      <c r="UWU216"/>
      <c r="UWV216"/>
      <c r="UWW216"/>
      <c r="UWX216"/>
      <c r="UWY216"/>
      <c r="UWZ216"/>
      <c r="UXA216"/>
      <c r="UXB216"/>
      <c r="UXC216"/>
      <c r="UXD216"/>
      <c r="UXE216"/>
      <c r="UXF216"/>
      <c r="UXG216"/>
      <c r="UXH216"/>
      <c r="UXI216"/>
      <c r="UXJ216"/>
      <c r="UXK216"/>
      <c r="UXL216"/>
      <c r="UXM216"/>
      <c r="UXN216"/>
      <c r="UXO216"/>
      <c r="UXP216"/>
      <c r="UXQ216"/>
      <c r="UXR216"/>
      <c r="UXS216"/>
      <c r="UXT216"/>
      <c r="UXU216"/>
      <c r="UXV216"/>
      <c r="UXW216"/>
      <c r="UXX216"/>
      <c r="UXY216"/>
      <c r="UXZ216"/>
      <c r="UYA216"/>
      <c r="UYB216"/>
      <c r="UYC216"/>
      <c r="UYD216"/>
      <c r="UYE216"/>
      <c r="UYF216"/>
      <c r="UYG216"/>
      <c r="UYH216"/>
      <c r="UYI216"/>
      <c r="UYJ216"/>
      <c r="UYK216"/>
      <c r="UYL216"/>
      <c r="UYM216"/>
      <c r="UYN216"/>
      <c r="UYO216"/>
      <c r="UYP216"/>
      <c r="UYQ216"/>
      <c r="UYR216"/>
      <c r="UYS216"/>
      <c r="UYT216"/>
      <c r="UYU216"/>
      <c r="UYV216"/>
      <c r="UYW216"/>
      <c r="UYX216"/>
      <c r="UYY216"/>
      <c r="UYZ216"/>
      <c r="UZA216"/>
      <c r="UZB216"/>
      <c r="UZC216"/>
      <c r="UZD216"/>
      <c r="UZE216"/>
      <c r="UZF216"/>
      <c r="UZG216"/>
      <c r="UZH216"/>
      <c r="UZI216"/>
      <c r="UZJ216"/>
      <c r="UZK216"/>
      <c r="UZL216"/>
      <c r="UZM216"/>
      <c r="UZN216"/>
      <c r="UZO216"/>
      <c r="UZP216"/>
      <c r="UZQ216"/>
      <c r="UZR216"/>
      <c r="UZS216"/>
      <c r="UZT216"/>
      <c r="UZU216"/>
      <c r="UZV216"/>
      <c r="UZW216"/>
      <c r="UZX216"/>
      <c r="UZY216"/>
      <c r="UZZ216"/>
      <c r="VAA216"/>
      <c r="VAB216"/>
      <c r="VAC216"/>
      <c r="VAD216"/>
      <c r="VAE216"/>
      <c r="VAF216"/>
      <c r="VAG216"/>
      <c r="VAH216"/>
      <c r="VAI216"/>
      <c r="VAJ216"/>
      <c r="VAK216"/>
      <c r="VAL216"/>
      <c r="VAM216"/>
      <c r="VAN216"/>
      <c r="VAO216"/>
      <c r="VAP216"/>
      <c r="VAQ216"/>
      <c r="VAR216"/>
      <c r="VAS216"/>
      <c r="VAT216"/>
      <c r="VAU216"/>
      <c r="VAV216"/>
      <c r="VAW216"/>
      <c r="VAX216"/>
      <c r="VAY216"/>
      <c r="VAZ216"/>
      <c r="VBA216"/>
      <c r="VBB216"/>
      <c r="VBC216"/>
      <c r="VBD216"/>
      <c r="VBE216"/>
      <c r="VBF216"/>
      <c r="VBG216"/>
      <c r="VBH216"/>
      <c r="VBI216"/>
      <c r="VBJ216"/>
      <c r="VBK216"/>
      <c r="VBL216"/>
      <c r="VBM216"/>
      <c r="VBN216"/>
      <c r="VBO216"/>
      <c r="VBP216"/>
      <c r="VBQ216"/>
      <c r="VBR216"/>
      <c r="VBS216"/>
      <c r="VBT216"/>
      <c r="VBU216"/>
      <c r="VBV216"/>
      <c r="VBW216"/>
      <c r="VBX216"/>
      <c r="VBY216"/>
      <c r="VBZ216"/>
      <c r="VCA216"/>
      <c r="VCB216"/>
      <c r="VCC216"/>
      <c r="VCD216"/>
      <c r="VCE216"/>
      <c r="VCF216"/>
      <c r="VCG216"/>
      <c r="VCH216"/>
      <c r="VCI216"/>
      <c r="VCJ216"/>
      <c r="VCK216"/>
      <c r="VCL216"/>
      <c r="VCM216"/>
      <c r="VCN216"/>
      <c r="VCO216"/>
      <c r="VCP216"/>
      <c r="VCQ216"/>
      <c r="VCR216"/>
      <c r="VCS216"/>
      <c r="VCT216"/>
      <c r="VCU216"/>
      <c r="VCV216"/>
      <c r="VCW216"/>
      <c r="VCX216"/>
      <c r="VCY216"/>
      <c r="VCZ216"/>
      <c r="VDA216"/>
      <c r="VDB216"/>
      <c r="VDC216"/>
      <c r="VDD216"/>
      <c r="VDE216"/>
      <c r="VDF216"/>
      <c r="VDG216"/>
      <c r="VDH216"/>
      <c r="VDI216"/>
      <c r="VDJ216"/>
      <c r="VDK216"/>
      <c r="VDL216"/>
      <c r="VDM216"/>
      <c r="VDN216"/>
      <c r="VDO216"/>
      <c r="VDP216"/>
      <c r="VDQ216"/>
      <c r="VDR216"/>
      <c r="VDS216"/>
      <c r="VDT216"/>
      <c r="VDU216"/>
      <c r="VDV216"/>
      <c r="VDW216"/>
      <c r="VDX216"/>
      <c r="VDY216"/>
      <c r="VDZ216"/>
      <c r="VEA216"/>
      <c r="VEB216"/>
      <c r="VEC216"/>
      <c r="VED216"/>
      <c r="VEE216"/>
      <c r="VEF216"/>
      <c r="VEG216"/>
      <c r="VEH216"/>
      <c r="VEI216"/>
      <c r="VEJ216"/>
      <c r="VEK216"/>
      <c r="VEL216"/>
      <c r="VEM216"/>
      <c r="VEN216"/>
      <c r="VEO216"/>
      <c r="VEP216"/>
      <c r="VEQ216"/>
      <c r="VER216"/>
      <c r="VES216"/>
      <c r="VET216"/>
      <c r="VEU216"/>
      <c r="VEV216"/>
      <c r="VEW216"/>
      <c r="VEX216"/>
      <c r="VEY216"/>
      <c r="VEZ216"/>
      <c r="VFA216"/>
      <c r="VFB216"/>
      <c r="VFC216"/>
      <c r="VFD216"/>
      <c r="VFE216"/>
      <c r="VFF216"/>
      <c r="VFG216"/>
      <c r="VFH216"/>
      <c r="VFI216"/>
      <c r="VFJ216"/>
      <c r="VFK216"/>
      <c r="VFL216"/>
      <c r="VFM216"/>
      <c r="VFN216"/>
      <c r="VFO216"/>
      <c r="VFP216"/>
      <c r="VFQ216"/>
      <c r="VFR216"/>
      <c r="VFS216"/>
      <c r="VFT216"/>
      <c r="VFU216"/>
      <c r="VFV216"/>
      <c r="VFW216"/>
      <c r="VFX216"/>
      <c r="VFY216"/>
      <c r="VFZ216"/>
      <c r="VGA216"/>
      <c r="VGB216"/>
      <c r="VGC216"/>
      <c r="VGD216"/>
      <c r="VGE216"/>
      <c r="VGF216"/>
      <c r="VGG216"/>
      <c r="VGH216"/>
      <c r="VGI216"/>
      <c r="VGJ216"/>
      <c r="VGK216"/>
      <c r="VGL216"/>
      <c r="VGM216"/>
      <c r="VGN216"/>
      <c r="VGO216"/>
      <c r="VGP216"/>
      <c r="VGQ216"/>
      <c r="VGR216"/>
      <c r="VGS216"/>
      <c r="VGT216"/>
      <c r="VGU216"/>
      <c r="VGV216"/>
      <c r="VGW216"/>
      <c r="VGX216"/>
      <c r="VGY216"/>
      <c r="VGZ216"/>
      <c r="VHA216"/>
      <c r="VHB216"/>
      <c r="VHC216"/>
      <c r="VHD216"/>
      <c r="VHE216"/>
      <c r="VHF216"/>
      <c r="VHG216"/>
      <c r="VHH216"/>
      <c r="VHI216"/>
      <c r="VHJ216"/>
      <c r="VHK216"/>
      <c r="VHL216"/>
      <c r="VHM216"/>
      <c r="VHN216"/>
      <c r="VHO216"/>
      <c r="VHP216"/>
      <c r="VHQ216"/>
      <c r="VHR216"/>
      <c r="VHS216"/>
      <c r="VHT216"/>
      <c r="VHU216"/>
      <c r="VHV216"/>
      <c r="VHW216"/>
      <c r="VHX216"/>
      <c r="VHY216"/>
      <c r="VHZ216"/>
      <c r="VIA216"/>
      <c r="VIB216"/>
      <c r="VIC216"/>
      <c r="VID216"/>
      <c r="VIE216"/>
      <c r="VIF216"/>
      <c r="VIG216"/>
      <c r="VIH216"/>
      <c r="VII216"/>
      <c r="VIJ216"/>
      <c r="VIK216"/>
      <c r="VIL216"/>
      <c r="VIM216"/>
      <c r="VIN216"/>
      <c r="VIO216"/>
      <c r="VIP216"/>
      <c r="VIQ216"/>
      <c r="VIR216"/>
      <c r="VIS216"/>
      <c r="VIT216"/>
      <c r="VIU216"/>
      <c r="VIV216"/>
      <c r="VIW216"/>
      <c r="VIX216"/>
      <c r="VIY216"/>
      <c r="VIZ216"/>
      <c r="VJA216"/>
      <c r="VJB216"/>
      <c r="VJC216"/>
      <c r="VJD216"/>
      <c r="VJE216"/>
      <c r="VJF216"/>
      <c r="VJG216"/>
      <c r="VJH216"/>
      <c r="VJI216"/>
      <c r="VJJ216"/>
      <c r="VJK216"/>
      <c r="VJL216"/>
      <c r="VJM216"/>
      <c r="VJN216"/>
      <c r="VJO216"/>
      <c r="VJP216"/>
      <c r="VJQ216"/>
      <c r="VJR216"/>
      <c r="VJS216"/>
      <c r="VJT216"/>
      <c r="VJU216"/>
      <c r="VJV216"/>
      <c r="VJW216"/>
      <c r="VJX216"/>
      <c r="VJY216"/>
      <c r="VJZ216"/>
      <c r="VKA216"/>
      <c r="VKB216"/>
      <c r="VKC216"/>
      <c r="VKD216"/>
      <c r="VKE216"/>
      <c r="VKF216"/>
      <c r="VKG216"/>
      <c r="VKH216"/>
      <c r="VKI216"/>
      <c r="VKJ216"/>
      <c r="VKK216"/>
      <c r="VKL216"/>
      <c r="VKM216"/>
      <c r="VKN216"/>
      <c r="VKO216"/>
      <c r="VKP216"/>
      <c r="VKQ216"/>
      <c r="VKR216"/>
      <c r="VKS216"/>
      <c r="VKT216"/>
      <c r="VKU216"/>
      <c r="VKV216"/>
      <c r="VKW216"/>
      <c r="VKX216"/>
      <c r="VKY216"/>
      <c r="VKZ216"/>
      <c r="VLA216"/>
      <c r="VLB216"/>
      <c r="VLC216"/>
      <c r="VLD216"/>
      <c r="VLE216"/>
      <c r="VLF216"/>
      <c r="VLG216"/>
      <c r="VLH216"/>
      <c r="VLI216"/>
      <c r="VLJ216"/>
      <c r="VLK216"/>
      <c r="VLL216"/>
      <c r="VLM216"/>
      <c r="VLN216"/>
      <c r="VLO216"/>
      <c r="VLP216"/>
      <c r="VLQ216"/>
      <c r="VLR216"/>
      <c r="VLS216"/>
      <c r="VLT216"/>
      <c r="VLU216"/>
      <c r="VLV216"/>
      <c r="VLW216"/>
      <c r="VLX216"/>
      <c r="VLY216"/>
      <c r="VLZ216"/>
      <c r="VMA216"/>
      <c r="VMB216"/>
      <c r="VMC216"/>
      <c r="VMD216"/>
      <c r="VME216"/>
      <c r="VMF216"/>
      <c r="VMG216"/>
      <c r="VMH216"/>
      <c r="VMI216"/>
      <c r="VMJ216"/>
      <c r="VMK216"/>
      <c r="VML216"/>
      <c r="VMM216"/>
      <c r="VMN216"/>
      <c r="VMO216"/>
      <c r="VMP216"/>
      <c r="VMQ216"/>
      <c r="VMR216"/>
      <c r="VMS216"/>
      <c r="VMT216"/>
      <c r="VMU216"/>
      <c r="VMV216"/>
      <c r="VMW216"/>
      <c r="VMX216"/>
      <c r="VMY216"/>
      <c r="VMZ216"/>
      <c r="VNA216"/>
      <c r="VNB216"/>
      <c r="VNC216"/>
      <c r="VND216"/>
      <c r="VNE216"/>
      <c r="VNF216"/>
      <c r="VNG216"/>
      <c r="VNH216"/>
      <c r="VNI216"/>
      <c r="VNJ216"/>
      <c r="VNK216"/>
      <c r="VNL216"/>
      <c r="VNM216"/>
      <c r="VNN216"/>
      <c r="VNO216"/>
      <c r="VNP216"/>
      <c r="VNQ216"/>
      <c r="VNR216"/>
      <c r="VNS216"/>
      <c r="VNT216"/>
      <c r="VNU216"/>
      <c r="VNV216"/>
      <c r="VNW216"/>
      <c r="VNX216"/>
      <c r="VNY216"/>
      <c r="VNZ216"/>
      <c r="VOA216"/>
      <c r="VOB216"/>
      <c r="VOC216"/>
      <c r="VOD216"/>
      <c r="VOE216"/>
      <c r="VOF216"/>
      <c r="VOG216"/>
      <c r="VOH216"/>
      <c r="VOI216"/>
      <c r="VOJ216"/>
      <c r="VOK216"/>
      <c r="VOL216"/>
      <c r="VOM216"/>
      <c r="VON216"/>
      <c r="VOO216"/>
      <c r="VOP216"/>
      <c r="VOQ216"/>
      <c r="VOR216"/>
      <c r="VOS216"/>
      <c r="VOT216"/>
      <c r="VOU216"/>
      <c r="VOV216"/>
      <c r="VOW216"/>
      <c r="VOX216"/>
      <c r="VOY216"/>
      <c r="VOZ216"/>
      <c r="VPA216"/>
      <c r="VPB216"/>
      <c r="VPC216"/>
      <c r="VPD216"/>
      <c r="VPE216"/>
      <c r="VPF216"/>
      <c r="VPG216"/>
      <c r="VPH216"/>
      <c r="VPI216"/>
      <c r="VPJ216"/>
      <c r="VPK216"/>
      <c r="VPL216"/>
      <c r="VPM216"/>
      <c r="VPN216"/>
      <c r="VPO216"/>
      <c r="VPP216"/>
      <c r="VPQ216"/>
      <c r="VPR216"/>
      <c r="VPS216"/>
      <c r="VPT216"/>
      <c r="VPU216"/>
      <c r="VPV216"/>
      <c r="VPW216"/>
      <c r="VPX216"/>
      <c r="VPY216"/>
      <c r="VPZ216"/>
      <c r="VQA216"/>
      <c r="VQB216"/>
      <c r="VQC216"/>
      <c r="VQD216"/>
      <c r="VQE216"/>
      <c r="VQF216"/>
      <c r="VQG216"/>
      <c r="VQH216"/>
      <c r="VQI216"/>
      <c r="VQJ216"/>
      <c r="VQK216"/>
      <c r="VQL216"/>
      <c r="VQM216"/>
      <c r="VQN216"/>
      <c r="VQO216"/>
      <c r="VQP216"/>
      <c r="VQQ216"/>
      <c r="VQR216"/>
      <c r="VQS216"/>
      <c r="VQT216"/>
      <c r="VQU216"/>
      <c r="VQV216"/>
      <c r="VQW216"/>
      <c r="VQX216"/>
      <c r="VQY216"/>
      <c r="VQZ216"/>
      <c r="VRA216"/>
      <c r="VRB216"/>
      <c r="VRC216"/>
      <c r="VRD216"/>
      <c r="VRE216"/>
      <c r="VRF216"/>
      <c r="VRG216"/>
      <c r="VRH216"/>
      <c r="VRI216"/>
      <c r="VRJ216"/>
      <c r="VRK216"/>
      <c r="VRL216"/>
      <c r="VRM216"/>
      <c r="VRN216"/>
      <c r="VRO216"/>
      <c r="VRP216"/>
      <c r="VRQ216"/>
      <c r="VRR216"/>
      <c r="VRS216"/>
      <c r="VRT216"/>
      <c r="VRU216"/>
      <c r="VRV216"/>
      <c r="VRW216"/>
      <c r="VRX216"/>
      <c r="VRY216"/>
      <c r="VRZ216"/>
      <c r="VSA216"/>
      <c r="VSB216"/>
      <c r="VSC216"/>
      <c r="VSD216"/>
      <c r="VSE216"/>
      <c r="VSF216"/>
      <c r="VSG216"/>
      <c r="VSH216"/>
      <c r="VSI216"/>
      <c r="VSJ216"/>
      <c r="VSK216"/>
      <c r="VSL216"/>
      <c r="VSM216"/>
      <c r="VSN216"/>
      <c r="VSO216"/>
      <c r="VSP216"/>
      <c r="VSQ216"/>
      <c r="VSR216"/>
      <c r="VSS216"/>
      <c r="VST216"/>
      <c r="VSU216"/>
      <c r="VSV216"/>
      <c r="VSW216"/>
      <c r="VSX216"/>
      <c r="VSY216"/>
      <c r="VSZ216"/>
      <c r="VTA216"/>
      <c r="VTB216"/>
      <c r="VTC216"/>
      <c r="VTD216"/>
      <c r="VTE216"/>
      <c r="VTF216"/>
      <c r="VTG216"/>
      <c r="VTH216"/>
      <c r="VTI216"/>
      <c r="VTJ216"/>
      <c r="VTK216"/>
      <c r="VTL216"/>
      <c r="VTM216"/>
      <c r="VTN216"/>
      <c r="VTO216"/>
      <c r="VTP216"/>
      <c r="VTQ216"/>
      <c r="VTR216"/>
      <c r="VTS216"/>
      <c r="VTT216"/>
      <c r="VTU216"/>
      <c r="VTV216"/>
      <c r="VTW216"/>
      <c r="VTX216"/>
      <c r="VTY216"/>
      <c r="VTZ216"/>
      <c r="VUA216"/>
      <c r="VUB216"/>
      <c r="VUC216"/>
      <c r="VUD216"/>
      <c r="VUE216"/>
      <c r="VUF216"/>
      <c r="VUG216"/>
      <c r="VUH216"/>
      <c r="VUI216"/>
      <c r="VUJ216"/>
      <c r="VUK216"/>
      <c r="VUL216"/>
      <c r="VUM216"/>
      <c r="VUN216"/>
      <c r="VUO216"/>
      <c r="VUP216"/>
      <c r="VUQ216"/>
      <c r="VUR216"/>
      <c r="VUS216"/>
      <c r="VUT216"/>
      <c r="VUU216"/>
      <c r="VUV216"/>
      <c r="VUW216"/>
      <c r="VUX216"/>
      <c r="VUY216"/>
      <c r="VUZ216"/>
      <c r="VVA216"/>
      <c r="VVB216"/>
      <c r="VVC216"/>
      <c r="VVD216"/>
      <c r="VVE216"/>
      <c r="VVF216"/>
      <c r="VVG216"/>
      <c r="VVH216"/>
      <c r="VVI216"/>
      <c r="VVJ216"/>
      <c r="VVK216"/>
      <c r="VVL216"/>
      <c r="VVM216"/>
      <c r="VVN216"/>
      <c r="VVO216"/>
      <c r="VVP216"/>
      <c r="VVQ216"/>
      <c r="VVR216"/>
      <c r="VVS216"/>
      <c r="VVT216"/>
      <c r="VVU216"/>
      <c r="VVV216"/>
      <c r="VVW216"/>
      <c r="VVX216"/>
      <c r="VVY216"/>
      <c r="VVZ216"/>
      <c r="VWA216"/>
      <c r="VWB216"/>
      <c r="VWC216"/>
      <c r="VWD216"/>
      <c r="VWE216"/>
      <c r="VWF216"/>
      <c r="VWG216"/>
      <c r="VWH216"/>
      <c r="VWI216"/>
      <c r="VWJ216"/>
      <c r="VWK216"/>
      <c r="VWL216"/>
      <c r="VWM216"/>
      <c r="VWN216"/>
      <c r="VWO216"/>
      <c r="VWP216"/>
      <c r="VWQ216"/>
      <c r="VWR216"/>
      <c r="VWS216"/>
      <c r="VWT216"/>
      <c r="VWU216"/>
      <c r="VWV216"/>
      <c r="VWW216"/>
      <c r="VWX216"/>
      <c r="VWY216"/>
      <c r="VWZ216"/>
      <c r="VXA216"/>
      <c r="VXB216"/>
      <c r="VXC216"/>
      <c r="VXD216"/>
      <c r="VXE216"/>
      <c r="VXF216"/>
      <c r="VXG216"/>
      <c r="VXH216"/>
      <c r="VXI216"/>
      <c r="VXJ216"/>
      <c r="VXK216"/>
      <c r="VXL216"/>
      <c r="VXM216"/>
      <c r="VXN216"/>
      <c r="VXO216"/>
      <c r="VXP216"/>
      <c r="VXQ216"/>
      <c r="VXR216"/>
      <c r="VXS216"/>
      <c r="VXT216"/>
      <c r="VXU216"/>
      <c r="VXV216"/>
      <c r="VXW216"/>
      <c r="VXX216"/>
      <c r="VXY216"/>
      <c r="VXZ216"/>
      <c r="VYA216"/>
      <c r="VYB216"/>
      <c r="VYC216"/>
      <c r="VYD216"/>
      <c r="VYE216"/>
      <c r="VYF216"/>
      <c r="VYG216"/>
      <c r="VYH216"/>
      <c r="VYI216"/>
      <c r="VYJ216"/>
      <c r="VYK216"/>
      <c r="VYL216"/>
      <c r="VYM216"/>
      <c r="VYN216"/>
      <c r="VYO216"/>
      <c r="VYP216"/>
      <c r="VYQ216"/>
      <c r="VYR216"/>
      <c r="VYS216"/>
      <c r="VYT216"/>
      <c r="VYU216"/>
      <c r="VYV216"/>
      <c r="VYW216"/>
      <c r="VYX216"/>
      <c r="VYY216"/>
      <c r="VYZ216"/>
      <c r="VZA216"/>
      <c r="VZB216"/>
      <c r="VZC216"/>
      <c r="VZD216"/>
      <c r="VZE216"/>
      <c r="VZF216"/>
      <c r="VZG216"/>
      <c r="VZH216"/>
      <c r="VZI216"/>
      <c r="VZJ216"/>
      <c r="VZK216"/>
      <c r="VZL216"/>
      <c r="VZM216"/>
      <c r="VZN216"/>
      <c r="VZO216"/>
      <c r="VZP216"/>
      <c r="VZQ216"/>
      <c r="VZR216"/>
      <c r="VZS216"/>
      <c r="VZT216"/>
      <c r="VZU216"/>
      <c r="VZV216"/>
      <c r="VZW216"/>
      <c r="VZX216"/>
      <c r="VZY216"/>
      <c r="VZZ216"/>
      <c r="WAA216"/>
      <c r="WAB216"/>
      <c r="WAC216"/>
      <c r="WAD216"/>
      <c r="WAE216"/>
      <c r="WAF216"/>
      <c r="WAG216"/>
      <c r="WAH216"/>
      <c r="WAI216"/>
      <c r="WAJ216"/>
      <c r="WAK216"/>
      <c r="WAL216"/>
      <c r="WAM216"/>
      <c r="WAN216"/>
      <c r="WAO216"/>
      <c r="WAP216"/>
      <c r="WAQ216"/>
      <c r="WAR216"/>
      <c r="WAS216"/>
      <c r="WAT216"/>
      <c r="WAU216"/>
      <c r="WAV216"/>
      <c r="WAW216"/>
      <c r="WAX216"/>
      <c r="WAY216"/>
      <c r="WAZ216"/>
      <c r="WBA216"/>
      <c r="WBB216"/>
      <c r="WBC216"/>
      <c r="WBD216"/>
      <c r="WBE216"/>
      <c r="WBF216"/>
      <c r="WBG216"/>
      <c r="WBH216"/>
      <c r="WBI216"/>
      <c r="WBJ216"/>
      <c r="WBK216"/>
      <c r="WBL216"/>
      <c r="WBM216"/>
      <c r="WBN216"/>
      <c r="WBO216"/>
      <c r="WBP216"/>
      <c r="WBQ216"/>
      <c r="WBR216"/>
      <c r="WBS216"/>
      <c r="WBT216"/>
      <c r="WBU216"/>
      <c r="WBV216"/>
      <c r="WBW216"/>
      <c r="WBX216"/>
      <c r="WBY216"/>
      <c r="WBZ216"/>
      <c r="WCA216"/>
      <c r="WCB216"/>
      <c r="WCC216"/>
      <c r="WCD216"/>
      <c r="WCE216"/>
      <c r="WCF216"/>
      <c r="WCG216"/>
      <c r="WCH216"/>
      <c r="WCI216"/>
      <c r="WCJ216"/>
      <c r="WCK216"/>
      <c r="WCL216"/>
      <c r="WCM216"/>
      <c r="WCN216"/>
      <c r="WCO216"/>
      <c r="WCP216"/>
      <c r="WCQ216"/>
      <c r="WCR216"/>
      <c r="WCS216"/>
      <c r="WCT216"/>
      <c r="WCU216"/>
      <c r="WCV216"/>
      <c r="WCW216"/>
      <c r="WCX216"/>
      <c r="WCY216"/>
      <c r="WCZ216"/>
      <c r="WDA216"/>
      <c r="WDB216"/>
      <c r="WDC216"/>
      <c r="WDD216"/>
      <c r="WDE216"/>
      <c r="WDF216"/>
      <c r="WDG216"/>
      <c r="WDH216"/>
      <c r="WDI216"/>
      <c r="WDJ216"/>
      <c r="WDK216"/>
      <c r="WDL216"/>
      <c r="WDM216"/>
      <c r="WDN216"/>
      <c r="WDO216"/>
      <c r="WDP216"/>
      <c r="WDQ216"/>
      <c r="WDR216"/>
      <c r="WDS216"/>
      <c r="WDT216"/>
      <c r="WDU216"/>
      <c r="WDV216"/>
      <c r="WDW216"/>
      <c r="WDX216"/>
      <c r="WDY216"/>
      <c r="WDZ216"/>
      <c r="WEA216"/>
      <c r="WEB216"/>
      <c r="WEC216"/>
      <c r="WED216"/>
      <c r="WEE216"/>
      <c r="WEF216"/>
      <c r="WEG216"/>
      <c r="WEH216"/>
      <c r="WEI216"/>
      <c r="WEJ216"/>
      <c r="WEK216"/>
      <c r="WEL216"/>
      <c r="WEM216"/>
      <c r="WEN216"/>
      <c r="WEO216"/>
      <c r="WEP216"/>
      <c r="WEQ216"/>
      <c r="WER216"/>
      <c r="WES216"/>
      <c r="WET216"/>
      <c r="WEU216"/>
      <c r="WEV216"/>
      <c r="WEW216"/>
      <c r="WEX216"/>
      <c r="WEY216"/>
      <c r="WEZ216"/>
      <c r="WFA216"/>
      <c r="WFB216"/>
      <c r="WFC216"/>
      <c r="WFD216"/>
      <c r="WFE216"/>
      <c r="WFF216"/>
      <c r="WFG216"/>
      <c r="WFH216"/>
      <c r="WFI216"/>
      <c r="WFJ216"/>
      <c r="WFK216"/>
      <c r="WFL216"/>
      <c r="WFM216"/>
      <c r="WFN216"/>
      <c r="WFO216"/>
      <c r="WFP216"/>
      <c r="WFQ216"/>
      <c r="WFR216"/>
      <c r="WFS216"/>
      <c r="WFT216"/>
      <c r="WFU216"/>
      <c r="WFV216"/>
      <c r="WFW216"/>
      <c r="WFX216"/>
      <c r="WFY216"/>
      <c r="WFZ216"/>
      <c r="WGA216"/>
      <c r="WGB216"/>
      <c r="WGC216"/>
      <c r="WGD216"/>
      <c r="WGE216"/>
      <c r="WGF216"/>
      <c r="WGG216"/>
      <c r="WGH216"/>
      <c r="WGI216"/>
      <c r="WGJ216"/>
      <c r="WGK216"/>
      <c r="WGL216"/>
      <c r="WGM216"/>
      <c r="WGN216"/>
      <c r="WGO216"/>
      <c r="WGP216"/>
      <c r="WGQ216"/>
      <c r="WGR216"/>
      <c r="WGS216"/>
      <c r="WGT216"/>
      <c r="WGU216"/>
      <c r="WGV216"/>
      <c r="WGW216"/>
      <c r="WGX216"/>
      <c r="WGY216"/>
      <c r="WGZ216"/>
      <c r="WHA216"/>
      <c r="WHB216"/>
      <c r="WHC216"/>
      <c r="WHD216"/>
      <c r="WHE216"/>
      <c r="WHF216"/>
      <c r="WHG216"/>
      <c r="WHH216"/>
      <c r="WHI216"/>
      <c r="WHJ216"/>
      <c r="WHK216"/>
      <c r="WHL216"/>
      <c r="WHM216"/>
      <c r="WHN216"/>
      <c r="WHO216"/>
      <c r="WHP216"/>
      <c r="WHQ216"/>
      <c r="WHR216"/>
      <c r="WHS216"/>
      <c r="WHT216"/>
      <c r="WHU216"/>
      <c r="WHV216"/>
      <c r="WHW216"/>
      <c r="WHX216"/>
      <c r="WHY216"/>
      <c r="WHZ216"/>
      <c r="WIA216"/>
      <c r="WIB216"/>
      <c r="WIC216"/>
      <c r="WID216"/>
      <c r="WIE216"/>
      <c r="WIF216"/>
      <c r="WIG216"/>
      <c r="WIH216"/>
      <c r="WII216"/>
      <c r="WIJ216"/>
      <c r="WIK216"/>
      <c r="WIL216"/>
      <c r="WIM216"/>
      <c r="WIN216"/>
      <c r="WIO216"/>
      <c r="WIP216"/>
      <c r="WIQ216"/>
      <c r="WIR216"/>
      <c r="WIS216"/>
      <c r="WIT216"/>
      <c r="WIU216"/>
      <c r="WIV216"/>
      <c r="WIW216"/>
      <c r="WIX216"/>
      <c r="WIY216"/>
      <c r="WIZ216"/>
      <c r="WJA216"/>
      <c r="WJB216"/>
      <c r="WJC216"/>
      <c r="WJD216"/>
      <c r="WJE216"/>
      <c r="WJF216"/>
      <c r="WJG216"/>
      <c r="WJH216"/>
      <c r="WJI216"/>
      <c r="WJJ216"/>
      <c r="WJK216"/>
      <c r="WJL216"/>
      <c r="WJM216"/>
      <c r="WJN216"/>
      <c r="WJO216"/>
      <c r="WJP216"/>
      <c r="WJQ216"/>
      <c r="WJR216"/>
      <c r="WJS216"/>
      <c r="WJT216"/>
      <c r="WJU216"/>
      <c r="WJV216"/>
      <c r="WJW216"/>
      <c r="WJX216"/>
      <c r="WJY216"/>
      <c r="WJZ216"/>
      <c r="WKA216"/>
      <c r="WKB216"/>
      <c r="WKC216"/>
      <c r="WKD216"/>
      <c r="WKE216"/>
      <c r="WKF216"/>
      <c r="WKG216"/>
      <c r="WKH216"/>
      <c r="WKI216"/>
      <c r="WKJ216"/>
      <c r="WKK216"/>
      <c r="WKL216"/>
      <c r="WKM216"/>
      <c r="WKN216"/>
      <c r="WKO216"/>
      <c r="WKP216"/>
      <c r="WKQ216"/>
      <c r="WKR216"/>
      <c r="WKS216"/>
      <c r="WKT216"/>
      <c r="WKU216"/>
      <c r="WKV216"/>
      <c r="WKW216"/>
      <c r="WKX216"/>
      <c r="WKY216"/>
      <c r="WKZ216"/>
      <c r="WLA216"/>
      <c r="WLB216"/>
      <c r="WLC216"/>
      <c r="WLD216"/>
      <c r="WLE216"/>
      <c r="WLF216"/>
      <c r="WLG216"/>
      <c r="WLH216"/>
      <c r="WLI216"/>
      <c r="WLJ216"/>
      <c r="WLK216"/>
      <c r="WLL216"/>
      <c r="WLM216"/>
      <c r="WLN216"/>
      <c r="WLO216"/>
      <c r="WLP216"/>
      <c r="WLQ216"/>
      <c r="WLR216"/>
      <c r="WLS216"/>
      <c r="WLT216"/>
      <c r="WLU216"/>
      <c r="WLV216"/>
      <c r="WLW216"/>
      <c r="WLX216"/>
      <c r="WLY216"/>
      <c r="WLZ216"/>
      <c r="WMA216"/>
      <c r="WMB216"/>
      <c r="WMC216"/>
      <c r="WMD216"/>
      <c r="WME216"/>
      <c r="WMF216"/>
      <c r="WMG216"/>
      <c r="WMH216"/>
      <c r="WMI216"/>
      <c r="WMJ216"/>
      <c r="WMK216"/>
      <c r="WML216"/>
      <c r="WMM216"/>
      <c r="WMN216"/>
      <c r="WMO216"/>
      <c r="WMP216"/>
      <c r="WMQ216"/>
      <c r="WMR216"/>
      <c r="WMS216"/>
      <c r="WMT216"/>
      <c r="WMU216"/>
      <c r="WMV216"/>
      <c r="WMW216"/>
      <c r="WMX216"/>
      <c r="WMY216"/>
      <c r="WMZ216"/>
      <c r="WNA216"/>
      <c r="WNB216"/>
      <c r="WNC216"/>
      <c r="WND216"/>
      <c r="WNE216"/>
      <c r="WNF216"/>
      <c r="WNG216"/>
      <c r="WNH216"/>
      <c r="WNI216"/>
      <c r="WNJ216"/>
      <c r="WNK216"/>
      <c r="WNL216"/>
      <c r="WNM216"/>
      <c r="WNN216"/>
      <c r="WNO216"/>
      <c r="WNP216"/>
      <c r="WNQ216"/>
      <c r="WNR216"/>
      <c r="WNS216"/>
      <c r="WNT216"/>
      <c r="WNU216"/>
      <c r="WNV216"/>
      <c r="WNW216"/>
      <c r="WNX216"/>
      <c r="WNY216"/>
      <c r="WNZ216"/>
      <c r="WOA216"/>
      <c r="WOB216"/>
      <c r="WOC216"/>
      <c r="WOD216"/>
      <c r="WOE216"/>
      <c r="WOF216"/>
      <c r="WOG216"/>
      <c r="WOH216"/>
      <c r="WOI216"/>
      <c r="WOJ216"/>
      <c r="WOK216"/>
      <c r="WOL216"/>
      <c r="WOM216"/>
      <c r="WON216"/>
      <c r="WOO216"/>
      <c r="WOP216"/>
      <c r="WOQ216"/>
      <c r="WOR216"/>
      <c r="WOS216"/>
      <c r="WOT216"/>
      <c r="WOU216"/>
      <c r="WOV216"/>
      <c r="WOW216"/>
      <c r="WOX216"/>
      <c r="WOY216"/>
      <c r="WOZ216"/>
      <c r="WPA216"/>
      <c r="WPB216"/>
      <c r="WPC216"/>
      <c r="WPD216"/>
      <c r="WPE216"/>
      <c r="WPF216"/>
      <c r="WPG216"/>
      <c r="WPH216"/>
      <c r="WPI216"/>
      <c r="WPJ216"/>
      <c r="WPK216"/>
      <c r="WPL216"/>
      <c r="WPM216"/>
      <c r="WPN216"/>
      <c r="WPO216"/>
      <c r="WPP216"/>
      <c r="WPQ216"/>
      <c r="WPR216"/>
      <c r="WPS216"/>
      <c r="WPT216"/>
      <c r="WPU216"/>
      <c r="WPV216"/>
      <c r="WPW216"/>
      <c r="WPX216"/>
      <c r="WPY216"/>
      <c r="WPZ216"/>
      <c r="WQA216"/>
      <c r="WQB216"/>
      <c r="WQC216"/>
      <c r="WQD216"/>
      <c r="WQE216"/>
      <c r="WQF216"/>
      <c r="WQG216"/>
      <c r="WQH216"/>
      <c r="WQI216"/>
      <c r="WQJ216"/>
      <c r="WQK216"/>
      <c r="WQL216"/>
      <c r="WQM216"/>
      <c r="WQN216"/>
      <c r="WQO216"/>
      <c r="WQP216"/>
      <c r="WQQ216"/>
      <c r="WQR216"/>
      <c r="WQS216"/>
      <c r="WQT216"/>
      <c r="WQU216"/>
      <c r="WQV216"/>
      <c r="WQW216"/>
      <c r="WQX216"/>
      <c r="WQY216"/>
      <c r="WQZ216"/>
      <c r="WRA216"/>
      <c r="WRB216"/>
      <c r="WRC216"/>
      <c r="WRD216"/>
      <c r="WRE216"/>
      <c r="WRF216"/>
      <c r="WRG216"/>
      <c r="WRH216"/>
      <c r="WRI216"/>
      <c r="WRJ216"/>
      <c r="WRK216"/>
      <c r="WRL216"/>
      <c r="WRM216"/>
      <c r="WRN216"/>
      <c r="WRO216"/>
      <c r="WRP216"/>
      <c r="WRQ216"/>
      <c r="WRR216"/>
      <c r="WRS216"/>
      <c r="WRT216"/>
      <c r="WRU216"/>
      <c r="WRV216"/>
      <c r="WRW216"/>
      <c r="WRX216"/>
      <c r="WRY216"/>
      <c r="WRZ216"/>
      <c r="WSA216"/>
      <c r="WSB216"/>
      <c r="WSC216"/>
      <c r="WSD216"/>
      <c r="WSE216"/>
      <c r="WSF216"/>
      <c r="WSG216"/>
      <c r="WSH216"/>
      <c r="WSI216"/>
      <c r="WSJ216"/>
      <c r="WSK216"/>
      <c r="WSL216"/>
      <c r="WSM216"/>
      <c r="WSN216"/>
      <c r="WSO216"/>
      <c r="WSP216"/>
      <c r="WSQ216"/>
      <c r="WSR216"/>
      <c r="WSS216"/>
      <c r="WST216"/>
      <c r="WSU216"/>
      <c r="WSV216"/>
      <c r="WSW216"/>
      <c r="WSX216"/>
      <c r="WSY216"/>
      <c r="WSZ216"/>
      <c r="WTA216"/>
      <c r="WTB216"/>
      <c r="WTC216"/>
      <c r="WTD216"/>
      <c r="WTE216"/>
      <c r="WTF216"/>
      <c r="WTG216"/>
      <c r="WTH216"/>
      <c r="WTI216"/>
      <c r="WTJ216"/>
      <c r="WTK216"/>
      <c r="WTL216"/>
      <c r="WTM216"/>
      <c r="WTN216"/>
      <c r="WTO216"/>
      <c r="WTP216"/>
      <c r="WTQ216"/>
      <c r="WTR216"/>
      <c r="WTS216"/>
      <c r="WTT216"/>
      <c r="WTU216"/>
      <c r="WTV216"/>
      <c r="WTW216"/>
      <c r="WTX216"/>
      <c r="WTY216"/>
      <c r="WTZ216"/>
      <c r="WUA216"/>
      <c r="WUB216"/>
      <c r="WUC216"/>
      <c r="WUD216"/>
      <c r="WUE216"/>
      <c r="WUF216"/>
      <c r="WUG216"/>
      <c r="WUH216"/>
      <c r="WUI216"/>
      <c r="WUJ216"/>
      <c r="WUK216"/>
      <c r="WUL216"/>
      <c r="WUM216"/>
      <c r="WUN216"/>
      <c r="WUO216"/>
      <c r="WUP216"/>
      <c r="WUQ216"/>
      <c r="WUR216"/>
      <c r="WUS216"/>
      <c r="WUT216"/>
      <c r="WUU216"/>
      <c r="WUV216"/>
      <c r="WUW216"/>
      <c r="WUX216"/>
      <c r="WUY216"/>
      <c r="WUZ216"/>
      <c r="WVA216"/>
      <c r="WVB216"/>
      <c r="WVC216"/>
      <c r="WVD216"/>
      <c r="WVE216"/>
      <c r="WVF216"/>
      <c r="WVG216"/>
      <c r="WVH216"/>
      <c r="WVI216"/>
      <c r="WVJ216"/>
      <c r="WVK216"/>
      <c r="WVL216"/>
      <c r="WVM216"/>
      <c r="WVN216"/>
      <c r="WVO216"/>
      <c r="WVP216"/>
      <c r="WVQ216"/>
      <c r="WVR216"/>
      <c r="WVS216"/>
      <c r="WVT216"/>
      <c r="WVU216"/>
      <c r="WVV216"/>
      <c r="WVW216"/>
      <c r="WVX216"/>
      <c r="WVY216"/>
      <c r="WVZ216"/>
      <c r="WWA216"/>
      <c r="WWB216"/>
      <c r="WWC216"/>
      <c r="WWD216"/>
      <c r="WWE216"/>
      <c r="WWF216"/>
      <c r="WWG216"/>
      <c r="WWH216"/>
      <c r="WWI216"/>
      <c r="WWJ216"/>
      <c r="WWK216"/>
      <c r="WWL216"/>
      <c r="WWM216"/>
      <c r="WWN216"/>
      <c r="WWO216"/>
      <c r="WWP216"/>
      <c r="WWQ216"/>
      <c r="WWR216"/>
      <c r="WWS216"/>
      <c r="WWT216"/>
      <c r="WWU216"/>
      <c r="WWV216"/>
      <c r="WWW216"/>
      <c r="WWX216"/>
      <c r="WWY216"/>
      <c r="WWZ216"/>
      <c r="WXA216"/>
      <c r="WXB216"/>
      <c r="WXC216"/>
      <c r="WXD216"/>
      <c r="WXE216"/>
      <c r="WXF216"/>
      <c r="WXG216"/>
      <c r="WXH216"/>
      <c r="WXI216"/>
      <c r="WXJ216"/>
      <c r="WXK216"/>
      <c r="WXL216"/>
      <c r="WXM216"/>
      <c r="WXN216"/>
      <c r="WXO216"/>
      <c r="WXP216"/>
      <c r="WXQ216"/>
      <c r="WXR216"/>
      <c r="WXS216"/>
      <c r="WXT216"/>
      <c r="WXU216"/>
      <c r="WXV216"/>
      <c r="WXW216"/>
      <c r="WXX216"/>
      <c r="WXY216"/>
      <c r="WXZ216"/>
      <c r="WYA216"/>
      <c r="WYB216"/>
      <c r="WYC216"/>
      <c r="WYD216"/>
      <c r="WYE216"/>
      <c r="WYF216"/>
      <c r="WYG216"/>
      <c r="WYH216"/>
      <c r="WYI216"/>
      <c r="WYJ216"/>
      <c r="WYK216"/>
      <c r="WYL216"/>
      <c r="WYM216"/>
      <c r="WYN216"/>
      <c r="WYO216"/>
      <c r="WYP216"/>
      <c r="WYQ216"/>
      <c r="WYR216"/>
      <c r="WYS216"/>
      <c r="WYT216"/>
      <c r="WYU216"/>
      <c r="WYV216"/>
      <c r="WYW216"/>
      <c r="WYX216"/>
      <c r="WYY216"/>
      <c r="WYZ216"/>
      <c r="WZA216"/>
      <c r="WZB216"/>
      <c r="WZC216"/>
      <c r="WZD216"/>
      <c r="WZE216"/>
      <c r="WZF216"/>
      <c r="WZG216"/>
      <c r="WZH216"/>
      <c r="WZI216"/>
      <c r="WZJ216"/>
      <c r="WZK216"/>
      <c r="WZL216"/>
      <c r="WZM216"/>
      <c r="WZN216"/>
      <c r="WZO216"/>
      <c r="WZP216"/>
      <c r="WZQ216"/>
      <c r="WZR216"/>
      <c r="WZS216"/>
      <c r="WZT216"/>
      <c r="WZU216"/>
      <c r="WZV216"/>
      <c r="WZW216"/>
      <c r="WZX216"/>
      <c r="WZY216"/>
      <c r="WZZ216"/>
      <c r="XAA216"/>
      <c r="XAB216"/>
      <c r="XAC216"/>
      <c r="XAD216"/>
      <c r="XAE216"/>
      <c r="XAF216"/>
      <c r="XAG216"/>
      <c r="XAH216"/>
      <c r="XAI216"/>
      <c r="XAJ216"/>
      <c r="XAK216"/>
      <c r="XAL216"/>
      <c r="XAM216"/>
      <c r="XAN216"/>
      <c r="XAO216"/>
      <c r="XAP216"/>
      <c r="XAQ216"/>
      <c r="XAR216"/>
      <c r="XAS216"/>
      <c r="XAT216"/>
      <c r="XAU216"/>
      <c r="XAV216"/>
      <c r="XAW216"/>
      <c r="XAX216"/>
      <c r="XAY216"/>
      <c r="XAZ216"/>
      <c r="XBA216"/>
      <c r="XBB216"/>
      <c r="XBC216"/>
      <c r="XBD216"/>
      <c r="XBE216"/>
      <c r="XBF216"/>
      <c r="XBG216"/>
      <c r="XBH216"/>
      <c r="XBI216"/>
      <c r="XBJ216"/>
      <c r="XBK216"/>
      <c r="XBL216"/>
      <c r="XBM216"/>
      <c r="XBN216"/>
      <c r="XBO216"/>
      <c r="XBP216"/>
      <c r="XBQ216"/>
      <c r="XBR216"/>
      <c r="XBS216"/>
      <c r="XBT216"/>
      <c r="XBU216"/>
      <c r="XBV216"/>
      <c r="XBW216"/>
      <c r="XBX216"/>
      <c r="XBY216"/>
      <c r="XBZ216"/>
      <c r="XCA216"/>
      <c r="XCB216"/>
      <c r="XCC216"/>
      <c r="XCD216"/>
      <c r="XCE216"/>
      <c r="XCF216"/>
      <c r="XCG216"/>
      <c r="XCH216"/>
      <c r="XCI216"/>
      <c r="XCJ216"/>
      <c r="XCK216"/>
      <c r="XCL216"/>
      <c r="XCM216"/>
      <c r="XCN216"/>
      <c r="XCO216"/>
      <c r="XCP216"/>
      <c r="XCQ216"/>
      <c r="XCR216"/>
      <c r="XCS216"/>
      <c r="XCT216"/>
      <c r="XCU216"/>
      <c r="XCV216"/>
      <c r="XCW216"/>
      <c r="XCX216"/>
      <c r="XCY216"/>
      <c r="XCZ216"/>
      <c r="XDA216"/>
      <c r="XDB216"/>
      <c r="XDC216"/>
      <c r="XDD216"/>
      <c r="XDE216"/>
      <c r="XDF216"/>
      <c r="XDG216"/>
      <c r="XDH216"/>
      <c r="XDI216"/>
      <c r="XDJ216"/>
      <c r="XDK216"/>
      <c r="XDL216"/>
      <c r="XDM216"/>
      <c r="XDN216"/>
      <c r="XDO216"/>
      <c r="XDP216"/>
      <c r="XDQ216"/>
      <c r="XDR216"/>
      <c r="XDS216"/>
      <c r="XDT216"/>
      <c r="XDU216"/>
      <c r="XDV216"/>
      <c r="XDW216"/>
      <c r="XDX216"/>
      <c r="XDY216"/>
      <c r="XDZ216"/>
      <c r="XEA216"/>
      <c r="XEB216"/>
      <c r="XEC216"/>
      <c r="XED216"/>
      <c r="XEE216"/>
      <c r="XEF216"/>
      <c r="XEG216"/>
      <c r="XEH216"/>
      <c r="XEI216"/>
      <c r="XEJ216"/>
      <c r="XEK216"/>
      <c r="XEL216"/>
      <c r="XEM216"/>
      <c r="XEN216"/>
      <c r="XEO216"/>
      <c r="XEP216"/>
      <c r="XEQ216"/>
      <c r="XER216"/>
      <c r="XES216"/>
      <c r="XET216"/>
      <c r="XEU216"/>
      <c r="XEV216"/>
      <c r="XEW216"/>
      <c r="XEX216"/>
      <c r="XEY216"/>
      <c r="XEZ216"/>
      <c r="XFA216"/>
      <c r="XFB216"/>
      <c r="XFC216"/>
      <c r="XFD216"/>
    </row>
    <row r="217" spans="3:16384" outlineLevel="1" x14ac:dyDescent="0.2">
      <c r="C217" s="11" t="str">
        <f>CHOOSE(db_ML_selected,'Liste Traduction'!B209,'Liste Traduction'!C209)</f>
        <v>Solde des coûts non récupérés</v>
      </c>
    </row>
    <row r="218" spans="3:16384" outlineLevel="1" x14ac:dyDescent="0.2">
      <c r="D218" t="str">
        <f>D209</f>
        <v>sélectionnés</v>
      </c>
      <c r="G218" s="29" t="str">
        <f>field_selected</f>
        <v>Moho</v>
      </c>
      <c r="I218" s="30">
        <f ca="1">SUM($L218:$BS218)</f>
        <v>66574.916880019999</v>
      </c>
      <c r="J218" s="26" t="s">
        <v>53</v>
      </c>
      <c r="K218" s="7" t="s">
        <v>663</v>
      </c>
      <c r="L218" s="18">
        <f t="shared" ref="L218:Z218" ca="1" si="49">OFFSET(L$218,MATCH(field_selected,list_FieldName,0)+1,0)</f>
        <v>3428.5025865500002</v>
      </c>
      <c r="M218" s="18">
        <f t="shared" ca="1" si="49"/>
        <v>5523.1720680100007</v>
      </c>
      <c r="N218" s="18">
        <f t="shared" ca="1" si="49"/>
        <v>8492.1819892099993</v>
      </c>
      <c r="O218" s="18">
        <f t="shared" ca="1" si="49"/>
        <v>11097.814713989999</v>
      </c>
      <c r="P218" s="18">
        <f t="shared" ca="1" si="49"/>
        <v>11550.295716860001</v>
      </c>
      <c r="Q218" s="18">
        <f t="shared" ca="1" si="49"/>
        <v>10228.118162500001</v>
      </c>
      <c r="R218" s="18">
        <f t="shared" ca="1" si="49"/>
        <v>8720.8316428999988</v>
      </c>
      <c r="S218" s="18">
        <f t="shared" ca="1" si="49"/>
        <v>7534</v>
      </c>
      <c r="T218" s="18">
        <f t="shared" ca="1" si="49"/>
        <v>0</v>
      </c>
      <c r="U218" s="18">
        <f t="shared" ca="1" si="49"/>
        <v>0</v>
      </c>
      <c r="V218" s="18">
        <f t="shared" ca="1" si="49"/>
        <v>0</v>
      </c>
      <c r="W218" s="18">
        <f t="shared" ca="1" si="49"/>
        <v>0</v>
      </c>
      <c r="X218" s="18">
        <f t="shared" ca="1" si="49"/>
        <v>0</v>
      </c>
      <c r="Y218" s="18">
        <f t="shared" ca="1" si="49"/>
        <v>0</v>
      </c>
      <c r="Z218" s="18">
        <f t="shared" ca="1" si="49"/>
        <v>0</v>
      </c>
      <c r="AA218" s="18"/>
      <c r="AB218" s="18"/>
      <c r="AC218" s="18"/>
      <c r="AD218" s="18"/>
      <c r="AE218" s="18"/>
      <c r="AF218" s="18"/>
      <c r="AG218" s="18"/>
      <c r="AH218" s="18"/>
      <c r="AI218" s="18"/>
      <c r="AJ218" s="18"/>
      <c r="AK218" s="18"/>
      <c r="AL218" s="18"/>
      <c r="AM218" s="18"/>
      <c r="AN218" s="18"/>
      <c r="AO218" s="18"/>
      <c r="AP218" s="18"/>
      <c r="AQ218" s="18"/>
      <c r="AR218" s="18"/>
      <c r="AS218" s="18"/>
      <c r="AT218" s="18"/>
      <c r="AU218" s="18"/>
      <c r="AV218" s="18"/>
      <c r="AW218" s="18"/>
      <c r="AX218" s="18"/>
      <c r="AY218" s="18"/>
      <c r="AZ218" s="18"/>
      <c r="BA218" s="18"/>
      <c r="BB218" s="18"/>
      <c r="BC218" s="18"/>
      <c r="BD218" s="18"/>
      <c r="BE218" s="18"/>
      <c r="BF218" s="18"/>
      <c r="BG218" s="18"/>
      <c r="BH218" s="18"/>
      <c r="BI218" s="18"/>
      <c r="BJ218" s="18"/>
      <c r="BK218" s="18"/>
      <c r="BL218" s="18"/>
      <c r="BM218" s="18"/>
      <c r="BN218" s="18"/>
      <c r="BO218" s="18"/>
      <c r="BP218" s="18"/>
      <c r="BQ218" s="18"/>
      <c r="BR218" s="18"/>
      <c r="BS218" s="18"/>
    </row>
    <row r="219" spans="3:16384" outlineLevel="1" x14ac:dyDescent="0.2"/>
    <row r="220" spans="3:16384" outlineLevel="1" x14ac:dyDescent="0.2">
      <c r="C220" s="27">
        <v>1</v>
      </c>
      <c r="D220" t="str" cm="1">
        <f t="array" ref="D220:D224">list_FieldName</f>
        <v>Nkossa</v>
      </c>
      <c r="I220" s="30">
        <f>SUM($L220:$BS220)</f>
        <v>20084.942130070001</v>
      </c>
      <c r="J220" s="26" t="s">
        <v>53</v>
      </c>
      <c r="L220" s="28">
        <v>3718.4774372900001</v>
      </c>
      <c r="M220" s="28">
        <v>3933.9591608999999</v>
      </c>
      <c r="N220" s="28">
        <v>4033.74748451</v>
      </c>
      <c r="O220" s="28">
        <v>1699.4539209700001</v>
      </c>
      <c r="P220" s="28">
        <v>1637.24455949</v>
      </c>
      <c r="Q220" s="28">
        <v>1675.47143852</v>
      </c>
      <c r="R220" s="28">
        <v>1627.5881283900001</v>
      </c>
      <c r="S220" s="172">
        <v>1759</v>
      </c>
      <c r="T220" s="28"/>
      <c r="U220" s="28"/>
      <c r="V220" s="28"/>
      <c r="W220" s="28"/>
      <c r="X220" s="28"/>
      <c r="Y220" s="28"/>
      <c r="Z220" s="28"/>
      <c r="AA220" s="28"/>
      <c r="AB220" s="28"/>
      <c r="AC220" s="28"/>
      <c r="AD220" s="28"/>
      <c r="AE220" s="28"/>
      <c r="AF220" s="28"/>
      <c r="AG220" s="28"/>
      <c r="AH220" s="28"/>
      <c r="AI220" s="28"/>
      <c r="AJ220" s="28"/>
      <c r="AK220" s="28"/>
      <c r="AL220" s="28"/>
      <c r="AM220" s="28"/>
      <c r="AN220" s="28"/>
      <c r="AO220" s="28"/>
      <c r="AP220" s="28"/>
      <c r="AQ220" s="28"/>
      <c r="AR220" s="28"/>
      <c r="AS220" s="28"/>
      <c r="AT220" s="28"/>
      <c r="AU220" s="28"/>
      <c r="AV220" s="28"/>
      <c r="AW220" s="28"/>
      <c r="AX220" s="28"/>
      <c r="AY220" s="28"/>
      <c r="AZ220" s="28"/>
      <c r="BA220" s="28"/>
      <c r="BB220" s="28"/>
      <c r="BC220" s="28"/>
      <c r="BD220" s="28"/>
      <c r="BE220" s="28"/>
      <c r="BF220" s="28"/>
      <c r="BG220" s="28"/>
      <c r="BH220" s="28"/>
      <c r="BI220" s="28"/>
      <c r="BJ220" s="28"/>
      <c r="BK220" s="28"/>
      <c r="BL220" s="28"/>
      <c r="BM220" s="28"/>
      <c r="BN220" s="28"/>
      <c r="BO220" s="28"/>
      <c r="BP220" s="28"/>
      <c r="BQ220" s="28"/>
      <c r="BR220" s="28"/>
      <c r="BS220" s="28"/>
    </row>
    <row r="221" spans="3:16384" outlineLevel="1" x14ac:dyDescent="0.2">
      <c r="C221" s="27">
        <f>C220+1</f>
        <v>2</v>
      </c>
      <c r="D221" t="str">
        <v>Nsoko</v>
      </c>
      <c r="I221" s="30">
        <f>SUM($L221:$BS221)</f>
        <v>384.84230977999999</v>
      </c>
      <c r="J221" s="26" t="s">
        <v>53</v>
      </c>
      <c r="L221" s="28">
        <v>32.868526799999998</v>
      </c>
      <c r="M221" s="28">
        <v>67.578341399999999</v>
      </c>
      <c r="N221" s="28">
        <v>60.087593890000001</v>
      </c>
      <c r="O221" s="28">
        <v>53.552165459999998</v>
      </c>
      <c r="P221" s="28">
        <v>44.507705680000001</v>
      </c>
      <c r="Q221" s="28">
        <v>39.247976549999997</v>
      </c>
      <c r="R221" s="172">
        <v>44</v>
      </c>
      <c r="S221" s="172">
        <v>43</v>
      </c>
      <c r="T221" s="28"/>
      <c r="U221" s="28"/>
      <c r="V221" s="28"/>
      <c r="W221" s="28"/>
      <c r="X221" s="28"/>
      <c r="Y221" s="28"/>
      <c r="Z221" s="28"/>
      <c r="AA221" s="28"/>
      <c r="AB221" s="28"/>
      <c r="AC221" s="28"/>
      <c r="AD221" s="28"/>
      <c r="AE221" s="28"/>
      <c r="AF221" s="28"/>
      <c r="AG221" s="28"/>
      <c r="AH221" s="28"/>
      <c r="AI221" s="28"/>
      <c r="AJ221" s="28"/>
      <c r="AK221" s="28"/>
      <c r="AL221" s="28"/>
      <c r="AM221" s="28"/>
      <c r="AN221" s="28"/>
      <c r="AO221" s="28"/>
      <c r="AP221" s="28"/>
      <c r="AQ221" s="28"/>
      <c r="AR221" s="28"/>
      <c r="AS221" s="28"/>
      <c r="AT221" s="28"/>
      <c r="AU221" s="28"/>
      <c r="AV221" s="28"/>
      <c r="AW221" s="28"/>
      <c r="AX221" s="28"/>
      <c r="AY221" s="28"/>
      <c r="AZ221" s="28"/>
      <c r="BA221" s="28"/>
      <c r="BB221" s="28"/>
      <c r="BC221" s="28"/>
      <c r="BD221" s="28"/>
      <c r="BE221" s="28"/>
      <c r="BF221" s="28"/>
      <c r="BG221" s="28"/>
      <c r="BH221" s="28"/>
      <c r="BI221" s="28"/>
      <c r="BJ221" s="28"/>
      <c r="BK221" s="28"/>
      <c r="BL221" s="28"/>
      <c r="BM221" s="28"/>
      <c r="BN221" s="28"/>
      <c r="BO221" s="28"/>
      <c r="BP221" s="28"/>
      <c r="BQ221" s="28"/>
      <c r="BR221" s="28"/>
      <c r="BS221" s="28"/>
    </row>
    <row r="222" spans="3:16384" outlineLevel="1" x14ac:dyDescent="0.2">
      <c r="C222" s="27">
        <f t="shared" ref="C222:C224" si="50">C221+1</f>
        <v>3</v>
      </c>
      <c r="D222" t="str">
        <v>Moho</v>
      </c>
      <c r="I222" s="30">
        <f>SUM($L222:$BS222)</f>
        <v>66574.916880019999</v>
      </c>
      <c r="J222" s="26" t="s">
        <v>53</v>
      </c>
      <c r="L222" s="28">
        <v>3428.5025865500002</v>
      </c>
      <c r="M222" s="28">
        <v>5523.1720680100007</v>
      </c>
      <c r="N222" s="28">
        <v>8492.1819892099993</v>
      </c>
      <c r="O222" s="28">
        <v>11097.814713989999</v>
      </c>
      <c r="P222" s="28">
        <v>11550.295716860001</v>
      </c>
      <c r="Q222" s="28">
        <v>10228.118162500001</v>
      </c>
      <c r="R222" s="28">
        <v>8720.8316428999988</v>
      </c>
      <c r="S222" s="172">
        <v>7534</v>
      </c>
      <c r="T222" s="28"/>
      <c r="U222" s="28"/>
      <c r="V222" s="28"/>
      <c r="W222" s="28"/>
      <c r="X222" s="28"/>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28"/>
      <c r="AU222" s="28"/>
      <c r="AV222" s="28"/>
      <c r="AW222" s="28"/>
      <c r="AX222" s="28"/>
      <c r="AY222" s="28"/>
      <c r="AZ222" s="28"/>
      <c r="BA222" s="28"/>
      <c r="BB222" s="28"/>
      <c r="BC222" s="28"/>
      <c r="BD222" s="28"/>
      <c r="BE222" s="28"/>
      <c r="BF222" s="28"/>
      <c r="BG222" s="28"/>
      <c r="BH222" s="28"/>
      <c r="BI222" s="28"/>
      <c r="BJ222" s="28"/>
      <c r="BK222" s="28"/>
      <c r="BL222" s="28"/>
      <c r="BM222" s="28"/>
      <c r="BN222" s="28"/>
      <c r="BO222" s="28"/>
      <c r="BP222" s="28"/>
      <c r="BQ222" s="28"/>
      <c r="BR222" s="28"/>
      <c r="BS222" s="28"/>
    </row>
    <row r="223" spans="3:16384" outlineLevel="1" x14ac:dyDescent="0.2">
      <c r="C223" s="27">
        <f t="shared" si="50"/>
        <v>4</v>
      </c>
      <c r="D223" t="str">
        <v>KLL</v>
      </c>
      <c r="I223" s="30">
        <f>SUM($L223:$BS223)</f>
        <v>2979.5817800599998</v>
      </c>
      <c r="J223" s="26" t="s">
        <v>53</v>
      </c>
      <c r="L223" s="28">
        <v>192.33544036000001</v>
      </c>
      <c r="M223" s="28">
        <v>310.28588568000004</v>
      </c>
      <c r="N223" s="28">
        <v>333.79836266000001</v>
      </c>
      <c r="O223" s="28">
        <v>380.99173920999999</v>
      </c>
      <c r="P223" s="28">
        <v>346.67975364999995</v>
      </c>
      <c r="Q223" s="28">
        <v>346.49059849999998</v>
      </c>
      <c r="R223" s="172">
        <v>486</v>
      </c>
      <c r="S223" s="172">
        <v>583</v>
      </c>
      <c r="T223" s="28"/>
      <c r="U223" s="28"/>
      <c r="V223" s="28"/>
      <c r="W223" s="28"/>
      <c r="X223" s="28"/>
      <c r="Y223" s="28"/>
      <c r="Z223" s="28"/>
      <c r="AA223" s="28"/>
      <c r="AB223" s="28"/>
      <c r="AC223" s="28"/>
      <c r="AD223" s="28"/>
      <c r="AE223" s="28"/>
      <c r="AF223" s="28"/>
      <c r="AG223" s="28"/>
      <c r="AH223" s="28"/>
      <c r="AI223" s="28"/>
      <c r="AJ223" s="28"/>
      <c r="AK223" s="28"/>
      <c r="AL223" s="28"/>
      <c r="AM223" s="28"/>
      <c r="AN223" s="28"/>
      <c r="AO223" s="28"/>
      <c r="AP223" s="28"/>
      <c r="AQ223" s="28"/>
      <c r="AR223" s="28"/>
      <c r="AS223" s="28"/>
      <c r="AT223" s="28"/>
      <c r="AU223" s="28"/>
      <c r="AV223" s="28"/>
      <c r="AW223" s="28"/>
      <c r="AX223" s="28"/>
      <c r="AY223" s="28"/>
      <c r="AZ223" s="28"/>
      <c r="BA223" s="28"/>
      <c r="BB223" s="28"/>
      <c r="BC223" s="28"/>
      <c r="BD223" s="28"/>
      <c r="BE223" s="28"/>
      <c r="BF223" s="28"/>
      <c r="BG223" s="28"/>
      <c r="BH223" s="28"/>
      <c r="BI223" s="28"/>
      <c r="BJ223" s="28"/>
      <c r="BK223" s="28"/>
      <c r="BL223" s="28"/>
      <c r="BM223" s="28"/>
      <c r="BN223" s="28"/>
      <c r="BO223" s="28"/>
      <c r="BP223" s="28"/>
      <c r="BQ223" s="28"/>
      <c r="BR223" s="28"/>
      <c r="BS223" s="28"/>
    </row>
    <row r="224" spans="3:16384" outlineLevel="1" x14ac:dyDescent="0.2">
      <c r="C224" s="27">
        <f t="shared" si="50"/>
        <v>5</v>
      </c>
      <c r="D224">
        <v>0</v>
      </c>
      <c r="I224" s="30">
        <f>SUM($L224:$BS224)</f>
        <v>18900.336466280001</v>
      </c>
      <c r="J224" s="26" t="s">
        <v>53</v>
      </c>
      <c r="L224" s="28"/>
      <c r="M224" s="28">
        <v>1438.9502586899998</v>
      </c>
      <c r="N224" s="28">
        <v>2203.5095285899997</v>
      </c>
      <c r="O224" s="28">
        <v>2701.0579838800004</v>
      </c>
      <c r="P224" s="28">
        <v>3173.8251528999999</v>
      </c>
      <c r="Q224" s="28">
        <v>3310.6804960499999</v>
      </c>
      <c r="R224" s="28">
        <v>3011.3130461700002</v>
      </c>
      <c r="S224" s="172">
        <v>3061</v>
      </c>
      <c r="T224" s="28"/>
      <c r="U224" s="28"/>
      <c r="V224" s="28"/>
      <c r="W224" s="28"/>
      <c r="X224" s="28"/>
      <c r="Y224" s="28"/>
      <c r="Z224" s="28"/>
      <c r="AA224" s="28"/>
      <c r="AB224" s="28"/>
      <c r="AC224" s="28"/>
      <c r="AD224" s="28"/>
      <c r="AE224" s="28"/>
      <c r="AF224" s="28"/>
      <c r="AG224" s="28"/>
      <c r="AH224" s="28"/>
      <c r="AI224" s="28"/>
      <c r="AJ224" s="28"/>
      <c r="AK224" s="28"/>
      <c r="AL224" s="28"/>
      <c r="AM224" s="28"/>
      <c r="AN224" s="28"/>
      <c r="AO224" s="28"/>
      <c r="AP224" s="28"/>
      <c r="AQ224" s="28"/>
      <c r="AR224" s="28"/>
      <c r="AS224" s="28"/>
      <c r="AT224" s="28"/>
      <c r="AU224" s="28"/>
      <c r="AV224" s="28"/>
      <c r="AW224" s="28"/>
      <c r="AX224" s="28"/>
      <c r="AY224" s="28"/>
      <c r="AZ224" s="28"/>
      <c r="BA224" s="28"/>
      <c r="BB224" s="28"/>
      <c r="BC224" s="28"/>
      <c r="BD224" s="28"/>
      <c r="BE224" s="28"/>
      <c r="BF224" s="28"/>
      <c r="BG224" s="28"/>
      <c r="BH224" s="28"/>
      <c r="BI224" s="28"/>
      <c r="BJ224" s="28"/>
      <c r="BK224" s="28"/>
      <c r="BL224" s="28"/>
      <c r="BM224" s="28"/>
      <c r="BN224" s="28"/>
      <c r="BO224" s="28"/>
      <c r="BP224" s="28"/>
      <c r="BQ224" s="28"/>
      <c r="BR224" s="28"/>
      <c r="BS224" s="28"/>
    </row>
    <row r="225" spans="11:16384" outlineLevel="1" x14ac:dyDescent="0.2">
      <c r="K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c r="IZ225"/>
      <c r="JA225"/>
      <c r="JB225"/>
      <c r="JC225"/>
      <c r="JD225"/>
      <c r="JE225"/>
      <c r="JF225"/>
      <c r="JG225"/>
      <c r="JH225"/>
      <c r="JI225"/>
      <c r="JJ225"/>
      <c r="JK225"/>
      <c r="JL225"/>
      <c r="JM225"/>
      <c r="JN225"/>
      <c r="JO225"/>
      <c r="JP225"/>
      <c r="JQ225"/>
      <c r="JR225"/>
      <c r="JS225"/>
      <c r="JT225"/>
      <c r="JU225"/>
      <c r="JV225"/>
      <c r="JW225"/>
      <c r="JX225"/>
      <c r="JY225"/>
      <c r="JZ225"/>
      <c r="KA225"/>
      <c r="KB225"/>
      <c r="KC225"/>
      <c r="KD225"/>
      <c r="KE225"/>
      <c r="KF225"/>
      <c r="KG225"/>
      <c r="KH225"/>
      <c r="KI225"/>
      <c r="KJ225"/>
      <c r="KK225"/>
      <c r="KL225"/>
      <c r="KM225"/>
      <c r="KN225"/>
      <c r="KO225"/>
      <c r="KP225"/>
      <c r="KQ225"/>
      <c r="KR225"/>
      <c r="KS225"/>
      <c r="KT225"/>
      <c r="KU225"/>
      <c r="KV225"/>
      <c r="KW225"/>
      <c r="KX225"/>
      <c r="KY225"/>
      <c r="KZ225"/>
      <c r="LA225"/>
      <c r="LB225"/>
      <c r="LC225"/>
      <c r="LD225"/>
      <c r="LE225"/>
      <c r="LF225"/>
      <c r="LG225"/>
      <c r="LH225"/>
      <c r="LI225"/>
      <c r="LJ225"/>
      <c r="LK225"/>
      <c r="LL225"/>
      <c r="LM225"/>
      <c r="LN225"/>
      <c r="LO225"/>
      <c r="LP225"/>
      <c r="LQ225"/>
      <c r="LR225"/>
      <c r="LS225"/>
      <c r="LT225"/>
      <c r="LU225"/>
      <c r="LV225"/>
      <c r="LW225"/>
      <c r="LX225"/>
      <c r="LY225"/>
      <c r="LZ225"/>
      <c r="MA225"/>
      <c r="MB225"/>
      <c r="MC225"/>
      <c r="MD225"/>
      <c r="ME225"/>
      <c r="MF225"/>
      <c r="MG225"/>
      <c r="MH225"/>
      <c r="MI225"/>
      <c r="MJ225"/>
      <c r="MK225"/>
      <c r="ML225"/>
      <c r="MM225"/>
      <c r="MN225"/>
      <c r="MO225"/>
      <c r="MP225"/>
      <c r="MQ225"/>
      <c r="MR225"/>
      <c r="MS225"/>
      <c r="MT225"/>
      <c r="MU225"/>
      <c r="MV225"/>
      <c r="MW225"/>
      <c r="MX225"/>
      <c r="MY225"/>
      <c r="MZ225"/>
      <c r="NA225"/>
      <c r="NB225"/>
      <c r="NC225"/>
      <c r="ND225"/>
      <c r="NE225"/>
      <c r="NF225"/>
      <c r="NG225"/>
      <c r="NH225"/>
      <c r="NI225"/>
      <c r="NJ225"/>
      <c r="NK225"/>
      <c r="NL225"/>
      <c r="NM225"/>
      <c r="NN225"/>
      <c r="NO225"/>
      <c r="NP225"/>
      <c r="NQ225"/>
      <c r="NR225"/>
      <c r="NS225"/>
      <c r="NT225"/>
      <c r="NU225"/>
      <c r="NV225"/>
      <c r="NW225"/>
      <c r="NX225"/>
      <c r="NY225"/>
      <c r="NZ225"/>
      <c r="OA225"/>
      <c r="OB225"/>
      <c r="OC225"/>
      <c r="OD225"/>
      <c r="OE225"/>
      <c r="OF225"/>
      <c r="OG225"/>
      <c r="OH225"/>
      <c r="OI225"/>
      <c r="OJ225"/>
      <c r="OK225"/>
      <c r="OL225"/>
      <c r="OM225"/>
      <c r="ON225"/>
      <c r="OO225"/>
      <c r="OP225"/>
      <c r="OQ225"/>
      <c r="OR225"/>
      <c r="OS225"/>
      <c r="OT225"/>
      <c r="OU225"/>
      <c r="OV225"/>
      <c r="OW225"/>
      <c r="OX225"/>
      <c r="OY225"/>
      <c r="OZ225"/>
      <c r="PA225"/>
      <c r="PB225"/>
      <c r="PC225"/>
      <c r="PD225"/>
      <c r="PE225"/>
      <c r="PF225"/>
      <c r="PG225"/>
      <c r="PH225"/>
      <c r="PI225"/>
      <c r="PJ225"/>
      <c r="PK225"/>
      <c r="PL225"/>
      <c r="PM225"/>
      <c r="PN225"/>
      <c r="PO225"/>
      <c r="PP225"/>
      <c r="PQ225"/>
      <c r="PR225"/>
      <c r="PS225"/>
      <c r="PT225"/>
      <c r="PU225"/>
      <c r="PV225"/>
      <c r="PW225"/>
      <c r="PX225"/>
      <c r="PY225"/>
      <c r="PZ225"/>
      <c r="QA225"/>
      <c r="QB225"/>
      <c r="QC225"/>
      <c r="QD225"/>
      <c r="QE225"/>
      <c r="QF225"/>
      <c r="QG225"/>
      <c r="QH225"/>
      <c r="QI225"/>
      <c r="QJ225"/>
      <c r="QK225"/>
      <c r="QL225"/>
      <c r="QM225"/>
      <c r="QN225"/>
      <c r="QO225"/>
      <c r="QP225"/>
      <c r="QQ225"/>
      <c r="QR225"/>
      <c r="QS225"/>
      <c r="QT225"/>
      <c r="QU225"/>
      <c r="QV225"/>
      <c r="QW225"/>
      <c r="QX225"/>
      <c r="QY225"/>
      <c r="QZ225"/>
      <c r="RA225"/>
      <c r="RB225"/>
      <c r="RC225"/>
      <c r="RD225"/>
      <c r="RE225"/>
      <c r="RF225"/>
      <c r="RG225"/>
      <c r="RH225"/>
      <c r="RI225"/>
      <c r="RJ225"/>
      <c r="RK225"/>
      <c r="RL225"/>
      <c r="RM225"/>
      <c r="RN225"/>
      <c r="RO225"/>
      <c r="RP225"/>
      <c r="RQ225"/>
      <c r="RR225"/>
      <c r="RS225"/>
      <c r="RT225"/>
      <c r="RU225"/>
      <c r="RV225"/>
      <c r="RW225"/>
      <c r="RX225"/>
      <c r="RY225"/>
      <c r="RZ225"/>
      <c r="SA225"/>
      <c r="SB225"/>
      <c r="SC225"/>
      <c r="SD225"/>
      <c r="SE225"/>
      <c r="SF225"/>
      <c r="SG225"/>
      <c r="SH225"/>
      <c r="SI225"/>
      <c r="SJ225"/>
      <c r="SK225"/>
      <c r="SL225"/>
      <c r="SM225"/>
      <c r="SN225"/>
      <c r="SO225"/>
      <c r="SP225"/>
      <c r="SQ225"/>
      <c r="SR225"/>
      <c r="SS225"/>
      <c r="ST225"/>
      <c r="SU225"/>
      <c r="SV225"/>
      <c r="SW225"/>
      <c r="SX225"/>
      <c r="SY225"/>
      <c r="SZ225"/>
      <c r="TA225"/>
      <c r="TB225"/>
      <c r="TC225"/>
      <c r="TD225"/>
      <c r="TE225"/>
      <c r="TF225"/>
      <c r="TG225"/>
      <c r="TH225"/>
      <c r="TI225"/>
      <c r="TJ225"/>
      <c r="TK225"/>
      <c r="TL225"/>
      <c r="TM225"/>
      <c r="TN225"/>
      <c r="TO225"/>
      <c r="TP225"/>
      <c r="TQ225"/>
      <c r="TR225"/>
      <c r="TS225"/>
      <c r="TT225"/>
      <c r="TU225"/>
      <c r="TV225"/>
      <c r="TW225"/>
      <c r="TX225"/>
      <c r="TY225"/>
      <c r="TZ225"/>
      <c r="UA225"/>
      <c r="UB225"/>
      <c r="UC225"/>
      <c r="UD225"/>
      <c r="UE225"/>
      <c r="UF225"/>
      <c r="UG225"/>
      <c r="UH225"/>
      <c r="UI225"/>
      <c r="UJ225"/>
      <c r="UK225"/>
      <c r="UL225"/>
      <c r="UM225"/>
      <c r="UN225"/>
      <c r="UO225"/>
      <c r="UP225"/>
      <c r="UQ225"/>
      <c r="UR225"/>
      <c r="US225"/>
      <c r="UT225"/>
      <c r="UU225"/>
      <c r="UV225"/>
      <c r="UW225"/>
      <c r="UX225"/>
      <c r="UY225"/>
      <c r="UZ225"/>
      <c r="VA225"/>
      <c r="VB225"/>
      <c r="VC225"/>
      <c r="VD225"/>
      <c r="VE225"/>
      <c r="VF225"/>
      <c r="VG225"/>
      <c r="VH225"/>
      <c r="VI225"/>
      <c r="VJ225"/>
      <c r="VK225"/>
      <c r="VL225"/>
      <c r="VM225"/>
      <c r="VN225"/>
      <c r="VO225"/>
      <c r="VP225"/>
      <c r="VQ225"/>
      <c r="VR225"/>
      <c r="VS225"/>
      <c r="VT225"/>
      <c r="VU225"/>
      <c r="VV225"/>
      <c r="VW225"/>
      <c r="VX225"/>
      <c r="VY225"/>
      <c r="VZ225"/>
      <c r="WA225"/>
      <c r="WB225"/>
      <c r="WC225"/>
      <c r="WD225"/>
      <c r="WE225"/>
      <c r="WF225"/>
      <c r="WG225"/>
      <c r="WH225"/>
      <c r="WI225"/>
      <c r="WJ225"/>
      <c r="WK225"/>
      <c r="WL225"/>
      <c r="WM225"/>
      <c r="WN225"/>
      <c r="WO225"/>
      <c r="WP225"/>
      <c r="WQ225"/>
      <c r="WR225"/>
      <c r="WS225"/>
      <c r="WT225"/>
      <c r="WU225"/>
      <c r="WV225"/>
      <c r="WW225"/>
      <c r="WX225"/>
      <c r="WY225"/>
      <c r="WZ225"/>
      <c r="XA225"/>
      <c r="XB225"/>
      <c r="XC225"/>
      <c r="XD225"/>
      <c r="XE225"/>
      <c r="XF225"/>
      <c r="XG225"/>
      <c r="XH225"/>
      <c r="XI225"/>
      <c r="XJ225"/>
      <c r="XK225"/>
      <c r="XL225"/>
      <c r="XM225"/>
      <c r="XN225"/>
      <c r="XO225"/>
      <c r="XP225"/>
      <c r="XQ225"/>
      <c r="XR225"/>
      <c r="XS225"/>
      <c r="XT225"/>
      <c r="XU225"/>
      <c r="XV225"/>
      <c r="XW225"/>
      <c r="XX225"/>
      <c r="XY225"/>
      <c r="XZ225"/>
      <c r="YA225"/>
      <c r="YB225"/>
      <c r="YC225"/>
      <c r="YD225"/>
      <c r="YE225"/>
      <c r="YF225"/>
      <c r="YG225"/>
      <c r="YH225"/>
      <c r="YI225"/>
      <c r="YJ225"/>
      <c r="YK225"/>
      <c r="YL225"/>
      <c r="YM225"/>
      <c r="YN225"/>
      <c r="YO225"/>
      <c r="YP225"/>
      <c r="YQ225"/>
      <c r="YR225"/>
      <c r="YS225"/>
      <c r="YT225"/>
      <c r="YU225"/>
      <c r="YV225"/>
      <c r="YW225"/>
      <c r="YX225"/>
      <c r="YY225"/>
      <c r="YZ225"/>
      <c r="ZA225"/>
      <c r="ZB225"/>
      <c r="ZC225"/>
      <c r="ZD225"/>
      <c r="ZE225"/>
      <c r="ZF225"/>
      <c r="ZG225"/>
      <c r="ZH225"/>
      <c r="ZI225"/>
      <c r="ZJ225"/>
      <c r="ZK225"/>
      <c r="ZL225"/>
      <c r="ZM225"/>
      <c r="ZN225"/>
      <c r="ZO225"/>
      <c r="ZP225"/>
      <c r="ZQ225"/>
      <c r="ZR225"/>
      <c r="ZS225"/>
      <c r="ZT225"/>
      <c r="ZU225"/>
      <c r="ZV225"/>
      <c r="ZW225"/>
      <c r="ZX225"/>
      <c r="ZY225"/>
      <c r="ZZ225"/>
      <c r="AAA225"/>
      <c r="AAB225"/>
      <c r="AAC225"/>
      <c r="AAD225"/>
      <c r="AAE225"/>
      <c r="AAF225"/>
      <c r="AAG225"/>
      <c r="AAH225"/>
      <c r="AAI225"/>
      <c r="AAJ225"/>
      <c r="AAK225"/>
      <c r="AAL225"/>
      <c r="AAM225"/>
      <c r="AAN225"/>
      <c r="AAO225"/>
      <c r="AAP225"/>
      <c r="AAQ225"/>
      <c r="AAR225"/>
      <c r="AAS225"/>
      <c r="AAT225"/>
      <c r="AAU225"/>
      <c r="AAV225"/>
      <c r="AAW225"/>
      <c r="AAX225"/>
      <c r="AAY225"/>
      <c r="AAZ225"/>
      <c r="ABA225"/>
      <c r="ABB225"/>
      <c r="ABC225"/>
      <c r="ABD225"/>
      <c r="ABE225"/>
      <c r="ABF225"/>
      <c r="ABG225"/>
      <c r="ABH225"/>
      <c r="ABI225"/>
      <c r="ABJ225"/>
      <c r="ABK225"/>
      <c r="ABL225"/>
      <c r="ABM225"/>
      <c r="ABN225"/>
      <c r="ABO225"/>
      <c r="ABP225"/>
      <c r="ABQ225"/>
      <c r="ABR225"/>
      <c r="ABS225"/>
      <c r="ABT225"/>
      <c r="ABU225"/>
      <c r="ABV225"/>
      <c r="ABW225"/>
      <c r="ABX225"/>
      <c r="ABY225"/>
      <c r="ABZ225"/>
      <c r="ACA225"/>
      <c r="ACB225"/>
      <c r="ACC225"/>
      <c r="ACD225"/>
      <c r="ACE225"/>
      <c r="ACF225"/>
      <c r="ACG225"/>
      <c r="ACH225"/>
      <c r="ACI225"/>
      <c r="ACJ225"/>
      <c r="ACK225"/>
      <c r="ACL225"/>
      <c r="ACM225"/>
      <c r="ACN225"/>
      <c r="ACO225"/>
      <c r="ACP225"/>
      <c r="ACQ225"/>
      <c r="ACR225"/>
      <c r="ACS225"/>
      <c r="ACT225"/>
      <c r="ACU225"/>
      <c r="ACV225"/>
      <c r="ACW225"/>
      <c r="ACX225"/>
      <c r="ACY225"/>
      <c r="ACZ225"/>
      <c r="ADA225"/>
      <c r="ADB225"/>
      <c r="ADC225"/>
      <c r="ADD225"/>
      <c r="ADE225"/>
      <c r="ADF225"/>
      <c r="ADG225"/>
      <c r="ADH225"/>
      <c r="ADI225"/>
      <c r="ADJ225"/>
      <c r="ADK225"/>
      <c r="ADL225"/>
      <c r="ADM225"/>
      <c r="ADN225"/>
      <c r="ADO225"/>
      <c r="ADP225"/>
      <c r="ADQ225"/>
      <c r="ADR225"/>
      <c r="ADS225"/>
      <c r="ADT225"/>
      <c r="ADU225"/>
      <c r="ADV225"/>
      <c r="ADW225"/>
      <c r="ADX225"/>
      <c r="ADY225"/>
      <c r="ADZ225"/>
      <c r="AEA225"/>
      <c r="AEB225"/>
      <c r="AEC225"/>
      <c r="AED225"/>
      <c r="AEE225"/>
      <c r="AEF225"/>
      <c r="AEG225"/>
      <c r="AEH225"/>
      <c r="AEI225"/>
      <c r="AEJ225"/>
      <c r="AEK225"/>
      <c r="AEL225"/>
      <c r="AEM225"/>
      <c r="AEN225"/>
      <c r="AEO225"/>
      <c r="AEP225"/>
      <c r="AEQ225"/>
      <c r="AER225"/>
      <c r="AES225"/>
      <c r="AET225"/>
      <c r="AEU225"/>
      <c r="AEV225"/>
      <c r="AEW225"/>
      <c r="AEX225"/>
      <c r="AEY225"/>
      <c r="AEZ225"/>
      <c r="AFA225"/>
      <c r="AFB225"/>
      <c r="AFC225"/>
      <c r="AFD225"/>
      <c r="AFE225"/>
      <c r="AFF225"/>
      <c r="AFG225"/>
      <c r="AFH225"/>
      <c r="AFI225"/>
      <c r="AFJ225"/>
      <c r="AFK225"/>
      <c r="AFL225"/>
      <c r="AFM225"/>
      <c r="AFN225"/>
      <c r="AFO225"/>
      <c r="AFP225"/>
      <c r="AFQ225"/>
      <c r="AFR225"/>
      <c r="AFS225"/>
      <c r="AFT225"/>
      <c r="AFU225"/>
      <c r="AFV225"/>
      <c r="AFW225"/>
      <c r="AFX225"/>
      <c r="AFY225"/>
      <c r="AFZ225"/>
      <c r="AGA225"/>
      <c r="AGB225"/>
      <c r="AGC225"/>
      <c r="AGD225"/>
      <c r="AGE225"/>
      <c r="AGF225"/>
      <c r="AGG225"/>
      <c r="AGH225"/>
      <c r="AGI225"/>
      <c r="AGJ225"/>
      <c r="AGK225"/>
      <c r="AGL225"/>
      <c r="AGM225"/>
      <c r="AGN225"/>
      <c r="AGO225"/>
      <c r="AGP225"/>
      <c r="AGQ225"/>
      <c r="AGR225"/>
      <c r="AGS225"/>
      <c r="AGT225"/>
      <c r="AGU225"/>
      <c r="AGV225"/>
      <c r="AGW225"/>
      <c r="AGX225"/>
      <c r="AGY225"/>
      <c r="AGZ225"/>
      <c r="AHA225"/>
      <c r="AHB225"/>
      <c r="AHC225"/>
      <c r="AHD225"/>
      <c r="AHE225"/>
      <c r="AHF225"/>
      <c r="AHG225"/>
      <c r="AHH225"/>
      <c r="AHI225"/>
      <c r="AHJ225"/>
      <c r="AHK225"/>
      <c r="AHL225"/>
      <c r="AHM225"/>
      <c r="AHN225"/>
      <c r="AHO225"/>
      <c r="AHP225"/>
      <c r="AHQ225"/>
      <c r="AHR225"/>
      <c r="AHS225"/>
      <c r="AHT225"/>
      <c r="AHU225"/>
      <c r="AHV225"/>
      <c r="AHW225"/>
      <c r="AHX225"/>
      <c r="AHY225"/>
      <c r="AHZ225"/>
      <c r="AIA225"/>
      <c r="AIB225"/>
      <c r="AIC225"/>
      <c r="AID225"/>
      <c r="AIE225"/>
      <c r="AIF225"/>
      <c r="AIG225"/>
      <c r="AIH225"/>
      <c r="AII225"/>
      <c r="AIJ225"/>
      <c r="AIK225"/>
      <c r="AIL225"/>
      <c r="AIM225"/>
      <c r="AIN225"/>
      <c r="AIO225"/>
      <c r="AIP225"/>
      <c r="AIQ225"/>
      <c r="AIR225"/>
      <c r="AIS225"/>
      <c r="AIT225"/>
      <c r="AIU225"/>
      <c r="AIV225"/>
      <c r="AIW225"/>
      <c r="AIX225"/>
      <c r="AIY225"/>
      <c r="AIZ225"/>
      <c r="AJA225"/>
      <c r="AJB225"/>
      <c r="AJC225"/>
      <c r="AJD225"/>
      <c r="AJE225"/>
      <c r="AJF225"/>
      <c r="AJG225"/>
      <c r="AJH225"/>
      <c r="AJI225"/>
      <c r="AJJ225"/>
      <c r="AJK225"/>
      <c r="AJL225"/>
      <c r="AJM225"/>
      <c r="AJN225"/>
      <c r="AJO225"/>
      <c r="AJP225"/>
      <c r="AJQ225"/>
      <c r="AJR225"/>
      <c r="AJS225"/>
      <c r="AJT225"/>
      <c r="AJU225"/>
      <c r="AJV225"/>
      <c r="AJW225"/>
      <c r="AJX225"/>
      <c r="AJY225"/>
      <c r="AJZ225"/>
      <c r="AKA225"/>
      <c r="AKB225"/>
      <c r="AKC225"/>
      <c r="AKD225"/>
      <c r="AKE225"/>
      <c r="AKF225"/>
      <c r="AKG225"/>
      <c r="AKH225"/>
      <c r="AKI225"/>
      <c r="AKJ225"/>
      <c r="AKK225"/>
      <c r="AKL225"/>
      <c r="AKM225"/>
      <c r="AKN225"/>
      <c r="AKO225"/>
      <c r="AKP225"/>
      <c r="AKQ225"/>
      <c r="AKR225"/>
      <c r="AKS225"/>
      <c r="AKT225"/>
      <c r="AKU225"/>
      <c r="AKV225"/>
      <c r="AKW225"/>
      <c r="AKX225"/>
      <c r="AKY225"/>
      <c r="AKZ225"/>
      <c r="ALA225"/>
      <c r="ALB225"/>
      <c r="ALC225"/>
      <c r="ALD225"/>
      <c r="ALE225"/>
      <c r="ALF225"/>
      <c r="ALG225"/>
      <c r="ALH225"/>
      <c r="ALI225"/>
      <c r="ALJ225"/>
      <c r="ALK225"/>
      <c r="ALL225"/>
      <c r="ALM225"/>
      <c r="ALN225"/>
      <c r="ALO225"/>
      <c r="ALP225"/>
      <c r="ALQ225"/>
      <c r="ALR225"/>
      <c r="ALS225"/>
      <c r="ALT225"/>
      <c r="ALU225"/>
      <c r="ALV225"/>
      <c r="ALW225"/>
      <c r="ALX225"/>
      <c r="ALY225"/>
      <c r="ALZ225"/>
      <c r="AMA225"/>
      <c r="AMB225"/>
      <c r="AMC225"/>
      <c r="AMD225"/>
      <c r="AME225"/>
      <c r="AMF225"/>
      <c r="AMG225"/>
      <c r="AMH225"/>
      <c r="AMI225"/>
      <c r="AMJ225"/>
      <c r="AMK225"/>
      <c r="AML225"/>
      <c r="AMM225"/>
      <c r="AMN225"/>
      <c r="AMO225"/>
      <c r="AMP225"/>
      <c r="AMQ225"/>
      <c r="AMR225"/>
      <c r="AMS225"/>
      <c r="AMT225"/>
      <c r="AMU225"/>
      <c r="AMV225"/>
      <c r="AMW225"/>
      <c r="AMX225"/>
      <c r="AMY225"/>
      <c r="AMZ225"/>
      <c r="ANA225"/>
      <c r="ANB225"/>
      <c r="ANC225"/>
      <c r="AND225"/>
      <c r="ANE225"/>
      <c r="ANF225"/>
      <c r="ANG225"/>
      <c r="ANH225"/>
      <c r="ANI225"/>
      <c r="ANJ225"/>
      <c r="ANK225"/>
      <c r="ANL225"/>
      <c r="ANM225"/>
      <c r="ANN225"/>
      <c r="ANO225"/>
      <c r="ANP225"/>
      <c r="ANQ225"/>
      <c r="ANR225"/>
      <c r="ANS225"/>
      <c r="ANT225"/>
      <c r="ANU225"/>
      <c r="ANV225"/>
      <c r="ANW225"/>
      <c r="ANX225"/>
      <c r="ANY225"/>
      <c r="ANZ225"/>
      <c r="AOA225"/>
      <c r="AOB225"/>
      <c r="AOC225"/>
      <c r="AOD225"/>
      <c r="AOE225"/>
      <c r="AOF225"/>
      <c r="AOG225"/>
      <c r="AOH225"/>
      <c r="AOI225"/>
      <c r="AOJ225"/>
      <c r="AOK225"/>
      <c r="AOL225"/>
      <c r="AOM225"/>
      <c r="AON225"/>
      <c r="AOO225"/>
      <c r="AOP225"/>
      <c r="AOQ225"/>
      <c r="AOR225"/>
      <c r="AOS225"/>
      <c r="AOT225"/>
      <c r="AOU225"/>
      <c r="AOV225"/>
      <c r="AOW225"/>
      <c r="AOX225"/>
      <c r="AOY225"/>
      <c r="AOZ225"/>
      <c r="APA225"/>
      <c r="APB225"/>
      <c r="APC225"/>
      <c r="APD225"/>
      <c r="APE225"/>
      <c r="APF225"/>
      <c r="APG225"/>
      <c r="APH225"/>
      <c r="API225"/>
      <c r="APJ225"/>
      <c r="APK225"/>
      <c r="APL225"/>
      <c r="APM225"/>
      <c r="APN225"/>
      <c r="APO225"/>
      <c r="APP225"/>
      <c r="APQ225"/>
      <c r="APR225"/>
      <c r="APS225"/>
      <c r="APT225"/>
      <c r="APU225"/>
      <c r="APV225"/>
      <c r="APW225"/>
      <c r="APX225"/>
      <c r="APY225"/>
      <c r="APZ225"/>
      <c r="AQA225"/>
      <c r="AQB225"/>
      <c r="AQC225"/>
      <c r="AQD225"/>
      <c r="AQE225"/>
      <c r="AQF225"/>
      <c r="AQG225"/>
      <c r="AQH225"/>
      <c r="AQI225"/>
      <c r="AQJ225"/>
      <c r="AQK225"/>
      <c r="AQL225"/>
      <c r="AQM225"/>
      <c r="AQN225"/>
      <c r="AQO225"/>
      <c r="AQP225"/>
      <c r="AQQ225"/>
      <c r="AQR225"/>
      <c r="AQS225"/>
      <c r="AQT225"/>
      <c r="AQU225"/>
      <c r="AQV225"/>
      <c r="AQW225"/>
      <c r="AQX225"/>
      <c r="AQY225"/>
      <c r="AQZ225"/>
      <c r="ARA225"/>
      <c r="ARB225"/>
      <c r="ARC225"/>
      <c r="ARD225"/>
      <c r="ARE225"/>
      <c r="ARF225"/>
      <c r="ARG225"/>
      <c r="ARH225"/>
      <c r="ARI225"/>
      <c r="ARJ225"/>
      <c r="ARK225"/>
      <c r="ARL225"/>
      <c r="ARM225"/>
      <c r="ARN225"/>
      <c r="ARO225"/>
      <c r="ARP225"/>
      <c r="ARQ225"/>
      <c r="ARR225"/>
      <c r="ARS225"/>
      <c r="ART225"/>
      <c r="ARU225"/>
      <c r="ARV225"/>
      <c r="ARW225"/>
      <c r="ARX225"/>
      <c r="ARY225"/>
      <c r="ARZ225"/>
      <c r="ASA225"/>
      <c r="ASB225"/>
      <c r="ASC225"/>
      <c r="ASD225"/>
      <c r="ASE225"/>
      <c r="ASF225"/>
      <c r="ASG225"/>
      <c r="ASH225"/>
      <c r="ASI225"/>
      <c r="ASJ225"/>
      <c r="ASK225"/>
      <c r="ASL225"/>
      <c r="ASM225"/>
      <c r="ASN225"/>
      <c r="ASO225"/>
      <c r="ASP225"/>
      <c r="ASQ225"/>
      <c r="ASR225"/>
      <c r="ASS225"/>
      <c r="AST225"/>
      <c r="ASU225"/>
      <c r="ASV225"/>
      <c r="ASW225"/>
      <c r="ASX225"/>
      <c r="ASY225"/>
      <c r="ASZ225"/>
      <c r="ATA225"/>
      <c r="ATB225"/>
      <c r="ATC225"/>
      <c r="ATD225"/>
      <c r="ATE225"/>
      <c r="ATF225"/>
      <c r="ATG225"/>
      <c r="ATH225"/>
      <c r="ATI225"/>
      <c r="ATJ225"/>
      <c r="ATK225"/>
      <c r="ATL225"/>
      <c r="ATM225"/>
      <c r="ATN225"/>
      <c r="ATO225"/>
      <c r="ATP225"/>
      <c r="ATQ225"/>
      <c r="ATR225"/>
      <c r="ATS225"/>
      <c r="ATT225"/>
      <c r="ATU225"/>
      <c r="ATV225"/>
      <c r="ATW225"/>
      <c r="ATX225"/>
      <c r="ATY225"/>
      <c r="ATZ225"/>
      <c r="AUA225"/>
      <c r="AUB225"/>
      <c r="AUC225"/>
      <c r="AUD225"/>
      <c r="AUE225"/>
      <c r="AUF225"/>
      <c r="AUG225"/>
      <c r="AUH225"/>
      <c r="AUI225"/>
      <c r="AUJ225"/>
      <c r="AUK225"/>
      <c r="AUL225"/>
      <c r="AUM225"/>
      <c r="AUN225"/>
      <c r="AUO225"/>
      <c r="AUP225"/>
      <c r="AUQ225"/>
      <c r="AUR225"/>
      <c r="AUS225"/>
      <c r="AUT225"/>
      <c r="AUU225"/>
      <c r="AUV225"/>
      <c r="AUW225"/>
      <c r="AUX225"/>
      <c r="AUY225"/>
      <c r="AUZ225"/>
      <c r="AVA225"/>
      <c r="AVB225"/>
      <c r="AVC225"/>
      <c r="AVD225"/>
      <c r="AVE225"/>
      <c r="AVF225"/>
      <c r="AVG225"/>
      <c r="AVH225"/>
      <c r="AVI225"/>
      <c r="AVJ225"/>
      <c r="AVK225"/>
      <c r="AVL225"/>
      <c r="AVM225"/>
      <c r="AVN225"/>
      <c r="AVO225"/>
      <c r="AVP225"/>
      <c r="AVQ225"/>
      <c r="AVR225"/>
      <c r="AVS225"/>
      <c r="AVT225"/>
      <c r="AVU225"/>
      <c r="AVV225"/>
      <c r="AVW225"/>
      <c r="AVX225"/>
      <c r="AVY225"/>
      <c r="AVZ225"/>
      <c r="AWA225"/>
      <c r="AWB225"/>
      <c r="AWC225"/>
      <c r="AWD225"/>
      <c r="AWE225"/>
      <c r="AWF225"/>
      <c r="AWG225"/>
      <c r="AWH225"/>
      <c r="AWI225"/>
      <c r="AWJ225"/>
      <c r="AWK225"/>
      <c r="AWL225"/>
      <c r="AWM225"/>
      <c r="AWN225"/>
      <c r="AWO225"/>
      <c r="AWP225"/>
      <c r="AWQ225"/>
      <c r="AWR225"/>
      <c r="AWS225"/>
      <c r="AWT225"/>
      <c r="AWU225"/>
      <c r="AWV225"/>
      <c r="AWW225"/>
      <c r="AWX225"/>
      <c r="AWY225"/>
      <c r="AWZ225"/>
      <c r="AXA225"/>
      <c r="AXB225"/>
      <c r="AXC225"/>
      <c r="AXD225"/>
      <c r="AXE225"/>
      <c r="AXF225"/>
      <c r="AXG225"/>
      <c r="AXH225"/>
      <c r="AXI225"/>
      <c r="AXJ225"/>
      <c r="AXK225"/>
      <c r="AXL225"/>
      <c r="AXM225"/>
      <c r="AXN225"/>
      <c r="AXO225"/>
      <c r="AXP225"/>
      <c r="AXQ225"/>
      <c r="AXR225"/>
      <c r="AXS225"/>
      <c r="AXT225"/>
      <c r="AXU225"/>
      <c r="AXV225"/>
      <c r="AXW225"/>
      <c r="AXX225"/>
      <c r="AXY225"/>
      <c r="AXZ225"/>
      <c r="AYA225"/>
      <c r="AYB225"/>
      <c r="AYC225"/>
      <c r="AYD225"/>
      <c r="AYE225"/>
      <c r="AYF225"/>
      <c r="AYG225"/>
      <c r="AYH225"/>
      <c r="AYI225"/>
      <c r="AYJ225"/>
      <c r="AYK225"/>
      <c r="AYL225"/>
      <c r="AYM225"/>
      <c r="AYN225"/>
      <c r="AYO225"/>
      <c r="AYP225"/>
      <c r="AYQ225"/>
      <c r="AYR225"/>
      <c r="AYS225"/>
      <c r="AYT225"/>
      <c r="AYU225"/>
      <c r="AYV225"/>
      <c r="AYW225"/>
      <c r="AYX225"/>
      <c r="AYY225"/>
      <c r="AYZ225"/>
      <c r="AZA225"/>
      <c r="AZB225"/>
      <c r="AZC225"/>
      <c r="AZD225"/>
      <c r="AZE225"/>
      <c r="AZF225"/>
      <c r="AZG225"/>
      <c r="AZH225"/>
      <c r="AZI225"/>
      <c r="AZJ225"/>
      <c r="AZK225"/>
      <c r="AZL225"/>
      <c r="AZM225"/>
      <c r="AZN225"/>
      <c r="AZO225"/>
      <c r="AZP225"/>
      <c r="AZQ225"/>
      <c r="AZR225"/>
      <c r="AZS225"/>
      <c r="AZT225"/>
      <c r="AZU225"/>
      <c r="AZV225"/>
      <c r="AZW225"/>
      <c r="AZX225"/>
      <c r="AZY225"/>
      <c r="AZZ225"/>
      <c r="BAA225"/>
      <c r="BAB225"/>
      <c r="BAC225"/>
      <c r="BAD225"/>
      <c r="BAE225"/>
      <c r="BAF225"/>
      <c r="BAG225"/>
      <c r="BAH225"/>
      <c r="BAI225"/>
      <c r="BAJ225"/>
      <c r="BAK225"/>
      <c r="BAL225"/>
      <c r="BAM225"/>
      <c r="BAN225"/>
      <c r="BAO225"/>
      <c r="BAP225"/>
      <c r="BAQ225"/>
      <c r="BAR225"/>
      <c r="BAS225"/>
      <c r="BAT225"/>
      <c r="BAU225"/>
      <c r="BAV225"/>
      <c r="BAW225"/>
      <c r="BAX225"/>
      <c r="BAY225"/>
      <c r="BAZ225"/>
      <c r="BBA225"/>
      <c r="BBB225"/>
      <c r="BBC225"/>
      <c r="BBD225"/>
      <c r="BBE225"/>
      <c r="BBF225"/>
      <c r="BBG225"/>
      <c r="BBH225"/>
      <c r="BBI225"/>
      <c r="BBJ225"/>
      <c r="BBK225"/>
      <c r="BBL225"/>
      <c r="BBM225"/>
      <c r="BBN225"/>
      <c r="BBO225"/>
      <c r="BBP225"/>
      <c r="BBQ225"/>
      <c r="BBR225"/>
      <c r="BBS225"/>
      <c r="BBT225"/>
      <c r="BBU225"/>
      <c r="BBV225"/>
      <c r="BBW225"/>
      <c r="BBX225"/>
      <c r="BBY225"/>
      <c r="BBZ225"/>
      <c r="BCA225"/>
      <c r="BCB225"/>
      <c r="BCC225"/>
      <c r="BCD225"/>
      <c r="BCE225"/>
      <c r="BCF225"/>
      <c r="BCG225"/>
      <c r="BCH225"/>
      <c r="BCI225"/>
      <c r="BCJ225"/>
      <c r="BCK225"/>
      <c r="BCL225"/>
      <c r="BCM225"/>
      <c r="BCN225"/>
      <c r="BCO225"/>
      <c r="BCP225"/>
      <c r="BCQ225"/>
      <c r="BCR225"/>
      <c r="BCS225"/>
      <c r="BCT225"/>
      <c r="BCU225"/>
      <c r="BCV225"/>
      <c r="BCW225"/>
      <c r="BCX225"/>
      <c r="BCY225"/>
      <c r="BCZ225"/>
      <c r="BDA225"/>
      <c r="BDB225"/>
      <c r="BDC225"/>
      <c r="BDD225"/>
      <c r="BDE225"/>
      <c r="BDF225"/>
      <c r="BDG225"/>
      <c r="BDH225"/>
      <c r="BDI225"/>
      <c r="BDJ225"/>
      <c r="BDK225"/>
      <c r="BDL225"/>
      <c r="BDM225"/>
      <c r="BDN225"/>
      <c r="BDO225"/>
      <c r="BDP225"/>
      <c r="BDQ225"/>
      <c r="BDR225"/>
      <c r="BDS225"/>
      <c r="BDT225"/>
      <c r="BDU225"/>
      <c r="BDV225"/>
      <c r="BDW225"/>
      <c r="BDX225"/>
      <c r="BDY225"/>
      <c r="BDZ225"/>
      <c r="BEA225"/>
      <c r="BEB225"/>
      <c r="BEC225"/>
      <c r="BED225"/>
      <c r="BEE225"/>
      <c r="BEF225"/>
      <c r="BEG225"/>
      <c r="BEH225"/>
      <c r="BEI225"/>
      <c r="BEJ225"/>
      <c r="BEK225"/>
      <c r="BEL225"/>
      <c r="BEM225"/>
      <c r="BEN225"/>
      <c r="BEO225"/>
      <c r="BEP225"/>
      <c r="BEQ225"/>
      <c r="BER225"/>
      <c r="BES225"/>
      <c r="BET225"/>
      <c r="BEU225"/>
      <c r="BEV225"/>
      <c r="BEW225"/>
      <c r="BEX225"/>
      <c r="BEY225"/>
      <c r="BEZ225"/>
      <c r="BFA225"/>
      <c r="BFB225"/>
      <c r="BFC225"/>
      <c r="BFD225"/>
      <c r="BFE225"/>
      <c r="BFF225"/>
      <c r="BFG225"/>
      <c r="BFH225"/>
      <c r="BFI225"/>
      <c r="BFJ225"/>
      <c r="BFK225"/>
      <c r="BFL225"/>
      <c r="BFM225"/>
      <c r="BFN225"/>
      <c r="BFO225"/>
      <c r="BFP225"/>
      <c r="BFQ225"/>
      <c r="BFR225"/>
      <c r="BFS225"/>
      <c r="BFT225"/>
      <c r="BFU225"/>
      <c r="BFV225"/>
      <c r="BFW225"/>
      <c r="BFX225"/>
      <c r="BFY225"/>
      <c r="BFZ225"/>
      <c r="BGA225"/>
      <c r="BGB225"/>
      <c r="BGC225"/>
      <c r="BGD225"/>
      <c r="BGE225"/>
      <c r="BGF225"/>
      <c r="BGG225"/>
      <c r="BGH225"/>
      <c r="BGI225"/>
      <c r="BGJ225"/>
      <c r="BGK225"/>
      <c r="BGL225"/>
      <c r="BGM225"/>
      <c r="BGN225"/>
      <c r="BGO225"/>
      <c r="BGP225"/>
      <c r="BGQ225"/>
      <c r="BGR225"/>
      <c r="BGS225"/>
      <c r="BGT225"/>
      <c r="BGU225"/>
      <c r="BGV225"/>
      <c r="BGW225"/>
      <c r="BGX225"/>
      <c r="BGY225"/>
      <c r="BGZ225"/>
      <c r="BHA225"/>
      <c r="BHB225"/>
      <c r="BHC225"/>
      <c r="BHD225"/>
      <c r="BHE225"/>
      <c r="BHF225"/>
      <c r="BHG225"/>
      <c r="BHH225"/>
      <c r="BHI225"/>
      <c r="BHJ225"/>
      <c r="BHK225"/>
      <c r="BHL225"/>
      <c r="BHM225"/>
      <c r="BHN225"/>
      <c r="BHO225"/>
      <c r="BHP225"/>
      <c r="BHQ225"/>
      <c r="BHR225"/>
      <c r="BHS225"/>
      <c r="BHT225"/>
      <c r="BHU225"/>
      <c r="BHV225"/>
      <c r="BHW225"/>
      <c r="BHX225"/>
      <c r="BHY225"/>
      <c r="BHZ225"/>
      <c r="BIA225"/>
      <c r="BIB225"/>
      <c r="BIC225"/>
      <c r="BID225"/>
      <c r="BIE225"/>
      <c r="BIF225"/>
      <c r="BIG225"/>
      <c r="BIH225"/>
      <c r="BII225"/>
      <c r="BIJ225"/>
      <c r="BIK225"/>
      <c r="BIL225"/>
      <c r="BIM225"/>
      <c r="BIN225"/>
      <c r="BIO225"/>
      <c r="BIP225"/>
      <c r="BIQ225"/>
      <c r="BIR225"/>
      <c r="BIS225"/>
      <c r="BIT225"/>
      <c r="BIU225"/>
      <c r="BIV225"/>
      <c r="BIW225"/>
      <c r="BIX225"/>
      <c r="BIY225"/>
      <c r="BIZ225"/>
      <c r="BJA225"/>
      <c r="BJB225"/>
      <c r="BJC225"/>
      <c r="BJD225"/>
      <c r="BJE225"/>
      <c r="BJF225"/>
      <c r="BJG225"/>
      <c r="BJH225"/>
      <c r="BJI225"/>
      <c r="BJJ225"/>
      <c r="BJK225"/>
      <c r="BJL225"/>
      <c r="BJM225"/>
      <c r="BJN225"/>
      <c r="BJO225"/>
      <c r="BJP225"/>
      <c r="BJQ225"/>
      <c r="BJR225"/>
      <c r="BJS225"/>
      <c r="BJT225"/>
      <c r="BJU225"/>
      <c r="BJV225"/>
      <c r="BJW225"/>
      <c r="BJX225"/>
      <c r="BJY225"/>
      <c r="BJZ225"/>
      <c r="BKA225"/>
      <c r="BKB225"/>
      <c r="BKC225"/>
      <c r="BKD225"/>
      <c r="BKE225"/>
      <c r="BKF225"/>
      <c r="BKG225"/>
      <c r="BKH225"/>
      <c r="BKI225"/>
      <c r="BKJ225"/>
      <c r="BKK225"/>
      <c r="BKL225"/>
      <c r="BKM225"/>
      <c r="BKN225"/>
      <c r="BKO225"/>
      <c r="BKP225"/>
      <c r="BKQ225"/>
      <c r="BKR225"/>
      <c r="BKS225"/>
      <c r="BKT225"/>
      <c r="BKU225"/>
      <c r="BKV225"/>
      <c r="BKW225"/>
      <c r="BKX225"/>
      <c r="BKY225"/>
      <c r="BKZ225"/>
      <c r="BLA225"/>
      <c r="BLB225"/>
      <c r="BLC225"/>
      <c r="BLD225"/>
      <c r="BLE225"/>
      <c r="BLF225"/>
      <c r="BLG225"/>
      <c r="BLH225"/>
      <c r="BLI225"/>
      <c r="BLJ225"/>
      <c r="BLK225"/>
      <c r="BLL225"/>
      <c r="BLM225"/>
      <c r="BLN225"/>
      <c r="BLO225"/>
      <c r="BLP225"/>
      <c r="BLQ225"/>
      <c r="BLR225"/>
      <c r="BLS225"/>
      <c r="BLT225"/>
      <c r="BLU225"/>
      <c r="BLV225"/>
      <c r="BLW225"/>
      <c r="BLX225"/>
      <c r="BLY225"/>
      <c r="BLZ225"/>
      <c r="BMA225"/>
      <c r="BMB225"/>
      <c r="BMC225"/>
      <c r="BMD225"/>
      <c r="BME225"/>
      <c r="BMF225"/>
      <c r="BMG225"/>
      <c r="BMH225"/>
      <c r="BMI225"/>
      <c r="BMJ225"/>
      <c r="BMK225"/>
      <c r="BML225"/>
      <c r="BMM225"/>
      <c r="BMN225"/>
      <c r="BMO225"/>
      <c r="BMP225"/>
      <c r="BMQ225"/>
      <c r="BMR225"/>
      <c r="BMS225"/>
      <c r="BMT225"/>
      <c r="BMU225"/>
      <c r="BMV225"/>
      <c r="BMW225"/>
      <c r="BMX225"/>
      <c r="BMY225"/>
      <c r="BMZ225"/>
      <c r="BNA225"/>
      <c r="BNB225"/>
      <c r="BNC225"/>
      <c r="BND225"/>
      <c r="BNE225"/>
      <c r="BNF225"/>
      <c r="BNG225"/>
      <c r="BNH225"/>
      <c r="BNI225"/>
      <c r="BNJ225"/>
      <c r="BNK225"/>
      <c r="BNL225"/>
      <c r="BNM225"/>
      <c r="BNN225"/>
      <c r="BNO225"/>
      <c r="BNP225"/>
      <c r="BNQ225"/>
      <c r="BNR225"/>
      <c r="BNS225"/>
      <c r="BNT225"/>
      <c r="BNU225"/>
      <c r="BNV225"/>
      <c r="BNW225"/>
      <c r="BNX225"/>
      <c r="BNY225"/>
      <c r="BNZ225"/>
      <c r="BOA225"/>
      <c r="BOB225"/>
      <c r="BOC225"/>
      <c r="BOD225"/>
      <c r="BOE225"/>
      <c r="BOF225"/>
      <c r="BOG225"/>
      <c r="BOH225"/>
      <c r="BOI225"/>
      <c r="BOJ225"/>
      <c r="BOK225"/>
      <c r="BOL225"/>
      <c r="BOM225"/>
      <c r="BON225"/>
      <c r="BOO225"/>
      <c r="BOP225"/>
      <c r="BOQ225"/>
      <c r="BOR225"/>
      <c r="BOS225"/>
      <c r="BOT225"/>
      <c r="BOU225"/>
      <c r="BOV225"/>
      <c r="BOW225"/>
      <c r="BOX225"/>
      <c r="BOY225"/>
      <c r="BOZ225"/>
      <c r="BPA225"/>
      <c r="BPB225"/>
      <c r="BPC225"/>
      <c r="BPD225"/>
      <c r="BPE225"/>
      <c r="BPF225"/>
      <c r="BPG225"/>
      <c r="BPH225"/>
      <c r="BPI225"/>
      <c r="BPJ225"/>
      <c r="BPK225"/>
      <c r="BPL225"/>
      <c r="BPM225"/>
      <c r="BPN225"/>
      <c r="BPO225"/>
      <c r="BPP225"/>
      <c r="BPQ225"/>
      <c r="BPR225"/>
      <c r="BPS225"/>
      <c r="BPT225"/>
      <c r="BPU225"/>
      <c r="BPV225"/>
      <c r="BPW225"/>
      <c r="BPX225"/>
      <c r="BPY225"/>
      <c r="BPZ225"/>
      <c r="BQA225"/>
      <c r="BQB225"/>
      <c r="BQC225"/>
      <c r="BQD225"/>
      <c r="BQE225"/>
      <c r="BQF225"/>
      <c r="BQG225"/>
      <c r="BQH225"/>
      <c r="BQI225"/>
      <c r="BQJ225"/>
      <c r="BQK225"/>
      <c r="BQL225"/>
      <c r="BQM225"/>
      <c r="BQN225"/>
      <c r="BQO225"/>
      <c r="BQP225"/>
      <c r="BQQ225"/>
      <c r="BQR225"/>
      <c r="BQS225"/>
      <c r="BQT225"/>
      <c r="BQU225"/>
      <c r="BQV225"/>
      <c r="BQW225"/>
      <c r="BQX225"/>
      <c r="BQY225"/>
      <c r="BQZ225"/>
      <c r="BRA225"/>
      <c r="BRB225"/>
      <c r="BRC225"/>
      <c r="BRD225"/>
      <c r="BRE225"/>
      <c r="BRF225"/>
      <c r="BRG225"/>
      <c r="BRH225"/>
      <c r="BRI225"/>
      <c r="BRJ225"/>
      <c r="BRK225"/>
      <c r="BRL225"/>
      <c r="BRM225"/>
      <c r="BRN225"/>
      <c r="BRO225"/>
      <c r="BRP225"/>
      <c r="BRQ225"/>
      <c r="BRR225"/>
      <c r="BRS225"/>
      <c r="BRT225"/>
      <c r="BRU225"/>
      <c r="BRV225"/>
      <c r="BRW225"/>
      <c r="BRX225"/>
      <c r="BRY225"/>
      <c r="BRZ225"/>
      <c r="BSA225"/>
      <c r="BSB225"/>
      <c r="BSC225"/>
      <c r="BSD225"/>
      <c r="BSE225"/>
      <c r="BSF225"/>
      <c r="BSG225"/>
      <c r="BSH225"/>
      <c r="BSI225"/>
      <c r="BSJ225"/>
      <c r="BSK225"/>
      <c r="BSL225"/>
      <c r="BSM225"/>
      <c r="BSN225"/>
      <c r="BSO225"/>
      <c r="BSP225"/>
      <c r="BSQ225"/>
      <c r="BSR225"/>
      <c r="BSS225"/>
      <c r="BST225"/>
      <c r="BSU225"/>
      <c r="BSV225"/>
      <c r="BSW225"/>
      <c r="BSX225"/>
      <c r="BSY225"/>
      <c r="BSZ225"/>
      <c r="BTA225"/>
      <c r="BTB225"/>
      <c r="BTC225"/>
      <c r="BTD225"/>
      <c r="BTE225"/>
      <c r="BTF225"/>
      <c r="BTG225"/>
      <c r="BTH225"/>
      <c r="BTI225"/>
      <c r="BTJ225"/>
      <c r="BTK225"/>
      <c r="BTL225"/>
      <c r="BTM225"/>
      <c r="BTN225"/>
      <c r="BTO225"/>
      <c r="BTP225"/>
      <c r="BTQ225"/>
      <c r="BTR225"/>
      <c r="BTS225"/>
      <c r="BTT225"/>
      <c r="BTU225"/>
      <c r="BTV225"/>
      <c r="BTW225"/>
      <c r="BTX225"/>
      <c r="BTY225"/>
      <c r="BTZ225"/>
      <c r="BUA225"/>
      <c r="BUB225"/>
      <c r="BUC225"/>
      <c r="BUD225"/>
      <c r="BUE225"/>
      <c r="BUF225"/>
      <c r="BUG225"/>
      <c r="BUH225"/>
      <c r="BUI225"/>
      <c r="BUJ225"/>
      <c r="BUK225"/>
      <c r="BUL225"/>
      <c r="BUM225"/>
      <c r="BUN225"/>
      <c r="BUO225"/>
      <c r="BUP225"/>
      <c r="BUQ225"/>
      <c r="BUR225"/>
      <c r="BUS225"/>
      <c r="BUT225"/>
      <c r="BUU225"/>
      <c r="BUV225"/>
      <c r="BUW225"/>
      <c r="BUX225"/>
      <c r="BUY225"/>
      <c r="BUZ225"/>
      <c r="BVA225"/>
      <c r="BVB225"/>
      <c r="BVC225"/>
      <c r="BVD225"/>
      <c r="BVE225"/>
      <c r="BVF225"/>
      <c r="BVG225"/>
      <c r="BVH225"/>
      <c r="BVI225"/>
      <c r="BVJ225"/>
      <c r="BVK225"/>
      <c r="BVL225"/>
      <c r="BVM225"/>
      <c r="BVN225"/>
      <c r="BVO225"/>
      <c r="BVP225"/>
      <c r="BVQ225"/>
      <c r="BVR225"/>
      <c r="BVS225"/>
      <c r="BVT225"/>
      <c r="BVU225"/>
      <c r="BVV225"/>
      <c r="BVW225"/>
      <c r="BVX225"/>
      <c r="BVY225"/>
      <c r="BVZ225"/>
      <c r="BWA225"/>
      <c r="BWB225"/>
      <c r="BWC225"/>
      <c r="BWD225"/>
      <c r="BWE225"/>
      <c r="BWF225"/>
      <c r="BWG225"/>
      <c r="BWH225"/>
      <c r="BWI225"/>
      <c r="BWJ225"/>
      <c r="BWK225"/>
      <c r="BWL225"/>
      <c r="BWM225"/>
      <c r="BWN225"/>
      <c r="BWO225"/>
      <c r="BWP225"/>
      <c r="BWQ225"/>
      <c r="BWR225"/>
      <c r="BWS225"/>
      <c r="BWT225"/>
      <c r="BWU225"/>
      <c r="BWV225"/>
      <c r="BWW225"/>
      <c r="BWX225"/>
      <c r="BWY225"/>
      <c r="BWZ225"/>
      <c r="BXA225"/>
      <c r="BXB225"/>
      <c r="BXC225"/>
      <c r="BXD225"/>
      <c r="BXE225"/>
      <c r="BXF225"/>
      <c r="BXG225"/>
      <c r="BXH225"/>
      <c r="BXI225"/>
      <c r="BXJ225"/>
      <c r="BXK225"/>
      <c r="BXL225"/>
      <c r="BXM225"/>
      <c r="BXN225"/>
      <c r="BXO225"/>
      <c r="BXP225"/>
      <c r="BXQ225"/>
      <c r="BXR225"/>
      <c r="BXS225"/>
      <c r="BXT225"/>
      <c r="BXU225"/>
      <c r="BXV225"/>
      <c r="BXW225"/>
      <c r="BXX225"/>
      <c r="BXY225"/>
      <c r="BXZ225"/>
      <c r="BYA225"/>
      <c r="BYB225"/>
      <c r="BYC225"/>
      <c r="BYD225"/>
      <c r="BYE225"/>
      <c r="BYF225"/>
      <c r="BYG225"/>
      <c r="BYH225"/>
      <c r="BYI225"/>
      <c r="BYJ225"/>
      <c r="BYK225"/>
      <c r="BYL225"/>
      <c r="BYM225"/>
      <c r="BYN225"/>
      <c r="BYO225"/>
      <c r="BYP225"/>
      <c r="BYQ225"/>
      <c r="BYR225"/>
      <c r="BYS225"/>
      <c r="BYT225"/>
      <c r="BYU225"/>
      <c r="BYV225"/>
      <c r="BYW225"/>
      <c r="BYX225"/>
      <c r="BYY225"/>
      <c r="BYZ225"/>
      <c r="BZA225"/>
      <c r="BZB225"/>
      <c r="BZC225"/>
      <c r="BZD225"/>
      <c r="BZE225"/>
      <c r="BZF225"/>
      <c r="BZG225"/>
      <c r="BZH225"/>
      <c r="BZI225"/>
      <c r="BZJ225"/>
      <c r="BZK225"/>
      <c r="BZL225"/>
      <c r="BZM225"/>
      <c r="BZN225"/>
      <c r="BZO225"/>
      <c r="BZP225"/>
      <c r="BZQ225"/>
      <c r="BZR225"/>
      <c r="BZS225"/>
      <c r="BZT225"/>
      <c r="BZU225"/>
      <c r="BZV225"/>
      <c r="BZW225"/>
      <c r="BZX225"/>
      <c r="BZY225"/>
      <c r="BZZ225"/>
      <c r="CAA225"/>
      <c r="CAB225"/>
      <c r="CAC225"/>
      <c r="CAD225"/>
      <c r="CAE225"/>
      <c r="CAF225"/>
      <c r="CAG225"/>
      <c r="CAH225"/>
      <c r="CAI225"/>
      <c r="CAJ225"/>
      <c r="CAK225"/>
      <c r="CAL225"/>
      <c r="CAM225"/>
      <c r="CAN225"/>
      <c r="CAO225"/>
      <c r="CAP225"/>
      <c r="CAQ225"/>
      <c r="CAR225"/>
      <c r="CAS225"/>
      <c r="CAT225"/>
      <c r="CAU225"/>
      <c r="CAV225"/>
      <c r="CAW225"/>
      <c r="CAX225"/>
      <c r="CAY225"/>
      <c r="CAZ225"/>
      <c r="CBA225"/>
      <c r="CBB225"/>
      <c r="CBC225"/>
      <c r="CBD225"/>
      <c r="CBE225"/>
      <c r="CBF225"/>
      <c r="CBG225"/>
      <c r="CBH225"/>
      <c r="CBI225"/>
      <c r="CBJ225"/>
      <c r="CBK225"/>
      <c r="CBL225"/>
      <c r="CBM225"/>
      <c r="CBN225"/>
      <c r="CBO225"/>
      <c r="CBP225"/>
      <c r="CBQ225"/>
      <c r="CBR225"/>
      <c r="CBS225"/>
      <c r="CBT225"/>
      <c r="CBU225"/>
      <c r="CBV225"/>
      <c r="CBW225"/>
      <c r="CBX225"/>
      <c r="CBY225"/>
      <c r="CBZ225"/>
      <c r="CCA225"/>
      <c r="CCB225"/>
      <c r="CCC225"/>
      <c r="CCD225"/>
      <c r="CCE225"/>
      <c r="CCF225"/>
      <c r="CCG225"/>
      <c r="CCH225"/>
      <c r="CCI225"/>
      <c r="CCJ225"/>
      <c r="CCK225"/>
      <c r="CCL225"/>
      <c r="CCM225"/>
      <c r="CCN225"/>
      <c r="CCO225"/>
      <c r="CCP225"/>
      <c r="CCQ225"/>
      <c r="CCR225"/>
      <c r="CCS225"/>
      <c r="CCT225"/>
      <c r="CCU225"/>
      <c r="CCV225"/>
      <c r="CCW225"/>
      <c r="CCX225"/>
      <c r="CCY225"/>
      <c r="CCZ225"/>
      <c r="CDA225"/>
      <c r="CDB225"/>
      <c r="CDC225"/>
      <c r="CDD225"/>
      <c r="CDE225"/>
      <c r="CDF225"/>
      <c r="CDG225"/>
      <c r="CDH225"/>
      <c r="CDI225"/>
      <c r="CDJ225"/>
      <c r="CDK225"/>
      <c r="CDL225"/>
      <c r="CDM225"/>
      <c r="CDN225"/>
      <c r="CDO225"/>
      <c r="CDP225"/>
      <c r="CDQ225"/>
      <c r="CDR225"/>
      <c r="CDS225"/>
      <c r="CDT225"/>
      <c r="CDU225"/>
      <c r="CDV225"/>
      <c r="CDW225"/>
      <c r="CDX225"/>
      <c r="CDY225"/>
      <c r="CDZ225"/>
      <c r="CEA225"/>
      <c r="CEB225"/>
      <c r="CEC225"/>
      <c r="CED225"/>
      <c r="CEE225"/>
      <c r="CEF225"/>
      <c r="CEG225"/>
      <c r="CEH225"/>
      <c r="CEI225"/>
      <c r="CEJ225"/>
      <c r="CEK225"/>
      <c r="CEL225"/>
      <c r="CEM225"/>
      <c r="CEN225"/>
      <c r="CEO225"/>
      <c r="CEP225"/>
      <c r="CEQ225"/>
      <c r="CER225"/>
      <c r="CES225"/>
      <c r="CET225"/>
      <c r="CEU225"/>
      <c r="CEV225"/>
      <c r="CEW225"/>
      <c r="CEX225"/>
      <c r="CEY225"/>
      <c r="CEZ225"/>
      <c r="CFA225"/>
      <c r="CFB225"/>
      <c r="CFC225"/>
      <c r="CFD225"/>
      <c r="CFE225"/>
      <c r="CFF225"/>
      <c r="CFG225"/>
      <c r="CFH225"/>
      <c r="CFI225"/>
      <c r="CFJ225"/>
      <c r="CFK225"/>
      <c r="CFL225"/>
      <c r="CFM225"/>
      <c r="CFN225"/>
      <c r="CFO225"/>
      <c r="CFP225"/>
      <c r="CFQ225"/>
      <c r="CFR225"/>
      <c r="CFS225"/>
      <c r="CFT225"/>
      <c r="CFU225"/>
      <c r="CFV225"/>
      <c r="CFW225"/>
      <c r="CFX225"/>
      <c r="CFY225"/>
      <c r="CFZ225"/>
      <c r="CGA225"/>
      <c r="CGB225"/>
      <c r="CGC225"/>
      <c r="CGD225"/>
      <c r="CGE225"/>
      <c r="CGF225"/>
      <c r="CGG225"/>
      <c r="CGH225"/>
      <c r="CGI225"/>
      <c r="CGJ225"/>
      <c r="CGK225"/>
      <c r="CGL225"/>
      <c r="CGM225"/>
      <c r="CGN225"/>
      <c r="CGO225"/>
      <c r="CGP225"/>
      <c r="CGQ225"/>
      <c r="CGR225"/>
      <c r="CGS225"/>
      <c r="CGT225"/>
      <c r="CGU225"/>
      <c r="CGV225"/>
      <c r="CGW225"/>
      <c r="CGX225"/>
      <c r="CGY225"/>
      <c r="CGZ225"/>
      <c r="CHA225"/>
      <c r="CHB225"/>
      <c r="CHC225"/>
      <c r="CHD225"/>
      <c r="CHE225"/>
      <c r="CHF225"/>
      <c r="CHG225"/>
      <c r="CHH225"/>
      <c r="CHI225"/>
      <c r="CHJ225"/>
      <c r="CHK225"/>
      <c r="CHL225"/>
      <c r="CHM225"/>
      <c r="CHN225"/>
      <c r="CHO225"/>
      <c r="CHP225"/>
      <c r="CHQ225"/>
      <c r="CHR225"/>
      <c r="CHS225"/>
      <c r="CHT225"/>
      <c r="CHU225"/>
      <c r="CHV225"/>
      <c r="CHW225"/>
      <c r="CHX225"/>
      <c r="CHY225"/>
      <c r="CHZ225"/>
      <c r="CIA225"/>
      <c r="CIB225"/>
      <c r="CIC225"/>
      <c r="CID225"/>
      <c r="CIE225"/>
      <c r="CIF225"/>
      <c r="CIG225"/>
      <c r="CIH225"/>
      <c r="CII225"/>
      <c r="CIJ225"/>
      <c r="CIK225"/>
      <c r="CIL225"/>
      <c r="CIM225"/>
      <c r="CIN225"/>
      <c r="CIO225"/>
      <c r="CIP225"/>
      <c r="CIQ225"/>
      <c r="CIR225"/>
      <c r="CIS225"/>
      <c r="CIT225"/>
      <c r="CIU225"/>
      <c r="CIV225"/>
      <c r="CIW225"/>
      <c r="CIX225"/>
      <c r="CIY225"/>
      <c r="CIZ225"/>
      <c r="CJA225"/>
      <c r="CJB225"/>
      <c r="CJC225"/>
      <c r="CJD225"/>
      <c r="CJE225"/>
      <c r="CJF225"/>
      <c r="CJG225"/>
      <c r="CJH225"/>
      <c r="CJI225"/>
      <c r="CJJ225"/>
      <c r="CJK225"/>
      <c r="CJL225"/>
      <c r="CJM225"/>
      <c r="CJN225"/>
      <c r="CJO225"/>
      <c r="CJP225"/>
      <c r="CJQ225"/>
      <c r="CJR225"/>
      <c r="CJS225"/>
      <c r="CJT225"/>
      <c r="CJU225"/>
      <c r="CJV225"/>
      <c r="CJW225"/>
      <c r="CJX225"/>
      <c r="CJY225"/>
      <c r="CJZ225"/>
      <c r="CKA225"/>
      <c r="CKB225"/>
      <c r="CKC225"/>
      <c r="CKD225"/>
      <c r="CKE225"/>
      <c r="CKF225"/>
      <c r="CKG225"/>
      <c r="CKH225"/>
      <c r="CKI225"/>
      <c r="CKJ225"/>
      <c r="CKK225"/>
      <c r="CKL225"/>
      <c r="CKM225"/>
      <c r="CKN225"/>
      <c r="CKO225"/>
      <c r="CKP225"/>
      <c r="CKQ225"/>
      <c r="CKR225"/>
      <c r="CKS225"/>
      <c r="CKT225"/>
      <c r="CKU225"/>
      <c r="CKV225"/>
      <c r="CKW225"/>
      <c r="CKX225"/>
      <c r="CKY225"/>
      <c r="CKZ225"/>
      <c r="CLA225"/>
      <c r="CLB225"/>
      <c r="CLC225"/>
      <c r="CLD225"/>
      <c r="CLE225"/>
      <c r="CLF225"/>
      <c r="CLG225"/>
      <c r="CLH225"/>
      <c r="CLI225"/>
      <c r="CLJ225"/>
      <c r="CLK225"/>
      <c r="CLL225"/>
      <c r="CLM225"/>
      <c r="CLN225"/>
      <c r="CLO225"/>
      <c r="CLP225"/>
      <c r="CLQ225"/>
      <c r="CLR225"/>
      <c r="CLS225"/>
      <c r="CLT225"/>
      <c r="CLU225"/>
      <c r="CLV225"/>
      <c r="CLW225"/>
      <c r="CLX225"/>
      <c r="CLY225"/>
      <c r="CLZ225"/>
      <c r="CMA225"/>
      <c r="CMB225"/>
      <c r="CMC225"/>
      <c r="CMD225"/>
      <c r="CME225"/>
      <c r="CMF225"/>
      <c r="CMG225"/>
      <c r="CMH225"/>
      <c r="CMI225"/>
      <c r="CMJ225"/>
      <c r="CMK225"/>
      <c r="CML225"/>
      <c r="CMM225"/>
      <c r="CMN225"/>
      <c r="CMO225"/>
      <c r="CMP225"/>
      <c r="CMQ225"/>
      <c r="CMR225"/>
      <c r="CMS225"/>
      <c r="CMT225"/>
      <c r="CMU225"/>
      <c r="CMV225"/>
      <c r="CMW225"/>
      <c r="CMX225"/>
      <c r="CMY225"/>
      <c r="CMZ225"/>
      <c r="CNA225"/>
      <c r="CNB225"/>
      <c r="CNC225"/>
      <c r="CND225"/>
      <c r="CNE225"/>
      <c r="CNF225"/>
      <c r="CNG225"/>
      <c r="CNH225"/>
      <c r="CNI225"/>
      <c r="CNJ225"/>
      <c r="CNK225"/>
      <c r="CNL225"/>
      <c r="CNM225"/>
      <c r="CNN225"/>
      <c r="CNO225"/>
      <c r="CNP225"/>
      <c r="CNQ225"/>
      <c r="CNR225"/>
      <c r="CNS225"/>
      <c r="CNT225"/>
      <c r="CNU225"/>
      <c r="CNV225"/>
      <c r="CNW225"/>
      <c r="CNX225"/>
      <c r="CNY225"/>
      <c r="CNZ225"/>
      <c r="COA225"/>
      <c r="COB225"/>
      <c r="COC225"/>
      <c r="COD225"/>
      <c r="COE225"/>
      <c r="COF225"/>
      <c r="COG225"/>
      <c r="COH225"/>
      <c r="COI225"/>
      <c r="COJ225"/>
      <c r="COK225"/>
      <c r="COL225"/>
      <c r="COM225"/>
      <c r="CON225"/>
      <c r="COO225"/>
      <c r="COP225"/>
      <c r="COQ225"/>
      <c r="COR225"/>
      <c r="COS225"/>
      <c r="COT225"/>
      <c r="COU225"/>
      <c r="COV225"/>
      <c r="COW225"/>
      <c r="COX225"/>
      <c r="COY225"/>
      <c r="COZ225"/>
      <c r="CPA225"/>
      <c r="CPB225"/>
      <c r="CPC225"/>
      <c r="CPD225"/>
      <c r="CPE225"/>
      <c r="CPF225"/>
      <c r="CPG225"/>
      <c r="CPH225"/>
      <c r="CPI225"/>
      <c r="CPJ225"/>
      <c r="CPK225"/>
      <c r="CPL225"/>
      <c r="CPM225"/>
      <c r="CPN225"/>
      <c r="CPO225"/>
      <c r="CPP225"/>
      <c r="CPQ225"/>
      <c r="CPR225"/>
      <c r="CPS225"/>
      <c r="CPT225"/>
      <c r="CPU225"/>
      <c r="CPV225"/>
      <c r="CPW225"/>
      <c r="CPX225"/>
      <c r="CPY225"/>
      <c r="CPZ225"/>
      <c r="CQA225"/>
      <c r="CQB225"/>
      <c r="CQC225"/>
      <c r="CQD225"/>
      <c r="CQE225"/>
      <c r="CQF225"/>
      <c r="CQG225"/>
      <c r="CQH225"/>
      <c r="CQI225"/>
      <c r="CQJ225"/>
      <c r="CQK225"/>
      <c r="CQL225"/>
      <c r="CQM225"/>
      <c r="CQN225"/>
      <c r="CQO225"/>
      <c r="CQP225"/>
      <c r="CQQ225"/>
      <c r="CQR225"/>
      <c r="CQS225"/>
      <c r="CQT225"/>
      <c r="CQU225"/>
      <c r="CQV225"/>
      <c r="CQW225"/>
      <c r="CQX225"/>
      <c r="CQY225"/>
      <c r="CQZ225"/>
      <c r="CRA225"/>
      <c r="CRB225"/>
      <c r="CRC225"/>
      <c r="CRD225"/>
      <c r="CRE225"/>
      <c r="CRF225"/>
      <c r="CRG225"/>
      <c r="CRH225"/>
      <c r="CRI225"/>
      <c r="CRJ225"/>
      <c r="CRK225"/>
      <c r="CRL225"/>
      <c r="CRM225"/>
      <c r="CRN225"/>
      <c r="CRO225"/>
      <c r="CRP225"/>
      <c r="CRQ225"/>
      <c r="CRR225"/>
      <c r="CRS225"/>
      <c r="CRT225"/>
      <c r="CRU225"/>
      <c r="CRV225"/>
      <c r="CRW225"/>
      <c r="CRX225"/>
      <c r="CRY225"/>
      <c r="CRZ225"/>
      <c r="CSA225"/>
      <c r="CSB225"/>
      <c r="CSC225"/>
      <c r="CSD225"/>
      <c r="CSE225"/>
      <c r="CSF225"/>
      <c r="CSG225"/>
      <c r="CSH225"/>
      <c r="CSI225"/>
      <c r="CSJ225"/>
      <c r="CSK225"/>
      <c r="CSL225"/>
      <c r="CSM225"/>
      <c r="CSN225"/>
      <c r="CSO225"/>
      <c r="CSP225"/>
      <c r="CSQ225"/>
      <c r="CSR225"/>
      <c r="CSS225"/>
      <c r="CST225"/>
      <c r="CSU225"/>
      <c r="CSV225"/>
      <c r="CSW225"/>
      <c r="CSX225"/>
      <c r="CSY225"/>
      <c r="CSZ225"/>
      <c r="CTA225"/>
      <c r="CTB225"/>
      <c r="CTC225"/>
      <c r="CTD225"/>
      <c r="CTE225"/>
      <c r="CTF225"/>
      <c r="CTG225"/>
      <c r="CTH225"/>
      <c r="CTI225"/>
      <c r="CTJ225"/>
      <c r="CTK225"/>
      <c r="CTL225"/>
      <c r="CTM225"/>
      <c r="CTN225"/>
      <c r="CTO225"/>
      <c r="CTP225"/>
      <c r="CTQ225"/>
      <c r="CTR225"/>
      <c r="CTS225"/>
      <c r="CTT225"/>
      <c r="CTU225"/>
      <c r="CTV225"/>
      <c r="CTW225"/>
      <c r="CTX225"/>
      <c r="CTY225"/>
      <c r="CTZ225"/>
      <c r="CUA225"/>
      <c r="CUB225"/>
      <c r="CUC225"/>
      <c r="CUD225"/>
      <c r="CUE225"/>
      <c r="CUF225"/>
      <c r="CUG225"/>
      <c r="CUH225"/>
      <c r="CUI225"/>
      <c r="CUJ225"/>
      <c r="CUK225"/>
      <c r="CUL225"/>
      <c r="CUM225"/>
      <c r="CUN225"/>
      <c r="CUO225"/>
      <c r="CUP225"/>
      <c r="CUQ225"/>
      <c r="CUR225"/>
      <c r="CUS225"/>
      <c r="CUT225"/>
      <c r="CUU225"/>
      <c r="CUV225"/>
      <c r="CUW225"/>
      <c r="CUX225"/>
      <c r="CUY225"/>
      <c r="CUZ225"/>
      <c r="CVA225"/>
      <c r="CVB225"/>
      <c r="CVC225"/>
      <c r="CVD225"/>
      <c r="CVE225"/>
      <c r="CVF225"/>
      <c r="CVG225"/>
      <c r="CVH225"/>
      <c r="CVI225"/>
      <c r="CVJ225"/>
      <c r="CVK225"/>
      <c r="CVL225"/>
      <c r="CVM225"/>
      <c r="CVN225"/>
      <c r="CVO225"/>
      <c r="CVP225"/>
      <c r="CVQ225"/>
      <c r="CVR225"/>
      <c r="CVS225"/>
      <c r="CVT225"/>
      <c r="CVU225"/>
      <c r="CVV225"/>
      <c r="CVW225"/>
      <c r="CVX225"/>
      <c r="CVY225"/>
      <c r="CVZ225"/>
      <c r="CWA225"/>
      <c r="CWB225"/>
      <c r="CWC225"/>
      <c r="CWD225"/>
      <c r="CWE225"/>
      <c r="CWF225"/>
      <c r="CWG225"/>
      <c r="CWH225"/>
      <c r="CWI225"/>
      <c r="CWJ225"/>
      <c r="CWK225"/>
      <c r="CWL225"/>
      <c r="CWM225"/>
      <c r="CWN225"/>
      <c r="CWO225"/>
      <c r="CWP225"/>
      <c r="CWQ225"/>
      <c r="CWR225"/>
      <c r="CWS225"/>
      <c r="CWT225"/>
      <c r="CWU225"/>
      <c r="CWV225"/>
      <c r="CWW225"/>
      <c r="CWX225"/>
      <c r="CWY225"/>
      <c r="CWZ225"/>
      <c r="CXA225"/>
      <c r="CXB225"/>
      <c r="CXC225"/>
      <c r="CXD225"/>
      <c r="CXE225"/>
      <c r="CXF225"/>
      <c r="CXG225"/>
      <c r="CXH225"/>
      <c r="CXI225"/>
      <c r="CXJ225"/>
      <c r="CXK225"/>
      <c r="CXL225"/>
      <c r="CXM225"/>
      <c r="CXN225"/>
      <c r="CXO225"/>
      <c r="CXP225"/>
      <c r="CXQ225"/>
      <c r="CXR225"/>
      <c r="CXS225"/>
      <c r="CXT225"/>
      <c r="CXU225"/>
      <c r="CXV225"/>
      <c r="CXW225"/>
      <c r="CXX225"/>
      <c r="CXY225"/>
      <c r="CXZ225"/>
      <c r="CYA225"/>
      <c r="CYB225"/>
      <c r="CYC225"/>
      <c r="CYD225"/>
      <c r="CYE225"/>
      <c r="CYF225"/>
      <c r="CYG225"/>
      <c r="CYH225"/>
      <c r="CYI225"/>
      <c r="CYJ225"/>
      <c r="CYK225"/>
      <c r="CYL225"/>
      <c r="CYM225"/>
      <c r="CYN225"/>
      <c r="CYO225"/>
      <c r="CYP225"/>
      <c r="CYQ225"/>
      <c r="CYR225"/>
      <c r="CYS225"/>
      <c r="CYT225"/>
      <c r="CYU225"/>
      <c r="CYV225"/>
      <c r="CYW225"/>
      <c r="CYX225"/>
      <c r="CYY225"/>
      <c r="CYZ225"/>
      <c r="CZA225"/>
      <c r="CZB225"/>
      <c r="CZC225"/>
      <c r="CZD225"/>
      <c r="CZE225"/>
      <c r="CZF225"/>
      <c r="CZG225"/>
      <c r="CZH225"/>
      <c r="CZI225"/>
      <c r="CZJ225"/>
      <c r="CZK225"/>
      <c r="CZL225"/>
      <c r="CZM225"/>
      <c r="CZN225"/>
      <c r="CZO225"/>
      <c r="CZP225"/>
      <c r="CZQ225"/>
      <c r="CZR225"/>
      <c r="CZS225"/>
      <c r="CZT225"/>
      <c r="CZU225"/>
      <c r="CZV225"/>
      <c r="CZW225"/>
      <c r="CZX225"/>
      <c r="CZY225"/>
      <c r="CZZ225"/>
      <c r="DAA225"/>
      <c r="DAB225"/>
      <c r="DAC225"/>
      <c r="DAD225"/>
      <c r="DAE225"/>
      <c r="DAF225"/>
      <c r="DAG225"/>
      <c r="DAH225"/>
      <c r="DAI225"/>
      <c r="DAJ225"/>
      <c r="DAK225"/>
      <c r="DAL225"/>
      <c r="DAM225"/>
      <c r="DAN225"/>
      <c r="DAO225"/>
      <c r="DAP225"/>
      <c r="DAQ225"/>
      <c r="DAR225"/>
      <c r="DAS225"/>
      <c r="DAT225"/>
      <c r="DAU225"/>
      <c r="DAV225"/>
      <c r="DAW225"/>
      <c r="DAX225"/>
      <c r="DAY225"/>
      <c r="DAZ225"/>
      <c r="DBA225"/>
      <c r="DBB225"/>
      <c r="DBC225"/>
      <c r="DBD225"/>
      <c r="DBE225"/>
      <c r="DBF225"/>
      <c r="DBG225"/>
      <c r="DBH225"/>
      <c r="DBI225"/>
      <c r="DBJ225"/>
      <c r="DBK225"/>
      <c r="DBL225"/>
      <c r="DBM225"/>
      <c r="DBN225"/>
      <c r="DBO225"/>
      <c r="DBP225"/>
      <c r="DBQ225"/>
      <c r="DBR225"/>
      <c r="DBS225"/>
      <c r="DBT225"/>
      <c r="DBU225"/>
      <c r="DBV225"/>
      <c r="DBW225"/>
      <c r="DBX225"/>
      <c r="DBY225"/>
      <c r="DBZ225"/>
      <c r="DCA225"/>
      <c r="DCB225"/>
      <c r="DCC225"/>
      <c r="DCD225"/>
      <c r="DCE225"/>
      <c r="DCF225"/>
      <c r="DCG225"/>
      <c r="DCH225"/>
      <c r="DCI225"/>
      <c r="DCJ225"/>
      <c r="DCK225"/>
      <c r="DCL225"/>
      <c r="DCM225"/>
      <c r="DCN225"/>
      <c r="DCO225"/>
      <c r="DCP225"/>
      <c r="DCQ225"/>
      <c r="DCR225"/>
      <c r="DCS225"/>
      <c r="DCT225"/>
      <c r="DCU225"/>
      <c r="DCV225"/>
      <c r="DCW225"/>
      <c r="DCX225"/>
      <c r="DCY225"/>
      <c r="DCZ225"/>
      <c r="DDA225"/>
      <c r="DDB225"/>
      <c r="DDC225"/>
      <c r="DDD225"/>
      <c r="DDE225"/>
      <c r="DDF225"/>
      <c r="DDG225"/>
      <c r="DDH225"/>
      <c r="DDI225"/>
      <c r="DDJ225"/>
      <c r="DDK225"/>
      <c r="DDL225"/>
      <c r="DDM225"/>
      <c r="DDN225"/>
      <c r="DDO225"/>
      <c r="DDP225"/>
      <c r="DDQ225"/>
      <c r="DDR225"/>
      <c r="DDS225"/>
      <c r="DDT225"/>
      <c r="DDU225"/>
      <c r="DDV225"/>
      <c r="DDW225"/>
      <c r="DDX225"/>
      <c r="DDY225"/>
      <c r="DDZ225"/>
      <c r="DEA225"/>
      <c r="DEB225"/>
      <c r="DEC225"/>
      <c r="DED225"/>
      <c r="DEE225"/>
      <c r="DEF225"/>
      <c r="DEG225"/>
      <c r="DEH225"/>
      <c r="DEI225"/>
      <c r="DEJ225"/>
      <c r="DEK225"/>
      <c r="DEL225"/>
      <c r="DEM225"/>
      <c r="DEN225"/>
      <c r="DEO225"/>
      <c r="DEP225"/>
      <c r="DEQ225"/>
      <c r="DER225"/>
      <c r="DES225"/>
      <c r="DET225"/>
      <c r="DEU225"/>
      <c r="DEV225"/>
      <c r="DEW225"/>
      <c r="DEX225"/>
      <c r="DEY225"/>
      <c r="DEZ225"/>
      <c r="DFA225"/>
      <c r="DFB225"/>
      <c r="DFC225"/>
      <c r="DFD225"/>
      <c r="DFE225"/>
      <c r="DFF225"/>
      <c r="DFG225"/>
      <c r="DFH225"/>
      <c r="DFI225"/>
      <c r="DFJ225"/>
      <c r="DFK225"/>
      <c r="DFL225"/>
      <c r="DFM225"/>
      <c r="DFN225"/>
      <c r="DFO225"/>
      <c r="DFP225"/>
      <c r="DFQ225"/>
      <c r="DFR225"/>
      <c r="DFS225"/>
      <c r="DFT225"/>
      <c r="DFU225"/>
      <c r="DFV225"/>
      <c r="DFW225"/>
      <c r="DFX225"/>
      <c r="DFY225"/>
      <c r="DFZ225"/>
      <c r="DGA225"/>
      <c r="DGB225"/>
      <c r="DGC225"/>
      <c r="DGD225"/>
      <c r="DGE225"/>
      <c r="DGF225"/>
      <c r="DGG225"/>
      <c r="DGH225"/>
      <c r="DGI225"/>
      <c r="DGJ225"/>
      <c r="DGK225"/>
      <c r="DGL225"/>
      <c r="DGM225"/>
      <c r="DGN225"/>
      <c r="DGO225"/>
      <c r="DGP225"/>
      <c r="DGQ225"/>
      <c r="DGR225"/>
      <c r="DGS225"/>
      <c r="DGT225"/>
      <c r="DGU225"/>
      <c r="DGV225"/>
      <c r="DGW225"/>
      <c r="DGX225"/>
      <c r="DGY225"/>
      <c r="DGZ225"/>
      <c r="DHA225"/>
      <c r="DHB225"/>
      <c r="DHC225"/>
      <c r="DHD225"/>
      <c r="DHE225"/>
      <c r="DHF225"/>
      <c r="DHG225"/>
      <c r="DHH225"/>
      <c r="DHI225"/>
      <c r="DHJ225"/>
      <c r="DHK225"/>
      <c r="DHL225"/>
      <c r="DHM225"/>
      <c r="DHN225"/>
      <c r="DHO225"/>
      <c r="DHP225"/>
      <c r="DHQ225"/>
      <c r="DHR225"/>
      <c r="DHS225"/>
      <c r="DHT225"/>
      <c r="DHU225"/>
      <c r="DHV225"/>
      <c r="DHW225"/>
      <c r="DHX225"/>
      <c r="DHY225"/>
      <c r="DHZ225"/>
      <c r="DIA225"/>
      <c r="DIB225"/>
      <c r="DIC225"/>
      <c r="DID225"/>
      <c r="DIE225"/>
      <c r="DIF225"/>
      <c r="DIG225"/>
      <c r="DIH225"/>
      <c r="DII225"/>
      <c r="DIJ225"/>
      <c r="DIK225"/>
      <c r="DIL225"/>
      <c r="DIM225"/>
      <c r="DIN225"/>
      <c r="DIO225"/>
      <c r="DIP225"/>
      <c r="DIQ225"/>
      <c r="DIR225"/>
      <c r="DIS225"/>
      <c r="DIT225"/>
      <c r="DIU225"/>
      <c r="DIV225"/>
      <c r="DIW225"/>
      <c r="DIX225"/>
      <c r="DIY225"/>
      <c r="DIZ225"/>
      <c r="DJA225"/>
      <c r="DJB225"/>
      <c r="DJC225"/>
      <c r="DJD225"/>
      <c r="DJE225"/>
      <c r="DJF225"/>
      <c r="DJG225"/>
      <c r="DJH225"/>
      <c r="DJI225"/>
      <c r="DJJ225"/>
      <c r="DJK225"/>
      <c r="DJL225"/>
      <c r="DJM225"/>
      <c r="DJN225"/>
      <c r="DJO225"/>
      <c r="DJP225"/>
      <c r="DJQ225"/>
      <c r="DJR225"/>
      <c r="DJS225"/>
      <c r="DJT225"/>
      <c r="DJU225"/>
      <c r="DJV225"/>
      <c r="DJW225"/>
      <c r="DJX225"/>
      <c r="DJY225"/>
      <c r="DJZ225"/>
      <c r="DKA225"/>
      <c r="DKB225"/>
      <c r="DKC225"/>
      <c r="DKD225"/>
      <c r="DKE225"/>
      <c r="DKF225"/>
      <c r="DKG225"/>
      <c r="DKH225"/>
      <c r="DKI225"/>
      <c r="DKJ225"/>
      <c r="DKK225"/>
      <c r="DKL225"/>
      <c r="DKM225"/>
      <c r="DKN225"/>
      <c r="DKO225"/>
      <c r="DKP225"/>
      <c r="DKQ225"/>
      <c r="DKR225"/>
      <c r="DKS225"/>
      <c r="DKT225"/>
      <c r="DKU225"/>
      <c r="DKV225"/>
      <c r="DKW225"/>
      <c r="DKX225"/>
      <c r="DKY225"/>
      <c r="DKZ225"/>
      <c r="DLA225"/>
      <c r="DLB225"/>
      <c r="DLC225"/>
      <c r="DLD225"/>
      <c r="DLE225"/>
      <c r="DLF225"/>
      <c r="DLG225"/>
      <c r="DLH225"/>
      <c r="DLI225"/>
      <c r="DLJ225"/>
      <c r="DLK225"/>
      <c r="DLL225"/>
      <c r="DLM225"/>
      <c r="DLN225"/>
      <c r="DLO225"/>
      <c r="DLP225"/>
      <c r="DLQ225"/>
      <c r="DLR225"/>
      <c r="DLS225"/>
      <c r="DLT225"/>
      <c r="DLU225"/>
      <c r="DLV225"/>
      <c r="DLW225"/>
      <c r="DLX225"/>
      <c r="DLY225"/>
      <c r="DLZ225"/>
      <c r="DMA225"/>
      <c r="DMB225"/>
      <c r="DMC225"/>
      <c r="DMD225"/>
      <c r="DME225"/>
      <c r="DMF225"/>
      <c r="DMG225"/>
      <c r="DMH225"/>
      <c r="DMI225"/>
      <c r="DMJ225"/>
      <c r="DMK225"/>
      <c r="DML225"/>
      <c r="DMM225"/>
      <c r="DMN225"/>
      <c r="DMO225"/>
      <c r="DMP225"/>
      <c r="DMQ225"/>
      <c r="DMR225"/>
      <c r="DMS225"/>
      <c r="DMT225"/>
      <c r="DMU225"/>
      <c r="DMV225"/>
      <c r="DMW225"/>
      <c r="DMX225"/>
      <c r="DMY225"/>
      <c r="DMZ225"/>
      <c r="DNA225"/>
      <c r="DNB225"/>
      <c r="DNC225"/>
      <c r="DND225"/>
      <c r="DNE225"/>
      <c r="DNF225"/>
      <c r="DNG225"/>
      <c r="DNH225"/>
      <c r="DNI225"/>
      <c r="DNJ225"/>
      <c r="DNK225"/>
      <c r="DNL225"/>
      <c r="DNM225"/>
      <c r="DNN225"/>
      <c r="DNO225"/>
      <c r="DNP225"/>
      <c r="DNQ225"/>
      <c r="DNR225"/>
      <c r="DNS225"/>
      <c r="DNT225"/>
      <c r="DNU225"/>
      <c r="DNV225"/>
      <c r="DNW225"/>
      <c r="DNX225"/>
      <c r="DNY225"/>
      <c r="DNZ225"/>
      <c r="DOA225"/>
      <c r="DOB225"/>
      <c r="DOC225"/>
      <c r="DOD225"/>
      <c r="DOE225"/>
      <c r="DOF225"/>
      <c r="DOG225"/>
      <c r="DOH225"/>
      <c r="DOI225"/>
      <c r="DOJ225"/>
      <c r="DOK225"/>
      <c r="DOL225"/>
      <c r="DOM225"/>
      <c r="DON225"/>
      <c r="DOO225"/>
      <c r="DOP225"/>
      <c r="DOQ225"/>
      <c r="DOR225"/>
      <c r="DOS225"/>
      <c r="DOT225"/>
      <c r="DOU225"/>
      <c r="DOV225"/>
      <c r="DOW225"/>
      <c r="DOX225"/>
      <c r="DOY225"/>
      <c r="DOZ225"/>
      <c r="DPA225"/>
      <c r="DPB225"/>
      <c r="DPC225"/>
      <c r="DPD225"/>
      <c r="DPE225"/>
      <c r="DPF225"/>
      <c r="DPG225"/>
      <c r="DPH225"/>
      <c r="DPI225"/>
      <c r="DPJ225"/>
      <c r="DPK225"/>
      <c r="DPL225"/>
      <c r="DPM225"/>
      <c r="DPN225"/>
      <c r="DPO225"/>
      <c r="DPP225"/>
      <c r="DPQ225"/>
      <c r="DPR225"/>
      <c r="DPS225"/>
      <c r="DPT225"/>
      <c r="DPU225"/>
      <c r="DPV225"/>
      <c r="DPW225"/>
      <c r="DPX225"/>
      <c r="DPY225"/>
      <c r="DPZ225"/>
      <c r="DQA225"/>
      <c r="DQB225"/>
      <c r="DQC225"/>
      <c r="DQD225"/>
      <c r="DQE225"/>
      <c r="DQF225"/>
      <c r="DQG225"/>
      <c r="DQH225"/>
      <c r="DQI225"/>
      <c r="DQJ225"/>
      <c r="DQK225"/>
      <c r="DQL225"/>
      <c r="DQM225"/>
      <c r="DQN225"/>
      <c r="DQO225"/>
      <c r="DQP225"/>
      <c r="DQQ225"/>
      <c r="DQR225"/>
      <c r="DQS225"/>
      <c r="DQT225"/>
      <c r="DQU225"/>
      <c r="DQV225"/>
      <c r="DQW225"/>
      <c r="DQX225"/>
      <c r="DQY225"/>
      <c r="DQZ225"/>
      <c r="DRA225"/>
      <c r="DRB225"/>
      <c r="DRC225"/>
      <c r="DRD225"/>
      <c r="DRE225"/>
      <c r="DRF225"/>
      <c r="DRG225"/>
      <c r="DRH225"/>
      <c r="DRI225"/>
      <c r="DRJ225"/>
      <c r="DRK225"/>
      <c r="DRL225"/>
      <c r="DRM225"/>
      <c r="DRN225"/>
      <c r="DRO225"/>
      <c r="DRP225"/>
      <c r="DRQ225"/>
      <c r="DRR225"/>
      <c r="DRS225"/>
      <c r="DRT225"/>
      <c r="DRU225"/>
      <c r="DRV225"/>
      <c r="DRW225"/>
      <c r="DRX225"/>
      <c r="DRY225"/>
      <c r="DRZ225"/>
      <c r="DSA225"/>
      <c r="DSB225"/>
      <c r="DSC225"/>
      <c r="DSD225"/>
      <c r="DSE225"/>
      <c r="DSF225"/>
      <c r="DSG225"/>
      <c r="DSH225"/>
      <c r="DSI225"/>
      <c r="DSJ225"/>
      <c r="DSK225"/>
      <c r="DSL225"/>
      <c r="DSM225"/>
      <c r="DSN225"/>
      <c r="DSO225"/>
      <c r="DSP225"/>
      <c r="DSQ225"/>
      <c r="DSR225"/>
      <c r="DSS225"/>
      <c r="DST225"/>
      <c r="DSU225"/>
      <c r="DSV225"/>
      <c r="DSW225"/>
      <c r="DSX225"/>
      <c r="DSY225"/>
      <c r="DSZ225"/>
      <c r="DTA225"/>
      <c r="DTB225"/>
      <c r="DTC225"/>
      <c r="DTD225"/>
      <c r="DTE225"/>
      <c r="DTF225"/>
      <c r="DTG225"/>
      <c r="DTH225"/>
      <c r="DTI225"/>
      <c r="DTJ225"/>
      <c r="DTK225"/>
      <c r="DTL225"/>
      <c r="DTM225"/>
      <c r="DTN225"/>
      <c r="DTO225"/>
      <c r="DTP225"/>
      <c r="DTQ225"/>
      <c r="DTR225"/>
      <c r="DTS225"/>
      <c r="DTT225"/>
      <c r="DTU225"/>
      <c r="DTV225"/>
      <c r="DTW225"/>
      <c r="DTX225"/>
      <c r="DTY225"/>
      <c r="DTZ225"/>
      <c r="DUA225"/>
      <c r="DUB225"/>
      <c r="DUC225"/>
      <c r="DUD225"/>
      <c r="DUE225"/>
      <c r="DUF225"/>
      <c r="DUG225"/>
      <c r="DUH225"/>
      <c r="DUI225"/>
      <c r="DUJ225"/>
      <c r="DUK225"/>
      <c r="DUL225"/>
      <c r="DUM225"/>
      <c r="DUN225"/>
      <c r="DUO225"/>
      <c r="DUP225"/>
      <c r="DUQ225"/>
      <c r="DUR225"/>
      <c r="DUS225"/>
      <c r="DUT225"/>
      <c r="DUU225"/>
      <c r="DUV225"/>
      <c r="DUW225"/>
      <c r="DUX225"/>
      <c r="DUY225"/>
      <c r="DUZ225"/>
      <c r="DVA225"/>
      <c r="DVB225"/>
      <c r="DVC225"/>
      <c r="DVD225"/>
      <c r="DVE225"/>
      <c r="DVF225"/>
      <c r="DVG225"/>
      <c r="DVH225"/>
      <c r="DVI225"/>
      <c r="DVJ225"/>
      <c r="DVK225"/>
      <c r="DVL225"/>
      <c r="DVM225"/>
      <c r="DVN225"/>
      <c r="DVO225"/>
      <c r="DVP225"/>
      <c r="DVQ225"/>
      <c r="DVR225"/>
      <c r="DVS225"/>
      <c r="DVT225"/>
      <c r="DVU225"/>
      <c r="DVV225"/>
      <c r="DVW225"/>
      <c r="DVX225"/>
      <c r="DVY225"/>
      <c r="DVZ225"/>
      <c r="DWA225"/>
      <c r="DWB225"/>
      <c r="DWC225"/>
      <c r="DWD225"/>
      <c r="DWE225"/>
      <c r="DWF225"/>
      <c r="DWG225"/>
      <c r="DWH225"/>
      <c r="DWI225"/>
      <c r="DWJ225"/>
      <c r="DWK225"/>
      <c r="DWL225"/>
      <c r="DWM225"/>
      <c r="DWN225"/>
      <c r="DWO225"/>
      <c r="DWP225"/>
      <c r="DWQ225"/>
      <c r="DWR225"/>
      <c r="DWS225"/>
      <c r="DWT225"/>
      <c r="DWU225"/>
      <c r="DWV225"/>
      <c r="DWW225"/>
      <c r="DWX225"/>
      <c r="DWY225"/>
      <c r="DWZ225"/>
      <c r="DXA225"/>
      <c r="DXB225"/>
      <c r="DXC225"/>
      <c r="DXD225"/>
      <c r="DXE225"/>
      <c r="DXF225"/>
      <c r="DXG225"/>
      <c r="DXH225"/>
      <c r="DXI225"/>
      <c r="DXJ225"/>
      <c r="DXK225"/>
      <c r="DXL225"/>
      <c r="DXM225"/>
      <c r="DXN225"/>
      <c r="DXO225"/>
      <c r="DXP225"/>
      <c r="DXQ225"/>
      <c r="DXR225"/>
      <c r="DXS225"/>
      <c r="DXT225"/>
      <c r="DXU225"/>
      <c r="DXV225"/>
      <c r="DXW225"/>
      <c r="DXX225"/>
      <c r="DXY225"/>
      <c r="DXZ225"/>
      <c r="DYA225"/>
      <c r="DYB225"/>
      <c r="DYC225"/>
      <c r="DYD225"/>
      <c r="DYE225"/>
      <c r="DYF225"/>
      <c r="DYG225"/>
      <c r="DYH225"/>
      <c r="DYI225"/>
      <c r="DYJ225"/>
      <c r="DYK225"/>
      <c r="DYL225"/>
      <c r="DYM225"/>
      <c r="DYN225"/>
      <c r="DYO225"/>
      <c r="DYP225"/>
      <c r="DYQ225"/>
      <c r="DYR225"/>
      <c r="DYS225"/>
      <c r="DYT225"/>
      <c r="DYU225"/>
      <c r="DYV225"/>
      <c r="DYW225"/>
      <c r="DYX225"/>
      <c r="DYY225"/>
      <c r="DYZ225"/>
      <c r="DZA225"/>
      <c r="DZB225"/>
      <c r="DZC225"/>
      <c r="DZD225"/>
      <c r="DZE225"/>
      <c r="DZF225"/>
      <c r="DZG225"/>
      <c r="DZH225"/>
      <c r="DZI225"/>
      <c r="DZJ225"/>
      <c r="DZK225"/>
      <c r="DZL225"/>
      <c r="DZM225"/>
      <c r="DZN225"/>
      <c r="DZO225"/>
      <c r="DZP225"/>
      <c r="DZQ225"/>
      <c r="DZR225"/>
      <c r="DZS225"/>
      <c r="DZT225"/>
      <c r="DZU225"/>
      <c r="DZV225"/>
      <c r="DZW225"/>
      <c r="DZX225"/>
      <c r="DZY225"/>
      <c r="DZZ225"/>
      <c r="EAA225"/>
      <c r="EAB225"/>
      <c r="EAC225"/>
      <c r="EAD225"/>
      <c r="EAE225"/>
      <c r="EAF225"/>
      <c r="EAG225"/>
      <c r="EAH225"/>
      <c r="EAI225"/>
      <c r="EAJ225"/>
      <c r="EAK225"/>
      <c r="EAL225"/>
      <c r="EAM225"/>
      <c r="EAN225"/>
      <c r="EAO225"/>
      <c r="EAP225"/>
      <c r="EAQ225"/>
      <c r="EAR225"/>
      <c r="EAS225"/>
      <c r="EAT225"/>
      <c r="EAU225"/>
      <c r="EAV225"/>
      <c r="EAW225"/>
      <c r="EAX225"/>
      <c r="EAY225"/>
      <c r="EAZ225"/>
      <c r="EBA225"/>
      <c r="EBB225"/>
      <c r="EBC225"/>
      <c r="EBD225"/>
      <c r="EBE225"/>
      <c r="EBF225"/>
      <c r="EBG225"/>
      <c r="EBH225"/>
      <c r="EBI225"/>
      <c r="EBJ225"/>
      <c r="EBK225"/>
      <c r="EBL225"/>
      <c r="EBM225"/>
      <c r="EBN225"/>
      <c r="EBO225"/>
      <c r="EBP225"/>
      <c r="EBQ225"/>
      <c r="EBR225"/>
      <c r="EBS225"/>
      <c r="EBT225"/>
      <c r="EBU225"/>
      <c r="EBV225"/>
      <c r="EBW225"/>
      <c r="EBX225"/>
      <c r="EBY225"/>
      <c r="EBZ225"/>
      <c r="ECA225"/>
      <c r="ECB225"/>
      <c r="ECC225"/>
      <c r="ECD225"/>
      <c r="ECE225"/>
      <c r="ECF225"/>
      <c r="ECG225"/>
      <c r="ECH225"/>
      <c r="ECI225"/>
      <c r="ECJ225"/>
      <c r="ECK225"/>
      <c r="ECL225"/>
      <c r="ECM225"/>
      <c r="ECN225"/>
      <c r="ECO225"/>
      <c r="ECP225"/>
      <c r="ECQ225"/>
      <c r="ECR225"/>
      <c r="ECS225"/>
      <c r="ECT225"/>
      <c r="ECU225"/>
      <c r="ECV225"/>
      <c r="ECW225"/>
      <c r="ECX225"/>
      <c r="ECY225"/>
      <c r="ECZ225"/>
      <c r="EDA225"/>
      <c r="EDB225"/>
      <c r="EDC225"/>
      <c r="EDD225"/>
      <c r="EDE225"/>
      <c r="EDF225"/>
      <c r="EDG225"/>
      <c r="EDH225"/>
      <c r="EDI225"/>
      <c r="EDJ225"/>
      <c r="EDK225"/>
      <c r="EDL225"/>
      <c r="EDM225"/>
      <c r="EDN225"/>
      <c r="EDO225"/>
      <c r="EDP225"/>
      <c r="EDQ225"/>
      <c r="EDR225"/>
      <c r="EDS225"/>
      <c r="EDT225"/>
      <c r="EDU225"/>
      <c r="EDV225"/>
      <c r="EDW225"/>
      <c r="EDX225"/>
      <c r="EDY225"/>
      <c r="EDZ225"/>
      <c r="EEA225"/>
      <c r="EEB225"/>
      <c r="EEC225"/>
      <c r="EED225"/>
      <c r="EEE225"/>
      <c r="EEF225"/>
      <c r="EEG225"/>
      <c r="EEH225"/>
      <c r="EEI225"/>
      <c r="EEJ225"/>
      <c r="EEK225"/>
      <c r="EEL225"/>
      <c r="EEM225"/>
      <c r="EEN225"/>
      <c r="EEO225"/>
      <c r="EEP225"/>
      <c r="EEQ225"/>
      <c r="EER225"/>
      <c r="EES225"/>
      <c r="EET225"/>
      <c r="EEU225"/>
      <c r="EEV225"/>
      <c r="EEW225"/>
      <c r="EEX225"/>
      <c r="EEY225"/>
      <c r="EEZ225"/>
      <c r="EFA225"/>
      <c r="EFB225"/>
      <c r="EFC225"/>
      <c r="EFD225"/>
      <c r="EFE225"/>
      <c r="EFF225"/>
      <c r="EFG225"/>
      <c r="EFH225"/>
      <c r="EFI225"/>
      <c r="EFJ225"/>
      <c r="EFK225"/>
      <c r="EFL225"/>
      <c r="EFM225"/>
      <c r="EFN225"/>
      <c r="EFO225"/>
      <c r="EFP225"/>
      <c r="EFQ225"/>
      <c r="EFR225"/>
      <c r="EFS225"/>
      <c r="EFT225"/>
      <c r="EFU225"/>
      <c r="EFV225"/>
      <c r="EFW225"/>
      <c r="EFX225"/>
      <c r="EFY225"/>
      <c r="EFZ225"/>
      <c r="EGA225"/>
      <c r="EGB225"/>
      <c r="EGC225"/>
      <c r="EGD225"/>
      <c r="EGE225"/>
      <c r="EGF225"/>
      <c r="EGG225"/>
      <c r="EGH225"/>
      <c r="EGI225"/>
      <c r="EGJ225"/>
      <c r="EGK225"/>
      <c r="EGL225"/>
      <c r="EGM225"/>
      <c r="EGN225"/>
      <c r="EGO225"/>
      <c r="EGP225"/>
      <c r="EGQ225"/>
      <c r="EGR225"/>
      <c r="EGS225"/>
      <c r="EGT225"/>
      <c r="EGU225"/>
      <c r="EGV225"/>
      <c r="EGW225"/>
      <c r="EGX225"/>
      <c r="EGY225"/>
      <c r="EGZ225"/>
      <c r="EHA225"/>
      <c r="EHB225"/>
      <c r="EHC225"/>
      <c r="EHD225"/>
      <c r="EHE225"/>
      <c r="EHF225"/>
      <c r="EHG225"/>
      <c r="EHH225"/>
      <c r="EHI225"/>
      <c r="EHJ225"/>
      <c r="EHK225"/>
      <c r="EHL225"/>
      <c r="EHM225"/>
      <c r="EHN225"/>
      <c r="EHO225"/>
      <c r="EHP225"/>
      <c r="EHQ225"/>
      <c r="EHR225"/>
      <c r="EHS225"/>
      <c r="EHT225"/>
      <c r="EHU225"/>
      <c r="EHV225"/>
      <c r="EHW225"/>
      <c r="EHX225"/>
      <c r="EHY225"/>
      <c r="EHZ225"/>
      <c r="EIA225"/>
      <c r="EIB225"/>
      <c r="EIC225"/>
      <c r="EID225"/>
      <c r="EIE225"/>
      <c r="EIF225"/>
      <c r="EIG225"/>
      <c r="EIH225"/>
      <c r="EII225"/>
      <c r="EIJ225"/>
      <c r="EIK225"/>
      <c r="EIL225"/>
      <c r="EIM225"/>
      <c r="EIN225"/>
      <c r="EIO225"/>
      <c r="EIP225"/>
      <c r="EIQ225"/>
      <c r="EIR225"/>
      <c r="EIS225"/>
      <c r="EIT225"/>
      <c r="EIU225"/>
      <c r="EIV225"/>
      <c r="EIW225"/>
      <c r="EIX225"/>
      <c r="EIY225"/>
      <c r="EIZ225"/>
      <c r="EJA225"/>
      <c r="EJB225"/>
      <c r="EJC225"/>
      <c r="EJD225"/>
      <c r="EJE225"/>
      <c r="EJF225"/>
      <c r="EJG225"/>
      <c r="EJH225"/>
      <c r="EJI225"/>
      <c r="EJJ225"/>
      <c r="EJK225"/>
      <c r="EJL225"/>
      <c r="EJM225"/>
      <c r="EJN225"/>
      <c r="EJO225"/>
      <c r="EJP225"/>
      <c r="EJQ225"/>
      <c r="EJR225"/>
      <c r="EJS225"/>
      <c r="EJT225"/>
      <c r="EJU225"/>
      <c r="EJV225"/>
      <c r="EJW225"/>
      <c r="EJX225"/>
      <c r="EJY225"/>
      <c r="EJZ225"/>
      <c r="EKA225"/>
      <c r="EKB225"/>
      <c r="EKC225"/>
      <c r="EKD225"/>
      <c r="EKE225"/>
      <c r="EKF225"/>
      <c r="EKG225"/>
      <c r="EKH225"/>
      <c r="EKI225"/>
      <c r="EKJ225"/>
      <c r="EKK225"/>
      <c r="EKL225"/>
      <c r="EKM225"/>
      <c r="EKN225"/>
      <c r="EKO225"/>
      <c r="EKP225"/>
      <c r="EKQ225"/>
      <c r="EKR225"/>
      <c r="EKS225"/>
      <c r="EKT225"/>
      <c r="EKU225"/>
      <c r="EKV225"/>
      <c r="EKW225"/>
      <c r="EKX225"/>
      <c r="EKY225"/>
      <c r="EKZ225"/>
      <c r="ELA225"/>
      <c r="ELB225"/>
      <c r="ELC225"/>
      <c r="ELD225"/>
      <c r="ELE225"/>
      <c r="ELF225"/>
      <c r="ELG225"/>
      <c r="ELH225"/>
      <c r="ELI225"/>
      <c r="ELJ225"/>
      <c r="ELK225"/>
      <c r="ELL225"/>
      <c r="ELM225"/>
      <c r="ELN225"/>
      <c r="ELO225"/>
      <c r="ELP225"/>
      <c r="ELQ225"/>
      <c r="ELR225"/>
      <c r="ELS225"/>
      <c r="ELT225"/>
      <c r="ELU225"/>
      <c r="ELV225"/>
      <c r="ELW225"/>
      <c r="ELX225"/>
      <c r="ELY225"/>
      <c r="ELZ225"/>
      <c r="EMA225"/>
      <c r="EMB225"/>
      <c r="EMC225"/>
      <c r="EMD225"/>
      <c r="EME225"/>
      <c r="EMF225"/>
      <c r="EMG225"/>
      <c r="EMH225"/>
      <c r="EMI225"/>
      <c r="EMJ225"/>
      <c r="EMK225"/>
      <c r="EML225"/>
      <c r="EMM225"/>
      <c r="EMN225"/>
      <c r="EMO225"/>
      <c r="EMP225"/>
      <c r="EMQ225"/>
      <c r="EMR225"/>
      <c r="EMS225"/>
      <c r="EMT225"/>
      <c r="EMU225"/>
      <c r="EMV225"/>
      <c r="EMW225"/>
      <c r="EMX225"/>
      <c r="EMY225"/>
      <c r="EMZ225"/>
      <c r="ENA225"/>
      <c r="ENB225"/>
      <c r="ENC225"/>
      <c r="END225"/>
      <c r="ENE225"/>
      <c r="ENF225"/>
      <c r="ENG225"/>
      <c r="ENH225"/>
      <c r="ENI225"/>
      <c r="ENJ225"/>
      <c r="ENK225"/>
      <c r="ENL225"/>
      <c r="ENM225"/>
      <c r="ENN225"/>
      <c r="ENO225"/>
      <c r="ENP225"/>
      <c r="ENQ225"/>
      <c r="ENR225"/>
      <c r="ENS225"/>
      <c r="ENT225"/>
      <c r="ENU225"/>
      <c r="ENV225"/>
      <c r="ENW225"/>
      <c r="ENX225"/>
      <c r="ENY225"/>
      <c r="ENZ225"/>
      <c r="EOA225"/>
      <c r="EOB225"/>
      <c r="EOC225"/>
      <c r="EOD225"/>
      <c r="EOE225"/>
      <c r="EOF225"/>
      <c r="EOG225"/>
      <c r="EOH225"/>
      <c r="EOI225"/>
      <c r="EOJ225"/>
      <c r="EOK225"/>
      <c r="EOL225"/>
      <c r="EOM225"/>
      <c r="EON225"/>
      <c r="EOO225"/>
      <c r="EOP225"/>
      <c r="EOQ225"/>
      <c r="EOR225"/>
      <c r="EOS225"/>
      <c r="EOT225"/>
      <c r="EOU225"/>
      <c r="EOV225"/>
      <c r="EOW225"/>
      <c r="EOX225"/>
      <c r="EOY225"/>
      <c r="EOZ225"/>
      <c r="EPA225"/>
      <c r="EPB225"/>
      <c r="EPC225"/>
      <c r="EPD225"/>
      <c r="EPE225"/>
      <c r="EPF225"/>
      <c r="EPG225"/>
      <c r="EPH225"/>
      <c r="EPI225"/>
      <c r="EPJ225"/>
      <c r="EPK225"/>
      <c r="EPL225"/>
      <c r="EPM225"/>
      <c r="EPN225"/>
      <c r="EPO225"/>
      <c r="EPP225"/>
      <c r="EPQ225"/>
      <c r="EPR225"/>
      <c r="EPS225"/>
      <c r="EPT225"/>
      <c r="EPU225"/>
      <c r="EPV225"/>
      <c r="EPW225"/>
      <c r="EPX225"/>
      <c r="EPY225"/>
      <c r="EPZ225"/>
      <c r="EQA225"/>
      <c r="EQB225"/>
      <c r="EQC225"/>
      <c r="EQD225"/>
      <c r="EQE225"/>
      <c r="EQF225"/>
      <c r="EQG225"/>
      <c r="EQH225"/>
      <c r="EQI225"/>
      <c r="EQJ225"/>
      <c r="EQK225"/>
      <c r="EQL225"/>
      <c r="EQM225"/>
      <c r="EQN225"/>
      <c r="EQO225"/>
      <c r="EQP225"/>
      <c r="EQQ225"/>
      <c r="EQR225"/>
      <c r="EQS225"/>
      <c r="EQT225"/>
      <c r="EQU225"/>
      <c r="EQV225"/>
      <c r="EQW225"/>
      <c r="EQX225"/>
      <c r="EQY225"/>
      <c r="EQZ225"/>
      <c r="ERA225"/>
      <c r="ERB225"/>
      <c r="ERC225"/>
      <c r="ERD225"/>
      <c r="ERE225"/>
      <c r="ERF225"/>
      <c r="ERG225"/>
      <c r="ERH225"/>
      <c r="ERI225"/>
      <c r="ERJ225"/>
      <c r="ERK225"/>
      <c r="ERL225"/>
      <c r="ERM225"/>
      <c r="ERN225"/>
      <c r="ERO225"/>
      <c r="ERP225"/>
      <c r="ERQ225"/>
      <c r="ERR225"/>
      <c r="ERS225"/>
      <c r="ERT225"/>
      <c r="ERU225"/>
      <c r="ERV225"/>
      <c r="ERW225"/>
      <c r="ERX225"/>
      <c r="ERY225"/>
      <c r="ERZ225"/>
      <c r="ESA225"/>
      <c r="ESB225"/>
      <c r="ESC225"/>
      <c r="ESD225"/>
      <c r="ESE225"/>
      <c r="ESF225"/>
      <c r="ESG225"/>
      <c r="ESH225"/>
      <c r="ESI225"/>
      <c r="ESJ225"/>
      <c r="ESK225"/>
      <c r="ESL225"/>
      <c r="ESM225"/>
      <c r="ESN225"/>
      <c r="ESO225"/>
      <c r="ESP225"/>
      <c r="ESQ225"/>
      <c r="ESR225"/>
      <c r="ESS225"/>
      <c r="EST225"/>
      <c r="ESU225"/>
      <c r="ESV225"/>
      <c r="ESW225"/>
      <c r="ESX225"/>
      <c r="ESY225"/>
      <c r="ESZ225"/>
      <c r="ETA225"/>
      <c r="ETB225"/>
      <c r="ETC225"/>
      <c r="ETD225"/>
      <c r="ETE225"/>
      <c r="ETF225"/>
      <c r="ETG225"/>
      <c r="ETH225"/>
      <c r="ETI225"/>
      <c r="ETJ225"/>
      <c r="ETK225"/>
      <c r="ETL225"/>
      <c r="ETM225"/>
      <c r="ETN225"/>
      <c r="ETO225"/>
      <c r="ETP225"/>
      <c r="ETQ225"/>
      <c r="ETR225"/>
      <c r="ETS225"/>
      <c r="ETT225"/>
      <c r="ETU225"/>
      <c r="ETV225"/>
      <c r="ETW225"/>
      <c r="ETX225"/>
      <c r="ETY225"/>
      <c r="ETZ225"/>
      <c r="EUA225"/>
      <c r="EUB225"/>
      <c r="EUC225"/>
      <c r="EUD225"/>
      <c r="EUE225"/>
      <c r="EUF225"/>
      <c r="EUG225"/>
      <c r="EUH225"/>
      <c r="EUI225"/>
      <c r="EUJ225"/>
      <c r="EUK225"/>
      <c r="EUL225"/>
      <c r="EUM225"/>
      <c r="EUN225"/>
      <c r="EUO225"/>
      <c r="EUP225"/>
      <c r="EUQ225"/>
      <c r="EUR225"/>
      <c r="EUS225"/>
      <c r="EUT225"/>
      <c r="EUU225"/>
      <c r="EUV225"/>
      <c r="EUW225"/>
      <c r="EUX225"/>
      <c r="EUY225"/>
      <c r="EUZ225"/>
      <c r="EVA225"/>
      <c r="EVB225"/>
      <c r="EVC225"/>
      <c r="EVD225"/>
      <c r="EVE225"/>
      <c r="EVF225"/>
      <c r="EVG225"/>
      <c r="EVH225"/>
      <c r="EVI225"/>
      <c r="EVJ225"/>
      <c r="EVK225"/>
      <c r="EVL225"/>
      <c r="EVM225"/>
      <c r="EVN225"/>
      <c r="EVO225"/>
      <c r="EVP225"/>
      <c r="EVQ225"/>
      <c r="EVR225"/>
      <c r="EVS225"/>
      <c r="EVT225"/>
      <c r="EVU225"/>
      <c r="EVV225"/>
      <c r="EVW225"/>
      <c r="EVX225"/>
      <c r="EVY225"/>
      <c r="EVZ225"/>
      <c r="EWA225"/>
      <c r="EWB225"/>
      <c r="EWC225"/>
      <c r="EWD225"/>
      <c r="EWE225"/>
      <c r="EWF225"/>
      <c r="EWG225"/>
      <c r="EWH225"/>
      <c r="EWI225"/>
      <c r="EWJ225"/>
      <c r="EWK225"/>
      <c r="EWL225"/>
      <c r="EWM225"/>
      <c r="EWN225"/>
      <c r="EWO225"/>
      <c r="EWP225"/>
      <c r="EWQ225"/>
      <c r="EWR225"/>
      <c r="EWS225"/>
      <c r="EWT225"/>
      <c r="EWU225"/>
      <c r="EWV225"/>
      <c r="EWW225"/>
      <c r="EWX225"/>
      <c r="EWY225"/>
      <c r="EWZ225"/>
      <c r="EXA225"/>
      <c r="EXB225"/>
      <c r="EXC225"/>
      <c r="EXD225"/>
      <c r="EXE225"/>
      <c r="EXF225"/>
      <c r="EXG225"/>
      <c r="EXH225"/>
      <c r="EXI225"/>
      <c r="EXJ225"/>
      <c r="EXK225"/>
      <c r="EXL225"/>
      <c r="EXM225"/>
      <c r="EXN225"/>
      <c r="EXO225"/>
      <c r="EXP225"/>
      <c r="EXQ225"/>
      <c r="EXR225"/>
      <c r="EXS225"/>
      <c r="EXT225"/>
      <c r="EXU225"/>
      <c r="EXV225"/>
      <c r="EXW225"/>
      <c r="EXX225"/>
      <c r="EXY225"/>
      <c r="EXZ225"/>
      <c r="EYA225"/>
      <c r="EYB225"/>
      <c r="EYC225"/>
      <c r="EYD225"/>
      <c r="EYE225"/>
      <c r="EYF225"/>
      <c r="EYG225"/>
      <c r="EYH225"/>
      <c r="EYI225"/>
      <c r="EYJ225"/>
      <c r="EYK225"/>
      <c r="EYL225"/>
      <c r="EYM225"/>
      <c r="EYN225"/>
      <c r="EYO225"/>
      <c r="EYP225"/>
      <c r="EYQ225"/>
      <c r="EYR225"/>
      <c r="EYS225"/>
      <c r="EYT225"/>
      <c r="EYU225"/>
      <c r="EYV225"/>
      <c r="EYW225"/>
      <c r="EYX225"/>
      <c r="EYY225"/>
      <c r="EYZ225"/>
      <c r="EZA225"/>
      <c r="EZB225"/>
      <c r="EZC225"/>
      <c r="EZD225"/>
      <c r="EZE225"/>
      <c r="EZF225"/>
      <c r="EZG225"/>
      <c r="EZH225"/>
      <c r="EZI225"/>
      <c r="EZJ225"/>
      <c r="EZK225"/>
      <c r="EZL225"/>
      <c r="EZM225"/>
      <c r="EZN225"/>
      <c r="EZO225"/>
      <c r="EZP225"/>
      <c r="EZQ225"/>
      <c r="EZR225"/>
      <c r="EZS225"/>
      <c r="EZT225"/>
      <c r="EZU225"/>
      <c r="EZV225"/>
      <c r="EZW225"/>
      <c r="EZX225"/>
      <c r="EZY225"/>
      <c r="EZZ225"/>
      <c r="FAA225"/>
      <c r="FAB225"/>
      <c r="FAC225"/>
      <c r="FAD225"/>
      <c r="FAE225"/>
      <c r="FAF225"/>
      <c r="FAG225"/>
      <c r="FAH225"/>
      <c r="FAI225"/>
      <c r="FAJ225"/>
      <c r="FAK225"/>
      <c r="FAL225"/>
      <c r="FAM225"/>
      <c r="FAN225"/>
      <c r="FAO225"/>
      <c r="FAP225"/>
      <c r="FAQ225"/>
      <c r="FAR225"/>
      <c r="FAS225"/>
      <c r="FAT225"/>
      <c r="FAU225"/>
      <c r="FAV225"/>
      <c r="FAW225"/>
      <c r="FAX225"/>
      <c r="FAY225"/>
      <c r="FAZ225"/>
      <c r="FBA225"/>
      <c r="FBB225"/>
      <c r="FBC225"/>
      <c r="FBD225"/>
      <c r="FBE225"/>
      <c r="FBF225"/>
      <c r="FBG225"/>
      <c r="FBH225"/>
      <c r="FBI225"/>
      <c r="FBJ225"/>
      <c r="FBK225"/>
      <c r="FBL225"/>
      <c r="FBM225"/>
      <c r="FBN225"/>
      <c r="FBO225"/>
      <c r="FBP225"/>
      <c r="FBQ225"/>
      <c r="FBR225"/>
      <c r="FBS225"/>
      <c r="FBT225"/>
      <c r="FBU225"/>
      <c r="FBV225"/>
      <c r="FBW225"/>
      <c r="FBX225"/>
      <c r="FBY225"/>
      <c r="FBZ225"/>
      <c r="FCA225"/>
      <c r="FCB225"/>
      <c r="FCC225"/>
      <c r="FCD225"/>
      <c r="FCE225"/>
      <c r="FCF225"/>
      <c r="FCG225"/>
      <c r="FCH225"/>
      <c r="FCI225"/>
      <c r="FCJ225"/>
      <c r="FCK225"/>
      <c r="FCL225"/>
      <c r="FCM225"/>
      <c r="FCN225"/>
      <c r="FCO225"/>
      <c r="FCP225"/>
      <c r="FCQ225"/>
      <c r="FCR225"/>
      <c r="FCS225"/>
      <c r="FCT225"/>
      <c r="FCU225"/>
      <c r="FCV225"/>
      <c r="FCW225"/>
      <c r="FCX225"/>
      <c r="FCY225"/>
      <c r="FCZ225"/>
      <c r="FDA225"/>
      <c r="FDB225"/>
      <c r="FDC225"/>
      <c r="FDD225"/>
      <c r="FDE225"/>
      <c r="FDF225"/>
      <c r="FDG225"/>
      <c r="FDH225"/>
      <c r="FDI225"/>
      <c r="FDJ225"/>
      <c r="FDK225"/>
      <c r="FDL225"/>
      <c r="FDM225"/>
      <c r="FDN225"/>
      <c r="FDO225"/>
      <c r="FDP225"/>
      <c r="FDQ225"/>
      <c r="FDR225"/>
      <c r="FDS225"/>
      <c r="FDT225"/>
      <c r="FDU225"/>
      <c r="FDV225"/>
      <c r="FDW225"/>
      <c r="FDX225"/>
      <c r="FDY225"/>
      <c r="FDZ225"/>
      <c r="FEA225"/>
      <c r="FEB225"/>
      <c r="FEC225"/>
      <c r="FED225"/>
      <c r="FEE225"/>
      <c r="FEF225"/>
      <c r="FEG225"/>
      <c r="FEH225"/>
      <c r="FEI225"/>
      <c r="FEJ225"/>
      <c r="FEK225"/>
      <c r="FEL225"/>
      <c r="FEM225"/>
      <c r="FEN225"/>
      <c r="FEO225"/>
      <c r="FEP225"/>
      <c r="FEQ225"/>
      <c r="FER225"/>
      <c r="FES225"/>
      <c r="FET225"/>
      <c r="FEU225"/>
      <c r="FEV225"/>
      <c r="FEW225"/>
      <c r="FEX225"/>
      <c r="FEY225"/>
      <c r="FEZ225"/>
      <c r="FFA225"/>
      <c r="FFB225"/>
      <c r="FFC225"/>
      <c r="FFD225"/>
      <c r="FFE225"/>
      <c r="FFF225"/>
      <c r="FFG225"/>
      <c r="FFH225"/>
      <c r="FFI225"/>
      <c r="FFJ225"/>
      <c r="FFK225"/>
      <c r="FFL225"/>
      <c r="FFM225"/>
      <c r="FFN225"/>
      <c r="FFO225"/>
      <c r="FFP225"/>
      <c r="FFQ225"/>
      <c r="FFR225"/>
      <c r="FFS225"/>
      <c r="FFT225"/>
      <c r="FFU225"/>
      <c r="FFV225"/>
      <c r="FFW225"/>
      <c r="FFX225"/>
      <c r="FFY225"/>
      <c r="FFZ225"/>
      <c r="FGA225"/>
      <c r="FGB225"/>
      <c r="FGC225"/>
      <c r="FGD225"/>
      <c r="FGE225"/>
      <c r="FGF225"/>
      <c r="FGG225"/>
      <c r="FGH225"/>
      <c r="FGI225"/>
      <c r="FGJ225"/>
      <c r="FGK225"/>
      <c r="FGL225"/>
      <c r="FGM225"/>
      <c r="FGN225"/>
      <c r="FGO225"/>
      <c r="FGP225"/>
      <c r="FGQ225"/>
      <c r="FGR225"/>
      <c r="FGS225"/>
      <c r="FGT225"/>
      <c r="FGU225"/>
      <c r="FGV225"/>
      <c r="FGW225"/>
      <c r="FGX225"/>
      <c r="FGY225"/>
      <c r="FGZ225"/>
      <c r="FHA225"/>
      <c r="FHB225"/>
      <c r="FHC225"/>
      <c r="FHD225"/>
      <c r="FHE225"/>
      <c r="FHF225"/>
      <c r="FHG225"/>
      <c r="FHH225"/>
      <c r="FHI225"/>
      <c r="FHJ225"/>
      <c r="FHK225"/>
      <c r="FHL225"/>
      <c r="FHM225"/>
      <c r="FHN225"/>
      <c r="FHO225"/>
      <c r="FHP225"/>
      <c r="FHQ225"/>
      <c r="FHR225"/>
      <c r="FHS225"/>
      <c r="FHT225"/>
      <c r="FHU225"/>
      <c r="FHV225"/>
      <c r="FHW225"/>
      <c r="FHX225"/>
      <c r="FHY225"/>
      <c r="FHZ225"/>
      <c r="FIA225"/>
      <c r="FIB225"/>
      <c r="FIC225"/>
      <c r="FID225"/>
      <c r="FIE225"/>
      <c r="FIF225"/>
      <c r="FIG225"/>
      <c r="FIH225"/>
      <c r="FII225"/>
      <c r="FIJ225"/>
      <c r="FIK225"/>
      <c r="FIL225"/>
      <c r="FIM225"/>
      <c r="FIN225"/>
      <c r="FIO225"/>
      <c r="FIP225"/>
      <c r="FIQ225"/>
      <c r="FIR225"/>
      <c r="FIS225"/>
      <c r="FIT225"/>
      <c r="FIU225"/>
      <c r="FIV225"/>
      <c r="FIW225"/>
      <c r="FIX225"/>
      <c r="FIY225"/>
      <c r="FIZ225"/>
      <c r="FJA225"/>
      <c r="FJB225"/>
      <c r="FJC225"/>
      <c r="FJD225"/>
      <c r="FJE225"/>
      <c r="FJF225"/>
      <c r="FJG225"/>
      <c r="FJH225"/>
      <c r="FJI225"/>
      <c r="FJJ225"/>
      <c r="FJK225"/>
      <c r="FJL225"/>
      <c r="FJM225"/>
      <c r="FJN225"/>
      <c r="FJO225"/>
      <c r="FJP225"/>
      <c r="FJQ225"/>
      <c r="FJR225"/>
      <c r="FJS225"/>
      <c r="FJT225"/>
      <c r="FJU225"/>
      <c r="FJV225"/>
      <c r="FJW225"/>
      <c r="FJX225"/>
      <c r="FJY225"/>
      <c r="FJZ225"/>
      <c r="FKA225"/>
      <c r="FKB225"/>
      <c r="FKC225"/>
      <c r="FKD225"/>
      <c r="FKE225"/>
      <c r="FKF225"/>
      <c r="FKG225"/>
      <c r="FKH225"/>
      <c r="FKI225"/>
      <c r="FKJ225"/>
      <c r="FKK225"/>
      <c r="FKL225"/>
      <c r="FKM225"/>
      <c r="FKN225"/>
      <c r="FKO225"/>
      <c r="FKP225"/>
      <c r="FKQ225"/>
      <c r="FKR225"/>
      <c r="FKS225"/>
      <c r="FKT225"/>
      <c r="FKU225"/>
      <c r="FKV225"/>
      <c r="FKW225"/>
      <c r="FKX225"/>
      <c r="FKY225"/>
      <c r="FKZ225"/>
      <c r="FLA225"/>
      <c r="FLB225"/>
      <c r="FLC225"/>
      <c r="FLD225"/>
      <c r="FLE225"/>
      <c r="FLF225"/>
      <c r="FLG225"/>
      <c r="FLH225"/>
      <c r="FLI225"/>
      <c r="FLJ225"/>
      <c r="FLK225"/>
      <c r="FLL225"/>
      <c r="FLM225"/>
      <c r="FLN225"/>
      <c r="FLO225"/>
      <c r="FLP225"/>
      <c r="FLQ225"/>
      <c r="FLR225"/>
      <c r="FLS225"/>
      <c r="FLT225"/>
      <c r="FLU225"/>
      <c r="FLV225"/>
      <c r="FLW225"/>
      <c r="FLX225"/>
      <c r="FLY225"/>
      <c r="FLZ225"/>
      <c r="FMA225"/>
      <c r="FMB225"/>
      <c r="FMC225"/>
      <c r="FMD225"/>
      <c r="FME225"/>
      <c r="FMF225"/>
      <c r="FMG225"/>
      <c r="FMH225"/>
      <c r="FMI225"/>
      <c r="FMJ225"/>
      <c r="FMK225"/>
      <c r="FML225"/>
      <c r="FMM225"/>
      <c r="FMN225"/>
      <c r="FMO225"/>
      <c r="FMP225"/>
      <c r="FMQ225"/>
      <c r="FMR225"/>
      <c r="FMS225"/>
      <c r="FMT225"/>
      <c r="FMU225"/>
      <c r="FMV225"/>
      <c r="FMW225"/>
      <c r="FMX225"/>
      <c r="FMY225"/>
      <c r="FMZ225"/>
      <c r="FNA225"/>
      <c r="FNB225"/>
      <c r="FNC225"/>
      <c r="FND225"/>
      <c r="FNE225"/>
      <c r="FNF225"/>
      <c r="FNG225"/>
      <c r="FNH225"/>
      <c r="FNI225"/>
      <c r="FNJ225"/>
      <c r="FNK225"/>
      <c r="FNL225"/>
      <c r="FNM225"/>
      <c r="FNN225"/>
      <c r="FNO225"/>
      <c r="FNP225"/>
      <c r="FNQ225"/>
      <c r="FNR225"/>
      <c r="FNS225"/>
      <c r="FNT225"/>
      <c r="FNU225"/>
      <c r="FNV225"/>
      <c r="FNW225"/>
      <c r="FNX225"/>
      <c r="FNY225"/>
      <c r="FNZ225"/>
      <c r="FOA225"/>
      <c r="FOB225"/>
      <c r="FOC225"/>
      <c r="FOD225"/>
      <c r="FOE225"/>
      <c r="FOF225"/>
      <c r="FOG225"/>
      <c r="FOH225"/>
      <c r="FOI225"/>
      <c r="FOJ225"/>
      <c r="FOK225"/>
      <c r="FOL225"/>
      <c r="FOM225"/>
      <c r="FON225"/>
      <c r="FOO225"/>
      <c r="FOP225"/>
      <c r="FOQ225"/>
      <c r="FOR225"/>
      <c r="FOS225"/>
      <c r="FOT225"/>
      <c r="FOU225"/>
      <c r="FOV225"/>
      <c r="FOW225"/>
      <c r="FOX225"/>
      <c r="FOY225"/>
      <c r="FOZ225"/>
      <c r="FPA225"/>
      <c r="FPB225"/>
      <c r="FPC225"/>
      <c r="FPD225"/>
      <c r="FPE225"/>
      <c r="FPF225"/>
      <c r="FPG225"/>
      <c r="FPH225"/>
      <c r="FPI225"/>
      <c r="FPJ225"/>
      <c r="FPK225"/>
      <c r="FPL225"/>
      <c r="FPM225"/>
      <c r="FPN225"/>
      <c r="FPO225"/>
      <c r="FPP225"/>
      <c r="FPQ225"/>
      <c r="FPR225"/>
      <c r="FPS225"/>
      <c r="FPT225"/>
      <c r="FPU225"/>
      <c r="FPV225"/>
      <c r="FPW225"/>
      <c r="FPX225"/>
      <c r="FPY225"/>
      <c r="FPZ225"/>
      <c r="FQA225"/>
      <c r="FQB225"/>
      <c r="FQC225"/>
      <c r="FQD225"/>
      <c r="FQE225"/>
      <c r="FQF225"/>
      <c r="FQG225"/>
      <c r="FQH225"/>
      <c r="FQI225"/>
      <c r="FQJ225"/>
      <c r="FQK225"/>
      <c r="FQL225"/>
      <c r="FQM225"/>
      <c r="FQN225"/>
      <c r="FQO225"/>
      <c r="FQP225"/>
      <c r="FQQ225"/>
      <c r="FQR225"/>
      <c r="FQS225"/>
      <c r="FQT225"/>
      <c r="FQU225"/>
      <c r="FQV225"/>
      <c r="FQW225"/>
      <c r="FQX225"/>
      <c r="FQY225"/>
      <c r="FQZ225"/>
      <c r="FRA225"/>
      <c r="FRB225"/>
      <c r="FRC225"/>
      <c r="FRD225"/>
      <c r="FRE225"/>
      <c r="FRF225"/>
      <c r="FRG225"/>
      <c r="FRH225"/>
      <c r="FRI225"/>
      <c r="FRJ225"/>
      <c r="FRK225"/>
      <c r="FRL225"/>
      <c r="FRM225"/>
      <c r="FRN225"/>
      <c r="FRO225"/>
      <c r="FRP225"/>
      <c r="FRQ225"/>
      <c r="FRR225"/>
      <c r="FRS225"/>
      <c r="FRT225"/>
      <c r="FRU225"/>
      <c r="FRV225"/>
      <c r="FRW225"/>
      <c r="FRX225"/>
      <c r="FRY225"/>
      <c r="FRZ225"/>
      <c r="FSA225"/>
      <c r="FSB225"/>
      <c r="FSC225"/>
      <c r="FSD225"/>
      <c r="FSE225"/>
      <c r="FSF225"/>
      <c r="FSG225"/>
      <c r="FSH225"/>
      <c r="FSI225"/>
      <c r="FSJ225"/>
      <c r="FSK225"/>
      <c r="FSL225"/>
      <c r="FSM225"/>
      <c r="FSN225"/>
      <c r="FSO225"/>
      <c r="FSP225"/>
      <c r="FSQ225"/>
      <c r="FSR225"/>
      <c r="FSS225"/>
      <c r="FST225"/>
      <c r="FSU225"/>
      <c r="FSV225"/>
      <c r="FSW225"/>
      <c r="FSX225"/>
      <c r="FSY225"/>
      <c r="FSZ225"/>
      <c r="FTA225"/>
      <c r="FTB225"/>
      <c r="FTC225"/>
      <c r="FTD225"/>
      <c r="FTE225"/>
      <c r="FTF225"/>
      <c r="FTG225"/>
      <c r="FTH225"/>
      <c r="FTI225"/>
      <c r="FTJ225"/>
      <c r="FTK225"/>
      <c r="FTL225"/>
      <c r="FTM225"/>
      <c r="FTN225"/>
      <c r="FTO225"/>
      <c r="FTP225"/>
      <c r="FTQ225"/>
      <c r="FTR225"/>
      <c r="FTS225"/>
      <c r="FTT225"/>
      <c r="FTU225"/>
      <c r="FTV225"/>
      <c r="FTW225"/>
      <c r="FTX225"/>
      <c r="FTY225"/>
      <c r="FTZ225"/>
      <c r="FUA225"/>
      <c r="FUB225"/>
      <c r="FUC225"/>
      <c r="FUD225"/>
      <c r="FUE225"/>
      <c r="FUF225"/>
      <c r="FUG225"/>
      <c r="FUH225"/>
      <c r="FUI225"/>
      <c r="FUJ225"/>
      <c r="FUK225"/>
      <c r="FUL225"/>
      <c r="FUM225"/>
      <c r="FUN225"/>
      <c r="FUO225"/>
      <c r="FUP225"/>
      <c r="FUQ225"/>
      <c r="FUR225"/>
      <c r="FUS225"/>
      <c r="FUT225"/>
      <c r="FUU225"/>
      <c r="FUV225"/>
      <c r="FUW225"/>
      <c r="FUX225"/>
      <c r="FUY225"/>
      <c r="FUZ225"/>
      <c r="FVA225"/>
      <c r="FVB225"/>
      <c r="FVC225"/>
      <c r="FVD225"/>
      <c r="FVE225"/>
      <c r="FVF225"/>
      <c r="FVG225"/>
      <c r="FVH225"/>
      <c r="FVI225"/>
      <c r="FVJ225"/>
      <c r="FVK225"/>
      <c r="FVL225"/>
      <c r="FVM225"/>
      <c r="FVN225"/>
      <c r="FVO225"/>
      <c r="FVP225"/>
      <c r="FVQ225"/>
      <c r="FVR225"/>
      <c r="FVS225"/>
      <c r="FVT225"/>
      <c r="FVU225"/>
      <c r="FVV225"/>
      <c r="FVW225"/>
      <c r="FVX225"/>
      <c r="FVY225"/>
      <c r="FVZ225"/>
      <c r="FWA225"/>
      <c r="FWB225"/>
      <c r="FWC225"/>
      <c r="FWD225"/>
      <c r="FWE225"/>
      <c r="FWF225"/>
      <c r="FWG225"/>
      <c r="FWH225"/>
      <c r="FWI225"/>
      <c r="FWJ225"/>
      <c r="FWK225"/>
      <c r="FWL225"/>
      <c r="FWM225"/>
      <c r="FWN225"/>
      <c r="FWO225"/>
      <c r="FWP225"/>
      <c r="FWQ225"/>
      <c r="FWR225"/>
      <c r="FWS225"/>
      <c r="FWT225"/>
      <c r="FWU225"/>
      <c r="FWV225"/>
      <c r="FWW225"/>
      <c r="FWX225"/>
      <c r="FWY225"/>
      <c r="FWZ225"/>
      <c r="FXA225"/>
      <c r="FXB225"/>
      <c r="FXC225"/>
      <c r="FXD225"/>
      <c r="FXE225"/>
      <c r="FXF225"/>
      <c r="FXG225"/>
      <c r="FXH225"/>
      <c r="FXI225"/>
      <c r="FXJ225"/>
      <c r="FXK225"/>
      <c r="FXL225"/>
      <c r="FXM225"/>
      <c r="FXN225"/>
      <c r="FXO225"/>
      <c r="FXP225"/>
      <c r="FXQ225"/>
      <c r="FXR225"/>
      <c r="FXS225"/>
      <c r="FXT225"/>
      <c r="FXU225"/>
      <c r="FXV225"/>
      <c r="FXW225"/>
      <c r="FXX225"/>
      <c r="FXY225"/>
      <c r="FXZ225"/>
      <c r="FYA225"/>
      <c r="FYB225"/>
      <c r="FYC225"/>
      <c r="FYD225"/>
      <c r="FYE225"/>
      <c r="FYF225"/>
      <c r="FYG225"/>
      <c r="FYH225"/>
      <c r="FYI225"/>
      <c r="FYJ225"/>
      <c r="FYK225"/>
      <c r="FYL225"/>
      <c r="FYM225"/>
      <c r="FYN225"/>
      <c r="FYO225"/>
      <c r="FYP225"/>
      <c r="FYQ225"/>
      <c r="FYR225"/>
      <c r="FYS225"/>
      <c r="FYT225"/>
      <c r="FYU225"/>
      <c r="FYV225"/>
      <c r="FYW225"/>
      <c r="FYX225"/>
      <c r="FYY225"/>
      <c r="FYZ225"/>
      <c r="FZA225"/>
      <c r="FZB225"/>
      <c r="FZC225"/>
      <c r="FZD225"/>
      <c r="FZE225"/>
      <c r="FZF225"/>
      <c r="FZG225"/>
      <c r="FZH225"/>
      <c r="FZI225"/>
      <c r="FZJ225"/>
      <c r="FZK225"/>
      <c r="FZL225"/>
      <c r="FZM225"/>
      <c r="FZN225"/>
      <c r="FZO225"/>
      <c r="FZP225"/>
      <c r="FZQ225"/>
      <c r="FZR225"/>
      <c r="FZS225"/>
      <c r="FZT225"/>
      <c r="FZU225"/>
      <c r="FZV225"/>
      <c r="FZW225"/>
      <c r="FZX225"/>
      <c r="FZY225"/>
      <c r="FZZ225"/>
      <c r="GAA225"/>
      <c r="GAB225"/>
      <c r="GAC225"/>
      <c r="GAD225"/>
      <c r="GAE225"/>
      <c r="GAF225"/>
      <c r="GAG225"/>
      <c r="GAH225"/>
      <c r="GAI225"/>
      <c r="GAJ225"/>
      <c r="GAK225"/>
      <c r="GAL225"/>
      <c r="GAM225"/>
      <c r="GAN225"/>
      <c r="GAO225"/>
      <c r="GAP225"/>
      <c r="GAQ225"/>
      <c r="GAR225"/>
      <c r="GAS225"/>
      <c r="GAT225"/>
      <c r="GAU225"/>
      <c r="GAV225"/>
      <c r="GAW225"/>
      <c r="GAX225"/>
      <c r="GAY225"/>
      <c r="GAZ225"/>
      <c r="GBA225"/>
      <c r="GBB225"/>
      <c r="GBC225"/>
      <c r="GBD225"/>
      <c r="GBE225"/>
      <c r="GBF225"/>
      <c r="GBG225"/>
      <c r="GBH225"/>
      <c r="GBI225"/>
      <c r="GBJ225"/>
      <c r="GBK225"/>
      <c r="GBL225"/>
      <c r="GBM225"/>
      <c r="GBN225"/>
      <c r="GBO225"/>
      <c r="GBP225"/>
      <c r="GBQ225"/>
      <c r="GBR225"/>
      <c r="GBS225"/>
      <c r="GBT225"/>
      <c r="GBU225"/>
      <c r="GBV225"/>
      <c r="GBW225"/>
      <c r="GBX225"/>
      <c r="GBY225"/>
      <c r="GBZ225"/>
      <c r="GCA225"/>
      <c r="GCB225"/>
      <c r="GCC225"/>
      <c r="GCD225"/>
      <c r="GCE225"/>
      <c r="GCF225"/>
      <c r="GCG225"/>
      <c r="GCH225"/>
      <c r="GCI225"/>
      <c r="GCJ225"/>
      <c r="GCK225"/>
      <c r="GCL225"/>
      <c r="GCM225"/>
      <c r="GCN225"/>
      <c r="GCO225"/>
      <c r="GCP225"/>
      <c r="GCQ225"/>
      <c r="GCR225"/>
      <c r="GCS225"/>
      <c r="GCT225"/>
      <c r="GCU225"/>
      <c r="GCV225"/>
      <c r="GCW225"/>
      <c r="GCX225"/>
      <c r="GCY225"/>
      <c r="GCZ225"/>
      <c r="GDA225"/>
      <c r="GDB225"/>
      <c r="GDC225"/>
      <c r="GDD225"/>
      <c r="GDE225"/>
      <c r="GDF225"/>
      <c r="GDG225"/>
      <c r="GDH225"/>
      <c r="GDI225"/>
      <c r="GDJ225"/>
      <c r="GDK225"/>
      <c r="GDL225"/>
      <c r="GDM225"/>
      <c r="GDN225"/>
      <c r="GDO225"/>
      <c r="GDP225"/>
      <c r="GDQ225"/>
      <c r="GDR225"/>
      <c r="GDS225"/>
      <c r="GDT225"/>
      <c r="GDU225"/>
      <c r="GDV225"/>
      <c r="GDW225"/>
      <c r="GDX225"/>
      <c r="GDY225"/>
      <c r="GDZ225"/>
      <c r="GEA225"/>
      <c r="GEB225"/>
      <c r="GEC225"/>
      <c r="GED225"/>
      <c r="GEE225"/>
      <c r="GEF225"/>
      <c r="GEG225"/>
      <c r="GEH225"/>
      <c r="GEI225"/>
      <c r="GEJ225"/>
      <c r="GEK225"/>
      <c r="GEL225"/>
      <c r="GEM225"/>
      <c r="GEN225"/>
      <c r="GEO225"/>
      <c r="GEP225"/>
      <c r="GEQ225"/>
      <c r="GER225"/>
      <c r="GES225"/>
      <c r="GET225"/>
      <c r="GEU225"/>
      <c r="GEV225"/>
      <c r="GEW225"/>
      <c r="GEX225"/>
      <c r="GEY225"/>
      <c r="GEZ225"/>
      <c r="GFA225"/>
      <c r="GFB225"/>
      <c r="GFC225"/>
      <c r="GFD225"/>
      <c r="GFE225"/>
      <c r="GFF225"/>
      <c r="GFG225"/>
      <c r="GFH225"/>
      <c r="GFI225"/>
      <c r="GFJ225"/>
      <c r="GFK225"/>
      <c r="GFL225"/>
      <c r="GFM225"/>
      <c r="GFN225"/>
      <c r="GFO225"/>
      <c r="GFP225"/>
      <c r="GFQ225"/>
      <c r="GFR225"/>
      <c r="GFS225"/>
      <c r="GFT225"/>
      <c r="GFU225"/>
      <c r="GFV225"/>
      <c r="GFW225"/>
      <c r="GFX225"/>
      <c r="GFY225"/>
      <c r="GFZ225"/>
      <c r="GGA225"/>
      <c r="GGB225"/>
      <c r="GGC225"/>
      <c r="GGD225"/>
      <c r="GGE225"/>
      <c r="GGF225"/>
      <c r="GGG225"/>
      <c r="GGH225"/>
      <c r="GGI225"/>
      <c r="GGJ225"/>
      <c r="GGK225"/>
      <c r="GGL225"/>
      <c r="GGM225"/>
      <c r="GGN225"/>
      <c r="GGO225"/>
      <c r="GGP225"/>
      <c r="GGQ225"/>
      <c r="GGR225"/>
      <c r="GGS225"/>
      <c r="GGT225"/>
      <c r="GGU225"/>
      <c r="GGV225"/>
      <c r="GGW225"/>
      <c r="GGX225"/>
      <c r="GGY225"/>
      <c r="GGZ225"/>
      <c r="GHA225"/>
      <c r="GHB225"/>
      <c r="GHC225"/>
      <c r="GHD225"/>
      <c r="GHE225"/>
      <c r="GHF225"/>
      <c r="GHG225"/>
      <c r="GHH225"/>
      <c r="GHI225"/>
      <c r="GHJ225"/>
      <c r="GHK225"/>
      <c r="GHL225"/>
      <c r="GHM225"/>
      <c r="GHN225"/>
      <c r="GHO225"/>
      <c r="GHP225"/>
      <c r="GHQ225"/>
      <c r="GHR225"/>
      <c r="GHS225"/>
      <c r="GHT225"/>
      <c r="GHU225"/>
      <c r="GHV225"/>
      <c r="GHW225"/>
      <c r="GHX225"/>
      <c r="GHY225"/>
      <c r="GHZ225"/>
      <c r="GIA225"/>
      <c r="GIB225"/>
      <c r="GIC225"/>
      <c r="GID225"/>
      <c r="GIE225"/>
      <c r="GIF225"/>
      <c r="GIG225"/>
      <c r="GIH225"/>
      <c r="GII225"/>
      <c r="GIJ225"/>
      <c r="GIK225"/>
      <c r="GIL225"/>
      <c r="GIM225"/>
      <c r="GIN225"/>
      <c r="GIO225"/>
      <c r="GIP225"/>
      <c r="GIQ225"/>
      <c r="GIR225"/>
      <c r="GIS225"/>
      <c r="GIT225"/>
      <c r="GIU225"/>
      <c r="GIV225"/>
      <c r="GIW225"/>
      <c r="GIX225"/>
      <c r="GIY225"/>
      <c r="GIZ225"/>
      <c r="GJA225"/>
      <c r="GJB225"/>
      <c r="GJC225"/>
      <c r="GJD225"/>
      <c r="GJE225"/>
      <c r="GJF225"/>
      <c r="GJG225"/>
      <c r="GJH225"/>
      <c r="GJI225"/>
      <c r="GJJ225"/>
      <c r="GJK225"/>
      <c r="GJL225"/>
      <c r="GJM225"/>
      <c r="GJN225"/>
      <c r="GJO225"/>
      <c r="GJP225"/>
      <c r="GJQ225"/>
      <c r="GJR225"/>
      <c r="GJS225"/>
      <c r="GJT225"/>
      <c r="GJU225"/>
      <c r="GJV225"/>
      <c r="GJW225"/>
      <c r="GJX225"/>
      <c r="GJY225"/>
      <c r="GJZ225"/>
      <c r="GKA225"/>
      <c r="GKB225"/>
      <c r="GKC225"/>
      <c r="GKD225"/>
      <c r="GKE225"/>
      <c r="GKF225"/>
      <c r="GKG225"/>
      <c r="GKH225"/>
      <c r="GKI225"/>
      <c r="GKJ225"/>
      <c r="GKK225"/>
      <c r="GKL225"/>
      <c r="GKM225"/>
      <c r="GKN225"/>
      <c r="GKO225"/>
      <c r="GKP225"/>
      <c r="GKQ225"/>
      <c r="GKR225"/>
      <c r="GKS225"/>
      <c r="GKT225"/>
      <c r="GKU225"/>
      <c r="GKV225"/>
      <c r="GKW225"/>
      <c r="GKX225"/>
      <c r="GKY225"/>
      <c r="GKZ225"/>
      <c r="GLA225"/>
      <c r="GLB225"/>
      <c r="GLC225"/>
      <c r="GLD225"/>
      <c r="GLE225"/>
      <c r="GLF225"/>
      <c r="GLG225"/>
      <c r="GLH225"/>
      <c r="GLI225"/>
      <c r="GLJ225"/>
      <c r="GLK225"/>
      <c r="GLL225"/>
      <c r="GLM225"/>
      <c r="GLN225"/>
      <c r="GLO225"/>
      <c r="GLP225"/>
      <c r="GLQ225"/>
      <c r="GLR225"/>
      <c r="GLS225"/>
      <c r="GLT225"/>
      <c r="GLU225"/>
      <c r="GLV225"/>
      <c r="GLW225"/>
      <c r="GLX225"/>
      <c r="GLY225"/>
      <c r="GLZ225"/>
      <c r="GMA225"/>
      <c r="GMB225"/>
      <c r="GMC225"/>
      <c r="GMD225"/>
      <c r="GME225"/>
      <c r="GMF225"/>
      <c r="GMG225"/>
      <c r="GMH225"/>
      <c r="GMI225"/>
      <c r="GMJ225"/>
      <c r="GMK225"/>
      <c r="GML225"/>
      <c r="GMM225"/>
      <c r="GMN225"/>
      <c r="GMO225"/>
      <c r="GMP225"/>
      <c r="GMQ225"/>
      <c r="GMR225"/>
      <c r="GMS225"/>
      <c r="GMT225"/>
      <c r="GMU225"/>
      <c r="GMV225"/>
      <c r="GMW225"/>
      <c r="GMX225"/>
      <c r="GMY225"/>
      <c r="GMZ225"/>
      <c r="GNA225"/>
      <c r="GNB225"/>
      <c r="GNC225"/>
      <c r="GND225"/>
      <c r="GNE225"/>
      <c r="GNF225"/>
      <c r="GNG225"/>
      <c r="GNH225"/>
      <c r="GNI225"/>
      <c r="GNJ225"/>
      <c r="GNK225"/>
      <c r="GNL225"/>
      <c r="GNM225"/>
      <c r="GNN225"/>
      <c r="GNO225"/>
      <c r="GNP225"/>
      <c r="GNQ225"/>
      <c r="GNR225"/>
      <c r="GNS225"/>
      <c r="GNT225"/>
      <c r="GNU225"/>
      <c r="GNV225"/>
      <c r="GNW225"/>
      <c r="GNX225"/>
      <c r="GNY225"/>
      <c r="GNZ225"/>
      <c r="GOA225"/>
      <c r="GOB225"/>
      <c r="GOC225"/>
      <c r="GOD225"/>
      <c r="GOE225"/>
      <c r="GOF225"/>
      <c r="GOG225"/>
      <c r="GOH225"/>
      <c r="GOI225"/>
      <c r="GOJ225"/>
      <c r="GOK225"/>
      <c r="GOL225"/>
      <c r="GOM225"/>
      <c r="GON225"/>
      <c r="GOO225"/>
      <c r="GOP225"/>
      <c r="GOQ225"/>
      <c r="GOR225"/>
      <c r="GOS225"/>
      <c r="GOT225"/>
      <c r="GOU225"/>
      <c r="GOV225"/>
      <c r="GOW225"/>
      <c r="GOX225"/>
      <c r="GOY225"/>
      <c r="GOZ225"/>
      <c r="GPA225"/>
      <c r="GPB225"/>
      <c r="GPC225"/>
      <c r="GPD225"/>
      <c r="GPE225"/>
      <c r="GPF225"/>
      <c r="GPG225"/>
      <c r="GPH225"/>
      <c r="GPI225"/>
      <c r="GPJ225"/>
      <c r="GPK225"/>
      <c r="GPL225"/>
      <c r="GPM225"/>
      <c r="GPN225"/>
      <c r="GPO225"/>
      <c r="GPP225"/>
      <c r="GPQ225"/>
      <c r="GPR225"/>
      <c r="GPS225"/>
      <c r="GPT225"/>
      <c r="GPU225"/>
      <c r="GPV225"/>
      <c r="GPW225"/>
      <c r="GPX225"/>
      <c r="GPY225"/>
      <c r="GPZ225"/>
      <c r="GQA225"/>
      <c r="GQB225"/>
      <c r="GQC225"/>
      <c r="GQD225"/>
      <c r="GQE225"/>
      <c r="GQF225"/>
      <c r="GQG225"/>
      <c r="GQH225"/>
      <c r="GQI225"/>
      <c r="GQJ225"/>
      <c r="GQK225"/>
      <c r="GQL225"/>
      <c r="GQM225"/>
      <c r="GQN225"/>
      <c r="GQO225"/>
      <c r="GQP225"/>
      <c r="GQQ225"/>
      <c r="GQR225"/>
      <c r="GQS225"/>
      <c r="GQT225"/>
      <c r="GQU225"/>
      <c r="GQV225"/>
      <c r="GQW225"/>
      <c r="GQX225"/>
      <c r="GQY225"/>
      <c r="GQZ225"/>
      <c r="GRA225"/>
      <c r="GRB225"/>
      <c r="GRC225"/>
      <c r="GRD225"/>
      <c r="GRE225"/>
      <c r="GRF225"/>
      <c r="GRG225"/>
      <c r="GRH225"/>
      <c r="GRI225"/>
      <c r="GRJ225"/>
      <c r="GRK225"/>
      <c r="GRL225"/>
      <c r="GRM225"/>
      <c r="GRN225"/>
      <c r="GRO225"/>
      <c r="GRP225"/>
      <c r="GRQ225"/>
      <c r="GRR225"/>
      <c r="GRS225"/>
      <c r="GRT225"/>
      <c r="GRU225"/>
      <c r="GRV225"/>
      <c r="GRW225"/>
      <c r="GRX225"/>
      <c r="GRY225"/>
      <c r="GRZ225"/>
      <c r="GSA225"/>
      <c r="GSB225"/>
      <c r="GSC225"/>
      <c r="GSD225"/>
      <c r="GSE225"/>
      <c r="GSF225"/>
      <c r="GSG225"/>
      <c r="GSH225"/>
      <c r="GSI225"/>
      <c r="GSJ225"/>
      <c r="GSK225"/>
      <c r="GSL225"/>
      <c r="GSM225"/>
      <c r="GSN225"/>
      <c r="GSO225"/>
      <c r="GSP225"/>
      <c r="GSQ225"/>
      <c r="GSR225"/>
      <c r="GSS225"/>
      <c r="GST225"/>
      <c r="GSU225"/>
      <c r="GSV225"/>
      <c r="GSW225"/>
      <c r="GSX225"/>
      <c r="GSY225"/>
      <c r="GSZ225"/>
      <c r="GTA225"/>
      <c r="GTB225"/>
      <c r="GTC225"/>
      <c r="GTD225"/>
      <c r="GTE225"/>
      <c r="GTF225"/>
      <c r="GTG225"/>
      <c r="GTH225"/>
      <c r="GTI225"/>
      <c r="GTJ225"/>
      <c r="GTK225"/>
      <c r="GTL225"/>
      <c r="GTM225"/>
      <c r="GTN225"/>
      <c r="GTO225"/>
      <c r="GTP225"/>
      <c r="GTQ225"/>
      <c r="GTR225"/>
      <c r="GTS225"/>
      <c r="GTT225"/>
      <c r="GTU225"/>
      <c r="GTV225"/>
      <c r="GTW225"/>
      <c r="GTX225"/>
      <c r="GTY225"/>
      <c r="GTZ225"/>
      <c r="GUA225"/>
      <c r="GUB225"/>
      <c r="GUC225"/>
      <c r="GUD225"/>
      <c r="GUE225"/>
      <c r="GUF225"/>
      <c r="GUG225"/>
      <c r="GUH225"/>
      <c r="GUI225"/>
      <c r="GUJ225"/>
      <c r="GUK225"/>
      <c r="GUL225"/>
      <c r="GUM225"/>
      <c r="GUN225"/>
      <c r="GUO225"/>
      <c r="GUP225"/>
      <c r="GUQ225"/>
      <c r="GUR225"/>
      <c r="GUS225"/>
      <c r="GUT225"/>
      <c r="GUU225"/>
      <c r="GUV225"/>
      <c r="GUW225"/>
      <c r="GUX225"/>
      <c r="GUY225"/>
      <c r="GUZ225"/>
      <c r="GVA225"/>
      <c r="GVB225"/>
      <c r="GVC225"/>
      <c r="GVD225"/>
      <c r="GVE225"/>
      <c r="GVF225"/>
      <c r="GVG225"/>
      <c r="GVH225"/>
      <c r="GVI225"/>
      <c r="GVJ225"/>
      <c r="GVK225"/>
      <c r="GVL225"/>
      <c r="GVM225"/>
      <c r="GVN225"/>
      <c r="GVO225"/>
      <c r="GVP225"/>
      <c r="GVQ225"/>
      <c r="GVR225"/>
      <c r="GVS225"/>
      <c r="GVT225"/>
      <c r="GVU225"/>
      <c r="GVV225"/>
      <c r="GVW225"/>
      <c r="GVX225"/>
      <c r="GVY225"/>
      <c r="GVZ225"/>
      <c r="GWA225"/>
      <c r="GWB225"/>
      <c r="GWC225"/>
      <c r="GWD225"/>
      <c r="GWE225"/>
      <c r="GWF225"/>
      <c r="GWG225"/>
      <c r="GWH225"/>
      <c r="GWI225"/>
      <c r="GWJ225"/>
      <c r="GWK225"/>
      <c r="GWL225"/>
      <c r="GWM225"/>
      <c r="GWN225"/>
      <c r="GWO225"/>
      <c r="GWP225"/>
      <c r="GWQ225"/>
      <c r="GWR225"/>
      <c r="GWS225"/>
      <c r="GWT225"/>
      <c r="GWU225"/>
      <c r="GWV225"/>
      <c r="GWW225"/>
      <c r="GWX225"/>
      <c r="GWY225"/>
      <c r="GWZ225"/>
      <c r="GXA225"/>
      <c r="GXB225"/>
      <c r="GXC225"/>
      <c r="GXD225"/>
      <c r="GXE225"/>
      <c r="GXF225"/>
      <c r="GXG225"/>
      <c r="GXH225"/>
      <c r="GXI225"/>
      <c r="GXJ225"/>
      <c r="GXK225"/>
      <c r="GXL225"/>
      <c r="GXM225"/>
      <c r="GXN225"/>
      <c r="GXO225"/>
      <c r="GXP225"/>
      <c r="GXQ225"/>
      <c r="GXR225"/>
      <c r="GXS225"/>
      <c r="GXT225"/>
      <c r="GXU225"/>
      <c r="GXV225"/>
      <c r="GXW225"/>
      <c r="GXX225"/>
      <c r="GXY225"/>
      <c r="GXZ225"/>
      <c r="GYA225"/>
      <c r="GYB225"/>
      <c r="GYC225"/>
      <c r="GYD225"/>
      <c r="GYE225"/>
      <c r="GYF225"/>
      <c r="GYG225"/>
      <c r="GYH225"/>
      <c r="GYI225"/>
      <c r="GYJ225"/>
      <c r="GYK225"/>
      <c r="GYL225"/>
      <c r="GYM225"/>
      <c r="GYN225"/>
      <c r="GYO225"/>
      <c r="GYP225"/>
      <c r="GYQ225"/>
      <c r="GYR225"/>
      <c r="GYS225"/>
      <c r="GYT225"/>
      <c r="GYU225"/>
      <c r="GYV225"/>
      <c r="GYW225"/>
      <c r="GYX225"/>
      <c r="GYY225"/>
      <c r="GYZ225"/>
      <c r="GZA225"/>
      <c r="GZB225"/>
      <c r="GZC225"/>
      <c r="GZD225"/>
      <c r="GZE225"/>
      <c r="GZF225"/>
      <c r="GZG225"/>
      <c r="GZH225"/>
      <c r="GZI225"/>
      <c r="GZJ225"/>
      <c r="GZK225"/>
      <c r="GZL225"/>
      <c r="GZM225"/>
      <c r="GZN225"/>
      <c r="GZO225"/>
      <c r="GZP225"/>
      <c r="GZQ225"/>
      <c r="GZR225"/>
      <c r="GZS225"/>
      <c r="GZT225"/>
      <c r="GZU225"/>
      <c r="GZV225"/>
      <c r="GZW225"/>
      <c r="GZX225"/>
      <c r="GZY225"/>
      <c r="GZZ225"/>
      <c r="HAA225"/>
      <c r="HAB225"/>
      <c r="HAC225"/>
      <c r="HAD225"/>
      <c r="HAE225"/>
      <c r="HAF225"/>
      <c r="HAG225"/>
      <c r="HAH225"/>
      <c r="HAI225"/>
      <c r="HAJ225"/>
      <c r="HAK225"/>
      <c r="HAL225"/>
      <c r="HAM225"/>
      <c r="HAN225"/>
      <c r="HAO225"/>
      <c r="HAP225"/>
      <c r="HAQ225"/>
      <c r="HAR225"/>
      <c r="HAS225"/>
      <c r="HAT225"/>
      <c r="HAU225"/>
      <c r="HAV225"/>
      <c r="HAW225"/>
      <c r="HAX225"/>
      <c r="HAY225"/>
      <c r="HAZ225"/>
      <c r="HBA225"/>
      <c r="HBB225"/>
      <c r="HBC225"/>
      <c r="HBD225"/>
      <c r="HBE225"/>
      <c r="HBF225"/>
      <c r="HBG225"/>
      <c r="HBH225"/>
      <c r="HBI225"/>
      <c r="HBJ225"/>
      <c r="HBK225"/>
      <c r="HBL225"/>
      <c r="HBM225"/>
      <c r="HBN225"/>
      <c r="HBO225"/>
      <c r="HBP225"/>
      <c r="HBQ225"/>
      <c r="HBR225"/>
      <c r="HBS225"/>
      <c r="HBT225"/>
      <c r="HBU225"/>
      <c r="HBV225"/>
      <c r="HBW225"/>
      <c r="HBX225"/>
      <c r="HBY225"/>
      <c r="HBZ225"/>
      <c r="HCA225"/>
      <c r="HCB225"/>
      <c r="HCC225"/>
      <c r="HCD225"/>
      <c r="HCE225"/>
      <c r="HCF225"/>
      <c r="HCG225"/>
      <c r="HCH225"/>
      <c r="HCI225"/>
      <c r="HCJ225"/>
      <c r="HCK225"/>
      <c r="HCL225"/>
      <c r="HCM225"/>
      <c r="HCN225"/>
      <c r="HCO225"/>
      <c r="HCP225"/>
      <c r="HCQ225"/>
      <c r="HCR225"/>
      <c r="HCS225"/>
      <c r="HCT225"/>
      <c r="HCU225"/>
      <c r="HCV225"/>
      <c r="HCW225"/>
      <c r="HCX225"/>
      <c r="HCY225"/>
      <c r="HCZ225"/>
      <c r="HDA225"/>
      <c r="HDB225"/>
      <c r="HDC225"/>
      <c r="HDD225"/>
      <c r="HDE225"/>
      <c r="HDF225"/>
      <c r="HDG225"/>
      <c r="HDH225"/>
      <c r="HDI225"/>
      <c r="HDJ225"/>
      <c r="HDK225"/>
      <c r="HDL225"/>
      <c r="HDM225"/>
      <c r="HDN225"/>
      <c r="HDO225"/>
      <c r="HDP225"/>
      <c r="HDQ225"/>
      <c r="HDR225"/>
      <c r="HDS225"/>
      <c r="HDT225"/>
      <c r="HDU225"/>
      <c r="HDV225"/>
      <c r="HDW225"/>
      <c r="HDX225"/>
      <c r="HDY225"/>
      <c r="HDZ225"/>
      <c r="HEA225"/>
      <c r="HEB225"/>
      <c r="HEC225"/>
      <c r="HED225"/>
      <c r="HEE225"/>
      <c r="HEF225"/>
      <c r="HEG225"/>
      <c r="HEH225"/>
      <c r="HEI225"/>
      <c r="HEJ225"/>
      <c r="HEK225"/>
      <c r="HEL225"/>
      <c r="HEM225"/>
      <c r="HEN225"/>
      <c r="HEO225"/>
      <c r="HEP225"/>
      <c r="HEQ225"/>
      <c r="HER225"/>
      <c r="HES225"/>
      <c r="HET225"/>
      <c r="HEU225"/>
      <c r="HEV225"/>
      <c r="HEW225"/>
      <c r="HEX225"/>
      <c r="HEY225"/>
      <c r="HEZ225"/>
      <c r="HFA225"/>
      <c r="HFB225"/>
      <c r="HFC225"/>
      <c r="HFD225"/>
      <c r="HFE225"/>
      <c r="HFF225"/>
      <c r="HFG225"/>
      <c r="HFH225"/>
      <c r="HFI225"/>
      <c r="HFJ225"/>
      <c r="HFK225"/>
      <c r="HFL225"/>
      <c r="HFM225"/>
      <c r="HFN225"/>
      <c r="HFO225"/>
      <c r="HFP225"/>
      <c r="HFQ225"/>
      <c r="HFR225"/>
      <c r="HFS225"/>
      <c r="HFT225"/>
      <c r="HFU225"/>
      <c r="HFV225"/>
      <c r="HFW225"/>
      <c r="HFX225"/>
      <c r="HFY225"/>
      <c r="HFZ225"/>
      <c r="HGA225"/>
      <c r="HGB225"/>
      <c r="HGC225"/>
      <c r="HGD225"/>
      <c r="HGE225"/>
      <c r="HGF225"/>
      <c r="HGG225"/>
      <c r="HGH225"/>
      <c r="HGI225"/>
      <c r="HGJ225"/>
      <c r="HGK225"/>
      <c r="HGL225"/>
      <c r="HGM225"/>
      <c r="HGN225"/>
      <c r="HGO225"/>
      <c r="HGP225"/>
      <c r="HGQ225"/>
      <c r="HGR225"/>
      <c r="HGS225"/>
      <c r="HGT225"/>
      <c r="HGU225"/>
      <c r="HGV225"/>
      <c r="HGW225"/>
      <c r="HGX225"/>
      <c r="HGY225"/>
      <c r="HGZ225"/>
      <c r="HHA225"/>
      <c r="HHB225"/>
      <c r="HHC225"/>
      <c r="HHD225"/>
      <c r="HHE225"/>
      <c r="HHF225"/>
      <c r="HHG225"/>
      <c r="HHH225"/>
      <c r="HHI225"/>
      <c r="HHJ225"/>
      <c r="HHK225"/>
      <c r="HHL225"/>
      <c r="HHM225"/>
      <c r="HHN225"/>
      <c r="HHO225"/>
      <c r="HHP225"/>
      <c r="HHQ225"/>
      <c r="HHR225"/>
      <c r="HHS225"/>
      <c r="HHT225"/>
      <c r="HHU225"/>
      <c r="HHV225"/>
      <c r="HHW225"/>
      <c r="HHX225"/>
      <c r="HHY225"/>
      <c r="HHZ225"/>
      <c r="HIA225"/>
      <c r="HIB225"/>
      <c r="HIC225"/>
      <c r="HID225"/>
      <c r="HIE225"/>
      <c r="HIF225"/>
      <c r="HIG225"/>
      <c r="HIH225"/>
      <c r="HII225"/>
      <c r="HIJ225"/>
      <c r="HIK225"/>
      <c r="HIL225"/>
      <c r="HIM225"/>
      <c r="HIN225"/>
      <c r="HIO225"/>
      <c r="HIP225"/>
      <c r="HIQ225"/>
      <c r="HIR225"/>
      <c r="HIS225"/>
      <c r="HIT225"/>
      <c r="HIU225"/>
      <c r="HIV225"/>
      <c r="HIW225"/>
      <c r="HIX225"/>
      <c r="HIY225"/>
      <c r="HIZ225"/>
      <c r="HJA225"/>
      <c r="HJB225"/>
      <c r="HJC225"/>
      <c r="HJD225"/>
      <c r="HJE225"/>
      <c r="HJF225"/>
      <c r="HJG225"/>
      <c r="HJH225"/>
      <c r="HJI225"/>
      <c r="HJJ225"/>
      <c r="HJK225"/>
      <c r="HJL225"/>
      <c r="HJM225"/>
      <c r="HJN225"/>
      <c r="HJO225"/>
      <c r="HJP225"/>
      <c r="HJQ225"/>
      <c r="HJR225"/>
      <c r="HJS225"/>
      <c r="HJT225"/>
      <c r="HJU225"/>
      <c r="HJV225"/>
      <c r="HJW225"/>
      <c r="HJX225"/>
      <c r="HJY225"/>
      <c r="HJZ225"/>
      <c r="HKA225"/>
      <c r="HKB225"/>
      <c r="HKC225"/>
      <c r="HKD225"/>
      <c r="HKE225"/>
      <c r="HKF225"/>
      <c r="HKG225"/>
      <c r="HKH225"/>
      <c r="HKI225"/>
      <c r="HKJ225"/>
      <c r="HKK225"/>
      <c r="HKL225"/>
      <c r="HKM225"/>
      <c r="HKN225"/>
      <c r="HKO225"/>
      <c r="HKP225"/>
      <c r="HKQ225"/>
      <c r="HKR225"/>
      <c r="HKS225"/>
      <c r="HKT225"/>
      <c r="HKU225"/>
      <c r="HKV225"/>
      <c r="HKW225"/>
      <c r="HKX225"/>
      <c r="HKY225"/>
      <c r="HKZ225"/>
      <c r="HLA225"/>
      <c r="HLB225"/>
      <c r="HLC225"/>
      <c r="HLD225"/>
      <c r="HLE225"/>
      <c r="HLF225"/>
      <c r="HLG225"/>
      <c r="HLH225"/>
      <c r="HLI225"/>
      <c r="HLJ225"/>
      <c r="HLK225"/>
      <c r="HLL225"/>
      <c r="HLM225"/>
      <c r="HLN225"/>
      <c r="HLO225"/>
      <c r="HLP225"/>
      <c r="HLQ225"/>
      <c r="HLR225"/>
      <c r="HLS225"/>
      <c r="HLT225"/>
      <c r="HLU225"/>
      <c r="HLV225"/>
      <c r="HLW225"/>
      <c r="HLX225"/>
      <c r="HLY225"/>
      <c r="HLZ225"/>
      <c r="HMA225"/>
      <c r="HMB225"/>
      <c r="HMC225"/>
      <c r="HMD225"/>
      <c r="HME225"/>
      <c r="HMF225"/>
      <c r="HMG225"/>
      <c r="HMH225"/>
      <c r="HMI225"/>
      <c r="HMJ225"/>
      <c r="HMK225"/>
      <c r="HML225"/>
      <c r="HMM225"/>
      <c r="HMN225"/>
      <c r="HMO225"/>
      <c r="HMP225"/>
      <c r="HMQ225"/>
      <c r="HMR225"/>
      <c r="HMS225"/>
      <c r="HMT225"/>
      <c r="HMU225"/>
      <c r="HMV225"/>
      <c r="HMW225"/>
      <c r="HMX225"/>
      <c r="HMY225"/>
      <c r="HMZ225"/>
      <c r="HNA225"/>
      <c r="HNB225"/>
      <c r="HNC225"/>
      <c r="HND225"/>
      <c r="HNE225"/>
      <c r="HNF225"/>
      <c r="HNG225"/>
      <c r="HNH225"/>
      <c r="HNI225"/>
      <c r="HNJ225"/>
      <c r="HNK225"/>
      <c r="HNL225"/>
      <c r="HNM225"/>
      <c r="HNN225"/>
      <c r="HNO225"/>
      <c r="HNP225"/>
      <c r="HNQ225"/>
      <c r="HNR225"/>
      <c r="HNS225"/>
      <c r="HNT225"/>
      <c r="HNU225"/>
      <c r="HNV225"/>
      <c r="HNW225"/>
      <c r="HNX225"/>
      <c r="HNY225"/>
      <c r="HNZ225"/>
      <c r="HOA225"/>
      <c r="HOB225"/>
      <c r="HOC225"/>
      <c r="HOD225"/>
      <c r="HOE225"/>
      <c r="HOF225"/>
      <c r="HOG225"/>
      <c r="HOH225"/>
      <c r="HOI225"/>
      <c r="HOJ225"/>
      <c r="HOK225"/>
      <c r="HOL225"/>
      <c r="HOM225"/>
      <c r="HON225"/>
      <c r="HOO225"/>
      <c r="HOP225"/>
      <c r="HOQ225"/>
      <c r="HOR225"/>
      <c r="HOS225"/>
      <c r="HOT225"/>
      <c r="HOU225"/>
      <c r="HOV225"/>
      <c r="HOW225"/>
      <c r="HOX225"/>
      <c r="HOY225"/>
      <c r="HOZ225"/>
      <c r="HPA225"/>
      <c r="HPB225"/>
      <c r="HPC225"/>
      <c r="HPD225"/>
      <c r="HPE225"/>
      <c r="HPF225"/>
      <c r="HPG225"/>
      <c r="HPH225"/>
      <c r="HPI225"/>
      <c r="HPJ225"/>
      <c r="HPK225"/>
      <c r="HPL225"/>
      <c r="HPM225"/>
      <c r="HPN225"/>
      <c r="HPO225"/>
      <c r="HPP225"/>
      <c r="HPQ225"/>
      <c r="HPR225"/>
      <c r="HPS225"/>
      <c r="HPT225"/>
      <c r="HPU225"/>
      <c r="HPV225"/>
      <c r="HPW225"/>
      <c r="HPX225"/>
      <c r="HPY225"/>
      <c r="HPZ225"/>
      <c r="HQA225"/>
      <c r="HQB225"/>
      <c r="HQC225"/>
      <c r="HQD225"/>
      <c r="HQE225"/>
      <c r="HQF225"/>
      <c r="HQG225"/>
      <c r="HQH225"/>
      <c r="HQI225"/>
      <c r="HQJ225"/>
      <c r="HQK225"/>
      <c r="HQL225"/>
      <c r="HQM225"/>
      <c r="HQN225"/>
      <c r="HQO225"/>
      <c r="HQP225"/>
      <c r="HQQ225"/>
      <c r="HQR225"/>
      <c r="HQS225"/>
      <c r="HQT225"/>
      <c r="HQU225"/>
      <c r="HQV225"/>
      <c r="HQW225"/>
      <c r="HQX225"/>
      <c r="HQY225"/>
      <c r="HQZ225"/>
      <c r="HRA225"/>
      <c r="HRB225"/>
      <c r="HRC225"/>
      <c r="HRD225"/>
      <c r="HRE225"/>
      <c r="HRF225"/>
      <c r="HRG225"/>
      <c r="HRH225"/>
      <c r="HRI225"/>
      <c r="HRJ225"/>
      <c r="HRK225"/>
      <c r="HRL225"/>
      <c r="HRM225"/>
      <c r="HRN225"/>
      <c r="HRO225"/>
      <c r="HRP225"/>
      <c r="HRQ225"/>
      <c r="HRR225"/>
      <c r="HRS225"/>
      <c r="HRT225"/>
      <c r="HRU225"/>
      <c r="HRV225"/>
      <c r="HRW225"/>
      <c r="HRX225"/>
      <c r="HRY225"/>
      <c r="HRZ225"/>
      <c r="HSA225"/>
      <c r="HSB225"/>
      <c r="HSC225"/>
      <c r="HSD225"/>
      <c r="HSE225"/>
      <c r="HSF225"/>
      <c r="HSG225"/>
      <c r="HSH225"/>
      <c r="HSI225"/>
      <c r="HSJ225"/>
      <c r="HSK225"/>
      <c r="HSL225"/>
      <c r="HSM225"/>
      <c r="HSN225"/>
      <c r="HSO225"/>
      <c r="HSP225"/>
      <c r="HSQ225"/>
      <c r="HSR225"/>
      <c r="HSS225"/>
      <c r="HST225"/>
      <c r="HSU225"/>
      <c r="HSV225"/>
      <c r="HSW225"/>
      <c r="HSX225"/>
      <c r="HSY225"/>
      <c r="HSZ225"/>
      <c r="HTA225"/>
      <c r="HTB225"/>
      <c r="HTC225"/>
      <c r="HTD225"/>
      <c r="HTE225"/>
      <c r="HTF225"/>
      <c r="HTG225"/>
      <c r="HTH225"/>
      <c r="HTI225"/>
      <c r="HTJ225"/>
      <c r="HTK225"/>
      <c r="HTL225"/>
      <c r="HTM225"/>
      <c r="HTN225"/>
      <c r="HTO225"/>
      <c r="HTP225"/>
      <c r="HTQ225"/>
      <c r="HTR225"/>
      <c r="HTS225"/>
      <c r="HTT225"/>
      <c r="HTU225"/>
      <c r="HTV225"/>
      <c r="HTW225"/>
      <c r="HTX225"/>
      <c r="HTY225"/>
      <c r="HTZ225"/>
      <c r="HUA225"/>
      <c r="HUB225"/>
      <c r="HUC225"/>
      <c r="HUD225"/>
      <c r="HUE225"/>
      <c r="HUF225"/>
      <c r="HUG225"/>
      <c r="HUH225"/>
      <c r="HUI225"/>
      <c r="HUJ225"/>
      <c r="HUK225"/>
      <c r="HUL225"/>
      <c r="HUM225"/>
      <c r="HUN225"/>
      <c r="HUO225"/>
      <c r="HUP225"/>
      <c r="HUQ225"/>
      <c r="HUR225"/>
      <c r="HUS225"/>
      <c r="HUT225"/>
      <c r="HUU225"/>
      <c r="HUV225"/>
      <c r="HUW225"/>
      <c r="HUX225"/>
      <c r="HUY225"/>
      <c r="HUZ225"/>
      <c r="HVA225"/>
      <c r="HVB225"/>
      <c r="HVC225"/>
      <c r="HVD225"/>
      <c r="HVE225"/>
      <c r="HVF225"/>
      <c r="HVG225"/>
      <c r="HVH225"/>
      <c r="HVI225"/>
      <c r="HVJ225"/>
      <c r="HVK225"/>
      <c r="HVL225"/>
      <c r="HVM225"/>
      <c r="HVN225"/>
      <c r="HVO225"/>
      <c r="HVP225"/>
      <c r="HVQ225"/>
      <c r="HVR225"/>
      <c r="HVS225"/>
      <c r="HVT225"/>
      <c r="HVU225"/>
      <c r="HVV225"/>
      <c r="HVW225"/>
      <c r="HVX225"/>
      <c r="HVY225"/>
      <c r="HVZ225"/>
      <c r="HWA225"/>
      <c r="HWB225"/>
      <c r="HWC225"/>
      <c r="HWD225"/>
      <c r="HWE225"/>
      <c r="HWF225"/>
      <c r="HWG225"/>
      <c r="HWH225"/>
      <c r="HWI225"/>
      <c r="HWJ225"/>
      <c r="HWK225"/>
      <c r="HWL225"/>
      <c r="HWM225"/>
      <c r="HWN225"/>
      <c r="HWO225"/>
      <c r="HWP225"/>
      <c r="HWQ225"/>
      <c r="HWR225"/>
      <c r="HWS225"/>
      <c r="HWT225"/>
      <c r="HWU225"/>
      <c r="HWV225"/>
      <c r="HWW225"/>
      <c r="HWX225"/>
      <c r="HWY225"/>
      <c r="HWZ225"/>
      <c r="HXA225"/>
      <c r="HXB225"/>
      <c r="HXC225"/>
      <c r="HXD225"/>
      <c r="HXE225"/>
      <c r="HXF225"/>
      <c r="HXG225"/>
      <c r="HXH225"/>
      <c r="HXI225"/>
      <c r="HXJ225"/>
      <c r="HXK225"/>
      <c r="HXL225"/>
      <c r="HXM225"/>
      <c r="HXN225"/>
      <c r="HXO225"/>
      <c r="HXP225"/>
      <c r="HXQ225"/>
      <c r="HXR225"/>
      <c r="HXS225"/>
      <c r="HXT225"/>
      <c r="HXU225"/>
      <c r="HXV225"/>
      <c r="HXW225"/>
      <c r="HXX225"/>
      <c r="HXY225"/>
      <c r="HXZ225"/>
      <c r="HYA225"/>
      <c r="HYB225"/>
      <c r="HYC225"/>
      <c r="HYD225"/>
      <c r="HYE225"/>
      <c r="HYF225"/>
      <c r="HYG225"/>
      <c r="HYH225"/>
      <c r="HYI225"/>
      <c r="HYJ225"/>
      <c r="HYK225"/>
      <c r="HYL225"/>
      <c r="HYM225"/>
      <c r="HYN225"/>
      <c r="HYO225"/>
      <c r="HYP225"/>
      <c r="HYQ225"/>
      <c r="HYR225"/>
      <c r="HYS225"/>
      <c r="HYT225"/>
      <c r="HYU225"/>
      <c r="HYV225"/>
      <c r="HYW225"/>
      <c r="HYX225"/>
      <c r="HYY225"/>
      <c r="HYZ225"/>
      <c r="HZA225"/>
      <c r="HZB225"/>
      <c r="HZC225"/>
      <c r="HZD225"/>
      <c r="HZE225"/>
      <c r="HZF225"/>
      <c r="HZG225"/>
      <c r="HZH225"/>
      <c r="HZI225"/>
      <c r="HZJ225"/>
      <c r="HZK225"/>
      <c r="HZL225"/>
      <c r="HZM225"/>
      <c r="HZN225"/>
      <c r="HZO225"/>
      <c r="HZP225"/>
      <c r="HZQ225"/>
      <c r="HZR225"/>
      <c r="HZS225"/>
      <c r="HZT225"/>
      <c r="HZU225"/>
      <c r="HZV225"/>
      <c r="HZW225"/>
      <c r="HZX225"/>
      <c r="HZY225"/>
      <c r="HZZ225"/>
      <c r="IAA225"/>
      <c r="IAB225"/>
      <c r="IAC225"/>
      <c r="IAD225"/>
      <c r="IAE225"/>
      <c r="IAF225"/>
      <c r="IAG225"/>
      <c r="IAH225"/>
      <c r="IAI225"/>
      <c r="IAJ225"/>
      <c r="IAK225"/>
      <c r="IAL225"/>
      <c r="IAM225"/>
      <c r="IAN225"/>
      <c r="IAO225"/>
      <c r="IAP225"/>
      <c r="IAQ225"/>
      <c r="IAR225"/>
      <c r="IAS225"/>
      <c r="IAT225"/>
      <c r="IAU225"/>
      <c r="IAV225"/>
      <c r="IAW225"/>
      <c r="IAX225"/>
      <c r="IAY225"/>
      <c r="IAZ225"/>
      <c r="IBA225"/>
      <c r="IBB225"/>
      <c r="IBC225"/>
      <c r="IBD225"/>
      <c r="IBE225"/>
      <c r="IBF225"/>
      <c r="IBG225"/>
      <c r="IBH225"/>
      <c r="IBI225"/>
      <c r="IBJ225"/>
      <c r="IBK225"/>
      <c r="IBL225"/>
      <c r="IBM225"/>
      <c r="IBN225"/>
      <c r="IBO225"/>
      <c r="IBP225"/>
      <c r="IBQ225"/>
      <c r="IBR225"/>
      <c r="IBS225"/>
      <c r="IBT225"/>
      <c r="IBU225"/>
      <c r="IBV225"/>
      <c r="IBW225"/>
      <c r="IBX225"/>
      <c r="IBY225"/>
      <c r="IBZ225"/>
      <c r="ICA225"/>
      <c r="ICB225"/>
      <c r="ICC225"/>
      <c r="ICD225"/>
      <c r="ICE225"/>
      <c r="ICF225"/>
      <c r="ICG225"/>
      <c r="ICH225"/>
      <c r="ICI225"/>
      <c r="ICJ225"/>
      <c r="ICK225"/>
      <c r="ICL225"/>
      <c r="ICM225"/>
      <c r="ICN225"/>
      <c r="ICO225"/>
      <c r="ICP225"/>
      <c r="ICQ225"/>
      <c r="ICR225"/>
      <c r="ICS225"/>
      <c r="ICT225"/>
      <c r="ICU225"/>
      <c r="ICV225"/>
      <c r="ICW225"/>
      <c r="ICX225"/>
      <c r="ICY225"/>
      <c r="ICZ225"/>
      <c r="IDA225"/>
      <c r="IDB225"/>
      <c r="IDC225"/>
      <c r="IDD225"/>
      <c r="IDE225"/>
      <c r="IDF225"/>
      <c r="IDG225"/>
      <c r="IDH225"/>
      <c r="IDI225"/>
      <c r="IDJ225"/>
      <c r="IDK225"/>
      <c r="IDL225"/>
      <c r="IDM225"/>
      <c r="IDN225"/>
      <c r="IDO225"/>
      <c r="IDP225"/>
      <c r="IDQ225"/>
      <c r="IDR225"/>
      <c r="IDS225"/>
      <c r="IDT225"/>
      <c r="IDU225"/>
      <c r="IDV225"/>
      <c r="IDW225"/>
      <c r="IDX225"/>
      <c r="IDY225"/>
      <c r="IDZ225"/>
      <c r="IEA225"/>
      <c r="IEB225"/>
      <c r="IEC225"/>
      <c r="IED225"/>
      <c r="IEE225"/>
      <c r="IEF225"/>
      <c r="IEG225"/>
      <c r="IEH225"/>
      <c r="IEI225"/>
      <c r="IEJ225"/>
      <c r="IEK225"/>
      <c r="IEL225"/>
      <c r="IEM225"/>
      <c r="IEN225"/>
      <c r="IEO225"/>
      <c r="IEP225"/>
      <c r="IEQ225"/>
      <c r="IER225"/>
      <c r="IES225"/>
      <c r="IET225"/>
      <c r="IEU225"/>
      <c r="IEV225"/>
      <c r="IEW225"/>
      <c r="IEX225"/>
      <c r="IEY225"/>
      <c r="IEZ225"/>
      <c r="IFA225"/>
      <c r="IFB225"/>
      <c r="IFC225"/>
      <c r="IFD225"/>
      <c r="IFE225"/>
      <c r="IFF225"/>
      <c r="IFG225"/>
      <c r="IFH225"/>
      <c r="IFI225"/>
      <c r="IFJ225"/>
      <c r="IFK225"/>
      <c r="IFL225"/>
      <c r="IFM225"/>
      <c r="IFN225"/>
      <c r="IFO225"/>
      <c r="IFP225"/>
      <c r="IFQ225"/>
      <c r="IFR225"/>
      <c r="IFS225"/>
      <c r="IFT225"/>
      <c r="IFU225"/>
      <c r="IFV225"/>
      <c r="IFW225"/>
      <c r="IFX225"/>
      <c r="IFY225"/>
      <c r="IFZ225"/>
      <c r="IGA225"/>
      <c r="IGB225"/>
      <c r="IGC225"/>
      <c r="IGD225"/>
      <c r="IGE225"/>
      <c r="IGF225"/>
      <c r="IGG225"/>
      <c r="IGH225"/>
      <c r="IGI225"/>
      <c r="IGJ225"/>
      <c r="IGK225"/>
      <c r="IGL225"/>
      <c r="IGM225"/>
      <c r="IGN225"/>
      <c r="IGO225"/>
      <c r="IGP225"/>
      <c r="IGQ225"/>
      <c r="IGR225"/>
      <c r="IGS225"/>
      <c r="IGT225"/>
      <c r="IGU225"/>
      <c r="IGV225"/>
      <c r="IGW225"/>
      <c r="IGX225"/>
      <c r="IGY225"/>
      <c r="IGZ225"/>
      <c r="IHA225"/>
      <c r="IHB225"/>
      <c r="IHC225"/>
      <c r="IHD225"/>
      <c r="IHE225"/>
      <c r="IHF225"/>
      <c r="IHG225"/>
      <c r="IHH225"/>
      <c r="IHI225"/>
      <c r="IHJ225"/>
      <c r="IHK225"/>
      <c r="IHL225"/>
      <c r="IHM225"/>
      <c r="IHN225"/>
      <c r="IHO225"/>
      <c r="IHP225"/>
      <c r="IHQ225"/>
      <c r="IHR225"/>
      <c r="IHS225"/>
      <c r="IHT225"/>
      <c r="IHU225"/>
      <c r="IHV225"/>
      <c r="IHW225"/>
      <c r="IHX225"/>
      <c r="IHY225"/>
      <c r="IHZ225"/>
      <c r="IIA225"/>
      <c r="IIB225"/>
      <c r="IIC225"/>
      <c r="IID225"/>
      <c r="IIE225"/>
      <c r="IIF225"/>
      <c r="IIG225"/>
      <c r="IIH225"/>
      <c r="III225"/>
      <c r="IIJ225"/>
      <c r="IIK225"/>
      <c r="IIL225"/>
      <c r="IIM225"/>
      <c r="IIN225"/>
      <c r="IIO225"/>
      <c r="IIP225"/>
      <c r="IIQ225"/>
      <c r="IIR225"/>
      <c r="IIS225"/>
      <c r="IIT225"/>
      <c r="IIU225"/>
      <c r="IIV225"/>
      <c r="IIW225"/>
      <c r="IIX225"/>
      <c r="IIY225"/>
      <c r="IIZ225"/>
      <c r="IJA225"/>
      <c r="IJB225"/>
      <c r="IJC225"/>
      <c r="IJD225"/>
      <c r="IJE225"/>
      <c r="IJF225"/>
      <c r="IJG225"/>
      <c r="IJH225"/>
      <c r="IJI225"/>
      <c r="IJJ225"/>
      <c r="IJK225"/>
      <c r="IJL225"/>
      <c r="IJM225"/>
      <c r="IJN225"/>
      <c r="IJO225"/>
      <c r="IJP225"/>
      <c r="IJQ225"/>
      <c r="IJR225"/>
      <c r="IJS225"/>
      <c r="IJT225"/>
      <c r="IJU225"/>
      <c r="IJV225"/>
      <c r="IJW225"/>
      <c r="IJX225"/>
      <c r="IJY225"/>
      <c r="IJZ225"/>
      <c r="IKA225"/>
      <c r="IKB225"/>
      <c r="IKC225"/>
      <c r="IKD225"/>
      <c r="IKE225"/>
      <c r="IKF225"/>
      <c r="IKG225"/>
      <c r="IKH225"/>
      <c r="IKI225"/>
      <c r="IKJ225"/>
      <c r="IKK225"/>
      <c r="IKL225"/>
      <c r="IKM225"/>
      <c r="IKN225"/>
      <c r="IKO225"/>
      <c r="IKP225"/>
      <c r="IKQ225"/>
      <c r="IKR225"/>
      <c r="IKS225"/>
      <c r="IKT225"/>
      <c r="IKU225"/>
      <c r="IKV225"/>
      <c r="IKW225"/>
      <c r="IKX225"/>
      <c r="IKY225"/>
      <c r="IKZ225"/>
      <c r="ILA225"/>
      <c r="ILB225"/>
      <c r="ILC225"/>
      <c r="ILD225"/>
      <c r="ILE225"/>
      <c r="ILF225"/>
      <c r="ILG225"/>
      <c r="ILH225"/>
      <c r="ILI225"/>
      <c r="ILJ225"/>
      <c r="ILK225"/>
      <c r="ILL225"/>
      <c r="ILM225"/>
      <c r="ILN225"/>
      <c r="ILO225"/>
      <c r="ILP225"/>
      <c r="ILQ225"/>
      <c r="ILR225"/>
      <c r="ILS225"/>
      <c r="ILT225"/>
      <c r="ILU225"/>
      <c r="ILV225"/>
      <c r="ILW225"/>
      <c r="ILX225"/>
      <c r="ILY225"/>
      <c r="ILZ225"/>
      <c r="IMA225"/>
      <c r="IMB225"/>
      <c r="IMC225"/>
      <c r="IMD225"/>
      <c r="IME225"/>
      <c r="IMF225"/>
      <c r="IMG225"/>
      <c r="IMH225"/>
      <c r="IMI225"/>
      <c r="IMJ225"/>
      <c r="IMK225"/>
      <c r="IML225"/>
      <c r="IMM225"/>
      <c r="IMN225"/>
      <c r="IMO225"/>
      <c r="IMP225"/>
      <c r="IMQ225"/>
      <c r="IMR225"/>
      <c r="IMS225"/>
      <c r="IMT225"/>
      <c r="IMU225"/>
      <c r="IMV225"/>
      <c r="IMW225"/>
      <c r="IMX225"/>
      <c r="IMY225"/>
      <c r="IMZ225"/>
      <c r="INA225"/>
      <c r="INB225"/>
      <c r="INC225"/>
      <c r="IND225"/>
      <c r="INE225"/>
      <c r="INF225"/>
      <c r="ING225"/>
      <c r="INH225"/>
      <c r="INI225"/>
      <c r="INJ225"/>
      <c r="INK225"/>
      <c r="INL225"/>
      <c r="INM225"/>
      <c r="INN225"/>
      <c r="INO225"/>
      <c r="INP225"/>
      <c r="INQ225"/>
      <c r="INR225"/>
      <c r="INS225"/>
      <c r="INT225"/>
      <c r="INU225"/>
      <c r="INV225"/>
      <c r="INW225"/>
      <c r="INX225"/>
      <c r="INY225"/>
      <c r="INZ225"/>
      <c r="IOA225"/>
      <c r="IOB225"/>
      <c r="IOC225"/>
      <c r="IOD225"/>
      <c r="IOE225"/>
      <c r="IOF225"/>
      <c r="IOG225"/>
      <c r="IOH225"/>
      <c r="IOI225"/>
      <c r="IOJ225"/>
      <c r="IOK225"/>
      <c r="IOL225"/>
      <c r="IOM225"/>
      <c r="ION225"/>
      <c r="IOO225"/>
      <c r="IOP225"/>
      <c r="IOQ225"/>
      <c r="IOR225"/>
      <c r="IOS225"/>
      <c r="IOT225"/>
      <c r="IOU225"/>
      <c r="IOV225"/>
      <c r="IOW225"/>
      <c r="IOX225"/>
      <c r="IOY225"/>
      <c r="IOZ225"/>
      <c r="IPA225"/>
      <c r="IPB225"/>
      <c r="IPC225"/>
      <c r="IPD225"/>
      <c r="IPE225"/>
      <c r="IPF225"/>
      <c r="IPG225"/>
      <c r="IPH225"/>
      <c r="IPI225"/>
      <c r="IPJ225"/>
      <c r="IPK225"/>
      <c r="IPL225"/>
      <c r="IPM225"/>
      <c r="IPN225"/>
      <c r="IPO225"/>
      <c r="IPP225"/>
      <c r="IPQ225"/>
      <c r="IPR225"/>
      <c r="IPS225"/>
      <c r="IPT225"/>
      <c r="IPU225"/>
      <c r="IPV225"/>
      <c r="IPW225"/>
      <c r="IPX225"/>
      <c r="IPY225"/>
      <c r="IPZ225"/>
      <c r="IQA225"/>
      <c r="IQB225"/>
      <c r="IQC225"/>
      <c r="IQD225"/>
      <c r="IQE225"/>
      <c r="IQF225"/>
      <c r="IQG225"/>
      <c r="IQH225"/>
      <c r="IQI225"/>
      <c r="IQJ225"/>
      <c r="IQK225"/>
      <c r="IQL225"/>
      <c r="IQM225"/>
      <c r="IQN225"/>
      <c r="IQO225"/>
      <c r="IQP225"/>
      <c r="IQQ225"/>
      <c r="IQR225"/>
      <c r="IQS225"/>
      <c r="IQT225"/>
      <c r="IQU225"/>
      <c r="IQV225"/>
      <c r="IQW225"/>
      <c r="IQX225"/>
      <c r="IQY225"/>
      <c r="IQZ225"/>
      <c r="IRA225"/>
      <c r="IRB225"/>
      <c r="IRC225"/>
      <c r="IRD225"/>
      <c r="IRE225"/>
      <c r="IRF225"/>
      <c r="IRG225"/>
      <c r="IRH225"/>
      <c r="IRI225"/>
      <c r="IRJ225"/>
      <c r="IRK225"/>
      <c r="IRL225"/>
      <c r="IRM225"/>
      <c r="IRN225"/>
      <c r="IRO225"/>
      <c r="IRP225"/>
      <c r="IRQ225"/>
      <c r="IRR225"/>
      <c r="IRS225"/>
      <c r="IRT225"/>
      <c r="IRU225"/>
      <c r="IRV225"/>
      <c r="IRW225"/>
      <c r="IRX225"/>
      <c r="IRY225"/>
      <c r="IRZ225"/>
      <c r="ISA225"/>
      <c r="ISB225"/>
      <c r="ISC225"/>
      <c r="ISD225"/>
      <c r="ISE225"/>
      <c r="ISF225"/>
      <c r="ISG225"/>
      <c r="ISH225"/>
      <c r="ISI225"/>
      <c r="ISJ225"/>
      <c r="ISK225"/>
      <c r="ISL225"/>
      <c r="ISM225"/>
      <c r="ISN225"/>
      <c r="ISO225"/>
      <c r="ISP225"/>
      <c r="ISQ225"/>
      <c r="ISR225"/>
      <c r="ISS225"/>
      <c r="IST225"/>
      <c r="ISU225"/>
      <c r="ISV225"/>
      <c r="ISW225"/>
      <c r="ISX225"/>
      <c r="ISY225"/>
      <c r="ISZ225"/>
      <c r="ITA225"/>
      <c r="ITB225"/>
      <c r="ITC225"/>
      <c r="ITD225"/>
      <c r="ITE225"/>
      <c r="ITF225"/>
      <c r="ITG225"/>
      <c r="ITH225"/>
      <c r="ITI225"/>
      <c r="ITJ225"/>
      <c r="ITK225"/>
      <c r="ITL225"/>
      <c r="ITM225"/>
      <c r="ITN225"/>
      <c r="ITO225"/>
      <c r="ITP225"/>
      <c r="ITQ225"/>
      <c r="ITR225"/>
      <c r="ITS225"/>
      <c r="ITT225"/>
      <c r="ITU225"/>
      <c r="ITV225"/>
      <c r="ITW225"/>
      <c r="ITX225"/>
      <c r="ITY225"/>
      <c r="ITZ225"/>
      <c r="IUA225"/>
      <c r="IUB225"/>
      <c r="IUC225"/>
      <c r="IUD225"/>
      <c r="IUE225"/>
      <c r="IUF225"/>
      <c r="IUG225"/>
      <c r="IUH225"/>
      <c r="IUI225"/>
      <c r="IUJ225"/>
      <c r="IUK225"/>
      <c r="IUL225"/>
      <c r="IUM225"/>
      <c r="IUN225"/>
      <c r="IUO225"/>
      <c r="IUP225"/>
      <c r="IUQ225"/>
      <c r="IUR225"/>
      <c r="IUS225"/>
      <c r="IUT225"/>
      <c r="IUU225"/>
      <c r="IUV225"/>
      <c r="IUW225"/>
      <c r="IUX225"/>
      <c r="IUY225"/>
      <c r="IUZ225"/>
      <c r="IVA225"/>
      <c r="IVB225"/>
      <c r="IVC225"/>
      <c r="IVD225"/>
      <c r="IVE225"/>
      <c r="IVF225"/>
      <c r="IVG225"/>
      <c r="IVH225"/>
      <c r="IVI225"/>
      <c r="IVJ225"/>
      <c r="IVK225"/>
      <c r="IVL225"/>
      <c r="IVM225"/>
      <c r="IVN225"/>
      <c r="IVO225"/>
      <c r="IVP225"/>
      <c r="IVQ225"/>
      <c r="IVR225"/>
      <c r="IVS225"/>
      <c r="IVT225"/>
      <c r="IVU225"/>
      <c r="IVV225"/>
      <c r="IVW225"/>
      <c r="IVX225"/>
      <c r="IVY225"/>
      <c r="IVZ225"/>
      <c r="IWA225"/>
      <c r="IWB225"/>
      <c r="IWC225"/>
      <c r="IWD225"/>
      <c r="IWE225"/>
      <c r="IWF225"/>
      <c r="IWG225"/>
      <c r="IWH225"/>
      <c r="IWI225"/>
      <c r="IWJ225"/>
      <c r="IWK225"/>
      <c r="IWL225"/>
      <c r="IWM225"/>
      <c r="IWN225"/>
      <c r="IWO225"/>
      <c r="IWP225"/>
      <c r="IWQ225"/>
      <c r="IWR225"/>
      <c r="IWS225"/>
      <c r="IWT225"/>
      <c r="IWU225"/>
      <c r="IWV225"/>
      <c r="IWW225"/>
      <c r="IWX225"/>
      <c r="IWY225"/>
      <c r="IWZ225"/>
      <c r="IXA225"/>
      <c r="IXB225"/>
      <c r="IXC225"/>
      <c r="IXD225"/>
      <c r="IXE225"/>
      <c r="IXF225"/>
      <c r="IXG225"/>
      <c r="IXH225"/>
      <c r="IXI225"/>
      <c r="IXJ225"/>
      <c r="IXK225"/>
      <c r="IXL225"/>
      <c r="IXM225"/>
      <c r="IXN225"/>
      <c r="IXO225"/>
      <c r="IXP225"/>
      <c r="IXQ225"/>
      <c r="IXR225"/>
      <c r="IXS225"/>
      <c r="IXT225"/>
      <c r="IXU225"/>
      <c r="IXV225"/>
      <c r="IXW225"/>
      <c r="IXX225"/>
      <c r="IXY225"/>
      <c r="IXZ225"/>
      <c r="IYA225"/>
      <c r="IYB225"/>
      <c r="IYC225"/>
      <c r="IYD225"/>
      <c r="IYE225"/>
      <c r="IYF225"/>
      <c r="IYG225"/>
      <c r="IYH225"/>
      <c r="IYI225"/>
      <c r="IYJ225"/>
      <c r="IYK225"/>
      <c r="IYL225"/>
      <c r="IYM225"/>
      <c r="IYN225"/>
      <c r="IYO225"/>
      <c r="IYP225"/>
      <c r="IYQ225"/>
      <c r="IYR225"/>
      <c r="IYS225"/>
      <c r="IYT225"/>
      <c r="IYU225"/>
      <c r="IYV225"/>
      <c r="IYW225"/>
      <c r="IYX225"/>
      <c r="IYY225"/>
      <c r="IYZ225"/>
      <c r="IZA225"/>
      <c r="IZB225"/>
      <c r="IZC225"/>
      <c r="IZD225"/>
      <c r="IZE225"/>
      <c r="IZF225"/>
      <c r="IZG225"/>
      <c r="IZH225"/>
      <c r="IZI225"/>
      <c r="IZJ225"/>
      <c r="IZK225"/>
      <c r="IZL225"/>
      <c r="IZM225"/>
      <c r="IZN225"/>
      <c r="IZO225"/>
      <c r="IZP225"/>
      <c r="IZQ225"/>
      <c r="IZR225"/>
      <c r="IZS225"/>
      <c r="IZT225"/>
      <c r="IZU225"/>
      <c r="IZV225"/>
      <c r="IZW225"/>
      <c r="IZX225"/>
      <c r="IZY225"/>
      <c r="IZZ225"/>
      <c r="JAA225"/>
      <c r="JAB225"/>
      <c r="JAC225"/>
      <c r="JAD225"/>
      <c r="JAE225"/>
      <c r="JAF225"/>
      <c r="JAG225"/>
      <c r="JAH225"/>
      <c r="JAI225"/>
      <c r="JAJ225"/>
      <c r="JAK225"/>
      <c r="JAL225"/>
      <c r="JAM225"/>
      <c r="JAN225"/>
      <c r="JAO225"/>
      <c r="JAP225"/>
      <c r="JAQ225"/>
      <c r="JAR225"/>
      <c r="JAS225"/>
      <c r="JAT225"/>
      <c r="JAU225"/>
      <c r="JAV225"/>
      <c r="JAW225"/>
      <c r="JAX225"/>
      <c r="JAY225"/>
      <c r="JAZ225"/>
      <c r="JBA225"/>
      <c r="JBB225"/>
      <c r="JBC225"/>
      <c r="JBD225"/>
      <c r="JBE225"/>
      <c r="JBF225"/>
      <c r="JBG225"/>
      <c r="JBH225"/>
      <c r="JBI225"/>
      <c r="JBJ225"/>
      <c r="JBK225"/>
      <c r="JBL225"/>
      <c r="JBM225"/>
      <c r="JBN225"/>
      <c r="JBO225"/>
      <c r="JBP225"/>
      <c r="JBQ225"/>
      <c r="JBR225"/>
      <c r="JBS225"/>
      <c r="JBT225"/>
      <c r="JBU225"/>
      <c r="JBV225"/>
      <c r="JBW225"/>
      <c r="JBX225"/>
      <c r="JBY225"/>
      <c r="JBZ225"/>
      <c r="JCA225"/>
      <c r="JCB225"/>
      <c r="JCC225"/>
      <c r="JCD225"/>
      <c r="JCE225"/>
      <c r="JCF225"/>
      <c r="JCG225"/>
      <c r="JCH225"/>
      <c r="JCI225"/>
      <c r="JCJ225"/>
      <c r="JCK225"/>
      <c r="JCL225"/>
      <c r="JCM225"/>
      <c r="JCN225"/>
      <c r="JCO225"/>
      <c r="JCP225"/>
      <c r="JCQ225"/>
      <c r="JCR225"/>
      <c r="JCS225"/>
      <c r="JCT225"/>
      <c r="JCU225"/>
      <c r="JCV225"/>
      <c r="JCW225"/>
      <c r="JCX225"/>
      <c r="JCY225"/>
      <c r="JCZ225"/>
      <c r="JDA225"/>
      <c r="JDB225"/>
      <c r="JDC225"/>
      <c r="JDD225"/>
      <c r="JDE225"/>
      <c r="JDF225"/>
      <c r="JDG225"/>
      <c r="JDH225"/>
      <c r="JDI225"/>
      <c r="JDJ225"/>
      <c r="JDK225"/>
      <c r="JDL225"/>
      <c r="JDM225"/>
      <c r="JDN225"/>
      <c r="JDO225"/>
      <c r="JDP225"/>
      <c r="JDQ225"/>
      <c r="JDR225"/>
      <c r="JDS225"/>
      <c r="JDT225"/>
      <c r="JDU225"/>
      <c r="JDV225"/>
      <c r="JDW225"/>
      <c r="JDX225"/>
      <c r="JDY225"/>
      <c r="JDZ225"/>
      <c r="JEA225"/>
      <c r="JEB225"/>
      <c r="JEC225"/>
      <c r="JED225"/>
      <c r="JEE225"/>
      <c r="JEF225"/>
      <c r="JEG225"/>
      <c r="JEH225"/>
      <c r="JEI225"/>
      <c r="JEJ225"/>
      <c r="JEK225"/>
      <c r="JEL225"/>
      <c r="JEM225"/>
      <c r="JEN225"/>
      <c r="JEO225"/>
      <c r="JEP225"/>
      <c r="JEQ225"/>
      <c r="JER225"/>
      <c r="JES225"/>
      <c r="JET225"/>
      <c r="JEU225"/>
      <c r="JEV225"/>
      <c r="JEW225"/>
      <c r="JEX225"/>
      <c r="JEY225"/>
      <c r="JEZ225"/>
      <c r="JFA225"/>
      <c r="JFB225"/>
      <c r="JFC225"/>
      <c r="JFD225"/>
      <c r="JFE225"/>
      <c r="JFF225"/>
      <c r="JFG225"/>
      <c r="JFH225"/>
      <c r="JFI225"/>
      <c r="JFJ225"/>
      <c r="JFK225"/>
      <c r="JFL225"/>
      <c r="JFM225"/>
      <c r="JFN225"/>
      <c r="JFO225"/>
      <c r="JFP225"/>
      <c r="JFQ225"/>
      <c r="JFR225"/>
      <c r="JFS225"/>
      <c r="JFT225"/>
      <c r="JFU225"/>
      <c r="JFV225"/>
      <c r="JFW225"/>
      <c r="JFX225"/>
      <c r="JFY225"/>
      <c r="JFZ225"/>
      <c r="JGA225"/>
      <c r="JGB225"/>
      <c r="JGC225"/>
      <c r="JGD225"/>
      <c r="JGE225"/>
      <c r="JGF225"/>
      <c r="JGG225"/>
      <c r="JGH225"/>
      <c r="JGI225"/>
      <c r="JGJ225"/>
      <c r="JGK225"/>
      <c r="JGL225"/>
      <c r="JGM225"/>
      <c r="JGN225"/>
      <c r="JGO225"/>
      <c r="JGP225"/>
      <c r="JGQ225"/>
      <c r="JGR225"/>
      <c r="JGS225"/>
      <c r="JGT225"/>
      <c r="JGU225"/>
      <c r="JGV225"/>
      <c r="JGW225"/>
      <c r="JGX225"/>
      <c r="JGY225"/>
      <c r="JGZ225"/>
      <c r="JHA225"/>
      <c r="JHB225"/>
      <c r="JHC225"/>
      <c r="JHD225"/>
      <c r="JHE225"/>
      <c r="JHF225"/>
      <c r="JHG225"/>
      <c r="JHH225"/>
      <c r="JHI225"/>
      <c r="JHJ225"/>
      <c r="JHK225"/>
      <c r="JHL225"/>
      <c r="JHM225"/>
      <c r="JHN225"/>
      <c r="JHO225"/>
      <c r="JHP225"/>
      <c r="JHQ225"/>
      <c r="JHR225"/>
      <c r="JHS225"/>
      <c r="JHT225"/>
      <c r="JHU225"/>
      <c r="JHV225"/>
      <c r="JHW225"/>
      <c r="JHX225"/>
      <c r="JHY225"/>
      <c r="JHZ225"/>
      <c r="JIA225"/>
      <c r="JIB225"/>
      <c r="JIC225"/>
      <c r="JID225"/>
      <c r="JIE225"/>
      <c r="JIF225"/>
      <c r="JIG225"/>
      <c r="JIH225"/>
      <c r="JII225"/>
      <c r="JIJ225"/>
      <c r="JIK225"/>
      <c r="JIL225"/>
      <c r="JIM225"/>
      <c r="JIN225"/>
      <c r="JIO225"/>
      <c r="JIP225"/>
      <c r="JIQ225"/>
      <c r="JIR225"/>
      <c r="JIS225"/>
      <c r="JIT225"/>
      <c r="JIU225"/>
      <c r="JIV225"/>
      <c r="JIW225"/>
      <c r="JIX225"/>
      <c r="JIY225"/>
      <c r="JIZ225"/>
      <c r="JJA225"/>
      <c r="JJB225"/>
      <c r="JJC225"/>
      <c r="JJD225"/>
      <c r="JJE225"/>
      <c r="JJF225"/>
      <c r="JJG225"/>
      <c r="JJH225"/>
      <c r="JJI225"/>
      <c r="JJJ225"/>
      <c r="JJK225"/>
      <c r="JJL225"/>
      <c r="JJM225"/>
      <c r="JJN225"/>
      <c r="JJO225"/>
      <c r="JJP225"/>
      <c r="JJQ225"/>
      <c r="JJR225"/>
      <c r="JJS225"/>
      <c r="JJT225"/>
      <c r="JJU225"/>
      <c r="JJV225"/>
      <c r="JJW225"/>
      <c r="JJX225"/>
      <c r="JJY225"/>
      <c r="JJZ225"/>
      <c r="JKA225"/>
      <c r="JKB225"/>
      <c r="JKC225"/>
      <c r="JKD225"/>
      <c r="JKE225"/>
      <c r="JKF225"/>
      <c r="JKG225"/>
      <c r="JKH225"/>
      <c r="JKI225"/>
      <c r="JKJ225"/>
      <c r="JKK225"/>
      <c r="JKL225"/>
      <c r="JKM225"/>
      <c r="JKN225"/>
      <c r="JKO225"/>
      <c r="JKP225"/>
      <c r="JKQ225"/>
      <c r="JKR225"/>
      <c r="JKS225"/>
      <c r="JKT225"/>
      <c r="JKU225"/>
      <c r="JKV225"/>
      <c r="JKW225"/>
      <c r="JKX225"/>
      <c r="JKY225"/>
      <c r="JKZ225"/>
      <c r="JLA225"/>
      <c r="JLB225"/>
      <c r="JLC225"/>
      <c r="JLD225"/>
      <c r="JLE225"/>
      <c r="JLF225"/>
      <c r="JLG225"/>
      <c r="JLH225"/>
      <c r="JLI225"/>
      <c r="JLJ225"/>
      <c r="JLK225"/>
      <c r="JLL225"/>
      <c r="JLM225"/>
      <c r="JLN225"/>
      <c r="JLO225"/>
      <c r="JLP225"/>
      <c r="JLQ225"/>
      <c r="JLR225"/>
      <c r="JLS225"/>
      <c r="JLT225"/>
      <c r="JLU225"/>
      <c r="JLV225"/>
      <c r="JLW225"/>
      <c r="JLX225"/>
      <c r="JLY225"/>
      <c r="JLZ225"/>
      <c r="JMA225"/>
      <c r="JMB225"/>
      <c r="JMC225"/>
      <c r="JMD225"/>
      <c r="JME225"/>
      <c r="JMF225"/>
      <c r="JMG225"/>
      <c r="JMH225"/>
      <c r="JMI225"/>
      <c r="JMJ225"/>
      <c r="JMK225"/>
      <c r="JML225"/>
      <c r="JMM225"/>
      <c r="JMN225"/>
      <c r="JMO225"/>
      <c r="JMP225"/>
      <c r="JMQ225"/>
      <c r="JMR225"/>
      <c r="JMS225"/>
      <c r="JMT225"/>
      <c r="JMU225"/>
      <c r="JMV225"/>
      <c r="JMW225"/>
      <c r="JMX225"/>
      <c r="JMY225"/>
      <c r="JMZ225"/>
      <c r="JNA225"/>
      <c r="JNB225"/>
      <c r="JNC225"/>
      <c r="JND225"/>
      <c r="JNE225"/>
      <c r="JNF225"/>
      <c r="JNG225"/>
      <c r="JNH225"/>
      <c r="JNI225"/>
      <c r="JNJ225"/>
      <c r="JNK225"/>
      <c r="JNL225"/>
      <c r="JNM225"/>
      <c r="JNN225"/>
      <c r="JNO225"/>
      <c r="JNP225"/>
      <c r="JNQ225"/>
      <c r="JNR225"/>
      <c r="JNS225"/>
      <c r="JNT225"/>
      <c r="JNU225"/>
      <c r="JNV225"/>
      <c r="JNW225"/>
      <c r="JNX225"/>
      <c r="JNY225"/>
      <c r="JNZ225"/>
      <c r="JOA225"/>
      <c r="JOB225"/>
      <c r="JOC225"/>
      <c r="JOD225"/>
      <c r="JOE225"/>
      <c r="JOF225"/>
      <c r="JOG225"/>
      <c r="JOH225"/>
      <c r="JOI225"/>
      <c r="JOJ225"/>
      <c r="JOK225"/>
      <c r="JOL225"/>
      <c r="JOM225"/>
      <c r="JON225"/>
      <c r="JOO225"/>
      <c r="JOP225"/>
      <c r="JOQ225"/>
      <c r="JOR225"/>
      <c r="JOS225"/>
      <c r="JOT225"/>
      <c r="JOU225"/>
      <c r="JOV225"/>
      <c r="JOW225"/>
      <c r="JOX225"/>
      <c r="JOY225"/>
      <c r="JOZ225"/>
      <c r="JPA225"/>
      <c r="JPB225"/>
      <c r="JPC225"/>
      <c r="JPD225"/>
      <c r="JPE225"/>
      <c r="JPF225"/>
      <c r="JPG225"/>
      <c r="JPH225"/>
      <c r="JPI225"/>
      <c r="JPJ225"/>
      <c r="JPK225"/>
      <c r="JPL225"/>
      <c r="JPM225"/>
      <c r="JPN225"/>
      <c r="JPO225"/>
      <c r="JPP225"/>
      <c r="JPQ225"/>
      <c r="JPR225"/>
      <c r="JPS225"/>
      <c r="JPT225"/>
      <c r="JPU225"/>
      <c r="JPV225"/>
      <c r="JPW225"/>
      <c r="JPX225"/>
      <c r="JPY225"/>
      <c r="JPZ225"/>
      <c r="JQA225"/>
      <c r="JQB225"/>
      <c r="JQC225"/>
      <c r="JQD225"/>
      <c r="JQE225"/>
      <c r="JQF225"/>
      <c r="JQG225"/>
      <c r="JQH225"/>
      <c r="JQI225"/>
      <c r="JQJ225"/>
      <c r="JQK225"/>
      <c r="JQL225"/>
      <c r="JQM225"/>
      <c r="JQN225"/>
      <c r="JQO225"/>
      <c r="JQP225"/>
      <c r="JQQ225"/>
      <c r="JQR225"/>
      <c r="JQS225"/>
      <c r="JQT225"/>
      <c r="JQU225"/>
      <c r="JQV225"/>
      <c r="JQW225"/>
      <c r="JQX225"/>
      <c r="JQY225"/>
      <c r="JQZ225"/>
      <c r="JRA225"/>
      <c r="JRB225"/>
      <c r="JRC225"/>
      <c r="JRD225"/>
      <c r="JRE225"/>
      <c r="JRF225"/>
      <c r="JRG225"/>
      <c r="JRH225"/>
      <c r="JRI225"/>
      <c r="JRJ225"/>
      <c r="JRK225"/>
      <c r="JRL225"/>
      <c r="JRM225"/>
      <c r="JRN225"/>
      <c r="JRO225"/>
      <c r="JRP225"/>
      <c r="JRQ225"/>
      <c r="JRR225"/>
      <c r="JRS225"/>
      <c r="JRT225"/>
      <c r="JRU225"/>
      <c r="JRV225"/>
      <c r="JRW225"/>
      <c r="JRX225"/>
      <c r="JRY225"/>
      <c r="JRZ225"/>
      <c r="JSA225"/>
      <c r="JSB225"/>
      <c r="JSC225"/>
      <c r="JSD225"/>
      <c r="JSE225"/>
      <c r="JSF225"/>
      <c r="JSG225"/>
      <c r="JSH225"/>
      <c r="JSI225"/>
      <c r="JSJ225"/>
      <c r="JSK225"/>
      <c r="JSL225"/>
      <c r="JSM225"/>
      <c r="JSN225"/>
      <c r="JSO225"/>
      <c r="JSP225"/>
      <c r="JSQ225"/>
      <c r="JSR225"/>
      <c r="JSS225"/>
      <c r="JST225"/>
      <c r="JSU225"/>
      <c r="JSV225"/>
      <c r="JSW225"/>
      <c r="JSX225"/>
      <c r="JSY225"/>
      <c r="JSZ225"/>
      <c r="JTA225"/>
      <c r="JTB225"/>
      <c r="JTC225"/>
      <c r="JTD225"/>
      <c r="JTE225"/>
      <c r="JTF225"/>
      <c r="JTG225"/>
      <c r="JTH225"/>
      <c r="JTI225"/>
      <c r="JTJ225"/>
      <c r="JTK225"/>
      <c r="JTL225"/>
      <c r="JTM225"/>
      <c r="JTN225"/>
      <c r="JTO225"/>
      <c r="JTP225"/>
      <c r="JTQ225"/>
      <c r="JTR225"/>
      <c r="JTS225"/>
      <c r="JTT225"/>
      <c r="JTU225"/>
      <c r="JTV225"/>
      <c r="JTW225"/>
      <c r="JTX225"/>
      <c r="JTY225"/>
      <c r="JTZ225"/>
      <c r="JUA225"/>
      <c r="JUB225"/>
      <c r="JUC225"/>
      <c r="JUD225"/>
      <c r="JUE225"/>
      <c r="JUF225"/>
      <c r="JUG225"/>
      <c r="JUH225"/>
      <c r="JUI225"/>
      <c r="JUJ225"/>
      <c r="JUK225"/>
      <c r="JUL225"/>
      <c r="JUM225"/>
      <c r="JUN225"/>
      <c r="JUO225"/>
      <c r="JUP225"/>
      <c r="JUQ225"/>
      <c r="JUR225"/>
      <c r="JUS225"/>
      <c r="JUT225"/>
      <c r="JUU225"/>
      <c r="JUV225"/>
      <c r="JUW225"/>
      <c r="JUX225"/>
      <c r="JUY225"/>
      <c r="JUZ225"/>
      <c r="JVA225"/>
      <c r="JVB225"/>
      <c r="JVC225"/>
      <c r="JVD225"/>
      <c r="JVE225"/>
      <c r="JVF225"/>
      <c r="JVG225"/>
      <c r="JVH225"/>
      <c r="JVI225"/>
      <c r="JVJ225"/>
      <c r="JVK225"/>
      <c r="JVL225"/>
      <c r="JVM225"/>
      <c r="JVN225"/>
      <c r="JVO225"/>
      <c r="JVP225"/>
      <c r="JVQ225"/>
      <c r="JVR225"/>
      <c r="JVS225"/>
      <c r="JVT225"/>
      <c r="JVU225"/>
      <c r="JVV225"/>
      <c r="JVW225"/>
      <c r="JVX225"/>
      <c r="JVY225"/>
      <c r="JVZ225"/>
      <c r="JWA225"/>
      <c r="JWB225"/>
      <c r="JWC225"/>
      <c r="JWD225"/>
      <c r="JWE225"/>
      <c r="JWF225"/>
      <c r="JWG225"/>
      <c r="JWH225"/>
      <c r="JWI225"/>
      <c r="JWJ225"/>
      <c r="JWK225"/>
      <c r="JWL225"/>
      <c r="JWM225"/>
      <c r="JWN225"/>
      <c r="JWO225"/>
      <c r="JWP225"/>
      <c r="JWQ225"/>
      <c r="JWR225"/>
      <c r="JWS225"/>
      <c r="JWT225"/>
      <c r="JWU225"/>
      <c r="JWV225"/>
      <c r="JWW225"/>
      <c r="JWX225"/>
      <c r="JWY225"/>
      <c r="JWZ225"/>
      <c r="JXA225"/>
      <c r="JXB225"/>
      <c r="JXC225"/>
      <c r="JXD225"/>
      <c r="JXE225"/>
      <c r="JXF225"/>
      <c r="JXG225"/>
      <c r="JXH225"/>
      <c r="JXI225"/>
      <c r="JXJ225"/>
      <c r="JXK225"/>
      <c r="JXL225"/>
      <c r="JXM225"/>
      <c r="JXN225"/>
      <c r="JXO225"/>
      <c r="JXP225"/>
      <c r="JXQ225"/>
      <c r="JXR225"/>
      <c r="JXS225"/>
      <c r="JXT225"/>
      <c r="JXU225"/>
      <c r="JXV225"/>
      <c r="JXW225"/>
      <c r="JXX225"/>
      <c r="JXY225"/>
      <c r="JXZ225"/>
      <c r="JYA225"/>
      <c r="JYB225"/>
      <c r="JYC225"/>
      <c r="JYD225"/>
      <c r="JYE225"/>
      <c r="JYF225"/>
      <c r="JYG225"/>
      <c r="JYH225"/>
      <c r="JYI225"/>
      <c r="JYJ225"/>
      <c r="JYK225"/>
      <c r="JYL225"/>
      <c r="JYM225"/>
      <c r="JYN225"/>
      <c r="JYO225"/>
      <c r="JYP225"/>
      <c r="JYQ225"/>
      <c r="JYR225"/>
      <c r="JYS225"/>
      <c r="JYT225"/>
      <c r="JYU225"/>
      <c r="JYV225"/>
      <c r="JYW225"/>
      <c r="JYX225"/>
      <c r="JYY225"/>
      <c r="JYZ225"/>
      <c r="JZA225"/>
      <c r="JZB225"/>
      <c r="JZC225"/>
      <c r="JZD225"/>
      <c r="JZE225"/>
      <c r="JZF225"/>
      <c r="JZG225"/>
      <c r="JZH225"/>
      <c r="JZI225"/>
      <c r="JZJ225"/>
      <c r="JZK225"/>
      <c r="JZL225"/>
      <c r="JZM225"/>
      <c r="JZN225"/>
      <c r="JZO225"/>
      <c r="JZP225"/>
      <c r="JZQ225"/>
      <c r="JZR225"/>
      <c r="JZS225"/>
      <c r="JZT225"/>
      <c r="JZU225"/>
      <c r="JZV225"/>
      <c r="JZW225"/>
      <c r="JZX225"/>
      <c r="JZY225"/>
      <c r="JZZ225"/>
      <c r="KAA225"/>
      <c r="KAB225"/>
      <c r="KAC225"/>
      <c r="KAD225"/>
      <c r="KAE225"/>
      <c r="KAF225"/>
      <c r="KAG225"/>
      <c r="KAH225"/>
      <c r="KAI225"/>
      <c r="KAJ225"/>
      <c r="KAK225"/>
      <c r="KAL225"/>
      <c r="KAM225"/>
      <c r="KAN225"/>
      <c r="KAO225"/>
      <c r="KAP225"/>
      <c r="KAQ225"/>
      <c r="KAR225"/>
      <c r="KAS225"/>
      <c r="KAT225"/>
      <c r="KAU225"/>
      <c r="KAV225"/>
      <c r="KAW225"/>
      <c r="KAX225"/>
      <c r="KAY225"/>
      <c r="KAZ225"/>
      <c r="KBA225"/>
      <c r="KBB225"/>
      <c r="KBC225"/>
      <c r="KBD225"/>
      <c r="KBE225"/>
      <c r="KBF225"/>
      <c r="KBG225"/>
      <c r="KBH225"/>
      <c r="KBI225"/>
      <c r="KBJ225"/>
      <c r="KBK225"/>
      <c r="KBL225"/>
      <c r="KBM225"/>
      <c r="KBN225"/>
      <c r="KBO225"/>
      <c r="KBP225"/>
      <c r="KBQ225"/>
      <c r="KBR225"/>
      <c r="KBS225"/>
      <c r="KBT225"/>
      <c r="KBU225"/>
      <c r="KBV225"/>
      <c r="KBW225"/>
      <c r="KBX225"/>
      <c r="KBY225"/>
      <c r="KBZ225"/>
      <c r="KCA225"/>
      <c r="KCB225"/>
      <c r="KCC225"/>
      <c r="KCD225"/>
      <c r="KCE225"/>
      <c r="KCF225"/>
      <c r="KCG225"/>
      <c r="KCH225"/>
      <c r="KCI225"/>
      <c r="KCJ225"/>
      <c r="KCK225"/>
      <c r="KCL225"/>
      <c r="KCM225"/>
      <c r="KCN225"/>
      <c r="KCO225"/>
      <c r="KCP225"/>
      <c r="KCQ225"/>
      <c r="KCR225"/>
      <c r="KCS225"/>
      <c r="KCT225"/>
      <c r="KCU225"/>
      <c r="KCV225"/>
      <c r="KCW225"/>
      <c r="KCX225"/>
      <c r="KCY225"/>
      <c r="KCZ225"/>
      <c r="KDA225"/>
      <c r="KDB225"/>
      <c r="KDC225"/>
      <c r="KDD225"/>
      <c r="KDE225"/>
      <c r="KDF225"/>
      <c r="KDG225"/>
      <c r="KDH225"/>
      <c r="KDI225"/>
      <c r="KDJ225"/>
      <c r="KDK225"/>
      <c r="KDL225"/>
      <c r="KDM225"/>
      <c r="KDN225"/>
      <c r="KDO225"/>
      <c r="KDP225"/>
      <c r="KDQ225"/>
      <c r="KDR225"/>
      <c r="KDS225"/>
      <c r="KDT225"/>
      <c r="KDU225"/>
      <c r="KDV225"/>
      <c r="KDW225"/>
      <c r="KDX225"/>
      <c r="KDY225"/>
      <c r="KDZ225"/>
      <c r="KEA225"/>
      <c r="KEB225"/>
      <c r="KEC225"/>
      <c r="KED225"/>
      <c r="KEE225"/>
      <c r="KEF225"/>
      <c r="KEG225"/>
      <c r="KEH225"/>
      <c r="KEI225"/>
      <c r="KEJ225"/>
      <c r="KEK225"/>
      <c r="KEL225"/>
      <c r="KEM225"/>
      <c r="KEN225"/>
      <c r="KEO225"/>
      <c r="KEP225"/>
      <c r="KEQ225"/>
      <c r="KER225"/>
      <c r="KES225"/>
      <c r="KET225"/>
      <c r="KEU225"/>
      <c r="KEV225"/>
      <c r="KEW225"/>
      <c r="KEX225"/>
      <c r="KEY225"/>
      <c r="KEZ225"/>
      <c r="KFA225"/>
      <c r="KFB225"/>
      <c r="KFC225"/>
      <c r="KFD225"/>
      <c r="KFE225"/>
      <c r="KFF225"/>
      <c r="KFG225"/>
      <c r="KFH225"/>
      <c r="KFI225"/>
      <c r="KFJ225"/>
      <c r="KFK225"/>
      <c r="KFL225"/>
      <c r="KFM225"/>
      <c r="KFN225"/>
      <c r="KFO225"/>
      <c r="KFP225"/>
      <c r="KFQ225"/>
      <c r="KFR225"/>
      <c r="KFS225"/>
      <c r="KFT225"/>
      <c r="KFU225"/>
      <c r="KFV225"/>
      <c r="KFW225"/>
      <c r="KFX225"/>
      <c r="KFY225"/>
      <c r="KFZ225"/>
      <c r="KGA225"/>
      <c r="KGB225"/>
      <c r="KGC225"/>
      <c r="KGD225"/>
      <c r="KGE225"/>
      <c r="KGF225"/>
      <c r="KGG225"/>
      <c r="KGH225"/>
      <c r="KGI225"/>
      <c r="KGJ225"/>
      <c r="KGK225"/>
      <c r="KGL225"/>
      <c r="KGM225"/>
      <c r="KGN225"/>
      <c r="KGO225"/>
      <c r="KGP225"/>
      <c r="KGQ225"/>
      <c r="KGR225"/>
      <c r="KGS225"/>
      <c r="KGT225"/>
      <c r="KGU225"/>
      <c r="KGV225"/>
      <c r="KGW225"/>
      <c r="KGX225"/>
      <c r="KGY225"/>
      <c r="KGZ225"/>
      <c r="KHA225"/>
      <c r="KHB225"/>
      <c r="KHC225"/>
      <c r="KHD225"/>
      <c r="KHE225"/>
      <c r="KHF225"/>
      <c r="KHG225"/>
      <c r="KHH225"/>
      <c r="KHI225"/>
      <c r="KHJ225"/>
      <c r="KHK225"/>
      <c r="KHL225"/>
      <c r="KHM225"/>
      <c r="KHN225"/>
      <c r="KHO225"/>
      <c r="KHP225"/>
      <c r="KHQ225"/>
      <c r="KHR225"/>
      <c r="KHS225"/>
      <c r="KHT225"/>
      <c r="KHU225"/>
      <c r="KHV225"/>
      <c r="KHW225"/>
      <c r="KHX225"/>
      <c r="KHY225"/>
      <c r="KHZ225"/>
      <c r="KIA225"/>
      <c r="KIB225"/>
      <c r="KIC225"/>
      <c r="KID225"/>
      <c r="KIE225"/>
      <c r="KIF225"/>
      <c r="KIG225"/>
      <c r="KIH225"/>
      <c r="KII225"/>
      <c r="KIJ225"/>
      <c r="KIK225"/>
      <c r="KIL225"/>
      <c r="KIM225"/>
      <c r="KIN225"/>
      <c r="KIO225"/>
      <c r="KIP225"/>
      <c r="KIQ225"/>
      <c r="KIR225"/>
      <c r="KIS225"/>
      <c r="KIT225"/>
      <c r="KIU225"/>
      <c r="KIV225"/>
      <c r="KIW225"/>
      <c r="KIX225"/>
      <c r="KIY225"/>
      <c r="KIZ225"/>
      <c r="KJA225"/>
      <c r="KJB225"/>
      <c r="KJC225"/>
      <c r="KJD225"/>
      <c r="KJE225"/>
      <c r="KJF225"/>
      <c r="KJG225"/>
      <c r="KJH225"/>
      <c r="KJI225"/>
      <c r="KJJ225"/>
      <c r="KJK225"/>
      <c r="KJL225"/>
      <c r="KJM225"/>
      <c r="KJN225"/>
      <c r="KJO225"/>
      <c r="KJP225"/>
      <c r="KJQ225"/>
      <c r="KJR225"/>
      <c r="KJS225"/>
      <c r="KJT225"/>
      <c r="KJU225"/>
      <c r="KJV225"/>
      <c r="KJW225"/>
      <c r="KJX225"/>
      <c r="KJY225"/>
      <c r="KJZ225"/>
      <c r="KKA225"/>
      <c r="KKB225"/>
      <c r="KKC225"/>
      <c r="KKD225"/>
      <c r="KKE225"/>
      <c r="KKF225"/>
      <c r="KKG225"/>
      <c r="KKH225"/>
      <c r="KKI225"/>
      <c r="KKJ225"/>
      <c r="KKK225"/>
      <c r="KKL225"/>
      <c r="KKM225"/>
      <c r="KKN225"/>
      <c r="KKO225"/>
      <c r="KKP225"/>
      <c r="KKQ225"/>
      <c r="KKR225"/>
      <c r="KKS225"/>
      <c r="KKT225"/>
      <c r="KKU225"/>
      <c r="KKV225"/>
      <c r="KKW225"/>
      <c r="KKX225"/>
      <c r="KKY225"/>
      <c r="KKZ225"/>
      <c r="KLA225"/>
      <c r="KLB225"/>
      <c r="KLC225"/>
      <c r="KLD225"/>
      <c r="KLE225"/>
      <c r="KLF225"/>
      <c r="KLG225"/>
      <c r="KLH225"/>
      <c r="KLI225"/>
      <c r="KLJ225"/>
      <c r="KLK225"/>
      <c r="KLL225"/>
      <c r="KLM225"/>
      <c r="KLN225"/>
      <c r="KLO225"/>
      <c r="KLP225"/>
      <c r="KLQ225"/>
      <c r="KLR225"/>
      <c r="KLS225"/>
      <c r="KLT225"/>
      <c r="KLU225"/>
      <c r="KLV225"/>
      <c r="KLW225"/>
      <c r="KLX225"/>
      <c r="KLY225"/>
      <c r="KLZ225"/>
      <c r="KMA225"/>
      <c r="KMB225"/>
      <c r="KMC225"/>
      <c r="KMD225"/>
      <c r="KME225"/>
      <c r="KMF225"/>
      <c r="KMG225"/>
      <c r="KMH225"/>
      <c r="KMI225"/>
      <c r="KMJ225"/>
      <c r="KMK225"/>
      <c r="KML225"/>
      <c r="KMM225"/>
      <c r="KMN225"/>
      <c r="KMO225"/>
      <c r="KMP225"/>
      <c r="KMQ225"/>
      <c r="KMR225"/>
      <c r="KMS225"/>
      <c r="KMT225"/>
      <c r="KMU225"/>
      <c r="KMV225"/>
      <c r="KMW225"/>
      <c r="KMX225"/>
      <c r="KMY225"/>
      <c r="KMZ225"/>
      <c r="KNA225"/>
      <c r="KNB225"/>
      <c r="KNC225"/>
      <c r="KND225"/>
      <c r="KNE225"/>
      <c r="KNF225"/>
      <c r="KNG225"/>
      <c r="KNH225"/>
      <c r="KNI225"/>
      <c r="KNJ225"/>
      <c r="KNK225"/>
      <c r="KNL225"/>
      <c r="KNM225"/>
      <c r="KNN225"/>
      <c r="KNO225"/>
      <c r="KNP225"/>
      <c r="KNQ225"/>
      <c r="KNR225"/>
      <c r="KNS225"/>
      <c r="KNT225"/>
      <c r="KNU225"/>
      <c r="KNV225"/>
      <c r="KNW225"/>
      <c r="KNX225"/>
      <c r="KNY225"/>
      <c r="KNZ225"/>
      <c r="KOA225"/>
      <c r="KOB225"/>
      <c r="KOC225"/>
      <c r="KOD225"/>
      <c r="KOE225"/>
      <c r="KOF225"/>
      <c r="KOG225"/>
      <c r="KOH225"/>
      <c r="KOI225"/>
      <c r="KOJ225"/>
      <c r="KOK225"/>
      <c r="KOL225"/>
      <c r="KOM225"/>
      <c r="KON225"/>
      <c r="KOO225"/>
      <c r="KOP225"/>
      <c r="KOQ225"/>
      <c r="KOR225"/>
      <c r="KOS225"/>
      <c r="KOT225"/>
      <c r="KOU225"/>
      <c r="KOV225"/>
      <c r="KOW225"/>
      <c r="KOX225"/>
      <c r="KOY225"/>
      <c r="KOZ225"/>
      <c r="KPA225"/>
      <c r="KPB225"/>
      <c r="KPC225"/>
      <c r="KPD225"/>
      <c r="KPE225"/>
      <c r="KPF225"/>
      <c r="KPG225"/>
      <c r="KPH225"/>
      <c r="KPI225"/>
      <c r="KPJ225"/>
      <c r="KPK225"/>
      <c r="KPL225"/>
      <c r="KPM225"/>
      <c r="KPN225"/>
      <c r="KPO225"/>
      <c r="KPP225"/>
      <c r="KPQ225"/>
      <c r="KPR225"/>
      <c r="KPS225"/>
      <c r="KPT225"/>
      <c r="KPU225"/>
      <c r="KPV225"/>
      <c r="KPW225"/>
      <c r="KPX225"/>
      <c r="KPY225"/>
      <c r="KPZ225"/>
      <c r="KQA225"/>
      <c r="KQB225"/>
      <c r="KQC225"/>
      <c r="KQD225"/>
      <c r="KQE225"/>
      <c r="KQF225"/>
      <c r="KQG225"/>
      <c r="KQH225"/>
      <c r="KQI225"/>
      <c r="KQJ225"/>
      <c r="KQK225"/>
      <c r="KQL225"/>
      <c r="KQM225"/>
      <c r="KQN225"/>
      <c r="KQO225"/>
      <c r="KQP225"/>
      <c r="KQQ225"/>
      <c r="KQR225"/>
      <c r="KQS225"/>
      <c r="KQT225"/>
      <c r="KQU225"/>
      <c r="KQV225"/>
      <c r="KQW225"/>
      <c r="KQX225"/>
      <c r="KQY225"/>
      <c r="KQZ225"/>
      <c r="KRA225"/>
      <c r="KRB225"/>
      <c r="KRC225"/>
      <c r="KRD225"/>
      <c r="KRE225"/>
      <c r="KRF225"/>
      <c r="KRG225"/>
      <c r="KRH225"/>
      <c r="KRI225"/>
      <c r="KRJ225"/>
      <c r="KRK225"/>
      <c r="KRL225"/>
      <c r="KRM225"/>
      <c r="KRN225"/>
      <c r="KRO225"/>
      <c r="KRP225"/>
      <c r="KRQ225"/>
      <c r="KRR225"/>
      <c r="KRS225"/>
      <c r="KRT225"/>
      <c r="KRU225"/>
      <c r="KRV225"/>
      <c r="KRW225"/>
      <c r="KRX225"/>
      <c r="KRY225"/>
      <c r="KRZ225"/>
      <c r="KSA225"/>
      <c r="KSB225"/>
      <c r="KSC225"/>
      <c r="KSD225"/>
      <c r="KSE225"/>
      <c r="KSF225"/>
      <c r="KSG225"/>
      <c r="KSH225"/>
      <c r="KSI225"/>
      <c r="KSJ225"/>
      <c r="KSK225"/>
      <c r="KSL225"/>
      <c r="KSM225"/>
      <c r="KSN225"/>
      <c r="KSO225"/>
      <c r="KSP225"/>
      <c r="KSQ225"/>
      <c r="KSR225"/>
      <c r="KSS225"/>
      <c r="KST225"/>
      <c r="KSU225"/>
      <c r="KSV225"/>
      <c r="KSW225"/>
      <c r="KSX225"/>
      <c r="KSY225"/>
      <c r="KSZ225"/>
      <c r="KTA225"/>
      <c r="KTB225"/>
      <c r="KTC225"/>
      <c r="KTD225"/>
      <c r="KTE225"/>
      <c r="KTF225"/>
      <c r="KTG225"/>
      <c r="KTH225"/>
      <c r="KTI225"/>
      <c r="KTJ225"/>
      <c r="KTK225"/>
      <c r="KTL225"/>
      <c r="KTM225"/>
      <c r="KTN225"/>
      <c r="KTO225"/>
      <c r="KTP225"/>
      <c r="KTQ225"/>
      <c r="KTR225"/>
      <c r="KTS225"/>
      <c r="KTT225"/>
      <c r="KTU225"/>
      <c r="KTV225"/>
      <c r="KTW225"/>
      <c r="KTX225"/>
      <c r="KTY225"/>
      <c r="KTZ225"/>
      <c r="KUA225"/>
      <c r="KUB225"/>
      <c r="KUC225"/>
      <c r="KUD225"/>
      <c r="KUE225"/>
      <c r="KUF225"/>
      <c r="KUG225"/>
      <c r="KUH225"/>
      <c r="KUI225"/>
      <c r="KUJ225"/>
      <c r="KUK225"/>
      <c r="KUL225"/>
      <c r="KUM225"/>
      <c r="KUN225"/>
      <c r="KUO225"/>
      <c r="KUP225"/>
      <c r="KUQ225"/>
      <c r="KUR225"/>
      <c r="KUS225"/>
      <c r="KUT225"/>
      <c r="KUU225"/>
      <c r="KUV225"/>
      <c r="KUW225"/>
      <c r="KUX225"/>
      <c r="KUY225"/>
      <c r="KUZ225"/>
      <c r="KVA225"/>
      <c r="KVB225"/>
      <c r="KVC225"/>
      <c r="KVD225"/>
      <c r="KVE225"/>
      <c r="KVF225"/>
      <c r="KVG225"/>
      <c r="KVH225"/>
      <c r="KVI225"/>
      <c r="KVJ225"/>
      <c r="KVK225"/>
      <c r="KVL225"/>
      <c r="KVM225"/>
      <c r="KVN225"/>
      <c r="KVO225"/>
      <c r="KVP225"/>
      <c r="KVQ225"/>
      <c r="KVR225"/>
      <c r="KVS225"/>
      <c r="KVT225"/>
      <c r="KVU225"/>
      <c r="KVV225"/>
      <c r="KVW225"/>
      <c r="KVX225"/>
      <c r="KVY225"/>
      <c r="KVZ225"/>
      <c r="KWA225"/>
      <c r="KWB225"/>
      <c r="KWC225"/>
      <c r="KWD225"/>
      <c r="KWE225"/>
      <c r="KWF225"/>
      <c r="KWG225"/>
      <c r="KWH225"/>
      <c r="KWI225"/>
      <c r="KWJ225"/>
      <c r="KWK225"/>
      <c r="KWL225"/>
      <c r="KWM225"/>
      <c r="KWN225"/>
      <c r="KWO225"/>
      <c r="KWP225"/>
      <c r="KWQ225"/>
      <c r="KWR225"/>
      <c r="KWS225"/>
      <c r="KWT225"/>
      <c r="KWU225"/>
      <c r="KWV225"/>
      <c r="KWW225"/>
      <c r="KWX225"/>
      <c r="KWY225"/>
      <c r="KWZ225"/>
      <c r="KXA225"/>
      <c r="KXB225"/>
      <c r="KXC225"/>
      <c r="KXD225"/>
      <c r="KXE225"/>
      <c r="KXF225"/>
      <c r="KXG225"/>
      <c r="KXH225"/>
      <c r="KXI225"/>
      <c r="KXJ225"/>
      <c r="KXK225"/>
      <c r="KXL225"/>
      <c r="KXM225"/>
      <c r="KXN225"/>
      <c r="KXO225"/>
      <c r="KXP225"/>
      <c r="KXQ225"/>
      <c r="KXR225"/>
      <c r="KXS225"/>
      <c r="KXT225"/>
      <c r="KXU225"/>
      <c r="KXV225"/>
      <c r="KXW225"/>
      <c r="KXX225"/>
      <c r="KXY225"/>
      <c r="KXZ225"/>
      <c r="KYA225"/>
      <c r="KYB225"/>
      <c r="KYC225"/>
      <c r="KYD225"/>
      <c r="KYE225"/>
      <c r="KYF225"/>
      <c r="KYG225"/>
      <c r="KYH225"/>
      <c r="KYI225"/>
      <c r="KYJ225"/>
      <c r="KYK225"/>
      <c r="KYL225"/>
      <c r="KYM225"/>
      <c r="KYN225"/>
      <c r="KYO225"/>
      <c r="KYP225"/>
      <c r="KYQ225"/>
      <c r="KYR225"/>
      <c r="KYS225"/>
      <c r="KYT225"/>
      <c r="KYU225"/>
      <c r="KYV225"/>
      <c r="KYW225"/>
      <c r="KYX225"/>
      <c r="KYY225"/>
      <c r="KYZ225"/>
      <c r="KZA225"/>
      <c r="KZB225"/>
      <c r="KZC225"/>
      <c r="KZD225"/>
      <c r="KZE225"/>
      <c r="KZF225"/>
      <c r="KZG225"/>
      <c r="KZH225"/>
      <c r="KZI225"/>
      <c r="KZJ225"/>
      <c r="KZK225"/>
      <c r="KZL225"/>
      <c r="KZM225"/>
      <c r="KZN225"/>
      <c r="KZO225"/>
      <c r="KZP225"/>
      <c r="KZQ225"/>
      <c r="KZR225"/>
      <c r="KZS225"/>
      <c r="KZT225"/>
      <c r="KZU225"/>
      <c r="KZV225"/>
      <c r="KZW225"/>
      <c r="KZX225"/>
      <c r="KZY225"/>
      <c r="KZZ225"/>
      <c r="LAA225"/>
      <c r="LAB225"/>
      <c r="LAC225"/>
      <c r="LAD225"/>
      <c r="LAE225"/>
      <c r="LAF225"/>
      <c r="LAG225"/>
      <c r="LAH225"/>
      <c r="LAI225"/>
      <c r="LAJ225"/>
      <c r="LAK225"/>
      <c r="LAL225"/>
      <c r="LAM225"/>
      <c r="LAN225"/>
      <c r="LAO225"/>
      <c r="LAP225"/>
      <c r="LAQ225"/>
      <c r="LAR225"/>
      <c r="LAS225"/>
      <c r="LAT225"/>
      <c r="LAU225"/>
      <c r="LAV225"/>
      <c r="LAW225"/>
      <c r="LAX225"/>
      <c r="LAY225"/>
      <c r="LAZ225"/>
      <c r="LBA225"/>
      <c r="LBB225"/>
      <c r="LBC225"/>
      <c r="LBD225"/>
      <c r="LBE225"/>
      <c r="LBF225"/>
      <c r="LBG225"/>
      <c r="LBH225"/>
      <c r="LBI225"/>
      <c r="LBJ225"/>
      <c r="LBK225"/>
      <c r="LBL225"/>
      <c r="LBM225"/>
      <c r="LBN225"/>
      <c r="LBO225"/>
      <c r="LBP225"/>
      <c r="LBQ225"/>
      <c r="LBR225"/>
      <c r="LBS225"/>
      <c r="LBT225"/>
      <c r="LBU225"/>
      <c r="LBV225"/>
      <c r="LBW225"/>
      <c r="LBX225"/>
      <c r="LBY225"/>
      <c r="LBZ225"/>
      <c r="LCA225"/>
      <c r="LCB225"/>
      <c r="LCC225"/>
      <c r="LCD225"/>
      <c r="LCE225"/>
      <c r="LCF225"/>
      <c r="LCG225"/>
      <c r="LCH225"/>
      <c r="LCI225"/>
      <c r="LCJ225"/>
      <c r="LCK225"/>
      <c r="LCL225"/>
      <c r="LCM225"/>
      <c r="LCN225"/>
      <c r="LCO225"/>
      <c r="LCP225"/>
      <c r="LCQ225"/>
      <c r="LCR225"/>
      <c r="LCS225"/>
      <c r="LCT225"/>
      <c r="LCU225"/>
      <c r="LCV225"/>
      <c r="LCW225"/>
      <c r="LCX225"/>
      <c r="LCY225"/>
      <c r="LCZ225"/>
      <c r="LDA225"/>
      <c r="LDB225"/>
      <c r="LDC225"/>
      <c r="LDD225"/>
      <c r="LDE225"/>
      <c r="LDF225"/>
      <c r="LDG225"/>
      <c r="LDH225"/>
      <c r="LDI225"/>
      <c r="LDJ225"/>
      <c r="LDK225"/>
      <c r="LDL225"/>
      <c r="LDM225"/>
      <c r="LDN225"/>
      <c r="LDO225"/>
      <c r="LDP225"/>
      <c r="LDQ225"/>
      <c r="LDR225"/>
      <c r="LDS225"/>
      <c r="LDT225"/>
      <c r="LDU225"/>
      <c r="LDV225"/>
      <c r="LDW225"/>
      <c r="LDX225"/>
      <c r="LDY225"/>
      <c r="LDZ225"/>
      <c r="LEA225"/>
      <c r="LEB225"/>
      <c r="LEC225"/>
      <c r="LED225"/>
      <c r="LEE225"/>
      <c r="LEF225"/>
      <c r="LEG225"/>
      <c r="LEH225"/>
      <c r="LEI225"/>
      <c r="LEJ225"/>
      <c r="LEK225"/>
      <c r="LEL225"/>
      <c r="LEM225"/>
      <c r="LEN225"/>
      <c r="LEO225"/>
      <c r="LEP225"/>
      <c r="LEQ225"/>
      <c r="LER225"/>
      <c r="LES225"/>
      <c r="LET225"/>
      <c r="LEU225"/>
      <c r="LEV225"/>
      <c r="LEW225"/>
      <c r="LEX225"/>
      <c r="LEY225"/>
      <c r="LEZ225"/>
      <c r="LFA225"/>
      <c r="LFB225"/>
      <c r="LFC225"/>
      <c r="LFD225"/>
      <c r="LFE225"/>
      <c r="LFF225"/>
      <c r="LFG225"/>
      <c r="LFH225"/>
      <c r="LFI225"/>
      <c r="LFJ225"/>
      <c r="LFK225"/>
      <c r="LFL225"/>
      <c r="LFM225"/>
      <c r="LFN225"/>
      <c r="LFO225"/>
      <c r="LFP225"/>
      <c r="LFQ225"/>
      <c r="LFR225"/>
      <c r="LFS225"/>
      <c r="LFT225"/>
      <c r="LFU225"/>
      <c r="LFV225"/>
      <c r="LFW225"/>
      <c r="LFX225"/>
      <c r="LFY225"/>
      <c r="LFZ225"/>
      <c r="LGA225"/>
      <c r="LGB225"/>
      <c r="LGC225"/>
      <c r="LGD225"/>
      <c r="LGE225"/>
      <c r="LGF225"/>
      <c r="LGG225"/>
      <c r="LGH225"/>
      <c r="LGI225"/>
      <c r="LGJ225"/>
      <c r="LGK225"/>
      <c r="LGL225"/>
      <c r="LGM225"/>
      <c r="LGN225"/>
      <c r="LGO225"/>
      <c r="LGP225"/>
      <c r="LGQ225"/>
      <c r="LGR225"/>
      <c r="LGS225"/>
      <c r="LGT225"/>
      <c r="LGU225"/>
      <c r="LGV225"/>
      <c r="LGW225"/>
      <c r="LGX225"/>
      <c r="LGY225"/>
      <c r="LGZ225"/>
      <c r="LHA225"/>
      <c r="LHB225"/>
      <c r="LHC225"/>
      <c r="LHD225"/>
      <c r="LHE225"/>
      <c r="LHF225"/>
      <c r="LHG225"/>
      <c r="LHH225"/>
      <c r="LHI225"/>
      <c r="LHJ225"/>
      <c r="LHK225"/>
      <c r="LHL225"/>
      <c r="LHM225"/>
      <c r="LHN225"/>
      <c r="LHO225"/>
      <c r="LHP225"/>
      <c r="LHQ225"/>
      <c r="LHR225"/>
      <c r="LHS225"/>
      <c r="LHT225"/>
      <c r="LHU225"/>
      <c r="LHV225"/>
      <c r="LHW225"/>
      <c r="LHX225"/>
      <c r="LHY225"/>
      <c r="LHZ225"/>
      <c r="LIA225"/>
      <c r="LIB225"/>
      <c r="LIC225"/>
      <c r="LID225"/>
      <c r="LIE225"/>
      <c r="LIF225"/>
      <c r="LIG225"/>
      <c r="LIH225"/>
      <c r="LII225"/>
      <c r="LIJ225"/>
      <c r="LIK225"/>
      <c r="LIL225"/>
      <c r="LIM225"/>
      <c r="LIN225"/>
      <c r="LIO225"/>
      <c r="LIP225"/>
      <c r="LIQ225"/>
      <c r="LIR225"/>
      <c r="LIS225"/>
      <c r="LIT225"/>
      <c r="LIU225"/>
      <c r="LIV225"/>
      <c r="LIW225"/>
      <c r="LIX225"/>
      <c r="LIY225"/>
      <c r="LIZ225"/>
      <c r="LJA225"/>
      <c r="LJB225"/>
      <c r="LJC225"/>
      <c r="LJD225"/>
      <c r="LJE225"/>
      <c r="LJF225"/>
      <c r="LJG225"/>
      <c r="LJH225"/>
      <c r="LJI225"/>
      <c r="LJJ225"/>
      <c r="LJK225"/>
      <c r="LJL225"/>
      <c r="LJM225"/>
      <c r="LJN225"/>
      <c r="LJO225"/>
      <c r="LJP225"/>
      <c r="LJQ225"/>
      <c r="LJR225"/>
      <c r="LJS225"/>
      <c r="LJT225"/>
      <c r="LJU225"/>
      <c r="LJV225"/>
      <c r="LJW225"/>
      <c r="LJX225"/>
      <c r="LJY225"/>
      <c r="LJZ225"/>
      <c r="LKA225"/>
      <c r="LKB225"/>
      <c r="LKC225"/>
      <c r="LKD225"/>
      <c r="LKE225"/>
      <c r="LKF225"/>
      <c r="LKG225"/>
      <c r="LKH225"/>
      <c r="LKI225"/>
      <c r="LKJ225"/>
      <c r="LKK225"/>
      <c r="LKL225"/>
      <c r="LKM225"/>
      <c r="LKN225"/>
      <c r="LKO225"/>
      <c r="LKP225"/>
      <c r="LKQ225"/>
      <c r="LKR225"/>
      <c r="LKS225"/>
      <c r="LKT225"/>
      <c r="LKU225"/>
      <c r="LKV225"/>
      <c r="LKW225"/>
      <c r="LKX225"/>
      <c r="LKY225"/>
      <c r="LKZ225"/>
      <c r="LLA225"/>
      <c r="LLB225"/>
      <c r="LLC225"/>
      <c r="LLD225"/>
      <c r="LLE225"/>
      <c r="LLF225"/>
      <c r="LLG225"/>
      <c r="LLH225"/>
      <c r="LLI225"/>
      <c r="LLJ225"/>
      <c r="LLK225"/>
      <c r="LLL225"/>
      <c r="LLM225"/>
      <c r="LLN225"/>
      <c r="LLO225"/>
      <c r="LLP225"/>
      <c r="LLQ225"/>
      <c r="LLR225"/>
      <c r="LLS225"/>
      <c r="LLT225"/>
      <c r="LLU225"/>
      <c r="LLV225"/>
      <c r="LLW225"/>
      <c r="LLX225"/>
      <c r="LLY225"/>
      <c r="LLZ225"/>
      <c r="LMA225"/>
      <c r="LMB225"/>
      <c r="LMC225"/>
      <c r="LMD225"/>
      <c r="LME225"/>
      <c r="LMF225"/>
      <c r="LMG225"/>
      <c r="LMH225"/>
      <c r="LMI225"/>
      <c r="LMJ225"/>
      <c r="LMK225"/>
      <c r="LML225"/>
      <c r="LMM225"/>
      <c r="LMN225"/>
      <c r="LMO225"/>
      <c r="LMP225"/>
      <c r="LMQ225"/>
      <c r="LMR225"/>
      <c r="LMS225"/>
      <c r="LMT225"/>
      <c r="LMU225"/>
      <c r="LMV225"/>
      <c r="LMW225"/>
      <c r="LMX225"/>
      <c r="LMY225"/>
      <c r="LMZ225"/>
      <c r="LNA225"/>
      <c r="LNB225"/>
      <c r="LNC225"/>
      <c r="LND225"/>
      <c r="LNE225"/>
      <c r="LNF225"/>
      <c r="LNG225"/>
      <c r="LNH225"/>
      <c r="LNI225"/>
      <c r="LNJ225"/>
      <c r="LNK225"/>
      <c r="LNL225"/>
      <c r="LNM225"/>
      <c r="LNN225"/>
      <c r="LNO225"/>
      <c r="LNP225"/>
      <c r="LNQ225"/>
      <c r="LNR225"/>
      <c r="LNS225"/>
      <c r="LNT225"/>
      <c r="LNU225"/>
      <c r="LNV225"/>
      <c r="LNW225"/>
      <c r="LNX225"/>
      <c r="LNY225"/>
      <c r="LNZ225"/>
      <c r="LOA225"/>
      <c r="LOB225"/>
      <c r="LOC225"/>
      <c r="LOD225"/>
      <c r="LOE225"/>
      <c r="LOF225"/>
      <c r="LOG225"/>
      <c r="LOH225"/>
      <c r="LOI225"/>
      <c r="LOJ225"/>
      <c r="LOK225"/>
      <c r="LOL225"/>
      <c r="LOM225"/>
      <c r="LON225"/>
      <c r="LOO225"/>
      <c r="LOP225"/>
      <c r="LOQ225"/>
      <c r="LOR225"/>
      <c r="LOS225"/>
      <c r="LOT225"/>
      <c r="LOU225"/>
      <c r="LOV225"/>
      <c r="LOW225"/>
      <c r="LOX225"/>
      <c r="LOY225"/>
      <c r="LOZ225"/>
      <c r="LPA225"/>
      <c r="LPB225"/>
      <c r="LPC225"/>
      <c r="LPD225"/>
      <c r="LPE225"/>
      <c r="LPF225"/>
      <c r="LPG225"/>
      <c r="LPH225"/>
      <c r="LPI225"/>
      <c r="LPJ225"/>
      <c r="LPK225"/>
      <c r="LPL225"/>
      <c r="LPM225"/>
      <c r="LPN225"/>
      <c r="LPO225"/>
      <c r="LPP225"/>
      <c r="LPQ225"/>
      <c r="LPR225"/>
      <c r="LPS225"/>
      <c r="LPT225"/>
      <c r="LPU225"/>
      <c r="LPV225"/>
      <c r="LPW225"/>
      <c r="LPX225"/>
      <c r="LPY225"/>
      <c r="LPZ225"/>
      <c r="LQA225"/>
      <c r="LQB225"/>
      <c r="LQC225"/>
      <c r="LQD225"/>
      <c r="LQE225"/>
      <c r="LQF225"/>
      <c r="LQG225"/>
      <c r="LQH225"/>
      <c r="LQI225"/>
      <c r="LQJ225"/>
      <c r="LQK225"/>
      <c r="LQL225"/>
      <c r="LQM225"/>
      <c r="LQN225"/>
      <c r="LQO225"/>
      <c r="LQP225"/>
      <c r="LQQ225"/>
      <c r="LQR225"/>
      <c r="LQS225"/>
      <c r="LQT225"/>
      <c r="LQU225"/>
      <c r="LQV225"/>
      <c r="LQW225"/>
      <c r="LQX225"/>
      <c r="LQY225"/>
      <c r="LQZ225"/>
      <c r="LRA225"/>
      <c r="LRB225"/>
      <c r="LRC225"/>
      <c r="LRD225"/>
      <c r="LRE225"/>
      <c r="LRF225"/>
      <c r="LRG225"/>
      <c r="LRH225"/>
      <c r="LRI225"/>
      <c r="LRJ225"/>
      <c r="LRK225"/>
      <c r="LRL225"/>
      <c r="LRM225"/>
      <c r="LRN225"/>
      <c r="LRO225"/>
      <c r="LRP225"/>
      <c r="LRQ225"/>
      <c r="LRR225"/>
      <c r="LRS225"/>
      <c r="LRT225"/>
      <c r="LRU225"/>
      <c r="LRV225"/>
      <c r="LRW225"/>
      <c r="LRX225"/>
      <c r="LRY225"/>
      <c r="LRZ225"/>
      <c r="LSA225"/>
      <c r="LSB225"/>
      <c r="LSC225"/>
      <c r="LSD225"/>
      <c r="LSE225"/>
      <c r="LSF225"/>
      <c r="LSG225"/>
      <c r="LSH225"/>
      <c r="LSI225"/>
      <c r="LSJ225"/>
      <c r="LSK225"/>
      <c r="LSL225"/>
      <c r="LSM225"/>
      <c r="LSN225"/>
      <c r="LSO225"/>
      <c r="LSP225"/>
      <c r="LSQ225"/>
      <c r="LSR225"/>
      <c r="LSS225"/>
      <c r="LST225"/>
      <c r="LSU225"/>
      <c r="LSV225"/>
      <c r="LSW225"/>
      <c r="LSX225"/>
      <c r="LSY225"/>
      <c r="LSZ225"/>
      <c r="LTA225"/>
      <c r="LTB225"/>
      <c r="LTC225"/>
      <c r="LTD225"/>
      <c r="LTE225"/>
      <c r="LTF225"/>
      <c r="LTG225"/>
      <c r="LTH225"/>
      <c r="LTI225"/>
      <c r="LTJ225"/>
      <c r="LTK225"/>
      <c r="LTL225"/>
      <c r="LTM225"/>
      <c r="LTN225"/>
      <c r="LTO225"/>
      <c r="LTP225"/>
      <c r="LTQ225"/>
      <c r="LTR225"/>
      <c r="LTS225"/>
      <c r="LTT225"/>
      <c r="LTU225"/>
      <c r="LTV225"/>
      <c r="LTW225"/>
      <c r="LTX225"/>
      <c r="LTY225"/>
      <c r="LTZ225"/>
      <c r="LUA225"/>
      <c r="LUB225"/>
      <c r="LUC225"/>
      <c r="LUD225"/>
      <c r="LUE225"/>
      <c r="LUF225"/>
      <c r="LUG225"/>
      <c r="LUH225"/>
      <c r="LUI225"/>
      <c r="LUJ225"/>
      <c r="LUK225"/>
      <c r="LUL225"/>
      <c r="LUM225"/>
      <c r="LUN225"/>
      <c r="LUO225"/>
      <c r="LUP225"/>
      <c r="LUQ225"/>
      <c r="LUR225"/>
      <c r="LUS225"/>
      <c r="LUT225"/>
      <c r="LUU225"/>
      <c r="LUV225"/>
      <c r="LUW225"/>
      <c r="LUX225"/>
      <c r="LUY225"/>
      <c r="LUZ225"/>
      <c r="LVA225"/>
      <c r="LVB225"/>
      <c r="LVC225"/>
      <c r="LVD225"/>
      <c r="LVE225"/>
      <c r="LVF225"/>
      <c r="LVG225"/>
      <c r="LVH225"/>
      <c r="LVI225"/>
      <c r="LVJ225"/>
      <c r="LVK225"/>
      <c r="LVL225"/>
      <c r="LVM225"/>
      <c r="LVN225"/>
      <c r="LVO225"/>
      <c r="LVP225"/>
      <c r="LVQ225"/>
      <c r="LVR225"/>
      <c r="LVS225"/>
      <c r="LVT225"/>
      <c r="LVU225"/>
      <c r="LVV225"/>
      <c r="LVW225"/>
      <c r="LVX225"/>
      <c r="LVY225"/>
      <c r="LVZ225"/>
      <c r="LWA225"/>
      <c r="LWB225"/>
      <c r="LWC225"/>
      <c r="LWD225"/>
      <c r="LWE225"/>
      <c r="LWF225"/>
      <c r="LWG225"/>
      <c r="LWH225"/>
      <c r="LWI225"/>
      <c r="LWJ225"/>
      <c r="LWK225"/>
      <c r="LWL225"/>
      <c r="LWM225"/>
      <c r="LWN225"/>
      <c r="LWO225"/>
      <c r="LWP225"/>
      <c r="LWQ225"/>
      <c r="LWR225"/>
      <c r="LWS225"/>
      <c r="LWT225"/>
      <c r="LWU225"/>
      <c r="LWV225"/>
      <c r="LWW225"/>
      <c r="LWX225"/>
      <c r="LWY225"/>
      <c r="LWZ225"/>
      <c r="LXA225"/>
      <c r="LXB225"/>
      <c r="LXC225"/>
      <c r="LXD225"/>
      <c r="LXE225"/>
      <c r="LXF225"/>
      <c r="LXG225"/>
      <c r="LXH225"/>
      <c r="LXI225"/>
      <c r="LXJ225"/>
      <c r="LXK225"/>
      <c r="LXL225"/>
      <c r="LXM225"/>
      <c r="LXN225"/>
      <c r="LXO225"/>
      <c r="LXP225"/>
      <c r="LXQ225"/>
      <c r="LXR225"/>
      <c r="LXS225"/>
      <c r="LXT225"/>
      <c r="LXU225"/>
      <c r="LXV225"/>
      <c r="LXW225"/>
      <c r="LXX225"/>
      <c r="LXY225"/>
      <c r="LXZ225"/>
      <c r="LYA225"/>
      <c r="LYB225"/>
      <c r="LYC225"/>
      <c r="LYD225"/>
      <c r="LYE225"/>
      <c r="LYF225"/>
      <c r="LYG225"/>
      <c r="LYH225"/>
      <c r="LYI225"/>
      <c r="LYJ225"/>
      <c r="LYK225"/>
      <c r="LYL225"/>
      <c r="LYM225"/>
      <c r="LYN225"/>
      <c r="LYO225"/>
      <c r="LYP225"/>
      <c r="LYQ225"/>
      <c r="LYR225"/>
      <c r="LYS225"/>
      <c r="LYT225"/>
      <c r="LYU225"/>
      <c r="LYV225"/>
      <c r="LYW225"/>
      <c r="LYX225"/>
      <c r="LYY225"/>
      <c r="LYZ225"/>
      <c r="LZA225"/>
      <c r="LZB225"/>
      <c r="LZC225"/>
      <c r="LZD225"/>
      <c r="LZE225"/>
      <c r="LZF225"/>
      <c r="LZG225"/>
      <c r="LZH225"/>
      <c r="LZI225"/>
      <c r="LZJ225"/>
      <c r="LZK225"/>
      <c r="LZL225"/>
      <c r="LZM225"/>
      <c r="LZN225"/>
      <c r="LZO225"/>
      <c r="LZP225"/>
      <c r="LZQ225"/>
      <c r="LZR225"/>
      <c r="LZS225"/>
      <c r="LZT225"/>
      <c r="LZU225"/>
      <c r="LZV225"/>
      <c r="LZW225"/>
      <c r="LZX225"/>
      <c r="LZY225"/>
      <c r="LZZ225"/>
      <c r="MAA225"/>
      <c r="MAB225"/>
      <c r="MAC225"/>
      <c r="MAD225"/>
      <c r="MAE225"/>
      <c r="MAF225"/>
      <c r="MAG225"/>
      <c r="MAH225"/>
      <c r="MAI225"/>
      <c r="MAJ225"/>
      <c r="MAK225"/>
      <c r="MAL225"/>
      <c r="MAM225"/>
      <c r="MAN225"/>
      <c r="MAO225"/>
      <c r="MAP225"/>
      <c r="MAQ225"/>
      <c r="MAR225"/>
      <c r="MAS225"/>
      <c r="MAT225"/>
      <c r="MAU225"/>
      <c r="MAV225"/>
      <c r="MAW225"/>
      <c r="MAX225"/>
      <c r="MAY225"/>
      <c r="MAZ225"/>
      <c r="MBA225"/>
      <c r="MBB225"/>
      <c r="MBC225"/>
      <c r="MBD225"/>
      <c r="MBE225"/>
      <c r="MBF225"/>
      <c r="MBG225"/>
      <c r="MBH225"/>
      <c r="MBI225"/>
      <c r="MBJ225"/>
      <c r="MBK225"/>
      <c r="MBL225"/>
      <c r="MBM225"/>
      <c r="MBN225"/>
      <c r="MBO225"/>
      <c r="MBP225"/>
      <c r="MBQ225"/>
      <c r="MBR225"/>
      <c r="MBS225"/>
      <c r="MBT225"/>
      <c r="MBU225"/>
      <c r="MBV225"/>
      <c r="MBW225"/>
      <c r="MBX225"/>
      <c r="MBY225"/>
      <c r="MBZ225"/>
      <c r="MCA225"/>
      <c r="MCB225"/>
      <c r="MCC225"/>
      <c r="MCD225"/>
      <c r="MCE225"/>
      <c r="MCF225"/>
      <c r="MCG225"/>
      <c r="MCH225"/>
      <c r="MCI225"/>
      <c r="MCJ225"/>
      <c r="MCK225"/>
      <c r="MCL225"/>
      <c r="MCM225"/>
      <c r="MCN225"/>
      <c r="MCO225"/>
      <c r="MCP225"/>
      <c r="MCQ225"/>
      <c r="MCR225"/>
      <c r="MCS225"/>
      <c r="MCT225"/>
      <c r="MCU225"/>
      <c r="MCV225"/>
      <c r="MCW225"/>
      <c r="MCX225"/>
      <c r="MCY225"/>
      <c r="MCZ225"/>
      <c r="MDA225"/>
      <c r="MDB225"/>
      <c r="MDC225"/>
      <c r="MDD225"/>
      <c r="MDE225"/>
      <c r="MDF225"/>
      <c r="MDG225"/>
      <c r="MDH225"/>
      <c r="MDI225"/>
      <c r="MDJ225"/>
      <c r="MDK225"/>
      <c r="MDL225"/>
      <c r="MDM225"/>
      <c r="MDN225"/>
      <c r="MDO225"/>
      <c r="MDP225"/>
      <c r="MDQ225"/>
      <c r="MDR225"/>
      <c r="MDS225"/>
      <c r="MDT225"/>
      <c r="MDU225"/>
      <c r="MDV225"/>
      <c r="MDW225"/>
      <c r="MDX225"/>
      <c r="MDY225"/>
      <c r="MDZ225"/>
      <c r="MEA225"/>
      <c r="MEB225"/>
      <c r="MEC225"/>
      <c r="MED225"/>
      <c r="MEE225"/>
      <c r="MEF225"/>
      <c r="MEG225"/>
      <c r="MEH225"/>
      <c r="MEI225"/>
      <c r="MEJ225"/>
      <c r="MEK225"/>
      <c r="MEL225"/>
      <c r="MEM225"/>
      <c r="MEN225"/>
      <c r="MEO225"/>
      <c r="MEP225"/>
      <c r="MEQ225"/>
      <c r="MER225"/>
      <c r="MES225"/>
      <c r="MET225"/>
      <c r="MEU225"/>
      <c r="MEV225"/>
      <c r="MEW225"/>
      <c r="MEX225"/>
      <c r="MEY225"/>
      <c r="MEZ225"/>
      <c r="MFA225"/>
      <c r="MFB225"/>
      <c r="MFC225"/>
      <c r="MFD225"/>
      <c r="MFE225"/>
      <c r="MFF225"/>
      <c r="MFG225"/>
      <c r="MFH225"/>
      <c r="MFI225"/>
      <c r="MFJ225"/>
      <c r="MFK225"/>
      <c r="MFL225"/>
      <c r="MFM225"/>
      <c r="MFN225"/>
      <c r="MFO225"/>
      <c r="MFP225"/>
      <c r="MFQ225"/>
      <c r="MFR225"/>
      <c r="MFS225"/>
      <c r="MFT225"/>
      <c r="MFU225"/>
      <c r="MFV225"/>
      <c r="MFW225"/>
      <c r="MFX225"/>
      <c r="MFY225"/>
      <c r="MFZ225"/>
      <c r="MGA225"/>
      <c r="MGB225"/>
      <c r="MGC225"/>
      <c r="MGD225"/>
      <c r="MGE225"/>
      <c r="MGF225"/>
      <c r="MGG225"/>
      <c r="MGH225"/>
      <c r="MGI225"/>
      <c r="MGJ225"/>
      <c r="MGK225"/>
      <c r="MGL225"/>
      <c r="MGM225"/>
      <c r="MGN225"/>
      <c r="MGO225"/>
      <c r="MGP225"/>
      <c r="MGQ225"/>
      <c r="MGR225"/>
      <c r="MGS225"/>
      <c r="MGT225"/>
      <c r="MGU225"/>
      <c r="MGV225"/>
      <c r="MGW225"/>
      <c r="MGX225"/>
      <c r="MGY225"/>
      <c r="MGZ225"/>
      <c r="MHA225"/>
      <c r="MHB225"/>
      <c r="MHC225"/>
      <c r="MHD225"/>
      <c r="MHE225"/>
      <c r="MHF225"/>
      <c r="MHG225"/>
      <c r="MHH225"/>
      <c r="MHI225"/>
      <c r="MHJ225"/>
      <c r="MHK225"/>
      <c r="MHL225"/>
      <c r="MHM225"/>
      <c r="MHN225"/>
      <c r="MHO225"/>
      <c r="MHP225"/>
      <c r="MHQ225"/>
      <c r="MHR225"/>
      <c r="MHS225"/>
      <c r="MHT225"/>
      <c r="MHU225"/>
      <c r="MHV225"/>
      <c r="MHW225"/>
      <c r="MHX225"/>
      <c r="MHY225"/>
      <c r="MHZ225"/>
      <c r="MIA225"/>
      <c r="MIB225"/>
      <c r="MIC225"/>
      <c r="MID225"/>
      <c r="MIE225"/>
      <c r="MIF225"/>
      <c r="MIG225"/>
      <c r="MIH225"/>
      <c r="MII225"/>
      <c r="MIJ225"/>
      <c r="MIK225"/>
      <c r="MIL225"/>
      <c r="MIM225"/>
      <c r="MIN225"/>
      <c r="MIO225"/>
      <c r="MIP225"/>
      <c r="MIQ225"/>
      <c r="MIR225"/>
      <c r="MIS225"/>
      <c r="MIT225"/>
      <c r="MIU225"/>
      <c r="MIV225"/>
      <c r="MIW225"/>
      <c r="MIX225"/>
      <c r="MIY225"/>
      <c r="MIZ225"/>
      <c r="MJA225"/>
      <c r="MJB225"/>
      <c r="MJC225"/>
      <c r="MJD225"/>
      <c r="MJE225"/>
      <c r="MJF225"/>
      <c r="MJG225"/>
      <c r="MJH225"/>
      <c r="MJI225"/>
      <c r="MJJ225"/>
      <c r="MJK225"/>
      <c r="MJL225"/>
      <c r="MJM225"/>
      <c r="MJN225"/>
      <c r="MJO225"/>
      <c r="MJP225"/>
      <c r="MJQ225"/>
      <c r="MJR225"/>
      <c r="MJS225"/>
      <c r="MJT225"/>
      <c r="MJU225"/>
      <c r="MJV225"/>
      <c r="MJW225"/>
      <c r="MJX225"/>
      <c r="MJY225"/>
      <c r="MJZ225"/>
      <c r="MKA225"/>
      <c r="MKB225"/>
      <c r="MKC225"/>
      <c r="MKD225"/>
      <c r="MKE225"/>
      <c r="MKF225"/>
      <c r="MKG225"/>
      <c r="MKH225"/>
      <c r="MKI225"/>
      <c r="MKJ225"/>
      <c r="MKK225"/>
      <c r="MKL225"/>
      <c r="MKM225"/>
      <c r="MKN225"/>
      <c r="MKO225"/>
      <c r="MKP225"/>
      <c r="MKQ225"/>
      <c r="MKR225"/>
      <c r="MKS225"/>
      <c r="MKT225"/>
      <c r="MKU225"/>
      <c r="MKV225"/>
      <c r="MKW225"/>
      <c r="MKX225"/>
      <c r="MKY225"/>
      <c r="MKZ225"/>
      <c r="MLA225"/>
      <c r="MLB225"/>
      <c r="MLC225"/>
      <c r="MLD225"/>
      <c r="MLE225"/>
      <c r="MLF225"/>
      <c r="MLG225"/>
      <c r="MLH225"/>
      <c r="MLI225"/>
      <c r="MLJ225"/>
      <c r="MLK225"/>
      <c r="MLL225"/>
      <c r="MLM225"/>
      <c r="MLN225"/>
      <c r="MLO225"/>
      <c r="MLP225"/>
      <c r="MLQ225"/>
      <c r="MLR225"/>
      <c r="MLS225"/>
      <c r="MLT225"/>
      <c r="MLU225"/>
      <c r="MLV225"/>
      <c r="MLW225"/>
      <c r="MLX225"/>
      <c r="MLY225"/>
      <c r="MLZ225"/>
      <c r="MMA225"/>
      <c r="MMB225"/>
      <c r="MMC225"/>
      <c r="MMD225"/>
      <c r="MME225"/>
      <c r="MMF225"/>
      <c r="MMG225"/>
      <c r="MMH225"/>
      <c r="MMI225"/>
      <c r="MMJ225"/>
      <c r="MMK225"/>
      <c r="MML225"/>
      <c r="MMM225"/>
      <c r="MMN225"/>
      <c r="MMO225"/>
      <c r="MMP225"/>
      <c r="MMQ225"/>
      <c r="MMR225"/>
      <c r="MMS225"/>
      <c r="MMT225"/>
      <c r="MMU225"/>
      <c r="MMV225"/>
      <c r="MMW225"/>
      <c r="MMX225"/>
      <c r="MMY225"/>
      <c r="MMZ225"/>
      <c r="MNA225"/>
      <c r="MNB225"/>
      <c r="MNC225"/>
      <c r="MND225"/>
      <c r="MNE225"/>
      <c r="MNF225"/>
      <c r="MNG225"/>
      <c r="MNH225"/>
      <c r="MNI225"/>
      <c r="MNJ225"/>
      <c r="MNK225"/>
      <c r="MNL225"/>
      <c r="MNM225"/>
      <c r="MNN225"/>
      <c r="MNO225"/>
      <c r="MNP225"/>
      <c r="MNQ225"/>
      <c r="MNR225"/>
      <c r="MNS225"/>
      <c r="MNT225"/>
      <c r="MNU225"/>
      <c r="MNV225"/>
      <c r="MNW225"/>
      <c r="MNX225"/>
      <c r="MNY225"/>
      <c r="MNZ225"/>
      <c r="MOA225"/>
      <c r="MOB225"/>
      <c r="MOC225"/>
      <c r="MOD225"/>
      <c r="MOE225"/>
      <c r="MOF225"/>
      <c r="MOG225"/>
      <c r="MOH225"/>
      <c r="MOI225"/>
      <c r="MOJ225"/>
      <c r="MOK225"/>
      <c r="MOL225"/>
      <c r="MOM225"/>
      <c r="MON225"/>
      <c r="MOO225"/>
      <c r="MOP225"/>
      <c r="MOQ225"/>
      <c r="MOR225"/>
      <c r="MOS225"/>
      <c r="MOT225"/>
      <c r="MOU225"/>
      <c r="MOV225"/>
      <c r="MOW225"/>
      <c r="MOX225"/>
      <c r="MOY225"/>
      <c r="MOZ225"/>
      <c r="MPA225"/>
      <c r="MPB225"/>
      <c r="MPC225"/>
      <c r="MPD225"/>
      <c r="MPE225"/>
      <c r="MPF225"/>
      <c r="MPG225"/>
      <c r="MPH225"/>
      <c r="MPI225"/>
      <c r="MPJ225"/>
      <c r="MPK225"/>
      <c r="MPL225"/>
      <c r="MPM225"/>
      <c r="MPN225"/>
      <c r="MPO225"/>
      <c r="MPP225"/>
      <c r="MPQ225"/>
      <c r="MPR225"/>
      <c r="MPS225"/>
      <c r="MPT225"/>
      <c r="MPU225"/>
      <c r="MPV225"/>
      <c r="MPW225"/>
      <c r="MPX225"/>
      <c r="MPY225"/>
      <c r="MPZ225"/>
      <c r="MQA225"/>
      <c r="MQB225"/>
      <c r="MQC225"/>
      <c r="MQD225"/>
      <c r="MQE225"/>
      <c r="MQF225"/>
      <c r="MQG225"/>
      <c r="MQH225"/>
      <c r="MQI225"/>
      <c r="MQJ225"/>
      <c r="MQK225"/>
      <c r="MQL225"/>
      <c r="MQM225"/>
      <c r="MQN225"/>
      <c r="MQO225"/>
      <c r="MQP225"/>
      <c r="MQQ225"/>
      <c r="MQR225"/>
      <c r="MQS225"/>
      <c r="MQT225"/>
      <c r="MQU225"/>
      <c r="MQV225"/>
      <c r="MQW225"/>
      <c r="MQX225"/>
      <c r="MQY225"/>
      <c r="MQZ225"/>
      <c r="MRA225"/>
      <c r="MRB225"/>
      <c r="MRC225"/>
      <c r="MRD225"/>
      <c r="MRE225"/>
      <c r="MRF225"/>
      <c r="MRG225"/>
      <c r="MRH225"/>
      <c r="MRI225"/>
      <c r="MRJ225"/>
      <c r="MRK225"/>
      <c r="MRL225"/>
      <c r="MRM225"/>
      <c r="MRN225"/>
      <c r="MRO225"/>
      <c r="MRP225"/>
      <c r="MRQ225"/>
      <c r="MRR225"/>
      <c r="MRS225"/>
      <c r="MRT225"/>
      <c r="MRU225"/>
      <c r="MRV225"/>
      <c r="MRW225"/>
      <c r="MRX225"/>
      <c r="MRY225"/>
      <c r="MRZ225"/>
      <c r="MSA225"/>
      <c r="MSB225"/>
      <c r="MSC225"/>
      <c r="MSD225"/>
      <c r="MSE225"/>
      <c r="MSF225"/>
      <c r="MSG225"/>
      <c r="MSH225"/>
      <c r="MSI225"/>
      <c r="MSJ225"/>
      <c r="MSK225"/>
      <c r="MSL225"/>
      <c r="MSM225"/>
      <c r="MSN225"/>
      <c r="MSO225"/>
      <c r="MSP225"/>
      <c r="MSQ225"/>
      <c r="MSR225"/>
      <c r="MSS225"/>
      <c r="MST225"/>
      <c r="MSU225"/>
      <c r="MSV225"/>
      <c r="MSW225"/>
      <c r="MSX225"/>
      <c r="MSY225"/>
      <c r="MSZ225"/>
      <c r="MTA225"/>
      <c r="MTB225"/>
      <c r="MTC225"/>
      <c r="MTD225"/>
      <c r="MTE225"/>
      <c r="MTF225"/>
      <c r="MTG225"/>
      <c r="MTH225"/>
      <c r="MTI225"/>
      <c r="MTJ225"/>
      <c r="MTK225"/>
      <c r="MTL225"/>
      <c r="MTM225"/>
      <c r="MTN225"/>
      <c r="MTO225"/>
      <c r="MTP225"/>
      <c r="MTQ225"/>
      <c r="MTR225"/>
      <c r="MTS225"/>
      <c r="MTT225"/>
      <c r="MTU225"/>
      <c r="MTV225"/>
      <c r="MTW225"/>
      <c r="MTX225"/>
      <c r="MTY225"/>
      <c r="MTZ225"/>
      <c r="MUA225"/>
      <c r="MUB225"/>
      <c r="MUC225"/>
      <c r="MUD225"/>
      <c r="MUE225"/>
      <c r="MUF225"/>
      <c r="MUG225"/>
      <c r="MUH225"/>
      <c r="MUI225"/>
      <c r="MUJ225"/>
      <c r="MUK225"/>
      <c r="MUL225"/>
      <c r="MUM225"/>
      <c r="MUN225"/>
      <c r="MUO225"/>
      <c r="MUP225"/>
      <c r="MUQ225"/>
      <c r="MUR225"/>
      <c r="MUS225"/>
      <c r="MUT225"/>
      <c r="MUU225"/>
      <c r="MUV225"/>
      <c r="MUW225"/>
      <c r="MUX225"/>
      <c r="MUY225"/>
      <c r="MUZ225"/>
      <c r="MVA225"/>
      <c r="MVB225"/>
      <c r="MVC225"/>
      <c r="MVD225"/>
      <c r="MVE225"/>
      <c r="MVF225"/>
      <c r="MVG225"/>
      <c r="MVH225"/>
      <c r="MVI225"/>
      <c r="MVJ225"/>
      <c r="MVK225"/>
      <c r="MVL225"/>
      <c r="MVM225"/>
      <c r="MVN225"/>
      <c r="MVO225"/>
      <c r="MVP225"/>
      <c r="MVQ225"/>
      <c r="MVR225"/>
      <c r="MVS225"/>
      <c r="MVT225"/>
      <c r="MVU225"/>
      <c r="MVV225"/>
      <c r="MVW225"/>
      <c r="MVX225"/>
      <c r="MVY225"/>
      <c r="MVZ225"/>
      <c r="MWA225"/>
      <c r="MWB225"/>
      <c r="MWC225"/>
      <c r="MWD225"/>
      <c r="MWE225"/>
      <c r="MWF225"/>
      <c r="MWG225"/>
      <c r="MWH225"/>
      <c r="MWI225"/>
      <c r="MWJ225"/>
      <c r="MWK225"/>
      <c r="MWL225"/>
      <c r="MWM225"/>
      <c r="MWN225"/>
      <c r="MWO225"/>
      <c r="MWP225"/>
      <c r="MWQ225"/>
      <c r="MWR225"/>
      <c r="MWS225"/>
      <c r="MWT225"/>
      <c r="MWU225"/>
      <c r="MWV225"/>
      <c r="MWW225"/>
      <c r="MWX225"/>
      <c r="MWY225"/>
      <c r="MWZ225"/>
      <c r="MXA225"/>
      <c r="MXB225"/>
      <c r="MXC225"/>
      <c r="MXD225"/>
      <c r="MXE225"/>
      <c r="MXF225"/>
      <c r="MXG225"/>
      <c r="MXH225"/>
      <c r="MXI225"/>
      <c r="MXJ225"/>
      <c r="MXK225"/>
      <c r="MXL225"/>
      <c r="MXM225"/>
      <c r="MXN225"/>
      <c r="MXO225"/>
      <c r="MXP225"/>
      <c r="MXQ225"/>
      <c r="MXR225"/>
      <c r="MXS225"/>
      <c r="MXT225"/>
      <c r="MXU225"/>
      <c r="MXV225"/>
      <c r="MXW225"/>
      <c r="MXX225"/>
      <c r="MXY225"/>
      <c r="MXZ225"/>
      <c r="MYA225"/>
      <c r="MYB225"/>
      <c r="MYC225"/>
      <c r="MYD225"/>
      <c r="MYE225"/>
      <c r="MYF225"/>
      <c r="MYG225"/>
      <c r="MYH225"/>
      <c r="MYI225"/>
      <c r="MYJ225"/>
      <c r="MYK225"/>
      <c r="MYL225"/>
      <c r="MYM225"/>
      <c r="MYN225"/>
      <c r="MYO225"/>
      <c r="MYP225"/>
      <c r="MYQ225"/>
      <c r="MYR225"/>
      <c r="MYS225"/>
      <c r="MYT225"/>
      <c r="MYU225"/>
      <c r="MYV225"/>
      <c r="MYW225"/>
      <c r="MYX225"/>
      <c r="MYY225"/>
      <c r="MYZ225"/>
      <c r="MZA225"/>
      <c r="MZB225"/>
      <c r="MZC225"/>
      <c r="MZD225"/>
      <c r="MZE225"/>
      <c r="MZF225"/>
      <c r="MZG225"/>
      <c r="MZH225"/>
      <c r="MZI225"/>
      <c r="MZJ225"/>
      <c r="MZK225"/>
      <c r="MZL225"/>
      <c r="MZM225"/>
      <c r="MZN225"/>
      <c r="MZO225"/>
      <c r="MZP225"/>
      <c r="MZQ225"/>
      <c r="MZR225"/>
      <c r="MZS225"/>
      <c r="MZT225"/>
      <c r="MZU225"/>
      <c r="MZV225"/>
      <c r="MZW225"/>
      <c r="MZX225"/>
      <c r="MZY225"/>
      <c r="MZZ225"/>
      <c r="NAA225"/>
      <c r="NAB225"/>
      <c r="NAC225"/>
      <c r="NAD225"/>
      <c r="NAE225"/>
      <c r="NAF225"/>
      <c r="NAG225"/>
      <c r="NAH225"/>
      <c r="NAI225"/>
      <c r="NAJ225"/>
      <c r="NAK225"/>
      <c r="NAL225"/>
      <c r="NAM225"/>
      <c r="NAN225"/>
      <c r="NAO225"/>
      <c r="NAP225"/>
      <c r="NAQ225"/>
      <c r="NAR225"/>
      <c r="NAS225"/>
      <c r="NAT225"/>
      <c r="NAU225"/>
      <c r="NAV225"/>
      <c r="NAW225"/>
      <c r="NAX225"/>
      <c r="NAY225"/>
      <c r="NAZ225"/>
      <c r="NBA225"/>
      <c r="NBB225"/>
      <c r="NBC225"/>
      <c r="NBD225"/>
      <c r="NBE225"/>
      <c r="NBF225"/>
      <c r="NBG225"/>
      <c r="NBH225"/>
      <c r="NBI225"/>
      <c r="NBJ225"/>
      <c r="NBK225"/>
      <c r="NBL225"/>
      <c r="NBM225"/>
      <c r="NBN225"/>
      <c r="NBO225"/>
      <c r="NBP225"/>
      <c r="NBQ225"/>
      <c r="NBR225"/>
      <c r="NBS225"/>
      <c r="NBT225"/>
      <c r="NBU225"/>
      <c r="NBV225"/>
      <c r="NBW225"/>
      <c r="NBX225"/>
      <c r="NBY225"/>
      <c r="NBZ225"/>
      <c r="NCA225"/>
      <c r="NCB225"/>
      <c r="NCC225"/>
      <c r="NCD225"/>
      <c r="NCE225"/>
      <c r="NCF225"/>
      <c r="NCG225"/>
      <c r="NCH225"/>
      <c r="NCI225"/>
      <c r="NCJ225"/>
      <c r="NCK225"/>
      <c r="NCL225"/>
      <c r="NCM225"/>
      <c r="NCN225"/>
      <c r="NCO225"/>
      <c r="NCP225"/>
      <c r="NCQ225"/>
      <c r="NCR225"/>
      <c r="NCS225"/>
      <c r="NCT225"/>
      <c r="NCU225"/>
      <c r="NCV225"/>
      <c r="NCW225"/>
      <c r="NCX225"/>
      <c r="NCY225"/>
      <c r="NCZ225"/>
      <c r="NDA225"/>
      <c r="NDB225"/>
      <c r="NDC225"/>
      <c r="NDD225"/>
      <c r="NDE225"/>
      <c r="NDF225"/>
      <c r="NDG225"/>
      <c r="NDH225"/>
      <c r="NDI225"/>
      <c r="NDJ225"/>
      <c r="NDK225"/>
      <c r="NDL225"/>
      <c r="NDM225"/>
      <c r="NDN225"/>
      <c r="NDO225"/>
      <c r="NDP225"/>
      <c r="NDQ225"/>
      <c r="NDR225"/>
      <c r="NDS225"/>
      <c r="NDT225"/>
      <c r="NDU225"/>
      <c r="NDV225"/>
      <c r="NDW225"/>
      <c r="NDX225"/>
      <c r="NDY225"/>
      <c r="NDZ225"/>
      <c r="NEA225"/>
      <c r="NEB225"/>
      <c r="NEC225"/>
      <c r="NED225"/>
      <c r="NEE225"/>
      <c r="NEF225"/>
      <c r="NEG225"/>
      <c r="NEH225"/>
      <c r="NEI225"/>
      <c r="NEJ225"/>
      <c r="NEK225"/>
      <c r="NEL225"/>
      <c r="NEM225"/>
      <c r="NEN225"/>
      <c r="NEO225"/>
      <c r="NEP225"/>
      <c r="NEQ225"/>
      <c r="NER225"/>
      <c r="NES225"/>
      <c r="NET225"/>
      <c r="NEU225"/>
      <c r="NEV225"/>
      <c r="NEW225"/>
      <c r="NEX225"/>
      <c r="NEY225"/>
      <c r="NEZ225"/>
      <c r="NFA225"/>
      <c r="NFB225"/>
      <c r="NFC225"/>
      <c r="NFD225"/>
      <c r="NFE225"/>
      <c r="NFF225"/>
      <c r="NFG225"/>
      <c r="NFH225"/>
      <c r="NFI225"/>
      <c r="NFJ225"/>
      <c r="NFK225"/>
      <c r="NFL225"/>
      <c r="NFM225"/>
      <c r="NFN225"/>
      <c r="NFO225"/>
      <c r="NFP225"/>
      <c r="NFQ225"/>
      <c r="NFR225"/>
      <c r="NFS225"/>
      <c r="NFT225"/>
      <c r="NFU225"/>
      <c r="NFV225"/>
      <c r="NFW225"/>
      <c r="NFX225"/>
      <c r="NFY225"/>
      <c r="NFZ225"/>
      <c r="NGA225"/>
      <c r="NGB225"/>
      <c r="NGC225"/>
      <c r="NGD225"/>
      <c r="NGE225"/>
      <c r="NGF225"/>
      <c r="NGG225"/>
      <c r="NGH225"/>
      <c r="NGI225"/>
      <c r="NGJ225"/>
      <c r="NGK225"/>
      <c r="NGL225"/>
      <c r="NGM225"/>
      <c r="NGN225"/>
      <c r="NGO225"/>
      <c r="NGP225"/>
      <c r="NGQ225"/>
      <c r="NGR225"/>
      <c r="NGS225"/>
      <c r="NGT225"/>
      <c r="NGU225"/>
      <c r="NGV225"/>
      <c r="NGW225"/>
      <c r="NGX225"/>
      <c r="NGY225"/>
      <c r="NGZ225"/>
      <c r="NHA225"/>
      <c r="NHB225"/>
      <c r="NHC225"/>
      <c r="NHD225"/>
      <c r="NHE225"/>
      <c r="NHF225"/>
      <c r="NHG225"/>
      <c r="NHH225"/>
      <c r="NHI225"/>
      <c r="NHJ225"/>
      <c r="NHK225"/>
      <c r="NHL225"/>
      <c r="NHM225"/>
      <c r="NHN225"/>
      <c r="NHO225"/>
      <c r="NHP225"/>
      <c r="NHQ225"/>
      <c r="NHR225"/>
      <c r="NHS225"/>
      <c r="NHT225"/>
      <c r="NHU225"/>
      <c r="NHV225"/>
      <c r="NHW225"/>
      <c r="NHX225"/>
      <c r="NHY225"/>
      <c r="NHZ225"/>
      <c r="NIA225"/>
      <c r="NIB225"/>
      <c r="NIC225"/>
      <c r="NID225"/>
      <c r="NIE225"/>
      <c r="NIF225"/>
      <c r="NIG225"/>
      <c r="NIH225"/>
      <c r="NII225"/>
      <c r="NIJ225"/>
      <c r="NIK225"/>
      <c r="NIL225"/>
      <c r="NIM225"/>
      <c r="NIN225"/>
      <c r="NIO225"/>
      <c r="NIP225"/>
      <c r="NIQ225"/>
      <c r="NIR225"/>
      <c r="NIS225"/>
      <c r="NIT225"/>
      <c r="NIU225"/>
      <c r="NIV225"/>
      <c r="NIW225"/>
      <c r="NIX225"/>
      <c r="NIY225"/>
      <c r="NIZ225"/>
      <c r="NJA225"/>
      <c r="NJB225"/>
      <c r="NJC225"/>
      <c r="NJD225"/>
      <c r="NJE225"/>
      <c r="NJF225"/>
      <c r="NJG225"/>
      <c r="NJH225"/>
      <c r="NJI225"/>
      <c r="NJJ225"/>
      <c r="NJK225"/>
      <c r="NJL225"/>
      <c r="NJM225"/>
      <c r="NJN225"/>
      <c r="NJO225"/>
      <c r="NJP225"/>
      <c r="NJQ225"/>
      <c r="NJR225"/>
      <c r="NJS225"/>
      <c r="NJT225"/>
      <c r="NJU225"/>
      <c r="NJV225"/>
      <c r="NJW225"/>
      <c r="NJX225"/>
      <c r="NJY225"/>
      <c r="NJZ225"/>
      <c r="NKA225"/>
      <c r="NKB225"/>
      <c r="NKC225"/>
      <c r="NKD225"/>
      <c r="NKE225"/>
      <c r="NKF225"/>
      <c r="NKG225"/>
      <c r="NKH225"/>
      <c r="NKI225"/>
      <c r="NKJ225"/>
      <c r="NKK225"/>
      <c r="NKL225"/>
      <c r="NKM225"/>
      <c r="NKN225"/>
      <c r="NKO225"/>
      <c r="NKP225"/>
      <c r="NKQ225"/>
      <c r="NKR225"/>
      <c r="NKS225"/>
      <c r="NKT225"/>
      <c r="NKU225"/>
      <c r="NKV225"/>
      <c r="NKW225"/>
      <c r="NKX225"/>
      <c r="NKY225"/>
      <c r="NKZ225"/>
      <c r="NLA225"/>
      <c r="NLB225"/>
      <c r="NLC225"/>
      <c r="NLD225"/>
      <c r="NLE225"/>
      <c r="NLF225"/>
      <c r="NLG225"/>
      <c r="NLH225"/>
      <c r="NLI225"/>
      <c r="NLJ225"/>
      <c r="NLK225"/>
      <c r="NLL225"/>
      <c r="NLM225"/>
      <c r="NLN225"/>
      <c r="NLO225"/>
      <c r="NLP225"/>
      <c r="NLQ225"/>
      <c r="NLR225"/>
      <c r="NLS225"/>
      <c r="NLT225"/>
      <c r="NLU225"/>
      <c r="NLV225"/>
      <c r="NLW225"/>
      <c r="NLX225"/>
      <c r="NLY225"/>
      <c r="NLZ225"/>
      <c r="NMA225"/>
      <c r="NMB225"/>
      <c r="NMC225"/>
      <c r="NMD225"/>
      <c r="NME225"/>
      <c r="NMF225"/>
      <c r="NMG225"/>
      <c r="NMH225"/>
      <c r="NMI225"/>
      <c r="NMJ225"/>
      <c r="NMK225"/>
      <c r="NML225"/>
      <c r="NMM225"/>
      <c r="NMN225"/>
      <c r="NMO225"/>
      <c r="NMP225"/>
      <c r="NMQ225"/>
      <c r="NMR225"/>
      <c r="NMS225"/>
      <c r="NMT225"/>
      <c r="NMU225"/>
      <c r="NMV225"/>
      <c r="NMW225"/>
      <c r="NMX225"/>
      <c r="NMY225"/>
      <c r="NMZ225"/>
      <c r="NNA225"/>
      <c r="NNB225"/>
      <c r="NNC225"/>
      <c r="NND225"/>
      <c r="NNE225"/>
      <c r="NNF225"/>
      <c r="NNG225"/>
      <c r="NNH225"/>
      <c r="NNI225"/>
      <c r="NNJ225"/>
      <c r="NNK225"/>
      <c r="NNL225"/>
      <c r="NNM225"/>
      <c r="NNN225"/>
      <c r="NNO225"/>
      <c r="NNP225"/>
      <c r="NNQ225"/>
      <c r="NNR225"/>
      <c r="NNS225"/>
      <c r="NNT225"/>
      <c r="NNU225"/>
      <c r="NNV225"/>
      <c r="NNW225"/>
      <c r="NNX225"/>
      <c r="NNY225"/>
      <c r="NNZ225"/>
      <c r="NOA225"/>
      <c r="NOB225"/>
      <c r="NOC225"/>
      <c r="NOD225"/>
      <c r="NOE225"/>
      <c r="NOF225"/>
      <c r="NOG225"/>
      <c r="NOH225"/>
      <c r="NOI225"/>
      <c r="NOJ225"/>
      <c r="NOK225"/>
      <c r="NOL225"/>
      <c r="NOM225"/>
      <c r="NON225"/>
      <c r="NOO225"/>
      <c r="NOP225"/>
      <c r="NOQ225"/>
      <c r="NOR225"/>
      <c r="NOS225"/>
      <c r="NOT225"/>
      <c r="NOU225"/>
      <c r="NOV225"/>
      <c r="NOW225"/>
      <c r="NOX225"/>
      <c r="NOY225"/>
      <c r="NOZ225"/>
      <c r="NPA225"/>
      <c r="NPB225"/>
      <c r="NPC225"/>
      <c r="NPD225"/>
      <c r="NPE225"/>
      <c r="NPF225"/>
      <c r="NPG225"/>
      <c r="NPH225"/>
      <c r="NPI225"/>
      <c r="NPJ225"/>
      <c r="NPK225"/>
      <c r="NPL225"/>
      <c r="NPM225"/>
      <c r="NPN225"/>
      <c r="NPO225"/>
      <c r="NPP225"/>
      <c r="NPQ225"/>
      <c r="NPR225"/>
      <c r="NPS225"/>
      <c r="NPT225"/>
      <c r="NPU225"/>
      <c r="NPV225"/>
      <c r="NPW225"/>
      <c r="NPX225"/>
      <c r="NPY225"/>
      <c r="NPZ225"/>
      <c r="NQA225"/>
      <c r="NQB225"/>
      <c r="NQC225"/>
      <c r="NQD225"/>
      <c r="NQE225"/>
      <c r="NQF225"/>
      <c r="NQG225"/>
      <c r="NQH225"/>
      <c r="NQI225"/>
      <c r="NQJ225"/>
      <c r="NQK225"/>
      <c r="NQL225"/>
      <c r="NQM225"/>
      <c r="NQN225"/>
      <c r="NQO225"/>
      <c r="NQP225"/>
      <c r="NQQ225"/>
      <c r="NQR225"/>
      <c r="NQS225"/>
      <c r="NQT225"/>
      <c r="NQU225"/>
      <c r="NQV225"/>
      <c r="NQW225"/>
      <c r="NQX225"/>
      <c r="NQY225"/>
      <c r="NQZ225"/>
      <c r="NRA225"/>
      <c r="NRB225"/>
      <c r="NRC225"/>
      <c r="NRD225"/>
      <c r="NRE225"/>
      <c r="NRF225"/>
      <c r="NRG225"/>
      <c r="NRH225"/>
      <c r="NRI225"/>
      <c r="NRJ225"/>
      <c r="NRK225"/>
      <c r="NRL225"/>
      <c r="NRM225"/>
      <c r="NRN225"/>
      <c r="NRO225"/>
      <c r="NRP225"/>
      <c r="NRQ225"/>
      <c r="NRR225"/>
      <c r="NRS225"/>
      <c r="NRT225"/>
      <c r="NRU225"/>
      <c r="NRV225"/>
      <c r="NRW225"/>
      <c r="NRX225"/>
      <c r="NRY225"/>
      <c r="NRZ225"/>
      <c r="NSA225"/>
      <c r="NSB225"/>
      <c r="NSC225"/>
      <c r="NSD225"/>
      <c r="NSE225"/>
      <c r="NSF225"/>
      <c r="NSG225"/>
      <c r="NSH225"/>
      <c r="NSI225"/>
      <c r="NSJ225"/>
      <c r="NSK225"/>
      <c r="NSL225"/>
      <c r="NSM225"/>
      <c r="NSN225"/>
      <c r="NSO225"/>
      <c r="NSP225"/>
      <c r="NSQ225"/>
      <c r="NSR225"/>
      <c r="NSS225"/>
      <c r="NST225"/>
      <c r="NSU225"/>
      <c r="NSV225"/>
      <c r="NSW225"/>
      <c r="NSX225"/>
      <c r="NSY225"/>
      <c r="NSZ225"/>
      <c r="NTA225"/>
      <c r="NTB225"/>
      <c r="NTC225"/>
      <c r="NTD225"/>
      <c r="NTE225"/>
      <c r="NTF225"/>
      <c r="NTG225"/>
      <c r="NTH225"/>
      <c r="NTI225"/>
      <c r="NTJ225"/>
      <c r="NTK225"/>
      <c r="NTL225"/>
      <c r="NTM225"/>
      <c r="NTN225"/>
      <c r="NTO225"/>
      <c r="NTP225"/>
      <c r="NTQ225"/>
      <c r="NTR225"/>
      <c r="NTS225"/>
      <c r="NTT225"/>
      <c r="NTU225"/>
      <c r="NTV225"/>
      <c r="NTW225"/>
      <c r="NTX225"/>
      <c r="NTY225"/>
      <c r="NTZ225"/>
      <c r="NUA225"/>
      <c r="NUB225"/>
      <c r="NUC225"/>
      <c r="NUD225"/>
      <c r="NUE225"/>
      <c r="NUF225"/>
      <c r="NUG225"/>
      <c r="NUH225"/>
      <c r="NUI225"/>
      <c r="NUJ225"/>
      <c r="NUK225"/>
      <c r="NUL225"/>
      <c r="NUM225"/>
      <c r="NUN225"/>
      <c r="NUO225"/>
      <c r="NUP225"/>
      <c r="NUQ225"/>
      <c r="NUR225"/>
      <c r="NUS225"/>
      <c r="NUT225"/>
      <c r="NUU225"/>
      <c r="NUV225"/>
      <c r="NUW225"/>
      <c r="NUX225"/>
      <c r="NUY225"/>
      <c r="NUZ225"/>
      <c r="NVA225"/>
      <c r="NVB225"/>
      <c r="NVC225"/>
      <c r="NVD225"/>
      <c r="NVE225"/>
      <c r="NVF225"/>
      <c r="NVG225"/>
      <c r="NVH225"/>
      <c r="NVI225"/>
      <c r="NVJ225"/>
      <c r="NVK225"/>
      <c r="NVL225"/>
      <c r="NVM225"/>
      <c r="NVN225"/>
      <c r="NVO225"/>
      <c r="NVP225"/>
      <c r="NVQ225"/>
      <c r="NVR225"/>
      <c r="NVS225"/>
      <c r="NVT225"/>
      <c r="NVU225"/>
      <c r="NVV225"/>
      <c r="NVW225"/>
      <c r="NVX225"/>
      <c r="NVY225"/>
      <c r="NVZ225"/>
      <c r="NWA225"/>
      <c r="NWB225"/>
      <c r="NWC225"/>
      <c r="NWD225"/>
      <c r="NWE225"/>
      <c r="NWF225"/>
      <c r="NWG225"/>
      <c r="NWH225"/>
      <c r="NWI225"/>
      <c r="NWJ225"/>
      <c r="NWK225"/>
      <c r="NWL225"/>
      <c r="NWM225"/>
      <c r="NWN225"/>
      <c r="NWO225"/>
      <c r="NWP225"/>
      <c r="NWQ225"/>
      <c r="NWR225"/>
      <c r="NWS225"/>
      <c r="NWT225"/>
      <c r="NWU225"/>
      <c r="NWV225"/>
      <c r="NWW225"/>
      <c r="NWX225"/>
      <c r="NWY225"/>
      <c r="NWZ225"/>
      <c r="NXA225"/>
      <c r="NXB225"/>
      <c r="NXC225"/>
      <c r="NXD225"/>
      <c r="NXE225"/>
      <c r="NXF225"/>
      <c r="NXG225"/>
      <c r="NXH225"/>
      <c r="NXI225"/>
      <c r="NXJ225"/>
      <c r="NXK225"/>
      <c r="NXL225"/>
      <c r="NXM225"/>
      <c r="NXN225"/>
      <c r="NXO225"/>
      <c r="NXP225"/>
      <c r="NXQ225"/>
      <c r="NXR225"/>
      <c r="NXS225"/>
      <c r="NXT225"/>
      <c r="NXU225"/>
      <c r="NXV225"/>
      <c r="NXW225"/>
      <c r="NXX225"/>
      <c r="NXY225"/>
      <c r="NXZ225"/>
      <c r="NYA225"/>
      <c r="NYB225"/>
      <c r="NYC225"/>
      <c r="NYD225"/>
      <c r="NYE225"/>
      <c r="NYF225"/>
      <c r="NYG225"/>
      <c r="NYH225"/>
      <c r="NYI225"/>
      <c r="NYJ225"/>
      <c r="NYK225"/>
      <c r="NYL225"/>
      <c r="NYM225"/>
      <c r="NYN225"/>
      <c r="NYO225"/>
      <c r="NYP225"/>
      <c r="NYQ225"/>
      <c r="NYR225"/>
      <c r="NYS225"/>
      <c r="NYT225"/>
      <c r="NYU225"/>
      <c r="NYV225"/>
      <c r="NYW225"/>
      <c r="NYX225"/>
      <c r="NYY225"/>
      <c r="NYZ225"/>
      <c r="NZA225"/>
      <c r="NZB225"/>
      <c r="NZC225"/>
      <c r="NZD225"/>
      <c r="NZE225"/>
      <c r="NZF225"/>
      <c r="NZG225"/>
      <c r="NZH225"/>
      <c r="NZI225"/>
      <c r="NZJ225"/>
      <c r="NZK225"/>
      <c r="NZL225"/>
      <c r="NZM225"/>
      <c r="NZN225"/>
      <c r="NZO225"/>
      <c r="NZP225"/>
      <c r="NZQ225"/>
      <c r="NZR225"/>
      <c r="NZS225"/>
      <c r="NZT225"/>
      <c r="NZU225"/>
      <c r="NZV225"/>
      <c r="NZW225"/>
      <c r="NZX225"/>
      <c r="NZY225"/>
      <c r="NZZ225"/>
      <c r="OAA225"/>
      <c r="OAB225"/>
      <c r="OAC225"/>
      <c r="OAD225"/>
      <c r="OAE225"/>
      <c r="OAF225"/>
      <c r="OAG225"/>
      <c r="OAH225"/>
      <c r="OAI225"/>
      <c r="OAJ225"/>
      <c r="OAK225"/>
      <c r="OAL225"/>
      <c r="OAM225"/>
      <c r="OAN225"/>
      <c r="OAO225"/>
      <c r="OAP225"/>
      <c r="OAQ225"/>
      <c r="OAR225"/>
      <c r="OAS225"/>
      <c r="OAT225"/>
      <c r="OAU225"/>
      <c r="OAV225"/>
      <c r="OAW225"/>
      <c r="OAX225"/>
      <c r="OAY225"/>
      <c r="OAZ225"/>
      <c r="OBA225"/>
      <c r="OBB225"/>
      <c r="OBC225"/>
      <c r="OBD225"/>
      <c r="OBE225"/>
      <c r="OBF225"/>
      <c r="OBG225"/>
      <c r="OBH225"/>
      <c r="OBI225"/>
      <c r="OBJ225"/>
      <c r="OBK225"/>
      <c r="OBL225"/>
      <c r="OBM225"/>
      <c r="OBN225"/>
      <c r="OBO225"/>
      <c r="OBP225"/>
      <c r="OBQ225"/>
      <c r="OBR225"/>
      <c r="OBS225"/>
      <c r="OBT225"/>
      <c r="OBU225"/>
      <c r="OBV225"/>
      <c r="OBW225"/>
      <c r="OBX225"/>
      <c r="OBY225"/>
      <c r="OBZ225"/>
      <c r="OCA225"/>
      <c r="OCB225"/>
      <c r="OCC225"/>
      <c r="OCD225"/>
      <c r="OCE225"/>
      <c r="OCF225"/>
      <c r="OCG225"/>
      <c r="OCH225"/>
      <c r="OCI225"/>
      <c r="OCJ225"/>
      <c r="OCK225"/>
      <c r="OCL225"/>
      <c r="OCM225"/>
      <c r="OCN225"/>
      <c r="OCO225"/>
      <c r="OCP225"/>
      <c r="OCQ225"/>
      <c r="OCR225"/>
      <c r="OCS225"/>
      <c r="OCT225"/>
      <c r="OCU225"/>
      <c r="OCV225"/>
      <c r="OCW225"/>
      <c r="OCX225"/>
      <c r="OCY225"/>
      <c r="OCZ225"/>
      <c r="ODA225"/>
      <c r="ODB225"/>
      <c r="ODC225"/>
      <c r="ODD225"/>
      <c r="ODE225"/>
      <c r="ODF225"/>
      <c r="ODG225"/>
      <c r="ODH225"/>
      <c r="ODI225"/>
      <c r="ODJ225"/>
      <c r="ODK225"/>
      <c r="ODL225"/>
      <c r="ODM225"/>
      <c r="ODN225"/>
      <c r="ODO225"/>
      <c r="ODP225"/>
      <c r="ODQ225"/>
      <c r="ODR225"/>
      <c r="ODS225"/>
      <c r="ODT225"/>
      <c r="ODU225"/>
      <c r="ODV225"/>
      <c r="ODW225"/>
      <c r="ODX225"/>
      <c r="ODY225"/>
      <c r="ODZ225"/>
      <c r="OEA225"/>
      <c r="OEB225"/>
      <c r="OEC225"/>
      <c r="OED225"/>
      <c r="OEE225"/>
      <c r="OEF225"/>
      <c r="OEG225"/>
      <c r="OEH225"/>
      <c r="OEI225"/>
      <c r="OEJ225"/>
      <c r="OEK225"/>
      <c r="OEL225"/>
      <c r="OEM225"/>
      <c r="OEN225"/>
      <c r="OEO225"/>
      <c r="OEP225"/>
      <c r="OEQ225"/>
      <c r="OER225"/>
      <c r="OES225"/>
      <c r="OET225"/>
      <c r="OEU225"/>
      <c r="OEV225"/>
      <c r="OEW225"/>
      <c r="OEX225"/>
      <c r="OEY225"/>
      <c r="OEZ225"/>
      <c r="OFA225"/>
      <c r="OFB225"/>
      <c r="OFC225"/>
      <c r="OFD225"/>
      <c r="OFE225"/>
      <c r="OFF225"/>
      <c r="OFG225"/>
      <c r="OFH225"/>
      <c r="OFI225"/>
      <c r="OFJ225"/>
      <c r="OFK225"/>
      <c r="OFL225"/>
      <c r="OFM225"/>
      <c r="OFN225"/>
      <c r="OFO225"/>
      <c r="OFP225"/>
      <c r="OFQ225"/>
      <c r="OFR225"/>
      <c r="OFS225"/>
      <c r="OFT225"/>
      <c r="OFU225"/>
      <c r="OFV225"/>
      <c r="OFW225"/>
      <c r="OFX225"/>
      <c r="OFY225"/>
      <c r="OFZ225"/>
      <c r="OGA225"/>
      <c r="OGB225"/>
      <c r="OGC225"/>
      <c r="OGD225"/>
      <c r="OGE225"/>
      <c r="OGF225"/>
      <c r="OGG225"/>
      <c r="OGH225"/>
      <c r="OGI225"/>
      <c r="OGJ225"/>
      <c r="OGK225"/>
      <c r="OGL225"/>
      <c r="OGM225"/>
      <c r="OGN225"/>
      <c r="OGO225"/>
      <c r="OGP225"/>
      <c r="OGQ225"/>
      <c r="OGR225"/>
      <c r="OGS225"/>
      <c r="OGT225"/>
      <c r="OGU225"/>
      <c r="OGV225"/>
      <c r="OGW225"/>
      <c r="OGX225"/>
      <c r="OGY225"/>
      <c r="OGZ225"/>
      <c r="OHA225"/>
      <c r="OHB225"/>
      <c r="OHC225"/>
      <c r="OHD225"/>
      <c r="OHE225"/>
      <c r="OHF225"/>
      <c r="OHG225"/>
      <c r="OHH225"/>
      <c r="OHI225"/>
      <c r="OHJ225"/>
      <c r="OHK225"/>
      <c r="OHL225"/>
      <c r="OHM225"/>
      <c r="OHN225"/>
      <c r="OHO225"/>
      <c r="OHP225"/>
      <c r="OHQ225"/>
      <c r="OHR225"/>
      <c r="OHS225"/>
      <c r="OHT225"/>
      <c r="OHU225"/>
      <c r="OHV225"/>
      <c r="OHW225"/>
      <c r="OHX225"/>
      <c r="OHY225"/>
      <c r="OHZ225"/>
      <c r="OIA225"/>
      <c r="OIB225"/>
      <c r="OIC225"/>
      <c r="OID225"/>
      <c r="OIE225"/>
      <c r="OIF225"/>
      <c r="OIG225"/>
      <c r="OIH225"/>
      <c r="OII225"/>
      <c r="OIJ225"/>
      <c r="OIK225"/>
      <c r="OIL225"/>
      <c r="OIM225"/>
      <c r="OIN225"/>
      <c r="OIO225"/>
      <c r="OIP225"/>
      <c r="OIQ225"/>
      <c r="OIR225"/>
      <c r="OIS225"/>
      <c r="OIT225"/>
      <c r="OIU225"/>
      <c r="OIV225"/>
      <c r="OIW225"/>
      <c r="OIX225"/>
      <c r="OIY225"/>
      <c r="OIZ225"/>
      <c r="OJA225"/>
      <c r="OJB225"/>
      <c r="OJC225"/>
      <c r="OJD225"/>
      <c r="OJE225"/>
      <c r="OJF225"/>
      <c r="OJG225"/>
      <c r="OJH225"/>
      <c r="OJI225"/>
      <c r="OJJ225"/>
      <c r="OJK225"/>
      <c r="OJL225"/>
      <c r="OJM225"/>
      <c r="OJN225"/>
      <c r="OJO225"/>
      <c r="OJP225"/>
      <c r="OJQ225"/>
      <c r="OJR225"/>
      <c r="OJS225"/>
      <c r="OJT225"/>
      <c r="OJU225"/>
      <c r="OJV225"/>
      <c r="OJW225"/>
      <c r="OJX225"/>
      <c r="OJY225"/>
      <c r="OJZ225"/>
      <c r="OKA225"/>
      <c r="OKB225"/>
      <c r="OKC225"/>
      <c r="OKD225"/>
      <c r="OKE225"/>
      <c r="OKF225"/>
      <c r="OKG225"/>
      <c r="OKH225"/>
      <c r="OKI225"/>
      <c r="OKJ225"/>
      <c r="OKK225"/>
      <c r="OKL225"/>
      <c r="OKM225"/>
      <c r="OKN225"/>
      <c r="OKO225"/>
      <c r="OKP225"/>
      <c r="OKQ225"/>
      <c r="OKR225"/>
      <c r="OKS225"/>
      <c r="OKT225"/>
      <c r="OKU225"/>
      <c r="OKV225"/>
      <c r="OKW225"/>
      <c r="OKX225"/>
      <c r="OKY225"/>
      <c r="OKZ225"/>
      <c r="OLA225"/>
      <c r="OLB225"/>
      <c r="OLC225"/>
      <c r="OLD225"/>
      <c r="OLE225"/>
      <c r="OLF225"/>
      <c r="OLG225"/>
      <c r="OLH225"/>
      <c r="OLI225"/>
      <c r="OLJ225"/>
      <c r="OLK225"/>
      <c r="OLL225"/>
      <c r="OLM225"/>
      <c r="OLN225"/>
      <c r="OLO225"/>
      <c r="OLP225"/>
      <c r="OLQ225"/>
      <c r="OLR225"/>
      <c r="OLS225"/>
      <c r="OLT225"/>
      <c r="OLU225"/>
      <c r="OLV225"/>
      <c r="OLW225"/>
      <c r="OLX225"/>
      <c r="OLY225"/>
      <c r="OLZ225"/>
      <c r="OMA225"/>
      <c r="OMB225"/>
      <c r="OMC225"/>
      <c r="OMD225"/>
      <c r="OME225"/>
      <c r="OMF225"/>
      <c r="OMG225"/>
      <c r="OMH225"/>
      <c r="OMI225"/>
      <c r="OMJ225"/>
      <c r="OMK225"/>
      <c r="OML225"/>
      <c r="OMM225"/>
      <c r="OMN225"/>
      <c r="OMO225"/>
      <c r="OMP225"/>
      <c r="OMQ225"/>
      <c r="OMR225"/>
      <c r="OMS225"/>
      <c r="OMT225"/>
      <c r="OMU225"/>
      <c r="OMV225"/>
      <c r="OMW225"/>
      <c r="OMX225"/>
      <c r="OMY225"/>
      <c r="OMZ225"/>
      <c r="ONA225"/>
      <c r="ONB225"/>
      <c r="ONC225"/>
      <c r="OND225"/>
      <c r="ONE225"/>
      <c r="ONF225"/>
      <c r="ONG225"/>
      <c r="ONH225"/>
      <c r="ONI225"/>
      <c r="ONJ225"/>
      <c r="ONK225"/>
      <c r="ONL225"/>
      <c r="ONM225"/>
      <c r="ONN225"/>
      <c r="ONO225"/>
      <c r="ONP225"/>
      <c r="ONQ225"/>
      <c r="ONR225"/>
      <c r="ONS225"/>
      <c r="ONT225"/>
      <c r="ONU225"/>
      <c r="ONV225"/>
      <c r="ONW225"/>
      <c r="ONX225"/>
      <c r="ONY225"/>
      <c r="ONZ225"/>
      <c r="OOA225"/>
      <c r="OOB225"/>
      <c r="OOC225"/>
      <c r="OOD225"/>
      <c r="OOE225"/>
      <c r="OOF225"/>
      <c r="OOG225"/>
      <c r="OOH225"/>
      <c r="OOI225"/>
      <c r="OOJ225"/>
      <c r="OOK225"/>
      <c r="OOL225"/>
      <c r="OOM225"/>
      <c r="OON225"/>
      <c r="OOO225"/>
      <c r="OOP225"/>
      <c r="OOQ225"/>
      <c r="OOR225"/>
      <c r="OOS225"/>
      <c r="OOT225"/>
      <c r="OOU225"/>
      <c r="OOV225"/>
      <c r="OOW225"/>
      <c r="OOX225"/>
      <c r="OOY225"/>
      <c r="OOZ225"/>
      <c r="OPA225"/>
      <c r="OPB225"/>
      <c r="OPC225"/>
      <c r="OPD225"/>
      <c r="OPE225"/>
      <c r="OPF225"/>
      <c r="OPG225"/>
      <c r="OPH225"/>
      <c r="OPI225"/>
      <c r="OPJ225"/>
      <c r="OPK225"/>
      <c r="OPL225"/>
      <c r="OPM225"/>
      <c r="OPN225"/>
      <c r="OPO225"/>
      <c r="OPP225"/>
      <c r="OPQ225"/>
      <c r="OPR225"/>
      <c r="OPS225"/>
      <c r="OPT225"/>
      <c r="OPU225"/>
      <c r="OPV225"/>
      <c r="OPW225"/>
      <c r="OPX225"/>
      <c r="OPY225"/>
      <c r="OPZ225"/>
      <c r="OQA225"/>
      <c r="OQB225"/>
      <c r="OQC225"/>
      <c r="OQD225"/>
      <c r="OQE225"/>
      <c r="OQF225"/>
      <c r="OQG225"/>
      <c r="OQH225"/>
      <c r="OQI225"/>
      <c r="OQJ225"/>
      <c r="OQK225"/>
      <c r="OQL225"/>
      <c r="OQM225"/>
      <c r="OQN225"/>
      <c r="OQO225"/>
      <c r="OQP225"/>
      <c r="OQQ225"/>
      <c r="OQR225"/>
      <c r="OQS225"/>
      <c r="OQT225"/>
      <c r="OQU225"/>
      <c r="OQV225"/>
      <c r="OQW225"/>
      <c r="OQX225"/>
      <c r="OQY225"/>
      <c r="OQZ225"/>
      <c r="ORA225"/>
      <c r="ORB225"/>
      <c r="ORC225"/>
      <c r="ORD225"/>
      <c r="ORE225"/>
      <c r="ORF225"/>
      <c r="ORG225"/>
      <c r="ORH225"/>
      <c r="ORI225"/>
      <c r="ORJ225"/>
      <c r="ORK225"/>
      <c r="ORL225"/>
      <c r="ORM225"/>
      <c r="ORN225"/>
      <c r="ORO225"/>
      <c r="ORP225"/>
      <c r="ORQ225"/>
      <c r="ORR225"/>
      <c r="ORS225"/>
      <c r="ORT225"/>
      <c r="ORU225"/>
      <c r="ORV225"/>
      <c r="ORW225"/>
      <c r="ORX225"/>
      <c r="ORY225"/>
      <c r="ORZ225"/>
      <c r="OSA225"/>
      <c r="OSB225"/>
      <c r="OSC225"/>
      <c r="OSD225"/>
      <c r="OSE225"/>
      <c r="OSF225"/>
      <c r="OSG225"/>
      <c r="OSH225"/>
      <c r="OSI225"/>
      <c r="OSJ225"/>
      <c r="OSK225"/>
      <c r="OSL225"/>
      <c r="OSM225"/>
      <c r="OSN225"/>
      <c r="OSO225"/>
      <c r="OSP225"/>
      <c r="OSQ225"/>
      <c r="OSR225"/>
      <c r="OSS225"/>
      <c r="OST225"/>
      <c r="OSU225"/>
      <c r="OSV225"/>
      <c r="OSW225"/>
      <c r="OSX225"/>
      <c r="OSY225"/>
      <c r="OSZ225"/>
      <c r="OTA225"/>
      <c r="OTB225"/>
      <c r="OTC225"/>
      <c r="OTD225"/>
      <c r="OTE225"/>
      <c r="OTF225"/>
      <c r="OTG225"/>
      <c r="OTH225"/>
      <c r="OTI225"/>
      <c r="OTJ225"/>
      <c r="OTK225"/>
      <c r="OTL225"/>
      <c r="OTM225"/>
      <c r="OTN225"/>
      <c r="OTO225"/>
      <c r="OTP225"/>
      <c r="OTQ225"/>
      <c r="OTR225"/>
      <c r="OTS225"/>
      <c r="OTT225"/>
      <c r="OTU225"/>
      <c r="OTV225"/>
      <c r="OTW225"/>
      <c r="OTX225"/>
      <c r="OTY225"/>
      <c r="OTZ225"/>
      <c r="OUA225"/>
      <c r="OUB225"/>
      <c r="OUC225"/>
      <c r="OUD225"/>
      <c r="OUE225"/>
      <c r="OUF225"/>
      <c r="OUG225"/>
      <c r="OUH225"/>
      <c r="OUI225"/>
      <c r="OUJ225"/>
      <c r="OUK225"/>
      <c r="OUL225"/>
      <c r="OUM225"/>
      <c r="OUN225"/>
      <c r="OUO225"/>
      <c r="OUP225"/>
      <c r="OUQ225"/>
      <c r="OUR225"/>
      <c r="OUS225"/>
      <c r="OUT225"/>
      <c r="OUU225"/>
      <c r="OUV225"/>
      <c r="OUW225"/>
      <c r="OUX225"/>
      <c r="OUY225"/>
      <c r="OUZ225"/>
      <c r="OVA225"/>
      <c r="OVB225"/>
      <c r="OVC225"/>
      <c r="OVD225"/>
      <c r="OVE225"/>
      <c r="OVF225"/>
      <c r="OVG225"/>
      <c r="OVH225"/>
      <c r="OVI225"/>
      <c r="OVJ225"/>
      <c r="OVK225"/>
      <c r="OVL225"/>
      <c r="OVM225"/>
      <c r="OVN225"/>
      <c r="OVO225"/>
      <c r="OVP225"/>
      <c r="OVQ225"/>
      <c r="OVR225"/>
      <c r="OVS225"/>
      <c r="OVT225"/>
      <c r="OVU225"/>
      <c r="OVV225"/>
      <c r="OVW225"/>
      <c r="OVX225"/>
      <c r="OVY225"/>
      <c r="OVZ225"/>
      <c r="OWA225"/>
      <c r="OWB225"/>
      <c r="OWC225"/>
      <c r="OWD225"/>
      <c r="OWE225"/>
      <c r="OWF225"/>
      <c r="OWG225"/>
      <c r="OWH225"/>
      <c r="OWI225"/>
      <c r="OWJ225"/>
      <c r="OWK225"/>
      <c r="OWL225"/>
      <c r="OWM225"/>
      <c r="OWN225"/>
      <c r="OWO225"/>
      <c r="OWP225"/>
      <c r="OWQ225"/>
      <c r="OWR225"/>
      <c r="OWS225"/>
      <c r="OWT225"/>
      <c r="OWU225"/>
      <c r="OWV225"/>
      <c r="OWW225"/>
      <c r="OWX225"/>
      <c r="OWY225"/>
      <c r="OWZ225"/>
      <c r="OXA225"/>
      <c r="OXB225"/>
      <c r="OXC225"/>
      <c r="OXD225"/>
      <c r="OXE225"/>
      <c r="OXF225"/>
      <c r="OXG225"/>
      <c r="OXH225"/>
      <c r="OXI225"/>
      <c r="OXJ225"/>
      <c r="OXK225"/>
      <c r="OXL225"/>
      <c r="OXM225"/>
      <c r="OXN225"/>
      <c r="OXO225"/>
      <c r="OXP225"/>
      <c r="OXQ225"/>
      <c r="OXR225"/>
      <c r="OXS225"/>
      <c r="OXT225"/>
      <c r="OXU225"/>
      <c r="OXV225"/>
      <c r="OXW225"/>
      <c r="OXX225"/>
      <c r="OXY225"/>
      <c r="OXZ225"/>
      <c r="OYA225"/>
      <c r="OYB225"/>
      <c r="OYC225"/>
      <c r="OYD225"/>
      <c r="OYE225"/>
      <c r="OYF225"/>
      <c r="OYG225"/>
      <c r="OYH225"/>
      <c r="OYI225"/>
      <c r="OYJ225"/>
      <c r="OYK225"/>
      <c r="OYL225"/>
      <c r="OYM225"/>
      <c r="OYN225"/>
      <c r="OYO225"/>
      <c r="OYP225"/>
      <c r="OYQ225"/>
      <c r="OYR225"/>
      <c r="OYS225"/>
      <c r="OYT225"/>
      <c r="OYU225"/>
      <c r="OYV225"/>
      <c r="OYW225"/>
      <c r="OYX225"/>
      <c r="OYY225"/>
      <c r="OYZ225"/>
      <c r="OZA225"/>
      <c r="OZB225"/>
      <c r="OZC225"/>
      <c r="OZD225"/>
      <c r="OZE225"/>
      <c r="OZF225"/>
      <c r="OZG225"/>
      <c r="OZH225"/>
      <c r="OZI225"/>
      <c r="OZJ225"/>
      <c r="OZK225"/>
      <c r="OZL225"/>
      <c r="OZM225"/>
      <c r="OZN225"/>
      <c r="OZO225"/>
      <c r="OZP225"/>
      <c r="OZQ225"/>
      <c r="OZR225"/>
      <c r="OZS225"/>
      <c r="OZT225"/>
      <c r="OZU225"/>
      <c r="OZV225"/>
      <c r="OZW225"/>
      <c r="OZX225"/>
      <c r="OZY225"/>
      <c r="OZZ225"/>
      <c r="PAA225"/>
      <c r="PAB225"/>
      <c r="PAC225"/>
      <c r="PAD225"/>
      <c r="PAE225"/>
      <c r="PAF225"/>
      <c r="PAG225"/>
      <c r="PAH225"/>
      <c r="PAI225"/>
      <c r="PAJ225"/>
      <c r="PAK225"/>
      <c r="PAL225"/>
      <c r="PAM225"/>
      <c r="PAN225"/>
      <c r="PAO225"/>
      <c r="PAP225"/>
      <c r="PAQ225"/>
      <c r="PAR225"/>
      <c r="PAS225"/>
      <c r="PAT225"/>
      <c r="PAU225"/>
      <c r="PAV225"/>
      <c r="PAW225"/>
      <c r="PAX225"/>
      <c r="PAY225"/>
      <c r="PAZ225"/>
      <c r="PBA225"/>
      <c r="PBB225"/>
      <c r="PBC225"/>
      <c r="PBD225"/>
      <c r="PBE225"/>
      <c r="PBF225"/>
      <c r="PBG225"/>
      <c r="PBH225"/>
      <c r="PBI225"/>
      <c r="PBJ225"/>
      <c r="PBK225"/>
      <c r="PBL225"/>
      <c r="PBM225"/>
      <c r="PBN225"/>
      <c r="PBO225"/>
      <c r="PBP225"/>
      <c r="PBQ225"/>
      <c r="PBR225"/>
      <c r="PBS225"/>
      <c r="PBT225"/>
      <c r="PBU225"/>
      <c r="PBV225"/>
      <c r="PBW225"/>
      <c r="PBX225"/>
      <c r="PBY225"/>
      <c r="PBZ225"/>
      <c r="PCA225"/>
      <c r="PCB225"/>
      <c r="PCC225"/>
      <c r="PCD225"/>
      <c r="PCE225"/>
      <c r="PCF225"/>
      <c r="PCG225"/>
      <c r="PCH225"/>
      <c r="PCI225"/>
      <c r="PCJ225"/>
      <c r="PCK225"/>
      <c r="PCL225"/>
      <c r="PCM225"/>
      <c r="PCN225"/>
      <c r="PCO225"/>
      <c r="PCP225"/>
      <c r="PCQ225"/>
      <c r="PCR225"/>
      <c r="PCS225"/>
      <c r="PCT225"/>
      <c r="PCU225"/>
      <c r="PCV225"/>
      <c r="PCW225"/>
      <c r="PCX225"/>
      <c r="PCY225"/>
      <c r="PCZ225"/>
      <c r="PDA225"/>
      <c r="PDB225"/>
      <c r="PDC225"/>
      <c r="PDD225"/>
      <c r="PDE225"/>
      <c r="PDF225"/>
      <c r="PDG225"/>
      <c r="PDH225"/>
      <c r="PDI225"/>
      <c r="PDJ225"/>
      <c r="PDK225"/>
      <c r="PDL225"/>
      <c r="PDM225"/>
      <c r="PDN225"/>
      <c r="PDO225"/>
      <c r="PDP225"/>
      <c r="PDQ225"/>
      <c r="PDR225"/>
      <c r="PDS225"/>
      <c r="PDT225"/>
      <c r="PDU225"/>
      <c r="PDV225"/>
      <c r="PDW225"/>
      <c r="PDX225"/>
      <c r="PDY225"/>
      <c r="PDZ225"/>
      <c r="PEA225"/>
      <c r="PEB225"/>
      <c r="PEC225"/>
      <c r="PED225"/>
      <c r="PEE225"/>
      <c r="PEF225"/>
      <c r="PEG225"/>
      <c r="PEH225"/>
      <c r="PEI225"/>
      <c r="PEJ225"/>
      <c r="PEK225"/>
      <c r="PEL225"/>
      <c r="PEM225"/>
      <c r="PEN225"/>
      <c r="PEO225"/>
      <c r="PEP225"/>
      <c r="PEQ225"/>
      <c r="PER225"/>
      <c r="PES225"/>
      <c r="PET225"/>
      <c r="PEU225"/>
      <c r="PEV225"/>
      <c r="PEW225"/>
      <c r="PEX225"/>
      <c r="PEY225"/>
      <c r="PEZ225"/>
      <c r="PFA225"/>
      <c r="PFB225"/>
      <c r="PFC225"/>
      <c r="PFD225"/>
      <c r="PFE225"/>
      <c r="PFF225"/>
      <c r="PFG225"/>
      <c r="PFH225"/>
      <c r="PFI225"/>
      <c r="PFJ225"/>
      <c r="PFK225"/>
      <c r="PFL225"/>
      <c r="PFM225"/>
      <c r="PFN225"/>
      <c r="PFO225"/>
      <c r="PFP225"/>
      <c r="PFQ225"/>
      <c r="PFR225"/>
      <c r="PFS225"/>
      <c r="PFT225"/>
      <c r="PFU225"/>
      <c r="PFV225"/>
      <c r="PFW225"/>
      <c r="PFX225"/>
      <c r="PFY225"/>
      <c r="PFZ225"/>
      <c r="PGA225"/>
      <c r="PGB225"/>
      <c r="PGC225"/>
      <c r="PGD225"/>
      <c r="PGE225"/>
      <c r="PGF225"/>
      <c r="PGG225"/>
      <c r="PGH225"/>
      <c r="PGI225"/>
      <c r="PGJ225"/>
      <c r="PGK225"/>
      <c r="PGL225"/>
      <c r="PGM225"/>
      <c r="PGN225"/>
      <c r="PGO225"/>
      <c r="PGP225"/>
      <c r="PGQ225"/>
      <c r="PGR225"/>
      <c r="PGS225"/>
      <c r="PGT225"/>
      <c r="PGU225"/>
      <c r="PGV225"/>
      <c r="PGW225"/>
      <c r="PGX225"/>
      <c r="PGY225"/>
      <c r="PGZ225"/>
      <c r="PHA225"/>
      <c r="PHB225"/>
      <c r="PHC225"/>
      <c r="PHD225"/>
      <c r="PHE225"/>
      <c r="PHF225"/>
      <c r="PHG225"/>
      <c r="PHH225"/>
      <c r="PHI225"/>
      <c r="PHJ225"/>
      <c r="PHK225"/>
      <c r="PHL225"/>
      <c r="PHM225"/>
      <c r="PHN225"/>
      <c r="PHO225"/>
      <c r="PHP225"/>
      <c r="PHQ225"/>
      <c r="PHR225"/>
      <c r="PHS225"/>
      <c r="PHT225"/>
      <c r="PHU225"/>
      <c r="PHV225"/>
      <c r="PHW225"/>
      <c r="PHX225"/>
      <c r="PHY225"/>
      <c r="PHZ225"/>
      <c r="PIA225"/>
      <c r="PIB225"/>
      <c r="PIC225"/>
      <c r="PID225"/>
      <c r="PIE225"/>
      <c r="PIF225"/>
      <c r="PIG225"/>
      <c r="PIH225"/>
      <c r="PII225"/>
      <c r="PIJ225"/>
      <c r="PIK225"/>
      <c r="PIL225"/>
      <c r="PIM225"/>
      <c r="PIN225"/>
      <c r="PIO225"/>
      <c r="PIP225"/>
      <c r="PIQ225"/>
      <c r="PIR225"/>
      <c r="PIS225"/>
      <c r="PIT225"/>
      <c r="PIU225"/>
      <c r="PIV225"/>
      <c r="PIW225"/>
      <c r="PIX225"/>
      <c r="PIY225"/>
      <c r="PIZ225"/>
      <c r="PJA225"/>
      <c r="PJB225"/>
      <c r="PJC225"/>
      <c r="PJD225"/>
      <c r="PJE225"/>
      <c r="PJF225"/>
      <c r="PJG225"/>
      <c r="PJH225"/>
      <c r="PJI225"/>
      <c r="PJJ225"/>
      <c r="PJK225"/>
      <c r="PJL225"/>
      <c r="PJM225"/>
      <c r="PJN225"/>
      <c r="PJO225"/>
      <c r="PJP225"/>
      <c r="PJQ225"/>
      <c r="PJR225"/>
      <c r="PJS225"/>
      <c r="PJT225"/>
      <c r="PJU225"/>
      <c r="PJV225"/>
      <c r="PJW225"/>
      <c r="PJX225"/>
      <c r="PJY225"/>
      <c r="PJZ225"/>
      <c r="PKA225"/>
      <c r="PKB225"/>
      <c r="PKC225"/>
      <c r="PKD225"/>
      <c r="PKE225"/>
      <c r="PKF225"/>
      <c r="PKG225"/>
      <c r="PKH225"/>
      <c r="PKI225"/>
      <c r="PKJ225"/>
      <c r="PKK225"/>
      <c r="PKL225"/>
      <c r="PKM225"/>
      <c r="PKN225"/>
      <c r="PKO225"/>
      <c r="PKP225"/>
      <c r="PKQ225"/>
      <c r="PKR225"/>
      <c r="PKS225"/>
      <c r="PKT225"/>
      <c r="PKU225"/>
      <c r="PKV225"/>
      <c r="PKW225"/>
      <c r="PKX225"/>
      <c r="PKY225"/>
      <c r="PKZ225"/>
      <c r="PLA225"/>
      <c r="PLB225"/>
      <c r="PLC225"/>
      <c r="PLD225"/>
      <c r="PLE225"/>
      <c r="PLF225"/>
      <c r="PLG225"/>
      <c r="PLH225"/>
      <c r="PLI225"/>
      <c r="PLJ225"/>
      <c r="PLK225"/>
      <c r="PLL225"/>
      <c r="PLM225"/>
      <c r="PLN225"/>
      <c r="PLO225"/>
      <c r="PLP225"/>
      <c r="PLQ225"/>
      <c r="PLR225"/>
      <c r="PLS225"/>
      <c r="PLT225"/>
      <c r="PLU225"/>
      <c r="PLV225"/>
      <c r="PLW225"/>
      <c r="PLX225"/>
      <c r="PLY225"/>
      <c r="PLZ225"/>
      <c r="PMA225"/>
      <c r="PMB225"/>
      <c r="PMC225"/>
      <c r="PMD225"/>
      <c r="PME225"/>
      <c r="PMF225"/>
      <c r="PMG225"/>
      <c r="PMH225"/>
      <c r="PMI225"/>
      <c r="PMJ225"/>
      <c r="PMK225"/>
      <c r="PML225"/>
      <c r="PMM225"/>
      <c r="PMN225"/>
      <c r="PMO225"/>
      <c r="PMP225"/>
      <c r="PMQ225"/>
      <c r="PMR225"/>
      <c r="PMS225"/>
      <c r="PMT225"/>
      <c r="PMU225"/>
      <c r="PMV225"/>
      <c r="PMW225"/>
      <c r="PMX225"/>
      <c r="PMY225"/>
      <c r="PMZ225"/>
      <c r="PNA225"/>
      <c r="PNB225"/>
      <c r="PNC225"/>
      <c r="PND225"/>
      <c r="PNE225"/>
      <c r="PNF225"/>
      <c r="PNG225"/>
      <c r="PNH225"/>
      <c r="PNI225"/>
      <c r="PNJ225"/>
      <c r="PNK225"/>
      <c r="PNL225"/>
      <c r="PNM225"/>
      <c r="PNN225"/>
      <c r="PNO225"/>
      <c r="PNP225"/>
      <c r="PNQ225"/>
      <c r="PNR225"/>
      <c r="PNS225"/>
      <c r="PNT225"/>
      <c r="PNU225"/>
      <c r="PNV225"/>
      <c r="PNW225"/>
      <c r="PNX225"/>
      <c r="PNY225"/>
      <c r="PNZ225"/>
      <c r="POA225"/>
      <c r="POB225"/>
      <c r="POC225"/>
      <c r="POD225"/>
      <c r="POE225"/>
      <c r="POF225"/>
      <c r="POG225"/>
      <c r="POH225"/>
      <c r="POI225"/>
      <c r="POJ225"/>
      <c r="POK225"/>
      <c r="POL225"/>
      <c r="POM225"/>
      <c r="PON225"/>
      <c r="POO225"/>
      <c r="POP225"/>
      <c r="POQ225"/>
      <c r="POR225"/>
      <c r="POS225"/>
      <c r="POT225"/>
      <c r="POU225"/>
      <c r="POV225"/>
      <c r="POW225"/>
      <c r="POX225"/>
      <c r="POY225"/>
      <c r="POZ225"/>
      <c r="PPA225"/>
      <c r="PPB225"/>
      <c r="PPC225"/>
      <c r="PPD225"/>
      <c r="PPE225"/>
      <c r="PPF225"/>
      <c r="PPG225"/>
      <c r="PPH225"/>
      <c r="PPI225"/>
      <c r="PPJ225"/>
      <c r="PPK225"/>
      <c r="PPL225"/>
      <c r="PPM225"/>
      <c r="PPN225"/>
      <c r="PPO225"/>
      <c r="PPP225"/>
      <c r="PPQ225"/>
      <c r="PPR225"/>
      <c r="PPS225"/>
      <c r="PPT225"/>
      <c r="PPU225"/>
      <c r="PPV225"/>
      <c r="PPW225"/>
      <c r="PPX225"/>
      <c r="PPY225"/>
      <c r="PPZ225"/>
      <c r="PQA225"/>
      <c r="PQB225"/>
      <c r="PQC225"/>
      <c r="PQD225"/>
      <c r="PQE225"/>
      <c r="PQF225"/>
      <c r="PQG225"/>
      <c r="PQH225"/>
      <c r="PQI225"/>
      <c r="PQJ225"/>
      <c r="PQK225"/>
      <c r="PQL225"/>
      <c r="PQM225"/>
      <c r="PQN225"/>
      <c r="PQO225"/>
      <c r="PQP225"/>
      <c r="PQQ225"/>
      <c r="PQR225"/>
      <c r="PQS225"/>
      <c r="PQT225"/>
      <c r="PQU225"/>
      <c r="PQV225"/>
      <c r="PQW225"/>
      <c r="PQX225"/>
      <c r="PQY225"/>
      <c r="PQZ225"/>
      <c r="PRA225"/>
      <c r="PRB225"/>
      <c r="PRC225"/>
      <c r="PRD225"/>
      <c r="PRE225"/>
      <c r="PRF225"/>
      <c r="PRG225"/>
      <c r="PRH225"/>
      <c r="PRI225"/>
      <c r="PRJ225"/>
      <c r="PRK225"/>
      <c r="PRL225"/>
      <c r="PRM225"/>
      <c r="PRN225"/>
      <c r="PRO225"/>
      <c r="PRP225"/>
      <c r="PRQ225"/>
      <c r="PRR225"/>
      <c r="PRS225"/>
      <c r="PRT225"/>
      <c r="PRU225"/>
      <c r="PRV225"/>
      <c r="PRW225"/>
      <c r="PRX225"/>
      <c r="PRY225"/>
      <c r="PRZ225"/>
      <c r="PSA225"/>
      <c r="PSB225"/>
      <c r="PSC225"/>
      <c r="PSD225"/>
      <c r="PSE225"/>
      <c r="PSF225"/>
      <c r="PSG225"/>
      <c r="PSH225"/>
      <c r="PSI225"/>
      <c r="PSJ225"/>
      <c r="PSK225"/>
      <c r="PSL225"/>
      <c r="PSM225"/>
      <c r="PSN225"/>
      <c r="PSO225"/>
      <c r="PSP225"/>
      <c r="PSQ225"/>
      <c r="PSR225"/>
      <c r="PSS225"/>
      <c r="PST225"/>
      <c r="PSU225"/>
      <c r="PSV225"/>
      <c r="PSW225"/>
      <c r="PSX225"/>
      <c r="PSY225"/>
      <c r="PSZ225"/>
      <c r="PTA225"/>
      <c r="PTB225"/>
      <c r="PTC225"/>
      <c r="PTD225"/>
      <c r="PTE225"/>
      <c r="PTF225"/>
      <c r="PTG225"/>
      <c r="PTH225"/>
      <c r="PTI225"/>
      <c r="PTJ225"/>
      <c r="PTK225"/>
      <c r="PTL225"/>
      <c r="PTM225"/>
      <c r="PTN225"/>
      <c r="PTO225"/>
      <c r="PTP225"/>
      <c r="PTQ225"/>
      <c r="PTR225"/>
      <c r="PTS225"/>
      <c r="PTT225"/>
      <c r="PTU225"/>
      <c r="PTV225"/>
      <c r="PTW225"/>
      <c r="PTX225"/>
      <c r="PTY225"/>
      <c r="PTZ225"/>
      <c r="PUA225"/>
      <c r="PUB225"/>
      <c r="PUC225"/>
      <c r="PUD225"/>
      <c r="PUE225"/>
      <c r="PUF225"/>
      <c r="PUG225"/>
      <c r="PUH225"/>
      <c r="PUI225"/>
      <c r="PUJ225"/>
      <c r="PUK225"/>
      <c r="PUL225"/>
      <c r="PUM225"/>
      <c r="PUN225"/>
      <c r="PUO225"/>
      <c r="PUP225"/>
      <c r="PUQ225"/>
      <c r="PUR225"/>
      <c r="PUS225"/>
      <c r="PUT225"/>
      <c r="PUU225"/>
      <c r="PUV225"/>
      <c r="PUW225"/>
      <c r="PUX225"/>
      <c r="PUY225"/>
      <c r="PUZ225"/>
      <c r="PVA225"/>
      <c r="PVB225"/>
      <c r="PVC225"/>
      <c r="PVD225"/>
      <c r="PVE225"/>
      <c r="PVF225"/>
      <c r="PVG225"/>
      <c r="PVH225"/>
      <c r="PVI225"/>
      <c r="PVJ225"/>
      <c r="PVK225"/>
      <c r="PVL225"/>
      <c r="PVM225"/>
      <c r="PVN225"/>
      <c r="PVO225"/>
      <c r="PVP225"/>
      <c r="PVQ225"/>
      <c r="PVR225"/>
      <c r="PVS225"/>
      <c r="PVT225"/>
      <c r="PVU225"/>
      <c r="PVV225"/>
      <c r="PVW225"/>
      <c r="PVX225"/>
      <c r="PVY225"/>
      <c r="PVZ225"/>
      <c r="PWA225"/>
      <c r="PWB225"/>
      <c r="PWC225"/>
      <c r="PWD225"/>
      <c r="PWE225"/>
      <c r="PWF225"/>
      <c r="PWG225"/>
      <c r="PWH225"/>
      <c r="PWI225"/>
      <c r="PWJ225"/>
      <c r="PWK225"/>
      <c r="PWL225"/>
      <c r="PWM225"/>
      <c r="PWN225"/>
      <c r="PWO225"/>
      <c r="PWP225"/>
      <c r="PWQ225"/>
      <c r="PWR225"/>
      <c r="PWS225"/>
      <c r="PWT225"/>
      <c r="PWU225"/>
      <c r="PWV225"/>
      <c r="PWW225"/>
      <c r="PWX225"/>
      <c r="PWY225"/>
      <c r="PWZ225"/>
      <c r="PXA225"/>
      <c r="PXB225"/>
      <c r="PXC225"/>
      <c r="PXD225"/>
      <c r="PXE225"/>
      <c r="PXF225"/>
      <c r="PXG225"/>
      <c r="PXH225"/>
      <c r="PXI225"/>
      <c r="PXJ225"/>
      <c r="PXK225"/>
      <c r="PXL225"/>
      <c r="PXM225"/>
      <c r="PXN225"/>
      <c r="PXO225"/>
      <c r="PXP225"/>
      <c r="PXQ225"/>
      <c r="PXR225"/>
      <c r="PXS225"/>
      <c r="PXT225"/>
      <c r="PXU225"/>
      <c r="PXV225"/>
      <c r="PXW225"/>
      <c r="PXX225"/>
      <c r="PXY225"/>
      <c r="PXZ225"/>
      <c r="PYA225"/>
      <c r="PYB225"/>
      <c r="PYC225"/>
      <c r="PYD225"/>
      <c r="PYE225"/>
      <c r="PYF225"/>
      <c r="PYG225"/>
      <c r="PYH225"/>
      <c r="PYI225"/>
      <c r="PYJ225"/>
      <c r="PYK225"/>
      <c r="PYL225"/>
      <c r="PYM225"/>
      <c r="PYN225"/>
      <c r="PYO225"/>
      <c r="PYP225"/>
      <c r="PYQ225"/>
      <c r="PYR225"/>
      <c r="PYS225"/>
      <c r="PYT225"/>
      <c r="PYU225"/>
      <c r="PYV225"/>
      <c r="PYW225"/>
      <c r="PYX225"/>
      <c r="PYY225"/>
      <c r="PYZ225"/>
      <c r="PZA225"/>
      <c r="PZB225"/>
      <c r="PZC225"/>
      <c r="PZD225"/>
      <c r="PZE225"/>
      <c r="PZF225"/>
      <c r="PZG225"/>
      <c r="PZH225"/>
      <c r="PZI225"/>
      <c r="PZJ225"/>
      <c r="PZK225"/>
      <c r="PZL225"/>
      <c r="PZM225"/>
      <c r="PZN225"/>
      <c r="PZO225"/>
      <c r="PZP225"/>
      <c r="PZQ225"/>
      <c r="PZR225"/>
      <c r="PZS225"/>
      <c r="PZT225"/>
      <c r="PZU225"/>
      <c r="PZV225"/>
      <c r="PZW225"/>
      <c r="PZX225"/>
      <c r="PZY225"/>
      <c r="PZZ225"/>
      <c r="QAA225"/>
      <c r="QAB225"/>
      <c r="QAC225"/>
      <c r="QAD225"/>
      <c r="QAE225"/>
      <c r="QAF225"/>
      <c r="QAG225"/>
      <c r="QAH225"/>
      <c r="QAI225"/>
      <c r="QAJ225"/>
      <c r="QAK225"/>
      <c r="QAL225"/>
      <c r="QAM225"/>
      <c r="QAN225"/>
      <c r="QAO225"/>
      <c r="QAP225"/>
      <c r="QAQ225"/>
      <c r="QAR225"/>
      <c r="QAS225"/>
      <c r="QAT225"/>
      <c r="QAU225"/>
      <c r="QAV225"/>
      <c r="QAW225"/>
      <c r="QAX225"/>
      <c r="QAY225"/>
      <c r="QAZ225"/>
      <c r="QBA225"/>
      <c r="QBB225"/>
      <c r="QBC225"/>
      <c r="QBD225"/>
      <c r="QBE225"/>
      <c r="QBF225"/>
      <c r="QBG225"/>
      <c r="QBH225"/>
      <c r="QBI225"/>
      <c r="QBJ225"/>
      <c r="QBK225"/>
      <c r="QBL225"/>
      <c r="QBM225"/>
      <c r="QBN225"/>
      <c r="QBO225"/>
      <c r="QBP225"/>
      <c r="QBQ225"/>
      <c r="QBR225"/>
      <c r="QBS225"/>
      <c r="QBT225"/>
      <c r="QBU225"/>
      <c r="QBV225"/>
      <c r="QBW225"/>
      <c r="QBX225"/>
      <c r="QBY225"/>
      <c r="QBZ225"/>
      <c r="QCA225"/>
      <c r="QCB225"/>
      <c r="QCC225"/>
      <c r="QCD225"/>
      <c r="QCE225"/>
      <c r="QCF225"/>
      <c r="QCG225"/>
      <c r="QCH225"/>
      <c r="QCI225"/>
      <c r="QCJ225"/>
      <c r="QCK225"/>
      <c r="QCL225"/>
      <c r="QCM225"/>
      <c r="QCN225"/>
      <c r="QCO225"/>
      <c r="QCP225"/>
      <c r="QCQ225"/>
      <c r="QCR225"/>
      <c r="QCS225"/>
      <c r="QCT225"/>
      <c r="QCU225"/>
      <c r="QCV225"/>
      <c r="QCW225"/>
      <c r="QCX225"/>
      <c r="QCY225"/>
      <c r="QCZ225"/>
      <c r="QDA225"/>
      <c r="QDB225"/>
      <c r="QDC225"/>
      <c r="QDD225"/>
      <c r="QDE225"/>
      <c r="QDF225"/>
      <c r="QDG225"/>
      <c r="QDH225"/>
      <c r="QDI225"/>
      <c r="QDJ225"/>
      <c r="QDK225"/>
      <c r="QDL225"/>
      <c r="QDM225"/>
      <c r="QDN225"/>
      <c r="QDO225"/>
      <c r="QDP225"/>
      <c r="QDQ225"/>
      <c r="QDR225"/>
      <c r="QDS225"/>
      <c r="QDT225"/>
      <c r="QDU225"/>
      <c r="QDV225"/>
      <c r="QDW225"/>
      <c r="QDX225"/>
      <c r="QDY225"/>
      <c r="QDZ225"/>
      <c r="QEA225"/>
      <c r="QEB225"/>
      <c r="QEC225"/>
      <c r="QED225"/>
      <c r="QEE225"/>
      <c r="QEF225"/>
      <c r="QEG225"/>
      <c r="QEH225"/>
      <c r="QEI225"/>
      <c r="QEJ225"/>
      <c r="QEK225"/>
      <c r="QEL225"/>
      <c r="QEM225"/>
      <c r="QEN225"/>
      <c r="QEO225"/>
      <c r="QEP225"/>
      <c r="QEQ225"/>
      <c r="QER225"/>
      <c r="QES225"/>
      <c r="QET225"/>
      <c r="QEU225"/>
      <c r="QEV225"/>
      <c r="QEW225"/>
      <c r="QEX225"/>
      <c r="QEY225"/>
      <c r="QEZ225"/>
      <c r="QFA225"/>
      <c r="QFB225"/>
      <c r="QFC225"/>
      <c r="QFD225"/>
      <c r="QFE225"/>
      <c r="QFF225"/>
      <c r="QFG225"/>
      <c r="QFH225"/>
      <c r="QFI225"/>
      <c r="QFJ225"/>
      <c r="QFK225"/>
      <c r="QFL225"/>
      <c r="QFM225"/>
      <c r="QFN225"/>
      <c r="QFO225"/>
      <c r="QFP225"/>
      <c r="QFQ225"/>
      <c r="QFR225"/>
      <c r="QFS225"/>
      <c r="QFT225"/>
      <c r="QFU225"/>
      <c r="QFV225"/>
      <c r="QFW225"/>
      <c r="QFX225"/>
      <c r="QFY225"/>
      <c r="QFZ225"/>
      <c r="QGA225"/>
      <c r="QGB225"/>
      <c r="QGC225"/>
      <c r="QGD225"/>
      <c r="QGE225"/>
      <c r="QGF225"/>
      <c r="QGG225"/>
      <c r="QGH225"/>
      <c r="QGI225"/>
      <c r="QGJ225"/>
      <c r="QGK225"/>
      <c r="QGL225"/>
      <c r="QGM225"/>
      <c r="QGN225"/>
      <c r="QGO225"/>
      <c r="QGP225"/>
      <c r="QGQ225"/>
      <c r="QGR225"/>
      <c r="QGS225"/>
      <c r="QGT225"/>
      <c r="QGU225"/>
      <c r="QGV225"/>
      <c r="QGW225"/>
      <c r="QGX225"/>
      <c r="QGY225"/>
      <c r="QGZ225"/>
      <c r="QHA225"/>
      <c r="QHB225"/>
      <c r="QHC225"/>
      <c r="QHD225"/>
      <c r="QHE225"/>
      <c r="QHF225"/>
      <c r="QHG225"/>
      <c r="QHH225"/>
      <c r="QHI225"/>
      <c r="QHJ225"/>
      <c r="QHK225"/>
      <c r="QHL225"/>
      <c r="QHM225"/>
      <c r="QHN225"/>
      <c r="QHO225"/>
      <c r="QHP225"/>
      <c r="QHQ225"/>
      <c r="QHR225"/>
      <c r="QHS225"/>
      <c r="QHT225"/>
      <c r="QHU225"/>
      <c r="QHV225"/>
      <c r="QHW225"/>
      <c r="QHX225"/>
      <c r="QHY225"/>
      <c r="QHZ225"/>
      <c r="QIA225"/>
      <c r="QIB225"/>
      <c r="QIC225"/>
      <c r="QID225"/>
      <c r="QIE225"/>
      <c r="QIF225"/>
      <c r="QIG225"/>
      <c r="QIH225"/>
      <c r="QII225"/>
      <c r="QIJ225"/>
      <c r="QIK225"/>
      <c r="QIL225"/>
      <c r="QIM225"/>
      <c r="QIN225"/>
      <c r="QIO225"/>
      <c r="QIP225"/>
      <c r="QIQ225"/>
      <c r="QIR225"/>
      <c r="QIS225"/>
      <c r="QIT225"/>
      <c r="QIU225"/>
      <c r="QIV225"/>
      <c r="QIW225"/>
      <c r="QIX225"/>
      <c r="QIY225"/>
      <c r="QIZ225"/>
      <c r="QJA225"/>
      <c r="QJB225"/>
      <c r="QJC225"/>
      <c r="QJD225"/>
      <c r="QJE225"/>
      <c r="QJF225"/>
      <c r="QJG225"/>
      <c r="QJH225"/>
      <c r="QJI225"/>
      <c r="QJJ225"/>
      <c r="QJK225"/>
      <c r="QJL225"/>
      <c r="QJM225"/>
      <c r="QJN225"/>
      <c r="QJO225"/>
      <c r="QJP225"/>
      <c r="QJQ225"/>
      <c r="QJR225"/>
      <c r="QJS225"/>
      <c r="QJT225"/>
      <c r="QJU225"/>
      <c r="QJV225"/>
      <c r="QJW225"/>
      <c r="QJX225"/>
      <c r="QJY225"/>
      <c r="QJZ225"/>
      <c r="QKA225"/>
      <c r="QKB225"/>
      <c r="QKC225"/>
      <c r="QKD225"/>
      <c r="QKE225"/>
      <c r="QKF225"/>
      <c r="QKG225"/>
      <c r="QKH225"/>
      <c r="QKI225"/>
      <c r="QKJ225"/>
      <c r="QKK225"/>
      <c r="QKL225"/>
      <c r="QKM225"/>
      <c r="QKN225"/>
      <c r="QKO225"/>
      <c r="QKP225"/>
      <c r="QKQ225"/>
      <c r="QKR225"/>
      <c r="QKS225"/>
      <c r="QKT225"/>
      <c r="QKU225"/>
      <c r="QKV225"/>
      <c r="QKW225"/>
      <c r="QKX225"/>
      <c r="QKY225"/>
      <c r="QKZ225"/>
      <c r="QLA225"/>
      <c r="QLB225"/>
      <c r="QLC225"/>
      <c r="QLD225"/>
      <c r="QLE225"/>
      <c r="QLF225"/>
      <c r="QLG225"/>
      <c r="QLH225"/>
      <c r="QLI225"/>
      <c r="QLJ225"/>
      <c r="QLK225"/>
      <c r="QLL225"/>
      <c r="QLM225"/>
      <c r="QLN225"/>
      <c r="QLO225"/>
      <c r="QLP225"/>
      <c r="QLQ225"/>
      <c r="QLR225"/>
      <c r="QLS225"/>
      <c r="QLT225"/>
      <c r="QLU225"/>
      <c r="QLV225"/>
      <c r="QLW225"/>
      <c r="QLX225"/>
      <c r="QLY225"/>
      <c r="QLZ225"/>
      <c r="QMA225"/>
      <c r="QMB225"/>
      <c r="QMC225"/>
      <c r="QMD225"/>
      <c r="QME225"/>
      <c r="QMF225"/>
      <c r="QMG225"/>
      <c r="QMH225"/>
      <c r="QMI225"/>
      <c r="QMJ225"/>
      <c r="QMK225"/>
      <c r="QML225"/>
      <c r="QMM225"/>
      <c r="QMN225"/>
      <c r="QMO225"/>
      <c r="QMP225"/>
      <c r="QMQ225"/>
      <c r="QMR225"/>
      <c r="QMS225"/>
      <c r="QMT225"/>
      <c r="QMU225"/>
      <c r="QMV225"/>
      <c r="QMW225"/>
      <c r="QMX225"/>
      <c r="QMY225"/>
      <c r="QMZ225"/>
      <c r="QNA225"/>
      <c r="QNB225"/>
      <c r="QNC225"/>
      <c r="QND225"/>
      <c r="QNE225"/>
      <c r="QNF225"/>
      <c r="QNG225"/>
      <c r="QNH225"/>
      <c r="QNI225"/>
      <c r="QNJ225"/>
      <c r="QNK225"/>
      <c r="QNL225"/>
      <c r="QNM225"/>
      <c r="QNN225"/>
      <c r="QNO225"/>
      <c r="QNP225"/>
      <c r="QNQ225"/>
      <c r="QNR225"/>
      <c r="QNS225"/>
      <c r="QNT225"/>
      <c r="QNU225"/>
      <c r="QNV225"/>
      <c r="QNW225"/>
      <c r="QNX225"/>
      <c r="QNY225"/>
      <c r="QNZ225"/>
      <c r="QOA225"/>
      <c r="QOB225"/>
      <c r="QOC225"/>
      <c r="QOD225"/>
      <c r="QOE225"/>
      <c r="QOF225"/>
      <c r="QOG225"/>
      <c r="QOH225"/>
      <c r="QOI225"/>
      <c r="QOJ225"/>
      <c r="QOK225"/>
      <c r="QOL225"/>
      <c r="QOM225"/>
      <c r="QON225"/>
      <c r="QOO225"/>
      <c r="QOP225"/>
      <c r="QOQ225"/>
      <c r="QOR225"/>
      <c r="QOS225"/>
      <c r="QOT225"/>
      <c r="QOU225"/>
      <c r="QOV225"/>
      <c r="QOW225"/>
      <c r="QOX225"/>
      <c r="QOY225"/>
      <c r="QOZ225"/>
      <c r="QPA225"/>
      <c r="QPB225"/>
      <c r="QPC225"/>
      <c r="QPD225"/>
      <c r="QPE225"/>
      <c r="QPF225"/>
      <c r="QPG225"/>
      <c r="QPH225"/>
      <c r="QPI225"/>
      <c r="QPJ225"/>
      <c r="QPK225"/>
      <c r="QPL225"/>
      <c r="QPM225"/>
      <c r="QPN225"/>
      <c r="QPO225"/>
      <c r="QPP225"/>
      <c r="QPQ225"/>
      <c r="QPR225"/>
      <c r="QPS225"/>
      <c r="QPT225"/>
      <c r="QPU225"/>
      <c r="QPV225"/>
      <c r="QPW225"/>
      <c r="QPX225"/>
      <c r="QPY225"/>
      <c r="QPZ225"/>
      <c r="QQA225"/>
      <c r="QQB225"/>
      <c r="QQC225"/>
      <c r="QQD225"/>
      <c r="QQE225"/>
      <c r="QQF225"/>
      <c r="QQG225"/>
      <c r="QQH225"/>
      <c r="QQI225"/>
      <c r="QQJ225"/>
      <c r="QQK225"/>
      <c r="QQL225"/>
      <c r="QQM225"/>
      <c r="QQN225"/>
      <c r="QQO225"/>
      <c r="QQP225"/>
      <c r="QQQ225"/>
      <c r="QQR225"/>
      <c r="QQS225"/>
      <c r="QQT225"/>
      <c r="QQU225"/>
      <c r="QQV225"/>
      <c r="QQW225"/>
      <c r="QQX225"/>
      <c r="QQY225"/>
      <c r="QQZ225"/>
      <c r="QRA225"/>
      <c r="QRB225"/>
      <c r="QRC225"/>
      <c r="QRD225"/>
      <c r="QRE225"/>
      <c r="QRF225"/>
      <c r="QRG225"/>
      <c r="QRH225"/>
      <c r="QRI225"/>
      <c r="QRJ225"/>
      <c r="QRK225"/>
      <c r="QRL225"/>
      <c r="QRM225"/>
      <c r="QRN225"/>
      <c r="QRO225"/>
      <c r="QRP225"/>
      <c r="QRQ225"/>
      <c r="QRR225"/>
      <c r="QRS225"/>
      <c r="QRT225"/>
      <c r="QRU225"/>
      <c r="QRV225"/>
      <c r="QRW225"/>
      <c r="QRX225"/>
      <c r="QRY225"/>
      <c r="QRZ225"/>
      <c r="QSA225"/>
      <c r="QSB225"/>
      <c r="QSC225"/>
      <c r="QSD225"/>
      <c r="QSE225"/>
      <c r="QSF225"/>
      <c r="QSG225"/>
      <c r="QSH225"/>
      <c r="QSI225"/>
      <c r="QSJ225"/>
      <c r="QSK225"/>
      <c r="QSL225"/>
      <c r="QSM225"/>
      <c r="QSN225"/>
      <c r="QSO225"/>
      <c r="QSP225"/>
      <c r="QSQ225"/>
      <c r="QSR225"/>
      <c r="QSS225"/>
      <c r="QST225"/>
      <c r="QSU225"/>
      <c r="QSV225"/>
      <c r="QSW225"/>
      <c r="QSX225"/>
      <c r="QSY225"/>
      <c r="QSZ225"/>
      <c r="QTA225"/>
      <c r="QTB225"/>
      <c r="QTC225"/>
      <c r="QTD225"/>
      <c r="QTE225"/>
      <c r="QTF225"/>
      <c r="QTG225"/>
      <c r="QTH225"/>
      <c r="QTI225"/>
      <c r="QTJ225"/>
      <c r="QTK225"/>
      <c r="QTL225"/>
      <c r="QTM225"/>
      <c r="QTN225"/>
      <c r="QTO225"/>
      <c r="QTP225"/>
      <c r="QTQ225"/>
      <c r="QTR225"/>
      <c r="QTS225"/>
      <c r="QTT225"/>
      <c r="QTU225"/>
      <c r="QTV225"/>
      <c r="QTW225"/>
      <c r="QTX225"/>
      <c r="QTY225"/>
      <c r="QTZ225"/>
      <c r="QUA225"/>
      <c r="QUB225"/>
      <c r="QUC225"/>
      <c r="QUD225"/>
      <c r="QUE225"/>
      <c r="QUF225"/>
      <c r="QUG225"/>
      <c r="QUH225"/>
      <c r="QUI225"/>
      <c r="QUJ225"/>
      <c r="QUK225"/>
      <c r="QUL225"/>
      <c r="QUM225"/>
      <c r="QUN225"/>
      <c r="QUO225"/>
      <c r="QUP225"/>
      <c r="QUQ225"/>
      <c r="QUR225"/>
      <c r="QUS225"/>
      <c r="QUT225"/>
      <c r="QUU225"/>
      <c r="QUV225"/>
      <c r="QUW225"/>
      <c r="QUX225"/>
      <c r="QUY225"/>
      <c r="QUZ225"/>
      <c r="QVA225"/>
      <c r="QVB225"/>
      <c r="QVC225"/>
      <c r="QVD225"/>
      <c r="QVE225"/>
      <c r="QVF225"/>
      <c r="QVG225"/>
      <c r="QVH225"/>
      <c r="QVI225"/>
      <c r="QVJ225"/>
      <c r="QVK225"/>
      <c r="QVL225"/>
      <c r="QVM225"/>
      <c r="QVN225"/>
      <c r="QVO225"/>
      <c r="QVP225"/>
      <c r="QVQ225"/>
      <c r="QVR225"/>
      <c r="QVS225"/>
      <c r="QVT225"/>
      <c r="QVU225"/>
      <c r="QVV225"/>
      <c r="QVW225"/>
      <c r="QVX225"/>
      <c r="QVY225"/>
      <c r="QVZ225"/>
      <c r="QWA225"/>
      <c r="QWB225"/>
      <c r="QWC225"/>
      <c r="QWD225"/>
      <c r="QWE225"/>
      <c r="QWF225"/>
      <c r="QWG225"/>
      <c r="QWH225"/>
      <c r="QWI225"/>
      <c r="QWJ225"/>
      <c r="QWK225"/>
      <c r="QWL225"/>
      <c r="QWM225"/>
      <c r="QWN225"/>
      <c r="QWO225"/>
      <c r="QWP225"/>
      <c r="QWQ225"/>
      <c r="QWR225"/>
      <c r="QWS225"/>
      <c r="QWT225"/>
      <c r="QWU225"/>
      <c r="QWV225"/>
      <c r="QWW225"/>
      <c r="QWX225"/>
      <c r="QWY225"/>
      <c r="QWZ225"/>
      <c r="QXA225"/>
      <c r="QXB225"/>
      <c r="QXC225"/>
      <c r="QXD225"/>
      <c r="QXE225"/>
      <c r="QXF225"/>
      <c r="QXG225"/>
      <c r="QXH225"/>
      <c r="QXI225"/>
      <c r="QXJ225"/>
      <c r="QXK225"/>
      <c r="QXL225"/>
      <c r="QXM225"/>
      <c r="QXN225"/>
      <c r="QXO225"/>
      <c r="QXP225"/>
      <c r="QXQ225"/>
      <c r="QXR225"/>
      <c r="QXS225"/>
      <c r="QXT225"/>
      <c r="QXU225"/>
      <c r="QXV225"/>
      <c r="QXW225"/>
      <c r="QXX225"/>
      <c r="QXY225"/>
      <c r="QXZ225"/>
      <c r="QYA225"/>
      <c r="QYB225"/>
      <c r="QYC225"/>
      <c r="QYD225"/>
      <c r="QYE225"/>
      <c r="QYF225"/>
      <c r="QYG225"/>
      <c r="QYH225"/>
      <c r="QYI225"/>
      <c r="QYJ225"/>
      <c r="QYK225"/>
      <c r="QYL225"/>
      <c r="QYM225"/>
      <c r="QYN225"/>
      <c r="QYO225"/>
      <c r="QYP225"/>
      <c r="QYQ225"/>
      <c r="QYR225"/>
      <c r="QYS225"/>
      <c r="QYT225"/>
      <c r="QYU225"/>
      <c r="QYV225"/>
      <c r="QYW225"/>
      <c r="QYX225"/>
      <c r="QYY225"/>
      <c r="QYZ225"/>
      <c r="QZA225"/>
      <c r="QZB225"/>
      <c r="QZC225"/>
      <c r="QZD225"/>
      <c r="QZE225"/>
      <c r="QZF225"/>
      <c r="QZG225"/>
      <c r="QZH225"/>
      <c r="QZI225"/>
      <c r="QZJ225"/>
      <c r="QZK225"/>
      <c r="QZL225"/>
      <c r="QZM225"/>
      <c r="QZN225"/>
      <c r="QZO225"/>
      <c r="QZP225"/>
      <c r="QZQ225"/>
      <c r="QZR225"/>
      <c r="QZS225"/>
      <c r="QZT225"/>
      <c r="QZU225"/>
      <c r="QZV225"/>
      <c r="QZW225"/>
      <c r="QZX225"/>
      <c r="QZY225"/>
      <c r="QZZ225"/>
      <c r="RAA225"/>
      <c r="RAB225"/>
      <c r="RAC225"/>
      <c r="RAD225"/>
      <c r="RAE225"/>
      <c r="RAF225"/>
      <c r="RAG225"/>
      <c r="RAH225"/>
      <c r="RAI225"/>
      <c r="RAJ225"/>
      <c r="RAK225"/>
      <c r="RAL225"/>
      <c r="RAM225"/>
      <c r="RAN225"/>
      <c r="RAO225"/>
      <c r="RAP225"/>
      <c r="RAQ225"/>
      <c r="RAR225"/>
      <c r="RAS225"/>
      <c r="RAT225"/>
      <c r="RAU225"/>
      <c r="RAV225"/>
      <c r="RAW225"/>
      <c r="RAX225"/>
      <c r="RAY225"/>
      <c r="RAZ225"/>
      <c r="RBA225"/>
      <c r="RBB225"/>
      <c r="RBC225"/>
      <c r="RBD225"/>
      <c r="RBE225"/>
      <c r="RBF225"/>
      <c r="RBG225"/>
      <c r="RBH225"/>
      <c r="RBI225"/>
      <c r="RBJ225"/>
      <c r="RBK225"/>
      <c r="RBL225"/>
      <c r="RBM225"/>
      <c r="RBN225"/>
      <c r="RBO225"/>
      <c r="RBP225"/>
      <c r="RBQ225"/>
      <c r="RBR225"/>
      <c r="RBS225"/>
      <c r="RBT225"/>
      <c r="RBU225"/>
      <c r="RBV225"/>
      <c r="RBW225"/>
      <c r="RBX225"/>
      <c r="RBY225"/>
      <c r="RBZ225"/>
      <c r="RCA225"/>
      <c r="RCB225"/>
      <c r="RCC225"/>
      <c r="RCD225"/>
      <c r="RCE225"/>
      <c r="RCF225"/>
      <c r="RCG225"/>
      <c r="RCH225"/>
      <c r="RCI225"/>
      <c r="RCJ225"/>
      <c r="RCK225"/>
      <c r="RCL225"/>
      <c r="RCM225"/>
      <c r="RCN225"/>
      <c r="RCO225"/>
      <c r="RCP225"/>
      <c r="RCQ225"/>
      <c r="RCR225"/>
      <c r="RCS225"/>
      <c r="RCT225"/>
      <c r="RCU225"/>
      <c r="RCV225"/>
      <c r="RCW225"/>
      <c r="RCX225"/>
      <c r="RCY225"/>
      <c r="RCZ225"/>
      <c r="RDA225"/>
      <c r="RDB225"/>
      <c r="RDC225"/>
      <c r="RDD225"/>
      <c r="RDE225"/>
      <c r="RDF225"/>
      <c r="RDG225"/>
      <c r="RDH225"/>
      <c r="RDI225"/>
      <c r="RDJ225"/>
      <c r="RDK225"/>
      <c r="RDL225"/>
      <c r="RDM225"/>
      <c r="RDN225"/>
      <c r="RDO225"/>
      <c r="RDP225"/>
      <c r="RDQ225"/>
      <c r="RDR225"/>
      <c r="RDS225"/>
      <c r="RDT225"/>
      <c r="RDU225"/>
      <c r="RDV225"/>
      <c r="RDW225"/>
      <c r="RDX225"/>
      <c r="RDY225"/>
      <c r="RDZ225"/>
      <c r="REA225"/>
      <c r="REB225"/>
      <c r="REC225"/>
      <c r="RED225"/>
      <c r="REE225"/>
      <c r="REF225"/>
      <c r="REG225"/>
      <c r="REH225"/>
      <c r="REI225"/>
      <c r="REJ225"/>
      <c r="REK225"/>
      <c r="REL225"/>
      <c r="REM225"/>
      <c r="REN225"/>
      <c r="REO225"/>
      <c r="REP225"/>
      <c r="REQ225"/>
      <c r="RER225"/>
      <c r="RES225"/>
      <c r="RET225"/>
      <c r="REU225"/>
      <c r="REV225"/>
      <c r="REW225"/>
      <c r="REX225"/>
      <c r="REY225"/>
      <c r="REZ225"/>
      <c r="RFA225"/>
      <c r="RFB225"/>
      <c r="RFC225"/>
      <c r="RFD225"/>
      <c r="RFE225"/>
      <c r="RFF225"/>
      <c r="RFG225"/>
      <c r="RFH225"/>
      <c r="RFI225"/>
      <c r="RFJ225"/>
      <c r="RFK225"/>
      <c r="RFL225"/>
      <c r="RFM225"/>
      <c r="RFN225"/>
      <c r="RFO225"/>
      <c r="RFP225"/>
      <c r="RFQ225"/>
      <c r="RFR225"/>
      <c r="RFS225"/>
      <c r="RFT225"/>
      <c r="RFU225"/>
      <c r="RFV225"/>
      <c r="RFW225"/>
      <c r="RFX225"/>
      <c r="RFY225"/>
      <c r="RFZ225"/>
      <c r="RGA225"/>
      <c r="RGB225"/>
      <c r="RGC225"/>
      <c r="RGD225"/>
      <c r="RGE225"/>
      <c r="RGF225"/>
      <c r="RGG225"/>
      <c r="RGH225"/>
      <c r="RGI225"/>
      <c r="RGJ225"/>
      <c r="RGK225"/>
      <c r="RGL225"/>
      <c r="RGM225"/>
      <c r="RGN225"/>
      <c r="RGO225"/>
      <c r="RGP225"/>
      <c r="RGQ225"/>
      <c r="RGR225"/>
      <c r="RGS225"/>
      <c r="RGT225"/>
      <c r="RGU225"/>
      <c r="RGV225"/>
      <c r="RGW225"/>
      <c r="RGX225"/>
      <c r="RGY225"/>
      <c r="RGZ225"/>
      <c r="RHA225"/>
      <c r="RHB225"/>
      <c r="RHC225"/>
      <c r="RHD225"/>
      <c r="RHE225"/>
      <c r="RHF225"/>
      <c r="RHG225"/>
      <c r="RHH225"/>
      <c r="RHI225"/>
      <c r="RHJ225"/>
      <c r="RHK225"/>
      <c r="RHL225"/>
      <c r="RHM225"/>
      <c r="RHN225"/>
      <c r="RHO225"/>
      <c r="RHP225"/>
      <c r="RHQ225"/>
      <c r="RHR225"/>
      <c r="RHS225"/>
      <c r="RHT225"/>
      <c r="RHU225"/>
      <c r="RHV225"/>
      <c r="RHW225"/>
      <c r="RHX225"/>
      <c r="RHY225"/>
      <c r="RHZ225"/>
      <c r="RIA225"/>
      <c r="RIB225"/>
      <c r="RIC225"/>
      <c r="RID225"/>
      <c r="RIE225"/>
      <c r="RIF225"/>
      <c r="RIG225"/>
      <c r="RIH225"/>
      <c r="RII225"/>
      <c r="RIJ225"/>
      <c r="RIK225"/>
      <c r="RIL225"/>
      <c r="RIM225"/>
      <c r="RIN225"/>
      <c r="RIO225"/>
      <c r="RIP225"/>
      <c r="RIQ225"/>
      <c r="RIR225"/>
      <c r="RIS225"/>
      <c r="RIT225"/>
      <c r="RIU225"/>
      <c r="RIV225"/>
      <c r="RIW225"/>
      <c r="RIX225"/>
      <c r="RIY225"/>
      <c r="RIZ225"/>
      <c r="RJA225"/>
      <c r="RJB225"/>
      <c r="RJC225"/>
      <c r="RJD225"/>
      <c r="RJE225"/>
      <c r="RJF225"/>
      <c r="RJG225"/>
      <c r="RJH225"/>
      <c r="RJI225"/>
      <c r="RJJ225"/>
      <c r="RJK225"/>
      <c r="RJL225"/>
      <c r="RJM225"/>
      <c r="RJN225"/>
      <c r="RJO225"/>
      <c r="RJP225"/>
      <c r="RJQ225"/>
      <c r="RJR225"/>
      <c r="RJS225"/>
      <c r="RJT225"/>
      <c r="RJU225"/>
      <c r="RJV225"/>
      <c r="RJW225"/>
      <c r="RJX225"/>
      <c r="RJY225"/>
      <c r="RJZ225"/>
      <c r="RKA225"/>
      <c r="RKB225"/>
      <c r="RKC225"/>
      <c r="RKD225"/>
      <c r="RKE225"/>
      <c r="RKF225"/>
      <c r="RKG225"/>
      <c r="RKH225"/>
      <c r="RKI225"/>
      <c r="RKJ225"/>
      <c r="RKK225"/>
      <c r="RKL225"/>
      <c r="RKM225"/>
      <c r="RKN225"/>
      <c r="RKO225"/>
      <c r="RKP225"/>
      <c r="RKQ225"/>
      <c r="RKR225"/>
      <c r="RKS225"/>
      <c r="RKT225"/>
      <c r="RKU225"/>
      <c r="RKV225"/>
      <c r="RKW225"/>
      <c r="RKX225"/>
      <c r="RKY225"/>
      <c r="RKZ225"/>
      <c r="RLA225"/>
      <c r="RLB225"/>
      <c r="RLC225"/>
      <c r="RLD225"/>
      <c r="RLE225"/>
      <c r="RLF225"/>
      <c r="RLG225"/>
      <c r="RLH225"/>
      <c r="RLI225"/>
      <c r="RLJ225"/>
      <c r="RLK225"/>
      <c r="RLL225"/>
      <c r="RLM225"/>
      <c r="RLN225"/>
      <c r="RLO225"/>
      <c r="RLP225"/>
      <c r="RLQ225"/>
      <c r="RLR225"/>
      <c r="RLS225"/>
      <c r="RLT225"/>
      <c r="RLU225"/>
      <c r="RLV225"/>
      <c r="RLW225"/>
      <c r="RLX225"/>
      <c r="RLY225"/>
      <c r="RLZ225"/>
      <c r="RMA225"/>
      <c r="RMB225"/>
      <c r="RMC225"/>
      <c r="RMD225"/>
      <c r="RME225"/>
      <c r="RMF225"/>
      <c r="RMG225"/>
      <c r="RMH225"/>
      <c r="RMI225"/>
      <c r="RMJ225"/>
      <c r="RMK225"/>
      <c r="RML225"/>
      <c r="RMM225"/>
      <c r="RMN225"/>
      <c r="RMO225"/>
      <c r="RMP225"/>
      <c r="RMQ225"/>
      <c r="RMR225"/>
      <c r="RMS225"/>
      <c r="RMT225"/>
      <c r="RMU225"/>
      <c r="RMV225"/>
      <c r="RMW225"/>
      <c r="RMX225"/>
      <c r="RMY225"/>
      <c r="RMZ225"/>
      <c r="RNA225"/>
      <c r="RNB225"/>
      <c r="RNC225"/>
      <c r="RND225"/>
      <c r="RNE225"/>
      <c r="RNF225"/>
      <c r="RNG225"/>
      <c r="RNH225"/>
      <c r="RNI225"/>
      <c r="RNJ225"/>
      <c r="RNK225"/>
      <c r="RNL225"/>
      <c r="RNM225"/>
      <c r="RNN225"/>
      <c r="RNO225"/>
      <c r="RNP225"/>
      <c r="RNQ225"/>
      <c r="RNR225"/>
      <c r="RNS225"/>
      <c r="RNT225"/>
      <c r="RNU225"/>
      <c r="RNV225"/>
      <c r="RNW225"/>
      <c r="RNX225"/>
      <c r="RNY225"/>
      <c r="RNZ225"/>
      <c r="ROA225"/>
      <c r="ROB225"/>
      <c r="ROC225"/>
      <c r="ROD225"/>
      <c r="ROE225"/>
      <c r="ROF225"/>
      <c r="ROG225"/>
      <c r="ROH225"/>
      <c r="ROI225"/>
      <c r="ROJ225"/>
      <c r="ROK225"/>
      <c r="ROL225"/>
      <c r="ROM225"/>
      <c r="RON225"/>
      <c r="ROO225"/>
      <c r="ROP225"/>
      <c r="ROQ225"/>
      <c r="ROR225"/>
      <c r="ROS225"/>
      <c r="ROT225"/>
      <c r="ROU225"/>
      <c r="ROV225"/>
      <c r="ROW225"/>
      <c r="ROX225"/>
      <c r="ROY225"/>
      <c r="ROZ225"/>
      <c r="RPA225"/>
      <c r="RPB225"/>
      <c r="RPC225"/>
      <c r="RPD225"/>
      <c r="RPE225"/>
      <c r="RPF225"/>
      <c r="RPG225"/>
      <c r="RPH225"/>
      <c r="RPI225"/>
      <c r="RPJ225"/>
      <c r="RPK225"/>
      <c r="RPL225"/>
      <c r="RPM225"/>
      <c r="RPN225"/>
      <c r="RPO225"/>
      <c r="RPP225"/>
      <c r="RPQ225"/>
      <c r="RPR225"/>
      <c r="RPS225"/>
      <c r="RPT225"/>
      <c r="RPU225"/>
      <c r="RPV225"/>
      <c r="RPW225"/>
      <c r="RPX225"/>
      <c r="RPY225"/>
      <c r="RPZ225"/>
      <c r="RQA225"/>
      <c r="RQB225"/>
      <c r="RQC225"/>
      <c r="RQD225"/>
      <c r="RQE225"/>
      <c r="RQF225"/>
      <c r="RQG225"/>
      <c r="RQH225"/>
      <c r="RQI225"/>
      <c r="RQJ225"/>
      <c r="RQK225"/>
      <c r="RQL225"/>
      <c r="RQM225"/>
      <c r="RQN225"/>
      <c r="RQO225"/>
      <c r="RQP225"/>
      <c r="RQQ225"/>
      <c r="RQR225"/>
      <c r="RQS225"/>
      <c r="RQT225"/>
      <c r="RQU225"/>
      <c r="RQV225"/>
      <c r="RQW225"/>
      <c r="RQX225"/>
      <c r="RQY225"/>
      <c r="RQZ225"/>
      <c r="RRA225"/>
      <c r="RRB225"/>
      <c r="RRC225"/>
      <c r="RRD225"/>
      <c r="RRE225"/>
      <c r="RRF225"/>
      <c r="RRG225"/>
      <c r="RRH225"/>
      <c r="RRI225"/>
      <c r="RRJ225"/>
      <c r="RRK225"/>
      <c r="RRL225"/>
      <c r="RRM225"/>
      <c r="RRN225"/>
      <c r="RRO225"/>
      <c r="RRP225"/>
      <c r="RRQ225"/>
      <c r="RRR225"/>
      <c r="RRS225"/>
      <c r="RRT225"/>
      <c r="RRU225"/>
      <c r="RRV225"/>
      <c r="RRW225"/>
      <c r="RRX225"/>
      <c r="RRY225"/>
      <c r="RRZ225"/>
      <c r="RSA225"/>
      <c r="RSB225"/>
      <c r="RSC225"/>
      <c r="RSD225"/>
      <c r="RSE225"/>
      <c r="RSF225"/>
      <c r="RSG225"/>
      <c r="RSH225"/>
      <c r="RSI225"/>
      <c r="RSJ225"/>
      <c r="RSK225"/>
      <c r="RSL225"/>
      <c r="RSM225"/>
      <c r="RSN225"/>
      <c r="RSO225"/>
      <c r="RSP225"/>
      <c r="RSQ225"/>
      <c r="RSR225"/>
      <c r="RSS225"/>
      <c r="RST225"/>
      <c r="RSU225"/>
      <c r="RSV225"/>
      <c r="RSW225"/>
      <c r="RSX225"/>
      <c r="RSY225"/>
      <c r="RSZ225"/>
      <c r="RTA225"/>
      <c r="RTB225"/>
      <c r="RTC225"/>
      <c r="RTD225"/>
      <c r="RTE225"/>
      <c r="RTF225"/>
      <c r="RTG225"/>
      <c r="RTH225"/>
      <c r="RTI225"/>
      <c r="RTJ225"/>
      <c r="RTK225"/>
      <c r="RTL225"/>
      <c r="RTM225"/>
      <c r="RTN225"/>
      <c r="RTO225"/>
      <c r="RTP225"/>
      <c r="RTQ225"/>
      <c r="RTR225"/>
      <c r="RTS225"/>
      <c r="RTT225"/>
      <c r="RTU225"/>
      <c r="RTV225"/>
      <c r="RTW225"/>
      <c r="RTX225"/>
      <c r="RTY225"/>
      <c r="RTZ225"/>
      <c r="RUA225"/>
      <c r="RUB225"/>
      <c r="RUC225"/>
      <c r="RUD225"/>
      <c r="RUE225"/>
      <c r="RUF225"/>
      <c r="RUG225"/>
      <c r="RUH225"/>
      <c r="RUI225"/>
      <c r="RUJ225"/>
      <c r="RUK225"/>
      <c r="RUL225"/>
      <c r="RUM225"/>
      <c r="RUN225"/>
      <c r="RUO225"/>
      <c r="RUP225"/>
      <c r="RUQ225"/>
      <c r="RUR225"/>
      <c r="RUS225"/>
      <c r="RUT225"/>
      <c r="RUU225"/>
      <c r="RUV225"/>
      <c r="RUW225"/>
      <c r="RUX225"/>
      <c r="RUY225"/>
      <c r="RUZ225"/>
      <c r="RVA225"/>
      <c r="RVB225"/>
      <c r="RVC225"/>
      <c r="RVD225"/>
      <c r="RVE225"/>
      <c r="RVF225"/>
      <c r="RVG225"/>
      <c r="RVH225"/>
      <c r="RVI225"/>
      <c r="RVJ225"/>
      <c r="RVK225"/>
      <c r="RVL225"/>
      <c r="RVM225"/>
      <c r="RVN225"/>
      <c r="RVO225"/>
      <c r="RVP225"/>
      <c r="RVQ225"/>
      <c r="RVR225"/>
      <c r="RVS225"/>
      <c r="RVT225"/>
      <c r="RVU225"/>
      <c r="RVV225"/>
      <c r="RVW225"/>
      <c r="RVX225"/>
      <c r="RVY225"/>
      <c r="RVZ225"/>
      <c r="RWA225"/>
      <c r="RWB225"/>
      <c r="RWC225"/>
      <c r="RWD225"/>
      <c r="RWE225"/>
      <c r="RWF225"/>
      <c r="RWG225"/>
      <c r="RWH225"/>
      <c r="RWI225"/>
      <c r="RWJ225"/>
      <c r="RWK225"/>
      <c r="RWL225"/>
      <c r="RWM225"/>
      <c r="RWN225"/>
      <c r="RWO225"/>
      <c r="RWP225"/>
      <c r="RWQ225"/>
      <c r="RWR225"/>
      <c r="RWS225"/>
      <c r="RWT225"/>
      <c r="RWU225"/>
      <c r="RWV225"/>
      <c r="RWW225"/>
      <c r="RWX225"/>
      <c r="RWY225"/>
      <c r="RWZ225"/>
      <c r="RXA225"/>
      <c r="RXB225"/>
      <c r="RXC225"/>
      <c r="RXD225"/>
      <c r="RXE225"/>
      <c r="RXF225"/>
      <c r="RXG225"/>
      <c r="RXH225"/>
      <c r="RXI225"/>
      <c r="RXJ225"/>
      <c r="RXK225"/>
      <c r="RXL225"/>
      <c r="RXM225"/>
      <c r="RXN225"/>
      <c r="RXO225"/>
      <c r="RXP225"/>
      <c r="RXQ225"/>
      <c r="RXR225"/>
      <c r="RXS225"/>
      <c r="RXT225"/>
      <c r="RXU225"/>
      <c r="RXV225"/>
      <c r="RXW225"/>
      <c r="RXX225"/>
      <c r="RXY225"/>
      <c r="RXZ225"/>
      <c r="RYA225"/>
      <c r="RYB225"/>
      <c r="RYC225"/>
      <c r="RYD225"/>
      <c r="RYE225"/>
      <c r="RYF225"/>
      <c r="RYG225"/>
      <c r="RYH225"/>
      <c r="RYI225"/>
      <c r="RYJ225"/>
      <c r="RYK225"/>
      <c r="RYL225"/>
      <c r="RYM225"/>
      <c r="RYN225"/>
      <c r="RYO225"/>
      <c r="RYP225"/>
      <c r="RYQ225"/>
      <c r="RYR225"/>
      <c r="RYS225"/>
      <c r="RYT225"/>
      <c r="RYU225"/>
      <c r="RYV225"/>
      <c r="RYW225"/>
      <c r="RYX225"/>
      <c r="RYY225"/>
      <c r="RYZ225"/>
      <c r="RZA225"/>
      <c r="RZB225"/>
      <c r="RZC225"/>
      <c r="RZD225"/>
      <c r="RZE225"/>
      <c r="RZF225"/>
      <c r="RZG225"/>
      <c r="RZH225"/>
      <c r="RZI225"/>
      <c r="RZJ225"/>
      <c r="RZK225"/>
      <c r="RZL225"/>
      <c r="RZM225"/>
      <c r="RZN225"/>
      <c r="RZO225"/>
      <c r="RZP225"/>
      <c r="RZQ225"/>
      <c r="RZR225"/>
      <c r="RZS225"/>
      <c r="RZT225"/>
      <c r="RZU225"/>
      <c r="RZV225"/>
      <c r="RZW225"/>
      <c r="RZX225"/>
      <c r="RZY225"/>
      <c r="RZZ225"/>
      <c r="SAA225"/>
      <c r="SAB225"/>
      <c r="SAC225"/>
      <c r="SAD225"/>
      <c r="SAE225"/>
      <c r="SAF225"/>
      <c r="SAG225"/>
      <c r="SAH225"/>
      <c r="SAI225"/>
      <c r="SAJ225"/>
      <c r="SAK225"/>
      <c r="SAL225"/>
      <c r="SAM225"/>
      <c r="SAN225"/>
      <c r="SAO225"/>
      <c r="SAP225"/>
      <c r="SAQ225"/>
      <c r="SAR225"/>
      <c r="SAS225"/>
      <c r="SAT225"/>
      <c r="SAU225"/>
      <c r="SAV225"/>
      <c r="SAW225"/>
      <c r="SAX225"/>
      <c r="SAY225"/>
      <c r="SAZ225"/>
      <c r="SBA225"/>
      <c r="SBB225"/>
      <c r="SBC225"/>
      <c r="SBD225"/>
      <c r="SBE225"/>
      <c r="SBF225"/>
      <c r="SBG225"/>
      <c r="SBH225"/>
      <c r="SBI225"/>
      <c r="SBJ225"/>
      <c r="SBK225"/>
      <c r="SBL225"/>
      <c r="SBM225"/>
      <c r="SBN225"/>
      <c r="SBO225"/>
      <c r="SBP225"/>
      <c r="SBQ225"/>
      <c r="SBR225"/>
      <c r="SBS225"/>
      <c r="SBT225"/>
      <c r="SBU225"/>
      <c r="SBV225"/>
      <c r="SBW225"/>
      <c r="SBX225"/>
      <c r="SBY225"/>
      <c r="SBZ225"/>
      <c r="SCA225"/>
      <c r="SCB225"/>
      <c r="SCC225"/>
      <c r="SCD225"/>
      <c r="SCE225"/>
      <c r="SCF225"/>
      <c r="SCG225"/>
      <c r="SCH225"/>
      <c r="SCI225"/>
      <c r="SCJ225"/>
      <c r="SCK225"/>
      <c r="SCL225"/>
      <c r="SCM225"/>
      <c r="SCN225"/>
      <c r="SCO225"/>
      <c r="SCP225"/>
      <c r="SCQ225"/>
      <c r="SCR225"/>
      <c r="SCS225"/>
      <c r="SCT225"/>
      <c r="SCU225"/>
      <c r="SCV225"/>
      <c r="SCW225"/>
      <c r="SCX225"/>
      <c r="SCY225"/>
      <c r="SCZ225"/>
      <c r="SDA225"/>
      <c r="SDB225"/>
      <c r="SDC225"/>
      <c r="SDD225"/>
      <c r="SDE225"/>
      <c r="SDF225"/>
      <c r="SDG225"/>
      <c r="SDH225"/>
      <c r="SDI225"/>
      <c r="SDJ225"/>
      <c r="SDK225"/>
      <c r="SDL225"/>
      <c r="SDM225"/>
      <c r="SDN225"/>
      <c r="SDO225"/>
      <c r="SDP225"/>
      <c r="SDQ225"/>
      <c r="SDR225"/>
      <c r="SDS225"/>
      <c r="SDT225"/>
      <c r="SDU225"/>
      <c r="SDV225"/>
      <c r="SDW225"/>
      <c r="SDX225"/>
      <c r="SDY225"/>
      <c r="SDZ225"/>
      <c r="SEA225"/>
      <c r="SEB225"/>
      <c r="SEC225"/>
      <c r="SED225"/>
      <c r="SEE225"/>
      <c r="SEF225"/>
      <c r="SEG225"/>
      <c r="SEH225"/>
      <c r="SEI225"/>
      <c r="SEJ225"/>
      <c r="SEK225"/>
      <c r="SEL225"/>
      <c r="SEM225"/>
      <c r="SEN225"/>
      <c r="SEO225"/>
      <c r="SEP225"/>
      <c r="SEQ225"/>
      <c r="SER225"/>
      <c r="SES225"/>
      <c r="SET225"/>
      <c r="SEU225"/>
      <c r="SEV225"/>
      <c r="SEW225"/>
      <c r="SEX225"/>
      <c r="SEY225"/>
      <c r="SEZ225"/>
      <c r="SFA225"/>
      <c r="SFB225"/>
      <c r="SFC225"/>
      <c r="SFD225"/>
      <c r="SFE225"/>
      <c r="SFF225"/>
      <c r="SFG225"/>
      <c r="SFH225"/>
      <c r="SFI225"/>
      <c r="SFJ225"/>
      <c r="SFK225"/>
      <c r="SFL225"/>
      <c r="SFM225"/>
      <c r="SFN225"/>
      <c r="SFO225"/>
      <c r="SFP225"/>
      <c r="SFQ225"/>
      <c r="SFR225"/>
      <c r="SFS225"/>
      <c r="SFT225"/>
      <c r="SFU225"/>
      <c r="SFV225"/>
      <c r="SFW225"/>
      <c r="SFX225"/>
      <c r="SFY225"/>
      <c r="SFZ225"/>
      <c r="SGA225"/>
      <c r="SGB225"/>
      <c r="SGC225"/>
      <c r="SGD225"/>
      <c r="SGE225"/>
      <c r="SGF225"/>
      <c r="SGG225"/>
      <c r="SGH225"/>
      <c r="SGI225"/>
      <c r="SGJ225"/>
      <c r="SGK225"/>
      <c r="SGL225"/>
      <c r="SGM225"/>
      <c r="SGN225"/>
      <c r="SGO225"/>
      <c r="SGP225"/>
      <c r="SGQ225"/>
      <c r="SGR225"/>
      <c r="SGS225"/>
      <c r="SGT225"/>
      <c r="SGU225"/>
      <c r="SGV225"/>
      <c r="SGW225"/>
      <c r="SGX225"/>
      <c r="SGY225"/>
      <c r="SGZ225"/>
      <c r="SHA225"/>
      <c r="SHB225"/>
      <c r="SHC225"/>
      <c r="SHD225"/>
      <c r="SHE225"/>
      <c r="SHF225"/>
      <c r="SHG225"/>
      <c r="SHH225"/>
      <c r="SHI225"/>
      <c r="SHJ225"/>
      <c r="SHK225"/>
      <c r="SHL225"/>
      <c r="SHM225"/>
      <c r="SHN225"/>
      <c r="SHO225"/>
      <c r="SHP225"/>
      <c r="SHQ225"/>
      <c r="SHR225"/>
      <c r="SHS225"/>
      <c r="SHT225"/>
      <c r="SHU225"/>
      <c r="SHV225"/>
      <c r="SHW225"/>
      <c r="SHX225"/>
      <c r="SHY225"/>
      <c r="SHZ225"/>
      <c r="SIA225"/>
      <c r="SIB225"/>
      <c r="SIC225"/>
      <c r="SID225"/>
      <c r="SIE225"/>
      <c r="SIF225"/>
      <c r="SIG225"/>
      <c r="SIH225"/>
      <c r="SII225"/>
      <c r="SIJ225"/>
      <c r="SIK225"/>
      <c r="SIL225"/>
      <c r="SIM225"/>
      <c r="SIN225"/>
      <c r="SIO225"/>
      <c r="SIP225"/>
      <c r="SIQ225"/>
      <c r="SIR225"/>
      <c r="SIS225"/>
      <c r="SIT225"/>
      <c r="SIU225"/>
      <c r="SIV225"/>
      <c r="SIW225"/>
      <c r="SIX225"/>
      <c r="SIY225"/>
      <c r="SIZ225"/>
      <c r="SJA225"/>
      <c r="SJB225"/>
      <c r="SJC225"/>
      <c r="SJD225"/>
      <c r="SJE225"/>
      <c r="SJF225"/>
      <c r="SJG225"/>
      <c r="SJH225"/>
      <c r="SJI225"/>
      <c r="SJJ225"/>
      <c r="SJK225"/>
      <c r="SJL225"/>
      <c r="SJM225"/>
      <c r="SJN225"/>
      <c r="SJO225"/>
      <c r="SJP225"/>
      <c r="SJQ225"/>
      <c r="SJR225"/>
      <c r="SJS225"/>
      <c r="SJT225"/>
      <c r="SJU225"/>
      <c r="SJV225"/>
      <c r="SJW225"/>
      <c r="SJX225"/>
      <c r="SJY225"/>
      <c r="SJZ225"/>
      <c r="SKA225"/>
      <c r="SKB225"/>
      <c r="SKC225"/>
      <c r="SKD225"/>
      <c r="SKE225"/>
      <c r="SKF225"/>
      <c r="SKG225"/>
      <c r="SKH225"/>
      <c r="SKI225"/>
      <c r="SKJ225"/>
      <c r="SKK225"/>
      <c r="SKL225"/>
      <c r="SKM225"/>
      <c r="SKN225"/>
      <c r="SKO225"/>
      <c r="SKP225"/>
      <c r="SKQ225"/>
      <c r="SKR225"/>
      <c r="SKS225"/>
      <c r="SKT225"/>
      <c r="SKU225"/>
      <c r="SKV225"/>
      <c r="SKW225"/>
      <c r="SKX225"/>
      <c r="SKY225"/>
      <c r="SKZ225"/>
      <c r="SLA225"/>
      <c r="SLB225"/>
      <c r="SLC225"/>
      <c r="SLD225"/>
      <c r="SLE225"/>
      <c r="SLF225"/>
      <c r="SLG225"/>
      <c r="SLH225"/>
      <c r="SLI225"/>
      <c r="SLJ225"/>
      <c r="SLK225"/>
      <c r="SLL225"/>
      <c r="SLM225"/>
      <c r="SLN225"/>
      <c r="SLO225"/>
      <c r="SLP225"/>
      <c r="SLQ225"/>
      <c r="SLR225"/>
      <c r="SLS225"/>
      <c r="SLT225"/>
      <c r="SLU225"/>
      <c r="SLV225"/>
      <c r="SLW225"/>
      <c r="SLX225"/>
      <c r="SLY225"/>
      <c r="SLZ225"/>
      <c r="SMA225"/>
      <c r="SMB225"/>
      <c r="SMC225"/>
      <c r="SMD225"/>
      <c r="SME225"/>
      <c r="SMF225"/>
      <c r="SMG225"/>
      <c r="SMH225"/>
      <c r="SMI225"/>
      <c r="SMJ225"/>
      <c r="SMK225"/>
      <c r="SML225"/>
      <c r="SMM225"/>
      <c r="SMN225"/>
      <c r="SMO225"/>
      <c r="SMP225"/>
      <c r="SMQ225"/>
      <c r="SMR225"/>
      <c r="SMS225"/>
      <c r="SMT225"/>
      <c r="SMU225"/>
      <c r="SMV225"/>
      <c r="SMW225"/>
      <c r="SMX225"/>
      <c r="SMY225"/>
      <c r="SMZ225"/>
      <c r="SNA225"/>
      <c r="SNB225"/>
      <c r="SNC225"/>
      <c r="SND225"/>
      <c r="SNE225"/>
      <c r="SNF225"/>
      <c r="SNG225"/>
      <c r="SNH225"/>
      <c r="SNI225"/>
      <c r="SNJ225"/>
      <c r="SNK225"/>
      <c r="SNL225"/>
      <c r="SNM225"/>
      <c r="SNN225"/>
      <c r="SNO225"/>
      <c r="SNP225"/>
      <c r="SNQ225"/>
      <c r="SNR225"/>
      <c r="SNS225"/>
      <c r="SNT225"/>
      <c r="SNU225"/>
      <c r="SNV225"/>
      <c r="SNW225"/>
      <c r="SNX225"/>
      <c r="SNY225"/>
      <c r="SNZ225"/>
      <c r="SOA225"/>
      <c r="SOB225"/>
      <c r="SOC225"/>
      <c r="SOD225"/>
      <c r="SOE225"/>
      <c r="SOF225"/>
      <c r="SOG225"/>
      <c r="SOH225"/>
      <c r="SOI225"/>
      <c r="SOJ225"/>
      <c r="SOK225"/>
      <c r="SOL225"/>
      <c r="SOM225"/>
      <c r="SON225"/>
      <c r="SOO225"/>
      <c r="SOP225"/>
      <c r="SOQ225"/>
      <c r="SOR225"/>
      <c r="SOS225"/>
      <c r="SOT225"/>
      <c r="SOU225"/>
      <c r="SOV225"/>
      <c r="SOW225"/>
      <c r="SOX225"/>
      <c r="SOY225"/>
      <c r="SOZ225"/>
      <c r="SPA225"/>
      <c r="SPB225"/>
      <c r="SPC225"/>
      <c r="SPD225"/>
      <c r="SPE225"/>
      <c r="SPF225"/>
      <c r="SPG225"/>
      <c r="SPH225"/>
      <c r="SPI225"/>
      <c r="SPJ225"/>
      <c r="SPK225"/>
      <c r="SPL225"/>
      <c r="SPM225"/>
      <c r="SPN225"/>
      <c r="SPO225"/>
      <c r="SPP225"/>
      <c r="SPQ225"/>
      <c r="SPR225"/>
      <c r="SPS225"/>
      <c r="SPT225"/>
      <c r="SPU225"/>
      <c r="SPV225"/>
      <c r="SPW225"/>
      <c r="SPX225"/>
      <c r="SPY225"/>
      <c r="SPZ225"/>
      <c r="SQA225"/>
      <c r="SQB225"/>
      <c r="SQC225"/>
      <c r="SQD225"/>
      <c r="SQE225"/>
      <c r="SQF225"/>
      <c r="SQG225"/>
      <c r="SQH225"/>
      <c r="SQI225"/>
      <c r="SQJ225"/>
      <c r="SQK225"/>
      <c r="SQL225"/>
      <c r="SQM225"/>
      <c r="SQN225"/>
      <c r="SQO225"/>
      <c r="SQP225"/>
      <c r="SQQ225"/>
      <c r="SQR225"/>
      <c r="SQS225"/>
      <c r="SQT225"/>
      <c r="SQU225"/>
      <c r="SQV225"/>
      <c r="SQW225"/>
      <c r="SQX225"/>
      <c r="SQY225"/>
      <c r="SQZ225"/>
      <c r="SRA225"/>
      <c r="SRB225"/>
      <c r="SRC225"/>
      <c r="SRD225"/>
      <c r="SRE225"/>
      <c r="SRF225"/>
      <c r="SRG225"/>
      <c r="SRH225"/>
      <c r="SRI225"/>
      <c r="SRJ225"/>
      <c r="SRK225"/>
      <c r="SRL225"/>
      <c r="SRM225"/>
      <c r="SRN225"/>
      <c r="SRO225"/>
      <c r="SRP225"/>
      <c r="SRQ225"/>
      <c r="SRR225"/>
      <c r="SRS225"/>
      <c r="SRT225"/>
      <c r="SRU225"/>
      <c r="SRV225"/>
      <c r="SRW225"/>
      <c r="SRX225"/>
      <c r="SRY225"/>
      <c r="SRZ225"/>
      <c r="SSA225"/>
      <c r="SSB225"/>
      <c r="SSC225"/>
      <c r="SSD225"/>
      <c r="SSE225"/>
      <c r="SSF225"/>
      <c r="SSG225"/>
      <c r="SSH225"/>
      <c r="SSI225"/>
      <c r="SSJ225"/>
      <c r="SSK225"/>
      <c r="SSL225"/>
      <c r="SSM225"/>
      <c r="SSN225"/>
      <c r="SSO225"/>
      <c r="SSP225"/>
      <c r="SSQ225"/>
      <c r="SSR225"/>
      <c r="SSS225"/>
      <c r="SST225"/>
      <c r="SSU225"/>
      <c r="SSV225"/>
      <c r="SSW225"/>
      <c r="SSX225"/>
      <c r="SSY225"/>
      <c r="SSZ225"/>
      <c r="STA225"/>
      <c r="STB225"/>
      <c r="STC225"/>
      <c r="STD225"/>
      <c r="STE225"/>
      <c r="STF225"/>
      <c r="STG225"/>
      <c r="STH225"/>
      <c r="STI225"/>
      <c r="STJ225"/>
      <c r="STK225"/>
      <c r="STL225"/>
      <c r="STM225"/>
      <c r="STN225"/>
      <c r="STO225"/>
      <c r="STP225"/>
      <c r="STQ225"/>
      <c r="STR225"/>
      <c r="STS225"/>
      <c r="STT225"/>
      <c r="STU225"/>
      <c r="STV225"/>
      <c r="STW225"/>
      <c r="STX225"/>
      <c r="STY225"/>
      <c r="STZ225"/>
      <c r="SUA225"/>
      <c r="SUB225"/>
      <c r="SUC225"/>
      <c r="SUD225"/>
      <c r="SUE225"/>
      <c r="SUF225"/>
      <c r="SUG225"/>
      <c r="SUH225"/>
      <c r="SUI225"/>
      <c r="SUJ225"/>
      <c r="SUK225"/>
      <c r="SUL225"/>
      <c r="SUM225"/>
      <c r="SUN225"/>
      <c r="SUO225"/>
      <c r="SUP225"/>
      <c r="SUQ225"/>
      <c r="SUR225"/>
      <c r="SUS225"/>
      <c r="SUT225"/>
      <c r="SUU225"/>
      <c r="SUV225"/>
      <c r="SUW225"/>
      <c r="SUX225"/>
      <c r="SUY225"/>
      <c r="SUZ225"/>
      <c r="SVA225"/>
      <c r="SVB225"/>
      <c r="SVC225"/>
      <c r="SVD225"/>
      <c r="SVE225"/>
      <c r="SVF225"/>
      <c r="SVG225"/>
      <c r="SVH225"/>
      <c r="SVI225"/>
      <c r="SVJ225"/>
      <c r="SVK225"/>
      <c r="SVL225"/>
      <c r="SVM225"/>
      <c r="SVN225"/>
      <c r="SVO225"/>
      <c r="SVP225"/>
      <c r="SVQ225"/>
      <c r="SVR225"/>
      <c r="SVS225"/>
      <c r="SVT225"/>
      <c r="SVU225"/>
      <c r="SVV225"/>
      <c r="SVW225"/>
      <c r="SVX225"/>
      <c r="SVY225"/>
      <c r="SVZ225"/>
      <c r="SWA225"/>
      <c r="SWB225"/>
      <c r="SWC225"/>
      <c r="SWD225"/>
      <c r="SWE225"/>
      <c r="SWF225"/>
      <c r="SWG225"/>
      <c r="SWH225"/>
      <c r="SWI225"/>
      <c r="SWJ225"/>
      <c r="SWK225"/>
      <c r="SWL225"/>
      <c r="SWM225"/>
      <c r="SWN225"/>
      <c r="SWO225"/>
      <c r="SWP225"/>
      <c r="SWQ225"/>
      <c r="SWR225"/>
      <c r="SWS225"/>
      <c r="SWT225"/>
      <c r="SWU225"/>
      <c r="SWV225"/>
      <c r="SWW225"/>
      <c r="SWX225"/>
      <c r="SWY225"/>
      <c r="SWZ225"/>
      <c r="SXA225"/>
      <c r="SXB225"/>
      <c r="SXC225"/>
      <c r="SXD225"/>
      <c r="SXE225"/>
      <c r="SXF225"/>
      <c r="SXG225"/>
      <c r="SXH225"/>
      <c r="SXI225"/>
      <c r="SXJ225"/>
      <c r="SXK225"/>
      <c r="SXL225"/>
      <c r="SXM225"/>
      <c r="SXN225"/>
      <c r="SXO225"/>
      <c r="SXP225"/>
      <c r="SXQ225"/>
      <c r="SXR225"/>
      <c r="SXS225"/>
      <c r="SXT225"/>
      <c r="SXU225"/>
      <c r="SXV225"/>
      <c r="SXW225"/>
      <c r="SXX225"/>
      <c r="SXY225"/>
      <c r="SXZ225"/>
      <c r="SYA225"/>
      <c r="SYB225"/>
      <c r="SYC225"/>
      <c r="SYD225"/>
      <c r="SYE225"/>
      <c r="SYF225"/>
      <c r="SYG225"/>
      <c r="SYH225"/>
      <c r="SYI225"/>
      <c r="SYJ225"/>
      <c r="SYK225"/>
      <c r="SYL225"/>
      <c r="SYM225"/>
      <c r="SYN225"/>
      <c r="SYO225"/>
      <c r="SYP225"/>
      <c r="SYQ225"/>
      <c r="SYR225"/>
      <c r="SYS225"/>
      <c r="SYT225"/>
      <c r="SYU225"/>
      <c r="SYV225"/>
      <c r="SYW225"/>
      <c r="SYX225"/>
      <c r="SYY225"/>
      <c r="SYZ225"/>
      <c r="SZA225"/>
      <c r="SZB225"/>
      <c r="SZC225"/>
      <c r="SZD225"/>
      <c r="SZE225"/>
      <c r="SZF225"/>
      <c r="SZG225"/>
      <c r="SZH225"/>
      <c r="SZI225"/>
      <c r="SZJ225"/>
      <c r="SZK225"/>
      <c r="SZL225"/>
      <c r="SZM225"/>
      <c r="SZN225"/>
      <c r="SZO225"/>
      <c r="SZP225"/>
      <c r="SZQ225"/>
      <c r="SZR225"/>
      <c r="SZS225"/>
      <c r="SZT225"/>
      <c r="SZU225"/>
      <c r="SZV225"/>
      <c r="SZW225"/>
      <c r="SZX225"/>
      <c r="SZY225"/>
      <c r="SZZ225"/>
      <c r="TAA225"/>
      <c r="TAB225"/>
      <c r="TAC225"/>
      <c r="TAD225"/>
      <c r="TAE225"/>
      <c r="TAF225"/>
      <c r="TAG225"/>
      <c r="TAH225"/>
      <c r="TAI225"/>
      <c r="TAJ225"/>
      <c r="TAK225"/>
      <c r="TAL225"/>
      <c r="TAM225"/>
      <c r="TAN225"/>
      <c r="TAO225"/>
      <c r="TAP225"/>
      <c r="TAQ225"/>
      <c r="TAR225"/>
      <c r="TAS225"/>
      <c r="TAT225"/>
      <c r="TAU225"/>
      <c r="TAV225"/>
      <c r="TAW225"/>
      <c r="TAX225"/>
      <c r="TAY225"/>
      <c r="TAZ225"/>
      <c r="TBA225"/>
      <c r="TBB225"/>
      <c r="TBC225"/>
      <c r="TBD225"/>
      <c r="TBE225"/>
      <c r="TBF225"/>
      <c r="TBG225"/>
      <c r="TBH225"/>
      <c r="TBI225"/>
      <c r="TBJ225"/>
      <c r="TBK225"/>
      <c r="TBL225"/>
      <c r="TBM225"/>
      <c r="TBN225"/>
      <c r="TBO225"/>
      <c r="TBP225"/>
      <c r="TBQ225"/>
      <c r="TBR225"/>
      <c r="TBS225"/>
      <c r="TBT225"/>
      <c r="TBU225"/>
      <c r="TBV225"/>
      <c r="TBW225"/>
      <c r="TBX225"/>
      <c r="TBY225"/>
      <c r="TBZ225"/>
      <c r="TCA225"/>
      <c r="TCB225"/>
      <c r="TCC225"/>
      <c r="TCD225"/>
      <c r="TCE225"/>
      <c r="TCF225"/>
      <c r="TCG225"/>
      <c r="TCH225"/>
      <c r="TCI225"/>
      <c r="TCJ225"/>
      <c r="TCK225"/>
      <c r="TCL225"/>
      <c r="TCM225"/>
      <c r="TCN225"/>
      <c r="TCO225"/>
      <c r="TCP225"/>
      <c r="TCQ225"/>
      <c r="TCR225"/>
      <c r="TCS225"/>
      <c r="TCT225"/>
      <c r="TCU225"/>
      <c r="TCV225"/>
      <c r="TCW225"/>
      <c r="TCX225"/>
      <c r="TCY225"/>
      <c r="TCZ225"/>
      <c r="TDA225"/>
      <c r="TDB225"/>
      <c r="TDC225"/>
      <c r="TDD225"/>
      <c r="TDE225"/>
      <c r="TDF225"/>
      <c r="TDG225"/>
      <c r="TDH225"/>
      <c r="TDI225"/>
      <c r="TDJ225"/>
      <c r="TDK225"/>
      <c r="TDL225"/>
      <c r="TDM225"/>
      <c r="TDN225"/>
      <c r="TDO225"/>
      <c r="TDP225"/>
      <c r="TDQ225"/>
      <c r="TDR225"/>
      <c r="TDS225"/>
      <c r="TDT225"/>
      <c r="TDU225"/>
      <c r="TDV225"/>
      <c r="TDW225"/>
      <c r="TDX225"/>
      <c r="TDY225"/>
      <c r="TDZ225"/>
      <c r="TEA225"/>
      <c r="TEB225"/>
      <c r="TEC225"/>
      <c r="TED225"/>
      <c r="TEE225"/>
      <c r="TEF225"/>
      <c r="TEG225"/>
      <c r="TEH225"/>
      <c r="TEI225"/>
      <c r="TEJ225"/>
      <c r="TEK225"/>
      <c r="TEL225"/>
      <c r="TEM225"/>
      <c r="TEN225"/>
      <c r="TEO225"/>
      <c r="TEP225"/>
      <c r="TEQ225"/>
      <c r="TER225"/>
      <c r="TES225"/>
      <c r="TET225"/>
      <c r="TEU225"/>
      <c r="TEV225"/>
      <c r="TEW225"/>
      <c r="TEX225"/>
      <c r="TEY225"/>
      <c r="TEZ225"/>
      <c r="TFA225"/>
      <c r="TFB225"/>
      <c r="TFC225"/>
      <c r="TFD225"/>
      <c r="TFE225"/>
      <c r="TFF225"/>
      <c r="TFG225"/>
      <c r="TFH225"/>
      <c r="TFI225"/>
      <c r="TFJ225"/>
      <c r="TFK225"/>
      <c r="TFL225"/>
      <c r="TFM225"/>
      <c r="TFN225"/>
      <c r="TFO225"/>
      <c r="TFP225"/>
      <c r="TFQ225"/>
      <c r="TFR225"/>
      <c r="TFS225"/>
      <c r="TFT225"/>
      <c r="TFU225"/>
      <c r="TFV225"/>
      <c r="TFW225"/>
      <c r="TFX225"/>
      <c r="TFY225"/>
      <c r="TFZ225"/>
      <c r="TGA225"/>
      <c r="TGB225"/>
      <c r="TGC225"/>
      <c r="TGD225"/>
      <c r="TGE225"/>
      <c r="TGF225"/>
      <c r="TGG225"/>
      <c r="TGH225"/>
      <c r="TGI225"/>
      <c r="TGJ225"/>
      <c r="TGK225"/>
      <c r="TGL225"/>
      <c r="TGM225"/>
      <c r="TGN225"/>
      <c r="TGO225"/>
      <c r="TGP225"/>
      <c r="TGQ225"/>
      <c r="TGR225"/>
      <c r="TGS225"/>
      <c r="TGT225"/>
      <c r="TGU225"/>
      <c r="TGV225"/>
      <c r="TGW225"/>
      <c r="TGX225"/>
      <c r="TGY225"/>
      <c r="TGZ225"/>
      <c r="THA225"/>
      <c r="THB225"/>
      <c r="THC225"/>
      <c r="THD225"/>
      <c r="THE225"/>
      <c r="THF225"/>
      <c r="THG225"/>
      <c r="THH225"/>
      <c r="THI225"/>
      <c r="THJ225"/>
      <c r="THK225"/>
      <c r="THL225"/>
      <c r="THM225"/>
      <c r="THN225"/>
      <c r="THO225"/>
      <c r="THP225"/>
      <c r="THQ225"/>
      <c r="THR225"/>
      <c r="THS225"/>
      <c r="THT225"/>
      <c r="THU225"/>
      <c r="THV225"/>
      <c r="THW225"/>
      <c r="THX225"/>
      <c r="THY225"/>
      <c r="THZ225"/>
      <c r="TIA225"/>
      <c r="TIB225"/>
      <c r="TIC225"/>
      <c r="TID225"/>
      <c r="TIE225"/>
      <c r="TIF225"/>
      <c r="TIG225"/>
      <c r="TIH225"/>
      <c r="TII225"/>
      <c r="TIJ225"/>
      <c r="TIK225"/>
      <c r="TIL225"/>
      <c r="TIM225"/>
      <c r="TIN225"/>
      <c r="TIO225"/>
      <c r="TIP225"/>
      <c r="TIQ225"/>
      <c r="TIR225"/>
      <c r="TIS225"/>
      <c r="TIT225"/>
      <c r="TIU225"/>
      <c r="TIV225"/>
      <c r="TIW225"/>
      <c r="TIX225"/>
      <c r="TIY225"/>
      <c r="TIZ225"/>
      <c r="TJA225"/>
      <c r="TJB225"/>
      <c r="TJC225"/>
      <c r="TJD225"/>
      <c r="TJE225"/>
      <c r="TJF225"/>
      <c r="TJG225"/>
      <c r="TJH225"/>
      <c r="TJI225"/>
      <c r="TJJ225"/>
      <c r="TJK225"/>
      <c r="TJL225"/>
      <c r="TJM225"/>
      <c r="TJN225"/>
      <c r="TJO225"/>
      <c r="TJP225"/>
      <c r="TJQ225"/>
      <c r="TJR225"/>
      <c r="TJS225"/>
      <c r="TJT225"/>
      <c r="TJU225"/>
      <c r="TJV225"/>
      <c r="TJW225"/>
      <c r="TJX225"/>
      <c r="TJY225"/>
      <c r="TJZ225"/>
      <c r="TKA225"/>
      <c r="TKB225"/>
      <c r="TKC225"/>
      <c r="TKD225"/>
      <c r="TKE225"/>
      <c r="TKF225"/>
      <c r="TKG225"/>
      <c r="TKH225"/>
      <c r="TKI225"/>
      <c r="TKJ225"/>
      <c r="TKK225"/>
      <c r="TKL225"/>
      <c r="TKM225"/>
      <c r="TKN225"/>
      <c r="TKO225"/>
      <c r="TKP225"/>
      <c r="TKQ225"/>
      <c r="TKR225"/>
      <c r="TKS225"/>
      <c r="TKT225"/>
      <c r="TKU225"/>
      <c r="TKV225"/>
      <c r="TKW225"/>
      <c r="TKX225"/>
      <c r="TKY225"/>
      <c r="TKZ225"/>
      <c r="TLA225"/>
      <c r="TLB225"/>
      <c r="TLC225"/>
      <c r="TLD225"/>
      <c r="TLE225"/>
      <c r="TLF225"/>
      <c r="TLG225"/>
      <c r="TLH225"/>
      <c r="TLI225"/>
      <c r="TLJ225"/>
      <c r="TLK225"/>
      <c r="TLL225"/>
      <c r="TLM225"/>
      <c r="TLN225"/>
      <c r="TLO225"/>
      <c r="TLP225"/>
      <c r="TLQ225"/>
      <c r="TLR225"/>
      <c r="TLS225"/>
      <c r="TLT225"/>
      <c r="TLU225"/>
      <c r="TLV225"/>
      <c r="TLW225"/>
      <c r="TLX225"/>
      <c r="TLY225"/>
      <c r="TLZ225"/>
      <c r="TMA225"/>
      <c r="TMB225"/>
      <c r="TMC225"/>
      <c r="TMD225"/>
      <c r="TME225"/>
      <c r="TMF225"/>
      <c r="TMG225"/>
      <c r="TMH225"/>
      <c r="TMI225"/>
      <c r="TMJ225"/>
      <c r="TMK225"/>
      <c r="TML225"/>
      <c r="TMM225"/>
      <c r="TMN225"/>
      <c r="TMO225"/>
      <c r="TMP225"/>
      <c r="TMQ225"/>
      <c r="TMR225"/>
      <c r="TMS225"/>
      <c r="TMT225"/>
      <c r="TMU225"/>
      <c r="TMV225"/>
      <c r="TMW225"/>
      <c r="TMX225"/>
      <c r="TMY225"/>
      <c r="TMZ225"/>
      <c r="TNA225"/>
      <c r="TNB225"/>
      <c r="TNC225"/>
      <c r="TND225"/>
      <c r="TNE225"/>
      <c r="TNF225"/>
      <c r="TNG225"/>
      <c r="TNH225"/>
      <c r="TNI225"/>
      <c r="TNJ225"/>
      <c r="TNK225"/>
      <c r="TNL225"/>
      <c r="TNM225"/>
      <c r="TNN225"/>
      <c r="TNO225"/>
      <c r="TNP225"/>
      <c r="TNQ225"/>
      <c r="TNR225"/>
      <c r="TNS225"/>
      <c r="TNT225"/>
      <c r="TNU225"/>
      <c r="TNV225"/>
      <c r="TNW225"/>
      <c r="TNX225"/>
      <c r="TNY225"/>
      <c r="TNZ225"/>
      <c r="TOA225"/>
      <c r="TOB225"/>
      <c r="TOC225"/>
      <c r="TOD225"/>
      <c r="TOE225"/>
      <c r="TOF225"/>
      <c r="TOG225"/>
      <c r="TOH225"/>
      <c r="TOI225"/>
      <c r="TOJ225"/>
      <c r="TOK225"/>
      <c r="TOL225"/>
      <c r="TOM225"/>
      <c r="TON225"/>
      <c r="TOO225"/>
      <c r="TOP225"/>
      <c r="TOQ225"/>
      <c r="TOR225"/>
      <c r="TOS225"/>
      <c r="TOT225"/>
      <c r="TOU225"/>
      <c r="TOV225"/>
      <c r="TOW225"/>
      <c r="TOX225"/>
      <c r="TOY225"/>
      <c r="TOZ225"/>
      <c r="TPA225"/>
      <c r="TPB225"/>
      <c r="TPC225"/>
      <c r="TPD225"/>
      <c r="TPE225"/>
      <c r="TPF225"/>
      <c r="TPG225"/>
      <c r="TPH225"/>
      <c r="TPI225"/>
      <c r="TPJ225"/>
      <c r="TPK225"/>
      <c r="TPL225"/>
      <c r="TPM225"/>
      <c r="TPN225"/>
      <c r="TPO225"/>
      <c r="TPP225"/>
      <c r="TPQ225"/>
      <c r="TPR225"/>
      <c r="TPS225"/>
      <c r="TPT225"/>
      <c r="TPU225"/>
      <c r="TPV225"/>
      <c r="TPW225"/>
      <c r="TPX225"/>
      <c r="TPY225"/>
      <c r="TPZ225"/>
      <c r="TQA225"/>
      <c r="TQB225"/>
      <c r="TQC225"/>
      <c r="TQD225"/>
      <c r="TQE225"/>
      <c r="TQF225"/>
      <c r="TQG225"/>
      <c r="TQH225"/>
      <c r="TQI225"/>
      <c r="TQJ225"/>
      <c r="TQK225"/>
      <c r="TQL225"/>
      <c r="TQM225"/>
      <c r="TQN225"/>
      <c r="TQO225"/>
      <c r="TQP225"/>
      <c r="TQQ225"/>
      <c r="TQR225"/>
      <c r="TQS225"/>
      <c r="TQT225"/>
      <c r="TQU225"/>
      <c r="TQV225"/>
      <c r="TQW225"/>
      <c r="TQX225"/>
      <c r="TQY225"/>
      <c r="TQZ225"/>
      <c r="TRA225"/>
      <c r="TRB225"/>
      <c r="TRC225"/>
      <c r="TRD225"/>
      <c r="TRE225"/>
      <c r="TRF225"/>
      <c r="TRG225"/>
      <c r="TRH225"/>
      <c r="TRI225"/>
      <c r="TRJ225"/>
      <c r="TRK225"/>
      <c r="TRL225"/>
      <c r="TRM225"/>
      <c r="TRN225"/>
      <c r="TRO225"/>
      <c r="TRP225"/>
      <c r="TRQ225"/>
      <c r="TRR225"/>
      <c r="TRS225"/>
      <c r="TRT225"/>
      <c r="TRU225"/>
      <c r="TRV225"/>
      <c r="TRW225"/>
      <c r="TRX225"/>
      <c r="TRY225"/>
      <c r="TRZ225"/>
      <c r="TSA225"/>
      <c r="TSB225"/>
      <c r="TSC225"/>
      <c r="TSD225"/>
      <c r="TSE225"/>
      <c r="TSF225"/>
      <c r="TSG225"/>
      <c r="TSH225"/>
      <c r="TSI225"/>
      <c r="TSJ225"/>
      <c r="TSK225"/>
      <c r="TSL225"/>
      <c r="TSM225"/>
      <c r="TSN225"/>
      <c r="TSO225"/>
      <c r="TSP225"/>
      <c r="TSQ225"/>
      <c r="TSR225"/>
      <c r="TSS225"/>
      <c r="TST225"/>
      <c r="TSU225"/>
      <c r="TSV225"/>
      <c r="TSW225"/>
      <c r="TSX225"/>
      <c r="TSY225"/>
      <c r="TSZ225"/>
      <c r="TTA225"/>
      <c r="TTB225"/>
      <c r="TTC225"/>
      <c r="TTD225"/>
      <c r="TTE225"/>
      <c r="TTF225"/>
      <c r="TTG225"/>
      <c r="TTH225"/>
      <c r="TTI225"/>
      <c r="TTJ225"/>
      <c r="TTK225"/>
      <c r="TTL225"/>
      <c r="TTM225"/>
      <c r="TTN225"/>
      <c r="TTO225"/>
      <c r="TTP225"/>
      <c r="TTQ225"/>
      <c r="TTR225"/>
      <c r="TTS225"/>
      <c r="TTT225"/>
      <c r="TTU225"/>
      <c r="TTV225"/>
      <c r="TTW225"/>
      <c r="TTX225"/>
      <c r="TTY225"/>
      <c r="TTZ225"/>
      <c r="TUA225"/>
      <c r="TUB225"/>
      <c r="TUC225"/>
      <c r="TUD225"/>
      <c r="TUE225"/>
      <c r="TUF225"/>
      <c r="TUG225"/>
      <c r="TUH225"/>
      <c r="TUI225"/>
      <c r="TUJ225"/>
      <c r="TUK225"/>
      <c r="TUL225"/>
      <c r="TUM225"/>
      <c r="TUN225"/>
      <c r="TUO225"/>
      <c r="TUP225"/>
      <c r="TUQ225"/>
      <c r="TUR225"/>
      <c r="TUS225"/>
      <c r="TUT225"/>
      <c r="TUU225"/>
      <c r="TUV225"/>
      <c r="TUW225"/>
      <c r="TUX225"/>
      <c r="TUY225"/>
      <c r="TUZ225"/>
      <c r="TVA225"/>
      <c r="TVB225"/>
      <c r="TVC225"/>
      <c r="TVD225"/>
      <c r="TVE225"/>
      <c r="TVF225"/>
      <c r="TVG225"/>
      <c r="TVH225"/>
      <c r="TVI225"/>
      <c r="TVJ225"/>
      <c r="TVK225"/>
      <c r="TVL225"/>
      <c r="TVM225"/>
      <c r="TVN225"/>
      <c r="TVO225"/>
      <c r="TVP225"/>
      <c r="TVQ225"/>
      <c r="TVR225"/>
      <c r="TVS225"/>
      <c r="TVT225"/>
      <c r="TVU225"/>
      <c r="TVV225"/>
      <c r="TVW225"/>
      <c r="TVX225"/>
      <c r="TVY225"/>
      <c r="TVZ225"/>
      <c r="TWA225"/>
      <c r="TWB225"/>
      <c r="TWC225"/>
      <c r="TWD225"/>
      <c r="TWE225"/>
      <c r="TWF225"/>
      <c r="TWG225"/>
      <c r="TWH225"/>
      <c r="TWI225"/>
      <c r="TWJ225"/>
      <c r="TWK225"/>
      <c r="TWL225"/>
      <c r="TWM225"/>
      <c r="TWN225"/>
      <c r="TWO225"/>
      <c r="TWP225"/>
      <c r="TWQ225"/>
      <c r="TWR225"/>
      <c r="TWS225"/>
      <c r="TWT225"/>
      <c r="TWU225"/>
      <c r="TWV225"/>
      <c r="TWW225"/>
      <c r="TWX225"/>
      <c r="TWY225"/>
      <c r="TWZ225"/>
      <c r="TXA225"/>
      <c r="TXB225"/>
      <c r="TXC225"/>
      <c r="TXD225"/>
      <c r="TXE225"/>
      <c r="TXF225"/>
      <c r="TXG225"/>
      <c r="TXH225"/>
      <c r="TXI225"/>
      <c r="TXJ225"/>
      <c r="TXK225"/>
      <c r="TXL225"/>
      <c r="TXM225"/>
      <c r="TXN225"/>
      <c r="TXO225"/>
      <c r="TXP225"/>
      <c r="TXQ225"/>
      <c r="TXR225"/>
      <c r="TXS225"/>
      <c r="TXT225"/>
      <c r="TXU225"/>
      <c r="TXV225"/>
      <c r="TXW225"/>
      <c r="TXX225"/>
      <c r="TXY225"/>
      <c r="TXZ225"/>
      <c r="TYA225"/>
      <c r="TYB225"/>
      <c r="TYC225"/>
      <c r="TYD225"/>
      <c r="TYE225"/>
      <c r="TYF225"/>
      <c r="TYG225"/>
      <c r="TYH225"/>
      <c r="TYI225"/>
      <c r="TYJ225"/>
      <c r="TYK225"/>
      <c r="TYL225"/>
      <c r="TYM225"/>
      <c r="TYN225"/>
      <c r="TYO225"/>
      <c r="TYP225"/>
      <c r="TYQ225"/>
      <c r="TYR225"/>
      <c r="TYS225"/>
      <c r="TYT225"/>
      <c r="TYU225"/>
      <c r="TYV225"/>
      <c r="TYW225"/>
      <c r="TYX225"/>
      <c r="TYY225"/>
      <c r="TYZ225"/>
      <c r="TZA225"/>
      <c r="TZB225"/>
      <c r="TZC225"/>
      <c r="TZD225"/>
      <c r="TZE225"/>
      <c r="TZF225"/>
      <c r="TZG225"/>
      <c r="TZH225"/>
      <c r="TZI225"/>
      <c r="TZJ225"/>
      <c r="TZK225"/>
      <c r="TZL225"/>
      <c r="TZM225"/>
      <c r="TZN225"/>
      <c r="TZO225"/>
      <c r="TZP225"/>
      <c r="TZQ225"/>
      <c r="TZR225"/>
      <c r="TZS225"/>
      <c r="TZT225"/>
      <c r="TZU225"/>
      <c r="TZV225"/>
      <c r="TZW225"/>
      <c r="TZX225"/>
      <c r="TZY225"/>
      <c r="TZZ225"/>
      <c r="UAA225"/>
      <c r="UAB225"/>
      <c r="UAC225"/>
      <c r="UAD225"/>
      <c r="UAE225"/>
      <c r="UAF225"/>
      <c r="UAG225"/>
      <c r="UAH225"/>
      <c r="UAI225"/>
      <c r="UAJ225"/>
      <c r="UAK225"/>
      <c r="UAL225"/>
      <c r="UAM225"/>
      <c r="UAN225"/>
      <c r="UAO225"/>
      <c r="UAP225"/>
      <c r="UAQ225"/>
      <c r="UAR225"/>
      <c r="UAS225"/>
      <c r="UAT225"/>
      <c r="UAU225"/>
      <c r="UAV225"/>
      <c r="UAW225"/>
      <c r="UAX225"/>
      <c r="UAY225"/>
      <c r="UAZ225"/>
      <c r="UBA225"/>
      <c r="UBB225"/>
      <c r="UBC225"/>
      <c r="UBD225"/>
      <c r="UBE225"/>
      <c r="UBF225"/>
      <c r="UBG225"/>
      <c r="UBH225"/>
      <c r="UBI225"/>
      <c r="UBJ225"/>
      <c r="UBK225"/>
      <c r="UBL225"/>
      <c r="UBM225"/>
      <c r="UBN225"/>
      <c r="UBO225"/>
      <c r="UBP225"/>
      <c r="UBQ225"/>
      <c r="UBR225"/>
      <c r="UBS225"/>
      <c r="UBT225"/>
      <c r="UBU225"/>
      <c r="UBV225"/>
      <c r="UBW225"/>
      <c r="UBX225"/>
      <c r="UBY225"/>
      <c r="UBZ225"/>
      <c r="UCA225"/>
      <c r="UCB225"/>
      <c r="UCC225"/>
      <c r="UCD225"/>
      <c r="UCE225"/>
      <c r="UCF225"/>
      <c r="UCG225"/>
      <c r="UCH225"/>
      <c r="UCI225"/>
      <c r="UCJ225"/>
      <c r="UCK225"/>
      <c r="UCL225"/>
      <c r="UCM225"/>
      <c r="UCN225"/>
      <c r="UCO225"/>
      <c r="UCP225"/>
      <c r="UCQ225"/>
      <c r="UCR225"/>
      <c r="UCS225"/>
      <c r="UCT225"/>
      <c r="UCU225"/>
      <c r="UCV225"/>
      <c r="UCW225"/>
      <c r="UCX225"/>
      <c r="UCY225"/>
      <c r="UCZ225"/>
      <c r="UDA225"/>
      <c r="UDB225"/>
      <c r="UDC225"/>
      <c r="UDD225"/>
      <c r="UDE225"/>
      <c r="UDF225"/>
      <c r="UDG225"/>
      <c r="UDH225"/>
      <c r="UDI225"/>
      <c r="UDJ225"/>
      <c r="UDK225"/>
      <c r="UDL225"/>
      <c r="UDM225"/>
      <c r="UDN225"/>
      <c r="UDO225"/>
      <c r="UDP225"/>
      <c r="UDQ225"/>
      <c r="UDR225"/>
      <c r="UDS225"/>
      <c r="UDT225"/>
      <c r="UDU225"/>
      <c r="UDV225"/>
      <c r="UDW225"/>
      <c r="UDX225"/>
      <c r="UDY225"/>
      <c r="UDZ225"/>
      <c r="UEA225"/>
      <c r="UEB225"/>
      <c r="UEC225"/>
      <c r="UED225"/>
      <c r="UEE225"/>
      <c r="UEF225"/>
      <c r="UEG225"/>
      <c r="UEH225"/>
      <c r="UEI225"/>
      <c r="UEJ225"/>
      <c r="UEK225"/>
      <c r="UEL225"/>
      <c r="UEM225"/>
      <c r="UEN225"/>
      <c r="UEO225"/>
      <c r="UEP225"/>
      <c r="UEQ225"/>
      <c r="UER225"/>
      <c r="UES225"/>
      <c r="UET225"/>
      <c r="UEU225"/>
      <c r="UEV225"/>
      <c r="UEW225"/>
      <c r="UEX225"/>
      <c r="UEY225"/>
      <c r="UEZ225"/>
      <c r="UFA225"/>
      <c r="UFB225"/>
      <c r="UFC225"/>
      <c r="UFD225"/>
      <c r="UFE225"/>
      <c r="UFF225"/>
      <c r="UFG225"/>
      <c r="UFH225"/>
      <c r="UFI225"/>
      <c r="UFJ225"/>
      <c r="UFK225"/>
      <c r="UFL225"/>
      <c r="UFM225"/>
      <c r="UFN225"/>
      <c r="UFO225"/>
      <c r="UFP225"/>
      <c r="UFQ225"/>
      <c r="UFR225"/>
      <c r="UFS225"/>
      <c r="UFT225"/>
      <c r="UFU225"/>
      <c r="UFV225"/>
      <c r="UFW225"/>
      <c r="UFX225"/>
      <c r="UFY225"/>
      <c r="UFZ225"/>
      <c r="UGA225"/>
      <c r="UGB225"/>
      <c r="UGC225"/>
      <c r="UGD225"/>
      <c r="UGE225"/>
      <c r="UGF225"/>
      <c r="UGG225"/>
      <c r="UGH225"/>
      <c r="UGI225"/>
      <c r="UGJ225"/>
      <c r="UGK225"/>
      <c r="UGL225"/>
      <c r="UGM225"/>
      <c r="UGN225"/>
      <c r="UGO225"/>
      <c r="UGP225"/>
      <c r="UGQ225"/>
      <c r="UGR225"/>
      <c r="UGS225"/>
      <c r="UGT225"/>
      <c r="UGU225"/>
      <c r="UGV225"/>
      <c r="UGW225"/>
      <c r="UGX225"/>
      <c r="UGY225"/>
      <c r="UGZ225"/>
      <c r="UHA225"/>
      <c r="UHB225"/>
      <c r="UHC225"/>
      <c r="UHD225"/>
      <c r="UHE225"/>
      <c r="UHF225"/>
      <c r="UHG225"/>
      <c r="UHH225"/>
      <c r="UHI225"/>
      <c r="UHJ225"/>
      <c r="UHK225"/>
      <c r="UHL225"/>
      <c r="UHM225"/>
      <c r="UHN225"/>
      <c r="UHO225"/>
      <c r="UHP225"/>
      <c r="UHQ225"/>
      <c r="UHR225"/>
      <c r="UHS225"/>
      <c r="UHT225"/>
      <c r="UHU225"/>
      <c r="UHV225"/>
      <c r="UHW225"/>
      <c r="UHX225"/>
      <c r="UHY225"/>
      <c r="UHZ225"/>
      <c r="UIA225"/>
      <c r="UIB225"/>
      <c r="UIC225"/>
      <c r="UID225"/>
      <c r="UIE225"/>
      <c r="UIF225"/>
      <c r="UIG225"/>
      <c r="UIH225"/>
      <c r="UII225"/>
      <c r="UIJ225"/>
      <c r="UIK225"/>
      <c r="UIL225"/>
      <c r="UIM225"/>
      <c r="UIN225"/>
      <c r="UIO225"/>
      <c r="UIP225"/>
      <c r="UIQ225"/>
      <c r="UIR225"/>
      <c r="UIS225"/>
      <c r="UIT225"/>
      <c r="UIU225"/>
      <c r="UIV225"/>
      <c r="UIW225"/>
      <c r="UIX225"/>
      <c r="UIY225"/>
      <c r="UIZ225"/>
      <c r="UJA225"/>
      <c r="UJB225"/>
      <c r="UJC225"/>
      <c r="UJD225"/>
      <c r="UJE225"/>
      <c r="UJF225"/>
      <c r="UJG225"/>
      <c r="UJH225"/>
      <c r="UJI225"/>
      <c r="UJJ225"/>
      <c r="UJK225"/>
      <c r="UJL225"/>
      <c r="UJM225"/>
      <c r="UJN225"/>
      <c r="UJO225"/>
      <c r="UJP225"/>
      <c r="UJQ225"/>
      <c r="UJR225"/>
      <c r="UJS225"/>
      <c r="UJT225"/>
      <c r="UJU225"/>
      <c r="UJV225"/>
      <c r="UJW225"/>
      <c r="UJX225"/>
      <c r="UJY225"/>
      <c r="UJZ225"/>
      <c r="UKA225"/>
      <c r="UKB225"/>
      <c r="UKC225"/>
      <c r="UKD225"/>
      <c r="UKE225"/>
      <c r="UKF225"/>
      <c r="UKG225"/>
      <c r="UKH225"/>
      <c r="UKI225"/>
      <c r="UKJ225"/>
      <c r="UKK225"/>
      <c r="UKL225"/>
      <c r="UKM225"/>
      <c r="UKN225"/>
      <c r="UKO225"/>
      <c r="UKP225"/>
      <c r="UKQ225"/>
      <c r="UKR225"/>
      <c r="UKS225"/>
      <c r="UKT225"/>
      <c r="UKU225"/>
      <c r="UKV225"/>
      <c r="UKW225"/>
      <c r="UKX225"/>
      <c r="UKY225"/>
      <c r="UKZ225"/>
      <c r="ULA225"/>
      <c r="ULB225"/>
      <c r="ULC225"/>
      <c r="ULD225"/>
      <c r="ULE225"/>
      <c r="ULF225"/>
      <c r="ULG225"/>
      <c r="ULH225"/>
      <c r="ULI225"/>
      <c r="ULJ225"/>
      <c r="ULK225"/>
      <c r="ULL225"/>
      <c r="ULM225"/>
      <c r="ULN225"/>
      <c r="ULO225"/>
      <c r="ULP225"/>
      <c r="ULQ225"/>
      <c r="ULR225"/>
      <c r="ULS225"/>
      <c r="ULT225"/>
      <c r="ULU225"/>
      <c r="ULV225"/>
      <c r="ULW225"/>
      <c r="ULX225"/>
      <c r="ULY225"/>
      <c r="ULZ225"/>
      <c r="UMA225"/>
      <c r="UMB225"/>
      <c r="UMC225"/>
      <c r="UMD225"/>
      <c r="UME225"/>
      <c r="UMF225"/>
      <c r="UMG225"/>
      <c r="UMH225"/>
      <c r="UMI225"/>
      <c r="UMJ225"/>
      <c r="UMK225"/>
      <c r="UML225"/>
      <c r="UMM225"/>
      <c r="UMN225"/>
      <c r="UMO225"/>
      <c r="UMP225"/>
      <c r="UMQ225"/>
      <c r="UMR225"/>
      <c r="UMS225"/>
      <c r="UMT225"/>
      <c r="UMU225"/>
      <c r="UMV225"/>
      <c r="UMW225"/>
      <c r="UMX225"/>
      <c r="UMY225"/>
      <c r="UMZ225"/>
      <c r="UNA225"/>
      <c r="UNB225"/>
      <c r="UNC225"/>
      <c r="UND225"/>
      <c r="UNE225"/>
      <c r="UNF225"/>
      <c r="UNG225"/>
      <c r="UNH225"/>
      <c r="UNI225"/>
      <c r="UNJ225"/>
      <c r="UNK225"/>
      <c r="UNL225"/>
      <c r="UNM225"/>
      <c r="UNN225"/>
      <c r="UNO225"/>
      <c r="UNP225"/>
      <c r="UNQ225"/>
      <c r="UNR225"/>
      <c r="UNS225"/>
      <c r="UNT225"/>
      <c r="UNU225"/>
      <c r="UNV225"/>
      <c r="UNW225"/>
      <c r="UNX225"/>
      <c r="UNY225"/>
      <c r="UNZ225"/>
      <c r="UOA225"/>
      <c r="UOB225"/>
      <c r="UOC225"/>
      <c r="UOD225"/>
      <c r="UOE225"/>
      <c r="UOF225"/>
      <c r="UOG225"/>
      <c r="UOH225"/>
      <c r="UOI225"/>
      <c r="UOJ225"/>
      <c r="UOK225"/>
      <c r="UOL225"/>
      <c r="UOM225"/>
      <c r="UON225"/>
      <c r="UOO225"/>
      <c r="UOP225"/>
      <c r="UOQ225"/>
      <c r="UOR225"/>
      <c r="UOS225"/>
      <c r="UOT225"/>
      <c r="UOU225"/>
      <c r="UOV225"/>
      <c r="UOW225"/>
      <c r="UOX225"/>
      <c r="UOY225"/>
      <c r="UOZ225"/>
      <c r="UPA225"/>
      <c r="UPB225"/>
      <c r="UPC225"/>
      <c r="UPD225"/>
      <c r="UPE225"/>
      <c r="UPF225"/>
      <c r="UPG225"/>
      <c r="UPH225"/>
      <c r="UPI225"/>
      <c r="UPJ225"/>
      <c r="UPK225"/>
      <c r="UPL225"/>
      <c r="UPM225"/>
      <c r="UPN225"/>
      <c r="UPO225"/>
      <c r="UPP225"/>
      <c r="UPQ225"/>
      <c r="UPR225"/>
      <c r="UPS225"/>
      <c r="UPT225"/>
      <c r="UPU225"/>
      <c r="UPV225"/>
      <c r="UPW225"/>
      <c r="UPX225"/>
      <c r="UPY225"/>
      <c r="UPZ225"/>
      <c r="UQA225"/>
      <c r="UQB225"/>
      <c r="UQC225"/>
      <c r="UQD225"/>
      <c r="UQE225"/>
      <c r="UQF225"/>
      <c r="UQG225"/>
      <c r="UQH225"/>
      <c r="UQI225"/>
      <c r="UQJ225"/>
      <c r="UQK225"/>
      <c r="UQL225"/>
      <c r="UQM225"/>
      <c r="UQN225"/>
      <c r="UQO225"/>
      <c r="UQP225"/>
      <c r="UQQ225"/>
      <c r="UQR225"/>
      <c r="UQS225"/>
      <c r="UQT225"/>
      <c r="UQU225"/>
      <c r="UQV225"/>
      <c r="UQW225"/>
      <c r="UQX225"/>
      <c r="UQY225"/>
      <c r="UQZ225"/>
      <c r="URA225"/>
      <c r="URB225"/>
      <c r="URC225"/>
      <c r="URD225"/>
      <c r="URE225"/>
      <c r="URF225"/>
      <c r="URG225"/>
      <c r="URH225"/>
      <c r="URI225"/>
      <c r="URJ225"/>
      <c r="URK225"/>
      <c r="URL225"/>
      <c r="URM225"/>
      <c r="URN225"/>
      <c r="URO225"/>
      <c r="URP225"/>
      <c r="URQ225"/>
      <c r="URR225"/>
      <c r="URS225"/>
      <c r="URT225"/>
      <c r="URU225"/>
      <c r="URV225"/>
      <c r="URW225"/>
      <c r="URX225"/>
      <c r="URY225"/>
      <c r="URZ225"/>
      <c r="USA225"/>
      <c r="USB225"/>
      <c r="USC225"/>
      <c r="USD225"/>
      <c r="USE225"/>
      <c r="USF225"/>
      <c r="USG225"/>
      <c r="USH225"/>
      <c r="USI225"/>
      <c r="USJ225"/>
      <c r="USK225"/>
      <c r="USL225"/>
      <c r="USM225"/>
      <c r="USN225"/>
      <c r="USO225"/>
      <c r="USP225"/>
      <c r="USQ225"/>
      <c r="USR225"/>
      <c r="USS225"/>
      <c r="UST225"/>
      <c r="USU225"/>
      <c r="USV225"/>
      <c r="USW225"/>
      <c r="USX225"/>
      <c r="USY225"/>
      <c r="USZ225"/>
      <c r="UTA225"/>
      <c r="UTB225"/>
      <c r="UTC225"/>
      <c r="UTD225"/>
      <c r="UTE225"/>
      <c r="UTF225"/>
      <c r="UTG225"/>
      <c r="UTH225"/>
      <c r="UTI225"/>
      <c r="UTJ225"/>
      <c r="UTK225"/>
      <c r="UTL225"/>
      <c r="UTM225"/>
      <c r="UTN225"/>
      <c r="UTO225"/>
      <c r="UTP225"/>
      <c r="UTQ225"/>
      <c r="UTR225"/>
      <c r="UTS225"/>
      <c r="UTT225"/>
      <c r="UTU225"/>
      <c r="UTV225"/>
      <c r="UTW225"/>
      <c r="UTX225"/>
      <c r="UTY225"/>
      <c r="UTZ225"/>
      <c r="UUA225"/>
      <c r="UUB225"/>
      <c r="UUC225"/>
      <c r="UUD225"/>
      <c r="UUE225"/>
      <c r="UUF225"/>
      <c r="UUG225"/>
      <c r="UUH225"/>
      <c r="UUI225"/>
      <c r="UUJ225"/>
      <c r="UUK225"/>
      <c r="UUL225"/>
      <c r="UUM225"/>
      <c r="UUN225"/>
      <c r="UUO225"/>
      <c r="UUP225"/>
      <c r="UUQ225"/>
      <c r="UUR225"/>
      <c r="UUS225"/>
      <c r="UUT225"/>
      <c r="UUU225"/>
      <c r="UUV225"/>
      <c r="UUW225"/>
      <c r="UUX225"/>
      <c r="UUY225"/>
      <c r="UUZ225"/>
      <c r="UVA225"/>
      <c r="UVB225"/>
      <c r="UVC225"/>
      <c r="UVD225"/>
      <c r="UVE225"/>
      <c r="UVF225"/>
      <c r="UVG225"/>
      <c r="UVH225"/>
      <c r="UVI225"/>
      <c r="UVJ225"/>
      <c r="UVK225"/>
      <c r="UVL225"/>
      <c r="UVM225"/>
      <c r="UVN225"/>
      <c r="UVO225"/>
      <c r="UVP225"/>
      <c r="UVQ225"/>
      <c r="UVR225"/>
      <c r="UVS225"/>
      <c r="UVT225"/>
      <c r="UVU225"/>
      <c r="UVV225"/>
      <c r="UVW225"/>
      <c r="UVX225"/>
      <c r="UVY225"/>
      <c r="UVZ225"/>
      <c r="UWA225"/>
      <c r="UWB225"/>
      <c r="UWC225"/>
      <c r="UWD225"/>
      <c r="UWE225"/>
      <c r="UWF225"/>
      <c r="UWG225"/>
      <c r="UWH225"/>
      <c r="UWI225"/>
      <c r="UWJ225"/>
      <c r="UWK225"/>
      <c r="UWL225"/>
      <c r="UWM225"/>
      <c r="UWN225"/>
      <c r="UWO225"/>
      <c r="UWP225"/>
      <c r="UWQ225"/>
      <c r="UWR225"/>
      <c r="UWS225"/>
      <c r="UWT225"/>
      <c r="UWU225"/>
      <c r="UWV225"/>
      <c r="UWW225"/>
      <c r="UWX225"/>
      <c r="UWY225"/>
      <c r="UWZ225"/>
      <c r="UXA225"/>
      <c r="UXB225"/>
      <c r="UXC225"/>
      <c r="UXD225"/>
      <c r="UXE225"/>
      <c r="UXF225"/>
      <c r="UXG225"/>
      <c r="UXH225"/>
      <c r="UXI225"/>
      <c r="UXJ225"/>
      <c r="UXK225"/>
      <c r="UXL225"/>
      <c r="UXM225"/>
      <c r="UXN225"/>
      <c r="UXO225"/>
      <c r="UXP225"/>
      <c r="UXQ225"/>
      <c r="UXR225"/>
      <c r="UXS225"/>
      <c r="UXT225"/>
      <c r="UXU225"/>
      <c r="UXV225"/>
      <c r="UXW225"/>
      <c r="UXX225"/>
      <c r="UXY225"/>
      <c r="UXZ225"/>
      <c r="UYA225"/>
      <c r="UYB225"/>
      <c r="UYC225"/>
      <c r="UYD225"/>
      <c r="UYE225"/>
      <c r="UYF225"/>
      <c r="UYG225"/>
      <c r="UYH225"/>
      <c r="UYI225"/>
      <c r="UYJ225"/>
      <c r="UYK225"/>
      <c r="UYL225"/>
      <c r="UYM225"/>
      <c r="UYN225"/>
      <c r="UYO225"/>
      <c r="UYP225"/>
      <c r="UYQ225"/>
      <c r="UYR225"/>
      <c r="UYS225"/>
      <c r="UYT225"/>
      <c r="UYU225"/>
      <c r="UYV225"/>
      <c r="UYW225"/>
      <c r="UYX225"/>
      <c r="UYY225"/>
      <c r="UYZ225"/>
      <c r="UZA225"/>
      <c r="UZB225"/>
      <c r="UZC225"/>
      <c r="UZD225"/>
      <c r="UZE225"/>
      <c r="UZF225"/>
      <c r="UZG225"/>
      <c r="UZH225"/>
      <c r="UZI225"/>
      <c r="UZJ225"/>
      <c r="UZK225"/>
      <c r="UZL225"/>
      <c r="UZM225"/>
      <c r="UZN225"/>
      <c r="UZO225"/>
      <c r="UZP225"/>
      <c r="UZQ225"/>
      <c r="UZR225"/>
      <c r="UZS225"/>
      <c r="UZT225"/>
      <c r="UZU225"/>
      <c r="UZV225"/>
      <c r="UZW225"/>
      <c r="UZX225"/>
      <c r="UZY225"/>
      <c r="UZZ225"/>
      <c r="VAA225"/>
      <c r="VAB225"/>
      <c r="VAC225"/>
      <c r="VAD225"/>
      <c r="VAE225"/>
      <c r="VAF225"/>
      <c r="VAG225"/>
      <c r="VAH225"/>
      <c r="VAI225"/>
      <c r="VAJ225"/>
      <c r="VAK225"/>
      <c r="VAL225"/>
      <c r="VAM225"/>
      <c r="VAN225"/>
      <c r="VAO225"/>
      <c r="VAP225"/>
      <c r="VAQ225"/>
      <c r="VAR225"/>
      <c r="VAS225"/>
      <c r="VAT225"/>
      <c r="VAU225"/>
      <c r="VAV225"/>
      <c r="VAW225"/>
      <c r="VAX225"/>
      <c r="VAY225"/>
      <c r="VAZ225"/>
      <c r="VBA225"/>
      <c r="VBB225"/>
      <c r="VBC225"/>
      <c r="VBD225"/>
      <c r="VBE225"/>
      <c r="VBF225"/>
      <c r="VBG225"/>
      <c r="VBH225"/>
      <c r="VBI225"/>
      <c r="VBJ225"/>
      <c r="VBK225"/>
      <c r="VBL225"/>
      <c r="VBM225"/>
      <c r="VBN225"/>
      <c r="VBO225"/>
      <c r="VBP225"/>
      <c r="VBQ225"/>
      <c r="VBR225"/>
      <c r="VBS225"/>
      <c r="VBT225"/>
      <c r="VBU225"/>
      <c r="VBV225"/>
      <c r="VBW225"/>
      <c r="VBX225"/>
      <c r="VBY225"/>
      <c r="VBZ225"/>
      <c r="VCA225"/>
      <c r="VCB225"/>
      <c r="VCC225"/>
      <c r="VCD225"/>
      <c r="VCE225"/>
      <c r="VCF225"/>
      <c r="VCG225"/>
      <c r="VCH225"/>
      <c r="VCI225"/>
      <c r="VCJ225"/>
      <c r="VCK225"/>
      <c r="VCL225"/>
      <c r="VCM225"/>
      <c r="VCN225"/>
      <c r="VCO225"/>
      <c r="VCP225"/>
      <c r="VCQ225"/>
      <c r="VCR225"/>
      <c r="VCS225"/>
      <c r="VCT225"/>
      <c r="VCU225"/>
      <c r="VCV225"/>
      <c r="VCW225"/>
      <c r="VCX225"/>
      <c r="VCY225"/>
      <c r="VCZ225"/>
      <c r="VDA225"/>
      <c r="VDB225"/>
      <c r="VDC225"/>
      <c r="VDD225"/>
      <c r="VDE225"/>
      <c r="VDF225"/>
      <c r="VDG225"/>
      <c r="VDH225"/>
      <c r="VDI225"/>
      <c r="VDJ225"/>
      <c r="VDK225"/>
      <c r="VDL225"/>
      <c r="VDM225"/>
      <c r="VDN225"/>
      <c r="VDO225"/>
      <c r="VDP225"/>
      <c r="VDQ225"/>
      <c r="VDR225"/>
      <c r="VDS225"/>
      <c r="VDT225"/>
      <c r="VDU225"/>
      <c r="VDV225"/>
      <c r="VDW225"/>
      <c r="VDX225"/>
      <c r="VDY225"/>
      <c r="VDZ225"/>
      <c r="VEA225"/>
      <c r="VEB225"/>
      <c r="VEC225"/>
      <c r="VED225"/>
      <c r="VEE225"/>
      <c r="VEF225"/>
      <c r="VEG225"/>
      <c r="VEH225"/>
      <c r="VEI225"/>
      <c r="VEJ225"/>
      <c r="VEK225"/>
      <c r="VEL225"/>
      <c r="VEM225"/>
      <c r="VEN225"/>
      <c r="VEO225"/>
      <c r="VEP225"/>
      <c r="VEQ225"/>
      <c r="VER225"/>
      <c r="VES225"/>
      <c r="VET225"/>
      <c r="VEU225"/>
      <c r="VEV225"/>
      <c r="VEW225"/>
      <c r="VEX225"/>
      <c r="VEY225"/>
      <c r="VEZ225"/>
      <c r="VFA225"/>
      <c r="VFB225"/>
      <c r="VFC225"/>
      <c r="VFD225"/>
      <c r="VFE225"/>
      <c r="VFF225"/>
      <c r="VFG225"/>
      <c r="VFH225"/>
      <c r="VFI225"/>
      <c r="VFJ225"/>
      <c r="VFK225"/>
      <c r="VFL225"/>
      <c r="VFM225"/>
      <c r="VFN225"/>
      <c r="VFO225"/>
      <c r="VFP225"/>
      <c r="VFQ225"/>
      <c r="VFR225"/>
      <c r="VFS225"/>
      <c r="VFT225"/>
      <c r="VFU225"/>
      <c r="VFV225"/>
      <c r="VFW225"/>
      <c r="VFX225"/>
      <c r="VFY225"/>
      <c r="VFZ225"/>
      <c r="VGA225"/>
      <c r="VGB225"/>
      <c r="VGC225"/>
      <c r="VGD225"/>
      <c r="VGE225"/>
      <c r="VGF225"/>
      <c r="VGG225"/>
      <c r="VGH225"/>
      <c r="VGI225"/>
      <c r="VGJ225"/>
      <c r="VGK225"/>
      <c r="VGL225"/>
      <c r="VGM225"/>
      <c r="VGN225"/>
      <c r="VGO225"/>
      <c r="VGP225"/>
      <c r="VGQ225"/>
      <c r="VGR225"/>
      <c r="VGS225"/>
      <c r="VGT225"/>
      <c r="VGU225"/>
      <c r="VGV225"/>
      <c r="VGW225"/>
      <c r="VGX225"/>
      <c r="VGY225"/>
      <c r="VGZ225"/>
      <c r="VHA225"/>
      <c r="VHB225"/>
      <c r="VHC225"/>
      <c r="VHD225"/>
      <c r="VHE225"/>
      <c r="VHF225"/>
      <c r="VHG225"/>
      <c r="VHH225"/>
      <c r="VHI225"/>
      <c r="VHJ225"/>
      <c r="VHK225"/>
      <c r="VHL225"/>
      <c r="VHM225"/>
      <c r="VHN225"/>
      <c r="VHO225"/>
      <c r="VHP225"/>
      <c r="VHQ225"/>
      <c r="VHR225"/>
      <c r="VHS225"/>
      <c r="VHT225"/>
      <c r="VHU225"/>
      <c r="VHV225"/>
      <c r="VHW225"/>
      <c r="VHX225"/>
      <c r="VHY225"/>
      <c r="VHZ225"/>
      <c r="VIA225"/>
      <c r="VIB225"/>
      <c r="VIC225"/>
      <c r="VID225"/>
      <c r="VIE225"/>
      <c r="VIF225"/>
      <c r="VIG225"/>
      <c r="VIH225"/>
      <c r="VII225"/>
      <c r="VIJ225"/>
      <c r="VIK225"/>
      <c r="VIL225"/>
      <c r="VIM225"/>
      <c r="VIN225"/>
      <c r="VIO225"/>
      <c r="VIP225"/>
      <c r="VIQ225"/>
      <c r="VIR225"/>
      <c r="VIS225"/>
      <c r="VIT225"/>
      <c r="VIU225"/>
      <c r="VIV225"/>
      <c r="VIW225"/>
      <c r="VIX225"/>
      <c r="VIY225"/>
      <c r="VIZ225"/>
      <c r="VJA225"/>
      <c r="VJB225"/>
      <c r="VJC225"/>
      <c r="VJD225"/>
      <c r="VJE225"/>
      <c r="VJF225"/>
      <c r="VJG225"/>
      <c r="VJH225"/>
      <c r="VJI225"/>
      <c r="VJJ225"/>
      <c r="VJK225"/>
      <c r="VJL225"/>
      <c r="VJM225"/>
      <c r="VJN225"/>
      <c r="VJO225"/>
      <c r="VJP225"/>
      <c r="VJQ225"/>
      <c r="VJR225"/>
      <c r="VJS225"/>
      <c r="VJT225"/>
      <c r="VJU225"/>
      <c r="VJV225"/>
      <c r="VJW225"/>
      <c r="VJX225"/>
      <c r="VJY225"/>
      <c r="VJZ225"/>
      <c r="VKA225"/>
      <c r="VKB225"/>
      <c r="VKC225"/>
      <c r="VKD225"/>
      <c r="VKE225"/>
      <c r="VKF225"/>
      <c r="VKG225"/>
      <c r="VKH225"/>
      <c r="VKI225"/>
      <c r="VKJ225"/>
      <c r="VKK225"/>
      <c r="VKL225"/>
      <c r="VKM225"/>
      <c r="VKN225"/>
      <c r="VKO225"/>
      <c r="VKP225"/>
      <c r="VKQ225"/>
      <c r="VKR225"/>
      <c r="VKS225"/>
      <c r="VKT225"/>
      <c r="VKU225"/>
      <c r="VKV225"/>
      <c r="VKW225"/>
      <c r="VKX225"/>
      <c r="VKY225"/>
      <c r="VKZ225"/>
      <c r="VLA225"/>
      <c r="VLB225"/>
      <c r="VLC225"/>
      <c r="VLD225"/>
      <c r="VLE225"/>
      <c r="VLF225"/>
      <c r="VLG225"/>
      <c r="VLH225"/>
      <c r="VLI225"/>
      <c r="VLJ225"/>
      <c r="VLK225"/>
      <c r="VLL225"/>
      <c r="VLM225"/>
      <c r="VLN225"/>
      <c r="VLO225"/>
      <c r="VLP225"/>
      <c r="VLQ225"/>
      <c r="VLR225"/>
      <c r="VLS225"/>
      <c r="VLT225"/>
      <c r="VLU225"/>
      <c r="VLV225"/>
      <c r="VLW225"/>
      <c r="VLX225"/>
      <c r="VLY225"/>
      <c r="VLZ225"/>
      <c r="VMA225"/>
      <c r="VMB225"/>
      <c r="VMC225"/>
      <c r="VMD225"/>
      <c r="VME225"/>
      <c r="VMF225"/>
      <c r="VMG225"/>
      <c r="VMH225"/>
      <c r="VMI225"/>
      <c r="VMJ225"/>
      <c r="VMK225"/>
      <c r="VML225"/>
      <c r="VMM225"/>
      <c r="VMN225"/>
      <c r="VMO225"/>
      <c r="VMP225"/>
      <c r="VMQ225"/>
      <c r="VMR225"/>
      <c r="VMS225"/>
      <c r="VMT225"/>
      <c r="VMU225"/>
      <c r="VMV225"/>
      <c r="VMW225"/>
      <c r="VMX225"/>
      <c r="VMY225"/>
      <c r="VMZ225"/>
      <c r="VNA225"/>
      <c r="VNB225"/>
      <c r="VNC225"/>
      <c r="VND225"/>
      <c r="VNE225"/>
      <c r="VNF225"/>
      <c r="VNG225"/>
      <c r="VNH225"/>
      <c r="VNI225"/>
      <c r="VNJ225"/>
      <c r="VNK225"/>
      <c r="VNL225"/>
      <c r="VNM225"/>
      <c r="VNN225"/>
      <c r="VNO225"/>
      <c r="VNP225"/>
      <c r="VNQ225"/>
      <c r="VNR225"/>
      <c r="VNS225"/>
      <c r="VNT225"/>
      <c r="VNU225"/>
      <c r="VNV225"/>
      <c r="VNW225"/>
      <c r="VNX225"/>
      <c r="VNY225"/>
      <c r="VNZ225"/>
      <c r="VOA225"/>
      <c r="VOB225"/>
      <c r="VOC225"/>
      <c r="VOD225"/>
      <c r="VOE225"/>
      <c r="VOF225"/>
      <c r="VOG225"/>
      <c r="VOH225"/>
      <c r="VOI225"/>
      <c r="VOJ225"/>
      <c r="VOK225"/>
      <c r="VOL225"/>
      <c r="VOM225"/>
      <c r="VON225"/>
      <c r="VOO225"/>
      <c r="VOP225"/>
      <c r="VOQ225"/>
      <c r="VOR225"/>
      <c r="VOS225"/>
      <c r="VOT225"/>
      <c r="VOU225"/>
      <c r="VOV225"/>
      <c r="VOW225"/>
      <c r="VOX225"/>
      <c r="VOY225"/>
      <c r="VOZ225"/>
      <c r="VPA225"/>
      <c r="VPB225"/>
      <c r="VPC225"/>
      <c r="VPD225"/>
      <c r="VPE225"/>
      <c r="VPF225"/>
      <c r="VPG225"/>
      <c r="VPH225"/>
      <c r="VPI225"/>
      <c r="VPJ225"/>
      <c r="VPK225"/>
      <c r="VPL225"/>
      <c r="VPM225"/>
      <c r="VPN225"/>
      <c r="VPO225"/>
      <c r="VPP225"/>
      <c r="VPQ225"/>
      <c r="VPR225"/>
      <c r="VPS225"/>
      <c r="VPT225"/>
      <c r="VPU225"/>
      <c r="VPV225"/>
      <c r="VPW225"/>
      <c r="VPX225"/>
      <c r="VPY225"/>
      <c r="VPZ225"/>
      <c r="VQA225"/>
      <c r="VQB225"/>
      <c r="VQC225"/>
      <c r="VQD225"/>
      <c r="VQE225"/>
      <c r="VQF225"/>
      <c r="VQG225"/>
      <c r="VQH225"/>
      <c r="VQI225"/>
      <c r="VQJ225"/>
      <c r="VQK225"/>
      <c r="VQL225"/>
      <c r="VQM225"/>
      <c r="VQN225"/>
      <c r="VQO225"/>
      <c r="VQP225"/>
      <c r="VQQ225"/>
      <c r="VQR225"/>
      <c r="VQS225"/>
      <c r="VQT225"/>
      <c r="VQU225"/>
      <c r="VQV225"/>
      <c r="VQW225"/>
      <c r="VQX225"/>
      <c r="VQY225"/>
      <c r="VQZ225"/>
      <c r="VRA225"/>
      <c r="VRB225"/>
      <c r="VRC225"/>
      <c r="VRD225"/>
      <c r="VRE225"/>
      <c r="VRF225"/>
      <c r="VRG225"/>
      <c r="VRH225"/>
      <c r="VRI225"/>
      <c r="VRJ225"/>
      <c r="VRK225"/>
      <c r="VRL225"/>
      <c r="VRM225"/>
      <c r="VRN225"/>
      <c r="VRO225"/>
      <c r="VRP225"/>
      <c r="VRQ225"/>
      <c r="VRR225"/>
      <c r="VRS225"/>
      <c r="VRT225"/>
      <c r="VRU225"/>
      <c r="VRV225"/>
      <c r="VRW225"/>
      <c r="VRX225"/>
      <c r="VRY225"/>
      <c r="VRZ225"/>
      <c r="VSA225"/>
      <c r="VSB225"/>
      <c r="VSC225"/>
      <c r="VSD225"/>
      <c r="VSE225"/>
      <c r="VSF225"/>
      <c r="VSG225"/>
      <c r="VSH225"/>
      <c r="VSI225"/>
      <c r="VSJ225"/>
      <c r="VSK225"/>
      <c r="VSL225"/>
      <c r="VSM225"/>
      <c r="VSN225"/>
      <c r="VSO225"/>
      <c r="VSP225"/>
      <c r="VSQ225"/>
      <c r="VSR225"/>
      <c r="VSS225"/>
      <c r="VST225"/>
      <c r="VSU225"/>
      <c r="VSV225"/>
      <c r="VSW225"/>
      <c r="VSX225"/>
      <c r="VSY225"/>
      <c r="VSZ225"/>
      <c r="VTA225"/>
      <c r="VTB225"/>
      <c r="VTC225"/>
      <c r="VTD225"/>
      <c r="VTE225"/>
      <c r="VTF225"/>
      <c r="VTG225"/>
      <c r="VTH225"/>
      <c r="VTI225"/>
      <c r="VTJ225"/>
      <c r="VTK225"/>
      <c r="VTL225"/>
      <c r="VTM225"/>
      <c r="VTN225"/>
      <c r="VTO225"/>
      <c r="VTP225"/>
      <c r="VTQ225"/>
      <c r="VTR225"/>
      <c r="VTS225"/>
      <c r="VTT225"/>
      <c r="VTU225"/>
      <c r="VTV225"/>
      <c r="VTW225"/>
      <c r="VTX225"/>
      <c r="VTY225"/>
      <c r="VTZ225"/>
      <c r="VUA225"/>
      <c r="VUB225"/>
      <c r="VUC225"/>
      <c r="VUD225"/>
      <c r="VUE225"/>
      <c r="VUF225"/>
      <c r="VUG225"/>
      <c r="VUH225"/>
      <c r="VUI225"/>
      <c r="VUJ225"/>
      <c r="VUK225"/>
      <c r="VUL225"/>
      <c r="VUM225"/>
      <c r="VUN225"/>
      <c r="VUO225"/>
      <c r="VUP225"/>
      <c r="VUQ225"/>
      <c r="VUR225"/>
      <c r="VUS225"/>
      <c r="VUT225"/>
      <c r="VUU225"/>
      <c r="VUV225"/>
      <c r="VUW225"/>
      <c r="VUX225"/>
      <c r="VUY225"/>
      <c r="VUZ225"/>
      <c r="VVA225"/>
      <c r="VVB225"/>
      <c r="VVC225"/>
      <c r="VVD225"/>
      <c r="VVE225"/>
      <c r="VVF225"/>
      <c r="VVG225"/>
      <c r="VVH225"/>
      <c r="VVI225"/>
      <c r="VVJ225"/>
      <c r="VVK225"/>
      <c r="VVL225"/>
      <c r="VVM225"/>
      <c r="VVN225"/>
      <c r="VVO225"/>
      <c r="VVP225"/>
      <c r="VVQ225"/>
      <c r="VVR225"/>
      <c r="VVS225"/>
      <c r="VVT225"/>
      <c r="VVU225"/>
      <c r="VVV225"/>
      <c r="VVW225"/>
      <c r="VVX225"/>
      <c r="VVY225"/>
      <c r="VVZ225"/>
      <c r="VWA225"/>
      <c r="VWB225"/>
      <c r="VWC225"/>
      <c r="VWD225"/>
      <c r="VWE225"/>
      <c r="VWF225"/>
      <c r="VWG225"/>
      <c r="VWH225"/>
      <c r="VWI225"/>
      <c r="VWJ225"/>
      <c r="VWK225"/>
      <c r="VWL225"/>
      <c r="VWM225"/>
      <c r="VWN225"/>
      <c r="VWO225"/>
      <c r="VWP225"/>
      <c r="VWQ225"/>
      <c r="VWR225"/>
      <c r="VWS225"/>
      <c r="VWT225"/>
      <c r="VWU225"/>
      <c r="VWV225"/>
      <c r="VWW225"/>
      <c r="VWX225"/>
      <c r="VWY225"/>
      <c r="VWZ225"/>
      <c r="VXA225"/>
      <c r="VXB225"/>
      <c r="VXC225"/>
      <c r="VXD225"/>
      <c r="VXE225"/>
      <c r="VXF225"/>
      <c r="VXG225"/>
      <c r="VXH225"/>
      <c r="VXI225"/>
      <c r="VXJ225"/>
      <c r="VXK225"/>
      <c r="VXL225"/>
      <c r="VXM225"/>
      <c r="VXN225"/>
      <c r="VXO225"/>
      <c r="VXP225"/>
      <c r="VXQ225"/>
      <c r="VXR225"/>
      <c r="VXS225"/>
      <c r="VXT225"/>
      <c r="VXU225"/>
      <c r="VXV225"/>
      <c r="VXW225"/>
      <c r="VXX225"/>
      <c r="VXY225"/>
      <c r="VXZ225"/>
      <c r="VYA225"/>
      <c r="VYB225"/>
      <c r="VYC225"/>
      <c r="VYD225"/>
      <c r="VYE225"/>
      <c r="VYF225"/>
      <c r="VYG225"/>
      <c r="VYH225"/>
      <c r="VYI225"/>
      <c r="VYJ225"/>
      <c r="VYK225"/>
      <c r="VYL225"/>
      <c r="VYM225"/>
      <c r="VYN225"/>
      <c r="VYO225"/>
      <c r="VYP225"/>
      <c r="VYQ225"/>
      <c r="VYR225"/>
      <c r="VYS225"/>
      <c r="VYT225"/>
      <c r="VYU225"/>
      <c r="VYV225"/>
      <c r="VYW225"/>
      <c r="VYX225"/>
      <c r="VYY225"/>
      <c r="VYZ225"/>
      <c r="VZA225"/>
      <c r="VZB225"/>
      <c r="VZC225"/>
      <c r="VZD225"/>
      <c r="VZE225"/>
      <c r="VZF225"/>
      <c r="VZG225"/>
      <c r="VZH225"/>
      <c r="VZI225"/>
      <c r="VZJ225"/>
      <c r="VZK225"/>
      <c r="VZL225"/>
      <c r="VZM225"/>
      <c r="VZN225"/>
      <c r="VZO225"/>
      <c r="VZP225"/>
      <c r="VZQ225"/>
      <c r="VZR225"/>
      <c r="VZS225"/>
      <c r="VZT225"/>
      <c r="VZU225"/>
      <c r="VZV225"/>
      <c r="VZW225"/>
      <c r="VZX225"/>
      <c r="VZY225"/>
      <c r="VZZ225"/>
      <c r="WAA225"/>
      <c r="WAB225"/>
      <c r="WAC225"/>
      <c r="WAD225"/>
      <c r="WAE225"/>
      <c r="WAF225"/>
      <c r="WAG225"/>
      <c r="WAH225"/>
      <c r="WAI225"/>
      <c r="WAJ225"/>
      <c r="WAK225"/>
      <c r="WAL225"/>
      <c r="WAM225"/>
      <c r="WAN225"/>
      <c r="WAO225"/>
      <c r="WAP225"/>
      <c r="WAQ225"/>
      <c r="WAR225"/>
      <c r="WAS225"/>
      <c r="WAT225"/>
      <c r="WAU225"/>
      <c r="WAV225"/>
      <c r="WAW225"/>
      <c r="WAX225"/>
      <c r="WAY225"/>
      <c r="WAZ225"/>
      <c r="WBA225"/>
      <c r="WBB225"/>
      <c r="WBC225"/>
      <c r="WBD225"/>
      <c r="WBE225"/>
      <c r="WBF225"/>
      <c r="WBG225"/>
      <c r="WBH225"/>
      <c r="WBI225"/>
      <c r="WBJ225"/>
      <c r="WBK225"/>
      <c r="WBL225"/>
      <c r="WBM225"/>
      <c r="WBN225"/>
      <c r="WBO225"/>
      <c r="WBP225"/>
      <c r="WBQ225"/>
      <c r="WBR225"/>
      <c r="WBS225"/>
      <c r="WBT225"/>
      <c r="WBU225"/>
      <c r="WBV225"/>
      <c r="WBW225"/>
      <c r="WBX225"/>
      <c r="WBY225"/>
      <c r="WBZ225"/>
      <c r="WCA225"/>
      <c r="WCB225"/>
      <c r="WCC225"/>
      <c r="WCD225"/>
      <c r="WCE225"/>
      <c r="WCF225"/>
      <c r="WCG225"/>
      <c r="WCH225"/>
      <c r="WCI225"/>
      <c r="WCJ225"/>
      <c r="WCK225"/>
      <c r="WCL225"/>
      <c r="WCM225"/>
      <c r="WCN225"/>
      <c r="WCO225"/>
      <c r="WCP225"/>
      <c r="WCQ225"/>
      <c r="WCR225"/>
      <c r="WCS225"/>
      <c r="WCT225"/>
      <c r="WCU225"/>
      <c r="WCV225"/>
      <c r="WCW225"/>
      <c r="WCX225"/>
      <c r="WCY225"/>
      <c r="WCZ225"/>
      <c r="WDA225"/>
      <c r="WDB225"/>
      <c r="WDC225"/>
      <c r="WDD225"/>
      <c r="WDE225"/>
      <c r="WDF225"/>
      <c r="WDG225"/>
      <c r="WDH225"/>
      <c r="WDI225"/>
      <c r="WDJ225"/>
      <c r="WDK225"/>
      <c r="WDL225"/>
      <c r="WDM225"/>
      <c r="WDN225"/>
      <c r="WDO225"/>
      <c r="WDP225"/>
      <c r="WDQ225"/>
      <c r="WDR225"/>
      <c r="WDS225"/>
      <c r="WDT225"/>
      <c r="WDU225"/>
      <c r="WDV225"/>
      <c r="WDW225"/>
      <c r="WDX225"/>
      <c r="WDY225"/>
      <c r="WDZ225"/>
      <c r="WEA225"/>
      <c r="WEB225"/>
      <c r="WEC225"/>
      <c r="WED225"/>
      <c r="WEE225"/>
      <c r="WEF225"/>
      <c r="WEG225"/>
      <c r="WEH225"/>
      <c r="WEI225"/>
      <c r="WEJ225"/>
      <c r="WEK225"/>
      <c r="WEL225"/>
      <c r="WEM225"/>
      <c r="WEN225"/>
      <c r="WEO225"/>
      <c r="WEP225"/>
      <c r="WEQ225"/>
      <c r="WER225"/>
      <c r="WES225"/>
      <c r="WET225"/>
      <c r="WEU225"/>
      <c r="WEV225"/>
      <c r="WEW225"/>
      <c r="WEX225"/>
      <c r="WEY225"/>
      <c r="WEZ225"/>
      <c r="WFA225"/>
      <c r="WFB225"/>
      <c r="WFC225"/>
      <c r="WFD225"/>
      <c r="WFE225"/>
      <c r="WFF225"/>
      <c r="WFG225"/>
      <c r="WFH225"/>
      <c r="WFI225"/>
      <c r="WFJ225"/>
      <c r="WFK225"/>
      <c r="WFL225"/>
      <c r="WFM225"/>
      <c r="WFN225"/>
      <c r="WFO225"/>
      <c r="WFP225"/>
      <c r="WFQ225"/>
      <c r="WFR225"/>
      <c r="WFS225"/>
      <c r="WFT225"/>
      <c r="WFU225"/>
      <c r="WFV225"/>
      <c r="WFW225"/>
      <c r="WFX225"/>
      <c r="WFY225"/>
      <c r="WFZ225"/>
      <c r="WGA225"/>
      <c r="WGB225"/>
      <c r="WGC225"/>
      <c r="WGD225"/>
      <c r="WGE225"/>
      <c r="WGF225"/>
      <c r="WGG225"/>
      <c r="WGH225"/>
      <c r="WGI225"/>
      <c r="WGJ225"/>
      <c r="WGK225"/>
      <c r="WGL225"/>
      <c r="WGM225"/>
      <c r="WGN225"/>
      <c r="WGO225"/>
      <c r="WGP225"/>
      <c r="WGQ225"/>
      <c r="WGR225"/>
      <c r="WGS225"/>
      <c r="WGT225"/>
      <c r="WGU225"/>
      <c r="WGV225"/>
      <c r="WGW225"/>
      <c r="WGX225"/>
      <c r="WGY225"/>
      <c r="WGZ225"/>
      <c r="WHA225"/>
      <c r="WHB225"/>
      <c r="WHC225"/>
      <c r="WHD225"/>
      <c r="WHE225"/>
      <c r="WHF225"/>
      <c r="WHG225"/>
      <c r="WHH225"/>
      <c r="WHI225"/>
      <c r="WHJ225"/>
      <c r="WHK225"/>
      <c r="WHL225"/>
      <c r="WHM225"/>
      <c r="WHN225"/>
      <c r="WHO225"/>
      <c r="WHP225"/>
      <c r="WHQ225"/>
      <c r="WHR225"/>
      <c r="WHS225"/>
      <c r="WHT225"/>
      <c r="WHU225"/>
      <c r="WHV225"/>
      <c r="WHW225"/>
      <c r="WHX225"/>
      <c r="WHY225"/>
      <c r="WHZ225"/>
      <c r="WIA225"/>
      <c r="WIB225"/>
      <c r="WIC225"/>
      <c r="WID225"/>
      <c r="WIE225"/>
      <c r="WIF225"/>
      <c r="WIG225"/>
      <c r="WIH225"/>
      <c r="WII225"/>
      <c r="WIJ225"/>
      <c r="WIK225"/>
      <c r="WIL225"/>
      <c r="WIM225"/>
      <c r="WIN225"/>
      <c r="WIO225"/>
      <c r="WIP225"/>
      <c r="WIQ225"/>
      <c r="WIR225"/>
      <c r="WIS225"/>
      <c r="WIT225"/>
      <c r="WIU225"/>
      <c r="WIV225"/>
      <c r="WIW225"/>
      <c r="WIX225"/>
      <c r="WIY225"/>
      <c r="WIZ225"/>
      <c r="WJA225"/>
      <c r="WJB225"/>
      <c r="WJC225"/>
      <c r="WJD225"/>
      <c r="WJE225"/>
      <c r="WJF225"/>
      <c r="WJG225"/>
      <c r="WJH225"/>
      <c r="WJI225"/>
      <c r="WJJ225"/>
      <c r="WJK225"/>
      <c r="WJL225"/>
      <c r="WJM225"/>
      <c r="WJN225"/>
      <c r="WJO225"/>
      <c r="WJP225"/>
      <c r="WJQ225"/>
      <c r="WJR225"/>
      <c r="WJS225"/>
      <c r="WJT225"/>
      <c r="WJU225"/>
      <c r="WJV225"/>
      <c r="WJW225"/>
      <c r="WJX225"/>
      <c r="WJY225"/>
      <c r="WJZ225"/>
      <c r="WKA225"/>
      <c r="WKB225"/>
      <c r="WKC225"/>
      <c r="WKD225"/>
      <c r="WKE225"/>
      <c r="WKF225"/>
      <c r="WKG225"/>
      <c r="WKH225"/>
      <c r="WKI225"/>
      <c r="WKJ225"/>
      <c r="WKK225"/>
      <c r="WKL225"/>
      <c r="WKM225"/>
      <c r="WKN225"/>
      <c r="WKO225"/>
      <c r="WKP225"/>
      <c r="WKQ225"/>
      <c r="WKR225"/>
      <c r="WKS225"/>
      <c r="WKT225"/>
      <c r="WKU225"/>
      <c r="WKV225"/>
      <c r="WKW225"/>
      <c r="WKX225"/>
      <c r="WKY225"/>
      <c r="WKZ225"/>
      <c r="WLA225"/>
      <c r="WLB225"/>
      <c r="WLC225"/>
      <c r="WLD225"/>
      <c r="WLE225"/>
      <c r="WLF225"/>
      <c r="WLG225"/>
      <c r="WLH225"/>
      <c r="WLI225"/>
      <c r="WLJ225"/>
      <c r="WLK225"/>
      <c r="WLL225"/>
      <c r="WLM225"/>
      <c r="WLN225"/>
      <c r="WLO225"/>
      <c r="WLP225"/>
      <c r="WLQ225"/>
      <c r="WLR225"/>
      <c r="WLS225"/>
      <c r="WLT225"/>
      <c r="WLU225"/>
      <c r="WLV225"/>
      <c r="WLW225"/>
      <c r="WLX225"/>
      <c r="WLY225"/>
      <c r="WLZ225"/>
      <c r="WMA225"/>
      <c r="WMB225"/>
      <c r="WMC225"/>
      <c r="WMD225"/>
      <c r="WME225"/>
      <c r="WMF225"/>
      <c r="WMG225"/>
      <c r="WMH225"/>
      <c r="WMI225"/>
      <c r="WMJ225"/>
      <c r="WMK225"/>
      <c r="WML225"/>
      <c r="WMM225"/>
      <c r="WMN225"/>
      <c r="WMO225"/>
      <c r="WMP225"/>
      <c r="WMQ225"/>
      <c r="WMR225"/>
      <c r="WMS225"/>
      <c r="WMT225"/>
      <c r="WMU225"/>
      <c r="WMV225"/>
      <c r="WMW225"/>
      <c r="WMX225"/>
      <c r="WMY225"/>
      <c r="WMZ225"/>
      <c r="WNA225"/>
      <c r="WNB225"/>
      <c r="WNC225"/>
      <c r="WND225"/>
      <c r="WNE225"/>
      <c r="WNF225"/>
      <c r="WNG225"/>
      <c r="WNH225"/>
      <c r="WNI225"/>
      <c r="WNJ225"/>
      <c r="WNK225"/>
      <c r="WNL225"/>
      <c r="WNM225"/>
      <c r="WNN225"/>
      <c r="WNO225"/>
      <c r="WNP225"/>
      <c r="WNQ225"/>
      <c r="WNR225"/>
      <c r="WNS225"/>
      <c r="WNT225"/>
      <c r="WNU225"/>
      <c r="WNV225"/>
      <c r="WNW225"/>
      <c r="WNX225"/>
      <c r="WNY225"/>
      <c r="WNZ225"/>
      <c r="WOA225"/>
      <c r="WOB225"/>
      <c r="WOC225"/>
      <c r="WOD225"/>
      <c r="WOE225"/>
      <c r="WOF225"/>
      <c r="WOG225"/>
      <c r="WOH225"/>
      <c r="WOI225"/>
      <c r="WOJ225"/>
      <c r="WOK225"/>
      <c r="WOL225"/>
      <c r="WOM225"/>
      <c r="WON225"/>
      <c r="WOO225"/>
      <c r="WOP225"/>
      <c r="WOQ225"/>
      <c r="WOR225"/>
      <c r="WOS225"/>
      <c r="WOT225"/>
      <c r="WOU225"/>
      <c r="WOV225"/>
      <c r="WOW225"/>
      <c r="WOX225"/>
      <c r="WOY225"/>
      <c r="WOZ225"/>
      <c r="WPA225"/>
      <c r="WPB225"/>
      <c r="WPC225"/>
      <c r="WPD225"/>
      <c r="WPE225"/>
      <c r="WPF225"/>
      <c r="WPG225"/>
      <c r="WPH225"/>
      <c r="WPI225"/>
      <c r="WPJ225"/>
      <c r="WPK225"/>
      <c r="WPL225"/>
      <c r="WPM225"/>
      <c r="WPN225"/>
      <c r="WPO225"/>
      <c r="WPP225"/>
      <c r="WPQ225"/>
      <c r="WPR225"/>
      <c r="WPS225"/>
      <c r="WPT225"/>
      <c r="WPU225"/>
      <c r="WPV225"/>
      <c r="WPW225"/>
      <c r="WPX225"/>
      <c r="WPY225"/>
      <c r="WPZ225"/>
      <c r="WQA225"/>
      <c r="WQB225"/>
      <c r="WQC225"/>
      <c r="WQD225"/>
      <c r="WQE225"/>
      <c r="WQF225"/>
      <c r="WQG225"/>
      <c r="WQH225"/>
      <c r="WQI225"/>
      <c r="WQJ225"/>
      <c r="WQK225"/>
      <c r="WQL225"/>
      <c r="WQM225"/>
      <c r="WQN225"/>
      <c r="WQO225"/>
      <c r="WQP225"/>
      <c r="WQQ225"/>
      <c r="WQR225"/>
      <c r="WQS225"/>
      <c r="WQT225"/>
      <c r="WQU225"/>
      <c r="WQV225"/>
      <c r="WQW225"/>
      <c r="WQX225"/>
      <c r="WQY225"/>
      <c r="WQZ225"/>
      <c r="WRA225"/>
      <c r="WRB225"/>
      <c r="WRC225"/>
      <c r="WRD225"/>
      <c r="WRE225"/>
      <c r="WRF225"/>
      <c r="WRG225"/>
      <c r="WRH225"/>
      <c r="WRI225"/>
      <c r="WRJ225"/>
      <c r="WRK225"/>
      <c r="WRL225"/>
      <c r="WRM225"/>
      <c r="WRN225"/>
      <c r="WRO225"/>
      <c r="WRP225"/>
      <c r="WRQ225"/>
      <c r="WRR225"/>
      <c r="WRS225"/>
      <c r="WRT225"/>
      <c r="WRU225"/>
      <c r="WRV225"/>
      <c r="WRW225"/>
      <c r="WRX225"/>
      <c r="WRY225"/>
      <c r="WRZ225"/>
      <c r="WSA225"/>
      <c r="WSB225"/>
      <c r="WSC225"/>
      <c r="WSD225"/>
      <c r="WSE225"/>
      <c r="WSF225"/>
      <c r="WSG225"/>
      <c r="WSH225"/>
      <c r="WSI225"/>
      <c r="WSJ225"/>
      <c r="WSK225"/>
      <c r="WSL225"/>
      <c r="WSM225"/>
      <c r="WSN225"/>
      <c r="WSO225"/>
      <c r="WSP225"/>
      <c r="WSQ225"/>
      <c r="WSR225"/>
      <c r="WSS225"/>
      <c r="WST225"/>
      <c r="WSU225"/>
      <c r="WSV225"/>
      <c r="WSW225"/>
      <c r="WSX225"/>
      <c r="WSY225"/>
      <c r="WSZ225"/>
      <c r="WTA225"/>
      <c r="WTB225"/>
      <c r="WTC225"/>
      <c r="WTD225"/>
      <c r="WTE225"/>
      <c r="WTF225"/>
      <c r="WTG225"/>
      <c r="WTH225"/>
      <c r="WTI225"/>
      <c r="WTJ225"/>
      <c r="WTK225"/>
      <c r="WTL225"/>
      <c r="WTM225"/>
      <c r="WTN225"/>
      <c r="WTO225"/>
      <c r="WTP225"/>
      <c r="WTQ225"/>
      <c r="WTR225"/>
      <c r="WTS225"/>
      <c r="WTT225"/>
      <c r="WTU225"/>
      <c r="WTV225"/>
      <c r="WTW225"/>
      <c r="WTX225"/>
      <c r="WTY225"/>
      <c r="WTZ225"/>
      <c r="WUA225"/>
      <c r="WUB225"/>
      <c r="WUC225"/>
      <c r="WUD225"/>
      <c r="WUE225"/>
      <c r="WUF225"/>
      <c r="WUG225"/>
      <c r="WUH225"/>
      <c r="WUI225"/>
      <c r="WUJ225"/>
      <c r="WUK225"/>
      <c r="WUL225"/>
      <c r="WUM225"/>
      <c r="WUN225"/>
      <c r="WUO225"/>
      <c r="WUP225"/>
      <c r="WUQ225"/>
      <c r="WUR225"/>
      <c r="WUS225"/>
      <c r="WUT225"/>
      <c r="WUU225"/>
      <c r="WUV225"/>
      <c r="WUW225"/>
      <c r="WUX225"/>
      <c r="WUY225"/>
      <c r="WUZ225"/>
      <c r="WVA225"/>
      <c r="WVB225"/>
      <c r="WVC225"/>
      <c r="WVD225"/>
      <c r="WVE225"/>
      <c r="WVF225"/>
      <c r="WVG225"/>
      <c r="WVH225"/>
      <c r="WVI225"/>
      <c r="WVJ225"/>
      <c r="WVK225"/>
      <c r="WVL225"/>
      <c r="WVM225"/>
      <c r="WVN225"/>
      <c r="WVO225"/>
      <c r="WVP225"/>
      <c r="WVQ225"/>
      <c r="WVR225"/>
      <c r="WVS225"/>
      <c r="WVT225"/>
      <c r="WVU225"/>
      <c r="WVV225"/>
      <c r="WVW225"/>
      <c r="WVX225"/>
      <c r="WVY225"/>
      <c r="WVZ225"/>
      <c r="WWA225"/>
      <c r="WWB225"/>
      <c r="WWC225"/>
      <c r="WWD225"/>
      <c r="WWE225"/>
      <c r="WWF225"/>
      <c r="WWG225"/>
      <c r="WWH225"/>
      <c r="WWI225"/>
      <c r="WWJ225"/>
      <c r="WWK225"/>
      <c r="WWL225"/>
      <c r="WWM225"/>
      <c r="WWN225"/>
      <c r="WWO225"/>
      <c r="WWP225"/>
      <c r="WWQ225"/>
      <c r="WWR225"/>
      <c r="WWS225"/>
      <c r="WWT225"/>
      <c r="WWU225"/>
      <c r="WWV225"/>
      <c r="WWW225"/>
      <c r="WWX225"/>
      <c r="WWY225"/>
      <c r="WWZ225"/>
      <c r="WXA225"/>
      <c r="WXB225"/>
      <c r="WXC225"/>
      <c r="WXD225"/>
      <c r="WXE225"/>
      <c r="WXF225"/>
      <c r="WXG225"/>
      <c r="WXH225"/>
      <c r="WXI225"/>
      <c r="WXJ225"/>
      <c r="WXK225"/>
      <c r="WXL225"/>
      <c r="WXM225"/>
      <c r="WXN225"/>
      <c r="WXO225"/>
      <c r="WXP225"/>
      <c r="WXQ225"/>
      <c r="WXR225"/>
      <c r="WXS225"/>
      <c r="WXT225"/>
      <c r="WXU225"/>
      <c r="WXV225"/>
      <c r="WXW225"/>
      <c r="WXX225"/>
      <c r="WXY225"/>
      <c r="WXZ225"/>
      <c r="WYA225"/>
      <c r="WYB225"/>
      <c r="WYC225"/>
      <c r="WYD225"/>
      <c r="WYE225"/>
      <c r="WYF225"/>
      <c r="WYG225"/>
      <c r="WYH225"/>
      <c r="WYI225"/>
      <c r="WYJ225"/>
      <c r="WYK225"/>
      <c r="WYL225"/>
      <c r="WYM225"/>
      <c r="WYN225"/>
      <c r="WYO225"/>
      <c r="WYP225"/>
      <c r="WYQ225"/>
      <c r="WYR225"/>
      <c r="WYS225"/>
      <c r="WYT225"/>
      <c r="WYU225"/>
      <c r="WYV225"/>
      <c r="WYW225"/>
      <c r="WYX225"/>
      <c r="WYY225"/>
      <c r="WYZ225"/>
      <c r="WZA225"/>
      <c r="WZB225"/>
      <c r="WZC225"/>
      <c r="WZD225"/>
      <c r="WZE225"/>
      <c r="WZF225"/>
      <c r="WZG225"/>
      <c r="WZH225"/>
      <c r="WZI225"/>
      <c r="WZJ225"/>
      <c r="WZK225"/>
      <c r="WZL225"/>
      <c r="WZM225"/>
      <c r="WZN225"/>
      <c r="WZO225"/>
      <c r="WZP225"/>
      <c r="WZQ225"/>
      <c r="WZR225"/>
      <c r="WZS225"/>
      <c r="WZT225"/>
      <c r="WZU225"/>
      <c r="WZV225"/>
      <c r="WZW225"/>
      <c r="WZX225"/>
      <c r="WZY225"/>
      <c r="WZZ225"/>
      <c r="XAA225"/>
      <c r="XAB225"/>
      <c r="XAC225"/>
      <c r="XAD225"/>
      <c r="XAE225"/>
      <c r="XAF225"/>
      <c r="XAG225"/>
      <c r="XAH225"/>
      <c r="XAI225"/>
      <c r="XAJ225"/>
      <c r="XAK225"/>
      <c r="XAL225"/>
      <c r="XAM225"/>
      <c r="XAN225"/>
      <c r="XAO225"/>
      <c r="XAP225"/>
      <c r="XAQ225"/>
      <c r="XAR225"/>
      <c r="XAS225"/>
      <c r="XAT225"/>
      <c r="XAU225"/>
      <c r="XAV225"/>
      <c r="XAW225"/>
      <c r="XAX225"/>
      <c r="XAY225"/>
      <c r="XAZ225"/>
      <c r="XBA225"/>
      <c r="XBB225"/>
      <c r="XBC225"/>
      <c r="XBD225"/>
      <c r="XBE225"/>
      <c r="XBF225"/>
      <c r="XBG225"/>
      <c r="XBH225"/>
      <c r="XBI225"/>
      <c r="XBJ225"/>
      <c r="XBK225"/>
      <c r="XBL225"/>
      <c r="XBM225"/>
      <c r="XBN225"/>
      <c r="XBO225"/>
      <c r="XBP225"/>
      <c r="XBQ225"/>
      <c r="XBR225"/>
      <c r="XBS225"/>
      <c r="XBT225"/>
      <c r="XBU225"/>
      <c r="XBV225"/>
      <c r="XBW225"/>
      <c r="XBX225"/>
      <c r="XBY225"/>
      <c r="XBZ225"/>
      <c r="XCA225"/>
      <c r="XCB225"/>
      <c r="XCC225"/>
      <c r="XCD225"/>
      <c r="XCE225"/>
      <c r="XCF225"/>
      <c r="XCG225"/>
      <c r="XCH225"/>
      <c r="XCI225"/>
      <c r="XCJ225"/>
      <c r="XCK225"/>
      <c r="XCL225"/>
      <c r="XCM225"/>
      <c r="XCN225"/>
      <c r="XCO225"/>
      <c r="XCP225"/>
      <c r="XCQ225"/>
      <c r="XCR225"/>
      <c r="XCS225"/>
      <c r="XCT225"/>
      <c r="XCU225"/>
      <c r="XCV225"/>
      <c r="XCW225"/>
      <c r="XCX225"/>
      <c r="XCY225"/>
      <c r="XCZ225"/>
      <c r="XDA225"/>
      <c r="XDB225"/>
      <c r="XDC225"/>
      <c r="XDD225"/>
      <c r="XDE225"/>
      <c r="XDF225"/>
      <c r="XDG225"/>
      <c r="XDH225"/>
      <c r="XDI225"/>
      <c r="XDJ225"/>
      <c r="XDK225"/>
      <c r="XDL225"/>
      <c r="XDM225"/>
      <c r="XDN225"/>
      <c r="XDO225"/>
      <c r="XDP225"/>
      <c r="XDQ225"/>
      <c r="XDR225"/>
      <c r="XDS225"/>
      <c r="XDT225"/>
      <c r="XDU225"/>
      <c r="XDV225"/>
      <c r="XDW225"/>
      <c r="XDX225"/>
      <c r="XDY225"/>
      <c r="XDZ225"/>
      <c r="XEA225"/>
      <c r="XEB225"/>
      <c r="XEC225"/>
      <c r="XED225"/>
      <c r="XEE225"/>
      <c r="XEF225"/>
      <c r="XEG225"/>
      <c r="XEH225"/>
      <c r="XEI225"/>
      <c r="XEJ225"/>
      <c r="XEK225"/>
      <c r="XEL225"/>
      <c r="XEM225"/>
      <c r="XEN225"/>
      <c r="XEO225"/>
      <c r="XEP225"/>
      <c r="XEQ225"/>
      <c r="XER225"/>
      <c r="XES225"/>
      <c r="XET225"/>
      <c r="XEU225"/>
      <c r="XEV225"/>
      <c r="XEW225"/>
      <c r="XEX225"/>
      <c r="XEY225"/>
      <c r="XEZ225"/>
      <c r="XFA225"/>
      <c r="XFB225"/>
      <c r="XFC225"/>
      <c r="XFD225"/>
    </row>
  </sheetData>
  <mergeCells count="8">
    <mergeCell ref="B158:E158"/>
    <mergeCell ref="B188:E188"/>
    <mergeCell ref="B7:E7"/>
    <mergeCell ref="B15:E15"/>
    <mergeCell ref="B44:E44"/>
    <mergeCell ref="B58:E58"/>
    <mergeCell ref="B118:E118"/>
    <mergeCell ref="B88:E88"/>
  </mergeCells>
  <pageMargins left="0.7" right="0.7" top="0.75" bottom="0.75" header="0.3" footer="0.3"/>
  <pageSetup orientation="portrait" r:id="rId1"/>
  <drawing r:id="rId2"/>
  <mc:AlternateContent xmlns:mc="http://schemas.openxmlformats.org/markup-compatibility/2006">
    <mc:Choice Requires="v">
      <legacyDrawing r:id="rId3"/>
    </mc:Choice>
  </mc:AlternateContent>
</worksheet>
</file>

<file path=xl/worksheets/sheet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F6D7D2-41C4-4529-BF72-622E707C40F8}">
  <sheetPr codeName="Sheet3"/>
  <dimension ref="A1:CP506"/>
  <sheetViews>
    <sheetView showGridLines="0" zoomScale="80" zoomScaleNormal="80" workbookViewId="0">
      <pane xSplit="11" ySplit="5" topLeftCell="L6" activePane="bottomRight" state="frozen"/>
      <selection pane="topRight" activeCell="L1" sqref="L1"/>
      <selection pane="bottomLeft" activeCell="A6" sqref="A6"/>
      <selection pane="bottomRight" activeCell="D42" sqref="D42"/>
    </sheetView>
  </sheetViews>
  <sheetFormatPr baseColWidth="10" defaultColWidth="0" defaultRowHeight="15" outlineLevelRow="1" x14ac:dyDescent="0.2"/>
  <cols>
    <col min="1" max="3" width="5.6640625" customWidth="1"/>
    <col min="4" max="9" width="14.6640625" customWidth="1"/>
    <col min="10" max="10" width="14.6640625" style="26" customWidth="1"/>
    <col min="11" max="11" width="24.5" style="7" bestFit="1" customWidth="1"/>
    <col min="12" max="71" width="9.1640625" style="55" customWidth="1"/>
    <col min="72" max="93" width="9.1640625" customWidth="1"/>
    <col min="94" max="94" width="0" style="6" hidden="1" customWidth="1"/>
    <col min="95" max="16384" width="9.1640625" style="6" hidden="1"/>
  </cols>
  <sheetData>
    <row r="1" spans="1:93" s="5" customFormat="1" ht="20.25" customHeight="1" x14ac:dyDescent="0.2">
      <c r="A1" s="82" t="s">
        <v>256</v>
      </c>
      <c r="B1" s="82"/>
      <c r="C1" s="82"/>
      <c r="D1" s="82"/>
      <c r="E1" s="82"/>
      <c r="F1" s="82"/>
      <c r="G1" s="82"/>
      <c r="H1" s="82"/>
      <c r="I1" s="82"/>
      <c r="J1" s="85"/>
      <c r="K1" s="83"/>
      <c r="L1" s="82"/>
      <c r="M1" s="82"/>
      <c r="N1" s="82"/>
      <c r="O1" s="82"/>
      <c r="P1" s="82"/>
      <c r="Q1" s="82"/>
      <c r="R1" s="82"/>
      <c r="S1" s="82"/>
      <c r="T1" s="82"/>
      <c r="U1" s="82"/>
      <c r="V1" s="82"/>
      <c r="W1" s="82"/>
      <c r="X1" s="82"/>
      <c r="Y1" s="82"/>
      <c r="Z1" s="82"/>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row>
    <row r="2" spans="1:93" ht="9" customHeight="1" x14ac:dyDescent="0.2">
      <c r="A2" s="6"/>
      <c r="B2" s="6"/>
      <c r="C2" s="6"/>
      <c r="D2" s="6"/>
      <c r="E2" s="6"/>
      <c r="F2" s="6"/>
      <c r="G2" s="6"/>
      <c r="H2" s="6"/>
      <c r="I2" s="6"/>
      <c r="J2" s="86"/>
      <c r="K2" s="84"/>
      <c r="L2" s="6"/>
      <c r="M2" s="6"/>
      <c r="N2" s="6"/>
      <c r="O2" s="6"/>
      <c r="P2" s="6"/>
      <c r="Q2" s="6"/>
      <c r="R2" s="6"/>
      <c r="S2" s="6"/>
      <c r="T2" s="6"/>
      <c r="U2" s="6"/>
      <c r="V2" s="6"/>
      <c r="W2" s="6"/>
      <c r="X2" s="6"/>
      <c r="Y2" s="6"/>
      <c r="Z2" s="6"/>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row>
    <row r="3" spans="1:93" x14ac:dyDescent="0.2">
      <c r="L3" s="3">
        <f t="array" ref="L3:BS3">IA_Periods</f>
        <v>1</v>
      </c>
      <c r="M3" s="3">
        <v>2</v>
      </c>
      <c r="N3" s="3">
        <v>3</v>
      </c>
      <c r="O3" s="3">
        <v>4</v>
      </c>
      <c r="P3" s="3">
        <v>5</v>
      </c>
      <c r="Q3" s="3">
        <v>6</v>
      </c>
      <c r="R3" s="3">
        <v>7</v>
      </c>
      <c r="S3" s="3">
        <v>8</v>
      </c>
      <c r="T3" s="3">
        <v>9</v>
      </c>
      <c r="U3" s="3">
        <v>10</v>
      </c>
      <c r="V3" s="3">
        <v>11</v>
      </c>
      <c r="W3" s="3">
        <v>12</v>
      </c>
      <c r="X3" s="3">
        <v>13</v>
      </c>
      <c r="Y3" s="3">
        <v>14</v>
      </c>
      <c r="Z3" s="3">
        <v>15</v>
      </c>
      <c r="AA3" s="3">
        <v>16</v>
      </c>
      <c r="AB3" s="3">
        <v>17</v>
      </c>
      <c r="AC3" s="3">
        <v>18</v>
      </c>
      <c r="AD3" s="3">
        <v>19</v>
      </c>
      <c r="AE3" s="3">
        <v>20</v>
      </c>
      <c r="AF3" s="3">
        <v>21</v>
      </c>
      <c r="AG3" s="3">
        <v>22</v>
      </c>
      <c r="AH3" s="3">
        <v>23</v>
      </c>
      <c r="AI3" s="3">
        <v>24</v>
      </c>
      <c r="AJ3" s="3">
        <v>25</v>
      </c>
      <c r="AK3" s="3">
        <v>26</v>
      </c>
      <c r="AL3" s="3">
        <v>27</v>
      </c>
      <c r="AM3" s="3">
        <v>28</v>
      </c>
      <c r="AN3" s="3">
        <v>29</v>
      </c>
      <c r="AO3" s="3">
        <v>30</v>
      </c>
      <c r="AP3" s="3">
        <v>31</v>
      </c>
      <c r="AQ3" s="3">
        <v>32</v>
      </c>
      <c r="AR3" s="3">
        <v>33</v>
      </c>
      <c r="AS3" s="3">
        <v>34</v>
      </c>
      <c r="AT3" s="3">
        <v>35</v>
      </c>
      <c r="AU3" s="3">
        <v>36</v>
      </c>
      <c r="AV3" s="3">
        <v>37</v>
      </c>
      <c r="AW3" s="3">
        <v>38</v>
      </c>
      <c r="AX3" s="3">
        <v>39</v>
      </c>
      <c r="AY3" s="3">
        <v>40</v>
      </c>
      <c r="AZ3" s="3">
        <v>41</v>
      </c>
      <c r="BA3" s="3">
        <v>42</v>
      </c>
      <c r="BB3" s="3">
        <v>43</v>
      </c>
      <c r="BC3" s="3">
        <v>44</v>
      </c>
      <c r="BD3" s="3">
        <v>45</v>
      </c>
      <c r="BE3" s="3">
        <v>46</v>
      </c>
      <c r="BF3" s="3">
        <v>47</v>
      </c>
      <c r="BG3" s="3">
        <v>48</v>
      </c>
      <c r="BH3" s="3">
        <v>49</v>
      </c>
      <c r="BI3" s="3">
        <v>50</v>
      </c>
      <c r="BJ3" s="3">
        <v>51</v>
      </c>
      <c r="BK3" s="3">
        <v>52</v>
      </c>
      <c r="BL3" s="3">
        <v>53</v>
      </c>
      <c r="BM3" s="3">
        <v>54</v>
      </c>
      <c r="BN3" s="3">
        <v>55</v>
      </c>
      <c r="BO3" s="3">
        <v>56</v>
      </c>
      <c r="BP3" s="3">
        <v>57</v>
      </c>
      <c r="BQ3" s="3">
        <v>58</v>
      </c>
      <c r="BR3" s="3">
        <v>59</v>
      </c>
      <c r="BS3" s="3">
        <v>60</v>
      </c>
    </row>
    <row r="4" spans="1:93" x14ac:dyDescent="0.2">
      <c r="L4" s="76">
        <v>2014</v>
      </c>
      <c r="M4">
        <f>L4+1</f>
        <v>2015</v>
      </c>
      <c r="N4">
        <f t="shared" ref="N4:BS4" si="0">M4+1</f>
        <v>2016</v>
      </c>
      <c r="O4">
        <f t="shared" si="0"/>
        <v>2017</v>
      </c>
      <c r="P4">
        <f t="shared" si="0"/>
        <v>2018</v>
      </c>
      <c r="Q4">
        <f t="shared" si="0"/>
        <v>2019</v>
      </c>
      <c r="R4">
        <f t="shared" si="0"/>
        <v>2020</v>
      </c>
      <c r="S4">
        <f t="shared" si="0"/>
        <v>2021</v>
      </c>
      <c r="T4">
        <f t="shared" si="0"/>
        <v>2022</v>
      </c>
      <c r="U4">
        <f t="shared" si="0"/>
        <v>2023</v>
      </c>
      <c r="V4">
        <f t="shared" si="0"/>
        <v>2024</v>
      </c>
      <c r="W4">
        <f t="shared" si="0"/>
        <v>2025</v>
      </c>
      <c r="X4">
        <f t="shared" si="0"/>
        <v>2026</v>
      </c>
      <c r="Y4">
        <f t="shared" si="0"/>
        <v>2027</v>
      </c>
      <c r="Z4">
        <f t="shared" si="0"/>
        <v>2028</v>
      </c>
      <c r="AA4">
        <f t="shared" si="0"/>
        <v>2029</v>
      </c>
      <c r="AB4">
        <f t="shared" si="0"/>
        <v>2030</v>
      </c>
      <c r="AC4">
        <f t="shared" si="0"/>
        <v>2031</v>
      </c>
      <c r="AD4">
        <f t="shared" si="0"/>
        <v>2032</v>
      </c>
      <c r="AE4">
        <f t="shared" si="0"/>
        <v>2033</v>
      </c>
      <c r="AF4">
        <f t="shared" si="0"/>
        <v>2034</v>
      </c>
      <c r="AG4">
        <f t="shared" si="0"/>
        <v>2035</v>
      </c>
      <c r="AH4">
        <f t="shared" si="0"/>
        <v>2036</v>
      </c>
      <c r="AI4">
        <f t="shared" si="0"/>
        <v>2037</v>
      </c>
      <c r="AJ4">
        <f t="shared" si="0"/>
        <v>2038</v>
      </c>
      <c r="AK4">
        <f t="shared" si="0"/>
        <v>2039</v>
      </c>
      <c r="AL4">
        <f t="shared" si="0"/>
        <v>2040</v>
      </c>
      <c r="AM4">
        <f t="shared" si="0"/>
        <v>2041</v>
      </c>
      <c r="AN4">
        <f t="shared" si="0"/>
        <v>2042</v>
      </c>
      <c r="AO4">
        <f t="shared" si="0"/>
        <v>2043</v>
      </c>
      <c r="AP4">
        <f t="shared" si="0"/>
        <v>2044</v>
      </c>
      <c r="AQ4">
        <f t="shared" si="0"/>
        <v>2045</v>
      </c>
      <c r="AR4">
        <f t="shared" si="0"/>
        <v>2046</v>
      </c>
      <c r="AS4">
        <f t="shared" si="0"/>
        <v>2047</v>
      </c>
      <c r="AT4">
        <f t="shared" si="0"/>
        <v>2048</v>
      </c>
      <c r="AU4">
        <f t="shared" si="0"/>
        <v>2049</v>
      </c>
      <c r="AV4">
        <f t="shared" si="0"/>
        <v>2050</v>
      </c>
      <c r="AW4">
        <f t="shared" si="0"/>
        <v>2051</v>
      </c>
      <c r="AX4">
        <f t="shared" si="0"/>
        <v>2052</v>
      </c>
      <c r="AY4">
        <f t="shared" si="0"/>
        <v>2053</v>
      </c>
      <c r="AZ4">
        <f t="shared" si="0"/>
        <v>2054</v>
      </c>
      <c r="BA4">
        <f t="shared" si="0"/>
        <v>2055</v>
      </c>
      <c r="BB4">
        <f t="shared" si="0"/>
        <v>2056</v>
      </c>
      <c r="BC4">
        <f t="shared" si="0"/>
        <v>2057</v>
      </c>
      <c r="BD4">
        <f t="shared" si="0"/>
        <v>2058</v>
      </c>
      <c r="BE4">
        <f t="shared" si="0"/>
        <v>2059</v>
      </c>
      <c r="BF4">
        <f t="shared" si="0"/>
        <v>2060</v>
      </c>
      <c r="BG4">
        <f t="shared" si="0"/>
        <v>2061</v>
      </c>
      <c r="BH4">
        <f t="shared" si="0"/>
        <v>2062</v>
      </c>
      <c r="BI4">
        <f t="shared" si="0"/>
        <v>2063</v>
      </c>
      <c r="BJ4">
        <f t="shared" si="0"/>
        <v>2064</v>
      </c>
      <c r="BK4">
        <f t="shared" si="0"/>
        <v>2065</v>
      </c>
      <c r="BL4">
        <f t="shared" si="0"/>
        <v>2066</v>
      </c>
      <c r="BM4">
        <f t="shared" si="0"/>
        <v>2067</v>
      </c>
      <c r="BN4">
        <f t="shared" si="0"/>
        <v>2068</v>
      </c>
      <c r="BO4">
        <f t="shared" si="0"/>
        <v>2069</v>
      </c>
      <c r="BP4">
        <f t="shared" si="0"/>
        <v>2070</v>
      </c>
      <c r="BQ4">
        <f t="shared" si="0"/>
        <v>2071</v>
      </c>
      <c r="BR4">
        <f t="shared" si="0"/>
        <v>2072</v>
      </c>
      <c r="BS4">
        <f t="shared" si="0"/>
        <v>2073</v>
      </c>
    </row>
    <row r="5" spans="1:93" x14ac:dyDescent="0.2">
      <c r="L5" s="3">
        <f t="array" ref="L5:BS5">+IA_Days</f>
        <v>365</v>
      </c>
      <c r="M5" s="3">
        <v>365</v>
      </c>
      <c r="N5" s="3">
        <v>365</v>
      </c>
      <c r="O5" s="3">
        <v>366</v>
      </c>
      <c r="P5" s="3">
        <v>365</v>
      </c>
      <c r="Q5" s="3">
        <v>365</v>
      </c>
      <c r="R5" s="3">
        <v>365</v>
      </c>
      <c r="S5" s="3">
        <v>366</v>
      </c>
      <c r="T5" s="3">
        <v>365</v>
      </c>
      <c r="U5" s="3">
        <v>365</v>
      </c>
      <c r="V5" s="3">
        <v>365</v>
      </c>
      <c r="W5" s="3">
        <v>366</v>
      </c>
      <c r="X5" s="3">
        <v>365</v>
      </c>
      <c r="Y5" s="3">
        <v>365</v>
      </c>
      <c r="Z5" s="3">
        <v>365</v>
      </c>
      <c r="AA5" s="3">
        <v>366</v>
      </c>
      <c r="AB5" s="3">
        <v>365</v>
      </c>
      <c r="AC5" s="3">
        <v>365</v>
      </c>
      <c r="AD5" s="3">
        <v>365</v>
      </c>
      <c r="AE5" s="3">
        <v>366</v>
      </c>
      <c r="AF5" s="3">
        <v>365</v>
      </c>
      <c r="AG5" s="3">
        <v>365</v>
      </c>
      <c r="AH5" s="3">
        <v>365</v>
      </c>
      <c r="AI5" s="3">
        <v>366</v>
      </c>
      <c r="AJ5" s="3">
        <v>365</v>
      </c>
      <c r="AK5" s="3">
        <v>365</v>
      </c>
      <c r="AL5" s="3">
        <v>365</v>
      </c>
      <c r="AM5" s="3">
        <v>366</v>
      </c>
      <c r="AN5" s="3">
        <v>365</v>
      </c>
      <c r="AO5" s="3">
        <v>365</v>
      </c>
      <c r="AP5" s="3">
        <v>365</v>
      </c>
      <c r="AQ5" s="3">
        <v>366</v>
      </c>
      <c r="AR5" s="3">
        <v>365</v>
      </c>
      <c r="AS5" s="3">
        <v>365</v>
      </c>
      <c r="AT5" s="3">
        <v>365</v>
      </c>
      <c r="AU5" s="3">
        <v>366</v>
      </c>
      <c r="AV5" s="3">
        <v>365</v>
      </c>
      <c r="AW5" s="3">
        <v>365</v>
      </c>
      <c r="AX5" s="3">
        <v>365</v>
      </c>
      <c r="AY5" s="3">
        <v>366</v>
      </c>
      <c r="AZ5" s="3">
        <v>365</v>
      </c>
      <c r="BA5" s="3">
        <v>365</v>
      </c>
      <c r="BB5" s="3">
        <v>365</v>
      </c>
      <c r="BC5" s="3">
        <v>366</v>
      </c>
      <c r="BD5" s="3">
        <v>365</v>
      </c>
      <c r="BE5" s="3">
        <v>365</v>
      </c>
      <c r="BF5" s="3">
        <v>365</v>
      </c>
      <c r="BG5" s="3">
        <v>366</v>
      </c>
      <c r="BH5" s="3">
        <v>365</v>
      </c>
      <c r="BI5" s="3">
        <v>365</v>
      </c>
      <c r="BJ5" s="3">
        <v>365</v>
      </c>
      <c r="BK5" s="3">
        <v>366</v>
      </c>
      <c r="BL5" s="3">
        <v>365</v>
      </c>
      <c r="BM5" s="3">
        <v>365</v>
      </c>
      <c r="BN5" s="3">
        <v>365</v>
      </c>
      <c r="BO5" s="3">
        <v>366</v>
      </c>
      <c r="BP5" s="3">
        <v>365</v>
      </c>
      <c r="BQ5" s="3">
        <v>365</v>
      </c>
      <c r="BR5" s="3">
        <v>365</v>
      </c>
      <c r="BS5" s="3">
        <v>366</v>
      </c>
    </row>
    <row r="6" spans="1:93" ht="16" thickBot="1" x14ac:dyDescent="0.25">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row>
    <row r="7" spans="1:93" ht="22" thickBot="1" x14ac:dyDescent="0.25">
      <c r="A7" s="8"/>
      <c r="B7" s="221" t="s">
        <v>65</v>
      </c>
      <c r="C7" s="222"/>
      <c r="D7" s="222"/>
      <c r="E7" s="223"/>
      <c r="F7" s="9"/>
      <c r="G7" s="9"/>
      <c r="H7" s="9"/>
      <c r="I7" s="9"/>
      <c r="J7" s="48"/>
      <c r="K7" s="10"/>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row>
    <row r="8" spans="1:93" outlineLevel="1" x14ac:dyDescent="0.2">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row>
    <row r="9" spans="1:93" outlineLevel="1" x14ac:dyDescent="0.2">
      <c r="C9" s="11" t="s">
        <v>6</v>
      </c>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row>
    <row r="10" spans="1:93" outlineLevel="1" x14ac:dyDescent="0.2">
      <c r="D10" t="s">
        <v>125</v>
      </c>
      <c r="G10" s="36" t="d">
        <v>2014-01-01</v>
      </c>
      <c r="H10" s="16" t="s">
        <v>126</v>
      </c>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row>
    <row r="11" spans="1:93" outlineLevel="1" x14ac:dyDescent="0.2">
      <c r="D11" t="s">
        <v>127</v>
      </c>
      <c r="G11" s="40">
        <f>L4-YEAR(effective_date_Mwafi)</f>
        <v>0</v>
      </c>
      <c r="H11" s="16" t="s">
        <v>128</v>
      </c>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row>
    <row r="12" spans="1:93" outlineLevel="1" x14ac:dyDescent="0.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row>
    <row r="13" spans="1:93" outlineLevel="1" x14ac:dyDescent="0.2">
      <c r="C13" s="11" t="s">
        <v>66</v>
      </c>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row>
    <row r="14" spans="1:93" outlineLevel="1" x14ac:dyDescent="0.2">
      <c r="D14" t="s">
        <v>67</v>
      </c>
      <c r="G14" s="21">
        <v>0.01</v>
      </c>
      <c r="H14" s="16" t="s">
        <v>68</v>
      </c>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row>
    <row r="15" spans="1:93" outlineLevel="1" x14ac:dyDescent="0.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row>
    <row r="16" spans="1:93" outlineLevel="1" x14ac:dyDescent="0.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row>
    <row r="17" spans="3:71" outlineLevel="1" x14ac:dyDescent="0.2">
      <c r="C17" s="11" t="s">
        <v>69</v>
      </c>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row>
    <row r="18" spans="3:71" outlineLevel="1" x14ac:dyDescent="0.2">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row>
    <row r="19" spans="3:71" outlineLevel="1" x14ac:dyDescent="0.2">
      <c r="D19" t="s">
        <v>70</v>
      </c>
      <c r="G19" s="21">
        <v>0.15</v>
      </c>
      <c r="H19" s="16" t="s">
        <v>72</v>
      </c>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row>
    <row r="20" spans="3:71" outlineLevel="1" x14ac:dyDescent="0.2">
      <c r="D20" t="s">
        <v>71</v>
      </c>
      <c r="G20" s="21">
        <v>0.15</v>
      </c>
      <c r="H20" s="16" t="s">
        <v>73</v>
      </c>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row>
    <row r="21" spans="3:71" outlineLevel="1" x14ac:dyDescent="0.2">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row>
    <row r="22" spans="3:71" outlineLevel="1" x14ac:dyDescent="0.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row>
    <row r="23" spans="3:71" outlineLevel="1" x14ac:dyDescent="0.2">
      <c r="C23" s="11" t="s">
        <v>74</v>
      </c>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row>
    <row r="24" spans="3:71" outlineLevel="1" x14ac:dyDescent="0.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row>
    <row r="25" spans="3:71" outlineLevel="1" x14ac:dyDescent="0.2">
      <c r="D25" t="s">
        <v>76</v>
      </c>
      <c r="F25" s="38" t="s">
        <v>75</v>
      </c>
      <c r="G25" s="38" t="s">
        <v>77</v>
      </c>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row>
    <row r="26" spans="3:71" outlineLevel="1" x14ac:dyDescent="0.2">
      <c r="D26" t="s">
        <v>81</v>
      </c>
      <c r="F26" s="36" t="d">
        <v>2014-01-01</v>
      </c>
      <c r="G26" s="37">
        <v>0.6</v>
      </c>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row>
    <row r="27" spans="3:71" outlineLevel="1" x14ac:dyDescent="0.2">
      <c r="D27" s="39" t="s">
        <v>82</v>
      </c>
      <c r="F27" s="34" t="d">
        <f>EOMONTH(F26,23)+1</f>
        <v>2016-01-01</v>
      </c>
      <c r="G27" s="21">
        <v>0.5</v>
      </c>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row>
    <row r="28" spans="3:71" outlineLevel="1" x14ac:dyDescent="0.2">
      <c r="F28" s="16" t="s">
        <v>78</v>
      </c>
      <c r="G28" s="16" t="s">
        <v>79</v>
      </c>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row>
    <row r="29" spans="3:71" outlineLevel="1" x14ac:dyDescent="0.2">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row>
    <row r="30" spans="3:71" outlineLevel="1" x14ac:dyDescent="0.2">
      <c r="D30" t="s">
        <v>308</v>
      </c>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row>
    <row r="31" spans="3:71" outlineLevel="1" x14ac:dyDescent="0.2">
      <c r="D31" t="s">
        <v>80</v>
      </c>
      <c r="F31" s="34" t="d">
        <f>F27</f>
        <v>2016-01-01</v>
      </c>
      <c r="G31" s="21">
        <v>0.3</v>
      </c>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row>
    <row r="32" spans="3:71" outlineLevel="1" x14ac:dyDescent="0.2">
      <c r="F32" s="16" t="s">
        <v>83</v>
      </c>
      <c r="G32" s="16" t="s">
        <v>84</v>
      </c>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row>
    <row r="33" spans="3:71" outlineLevel="1" x14ac:dyDescent="0.2">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row>
    <row r="34" spans="3:71" outlineLevel="1" x14ac:dyDescent="0.2">
      <c r="D34" t="s">
        <v>361</v>
      </c>
      <c r="G34" s="21">
        <v>0</v>
      </c>
      <c r="H34" s="16" t="s">
        <v>362</v>
      </c>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row>
    <row r="35" spans="3:71" outlineLevel="1" x14ac:dyDescent="0.2">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row>
    <row r="36" spans="3:71" outlineLevel="1" x14ac:dyDescent="0.2">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row>
    <row r="37" spans="3:71" outlineLevel="1" x14ac:dyDescent="0.2">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row>
    <row r="38" spans="3:71" outlineLevel="1" x14ac:dyDescent="0.2">
      <c r="C38" s="11" t="s">
        <v>91</v>
      </c>
      <c r="F38" s="33" t="s">
        <v>86</v>
      </c>
      <c r="G38" s="33" t="s">
        <v>87</v>
      </c>
      <c r="H38" s="33" t="s">
        <v>92</v>
      </c>
      <c r="I38" s="33" t="s">
        <v>93</v>
      </c>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row>
    <row r="39" spans="3:71" outlineLevel="1" x14ac:dyDescent="0.2">
      <c r="F39" s="42" t="s">
        <v>88</v>
      </c>
      <c r="G39" s="42" t="s">
        <v>89</v>
      </c>
      <c r="H39" s="42" t="s">
        <v>90</v>
      </c>
      <c r="I39" s="42" t="s">
        <v>90</v>
      </c>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row>
    <row r="40" spans="3:71" outlineLevel="1" x14ac:dyDescent="0.2">
      <c r="F40" s="19">
        <v>0</v>
      </c>
      <c r="G40" s="40">
        <f>F40*conv_BbltoMcf</f>
        <v>0</v>
      </c>
      <c r="H40" s="37">
        <v>0.5</v>
      </c>
      <c r="I40" s="41">
        <f>1-H40</f>
        <v>0.5</v>
      </c>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row>
    <row r="41" spans="3:71" outlineLevel="1" x14ac:dyDescent="0.2">
      <c r="F41" s="19">
        <v>20</v>
      </c>
      <c r="G41" s="40">
        <f>F41*conv_BbltoMcf</f>
        <v>120</v>
      </c>
      <c r="H41" s="21">
        <v>0.8</v>
      </c>
      <c r="I41" s="41">
        <f>1-H41</f>
        <v>0.19999999999999996</v>
      </c>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row>
    <row r="42" spans="3:71" outlineLevel="1" x14ac:dyDescent="0.2">
      <c r="F42" s="16" t="s">
        <v>94</v>
      </c>
      <c r="G42" s="16" t="s">
        <v>95</v>
      </c>
      <c r="H42" s="16" t="s">
        <v>96</v>
      </c>
      <c r="I42" s="16" t="s">
        <v>97</v>
      </c>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row>
    <row r="43" spans="3:71" outlineLevel="1" x14ac:dyDescent="0.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row>
    <row r="44" spans="3:71" outlineLevel="1" x14ac:dyDescent="0.2">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row>
    <row r="45" spans="3:71" outlineLevel="1" x14ac:dyDescent="0.2">
      <c r="C45" s="11" t="s">
        <v>100</v>
      </c>
      <c r="F45" s="33" t="s">
        <v>86</v>
      </c>
      <c r="G45" s="33" t="s">
        <v>101</v>
      </c>
      <c r="H45" s="33" t="s">
        <v>102</v>
      </c>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row>
    <row r="46" spans="3:71" outlineLevel="1" x14ac:dyDescent="0.2">
      <c r="D46" t="s">
        <v>99</v>
      </c>
      <c r="F46" s="42" t="s">
        <v>88</v>
      </c>
      <c r="G46" s="42" t="s">
        <v>90</v>
      </c>
      <c r="H46" s="42" t="s">
        <v>90</v>
      </c>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row>
    <row r="47" spans="3:71" outlineLevel="1" x14ac:dyDescent="0.2">
      <c r="F47" s="19">
        <v>0</v>
      </c>
      <c r="G47" s="37">
        <v>0.66</v>
      </c>
      <c r="H47" s="41">
        <f>1-G47</f>
        <v>0.33999999999999997</v>
      </c>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3:71" outlineLevel="1" x14ac:dyDescent="0.2">
      <c r="F48" s="19">
        <v>20</v>
      </c>
      <c r="G48" s="21">
        <v>0.7</v>
      </c>
      <c r="H48" s="41">
        <f>1-G48</f>
        <v>0.30000000000000004</v>
      </c>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3:71" outlineLevel="1" x14ac:dyDescent="0.2">
      <c r="F49" s="16" t="s">
        <v>103</v>
      </c>
      <c r="G49" s="16" t="s">
        <v>104</v>
      </c>
      <c r="H49" s="16" t="s">
        <v>105</v>
      </c>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3:71" outlineLevel="1" x14ac:dyDescent="0.2">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3:71" outlineLevel="1" x14ac:dyDescent="0.2">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3:71" outlineLevel="1" x14ac:dyDescent="0.2">
      <c r="C52" s="11" t="s">
        <v>107</v>
      </c>
      <c r="F52" s="33" t="s">
        <v>86</v>
      </c>
      <c r="G52" s="33" t="s">
        <v>87</v>
      </c>
      <c r="H52" s="33" t="s">
        <v>377</v>
      </c>
      <c r="I52" s="33" t="s">
        <v>378</v>
      </c>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3:71" outlineLevel="1" x14ac:dyDescent="0.2">
      <c r="F53" s="42" t="s">
        <v>88</v>
      </c>
      <c r="G53" s="42" t="s">
        <v>89</v>
      </c>
      <c r="H53" s="42" t="s">
        <v>90</v>
      </c>
      <c r="I53" s="42" t="s">
        <v>90</v>
      </c>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3:71" outlineLevel="1" x14ac:dyDescent="0.2">
      <c r="F54" s="19">
        <v>0</v>
      </c>
      <c r="G54" s="40">
        <f>F54*conv_BbltoMcf</f>
        <v>0</v>
      </c>
      <c r="H54" s="37">
        <v>0.5</v>
      </c>
      <c r="I54" s="41">
        <f>1-H54</f>
        <v>0.5</v>
      </c>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3:71" outlineLevel="1" x14ac:dyDescent="0.2">
      <c r="F55" s="19">
        <v>20</v>
      </c>
      <c r="G55" s="40">
        <f>F55*conv_BbltoMcf</f>
        <v>120</v>
      </c>
      <c r="H55" s="21">
        <v>0.7</v>
      </c>
      <c r="I55" s="41">
        <f>1-H55</f>
        <v>0.30000000000000004</v>
      </c>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3:71" outlineLevel="1" x14ac:dyDescent="0.2">
      <c r="F56" s="16" t="s">
        <v>106</v>
      </c>
      <c r="G56" s="16" t="s">
        <v>108</v>
      </c>
      <c r="H56" s="16" t="s">
        <v>109</v>
      </c>
      <c r="I56" s="16" t="s">
        <v>110</v>
      </c>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row>
    <row r="57" spans="3:71" outlineLevel="1" x14ac:dyDescent="0.2">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row>
    <row r="58" spans="3:71" outlineLevel="1" x14ac:dyDescent="0.2">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row>
    <row r="59" spans="3:71" outlineLevel="1" x14ac:dyDescent="0.2">
      <c r="C59" s="11" t="s">
        <v>309</v>
      </c>
      <c r="F59" s="38" t="s">
        <v>75</v>
      </c>
      <c r="G59" s="42" t="s">
        <v>46</v>
      </c>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row>
    <row r="60" spans="3:71" outlineLevel="1" x14ac:dyDescent="0.2">
      <c r="D60" t="s">
        <v>111</v>
      </c>
      <c r="F60" s="36" t="d">
        <v>2014-01-01</v>
      </c>
      <c r="G60" s="43">
        <v>90</v>
      </c>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row>
    <row r="61" spans="3:71" outlineLevel="1" x14ac:dyDescent="0.2">
      <c r="F61" s="34" t="d">
        <f>EOMONTH(F60,23)+1</f>
        <v>2016-01-01</v>
      </c>
      <c r="G61" s="43">
        <v>32</v>
      </c>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row>
    <row r="62" spans="3:71" outlineLevel="1" x14ac:dyDescent="0.2">
      <c r="F62" s="16" t="s">
        <v>112</v>
      </c>
      <c r="G62" s="16" t="s">
        <v>113</v>
      </c>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row>
    <row r="63" spans="3:71" outlineLevel="1" x14ac:dyDescent="0.2">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row>
    <row r="64" spans="3:71" outlineLevel="1" x14ac:dyDescent="0.2">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row>
    <row r="65" spans="1:93" ht="16" thickBot="1" x14ac:dyDescent="0.2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row>
    <row r="66" spans="1:93" ht="22" thickBot="1" x14ac:dyDescent="0.25">
      <c r="A66" s="8"/>
      <c r="B66" s="221" t="s">
        <v>114</v>
      </c>
      <c r="C66" s="222"/>
      <c r="D66" s="222"/>
      <c r="E66" s="223"/>
      <c r="F66" s="9"/>
      <c r="G66" s="9"/>
      <c r="H66" s="9"/>
      <c r="I66" s="9"/>
      <c r="J66" s="48"/>
      <c r="K66" s="10"/>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row>
    <row r="67" spans="1:93" outlineLevel="1" x14ac:dyDescent="0.2">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row>
    <row r="68" spans="1:93" outlineLevel="1" x14ac:dyDescent="0.2">
      <c r="C68" s="11" t="s">
        <v>115</v>
      </c>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row>
    <row r="69" spans="1:93" outlineLevel="1" x14ac:dyDescent="0.2">
      <c r="D69" t="s">
        <v>316</v>
      </c>
      <c r="G69" s="37">
        <v>0.15</v>
      </c>
      <c r="H69" s="16" t="s">
        <v>118</v>
      </c>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row>
    <row r="70" spans="1:93" outlineLevel="1" x14ac:dyDescent="0.2">
      <c r="D70" t="s">
        <v>116</v>
      </c>
      <c r="G70" s="37">
        <v>0.85</v>
      </c>
      <c r="H70" s="16" t="s">
        <v>120</v>
      </c>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row>
    <row r="71" spans="1:93" outlineLevel="1" x14ac:dyDescent="0.2">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row>
    <row r="72" spans="1:93" outlineLevel="1" x14ac:dyDescent="0.2">
      <c r="D72" t="s">
        <v>117</v>
      </c>
      <c r="G72" s="44">
        <v>0</v>
      </c>
      <c r="H72" s="16" t="s">
        <v>119</v>
      </c>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row>
    <row r="73" spans="1:93" outlineLevel="1" x14ac:dyDescent="0.2">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row>
    <row r="74" spans="1:93" outlineLevel="1" x14ac:dyDescent="0.2">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row>
    <row r="75" spans="1:93" outlineLevel="1" x14ac:dyDescent="0.2">
      <c r="C75" s="11" t="s">
        <v>121</v>
      </c>
      <c r="H75" s="38" t="s">
        <v>323</v>
      </c>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row>
    <row r="76" spans="1:93" outlineLevel="1" x14ac:dyDescent="0.2">
      <c r="D76" t="s">
        <v>317</v>
      </c>
      <c r="F76" s="41">
        <f>NOC_WI_perc</f>
        <v>0.15</v>
      </c>
      <c r="G76" s="16" t="s">
        <v>319</v>
      </c>
      <c r="H76" s="44">
        <v>0</v>
      </c>
      <c r="I76" s="16" t="s">
        <v>324</v>
      </c>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row>
    <row r="77" spans="1:93" outlineLevel="1" x14ac:dyDescent="0.2">
      <c r="D77" t="s">
        <v>318</v>
      </c>
      <c r="F77" s="41">
        <f>NOC_WI_perc</f>
        <v>0.15</v>
      </c>
      <c r="G77" s="16" t="s">
        <v>320</v>
      </c>
      <c r="H77" s="44">
        <v>1</v>
      </c>
      <c r="I77" s="16" t="s">
        <v>325</v>
      </c>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row>
    <row r="78" spans="1:93" outlineLevel="1" x14ac:dyDescent="0.2">
      <c r="D78" t="s">
        <v>321</v>
      </c>
      <c r="F78" s="41"/>
      <c r="G78" s="16" t="s">
        <v>322</v>
      </c>
      <c r="H78" s="44">
        <v>0</v>
      </c>
      <c r="I78" s="16" t="s">
        <v>326</v>
      </c>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row>
    <row r="79" spans="1:93" outlineLevel="1" x14ac:dyDescent="0.2">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row>
    <row r="80" spans="1:93" outlineLevel="1" x14ac:dyDescent="0.2">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row>
    <row r="81" spans="3:71" outlineLevel="1" x14ac:dyDescent="0.2">
      <c r="C81" s="11" t="s">
        <v>327</v>
      </c>
      <c r="G81" s="37">
        <v>0.75</v>
      </c>
      <c r="H81" s="16" t="s">
        <v>329</v>
      </c>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row>
    <row r="82" spans="3:71" outlineLevel="1" x14ac:dyDescent="0.2">
      <c r="C82" t="s">
        <v>328</v>
      </c>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row>
    <row r="83" spans="3:71" outlineLevel="1" x14ac:dyDescent="0.2">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row>
    <row r="84" spans="3:71" outlineLevel="1" x14ac:dyDescent="0.2">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row>
    <row r="85" spans="3:71" outlineLevel="1" x14ac:dyDescent="0.2">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row>
    <row r="86" spans="3:71" outlineLevel="1" x14ac:dyDescent="0.2">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row>
    <row r="87" spans="3:71" outlineLevel="1" x14ac:dyDescent="0.2">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row>
    <row r="88" spans="3:71" outlineLevel="1" x14ac:dyDescent="0.2">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row>
    <row r="89" spans="3:71" outlineLevel="1" x14ac:dyDescent="0.2">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row>
    <row r="90" spans="3:71" outlineLevel="1" x14ac:dyDescent="0.2">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row>
    <row r="91" spans="3:71" outlineLevel="1" x14ac:dyDescent="0.2">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row>
    <row r="92" spans="3:71" outlineLevel="1" x14ac:dyDescent="0.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row>
    <row r="93" spans="3:71" outlineLevel="1" x14ac:dyDescent="0.2">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row>
    <row r="94" spans="3:71" outlineLevel="1" x14ac:dyDescent="0.2">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row>
    <row r="95" spans="3:71" outlineLevel="1" x14ac:dyDescent="0.2">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row>
    <row r="96" spans="3:71" outlineLevel="1" x14ac:dyDescent="0.2">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row>
    <row r="97" spans="1:93" outlineLevel="1" x14ac:dyDescent="0.2">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row>
    <row r="98" spans="1:93" outlineLevel="1" x14ac:dyDescent="0.2">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row>
    <row r="99" spans="1:93" outlineLevel="1" x14ac:dyDescent="0.2">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row>
    <row r="100" spans="1:93" outlineLevel="1" x14ac:dyDescent="0.2">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row>
    <row r="101" spans="1:93" outlineLevel="1" x14ac:dyDescent="0.2">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row>
    <row r="102" spans="1:93" outlineLevel="1" x14ac:dyDescent="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row>
    <row r="103" spans="1:93" x14ac:dyDescent="0.2">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row>
    <row r="104" spans="1:93" ht="16" thickBot="1" x14ac:dyDescent="0.25">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row>
    <row r="105" spans="1:93" ht="22" thickBot="1" x14ac:dyDescent="0.25">
      <c r="A105" s="8"/>
      <c r="B105" s="221" t="s">
        <v>122</v>
      </c>
      <c r="C105" s="222"/>
      <c r="D105" s="222"/>
      <c r="E105" s="223"/>
      <c r="F105" s="9"/>
      <c r="G105" s="9"/>
      <c r="H105" s="9"/>
      <c r="I105" s="9"/>
      <c r="J105" s="48"/>
      <c r="K105" s="10"/>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row>
    <row r="106" spans="1:93" outlineLevel="1" x14ac:dyDescent="0.2">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row>
    <row r="107" spans="1:93" outlineLevel="1" x14ac:dyDescent="0.2">
      <c r="A107" s="45"/>
      <c r="B107" s="38" t="s">
        <v>123</v>
      </c>
      <c r="C107" s="45"/>
      <c r="D107" s="45"/>
      <c r="E107" s="45"/>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row>
    <row r="108" spans="1:93" outlineLevel="1" x14ac:dyDescent="0.2">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row>
    <row r="109" spans="1:93" outlineLevel="1" x14ac:dyDescent="0.2">
      <c r="C109" s="11" t="s">
        <v>124</v>
      </c>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row>
    <row r="110" spans="1:93" outlineLevel="1" x14ac:dyDescent="0.2">
      <c r="D110" t="s">
        <v>70</v>
      </c>
      <c r="I110" s="30">
        <f ca="1">SUM($L110:$BS110)</f>
        <v>175.91808291477389</v>
      </c>
      <c r="J110" s="26" t="s">
        <v>42</v>
      </c>
      <c r="K110" s="7" t="s">
        <v>131</v>
      </c>
      <c r="L110" s="49">
        <f t="shared" ref="L110:AQ110" ca="1" si="1">IF(L4&gt;=YEAR(effective_date_Mwafi),(OFFSET(_xlfn.SINGLE(IA_prod_oil),,date_offset_Mwafi)*_xlfn.SINGLE(IA_Days)/1000),0)</f>
        <v>7.0982879319049994</v>
      </c>
      <c r="M110" s="49">
        <f t="shared" ca="1" si="1"/>
        <v>7.3666552579249993</v>
      </c>
      <c r="N110" s="49">
        <f t="shared" ca="1" si="1"/>
        <v>5.5832165472149997</v>
      </c>
      <c r="O110" s="49">
        <f t="shared" ca="1" si="1"/>
        <v>6.2220890254739993</v>
      </c>
      <c r="P110" s="49">
        <f t="shared" ca="1" si="1"/>
        <v>12.875027128355001</v>
      </c>
      <c r="Q110" s="49">
        <f t="shared" ca="1" si="1"/>
        <v>20.306633656669998</v>
      </c>
      <c r="R110" s="49">
        <f t="shared" ca="1" si="1"/>
        <v>20.570378694594996</v>
      </c>
      <c r="S110" s="49">
        <f t="shared" ca="1" si="1"/>
        <v>19.049641200000003</v>
      </c>
      <c r="T110" s="49">
        <f t="shared" ca="1" si="1"/>
        <v>17.66776149</v>
      </c>
      <c r="U110" s="49">
        <f t="shared" ca="1" si="1"/>
        <v>16.431018185699998</v>
      </c>
      <c r="V110" s="49">
        <f t="shared" ca="1" si="1"/>
        <v>15.280846912700998</v>
      </c>
      <c r="W110" s="49">
        <f t="shared" ca="1" si="1"/>
        <v>14.250122389438808</v>
      </c>
      <c r="X110" s="49">
        <f t="shared" ca="1" si="1"/>
        <v>13.216404494795091</v>
      </c>
      <c r="Y110" s="49">
        <f t="shared" ca="1" si="1"/>
        <v>0</v>
      </c>
      <c r="Z110" s="49">
        <f t="shared" ca="1" si="1"/>
        <v>0</v>
      </c>
      <c r="AA110" s="49">
        <f t="shared" ca="1" si="1"/>
        <v>0</v>
      </c>
      <c r="AB110" s="49">
        <f t="shared" ca="1" si="1"/>
        <v>0</v>
      </c>
      <c r="AC110" s="49">
        <f t="shared" ca="1" si="1"/>
        <v>0</v>
      </c>
      <c r="AD110" s="49">
        <f t="shared" ca="1" si="1"/>
        <v>0</v>
      </c>
      <c r="AE110" s="49">
        <f t="shared" ca="1" si="1"/>
        <v>0</v>
      </c>
      <c r="AF110" s="49">
        <f t="shared" ca="1" si="1"/>
        <v>0</v>
      </c>
      <c r="AG110" s="49">
        <f t="shared" ca="1" si="1"/>
        <v>0</v>
      </c>
      <c r="AH110" s="49">
        <f t="shared" ca="1" si="1"/>
        <v>0</v>
      </c>
      <c r="AI110" s="49">
        <f t="shared" ca="1" si="1"/>
        <v>0</v>
      </c>
      <c r="AJ110" s="49">
        <f t="shared" ca="1" si="1"/>
        <v>0</v>
      </c>
      <c r="AK110" s="49">
        <f t="shared" ca="1" si="1"/>
        <v>0</v>
      </c>
      <c r="AL110" s="49">
        <f t="shared" ca="1" si="1"/>
        <v>0</v>
      </c>
      <c r="AM110" s="49">
        <f t="shared" ca="1" si="1"/>
        <v>0</v>
      </c>
      <c r="AN110" s="49">
        <f t="shared" ca="1" si="1"/>
        <v>0</v>
      </c>
      <c r="AO110" s="49">
        <f t="shared" ca="1" si="1"/>
        <v>0</v>
      </c>
      <c r="AP110" s="49">
        <f t="shared" ca="1" si="1"/>
        <v>0</v>
      </c>
      <c r="AQ110" s="49">
        <f t="shared" ca="1" si="1"/>
        <v>0</v>
      </c>
      <c r="AR110" s="49">
        <f t="shared" ref="AR110:BS110" ca="1" si="2">IF(AR4&gt;=YEAR(effective_date_Mwafi),(OFFSET(_xlfn.SINGLE(IA_prod_oil),,date_offset_Mwafi)*_xlfn.SINGLE(IA_Days)/1000),0)</f>
        <v>0</v>
      </c>
      <c r="AS110" s="49">
        <f t="shared" ca="1" si="2"/>
        <v>0</v>
      </c>
      <c r="AT110" s="49">
        <f t="shared" ca="1" si="2"/>
        <v>0</v>
      </c>
      <c r="AU110" s="49">
        <f t="shared" ca="1" si="2"/>
        <v>0</v>
      </c>
      <c r="AV110" s="49">
        <f t="shared" ca="1" si="2"/>
        <v>0</v>
      </c>
      <c r="AW110" s="49">
        <f t="shared" ca="1" si="2"/>
        <v>0</v>
      </c>
      <c r="AX110" s="49">
        <f t="shared" ca="1" si="2"/>
        <v>0</v>
      </c>
      <c r="AY110" s="49">
        <f t="shared" ca="1" si="2"/>
        <v>0</v>
      </c>
      <c r="AZ110" s="49">
        <f t="shared" ca="1" si="2"/>
        <v>0</v>
      </c>
      <c r="BA110" s="49">
        <f t="shared" ca="1" si="2"/>
        <v>0</v>
      </c>
      <c r="BB110" s="49">
        <f t="shared" ca="1" si="2"/>
        <v>0</v>
      </c>
      <c r="BC110" s="49">
        <f t="shared" ca="1" si="2"/>
        <v>0</v>
      </c>
      <c r="BD110" s="49">
        <f t="shared" ca="1" si="2"/>
        <v>0</v>
      </c>
      <c r="BE110" s="49">
        <f t="shared" ca="1" si="2"/>
        <v>0</v>
      </c>
      <c r="BF110" s="49">
        <f t="shared" ca="1" si="2"/>
        <v>0</v>
      </c>
      <c r="BG110" s="49">
        <f t="shared" ca="1" si="2"/>
        <v>0</v>
      </c>
      <c r="BH110" s="49">
        <f t="shared" ca="1" si="2"/>
        <v>0</v>
      </c>
      <c r="BI110" s="49">
        <f t="shared" ca="1" si="2"/>
        <v>0</v>
      </c>
      <c r="BJ110" s="49">
        <f t="shared" ca="1" si="2"/>
        <v>0</v>
      </c>
      <c r="BK110" s="49">
        <f t="shared" ca="1" si="2"/>
        <v>0</v>
      </c>
      <c r="BL110" s="49">
        <f t="shared" ca="1" si="2"/>
        <v>0</v>
      </c>
      <c r="BM110" s="49">
        <f t="shared" ca="1" si="2"/>
        <v>0</v>
      </c>
      <c r="BN110" s="49">
        <f t="shared" ca="1" si="2"/>
        <v>0</v>
      </c>
      <c r="BO110" s="49">
        <f t="shared" ca="1" si="2"/>
        <v>0</v>
      </c>
      <c r="BP110" s="49">
        <f t="shared" ca="1" si="2"/>
        <v>0</v>
      </c>
      <c r="BQ110" s="49">
        <f t="shared" ca="1" si="2"/>
        <v>0</v>
      </c>
      <c r="BR110" s="49">
        <f t="shared" ca="1" si="2"/>
        <v>0</v>
      </c>
      <c r="BS110" s="49">
        <f t="shared" ca="1" si="2"/>
        <v>0</v>
      </c>
    </row>
    <row r="111" spans="1:93" outlineLevel="1" x14ac:dyDescent="0.2">
      <c r="D111" t="s">
        <v>71</v>
      </c>
      <c r="I111" s="46">
        <f ca="1">SUM($L111:$BS111)</f>
        <v>0</v>
      </c>
      <c r="J111" s="26" t="s">
        <v>45</v>
      </c>
      <c r="K111" s="7" t="s">
        <v>132</v>
      </c>
      <c r="L111" s="54">
        <f t="shared" ref="L111:AQ111" ca="1" si="3">IF(L4&gt;=YEAR(effective_date_Mwafi),(OFFSET(_xlfn.SINGLE(IA_prod_gas),,date_offset_Mwafi)*_xlfn.SINGLE(IA_Days)/1000),0)</f>
        <v>0</v>
      </c>
      <c r="M111" s="54">
        <f t="shared" ca="1" si="3"/>
        <v>0</v>
      </c>
      <c r="N111" s="54">
        <f t="shared" ca="1" si="3"/>
        <v>0</v>
      </c>
      <c r="O111" s="54">
        <f t="shared" ca="1" si="3"/>
        <v>0</v>
      </c>
      <c r="P111" s="54">
        <f t="shared" ca="1" si="3"/>
        <v>0</v>
      </c>
      <c r="Q111" s="54">
        <f t="shared" ca="1" si="3"/>
        <v>0</v>
      </c>
      <c r="R111" s="54">
        <f t="shared" ca="1" si="3"/>
        <v>0</v>
      </c>
      <c r="S111" s="54">
        <f t="shared" ca="1" si="3"/>
        <v>0</v>
      </c>
      <c r="T111" s="54">
        <f t="shared" ca="1" si="3"/>
        <v>0</v>
      </c>
      <c r="U111" s="54">
        <f t="shared" ca="1" si="3"/>
        <v>0</v>
      </c>
      <c r="V111" s="54">
        <f t="shared" ca="1" si="3"/>
        <v>0</v>
      </c>
      <c r="W111" s="54">
        <f t="shared" ca="1" si="3"/>
        <v>0</v>
      </c>
      <c r="X111" s="54">
        <f t="shared" ca="1" si="3"/>
        <v>0</v>
      </c>
      <c r="Y111" s="54">
        <f t="shared" ca="1" si="3"/>
        <v>0</v>
      </c>
      <c r="Z111" s="54">
        <f t="shared" ca="1" si="3"/>
        <v>0</v>
      </c>
      <c r="AA111" s="54">
        <f t="shared" ca="1" si="3"/>
        <v>0</v>
      </c>
      <c r="AB111" s="54">
        <f t="shared" ca="1" si="3"/>
        <v>0</v>
      </c>
      <c r="AC111" s="54">
        <f t="shared" ca="1" si="3"/>
        <v>0</v>
      </c>
      <c r="AD111" s="54">
        <f t="shared" ca="1" si="3"/>
        <v>0</v>
      </c>
      <c r="AE111" s="54">
        <f t="shared" ca="1" si="3"/>
        <v>0</v>
      </c>
      <c r="AF111" s="54">
        <f t="shared" ca="1" si="3"/>
        <v>0</v>
      </c>
      <c r="AG111" s="54">
        <f t="shared" ca="1" si="3"/>
        <v>0</v>
      </c>
      <c r="AH111" s="54">
        <f t="shared" ca="1" si="3"/>
        <v>0</v>
      </c>
      <c r="AI111" s="54">
        <f t="shared" ca="1" si="3"/>
        <v>0</v>
      </c>
      <c r="AJ111" s="54">
        <f t="shared" ca="1" si="3"/>
        <v>0</v>
      </c>
      <c r="AK111" s="54">
        <f t="shared" ca="1" si="3"/>
        <v>0</v>
      </c>
      <c r="AL111" s="54">
        <f t="shared" ca="1" si="3"/>
        <v>0</v>
      </c>
      <c r="AM111" s="54">
        <f t="shared" ca="1" si="3"/>
        <v>0</v>
      </c>
      <c r="AN111" s="54">
        <f t="shared" ca="1" si="3"/>
        <v>0</v>
      </c>
      <c r="AO111" s="54">
        <f t="shared" ca="1" si="3"/>
        <v>0</v>
      </c>
      <c r="AP111" s="54">
        <f t="shared" ca="1" si="3"/>
        <v>0</v>
      </c>
      <c r="AQ111" s="54">
        <f t="shared" ca="1" si="3"/>
        <v>0</v>
      </c>
      <c r="AR111" s="54">
        <f t="shared" ref="AR111:BS111" ca="1" si="4">IF(AR4&gt;=YEAR(effective_date_Mwafi),(OFFSET(_xlfn.SINGLE(IA_prod_gas),,date_offset_Mwafi)*_xlfn.SINGLE(IA_Days)/1000),0)</f>
        <v>0</v>
      </c>
      <c r="AS111" s="54">
        <f t="shared" ca="1" si="4"/>
        <v>0</v>
      </c>
      <c r="AT111" s="54">
        <f t="shared" ca="1" si="4"/>
        <v>0</v>
      </c>
      <c r="AU111" s="54">
        <f t="shared" ca="1" si="4"/>
        <v>0</v>
      </c>
      <c r="AV111" s="54">
        <f t="shared" ca="1" si="4"/>
        <v>0</v>
      </c>
      <c r="AW111" s="54">
        <f t="shared" ca="1" si="4"/>
        <v>0</v>
      </c>
      <c r="AX111" s="54">
        <f t="shared" ca="1" si="4"/>
        <v>0</v>
      </c>
      <c r="AY111" s="54">
        <f t="shared" ca="1" si="4"/>
        <v>0</v>
      </c>
      <c r="AZ111" s="54">
        <f t="shared" ca="1" si="4"/>
        <v>0</v>
      </c>
      <c r="BA111" s="54">
        <f t="shared" ca="1" si="4"/>
        <v>0</v>
      </c>
      <c r="BB111" s="54">
        <f t="shared" ca="1" si="4"/>
        <v>0</v>
      </c>
      <c r="BC111" s="54">
        <f t="shared" ca="1" si="4"/>
        <v>0</v>
      </c>
      <c r="BD111" s="54">
        <f t="shared" ca="1" si="4"/>
        <v>0</v>
      </c>
      <c r="BE111" s="54">
        <f t="shared" ca="1" si="4"/>
        <v>0</v>
      </c>
      <c r="BF111" s="54">
        <f t="shared" ca="1" si="4"/>
        <v>0</v>
      </c>
      <c r="BG111" s="54">
        <f t="shared" ca="1" si="4"/>
        <v>0</v>
      </c>
      <c r="BH111" s="54">
        <f t="shared" ca="1" si="4"/>
        <v>0</v>
      </c>
      <c r="BI111" s="54">
        <f t="shared" ca="1" si="4"/>
        <v>0</v>
      </c>
      <c r="BJ111" s="54">
        <f t="shared" ca="1" si="4"/>
        <v>0</v>
      </c>
      <c r="BK111" s="54">
        <f t="shared" ca="1" si="4"/>
        <v>0</v>
      </c>
      <c r="BL111" s="54">
        <f t="shared" ca="1" si="4"/>
        <v>0</v>
      </c>
      <c r="BM111" s="54">
        <f t="shared" ca="1" si="4"/>
        <v>0</v>
      </c>
      <c r="BN111" s="54">
        <f t="shared" ca="1" si="4"/>
        <v>0</v>
      </c>
      <c r="BO111" s="54">
        <f t="shared" ca="1" si="4"/>
        <v>0</v>
      </c>
      <c r="BP111" s="54">
        <f t="shared" ca="1" si="4"/>
        <v>0</v>
      </c>
      <c r="BQ111" s="54">
        <f t="shared" ca="1" si="4"/>
        <v>0</v>
      </c>
      <c r="BR111" s="54">
        <f t="shared" ca="1" si="4"/>
        <v>0</v>
      </c>
      <c r="BS111" s="54">
        <f t="shared" ca="1" si="4"/>
        <v>0</v>
      </c>
    </row>
    <row r="112" spans="1:93" outlineLevel="1" x14ac:dyDescent="0.2">
      <c r="A112" s="6"/>
      <c r="B112" s="6"/>
      <c r="C112" s="6"/>
      <c r="D112" s="47" t="s">
        <v>129</v>
      </c>
      <c r="E112" s="6"/>
      <c r="F112" s="6"/>
      <c r="G112" s="6"/>
      <c r="H112" s="6"/>
      <c r="I112" s="30">
        <f ca="1">SUM($L112:$BS112)</f>
        <v>175.91808291477389</v>
      </c>
      <c r="J112" s="26" t="s">
        <v>130</v>
      </c>
      <c r="K112" s="7" t="s">
        <v>133</v>
      </c>
      <c r="L112" s="49">
        <f t="shared" ref="L112:AQ112" ca="1" si="5">SUM(L110,L111/conv_BbltoMcf)</f>
        <v>7.0982879319049994</v>
      </c>
      <c r="M112" s="49">
        <f t="shared" ca="1" si="5"/>
        <v>7.3666552579249993</v>
      </c>
      <c r="N112" s="49">
        <f t="shared" ca="1" si="5"/>
        <v>5.5832165472149997</v>
      </c>
      <c r="O112" s="49">
        <f t="shared" ca="1" si="5"/>
        <v>6.2220890254739993</v>
      </c>
      <c r="P112" s="49">
        <f t="shared" ca="1" si="5"/>
        <v>12.875027128355001</v>
      </c>
      <c r="Q112" s="49">
        <f t="shared" ca="1" si="5"/>
        <v>20.306633656669998</v>
      </c>
      <c r="R112" s="49">
        <f t="shared" ca="1" si="5"/>
        <v>20.570378694594996</v>
      </c>
      <c r="S112" s="49">
        <f t="shared" ca="1" si="5"/>
        <v>19.049641200000003</v>
      </c>
      <c r="T112" s="49">
        <f t="shared" ca="1" si="5"/>
        <v>17.66776149</v>
      </c>
      <c r="U112" s="49">
        <f t="shared" ca="1" si="5"/>
        <v>16.431018185699998</v>
      </c>
      <c r="V112" s="49">
        <f t="shared" ca="1" si="5"/>
        <v>15.280846912700998</v>
      </c>
      <c r="W112" s="49">
        <f t="shared" ca="1" si="5"/>
        <v>14.250122389438808</v>
      </c>
      <c r="X112" s="49">
        <f t="shared" ca="1" si="5"/>
        <v>13.216404494795091</v>
      </c>
      <c r="Y112" s="49">
        <f t="shared" ca="1" si="5"/>
        <v>0</v>
      </c>
      <c r="Z112" s="49">
        <f t="shared" ca="1" si="5"/>
        <v>0</v>
      </c>
      <c r="AA112" s="49">
        <f t="shared" ca="1" si="5"/>
        <v>0</v>
      </c>
      <c r="AB112" s="49">
        <f t="shared" ca="1" si="5"/>
        <v>0</v>
      </c>
      <c r="AC112" s="49">
        <f t="shared" ca="1" si="5"/>
        <v>0</v>
      </c>
      <c r="AD112" s="49">
        <f t="shared" ca="1" si="5"/>
        <v>0</v>
      </c>
      <c r="AE112" s="49">
        <f t="shared" ca="1" si="5"/>
        <v>0</v>
      </c>
      <c r="AF112" s="49">
        <f t="shared" ca="1" si="5"/>
        <v>0</v>
      </c>
      <c r="AG112" s="49">
        <f t="shared" ca="1" si="5"/>
        <v>0</v>
      </c>
      <c r="AH112" s="49">
        <f t="shared" ca="1" si="5"/>
        <v>0</v>
      </c>
      <c r="AI112" s="49">
        <f t="shared" ca="1" si="5"/>
        <v>0</v>
      </c>
      <c r="AJ112" s="49">
        <f t="shared" ca="1" si="5"/>
        <v>0</v>
      </c>
      <c r="AK112" s="49">
        <f t="shared" ca="1" si="5"/>
        <v>0</v>
      </c>
      <c r="AL112" s="49">
        <f t="shared" ca="1" si="5"/>
        <v>0</v>
      </c>
      <c r="AM112" s="49">
        <f t="shared" ca="1" si="5"/>
        <v>0</v>
      </c>
      <c r="AN112" s="49">
        <f t="shared" ca="1" si="5"/>
        <v>0</v>
      </c>
      <c r="AO112" s="49">
        <f t="shared" ca="1" si="5"/>
        <v>0</v>
      </c>
      <c r="AP112" s="49">
        <f t="shared" ca="1" si="5"/>
        <v>0</v>
      </c>
      <c r="AQ112" s="49">
        <f t="shared" ca="1" si="5"/>
        <v>0</v>
      </c>
      <c r="AR112" s="49">
        <f t="shared" ref="AR112:BS112" ca="1" si="6">SUM(AR110,AR111/conv_BbltoMcf)</f>
        <v>0</v>
      </c>
      <c r="AS112" s="49">
        <f t="shared" ca="1" si="6"/>
        <v>0</v>
      </c>
      <c r="AT112" s="49">
        <f t="shared" ca="1" si="6"/>
        <v>0</v>
      </c>
      <c r="AU112" s="49">
        <f t="shared" ca="1" si="6"/>
        <v>0</v>
      </c>
      <c r="AV112" s="49">
        <f t="shared" ca="1" si="6"/>
        <v>0</v>
      </c>
      <c r="AW112" s="49">
        <f t="shared" ca="1" si="6"/>
        <v>0</v>
      </c>
      <c r="AX112" s="49">
        <f t="shared" ca="1" si="6"/>
        <v>0</v>
      </c>
      <c r="AY112" s="49">
        <f t="shared" ca="1" si="6"/>
        <v>0</v>
      </c>
      <c r="AZ112" s="49">
        <f t="shared" ca="1" si="6"/>
        <v>0</v>
      </c>
      <c r="BA112" s="49">
        <f t="shared" ca="1" si="6"/>
        <v>0</v>
      </c>
      <c r="BB112" s="49">
        <f t="shared" ca="1" si="6"/>
        <v>0</v>
      </c>
      <c r="BC112" s="49">
        <f t="shared" ca="1" si="6"/>
        <v>0</v>
      </c>
      <c r="BD112" s="49">
        <f t="shared" ca="1" si="6"/>
        <v>0</v>
      </c>
      <c r="BE112" s="49">
        <f t="shared" ca="1" si="6"/>
        <v>0</v>
      </c>
      <c r="BF112" s="49">
        <f t="shared" ca="1" si="6"/>
        <v>0</v>
      </c>
      <c r="BG112" s="49">
        <f t="shared" ca="1" si="6"/>
        <v>0</v>
      </c>
      <c r="BH112" s="49">
        <f t="shared" ca="1" si="6"/>
        <v>0</v>
      </c>
      <c r="BI112" s="49">
        <f t="shared" ca="1" si="6"/>
        <v>0</v>
      </c>
      <c r="BJ112" s="49">
        <f t="shared" ca="1" si="6"/>
        <v>0</v>
      </c>
      <c r="BK112" s="49">
        <f t="shared" ca="1" si="6"/>
        <v>0</v>
      </c>
      <c r="BL112" s="49">
        <f t="shared" ca="1" si="6"/>
        <v>0</v>
      </c>
      <c r="BM112" s="49">
        <f t="shared" ca="1" si="6"/>
        <v>0</v>
      </c>
      <c r="BN112" s="49">
        <f t="shared" ca="1" si="6"/>
        <v>0</v>
      </c>
      <c r="BO112" s="49">
        <f t="shared" ca="1" si="6"/>
        <v>0</v>
      </c>
      <c r="BP112" s="49">
        <f t="shared" ca="1" si="6"/>
        <v>0</v>
      </c>
      <c r="BQ112" s="49">
        <f t="shared" ca="1" si="6"/>
        <v>0</v>
      </c>
      <c r="BR112" s="49">
        <f t="shared" ca="1" si="6"/>
        <v>0</v>
      </c>
      <c r="BS112" s="49">
        <f t="shared" ca="1" si="6"/>
        <v>0</v>
      </c>
      <c r="BT112" s="6"/>
      <c r="BU112" s="6"/>
      <c r="BV112" s="6"/>
      <c r="BW112" s="6"/>
      <c r="BX112" s="6"/>
      <c r="BY112" s="6"/>
      <c r="BZ112" s="6"/>
      <c r="CA112" s="6"/>
      <c r="CB112" s="6"/>
      <c r="CC112" s="6"/>
      <c r="CD112" s="6"/>
      <c r="CE112" s="6"/>
      <c r="CF112" s="6"/>
      <c r="CG112" s="6"/>
      <c r="CH112" s="6"/>
      <c r="CI112" s="6"/>
      <c r="CJ112" s="6"/>
      <c r="CK112" s="6"/>
      <c r="CL112" s="6"/>
      <c r="CM112" s="6"/>
      <c r="CN112" s="6"/>
      <c r="CO112" s="6"/>
    </row>
    <row r="113" spans="1:71" outlineLevel="1" x14ac:dyDescent="0.2"/>
    <row r="114" spans="1:71" outlineLevel="1" x14ac:dyDescent="0.2">
      <c r="C114" s="11" t="s">
        <v>134</v>
      </c>
    </row>
    <row r="115" spans="1:71" outlineLevel="1" x14ac:dyDescent="0.2">
      <c r="D115" t="s">
        <v>70</v>
      </c>
      <c r="J115" s="26" t="s">
        <v>42</v>
      </c>
      <c r="K115" s="7" t="s">
        <v>135</v>
      </c>
      <c r="L115" s="49">
        <f t="shared" ref="L115:AQ115" ca="1" si="7">SUM(K115)+CA_gross_prod_oil</f>
        <v>7.0982879319049994</v>
      </c>
      <c r="M115" s="49">
        <f t="shared" ca="1" si="7"/>
        <v>14.464943189829999</v>
      </c>
      <c r="N115" s="49">
        <f t="shared" ca="1" si="7"/>
        <v>20.048159737044998</v>
      </c>
      <c r="O115" s="49">
        <f t="shared" ca="1" si="7"/>
        <v>26.270248762518996</v>
      </c>
      <c r="P115" s="49">
        <f t="shared" ca="1" si="7"/>
        <v>39.145275890873997</v>
      </c>
      <c r="Q115" s="49">
        <f t="shared" ca="1" si="7"/>
        <v>59.451909547543991</v>
      </c>
      <c r="R115" s="49">
        <f t="shared" ca="1" si="7"/>
        <v>80.022288242138984</v>
      </c>
      <c r="S115" s="49">
        <f t="shared" ca="1" si="7"/>
        <v>99.07192944213898</v>
      </c>
      <c r="T115" s="49">
        <f t="shared" ca="1" si="7"/>
        <v>116.73969093213898</v>
      </c>
      <c r="U115" s="49">
        <f t="shared" ca="1" si="7"/>
        <v>133.17070911783898</v>
      </c>
      <c r="V115" s="49">
        <f t="shared" ca="1" si="7"/>
        <v>148.45155603053999</v>
      </c>
      <c r="W115" s="49">
        <f t="shared" ca="1" si="7"/>
        <v>162.7016784199788</v>
      </c>
      <c r="X115" s="49">
        <f t="shared" ca="1" si="7"/>
        <v>175.91808291477389</v>
      </c>
      <c r="Y115" s="49">
        <f t="shared" ca="1" si="7"/>
        <v>175.91808291477389</v>
      </c>
      <c r="Z115" s="49">
        <f t="shared" ca="1" si="7"/>
        <v>175.91808291477389</v>
      </c>
      <c r="AA115" s="49">
        <f t="shared" ca="1" si="7"/>
        <v>175.91808291477389</v>
      </c>
      <c r="AB115" s="49">
        <f t="shared" ca="1" si="7"/>
        <v>175.91808291477389</v>
      </c>
      <c r="AC115" s="49">
        <f t="shared" ca="1" si="7"/>
        <v>175.91808291477389</v>
      </c>
      <c r="AD115" s="49">
        <f t="shared" ca="1" si="7"/>
        <v>175.91808291477389</v>
      </c>
      <c r="AE115" s="49">
        <f t="shared" ca="1" si="7"/>
        <v>175.91808291477389</v>
      </c>
      <c r="AF115" s="49">
        <f t="shared" ca="1" si="7"/>
        <v>175.91808291477389</v>
      </c>
      <c r="AG115" s="49">
        <f t="shared" ca="1" si="7"/>
        <v>175.91808291477389</v>
      </c>
      <c r="AH115" s="49">
        <f t="shared" ca="1" si="7"/>
        <v>175.91808291477389</v>
      </c>
      <c r="AI115" s="49">
        <f t="shared" ca="1" si="7"/>
        <v>175.91808291477389</v>
      </c>
      <c r="AJ115" s="49">
        <f t="shared" ca="1" si="7"/>
        <v>175.91808291477389</v>
      </c>
      <c r="AK115" s="49">
        <f t="shared" ca="1" si="7"/>
        <v>175.91808291477389</v>
      </c>
      <c r="AL115" s="49">
        <f t="shared" ca="1" si="7"/>
        <v>175.91808291477389</v>
      </c>
      <c r="AM115" s="49">
        <f t="shared" ca="1" si="7"/>
        <v>175.91808291477389</v>
      </c>
      <c r="AN115" s="49">
        <f t="shared" ca="1" si="7"/>
        <v>175.91808291477389</v>
      </c>
      <c r="AO115" s="49">
        <f t="shared" ca="1" si="7"/>
        <v>175.91808291477389</v>
      </c>
      <c r="AP115" s="49">
        <f t="shared" ca="1" si="7"/>
        <v>175.91808291477389</v>
      </c>
      <c r="AQ115" s="49">
        <f t="shared" ca="1" si="7"/>
        <v>175.91808291477389</v>
      </c>
      <c r="AR115" s="49">
        <f t="shared" ref="AR115:BS115" ca="1" si="8">SUM(AQ115)+CA_gross_prod_oil</f>
        <v>175.91808291477389</v>
      </c>
      <c r="AS115" s="49">
        <f t="shared" ca="1" si="8"/>
        <v>175.91808291477389</v>
      </c>
      <c r="AT115" s="49">
        <f t="shared" ca="1" si="8"/>
        <v>175.91808291477389</v>
      </c>
      <c r="AU115" s="49">
        <f t="shared" ca="1" si="8"/>
        <v>175.91808291477389</v>
      </c>
      <c r="AV115" s="49">
        <f t="shared" ca="1" si="8"/>
        <v>175.91808291477389</v>
      </c>
      <c r="AW115" s="49">
        <f t="shared" ca="1" si="8"/>
        <v>175.91808291477389</v>
      </c>
      <c r="AX115" s="49">
        <f t="shared" ca="1" si="8"/>
        <v>175.91808291477389</v>
      </c>
      <c r="AY115" s="49">
        <f t="shared" ca="1" si="8"/>
        <v>175.91808291477389</v>
      </c>
      <c r="AZ115" s="49">
        <f t="shared" ca="1" si="8"/>
        <v>175.91808291477389</v>
      </c>
      <c r="BA115" s="49">
        <f t="shared" ca="1" si="8"/>
        <v>175.91808291477389</v>
      </c>
      <c r="BB115" s="49">
        <f t="shared" ca="1" si="8"/>
        <v>175.91808291477389</v>
      </c>
      <c r="BC115" s="49">
        <f t="shared" ca="1" si="8"/>
        <v>175.91808291477389</v>
      </c>
      <c r="BD115" s="49">
        <f t="shared" ca="1" si="8"/>
        <v>175.91808291477389</v>
      </c>
      <c r="BE115" s="49">
        <f t="shared" ca="1" si="8"/>
        <v>175.91808291477389</v>
      </c>
      <c r="BF115" s="49">
        <f t="shared" ca="1" si="8"/>
        <v>175.91808291477389</v>
      </c>
      <c r="BG115" s="49">
        <f t="shared" ca="1" si="8"/>
        <v>175.91808291477389</v>
      </c>
      <c r="BH115" s="49">
        <f t="shared" ca="1" si="8"/>
        <v>175.91808291477389</v>
      </c>
      <c r="BI115" s="49">
        <f t="shared" ca="1" si="8"/>
        <v>175.91808291477389</v>
      </c>
      <c r="BJ115" s="49">
        <f t="shared" ca="1" si="8"/>
        <v>175.91808291477389</v>
      </c>
      <c r="BK115" s="49">
        <f t="shared" ca="1" si="8"/>
        <v>175.91808291477389</v>
      </c>
      <c r="BL115" s="49">
        <f t="shared" ca="1" si="8"/>
        <v>175.91808291477389</v>
      </c>
      <c r="BM115" s="49">
        <f t="shared" ca="1" si="8"/>
        <v>175.91808291477389</v>
      </c>
      <c r="BN115" s="49">
        <f t="shared" ca="1" si="8"/>
        <v>175.91808291477389</v>
      </c>
      <c r="BO115" s="49">
        <f t="shared" ca="1" si="8"/>
        <v>175.91808291477389</v>
      </c>
      <c r="BP115" s="49">
        <f t="shared" ca="1" si="8"/>
        <v>175.91808291477389</v>
      </c>
      <c r="BQ115" s="49">
        <f t="shared" ca="1" si="8"/>
        <v>175.91808291477389</v>
      </c>
      <c r="BR115" s="49">
        <f t="shared" ca="1" si="8"/>
        <v>175.91808291477389</v>
      </c>
      <c r="BS115" s="49">
        <f t="shared" ca="1" si="8"/>
        <v>175.91808291477389</v>
      </c>
    </row>
    <row r="116" spans="1:71" outlineLevel="1" x14ac:dyDescent="0.2">
      <c r="D116" t="s">
        <v>71</v>
      </c>
      <c r="J116" s="26" t="s">
        <v>45</v>
      </c>
      <c r="K116" s="7" t="s">
        <v>136</v>
      </c>
      <c r="L116" s="49">
        <f t="shared" ref="L116:AQ116" ca="1" si="9">SUM(K116)+CA_gross_prod_gas</f>
        <v>0</v>
      </c>
      <c r="M116" s="49">
        <f t="shared" ca="1" si="9"/>
        <v>0</v>
      </c>
      <c r="N116" s="49">
        <f t="shared" ca="1" si="9"/>
        <v>0</v>
      </c>
      <c r="O116" s="49">
        <f t="shared" ca="1" si="9"/>
        <v>0</v>
      </c>
      <c r="P116" s="49">
        <f t="shared" ca="1" si="9"/>
        <v>0</v>
      </c>
      <c r="Q116" s="49">
        <f t="shared" ca="1" si="9"/>
        <v>0</v>
      </c>
      <c r="R116" s="49">
        <f t="shared" ca="1" si="9"/>
        <v>0</v>
      </c>
      <c r="S116" s="49">
        <f t="shared" ca="1" si="9"/>
        <v>0</v>
      </c>
      <c r="T116" s="49">
        <f t="shared" ca="1" si="9"/>
        <v>0</v>
      </c>
      <c r="U116" s="49">
        <f t="shared" ca="1" si="9"/>
        <v>0</v>
      </c>
      <c r="V116" s="49">
        <f t="shared" ca="1" si="9"/>
        <v>0</v>
      </c>
      <c r="W116" s="49">
        <f t="shared" ca="1" si="9"/>
        <v>0</v>
      </c>
      <c r="X116" s="49">
        <f t="shared" ca="1" si="9"/>
        <v>0</v>
      </c>
      <c r="Y116" s="49">
        <f t="shared" ca="1" si="9"/>
        <v>0</v>
      </c>
      <c r="Z116" s="49">
        <f t="shared" ca="1" si="9"/>
        <v>0</v>
      </c>
      <c r="AA116" s="49">
        <f t="shared" ca="1" si="9"/>
        <v>0</v>
      </c>
      <c r="AB116" s="49">
        <f t="shared" ca="1" si="9"/>
        <v>0</v>
      </c>
      <c r="AC116" s="49">
        <f t="shared" ca="1" si="9"/>
        <v>0</v>
      </c>
      <c r="AD116" s="49">
        <f t="shared" ca="1" si="9"/>
        <v>0</v>
      </c>
      <c r="AE116" s="49">
        <f t="shared" ca="1" si="9"/>
        <v>0</v>
      </c>
      <c r="AF116" s="49">
        <f t="shared" ca="1" si="9"/>
        <v>0</v>
      </c>
      <c r="AG116" s="49">
        <f t="shared" ca="1" si="9"/>
        <v>0</v>
      </c>
      <c r="AH116" s="49">
        <f t="shared" ca="1" si="9"/>
        <v>0</v>
      </c>
      <c r="AI116" s="49">
        <f t="shared" ca="1" si="9"/>
        <v>0</v>
      </c>
      <c r="AJ116" s="49">
        <f t="shared" ca="1" si="9"/>
        <v>0</v>
      </c>
      <c r="AK116" s="49">
        <f t="shared" ca="1" si="9"/>
        <v>0</v>
      </c>
      <c r="AL116" s="49">
        <f t="shared" ca="1" si="9"/>
        <v>0</v>
      </c>
      <c r="AM116" s="49">
        <f t="shared" ca="1" si="9"/>
        <v>0</v>
      </c>
      <c r="AN116" s="49">
        <f t="shared" ca="1" si="9"/>
        <v>0</v>
      </c>
      <c r="AO116" s="49">
        <f t="shared" ca="1" si="9"/>
        <v>0</v>
      </c>
      <c r="AP116" s="49">
        <f t="shared" ca="1" si="9"/>
        <v>0</v>
      </c>
      <c r="AQ116" s="49">
        <f t="shared" ca="1" si="9"/>
        <v>0</v>
      </c>
      <c r="AR116" s="49">
        <f t="shared" ref="AR116:BS116" ca="1" si="10">SUM(AQ116)+CA_gross_prod_gas</f>
        <v>0</v>
      </c>
      <c r="AS116" s="49">
        <f t="shared" ca="1" si="10"/>
        <v>0</v>
      </c>
      <c r="AT116" s="49">
        <f t="shared" ca="1" si="10"/>
        <v>0</v>
      </c>
      <c r="AU116" s="49">
        <f t="shared" ca="1" si="10"/>
        <v>0</v>
      </c>
      <c r="AV116" s="49">
        <f t="shared" ca="1" si="10"/>
        <v>0</v>
      </c>
      <c r="AW116" s="49">
        <f t="shared" ca="1" si="10"/>
        <v>0</v>
      </c>
      <c r="AX116" s="49">
        <f t="shared" ca="1" si="10"/>
        <v>0</v>
      </c>
      <c r="AY116" s="49">
        <f t="shared" ca="1" si="10"/>
        <v>0</v>
      </c>
      <c r="AZ116" s="49">
        <f t="shared" ca="1" si="10"/>
        <v>0</v>
      </c>
      <c r="BA116" s="49">
        <f t="shared" ca="1" si="10"/>
        <v>0</v>
      </c>
      <c r="BB116" s="49">
        <f t="shared" ca="1" si="10"/>
        <v>0</v>
      </c>
      <c r="BC116" s="49">
        <f t="shared" ca="1" si="10"/>
        <v>0</v>
      </c>
      <c r="BD116" s="49">
        <f t="shared" ca="1" si="10"/>
        <v>0</v>
      </c>
      <c r="BE116" s="49">
        <f t="shared" ca="1" si="10"/>
        <v>0</v>
      </c>
      <c r="BF116" s="49">
        <f t="shared" ca="1" si="10"/>
        <v>0</v>
      </c>
      <c r="BG116" s="49">
        <f t="shared" ca="1" si="10"/>
        <v>0</v>
      </c>
      <c r="BH116" s="49">
        <f t="shared" ca="1" si="10"/>
        <v>0</v>
      </c>
      <c r="BI116" s="49">
        <f t="shared" ca="1" si="10"/>
        <v>0</v>
      </c>
      <c r="BJ116" s="49">
        <f t="shared" ca="1" si="10"/>
        <v>0</v>
      </c>
      <c r="BK116" s="49">
        <f t="shared" ca="1" si="10"/>
        <v>0</v>
      </c>
      <c r="BL116" s="49">
        <f t="shared" ca="1" si="10"/>
        <v>0</v>
      </c>
      <c r="BM116" s="49">
        <f t="shared" ca="1" si="10"/>
        <v>0</v>
      </c>
      <c r="BN116" s="49">
        <f t="shared" ca="1" si="10"/>
        <v>0</v>
      </c>
      <c r="BO116" s="49">
        <f t="shared" ca="1" si="10"/>
        <v>0</v>
      </c>
      <c r="BP116" s="49">
        <f t="shared" ca="1" si="10"/>
        <v>0</v>
      </c>
      <c r="BQ116" s="49">
        <f t="shared" ca="1" si="10"/>
        <v>0</v>
      </c>
      <c r="BR116" s="49">
        <f t="shared" ca="1" si="10"/>
        <v>0</v>
      </c>
      <c r="BS116" s="49">
        <f t="shared" ca="1" si="10"/>
        <v>0</v>
      </c>
    </row>
    <row r="117" spans="1:71" outlineLevel="1" x14ac:dyDescent="0.2">
      <c r="D117" s="47" t="s">
        <v>129</v>
      </c>
      <c r="E117" s="6"/>
      <c r="F117" s="6"/>
      <c r="G117" s="6"/>
      <c r="H117" s="6"/>
      <c r="J117" s="26" t="s">
        <v>130</v>
      </c>
      <c r="K117" s="7" t="s">
        <v>137</v>
      </c>
      <c r="L117" s="49">
        <f ca="1">SUM(L115:L116)</f>
        <v>7.0982879319049994</v>
      </c>
      <c r="M117" s="49">
        <f t="shared" ref="M117:BS117" ca="1" si="11">SUM(M115:M116)</f>
        <v>14.464943189829999</v>
      </c>
      <c r="N117" s="49">
        <f t="shared" ca="1" si="11"/>
        <v>20.048159737044998</v>
      </c>
      <c r="O117" s="49">
        <f t="shared" ca="1" si="11"/>
        <v>26.270248762518996</v>
      </c>
      <c r="P117" s="49">
        <f t="shared" ca="1" si="11"/>
        <v>39.145275890873997</v>
      </c>
      <c r="Q117" s="49">
        <f t="shared" ca="1" si="11"/>
        <v>59.451909547543991</v>
      </c>
      <c r="R117" s="49">
        <f t="shared" ca="1" si="11"/>
        <v>80.022288242138984</v>
      </c>
      <c r="S117" s="49">
        <f t="shared" ca="1" si="11"/>
        <v>99.07192944213898</v>
      </c>
      <c r="T117" s="49">
        <f t="shared" ca="1" si="11"/>
        <v>116.73969093213898</v>
      </c>
      <c r="U117" s="49">
        <f t="shared" ca="1" si="11"/>
        <v>133.17070911783898</v>
      </c>
      <c r="V117" s="49">
        <f t="shared" ca="1" si="11"/>
        <v>148.45155603053999</v>
      </c>
      <c r="W117" s="49">
        <f t="shared" ca="1" si="11"/>
        <v>162.7016784199788</v>
      </c>
      <c r="X117" s="49">
        <f t="shared" ca="1" si="11"/>
        <v>175.91808291477389</v>
      </c>
      <c r="Y117" s="49">
        <f t="shared" ca="1" si="11"/>
        <v>175.91808291477389</v>
      </c>
      <c r="Z117" s="49">
        <f t="shared" ca="1" si="11"/>
        <v>175.91808291477389</v>
      </c>
      <c r="AA117" s="49">
        <f t="shared" ca="1" si="11"/>
        <v>175.91808291477389</v>
      </c>
      <c r="AB117" s="49">
        <f t="shared" ca="1" si="11"/>
        <v>175.91808291477389</v>
      </c>
      <c r="AC117" s="49">
        <f t="shared" ca="1" si="11"/>
        <v>175.91808291477389</v>
      </c>
      <c r="AD117" s="49">
        <f t="shared" ca="1" si="11"/>
        <v>175.91808291477389</v>
      </c>
      <c r="AE117" s="49">
        <f t="shared" ca="1" si="11"/>
        <v>175.91808291477389</v>
      </c>
      <c r="AF117" s="49">
        <f t="shared" ca="1" si="11"/>
        <v>175.91808291477389</v>
      </c>
      <c r="AG117" s="49">
        <f t="shared" ca="1" si="11"/>
        <v>175.91808291477389</v>
      </c>
      <c r="AH117" s="49">
        <f t="shared" ca="1" si="11"/>
        <v>175.91808291477389</v>
      </c>
      <c r="AI117" s="49">
        <f t="shared" ca="1" si="11"/>
        <v>175.91808291477389</v>
      </c>
      <c r="AJ117" s="49">
        <f t="shared" ca="1" si="11"/>
        <v>175.91808291477389</v>
      </c>
      <c r="AK117" s="49">
        <f t="shared" ca="1" si="11"/>
        <v>175.91808291477389</v>
      </c>
      <c r="AL117" s="49">
        <f t="shared" ca="1" si="11"/>
        <v>175.91808291477389</v>
      </c>
      <c r="AM117" s="49">
        <f t="shared" ca="1" si="11"/>
        <v>175.91808291477389</v>
      </c>
      <c r="AN117" s="49">
        <f t="shared" ca="1" si="11"/>
        <v>175.91808291477389</v>
      </c>
      <c r="AO117" s="49">
        <f t="shared" ca="1" si="11"/>
        <v>175.91808291477389</v>
      </c>
      <c r="AP117" s="49">
        <f t="shared" ca="1" si="11"/>
        <v>175.91808291477389</v>
      </c>
      <c r="AQ117" s="49">
        <f t="shared" ca="1" si="11"/>
        <v>175.91808291477389</v>
      </c>
      <c r="AR117" s="49">
        <f t="shared" ca="1" si="11"/>
        <v>175.91808291477389</v>
      </c>
      <c r="AS117" s="49">
        <f t="shared" ca="1" si="11"/>
        <v>175.91808291477389</v>
      </c>
      <c r="AT117" s="49">
        <f t="shared" ca="1" si="11"/>
        <v>175.91808291477389</v>
      </c>
      <c r="AU117" s="49">
        <f t="shared" ca="1" si="11"/>
        <v>175.91808291477389</v>
      </c>
      <c r="AV117" s="49">
        <f t="shared" ca="1" si="11"/>
        <v>175.91808291477389</v>
      </c>
      <c r="AW117" s="49">
        <f t="shared" ca="1" si="11"/>
        <v>175.91808291477389</v>
      </c>
      <c r="AX117" s="49">
        <f t="shared" ca="1" si="11"/>
        <v>175.91808291477389</v>
      </c>
      <c r="AY117" s="49">
        <f t="shared" ca="1" si="11"/>
        <v>175.91808291477389</v>
      </c>
      <c r="AZ117" s="49">
        <f t="shared" ca="1" si="11"/>
        <v>175.91808291477389</v>
      </c>
      <c r="BA117" s="49">
        <f t="shared" ca="1" si="11"/>
        <v>175.91808291477389</v>
      </c>
      <c r="BB117" s="49">
        <f t="shared" ca="1" si="11"/>
        <v>175.91808291477389</v>
      </c>
      <c r="BC117" s="49">
        <f t="shared" ca="1" si="11"/>
        <v>175.91808291477389</v>
      </c>
      <c r="BD117" s="49">
        <f t="shared" ca="1" si="11"/>
        <v>175.91808291477389</v>
      </c>
      <c r="BE117" s="49">
        <f t="shared" ca="1" si="11"/>
        <v>175.91808291477389</v>
      </c>
      <c r="BF117" s="49">
        <f t="shared" ca="1" si="11"/>
        <v>175.91808291477389</v>
      </c>
      <c r="BG117" s="49">
        <f t="shared" ca="1" si="11"/>
        <v>175.91808291477389</v>
      </c>
      <c r="BH117" s="49">
        <f t="shared" ca="1" si="11"/>
        <v>175.91808291477389</v>
      </c>
      <c r="BI117" s="49">
        <f t="shared" ca="1" si="11"/>
        <v>175.91808291477389</v>
      </c>
      <c r="BJ117" s="49">
        <f t="shared" ca="1" si="11"/>
        <v>175.91808291477389</v>
      </c>
      <c r="BK117" s="49">
        <f t="shared" ca="1" si="11"/>
        <v>175.91808291477389</v>
      </c>
      <c r="BL117" s="49">
        <f t="shared" ca="1" si="11"/>
        <v>175.91808291477389</v>
      </c>
      <c r="BM117" s="49">
        <f t="shared" ca="1" si="11"/>
        <v>175.91808291477389</v>
      </c>
      <c r="BN117" s="49">
        <f t="shared" ca="1" si="11"/>
        <v>175.91808291477389</v>
      </c>
      <c r="BO117" s="49">
        <f t="shared" ca="1" si="11"/>
        <v>175.91808291477389</v>
      </c>
      <c r="BP117" s="49">
        <f t="shared" ca="1" si="11"/>
        <v>175.91808291477389</v>
      </c>
      <c r="BQ117" s="49">
        <f t="shared" ca="1" si="11"/>
        <v>175.91808291477389</v>
      </c>
      <c r="BR117" s="49">
        <f t="shared" ca="1" si="11"/>
        <v>175.91808291477389</v>
      </c>
      <c r="BS117" s="49">
        <f t="shared" ca="1" si="11"/>
        <v>175.91808291477389</v>
      </c>
    </row>
    <row r="118" spans="1:71" outlineLevel="1" x14ac:dyDescent="0.2"/>
    <row r="119" spans="1:71" outlineLevel="1" x14ac:dyDescent="0.2"/>
    <row r="120" spans="1:71" outlineLevel="1" x14ac:dyDescent="0.2"/>
    <row r="121" spans="1:71" outlineLevel="1" x14ac:dyDescent="0.2">
      <c r="A121" s="45"/>
      <c r="B121" s="38" t="s">
        <v>51</v>
      </c>
      <c r="C121" s="45"/>
      <c r="D121" s="45"/>
      <c r="E121" s="45"/>
    </row>
    <row r="122" spans="1:71" outlineLevel="1" x14ac:dyDescent="0.2"/>
    <row r="123" spans="1:71" outlineLevel="1" x14ac:dyDescent="0.2">
      <c r="C123" s="11" t="s">
        <v>138</v>
      </c>
    </row>
    <row r="124" spans="1:71" outlineLevel="1" x14ac:dyDescent="0.2">
      <c r="D124" t="s">
        <v>139</v>
      </c>
      <c r="J124" s="26" t="s">
        <v>46</v>
      </c>
      <c r="K124" s="7" t="s">
        <v>141</v>
      </c>
      <c r="L124" s="49">
        <f t="shared" ref="L124:AQ124" ca="1" si="12">IA_oilprice_nominal</f>
        <v>105.56594625304467</v>
      </c>
      <c r="M124" s="49">
        <f t="shared" ca="1" si="12"/>
        <v>96.087837772974183</v>
      </c>
      <c r="N124" s="49">
        <f t="shared" ca="1" si="12"/>
        <v>47.83306661001685</v>
      </c>
      <c r="O124" s="49">
        <f t="shared" ca="1" si="12"/>
        <v>40.514178138774625</v>
      </c>
      <c r="P124" s="49">
        <f t="shared" ca="1" si="12"/>
        <v>54.30988909203591</v>
      </c>
      <c r="Q124" s="49">
        <f t="shared" ca="1" si="12"/>
        <v>68.447232066727068</v>
      </c>
      <c r="R124" s="49">
        <f t="shared" ca="1" si="12"/>
        <v>64.497153078556039</v>
      </c>
      <c r="S124" s="49">
        <f t="shared" ca="1" si="12"/>
        <v>40.43</v>
      </c>
      <c r="T124" s="49">
        <f t="shared" ca="1" si="12"/>
        <v>66.5184</v>
      </c>
      <c r="U124" s="49">
        <f t="shared" ca="1" si="12"/>
        <v>71.400000000000006</v>
      </c>
      <c r="V124" s="49">
        <f t="shared" ca="1" si="12"/>
        <v>72.828000000000003</v>
      </c>
      <c r="W124" s="49">
        <f t="shared" ca="1" si="12"/>
        <v>74.284559999999999</v>
      </c>
      <c r="X124" s="49">
        <f t="shared" ca="1" si="12"/>
        <v>75.770251200000004</v>
      </c>
      <c r="Y124" s="49">
        <f t="shared" ca="1" si="12"/>
        <v>0</v>
      </c>
      <c r="Z124" s="49">
        <f t="shared" ca="1" si="12"/>
        <v>0</v>
      </c>
      <c r="AA124" s="49">
        <f t="shared" si="12"/>
        <v>0</v>
      </c>
      <c r="AB124" s="49">
        <f t="shared" si="12"/>
        <v>0</v>
      </c>
      <c r="AC124" s="49">
        <f t="shared" si="12"/>
        <v>0</v>
      </c>
      <c r="AD124" s="49">
        <f t="shared" si="12"/>
        <v>0</v>
      </c>
      <c r="AE124" s="49">
        <f t="shared" si="12"/>
        <v>0</v>
      </c>
      <c r="AF124" s="49">
        <f t="shared" si="12"/>
        <v>0</v>
      </c>
      <c r="AG124" s="49">
        <f t="shared" si="12"/>
        <v>0</v>
      </c>
      <c r="AH124" s="49">
        <f t="shared" si="12"/>
        <v>0</v>
      </c>
      <c r="AI124" s="49">
        <f t="shared" si="12"/>
        <v>0</v>
      </c>
      <c r="AJ124" s="49">
        <f t="shared" si="12"/>
        <v>0</v>
      </c>
      <c r="AK124" s="49">
        <f t="shared" si="12"/>
        <v>0</v>
      </c>
      <c r="AL124" s="49">
        <f t="shared" si="12"/>
        <v>0</v>
      </c>
      <c r="AM124" s="49">
        <f t="shared" si="12"/>
        <v>0</v>
      </c>
      <c r="AN124" s="49">
        <f t="shared" si="12"/>
        <v>0</v>
      </c>
      <c r="AO124" s="49">
        <f t="shared" si="12"/>
        <v>0</v>
      </c>
      <c r="AP124" s="49">
        <f t="shared" si="12"/>
        <v>0</v>
      </c>
      <c r="AQ124" s="49">
        <f t="shared" si="12"/>
        <v>0</v>
      </c>
      <c r="AR124" s="49">
        <f t="shared" ref="AR124:BS124" si="13">IA_oilprice_nominal</f>
        <v>0</v>
      </c>
      <c r="AS124" s="49">
        <f t="shared" si="13"/>
        <v>0</v>
      </c>
      <c r="AT124" s="49">
        <f t="shared" si="13"/>
        <v>0</v>
      </c>
      <c r="AU124" s="49">
        <f t="shared" si="13"/>
        <v>0</v>
      </c>
      <c r="AV124" s="49">
        <f t="shared" si="13"/>
        <v>0</v>
      </c>
      <c r="AW124" s="49">
        <f t="shared" si="13"/>
        <v>0</v>
      </c>
      <c r="AX124" s="49">
        <f t="shared" si="13"/>
        <v>0</v>
      </c>
      <c r="AY124" s="49">
        <f t="shared" si="13"/>
        <v>0</v>
      </c>
      <c r="AZ124" s="49">
        <f t="shared" si="13"/>
        <v>0</v>
      </c>
      <c r="BA124" s="49">
        <f t="shared" si="13"/>
        <v>0</v>
      </c>
      <c r="BB124" s="49">
        <f t="shared" si="13"/>
        <v>0</v>
      </c>
      <c r="BC124" s="49">
        <f t="shared" si="13"/>
        <v>0</v>
      </c>
      <c r="BD124" s="49">
        <f t="shared" si="13"/>
        <v>0</v>
      </c>
      <c r="BE124" s="49">
        <f t="shared" si="13"/>
        <v>0</v>
      </c>
      <c r="BF124" s="49">
        <f t="shared" si="13"/>
        <v>0</v>
      </c>
      <c r="BG124" s="49">
        <f t="shared" si="13"/>
        <v>0</v>
      </c>
      <c r="BH124" s="49">
        <f t="shared" si="13"/>
        <v>0</v>
      </c>
      <c r="BI124" s="49">
        <f t="shared" si="13"/>
        <v>0</v>
      </c>
      <c r="BJ124" s="49">
        <f t="shared" si="13"/>
        <v>0</v>
      </c>
      <c r="BK124" s="49">
        <f t="shared" si="13"/>
        <v>0</v>
      </c>
      <c r="BL124" s="49">
        <f t="shared" si="13"/>
        <v>0</v>
      </c>
      <c r="BM124" s="49">
        <f t="shared" si="13"/>
        <v>0</v>
      </c>
      <c r="BN124" s="49">
        <f t="shared" si="13"/>
        <v>0</v>
      </c>
      <c r="BO124" s="49">
        <f t="shared" si="13"/>
        <v>0</v>
      </c>
      <c r="BP124" s="49">
        <f t="shared" si="13"/>
        <v>0</v>
      </c>
      <c r="BQ124" s="49">
        <f t="shared" si="13"/>
        <v>0</v>
      </c>
      <c r="BR124" s="49">
        <f t="shared" si="13"/>
        <v>0</v>
      </c>
      <c r="BS124" s="49">
        <f t="shared" si="13"/>
        <v>0</v>
      </c>
    </row>
    <row r="125" spans="1:71" outlineLevel="1" x14ac:dyDescent="0.2"/>
    <row r="126" spans="1:71" outlineLevel="1" x14ac:dyDescent="0.2">
      <c r="D126" t="s">
        <v>140</v>
      </c>
      <c r="J126" s="26" t="s">
        <v>47</v>
      </c>
      <c r="K126" s="7" t="s">
        <v>142</v>
      </c>
      <c r="L126" s="49">
        <f t="shared" ref="L126:AQ126" ca="1" si="14">IA_gasprice_nominal</f>
        <v>0</v>
      </c>
      <c r="M126" s="49">
        <f t="shared" ca="1" si="14"/>
        <v>0</v>
      </c>
      <c r="N126" s="49">
        <f t="shared" ca="1" si="14"/>
        <v>0</v>
      </c>
      <c r="O126" s="49">
        <f t="shared" ca="1" si="14"/>
        <v>0</v>
      </c>
      <c r="P126" s="49">
        <f t="shared" ca="1" si="14"/>
        <v>0</v>
      </c>
      <c r="Q126" s="49">
        <f t="shared" ca="1" si="14"/>
        <v>0</v>
      </c>
      <c r="R126" s="49">
        <f t="shared" ca="1" si="14"/>
        <v>0</v>
      </c>
      <c r="S126" s="49">
        <f t="shared" ca="1" si="14"/>
        <v>0</v>
      </c>
      <c r="T126" s="49">
        <f t="shared" ca="1" si="14"/>
        <v>0</v>
      </c>
      <c r="U126" s="49">
        <f t="shared" ca="1" si="14"/>
        <v>0</v>
      </c>
      <c r="V126" s="49">
        <f t="shared" ca="1" si="14"/>
        <v>0</v>
      </c>
      <c r="W126" s="49">
        <f t="shared" ca="1" si="14"/>
        <v>0</v>
      </c>
      <c r="X126" s="49">
        <f t="shared" ca="1" si="14"/>
        <v>0</v>
      </c>
      <c r="Y126" s="49">
        <f t="shared" ca="1" si="14"/>
        <v>0</v>
      </c>
      <c r="Z126" s="49">
        <f t="shared" ca="1" si="14"/>
        <v>0</v>
      </c>
      <c r="AA126" s="49">
        <f t="shared" si="14"/>
        <v>0</v>
      </c>
      <c r="AB126" s="49">
        <f t="shared" si="14"/>
        <v>0</v>
      </c>
      <c r="AC126" s="49">
        <f t="shared" si="14"/>
        <v>0</v>
      </c>
      <c r="AD126" s="49">
        <f t="shared" si="14"/>
        <v>0</v>
      </c>
      <c r="AE126" s="49">
        <f t="shared" si="14"/>
        <v>0</v>
      </c>
      <c r="AF126" s="49">
        <f t="shared" si="14"/>
        <v>0</v>
      </c>
      <c r="AG126" s="49">
        <f t="shared" si="14"/>
        <v>0</v>
      </c>
      <c r="AH126" s="49">
        <f t="shared" si="14"/>
        <v>0</v>
      </c>
      <c r="AI126" s="49">
        <f t="shared" si="14"/>
        <v>0</v>
      </c>
      <c r="AJ126" s="49">
        <f t="shared" si="14"/>
        <v>0</v>
      </c>
      <c r="AK126" s="49">
        <f t="shared" si="14"/>
        <v>0</v>
      </c>
      <c r="AL126" s="49">
        <f t="shared" si="14"/>
        <v>0</v>
      </c>
      <c r="AM126" s="49">
        <f t="shared" si="14"/>
        <v>0</v>
      </c>
      <c r="AN126" s="49">
        <f t="shared" si="14"/>
        <v>0</v>
      </c>
      <c r="AO126" s="49">
        <f t="shared" si="14"/>
        <v>0</v>
      </c>
      <c r="AP126" s="49">
        <f t="shared" si="14"/>
        <v>0</v>
      </c>
      <c r="AQ126" s="49">
        <f t="shared" si="14"/>
        <v>0</v>
      </c>
      <c r="AR126" s="49">
        <f t="shared" ref="AR126:BS126" si="15">IA_gasprice_nominal</f>
        <v>0</v>
      </c>
      <c r="AS126" s="49">
        <f t="shared" si="15"/>
        <v>0</v>
      </c>
      <c r="AT126" s="49">
        <f t="shared" si="15"/>
        <v>0</v>
      </c>
      <c r="AU126" s="49">
        <f t="shared" si="15"/>
        <v>0</v>
      </c>
      <c r="AV126" s="49">
        <f t="shared" si="15"/>
        <v>0</v>
      </c>
      <c r="AW126" s="49">
        <f t="shared" si="15"/>
        <v>0</v>
      </c>
      <c r="AX126" s="49">
        <f t="shared" si="15"/>
        <v>0</v>
      </c>
      <c r="AY126" s="49">
        <f t="shared" si="15"/>
        <v>0</v>
      </c>
      <c r="AZ126" s="49">
        <f t="shared" si="15"/>
        <v>0</v>
      </c>
      <c r="BA126" s="49">
        <f t="shared" si="15"/>
        <v>0</v>
      </c>
      <c r="BB126" s="49">
        <f t="shared" si="15"/>
        <v>0</v>
      </c>
      <c r="BC126" s="49">
        <f t="shared" si="15"/>
        <v>0</v>
      </c>
      <c r="BD126" s="49">
        <f t="shared" si="15"/>
        <v>0</v>
      </c>
      <c r="BE126" s="49">
        <f t="shared" si="15"/>
        <v>0</v>
      </c>
      <c r="BF126" s="49">
        <f t="shared" si="15"/>
        <v>0</v>
      </c>
      <c r="BG126" s="49">
        <f t="shared" si="15"/>
        <v>0</v>
      </c>
      <c r="BH126" s="49">
        <f t="shared" si="15"/>
        <v>0</v>
      </c>
      <c r="BI126" s="49">
        <f t="shared" si="15"/>
        <v>0</v>
      </c>
      <c r="BJ126" s="49">
        <f t="shared" si="15"/>
        <v>0</v>
      </c>
      <c r="BK126" s="49">
        <f t="shared" si="15"/>
        <v>0</v>
      </c>
      <c r="BL126" s="49">
        <f t="shared" si="15"/>
        <v>0</v>
      </c>
      <c r="BM126" s="49">
        <f t="shared" si="15"/>
        <v>0</v>
      </c>
      <c r="BN126" s="49">
        <f t="shared" si="15"/>
        <v>0</v>
      </c>
      <c r="BO126" s="49">
        <f t="shared" si="15"/>
        <v>0</v>
      </c>
      <c r="BP126" s="49">
        <f t="shared" si="15"/>
        <v>0</v>
      </c>
      <c r="BQ126" s="49">
        <f t="shared" si="15"/>
        <v>0</v>
      </c>
      <c r="BR126" s="49">
        <f t="shared" si="15"/>
        <v>0</v>
      </c>
      <c r="BS126" s="49">
        <f t="shared" si="15"/>
        <v>0</v>
      </c>
    </row>
    <row r="127" spans="1:71" outlineLevel="1" x14ac:dyDescent="0.2"/>
    <row r="128" spans="1:71" outlineLevel="1" x14ac:dyDescent="0.2">
      <c r="C128" s="11" t="s">
        <v>111</v>
      </c>
    </row>
    <row r="129" spans="1:71" outlineLevel="1" x14ac:dyDescent="0.2">
      <c r="D129" t="s">
        <v>139</v>
      </c>
      <c r="J129" s="26" t="s">
        <v>46</v>
      </c>
      <c r="K129" s="7" t="s">
        <v>143</v>
      </c>
      <c r="L129" s="49" cm="1">
        <f t="array" ref="L129">IFERROR(INDEX(FA_HP,MATCH(L4,YEAR(FA_HP_date),1)),0)*_xlfn.SINGLE(IA_infl_index)</f>
        <v>90</v>
      </c>
      <c r="M129" s="49" cm="1">
        <f t="array" ref="M129">IFERROR(INDEX(FA_HP,MATCH(M4,YEAR(FA_HP_date),1)),0)*_xlfn.SINGLE(IA_infl_index)</f>
        <v>90</v>
      </c>
      <c r="N129" s="49" cm="1">
        <f t="array" ref="N129">IFERROR(INDEX(FA_HP,MATCH(N4,YEAR(FA_HP_date),1)),0)*_xlfn.SINGLE(IA_infl_index)</f>
        <v>32</v>
      </c>
      <c r="O129" s="49" cm="1">
        <f t="array" ref="O129">IFERROR(INDEX(FA_HP,MATCH(O4,YEAR(FA_HP_date),1)),0)*_xlfn.SINGLE(IA_infl_index)</f>
        <v>32</v>
      </c>
      <c r="P129" s="49" cm="1">
        <f t="array" ref="P129">IFERROR(INDEX(FA_HP,MATCH(P4,YEAR(FA_HP_date),1)),0)*_xlfn.SINGLE(IA_infl_index)</f>
        <v>32</v>
      </c>
      <c r="Q129" s="49" cm="1">
        <f t="array" ref="Q129">IFERROR(INDEX(FA_HP,MATCH(Q4,YEAR(FA_HP_date),1)),0)*_xlfn.SINGLE(IA_infl_index)</f>
        <v>32</v>
      </c>
      <c r="R129" s="49" cm="1">
        <f t="array" ref="R129">IFERROR(INDEX(FA_HP,MATCH(R4,YEAR(FA_HP_date),1)),0)*_xlfn.SINGLE(IA_infl_index)</f>
        <v>32</v>
      </c>
      <c r="S129" s="49" cm="1">
        <f t="array" ref="S129">IFERROR(INDEX(FA_HP,MATCH(S4,YEAR(FA_HP_date),1)),0)*_xlfn.SINGLE(IA_infl_index)</f>
        <v>32</v>
      </c>
      <c r="T129" s="49" cm="1">
        <f t="array" ref="T129">IFERROR(INDEX(FA_HP,MATCH(T4,YEAR(FA_HP_date),1)),0)*_xlfn.SINGLE(IA_infl_index)</f>
        <v>32</v>
      </c>
      <c r="U129" s="49" cm="1">
        <f t="array" ref="U129">IFERROR(INDEX(FA_HP,MATCH(U4,YEAR(FA_HP_date),1)),0)*_xlfn.SINGLE(IA_infl_index)</f>
        <v>32.64</v>
      </c>
      <c r="V129" s="49" cm="1">
        <f t="array" ref="V129">IFERROR(INDEX(FA_HP,MATCH(V4,YEAR(FA_HP_date),1)),0)*_xlfn.SINGLE(IA_infl_index)</f>
        <v>33.2928</v>
      </c>
      <c r="W129" s="49" cm="1">
        <f t="array" ref="W129">IFERROR(INDEX(FA_HP,MATCH(W4,YEAR(FA_HP_date),1)),0)*_xlfn.SINGLE(IA_infl_index)</f>
        <v>33.958655999999998</v>
      </c>
      <c r="X129" s="49" cm="1">
        <f t="array" ref="X129">IFERROR(INDEX(FA_HP,MATCH(X4,YEAR(FA_HP_date),1)),0)*_xlfn.SINGLE(IA_infl_index)</f>
        <v>34.637829119999999</v>
      </c>
      <c r="Y129" s="49" cm="1">
        <f t="array" ref="Y129">IFERROR(INDEX(FA_HP,MATCH(Y4,YEAR(FA_HP_date),1)),0)*_xlfn.SINGLE(IA_infl_index)</f>
        <v>35.330585702400001</v>
      </c>
      <c r="Z129" s="49" cm="1">
        <f t="array" ref="Z129">IFERROR(INDEX(FA_HP,MATCH(Z4,YEAR(FA_HP_date),1)),0)*_xlfn.SINGLE(IA_infl_index)</f>
        <v>36.037197416448002</v>
      </c>
      <c r="AA129" s="49" cm="1">
        <f t="array" ref="AA129">IFERROR(INDEX(FA_HP,MATCH(AA4,YEAR(FA_HP_date),1)),0)*_xlfn.SINGLE(IA_infl_index)</f>
        <v>0</v>
      </c>
      <c r="AB129" s="49" cm="1">
        <f t="array" ref="AB129">IFERROR(INDEX(FA_HP,MATCH(AB4,YEAR(FA_HP_date),1)),0)*_xlfn.SINGLE(IA_infl_index)</f>
        <v>0</v>
      </c>
      <c r="AC129" s="49" cm="1">
        <f t="array" ref="AC129">IFERROR(INDEX(FA_HP,MATCH(AC4,YEAR(FA_HP_date),1)),0)*_xlfn.SINGLE(IA_infl_index)</f>
        <v>0</v>
      </c>
      <c r="AD129" s="49" cm="1">
        <f t="array" ref="AD129">IFERROR(INDEX(FA_HP,MATCH(AD4,YEAR(FA_HP_date),1)),0)*_xlfn.SINGLE(IA_infl_index)</f>
        <v>0</v>
      </c>
      <c r="AE129" s="49" cm="1">
        <f t="array" ref="AE129">IFERROR(INDEX(FA_HP,MATCH(AE4,YEAR(FA_HP_date),1)),0)*_xlfn.SINGLE(IA_infl_index)</f>
        <v>0</v>
      </c>
      <c r="AF129" s="49" cm="1">
        <f t="array" ref="AF129">IFERROR(INDEX(FA_HP,MATCH(AF4,YEAR(FA_HP_date),1)),0)*_xlfn.SINGLE(IA_infl_index)</f>
        <v>0</v>
      </c>
      <c r="AG129" s="49" cm="1">
        <f t="array" ref="AG129">IFERROR(INDEX(FA_HP,MATCH(AG4,YEAR(FA_HP_date),1)),0)*_xlfn.SINGLE(IA_infl_index)</f>
        <v>0</v>
      </c>
      <c r="AH129" s="49" cm="1">
        <f t="array" ref="AH129">IFERROR(INDEX(FA_HP,MATCH(AH4,YEAR(FA_HP_date),1)),0)*_xlfn.SINGLE(IA_infl_index)</f>
        <v>0</v>
      </c>
      <c r="AI129" s="49" cm="1">
        <f t="array" ref="AI129">IFERROR(INDEX(FA_HP,MATCH(AI4,YEAR(FA_HP_date),1)),0)*_xlfn.SINGLE(IA_infl_index)</f>
        <v>0</v>
      </c>
      <c r="AJ129" s="49" cm="1">
        <f t="array" ref="AJ129">IFERROR(INDEX(FA_HP,MATCH(AJ4,YEAR(FA_HP_date),1)),0)*_xlfn.SINGLE(IA_infl_index)</f>
        <v>0</v>
      </c>
      <c r="AK129" s="49" cm="1">
        <f t="array" ref="AK129">IFERROR(INDEX(FA_HP,MATCH(AK4,YEAR(FA_HP_date),1)),0)*_xlfn.SINGLE(IA_infl_index)</f>
        <v>0</v>
      </c>
      <c r="AL129" s="49" cm="1">
        <f t="array" ref="AL129">IFERROR(INDEX(FA_HP,MATCH(AL4,YEAR(FA_HP_date),1)),0)*_xlfn.SINGLE(IA_infl_index)</f>
        <v>0</v>
      </c>
      <c r="AM129" s="49" cm="1">
        <f t="array" ref="AM129">IFERROR(INDEX(FA_HP,MATCH(AM4,YEAR(FA_HP_date),1)),0)*_xlfn.SINGLE(IA_infl_index)</f>
        <v>0</v>
      </c>
      <c r="AN129" s="49" cm="1">
        <f t="array" ref="AN129">IFERROR(INDEX(FA_HP,MATCH(AN4,YEAR(FA_HP_date),1)),0)*_xlfn.SINGLE(IA_infl_index)</f>
        <v>0</v>
      </c>
      <c r="AO129" s="49" cm="1">
        <f t="array" ref="AO129">IFERROR(INDEX(FA_HP,MATCH(AO4,YEAR(FA_HP_date),1)),0)*_xlfn.SINGLE(IA_infl_index)</f>
        <v>0</v>
      </c>
      <c r="AP129" s="49" cm="1">
        <f t="array" ref="AP129">IFERROR(INDEX(FA_HP,MATCH(AP4,YEAR(FA_HP_date),1)),0)*_xlfn.SINGLE(IA_infl_index)</f>
        <v>0</v>
      </c>
      <c r="AQ129" s="49" cm="1">
        <f t="array" ref="AQ129">IFERROR(INDEX(FA_HP,MATCH(AQ4,YEAR(FA_HP_date),1)),0)*_xlfn.SINGLE(IA_infl_index)</f>
        <v>0</v>
      </c>
      <c r="AR129" s="49" cm="1">
        <f t="array" ref="AR129">IFERROR(INDEX(FA_HP,MATCH(AR4,YEAR(FA_HP_date),1)),0)*_xlfn.SINGLE(IA_infl_index)</f>
        <v>0</v>
      </c>
      <c r="AS129" s="49" cm="1">
        <f t="array" ref="AS129">IFERROR(INDEX(FA_HP,MATCH(AS4,YEAR(FA_HP_date),1)),0)*_xlfn.SINGLE(IA_infl_index)</f>
        <v>0</v>
      </c>
      <c r="AT129" s="49" cm="1">
        <f t="array" ref="AT129">IFERROR(INDEX(FA_HP,MATCH(AT4,YEAR(FA_HP_date),1)),0)*_xlfn.SINGLE(IA_infl_index)</f>
        <v>0</v>
      </c>
      <c r="AU129" s="49" cm="1">
        <f t="array" ref="AU129">IFERROR(INDEX(FA_HP,MATCH(AU4,YEAR(FA_HP_date),1)),0)*_xlfn.SINGLE(IA_infl_index)</f>
        <v>0</v>
      </c>
      <c r="AV129" s="49" cm="1">
        <f t="array" ref="AV129">IFERROR(INDEX(FA_HP,MATCH(AV4,YEAR(FA_HP_date),1)),0)*_xlfn.SINGLE(IA_infl_index)</f>
        <v>0</v>
      </c>
      <c r="AW129" s="49" cm="1">
        <f t="array" ref="AW129">IFERROR(INDEX(FA_HP,MATCH(AW4,YEAR(FA_HP_date),1)),0)*_xlfn.SINGLE(IA_infl_index)</f>
        <v>0</v>
      </c>
      <c r="AX129" s="49" cm="1">
        <f t="array" ref="AX129">IFERROR(INDEX(FA_HP,MATCH(AX4,YEAR(FA_HP_date),1)),0)*_xlfn.SINGLE(IA_infl_index)</f>
        <v>0</v>
      </c>
      <c r="AY129" s="49" cm="1">
        <f t="array" ref="AY129">IFERROR(INDEX(FA_HP,MATCH(AY4,YEAR(FA_HP_date),1)),0)*_xlfn.SINGLE(IA_infl_index)</f>
        <v>0</v>
      </c>
      <c r="AZ129" s="49" cm="1">
        <f t="array" ref="AZ129">IFERROR(INDEX(FA_HP,MATCH(AZ4,YEAR(FA_HP_date),1)),0)*_xlfn.SINGLE(IA_infl_index)</f>
        <v>0</v>
      </c>
      <c r="BA129" s="49" cm="1">
        <f t="array" ref="BA129">IFERROR(INDEX(FA_HP,MATCH(BA4,YEAR(FA_HP_date),1)),0)*_xlfn.SINGLE(IA_infl_index)</f>
        <v>0</v>
      </c>
      <c r="BB129" s="49" cm="1">
        <f t="array" ref="BB129">IFERROR(INDEX(FA_HP,MATCH(BB4,YEAR(FA_HP_date),1)),0)*_xlfn.SINGLE(IA_infl_index)</f>
        <v>0</v>
      </c>
      <c r="BC129" s="49" cm="1">
        <f t="array" ref="BC129">IFERROR(INDEX(FA_HP,MATCH(BC4,YEAR(FA_HP_date),1)),0)*_xlfn.SINGLE(IA_infl_index)</f>
        <v>0</v>
      </c>
      <c r="BD129" s="49" cm="1">
        <f t="array" ref="BD129">IFERROR(INDEX(FA_HP,MATCH(BD4,YEAR(FA_HP_date),1)),0)*_xlfn.SINGLE(IA_infl_index)</f>
        <v>0</v>
      </c>
      <c r="BE129" s="49" cm="1">
        <f t="array" ref="BE129">IFERROR(INDEX(FA_HP,MATCH(BE4,YEAR(FA_HP_date),1)),0)*_xlfn.SINGLE(IA_infl_index)</f>
        <v>0</v>
      </c>
      <c r="BF129" s="49" cm="1">
        <f t="array" ref="BF129">IFERROR(INDEX(FA_HP,MATCH(BF4,YEAR(FA_HP_date),1)),0)*_xlfn.SINGLE(IA_infl_index)</f>
        <v>0</v>
      </c>
      <c r="BG129" s="49" cm="1">
        <f t="array" ref="BG129">IFERROR(INDEX(FA_HP,MATCH(BG4,YEAR(FA_HP_date),1)),0)*_xlfn.SINGLE(IA_infl_index)</f>
        <v>0</v>
      </c>
      <c r="BH129" s="49" cm="1">
        <f t="array" ref="BH129">IFERROR(INDEX(FA_HP,MATCH(BH4,YEAR(FA_HP_date),1)),0)*_xlfn.SINGLE(IA_infl_index)</f>
        <v>0</v>
      </c>
      <c r="BI129" s="49" cm="1">
        <f t="array" ref="BI129">IFERROR(INDEX(FA_HP,MATCH(BI4,YEAR(FA_HP_date),1)),0)*_xlfn.SINGLE(IA_infl_index)</f>
        <v>0</v>
      </c>
      <c r="BJ129" s="49" cm="1">
        <f t="array" ref="BJ129">IFERROR(INDEX(FA_HP,MATCH(BJ4,YEAR(FA_HP_date),1)),0)*_xlfn.SINGLE(IA_infl_index)</f>
        <v>0</v>
      </c>
      <c r="BK129" s="49" cm="1">
        <f t="array" ref="BK129">IFERROR(INDEX(FA_HP,MATCH(BK4,YEAR(FA_HP_date),1)),0)*_xlfn.SINGLE(IA_infl_index)</f>
        <v>0</v>
      </c>
      <c r="BL129" s="49" cm="1">
        <f t="array" ref="BL129">IFERROR(INDEX(FA_HP,MATCH(BL4,YEAR(FA_HP_date),1)),0)*_xlfn.SINGLE(IA_infl_index)</f>
        <v>0</v>
      </c>
      <c r="BM129" s="49" cm="1">
        <f t="array" ref="BM129">IFERROR(INDEX(FA_HP,MATCH(BM4,YEAR(FA_HP_date),1)),0)*_xlfn.SINGLE(IA_infl_index)</f>
        <v>0</v>
      </c>
      <c r="BN129" s="49" cm="1">
        <f t="array" ref="BN129">IFERROR(INDEX(FA_HP,MATCH(BN4,YEAR(FA_HP_date),1)),0)*_xlfn.SINGLE(IA_infl_index)</f>
        <v>0</v>
      </c>
      <c r="BO129" s="49" cm="1">
        <f t="array" ref="BO129">IFERROR(INDEX(FA_HP,MATCH(BO4,YEAR(FA_HP_date),1)),0)*_xlfn.SINGLE(IA_infl_index)</f>
        <v>0</v>
      </c>
      <c r="BP129" s="49" cm="1">
        <f t="array" ref="BP129">IFERROR(INDEX(FA_HP,MATCH(BP4,YEAR(FA_HP_date),1)),0)*_xlfn.SINGLE(IA_infl_index)</f>
        <v>0</v>
      </c>
      <c r="BQ129" s="49" cm="1">
        <f t="array" ref="BQ129">IFERROR(INDEX(FA_HP,MATCH(BQ4,YEAR(FA_HP_date),1)),0)*_xlfn.SINGLE(IA_infl_index)</f>
        <v>0</v>
      </c>
      <c r="BR129" s="49" cm="1">
        <f t="array" ref="BR129">IFERROR(INDEX(FA_HP,MATCH(BR4,YEAR(FA_HP_date),1)),0)*_xlfn.SINGLE(IA_infl_index)</f>
        <v>0</v>
      </c>
      <c r="BS129" s="49" cm="1">
        <f t="array" ref="BS129">IFERROR(INDEX(FA_HP,MATCH(BS4,YEAR(FA_HP_date),1)),0)*_xlfn.SINGLE(IA_infl_index)</f>
        <v>0</v>
      </c>
    </row>
    <row r="130" spans="1:71" outlineLevel="1" x14ac:dyDescent="0.2"/>
    <row r="131" spans="1:71" outlineLevel="1" x14ac:dyDescent="0.2"/>
    <row r="132" spans="1:71" outlineLevel="1" x14ac:dyDescent="0.2">
      <c r="A132" s="45"/>
      <c r="B132" s="38" t="s">
        <v>144</v>
      </c>
      <c r="C132" s="45"/>
      <c r="D132" s="45"/>
      <c r="E132" s="45"/>
    </row>
    <row r="133" spans="1:71" outlineLevel="1" x14ac:dyDescent="0.2"/>
    <row r="134" spans="1:71" outlineLevel="1" x14ac:dyDescent="0.2">
      <c r="C134" s="11" t="s">
        <v>145</v>
      </c>
    </row>
    <row r="135" spans="1:71" outlineLevel="1" x14ac:dyDescent="0.2">
      <c r="D135" t="s">
        <v>146</v>
      </c>
      <c r="I135" s="30">
        <f ca="1">SUM($L135:$BS135)</f>
        <v>11683.664472381299</v>
      </c>
      <c r="J135" s="26" t="s">
        <v>148</v>
      </c>
      <c r="K135" s="7" t="s">
        <v>151</v>
      </c>
      <c r="L135" s="49" cm="1">
        <f t="array" aca="1" ref="L135:BS135" ca="1">CA_gross_prod_oil*CA_FP_oil_nom</f>
        <v>749.33748230811875</v>
      </c>
      <c r="M135" s="49">
        <f ca="1"/>
        <v>707.8459753529246</v>
      </c>
      <c r="N135" s="49">
        <f ca="1"/>
        <v>267.06236900108337</v>
      </c>
      <c r="O135" s="49">
        <f ca="1"/>
        <v>252.08282317336821</v>
      </c>
      <c r="P135" s="49">
        <f ca="1"/>
        <v>699.24129539791363</v>
      </c>
      <c r="Q135" s="49">
        <f ca="1"/>
        <v>1389.9328663921019</v>
      </c>
      <c r="R135" s="49">
        <f ca="1"/>
        <v>1326.7308635491613</v>
      </c>
      <c r="S135" s="49">
        <f ca="1"/>
        <v>770.17699371600008</v>
      </c>
      <c r="T135" s="49">
        <f ca="1"/>
        <v>1175.2312258964159</v>
      </c>
      <c r="U135" s="49">
        <f ca="1"/>
        <v>1173.1746984589799</v>
      </c>
      <c r="V135" s="49">
        <f ca="1"/>
        <v>1112.8735189581882</v>
      </c>
      <c r="W135" s="49">
        <f ca="1"/>
        <v>1058.5640716456105</v>
      </c>
      <c r="X135" s="49">
        <f ca="1"/>
        <v>1001.4102885314331</v>
      </c>
      <c r="Y135" s="49">
        <f ca="1"/>
        <v>0</v>
      </c>
      <c r="Z135" s="49">
        <f ca="1"/>
        <v>0</v>
      </c>
      <c r="AA135" s="49">
        <f ca="1"/>
        <v>0</v>
      </c>
      <c r="AB135" s="49">
        <f ca="1"/>
        <v>0</v>
      </c>
      <c r="AC135" s="49">
        <f ca="1"/>
        <v>0</v>
      </c>
      <c r="AD135" s="49">
        <f ca="1"/>
        <v>0</v>
      </c>
      <c r="AE135" s="49">
        <f ca="1"/>
        <v>0</v>
      </c>
      <c r="AF135" s="49">
        <f ca="1"/>
        <v>0</v>
      </c>
      <c r="AG135" s="49">
        <f ca="1"/>
        <v>0</v>
      </c>
      <c r="AH135" s="49">
        <f ca="1"/>
        <v>0</v>
      </c>
      <c r="AI135" s="49">
        <f ca="1"/>
        <v>0</v>
      </c>
      <c r="AJ135" s="49">
        <f ca="1"/>
        <v>0</v>
      </c>
      <c r="AK135" s="49">
        <f ca="1"/>
        <v>0</v>
      </c>
      <c r="AL135" s="49">
        <f ca="1"/>
        <v>0</v>
      </c>
      <c r="AM135" s="49">
        <f ca="1"/>
        <v>0</v>
      </c>
      <c r="AN135" s="49">
        <f ca="1"/>
        <v>0</v>
      </c>
      <c r="AO135" s="49">
        <f ca="1"/>
        <v>0</v>
      </c>
      <c r="AP135" s="49">
        <f ca="1"/>
        <v>0</v>
      </c>
      <c r="AQ135" s="49">
        <f ca="1"/>
        <v>0</v>
      </c>
      <c r="AR135" s="49">
        <f ca="1"/>
        <v>0</v>
      </c>
      <c r="AS135" s="49">
        <f ca="1"/>
        <v>0</v>
      </c>
      <c r="AT135" s="49">
        <f ca="1"/>
        <v>0</v>
      </c>
      <c r="AU135" s="49">
        <f ca="1"/>
        <v>0</v>
      </c>
      <c r="AV135" s="49">
        <f ca="1"/>
        <v>0</v>
      </c>
      <c r="AW135" s="49">
        <f ca="1"/>
        <v>0</v>
      </c>
      <c r="AX135" s="49">
        <f ca="1"/>
        <v>0</v>
      </c>
      <c r="AY135" s="49">
        <f ca="1"/>
        <v>0</v>
      </c>
      <c r="AZ135" s="49">
        <f ca="1"/>
        <v>0</v>
      </c>
      <c r="BA135" s="49">
        <f ca="1"/>
        <v>0</v>
      </c>
      <c r="BB135" s="49">
        <f ca="1"/>
        <v>0</v>
      </c>
      <c r="BC135" s="49">
        <f ca="1"/>
        <v>0</v>
      </c>
      <c r="BD135" s="49">
        <f ca="1"/>
        <v>0</v>
      </c>
      <c r="BE135" s="49">
        <f ca="1"/>
        <v>0</v>
      </c>
      <c r="BF135" s="49">
        <f ca="1"/>
        <v>0</v>
      </c>
      <c r="BG135" s="49">
        <f ca="1"/>
        <v>0</v>
      </c>
      <c r="BH135" s="49">
        <f ca="1"/>
        <v>0</v>
      </c>
      <c r="BI135" s="49">
        <f ca="1"/>
        <v>0</v>
      </c>
      <c r="BJ135" s="49">
        <f ca="1"/>
        <v>0</v>
      </c>
      <c r="BK135" s="49">
        <f ca="1"/>
        <v>0</v>
      </c>
      <c r="BL135" s="49">
        <f ca="1"/>
        <v>0</v>
      </c>
      <c r="BM135" s="49">
        <f ca="1"/>
        <v>0</v>
      </c>
      <c r="BN135" s="49">
        <f ca="1"/>
        <v>0</v>
      </c>
      <c r="BO135" s="49">
        <f ca="1"/>
        <v>0</v>
      </c>
      <c r="BP135" s="49">
        <f ca="1"/>
        <v>0</v>
      </c>
      <c r="BQ135" s="49">
        <f ca="1"/>
        <v>0</v>
      </c>
      <c r="BR135" s="49">
        <f ca="1"/>
        <v>0</v>
      </c>
      <c r="BS135" s="49">
        <f ca="1"/>
        <v>0</v>
      </c>
    </row>
    <row r="136" spans="1:71" outlineLevel="1" x14ac:dyDescent="0.2">
      <c r="D136" t="s">
        <v>147</v>
      </c>
      <c r="I136" s="30">
        <f ca="1">SUM($L136:$BS136)</f>
        <v>0</v>
      </c>
      <c r="J136" s="26" t="s">
        <v>148</v>
      </c>
      <c r="K136" s="7" t="s">
        <v>152</v>
      </c>
      <c r="L136" s="49" cm="1">
        <f t="array" aca="1" ref="L136:BS136" ca="1">CA_gross_prod_gas*CA_FP_gas_nom</f>
        <v>0</v>
      </c>
      <c r="M136" s="49">
        <f ca="1"/>
        <v>0</v>
      </c>
      <c r="N136" s="49">
        <f ca="1"/>
        <v>0</v>
      </c>
      <c r="O136" s="49">
        <f ca="1"/>
        <v>0</v>
      </c>
      <c r="P136" s="49">
        <f ca="1"/>
        <v>0</v>
      </c>
      <c r="Q136" s="49">
        <f ca="1"/>
        <v>0</v>
      </c>
      <c r="R136" s="49">
        <f ca="1"/>
        <v>0</v>
      </c>
      <c r="S136" s="49">
        <f ca="1"/>
        <v>0</v>
      </c>
      <c r="T136" s="49">
        <f ca="1"/>
        <v>0</v>
      </c>
      <c r="U136" s="49">
        <f ca="1"/>
        <v>0</v>
      </c>
      <c r="V136" s="49">
        <f ca="1"/>
        <v>0</v>
      </c>
      <c r="W136" s="49">
        <f ca="1"/>
        <v>0</v>
      </c>
      <c r="X136" s="49">
        <f ca="1"/>
        <v>0</v>
      </c>
      <c r="Y136" s="49">
        <f ca="1"/>
        <v>0</v>
      </c>
      <c r="Z136" s="49">
        <f ca="1"/>
        <v>0</v>
      </c>
      <c r="AA136" s="49">
        <f ca="1"/>
        <v>0</v>
      </c>
      <c r="AB136" s="49">
        <f ca="1"/>
        <v>0</v>
      </c>
      <c r="AC136" s="49">
        <f ca="1"/>
        <v>0</v>
      </c>
      <c r="AD136" s="49">
        <f ca="1"/>
        <v>0</v>
      </c>
      <c r="AE136" s="49">
        <f ca="1"/>
        <v>0</v>
      </c>
      <c r="AF136" s="49">
        <f ca="1"/>
        <v>0</v>
      </c>
      <c r="AG136" s="49">
        <f ca="1"/>
        <v>0</v>
      </c>
      <c r="AH136" s="49">
        <f ca="1"/>
        <v>0</v>
      </c>
      <c r="AI136" s="49">
        <f ca="1"/>
        <v>0</v>
      </c>
      <c r="AJ136" s="49">
        <f ca="1"/>
        <v>0</v>
      </c>
      <c r="AK136" s="49">
        <f ca="1"/>
        <v>0</v>
      </c>
      <c r="AL136" s="49">
        <f ca="1"/>
        <v>0</v>
      </c>
      <c r="AM136" s="49">
        <f ca="1"/>
        <v>0</v>
      </c>
      <c r="AN136" s="49">
        <f ca="1"/>
        <v>0</v>
      </c>
      <c r="AO136" s="49">
        <f ca="1"/>
        <v>0</v>
      </c>
      <c r="AP136" s="49">
        <f ca="1"/>
        <v>0</v>
      </c>
      <c r="AQ136" s="49">
        <f ca="1"/>
        <v>0</v>
      </c>
      <c r="AR136" s="49">
        <f ca="1"/>
        <v>0</v>
      </c>
      <c r="AS136" s="49">
        <f ca="1"/>
        <v>0</v>
      </c>
      <c r="AT136" s="49">
        <f ca="1"/>
        <v>0</v>
      </c>
      <c r="AU136" s="49">
        <f ca="1"/>
        <v>0</v>
      </c>
      <c r="AV136" s="49">
        <f ca="1"/>
        <v>0</v>
      </c>
      <c r="AW136" s="49">
        <f ca="1"/>
        <v>0</v>
      </c>
      <c r="AX136" s="49">
        <f ca="1"/>
        <v>0</v>
      </c>
      <c r="AY136" s="49">
        <f ca="1"/>
        <v>0</v>
      </c>
      <c r="AZ136" s="49">
        <f ca="1"/>
        <v>0</v>
      </c>
      <c r="BA136" s="49">
        <f ca="1"/>
        <v>0</v>
      </c>
      <c r="BB136" s="49">
        <f ca="1"/>
        <v>0</v>
      </c>
      <c r="BC136" s="49">
        <f ca="1"/>
        <v>0</v>
      </c>
      <c r="BD136" s="49">
        <f ca="1"/>
        <v>0</v>
      </c>
      <c r="BE136" s="49">
        <f ca="1"/>
        <v>0</v>
      </c>
      <c r="BF136" s="49">
        <f ca="1"/>
        <v>0</v>
      </c>
      <c r="BG136" s="49">
        <f ca="1"/>
        <v>0</v>
      </c>
      <c r="BH136" s="49">
        <f ca="1"/>
        <v>0</v>
      </c>
      <c r="BI136" s="49">
        <f ca="1"/>
        <v>0</v>
      </c>
      <c r="BJ136" s="49">
        <f ca="1"/>
        <v>0</v>
      </c>
      <c r="BK136" s="49">
        <f ca="1"/>
        <v>0</v>
      </c>
      <c r="BL136" s="49">
        <f ca="1"/>
        <v>0</v>
      </c>
      <c r="BM136" s="49">
        <f ca="1"/>
        <v>0</v>
      </c>
      <c r="BN136" s="49">
        <f ca="1"/>
        <v>0</v>
      </c>
      <c r="BO136" s="49">
        <f ca="1"/>
        <v>0</v>
      </c>
      <c r="BP136" s="49">
        <f ca="1"/>
        <v>0</v>
      </c>
      <c r="BQ136" s="49">
        <f ca="1"/>
        <v>0</v>
      </c>
      <c r="BR136" s="49">
        <f ca="1"/>
        <v>0</v>
      </c>
      <c r="BS136" s="49">
        <f ca="1"/>
        <v>0</v>
      </c>
    </row>
    <row r="137" spans="1:71" outlineLevel="1" x14ac:dyDescent="0.2">
      <c r="D137" s="11" t="s">
        <v>150</v>
      </c>
      <c r="I137" s="30">
        <f ca="1">SUM($L137:$BS137)</f>
        <v>11683.664472381299</v>
      </c>
      <c r="K137" s="7" t="s">
        <v>153</v>
      </c>
      <c r="L137" s="49">
        <f ca="1">SUM(L135:L136)</f>
        <v>749.33748230811875</v>
      </c>
      <c r="M137" s="49">
        <f t="shared" ref="M137:BS137" ca="1" si="16">SUM(M135:M136)</f>
        <v>707.8459753529246</v>
      </c>
      <c r="N137" s="49">
        <f t="shared" ca="1" si="16"/>
        <v>267.06236900108337</v>
      </c>
      <c r="O137" s="49">
        <f t="shared" ca="1" si="16"/>
        <v>252.08282317336821</v>
      </c>
      <c r="P137" s="49">
        <f t="shared" ca="1" si="16"/>
        <v>699.24129539791363</v>
      </c>
      <c r="Q137" s="49">
        <f t="shared" ca="1" si="16"/>
        <v>1389.9328663921019</v>
      </c>
      <c r="R137" s="49">
        <f t="shared" ca="1" si="16"/>
        <v>1326.7308635491613</v>
      </c>
      <c r="S137" s="49">
        <f t="shared" ca="1" si="16"/>
        <v>770.17699371600008</v>
      </c>
      <c r="T137" s="49">
        <f t="shared" ca="1" si="16"/>
        <v>1175.2312258964159</v>
      </c>
      <c r="U137" s="49">
        <f t="shared" ca="1" si="16"/>
        <v>1173.1746984589799</v>
      </c>
      <c r="V137" s="49">
        <f t="shared" ca="1" si="16"/>
        <v>1112.8735189581882</v>
      </c>
      <c r="W137" s="49">
        <f t="shared" ca="1" si="16"/>
        <v>1058.5640716456105</v>
      </c>
      <c r="X137" s="49">
        <f t="shared" ca="1" si="16"/>
        <v>1001.4102885314331</v>
      </c>
      <c r="Y137" s="49">
        <f t="shared" ca="1" si="16"/>
        <v>0</v>
      </c>
      <c r="Z137" s="49">
        <f t="shared" ca="1" si="16"/>
        <v>0</v>
      </c>
      <c r="AA137" s="49">
        <f t="shared" ca="1" si="16"/>
        <v>0</v>
      </c>
      <c r="AB137" s="49">
        <f t="shared" ca="1" si="16"/>
        <v>0</v>
      </c>
      <c r="AC137" s="49">
        <f t="shared" ca="1" si="16"/>
        <v>0</v>
      </c>
      <c r="AD137" s="49">
        <f t="shared" ca="1" si="16"/>
        <v>0</v>
      </c>
      <c r="AE137" s="49">
        <f t="shared" ca="1" si="16"/>
        <v>0</v>
      </c>
      <c r="AF137" s="49">
        <f t="shared" ca="1" si="16"/>
        <v>0</v>
      </c>
      <c r="AG137" s="49">
        <f t="shared" ca="1" si="16"/>
        <v>0</v>
      </c>
      <c r="AH137" s="49">
        <f t="shared" ca="1" si="16"/>
        <v>0</v>
      </c>
      <c r="AI137" s="49">
        <f t="shared" ca="1" si="16"/>
        <v>0</v>
      </c>
      <c r="AJ137" s="49">
        <f t="shared" ca="1" si="16"/>
        <v>0</v>
      </c>
      <c r="AK137" s="49">
        <f t="shared" ca="1" si="16"/>
        <v>0</v>
      </c>
      <c r="AL137" s="49">
        <f t="shared" ca="1" si="16"/>
        <v>0</v>
      </c>
      <c r="AM137" s="49">
        <f t="shared" ca="1" si="16"/>
        <v>0</v>
      </c>
      <c r="AN137" s="49">
        <f t="shared" ca="1" si="16"/>
        <v>0</v>
      </c>
      <c r="AO137" s="49">
        <f t="shared" ca="1" si="16"/>
        <v>0</v>
      </c>
      <c r="AP137" s="49">
        <f t="shared" ca="1" si="16"/>
        <v>0</v>
      </c>
      <c r="AQ137" s="49">
        <f t="shared" ca="1" si="16"/>
        <v>0</v>
      </c>
      <c r="AR137" s="49">
        <f t="shared" ca="1" si="16"/>
        <v>0</v>
      </c>
      <c r="AS137" s="49">
        <f t="shared" ca="1" si="16"/>
        <v>0</v>
      </c>
      <c r="AT137" s="49">
        <f t="shared" ca="1" si="16"/>
        <v>0</v>
      </c>
      <c r="AU137" s="49">
        <f t="shared" ca="1" si="16"/>
        <v>0</v>
      </c>
      <c r="AV137" s="49">
        <f t="shared" ca="1" si="16"/>
        <v>0</v>
      </c>
      <c r="AW137" s="49">
        <f t="shared" ca="1" si="16"/>
        <v>0</v>
      </c>
      <c r="AX137" s="49">
        <f t="shared" ca="1" si="16"/>
        <v>0</v>
      </c>
      <c r="AY137" s="49">
        <f t="shared" ca="1" si="16"/>
        <v>0</v>
      </c>
      <c r="AZ137" s="49">
        <f t="shared" ca="1" si="16"/>
        <v>0</v>
      </c>
      <c r="BA137" s="49">
        <f t="shared" ca="1" si="16"/>
        <v>0</v>
      </c>
      <c r="BB137" s="49">
        <f t="shared" ca="1" si="16"/>
        <v>0</v>
      </c>
      <c r="BC137" s="49">
        <f t="shared" ca="1" si="16"/>
        <v>0</v>
      </c>
      <c r="BD137" s="49">
        <f t="shared" ca="1" si="16"/>
        <v>0</v>
      </c>
      <c r="BE137" s="49">
        <f t="shared" ca="1" si="16"/>
        <v>0</v>
      </c>
      <c r="BF137" s="49">
        <f t="shared" ca="1" si="16"/>
        <v>0</v>
      </c>
      <c r="BG137" s="49">
        <f t="shared" ca="1" si="16"/>
        <v>0</v>
      </c>
      <c r="BH137" s="49">
        <f t="shared" ca="1" si="16"/>
        <v>0</v>
      </c>
      <c r="BI137" s="49">
        <f t="shared" ca="1" si="16"/>
        <v>0</v>
      </c>
      <c r="BJ137" s="49">
        <f t="shared" ca="1" si="16"/>
        <v>0</v>
      </c>
      <c r="BK137" s="49">
        <f t="shared" ca="1" si="16"/>
        <v>0</v>
      </c>
      <c r="BL137" s="49">
        <f t="shared" ca="1" si="16"/>
        <v>0</v>
      </c>
      <c r="BM137" s="49">
        <f t="shared" ca="1" si="16"/>
        <v>0</v>
      </c>
      <c r="BN137" s="49">
        <f t="shared" ca="1" si="16"/>
        <v>0</v>
      </c>
      <c r="BO137" s="49">
        <f t="shared" ca="1" si="16"/>
        <v>0</v>
      </c>
      <c r="BP137" s="49">
        <f t="shared" ca="1" si="16"/>
        <v>0</v>
      </c>
      <c r="BQ137" s="49">
        <f t="shared" ca="1" si="16"/>
        <v>0</v>
      </c>
      <c r="BR137" s="49">
        <f t="shared" ca="1" si="16"/>
        <v>0</v>
      </c>
      <c r="BS137" s="49">
        <f t="shared" ca="1" si="16"/>
        <v>0</v>
      </c>
    </row>
    <row r="138" spans="1:71" outlineLevel="1" x14ac:dyDescent="0.2"/>
    <row r="139" spans="1:71" outlineLevel="1" x14ac:dyDescent="0.2"/>
    <row r="140" spans="1:71" outlineLevel="1" x14ac:dyDescent="0.2">
      <c r="D140" t="s">
        <v>154</v>
      </c>
      <c r="I140" s="30">
        <f ca="1">SUM($L140:$BS140)</f>
        <v>6561.3899931673714</v>
      </c>
      <c r="J140" s="26" t="s">
        <v>148</v>
      </c>
      <c r="K140" s="7" t="s">
        <v>155</v>
      </c>
      <c r="L140" s="49" cm="1">
        <f t="array" aca="1" ref="L140:BS140" ca="1">CA_gross_prod_oil*CA_HP_oil_nom</f>
        <v>638.84591387144997</v>
      </c>
      <c r="M140" s="49">
        <f ca="1"/>
        <v>662.99897321324988</v>
      </c>
      <c r="N140" s="49">
        <f ca="1"/>
        <v>178.66292951087999</v>
      </c>
      <c r="O140" s="49">
        <f ca="1"/>
        <v>199.10684881516798</v>
      </c>
      <c r="P140" s="49">
        <f ca="1"/>
        <v>412.00086810736002</v>
      </c>
      <c r="Q140" s="49">
        <f ca="1"/>
        <v>649.81227701343994</v>
      </c>
      <c r="R140" s="49">
        <f ca="1"/>
        <v>658.25211822703989</v>
      </c>
      <c r="S140" s="49">
        <f ca="1"/>
        <v>609.58851840000011</v>
      </c>
      <c r="T140" s="49">
        <f ca="1"/>
        <v>565.36836768000001</v>
      </c>
      <c r="U140" s="49">
        <f ca="1"/>
        <v>536.30843358124798</v>
      </c>
      <c r="V140" s="49">
        <f ca="1"/>
        <v>508.74218009517176</v>
      </c>
      <c r="W140" s="49">
        <f ca="1"/>
        <v>483.91500418085047</v>
      </c>
      <c r="X140" s="49">
        <f ca="1"/>
        <v>457.78756047151228</v>
      </c>
      <c r="Y140" s="49">
        <f ca="1"/>
        <v>0</v>
      </c>
      <c r="Z140" s="49">
        <f ca="1"/>
        <v>0</v>
      </c>
      <c r="AA140" s="49">
        <f ca="1"/>
        <v>0</v>
      </c>
      <c r="AB140" s="49">
        <f ca="1"/>
        <v>0</v>
      </c>
      <c r="AC140" s="49">
        <f ca="1"/>
        <v>0</v>
      </c>
      <c r="AD140" s="49">
        <f ca="1"/>
        <v>0</v>
      </c>
      <c r="AE140" s="49">
        <f ca="1"/>
        <v>0</v>
      </c>
      <c r="AF140" s="49">
        <f ca="1"/>
        <v>0</v>
      </c>
      <c r="AG140" s="49">
        <f ca="1"/>
        <v>0</v>
      </c>
      <c r="AH140" s="49">
        <f ca="1"/>
        <v>0</v>
      </c>
      <c r="AI140" s="49">
        <f ca="1"/>
        <v>0</v>
      </c>
      <c r="AJ140" s="49">
        <f ca="1"/>
        <v>0</v>
      </c>
      <c r="AK140" s="49">
        <f ca="1"/>
        <v>0</v>
      </c>
      <c r="AL140" s="49">
        <f ca="1"/>
        <v>0</v>
      </c>
      <c r="AM140" s="49">
        <f ca="1"/>
        <v>0</v>
      </c>
      <c r="AN140" s="49">
        <f ca="1"/>
        <v>0</v>
      </c>
      <c r="AO140" s="49">
        <f ca="1"/>
        <v>0</v>
      </c>
      <c r="AP140" s="49">
        <f ca="1"/>
        <v>0</v>
      </c>
      <c r="AQ140" s="49">
        <f ca="1"/>
        <v>0</v>
      </c>
      <c r="AR140" s="49">
        <f ca="1"/>
        <v>0</v>
      </c>
      <c r="AS140" s="49">
        <f ca="1"/>
        <v>0</v>
      </c>
      <c r="AT140" s="49">
        <f ca="1"/>
        <v>0</v>
      </c>
      <c r="AU140" s="49">
        <f ca="1"/>
        <v>0</v>
      </c>
      <c r="AV140" s="49">
        <f ca="1"/>
        <v>0</v>
      </c>
      <c r="AW140" s="49">
        <f ca="1"/>
        <v>0</v>
      </c>
      <c r="AX140" s="49">
        <f ca="1"/>
        <v>0</v>
      </c>
      <c r="AY140" s="49">
        <f ca="1"/>
        <v>0</v>
      </c>
      <c r="AZ140" s="49">
        <f ca="1"/>
        <v>0</v>
      </c>
      <c r="BA140" s="49">
        <f ca="1"/>
        <v>0</v>
      </c>
      <c r="BB140" s="49">
        <f ca="1"/>
        <v>0</v>
      </c>
      <c r="BC140" s="49">
        <f ca="1"/>
        <v>0</v>
      </c>
      <c r="BD140" s="49">
        <f ca="1"/>
        <v>0</v>
      </c>
      <c r="BE140" s="49">
        <f ca="1"/>
        <v>0</v>
      </c>
      <c r="BF140" s="49">
        <f ca="1"/>
        <v>0</v>
      </c>
      <c r="BG140" s="49">
        <f ca="1"/>
        <v>0</v>
      </c>
      <c r="BH140" s="49">
        <f ca="1"/>
        <v>0</v>
      </c>
      <c r="BI140" s="49">
        <f ca="1"/>
        <v>0</v>
      </c>
      <c r="BJ140" s="49">
        <f ca="1"/>
        <v>0</v>
      </c>
      <c r="BK140" s="49">
        <f ca="1"/>
        <v>0</v>
      </c>
      <c r="BL140" s="49">
        <f ca="1"/>
        <v>0</v>
      </c>
      <c r="BM140" s="49">
        <f ca="1"/>
        <v>0</v>
      </c>
      <c r="BN140" s="49">
        <f ca="1"/>
        <v>0</v>
      </c>
      <c r="BO140" s="49">
        <f ca="1"/>
        <v>0</v>
      </c>
      <c r="BP140" s="49">
        <f ca="1"/>
        <v>0</v>
      </c>
      <c r="BQ140" s="49">
        <f ca="1"/>
        <v>0</v>
      </c>
      <c r="BR140" s="49">
        <f ca="1"/>
        <v>0</v>
      </c>
      <c r="BS140" s="49">
        <f ca="1"/>
        <v>0</v>
      </c>
    </row>
    <row r="141" spans="1:71" outlineLevel="1" x14ac:dyDescent="0.2"/>
    <row r="142" spans="1:71" outlineLevel="1" x14ac:dyDescent="0.2"/>
    <row r="143" spans="1:71" outlineLevel="1" x14ac:dyDescent="0.2">
      <c r="D143" t="s">
        <v>156</v>
      </c>
      <c r="I143" s="30">
        <f ca="1">SUM($L143:$BS143)</f>
        <v>5122.2744792139292</v>
      </c>
      <c r="J143" s="26" t="s">
        <v>148</v>
      </c>
      <c r="K143" s="7" t="s">
        <v>157</v>
      </c>
      <c r="L143" s="49" cm="1">
        <f t="array" aca="1" ref="L143:BS143" ca="1">CA_gross_rev_oil_fp-CA_gross_rev_oil_hp</f>
        <v>110.49156843666879</v>
      </c>
      <c r="M143" s="49">
        <f ca="1"/>
        <v>44.847002139674714</v>
      </c>
      <c r="N143" s="49">
        <f ca="1"/>
        <v>88.399439490203378</v>
      </c>
      <c r="O143" s="49">
        <f ca="1"/>
        <v>52.975974358200233</v>
      </c>
      <c r="P143" s="49">
        <f ca="1"/>
        <v>287.24042729055361</v>
      </c>
      <c r="Q143" s="49">
        <f ca="1"/>
        <v>740.12058937866198</v>
      </c>
      <c r="R143" s="49">
        <f ca="1"/>
        <v>668.47874532212143</v>
      </c>
      <c r="S143" s="49">
        <f ca="1"/>
        <v>160.58847531599997</v>
      </c>
      <c r="T143" s="49">
        <f ca="1"/>
        <v>609.86285821641593</v>
      </c>
      <c r="U143" s="49">
        <f ca="1"/>
        <v>636.86626487773196</v>
      </c>
      <c r="V143" s="49">
        <f ca="1"/>
        <v>604.13133886301648</v>
      </c>
      <c r="W143" s="49">
        <f ca="1"/>
        <v>574.64906746476004</v>
      </c>
      <c r="X143" s="49">
        <f ca="1"/>
        <v>543.62272805992086</v>
      </c>
      <c r="Y143" s="49">
        <f ca="1"/>
        <v>0</v>
      </c>
      <c r="Z143" s="49">
        <f ca="1"/>
        <v>0</v>
      </c>
      <c r="AA143" s="49">
        <f ca="1"/>
        <v>0</v>
      </c>
      <c r="AB143" s="49">
        <f ca="1"/>
        <v>0</v>
      </c>
      <c r="AC143" s="49">
        <f ca="1"/>
        <v>0</v>
      </c>
      <c r="AD143" s="49">
        <f ca="1"/>
        <v>0</v>
      </c>
      <c r="AE143" s="49">
        <f ca="1"/>
        <v>0</v>
      </c>
      <c r="AF143" s="49">
        <f ca="1"/>
        <v>0</v>
      </c>
      <c r="AG143" s="49">
        <f ca="1"/>
        <v>0</v>
      </c>
      <c r="AH143" s="49">
        <f ca="1"/>
        <v>0</v>
      </c>
      <c r="AI143" s="49">
        <f ca="1"/>
        <v>0</v>
      </c>
      <c r="AJ143" s="49">
        <f ca="1"/>
        <v>0</v>
      </c>
      <c r="AK143" s="49">
        <f ca="1"/>
        <v>0</v>
      </c>
      <c r="AL143" s="49">
        <f ca="1"/>
        <v>0</v>
      </c>
      <c r="AM143" s="49">
        <f ca="1"/>
        <v>0</v>
      </c>
      <c r="AN143" s="49">
        <f ca="1"/>
        <v>0</v>
      </c>
      <c r="AO143" s="49">
        <f ca="1"/>
        <v>0</v>
      </c>
      <c r="AP143" s="49">
        <f ca="1"/>
        <v>0</v>
      </c>
      <c r="AQ143" s="49">
        <f ca="1"/>
        <v>0</v>
      </c>
      <c r="AR143" s="49">
        <f ca="1"/>
        <v>0</v>
      </c>
      <c r="AS143" s="49">
        <f ca="1"/>
        <v>0</v>
      </c>
      <c r="AT143" s="49">
        <f ca="1"/>
        <v>0</v>
      </c>
      <c r="AU143" s="49">
        <f ca="1"/>
        <v>0</v>
      </c>
      <c r="AV143" s="49">
        <f ca="1"/>
        <v>0</v>
      </c>
      <c r="AW143" s="49">
        <f ca="1"/>
        <v>0</v>
      </c>
      <c r="AX143" s="49">
        <f ca="1"/>
        <v>0</v>
      </c>
      <c r="AY143" s="49">
        <f ca="1"/>
        <v>0</v>
      </c>
      <c r="AZ143" s="49">
        <f ca="1"/>
        <v>0</v>
      </c>
      <c r="BA143" s="49">
        <f ca="1"/>
        <v>0</v>
      </c>
      <c r="BB143" s="49">
        <f ca="1"/>
        <v>0</v>
      </c>
      <c r="BC143" s="49">
        <f ca="1"/>
        <v>0</v>
      </c>
      <c r="BD143" s="49">
        <f ca="1"/>
        <v>0</v>
      </c>
      <c r="BE143" s="49">
        <f ca="1"/>
        <v>0</v>
      </c>
      <c r="BF143" s="49">
        <f ca="1"/>
        <v>0</v>
      </c>
      <c r="BG143" s="49">
        <f ca="1"/>
        <v>0</v>
      </c>
      <c r="BH143" s="49">
        <f ca="1"/>
        <v>0</v>
      </c>
      <c r="BI143" s="49">
        <f ca="1"/>
        <v>0</v>
      </c>
      <c r="BJ143" s="49">
        <f ca="1"/>
        <v>0</v>
      </c>
      <c r="BK143" s="49">
        <f ca="1"/>
        <v>0</v>
      </c>
      <c r="BL143" s="49">
        <f ca="1"/>
        <v>0</v>
      </c>
      <c r="BM143" s="49">
        <f ca="1"/>
        <v>0</v>
      </c>
      <c r="BN143" s="49">
        <f ca="1"/>
        <v>0</v>
      </c>
      <c r="BO143" s="49">
        <f ca="1"/>
        <v>0</v>
      </c>
      <c r="BP143" s="49">
        <f ca="1"/>
        <v>0</v>
      </c>
      <c r="BQ143" s="49">
        <f ca="1"/>
        <v>0</v>
      </c>
      <c r="BR143" s="49">
        <f ca="1"/>
        <v>0</v>
      </c>
      <c r="BS143" s="49">
        <f ca="1"/>
        <v>0</v>
      </c>
    </row>
    <row r="144" spans="1:71" outlineLevel="1" x14ac:dyDescent="0.2"/>
    <row r="145" spans="1:71" outlineLevel="1" x14ac:dyDescent="0.2">
      <c r="C145" s="11" t="s">
        <v>228</v>
      </c>
    </row>
    <row r="146" spans="1:71" outlineLevel="1" x14ac:dyDescent="0.2">
      <c r="D146" t="s">
        <v>229</v>
      </c>
      <c r="I146" s="58">
        <f ca="1">IFERROR(I135/$I$137,0)</f>
        <v>1</v>
      </c>
      <c r="J146" s="26" t="s">
        <v>90</v>
      </c>
      <c r="K146" s="7" t="s">
        <v>231</v>
      </c>
      <c r="L146" s="53">
        <f t="shared" ref="L146:AQ146" ca="1" si="17">IFERROR(CA_gross_rev_oil_fp/CA_gross_rev_total_fp,0)</f>
        <v>1</v>
      </c>
      <c r="M146" s="53">
        <f t="shared" ca="1" si="17"/>
        <v>1</v>
      </c>
      <c r="N146" s="53">
        <f t="shared" ca="1" si="17"/>
        <v>1</v>
      </c>
      <c r="O146" s="53">
        <f t="shared" ca="1" si="17"/>
        <v>1</v>
      </c>
      <c r="P146" s="53">
        <f t="shared" ca="1" si="17"/>
        <v>1</v>
      </c>
      <c r="Q146" s="53">
        <f t="shared" ca="1" si="17"/>
        <v>1</v>
      </c>
      <c r="R146" s="53">
        <f t="shared" ca="1" si="17"/>
        <v>1</v>
      </c>
      <c r="S146" s="53">
        <f t="shared" ca="1" si="17"/>
        <v>1</v>
      </c>
      <c r="T146" s="53">
        <f t="shared" ca="1" si="17"/>
        <v>1</v>
      </c>
      <c r="U146" s="53">
        <f t="shared" ca="1" si="17"/>
        <v>1</v>
      </c>
      <c r="V146" s="53">
        <f t="shared" ca="1" si="17"/>
        <v>1</v>
      </c>
      <c r="W146" s="53">
        <f t="shared" ca="1" si="17"/>
        <v>1</v>
      </c>
      <c r="X146" s="53">
        <f t="shared" ca="1" si="17"/>
        <v>1</v>
      </c>
      <c r="Y146" s="53">
        <f t="shared" ca="1" si="17"/>
        <v>0</v>
      </c>
      <c r="Z146" s="53">
        <f t="shared" ca="1" si="17"/>
        <v>0</v>
      </c>
      <c r="AA146" s="53">
        <f t="shared" ca="1" si="17"/>
        <v>0</v>
      </c>
      <c r="AB146" s="53">
        <f t="shared" ca="1" si="17"/>
        <v>0</v>
      </c>
      <c r="AC146" s="53">
        <f t="shared" ca="1" si="17"/>
        <v>0</v>
      </c>
      <c r="AD146" s="53">
        <f t="shared" ca="1" si="17"/>
        <v>0</v>
      </c>
      <c r="AE146" s="53">
        <f t="shared" ca="1" si="17"/>
        <v>0</v>
      </c>
      <c r="AF146" s="53">
        <f t="shared" ca="1" si="17"/>
        <v>0</v>
      </c>
      <c r="AG146" s="53">
        <f t="shared" ca="1" si="17"/>
        <v>0</v>
      </c>
      <c r="AH146" s="53">
        <f t="shared" ca="1" si="17"/>
        <v>0</v>
      </c>
      <c r="AI146" s="53">
        <f t="shared" ca="1" si="17"/>
        <v>0</v>
      </c>
      <c r="AJ146" s="53">
        <f t="shared" ca="1" si="17"/>
        <v>0</v>
      </c>
      <c r="AK146" s="53">
        <f t="shared" ca="1" si="17"/>
        <v>0</v>
      </c>
      <c r="AL146" s="53">
        <f t="shared" ca="1" si="17"/>
        <v>0</v>
      </c>
      <c r="AM146" s="53">
        <f t="shared" ca="1" si="17"/>
        <v>0</v>
      </c>
      <c r="AN146" s="53">
        <f t="shared" ca="1" si="17"/>
        <v>0</v>
      </c>
      <c r="AO146" s="53">
        <f t="shared" ca="1" si="17"/>
        <v>0</v>
      </c>
      <c r="AP146" s="53">
        <f t="shared" ca="1" si="17"/>
        <v>0</v>
      </c>
      <c r="AQ146" s="53">
        <f t="shared" ca="1" si="17"/>
        <v>0</v>
      </c>
      <c r="AR146" s="53">
        <f t="shared" ref="AR146:BS146" ca="1" si="18">IFERROR(CA_gross_rev_oil_fp/CA_gross_rev_total_fp,0)</f>
        <v>0</v>
      </c>
      <c r="AS146" s="53">
        <f t="shared" ca="1" si="18"/>
        <v>0</v>
      </c>
      <c r="AT146" s="53">
        <f t="shared" ca="1" si="18"/>
        <v>0</v>
      </c>
      <c r="AU146" s="53">
        <f t="shared" ca="1" si="18"/>
        <v>0</v>
      </c>
      <c r="AV146" s="53">
        <f t="shared" ca="1" si="18"/>
        <v>0</v>
      </c>
      <c r="AW146" s="53">
        <f t="shared" ca="1" si="18"/>
        <v>0</v>
      </c>
      <c r="AX146" s="53">
        <f t="shared" ca="1" si="18"/>
        <v>0</v>
      </c>
      <c r="AY146" s="53">
        <f t="shared" ca="1" si="18"/>
        <v>0</v>
      </c>
      <c r="AZ146" s="53">
        <f t="shared" ca="1" si="18"/>
        <v>0</v>
      </c>
      <c r="BA146" s="53">
        <f t="shared" ca="1" si="18"/>
        <v>0</v>
      </c>
      <c r="BB146" s="53">
        <f t="shared" ca="1" si="18"/>
        <v>0</v>
      </c>
      <c r="BC146" s="53">
        <f t="shared" ca="1" si="18"/>
        <v>0</v>
      </c>
      <c r="BD146" s="53">
        <f t="shared" ca="1" si="18"/>
        <v>0</v>
      </c>
      <c r="BE146" s="53">
        <f t="shared" ca="1" si="18"/>
        <v>0</v>
      </c>
      <c r="BF146" s="53">
        <f t="shared" ca="1" si="18"/>
        <v>0</v>
      </c>
      <c r="BG146" s="53">
        <f t="shared" ca="1" si="18"/>
        <v>0</v>
      </c>
      <c r="BH146" s="53">
        <f t="shared" ca="1" si="18"/>
        <v>0</v>
      </c>
      <c r="BI146" s="53">
        <f t="shared" ca="1" si="18"/>
        <v>0</v>
      </c>
      <c r="BJ146" s="53">
        <f t="shared" ca="1" si="18"/>
        <v>0</v>
      </c>
      <c r="BK146" s="53">
        <f t="shared" ca="1" si="18"/>
        <v>0</v>
      </c>
      <c r="BL146" s="53">
        <f t="shared" ca="1" si="18"/>
        <v>0</v>
      </c>
      <c r="BM146" s="53">
        <f t="shared" ca="1" si="18"/>
        <v>0</v>
      </c>
      <c r="BN146" s="53">
        <f t="shared" ca="1" si="18"/>
        <v>0</v>
      </c>
      <c r="BO146" s="53">
        <f t="shared" ca="1" si="18"/>
        <v>0</v>
      </c>
      <c r="BP146" s="53">
        <f t="shared" ca="1" si="18"/>
        <v>0</v>
      </c>
      <c r="BQ146" s="53">
        <f t="shared" ca="1" si="18"/>
        <v>0</v>
      </c>
      <c r="BR146" s="53">
        <f t="shared" ca="1" si="18"/>
        <v>0</v>
      </c>
      <c r="BS146" s="53">
        <f t="shared" ca="1" si="18"/>
        <v>0</v>
      </c>
    </row>
    <row r="147" spans="1:71" outlineLevel="1" x14ac:dyDescent="0.2">
      <c r="D147" t="s">
        <v>230</v>
      </c>
      <c r="I147" s="58">
        <f ca="1">IFERROR(I136/$I$137,0)</f>
        <v>0</v>
      </c>
      <c r="J147" s="26" t="s">
        <v>90</v>
      </c>
      <c r="K147" s="7" t="s">
        <v>232</v>
      </c>
      <c r="L147" s="53">
        <f t="shared" ref="L147:AQ147" ca="1" si="19">IFERROR(CA_gross_rev_gas_fp/CA_gross_rev_total_fp,0)</f>
        <v>0</v>
      </c>
      <c r="M147" s="53">
        <f t="shared" ca="1" si="19"/>
        <v>0</v>
      </c>
      <c r="N147" s="53">
        <f t="shared" ca="1" si="19"/>
        <v>0</v>
      </c>
      <c r="O147" s="53">
        <f t="shared" ca="1" si="19"/>
        <v>0</v>
      </c>
      <c r="P147" s="53">
        <f t="shared" ca="1" si="19"/>
        <v>0</v>
      </c>
      <c r="Q147" s="53">
        <f t="shared" ca="1" si="19"/>
        <v>0</v>
      </c>
      <c r="R147" s="53">
        <f t="shared" ca="1" si="19"/>
        <v>0</v>
      </c>
      <c r="S147" s="53">
        <f t="shared" ca="1" si="19"/>
        <v>0</v>
      </c>
      <c r="T147" s="53">
        <f t="shared" ca="1" si="19"/>
        <v>0</v>
      </c>
      <c r="U147" s="53">
        <f t="shared" ca="1" si="19"/>
        <v>0</v>
      </c>
      <c r="V147" s="53">
        <f t="shared" ca="1" si="19"/>
        <v>0</v>
      </c>
      <c r="W147" s="53">
        <f t="shared" ca="1" si="19"/>
        <v>0</v>
      </c>
      <c r="X147" s="53">
        <f t="shared" ca="1" si="19"/>
        <v>0</v>
      </c>
      <c r="Y147" s="53">
        <f t="shared" ca="1" si="19"/>
        <v>0</v>
      </c>
      <c r="Z147" s="53">
        <f t="shared" ca="1" si="19"/>
        <v>0</v>
      </c>
      <c r="AA147" s="53">
        <f t="shared" ca="1" si="19"/>
        <v>0</v>
      </c>
      <c r="AB147" s="53">
        <f t="shared" ca="1" si="19"/>
        <v>0</v>
      </c>
      <c r="AC147" s="53">
        <f t="shared" ca="1" si="19"/>
        <v>0</v>
      </c>
      <c r="AD147" s="53">
        <f t="shared" ca="1" si="19"/>
        <v>0</v>
      </c>
      <c r="AE147" s="53">
        <f t="shared" ca="1" si="19"/>
        <v>0</v>
      </c>
      <c r="AF147" s="53">
        <f t="shared" ca="1" si="19"/>
        <v>0</v>
      </c>
      <c r="AG147" s="53">
        <f t="shared" ca="1" si="19"/>
        <v>0</v>
      </c>
      <c r="AH147" s="53">
        <f t="shared" ca="1" si="19"/>
        <v>0</v>
      </c>
      <c r="AI147" s="53">
        <f t="shared" ca="1" si="19"/>
        <v>0</v>
      </c>
      <c r="AJ147" s="53">
        <f t="shared" ca="1" si="19"/>
        <v>0</v>
      </c>
      <c r="AK147" s="53">
        <f t="shared" ca="1" si="19"/>
        <v>0</v>
      </c>
      <c r="AL147" s="53">
        <f t="shared" ca="1" si="19"/>
        <v>0</v>
      </c>
      <c r="AM147" s="53">
        <f t="shared" ca="1" si="19"/>
        <v>0</v>
      </c>
      <c r="AN147" s="53">
        <f t="shared" ca="1" si="19"/>
        <v>0</v>
      </c>
      <c r="AO147" s="53">
        <f t="shared" ca="1" si="19"/>
        <v>0</v>
      </c>
      <c r="AP147" s="53">
        <f t="shared" ca="1" si="19"/>
        <v>0</v>
      </c>
      <c r="AQ147" s="53">
        <f t="shared" ca="1" si="19"/>
        <v>0</v>
      </c>
      <c r="AR147" s="53">
        <f t="shared" ref="AR147:BS147" ca="1" si="20">IFERROR(CA_gross_rev_gas_fp/CA_gross_rev_total_fp,0)</f>
        <v>0</v>
      </c>
      <c r="AS147" s="53">
        <f t="shared" ca="1" si="20"/>
        <v>0</v>
      </c>
      <c r="AT147" s="53">
        <f t="shared" ca="1" si="20"/>
        <v>0</v>
      </c>
      <c r="AU147" s="53">
        <f t="shared" ca="1" si="20"/>
        <v>0</v>
      </c>
      <c r="AV147" s="53">
        <f t="shared" ca="1" si="20"/>
        <v>0</v>
      </c>
      <c r="AW147" s="53">
        <f t="shared" ca="1" si="20"/>
        <v>0</v>
      </c>
      <c r="AX147" s="53">
        <f t="shared" ca="1" si="20"/>
        <v>0</v>
      </c>
      <c r="AY147" s="53">
        <f t="shared" ca="1" si="20"/>
        <v>0</v>
      </c>
      <c r="AZ147" s="53">
        <f t="shared" ca="1" si="20"/>
        <v>0</v>
      </c>
      <c r="BA147" s="53">
        <f t="shared" ca="1" si="20"/>
        <v>0</v>
      </c>
      <c r="BB147" s="53">
        <f t="shared" ca="1" si="20"/>
        <v>0</v>
      </c>
      <c r="BC147" s="53">
        <f t="shared" ca="1" si="20"/>
        <v>0</v>
      </c>
      <c r="BD147" s="53">
        <f t="shared" ca="1" si="20"/>
        <v>0</v>
      </c>
      <c r="BE147" s="53">
        <f t="shared" ca="1" si="20"/>
        <v>0</v>
      </c>
      <c r="BF147" s="53">
        <f t="shared" ca="1" si="20"/>
        <v>0</v>
      </c>
      <c r="BG147" s="53">
        <f t="shared" ca="1" si="20"/>
        <v>0</v>
      </c>
      <c r="BH147" s="53">
        <f t="shared" ca="1" si="20"/>
        <v>0</v>
      </c>
      <c r="BI147" s="53">
        <f t="shared" ca="1" si="20"/>
        <v>0</v>
      </c>
      <c r="BJ147" s="53">
        <f t="shared" ca="1" si="20"/>
        <v>0</v>
      </c>
      <c r="BK147" s="53">
        <f t="shared" ca="1" si="20"/>
        <v>0</v>
      </c>
      <c r="BL147" s="53">
        <f t="shared" ca="1" si="20"/>
        <v>0</v>
      </c>
      <c r="BM147" s="53">
        <f t="shared" ca="1" si="20"/>
        <v>0</v>
      </c>
      <c r="BN147" s="53">
        <f t="shared" ca="1" si="20"/>
        <v>0</v>
      </c>
      <c r="BO147" s="53">
        <f t="shared" ca="1" si="20"/>
        <v>0</v>
      </c>
      <c r="BP147" s="53">
        <f t="shared" ca="1" si="20"/>
        <v>0</v>
      </c>
      <c r="BQ147" s="53">
        <f t="shared" ca="1" si="20"/>
        <v>0</v>
      </c>
      <c r="BR147" s="53">
        <f t="shared" ca="1" si="20"/>
        <v>0</v>
      </c>
      <c r="BS147" s="53">
        <f t="shared" ca="1" si="20"/>
        <v>0</v>
      </c>
    </row>
    <row r="148" spans="1:71" outlineLevel="1" x14ac:dyDescent="0.2"/>
    <row r="149" spans="1:71" outlineLevel="1" x14ac:dyDescent="0.2"/>
    <row r="150" spans="1:71" outlineLevel="1" x14ac:dyDescent="0.2"/>
    <row r="151" spans="1:71" outlineLevel="1" x14ac:dyDescent="0.2">
      <c r="A151" s="45"/>
      <c r="B151" s="38" t="s">
        <v>50</v>
      </c>
      <c r="C151" s="45"/>
      <c r="D151" s="45"/>
      <c r="E151" s="45"/>
    </row>
    <row r="152" spans="1:71" outlineLevel="1" x14ac:dyDescent="0.2"/>
    <row r="153" spans="1:71" outlineLevel="1" x14ac:dyDescent="0.2">
      <c r="C153" s="11" t="s">
        <v>162</v>
      </c>
    </row>
    <row r="154" spans="1:71" outlineLevel="1" x14ac:dyDescent="0.2">
      <c r="D154" t="s">
        <v>160</v>
      </c>
      <c r="I154" s="30">
        <f ca="1">SUM($L154:$BS154)</f>
        <v>3502.3183539519996</v>
      </c>
      <c r="J154" s="26" t="s">
        <v>148</v>
      </c>
      <c r="K154" s="7" t="s">
        <v>159</v>
      </c>
      <c r="L154" s="49">
        <f t="shared" ref="L154:AQ154" ca="1" si="21">IF(L4&gt;=YEAR(effective_date_Mwafi),(OFFSET(_xlfn.SINGLE(IA_varopex_real),,date_offset_Mwafi)*_xlfn.SINGLE(IA_esc_index)),0)</f>
        <v>148.06899999999999</v>
      </c>
      <c r="M154" s="49">
        <f t="shared" ca="1" si="21"/>
        <v>183.88499999999999</v>
      </c>
      <c r="N154" s="49">
        <f t="shared" ca="1" si="21"/>
        <v>135.70400000000001</v>
      </c>
      <c r="O154" s="49">
        <f t="shared" ca="1" si="21"/>
        <v>240.88499999999999</v>
      </c>
      <c r="P154" s="49">
        <f t="shared" ca="1" si="21"/>
        <v>536.79</v>
      </c>
      <c r="Q154" s="49">
        <f t="shared" ca="1" si="21"/>
        <v>243.78</v>
      </c>
      <c r="R154" s="49">
        <f t="shared" ca="1" si="21"/>
        <v>281.8</v>
      </c>
      <c r="S154" s="49">
        <f t="shared" ca="1" si="21"/>
        <v>286.3</v>
      </c>
      <c r="T154" s="49">
        <f t="shared" ca="1" si="21"/>
        <v>283.39999999999998</v>
      </c>
      <c r="U154" s="49">
        <f t="shared" ca="1" si="21"/>
        <v>286.21200000000005</v>
      </c>
      <c r="V154" s="49">
        <f t="shared" ca="1" si="21"/>
        <v>289.02312000000001</v>
      </c>
      <c r="W154" s="49">
        <f t="shared" ca="1" si="21"/>
        <v>291.8322</v>
      </c>
      <c r="X154" s="49">
        <f t="shared" ca="1" si="21"/>
        <v>294.638033952</v>
      </c>
      <c r="Y154" s="49">
        <f t="shared" ca="1" si="21"/>
        <v>0</v>
      </c>
      <c r="Z154" s="49">
        <f t="shared" ca="1" si="21"/>
        <v>0</v>
      </c>
      <c r="AA154" s="49">
        <f t="shared" ca="1" si="21"/>
        <v>0</v>
      </c>
      <c r="AB154" s="49">
        <f t="shared" ca="1" si="21"/>
        <v>0</v>
      </c>
      <c r="AC154" s="49">
        <f t="shared" ca="1" si="21"/>
        <v>0</v>
      </c>
      <c r="AD154" s="49">
        <f t="shared" ca="1" si="21"/>
        <v>0</v>
      </c>
      <c r="AE154" s="49">
        <f t="shared" ca="1" si="21"/>
        <v>0</v>
      </c>
      <c r="AF154" s="49">
        <f t="shared" ca="1" si="21"/>
        <v>0</v>
      </c>
      <c r="AG154" s="49">
        <f t="shared" ca="1" si="21"/>
        <v>0</v>
      </c>
      <c r="AH154" s="49">
        <f t="shared" ca="1" si="21"/>
        <v>0</v>
      </c>
      <c r="AI154" s="49">
        <f t="shared" ca="1" si="21"/>
        <v>0</v>
      </c>
      <c r="AJ154" s="49">
        <f t="shared" ca="1" si="21"/>
        <v>0</v>
      </c>
      <c r="AK154" s="49">
        <f t="shared" ca="1" si="21"/>
        <v>0</v>
      </c>
      <c r="AL154" s="49">
        <f t="shared" ca="1" si="21"/>
        <v>0</v>
      </c>
      <c r="AM154" s="49">
        <f t="shared" ca="1" si="21"/>
        <v>0</v>
      </c>
      <c r="AN154" s="49">
        <f t="shared" ca="1" si="21"/>
        <v>0</v>
      </c>
      <c r="AO154" s="49">
        <f t="shared" ca="1" si="21"/>
        <v>0</v>
      </c>
      <c r="AP154" s="49">
        <f t="shared" ca="1" si="21"/>
        <v>0</v>
      </c>
      <c r="AQ154" s="49">
        <f t="shared" ca="1" si="21"/>
        <v>0</v>
      </c>
      <c r="AR154" s="49">
        <f t="shared" ref="AR154:BS154" ca="1" si="22">IF(AR4&gt;=YEAR(effective_date_Mwafi),(OFFSET(_xlfn.SINGLE(IA_varopex_real),,date_offset_Mwafi)*_xlfn.SINGLE(IA_esc_index)),0)</f>
        <v>0</v>
      </c>
      <c r="AS154" s="49">
        <f t="shared" ca="1" si="22"/>
        <v>0</v>
      </c>
      <c r="AT154" s="49">
        <f t="shared" ca="1" si="22"/>
        <v>0</v>
      </c>
      <c r="AU154" s="49">
        <f t="shared" ca="1" si="22"/>
        <v>0</v>
      </c>
      <c r="AV154" s="49">
        <f t="shared" ca="1" si="22"/>
        <v>0</v>
      </c>
      <c r="AW154" s="49">
        <f t="shared" ca="1" si="22"/>
        <v>0</v>
      </c>
      <c r="AX154" s="49">
        <f t="shared" ca="1" si="22"/>
        <v>0</v>
      </c>
      <c r="AY154" s="49">
        <f t="shared" ca="1" si="22"/>
        <v>0</v>
      </c>
      <c r="AZ154" s="49">
        <f t="shared" ca="1" si="22"/>
        <v>0</v>
      </c>
      <c r="BA154" s="49">
        <f t="shared" ca="1" si="22"/>
        <v>0</v>
      </c>
      <c r="BB154" s="49">
        <f t="shared" ca="1" si="22"/>
        <v>0</v>
      </c>
      <c r="BC154" s="49">
        <f t="shared" ca="1" si="22"/>
        <v>0</v>
      </c>
      <c r="BD154" s="49">
        <f t="shared" ca="1" si="22"/>
        <v>0</v>
      </c>
      <c r="BE154" s="49">
        <f t="shared" ca="1" si="22"/>
        <v>0</v>
      </c>
      <c r="BF154" s="49">
        <f t="shared" ca="1" si="22"/>
        <v>0</v>
      </c>
      <c r="BG154" s="49">
        <f t="shared" ca="1" si="22"/>
        <v>0</v>
      </c>
      <c r="BH154" s="49">
        <f t="shared" ca="1" si="22"/>
        <v>0</v>
      </c>
      <c r="BI154" s="49">
        <f t="shared" ca="1" si="22"/>
        <v>0</v>
      </c>
      <c r="BJ154" s="49">
        <f t="shared" ca="1" si="22"/>
        <v>0</v>
      </c>
      <c r="BK154" s="49">
        <f t="shared" ca="1" si="22"/>
        <v>0</v>
      </c>
      <c r="BL154" s="49">
        <f t="shared" ca="1" si="22"/>
        <v>0</v>
      </c>
      <c r="BM154" s="49">
        <f t="shared" ca="1" si="22"/>
        <v>0</v>
      </c>
      <c r="BN154" s="49">
        <f t="shared" ca="1" si="22"/>
        <v>0</v>
      </c>
      <c r="BO154" s="49">
        <f t="shared" ca="1" si="22"/>
        <v>0</v>
      </c>
      <c r="BP154" s="49">
        <f t="shared" ca="1" si="22"/>
        <v>0</v>
      </c>
      <c r="BQ154" s="49">
        <f t="shared" ca="1" si="22"/>
        <v>0</v>
      </c>
      <c r="BR154" s="49">
        <f t="shared" ca="1" si="22"/>
        <v>0</v>
      </c>
      <c r="BS154" s="49">
        <f t="shared" ca="1" si="22"/>
        <v>0</v>
      </c>
    </row>
    <row r="155" spans="1:71" outlineLevel="1" x14ac:dyDescent="0.2"/>
    <row r="156" spans="1:71" outlineLevel="1" x14ac:dyDescent="0.2">
      <c r="C156" s="11" t="s">
        <v>161</v>
      </c>
    </row>
    <row r="157" spans="1:71" outlineLevel="1" x14ac:dyDescent="0.2">
      <c r="D157" t="s">
        <v>163</v>
      </c>
      <c r="I157" s="30">
        <f ca="1">SUM($L157:$BS157)</f>
        <v>0</v>
      </c>
      <c r="J157" s="26" t="s">
        <v>148</v>
      </c>
      <c r="K157" s="7" t="s">
        <v>164</v>
      </c>
      <c r="L157" s="49">
        <f t="shared" ref="L157:AQ157" ca="1" si="23">IF(L4&gt;=YEAR(effective_date_Mwafi),(OFFSET(_xlfn.SINGLE(IA_fixedopex_real),,date_offset_Mwafi)*_xlfn.SINGLE(IA_esc_index)),0)</f>
        <v>0</v>
      </c>
      <c r="M157" s="49">
        <f t="shared" ca="1" si="23"/>
        <v>0</v>
      </c>
      <c r="N157" s="49">
        <f t="shared" ca="1" si="23"/>
        <v>0</v>
      </c>
      <c r="O157" s="49">
        <f t="shared" ca="1" si="23"/>
        <v>0</v>
      </c>
      <c r="P157" s="49">
        <f t="shared" ca="1" si="23"/>
        <v>0</v>
      </c>
      <c r="Q157" s="49">
        <f t="shared" ca="1" si="23"/>
        <v>0</v>
      </c>
      <c r="R157" s="49">
        <f t="shared" ca="1" si="23"/>
        <v>0</v>
      </c>
      <c r="S157" s="49">
        <f t="shared" ca="1" si="23"/>
        <v>0</v>
      </c>
      <c r="T157" s="49">
        <f t="shared" ca="1" si="23"/>
        <v>0</v>
      </c>
      <c r="U157" s="49">
        <f t="shared" ca="1" si="23"/>
        <v>0</v>
      </c>
      <c r="V157" s="49">
        <f t="shared" ca="1" si="23"/>
        <v>0</v>
      </c>
      <c r="W157" s="49">
        <f t="shared" ca="1" si="23"/>
        <v>0</v>
      </c>
      <c r="X157" s="49">
        <f t="shared" ca="1" si="23"/>
        <v>0</v>
      </c>
      <c r="Y157" s="49">
        <f t="shared" ca="1" si="23"/>
        <v>0</v>
      </c>
      <c r="Z157" s="49">
        <f t="shared" ca="1" si="23"/>
        <v>0</v>
      </c>
      <c r="AA157" s="49">
        <f t="shared" ca="1" si="23"/>
        <v>0</v>
      </c>
      <c r="AB157" s="49">
        <f t="shared" ca="1" si="23"/>
        <v>0</v>
      </c>
      <c r="AC157" s="49">
        <f t="shared" ca="1" si="23"/>
        <v>0</v>
      </c>
      <c r="AD157" s="49">
        <f t="shared" ca="1" si="23"/>
        <v>0</v>
      </c>
      <c r="AE157" s="49">
        <f t="shared" ca="1" si="23"/>
        <v>0</v>
      </c>
      <c r="AF157" s="49">
        <f t="shared" ca="1" si="23"/>
        <v>0</v>
      </c>
      <c r="AG157" s="49">
        <f t="shared" ca="1" si="23"/>
        <v>0</v>
      </c>
      <c r="AH157" s="49">
        <f t="shared" ca="1" si="23"/>
        <v>0</v>
      </c>
      <c r="AI157" s="49">
        <f t="shared" ca="1" si="23"/>
        <v>0</v>
      </c>
      <c r="AJ157" s="49">
        <f t="shared" ca="1" si="23"/>
        <v>0</v>
      </c>
      <c r="AK157" s="49">
        <f t="shared" ca="1" si="23"/>
        <v>0</v>
      </c>
      <c r="AL157" s="49">
        <f t="shared" ca="1" si="23"/>
        <v>0</v>
      </c>
      <c r="AM157" s="49">
        <f t="shared" ca="1" si="23"/>
        <v>0</v>
      </c>
      <c r="AN157" s="49">
        <f t="shared" ca="1" si="23"/>
        <v>0</v>
      </c>
      <c r="AO157" s="49">
        <f t="shared" ca="1" si="23"/>
        <v>0</v>
      </c>
      <c r="AP157" s="49">
        <f t="shared" ca="1" si="23"/>
        <v>0</v>
      </c>
      <c r="AQ157" s="49">
        <f t="shared" ca="1" si="23"/>
        <v>0</v>
      </c>
      <c r="AR157" s="49">
        <f t="shared" ref="AR157:BS157" ca="1" si="24">IF(AR4&gt;=YEAR(effective_date_Mwafi),(OFFSET(_xlfn.SINGLE(IA_fixedopex_real),,date_offset_Mwafi)*_xlfn.SINGLE(IA_esc_index)),0)</f>
        <v>0</v>
      </c>
      <c r="AS157" s="49">
        <f t="shared" ca="1" si="24"/>
        <v>0</v>
      </c>
      <c r="AT157" s="49">
        <f t="shared" ca="1" si="24"/>
        <v>0</v>
      </c>
      <c r="AU157" s="49">
        <f t="shared" ca="1" si="24"/>
        <v>0</v>
      </c>
      <c r="AV157" s="49">
        <f t="shared" ca="1" si="24"/>
        <v>0</v>
      </c>
      <c r="AW157" s="49">
        <f t="shared" ca="1" si="24"/>
        <v>0</v>
      </c>
      <c r="AX157" s="49">
        <f t="shared" ca="1" si="24"/>
        <v>0</v>
      </c>
      <c r="AY157" s="49">
        <f t="shared" ca="1" si="24"/>
        <v>0</v>
      </c>
      <c r="AZ157" s="49">
        <f t="shared" ca="1" si="24"/>
        <v>0</v>
      </c>
      <c r="BA157" s="49">
        <f t="shared" ca="1" si="24"/>
        <v>0</v>
      </c>
      <c r="BB157" s="49">
        <f t="shared" ca="1" si="24"/>
        <v>0</v>
      </c>
      <c r="BC157" s="49">
        <f t="shared" ca="1" si="24"/>
        <v>0</v>
      </c>
      <c r="BD157" s="49">
        <f t="shared" ca="1" si="24"/>
        <v>0</v>
      </c>
      <c r="BE157" s="49">
        <f t="shared" ca="1" si="24"/>
        <v>0</v>
      </c>
      <c r="BF157" s="49">
        <f t="shared" ca="1" si="24"/>
        <v>0</v>
      </c>
      <c r="BG157" s="49">
        <f t="shared" ca="1" si="24"/>
        <v>0</v>
      </c>
      <c r="BH157" s="49">
        <f t="shared" ca="1" si="24"/>
        <v>0</v>
      </c>
      <c r="BI157" s="49">
        <f t="shared" ca="1" si="24"/>
        <v>0</v>
      </c>
      <c r="BJ157" s="49">
        <f t="shared" ca="1" si="24"/>
        <v>0</v>
      </c>
      <c r="BK157" s="49">
        <f t="shared" ca="1" si="24"/>
        <v>0</v>
      </c>
      <c r="BL157" s="49">
        <f t="shared" ca="1" si="24"/>
        <v>0</v>
      </c>
      <c r="BM157" s="49">
        <f t="shared" ca="1" si="24"/>
        <v>0</v>
      </c>
      <c r="BN157" s="49">
        <f t="shared" ca="1" si="24"/>
        <v>0</v>
      </c>
      <c r="BO157" s="49">
        <f t="shared" ca="1" si="24"/>
        <v>0</v>
      </c>
      <c r="BP157" s="49">
        <f t="shared" ca="1" si="24"/>
        <v>0</v>
      </c>
      <c r="BQ157" s="49">
        <f t="shared" ca="1" si="24"/>
        <v>0</v>
      </c>
      <c r="BR157" s="49">
        <f t="shared" ca="1" si="24"/>
        <v>0</v>
      </c>
      <c r="BS157" s="49">
        <f t="shared" ca="1" si="24"/>
        <v>0</v>
      </c>
    </row>
    <row r="158" spans="1:71" outlineLevel="1" x14ac:dyDescent="0.2"/>
    <row r="159" spans="1:71" outlineLevel="1" x14ac:dyDescent="0.2"/>
    <row r="160" spans="1:71" outlineLevel="1" x14ac:dyDescent="0.2">
      <c r="D160" s="11" t="s">
        <v>165</v>
      </c>
      <c r="I160" s="30">
        <f ca="1">SUM($L160:$BS160)</f>
        <v>3502.3183539519996</v>
      </c>
      <c r="J160" s="26" t="s">
        <v>148</v>
      </c>
      <c r="K160" s="7" t="s">
        <v>166</v>
      </c>
      <c r="L160" s="49">
        <f ca="1">SUM(L157,L154)</f>
        <v>148.06899999999999</v>
      </c>
      <c r="M160" s="49">
        <f t="shared" ref="M160:BS160" ca="1" si="25">SUM(M157,M154)</f>
        <v>183.88499999999999</v>
      </c>
      <c r="N160" s="49">
        <f t="shared" ca="1" si="25"/>
        <v>135.70400000000001</v>
      </c>
      <c r="O160" s="49">
        <f t="shared" ca="1" si="25"/>
        <v>240.88499999999999</v>
      </c>
      <c r="P160" s="49">
        <f t="shared" ca="1" si="25"/>
        <v>536.79</v>
      </c>
      <c r="Q160" s="49">
        <f t="shared" ca="1" si="25"/>
        <v>243.78</v>
      </c>
      <c r="R160" s="49">
        <f t="shared" ca="1" si="25"/>
        <v>281.8</v>
      </c>
      <c r="S160" s="49">
        <f t="shared" ca="1" si="25"/>
        <v>286.3</v>
      </c>
      <c r="T160" s="49">
        <f t="shared" ca="1" si="25"/>
        <v>283.39999999999998</v>
      </c>
      <c r="U160" s="49">
        <f t="shared" ca="1" si="25"/>
        <v>286.21200000000005</v>
      </c>
      <c r="V160" s="49">
        <f t="shared" ca="1" si="25"/>
        <v>289.02312000000001</v>
      </c>
      <c r="W160" s="49">
        <f t="shared" ca="1" si="25"/>
        <v>291.8322</v>
      </c>
      <c r="X160" s="49">
        <f t="shared" ca="1" si="25"/>
        <v>294.638033952</v>
      </c>
      <c r="Y160" s="49">
        <f t="shared" ca="1" si="25"/>
        <v>0</v>
      </c>
      <c r="Z160" s="49">
        <f t="shared" ca="1" si="25"/>
        <v>0</v>
      </c>
      <c r="AA160" s="49">
        <f t="shared" ca="1" si="25"/>
        <v>0</v>
      </c>
      <c r="AB160" s="49">
        <f t="shared" ca="1" si="25"/>
        <v>0</v>
      </c>
      <c r="AC160" s="49">
        <f t="shared" ca="1" si="25"/>
        <v>0</v>
      </c>
      <c r="AD160" s="49">
        <f t="shared" ca="1" si="25"/>
        <v>0</v>
      </c>
      <c r="AE160" s="49">
        <f t="shared" ca="1" si="25"/>
        <v>0</v>
      </c>
      <c r="AF160" s="49">
        <f t="shared" ca="1" si="25"/>
        <v>0</v>
      </c>
      <c r="AG160" s="49">
        <f t="shared" ca="1" si="25"/>
        <v>0</v>
      </c>
      <c r="AH160" s="49">
        <f t="shared" ca="1" si="25"/>
        <v>0</v>
      </c>
      <c r="AI160" s="49">
        <f t="shared" ca="1" si="25"/>
        <v>0</v>
      </c>
      <c r="AJ160" s="49">
        <f t="shared" ca="1" si="25"/>
        <v>0</v>
      </c>
      <c r="AK160" s="49">
        <f t="shared" ca="1" si="25"/>
        <v>0</v>
      </c>
      <c r="AL160" s="49">
        <f t="shared" ca="1" si="25"/>
        <v>0</v>
      </c>
      <c r="AM160" s="49">
        <f t="shared" ca="1" si="25"/>
        <v>0</v>
      </c>
      <c r="AN160" s="49">
        <f t="shared" ca="1" si="25"/>
        <v>0</v>
      </c>
      <c r="AO160" s="49">
        <f t="shared" ca="1" si="25"/>
        <v>0</v>
      </c>
      <c r="AP160" s="49">
        <f t="shared" ca="1" si="25"/>
        <v>0</v>
      </c>
      <c r="AQ160" s="49">
        <f t="shared" ca="1" si="25"/>
        <v>0</v>
      </c>
      <c r="AR160" s="49">
        <f t="shared" ca="1" si="25"/>
        <v>0</v>
      </c>
      <c r="AS160" s="49">
        <f t="shared" ca="1" si="25"/>
        <v>0</v>
      </c>
      <c r="AT160" s="49">
        <f t="shared" ca="1" si="25"/>
        <v>0</v>
      </c>
      <c r="AU160" s="49">
        <f t="shared" ca="1" si="25"/>
        <v>0</v>
      </c>
      <c r="AV160" s="49">
        <f t="shared" ca="1" si="25"/>
        <v>0</v>
      </c>
      <c r="AW160" s="49">
        <f t="shared" ca="1" si="25"/>
        <v>0</v>
      </c>
      <c r="AX160" s="49">
        <f t="shared" ca="1" si="25"/>
        <v>0</v>
      </c>
      <c r="AY160" s="49">
        <f t="shared" ca="1" si="25"/>
        <v>0</v>
      </c>
      <c r="AZ160" s="49">
        <f t="shared" ca="1" si="25"/>
        <v>0</v>
      </c>
      <c r="BA160" s="49">
        <f t="shared" ca="1" si="25"/>
        <v>0</v>
      </c>
      <c r="BB160" s="49">
        <f t="shared" ca="1" si="25"/>
        <v>0</v>
      </c>
      <c r="BC160" s="49">
        <f t="shared" ca="1" si="25"/>
        <v>0</v>
      </c>
      <c r="BD160" s="49">
        <f t="shared" ca="1" si="25"/>
        <v>0</v>
      </c>
      <c r="BE160" s="49">
        <f t="shared" ca="1" si="25"/>
        <v>0</v>
      </c>
      <c r="BF160" s="49">
        <f t="shared" ca="1" si="25"/>
        <v>0</v>
      </c>
      <c r="BG160" s="49">
        <f t="shared" ca="1" si="25"/>
        <v>0</v>
      </c>
      <c r="BH160" s="49">
        <f t="shared" ca="1" si="25"/>
        <v>0</v>
      </c>
      <c r="BI160" s="49">
        <f t="shared" ca="1" si="25"/>
        <v>0</v>
      </c>
      <c r="BJ160" s="49">
        <f t="shared" ca="1" si="25"/>
        <v>0</v>
      </c>
      <c r="BK160" s="49">
        <f t="shared" ca="1" si="25"/>
        <v>0</v>
      </c>
      <c r="BL160" s="49">
        <f t="shared" ca="1" si="25"/>
        <v>0</v>
      </c>
      <c r="BM160" s="49">
        <f t="shared" ca="1" si="25"/>
        <v>0</v>
      </c>
      <c r="BN160" s="49">
        <f t="shared" ca="1" si="25"/>
        <v>0</v>
      </c>
      <c r="BO160" s="49">
        <f t="shared" ca="1" si="25"/>
        <v>0</v>
      </c>
      <c r="BP160" s="49">
        <f t="shared" ca="1" si="25"/>
        <v>0</v>
      </c>
      <c r="BQ160" s="49">
        <f t="shared" ca="1" si="25"/>
        <v>0</v>
      </c>
      <c r="BR160" s="49">
        <f t="shared" ca="1" si="25"/>
        <v>0</v>
      </c>
      <c r="BS160" s="49">
        <f t="shared" ca="1" si="25"/>
        <v>0</v>
      </c>
    </row>
    <row r="161" spans="1:71" outlineLevel="1" x14ac:dyDescent="0.2"/>
    <row r="162" spans="1:71" outlineLevel="1" x14ac:dyDescent="0.2"/>
    <row r="163" spans="1:71" outlineLevel="1" x14ac:dyDescent="0.2">
      <c r="A163" s="45"/>
      <c r="B163" s="38" t="s">
        <v>57</v>
      </c>
      <c r="C163" s="45"/>
      <c r="D163" s="45"/>
      <c r="E163" s="45"/>
    </row>
    <row r="164" spans="1:71" outlineLevel="1" x14ac:dyDescent="0.2"/>
    <row r="165" spans="1:71" outlineLevel="1" x14ac:dyDescent="0.2">
      <c r="C165" s="11" t="s">
        <v>167</v>
      </c>
    </row>
    <row r="166" spans="1:71" outlineLevel="1" x14ac:dyDescent="0.2">
      <c r="D166" t="s">
        <v>168</v>
      </c>
      <c r="I166" s="30">
        <f ca="1">SUM($L166:$BS166)</f>
        <v>0</v>
      </c>
      <c r="J166" s="26" t="s">
        <v>148</v>
      </c>
      <c r="K166" s="7" t="s">
        <v>171</v>
      </c>
      <c r="L166" s="49">
        <f t="shared" ref="L166:AQ166" ca="1" si="26">IF(L4&gt;=YEAR(effective_date_Mwafi),(OFFSET(_xlfn.SINGLE(IA_EandA_real),,date_offset_Mwafi)*_xlfn.SINGLE(IA_esc_index)),0)</f>
        <v>0</v>
      </c>
      <c r="M166" s="49">
        <f t="shared" ca="1" si="26"/>
        <v>0</v>
      </c>
      <c r="N166" s="49">
        <f t="shared" ca="1" si="26"/>
        <v>0</v>
      </c>
      <c r="O166" s="49">
        <f t="shared" ca="1" si="26"/>
        <v>0</v>
      </c>
      <c r="P166" s="49">
        <f t="shared" ca="1" si="26"/>
        <v>0</v>
      </c>
      <c r="Q166" s="49">
        <f t="shared" ca="1" si="26"/>
        <v>0</v>
      </c>
      <c r="R166" s="49">
        <f t="shared" ca="1" si="26"/>
        <v>0</v>
      </c>
      <c r="S166" s="49">
        <f t="shared" ca="1" si="26"/>
        <v>0</v>
      </c>
      <c r="T166" s="49">
        <f t="shared" ca="1" si="26"/>
        <v>0</v>
      </c>
      <c r="U166" s="49">
        <f t="shared" ca="1" si="26"/>
        <v>0</v>
      </c>
      <c r="V166" s="49">
        <f t="shared" ca="1" si="26"/>
        <v>0</v>
      </c>
      <c r="W166" s="49">
        <f t="shared" ca="1" si="26"/>
        <v>0</v>
      </c>
      <c r="X166" s="49">
        <f t="shared" ca="1" si="26"/>
        <v>0</v>
      </c>
      <c r="Y166" s="49">
        <f t="shared" ca="1" si="26"/>
        <v>0</v>
      </c>
      <c r="Z166" s="49">
        <f t="shared" ca="1" si="26"/>
        <v>0</v>
      </c>
      <c r="AA166" s="49">
        <f t="shared" ca="1" si="26"/>
        <v>0</v>
      </c>
      <c r="AB166" s="49">
        <f t="shared" ca="1" si="26"/>
        <v>0</v>
      </c>
      <c r="AC166" s="49">
        <f t="shared" ca="1" si="26"/>
        <v>0</v>
      </c>
      <c r="AD166" s="49">
        <f t="shared" ca="1" si="26"/>
        <v>0</v>
      </c>
      <c r="AE166" s="49">
        <f t="shared" ca="1" si="26"/>
        <v>0</v>
      </c>
      <c r="AF166" s="49">
        <f t="shared" ca="1" si="26"/>
        <v>0</v>
      </c>
      <c r="AG166" s="49">
        <f t="shared" ca="1" si="26"/>
        <v>0</v>
      </c>
      <c r="AH166" s="49">
        <f t="shared" ca="1" si="26"/>
        <v>0</v>
      </c>
      <c r="AI166" s="49">
        <f t="shared" ca="1" si="26"/>
        <v>0</v>
      </c>
      <c r="AJ166" s="49">
        <f t="shared" ca="1" si="26"/>
        <v>0</v>
      </c>
      <c r="AK166" s="49">
        <f t="shared" ca="1" si="26"/>
        <v>0</v>
      </c>
      <c r="AL166" s="49">
        <f t="shared" ca="1" si="26"/>
        <v>0</v>
      </c>
      <c r="AM166" s="49">
        <f t="shared" ca="1" si="26"/>
        <v>0</v>
      </c>
      <c r="AN166" s="49">
        <f t="shared" ca="1" si="26"/>
        <v>0</v>
      </c>
      <c r="AO166" s="49">
        <f t="shared" ca="1" si="26"/>
        <v>0</v>
      </c>
      <c r="AP166" s="49">
        <f t="shared" ca="1" si="26"/>
        <v>0</v>
      </c>
      <c r="AQ166" s="49">
        <f t="shared" ca="1" si="26"/>
        <v>0</v>
      </c>
      <c r="AR166" s="49">
        <f t="shared" ref="AR166:BS166" ca="1" si="27">IF(AR4&gt;=YEAR(effective_date_Mwafi),(OFFSET(_xlfn.SINGLE(IA_EandA_real),,date_offset_Mwafi)*_xlfn.SINGLE(IA_esc_index)),0)</f>
        <v>0</v>
      </c>
      <c r="AS166" s="49">
        <f t="shared" ca="1" si="27"/>
        <v>0</v>
      </c>
      <c r="AT166" s="49">
        <f t="shared" ca="1" si="27"/>
        <v>0</v>
      </c>
      <c r="AU166" s="49">
        <f t="shared" ca="1" si="27"/>
        <v>0</v>
      </c>
      <c r="AV166" s="49">
        <f t="shared" ca="1" si="27"/>
        <v>0</v>
      </c>
      <c r="AW166" s="49">
        <f t="shared" ca="1" si="27"/>
        <v>0</v>
      </c>
      <c r="AX166" s="49">
        <f t="shared" ca="1" si="27"/>
        <v>0</v>
      </c>
      <c r="AY166" s="49">
        <f t="shared" ca="1" si="27"/>
        <v>0</v>
      </c>
      <c r="AZ166" s="49">
        <f t="shared" ca="1" si="27"/>
        <v>0</v>
      </c>
      <c r="BA166" s="49">
        <f t="shared" ca="1" si="27"/>
        <v>0</v>
      </c>
      <c r="BB166" s="49">
        <f t="shared" ca="1" si="27"/>
        <v>0</v>
      </c>
      <c r="BC166" s="49">
        <f t="shared" ca="1" si="27"/>
        <v>0</v>
      </c>
      <c r="BD166" s="49">
        <f t="shared" ca="1" si="27"/>
        <v>0</v>
      </c>
      <c r="BE166" s="49">
        <f t="shared" ca="1" si="27"/>
        <v>0</v>
      </c>
      <c r="BF166" s="49">
        <f t="shared" ca="1" si="27"/>
        <v>0</v>
      </c>
      <c r="BG166" s="49">
        <f t="shared" ca="1" si="27"/>
        <v>0</v>
      </c>
      <c r="BH166" s="49">
        <f t="shared" ca="1" si="27"/>
        <v>0</v>
      </c>
      <c r="BI166" s="49">
        <f t="shared" ca="1" si="27"/>
        <v>0</v>
      </c>
      <c r="BJ166" s="49">
        <f t="shared" ca="1" si="27"/>
        <v>0</v>
      </c>
      <c r="BK166" s="49">
        <f t="shared" ca="1" si="27"/>
        <v>0</v>
      </c>
      <c r="BL166" s="49">
        <f t="shared" ca="1" si="27"/>
        <v>0</v>
      </c>
      <c r="BM166" s="49">
        <f t="shared" ca="1" si="27"/>
        <v>0</v>
      </c>
      <c r="BN166" s="49">
        <f t="shared" ca="1" si="27"/>
        <v>0</v>
      </c>
      <c r="BO166" s="49">
        <f t="shared" ca="1" si="27"/>
        <v>0</v>
      </c>
      <c r="BP166" s="49">
        <f t="shared" ca="1" si="27"/>
        <v>0</v>
      </c>
      <c r="BQ166" s="49">
        <f t="shared" ca="1" si="27"/>
        <v>0</v>
      </c>
      <c r="BR166" s="49">
        <f t="shared" ca="1" si="27"/>
        <v>0</v>
      </c>
      <c r="BS166" s="49">
        <f t="shared" ca="1" si="27"/>
        <v>0</v>
      </c>
    </row>
    <row r="167" spans="1:71" outlineLevel="1" x14ac:dyDescent="0.2"/>
    <row r="168" spans="1:71" outlineLevel="1" x14ac:dyDescent="0.2">
      <c r="C168" s="11" t="s">
        <v>57</v>
      </c>
    </row>
    <row r="169" spans="1:71" outlineLevel="1" x14ac:dyDescent="0.2">
      <c r="D169" t="s">
        <v>169</v>
      </c>
      <c r="I169" s="30">
        <f ca="1">SUM($L169:$BS169)</f>
        <v>10913.591</v>
      </c>
      <c r="J169" s="26" t="s">
        <v>148</v>
      </c>
      <c r="K169" s="7" t="s">
        <v>170</v>
      </c>
      <c r="L169" s="49">
        <f t="shared" ref="L169:AQ169" ca="1" si="28">IF(L4&gt;=YEAR(effective_date_Mwafi),(OFFSET(_xlfn.SINGLE(IA_devcapex_real),,date_offset_Mwafi)*_xlfn.SINGLE(IA_esc_index)),0)</f>
        <v>1286.7819999999999</v>
      </c>
      <c r="M169" s="49">
        <f t="shared" ca="1" si="28"/>
        <v>2118.212</v>
      </c>
      <c r="N169" s="49">
        <f t="shared" ca="1" si="28"/>
        <v>3130.5740000000001</v>
      </c>
      <c r="O169" s="49">
        <f t="shared" ca="1" si="28"/>
        <v>2571.201</v>
      </c>
      <c r="P169" s="49">
        <f t="shared" ca="1" si="28"/>
        <v>1153.232</v>
      </c>
      <c r="Q169" s="49">
        <f t="shared" ca="1" si="28"/>
        <v>653.59</v>
      </c>
      <c r="R169" s="49">
        <f t="shared" ca="1" si="28"/>
        <v>0</v>
      </c>
      <c r="S169" s="49">
        <f t="shared" ca="1" si="28"/>
        <v>0</v>
      </c>
      <c r="T169" s="49">
        <f t="shared" ca="1" si="28"/>
        <v>0</v>
      </c>
      <c r="U169" s="49">
        <f t="shared" ca="1" si="28"/>
        <v>0</v>
      </c>
      <c r="V169" s="49">
        <f t="shared" ca="1" si="28"/>
        <v>0</v>
      </c>
      <c r="W169" s="49">
        <f t="shared" ca="1" si="28"/>
        <v>0</v>
      </c>
      <c r="X169" s="49">
        <f t="shared" ca="1" si="28"/>
        <v>0</v>
      </c>
      <c r="Y169" s="49">
        <f t="shared" ca="1" si="28"/>
        <v>0</v>
      </c>
      <c r="Z169" s="49">
        <f t="shared" ca="1" si="28"/>
        <v>0</v>
      </c>
      <c r="AA169" s="49">
        <f t="shared" ca="1" si="28"/>
        <v>0</v>
      </c>
      <c r="AB169" s="49">
        <f t="shared" ca="1" si="28"/>
        <v>0</v>
      </c>
      <c r="AC169" s="49">
        <f t="shared" ca="1" si="28"/>
        <v>0</v>
      </c>
      <c r="AD169" s="49">
        <f t="shared" ca="1" si="28"/>
        <v>0</v>
      </c>
      <c r="AE169" s="49">
        <f t="shared" ca="1" si="28"/>
        <v>0</v>
      </c>
      <c r="AF169" s="49">
        <f t="shared" ca="1" si="28"/>
        <v>0</v>
      </c>
      <c r="AG169" s="49">
        <f t="shared" ca="1" si="28"/>
        <v>0</v>
      </c>
      <c r="AH169" s="49">
        <f t="shared" ca="1" si="28"/>
        <v>0</v>
      </c>
      <c r="AI169" s="49">
        <f t="shared" ca="1" si="28"/>
        <v>0</v>
      </c>
      <c r="AJ169" s="49">
        <f t="shared" ca="1" si="28"/>
        <v>0</v>
      </c>
      <c r="AK169" s="49">
        <f t="shared" ca="1" si="28"/>
        <v>0</v>
      </c>
      <c r="AL169" s="49">
        <f t="shared" ca="1" si="28"/>
        <v>0</v>
      </c>
      <c r="AM169" s="49">
        <f t="shared" ca="1" si="28"/>
        <v>0</v>
      </c>
      <c r="AN169" s="49">
        <f t="shared" ca="1" si="28"/>
        <v>0</v>
      </c>
      <c r="AO169" s="49">
        <f t="shared" ca="1" si="28"/>
        <v>0</v>
      </c>
      <c r="AP169" s="49">
        <f t="shared" ca="1" si="28"/>
        <v>0</v>
      </c>
      <c r="AQ169" s="49">
        <f t="shared" ca="1" si="28"/>
        <v>0</v>
      </c>
      <c r="AR169" s="49">
        <f t="shared" ref="AR169:BS169" ca="1" si="29">IF(AR4&gt;=YEAR(effective_date_Mwafi),(OFFSET(_xlfn.SINGLE(IA_devcapex_real),,date_offset_Mwafi)*_xlfn.SINGLE(IA_esc_index)),0)</f>
        <v>0</v>
      </c>
      <c r="AS169" s="49">
        <f t="shared" ca="1" si="29"/>
        <v>0</v>
      </c>
      <c r="AT169" s="49">
        <f t="shared" ca="1" si="29"/>
        <v>0</v>
      </c>
      <c r="AU169" s="49">
        <f t="shared" ca="1" si="29"/>
        <v>0</v>
      </c>
      <c r="AV169" s="49">
        <f t="shared" ca="1" si="29"/>
        <v>0</v>
      </c>
      <c r="AW169" s="49">
        <f t="shared" ca="1" si="29"/>
        <v>0</v>
      </c>
      <c r="AX169" s="49">
        <f t="shared" ca="1" si="29"/>
        <v>0</v>
      </c>
      <c r="AY169" s="49">
        <f t="shared" ca="1" si="29"/>
        <v>0</v>
      </c>
      <c r="AZ169" s="49">
        <f t="shared" ca="1" si="29"/>
        <v>0</v>
      </c>
      <c r="BA169" s="49">
        <f t="shared" ca="1" si="29"/>
        <v>0</v>
      </c>
      <c r="BB169" s="49">
        <f t="shared" ca="1" si="29"/>
        <v>0</v>
      </c>
      <c r="BC169" s="49">
        <f t="shared" ca="1" si="29"/>
        <v>0</v>
      </c>
      <c r="BD169" s="49">
        <f t="shared" ca="1" si="29"/>
        <v>0</v>
      </c>
      <c r="BE169" s="49">
        <f t="shared" ca="1" si="29"/>
        <v>0</v>
      </c>
      <c r="BF169" s="49">
        <f t="shared" ca="1" si="29"/>
        <v>0</v>
      </c>
      <c r="BG169" s="49">
        <f t="shared" ca="1" si="29"/>
        <v>0</v>
      </c>
      <c r="BH169" s="49">
        <f t="shared" ca="1" si="29"/>
        <v>0</v>
      </c>
      <c r="BI169" s="49">
        <f t="shared" ca="1" si="29"/>
        <v>0</v>
      </c>
      <c r="BJ169" s="49">
        <f t="shared" ca="1" si="29"/>
        <v>0</v>
      </c>
      <c r="BK169" s="49">
        <f t="shared" ca="1" si="29"/>
        <v>0</v>
      </c>
      <c r="BL169" s="49">
        <f t="shared" ca="1" si="29"/>
        <v>0</v>
      </c>
      <c r="BM169" s="49">
        <f t="shared" ca="1" si="29"/>
        <v>0</v>
      </c>
      <c r="BN169" s="49">
        <f t="shared" ca="1" si="29"/>
        <v>0</v>
      </c>
      <c r="BO169" s="49">
        <f t="shared" ca="1" si="29"/>
        <v>0</v>
      </c>
      <c r="BP169" s="49">
        <f t="shared" ca="1" si="29"/>
        <v>0</v>
      </c>
      <c r="BQ169" s="49">
        <f t="shared" ca="1" si="29"/>
        <v>0</v>
      </c>
      <c r="BR169" s="49">
        <f t="shared" ca="1" si="29"/>
        <v>0</v>
      </c>
      <c r="BS169" s="49">
        <f t="shared" ca="1" si="29"/>
        <v>0</v>
      </c>
    </row>
    <row r="170" spans="1:71" outlineLevel="1" x14ac:dyDescent="0.2"/>
    <row r="171" spans="1:71" outlineLevel="1" x14ac:dyDescent="0.2">
      <c r="C171" s="11" t="s">
        <v>63</v>
      </c>
    </row>
    <row r="172" spans="1:71" outlineLevel="1" x14ac:dyDescent="0.2">
      <c r="D172" t="s">
        <v>312</v>
      </c>
      <c r="I172" s="30">
        <f ca="1">SUM($L172:$BS172)</f>
        <v>0</v>
      </c>
      <c r="J172" s="26" t="s">
        <v>148</v>
      </c>
      <c r="K172" s="7" t="s">
        <v>172</v>
      </c>
      <c r="L172" s="49">
        <f t="shared" ref="L172:AQ172" ca="1" si="30">IF(L4&gt;=YEAR(effective_date_Mwafi),(OFFSET(_xlfn.SINGLE(IA_decom_real),,date_offset_Mwafi)*_xlfn.SINGLE(IA_esc_index)),0)</f>
        <v>0</v>
      </c>
      <c r="M172" s="49">
        <f t="shared" ca="1" si="30"/>
        <v>0</v>
      </c>
      <c r="N172" s="49">
        <f t="shared" ca="1" si="30"/>
        <v>0</v>
      </c>
      <c r="O172" s="49">
        <f t="shared" ca="1" si="30"/>
        <v>0</v>
      </c>
      <c r="P172" s="49">
        <f t="shared" ca="1" si="30"/>
        <v>0</v>
      </c>
      <c r="Q172" s="49">
        <f t="shared" ca="1" si="30"/>
        <v>0</v>
      </c>
      <c r="R172" s="49">
        <f t="shared" ca="1" si="30"/>
        <v>0</v>
      </c>
      <c r="S172" s="49">
        <f t="shared" ca="1" si="30"/>
        <v>0</v>
      </c>
      <c r="T172" s="49">
        <f t="shared" ca="1" si="30"/>
        <v>0</v>
      </c>
      <c r="U172" s="49">
        <f t="shared" ca="1" si="30"/>
        <v>0</v>
      </c>
      <c r="V172" s="49">
        <f t="shared" ca="1" si="30"/>
        <v>0</v>
      </c>
      <c r="W172" s="49">
        <f t="shared" ca="1" si="30"/>
        <v>0</v>
      </c>
      <c r="X172" s="49">
        <f t="shared" ca="1" si="30"/>
        <v>0</v>
      </c>
      <c r="Y172" s="49">
        <f t="shared" ca="1" si="30"/>
        <v>0</v>
      </c>
      <c r="Z172" s="49">
        <f t="shared" ca="1" si="30"/>
        <v>0</v>
      </c>
      <c r="AA172" s="49">
        <f t="shared" ca="1" si="30"/>
        <v>0</v>
      </c>
      <c r="AB172" s="49">
        <f t="shared" ca="1" si="30"/>
        <v>0</v>
      </c>
      <c r="AC172" s="49">
        <f t="shared" ca="1" si="30"/>
        <v>0</v>
      </c>
      <c r="AD172" s="49">
        <f t="shared" ca="1" si="30"/>
        <v>0</v>
      </c>
      <c r="AE172" s="49">
        <f t="shared" ca="1" si="30"/>
        <v>0</v>
      </c>
      <c r="AF172" s="49">
        <f t="shared" ca="1" si="30"/>
        <v>0</v>
      </c>
      <c r="AG172" s="49">
        <f t="shared" ca="1" si="30"/>
        <v>0</v>
      </c>
      <c r="AH172" s="49">
        <f t="shared" ca="1" si="30"/>
        <v>0</v>
      </c>
      <c r="AI172" s="49">
        <f t="shared" ca="1" si="30"/>
        <v>0</v>
      </c>
      <c r="AJ172" s="49">
        <f t="shared" ca="1" si="30"/>
        <v>0</v>
      </c>
      <c r="AK172" s="49">
        <f t="shared" ca="1" si="30"/>
        <v>0</v>
      </c>
      <c r="AL172" s="49">
        <f t="shared" ca="1" si="30"/>
        <v>0</v>
      </c>
      <c r="AM172" s="49">
        <f t="shared" ca="1" si="30"/>
        <v>0</v>
      </c>
      <c r="AN172" s="49">
        <f t="shared" ca="1" si="30"/>
        <v>0</v>
      </c>
      <c r="AO172" s="49">
        <f t="shared" ca="1" si="30"/>
        <v>0</v>
      </c>
      <c r="AP172" s="49">
        <f t="shared" ca="1" si="30"/>
        <v>0</v>
      </c>
      <c r="AQ172" s="49">
        <f t="shared" ca="1" si="30"/>
        <v>0</v>
      </c>
      <c r="AR172" s="49">
        <f t="shared" ref="AR172:BS172" ca="1" si="31">IF(AR4&gt;=YEAR(effective_date_Mwafi),(OFFSET(_xlfn.SINGLE(IA_decom_real),,date_offset_Mwafi)*_xlfn.SINGLE(IA_esc_index)),0)</f>
        <v>0</v>
      </c>
      <c r="AS172" s="49">
        <f t="shared" ca="1" si="31"/>
        <v>0</v>
      </c>
      <c r="AT172" s="49">
        <f t="shared" ca="1" si="31"/>
        <v>0</v>
      </c>
      <c r="AU172" s="49">
        <f t="shared" ca="1" si="31"/>
        <v>0</v>
      </c>
      <c r="AV172" s="49">
        <f t="shared" ca="1" si="31"/>
        <v>0</v>
      </c>
      <c r="AW172" s="49">
        <f t="shared" ca="1" si="31"/>
        <v>0</v>
      </c>
      <c r="AX172" s="49">
        <f t="shared" ca="1" si="31"/>
        <v>0</v>
      </c>
      <c r="AY172" s="49">
        <f t="shared" ca="1" si="31"/>
        <v>0</v>
      </c>
      <c r="AZ172" s="49">
        <f t="shared" ca="1" si="31"/>
        <v>0</v>
      </c>
      <c r="BA172" s="49">
        <f t="shared" ca="1" si="31"/>
        <v>0</v>
      </c>
      <c r="BB172" s="49">
        <f t="shared" ca="1" si="31"/>
        <v>0</v>
      </c>
      <c r="BC172" s="49">
        <f t="shared" ca="1" si="31"/>
        <v>0</v>
      </c>
      <c r="BD172" s="49">
        <f t="shared" ca="1" si="31"/>
        <v>0</v>
      </c>
      <c r="BE172" s="49">
        <f t="shared" ca="1" si="31"/>
        <v>0</v>
      </c>
      <c r="BF172" s="49">
        <f t="shared" ca="1" si="31"/>
        <v>0</v>
      </c>
      <c r="BG172" s="49">
        <f t="shared" ca="1" si="31"/>
        <v>0</v>
      </c>
      <c r="BH172" s="49">
        <f t="shared" ca="1" si="31"/>
        <v>0</v>
      </c>
      <c r="BI172" s="49">
        <f t="shared" ca="1" si="31"/>
        <v>0</v>
      </c>
      <c r="BJ172" s="49">
        <f t="shared" ca="1" si="31"/>
        <v>0</v>
      </c>
      <c r="BK172" s="49">
        <f t="shared" ca="1" si="31"/>
        <v>0</v>
      </c>
      <c r="BL172" s="49">
        <f t="shared" ca="1" si="31"/>
        <v>0</v>
      </c>
      <c r="BM172" s="49">
        <f t="shared" ca="1" si="31"/>
        <v>0</v>
      </c>
      <c r="BN172" s="49">
        <f t="shared" ca="1" si="31"/>
        <v>0</v>
      </c>
      <c r="BO172" s="49">
        <f t="shared" ca="1" si="31"/>
        <v>0</v>
      </c>
      <c r="BP172" s="49">
        <f t="shared" ca="1" si="31"/>
        <v>0</v>
      </c>
      <c r="BQ172" s="49">
        <f t="shared" ca="1" si="31"/>
        <v>0</v>
      </c>
      <c r="BR172" s="49">
        <f t="shared" ca="1" si="31"/>
        <v>0</v>
      </c>
      <c r="BS172" s="49">
        <f t="shared" ca="1" si="31"/>
        <v>0</v>
      </c>
    </row>
    <row r="173" spans="1:71" outlineLevel="1" x14ac:dyDescent="0.2"/>
    <row r="174" spans="1:71" outlineLevel="1" x14ac:dyDescent="0.2"/>
    <row r="175" spans="1:71" outlineLevel="1" x14ac:dyDescent="0.2">
      <c r="A175" s="45"/>
      <c r="B175" s="38" t="s">
        <v>173</v>
      </c>
      <c r="C175" s="45"/>
      <c r="D175" s="45"/>
      <c r="E175" s="45"/>
    </row>
    <row r="176" spans="1:71" outlineLevel="1" x14ac:dyDescent="0.2"/>
    <row r="177" spans="3:71" outlineLevel="1" x14ac:dyDescent="0.2">
      <c r="C177" s="11" t="s">
        <v>212</v>
      </c>
      <c r="K177" s="7" t="s">
        <v>213</v>
      </c>
      <c r="L177" s="57">
        <f t="shared" ref="L177:AQ177" ca="1" si="32">1*(OR(CA_opex_total_nom&gt;0,CA_expex_nom&gt;0,CA_devex_nom&gt;0,CA_gross_prod_oil+CA_gross_prod_gas&gt;0))</f>
        <v>1</v>
      </c>
      <c r="M177" s="57">
        <f t="shared" ca="1" si="32"/>
        <v>1</v>
      </c>
      <c r="N177" s="57">
        <f t="shared" ca="1" si="32"/>
        <v>1</v>
      </c>
      <c r="O177" s="57">
        <f t="shared" ca="1" si="32"/>
        <v>1</v>
      </c>
      <c r="P177" s="57">
        <f t="shared" ca="1" si="32"/>
        <v>1</v>
      </c>
      <c r="Q177" s="57">
        <f t="shared" ca="1" si="32"/>
        <v>1</v>
      </c>
      <c r="R177" s="57">
        <f t="shared" ca="1" si="32"/>
        <v>1</v>
      </c>
      <c r="S177" s="57">
        <f t="shared" ca="1" si="32"/>
        <v>1</v>
      </c>
      <c r="T177" s="57">
        <f t="shared" ca="1" si="32"/>
        <v>1</v>
      </c>
      <c r="U177" s="57">
        <f t="shared" ca="1" si="32"/>
        <v>1</v>
      </c>
      <c r="V177" s="57">
        <f t="shared" ca="1" si="32"/>
        <v>1</v>
      </c>
      <c r="W177" s="57">
        <f t="shared" ca="1" si="32"/>
        <v>1</v>
      </c>
      <c r="X177" s="57">
        <f t="shared" ca="1" si="32"/>
        <v>1</v>
      </c>
      <c r="Y177" s="57">
        <f t="shared" ca="1" si="32"/>
        <v>0</v>
      </c>
      <c r="Z177" s="57">
        <f t="shared" ca="1" si="32"/>
        <v>0</v>
      </c>
      <c r="AA177" s="57">
        <f t="shared" ca="1" si="32"/>
        <v>0</v>
      </c>
      <c r="AB177" s="57">
        <f t="shared" ca="1" si="32"/>
        <v>0</v>
      </c>
      <c r="AC177" s="57">
        <f t="shared" ca="1" si="32"/>
        <v>0</v>
      </c>
      <c r="AD177" s="57">
        <f t="shared" ca="1" si="32"/>
        <v>0</v>
      </c>
      <c r="AE177" s="57">
        <f t="shared" ca="1" si="32"/>
        <v>0</v>
      </c>
      <c r="AF177" s="57">
        <f t="shared" ca="1" si="32"/>
        <v>0</v>
      </c>
      <c r="AG177" s="57">
        <f t="shared" ca="1" si="32"/>
        <v>0</v>
      </c>
      <c r="AH177" s="57">
        <f t="shared" ca="1" si="32"/>
        <v>0</v>
      </c>
      <c r="AI177" s="57">
        <f t="shared" ca="1" si="32"/>
        <v>0</v>
      </c>
      <c r="AJ177" s="57">
        <f t="shared" ca="1" si="32"/>
        <v>0</v>
      </c>
      <c r="AK177" s="57">
        <f t="shared" ca="1" si="32"/>
        <v>0</v>
      </c>
      <c r="AL177" s="57">
        <f t="shared" ca="1" si="32"/>
        <v>0</v>
      </c>
      <c r="AM177" s="57">
        <f t="shared" ca="1" si="32"/>
        <v>0</v>
      </c>
      <c r="AN177" s="57">
        <f t="shared" ca="1" si="32"/>
        <v>0</v>
      </c>
      <c r="AO177" s="57">
        <f t="shared" ca="1" si="32"/>
        <v>0</v>
      </c>
      <c r="AP177" s="57">
        <f t="shared" ca="1" si="32"/>
        <v>0</v>
      </c>
      <c r="AQ177" s="57">
        <f t="shared" ca="1" si="32"/>
        <v>0</v>
      </c>
      <c r="AR177" s="57">
        <f t="shared" ref="AR177:BS177" ca="1" si="33">1*(OR(CA_opex_total_nom&gt;0,CA_expex_nom&gt;0,CA_devex_nom&gt;0,CA_gross_prod_oil+CA_gross_prod_gas&gt;0))</f>
        <v>0</v>
      </c>
      <c r="AS177" s="57">
        <f t="shared" ca="1" si="33"/>
        <v>0</v>
      </c>
      <c r="AT177" s="57">
        <f t="shared" ca="1" si="33"/>
        <v>0</v>
      </c>
      <c r="AU177" s="57">
        <f t="shared" ca="1" si="33"/>
        <v>0</v>
      </c>
      <c r="AV177" s="57">
        <f t="shared" ca="1" si="33"/>
        <v>0</v>
      </c>
      <c r="AW177" s="57">
        <f t="shared" ca="1" si="33"/>
        <v>0</v>
      </c>
      <c r="AX177" s="57">
        <f t="shared" ca="1" si="33"/>
        <v>0</v>
      </c>
      <c r="AY177" s="57">
        <f t="shared" ca="1" si="33"/>
        <v>0</v>
      </c>
      <c r="AZ177" s="57">
        <f t="shared" ca="1" si="33"/>
        <v>0</v>
      </c>
      <c r="BA177" s="57">
        <f t="shared" ca="1" si="33"/>
        <v>0</v>
      </c>
      <c r="BB177" s="57">
        <f t="shared" ca="1" si="33"/>
        <v>0</v>
      </c>
      <c r="BC177" s="57">
        <f t="shared" ca="1" si="33"/>
        <v>0</v>
      </c>
      <c r="BD177" s="57">
        <f t="shared" ca="1" si="33"/>
        <v>0</v>
      </c>
      <c r="BE177" s="57">
        <f t="shared" ca="1" si="33"/>
        <v>0</v>
      </c>
      <c r="BF177" s="57">
        <f t="shared" ca="1" si="33"/>
        <v>0</v>
      </c>
      <c r="BG177" s="57">
        <f t="shared" ca="1" si="33"/>
        <v>0</v>
      </c>
      <c r="BH177" s="57">
        <f t="shared" ca="1" si="33"/>
        <v>0</v>
      </c>
      <c r="BI177" s="57">
        <f t="shared" ca="1" si="33"/>
        <v>0</v>
      </c>
      <c r="BJ177" s="57">
        <f t="shared" ca="1" si="33"/>
        <v>0</v>
      </c>
      <c r="BK177" s="57">
        <f t="shared" ca="1" si="33"/>
        <v>0</v>
      </c>
      <c r="BL177" s="57">
        <f t="shared" ca="1" si="33"/>
        <v>0</v>
      </c>
      <c r="BM177" s="57">
        <f t="shared" ca="1" si="33"/>
        <v>0</v>
      </c>
      <c r="BN177" s="57">
        <f t="shared" ca="1" si="33"/>
        <v>0</v>
      </c>
      <c r="BO177" s="57">
        <f t="shared" ca="1" si="33"/>
        <v>0</v>
      </c>
      <c r="BP177" s="57">
        <f t="shared" ca="1" si="33"/>
        <v>0</v>
      </c>
      <c r="BQ177" s="57">
        <f t="shared" ca="1" si="33"/>
        <v>0</v>
      </c>
      <c r="BR177" s="57">
        <f t="shared" ca="1" si="33"/>
        <v>0</v>
      </c>
      <c r="BS177" s="57">
        <f t="shared" ca="1" si="33"/>
        <v>0</v>
      </c>
    </row>
    <row r="178" spans="3:71" outlineLevel="1" x14ac:dyDescent="0.2"/>
    <row r="179" spans="3:71" outlineLevel="1" x14ac:dyDescent="0.2">
      <c r="C179" s="11" t="s">
        <v>66</v>
      </c>
    </row>
    <row r="180" spans="3:71" outlineLevel="1" x14ac:dyDescent="0.2">
      <c r="D180" t="s">
        <v>67</v>
      </c>
      <c r="I180" s="30">
        <f ca="1">SUM($L180:$BS180)</f>
        <v>116.836644723813</v>
      </c>
      <c r="J180" s="26" t="s">
        <v>148</v>
      </c>
      <c r="K180" s="7" t="s">
        <v>174</v>
      </c>
      <c r="L180" s="49" cm="1">
        <f t="array" aca="1" ref="L180:BS180" ca="1">CA_gross_rev_total_fp*fees_PID_perc</f>
        <v>7.4933748230811874</v>
      </c>
      <c r="M180" s="49">
        <f ca="1"/>
        <v>7.0784597535292457</v>
      </c>
      <c r="N180" s="49">
        <f ca="1"/>
        <v>2.6706236900108338</v>
      </c>
      <c r="O180" s="49">
        <f ca="1"/>
        <v>2.5208282317336823</v>
      </c>
      <c r="P180" s="49">
        <f ca="1"/>
        <v>6.9924129539791364</v>
      </c>
      <c r="Q180" s="49">
        <f ca="1"/>
        <v>13.89932866392102</v>
      </c>
      <c r="R180" s="49">
        <f ca="1"/>
        <v>13.267308635491613</v>
      </c>
      <c r="S180" s="49">
        <f ca="1"/>
        <v>7.7017699371600008</v>
      </c>
      <c r="T180" s="49">
        <f ca="1"/>
        <v>11.75231225896416</v>
      </c>
      <c r="U180" s="49">
        <f ca="1"/>
        <v>11.731746984589799</v>
      </c>
      <c r="V180" s="49">
        <f ca="1"/>
        <v>11.128735189581883</v>
      </c>
      <c r="W180" s="49">
        <f ca="1"/>
        <v>10.585640716456105</v>
      </c>
      <c r="X180" s="49">
        <f ca="1"/>
        <v>10.014102885314331</v>
      </c>
      <c r="Y180" s="49">
        <f ca="1"/>
        <v>0</v>
      </c>
      <c r="Z180" s="49">
        <f ca="1"/>
        <v>0</v>
      </c>
      <c r="AA180" s="49">
        <f ca="1"/>
        <v>0</v>
      </c>
      <c r="AB180" s="49">
        <f ca="1"/>
        <v>0</v>
      </c>
      <c r="AC180" s="49">
        <f ca="1"/>
        <v>0</v>
      </c>
      <c r="AD180" s="49">
        <f ca="1"/>
        <v>0</v>
      </c>
      <c r="AE180" s="49">
        <f ca="1"/>
        <v>0</v>
      </c>
      <c r="AF180" s="49">
        <f ca="1"/>
        <v>0</v>
      </c>
      <c r="AG180" s="49">
        <f ca="1"/>
        <v>0</v>
      </c>
      <c r="AH180" s="49">
        <f ca="1"/>
        <v>0</v>
      </c>
      <c r="AI180" s="49">
        <f ca="1"/>
        <v>0</v>
      </c>
      <c r="AJ180" s="49">
        <f ca="1"/>
        <v>0</v>
      </c>
      <c r="AK180" s="49">
        <f ca="1"/>
        <v>0</v>
      </c>
      <c r="AL180" s="49">
        <f ca="1"/>
        <v>0</v>
      </c>
      <c r="AM180" s="49">
        <f ca="1"/>
        <v>0</v>
      </c>
      <c r="AN180" s="49">
        <f ca="1"/>
        <v>0</v>
      </c>
      <c r="AO180" s="49">
        <f ca="1"/>
        <v>0</v>
      </c>
      <c r="AP180" s="49">
        <f ca="1"/>
        <v>0</v>
      </c>
      <c r="AQ180" s="49">
        <f ca="1"/>
        <v>0</v>
      </c>
      <c r="AR180" s="49">
        <f ca="1"/>
        <v>0</v>
      </c>
      <c r="AS180" s="49">
        <f ca="1"/>
        <v>0</v>
      </c>
      <c r="AT180" s="49">
        <f ca="1"/>
        <v>0</v>
      </c>
      <c r="AU180" s="49">
        <f ca="1"/>
        <v>0</v>
      </c>
      <c r="AV180" s="49">
        <f ca="1"/>
        <v>0</v>
      </c>
      <c r="AW180" s="49">
        <f ca="1"/>
        <v>0</v>
      </c>
      <c r="AX180" s="49">
        <f ca="1"/>
        <v>0</v>
      </c>
      <c r="AY180" s="49">
        <f ca="1"/>
        <v>0</v>
      </c>
      <c r="AZ180" s="49">
        <f ca="1"/>
        <v>0</v>
      </c>
      <c r="BA180" s="49">
        <f ca="1"/>
        <v>0</v>
      </c>
      <c r="BB180" s="49">
        <f ca="1"/>
        <v>0</v>
      </c>
      <c r="BC180" s="49">
        <f ca="1"/>
        <v>0</v>
      </c>
      <c r="BD180" s="49">
        <f ca="1"/>
        <v>0</v>
      </c>
      <c r="BE180" s="49">
        <f ca="1"/>
        <v>0</v>
      </c>
      <c r="BF180" s="49">
        <f ca="1"/>
        <v>0</v>
      </c>
      <c r="BG180" s="49">
        <f ca="1"/>
        <v>0</v>
      </c>
      <c r="BH180" s="49">
        <f ca="1"/>
        <v>0</v>
      </c>
      <c r="BI180" s="49">
        <f ca="1"/>
        <v>0</v>
      </c>
      <c r="BJ180" s="49">
        <f ca="1"/>
        <v>0</v>
      </c>
      <c r="BK180" s="49">
        <f ca="1"/>
        <v>0</v>
      </c>
      <c r="BL180" s="49">
        <f ca="1"/>
        <v>0</v>
      </c>
      <c r="BM180" s="49">
        <f ca="1"/>
        <v>0</v>
      </c>
      <c r="BN180" s="49">
        <f ca="1"/>
        <v>0</v>
      </c>
      <c r="BO180" s="49">
        <f ca="1"/>
        <v>0</v>
      </c>
      <c r="BP180" s="49">
        <f ca="1"/>
        <v>0</v>
      </c>
      <c r="BQ180" s="49">
        <f ca="1"/>
        <v>0</v>
      </c>
      <c r="BR180" s="49">
        <f ca="1"/>
        <v>0</v>
      </c>
      <c r="BS180" s="49">
        <f ca="1"/>
        <v>0</v>
      </c>
    </row>
    <row r="181" spans="3:71" outlineLevel="1" x14ac:dyDescent="0.2"/>
    <row r="182" spans="3:71" outlineLevel="1" x14ac:dyDescent="0.2">
      <c r="C182" s="11" t="s">
        <v>69</v>
      </c>
    </row>
    <row r="183" spans="3:71" outlineLevel="1" x14ac:dyDescent="0.2">
      <c r="D183" t="s">
        <v>175</v>
      </c>
      <c r="I183" s="30">
        <f ca="1">SUM($L183:$BS183)</f>
        <v>1752.549670857195</v>
      </c>
      <c r="J183" s="26" t="s">
        <v>148</v>
      </c>
      <c r="K183" s="7" t="s">
        <v>177</v>
      </c>
      <c r="L183" s="49" cm="1">
        <f t="array" aca="1" ref="L183:BS183" ca="1">CA_gross_rev_oil_fp*royalty_rate_oil</f>
        <v>112.40062234621782</v>
      </c>
      <c r="M183" s="49">
        <f ca="1"/>
        <v>106.17689630293869</v>
      </c>
      <c r="N183" s="49">
        <f ca="1"/>
        <v>40.059355350162505</v>
      </c>
      <c r="O183" s="49">
        <f ca="1"/>
        <v>37.812423476005229</v>
      </c>
      <c r="P183" s="49">
        <f ca="1"/>
        <v>104.88619430968704</v>
      </c>
      <c r="Q183" s="49">
        <f ca="1"/>
        <v>208.48992995881528</v>
      </c>
      <c r="R183" s="49">
        <f ca="1"/>
        <v>199.00962953237419</v>
      </c>
      <c r="S183" s="49">
        <f ca="1"/>
        <v>115.5265490574</v>
      </c>
      <c r="T183" s="49">
        <f ca="1"/>
        <v>176.2846838844624</v>
      </c>
      <c r="U183" s="49">
        <f ca="1"/>
        <v>175.976204768847</v>
      </c>
      <c r="V183" s="49">
        <f ca="1"/>
        <v>166.93102784372823</v>
      </c>
      <c r="W183" s="49">
        <f ca="1"/>
        <v>158.78461074684157</v>
      </c>
      <c r="X183" s="49">
        <f ca="1"/>
        <v>150.21154327971496</v>
      </c>
      <c r="Y183" s="49">
        <f ca="1"/>
        <v>0</v>
      </c>
      <c r="Z183" s="49">
        <f ca="1"/>
        <v>0</v>
      </c>
      <c r="AA183" s="49">
        <f ca="1"/>
        <v>0</v>
      </c>
      <c r="AB183" s="49">
        <f ca="1"/>
        <v>0</v>
      </c>
      <c r="AC183" s="49">
        <f ca="1"/>
        <v>0</v>
      </c>
      <c r="AD183" s="49">
        <f ca="1"/>
        <v>0</v>
      </c>
      <c r="AE183" s="49">
        <f ca="1"/>
        <v>0</v>
      </c>
      <c r="AF183" s="49">
        <f ca="1"/>
        <v>0</v>
      </c>
      <c r="AG183" s="49">
        <f ca="1"/>
        <v>0</v>
      </c>
      <c r="AH183" s="49">
        <f ca="1"/>
        <v>0</v>
      </c>
      <c r="AI183" s="49">
        <f ca="1"/>
        <v>0</v>
      </c>
      <c r="AJ183" s="49">
        <f ca="1"/>
        <v>0</v>
      </c>
      <c r="AK183" s="49">
        <f ca="1"/>
        <v>0</v>
      </c>
      <c r="AL183" s="49">
        <f ca="1"/>
        <v>0</v>
      </c>
      <c r="AM183" s="49">
        <f ca="1"/>
        <v>0</v>
      </c>
      <c r="AN183" s="49">
        <f ca="1"/>
        <v>0</v>
      </c>
      <c r="AO183" s="49">
        <f ca="1"/>
        <v>0</v>
      </c>
      <c r="AP183" s="49">
        <f ca="1"/>
        <v>0</v>
      </c>
      <c r="AQ183" s="49">
        <f ca="1"/>
        <v>0</v>
      </c>
      <c r="AR183" s="49">
        <f ca="1"/>
        <v>0</v>
      </c>
      <c r="AS183" s="49">
        <f ca="1"/>
        <v>0</v>
      </c>
      <c r="AT183" s="49">
        <f ca="1"/>
        <v>0</v>
      </c>
      <c r="AU183" s="49">
        <f ca="1"/>
        <v>0</v>
      </c>
      <c r="AV183" s="49">
        <f ca="1"/>
        <v>0</v>
      </c>
      <c r="AW183" s="49">
        <f ca="1"/>
        <v>0</v>
      </c>
      <c r="AX183" s="49">
        <f ca="1"/>
        <v>0</v>
      </c>
      <c r="AY183" s="49">
        <f ca="1"/>
        <v>0</v>
      </c>
      <c r="AZ183" s="49">
        <f ca="1"/>
        <v>0</v>
      </c>
      <c r="BA183" s="49">
        <f ca="1"/>
        <v>0</v>
      </c>
      <c r="BB183" s="49">
        <f ca="1"/>
        <v>0</v>
      </c>
      <c r="BC183" s="49">
        <f ca="1"/>
        <v>0</v>
      </c>
      <c r="BD183" s="49">
        <f ca="1"/>
        <v>0</v>
      </c>
      <c r="BE183" s="49">
        <f ca="1"/>
        <v>0</v>
      </c>
      <c r="BF183" s="49">
        <f ca="1"/>
        <v>0</v>
      </c>
      <c r="BG183" s="49">
        <f ca="1"/>
        <v>0</v>
      </c>
      <c r="BH183" s="49">
        <f ca="1"/>
        <v>0</v>
      </c>
      <c r="BI183" s="49">
        <f ca="1"/>
        <v>0</v>
      </c>
      <c r="BJ183" s="49">
        <f ca="1"/>
        <v>0</v>
      </c>
      <c r="BK183" s="49">
        <f ca="1"/>
        <v>0</v>
      </c>
      <c r="BL183" s="49">
        <f ca="1"/>
        <v>0</v>
      </c>
      <c r="BM183" s="49">
        <f ca="1"/>
        <v>0</v>
      </c>
      <c r="BN183" s="49">
        <f ca="1"/>
        <v>0</v>
      </c>
      <c r="BO183" s="49">
        <f ca="1"/>
        <v>0</v>
      </c>
      <c r="BP183" s="49">
        <f ca="1"/>
        <v>0</v>
      </c>
      <c r="BQ183" s="49">
        <f ca="1"/>
        <v>0</v>
      </c>
      <c r="BR183" s="49">
        <f ca="1"/>
        <v>0</v>
      </c>
      <c r="BS183" s="49">
        <f ca="1"/>
        <v>0</v>
      </c>
    </row>
    <row r="184" spans="3:71" outlineLevel="1" x14ac:dyDescent="0.2">
      <c r="D184" t="s">
        <v>176</v>
      </c>
      <c r="I184" s="30">
        <f ca="1">SUM($L184:$BS184)</f>
        <v>0</v>
      </c>
      <c r="J184" s="26" t="s">
        <v>148</v>
      </c>
      <c r="K184" s="7" t="s">
        <v>178</v>
      </c>
      <c r="L184" s="49" cm="1">
        <f t="array" aca="1" ref="L184:BS184" ca="1">CA_gross_rev_gas_fp*royalty_rate_gas</f>
        <v>0</v>
      </c>
      <c r="M184" s="49">
        <f ca="1"/>
        <v>0</v>
      </c>
      <c r="N184" s="49">
        <f ca="1"/>
        <v>0</v>
      </c>
      <c r="O184" s="49">
        <f ca="1"/>
        <v>0</v>
      </c>
      <c r="P184" s="49">
        <f ca="1"/>
        <v>0</v>
      </c>
      <c r="Q184" s="49">
        <f ca="1"/>
        <v>0</v>
      </c>
      <c r="R184" s="49">
        <f ca="1"/>
        <v>0</v>
      </c>
      <c r="S184" s="49">
        <f ca="1"/>
        <v>0</v>
      </c>
      <c r="T184" s="49">
        <f ca="1"/>
        <v>0</v>
      </c>
      <c r="U184" s="49">
        <f ca="1"/>
        <v>0</v>
      </c>
      <c r="V184" s="49">
        <f ca="1"/>
        <v>0</v>
      </c>
      <c r="W184" s="49">
        <f ca="1"/>
        <v>0</v>
      </c>
      <c r="X184" s="49">
        <f ca="1"/>
        <v>0</v>
      </c>
      <c r="Y184" s="49">
        <f ca="1"/>
        <v>0</v>
      </c>
      <c r="Z184" s="49">
        <f ca="1"/>
        <v>0</v>
      </c>
      <c r="AA184" s="49">
        <f ca="1"/>
        <v>0</v>
      </c>
      <c r="AB184" s="49">
        <f ca="1"/>
        <v>0</v>
      </c>
      <c r="AC184" s="49">
        <f ca="1"/>
        <v>0</v>
      </c>
      <c r="AD184" s="49">
        <f ca="1"/>
        <v>0</v>
      </c>
      <c r="AE184" s="49">
        <f ca="1"/>
        <v>0</v>
      </c>
      <c r="AF184" s="49">
        <f ca="1"/>
        <v>0</v>
      </c>
      <c r="AG184" s="49">
        <f ca="1"/>
        <v>0</v>
      </c>
      <c r="AH184" s="49">
        <f ca="1"/>
        <v>0</v>
      </c>
      <c r="AI184" s="49">
        <f ca="1"/>
        <v>0</v>
      </c>
      <c r="AJ184" s="49">
        <f ca="1"/>
        <v>0</v>
      </c>
      <c r="AK184" s="49">
        <f ca="1"/>
        <v>0</v>
      </c>
      <c r="AL184" s="49">
        <f ca="1"/>
        <v>0</v>
      </c>
      <c r="AM184" s="49">
        <f ca="1"/>
        <v>0</v>
      </c>
      <c r="AN184" s="49">
        <f ca="1"/>
        <v>0</v>
      </c>
      <c r="AO184" s="49">
        <f ca="1"/>
        <v>0</v>
      </c>
      <c r="AP184" s="49">
        <f ca="1"/>
        <v>0</v>
      </c>
      <c r="AQ184" s="49">
        <f ca="1"/>
        <v>0</v>
      </c>
      <c r="AR184" s="49">
        <f ca="1"/>
        <v>0</v>
      </c>
      <c r="AS184" s="49">
        <f ca="1"/>
        <v>0</v>
      </c>
      <c r="AT184" s="49">
        <f ca="1"/>
        <v>0</v>
      </c>
      <c r="AU184" s="49">
        <f ca="1"/>
        <v>0</v>
      </c>
      <c r="AV184" s="49">
        <f ca="1"/>
        <v>0</v>
      </c>
      <c r="AW184" s="49">
        <f ca="1"/>
        <v>0</v>
      </c>
      <c r="AX184" s="49">
        <f ca="1"/>
        <v>0</v>
      </c>
      <c r="AY184" s="49">
        <f ca="1"/>
        <v>0</v>
      </c>
      <c r="AZ184" s="49">
        <f ca="1"/>
        <v>0</v>
      </c>
      <c r="BA184" s="49">
        <f ca="1"/>
        <v>0</v>
      </c>
      <c r="BB184" s="49">
        <f ca="1"/>
        <v>0</v>
      </c>
      <c r="BC184" s="49">
        <f ca="1"/>
        <v>0</v>
      </c>
      <c r="BD184" s="49">
        <f ca="1"/>
        <v>0</v>
      </c>
      <c r="BE184" s="49">
        <f ca="1"/>
        <v>0</v>
      </c>
      <c r="BF184" s="49">
        <f ca="1"/>
        <v>0</v>
      </c>
      <c r="BG184" s="49">
        <f ca="1"/>
        <v>0</v>
      </c>
      <c r="BH184" s="49">
        <f ca="1"/>
        <v>0</v>
      </c>
      <c r="BI184" s="49">
        <f ca="1"/>
        <v>0</v>
      </c>
      <c r="BJ184" s="49">
        <f ca="1"/>
        <v>0</v>
      </c>
      <c r="BK184" s="49">
        <f ca="1"/>
        <v>0</v>
      </c>
      <c r="BL184" s="49">
        <f ca="1"/>
        <v>0</v>
      </c>
      <c r="BM184" s="49">
        <f ca="1"/>
        <v>0</v>
      </c>
      <c r="BN184" s="49">
        <f ca="1"/>
        <v>0</v>
      </c>
      <c r="BO184" s="49">
        <f ca="1"/>
        <v>0</v>
      </c>
      <c r="BP184" s="49">
        <f ca="1"/>
        <v>0</v>
      </c>
      <c r="BQ184" s="49">
        <f ca="1"/>
        <v>0</v>
      </c>
      <c r="BR184" s="49">
        <f ca="1"/>
        <v>0</v>
      </c>
      <c r="BS184" s="49">
        <f ca="1"/>
        <v>0</v>
      </c>
    </row>
    <row r="185" spans="3:71" outlineLevel="1" x14ac:dyDescent="0.2">
      <c r="D185" s="11" t="s">
        <v>179</v>
      </c>
      <c r="I185" s="30">
        <f ca="1">SUM($L185:$BS185)</f>
        <v>1752.549670857195</v>
      </c>
      <c r="J185" s="26" t="s">
        <v>148</v>
      </c>
      <c r="K185" s="7" t="s">
        <v>180</v>
      </c>
      <c r="L185" s="49">
        <f ca="1">SUM(L183:L184)</f>
        <v>112.40062234621782</v>
      </c>
      <c r="M185" s="49">
        <f t="shared" ref="M185:BS185" ca="1" si="34">SUM(M183:M184)</f>
        <v>106.17689630293869</v>
      </c>
      <c r="N185" s="49">
        <f t="shared" ca="1" si="34"/>
        <v>40.059355350162505</v>
      </c>
      <c r="O185" s="49">
        <f t="shared" ca="1" si="34"/>
        <v>37.812423476005229</v>
      </c>
      <c r="P185" s="49">
        <f t="shared" ca="1" si="34"/>
        <v>104.88619430968704</v>
      </c>
      <c r="Q185" s="49">
        <f t="shared" ca="1" si="34"/>
        <v>208.48992995881528</v>
      </c>
      <c r="R185" s="49">
        <f t="shared" ca="1" si="34"/>
        <v>199.00962953237419</v>
      </c>
      <c r="S185" s="49">
        <f t="shared" ca="1" si="34"/>
        <v>115.5265490574</v>
      </c>
      <c r="T185" s="49">
        <f t="shared" ca="1" si="34"/>
        <v>176.2846838844624</v>
      </c>
      <c r="U185" s="49">
        <f t="shared" ca="1" si="34"/>
        <v>175.976204768847</v>
      </c>
      <c r="V185" s="49">
        <f t="shared" ca="1" si="34"/>
        <v>166.93102784372823</v>
      </c>
      <c r="W185" s="49">
        <f t="shared" ca="1" si="34"/>
        <v>158.78461074684157</v>
      </c>
      <c r="X185" s="49">
        <f t="shared" ca="1" si="34"/>
        <v>150.21154327971496</v>
      </c>
      <c r="Y185" s="49">
        <f t="shared" ca="1" si="34"/>
        <v>0</v>
      </c>
      <c r="Z185" s="49">
        <f t="shared" ca="1" si="34"/>
        <v>0</v>
      </c>
      <c r="AA185" s="49">
        <f t="shared" ca="1" si="34"/>
        <v>0</v>
      </c>
      <c r="AB185" s="49">
        <f t="shared" ca="1" si="34"/>
        <v>0</v>
      </c>
      <c r="AC185" s="49">
        <f t="shared" ca="1" si="34"/>
        <v>0</v>
      </c>
      <c r="AD185" s="49">
        <f t="shared" ca="1" si="34"/>
        <v>0</v>
      </c>
      <c r="AE185" s="49">
        <f t="shared" ca="1" si="34"/>
        <v>0</v>
      </c>
      <c r="AF185" s="49">
        <f t="shared" ca="1" si="34"/>
        <v>0</v>
      </c>
      <c r="AG185" s="49">
        <f t="shared" ca="1" si="34"/>
        <v>0</v>
      </c>
      <c r="AH185" s="49">
        <f t="shared" ca="1" si="34"/>
        <v>0</v>
      </c>
      <c r="AI185" s="49">
        <f t="shared" ca="1" si="34"/>
        <v>0</v>
      </c>
      <c r="AJ185" s="49">
        <f t="shared" ca="1" si="34"/>
        <v>0</v>
      </c>
      <c r="AK185" s="49">
        <f t="shared" ca="1" si="34"/>
        <v>0</v>
      </c>
      <c r="AL185" s="49">
        <f t="shared" ca="1" si="34"/>
        <v>0</v>
      </c>
      <c r="AM185" s="49">
        <f t="shared" ca="1" si="34"/>
        <v>0</v>
      </c>
      <c r="AN185" s="49">
        <f t="shared" ca="1" si="34"/>
        <v>0</v>
      </c>
      <c r="AO185" s="49">
        <f t="shared" ca="1" si="34"/>
        <v>0</v>
      </c>
      <c r="AP185" s="49">
        <f t="shared" ca="1" si="34"/>
        <v>0</v>
      </c>
      <c r="AQ185" s="49">
        <f t="shared" ca="1" si="34"/>
        <v>0</v>
      </c>
      <c r="AR185" s="49">
        <f t="shared" ca="1" si="34"/>
        <v>0</v>
      </c>
      <c r="AS185" s="49">
        <f t="shared" ca="1" si="34"/>
        <v>0</v>
      </c>
      <c r="AT185" s="49">
        <f t="shared" ca="1" si="34"/>
        <v>0</v>
      </c>
      <c r="AU185" s="49">
        <f t="shared" ca="1" si="34"/>
        <v>0</v>
      </c>
      <c r="AV185" s="49">
        <f t="shared" ca="1" si="34"/>
        <v>0</v>
      </c>
      <c r="AW185" s="49">
        <f t="shared" ca="1" si="34"/>
        <v>0</v>
      </c>
      <c r="AX185" s="49">
        <f t="shared" ca="1" si="34"/>
        <v>0</v>
      </c>
      <c r="AY185" s="49">
        <f t="shared" ca="1" si="34"/>
        <v>0</v>
      </c>
      <c r="AZ185" s="49">
        <f t="shared" ca="1" si="34"/>
        <v>0</v>
      </c>
      <c r="BA185" s="49">
        <f t="shared" ca="1" si="34"/>
        <v>0</v>
      </c>
      <c r="BB185" s="49">
        <f t="shared" ca="1" si="34"/>
        <v>0</v>
      </c>
      <c r="BC185" s="49">
        <f t="shared" ca="1" si="34"/>
        <v>0</v>
      </c>
      <c r="BD185" s="49">
        <f t="shared" ca="1" si="34"/>
        <v>0</v>
      </c>
      <c r="BE185" s="49">
        <f t="shared" ca="1" si="34"/>
        <v>0</v>
      </c>
      <c r="BF185" s="49">
        <f t="shared" ca="1" si="34"/>
        <v>0</v>
      </c>
      <c r="BG185" s="49">
        <f t="shared" ca="1" si="34"/>
        <v>0</v>
      </c>
      <c r="BH185" s="49">
        <f t="shared" ca="1" si="34"/>
        <v>0</v>
      </c>
      <c r="BI185" s="49">
        <f t="shared" ca="1" si="34"/>
        <v>0</v>
      </c>
      <c r="BJ185" s="49">
        <f t="shared" ca="1" si="34"/>
        <v>0</v>
      </c>
      <c r="BK185" s="49">
        <f t="shared" ca="1" si="34"/>
        <v>0</v>
      </c>
      <c r="BL185" s="49">
        <f t="shared" ca="1" si="34"/>
        <v>0</v>
      </c>
      <c r="BM185" s="49">
        <f t="shared" ca="1" si="34"/>
        <v>0</v>
      </c>
      <c r="BN185" s="49">
        <f t="shared" ca="1" si="34"/>
        <v>0</v>
      </c>
      <c r="BO185" s="49">
        <f t="shared" ca="1" si="34"/>
        <v>0</v>
      </c>
      <c r="BP185" s="49">
        <f t="shared" ca="1" si="34"/>
        <v>0</v>
      </c>
      <c r="BQ185" s="49">
        <f t="shared" ca="1" si="34"/>
        <v>0</v>
      </c>
      <c r="BR185" s="49">
        <f t="shared" ca="1" si="34"/>
        <v>0</v>
      </c>
      <c r="BS185" s="49">
        <f t="shared" ca="1" si="34"/>
        <v>0</v>
      </c>
    </row>
    <row r="186" spans="3:71" outlineLevel="1" x14ac:dyDescent="0.2"/>
    <row r="187" spans="3:71" outlineLevel="1" x14ac:dyDescent="0.2"/>
    <row r="188" spans="3:71" outlineLevel="1" x14ac:dyDescent="0.2">
      <c r="C188" s="11" t="s">
        <v>74</v>
      </c>
    </row>
    <row r="189" spans="3:71" outlineLevel="1" x14ac:dyDescent="0.2">
      <c r="D189" s="11" t="s">
        <v>181</v>
      </c>
    </row>
    <row r="190" spans="3:71" outlineLevel="1" x14ac:dyDescent="0.2">
      <c r="D190" s="50" t="s">
        <v>182</v>
      </c>
      <c r="I190" s="30">
        <f ca="1">SUM($L190:$BS190)</f>
        <v>3502.3183539519996</v>
      </c>
      <c r="J190" s="26" t="s">
        <v>148</v>
      </c>
      <c r="K190" s="7" t="s">
        <v>196</v>
      </c>
      <c r="L190" s="49" cm="1">
        <f t="array" aca="1" ref="L190:BS190" ca="1">CA_opex_total_nom</f>
        <v>148.06899999999999</v>
      </c>
      <c r="M190" s="49">
        <f ca="1"/>
        <v>183.88499999999999</v>
      </c>
      <c r="N190" s="49">
        <f ca="1"/>
        <v>135.70400000000001</v>
      </c>
      <c r="O190" s="49">
        <f ca="1"/>
        <v>240.88499999999999</v>
      </c>
      <c r="P190" s="49">
        <f ca="1"/>
        <v>536.79</v>
      </c>
      <c r="Q190" s="49">
        <f ca="1"/>
        <v>243.78</v>
      </c>
      <c r="R190" s="49">
        <f ca="1"/>
        <v>281.8</v>
      </c>
      <c r="S190" s="49">
        <f ca="1"/>
        <v>286.3</v>
      </c>
      <c r="T190" s="49">
        <f ca="1"/>
        <v>283.39999999999998</v>
      </c>
      <c r="U190" s="49">
        <f ca="1"/>
        <v>286.21200000000005</v>
      </c>
      <c r="V190" s="49">
        <f ca="1"/>
        <v>289.02312000000001</v>
      </c>
      <c r="W190" s="49">
        <f ca="1"/>
        <v>291.8322</v>
      </c>
      <c r="X190" s="49">
        <f ca="1"/>
        <v>294.638033952</v>
      </c>
      <c r="Y190" s="49">
        <f ca="1"/>
        <v>0</v>
      </c>
      <c r="Z190" s="49">
        <f ca="1"/>
        <v>0</v>
      </c>
      <c r="AA190" s="49">
        <f ca="1"/>
        <v>0</v>
      </c>
      <c r="AB190" s="49">
        <f ca="1"/>
        <v>0</v>
      </c>
      <c r="AC190" s="49">
        <f ca="1"/>
        <v>0</v>
      </c>
      <c r="AD190" s="49">
        <f ca="1"/>
        <v>0</v>
      </c>
      <c r="AE190" s="49">
        <f ca="1"/>
        <v>0</v>
      </c>
      <c r="AF190" s="49">
        <f ca="1"/>
        <v>0</v>
      </c>
      <c r="AG190" s="49">
        <f ca="1"/>
        <v>0</v>
      </c>
      <c r="AH190" s="49">
        <f ca="1"/>
        <v>0</v>
      </c>
      <c r="AI190" s="49">
        <f ca="1"/>
        <v>0</v>
      </c>
      <c r="AJ190" s="49">
        <f ca="1"/>
        <v>0</v>
      </c>
      <c r="AK190" s="49">
        <f ca="1"/>
        <v>0</v>
      </c>
      <c r="AL190" s="49">
        <f ca="1"/>
        <v>0</v>
      </c>
      <c r="AM190" s="49">
        <f ca="1"/>
        <v>0</v>
      </c>
      <c r="AN190" s="49">
        <f ca="1"/>
        <v>0</v>
      </c>
      <c r="AO190" s="49">
        <f ca="1"/>
        <v>0</v>
      </c>
      <c r="AP190" s="49">
        <f ca="1"/>
        <v>0</v>
      </c>
      <c r="AQ190" s="49">
        <f ca="1"/>
        <v>0</v>
      </c>
      <c r="AR190" s="49">
        <f ca="1"/>
        <v>0</v>
      </c>
      <c r="AS190" s="49">
        <f ca="1"/>
        <v>0</v>
      </c>
      <c r="AT190" s="49">
        <f ca="1"/>
        <v>0</v>
      </c>
      <c r="AU190" s="49">
        <f ca="1"/>
        <v>0</v>
      </c>
      <c r="AV190" s="49">
        <f ca="1"/>
        <v>0</v>
      </c>
      <c r="AW190" s="49">
        <f ca="1"/>
        <v>0</v>
      </c>
      <c r="AX190" s="49">
        <f ca="1"/>
        <v>0</v>
      </c>
      <c r="AY190" s="49">
        <f ca="1"/>
        <v>0</v>
      </c>
      <c r="AZ190" s="49">
        <f ca="1"/>
        <v>0</v>
      </c>
      <c r="BA190" s="49">
        <f ca="1"/>
        <v>0</v>
      </c>
      <c r="BB190" s="49">
        <f ca="1"/>
        <v>0</v>
      </c>
      <c r="BC190" s="49">
        <f ca="1"/>
        <v>0</v>
      </c>
      <c r="BD190" s="49">
        <f ca="1"/>
        <v>0</v>
      </c>
      <c r="BE190" s="49">
        <f ca="1"/>
        <v>0</v>
      </c>
      <c r="BF190" s="49">
        <f ca="1"/>
        <v>0</v>
      </c>
      <c r="BG190" s="49">
        <f ca="1"/>
        <v>0</v>
      </c>
      <c r="BH190" s="49">
        <f ca="1"/>
        <v>0</v>
      </c>
      <c r="BI190" s="49">
        <f ca="1"/>
        <v>0</v>
      </c>
      <c r="BJ190" s="49">
        <f ca="1"/>
        <v>0</v>
      </c>
      <c r="BK190" s="49">
        <f ca="1"/>
        <v>0</v>
      </c>
      <c r="BL190" s="49">
        <f ca="1"/>
        <v>0</v>
      </c>
      <c r="BM190" s="49">
        <f ca="1"/>
        <v>0</v>
      </c>
      <c r="BN190" s="49">
        <f ca="1"/>
        <v>0</v>
      </c>
      <c r="BO190" s="49">
        <f ca="1"/>
        <v>0</v>
      </c>
      <c r="BP190" s="49">
        <f ca="1"/>
        <v>0</v>
      </c>
      <c r="BQ190" s="49">
        <f ca="1"/>
        <v>0</v>
      </c>
      <c r="BR190" s="49">
        <f ca="1"/>
        <v>0</v>
      </c>
      <c r="BS190" s="49">
        <f ca="1"/>
        <v>0</v>
      </c>
    </row>
    <row r="191" spans="3:71" outlineLevel="1" x14ac:dyDescent="0.2">
      <c r="D191" s="50" t="s">
        <v>67</v>
      </c>
      <c r="I191" s="30">
        <f t="shared" ref="I191:I202" ca="1" si="35">SUM($L191:$BS191)</f>
        <v>116.836644723813</v>
      </c>
      <c r="J191" s="26" t="s">
        <v>148</v>
      </c>
      <c r="K191" s="7" t="s">
        <v>197</v>
      </c>
      <c r="L191" s="49" cm="1">
        <f t="array" aca="1" ref="L191:BS191" ca="1">CA_pid_fees</f>
        <v>7.4933748230811874</v>
      </c>
      <c r="M191" s="49">
        <f ca="1"/>
        <v>7.0784597535292457</v>
      </c>
      <c r="N191" s="49">
        <f ca="1"/>
        <v>2.6706236900108338</v>
      </c>
      <c r="O191" s="49">
        <f ca="1"/>
        <v>2.5208282317336823</v>
      </c>
      <c r="P191" s="49">
        <f ca="1"/>
        <v>6.9924129539791364</v>
      </c>
      <c r="Q191" s="49">
        <f ca="1"/>
        <v>13.89932866392102</v>
      </c>
      <c r="R191" s="49">
        <f ca="1"/>
        <v>13.267308635491613</v>
      </c>
      <c r="S191" s="49">
        <f ca="1"/>
        <v>7.7017699371600008</v>
      </c>
      <c r="T191" s="49">
        <f ca="1"/>
        <v>11.75231225896416</v>
      </c>
      <c r="U191" s="49">
        <f ca="1"/>
        <v>11.731746984589799</v>
      </c>
      <c r="V191" s="49">
        <f ca="1"/>
        <v>11.128735189581883</v>
      </c>
      <c r="W191" s="49">
        <f ca="1"/>
        <v>10.585640716456105</v>
      </c>
      <c r="X191" s="49">
        <f ca="1"/>
        <v>10.014102885314331</v>
      </c>
      <c r="Y191" s="49">
        <f ca="1"/>
        <v>0</v>
      </c>
      <c r="Z191" s="49">
        <f ca="1"/>
        <v>0</v>
      </c>
      <c r="AA191" s="49">
        <f ca="1"/>
        <v>0</v>
      </c>
      <c r="AB191" s="49">
        <f ca="1"/>
        <v>0</v>
      </c>
      <c r="AC191" s="49">
        <f ca="1"/>
        <v>0</v>
      </c>
      <c r="AD191" s="49">
        <f ca="1"/>
        <v>0</v>
      </c>
      <c r="AE191" s="49">
        <f ca="1"/>
        <v>0</v>
      </c>
      <c r="AF191" s="49">
        <f ca="1"/>
        <v>0</v>
      </c>
      <c r="AG191" s="49">
        <f ca="1"/>
        <v>0</v>
      </c>
      <c r="AH191" s="49">
        <f ca="1"/>
        <v>0</v>
      </c>
      <c r="AI191" s="49">
        <f ca="1"/>
        <v>0</v>
      </c>
      <c r="AJ191" s="49">
        <f ca="1"/>
        <v>0</v>
      </c>
      <c r="AK191" s="49">
        <f ca="1"/>
        <v>0</v>
      </c>
      <c r="AL191" s="49">
        <f ca="1"/>
        <v>0</v>
      </c>
      <c r="AM191" s="49">
        <f ca="1"/>
        <v>0</v>
      </c>
      <c r="AN191" s="49">
        <f ca="1"/>
        <v>0</v>
      </c>
      <c r="AO191" s="49">
        <f ca="1"/>
        <v>0</v>
      </c>
      <c r="AP191" s="49">
        <f ca="1"/>
        <v>0</v>
      </c>
      <c r="AQ191" s="49">
        <f ca="1"/>
        <v>0</v>
      </c>
      <c r="AR191" s="49">
        <f ca="1"/>
        <v>0</v>
      </c>
      <c r="AS191" s="49">
        <f ca="1"/>
        <v>0</v>
      </c>
      <c r="AT191" s="49">
        <f ca="1"/>
        <v>0</v>
      </c>
      <c r="AU191" s="49">
        <f ca="1"/>
        <v>0</v>
      </c>
      <c r="AV191" s="49">
        <f ca="1"/>
        <v>0</v>
      </c>
      <c r="AW191" s="49">
        <f ca="1"/>
        <v>0</v>
      </c>
      <c r="AX191" s="49">
        <f ca="1"/>
        <v>0</v>
      </c>
      <c r="AY191" s="49">
        <f ca="1"/>
        <v>0</v>
      </c>
      <c r="AZ191" s="49">
        <f ca="1"/>
        <v>0</v>
      </c>
      <c r="BA191" s="49">
        <f ca="1"/>
        <v>0</v>
      </c>
      <c r="BB191" s="49">
        <f ca="1"/>
        <v>0</v>
      </c>
      <c r="BC191" s="49">
        <f ca="1"/>
        <v>0</v>
      </c>
      <c r="BD191" s="49">
        <f ca="1"/>
        <v>0</v>
      </c>
      <c r="BE191" s="49">
        <f ca="1"/>
        <v>0</v>
      </c>
      <c r="BF191" s="49">
        <f ca="1"/>
        <v>0</v>
      </c>
      <c r="BG191" s="49">
        <f ca="1"/>
        <v>0</v>
      </c>
      <c r="BH191" s="49">
        <f ca="1"/>
        <v>0</v>
      </c>
      <c r="BI191" s="49">
        <f ca="1"/>
        <v>0</v>
      </c>
      <c r="BJ191" s="49">
        <f ca="1"/>
        <v>0</v>
      </c>
      <c r="BK191" s="49">
        <f ca="1"/>
        <v>0</v>
      </c>
      <c r="BL191" s="49">
        <f ca="1"/>
        <v>0</v>
      </c>
      <c r="BM191" s="49">
        <f ca="1"/>
        <v>0</v>
      </c>
      <c r="BN191" s="49">
        <f ca="1"/>
        <v>0</v>
      </c>
      <c r="BO191" s="49">
        <f ca="1"/>
        <v>0</v>
      </c>
      <c r="BP191" s="49">
        <f ca="1"/>
        <v>0</v>
      </c>
      <c r="BQ191" s="49">
        <f ca="1"/>
        <v>0</v>
      </c>
      <c r="BR191" s="49">
        <f ca="1"/>
        <v>0</v>
      </c>
      <c r="BS191" s="49">
        <f ca="1"/>
        <v>0</v>
      </c>
    </row>
    <row r="192" spans="3:71" outlineLevel="1" x14ac:dyDescent="0.2">
      <c r="D192" s="50" t="s">
        <v>183</v>
      </c>
      <c r="I192" s="30">
        <f t="shared" ca="1" si="35"/>
        <v>10913.591</v>
      </c>
      <c r="J192" s="26" t="s">
        <v>148</v>
      </c>
      <c r="K192" s="7" t="s">
        <v>198</v>
      </c>
      <c r="L192" s="49" cm="1">
        <f t="array" aca="1" ref="L192:BS192" ca="1">CA_devex_nom</f>
        <v>1286.7819999999999</v>
      </c>
      <c r="M192" s="49">
        <f ca="1"/>
        <v>2118.212</v>
      </c>
      <c r="N192" s="49">
        <f ca="1"/>
        <v>3130.5740000000001</v>
      </c>
      <c r="O192" s="49">
        <f ca="1"/>
        <v>2571.201</v>
      </c>
      <c r="P192" s="49">
        <f ca="1"/>
        <v>1153.232</v>
      </c>
      <c r="Q192" s="49">
        <f ca="1"/>
        <v>653.59</v>
      </c>
      <c r="R192" s="49">
        <f ca="1"/>
        <v>0</v>
      </c>
      <c r="S192" s="49">
        <f ca="1"/>
        <v>0</v>
      </c>
      <c r="T192" s="49">
        <f ca="1"/>
        <v>0</v>
      </c>
      <c r="U192" s="49">
        <f ca="1"/>
        <v>0</v>
      </c>
      <c r="V192" s="49">
        <f ca="1"/>
        <v>0</v>
      </c>
      <c r="W192" s="49">
        <f ca="1"/>
        <v>0</v>
      </c>
      <c r="X192" s="49">
        <f ca="1"/>
        <v>0</v>
      </c>
      <c r="Y192" s="49">
        <f ca="1"/>
        <v>0</v>
      </c>
      <c r="Z192" s="49">
        <f ca="1"/>
        <v>0</v>
      </c>
      <c r="AA192" s="49">
        <f ca="1"/>
        <v>0</v>
      </c>
      <c r="AB192" s="49">
        <f ca="1"/>
        <v>0</v>
      </c>
      <c r="AC192" s="49">
        <f ca="1"/>
        <v>0</v>
      </c>
      <c r="AD192" s="49">
        <f ca="1"/>
        <v>0</v>
      </c>
      <c r="AE192" s="49">
        <f ca="1"/>
        <v>0</v>
      </c>
      <c r="AF192" s="49">
        <f ca="1"/>
        <v>0</v>
      </c>
      <c r="AG192" s="49">
        <f ca="1"/>
        <v>0</v>
      </c>
      <c r="AH192" s="49">
        <f ca="1"/>
        <v>0</v>
      </c>
      <c r="AI192" s="49">
        <f ca="1"/>
        <v>0</v>
      </c>
      <c r="AJ192" s="49">
        <f ca="1"/>
        <v>0</v>
      </c>
      <c r="AK192" s="49">
        <f ca="1"/>
        <v>0</v>
      </c>
      <c r="AL192" s="49">
        <f ca="1"/>
        <v>0</v>
      </c>
      <c r="AM192" s="49">
        <f ca="1"/>
        <v>0</v>
      </c>
      <c r="AN192" s="49">
        <f ca="1"/>
        <v>0</v>
      </c>
      <c r="AO192" s="49">
        <f ca="1"/>
        <v>0</v>
      </c>
      <c r="AP192" s="49">
        <f ca="1"/>
        <v>0</v>
      </c>
      <c r="AQ192" s="49">
        <f ca="1"/>
        <v>0</v>
      </c>
      <c r="AR192" s="49">
        <f ca="1"/>
        <v>0</v>
      </c>
      <c r="AS192" s="49">
        <f ca="1"/>
        <v>0</v>
      </c>
      <c r="AT192" s="49">
        <f ca="1"/>
        <v>0</v>
      </c>
      <c r="AU192" s="49">
        <f ca="1"/>
        <v>0</v>
      </c>
      <c r="AV192" s="49">
        <f ca="1"/>
        <v>0</v>
      </c>
      <c r="AW192" s="49">
        <f ca="1"/>
        <v>0</v>
      </c>
      <c r="AX192" s="49">
        <f ca="1"/>
        <v>0</v>
      </c>
      <c r="AY192" s="49">
        <f ca="1"/>
        <v>0</v>
      </c>
      <c r="AZ192" s="49">
        <f ca="1"/>
        <v>0</v>
      </c>
      <c r="BA192" s="49">
        <f ca="1"/>
        <v>0</v>
      </c>
      <c r="BB192" s="49">
        <f ca="1"/>
        <v>0</v>
      </c>
      <c r="BC192" s="49">
        <f ca="1"/>
        <v>0</v>
      </c>
      <c r="BD192" s="49">
        <f ca="1"/>
        <v>0</v>
      </c>
      <c r="BE192" s="49">
        <f ca="1"/>
        <v>0</v>
      </c>
      <c r="BF192" s="49">
        <f ca="1"/>
        <v>0</v>
      </c>
      <c r="BG192" s="49">
        <f ca="1"/>
        <v>0</v>
      </c>
      <c r="BH192" s="49">
        <f ca="1"/>
        <v>0</v>
      </c>
      <c r="BI192" s="49">
        <f ca="1"/>
        <v>0</v>
      </c>
      <c r="BJ192" s="49">
        <f ca="1"/>
        <v>0</v>
      </c>
      <c r="BK192" s="49">
        <f ca="1"/>
        <v>0</v>
      </c>
      <c r="BL192" s="49">
        <f ca="1"/>
        <v>0</v>
      </c>
      <c r="BM192" s="49">
        <f ca="1"/>
        <v>0</v>
      </c>
      <c r="BN192" s="49">
        <f ca="1"/>
        <v>0</v>
      </c>
      <c r="BO192" s="49">
        <f ca="1"/>
        <v>0</v>
      </c>
      <c r="BP192" s="49">
        <f ca="1"/>
        <v>0</v>
      </c>
      <c r="BQ192" s="49">
        <f ca="1"/>
        <v>0</v>
      </c>
      <c r="BR192" s="49">
        <f ca="1"/>
        <v>0</v>
      </c>
      <c r="BS192" s="49">
        <f ca="1"/>
        <v>0</v>
      </c>
    </row>
    <row r="193" spans="4:71" outlineLevel="1" x14ac:dyDescent="0.2">
      <c r="D193" s="50" t="s">
        <v>184</v>
      </c>
      <c r="I193" s="30">
        <f t="shared" ca="1" si="35"/>
        <v>0</v>
      </c>
      <c r="J193" s="26" t="s">
        <v>148</v>
      </c>
      <c r="K193" s="7" t="s">
        <v>199</v>
      </c>
      <c r="L193" s="49" cm="1">
        <f t="array" aca="1" ref="L193:BS193" ca="1">CA_expex_nom</f>
        <v>0</v>
      </c>
      <c r="M193" s="49">
        <f ca="1"/>
        <v>0</v>
      </c>
      <c r="N193" s="49">
        <f ca="1"/>
        <v>0</v>
      </c>
      <c r="O193" s="49">
        <f ca="1"/>
        <v>0</v>
      </c>
      <c r="P193" s="49">
        <f ca="1"/>
        <v>0</v>
      </c>
      <c r="Q193" s="49">
        <f ca="1"/>
        <v>0</v>
      </c>
      <c r="R193" s="49">
        <f ca="1"/>
        <v>0</v>
      </c>
      <c r="S193" s="49">
        <f ca="1"/>
        <v>0</v>
      </c>
      <c r="T193" s="49">
        <f ca="1"/>
        <v>0</v>
      </c>
      <c r="U193" s="49">
        <f ca="1"/>
        <v>0</v>
      </c>
      <c r="V193" s="49">
        <f ca="1"/>
        <v>0</v>
      </c>
      <c r="W193" s="49">
        <f ca="1"/>
        <v>0</v>
      </c>
      <c r="X193" s="49">
        <f ca="1"/>
        <v>0</v>
      </c>
      <c r="Y193" s="49">
        <f ca="1"/>
        <v>0</v>
      </c>
      <c r="Z193" s="49">
        <f ca="1"/>
        <v>0</v>
      </c>
      <c r="AA193" s="49">
        <f ca="1"/>
        <v>0</v>
      </c>
      <c r="AB193" s="49">
        <f ca="1"/>
        <v>0</v>
      </c>
      <c r="AC193" s="49">
        <f ca="1"/>
        <v>0</v>
      </c>
      <c r="AD193" s="49">
        <f ca="1"/>
        <v>0</v>
      </c>
      <c r="AE193" s="49">
        <f ca="1"/>
        <v>0</v>
      </c>
      <c r="AF193" s="49">
        <f ca="1"/>
        <v>0</v>
      </c>
      <c r="AG193" s="49">
        <f ca="1"/>
        <v>0</v>
      </c>
      <c r="AH193" s="49">
        <f ca="1"/>
        <v>0</v>
      </c>
      <c r="AI193" s="49">
        <f ca="1"/>
        <v>0</v>
      </c>
      <c r="AJ193" s="49">
        <f ca="1"/>
        <v>0</v>
      </c>
      <c r="AK193" s="49">
        <f ca="1"/>
        <v>0</v>
      </c>
      <c r="AL193" s="49">
        <f ca="1"/>
        <v>0</v>
      </c>
      <c r="AM193" s="49">
        <f ca="1"/>
        <v>0</v>
      </c>
      <c r="AN193" s="49">
        <f ca="1"/>
        <v>0</v>
      </c>
      <c r="AO193" s="49">
        <f ca="1"/>
        <v>0</v>
      </c>
      <c r="AP193" s="49">
        <f ca="1"/>
        <v>0</v>
      </c>
      <c r="AQ193" s="49">
        <f ca="1"/>
        <v>0</v>
      </c>
      <c r="AR193" s="49">
        <f ca="1"/>
        <v>0</v>
      </c>
      <c r="AS193" s="49">
        <f ca="1"/>
        <v>0</v>
      </c>
      <c r="AT193" s="49">
        <f ca="1"/>
        <v>0</v>
      </c>
      <c r="AU193" s="49">
        <f ca="1"/>
        <v>0</v>
      </c>
      <c r="AV193" s="49">
        <f ca="1"/>
        <v>0</v>
      </c>
      <c r="AW193" s="49">
        <f ca="1"/>
        <v>0</v>
      </c>
      <c r="AX193" s="49">
        <f ca="1"/>
        <v>0</v>
      </c>
      <c r="AY193" s="49">
        <f ca="1"/>
        <v>0</v>
      </c>
      <c r="AZ193" s="49">
        <f ca="1"/>
        <v>0</v>
      </c>
      <c r="BA193" s="49">
        <f ca="1"/>
        <v>0</v>
      </c>
      <c r="BB193" s="49">
        <f ca="1"/>
        <v>0</v>
      </c>
      <c r="BC193" s="49">
        <f ca="1"/>
        <v>0</v>
      </c>
      <c r="BD193" s="49">
        <f ca="1"/>
        <v>0</v>
      </c>
      <c r="BE193" s="49">
        <f ca="1"/>
        <v>0</v>
      </c>
      <c r="BF193" s="49">
        <f ca="1"/>
        <v>0</v>
      </c>
      <c r="BG193" s="49">
        <f ca="1"/>
        <v>0</v>
      </c>
      <c r="BH193" s="49">
        <f ca="1"/>
        <v>0</v>
      </c>
      <c r="BI193" s="49">
        <f ca="1"/>
        <v>0</v>
      </c>
      <c r="BJ193" s="49">
        <f ca="1"/>
        <v>0</v>
      </c>
      <c r="BK193" s="49">
        <f ca="1"/>
        <v>0</v>
      </c>
      <c r="BL193" s="49">
        <f ca="1"/>
        <v>0</v>
      </c>
      <c r="BM193" s="49">
        <f ca="1"/>
        <v>0</v>
      </c>
      <c r="BN193" s="49">
        <f ca="1"/>
        <v>0</v>
      </c>
      <c r="BO193" s="49">
        <f ca="1"/>
        <v>0</v>
      </c>
      <c r="BP193" s="49">
        <f ca="1"/>
        <v>0</v>
      </c>
      <c r="BQ193" s="49">
        <f ca="1"/>
        <v>0</v>
      </c>
      <c r="BR193" s="49">
        <f ca="1"/>
        <v>0</v>
      </c>
      <c r="BS193" s="49">
        <f ca="1"/>
        <v>0</v>
      </c>
    </row>
    <row r="194" spans="4:71" outlineLevel="1" x14ac:dyDescent="0.2">
      <c r="D194" s="51" t="s">
        <v>185</v>
      </c>
      <c r="I194" s="30">
        <f t="shared" ca="1" si="35"/>
        <v>14532.745998675813</v>
      </c>
      <c r="J194" s="26" t="s">
        <v>148</v>
      </c>
      <c r="L194" s="49">
        <f ca="1">SUM(L190:L193)</f>
        <v>1442.3443748230811</v>
      </c>
      <c r="M194" s="49">
        <f t="shared" ref="M194:BS194" ca="1" si="36">SUM(M190:M193)</f>
        <v>2309.1754597535291</v>
      </c>
      <c r="N194" s="49">
        <f t="shared" ca="1" si="36"/>
        <v>3268.9486236900111</v>
      </c>
      <c r="O194" s="49">
        <f t="shared" ca="1" si="36"/>
        <v>2814.6068282317337</v>
      </c>
      <c r="P194" s="49">
        <f t="shared" ca="1" si="36"/>
        <v>1697.014412953979</v>
      </c>
      <c r="Q194" s="49">
        <f t="shared" ca="1" si="36"/>
        <v>911.26932866392099</v>
      </c>
      <c r="R194" s="49">
        <f t="shared" ca="1" si="36"/>
        <v>295.0673086354916</v>
      </c>
      <c r="S194" s="49">
        <f t="shared" ca="1" si="36"/>
        <v>294.00176993716002</v>
      </c>
      <c r="T194" s="49">
        <f t="shared" ca="1" si="36"/>
        <v>295.15231225896412</v>
      </c>
      <c r="U194" s="49">
        <f t="shared" ca="1" si="36"/>
        <v>297.94374698458984</v>
      </c>
      <c r="V194" s="49">
        <f t="shared" ca="1" si="36"/>
        <v>300.15185518958191</v>
      </c>
      <c r="W194" s="49">
        <f t="shared" ca="1" si="36"/>
        <v>302.41784071645611</v>
      </c>
      <c r="X194" s="49">
        <f t="shared" ca="1" si="36"/>
        <v>304.65213683731434</v>
      </c>
      <c r="Y194" s="49">
        <f t="shared" ca="1" si="36"/>
        <v>0</v>
      </c>
      <c r="Z194" s="49">
        <f t="shared" ca="1" si="36"/>
        <v>0</v>
      </c>
      <c r="AA194" s="49">
        <f t="shared" ca="1" si="36"/>
        <v>0</v>
      </c>
      <c r="AB194" s="49">
        <f t="shared" ca="1" si="36"/>
        <v>0</v>
      </c>
      <c r="AC194" s="49">
        <f t="shared" ca="1" si="36"/>
        <v>0</v>
      </c>
      <c r="AD194" s="49">
        <f t="shared" ca="1" si="36"/>
        <v>0</v>
      </c>
      <c r="AE194" s="49">
        <f t="shared" ca="1" si="36"/>
        <v>0</v>
      </c>
      <c r="AF194" s="49">
        <f t="shared" ca="1" si="36"/>
        <v>0</v>
      </c>
      <c r="AG194" s="49">
        <f t="shared" ca="1" si="36"/>
        <v>0</v>
      </c>
      <c r="AH194" s="49">
        <f t="shared" ca="1" si="36"/>
        <v>0</v>
      </c>
      <c r="AI194" s="49">
        <f t="shared" ca="1" si="36"/>
        <v>0</v>
      </c>
      <c r="AJ194" s="49">
        <f t="shared" ca="1" si="36"/>
        <v>0</v>
      </c>
      <c r="AK194" s="49">
        <f t="shared" ca="1" si="36"/>
        <v>0</v>
      </c>
      <c r="AL194" s="49">
        <f t="shared" ca="1" si="36"/>
        <v>0</v>
      </c>
      <c r="AM194" s="49">
        <f t="shared" ca="1" si="36"/>
        <v>0</v>
      </c>
      <c r="AN194" s="49">
        <f t="shared" ca="1" si="36"/>
        <v>0</v>
      </c>
      <c r="AO194" s="49">
        <f t="shared" ca="1" si="36"/>
        <v>0</v>
      </c>
      <c r="AP194" s="49">
        <f t="shared" ca="1" si="36"/>
        <v>0</v>
      </c>
      <c r="AQ194" s="49">
        <f t="shared" ca="1" si="36"/>
        <v>0</v>
      </c>
      <c r="AR194" s="49">
        <f t="shared" ca="1" si="36"/>
        <v>0</v>
      </c>
      <c r="AS194" s="49">
        <f t="shared" ca="1" si="36"/>
        <v>0</v>
      </c>
      <c r="AT194" s="49">
        <f t="shared" ca="1" si="36"/>
        <v>0</v>
      </c>
      <c r="AU194" s="49">
        <f t="shared" ca="1" si="36"/>
        <v>0</v>
      </c>
      <c r="AV194" s="49">
        <f t="shared" ca="1" si="36"/>
        <v>0</v>
      </c>
      <c r="AW194" s="49">
        <f t="shared" ca="1" si="36"/>
        <v>0</v>
      </c>
      <c r="AX194" s="49">
        <f t="shared" ca="1" si="36"/>
        <v>0</v>
      </c>
      <c r="AY194" s="49">
        <f t="shared" ca="1" si="36"/>
        <v>0</v>
      </c>
      <c r="AZ194" s="49">
        <f t="shared" ca="1" si="36"/>
        <v>0</v>
      </c>
      <c r="BA194" s="49">
        <f t="shared" ca="1" si="36"/>
        <v>0</v>
      </c>
      <c r="BB194" s="49">
        <f t="shared" ca="1" si="36"/>
        <v>0</v>
      </c>
      <c r="BC194" s="49">
        <f t="shared" ca="1" si="36"/>
        <v>0</v>
      </c>
      <c r="BD194" s="49">
        <f t="shared" ca="1" si="36"/>
        <v>0</v>
      </c>
      <c r="BE194" s="49">
        <f t="shared" ca="1" si="36"/>
        <v>0</v>
      </c>
      <c r="BF194" s="49">
        <f t="shared" ca="1" si="36"/>
        <v>0</v>
      </c>
      <c r="BG194" s="49">
        <f t="shared" ca="1" si="36"/>
        <v>0</v>
      </c>
      <c r="BH194" s="49">
        <f t="shared" ca="1" si="36"/>
        <v>0</v>
      </c>
      <c r="BI194" s="49">
        <f t="shared" ca="1" si="36"/>
        <v>0</v>
      </c>
      <c r="BJ194" s="49">
        <f t="shared" ca="1" si="36"/>
        <v>0</v>
      </c>
      <c r="BK194" s="49">
        <f t="shared" ca="1" si="36"/>
        <v>0</v>
      </c>
      <c r="BL194" s="49">
        <f t="shared" ca="1" si="36"/>
        <v>0</v>
      </c>
      <c r="BM194" s="49">
        <f t="shared" ca="1" si="36"/>
        <v>0</v>
      </c>
      <c r="BN194" s="49">
        <f t="shared" ca="1" si="36"/>
        <v>0</v>
      </c>
      <c r="BO194" s="49">
        <f t="shared" ca="1" si="36"/>
        <v>0</v>
      </c>
      <c r="BP194" s="49">
        <f t="shared" ca="1" si="36"/>
        <v>0</v>
      </c>
      <c r="BQ194" s="49">
        <f t="shared" ca="1" si="36"/>
        <v>0</v>
      </c>
      <c r="BR194" s="49">
        <f t="shared" ca="1" si="36"/>
        <v>0</v>
      </c>
      <c r="BS194" s="49">
        <f t="shared" ca="1" si="36"/>
        <v>0</v>
      </c>
    </row>
    <row r="195" spans="4:71" outlineLevel="1" x14ac:dyDescent="0.2"/>
    <row r="196" spans="4:71" outlineLevel="1" x14ac:dyDescent="0.2">
      <c r="D196" s="52" t="s">
        <v>186</v>
      </c>
      <c r="I196" s="30">
        <f t="shared" ca="1" si="35"/>
        <v>3067.9443044160771</v>
      </c>
      <c r="J196" s="26" t="s">
        <v>148</v>
      </c>
      <c r="K196" s="7" t="s">
        <v>190</v>
      </c>
      <c r="L196" s="49">
        <f t="shared" ref="L196:AQ196" si="37">IF(L4&gt;=YEAR(GCO_date),CA_gross_rev_total_fp*GCO_perc,0)</f>
        <v>0</v>
      </c>
      <c r="M196" s="49">
        <f t="shared" si="37"/>
        <v>0</v>
      </c>
      <c r="N196" s="49">
        <f t="shared" ca="1" si="37"/>
        <v>80.118710700325011</v>
      </c>
      <c r="O196" s="49">
        <f t="shared" ca="1" si="37"/>
        <v>75.624846952010458</v>
      </c>
      <c r="P196" s="49">
        <f t="shared" ca="1" si="37"/>
        <v>209.77238861937408</v>
      </c>
      <c r="Q196" s="49">
        <f t="shared" ca="1" si="37"/>
        <v>416.97985991763056</v>
      </c>
      <c r="R196" s="49">
        <f t="shared" ca="1" si="37"/>
        <v>398.01925906474838</v>
      </c>
      <c r="S196" s="49">
        <f t="shared" ca="1" si="37"/>
        <v>231.05309811480001</v>
      </c>
      <c r="T196" s="49">
        <f t="shared" ca="1" si="37"/>
        <v>352.56936776892479</v>
      </c>
      <c r="U196" s="49">
        <f t="shared" ca="1" si="37"/>
        <v>351.952409537694</v>
      </c>
      <c r="V196" s="49">
        <f t="shared" ca="1" si="37"/>
        <v>333.86205568745646</v>
      </c>
      <c r="W196" s="49">
        <f t="shared" ca="1" si="37"/>
        <v>317.56922149368313</v>
      </c>
      <c r="X196" s="49">
        <f t="shared" ca="1" si="37"/>
        <v>300.42308655942992</v>
      </c>
      <c r="Y196" s="49">
        <f t="shared" ca="1" si="37"/>
        <v>0</v>
      </c>
      <c r="Z196" s="49">
        <f t="shared" ca="1" si="37"/>
        <v>0</v>
      </c>
      <c r="AA196" s="49">
        <f t="shared" ca="1" si="37"/>
        <v>0</v>
      </c>
      <c r="AB196" s="49">
        <f t="shared" ca="1" si="37"/>
        <v>0</v>
      </c>
      <c r="AC196" s="49">
        <f t="shared" ca="1" si="37"/>
        <v>0</v>
      </c>
      <c r="AD196" s="49">
        <f t="shared" ca="1" si="37"/>
        <v>0</v>
      </c>
      <c r="AE196" s="49">
        <f t="shared" ca="1" si="37"/>
        <v>0</v>
      </c>
      <c r="AF196" s="49">
        <f t="shared" ca="1" si="37"/>
        <v>0</v>
      </c>
      <c r="AG196" s="49">
        <f t="shared" ca="1" si="37"/>
        <v>0</v>
      </c>
      <c r="AH196" s="49">
        <f t="shared" ca="1" si="37"/>
        <v>0</v>
      </c>
      <c r="AI196" s="49">
        <f t="shared" ca="1" si="37"/>
        <v>0</v>
      </c>
      <c r="AJ196" s="49">
        <f t="shared" ca="1" si="37"/>
        <v>0</v>
      </c>
      <c r="AK196" s="49">
        <f t="shared" ca="1" si="37"/>
        <v>0</v>
      </c>
      <c r="AL196" s="49">
        <f t="shared" ca="1" si="37"/>
        <v>0</v>
      </c>
      <c r="AM196" s="49">
        <f t="shared" ca="1" si="37"/>
        <v>0</v>
      </c>
      <c r="AN196" s="49">
        <f t="shared" ca="1" si="37"/>
        <v>0</v>
      </c>
      <c r="AO196" s="49">
        <f t="shared" ca="1" si="37"/>
        <v>0</v>
      </c>
      <c r="AP196" s="49">
        <f t="shared" ca="1" si="37"/>
        <v>0</v>
      </c>
      <c r="AQ196" s="49">
        <f t="shared" ca="1" si="37"/>
        <v>0</v>
      </c>
      <c r="AR196" s="49">
        <f t="shared" ref="AR196:BS196" ca="1" si="38">IF(AR4&gt;=YEAR(GCO_date),CA_gross_rev_total_fp*GCO_perc,0)</f>
        <v>0</v>
      </c>
      <c r="AS196" s="49">
        <f t="shared" ca="1" si="38"/>
        <v>0</v>
      </c>
      <c r="AT196" s="49">
        <f t="shared" ca="1" si="38"/>
        <v>0</v>
      </c>
      <c r="AU196" s="49">
        <f t="shared" ca="1" si="38"/>
        <v>0</v>
      </c>
      <c r="AV196" s="49">
        <f t="shared" ca="1" si="38"/>
        <v>0</v>
      </c>
      <c r="AW196" s="49">
        <f t="shared" ca="1" si="38"/>
        <v>0</v>
      </c>
      <c r="AX196" s="49">
        <f t="shared" ca="1" si="38"/>
        <v>0</v>
      </c>
      <c r="AY196" s="49">
        <f t="shared" ca="1" si="38"/>
        <v>0</v>
      </c>
      <c r="AZ196" s="49">
        <f t="shared" ca="1" si="38"/>
        <v>0</v>
      </c>
      <c r="BA196" s="49">
        <f t="shared" ca="1" si="38"/>
        <v>0</v>
      </c>
      <c r="BB196" s="49">
        <f t="shared" ca="1" si="38"/>
        <v>0</v>
      </c>
      <c r="BC196" s="49">
        <f t="shared" ca="1" si="38"/>
        <v>0</v>
      </c>
      <c r="BD196" s="49">
        <f t="shared" ca="1" si="38"/>
        <v>0</v>
      </c>
      <c r="BE196" s="49">
        <f t="shared" ca="1" si="38"/>
        <v>0</v>
      </c>
      <c r="BF196" s="49">
        <f t="shared" ca="1" si="38"/>
        <v>0</v>
      </c>
      <c r="BG196" s="49">
        <f t="shared" ca="1" si="38"/>
        <v>0</v>
      </c>
      <c r="BH196" s="49">
        <f t="shared" ca="1" si="38"/>
        <v>0</v>
      </c>
      <c r="BI196" s="49">
        <f t="shared" ca="1" si="38"/>
        <v>0</v>
      </c>
      <c r="BJ196" s="49">
        <f t="shared" ca="1" si="38"/>
        <v>0</v>
      </c>
      <c r="BK196" s="49">
        <f t="shared" ca="1" si="38"/>
        <v>0</v>
      </c>
      <c r="BL196" s="49">
        <f t="shared" ca="1" si="38"/>
        <v>0</v>
      </c>
      <c r="BM196" s="49">
        <f t="shared" ca="1" si="38"/>
        <v>0</v>
      </c>
      <c r="BN196" s="49">
        <f t="shared" ca="1" si="38"/>
        <v>0</v>
      </c>
      <c r="BO196" s="49">
        <f t="shared" ca="1" si="38"/>
        <v>0</v>
      </c>
      <c r="BP196" s="49">
        <f t="shared" ca="1" si="38"/>
        <v>0</v>
      </c>
      <c r="BQ196" s="49">
        <f t="shared" ca="1" si="38"/>
        <v>0</v>
      </c>
      <c r="BR196" s="49">
        <f t="shared" ca="1" si="38"/>
        <v>0</v>
      </c>
      <c r="BS196" s="49">
        <f t="shared" ca="1" si="38"/>
        <v>0</v>
      </c>
    </row>
    <row r="197" spans="4:71" outlineLevel="1" x14ac:dyDescent="0.2"/>
    <row r="198" spans="4:71" outlineLevel="1" x14ac:dyDescent="0.2">
      <c r="D198" s="35" t="s">
        <v>187</v>
      </c>
      <c r="J198" s="26" t="s">
        <v>90</v>
      </c>
      <c r="L198" s="49" cm="1">
        <f t="array" ref="L198">IFERROR(INDEX(FA_coststop_perc,MATCH(L4,YEAR(FA_CR_date),1)),0)</f>
        <v>0.6</v>
      </c>
      <c r="M198" s="49" cm="1">
        <f t="array" ref="M198">IFERROR(INDEX(FA_coststop_perc,MATCH(M4,YEAR(FA_CR_date),1)),0)</f>
        <v>0.6</v>
      </c>
      <c r="N198" s="49" cm="1">
        <f t="array" ref="N198">IFERROR(INDEX(FA_coststop_perc,MATCH(N4,YEAR(FA_CR_date),1)),0)</f>
        <v>0.5</v>
      </c>
      <c r="O198" s="49" cm="1">
        <f t="array" ref="O198">IFERROR(INDEX(FA_coststop_perc,MATCH(O4,YEAR(FA_CR_date),1)),0)</f>
        <v>0.5</v>
      </c>
      <c r="P198" s="49" cm="1">
        <f t="array" ref="P198">IFERROR(INDEX(FA_coststop_perc,MATCH(P4,YEAR(FA_CR_date),1)),0)</f>
        <v>0.5</v>
      </c>
      <c r="Q198" s="49" cm="1">
        <f t="array" ref="Q198">IFERROR(INDEX(FA_coststop_perc,MATCH(Q4,YEAR(FA_CR_date),1)),0)</f>
        <v>0.5</v>
      </c>
      <c r="R198" s="49" cm="1">
        <f t="array" ref="R198">IFERROR(INDEX(FA_coststop_perc,MATCH(R4,YEAR(FA_CR_date),1)),0)</f>
        <v>0.5</v>
      </c>
      <c r="S198" s="49" cm="1">
        <f t="array" ref="S198">IFERROR(INDEX(FA_coststop_perc,MATCH(S4,YEAR(FA_CR_date),1)),0)</f>
        <v>0.5</v>
      </c>
      <c r="T198" s="49" cm="1">
        <f t="array" ref="T198">IFERROR(INDEX(FA_coststop_perc,MATCH(T4,YEAR(FA_CR_date),1)),0)</f>
        <v>0.5</v>
      </c>
      <c r="U198" s="49" cm="1">
        <f t="array" ref="U198">IFERROR(INDEX(FA_coststop_perc,MATCH(U4,YEAR(FA_CR_date),1)),0)</f>
        <v>0.5</v>
      </c>
      <c r="V198" s="49" cm="1">
        <f t="array" ref="V198">IFERROR(INDEX(FA_coststop_perc,MATCH(V4,YEAR(FA_CR_date),1)),0)</f>
        <v>0.5</v>
      </c>
      <c r="W198" s="49" cm="1">
        <f t="array" ref="W198">IFERROR(INDEX(FA_coststop_perc,MATCH(W4,YEAR(FA_CR_date),1)),0)</f>
        <v>0.5</v>
      </c>
      <c r="X198" s="49" cm="1">
        <f t="array" ref="X198">IFERROR(INDEX(FA_coststop_perc,MATCH(X4,YEAR(FA_CR_date),1)),0)</f>
        <v>0.5</v>
      </c>
      <c r="Y198" s="49" cm="1">
        <f t="array" ref="Y198">IFERROR(INDEX(FA_coststop_perc,MATCH(Y4,YEAR(FA_CR_date),1)),0)</f>
        <v>0.5</v>
      </c>
      <c r="Z198" s="49" cm="1">
        <f t="array" ref="Z198">IFERROR(INDEX(FA_coststop_perc,MATCH(Z4,YEAR(FA_CR_date),1)),0)</f>
        <v>0.5</v>
      </c>
      <c r="AA198" s="49" cm="1">
        <f t="array" ref="AA198">IFERROR(INDEX(FA_coststop_perc,MATCH(AA4,YEAR(FA_CR_date),1)),0)</f>
        <v>0.5</v>
      </c>
      <c r="AB198" s="49" cm="1">
        <f t="array" ref="AB198">IFERROR(INDEX(FA_coststop_perc,MATCH(AB4,YEAR(FA_CR_date),1)),0)</f>
        <v>0.5</v>
      </c>
      <c r="AC198" s="49" cm="1">
        <f t="array" ref="AC198">IFERROR(INDEX(FA_coststop_perc,MATCH(AC4,YEAR(FA_CR_date),1)),0)</f>
        <v>0.5</v>
      </c>
      <c r="AD198" s="49" cm="1">
        <f t="array" ref="AD198">IFERROR(INDEX(FA_coststop_perc,MATCH(AD4,YEAR(FA_CR_date),1)),0)</f>
        <v>0.5</v>
      </c>
      <c r="AE198" s="49" cm="1">
        <f t="array" ref="AE198">IFERROR(INDEX(FA_coststop_perc,MATCH(AE4,YEAR(FA_CR_date),1)),0)</f>
        <v>0.5</v>
      </c>
      <c r="AF198" s="49" cm="1">
        <f t="array" ref="AF198">IFERROR(INDEX(FA_coststop_perc,MATCH(AF4,YEAR(FA_CR_date),1)),0)</f>
        <v>0.5</v>
      </c>
      <c r="AG198" s="49" cm="1">
        <f t="array" ref="AG198">IFERROR(INDEX(FA_coststop_perc,MATCH(AG4,YEAR(FA_CR_date),1)),0)</f>
        <v>0.5</v>
      </c>
      <c r="AH198" s="49" cm="1">
        <f t="array" ref="AH198">IFERROR(INDEX(FA_coststop_perc,MATCH(AH4,YEAR(FA_CR_date),1)),0)</f>
        <v>0.5</v>
      </c>
      <c r="AI198" s="49" cm="1">
        <f t="array" ref="AI198">IFERROR(INDEX(FA_coststop_perc,MATCH(AI4,YEAR(FA_CR_date),1)),0)</f>
        <v>0.5</v>
      </c>
      <c r="AJ198" s="49" cm="1">
        <f t="array" ref="AJ198">IFERROR(INDEX(FA_coststop_perc,MATCH(AJ4,YEAR(FA_CR_date),1)),0)</f>
        <v>0.5</v>
      </c>
      <c r="AK198" s="49" cm="1">
        <f t="array" ref="AK198">IFERROR(INDEX(FA_coststop_perc,MATCH(AK4,YEAR(FA_CR_date),1)),0)</f>
        <v>0.5</v>
      </c>
      <c r="AL198" s="49" cm="1">
        <f t="array" ref="AL198">IFERROR(INDEX(FA_coststop_perc,MATCH(AL4,YEAR(FA_CR_date),1)),0)</f>
        <v>0.5</v>
      </c>
      <c r="AM198" s="49" cm="1">
        <f t="array" ref="AM198">IFERROR(INDEX(FA_coststop_perc,MATCH(AM4,YEAR(FA_CR_date),1)),0)</f>
        <v>0.5</v>
      </c>
      <c r="AN198" s="49" cm="1">
        <f t="array" ref="AN198">IFERROR(INDEX(FA_coststop_perc,MATCH(AN4,YEAR(FA_CR_date),1)),0)</f>
        <v>0.5</v>
      </c>
      <c r="AO198" s="49" cm="1">
        <f t="array" ref="AO198">IFERROR(INDEX(FA_coststop_perc,MATCH(AO4,YEAR(FA_CR_date),1)),0)</f>
        <v>0.5</v>
      </c>
      <c r="AP198" s="49" cm="1">
        <f t="array" ref="AP198">IFERROR(INDEX(FA_coststop_perc,MATCH(AP4,YEAR(FA_CR_date),1)),0)</f>
        <v>0.5</v>
      </c>
      <c r="AQ198" s="49" cm="1">
        <f t="array" ref="AQ198">IFERROR(INDEX(FA_coststop_perc,MATCH(AQ4,YEAR(FA_CR_date),1)),0)</f>
        <v>0.5</v>
      </c>
      <c r="AR198" s="49" cm="1">
        <f t="array" ref="AR198">IFERROR(INDEX(FA_coststop_perc,MATCH(AR4,YEAR(FA_CR_date),1)),0)</f>
        <v>0.5</v>
      </c>
      <c r="AS198" s="49" cm="1">
        <f t="array" ref="AS198">IFERROR(INDEX(FA_coststop_perc,MATCH(AS4,YEAR(FA_CR_date),1)),0)</f>
        <v>0.5</v>
      </c>
      <c r="AT198" s="49" cm="1">
        <f t="array" ref="AT198">IFERROR(INDEX(FA_coststop_perc,MATCH(AT4,YEAR(FA_CR_date),1)),0)</f>
        <v>0.5</v>
      </c>
      <c r="AU198" s="49" cm="1">
        <f t="array" ref="AU198">IFERROR(INDEX(FA_coststop_perc,MATCH(AU4,YEAR(FA_CR_date),1)),0)</f>
        <v>0.5</v>
      </c>
      <c r="AV198" s="49" cm="1">
        <f t="array" ref="AV198">IFERROR(INDEX(FA_coststop_perc,MATCH(AV4,YEAR(FA_CR_date),1)),0)</f>
        <v>0.5</v>
      </c>
      <c r="AW198" s="49" cm="1">
        <f t="array" ref="AW198">IFERROR(INDEX(FA_coststop_perc,MATCH(AW4,YEAR(FA_CR_date),1)),0)</f>
        <v>0.5</v>
      </c>
      <c r="AX198" s="49" cm="1">
        <f t="array" ref="AX198">IFERROR(INDEX(FA_coststop_perc,MATCH(AX4,YEAR(FA_CR_date),1)),0)</f>
        <v>0.5</v>
      </c>
      <c r="AY198" s="49" cm="1">
        <f t="array" ref="AY198">IFERROR(INDEX(FA_coststop_perc,MATCH(AY4,YEAR(FA_CR_date),1)),0)</f>
        <v>0.5</v>
      </c>
      <c r="AZ198" s="49" cm="1">
        <f t="array" ref="AZ198">IFERROR(INDEX(FA_coststop_perc,MATCH(AZ4,YEAR(FA_CR_date),1)),0)</f>
        <v>0.5</v>
      </c>
      <c r="BA198" s="49" cm="1">
        <f t="array" ref="BA198">IFERROR(INDEX(FA_coststop_perc,MATCH(BA4,YEAR(FA_CR_date),1)),0)</f>
        <v>0.5</v>
      </c>
      <c r="BB198" s="49" cm="1">
        <f t="array" ref="BB198">IFERROR(INDEX(FA_coststop_perc,MATCH(BB4,YEAR(FA_CR_date),1)),0)</f>
        <v>0.5</v>
      </c>
      <c r="BC198" s="49" cm="1">
        <f t="array" ref="BC198">IFERROR(INDEX(FA_coststop_perc,MATCH(BC4,YEAR(FA_CR_date),1)),0)</f>
        <v>0.5</v>
      </c>
      <c r="BD198" s="49" cm="1">
        <f t="array" ref="BD198">IFERROR(INDEX(FA_coststop_perc,MATCH(BD4,YEAR(FA_CR_date),1)),0)</f>
        <v>0.5</v>
      </c>
      <c r="BE198" s="49" cm="1">
        <f t="array" ref="BE198">IFERROR(INDEX(FA_coststop_perc,MATCH(BE4,YEAR(FA_CR_date),1)),0)</f>
        <v>0.5</v>
      </c>
      <c r="BF198" s="49" cm="1">
        <f t="array" ref="BF198">IFERROR(INDEX(FA_coststop_perc,MATCH(BF4,YEAR(FA_CR_date),1)),0)</f>
        <v>0.5</v>
      </c>
      <c r="BG198" s="49" cm="1">
        <f t="array" ref="BG198">IFERROR(INDEX(FA_coststop_perc,MATCH(BG4,YEAR(FA_CR_date),1)),0)</f>
        <v>0.5</v>
      </c>
      <c r="BH198" s="49" cm="1">
        <f t="array" ref="BH198">IFERROR(INDEX(FA_coststop_perc,MATCH(BH4,YEAR(FA_CR_date),1)),0)</f>
        <v>0.5</v>
      </c>
      <c r="BI198" s="49" cm="1">
        <f t="array" ref="BI198">IFERROR(INDEX(FA_coststop_perc,MATCH(BI4,YEAR(FA_CR_date),1)),0)</f>
        <v>0.5</v>
      </c>
      <c r="BJ198" s="49" cm="1">
        <f t="array" ref="BJ198">IFERROR(INDEX(FA_coststop_perc,MATCH(BJ4,YEAR(FA_CR_date),1)),0)</f>
        <v>0.5</v>
      </c>
      <c r="BK198" s="49" cm="1">
        <f t="array" ref="BK198">IFERROR(INDEX(FA_coststop_perc,MATCH(BK4,YEAR(FA_CR_date),1)),0)</f>
        <v>0.5</v>
      </c>
      <c r="BL198" s="49" cm="1">
        <f t="array" ref="BL198">IFERROR(INDEX(FA_coststop_perc,MATCH(BL4,YEAR(FA_CR_date),1)),0)</f>
        <v>0.5</v>
      </c>
      <c r="BM198" s="49" cm="1">
        <f t="array" ref="BM198">IFERROR(INDEX(FA_coststop_perc,MATCH(BM4,YEAR(FA_CR_date),1)),0)</f>
        <v>0.5</v>
      </c>
      <c r="BN198" s="49" cm="1">
        <f t="array" ref="BN198">IFERROR(INDEX(FA_coststop_perc,MATCH(BN4,YEAR(FA_CR_date),1)),0)</f>
        <v>0.5</v>
      </c>
      <c r="BO198" s="49" cm="1">
        <f t="array" ref="BO198">IFERROR(INDEX(FA_coststop_perc,MATCH(BO4,YEAR(FA_CR_date),1)),0)</f>
        <v>0.5</v>
      </c>
      <c r="BP198" s="49" cm="1">
        <f t="array" ref="BP198">IFERROR(INDEX(FA_coststop_perc,MATCH(BP4,YEAR(FA_CR_date),1)),0)</f>
        <v>0.5</v>
      </c>
      <c r="BQ198" s="49" cm="1">
        <f t="array" ref="BQ198">IFERROR(INDEX(FA_coststop_perc,MATCH(BQ4,YEAR(FA_CR_date),1)),0)</f>
        <v>0.5</v>
      </c>
      <c r="BR198" s="49" cm="1">
        <f t="array" ref="BR198">IFERROR(INDEX(FA_coststop_perc,MATCH(BR4,YEAR(FA_CR_date),1)),0)</f>
        <v>0.5</v>
      </c>
      <c r="BS198" s="49" cm="1">
        <f t="array" ref="BS198">IFERROR(INDEX(FA_coststop_perc,MATCH(BS4,YEAR(FA_CR_date),1)),0)</f>
        <v>0.5</v>
      </c>
    </row>
    <row r="199" spans="4:71" outlineLevel="1" x14ac:dyDescent="0.2"/>
    <row r="200" spans="4:71" outlineLevel="1" x14ac:dyDescent="0.2">
      <c r="D200" t="s">
        <v>188</v>
      </c>
      <c r="I200" s="30">
        <f t="shared" ca="1" si="35"/>
        <v>6561.3899931673714</v>
      </c>
      <c r="J200" s="26" t="s">
        <v>148</v>
      </c>
      <c r="L200" s="49">
        <f t="shared" ref="L200:AQ200" ca="1" si="39">MIN(_xlfn.SINGLE(CA_gross_rev_total_fp),_xlfn.SINGLE(CA_gross_rev_oil_hp))</f>
        <v>638.84591387144997</v>
      </c>
      <c r="M200" s="49">
        <f t="shared" ca="1" si="39"/>
        <v>662.99897321324988</v>
      </c>
      <c r="N200" s="49">
        <f t="shared" ca="1" si="39"/>
        <v>178.66292951087999</v>
      </c>
      <c r="O200" s="49">
        <f t="shared" ca="1" si="39"/>
        <v>199.10684881516798</v>
      </c>
      <c r="P200" s="49">
        <f t="shared" ca="1" si="39"/>
        <v>412.00086810736002</v>
      </c>
      <c r="Q200" s="49">
        <f t="shared" ca="1" si="39"/>
        <v>649.81227701343994</v>
      </c>
      <c r="R200" s="49">
        <f t="shared" ca="1" si="39"/>
        <v>658.25211822703989</v>
      </c>
      <c r="S200" s="49">
        <f t="shared" ca="1" si="39"/>
        <v>609.58851840000011</v>
      </c>
      <c r="T200" s="49">
        <f t="shared" ca="1" si="39"/>
        <v>565.36836768000001</v>
      </c>
      <c r="U200" s="49">
        <f t="shared" ca="1" si="39"/>
        <v>536.30843358124798</v>
      </c>
      <c r="V200" s="49">
        <f t="shared" ca="1" si="39"/>
        <v>508.74218009517176</v>
      </c>
      <c r="W200" s="49">
        <f t="shared" ca="1" si="39"/>
        <v>483.91500418085047</v>
      </c>
      <c r="X200" s="49">
        <f t="shared" ca="1" si="39"/>
        <v>457.78756047151228</v>
      </c>
      <c r="Y200" s="49">
        <f t="shared" ca="1" si="39"/>
        <v>0</v>
      </c>
      <c r="Z200" s="49">
        <f t="shared" ca="1" si="39"/>
        <v>0</v>
      </c>
      <c r="AA200" s="49">
        <f t="shared" ca="1" si="39"/>
        <v>0</v>
      </c>
      <c r="AB200" s="49">
        <f t="shared" ca="1" si="39"/>
        <v>0</v>
      </c>
      <c r="AC200" s="49">
        <f t="shared" ca="1" si="39"/>
        <v>0</v>
      </c>
      <c r="AD200" s="49">
        <f t="shared" ca="1" si="39"/>
        <v>0</v>
      </c>
      <c r="AE200" s="49">
        <f t="shared" ca="1" si="39"/>
        <v>0</v>
      </c>
      <c r="AF200" s="49">
        <f t="shared" ca="1" si="39"/>
        <v>0</v>
      </c>
      <c r="AG200" s="49">
        <f t="shared" ca="1" si="39"/>
        <v>0</v>
      </c>
      <c r="AH200" s="49">
        <f t="shared" ca="1" si="39"/>
        <v>0</v>
      </c>
      <c r="AI200" s="49">
        <f t="shared" ca="1" si="39"/>
        <v>0</v>
      </c>
      <c r="AJ200" s="49">
        <f t="shared" ca="1" si="39"/>
        <v>0</v>
      </c>
      <c r="AK200" s="49">
        <f t="shared" ca="1" si="39"/>
        <v>0</v>
      </c>
      <c r="AL200" s="49">
        <f t="shared" ca="1" si="39"/>
        <v>0</v>
      </c>
      <c r="AM200" s="49">
        <f t="shared" ca="1" si="39"/>
        <v>0</v>
      </c>
      <c r="AN200" s="49">
        <f t="shared" ca="1" si="39"/>
        <v>0</v>
      </c>
      <c r="AO200" s="49">
        <f t="shared" ca="1" si="39"/>
        <v>0</v>
      </c>
      <c r="AP200" s="49">
        <f t="shared" ca="1" si="39"/>
        <v>0</v>
      </c>
      <c r="AQ200" s="49">
        <f t="shared" ca="1" si="39"/>
        <v>0</v>
      </c>
      <c r="AR200" s="49">
        <f t="shared" ref="AR200:BS200" ca="1" si="40">MIN(_xlfn.SINGLE(CA_gross_rev_total_fp),_xlfn.SINGLE(CA_gross_rev_oil_hp))</f>
        <v>0</v>
      </c>
      <c r="AS200" s="49">
        <f t="shared" ca="1" si="40"/>
        <v>0</v>
      </c>
      <c r="AT200" s="49">
        <f t="shared" ca="1" si="40"/>
        <v>0</v>
      </c>
      <c r="AU200" s="49">
        <f t="shared" ca="1" si="40"/>
        <v>0</v>
      </c>
      <c r="AV200" s="49">
        <f t="shared" ca="1" si="40"/>
        <v>0</v>
      </c>
      <c r="AW200" s="49">
        <f t="shared" ca="1" si="40"/>
        <v>0</v>
      </c>
      <c r="AX200" s="49">
        <f t="shared" ca="1" si="40"/>
        <v>0</v>
      </c>
      <c r="AY200" s="49">
        <f t="shared" ca="1" si="40"/>
        <v>0</v>
      </c>
      <c r="AZ200" s="49">
        <f t="shared" ca="1" si="40"/>
        <v>0</v>
      </c>
      <c r="BA200" s="49">
        <f t="shared" ca="1" si="40"/>
        <v>0</v>
      </c>
      <c r="BB200" s="49">
        <f t="shared" ca="1" si="40"/>
        <v>0</v>
      </c>
      <c r="BC200" s="49">
        <f t="shared" ca="1" si="40"/>
        <v>0</v>
      </c>
      <c r="BD200" s="49">
        <f t="shared" ca="1" si="40"/>
        <v>0</v>
      </c>
      <c r="BE200" s="49">
        <f t="shared" ca="1" si="40"/>
        <v>0</v>
      </c>
      <c r="BF200" s="49">
        <f t="shared" ca="1" si="40"/>
        <v>0</v>
      </c>
      <c r="BG200" s="49">
        <f t="shared" ca="1" si="40"/>
        <v>0</v>
      </c>
      <c r="BH200" s="49">
        <f t="shared" ca="1" si="40"/>
        <v>0</v>
      </c>
      <c r="BI200" s="49">
        <f t="shared" ca="1" si="40"/>
        <v>0</v>
      </c>
      <c r="BJ200" s="49">
        <f t="shared" ca="1" si="40"/>
        <v>0</v>
      </c>
      <c r="BK200" s="49">
        <f t="shared" ca="1" si="40"/>
        <v>0</v>
      </c>
      <c r="BL200" s="49">
        <f t="shared" ca="1" si="40"/>
        <v>0</v>
      </c>
      <c r="BM200" s="49">
        <f t="shared" ca="1" si="40"/>
        <v>0</v>
      </c>
      <c r="BN200" s="49">
        <f t="shared" ca="1" si="40"/>
        <v>0</v>
      </c>
      <c r="BO200" s="49">
        <f t="shared" ca="1" si="40"/>
        <v>0</v>
      </c>
      <c r="BP200" s="49">
        <f t="shared" ca="1" si="40"/>
        <v>0</v>
      </c>
      <c r="BQ200" s="49">
        <f t="shared" ca="1" si="40"/>
        <v>0</v>
      </c>
      <c r="BR200" s="49">
        <f t="shared" ca="1" si="40"/>
        <v>0</v>
      </c>
      <c r="BS200" s="49">
        <f t="shared" ca="1" si="40"/>
        <v>0</v>
      </c>
    </row>
    <row r="201" spans="4:71" outlineLevel="1" x14ac:dyDescent="0.2"/>
    <row r="202" spans="4:71" outlineLevel="1" x14ac:dyDescent="0.2">
      <c r="D202" s="11" t="s">
        <v>76</v>
      </c>
      <c r="I202" s="30">
        <f t="shared" ca="1" si="35"/>
        <v>3410.8794852921556</v>
      </c>
      <c r="J202" s="26" t="s">
        <v>148</v>
      </c>
      <c r="K202" s="7" t="s">
        <v>189</v>
      </c>
      <c r="L202" s="49">
        <f ca="1">L198*L200</f>
        <v>383.30754832286999</v>
      </c>
      <c r="M202" s="49">
        <f t="shared" ref="M202:BS202" ca="1" si="41">M198*M200</f>
        <v>397.79938392794992</v>
      </c>
      <c r="N202" s="49">
        <f t="shared" ca="1" si="41"/>
        <v>89.331464755439995</v>
      </c>
      <c r="O202" s="49">
        <f t="shared" ca="1" si="41"/>
        <v>99.553424407583989</v>
      </c>
      <c r="P202" s="49">
        <f t="shared" ca="1" si="41"/>
        <v>206.00043405368001</v>
      </c>
      <c r="Q202" s="49">
        <f t="shared" ca="1" si="41"/>
        <v>324.90613850671997</v>
      </c>
      <c r="R202" s="49">
        <f t="shared" ca="1" si="41"/>
        <v>329.12605911351994</v>
      </c>
      <c r="S202" s="49">
        <f t="shared" ca="1" si="41"/>
        <v>304.79425920000006</v>
      </c>
      <c r="T202" s="49">
        <f t="shared" ca="1" si="41"/>
        <v>282.68418384</v>
      </c>
      <c r="U202" s="49">
        <f t="shared" ca="1" si="41"/>
        <v>268.15421679062399</v>
      </c>
      <c r="V202" s="49">
        <f t="shared" ca="1" si="41"/>
        <v>254.37109004758588</v>
      </c>
      <c r="W202" s="49">
        <f t="shared" ca="1" si="41"/>
        <v>241.95750209042524</v>
      </c>
      <c r="X202" s="49">
        <f t="shared" ca="1" si="41"/>
        <v>228.89378023575614</v>
      </c>
      <c r="Y202" s="49">
        <f t="shared" ca="1" si="41"/>
        <v>0</v>
      </c>
      <c r="Z202" s="49">
        <f t="shared" ca="1" si="41"/>
        <v>0</v>
      </c>
      <c r="AA202" s="49">
        <f t="shared" ca="1" si="41"/>
        <v>0</v>
      </c>
      <c r="AB202" s="49">
        <f t="shared" ca="1" si="41"/>
        <v>0</v>
      </c>
      <c r="AC202" s="49">
        <f t="shared" ca="1" si="41"/>
        <v>0</v>
      </c>
      <c r="AD202" s="49">
        <f t="shared" ca="1" si="41"/>
        <v>0</v>
      </c>
      <c r="AE202" s="49">
        <f t="shared" ca="1" si="41"/>
        <v>0</v>
      </c>
      <c r="AF202" s="49">
        <f t="shared" ca="1" si="41"/>
        <v>0</v>
      </c>
      <c r="AG202" s="49">
        <f t="shared" ca="1" si="41"/>
        <v>0</v>
      </c>
      <c r="AH202" s="49">
        <f t="shared" ca="1" si="41"/>
        <v>0</v>
      </c>
      <c r="AI202" s="49">
        <f t="shared" ca="1" si="41"/>
        <v>0</v>
      </c>
      <c r="AJ202" s="49">
        <f t="shared" ca="1" si="41"/>
        <v>0</v>
      </c>
      <c r="AK202" s="49">
        <f t="shared" ca="1" si="41"/>
        <v>0</v>
      </c>
      <c r="AL202" s="49">
        <f t="shared" ca="1" si="41"/>
        <v>0</v>
      </c>
      <c r="AM202" s="49">
        <f t="shared" ca="1" si="41"/>
        <v>0</v>
      </c>
      <c r="AN202" s="49">
        <f t="shared" ca="1" si="41"/>
        <v>0</v>
      </c>
      <c r="AO202" s="49">
        <f t="shared" ca="1" si="41"/>
        <v>0</v>
      </c>
      <c r="AP202" s="49">
        <f t="shared" ca="1" si="41"/>
        <v>0</v>
      </c>
      <c r="AQ202" s="49">
        <f t="shared" ca="1" si="41"/>
        <v>0</v>
      </c>
      <c r="AR202" s="49">
        <f t="shared" ca="1" si="41"/>
        <v>0</v>
      </c>
      <c r="AS202" s="49">
        <f t="shared" ca="1" si="41"/>
        <v>0</v>
      </c>
      <c r="AT202" s="49">
        <f t="shared" ca="1" si="41"/>
        <v>0</v>
      </c>
      <c r="AU202" s="49">
        <f t="shared" ca="1" si="41"/>
        <v>0</v>
      </c>
      <c r="AV202" s="49">
        <f t="shared" ca="1" si="41"/>
        <v>0</v>
      </c>
      <c r="AW202" s="49">
        <f t="shared" ca="1" si="41"/>
        <v>0</v>
      </c>
      <c r="AX202" s="49">
        <f t="shared" ca="1" si="41"/>
        <v>0</v>
      </c>
      <c r="AY202" s="49">
        <f t="shared" ca="1" si="41"/>
        <v>0</v>
      </c>
      <c r="AZ202" s="49">
        <f t="shared" ca="1" si="41"/>
        <v>0</v>
      </c>
      <c r="BA202" s="49">
        <f t="shared" ca="1" si="41"/>
        <v>0</v>
      </c>
      <c r="BB202" s="49">
        <f t="shared" ca="1" si="41"/>
        <v>0</v>
      </c>
      <c r="BC202" s="49">
        <f t="shared" ca="1" si="41"/>
        <v>0</v>
      </c>
      <c r="BD202" s="49">
        <f t="shared" ca="1" si="41"/>
        <v>0</v>
      </c>
      <c r="BE202" s="49">
        <f t="shared" ca="1" si="41"/>
        <v>0</v>
      </c>
      <c r="BF202" s="49">
        <f t="shared" ca="1" si="41"/>
        <v>0</v>
      </c>
      <c r="BG202" s="49">
        <f t="shared" ca="1" si="41"/>
        <v>0</v>
      </c>
      <c r="BH202" s="49">
        <f t="shared" ca="1" si="41"/>
        <v>0</v>
      </c>
      <c r="BI202" s="49">
        <f t="shared" ca="1" si="41"/>
        <v>0</v>
      </c>
      <c r="BJ202" s="49">
        <f t="shared" ca="1" si="41"/>
        <v>0</v>
      </c>
      <c r="BK202" s="49">
        <f t="shared" ca="1" si="41"/>
        <v>0</v>
      </c>
      <c r="BL202" s="49">
        <f t="shared" ca="1" si="41"/>
        <v>0</v>
      </c>
      <c r="BM202" s="49">
        <f t="shared" ca="1" si="41"/>
        <v>0</v>
      </c>
      <c r="BN202" s="49">
        <f t="shared" ca="1" si="41"/>
        <v>0</v>
      </c>
      <c r="BO202" s="49">
        <f t="shared" ca="1" si="41"/>
        <v>0</v>
      </c>
      <c r="BP202" s="49">
        <f t="shared" ca="1" si="41"/>
        <v>0</v>
      </c>
      <c r="BQ202" s="49">
        <f t="shared" ca="1" si="41"/>
        <v>0</v>
      </c>
      <c r="BR202" s="49">
        <f t="shared" ca="1" si="41"/>
        <v>0</v>
      </c>
      <c r="BS202" s="49">
        <f t="shared" ca="1" si="41"/>
        <v>0</v>
      </c>
    </row>
    <row r="203" spans="4:71" outlineLevel="1" x14ac:dyDescent="0.2"/>
    <row r="204" spans="4:71" outlineLevel="1" x14ac:dyDescent="0.2">
      <c r="D204" s="11" t="s">
        <v>191</v>
      </c>
    </row>
    <row r="205" spans="4:71" outlineLevel="1" x14ac:dyDescent="0.2">
      <c r="D205" s="51" t="s">
        <v>182</v>
      </c>
    </row>
    <row r="206" spans="4:71" outlineLevel="1" x14ac:dyDescent="0.2">
      <c r="E206" t="s">
        <v>192</v>
      </c>
      <c r="I206" s="30">
        <f t="shared" ref="I206:I208" ca="1" si="42">SUM($L206:$BS206)</f>
        <v>3849.0512366668968</v>
      </c>
      <c r="J206" s="26" t="s">
        <v>148</v>
      </c>
      <c r="L206" s="49">
        <f ca="1">IF(AND((_xlfn.SINGLE(CA_cost_stop))&lt;K207,_xlfn.SINGLE(CA_gco)&gt;0),_xlfn.SINGLE(CA_gco),_xlfn.SINGLE(CA_cost_stop))</f>
        <v>383.30754832286999</v>
      </c>
      <c r="M206" s="49">
        <f t="shared" ref="M206:AQ206" ca="1" si="43">IF(AND((_xlfn.SINGLE(CA_cost_stop))&lt;L207,_xlfn.SINGLE(CA_gco)&gt;0),_xlfn.SINGLE(CA_gco),_xlfn.SINGLE(CA_cost_stop))</f>
        <v>397.79938392794992</v>
      </c>
      <c r="N206" s="49">
        <f t="shared" ca="1" si="43"/>
        <v>80.118710700325011</v>
      </c>
      <c r="O206" s="49">
        <f t="shared" ca="1" si="43"/>
        <v>75.624846952010458</v>
      </c>
      <c r="P206" s="49">
        <f t="shared" ca="1" si="43"/>
        <v>209.77238861937408</v>
      </c>
      <c r="Q206" s="49">
        <f t="shared" ca="1" si="43"/>
        <v>416.97985991763056</v>
      </c>
      <c r="R206" s="49">
        <f t="shared" ca="1" si="43"/>
        <v>398.01925906474838</v>
      </c>
      <c r="S206" s="49">
        <f t="shared" ca="1" si="43"/>
        <v>231.05309811480001</v>
      </c>
      <c r="T206" s="49">
        <f t="shared" ca="1" si="43"/>
        <v>352.56936776892479</v>
      </c>
      <c r="U206" s="49">
        <f t="shared" ca="1" si="43"/>
        <v>351.952409537694</v>
      </c>
      <c r="V206" s="49">
        <f t="shared" ca="1" si="43"/>
        <v>333.86205568745646</v>
      </c>
      <c r="W206" s="49">
        <f t="shared" ca="1" si="43"/>
        <v>317.56922149368313</v>
      </c>
      <c r="X206" s="49">
        <f t="shared" ca="1" si="43"/>
        <v>300.42308655942992</v>
      </c>
      <c r="Y206" s="49">
        <f t="shared" ca="1" si="43"/>
        <v>0</v>
      </c>
      <c r="Z206" s="49">
        <f t="shared" ca="1" si="43"/>
        <v>0</v>
      </c>
      <c r="AA206" s="49">
        <f t="shared" ca="1" si="43"/>
        <v>0</v>
      </c>
      <c r="AB206" s="49">
        <f t="shared" ca="1" si="43"/>
        <v>0</v>
      </c>
      <c r="AC206" s="49">
        <f t="shared" ca="1" si="43"/>
        <v>0</v>
      </c>
      <c r="AD206" s="49">
        <f t="shared" ca="1" si="43"/>
        <v>0</v>
      </c>
      <c r="AE206" s="49">
        <f t="shared" ca="1" si="43"/>
        <v>0</v>
      </c>
      <c r="AF206" s="49">
        <f t="shared" ca="1" si="43"/>
        <v>0</v>
      </c>
      <c r="AG206" s="49">
        <f t="shared" ca="1" si="43"/>
        <v>0</v>
      </c>
      <c r="AH206" s="49">
        <f t="shared" ca="1" si="43"/>
        <v>0</v>
      </c>
      <c r="AI206" s="49">
        <f t="shared" ca="1" si="43"/>
        <v>0</v>
      </c>
      <c r="AJ206" s="49">
        <f t="shared" ca="1" si="43"/>
        <v>0</v>
      </c>
      <c r="AK206" s="49">
        <f t="shared" ca="1" si="43"/>
        <v>0</v>
      </c>
      <c r="AL206" s="49">
        <f t="shared" ca="1" si="43"/>
        <v>0</v>
      </c>
      <c r="AM206" s="49">
        <f t="shared" ca="1" si="43"/>
        <v>0</v>
      </c>
      <c r="AN206" s="49">
        <f t="shared" ca="1" si="43"/>
        <v>0</v>
      </c>
      <c r="AO206" s="49">
        <f t="shared" ca="1" si="43"/>
        <v>0</v>
      </c>
      <c r="AP206" s="49">
        <f t="shared" ca="1" si="43"/>
        <v>0</v>
      </c>
      <c r="AQ206" s="49">
        <f t="shared" ca="1" si="43"/>
        <v>0</v>
      </c>
      <c r="AR206" s="49">
        <f t="shared" ref="AR206:BS206" ca="1" si="44">IF(AND((_xlfn.SINGLE(CA_cost_stop))&lt;AQ207,_xlfn.SINGLE(CA_gco)&gt;0),_xlfn.SINGLE(CA_gco),_xlfn.SINGLE(CA_cost_stop))</f>
        <v>0</v>
      </c>
      <c r="AS206" s="49">
        <f t="shared" ca="1" si="44"/>
        <v>0</v>
      </c>
      <c r="AT206" s="49">
        <f t="shared" ca="1" si="44"/>
        <v>0</v>
      </c>
      <c r="AU206" s="49">
        <f t="shared" ca="1" si="44"/>
        <v>0</v>
      </c>
      <c r="AV206" s="49">
        <f t="shared" ca="1" si="44"/>
        <v>0</v>
      </c>
      <c r="AW206" s="49">
        <f t="shared" ca="1" si="44"/>
        <v>0</v>
      </c>
      <c r="AX206" s="49">
        <f t="shared" ca="1" si="44"/>
        <v>0</v>
      </c>
      <c r="AY206" s="49">
        <f t="shared" ca="1" si="44"/>
        <v>0</v>
      </c>
      <c r="AZ206" s="49">
        <f t="shared" ca="1" si="44"/>
        <v>0</v>
      </c>
      <c r="BA206" s="49">
        <f t="shared" ca="1" si="44"/>
        <v>0</v>
      </c>
      <c r="BB206" s="49">
        <f t="shared" ca="1" si="44"/>
        <v>0</v>
      </c>
      <c r="BC206" s="49">
        <f t="shared" ca="1" si="44"/>
        <v>0</v>
      </c>
      <c r="BD206" s="49">
        <f t="shared" ca="1" si="44"/>
        <v>0</v>
      </c>
      <c r="BE206" s="49">
        <f t="shared" ca="1" si="44"/>
        <v>0</v>
      </c>
      <c r="BF206" s="49">
        <f t="shared" ca="1" si="44"/>
        <v>0</v>
      </c>
      <c r="BG206" s="49">
        <f t="shared" ca="1" si="44"/>
        <v>0</v>
      </c>
      <c r="BH206" s="49">
        <f t="shared" ca="1" si="44"/>
        <v>0</v>
      </c>
      <c r="BI206" s="49">
        <f t="shared" ca="1" si="44"/>
        <v>0</v>
      </c>
      <c r="BJ206" s="49">
        <f t="shared" ca="1" si="44"/>
        <v>0</v>
      </c>
      <c r="BK206" s="49">
        <f t="shared" ca="1" si="44"/>
        <v>0</v>
      </c>
      <c r="BL206" s="49">
        <f t="shared" ca="1" si="44"/>
        <v>0</v>
      </c>
      <c r="BM206" s="49">
        <f t="shared" ca="1" si="44"/>
        <v>0</v>
      </c>
      <c r="BN206" s="49">
        <f t="shared" ca="1" si="44"/>
        <v>0</v>
      </c>
      <c r="BO206" s="49">
        <f t="shared" ca="1" si="44"/>
        <v>0</v>
      </c>
      <c r="BP206" s="49">
        <f t="shared" ca="1" si="44"/>
        <v>0</v>
      </c>
      <c r="BQ206" s="49">
        <f t="shared" ca="1" si="44"/>
        <v>0</v>
      </c>
      <c r="BR206" s="49">
        <f t="shared" ca="1" si="44"/>
        <v>0</v>
      </c>
      <c r="BS206" s="49">
        <f t="shared" ca="1" si="44"/>
        <v>0</v>
      </c>
    </row>
    <row r="207" spans="4:71" outlineLevel="1" x14ac:dyDescent="0.2">
      <c r="E207" t="s">
        <v>193</v>
      </c>
      <c r="I207" s="30">
        <f ca="1">I190</f>
        <v>3502.3183539519996</v>
      </c>
      <c r="J207" s="26" t="s">
        <v>148</v>
      </c>
      <c r="L207" s="49">
        <f t="shared" ref="L207:AQ207" ca="1" si="45">CA_opex_to_recover+(K209*(1+int_rate_cf_costs))</f>
        <v>148.06899999999999</v>
      </c>
      <c r="M207" s="49">
        <f t="shared" ca="1" si="45"/>
        <v>183.88499999999999</v>
      </c>
      <c r="N207" s="49">
        <f t="shared" ca="1" si="45"/>
        <v>135.70400000000001</v>
      </c>
      <c r="O207" s="49">
        <f t="shared" ca="1" si="45"/>
        <v>296.47028929967496</v>
      </c>
      <c r="P207" s="49">
        <f t="shared" ca="1" si="45"/>
        <v>757.63544234766448</v>
      </c>
      <c r="Q207" s="49">
        <f t="shared" ca="1" si="45"/>
        <v>791.6430537282904</v>
      </c>
      <c r="R207" s="49">
        <f t="shared" ca="1" si="45"/>
        <v>656.46319381065985</v>
      </c>
      <c r="S207" s="49">
        <f t="shared" ca="1" si="45"/>
        <v>544.74393474591147</v>
      </c>
      <c r="T207" s="49">
        <f t="shared" ca="1" si="45"/>
        <v>597.09083663111142</v>
      </c>
      <c r="U207" s="49">
        <f t="shared" ca="1" si="45"/>
        <v>530.73346886218667</v>
      </c>
      <c r="V207" s="49">
        <f t="shared" ca="1" si="45"/>
        <v>467.80417932449268</v>
      </c>
      <c r="W207" s="49">
        <f t="shared" ca="1" si="45"/>
        <v>425.77432363703622</v>
      </c>
      <c r="X207" s="49">
        <f t="shared" ca="1" si="45"/>
        <v>402.84313609535309</v>
      </c>
      <c r="Y207" s="49">
        <f t="shared" ca="1" si="45"/>
        <v>102.42004953592317</v>
      </c>
      <c r="Z207" s="49">
        <f t="shared" ca="1" si="45"/>
        <v>102.42004953592317</v>
      </c>
      <c r="AA207" s="49">
        <f t="shared" ca="1" si="45"/>
        <v>102.42004953592317</v>
      </c>
      <c r="AB207" s="49">
        <f t="shared" ca="1" si="45"/>
        <v>102.42004953592317</v>
      </c>
      <c r="AC207" s="49">
        <f t="shared" ca="1" si="45"/>
        <v>102.42004953592317</v>
      </c>
      <c r="AD207" s="49">
        <f t="shared" ca="1" si="45"/>
        <v>102.42004953592317</v>
      </c>
      <c r="AE207" s="49">
        <f t="shared" ca="1" si="45"/>
        <v>102.42004953592317</v>
      </c>
      <c r="AF207" s="49">
        <f t="shared" ca="1" si="45"/>
        <v>102.42004953592317</v>
      </c>
      <c r="AG207" s="49">
        <f t="shared" ca="1" si="45"/>
        <v>102.42004953592317</v>
      </c>
      <c r="AH207" s="49">
        <f t="shared" ca="1" si="45"/>
        <v>102.42004953592317</v>
      </c>
      <c r="AI207" s="49">
        <f t="shared" ca="1" si="45"/>
        <v>102.42004953592317</v>
      </c>
      <c r="AJ207" s="49">
        <f t="shared" ca="1" si="45"/>
        <v>102.42004953592317</v>
      </c>
      <c r="AK207" s="49">
        <f t="shared" ca="1" si="45"/>
        <v>102.42004953592317</v>
      </c>
      <c r="AL207" s="49">
        <f t="shared" ca="1" si="45"/>
        <v>102.42004953592317</v>
      </c>
      <c r="AM207" s="49">
        <f t="shared" ca="1" si="45"/>
        <v>102.42004953592317</v>
      </c>
      <c r="AN207" s="49">
        <f t="shared" ca="1" si="45"/>
        <v>102.42004953592317</v>
      </c>
      <c r="AO207" s="49">
        <f t="shared" ca="1" si="45"/>
        <v>102.42004953592317</v>
      </c>
      <c r="AP207" s="49">
        <f t="shared" ca="1" si="45"/>
        <v>102.42004953592317</v>
      </c>
      <c r="AQ207" s="49">
        <f t="shared" ca="1" si="45"/>
        <v>102.42004953592317</v>
      </c>
      <c r="AR207" s="49">
        <f t="shared" ref="AR207:BS207" ca="1" si="46">CA_opex_to_recover+(AQ209*(1+int_rate_cf_costs))</f>
        <v>102.42004953592317</v>
      </c>
      <c r="AS207" s="49">
        <f t="shared" ca="1" si="46"/>
        <v>102.42004953592317</v>
      </c>
      <c r="AT207" s="49">
        <f t="shared" ca="1" si="46"/>
        <v>102.42004953592317</v>
      </c>
      <c r="AU207" s="49">
        <f t="shared" ca="1" si="46"/>
        <v>102.42004953592317</v>
      </c>
      <c r="AV207" s="49">
        <f t="shared" ca="1" si="46"/>
        <v>102.42004953592317</v>
      </c>
      <c r="AW207" s="49">
        <f t="shared" ca="1" si="46"/>
        <v>102.42004953592317</v>
      </c>
      <c r="AX207" s="49">
        <f t="shared" ca="1" si="46"/>
        <v>102.42004953592317</v>
      </c>
      <c r="AY207" s="49">
        <f t="shared" ca="1" si="46"/>
        <v>102.42004953592317</v>
      </c>
      <c r="AZ207" s="49">
        <f t="shared" ca="1" si="46"/>
        <v>102.42004953592317</v>
      </c>
      <c r="BA207" s="49">
        <f t="shared" ca="1" si="46"/>
        <v>102.42004953592317</v>
      </c>
      <c r="BB207" s="49">
        <f t="shared" ca="1" si="46"/>
        <v>102.42004953592317</v>
      </c>
      <c r="BC207" s="49">
        <f t="shared" ca="1" si="46"/>
        <v>102.42004953592317</v>
      </c>
      <c r="BD207" s="49">
        <f t="shared" ca="1" si="46"/>
        <v>102.42004953592317</v>
      </c>
      <c r="BE207" s="49">
        <f t="shared" ca="1" si="46"/>
        <v>102.42004953592317</v>
      </c>
      <c r="BF207" s="49">
        <f t="shared" ca="1" si="46"/>
        <v>102.42004953592317</v>
      </c>
      <c r="BG207" s="49">
        <f t="shared" ca="1" si="46"/>
        <v>102.42004953592317</v>
      </c>
      <c r="BH207" s="49">
        <f t="shared" ca="1" si="46"/>
        <v>102.42004953592317</v>
      </c>
      <c r="BI207" s="49">
        <f t="shared" ca="1" si="46"/>
        <v>102.42004953592317</v>
      </c>
      <c r="BJ207" s="49">
        <f t="shared" ca="1" si="46"/>
        <v>102.42004953592317</v>
      </c>
      <c r="BK207" s="49">
        <f t="shared" ca="1" si="46"/>
        <v>102.42004953592317</v>
      </c>
      <c r="BL207" s="49">
        <f t="shared" ca="1" si="46"/>
        <v>102.42004953592317</v>
      </c>
      <c r="BM207" s="49">
        <f t="shared" ca="1" si="46"/>
        <v>102.42004953592317</v>
      </c>
      <c r="BN207" s="49">
        <f t="shared" ca="1" si="46"/>
        <v>102.42004953592317</v>
      </c>
      <c r="BO207" s="49">
        <f t="shared" ca="1" si="46"/>
        <v>102.42004953592317</v>
      </c>
      <c r="BP207" s="49">
        <f t="shared" ca="1" si="46"/>
        <v>102.42004953592317</v>
      </c>
      <c r="BQ207" s="49">
        <f t="shared" ca="1" si="46"/>
        <v>102.42004953592317</v>
      </c>
      <c r="BR207" s="49">
        <f t="shared" ca="1" si="46"/>
        <v>102.42004953592317</v>
      </c>
      <c r="BS207" s="49">
        <f t="shared" ca="1" si="46"/>
        <v>102.42004953592317</v>
      </c>
    </row>
    <row r="208" spans="4:71" outlineLevel="1" x14ac:dyDescent="0.2">
      <c r="E208" t="s">
        <v>194</v>
      </c>
      <c r="H208" s="56" t="b">
        <f ca="1">ROUND(I208,2)=-ROUND(I207,2)</f>
        <v>0</v>
      </c>
      <c r="I208" s="30">
        <f t="shared" ca="1" si="42"/>
        <v>-3399.8983044160768</v>
      </c>
      <c r="J208" s="26" t="s">
        <v>148</v>
      </c>
      <c r="L208" s="49">
        <f ca="1">-MIN(L207,L206)</f>
        <v>-148.06899999999999</v>
      </c>
      <c r="M208" s="49">
        <f t="shared" ref="M208:BS208" ca="1" si="47">-MIN(M207,M206)</f>
        <v>-183.88499999999999</v>
      </c>
      <c r="N208" s="49">
        <f t="shared" ca="1" si="47"/>
        <v>-80.118710700325011</v>
      </c>
      <c r="O208" s="49">
        <f t="shared" ca="1" si="47"/>
        <v>-75.624846952010458</v>
      </c>
      <c r="P208" s="49">
        <f t="shared" ca="1" si="47"/>
        <v>-209.77238861937408</v>
      </c>
      <c r="Q208" s="49">
        <f t="shared" ca="1" si="47"/>
        <v>-416.97985991763056</v>
      </c>
      <c r="R208" s="49">
        <f t="shared" ca="1" si="47"/>
        <v>-398.01925906474838</v>
      </c>
      <c r="S208" s="49">
        <f t="shared" ca="1" si="47"/>
        <v>-231.05309811480001</v>
      </c>
      <c r="T208" s="49">
        <f t="shared" ca="1" si="47"/>
        <v>-352.56936776892479</v>
      </c>
      <c r="U208" s="49">
        <f t="shared" ca="1" si="47"/>
        <v>-351.952409537694</v>
      </c>
      <c r="V208" s="49">
        <f t="shared" ca="1" si="47"/>
        <v>-333.86205568745646</v>
      </c>
      <c r="W208" s="49">
        <f t="shared" ca="1" si="47"/>
        <v>-317.56922149368313</v>
      </c>
      <c r="X208" s="49">
        <f t="shared" ca="1" si="47"/>
        <v>-300.42308655942992</v>
      </c>
      <c r="Y208" s="49">
        <f t="shared" ca="1" si="47"/>
        <v>0</v>
      </c>
      <c r="Z208" s="49">
        <f t="shared" ca="1" si="47"/>
        <v>0</v>
      </c>
      <c r="AA208" s="49">
        <f t="shared" ca="1" si="47"/>
        <v>0</v>
      </c>
      <c r="AB208" s="49">
        <f t="shared" ca="1" si="47"/>
        <v>0</v>
      </c>
      <c r="AC208" s="49">
        <f t="shared" ca="1" si="47"/>
        <v>0</v>
      </c>
      <c r="AD208" s="49">
        <f t="shared" ca="1" si="47"/>
        <v>0</v>
      </c>
      <c r="AE208" s="49">
        <f t="shared" ca="1" si="47"/>
        <v>0</v>
      </c>
      <c r="AF208" s="49">
        <f t="shared" ca="1" si="47"/>
        <v>0</v>
      </c>
      <c r="AG208" s="49">
        <f t="shared" ca="1" si="47"/>
        <v>0</v>
      </c>
      <c r="AH208" s="49">
        <f t="shared" ca="1" si="47"/>
        <v>0</v>
      </c>
      <c r="AI208" s="49">
        <f t="shared" ca="1" si="47"/>
        <v>0</v>
      </c>
      <c r="AJ208" s="49">
        <f t="shared" ca="1" si="47"/>
        <v>0</v>
      </c>
      <c r="AK208" s="49">
        <f t="shared" ca="1" si="47"/>
        <v>0</v>
      </c>
      <c r="AL208" s="49">
        <f t="shared" ca="1" si="47"/>
        <v>0</v>
      </c>
      <c r="AM208" s="49">
        <f t="shared" ca="1" si="47"/>
        <v>0</v>
      </c>
      <c r="AN208" s="49">
        <f t="shared" ca="1" si="47"/>
        <v>0</v>
      </c>
      <c r="AO208" s="49">
        <f t="shared" ca="1" si="47"/>
        <v>0</v>
      </c>
      <c r="AP208" s="49">
        <f t="shared" ca="1" si="47"/>
        <v>0</v>
      </c>
      <c r="AQ208" s="49">
        <f t="shared" ca="1" si="47"/>
        <v>0</v>
      </c>
      <c r="AR208" s="49">
        <f t="shared" ca="1" si="47"/>
        <v>0</v>
      </c>
      <c r="AS208" s="49">
        <f t="shared" ca="1" si="47"/>
        <v>0</v>
      </c>
      <c r="AT208" s="49">
        <f t="shared" ca="1" si="47"/>
        <v>0</v>
      </c>
      <c r="AU208" s="49">
        <f t="shared" ca="1" si="47"/>
        <v>0</v>
      </c>
      <c r="AV208" s="49">
        <f t="shared" ca="1" si="47"/>
        <v>0</v>
      </c>
      <c r="AW208" s="49">
        <f t="shared" ca="1" si="47"/>
        <v>0</v>
      </c>
      <c r="AX208" s="49">
        <f t="shared" ca="1" si="47"/>
        <v>0</v>
      </c>
      <c r="AY208" s="49">
        <f t="shared" ca="1" si="47"/>
        <v>0</v>
      </c>
      <c r="AZ208" s="49">
        <f t="shared" ca="1" si="47"/>
        <v>0</v>
      </c>
      <c r="BA208" s="49">
        <f t="shared" ca="1" si="47"/>
        <v>0</v>
      </c>
      <c r="BB208" s="49">
        <f t="shared" ca="1" si="47"/>
        <v>0</v>
      </c>
      <c r="BC208" s="49">
        <f t="shared" ca="1" si="47"/>
        <v>0</v>
      </c>
      <c r="BD208" s="49">
        <f t="shared" ca="1" si="47"/>
        <v>0</v>
      </c>
      <c r="BE208" s="49">
        <f t="shared" ca="1" si="47"/>
        <v>0</v>
      </c>
      <c r="BF208" s="49">
        <f t="shared" ca="1" si="47"/>
        <v>0</v>
      </c>
      <c r="BG208" s="49">
        <f t="shared" ca="1" si="47"/>
        <v>0</v>
      </c>
      <c r="BH208" s="49">
        <f t="shared" ca="1" si="47"/>
        <v>0</v>
      </c>
      <c r="BI208" s="49">
        <f t="shared" ca="1" si="47"/>
        <v>0</v>
      </c>
      <c r="BJ208" s="49">
        <f t="shared" ca="1" si="47"/>
        <v>0</v>
      </c>
      <c r="BK208" s="49">
        <f t="shared" ca="1" si="47"/>
        <v>0</v>
      </c>
      <c r="BL208" s="49">
        <f t="shared" ca="1" si="47"/>
        <v>0</v>
      </c>
      <c r="BM208" s="49">
        <f t="shared" ca="1" si="47"/>
        <v>0</v>
      </c>
      <c r="BN208" s="49">
        <f t="shared" ca="1" si="47"/>
        <v>0</v>
      </c>
      <c r="BO208" s="49">
        <f t="shared" ca="1" si="47"/>
        <v>0</v>
      </c>
      <c r="BP208" s="49">
        <f t="shared" ca="1" si="47"/>
        <v>0</v>
      </c>
      <c r="BQ208" s="49">
        <f t="shared" ca="1" si="47"/>
        <v>0</v>
      </c>
      <c r="BR208" s="49">
        <f t="shared" ca="1" si="47"/>
        <v>0</v>
      </c>
      <c r="BS208" s="49">
        <f t="shared" ca="1" si="47"/>
        <v>0</v>
      </c>
    </row>
    <row r="209" spans="4:71" outlineLevel="1" x14ac:dyDescent="0.2">
      <c r="E209" t="s">
        <v>195</v>
      </c>
      <c r="L209" s="49">
        <f ca="1">L207+L208</f>
        <v>0</v>
      </c>
      <c r="M209" s="49">
        <f t="shared" ref="M209:BS209" ca="1" si="48">M207+M208</f>
        <v>0</v>
      </c>
      <c r="N209" s="49">
        <f t="shared" ca="1" si="48"/>
        <v>55.585289299674997</v>
      </c>
      <c r="O209" s="49">
        <f t="shared" ca="1" si="48"/>
        <v>220.84544234766452</v>
      </c>
      <c r="P209" s="49">
        <f t="shared" ca="1" si="48"/>
        <v>547.86305372829042</v>
      </c>
      <c r="Q209" s="49">
        <f t="shared" ca="1" si="48"/>
        <v>374.66319381065983</v>
      </c>
      <c r="R209" s="49">
        <f t="shared" ca="1" si="48"/>
        <v>258.44393474591146</v>
      </c>
      <c r="S209" s="49">
        <f t="shared" ca="1" si="48"/>
        <v>313.69083663111144</v>
      </c>
      <c r="T209" s="49">
        <f t="shared" ca="1" si="48"/>
        <v>244.52146886218662</v>
      </c>
      <c r="U209" s="49">
        <f t="shared" ca="1" si="48"/>
        <v>178.78105932449267</v>
      </c>
      <c r="V209" s="49">
        <f t="shared" ca="1" si="48"/>
        <v>133.94212363703622</v>
      </c>
      <c r="W209" s="49">
        <f t="shared" ca="1" si="48"/>
        <v>108.20510214335309</v>
      </c>
      <c r="X209" s="49">
        <f t="shared" ca="1" si="48"/>
        <v>102.42004953592317</v>
      </c>
      <c r="Y209" s="49">
        <f t="shared" ca="1" si="48"/>
        <v>102.42004953592317</v>
      </c>
      <c r="Z209" s="49">
        <f t="shared" ca="1" si="48"/>
        <v>102.42004953592317</v>
      </c>
      <c r="AA209" s="49">
        <f t="shared" ca="1" si="48"/>
        <v>102.42004953592317</v>
      </c>
      <c r="AB209" s="49">
        <f t="shared" ca="1" si="48"/>
        <v>102.42004953592317</v>
      </c>
      <c r="AC209" s="49">
        <f t="shared" ca="1" si="48"/>
        <v>102.42004953592317</v>
      </c>
      <c r="AD209" s="49">
        <f t="shared" ca="1" si="48"/>
        <v>102.42004953592317</v>
      </c>
      <c r="AE209" s="49">
        <f t="shared" ca="1" si="48"/>
        <v>102.42004953592317</v>
      </c>
      <c r="AF209" s="49">
        <f t="shared" ca="1" si="48"/>
        <v>102.42004953592317</v>
      </c>
      <c r="AG209" s="49">
        <f t="shared" ca="1" si="48"/>
        <v>102.42004953592317</v>
      </c>
      <c r="AH209" s="49">
        <f t="shared" ca="1" si="48"/>
        <v>102.42004953592317</v>
      </c>
      <c r="AI209" s="49">
        <f t="shared" ca="1" si="48"/>
        <v>102.42004953592317</v>
      </c>
      <c r="AJ209" s="49">
        <f t="shared" ca="1" si="48"/>
        <v>102.42004953592317</v>
      </c>
      <c r="AK209" s="49">
        <f t="shared" ca="1" si="48"/>
        <v>102.42004953592317</v>
      </c>
      <c r="AL209" s="49">
        <f t="shared" ca="1" si="48"/>
        <v>102.42004953592317</v>
      </c>
      <c r="AM209" s="49">
        <f t="shared" ca="1" si="48"/>
        <v>102.42004953592317</v>
      </c>
      <c r="AN209" s="49">
        <f t="shared" ca="1" si="48"/>
        <v>102.42004953592317</v>
      </c>
      <c r="AO209" s="49">
        <f t="shared" ca="1" si="48"/>
        <v>102.42004953592317</v>
      </c>
      <c r="AP209" s="49">
        <f t="shared" ca="1" si="48"/>
        <v>102.42004953592317</v>
      </c>
      <c r="AQ209" s="49">
        <f t="shared" ca="1" si="48"/>
        <v>102.42004953592317</v>
      </c>
      <c r="AR209" s="49">
        <f t="shared" ca="1" si="48"/>
        <v>102.42004953592317</v>
      </c>
      <c r="AS209" s="49">
        <f t="shared" ca="1" si="48"/>
        <v>102.42004953592317</v>
      </c>
      <c r="AT209" s="49">
        <f t="shared" ca="1" si="48"/>
        <v>102.42004953592317</v>
      </c>
      <c r="AU209" s="49">
        <f t="shared" ca="1" si="48"/>
        <v>102.42004953592317</v>
      </c>
      <c r="AV209" s="49">
        <f t="shared" ca="1" si="48"/>
        <v>102.42004953592317</v>
      </c>
      <c r="AW209" s="49">
        <f t="shared" ca="1" si="48"/>
        <v>102.42004953592317</v>
      </c>
      <c r="AX209" s="49">
        <f t="shared" ca="1" si="48"/>
        <v>102.42004953592317</v>
      </c>
      <c r="AY209" s="49">
        <f t="shared" ca="1" si="48"/>
        <v>102.42004953592317</v>
      </c>
      <c r="AZ209" s="49">
        <f t="shared" ca="1" si="48"/>
        <v>102.42004953592317</v>
      </c>
      <c r="BA209" s="49">
        <f t="shared" ca="1" si="48"/>
        <v>102.42004953592317</v>
      </c>
      <c r="BB209" s="49">
        <f t="shared" ca="1" si="48"/>
        <v>102.42004953592317</v>
      </c>
      <c r="BC209" s="49">
        <f t="shared" ca="1" si="48"/>
        <v>102.42004953592317</v>
      </c>
      <c r="BD209" s="49">
        <f t="shared" ca="1" si="48"/>
        <v>102.42004953592317</v>
      </c>
      <c r="BE209" s="49">
        <f t="shared" ca="1" si="48"/>
        <v>102.42004953592317</v>
      </c>
      <c r="BF209" s="49">
        <f t="shared" ca="1" si="48"/>
        <v>102.42004953592317</v>
      </c>
      <c r="BG209" s="49">
        <f t="shared" ca="1" si="48"/>
        <v>102.42004953592317</v>
      </c>
      <c r="BH209" s="49">
        <f t="shared" ca="1" si="48"/>
        <v>102.42004953592317</v>
      </c>
      <c r="BI209" s="49">
        <f t="shared" ca="1" si="48"/>
        <v>102.42004953592317</v>
      </c>
      <c r="BJ209" s="49">
        <f t="shared" ca="1" si="48"/>
        <v>102.42004953592317</v>
      </c>
      <c r="BK209" s="49">
        <f t="shared" ca="1" si="48"/>
        <v>102.42004953592317</v>
      </c>
      <c r="BL209" s="49">
        <f t="shared" ca="1" si="48"/>
        <v>102.42004953592317</v>
      </c>
      <c r="BM209" s="49">
        <f t="shared" ca="1" si="48"/>
        <v>102.42004953592317</v>
      </c>
      <c r="BN209" s="49">
        <f t="shared" ca="1" si="48"/>
        <v>102.42004953592317</v>
      </c>
      <c r="BO209" s="49">
        <f t="shared" ca="1" si="48"/>
        <v>102.42004953592317</v>
      </c>
      <c r="BP209" s="49">
        <f t="shared" ca="1" si="48"/>
        <v>102.42004953592317</v>
      </c>
      <c r="BQ209" s="49">
        <f t="shared" ca="1" si="48"/>
        <v>102.42004953592317</v>
      </c>
      <c r="BR209" s="49">
        <f t="shared" ca="1" si="48"/>
        <v>102.42004953592317</v>
      </c>
      <c r="BS209" s="49">
        <f t="shared" ca="1" si="48"/>
        <v>102.42004953592317</v>
      </c>
    </row>
    <row r="210" spans="4:71" outlineLevel="1" x14ac:dyDescent="0.2"/>
    <row r="211" spans="4:71" outlineLevel="1" x14ac:dyDescent="0.2">
      <c r="D211" s="51" t="s">
        <v>200</v>
      </c>
    </row>
    <row r="212" spans="4:71" outlineLevel="1" x14ac:dyDescent="0.2">
      <c r="E212" t="s">
        <v>192</v>
      </c>
      <c r="I212" s="30">
        <f t="shared" ref="I212:I214" ca="1" si="49">SUM($L212:$BS212)</f>
        <v>556.03542484670857</v>
      </c>
      <c r="J212" s="26" t="s">
        <v>148</v>
      </c>
      <c r="L212" s="49">
        <f t="shared" ref="L212:AQ212" ca="1" si="50">IF(AND((CA_cost_stop+L208)&lt;K213,CA_gco&gt;0),CA_gco+L208,CA_cost_stop+L208)</f>
        <v>235.23854832287</v>
      </c>
      <c r="M212" s="49">
        <f t="shared" ca="1" si="50"/>
        <v>213.91438392794993</v>
      </c>
      <c r="N212" s="49">
        <f t="shared" ca="1" si="50"/>
        <v>9.2127540551149849</v>
      </c>
      <c r="O212" s="49">
        <f t="shared" ca="1" si="50"/>
        <v>23.928577455573532</v>
      </c>
      <c r="P212" s="49">
        <f t="shared" ca="1" si="50"/>
        <v>0</v>
      </c>
      <c r="Q212" s="49">
        <f t="shared" ca="1" si="50"/>
        <v>0</v>
      </c>
      <c r="R212" s="49">
        <f t="shared" ca="1" si="50"/>
        <v>0</v>
      </c>
      <c r="S212" s="49">
        <f t="shared" ca="1" si="50"/>
        <v>73.741161085200048</v>
      </c>
      <c r="T212" s="49">
        <f t="shared" ca="1" si="50"/>
        <v>0</v>
      </c>
      <c r="U212" s="49">
        <f t="shared" ca="1" si="50"/>
        <v>0</v>
      </c>
      <c r="V212" s="49">
        <f t="shared" ca="1" si="50"/>
        <v>0</v>
      </c>
      <c r="W212" s="49">
        <f t="shared" ca="1" si="50"/>
        <v>0</v>
      </c>
      <c r="X212" s="49">
        <f t="shared" ca="1" si="50"/>
        <v>0</v>
      </c>
      <c r="Y212" s="49">
        <f t="shared" ca="1" si="50"/>
        <v>0</v>
      </c>
      <c r="Z212" s="49">
        <f t="shared" ca="1" si="50"/>
        <v>0</v>
      </c>
      <c r="AA212" s="49">
        <f t="shared" ca="1" si="50"/>
        <v>0</v>
      </c>
      <c r="AB212" s="49">
        <f t="shared" ca="1" si="50"/>
        <v>0</v>
      </c>
      <c r="AC212" s="49">
        <f t="shared" ca="1" si="50"/>
        <v>0</v>
      </c>
      <c r="AD212" s="49">
        <f t="shared" ca="1" si="50"/>
        <v>0</v>
      </c>
      <c r="AE212" s="49">
        <f t="shared" ca="1" si="50"/>
        <v>0</v>
      </c>
      <c r="AF212" s="49">
        <f t="shared" ca="1" si="50"/>
        <v>0</v>
      </c>
      <c r="AG212" s="49">
        <f t="shared" ca="1" si="50"/>
        <v>0</v>
      </c>
      <c r="AH212" s="49">
        <f t="shared" ca="1" si="50"/>
        <v>0</v>
      </c>
      <c r="AI212" s="49">
        <f t="shared" ca="1" si="50"/>
        <v>0</v>
      </c>
      <c r="AJ212" s="49">
        <f t="shared" ca="1" si="50"/>
        <v>0</v>
      </c>
      <c r="AK212" s="49">
        <f t="shared" ca="1" si="50"/>
        <v>0</v>
      </c>
      <c r="AL212" s="49">
        <f t="shared" ca="1" si="50"/>
        <v>0</v>
      </c>
      <c r="AM212" s="49">
        <f t="shared" ca="1" si="50"/>
        <v>0</v>
      </c>
      <c r="AN212" s="49">
        <f t="shared" ca="1" si="50"/>
        <v>0</v>
      </c>
      <c r="AO212" s="49">
        <f t="shared" ca="1" si="50"/>
        <v>0</v>
      </c>
      <c r="AP212" s="49">
        <f t="shared" ca="1" si="50"/>
        <v>0</v>
      </c>
      <c r="AQ212" s="49">
        <f t="shared" ca="1" si="50"/>
        <v>0</v>
      </c>
      <c r="AR212" s="49">
        <f t="shared" ref="AR212:BS212" ca="1" si="51">IF(AND((CA_cost_stop+AR208)&lt;AQ213,CA_gco&gt;0),CA_gco+AR208,CA_cost_stop+AR208)</f>
        <v>0</v>
      </c>
      <c r="AS212" s="49">
        <f t="shared" ca="1" si="51"/>
        <v>0</v>
      </c>
      <c r="AT212" s="49">
        <f t="shared" ca="1" si="51"/>
        <v>0</v>
      </c>
      <c r="AU212" s="49">
        <f t="shared" ca="1" si="51"/>
        <v>0</v>
      </c>
      <c r="AV212" s="49">
        <f t="shared" ca="1" si="51"/>
        <v>0</v>
      </c>
      <c r="AW212" s="49">
        <f t="shared" ca="1" si="51"/>
        <v>0</v>
      </c>
      <c r="AX212" s="49">
        <f t="shared" ca="1" si="51"/>
        <v>0</v>
      </c>
      <c r="AY212" s="49">
        <f t="shared" ca="1" si="51"/>
        <v>0</v>
      </c>
      <c r="AZ212" s="49">
        <f t="shared" ca="1" si="51"/>
        <v>0</v>
      </c>
      <c r="BA212" s="49">
        <f t="shared" ca="1" si="51"/>
        <v>0</v>
      </c>
      <c r="BB212" s="49">
        <f t="shared" ca="1" si="51"/>
        <v>0</v>
      </c>
      <c r="BC212" s="49">
        <f t="shared" ca="1" si="51"/>
        <v>0</v>
      </c>
      <c r="BD212" s="49">
        <f t="shared" ca="1" si="51"/>
        <v>0</v>
      </c>
      <c r="BE212" s="49">
        <f t="shared" ca="1" si="51"/>
        <v>0</v>
      </c>
      <c r="BF212" s="49">
        <f t="shared" ca="1" si="51"/>
        <v>0</v>
      </c>
      <c r="BG212" s="49">
        <f t="shared" ca="1" si="51"/>
        <v>0</v>
      </c>
      <c r="BH212" s="49">
        <f t="shared" ca="1" si="51"/>
        <v>0</v>
      </c>
      <c r="BI212" s="49">
        <f t="shared" ca="1" si="51"/>
        <v>0</v>
      </c>
      <c r="BJ212" s="49">
        <f t="shared" ca="1" si="51"/>
        <v>0</v>
      </c>
      <c r="BK212" s="49">
        <f t="shared" ca="1" si="51"/>
        <v>0</v>
      </c>
      <c r="BL212" s="49">
        <f t="shared" ca="1" si="51"/>
        <v>0</v>
      </c>
      <c r="BM212" s="49">
        <f t="shared" ca="1" si="51"/>
        <v>0</v>
      </c>
      <c r="BN212" s="49">
        <f t="shared" ca="1" si="51"/>
        <v>0</v>
      </c>
      <c r="BO212" s="49">
        <f t="shared" ca="1" si="51"/>
        <v>0</v>
      </c>
      <c r="BP212" s="49">
        <f t="shared" ca="1" si="51"/>
        <v>0</v>
      </c>
      <c r="BQ212" s="49">
        <f t="shared" ca="1" si="51"/>
        <v>0</v>
      </c>
      <c r="BR212" s="49">
        <f t="shared" ca="1" si="51"/>
        <v>0</v>
      </c>
      <c r="BS212" s="49">
        <f t="shared" ca="1" si="51"/>
        <v>0</v>
      </c>
    </row>
    <row r="213" spans="4:71" outlineLevel="1" x14ac:dyDescent="0.2">
      <c r="E213" t="s">
        <v>201</v>
      </c>
      <c r="I213" s="30">
        <f ca="1">I191</f>
        <v>116.836644723813</v>
      </c>
      <c r="J213" s="26" t="s">
        <v>148</v>
      </c>
      <c r="L213" s="49">
        <f t="shared" ref="L213:AQ213" ca="1" si="52">CA_pid_to_recover+(K215*(1+int_rate_cf_costs))</f>
        <v>7.4933748230811874</v>
      </c>
      <c r="M213" s="49">
        <f t="shared" ca="1" si="52"/>
        <v>7.0784597535292457</v>
      </c>
      <c r="N213" s="49">
        <f t="shared" ca="1" si="52"/>
        <v>2.6706236900108338</v>
      </c>
      <c r="O213" s="49">
        <f t="shared" ca="1" si="52"/>
        <v>2.5208282317336823</v>
      </c>
      <c r="P213" s="49">
        <f t="shared" ca="1" si="52"/>
        <v>6.9924129539791364</v>
      </c>
      <c r="Q213" s="49">
        <f t="shared" ca="1" si="52"/>
        <v>20.891741617900156</v>
      </c>
      <c r="R213" s="49">
        <f t="shared" ca="1" si="52"/>
        <v>34.159050253391769</v>
      </c>
      <c r="S213" s="49">
        <f t="shared" ca="1" si="52"/>
        <v>41.86082019055177</v>
      </c>
      <c r="T213" s="49">
        <f t="shared" ca="1" si="52"/>
        <v>11.75231225896416</v>
      </c>
      <c r="U213" s="49">
        <f t="shared" ca="1" si="52"/>
        <v>23.484059243553958</v>
      </c>
      <c r="V213" s="49">
        <f t="shared" ca="1" si="52"/>
        <v>34.612794433135839</v>
      </c>
      <c r="W213" s="49">
        <f t="shared" ca="1" si="52"/>
        <v>45.198435149591944</v>
      </c>
      <c r="X213" s="49">
        <f t="shared" ca="1" si="52"/>
        <v>55.212538034906274</v>
      </c>
      <c r="Y213" s="49">
        <f t="shared" ca="1" si="52"/>
        <v>55.212538034906274</v>
      </c>
      <c r="Z213" s="49">
        <f t="shared" ca="1" si="52"/>
        <v>55.212538034906274</v>
      </c>
      <c r="AA213" s="49">
        <f t="shared" ca="1" si="52"/>
        <v>55.212538034906274</v>
      </c>
      <c r="AB213" s="49">
        <f t="shared" ca="1" si="52"/>
        <v>55.212538034906274</v>
      </c>
      <c r="AC213" s="49">
        <f t="shared" ca="1" si="52"/>
        <v>55.212538034906274</v>
      </c>
      <c r="AD213" s="49">
        <f t="shared" ca="1" si="52"/>
        <v>55.212538034906274</v>
      </c>
      <c r="AE213" s="49">
        <f t="shared" ca="1" si="52"/>
        <v>55.212538034906274</v>
      </c>
      <c r="AF213" s="49">
        <f t="shared" ca="1" si="52"/>
        <v>55.212538034906274</v>
      </c>
      <c r="AG213" s="49">
        <f t="shared" ca="1" si="52"/>
        <v>55.212538034906274</v>
      </c>
      <c r="AH213" s="49">
        <f t="shared" ca="1" si="52"/>
        <v>55.212538034906274</v>
      </c>
      <c r="AI213" s="49">
        <f t="shared" ca="1" si="52"/>
        <v>55.212538034906274</v>
      </c>
      <c r="AJ213" s="49">
        <f t="shared" ca="1" si="52"/>
        <v>55.212538034906274</v>
      </c>
      <c r="AK213" s="49">
        <f t="shared" ca="1" si="52"/>
        <v>55.212538034906274</v>
      </c>
      <c r="AL213" s="49">
        <f t="shared" ca="1" si="52"/>
        <v>55.212538034906274</v>
      </c>
      <c r="AM213" s="49">
        <f t="shared" ca="1" si="52"/>
        <v>55.212538034906274</v>
      </c>
      <c r="AN213" s="49">
        <f t="shared" ca="1" si="52"/>
        <v>55.212538034906274</v>
      </c>
      <c r="AO213" s="49">
        <f t="shared" ca="1" si="52"/>
        <v>55.212538034906274</v>
      </c>
      <c r="AP213" s="49">
        <f t="shared" ca="1" si="52"/>
        <v>55.212538034906274</v>
      </c>
      <c r="AQ213" s="49">
        <f t="shared" ca="1" si="52"/>
        <v>55.212538034906274</v>
      </c>
      <c r="AR213" s="49">
        <f t="shared" ref="AR213:BS213" ca="1" si="53">CA_pid_to_recover+(AQ215*(1+int_rate_cf_costs))</f>
        <v>55.212538034906274</v>
      </c>
      <c r="AS213" s="49">
        <f t="shared" ca="1" si="53"/>
        <v>55.212538034906274</v>
      </c>
      <c r="AT213" s="49">
        <f t="shared" ca="1" si="53"/>
        <v>55.212538034906274</v>
      </c>
      <c r="AU213" s="49">
        <f t="shared" ca="1" si="53"/>
        <v>55.212538034906274</v>
      </c>
      <c r="AV213" s="49">
        <f t="shared" ca="1" si="53"/>
        <v>55.212538034906274</v>
      </c>
      <c r="AW213" s="49">
        <f t="shared" ca="1" si="53"/>
        <v>55.212538034906274</v>
      </c>
      <c r="AX213" s="49">
        <f t="shared" ca="1" si="53"/>
        <v>55.212538034906274</v>
      </c>
      <c r="AY213" s="49">
        <f t="shared" ca="1" si="53"/>
        <v>55.212538034906274</v>
      </c>
      <c r="AZ213" s="49">
        <f t="shared" ca="1" si="53"/>
        <v>55.212538034906274</v>
      </c>
      <c r="BA213" s="49">
        <f t="shared" ca="1" si="53"/>
        <v>55.212538034906274</v>
      </c>
      <c r="BB213" s="49">
        <f t="shared" ca="1" si="53"/>
        <v>55.212538034906274</v>
      </c>
      <c r="BC213" s="49">
        <f t="shared" ca="1" si="53"/>
        <v>55.212538034906274</v>
      </c>
      <c r="BD213" s="49">
        <f t="shared" ca="1" si="53"/>
        <v>55.212538034906274</v>
      </c>
      <c r="BE213" s="49">
        <f t="shared" ca="1" si="53"/>
        <v>55.212538034906274</v>
      </c>
      <c r="BF213" s="49">
        <f t="shared" ca="1" si="53"/>
        <v>55.212538034906274</v>
      </c>
      <c r="BG213" s="49">
        <f t="shared" ca="1" si="53"/>
        <v>55.212538034906274</v>
      </c>
      <c r="BH213" s="49">
        <f t="shared" ca="1" si="53"/>
        <v>55.212538034906274</v>
      </c>
      <c r="BI213" s="49">
        <f t="shared" ca="1" si="53"/>
        <v>55.212538034906274</v>
      </c>
      <c r="BJ213" s="49">
        <f t="shared" ca="1" si="53"/>
        <v>55.212538034906274</v>
      </c>
      <c r="BK213" s="49">
        <f t="shared" ca="1" si="53"/>
        <v>55.212538034906274</v>
      </c>
      <c r="BL213" s="49">
        <f t="shared" ca="1" si="53"/>
        <v>55.212538034906274</v>
      </c>
      <c r="BM213" s="49">
        <f t="shared" ca="1" si="53"/>
        <v>55.212538034906274</v>
      </c>
      <c r="BN213" s="49">
        <f t="shared" ca="1" si="53"/>
        <v>55.212538034906274</v>
      </c>
      <c r="BO213" s="49">
        <f t="shared" ca="1" si="53"/>
        <v>55.212538034906274</v>
      </c>
      <c r="BP213" s="49">
        <f t="shared" ca="1" si="53"/>
        <v>55.212538034906274</v>
      </c>
      <c r="BQ213" s="49">
        <f t="shared" ca="1" si="53"/>
        <v>55.212538034906274</v>
      </c>
      <c r="BR213" s="49">
        <f t="shared" ca="1" si="53"/>
        <v>55.212538034906274</v>
      </c>
      <c r="BS213" s="49">
        <f t="shared" ca="1" si="53"/>
        <v>55.212538034906274</v>
      </c>
    </row>
    <row r="214" spans="4:71" outlineLevel="1" x14ac:dyDescent="0.2">
      <c r="E214" t="s">
        <v>202</v>
      </c>
      <c r="H214" s="56" t="b">
        <f ca="1">ROUND(I214,2)=-ROUND(I213,2)</f>
        <v>0</v>
      </c>
      <c r="I214" s="30">
        <f t="shared" ca="1" si="49"/>
        <v>-61.624106688906721</v>
      </c>
      <c r="J214" s="26" t="s">
        <v>148</v>
      </c>
      <c r="L214" s="49">
        <f ca="1">-MIN(L213,L212)</f>
        <v>-7.4933748230811874</v>
      </c>
      <c r="M214" s="49">
        <f t="shared" ref="M214" ca="1" si="54">-MIN(M213,M212)</f>
        <v>-7.0784597535292457</v>
      </c>
      <c r="N214" s="49">
        <f t="shared" ref="N214" ca="1" si="55">-MIN(N213,N212)</f>
        <v>-2.6706236900108338</v>
      </c>
      <c r="O214" s="49">
        <f t="shared" ref="O214" ca="1" si="56">-MIN(O213,O212)</f>
        <v>-2.5208282317336823</v>
      </c>
      <c r="P214" s="49">
        <f t="shared" ref="P214" ca="1" si="57">-MIN(P213,P212)</f>
        <v>0</v>
      </c>
      <c r="Q214" s="49">
        <f t="shared" ref="Q214" ca="1" si="58">-MIN(Q213,Q212)</f>
        <v>0</v>
      </c>
      <c r="R214" s="49">
        <f t="shared" ref="R214" ca="1" si="59">-MIN(R213,R212)</f>
        <v>0</v>
      </c>
      <c r="S214" s="49">
        <f t="shared" ref="S214" ca="1" si="60">-MIN(S213,S212)</f>
        <v>-41.86082019055177</v>
      </c>
      <c r="T214" s="49">
        <f t="shared" ref="T214" ca="1" si="61">-MIN(T213,T212)</f>
        <v>0</v>
      </c>
      <c r="U214" s="49">
        <f t="shared" ref="U214" ca="1" si="62">-MIN(U213,U212)</f>
        <v>0</v>
      </c>
      <c r="V214" s="49">
        <f t="shared" ref="V214" ca="1" si="63">-MIN(V213,V212)</f>
        <v>0</v>
      </c>
      <c r="W214" s="49">
        <f t="shared" ref="W214" ca="1" si="64">-MIN(W213,W212)</f>
        <v>0</v>
      </c>
      <c r="X214" s="49">
        <f t="shared" ref="X214" ca="1" si="65">-MIN(X213,X212)</f>
        <v>0</v>
      </c>
      <c r="Y214" s="49">
        <f t="shared" ref="Y214" ca="1" si="66">-MIN(Y213,Y212)</f>
        <v>0</v>
      </c>
      <c r="Z214" s="49">
        <f t="shared" ref="Z214" ca="1" si="67">-MIN(Z213,Z212)</f>
        <v>0</v>
      </c>
      <c r="AA214" s="49">
        <f t="shared" ref="AA214" ca="1" si="68">-MIN(AA213,AA212)</f>
        <v>0</v>
      </c>
      <c r="AB214" s="49">
        <f t="shared" ref="AB214" ca="1" si="69">-MIN(AB213,AB212)</f>
        <v>0</v>
      </c>
      <c r="AC214" s="49">
        <f t="shared" ref="AC214" ca="1" si="70">-MIN(AC213,AC212)</f>
        <v>0</v>
      </c>
      <c r="AD214" s="49">
        <f t="shared" ref="AD214" ca="1" si="71">-MIN(AD213,AD212)</f>
        <v>0</v>
      </c>
      <c r="AE214" s="49">
        <f t="shared" ref="AE214" ca="1" si="72">-MIN(AE213,AE212)</f>
        <v>0</v>
      </c>
      <c r="AF214" s="49">
        <f t="shared" ref="AF214" ca="1" si="73">-MIN(AF213,AF212)</f>
        <v>0</v>
      </c>
      <c r="AG214" s="49">
        <f t="shared" ref="AG214" ca="1" si="74">-MIN(AG213,AG212)</f>
        <v>0</v>
      </c>
      <c r="AH214" s="49">
        <f t="shared" ref="AH214" ca="1" si="75">-MIN(AH213,AH212)</f>
        <v>0</v>
      </c>
      <c r="AI214" s="49">
        <f t="shared" ref="AI214" ca="1" si="76">-MIN(AI213,AI212)</f>
        <v>0</v>
      </c>
      <c r="AJ214" s="49">
        <f t="shared" ref="AJ214" ca="1" si="77">-MIN(AJ213,AJ212)</f>
        <v>0</v>
      </c>
      <c r="AK214" s="49">
        <f t="shared" ref="AK214" ca="1" si="78">-MIN(AK213,AK212)</f>
        <v>0</v>
      </c>
      <c r="AL214" s="49">
        <f t="shared" ref="AL214" ca="1" si="79">-MIN(AL213,AL212)</f>
        <v>0</v>
      </c>
      <c r="AM214" s="49">
        <f t="shared" ref="AM214" ca="1" si="80">-MIN(AM213,AM212)</f>
        <v>0</v>
      </c>
      <c r="AN214" s="49">
        <f t="shared" ref="AN214" ca="1" si="81">-MIN(AN213,AN212)</f>
        <v>0</v>
      </c>
      <c r="AO214" s="49">
        <f t="shared" ref="AO214" ca="1" si="82">-MIN(AO213,AO212)</f>
        <v>0</v>
      </c>
      <c r="AP214" s="49">
        <f t="shared" ref="AP214" ca="1" si="83">-MIN(AP213,AP212)</f>
        <v>0</v>
      </c>
      <c r="AQ214" s="49">
        <f t="shared" ref="AQ214" ca="1" si="84">-MIN(AQ213,AQ212)</f>
        <v>0</v>
      </c>
      <c r="AR214" s="49">
        <f t="shared" ref="AR214" ca="1" si="85">-MIN(AR213,AR212)</f>
        <v>0</v>
      </c>
      <c r="AS214" s="49">
        <f t="shared" ref="AS214" ca="1" si="86">-MIN(AS213,AS212)</f>
        <v>0</v>
      </c>
      <c r="AT214" s="49">
        <f t="shared" ref="AT214" ca="1" si="87">-MIN(AT213,AT212)</f>
        <v>0</v>
      </c>
      <c r="AU214" s="49">
        <f t="shared" ref="AU214" ca="1" si="88">-MIN(AU213,AU212)</f>
        <v>0</v>
      </c>
      <c r="AV214" s="49">
        <f t="shared" ref="AV214" ca="1" si="89">-MIN(AV213,AV212)</f>
        <v>0</v>
      </c>
      <c r="AW214" s="49">
        <f t="shared" ref="AW214" ca="1" si="90">-MIN(AW213,AW212)</f>
        <v>0</v>
      </c>
      <c r="AX214" s="49">
        <f t="shared" ref="AX214" ca="1" si="91">-MIN(AX213,AX212)</f>
        <v>0</v>
      </c>
      <c r="AY214" s="49">
        <f t="shared" ref="AY214" ca="1" si="92">-MIN(AY213,AY212)</f>
        <v>0</v>
      </c>
      <c r="AZ214" s="49">
        <f t="shared" ref="AZ214" ca="1" si="93">-MIN(AZ213,AZ212)</f>
        <v>0</v>
      </c>
      <c r="BA214" s="49">
        <f t="shared" ref="BA214" ca="1" si="94">-MIN(BA213,BA212)</f>
        <v>0</v>
      </c>
      <c r="BB214" s="49">
        <f t="shared" ref="BB214" ca="1" si="95">-MIN(BB213,BB212)</f>
        <v>0</v>
      </c>
      <c r="BC214" s="49">
        <f t="shared" ref="BC214" ca="1" si="96">-MIN(BC213,BC212)</f>
        <v>0</v>
      </c>
      <c r="BD214" s="49">
        <f t="shared" ref="BD214" ca="1" si="97">-MIN(BD213,BD212)</f>
        <v>0</v>
      </c>
      <c r="BE214" s="49">
        <f t="shared" ref="BE214" ca="1" si="98">-MIN(BE213,BE212)</f>
        <v>0</v>
      </c>
      <c r="BF214" s="49">
        <f t="shared" ref="BF214" ca="1" si="99">-MIN(BF213,BF212)</f>
        <v>0</v>
      </c>
      <c r="BG214" s="49">
        <f t="shared" ref="BG214" ca="1" si="100">-MIN(BG213,BG212)</f>
        <v>0</v>
      </c>
      <c r="BH214" s="49">
        <f t="shared" ref="BH214" ca="1" si="101">-MIN(BH213,BH212)</f>
        <v>0</v>
      </c>
      <c r="BI214" s="49">
        <f t="shared" ref="BI214" ca="1" si="102">-MIN(BI213,BI212)</f>
        <v>0</v>
      </c>
      <c r="BJ214" s="49">
        <f t="shared" ref="BJ214" ca="1" si="103">-MIN(BJ213,BJ212)</f>
        <v>0</v>
      </c>
      <c r="BK214" s="49">
        <f t="shared" ref="BK214" ca="1" si="104">-MIN(BK213,BK212)</f>
        <v>0</v>
      </c>
      <c r="BL214" s="49">
        <f t="shared" ref="BL214" ca="1" si="105">-MIN(BL213,BL212)</f>
        <v>0</v>
      </c>
      <c r="BM214" s="49">
        <f t="shared" ref="BM214" ca="1" si="106">-MIN(BM213,BM212)</f>
        <v>0</v>
      </c>
      <c r="BN214" s="49">
        <f t="shared" ref="BN214" ca="1" si="107">-MIN(BN213,BN212)</f>
        <v>0</v>
      </c>
      <c r="BO214" s="49">
        <f t="shared" ref="BO214" ca="1" si="108">-MIN(BO213,BO212)</f>
        <v>0</v>
      </c>
      <c r="BP214" s="49">
        <f t="shared" ref="BP214" ca="1" si="109">-MIN(BP213,BP212)</f>
        <v>0</v>
      </c>
      <c r="BQ214" s="49">
        <f t="shared" ref="BQ214" ca="1" si="110">-MIN(BQ213,BQ212)</f>
        <v>0</v>
      </c>
      <c r="BR214" s="49">
        <f t="shared" ref="BR214" ca="1" si="111">-MIN(BR213,BR212)</f>
        <v>0</v>
      </c>
      <c r="BS214" s="49">
        <f t="shared" ref="BS214" ca="1" si="112">-MIN(BS213,BS212)</f>
        <v>0</v>
      </c>
    </row>
    <row r="215" spans="4:71" outlineLevel="1" x14ac:dyDescent="0.2">
      <c r="E215" t="s">
        <v>195</v>
      </c>
      <c r="L215" s="49">
        <f ca="1">L213+L214</f>
        <v>0</v>
      </c>
      <c r="M215" s="49">
        <f t="shared" ref="M215" ca="1" si="113">M213+M214</f>
        <v>0</v>
      </c>
      <c r="N215" s="49">
        <f t="shared" ref="N215" ca="1" si="114">N213+N214</f>
        <v>0</v>
      </c>
      <c r="O215" s="49">
        <f t="shared" ref="O215" ca="1" si="115">O213+O214</f>
        <v>0</v>
      </c>
      <c r="P215" s="49">
        <f t="shared" ref="P215" ca="1" si="116">P213+P214</f>
        <v>6.9924129539791364</v>
      </c>
      <c r="Q215" s="49">
        <f t="shared" ref="Q215" ca="1" si="117">Q213+Q214</f>
        <v>20.891741617900156</v>
      </c>
      <c r="R215" s="49">
        <f t="shared" ref="R215" ca="1" si="118">R213+R214</f>
        <v>34.159050253391769</v>
      </c>
      <c r="S215" s="49">
        <f t="shared" ref="S215" ca="1" si="119">S213+S214</f>
        <v>0</v>
      </c>
      <c r="T215" s="49">
        <f t="shared" ref="T215" ca="1" si="120">T213+T214</f>
        <v>11.75231225896416</v>
      </c>
      <c r="U215" s="49">
        <f t="shared" ref="U215" ca="1" si="121">U213+U214</f>
        <v>23.484059243553958</v>
      </c>
      <c r="V215" s="49">
        <f t="shared" ref="V215" ca="1" si="122">V213+V214</f>
        <v>34.612794433135839</v>
      </c>
      <c r="W215" s="49">
        <f t="shared" ref="W215" ca="1" si="123">W213+W214</f>
        <v>45.198435149591944</v>
      </c>
      <c r="X215" s="49">
        <f t="shared" ref="X215" ca="1" si="124">X213+X214</f>
        <v>55.212538034906274</v>
      </c>
      <c r="Y215" s="49">
        <f t="shared" ref="Y215" ca="1" si="125">Y213+Y214</f>
        <v>55.212538034906274</v>
      </c>
      <c r="Z215" s="49">
        <f t="shared" ref="Z215" ca="1" si="126">Z213+Z214</f>
        <v>55.212538034906274</v>
      </c>
      <c r="AA215" s="49">
        <f t="shared" ref="AA215" ca="1" si="127">AA213+AA214</f>
        <v>55.212538034906274</v>
      </c>
      <c r="AB215" s="49">
        <f t="shared" ref="AB215" ca="1" si="128">AB213+AB214</f>
        <v>55.212538034906274</v>
      </c>
      <c r="AC215" s="49">
        <f t="shared" ref="AC215" ca="1" si="129">AC213+AC214</f>
        <v>55.212538034906274</v>
      </c>
      <c r="AD215" s="49">
        <f t="shared" ref="AD215" ca="1" si="130">AD213+AD214</f>
        <v>55.212538034906274</v>
      </c>
      <c r="AE215" s="49">
        <f t="shared" ref="AE215" ca="1" si="131">AE213+AE214</f>
        <v>55.212538034906274</v>
      </c>
      <c r="AF215" s="49">
        <f t="shared" ref="AF215" ca="1" si="132">AF213+AF214</f>
        <v>55.212538034906274</v>
      </c>
      <c r="AG215" s="49">
        <f t="shared" ref="AG215" ca="1" si="133">AG213+AG214</f>
        <v>55.212538034906274</v>
      </c>
      <c r="AH215" s="49">
        <f t="shared" ref="AH215" ca="1" si="134">AH213+AH214</f>
        <v>55.212538034906274</v>
      </c>
      <c r="AI215" s="49">
        <f t="shared" ref="AI215" ca="1" si="135">AI213+AI214</f>
        <v>55.212538034906274</v>
      </c>
      <c r="AJ215" s="49">
        <f t="shared" ref="AJ215" ca="1" si="136">AJ213+AJ214</f>
        <v>55.212538034906274</v>
      </c>
      <c r="AK215" s="49">
        <f t="shared" ref="AK215" ca="1" si="137">AK213+AK214</f>
        <v>55.212538034906274</v>
      </c>
      <c r="AL215" s="49">
        <f t="shared" ref="AL215" ca="1" si="138">AL213+AL214</f>
        <v>55.212538034906274</v>
      </c>
      <c r="AM215" s="49">
        <f t="shared" ref="AM215" ca="1" si="139">AM213+AM214</f>
        <v>55.212538034906274</v>
      </c>
      <c r="AN215" s="49">
        <f t="shared" ref="AN215" ca="1" si="140">AN213+AN214</f>
        <v>55.212538034906274</v>
      </c>
      <c r="AO215" s="49">
        <f t="shared" ref="AO215" ca="1" si="141">AO213+AO214</f>
        <v>55.212538034906274</v>
      </c>
      <c r="AP215" s="49">
        <f t="shared" ref="AP215" ca="1" si="142">AP213+AP214</f>
        <v>55.212538034906274</v>
      </c>
      <c r="AQ215" s="49">
        <f t="shared" ref="AQ215" ca="1" si="143">AQ213+AQ214</f>
        <v>55.212538034906274</v>
      </c>
      <c r="AR215" s="49">
        <f t="shared" ref="AR215" ca="1" si="144">AR213+AR214</f>
        <v>55.212538034906274</v>
      </c>
      <c r="AS215" s="49">
        <f t="shared" ref="AS215" ca="1" si="145">AS213+AS214</f>
        <v>55.212538034906274</v>
      </c>
      <c r="AT215" s="49">
        <f t="shared" ref="AT215" ca="1" si="146">AT213+AT214</f>
        <v>55.212538034906274</v>
      </c>
      <c r="AU215" s="49">
        <f t="shared" ref="AU215" ca="1" si="147">AU213+AU214</f>
        <v>55.212538034906274</v>
      </c>
      <c r="AV215" s="49">
        <f t="shared" ref="AV215" ca="1" si="148">AV213+AV214</f>
        <v>55.212538034906274</v>
      </c>
      <c r="AW215" s="49">
        <f t="shared" ref="AW215" ca="1" si="149">AW213+AW214</f>
        <v>55.212538034906274</v>
      </c>
      <c r="AX215" s="49">
        <f t="shared" ref="AX215" ca="1" si="150">AX213+AX214</f>
        <v>55.212538034906274</v>
      </c>
      <c r="AY215" s="49">
        <f t="shared" ref="AY215" ca="1" si="151">AY213+AY214</f>
        <v>55.212538034906274</v>
      </c>
      <c r="AZ215" s="49">
        <f t="shared" ref="AZ215" ca="1" si="152">AZ213+AZ214</f>
        <v>55.212538034906274</v>
      </c>
      <c r="BA215" s="49">
        <f t="shared" ref="BA215" ca="1" si="153">BA213+BA214</f>
        <v>55.212538034906274</v>
      </c>
      <c r="BB215" s="49">
        <f t="shared" ref="BB215" ca="1" si="154">BB213+BB214</f>
        <v>55.212538034906274</v>
      </c>
      <c r="BC215" s="49">
        <f t="shared" ref="BC215" ca="1" si="155">BC213+BC214</f>
        <v>55.212538034906274</v>
      </c>
      <c r="BD215" s="49">
        <f t="shared" ref="BD215" ca="1" si="156">BD213+BD214</f>
        <v>55.212538034906274</v>
      </c>
      <c r="BE215" s="49">
        <f t="shared" ref="BE215" ca="1" si="157">BE213+BE214</f>
        <v>55.212538034906274</v>
      </c>
      <c r="BF215" s="49">
        <f t="shared" ref="BF215" ca="1" si="158">BF213+BF214</f>
        <v>55.212538034906274</v>
      </c>
      <c r="BG215" s="49">
        <f t="shared" ref="BG215" ca="1" si="159">BG213+BG214</f>
        <v>55.212538034906274</v>
      </c>
      <c r="BH215" s="49">
        <f t="shared" ref="BH215" ca="1" si="160">BH213+BH214</f>
        <v>55.212538034906274</v>
      </c>
      <c r="BI215" s="49">
        <f t="shared" ref="BI215" ca="1" si="161">BI213+BI214</f>
        <v>55.212538034906274</v>
      </c>
      <c r="BJ215" s="49">
        <f t="shared" ref="BJ215" ca="1" si="162">BJ213+BJ214</f>
        <v>55.212538034906274</v>
      </c>
      <c r="BK215" s="49">
        <f t="shared" ref="BK215" ca="1" si="163">BK213+BK214</f>
        <v>55.212538034906274</v>
      </c>
      <c r="BL215" s="49">
        <f t="shared" ref="BL215" ca="1" si="164">BL213+BL214</f>
        <v>55.212538034906274</v>
      </c>
      <c r="BM215" s="49">
        <f t="shared" ref="BM215" ca="1" si="165">BM213+BM214</f>
        <v>55.212538034906274</v>
      </c>
      <c r="BN215" s="49">
        <f t="shared" ref="BN215" ca="1" si="166">BN213+BN214</f>
        <v>55.212538034906274</v>
      </c>
      <c r="BO215" s="49">
        <f t="shared" ref="BO215" ca="1" si="167">BO213+BO214</f>
        <v>55.212538034906274</v>
      </c>
      <c r="BP215" s="49">
        <f t="shared" ref="BP215" ca="1" si="168">BP213+BP214</f>
        <v>55.212538034906274</v>
      </c>
      <c r="BQ215" s="49">
        <f t="shared" ref="BQ215" ca="1" si="169">BQ213+BQ214</f>
        <v>55.212538034906274</v>
      </c>
      <c r="BR215" s="49">
        <f t="shared" ref="BR215" ca="1" si="170">BR213+BR214</f>
        <v>55.212538034906274</v>
      </c>
      <c r="BS215" s="49">
        <f t="shared" ref="BS215" ca="1" si="171">BS213+BS214</f>
        <v>55.212538034906274</v>
      </c>
    </row>
    <row r="216" spans="4:71" outlineLevel="1" x14ac:dyDescent="0.2"/>
    <row r="217" spans="4:71" outlineLevel="1" x14ac:dyDescent="0.2">
      <c r="D217" s="51" t="s">
        <v>183</v>
      </c>
    </row>
    <row r="218" spans="4:71" outlineLevel="1" x14ac:dyDescent="0.2">
      <c r="E218" t="s">
        <v>192</v>
      </c>
      <c r="I218" s="30">
        <f t="shared" ref="I218:I220" ca="1" si="172">SUM($L218:$BS218)</f>
        <v>387.52882556191327</v>
      </c>
      <c r="J218" s="26" t="s">
        <v>148</v>
      </c>
      <c r="L218" s="49">
        <f t="shared" ref="L218:AQ218" ca="1" si="173">IF(AND((CA_cost_stop+L208+L214)&lt;K219,CA_gco&gt;0),CA_gco+L208+L214,CA_cost_stop+L208+L214)</f>
        <v>227.74517349978882</v>
      </c>
      <c r="M218" s="49">
        <f t="shared" ca="1" si="173"/>
        <v>206.83592417442068</v>
      </c>
      <c r="N218" s="49">
        <f t="shared" ca="1" si="173"/>
        <v>-2.6706236900108338</v>
      </c>
      <c r="O218" s="49">
        <f t="shared" ca="1" si="173"/>
        <v>-2.5208282317336823</v>
      </c>
      <c r="P218" s="49">
        <f t="shared" ca="1" si="173"/>
        <v>0</v>
      </c>
      <c r="Q218" s="49">
        <f t="shared" ca="1" si="173"/>
        <v>0</v>
      </c>
      <c r="R218" s="49">
        <f t="shared" ca="1" si="173"/>
        <v>0</v>
      </c>
      <c r="S218" s="49">
        <f t="shared" ca="1" si="173"/>
        <v>-41.86082019055177</v>
      </c>
      <c r="T218" s="49">
        <f t="shared" ca="1" si="173"/>
        <v>0</v>
      </c>
      <c r="U218" s="49">
        <f t="shared" ca="1" si="173"/>
        <v>0</v>
      </c>
      <c r="V218" s="49">
        <f t="shared" ca="1" si="173"/>
        <v>0</v>
      </c>
      <c r="W218" s="49">
        <f t="shared" ca="1" si="173"/>
        <v>0</v>
      </c>
      <c r="X218" s="49">
        <f t="shared" ca="1" si="173"/>
        <v>0</v>
      </c>
      <c r="Y218" s="49">
        <f t="shared" ca="1" si="173"/>
        <v>0</v>
      </c>
      <c r="Z218" s="49">
        <f t="shared" ca="1" si="173"/>
        <v>0</v>
      </c>
      <c r="AA218" s="49">
        <f t="shared" ca="1" si="173"/>
        <v>0</v>
      </c>
      <c r="AB218" s="49">
        <f t="shared" ca="1" si="173"/>
        <v>0</v>
      </c>
      <c r="AC218" s="49">
        <f t="shared" ca="1" si="173"/>
        <v>0</v>
      </c>
      <c r="AD218" s="49">
        <f t="shared" ca="1" si="173"/>
        <v>0</v>
      </c>
      <c r="AE218" s="49">
        <f t="shared" ca="1" si="173"/>
        <v>0</v>
      </c>
      <c r="AF218" s="49">
        <f t="shared" ca="1" si="173"/>
        <v>0</v>
      </c>
      <c r="AG218" s="49">
        <f t="shared" ca="1" si="173"/>
        <v>0</v>
      </c>
      <c r="AH218" s="49">
        <f t="shared" ca="1" si="173"/>
        <v>0</v>
      </c>
      <c r="AI218" s="49">
        <f t="shared" ca="1" si="173"/>
        <v>0</v>
      </c>
      <c r="AJ218" s="49">
        <f t="shared" ca="1" si="173"/>
        <v>0</v>
      </c>
      <c r="AK218" s="49">
        <f t="shared" ca="1" si="173"/>
        <v>0</v>
      </c>
      <c r="AL218" s="49">
        <f t="shared" ca="1" si="173"/>
        <v>0</v>
      </c>
      <c r="AM218" s="49">
        <f t="shared" ca="1" si="173"/>
        <v>0</v>
      </c>
      <c r="AN218" s="49">
        <f t="shared" ca="1" si="173"/>
        <v>0</v>
      </c>
      <c r="AO218" s="49">
        <f t="shared" ca="1" si="173"/>
        <v>0</v>
      </c>
      <c r="AP218" s="49">
        <f t="shared" ca="1" si="173"/>
        <v>0</v>
      </c>
      <c r="AQ218" s="49">
        <f t="shared" ca="1" si="173"/>
        <v>0</v>
      </c>
      <c r="AR218" s="49">
        <f t="shared" ref="AR218:BS218" ca="1" si="174">IF(AND((CA_cost_stop+AR208+AR214)&lt;AQ219,CA_gco&gt;0),CA_gco+AR208+AR214,CA_cost_stop+AR208+AR214)</f>
        <v>0</v>
      </c>
      <c r="AS218" s="49">
        <f t="shared" ca="1" si="174"/>
        <v>0</v>
      </c>
      <c r="AT218" s="49">
        <f t="shared" ca="1" si="174"/>
        <v>0</v>
      </c>
      <c r="AU218" s="49">
        <f t="shared" ca="1" si="174"/>
        <v>0</v>
      </c>
      <c r="AV218" s="49">
        <f t="shared" ca="1" si="174"/>
        <v>0</v>
      </c>
      <c r="AW218" s="49">
        <f t="shared" ca="1" si="174"/>
        <v>0</v>
      </c>
      <c r="AX218" s="49">
        <f t="shared" ca="1" si="174"/>
        <v>0</v>
      </c>
      <c r="AY218" s="49">
        <f t="shared" ca="1" si="174"/>
        <v>0</v>
      </c>
      <c r="AZ218" s="49">
        <f t="shared" ca="1" si="174"/>
        <v>0</v>
      </c>
      <c r="BA218" s="49">
        <f t="shared" ca="1" si="174"/>
        <v>0</v>
      </c>
      <c r="BB218" s="49">
        <f t="shared" ca="1" si="174"/>
        <v>0</v>
      </c>
      <c r="BC218" s="49">
        <f t="shared" ca="1" si="174"/>
        <v>0</v>
      </c>
      <c r="BD218" s="49">
        <f t="shared" ca="1" si="174"/>
        <v>0</v>
      </c>
      <c r="BE218" s="49">
        <f t="shared" ca="1" si="174"/>
        <v>0</v>
      </c>
      <c r="BF218" s="49">
        <f t="shared" ca="1" si="174"/>
        <v>0</v>
      </c>
      <c r="BG218" s="49">
        <f t="shared" ca="1" si="174"/>
        <v>0</v>
      </c>
      <c r="BH218" s="49">
        <f t="shared" ca="1" si="174"/>
        <v>0</v>
      </c>
      <c r="BI218" s="49">
        <f t="shared" ca="1" si="174"/>
        <v>0</v>
      </c>
      <c r="BJ218" s="49">
        <f t="shared" ca="1" si="174"/>
        <v>0</v>
      </c>
      <c r="BK218" s="49">
        <f t="shared" ca="1" si="174"/>
        <v>0</v>
      </c>
      <c r="BL218" s="49">
        <f t="shared" ca="1" si="174"/>
        <v>0</v>
      </c>
      <c r="BM218" s="49">
        <f t="shared" ca="1" si="174"/>
        <v>0</v>
      </c>
      <c r="BN218" s="49">
        <f t="shared" ca="1" si="174"/>
        <v>0</v>
      </c>
      <c r="BO218" s="49">
        <f t="shared" ca="1" si="174"/>
        <v>0</v>
      </c>
      <c r="BP218" s="49">
        <f t="shared" ca="1" si="174"/>
        <v>0</v>
      </c>
      <c r="BQ218" s="49">
        <f t="shared" ca="1" si="174"/>
        <v>0</v>
      </c>
      <c r="BR218" s="49">
        <f t="shared" ca="1" si="174"/>
        <v>0</v>
      </c>
      <c r="BS218" s="49">
        <f t="shared" ca="1" si="174"/>
        <v>0</v>
      </c>
    </row>
    <row r="219" spans="4:71" outlineLevel="1" x14ac:dyDescent="0.2">
      <c r="E219" t="s">
        <v>203</v>
      </c>
      <c r="I219" s="30">
        <f ca="1">I192</f>
        <v>10913.591</v>
      </c>
      <c r="J219" s="26" t="s">
        <v>148</v>
      </c>
      <c r="L219" s="49">
        <f t="shared" ref="L219:AQ219" ca="1" si="175">CA_capex_to_recover+(K221*(1+int_rate_cf_costs))</f>
        <v>1286.7819999999999</v>
      </c>
      <c r="M219" s="49">
        <f t="shared" ca="1" si="175"/>
        <v>3177.2488265002112</v>
      </c>
      <c r="N219" s="49">
        <f t="shared" ca="1" si="175"/>
        <v>6100.9869023257907</v>
      </c>
      <c r="O219" s="49">
        <f t="shared" ca="1" si="175"/>
        <v>8674.8585260158015</v>
      </c>
      <c r="P219" s="49">
        <f t="shared" ca="1" si="175"/>
        <v>9830.6113542475359</v>
      </c>
      <c r="Q219" s="49">
        <f t="shared" ca="1" si="175"/>
        <v>10484.201354247536</v>
      </c>
      <c r="R219" s="49">
        <f t="shared" ca="1" si="175"/>
        <v>10484.201354247536</v>
      </c>
      <c r="S219" s="49">
        <f t="shared" ca="1" si="175"/>
        <v>10484.201354247536</v>
      </c>
      <c r="T219" s="49">
        <f t="shared" ca="1" si="175"/>
        <v>10526.062174438088</v>
      </c>
      <c r="U219" s="49">
        <f t="shared" ca="1" si="175"/>
        <v>10526.062174438088</v>
      </c>
      <c r="V219" s="49">
        <f t="shared" ca="1" si="175"/>
        <v>10526.062174438088</v>
      </c>
      <c r="W219" s="49">
        <f t="shared" ca="1" si="175"/>
        <v>10526.062174438088</v>
      </c>
      <c r="X219" s="49">
        <f t="shared" ca="1" si="175"/>
        <v>10526.062174438088</v>
      </c>
      <c r="Y219" s="49">
        <f t="shared" ca="1" si="175"/>
        <v>10526.062174438088</v>
      </c>
      <c r="Z219" s="49">
        <f t="shared" ca="1" si="175"/>
        <v>10526.062174438088</v>
      </c>
      <c r="AA219" s="49">
        <f t="shared" ca="1" si="175"/>
        <v>10526.062174438088</v>
      </c>
      <c r="AB219" s="49">
        <f t="shared" ca="1" si="175"/>
        <v>10526.062174438088</v>
      </c>
      <c r="AC219" s="49">
        <f t="shared" ca="1" si="175"/>
        <v>10526.062174438088</v>
      </c>
      <c r="AD219" s="49">
        <f t="shared" ca="1" si="175"/>
        <v>10526.062174438088</v>
      </c>
      <c r="AE219" s="49">
        <f t="shared" ca="1" si="175"/>
        <v>10526.062174438088</v>
      </c>
      <c r="AF219" s="49">
        <f t="shared" ca="1" si="175"/>
        <v>10526.062174438088</v>
      </c>
      <c r="AG219" s="49">
        <f t="shared" ca="1" si="175"/>
        <v>10526.062174438088</v>
      </c>
      <c r="AH219" s="49">
        <f t="shared" ca="1" si="175"/>
        <v>10526.062174438088</v>
      </c>
      <c r="AI219" s="49">
        <f t="shared" ca="1" si="175"/>
        <v>10526.062174438088</v>
      </c>
      <c r="AJ219" s="49">
        <f t="shared" ca="1" si="175"/>
        <v>10526.062174438088</v>
      </c>
      <c r="AK219" s="49">
        <f t="shared" ca="1" si="175"/>
        <v>10526.062174438088</v>
      </c>
      <c r="AL219" s="49">
        <f t="shared" ca="1" si="175"/>
        <v>10526.062174438088</v>
      </c>
      <c r="AM219" s="49">
        <f t="shared" ca="1" si="175"/>
        <v>10526.062174438088</v>
      </c>
      <c r="AN219" s="49">
        <f t="shared" ca="1" si="175"/>
        <v>10526.062174438088</v>
      </c>
      <c r="AO219" s="49">
        <f t="shared" ca="1" si="175"/>
        <v>10526.062174438088</v>
      </c>
      <c r="AP219" s="49">
        <f t="shared" ca="1" si="175"/>
        <v>10526.062174438088</v>
      </c>
      <c r="AQ219" s="49">
        <f t="shared" ca="1" si="175"/>
        <v>10526.062174438088</v>
      </c>
      <c r="AR219" s="49">
        <f t="shared" ref="AR219:BS219" ca="1" si="176">CA_capex_to_recover+(AQ221*(1+int_rate_cf_costs))</f>
        <v>10526.062174438088</v>
      </c>
      <c r="AS219" s="49">
        <f t="shared" ca="1" si="176"/>
        <v>10526.062174438088</v>
      </c>
      <c r="AT219" s="49">
        <f t="shared" ca="1" si="176"/>
        <v>10526.062174438088</v>
      </c>
      <c r="AU219" s="49">
        <f t="shared" ca="1" si="176"/>
        <v>10526.062174438088</v>
      </c>
      <c r="AV219" s="49">
        <f t="shared" ca="1" si="176"/>
        <v>10526.062174438088</v>
      </c>
      <c r="AW219" s="49">
        <f t="shared" ca="1" si="176"/>
        <v>10526.062174438088</v>
      </c>
      <c r="AX219" s="49">
        <f t="shared" ca="1" si="176"/>
        <v>10526.062174438088</v>
      </c>
      <c r="AY219" s="49">
        <f t="shared" ca="1" si="176"/>
        <v>10526.062174438088</v>
      </c>
      <c r="AZ219" s="49">
        <f t="shared" ca="1" si="176"/>
        <v>10526.062174438088</v>
      </c>
      <c r="BA219" s="49">
        <f t="shared" ca="1" si="176"/>
        <v>10526.062174438088</v>
      </c>
      <c r="BB219" s="49">
        <f t="shared" ca="1" si="176"/>
        <v>10526.062174438088</v>
      </c>
      <c r="BC219" s="49">
        <f t="shared" ca="1" si="176"/>
        <v>10526.062174438088</v>
      </c>
      <c r="BD219" s="49">
        <f t="shared" ca="1" si="176"/>
        <v>10526.062174438088</v>
      </c>
      <c r="BE219" s="49">
        <f t="shared" ca="1" si="176"/>
        <v>10526.062174438088</v>
      </c>
      <c r="BF219" s="49">
        <f t="shared" ca="1" si="176"/>
        <v>10526.062174438088</v>
      </c>
      <c r="BG219" s="49">
        <f t="shared" ca="1" si="176"/>
        <v>10526.062174438088</v>
      </c>
      <c r="BH219" s="49">
        <f t="shared" ca="1" si="176"/>
        <v>10526.062174438088</v>
      </c>
      <c r="BI219" s="49">
        <f t="shared" ca="1" si="176"/>
        <v>10526.062174438088</v>
      </c>
      <c r="BJ219" s="49">
        <f t="shared" ca="1" si="176"/>
        <v>10526.062174438088</v>
      </c>
      <c r="BK219" s="49">
        <f t="shared" ca="1" si="176"/>
        <v>10526.062174438088</v>
      </c>
      <c r="BL219" s="49">
        <f t="shared" ca="1" si="176"/>
        <v>10526.062174438088</v>
      </c>
      <c r="BM219" s="49">
        <f t="shared" ca="1" si="176"/>
        <v>10526.062174438088</v>
      </c>
      <c r="BN219" s="49">
        <f t="shared" ca="1" si="176"/>
        <v>10526.062174438088</v>
      </c>
      <c r="BO219" s="49">
        <f t="shared" ca="1" si="176"/>
        <v>10526.062174438088</v>
      </c>
      <c r="BP219" s="49">
        <f t="shared" ca="1" si="176"/>
        <v>10526.062174438088</v>
      </c>
      <c r="BQ219" s="49">
        <f t="shared" ca="1" si="176"/>
        <v>10526.062174438088</v>
      </c>
      <c r="BR219" s="49">
        <f t="shared" ca="1" si="176"/>
        <v>10526.062174438088</v>
      </c>
      <c r="BS219" s="49">
        <f t="shared" ca="1" si="176"/>
        <v>10526.062174438088</v>
      </c>
    </row>
    <row r="220" spans="4:71" outlineLevel="1" x14ac:dyDescent="0.2">
      <c r="E220" t="s">
        <v>204</v>
      </c>
      <c r="H220" s="56" t="b">
        <f ca="1">ROUND(I220,2)=-ROUND(I219,2)</f>
        <v>0</v>
      </c>
      <c r="I220" s="30">
        <f t="shared" ca="1" si="172"/>
        <v>-387.52882556191327</v>
      </c>
      <c r="J220" s="26" t="s">
        <v>148</v>
      </c>
      <c r="L220" s="49">
        <f ca="1">-MIN(L219,L218)</f>
        <v>-227.74517349978882</v>
      </c>
      <c r="M220" s="49">
        <f t="shared" ref="M220" ca="1" si="177">-MIN(M219,M218)</f>
        <v>-206.83592417442068</v>
      </c>
      <c r="N220" s="49">
        <f t="shared" ref="N220" ca="1" si="178">-MIN(N219,N218)</f>
        <v>2.6706236900108338</v>
      </c>
      <c r="O220" s="49">
        <f t="shared" ref="O220" ca="1" si="179">-MIN(O219,O218)</f>
        <v>2.5208282317336823</v>
      </c>
      <c r="P220" s="49">
        <f t="shared" ref="P220" ca="1" si="180">-MIN(P219,P218)</f>
        <v>0</v>
      </c>
      <c r="Q220" s="49">
        <f t="shared" ref="Q220" ca="1" si="181">-MIN(Q219,Q218)</f>
        <v>0</v>
      </c>
      <c r="R220" s="49">
        <f t="shared" ref="R220" ca="1" si="182">-MIN(R219,R218)</f>
        <v>0</v>
      </c>
      <c r="S220" s="49">
        <f t="shared" ref="S220" ca="1" si="183">-MIN(S219,S218)</f>
        <v>41.86082019055177</v>
      </c>
      <c r="T220" s="49">
        <f t="shared" ref="T220" ca="1" si="184">-MIN(T219,T218)</f>
        <v>0</v>
      </c>
      <c r="U220" s="49">
        <f t="shared" ref="U220" ca="1" si="185">-MIN(U219,U218)</f>
        <v>0</v>
      </c>
      <c r="V220" s="49">
        <f t="shared" ref="V220" ca="1" si="186">-MIN(V219,V218)</f>
        <v>0</v>
      </c>
      <c r="W220" s="49">
        <f t="shared" ref="W220" ca="1" si="187">-MIN(W219,W218)</f>
        <v>0</v>
      </c>
      <c r="X220" s="49">
        <f t="shared" ref="X220" ca="1" si="188">-MIN(X219,X218)</f>
        <v>0</v>
      </c>
      <c r="Y220" s="49">
        <f t="shared" ref="Y220" ca="1" si="189">-MIN(Y219,Y218)</f>
        <v>0</v>
      </c>
      <c r="Z220" s="49">
        <f t="shared" ref="Z220" ca="1" si="190">-MIN(Z219,Z218)</f>
        <v>0</v>
      </c>
      <c r="AA220" s="49">
        <f t="shared" ref="AA220" ca="1" si="191">-MIN(AA219,AA218)</f>
        <v>0</v>
      </c>
      <c r="AB220" s="49">
        <f t="shared" ref="AB220" ca="1" si="192">-MIN(AB219,AB218)</f>
        <v>0</v>
      </c>
      <c r="AC220" s="49">
        <f t="shared" ref="AC220" ca="1" si="193">-MIN(AC219,AC218)</f>
        <v>0</v>
      </c>
      <c r="AD220" s="49">
        <f t="shared" ref="AD220" ca="1" si="194">-MIN(AD219,AD218)</f>
        <v>0</v>
      </c>
      <c r="AE220" s="49">
        <f t="shared" ref="AE220" ca="1" si="195">-MIN(AE219,AE218)</f>
        <v>0</v>
      </c>
      <c r="AF220" s="49">
        <f t="shared" ref="AF220" ca="1" si="196">-MIN(AF219,AF218)</f>
        <v>0</v>
      </c>
      <c r="AG220" s="49">
        <f t="shared" ref="AG220" ca="1" si="197">-MIN(AG219,AG218)</f>
        <v>0</v>
      </c>
      <c r="AH220" s="49">
        <f t="shared" ref="AH220" ca="1" si="198">-MIN(AH219,AH218)</f>
        <v>0</v>
      </c>
      <c r="AI220" s="49">
        <f t="shared" ref="AI220" ca="1" si="199">-MIN(AI219,AI218)</f>
        <v>0</v>
      </c>
      <c r="AJ220" s="49">
        <f t="shared" ref="AJ220" ca="1" si="200">-MIN(AJ219,AJ218)</f>
        <v>0</v>
      </c>
      <c r="AK220" s="49">
        <f t="shared" ref="AK220" ca="1" si="201">-MIN(AK219,AK218)</f>
        <v>0</v>
      </c>
      <c r="AL220" s="49">
        <f t="shared" ref="AL220" ca="1" si="202">-MIN(AL219,AL218)</f>
        <v>0</v>
      </c>
      <c r="AM220" s="49">
        <f t="shared" ref="AM220" ca="1" si="203">-MIN(AM219,AM218)</f>
        <v>0</v>
      </c>
      <c r="AN220" s="49">
        <f t="shared" ref="AN220" ca="1" si="204">-MIN(AN219,AN218)</f>
        <v>0</v>
      </c>
      <c r="AO220" s="49">
        <f t="shared" ref="AO220" ca="1" si="205">-MIN(AO219,AO218)</f>
        <v>0</v>
      </c>
      <c r="AP220" s="49">
        <f t="shared" ref="AP220" ca="1" si="206">-MIN(AP219,AP218)</f>
        <v>0</v>
      </c>
      <c r="AQ220" s="49">
        <f t="shared" ref="AQ220" ca="1" si="207">-MIN(AQ219,AQ218)</f>
        <v>0</v>
      </c>
      <c r="AR220" s="49">
        <f t="shared" ref="AR220" ca="1" si="208">-MIN(AR219,AR218)</f>
        <v>0</v>
      </c>
      <c r="AS220" s="49">
        <f t="shared" ref="AS220" ca="1" si="209">-MIN(AS219,AS218)</f>
        <v>0</v>
      </c>
      <c r="AT220" s="49">
        <f t="shared" ref="AT220" ca="1" si="210">-MIN(AT219,AT218)</f>
        <v>0</v>
      </c>
      <c r="AU220" s="49">
        <f t="shared" ref="AU220" ca="1" si="211">-MIN(AU219,AU218)</f>
        <v>0</v>
      </c>
      <c r="AV220" s="49">
        <f t="shared" ref="AV220" ca="1" si="212">-MIN(AV219,AV218)</f>
        <v>0</v>
      </c>
      <c r="AW220" s="49">
        <f t="shared" ref="AW220" ca="1" si="213">-MIN(AW219,AW218)</f>
        <v>0</v>
      </c>
      <c r="AX220" s="49">
        <f t="shared" ref="AX220" ca="1" si="214">-MIN(AX219,AX218)</f>
        <v>0</v>
      </c>
      <c r="AY220" s="49">
        <f t="shared" ref="AY220" ca="1" si="215">-MIN(AY219,AY218)</f>
        <v>0</v>
      </c>
      <c r="AZ220" s="49">
        <f t="shared" ref="AZ220" ca="1" si="216">-MIN(AZ219,AZ218)</f>
        <v>0</v>
      </c>
      <c r="BA220" s="49">
        <f t="shared" ref="BA220" ca="1" si="217">-MIN(BA219,BA218)</f>
        <v>0</v>
      </c>
      <c r="BB220" s="49">
        <f t="shared" ref="BB220" ca="1" si="218">-MIN(BB219,BB218)</f>
        <v>0</v>
      </c>
      <c r="BC220" s="49">
        <f t="shared" ref="BC220" ca="1" si="219">-MIN(BC219,BC218)</f>
        <v>0</v>
      </c>
      <c r="BD220" s="49">
        <f t="shared" ref="BD220" ca="1" si="220">-MIN(BD219,BD218)</f>
        <v>0</v>
      </c>
      <c r="BE220" s="49">
        <f t="shared" ref="BE220" ca="1" si="221">-MIN(BE219,BE218)</f>
        <v>0</v>
      </c>
      <c r="BF220" s="49">
        <f t="shared" ref="BF220" ca="1" si="222">-MIN(BF219,BF218)</f>
        <v>0</v>
      </c>
      <c r="BG220" s="49">
        <f t="shared" ref="BG220" ca="1" si="223">-MIN(BG219,BG218)</f>
        <v>0</v>
      </c>
      <c r="BH220" s="49">
        <f t="shared" ref="BH220" ca="1" si="224">-MIN(BH219,BH218)</f>
        <v>0</v>
      </c>
      <c r="BI220" s="49">
        <f t="shared" ref="BI220" ca="1" si="225">-MIN(BI219,BI218)</f>
        <v>0</v>
      </c>
      <c r="BJ220" s="49">
        <f t="shared" ref="BJ220" ca="1" si="226">-MIN(BJ219,BJ218)</f>
        <v>0</v>
      </c>
      <c r="BK220" s="49">
        <f t="shared" ref="BK220" ca="1" si="227">-MIN(BK219,BK218)</f>
        <v>0</v>
      </c>
      <c r="BL220" s="49">
        <f t="shared" ref="BL220" ca="1" si="228">-MIN(BL219,BL218)</f>
        <v>0</v>
      </c>
      <c r="BM220" s="49">
        <f t="shared" ref="BM220" ca="1" si="229">-MIN(BM219,BM218)</f>
        <v>0</v>
      </c>
      <c r="BN220" s="49">
        <f t="shared" ref="BN220" ca="1" si="230">-MIN(BN219,BN218)</f>
        <v>0</v>
      </c>
      <c r="BO220" s="49">
        <f t="shared" ref="BO220" ca="1" si="231">-MIN(BO219,BO218)</f>
        <v>0</v>
      </c>
      <c r="BP220" s="49">
        <f t="shared" ref="BP220" ca="1" si="232">-MIN(BP219,BP218)</f>
        <v>0</v>
      </c>
      <c r="BQ220" s="49">
        <f t="shared" ref="BQ220" ca="1" si="233">-MIN(BQ219,BQ218)</f>
        <v>0</v>
      </c>
      <c r="BR220" s="49">
        <f t="shared" ref="BR220" ca="1" si="234">-MIN(BR219,BR218)</f>
        <v>0</v>
      </c>
      <c r="BS220" s="49">
        <f t="shared" ref="BS220" ca="1" si="235">-MIN(BS219,BS218)</f>
        <v>0</v>
      </c>
    </row>
    <row r="221" spans="4:71" outlineLevel="1" x14ac:dyDescent="0.2">
      <c r="E221" t="s">
        <v>195</v>
      </c>
      <c r="L221" s="49">
        <f ca="1">L219+L220</f>
        <v>1059.0368265002112</v>
      </c>
      <c r="M221" s="49">
        <f t="shared" ref="M221" ca="1" si="236">M219+M220</f>
        <v>2970.4129023257906</v>
      </c>
      <c r="N221" s="49">
        <f t="shared" ref="N221" ca="1" si="237">N219+N220</f>
        <v>6103.6575260158015</v>
      </c>
      <c r="O221" s="49">
        <f t="shared" ref="O221" ca="1" si="238">O219+O220</f>
        <v>8677.379354247536</v>
      </c>
      <c r="P221" s="49">
        <f t="shared" ref="P221" ca="1" si="239">P219+P220</f>
        <v>9830.6113542475359</v>
      </c>
      <c r="Q221" s="49">
        <f t="shared" ref="Q221" ca="1" si="240">Q219+Q220</f>
        <v>10484.201354247536</v>
      </c>
      <c r="R221" s="49">
        <f t="shared" ref="R221" ca="1" si="241">R219+R220</f>
        <v>10484.201354247536</v>
      </c>
      <c r="S221" s="49">
        <f t="shared" ref="S221" ca="1" si="242">S219+S220</f>
        <v>10526.062174438088</v>
      </c>
      <c r="T221" s="49">
        <f t="shared" ref="T221" ca="1" si="243">T219+T220</f>
        <v>10526.062174438088</v>
      </c>
      <c r="U221" s="49">
        <f t="shared" ref="U221" ca="1" si="244">U219+U220</f>
        <v>10526.062174438088</v>
      </c>
      <c r="V221" s="49">
        <f t="shared" ref="V221" ca="1" si="245">V219+V220</f>
        <v>10526.062174438088</v>
      </c>
      <c r="W221" s="49">
        <f t="shared" ref="W221" ca="1" si="246">W219+W220</f>
        <v>10526.062174438088</v>
      </c>
      <c r="X221" s="49">
        <f t="shared" ref="X221" ca="1" si="247">X219+X220</f>
        <v>10526.062174438088</v>
      </c>
      <c r="Y221" s="49">
        <f t="shared" ref="Y221" ca="1" si="248">Y219+Y220</f>
        <v>10526.062174438088</v>
      </c>
      <c r="Z221" s="49">
        <f t="shared" ref="Z221" ca="1" si="249">Z219+Z220</f>
        <v>10526.062174438088</v>
      </c>
      <c r="AA221" s="49">
        <f t="shared" ref="AA221" ca="1" si="250">AA219+AA220</f>
        <v>10526.062174438088</v>
      </c>
      <c r="AB221" s="49">
        <f t="shared" ref="AB221" ca="1" si="251">AB219+AB220</f>
        <v>10526.062174438088</v>
      </c>
      <c r="AC221" s="49">
        <f t="shared" ref="AC221" ca="1" si="252">AC219+AC220</f>
        <v>10526.062174438088</v>
      </c>
      <c r="AD221" s="49">
        <f t="shared" ref="AD221" ca="1" si="253">AD219+AD220</f>
        <v>10526.062174438088</v>
      </c>
      <c r="AE221" s="49">
        <f t="shared" ref="AE221" ca="1" si="254">AE219+AE220</f>
        <v>10526.062174438088</v>
      </c>
      <c r="AF221" s="49">
        <f t="shared" ref="AF221" ca="1" si="255">AF219+AF220</f>
        <v>10526.062174438088</v>
      </c>
      <c r="AG221" s="49">
        <f t="shared" ref="AG221" ca="1" si="256">AG219+AG220</f>
        <v>10526.062174438088</v>
      </c>
      <c r="AH221" s="49">
        <f t="shared" ref="AH221" ca="1" si="257">AH219+AH220</f>
        <v>10526.062174438088</v>
      </c>
      <c r="AI221" s="49">
        <f t="shared" ref="AI221" ca="1" si="258">AI219+AI220</f>
        <v>10526.062174438088</v>
      </c>
      <c r="AJ221" s="49">
        <f t="shared" ref="AJ221" ca="1" si="259">AJ219+AJ220</f>
        <v>10526.062174438088</v>
      </c>
      <c r="AK221" s="49">
        <f t="shared" ref="AK221" ca="1" si="260">AK219+AK220</f>
        <v>10526.062174438088</v>
      </c>
      <c r="AL221" s="49">
        <f t="shared" ref="AL221" ca="1" si="261">AL219+AL220</f>
        <v>10526.062174438088</v>
      </c>
      <c r="AM221" s="49">
        <f t="shared" ref="AM221" ca="1" si="262">AM219+AM220</f>
        <v>10526.062174438088</v>
      </c>
      <c r="AN221" s="49">
        <f t="shared" ref="AN221" ca="1" si="263">AN219+AN220</f>
        <v>10526.062174438088</v>
      </c>
      <c r="AO221" s="49">
        <f t="shared" ref="AO221" ca="1" si="264">AO219+AO220</f>
        <v>10526.062174438088</v>
      </c>
      <c r="AP221" s="49">
        <f t="shared" ref="AP221" ca="1" si="265">AP219+AP220</f>
        <v>10526.062174438088</v>
      </c>
      <c r="AQ221" s="49">
        <f t="shared" ref="AQ221" ca="1" si="266">AQ219+AQ220</f>
        <v>10526.062174438088</v>
      </c>
      <c r="AR221" s="49">
        <f t="shared" ref="AR221" ca="1" si="267">AR219+AR220</f>
        <v>10526.062174438088</v>
      </c>
      <c r="AS221" s="49">
        <f t="shared" ref="AS221" ca="1" si="268">AS219+AS220</f>
        <v>10526.062174438088</v>
      </c>
      <c r="AT221" s="49">
        <f t="shared" ref="AT221" ca="1" si="269">AT219+AT220</f>
        <v>10526.062174438088</v>
      </c>
      <c r="AU221" s="49">
        <f t="shared" ref="AU221" ca="1" si="270">AU219+AU220</f>
        <v>10526.062174438088</v>
      </c>
      <c r="AV221" s="49">
        <f t="shared" ref="AV221" ca="1" si="271">AV219+AV220</f>
        <v>10526.062174438088</v>
      </c>
      <c r="AW221" s="49">
        <f t="shared" ref="AW221" ca="1" si="272">AW219+AW220</f>
        <v>10526.062174438088</v>
      </c>
      <c r="AX221" s="49">
        <f t="shared" ref="AX221" ca="1" si="273">AX219+AX220</f>
        <v>10526.062174438088</v>
      </c>
      <c r="AY221" s="49">
        <f t="shared" ref="AY221" ca="1" si="274">AY219+AY220</f>
        <v>10526.062174438088</v>
      </c>
      <c r="AZ221" s="49">
        <f t="shared" ref="AZ221" ca="1" si="275">AZ219+AZ220</f>
        <v>10526.062174438088</v>
      </c>
      <c r="BA221" s="49">
        <f t="shared" ref="BA221" ca="1" si="276">BA219+BA220</f>
        <v>10526.062174438088</v>
      </c>
      <c r="BB221" s="49">
        <f t="shared" ref="BB221" ca="1" si="277">BB219+BB220</f>
        <v>10526.062174438088</v>
      </c>
      <c r="BC221" s="49">
        <f t="shared" ref="BC221" ca="1" si="278">BC219+BC220</f>
        <v>10526.062174438088</v>
      </c>
      <c r="BD221" s="49">
        <f t="shared" ref="BD221" ca="1" si="279">BD219+BD220</f>
        <v>10526.062174438088</v>
      </c>
      <c r="BE221" s="49">
        <f t="shared" ref="BE221" ca="1" si="280">BE219+BE220</f>
        <v>10526.062174438088</v>
      </c>
      <c r="BF221" s="49">
        <f t="shared" ref="BF221" ca="1" si="281">BF219+BF220</f>
        <v>10526.062174438088</v>
      </c>
      <c r="BG221" s="49">
        <f t="shared" ref="BG221" ca="1" si="282">BG219+BG220</f>
        <v>10526.062174438088</v>
      </c>
      <c r="BH221" s="49">
        <f t="shared" ref="BH221" ca="1" si="283">BH219+BH220</f>
        <v>10526.062174438088</v>
      </c>
      <c r="BI221" s="49">
        <f t="shared" ref="BI221" ca="1" si="284">BI219+BI220</f>
        <v>10526.062174438088</v>
      </c>
      <c r="BJ221" s="49">
        <f t="shared" ref="BJ221" ca="1" si="285">BJ219+BJ220</f>
        <v>10526.062174438088</v>
      </c>
      <c r="BK221" s="49">
        <f t="shared" ref="BK221" ca="1" si="286">BK219+BK220</f>
        <v>10526.062174438088</v>
      </c>
      <c r="BL221" s="49">
        <f t="shared" ref="BL221" ca="1" si="287">BL219+BL220</f>
        <v>10526.062174438088</v>
      </c>
      <c r="BM221" s="49">
        <f t="shared" ref="BM221" ca="1" si="288">BM219+BM220</f>
        <v>10526.062174438088</v>
      </c>
      <c r="BN221" s="49">
        <f t="shared" ref="BN221" ca="1" si="289">BN219+BN220</f>
        <v>10526.062174438088</v>
      </c>
      <c r="BO221" s="49">
        <f t="shared" ref="BO221" ca="1" si="290">BO219+BO220</f>
        <v>10526.062174438088</v>
      </c>
      <c r="BP221" s="49">
        <f t="shared" ref="BP221" ca="1" si="291">BP219+BP220</f>
        <v>10526.062174438088</v>
      </c>
      <c r="BQ221" s="49">
        <f t="shared" ref="BQ221" ca="1" si="292">BQ219+BQ220</f>
        <v>10526.062174438088</v>
      </c>
      <c r="BR221" s="49">
        <f t="shared" ref="BR221" ca="1" si="293">BR219+BR220</f>
        <v>10526.062174438088</v>
      </c>
      <c r="BS221" s="49">
        <f t="shared" ref="BS221" ca="1" si="294">BS219+BS220</f>
        <v>10526.062174438088</v>
      </c>
    </row>
    <row r="222" spans="4:71" outlineLevel="1" x14ac:dyDescent="0.2"/>
    <row r="223" spans="4:71" outlineLevel="1" x14ac:dyDescent="0.2">
      <c r="D223" s="51" t="s">
        <v>184</v>
      </c>
    </row>
    <row r="224" spans="4:71" outlineLevel="1" x14ac:dyDescent="0.2">
      <c r="E224" t="s">
        <v>192</v>
      </c>
      <c r="I224" s="30">
        <f t="shared" ref="I224:I229" ca="1" si="295">SUM($L224:$BS224)</f>
        <v>106.88249259588856</v>
      </c>
      <c r="J224" s="26" t="s">
        <v>148</v>
      </c>
      <c r="L224" s="49">
        <f t="shared" ref="L224:AQ224" ca="1" si="296">IF(AND((CA_cost_stop+L208+L214+L220)&lt;K225,CA_gco&gt;0),CA_gco+L208+L214+L220,CA_cost_stop+L208+L214+L220)</f>
        <v>0</v>
      </c>
      <c r="M224" s="49">
        <f t="shared" ca="1" si="296"/>
        <v>0</v>
      </c>
      <c r="N224" s="49">
        <f t="shared" ca="1" si="296"/>
        <v>9.2127540551149849</v>
      </c>
      <c r="O224" s="49">
        <f t="shared" ca="1" si="296"/>
        <v>23.928577455573532</v>
      </c>
      <c r="P224" s="49">
        <f t="shared" ca="1" si="296"/>
        <v>0</v>
      </c>
      <c r="Q224" s="49">
        <f t="shared" ca="1" si="296"/>
        <v>0</v>
      </c>
      <c r="R224" s="49">
        <f t="shared" ca="1" si="296"/>
        <v>0</v>
      </c>
      <c r="S224" s="49">
        <f t="shared" ca="1" si="296"/>
        <v>73.741161085200048</v>
      </c>
      <c r="T224" s="49">
        <f t="shared" ca="1" si="296"/>
        <v>0</v>
      </c>
      <c r="U224" s="49">
        <f t="shared" ca="1" si="296"/>
        <v>0</v>
      </c>
      <c r="V224" s="49">
        <f t="shared" ca="1" si="296"/>
        <v>0</v>
      </c>
      <c r="W224" s="49">
        <f t="shared" ca="1" si="296"/>
        <v>0</v>
      </c>
      <c r="X224" s="49">
        <f t="shared" ca="1" si="296"/>
        <v>0</v>
      </c>
      <c r="Y224" s="49">
        <f t="shared" ca="1" si="296"/>
        <v>0</v>
      </c>
      <c r="Z224" s="49">
        <f t="shared" ca="1" si="296"/>
        <v>0</v>
      </c>
      <c r="AA224" s="49">
        <f t="shared" ca="1" si="296"/>
        <v>0</v>
      </c>
      <c r="AB224" s="49">
        <f t="shared" ca="1" si="296"/>
        <v>0</v>
      </c>
      <c r="AC224" s="49">
        <f t="shared" ca="1" si="296"/>
        <v>0</v>
      </c>
      <c r="AD224" s="49">
        <f t="shared" ca="1" si="296"/>
        <v>0</v>
      </c>
      <c r="AE224" s="49">
        <f t="shared" ca="1" si="296"/>
        <v>0</v>
      </c>
      <c r="AF224" s="49">
        <f t="shared" ca="1" si="296"/>
        <v>0</v>
      </c>
      <c r="AG224" s="49">
        <f t="shared" ca="1" si="296"/>
        <v>0</v>
      </c>
      <c r="AH224" s="49">
        <f t="shared" ca="1" si="296"/>
        <v>0</v>
      </c>
      <c r="AI224" s="49">
        <f t="shared" ca="1" si="296"/>
        <v>0</v>
      </c>
      <c r="AJ224" s="49">
        <f t="shared" ca="1" si="296"/>
        <v>0</v>
      </c>
      <c r="AK224" s="49">
        <f t="shared" ca="1" si="296"/>
        <v>0</v>
      </c>
      <c r="AL224" s="49">
        <f t="shared" ca="1" si="296"/>
        <v>0</v>
      </c>
      <c r="AM224" s="49">
        <f t="shared" ca="1" si="296"/>
        <v>0</v>
      </c>
      <c r="AN224" s="49">
        <f t="shared" ca="1" si="296"/>
        <v>0</v>
      </c>
      <c r="AO224" s="49">
        <f t="shared" ca="1" si="296"/>
        <v>0</v>
      </c>
      <c r="AP224" s="49">
        <f t="shared" ca="1" si="296"/>
        <v>0</v>
      </c>
      <c r="AQ224" s="49">
        <f t="shared" ca="1" si="296"/>
        <v>0</v>
      </c>
      <c r="AR224" s="49">
        <f t="shared" ref="AR224:BS224" ca="1" si="297">IF(AND((CA_cost_stop+AR208+AR214+AR220)&lt;AQ225,CA_gco&gt;0),CA_gco+AR208+AR214+AR220,CA_cost_stop+AR208+AR214+AR220)</f>
        <v>0</v>
      </c>
      <c r="AS224" s="49">
        <f t="shared" ca="1" si="297"/>
        <v>0</v>
      </c>
      <c r="AT224" s="49">
        <f t="shared" ca="1" si="297"/>
        <v>0</v>
      </c>
      <c r="AU224" s="49">
        <f t="shared" ca="1" si="297"/>
        <v>0</v>
      </c>
      <c r="AV224" s="49">
        <f t="shared" ca="1" si="297"/>
        <v>0</v>
      </c>
      <c r="AW224" s="49">
        <f t="shared" ca="1" si="297"/>
        <v>0</v>
      </c>
      <c r="AX224" s="49">
        <f t="shared" ca="1" si="297"/>
        <v>0</v>
      </c>
      <c r="AY224" s="49">
        <f t="shared" ca="1" si="297"/>
        <v>0</v>
      </c>
      <c r="AZ224" s="49">
        <f t="shared" ca="1" si="297"/>
        <v>0</v>
      </c>
      <c r="BA224" s="49">
        <f t="shared" ca="1" si="297"/>
        <v>0</v>
      </c>
      <c r="BB224" s="49">
        <f t="shared" ca="1" si="297"/>
        <v>0</v>
      </c>
      <c r="BC224" s="49">
        <f t="shared" ca="1" si="297"/>
        <v>0</v>
      </c>
      <c r="BD224" s="49">
        <f t="shared" ca="1" si="297"/>
        <v>0</v>
      </c>
      <c r="BE224" s="49">
        <f t="shared" ca="1" si="297"/>
        <v>0</v>
      </c>
      <c r="BF224" s="49">
        <f t="shared" ca="1" si="297"/>
        <v>0</v>
      </c>
      <c r="BG224" s="49">
        <f t="shared" ca="1" si="297"/>
        <v>0</v>
      </c>
      <c r="BH224" s="49">
        <f t="shared" ca="1" si="297"/>
        <v>0</v>
      </c>
      <c r="BI224" s="49">
        <f t="shared" ca="1" si="297"/>
        <v>0</v>
      </c>
      <c r="BJ224" s="49">
        <f t="shared" ca="1" si="297"/>
        <v>0</v>
      </c>
      <c r="BK224" s="49">
        <f t="shared" ca="1" si="297"/>
        <v>0</v>
      </c>
      <c r="BL224" s="49">
        <f t="shared" ca="1" si="297"/>
        <v>0</v>
      </c>
      <c r="BM224" s="49">
        <f t="shared" ca="1" si="297"/>
        <v>0</v>
      </c>
      <c r="BN224" s="49">
        <f t="shared" ca="1" si="297"/>
        <v>0</v>
      </c>
      <c r="BO224" s="49">
        <f t="shared" ca="1" si="297"/>
        <v>0</v>
      </c>
      <c r="BP224" s="49">
        <f t="shared" ca="1" si="297"/>
        <v>0</v>
      </c>
      <c r="BQ224" s="49">
        <f t="shared" ca="1" si="297"/>
        <v>0</v>
      </c>
      <c r="BR224" s="49">
        <f t="shared" ca="1" si="297"/>
        <v>0</v>
      </c>
      <c r="BS224" s="49">
        <f t="shared" ca="1" si="297"/>
        <v>0</v>
      </c>
    </row>
    <row r="225" spans="3:71" outlineLevel="1" x14ac:dyDescent="0.2">
      <c r="E225" t="s">
        <v>205</v>
      </c>
      <c r="I225" s="30">
        <f ca="1">I193</f>
        <v>0</v>
      </c>
      <c r="J225" s="26" t="s">
        <v>148</v>
      </c>
      <c r="L225" s="49">
        <f t="shared" ref="L225:AQ225" ca="1" si="298">CA_expex_to_recover+(K227*(1+int_rate_cf_costs))</f>
        <v>0</v>
      </c>
      <c r="M225" s="49">
        <f t="shared" ca="1" si="298"/>
        <v>0</v>
      </c>
      <c r="N225" s="49">
        <f t="shared" ca="1" si="298"/>
        <v>0</v>
      </c>
      <c r="O225" s="49">
        <f t="shared" ca="1" si="298"/>
        <v>0</v>
      </c>
      <c r="P225" s="49">
        <f t="shared" ca="1" si="298"/>
        <v>0</v>
      </c>
      <c r="Q225" s="49">
        <f t="shared" ca="1" si="298"/>
        <v>0</v>
      </c>
      <c r="R225" s="49">
        <f t="shared" ca="1" si="298"/>
        <v>0</v>
      </c>
      <c r="S225" s="49">
        <f t="shared" ca="1" si="298"/>
        <v>0</v>
      </c>
      <c r="T225" s="49">
        <f t="shared" ca="1" si="298"/>
        <v>0</v>
      </c>
      <c r="U225" s="49">
        <f t="shared" ca="1" si="298"/>
        <v>0</v>
      </c>
      <c r="V225" s="49">
        <f t="shared" ca="1" si="298"/>
        <v>0</v>
      </c>
      <c r="W225" s="49">
        <f t="shared" ca="1" si="298"/>
        <v>0</v>
      </c>
      <c r="X225" s="49">
        <f t="shared" ca="1" si="298"/>
        <v>0</v>
      </c>
      <c r="Y225" s="49">
        <f t="shared" ca="1" si="298"/>
        <v>0</v>
      </c>
      <c r="Z225" s="49">
        <f t="shared" ca="1" si="298"/>
        <v>0</v>
      </c>
      <c r="AA225" s="49">
        <f t="shared" ca="1" si="298"/>
        <v>0</v>
      </c>
      <c r="AB225" s="49">
        <f t="shared" ca="1" si="298"/>
        <v>0</v>
      </c>
      <c r="AC225" s="49">
        <f t="shared" ca="1" si="298"/>
        <v>0</v>
      </c>
      <c r="AD225" s="49">
        <f t="shared" ca="1" si="298"/>
        <v>0</v>
      </c>
      <c r="AE225" s="49">
        <f t="shared" ca="1" si="298"/>
        <v>0</v>
      </c>
      <c r="AF225" s="49">
        <f t="shared" ca="1" si="298"/>
        <v>0</v>
      </c>
      <c r="AG225" s="49">
        <f t="shared" ca="1" si="298"/>
        <v>0</v>
      </c>
      <c r="AH225" s="49">
        <f t="shared" ca="1" si="298"/>
        <v>0</v>
      </c>
      <c r="AI225" s="49">
        <f t="shared" ca="1" si="298"/>
        <v>0</v>
      </c>
      <c r="AJ225" s="49">
        <f t="shared" ca="1" si="298"/>
        <v>0</v>
      </c>
      <c r="AK225" s="49">
        <f t="shared" ca="1" si="298"/>
        <v>0</v>
      </c>
      <c r="AL225" s="49">
        <f t="shared" ca="1" si="298"/>
        <v>0</v>
      </c>
      <c r="AM225" s="49">
        <f t="shared" ca="1" si="298"/>
        <v>0</v>
      </c>
      <c r="AN225" s="49">
        <f t="shared" ca="1" si="298"/>
        <v>0</v>
      </c>
      <c r="AO225" s="49">
        <f t="shared" ca="1" si="298"/>
        <v>0</v>
      </c>
      <c r="AP225" s="49">
        <f t="shared" ca="1" si="298"/>
        <v>0</v>
      </c>
      <c r="AQ225" s="49">
        <f t="shared" ca="1" si="298"/>
        <v>0</v>
      </c>
      <c r="AR225" s="49">
        <f t="shared" ref="AR225:BS225" ca="1" si="299">CA_expex_to_recover+(AQ227*(1+int_rate_cf_costs))</f>
        <v>0</v>
      </c>
      <c r="AS225" s="49">
        <f t="shared" ca="1" si="299"/>
        <v>0</v>
      </c>
      <c r="AT225" s="49">
        <f t="shared" ca="1" si="299"/>
        <v>0</v>
      </c>
      <c r="AU225" s="49">
        <f t="shared" ca="1" si="299"/>
        <v>0</v>
      </c>
      <c r="AV225" s="49">
        <f t="shared" ca="1" si="299"/>
        <v>0</v>
      </c>
      <c r="AW225" s="49">
        <f t="shared" ca="1" si="299"/>
        <v>0</v>
      </c>
      <c r="AX225" s="49">
        <f t="shared" ca="1" si="299"/>
        <v>0</v>
      </c>
      <c r="AY225" s="49">
        <f t="shared" ca="1" si="299"/>
        <v>0</v>
      </c>
      <c r="AZ225" s="49">
        <f t="shared" ca="1" si="299"/>
        <v>0</v>
      </c>
      <c r="BA225" s="49">
        <f t="shared" ca="1" si="299"/>
        <v>0</v>
      </c>
      <c r="BB225" s="49">
        <f t="shared" ca="1" si="299"/>
        <v>0</v>
      </c>
      <c r="BC225" s="49">
        <f t="shared" ca="1" si="299"/>
        <v>0</v>
      </c>
      <c r="BD225" s="49">
        <f t="shared" ca="1" si="299"/>
        <v>0</v>
      </c>
      <c r="BE225" s="49">
        <f t="shared" ca="1" si="299"/>
        <v>0</v>
      </c>
      <c r="BF225" s="49">
        <f t="shared" ca="1" si="299"/>
        <v>0</v>
      </c>
      <c r="BG225" s="49">
        <f t="shared" ca="1" si="299"/>
        <v>0</v>
      </c>
      <c r="BH225" s="49">
        <f t="shared" ca="1" si="299"/>
        <v>0</v>
      </c>
      <c r="BI225" s="49">
        <f t="shared" ca="1" si="299"/>
        <v>0</v>
      </c>
      <c r="BJ225" s="49">
        <f t="shared" ca="1" si="299"/>
        <v>0</v>
      </c>
      <c r="BK225" s="49">
        <f t="shared" ca="1" si="299"/>
        <v>0</v>
      </c>
      <c r="BL225" s="49">
        <f t="shared" ca="1" si="299"/>
        <v>0</v>
      </c>
      <c r="BM225" s="49">
        <f t="shared" ca="1" si="299"/>
        <v>0</v>
      </c>
      <c r="BN225" s="49">
        <f t="shared" ca="1" si="299"/>
        <v>0</v>
      </c>
      <c r="BO225" s="49">
        <f t="shared" ca="1" si="299"/>
        <v>0</v>
      </c>
      <c r="BP225" s="49">
        <f t="shared" ca="1" si="299"/>
        <v>0</v>
      </c>
      <c r="BQ225" s="49">
        <f t="shared" ca="1" si="299"/>
        <v>0</v>
      </c>
      <c r="BR225" s="49">
        <f t="shared" ca="1" si="299"/>
        <v>0</v>
      </c>
      <c r="BS225" s="49">
        <f t="shared" ca="1" si="299"/>
        <v>0</v>
      </c>
    </row>
    <row r="226" spans="3:71" outlineLevel="1" x14ac:dyDescent="0.2">
      <c r="E226" t="s">
        <v>206</v>
      </c>
      <c r="H226" s="56" t="b">
        <f ca="1">ROUND(I226,2)=-ROUND(I225,2)</f>
        <v>1</v>
      </c>
      <c r="I226" s="30">
        <f t="shared" ca="1" si="295"/>
        <v>0</v>
      </c>
      <c r="J226" s="26" t="s">
        <v>148</v>
      </c>
      <c r="L226" s="49">
        <f ca="1">-MIN(L225,L224)</f>
        <v>0</v>
      </c>
      <c r="M226" s="49">
        <f t="shared" ref="M226" ca="1" si="300">-MIN(M225,M224)</f>
        <v>0</v>
      </c>
      <c r="N226" s="49">
        <f t="shared" ref="N226" ca="1" si="301">-MIN(N225,N224)</f>
        <v>0</v>
      </c>
      <c r="O226" s="49">
        <f t="shared" ref="O226" ca="1" si="302">-MIN(O225,O224)</f>
        <v>0</v>
      </c>
      <c r="P226" s="49">
        <f t="shared" ref="P226" ca="1" si="303">-MIN(P225,P224)</f>
        <v>0</v>
      </c>
      <c r="Q226" s="49">
        <f t="shared" ref="Q226" ca="1" si="304">-MIN(Q225,Q224)</f>
        <v>0</v>
      </c>
      <c r="R226" s="49">
        <f t="shared" ref="R226" ca="1" si="305">-MIN(R225,R224)</f>
        <v>0</v>
      </c>
      <c r="S226" s="49">
        <f t="shared" ref="S226" ca="1" si="306">-MIN(S225,S224)</f>
        <v>0</v>
      </c>
      <c r="T226" s="49">
        <f t="shared" ref="T226" ca="1" si="307">-MIN(T225,T224)</f>
        <v>0</v>
      </c>
      <c r="U226" s="49">
        <f t="shared" ref="U226" ca="1" si="308">-MIN(U225,U224)</f>
        <v>0</v>
      </c>
      <c r="V226" s="49">
        <f t="shared" ref="V226" ca="1" si="309">-MIN(V225,V224)</f>
        <v>0</v>
      </c>
      <c r="W226" s="49">
        <f t="shared" ref="W226" ca="1" si="310">-MIN(W225,W224)</f>
        <v>0</v>
      </c>
      <c r="X226" s="49">
        <f t="shared" ref="X226" ca="1" si="311">-MIN(X225,X224)</f>
        <v>0</v>
      </c>
      <c r="Y226" s="49">
        <f t="shared" ref="Y226" ca="1" si="312">-MIN(Y225,Y224)</f>
        <v>0</v>
      </c>
      <c r="Z226" s="49">
        <f t="shared" ref="Z226" ca="1" si="313">-MIN(Z225,Z224)</f>
        <v>0</v>
      </c>
      <c r="AA226" s="49">
        <f t="shared" ref="AA226" ca="1" si="314">-MIN(AA225,AA224)</f>
        <v>0</v>
      </c>
      <c r="AB226" s="49">
        <f t="shared" ref="AB226" ca="1" si="315">-MIN(AB225,AB224)</f>
        <v>0</v>
      </c>
      <c r="AC226" s="49">
        <f t="shared" ref="AC226" ca="1" si="316">-MIN(AC225,AC224)</f>
        <v>0</v>
      </c>
      <c r="AD226" s="49">
        <f t="shared" ref="AD226" ca="1" si="317">-MIN(AD225,AD224)</f>
        <v>0</v>
      </c>
      <c r="AE226" s="49">
        <f t="shared" ref="AE226" ca="1" si="318">-MIN(AE225,AE224)</f>
        <v>0</v>
      </c>
      <c r="AF226" s="49">
        <f t="shared" ref="AF226" ca="1" si="319">-MIN(AF225,AF224)</f>
        <v>0</v>
      </c>
      <c r="AG226" s="49">
        <f t="shared" ref="AG226" ca="1" si="320">-MIN(AG225,AG224)</f>
        <v>0</v>
      </c>
      <c r="AH226" s="49">
        <f t="shared" ref="AH226" ca="1" si="321">-MIN(AH225,AH224)</f>
        <v>0</v>
      </c>
      <c r="AI226" s="49">
        <f t="shared" ref="AI226" ca="1" si="322">-MIN(AI225,AI224)</f>
        <v>0</v>
      </c>
      <c r="AJ226" s="49">
        <f t="shared" ref="AJ226" ca="1" si="323">-MIN(AJ225,AJ224)</f>
        <v>0</v>
      </c>
      <c r="AK226" s="49">
        <f t="shared" ref="AK226" ca="1" si="324">-MIN(AK225,AK224)</f>
        <v>0</v>
      </c>
      <c r="AL226" s="49">
        <f t="shared" ref="AL226" ca="1" si="325">-MIN(AL225,AL224)</f>
        <v>0</v>
      </c>
      <c r="AM226" s="49">
        <f t="shared" ref="AM226" ca="1" si="326">-MIN(AM225,AM224)</f>
        <v>0</v>
      </c>
      <c r="AN226" s="49">
        <f t="shared" ref="AN226" ca="1" si="327">-MIN(AN225,AN224)</f>
        <v>0</v>
      </c>
      <c r="AO226" s="49">
        <f t="shared" ref="AO226" ca="1" si="328">-MIN(AO225,AO224)</f>
        <v>0</v>
      </c>
      <c r="AP226" s="49">
        <f t="shared" ref="AP226" ca="1" si="329">-MIN(AP225,AP224)</f>
        <v>0</v>
      </c>
      <c r="AQ226" s="49">
        <f t="shared" ref="AQ226" ca="1" si="330">-MIN(AQ225,AQ224)</f>
        <v>0</v>
      </c>
      <c r="AR226" s="49">
        <f t="shared" ref="AR226" ca="1" si="331">-MIN(AR225,AR224)</f>
        <v>0</v>
      </c>
      <c r="AS226" s="49">
        <f t="shared" ref="AS226" ca="1" si="332">-MIN(AS225,AS224)</f>
        <v>0</v>
      </c>
      <c r="AT226" s="49">
        <f t="shared" ref="AT226" ca="1" si="333">-MIN(AT225,AT224)</f>
        <v>0</v>
      </c>
      <c r="AU226" s="49">
        <f t="shared" ref="AU226" ca="1" si="334">-MIN(AU225,AU224)</f>
        <v>0</v>
      </c>
      <c r="AV226" s="49">
        <f t="shared" ref="AV226" ca="1" si="335">-MIN(AV225,AV224)</f>
        <v>0</v>
      </c>
      <c r="AW226" s="49">
        <f t="shared" ref="AW226" ca="1" si="336">-MIN(AW225,AW224)</f>
        <v>0</v>
      </c>
      <c r="AX226" s="49">
        <f t="shared" ref="AX226" ca="1" si="337">-MIN(AX225,AX224)</f>
        <v>0</v>
      </c>
      <c r="AY226" s="49">
        <f t="shared" ref="AY226" ca="1" si="338">-MIN(AY225,AY224)</f>
        <v>0</v>
      </c>
      <c r="AZ226" s="49">
        <f t="shared" ref="AZ226" ca="1" si="339">-MIN(AZ225,AZ224)</f>
        <v>0</v>
      </c>
      <c r="BA226" s="49">
        <f t="shared" ref="BA226" ca="1" si="340">-MIN(BA225,BA224)</f>
        <v>0</v>
      </c>
      <c r="BB226" s="49">
        <f t="shared" ref="BB226" ca="1" si="341">-MIN(BB225,BB224)</f>
        <v>0</v>
      </c>
      <c r="BC226" s="49">
        <f t="shared" ref="BC226" ca="1" si="342">-MIN(BC225,BC224)</f>
        <v>0</v>
      </c>
      <c r="BD226" s="49">
        <f t="shared" ref="BD226" ca="1" si="343">-MIN(BD225,BD224)</f>
        <v>0</v>
      </c>
      <c r="BE226" s="49">
        <f t="shared" ref="BE226" ca="1" si="344">-MIN(BE225,BE224)</f>
        <v>0</v>
      </c>
      <c r="BF226" s="49">
        <f t="shared" ref="BF226" ca="1" si="345">-MIN(BF225,BF224)</f>
        <v>0</v>
      </c>
      <c r="BG226" s="49">
        <f t="shared" ref="BG226" ca="1" si="346">-MIN(BG225,BG224)</f>
        <v>0</v>
      </c>
      <c r="BH226" s="49">
        <f t="shared" ref="BH226" ca="1" si="347">-MIN(BH225,BH224)</f>
        <v>0</v>
      </c>
      <c r="BI226" s="49">
        <f t="shared" ref="BI226" ca="1" si="348">-MIN(BI225,BI224)</f>
        <v>0</v>
      </c>
      <c r="BJ226" s="49">
        <f t="shared" ref="BJ226" ca="1" si="349">-MIN(BJ225,BJ224)</f>
        <v>0</v>
      </c>
      <c r="BK226" s="49">
        <f t="shared" ref="BK226" ca="1" si="350">-MIN(BK225,BK224)</f>
        <v>0</v>
      </c>
      <c r="BL226" s="49">
        <f t="shared" ref="BL226" ca="1" si="351">-MIN(BL225,BL224)</f>
        <v>0</v>
      </c>
      <c r="BM226" s="49">
        <f t="shared" ref="BM226" ca="1" si="352">-MIN(BM225,BM224)</f>
        <v>0</v>
      </c>
      <c r="BN226" s="49">
        <f t="shared" ref="BN226" ca="1" si="353">-MIN(BN225,BN224)</f>
        <v>0</v>
      </c>
      <c r="BO226" s="49">
        <f t="shared" ref="BO226" ca="1" si="354">-MIN(BO225,BO224)</f>
        <v>0</v>
      </c>
      <c r="BP226" s="49">
        <f t="shared" ref="BP226" ca="1" si="355">-MIN(BP225,BP224)</f>
        <v>0</v>
      </c>
      <c r="BQ226" s="49">
        <f t="shared" ref="BQ226" ca="1" si="356">-MIN(BQ225,BQ224)</f>
        <v>0</v>
      </c>
      <c r="BR226" s="49">
        <f t="shared" ref="BR226" ca="1" si="357">-MIN(BR225,BR224)</f>
        <v>0</v>
      </c>
      <c r="BS226" s="49">
        <f t="shared" ref="BS226" ca="1" si="358">-MIN(BS225,BS224)</f>
        <v>0</v>
      </c>
    </row>
    <row r="227" spans="3:71" outlineLevel="1" x14ac:dyDescent="0.2">
      <c r="E227" t="s">
        <v>195</v>
      </c>
      <c r="L227" s="49">
        <f ca="1">L225+L226</f>
        <v>0</v>
      </c>
      <c r="M227" s="49">
        <f t="shared" ref="M227" ca="1" si="359">M225+M226</f>
        <v>0</v>
      </c>
      <c r="N227" s="49">
        <f t="shared" ref="N227" ca="1" si="360">N225+N226</f>
        <v>0</v>
      </c>
      <c r="O227" s="49">
        <f t="shared" ref="O227" ca="1" si="361">O225+O226</f>
        <v>0</v>
      </c>
      <c r="P227" s="49">
        <f t="shared" ref="P227" ca="1" si="362">P225+P226</f>
        <v>0</v>
      </c>
      <c r="Q227" s="49">
        <f t="shared" ref="Q227" ca="1" si="363">Q225+Q226</f>
        <v>0</v>
      </c>
      <c r="R227" s="49">
        <f t="shared" ref="R227" ca="1" si="364">R225+R226</f>
        <v>0</v>
      </c>
      <c r="S227" s="49">
        <f t="shared" ref="S227" ca="1" si="365">S225+S226</f>
        <v>0</v>
      </c>
      <c r="T227" s="49">
        <f t="shared" ref="T227" ca="1" si="366">T225+T226</f>
        <v>0</v>
      </c>
      <c r="U227" s="49">
        <f t="shared" ref="U227" ca="1" si="367">U225+U226</f>
        <v>0</v>
      </c>
      <c r="V227" s="49">
        <f t="shared" ref="V227" ca="1" si="368">V225+V226</f>
        <v>0</v>
      </c>
      <c r="W227" s="49">
        <f t="shared" ref="W227" ca="1" si="369">W225+W226</f>
        <v>0</v>
      </c>
      <c r="X227" s="49">
        <f t="shared" ref="X227" ca="1" si="370">X225+X226</f>
        <v>0</v>
      </c>
      <c r="Y227" s="49">
        <f t="shared" ref="Y227" ca="1" si="371">Y225+Y226</f>
        <v>0</v>
      </c>
      <c r="Z227" s="49">
        <f t="shared" ref="Z227" ca="1" si="372">Z225+Z226</f>
        <v>0</v>
      </c>
      <c r="AA227" s="49">
        <f t="shared" ref="AA227" ca="1" si="373">AA225+AA226</f>
        <v>0</v>
      </c>
      <c r="AB227" s="49">
        <f t="shared" ref="AB227" ca="1" si="374">AB225+AB226</f>
        <v>0</v>
      </c>
      <c r="AC227" s="49">
        <f t="shared" ref="AC227" ca="1" si="375">AC225+AC226</f>
        <v>0</v>
      </c>
      <c r="AD227" s="49">
        <f t="shared" ref="AD227" ca="1" si="376">AD225+AD226</f>
        <v>0</v>
      </c>
      <c r="AE227" s="49">
        <f t="shared" ref="AE227" ca="1" si="377">AE225+AE226</f>
        <v>0</v>
      </c>
      <c r="AF227" s="49">
        <f t="shared" ref="AF227" ca="1" si="378">AF225+AF226</f>
        <v>0</v>
      </c>
      <c r="AG227" s="49">
        <f t="shared" ref="AG227" ca="1" si="379">AG225+AG226</f>
        <v>0</v>
      </c>
      <c r="AH227" s="49">
        <f t="shared" ref="AH227" ca="1" si="380">AH225+AH226</f>
        <v>0</v>
      </c>
      <c r="AI227" s="49">
        <f t="shared" ref="AI227" ca="1" si="381">AI225+AI226</f>
        <v>0</v>
      </c>
      <c r="AJ227" s="49">
        <f t="shared" ref="AJ227" ca="1" si="382">AJ225+AJ226</f>
        <v>0</v>
      </c>
      <c r="AK227" s="49">
        <f t="shared" ref="AK227" ca="1" si="383">AK225+AK226</f>
        <v>0</v>
      </c>
      <c r="AL227" s="49">
        <f t="shared" ref="AL227" ca="1" si="384">AL225+AL226</f>
        <v>0</v>
      </c>
      <c r="AM227" s="49">
        <f t="shared" ref="AM227" ca="1" si="385">AM225+AM226</f>
        <v>0</v>
      </c>
      <c r="AN227" s="49">
        <f t="shared" ref="AN227" ca="1" si="386">AN225+AN226</f>
        <v>0</v>
      </c>
      <c r="AO227" s="49">
        <f t="shared" ref="AO227" ca="1" si="387">AO225+AO226</f>
        <v>0</v>
      </c>
      <c r="AP227" s="49">
        <f t="shared" ref="AP227" ca="1" si="388">AP225+AP226</f>
        <v>0</v>
      </c>
      <c r="AQ227" s="49">
        <f t="shared" ref="AQ227" ca="1" si="389">AQ225+AQ226</f>
        <v>0</v>
      </c>
      <c r="AR227" s="49">
        <f t="shared" ref="AR227" ca="1" si="390">AR225+AR226</f>
        <v>0</v>
      </c>
      <c r="AS227" s="49">
        <f t="shared" ref="AS227" ca="1" si="391">AS225+AS226</f>
        <v>0</v>
      </c>
      <c r="AT227" s="49">
        <f t="shared" ref="AT227" ca="1" si="392">AT225+AT226</f>
        <v>0</v>
      </c>
      <c r="AU227" s="49">
        <f t="shared" ref="AU227" ca="1" si="393">AU225+AU226</f>
        <v>0</v>
      </c>
      <c r="AV227" s="49">
        <f t="shared" ref="AV227" ca="1" si="394">AV225+AV226</f>
        <v>0</v>
      </c>
      <c r="AW227" s="49">
        <f t="shared" ref="AW227" ca="1" si="395">AW225+AW226</f>
        <v>0</v>
      </c>
      <c r="AX227" s="49">
        <f t="shared" ref="AX227" ca="1" si="396">AX225+AX226</f>
        <v>0</v>
      </c>
      <c r="AY227" s="49">
        <f t="shared" ref="AY227" ca="1" si="397">AY225+AY226</f>
        <v>0</v>
      </c>
      <c r="AZ227" s="49">
        <f t="shared" ref="AZ227" ca="1" si="398">AZ225+AZ226</f>
        <v>0</v>
      </c>
      <c r="BA227" s="49">
        <f t="shared" ref="BA227" ca="1" si="399">BA225+BA226</f>
        <v>0</v>
      </c>
      <c r="BB227" s="49">
        <f t="shared" ref="BB227" ca="1" si="400">BB225+BB226</f>
        <v>0</v>
      </c>
      <c r="BC227" s="49">
        <f t="shared" ref="BC227" ca="1" si="401">BC225+BC226</f>
        <v>0</v>
      </c>
      <c r="BD227" s="49">
        <f t="shared" ref="BD227" ca="1" si="402">BD225+BD226</f>
        <v>0</v>
      </c>
      <c r="BE227" s="49">
        <f t="shared" ref="BE227" ca="1" si="403">BE225+BE226</f>
        <v>0</v>
      </c>
      <c r="BF227" s="49">
        <f t="shared" ref="BF227" ca="1" si="404">BF225+BF226</f>
        <v>0</v>
      </c>
      <c r="BG227" s="49">
        <f t="shared" ref="BG227" ca="1" si="405">BG225+BG226</f>
        <v>0</v>
      </c>
      <c r="BH227" s="49">
        <f t="shared" ref="BH227" ca="1" si="406">BH225+BH226</f>
        <v>0</v>
      </c>
      <c r="BI227" s="49">
        <f t="shared" ref="BI227" ca="1" si="407">BI225+BI226</f>
        <v>0</v>
      </c>
      <c r="BJ227" s="49">
        <f t="shared" ref="BJ227" ca="1" si="408">BJ225+BJ226</f>
        <v>0</v>
      </c>
      <c r="BK227" s="49">
        <f t="shared" ref="BK227" ca="1" si="409">BK225+BK226</f>
        <v>0</v>
      </c>
      <c r="BL227" s="49">
        <f t="shared" ref="BL227" ca="1" si="410">BL225+BL226</f>
        <v>0</v>
      </c>
      <c r="BM227" s="49">
        <f t="shared" ref="BM227" ca="1" si="411">BM225+BM226</f>
        <v>0</v>
      </c>
      <c r="BN227" s="49">
        <f t="shared" ref="BN227" ca="1" si="412">BN225+BN226</f>
        <v>0</v>
      </c>
      <c r="BO227" s="49">
        <f t="shared" ref="BO227" ca="1" si="413">BO225+BO226</f>
        <v>0</v>
      </c>
      <c r="BP227" s="49">
        <f t="shared" ref="BP227" ca="1" si="414">BP225+BP226</f>
        <v>0</v>
      </c>
      <c r="BQ227" s="49">
        <f t="shared" ref="BQ227" ca="1" si="415">BQ225+BQ226</f>
        <v>0</v>
      </c>
      <c r="BR227" s="49">
        <f t="shared" ref="BR227" ca="1" si="416">BR225+BR226</f>
        <v>0</v>
      </c>
      <c r="BS227" s="49">
        <f t="shared" ref="BS227" ca="1" si="417">BS225+BS226</f>
        <v>0</v>
      </c>
    </row>
    <row r="228" spans="3:71" outlineLevel="1" x14ac:dyDescent="0.2"/>
    <row r="229" spans="3:71" outlineLevel="1" x14ac:dyDescent="0.2">
      <c r="D229" s="11" t="s">
        <v>207</v>
      </c>
      <c r="H229" s="56" t="b">
        <f ca="1">ROUND(I229,2)=ROUND(I194,2)</f>
        <v>0</v>
      </c>
      <c r="I229" s="30">
        <f t="shared" ca="1" si="295"/>
        <v>3849.0512366668968</v>
      </c>
      <c r="J229" s="26" t="s">
        <v>148</v>
      </c>
      <c r="K229" s="7" t="s">
        <v>208</v>
      </c>
      <c r="L229" s="49">
        <f ca="1">-SUM(L226,L220,L214,L208)</f>
        <v>383.30754832286999</v>
      </c>
      <c r="M229" s="49">
        <f t="shared" ref="M229:BS229" ca="1" si="418">-SUM(M226,M220,M214,M208)</f>
        <v>397.79938392794992</v>
      </c>
      <c r="N229" s="49">
        <f t="shared" ca="1" si="418"/>
        <v>80.118710700325011</v>
      </c>
      <c r="O229" s="49">
        <f t="shared" ca="1" si="418"/>
        <v>75.624846952010458</v>
      </c>
      <c r="P229" s="49">
        <f t="shared" ca="1" si="418"/>
        <v>209.77238861937408</v>
      </c>
      <c r="Q229" s="49">
        <f t="shared" ca="1" si="418"/>
        <v>416.97985991763056</v>
      </c>
      <c r="R229" s="49">
        <f t="shared" ca="1" si="418"/>
        <v>398.01925906474838</v>
      </c>
      <c r="S229" s="49">
        <f t="shared" ca="1" si="418"/>
        <v>231.05309811480001</v>
      </c>
      <c r="T229" s="49">
        <f t="shared" ca="1" si="418"/>
        <v>352.56936776892479</v>
      </c>
      <c r="U229" s="49">
        <f t="shared" ca="1" si="418"/>
        <v>351.952409537694</v>
      </c>
      <c r="V229" s="49">
        <f t="shared" ca="1" si="418"/>
        <v>333.86205568745646</v>
      </c>
      <c r="W229" s="49">
        <f t="shared" ca="1" si="418"/>
        <v>317.56922149368313</v>
      </c>
      <c r="X229" s="49">
        <f t="shared" ca="1" si="418"/>
        <v>300.42308655942992</v>
      </c>
      <c r="Y229" s="49">
        <f t="shared" ca="1" si="418"/>
        <v>0</v>
      </c>
      <c r="Z229" s="49">
        <f t="shared" ca="1" si="418"/>
        <v>0</v>
      </c>
      <c r="AA229" s="49">
        <f t="shared" ca="1" si="418"/>
        <v>0</v>
      </c>
      <c r="AB229" s="49">
        <f t="shared" ca="1" si="418"/>
        <v>0</v>
      </c>
      <c r="AC229" s="49">
        <f t="shared" ca="1" si="418"/>
        <v>0</v>
      </c>
      <c r="AD229" s="49">
        <f t="shared" ca="1" si="418"/>
        <v>0</v>
      </c>
      <c r="AE229" s="49">
        <f t="shared" ca="1" si="418"/>
        <v>0</v>
      </c>
      <c r="AF229" s="49">
        <f t="shared" ca="1" si="418"/>
        <v>0</v>
      </c>
      <c r="AG229" s="49">
        <f t="shared" ca="1" si="418"/>
        <v>0</v>
      </c>
      <c r="AH229" s="49">
        <f t="shared" ca="1" si="418"/>
        <v>0</v>
      </c>
      <c r="AI229" s="49">
        <f t="shared" ca="1" si="418"/>
        <v>0</v>
      </c>
      <c r="AJ229" s="49">
        <f t="shared" ca="1" si="418"/>
        <v>0</v>
      </c>
      <c r="AK229" s="49">
        <f t="shared" ca="1" si="418"/>
        <v>0</v>
      </c>
      <c r="AL229" s="49">
        <f t="shared" ca="1" si="418"/>
        <v>0</v>
      </c>
      <c r="AM229" s="49">
        <f t="shared" ca="1" si="418"/>
        <v>0</v>
      </c>
      <c r="AN229" s="49">
        <f t="shared" ca="1" si="418"/>
        <v>0</v>
      </c>
      <c r="AO229" s="49">
        <f t="shared" ca="1" si="418"/>
        <v>0</v>
      </c>
      <c r="AP229" s="49">
        <f t="shared" ca="1" si="418"/>
        <v>0</v>
      </c>
      <c r="AQ229" s="49">
        <f t="shared" ca="1" si="418"/>
        <v>0</v>
      </c>
      <c r="AR229" s="49">
        <f t="shared" ca="1" si="418"/>
        <v>0</v>
      </c>
      <c r="AS229" s="49">
        <f t="shared" ca="1" si="418"/>
        <v>0</v>
      </c>
      <c r="AT229" s="49">
        <f t="shared" ca="1" si="418"/>
        <v>0</v>
      </c>
      <c r="AU229" s="49">
        <f t="shared" ca="1" si="418"/>
        <v>0</v>
      </c>
      <c r="AV229" s="49">
        <f t="shared" ca="1" si="418"/>
        <v>0</v>
      </c>
      <c r="AW229" s="49">
        <f t="shared" ca="1" si="418"/>
        <v>0</v>
      </c>
      <c r="AX229" s="49">
        <f t="shared" ca="1" si="418"/>
        <v>0</v>
      </c>
      <c r="AY229" s="49">
        <f t="shared" ca="1" si="418"/>
        <v>0</v>
      </c>
      <c r="AZ229" s="49">
        <f t="shared" ca="1" si="418"/>
        <v>0</v>
      </c>
      <c r="BA229" s="49">
        <f t="shared" ca="1" si="418"/>
        <v>0</v>
      </c>
      <c r="BB229" s="49">
        <f t="shared" ca="1" si="418"/>
        <v>0</v>
      </c>
      <c r="BC229" s="49">
        <f t="shared" ca="1" si="418"/>
        <v>0</v>
      </c>
      <c r="BD229" s="49">
        <f t="shared" ca="1" si="418"/>
        <v>0</v>
      </c>
      <c r="BE229" s="49">
        <f t="shared" ca="1" si="418"/>
        <v>0</v>
      </c>
      <c r="BF229" s="49">
        <f t="shared" ca="1" si="418"/>
        <v>0</v>
      </c>
      <c r="BG229" s="49">
        <f t="shared" ca="1" si="418"/>
        <v>0</v>
      </c>
      <c r="BH229" s="49">
        <f t="shared" ca="1" si="418"/>
        <v>0</v>
      </c>
      <c r="BI229" s="49">
        <f t="shared" ca="1" si="418"/>
        <v>0</v>
      </c>
      <c r="BJ229" s="49">
        <f t="shared" ca="1" si="418"/>
        <v>0</v>
      </c>
      <c r="BK229" s="49">
        <f t="shared" ca="1" si="418"/>
        <v>0</v>
      </c>
      <c r="BL229" s="49">
        <f t="shared" ca="1" si="418"/>
        <v>0</v>
      </c>
      <c r="BM229" s="49">
        <f t="shared" ca="1" si="418"/>
        <v>0</v>
      </c>
      <c r="BN229" s="49">
        <f t="shared" ca="1" si="418"/>
        <v>0</v>
      </c>
      <c r="BO229" s="49">
        <f t="shared" ca="1" si="418"/>
        <v>0</v>
      </c>
      <c r="BP229" s="49">
        <f t="shared" ca="1" si="418"/>
        <v>0</v>
      </c>
      <c r="BQ229" s="49">
        <f t="shared" ca="1" si="418"/>
        <v>0</v>
      </c>
      <c r="BR229" s="49">
        <f t="shared" ca="1" si="418"/>
        <v>0</v>
      </c>
      <c r="BS229" s="49">
        <f t="shared" ca="1" si="418"/>
        <v>0</v>
      </c>
    </row>
    <row r="230" spans="3:71" outlineLevel="1" x14ac:dyDescent="0.2"/>
    <row r="231" spans="3:71" outlineLevel="1" x14ac:dyDescent="0.2">
      <c r="C231" s="11" t="s">
        <v>85</v>
      </c>
    </row>
    <row r="232" spans="3:71" outlineLevel="1" x14ac:dyDescent="0.2">
      <c r="D232" t="s">
        <v>209</v>
      </c>
      <c r="I232" s="30">
        <f t="shared" ref="I232:I235" ca="1" si="419">SUM($L232:$BS232)</f>
        <v>106.88249259588856</v>
      </c>
      <c r="J232" s="26" t="s">
        <v>148</v>
      </c>
      <c r="K232" s="7" t="s">
        <v>210</v>
      </c>
      <c r="L232" s="49">
        <f t="shared" ref="L232:AQ232" ca="1" si="420">IF(CA_cost_stop-CA_cost_recovered_total&lt;0,0,CA_cost_stop-CA_cost_recovered_total)</f>
        <v>0</v>
      </c>
      <c r="M232" s="49">
        <f t="shared" ca="1" si="420"/>
        <v>0</v>
      </c>
      <c r="N232" s="49">
        <f t="shared" ca="1" si="420"/>
        <v>9.2127540551149849</v>
      </c>
      <c r="O232" s="49">
        <f t="shared" ca="1" si="420"/>
        <v>23.928577455573532</v>
      </c>
      <c r="P232" s="49">
        <f t="shared" ca="1" si="420"/>
        <v>0</v>
      </c>
      <c r="Q232" s="49">
        <f t="shared" ca="1" si="420"/>
        <v>0</v>
      </c>
      <c r="R232" s="49">
        <f t="shared" ca="1" si="420"/>
        <v>0</v>
      </c>
      <c r="S232" s="49">
        <f t="shared" ca="1" si="420"/>
        <v>73.741161085200048</v>
      </c>
      <c r="T232" s="49">
        <f t="shared" ca="1" si="420"/>
        <v>0</v>
      </c>
      <c r="U232" s="49">
        <f t="shared" ca="1" si="420"/>
        <v>0</v>
      </c>
      <c r="V232" s="49">
        <f t="shared" ca="1" si="420"/>
        <v>0</v>
      </c>
      <c r="W232" s="49">
        <f t="shared" ca="1" si="420"/>
        <v>0</v>
      </c>
      <c r="X232" s="49">
        <f t="shared" ca="1" si="420"/>
        <v>0</v>
      </c>
      <c r="Y232" s="49">
        <f t="shared" ca="1" si="420"/>
        <v>0</v>
      </c>
      <c r="Z232" s="49">
        <f t="shared" ca="1" si="420"/>
        <v>0</v>
      </c>
      <c r="AA232" s="49">
        <f t="shared" ca="1" si="420"/>
        <v>0</v>
      </c>
      <c r="AB232" s="49">
        <f t="shared" ca="1" si="420"/>
        <v>0</v>
      </c>
      <c r="AC232" s="49">
        <f t="shared" ca="1" si="420"/>
        <v>0</v>
      </c>
      <c r="AD232" s="49">
        <f t="shared" ca="1" si="420"/>
        <v>0</v>
      </c>
      <c r="AE232" s="49">
        <f t="shared" ca="1" si="420"/>
        <v>0</v>
      </c>
      <c r="AF232" s="49">
        <f t="shared" ca="1" si="420"/>
        <v>0</v>
      </c>
      <c r="AG232" s="49">
        <f t="shared" ca="1" si="420"/>
        <v>0</v>
      </c>
      <c r="AH232" s="49">
        <f t="shared" ca="1" si="420"/>
        <v>0</v>
      </c>
      <c r="AI232" s="49">
        <f t="shared" ca="1" si="420"/>
        <v>0</v>
      </c>
      <c r="AJ232" s="49">
        <f t="shared" ca="1" si="420"/>
        <v>0</v>
      </c>
      <c r="AK232" s="49">
        <f t="shared" ca="1" si="420"/>
        <v>0</v>
      </c>
      <c r="AL232" s="49">
        <f t="shared" ca="1" si="420"/>
        <v>0</v>
      </c>
      <c r="AM232" s="49">
        <f t="shared" ca="1" si="420"/>
        <v>0</v>
      </c>
      <c r="AN232" s="49">
        <f t="shared" ca="1" si="420"/>
        <v>0</v>
      </c>
      <c r="AO232" s="49">
        <f t="shared" ca="1" si="420"/>
        <v>0</v>
      </c>
      <c r="AP232" s="49">
        <f t="shared" ca="1" si="420"/>
        <v>0</v>
      </c>
      <c r="AQ232" s="49">
        <f t="shared" ca="1" si="420"/>
        <v>0</v>
      </c>
      <c r="AR232" s="49">
        <f t="shared" ref="AR232:BS232" ca="1" si="421">IF(CA_cost_stop-CA_cost_recovered_total&lt;0,0,CA_cost_stop-CA_cost_recovered_total)</f>
        <v>0</v>
      </c>
      <c r="AS232" s="49">
        <f t="shared" ca="1" si="421"/>
        <v>0</v>
      </c>
      <c r="AT232" s="49">
        <f t="shared" ca="1" si="421"/>
        <v>0</v>
      </c>
      <c r="AU232" s="49">
        <f t="shared" ca="1" si="421"/>
        <v>0</v>
      </c>
      <c r="AV232" s="49">
        <f t="shared" ca="1" si="421"/>
        <v>0</v>
      </c>
      <c r="AW232" s="49">
        <f t="shared" ca="1" si="421"/>
        <v>0</v>
      </c>
      <c r="AX232" s="49">
        <f t="shared" ca="1" si="421"/>
        <v>0</v>
      </c>
      <c r="AY232" s="49">
        <f t="shared" ca="1" si="421"/>
        <v>0</v>
      </c>
      <c r="AZ232" s="49">
        <f t="shared" ca="1" si="421"/>
        <v>0</v>
      </c>
      <c r="BA232" s="49">
        <f t="shared" ca="1" si="421"/>
        <v>0</v>
      </c>
      <c r="BB232" s="49">
        <f t="shared" ca="1" si="421"/>
        <v>0</v>
      </c>
      <c r="BC232" s="49">
        <f t="shared" ca="1" si="421"/>
        <v>0</v>
      </c>
      <c r="BD232" s="49">
        <f t="shared" ca="1" si="421"/>
        <v>0</v>
      </c>
      <c r="BE232" s="49">
        <f t="shared" ca="1" si="421"/>
        <v>0</v>
      </c>
      <c r="BF232" s="49">
        <f t="shared" ca="1" si="421"/>
        <v>0</v>
      </c>
      <c r="BG232" s="49">
        <f t="shared" ca="1" si="421"/>
        <v>0</v>
      </c>
      <c r="BH232" s="49">
        <f t="shared" ca="1" si="421"/>
        <v>0</v>
      </c>
      <c r="BI232" s="49">
        <f t="shared" ca="1" si="421"/>
        <v>0</v>
      </c>
      <c r="BJ232" s="49">
        <f t="shared" ca="1" si="421"/>
        <v>0</v>
      </c>
      <c r="BK232" s="49">
        <f t="shared" ca="1" si="421"/>
        <v>0</v>
      </c>
      <c r="BL232" s="49">
        <f t="shared" ca="1" si="421"/>
        <v>0</v>
      </c>
      <c r="BM232" s="49">
        <f t="shared" ca="1" si="421"/>
        <v>0</v>
      </c>
      <c r="BN232" s="49">
        <f t="shared" ca="1" si="421"/>
        <v>0</v>
      </c>
      <c r="BO232" s="49">
        <f t="shared" ca="1" si="421"/>
        <v>0</v>
      </c>
      <c r="BP232" s="49">
        <f t="shared" ca="1" si="421"/>
        <v>0</v>
      </c>
      <c r="BQ232" s="49">
        <f t="shared" ca="1" si="421"/>
        <v>0</v>
      </c>
      <c r="BR232" s="49">
        <f t="shared" ca="1" si="421"/>
        <v>0</v>
      </c>
      <c r="BS232" s="49">
        <f t="shared" ca="1" si="421"/>
        <v>0</v>
      </c>
    </row>
    <row r="233" spans="3:71" outlineLevel="1" x14ac:dyDescent="0.2"/>
    <row r="234" spans="3:71" outlineLevel="1" x14ac:dyDescent="0.2">
      <c r="D234" t="s">
        <v>211</v>
      </c>
      <c r="I234" s="30">
        <f t="shared" ca="1" si="419"/>
        <v>21.376498519177709</v>
      </c>
      <c r="J234" s="26" t="s">
        <v>148</v>
      </c>
      <c r="K234" s="7" t="s">
        <v>214</v>
      </c>
      <c r="L234" s="49">
        <f t="shared" ref="L234:AQ234" ca="1" si="422">INDEX(FA_ECR_cont_rate,MATCH(CA_cum_gross_prod_oil,FA_ECR_cumprod_oil,1))*CA_excess_cost_recovery</f>
        <v>0</v>
      </c>
      <c r="M234" s="49">
        <f t="shared" ca="1" si="422"/>
        <v>0</v>
      </c>
      <c r="N234" s="49">
        <f t="shared" ca="1" si="422"/>
        <v>1.8425508110229967</v>
      </c>
      <c r="O234" s="49">
        <f t="shared" ca="1" si="422"/>
        <v>4.7857154911147051</v>
      </c>
      <c r="P234" s="49">
        <f t="shared" ca="1" si="422"/>
        <v>0</v>
      </c>
      <c r="Q234" s="49">
        <f t="shared" ca="1" si="422"/>
        <v>0</v>
      </c>
      <c r="R234" s="49">
        <f t="shared" ca="1" si="422"/>
        <v>0</v>
      </c>
      <c r="S234" s="49">
        <f t="shared" ca="1" si="422"/>
        <v>14.748232217040007</v>
      </c>
      <c r="T234" s="49">
        <f t="shared" ca="1" si="422"/>
        <v>0</v>
      </c>
      <c r="U234" s="49">
        <f t="shared" ca="1" si="422"/>
        <v>0</v>
      </c>
      <c r="V234" s="49">
        <f t="shared" ca="1" si="422"/>
        <v>0</v>
      </c>
      <c r="W234" s="49">
        <f t="shared" ca="1" si="422"/>
        <v>0</v>
      </c>
      <c r="X234" s="49">
        <f t="shared" ca="1" si="422"/>
        <v>0</v>
      </c>
      <c r="Y234" s="49">
        <f t="shared" ca="1" si="422"/>
        <v>0</v>
      </c>
      <c r="Z234" s="49">
        <f t="shared" ca="1" si="422"/>
        <v>0</v>
      </c>
      <c r="AA234" s="49">
        <f t="shared" ca="1" si="422"/>
        <v>0</v>
      </c>
      <c r="AB234" s="49">
        <f t="shared" ca="1" si="422"/>
        <v>0</v>
      </c>
      <c r="AC234" s="49">
        <f t="shared" ca="1" si="422"/>
        <v>0</v>
      </c>
      <c r="AD234" s="49">
        <f t="shared" ca="1" si="422"/>
        <v>0</v>
      </c>
      <c r="AE234" s="49">
        <f t="shared" ca="1" si="422"/>
        <v>0</v>
      </c>
      <c r="AF234" s="49">
        <f t="shared" ca="1" si="422"/>
        <v>0</v>
      </c>
      <c r="AG234" s="49">
        <f t="shared" ca="1" si="422"/>
        <v>0</v>
      </c>
      <c r="AH234" s="49">
        <f t="shared" ca="1" si="422"/>
        <v>0</v>
      </c>
      <c r="AI234" s="49">
        <f t="shared" ca="1" si="422"/>
        <v>0</v>
      </c>
      <c r="AJ234" s="49">
        <f t="shared" ca="1" si="422"/>
        <v>0</v>
      </c>
      <c r="AK234" s="49">
        <f t="shared" ca="1" si="422"/>
        <v>0</v>
      </c>
      <c r="AL234" s="49">
        <f t="shared" ca="1" si="422"/>
        <v>0</v>
      </c>
      <c r="AM234" s="49">
        <f t="shared" ca="1" si="422"/>
        <v>0</v>
      </c>
      <c r="AN234" s="49">
        <f t="shared" ca="1" si="422"/>
        <v>0</v>
      </c>
      <c r="AO234" s="49">
        <f t="shared" ca="1" si="422"/>
        <v>0</v>
      </c>
      <c r="AP234" s="49">
        <f t="shared" ca="1" si="422"/>
        <v>0</v>
      </c>
      <c r="AQ234" s="49">
        <f t="shared" ca="1" si="422"/>
        <v>0</v>
      </c>
      <c r="AR234" s="49">
        <f t="shared" ref="AR234:BS234" ca="1" si="423">INDEX(FA_ECR_cont_rate,MATCH(CA_cum_gross_prod_oil,FA_ECR_cumprod_oil,1))*CA_excess_cost_recovery</f>
        <v>0</v>
      </c>
      <c r="AS234" s="49">
        <f t="shared" ca="1" si="423"/>
        <v>0</v>
      </c>
      <c r="AT234" s="49">
        <f t="shared" ca="1" si="423"/>
        <v>0</v>
      </c>
      <c r="AU234" s="49">
        <f t="shared" ca="1" si="423"/>
        <v>0</v>
      </c>
      <c r="AV234" s="49">
        <f t="shared" ca="1" si="423"/>
        <v>0</v>
      </c>
      <c r="AW234" s="49">
        <f t="shared" ca="1" si="423"/>
        <v>0</v>
      </c>
      <c r="AX234" s="49">
        <f t="shared" ca="1" si="423"/>
        <v>0</v>
      </c>
      <c r="AY234" s="49">
        <f t="shared" ca="1" si="423"/>
        <v>0</v>
      </c>
      <c r="AZ234" s="49">
        <f t="shared" ca="1" si="423"/>
        <v>0</v>
      </c>
      <c r="BA234" s="49">
        <f t="shared" ca="1" si="423"/>
        <v>0</v>
      </c>
      <c r="BB234" s="49">
        <f t="shared" ca="1" si="423"/>
        <v>0</v>
      </c>
      <c r="BC234" s="49">
        <f t="shared" ca="1" si="423"/>
        <v>0</v>
      </c>
      <c r="BD234" s="49">
        <f t="shared" ca="1" si="423"/>
        <v>0</v>
      </c>
      <c r="BE234" s="49">
        <f t="shared" ca="1" si="423"/>
        <v>0</v>
      </c>
      <c r="BF234" s="49">
        <f t="shared" ca="1" si="423"/>
        <v>0</v>
      </c>
      <c r="BG234" s="49">
        <f t="shared" ca="1" si="423"/>
        <v>0</v>
      </c>
      <c r="BH234" s="49">
        <f t="shared" ca="1" si="423"/>
        <v>0</v>
      </c>
      <c r="BI234" s="49">
        <f t="shared" ca="1" si="423"/>
        <v>0</v>
      </c>
      <c r="BJ234" s="49">
        <f t="shared" ca="1" si="423"/>
        <v>0</v>
      </c>
      <c r="BK234" s="49">
        <f t="shared" ca="1" si="423"/>
        <v>0</v>
      </c>
      <c r="BL234" s="49">
        <f t="shared" ca="1" si="423"/>
        <v>0</v>
      </c>
      <c r="BM234" s="49">
        <f t="shared" ca="1" si="423"/>
        <v>0</v>
      </c>
      <c r="BN234" s="49">
        <f t="shared" ca="1" si="423"/>
        <v>0</v>
      </c>
      <c r="BO234" s="49">
        <f t="shared" ca="1" si="423"/>
        <v>0</v>
      </c>
      <c r="BP234" s="49">
        <f t="shared" ca="1" si="423"/>
        <v>0</v>
      </c>
      <c r="BQ234" s="49">
        <f t="shared" ca="1" si="423"/>
        <v>0</v>
      </c>
      <c r="BR234" s="49">
        <f t="shared" ca="1" si="423"/>
        <v>0</v>
      </c>
      <c r="BS234" s="49">
        <f t="shared" ca="1" si="423"/>
        <v>0</v>
      </c>
    </row>
    <row r="235" spans="3:71" outlineLevel="1" x14ac:dyDescent="0.2">
      <c r="D235" t="s">
        <v>215</v>
      </c>
      <c r="I235" s="30">
        <f t="shared" ca="1" si="419"/>
        <v>85.505994076710863</v>
      </c>
      <c r="J235" s="26" t="s">
        <v>148</v>
      </c>
      <c r="K235" s="7" t="s">
        <v>216</v>
      </c>
      <c r="L235" s="49">
        <f t="shared" ref="L235:AQ235" ca="1" si="424">CA_excess_cost_recovery-CA_excess_CR_cont</f>
        <v>0</v>
      </c>
      <c r="M235" s="49">
        <f t="shared" ca="1" si="424"/>
        <v>0</v>
      </c>
      <c r="N235" s="49">
        <f t="shared" ca="1" si="424"/>
        <v>7.3702032440919885</v>
      </c>
      <c r="O235" s="49">
        <f t="shared" ca="1" si="424"/>
        <v>19.142861964458827</v>
      </c>
      <c r="P235" s="49">
        <f t="shared" ca="1" si="424"/>
        <v>0</v>
      </c>
      <c r="Q235" s="49">
        <f t="shared" ca="1" si="424"/>
        <v>0</v>
      </c>
      <c r="R235" s="49">
        <f t="shared" ca="1" si="424"/>
        <v>0</v>
      </c>
      <c r="S235" s="49">
        <f t="shared" ca="1" si="424"/>
        <v>58.992928868160043</v>
      </c>
      <c r="T235" s="49">
        <f t="shared" ca="1" si="424"/>
        <v>0</v>
      </c>
      <c r="U235" s="49">
        <f t="shared" ca="1" si="424"/>
        <v>0</v>
      </c>
      <c r="V235" s="49">
        <f t="shared" ca="1" si="424"/>
        <v>0</v>
      </c>
      <c r="W235" s="49">
        <f t="shared" ca="1" si="424"/>
        <v>0</v>
      </c>
      <c r="X235" s="49">
        <f t="shared" ca="1" si="424"/>
        <v>0</v>
      </c>
      <c r="Y235" s="49">
        <f t="shared" ca="1" si="424"/>
        <v>0</v>
      </c>
      <c r="Z235" s="49">
        <f t="shared" ca="1" si="424"/>
        <v>0</v>
      </c>
      <c r="AA235" s="49">
        <f t="shared" ca="1" si="424"/>
        <v>0</v>
      </c>
      <c r="AB235" s="49">
        <f t="shared" ca="1" si="424"/>
        <v>0</v>
      </c>
      <c r="AC235" s="49">
        <f t="shared" ca="1" si="424"/>
        <v>0</v>
      </c>
      <c r="AD235" s="49">
        <f t="shared" ca="1" si="424"/>
        <v>0</v>
      </c>
      <c r="AE235" s="49">
        <f t="shared" ca="1" si="424"/>
        <v>0</v>
      </c>
      <c r="AF235" s="49">
        <f t="shared" ca="1" si="424"/>
        <v>0</v>
      </c>
      <c r="AG235" s="49">
        <f t="shared" ca="1" si="424"/>
        <v>0</v>
      </c>
      <c r="AH235" s="49">
        <f t="shared" ca="1" si="424"/>
        <v>0</v>
      </c>
      <c r="AI235" s="49">
        <f t="shared" ca="1" si="424"/>
        <v>0</v>
      </c>
      <c r="AJ235" s="49">
        <f t="shared" ca="1" si="424"/>
        <v>0</v>
      </c>
      <c r="AK235" s="49">
        <f t="shared" ca="1" si="424"/>
        <v>0</v>
      </c>
      <c r="AL235" s="49">
        <f t="shared" ca="1" si="424"/>
        <v>0</v>
      </c>
      <c r="AM235" s="49">
        <f t="shared" ca="1" si="424"/>
        <v>0</v>
      </c>
      <c r="AN235" s="49">
        <f t="shared" ca="1" si="424"/>
        <v>0</v>
      </c>
      <c r="AO235" s="49">
        <f t="shared" ca="1" si="424"/>
        <v>0</v>
      </c>
      <c r="AP235" s="49">
        <f t="shared" ca="1" si="424"/>
        <v>0</v>
      </c>
      <c r="AQ235" s="49">
        <f t="shared" ca="1" si="424"/>
        <v>0</v>
      </c>
      <c r="AR235" s="49">
        <f t="shared" ref="AR235:BS235" ca="1" si="425">CA_excess_cost_recovery-CA_excess_CR_cont</f>
        <v>0</v>
      </c>
      <c r="AS235" s="49">
        <f t="shared" ca="1" si="425"/>
        <v>0</v>
      </c>
      <c r="AT235" s="49">
        <f t="shared" ca="1" si="425"/>
        <v>0</v>
      </c>
      <c r="AU235" s="49">
        <f t="shared" ca="1" si="425"/>
        <v>0</v>
      </c>
      <c r="AV235" s="49">
        <f t="shared" ca="1" si="425"/>
        <v>0</v>
      </c>
      <c r="AW235" s="49">
        <f t="shared" ca="1" si="425"/>
        <v>0</v>
      </c>
      <c r="AX235" s="49">
        <f t="shared" ca="1" si="425"/>
        <v>0</v>
      </c>
      <c r="AY235" s="49">
        <f t="shared" ca="1" si="425"/>
        <v>0</v>
      </c>
      <c r="AZ235" s="49">
        <f t="shared" ca="1" si="425"/>
        <v>0</v>
      </c>
      <c r="BA235" s="49">
        <f t="shared" ca="1" si="425"/>
        <v>0</v>
      </c>
      <c r="BB235" s="49">
        <f t="shared" ca="1" si="425"/>
        <v>0</v>
      </c>
      <c r="BC235" s="49">
        <f t="shared" ca="1" si="425"/>
        <v>0</v>
      </c>
      <c r="BD235" s="49">
        <f t="shared" ca="1" si="425"/>
        <v>0</v>
      </c>
      <c r="BE235" s="49">
        <f t="shared" ca="1" si="425"/>
        <v>0</v>
      </c>
      <c r="BF235" s="49">
        <f t="shared" ca="1" si="425"/>
        <v>0</v>
      </c>
      <c r="BG235" s="49">
        <f t="shared" ca="1" si="425"/>
        <v>0</v>
      </c>
      <c r="BH235" s="49">
        <f t="shared" ca="1" si="425"/>
        <v>0</v>
      </c>
      <c r="BI235" s="49">
        <f t="shared" ca="1" si="425"/>
        <v>0</v>
      </c>
      <c r="BJ235" s="49">
        <f t="shared" ca="1" si="425"/>
        <v>0</v>
      </c>
      <c r="BK235" s="49">
        <f t="shared" ca="1" si="425"/>
        <v>0</v>
      </c>
      <c r="BL235" s="49">
        <f t="shared" ca="1" si="425"/>
        <v>0</v>
      </c>
      <c r="BM235" s="49">
        <f t="shared" ca="1" si="425"/>
        <v>0</v>
      </c>
      <c r="BN235" s="49">
        <f t="shared" ca="1" si="425"/>
        <v>0</v>
      </c>
      <c r="BO235" s="49">
        <f t="shared" ca="1" si="425"/>
        <v>0</v>
      </c>
      <c r="BP235" s="49">
        <f t="shared" ca="1" si="425"/>
        <v>0</v>
      </c>
      <c r="BQ235" s="49">
        <f t="shared" ca="1" si="425"/>
        <v>0</v>
      </c>
      <c r="BR235" s="49">
        <f t="shared" ca="1" si="425"/>
        <v>0</v>
      </c>
      <c r="BS235" s="49">
        <f t="shared" ca="1" si="425"/>
        <v>0</v>
      </c>
    </row>
    <row r="236" spans="3:71" outlineLevel="1" x14ac:dyDescent="0.2"/>
    <row r="237" spans="3:71" outlineLevel="1" x14ac:dyDescent="0.2"/>
    <row r="238" spans="3:71" outlineLevel="1" x14ac:dyDescent="0.2">
      <c r="C238" s="11" t="s">
        <v>98</v>
      </c>
    </row>
    <row r="239" spans="3:71" outlineLevel="1" x14ac:dyDescent="0.2"/>
    <row r="240" spans="3:71" outlineLevel="1" x14ac:dyDescent="0.2">
      <c r="D240" s="35" t="s">
        <v>217</v>
      </c>
      <c r="K240" s="7" t="s">
        <v>219</v>
      </c>
      <c r="L240" s="49">
        <f t="shared" ref="L240:AQ240" ca="1" si="426">1*AND(CA_FP_oil_nom&gt;CA_HP_oil_nom,CA_op_trig=1)</f>
        <v>1</v>
      </c>
      <c r="M240" s="49">
        <f t="shared" ca="1" si="426"/>
        <v>1</v>
      </c>
      <c r="N240" s="49">
        <f t="shared" ca="1" si="426"/>
        <v>1</v>
      </c>
      <c r="O240" s="49">
        <f t="shared" ca="1" si="426"/>
        <v>1</v>
      </c>
      <c r="P240" s="49">
        <f t="shared" ca="1" si="426"/>
        <v>1</v>
      </c>
      <c r="Q240" s="49">
        <f t="shared" ca="1" si="426"/>
        <v>1</v>
      </c>
      <c r="R240" s="49">
        <f t="shared" ca="1" si="426"/>
        <v>1</v>
      </c>
      <c r="S240" s="49">
        <f t="shared" ca="1" si="426"/>
        <v>1</v>
      </c>
      <c r="T240" s="49">
        <f t="shared" ca="1" si="426"/>
        <v>1</v>
      </c>
      <c r="U240" s="49">
        <f t="shared" ca="1" si="426"/>
        <v>1</v>
      </c>
      <c r="V240" s="49">
        <f t="shared" ca="1" si="426"/>
        <v>1</v>
      </c>
      <c r="W240" s="49">
        <f t="shared" ca="1" si="426"/>
        <v>1</v>
      </c>
      <c r="X240" s="49">
        <f t="shared" ca="1" si="426"/>
        <v>1</v>
      </c>
      <c r="Y240" s="49">
        <f t="shared" ca="1" si="426"/>
        <v>0</v>
      </c>
      <c r="Z240" s="49">
        <f t="shared" ca="1" si="426"/>
        <v>0</v>
      </c>
      <c r="AA240" s="49">
        <f t="shared" ca="1" si="426"/>
        <v>0</v>
      </c>
      <c r="AB240" s="49">
        <f t="shared" ca="1" si="426"/>
        <v>0</v>
      </c>
      <c r="AC240" s="49">
        <f t="shared" ca="1" si="426"/>
        <v>0</v>
      </c>
      <c r="AD240" s="49">
        <f t="shared" ca="1" si="426"/>
        <v>0</v>
      </c>
      <c r="AE240" s="49">
        <f t="shared" ca="1" si="426"/>
        <v>0</v>
      </c>
      <c r="AF240" s="49">
        <f t="shared" ca="1" si="426"/>
        <v>0</v>
      </c>
      <c r="AG240" s="49">
        <f t="shared" ca="1" si="426"/>
        <v>0</v>
      </c>
      <c r="AH240" s="49">
        <f t="shared" ca="1" si="426"/>
        <v>0</v>
      </c>
      <c r="AI240" s="49">
        <f t="shared" ca="1" si="426"/>
        <v>0</v>
      </c>
      <c r="AJ240" s="49">
        <f t="shared" ca="1" si="426"/>
        <v>0</v>
      </c>
      <c r="AK240" s="49">
        <f t="shared" ca="1" si="426"/>
        <v>0</v>
      </c>
      <c r="AL240" s="49">
        <f t="shared" ca="1" si="426"/>
        <v>0</v>
      </c>
      <c r="AM240" s="49">
        <f t="shared" ca="1" si="426"/>
        <v>0</v>
      </c>
      <c r="AN240" s="49">
        <f t="shared" ca="1" si="426"/>
        <v>0</v>
      </c>
      <c r="AO240" s="49">
        <f t="shared" ca="1" si="426"/>
        <v>0</v>
      </c>
      <c r="AP240" s="49">
        <f t="shared" ca="1" si="426"/>
        <v>0</v>
      </c>
      <c r="AQ240" s="49">
        <f t="shared" ca="1" si="426"/>
        <v>0</v>
      </c>
      <c r="AR240" s="49">
        <f t="shared" ref="AR240:BS240" ca="1" si="427">1*AND(CA_FP_oil_nom&gt;CA_HP_oil_nom,CA_op_trig=1)</f>
        <v>0</v>
      </c>
      <c r="AS240" s="49">
        <f t="shared" ca="1" si="427"/>
        <v>0</v>
      </c>
      <c r="AT240" s="49">
        <f t="shared" ca="1" si="427"/>
        <v>0</v>
      </c>
      <c r="AU240" s="49">
        <f t="shared" ca="1" si="427"/>
        <v>0</v>
      </c>
      <c r="AV240" s="49">
        <f t="shared" ca="1" si="427"/>
        <v>0</v>
      </c>
      <c r="AW240" s="49">
        <f t="shared" ca="1" si="427"/>
        <v>0</v>
      </c>
      <c r="AX240" s="49">
        <f t="shared" ca="1" si="427"/>
        <v>0</v>
      </c>
      <c r="AY240" s="49">
        <f t="shared" ca="1" si="427"/>
        <v>0</v>
      </c>
      <c r="AZ240" s="49">
        <f t="shared" ca="1" si="427"/>
        <v>0</v>
      </c>
      <c r="BA240" s="49">
        <f t="shared" ca="1" si="427"/>
        <v>0</v>
      </c>
      <c r="BB240" s="49">
        <f t="shared" ca="1" si="427"/>
        <v>0</v>
      </c>
      <c r="BC240" s="49">
        <f t="shared" ca="1" si="427"/>
        <v>0</v>
      </c>
      <c r="BD240" s="49">
        <f t="shared" ca="1" si="427"/>
        <v>0</v>
      </c>
      <c r="BE240" s="49">
        <f t="shared" ca="1" si="427"/>
        <v>0</v>
      </c>
      <c r="BF240" s="49">
        <f t="shared" ca="1" si="427"/>
        <v>0</v>
      </c>
      <c r="BG240" s="49">
        <f t="shared" ca="1" si="427"/>
        <v>0</v>
      </c>
      <c r="BH240" s="49">
        <f t="shared" ca="1" si="427"/>
        <v>0</v>
      </c>
      <c r="BI240" s="49">
        <f t="shared" ca="1" si="427"/>
        <v>0</v>
      </c>
      <c r="BJ240" s="49">
        <f t="shared" ca="1" si="427"/>
        <v>0</v>
      </c>
      <c r="BK240" s="49">
        <f t="shared" ca="1" si="427"/>
        <v>0</v>
      </c>
      <c r="BL240" s="49">
        <f t="shared" ca="1" si="427"/>
        <v>0</v>
      </c>
      <c r="BM240" s="49">
        <f t="shared" ca="1" si="427"/>
        <v>0</v>
      </c>
      <c r="BN240" s="49">
        <f t="shared" ca="1" si="427"/>
        <v>0</v>
      </c>
      <c r="BO240" s="49">
        <f t="shared" ca="1" si="427"/>
        <v>0</v>
      </c>
      <c r="BP240" s="49">
        <f t="shared" ca="1" si="427"/>
        <v>0</v>
      </c>
      <c r="BQ240" s="49">
        <f t="shared" ca="1" si="427"/>
        <v>0</v>
      </c>
      <c r="BR240" s="49">
        <f t="shared" ca="1" si="427"/>
        <v>0</v>
      </c>
      <c r="BS240" s="49">
        <f t="shared" ca="1" si="427"/>
        <v>0</v>
      </c>
    </row>
    <row r="241" spans="3:71" outlineLevel="1" x14ac:dyDescent="0.2"/>
    <row r="242" spans="3:71" outlineLevel="1" x14ac:dyDescent="0.2">
      <c r="D242" t="s">
        <v>220</v>
      </c>
      <c r="I242" s="30">
        <f t="shared" ref="I242:I246" ca="1" si="428">SUM($L242:$BS242)</f>
        <v>5122.2744792139292</v>
      </c>
      <c r="J242" s="26" t="s">
        <v>148</v>
      </c>
      <c r="L242" s="49" cm="1">
        <f t="array" aca="1" ref="L242:BS242" ca="1">CA_gross_rev_oil_difference*CA_SPO_trig</f>
        <v>110.49156843666879</v>
      </c>
      <c r="M242" s="49">
        <f ca="1"/>
        <v>44.847002139674714</v>
      </c>
      <c r="N242" s="49">
        <f ca="1"/>
        <v>88.399439490203378</v>
      </c>
      <c r="O242" s="49">
        <f ca="1"/>
        <v>52.975974358200233</v>
      </c>
      <c r="P242" s="49">
        <f ca="1"/>
        <v>287.24042729055361</v>
      </c>
      <c r="Q242" s="49">
        <f ca="1"/>
        <v>740.12058937866198</v>
      </c>
      <c r="R242" s="49">
        <f ca="1"/>
        <v>668.47874532212143</v>
      </c>
      <c r="S242" s="49">
        <f ca="1"/>
        <v>160.58847531599997</v>
      </c>
      <c r="T242" s="49">
        <f ca="1"/>
        <v>609.86285821641593</v>
      </c>
      <c r="U242" s="49">
        <f ca="1"/>
        <v>636.86626487773196</v>
      </c>
      <c r="V242" s="49">
        <f ca="1"/>
        <v>604.13133886301648</v>
      </c>
      <c r="W242" s="49">
        <f ca="1"/>
        <v>574.64906746476004</v>
      </c>
      <c r="X242" s="49">
        <f ca="1"/>
        <v>543.62272805992086</v>
      </c>
      <c r="Y242" s="49">
        <f ca="1"/>
        <v>0</v>
      </c>
      <c r="Z242" s="49">
        <f ca="1"/>
        <v>0</v>
      </c>
      <c r="AA242" s="49">
        <f ca="1"/>
        <v>0</v>
      </c>
      <c r="AB242" s="49">
        <f ca="1"/>
        <v>0</v>
      </c>
      <c r="AC242" s="49">
        <f ca="1"/>
        <v>0</v>
      </c>
      <c r="AD242" s="49">
        <f ca="1"/>
        <v>0</v>
      </c>
      <c r="AE242" s="49">
        <f ca="1"/>
        <v>0</v>
      </c>
      <c r="AF242" s="49">
        <f ca="1"/>
        <v>0</v>
      </c>
      <c r="AG242" s="49">
        <f ca="1"/>
        <v>0</v>
      </c>
      <c r="AH242" s="49">
        <f ca="1"/>
        <v>0</v>
      </c>
      <c r="AI242" s="49">
        <f ca="1"/>
        <v>0</v>
      </c>
      <c r="AJ242" s="49">
        <f ca="1"/>
        <v>0</v>
      </c>
      <c r="AK242" s="49">
        <f ca="1"/>
        <v>0</v>
      </c>
      <c r="AL242" s="49">
        <f ca="1"/>
        <v>0</v>
      </c>
      <c r="AM242" s="49">
        <f ca="1"/>
        <v>0</v>
      </c>
      <c r="AN242" s="49">
        <f ca="1"/>
        <v>0</v>
      </c>
      <c r="AO242" s="49">
        <f ca="1"/>
        <v>0</v>
      </c>
      <c r="AP242" s="49">
        <f ca="1"/>
        <v>0</v>
      </c>
      <c r="AQ242" s="49">
        <f ca="1"/>
        <v>0</v>
      </c>
      <c r="AR242" s="49">
        <f ca="1"/>
        <v>0</v>
      </c>
      <c r="AS242" s="49">
        <f ca="1"/>
        <v>0</v>
      </c>
      <c r="AT242" s="49">
        <f ca="1"/>
        <v>0</v>
      </c>
      <c r="AU242" s="49">
        <f ca="1"/>
        <v>0</v>
      </c>
      <c r="AV242" s="49">
        <f ca="1"/>
        <v>0</v>
      </c>
      <c r="AW242" s="49">
        <f ca="1"/>
        <v>0</v>
      </c>
      <c r="AX242" s="49">
        <f ca="1"/>
        <v>0</v>
      </c>
      <c r="AY242" s="49">
        <f ca="1"/>
        <v>0</v>
      </c>
      <c r="AZ242" s="49">
        <f ca="1"/>
        <v>0</v>
      </c>
      <c r="BA242" s="49">
        <f ca="1"/>
        <v>0</v>
      </c>
      <c r="BB242" s="49">
        <f ca="1"/>
        <v>0</v>
      </c>
      <c r="BC242" s="49">
        <f ca="1"/>
        <v>0</v>
      </c>
      <c r="BD242" s="49">
        <f ca="1"/>
        <v>0</v>
      </c>
      <c r="BE242" s="49">
        <f ca="1"/>
        <v>0</v>
      </c>
      <c r="BF242" s="49">
        <f ca="1"/>
        <v>0</v>
      </c>
      <c r="BG242" s="49">
        <f ca="1"/>
        <v>0</v>
      </c>
      <c r="BH242" s="49">
        <f ca="1"/>
        <v>0</v>
      </c>
      <c r="BI242" s="49">
        <f ca="1"/>
        <v>0</v>
      </c>
      <c r="BJ242" s="49">
        <f ca="1"/>
        <v>0</v>
      </c>
      <c r="BK242" s="49">
        <f ca="1"/>
        <v>0</v>
      </c>
      <c r="BL242" s="49">
        <f ca="1"/>
        <v>0</v>
      </c>
      <c r="BM242" s="49">
        <f ca="1"/>
        <v>0</v>
      </c>
      <c r="BN242" s="49">
        <f ca="1"/>
        <v>0</v>
      </c>
      <c r="BO242" s="49">
        <f ca="1"/>
        <v>0</v>
      </c>
      <c r="BP242" s="49">
        <f ca="1"/>
        <v>0</v>
      </c>
      <c r="BQ242" s="49">
        <f ca="1"/>
        <v>0</v>
      </c>
      <c r="BR242" s="49">
        <f ca="1"/>
        <v>0</v>
      </c>
      <c r="BS242" s="49">
        <f ca="1"/>
        <v>0</v>
      </c>
    </row>
    <row r="243" spans="3:71" outlineLevel="1" x14ac:dyDescent="0.2"/>
    <row r="244" spans="3:71" outlineLevel="1" x14ac:dyDescent="0.2">
      <c r="D244" t="s">
        <v>218</v>
      </c>
      <c r="I244" s="30">
        <f t="shared" ca="1" si="428"/>
        <v>768.34117188208938</v>
      </c>
      <c r="J244" s="26" t="s">
        <v>148</v>
      </c>
      <c r="L244" s="49">
        <f t="shared" ref="L244:AQ244" ca="1" si="429">(CA_gross_rev_oil_difference*royalty_rate_oil)*CA_SPO_trig</f>
        <v>16.573735265500318</v>
      </c>
      <c r="M244" s="49">
        <f t="shared" ca="1" si="429"/>
        <v>6.7270503209512071</v>
      </c>
      <c r="N244" s="49">
        <f t="shared" ca="1" si="429"/>
        <v>13.259915923530507</v>
      </c>
      <c r="O244" s="49">
        <f t="shared" ca="1" si="429"/>
        <v>7.9463961537300349</v>
      </c>
      <c r="P244" s="49">
        <f t="shared" ca="1" si="429"/>
        <v>43.08606409358304</v>
      </c>
      <c r="Q244" s="49">
        <f t="shared" ca="1" si="429"/>
        <v>111.01808840679929</v>
      </c>
      <c r="R244" s="49">
        <f t="shared" ca="1" si="429"/>
        <v>100.27181179831821</v>
      </c>
      <c r="S244" s="49">
        <f t="shared" ca="1" si="429"/>
        <v>24.088271297399995</v>
      </c>
      <c r="T244" s="49">
        <f t="shared" ca="1" si="429"/>
        <v>91.479428732462381</v>
      </c>
      <c r="U244" s="49">
        <f t="shared" ca="1" si="429"/>
        <v>95.529939731659795</v>
      </c>
      <c r="V244" s="49">
        <f t="shared" ca="1" si="429"/>
        <v>90.619700829452469</v>
      </c>
      <c r="W244" s="49">
        <f t="shared" ca="1" si="429"/>
        <v>86.197360119714006</v>
      </c>
      <c r="X244" s="49">
        <f t="shared" ca="1" si="429"/>
        <v>81.543409208988123</v>
      </c>
      <c r="Y244" s="49">
        <f t="shared" ca="1" si="429"/>
        <v>0</v>
      </c>
      <c r="Z244" s="49">
        <f t="shared" ca="1" si="429"/>
        <v>0</v>
      </c>
      <c r="AA244" s="49">
        <f t="shared" ca="1" si="429"/>
        <v>0</v>
      </c>
      <c r="AB244" s="49">
        <f t="shared" ca="1" si="429"/>
        <v>0</v>
      </c>
      <c r="AC244" s="49">
        <f t="shared" ca="1" si="429"/>
        <v>0</v>
      </c>
      <c r="AD244" s="49">
        <f t="shared" ca="1" si="429"/>
        <v>0</v>
      </c>
      <c r="AE244" s="49">
        <f t="shared" ca="1" si="429"/>
        <v>0</v>
      </c>
      <c r="AF244" s="49">
        <f t="shared" ca="1" si="429"/>
        <v>0</v>
      </c>
      <c r="AG244" s="49">
        <f t="shared" ca="1" si="429"/>
        <v>0</v>
      </c>
      <c r="AH244" s="49">
        <f t="shared" ca="1" si="429"/>
        <v>0</v>
      </c>
      <c r="AI244" s="49">
        <f t="shared" ca="1" si="429"/>
        <v>0</v>
      </c>
      <c r="AJ244" s="49">
        <f t="shared" ca="1" si="429"/>
        <v>0</v>
      </c>
      <c r="AK244" s="49">
        <f t="shared" ca="1" si="429"/>
        <v>0</v>
      </c>
      <c r="AL244" s="49">
        <f t="shared" ca="1" si="429"/>
        <v>0</v>
      </c>
      <c r="AM244" s="49">
        <f t="shared" ca="1" si="429"/>
        <v>0</v>
      </c>
      <c r="AN244" s="49">
        <f t="shared" ca="1" si="429"/>
        <v>0</v>
      </c>
      <c r="AO244" s="49">
        <f t="shared" ca="1" si="429"/>
        <v>0</v>
      </c>
      <c r="AP244" s="49">
        <f t="shared" ca="1" si="429"/>
        <v>0</v>
      </c>
      <c r="AQ244" s="49">
        <f t="shared" ca="1" si="429"/>
        <v>0</v>
      </c>
      <c r="AR244" s="49">
        <f t="shared" ref="AR244:BS244" ca="1" si="430">(CA_gross_rev_oil_difference*royalty_rate_oil)*CA_SPO_trig</f>
        <v>0</v>
      </c>
      <c r="AS244" s="49">
        <f t="shared" ca="1" si="430"/>
        <v>0</v>
      </c>
      <c r="AT244" s="49">
        <f t="shared" ca="1" si="430"/>
        <v>0</v>
      </c>
      <c r="AU244" s="49">
        <f t="shared" ca="1" si="430"/>
        <v>0</v>
      </c>
      <c r="AV244" s="49">
        <f t="shared" ca="1" si="430"/>
        <v>0</v>
      </c>
      <c r="AW244" s="49">
        <f t="shared" ca="1" si="430"/>
        <v>0</v>
      </c>
      <c r="AX244" s="49">
        <f t="shared" ca="1" si="430"/>
        <v>0</v>
      </c>
      <c r="AY244" s="49">
        <f t="shared" ca="1" si="430"/>
        <v>0</v>
      </c>
      <c r="AZ244" s="49">
        <f t="shared" ca="1" si="430"/>
        <v>0</v>
      </c>
      <c r="BA244" s="49">
        <f t="shared" ca="1" si="430"/>
        <v>0</v>
      </c>
      <c r="BB244" s="49">
        <f t="shared" ca="1" si="430"/>
        <v>0</v>
      </c>
      <c r="BC244" s="49">
        <f t="shared" ca="1" si="430"/>
        <v>0</v>
      </c>
      <c r="BD244" s="49">
        <f t="shared" ca="1" si="430"/>
        <v>0</v>
      </c>
      <c r="BE244" s="49">
        <f t="shared" ca="1" si="430"/>
        <v>0</v>
      </c>
      <c r="BF244" s="49">
        <f t="shared" ca="1" si="430"/>
        <v>0</v>
      </c>
      <c r="BG244" s="49">
        <f t="shared" ca="1" si="430"/>
        <v>0</v>
      </c>
      <c r="BH244" s="49">
        <f t="shared" ca="1" si="430"/>
        <v>0</v>
      </c>
      <c r="BI244" s="49">
        <f t="shared" ca="1" si="430"/>
        <v>0</v>
      </c>
      <c r="BJ244" s="49">
        <f t="shared" ca="1" si="430"/>
        <v>0</v>
      </c>
      <c r="BK244" s="49">
        <f t="shared" ca="1" si="430"/>
        <v>0</v>
      </c>
      <c r="BL244" s="49">
        <f t="shared" ca="1" si="430"/>
        <v>0</v>
      </c>
      <c r="BM244" s="49">
        <f t="shared" ca="1" si="430"/>
        <v>0</v>
      </c>
      <c r="BN244" s="49">
        <f t="shared" ca="1" si="430"/>
        <v>0</v>
      </c>
      <c r="BO244" s="49">
        <f t="shared" ca="1" si="430"/>
        <v>0</v>
      </c>
      <c r="BP244" s="49">
        <f t="shared" ca="1" si="430"/>
        <v>0</v>
      </c>
      <c r="BQ244" s="49">
        <f t="shared" ca="1" si="430"/>
        <v>0</v>
      </c>
      <c r="BR244" s="49">
        <f t="shared" ca="1" si="430"/>
        <v>0</v>
      </c>
      <c r="BS244" s="49">
        <f t="shared" ca="1" si="430"/>
        <v>0</v>
      </c>
    </row>
    <row r="245" spans="3:71" outlineLevel="1" x14ac:dyDescent="0.2"/>
    <row r="246" spans="3:71" outlineLevel="1" x14ac:dyDescent="0.2">
      <c r="D246" t="s">
        <v>315</v>
      </c>
      <c r="I246" s="30">
        <f t="shared" ca="1" si="428"/>
        <v>545.05424397063018</v>
      </c>
      <c r="J246" s="26" t="s">
        <v>148</v>
      </c>
      <c r="L246" s="49">
        <f t="shared" ref="L246:AQ246" ca="1" si="431">MAX(CA_cost_recovered_total-CA_cost_stop,0)</f>
        <v>0</v>
      </c>
      <c r="M246" s="49">
        <f t="shared" ca="1" si="431"/>
        <v>0</v>
      </c>
      <c r="N246" s="49">
        <f t="shared" ca="1" si="431"/>
        <v>0</v>
      </c>
      <c r="O246" s="49">
        <f t="shared" ca="1" si="431"/>
        <v>0</v>
      </c>
      <c r="P246" s="49">
        <f t="shared" ca="1" si="431"/>
        <v>3.7719545656940738</v>
      </c>
      <c r="Q246" s="49">
        <f t="shared" ca="1" si="431"/>
        <v>92.073721410910593</v>
      </c>
      <c r="R246" s="49">
        <f t="shared" ca="1" si="431"/>
        <v>68.893199951228439</v>
      </c>
      <c r="S246" s="49">
        <f t="shared" ca="1" si="431"/>
        <v>0</v>
      </c>
      <c r="T246" s="49">
        <f t="shared" ca="1" si="431"/>
        <v>69.885183928924789</v>
      </c>
      <c r="U246" s="49">
        <f t="shared" ca="1" si="431"/>
        <v>83.798192747070004</v>
      </c>
      <c r="V246" s="49">
        <f t="shared" ca="1" si="431"/>
        <v>79.490965639870581</v>
      </c>
      <c r="W246" s="49">
        <f t="shared" ca="1" si="431"/>
        <v>75.611719403257894</v>
      </c>
      <c r="X246" s="49">
        <f t="shared" ca="1" si="431"/>
        <v>71.529306323673779</v>
      </c>
      <c r="Y246" s="49">
        <f t="shared" ca="1" si="431"/>
        <v>0</v>
      </c>
      <c r="Z246" s="49">
        <f t="shared" ca="1" si="431"/>
        <v>0</v>
      </c>
      <c r="AA246" s="49">
        <f t="shared" ca="1" si="431"/>
        <v>0</v>
      </c>
      <c r="AB246" s="49">
        <f t="shared" ca="1" si="431"/>
        <v>0</v>
      </c>
      <c r="AC246" s="49">
        <f t="shared" ca="1" si="431"/>
        <v>0</v>
      </c>
      <c r="AD246" s="49">
        <f t="shared" ca="1" si="431"/>
        <v>0</v>
      </c>
      <c r="AE246" s="49">
        <f t="shared" ca="1" si="431"/>
        <v>0</v>
      </c>
      <c r="AF246" s="49">
        <f t="shared" ca="1" si="431"/>
        <v>0</v>
      </c>
      <c r="AG246" s="49">
        <f t="shared" ca="1" si="431"/>
        <v>0</v>
      </c>
      <c r="AH246" s="49">
        <f t="shared" ca="1" si="431"/>
        <v>0</v>
      </c>
      <c r="AI246" s="49">
        <f t="shared" ca="1" si="431"/>
        <v>0</v>
      </c>
      <c r="AJ246" s="49">
        <f t="shared" ca="1" si="431"/>
        <v>0</v>
      </c>
      <c r="AK246" s="49">
        <f t="shared" ca="1" si="431"/>
        <v>0</v>
      </c>
      <c r="AL246" s="49">
        <f t="shared" ca="1" si="431"/>
        <v>0</v>
      </c>
      <c r="AM246" s="49">
        <f t="shared" ca="1" si="431"/>
        <v>0</v>
      </c>
      <c r="AN246" s="49">
        <f t="shared" ca="1" si="431"/>
        <v>0</v>
      </c>
      <c r="AO246" s="49">
        <f t="shared" ca="1" si="431"/>
        <v>0</v>
      </c>
      <c r="AP246" s="49">
        <f t="shared" ca="1" si="431"/>
        <v>0</v>
      </c>
      <c r="AQ246" s="49">
        <f t="shared" ca="1" si="431"/>
        <v>0</v>
      </c>
      <c r="AR246" s="49">
        <f t="shared" ref="AR246:BS246" ca="1" si="432">MAX(CA_cost_recovered_total-CA_cost_stop,0)</f>
        <v>0</v>
      </c>
      <c r="AS246" s="49">
        <f t="shared" ca="1" si="432"/>
        <v>0</v>
      </c>
      <c r="AT246" s="49">
        <f t="shared" ca="1" si="432"/>
        <v>0</v>
      </c>
      <c r="AU246" s="49">
        <f t="shared" ca="1" si="432"/>
        <v>0</v>
      </c>
      <c r="AV246" s="49">
        <f t="shared" ca="1" si="432"/>
        <v>0</v>
      </c>
      <c r="AW246" s="49">
        <f t="shared" ca="1" si="432"/>
        <v>0</v>
      </c>
      <c r="AX246" s="49">
        <f t="shared" ca="1" si="432"/>
        <v>0</v>
      </c>
      <c r="AY246" s="49">
        <f t="shared" ca="1" si="432"/>
        <v>0</v>
      </c>
      <c r="AZ246" s="49">
        <f t="shared" ca="1" si="432"/>
        <v>0</v>
      </c>
      <c r="BA246" s="49">
        <f t="shared" ca="1" si="432"/>
        <v>0</v>
      </c>
      <c r="BB246" s="49">
        <f t="shared" ca="1" si="432"/>
        <v>0</v>
      </c>
      <c r="BC246" s="49">
        <f t="shared" ca="1" si="432"/>
        <v>0</v>
      </c>
      <c r="BD246" s="49">
        <f t="shared" ca="1" si="432"/>
        <v>0</v>
      </c>
      <c r="BE246" s="49">
        <f t="shared" ca="1" si="432"/>
        <v>0</v>
      </c>
      <c r="BF246" s="49">
        <f t="shared" ca="1" si="432"/>
        <v>0</v>
      </c>
      <c r="BG246" s="49">
        <f t="shared" ca="1" si="432"/>
        <v>0</v>
      </c>
      <c r="BH246" s="49">
        <f t="shared" ca="1" si="432"/>
        <v>0</v>
      </c>
      <c r="BI246" s="49">
        <f t="shared" ca="1" si="432"/>
        <v>0</v>
      </c>
      <c r="BJ246" s="49">
        <f t="shared" ca="1" si="432"/>
        <v>0</v>
      </c>
      <c r="BK246" s="49">
        <f t="shared" ca="1" si="432"/>
        <v>0</v>
      </c>
      <c r="BL246" s="49">
        <f t="shared" ca="1" si="432"/>
        <v>0</v>
      </c>
      <c r="BM246" s="49">
        <f t="shared" ca="1" si="432"/>
        <v>0</v>
      </c>
      <c r="BN246" s="49">
        <f t="shared" ca="1" si="432"/>
        <v>0</v>
      </c>
      <c r="BO246" s="49">
        <f t="shared" ca="1" si="432"/>
        <v>0</v>
      </c>
      <c r="BP246" s="49">
        <f t="shared" ca="1" si="432"/>
        <v>0</v>
      </c>
      <c r="BQ246" s="49">
        <f t="shared" ca="1" si="432"/>
        <v>0</v>
      </c>
      <c r="BR246" s="49">
        <f t="shared" ca="1" si="432"/>
        <v>0</v>
      </c>
      <c r="BS246" s="49">
        <f t="shared" ca="1" si="432"/>
        <v>0</v>
      </c>
    </row>
    <row r="247" spans="3:71" outlineLevel="1" x14ac:dyDescent="0.2"/>
    <row r="248" spans="3:71" outlineLevel="1" x14ac:dyDescent="0.2">
      <c r="D248" t="s">
        <v>310</v>
      </c>
      <c r="I248" s="30">
        <f t="shared" ref="I248:I251" ca="1" si="433">SUM($L248:$BS248)</f>
        <v>3808.8790633612098</v>
      </c>
      <c r="J248" s="26" t="s">
        <v>148</v>
      </c>
      <c r="K248" s="7" t="s">
        <v>221</v>
      </c>
      <c r="L248" s="49">
        <f t="shared" ref="L248:AQ248" ca="1" si="434">MAX(L242-L244-L246,0)</f>
        <v>93.917833171168468</v>
      </c>
      <c r="M248" s="49">
        <f t="shared" ca="1" si="434"/>
        <v>38.119951818723507</v>
      </c>
      <c r="N248" s="49">
        <f t="shared" ca="1" si="434"/>
        <v>75.139523566672864</v>
      </c>
      <c r="O248" s="49">
        <f t="shared" ca="1" si="434"/>
        <v>45.029578204470198</v>
      </c>
      <c r="P248" s="49">
        <f t="shared" ca="1" si="434"/>
        <v>240.38240863127649</v>
      </c>
      <c r="Q248" s="49">
        <f t="shared" ca="1" si="434"/>
        <v>537.0287795609521</v>
      </c>
      <c r="R248" s="49">
        <f t="shared" ca="1" si="434"/>
        <v>499.31373357257473</v>
      </c>
      <c r="S248" s="49">
        <f t="shared" ca="1" si="434"/>
        <v>136.50020401859999</v>
      </c>
      <c r="T248" s="49">
        <f t="shared" ca="1" si="434"/>
        <v>448.4982455550288</v>
      </c>
      <c r="U248" s="49">
        <f t="shared" ca="1" si="434"/>
        <v>457.53813239900211</v>
      </c>
      <c r="V248" s="49">
        <f t="shared" ca="1" si="434"/>
        <v>434.02067239369347</v>
      </c>
      <c r="W248" s="49">
        <f t="shared" ca="1" si="434"/>
        <v>412.83998794178814</v>
      </c>
      <c r="X248" s="49">
        <f t="shared" ca="1" si="434"/>
        <v>390.55001252725896</v>
      </c>
      <c r="Y248" s="49">
        <f t="shared" ca="1" si="434"/>
        <v>0</v>
      </c>
      <c r="Z248" s="49">
        <f t="shared" ca="1" si="434"/>
        <v>0</v>
      </c>
      <c r="AA248" s="49">
        <f t="shared" ca="1" si="434"/>
        <v>0</v>
      </c>
      <c r="AB248" s="49">
        <f t="shared" ca="1" si="434"/>
        <v>0</v>
      </c>
      <c r="AC248" s="49">
        <f t="shared" ca="1" si="434"/>
        <v>0</v>
      </c>
      <c r="AD248" s="49">
        <f t="shared" ca="1" si="434"/>
        <v>0</v>
      </c>
      <c r="AE248" s="49">
        <f t="shared" ca="1" si="434"/>
        <v>0</v>
      </c>
      <c r="AF248" s="49">
        <f t="shared" ca="1" si="434"/>
        <v>0</v>
      </c>
      <c r="AG248" s="49">
        <f t="shared" ca="1" si="434"/>
        <v>0</v>
      </c>
      <c r="AH248" s="49">
        <f t="shared" ca="1" si="434"/>
        <v>0</v>
      </c>
      <c r="AI248" s="49">
        <f t="shared" ca="1" si="434"/>
        <v>0</v>
      </c>
      <c r="AJ248" s="49">
        <f t="shared" ca="1" si="434"/>
        <v>0</v>
      </c>
      <c r="AK248" s="49">
        <f t="shared" ca="1" si="434"/>
        <v>0</v>
      </c>
      <c r="AL248" s="49">
        <f t="shared" ca="1" si="434"/>
        <v>0</v>
      </c>
      <c r="AM248" s="49">
        <f t="shared" ca="1" si="434"/>
        <v>0</v>
      </c>
      <c r="AN248" s="49">
        <f t="shared" ca="1" si="434"/>
        <v>0</v>
      </c>
      <c r="AO248" s="49">
        <f t="shared" ca="1" si="434"/>
        <v>0</v>
      </c>
      <c r="AP248" s="49">
        <f t="shared" ca="1" si="434"/>
        <v>0</v>
      </c>
      <c r="AQ248" s="49">
        <f t="shared" ca="1" si="434"/>
        <v>0</v>
      </c>
      <c r="AR248" s="49">
        <f t="shared" ref="AR248:BS248" ca="1" si="435">MAX(AR242-AR244-AR246,0)</f>
        <v>0</v>
      </c>
      <c r="AS248" s="49">
        <f t="shared" ca="1" si="435"/>
        <v>0</v>
      </c>
      <c r="AT248" s="49">
        <f t="shared" ca="1" si="435"/>
        <v>0</v>
      </c>
      <c r="AU248" s="49">
        <f t="shared" ca="1" si="435"/>
        <v>0</v>
      </c>
      <c r="AV248" s="49">
        <f t="shared" ca="1" si="435"/>
        <v>0</v>
      </c>
      <c r="AW248" s="49">
        <f t="shared" ca="1" si="435"/>
        <v>0</v>
      </c>
      <c r="AX248" s="49">
        <f t="shared" ca="1" si="435"/>
        <v>0</v>
      </c>
      <c r="AY248" s="49">
        <f t="shared" ca="1" si="435"/>
        <v>0</v>
      </c>
      <c r="AZ248" s="49">
        <f t="shared" ca="1" si="435"/>
        <v>0</v>
      </c>
      <c r="BA248" s="49">
        <f t="shared" ca="1" si="435"/>
        <v>0</v>
      </c>
      <c r="BB248" s="49">
        <f t="shared" ca="1" si="435"/>
        <v>0</v>
      </c>
      <c r="BC248" s="49">
        <f t="shared" ca="1" si="435"/>
        <v>0</v>
      </c>
      <c r="BD248" s="49">
        <f t="shared" ca="1" si="435"/>
        <v>0</v>
      </c>
      <c r="BE248" s="49">
        <f t="shared" ca="1" si="435"/>
        <v>0</v>
      </c>
      <c r="BF248" s="49">
        <f t="shared" ca="1" si="435"/>
        <v>0</v>
      </c>
      <c r="BG248" s="49">
        <f t="shared" ca="1" si="435"/>
        <v>0</v>
      </c>
      <c r="BH248" s="49">
        <f t="shared" ca="1" si="435"/>
        <v>0</v>
      </c>
      <c r="BI248" s="49">
        <f t="shared" ca="1" si="435"/>
        <v>0</v>
      </c>
      <c r="BJ248" s="49">
        <f t="shared" ca="1" si="435"/>
        <v>0</v>
      </c>
      <c r="BK248" s="49">
        <f t="shared" ca="1" si="435"/>
        <v>0</v>
      </c>
      <c r="BL248" s="49">
        <f t="shared" ca="1" si="435"/>
        <v>0</v>
      </c>
      <c r="BM248" s="49">
        <f t="shared" ca="1" si="435"/>
        <v>0</v>
      </c>
      <c r="BN248" s="49">
        <f t="shared" ca="1" si="435"/>
        <v>0</v>
      </c>
      <c r="BO248" s="49">
        <f t="shared" ca="1" si="435"/>
        <v>0</v>
      </c>
      <c r="BP248" s="49">
        <f t="shared" ca="1" si="435"/>
        <v>0</v>
      </c>
      <c r="BQ248" s="49">
        <f t="shared" ca="1" si="435"/>
        <v>0</v>
      </c>
      <c r="BR248" s="49">
        <f t="shared" ca="1" si="435"/>
        <v>0</v>
      </c>
      <c r="BS248" s="49">
        <f t="shared" ca="1" si="435"/>
        <v>0</v>
      </c>
    </row>
    <row r="249" spans="3:71" outlineLevel="1" x14ac:dyDescent="0.2"/>
    <row r="250" spans="3:71" outlineLevel="1" x14ac:dyDescent="0.2">
      <c r="D250" s="11" t="s">
        <v>222</v>
      </c>
      <c r="I250" s="30">
        <f t="shared" ca="1" si="433"/>
        <v>1147.9452304079591</v>
      </c>
      <c r="J250" s="26" t="s">
        <v>148</v>
      </c>
      <c r="K250" s="7" t="s">
        <v>224</v>
      </c>
      <c r="L250" s="49">
        <f t="shared" ref="L250:AQ250" ca="1" si="436">INDEX(FA_SPO_cont_rate,MATCH(CA_cum_gross_prod_oil,FA_SPO_cumprod_oil,1))*CA_rev_for_SPO</f>
        <v>31.932063278197276</v>
      </c>
      <c r="M250" s="49">
        <f t="shared" ca="1" si="436"/>
        <v>12.960783618365991</v>
      </c>
      <c r="N250" s="49">
        <f t="shared" ca="1" si="436"/>
        <v>22.541857070001864</v>
      </c>
      <c r="O250" s="49">
        <f t="shared" ca="1" si="436"/>
        <v>13.508873461341061</v>
      </c>
      <c r="P250" s="49">
        <f t="shared" ca="1" si="436"/>
        <v>72.114722589382964</v>
      </c>
      <c r="Q250" s="49">
        <f t="shared" ca="1" si="436"/>
        <v>161.10863386828566</v>
      </c>
      <c r="R250" s="49">
        <f t="shared" ca="1" si="436"/>
        <v>149.79412007177245</v>
      </c>
      <c r="S250" s="49">
        <f t="shared" ca="1" si="436"/>
        <v>40.950061205579999</v>
      </c>
      <c r="T250" s="49">
        <f t="shared" ca="1" si="436"/>
        <v>134.54947366650867</v>
      </c>
      <c r="U250" s="49">
        <f t="shared" ca="1" si="436"/>
        <v>137.26143971970066</v>
      </c>
      <c r="V250" s="49">
        <f t="shared" ca="1" si="436"/>
        <v>130.20620171810805</v>
      </c>
      <c r="W250" s="49">
        <f t="shared" ca="1" si="436"/>
        <v>123.85199638253646</v>
      </c>
      <c r="X250" s="49">
        <f t="shared" ca="1" si="436"/>
        <v>117.1650037581777</v>
      </c>
      <c r="Y250" s="49">
        <f t="shared" ca="1" si="436"/>
        <v>0</v>
      </c>
      <c r="Z250" s="49">
        <f t="shared" ca="1" si="436"/>
        <v>0</v>
      </c>
      <c r="AA250" s="49">
        <f t="shared" ca="1" si="436"/>
        <v>0</v>
      </c>
      <c r="AB250" s="49">
        <f t="shared" ca="1" si="436"/>
        <v>0</v>
      </c>
      <c r="AC250" s="49">
        <f t="shared" ca="1" si="436"/>
        <v>0</v>
      </c>
      <c r="AD250" s="49">
        <f t="shared" ca="1" si="436"/>
        <v>0</v>
      </c>
      <c r="AE250" s="49">
        <f t="shared" ca="1" si="436"/>
        <v>0</v>
      </c>
      <c r="AF250" s="49">
        <f t="shared" ca="1" si="436"/>
        <v>0</v>
      </c>
      <c r="AG250" s="49">
        <f t="shared" ca="1" si="436"/>
        <v>0</v>
      </c>
      <c r="AH250" s="49">
        <f t="shared" ca="1" si="436"/>
        <v>0</v>
      </c>
      <c r="AI250" s="49">
        <f t="shared" ca="1" si="436"/>
        <v>0</v>
      </c>
      <c r="AJ250" s="49">
        <f t="shared" ca="1" si="436"/>
        <v>0</v>
      </c>
      <c r="AK250" s="49">
        <f t="shared" ca="1" si="436"/>
        <v>0</v>
      </c>
      <c r="AL250" s="49">
        <f t="shared" ca="1" si="436"/>
        <v>0</v>
      </c>
      <c r="AM250" s="49">
        <f t="shared" ca="1" si="436"/>
        <v>0</v>
      </c>
      <c r="AN250" s="49">
        <f t="shared" ca="1" si="436"/>
        <v>0</v>
      </c>
      <c r="AO250" s="49">
        <f t="shared" ca="1" si="436"/>
        <v>0</v>
      </c>
      <c r="AP250" s="49">
        <f t="shared" ca="1" si="436"/>
        <v>0</v>
      </c>
      <c r="AQ250" s="49">
        <f t="shared" ca="1" si="436"/>
        <v>0</v>
      </c>
      <c r="AR250" s="49">
        <f t="shared" ref="AR250:BS250" ca="1" si="437">INDEX(FA_SPO_cont_rate,MATCH(CA_cum_gross_prod_oil,FA_SPO_cumprod_oil,1))*CA_rev_for_SPO</f>
        <v>0</v>
      </c>
      <c r="AS250" s="49">
        <f t="shared" ca="1" si="437"/>
        <v>0</v>
      </c>
      <c r="AT250" s="49">
        <f t="shared" ca="1" si="437"/>
        <v>0</v>
      </c>
      <c r="AU250" s="49">
        <f t="shared" ca="1" si="437"/>
        <v>0</v>
      </c>
      <c r="AV250" s="49">
        <f t="shared" ca="1" si="437"/>
        <v>0</v>
      </c>
      <c r="AW250" s="49">
        <f t="shared" ca="1" si="437"/>
        <v>0</v>
      </c>
      <c r="AX250" s="49">
        <f t="shared" ca="1" si="437"/>
        <v>0</v>
      </c>
      <c r="AY250" s="49">
        <f t="shared" ca="1" si="437"/>
        <v>0</v>
      </c>
      <c r="AZ250" s="49">
        <f t="shared" ca="1" si="437"/>
        <v>0</v>
      </c>
      <c r="BA250" s="49">
        <f t="shared" ca="1" si="437"/>
        <v>0</v>
      </c>
      <c r="BB250" s="49">
        <f t="shared" ca="1" si="437"/>
        <v>0</v>
      </c>
      <c r="BC250" s="49">
        <f t="shared" ca="1" si="437"/>
        <v>0</v>
      </c>
      <c r="BD250" s="49">
        <f t="shared" ca="1" si="437"/>
        <v>0</v>
      </c>
      <c r="BE250" s="49">
        <f t="shared" ca="1" si="437"/>
        <v>0</v>
      </c>
      <c r="BF250" s="49">
        <f t="shared" ca="1" si="437"/>
        <v>0</v>
      </c>
      <c r="BG250" s="49">
        <f t="shared" ca="1" si="437"/>
        <v>0</v>
      </c>
      <c r="BH250" s="49">
        <f t="shared" ca="1" si="437"/>
        <v>0</v>
      </c>
      <c r="BI250" s="49">
        <f t="shared" ca="1" si="437"/>
        <v>0</v>
      </c>
      <c r="BJ250" s="49">
        <f t="shared" ca="1" si="437"/>
        <v>0</v>
      </c>
      <c r="BK250" s="49">
        <f t="shared" ca="1" si="437"/>
        <v>0</v>
      </c>
      <c r="BL250" s="49">
        <f t="shared" ca="1" si="437"/>
        <v>0</v>
      </c>
      <c r="BM250" s="49">
        <f t="shared" ca="1" si="437"/>
        <v>0</v>
      </c>
      <c r="BN250" s="49">
        <f t="shared" ca="1" si="437"/>
        <v>0</v>
      </c>
      <c r="BO250" s="49">
        <f t="shared" ca="1" si="437"/>
        <v>0</v>
      </c>
      <c r="BP250" s="49">
        <f t="shared" ca="1" si="437"/>
        <v>0</v>
      </c>
      <c r="BQ250" s="49">
        <f t="shared" ca="1" si="437"/>
        <v>0</v>
      </c>
      <c r="BR250" s="49">
        <f t="shared" ca="1" si="437"/>
        <v>0</v>
      </c>
      <c r="BS250" s="49">
        <f t="shared" ca="1" si="437"/>
        <v>0</v>
      </c>
    </row>
    <row r="251" spans="3:71" outlineLevel="1" x14ac:dyDescent="0.2">
      <c r="D251" s="11" t="s">
        <v>223</v>
      </c>
      <c r="I251" s="30">
        <f t="shared" ca="1" si="433"/>
        <v>2660.9338329532516</v>
      </c>
      <c r="J251" s="26" t="s">
        <v>148</v>
      </c>
      <c r="K251" s="7" t="s">
        <v>225</v>
      </c>
      <c r="L251" s="49">
        <f ca="1">L248-L250</f>
        <v>61.985769892971192</v>
      </c>
      <c r="M251" s="49">
        <f t="shared" ref="M251:BS251" ca="1" si="438">M248-M250</f>
        <v>25.159168200357517</v>
      </c>
      <c r="N251" s="49">
        <f t="shared" ca="1" si="438"/>
        <v>52.597666496670996</v>
      </c>
      <c r="O251" s="49">
        <f t="shared" ca="1" si="438"/>
        <v>31.520704743129137</v>
      </c>
      <c r="P251" s="49">
        <f t="shared" ca="1" si="438"/>
        <v>168.26768604189351</v>
      </c>
      <c r="Q251" s="49">
        <f t="shared" ca="1" si="438"/>
        <v>375.92014569266644</v>
      </c>
      <c r="R251" s="49">
        <f t="shared" ca="1" si="438"/>
        <v>349.51961350080228</v>
      </c>
      <c r="S251" s="49">
        <f t="shared" ca="1" si="438"/>
        <v>95.550142813019988</v>
      </c>
      <c r="T251" s="49">
        <f t="shared" ca="1" si="438"/>
        <v>313.94877188852013</v>
      </c>
      <c r="U251" s="49">
        <f t="shared" ca="1" si="438"/>
        <v>320.27669267930145</v>
      </c>
      <c r="V251" s="49">
        <f t="shared" ca="1" si="438"/>
        <v>303.81447067558543</v>
      </c>
      <c r="W251" s="49">
        <f t="shared" ca="1" si="438"/>
        <v>288.98799155925167</v>
      </c>
      <c r="X251" s="49">
        <f t="shared" ca="1" si="438"/>
        <v>273.38500876908125</v>
      </c>
      <c r="Y251" s="49">
        <f t="shared" ca="1" si="438"/>
        <v>0</v>
      </c>
      <c r="Z251" s="49">
        <f t="shared" ca="1" si="438"/>
        <v>0</v>
      </c>
      <c r="AA251" s="49">
        <f t="shared" ca="1" si="438"/>
        <v>0</v>
      </c>
      <c r="AB251" s="49">
        <f t="shared" ca="1" si="438"/>
        <v>0</v>
      </c>
      <c r="AC251" s="49">
        <f t="shared" ca="1" si="438"/>
        <v>0</v>
      </c>
      <c r="AD251" s="49">
        <f t="shared" ca="1" si="438"/>
        <v>0</v>
      </c>
      <c r="AE251" s="49">
        <f t="shared" ca="1" si="438"/>
        <v>0</v>
      </c>
      <c r="AF251" s="49">
        <f t="shared" ca="1" si="438"/>
        <v>0</v>
      </c>
      <c r="AG251" s="49">
        <f t="shared" ca="1" si="438"/>
        <v>0</v>
      </c>
      <c r="AH251" s="49">
        <f t="shared" ca="1" si="438"/>
        <v>0</v>
      </c>
      <c r="AI251" s="49">
        <f t="shared" ca="1" si="438"/>
        <v>0</v>
      </c>
      <c r="AJ251" s="49">
        <f t="shared" ca="1" si="438"/>
        <v>0</v>
      </c>
      <c r="AK251" s="49">
        <f t="shared" ca="1" si="438"/>
        <v>0</v>
      </c>
      <c r="AL251" s="49">
        <f t="shared" ca="1" si="438"/>
        <v>0</v>
      </c>
      <c r="AM251" s="49">
        <f t="shared" ca="1" si="438"/>
        <v>0</v>
      </c>
      <c r="AN251" s="49">
        <f t="shared" ca="1" si="438"/>
        <v>0</v>
      </c>
      <c r="AO251" s="49">
        <f t="shared" ca="1" si="438"/>
        <v>0</v>
      </c>
      <c r="AP251" s="49">
        <f t="shared" ca="1" si="438"/>
        <v>0</v>
      </c>
      <c r="AQ251" s="49">
        <f t="shared" ca="1" si="438"/>
        <v>0</v>
      </c>
      <c r="AR251" s="49">
        <f t="shared" ca="1" si="438"/>
        <v>0</v>
      </c>
      <c r="AS251" s="49">
        <f t="shared" ca="1" si="438"/>
        <v>0</v>
      </c>
      <c r="AT251" s="49">
        <f t="shared" ca="1" si="438"/>
        <v>0</v>
      </c>
      <c r="AU251" s="49">
        <f t="shared" ca="1" si="438"/>
        <v>0</v>
      </c>
      <c r="AV251" s="49">
        <f t="shared" ca="1" si="438"/>
        <v>0</v>
      </c>
      <c r="AW251" s="49">
        <f t="shared" ca="1" si="438"/>
        <v>0</v>
      </c>
      <c r="AX251" s="49">
        <f t="shared" ca="1" si="438"/>
        <v>0</v>
      </c>
      <c r="AY251" s="49">
        <f t="shared" ca="1" si="438"/>
        <v>0</v>
      </c>
      <c r="AZ251" s="49">
        <f t="shared" ca="1" si="438"/>
        <v>0</v>
      </c>
      <c r="BA251" s="49">
        <f t="shared" ca="1" si="438"/>
        <v>0</v>
      </c>
      <c r="BB251" s="49">
        <f t="shared" ca="1" si="438"/>
        <v>0</v>
      </c>
      <c r="BC251" s="49">
        <f t="shared" ca="1" si="438"/>
        <v>0</v>
      </c>
      <c r="BD251" s="49">
        <f t="shared" ca="1" si="438"/>
        <v>0</v>
      </c>
      <c r="BE251" s="49">
        <f t="shared" ca="1" si="438"/>
        <v>0</v>
      </c>
      <c r="BF251" s="49">
        <f t="shared" ca="1" si="438"/>
        <v>0</v>
      </c>
      <c r="BG251" s="49">
        <f t="shared" ca="1" si="438"/>
        <v>0</v>
      </c>
      <c r="BH251" s="49">
        <f t="shared" ca="1" si="438"/>
        <v>0</v>
      </c>
      <c r="BI251" s="49">
        <f t="shared" ca="1" si="438"/>
        <v>0</v>
      </c>
      <c r="BJ251" s="49">
        <f t="shared" ca="1" si="438"/>
        <v>0</v>
      </c>
      <c r="BK251" s="49">
        <f t="shared" ca="1" si="438"/>
        <v>0</v>
      </c>
      <c r="BL251" s="49">
        <f t="shared" ca="1" si="438"/>
        <v>0</v>
      </c>
      <c r="BM251" s="49">
        <f t="shared" ca="1" si="438"/>
        <v>0</v>
      </c>
      <c r="BN251" s="49">
        <f t="shared" ca="1" si="438"/>
        <v>0</v>
      </c>
      <c r="BO251" s="49">
        <f t="shared" ca="1" si="438"/>
        <v>0</v>
      </c>
      <c r="BP251" s="49">
        <f t="shared" ca="1" si="438"/>
        <v>0</v>
      </c>
      <c r="BQ251" s="49">
        <f t="shared" ca="1" si="438"/>
        <v>0</v>
      </c>
      <c r="BR251" s="49">
        <f t="shared" ca="1" si="438"/>
        <v>0</v>
      </c>
      <c r="BS251" s="49">
        <f t="shared" ca="1" si="438"/>
        <v>0</v>
      </c>
    </row>
    <row r="252" spans="3:71" outlineLevel="1" x14ac:dyDescent="0.2"/>
    <row r="253" spans="3:71" outlineLevel="1" x14ac:dyDescent="0.2"/>
    <row r="254" spans="3:71" outlineLevel="1" x14ac:dyDescent="0.2">
      <c r="C254" s="11" t="s">
        <v>227</v>
      </c>
    </row>
    <row r="255" spans="3:71" outlineLevel="1" x14ac:dyDescent="0.2"/>
    <row r="256" spans="3:71" outlineLevel="1" x14ac:dyDescent="0.2">
      <c r="D256" s="11" t="s">
        <v>226</v>
      </c>
    </row>
    <row r="257" spans="4:71" outlineLevel="1" x14ac:dyDescent="0.2">
      <c r="D257" s="50" t="s">
        <v>233</v>
      </c>
      <c r="I257" s="30">
        <f t="shared" ref="I257:I260" ca="1" si="439">SUM($L257:$BS257)</f>
        <v>2166.3020089001097</v>
      </c>
      <c r="J257" s="26" t="s">
        <v>148</v>
      </c>
      <c r="L257" s="49">
        <f t="shared" ref="L257:AQ257" ca="1" si="440">MAX(CA_gross_rev_oil_fp-CA_roy_oil_fp-(CA_cost_recovered_total*CA_rev_oil_perc)-(CA_excess_cost_recovery*CA_rev_oil_perc)-CA_rev_for_SPO,0)</f>
        <v>159.71147846786249</v>
      </c>
      <c r="M257" s="49">
        <f t="shared" ca="1" si="440"/>
        <v>165.74974330331253</v>
      </c>
      <c r="N257" s="49">
        <f t="shared" ca="1" si="440"/>
        <v>62.532025328808032</v>
      </c>
      <c r="O257" s="49">
        <f t="shared" ca="1" si="440"/>
        <v>69.687397085308788</v>
      </c>
      <c r="P257" s="49">
        <f t="shared" ca="1" si="440"/>
        <v>144.200303837576</v>
      </c>
      <c r="Q257" s="49">
        <f t="shared" ca="1" si="440"/>
        <v>227.43429695470388</v>
      </c>
      <c r="R257" s="49">
        <f t="shared" ca="1" si="440"/>
        <v>230.38824137946392</v>
      </c>
      <c r="S257" s="49">
        <f t="shared" ca="1" si="440"/>
        <v>213.35598144000008</v>
      </c>
      <c r="T257" s="49">
        <f t="shared" ca="1" si="440"/>
        <v>197.87892868799997</v>
      </c>
      <c r="U257" s="49">
        <f t="shared" ca="1" si="440"/>
        <v>187.70795175343682</v>
      </c>
      <c r="V257" s="49">
        <f t="shared" ca="1" si="440"/>
        <v>178.05976303331005</v>
      </c>
      <c r="W257" s="49">
        <f t="shared" ca="1" si="440"/>
        <v>169.37025146329773</v>
      </c>
      <c r="X257" s="49">
        <f t="shared" ca="1" si="440"/>
        <v>160.22564616502933</v>
      </c>
      <c r="Y257" s="49">
        <f t="shared" ca="1" si="440"/>
        <v>0</v>
      </c>
      <c r="Z257" s="49">
        <f t="shared" ca="1" si="440"/>
        <v>0</v>
      </c>
      <c r="AA257" s="49">
        <f t="shared" ca="1" si="440"/>
        <v>0</v>
      </c>
      <c r="AB257" s="49">
        <f t="shared" ca="1" si="440"/>
        <v>0</v>
      </c>
      <c r="AC257" s="49">
        <f t="shared" ca="1" si="440"/>
        <v>0</v>
      </c>
      <c r="AD257" s="49">
        <f t="shared" ca="1" si="440"/>
        <v>0</v>
      </c>
      <c r="AE257" s="49">
        <f t="shared" ca="1" si="440"/>
        <v>0</v>
      </c>
      <c r="AF257" s="49">
        <f t="shared" ca="1" si="440"/>
        <v>0</v>
      </c>
      <c r="AG257" s="49">
        <f t="shared" ca="1" si="440"/>
        <v>0</v>
      </c>
      <c r="AH257" s="49">
        <f t="shared" ca="1" si="440"/>
        <v>0</v>
      </c>
      <c r="AI257" s="49">
        <f t="shared" ca="1" si="440"/>
        <v>0</v>
      </c>
      <c r="AJ257" s="49">
        <f t="shared" ca="1" si="440"/>
        <v>0</v>
      </c>
      <c r="AK257" s="49">
        <f t="shared" ca="1" si="440"/>
        <v>0</v>
      </c>
      <c r="AL257" s="49">
        <f t="shared" ca="1" si="440"/>
        <v>0</v>
      </c>
      <c r="AM257" s="49">
        <f t="shared" ca="1" si="440"/>
        <v>0</v>
      </c>
      <c r="AN257" s="49">
        <f t="shared" ca="1" si="440"/>
        <v>0</v>
      </c>
      <c r="AO257" s="49">
        <f t="shared" ca="1" si="440"/>
        <v>0</v>
      </c>
      <c r="AP257" s="49">
        <f t="shared" ca="1" si="440"/>
        <v>0</v>
      </c>
      <c r="AQ257" s="49">
        <f t="shared" ca="1" si="440"/>
        <v>0</v>
      </c>
      <c r="AR257" s="49">
        <f t="shared" ref="AR257:BS257" ca="1" si="441">MAX(CA_gross_rev_oil_fp-CA_roy_oil_fp-(CA_cost_recovered_total*CA_rev_oil_perc)-(CA_excess_cost_recovery*CA_rev_oil_perc)-CA_rev_for_SPO,0)</f>
        <v>0</v>
      </c>
      <c r="AS257" s="49">
        <f t="shared" ca="1" si="441"/>
        <v>0</v>
      </c>
      <c r="AT257" s="49">
        <f t="shared" ca="1" si="441"/>
        <v>0</v>
      </c>
      <c r="AU257" s="49">
        <f t="shared" ca="1" si="441"/>
        <v>0</v>
      </c>
      <c r="AV257" s="49">
        <f t="shared" ca="1" si="441"/>
        <v>0</v>
      </c>
      <c r="AW257" s="49">
        <f t="shared" ca="1" si="441"/>
        <v>0</v>
      </c>
      <c r="AX257" s="49">
        <f t="shared" ca="1" si="441"/>
        <v>0</v>
      </c>
      <c r="AY257" s="49">
        <f t="shared" ca="1" si="441"/>
        <v>0</v>
      </c>
      <c r="AZ257" s="49">
        <f t="shared" ca="1" si="441"/>
        <v>0</v>
      </c>
      <c r="BA257" s="49">
        <f t="shared" ca="1" si="441"/>
        <v>0</v>
      </c>
      <c r="BB257" s="49">
        <f t="shared" ca="1" si="441"/>
        <v>0</v>
      </c>
      <c r="BC257" s="49">
        <f t="shared" ca="1" si="441"/>
        <v>0</v>
      </c>
      <c r="BD257" s="49">
        <f t="shared" ca="1" si="441"/>
        <v>0</v>
      </c>
      <c r="BE257" s="49">
        <f t="shared" ca="1" si="441"/>
        <v>0</v>
      </c>
      <c r="BF257" s="49">
        <f t="shared" ca="1" si="441"/>
        <v>0</v>
      </c>
      <c r="BG257" s="49">
        <f t="shared" ca="1" si="441"/>
        <v>0</v>
      </c>
      <c r="BH257" s="49">
        <f t="shared" ca="1" si="441"/>
        <v>0</v>
      </c>
      <c r="BI257" s="49">
        <f t="shared" ca="1" si="441"/>
        <v>0</v>
      </c>
      <c r="BJ257" s="49">
        <f t="shared" ca="1" si="441"/>
        <v>0</v>
      </c>
      <c r="BK257" s="49">
        <f t="shared" ca="1" si="441"/>
        <v>0</v>
      </c>
      <c r="BL257" s="49">
        <f t="shared" ca="1" si="441"/>
        <v>0</v>
      </c>
      <c r="BM257" s="49">
        <f t="shared" ca="1" si="441"/>
        <v>0</v>
      </c>
      <c r="BN257" s="49">
        <f t="shared" ca="1" si="441"/>
        <v>0</v>
      </c>
      <c r="BO257" s="49">
        <f t="shared" ca="1" si="441"/>
        <v>0</v>
      </c>
      <c r="BP257" s="49">
        <f t="shared" ca="1" si="441"/>
        <v>0</v>
      </c>
      <c r="BQ257" s="49">
        <f t="shared" ca="1" si="441"/>
        <v>0</v>
      </c>
      <c r="BR257" s="49">
        <f t="shared" ca="1" si="441"/>
        <v>0</v>
      </c>
      <c r="BS257" s="49">
        <f t="shared" ca="1" si="441"/>
        <v>0</v>
      </c>
    </row>
    <row r="258" spans="4:71" outlineLevel="1" x14ac:dyDescent="0.2">
      <c r="D258" s="50" t="s">
        <v>234</v>
      </c>
      <c r="L258" s="53">
        <f t="shared" ref="L258:AQ258" ca="1" si="442">INDEX(FA_PS_cont_rate,MATCH(CA_cum_gross_prod_oil,FA_PS_cumprod_oil,1))*CA_op_trig</f>
        <v>0.5</v>
      </c>
      <c r="M258" s="53">
        <f t="shared" ca="1" si="442"/>
        <v>0.5</v>
      </c>
      <c r="N258" s="53">
        <f t="shared" ca="1" si="442"/>
        <v>0.30000000000000004</v>
      </c>
      <c r="O258" s="53">
        <f t="shared" ca="1" si="442"/>
        <v>0.30000000000000004</v>
      </c>
      <c r="P258" s="53">
        <f t="shared" ca="1" si="442"/>
        <v>0.30000000000000004</v>
      </c>
      <c r="Q258" s="53">
        <f t="shared" ca="1" si="442"/>
        <v>0.30000000000000004</v>
      </c>
      <c r="R258" s="53">
        <f t="shared" ca="1" si="442"/>
        <v>0.30000000000000004</v>
      </c>
      <c r="S258" s="53">
        <f t="shared" ca="1" si="442"/>
        <v>0.30000000000000004</v>
      </c>
      <c r="T258" s="53">
        <f t="shared" ca="1" si="442"/>
        <v>0.30000000000000004</v>
      </c>
      <c r="U258" s="53">
        <f t="shared" ca="1" si="442"/>
        <v>0.30000000000000004</v>
      </c>
      <c r="V258" s="53">
        <f t="shared" ca="1" si="442"/>
        <v>0.30000000000000004</v>
      </c>
      <c r="W258" s="53">
        <f t="shared" ca="1" si="442"/>
        <v>0.30000000000000004</v>
      </c>
      <c r="X258" s="53">
        <f t="shared" ca="1" si="442"/>
        <v>0.30000000000000004</v>
      </c>
      <c r="Y258" s="53">
        <f t="shared" ca="1" si="442"/>
        <v>0</v>
      </c>
      <c r="Z258" s="53">
        <f t="shared" ca="1" si="442"/>
        <v>0</v>
      </c>
      <c r="AA258" s="53">
        <f t="shared" ca="1" si="442"/>
        <v>0</v>
      </c>
      <c r="AB258" s="53">
        <f t="shared" ca="1" si="442"/>
        <v>0</v>
      </c>
      <c r="AC258" s="53">
        <f t="shared" ca="1" si="442"/>
        <v>0</v>
      </c>
      <c r="AD258" s="53">
        <f t="shared" ca="1" si="442"/>
        <v>0</v>
      </c>
      <c r="AE258" s="53">
        <f t="shared" ca="1" si="442"/>
        <v>0</v>
      </c>
      <c r="AF258" s="53">
        <f t="shared" ca="1" si="442"/>
        <v>0</v>
      </c>
      <c r="AG258" s="53">
        <f t="shared" ca="1" si="442"/>
        <v>0</v>
      </c>
      <c r="AH258" s="53">
        <f t="shared" ca="1" si="442"/>
        <v>0</v>
      </c>
      <c r="AI258" s="53">
        <f t="shared" ca="1" si="442"/>
        <v>0</v>
      </c>
      <c r="AJ258" s="53">
        <f t="shared" ca="1" si="442"/>
        <v>0</v>
      </c>
      <c r="AK258" s="53">
        <f t="shared" ca="1" si="442"/>
        <v>0</v>
      </c>
      <c r="AL258" s="53">
        <f t="shared" ca="1" si="442"/>
        <v>0</v>
      </c>
      <c r="AM258" s="53">
        <f t="shared" ca="1" si="442"/>
        <v>0</v>
      </c>
      <c r="AN258" s="53">
        <f t="shared" ca="1" si="442"/>
        <v>0</v>
      </c>
      <c r="AO258" s="53">
        <f t="shared" ca="1" si="442"/>
        <v>0</v>
      </c>
      <c r="AP258" s="53">
        <f t="shared" ca="1" si="442"/>
        <v>0</v>
      </c>
      <c r="AQ258" s="53">
        <f t="shared" ca="1" si="442"/>
        <v>0</v>
      </c>
      <c r="AR258" s="53">
        <f t="shared" ref="AR258:BS258" ca="1" si="443">INDEX(FA_PS_cont_rate,MATCH(CA_cum_gross_prod_oil,FA_PS_cumprod_oil,1))*CA_op_trig</f>
        <v>0</v>
      </c>
      <c r="AS258" s="53">
        <f t="shared" ca="1" si="443"/>
        <v>0</v>
      </c>
      <c r="AT258" s="53">
        <f t="shared" ca="1" si="443"/>
        <v>0</v>
      </c>
      <c r="AU258" s="53">
        <f t="shared" ca="1" si="443"/>
        <v>0</v>
      </c>
      <c r="AV258" s="53">
        <f t="shared" ca="1" si="443"/>
        <v>0</v>
      </c>
      <c r="AW258" s="53">
        <f t="shared" ca="1" si="443"/>
        <v>0</v>
      </c>
      <c r="AX258" s="53">
        <f t="shared" ca="1" si="443"/>
        <v>0</v>
      </c>
      <c r="AY258" s="53">
        <f t="shared" ca="1" si="443"/>
        <v>0</v>
      </c>
      <c r="AZ258" s="53">
        <f t="shared" ca="1" si="443"/>
        <v>0</v>
      </c>
      <c r="BA258" s="53">
        <f t="shared" ca="1" si="443"/>
        <v>0</v>
      </c>
      <c r="BB258" s="53">
        <f t="shared" ca="1" si="443"/>
        <v>0</v>
      </c>
      <c r="BC258" s="53">
        <f t="shared" ca="1" si="443"/>
        <v>0</v>
      </c>
      <c r="BD258" s="53">
        <f t="shared" ca="1" si="443"/>
        <v>0</v>
      </c>
      <c r="BE258" s="53">
        <f t="shared" ca="1" si="443"/>
        <v>0</v>
      </c>
      <c r="BF258" s="53">
        <f t="shared" ca="1" si="443"/>
        <v>0</v>
      </c>
      <c r="BG258" s="53">
        <f t="shared" ca="1" si="443"/>
        <v>0</v>
      </c>
      <c r="BH258" s="53">
        <f t="shared" ca="1" si="443"/>
        <v>0</v>
      </c>
      <c r="BI258" s="53">
        <f t="shared" ca="1" si="443"/>
        <v>0</v>
      </c>
      <c r="BJ258" s="53">
        <f t="shared" ca="1" si="443"/>
        <v>0</v>
      </c>
      <c r="BK258" s="53">
        <f t="shared" ca="1" si="443"/>
        <v>0</v>
      </c>
      <c r="BL258" s="53">
        <f t="shared" ca="1" si="443"/>
        <v>0</v>
      </c>
      <c r="BM258" s="53">
        <f t="shared" ca="1" si="443"/>
        <v>0</v>
      </c>
      <c r="BN258" s="53">
        <f t="shared" ca="1" si="443"/>
        <v>0</v>
      </c>
      <c r="BO258" s="53">
        <f t="shared" ca="1" si="443"/>
        <v>0</v>
      </c>
      <c r="BP258" s="53">
        <f t="shared" ca="1" si="443"/>
        <v>0</v>
      </c>
      <c r="BQ258" s="53">
        <f t="shared" ca="1" si="443"/>
        <v>0</v>
      </c>
      <c r="BR258" s="53">
        <f t="shared" ca="1" si="443"/>
        <v>0</v>
      </c>
      <c r="BS258" s="53">
        <f t="shared" ca="1" si="443"/>
        <v>0</v>
      </c>
    </row>
    <row r="259" spans="4:71" outlineLevel="1" x14ac:dyDescent="0.2">
      <c r="D259" t="s">
        <v>235</v>
      </c>
      <c r="I259" s="30">
        <f t="shared" ca="1" si="439"/>
        <v>714.98284702426804</v>
      </c>
      <c r="J259" s="26" t="s">
        <v>148</v>
      </c>
      <c r="L259" s="49">
        <f ca="1">L257*L258</f>
        <v>79.855739233931246</v>
      </c>
      <c r="M259" s="49">
        <f t="shared" ref="M259:BS259" ca="1" si="444">M257*M258</f>
        <v>82.874871651656264</v>
      </c>
      <c r="N259" s="49">
        <f t="shared" ca="1" si="444"/>
        <v>18.759607598642411</v>
      </c>
      <c r="O259" s="49">
        <f t="shared" ca="1" si="444"/>
        <v>20.906219125592639</v>
      </c>
      <c r="P259" s="49">
        <f t="shared" ca="1" si="444"/>
        <v>43.26009115127281</v>
      </c>
      <c r="Q259" s="49">
        <f t="shared" ca="1" si="444"/>
        <v>68.230289086411176</v>
      </c>
      <c r="R259" s="49">
        <f t="shared" ca="1" si="444"/>
        <v>69.11647241383919</v>
      </c>
      <c r="S259" s="49">
        <f t="shared" ca="1" si="444"/>
        <v>64.006794432000035</v>
      </c>
      <c r="T259" s="49">
        <f t="shared" ca="1" si="444"/>
        <v>59.363678606400001</v>
      </c>
      <c r="U259" s="49">
        <f t="shared" ca="1" si="444"/>
        <v>56.312385526031051</v>
      </c>
      <c r="V259" s="49">
        <f t="shared" ca="1" si="444"/>
        <v>53.417928909993023</v>
      </c>
      <c r="W259" s="49">
        <f t="shared" ca="1" si="444"/>
        <v>50.811075438989327</v>
      </c>
      <c r="X259" s="49">
        <f t="shared" ca="1" si="444"/>
        <v>48.067693849508807</v>
      </c>
      <c r="Y259" s="49">
        <f t="shared" ca="1" si="444"/>
        <v>0</v>
      </c>
      <c r="Z259" s="49">
        <f t="shared" ca="1" si="444"/>
        <v>0</v>
      </c>
      <c r="AA259" s="49">
        <f t="shared" ca="1" si="444"/>
        <v>0</v>
      </c>
      <c r="AB259" s="49">
        <f t="shared" ca="1" si="444"/>
        <v>0</v>
      </c>
      <c r="AC259" s="49">
        <f t="shared" ca="1" si="444"/>
        <v>0</v>
      </c>
      <c r="AD259" s="49">
        <f t="shared" ca="1" si="444"/>
        <v>0</v>
      </c>
      <c r="AE259" s="49">
        <f t="shared" ca="1" si="444"/>
        <v>0</v>
      </c>
      <c r="AF259" s="49">
        <f t="shared" ca="1" si="444"/>
        <v>0</v>
      </c>
      <c r="AG259" s="49">
        <f t="shared" ca="1" si="444"/>
        <v>0</v>
      </c>
      <c r="AH259" s="49">
        <f t="shared" ca="1" si="444"/>
        <v>0</v>
      </c>
      <c r="AI259" s="49">
        <f t="shared" ca="1" si="444"/>
        <v>0</v>
      </c>
      <c r="AJ259" s="49">
        <f t="shared" ca="1" si="444"/>
        <v>0</v>
      </c>
      <c r="AK259" s="49">
        <f t="shared" ca="1" si="444"/>
        <v>0</v>
      </c>
      <c r="AL259" s="49">
        <f t="shared" ca="1" si="444"/>
        <v>0</v>
      </c>
      <c r="AM259" s="49">
        <f t="shared" ca="1" si="444"/>
        <v>0</v>
      </c>
      <c r="AN259" s="49">
        <f t="shared" ca="1" si="444"/>
        <v>0</v>
      </c>
      <c r="AO259" s="49">
        <f t="shared" ca="1" si="444"/>
        <v>0</v>
      </c>
      <c r="AP259" s="49">
        <f t="shared" ca="1" si="444"/>
        <v>0</v>
      </c>
      <c r="AQ259" s="49">
        <f t="shared" ca="1" si="444"/>
        <v>0</v>
      </c>
      <c r="AR259" s="49">
        <f t="shared" ca="1" si="444"/>
        <v>0</v>
      </c>
      <c r="AS259" s="49">
        <f t="shared" ca="1" si="444"/>
        <v>0</v>
      </c>
      <c r="AT259" s="49">
        <f t="shared" ca="1" si="444"/>
        <v>0</v>
      </c>
      <c r="AU259" s="49">
        <f t="shared" ca="1" si="444"/>
        <v>0</v>
      </c>
      <c r="AV259" s="49">
        <f t="shared" ca="1" si="444"/>
        <v>0</v>
      </c>
      <c r="AW259" s="49">
        <f t="shared" ca="1" si="444"/>
        <v>0</v>
      </c>
      <c r="AX259" s="49">
        <f t="shared" ca="1" si="444"/>
        <v>0</v>
      </c>
      <c r="AY259" s="49">
        <f t="shared" ca="1" si="444"/>
        <v>0</v>
      </c>
      <c r="AZ259" s="49">
        <f t="shared" ca="1" si="444"/>
        <v>0</v>
      </c>
      <c r="BA259" s="49">
        <f t="shared" ca="1" si="444"/>
        <v>0</v>
      </c>
      <c r="BB259" s="49">
        <f t="shared" ca="1" si="444"/>
        <v>0</v>
      </c>
      <c r="BC259" s="49">
        <f t="shared" ca="1" si="444"/>
        <v>0</v>
      </c>
      <c r="BD259" s="49">
        <f t="shared" ca="1" si="444"/>
        <v>0</v>
      </c>
      <c r="BE259" s="49">
        <f t="shared" ca="1" si="444"/>
        <v>0</v>
      </c>
      <c r="BF259" s="49">
        <f t="shared" ca="1" si="444"/>
        <v>0</v>
      </c>
      <c r="BG259" s="49">
        <f t="shared" ca="1" si="444"/>
        <v>0</v>
      </c>
      <c r="BH259" s="49">
        <f t="shared" ca="1" si="444"/>
        <v>0</v>
      </c>
      <c r="BI259" s="49">
        <f t="shared" ca="1" si="444"/>
        <v>0</v>
      </c>
      <c r="BJ259" s="49">
        <f t="shared" ca="1" si="444"/>
        <v>0</v>
      </c>
      <c r="BK259" s="49">
        <f t="shared" ca="1" si="444"/>
        <v>0</v>
      </c>
      <c r="BL259" s="49">
        <f t="shared" ca="1" si="444"/>
        <v>0</v>
      </c>
      <c r="BM259" s="49">
        <f t="shared" ca="1" si="444"/>
        <v>0</v>
      </c>
      <c r="BN259" s="49">
        <f t="shared" ca="1" si="444"/>
        <v>0</v>
      </c>
      <c r="BO259" s="49">
        <f t="shared" ca="1" si="444"/>
        <v>0</v>
      </c>
      <c r="BP259" s="49">
        <f t="shared" ca="1" si="444"/>
        <v>0</v>
      </c>
      <c r="BQ259" s="49">
        <f t="shared" ca="1" si="444"/>
        <v>0</v>
      </c>
      <c r="BR259" s="49">
        <f t="shared" ca="1" si="444"/>
        <v>0</v>
      </c>
      <c r="BS259" s="49">
        <f t="shared" ca="1" si="444"/>
        <v>0</v>
      </c>
    </row>
    <row r="260" spans="4:71" outlineLevel="1" x14ac:dyDescent="0.2">
      <c r="D260" t="s">
        <v>236</v>
      </c>
      <c r="I260" s="30">
        <f t="shared" ca="1" si="439"/>
        <v>1451.3191618758417</v>
      </c>
      <c r="J260" s="26" t="s">
        <v>148</v>
      </c>
      <c r="L260" s="49">
        <f ca="1">L257-L259</f>
        <v>79.855739233931246</v>
      </c>
      <c r="M260" s="49">
        <f t="shared" ref="M260:BS260" ca="1" si="445">M257-M259</f>
        <v>82.874871651656264</v>
      </c>
      <c r="N260" s="49">
        <f t="shared" ca="1" si="445"/>
        <v>43.772417730165621</v>
      </c>
      <c r="O260" s="49">
        <f t="shared" ca="1" si="445"/>
        <v>48.781177959716146</v>
      </c>
      <c r="P260" s="49">
        <f t="shared" ca="1" si="445"/>
        <v>100.9402126863032</v>
      </c>
      <c r="Q260" s="49">
        <f t="shared" ca="1" si="445"/>
        <v>159.20400786829271</v>
      </c>
      <c r="R260" s="49">
        <f t="shared" ca="1" si="445"/>
        <v>161.27176896562474</v>
      </c>
      <c r="S260" s="49">
        <f t="shared" ca="1" si="445"/>
        <v>149.34918700800006</v>
      </c>
      <c r="T260" s="49">
        <f t="shared" ca="1" si="445"/>
        <v>138.51525008159996</v>
      </c>
      <c r="U260" s="49">
        <f t="shared" ca="1" si="445"/>
        <v>131.39556622740577</v>
      </c>
      <c r="V260" s="49">
        <f t="shared" ca="1" si="445"/>
        <v>124.64183412331703</v>
      </c>
      <c r="W260" s="49">
        <f t="shared" ca="1" si="445"/>
        <v>118.55917602430841</v>
      </c>
      <c r="X260" s="49">
        <f t="shared" ca="1" si="445"/>
        <v>112.15795231552053</v>
      </c>
      <c r="Y260" s="49">
        <f t="shared" ca="1" si="445"/>
        <v>0</v>
      </c>
      <c r="Z260" s="49">
        <f t="shared" ca="1" si="445"/>
        <v>0</v>
      </c>
      <c r="AA260" s="49">
        <f t="shared" ca="1" si="445"/>
        <v>0</v>
      </c>
      <c r="AB260" s="49">
        <f t="shared" ca="1" si="445"/>
        <v>0</v>
      </c>
      <c r="AC260" s="49">
        <f t="shared" ca="1" si="445"/>
        <v>0</v>
      </c>
      <c r="AD260" s="49">
        <f t="shared" ca="1" si="445"/>
        <v>0</v>
      </c>
      <c r="AE260" s="49">
        <f t="shared" ca="1" si="445"/>
        <v>0</v>
      </c>
      <c r="AF260" s="49">
        <f t="shared" ca="1" si="445"/>
        <v>0</v>
      </c>
      <c r="AG260" s="49">
        <f t="shared" ca="1" si="445"/>
        <v>0</v>
      </c>
      <c r="AH260" s="49">
        <f t="shared" ca="1" si="445"/>
        <v>0</v>
      </c>
      <c r="AI260" s="49">
        <f t="shared" ca="1" si="445"/>
        <v>0</v>
      </c>
      <c r="AJ260" s="49">
        <f t="shared" ca="1" si="445"/>
        <v>0</v>
      </c>
      <c r="AK260" s="49">
        <f t="shared" ca="1" si="445"/>
        <v>0</v>
      </c>
      <c r="AL260" s="49">
        <f t="shared" ca="1" si="445"/>
        <v>0</v>
      </c>
      <c r="AM260" s="49">
        <f t="shared" ca="1" si="445"/>
        <v>0</v>
      </c>
      <c r="AN260" s="49">
        <f t="shared" ca="1" si="445"/>
        <v>0</v>
      </c>
      <c r="AO260" s="49">
        <f t="shared" ca="1" si="445"/>
        <v>0</v>
      </c>
      <c r="AP260" s="49">
        <f t="shared" ca="1" si="445"/>
        <v>0</v>
      </c>
      <c r="AQ260" s="49">
        <f t="shared" ca="1" si="445"/>
        <v>0</v>
      </c>
      <c r="AR260" s="49">
        <f t="shared" ca="1" si="445"/>
        <v>0</v>
      </c>
      <c r="AS260" s="49">
        <f t="shared" ca="1" si="445"/>
        <v>0</v>
      </c>
      <c r="AT260" s="49">
        <f t="shared" ca="1" si="445"/>
        <v>0</v>
      </c>
      <c r="AU260" s="49">
        <f t="shared" ca="1" si="445"/>
        <v>0</v>
      </c>
      <c r="AV260" s="49">
        <f t="shared" ca="1" si="445"/>
        <v>0</v>
      </c>
      <c r="AW260" s="49">
        <f t="shared" ca="1" si="445"/>
        <v>0</v>
      </c>
      <c r="AX260" s="49">
        <f t="shared" ca="1" si="445"/>
        <v>0</v>
      </c>
      <c r="AY260" s="49">
        <f t="shared" ca="1" si="445"/>
        <v>0</v>
      </c>
      <c r="AZ260" s="49">
        <f t="shared" ca="1" si="445"/>
        <v>0</v>
      </c>
      <c r="BA260" s="49">
        <f t="shared" ca="1" si="445"/>
        <v>0</v>
      </c>
      <c r="BB260" s="49">
        <f t="shared" ca="1" si="445"/>
        <v>0</v>
      </c>
      <c r="BC260" s="49">
        <f t="shared" ca="1" si="445"/>
        <v>0</v>
      </c>
      <c r="BD260" s="49">
        <f t="shared" ca="1" si="445"/>
        <v>0</v>
      </c>
      <c r="BE260" s="49">
        <f t="shared" ca="1" si="445"/>
        <v>0</v>
      </c>
      <c r="BF260" s="49">
        <f t="shared" ca="1" si="445"/>
        <v>0</v>
      </c>
      <c r="BG260" s="49">
        <f t="shared" ca="1" si="445"/>
        <v>0</v>
      </c>
      <c r="BH260" s="49">
        <f t="shared" ca="1" si="445"/>
        <v>0</v>
      </c>
      <c r="BI260" s="49">
        <f t="shared" ca="1" si="445"/>
        <v>0</v>
      </c>
      <c r="BJ260" s="49">
        <f t="shared" ca="1" si="445"/>
        <v>0</v>
      </c>
      <c r="BK260" s="49">
        <f t="shared" ca="1" si="445"/>
        <v>0</v>
      </c>
      <c r="BL260" s="49">
        <f t="shared" ca="1" si="445"/>
        <v>0</v>
      </c>
      <c r="BM260" s="49">
        <f t="shared" ca="1" si="445"/>
        <v>0</v>
      </c>
      <c r="BN260" s="49">
        <f t="shared" ca="1" si="445"/>
        <v>0</v>
      </c>
      <c r="BO260" s="49">
        <f t="shared" ca="1" si="445"/>
        <v>0</v>
      </c>
      <c r="BP260" s="49">
        <f t="shared" ca="1" si="445"/>
        <v>0</v>
      </c>
      <c r="BQ260" s="49">
        <f t="shared" ca="1" si="445"/>
        <v>0</v>
      </c>
      <c r="BR260" s="49">
        <f t="shared" ca="1" si="445"/>
        <v>0</v>
      </c>
      <c r="BS260" s="49">
        <f t="shared" ca="1" si="445"/>
        <v>0</v>
      </c>
    </row>
    <row r="261" spans="4:71" outlineLevel="1" x14ac:dyDescent="0.2"/>
    <row r="262" spans="4:71" outlineLevel="1" x14ac:dyDescent="0.2">
      <c r="D262" s="11" t="s">
        <v>237</v>
      </c>
    </row>
    <row r="263" spans="4:71" outlineLevel="1" x14ac:dyDescent="0.2">
      <c r="D263" s="50" t="s">
        <v>238</v>
      </c>
      <c r="I263" s="30">
        <f t="shared" ref="I263:I269" ca="1" si="446">SUM($L263:$BS263)</f>
        <v>0</v>
      </c>
      <c r="J263" s="26" t="s">
        <v>148</v>
      </c>
      <c r="L263" s="49">
        <f t="shared" ref="L263:AQ263" ca="1" si="447">MAX(CA_gross_rev_gas_fp-CA_roy_gas_fp-(CA_cost_recovered_total*CA_rev_gas_perc)-(CA_excess_cost_recovery*CA_rev_gas_perc),0)</f>
        <v>0</v>
      </c>
      <c r="M263" s="49">
        <f t="shared" ca="1" si="447"/>
        <v>0</v>
      </c>
      <c r="N263" s="49">
        <f t="shared" ca="1" si="447"/>
        <v>0</v>
      </c>
      <c r="O263" s="49">
        <f t="shared" ca="1" si="447"/>
        <v>0</v>
      </c>
      <c r="P263" s="49">
        <f t="shared" ca="1" si="447"/>
        <v>0</v>
      </c>
      <c r="Q263" s="49">
        <f t="shared" ca="1" si="447"/>
        <v>0</v>
      </c>
      <c r="R263" s="49">
        <f t="shared" ca="1" si="447"/>
        <v>0</v>
      </c>
      <c r="S263" s="49">
        <f t="shared" ca="1" si="447"/>
        <v>0</v>
      </c>
      <c r="T263" s="49">
        <f t="shared" ca="1" si="447"/>
        <v>0</v>
      </c>
      <c r="U263" s="49">
        <f t="shared" ca="1" si="447"/>
        <v>0</v>
      </c>
      <c r="V263" s="49">
        <f t="shared" ca="1" si="447"/>
        <v>0</v>
      </c>
      <c r="W263" s="49">
        <f t="shared" ca="1" si="447"/>
        <v>0</v>
      </c>
      <c r="X263" s="49">
        <f t="shared" ca="1" si="447"/>
        <v>0</v>
      </c>
      <c r="Y263" s="49">
        <f t="shared" ca="1" si="447"/>
        <v>0</v>
      </c>
      <c r="Z263" s="49">
        <f t="shared" ca="1" si="447"/>
        <v>0</v>
      </c>
      <c r="AA263" s="49">
        <f t="shared" ca="1" si="447"/>
        <v>0</v>
      </c>
      <c r="AB263" s="49">
        <f t="shared" ca="1" si="447"/>
        <v>0</v>
      </c>
      <c r="AC263" s="49">
        <f t="shared" ca="1" si="447"/>
        <v>0</v>
      </c>
      <c r="AD263" s="49">
        <f t="shared" ca="1" si="447"/>
        <v>0</v>
      </c>
      <c r="AE263" s="49">
        <f t="shared" ca="1" si="447"/>
        <v>0</v>
      </c>
      <c r="AF263" s="49">
        <f t="shared" ca="1" si="447"/>
        <v>0</v>
      </c>
      <c r="AG263" s="49">
        <f t="shared" ca="1" si="447"/>
        <v>0</v>
      </c>
      <c r="AH263" s="49">
        <f t="shared" ca="1" si="447"/>
        <v>0</v>
      </c>
      <c r="AI263" s="49">
        <f t="shared" ca="1" si="447"/>
        <v>0</v>
      </c>
      <c r="AJ263" s="49">
        <f t="shared" ca="1" si="447"/>
        <v>0</v>
      </c>
      <c r="AK263" s="49">
        <f t="shared" ca="1" si="447"/>
        <v>0</v>
      </c>
      <c r="AL263" s="49">
        <f t="shared" ca="1" si="447"/>
        <v>0</v>
      </c>
      <c r="AM263" s="49">
        <f t="shared" ca="1" si="447"/>
        <v>0</v>
      </c>
      <c r="AN263" s="49">
        <f t="shared" ca="1" si="447"/>
        <v>0</v>
      </c>
      <c r="AO263" s="49">
        <f t="shared" ca="1" si="447"/>
        <v>0</v>
      </c>
      <c r="AP263" s="49">
        <f t="shared" ca="1" si="447"/>
        <v>0</v>
      </c>
      <c r="AQ263" s="49">
        <f t="shared" ca="1" si="447"/>
        <v>0</v>
      </c>
      <c r="AR263" s="49">
        <f t="shared" ref="AR263:BS263" ca="1" si="448">MAX(CA_gross_rev_gas_fp-CA_roy_gas_fp-(CA_cost_recovered_total*CA_rev_gas_perc)-(CA_excess_cost_recovery*CA_rev_gas_perc),0)</f>
        <v>0</v>
      </c>
      <c r="AS263" s="49">
        <f t="shared" ca="1" si="448"/>
        <v>0</v>
      </c>
      <c r="AT263" s="49">
        <f t="shared" ca="1" si="448"/>
        <v>0</v>
      </c>
      <c r="AU263" s="49">
        <f t="shared" ca="1" si="448"/>
        <v>0</v>
      </c>
      <c r="AV263" s="49">
        <f t="shared" ca="1" si="448"/>
        <v>0</v>
      </c>
      <c r="AW263" s="49">
        <f t="shared" ca="1" si="448"/>
        <v>0</v>
      </c>
      <c r="AX263" s="49">
        <f t="shared" ca="1" si="448"/>
        <v>0</v>
      </c>
      <c r="AY263" s="49">
        <f t="shared" ca="1" si="448"/>
        <v>0</v>
      </c>
      <c r="AZ263" s="49">
        <f t="shared" ca="1" si="448"/>
        <v>0</v>
      </c>
      <c r="BA263" s="49">
        <f t="shared" ca="1" si="448"/>
        <v>0</v>
      </c>
      <c r="BB263" s="49">
        <f t="shared" ca="1" si="448"/>
        <v>0</v>
      </c>
      <c r="BC263" s="49">
        <f t="shared" ca="1" si="448"/>
        <v>0</v>
      </c>
      <c r="BD263" s="49">
        <f t="shared" ca="1" si="448"/>
        <v>0</v>
      </c>
      <c r="BE263" s="49">
        <f t="shared" ca="1" si="448"/>
        <v>0</v>
      </c>
      <c r="BF263" s="49">
        <f t="shared" ca="1" si="448"/>
        <v>0</v>
      </c>
      <c r="BG263" s="49">
        <f t="shared" ca="1" si="448"/>
        <v>0</v>
      </c>
      <c r="BH263" s="49">
        <f t="shared" ca="1" si="448"/>
        <v>0</v>
      </c>
      <c r="BI263" s="49">
        <f t="shared" ca="1" si="448"/>
        <v>0</v>
      </c>
      <c r="BJ263" s="49">
        <f t="shared" ca="1" si="448"/>
        <v>0</v>
      </c>
      <c r="BK263" s="49">
        <f t="shared" ca="1" si="448"/>
        <v>0</v>
      </c>
      <c r="BL263" s="49">
        <f t="shared" ca="1" si="448"/>
        <v>0</v>
      </c>
      <c r="BM263" s="49">
        <f t="shared" ca="1" si="448"/>
        <v>0</v>
      </c>
      <c r="BN263" s="49">
        <f t="shared" ca="1" si="448"/>
        <v>0</v>
      </c>
      <c r="BO263" s="49">
        <f t="shared" ca="1" si="448"/>
        <v>0</v>
      </c>
      <c r="BP263" s="49">
        <f t="shared" ca="1" si="448"/>
        <v>0</v>
      </c>
      <c r="BQ263" s="49">
        <f t="shared" ca="1" si="448"/>
        <v>0</v>
      </c>
      <c r="BR263" s="49">
        <f t="shared" ca="1" si="448"/>
        <v>0</v>
      </c>
      <c r="BS263" s="49">
        <f t="shared" ca="1" si="448"/>
        <v>0</v>
      </c>
    </row>
    <row r="264" spans="4:71" outlineLevel="1" x14ac:dyDescent="0.2">
      <c r="D264" s="50" t="s">
        <v>234</v>
      </c>
      <c r="L264" s="53">
        <f t="shared" ref="L264:AQ264" ca="1" si="449">INDEX(FA_PS_cont_rate,MATCH(CA_cum_gross_prod_gas,FA_PS_cumprod_gas,1))*CA_op_trig</f>
        <v>0.5</v>
      </c>
      <c r="M264" s="53">
        <f t="shared" ca="1" si="449"/>
        <v>0.5</v>
      </c>
      <c r="N264" s="53">
        <f t="shared" ca="1" si="449"/>
        <v>0.5</v>
      </c>
      <c r="O264" s="53">
        <f t="shared" ca="1" si="449"/>
        <v>0.5</v>
      </c>
      <c r="P264" s="53">
        <f t="shared" ca="1" si="449"/>
        <v>0.5</v>
      </c>
      <c r="Q264" s="53">
        <f t="shared" ca="1" si="449"/>
        <v>0.5</v>
      </c>
      <c r="R264" s="53">
        <f t="shared" ca="1" si="449"/>
        <v>0.5</v>
      </c>
      <c r="S264" s="53">
        <f t="shared" ca="1" si="449"/>
        <v>0.5</v>
      </c>
      <c r="T264" s="53">
        <f t="shared" ca="1" si="449"/>
        <v>0.5</v>
      </c>
      <c r="U264" s="53">
        <f t="shared" ca="1" si="449"/>
        <v>0.5</v>
      </c>
      <c r="V264" s="53">
        <f t="shared" ca="1" si="449"/>
        <v>0.5</v>
      </c>
      <c r="W264" s="53">
        <f t="shared" ca="1" si="449"/>
        <v>0.5</v>
      </c>
      <c r="X264" s="53">
        <f t="shared" ca="1" si="449"/>
        <v>0.5</v>
      </c>
      <c r="Y264" s="53">
        <f t="shared" ca="1" si="449"/>
        <v>0</v>
      </c>
      <c r="Z264" s="53">
        <f t="shared" ca="1" si="449"/>
        <v>0</v>
      </c>
      <c r="AA264" s="53">
        <f t="shared" ca="1" si="449"/>
        <v>0</v>
      </c>
      <c r="AB264" s="53">
        <f t="shared" ca="1" si="449"/>
        <v>0</v>
      </c>
      <c r="AC264" s="53">
        <f t="shared" ca="1" si="449"/>
        <v>0</v>
      </c>
      <c r="AD264" s="53">
        <f t="shared" ca="1" si="449"/>
        <v>0</v>
      </c>
      <c r="AE264" s="53">
        <f t="shared" ca="1" si="449"/>
        <v>0</v>
      </c>
      <c r="AF264" s="53">
        <f t="shared" ca="1" si="449"/>
        <v>0</v>
      </c>
      <c r="AG264" s="53">
        <f t="shared" ca="1" si="449"/>
        <v>0</v>
      </c>
      <c r="AH264" s="53">
        <f t="shared" ca="1" si="449"/>
        <v>0</v>
      </c>
      <c r="AI264" s="53">
        <f t="shared" ca="1" si="449"/>
        <v>0</v>
      </c>
      <c r="AJ264" s="53">
        <f t="shared" ca="1" si="449"/>
        <v>0</v>
      </c>
      <c r="AK264" s="53">
        <f t="shared" ca="1" si="449"/>
        <v>0</v>
      </c>
      <c r="AL264" s="53">
        <f t="shared" ca="1" si="449"/>
        <v>0</v>
      </c>
      <c r="AM264" s="53">
        <f t="shared" ca="1" si="449"/>
        <v>0</v>
      </c>
      <c r="AN264" s="53">
        <f t="shared" ca="1" si="449"/>
        <v>0</v>
      </c>
      <c r="AO264" s="53">
        <f t="shared" ca="1" si="449"/>
        <v>0</v>
      </c>
      <c r="AP264" s="53">
        <f t="shared" ca="1" si="449"/>
        <v>0</v>
      </c>
      <c r="AQ264" s="53">
        <f t="shared" ca="1" si="449"/>
        <v>0</v>
      </c>
      <c r="AR264" s="53">
        <f t="shared" ref="AR264:BS264" ca="1" si="450">INDEX(FA_PS_cont_rate,MATCH(CA_cum_gross_prod_gas,FA_PS_cumprod_gas,1))*CA_op_trig</f>
        <v>0</v>
      </c>
      <c r="AS264" s="53">
        <f t="shared" ca="1" si="450"/>
        <v>0</v>
      </c>
      <c r="AT264" s="53">
        <f t="shared" ca="1" si="450"/>
        <v>0</v>
      </c>
      <c r="AU264" s="53">
        <f t="shared" ca="1" si="450"/>
        <v>0</v>
      </c>
      <c r="AV264" s="53">
        <f t="shared" ca="1" si="450"/>
        <v>0</v>
      </c>
      <c r="AW264" s="53">
        <f t="shared" ca="1" si="450"/>
        <v>0</v>
      </c>
      <c r="AX264" s="53">
        <f t="shared" ca="1" si="450"/>
        <v>0</v>
      </c>
      <c r="AY264" s="53">
        <f t="shared" ca="1" si="450"/>
        <v>0</v>
      </c>
      <c r="AZ264" s="53">
        <f t="shared" ca="1" si="450"/>
        <v>0</v>
      </c>
      <c r="BA264" s="53">
        <f t="shared" ca="1" si="450"/>
        <v>0</v>
      </c>
      <c r="BB264" s="53">
        <f t="shared" ca="1" si="450"/>
        <v>0</v>
      </c>
      <c r="BC264" s="53">
        <f t="shared" ca="1" si="450"/>
        <v>0</v>
      </c>
      <c r="BD264" s="53">
        <f t="shared" ca="1" si="450"/>
        <v>0</v>
      </c>
      <c r="BE264" s="53">
        <f t="shared" ca="1" si="450"/>
        <v>0</v>
      </c>
      <c r="BF264" s="53">
        <f t="shared" ca="1" si="450"/>
        <v>0</v>
      </c>
      <c r="BG264" s="53">
        <f t="shared" ca="1" si="450"/>
        <v>0</v>
      </c>
      <c r="BH264" s="53">
        <f t="shared" ca="1" si="450"/>
        <v>0</v>
      </c>
      <c r="BI264" s="53">
        <f t="shared" ca="1" si="450"/>
        <v>0</v>
      </c>
      <c r="BJ264" s="53">
        <f t="shared" ca="1" si="450"/>
        <v>0</v>
      </c>
      <c r="BK264" s="53">
        <f t="shared" ca="1" si="450"/>
        <v>0</v>
      </c>
      <c r="BL264" s="53">
        <f t="shared" ca="1" si="450"/>
        <v>0</v>
      </c>
      <c r="BM264" s="53">
        <f t="shared" ca="1" si="450"/>
        <v>0</v>
      </c>
      <c r="BN264" s="53">
        <f t="shared" ca="1" si="450"/>
        <v>0</v>
      </c>
      <c r="BO264" s="53">
        <f t="shared" ca="1" si="450"/>
        <v>0</v>
      </c>
      <c r="BP264" s="53">
        <f t="shared" ca="1" si="450"/>
        <v>0</v>
      </c>
      <c r="BQ264" s="53">
        <f t="shared" ca="1" si="450"/>
        <v>0</v>
      </c>
      <c r="BR264" s="53">
        <f t="shared" ca="1" si="450"/>
        <v>0</v>
      </c>
      <c r="BS264" s="53">
        <f t="shared" ca="1" si="450"/>
        <v>0</v>
      </c>
    </row>
    <row r="265" spans="4:71" outlineLevel="1" x14ac:dyDescent="0.2">
      <c r="D265" t="s">
        <v>235</v>
      </c>
      <c r="I265" s="30">
        <f t="shared" ca="1" si="446"/>
        <v>0</v>
      </c>
      <c r="J265" s="26" t="s">
        <v>148</v>
      </c>
      <c r="L265" s="49">
        <f ca="1">L263*L264</f>
        <v>0</v>
      </c>
      <c r="M265" s="49">
        <f t="shared" ref="M265" ca="1" si="451">M263*M264</f>
        <v>0</v>
      </c>
      <c r="N265" s="49">
        <f t="shared" ref="N265" ca="1" si="452">N263*N264</f>
        <v>0</v>
      </c>
      <c r="O265" s="49">
        <f t="shared" ref="O265" ca="1" si="453">O263*O264</f>
        <v>0</v>
      </c>
      <c r="P265" s="49">
        <f t="shared" ref="P265" ca="1" si="454">P263*P264</f>
        <v>0</v>
      </c>
      <c r="Q265" s="49">
        <f t="shared" ref="Q265" ca="1" si="455">Q263*Q264</f>
        <v>0</v>
      </c>
      <c r="R265" s="49">
        <f t="shared" ref="R265" ca="1" si="456">R263*R264</f>
        <v>0</v>
      </c>
      <c r="S265" s="49">
        <f t="shared" ref="S265" ca="1" si="457">S263*S264</f>
        <v>0</v>
      </c>
      <c r="T265" s="49">
        <f t="shared" ref="T265" ca="1" si="458">T263*T264</f>
        <v>0</v>
      </c>
      <c r="U265" s="49">
        <f t="shared" ref="U265" ca="1" si="459">U263*U264</f>
        <v>0</v>
      </c>
      <c r="V265" s="49">
        <f t="shared" ref="V265" ca="1" si="460">V263*V264</f>
        <v>0</v>
      </c>
      <c r="W265" s="49">
        <f t="shared" ref="W265" ca="1" si="461">W263*W264</f>
        <v>0</v>
      </c>
      <c r="X265" s="49">
        <f t="shared" ref="X265" ca="1" si="462">X263*X264</f>
        <v>0</v>
      </c>
      <c r="Y265" s="49">
        <f t="shared" ref="Y265" ca="1" si="463">Y263*Y264</f>
        <v>0</v>
      </c>
      <c r="Z265" s="49">
        <f t="shared" ref="Z265" ca="1" si="464">Z263*Z264</f>
        <v>0</v>
      </c>
      <c r="AA265" s="49">
        <f t="shared" ref="AA265" ca="1" si="465">AA263*AA264</f>
        <v>0</v>
      </c>
      <c r="AB265" s="49">
        <f t="shared" ref="AB265" ca="1" si="466">AB263*AB264</f>
        <v>0</v>
      </c>
      <c r="AC265" s="49">
        <f t="shared" ref="AC265" ca="1" si="467">AC263*AC264</f>
        <v>0</v>
      </c>
      <c r="AD265" s="49">
        <f t="shared" ref="AD265" ca="1" si="468">AD263*AD264</f>
        <v>0</v>
      </c>
      <c r="AE265" s="49">
        <f t="shared" ref="AE265" ca="1" si="469">AE263*AE264</f>
        <v>0</v>
      </c>
      <c r="AF265" s="49">
        <f t="shared" ref="AF265" ca="1" si="470">AF263*AF264</f>
        <v>0</v>
      </c>
      <c r="AG265" s="49">
        <f t="shared" ref="AG265" ca="1" si="471">AG263*AG264</f>
        <v>0</v>
      </c>
      <c r="AH265" s="49">
        <f t="shared" ref="AH265" ca="1" si="472">AH263*AH264</f>
        <v>0</v>
      </c>
      <c r="AI265" s="49">
        <f t="shared" ref="AI265" ca="1" si="473">AI263*AI264</f>
        <v>0</v>
      </c>
      <c r="AJ265" s="49">
        <f t="shared" ref="AJ265" ca="1" si="474">AJ263*AJ264</f>
        <v>0</v>
      </c>
      <c r="AK265" s="49">
        <f t="shared" ref="AK265" ca="1" si="475">AK263*AK264</f>
        <v>0</v>
      </c>
      <c r="AL265" s="49">
        <f t="shared" ref="AL265" ca="1" si="476">AL263*AL264</f>
        <v>0</v>
      </c>
      <c r="AM265" s="49">
        <f t="shared" ref="AM265" ca="1" si="477">AM263*AM264</f>
        <v>0</v>
      </c>
      <c r="AN265" s="49">
        <f t="shared" ref="AN265" ca="1" si="478">AN263*AN264</f>
        <v>0</v>
      </c>
      <c r="AO265" s="49">
        <f t="shared" ref="AO265" ca="1" si="479">AO263*AO264</f>
        <v>0</v>
      </c>
      <c r="AP265" s="49">
        <f t="shared" ref="AP265" ca="1" si="480">AP263*AP264</f>
        <v>0</v>
      </c>
      <c r="AQ265" s="49">
        <f t="shared" ref="AQ265" ca="1" si="481">AQ263*AQ264</f>
        <v>0</v>
      </c>
      <c r="AR265" s="49">
        <f t="shared" ref="AR265" ca="1" si="482">AR263*AR264</f>
        <v>0</v>
      </c>
      <c r="AS265" s="49">
        <f t="shared" ref="AS265" ca="1" si="483">AS263*AS264</f>
        <v>0</v>
      </c>
      <c r="AT265" s="49">
        <f t="shared" ref="AT265" ca="1" si="484">AT263*AT264</f>
        <v>0</v>
      </c>
      <c r="AU265" s="49">
        <f t="shared" ref="AU265" ca="1" si="485">AU263*AU264</f>
        <v>0</v>
      </c>
      <c r="AV265" s="49">
        <f t="shared" ref="AV265" ca="1" si="486">AV263*AV264</f>
        <v>0</v>
      </c>
      <c r="AW265" s="49">
        <f t="shared" ref="AW265" ca="1" si="487">AW263*AW264</f>
        <v>0</v>
      </c>
      <c r="AX265" s="49">
        <f t="shared" ref="AX265" ca="1" si="488">AX263*AX264</f>
        <v>0</v>
      </c>
      <c r="AY265" s="49">
        <f t="shared" ref="AY265" ca="1" si="489">AY263*AY264</f>
        <v>0</v>
      </c>
      <c r="AZ265" s="49">
        <f t="shared" ref="AZ265" ca="1" si="490">AZ263*AZ264</f>
        <v>0</v>
      </c>
      <c r="BA265" s="49">
        <f t="shared" ref="BA265" ca="1" si="491">BA263*BA264</f>
        <v>0</v>
      </c>
      <c r="BB265" s="49">
        <f t="shared" ref="BB265" ca="1" si="492">BB263*BB264</f>
        <v>0</v>
      </c>
      <c r="BC265" s="49">
        <f t="shared" ref="BC265" ca="1" si="493">BC263*BC264</f>
        <v>0</v>
      </c>
      <c r="BD265" s="49">
        <f t="shared" ref="BD265" ca="1" si="494">BD263*BD264</f>
        <v>0</v>
      </c>
      <c r="BE265" s="49">
        <f t="shared" ref="BE265" ca="1" si="495">BE263*BE264</f>
        <v>0</v>
      </c>
      <c r="BF265" s="49">
        <f t="shared" ref="BF265" ca="1" si="496">BF263*BF264</f>
        <v>0</v>
      </c>
      <c r="BG265" s="49">
        <f t="shared" ref="BG265" ca="1" si="497">BG263*BG264</f>
        <v>0</v>
      </c>
      <c r="BH265" s="49">
        <f t="shared" ref="BH265" ca="1" si="498">BH263*BH264</f>
        <v>0</v>
      </c>
      <c r="BI265" s="49">
        <f t="shared" ref="BI265" ca="1" si="499">BI263*BI264</f>
        <v>0</v>
      </c>
      <c r="BJ265" s="49">
        <f t="shared" ref="BJ265" ca="1" si="500">BJ263*BJ264</f>
        <v>0</v>
      </c>
      <c r="BK265" s="49">
        <f t="shared" ref="BK265" ca="1" si="501">BK263*BK264</f>
        <v>0</v>
      </c>
      <c r="BL265" s="49">
        <f t="shared" ref="BL265" ca="1" si="502">BL263*BL264</f>
        <v>0</v>
      </c>
      <c r="BM265" s="49">
        <f t="shared" ref="BM265" ca="1" si="503">BM263*BM264</f>
        <v>0</v>
      </c>
      <c r="BN265" s="49">
        <f t="shared" ref="BN265" ca="1" si="504">BN263*BN264</f>
        <v>0</v>
      </c>
      <c r="BO265" s="49">
        <f t="shared" ref="BO265" ca="1" si="505">BO263*BO264</f>
        <v>0</v>
      </c>
      <c r="BP265" s="49">
        <f t="shared" ref="BP265" ca="1" si="506">BP263*BP264</f>
        <v>0</v>
      </c>
      <c r="BQ265" s="49">
        <f t="shared" ref="BQ265" ca="1" si="507">BQ263*BQ264</f>
        <v>0</v>
      </c>
      <c r="BR265" s="49">
        <f t="shared" ref="BR265" ca="1" si="508">BR263*BR264</f>
        <v>0</v>
      </c>
      <c r="BS265" s="49">
        <f t="shared" ref="BS265" ca="1" si="509">BS263*BS264</f>
        <v>0</v>
      </c>
    </row>
    <row r="266" spans="4:71" outlineLevel="1" x14ac:dyDescent="0.2">
      <c r="D266" t="s">
        <v>236</v>
      </c>
      <c r="I266" s="30">
        <f t="shared" ca="1" si="446"/>
        <v>0</v>
      </c>
      <c r="J266" s="26" t="s">
        <v>148</v>
      </c>
      <c r="L266" s="49">
        <f ca="1">L263-L265</f>
        <v>0</v>
      </c>
      <c r="M266" s="49">
        <f t="shared" ref="M266" ca="1" si="510">M263-M265</f>
        <v>0</v>
      </c>
      <c r="N266" s="49">
        <f t="shared" ref="N266" ca="1" si="511">N263-N265</f>
        <v>0</v>
      </c>
      <c r="O266" s="49">
        <f t="shared" ref="O266" ca="1" si="512">O263-O265</f>
        <v>0</v>
      </c>
      <c r="P266" s="49">
        <f t="shared" ref="P266" ca="1" si="513">P263-P265</f>
        <v>0</v>
      </c>
      <c r="Q266" s="49">
        <f t="shared" ref="Q266" ca="1" si="514">Q263-Q265</f>
        <v>0</v>
      </c>
      <c r="R266" s="49">
        <f t="shared" ref="R266" ca="1" si="515">R263-R265</f>
        <v>0</v>
      </c>
      <c r="S266" s="49">
        <f t="shared" ref="S266" ca="1" si="516">S263-S265</f>
        <v>0</v>
      </c>
      <c r="T266" s="49">
        <f t="shared" ref="T266" ca="1" si="517">T263-T265</f>
        <v>0</v>
      </c>
      <c r="U266" s="49">
        <f t="shared" ref="U266" ca="1" si="518">U263-U265</f>
        <v>0</v>
      </c>
      <c r="V266" s="49">
        <f t="shared" ref="V266" ca="1" si="519">V263-V265</f>
        <v>0</v>
      </c>
      <c r="W266" s="49">
        <f t="shared" ref="W266" ca="1" si="520">W263-W265</f>
        <v>0</v>
      </c>
      <c r="X266" s="49">
        <f t="shared" ref="X266" ca="1" si="521">X263-X265</f>
        <v>0</v>
      </c>
      <c r="Y266" s="49">
        <f t="shared" ref="Y266" ca="1" si="522">Y263-Y265</f>
        <v>0</v>
      </c>
      <c r="Z266" s="49">
        <f t="shared" ref="Z266" ca="1" si="523">Z263-Z265</f>
        <v>0</v>
      </c>
      <c r="AA266" s="49">
        <f t="shared" ref="AA266" ca="1" si="524">AA263-AA265</f>
        <v>0</v>
      </c>
      <c r="AB266" s="49">
        <f t="shared" ref="AB266" ca="1" si="525">AB263-AB265</f>
        <v>0</v>
      </c>
      <c r="AC266" s="49">
        <f t="shared" ref="AC266" ca="1" si="526">AC263-AC265</f>
        <v>0</v>
      </c>
      <c r="AD266" s="49">
        <f t="shared" ref="AD266" ca="1" si="527">AD263-AD265</f>
        <v>0</v>
      </c>
      <c r="AE266" s="49">
        <f t="shared" ref="AE266" ca="1" si="528">AE263-AE265</f>
        <v>0</v>
      </c>
      <c r="AF266" s="49">
        <f t="shared" ref="AF266" ca="1" si="529">AF263-AF265</f>
        <v>0</v>
      </c>
      <c r="AG266" s="49">
        <f t="shared" ref="AG266" ca="1" si="530">AG263-AG265</f>
        <v>0</v>
      </c>
      <c r="AH266" s="49">
        <f t="shared" ref="AH266" ca="1" si="531">AH263-AH265</f>
        <v>0</v>
      </c>
      <c r="AI266" s="49">
        <f t="shared" ref="AI266" ca="1" si="532">AI263-AI265</f>
        <v>0</v>
      </c>
      <c r="AJ266" s="49">
        <f t="shared" ref="AJ266" ca="1" si="533">AJ263-AJ265</f>
        <v>0</v>
      </c>
      <c r="AK266" s="49">
        <f t="shared" ref="AK266" ca="1" si="534">AK263-AK265</f>
        <v>0</v>
      </c>
      <c r="AL266" s="49">
        <f t="shared" ref="AL266" ca="1" si="535">AL263-AL265</f>
        <v>0</v>
      </c>
      <c r="AM266" s="49">
        <f t="shared" ref="AM266" ca="1" si="536">AM263-AM265</f>
        <v>0</v>
      </c>
      <c r="AN266" s="49">
        <f t="shared" ref="AN266" ca="1" si="537">AN263-AN265</f>
        <v>0</v>
      </c>
      <c r="AO266" s="49">
        <f t="shared" ref="AO266" ca="1" si="538">AO263-AO265</f>
        <v>0</v>
      </c>
      <c r="AP266" s="49">
        <f t="shared" ref="AP266" ca="1" si="539">AP263-AP265</f>
        <v>0</v>
      </c>
      <c r="AQ266" s="49">
        <f t="shared" ref="AQ266" ca="1" si="540">AQ263-AQ265</f>
        <v>0</v>
      </c>
      <c r="AR266" s="49">
        <f t="shared" ref="AR266" ca="1" si="541">AR263-AR265</f>
        <v>0</v>
      </c>
      <c r="AS266" s="49">
        <f t="shared" ref="AS266" ca="1" si="542">AS263-AS265</f>
        <v>0</v>
      </c>
      <c r="AT266" s="49">
        <f t="shared" ref="AT266" ca="1" si="543">AT263-AT265</f>
        <v>0</v>
      </c>
      <c r="AU266" s="49">
        <f t="shared" ref="AU266" ca="1" si="544">AU263-AU265</f>
        <v>0</v>
      </c>
      <c r="AV266" s="49">
        <f t="shared" ref="AV266" ca="1" si="545">AV263-AV265</f>
        <v>0</v>
      </c>
      <c r="AW266" s="49">
        <f t="shared" ref="AW266" ca="1" si="546">AW263-AW265</f>
        <v>0</v>
      </c>
      <c r="AX266" s="49">
        <f t="shared" ref="AX266" ca="1" si="547">AX263-AX265</f>
        <v>0</v>
      </c>
      <c r="AY266" s="49">
        <f t="shared" ref="AY266" ca="1" si="548">AY263-AY265</f>
        <v>0</v>
      </c>
      <c r="AZ266" s="49">
        <f t="shared" ref="AZ266" ca="1" si="549">AZ263-AZ265</f>
        <v>0</v>
      </c>
      <c r="BA266" s="49">
        <f t="shared" ref="BA266" ca="1" si="550">BA263-BA265</f>
        <v>0</v>
      </c>
      <c r="BB266" s="49">
        <f t="shared" ref="BB266" ca="1" si="551">BB263-BB265</f>
        <v>0</v>
      </c>
      <c r="BC266" s="49">
        <f t="shared" ref="BC266" ca="1" si="552">BC263-BC265</f>
        <v>0</v>
      </c>
      <c r="BD266" s="49">
        <f t="shared" ref="BD266" ca="1" si="553">BD263-BD265</f>
        <v>0</v>
      </c>
      <c r="BE266" s="49">
        <f t="shared" ref="BE266" ca="1" si="554">BE263-BE265</f>
        <v>0</v>
      </c>
      <c r="BF266" s="49">
        <f t="shared" ref="BF266" ca="1" si="555">BF263-BF265</f>
        <v>0</v>
      </c>
      <c r="BG266" s="49">
        <f t="shared" ref="BG266" ca="1" si="556">BG263-BG265</f>
        <v>0</v>
      </c>
      <c r="BH266" s="49">
        <f t="shared" ref="BH266" ca="1" si="557">BH263-BH265</f>
        <v>0</v>
      </c>
      <c r="BI266" s="49">
        <f t="shared" ref="BI266" ca="1" si="558">BI263-BI265</f>
        <v>0</v>
      </c>
      <c r="BJ266" s="49">
        <f t="shared" ref="BJ266" ca="1" si="559">BJ263-BJ265</f>
        <v>0</v>
      </c>
      <c r="BK266" s="49">
        <f t="shared" ref="BK266" ca="1" si="560">BK263-BK265</f>
        <v>0</v>
      </c>
      <c r="BL266" s="49">
        <f t="shared" ref="BL266" ca="1" si="561">BL263-BL265</f>
        <v>0</v>
      </c>
      <c r="BM266" s="49">
        <f t="shared" ref="BM266" ca="1" si="562">BM263-BM265</f>
        <v>0</v>
      </c>
      <c r="BN266" s="49">
        <f t="shared" ref="BN266" ca="1" si="563">BN263-BN265</f>
        <v>0</v>
      </c>
      <c r="BO266" s="49">
        <f t="shared" ref="BO266" ca="1" si="564">BO263-BO265</f>
        <v>0</v>
      </c>
      <c r="BP266" s="49">
        <f t="shared" ref="BP266" ca="1" si="565">BP263-BP265</f>
        <v>0</v>
      </c>
      <c r="BQ266" s="49">
        <f t="shared" ref="BQ266" ca="1" si="566">BQ263-BQ265</f>
        <v>0</v>
      </c>
      <c r="BR266" s="49">
        <f t="shared" ref="BR266" ca="1" si="567">BR263-BR265</f>
        <v>0</v>
      </c>
      <c r="BS266" s="49">
        <f t="shared" ref="BS266" ca="1" si="568">BS263-BS265</f>
        <v>0</v>
      </c>
    </row>
    <row r="267" spans="4:71" outlineLevel="1" x14ac:dyDescent="0.2"/>
    <row r="268" spans="4:71" outlineLevel="1" x14ac:dyDescent="0.2">
      <c r="D268" s="11" t="s">
        <v>239</v>
      </c>
      <c r="I268" s="30">
        <f t="shared" ca="1" si="446"/>
        <v>714.98284702426804</v>
      </c>
      <c r="J268" s="26" t="s">
        <v>148</v>
      </c>
      <c r="K268" s="7" t="s">
        <v>241</v>
      </c>
      <c r="L268" s="49">
        <f ca="1">SUM(L259,L265)</f>
        <v>79.855739233931246</v>
      </c>
      <c r="M268" s="49">
        <f t="shared" ref="M268:BS268" ca="1" si="569">SUM(M259,M265)</f>
        <v>82.874871651656264</v>
      </c>
      <c r="N268" s="49">
        <f t="shared" ca="1" si="569"/>
        <v>18.759607598642411</v>
      </c>
      <c r="O268" s="49">
        <f t="shared" ca="1" si="569"/>
        <v>20.906219125592639</v>
      </c>
      <c r="P268" s="49">
        <f t="shared" ca="1" si="569"/>
        <v>43.26009115127281</v>
      </c>
      <c r="Q268" s="49">
        <f t="shared" ca="1" si="569"/>
        <v>68.230289086411176</v>
      </c>
      <c r="R268" s="49">
        <f t="shared" ca="1" si="569"/>
        <v>69.11647241383919</v>
      </c>
      <c r="S268" s="49">
        <f t="shared" ca="1" si="569"/>
        <v>64.006794432000035</v>
      </c>
      <c r="T268" s="49">
        <f t="shared" ca="1" si="569"/>
        <v>59.363678606400001</v>
      </c>
      <c r="U268" s="49">
        <f t="shared" ca="1" si="569"/>
        <v>56.312385526031051</v>
      </c>
      <c r="V268" s="49">
        <f t="shared" ca="1" si="569"/>
        <v>53.417928909993023</v>
      </c>
      <c r="W268" s="49">
        <f t="shared" ca="1" si="569"/>
        <v>50.811075438989327</v>
      </c>
      <c r="X268" s="49">
        <f t="shared" ca="1" si="569"/>
        <v>48.067693849508807</v>
      </c>
      <c r="Y268" s="49">
        <f t="shared" ca="1" si="569"/>
        <v>0</v>
      </c>
      <c r="Z268" s="49">
        <f t="shared" ca="1" si="569"/>
        <v>0</v>
      </c>
      <c r="AA268" s="49">
        <f t="shared" ca="1" si="569"/>
        <v>0</v>
      </c>
      <c r="AB268" s="49">
        <f t="shared" ca="1" si="569"/>
        <v>0</v>
      </c>
      <c r="AC268" s="49">
        <f t="shared" ca="1" si="569"/>
        <v>0</v>
      </c>
      <c r="AD268" s="49">
        <f t="shared" ca="1" si="569"/>
        <v>0</v>
      </c>
      <c r="AE268" s="49">
        <f t="shared" ca="1" si="569"/>
        <v>0</v>
      </c>
      <c r="AF268" s="49">
        <f t="shared" ca="1" si="569"/>
        <v>0</v>
      </c>
      <c r="AG268" s="49">
        <f t="shared" ca="1" si="569"/>
        <v>0</v>
      </c>
      <c r="AH268" s="49">
        <f t="shared" ca="1" si="569"/>
        <v>0</v>
      </c>
      <c r="AI268" s="49">
        <f t="shared" ca="1" si="569"/>
        <v>0</v>
      </c>
      <c r="AJ268" s="49">
        <f t="shared" ca="1" si="569"/>
        <v>0</v>
      </c>
      <c r="AK268" s="49">
        <f t="shared" ca="1" si="569"/>
        <v>0</v>
      </c>
      <c r="AL268" s="49">
        <f t="shared" ca="1" si="569"/>
        <v>0</v>
      </c>
      <c r="AM268" s="49">
        <f t="shared" ca="1" si="569"/>
        <v>0</v>
      </c>
      <c r="AN268" s="49">
        <f t="shared" ca="1" si="569"/>
        <v>0</v>
      </c>
      <c r="AO268" s="49">
        <f t="shared" ca="1" si="569"/>
        <v>0</v>
      </c>
      <c r="AP268" s="49">
        <f t="shared" ca="1" si="569"/>
        <v>0</v>
      </c>
      <c r="AQ268" s="49">
        <f t="shared" ca="1" si="569"/>
        <v>0</v>
      </c>
      <c r="AR268" s="49">
        <f t="shared" ca="1" si="569"/>
        <v>0</v>
      </c>
      <c r="AS268" s="49">
        <f t="shared" ca="1" si="569"/>
        <v>0</v>
      </c>
      <c r="AT268" s="49">
        <f t="shared" ca="1" si="569"/>
        <v>0</v>
      </c>
      <c r="AU268" s="49">
        <f t="shared" ca="1" si="569"/>
        <v>0</v>
      </c>
      <c r="AV268" s="49">
        <f t="shared" ca="1" si="569"/>
        <v>0</v>
      </c>
      <c r="AW268" s="49">
        <f t="shared" ca="1" si="569"/>
        <v>0</v>
      </c>
      <c r="AX268" s="49">
        <f t="shared" ca="1" si="569"/>
        <v>0</v>
      </c>
      <c r="AY268" s="49">
        <f t="shared" ca="1" si="569"/>
        <v>0</v>
      </c>
      <c r="AZ268" s="49">
        <f t="shared" ca="1" si="569"/>
        <v>0</v>
      </c>
      <c r="BA268" s="49">
        <f t="shared" ca="1" si="569"/>
        <v>0</v>
      </c>
      <c r="BB268" s="49">
        <f t="shared" ca="1" si="569"/>
        <v>0</v>
      </c>
      <c r="BC268" s="49">
        <f t="shared" ca="1" si="569"/>
        <v>0</v>
      </c>
      <c r="BD268" s="49">
        <f t="shared" ca="1" si="569"/>
        <v>0</v>
      </c>
      <c r="BE268" s="49">
        <f t="shared" ca="1" si="569"/>
        <v>0</v>
      </c>
      <c r="BF268" s="49">
        <f t="shared" ca="1" si="569"/>
        <v>0</v>
      </c>
      <c r="BG268" s="49">
        <f t="shared" ca="1" si="569"/>
        <v>0</v>
      </c>
      <c r="BH268" s="49">
        <f t="shared" ca="1" si="569"/>
        <v>0</v>
      </c>
      <c r="BI268" s="49">
        <f t="shared" ca="1" si="569"/>
        <v>0</v>
      </c>
      <c r="BJ268" s="49">
        <f t="shared" ca="1" si="569"/>
        <v>0</v>
      </c>
      <c r="BK268" s="49">
        <f t="shared" ca="1" si="569"/>
        <v>0</v>
      </c>
      <c r="BL268" s="49">
        <f t="shared" ca="1" si="569"/>
        <v>0</v>
      </c>
      <c r="BM268" s="49">
        <f t="shared" ca="1" si="569"/>
        <v>0</v>
      </c>
      <c r="BN268" s="49">
        <f t="shared" ca="1" si="569"/>
        <v>0</v>
      </c>
      <c r="BO268" s="49">
        <f t="shared" ca="1" si="569"/>
        <v>0</v>
      </c>
      <c r="BP268" s="49">
        <f t="shared" ca="1" si="569"/>
        <v>0</v>
      </c>
      <c r="BQ268" s="49">
        <f t="shared" ca="1" si="569"/>
        <v>0</v>
      </c>
      <c r="BR268" s="49">
        <f t="shared" ca="1" si="569"/>
        <v>0</v>
      </c>
      <c r="BS268" s="49">
        <f t="shared" ca="1" si="569"/>
        <v>0</v>
      </c>
    </row>
    <row r="269" spans="4:71" outlineLevel="1" x14ac:dyDescent="0.2">
      <c r="D269" s="11" t="s">
        <v>240</v>
      </c>
      <c r="I269" s="30">
        <f t="shared" ca="1" si="446"/>
        <v>1451.3191618758417</v>
      </c>
      <c r="J269" s="26" t="s">
        <v>148</v>
      </c>
      <c r="K269" s="7" t="s">
        <v>242</v>
      </c>
      <c r="L269" s="49">
        <f ca="1">SUM(L260,L266)</f>
        <v>79.855739233931246</v>
      </c>
      <c r="M269" s="49">
        <f t="shared" ref="M269:BS269" ca="1" si="570">SUM(M260,M266)</f>
        <v>82.874871651656264</v>
      </c>
      <c r="N269" s="49">
        <f t="shared" ca="1" si="570"/>
        <v>43.772417730165621</v>
      </c>
      <c r="O269" s="49">
        <f t="shared" ca="1" si="570"/>
        <v>48.781177959716146</v>
      </c>
      <c r="P269" s="49">
        <f t="shared" ca="1" si="570"/>
        <v>100.9402126863032</v>
      </c>
      <c r="Q269" s="49">
        <f t="shared" ca="1" si="570"/>
        <v>159.20400786829271</v>
      </c>
      <c r="R269" s="49">
        <f t="shared" ca="1" si="570"/>
        <v>161.27176896562474</v>
      </c>
      <c r="S269" s="49">
        <f t="shared" ca="1" si="570"/>
        <v>149.34918700800006</v>
      </c>
      <c r="T269" s="49">
        <f t="shared" ca="1" si="570"/>
        <v>138.51525008159996</v>
      </c>
      <c r="U269" s="49">
        <f t="shared" ca="1" si="570"/>
        <v>131.39556622740577</v>
      </c>
      <c r="V269" s="49">
        <f t="shared" ca="1" si="570"/>
        <v>124.64183412331703</v>
      </c>
      <c r="W269" s="49">
        <f t="shared" ca="1" si="570"/>
        <v>118.55917602430841</v>
      </c>
      <c r="X269" s="49">
        <f t="shared" ca="1" si="570"/>
        <v>112.15795231552053</v>
      </c>
      <c r="Y269" s="49">
        <f t="shared" ca="1" si="570"/>
        <v>0</v>
      </c>
      <c r="Z269" s="49">
        <f t="shared" ca="1" si="570"/>
        <v>0</v>
      </c>
      <c r="AA269" s="49">
        <f t="shared" ca="1" si="570"/>
        <v>0</v>
      </c>
      <c r="AB269" s="49">
        <f t="shared" ca="1" si="570"/>
        <v>0</v>
      </c>
      <c r="AC269" s="49">
        <f t="shared" ca="1" si="570"/>
        <v>0</v>
      </c>
      <c r="AD269" s="49">
        <f t="shared" ca="1" si="570"/>
        <v>0</v>
      </c>
      <c r="AE269" s="49">
        <f t="shared" ca="1" si="570"/>
        <v>0</v>
      </c>
      <c r="AF269" s="49">
        <f t="shared" ca="1" si="570"/>
        <v>0</v>
      </c>
      <c r="AG269" s="49">
        <f t="shared" ca="1" si="570"/>
        <v>0</v>
      </c>
      <c r="AH269" s="49">
        <f t="shared" ca="1" si="570"/>
        <v>0</v>
      </c>
      <c r="AI269" s="49">
        <f t="shared" ca="1" si="570"/>
        <v>0</v>
      </c>
      <c r="AJ269" s="49">
        <f t="shared" ca="1" si="570"/>
        <v>0</v>
      </c>
      <c r="AK269" s="49">
        <f t="shared" ca="1" si="570"/>
        <v>0</v>
      </c>
      <c r="AL269" s="49">
        <f t="shared" ca="1" si="570"/>
        <v>0</v>
      </c>
      <c r="AM269" s="49">
        <f t="shared" ca="1" si="570"/>
        <v>0</v>
      </c>
      <c r="AN269" s="49">
        <f t="shared" ca="1" si="570"/>
        <v>0</v>
      </c>
      <c r="AO269" s="49">
        <f t="shared" ca="1" si="570"/>
        <v>0</v>
      </c>
      <c r="AP269" s="49">
        <f t="shared" ca="1" si="570"/>
        <v>0</v>
      </c>
      <c r="AQ269" s="49">
        <f t="shared" ca="1" si="570"/>
        <v>0</v>
      </c>
      <c r="AR269" s="49">
        <f t="shared" ca="1" si="570"/>
        <v>0</v>
      </c>
      <c r="AS269" s="49">
        <f t="shared" ca="1" si="570"/>
        <v>0</v>
      </c>
      <c r="AT269" s="49">
        <f t="shared" ca="1" si="570"/>
        <v>0</v>
      </c>
      <c r="AU269" s="49">
        <f t="shared" ca="1" si="570"/>
        <v>0</v>
      </c>
      <c r="AV269" s="49">
        <f t="shared" ca="1" si="570"/>
        <v>0</v>
      </c>
      <c r="AW269" s="49">
        <f t="shared" ca="1" si="570"/>
        <v>0</v>
      </c>
      <c r="AX269" s="49">
        <f t="shared" ca="1" si="570"/>
        <v>0</v>
      </c>
      <c r="AY269" s="49">
        <f t="shared" ca="1" si="570"/>
        <v>0</v>
      </c>
      <c r="AZ269" s="49">
        <f t="shared" ca="1" si="570"/>
        <v>0</v>
      </c>
      <c r="BA269" s="49">
        <f t="shared" ca="1" si="570"/>
        <v>0</v>
      </c>
      <c r="BB269" s="49">
        <f t="shared" ca="1" si="570"/>
        <v>0</v>
      </c>
      <c r="BC269" s="49">
        <f t="shared" ca="1" si="570"/>
        <v>0</v>
      </c>
      <c r="BD269" s="49">
        <f t="shared" ca="1" si="570"/>
        <v>0</v>
      </c>
      <c r="BE269" s="49">
        <f t="shared" ca="1" si="570"/>
        <v>0</v>
      </c>
      <c r="BF269" s="49">
        <f t="shared" ca="1" si="570"/>
        <v>0</v>
      </c>
      <c r="BG269" s="49">
        <f t="shared" ca="1" si="570"/>
        <v>0</v>
      </c>
      <c r="BH269" s="49">
        <f t="shared" ca="1" si="570"/>
        <v>0</v>
      </c>
      <c r="BI269" s="49">
        <f t="shared" ca="1" si="570"/>
        <v>0</v>
      </c>
      <c r="BJ269" s="49">
        <f t="shared" ca="1" si="570"/>
        <v>0</v>
      </c>
      <c r="BK269" s="49">
        <f t="shared" ca="1" si="570"/>
        <v>0</v>
      </c>
      <c r="BL269" s="49">
        <f t="shared" ca="1" si="570"/>
        <v>0</v>
      </c>
      <c r="BM269" s="49">
        <f t="shared" ca="1" si="570"/>
        <v>0</v>
      </c>
      <c r="BN269" s="49">
        <f t="shared" ca="1" si="570"/>
        <v>0</v>
      </c>
      <c r="BO269" s="49">
        <f t="shared" ca="1" si="570"/>
        <v>0</v>
      </c>
      <c r="BP269" s="49">
        <f t="shared" ca="1" si="570"/>
        <v>0</v>
      </c>
      <c r="BQ269" s="49">
        <f t="shared" ca="1" si="570"/>
        <v>0</v>
      </c>
      <c r="BR269" s="49">
        <f t="shared" ca="1" si="570"/>
        <v>0</v>
      </c>
      <c r="BS269" s="49">
        <f t="shared" ca="1" si="570"/>
        <v>0</v>
      </c>
    </row>
    <row r="270" spans="4:71" outlineLevel="1" x14ac:dyDescent="0.2"/>
    <row r="271" spans="4:71" outlineLevel="1" x14ac:dyDescent="0.2"/>
    <row r="272" spans="4:71" outlineLevel="1" x14ac:dyDescent="0.2"/>
    <row r="273" spans="1:71" outlineLevel="1" x14ac:dyDescent="0.2">
      <c r="A273" s="45"/>
      <c r="B273" s="38" t="s">
        <v>243</v>
      </c>
      <c r="C273" s="45"/>
      <c r="D273" s="45"/>
      <c r="E273" s="45"/>
    </row>
    <row r="274" spans="1:71" outlineLevel="1" x14ac:dyDescent="0.2"/>
    <row r="275" spans="1:71" outlineLevel="1" x14ac:dyDescent="0.2">
      <c r="C275" s="11" t="s">
        <v>244</v>
      </c>
    </row>
    <row r="276" spans="1:71" outlineLevel="1" x14ac:dyDescent="0.2">
      <c r="D276" t="s">
        <v>245</v>
      </c>
      <c r="I276" s="30">
        <f t="shared" ref="I276:I280" ca="1" si="571">SUM($L276:$BS276)</f>
        <v>3849.0512366668968</v>
      </c>
      <c r="J276" s="26" t="s">
        <v>148</v>
      </c>
      <c r="L276" s="49" cm="1">
        <f t="array" aca="1" ref="L276:BS276" ca="1">CA_cost_recovered_total*CA_rev_oil_perc</f>
        <v>383.30754832286999</v>
      </c>
      <c r="M276" s="49">
        <f ca="1"/>
        <v>397.79938392794992</v>
      </c>
      <c r="N276" s="49">
        <f ca="1"/>
        <v>80.118710700325011</v>
      </c>
      <c r="O276" s="49">
        <f ca="1"/>
        <v>75.624846952010458</v>
      </c>
      <c r="P276" s="49">
        <f ca="1"/>
        <v>209.77238861937408</v>
      </c>
      <c r="Q276" s="49">
        <f ca="1"/>
        <v>416.97985991763056</v>
      </c>
      <c r="R276" s="49">
        <f ca="1"/>
        <v>398.01925906474838</v>
      </c>
      <c r="S276" s="49">
        <f ca="1"/>
        <v>231.05309811480001</v>
      </c>
      <c r="T276" s="49">
        <f ca="1"/>
        <v>352.56936776892479</v>
      </c>
      <c r="U276" s="49">
        <f ca="1"/>
        <v>351.952409537694</v>
      </c>
      <c r="V276" s="49">
        <f ca="1"/>
        <v>333.86205568745646</v>
      </c>
      <c r="W276" s="49">
        <f ca="1"/>
        <v>317.56922149368313</v>
      </c>
      <c r="X276" s="49">
        <f ca="1"/>
        <v>300.42308655942992</v>
      </c>
      <c r="Y276" s="49">
        <f ca="1"/>
        <v>0</v>
      </c>
      <c r="Z276" s="49">
        <f ca="1"/>
        <v>0</v>
      </c>
      <c r="AA276" s="49">
        <f ca="1"/>
        <v>0</v>
      </c>
      <c r="AB276" s="49">
        <f ca="1"/>
        <v>0</v>
      </c>
      <c r="AC276" s="49">
        <f ca="1"/>
        <v>0</v>
      </c>
      <c r="AD276" s="49">
        <f ca="1"/>
        <v>0</v>
      </c>
      <c r="AE276" s="49">
        <f ca="1"/>
        <v>0</v>
      </c>
      <c r="AF276" s="49">
        <f ca="1"/>
        <v>0</v>
      </c>
      <c r="AG276" s="49">
        <f ca="1"/>
        <v>0</v>
      </c>
      <c r="AH276" s="49">
        <f ca="1"/>
        <v>0</v>
      </c>
      <c r="AI276" s="49">
        <f ca="1"/>
        <v>0</v>
      </c>
      <c r="AJ276" s="49">
        <f ca="1"/>
        <v>0</v>
      </c>
      <c r="AK276" s="49">
        <f ca="1"/>
        <v>0</v>
      </c>
      <c r="AL276" s="49">
        <f ca="1"/>
        <v>0</v>
      </c>
      <c r="AM276" s="49">
        <f ca="1"/>
        <v>0</v>
      </c>
      <c r="AN276" s="49">
        <f ca="1"/>
        <v>0</v>
      </c>
      <c r="AO276" s="49">
        <f ca="1"/>
        <v>0</v>
      </c>
      <c r="AP276" s="49">
        <f ca="1"/>
        <v>0</v>
      </c>
      <c r="AQ276" s="49">
        <f ca="1"/>
        <v>0</v>
      </c>
      <c r="AR276" s="49">
        <f ca="1"/>
        <v>0</v>
      </c>
      <c r="AS276" s="49">
        <f ca="1"/>
        <v>0</v>
      </c>
      <c r="AT276" s="49">
        <f ca="1"/>
        <v>0</v>
      </c>
      <c r="AU276" s="49">
        <f ca="1"/>
        <v>0</v>
      </c>
      <c r="AV276" s="49">
        <f ca="1"/>
        <v>0</v>
      </c>
      <c r="AW276" s="49">
        <f ca="1"/>
        <v>0</v>
      </c>
      <c r="AX276" s="49">
        <f ca="1"/>
        <v>0</v>
      </c>
      <c r="AY276" s="49">
        <f ca="1"/>
        <v>0</v>
      </c>
      <c r="AZ276" s="49">
        <f ca="1"/>
        <v>0</v>
      </c>
      <c r="BA276" s="49">
        <f ca="1"/>
        <v>0</v>
      </c>
      <c r="BB276" s="49">
        <f ca="1"/>
        <v>0</v>
      </c>
      <c r="BC276" s="49">
        <f ca="1"/>
        <v>0</v>
      </c>
      <c r="BD276" s="49">
        <f ca="1"/>
        <v>0</v>
      </c>
      <c r="BE276" s="49">
        <f ca="1"/>
        <v>0</v>
      </c>
      <c r="BF276" s="49">
        <f ca="1"/>
        <v>0</v>
      </c>
      <c r="BG276" s="49">
        <f ca="1"/>
        <v>0</v>
      </c>
      <c r="BH276" s="49">
        <f ca="1"/>
        <v>0</v>
      </c>
      <c r="BI276" s="49">
        <f ca="1"/>
        <v>0</v>
      </c>
      <c r="BJ276" s="49">
        <f ca="1"/>
        <v>0</v>
      </c>
      <c r="BK276" s="49">
        <f ca="1"/>
        <v>0</v>
      </c>
      <c r="BL276" s="49">
        <f ca="1"/>
        <v>0</v>
      </c>
      <c r="BM276" s="49">
        <f ca="1"/>
        <v>0</v>
      </c>
      <c r="BN276" s="49">
        <f ca="1"/>
        <v>0</v>
      </c>
      <c r="BO276" s="49">
        <f ca="1"/>
        <v>0</v>
      </c>
      <c r="BP276" s="49">
        <f ca="1"/>
        <v>0</v>
      </c>
      <c r="BQ276" s="49">
        <f ca="1"/>
        <v>0</v>
      </c>
      <c r="BR276" s="49">
        <f ca="1"/>
        <v>0</v>
      </c>
      <c r="BS276" s="49">
        <f ca="1"/>
        <v>0</v>
      </c>
    </row>
    <row r="277" spans="1:71" outlineLevel="1" x14ac:dyDescent="0.2">
      <c r="D277" t="s">
        <v>246</v>
      </c>
      <c r="I277" s="30">
        <f t="shared" ca="1" si="571"/>
        <v>21.376498519177709</v>
      </c>
      <c r="J277" s="26" t="s">
        <v>148</v>
      </c>
      <c r="L277" s="49" cm="1">
        <f t="array" aca="1" ref="L277:BS277" ca="1">CA_excess_CR_cont*CA_rev_oil_perc</f>
        <v>0</v>
      </c>
      <c r="M277" s="49">
        <f ca="1"/>
        <v>0</v>
      </c>
      <c r="N277" s="49">
        <f ca="1"/>
        <v>1.8425508110229967</v>
      </c>
      <c r="O277" s="49">
        <f ca="1"/>
        <v>4.7857154911147051</v>
      </c>
      <c r="P277" s="49">
        <f ca="1"/>
        <v>0</v>
      </c>
      <c r="Q277" s="49">
        <f ca="1"/>
        <v>0</v>
      </c>
      <c r="R277" s="49">
        <f ca="1"/>
        <v>0</v>
      </c>
      <c r="S277" s="49">
        <f ca="1"/>
        <v>14.748232217040007</v>
      </c>
      <c r="T277" s="49">
        <f ca="1"/>
        <v>0</v>
      </c>
      <c r="U277" s="49">
        <f ca="1"/>
        <v>0</v>
      </c>
      <c r="V277" s="49">
        <f ca="1"/>
        <v>0</v>
      </c>
      <c r="W277" s="49">
        <f ca="1"/>
        <v>0</v>
      </c>
      <c r="X277" s="49">
        <f ca="1"/>
        <v>0</v>
      </c>
      <c r="Y277" s="49">
        <f ca="1"/>
        <v>0</v>
      </c>
      <c r="Z277" s="49">
        <f ca="1"/>
        <v>0</v>
      </c>
      <c r="AA277" s="49">
        <f ca="1"/>
        <v>0</v>
      </c>
      <c r="AB277" s="49">
        <f ca="1"/>
        <v>0</v>
      </c>
      <c r="AC277" s="49">
        <f ca="1"/>
        <v>0</v>
      </c>
      <c r="AD277" s="49">
        <f ca="1"/>
        <v>0</v>
      </c>
      <c r="AE277" s="49">
        <f ca="1"/>
        <v>0</v>
      </c>
      <c r="AF277" s="49">
        <f ca="1"/>
        <v>0</v>
      </c>
      <c r="AG277" s="49">
        <f ca="1"/>
        <v>0</v>
      </c>
      <c r="AH277" s="49">
        <f ca="1"/>
        <v>0</v>
      </c>
      <c r="AI277" s="49">
        <f ca="1"/>
        <v>0</v>
      </c>
      <c r="AJ277" s="49">
        <f ca="1"/>
        <v>0</v>
      </c>
      <c r="AK277" s="49">
        <f ca="1"/>
        <v>0</v>
      </c>
      <c r="AL277" s="49">
        <f ca="1"/>
        <v>0</v>
      </c>
      <c r="AM277" s="49">
        <f ca="1"/>
        <v>0</v>
      </c>
      <c r="AN277" s="49">
        <f ca="1"/>
        <v>0</v>
      </c>
      <c r="AO277" s="49">
        <f ca="1"/>
        <v>0</v>
      </c>
      <c r="AP277" s="49">
        <f ca="1"/>
        <v>0</v>
      </c>
      <c r="AQ277" s="49">
        <f ca="1"/>
        <v>0</v>
      </c>
      <c r="AR277" s="49">
        <f ca="1"/>
        <v>0</v>
      </c>
      <c r="AS277" s="49">
        <f ca="1"/>
        <v>0</v>
      </c>
      <c r="AT277" s="49">
        <f ca="1"/>
        <v>0</v>
      </c>
      <c r="AU277" s="49">
        <f ca="1"/>
        <v>0</v>
      </c>
      <c r="AV277" s="49">
        <f ca="1"/>
        <v>0</v>
      </c>
      <c r="AW277" s="49">
        <f ca="1"/>
        <v>0</v>
      </c>
      <c r="AX277" s="49">
        <f ca="1"/>
        <v>0</v>
      </c>
      <c r="AY277" s="49">
        <f ca="1"/>
        <v>0</v>
      </c>
      <c r="AZ277" s="49">
        <f ca="1"/>
        <v>0</v>
      </c>
      <c r="BA277" s="49">
        <f ca="1"/>
        <v>0</v>
      </c>
      <c r="BB277" s="49">
        <f ca="1"/>
        <v>0</v>
      </c>
      <c r="BC277" s="49">
        <f ca="1"/>
        <v>0</v>
      </c>
      <c r="BD277" s="49">
        <f ca="1"/>
        <v>0</v>
      </c>
      <c r="BE277" s="49">
        <f ca="1"/>
        <v>0</v>
      </c>
      <c r="BF277" s="49">
        <f ca="1"/>
        <v>0</v>
      </c>
      <c r="BG277" s="49">
        <f ca="1"/>
        <v>0</v>
      </c>
      <c r="BH277" s="49">
        <f ca="1"/>
        <v>0</v>
      </c>
      <c r="BI277" s="49">
        <f ca="1"/>
        <v>0</v>
      </c>
      <c r="BJ277" s="49">
        <f ca="1"/>
        <v>0</v>
      </c>
      <c r="BK277" s="49">
        <f ca="1"/>
        <v>0</v>
      </c>
      <c r="BL277" s="49">
        <f ca="1"/>
        <v>0</v>
      </c>
      <c r="BM277" s="49">
        <f ca="1"/>
        <v>0</v>
      </c>
      <c r="BN277" s="49">
        <f ca="1"/>
        <v>0</v>
      </c>
      <c r="BO277" s="49">
        <f ca="1"/>
        <v>0</v>
      </c>
      <c r="BP277" s="49">
        <f ca="1"/>
        <v>0</v>
      </c>
      <c r="BQ277" s="49">
        <f ca="1"/>
        <v>0</v>
      </c>
      <c r="BR277" s="49">
        <f ca="1"/>
        <v>0</v>
      </c>
      <c r="BS277" s="49">
        <f ca="1"/>
        <v>0</v>
      </c>
    </row>
    <row r="278" spans="1:71" outlineLevel="1" x14ac:dyDescent="0.2">
      <c r="D278" t="s">
        <v>98</v>
      </c>
      <c r="I278" s="30">
        <f t="shared" ca="1" si="571"/>
        <v>1147.9452304079591</v>
      </c>
      <c r="J278" s="26" t="s">
        <v>148</v>
      </c>
      <c r="L278" s="49" cm="1">
        <f t="array" aca="1" ref="L278:BS278" ca="1">CA_SPO_cont</f>
        <v>31.932063278197276</v>
      </c>
      <c r="M278" s="49">
        <f ca="1"/>
        <v>12.960783618365991</v>
      </c>
      <c r="N278" s="49">
        <f ca="1"/>
        <v>22.541857070001864</v>
      </c>
      <c r="O278" s="49">
        <f ca="1"/>
        <v>13.508873461341061</v>
      </c>
      <c r="P278" s="49">
        <f ca="1"/>
        <v>72.114722589382964</v>
      </c>
      <c r="Q278" s="49">
        <f ca="1"/>
        <v>161.10863386828566</v>
      </c>
      <c r="R278" s="49">
        <f ca="1"/>
        <v>149.79412007177245</v>
      </c>
      <c r="S278" s="49">
        <f ca="1"/>
        <v>40.950061205579999</v>
      </c>
      <c r="T278" s="49">
        <f ca="1"/>
        <v>134.54947366650867</v>
      </c>
      <c r="U278" s="49">
        <f ca="1"/>
        <v>137.26143971970066</v>
      </c>
      <c r="V278" s="49">
        <f ca="1"/>
        <v>130.20620171810805</v>
      </c>
      <c r="W278" s="49">
        <f ca="1"/>
        <v>123.85199638253646</v>
      </c>
      <c r="X278" s="49">
        <f ca="1"/>
        <v>117.1650037581777</v>
      </c>
      <c r="Y278" s="49">
        <f ca="1"/>
        <v>0</v>
      </c>
      <c r="Z278" s="49">
        <f ca="1"/>
        <v>0</v>
      </c>
      <c r="AA278" s="49">
        <f ca="1"/>
        <v>0</v>
      </c>
      <c r="AB278" s="49">
        <f ca="1"/>
        <v>0</v>
      </c>
      <c r="AC278" s="49">
        <f ca="1"/>
        <v>0</v>
      </c>
      <c r="AD278" s="49">
        <f ca="1"/>
        <v>0</v>
      </c>
      <c r="AE278" s="49">
        <f ca="1"/>
        <v>0</v>
      </c>
      <c r="AF278" s="49">
        <f ca="1"/>
        <v>0</v>
      </c>
      <c r="AG278" s="49">
        <f ca="1"/>
        <v>0</v>
      </c>
      <c r="AH278" s="49">
        <f ca="1"/>
        <v>0</v>
      </c>
      <c r="AI278" s="49">
        <f ca="1"/>
        <v>0</v>
      </c>
      <c r="AJ278" s="49">
        <f ca="1"/>
        <v>0</v>
      </c>
      <c r="AK278" s="49">
        <f ca="1"/>
        <v>0</v>
      </c>
      <c r="AL278" s="49">
        <f ca="1"/>
        <v>0</v>
      </c>
      <c r="AM278" s="49">
        <f ca="1"/>
        <v>0</v>
      </c>
      <c r="AN278" s="49">
        <f ca="1"/>
        <v>0</v>
      </c>
      <c r="AO278" s="49">
        <f ca="1"/>
        <v>0</v>
      </c>
      <c r="AP278" s="49">
        <f ca="1"/>
        <v>0</v>
      </c>
      <c r="AQ278" s="49">
        <f ca="1"/>
        <v>0</v>
      </c>
      <c r="AR278" s="49">
        <f ca="1"/>
        <v>0</v>
      </c>
      <c r="AS278" s="49">
        <f ca="1"/>
        <v>0</v>
      </c>
      <c r="AT278" s="49">
        <f ca="1"/>
        <v>0</v>
      </c>
      <c r="AU278" s="49">
        <f ca="1"/>
        <v>0</v>
      </c>
      <c r="AV278" s="49">
        <f ca="1"/>
        <v>0</v>
      </c>
      <c r="AW278" s="49">
        <f ca="1"/>
        <v>0</v>
      </c>
      <c r="AX278" s="49">
        <f ca="1"/>
        <v>0</v>
      </c>
      <c r="AY278" s="49">
        <f ca="1"/>
        <v>0</v>
      </c>
      <c r="AZ278" s="49">
        <f ca="1"/>
        <v>0</v>
      </c>
      <c r="BA278" s="49">
        <f ca="1"/>
        <v>0</v>
      </c>
      <c r="BB278" s="49">
        <f ca="1"/>
        <v>0</v>
      </c>
      <c r="BC278" s="49">
        <f ca="1"/>
        <v>0</v>
      </c>
      <c r="BD278" s="49">
        <f ca="1"/>
        <v>0</v>
      </c>
      <c r="BE278" s="49">
        <f ca="1"/>
        <v>0</v>
      </c>
      <c r="BF278" s="49">
        <f ca="1"/>
        <v>0</v>
      </c>
      <c r="BG278" s="49">
        <f ca="1"/>
        <v>0</v>
      </c>
      <c r="BH278" s="49">
        <f ca="1"/>
        <v>0</v>
      </c>
      <c r="BI278" s="49">
        <f ca="1"/>
        <v>0</v>
      </c>
      <c r="BJ278" s="49">
        <f ca="1"/>
        <v>0</v>
      </c>
      <c r="BK278" s="49">
        <f ca="1"/>
        <v>0</v>
      </c>
      <c r="BL278" s="49">
        <f ca="1"/>
        <v>0</v>
      </c>
      <c r="BM278" s="49">
        <f ca="1"/>
        <v>0</v>
      </c>
      <c r="BN278" s="49">
        <f ca="1"/>
        <v>0</v>
      </c>
      <c r="BO278" s="49">
        <f ca="1"/>
        <v>0</v>
      </c>
      <c r="BP278" s="49">
        <f ca="1"/>
        <v>0</v>
      </c>
      <c r="BQ278" s="49">
        <f ca="1"/>
        <v>0</v>
      </c>
      <c r="BR278" s="49">
        <f ca="1"/>
        <v>0</v>
      </c>
      <c r="BS278" s="49">
        <f ca="1"/>
        <v>0</v>
      </c>
    </row>
    <row r="279" spans="1:71" outlineLevel="1" x14ac:dyDescent="0.2">
      <c r="D279" t="s">
        <v>226</v>
      </c>
      <c r="I279" s="30">
        <f t="shared" ca="1" si="571"/>
        <v>714.98284702426804</v>
      </c>
      <c r="J279" s="26" t="s">
        <v>148</v>
      </c>
      <c r="L279" s="49" cm="1">
        <f t="array" aca="1" ref="L279:BS279" ca="1">CA_PS_cont*CA_rev_oil_perc</f>
        <v>79.855739233931246</v>
      </c>
      <c r="M279" s="49">
        <f ca="1"/>
        <v>82.874871651656264</v>
      </c>
      <c r="N279" s="49">
        <f ca="1"/>
        <v>18.759607598642411</v>
      </c>
      <c r="O279" s="49">
        <f ca="1"/>
        <v>20.906219125592639</v>
      </c>
      <c r="P279" s="49">
        <f ca="1"/>
        <v>43.26009115127281</v>
      </c>
      <c r="Q279" s="49">
        <f ca="1"/>
        <v>68.230289086411176</v>
      </c>
      <c r="R279" s="49">
        <f ca="1"/>
        <v>69.11647241383919</v>
      </c>
      <c r="S279" s="49">
        <f ca="1"/>
        <v>64.006794432000035</v>
      </c>
      <c r="T279" s="49">
        <f ca="1"/>
        <v>59.363678606400001</v>
      </c>
      <c r="U279" s="49">
        <f ca="1"/>
        <v>56.312385526031051</v>
      </c>
      <c r="V279" s="49">
        <f ca="1"/>
        <v>53.417928909993023</v>
      </c>
      <c r="W279" s="49">
        <f ca="1"/>
        <v>50.811075438989327</v>
      </c>
      <c r="X279" s="49">
        <f ca="1"/>
        <v>48.067693849508807</v>
      </c>
      <c r="Y279" s="49">
        <f ca="1"/>
        <v>0</v>
      </c>
      <c r="Z279" s="49">
        <f ca="1"/>
        <v>0</v>
      </c>
      <c r="AA279" s="49">
        <f ca="1"/>
        <v>0</v>
      </c>
      <c r="AB279" s="49">
        <f ca="1"/>
        <v>0</v>
      </c>
      <c r="AC279" s="49">
        <f ca="1"/>
        <v>0</v>
      </c>
      <c r="AD279" s="49">
        <f ca="1"/>
        <v>0</v>
      </c>
      <c r="AE279" s="49">
        <f ca="1"/>
        <v>0</v>
      </c>
      <c r="AF279" s="49">
        <f ca="1"/>
        <v>0</v>
      </c>
      <c r="AG279" s="49">
        <f ca="1"/>
        <v>0</v>
      </c>
      <c r="AH279" s="49">
        <f ca="1"/>
        <v>0</v>
      </c>
      <c r="AI279" s="49">
        <f ca="1"/>
        <v>0</v>
      </c>
      <c r="AJ279" s="49">
        <f ca="1"/>
        <v>0</v>
      </c>
      <c r="AK279" s="49">
        <f ca="1"/>
        <v>0</v>
      </c>
      <c r="AL279" s="49">
        <f ca="1"/>
        <v>0</v>
      </c>
      <c r="AM279" s="49">
        <f ca="1"/>
        <v>0</v>
      </c>
      <c r="AN279" s="49">
        <f ca="1"/>
        <v>0</v>
      </c>
      <c r="AO279" s="49">
        <f ca="1"/>
        <v>0</v>
      </c>
      <c r="AP279" s="49">
        <f ca="1"/>
        <v>0</v>
      </c>
      <c r="AQ279" s="49">
        <f ca="1"/>
        <v>0</v>
      </c>
      <c r="AR279" s="49">
        <f ca="1"/>
        <v>0</v>
      </c>
      <c r="AS279" s="49">
        <f ca="1"/>
        <v>0</v>
      </c>
      <c r="AT279" s="49">
        <f ca="1"/>
        <v>0</v>
      </c>
      <c r="AU279" s="49">
        <f ca="1"/>
        <v>0</v>
      </c>
      <c r="AV279" s="49">
        <f ca="1"/>
        <v>0</v>
      </c>
      <c r="AW279" s="49">
        <f ca="1"/>
        <v>0</v>
      </c>
      <c r="AX279" s="49">
        <f ca="1"/>
        <v>0</v>
      </c>
      <c r="AY279" s="49">
        <f ca="1"/>
        <v>0</v>
      </c>
      <c r="AZ279" s="49">
        <f ca="1"/>
        <v>0</v>
      </c>
      <c r="BA279" s="49">
        <f ca="1"/>
        <v>0</v>
      </c>
      <c r="BB279" s="49">
        <f ca="1"/>
        <v>0</v>
      </c>
      <c r="BC279" s="49">
        <f ca="1"/>
        <v>0</v>
      </c>
      <c r="BD279" s="49">
        <f ca="1"/>
        <v>0</v>
      </c>
      <c r="BE279" s="49">
        <f ca="1"/>
        <v>0</v>
      </c>
      <c r="BF279" s="49">
        <f ca="1"/>
        <v>0</v>
      </c>
      <c r="BG279" s="49">
        <f ca="1"/>
        <v>0</v>
      </c>
      <c r="BH279" s="49">
        <f ca="1"/>
        <v>0</v>
      </c>
      <c r="BI279" s="49">
        <f ca="1"/>
        <v>0</v>
      </c>
      <c r="BJ279" s="49">
        <f ca="1"/>
        <v>0</v>
      </c>
      <c r="BK279" s="49">
        <f ca="1"/>
        <v>0</v>
      </c>
      <c r="BL279" s="49">
        <f ca="1"/>
        <v>0</v>
      </c>
      <c r="BM279" s="49">
        <f ca="1"/>
        <v>0</v>
      </c>
      <c r="BN279" s="49">
        <f ca="1"/>
        <v>0</v>
      </c>
      <c r="BO279" s="49">
        <f ca="1"/>
        <v>0</v>
      </c>
      <c r="BP279" s="49">
        <f ca="1"/>
        <v>0</v>
      </c>
      <c r="BQ279" s="49">
        <f ca="1"/>
        <v>0</v>
      </c>
      <c r="BR279" s="49">
        <f ca="1"/>
        <v>0</v>
      </c>
      <c r="BS279" s="49">
        <f ca="1"/>
        <v>0</v>
      </c>
    </row>
    <row r="280" spans="1:71" outlineLevel="1" x14ac:dyDescent="0.2">
      <c r="D280" s="11" t="s">
        <v>129</v>
      </c>
      <c r="I280" s="30">
        <f t="shared" ca="1" si="571"/>
        <v>5733.3558126183016</v>
      </c>
      <c r="J280" s="26" t="s">
        <v>148</v>
      </c>
      <c r="K280" s="7" t="s">
        <v>247</v>
      </c>
      <c r="L280" s="49">
        <f ca="1">SUM(L276:L279)</f>
        <v>495.0953508349985</v>
      </c>
      <c r="M280" s="49">
        <f t="shared" ref="M280:BS280" ca="1" si="572">SUM(M276:M279)</f>
        <v>493.63503919797222</v>
      </c>
      <c r="N280" s="49">
        <f t="shared" ca="1" si="572"/>
        <v>123.26272617999228</v>
      </c>
      <c r="O280" s="49">
        <f t="shared" ca="1" si="572"/>
        <v>114.82565503005885</v>
      </c>
      <c r="P280" s="49">
        <f t="shared" ca="1" si="572"/>
        <v>325.14720236002989</v>
      </c>
      <c r="Q280" s="49">
        <f t="shared" ca="1" si="572"/>
        <v>646.31878287232735</v>
      </c>
      <c r="R280" s="49">
        <f t="shared" ca="1" si="572"/>
        <v>616.92985155036001</v>
      </c>
      <c r="S280" s="49">
        <f t="shared" ca="1" si="572"/>
        <v>350.75818596942003</v>
      </c>
      <c r="T280" s="49">
        <f t="shared" ca="1" si="572"/>
        <v>546.48252004183348</v>
      </c>
      <c r="U280" s="49">
        <f t="shared" ca="1" si="572"/>
        <v>545.52623478342571</v>
      </c>
      <c r="V280" s="49">
        <f t="shared" ca="1" si="572"/>
        <v>517.48618631555757</v>
      </c>
      <c r="W280" s="49">
        <f t="shared" ca="1" si="572"/>
        <v>492.23229331520895</v>
      </c>
      <c r="X280" s="49">
        <f t="shared" ca="1" si="572"/>
        <v>465.65578416711645</v>
      </c>
      <c r="Y280" s="49">
        <f t="shared" ca="1" si="572"/>
        <v>0</v>
      </c>
      <c r="Z280" s="49">
        <f t="shared" ca="1" si="572"/>
        <v>0</v>
      </c>
      <c r="AA280" s="49">
        <f t="shared" ca="1" si="572"/>
        <v>0</v>
      </c>
      <c r="AB280" s="49">
        <f t="shared" ca="1" si="572"/>
        <v>0</v>
      </c>
      <c r="AC280" s="49">
        <f t="shared" ca="1" si="572"/>
        <v>0</v>
      </c>
      <c r="AD280" s="49">
        <f t="shared" ca="1" si="572"/>
        <v>0</v>
      </c>
      <c r="AE280" s="49">
        <f t="shared" ca="1" si="572"/>
        <v>0</v>
      </c>
      <c r="AF280" s="49">
        <f t="shared" ca="1" si="572"/>
        <v>0</v>
      </c>
      <c r="AG280" s="49">
        <f t="shared" ca="1" si="572"/>
        <v>0</v>
      </c>
      <c r="AH280" s="49">
        <f t="shared" ca="1" si="572"/>
        <v>0</v>
      </c>
      <c r="AI280" s="49">
        <f t="shared" ca="1" si="572"/>
        <v>0</v>
      </c>
      <c r="AJ280" s="49">
        <f t="shared" ca="1" si="572"/>
        <v>0</v>
      </c>
      <c r="AK280" s="49">
        <f t="shared" ca="1" si="572"/>
        <v>0</v>
      </c>
      <c r="AL280" s="49">
        <f t="shared" ca="1" si="572"/>
        <v>0</v>
      </c>
      <c r="AM280" s="49">
        <f t="shared" ca="1" si="572"/>
        <v>0</v>
      </c>
      <c r="AN280" s="49">
        <f t="shared" ca="1" si="572"/>
        <v>0</v>
      </c>
      <c r="AO280" s="49">
        <f t="shared" ca="1" si="572"/>
        <v>0</v>
      </c>
      <c r="AP280" s="49">
        <f t="shared" ca="1" si="572"/>
        <v>0</v>
      </c>
      <c r="AQ280" s="49">
        <f t="shared" ca="1" si="572"/>
        <v>0</v>
      </c>
      <c r="AR280" s="49">
        <f t="shared" ca="1" si="572"/>
        <v>0</v>
      </c>
      <c r="AS280" s="49">
        <f t="shared" ca="1" si="572"/>
        <v>0</v>
      </c>
      <c r="AT280" s="49">
        <f t="shared" ca="1" si="572"/>
        <v>0</v>
      </c>
      <c r="AU280" s="49">
        <f t="shared" ca="1" si="572"/>
        <v>0</v>
      </c>
      <c r="AV280" s="49">
        <f t="shared" ca="1" si="572"/>
        <v>0</v>
      </c>
      <c r="AW280" s="49">
        <f t="shared" ca="1" si="572"/>
        <v>0</v>
      </c>
      <c r="AX280" s="49">
        <f t="shared" ca="1" si="572"/>
        <v>0</v>
      </c>
      <c r="AY280" s="49">
        <f t="shared" ca="1" si="572"/>
        <v>0</v>
      </c>
      <c r="AZ280" s="49">
        <f t="shared" ca="1" si="572"/>
        <v>0</v>
      </c>
      <c r="BA280" s="49">
        <f t="shared" ca="1" si="572"/>
        <v>0</v>
      </c>
      <c r="BB280" s="49">
        <f t="shared" ca="1" si="572"/>
        <v>0</v>
      </c>
      <c r="BC280" s="49">
        <f t="shared" ca="1" si="572"/>
        <v>0</v>
      </c>
      <c r="BD280" s="49">
        <f t="shared" ca="1" si="572"/>
        <v>0</v>
      </c>
      <c r="BE280" s="49">
        <f t="shared" ca="1" si="572"/>
        <v>0</v>
      </c>
      <c r="BF280" s="49">
        <f t="shared" ca="1" si="572"/>
        <v>0</v>
      </c>
      <c r="BG280" s="49">
        <f t="shared" ca="1" si="572"/>
        <v>0</v>
      </c>
      <c r="BH280" s="49">
        <f t="shared" ca="1" si="572"/>
        <v>0</v>
      </c>
      <c r="BI280" s="49">
        <f t="shared" ca="1" si="572"/>
        <v>0</v>
      </c>
      <c r="BJ280" s="49">
        <f t="shared" ca="1" si="572"/>
        <v>0</v>
      </c>
      <c r="BK280" s="49">
        <f t="shared" ca="1" si="572"/>
        <v>0</v>
      </c>
      <c r="BL280" s="49">
        <f t="shared" ca="1" si="572"/>
        <v>0</v>
      </c>
      <c r="BM280" s="49">
        <f t="shared" ca="1" si="572"/>
        <v>0</v>
      </c>
      <c r="BN280" s="49">
        <f t="shared" ca="1" si="572"/>
        <v>0</v>
      </c>
      <c r="BO280" s="49">
        <f t="shared" ca="1" si="572"/>
        <v>0</v>
      </c>
      <c r="BP280" s="49">
        <f t="shared" ca="1" si="572"/>
        <v>0</v>
      </c>
      <c r="BQ280" s="49">
        <f t="shared" ca="1" si="572"/>
        <v>0</v>
      </c>
      <c r="BR280" s="49">
        <f t="shared" ca="1" si="572"/>
        <v>0</v>
      </c>
      <c r="BS280" s="49">
        <f t="shared" ca="1" si="572"/>
        <v>0</v>
      </c>
    </row>
    <row r="281" spans="1:71" outlineLevel="1" x14ac:dyDescent="0.2"/>
    <row r="282" spans="1:71" outlineLevel="1" x14ac:dyDescent="0.2">
      <c r="C282" s="11" t="s">
        <v>248</v>
      </c>
    </row>
    <row r="283" spans="1:71" outlineLevel="1" x14ac:dyDescent="0.2">
      <c r="D283" t="s">
        <v>249</v>
      </c>
      <c r="I283" s="30">
        <f t="shared" ref="I283:I286" ca="1" si="573">SUM($L283:$BS283)</f>
        <v>0</v>
      </c>
      <c r="J283" s="26" t="s">
        <v>148</v>
      </c>
      <c r="L283" s="49" cm="1">
        <f t="array" aca="1" ref="L283:BS283" ca="1">CA_cost_recovered_total*CA_rev_gas_perc</f>
        <v>0</v>
      </c>
      <c r="M283" s="49">
        <f ca="1"/>
        <v>0</v>
      </c>
      <c r="N283" s="49">
        <f ca="1"/>
        <v>0</v>
      </c>
      <c r="O283" s="49">
        <f ca="1"/>
        <v>0</v>
      </c>
      <c r="P283" s="49">
        <f ca="1"/>
        <v>0</v>
      </c>
      <c r="Q283" s="49">
        <f ca="1"/>
        <v>0</v>
      </c>
      <c r="R283" s="49">
        <f ca="1"/>
        <v>0</v>
      </c>
      <c r="S283" s="49">
        <f ca="1"/>
        <v>0</v>
      </c>
      <c r="T283" s="49">
        <f ca="1"/>
        <v>0</v>
      </c>
      <c r="U283" s="49">
        <f ca="1"/>
        <v>0</v>
      </c>
      <c r="V283" s="49">
        <f ca="1"/>
        <v>0</v>
      </c>
      <c r="W283" s="49">
        <f ca="1"/>
        <v>0</v>
      </c>
      <c r="X283" s="49">
        <f ca="1"/>
        <v>0</v>
      </c>
      <c r="Y283" s="49">
        <f ca="1"/>
        <v>0</v>
      </c>
      <c r="Z283" s="49">
        <f ca="1"/>
        <v>0</v>
      </c>
      <c r="AA283" s="49">
        <f ca="1"/>
        <v>0</v>
      </c>
      <c r="AB283" s="49">
        <f ca="1"/>
        <v>0</v>
      </c>
      <c r="AC283" s="49">
        <f ca="1"/>
        <v>0</v>
      </c>
      <c r="AD283" s="49">
        <f ca="1"/>
        <v>0</v>
      </c>
      <c r="AE283" s="49">
        <f ca="1"/>
        <v>0</v>
      </c>
      <c r="AF283" s="49">
        <f ca="1"/>
        <v>0</v>
      </c>
      <c r="AG283" s="49">
        <f ca="1"/>
        <v>0</v>
      </c>
      <c r="AH283" s="49">
        <f ca="1"/>
        <v>0</v>
      </c>
      <c r="AI283" s="49">
        <f ca="1"/>
        <v>0</v>
      </c>
      <c r="AJ283" s="49">
        <f ca="1"/>
        <v>0</v>
      </c>
      <c r="AK283" s="49">
        <f ca="1"/>
        <v>0</v>
      </c>
      <c r="AL283" s="49">
        <f ca="1"/>
        <v>0</v>
      </c>
      <c r="AM283" s="49">
        <f ca="1"/>
        <v>0</v>
      </c>
      <c r="AN283" s="49">
        <f ca="1"/>
        <v>0</v>
      </c>
      <c r="AO283" s="49">
        <f ca="1"/>
        <v>0</v>
      </c>
      <c r="AP283" s="49">
        <f ca="1"/>
        <v>0</v>
      </c>
      <c r="AQ283" s="49">
        <f ca="1"/>
        <v>0</v>
      </c>
      <c r="AR283" s="49">
        <f ca="1"/>
        <v>0</v>
      </c>
      <c r="AS283" s="49">
        <f ca="1"/>
        <v>0</v>
      </c>
      <c r="AT283" s="49">
        <f ca="1"/>
        <v>0</v>
      </c>
      <c r="AU283" s="49">
        <f ca="1"/>
        <v>0</v>
      </c>
      <c r="AV283" s="49">
        <f ca="1"/>
        <v>0</v>
      </c>
      <c r="AW283" s="49">
        <f ca="1"/>
        <v>0</v>
      </c>
      <c r="AX283" s="49">
        <f ca="1"/>
        <v>0</v>
      </c>
      <c r="AY283" s="49">
        <f ca="1"/>
        <v>0</v>
      </c>
      <c r="AZ283" s="49">
        <f ca="1"/>
        <v>0</v>
      </c>
      <c r="BA283" s="49">
        <f ca="1"/>
        <v>0</v>
      </c>
      <c r="BB283" s="49">
        <f ca="1"/>
        <v>0</v>
      </c>
      <c r="BC283" s="49">
        <f ca="1"/>
        <v>0</v>
      </c>
      <c r="BD283" s="49">
        <f ca="1"/>
        <v>0</v>
      </c>
      <c r="BE283" s="49">
        <f ca="1"/>
        <v>0</v>
      </c>
      <c r="BF283" s="49">
        <f ca="1"/>
        <v>0</v>
      </c>
      <c r="BG283" s="49">
        <f ca="1"/>
        <v>0</v>
      </c>
      <c r="BH283" s="49">
        <f ca="1"/>
        <v>0</v>
      </c>
      <c r="BI283" s="49">
        <f ca="1"/>
        <v>0</v>
      </c>
      <c r="BJ283" s="49">
        <f ca="1"/>
        <v>0</v>
      </c>
      <c r="BK283" s="49">
        <f ca="1"/>
        <v>0</v>
      </c>
      <c r="BL283" s="49">
        <f ca="1"/>
        <v>0</v>
      </c>
      <c r="BM283" s="49">
        <f ca="1"/>
        <v>0</v>
      </c>
      <c r="BN283" s="49">
        <f ca="1"/>
        <v>0</v>
      </c>
      <c r="BO283" s="49">
        <f ca="1"/>
        <v>0</v>
      </c>
      <c r="BP283" s="49">
        <f ca="1"/>
        <v>0</v>
      </c>
      <c r="BQ283" s="49">
        <f ca="1"/>
        <v>0</v>
      </c>
      <c r="BR283" s="49">
        <f ca="1"/>
        <v>0</v>
      </c>
      <c r="BS283" s="49">
        <f ca="1"/>
        <v>0</v>
      </c>
    </row>
    <row r="284" spans="1:71" outlineLevel="1" x14ac:dyDescent="0.2">
      <c r="D284" t="s">
        <v>250</v>
      </c>
      <c r="I284" s="30">
        <f t="shared" ca="1" si="573"/>
        <v>0</v>
      </c>
      <c r="J284" s="26" t="s">
        <v>148</v>
      </c>
      <c r="L284" s="49" cm="1">
        <f t="array" aca="1" ref="L284:BS284" ca="1">CA_excess_CR_cont*CA_rev_gas_perc</f>
        <v>0</v>
      </c>
      <c r="M284" s="49">
        <f ca="1"/>
        <v>0</v>
      </c>
      <c r="N284" s="49">
        <f ca="1"/>
        <v>0</v>
      </c>
      <c r="O284" s="49">
        <f ca="1"/>
        <v>0</v>
      </c>
      <c r="P284" s="49">
        <f ca="1"/>
        <v>0</v>
      </c>
      <c r="Q284" s="49">
        <f ca="1"/>
        <v>0</v>
      </c>
      <c r="R284" s="49">
        <f ca="1"/>
        <v>0</v>
      </c>
      <c r="S284" s="49">
        <f ca="1"/>
        <v>0</v>
      </c>
      <c r="T284" s="49">
        <f ca="1"/>
        <v>0</v>
      </c>
      <c r="U284" s="49">
        <f ca="1"/>
        <v>0</v>
      </c>
      <c r="V284" s="49">
        <f ca="1"/>
        <v>0</v>
      </c>
      <c r="W284" s="49">
        <f ca="1"/>
        <v>0</v>
      </c>
      <c r="X284" s="49">
        <f ca="1"/>
        <v>0</v>
      </c>
      <c r="Y284" s="49">
        <f ca="1"/>
        <v>0</v>
      </c>
      <c r="Z284" s="49">
        <f ca="1"/>
        <v>0</v>
      </c>
      <c r="AA284" s="49">
        <f ca="1"/>
        <v>0</v>
      </c>
      <c r="AB284" s="49">
        <f ca="1"/>
        <v>0</v>
      </c>
      <c r="AC284" s="49">
        <f ca="1"/>
        <v>0</v>
      </c>
      <c r="AD284" s="49">
        <f ca="1"/>
        <v>0</v>
      </c>
      <c r="AE284" s="49">
        <f ca="1"/>
        <v>0</v>
      </c>
      <c r="AF284" s="49">
        <f ca="1"/>
        <v>0</v>
      </c>
      <c r="AG284" s="49">
        <f ca="1"/>
        <v>0</v>
      </c>
      <c r="AH284" s="49">
        <f ca="1"/>
        <v>0</v>
      </c>
      <c r="AI284" s="49">
        <f ca="1"/>
        <v>0</v>
      </c>
      <c r="AJ284" s="49">
        <f ca="1"/>
        <v>0</v>
      </c>
      <c r="AK284" s="49">
        <f ca="1"/>
        <v>0</v>
      </c>
      <c r="AL284" s="49">
        <f ca="1"/>
        <v>0</v>
      </c>
      <c r="AM284" s="49">
        <f ca="1"/>
        <v>0</v>
      </c>
      <c r="AN284" s="49">
        <f ca="1"/>
        <v>0</v>
      </c>
      <c r="AO284" s="49">
        <f ca="1"/>
        <v>0</v>
      </c>
      <c r="AP284" s="49">
        <f ca="1"/>
        <v>0</v>
      </c>
      <c r="AQ284" s="49">
        <f ca="1"/>
        <v>0</v>
      </c>
      <c r="AR284" s="49">
        <f ca="1"/>
        <v>0</v>
      </c>
      <c r="AS284" s="49">
        <f ca="1"/>
        <v>0</v>
      </c>
      <c r="AT284" s="49">
        <f ca="1"/>
        <v>0</v>
      </c>
      <c r="AU284" s="49">
        <f ca="1"/>
        <v>0</v>
      </c>
      <c r="AV284" s="49">
        <f ca="1"/>
        <v>0</v>
      </c>
      <c r="AW284" s="49">
        <f ca="1"/>
        <v>0</v>
      </c>
      <c r="AX284" s="49">
        <f ca="1"/>
        <v>0</v>
      </c>
      <c r="AY284" s="49">
        <f ca="1"/>
        <v>0</v>
      </c>
      <c r="AZ284" s="49">
        <f ca="1"/>
        <v>0</v>
      </c>
      <c r="BA284" s="49">
        <f ca="1"/>
        <v>0</v>
      </c>
      <c r="BB284" s="49">
        <f ca="1"/>
        <v>0</v>
      </c>
      <c r="BC284" s="49">
        <f ca="1"/>
        <v>0</v>
      </c>
      <c r="BD284" s="49">
        <f ca="1"/>
        <v>0</v>
      </c>
      <c r="BE284" s="49">
        <f ca="1"/>
        <v>0</v>
      </c>
      <c r="BF284" s="49">
        <f ca="1"/>
        <v>0</v>
      </c>
      <c r="BG284" s="49">
        <f ca="1"/>
        <v>0</v>
      </c>
      <c r="BH284" s="49">
        <f ca="1"/>
        <v>0</v>
      </c>
      <c r="BI284" s="49">
        <f ca="1"/>
        <v>0</v>
      </c>
      <c r="BJ284" s="49">
        <f ca="1"/>
        <v>0</v>
      </c>
      <c r="BK284" s="49">
        <f ca="1"/>
        <v>0</v>
      </c>
      <c r="BL284" s="49">
        <f ca="1"/>
        <v>0</v>
      </c>
      <c r="BM284" s="49">
        <f ca="1"/>
        <v>0</v>
      </c>
      <c r="BN284" s="49">
        <f ca="1"/>
        <v>0</v>
      </c>
      <c r="BO284" s="49">
        <f ca="1"/>
        <v>0</v>
      </c>
      <c r="BP284" s="49">
        <f ca="1"/>
        <v>0</v>
      </c>
      <c r="BQ284" s="49">
        <f ca="1"/>
        <v>0</v>
      </c>
      <c r="BR284" s="49">
        <f ca="1"/>
        <v>0</v>
      </c>
      <c r="BS284" s="49">
        <f ca="1"/>
        <v>0</v>
      </c>
    </row>
    <row r="285" spans="1:71" outlineLevel="1" x14ac:dyDescent="0.2">
      <c r="D285" t="s">
        <v>237</v>
      </c>
      <c r="I285" s="30">
        <f t="shared" ca="1" si="573"/>
        <v>0</v>
      </c>
      <c r="J285" s="26" t="s">
        <v>148</v>
      </c>
      <c r="L285" s="49" cm="1">
        <f t="array" aca="1" ref="L285:BS285" ca="1">CA_PS_cont*CA_rev_gas_perc</f>
        <v>0</v>
      </c>
      <c r="M285" s="49">
        <f ca="1"/>
        <v>0</v>
      </c>
      <c r="N285" s="49">
        <f ca="1"/>
        <v>0</v>
      </c>
      <c r="O285" s="49">
        <f ca="1"/>
        <v>0</v>
      </c>
      <c r="P285" s="49">
        <f ca="1"/>
        <v>0</v>
      </c>
      <c r="Q285" s="49">
        <f ca="1"/>
        <v>0</v>
      </c>
      <c r="R285" s="49">
        <f ca="1"/>
        <v>0</v>
      </c>
      <c r="S285" s="49">
        <f ca="1"/>
        <v>0</v>
      </c>
      <c r="T285" s="49">
        <f ca="1"/>
        <v>0</v>
      </c>
      <c r="U285" s="49">
        <f ca="1"/>
        <v>0</v>
      </c>
      <c r="V285" s="49">
        <f ca="1"/>
        <v>0</v>
      </c>
      <c r="W285" s="49">
        <f ca="1"/>
        <v>0</v>
      </c>
      <c r="X285" s="49">
        <f ca="1"/>
        <v>0</v>
      </c>
      <c r="Y285" s="49">
        <f ca="1"/>
        <v>0</v>
      </c>
      <c r="Z285" s="49">
        <f ca="1"/>
        <v>0</v>
      </c>
      <c r="AA285" s="49">
        <f ca="1"/>
        <v>0</v>
      </c>
      <c r="AB285" s="49">
        <f ca="1"/>
        <v>0</v>
      </c>
      <c r="AC285" s="49">
        <f ca="1"/>
        <v>0</v>
      </c>
      <c r="AD285" s="49">
        <f ca="1"/>
        <v>0</v>
      </c>
      <c r="AE285" s="49">
        <f ca="1"/>
        <v>0</v>
      </c>
      <c r="AF285" s="49">
        <f ca="1"/>
        <v>0</v>
      </c>
      <c r="AG285" s="49">
        <f ca="1"/>
        <v>0</v>
      </c>
      <c r="AH285" s="49">
        <f ca="1"/>
        <v>0</v>
      </c>
      <c r="AI285" s="49">
        <f ca="1"/>
        <v>0</v>
      </c>
      <c r="AJ285" s="49">
        <f ca="1"/>
        <v>0</v>
      </c>
      <c r="AK285" s="49">
        <f ca="1"/>
        <v>0</v>
      </c>
      <c r="AL285" s="49">
        <f ca="1"/>
        <v>0</v>
      </c>
      <c r="AM285" s="49">
        <f ca="1"/>
        <v>0</v>
      </c>
      <c r="AN285" s="49">
        <f ca="1"/>
        <v>0</v>
      </c>
      <c r="AO285" s="49">
        <f ca="1"/>
        <v>0</v>
      </c>
      <c r="AP285" s="49">
        <f ca="1"/>
        <v>0</v>
      </c>
      <c r="AQ285" s="49">
        <f ca="1"/>
        <v>0</v>
      </c>
      <c r="AR285" s="49">
        <f ca="1"/>
        <v>0</v>
      </c>
      <c r="AS285" s="49">
        <f ca="1"/>
        <v>0</v>
      </c>
      <c r="AT285" s="49">
        <f ca="1"/>
        <v>0</v>
      </c>
      <c r="AU285" s="49">
        <f ca="1"/>
        <v>0</v>
      </c>
      <c r="AV285" s="49">
        <f ca="1"/>
        <v>0</v>
      </c>
      <c r="AW285" s="49">
        <f ca="1"/>
        <v>0</v>
      </c>
      <c r="AX285" s="49">
        <f ca="1"/>
        <v>0</v>
      </c>
      <c r="AY285" s="49">
        <f ca="1"/>
        <v>0</v>
      </c>
      <c r="AZ285" s="49">
        <f ca="1"/>
        <v>0</v>
      </c>
      <c r="BA285" s="49">
        <f ca="1"/>
        <v>0</v>
      </c>
      <c r="BB285" s="49">
        <f ca="1"/>
        <v>0</v>
      </c>
      <c r="BC285" s="49">
        <f ca="1"/>
        <v>0</v>
      </c>
      <c r="BD285" s="49">
        <f ca="1"/>
        <v>0</v>
      </c>
      <c r="BE285" s="49">
        <f ca="1"/>
        <v>0</v>
      </c>
      <c r="BF285" s="49">
        <f ca="1"/>
        <v>0</v>
      </c>
      <c r="BG285" s="49">
        <f ca="1"/>
        <v>0</v>
      </c>
      <c r="BH285" s="49">
        <f ca="1"/>
        <v>0</v>
      </c>
      <c r="BI285" s="49">
        <f ca="1"/>
        <v>0</v>
      </c>
      <c r="BJ285" s="49">
        <f ca="1"/>
        <v>0</v>
      </c>
      <c r="BK285" s="49">
        <f ca="1"/>
        <v>0</v>
      </c>
      <c r="BL285" s="49">
        <f ca="1"/>
        <v>0</v>
      </c>
      <c r="BM285" s="49">
        <f ca="1"/>
        <v>0</v>
      </c>
      <c r="BN285" s="49">
        <f ca="1"/>
        <v>0</v>
      </c>
      <c r="BO285" s="49">
        <f ca="1"/>
        <v>0</v>
      </c>
      <c r="BP285" s="49">
        <f ca="1"/>
        <v>0</v>
      </c>
      <c r="BQ285" s="49">
        <f ca="1"/>
        <v>0</v>
      </c>
      <c r="BR285" s="49">
        <f ca="1"/>
        <v>0</v>
      </c>
      <c r="BS285" s="49">
        <f ca="1"/>
        <v>0</v>
      </c>
    </row>
    <row r="286" spans="1:71" outlineLevel="1" x14ac:dyDescent="0.2">
      <c r="D286" s="11" t="s">
        <v>129</v>
      </c>
      <c r="I286" s="30">
        <f t="shared" ca="1" si="573"/>
        <v>0</v>
      </c>
      <c r="J286" s="26" t="s">
        <v>148</v>
      </c>
      <c r="K286" s="7" t="s">
        <v>251</v>
      </c>
      <c r="L286" s="49">
        <f t="shared" ref="L286:AQ286" ca="1" si="574">SUM(L283:L285)</f>
        <v>0</v>
      </c>
      <c r="M286" s="49">
        <f t="shared" ca="1" si="574"/>
        <v>0</v>
      </c>
      <c r="N286" s="49">
        <f t="shared" ca="1" si="574"/>
        <v>0</v>
      </c>
      <c r="O286" s="49">
        <f t="shared" ca="1" si="574"/>
        <v>0</v>
      </c>
      <c r="P286" s="49">
        <f t="shared" ca="1" si="574"/>
        <v>0</v>
      </c>
      <c r="Q286" s="49">
        <f t="shared" ca="1" si="574"/>
        <v>0</v>
      </c>
      <c r="R286" s="49">
        <f t="shared" ca="1" si="574"/>
        <v>0</v>
      </c>
      <c r="S286" s="49">
        <f t="shared" ca="1" si="574"/>
        <v>0</v>
      </c>
      <c r="T286" s="49">
        <f t="shared" ca="1" si="574"/>
        <v>0</v>
      </c>
      <c r="U286" s="49">
        <f t="shared" ca="1" si="574"/>
        <v>0</v>
      </c>
      <c r="V286" s="49">
        <f t="shared" ca="1" si="574"/>
        <v>0</v>
      </c>
      <c r="W286" s="49">
        <f t="shared" ca="1" si="574"/>
        <v>0</v>
      </c>
      <c r="X286" s="49">
        <f t="shared" ca="1" si="574"/>
        <v>0</v>
      </c>
      <c r="Y286" s="49">
        <f t="shared" ca="1" si="574"/>
        <v>0</v>
      </c>
      <c r="Z286" s="49">
        <f t="shared" ca="1" si="574"/>
        <v>0</v>
      </c>
      <c r="AA286" s="49">
        <f t="shared" ca="1" si="574"/>
        <v>0</v>
      </c>
      <c r="AB286" s="49">
        <f t="shared" ca="1" si="574"/>
        <v>0</v>
      </c>
      <c r="AC286" s="49">
        <f t="shared" ca="1" si="574"/>
        <v>0</v>
      </c>
      <c r="AD286" s="49">
        <f t="shared" ca="1" si="574"/>
        <v>0</v>
      </c>
      <c r="AE286" s="49">
        <f t="shared" ca="1" si="574"/>
        <v>0</v>
      </c>
      <c r="AF286" s="49">
        <f t="shared" ca="1" si="574"/>
        <v>0</v>
      </c>
      <c r="AG286" s="49">
        <f t="shared" ca="1" si="574"/>
        <v>0</v>
      </c>
      <c r="AH286" s="49">
        <f t="shared" ca="1" si="574"/>
        <v>0</v>
      </c>
      <c r="AI286" s="49">
        <f t="shared" ca="1" si="574"/>
        <v>0</v>
      </c>
      <c r="AJ286" s="49">
        <f t="shared" ca="1" si="574"/>
        <v>0</v>
      </c>
      <c r="AK286" s="49">
        <f t="shared" ca="1" si="574"/>
        <v>0</v>
      </c>
      <c r="AL286" s="49">
        <f t="shared" ca="1" si="574"/>
        <v>0</v>
      </c>
      <c r="AM286" s="49">
        <f t="shared" ca="1" si="574"/>
        <v>0</v>
      </c>
      <c r="AN286" s="49">
        <f t="shared" ca="1" si="574"/>
        <v>0</v>
      </c>
      <c r="AO286" s="49">
        <f t="shared" ca="1" si="574"/>
        <v>0</v>
      </c>
      <c r="AP286" s="49">
        <f t="shared" ca="1" si="574"/>
        <v>0</v>
      </c>
      <c r="AQ286" s="49">
        <f t="shared" ca="1" si="574"/>
        <v>0</v>
      </c>
      <c r="AR286" s="49">
        <f t="shared" ref="AR286:BS286" ca="1" si="575">SUM(AR283:AR285)</f>
        <v>0</v>
      </c>
      <c r="AS286" s="49">
        <f t="shared" ca="1" si="575"/>
        <v>0</v>
      </c>
      <c r="AT286" s="49">
        <f t="shared" ca="1" si="575"/>
        <v>0</v>
      </c>
      <c r="AU286" s="49">
        <f t="shared" ca="1" si="575"/>
        <v>0</v>
      </c>
      <c r="AV286" s="49">
        <f t="shared" ca="1" si="575"/>
        <v>0</v>
      </c>
      <c r="AW286" s="49">
        <f t="shared" ca="1" si="575"/>
        <v>0</v>
      </c>
      <c r="AX286" s="49">
        <f t="shared" ca="1" si="575"/>
        <v>0</v>
      </c>
      <c r="AY286" s="49">
        <f t="shared" ca="1" si="575"/>
        <v>0</v>
      </c>
      <c r="AZ286" s="49">
        <f t="shared" ca="1" si="575"/>
        <v>0</v>
      </c>
      <c r="BA286" s="49">
        <f t="shared" ca="1" si="575"/>
        <v>0</v>
      </c>
      <c r="BB286" s="49">
        <f t="shared" ca="1" si="575"/>
        <v>0</v>
      </c>
      <c r="BC286" s="49">
        <f t="shared" ca="1" si="575"/>
        <v>0</v>
      </c>
      <c r="BD286" s="49">
        <f t="shared" ca="1" si="575"/>
        <v>0</v>
      </c>
      <c r="BE286" s="49">
        <f t="shared" ca="1" si="575"/>
        <v>0</v>
      </c>
      <c r="BF286" s="49">
        <f t="shared" ca="1" si="575"/>
        <v>0</v>
      </c>
      <c r="BG286" s="49">
        <f t="shared" ca="1" si="575"/>
        <v>0</v>
      </c>
      <c r="BH286" s="49">
        <f t="shared" ca="1" si="575"/>
        <v>0</v>
      </c>
      <c r="BI286" s="49">
        <f t="shared" ca="1" si="575"/>
        <v>0</v>
      </c>
      <c r="BJ286" s="49">
        <f t="shared" ca="1" si="575"/>
        <v>0</v>
      </c>
      <c r="BK286" s="49">
        <f t="shared" ca="1" si="575"/>
        <v>0</v>
      </c>
      <c r="BL286" s="49">
        <f t="shared" ca="1" si="575"/>
        <v>0</v>
      </c>
      <c r="BM286" s="49">
        <f t="shared" ca="1" si="575"/>
        <v>0</v>
      </c>
      <c r="BN286" s="49">
        <f t="shared" ca="1" si="575"/>
        <v>0</v>
      </c>
      <c r="BO286" s="49">
        <f t="shared" ca="1" si="575"/>
        <v>0</v>
      </c>
      <c r="BP286" s="49">
        <f t="shared" ca="1" si="575"/>
        <v>0</v>
      </c>
      <c r="BQ286" s="49">
        <f t="shared" ca="1" si="575"/>
        <v>0</v>
      </c>
      <c r="BR286" s="49">
        <f t="shared" ca="1" si="575"/>
        <v>0</v>
      </c>
      <c r="BS286" s="49">
        <f t="shared" ca="1" si="575"/>
        <v>0</v>
      </c>
    </row>
    <row r="287" spans="1:71" outlineLevel="1" x14ac:dyDescent="0.2"/>
    <row r="288" spans="1:71" outlineLevel="1" x14ac:dyDescent="0.2">
      <c r="C288" s="11" t="s">
        <v>252</v>
      </c>
    </row>
    <row r="289" spans="3:71" outlineLevel="1" x14ac:dyDescent="0.2">
      <c r="D289" t="s">
        <v>70</v>
      </c>
      <c r="I289" s="30" t="e">
        <f t="shared" ref="I289:I291" ca="1" si="576">SUM($L289:$BS289)</f>
        <v>#DIV/0!</v>
      </c>
      <c r="J289" s="26" t="s">
        <v>88</v>
      </c>
      <c r="L289" s="49">
        <f t="shared" ref="L289:AQ289" ca="1" si="577">CA_ent_rev_oil/CA_FP_oil_nom</f>
        <v>4.6899153411483701</v>
      </c>
      <c r="M289" s="49">
        <f t="shared" ca="1" si="577"/>
        <v>5.1373311195146156</v>
      </c>
      <c r="N289" s="49">
        <f t="shared" ca="1" si="577"/>
        <v>2.576935474050905</v>
      </c>
      <c r="O289" s="49">
        <f t="shared" ca="1" si="577"/>
        <v>2.8342091659058846</v>
      </c>
      <c r="P289" s="49">
        <f t="shared" ca="1" si="577"/>
        <v>5.9868876146850756</v>
      </c>
      <c r="Q289" s="49">
        <f t="shared" ca="1" si="577"/>
        <v>9.4425846503515487</v>
      </c>
      <c r="R289" s="49">
        <f t="shared" ca="1" si="577"/>
        <v>9.5652260929866735</v>
      </c>
      <c r="S289" s="49">
        <f t="shared" ca="1" si="577"/>
        <v>8.6756909712940899</v>
      </c>
      <c r="T289" s="49">
        <f t="shared" ca="1" si="577"/>
        <v>8.2155090928500005</v>
      </c>
      <c r="U289" s="49">
        <f t="shared" ca="1" si="577"/>
        <v>7.6404234563504998</v>
      </c>
      <c r="V289" s="49">
        <f t="shared" ca="1" si="577"/>
        <v>7.1055938144059638</v>
      </c>
      <c r="W289" s="49">
        <f t="shared" ca="1" si="577"/>
        <v>6.6263069110890465</v>
      </c>
      <c r="X289" s="49">
        <f t="shared" ca="1" si="577"/>
        <v>6.1456280900797173</v>
      </c>
      <c r="Y289" s="49" t="e">
        <f t="shared" ca="1" si="577"/>
        <v>#DIV/0!</v>
      </c>
      <c r="Z289" s="49" t="e">
        <f t="shared" ca="1" si="577"/>
        <v>#DIV/0!</v>
      </c>
      <c r="AA289" s="49" t="e">
        <f t="shared" ca="1" si="577"/>
        <v>#DIV/0!</v>
      </c>
      <c r="AB289" s="49" t="e">
        <f t="shared" ca="1" si="577"/>
        <v>#DIV/0!</v>
      </c>
      <c r="AC289" s="49" t="e">
        <f t="shared" ca="1" si="577"/>
        <v>#DIV/0!</v>
      </c>
      <c r="AD289" s="49" t="e">
        <f t="shared" ca="1" si="577"/>
        <v>#DIV/0!</v>
      </c>
      <c r="AE289" s="49" t="e">
        <f t="shared" ca="1" si="577"/>
        <v>#DIV/0!</v>
      </c>
      <c r="AF289" s="49" t="e">
        <f t="shared" ca="1" si="577"/>
        <v>#DIV/0!</v>
      </c>
      <c r="AG289" s="49" t="e">
        <f t="shared" ca="1" si="577"/>
        <v>#DIV/0!</v>
      </c>
      <c r="AH289" s="49" t="e">
        <f t="shared" ca="1" si="577"/>
        <v>#DIV/0!</v>
      </c>
      <c r="AI289" s="49" t="e">
        <f t="shared" ca="1" si="577"/>
        <v>#DIV/0!</v>
      </c>
      <c r="AJ289" s="49" t="e">
        <f t="shared" ca="1" si="577"/>
        <v>#DIV/0!</v>
      </c>
      <c r="AK289" s="49" t="e">
        <f t="shared" ca="1" si="577"/>
        <v>#DIV/0!</v>
      </c>
      <c r="AL289" s="49" t="e">
        <f t="shared" ca="1" si="577"/>
        <v>#DIV/0!</v>
      </c>
      <c r="AM289" s="49" t="e">
        <f t="shared" ca="1" si="577"/>
        <v>#DIV/0!</v>
      </c>
      <c r="AN289" s="49" t="e">
        <f t="shared" ca="1" si="577"/>
        <v>#DIV/0!</v>
      </c>
      <c r="AO289" s="49" t="e">
        <f t="shared" ca="1" si="577"/>
        <v>#DIV/0!</v>
      </c>
      <c r="AP289" s="49" t="e">
        <f t="shared" ca="1" si="577"/>
        <v>#DIV/0!</v>
      </c>
      <c r="AQ289" s="49" t="e">
        <f t="shared" ca="1" si="577"/>
        <v>#DIV/0!</v>
      </c>
      <c r="AR289" s="49" t="e">
        <f t="shared" ref="AR289:BS289" ca="1" si="578">CA_ent_rev_oil/CA_FP_oil_nom</f>
        <v>#DIV/0!</v>
      </c>
      <c r="AS289" s="49" t="e">
        <f t="shared" ca="1" si="578"/>
        <v>#DIV/0!</v>
      </c>
      <c r="AT289" s="49" t="e">
        <f t="shared" ca="1" si="578"/>
        <v>#DIV/0!</v>
      </c>
      <c r="AU289" s="49" t="e">
        <f t="shared" ca="1" si="578"/>
        <v>#DIV/0!</v>
      </c>
      <c r="AV289" s="49" t="e">
        <f t="shared" ca="1" si="578"/>
        <v>#DIV/0!</v>
      </c>
      <c r="AW289" s="49" t="e">
        <f t="shared" ca="1" si="578"/>
        <v>#DIV/0!</v>
      </c>
      <c r="AX289" s="49" t="e">
        <f t="shared" ca="1" si="578"/>
        <v>#DIV/0!</v>
      </c>
      <c r="AY289" s="49" t="e">
        <f t="shared" ca="1" si="578"/>
        <v>#DIV/0!</v>
      </c>
      <c r="AZ289" s="49" t="e">
        <f t="shared" ca="1" si="578"/>
        <v>#DIV/0!</v>
      </c>
      <c r="BA289" s="49" t="e">
        <f t="shared" ca="1" si="578"/>
        <v>#DIV/0!</v>
      </c>
      <c r="BB289" s="49" t="e">
        <f t="shared" ca="1" si="578"/>
        <v>#DIV/0!</v>
      </c>
      <c r="BC289" s="49" t="e">
        <f t="shared" ca="1" si="578"/>
        <v>#DIV/0!</v>
      </c>
      <c r="BD289" s="49" t="e">
        <f t="shared" ca="1" si="578"/>
        <v>#DIV/0!</v>
      </c>
      <c r="BE289" s="49" t="e">
        <f t="shared" ca="1" si="578"/>
        <v>#DIV/0!</v>
      </c>
      <c r="BF289" s="49" t="e">
        <f t="shared" ca="1" si="578"/>
        <v>#DIV/0!</v>
      </c>
      <c r="BG289" s="49" t="e">
        <f t="shared" ca="1" si="578"/>
        <v>#DIV/0!</v>
      </c>
      <c r="BH289" s="49" t="e">
        <f t="shared" ca="1" si="578"/>
        <v>#DIV/0!</v>
      </c>
      <c r="BI289" s="49" t="e">
        <f t="shared" ca="1" si="578"/>
        <v>#DIV/0!</v>
      </c>
      <c r="BJ289" s="49" t="e">
        <f t="shared" ca="1" si="578"/>
        <v>#DIV/0!</v>
      </c>
      <c r="BK289" s="49" t="e">
        <f t="shared" ca="1" si="578"/>
        <v>#DIV/0!</v>
      </c>
      <c r="BL289" s="49" t="e">
        <f t="shared" ca="1" si="578"/>
        <v>#DIV/0!</v>
      </c>
      <c r="BM289" s="49" t="e">
        <f t="shared" ca="1" si="578"/>
        <v>#DIV/0!</v>
      </c>
      <c r="BN289" s="49" t="e">
        <f t="shared" ca="1" si="578"/>
        <v>#DIV/0!</v>
      </c>
      <c r="BO289" s="49" t="e">
        <f t="shared" ca="1" si="578"/>
        <v>#DIV/0!</v>
      </c>
      <c r="BP289" s="49" t="e">
        <f t="shared" ca="1" si="578"/>
        <v>#DIV/0!</v>
      </c>
      <c r="BQ289" s="49" t="e">
        <f t="shared" ca="1" si="578"/>
        <v>#DIV/0!</v>
      </c>
      <c r="BR289" s="49" t="e">
        <f t="shared" ca="1" si="578"/>
        <v>#DIV/0!</v>
      </c>
      <c r="BS289" s="49" t="e">
        <f t="shared" ca="1" si="578"/>
        <v>#DIV/0!</v>
      </c>
    </row>
    <row r="290" spans="3:71" outlineLevel="1" x14ac:dyDescent="0.2">
      <c r="D290" t="s">
        <v>71</v>
      </c>
      <c r="I290" s="30">
        <f t="shared" ca="1" si="576"/>
        <v>0</v>
      </c>
      <c r="J290" s="26" t="s">
        <v>89</v>
      </c>
      <c r="L290" s="49">
        <f t="shared" ref="L290:AQ290" ca="1" si="579">IFERROR(CA_ent_rev_gas/CA_FP_gas_nom,0)</f>
        <v>0</v>
      </c>
      <c r="M290" s="49">
        <f t="shared" ca="1" si="579"/>
        <v>0</v>
      </c>
      <c r="N290" s="49">
        <f t="shared" ca="1" si="579"/>
        <v>0</v>
      </c>
      <c r="O290" s="49">
        <f t="shared" ca="1" si="579"/>
        <v>0</v>
      </c>
      <c r="P290" s="49">
        <f t="shared" ca="1" si="579"/>
        <v>0</v>
      </c>
      <c r="Q290" s="49">
        <f t="shared" ca="1" si="579"/>
        <v>0</v>
      </c>
      <c r="R290" s="49">
        <f t="shared" ca="1" si="579"/>
        <v>0</v>
      </c>
      <c r="S290" s="49">
        <f t="shared" ca="1" si="579"/>
        <v>0</v>
      </c>
      <c r="T290" s="49">
        <f t="shared" ca="1" si="579"/>
        <v>0</v>
      </c>
      <c r="U290" s="49">
        <f t="shared" ca="1" si="579"/>
        <v>0</v>
      </c>
      <c r="V290" s="49">
        <f t="shared" ca="1" si="579"/>
        <v>0</v>
      </c>
      <c r="W290" s="49">
        <f t="shared" ca="1" si="579"/>
        <v>0</v>
      </c>
      <c r="X290" s="49">
        <f t="shared" ca="1" si="579"/>
        <v>0</v>
      </c>
      <c r="Y290" s="49">
        <f t="shared" ca="1" si="579"/>
        <v>0</v>
      </c>
      <c r="Z290" s="49">
        <f t="shared" ca="1" si="579"/>
        <v>0</v>
      </c>
      <c r="AA290" s="49">
        <f t="shared" ca="1" si="579"/>
        <v>0</v>
      </c>
      <c r="AB290" s="49">
        <f t="shared" ca="1" si="579"/>
        <v>0</v>
      </c>
      <c r="AC290" s="49">
        <f t="shared" ca="1" si="579"/>
        <v>0</v>
      </c>
      <c r="AD290" s="49">
        <f t="shared" ca="1" si="579"/>
        <v>0</v>
      </c>
      <c r="AE290" s="49">
        <f t="shared" ca="1" si="579"/>
        <v>0</v>
      </c>
      <c r="AF290" s="49">
        <f t="shared" ca="1" si="579"/>
        <v>0</v>
      </c>
      <c r="AG290" s="49">
        <f t="shared" ca="1" si="579"/>
        <v>0</v>
      </c>
      <c r="AH290" s="49">
        <f t="shared" ca="1" si="579"/>
        <v>0</v>
      </c>
      <c r="AI290" s="49">
        <f t="shared" ca="1" si="579"/>
        <v>0</v>
      </c>
      <c r="AJ290" s="49">
        <f t="shared" ca="1" si="579"/>
        <v>0</v>
      </c>
      <c r="AK290" s="49">
        <f t="shared" ca="1" si="579"/>
        <v>0</v>
      </c>
      <c r="AL290" s="49">
        <f t="shared" ca="1" si="579"/>
        <v>0</v>
      </c>
      <c r="AM290" s="49">
        <f t="shared" ca="1" si="579"/>
        <v>0</v>
      </c>
      <c r="AN290" s="49">
        <f t="shared" ca="1" si="579"/>
        <v>0</v>
      </c>
      <c r="AO290" s="49">
        <f t="shared" ca="1" si="579"/>
        <v>0</v>
      </c>
      <c r="AP290" s="49">
        <f t="shared" ca="1" si="579"/>
        <v>0</v>
      </c>
      <c r="AQ290" s="49">
        <f t="shared" ca="1" si="579"/>
        <v>0</v>
      </c>
      <c r="AR290" s="49">
        <f t="shared" ref="AR290:BS290" ca="1" si="580">IFERROR(CA_ent_rev_gas/CA_FP_gas_nom,0)</f>
        <v>0</v>
      </c>
      <c r="AS290" s="49">
        <f t="shared" ca="1" si="580"/>
        <v>0</v>
      </c>
      <c r="AT290" s="49">
        <f t="shared" ca="1" si="580"/>
        <v>0</v>
      </c>
      <c r="AU290" s="49">
        <f t="shared" ca="1" si="580"/>
        <v>0</v>
      </c>
      <c r="AV290" s="49">
        <f t="shared" ca="1" si="580"/>
        <v>0</v>
      </c>
      <c r="AW290" s="49">
        <f t="shared" ca="1" si="580"/>
        <v>0</v>
      </c>
      <c r="AX290" s="49">
        <f t="shared" ca="1" si="580"/>
        <v>0</v>
      </c>
      <c r="AY290" s="49">
        <f t="shared" ca="1" si="580"/>
        <v>0</v>
      </c>
      <c r="AZ290" s="49">
        <f t="shared" ca="1" si="580"/>
        <v>0</v>
      </c>
      <c r="BA290" s="49">
        <f t="shared" ca="1" si="580"/>
        <v>0</v>
      </c>
      <c r="BB290" s="49">
        <f t="shared" ca="1" si="580"/>
        <v>0</v>
      </c>
      <c r="BC290" s="49">
        <f t="shared" ca="1" si="580"/>
        <v>0</v>
      </c>
      <c r="BD290" s="49">
        <f t="shared" ca="1" si="580"/>
        <v>0</v>
      </c>
      <c r="BE290" s="49">
        <f t="shared" ca="1" si="580"/>
        <v>0</v>
      </c>
      <c r="BF290" s="49">
        <f t="shared" ca="1" si="580"/>
        <v>0</v>
      </c>
      <c r="BG290" s="49">
        <f t="shared" ca="1" si="580"/>
        <v>0</v>
      </c>
      <c r="BH290" s="49">
        <f t="shared" ca="1" si="580"/>
        <v>0</v>
      </c>
      <c r="BI290" s="49">
        <f t="shared" ca="1" si="580"/>
        <v>0</v>
      </c>
      <c r="BJ290" s="49">
        <f t="shared" ca="1" si="580"/>
        <v>0</v>
      </c>
      <c r="BK290" s="49">
        <f t="shared" ca="1" si="580"/>
        <v>0</v>
      </c>
      <c r="BL290" s="49">
        <f t="shared" ca="1" si="580"/>
        <v>0</v>
      </c>
      <c r="BM290" s="49">
        <f t="shared" ca="1" si="580"/>
        <v>0</v>
      </c>
      <c r="BN290" s="49">
        <f t="shared" ca="1" si="580"/>
        <v>0</v>
      </c>
      <c r="BO290" s="49">
        <f t="shared" ca="1" si="580"/>
        <v>0</v>
      </c>
      <c r="BP290" s="49">
        <f t="shared" ca="1" si="580"/>
        <v>0</v>
      </c>
      <c r="BQ290" s="49">
        <f t="shared" ca="1" si="580"/>
        <v>0</v>
      </c>
      <c r="BR290" s="49">
        <f t="shared" ca="1" si="580"/>
        <v>0</v>
      </c>
      <c r="BS290" s="49">
        <f t="shared" ca="1" si="580"/>
        <v>0</v>
      </c>
    </row>
    <row r="291" spans="3:71" outlineLevel="1" x14ac:dyDescent="0.2">
      <c r="D291" s="11" t="s">
        <v>129</v>
      </c>
      <c r="I291" s="30" t="e">
        <f t="shared" ca="1" si="576"/>
        <v>#DIV/0!</v>
      </c>
      <c r="J291" s="26" t="s">
        <v>130</v>
      </c>
      <c r="K291" s="7" t="s">
        <v>253</v>
      </c>
      <c r="L291" s="49">
        <f t="shared" ref="L291:AQ291" ca="1" si="581">L289+L290*conv_BbltoMcf</f>
        <v>4.6899153411483701</v>
      </c>
      <c r="M291" s="49">
        <f t="shared" ca="1" si="581"/>
        <v>5.1373311195146156</v>
      </c>
      <c r="N291" s="49">
        <f t="shared" ca="1" si="581"/>
        <v>2.576935474050905</v>
      </c>
      <c r="O291" s="49">
        <f t="shared" ca="1" si="581"/>
        <v>2.8342091659058846</v>
      </c>
      <c r="P291" s="49">
        <f t="shared" ca="1" si="581"/>
        <v>5.9868876146850756</v>
      </c>
      <c r="Q291" s="49">
        <f t="shared" ca="1" si="581"/>
        <v>9.4425846503515487</v>
      </c>
      <c r="R291" s="49">
        <f t="shared" ca="1" si="581"/>
        <v>9.5652260929866735</v>
      </c>
      <c r="S291" s="49">
        <f t="shared" ca="1" si="581"/>
        <v>8.6756909712940899</v>
      </c>
      <c r="T291" s="49">
        <f t="shared" ca="1" si="581"/>
        <v>8.2155090928500005</v>
      </c>
      <c r="U291" s="49">
        <f t="shared" ca="1" si="581"/>
        <v>7.6404234563504998</v>
      </c>
      <c r="V291" s="49">
        <f t="shared" ca="1" si="581"/>
        <v>7.1055938144059638</v>
      </c>
      <c r="W291" s="49">
        <f t="shared" ca="1" si="581"/>
        <v>6.6263069110890465</v>
      </c>
      <c r="X291" s="49">
        <f t="shared" ca="1" si="581"/>
        <v>6.1456280900797173</v>
      </c>
      <c r="Y291" s="49" t="e">
        <f t="shared" ca="1" si="581"/>
        <v>#DIV/0!</v>
      </c>
      <c r="Z291" s="49" t="e">
        <f t="shared" ca="1" si="581"/>
        <v>#DIV/0!</v>
      </c>
      <c r="AA291" s="49" t="e">
        <f t="shared" ca="1" si="581"/>
        <v>#DIV/0!</v>
      </c>
      <c r="AB291" s="49" t="e">
        <f t="shared" ca="1" si="581"/>
        <v>#DIV/0!</v>
      </c>
      <c r="AC291" s="49" t="e">
        <f t="shared" ca="1" si="581"/>
        <v>#DIV/0!</v>
      </c>
      <c r="AD291" s="49" t="e">
        <f t="shared" ca="1" si="581"/>
        <v>#DIV/0!</v>
      </c>
      <c r="AE291" s="49" t="e">
        <f t="shared" ca="1" si="581"/>
        <v>#DIV/0!</v>
      </c>
      <c r="AF291" s="49" t="e">
        <f t="shared" ca="1" si="581"/>
        <v>#DIV/0!</v>
      </c>
      <c r="AG291" s="49" t="e">
        <f t="shared" ca="1" si="581"/>
        <v>#DIV/0!</v>
      </c>
      <c r="AH291" s="49" t="e">
        <f t="shared" ca="1" si="581"/>
        <v>#DIV/0!</v>
      </c>
      <c r="AI291" s="49" t="e">
        <f t="shared" ca="1" si="581"/>
        <v>#DIV/0!</v>
      </c>
      <c r="AJ291" s="49" t="e">
        <f t="shared" ca="1" si="581"/>
        <v>#DIV/0!</v>
      </c>
      <c r="AK291" s="49" t="e">
        <f t="shared" ca="1" si="581"/>
        <v>#DIV/0!</v>
      </c>
      <c r="AL291" s="49" t="e">
        <f t="shared" ca="1" si="581"/>
        <v>#DIV/0!</v>
      </c>
      <c r="AM291" s="49" t="e">
        <f t="shared" ca="1" si="581"/>
        <v>#DIV/0!</v>
      </c>
      <c r="AN291" s="49" t="e">
        <f t="shared" ca="1" si="581"/>
        <v>#DIV/0!</v>
      </c>
      <c r="AO291" s="49" t="e">
        <f t="shared" ca="1" si="581"/>
        <v>#DIV/0!</v>
      </c>
      <c r="AP291" s="49" t="e">
        <f t="shared" ca="1" si="581"/>
        <v>#DIV/0!</v>
      </c>
      <c r="AQ291" s="49" t="e">
        <f t="shared" ca="1" si="581"/>
        <v>#DIV/0!</v>
      </c>
      <c r="AR291" s="49" t="e">
        <f t="shared" ref="AR291:BS291" ca="1" si="582">AR289+AR290*conv_BbltoMcf</f>
        <v>#DIV/0!</v>
      </c>
      <c r="AS291" s="49" t="e">
        <f t="shared" ca="1" si="582"/>
        <v>#DIV/0!</v>
      </c>
      <c r="AT291" s="49" t="e">
        <f t="shared" ca="1" si="582"/>
        <v>#DIV/0!</v>
      </c>
      <c r="AU291" s="49" t="e">
        <f t="shared" ca="1" si="582"/>
        <v>#DIV/0!</v>
      </c>
      <c r="AV291" s="49" t="e">
        <f t="shared" ca="1" si="582"/>
        <v>#DIV/0!</v>
      </c>
      <c r="AW291" s="49" t="e">
        <f t="shared" ca="1" si="582"/>
        <v>#DIV/0!</v>
      </c>
      <c r="AX291" s="49" t="e">
        <f t="shared" ca="1" si="582"/>
        <v>#DIV/0!</v>
      </c>
      <c r="AY291" s="49" t="e">
        <f t="shared" ca="1" si="582"/>
        <v>#DIV/0!</v>
      </c>
      <c r="AZ291" s="49" t="e">
        <f t="shared" ca="1" si="582"/>
        <v>#DIV/0!</v>
      </c>
      <c r="BA291" s="49" t="e">
        <f t="shared" ca="1" si="582"/>
        <v>#DIV/0!</v>
      </c>
      <c r="BB291" s="49" t="e">
        <f t="shared" ca="1" si="582"/>
        <v>#DIV/0!</v>
      </c>
      <c r="BC291" s="49" t="e">
        <f t="shared" ca="1" si="582"/>
        <v>#DIV/0!</v>
      </c>
      <c r="BD291" s="49" t="e">
        <f t="shared" ca="1" si="582"/>
        <v>#DIV/0!</v>
      </c>
      <c r="BE291" s="49" t="e">
        <f t="shared" ca="1" si="582"/>
        <v>#DIV/0!</v>
      </c>
      <c r="BF291" s="49" t="e">
        <f t="shared" ca="1" si="582"/>
        <v>#DIV/0!</v>
      </c>
      <c r="BG291" s="49" t="e">
        <f t="shared" ca="1" si="582"/>
        <v>#DIV/0!</v>
      </c>
      <c r="BH291" s="49" t="e">
        <f t="shared" ca="1" si="582"/>
        <v>#DIV/0!</v>
      </c>
      <c r="BI291" s="49" t="e">
        <f t="shared" ca="1" si="582"/>
        <v>#DIV/0!</v>
      </c>
      <c r="BJ291" s="49" t="e">
        <f t="shared" ca="1" si="582"/>
        <v>#DIV/0!</v>
      </c>
      <c r="BK291" s="49" t="e">
        <f t="shared" ca="1" si="582"/>
        <v>#DIV/0!</v>
      </c>
      <c r="BL291" s="49" t="e">
        <f t="shared" ca="1" si="582"/>
        <v>#DIV/0!</v>
      </c>
      <c r="BM291" s="49" t="e">
        <f t="shared" ca="1" si="582"/>
        <v>#DIV/0!</v>
      </c>
      <c r="BN291" s="49" t="e">
        <f t="shared" ca="1" si="582"/>
        <v>#DIV/0!</v>
      </c>
      <c r="BO291" s="49" t="e">
        <f t="shared" ca="1" si="582"/>
        <v>#DIV/0!</v>
      </c>
      <c r="BP291" s="49" t="e">
        <f t="shared" ca="1" si="582"/>
        <v>#DIV/0!</v>
      </c>
      <c r="BQ291" s="49" t="e">
        <f t="shared" ca="1" si="582"/>
        <v>#DIV/0!</v>
      </c>
      <c r="BR291" s="49" t="e">
        <f t="shared" ca="1" si="582"/>
        <v>#DIV/0!</v>
      </c>
      <c r="BS291" s="49" t="e">
        <f t="shared" ca="1" si="582"/>
        <v>#DIV/0!</v>
      </c>
    </row>
    <row r="292" spans="3:71" outlineLevel="1" x14ac:dyDescent="0.2"/>
    <row r="293" spans="3:71" outlineLevel="1" x14ac:dyDescent="0.2">
      <c r="C293" s="11" t="s">
        <v>338</v>
      </c>
    </row>
    <row r="294" spans="3:71" outlineLevel="1" x14ac:dyDescent="0.2">
      <c r="D294" t="s">
        <v>116</v>
      </c>
      <c r="J294" s="26" t="s">
        <v>90</v>
      </c>
      <c r="K294" s="7" t="s">
        <v>340</v>
      </c>
      <c r="L294" s="53">
        <f t="shared" ref="L294:AQ294" ca="1" si="583">IOC_WI_perc*CA_op_trig</f>
        <v>0.85</v>
      </c>
      <c r="M294" s="53">
        <f t="shared" ca="1" si="583"/>
        <v>0.85</v>
      </c>
      <c r="N294" s="53">
        <f t="shared" ca="1" si="583"/>
        <v>0.85</v>
      </c>
      <c r="O294" s="53">
        <f t="shared" ca="1" si="583"/>
        <v>0.85</v>
      </c>
      <c r="P294" s="53">
        <f t="shared" ca="1" si="583"/>
        <v>0.85</v>
      </c>
      <c r="Q294" s="53">
        <f t="shared" ca="1" si="583"/>
        <v>0.85</v>
      </c>
      <c r="R294" s="53">
        <f t="shared" ca="1" si="583"/>
        <v>0.85</v>
      </c>
      <c r="S294" s="53">
        <f t="shared" ca="1" si="583"/>
        <v>0.85</v>
      </c>
      <c r="T294" s="53">
        <f t="shared" ca="1" si="583"/>
        <v>0.85</v>
      </c>
      <c r="U294" s="53">
        <f t="shared" ca="1" si="583"/>
        <v>0.85</v>
      </c>
      <c r="V294" s="53">
        <f t="shared" ca="1" si="583"/>
        <v>0.85</v>
      </c>
      <c r="W294" s="53">
        <f t="shared" ca="1" si="583"/>
        <v>0.85</v>
      </c>
      <c r="X294" s="53">
        <f t="shared" ca="1" si="583"/>
        <v>0.85</v>
      </c>
      <c r="Y294" s="53">
        <f t="shared" ca="1" si="583"/>
        <v>0</v>
      </c>
      <c r="Z294" s="53">
        <f t="shared" ca="1" si="583"/>
        <v>0</v>
      </c>
      <c r="AA294" s="53">
        <f t="shared" ca="1" si="583"/>
        <v>0</v>
      </c>
      <c r="AB294" s="53">
        <f t="shared" ca="1" si="583"/>
        <v>0</v>
      </c>
      <c r="AC294" s="53">
        <f t="shared" ca="1" si="583"/>
        <v>0</v>
      </c>
      <c r="AD294" s="53">
        <f t="shared" ca="1" si="583"/>
        <v>0</v>
      </c>
      <c r="AE294" s="53">
        <f t="shared" ca="1" si="583"/>
        <v>0</v>
      </c>
      <c r="AF294" s="53">
        <f t="shared" ca="1" si="583"/>
        <v>0</v>
      </c>
      <c r="AG294" s="53">
        <f t="shared" ca="1" si="583"/>
        <v>0</v>
      </c>
      <c r="AH294" s="53">
        <f t="shared" ca="1" si="583"/>
        <v>0</v>
      </c>
      <c r="AI294" s="53">
        <f t="shared" ca="1" si="583"/>
        <v>0</v>
      </c>
      <c r="AJ294" s="53">
        <f t="shared" ca="1" si="583"/>
        <v>0</v>
      </c>
      <c r="AK294" s="53">
        <f t="shared" ca="1" si="583"/>
        <v>0</v>
      </c>
      <c r="AL294" s="53">
        <f t="shared" ca="1" si="583"/>
        <v>0</v>
      </c>
      <c r="AM294" s="53">
        <f t="shared" ca="1" si="583"/>
        <v>0</v>
      </c>
      <c r="AN294" s="53">
        <f t="shared" ca="1" si="583"/>
        <v>0</v>
      </c>
      <c r="AO294" s="53">
        <f t="shared" ca="1" si="583"/>
        <v>0</v>
      </c>
      <c r="AP294" s="53">
        <f t="shared" ca="1" si="583"/>
        <v>0</v>
      </c>
      <c r="AQ294" s="53">
        <f t="shared" ca="1" si="583"/>
        <v>0</v>
      </c>
      <c r="AR294" s="53">
        <f t="shared" ref="AR294:BS294" ca="1" si="584">IOC_WI_perc*CA_op_trig</f>
        <v>0</v>
      </c>
      <c r="AS294" s="53">
        <f t="shared" ca="1" si="584"/>
        <v>0</v>
      </c>
      <c r="AT294" s="53">
        <f t="shared" ca="1" si="584"/>
        <v>0</v>
      </c>
      <c r="AU294" s="53">
        <f t="shared" ca="1" si="584"/>
        <v>0</v>
      </c>
      <c r="AV294" s="53">
        <f t="shared" ca="1" si="584"/>
        <v>0</v>
      </c>
      <c r="AW294" s="53">
        <f t="shared" ca="1" si="584"/>
        <v>0</v>
      </c>
      <c r="AX294" s="53">
        <f t="shared" ca="1" si="584"/>
        <v>0</v>
      </c>
      <c r="AY294" s="53">
        <f t="shared" ca="1" si="584"/>
        <v>0</v>
      </c>
      <c r="AZ294" s="53">
        <f t="shared" ca="1" si="584"/>
        <v>0</v>
      </c>
      <c r="BA294" s="53">
        <f t="shared" ca="1" si="584"/>
        <v>0</v>
      </c>
      <c r="BB294" s="53">
        <f t="shared" ca="1" si="584"/>
        <v>0</v>
      </c>
      <c r="BC294" s="53">
        <f t="shared" ca="1" si="584"/>
        <v>0</v>
      </c>
      <c r="BD294" s="53">
        <f t="shared" ca="1" si="584"/>
        <v>0</v>
      </c>
      <c r="BE294" s="53">
        <f t="shared" ca="1" si="584"/>
        <v>0</v>
      </c>
      <c r="BF294" s="53">
        <f t="shared" ca="1" si="584"/>
        <v>0</v>
      </c>
      <c r="BG294" s="53">
        <f t="shared" ca="1" si="584"/>
        <v>0</v>
      </c>
      <c r="BH294" s="53">
        <f t="shared" ca="1" si="584"/>
        <v>0</v>
      </c>
      <c r="BI294" s="53">
        <f t="shared" ca="1" si="584"/>
        <v>0</v>
      </c>
      <c r="BJ294" s="53">
        <f t="shared" ca="1" si="584"/>
        <v>0</v>
      </c>
      <c r="BK294" s="53">
        <f t="shared" ca="1" si="584"/>
        <v>0</v>
      </c>
      <c r="BL294" s="53">
        <f t="shared" ca="1" si="584"/>
        <v>0</v>
      </c>
      <c r="BM294" s="53">
        <f t="shared" ca="1" si="584"/>
        <v>0</v>
      </c>
      <c r="BN294" s="53">
        <f t="shared" ca="1" si="584"/>
        <v>0</v>
      </c>
      <c r="BO294" s="53">
        <f t="shared" ca="1" si="584"/>
        <v>0</v>
      </c>
      <c r="BP294" s="53">
        <f t="shared" ca="1" si="584"/>
        <v>0</v>
      </c>
      <c r="BQ294" s="53">
        <f t="shared" ca="1" si="584"/>
        <v>0</v>
      </c>
      <c r="BR294" s="53">
        <f t="shared" ca="1" si="584"/>
        <v>0</v>
      </c>
      <c r="BS294" s="53">
        <f t="shared" ca="1" si="584"/>
        <v>0</v>
      </c>
    </row>
    <row r="295" spans="3:71" outlineLevel="1" x14ac:dyDescent="0.2">
      <c r="D295" t="s">
        <v>339</v>
      </c>
      <c r="J295" s="26" t="s">
        <v>90</v>
      </c>
      <c r="K295" s="7" t="s">
        <v>341</v>
      </c>
      <c r="L295" s="53">
        <f t="shared" ref="L295:AQ295" ca="1" si="585">NOC_WI_perc*CA_op_trig</f>
        <v>0.15</v>
      </c>
      <c r="M295" s="53">
        <f t="shared" ca="1" si="585"/>
        <v>0.15</v>
      </c>
      <c r="N295" s="53">
        <f t="shared" ca="1" si="585"/>
        <v>0.15</v>
      </c>
      <c r="O295" s="53">
        <f t="shared" ca="1" si="585"/>
        <v>0.15</v>
      </c>
      <c r="P295" s="53">
        <f t="shared" ca="1" si="585"/>
        <v>0.15</v>
      </c>
      <c r="Q295" s="53">
        <f t="shared" ca="1" si="585"/>
        <v>0.15</v>
      </c>
      <c r="R295" s="53">
        <f t="shared" ca="1" si="585"/>
        <v>0.15</v>
      </c>
      <c r="S295" s="53">
        <f t="shared" ca="1" si="585"/>
        <v>0.15</v>
      </c>
      <c r="T295" s="53">
        <f t="shared" ca="1" si="585"/>
        <v>0.15</v>
      </c>
      <c r="U295" s="53">
        <f t="shared" ca="1" si="585"/>
        <v>0.15</v>
      </c>
      <c r="V295" s="53">
        <f t="shared" ca="1" si="585"/>
        <v>0.15</v>
      </c>
      <c r="W295" s="53">
        <f t="shared" ca="1" si="585"/>
        <v>0.15</v>
      </c>
      <c r="X295" s="53">
        <f t="shared" ca="1" si="585"/>
        <v>0.15</v>
      </c>
      <c r="Y295" s="53">
        <f t="shared" ca="1" si="585"/>
        <v>0</v>
      </c>
      <c r="Z295" s="53">
        <f t="shared" ca="1" si="585"/>
        <v>0</v>
      </c>
      <c r="AA295" s="53">
        <f t="shared" ca="1" si="585"/>
        <v>0</v>
      </c>
      <c r="AB295" s="53">
        <f t="shared" ca="1" si="585"/>
        <v>0</v>
      </c>
      <c r="AC295" s="53">
        <f t="shared" ca="1" si="585"/>
        <v>0</v>
      </c>
      <c r="AD295" s="53">
        <f t="shared" ca="1" si="585"/>
        <v>0</v>
      </c>
      <c r="AE295" s="53">
        <f t="shared" ca="1" si="585"/>
        <v>0</v>
      </c>
      <c r="AF295" s="53">
        <f t="shared" ca="1" si="585"/>
        <v>0</v>
      </c>
      <c r="AG295" s="53">
        <f t="shared" ca="1" si="585"/>
        <v>0</v>
      </c>
      <c r="AH295" s="53">
        <f t="shared" ca="1" si="585"/>
        <v>0</v>
      </c>
      <c r="AI295" s="53">
        <f t="shared" ca="1" si="585"/>
        <v>0</v>
      </c>
      <c r="AJ295" s="53">
        <f t="shared" ca="1" si="585"/>
        <v>0</v>
      </c>
      <c r="AK295" s="53">
        <f t="shared" ca="1" si="585"/>
        <v>0</v>
      </c>
      <c r="AL295" s="53">
        <f t="shared" ca="1" si="585"/>
        <v>0</v>
      </c>
      <c r="AM295" s="53">
        <f t="shared" ca="1" si="585"/>
        <v>0</v>
      </c>
      <c r="AN295" s="53">
        <f t="shared" ca="1" si="585"/>
        <v>0</v>
      </c>
      <c r="AO295" s="53">
        <f t="shared" ca="1" si="585"/>
        <v>0</v>
      </c>
      <c r="AP295" s="53">
        <f t="shared" ca="1" si="585"/>
        <v>0</v>
      </c>
      <c r="AQ295" s="53">
        <f t="shared" ca="1" si="585"/>
        <v>0</v>
      </c>
      <c r="AR295" s="53">
        <f t="shared" ref="AR295:BS295" ca="1" si="586">NOC_WI_perc*CA_op_trig</f>
        <v>0</v>
      </c>
      <c r="AS295" s="53">
        <f t="shared" ca="1" si="586"/>
        <v>0</v>
      </c>
      <c r="AT295" s="53">
        <f t="shared" ca="1" si="586"/>
        <v>0</v>
      </c>
      <c r="AU295" s="53">
        <f t="shared" ca="1" si="586"/>
        <v>0</v>
      </c>
      <c r="AV295" s="53">
        <f t="shared" ca="1" si="586"/>
        <v>0</v>
      </c>
      <c r="AW295" s="53">
        <f t="shared" ca="1" si="586"/>
        <v>0</v>
      </c>
      <c r="AX295" s="53">
        <f t="shared" ca="1" si="586"/>
        <v>0</v>
      </c>
      <c r="AY295" s="53">
        <f t="shared" ca="1" si="586"/>
        <v>0</v>
      </c>
      <c r="AZ295" s="53">
        <f t="shared" ca="1" si="586"/>
        <v>0</v>
      </c>
      <c r="BA295" s="53">
        <f t="shared" ca="1" si="586"/>
        <v>0</v>
      </c>
      <c r="BB295" s="53">
        <f t="shared" ca="1" si="586"/>
        <v>0</v>
      </c>
      <c r="BC295" s="53">
        <f t="shared" ca="1" si="586"/>
        <v>0</v>
      </c>
      <c r="BD295" s="53">
        <f t="shared" ca="1" si="586"/>
        <v>0</v>
      </c>
      <c r="BE295" s="53">
        <f t="shared" ca="1" si="586"/>
        <v>0</v>
      </c>
      <c r="BF295" s="53">
        <f t="shared" ca="1" si="586"/>
        <v>0</v>
      </c>
      <c r="BG295" s="53">
        <f t="shared" ca="1" si="586"/>
        <v>0</v>
      </c>
      <c r="BH295" s="53">
        <f t="shared" ca="1" si="586"/>
        <v>0</v>
      </c>
      <c r="BI295" s="53">
        <f t="shared" ca="1" si="586"/>
        <v>0</v>
      </c>
      <c r="BJ295" s="53">
        <f t="shared" ca="1" si="586"/>
        <v>0</v>
      </c>
      <c r="BK295" s="53">
        <f t="shared" ca="1" si="586"/>
        <v>0</v>
      </c>
      <c r="BL295" s="53">
        <f t="shared" ca="1" si="586"/>
        <v>0</v>
      </c>
      <c r="BM295" s="53">
        <f t="shared" ca="1" si="586"/>
        <v>0</v>
      </c>
      <c r="BN295" s="53">
        <f t="shared" ca="1" si="586"/>
        <v>0</v>
      </c>
      <c r="BO295" s="53">
        <f t="shared" ca="1" si="586"/>
        <v>0</v>
      </c>
      <c r="BP295" s="53">
        <f t="shared" ca="1" si="586"/>
        <v>0</v>
      </c>
      <c r="BQ295" s="53">
        <f t="shared" ca="1" si="586"/>
        <v>0</v>
      </c>
      <c r="BR295" s="53">
        <f t="shared" ca="1" si="586"/>
        <v>0</v>
      </c>
      <c r="BS295" s="53">
        <f t="shared" ca="1" si="586"/>
        <v>0</v>
      </c>
    </row>
    <row r="296" spans="3:71" outlineLevel="1" x14ac:dyDescent="0.2"/>
    <row r="297" spans="3:71" outlineLevel="1" x14ac:dyDescent="0.2">
      <c r="C297" s="11" t="s">
        <v>342</v>
      </c>
    </row>
    <row r="298" spans="3:71" outlineLevel="1" x14ac:dyDescent="0.2">
      <c r="D298" t="s">
        <v>116</v>
      </c>
      <c r="I298" s="30">
        <f t="shared" ref="I298:I300" ca="1" si="587">SUM($L298:$BS298)</f>
        <v>4873.3524407255563</v>
      </c>
      <c r="J298" s="26" t="s">
        <v>148</v>
      </c>
      <c r="L298" s="49">
        <f t="shared" ref="L298:AQ298" ca="1" si="588">CA_ent_rev_oil*CA_IOC_WI</f>
        <v>420.8310482097487</v>
      </c>
      <c r="M298" s="49">
        <f t="shared" ca="1" si="588"/>
        <v>419.58978331827637</v>
      </c>
      <c r="N298" s="49">
        <f t="shared" ca="1" si="588"/>
        <v>104.77331725299344</v>
      </c>
      <c r="O298" s="49">
        <f t="shared" ca="1" si="588"/>
        <v>97.601806775550017</v>
      </c>
      <c r="P298" s="49">
        <f t="shared" ca="1" si="588"/>
        <v>276.37512200602538</v>
      </c>
      <c r="Q298" s="49">
        <f t="shared" ca="1" si="588"/>
        <v>549.37096544147823</v>
      </c>
      <c r="R298" s="49">
        <f t="shared" ca="1" si="588"/>
        <v>524.39037381780599</v>
      </c>
      <c r="S298" s="49">
        <f t="shared" ca="1" si="588"/>
        <v>298.14445807400699</v>
      </c>
      <c r="T298" s="49">
        <f t="shared" ca="1" si="588"/>
        <v>464.51014203555843</v>
      </c>
      <c r="U298" s="49">
        <f t="shared" ca="1" si="588"/>
        <v>463.69729956591186</v>
      </c>
      <c r="V298" s="49">
        <f t="shared" ca="1" si="588"/>
        <v>439.86325836822391</v>
      </c>
      <c r="W298" s="49">
        <f t="shared" ca="1" si="588"/>
        <v>418.39744931792762</v>
      </c>
      <c r="X298" s="49">
        <f t="shared" ca="1" si="588"/>
        <v>395.807416542049</v>
      </c>
      <c r="Y298" s="49">
        <f t="shared" ca="1" si="588"/>
        <v>0</v>
      </c>
      <c r="Z298" s="49">
        <f t="shared" ca="1" si="588"/>
        <v>0</v>
      </c>
      <c r="AA298" s="49">
        <f t="shared" ca="1" si="588"/>
        <v>0</v>
      </c>
      <c r="AB298" s="49">
        <f t="shared" ca="1" si="588"/>
        <v>0</v>
      </c>
      <c r="AC298" s="49">
        <f t="shared" ca="1" si="588"/>
        <v>0</v>
      </c>
      <c r="AD298" s="49">
        <f t="shared" ca="1" si="588"/>
        <v>0</v>
      </c>
      <c r="AE298" s="49">
        <f t="shared" ca="1" si="588"/>
        <v>0</v>
      </c>
      <c r="AF298" s="49">
        <f t="shared" ca="1" si="588"/>
        <v>0</v>
      </c>
      <c r="AG298" s="49">
        <f t="shared" ca="1" si="588"/>
        <v>0</v>
      </c>
      <c r="AH298" s="49">
        <f t="shared" ca="1" si="588"/>
        <v>0</v>
      </c>
      <c r="AI298" s="49">
        <f t="shared" ca="1" si="588"/>
        <v>0</v>
      </c>
      <c r="AJ298" s="49">
        <f t="shared" ca="1" si="588"/>
        <v>0</v>
      </c>
      <c r="AK298" s="49">
        <f t="shared" ca="1" si="588"/>
        <v>0</v>
      </c>
      <c r="AL298" s="49">
        <f t="shared" ca="1" si="588"/>
        <v>0</v>
      </c>
      <c r="AM298" s="49">
        <f t="shared" ca="1" si="588"/>
        <v>0</v>
      </c>
      <c r="AN298" s="49">
        <f t="shared" ca="1" si="588"/>
        <v>0</v>
      </c>
      <c r="AO298" s="49">
        <f t="shared" ca="1" si="588"/>
        <v>0</v>
      </c>
      <c r="AP298" s="49">
        <f t="shared" ca="1" si="588"/>
        <v>0</v>
      </c>
      <c r="AQ298" s="49">
        <f t="shared" ca="1" si="588"/>
        <v>0</v>
      </c>
      <c r="AR298" s="49">
        <f t="shared" ref="AR298:BS298" ca="1" si="589">CA_ent_rev_oil*CA_IOC_WI</f>
        <v>0</v>
      </c>
      <c r="AS298" s="49">
        <f t="shared" ca="1" si="589"/>
        <v>0</v>
      </c>
      <c r="AT298" s="49">
        <f t="shared" ca="1" si="589"/>
        <v>0</v>
      </c>
      <c r="AU298" s="49">
        <f t="shared" ca="1" si="589"/>
        <v>0</v>
      </c>
      <c r="AV298" s="49">
        <f t="shared" ca="1" si="589"/>
        <v>0</v>
      </c>
      <c r="AW298" s="49">
        <f t="shared" ca="1" si="589"/>
        <v>0</v>
      </c>
      <c r="AX298" s="49">
        <f t="shared" ca="1" si="589"/>
        <v>0</v>
      </c>
      <c r="AY298" s="49">
        <f t="shared" ca="1" si="589"/>
        <v>0</v>
      </c>
      <c r="AZ298" s="49">
        <f t="shared" ca="1" si="589"/>
        <v>0</v>
      </c>
      <c r="BA298" s="49">
        <f t="shared" ca="1" si="589"/>
        <v>0</v>
      </c>
      <c r="BB298" s="49">
        <f t="shared" ca="1" si="589"/>
        <v>0</v>
      </c>
      <c r="BC298" s="49">
        <f t="shared" ca="1" si="589"/>
        <v>0</v>
      </c>
      <c r="BD298" s="49">
        <f t="shared" ca="1" si="589"/>
        <v>0</v>
      </c>
      <c r="BE298" s="49">
        <f t="shared" ca="1" si="589"/>
        <v>0</v>
      </c>
      <c r="BF298" s="49">
        <f t="shared" ca="1" si="589"/>
        <v>0</v>
      </c>
      <c r="BG298" s="49">
        <f t="shared" ca="1" si="589"/>
        <v>0</v>
      </c>
      <c r="BH298" s="49">
        <f t="shared" ca="1" si="589"/>
        <v>0</v>
      </c>
      <c r="BI298" s="49">
        <f t="shared" ca="1" si="589"/>
        <v>0</v>
      </c>
      <c r="BJ298" s="49">
        <f t="shared" ca="1" si="589"/>
        <v>0</v>
      </c>
      <c r="BK298" s="49">
        <f t="shared" ca="1" si="589"/>
        <v>0</v>
      </c>
      <c r="BL298" s="49">
        <f t="shared" ca="1" si="589"/>
        <v>0</v>
      </c>
      <c r="BM298" s="49">
        <f t="shared" ca="1" si="589"/>
        <v>0</v>
      </c>
      <c r="BN298" s="49">
        <f t="shared" ca="1" si="589"/>
        <v>0</v>
      </c>
      <c r="BO298" s="49">
        <f t="shared" ca="1" si="589"/>
        <v>0</v>
      </c>
      <c r="BP298" s="49">
        <f t="shared" ca="1" si="589"/>
        <v>0</v>
      </c>
      <c r="BQ298" s="49">
        <f t="shared" ca="1" si="589"/>
        <v>0</v>
      </c>
      <c r="BR298" s="49">
        <f t="shared" ca="1" si="589"/>
        <v>0</v>
      </c>
      <c r="BS298" s="49">
        <f t="shared" ca="1" si="589"/>
        <v>0</v>
      </c>
    </row>
    <row r="299" spans="3:71" outlineLevel="1" x14ac:dyDescent="0.2">
      <c r="D299" t="s">
        <v>339</v>
      </c>
      <c r="I299" s="30">
        <f t="shared" ca="1" si="587"/>
        <v>860.00337189274524</v>
      </c>
      <c r="J299" s="26" t="s">
        <v>148</v>
      </c>
      <c r="L299" s="49">
        <f t="shared" ref="L299:AQ299" ca="1" si="590">CA_ent_rev_oil*CA_NOC_WI</f>
        <v>74.264302625249769</v>
      </c>
      <c r="M299" s="49">
        <f t="shared" ca="1" si="590"/>
        <v>74.04525587969583</v>
      </c>
      <c r="N299" s="49">
        <f t="shared" ca="1" si="590"/>
        <v>18.489408926998841</v>
      </c>
      <c r="O299" s="49">
        <f t="shared" ca="1" si="590"/>
        <v>17.223848254508827</v>
      </c>
      <c r="P299" s="49">
        <f t="shared" ca="1" si="590"/>
        <v>48.77208035400448</v>
      </c>
      <c r="Q299" s="49">
        <f t="shared" ca="1" si="590"/>
        <v>96.947817430849099</v>
      </c>
      <c r="R299" s="49">
        <f t="shared" ca="1" si="590"/>
        <v>92.539477732554005</v>
      </c>
      <c r="S299" s="49">
        <f t="shared" ca="1" si="590"/>
        <v>52.613727895413</v>
      </c>
      <c r="T299" s="49">
        <f t="shared" ca="1" si="590"/>
        <v>81.972378006275022</v>
      </c>
      <c r="U299" s="49">
        <f t="shared" ca="1" si="590"/>
        <v>81.828935217513859</v>
      </c>
      <c r="V299" s="49">
        <f t="shared" ca="1" si="590"/>
        <v>77.622927947333636</v>
      </c>
      <c r="W299" s="49">
        <f t="shared" ca="1" si="590"/>
        <v>73.83484399728134</v>
      </c>
      <c r="X299" s="49">
        <f t="shared" ca="1" si="590"/>
        <v>69.848367625067468</v>
      </c>
      <c r="Y299" s="49">
        <f t="shared" ca="1" si="590"/>
        <v>0</v>
      </c>
      <c r="Z299" s="49">
        <f t="shared" ca="1" si="590"/>
        <v>0</v>
      </c>
      <c r="AA299" s="49">
        <f t="shared" ca="1" si="590"/>
        <v>0</v>
      </c>
      <c r="AB299" s="49">
        <f t="shared" ca="1" si="590"/>
        <v>0</v>
      </c>
      <c r="AC299" s="49">
        <f t="shared" ca="1" si="590"/>
        <v>0</v>
      </c>
      <c r="AD299" s="49">
        <f t="shared" ca="1" si="590"/>
        <v>0</v>
      </c>
      <c r="AE299" s="49">
        <f t="shared" ca="1" si="590"/>
        <v>0</v>
      </c>
      <c r="AF299" s="49">
        <f t="shared" ca="1" si="590"/>
        <v>0</v>
      </c>
      <c r="AG299" s="49">
        <f t="shared" ca="1" si="590"/>
        <v>0</v>
      </c>
      <c r="AH299" s="49">
        <f t="shared" ca="1" si="590"/>
        <v>0</v>
      </c>
      <c r="AI299" s="49">
        <f t="shared" ca="1" si="590"/>
        <v>0</v>
      </c>
      <c r="AJ299" s="49">
        <f t="shared" ca="1" si="590"/>
        <v>0</v>
      </c>
      <c r="AK299" s="49">
        <f t="shared" ca="1" si="590"/>
        <v>0</v>
      </c>
      <c r="AL299" s="49">
        <f t="shared" ca="1" si="590"/>
        <v>0</v>
      </c>
      <c r="AM299" s="49">
        <f t="shared" ca="1" si="590"/>
        <v>0</v>
      </c>
      <c r="AN299" s="49">
        <f t="shared" ca="1" si="590"/>
        <v>0</v>
      </c>
      <c r="AO299" s="49">
        <f t="shared" ca="1" si="590"/>
        <v>0</v>
      </c>
      <c r="AP299" s="49">
        <f t="shared" ca="1" si="590"/>
        <v>0</v>
      </c>
      <c r="AQ299" s="49">
        <f t="shared" ca="1" si="590"/>
        <v>0</v>
      </c>
      <c r="AR299" s="49">
        <f t="shared" ref="AR299:BS299" ca="1" si="591">CA_ent_rev_oil*CA_NOC_WI</f>
        <v>0</v>
      </c>
      <c r="AS299" s="49">
        <f t="shared" ca="1" si="591"/>
        <v>0</v>
      </c>
      <c r="AT299" s="49">
        <f t="shared" ca="1" si="591"/>
        <v>0</v>
      </c>
      <c r="AU299" s="49">
        <f t="shared" ca="1" si="591"/>
        <v>0</v>
      </c>
      <c r="AV299" s="49">
        <f t="shared" ca="1" si="591"/>
        <v>0</v>
      </c>
      <c r="AW299" s="49">
        <f t="shared" ca="1" si="591"/>
        <v>0</v>
      </c>
      <c r="AX299" s="49">
        <f t="shared" ca="1" si="591"/>
        <v>0</v>
      </c>
      <c r="AY299" s="49">
        <f t="shared" ca="1" si="591"/>
        <v>0</v>
      </c>
      <c r="AZ299" s="49">
        <f t="shared" ca="1" si="591"/>
        <v>0</v>
      </c>
      <c r="BA299" s="49">
        <f t="shared" ca="1" si="591"/>
        <v>0</v>
      </c>
      <c r="BB299" s="49">
        <f t="shared" ca="1" si="591"/>
        <v>0</v>
      </c>
      <c r="BC299" s="49">
        <f t="shared" ca="1" si="591"/>
        <v>0</v>
      </c>
      <c r="BD299" s="49">
        <f t="shared" ca="1" si="591"/>
        <v>0</v>
      </c>
      <c r="BE299" s="49">
        <f t="shared" ca="1" si="591"/>
        <v>0</v>
      </c>
      <c r="BF299" s="49">
        <f t="shared" ca="1" si="591"/>
        <v>0</v>
      </c>
      <c r="BG299" s="49">
        <f t="shared" ca="1" si="591"/>
        <v>0</v>
      </c>
      <c r="BH299" s="49">
        <f t="shared" ca="1" si="591"/>
        <v>0</v>
      </c>
      <c r="BI299" s="49">
        <f t="shared" ca="1" si="591"/>
        <v>0</v>
      </c>
      <c r="BJ299" s="49">
        <f t="shared" ca="1" si="591"/>
        <v>0</v>
      </c>
      <c r="BK299" s="49">
        <f t="shared" ca="1" si="591"/>
        <v>0</v>
      </c>
      <c r="BL299" s="49">
        <f t="shared" ca="1" si="591"/>
        <v>0</v>
      </c>
      <c r="BM299" s="49">
        <f t="shared" ca="1" si="591"/>
        <v>0</v>
      </c>
      <c r="BN299" s="49">
        <f t="shared" ca="1" si="591"/>
        <v>0</v>
      </c>
      <c r="BO299" s="49">
        <f t="shared" ca="1" si="591"/>
        <v>0</v>
      </c>
      <c r="BP299" s="49">
        <f t="shared" ca="1" si="591"/>
        <v>0</v>
      </c>
      <c r="BQ299" s="49">
        <f t="shared" ca="1" si="591"/>
        <v>0</v>
      </c>
      <c r="BR299" s="49">
        <f t="shared" ca="1" si="591"/>
        <v>0</v>
      </c>
      <c r="BS299" s="49">
        <f t="shared" ca="1" si="591"/>
        <v>0</v>
      </c>
    </row>
    <row r="300" spans="3:71" outlineLevel="1" x14ac:dyDescent="0.2">
      <c r="D300" s="11" t="s">
        <v>129</v>
      </c>
      <c r="I300" s="30">
        <f t="shared" ca="1" si="587"/>
        <v>5733.3558126183016</v>
      </c>
      <c r="J300" s="26" t="s">
        <v>148</v>
      </c>
      <c r="L300" s="49">
        <f ca="1">SUM(L298:L299)</f>
        <v>495.0953508349985</v>
      </c>
      <c r="M300" s="49">
        <f t="shared" ref="M300:BS300" ca="1" si="592">SUM(M298:M299)</f>
        <v>493.63503919797222</v>
      </c>
      <c r="N300" s="49">
        <f t="shared" ca="1" si="592"/>
        <v>123.26272617999228</v>
      </c>
      <c r="O300" s="49">
        <f t="shared" ca="1" si="592"/>
        <v>114.82565503005884</v>
      </c>
      <c r="P300" s="49">
        <f t="shared" ca="1" si="592"/>
        <v>325.14720236002984</v>
      </c>
      <c r="Q300" s="49">
        <f t="shared" ca="1" si="592"/>
        <v>646.31878287232735</v>
      </c>
      <c r="R300" s="49">
        <f t="shared" ca="1" si="592"/>
        <v>616.92985155036001</v>
      </c>
      <c r="S300" s="49">
        <f t="shared" ca="1" si="592"/>
        <v>350.75818596941997</v>
      </c>
      <c r="T300" s="49">
        <f t="shared" ca="1" si="592"/>
        <v>546.48252004183348</v>
      </c>
      <c r="U300" s="49">
        <f t="shared" ca="1" si="592"/>
        <v>545.52623478342571</v>
      </c>
      <c r="V300" s="49">
        <f t="shared" ca="1" si="592"/>
        <v>517.48618631555757</v>
      </c>
      <c r="W300" s="49">
        <f t="shared" ca="1" si="592"/>
        <v>492.23229331520895</v>
      </c>
      <c r="X300" s="49">
        <f t="shared" ca="1" si="592"/>
        <v>465.65578416711645</v>
      </c>
      <c r="Y300" s="49">
        <f t="shared" ca="1" si="592"/>
        <v>0</v>
      </c>
      <c r="Z300" s="49">
        <f t="shared" ca="1" si="592"/>
        <v>0</v>
      </c>
      <c r="AA300" s="49">
        <f t="shared" ca="1" si="592"/>
        <v>0</v>
      </c>
      <c r="AB300" s="49">
        <f t="shared" ca="1" si="592"/>
        <v>0</v>
      </c>
      <c r="AC300" s="49">
        <f t="shared" ca="1" si="592"/>
        <v>0</v>
      </c>
      <c r="AD300" s="49">
        <f t="shared" ca="1" si="592"/>
        <v>0</v>
      </c>
      <c r="AE300" s="49">
        <f t="shared" ca="1" si="592"/>
        <v>0</v>
      </c>
      <c r="AF300" s="49">
        <f t="shared" ca="1" si="592"/>
        <v>0</v>
      </c>
      <c r="AG300" s="49">
        <f t="shared" ca="1" si="592"/>
        <v>0</v>
      </c>
      <c r="AH300" s="49">
        <f t="shared" ca="1" si="592"/>
        <v>0</v>
      </c>
      <c r="AI300" s="49">
        <f t="shared" ca="1" si="592"/>
        <v>0</v>
      </c>
      <c r="AJ300" s="49">
        <f t="shared" ca="1" si="592"/>
        <v>0</v>
      </c>
      <c r="AK300" s="49">
        <f t="shared" ca="1" si="592"/>
        <v>0</v>
      </c>
      <c r="AL300" s="49">
        <f t="shared" ca="1" si="592"/>
        <v>0</v>
      </c>
      <c r="AM300" s="49">
        <f t="shared" ca="1" si="592"/>
        <v>0</v>
      </c>
      <c r="AN300" s="49">
        <f t="shared" ca="1" si="592"/>
        <v>0</v>
      </c>
      <c r="AO300" s="49">
        <f t="shared" ca="1" si="592"/>
        <v>0</v>
      </c>
      <c r="AP300" s="49">
        <f t="shared" ca="1" si="592"/>
        <v>0</v>
      </c>
      <c r="AQ300" s="49">
        <f t="shared" ca="1" si="592"/>
        <v>0</v>
      </c>
      <c r="AR300" s="49">
        <f t="shared" ca="1" si="592"/>
        <v>0</v>
      </c>
      <c r="AS300" s="49">
        <f t="shared" ca="1" si="592"/>
        <v>0</v>
      </c>
      <c r="AT300" s="49">
        <f t="shared" ca="1" si="592"/>
        <v>0</v>
      </c>
      <c r="AU300" s="49">
        <f t="shared" ca="1" si="592"/>
        <v>0</v>
      </c>
      <c r="AV300" s="49">
        <f t="shared" ca="1" si="592"/>
        <v>0</v>
      </c>
      <c r="AW300" s="49">
        <f t="shared" ca="1" si="592"/>
        <v>0</v>
      </c>
      <c r="AX300" s="49">
        <f t="shared" ca="1" si="592"/>
        <v>0</v>
      </c>
      <c r="AY300" s="49">
        <f t="shared" ca="1" si="592"/>
        <v>0</v>
      </c>
      <c r="AZ300" s="49">
        <f t="shared" ca="1" si="592"/>
        <v>0</v>
      </c>
      <c r="BA300" s="49">
        <f t="shared" ca="1" si="592"/>
        <v>0</v>
      </c>
      <c r="BB300" s="49">
        <f t="shared" ca="1" si="592"/>
        <v>0</v>
      </c>
      <c r="BC300" s="49">
        <f t="shared" ca="1" si="592"/>
        <v>0</v>
      </c>
      <c r="BD300" s="49">
        <f t="shared" ca="1" si="592"/>
        <v>0</v>
      </c>
      <c r="BE300" s="49">
        <f t="shared" ca="1" si="592"/>
        <v>0</v>
      </c>
      <c r="BF300" s="49">
        <f t="shared" ca="1" si="592"/>
        <v>0</v>
      </c>
      <c r="BG300" s="49">
        <f t="shared" ca="1" si="592"/>
        <v>0</v>
      </c>
      <c r="BH300" s="49">
        <f t="shared" ca="1" si="592"/>
        <v>0</v>
      </c>
      <c r="BI300" s="49">
        <f t="shared" ca="1" si="592"/>
        <v>0</v>
      </c>
      <c r="BJ300" s="49">
        <f t="shared" ca="1" si="592"/>
        <v>0</v>
      </c>
      <c r="BK300" s="49">
        <f t="shared" ca="1" si="592"/>
        <v>0</v>
      </c>
      <c r="BL300" s="49">
        <f t="shared" ca="1" si="592"/>
        <v>0</v>
      </c>
      <c r="BM300" s="49">
        <f t="shared" ca="1" si="592"/>
        <v>0</v>
      </c>
      <c r="BN300" s="49">
        <f t="shared" ca="1" si="592"/>
        <v>0</v>
      </c>
      <c r="BO300" s="49">
        <f t="shared" ca="1" si="592"/>
        <v>0</v>
      </c>
      <c r="BP300" s="49">
        <f t="shared" ca="1" si="592"/>
        <v>0</v>
      </c>
      <c r="BQ300" s="49">
        <f t="shared" ca="1" si="592"/>
        <v>0</v>
      </c>
      <c r="BR300" s="49">
        <f t="shared" ca="1" si="592"/>
        <v>0</v>
      </c>
      <c r="BS300" s="49">
        <f t="shared" ca="1" si="592"/>
        <v>0</v>
      </c>
    </row>
    <row r="301" spans="3:71" outlineLevel="1" x14ac:dyDescent="0.2"/>
    <row r="302" spans="3:71" outlineLevel="1" x14ac:dyDescent="0.2">
      <c r="C302" s="11" t="s">
        <v>343</v>
      </c>
    </row>
    <row r="303" spans="3:71" outlineLevel="1" x14ac:dyDescent="0.2">
      <c r="D303" t="s">
        <v>116</v>
      </c>
      <c r="I303" s="30">
        <f t="shared" ref="I303:I305" ca="1" si="593">SUM($L303:$BS303)</f>
        <v>0</v>
      </c>
      <c r="J303" s="26" t="s">
        <v>148</v>
      </c>
      <c r="L303" s="49">
        <f t="shared" ref="L303:AQ303" ca="1" si="594">CA_ent_rev_gas*CA_IOC_WI</f>
        <v>0</v>
      </c>
      <c r="M303" s="49">
        <f t="shared" ca="1" si="594"/>
        <v>0</v>
      </c>
      <c r="N303" s="49">
        <f t="shared" ca="1" si="594"/>
        <v>0</v>
      </c>
      <c r="O303" s="49">
        <f t="shared" ca="1" si="594"/>
        <v>0</v>
      </c>
      <c r="P303" s="49">
        <f t="shared" ca="1" si="594"/>
        <v>0</v>
      </c>
      <c r="Q303" s="49">
        <f t="shared" ca="1" si="594"/>
        <v>0</v>
      </c>
      <c r="R303" s="49">
        <f t="shared" ca="1" si="594"/>
        <v>0</v>
      </c>
      <c r="S303" s="49">
        <f t="shared" ca="1" si="594"/>
        <v>0</v>
      </c>
      <c r="T303" s="49">
        <f t="shared" ca="1" si="594"/>
        <v>0</v>
      </c>
      <c r="U303" s="49">
        <f t="shared" ca="1" si="594"/>
        <v>0</v>
      </c>
      <c r="V303" s="49">
        <f t="shared" ca="1" si="594"/>
        <v>0</v>
      </c>
      <c r="W303" s="49">
        <f t="shared" ca="1" si="594"/>
        <v>0</v>
      </c>
      <c r="X303" s="49">
        <f t="shared" ca="1" si="594"/>
        <v>0</v>
      </c>
      <c r="Y303" s="49">
        <f t="shared" ca="1" si="594"/>
        <v>0</v>
      </c>
      <c r="Z303" s="49">
        <f t="shared" ca="1" si="594"/>
        <v>0</v>
      </c>
      <c r="AA303" s="49">
        <f t="shared" ca="1" si="594"/>
        <v>0</v>
      </c>
      <c r="AB303" s="49">
        <f t="shared" ca="1" si="594"/>
        <v>0</v>
      </c>
      <c r="AC303" s="49">
        <f t="shared" ca="1" si="594"/>
        <v>0</v>
      </c>
      <c r="AD303" s="49">
        <f t="shared" ca="1" si="594"/>
        <v>0</v>
      </c>
      <c r="AE303" s="49">
        <f t="shared" ca="1" si="594"/>
        <v>0</v>
      </c>
      <c r="AF303" s="49">
        <f t="shared" ca="1" si="594"/>
        <v>0</v>
      </c>
      <c r="AG303" s="49">
        <f t="shared" ca="1" si="594"/>
        <v>0</v>
      </c>
      <c r="AH303" s="49">
        <f t="shared" ca="1" si="594"/>
        <v>0</v>
      </c>
      <c r="AI303" s="49">
        <f t="shared" ca="1" si="594"/>
        <v>0</v>
      </c>
      <c r="AJ303" s="49">
        <f t="shared" ca="1" si="594"/>
        <v>0</v>
      </c>
      <c r="AK303" s="49">
        <f t="shared" ca="1" si="594"/>
        <v>0</v>
      </c>
      <c r="AL303" s="49">
        <f t="shared" ca="1" si="594"/>
        <v>0</v>
      </c>
      <c r="AM303" s="49">
        <f t="shared" ca="1" si="594"/>
        <v>0</v>
      </c>
      <c r="AN303" s="49">
        <f t="shared" ca="1" si="594"/>
        <v>0</v>
      </c>
      <c r="AO303" s="49">
        <f t="shared" ca="1" si="594"/>
        <v>0</v>
      </c>
      <c r="AP303" s="49">
        <f t="shared" ca="1" si="594"/>
        <v>0</v>
      </c>
      <c r="AQ303" s="49">
        <f t="shared" ca="1" si="594"/>
        <v>0</v>
      </c>
      <c r="AR303" s="49">
        <f t="shared" ref="AR303:BS303" ca="1" si="595">CA_ent_rev_gas*CA_IOC_WI</f>
        <v>0</v>
      </c>
      <c r="AS303" s="49">
        <f t="shared" ca="1" si="595"/>
        <v>0</v>
      </c>
      <c r="AT303" s="49">
        <f t="shared" ca="1" si="595"/>
        <v>0</v>
      </c>
      <c r="AU303" s="49">
        <f t="shared" ca="1" si="595"/>
        <v>0</v>
      </c>
      <c r="AV303" s="49">
        <f t="shared" ca="1" si="595"/>
        <v>0</v>
      </c>
      <c r="AW303" s="49">
        <f t="shared" ca="1" si="595"/>
        <v>0</v>
      </c>
      <c r="AX303" s="49">
        <f t="shared" ca="1" si="595"/>
        <v>0</v>
      </c>
      <c r="AY303" s="49">
        <f t="shared" ca="1" si="595"/>
        <v>0</v>
      </c>
      <c r="AZ303" s="49">
        <f t="shared" ca="1" si="595"/>
        <v>0</v>
      </c>
      <c r="BA303" s="49">
        <f t="shared" ca="1" si="595"/>
        <v>0</v>
      </c>
      <c r="BB303" s="49">
        <f t="shared" ca="1" si="595"/>
        <v>0</v>
      </c>
      <c r="BC303" s="49">
        <f t="shared" ca="1" si="595"/>
        <v>0</v>
      </c>
      <c r="BD303" s="49">
        <f t="shared" ca="1" si="595"/>
        <v>0</v>
      </c>
      <c r="BE303" s="49">
        <f t="shared" ca="1" si="595"/>
        <v>0</v>
      </c>
      <c r="BF303" s="49">
        <f t="shared" ca="1" si="595"/>
        <v>0</v>
      </c>
      <c r="BG303" s="49">
        <f t="shared" ca="1" si="595"/>
        <v>0</v>
      </c>
      <c r="BH303" s="49">
        <f t="shared" ca="1" si="595"/>
        <v>0</v>
      </c>
      <c r="BI303" s="49">
        <f t="shared" ca="1" si="595"/>
        <v>0</v>
      </c>
      <c r="BJ303" s="49">
        <f t="shared" ca="1" si="595"/>
        <v>0</v>
      </c>
      <c r="BK303" s="49">
        <f t="shared" ca="1" si="595"/>
        <v>0</v>
      </c>
      <c r="BL303" s="49">
        <f t="shared" ca="1" si="595"/>
        <v>0</v>
      </c>
      <c r="BM303" s="49">
        <f t="shared" ca="1" si="595"/>
        <v>0</v>
      </c>
      <c r="BN303" s="49">
        <f t="shared" ca="1" si="595"/>
        <v>0</v>
      </c>
      <c r="BO303" s="49">
        <f t="shared" ca="1" si="595"/>
        <v>0</v>
      </c>
      <c r="BP303" s="49">
        <f t="shared" ca="1" si="595"/>
        <v>0</v>
      </c>
      <c r="BQ303" s="49">
        <f t="shared" ca="1" si="595"/>
        <v>0</v>
      </c>
      <c r="BR303" s="49">
        <f t="shared" ca="1" si="595"/>
        <v>0</v>
      </c>
      <c r="BS303" s="49">
        <f t="shared" ca="1" si="595"/>
        <v>0</v>
      </c>
    </row>
    <row r="304" spans="3:71" outlineLevel="1" x14ac:dyDescent="0.2">
      <c r="D304" t="s">
        <v>339</v>
      </c>
      <c r="I304" s="30">
        <f t="shared" ca="1" si="593"/>
        <v>0</v>
      </c>
      <c r="J304" s="26" t="s">
        <v>148</v>
      </c>
      <c r="L304" s="49">
        <f t="shared" ref="L304:AQ304" ca="1" si="596">CA_ent_rev_gas*CA_NOC_WI</f>
        <v>0</v>
      </c>
      <c r="M304" s="49">
        <f t="shared" ca="1" si="596"/>
        <v>0</v>
      </c>
      <c r="N304" s="49">
        <f t="shared" ca="1" si="596"/>
        <v>0</v>
      </c>
      <c r="O304" s="49">
        <f t="shared" ca="1" si="596"/>
        <v>0</v>
      </c>
      <c r="P304" s="49">
        <f t="shared" ca="1" si="596"/>
        <v>0</v>
      </c>
      <c r="Q304" s="49">
        <f t="shared" ca="1" si="596"/>
        <v>0</v>
      </c>
      <c r="R304" s="49">
        <f t="shared" ca="1" si="596"/>
        <v>0</v>
      </c>
      <c r="S304" s="49">
        <f t="shared" ca="1" si="596"/>
        <v>0</v>
      </c>
      <c r="T304" s="49">
        <f t="shared" ca="1" si="596"/>
        <v>0</v>
      </c>
      <c r="U304" s="49">
        <f t="shared" ca="1" si="596"/>
        <v>0</v>
      </c>
      <c r="V304" s="49">
        <f t="shared" ca="1" si="596"/>
        <v>0</v>
      </c>
      <c r="W304" s="49">
        <f t="shared" ca="1" si="596"/>
        <v>0</v>
      </c>
      <c r="X304" s="49">
        <f t="shared" ca="1" si="596"/>
        <v>0</v>
      </c>
      <c r="Y304" s="49">
        <f t="shared" ca="1" si="596"/>
        <v>0</v>
      </c>
      <c r="Z304" s="49">
        <f t="shared" ca="1" si="596"/>
        <v>0</v>
      </c>
      <c r="AA304" s="49">
        <f t="shared" ca="1" si="596"/>
        <v>0</v>
      </c>
      <c r="AB304" s="49">
        <f t="shared" ca="1" si="596"/>
        <v>0</v>
      </c>
      <c r="AC304" s="49">
        <f t="shared" ca="1" si="596"/>
        <v>0</v>
      </c>
      <c r="AD304" s="49">
        <f t="shared" ca="1" si="596"/>
        <v>0</v>
      </c>
      <c r="AE304" s="49">
        <f t="shared" ca="1" si="596"/>
        <v>0</v>
      </c>
      <c r="AF304" s="49">
        <f t="shared" ca="1" si="596"/>
        <v>0</v>
      </c>
      <c r="AG304" s="49">
        <f t="shared" ca="1" si="596"/>
        <v>0</v>
      </c>
      <c r="AH304" s="49">
        <f t="shared" ca="1" si="596"/>
        <v>0</v>
      </c>
      <c r="AI304" s="49">
        <f t="shared" ca="1" si="596"/>
        <v>0</v>
      </c>
      <c r="AJ304" s="49">
        <f t="shared" ca="1" si="596"/>
        <v>0</v>
      </c>
      <c r="AK304" s="49">
        <f t="shared" ca="1" si="596"/>
        <v>0</v>
      </c>
      <c r="AL304" s="49">
        <f t="shared" ca="1" si="596"/>
        <v>0</v>
      </c>
      <c r="AM304" s="49">
        <f t="shared" ca="1" si="596"/>
        <v>0</v>
      </c>
      <c r="AN304" s="49">
        <f t="shared" ca="1" si="596"/>
        <v>0</v>
      </c>
      <c r="AO304" s="49">
        <f t="shared" ca="1" si="596"/>
        <v>0</v>
      </c>
      <c r="AP304" s="49">
        <f t="shared" ca="1" si="596"/>
        <v>0</v>
      </c>
      <c r="AQ304" s="49">
        <f t="shared" ca="1" si="596"/>
        <v>0</v>
      </c>
      <c r="AR304" s="49">
        <f t="shared" ref="AR304:BS304" ca="1" si="597">CA_ent_rev_gas*CA_NOC_WI</f>
        <v>0</v>
      </c>
      <c r="AS304" s="49">
        <f t="shared" ca="1" si="597"/>
        <v>0</v>
      </c>
      <c r="AT304" s="49">
        <f t="shared" ca="1" si="597"/>
        <v>0</v>
      </c>
      <c r="AU304" s="49">
        <f t="shared" ca="1" si="597"/>
        <v>0</v>
      </c>
      <c r="AV304" s="49">
        <f t="shared" ca="1" si="597"/>
        <v>0</v>
      </c>
      <c r="AW304" s="49">
        <f t="shared" ca="1" si="597"/>
        <v>0</v>
      </c>
      <c r="AX304" s="49">
        <f t="shared" ca="1" si="597"/>
        <v>0</v>
      </c>
      <c r="AY304" s="49">
        <f t="shared" ca="1" si="597"/>
        <v>0</v>
      </c>
      <c r="AZ304" s="49">
        <f t="shared" ca="1" si="597"/>
        <v>0</v>
      </c>
      <c r="BA304" s="49">
        <f t="shared" ca="1" si="597"/>
        <v>0</v>
      </c>
      <c r="BB304" s="49">
        <f t="shared" ca="1" si="597"/>
        <v>0</v>
      </c>
      <c r="BC304" s="49">
        <f t="shared" ca="1" si="597"/>
        <v>0</v>
      </c>
      <c r="BD304" s="49">
        <f t="shared" ca="1" si="597"/>
        <v>0</v>
      </c>
      <c r="BE304" s="49">
        <f t="shared" ca="1" si="597"/>
        <v>0</v>
      </c>
      <c r="BF304" s="49">
        <f t="shared" ca="1" si="597"/>
        <v>0</v>
      </c>
      <c r="BG304" s="49">
        <f t="shared" ca="1" si="597"/>
        <v>0</v>
      </c>
      <c r="BH304" s="49">
        <f t="shared" ca="1" si="597"/>
        <v>0</v>
      </c>
      <c r="BI304" s="49">
        <f t="shared" ca="1" si="597"/>
        <v>0</v>
      </c>
      <c r="BJ304" s="49">
        <f t="shared" ca="1" si="597"/>
        <v>0</v>
      </c>
      <c r="BK304" s="49">
        <f t="shared" ca="1" si="597"/>
        <v>0</v>
      </c>
      <c r="BL304" s="49">
        <f t="shared" ca="1" si="597"/>
        <v>0</v>
      </c>
      <c r="BM304" s="49">
        <f t="shared" ca="1" si="597"/>
        <v>0</v>
      </c>
      <c r="BN304" s="49">
        <f t="shared" ca="1" si="597"/>
        <v>0</v>
      </c>
      <c r="BO304" s="49">
        <f t="shared" ca="1" si="597"/>
        <v>0</v>
      </c>
      <c r="BP304" s="49">
        <f t="shared" ca="1" si="597"/>
        <v>0</v>
      </c>
      <c r="BQ304" s="49">
        <f t="shared" ca="1" si="597"/>
        <v>0</v>
      </c>
      <c r="BR304" s="49">
        <f t="shared" ca="1" si="597"/>
        <v>0</v>
      </c>
      <c r="BS304" s="49">
        <f t="shared" ca="1" si="597"/>
        <v>0</v>
      </c>
    </row>
    <row r="305" spans="3:71" outlineLevel="1" x14ac:dyDescent="0.2">
      <c r="D305" s="11" t="s">
        <v>129</v>
      </c>
      <c r="I305" s="30">
        <f t="shared" ca="1" si="593"/>
        <v>0</v>
      </c>
      <c r="J305" s="26" t="s">
        <v>148</v>
      </c>
      <c r="L305" s="49">
        <f ca="1">SUM(L303:L304)</f>
        <v>0</v>
      </c>
      <c r="M305" s="49">
        <f t="shared" ref="M305" ca="1" si="598">SUM(M303:M304)</f>
        <v>0</v>
      </c>
      <c r="N305" s="49">
        <f t="shared" ref="N305" ca="1" si="599">SUM(N303:N304)</f>
        <v>0</v>
      </c>
      <c r="O305" s="49">
        <f t="shared" ref="O305" ca="1" si="600">SUM(O303:O304)</f>
        <v>0</v>
      </c>
      <c r="P305" s="49">
        <f t="shared" ref="P305" ca="1" si="601">SUM(P303:P304)</f>
        <v>0</v>
      </c>
      <c r="Q305" s="49">
        <f t="shared" ref="Q305" ca="1" si="602">SUM(Q303:Q304)</f>
        <v>0</v>
      </c>
      <c r="R305" s="49">
        <f t="shared" ref="R305" ca="1" si="603">SUM(R303:R304)</f>
        <v>0</v>
      </c>
      <c r="S305" s="49">
        <f t="shared" ref="S305" ca="1" si="604">SUM(S303:S304)</f>
        <v>0</v>
      </c>
      <c r="T305" s="49">
        <f t="shared" ref="T305" ca="1" si="605">SUM(T303:T304)</f>
        <v>0</v>
      </c>
      <c r="U305" s="49">
        <f t="shared" ref="U305" ca="1" si="606">SUM(U303:U304)</f>
        <v>0</v>
      </c>
      <c r="V305" s="49">
        <f t="shared" ref="V305" ca="1" si="607">SUM(V303:V304)</f>
        <v>0</v>
      </c>
      <c r="W305" s="49">
        <f t="shared" ref="W305" ca="1" si="608">SUM(W303:W304)</f>
        <v>0</v>
      </c>
      <c r="X305" s="49">
        <f t="shared" ref="X305" ca="1" si="609">SUM(X303:X304)</f>
        <v>0</v>
      </c>
      <c r="Y305" s="49">
        <f t="shared" ref="Y305" ca="1" si="610">SUM(Y303:Y304)</f>
        <v>0</v>
      </c>
      <c r="Z305" s="49">
        <f t="shared" ref="Z305" ca="1" si="611">SUM(Z303:Z304)</f>
        <v>0</v>
      </c>
      <c r="AA305" s="49">
        <f t="shared" ref="AA305" ca="1" si="612">SUM(AA303:AA304)</f>
        <v>0</v>
      </c>
      <c r="AB305" s="49">
        <f t="shared" ref="AB305" ca="1" si="613">SUM(AB303:AB304)</f>
        <v>0</v>
      </c>
      <c r="AC305" s="49">
        <f t="shared" ref="AC305" ca="1" si="614">SUM(AC303:AC304)</f>
        <v>0</v>
      </c>
      <c r="AD305" s="49">
        <f t="shared" ref="AD305" ca="1" si="615">SUM(AD303:AD304)</f>
        <v>0</v>
      </c>
      <c r="AE305" s="49">
        <f t="shared" ref="AE305" ca="1" si="616">SUM(AE303:AE304)</f>
        <v>0</v>
      </c>
      <c r="AF305" s="49">
        <f t="shared" ref="AF305" ca="1" si="617">SUM(AF303:AF304)</f>
        <v>0</v>
      </c>
      <c r="AG305" s="49">
        <f t="shared" ref="AG305" ca="1" si="618">SUM(AG303:AG304)</f>
        <v>0</v>
      </c>
      <c r="AH305" s="49">
        <f t="shared" ref="AH305" ca="1" si="619">SUM(AH303:AH304)</f>
        <v>0</v>
      </c>
      <c r="AI305" s="49">
        <f t="shared" ref="AI305" ca="1" si="620">SUM(AI303:AI304)</f>
        <v>0</v>
      </c>
      <c r="AJ305" s="49">
        <f t="shared" ref="AJ305" ca="1" si="621">SUM(AJ303:AJ304)</f>
        <v>0</v>
      </c>
      <c r="AK305" s="49">
        <f t="shared" ref="AK305" ca="1" si="622">SUM(AK303:AK304)</f>
        <v>0</v>
      </c>
      <c r="AL305" s="49">
        <f t="shared" ref="AL305" ca="1" si="623">SUM(AL303:AL304)</f>
        <v>0</v>
      </c>
      <c r="AM305" s="49">
        <f t="shared" ref="AM305" ca="1" si="624">SUM(AM303:AM304)</f>
        <v>0</v>
      </c>
      <c r="AN305" s="49">
        <f t="shared" ref="AN305" ca="1" si="625">SUM(AN303:AN304)</f>
        <v>0</v>
      </c>
      <c r="AO305" s="49">
        <f t="shared" ref="AO305" ca="1" si="626">SUM(AO303:AO304)</f>
        <v>0</v>
      </c>
      <c r="AP305" s="49">
        <f t="shared" ref="AP305" ca="1" si="627">SUM(AP303:AP304)</f>
        <v>0</v>
      </c>
      <c r="AQ305" s="49">
        <f t="shared" ref="AQ305" ca="1" si="628">SUM(AQ303:AQ304)</f>
        <v>0</v>
      </c>
      <c r="AR305" s="49">
        <f t="shared" ref="AR305" ca="1" si="629">SUM(AR303:AR304)</f>
        <v>0</v>
      </c>
      <c r="AS305" s="49">
        <f t="shared" ref="AS305" ca="1" si="630">SUM(AS303:AS304)</f>
        <v>0</v>
      </c>
      <c r="AT305" s="49">
        <f t="shared" ref="AT305" ca="1" si="631">SUM(AT303:AT304)</f>
        <v>0</v>
      </c>
      <c r="AU305" s="49">
        <f t="shared" ref="AU305" ca="1" si="632">SUM(AU303:AU304)</f>
        <v>0</v>
      </c>
      <c r="AV305" s="49">
        <f t="shared" ref="AV305" ca="1" si="633">SUM(AV303:AV304)</f>
        <v>0</v>
      </c>
      <c r="AW305" s="49">
        <f t="shared" ref="AW305" ca="1" si="634">SUM(AW303:AW304)</f>
        <v>0</v>
      </c>
      <c r="AX305" s="49">
        <f t="shared" ref="AX305" ca="1" si="635">SUM(AX303:AX304)</f>
        <v>0</v>
      </c>
      <c r="AY305" s="49">
        <f t="shared" ref="AY305" ca="1" si="636">SUM(AY303:AY304)</f>
        <v>0</v>
      </c>
      <c r="AZ305" s="49">
        <f t="shared" ref="AZ305" ca="1" si="637">SUM(AZ303:AZ304)</f>
        <v>0</v>
      </c>
      <c r="BA305" s="49">
        <f t="shared" ref="BA305" ca="1" si="638">SUM(BA303:BA304)</f>
        <v>0</v>
      </c>
      <c r="BB305" s="49">
        <f t="shared" ref="BB305" ca="1" si="639">SUM(BB303:BB304)</f>
        <v>0</v>
      </c>
      <c r="BC305" s="49">
        <f t="shared" ref="BC305" ca="1" si="640">SUM(BC303:BC304)</f>
        <v>0</v>
      </c>
      <c r="BD305" s="49">
        <f t="shared" ref="BD305" ca="1" si="641">SUM(BD303:BD304)</f>
        <v>0</v>
      </c>
      <c r="BE305" s="49">
        <f t="shared" ref="BE305" ca="1" si="642">SUM(BE303:BE304)</f>
        <v>0</v>
      </c>
      <c r="BF305" s="49">
        <f t="shared" ref="BF305" ca="1" si="643">SUM(BF303:BF304)</f>
        <v>0</v>
      </c>
      <c r="BG305" s="49">
        <f t="shared" ref="BG305" ca="1" si="644">SUM(BG303:BG304)</f>
        <v>0</v>
      </c>
      <c r="BH305" s="49">
        <f t="shared" ref="BH305" ca="1" si="645">SUM(BH303:BH304)</f>
        <v>0</v>
      </c>
      <c r="BI305" s="49">
        <f t="shared" ref="BI305" ca="1" si="646">SUM(BI303:BI304)</f>
        <v>0</v>
      </c>
      <c r="BJ305" s="49">
        <f t="shared" ref="BJ305" ca="1" si="647">SUM(BJ303:BJ304)</f>
        <v>0</v>
      </c>
      <c r="BK305" s="49">
        <f t="shared" ref="BK305" ca="1" si="648">SUM(BK303:BK304)</f>
        <v>0</v>
      </c>
      <c r="BL305" s="49">
        <f t="shared" ref="BL305" ca="1" si="649">SUM(BL303:BL304)</f>
        <v>0</v>
      </c>
      <c r="BM305" s="49">
        <f t="shared" ref="BM305" ca="1" si="650">SUM(BM303:BM304)</f>
        <v>0</v>
      </c>
      <c r="BN305" s="49">
        <f t="shared" ref="BN305" ca="1" si="651">SUM(BN303:BN304)</f>
        <v>0</v>
      </c>
      <c r="BO305" s="49">
        <f t="shared" ref="BO305" ca="1" si="652">SUM(BO303:BO304)</f>
        <v>0</v>
      </c>
      <c r="BP305" s="49">
        <f t="shared" ref="BP305" ca="1" si="653">SUM(BP303:BP304)</f>
        <v>0</v>
      </c>
      <c r="BQ305" s="49">
        <f t="shared" ref="BQ305" ca="1" si="654">SUM(BQ303:BQ304)</f>
        <v>0</v>
      </c>
      <c r="BR305" s="49">
        <f t="shared" ref="BR305" ca="1" si="655">SUM(BR303:BR304)</f>
        <v>0</v>
      </c>
      <c r="BS305" s="49">
        <f t="shared" ref="BS305" ca="1" si="656">SUM(BS303:BS304)</f>
        <v>0</v>
      </c>
    </row>
    <row r="306" spans="3:71" outlineLevel="1" x14ac:dyDescent="0.2"/>
    <row r="307" spans="3:71" outlineLevel="1" x14ac:dyDescent="0.2">
      <c r="C307" s="11" t="s">
        <v>344</v>
      </c>
    </row>
    <row r="308" spans="3:71" outlineLevel="1" x14ac:dyDescent="0.2">
      <c r="D308" t="s">
        <v>116</v>
      </c>
      <c r="I308" s="30" t="e">
        <f t="shared" ref="I308:I310" ca="1" si="657">SUM($L308:$BS308)</f>
        <v>#DIV/0!</v>
      </c>
      <c r="J308" s="26" t="s">
        <v>88</v>
      </c>
      <c r="L308" s="49">
        <f t="shared" ref="L308:AQ308" ca="1" si="658">L289*CA_IOC_WI</f>
        <v>3.9864280399761145</v>
      </c>
      <c r="M308" s="49">
        <f t="shared" ca="1" si="658"/>
        <v>4.3667314515874232</v>
      </c>
      <c r="N308" s="49">
        <f t="shared" ca="1" si="658"/>
        <v>2.1903951529432693</v>
      </c>
      <c r="O308" s="49">
        <f t="shared" ca="1" si="658"/>
        <v>2.4090777910200019</v>
      </c>
      <c r="P308" s="49">
        <f t="shared" ca="1" si="658"/>
        <v>5.0888544724823142</v>
      </c>
      <c r="Q308" s="49">
        <f t="shared" ca="1" si="658"/>
        <v>8.0261969527988164</v>
      </c>
      <c r="R308" s="49">
        <f t="shared" ca="1" si="658"/>
        <v>8.1304421790386723</v>
      </c>
      <c r="S308" s="49">
        <f t="shared" ca="1" si="658"/>
        <v>7.374337325599976</v>
      </c>
      <c r="T308" s="49">
        <f t="shared" ca="1" si="658"/>
        <v>6.9831827289225004</v>
      </c>
      <c r="U308" s="49">
        <f t="shared" ca="1" si="658"/>
        <v>6.4943599378979249</v>
      </c>
      <c r="V308" s="49">
        <f t="shared" ca="1" si="658"/>
        <v>6.0397547422450693</v>
      </c>
      <c r="W308" s="49">
        <f t="shared" ca="1" si="658"/>
        <v>5.6323608744256894</v>
      </c>
      <c r="X308" s="49">
        <f t="shared" ca="1" si="658"/>
        <v>5.2237838765677598</v>
      </c>
      <c r="Y308" s="49" t="e">
        <f t="shared" ca="1" si="658"/>
        <v>#DIV/0!</v>
      </c>
      <c r="Z308" s="49" t="e">
        <f t="shared" ca="1" si="658"/>
        <v>#DIV/0!</v>
      </c>
      <c r="AA308" s="49" t="e">
        <f t="shared" ca="1" si="658"/>
        <v>#DIV/0!</v>
      </c>
      <c r="AB308" s="49" t="e">
        <f t="shared" ca="1" si="658"/>
        <v>#DIV/0!</v>
      </c>
      <c r="AC308" s="49" t="e">
        <f t="shared" ca="1" si="658"/>
        <v>#DIV/0!</v>
      </c>
      <c r="AD308" s="49" t="e">
        <f t="shared" ca="1" si="658"/>
        <v>#DIV/0!</v>
      </c>
      <c r="AE308" s="49" t="e">
        <f t="shared" ca="1" si="658"/>
        <v>#DIV/0!</v>
      </c>
      <c r="AF308" s="49" t="e">
        <f t="shared" ca="1" si="658"/>
        <v>#DIV/0!</v>
      </c>
      <c r="AG308" s="49" t="e">
        <f t="shared" ca="1" si="658"/>
        <v>#DIV/0!</v>
      </c>
      <c r="AH308" s="49" t="e">
        <f t="shared" ca="1" si="658"/>
        <v>#DIV/0!</v>
      </c>
      <c r="AI308" s="49" t="e">
        <f t="shared" ca="1" si="658"/>
        <v>#DIV/0!</v>
      </c>
      <c r="AJ308" s="49" t="e">
        <f t="shared" ca="1" si="658"/>
        <v>#DIV/0!</v>
      </c>
      <c r="AK308" s="49" t="e">
        <f t="shared" ca="1" si="658"/>
        <v>#DIV/0!</v>
      </c>
      <c r="AL308" s="49" t="e">
        <f t="shared" ca="1" si="658"/>
        <v>#DIV/0!</v>
      </c>
      <c r="AM308" s="49" t="e">
        <f t="shared" ca="1" si="658"/>
        <v>#DIV/0!</v>
      </c>
      <c r="AN308" s="49" t="e">
        <f t="shared" ca="1" si="658"/>
        <v>#DIV/0!</v>
      </c>
      <c r="AO308" s="49" t="e">
        <f t="shared" ca="1" si="658"/>
        <v>#DIV/0!</v>
      </c>
      <c r="AP308" s="49" t="e">
        <f t="shared" ca="1" si="658"/>
        <v>#DIV/0!</v>
      </c>
      <c r="AQ308" s="49" t="e">
        <f t="shared" ca="1" si="658"/>
        <v>#DIV/0!</v>
      </c>
      <c r="AR308" s="49" t="e">
        <f t="shared" ref="AR308:BS308" ca="1" si="659">AR289*CA_IOC_WI</f>
        <v>#DIV/0!</v>
      </c>
      <c r="AS308" s="49" t="e">
        <f t="shared" ca="1" si="659"/>
        <v>#DIV/0!</v>
      </c>
      <c r="AT308" s="49" t="e">
        <f t="shared" ca="1" si="659"/>
        <v>#DIV/0!</v>
      </c>
      <c r="AU308" s="49" t="e">
        <f t="shared" ca="1" si="659"/>
        <v>#DIV/0!</v>
      </c>
      <c r="AV308" s="49" t="e">
        <f t="shared" ca="1" si="659"/>
        <v>#DIV/0!</v>
      </c>
      <c r="AW308" s="49" t="e">
        <f t="shared" ca="1" si="659"/>
        <v>#DIV/0!</v>
      </c>
      <c r="AX308" s="49" t="e">
        <f t="shared" ca="1" si="659"/>
        <v>#DIV/0!</v>
      </c>
      <c r="AY308" s="49" t="e">
        <f t="shared" ca="1" si="659"/>
        <v>#DIV/0!</v>
      </c>
      <c r="AZ308" s="49" t="e">
        <f t="shared" ca="1" si="659"/>
        <v>#DIV/0!</v>
      </c>
      <c r="BA308" s="49" t="e">
        <f t="shared" ca="1" si="659"/>
        <v>#DIV/0!</v>
      </c>
      <c r="BB308" s="49" t="e">
        <f t="shared" ca="1" si="659"/>
        <v>#DIV/0!</v>
      </c>
      <c r="BC308" s="49" t="e">
        <f t="shared" ca="1" si="659"/>
        <v>#DIV/0!</v>
      </c>
      <c r="BD308" s="49" t="e">
        <f t="shared" ca="1" si="659"/>
        <v>#DIV/0!</v>
      </c>
      <c r="BE308" s="49" t="e">
        <f t="shared" ca="1" si="659"/>
        <v>#DIV/0!</v>
      </c>
      <c r="BF308" s="49" t="e">
        <f t="shared" ca="1" si="659"/>
        <v>#DIV/0!</v>
      </c>
      <c r="BG308" s="49" t="e">
        <f t="shared" ca="1" si="659"/>
        <v>#DIV/0!</v>
      </c>
      <c r="BH308" s="49" t="e">
        <f t="shared" ca="1" si="659"/>
        <v>#DIV/0!</v>
      </c>
      <c r="BI308" s="49" t="e">
        <f t="shared" ca="1" si="659"/>
        <v>#DIV/0!</v>
      </c>
      <c r="BJ308" s="49" t="e">
        <f t="shared" ca="1" si="659"/>
        <v>#DIV/0!</v>
      </c>
      <c r="BK308" s="49" t="e">
        <f t="shared" ca="1" si="659"/>
        <v>#DIV/0!</v>
      </c>
      <c r="BL308" s="49" t="e">
        <f t="shared" ca="1" si="659"/>
        <v>#DIV/0!</v>
      </c>
      <c r="BM308" s="49" t="e">
        <f t="shared" ca="1" si="659"/>
        <v>#DIV/0!</v>
      </c>
      <c r="BN308" s="49" t="e">
        <f t="shared" ca="1" si="659"/>
        <v>#DIV/0!</v>
      </c>
      <c r="BO308" s="49" t="e">
        <f t="shared" ca="1" si="659"/>
        <v>#DIV/0!</v>
      </c>
      <c r="BP308" s="49" t="e">
        <f t="shared" ca="1" si="659"/>
        <v>#DIV/0!</v>
      </c>
      <c r="BQ308" s="49" t="e">
        <f t="shared" ca="1" si="659"/>
        <v>#DIV/0!</v>
      </c>
      <c r="BR308" s="49" t="e">
        <f t="shared" ca="1" si="659"/>
        <v>#DIV/0!</v>
      </c>
      <c r="BS308" s="49" t="e">
        <f t="shared" ca="1" si="659"/>
        <v>#DIV/0!</v>
      </c>
    </row>
    <row r="309" spans="3:71" outlineLevel="1" x14ac:dyDescent="0.2">
      <c r="D309" t="s">
        <v>339</v>
      </c>
      <c r="I309" s="30" t="e">
        <f t="shared" ca="1" si="657"/>
        <v>#DIV/0!</v>
      </c>
      <c r="J309" s="26" t="s">
        <v>88</v>
      </c>
      <c r="L309" s="49">
        <f t="shared" ref="L309:AQ309" ca="1" si="660">L289*CA_NOC_WI</f>
        <v>0.70348730117225544</v>
      </c>
      <c r="M309" s="49">
        <f t="shared" ca="1" si="660"/>
        <v>0.77059966792719237</v>
      </c>
      <c r="N309" s="49">
        <f t="shared" ca="1" si="660"/>
        <v>0.38654032110763575</v>
      </c>
      <c r="O309" s="49">
        <f t="shared" ca="1" si="660"/>
        <v>0.42513137488588265</v>
      </c>
      <c r="P309" s="49">
        <f t="shared" ca="1" si="660"/>
        <v>0.89803314220276131</v>
      </c>
      <c r="Q309" s="49">
        <f t="shared" ca="1" si="660"/>
        <v>1.4163876975527323</v>
      </c>
      <c r="R309" s="49">
        <f t="shared" ca="1" si="660"/>
        <v>1.434783913948001</v>
      </c>
      <c r="S309" s="49">
        <f t="shared" ca="1" si="660"/>
        <v>1.3013536456941135</v>
      </c>
      <c r="T309" s="49">
        <f t="shared" ca="1" si="660"/>
        <v>1.2323263639274999</v>
      </c>
      <c r="U309" s="49">
        <f t="shared" ca="1" si="660"/>
        <v>1.1460635184525749</v>
      </c>
      <c r="V309" s="49">
        <f t="shared" ca="1" si="660"/>
        <v>1.0658390721608946</v>
      </c>
      <c r="W309" s="49">
        <f t="shared" ca="1" si="660"/>
        <v>0.9939460366633569</v>
      </c>
      <c r="X309" s="49">
        <f t="shared" ca="1" si="660"/>
        <v>0.92184421351195756</v>
      </c>
      <c r="Y309" s="49" t="e">
        <f t="shared" ca="1" si="660"/>
        <v>#DIV/0!</v>
      </c>
      <c r="Z309" s="49" t="e">
        <f t="shared" ca="1" si="660"/>
        <v>#DIV/0!</v>
      </c>
      <c r="AA309" s="49" t="e">
        <f t="shared" ca="1" si="660"/>
        <v>#DIV/0!</v>
      </c>
      <c r="AB309" s="49" t="e">
        <f t="shared" ca="1" si="660"/>
        <v>#DIV/0!</v>
      </c>
      <c r="AC309" s="49" t="e">
        <f t="shared" ca="1" si="660"/>
        <v>#DIV/0!</v>
      </c>
      <c r="AD309" s="49" t="e">
        <f t="shared" ca="1" si="660"/>
        <v>#DIV/0!</v>
      </c>
      <c r="AE309" s="49" t="e">
        <f t="shared" ca="1" si="660"/>
        <v>#DIV/0!</v>
      </c>
      <c r="AF309" s="49" t="e">
        <f t="shared" ca="1" si="660"/>
        <v>#DIV/0!</v>
      </c>
      <c r="AG309" s="49" t="e">
        <f t="shared" ca="1" si="660"/>
        <v>#DIV/0!</v>
      </c>
      <c r="AH309" s="49" t="e">
        <f t="shared" ca="1" si="660"/>
        <v>#DIV/0!</v>
      </c>
      <c r="AI309" s="49" t="e">
        <f t="shared" ca="1" si="660"/>
        <v>#DIV/0!</v>
      </c>
      <c r="AJ309" s="49" t="e">
        <f t="shared" ca="1" si="660"/>
        <v>#DIV/0!</v>
      </c>
      <c r="AK309" s="49" t="e">
        <f t="shared" ca="1" si="660"/>
        <v>#DIV/0!</v>
      </c>
      <c r="AL309" s="49" t="e">
        <f t="shared" ca="1" si="660"/>
        <v>#DIV/0!</v>
      </c>
      <c r="AM309" s="49" t="e">
        <f t="shared" ca="1" si="660"/>
        <v>#DIV/0!</v>
      </c>
      <c r="AN309" s="49" t="e">
        <f t="shared" ca="1" si="660"/>
        <v>#DIV/0!</v>
      </c>
      <c r="AO309" s="49" t="e">
        <f t="shared" ca="1" si="660"/>
        <v>#DIV/0!</v>
      </c>
      <c r="AP309" s="49" t="e">
        <f t="shared" ca="1" si="660"/>
        <v>#DIV/0!</v>
      </c>
      <c r="AQ309" s="49" t="e">
        <f t="shared" ca="1" si="660"/>
        <v>#DIV/0!</v>
      </c>
      <c r="AR309" s="49" t="e">
        <f t="shared" ref="AR309:BS309" ca="1" si="661">AR289*CA_NOC_WI</f>
        <v>#DIV/0!</v>
      </c>
      <c r="AS309" s="49" t="e">
        <f t="shared" ca="1" si="661"/>
        <v>#DIV/0!</v>
      </c>
      <c r="AT309" s="49" t="e">
        <f t="shared" ca="1" si="661"/>
        <v>#DIV/0!</v>
      </c>
      <c r="AU309" s="49" t="e">
        <f t="shared" ca="1" si="661"/>
        <v>#DIV/0!</v>
      </c>
      <c r="AV309" s="49" t="e">
        <f t="shared" ca="1" si="661"/>
        <v>#DIV/0!</v>
      </c>
      <c r="AW309" s="49" t="e">
        <f t="shared" ca="1" si="661"/>
        <v>#DIV/0!</v>
      </c>
      <c r="AX309" s="49" t="e">
        <f t="shared" ca="1" si="661"/>
        <v>#DIV/0!</v>
      </c>
      <c r="AY309" s="49" t="e">
        <f t="shared" ca="1" si="661"/>
        <v>#DIV/0!</v>
      </c>
      <c r="AZ309" s="49" t="e">
        <f t="shared" ca="1" si="661"/>
        <v>#DIV/0!</v>
      </c>
      <c r="BA309" s="49" t="e">
        <f t="shared" ca="1" si="661"/>
        <v>#DIV/0!</v>
      </c>
      <c r="BB309" s="49" t="e">
        <f t="shared" ca="1" si="661"/>
        <v>#DIV/0!</v>
      </c>
      <c r="BC309" s="49" t="e">
        <f t="shared" ca="1" si="661"/>
        <v>#DIV/0!</v>
      </c>
      <c r="BD309" s="49" t="e">
        <f t="shared" ca="1" si="661"/>
        <v>#DIV/0!</v>
      </c>
      <c r="BE309" s="49" t="e">
        <f t="shared" ca="1" si="661"/>
        <v>#DIV/0!</v>
      </c>
      <c r="BF309" s="49" t="e">
        <f t="shared" ca="1" si="661"/>
        <v>#DIV/0!</v>
      </c>
      <c r="BG309" s="49" t="e">
        <f t="shared" ca="1" si="661"/>
        <v>#DIV/0!</v>
      </c>
      <c r="BH309" s="49" t="e">
        <f t="shared" ca="1" si="661"/>
        <v>#DIV/0!</v>
      </c>
      <c r="BI309" s="49" t="e">
        <f t="shared" ca="1" si="661"/>
        <v>#DIV/0!</v>
      </c>
      <c r="BJ309" s="49" t="e">
        <f t="shared" ca="1" si="661"/>
        <v>#DIV/0!</v>
      </c>
      <c r="BK309" s="49" t="e">
        <f t="shared" ca="1" si="661"/>
        <v>#DIV/0!</v>
      </c>
      <c r="BL309" s="49" t="e">
        <f t="shared" ca="1" si="661"/>
        <v>#DIV/0!</v>
      </c>
      <c r="BM309" s="49" t="e">
        <f t="shared" ca="1" si="661"/>
        <v>#DIV/0!</v>
      </c>
      <c r="BN309" s="49" t="e">
        <f t="shared" ca="1" si="661"/>
        <v>#DIV/0!</v>
      </c>
      <c r="BO309" s="49" t="e">
        <f t="shared" ca="1" si="661"/>
        <v>#DIV/0!</v>
      </c>
      <c r="BP309" s="49" t="e">
        <f t="shared" ca="1" si="661"/>
        <v>#DIV/0!</v>
      </c>
      <c r="BQ309" s="49" t="e">
        <f t="shared" ca="1" si="661"/>
        <v>#DIV/0!</v>
      </c>
      <c r="BR309" s="49" t="e">
        <f t="shared" ca="1" si="661"/>
        <v>#DIV/0!</v>
      </c>
      <c r="BS309" s="49" t="e">
        <f t="shared" ca="1" si="661"/>
        <v>#DIV/0!</v>
      </c>
    </row>
    <row r="310" spans="3:71" outlineLevel="1" x14ac:dyDescent="0.2">
      <c r="D310" s="11" t="s">
        <v>129</v>
      </c>
      <c r="I310" s="30" t="e">
        <f t="shared" ca="1" si="657"/>
        <v>#DIV/0!</v>
      </c>
      <c r="J310" s="26" t="s">
        <v>88</v>
      </c>
      <c r="L310" s="49">
        <f ca="1">SUM(L308:L309)</f>
        <v>4.6899153411483701</v>
      </c>
      <c r="M310" s="49">
        <f t="shared" ref="M310" ca="1" si="662">SUM(M308:M309)</f>
        <v>5.1373311195146156</v>
      </c>
      <c r="N310" s="49">
        <f t="shared" ref="N310" ca="1" si="663">SUM(N308:N309)</f>
        <v>2.576935474050905</v>
      </c>
      <c r="O310" s="49">
        <f t="shared" ref="O310" ca="1" si="664">SUM(O308:O309)</f>
        <v>2.8342091659058846</v>
      </c>
      <c r="P310" s="49">
        <f t="shared" ref="P310" ca="1" si="665">SUM(P308:P309)</f>
        <v>5.9868876146850756</v>
      </c>
      <c r="Q310" s="49">
        <f t="shared" ref="Q310" ca="1" si="666">SUM(Q308:Q309)</f>
        <v>9.4425846503515487</v>
      </c>
      <c r="R310" s="49">
        <f t="shared" ref="R310" ca="1" si="667">SUM(R308:R309)</f>
        <v>9.5652260929866735</v>
      </c>
      <c r="S310" s="49">
        <f t="shared" ref="S310" ca="1" si="668">SUM(S308:S309)</f>
        <v>8.6756909712940899</v>
      </c>
      <c r="T310" s="49">
        <f t="shared" ref="T310" ca="1" si="669">SUM(T308:T309)</f>
        <v>8.2155090928500005</v>
      </c>
      <c r="U310" s="49">
        <f t="shared" ref="U310" ca="1" si="670">SUM(U308:U309)</f>
        <v>7.6404234563504998</v>
      </c>
      <c r="V310" s="49">
        <f t="shared" ref="V310" ca="1" si="671">SUM(V308:V309)</f>
        <v>7.1055938144059638</v>
      </c>
      <c r="W310" s="49">
        <f t="shared" ref="W310" ca="1" si="672">SUM(W308:W309)</f>
        <v>6.6263069110890465</v>
      </c>
      <c r="X310" s="49">
        <f t="shared" ref="X310" ca="1" si="673">SUM(X308:X309)</f>
        <v>6.1456280900797173</v>
      </c>
      <c r="Y310" s="49" t="e">
        <f t="shared" ref="Y310" ca="1" si="674">SUM(Y308:Y309)</f>
        <v>#DIV/0!</v>
      </c>
      <c r="Z310" s="49" t="e">
        <f t="shared" ref="Z310" ca="1" si="675">SUM(Z308:Z309)</f>
        <v>#DIV/0!</v>
      </c>
      <c r="AA310" s="49" t="e">
        <f t="shared" ref="AA310" ca="1" si="676">SUM(AA308:AA309)</f>
        <v>#DIV/0!</v>
      </c>
      <c r="AB310" s="49" t="e">
        <f t="shared" ref="AB310" ca="1" si="677">SUM(AB308:AB309)</f>
        <v>#DIV/0!</v>
      </c>
      <c r="AC310" s="49" t="e">
        <f t="shared" ref="AC310" ca="1" si="678">SUM(AC308:AC309)</f>
        <v>#DIV/0!</v>
      </c>
      <c r="AD310" s="49" t="e">
        <f t="shared" ref="AD310" ca="1" si="679">SUM(AD308:AD309)</f>
        <v>#DIV/0!</v>
      </c>
      <c r="AE310" s="49" t="e">
        <f t="shared" ref="AE310" ca="1" si="680">SUM(AE308:AE309)</f>
        <v>#DIV/0!</v>
      </c>
      <c r="AF310" s="49" t="e">
        <f t="shared" ref="AF310" ca="1" si="681">SUM(AF308:AF309)</f>
        <v>#DIV/0!</v>
      </c>
      <c r="AG310" s="49" t="e">
        <f t="shared" ref="AG310" ca="1" si="682">SUM(AG308:AG309)</f>
        <v>#DIV/0!</v>
      </c>
      <c r="AH310" s="49" t="e">
        <f t="shared" ref="AH310" ca="1" si="683">SUM(AH308:AH309)</f>
        <v>#DIV/0!</v>
      </c>
      <c r="AI310" s="49" t="e">
        <f t="shared" ref="AI310" ca="1" si="684">SUM(AI308:AI309)</f>
        <v>#DIV/0!</v>
      </c>
      <c r="AJ310" s="49" t="e">
        <f t="shared" ref="AJ310" ca="1" si="685">SUM(AJ308:AJ309)</f>
        <v>#DIV/0!</v>
      </c>
      <c r="AK310" s="49" t="e">
        <f t="shared" ref="AK310" ca="1" si="686">SUM(AK308:AK309)</f>
        <v>#DIV/0!</v>
      </c>
      <c r="AL310" s="49" t="e">
        <f t="shared" ref="AL310" ca="1" si="687">SUM(AL308:AL309)</f>
        <v>#DIV/0!</v>
      </c>
      <c r="AM310" s="49" t="e">
        <f t="shared" ref="AM310" ca="1" si="688">SUM(AM308:AM309)</f>
        <v>#DIV/0!</v>
      </c>
      <c r="AN310" s="49" t="e">
        <f t="shared" ref="AN310" ca="1" si="689">SUM(AN308:AN309)</f>
        <v>#DIV/0!</v>
      </c>
      <c r="AO310" s="49" t="e">
        <f t="shared" ref="AO310" ca="1" si="690">SUM(AO308:AO309)</f>
        <v>#DIV/0!</v>
      </c>
      <c r="AP310" s="49" t="e">
        <f t="shared" ref="AP310" ca="1" si="691">SUM(AP308:AP309)</f>
        <v>#DIV/0!</v>
      </c>
      <c r="AQ310" s="49" t="e">
        <f t="shared" ref="AQ310" ca="1" si="692">SUM(AQ308:AQ309)</f>
        <v>#DIV/0!</v>
      </c>
      <c r="AR310" s="49" t="e">
        <f t="shared" ref="AR310" ca="1" si="693">SUM(AR308:AR309)</f>
        <v>#DIV/0!</v>
      </c>
      <c r="AS310" s="49" t="e">
        <f t="shared" ref="AS310" ca="1" si="694">SUM(AS308:AS309)</f>
        <v>#DIV/0!</v>
      </c>
      <c r="AT310" s="49" t="e">
        <f t="shared" ref="AT310" ca="1" si="695">SUM(AT308:AT309)</f>
        <v>#DIV/0!</v>
      </c>
      <c r="AU310" s="49" t="e">
        <f t="shared" ref="AU310" ca="1" si="696">SUM(AU308:AU309)</f>
        <v>#DIV/0!</v>
      </c>
      <c r="AV310" s="49" t="e">
        <f t="shared" ref="AV310" ca="1" si="697">SUM(AV308:AV309)</f>
        <v>#DIV/0!</v>
      </c>
      <c r="AW310" s="49" t="e">
        <f t="shared" ref="AW310" ca="1" si="698">SUM(AW308:AW309)</f>
        <v>#DIV/0!</v>
      </c>
      <c r="AX310" s="49" t="e">
        <f t="shared" ref="AX310" ca="1" si="699">SUM(AX308:AX309)</f>
        <v>#DIV/0!</v>
      </c>
      <c r="AY310" s="49" t="e">
        <f t="shared" ref="AY310" ca="1" si="700">SUM(AY308:AY309)</f>
        <v>#DIV/0!</v>
      </c>
      <c r="AZ310" s="49" t="e">
        <f t="shared" ref="AZ310" ca="1" si="701">SUM(AZ308:AZ309)</f>
        <v>#DIV/0!</v>
      </c>
      <c r="BA310" s="49" t="e">
        <f t="shared" ref="BA310" ca="1" si="702">SUM(BA308:BA309)</f>
        <v>#DIV/0!</v>
      </c>
      <c r="BB310" s="49" t="e">
        <f t="shared" ref="BB310" ca="1" si="703">SUM(BB308:BB309)</f>
        <v>#DIV/0!</v>
      </c>
      <c r="BC310" s="49" t="e">
        <f t="shared" ref="BC310" ca="1" si="704">SUM(BC308:BC309)</f>
        <v>#DIV/0!</v>
      </c>
      <c r="BD310" s="49" t="e">
        <f t="shared" ref="BD310" ca="1" si="705">SUM(BD308:BD309)</f>
        <v>#DIV/0!</v>
      </c>
      <c r="BE310" s="49" t="e">
        <f t="shared" ref="BE310" ca="1" si="706">SUM(BE308:BE309)</f>
        <v>#DIV/0!</v>
      </c>
      <c r="BF310" s="49" t="e">
        <f t="shared" ref="BF310" ca="1" si="707">SUM(BF308:BF309)</f>
        <v>#DIV/0!</v>
      </c>
      <c r="BG310" s="49" t="e">
        <f t="shared" ref="BG310" ca="1" si="708">SUM(BG308:BG309)</f>
        <v>#DIV/0!</v>
      </c>
      <c r="BH310" s="49" t="e">
        <f t="shared" ref="BH310" ca="1" si="709">SUM(BH308:BH309)</f>
        <v>#DIV/0!</v>
      </c>
      <c r="BI310" s="49" t="e">
        <f t="shared" ref="BI310" ca="1" si="710">SUM(BI308:BI309)</f>
        <v>#DIV/0!</v>
      </c>
      <c r="BJ310" s="49" t="e">
        <f t="shared" ref="BJ310" ca="1" si="711">SUM(BJ308:BJ309)</f>
        <v>#DIV/0!</v>
      </c>
      <c r="BK310" s="49" t="e">
        <f t="shared" ref="BK310" ca="1" si="712">SUM(BK308:BK309)</f>
        <v>#DIV/0!</v>
      </c>
      <c r="BL310" s="49" t="e">
        <f t="shared" ref="BL310" ca="1" si="713">SUM(BL308:BL309)</f>
        <v>#DIV/0!</v>
      </c>
      <c r="BM310" s="49" t="e">
        <f t="shared" ref="BM310" ca="1" si="714">SUM(BM308:BM309)</f>
        <v>#DIV/0!</v>
      </c>
      <c r="BN310" s="49" t="e">
        <f t="shared" ref="BN310" ca="1" si="715">SUM(BN308:BN309)</f>
        <v>#DIV/0!</v>
      </c>
      <c r="BO310" s="49" t="e">
        <f t="shared" ref="BO310" ca="1" si="716">SUM(BO308:BO309)</f>
        <v>#DIV/0!</v>
      </c>
      <c r="BP310" s="49" t="e">
        <f t="shared" ref="BP310" ca="1" si="717">SUM(BP308:BP309)</f>
        <v>#DIV/0!</v>
      </c>
      <c r="BQ310" s="49" t="e">
        <f t="shared" ref="BQ310" ca="1" si="718">SUM(BQ308:BQ309)</f>
        <v>#DIV/0!</v>
      </c>
      <c r="BR310" s="49" t="e">
        <f t="shared" ref="BR310" ca="1" si="719">SUM(BR308:BR309)</f>
        <v>#DIV/0!</v>
      </c>
      <c r="BS310" s="49" t="e">
        <f t="shared" ref="BS310" ca="1" si="720">SUM(BS308:BS309)</f>
        <v>#DIV/0!</v>
      </c>
    </row>
    <row r="311" spans="3:71" outlineLevel="1" x14ac:dyDescent="0.2"/>
    <row r="312" spans="3:71" outlineLevel="1" x14ac:dyDescent="0.2">
      <c r="C312" s="11" t="s">
        <v>345</v>
      </c>
    </row>
    <row r="313" spans="3:71" outlineLevel="1" x14ac:dyDescent="0.2">
      <c r="D313" t="s">
        <v>116</v>
      </c>
      <c r="I313" s="30">
        <f t="shared" ref="I313:I315" ca="1" si="721">SUM($L313:$BS313)</f>
        <v>0</v>
      </c>
      <c r="J313" s="26" t="s">
        <v>148</v>
      </c>
      <c r="L313" s="49">
        <f t="shared" ref="L313:AQ313" ca="1" si="722">L290*CA_IOC_WI</f>
        <v>0</v>
      </c>
      <c r="M313" s="49">
        <f t="shared" ca="1" si="722"/>
        <v>0</v>
      </c>
      <c r="N313" s="49">
        <f t="shared" ca="1" si="722"/>
        <v>0</v>
      </c>
      <c r="O313" s="49">
        <f t="shared" ca="1" si="722"/>
        <v>0</v>
      </c>
      <c r="P313" s="49">
        <f t="shared" ca="1" si="722"/>
        <v>0</v>
      </c>
      <c r="Q313" s="49">
        <f t="shared" ca="1" si="722"/>
        <v>0</v>
      </c>
      <c r="R313" s="49">
        <f t="shared" ca="1" si="722"/>
        <v>0</v>
      </c>
      <c r="S313" s="49">
        <f t="shared" ca="1" si="722"/>
        <v>0</v>
      </c>
      <c r="T313" s="49">
        <f t="shared" ca="1" si="722"/>
        <v>0</v>
      </c>
      <c r="U313" s="49">
        <f t="shared" ca="1" si="722"/>
        <v>0</v>
      </c>
      <c r="V313" s="49">
        <f t="shared" ca="1" si="722"/>
        <v>0</v>
      </c>
      <c r="W313" s="49">
        <f t="shared" ca="1" si="722"/>
        <v>0</v>
      </c>
      <c r="X313" s="49">
        <f t="shared" ca="1" si="722"/>
        <v>0</v>
      </c>
      <c r="Y313" s="49">
        <f t="shared" ca="1" si="722"/>
        <v>0</v>
      </c>
      <c r="Z313" s="49">
        <f t="shared" ca="1" si="722"/>
        <v>0</v>
      </c>
      <c r="AA313" s="49">
        <f t="shared" ca="1" si="722"/>
        <v>0</v>
      </c>
      <c r="AB313" s="49">
        <f t="shared" ca="1" si="722"/>
        <v>0</v>
      </c>
      <c r="AC313" s="49">
        <f t="shared" ca="1" si="722"/>
        <v>0</v>
      </c>
      <c r="AD313" s="49">
        <f t="shared" ca="1" si="722"/>
        <v>0</v>
      </c>
      <c r="AE313" s="49">
        <f t="shared" ca="1" si="722"/>
        <v>0</v>
      </c>
      <c r="AF313" s="49">
        <f t="shared" ca="1" si="722"/>
        <v>0</v>
      </c>
      <c r="AG313" s="49">
        <f t="shared" ca="1" si="722"/>
        <v>0</v>
      </c>
      <c r="AH313" s="49">
        <f t="shared" ca="1" si="722"/>
        <v>0</v>
      </c>
      <c r="AI313" s="49">
        <f t="shared" ca="1" si="722"/>
        <v>0</v>
      </c>
      <c r="AJ313" s="49">
        <f t="shared" ca="1" si="722"/>
        <v>0</v>
      </c>
      <c r="AK313" s="49">
        <f t="shared" ca="1" si="722"/>
        <v>0</v>
      </c>
      <c r="AL313" s="49">
        <f t="shared" ca="1" si="722"/>
        <v>0</v>
      </c>
      <c r="AM313" s="49">
        <f t="shared" ca="1" si="722"/>
        <v>0</v>
      </c>
      <c r="AN313" s="49">
        <f t="shared" ca="1" si="722"/>
        <v>0</v>
      </c>
      <c r="AO313" s="49">
        <f t="shared" ca="1" si="722"/>
        <v>0</v>
      </c>
      <c r="AP313" s="49">
        <f t="shared" ca="1" si="722"/>
        <v>0</v>
      </c>
      <c r="AQ313" s="49">
        <f t="shared" ca="1" si="722"/>
        <v>0</v>
      </c>
      <c r="AR313" s="49">
        <f t="shared" ref="AR313:BS313" ca="1" si="723">AR290*CA_IOC_WI</f>
        <v>0</v>
      </c>
      <c r="AS313" s="49">
        <f t="shared" ca="1" si="723"/>
        <v>0</v>
      </c>
      <c r="AT313" s="49">
        <f t="shared" ca="1" si="723"/>
        <v>0</v>
      </c>
      <c r="AU313" s="49">
        <f t="shared" ca="1" si="723"/>
        <v>0</v>
      </c>
      <c r="AV313" s="49">
        <f t="shared" ca="1" si="723"/>
        <v>0</v>
      </c>
      <c r="AW313" s="49">
        <f t="shared" ca="1" si="723"/>
        <v>0</v>
      </c>
      <c r="AX313" s="49">
        <f t="shared" ca="1" si="723"/>
        <v>0</v>
      </c>
      <c r="AY313" s="49">
        <f t="shared" ca="1" si="723"/>
        <v>0</v>
      </c>
      <c r="AZ313" s="49">
        <f t="shared" ca="1" si="723"/>
        <v>0</v>
      </c>
      <c r="BA313" s="49">
        <f t="shared" ca="1" si="723"/>
        <v>0</v>
      </c>
      <c r="BB313" s="49">
        <f t="shared" ca="1" si="723"/>
        <v>0</v>
      </c>
      <c r="BC313" s="49">
        <f t="shared" ca="1" si="723"/>
        <v>0</v>
      </c>
      <c r="BD313" s="49">
        <f t="shared" ca="1" si="723"/>
        <v>0</v>
      </c>
      <c r="BE313" s="49">
        <f t="shared" ca="1" si="723"/>
        <v>0</v>
      </c>
      <c r="BF313" s="49">
        <f t="shared" ca="1" si="723"/>
        <v>0</v>
      </c>
      <c r="BG313" s="49">
        <f t="shared" ca="1" si="723"/>
        <v>0</v>
      </c>
      <c r="BH313" s="49">
        <f t="shared" ca="1" si="723"/>
        <v>0</v>
      </c>
      <c r="BI313" s="49">
        <f t="shared" ca="1" si="723"/>
        <v>0</v>
      </c>
      <c r="BJ313" s="49">
        <f t="shared" ca="1" si="723"/>
        <v>0</v>
      </c>
      <c r="BK313" s="49">
        <f t="shared" ca="1" si="723"/>
        <v>0</v>
      </c>
      <c r="BL313" s="49">
        <f t="shared" ca="1" si="723"/>
        <v>0</v>
      </c>
      <c r="BM313" s="49">
        <f t="shared" ca="1" si="723"/>
        <v>0</v>
      </c>
      <c r="BN313" s="49">
        <f t="shared" ca="1" si="723"/>
        <v>0</v>
      </c>
      <c r="BO313" s="49">
        <f t="shared" ca="1" si="723"/>
        <v>0</v>
      </c>
      <c r="BP313" s="49">
        <f t="shared" ca="1" si="723"/>
        <v>0</v>
      </c>
      <c r="BQ313" s="49">
        <f t="shared" ca="1" si="723"/>
        <v>0</v>
      </c>
      <c r="BR313" s="49">
        <f t="shared" ca="1" si="723"/>
        <v>0</v>
      </c>
      <c r="BS313" s="49">
        <f t="shared" ca="1" si="723"/>
        <v>0</v>
      </c>
    </row>
    <row r="314" spans="3:71" outlineLevel="1" x14ac:dyDescent="0.2">
      <c r="D314" t="s">
        <v>339</v>
      </c>
      <c r="I314" s="30">
        <f t="shared" ca="1" si="721"/>
        <v>0</v>
      </c>
      <c r="J314" s="26" t="s">
        <v>148</v>
      </c>
      <c r="L314" s="49">
        <f t="shared" ref="L314:AQ314" ca="1" si="724">L290*CA_NOC_WI</f>
        <v>0</v>
      </c>
      <c r="M314" s="49">
        <f t="shared" ca="1" si="724"/>
        <v>0</v>
      </c>
      <c r="N314" s="49">
        <f t="shared" ca="1" si="724"/>
        <v>0</v>
      </c>
      <c r="O314" s="49">
        <f t="shared" ca="1" si="724"/>
        <v>0</v>
      </c>
      <c r="P314" s="49">
        <f t="shared" ca="1" si="724"/>
        <v>0</v>
      </c>
      <c r="Q314" s="49">
        <f t="shared" ca="1" si="724"/>
        <v>0</v>
      </c>
      <c r="R314" s="49">
        <f t="shared" ca="1" si="724"/>
        <v>0</v>
      </c>
      <c r="S314" s="49">
        <f t="shared" ca="1" si="724"/>
        <v>0</v>
      </c>
      <c r="T314" s="49">
        <f t="shared" ca="1" si="724"/>
        <v>0</v>
      </c>
      <c r="U314" s="49">
        <f t="shared" ca="1" si="724"/>
        <v>0</v>
      </c>
      <c r="V314" s="49">
        <f t="shared" ca="1" si="724"/>
        <v>0</v>
      </c>
      <c r="W314" s="49">
        <f t="shared" ca="1" si="724"/>
        <v>0</v>
      </c>
      <c r="X314" s="49">
        <f t="shared" ca="1" si="724"/>
        <v>0</v>
      </c>
      <c r="Y314" s="49">
        <f t="shared" ca="1" si="724"/>
        <v>0</v>
      </c>
      <c r="Z314" s="49">
        <f t="shared" ca="1" si="724"/>
        <v>0</v>
      </c>
      <c r="AA314" s="49">
        <f t="shared" ca="1" si="724"/>
        <v>0</v>
      </c>
      <c r="AB314" s="49">
        <f t="shared" ca="1" si="724"/>
        <v>0</v>
      </c>
      <c r="AC314" s="49">
        <f t="shared" ca="1" si="724"/>
        <v>0</v>
      </c>
      <c r="AD314" s="49">
        <f t="shared" ca="1" si="724"/>
        <v>0</v>
      </c>
      <c r="AE314" s="49">
        <f t="shared" ca="1" si="724"/>
        <v>0</v>
      </c>
      <c r="AF314" s="49">
        <f t="shared" ca="1" si="724"/>
        <v>0</v>
      </c>
      <c r="AG314" s="49">
        <f t="shared" ca="1" si="724"/>
        <v>0</v>
      </c>
      <c r="AH314" s="49">
        <f t="shared" ca="1" si="724"/>
        <v>0</v>
      </c>
      <c r="AI314" s="49">
        <f t="shared" ca="1" si="724"/>
        <v>0</v>
      </c>
      <c r="AJ314" s="49">
        <f t="shared" ca="1" si="724"/>
        <v>0</v>
      </c>
      <c r="AK314" s="49">
        <f t="shared" ca="1" si="724"/>
        <v>0</v>
      </c>
      <c r="AL314" s="49">
        <f t="shared" ca="1" si="724"/>
        <v>0</v>
      </c>
      <c r="AM314" s="49">
        <f t="shared" ca="1" si="724"/>
        <v>0</v>
      </c>
      <c r="AN314" s="49">
        <f t="shared" ca="1" si="724"/>
        <v>0</v>
      </c>
      <c r="AO314" s="49">
        <f t="shared" ca="1" si="724"/>
        <v>0</v>
      </c>
      <c r="AP314" s="49">
        <f t="shared" ca="1" si="724"/>
        <v>0</v>
      </c>
      <c r="AQ314" s="49">
        <f t="shared" ca="1" si="724"/>
        <v>0</v>
      </c>
      <c r="AR314" s="49">
        <f t="shared" ref="AR314:BS314" ca="1" si="725">AR290*CA_NOC_WI</f>
        <v>0</v>
      </c>
      <c r="AS314" s="49">
        <f t="shared" ca="1" si="725"/>
        <v>0</v>
      </c>
      <c r="AT314" s="49">
        <f t="shared" ca="1" si="725"/>
        <v>0</v>
      </c>
      <c r="AU314" s="49">
        <f t="shared" ca="1" si="725"/>
        <v>0</v>
      </c>
      <c r="AV314" s="49">
        <f t="shared" ca="1" si="725"/>
        <v>0</v>
      </c>
      <c r="AW314" s="49">
        <f t="shared" ca="1" si="725"/>
        <v>0</v>
      </c>
      <c r="AX314" s="49">
        <f t="shared" ca="1" si="725"/>
        <v>0</v>
      </c>
      <c r="AY314" s="49">
        <f t="shared" ca="1" si="725"/>
        <v>0</v>
      </c>
      <c r="AZ314" s="49">
        <f t="shared" ca="1" si="725"/>
        <v>0</v>
      </c>
      <c r="BA314" s="49">
        <f t="shared" ca="1" si="725"/>
        <v>0</v>
      </c>
      <c r="BB314" s="49">
        <f t="shared" ca="1" si="725"/>
        <v>0</v>
      </c>
      <c r="BC314" s="49">
        <f t="shared" ca="1" si="725"/>
        <v>0</v>
      </c>
      <c r="BD314" s="49">
        <f t="shared" ca="1" si="725"/>
        <v>0</v>
      </c>
      <c r="BE314" s="49">
        <f t="shared" ca="1" si="725"/>
        <v>0</v>
      </c>
      <c r="BF314" s="49">
        <f t="shared" ca="1" si="725"/>
        <v>0</v>
      </c>
      <c r="BG314" s="49">
        <f t="shared" ca="1" si="725"/>
        <v>0</v>
      </c>
      <c r="BH314" s="49">
        <f t="shared" ca="1" si="725"/>
        <v>0</v>
      </c>
      <c r="BI314" s="49">
        <f t="shared" ca="1" si="725"/>
        <v>0</v>
      </c>
      <c r="BJ314" s="49">
        <f t="shared" ca="1" si="725"/>
        <v>0</v>
      </c>
      <c r="BK314" s="49">
        <f t="shared" ca="1" si="725"/>
        <v>0</v>
      </c>
      <c r="BL314" s="49">
        <f t="shared" ca="1" si="725"/>
        <v>0</v>
      </c>
      <c r="BM314" s="49">
        <f t="shared" ca="1" si="725"/>
        <v>0</v>
      </c>
      <c r="BN314" s="49">
        <f t="shared" ca="1" si="725"/>
        <v>0</v>
      </c>
      <c r="BO314" s="49">
        <f t="shared" ca="1" si="725"/>
        <v>0</v>
      </c>
      <c r="BP314" s="49">
        <f t="shared" ca="1" si="725"/>
        <v>0</v>
      </c>
      <c r="BQ314" s="49">
        <f t="shared" ca="1" si="725"/>
        <v>0</v>
      </c>
      <c r="BR314" s="49">
        <f t="shared" ca="1" si="725"/>
        <v>0</v>
      </c>
      <c r="BS314" s="49">
        <f t="shared" ca="1" si="725"/>
        <v>0</v>
      </c>
    </row>
    <row r="315" spans="3:71" outlineLevel="1" x14ac:dyDescent="0.2">
      <c r="D315" s="11" t="s">
        <v>129</v>
      </c>
      <c r="I315" s="30">
        <f t="shared" ca="1" si="721"/>
        <v>0</v>
      </c>
      <c r="J315" s="26" t="s">
        <v>148</v>
      </c>
      <c r="L315" s="49">
        <f ca="1">SUM(L313:L314)</f>
        <v>0</v>
      </c>
      <c r="M315" s="49">
        <f t="shared" ref="M315" ca="1" si="726">SUM(M313:M314)</f>
        <v>0</v>
      </c>
      <c r="N315" s="49">
        <f t="shared" ref="N315" ca="1" si="727">SUM(N313:N314)</f>
        <v>0</v>
      </c>
      <c r="O315" s="49">
        <f t="shared" ref="O315" ca="1" si="728">SUM(O313:O314)</f>
        <v>0</v>
      </c>
      <c r="P315" s="49">
        <f t="shared" ref="P315" ca="1" si="729">SUM(P313:P314)</f>
        <v>0</v>
      </c>
      <c r="Q315" s="49">
        <f t="shared" ref="Q315" ca="1" si="730">SUM(Q313:Q314)</f>
        <v>0</v>
      </c>
      <c r="R315" s="49">
        <f t="shared" ref="R315" ca="1" si="731">SUM(R313:R314)</f>
        <v>0</v>
      </c>
      <c r="S315" s="49">
        <f t="shared" ref="S315" ca="1" si="732">SUM(S313:S314)</f>
        <v>0</v>
      </c>
      <c r="T315" s="49">
        <f t="shared" ref="T315" ca="1" si="733">SUM(T313:T314)</f>
        <v>0</v>
      </c>
      <c r="U315" s="49">
        <f t="shared" ref="U315" ca="1" si="734">SUM(U313:U314)</f>
        <v>0</v>
      </c>
      <c r="V315" s="49">
        <f t="shared" ref="V315" ca="1" si="735">SUM(V313:V314)</f>
        <v>0</v>
      </c>
      <c r="W315" s="49">
        <f t="shared" ref="W315" ca="1" si="736">SUM(W313:W314)</f>
        <v>0</v>
      </c>
      <c r="X315" s="49">
        <f t="shared" ref="X315" ca="1" si="737">SUM(X313:X314)</f>
        <v>0</v>
      </c>
      <c r="Y315" s="49">
        <f t="shared" ref="Y315" ca="1" si="738">SUM(Y313:Y314)</f>
        <v>0</v>
      </c>
      <c r="Z315" s="49">
        <f t="shared" ref="Z315" ca="1" si="739">SUM(Z313:Z314)</f>
        <v>0</v>
      </c>
      <c r="AA315" s="49">
        <f t="shared" ref="AA315" ca="1" si="740">SUM(AA313:AA314)</f>
        <v>0</v>
      </c>
      <c r="AB315" s="49">
        <f t="shared" ref="AB315" ca="1" si="741">SUM(AB313:AB314)</f>
        <v>0</v>
      </c>
      <c r="AC315" s="49">
        <f t="shared" ref="AC315" ca="1" si="742">SUM(AC313:AC314)</f>
        <v>0</v>
      </c>
      <c r="AD315" s="49">
        <f t="shared" ref="AD315" ca="1" si="743">SUM(AD313:AD314)</f>
        <v>0</v>
      </c>
      <c r="AE315" s="49">
        <f t="shared" ref="AE315" ca="1" si="744">SUM(AE313:AE314)</f>
        <v>0</v>
      </c>
      <c r="AF315" s="49">
        <f t="shared" ref="AF315" ca="1" si="745">SUM(AF313:AF314)</f>
        <v>0</v>
      </c>
      <c r="AG315" s="49">
        <f t="shared" ref="AG315" ca="1" si="746">SUM(AG313:AG314)</f>
        <v>0</v>
      </c>
      <c r="AH315" s="49">
        <f t="shared" ref="AH315" ca="1" si="747">SUM(AH313:AH314)</f>
        <v>0</v>
      </c>
      <c r="AI315" s="49">
        <f t="shared" ref="AI315" ca="1" si="748">SUM(AI313:AI314)</f>
        <v>0</v>
      </c>
      <c r="AJ315" s="49">
        <f t="shared" ref="AJ315" ca="1" si="749">SUM(AJ313:AJ314)</f>
        <v>0</v>
      </c>
      <c r="AK315" s="49">
        <f t="shared" ref="AK315" ca="1" si="750">SUM(AK313:AK314)</f>
        <v>0</v>
      </c>
      <c r="AL315" s="49">
        <f t="shared" ref="AL315" ca="1" si="751">SUM(AL313:AL314)</f>
        <v>0</v>
      </c>
      <c r="AM315" s="49">
        <f t="shared" ref="AM315" ca="1" si="752">SUM(AM313:AM314)</f>
        <v>0</v>
      </c>
      <c r="AN315" s="49">
        <f t="shared" ref="AN315" ca="1" si="753">SUM(AN313:AN314)</f>
        <v>0</v>
      </c>
      <c r="AO315" s="49">
        <f t="shared" ref="AO315" ca="1" si="754">SUM(AO313:AO314)</f>
        <v>0</v>
      </c>
      <c r="AP315" s="49">
        <f t="shared" ref="AP315" ca="1" si="755">SUM(AP313:AP314)</f>
        <v>0</v>
      </c>
      <c r="AQ315" s="49">
        <f t="shared" ref="AQ315" ca="1" si="756">SUM(AQ313:AQ314)</f>
        <v>0</v>
      </c>
      <c r="AR315" s="49">
        <f t="shared" ref="AR315" ca="1" si="757">SUM(AR313:AR314)</f>
        <v>0</v>
      </c>
      <c r="AS315" s="49">
        <f t="shared" ref="AS315" ca="1" si="758">SUM(AS313:AS314)</f>
        <v>0</v>
      </c>
      <c r="AT315" s="49">
        <f t="shared" ref="AT315" ca="1" si="759">SUM(AT313:AT314)</f>
        <v>0</v>
      </c>
      <c r="AU315" s="49">
        <f t="shared" ref="AU315" ca="1" si="760">SUM(AU313:AU314)</f>
        <v>0</v>
      </c>
      <c r="AV315" s="49">
        <f t="shared" ref="AV315" ca="1" si="761">SUM(AV313:AV314)</f>
        <v>0</v>
      </c>
      <c r="AW315" s="49">
        <f t="shared" ref="AW315" ca="1" si="762">SUM(AW313:AW314)</f>
        <v>0</v>
      </c>
      <c r="AX315" s="49">
        <f t="shared" ref="AX315" ca="1" si="763">SUM(AX313:AX314)</f>
        <v>0</v>
      </c>
      <c r="AY315" s="49">
        <f t="shared" ref="AY315" ca="1" si="764">SUM(AY313:AY314)</f>
        <v>0</v>
      </c>
      <c r="AZ315" s="49">
        <f t="shared" ref="AZ315" ca="1" si="765">SUM(AZ313:AZ314)</f>
        <v>0</v>
      </c>
      <c r="BA315" s="49">
        <f t="shared" ref="BA315" ca="1" si="766">SUM(BA313:BA314)</f>
        <v>0</v>
      </c>
      <c r="BB315" s="49">
        <f t="shared" ref="BB315" ca="1" si="767">SUM(BB313:BB314)</f>
        <v>0</v>
      </c>
      <c r="BC315" s="49">
        <f t="shared" ref="BC315" ca="1" si="768">SUM(BC313:BC314)</f>
        <v>0</v>
      </c>
      <c r="BD315" s="49">
        <f t="shared" ref="BD315" ca="1" si="769">SUM(BD313:BD314)</f>
        <v>0</v>
      </c>
      <c r="BE315" s="49">
        <f t="shared" ref="BE315" ca="1" si="770">SUM(BE313:BE314)</f>
        <v>0</v>
      </c>
      <c r="BF315" s="49">
        <f t="shared" ref="BF315" ca="1" si="771">SUM(BF313:BF314)</f>
        <v>0</v>
      </c>
      <c r="BG315" s="49">
        <f t="shared" ref="BG315" ca="1" si="772">SUM(BG313:BG314)</f>
        <v>0</v>
      </c>
      <c r="BH315" s="49">
        <f t="shared" ref="BH315" ca="1" si="773">SUM(BH313:BH314)</f>
        <v>0</v>
      </c>
      <c r="BI315" s="49">
        <f t="shared" ref="BI315" ca="1" si="774">SUM(BI313:BI314)</f>
        <v>0</v>
      </c>
      <c r="BJ315" s="49">
        <f t="shared" ref="BJ315" ca="1" si="775">SUM(BJ313:BJ314)</f>
        <v>0</v>
      </c>
      <c r="BK315" s="49">
        <f t="shared" ref="BK315" ca="1" si="776">SUM(BK313:BK314)</f>
        <v>0</v>
      </c>
      <c r="BL315" s="49">
        <f t="shared" ref="BL315" ca="1" si="777">SUM(BL313:BL314)</f>
        <v>0</v>
      </c>
      <c r="BM315" s="49">
        <f t="shared" ref="BM315" ca="1" si="778">SUM(BM313:BM314)</f>
        <v>0</v>
      </c>
      <c r="BN315" s="49">
        <f t="shared" ref="BN315" ca="1" si="779">SUM(BN313:BN314)</f>
        <v>0</v>
      </c>
      <c r="BO315" s="49">
        <f t="shared" ref="BO315" ca="1" si="780">SUM(BO313:BO314)</f>
        <v>0</v>
      </c>
      <c r="BP315" s="49">
        <f t="shared" ref="BP315" ca="1" si="781">SUM(BP313:BP314)</f>
        <v>0</v>
      </c>
      <c r="BQ315" s="49">
        <f t="shared" ref="BQ315" ca="1" si="782">SUM(BQ313:BQ314)</f>
        <v>0</v>
      </c>
      <c r="BR315" s="49">
        <f t="shared" ref="BR315" ca="1" si="783">SUM(BR313:BR314)</f>
        <v>0</v>
      </c>
      <c r="BS315" s="49">
        <f t="shared" ref="BS315" ca="1" si="784">SUM(BS313:BS314)</f>
        <v>0</v>
      </c>
    </row>
    <row r="316" spans="3:71" outlineLevel="1" x14ac:dyDescent="0.2"/>
    <row r="317" spans="3:71" outlineLevel="1" x14ac:dyDescent="0.2"/>
    <row r="318" spans="3:71" outlineLevel="1" x14ac:dyDescent="0.2"/>
    <row r="319" spans="3:71" outlineLevel="1" x14ac:dyDescent="0.2"/>
    <row r="320" spans="3:71" outlineLevel="1" x14ac:dyDescent="0.2"/>
    <row r="321" spans="1:71" outlineLevel="1" x14ac:dyDescent="0.2"/>
    <row r="322" spans="1:71" outlineLevel="1" x14ac:dyDescent="0.2">
      <c r="A322" s="45"/>
      <c r="B322" s="38" t="s">
        <v>254</v>
      </c>
      <c r="C322" s="45"/>
      <c r="D322" s="45"/>
      <c r="E322" s="45"/>
    </row>
    <row r="323" spans="1:71" outlineLevel="1" x14ac:dyDescent="0.2"/>
    <row r="324" spans="1:71" outlineLevel="1" x14ac:dyDescent="0.2">
      <c r="C324" s="11" t="s">
        <v>330</v>
      </c>
    </row>
    <row r="325" spans="1:71" outlineLevel="1" x14ac:dyDescent="0.2">
      <c r="D325" t="s">
        <v>331</v>
      </c>
      <c r="I325" s="30">
        <f t="shared" ref="I325:I328" ca="1" si="785">SUM($L325:$BS325)</f>
        <v>0</v>
      </c>
      <c r="J325" s="26" t="s">
        <v>148</v>
      </c>
      <c r="K325" s="7" t="s">
        <v>358</v>
      </c>
      <c r="L325" s="49">
        <f t="shared" ref="L325:AQ325" ca="1" si="786">(CA_expex_nom*NOC_CI_expex)*CA_op_trig</f>
        <v>0</v>
      </c>
      <c r="M325" s="49">
        <f t="shared" ca="1" si="786"/>
        <v>0</v>
      </c>
      <c r="N325" s="49">
        <f t="shared" ca="1" si="786"/>
        <v>0</v>
      </c>
      <c r="O325" s="49">
        <f t="shared" ca="1" si="786"/>
        <v>0</v>
      </c>
      <c r="P325" s="49">
        <f t="shared" ca="1" si="786"/>
        <v>0</v>
      </c>
      <c r="Q325" s="49">
        <f t="shared" ca="1" si="786"/>
        <v>0</v>
      </c>
      <c r="R325" s="49">
        <f t="shared" ca="1" si="786"/>
        <v>0</v>
      </c>
      <c r="S325" s="49">
        <f t="shared" ca="1" si="786"/>
        <v>0</v>
      </c>
      <c r="T325" s="49">
        <f t="shared" ca="1" si="786"/>
        <v>0</v>
      </c>
      <c r="U325" s="49">
        <f t="shared" ca="1" si="786"/>
        <v>0</v>
      </c>
      <c r="V325" s="49">
        <f t="shared" ca="1" si="786"/>
        <v>0</v>
      </c>
      <c r="W325" s="49">
        <f t="shared" ca="1" si="786"/>
        <v>0</v>
      </c>
      <c r="X325" s="49">
        <f t="shared" ca="1" si="786"/>
        <v>0</v>
      </c>
      <c r="Y325" s="49">
        <f t="shared" ca="1" si="786"/>
        <v>0</v>
      </c>
      <c r="Z325" s="49">
        <f t="shared" ca="1" si="786"/>
        <v>0</v>
      </c>
      <c r="AA325" s="49">
        <f t="shared" ca="1" si="786"/>
        <v>0</v>
      </c>
      <c r="AB325" s="49">
        <f t="shared" ca="1" si="786"/>
        <v>0</v>
      </c>
      <c r="AC325" s="49">
        <f t="shared" ca="1" si="786"/>
        <v>0</v>
      </c>
      <c r="AD325" s="49">
        <f t="shared" ca="1" si="786"/>
        <v>0</v>
      </c>
      <c r="AE325" s="49">
        <f t="shared" ca="1" si="786"/>
        <v>0</v>
      </c>
      <c r="AF325" s="49">
        <f t="shared" ca="1" si="786"/>
        <v>0</v>
      </c>
      <c r="AG325" s="49">
        <f t="shared" ca="1" si="786"/>
        <v>0</v>
      </c>
      <c r="AH325" s="49">
        <f t="shared" ca="1" si="786"/>
        <v>0</v>
      </c>
      <c r="AI325" s="49">
        <f t="shared" ca="1" si="786"/>
        <v>0</v>
      </c>
      <c r="AJ325" s="49">
        <f t="shared" ca="1" si="786"/>
        <v>0</v>
      </c>
      <c r="AK325" s="49">
        <f t="shared" ca="1" si="786"/>
        <v>0</v>
      </c>
      <c r="AL325" s="49">
        <f t="shared" ca="1" si="786"/>
        <v>0</v>
      </c>
      <c r="AM325" s="49">
        <f t="shared" ca="1" si="786"/>
        <v>0</v>
      </c>
      <c r="AN325" s="49">
        <f t="shared" ca="1" si="786"/>
        <v>0</v>
      </c>
      <c r="AO325" s="49">
        <f t="shared" ca="1" si="786"/>
        <v>0</v>
      </c>
      <c r="AP325" s="49">
        <f t="shared" ca="1" si="786"/>
        <v>0</v>
      </c>
      <c r="AQ325" s="49">
        <f t="shared" ca="1" si="786"/>
        <v>0</v>
      </c>
      <c r="AR325" s="49">
        <f t="shared" ref="AR325:BS325" ca="1" si="787">(CA_expex_nom*NOC_CI_expex)*CA_op_trig</f>
        <v>0</v>
      </c>
      <c r="AS325" s="49">
        <f t="shared" ca="1" si="787"/>
        <v>0</v>
      </c>
      <c r="AT325" s="49">
        <f t="shared" ca="1" si="787"/>
        <v>0</v>
      </c>
      <c r="AU325" s="49">
        <f t="shared" ca="1" si="787"/>
        <v>0</v>
      </c>
      <c r="AV325" s="49">
        <f t="shared" ca="1" si="787"/>
        <v>0</v>
      </c>
      <c r="AW325" s="49">
        <f t="shared" ca="1" si="787"/>
        <v>0</v>
      </c>
      <c r="AX325" s="49">
        <f t="shared" ca="1" si="787"/>
        <v>0</v>
      </c>
      <c r="AY325" s="49">
        <f t="shared" ca="1" si="787"/>
        <v>0</v>
      </c>
      <c r="AZ325" s="49">
        <f t="shared" ca="1" si="787"/>
        <v>0</v>
      </c>
      <c r="BA325" s="49">
        <f t="shared" ca="1" si="787"/>
        <v>0</v>
      </c>
      <c r="BB325" s="49">
        <f t="shared" ca="1" si="787"/>
        <v>0</v>
      </c>
      <c r="BC325" s="49">
        <f t="shared" ca="1" si="787"/>
        <v>0</v>
      </c>
      <c r="BD325" s="49">
        <f t="shared" ca="1" si="787"/>
        <v>0</v>
      </c>
      <c r="BE325" s="49">
        <f t="shared" ca="1" si="787"/>
        <v>0</v>
      </c>
      <c r="BF325" s="49">
        <f t="shared" ca="1" si="787"/>
        <v>0</v>
      </c>
      <c r="BG325" s="49">
        <f t="shared" ca="1" si="787"/>
        <v>0</v>
      </c>
      <c r="BH325" s="49">
        <f t="shared" ca="1" si="787"/>
        <v>0</v>
      </c>
      <c r="BI325" s="49">
        <f t="shared" ca="1" si="787"/>
        <v>0</v>
      </c>
      <c r="BJ325" s="49">
        <f t="shared" ca="1" si="787"/>
        <v>0</v>
      </c>
      <c r="BK325" s="49">
        <f t="shared" ca="1" si="787"/>
        <v>0</v>
      </c>
      <c r="BL325" s="49">
        <f t="shared" ca="1" si="787"/>
        <v>0</v>
      </c>
      <c r="BM325" s="49">
        <f t="shared" ca="1" si="787"/>
        <v>0</v>
      </c>
      <c r="BN325" s="49">
        <f t="shared" ca="1" si="787"/>
        <v>0</v>
      </c>
      <c r="BO325" s="49">
        <f t="shared" ca="1" si="787"/>
        <v>0</v>
      </c>
      <c r="BP325" s="49">
        <f t="shared" ca="1" si="787"/>
        <v>0</v>
      </c>
      <c r="BQ325" s="49">
        <f t="shared" ca="1" si="787"/>
        <v>0</v>
      </c>
      <c r="BR325" s="49">
        <f t="shared" ca="1" si="787"/>
        <v>0</v>
      </c>
      <c r="BS325" s="49">
        <f t="shared" ca="1" si="787"/>
        <v>0</v>
      </c>
    </row>
    <row r="326" spans="1:71" outlineLevel="1" x14ac:dyDescent="0.2">
      <c r="D326" t="s">
        <v>332</v>
      </c>
      <c r="I326" s="30">
        <f t="shared" ca="1" si="785"/>
        <v>1637.03865</v>
      </c>
      <c r="J326" s="26" t="s">
        <v>148</v>
      </c>
      <c r="K326" s="7" t="s">
        <v>359</v>
      </c>
      <c r="L326" s="49">
        <f t="shared" ref="L326:AQ326" ca="1" si="788">(CA_devex_nom*NOC_CI_devex)*(CA_op_trig)</f>
        <v>193.01729999999998</v>
      </c>
      <c r="M326" s="49">
        <f t="shared" ca="1" si="788"/>
        <v>317.73179999999996</v>
      </c>
      <c r="N326" s="49">
        <f t="shared" ca="1" si="788"/>
        <v>469.58609999999999</v>
      </c>
      <c r="O326" s="49">
        <f t="shared" ca="1" si="788"/>
        <v>385.68014999999997</v>
      </c>
      <c r="P326" s="49">
        <f t="shared" ca="1" si="788"/>
        <v>172.98479999999998</v>
      </c>
      <c r="Q326" s="49">
        <f t="shared" ca="1" si="788"/>
        <v>98.038499999999999</v>
      </c>
      <c r="R326" s="49">
        <f t="shared" ca="1" si="788"/>
        <v>0</v>
      </c>
      <c r="S326" s="49">
        <f t="shared" ca="1" si="788"/>
        <v>0</v>
      </c>
      <c r="T326" s="49">
        <f t="shared" ca="1" si="788"/>
        <v>0</v>
      </c>
      <c r="U326" s="49">
        <f t="shared" ca="1" si="788"/>
        <v>0</v>
      </c>
      <c r="V326" s="49">
        <f t="shared" ca="1" si="788"/>
        <v>0</v>
      </c>
      <c r="W326" s="49">
        <f t="shared" ca="1" si="788"/>
        <v>0</v>
      </c>
      <c r="X326" s="49">
        <f t="shared" ca="1" si="788"/>
        <v>0</v>
      </c>
      <c r="Y326" s="49">
        <f t="shared" ca="1" si="788"/>
        <v>0</v>
      </c>
      <c r="Z326" s="49">
        <f t="shared" ca="1" si="788"/>
        <v>0</v>
      </c>
      <c r="AA326" s="49">
        <f t="shared" ca="1" si="788"/>
        <v>0</v>
      </c>
      <c r="AB326" s="49">
        <f t="shared" ca="1" si="788"/>
        <v>0</v>
      </c>
      <c r="AC326" s="49">
        <f t="shared" ca="1" si="788"/>
        <v>0</v>
      </c>
      <c r="AD326" s="49">
        <f t="shared" ca="1" si="788"/>
        <v>0</v>
      </c>
      <c r="AE326" s="49">
        <f t="shared" ca="1" si="788"/>
        <v>0</v>
      </c>
      <c r="AF326" s="49">
        <f t="shared" ca="1" si="788"/>
        <v>0</v>
      </c>
      <c r="AG326" s="49">
        <f t="shared" ca="1" si="788"/>
        <v>0</v>
      </c>
      <c r="AH326" s="49">
        <f t="shared" ca="1" si="788"/>
        <v>0</v>
      </c>
      <c r="AI326" s="49">
        <f t="shared" ca="1" si="788"/>
        <v>0</v>
      </c>
      <c r="AJ326" s="49">
        <f t="shared" ca="1" si="788"/>
        <v>0</v>
      </c>
      <c r="AK326" s="49">
        <f t="shared" ca="1" si="788"/>
        <v>0</v>
      </c>
      <c r="AL326" s="49">
        <f t="shared" ca="1" si="788"/>
        <v>0</v>
      </c>
      <c r="AM326" s="49">
        <f t="shared" ca="1" si="788"/>
        <v>0</v>
      </c>
      <c r="AN326" s="49">
        <f t="shared" ca="1" si="788"/>
        <v>0</v>
      </c>
      <c r="AO326" s="49">
        <f t="shared" ca="1" si="788"/>
        <v>0</v>
      </c>
      <c r="AP326" s="49">
        <f t="shared" ca="1" si="788"/>
        <v>0</v>
      </c>
      <c r="AQ326" s="49">
        <f t="shared" ca="1" si="788"/>
        <v>0</v>
      </c>
      <c r="AR326" s="49">
        <f t="shared" ref="AR326:BS326" ca="1" si="789">(CA_devex_nom*NOC_CI_devex)*(CA_op_trig)</f>
        <v>0</v>
      </c>
      <c r="AS326" s="49">
        <f t="shared" ca="1" si="789"/>
        <v>0</v>
      </c>
      <c r="AT326" s="49">
        <f t="shared" ca="1" si="789"/>
        <v>0</v>
      </c>
      <c r="AU326" s="49">
        <f t="shared" ca="1" si="789"/>
        <v>0</v>
      </c>
      <c r="AV326" s="49">
        <f t="shared" ca="1" si="789"/>
        <v>0</v>
      </c>
      <c r="AW326" s="49">
        <f t="shared" ca="1" si="789"/>
        <v>0</v>
      </c>
      <c r="AX326" s="49">
        <f t="shared" ca="1" si="789"/>
        <v>0</v>
      </c>
      <c r="AY326" s="49">
        <f t="shared" ca="1" si="789"/>
        <v>0</v>
      </c>
      <c r="AZ326" s="49">
        <f t="shared" ca="1" si="789"/>
        <v>0</v>
      </c>
      <c r="BA326" s="49">
        <f t="shared" ca="1" si="789"/>
        <v>0</v>
      </c>
      <c r="BB326" s="49">
        <f t="shared" ca="1" si="789"/>
        <v>0</v>
      </c>
      <c r="BC326" s="49">
        <f t="shared" ca="1" si="789"/>
        <v>0</v>
      </c>
      <c r="BD326" s="49">
        <f t="shared" ca="1" si="789"/>
        <v>0</v>
      </c>
      <c r="BE326" s="49">
        <f t="shared" ca="1" si="789"/>
        <v>0</v>
      </c>
      <c r="BF326" s="49">
        <f t="shared" ca="1" si="789"/>
        <v>0</v>
      </c>
      <c r="BG326" s="49">
        <f t="shared" ca="1" si="789"/>
        <v>0</v>
      </c>
      <c r="BH326" s="49">
        <f t="shared" ca="1" si="789"/>
        <v>0</v>
      </c>
      <c r="BI326" s="49">
        <f t="shared" ca="1" si="789"/>
        <v>0</v>
      </c>
      <c r="BJ326" s="49">
        <f t="shared" ca="1" si="789"/>
        <v>0</v>
      </c>
      <c r="BK326" s="49">
        <f t="shared" ca="1" si="789"/>
        <v>0</v>
      </c>
      <c r="BL326" s="49">
        <f t="shared" ca="1" si="789"/>
        <v>0</v>
      </c>
      <c r="BM326" s="49">
        <f t="shared" ca="1" si="789"/>
        <v>0</v>
      </c>
      <c r="BN326" s="49">
        <f t="shared" ca="1" si="789"/>
        <v>0</v>
      </c>
      <c r="BO326" s="49">
        <f t="shared" ca="1" si="789"/>
        <v>0</v>
      </c>
      <c r="BP326" s="49">
        <f t="shared" ca="1" si="789"/>
        <v>0</v>
      </c>
      <c r="BQ326" s="49">
        <f t="shared" ca="1" si="789"/>
        <v>0</v>
      </c>
      <c r="BR326" s="49">
        <f t="shared" ca="1" si="789"/>
        <v>0</v>
      </c>
      <c r="BS326" s="49">
        <f t="shared" ca="1" si="789"/>
        <v>0</v>
      </c>
    </row>
    <row r="327" spans="1:71" outlineLevel="1" x14ac:dyDescent="0.2">
      <c r="D327" t="s">
        <v>333</v>
      </c>
      <c r="I327" s="30">
        <f t="shared" ca="1" si="785"/>
        <v>0</v>
      </c>
      <c r="J327" s="26" t="s">
        <v>148</v>
      </c>
      <c r="K327" s="7" t="s">
        <v>360</v>
      </c>
      <c r="L327" s="49">
        <f t="shared" ref="L327:AQ327" ca="1" si="790">((CA_varopex_nom+CA_fixedopex_nom)*(NOC_CI_opex))*(CA_op_trig)</f>
        <v>0</v>
      </c>
      <c r="M327" s="49">
        <f t="shared" ca="1" si="790"/>
        <v>0</v>
      </c>
      <c r="N327" s="49">
        <f t="shared" ca="1" si="790"/>
        <v>0</v>
      </c>
      <c r="O327" s="49">
        <f t="shared" ca="1" si="790"/>
        <v>0</v>
      </c>
      <c r="P327" s="49">
        <f t="shared" ca="1" si="790"/>
        <v>0</v>
      </c>
      <c r="Q327" s="49">
        <f t="shared" ca="1" si="790"/>
        <v>0</v>
      </c>
      <c r="R327" s="49">
        <f t="shared" ca="1" si="790"/>
        <v>0</v>
      </c>
      <c r="S327" s="49">
        <f t="shared" ca="1" si="790"/>
        <v>0</v>
      </c>
      <c r="T327" s="49">
        <f t="shared" ca="1" si="790"/>
        <v>0</v>
      </c>
      <c r="U327" s="49">
        <f t="shared" ca="1" si="790"/>
        <v>0</v>
      </c>
      <c r="V327" s="49">
        <f t="shared" ca="1" si="790"/>
        <v>0</v>
      </c>
      <c r="W327" s="49">
        <f t="shared" ca="1" si="790"/>
        <v>0</v>
      </c>
      <c r="X327" s="49">
        <f t="shared" ca="1" si="790"/>
        <v>0</v>
      </c>
      <c r="Y327" s="49">
        <f t="shared" ca="1" si="790"/>
        <v>0</v>
      </c>
      <c r="Z327" s="49">
        <f t="shared" ca="1" si="790"/>
        <v>0</v>
      </c>
      <c r="AA327" s="49">
        <f t="shared" ca="1" si="790"/>
        <v>0</v>
      </c>
      <c r="AB327" s="49">
        <f t="shared" ca="1" si="790"/>
        <v>0</v>
      </c>
      <c r="AC327" s="49">
        <f t="shared" ca="1" si="790"/>
        <v>0</v>
      </c>
      <c r="AD327" s="49">
        <f t="shared" ca="1" si="790"/>
        <v>0</v>
      </c>
      <c r="AE327" s="49">
        <f t="shared" ca="1" si="790"/>
        <v>0</v>
      </c>
      <c r="AF327" s="49">
        <f t="shared" ca="1" si="790"/>
        <v>0</v>
      </c>
      <c r="AG327" s="49">
        <f t="shared" ca="1" si="790"/>
        <v>0</v>
      </c>
      <c r="AH327" s="49">
        <f t="shared" ca="1" si="790"/>
        <v>0</v>
      </c>
      <c r="AI327" s="49">
        <f t="shared" ca="1" si="790"/>
        <v>0</v>
      </c>
      <c r="AJ327" s="49">
        <f t="shared" ca="1" si="790"/>
        <v>0</v>
      </c>
      <c r="AK327" s="49">
        <f t="shared" ca="1" si="790"/>
        <v>0</v>
      </c>
      <c r="AL327" s="49">
        <f t="shared" ca="1" si="790"/>
        <v>0</v>
      </c>
      <c r="AM327" s="49">
        <f t="shared" ca="1" si="790"/>
        <v>0</v>
      </c>
      <c r="AN327" s="49">
        <f t="shared" ca="1" si="790"/>
        <v>0</v>
      </c>
      <c r="AO327" s="49">
        <f t="shared" ca="1" si="790"/>
        <v>0</v>
      </c>
      <c r="AP327" s="49">
        <f t="shared" ca="1" si="790"/>
        <v>0</v>
      </c>
      <c r="AQ327" s="49">
        <f t="shared" ca="1" si="790"/>
        <v>0</v>
      </c>
      <c r="AR327" s="49">
        <f t="shared" ref="AR327:BS327" ca="1" si="791">((CA_varopex_nom+CA_fixedopex_nom)*(NOC_CI_opex))*(CA_op_trig)</f>
        <v>0</v>
      </c>
      <c r="AS327" s="49">
        <f t="shared" ca="1" si="791"/>
        <v>0</v>
      </c>
      <c r="AT327" s="49">
        <f t="shared" ca="1" si="791"/>
        <v>0</v>
      </c>
      <c r="AU327" s="49">
        <f t="shared" ca="1" si="791"/>
        <v>0</v>
      </c>
      <c r="AV327" s="49">
        <f t="shared" ca="1" si="791"/>
        <v>0</v>
      </c>
      <c r="AW327" s="49">
        <f t="shared" ca="1" si="791"/>
        <v>0</v>
      </c>
      <c r="AX327" s="49">
        <f t="shared" ca="1" si="791"/>
        <v>0</v>
      </c>
      <c r="AY327" s="49">
        <f t="shared" ca="1" si="791"/>
        <v>0</v>
      </c>
      <c r="AZ327" s="49">
        <f t="shared" ca="1" si="791"/>
        <v>0</v>
      </c>
      <c r="BA327" s="49">
        <f t="shared" ca="1" si="791"/>
        <v>0</v>
      </c>
      <c r="BB327" s="49">
        <f t="shared" ca="1" si="791"/>
        <v>0</v>
      </c>
      <c r="BC327" s="49">
        <f t="shared" ca="1" si="791"/>
        <v>0</v>
      </c>
      <c r="BD327" s="49">
        <f t="shared" ca="1" si="791"/>
        <v>0</v>
      </c>
      <c r="BE327" s="49">
        <f t="shared" ca="1" si="791"/>
        <v>0</v>
      </c>
      <c r="BF327" s="49">
        <f t="shared" ca="1" si="791"/>
        <v>0</v>
      </c>
      <c r="BG327" s="49">
        <f t="shared" ca="1" si="791"/>
        <v>0</v>
      </c>
      <c r="BH327" s="49">
        <f t="shared" ca="1" si="791"/>
        <v>0</v>
      </c>
      <c r="BI327" s="49">
        <f t="shared" ca="1" si="791"/>
        <v>0</v>
      </c>
      <c r="BJ327" s="49">
        <f t="shared" ca="1" si="791"/>
        <v>0</v>
      </c>
      <c r="BK327" s="49">
        <f t="shared" ca="1" si="791"/>
        <v>0</v>
      </c>
      <c r="BL327" s="49">
        <f t="shared" ca="1" si="791"/>
        <v>0</v>
      </c>
      <c r="BM327" s="49">
        <f t="shared" ca="1" si="791"/>
        <v>0</v>
      </c>
      <c r="BN327" s="49">
        <f t="shared" ca="1" si="791"/>
        <v>0</v>
      </c>
      <c r="BO327" s="49">
        <f t="shared" ca="1" si="791"/>
        <v>0</v>
      </c>
      <c r="BP327" s="49">
        <f t="shared" ca="1" si="791"/>
        <v>0</v>
      </c>
      <c r="BQ327" s="49">
        <f t="shared" ca="1" si="791"/>
        <v>0</v>
      </c>
      <c r="BR327" s="49">
        <f t="shared" ca="1" si="791"/>
        <v>0</v>
      </c>
      <c r="BS327" s="49">
        <f t="shared" ca="1" si="791"/>
        <v>0</v>
      </c>
    </row>
    <row r="328" spans="1:71" outlineLevel="1" x14ac:dyDescent="0.2">
      <c r="D328" s="11" t="s">
        <v>129</v>
      </c>
      <c r="I328" s="30">
        <f t="shared" ca="1" si="785"/>
        <v>1637.03865</v>
      </c>
      <c r="J328" s="26" t="s">
        <v>148</v>
      </c>
      <c r="L328" s="49">
        <f ca="1">SUM(L325:L327)</f>
        <v>193.01729999999998</v>
      </c>
      <c r="M328" s="49">
        <f t="shared" ref="M328:BS328" ca="1" si="792">SUM(M325:M327)</f>
        <v>317.73179999999996</v>
      </c>
      <c r="N328" s="49">
        <f t="shared" ca="1" si="792"/>
        <v>469.58609999999999</v>
      </c>
      <c r="O328" s="49">
        <f t="shared" ca="1" si="792"/>
        <v>385.68014999999997</v>
      </c>
      <c r="P328" s="49">
        <f t="shared" ca="1" si="792"/>
        <v>172.98479999999998</v>
      </c>
      <c r="Q328" s="49">
        <f t="shared" ca="1" si="792"/>
        <v>98.038499999999999</v>
      </c>
      <c r="R328" s="49">
        <f t="shared" ca="1" si="792"/>
        <v>0</v>
      </c>
      <c r="S328" s="49">
        <f t="shared" ca="1" si="792"/>
        <v>0</v>
      </c>
      <c r="T328" s="49">
        <f t="shared" ca="1" si="792"/>
        <v>0</v>
      </c>
      <c r="U328" s="49">
        <f t="shared" ca="1" si="792"/>
        <v>0</v>
      </c>
      <c r="V328" s="49">
        <f t="shared" ca="1" si="792"/>
        <v>0</v>
      </c>
      <c r="W328" s="49">
        <f t="shared" ca="1" si="792"/>
        <v>0</v>
      </c>
      <c r="X328" s="49">
        <f t="shared" ca="1" si="792"/>
        <v>0</v>
      </c>
      <c r="Y328" s="49">
        <f t="shared" ca="1" si="792"/>
        <v>0</v>
      </c>
      <c r="Z328" s="49">
        <f t="shared" ca="1" si="792"/>
        <v>0</v>
      </c>
      <c r="AA328" s="49">
        <f t="shared" ca="1" si="792"/>
        <v>0</v>
      </c>
      <c r="AB328" s="49">
        <f t="shared" ca="1" si="792"/>
        <v>0</v>
      </c>
      <c r="AC328" s="49">
        <f t="shared" ca="1" si="792"/>
        <v>0</v>
      </c>
      <c r="AD328" s="49">
        <f t="shared" ca="1" si="792"/>
        <v>0</v>
      </c>
      <c r="AE328" s="49">
        <f t="shared" ca="1" si="792"/>
        <v>0</v>
      </c>
      <c r="AF328" s="49">
        <f t="shared" ca="1" si="792"/>
        <v>0</v>
      </c>
      <c r="AG328" s="49">
        <f t="shared" ca="1" si="792"/>
        <v>0</v>
      </c>
      <c r="AH328" s="49">
        <f t="shared" ca="1" si="792"/>
        <v>0</v>
      </c>
      <c r="AI328" s="49">
        <f t="shared" ca="1" si="792"/>
        <v>0</v>
      </c>
      <c r="AJ328" s="49">
        <f t="shared" ca="1" si="792"/>
        <v>0</v>
      </c>
      <c r="AK328" s="49">
        <f t="shared" ca="1" si="792"/>
        <v>0</v>
      </c>
      <c r="AL328" s="49">
        <f t="shared" ca="1" si="792"/>
        <v>0</v>
      </c>
      <c r="AM328" s="49">
        <f t="shared" ca="1" si="792"/>
        <v>0</v>
      </c>
      <c r="AN328" s="49">
        <f t="shared" ca="1" si="792"/>
        <v>0</v>
      </c>
      <c r="AO328" s="49">
        <f t="shared" ca="1" si="792"/>
        <v>0</v>
      </c>
      <c r="AP328" s="49">
        <f t="shared" ca="1" si="792"/>
        <v>0</v>
      </c>
      <c r="AQ328" s="49">
        <f t="shared" ca="1" si="792"/>
        <v>0</v>
      </c>
      <c r="AR328" s="49">
        <f t="shared" ca="1" si="792"/>
        <v>0</v>
      </c>
      <c r="AS328" s="49">
        <f t="shared" ca="1" si="792"/>
        <v>0</v>
      </c>
      <c r="AT328" s="49">
        <f t="shared" ca="1" si="792"/>
        <v>0</v>
      </c>
      <c r="AU328" s="49">
        <f t="shared" ca="1" si="792"/>
        <v>0</v>
      </c>
      <c r="AV328" s="49">
        <f t="shared" ca="1" si="792"/>
        <v>0</v>
      </c>
      <c r="AW328" s="49">
        <f t="shared" ca="1" si="792"/>
        <v>0</v>
      </c>
      <c r="AX328" s="49">
        <f t="shared" ca="1" si="792"/>
        <v>0</v>
      </c>
      <c r="AY328" s="49">
        <f t="shared" ca="1" si="792"/>
        <v>0</v>
      </c>
      <c r="AZ328" s="49">
        <f t="shared" ca="1" si="792"/>
        <v>0</v>
      </c>
      <c r="BA328" s="49">
        <f t="shared" ca="1" si="792"/>
        <v>0</v>
      </c>
      <c r="BB328" s="49">
        <f t="shared" ca="1" si="792"/>
        <v>0</v>
      </c>
      <c r="BC328" s="49">
        <f t="shared" ca="1" si="792"/>
        <v>0</v>
      </c>
      <c r="BD328" s="49">
        <f t="shared" ca="1" si="792"/>
        <v>0</v>
      </c>
      <c r="BE328" s="49">
        <f t="shared" ca="1" si="792"/>
        <v>0</v>
      </c>
      <c r="BF328" s="49">
        <f t="shared" ca="1" si="792"/>
        <v>0</v>
      </c>
      <c r="BG328" s="49">
        <f t="shared" ca="1" si="792"/>
        <v>0</v>
      </c>
      <c r="BH328" s="49">
        <f t="shared" ca="1" si="792"/>
        <v>0</v>
      </c>
      <c r="BI328" s="49">
        <f t="shared" ca="1" si="792"/>
        <v>0</v>
      </c>
      <c r="BJ328" s="49">
        <f t="shared" ca="1" si="792"/>
        <v>0</v>
      </c>
      <c r="BK328" s="49">
        <f t="shared" ca="1" si="792"/>
        <v>0</v>
      </c>
      <c r="BL328" s="49">
        <f t="shared" ca="1" si="792"/>
        <v>0</v>
      </c>
      <c r="BM328" s="49">
        <f t="shared" ca="1" si="792"/>
        <v>0</v>
      </c>
      <c r="BN328" s="49">
        <f t="shared" ca="1" si="792"/>
        <v>0</v>
      </c>
      <c r="BO328" s="49">
        <f t="shared" ca="1" si="792"/>
        <v>0</v>
      </c>
      <c r="BP328" s="49">
        <f t="shared" ca="1" si="792"/>
        <v>0</v>
      </c>
      <c r="BQ328" s="49">
        <f t="shared" ca="1" si="792"/>
        <v>0</v>
      </c>
      <c r="BR328" s="49">
        <f t="shared" ca="1" si="792"/>
        <v>0</v>
      </c>
      <c r="BS328" s="49">
        <f t="shared" ca="1" si="792"/>
        <v>0</v>
      </c>
    </row>
    <row r="329" spans="1:71" outlineLevel="1" x14ac:dyDescent="0.2"/>
    <row r="330" spans="1:71" outlineLevel="1" x14ac:dyDescent="0.2">
      <c r="C330" s="11" t="s">
        <v>334</v>
      </c>
    </row>
    <row r="331" spans="1:71" outlineLevel="1" x14ac:dyDescent="0.2">
      <c r="D331" t="s">
        <v>337</v>
      </c>
      <c r="L331" s="49">
        <f>K334</f>
        <v>0</v>
      </c>
      <c r="M331" s="49">
        <f t="shared" ref="M331:BS331" ca="1" si="793">L334</f>
        <v>0</v>
      </c>
      <c r="N331" s="49">
        <f t="shared" ca="1" si="793"/>
        <v>0</v>
      </c>
      <c r="O331" s="49">
        <f t="shared" ca="1" si="793"/>
        <v>0</v>
      </c>
      <c r="P331" s="49">
        <f t="shared" ca="1" si="793"/>
        <v>0</v>
      </c>
      <c r="Q331" s="49">
        <f t="shared" ca="1" si="793"/>
        <v>0</v>
      </c>
      <c r="R331" s="49">
        <f t="shared" ca="1" si="793"/>
        <v>0</v>
      </c>
      <c r="S331" s="49">
        <f t="shared" ca="1" si="793"/>
        <v>0</v>
      </c>
      <c r="T331" s="49">
        <f t="shared" ca="1" si="793"/>
        <v>0</v>
      </c>
      <c r="U331" s="49">
        <f t="shared" ca="1" si="793"/>
        <v>0</v>
      </c>
      <c r="V331" s="49">
        <f t="shared" ca="1" si="793"/>
        <v>0</v>
      </c>
      <c r="W331" s="49">
        <f t="shared" ca="1" si="793"/>
        <v>0</v>
      </c>
      <c r="X331" s="49">
        <f t="shared" ca="1" si="793"/>
        <v>0</v>
      </c>
      <c r="Y331" s="49">
        <f t="shared" ca="1" si="793"/>
        <v>0</v>
      </c>
      <c r="Z331" s="49">
        <f t="shared" ca="1" si="793"/>
        <v>0</v>
      </c>
      <c r="AA331" s="49">
        <f t="shared" ca="1" si="793"/>
        <v>0</v>
      </c>
      <c r="AB331" s="49">
        <f t="shared" ca="1" si="793"/>
        <v>0</v>
      </c>
      <c r="AC331" s="49">
        <f t="shared" ca="1" si="793"/>
        <v>0</v>
      </c>
      <c r="AD331" s="49">
        <f t="shared" ca="1" si="793"/>
        <v>0</v>
      </c>
      <c r="AE331" s="49">
        <f t="shared" ca="1" si="793"/>
        <v>0</v>
      </c>
      <c r="AF331" s="49">
        <f t="shared" ca="1" si="793"/>
        <v>0</v>
      </c>
      <c r="AG331" s="49">
        <f t="shared" ca="1" si="793"/>
        <v>0</v>
      </c>
      <c r="AH331" s="49">
        <f t="shared" ca="1" si="793"/>
        <v>0</v>
      </c>
      <c r="AI331" s="49">
        <f t="shared" ca="1" si="793"/>
        <v>0</v>
      </c>
      <c r="AJ331" s="49">
        <f t="shared" ca="1" si="793"/>
        <v>0</v>
      </c>
      <c r="AK331" s="49">
        <f t="shared" ca="1" si="793"/>
        <v>0</v>
      </c>
      <c r="AL331" s="49">
        <f t="shared" ca="1" si="793"/>
        <v>0</v>
      </c>
      <c r="AM331" s="49">
        <f t="shared" ca="1" si="793"/>
        <v>0</v>
      </c>
      <c r="AN331" s="49">
        <f t="shared" ca="1" si="793"/>
        <v>0</v>
      </c>
      <c r="AO331" s="49">
        <f t="shared" ca="1" si="793"/>
        <v>0</v>
      </c>
      <c r="AP331" s="49">
        <f t="shared" ca="1" si="793"/>
        <v>0</v>
      </c>
      <c r="AQ331" s="49">
        <f t="shared" ca="1" si="793"/>
        <v>0</v>
      </c>
      <c r="AR331" s="49">
        <f t="shared" ca="1" si="793"/>
        <v>0</v>
      </c>
      <c r="AS331" s="49">
        <f t="shared" ca="1" si="793"/>
        <v>0</v>
      </c>
      <c r="AT331" s="49">
        <f t="shared" ca="1" si="793"/>
        <v>0</v>
      </c>
      <c r="AU331" s="49">
        <f t="shared" ca="1" si="793"/>
        <v>0</v>
      </c>
      <c r="AV331" s="49">
        <f t="shared" ca="1" si="793"/>
        <v>0</v>
      </c>
      <c r="AW331" s="49">
        <f t="shared" ca="1" si="793"/>
        <v>0</v>
      </c>
      <c r="AX331" s="49">
        <f t="shared" ca="1" si="793"/>
        <v>0</v>
      </c>
      <c r="AY331" s="49">
        <f t="shared" ca="1" si="793"/>
        <v>0</v>
      </c>
      <c r="AZ331" s="49">
        <f t="shared" ca="1" si="793"/>
        <v>0</v>
      </c>
      <c r="BA331" s="49">
        <f t="shared" ca="1" si="793"/>
        <v>0</v>
      </c>
      <c r="BB331" s="49">
        <f t="shared" ca="1" si="793"/>
        <v>0</v>
      </c>
      <c r="BC331" s="49">
        <f t="shared" ca="1" si="793"/>
        <v>0</v>
      </c>
      <c r="BD331" s="49">
        <f t="shared" ca="1" si="793"/>
        <v>0</v>
      </c>
      <c r="BE331" s="49">
        <f t="shared" ca="1" si="793"/>
        <v>0</v>
      </c>
      <c r="BF331" s="49">
        <f t="shared" ca="1" si="793"/>
        <v>0</v>
      </c>
      <c r="BG331" s="49">
        <f t="shared" ca="1" si="793"/>
        <v>0</v>
      </c>
      <c r="BH331" s="49">
        <f t="shared" ca="1" si="793"/>
        <v>0</v>
      </c>
      <c r="BI331" s="49">
        <f t="shared" ca="1" si="793"/>
        <v>0</v>
      </c>
      <c r="BJ331" s="49">
        <f t="shared" ca="1" si="793"/>
        <v>0</v>
      </c>
      <c r="BK331" s="49">
        <f t="shared" ca="1" si="793"/>
        <v>0</v>
      </c>
      <c r="BL331" s="49">
        <f t="shared" ca="1" si="793"/>
        <v>0</v>
      </c>
      <c r="BM331" s="49">
        <f t="shared" ca="1" si="793"/>
        <v>0</v>
      </c>
      <c r="BN331" s="49">
        <f t="shared" ca="1" si="793"/>
        <v>0</v>
      </c>
      <c r="BO331" s="49">
        <f t="shared" ca="1" si="793"/>
        <v>0</v>
      </c>
      <c r="BP331" s="49">
        <f t="shared" ca="1" si="793"/>
        <v>0</v>
      </c>
      <c r="BQ331" s="49">
        <f t="shared" ca="1" si="793"/>
        <v>0</v>
      </c>
      <c r="BR331" s="49">
        <f t="shared" ca="1" si="793"/>
        <v>0</v>
      </c>
      <c r="BS331" s="49">
        <f t="shared" ca="1" si="793"/>
        <v>0</v>
      </c>
    </row>
    <row r="332" spans="1:71" outlineLevel="1" x14ac:dyDescent="0.2">
      <c r="D332" s="50" t="s">
        <v>348</v>
      </c>
      <c r="I332" s="30">
        <f t="shared" ref="I332:I333" ca="1" si="794">SUM($L332:$BS332)</f>
        <v>0</v>
      </c>
      <c r="J332" s="26" t="s">
        <v>148</v>
      </c>
      <c r="L332" s="49">
        <f ca="1">L325</f>
        <v>0</v>
      </c>
      <c r="M332" s="49">
        <f t="shared" ref="M332:BS332" ca="1" si="795">M325</f>
        <v>0</v>
      </c>
      <c r="N332" s="49">
        <f t="shared" ca="1" si="795"/>
        <v>0</v>
      </c>
      <c r="O332" s="49">
        <f t="shared" ca="1" si="795"/>
        <v>0</v>
      </c>
      <c r="P332" s="49">
        <f t="shared" ca="1" si="795"/>
        <v>0</v>
      </c>
      <c r="Q332" s="49">
        <f t="shared" ca="1" si="795"/>
        <v>0</v>
      </c>
      <c r="R332" s="49">
        <f t="shared" ca="1" si="795"/>
        <v>0</v>
      </c>
      <c r="S332" s="49">
        <f t="shared" ca="1" si="795"/>
        <v>0</v>
      </c>
      <c r="T332" s="49">
        <f t="shared" ca="1" si="795"/>
        <v>0</v>
      </c>
      <c r="U332" s="49">
        <f t="shared" ca="1" si="795"/>
        <v>0</v>
      </c>
      <c r="V332" s="49">
        <f t="shared" ca="1" si="795"/>
        <v>0</v>
      </c>
      <c r="W332" s="49">
        <f t="shared" ca="1" si="795"/>
        <v>0</v>
      </c>
      <c r="X332" s="49">
        <f t="shared" ca="1" si="795"/>
        <v>0</v>
      </c>
      <c r="Y332" s="49">
        <f t="shared" ca="1" si="795"/>
        <v>0</v>
      </c>
      <c r="Z332" s="49">
        <f t="shared" ca="1" si="795"/>
        <v>0</v>
      </c>
      <c r="AA332" s="49">
        <f t="shared" ca="1" si="795"/>
        <v>0</v>
      </c>
      <c r="AB332" s="49">
        <f t="shared" ca="1" si="795"/>
        <v>0</v>
      </c>
      <c r="AC332" s="49">
        <f t="shared" ca="1" si="795"/>
        <v>0</v>
      </c>
      <c r="AD332" s="49">
        <f t="shared" ca="1" si="795"/>
        <v>0</v>
      </c>
      <c r="AE332" s="49">
        <f t="shared" ca="1" si="795"/>
        <v>0</v>
      </c>
      <c r="AF332" s="49">
        <f t="shared" ca="1" si="795"/>
        <v>0</v>
      </c>
      <c r="AG332" s="49">
        <f t="shared" ca="1" si="795"/>
        <v>0</v>
      </c>
      <c r="AH332" s="49">
        <f t="shared" ca="1" si="795"/>
        <v>0</v>
      </c>
      <c r="AI332" s="49">
        <f t="shared" ca="1" si="795"/>
        <v>0</v>
      </c>
      <c r="AJ332" s="49">
        <f t="shared" ca="1" si="795"/>
        <v>0</v>
      </c>
      <c r="AK332" s="49">
        <f t="shared" ca="1" si="795"/>
        <v>0</v>
      </c>
      <c r="AL332" s="49">
        <f t="shared" ca="1" si="795"/>
        <v>0</v>
      </c>
      <c r="AM332" s="49">
        <f t="shared" ca="1" si="795"/>
        <v>0</v>
      </c>
      <c r="AN332" s="49">
        <f t="shared" ca="1" si="795"/>
        <v>0</v>
      </c>
      <c r="AO332" s="49">
        <f t="shared" ca="1" si="795"/>
        <v>0</v>
      </c>
      <c r="AP332" s="49">
        <f t="shared" ca="1" si="795"/>
        <v>0</v>
      </c>
      <c r="AQ332" s="49">
        <f t="shared" ca="1" si="795"/>
        <v>0</v>
      </c>
      <c r="AR332" s="49">
        <f t="shared" ca="1" si="795"/>
        <v>0</v>
      </c>
      <c r="AS332" s="49">
        <f t="shared" ca="1" si="795"/>
        <v>0</v>
      </c>
      <c r="AT332" s="49">
        <f t="shared" ca="1" si="795"/>
        <v>0</v>
      </c>
      <c r="AU332" s="49">
        <f t="shared" ca="1" si="795"/>
        <v>0</v>
      </c>
      <c r="AV332" s="49">
        <f t="shared" ca="1" si="795"/>
        <v>0</v>
      </c>
      <c r="AW332" s="49">
        <f t="shared" ca="1" si="795"/>
        <v>0</v>
      </c>
      <c r="AX332" s="49">
        <f t="shared" ca="1" si="795"/>
        <v>0</v>
      </c>
      <c r="AY332" s="49">
        <f t="shared" ca="1" si="795"/>
        <v>0</v>
      </c>
      <c r="AZ332" s="49">
        <f t="shared" ca="1" si="795"/>
        <v>0</v>
      </c>
      <c r="BA332" s="49">
        <f t="shared" ca="1" si="795"/>
        <v>0</v>
      </c>
      <c r="BB332" s="49">
        <f t="shared" ca="1" si="795"/>
        <v>0</v>
      </c>
      <c r="BC332" s="49">
        <f t="shared" ca="1" si="795"/>
        <v>0</v>
      </c>
      <c r="BD332" s="49">
        <f t="shared" ca="1" si="795"/>
        <v>0</v>
      </c>
      <c r="BE332" s="49">
        <f t="shared" ca="1" si="795"/>
        <v>0</v>
      </c>
      <c r="BF332" s="49">
        <f t="shared" ca="1" si="795"/>
        <v>0</v>
      </c>
      <c r="BG332" s="49">
        <f t="shared" ca="1" si="795"/>
        <v>0</v>
      </c>
      <c r="BH332" s="49">
        <f t="shared" ca="1" si="795"/>
        <v>0</v>
      </c>
      <c r="BI332" s="49">
        <f t="shared" ca="1" si="795"/>
        <v>0</v>
      </c>
      <c r="BJ332" s="49">
        <f t="shared" ca="1" si="795"/>
        <v>0</v>
      </c>
      <c r="BK332" s="49">
        <f t="shared" ca="1" si="795"/>
        <v>0</v>
      </c>
      <c r="BL332" s="49">
        <f t="shared" ca="1" si="795"/>
        <v>0</v>
      </c>
      <c r="BM332" s="49">
        <f t="shared" ca="1" si="795"/>
        <v>0</v>
      </c>
      <c r="BN332" s="49">
        <f t="shared" ca="1" si="795"/>
        <v>0</v>
      </c>
      <c r="BO332" s="49">
        <f t="shared" ca="1" si="795"/>
        <v>0</v>
      </c>
      <c r="BP332" s="49">
        <f t="shared" ca="1" si="795"/>
        <v>0</v>
      </c>
      <c r="BQ332" s="49">
        <f t="shared" ca="1" si="795"/>
        <v>0</v>
      </c>
      <c r="BR332" s="49">
        <f t="shared" ca="1" si="795"/>
        <v>0</v>
      </c>
      <c r="BS332" s="49">
        <f t="shared" ca="1" si="795"/>
        <v>0</v>
      </c>
    </row>
    <row r="333" spans="1:71" outlineLevel="1" x14ac:dyDescent="0.2">
      <c r="D333" s="50" t="s">
        <v>335</v>
      </c>
      <c r="I333" s="30">
        <f t="shared" ca="1" si="794"/>
        <v>0</v>
      </c>
      <c r="J333" s="26" t="s">
        <v>148</v>
      </c>
      <c r="L333" s="49">
        <f t="shared" ref="L333:AQ333" ca="1" si="796">-MIN(SUM(L331:L332),SUM(L$299,L$304)*NOC_rpmt_max_perc)*NOC_CI_expex_rpmt</f>
        <v>0</v>
      </c>
      <c r="M333" s="49">
        <f t="shared" ca="1" si="796"/>
        <v>0</v>
      </c>
      <c r="N333" s="49">
        <f t="shared" ca="1" si="796"/>
        <v>0</v>
      </c>
      <c r="O333" s="49">
        <f t="shared" ca="1" si="796"/>
        <v>0</v>
      </c>
      <c r="P333" s="49">
        <f t="shared" ca="1" si="796"/>
        <v>0</v>
      </c>
      <c r="Q333" s="49">
        <f t="shared" ca="1" si="796"/>
        <v>0</v>
      </c>
      <c r="R333" s="49">
        <f t="shared" ca="1" si="796"/>
        <v>0</v>
      </c>
      <c r="S333" s="49">
        <f t="shared" ca="1" si="796"/>
        <v>0</v>
      </c>
      <c r="T333" s="49">
        <f t="shared" ca="1" si="796"/>
        <v>0</v>
      </c>
      <c r="U333" s="49">
        <f t="shared" ca="1" si="796"/>
        <v>0</v>
      </c>
      <c r="V333" s="49">
        <f t="shared" ca="1" si="796"/>
        <v>0</v>
      </c>
      <c r="W333" s="49">
        <f t="shared" ca="1" si="796"/>
        <v>0</v>
      </c>
      <c r="X333" s="49">
        <f t="shared" ca="1" si="796"/>
        <v>0</v>
      </c>
      <c r="Y333" s="49">
        <f t="shared" ca="1" si="796"/>
        <v>0</v>
      </c>
      <c r="Z333" s="49">
        <f t="shared" ca="1" si="796"/>
        <v>0</v>
      </c>
      <c r="AA333" s="49">
        <f t="shared" ca="1" si="796"/>
        <v>0</v>
      </c>
      <c r="AB333" s="49">
        <f t="shared" ca="1" si="796"/>
        <v>0</v>
      </c>
      <c r="AC333" s="49">
        <f t="shared" ca="1" si="796"/>
        <v>0</v>
      </c>
      <c r="AD333" s="49">
        <f t="shared" ca="1" si="796"/>
        <v>0</v>
      </c>
      <c r="AE333" s="49">
        <f t="shared" ca="1" si="796"/>
        <v>0</v>
      </c>
      <c r="AF333" s="49">
        <f t="shared" ca="1" si="796"/>
        <v>0</v>
      </c>
      <c r="AG333" s="49">
        <f t="shared" ca="1" si="796"/>
        <v>0</v>
      </c>
      <c r="AH333" s="49">
        <f t="shared" ca="1" si="796"/>
        <v>0</v>
      </c>
      <c r="AI333" s="49">
        <f t="shared" ca="1" si="796"/>
        <v>0</v>
      </c>
      <c r="AJ333" s="49">
        <f t="shared" ca="1" si="796"/>
        <v>0</v>
      </c>
      <c r="AK333" s="49">
        <f t="shared" ca="1" si="796"/>
        <v>0</v>
      </c>
      <c r="AL333" s="49">
        <f t="shared" ca="1" si="796"/>
        <v>0</v>
      </c>
      <c r="AM333" s="49">
        <f t="shared" ca="1" si="796"/>
        <v>0</v>
      </c>
      <c r="AN333" s="49">
        <f t="shared" ca="1" si="796"/>
        <v>0</v>
      </c>
      <c r="AO333" s="49">
        <f t="shared" ca="1" si="796"/>
        <v>0</v>
      </c>
      <c r="AP333" s="49">
        <f t="shared" ca="1" si="796"/>
        <v>0</v>
      </c>
      <c r="AQ333" s="49">
        <f t="shared" ca="1" si="796"/>
        <v>0</v>
      </c>
      <c r="AR333" s="49">
        <f t="shared" ref="AR333:BS333" ca="1" si="797">-MIN(SUM(AR331:AR332),SUM(AR$299,AR$304)*NOC_rpmt_max_perc)*NOC_CI_expex_rpmt</f>
        <v>0</v>
      </c>
      <c r="AS333" s="49">
        <f t="shared" ca="1" si="797"/>
        <v>0</v>
      </c>
      <c r="AT333" s="49">
        <f t="shared" ca="1" si="797"/>
        <v>0</v>
      </c>
      <c r="AU333" s="49">
        <f t="shared" ca="1" si="797"/>
        <v>0</v>
      </c>
      <c r="AV333" s="49">
        <f t="shared" ca="1" si="797"/>
        <v>0</v>
      </c>
      <c r="AW333" s="49">
        <f t="shared" ca="1" si="797"/>
        <v>0</v>
      </c>
      <c r="AX333" s="49">
        <f t="shared" ca="1" si="797"/>
        <v>0</v>
      </c>
      <c r="AY333" s="49">
        <f t="shared" ca="1" si="797"/>
        <v>0</v>
      </c>
      <c r="AZ333" s="49">
        <f t="shared" ca="1" si="797"/>
        <v>0</v>
      </c>
      <c r="BA333" s="49">
        <f t="shared" ca="1" si="797"/>
        <v>0</v>
      </c>
      <c r="BB333" s="49">
        <f t="shared" ca="1" si="797"/>
        <v>0</v>
      </c>
      <c r="BC333" s="49">
        <f t="shared" ca="1" si="797"/>
        <v>0</v>
      </c>
      <c r="BD333" s="49">
        <f t="shared" ca="1" si="797"/>
        <v>0</v>
      </c>
      <c r="BE333" s="49">
        <f t="shared" ca="1" si="797"/>
        <v>0</v>
      </c>
      <c r="BF333" s="49">
        <f t="shared" ca="1" si="797"/>
        <v>0</v>
      </c>
      <c r="BG333" s="49">
        <f t="shared" ca="1" si="797"/>
        <v>0</v>
      </c>
      <c r="BH333" s="49">
        <f t="shared" ca="1" si="797"/>
        <v>0</v>
      </c>
      <c r="BI333" s="49">
        <f t="shared" ca="1" si="797"/>
        <v>0</v>
      </c>
      <c r="BJ333" s="49">
        <f t="shared" ca="1" si="797"/>
        <v>0</v>
      </c>
      <c r="BK333" s="49">
        <f t="shared" ca="1" si="797"/>
        <v>0</v>
      </c>
      <c r="BL333" s="49">
        <f t="shared" ca="1" si="797"/>
        <v>0</v>
      </c>
      <c r="BM333" s="49">
        <f t="shared" ca="1" si="797"/>
        <v>0</v>
      </c>
      <c r="BN333" s="49">
        <f t="shared" ca="1" si="797"/>
        <v>0</v>
      </c>
      <c r="BO333" s="49">
        <f t="shared" ca="1" si="797"/>
        <v>0</v>
      </c>
      <c r="BP333" s="49">
        <f t="shared" ca="1" si="797"/>
        <v>0</v>
      </c>
      <c r="BQ333" s="49">
        <f t="shared" ca="1" si="797"/>
        <v>0</v>
      </c>
      <c r="BR333" s="49">
        <f t="shared" ca="1" si="797"/>
        <v>0</v>
      </c>
      <c r="BS333" s="49">
        <f t="shared" ca="1" si="797"/>
        <v>0</v>
      </c>
    </row>
    <row r="334" spans="1:71" outlineLevel="1" x14ac:dyDescent="0.2">
      <c r="D334" t="s">
        <v>336</v>
      </c>
      <c r="L334" s="49">
        <f ca="1">SUM(L331:L333)</f>
        <v>0</v>
      </c>
      <c r="M334" s="49">
        <f t="shared" ref="M334:BS334" ca="1" si="798">SUM(M331:M333)</f>
        <v>0</v>
      </c>
      <c r="N334" s="49">
        <f t="shared" ca="1" si="798"/>
        <v>0</v>
      </c>
      <c r="O334" s="49">
        <f t="shared" ca="1" si="798"/>
        <v>0</v>
      </c>
      <c r="P334" s="49">
        <f t="shared" ca="1" si="798"/>
        <v>0</v>
      </c>
      <c r="Q334" s="49">
        <f t="shared" ca="1" si="798"/>
        <v>0</v>
      </c>
      <c r="R334" s="49">
        <f t="shared" ca="1" si="798"/>
        <v>0</v>
      </c>
      <c r="S334" s="49">
        <f t="shared" ca="1" si="798"/>
        <v>0</v>
      </c>
      <c r="T334" s="49">
        <f t="shared" ca="1" si="798"/>
        <v>0</v>
      </c>
      <c r="U334" s="49">
        <f t="shared" ca="1" si="798"/>
        <v>0</v>
      </c>
      <c r="V334" s="49">
        <f t="shared" ca="1" si="798"/>
        <v>0</v>
      </c>
      <c r="W334" s="49">
        <f t="shared" ca="1" si="798"/>
        <v>0</v>
      </c>
      <c r="X334" s="49">
        <f t="shared" ca="1" si="798"/>
        <v>0</v>
      </c>
      <c r="Y334" s="49">
        <f t="shared" ca="1" si="798"/>
        <v>0</v>
      </c>
      <c r="Z334" s="49">
        <f t="shared" ca="1" si="798"/>
        <v>0</v>
      </c>
      <c r="AA334" s="49">
        <f t="shared" ca="1" si="798"/>
        <v>0</v>
      </c>
      <c r="AB334" s="49">
        <f t="shared" ca="1" si="798"/>
        <v>0</v>
      </c>
      <c r="AC334" s="49">
        <f t="shared" ca="1" si="798"/>
        <v>0</v>
      </c>
      <c r="AD334" s="49">
        <f t="shared" ca="1" si="798"/>
        <v>0</v>
      </c>
      <c r="AE334" s="49">
        <f t="shared" ca="1" si="798"/>
        <v>0</v>
      </c>
      <c r="AF334" s="49">
        <f t="shared" ca="1" si="798"/>
        <v>0</v>
      </c>
      <c r="AG334" s="49">
        <f t="shared" ca="1" si="798"/>
        <v>0</v>
      </c>
      <c r="AH334" s="49">
        <f t="shared" ca="1" si="798"/>
        <v>0</v>
      </c>
      <c r="AI334" s="49">
        <f t="shared" ca="1" si="798"/>
        <v>0</v>
      </c>
      <c r="AJ334" s="49">
        <f t="shared" ca="1" si="798"/>
        <v>0</v>
      </c>
      <c r="AK334" s="49">
        <f t="shared" ca="1" si="798"/>
        <v>0</v>
      </c>
      <c r="AL334" s="49">
        <f t="shared" ca="1" si="798"/>
        <v>0</v>
      </c>
      <c r="AM334" s="49">
        <f t="shared" ca="1" si="798"/>
        <v>0</v>
      </c>
      <c r="AN334" s="49">
        <f t="shared" ca="1" si="798"/>
        <v>0</v>
      </c>
      <c r="AO334" s="49">
        <f t="shared" ca="1" si="798"/>
        <v>0</v>
      </c>
      <c r="AP334" s="49">
        <f t="shared" ca="1" si="798"/>
        <v>0</v>
      </c>
      <c r="AQ334" s="49">
        <f t="shared" ca="1" si="798"/>
        <v>0</v>
      </c>
      <c r="AR334" s="49">
        <f t="shared" ca="1" si="798"/>
        <v>0</v>
      </c>
      <c r="AS334" s="49">
        <f t="shared" ca="1" si="798"/>
        <v>0</v>
      </c>
      <c r="AT334" s="49">
        <f t="shared" ca="1" si="798"/>
        <v>0</v>
      </c>
      <c r="AU334" s="49">
        <f t="shared" ca="1" si="798"/>
        <v>0</v>
      </c>
      <c r="AV334" s="49">
        <f t="shared" ca="1" si="798"/>
        <v>0</v>
      </c>
      <c r="AW334" s="49">
        <f t="shared" ca="1" si="798"/>
        <v>0</v>
      </c>
      <c r="AX334" s="49">
        <f t="shared" ca="1" si="798"/>
        <v>0</v>
      </c>
      <c r="AY334" s="49">
        <f t="shared" ca="1" si="798"/>
        <v>0</v>
      </c>
      <c r="AZ334" s="49">
        <f t="shared" ca="1" si="798"/>
        <v>0</v>
      </c>
      <c r="BA334" s="49">
        <f t="shared" ca="1" si="798"/>
        <v>0</v>
      </c>
      <c r="BB334" s="49">
        <f t="shared" ca="1" si="798"/>
        <v>0</v>
      </c>
      <c r="BC334" s="49">
        <f t="shared" ca="1" si="798"/>
        <v>0</v>
      </c>
      <c r="BD334" s="49">
        <f t="shared" ca="1" si="798"/>
        <v>0</v>
      </c>
      <c r="BE334" s="49">
        <f t="shared" ca="1" si="798"/>
        <v>0</v>
      </c>
      <c r="BF334" s="49">
        <f t="shared" ca="1" si="798"/>
        <v>0</v>
      </c>
      <c r="BG334" s="49">
        <f t="shared" ca="1" si="798"/>
        <v>0</v>
      </c>
      <c r="BH334" s="49">
        <f t="shared" ca="1" si="798"/>
        <v>0</v>
      </c>
      <c r="BI334" s="49">
        <f t="shared" ca="1" si="798"/>
        <v>0</v>
      </c>
      <c r="BJ334" s="49">
        <f t="shared" ca="1" si="798"/>
        <v>0</v>
      </c>
      <c r="BK334" s="49">
        <f t="shared" ca="1" si="798"/>
        <v>0</v>
      </c>
      <c r="BL334" s="49">
        <f t="shared" ca="1" si="798"/>
        <v>0</v>
      </c>
      <c r="BM334" s="49">
        <f t="shared" ca="1" si="798"/>
        <v>0</v>
      </c>
      <c r="BN334" s="49">
        <f t="shared" ca="1" si="798"/>
        <v>0</v>
      </c>
      <c r="BO334" s="49">
        <f t="shared" ca="1" si="798"/>
        <v>0</v>
      </c>
      <c r="BP334" s="49">
        <f t="shared" ca="1" si="798"/>
        <v>0</v>
      </c>
      <c r="BQ334" s="49">
        <f t="shared" ca="1" si="798"/>
        <v>0</v>
      </c>
      <c r="BR334" s="49">
        <f t="shared" ca="1" si="798"/>
        <v>0</v>
      </c>
      <c r="BS334" s="49">
        <f t="shared" ca="1" si="798"/>
        <v>0</v>
      </c>
    </row>
    <row r="335" spans="1:71" outlineLevel="1" x14ac:dyDescent="0.2"/>
    <row r="336" spans="1:71" outlineLevel="1" x14ac:dyDescent="0.2">
      <c r="C336" s="11" t="s">
        <v>346</v>
      </c>
    </row>
    <row r="337" spans="3:71" outlineLevel="1" x14ac:dyDescent="0.2">
      <c r="D337" t="s">
        <v>337</v>
      </c>
      <c r="L337" s="49">
        <f>K340</f>
        <v>0</v>
      </c>
      <c r="M337" s="49">
        <f t="shared" ref="M337:BS337" ca="1" si="799">L340</f>
        <v>137.31907303106266</v>
      </c>
      <c r="N337" s="49">
        <f t="shared" ca="1" si="799"/>
        <v>399.51693112129078</v>
      </c>
      <c r="O337" s="49">
        <f t="shared" ca="1" si="799"/>
        <v>855.23597442604159</v>
      </c>
      <c r="P337" s="49">
        <f t="shared" ca="1" si="799"/>
        <v>1227.99823823516</v>
      </c>
      <c r="Q337" s="49">
        <f t="shared" ca="1" si="799"/>
        <v>1364.4039779696566</v>
      </c>
      <c r="R337" s="49">
        <f t="shared" ca="1" si="799"/>
        <v>1389.7316148965197</v>
      </c>
      <c r="S337" s="49">
        <f t="shared" ca="1" si="799"/>
        <v>1320.3270065971042</v>
      </c>
      <c r="T337" s="49">
        <f t="shared" ca="1" si="799"/>
        <v>1280.8667106755445</v>
      </c>
      <c r="U337" s="49">
        <f t="shared" ca="1" si="799"/>
        <v>1219.3874271708382</v>
      </c>
      <c r="V337" s="49">
        <f t="shared" ca="1" si="799"/>
        <v>1158.0157257577027</v>
      </c>
      <c r="W337" s="49">
        <f t="shared" ca="1" si="799"/>
        <v>1099.7985297972025</v>
      </c>
      <c r="X337" s="49">
        <f t="shared" ca="1" si="799"/>
        <v>1044.4223967992416</v>
      </c>
      <c r="Y337" s="49">
        <f t="shared" ca="1" si="799"/>
        <v>992.03612108044103</v>
      </c>
      <c r="Z337" s="49">
        <f t="shared" ca="1" si="799"/>
        <v>992.03612108044103</v>
      </c>
      <c r="AA337" s="49">
        <f t="shared" ca="1" si="799"/>
        <v>992.03612108044103</v>
      </c>
      <c r="AB337" s="49">
        <f t="shared" ca="1" si="799"/>
        <v>992.03612108044103</v>
      </c>
      <c r="AC337" s="49">
        <f t="shared" ca="1" si="799"/>
        <v>992.03612108044103</v>
      </c>
      <c r="AD337" s="49">
        <f t="shared" ca="1" si="799"/>
        <v>992.03612108044103</v>
      </c>
      <c r="AE337" s="49">
        <f t="shared" ca="1" si="799"/>
        <v>992.03612108044103</v>
      </c>
      <c r="AF337" s="49">
        <f t="shared" ca="1" si="799"/>
        <v>992.03612108044103</v>
      </c>
      <c r="AG337" s="49">
        <f t="shared" ca="1" si="799"/>
        <v>992.03612108044103</v>
      </c>
      <c r="AH337" s="49">
        <f t="shared" ca="1" si="799"/>
        <v>992.03612108044103</v>
      </c>
      <c r="AI337" s="49">
        <f t="shared" ca="1" si="799"/>
        <v>992.03612108044103</v>
      </c>
      <c r="AJ337" s="49">
        <f t="shared" ca="1" si="799"/>
        <v>992.03612108044103</v>
      </c>
      <c r="AK337" s="49">
        <f t="shared" ca="1" si="799"/>
        <v>992.03612108044103</v>
      </c>
      <c r="AL337" s="49">
        <f t="shared" ca="1" si="799"/>
        <v>992.03612108044103</v>
      </c>
      <c r="AM337" s="49">
        <f t="shared" ca="1" si="799"/>
        <v>992.03612108044103</v>
      </c>
      <c r="AN337" s="49">
        <f t="shared" ca="1" si="799"/>
        <v>992.03612108044103</v>
      </c>
      <c r="AO337" s="49">
        <f t="shared" ca="1" si="799"/>
        <v>992.03612108044103</v>
      </c>
      <c r="AP337" s="49">
        <f t="shared" ca="1" si="799"/>
        <v>992.03612108044103</v>
      </c>
      <c r="AQ337" s="49">
        <f t="shared" ca="1" si="799"/>
        <v>992.03612108044103</v>
      </c>
      <c r="AR337" s="49">
        <f t="shared" ca="1" si="799"/>
        <v>992.03612108044103</v>
      </c>
      <c r="AS337" s="49">
        <f t="shared" ca="1" si="799"/>
        <v>992.03612108044103</v>
      </c>
      <c r="AT337" s="49">
        <f t="shared" ca="1" si="799"/>
        <v>992.03612108044103</v>
      </c>
      <c r="AU337" s="49">
        <f t="shared" ca="1" si="799"/>
        <v>992.03612108044103</v>
      </c>
      <c r="AV337" s="49">
        <f t="shared" ca="1" si="799"/>
        <v>992.03612108044103</v>
      </c>
      <c r="AW337" s="49">
        <f t="shared" ca="1" si="799"/>
        <v>992.03612108044103</v>
      </c>
      <c r="AX337" s="49">
        <f t="shared" ca="1" si="799"/>
        <v>992.03612108044103</v>
      </c>
      <c r="AY337" s="49">
        <f t="shared" ca="1" si="799"/>
        <v>992.03612108044103</v>
      </c>
      <c r="AZ337" s="49">
        <f t="shared" ca="1" si="799"/>
        <v>992.03612108044103</v>
      </c>
      <c r="BA337" s="49">
        <f t="shared" ca="1" si="799"/>
        <v>992.03612108044103</v>
      </c>
      <c r="BB337" s="49">
        <f t="shared" ca="1" si="799"/>
        <v>992.03612108044103</v>
      </c>
      <c r="BC337" s="49">
        <f t="shared" ca="1" si="799"/>
        <v>992.03612108044103</v>
      </c>
      <c r="BD337" s="49">
        <f t="shared" ca="1" si="799"/>
        <v>992.03612108044103</v>
      </c>
      <c r="BE337" s="49">
        <f t="shared" ca="1" si="799"/>
        <v>992.03612108044103</v>
      </c>
      <c r="BF337" s="49">
        <f t="shared" ca="1" si="799"/>
        <v>992.03612108044103</v>
      </c>
      <c r="BG337" s="49">
        <f t="shared" ca="1" si="799"/>
        <v>992.03612108044103</v>
      </c>
      <c r="BH337" s="49">
        <f t="shared" ca="1" si="799"/>
        <v>992.03612108044103</v>
      </c>
      <c r="BI337" s="49">
        <f t="shared" ca="1" si="799"/>
        <v>992.03612108044103</v>
      </c>
      <c r="BJ337" s="49">
        <f t="shared" ca="1" si="799"/>
        <v>992.03612108044103</v>
      </c>
      <c r="BK337" s="49">
        <f t="shared" ca="1" si="799"/>
        <v>992.03612108044103</v>
      </c>
      <c r="BL337" s="49">
        <f t="shared" ca="1" si="799"/>
        <v>992.03612108044103</v>
      </c>
      <c r="BM337" s="49">
        <f t="shared" ca="1" si="799"/>
        <v>992.03612108044103</v>
      </c>
      <c r="BN337" s="49">
        <f t="shared" ca="1" si="799"/>
        <v>992.03612108044103</v>
      </c>
      <c r="BO337" s="49">
        <f t="shared" ca="1" si="799"/>
        <v>992.03612108044103</v>
      </c>
      <c r="BP337" s="49">
        <f t="shared" ca="1" si="799"/>
        <v>992.03612108044103</v>
      </c>
      <c r="BQ337" s="49">
        <f t="shared" ca="1" si="799"/>
        <v>992.03612108044103</v>
      </c>
      <c r="BR337" s="49">
        <f t="shared" ca="1" si="799"/>
        <v>992.03612108044103</v>
      </c>
      <c r="BS337" s="49">
        <f t="shared" ca="1" si="799"/>
        <v>992.03612108044103</v>
      </c>
    </row>
    <row r="338" spans="3:71" outlineLevel="1" x14ac:dyDescent="0.2">
      <c r="D338" s="50" t="s">
        <v>348</v>
      </c>
      <c r="I338" s="30">
        <f t="shared" ref="I338:I339" ca="1" si="800">SUM($L338:$BS338)</f>
        <v>1637.03865</v>
      </c>
      <c r="J338" s="26" t="s">
        <v>148</v>
      </c>
      <c r="L338" s="49">
        <f ca="1">L326</f>
        <v>193.01729999999998</v>
      </c>
      <c r="M338" s="49">
        <f t="shared" ref="M338:BS338" ca="1" si="801">M326</f>
        <v>317.73179999999996</v>
      </c>
      <c r="N338" s="49">
        <f t="shared" ca="1" si="801"/>
        <v>469.58609999999999</v>
      </c>
      <c r="O338" s="49">
        <f t="shared" ca="1" si="801"/>
        <v>385.68014999999997</v>
      </c>
      <c r="P338" s="49">
        <f t="shared" ca="1" si="801"/>
        <v>172.98479999999998</v>
      </c>
      <c r="Q338" s="49">
        <f t="shared" ca="1" si="801"/>
        <v>98.038499999999999</v>
      </c>
      <c r="R338" s="49">
        <f t="shared" ca="1" si="801"/>
        <v>0</v>
      </c>
      <c r="S338" s="49">
        <f t="shared" ca="1" si="801"/>
        <v>0</v>
      </c>
      <c r="T338" s="49">
        <f t="shared" ca="1" si="801"/>
        <v>0</v>
      </c>
      <c r="U338" s="49">
        <f t="shared" ca="1" si="801"/>
        <v>0</v>
      </c>
      <c r="V338" s="49">
        <f t="shared" ca="1" si="801"/>
        <v>0</v>
      </c>
      <c r="W338" s="49">
        <f t="shared" ca="1" si="801"/>
        <v>0</v>
      </c>
      <c r="X338" s="49">
        <f t="shared" ca="1" si="801"/>
        <v>0</v>
      </c>
      <c r="Y338" s="49">
        <f t="shared" ca="1" si="801"/>
        <v>0</v>
      </c>
      <c r="Z338" s="49">
        <f t="shared" ca="1" si="801"/>
        <v>0</v>
      </c>
      <c r="AA338" s="49">
        <f t="shared" ca="1" si="801"/>
        <v>0</v>
      </c>
      <c r="AB338" s="49">
        <f t="shared" ca="1" si="801"/>
        <v>0</v>
      </c>
      <c r="AC338" s="49">
        <f t="shared" ca="1" si="801"/>
        <v>0</v>
      </c>
      <c r="AD338" s="49">
        <f t="shared" ca="1" si="801"/>
        <v>0</v>
      </c>
      <c r="AE338" s="49">
        <f t="shared" ca="1" si="801"/>
        <v>0</v>
      </c>
      <c r="AF338" s="49">
        <f t="shared" ca="1" si="801"/>
        <v>0</v>
      </c>
      <c r="AG338" s="49">
        <f t="shared" ca="1" si="801"/>
        <v>0</v>
      </c>
      <c r="AH338" s="49">
        <f t="shared" ca="1" si="801"/>
        <v>0</v>
      </c>
      <c r="AI338" s="49">
        <f t="shared" ca="1" si="801"/>
        <v>0</v>
      </c>
      <c r="AJ338" s="49">
        <f t="shared" ca="1" si="801"/>
        <v>0</v>
      </c>
      <c r="AK338" s="49">
        <f t="shared" ca="1" si="801"/>
        <v>0</v>
      </c>
      <c r="AL338" s="49">
        <f t="shared" ca="1" si="801"/>
        <v>0</v>
      </c>
      <c r="AM338" s="49">
        <f t="shared" ca="1" si="801"/>
        <v>0</v>
      </c>
      <c r="AN338" s="49">
        <f t="shared" ca="1" si="801"/>
        <v>0</v>
      </c>
      <c r="AO338" s="49">
        <f t="shared" ca="1" si="801"/>
        <v>0</v>
      </c>
      <c r="AP338" s="49">
        <f t="shared" ca="1" si="801"/>
        <v>0</v>
      </c>
      <c r="AQ338" s="49">
        <f t="shared" ca="1" si="801"/>
        <v>0</v>
      </c>
      <c r="AR338" s="49">
        <f t="shared" ca="1" si="801"/>
        <v>0</v>
      </c>
      <c r="AS338" s="49">
        <f t="shared" ca="1" si="801"/>
        <v>0</v>
      </c>
      <c r="AT338" s="49">
        <f t="shared" ca="1" si="801"/>
        <v>0</v>
      </c>
      <c r="AU338" s="49">
        <f t="shared" ca="1" si="801"/>
        <v>0</v>
      </c>
      <c r="AV338" s="49">
        <f t="shared" ca="1" si="801"/>
        <v>0</v>
      </c>
      <c r="AW338" s="49">
        <f t="shared" ca="1" si="801"/>
        <v>0</v>
      </c>
      <c r="AX338" s="49">
        <f t="shared" ca="1" si="801"/>
        <v>0</v>
      </c>
      <c r="AY338" s="49">
        <f t="shared" ca="1" si="801"/>
        <v>0</v>
      </c>
      <c r="AZ338" s="49">
        <f t="shared" ca="1" si="801"/>
        <v>0</v>
      </c>
      <c r="BA338" s="49">
        <f t="shared" ca="1" si="801"/>
        <v>0</v>
      </c>
      <c r="BB338" s="49">
        <f t="shared" ca="1" si="801"/>
        <v>0</v>
      </c>
      <c r="BC338" s="49">
        <f t="shared" ca="1" si="801"/>
        <v>0</v>
      </c>
      <c r="BD338" s="49">
        <f t="shared" ca="1" si="801"/>
        <v>0</v>
      </c>
      <c r="BE338" s="49">
        <f t="shared" ca="1" si="801"/>
        <v>0</v>
      </c>
      <c r="BF338" s="49">
        <f t="shared" ca="1" si="801"/>
        <v>0</v>
      </c>
      <c r="BG338" s="49">
        <f t="shared" ca="1" si="801"/>
        <v>0</v>
      </c>
      <c r="BH338" s="49">
        <f t="shared" ca="1" si="801"/>
        <v>0</v>
      </c>
      <c r="BI338" s="49">
        <f t="shared" ca="1" si="801"/>
        <v>0</v>
      </c>
      <c r="BJ338" s="49">
        <f t="shared" ca="1" si="801"/>
        <v>0</v>
      </c>
      <c r="BK338" s="49">
        <f t="shared" ca="1" si="801"/>
        <v>0</v>
      </c>
      <c r="BL338" s="49">
        <f t="shared" ca="1" si="801"/>
        <v>0</v>
      </c>
      <c r="BM338" s="49">
        <f t="shared" ca="1" si="801"/>
        <v>0</v>
      </c>
      <c r="BN338" s="49">
        <f t="shared" ca="1" si="801"/>
        <v>0</v>
      </c>
      <c r="BO338" s="49">
        <f t="shared" ca="1" si="801"/>
        <v>0</v>
      </c>
      <c r="BP338" s="49">
        <f t="shared" ca="1" si="801"/>
        <v>0</v>
      </c>
      <c r="BQ338" s="49">
        <f t="shared" ca="1" si="801"/>
        <v>0</v>
      </c>
      <c r="BR338" s="49">
        <f t="shared" ca="1" si="801"/>
        <v>0</v>
      </c>
      <c r="BS338" s="49">
        <f t="shared" ca="1" si="801"/>
        <v>0</v>
      </c>
    </row>
    <row r="339" spans="3:71" outlineLevel="1" x14ac:dyDescent="0.2">
      <c r="D339" s="50" t="s">
        <v>335</v>
      </c>
      <c r="I339" s="30">
        <f t="shared" ca="1" si="800"/>
        <v>-645.00252891955881</v>
      </c>
      <c r="J339" s="26" t="s">
        <v>148</v>
      </c>
      <c r="L339" s="49">
        <f t="shared" ref="L339:AQ339" ca="1" si="802">-MIN(SUM(L337:L338),SUM(L$299,L$304)*NOC_rpmt_max_perc)*NOC_CI_devex_rpmt</f>
        <v>-55.698226968937327</v>
      </c>
      <c r="M339" s="49">
        <f t="shared" ca="1" si="802"/>
        <v>-55.533941909771869</v>
      </c>
      <c r="N339" s="49">
        <f t="shared" ca="1" si="802"/>
        <v>-13.867056695249131</v>
      </c>
      <c r="O339" s="49">
        <f t="shared" ca="1" si="802"/>
        <v>-12.917886190881621</v>
      </c>
      <c r="P339" s="49">
        <f t="shared" ca="1" si="802"/>
        <v>-36.579060265503358</v>
      </c>
      <c r="Q339" s="49">
        <f t="shared" ca="1" si="802"/>
        <v>-72.710863073136821</v>
      </c>
      <c r="R339" s="49">
        <f t="shared" ca="1" si="802"/>
        <v>-69.4046082994155</v>
      </c>
      <c r="S339" s="49">
        <f t="shared" ca="1" si="802"/>
        <v>-39.460295921559748</v>
      </c>
      <c r="T339" s="49">
        <f t="shared" ca="1" si="802"/>
        <v>-61.479283504706267</v>
      </c>
      <c r="U339" s="49">
        <f t="shared" ca="1" si="802"/>
        <v>-61.371701413135398</v>
      </c>
      <c r="V339" s="49">
        <f t="shared" ca="1" si="802"/>
        <v>-58.217195960500227</v>
      </c>
      <c r="W339" s="49">
        <f t="shared" ca="1" si="802"/>
        <v>-55.376132997961008</v>
      </c>
      <c r="X339" s="49">
        <f t="shared" ca="1" si="802"/>
        <v>-52.386275718800604</v>
      </c>
      <c r="Y339" s="49">
        <f t="shared" ca="1" si="802"/>
        <v>0</v>
      </c>
      <c r="Z339" s="49">
        <f t="shared" ca="1" si="802"/>
        <v>0</v>
      </c>
      <c r="AA339" s="49">
        <f t="shared" ca="1" si="802"/>
        <v>0</v>
      </c>
      <c r="AB339" s="49">
        <f t="shared" ca="1" si="802"/>
        <v>0</v>
      </c>
      <c r="AC339" s="49">
        <f t="shared" ca="1" si="802"/>
        <v>0</v>
      </c>
      <c r="AD339" s="49">
        <f t="shared" ca="1" si="802"/>
        <v>0</v>
      </c>
      <c r="AE339" s="49">
        <f t="shared" ca="1" si="802"/>
        <v>0</v>
      </c>
      <c r="AF339" s="49">
        <f t="shared" ca="1" si="802"/>
        <v>0</v>
      </c>
      <c r="AG339" s="49">
        <f t="shared" ca="1" si="802"/>
        <v>0</v>
      </c>
      <c r="AH339" s="49">
        <f t="shared" ca="1" si="802"/>
        <v>0</v>
      </c>
      <c r="AI339" s="49">
        <f t="shared" ca="1" si="802"/>
        <v>0</v>
      </c>
      <c r="AJ339" s="49">
        <f t="shared" ca="1" si="802"/>
        <v>0</v>
      </c>
      <c r="AK339" s="49">
        <f t="shared" ca="1" si="802"/>
        <v>0</v>
      </c>
      <c r="AL339" s="49">
        <f t="shared" ca="1" si="802"/>
        <v>0</v>
      </c>
      <c r="AM339" s="49">
        <f t="shared" ca="1" si="802"/>
        <v>0</v>
      </c>
      <c r="AN339" s="49">
        <f t="shared" ca="1" si="802"/>
        <v>0</v>
      </c>
      <c r="AO339" s="49">
        <f t="shared" ca="1" si="802"/>
        <v>0</v>
      </c>
      <c r="AP339" s="49">
        <f t="shared" ca="1" si="802"/>
        <v>0</v>
      </c>
      <c r="AQ339" s="49">
        <f t="shared" ca="1" si="802"/>
        <v>0</v>
      </c>
      <c r="AR339" s="49">
        <f t="shared" ref="AR339:BS339" ca="1" si="803">-MIN(SUM(AR337:AR338),SUM(AR$299,AR$304)*NOC_rpmt_max_perc)*NOC_CI_devex_rpmt</f>
        <v>0</v>
      </c>
      <c r="AS339" s="49">
        <f t="shared" ca="1" si="803"/>
        <v>0</v>
      </c>
      <c r="AT339" s="49">
        <f t="shared" ca="1" si="803"/>
        <v>0</v>
      </c>
      <c r="AU339" s="49">
        <f t="shared" ca="1" si="803"/>
        <v>0</v>
      </c>
      <c r="AV339" s="49">
        <f t="shared" ca="1" si="803"/>
        <v>0</v>
      </c>
      <c r="AW339" s="49">
        <f t="shared" ca="1" si="803"/>
        <v>0</v>
      </c>
      <c r="AX339" s="49">
        <f t="shared" ca="1" si="803"/>
        <v>0</v>
      </c>
      <c r="AY339" s="49">
        <f t="shared" ca="1" si="803"/>
        <v>0</v>
      </c>
      <c r="AZ339" s="49">
        <f t="shared" ca="1" si="803"/>
        <v>0</v>
      </c>
      <c r="BA339" s="49">
        <f t="shared" ca="1" si="803"/>
        <v>0</v>
      </c>
      <c r="BB339" s="49">
        <f t="shared" ca="1" si="803"/>
        <v>0</v>
      </c>
      <c r="BC339" s="49">
        <f t="shared" ca="1" si="803"/>
        <v>0</v>
      </c>
      <c r="BD339" s="49">
        <f t="shared" ca="1" si="803"/>
        <v>0</v>
      </c>
      <c r="BE339" s="49">
        <f t="shared" ca="1" si="803"/>
        <v>0</v>
      </c>
      <c r="BF339" s="49">
        <f t="shared" ca="1" si="803"/>
        <v>0</v>
      </c>
      <c r="BG339" s="49">
        <f t="shared" ca="1" si="803"/>
        <v>0</v>
      </c>
      <c r="BH339" s="49">
        <f t="shared" ca="1" si="803"/>
        <v>0</v>
      </c>
      <c r="BI339" s="49">
        <f t="shared" ca="1" si="803"/>
        <v>0</v>
      </c>
      <c r="BJ339" s="49">
        <f t="shared" ca="1" si="803"/>
        <v>0</v>
      </c>
      <c r="BK339" s="49">
        <f t="shared" ca="1" si="803"/>
        <v>0</v>
      </c>
      <c r="BL339" s="49">
        <f t="shared" ca="1" si="803"/>
        <v>0</v>
      </c>
      <c r="BM339" s="49">
        <f t="shared" ca="1" si="803"/>
        <v>0</v>
      </c>
      <c r="BN339" s="49">
        <f t="shared" ca="1" si="803"/>
        <v>0</v>
      </c>
      <c r="BO339" s="49">
        <f t="shared" ca="1" si="803"/>
        <v>0</v>
      </c>
      <c r="BP339" s="49">
        <f t="shared" ca="1" si="803"/>
        <v>0</v>
      </c>
      <c r="BQ339" s="49">
        <f t="shared" ca="1" si="803"/>
        <v>0</v>
      </c>
      <c r="BR339" s="49">
        <f t="shared" ca="1" si="803"/>
        <v>0</v>
      </c>
      <c r="BS339" s="49">
        <f t="shared" ca="1" si="803"/>
        <v>0</v>
      </c>
    </row>
    <row r="340" spans="3:71" outlineLevel="1" x14ac:dyDescent="0.2">
      <c r="D340" t="s">
        <v>336</v>
      </c>
      <c r="L340" s="49">
        <f ca="1">SUM(L337:L339)</f>
        <v>137.31907303106266</v>
      </c>
      <c r="M340" s="49">
        <f t="shared" ref="M340" ca="1" si="804">SUM(M337:M339)</f>
        <v>399.51693112129078</v>
      </c>
      <c r="N340" s="49">
        <f t="shared" ref="N340" ca="1" si="805">SUM(N337:N339)</f>
        <v>855.23597442604159</v>
      </c>
      <c r="O340" s="49">
        <f t="shared" ref="O340" ca="1" si="806">SUM(O337:O339)</f>
        <v>1227.99823823516</v>
      </c>
      <c r="P340" s="49">
        <f t="shared" ref="P340" ca="1" si="807">SUM(P337:P339)</f>
        <v>1364.4039779696566</v>
      </c>
      <c r="Q340" s="49">
        <f t="shared" ref="Q340" ca="1" si="808">SUM(Q337:Q339)</f>
        <v>1389.7316148965197</v>
      </c>
      <c r="R340" s="49">
        <f t="shared" ref="R340" ca="1" si="809">SUM(R337:R339)</f>
        <v>1320.3270065971042</v>
      </c>
      <c r="S340" s="49">
        <f t="shared" ref="S340" ca="1" si="810">SUM(S337:S339)</f>
        <v>1280.8667106755445</v>
      </c>
      <c r="T340" s="49">
        <f t="shared" ref="T340" ca="1" si="811">SUM(T337:T339)</f>
        <v>1219.3874271708382</v>
      </c>
      <c r="U340" s="49">
        <f t="shared" ref="U340" ca="1" si="812">SUM(U337:U339)</f>
        <v>1158.0157257577027</v>
      </c>
      <c r="V340" s="49">
        <f t="shared" ref="V340" ca="1" si="813">SUM(V337:V339)</f>
        <v>1099.7985297972025</v>
      </c>
      <c r="W340" s="49">
        <f t="shared" ref="W340" ca="1" si="814">SUM(W337:W339)</f>
        <v>1044.4223967992416</v>
      </c>
      <c r="X340" s="49">
        <f t="shared" ref="X340" ca="1" si="815">SUM(X337:X339)</f>
        <v>992.03612108044103</v>
      </c>
      <c r="Y340" s="49">
        <f t="shared" ref="Y340" ca="1" si="816">SUM(Y337:Y339)</f>
        <v>992.03612108044103</v>
      </c>
      <c r="Z340" s="49">
        <f t="shared" ref="Z340" ca="1" si="817">SUM(Z337:Z339)</f>
        <v>992.03612108044103</v>
      </c>
      <c r="AA340" s="49">
        <f t="shared" ref="AA340" ca="1" si="818">SUM(AA337:AA339)</f>
        <v>992.03612108044103</v>
      </c>
      <c r="AB340" s="49">
        <f t="shared" ref="AB340" ca="1" si="819">SUM(AB337:AB339)</f>
        <v>992.03612108044103</v>
      </c>
      <c r="AC340" s="49">
        <f t="shared" ref="AC340" ca="1" si="820">SUM(AC337:AC339)</f>
        <v>992.03612108044103</v>
      </c>
      <c r="AD340" s="49">
        <f t="shared" ref="AD340" ca="1" si="821">SUM(AD337:AD339)</f>
        <v>992.03612108044103</v>
      </c>
      <c r="AE340" s="49">
        <f t="shared" ref="AE340" ca="1" si="822">SUM(AE337:AE339)</f>
        <v>992.03612108044103</v>
      </c>
      <c r="AF340" s="49">
        <f t="shared" ref="AF340" ca="1" si="823">SUM(AF337:AF339)</f>
        <v>992.03612108044103</v>
      </c>
      <c r="AG340" s="49">
        <f t="shared" ref="AG340" ca="1" si="824">SUM(AG337:AG339)</f>
        <v>992.03612108044103</v>
      </c>
      <c r="AH340" s="49">
        <f t="shared" ref="AH340" ca="1" si="825">SUM(AH337:AH339)</f>
        <v>992.03612108044103</v>
      </c>
      <c r="AI340" s="49">
        <f t="shared" ref="AI340" ca="1" si="826">SUM(AI337:AI339)</f>
        <v>992.03612108044103</v>
      </c>
      <c r="AJ340" s="49">
        <f t="shared" ref="AJ340" ca="1" si="827">SUM(AJ337:AJ339)</f>
        <v>992.03612108044103</v>
      </c>
      <c r="AK340" s="49">
        <f t="shared" ref="AK340" ca="1" si="828">SUM(AK337:AK339)</f>
        <v>992.03612108044103</v>
      </c>
      <c r="AL340" s="49">
        <f t="shared" ref="AL340" ca="1" si="829">SUM(AL337:AL339)</f>
        <v>992.03612108044103</v>
      </c>
      <c r="AM340" s="49">
        <f t="shared" ref="AM340" ca="1" si="830">SUM(AM337:AM339)</f>
        <v>992.03612108044103</v>
      </c>
      <c r="AN340" s="49">
        <f t="shared" ref="AN340" ca="1" si="831">SUM(AN337:AN339)</f>
        <v>992.03612108044103</v>
      </c>
      <c r="AO340" s="49">
        <f t="shared" ref="AO340" ca="1" si="832">SUM(AO337:AO339)</f>
        <v>992.03612108044103</v>
      </c>
      <c r="AP340" s="49">
        <f t="shared" ref="AP340" ca="1" si="833">SUM(AP337:AP339)</f>
        <v>992.03612108044103</v>
      </c>
      <c r="AQ340" s="49">
        <f t="shared" ref="AQ340" ca="1" si="834">SUM(AQ337:AQ339)</f>
        <v>992.03612108044103</v>
      </c>
      <c r="AR340" s="49">
        <f t="shared" ref="AR340" ca="1" si="835">SUM(AR337:AR339)</f>
        <v>992.03612108044103</v>
      </c>
      <c r="AS340" s="49">
        <f t="shared" ref="AS340" ca="1" si="836">SUM(AS337:AS339)</f>
        <v>992.03612108044103</v>
      </c>
      <c r="AT340" s="49">
        <f t="shared" ref="AT340" ca="1" si="837">SUM(AT337:AT339)</f>
        <v>992.03612108044103</v>
      </c>
      <c r="AU340" s="49">
        <f t="shared" ref="AU340" ca="1" si="838">SUM(AU337:AU339)</f>
        <v>992.03612108044103</v>
      </c>
      <c r="AV340" s="49">
        <f t="shared" ref="AV340" ca="1" si="839">SUM(AV337:AV339)</f>
        <v>992.03612108044103</v>
      </c>
      <c r="AW340" s="49">
        <f t="shared" ref="AW340" ca="1" si="840">SUM(AW337:AW339)</f>
        <v>992.03612108044103</v>
      </c>
      <c r="AX340" s="49">
        <f t="shared" ref="AX340" ca="1" si="841">SUM(AX337:AX339)</f>
        <v>992.03612108044103</v>
      </c>
      <c r="AY340" s="49">
        <f t="shared" ref="AY340" ca="1" si="842">SUM(AY337:AY339)</f>
        <v>992.03612108044103</v>
      </c>
      <c r="AZ340" s="49">
        <f t="shared" ref="AZ340" ca="1" si="843">SUM(AZ337:AZ339)</f>
        <v>992.03612108044103</v>
      </c>
      <c r="BA340" s="49">
        <f t="shared" ref="BA340" ca="1" si="844">SUM(BA337:BA339)</f>
        <v>992.03612108044103</v>
      </c>
      <c r="BB340" s="49">
        <f t="shared" ref="BB340" ca="1" si="845">SUM(BB337:BB339)</f>
        <v>992.03612108044103</v>
      </c>
      <c r="BC340" s="49">
        <f t="shared" ref="BC340" ca="1" si="846">SUM(BC337:BC339)</f>
        <v>992.03612108044103</v>
      </c>
      <c r="BD340" s="49">
        <f t="shared" ref="BD340" ca="1" si="847">SUM(BD337:BD339)</f>
        <v>992.03612108044103</v>
      </c>
      <c r="BE340" s="49">
        <f t="shared" ref="BE340" ca="1" si="848">SUM(BE337:BE339)</f>
        <v>992.03612108044103</v>
      </c>
      <c r="BF340" s="49">
        <f t="shared" ref="BF340" ca="1" si="849">SUM(BF337:BF339)</f>
        <v>992.03612108044103</v>
      </c>
      <c r="BG340" s="49">
        <f t="shared" ref="BG340" ca="1" si="850">SUM(BG337:BG339)</f>
        <v>992.03612108044103</v>
      </c>
      <c r="BH340" s="49">
        <f t="shared" ref="BH340" ca="1" si="851">SUM(BH337:BH339)</f>
        <v>992.03612108044103</v>
      </c>
      <c r="BI340" s="49">
        <f t="shared" ref="BI340" ca="1" si="852">SUM(BI337:BI339)</f>
        <v>992.03612108044103</v>
      </c>
      <c r="BJ340" s="49">
        <f t="shared" ref="BJ340" ca="1" si="853">SUM(BJ337:BJ339)</f>
        <v>992.03612108044103</v>
      </c>
      <c r="BK340" s="49">
        <f t="shared" ref="BK340" ca="1" si="854">SUM(BK337:BK339)</f>
        <v>992.03612108044103</v>
      </c>
      <c r="BL340" s="49">
        <f t="shared" ref="BL340" ca="1" si="855">SUM(BL337:BL339)</f>
        <v>992.03612108044103</v>
      </c>
      <c r="BM340" s="49">
        <f t="shared" ref="BM340" ca="1" si="856">SUM(BM337:BM339)</f>
        <v>992.03612108044103</v>
      </c>
      <c r="BN340" s="49">
        <f t="shared" ref="BN340" ca="1" si="857">SUM(BN337:BN339)</f>
        <v>992.03612108044103</v>
      </c>
      <c r="BO340" s="49">
        <f t="shared" ref="BO340" ca="1" si="858">SUM(BO337:BO339)</f>
        <v>992.03612108044103</v>
      </c>
      <c r="BP340" s="49">
        <f t="shared" ref="BP340" ca="1" si="859">SUM(BP337:BP339)</f>
        <v>992.03612108044103</v>
      </c>
      <c r="BQ340" s="49">
        <f t="shared" ref="BQ340" ca="1" si="860">SUM(BQ337:BQ339)</f>
        <v>992.03612108044103</v>
      </c>
      <c r="BR340" s="49">
        <f t="shared" ref="BR340" ca="1" si="861">SUM(BR337:BR339)</f>
        <v>992.03612108044103</v>
      </c>
      <c r="BS340" s="49">
        <f t="shared" ref="BS340" ca="1" si="862">SUM(BS337:BS339)</f>
        <v>992.03612108044103</v>
      </c>
    </row>
    <row r="341" spans="3:71" outlineLevel="1" x14ac:dyDescent="0.2"/>
    <row r="342" spans="3:71" outlineLevel="1" x14ac:dyDescent="0.2">
      <c r="C342" s="11" t="s">
        <v>347</v>
      </c>
    </row>
    <row r="343" spans="3:71" outlineLevel="1" x14ac:dyDescent="0.2">
      <c r="D343" t="s">
        <v>337</v>
      </c>
      <c r="L343" s="49">
        <f>K346</f>
        <v>0</v>
      </c>
      <c r="M343" s="49">
        <f t="shared" ref="M343:BS343" ca="1" si="863">L346</f>
        <v>0</v>
      </c>
      <c r="N343" s="49">
        <f t="shared" ca="1" si="863"/>
        <v>0</v>
      </c>
      <c r="O343" s="49">
        <f t="shared" ca="1" si="863"/>
        <v>0</v>
      </c>
      <c r="P343" s="49">
        <f t="shared" ca="1" si="863"/>
        <v>0</v>
      </c>
      <c r="Q343" s="49">
        <f t="shared" ca="1" si="863"/>
        <v>0</v>
      </c>
      <c r="R343" s="49">
        <f t="shared" ca="1" si="863"/>
        <v>0</v>
      </c>
      <c r="S343" s="49">
        <f t="shared" ca="1" si="863"/>
        <v>0</v>
      </c>
      <c r="T343" s="49">
        <f t="shared" ca="1" si="863"/>
        <v>0</v>
      </c>
      <c r="U343" s="49">
        <f t="shared" ca="1" si="863"/>
        <v>0</v>
      </c>
      <c r="V343" s="49">
        <f t="shared" ca="1" si="863"/>
        <v>0</v>
      </c>
      <c r="W343" s="49">
        <f t="shared" ca="1" si="863"/>
        <v>0</v>
      </c>
      <c r="X343" s="49">
        <f t="shared" ca="1" si="863"/>
        <v>0</v>
      </c>
      <c r="Y343" s="49">
        <f t="shared" ca="1" si="863"/>
        <v>0</v>
      </c>
      <c r="Z343" s="49">
        <f t="shared" ca="1" si="863"/>
        <v>0</v>
      </c>
      <c r="AA343" s="49">
        <f t="shared" ca="1" si="863"/>
        <v>0</v>
      </c>
      <c r="AB343" s="49">
        <f t="shared" ca="1" si="863"/>
        <v>0</v>
      </c>
      <c r="AC343" s="49">
        <f t="shared" ca="1" si="863"/>
        <v>0</v>
      </c>
      <c r="AD343" s="49">
        <f t="shared" ca="1" si="863"/>
        <v>0</v>
      </c>
      <c r="AE343" s="49">
        <f t="shared" ca="1" si="863"/>
        <v>0</v>
      </c>
      <c r="AF343" s="49">
        <f t="shared" ca="1" si="863"/>
        <v>0</v>
      </c>
      <c r="AG343" s="49">
        <f t="shared" ca="1" si="863"/>
        <v>0</v>
      </c>
      <c r="AH343" s="49">
        <f t="shared" ca="1" si="863"/>
        <v>0</v>
      </c>
      <c r="AI343" s="49">
        <f t="shared" ca="1" si="863"/>
        <v>0</v>
      </c>
      <c r="AJ343" s="49">
        <f t="shared" ca="1" si="863"/>
        <v>0</v>
      </c>
      <c r="AK343" s="49">
        <f t="shared" ca="1" si="863"/>
        <v>0</v>
      </c>
      <c r="AL343" s="49">
        <f t="shared" ca="1" si="863"/>
        <v>0</v>
      </c>
      <c r="AM343" s="49">
        <f t="shared" ca="1" si="863"/>
        <v>0</v>
      </c>
      <c r="AN343" s="49">
        <f t="shared" ca="1" si="863"/>
        <v>0</v>
      </c>
      <c r="AO343" s="49">
        <f t="shared" ca="1" si="863"/>
        <v>0</v>
      </c>
      <c r="AP343" s="49">
        <f t="shared" ca="1" si="863"/>
        <v>0</v>
      </c>
      <c r="AQ343" s="49">
        <f t="shared" ca="1" si="863"/>
        <v>0</v>
      </c>
      <c r="AR343" s="49">
        <f t="shared" ca="1" si="863"/>
        <v>0</v>
      </c>
      <c r="AS343" s="49">
        <f t="shared" ca="1" si="863"/>
        <v>0</v>
      </c>
      <c r="AT343" s="49">
        <f t="shared" ca="1" si="863"/>
        <v>0</v>
      </c>
      <c r="AU343" s="49">
        <f t="shared" ca="1" si="863"/>
        <v>0</v>
      </c>
      <c r="AV343" s="49">
        <f t="shared" ca="1" si="863"/>
        <v>0</v>
      </c>
      <c r="AW343" s="49">
        <f t="shared" ca="1" si="863"/>
        <v>0</v>
      </c>
      <c r="AX343" s="49">
        <f t="shared" ca="1" si="863"/>
        <v>0</v>
      </c>
      <c r="AY343" s="49">
        <f t="shared" ca="1" si="863"/>
        <v>0</v>
      </c>
      <c r="AZ343" s="49">
        <f t="shared" ca="1" si="863"/>
        <v>0</v>
      </c>
      <c r="BA343" s="49">
        <f t="shared" ca="1" si="863"/>
        <v>0</v>
      </c>
      <c r="BB343" s="49">
        <f t="shared" ca="1" si="863"/>
        <v>0</v>
      </c>
      <c r="BC343" s="49">
        <f t="shared" ca="1" si="863"/>
        <v>0</v>
      </c>
      <c r="BD343" s="49">
        <f t="shared" ca="1" si="863"/>
        <v>0</v>
      </c>
      <c r="BE343" s="49">
        <f t="shared" ca="1" si="863"/>
        <v>0</v>
      </c>
      <c r="BF343" s="49">
        <f t="shared" ca="1" si="863"/>
        <v>0</v>
      </c>
      <c r="BG343" s="49">
        <f t="shared" ca="1" si="863"/>
        <v>0</v>
      </c>
      <c r="BH343" s="49">
        <f t="shared" ca="1" si="863"/>
        <v>0</v>
      </c>
      <c r="BI343" s="49">
        <f t="shared" ca="1" si="863"/>
        <v>0</v>
      </c>
      <c r="BJ343" s="49">
        <f t="shared" ca="1" si="863"/>
        <v>0</v>
      </c>
      <c r="BK343" s="49">
        <f t="shared" ca="1" si="863"/>
        <v>0</v>
      </c>
      <c r="BL343" s="49">
        <f t="shared" ca="1" si="863"/>
        <v>0</v>
      </c>
      <c r="BM343" s="49">
        <f t="shared" ca="1" si="863"/>
        <v>0</v>
      </c>
      <c r="BN343" s="49">
        <f t="shared" ca="1" si="863"/>
        <v>0</v>
      </c>
      <c r="BO343" s="49">
        <f t="shared" ca="1" si="863"/>
        <v>0</v>
      </c>
      <c r="BP343" s="49">
        <f t="shared" ca="1" si="863"/>
        <v>0</v>
      </c>
      <c r="BQ343" s="49">
        <f t="shared" ca="1" si="863"/>
        <v>0</v>
      </c>
      <c r="BR343" s="49">
        <f t="shared" ca="1" si="863"/>
        <v>0</v>
      </c>
      <c r="BS343" s="49">
        <f t="shared" ca="1" si="863"/>
        <v>0</v>
      </c>
    </row>
    <row r="344" spans="3:71" outlineLevel="1" x14ac:dyDescent="0.2">
      <c r="D344" s="50" t="s">
        <v>348</v>
      </c>
      <c r="I344" s="30">
        <f t="shared" ref="I344:I345" ca="1" si="864">SUM($L344:$BS344)</f>
        <v>0</v>
      </c>
      <c r="J344" s="26" t="s">
        <v>148</v>
      </c>
      <c r="L344" s="49">
        <f ca="1">L327</f>
        <v>0</v>
      </c>
      <c r="M344" s="49">
        <f t="shared" ref="M344:BS344" ca="1" si="865">M327</f>
        <v>0</v>
      </c>
      <c r="N344" s="49">
        <f t="shared" ca="1" si="865"/>
        <v>0</v>
      </c>
      <c r="O344" s="49">
        <f t="shared" ca="1" si="865"/>
        <v>0</v>
      </c>
      <c r="P344" s="49">
        <f t="shared" ca="1" si="865"/>
        <v>0</v>
      </c>
      <c r="Q344" s="49">
        <f t="shared" ca="1" si="865"/>
        <v>0</v>
      </c>
      <c r="R344" s="49">
        <f t="shared" ca="1" si="865"/>
        <v>0</v>
      </c>
      <c r="S344" s="49">
        <f t="shared" ca="1" si="865"/>
        <v>0</v>
      </c>
      <c r="T344" s="49">
        <f t="shared" ca="1" si="865"/>
        <v>0</v>
      </c>
      <c r="U344" s="49">
        <f t="shared" ca="1" si="865"/>
        <v>0</v>
      </c>
      <c r="V344" s="49">
        <f t="shared" ca="1" si="865"/>
        <v>0</v>
      </c>
      <c r="W344" s="49">
        <f t="shared" ca="1" si="865"/>
        <v>0</v>
      </c>
      <c r="X344" s="49">
        <f t="shared" ca="1" si="865"/>
        <v>0</v>
      </c>
      <c r="Y344" s="49">
        <f t="shared" ca="1" si="865"/>
        <v>0</v>
      </c>
      <c r="Z344" s="49">
        <f t="shared" ca="1" si="865"/>
        <v>0</v>
      </c>
      <c r="AA344" s="49">
        <f t="shared" ca="1" si="865"/>
        <v>0</v>
      </c>
      <c r="AB344" s="49">
        <f t="shared" ca="1" si="865"/>
        <v>0</v>
      </c>
      <c r="AC344" s="49">
        <f t="shared" ca="1" si="865"/>
        <v>0</v>
      </c>
      <c r="AD344" s="49">
        <f t="shared" ca="1" si="865"/>
        <v>0</v>
      </c>
      <c r="AE344" s="49">
        <f t="shared" ca="1" si="865"/>
        <v>0</v>
      </c>
      <c r="AF344" s="49">
        <f t="shared" ca="1" si="865"/>
        <v>0</v>
      </c>
      <c r="AG344" s="49">
        <f t="shared" ca="1" si="865"/>
        <v>0</v>
      </c>
      <c r="AH344" s="49">
        <f t="shared" ca="1" si="865"/>
        <v>0</v>
      </c>
      <c r="AI344" s="49">
        <f t="shared" ca="1" si="865"/>
        <v>0</v>
      </c>
      <c r="AJ344" s="49">
        <f t="shared" ca="1" si="865"/>
        <v>0</v>
      </c>
      <c r="AK344" s="49">
        <f t="shared" ca="1" si="865"/>
        <v>0</v>
      </c>
      <c r="AL344" s="49">
        <f t="shared" ca="1" si="865"/>
        <v>0</v>
      </c>
      <c r="AM344" s="49">
        <f t="shared" ca="1" si="865"/>
        <v>0</v>
      </c>
      <c r="AN344" s="49">
        <f t="shared" ca="1" si="865"/>
        <v>0</v>
      </c>
      <c r="AO344" s="49">
        <f t="shared" ca="1" si="865"/>
        <v>0</v>
      </c>
      <c r="AP344" s="49">
        <f t="shared" ca="1" si="865"/>
        <v>0</v>
      </c>
      <c r="AQ344" s="49">
        <f t="shared" ca="1" si="865"/>
        <v>0</v>
      </c>
      <c r="AR344" s="49">
        <f t="shared" ca="1" si="865"/>
        <v>0</v>
      </c>
      <c r="AS344" s="49">
        <f t="shared" ca="1" si="865"/>
        <v>0</v>
      </c>
      <c r="AT344" s="49">
        <f t="shared" ca="1" si="865"/>
        <v>0</v>
      </c>
      <c r="AU344" s="49">
        <f t="shared" ca="1" si="865"/>
        <v>0</v>
      </c>
      <c r="AV344" s="49">
        <f t="shared" ca="1" si="865"/>
        <v>0</v>
      </c>
      <c r="AW344" s="49">
        <f t="shared" ca="1" si="865"/>
        <v>0</v>
      </c>
      <c r="AX344" s="49">
        <f t="shared" ca="1" si="865"/>
        <v>0</v>
      </c>
      <c r="AY344" s="49">
        <f t="shared" ca="1" si="865"/>
        <v>0</v>
      </c>
      <c r="AZ344" s="49">
        <f t="shared" ca="1" si="865"/>
        <v>0</v>
      </c>
      <c r="BA344" s="49">
        <f t="shared" ca="1" si="865"/>
        <v>0</v>
      </c>
      <c r="BB344" s="49">
        <f t="shared" ca="1" si="865"/>
        <v>0</v>
      </c>
      <c r="BC344" s="49">
        <f t="shared" ca="1" si="865"/>
        <v>0</v>
      </c>
      <c r="BD344" s="49">
        <f t="shared" ca="1" si="865"/>
        <v>0</v>
      </c>
      <c r="BE344" s="49">
        <f t="shared" ca="1" si="865"/>
        <v>0</v>
      </c>
      <c r="BF344" s="49">
        <f t="shared" ca="1" si="865"/>
        <v>0</v>
      </c>
      <c r="BG344" s="49">
        <f t="shared" ca="1" si="865"/>
        <v>0</v>
      </c>
      <c r="BH344" s="49">
        <f t="shared" ca="1" si="865"/>
        <v>0</v>
      </c>
      <c r="BI344" s="49">
        <f t="shared" ca="1" si="865"/>
        <v>0</v>
      </c>
      <c r="BJ344" s="49">
        <f t="shared" ca="1" si="865"/>
        <v>0</v>
      </c>
      <c r="BK344" s="49">
        <f t="shared" ca="1" si="865"/>
        <v>0</v>
      </c>
      <c r="BL344" s="49">
        <f t="shared" ca="1" si="865"/>
        <v>0</v>
      </c>
      <c r="BM344" s="49">
        <f t="shared" ca="1" si="865"/>
        <v>0</v>
      </c>
      <c r="BN344" s="49">
        <f t="shared" ca="1" si="865"/>
        <v>0</v>
      </c>
      <c r="BO344" s="49">
        <f t="shared" ca="1" si="865"/>
        <v>0</v>
      </c>
      <c r="BP344" s="49">
        <f t="shared" ca="1" si="865"/>
        <v>0</v>
      </c>
      <c r="BQ344" s="49">
        <f t="shared" ca="1" si="865"/>
        <v>0</v>
      </c>
      <c r="BR344" s="49">
        <f t="shared" ca="1" si="865"/>
        <v>0</v>
      </c>
      <c r="BS344" s="49">
        <f t="shared" ca="1" si="865"/>
        <v>0</v>
      </c>
    </row>
    <row r="345" spans="3:71" outlineLevel="1" x14ac:dyDescent="0.2">
      <c r="D345" s="50" t="s">
        <v>335</v>
      </c>
      <c r="I345" s="30">
        <f t="shared" ca="1" si="864"/>
        <v>0</v>
      </c>
      <c r="J345" s="26" t="s">
        <v>148</v>
      </c>
      <c r="L345" s="49">
        <f t="shared" ref="L345:AQ345" ca="1" si="866">-MIN(SUM(L343:L344),SUM(L$299,L$304)*NOC_rpmt_max_perc)*NOC_CI_opex_rpmt</f>
        <v>0</v>
      </c>
      <c r="M345" s="49">
        <f t="shared" ca="1" si="866"/>
        <v>0</v>
      </c>
      <c r="N345" s="49">
        <f t="shared" ca="1" si="866"/>
        <v>0</v>
      </c>
      <c r="O345" s="49">
        <f t="shared" ca="1" si="866"/>
        <v>0</v>
      </c>
      <c r="P345" s="49">
        <f t="shared" ca="1" si="866"/>
        <v>0</v>
      </c>
      <c r="Q345" s="49">
        <f t="shared" ca="1" si="866"/>
        <v>0</v>
      </c>
      <c r="R345" s="49">
        <f t="shared" ca="1" si="866"/>
        <v>0</v>
      </c>
      <c r="S345" s="49">
        <f t="shared" ca="1" si="866"/>
        <v>0</v>
      </c>
      <c r="T345" s="49">
        <f t="shared" ca="1" si="866"/>
        <v>0</v>
      </c>
      <c r="U345" s="49">
        <f t="shared" ca="1" si="866"/>
        <v>0</v>
      </c>
      <c r="V345" s="49">
        <f t="shared" ca="1" si="866"/>
        <v>0</v>
      </c>
      <c r="W345" s="49">
        <f t="shared" ca="1" si="866"/>
        <v>0</v>
      </c>
      <c r="X345" s="49">
        <f t="shared" ca="1" si="866"/>
        <v>0</v>
      </c>
      <c r="Y345" s="49">
        <f t="shared" ca="1" si="866"/>
        <v>0</v>
      </c>
      <c r="Z345" s="49">
        <f t="shared" ca="1" si="866"/>
        <v>0</v>
      </c>
      <c r="AA345" s="49">
        <f t="shared" ca="1" si="866"/>
        <v>0</v>
      </c>
      <c r="AB345" s="49">
        <f t="shared" ca="1" si="866"/>
        <v>0</v>
      </c>
      <c r="AC345" s="49">
        <f t="shared" ca="1" si="866"/>
        <v>0</v>
      </c>
      <c r="AD345" s="49">
        <f t="shared" ca="1" si="866"/>
        <v>0</v>
      </c>
      <c r="AE345" s="49">
        <f t="shared" ca="1" si="866"/>
        <v>0</v>
      </c>
      <c r="AF345" s="49">
        <f t="shared" ca="1" si="866"/>
        <v>0</v>
      </c>
      <c r="AG345" s="49">
        <f t="shared" ca="1" si="866"/>
        <v>0</v>
      </c>
      <c r="AH345" s="49">
        <f t="shared" ca="1" si="866"/>
        <v>0</v>
      </c>
      <c r="AI345" s="49">
        <f t="shared" ca="1" si="866"/>
        <v>0</v>
      </c>
      <c r="AJ345" s="49">
        <f t="shared" ca="1" si="866"/>
        <v>0</v>
      </c>
      <c r="AK345" s="49">
        <f t="shared" ca="1" si="866"/>
        <v>0</v>
      </c>
      <c r="AL345" s="49">
        <f t="shared" ca="1" si="866"/>
        <v>0</v>
      </c>
      <c r="AM345" s="49">
        <f t="shared" ca="1" si="866"/>
        <v>0</v>
      </c>
      <c r="AN345" s="49">
        <f t="shared" ca="1" si="866"/>
        <v>0</v>
      </c>
      <c r="AO345" s="49">
        <f t="shared" ca="1" si="866"/>
        <v>0</v>
      </c>
      <c r="AP345" s="49">
        <f t="shared" ca="1" si="866"/>
        <v>0</v>
      </c>
      <c r="AQ345" s="49">
        <f t="shared" ca="1" si="866"/>
        <v>0</v>
      </c>
      <c r="AR345" s="49">
        <f t="shared" ref="AR345:BS345" ca="1" si="867">-MIN(SUM(AR343:AR344),SUM(AR$299,AR$304)*NOC_rpmt_max_perc)*NOC_CI_opex_rpmt</f>
        <v>0</v>
      </c>
      <c r="AS345" s="49">
        <f t="shared" ca="1" si="867"/>
        <v>0</v>
      </c>
      <c r="AT345" s="49">
        <f t="shared" ca="1" si="867"/>
        <v>0</v>
      </c>
      <c r="AU345" s="49">
        <f t="shared" ca="1" si="867"/>
        <v>0</v>
      </c>
      <c r="AV345" s="49">
        <f t="shared" ca="1" si="867"/>
        <v>0</v>
      </c>
      <c r="AW345" s="49">
        <f t="shared" ca="1" si="867"/>
        <v>0</v>
      </c>
      <c r="AX345" s="49">
        <f t="shared" ca="1" si="867"/>
        <v>0</v>
      </c>
      <c r="AY345" s="49">
        <f t="shared" ca="1" si="867"/>
        <v>0</v>
      </c>
      <c r="AZ345" s="49">
        <f t="shared" ca="1" si="867"/>
        <v>0</v>
      </c>
      <c r="BA345" s="49">
        <f t="shared" ca="1" si="867"/>
        <v>0</v>
      </c>
      <c r="BB345" s="49">
        <f t="shared" ca="1" si="867"/>
        <v>0</v>
      </c>
      <c r="BC345" s="49">
        <f t="shared" ca="1" si="867"/>
        <v>0</v>
      </c>
      <c r="BD345" s="49">
        <f t="shared" ca="1" si="867"/>
        <v>0</v>
      </c>
      <c r="BE345" s="49">
        <f t="shared" ca="1" si="867"/>
        <v>0</v>
      </c>
      <c r="BF345" s="49">
        <f t="shared" ca="1" si="867"/>
        <v>0</v>
      </c>
      <c r="BG345" s="49">
        <f t="shared" ca="1" si="867"/>
        <v>0</v>
      </c>
      <c r="BH345" s="49">
        <f t="shared" ca="1" si="867"/>
        <v>0</v>
      </c>
      <c r="BI345" s="49">
        <f t="shared" ca="1" si="867"/>
        <v>0</v>
      </c>
      <c r="BJ345" s="49">
        <f t="shared" ca="1" si="867"/>
        <v>0</v>
      </c>
      <c r="BK345" s="49">
        <f t="shared" ca="1" si="867"/>
        <v>0</v>
      </c>
      <c r="BL345" s="49">
        <f t="shared" ca="1" si="867"/>
        <v>0</v>
      </c>
      <c r="BM345" s="49">
        <f t="shared" ca="1" si="867"/>
        <v>0</v>
      </c>
      <c r="BN345" s="49">
        <f t="shared" ca="1" si="867"/>
        <v>0</v>
      </c>
      <c r="BO345" s="49">
        <f t="shared" ca="1" si="867"/>
        <v>0</v>
      </c>
      <c r="BP345" s="49">
        <f t="shared" ca="1" si="867"/>
        <v>0</v>
      </c>
      <c r="BQ345" s="49">
        <f t="shared" ca="1" si="867"/>
        <v>0</v>
      </c>
      <c r="BR345" s="49">
        <f t="shared" ca="1" si="867"/>
        <v>0</v>
      </c>
      <c r="BS345" s="49">
        <f t="shared" ca="1" si="867"/>
        <v>0</v>
      </c>
    </row>
    <row r="346" spans="3:71" outlineLevel="1" x14ac:dyDescent="0.2">
      <c r="D346" t="s">
        <v>336</v>
      </c>
      <c r="L346" s="49">
        <f ca="1">SUM(L343:L345)</f>
        <v>0</v>
      </c>
      <c r="M346" s="49">
        <f t="shared" ref="M346" ca="1" si="868">SUM(M343:M345)</f>
        <v>0</v>
      </c>
      <c r="N346" s="49">
        <f t="shared" ref="N346" ca="1" si="869">SUM(N343:N345)</f>
        <v>0</v>
      </c>
      <c r="O346" s="49">
        <f t="shared" ref="O346" ca="1" si="870">SUM(O343:O345)</f>
        <v>0</v>
      </c>
      <c r="P346" s="49">
        <f t="shared" ref="P346" ca="1" si="871">SUM(P343:P345)</f>
        <v>0</v>
      </c>
      <c r="Q346" s="49">
        <f t="shared" ref="Q346" ca="1" si="872">SUM(Q343:Q345)</f>
        <v>0</v>
      </c>
      <c r="R346" s="49">
        <f t="shared" ref="R346" ca="1" si="873">SUM(R343:R345)</f>
        <v>0</v>
      </c>
      <c r="S346" s="49">
        <f t="shared" ref="S346" ca="1" si="874">SUM(S343:S345)</f>
        <v>0</v>
      </c>
      <c r="T346" s="49">
        <f t="shared" ref="T346" ca="1" si="875">SUM(T343:T345)</f>
        <v>0</v>
      </c>
      <c r="U346" s="49">
        <f t="shared" ref="U346" ca="1" si="876">SUM(U343:U345)</f>
        <v>0</v>
      </c>
      <c r="V346" s="49">
        <f t="shared" ref="V346" ca="1" si="877">SUM(V343:V345)</f>
        <v>0</v>
      </c>
      <c r="W346" s="49">
        <f t="shared" ref="W346" ca="1" si="878">SUM(W343:W345)</f>
        <v>0</v>
      </c>
      <c r="X346" s="49">
        <f t="shared" ref="X346" ca="1" si="879">SUM(X343:X345)</f>
        <v>0</v>
      </c>
      <c r="Y346" s="49">
        <f t="shared" ref="Y346" ca="1" si="880">SUM(Y343:Y345)</f>
        <v>0</v>
      </c>
      <c r="Z346" s="49">
        <f t="shared" ref="Z346" ca="1" si="881">SUM(Z343:Z345)</f>
        <v>0</v>
      </c>
      <c r="AA346" s="49">
        <f t="shared" ref="AA346" ca="1" si="882">SUM(AA343:AA345)</f>
        <v>0</v>
      </c>
      <c r="AB346" s="49">
        <f t="shared" ref="AB346" ca="1" si="883">SUM(AB343:AB345)</f>
        <v>0</v>
      </c>
      <c r="AC346" s="49">
        <f t="shared" ref="AC346" ca="1" si="884">SUM(AC343:AC345)</f>
        <v>0</v>
      </c>
      <c r="AD346" s="49">
        <f t="shared" ref="AD346" ca="1" si="885">SUM(AD343:AD345)</f>
        <v>0</v>
      </c>
      <c r="AE346" s="49">
        <f t="shared" ref="AE346" ca="1" si="886">SUM(AE343:AE345)</f>
        <v>0</v>
      </c>
      <c r="AF346" s="49">
        <f t="shared" ref="AF346" ca="1" si="887">SUM(AF343:AF345)</f>
        <v>0</v>
      </c>
      <c r="AG346" s="49">
        <f t="shared" ref="AG346" ca="1" si="888">SUM(AG343:AG345)</f>
        <v>0</v>
      </c>
      <c r="AH346" s="49">
        <f t="shared" ref="AH346" ca="1" si="889">SUM(AH343:AH345)</f>
        <v>0</v>
      </c>
      <c r="AI346" s="49">
        <f t="shared" ref="AI346" ca="1" si="890">SUM(AI343:AI345)</f>
        <v>0</v>
      </c>
      <c r="AJ346" s="49">
        <f t="shared" ref="AJ346" ca="1" si="891">SUM(AJ343:AJ345)</f>
        <v>0</v>
      </c>
      <c r="AK346" s="49">
        <f t="shared" ref="AK346" ca="1" si="892">SUM(AK343:AK345)</f>
        <v>0</v>
      </c>
      <c r="AL346" s="49">
        <f t="shared" ref="AL346" ca="1" si="893">SUM(AL343:AL345)</f>
        <v>0</v>
      </c>
      <c r="AM346" s="49">
        <f t="shared" ref="AM346" ca="1" si="894">SUM(AM343:AM345)</f>
        <v>0</v>
      </c>
      <c r="AN346" s="49">
        <f t="shared" ref="AN346" ca="1" si="895">SUM(AN343:AN345)</f>
        <v>0</v>
      </c>
      <c r="AO346" s="49">
        <f t="shared" ref="AO346" ca="1" si="896">SUM(AO343:AO345)</f>
        <v>0</v>
      </c>
      <c r="AP346" s="49">
        <f t="shared" ref="AP346" ca="1" si="897">SUM(AP343:AP345)</f>
        <v>0</v>
      </c>
      <c r="AQ346" s="49">
        <f t="shared" ref="AQ346" ca="1" si="898">SUM(AQ343:AQ345)</f>
        <v>0</v>
      </c>
      <c r="AR346" s="49">
        <f t="shared" ref="AR346" ca="1" si="899">SUM(AR343:AR345)</f>
        <v>0</v>
      </c>
      <c r="AS346" s="49">
        <f t="shared" ref="AS346" ca="1" si="900">SUM(AS343:AS345)</f>
        <v>0</v>
      </c>
      <c r="AT346" s="49">
        <f t="shared" ref="AT346" ca="1" si="901">SUM(AT343:AT345)</f>
        <v>0</v>
      </c>
      <c r="AU346" s="49">
        <f t="shared" ref="AU346" ca="1" si="902">SUM(AU343:AU345)</f>
        <v>0</v>
      </c>
      <c r="AV346" s="49">
        <f t="shared" ref="AV346" ca="1" si="903">SUM(AV343:AV345)</f>
        <v>0</v>
      </c>
      <c r="AW346" s="49">
        <f t="shared" ref="AW346" ca="1" si="904">SUM(AW343:AW345)</f>
        <v>0</v>
      </c>
      <c r="AX346" s="49">
        <f t="shared" ref="AX346" ca="1" si="905">SUM(AX343:AX345)</f>
        <v>0</v>
      </c>
      <c r="AY346" s="49">
        <f t="shared" ref="AY346" ca="1" si="906">SUM(AY343:AY345)</f>
        <v>0</v>
      </c>
      <c r="AZ346" s="49">
        <f t="shared" ref="AZ346" ca="1" si="907">SUM(AZ343:AZ345)</f>
        <v>0</v>
      </c>
      <c r="BA346" s="49">
        <f t="shared" ref="BA346" ca="1" si="908">SUM(BA343:BA345)</f>
        <v>0</v>
      </c>
      <c r="BB346" s="49">
        <f t="shared" ref="BB346" ca="1" si="909">SUM(BB343:BB345)</f>
        <v>0</v>
      </c>
      <c r="BC346" s="49">
        <f t="shared" ref="BC346" ca="1" si="910">SUM(BC343:BC345)</f>
        <v>0</v>
      </c>
      <c r="BD346" s="49">
        <f t="shared" ref="BD346" ca="1" si="911">SUM(BD343:BD345)</f>
        <v>0</v>
      </c>
      <c r="BE346" s="49">
        <f t="shared" ref="BE346" ca="1" si="912">SUM(BE343:BE345)</f>
        <v>0</v>
      </c>
      <c r="BF346" s="49">
        <f t="shared" ref="BF346" ca="1" si="913">SUM(BF343:BF345)</f>
        <v>0</v>
      </c>
      <c r="BG346" s="49">
        <f t="shared" ref="BG346" ca="1" si="914">SUM(BG343:BG345)</f>
        <v>0</v>
      </c>
      <c r="BH346" s="49">
        <f t="shared" ref="BH346" ca="1" si="915">SUM(BH343:BH345)</f>
        <v>0</v>
      </c>
      <c r="BI346" s="49">
        <f t="shared" ref="BI346" ca="1" si="916">SUM(BI343:BI345)</f>
        <v>0</v>
      </c>
      <c r="BJ346" s="49">
        <f t="shared" ref="BJ346" ca="1" si="917">SUM(BJ343:BJ345)</f>
        <v>0</v>
      </c>
      <c r="BK346" s="49">
        <f t="shared" ref="BK346" ca="1" si="918">SUM(BK343:BK345)</f>
        <v>0</v>
      </c>
      <c r="BL346" s="49">
        <f t="shared" ref="BL346" ca="1" si="919">SUM(BL343:BL345)</f>
        <v>0</v>
      </c>
      <c r="BM346" s="49">
        <f t="shared" ref="BM346" ca="1" si="920">SUM(BM343:BM345)</f>
        <v>0</v>
      </c>
      <c r="BN346" s="49">
        <f t="shared" ref="BN346" ca="1" si="921">SUM(BN343:BN345)</f>
        <v>0</v>
      </c>
      <c r="BO346" s="49">
        <f t="shared" ref="BO346" ca="1" si="922">SUM(BO343:BO345)</f>
        <v>0</v>
      </c>
      <c r="BP346" s="49">
        <f t="shared" ref="BP346" ca="1" si="923">SUM(BP343:BP345)</f>
        <v>0</v>
      </c>
      <c r="BQ346" s="49">
        <f t="shared" ref="BQ346" ca="1" si="924">SUM(BQ343:BQ345)</f>
        <v>0</v>
      </c>
      <c r="BR346" s="49">
        <f t="shared" ref="BR346" ca="1" si="925">SUM(BR343:BR345)</f>
        <v>0</v>
      </c>
      <c r="BS346" s="49">
        <f t="shared" ref="BS346" ca="1" si="926">SUM(BS343:BS345)</f>
        <v>0</v>
      </c>
    </row>
    <row r="347" spans="3:71" outlineLevel="1" x14ac:dyDescent="0.2"/>
    <row r="348" spans="3:71" outlineLevel="1" x14ac:dyDescent="0.2">
      <c r="C348" t="s">
        <v>349</v>
      </c>
      <c r="I348" s="30">
        <f t="shared" ref="I348:I349" ca="1" si="927">SUM($L348:$BS348)</f>
        <v>1637.03865</v>
      </c>
      <c r="J348" s="26" t="s">
        <v>148</v>
      </c>
      <c r="K348" s="7" t="s">
        <v>351</v>
      </c>
      <c r="L348" s="49">
        <f ca="1">L328</f>
        <v>193.01729999999998</v>
      </c>
      <c r="M348" s="49">
        <f t="shared" ref="M348:BS348" ca="1" si="928">M328</f>
        <v>317.73179999999996</v>
      </c>
      <c r="N348" s="49">
        <f t="shared" ca="1" si="928"/>
        <v>469.58609999999999</v>
      </c>
      <c r="O348" s="49">
        <f t="shared" ca="1" si="928"/>
        <v>385.68014999999997</v>
      </c>
      <c r="P348" s="49">
        <f t="shared" ca="1" si="928"/>
        <v>172.98479999999998</v>
      </c>
      <c r="Q348" s="49">
        <f t="shared" ca="1" si="928"/>
        <v>98.038499999999999</v>
      </c>
      <c r="R348" s="49">
        <f t="shared" ca="1" si="928"/>
        <v>0</v>
      </c>
      <c r="S348" s="49">
        <f t="shared" ca="1" si="928"/>
        <v>0</v>
      </c>
      <c r="T348" s="49">
        <f t="shared" ca="1" si="928"/>
        <v>0</v>
      </c>
      <c r="U348" s="49">
        <f t="shared" ca="1" si="928"/>
        <v>0</v>
      </c>
      <c r="V348" s="49">
        <f t="shared" ca="1" si="928"/>
        <v>0</v>
      </c>
      <c r="W348" s="49">
        <f t="shared" ca="1" si="928"/>
        <v>0</v>
      </c>
      <c r="X348" s="49">
        <f t="shared" ca="1" si="928"/>
        <v>0</v>
      </c>
      <c r="Y348" s="49">
        <f t="shared" ca="1" si="928"/>
        <v>0</v>
      </c>
      <c r="Z348" s="49">
        <f t="shared" ca="1" si="928"/>
        <v>0</v>
      </c>
      <c r="AA348" s="49">
        <f t="shared" ca="1" si="928"/>
        <v>0</v>
      </c>
      <c r="AB348" s="49">
        <f t="shared" ca="1" si="928"/>
        <v>0</v>
      </c>
      <c r="AC348" s="49">
        <f t="shared" ca="1" si="928"/>
        <v>0</v>
      </c>
      <c r="AD348" s="49">
        <f t="shared" ca="1" si="928"/>
        <v>0</v>
      </c>
      <c r="AE348" s="49">
        <f t="shared" ca="1" si="928"/>
        <v>0</v>
      </c>
      <c r="AF348" s="49">
        <f t="shared" ca="1" si="928"/>
        <v>0</v>
      </c>
      <c r="AG348" s="49">
        <f t="shared" ca="1" si="928"/>
        <v>0</v>
      </c>
      <c r="AH348" s="49">
        <f t="shared" ca="1" si="928"/>
        <v>0</v>
      </c>
      <c r="AI348" s="49">
        <f t="shared" ca="1" si="928"/>
        <v>0</v>
      </c>
      <c r="AJ348" s="49">
        <f t="shared" ca="1" si="928"/>
        <v>0</v>
      </c>
      <c r="AK348" s="49">
        <f t="shared" ca="1" si="928"/>
        <v>0</v>
      </c>
      <c r="AL348" s="49">
        <f t="shared" ca="1" si="928"/>
        <v>0</v>
      </c>
      <c r="AM348" s="49">
        <f t="shared" ca="1" si="928"/>
        <v>0</v>
      </c>
      <c r="AN348" s="49">
        <f t="shared" ca="1" si="928"/>
        <v>0</v>
      </c>
      <c r="AO348" s="49">
        <f t="shared" ca="1" si="928"/>
        <v>0</v>
      </c>
      <c r="AP348" s="49">
        <f t="shared" ca="1" si="928"/>
        <v>0</v>
      </c>
      <c r="AQ348" s="49">
        <f t="shared" ca="1" si="928"/>
        <v>0</v>
      </c>
      <c r="AR348" s="49">
        <f t="shared" ca="1" si="928"/>
        <v>0</v>
      </c>
      <c r="AS348" s="49">
        <f t="shared" ca="1" si="928"/>
        <v>0</v>
      </c>
      <c r="AT348" s="49">
        <f t="shared" ca="1" si="928"/>
        <v>0</v>
      </c>
      <c r="AU348" s="49">
        <f t="shared" ca="1" si="928"/>
        <v>0</v>
      </c>
      <c r="AV348" s="49">
        <f t="shared" ca="1" si="928"/>
        <v>0</v>
      </c>
      <c r="AW348" s="49">
        <f t="shared" ca="1" si="928"/>
        <v>0</v>
      </c>
      <c r="AX348" s="49">
        <f t="shared" ca="1" si="928"/>
        <v>0</v>
      </c>
      <c r="AY348" s="49">
        <f t="shared" ca="1" si="928"/>
        <v>0</v>
      </c>
      <c r="AZ348" s="49">
        <f t="shared" ca="1" si="928"/>
        <v>0</v>
      </c>
      <c r="BA348" s="49">
        <f t="shared" ca="1" si="928"/>
        <v>0</v>
      </c>
      <c r="BB348" s="49">
        <f t="shared" ca="1" si="928"/>
        <v>0</v>
      </c>
      <c r="BC348" s="49">
        <f t="shared" ca="1" si="928"/>
        <v>0</v>
      </c>
      <c r="BD348" s="49">
        <f t="shared" ca="1" si="928"/>
        <v>0</v>
      </c>
      <c r="BE348" s="49">
        <f t="shared" ca="1" si="928"/>
        <v>0</v>
      </c>
      <c r="BF348" s="49">
        <f t="shared" ca="1" si="928"/>
        <v>0</v>
      </c>
      <c r="BG348" s="49">
        <f t="shared" ca="1" si="928"/>
        <v>0</v>
      </c>
      <c r="BH348" s="49">
        <f t="shared" ca="1" si="928"/>
        <v>0</v>
      </c>
      <c r="BI348" s="49">
        <f t="shared" ca="1" si="928"/>
        <v>0</v>
      </c>
      <c r="BJ348" s="49">
        <f t="shared" ca="1" si="928"/>
        <v>0</v>
      </c>
      <c r="BK348" s="49">
        <f t="shared" ca="1" si="928"/>
        <v>0</v>
      </c>
      <c r="BL348" s="49">
        <f t="shared" ca="1" si="928"/>
        <v>0</v>
      </c>
      <c r="BM348" s="49">
        <f t="shared" ca="1" si="928"/>
        <v>0</v>
      </c>
      <c r="BN348" s="49">
        <f t="shared" ca="1" si="928"/>
        <v>0</v>
      </c>
      <c r="BO348" s="49">
        <f t="shared" ca="1" si="928"/>
        <v>0</v>
      </c>
      <c r="BP348" s="49">
        <f t="shared" ca="1" si="928"/>
        <v>0</v>
      </c>
      <c r="BQ348" s="49">
        <f t="shared" ca="1" si="928"/>
        <v>0</v>
      </c>
      <c r="BR348" s="49">
        <f t="shared" ca="1" si="928"/>
        <v>0</v>
      </c>
      <c r="BS348" s="49">
        <f t="shared" ca="1" si="928"/>
        <v>0</v>
      </c>
    </row>
    <row r="349" spans="3:71" outlineLevel="1" x14ac:dyDescent="0.2">
      <c r="C349" t="s">
        <v>350</v>
      </c>
      <c r="I349" s="30">
        <f t="shared" ca="1" si="927"/>
        <v>-645.00252891955881</v>
      </c>
      <c r="J349" s="26" t="s">
        <v>148</v>
      </c>
      <c r="K349" s="7" t="s">
        <v>352</v>
      </c>
      <c r="L349" s="49">
        <f ca="1">SUM(L333,L339,L345)</f>
        <v>-55.698226968937327</v>
      </c>
      <c r="M349" s="49">
        <f t="shared" ref="M349:BS349" ca="1" si="929">SUM(M333,M339,M345)</f>
        <v>-55.533941909771869</v>
      </c>
      <c r="N349" s="49">
        <f t="shared" ca="1" si="929"/>
        <v>-13.867056695249131</v>
      </c>
      <c r="O349" s="49">
        <f t="shared" ca="1" si="929"/>
        <v>-12.917886190881621</v>
      </c>
      <c r="P349" s="49">
        <f t="shared" ca="1" si="929"/>
        <v>-36.579060265503358</v>
      </c>
      <c r="Q349" s="49">
        <f t="shared" ca="1" si="929"/>
        <v>-72.710863073136821</v>
      </c>
      <c r="R349" s="49">
        <f t="shared" ca="1" si="929"/>
        <v>-69.4046082994155</v>
      </c>
      <c r="S349" s="49">
        <f t="shared" ca="1" si="929"/>
        <v>-39.460295921559748</v>
      </c>
      <c r="T349" s="49">
        <f t="shared" ca="1" si="929"/>
        <v>-61.479283504706267</v>
      </c>
      <c r="U349" s="49">
        <f t="shared" ca="1" si="929"/>
        <v>-61.371701413135398</v>
      </c>
      <c r="V349" s="49">
        <f t="shared" ca="1" si="929"/>
        <v>-58.217195960500227</v>
      </c>
      <c r="W349" s="49">
        <f t="shared" ca="1" si="929"/>
        <v>-55.376132997961008</v>
      </c>
      <c r="X349" s="49">
        <f t="shared" ca="1" si="929"/>
        <v>-52.386275718800604</v>
      </c>
      <c r="Y349" s="49">
        <f t="shared" ca="1" si="929"/>
        <v>0</v>
      </c>
      <c r="Z349" s="49">
        <f t="shared" ca="1" si="929"/>
        <v>0</v>
      </c>
      <c r="AA349" s="49">
        <f t="shared" ca="1" si="929"/>
        <v>0</v>
      </c>
      <c r="AB349" s="49">
        <f t="shared" ca="1" si="929"/>
        <v>0</v>
      </c>
      <c r="AC349" s="49">
        <f t="shared" ca="1" si="929"/>
        <v>0</v>
      </c>
      <c r="AD349" s="49">
        <f t="shared" ca="1" si="929"/>
        <v>0</v>
      </c>
      <c r="AE349" s="49">
        <f t="shared" ca="1" si="929"/>
        <v>0</v>
      </c>
      <c r="AF349" s="49">
        <f t="shared" ca="1" si="929"/>
        <v>0</v>
      </c>
      <c r="AG349" s="49">
        <f t="shared" ca="1" si="929"/>
        <v>0</v>
      </c>
      <c r="AH349" s="49">
        <f t="shared" ca="1" si="929"/>
        <v>0</v>
      </c>
      <c r="AI349" s="49">
        <f t="shared" ca="1" si="929"/>
        <v>0</v>
      </c>
      <c r="AJ349" s="49">
        <f t="shared" ca="1" si="929"/>
        <v>0</v>
      </c>
      <c r="AK349" s="49">
        <f t="shared" ca="1" si="929"/>
        <v>0</v>
      </c>
      <c r="AL349" s="49">
        <f t="shared" ca="1" si="929"/>
        <v>0</v>
      </c>
      <c r="AM349" s="49">
        <f t="shared" ca="1" si="929"/>
        <v>0</v>
      </c>
      <c r="AN349" s="49">
        <f t="shared" ca="1" si="929"/>
        <v>0</v>
      </c>
      <c r="AO349" s="49">
        <f t="shared" ca="1" si="929"/>
        <v>0</v>
      </c>
      <c r="AP349" s="49">
        <f t="shared" ca="1" si="929"/>
        <v>0</v>
      </c>
      <c r="AQ349" s="49">
        <f t="shared" ca="1" si="929"/>
        <v>0</v>
      </c>
      <c r="AR349" s="49">
        <f t="shared" ca="1" si="929"/>
        <v>0</v>
      </c>
      <c r="AS349" s="49">
        <f t="shared" ca="1" si="929"/>
        <v>0</v>
      </c>
      <c r="AT349" s="49">
        <f t="shared" ca="1" si="929"/>
        <v>0</v>
      </c>
      <c r="AU349" s="49">
        <f t="shared" ca="1" si="929"/>
        <v>0</v>
      </c>
      <c r="AV349" s="49">
        <f t="shared" ca="1" si="929"/>
        <v>0</v>
      </c>
      <c r="AW349" s="49">
        <f t="shared" ca="1" si="929"/>
        <v>0</v>
      </c>
      <c r="AX349" s="49">
        <f t="shared" ca="1" si="929"/>
        <v>0</v>
      </c>
      <c r="AY349" s="49">
        <f t="shared" ca="1" si="929"/>
        <v>0</v>
      </c>
      <c r="AZ349" s="49">
        <f t="shared" ca="1" si="929"/>
        <v>0</v>
      </c>
      <c r="BA349" s="49">
        <f t="shared" ca="1" si="929"/>
        <v>0</v>
      </c>
      <c r="BB349" s="49">
        <f t="shared" ca="1" si="929"/>
        <v>0</v>
      </c>
      <c r="BC349" s="49">
        <f t="shared" ca="1" si="929"/>
        <v>0</v>
      </c>
      <c r="BD349" s="49">
        <f t="shared" ca="1" si="929"/>
        <v>0</v>
      </c>
      <c r="BE349" s="49">
        <f t="shared" ca="1" si="929"/>
        <v>0</v>
      </c>
      <c r="BF349" s="49">
        <f t="shared" ca="1" si="929"/>
        <v>0</v>
      </c>
      <c r="BG349" s="49">
        <f t="shared" ca="1" si="929"/>
        <v>0</v>
      </c>
      <c r="BH349" s="49">
        <f t="shared" ca="1" si="929"/>
        <v>0</v>
      </c>
      <c r="BI349" s="49">
        <f t="shared" ca="1" si="929"/>
        <v>0</v>
      </c>
      <c r="BJ349" s="49">
        <f t="shared" ca="1" si="929"/>
        <v>0</v>
      </c>
      <c r="BK349" s="49">
        <f t="shared" ca="1" si="929"/>
        <v>0</v>
      </c>
      <c r="BL349" s="49">
        <f t="shared" ca="1" si="929"/>
        <v>0</v>
      </c>
      <c r="BM349" s="49">
        <f t="shared" ca="1" si="929"/>
        <v>0</v>
      </c>
      <c r="BN349" s="49">
        <f t="shared" ca="1" si="929"/>
        <v>0</v>
      </c>
      <c r="BO349" s="49">
        <f t="shared" ca="1" si="929"/>
        <v>0</v>
      </c>
      <c r="BP349" s="49">
        <f t="shared" ca="1" si="929"/>
        <v>0</v>
      </c>
      <c r="BQ349" s="49">
        <f t="shared" ca="1" si="929"/>
        <v>0</v>
      </c>
      <c r="BR349" s="49">
        <f t="shared" ca="1" si="929"/>
        <v>0</v>
      </c>
      <c r="BS349" s="49">
        <f t="shared" ca="1" si="929"/>
        <v>0</v>
      </c>
    </row>
    <row r="350" spans="3:71" outlineLevel="1" x14ac:dyDescent="0.2"/>
    <row r="351" spans="3:71" outlineLevel="1" x14ac:dyDescent="0.2"/>
    <row r="352" spans="3:71" outlineLevel="1" x14ac:dyDescent="0.2"/>
    <row r="354" spans="1:93" ht="16" thickBot="1" x14ac:dyDescent="0.25"/>
    <row r="355" spans="1:93" ht="22" thickBot="1" x14ac:dyDescent="0.25">
      <c r="A355" s="8"/>
      <c r="B355" s="221" t="s">
        <v>255</v>
      </c>
      <c r="C355" s="222"/>
      <c r="D355" s="222"/>
      <c r="E355" s="223"/>
      <c r="F355" s="9"/>
      <c r="G355" s="9"/>
      <c r="H355" s="9"/>
      <c r="I355" s="9"/>
      <c r="J355" s="48"/>
      <c r="K355" s="10"/>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c r="BY355" s="9"/>
      <c r="BZ355" s="9"/>
      <c r="CA355" s="9"/>
      <c r="CB355" s="9"/>
      <c r="CC355" s="9"/>
      <c r="CD355" s="9"/>
      <c r="CE355" s="9"/>
      <c r="CF355" s="9"/>
      <c r="CG355" s="9"/>
      <c r="CH355" s="9"/>
      <c r="CI355" s="9"/>
      <c r="CJ355" s="9"/>
      <c r="CK355" s="9"/>
      <c r="CL355" s="9"/>
      <c r="CM355" s="9"/>
      <c r="CN355" s="9"/>
      <c r="CO355" s="9"/>
    </row>
    <row r="356" spans="1:93" outlineLevel="1" x14ac:dyDescent="0.2"/>
    <row r="357" spans="1:93" outlineLevel="1" x14ac:dyDescent="0.2">
      <c r="A357" s="45"/>
      <c r="B357" s="38" t="s">
        <v>311</v>
      </c>
      <c r="C357" s="45"/>
      <c r="D357" s="45"/>
      <c r="E357" s="45"/>
    </row>
    <row r="358" spans="1:93" outlineLevel="1" x14ac:dyDescent="0.2"/>
    <row r="359" spans="1:93" outlineLevel="1" x14ac:dyDescent="0.2">
      <c r="C359" t="s">
        <v>278</v>
      </c>
    </row>
    <row r="360" spans="1:93" outlineLevel="1" x14ac:dyDescent="0.2">
      <c r="D360" t="s">
        <v>277</v>
      </c>
      <c r="G360" s="29">
        <f>YEAR(effective_date_Mwafi)</f>
        <v>2014</v>
      </c>
      <c r="L360" s="49">
        <f>MAX(L4-$G360+1-0.5,0)</f>
        <v>0.5</v>
      </c>
      <c r="M360" s="49">
        <f t="shared" ref="M360:BS360" si="930">MAX(M4-$G360+1-0.5,0)</f>
        <v>1.5</v>
      </c>
      <c r="N360" s="49">
        <f t="shared" si="930"/>
        <v>2.5</v>
      </c>
      <c r="O360" s="49">
        <f t="shared" si="930"/>
        <v>3.5</v>
      </c>
      <c r="P360" s="49">
        <f t="shared" si="930"/>
        <v>4.5</v>
      </c>
      <c r="Q360" s="49">
        <f t="shared" si="930"/>
        <v>5.5</v>
      </c>
      <c r="R360" s="49">
        <f t="shared" si="930"/>
        <v>6.5</v>
      </c>
      <c r="S360" s="49">
        <f t="shared" si="930"/>
        <v>7.5</v>
      </c>
      <c r="T360" s="49">
        <f t="shared" si="930"/>
        <v>8.5</v>
      </c>
      <c r="U360" s="49">
        <f t="shared" si="930"/>
        <v>9.5</v>
      </c>
      <c r="V360" s="49">
        <f t="shared" si="930"/>
        <v>10.5</v>
      </c>
      <c r="W360" s="49">
        <f t="shared" si="930"/>
        <v>11.5</v>
      </c>
      <c r="X360" s="49">
        <f t="shared" si="930"/>
        <v>12.5</v>
      </c>
      <c r="Y360" s="49">
        <f t="shared" si="930"/>
        <v>13.5</v>
      </c>
      <c r="Z360" s="49">
        <f t="shared" si="930"/>
        <v>14.5</v>
      </c>
      <c r="AA360" s="49">
        <f t="shared" si="930"/>
        <v>15.5</v>
      </c>
      <c r="AB360" s="49">
        <f t="shared" si="930"/>
        <v>16.5</v>
      </c>
      <c r="AC360" s="49">
        <f t="shared" si="930"/>
        <v>17.5</v>
      </c>
      <c r="AD360" s="49">
        <f t="shared" si="930"/>
        <v>18.5</v>
      </c>
      <c r="AE360" s="49">
        <f t="shared" si="930"/>
        <v>19.5</v>
      </c>
      <c r="AF360" s="49">
        <f t="shared" si="930"/>
        <v>20.5</v>
      </c>
      <c r="AG360" s="49">
        <f t="shared" si="930"/>
        <v>21.5</v>
      </c>
      <c r="AH360" s="49">
        <f t="shared" si="930"/>
        <v>22.5</v>
      </c>
      <c r="AI360" s="49">
        <f t="shared" si="930"/>
        <v>23.5</v>
      </c>
      <c r="AJ360" s="49">
        <f t="shared" si="930"/>
        <v>24.5</v>
      </c>
      <c r="AK360" s="49">
        <f t="shared" si="930"/>
        <v>25.5</v>
      </c>
      <c r="AL360" s="49">
        <f t="shared" si="930"/>
        <v>26.5</v>
      </c>
      <c r="AM360" s="49">
        <f t="shared" si="930"/>
        <v>27.5</v>
      </c>
      <c r="AN360" s="49">
        <f t="shared" si="930"/>
        <v>28.5</v>
      </c>
      <c r="AO360" s="49">
        <f t="shared" si="930"/>
        <v>29.5</v>
      </c>
      <c r="AP360" s="49">
        <f t="shared" si="930"/>
        <v>30.5</v>
      </c>
      <c r="AQ360" s="49">
        <f t="shared" si="930"/>
        <v>31.5</v>
      </c>
      <c r="AR360" s="49">
        <f t="shared" si="930"/>
        <v>32.5</v>
      </c>
      <c r="AS360" s="49">
        <f t="shared" si="930"/>
        <v>33.5</v>
      </c>
      <c r="AT360" s="49">
        <f t="shared" si="930"/>
        <v>34.5</v>
      </c>
      <c r="AU360" s="49">
        <f t="shared" si="930"/>
        <v>35.5</v>
      </c>
      <c r="AV360" s="49">
        <f t="shared" si="930"/>
        <v>36.5</v>
      </c>
      <c r="AW360" s="49">
        <f t="shared" si="930"/>
        <v>37.5</v>
      </c>
      <c r="AX360" s="49">
        <f t="shared" si="930"/>
        <v>38.5</v>
      </c>
      <c r="AY360" s="49">
        <f t="shared" si="930"/>
        <v>39.5</v>
      </c>
      <c r="AZ360" s="49">
        <f t="shared" si="930"/>
        <v>40.5</v>
      </c>
      <c r="BA360" s="49">
        <f t="shared" si="930"/>
        <v>41.5</v>
      </c>
      <c r="BB360" s="49">
        <f t="shared" si="930"/>
        <v>42.5</v>
      </c>
      <c r="BC360" s="49">
        <f t="shared" si="930"/>
        <v>43.5</v>
      </c>
      <c r="BD360" s="49">
        <f t="shared" si="930"/>
        <v>44.5</v>
      </c>
      <c r="BE360" s="49">
        <f t="shared" si="930"/>
        <v>45.5</v>
      </c>
      <c r="BF360" s="49">
        <f t="shared" si="930"/>
        <v>46.5</v>
      </c>
      <c r="BG360" s="49">
        <f t="shared" si="930"/>
        <v>47.5</v>
      </c>
      <c r="BH360" s="49">
        <f t="shared" si="930"/>
        <v>48.5</v>
      </c>
      <c r="BI360" s="49">
        <f t="shared" si="930"/>
        <v>49.5</v>
      </c>
      <c r="BJ360" s="49">
        <f t="shared" si="930"/>
        <v>50.5</v>
      </c>
      <c r="BK360" s="49">
        <f t="shared" si="930"/>
        <v>51.5</v>
      </c>
      <c r="BL360" s="49">
        <f t="shared" si="930"/>
        <v>52.5</v>
      </c>
      <c r="BM360" s="49">
        <f t="shared" si="930"/>
        <v>53.5</v>
      </c>
      <c r="BN360" s="49">
        <f t="shared" si="930"/>
        <v>54.5</v>
      </c>
      <c r="BO360" s="49">
        <f t="shared" si="930"/>
        <v>55.5</v>
      </c>
      <c r="BP360" s="49">
        <f t="shared" si="930"/>
        <v>56.5</v>
      </c>
      <c r="BQ360" s="49">
        <f t="shared" si="930"/>
        <v>57.5</v>
      </c>
      <c r="BR360" s="49">
        <f t="shared" si="930"/>
        <v>58.5</v>
      </c>
      <c r="BS360" s="49">
        <f t="shared" si="930"/>
        <v>59.5</v>
      </c>
    </row>
    <row r="361" spans="1:93" outlineLevel="1" x14ac:dyDescent="0.2">
      <c r="D361" t="s">
        <v>279</v>
      </c>
      <c r="G361" s="29">
        <f>Current_year</f>
        <v>2021</v>
      </c>
      <c r="L361" s="49">
        <f>MAX(L4-$G361+1-0.5,0)</f>
        <v>0</v>
      </c>
      <c r="M361" s="49">
        <f t="shared" ref="M361:BS361" si="931">MAX(M4-$G361+1-0.5,0)</f>
        <v>0</v>
      </c>
      <c r="N361" s="49">
        <f t="shared" si="931"/>
        <v>0</v>
      </c>
      <c r="O361" s="49">
        <f t="shared" si="931"/>
        <v>0</v>
      </c>
      <c r="P361" s="49">
        <f t="shared" si="931"/>
        <v>0</v>
      </c>
      <c r="Q361" s="49">
        <f t="shared" si="931"/>
        <v>0</v>
      </c>
      <c r="R361" s="49">
        <f t="shared" si="931"/>
        <v>0</v>
      </c>
      <c r="S361" s="49">
        <f t="shared" si="931"/>
        <v>0.5</v>
      </c>
      <c r="T361" s="49">
        <f t="shared" si="931"/>
        <v>1.5</v>
      </c>
      <c r="U361" s="49">
        <f t="shared" si="931"/>
        <v>2.5</v>
      </c>
      <c r="V361" s="49">
        <f t="shared" si="931"/>
        <v>3.5</v>
      </c>
      <c r="W361" s="49">
        <f t="shared" si="931"/>
        <v>4.5</v>
      </c>
      <c r="X361" s="49">
        <f t="shared" si="931"/>
        <v>5.5</v>
      </c>
      <c r="Y361" s="49">
        <f t="shared" si="931"/>
        <v>6.5</v>
      </c>
      <c r="Z361" s="49">
        <f t="shared" si="931"/>
        <v>7.5</v>
      </c>
      <c r="AA361" s="49">
        <f t="shared" si="931"/>
        <v>8.5</v>
      </c>
      <c r="AB361" s="49">
        <f t="shared" si="931"/>
        <v>9.5</v>
      </c>
      <c r="AC361" s="49">
        <f t="shared" si="931"/>
        <v>10.5</v>
      </c>
      <c r="AD361" s="49">
        <f t="shared" si="931"/>
        <v>11.5</v>
      </c>
      <c r="AE361" s="49">
        <f t="shared" si="931"/>
        <v>12.5</v>
      </c>
      <c r="AF361" s="49">
        <f t="shared" si="931"/>
        <v>13.5</v>
      </c>
      <c r="AG361" s="49">
        <f t="shared" si="931"/>
        <v>14.5</v>
      </c>
      <c r="AH361" s="49">
        <f t="shared" si="931"/>
        <v>15.5</v>
      </c>
      <c r="AI361" s="49">
        <f t="shared" si="931"/>
        <v>16.5</v>
      </c>
      <c r="AJ361" s="49">
        <f t="shared" si="931"/>
        <v>17.5</v>
      </c>
      <c r="AK361" s="49">
        <f t="shared" si="931"/>
        <v>18.5</v>
      </c>
      <c r="AL361" s="49">
        <f t="shared" si="931"/>
        <v>19.5</v>
      </c>
      <c r="AM361" s="49">
        <f t="shared" si="931"/>
        <v>20.5</v>
      </c>
      <c r="AN361" s="49">
        <f t="shared" si="931"/>
        <v>21.5</v>
      </c>
      <c r="AO361" s="49">
        <f t="shared" si="931"/>
        <v>22.5</v>
      </c>
      <c r="AP361" s="49">
        <f t="shared" si="931"/>
        <v>23.5</v>
      </c>
      <c r="AQ361" s="49">
        <f t="shared" si="931"/>
        <v>24.5</v>
      </c>
      <c r="AR361" s="49">
        <f t="shared" si="931"/>
        <v>25.5</v>
      </c>
      <c r="AS361" s="49">
        <f t="shared" si="931"/>
        <v>26.5</v>
      </c>
      <c r="AT361" s="49">
        <f t="shared" si="931"/>
        <v>27.5</v>
      </c>
      <c r="AU361" s="49">
        <f t="shared" si="931"/>
        <v>28.5</v>
      </c>
      <c r="AV361" s="49">
        <f t="shared" si="931"/>
        <v>29.5</v>
      </c>
      <c r="AW361" s="49">
        <f t="shared" si="931"/>
        <v>30.5</v>
      </c>
      <c r="AX361" s="49">
        <f t="shared" si="931"/>
        <v>31.5</v>
      </c>
      <c r="AY361" s="49">
        <f t="shared" si="931"/>
        <v>32.5</v>
      </c>
      <c r="AZ361" s="49">
        <f t="shared" si="931"/>
        <v>33.5</v>
      </c>
      <c r="BA361" s="49">
        <f t="shared" si="931"/>
        <v>34.5</v>
      </c>
      <c r="BB361" s="49">
        <f t="shared" si="931"/>
        <v>35.5</v>
      </c>
      <c r="BC361" s="49">
        <f t="shared" si="931"/>
        <v>36.5</v>
      </c>
      <c r="BD361" s="49">
        <f t="shared" si="931"/>
        <v>37.5</v>
      </c>
      <c r="BE361" s="49">
        <f t="shared" si="931"/>
        <v>38.5</v>
      </c>
      <c r="BF361" s="49">
        <f t="shared" si="931"/>
        <v>39.5</v>
      </c>
      <c r="BG361" s="49">
        <f t="shared" si="931"/>
        <v>40.5</v>
      </c>
      <c r="BH361" s="49">
        <f t="shared" si="931"/>
        <v>41.5</v>
      </c>
      <c r="BI361" s="49">
        <f t="shared" si="931"/>
        <v>42.5</v>
      </c>
      <c r="BJ361" s="49">
        <f t="shared" si="931"/>
        <v>43.5</v>
      </c>
      <c r="BK361" s="49">
        <f t="shared" si="931"/>
        <v>44.5</v>
      </c>
      <c r="BL361" s="49">
        <f t="shared" si="931"/>
        <v>45.5</v>
      </c>
      <c r="BM361" s="49">
        <f t="shared" si="931"/>
        <v>46.5</v>
      </c>
      <c r="BN361" s="49">
        <f t="shared" si="931"/>
        <v>47.5</v>
      </c>
      <c r="BO361" s="49">
        <f t="shared" si="931"/>
        <v>48.5</v>
      </c>
      <c r="BP361" s="49">
        <f t="shared" si="931"/>
        <v>49.5</v>
      </c>
      <c r="BQ361" s="49">
        <f t="shared" si="931"/>
        <v>50.5</v>
      </c>
      <c r="BR361" s="49">
        <f t="shared" si="931"/>
        <v>51.5</v>
      </c>
      <c r="BS361" s="49">
        <f t="shared" si="931"/>
        <v>52.5</v>
      </c>
    </row>
    <row r="362" spans="1:93" outlineLevel="1" x14ac:dyDescent="0.2">
      <c r="C362" t="s">
        <v>280</v>
      </c>
      <c r="E362" s="59">
        <f>input_DiscRate_nom</f>
        <v>0.1</v>
      </c>
    </row>
    <row r="363" spans="1:93" outlineLevel="1" x14ac:dyDescent="0.2">
      <c r="D363" t="s">
        <v>277</v>
      </c>
      <c r="K363" s="7" t="s">
        <v>282</v>
      </c>
      <c r="L363" s="49">
        <f t="shared" ref="L363:AQ363" si="932">IF(L360=0,0,(1+input_DiscRate_nom)^-L360)</f>
        <v>0.95346258924559224</v>
      </c>
      <c r="M363" s="49">
        <f t="shared" si="932"/>
        <v>0.86678417204144742</v>
      </c>
      <c r="N363" s="49">
        <f t="shared" si="932"/>
        <v>0.78798561094677033</v>
      </c>
      <c r="O363" s="49">
        <f t="shared" si="932"/>
        <v>0.71635055540615489</v>
      </c>
      <c r="P363" s="49">
        <f t="shared" si="932"/>
        <v>0.65122777764195883</v>
      </c>
      <c r="Q363" s="49">
        <f t="shared" si="932"/>
        <v>0.59202525240178083</v>
      </c>
      <c r="R363" s="49">
        <f t="shared" si="932"/>
        <v>0.53820477491070973</v>
      </c>
      <c r="S363" s="49">
        <f t="shared" si="932"/>
        <v>0.48927706810064514</v>
      </c>
      <c r="T363" s="49">
        <f t="shared" si="932"/>
        <v>0.44479733463695009</v>
      </c>
      <c r="U363" s="49">
        <f t="shared" si="932"/>
        <v>0.4043612133063183</v>
      </c>
      <c r="V363" s="49">
        <f t="shared" si="932"/>
        <v>0.36760110300574383</v>
      </c>
      <c r="W363" s="49">
        <f t="shared" si="932"/>
        <v>0.33418282091431251</v>
      </c>
      <c r="X363" s="49">
        <f t="shared" si="932"/>
        <v>0.30380256446755688</v>
      </c>
      <c r="Y363" s="49">
        <f t="shared" si="932"/>
        <v>0.27618414951596076</v>
      </c>
      <c r="Z363" s="49">
        <f t="shared" si="932"/>
        <v>0.25107649955996431</v>
      </c>
      <c r="AA363" s="49">
        <f t="shared" si="932"/>
        <v>0.22825136323633116</v>
      </c>
      <c r="AB363" s="49">
        <f t="shared" si="932"/>
        <v>0.20750123930575562</v>
      </c>
      <c r="AC363" s="49">
        <f t="shared" si="932"/>
        <v>0.18863749027795962</v>
      </c>
      <c r="AD363" s="49">
        <f t="shared" si="932"/>
        <v>0.17148862752541782</v>
      </c>
      <c r="AE363" s="49">
        <f t="shared" si="932"/>
        <v>0.15589875229583436</v>
      </c>
      <c r="AF363" s="49">
        <f t="shared" si="932"/>
        <v>0.14172613845075852</v>
      </c>
      <c r="AG363" s="49">
        <f t="shared" si="932"/>
        <v>0.1288419440461441</v>
      </c>
      <c r="AH363" s="49">
        <f t="shared" si="932"/>
        <v>0.11712904004194918</v>
      </c>
      <c r="AI363" s="49">
        <f t="shared" si="932"/>
        <v>0.10648094549268106</v>
      </c>
      <c r="AJ363" s="49">
        <f t="shared" si="932"/>
        <v>9.6800859538800965E-2</v>
      </c>
      <c r="AK363" s="49">
        <f t="shared" si="932"/>
        <v>8.8000781398909919E-2</v>
      </c>
      <c r="AL363" s="49">
        <f t="shared" si="932"/>
        <v>8.0000710362645402E-2</v>
      </c>
      <c r="AM363" s="49">
        <f t="shared" si="932"/>
        <v>7.272791851149582E-2</v>
      </c>
      <c r="AN363" s="49">
        <f t="shared" si="932"/>
        <v>6.6116289555905275E-2</v>
      </c>
      <c r="AO363" s="49">
        <f t="shared" si="932"/>
        <v>6.0105717778095702E-2</v>
      </c>
      <c r="AP363" s="49">
        <f t="shared" si="932"/>
        <v>5.4641561616450646E-2</v>
      </c>
      <c r="AQ363" s="49">
        <f t="shared" si="932"/>
        <v>4.967414692404603E-2</v>
      </c>
      <c r="AR363" s="49">
        <f t="shared" ref="AR363:BS363" si="933">IF(AR360=0,0,(1+input_DiscRate_nom)^-AR360)</f>
        <v>4.5158315385496389E-2</v>
      </c>
      <c r="AS363" s="49">
        <f t="shared" si="933"/>
        <v>4.1053013986814886E-2</v>
      </c>
      <c r="AT363" s="49">
        <f t="shared" si="933"/>
        <v>3.7320921806195353E-2</v>
      </c>
      <c r="AU363" s="49">
        <f t="shared" si="933"/>
        <v>3.3928110732904866E-2</v>
      </c>
      <c r="AV363" s="49">
        <f t="shared" si="933"/>
        <v>3.0843737029913505E-2</v>
      </c>
      <c r="AW363" s="49">
        <f t="shared" si="933"/>
        <v>2.8039760936285012E-2</v>
      </c>
      <c r="AX363" s="49">
        <f t="shared" si="933"/>
        <v>2.5490691760259102E-2</v>
      </c>
      <c r="AY363" s="49">
        <f t="shared" si="933"/>
        <v>2.3173356145690084E-2</v>
      </c>
      <c r="AZ363" s="49">
        <f t="shared" si="933"/>
        <v>2.1066687405172806E-2</v>
      </c>
      <c r="BA363" s="49">
        <f t="shared" si="933"/>
        <v>1.9151534004702545E-2</v>
      </c>
      <c r="BB363" s="49">
        <f t="shared" si="933"/>
        <v>1.7410485458820502E-2</v>
      </c>
      <c r="BC363" s="49">
        <f t="shared" si="933"/>
        <v>1.5827714053473173E-2</v>
      </c>
      <c r="BD363" s="49">
        <f t="shared" si="933"/>
        <v>1.4388830957702884E-2</v>
      </c>
      <c r="BE363" s="49">
        <f t="shared" si="933"/>
        <v>1.3080755416093532E-2</v>
      </c>
      <c r="BF363" s="49">
        <f t="shared" si="933"/>
        <v>1.1891595832812305E-2</v>
      </c>
      <c r="BG363" s="49">
        <f t="shared" si="933"/>
        <v>1.0810541666193005E-2</v>
      </c>
      <c r="BH363" s="49">
        <f t="shared" si="933"/>
        <v>9.8277651510845412E-3</v>
      </c>
      <c r="BI363" s="49">
        <f t="shared" si="933"/>
        <v>8.9343319555314025E-3</v>
      </c>
      <c r="BJ363" s="49">
        <f t="shared" si="933"/>
        <v>8.1221199595740041E-3</v>
      </c>
      <c r="BK363" s="49">
        <f t="shared" si="933"/>
        <v>7.3837454177945487E-3</v>
      </c>
      <c r="BL363" s="49">
        <f t="shared" si="933"/>
        <v>6.7124958343586817E-3</v>
      </c>
      <c r="BM363" s="49">
        <f t="shared" si="933"/>
        <v>6.1022689403260697E-3</v>
      </c>
      <c r="BN363" s="49">
        <f t="shared" si="933"/>
        <v>5.5475172184782451E-3</v>
      </c>
      <c r="BO363" s="49">
        <f t="shared" si="933"/>
        <v>5.0431974713438599E-3</v>
      </c>
      <c r="BP363" s="49">
        <f t="shared" si="933"/>
        <v>4.5847249739489641E-3</v>
      </c>
      <c r="BQ363" s="49">
        <f t="shared" si="933"/>
        <v>4.1679317944990591E-3</v>
      </c>
      <c r="BR363" s="49">
        <f t="shared" si="933"/>
        <v>3.7890289040900535E-3</v>
      </c>
      <c r="BS363" s="49">
        <f t="shared" si="933"/>
        <v>3.4445717309909553E-3</v>
      </c>
    </row>
    <row r="364" spans="1:93" outlineLevel="1" x14ac:dyDescent="0.2">
      <c r="D364" t="s">
        <v>279</v>
      </c>
      <c r="K364" s="7" t="s">
        <v>281</v>
      </c>
      <c r="L364" s="49">
        <f t="shared" ref="L364:AQ364" si="934">IF(L361=0,0,(1+input_DiscRate_nom)^-L361)</f>
        <v>0</v>
      </c>
      <c r="M364" s="49">
        <f t="shared" si="934"/>
        <v>0</v>
      </c>
      <c r="N364" s="49">
        <f t="shared" si="934"/>
        <v>0</v>
      </c>
      <c r="O364" s="49">
        <f t="shared" si="934"/>
        <v>0</v>
      </c>
      <c r="P364" s="49">
        <f t="shared" si="934"/>
        <v>0</v>
      </c>
      <c r="Q364" s="49">
        <f t="shared" si="934"/>
        <v>0</v>
      </c>
      <c r="R364" s="49">
        <f t="shared" si="934"/>
        <v>0</v>
      </c>
      <c r="S364" s="49">
        <f t="shared" si="934"/>
        <v>0.95346258924559224</v>
      </c>
      <c r="T364" s="49">
        <f t="shared" si="934"/>
        <v>0.86678417204144742</v>
      </c>
      <c r="U364" s="49">
        <f t="shared" si="934"/>
        <v>0.78798561094677033</v>
      </c>
      <c r="V364" s="49">
        <f t="shared" si="934"/>
        <v>0.71635055540615489</v>
      </c>
      <c r="W364" s="49">
        <f t="shared" si="934"/>
        <v>0.65122777764195883</v>
      </c>
      <c r="X364" s="49">
        <f t="shared" si="934"/>
        <v>0.59202525240178083</v>
      </c>
      <c r="Y364" s="49">
        <f t="shared" si="934"/>
        <v>0.53820477491070973</v>
      </c>
      <c r="Z364" s="49">
        <f t="shared" si="934"/>
        <v>0.48927706810064514</v>
      </c>
      <c r="AA364" s="49">
        <f t="shared" si="934"/>
        <v>0.44479733463695009</v>
      </c>
      <c r="AB364" s="49">
        <f t="shared" si="934"/>
        <v>0.4043612133063183</v>
      </c>
      <c r="AC364" s="49">
        <f t="shared" si="934"/>
        <v>0.36760110300574383</v>
      </c>
      <c r="AD364" s="49">
        <f t="shared" si="934"/>
        <v>0.33418282091431251</v>
      </c>
      <c r="AE364" s="49">
        <f t="shared" si="934"/>
        <v>0.30380256446755688</v>
      </c>
      <c r="AF364" s="49">
        <f t="shared" si="934"/>
        <v>0.27618414951596076</v>
      </c>
      <c r="AG364" s="49">
        <f t="shared" si="934"/>
        <v>0.25107649955996431</v>
      </c>
      <c r="AH364" s="49">
        <f t="shared" si="934"/>
        <v>0.22825136323633116</v>
      </c>
      <c r="AI364" s="49">
        <f t="shared" si="934"/>
        <v>0.20750123930575562</v>
      </c>
      <c r="AJ364" s="49">
        <f t="shared" si="934"/>
        <v>0.18863749027795962</v>
      </c>
      <c r="AK364" s="49">
        <f t="shared" si="934"/>
        <v>0.17148862752541782</v>
      </c>
      <c r="AL364" s="49">
        <f t="shared" si="934"/>
        <v>0.15589875229583436</v>
      </c>
      <c r="AM364" s="49">
        <f t="shared" si="934"/>
        <v>0.14172613845075852</v>
      </c>
      <c r="AN364" s="49">
        <f t="shared" si="934"/>
        <v>0.1288419440461441</v>
      </c>
      <c r="AO364" s="49">
        <f t="shared" si="934"/>
        <v>0.11712904004194918</v>
      </c>
      <c r="AP364" s="49">
        <f t="shared" si="934"/>
        <v>0.10648094549268106</v>
      </c>
      <c r="AQ364" s="49">
        <f t="shared" si="934"/>
        <v>9.6800859538800965E-2</v>
      </c>
      <c r="AR364" s="49">
        <f t="shared" ref="AR364:BS364" si="935">IF(AR361=0,0,(1+input_DiscRate_nom)^-AR361)</f>
        <v>8.8000781398909919E-2</v>
      </c>
      <c r="AS364" s="49">
        <f t="shared" si="935"/>
        <v>8.0000710362645402E-2</v>
      </c>
      <c r="AT364" s="49">
        <f t="shared" si="935"/>
        <v>7.272791851149582E-2</v>
      </c>
      <c r="AU364" s="49">
        <f t="shared" si="935"/>
        <v>6.6116289555905275E-2</v>
      </c>
      <c r="AV364" s="49">
        <f t="shared" si="935"/>
        <v>6.0105717778095702E-2</v>
      </c>
      <c r="AW364" s="49">
        <f t="shared" si="935"/>
        <v>5.4641561616450646E-2</v>
      </c>
      <c r="AX364" s="49">
        <f t="shared" si="935"/>
        <v>4.967414692404603E-2</v>
      </c>
      <c r="AY364" s="49">
        <f t="shared" si="935"/>
        <v>4.5158315385496389E-2</v>
      </c>
      <c r="AZ364" s="49">
        <f t="shared" si="935"/>
        <v>4.1053013986814886E-2</v>
      </c>
      <c r="BA364" s="49">
        <f t="shared" si="935"/>
        <v>3.7320921806195353E-2</v>
      </c>
      <c r="BB364" s="49">
        <f t="shared" si="935"/>
        <v>3.3928110732904866E-2</v>
      </c>
      <c r="BC364" s="49">
        <f t="shared" si="935"/>
        <v>3.0843737029913505E-2</v>
      </c>
      <c r="BD364" s="49">
        <f t="shared" si="935"/>
        <v>2.8039760936285012E-2</v>
      </c>
      <c r="BE364" s="49">
        <f t="shared" si="935"/>
        <v>2.5490691760259102E-2</v>
      </c>
      <c r="BF364" s="49">
        <f t="shared" si="935"/>
        <v>2.3173356145690084E-2</v>
      </c>
      <c r="BG364" s="49">
        <f t="shared" si="935"/>
        <v>2.1066687405172806E-2</v>
      </c>
      <c r="BH364" s="49">
        <f t="shared" si="935"/>
        <v>1.9151534004702545E-2</v>
      </c>
      <c r="BI364" s="49">
        <f t="shared" si="935"/>
        <v>1.7410485458820502E-2</v>
      </c>
      <c r="BJ364" s="49">
        <f t="shared" si="935"/>
        <v>1.5827714053473173E-2</v>
      </c>
      <c r="BK364" s="49">
        <f t="shared" si="935"/>
        <v>1.4388830957702884E-2</v>
      </c>
      <c r="BL364" s="49">
        <f t="shared" si="935"/>
        <v>1.3080755416093532E-2</v>
      </c>
      <c r="BM364" s="49">
        <f t="shared" si="935"/>
        <v>1.1891595832812305E-2</v>
      </c>
      <c r="BN364" s="49">
        <f t="shared" si="935"/>
        <v>1.0810541666193005E-2</v>
      </c>
      <c r="BO364" s="49">
        <f t="shared" si="935"/>
        <v>9.8277651510845412E-3</v>
      </c>
      <c r="BP364" s="49">
        <f t="shared" si="935"/>
        <v>8.9343319555314025E-3</v>
      </c>
      <c r="BQ364" s="49">
        <f t="shared" si="935"/>
        <v>8.1221199595740041E-3</v>
      </c>
      <c r="BR364" s="49">
        <f t="shared" si="935"/>
        <v>7.3837454177945487E-3</v>
      </c>
      <c r="BS364" s="49">
        <f t="shared" si="935"/>
        <v>6.7124958343586817E-3</v>
      </c>
    </row>
    <row r="365" spans="1:93" outlineLevel="1" x14ac:dyDescent="0.2"/>
    <row r="366" spans="1:93" outlineLevel="1" x14ac:dyDescent="0.2"/>
    <row r="367" spans="1:93" outlineLevel="1" x14ac:dyDescent="0.2">
      <c r="A367" s="45"/>
      <c r="B367" s="38" t="s">
        <v>257</v>
      </c>
      <c r="C367" s="45"/>
      <c r="D367" s="45"/>
      <c r="E367" s="45"/>
    </row>
    <row r="368" spans="1:93" outlineLevel="1" x14ac:dyDescent="0.2"/>
    <row r="369" spans="3:71" outlineLevel="1" x14ac:dyDescent="0.2">
      <c r="C369" t="s">
        <v>144</v>
      </c>
    </row>
    <row r="370" spans="3:71" outlineLevel="1" x14ac:dyDescent="0.2">
      <c r="D370" t="s">
        <v>258</v>
      </c>
      <c r="I370" s="30">
        <f t="shared" ref="I370:I372" ca="1" si="936">SUM($L370:$BS370)</f>
        <v>11683.664472381299</v>
      </c>
      <c r="J370" s="26" t="s">
        <v>148</v>
      </c>
      <c r="L370" s="49" cm="1">
        <f t="array" aca="1" ref="L370:BS370" ca="1">CA_gross_rev_oil_fp</f>
        <v>749.33748230811875</v>
      </c>
      <c r="M370" s="49">
        <f ca="1"/>
        <v>707.8459753529246</v>
      </c>
      <c r="N370" s="49">
        <f ca="1"/>
        <v>267.06236900108337</v>
      </c>
      <c r="O370" s="49">
        <f ca="1"/>
        <v>252.08282317336821</v>
      </c>
      <c r="P370" s="49">
        <f ca="1"/>
        <v>699.24129539791363</v>
      </c>
      <c r="Q370" s="49">
        <f ca="1"/>
        <v>1389.9328663921019</v>
      </c>
      <c r="R370" s="49">
        <f ca="1"/>
        <v>1326.7308635491613</v>
      </c>
      <c r="S370" s="49">
        <f ca="1"/>
        <v>770.17699371600008</v>
      </c>
      <c r="T370" s="49">
        <f ca="1"/>
        <v>1175.2312258964159</v>
      </c>
      <c r="U370" s="49">
        <f ca="1"/>
        <v>1173.1746984589799</v>
      </c>
      <c r="V370" s="49">
        <f ca="1"/>
        <v>1112.8735189581882</v>
      </c>
      <c r="W370" s="49">
        <f ca="1"/>
        <v>1058.5640716456105</v>
      </c>
      <c r="X370" s="49">
        <f ca="1"/>
        <v>1001.4102885314331</v>
      </c>
      <c r="Y370" s="49">
        <f ca="1"/>
        <v>0</v>
      </c>
      <c r="Z370" s="49">
        <f ca="1"/>
        <v>0</v>
      </c>
      <c r="AA370" s="49">
        <f ca="1"/>
        <v>0</v>
      </c>
      <c r="AB370" s="49">
        <f ca="1"/>
        <v>0</v>
      </c>
      <c r="AC370" s="49">
        <f ca="1"/>
        <v>0</v>
      </c>
      <c r="AD370" s="49">
        <f ca="1"/>
        <v>0</v>
      </c>
      <c r="AE370" s="49">
        <f ca="1"/>
        <v>0</v>
      </c>
      <c r="AF370" s="49">
        <f ca="1"/>
        <v>0</v>
      </c>
      <c r="AG370" s="49">
        <f ca="1"/>
        <v>0</v>
      </c>
      <c r="AH370" s="49">
        <f ca="1"/>
        <v>0</v>
      </c>
      <c r="AI370" s="49">
        <f ca="1"/>
        <v>0</v>
      </c>
      <c r="AJ370" s="49">
        <f ca="1"/>
        <v>0</v>
      </c>
      <c r="AK370" s="49">
        <f ca="1"/>
        <v>0</v>
      </c>
      <c r="AL370" s="49">
        <f ca="1"/>
        <v>0</v>
      </c>
      <c r="AM370" s="49">
        <f ca="1"/>
        <v>0</v>
      </c>
      <c r="AN370" s="49">
        <f ca="1"/>
        <v>0</v>
      </c>
      <c r="AO370" s="49">
        <f ca="1"/>
        <v>0</v>
      </c>
      <c r="AP370" s="49">
        <f ca="1"/>
        <v>0</v>
      </c>
      <c r="AQ370" s="49">
        <f ca="1"/>
        <v>0</v>
      </c>
      <c r="AR370" s="49">
        <f ca="1"/>
        <v>0</v>
      </c>
      <c r="AS370" s="49">
        <f ca="1"/>
        <v>0</v>
      </c>
      <c r="AT370" s="49">
        <f ca="1"/>
        <v>0</v>
      </c>
      <c r="AU370" s="49">
        <f ca="1"/>
        <v>0</v>
      </c>
      <c r="AV370" s="49">
        <f ca="1"/>
        <v>0</v>
      </c>
      <c r="AW370" s="49">
        <f ca="1"/>
        <v>0</v>
      </c>
      <c r="AX370" s="49">
        <f ca="1"/>
        <v>0</v>
      </c>
      <c r="AY370" s="49">
        <f ca="1"/>
        <v>0</v>
      </c>
      <c r="AZ370" s="49">
        <f ca="1"/>
        <v>0</v>
      </c>
      <c r="BA370" s="49">
        <f ca="1"/>
        <v>0</v>
      </c>
      <c r="BB370" s="49">
        <f ca="1"/>
        <v>0</v>
      </c>
      <c r="BC370" s="49">
        <f ca="1"/>
        <v>0</v>
      </c>
      <c r="BD370" s="49">
        <f ca="1"/>
        <v>0</v>
      </c>
      <c r="BE370" s="49">
        <f ca="1"/>
        <v>0</v>
      </c>
      <c r="BF370" s="49">
        <f ca="1"/>
        <v>0</v>
      </c>
      <c r="BG370" s="49">
        <f ca="1"/>
        <v>0</v>
      </c>
      <c r="BH370" s="49">
        <f ca="1"/>
        <v>0</v>
      </c>
      <c r="BI370" s="49">
        <f ca="1"/>
        <v>0</v>
      </c>
      <c r="BJ370" s="49">
        <f ca="1"/>
        <v>0</v>
      </c>
      <c r="BK370" s="49">
        <f ca="1"/>
        <v>0</v>
      </c>
      <c r="BL370" s="49">
        <f ca="1"/>
        <v>0</v>
      </c>
      <c r="BM370" s="49">
        <f ca="1"/>
        <v>0</v>
      </c>
      <c r="BN370" s="49">
        <f ca="1"/>
        <v>0</v>
      </c>
      <c r="BO370" s="49">
        <f ca="1"/>
        <v>0</v>
      </c>
      <c r="BP370" s="49">
        <f ca="1"/>
        <v>0</v>
      </c>
      <c r="BQ370" s="49">
        <f ca="1"/>
        <v>0</v>
      </c>
      <c r="BR370" s="49">
        <f ca="1"/>
        <v>0</v>
      </c>
      <c r="BS370" s="49">
        <f ca="1"/>
        <v>0</v>
      </c>
    </row>
    <row r="371" spans="3:71" outlineLevel="1" x14ac:dyDescent="0.2">
      <c r="D371" t="s">
        <v>259</v>
      </c>
      <c r="I371" s="30">
        <f t="shared" ca="1" si="936"/>
        <v>0</v>
      </c>
      <c r="J371" s="26" t="s">
        <v>148</v>
      </c>
      <c r="L371" s="49" cm="1">
        <f t="array" aca="1" ref="L371:BS371" ca="1">CA_gross_rev_gas_fp</f>
        <v>0</v>
      </c>
      <c r="M371" s="49">
        <f ca="1"/>
        <v>0</v>
      </c>
      <c r="N371" s="49">
        <f ca="1"/>
        <v>0</v>
      </c>
      <c r="O371" s="49">
        <f ca="1"/>
        <v>0</v>
      </c>
      <c r="P371" s="49">
        <f ca="1"/>
        <v>0</v>
      </c>
      <c r="Q371" s="49">
        <f ca="1"/>
        <v>0</v>
      </c>
      <c r="R371" s="49">
        <f ca="1"/>
        <v>0</v>
      </c>
      <c r="S371" s="49">
        <f ca="1"/>
        <v>0</v>
      </c>
      <c r="T371" s="49">
        <f ca="1"/>
        <v>0</v>
      </c>
      <c r="U371" s="49">
        <f ca="1"/>
        <v>0</v>
      </c>
      <c r="V371" s="49">
        <f ca="1"/>
        <v>0</v>
      </c>
      <c r="W371" s="49">
        <f ca="1"/>
        <v>0</v>
      </c>
      <c r="X371" s="49">
        <f ca="1"/>
        <v>0</v>
      </c>
      <c r="Y371" s="49">
        <f ca="1"/>
        <v>0</v>
      </c>
      <c r="Z371" s="49">
        <f ca="1"/>
        <v>0</v>
      </c>
      <c r="AA371" s="49">
        <f ca="1"/>
        <v>0</v>
      </c>
      <c r="AB371" s="49">
        <f ca="1"/>
        <v>0</v>
      </c>
      <c r="AC371" s="49">
        <f ca="1"/>
        <v>0</v>
      </c>
      <c r="AD371" s="49">
        <f ca="1"/>
        <v>0</v>
      </c>
      <c r="AE371" s="49">
        <f ca="1"/>
        <v>0</v>
      </c>
      <c r="AF371" s="49">
        <f ca="1"/>
        <v>0</v>
      </c>
      <c r="AG371" s="49">
        <f ca="1"/>
        <v>0</v>
      </c>
      <c r="AH371" s="49">
        <f ca="1"/>
        <v>0</v>
      </c>
      <c r="AI371" s="49">
        <f ca="1"/>
        <v>0</v>
      </c>
      <c r="AJ371" s="49">
        <f ca="1"/>
        <v>0</v>
      </c>
      <c r="AK371" s="49">
        <f ca="1"/>
        <v>0</v>
      </c>
      <c r="AL371" s="49">
        <f ca="1"/>
        <v>0</v>
      </c>
      <c r="AM371" s="49">
        <f ca="1"/>
        <v>0</v>
      </c>
      <c r="AN371" s="49">
        <f ca="1"/>
        <v>0</v>
      </c>
      <c r="AO371" s="49">
        <f ca="1"/>
        <v>0</v>
      </c>
      <c r="AP371" s="49">
        <f ca="1"/>
        <v>0</v>
      </c>
      <c r="AQ371" s="49">
        <f ca="1"/>
        <v>0</v>
      </c>
      <c r="AR371" s="49">
        <f ca="1"/>
        <v>0</v>
      </c>
      <c r="AS371" s="49">
        <f ca="1"/>
        <v>0</v>
      </c>
      <c r="AT371" s="49">
        <f ca="1"/>
        <v>0</v>
      </c>
      <c r="AU371" s="49">
        <f ca="1"/>
        <v>0</v>
      </c>
      <c r="AV371" s="49">
        <f ca="1"/>
        <v>0</v>
      </c>
      <c r="AW371" s="49">
        <f ca="1"/>
        <v>0</v>
      </c>
      <c r="AX371" s="49">
        <f ca="1"/>
        <v>0</v>
      </c>
      <c r="AY371" s="49">
        <f ca="1"/>
        <v>0</v>
      </c>
      <c r="AZ371" s="49">
        <f ca="1"/>
        <v>0</v>
      </c>
      <c r="BA371" s="49">
        <f ca="1"/>
        <v>0</v>
      </c>
      <c r="BB371" s="49">
        <f ca="1"/>
        <v>0</v>
      </c>
      <c r="BC371" s="49">
        <f ca="1"/>
        <v>0</v>
      </c>
      <c r="BD371" s="49">
        <f ca="1"/>
        <v>0</v>
      </c>
      <c r="BE371" s="49">
        <f ca="1"/>
        <v>0</v>
      </c>
      <c r="BF371" s="49">
        <f ca="1"/>
        <v>0</v>
      </c>
      <c r="BG371" s="49">
        <f ca="1"/>
        <v>0</v>
      </c>
      <c r="BH371" s="49">
        <f ca="1"/>
        <v>0</v>
      </c>
      <c r="BI371" s="49">
        <f ca="1"/>
        <v>0</v>
      </c>
      <c r="BJ371" s="49">
        <f ca="1"/>
        <v>0</v>
      </c>
      <c r="BK371" s="49">
        <f ca="1"/>
        <v>0</v>
      </c>
      <c r="BL371" s="49">
        <f ca="1"/>
        <v>0</v>
      </c>
      <c r="BM371" s="49">
        <f ca="1"/>
        <v>0</v>
      </c>
      <c r="BN371" s="49">
        <f ca="1"/>
        <v>0</v>
      </c>
      <c r="BO371" s="49">
        <f ca="1"/>
        <v>0</v>
      </c>
      <c r="BP371" s="49">
        <f ca="1"/>
        <v>0</v>
      </c>
      <c r="BQ371" s="49">
        <f ca="1"/>
        <v>0</v>
      </c>
      <c r="BR371" s="49">
        <f ca="1"/>
        <v>0</v>
      </c>
      <c r="BS371" s="49">
        <f ca="1"/>
        <v>0</v>
      </c>
    </row>
    <row r="372" spans="3:71" outlineLevel="1" x14ac:dyDescent="0.2">
      <c r="D372" s="11" t="s">
        <v>260</v>
      </c>
      <c r="I372" s="30">
        <f t="shared" ca="1" si="936"/>
        <v>11683.664472381299</v>
      </c>
      <c r="J372" s="26" t="s">
        <v>148</v>
      </c>
      <c r="L372" s="49">
        <f ca="1">SUM(L370:L371)</f>
        <v>749.33748230811875</v>
      </c>
      <c r="M372" s="49">
        <f t="shared" ref="M372:BS372" ca="1" si="937">SUM(M370:M371)</f>
        <v>707.8459753529246</v>
      </c>
      <c r="N372" s="49">
        <f t="shared" ca="1" si="937"/>
        <v>267.06236900108337</v>
      </c>
      <c r="O372" s="49">
        <f t="shared" ca="1" si="937"/>
        <v>252.08282317336821</v>
      </c>
      <c r="P372" s="49">
        <f t="shared" ca="1" si="937"/>
        <v>699.24129539791363</v>
      </c>
      <c r="Q372" s="49">
        <f t="shared" ca="1" si="937"/>
        <v>1389.9328663921019</v>
      </c>
      <c r="R372" s="49">
        <f t="shared" ca="1" si="937"/>
        <v>1326.7308635491613</v>
      </c>
      <c r="S372" s="49">
        <f t="shared" ca="1" si="937"/>
        <v>770.17699371600008</v>
      </c>
      <c r="T372" s="49">
        <f t="shared" ca="1" si="937"/>
        <v>1175.2312258964159</v>
      </c>
      <c r="U372" s="49">
        <f t="shared" ca="1" si="937"/>
        <v>1173.1746984589799</v>
      </c>
      <c r="V372" s="49">
        <f t="shared" ca="1" si="937"/>
        <v>1112.8735189581882</v>
      </c>
      <c r="W372" s="49">
        <f t="shared" ca="1" si="937"/>
        <v>1058.5640716456105</v>
      </c>
      <c r="X372" s="49">
        <f t="shared" ca="1" si="937"/>
        <v>1001.4102885314331</v>
      </c>
      <c r="Y372" s="49">
        <f t="shared" ca="1" si="937"/>
        <v>0</v>
      </c>
      <c r="Z372" s="49">
        <f t="shared" ca="1" si="937"/>
        <v>0</v>
      </c>
      <c r="AA372" s="49">
        <f t="shared" ca="1" si="937"/>
        <v>0</v>
      </c>
      <c r="AB372" s="49">
        <f t="shared" ca="1" si="937"/>
        <v>0</v>
      </c>
      <c r="AC372" s="49">
        <f t="shared" ca="1" si="937"/>
        <v>0</v>
      </c>
      <c r="AD372" s="49">
        <f t="shared" ca="1" si="937"/>
        <v>0</v>
      </c>
      <c r="AE372" s="49">
        <f t="shared" ca="1" si="937"/>
        <v>0</v>
      </c>
      <c r="AF372" s="49">
        <f t="shared" ca="1" si="937"/>
        <v>0</v>
      </c>
      <c r="AG372" s="49">
        <f t="shared" ca="1" si="937"/>
        <v>0</v>
      </c>
      <c r="AH372" s="49">
        <f t="shared" ca="1" si="937"/>
        <v>0</v>
      </c>
      <c r="AI372" s="49">
        <f t="shared" ca="1" si="937"/>
        <v>0</v>
      </c>
      <c r="AJ372" s="49">
        <f t="shared" ca="1" si="937"/>
        <v>0</v>
      </c>
      <c r="AK372" s="49">
        <f t="shared" ca="1" si="937"/>
        <v>0</v>
      </c>
      <c r="AL372" s="49">
        <f t="shared" ca="1" si="937"/>
        <v>0</v>
      </c>
      <c r="AM372" s="49">
        <f t="shared" ca="1" si="937"/>
        <v>0</v>
      </c>
      <c r="AN372" s="49">
        <f t="shared" ca="1" si="937"/>
        <v>0</v>
      </c>
      <c r="AO372" s="49">
        <f t="shared" ca="1" si="937"/>
        <v>0</v>
      </c>
      <c r="AP372" s="49">
        <f t="shared" ca="1" si="937"/>
        <v>0</v>
      </c>
      <c r="AQ372" s="49">
        <f t="shared" ca="1" si="937"/>
        <v>0</v>
      </c>
      <c r="AR372" s="49">
        <f t="shared" ca="1" si="937"/>
        <v>0</v>
      </c>
      <c r="AS372" s="49">
        <f t="shared" ca="1" si="937"/>
        <v>0</v>
      </c>
      <c r="AT372" s="49">
        <f t="shared" ca="1" si="937"/>
        <v>0</v>
      </c>
      <c r="AU372" s="49">
        <f t="shared" ca="1" si="937"/>
        <v>0</v>
      </c>
      <c r="AV372" s="49">
        <f t="shared" ca="1" si="937"/>
        <v>0</v>
      </c>
      <c r="AW372" s="49">
        <f t="shared" ca="1" si="937"/>
        <v>0</v>
      </c>
      <c r="AX372" s="49">
        <f t="shared" ca="1" si="937"/>
        <v>0</v>
      </c>
      <c r="AY372" s="49">
        <f t="shared" ca="1" si="937"/>
        <v>0</v>
      </c>
      <c r="AZ372" s="49">
        <f t="shared" ca="1" si="937"/>
        <v>0</v>
      </c>
      <c r="BA372" s="49">
        <f t="shared" ca="1" si="937"/>
        <v>0</v>
      </c>
      <c r="BB372" s="49">
        <f t="shared" ca="1" si="937"/>
        <v>0</v>
      </c>
      <c r="BC372" s="49">
        <f t="shared" ca="1" si="937"/>
        <v>0</v>
      </c>
      <c r="BD372" s="49">
        <f t="shared" ca="1" si="937"/>
        <v>0</v>
      </c>
      <c r="BE372" s="49">
        <f t="shared" ca="1" si="937"/>
        <v>0</v>
      </c>
      <c r="BF372" s="49">
        <f t="shared" ca="1" si="937"/>
        <v>0</v>
      </c>
      <c r="BG372" s="49">
        <f t="shared" ca="1" si="937"/>
        <v>0</v>
      </c>
      <c r="BH372" s="49">
        <f t="shared" ca="1" si="937"/>
        <v>0</v>
      </c>
      <c r="BI372" s="49">
        <f t="shared" ca="1" si="937"/>
        <v>0</v>
      </c>
      <c r="BJ372" s="49">
        <f t="shared" ca="1" si="937"/>
        <v>0</v>
      </c>
      <c r="BK372" s="49">
        <f t="shared" ca="1" si="937"/>
        <v>0</v>
      </c>
      <c r="BL372" s="49">
        <f t="shared" ca="1" si="937"/>
        <v>0</v>
      </c>
      <c r="BM372" s="49">
        <f t="shared" ca="1" si="937"/>
        <v>0</v>
      </c>
      <c r="BN372" s="49">
        <f t="shared" ca="1" si="937"/>
        <v>0</v>
      </c>
      <c r="BO372" s="49">
        <f t="shared" ca="1" si="937"/>
        <v>0</v>
      </c>
      <c r="BP372" s="49">
        <f t="shared" ca="1" si="937"/>
        <v>0</v>
      </c>
      <c r="BQ372" s="49">
        <f t="shared" ca="1" si="937"/>
        <v>0</v>
      </c>
      <c r="BR372" s="49">
        <f t="shared" ca="1" si="937"/>
        <v>0</v>
      </c>
      <c r="BS372" s="49">
        <f t="shared" ca="1" si="937"/>
        <v>0</v>
      </c>
    </row>
    <row r="373" spans="3:71" outlineLevel="1" x14ac:dyDescent="0.2"/>
    <row r="374" spans="3:71" outlineLevel="1" x14ac:dyDescent="0.2">
      <c r="C374" t="s">
        <v>50</v>
      </c>
    </row>
    <row r="375" spans="3:71" outlineLevel="1" x14ac:dyDescent="0.2">
      <c r="D375" t="s">
        <v>261</v>
      </c>
      <c r="I375" s="30">
        <f t="shared" ref="I375:I377" ca="1" si="938">SUM($L375:$BS375)</f>
        <v>0</v>
      </c>
      <c r="J375" s="26" t="s">
        <v>148</v>
      </c>
      <c r="L375" s="49" cm="1">
        <f t="array" aca="1" ref="L375:BS375" ca="1">CA_fixedopex_nom</f>
        <v>0</v>
      </c>
      <c r="M375" s="49">
        <f ca="1"/>
        <v>0</v>
      </c>
      <c r="N375" s="49">
        <f ca="1"/>
        <v>0</v>
      </c>
      <c r="O375" s="49">
        <f ca="1"/>
        <v>0</v>
      </c>
      <c r="P375" s="49">
        <f ca="1"/>
        <v>0</v>
      </c>
      <c r="Q375" s="49">
        <f ca="1"/>
        <v>0</v>
      </c>
      <c r="R375" s="49">
        <f ca="1"/>
        <v>0</v>
      </c>
      <c r="S375" s="49">
        <f ca="1"/>
        <v>0</v>
      </c>
      <c r="T375" s="49">
        <f ca="1"/>
        <v>0</v>
      </c>
      <c r="U375" s="49">
        <f ca="1"/>
        <v>0</v>
      </c>
      <c r="V375" s="49">
        <f ca="1"/>
        <v>0</v>
      </c>
      <c r="W375" s="49">
        <f ca="1"/>
        <v>0</v>
      </c>
      <c r="X375" s="49">
        <f ca="1"/>
        <v>0</v>
      </c>
      <c r="Y375" s="49">
        <f ca="1"/>
        <v>0</v>
      </c>
      <c r="Z375" s="49">
        <f ca="1"/>
        <v>0</v>
      </c>
      <c r="AA375" s="49">
        <f ca="1"/>
        <v>0</v>
      </c>
      <c r="AB375" s="49">
        <f ca="1"/>
        <v>0</v>
      </c>
      <c r="AC375" s="49">
        <f ca="1"/>
        <v>0</v>
      </c>
      <c r="AD375" s="49">
        <f ca="1"/>
        <v>0</v>
      </c>
      <c r="AE375" s="49">
        <f ca="1"/>
        <v>0</v>
      </c>
      <c r="AF375" s="49">
        <f ca="1"/>
        <v>0</v>
      </c>
      <c r="AG375" s="49">
        <f ca="1"/>
        <v>0</v>
      </c>
      <c r="AH375" s="49">
        <f ca="1"/>
        <v>0</v>
      </c>
      <c r="AI375" s="49">
        <f ca="1"/>
        <v>0</v>
      </c>
      <c r="AJ375" s="49">
        <f ca="1"/>
        <v>0</v>
      </c>
      <c r="AK375" s="49">
        <f ca="1"/>
        <v>0</v>
      </c>
      <c r="AL375" s="49">
        <f ca="1"/>
        <v>0</v>
      </c>
      <c r="AM375" s="49">
        <f ca="1"/>
        <v>0</v>
      </c>
      <c r="AN375" s="49">
        <f ca="1"/>
        <v>0</v>
      </c>
      <c r="AO375" s="49">
        <f ca="1"/>
        <v>0</v>
      </c>
      <c r="AP375" s="49">
        <f ca="1"/>
        <v>0</v>
      </c>
      <c r="AQ375" s="49">
        <f ca="1"/>
        <v>0</v>
      </c>
      <c r="AR375" s="49">
        <f ca="1"/>
        <v>0</v>
      </c>
      <c r="AS375" s="49">
        <f ca="1"/>
        <v>0</v>
      </c>
      <c r="AT375" s="49">
        <f ca="1"/>
        <v>0</v>
      </c>
      <c r="AU375" s="49">
        <f ca="1"/>
        <v>0</v>
      </c>
      <c r="AV375" s="49">
        <f ca="1"/>
        <v>0</v>
      </c>
      <c r="AW375" s="49">
        <f ca="1"/>
        <v>0</v>
      </c>
      <c r="AX375" s="49">
        <f ca="1"/>
        <v>0</v>
      </c>
      <c r="AY375" s="49">
        <f ca="1"/>
        <v>0</v>
      </c>
      <c r="AZ375" s="49">
        <f ca="1"/>
        <v>0</v>
      </c>
      <c r="BA375" s="49">
        <f ca="1"/>
        <v>0</v>
      </c>
      <c r="BB375" s="49">
        <f ca="1"/>
        <v>0</v>
      </c>
      <c r="BC375" s="49">
        <f ca="1"/>
        <v>0</v>
      </c>
      <c r="BD375" s="49">
        <f ca="1"/>
        <v>0</v>
      </c>
      <c r="BE375" s="49">
        <f ca="1"/>
        <v>0</v>
      </c>
      <c r="BF375" s="49">
        <f ca="1"/>
        <v>0</v>
      </c>
      <c r="BG375" s="49">
        <f ca="1"/>
        <v>0</v>
      </c>
      <c r="BH375" s="49">
        <f ca="1"/>
        <v>0</v>
      </c>
      <c r="BI375" s="49">
        <f ca="1"/>
        <v>0</v>
      </c>
      <c r="BJ375" s="49">
        <f ca="1"/>
        <v>0</v>
      </c>
      <c r="BK375" s="49">
        <f ca="1"/>
        <v>0</v>
      </c>
      <c r="BL375" s="49">
        <f ca="1"/>
        <v>0</v>
      </c>
      <c r="BM375" s="49">
        <f ca="1"/>
        <v>0</v>
      </c>
      <c r="BN375" s="49">
        <f ca="1"/>
        <v>0</v>
      </c>
      <c r="BO375" s="49">
        <f ca="1"/>
        <v>0</v>
      </c>
      <c r="BP375" s="49">
        <f ca="1"/>
        <v>0</v>
      </c>
      <c r="BQ375" s="49">
        <f ca="1"/>
        <v>0</v>
      </c>
      <c r="BR375" s="49">
        <f ca="1"/>
        <v>0</v>
      </c>
      <c r="BS375" s="49">
        <f ca="1"/>
        <v>0</v>
      </c>
    </row>
    <row r="376" spans="3:71" outlineLevel="1" x14ac:dyDescent="0.2">
      <c r="D376" t="s">
        <v>158</v>
      </c>
      <c r="I376" s="30">
        <f t="shared" ca="1" si="938"/>
        <v>3502.3183539519996</v>
      </c>
      <c r="J376" s="26" t="s">
        <v>148</v>
      </c>
      <c r="L376" s="49" cm="1">
        <f t="array" aca="1" ref="L376:BS376" ca="1">CA_varopex_nom</f>
        <v>148.06899999999999</v>
      </c>
      <c r="M376" s="49">
        <f ca="1"/>
        <v>183.88499999999999</v>
      </c>
      <c r="N376" s="49">
        <f ca="1"/>
        <v>135.70400000000001</v>
      </c>
      <c r="O376" s="49">
        <f ca="1"/>
        <v>240.88499999999999</v>
      </c>
      <c r="P376" s="49">
        <f ca="1"/>
        <v>536.79</v>
      </c>
      <c r="Q376" s="49">
        <f ca="1"/>
        <v>243.78</v>
      </c>
      <c r="R376" s="49">
        <f ca="1"/>
        <v>281.8</v>
      </c>
      <c r="S376" s="49">
        <f ca="1"/>
        <v>286.3</v>
      </c>
      <c r="T376" s="49">
        <f ca="1"/>
        <v>283.39999999999998</v>
      </c>
      <c r="U376" s="49">
        <f ca="1"/>
        <v>286.21200000000005</v>
      </c>
      <c r="V376" s="49">
        <f ca="1"/>
        <v>289.02312000000001</v>
      </c>
      <c r="W376" s="49">
        <f ca="1"/>
        <v>291.8322</v>
      </c>
      <c r="X376" s="49">
        <f ca="1"/>
        <v>294.638033952</v>
      </c>
      <c r="Y376" s="49">
        <f ca="1"/>
        <v>0</v>
      </c>
      <c r="Z376" s="49">
        <f ca="1"/>
        <v>0</v>
      </c>
      <c r="AA376" s="49">
        <f ca="1"/>
        <v>0</v>
      </c>
      <c r="AB376" s="49">
        <f ca="1"/>
        <v>0</v>
      </c>
      <c r="AC376" s="49">
        <f ca="1"/>
        <v>0</v>
      </c>
      <c r="AD376" s="49">
        <f ca="1"/>
        <v>0</v>
      </c>
      <c r="AE376" s="49">
        <f ca="1"/>
        <v>0</v>
      </c>
      <c r="AF376" s="49">
        <f ca="1"/>
        <v>0</v>
      </c>
      <c r="AG376" s="49">
        <f ca="1"/>
        <v>0</v>
      </c>
      <c r="AH376" s="49">
        <f ca="1"/>
        <v>0</v>
      </c>
      <c r="AI376" s="49">
        <f ca="1"/>
        <v>0</v>
      </c>
      <c r="AJ376" s="49">
        <f ca="1"/>
        <v>0</v>
      </c>
      <c r="AK376" s="49">
        <f ca="1"/>
        <v>0</v>
      </c>
      <c r="AL376" s="49">
        <f ca="1"/>
        <v>0</v>
      </c>
      <c r="AM376" s="49">
        <f ca="1"/>
        <v>0</v>
      </c>
      <c r="AN376" s="49">
        <f ca="1"/>
        <v>0</v>
      </c>
      <c r="AO376" s="49">
        <f ca="1"/>
        <v>0</v>
      </c>
      <c r="AP376" s="49">
        <f ca="1"/>
        <v>0</v>
      </c>
      <c r="AQ376" s="49">
        <f ca="1"/>
        <v>0</v>
      </c>
      <c r="AR376" s="49">
        <f ca="1"/>
        <v>0</v>
      </c>
      <c r="AS376" s="49">
        <f ca="1"/>
        <v>0</v>
      </c>
      <c r="AT376" s="49">
        <f ca="1"/>
        <v>0</v>
      </c>
      <c r="AU376" s="49">
        <f ca="1"/>
        <v>0</v>
      </c>
      <c r="AV376" s="49">
        <f ca="1"/>
        <v>0</v>
      </c>
      <c r="AW376" s="49">
        <f ca="1"/>
        <v>0</v>
      </c>
      <c r="AX376" s="49">
        <f ca="1"/>
        <v>0</v>
      </c>
      <c r="AY376" s="49">
        <f ca="1"/>
        <v>0</v>
      </c>
      <c r="AZ376" s="49">
        <f ca="1"/>
        <v>0</v>
      </c>
      <c r="BA376" s="49">
        <f ca="1"/>
        <v>0</v>
      </c>
      <c r="BB376" s="49">
        <f ca="1"/>
        <v>0</v>
      </c>
      <c r="BC376" s="49">
        <f ca="1"/>
        <v>0</v>
      </c>
      <c r="BD376" s="49">
        <f ca="1"/>
        <v>0</v>
      </c>
      <c r="BE376" s="49">
        <f ca="1"/>
        <v>0</v>
      </c>
      <c r="BF376" s="49">
        <f ca="1"/>
        <v>0</v>
      </c>
      <c r="BG376" s="49">
        <f ca="1"/>
        <v>0</v>
      </c>
      <c r="BH376" s="49">
        <f ca="1"/>
        <v>0</v>
      </c>
      <c r="BI376" s="49">
        <f ca="1"/>
        <v>0</v>
      </c>
      <c r="BJ376" s="49">
        <f ca="1"/>
        <v>0</v>
      </c>
      <c r="BK376" s="49">
        <f ca="1"/>
        <v>0</v>
      </c>
      <c r="BL376" s="49">
        <f ca="1"/>
        <v>0</v>
      </c>
      <c r="BM376" s="49">
        <f ca="1"/>
        <v>0</v>
      </c>
      <c r="BN376" s="49">
        <f ca="1"/>
        <v>0</v>
      </c>
      <c r="BO376" s="49">
        <f ca="1"/>
        <v>0</v>
      </c>
      <c r="BP376" s="49">
        <f ca="1"/>
        <v>0</v>
      </c>
      <c r="BQ376" s="49">
        <f ca="1"/>
        <v>0</v>
      </c>
      <c r="BR376" s="49">
        <f ca="1"/>
        <v>0</v>
      </c>
      <c r="BS376" s="49">
        <f ca="1"/>
        <v>0</v>
      </c>
    </row>
    <row r="377" spans="3:71" outlineLevel="1" x14ac:dyDescent="0.2">
      <c r="D377" s="11" t="s">
        <v>165</v>
      </c>
      <c r="I377" s="30">
        <f t="shared" ca="1" si="938"/>
        <v>3502.3183539519996</v>
      </c>
      <c r="J377" s="26" t="s">
        <v>148</v>
      </c>
      <c r="L377" s="49">
        <f ca="1">SUM(L375:L376)</f>
        <v>148.06899999999999</v>
      </c>
      <c r="M377" s="49">
        <f t="shared" ref="M377:BS377" ca="1" si="939">SUM(M375:M376)</f>
        <v>183.88499999999999</v>
      </c>
      <c r="N377" s="49">
        <f t="shared" ca="1" si="939"/>
        <v>135.70400000000001</v>
      </c>
      <c r="O377" s="49">
        <f t="shared" ca="1" si="939"/>
        <v>240.88499999999999</v>
      </c>
      <c r="P377" s="49">
        <f t="shared" ca="1" si="939"/>
        <v>536.79</v>
      </c>
      <c r="Q377" s="49">
        <f t="shared" ca="1" si="939"/>
        <v>243.78</v>
      </c>
      <c r="R377" s="49">
        <f t="shared" ca="1" si="939"/>
        <v>281.8</v>
      </c>
      <c r="S377" s="49">
        <f t="shared" ca="1" si="939"/>
        <v>286.3</v>
      </c>
      <c r="T377" s="49">
        <f t="shared" ca="1" si="939"/>
        <v>283.39999999999998</v>
      </c>
      <c r="U377" s="49">
        <f t="shared" ca="1" si="939"/>
        <v>286.21200000000005</v>
      </c>
      <c r="V377" s="49">
        <f t="shared" ca="1" si="939"/>
        <v>289.02312000000001</v>
      </c>
      <c r="W377" s="49">
        <f t="shared" ca="1" si="939"/>
        <v>291.8322</v>
      </c>
      <c r="X377" s="49">
        <f t="shared" ca="1" si="939"/>
        <v>294.638033952</v>
      </c>
      <c r="Y377" s="49">
        <f t="shared" ca="1" si="939"/>
        <v>0</v>
      </c>
      <c r="Z377" s="49">
        <f t="shared" ca="1" si="939"/>
        <v>0</v>
      </c>
      <c r="AA377" s="49">
        <f t="shared" ca="1" si="939"/>
        <v>0</v>
      </c>
      <c r="AB377" s="49">
        <f t="shared" ca="1" si="939"/>
        <v>0</v>
      </c>
      <c r="AC377" s="49">
        <f t="shared" ca="1" si="939"/>
        <v>0</v>
      </c>
      <c r="AD377" s="49">
        <f t="shared" ca="1" si="939"/>
        <v>0</v>
      </c>
      <c r="AE377" s="49">
        <f t="shared" ca="1" si="939"/>
        <v>0</v>
      </c>
      <c r="AF377" s="49">
        <f t="shared" ca="1" si="939"/>
        <v>0</v>
      </c>
      <c r="AG377" s="49">
        <f t="shared" ca="1" si="939"/>
        <v>0</v>
      </c>
      <c r="AH377" s="49">
        <f t="shared" ca="1" si="939"/>
        <v>0</v>
      </c>
      <c r="AI377" s="49">
        <f t="shared" ca="1" si="939"/>
        <v>0</v>
      </c>
      <c r="AJ377" s="49">
        <f t="shared" ca="1" si="939"/>
        <v>0</v>
      </c>
      <c r="AK377" s="49">
        <f t="shared" ca="1" si="939"/>
        <v>0</v>
      </c>
      <c r="AL377" s="49">
        <f t="shared" ca="1" si="939"/>
        <v>0</v>
      </c>
      <c r="AM377" s="49">
        <f t="shared" ca="1" si="939"/>
        <v>0</v>
      </c>
      <c r="AN377" s="49">
        <f t="shared" ca="1" si="939"/>
        <v>0</v>
      </c>
      <c r="AO377" s="49">
        <f t="shared" ca="1" si="939"/>
        <v>0</v>
      </c>
      <c r="AP377" s="49">
        <f t="shared" ca="1" si="939"/>
        <v>0</v>
      </c>
      <c r="AQ377" s="49">
        <f t="shared" ca="1" si="939"/>
        <v>0</v>
      </c>
      <c r="AR377" s="49">
        <f t="shared" ca="1" si="939"/>
        <v>0</v>
      </c>
      <c r="AS377" s="49">
        <f t="shared" ca="1" si="939"/>
        <v>0</v>
      </c>
      <c r="AT377" s="49">
        <f t="shared" ca="1" si="939"/>
        <v>0</v>
      </c>
      <c r="AU377" s="49">
        <f t="shared" ca="1" si="939"/>
        <v>0</v>
      </c>
      <c r="AV377" s="49">
        <f t="shared" ca="1" si="939"/>
        <v>0</v>
      </c>
      <c r="AW377" s="49">
        <f t="shared" ca="1" si="939"/>
        <v>0</v>
      </c>
      <c r="AX377" s="49">
        <f t="shared" ca="1" si="939"/>
        <v>0</v>
      </c>
      <c r="AY377" s="49">
        <f t="shared" ca="1" si="939"/>
        <v>0</v>
      </c>
      <c r="AZ377" s="49">
        <f t="shared" ca="1" si="939"/>
        <v>0</v>
      </c>
      <c r="BA377" s="49">
        <f t="shared" ca="1" si="939"/>
        <v>0</v>
      </c>
      <c r="BB377" s="49">
        <f t="shared" ca="1" si="939"/>
        <v>0</v>
      </c>
      <c r="BC377" s="49">
        <f t="shared" ca="1" si="939"/>
        <v>0</v>
      </c>
      <c r="BD377" s="49">
        <f t="shared" ca="1" si="939"/>
        <v>0</v>
      </c>
      <c r="BE377" s="49">
        <f t="shared" ca="1" si="939"/>
        <v>0</v>
      </c>
      <c r="BF377" s="49">
        <f t="shared" ca="1" si="939"/>
        <v>0</v>
      </c>
      <c r="BG377" s="49">
        <f t="shared" ca="1" si="939"/>
        <v>0</v>
      </c>
      <c r="BH377" s="49">
        <f t="shared" ca="1" si="939"/>
        <v>0</v>
      </c>
      <c r="BI377" s="49">
        <f t="shared" ca="1" si="939"/>
        <v>0</v>
      </c>
      <c r="BJ377" s="49">
        <f t="shared" ca="1" si="939"/>
        <v>0</v>
      </c>
      <c r="BK377" s="49">
        <f t="shared" ca="1" si="939"/>
        <v>0</v>
      </c>
      <c r="BL377" s="49">
        <f t="shared" ca="1" si="939"/>
        <v>0</v>
      </c>
      <c r="BM377" s="49">
        <f t="shared" ca="1" si="939"/>
        <v>0</v>
      </c>
      <c r="BN377" s="49">
        <f t="shared" ca="1" si="939"/>
        <v>0</v>
      </c>
      <c r="BO377" s="49">
        <f t="shared" ca="1" si="939"/>
        <v>0</v>
      </c>
      <c r="BP377" s="49">
        <f t="shared" ca="1" si="939"/>
        <v>0</v>
      </c>
      <c r="BQ377" s="49">
        <f t="shared" ca="1" si="939"/>
        <v>0</v>
      </c>
      <c r="BR377" s="49">
        <f t="shared" ca="1" si="939"/>
        <v>0</v>
      </c>
      <c r="BS377" s="49">
        <f t="shared" ca="1" si="939"/>
        <v>0</v>
      </c>
    </row>
    <row r="378" spans="3:71" outlineLevel="1" x14ac:dyDescent="0.2"/>
    <row r="379" spans="3:71" outlineLevel="1" x14ac:dyDescent="0.2">
      <c r="C379" t="s">
        <v>262</v>
      </c>
    </row>
    <row r="380" spans="3:71" outlineLevel="1" x14ac:dyDescent="0.2">
      <c r="D380" t="s">
        <v>263</v>
      </c>
      <c r="I380" s="30">
        <f t="shared" ref="I380:I385" ca="1" si="940">SUM($L380:$BS380)</f>
        <v>0</v>
      </c>
      <c r="J380" s="26" t="s">
        <v>148</v>
      </c>
      <c r="L380" s="49" cm="1">
        <f t="array" aca="1" ref="L380:BS380" ca="1">CA_expex_nom</f>
        <v>0</v>
      </c>
      <c r="M380" s="49">
        <f ca="1"/>
        <v>0</v>
      </c>
      <c r="N380" s="49">
        <f ca="1"/>
        <v>0</v>
      </c>
      <c r="O380" s="49">
        <f ca="1"/>
        <v>0</v>
      </c>
      <c r="P380" s="49">
        <f ca="1"/>
        <v>0</v>
      </c>
      <c r="Q380" s="49">
        <f ca="1"/>
        <v>0</v>
      </c>
      <c r="R380" s="49">
        <f ca="1"/>
        <v>0</v>
      </c>
      <c r="S380" s="49">
        <f ca="1"/>
        <v>0</v>
      </c>
      <c r="T380" s="49">
        <f ca="1"/>
        <v>0</v>
      </c>
      <c r="U380" s="49">
        <f ca="1"/>
        <v>0</v>
      </c>
      <c r="V380" s="49">
        <f ca="1"/>
        <v>0</v>
      </c>
      <c r="W380" s="49">
        <f ca="1"/>
        <v>0</v>
      </c>
      <c r="X380" s="49">
        <f ca="1"/>
        <v>0</v>
      </c>
      <c r="Y380" s="49">
        <f ca="1"/>
        <v>0</v>
      </c>
      <c r="Z380" s="49">
        <f ca="1"/>
        <v>0</v>
      </c>
      <c r="AA380" s="49">
        <f ca="1"/>
        <v>0</v>
      </c>
      <c r="AB380" s="49">
        <f ca="1"/>
        <v>0</v>
      </c>
      <c r="AC380" s="49">
        <f ca="1"/>
        <v>0</v>
      </c>
      <c r="AD380" s="49">
        <f ca="1"/>
        <v>0</v>
      </c>
      <c r="AE380" s="49">
        <f ca="1"/>
        <v>0</v>
      </c>
      <c r="AF380" s="49">
        <f ca="1"/>
        <v>0</v>
      </c>
      <c r="AG380" s="49">
        <f ca="1"/>
        <v>0</v>
      </c>
      <c r="AH380" s="49">
        <f ca="1"/>
        <v>0</v>
      </c>
      <c r="AI380" s="49">
        <f ca="1"/>
        <v>0</v>
      </c>
      <c r="AJ380" s="49">
        <f ca="1"/>
        <v>0</v>
      </c>
      <c r="AK380" s="49">
        <f ca="1"/>
        <v>0</v>
      </c>
      <c r="AL380" s="49">
        <f ca="1"/>
        <v>0</v>
      </c>
      <c r="AM380" s="49">
        <f ca="1"/>
        <v>0</v>
      </c>
      <c r="AN380" s="49">
        <f ca="1"/>
        <v>0</v>
      </c>
      <c r="AO380" s="49">
        <f ca="1"/>
        <v>0</v>
      </c>
      <c r="AP380" s="49">
        <f ca="1"/>
        <v>0</v>
      </c>
      <c r="AQ380" s="49">
        <f ca="1"/>
        <v>0</v>
      </c>
      <c r="AR380" s="49">
        <f ca="1"/>
        <v>0</v>
      </c>
      <c r="AS380" s="49">
        <f ca="1"/>
        <v>0</v>
      </c>
      <c r="AT380" s="49">
        <f ca="1"/>
        <v>0</v>
      </c>
      <c r="AU380" s="49">
        <f ca="1"/>
        <v>0</v>
      </c>
      <c r="AV380" s="49">
        <f ca="1"/>
        <v>0</v>
      </c>
      <c r="AW380" s="49">
        <f ca="1"/>
        <v>0</v>
      </c>
      <c r="AX380" s="49">
        <f ca="1"/>
        <v>0</v>
      </c>
      <c r="AY380" s="49">
        <f ca="1"/>
        <v>0</v>
      </c>
      <c r="AZ380" s="49">
        <f ca="1"/>
        <v>0</v>
      </c>
      <c r="BA380" s="49">
        <f ca="1"/>
        <v>0</v>
      </c>
      <c r="BB380" s="49">
        <f ca="1"/>
        <v>0</v>
      </c>
      <c r="BC380" s="49">
        <f ca="1"/>
        <v>0</v>
      </c>
      <c r="BD380" s="49">
        <f ca="1"/>
        <v>0</v>
      </c>
      <c r="BE380" s="49">
        <f ca="1"/>
        <v>0</v>
      </c>
      <c r="BF380" s="49">
        <f ca="1"/>
        <v>0</v>
      </c>
      <c r="BG380" s="49">
        <f ca="1"/>
        <v>0</v>
      </c>
      <c r="BH380" s="49">
        <f ca="1"/>
        <v>0</v>
      </c>
      <c r="BI380" s="49">
        <f ca="1"/>
        <v>0</v>
      </c>
      <c r="BJ380" s="49">
        <f ca="1"/>
        <v>0</v>
      </c>
      <c r="BK380" s="49">
        <f ca="1"/>
        <v>0</v>
      </c>
      <c r="BL380" s="49">
        <f ca="1"/>
        <v>0</v>
      </c>
      <c r="BM380" s="49">
        <f ca="1"/>
        <v>0</v>
      </c>
      <c r="BN380" s="49">
        <f ca="1"/>
        <v>0</v>
      </c>
      <c r="BO380" s="49">
        <f ca="1"/>
        <v>0</v>
      </c>
      <c r="BP380" s="49">
        <f ca="1"/>
        <v>0</v>
      </c>
      <c r="BQ380" s="49">
        <f ca="1"/>
        <v>0</v>
      </c>
      <c r="BR380" s="49">
        <f ca="1"/>
        <v>0</v>
      </c>
      <c r="BS380" s="49">
        <f ca="1"/>
        <v>0</v>
      </c>
    </row>
    <row r="381" spans="3:71" outlineLevel="1" x14ac:dyDescent="0.2">
      <c r="D381" t="s">
        <v>57</v>
      </c>
      <c r="I381" s="30">
        <f t="shared" ca="1" si="940"/>
        <v>10913.591</v>
      </c>
      <c r="J381" s="26" t="s">
        <v>148</v>
      </c>
      <c r="L381" s="49" cm="1">
        <f t="array" aca="1" ref="L381:BS381" ca="1">CA_devex_nom</f>
        <v>1286.7819999999999</v>
      </c>
      <c r="M381" s="49">
        <f ca="1"/>
        <v>2118.212</v>
      </c>
      <c r="N381" s="49">
        <f ca="1"/>
        <v>3130.5740000000001</v>
      </c>
      <c r="O381" s="49">
        <f ca="1"/>
        <v>2571.201</v>
      </c>
      <c r="P381" s="49">
        <f ca="1"/>
        <v>1153.232</v>
      </c>
      <c r="Q381" s="49">
        <f ca="1"/>
        <v>653.59</v>
      </c>
      <c r="R381" s="49">
        <f ca="1"/>
        <v>0</v>
      </c>
      <c r="S381" s="49">
        <f ca="1"/>
        <v>0</v>
      </c>
      <c r="T381" s="49">
        <f ca="1"/>
        <v>0</v>
      </c>
      <c r="U381" s="49">
        <f ca="1"/>
        <v>0</v>
      </c>
      <c r="V381" s="49">
        <f ca="1"/>
        <v>0</v>
      </c>
      <c r="W381" s="49">
        <f ca="1"/>
        <v>0</v>
      </c>
      <c r="X381" s="49">
        <f ca="1"/>
        <v>0</v>
      </c>
      <c r="Y381" s="49">
        <f ca="1"/>
        <v>0</v>
      </c>
      <c r="Z381" s="49">
        <f ca="1"/>
        <v>0</v>
      </c>
      <c r="AA381" s="49">
        <f ca="1"/>
        <v>0</v>
      </c>
      <c r="AB381" s="49">
        <f ca="1"/>
        <v>0</v>
      </c>
      <c r="AC381" s="49">
        <f ca="1"/>
        <v>0</v>
      </c>
      <c r="AD381" s="49">
        <f ca="1"/>
        <v>0</v>
      </c>
      <c r="AE381" s="49">
        <f ca="1"/>
        <v>0</v>
      </c>
      <c r="AF381" s="49">
        <f ca="1"/>
        <v>0</v>
      </c>
      <c r="AG381" s="49">
        <f ca="1"/>
        <v>0</v>
      </c>
      <c r="AH381" s="49">
        <f ca="1"/>
        <v>0</v>
      </c>
      <c r="AI381" s="49">
        <f ca="1"/>
        <v>0</v>
      </c>
      <c r="AJ381" s="49">
        <f ca="1"/>
        <v>0</v>
      </c>
      <c r="AK381" s="49">
        <f ca="1"/>
        <v>0</v>
      </c>
      <c r="AL381" s="49">
        <f ca="1"/>
        <v>0</v>
      </c>
      <c r="AM381" s="49">
        <f ca="1"/>
        <v>0</v>
      </c>
      <c r="AN381" s="49">
        <f ca="1"/>
        <v>0</v>
      </c>
      <c r="AO381" s="49">
        <f ca="1"/>
        <v>0</v>
      </c>
      <c r="AP381" s="49">
        <f ca="1"/>
        <v>0</v>
      </c>
      <c r="AQ381" s="49">
        <f ca="1"/>
        <v>0</v>
      </c>
      <c r="AR381" s="49">
        <f ca="1"/>
        <v>0</v>
      </c>
      <c r="AS381" s="49">
        <f ca="1"/>
        <v>0</v>
      </c>
      <c r="AT381" s="49">
        <f ca="1"/>
        <v>0</v>
      </c>
      <c r="AU381" s="49">
        <f ca="1"/>
        <v>0</v>
      </c>
      <c r="AV381" s="49">
        <f ca="1"/>
        <v>0</v>
      </c>
      <c r="AW381" s="49">
        <f ca="1"/>
        <v>0</v>
      </c>
      <c r="AX381" s="49">
        <f ca="1"/>
        <v>0</v>
      </c>
      <c r="AY381" s="49">
        <f ca="1"/>
        <v>0</v>
      </c>
      <c r="AZ381" s="49">
        <f ca="1"/>
        <v>0</v>
      </c>
      <c r="BA381" s="49">
        <f ca="1"/>
        <v>0</v>
      </c>
      <c r="BB381" s="49">
        <f ca="1"/>
        <v>0</v>
      </c>
      <c r="BC381" s="49">
        <f ca="1"/>
        <v>0</v>
      </c>
      <c r="BD381" s="49">
        <f ca="1"/>
        <v>0</v>
      </c>
      <c r="BE381" s="49">
        <f ca="1"/>
        <v>0</v>
      </c>
      <c r="BF381" s="49">
        <f ca="1"/>
        <v>0</v>
      </c>
      <c r="BG381" s="49">
        <f ca="1"/>
        <v>0</v>
      </c>
      <c r="BH381" s="49">
        <f ca="1"/>
        <v>0</v>
      </c>
      <c r="BI381" s="49">
        <f ca="1"/>
        <v>0</v>
      </c>
      <c r="BJ381" s="49">
        <f ca="1"/>
        <v>0</v>
      </c>
      <c r="BK381" s="49">
        <f ca="1"/>
        <v>0</v>
      </c>
      <c r="BL381" s="49">
        <f ca="1"/>
        <v>0</v>
      </c>
      <c r="BM381" s="49">
        <f ca="1"/>
        <v>0</v>
      </c>
      <c r="BN381" s="49">
        <f ca="1"/>
        <v>0</v>
      </c>
      <c r="BO381" s="49">
        <f ca="1"/>
        <v>0</v>
      </c>
      <c r="BP381" s="49">
        <f ca="1"/>
        <v>0</v>
      </c>
      <c r="BQ381" s="49">
        <f ca="1"/>
        <v>0</v>
      </c>
      <c r="BR381" s="49">
        <f ca="1"/>
        <v>0</v>
      </c>
      <c r="BS381" s="49">
        <f ca="1"/>
        <v>0</v>
      </c>
    </row>
    <row r="382" spans="3:71" outlineLevel="1" x14ac:dyDescent="0.2">
      <c r="D382" t="s">
        <v>264</v>
      </c>
      <c r="I382" s="30">
        <f t="shared" ca="1" si="940"/>
        <v>0</v>
      </c>
      <c r="J382" s="26" t="s">
        <v>148</v>
      </c>
      <c r="L382" s="49" cm="1">
        <f t="array" aca="1" ref="L382:BS382" ca="1">CA_decom_nom</f>
        <v>0</v>
      </c>
      <c r="M382" s="49">
        <f ca="1"/>
        <v>0</v>
      </c>
      <c r="N382" s="49">
        <f ca="1"/>
        <v>0</v>
      </c>
      <c r="O382" s="49">
        <f ca="1"/>
        <v>0</v>
      </c>
      <c r="P382" s="49">
        <f ca="1"/>
        <v>0</v>
      </c>
      <c r="Q382" s="49">
        <f ca="1"/>
        <v>0</v>
      </c>
      <c r="R382" s="49">
        <f ca="1"/>
        <v>0</v>
      </c>
      <c r="S382" s="49">
        <f ca="1"/>
        <v>0</v>
      </c>
      <c r="T382" s="49">
        <f ca="1"/>
        <v>0</v>
      </c>
      <c r="U382" s="49">
        <f ca="1"/>
        <v>0</v>
      </c>
      <c r="V382" s="49">
        <f ca="1"/>
        <v>0</v>
      </c>
      <c r="W382" s="49">
        <f ca="1"/>
        <v>0</v>
      </c>
      <c r="X382" s="49">
        <f ca="1"/>
        <v>0</v>
      </c>
      <c r="Y382" s="49">
        <f ca="1"/>
        <v>0</v>
      </c>
      <c r="Z382" s="49">
        <f ca="1"/>
        <v>0</v>
      </c>
      <c r="AA382" s="49">
        <f ca="1"/>
        <v>0</v>
      </c>
      <c r="AB382" s="49">
        <f ca="1"/>
        <v>0</v>
      </c>
      <c r="AC382" s="49">
        <f ca="1"/>
        <v>0</v>
      </c>
      <c r="AD382" s="49">
        <f ca="1"/>
        <v>0</v>
      </c>
      <c r="AE382" s="49">
        <f ca="1"/>
        <v>0</v>
      </c>
      <c r="AF382" s="49">
        <f ca="1"/>
        <v>0</v>
      </c>
      <c r="AG382" s="49">
        <f ca="1"/>
        <v>0</v>
      </c>
      <c r="AH382" s="49">
        <f ca="1"/>
        <v>0</v>
      </c>
      <c r="AI382" s="49">
        <f ca="1"/>
        <v>0</v>
      </c>
      <c r="AJ382" s="49">
        <f ca="1"/>
        <v>0</v>
      </c>
      <c r="AK382" s="49">
        <f ca="1"/>
        <v>0</v>
      </c>
      <c r="AL382" s="49">
        <f ca="1"/>
        <v>0</v>
      </c>
      <c r="AM382" s="49">
        <f ca="1"/>
        <v>0</v>
      </c>
      <c r="AN382" s="49">
        <f ca="1"/>
        <v>0</v>
      </c>
      <c r="AO382" s="49">
        <f ca="1"/>
        <v>0</v>
      </c>
      <c r="AP382" s="49">
        <f ca="1"/>
        <v>0</v>
      </c>
      <c r="AQ382" s="49">
        <f ca="1"/>
        <v>0</v>
      </c>
      <c r="AR382" s="49">
        <f ca="1"/>
        <v>0</v>
      </c>
      <c r="AS382" s="49">
        <f ca="1"/>
        <v>0</v>
      </c>
      <c r="AT382" s="49">
        <f ca="1"/>
        <v>0</v>
      </c>
      <c r="AU382" s="49">
        <f ca="1"/>
        <v>0</v>
      </c>
      <c r="AV382" s="49">
        <f ca="1"/>
        <v>0</v>
      </c>
      <c r="AW382" s="49">
        <f ca="1"/>
        <v>0</v>
      </c>
      <c r="AX382" s="49">
        <f ca="1"/>
        <v>0</v>
      </c>
      <c r="AY382" s="49">
        <f ca="1"/>
        <v>0</v>
      </c>
      <c r="AZ382" s="49">
        <f ca="1"/>
        <v>0</v>
      </c>
      <c r="BA382" s="49">
        <f ca="1"/>
        <v>0</v>
      </c>
      <c r="BB382" s="49">
        <f ca="1"/>
        <v>0</v>
      </c>
      <c r="BC382" s="49">
        <f ca="1"/>
        <v>0</v>
      </c>
      <c r="BD382" s="49">
        <f ca="1"/>
        <v>0</v>
      </c>
      <c r="BE382" s="49">
        <f ca="1"/>
        <v>0</v>
      </c>
      <c r="BF382" s="49">
        <f ca="1"/>
        <v>0</v>
      </c>
      <c r="BG382" s="49">
        <f ca="1"/>
        <v>0</v>
      </c>
      <c r="BH382" s="49">
        <f ca="1"/>
        <v>0</v>
      </c>
      <c r="BI382" s="49">
        <f ca="1"/>
        <v>0</v>
      </c>
      <c r="BJ382" s="49">
        <f ca="1"/>
        <v>0</v>
      </c>
      <c r="BK382" s="49">
        <f ca="1"/>
        <v>0</v>
      </c>
      <c r="BL382" s="49">
        <f ca="1"/>
        <v>0</v>
      </c>
      <c r="BM382" s="49">
        <f ca="1"/>
        <v>0</v>
      </c>
      <c r="BN382" s="49">
        <f ca="1"/>
        <v>0</v>
      </c>
      <c r="BO382" s="49">
        <f ca="1"/>
        <v>0</v>
      </c>
      <c r="BP382" s="49">
        <f ca="1"/>
        <v>0</v>
      </c>
      <c r="BQ382" s="49">
        <f ca="1"/>
        <v>0</v>
      </c>
      <c r="BR382" s="49">
        <f ca="1"/>
        <v>0</v>
      </c>
      <c r="BS382" s="49">
        <f ca="1"/>
        <v>0</v>
      </c>
    </row>
    <row r="383" spans="3:71" outlineLevel="1" x14ac:dyDescent="0.2">
      <c r="D383" s="11" t="s">
        <v>265</v>
      </c>
      <c r="I383" s="30">
        <f t="shared" ca="1" si="940"/>
        <v>10913.591</v>
      </c>
      <c r="J383" s="26" t="s">
        <v>148</v>
      </c>
      <c r="L383" s="49">
        <f ca="1">SUM(L380:L382)</f>
        <v>1286.7819999999999</v>
      </c>
      <c r="M383" s="49">
        <f t="shared" ref="M383:BS383" ca="1" si="941">SUM(M380:M382)</f>
        <v>2118.212</v>
      </c>
      <c r="N383" s="49">
        <f t="shared" ca="1" si="941"/>
        <v>3130.5740000000001</v>
      </c>
      <c r="O383" s="49">
        <f t="shared" ca="1" si="941"/>
        <v>2571.201</v>
      </c>
      <c r="P383" s="49">
        <f t="shared" ca="1" si="941"/>
        <v>1153.232</v>
      </c>
      <c r="Q383" s="49">
        <f t="shared" ca="1" si="941"/>
        <v>653.59</v>
      </c>
      <c r="R383" s="49">
        <f t="shared" ca="1" si="941"/>
        <v>0</v>
      </c>
      <c r="S383" s="49">
        <f t="shared" ca="1" si="941"/>
        <v>0</v>
      </c>
      <c r="T383" s="49">
        <f t="shared" ca="1" si="941"/>
        <v>0</v>
      </c>
      <c r="U383" s="49">
        <f t="shared" ca="1" si="941"/>
        <v>0</v>
      </c>
      <c r="V383" s="49">
        <f t="shared" ca="1" si="941"/>
        <v>0</v>
      </c>
      <c r="W383" s="49">
        <f t="shared" ca="1" si="941"/>
        <v>0</v>
      </c>
      <c r="X383" s="49">
        <f t="shared" ca="1" si="941"/>
        <v>0</v>
      </c>
      <c r="Y383" s="49">
        <f t="shared" ca="1" si="941"/>
        <v>0</v>
      </c>
      <c r="Z383" s="49">
        <f t="shared" ca="1" si="941"/>
        <v>0</v>
      </c>
      <c r="AA383" s="49">
        <f t="shared" ca="1" si="941"/>
        <v>0</v>
      </c>
      <c r="AB383" s="49">
        <f t="shared" ca="1" si="941"/>
        <v>0</v>
      </c>
      <c r="AC383" s="49">
        <f t="shared" ca="1" si="941"/>
        <v>0</v>
      </c>
      <c r="AD383" s="49">
        <f t="shared" ca="1" si="941"/>
        <v>0</v>
      </c>
      <c r="AE383" s="49">
        <f t="shared" ca="1" si="941"/>
        <v>0</v>
      </c>
      <c r="AF383" s="49">
        <f t="shared" ca="1" si="941"/>
        <v>0</v>
      </c>
      <c r="AG383" s="49">
        <f t="shared" ca="1" si="941"/>
        <v>0</v>
      </c>
      <c r="AH383" s="49">
        <f t="shared" ca="1" si="941"/>
        <v>0</v>
      </c>
      <c r="AI383" s="49">
        <f t="shared" ca="1" si="941"/>
        <v>0</v>
      </c>
      <c r="AJ383" s="49">
        <f t="shared" ca="1" si="941"/>
        <v>0</v>
      </c>
      <c r="AK383" s="49">
        <f t="shared" ca="1" si="941"/>
        <v>0</v>
      </c>
      <c r="AL383" s="49">
        <f t="shared" ca="1" si="941"/>
        <v>0</v>
      </c>
      <c r="AM383" s="49">
        <f t="shared" ca="1" si="941"/>
        <v>0</v>
      </c>
      <c r="AN383" s="49">
        <f t="shared" ca="1" si="941"/>
        <v>0</v>
      </c>
      <c r="AO383" s="49">
        <f t="shared" ca="1" si="941"/>
        <v>0</v>
      </c>
      <c r="AP383" s="49">
        <f t="shared" ca="1" si="941"/>
        <v>0</v>
      </c>
      <c r="AQ383" s="49">
        <f t="shared" ca="1" si="941"/>
        <v>0</v>
      </c>
      <c r="AR383" s="49">
        <f t="shared" ca="1" si="941"/>
        <v>0</v>
      </c>
      <c r="AS383" s="49">
        <f t="shared" ca="1" si="941"/>
        <v>0</v>
      </c>
      <c r="AT383" s="49">
        <f t="shared" ca="1" si="941"/>
        <v>0</v>
      </c>
      <c r="AU383" s="49">
        <f t="shared" ca="1" si="941"/>
        <v>0</v>
      </c>
      <c r="AV383" s="49">
        <f t="shared" ca="1" si="941"/>
        <v>0</v>
      </c>
      <c r="AW383" s="49">
        <f t="shared" ca="1" si="941"/>
        <v>0</v>
      </c>
      <c r="AX383" s="49">
        <f t="shared" ca="1" si="941"/>
        <v>0</v>
      </c>
      <c r="AY383" s="49">
        <f t="shared" ca="1" si="941"/>
        <v>0</v>
      </c>
      <c r="AZ383" s="49">
        <f t="shared" ca="1" si="941"/>
        <v>0</v>
      </c>
      <c r="BA383" s="49">
        <f t="shared" ca="1" si="941"/>
        <v>0</v>
      </c>
      <c r="BB383" s="49">
        <f t="shared" ca="1" si="941"/>
        <v>0</v>
      </c>
      <c r="BC383" s="49">
        <f t="shared" ca="1" si="941"/>
        <v>0</v>
      </c>
      <c r="BD383" s="49">
        <f t="shared" ca="1" si="941"/>
        <v>0</v>
      </c>
      <c r="BE383" s="49">
        <f t="shared" ca="1" si="941"/>
        <v>0</v>
      </c>
      <c r="BF383" s="49">
        <f t="shared" ca="1" si="941"/>
        <v>0</v>
      </c>
      <c r="BG383" s="49">
        <f t="shared" ca="1" si="941"/>
        <v>0</v>
      </c>
      <c r="BH383" s="49">
        <f t="shared" ca="1" si="941"/>
        <v>0</v>
      </c>
      <c r="BI383" s="49">
        <f t="shared" ca="1" si="941"/>
        <v>0</v>
      </c>
      <c r="BJ383" s="49">
        <f t="shared" ca="1" si="941"/>
        <v>0</v>
      </c>
      <c r="BK383" s="49">
        <f t="shared" ca="1" si="941"/>
        <v>0</v>
      </c>
      <c r="BL383" s="49">
        <f t="shared" ca="1" si="941"/>
        <v>0</v>
      </c>
      <c r="BM383" s="49">
        <f t="shared" ca="1" si="941"/>
        <v>0</v>
      </c>
      <c r="BN383" s="49">
        <f t="shared" ca="1" si="941"/>
        <v>0</v>
      </c>
      <c r="BO383" s="49">
        <f t="shared" ca="1" si="941"/>
        <v>0</v>
      </c>
      <c r="BP383" s="49">
        <f t="shared" ca="1" si="941"/>
        <v>0</v>
      </c>
      <c r="BQ383" s="49">
        <f t="shared" ca="1" si="941"/>
        <v>0</v>
      </c>
      <c r="BR383" s="49">
        <f t="shared" ca="1" si="941"/>
        <v>0</v>
      </c>
      <c r="BS383" s="49">
        <f t="shared" ca="1" si="941"/>
        <v>0</v>
      </c>
    </row>
    <row r="384" spans="3:71" outlineLevel="1" x14ac:dyDescent="0.2"/>
    <row r="385" spans="1:71" outlineLevel="1" x14ac:dyDescent="0.2">
      <c r="C385" s="11" t="s">
        <v>257</v>
      </c>
      <c r="I385" s="30">
        <f t="shared" ca="1" si="940"/>
        <v>-2732.2448815707012</v>
      </c>
      <c r="J385" s="26" t="s">
        <v>148</v>
      </c>
      <c r="L385" s="49">
        <f ca="1">L372-L377-L383</f>
        <v>-685.51351769188113</v>
      </c>
      <c r="M385" s="49">
        <f t="shared" ref="M385:BS385" ca="1" si="942">M372-M377-M383</f>
        <v>-1594.2510246470754</v>
      </c>
      <c r="N385" s="49">
        <f t="shared" ca="1" si="942"/>
        <v>-2999.2156309989168</v>
      </c>
      <c r="O385" s="49">
        <f t="shared" ca="1" si="942"/>
        <v>-2560.0031768266317</v>
      </c>
      <c r="P385" s="49">
        <f t="shared" ca="1" si="942"/>
        <v>-990.7807046020863</v>
      </c>
      <c r="Q385" s="49">
        <f t="shared" ca="1" si="942"/>
        <v>492.56286639210191</v>
      </c>
      <c r="R385" s="49">
        <f t="shared" ca="1" si="942"/>
        <v>1044.9308635491614</v>
      </c>
      <c r="S385" s="49">
        <f t="shared" ca="1" si="942"/>
        <v>483.87699371600007</v>
      </c>
      <c r="T385" s="49">
        <f t="shared" ca="1" si="942"/>
        <v>891.83122589641596</v>
      </c>
      <c r="U385" s="49">
        <f t="shared" ca="1" si="942"/>
        <v>886.96269845897996</v>
      </c>
      <c r="V385" s="49">
        <f t="shared" ca="1" si="942"/>
        <v>823.85039895818818</v>
      </c>
      <c r="W385" s="49">
        <f t="shared" ca="1" si="942"/>
        <v>766.73187164561045</v>
      </c>
      <c r="X385" s="49">
        <f t="shared" ca="1" si="942"/>
        <v>706.77225457943314</v>
      </c>
      <c r="Y385" s="49">
        <f t="shared" ca="1" si="942"/>
        <v>0</v>
      </c>
      <c r="Z385" s="49">
        <f t="shared" ca="1" si="942"/>
        <v>0</v>
      </c>
      <c r="AA385" s="49">
        <f t="shared" ca="1" si="942"/>
        <v>0</v>
      </c>
      <c r="AB385" s="49">
        <f t="shared" ca="1" si="942"/>
        <v>0</v>
      </c>
      <c r="AC385" s="49">
        <f t="shared" ca="1" si="942"/>
        <v>0</v>
      </c>
      <c r="AD385" s="49">
        <f t="shared" ca="1" si="942"/>
        <v>0</v>
      </c>
      <c r="AE385" s="49">
        <f t="shared" ca="1" si="942"/>
        <v>0</v>
      </c>
      <c r="AF385" s="49">
        <f t="shared" ca="1" si="942"/>
        <v>0</v>
      </c>
      <c r="AG385" s="49">
        <f t="shared" ca="1" si="942"/>
        <v>0</v>
      </c>
      <c r="AH385" s="49">
        <f t="shared" ca="1" si="942"/>
        <v>0</v>
      </c>
      <c r="AI385" s="49">
        <f t="shared" ca="1" si="942"/>
        <v>0</v>
      </c>
      <c r="AJ385" s="49">
        <f t="shared" ca="1" si="942"/>
        <v>0</v>
      </c>
      <c r="AK385" s="49">
        <f t="shared" ca="1" si="942"/>
        <v>0</v>
      </c>
      <c r="AL385" s="49">
        <f t="shared" ca="1" si="942"/>
        <v>0</v>
      </c>
      <c r="AM385" s="49">
        <f t="shared" ca="1" si="942"/>
        <v>0</v>
      </c>
      <c r="AN385" s="49">
        <f t="shared" ca="1" si="942"/>
        <v>0</v>
      </c>
      <c r="AO385" s="49">
        <f t="shared" ca="1" si="942"/>
        <v>0</v>
      </c>
      <c r="AP385" s="49">
        <f t="shared" ca="1" si="942"/>
        <v>0</v>
      </c>
      <c r="AQ385" s="49">
        <f t="shared" ca="1" si="942"/>
        <v>0</v>
      </c>
      <c r="AR385" s="49">
        <f t="shared" ca="1" si="942"/>
        <v>0</v>
      </c>
      <c r="AS385" s="49">
        <f t="shared" ca="1" si="942"/>
        <v>0</v>
      </c>
      <c r="AT385" s="49">
        <f t="shared" ca="1" si="942"/>
        <v>0</v>
      </c>
      <c r="AU385" s="49">
        <f t="shared" ca="1" si="942"/>
        <v>0</v>
      </c>
      <c r="AV385" s="49">
        <f t="shared" ca="1" si="942"/>
        <v>0</v>
      </c>
      <c r="AW385" s="49">
        <f t="shared" ca="1" si="942"/>
        <v>0</v>
      </c>
      <c r="AX385" s="49">
        <f t="shared" ca="1" si="942"/>
        <v>0</v>
      </c>
      <c r="AY385" s="49">
        <f t="shared" ca="1" si="942"/>
        <v>0</v>
      </c>
      <c r="AZ385" s="49">
        <f t="shared" ca="1" si="942"/>
        <v>0</v>
      </c>
      <c r="BA385" s="49">
        <f t="shared" ca="1" si="942"/>
        <v>0</v>
      </c>
      <c r="BB385" s="49">
        <f t="shared" ca="1" si="942"/>
        <v>0</v>
      </c>
      <c r="BC385" s="49">
        <f t="shared" ca="1" si="942"/>
        <v>0</v>
      </c>
      <c r="BD385" s="49">
        <f t="shared" ca="1" si="942"/>
        <v>0</v>
      </c>
      <c r="BE385" s="49">
        <f t="shared" ca="1" si="942"/>
        <v>0</v>
      </c>
      <c r="BF385" s="49">
        <f t="shared" ca="1" si="942"/>
        <v>0</v>
      </c>
      <c r="BG385" s="49">
        <f t="shared" ca="1" si="942"/>
        <v>0</v>
      </c>
      <c r="BH385" s="49">
        <f t="shared" ca="1" si="942"/>
        <v>0</v>
      </c>
      <c r="BI385" s="49">
        <f t="shared" ca="1" si="942"/>
        <v>0</v>
      </c>
      <c r="BJ385" s="49">
        <f t="shared" ca="1" si="942"/>
        <v>0</v>
      </c>
      <c r="BK385" s="49">
        <f t="shared" ca="1" si="942"/>
        <v>0</v>
      </c>
      <c r="BL385" s="49">
        <f t="shared" ca="1" si="942"/>
        <v>0</v>
      </c>
      <c r="BM385" s="49">
        <f t="shared" ca="1" si="942"/>
        <v>0</v>
      </c>
      <c r="BN385" s="49">
        <f t="shared" ca="1" si="942"/>
        <v>0</v>
      </c>
      <c r="BO385" s="49">
        <f t="shared" ca="1" si="942"/>
        <v>0</v>
      </c>
      <c r="BP385" s="49">
        <f t="shared" ca="1" si="942"/>
        <v>0</v>
      </c>
      <c r="BQ385" s="49">
        <f t="shared" ca="1" si="942"/>
        <v>0</v>
      </c>
      <c r="BR385" s="49">
        <f t="shared" ca="1" si="942"/>
        <v>0</v>
      </c>
      <c r="BS385" s="49">
        <f t="shared" ca="1" si="942"/>
        <v>0</v>
      </c>
    </row>
    <row r="386" spans="1:71" outlineLevel="1" x14ac:dyDescent="0.2"/>
    <row r="387" spans="1:71" outlineLevel="1" x14ac:dyDescent="0.2"/>
    <row r="388" spans="1:71" outlineLevel="1" x14ac:dyDescent="0.2"/>
    <row r="389" spans="1:71" outlineLevel="1" x14ac:dyDescent="0.2"/>
    <row r="390" spans="1:71" outlineLevel="1" x14ac:dyDescent="0.2">
      <c r="A390" s="45"/>
      <c r="B390" s="38" t="s">
        <v>266</v>
      </c>
      <c r="C390" s="45"/>
      <c r="D390" s="45"/>
      <c r="E390" s="45"/>
    </row>
    <row r="391" spans="1:71" outlineLevel="1" x14ac:dyDescent="0.2"/>
    <row r="392" spans="1:71" outlineLevel="1" x14ac:dyDescent="0.2">
      <c r="C392" s="11" t="s">
        <v>267</v>
      </c>
    </row>
    <row r="393" spans="1:71" outlineLevel="1" x14ac:dyDescent="0.2">
      <c r="D393" t="s">
        <v>268</v>
      </c>
      <c r="I393" s="30">
        <f t="shared" ref="I393:I411" ca="1" si="943">SUM($L393:$BS393)</f>
        <v>5733.3558126183016</v>
      </c>
      <c r="J393" s="26" t="s">
        <v>148</v>
      </c>
      <c r="L393" s="49" cm="1">
        <f t="array" aca="1" ref="L393:BS393" ca="1">CA_ent_rev_oil</f>
        <v>495.0953508349985</v>
      </c>
      <c r="M393" s="49">
        <f ca="1"/>
        <v>493.63503919797222</v>
      </c>
      <c r="N393" s="49">
        <f ca="1"/>
        <v>123.26272617999228</v>
      </c>
      <c r="O393" s="49">
        <f ca="1"/>
        <v>114.82565503005885</v>
      </c>
      <c r="P393" s="49">
        <f ca="1"/>
        <v>325.14720236002989</v>
      </c>
      <c r="Q393" s="49">
        <f ca="1"/>
        <v>646.31878287232735</v>
      </c>
      <c r="R393" s="49">
        <f ca="1"/>
        <v>616.92985155036001</v>
      </c>
      <c r="S393" s="49">
        <f ca="1"/>
        <v>350.75818596942003</v>
      </c>
      <c r="T393" s="49">
        <f ca="1"/>
        <v>546.48252004183348</v>
      </c>
      <c r="U393" s="49">
        <f ca="1"/>
        <v>545.52623478342571</v>
      </c>
      <c r="V393" s="49">
        <f ca="1"/>
        <v>517.48618631555757</v>
      </c>
      <c r="W393" s="49">
        <f ca="1"/>
        <v>492.23229331520895</v>
      </c>
      <c r="X393" s="49">
        <f ca="1"/>
        <v>465.65578416711645</v>
      </c>
      <c r="Y393" s="49">
        <f ca="1"/>
        <v>0</v>
      </c>
      <c r="Z393" s="49">
        <f ca="1"/>
        <v>0</v>
      </c>
      <c r="AA393" s="49">
        <f ca="1"/>
        <v>0</v>
      </c>
      <c r="AB393" s="49">
        <f ca="1"/>
        <v>0</v>
      </c>
      <c r="AC393" s="49">
        <f ca="1"/>
        <v>0</v>
      </c>
      <c r="AD393" s="49">
        <f ca="1"/>
        <v>0</v>
      </c>
      <c r="AE393" s="49">
        <f ca="1"/>
        <v>0</v>
      </c>
      <c r="AF393" s="49">
        <f ca="1"/>
        <v>0</v>
      </c>
      <c r="AG393" s="49">
        <f ca="1"/>
        <v>0</v>
      </c>
      <c r="AH393" s="49">
        <f ca="1"/>
        <v>0</v>
      </c>
      <c r="AI393" s="49">
        <f ca="1"/>
        <v>0</v>
      </c>
      <c r="AJ393" s="49">
        <f ca="1"/>
        <v>0</v>
      </c>
      <c r="AK393" s="49">
        <f ca="1"/>
        <v>0</v>
      </c>
      <c r="AL393" s="49">
        <f ca="1"/>
        <v>0</v>
      </c>
      <c r="AM393" s="49">
        <f ca="1"/>
        <v>0</v>
      </c>
      <c r="AN393" s="49">
        <f ca="1"/>
        <v>0</v>
      </c>
      <c r="AO393" s="49">
        <f ca="1"/>
        <v>0</v>
      </c>
      <c r="AP393" s="49">
        <f ca="1"/>
        <v>0</v>
      </c>
      <c r="AQ393" s="49">
        <f ca="1"/>
        <v>0</v>
      </c>
      <c r="AR393" s="49">
        <f ca="1"/>
        <v>0</v>
      </c>
      <c r="AS393" s="49">
        <f ca="1"/>
        <v>0</v>
      </c>
      <c r="AT393" s="49">
        <f ca="1"/>
        <v>0</v>
      </c>
      <c r="AU393" s="49">
        <f ca="1"/>
        <v>0</v>
      </c>
      <c r="AV393" s="49">
        <f ca="1"/>
        <v>0</v>
      </c>
      <c r="AW393" s="49">
        <f ca="1"/>
        <v>0</v>
      </c>
      <c r="AX393" s="49">
        <f ca="1"/>
        <v>0</v>
      </c>
      <c r="AY393" s="49">
        <f ca="1"/>
        <v>0</v>
      </c>
      <c r="AZ393" s="49">
        <f ca="1"/>
        <v>0</v>
      </c>
      <c r="BA393" s="49">
        <f ca="1"/>
        <v>0</v>
      </c>
      <c r="BB393" s="49">
        <f ca="1"/>
        <v>0</v>
      </c>
      <c r="BC393" s="49">
        <f ca="1"/>
        <v>0</v>
      </c>
      <c r="BD393" s="49">
        <f ca="1"/>
        <v>0</v>
      </c>
      <c r="BE393" s="49">
        <f ca="1"/>
        <v>0</v>
      </c>
      <c r="BF393" s="49">
        <f ca="1"/>
        <v>0</v>
      </c>
      <c r="BG393" s="49">
        <f ca="1"/>
        <v>0</v>
      </c>
      <c r="BH393" s="49">
        <f ca="1"/>
        <v>0</v>
      </c>
      <c r="BI393" s="49">
        <f ca="1"/>
        <v>0</v>
      </c>
      <c r="BJ393" s="49">
        <f ca="1"/>
        <v>0</v>
      </c>
      <c r="BK393" s="49">
        <f ca="1"/>
        <v>0</v>
      </c>
      <c r="BL393" s="49">
        <f ca="1"/>
        <v>0</v>
      </c>
      <c r="BM393" s="49">
        <f ca="1"/>
        <v>0</v>
      </c>
      <c r="BN393" s="49">
        <f ca="1"/>
        <v>0</v>
      </c>
      <c r="BO393" s="49">
        <f ca="1"/>
        <v>0</v>
      </c>
      <c r="BP393" s="49">
        <f ca="1"/>
        <v>0</v>
      </c>
      <c r="BQ393" s="49">
        <f ca="1"/>
        <v>0</v>
      </c>
      <c r="BR393" s="49">
        <f ca="1"/>
        <v>0</v>
      </c>
      <c r="BS393" s="49">
        <f ca="1"/>
        <v>0</v>
      </c>
    </row>
    <row r="394" spans="1:71" outlineLevel="1" x14ac:dyDescent="0.2">
      <c r="D394" t="s">
        <v>269</v>
      </c>
      <c r="I394" s="30">
        <f t="shared" ca="1" si="943"/>
        <v>0</v>
      </c>
      <c r="J394" s="26" t="s">
        <v>148</v>
      </c>
      <c r="L394" s="49" cm="1">
        <f t="array" aca="1" ref="L394:BS394" ca="1">CA_ent_rev_gas</f>
        <v>0</v>
      </c>
      <c r="M394" s="49">
        <f ca="1"/>
        <v>0</v>
      </c>
      <c r="N394" s="49">
        <f ca="1"/>
        <v>0</v>
      </c>
      <c r="O394" s="49">
        <f ca="1"/>
        <v>0</v>
      </c>
      <c r="P394" s="49">
        <f ca="1"/>
        <v>0</v>
      </c>
      <c r="Q394" s="49">
        <f ca="1"/>
        <v>0</v>
      </c>
      <c r="R394" s="49">
        <f ca="1"/>
        <v>0</v>
      </c>
      <c r="S394" s="49">
        <f ca="1"/>
        <v>0</v>
      </c>
      <c r="T394" s="49">
        <f ca="1"/>
        <v>0</v>
      </c>
      <c r="U394" s="49">
        <f ca="1"/>
        <v>0</v>
      </c>
      <c r="V394" s="49">
        <f ca="1"/>
        <v>0</v>
      </c>
      <c r="W394" s="49">
        <f ca="1"/>
        <v>0</v>
      </c>
      <c r="X394" s="49">
        <f ca="1"/>
        <v>0</v>
      </c>
      <c r="Y394" s="49">
        <f ca="1"/>
        <v>0</v>
      </c>
      <c r="Z394" s="49">
        <f ca="1"/>
        <v>0</v>
      </c>
      <c r="AA394" s="49">
        <f ca="1"/>
        <v>0</v>
      </c>
      <c r="AB394" s="49">
        <f ca="1"/>
        <v>0</v>
      </c>
      <c r="AC394" s="49">
        <f ca="1"/>
        <v>0</v>
      </c>
      <c r="AD394" s="49">
        <f ca="1"/>
        <v>0</v>
      </c>
      <c r="AE394" s="49">
        <f ca="1"/>
        <v>0</v>
      </c>
      <c r="AF394" s="49">
        <f ca="1"/>
        <v>0</v>
      </c>
      <c r="AG394" s="49">
        <f ca="1"/>
        <v>0</v>
      </c>
      <c r="AH394" s="49">
        <f ca="1"/>
        <v>0</v>
      </c>
      <c r="AI394" s="49">
        <f ca="1"/>
        <v>0</v>
      </c>
      <c r="AJ394" s="49">
        <f ca="1"/>
        <v>0</v>
      </c>
      <c r="AK394" s="49">
        <f ca="1"/>
        <v>0</v>
      </c>
      <c r="AL394" s="49">
        <f ca="1"/>
        <v>0</v>
      </c>
      <c r="AM394" s="49">
        <f ca="1"/>
        <v>0</v>
      </c>
      <c r="AN394" s="49">
        <f ca="1"/>
        <v>0</v>
      </c>
      <c r="AO394" s="49">
        <f ca="1"/>
        <v>0</v>
      </c>
      <c r="AP394" s="49">
        <f ca="1"/>
        <v>0</v>
      </c>
      <c r="AQ394" s="49">
        <f ca="1"/>
        <v>0</v>
      </c>
      <c r="AR394" s="49">
        <f ca="1"/>
        <v>0</v>
      </c>
      <c r="AS394" s="49">
        <f ca="1"/>
        <v>0</v>
      </c>
      <c r="AT394" s="49">
        <f ca="1"/>
        <v>0</v>
      </c>
      <c r="AU394" s="49">
        <f ca="1"/>
        <v>0</v>
      </c>
      <c r="AV394" s="49">
        <f ca="1"/>
        <v>0</v>
      </c>
      <c r="AW394" s="49">
        <f ca="1"/>
        <v>0</v>
      </c>
      <c r="AX394" s="49">
        <f ca="1"/>
        <v>0</v>
      </c>
      <c r="AY394" s="49">
        <f ca="1"/>
        <v>0</v>
      </c>
      <c r="AZ394" s="49">
        <f ca="1"/>
        <v>0</v>
      </c>
      <c r="BA394" s="49">
        <f ca="1"/>
        <v>0</v>
      </c>
      <c r="BB394" s="49">
        <f ca="1"/>
        <v>0</v>
      </c>
      <c r="BC394" s="49">
        <f ca="1"/>
        <v>0</v>
      </c>
      <c r="BD394" s="49">
        <f ca="1"/>
        <v>0</v>
      </c>
      <c r="BE394" s="49">
        <f ca="1"/>
        <v>0</v>
      </c>
      <c r="BF394" s="49">
        <f ca="1"/>
        <v>0</v>
      </c>
      <c r="BG394" s="49">
        <f ca="1"/>
        <v>0</v>
      </c>
      <c r="BH394" s="49">
        <f ca="1"/>
        <v>0</v>
      </c>
      <c r="BI394" s="49">
        <f ca="1"/>
        <v>0</v>
      </c>
      <c r="BJ394" s="49">
        <f ca="1"/>
        <v>0</v>
      </c>
      <c r="BK394" s="49">
        <f ca="1"/>
        <v>0</v>
      </c>
      <c r="BL394" s="49">
        <f ca="1"/>
        <v>0</v>
      </c>
      <c r="BM394" s="49">
        <f ca="1"/>
        <v>0</v>
      </c>
      <c r="BN394" s="49">
        <f ca="1"/>
        <v>0</v>
      </c>
      <c r="BO394" s="49">
        <f ca="1"/>
        <v>0</v>
      </c>
      <c r="BP394" s="49">
        <f ca="1"/>
        <v>0</v>
      </c>
      <c r="BQ394" s="49">
        <f ca="1"/>
        <v>0</v>
      </c>
      <c r="BR394" s="49">
        <f ca="1"/>
        <v>0</v>
      </c>
      <c r="BS394" s="49">
        <f ca="1"/>
        <v>0</v>
      </c>
    </row>
    <row r="395" spans="1:71" outlineLevel="1" x14ac:dyDescent="0.2">
      <c r="D395" s="11" t="s">
        <v>270</v>
      </c>
      <c r="I395" s="30">
        <f t="shared" ca="1" si="943"/>
        <v>5733.3558126183016</v>
      </c>
      <c r="J395" s="26" t="s">
        <v>148</v>
      </c>
      <c r="L395" s="49">
        <f ca="1">SUM(L393:L394)</f>
        <v>495.0953508349985</v>
      </c>
      <c r="M395" s="49">
        <f t="shared" ref="M395:BS395" ca="1" si="944">SUM(M393:M394)</f>
        <v>493.63503919797222</v>
      </c>
      <c r="N395" s="49">
        <f t="shared" ca="1" si="944"/>
        <v>123.26272617999228</v>
      </c>
      <c r="O395" s="49">
        <f t="shared" ca="1" si="944"/>
        <v>114.82565503005885</v>
      </c>
      <c r="P395" s="49">
        <f t="shared" ca="1" si="944"/>
        <v>325.14720236002989</v>
      </c>
      <c r="Q395" s="49">
        <f t="shared" ca="1" si="944"/>
        <v>646.31878287232735</v>
      </c>
      <c r="R395" s="49">
        <f t="shared" ca="1" si="944"/>
        <v>616.92985155036001</v>
      </c>
      <c r="S395" s="49">
        <f t="shared" ca="1" si="944"/>
        <v>350.75818596942003</v>
      </c>
      <c r="T395" s="49">
        <f t="shared" ca="1" si="944"/>
        <v>546.48252004183348</v>
      </c>
      <c r="U395" s="49">
        <f t="shared" ca="1" si="944"/>
        <v>545.52623478342571</v>
      </c>
      <c r="V395" s="49">
        <f t="shared" ca="1" si="944"/>
        <v>517.48618631555757</v>
      </c>
      <c r="W395" s="49">
        <f t="shared" ca="1" si="944"/>
        <v>492.23229331520895</v>
      </c>
      <c r="X395" s="49">
        <f t="shared" ca="1" si="944"/>
        <v>465.65578416711645</v>
      </c>
      <c r="Y395" s="49">
        <f t="shared" ca="1" si="944"/>
        <v>0</v>
      </c>
      <c r="Z395" s="49">
        <f t="shared" ca="1" si="944"/>
        <v>0</v>
      </c>
      <c r="AA395" s="49">
        <f t="shared" ca="1" si="944"/>
        <v>0</v>
      </c>
      <c r="AB395" s="49">
        <f t="shared" ca="1" si="944"/>
        <v>0</v>
      </c>
      <c r="AC395" s="49">
        <f t="shared" ca="1" si="944"/>
        <v>0</v>
      </c>
      <c r="AD395" s="49">
        <f t="shared" ca="1" si="944"/>
        <v>0</v>
      </c>
      <c r="AE395" s="49">
        <f t="shared" ca="1" si="944"/>
        <v>0</v>
      </c>
      <c r="AF395" s="49">
        <f t="shared" ca="1" si="944"/>
        <v>0</v>
      </c>
      <c r="AG395" s="49">
        <f t="shared" ca="1" si="944"/>
        <v>0</v>
      </c>
      <c r="AH395" s="49">
        <f t="shared" ca="1" si="944"/>
        <v>0</v>
      </c>
      <c r="AI395" s="49">
        <f t="shared" ca="1" si="944"/>
        <v>0</v>
      </c>
      <c r="AJ395" s="49">
        <f t="shared" ca="1" si="944"/>
        <v>0</v>
      </c>
      <c r="AK395" s="49">
        <f t="shared" ca="1" si="944"/>
        <v>0</v>
      </c>
      <c r="AL395" s="49">
        <f t="shared" ca="1" si="944"/>
        <v>0</v>
      </c>
      <c r="AM395" s="49">
        <f t="shared" ca="1" si="944"/>
        <v>0</v>
      </c>
      <c r="AN395" s="49">
        <f t="shared" ca="1" si="944"/>
        <v>0</v>
      </c>
      <c r="AO395" s="49">
        <f t="shared" ca="1" si="944"/>
        <v>0</v>
      </c>
      <c r="AP395" s="49">
        <f t="shared" ca="1" si="944"/>
        <v>0</v>
      </c>
      <c r="AQ395" s="49">
        <f t="shared" ca="1" si="944"/>
        <v>0</v>
      </c>
      <c r="AR395" s="49">
        <f t="shared" ca="1" si="944"/>
        <v>0</v>
      </c>
      <c r="AS395" s="49">
        <f t="shared" ca="1" si="944"/>
        <v>0</v>
      </c>
      <c r="AT395" s="49">
        <f t="shared" ca="1" si="944"/>
        <v>0</v>
      </c>
      <c r="AU395" s="49">
        <f t="shared" ca="1" si="944"/>
        <v>0</v>
      </c>
      <c r="AV395" s="49">
        <f t="shared" ca="1" si="944"/>
        <v>0</v>
      </c>
      <c r="AW395" s="49">
        <f t="shared" ca="1" si="944"/>
        <v>0</v>
      </c>
      <c r="AX395" s="49">
        <f t="shared" ca="1" si="944"/>
        <v>0</v>
      </c>
      <c r="AY395" s="49">
        <f t="shared" ca="1" si="944"/>
        <v>0</v>
      </c>
      <c r="AZ395" s="49">
        <f t="shared" ca="1" si="944"/>
        <v>0</v>
      </c>
      <c r="BA395" s="49">
        <f t="shared" ca="1" si="944"/>
        <v>0</v>
      </c>
      <c r="BB395" s="49">
        <f t="shared" ca="1" si="944"/>
        <v>0</v>
      </c>
      <c r="BC395" s="49">
        <f t="shared" ca="1" si="944"/>
        <v>0</v>
      </c>
      <c r="BD395" s="49">
        <f t="shared" ca="1" si="944"/>
        <v>0</v>
      </c>
      <c r="BE395" s="49">
        <f t="shared" ca="1" si="944"/>
        <v>0</v>
      </c>
      <c r="BF395" s="49">
        <f t="shared" ca="1" si="944"/>
        <v>0</v>
      </c>
      <c r="BG395" s="49">
        <f t="shared" ca="1" si="944"/>
        <v>0</v>
      </c>
      <c r="BH395" s="49">
        <f t="shared" ca="1" si="944"/>
        <v>0</v>
      </c>
      <c r="BI395" s="49">
        <f t="shared" ca="1" si="944"/>
        <v>0</v>
      </c>
      <c r="BJ395" s="49">
        <f t="shared" ca="1" si="944"/>
        <v>0</v>
      </c>
      <c r="BK395" s="49">
        <f t="shared" ca="1" si="944"/>
        <v>0</v>
      </c>
      <c r="BL395" s="49">
        <f t="shared" ca="1" si="944"/>
        <v>0</v>
      </c>
      <c r="BM395" s="49">
        <f t="shared" ca="1" si="944"/>
        <v>0</v>
      </c>
      <c r="BN395" s="49">
        <f t="shared" ca="1" si="944"/>
        <v>0</v>
      </c>
      <c r="BO395" s="49">
        <f t="shared" ca="1" si="944"/>
        <v>0</v>
      </c>
      <c r="BP395" s="49">
        <f t="shared" ca="1" si="944"/>
        <v>0</v>
      </c>
      <c r="BQ395" s="49">
        <f t="shared" ca="1" si="944"/>
        <v>0</v>
      </c>
      <c r="BR395" s="49">
        <f t="shared" ca="1" si="944"/>
        <v>0</v>
      </c>
      <c r="BS395" s="49">
        <f t="shared" ca="1" si="944"/>
        <v>0</v>
      </c>
    </row>
    <row r="396" spans="1:71" outlineLevel="1" x14ac:dyDescent="0.2"/>
    <row r="397" spans="1:71" outlineLevel="1" x14ac:dyDescent="0.2">
      <c r="C397" s="11" t="s">
        <v>50</v>
      </c>
      <c r="I397" s="30">
        <f t="shared" ca="1" si="943"/>
        <v>3502.3183539519996</v>
      </c>
      <c r="J397" s="26" t="s">
        <v>148</v>
      </c>
      <c r="L397" s="49">
        <f ca="1">L377</f>
        <v>148.06899999999999</v>
      </c>
      <c r="M397" s="49">
        <f t="shared" ref="M397:BS397" ca="1" si="945">M377</f>
        <v>183.88499999999999</v>
      </c>
      <c r="N397" s="49">
        <f t="shared" ca="1" si="945"/>
        <v>135.70400000000001</v>
      </c>
      <c r="O397" s="49">
        <f t="shared" ca="1" si="945"/>
        <v>240.88499999999999</v>
      </c>
      <c r="P397" s="49">
        <f t="shared" ca="1" si="945"/>
        <v>536.79</v>
      </c>
      <c r="Q397" s="49">
        <f t="shared" ca="1" si="945"/>
        <v>243.78</v>
      </c>
      <c r="R397" s="49">
        <f t="shared" ca="1" si="945"/>
        <v>281.8</v>
      </c>
      <c r="S397" s="49">
        <f t="shared" ca="1" si="945"/>
        <v>286.3</v>
      </c>
      <c r="T397" s="49">
        <f t="shared" ca="1" si="945"/>
        <v>283.39999999999998</v>
      </c>
      <c r="U397" s="49">
        <f t="shared" ca="1" si="945"/>
        <v>286.21200000000005</v>
      </c>
      <c r="V397" s="49">
        <f t="shared" ca="1" si="945"/>
        <v>289.02312000000001</v>
      </c>
      <c r="W397" s="49">
        <f t="shared" ca="1" si="945"/>
        <v>291.8322</v>
      </c>
      <c r="X397" s="49">
        <f t="shared" ca="1" si="945"/>
        <v>294.638033952</v>
      </c>
      <c r="Y397" s="49">
        <f t="shared" ca="1" si="945"/>
        <v>0</v>
      </c>
      <c r="Z397" s="49">
        <f t="shared" ca="1" si="945"/>
        <v>0</v>
      </c>
      <c r="AA397" s="49">
        <f t="shared" ca="1" si="945"/>
        <v>0</v>
      </c>
      <c r="AB397" s="49">
        <f t="shared" ca="1" si="945"/>
        <v>0</v>
      </c>
      <c r="AC397" s="49">
        <f t="shared" ca="1" si="945"/>
        <v>0</v>
      </c>
      <c r="AD397" s="49">
        <f t="shared" ca="1" si="945"/>
        <v>0</v>
      </c>
      <c r="AE397" s="49">
        <f t="shared" ca="1" si="945"/>
        <v>0</v>
      </c>
      <c r="AF397" s="49">
        <f t="shared" ca="1" si="945"/>
        <v>0</v>
      </c>
      <c r="AG397" s="49">
        <f t="shared" ca="1" si="945"/>
        <v>0</v>
      </c>
      <c r="AH397" s="49">
        <f t="shared" ca="1" si="945"/>
        <v>0</v>
      </c>
      <c r="AI397" s="49">
        <f t="shared" ca="1" si="945"/>
        <v>0</v>
      </c>
      <c r="AJ397" s="49">
        <f t="shared" ca="1" si="945"/>
        <v>0</v>
      </c>
      <c r="AK397" s="49">
        <f t="shared" ca="1" si="945"/>
        <v>0</v>
      </c>
      <c r="AL397" s="49">
        <f t="shared" ca="1" si="945"/>
        <v>0</v>
      </c>
      <c r="AM397" s="49">
        <f t="shared" ca="1" si="945"/>
        <v>0</v>
      </c>
      <c r="AN397" s="49">
        <f t="shared" ca="1" si="945"/>
        <v>0</v>
      </c>
      <c r="AO397" s="49">
        <f t="shared" ca="1" si="945"/>
        <v>0</v>
      </c>
      <c r="AP397" s="49">
        <f t="shared" ca="1" si="945"/>
        <v>0</v>
      </c>
      <c r="AQ397" s="49">
        <f t="shared" ca="1" si="945"/>
        <v>0</v>
      </c>
      <c r="AR397" s="49">
        <f t="shared" ca="1" si="945"/>
        <v>0</v>
      </c>
      <c r="AS397" s="49">
        <f t="shared" ca="1" si="945"/>
        <v>0</v>
      </c>
      <c r="AT397" s="49">
        <f t="shared" ca="1" si="945"/>
        <v>0</v>
      </c>
      <c r="AU397" s="49">
        <f t="shared" ca="1" si="945"/>
        <v>0</v>
      </c>
      <c r="AV397" s="49">
        <f t="shared" ca="1" si="945"/>
        <v>0</v>
      </c>
      <c r="AW397" s="49">
        <f t="shared" ca="1" si="945"/>
        <v>0</v>
      </c>
      <c r="AX397" s="49">
        <f t="shared" ca="1" si="945"/>
        <v>0</v>
      </c>
      <c r="AY397" s="49">
        <f t="shared" ca="1" si="945"/>
        <v>0</v>
      </c>
      <c r="AZ397" s="49">
        <f t="shared" ca="1" si="945"/>
        <v>0</v>
      </c>
      <c r="BA397" s="49">
        <f t="shared" ca="1" si="945"/>
        <v>0</v>
      </c>
      <c r="BB397" s="49">
        <f t="shared" ca="1" si="945"/>
        <v>0</v>
      </c>
      <c r="BC397" s="49">
        <f t="shared" ca="1" si="945"/>
        <v>0</v>
      </c>
      <c r="BD397" s="49">
        <f t="shared" ca="1" si="945"/>
        <v>0</v>
      </c>
      <c r="BE397" s="49">
        <f t="shared" ca="1" si="945"/>
        <v>0</v>
      </c>
      <c r="BF397" s="49">
        <f t="shared" ca="1" si="945"/>
        <v>0</v>
      </c>
      <c r="BG397" s="49">
        <f t="shared" ca="1" si="945"/>
        <v>0</v>
      </c>
      <c r="BH397" s="49">
        <f t="shared" ca="1" si="945"/>
        <v>0</v>
      </c>
      <c r="BI397" s="49">
        <f t="shared" ca="1" si="945"/>
        <v>0</v>
      </c>
      <c r="BJ397" s="49">
        <f t="shared" ca="1" si="945"/>
        <v>0</v>
      </c>
      <c r="BK397" s="49">
        <f t="shared" ca="1" si="945"/>
        <v>0</v>
      </c>
      <c r="BL397" s="49">
        <f t="shared" ca="1" si="945"/>
        <v>0</v>
      </c>
      <c r="BM397" s="49">
        <f t="shared" ca="1" si="945"/>
        <v>0</v>
      </c>
      <c r="BN397" s="49">
        <f t="shared" ca="1" si="945"/>
        <v>0</v>
      </c>
      <c r="BO397" s="49">
        <f t="shared" ca="1" si="945"/>
        <v>0</v>
      </c>
      <c r="BP397" s="49">
        <f t="shared" ca="1" si="945"/>
        <v>0</v>
      </c>
      <c r="BQ397" s="49">
        <f t="shared" ca="1" si="945"/>
        <v>0</v>
      </c>
      <c r="BR397" s="49">
        <f t="shared" ca="1" si="945"/>
        <v>0</v>
      </c>
      <c r="BS397" s="49">
        <f t="shared" ca="1" si="945"/>
        <v>0</v>
      </c>
    </row>
    <row r="398" spans="1:71" outlineLevel="1" x14ac:dyDescent="0.2"/>
    <row r="399" spans="1:71" outlineLevel="1" x14ac:dyDescent="0.2">
      <c r="C399" s="11" t="s">
        <v>271</v>
      </c>
      <c r="I399" s="30">
        <f t="shared" ca="1" si="943"/>
        <v>116.836644723813</v>
      </c>
      <c r="J399" s="26" t="s">
        <v>148</v>
      </c>
      <c r="L399" s="49" cm="1">
        <f t="array" aca="1" ref="L399:BS399" ca="1">CA_pid_fees</f>
        <v>7.4933748230811874</v>
      </c>
      <c r="M399" s="49">
        <f ca="1"/>
        <v>7.0784597535292457</v>
      </c>
      <c r="N399" s="49">
        <f ca="1"/>
        <v>2.6706236900108338</v>
      </c>
      <c r="O399" s="49">
        <f ca="1"/>
        <v>2.5208282317336823</v>
      </c>
      <c r="P399" s="49">
        <f ca="1"/>
        <v>6.9924129539791364</v>
      </c>
      <c r="Q399" s="49">
        <f ca="1"/>
        <v>13.89932866392102</v>
      </c>
      <c r="R399" s="49">
        <f ca="1"/>
        <v>13.267308635491613</v>
      </c>
      <c r="S399" s="49">
        <f ca="1"/>
        <v>7.7017699371600008</v>
      </c>
      <c r="T399" s="49">
        <f ca="1"/>
        <v>11.75231225896416</v>
      </c>
      <c r="U399" s="49">
        <f ca="1"/>
        <v>11.731746984589799</v>
      </c>
      <c r="V399" s="49">
        <f ca="1"/>
        <v>11.128735189581883</v>
      </c>
      <c r="W399" s="49">
        <f ca="1"/>
        <v>10.585640716456105</v>
      </c>
      <c r="X399" s="49">
        <f ca="1"/>
        <v>10.014102885314331</v>
      </c>
      <c r="Y399" s="49">
        <f ca="1"/>
        <v>0</v>
      </c>
      <c r="Z399" s="49">
        <f ca="1"/>
        <v>0</v>
      </c>
      <c r="AA399" s="49">
        <f ca="1"/>
        <v>0</v>
      </c>
      <c r="AB399" s="49">
        <f ca="1"/>
        <v>0</v>
      </c>
      <c r="AC399" s="49">
        <f ca="1"/>
        <v>0</v>
      </c>
      <c r="AD399" s="49">
        <f ca="1"/>
        <v>0</v>
      </c>
      <c r="AE399" s="49">
        <f ca="1"/>
        <v>0</v>
      </c>
      <c r="AF399" s="49">
        <f ca="1"/>
        <v>0</v>
      </c>
      <c r="AG399" s="49">
        <f ca="1"/>
        <v>0</v>
      </c>
      <c r="AH399" s="49">
        <f ca="1"/>
        <v>0</v>
      </c>
      <c r="AI399" s="49">
        <f ca="1"/>
        <v>0</v>
      </c>
      <c r="AJ399" s="49">
        <f ca="1"/>
        <v>0</v>
      </c>
      <c r="AK399" s="49">
        <f ca="1"/>
        <v>0</v>
      </c>
      <c r="AL399" s="49">
        <f ca="1"/>
        <v>0</v>
      </c>
      <c r="AM399" s="49">
        <f ca="1"/>
        <v>0</v>
      </c>
      <c r="AN399" s="49">
        <f ca="1"/>
        <v>0</v>
      </c>
      <c r="AO399" s="49">
        <f ca="1"/>
        <v>0</v>
      </c>
      <c r="AP399" s="49">
        <f ca="1"/>
        <v>0</v>
      </c>
      <c r="AQ399" s="49">
        <f ca="1"/>
        <v>0</v>
      </c>
      <c r="AR399" s="49">
        <f ca="1"/>
        <v>0</v>
      </c>
      <c r="AS399" s="49">
        <f ca="1"/>
        <v>0</v>
      </c>
      <c r="AT399" s="49">
        <f ca="1"/>
        <v>0</v>
      </c>
      <c r="AU399" s="49">
        <f ca="1"/>
        <v>0</v>
      </c>
      <c r="AV399" s="49">
        <f ca="1"/>
        <v>0</v>
      </c>
      <c r="AW399" s="49">
        <f ca="1"/>
        <v>0</v>
      </c>
      <c r="AX399" s="49">
        <f ca="1"/>
        <v>0</v>
      </c>
      <c r="AY399" s="49">
        <f ca="1"/>
        <v>0</v>
      </c>
      <c r="AZ399" s="49">
        <f ca="1"/>
        <v>0</v>
      </c>
      <c r="BA399" s="49">
        <f ca="1"/>
        <v>0</v>
      </c>
      <c r="BB399" s="49">
        <f ca="1"/>
        <v>0</v>
      </c>
      <c r="BC399" s="49">
        <f ca="1"/>
        <v>0</v>
      </c>
      <c r="BD399" s="49">
        <f ca="1"/>
        <v>0</v>
      </c>
      <c r="BE399" s="49">
        <f ca="1"/>
        <v>0</v>
      </c>
      <c r="BF399" s="49">
        <f ca="1"/>
        <v>0</v>
      </c>
      <c r="BG399" s="49">
        <f ca="1"/>
        <v>0</v>
      </c>
      <c r="BH399" s="49">
        <f ca="1"/>
        <v>0</v>
      </c>
      <c r="BI399" s="49">
        <f ca="1"/>
        <v>0</v>
      </c>
      <c r="BJ399" s="49">
        <f ca="1"/>
        <v>0</v>
      </c>
      <c r="BK399" s="49">
        <f ca="1"/>
        <v>0</v>
      </c>
      <c r="BL399" s="49">
        <f ca="1"/>
        <v>0</v>
      </c>
      <c r="BM399" s="49">
        <f ca="1"/>
        <v>0</v>
      </c>
      <c r="BN399" s="49">
        <f ca="1"/>
        <v>0</v>
      </c>
      <c r="BO399" s="49">
        <f ca="1"/>
        <v>0</v>
      </c>
      <c r="BP399" s="49">
        <f ca="1"/>
        <v>0</v>
      </c>
      <c r="BQ399" s="49">
        <f ca="1"/>
        <v>0</v>
      </c>
      <c r="BR399" s="49">
        <f ca="1"/>
        <v>0</v>
      </c>
      <c r="BS399" s="49">
        <f ca="1"/>
        <v>0</v>
      </c>
    </row>
    <row r="400" spans="1:71" outlineLevel="1" x14ac:dyDescent="0.2"/>
    <row r="401" spans="3:71" outlineLevel="1" x14ac:dyDescent="0.2">
      <c r="C401" s="11" t="s">
        <v>272</v>
      </c>
      <c r="I401" s="30">
        <f t="shared" si="943"/>
        <v>0</v>
      </c>
      <c r="J401" s="26" t="s">
        <v>148</v>
      </c>
      <c r="L401" s="49">
        <v>0</v>
      </c>
      <c r="M401" s="49">
        <v>0</v>
      </c>
      <c r="N401" s="49">
        <v>0</v>
      </c>
      <c r="O401" s="49">
        <v>0</v>
      </c>
      <c r="P401" s="49">
        <v>0</v>
      </c>
      <c r="Q401" s="49">
        <v>0</v>
      </c>
      <c r="R401" s="49">
        <v>0</v>
      </c>
      <c r="S401" s="49">
        <v>0</v>
      </c>
      <c r="T401" s="49">
        <v>0</v>
      </c>
      <c r="U401" s="49">
        <v>0</v>
      </c>
      <c r="V401" s="49">
        <v>0</v>
      </c>
      <c r="W401" s="49">
        <v>0</v>
      </c>
      <c r="X401" s="49">
        <v>0</v>
      </c>
      <c r="Y401" s="49">
        <v>0</v>
      </c>
      <c r="Z401" s="49">
        <v>0</v>
      </c>
      <c r="AA401" s="49">
        <v>0</v>
      </c>
      <c r="AB401" s="49">
        <v>0</v>
      </c>
      <c r="AC401" s="49">
        <v>0</v>
      </c>
      <c r="AD401" s="49">
        <v>0</v>
      </c>
      <c r="AE401" s="49">
        <v>0</v>
      </c>
      <c r="AF401" s="49">
        <v>0</v>
      </c>
      <c r="AG401" s="49">
        <v>0</v>
      </c>
      <c r="AH401" s="49">
        <v>0</v>
      </c>
      <c r="AI401" s="49">
        <v>0</v>
      </c>
      <c r="AJ401" s="49">
        <v>0</v>
      </c>
      <c r="AK401" s="49">
        <v>0</v>
      </c>
      <c r="AL401" s="49">
        <v>0</v>
      </c>
      <c r="AM401" s="49">
        <v>0</v>
      </c>
      <c r="AN401" s="49">
        <v>0</v>
      </c>
      <c r="AO401" s="49">
        <v>0</v>
      </c>
      <c r="AP401" s="49">
        <v>0</v>
      </c>
      <c r="AQ401" s="49">
        <v>0</v>
      </c>
      <c r="AR401" s="49">
        <v>0</v>
      </c>
      <c r="AS401" s="49">
        <v>0</v>
      </c>
      <c r="AT401" s="49">
        <v>0</v>
      </c>
      <c r="AU401" s="49">
        <v>0</v>
      </c>
      <c r="AV401" s="49">
        <v>0</v>
      </c>
      <c r="AW401" s="49">
        <v>0</v>
      </c>
      <c r="AX401" s="49">
        <v>0</v>
      </c>
      <c r="AY401" s="49">
        <v>0</v>
      </c>
      <c r="AZ401" s="49">
        <v>0</v>
      </c>
      <c r="BA401" s="49">
        <v>0</v>
      </c>
      <c r="BB401" s="49">
        <v>0</v>
      </c>
      <c r="BC401" s="49">
        <v>0</v>
      </c>
      <c r="BD401" s="49">
        <v>0</v>
      </c>
      <c r="BE401" s="49">
        <v>0</v>
      </c>
      <c r="BF401" s="49">
        <v>0</v>
      </c>
      <c r="BG401" s="49">
        <v>0</v>
      </c>
      <c r="BH401" s="49">
        <v>0</v>
      </c>
      <c r="BI401" s="49">
        <v>0</v>
      </c>
      <c r="BJ401" s="49">
        <v>0</v>
      </c>
      <c r="BK401" s="49">
        <v>0</v>
      </c>
      <c r="BL401" s="49">
        <v>0</v>
      </c>
      <c r="BM401" s="49">
        <v>0</v>
      </c>
      <c r="BN401" s="49">
        <v>0</v>
      </c>
      <c r="BO401" s="49">
        <v>0</v>
      </c>
      <c r="BP401" s="49">
        <v>0</v>
      </c>
      <c r="BQ401" s="49">
        <v>0</v>
      </c>
      <c r="BR401" s="49">
        <v>0</v>
      </c>
      <c r="BS401" s="49">
        <v>0</v>
      </c>
    </row>
    <row r="402" spans="3:71" outlineLevel="1" x14ac:dyDescent="0.2"/>
    <row r="403" spans="3:71" outlineLevel="1" x14ac:dyDescent="0.2">
      <c r="C403" s="11" t="s">
        <v>273</v>
      </c>
      <c r="I403" s="30">
        <f t="shared" ca="1" si="943"/>
        <v>10913.591</v>
      </c>
      <c r="J403" s="26" t="s">
        <v>148</v>
      </c>
      <c r="L403" s="49">
        <f ca="1">SUM(L380:L381)</f>
        <v>1286.7819999999999</v>
      </c>
      <c r="M403" s="49">
        <f t="shared" ref="M403:BS403" ca="1" si="946">SUM(M380:M381)</f>
        <v>2118.212</v>
      </c>
      <c r="N403" s="49">
        <f t="shared" ca="1" si="946"/>
        <v>3130.5740000000001</v>
      </c>
      <c r="O403" s="49">
        <f t="shared" ca="1" si="946"/>
        <v>2571.201</v>
      </c>
      <c r="P403" s="49">
        <f t="shared" ca="1" si="946"/>
        <v>1153.232</v>
      </c>
      <c r="Q403" s="49">
        <f t="shared" ca="1" si="946"/>
        <v>653.59</v>
      </c>
      <c r="R403" s="49">
        <f t="shared" ca="1" si="946"/>
        <v>0</v>
      </c>
      <c r="S403" s="49">
        <f t="shared" ca="1" si="946"/>
        <v>0</v>
      </c>
      <c r="T403" s="49">
        <f t="shared" ca="1" si="946"/>
        <v>0</v>
      </c>
      <c r="U403" s="49">
        <f t="shared" ca="1" si="946"/>
        <v>0</v>
      </c>
      <c r="V403" s="49">
        <f t="shared" ca="1" si="946"/>
        <v>0</v>
      </c>
      <c r="W403" s="49">
        <f t="shared" ca="1" si="946"/>
        <v>0</v>
      </c>
      <c r="X403" s="49">
        <f t="shared" ca="1" si="946"/>
        <v>0</v>
      </c>
      <c r="Y403" s="49">
        <f t="shared" ca="1" si="946"/>
        <v>0</v>
      </c>
      <c r="Z403" s="49">
        <f t="shared" ca="1" si="946"/>
        <v>0</v>
      </c>
      <c r="AA403" s="49">
        <f t="shared" ca="1" si="946"/>
        <v>0</v>
      </c>
      <c r="AB403" s="49">
        <f t="shared" ca="1" si="946"/>
        <v>0</v>
      </c>
      <c r="AC403" s="49">
        <f t="shared" ca="1" si="946"/>
        <v>0</v>
      </c>
      <c r="AD403" s="49">
        <f t="shared" ca="1" si="946"/>
        <v>0</v>
      </c>
      <c r="AE403" s="49">
        <f t="shared" ca="1" si="946"/>
        <v>0</v>
      </c>
      <c r="AF403" s="49">
        <f t="shared" ca="1" si="946"/>
        <v>0</v>
      </c>
      <c r="AG403" s="49">
        <f t="shared" ca="1" si="946"/>
        <v>0</v>
      </c>
      <c r="AH403" s="49">
        <f t="shared" ca="1" si="946"/>
        <v>0</v>
      </c>
      <c r="AI403" s="49">
        <f t="shared" ca="1" si="946"/>
        <v>0</v>
      </c>
      <c r="AJ403" s="49">
        <f t="shared" ca="1" si="946"/>
        <v>0</v>
      </c>
      <c r="AK403" s="49">
        <f t="shared" ca="1" si="946"/>
        <v>0</v>
      </c>
      <c r="AL403" s="49">
        <f t="shared" ca="1" si="946"/>
        <v>0</v>
      </c>
      <c r="AM403" s="49">
        <f t="shared" ca="1" si="946"/>
        <v>0</v>
      </c>
      <c r="AN403" s="49">
        <f t="shared" ca="1" si="946"/>
        <v>0</v>
      </c>
      <c r="AO403" s="49">
        <f t="shared" ca="1" si="946"/>
        <v>0</v>
      </c>
      <c r="AP403" s="49">
        <f t="shared" ca="1" si="946"/>
        <v>0</v>
      </c>
      <c r="AQ403" s="49">
        <f t="shared" ca="1" si="946"/>
        <v>0</v>
      </c>
      <c r="AR403" s="49">
        <f t="shared" ca="1" si="946"/>
        <v>0</v>
      </c>
      <c r="AS403" s="49">
        <f t="shared" ca="1" si="946"/>
        <v>0</v>
      </c>
      <c r="AT403" s="49">
        <f t="shared" ca="1" si="946"/>
        <v>0</v>
      </c>
      <c r="AU403" s="49">
        <f t="shared" ca="1" si="946"/>
        <v>0</v>
      </c>
      <c r="AV403" s="49">
        <f t="shared" ca="1" si="946"/>
        <v>0</v>
      </c>
      <c r="AW403" s="49">
        <f t="shared" ca="1" si="946"/>
        <v>0</v>
      </c>
      <c r="AX403" s="49">
        <f t="shared" ca="1" si="946"/>
        <v>0</v>
      </c>
      <c r="AY403" s="49">
        <f t="shared" ca="1" si="946"/>
        <v>0</v>
      </c>
      <c r="AZ403" s="49">
        <f t="shared" ca="1" si="946"/>
        <v>0</v>
      </c>
      <c r="BA403" s="49">
        <f t="shared" ca="1" si="946"/>
        <v>0</v>
      </c>
      <c r="BB403" s="49">
        <f t="shared" ca="1" si="946"/>
        <v>0</v>
      </c>
      <c r="BC403" s="49">
        <f t="shared" ca="1" si="946"/>
        <v>0</v>
      </c>
      <c r="BD403" s="49">
        <f t="shared" ca="1" si="946"/>
        <v>0</v>
      </c>
      <c r="BE403" s="49">
        <f t="shared" ca="1" si="946"/>
        <v>0</v>
      </c>
      <c r="BF403" s="49">
        <f t="shared" ca="1" si="946"/>
        <v>0</v>
      </c>
      <c r="BG403" s="49">
        <f t="shared" ca="1" si="946"/>
        <v>0</v>
      </c>
      <c r="BH403" s="49">
        <f t="shared" ca="1" si="946"/>
        <v>0</v>
      </c>
      <c r="BI403" s="49">
        <f t="shared" ca="1" si="946"/>
        <v>0</v>
      </c>
      <c r="BJ403" s="49">
        <f t="shared" ca="1" si="946"/>
        <v>0</v>
      </c>
      <c r="BK403" s="49">
        <f t="shared" ca="1" si="946"/>
        <v>0</v>
      </c>
      <c r="BL403" s="49">
        <f t="shared" ca="1" si="946"/>
        <v>0</v>
      </c>
      <c r="BM403" s="49">
        <f t="shared" ca="1" si="946"/>
        <v>0</v>
      </c>
      <c r="BN403" s="49">
        <f t="shared" ca="1" si="946"/>
        <v>0</v>
      </c>
      <c r="BO403" s="49">
        <f t="shared" ca="1" si="946"/>
        <v>0</v>
      </c>
      <c r="BP403" s="49">
        <f t="shared" ca="1" si="946"/>
        <v>0</v>
      </c>
      <c r="BQ403" s="49">
        <f t="shared" ca="1" si="946"/>
        <v>0</v>
      </c>
      <c r="BR403" s="49">
        <f t="shared" ca="1" si="946"/>
        <v>0</v>
      </c>
      <c r="BS403" s="49">
        <f t="shared" ca="1" si="946"/>
        <v>0</v>
      </c>
    </row>
    <row r="404" spans="3:71" outlineLevel="1" x14ac:dyDescent="0.2"/>
    <row r="405" spans="3:71" outlineLevel="1" x14ac:dyDescent="0.2">
      <c r="C405" s="11" t="s">
        <v>264</v>
      </c>
      <c r="I405" s="30">
        <f t="shared" ca="1" si="943"/>
        <v>0</v>
      </c>
      <c r="J405" s="26" t="s">
        <v>148</v>
      </c>
      <c r="L405" s="49">
        <f ca="1">L382</f>
        <v>0</v>
      </c>
      <c r="M405" s="49">
        <f t="shared" ref="M405:BS405" ca="1" si="947">M382</f>
        <v>0</v>
      </c>
      <c r="N405" s="49">
        <f t="shared" ca="1" si="947"/>
        <v>0</v>
      </c>
      <c r="O405" s="49">
        <f t="shared" ca="1" si="947"/>
        <v>0</v>
      </c>
      <c r="P405" s="49">
        <f t="shared" ca="1" si="947"/>
        <v>0</v>
      </c>
      <c r="Q405" s="49">
        <f t="shared" ca="1" si="947"/>
        <v>0</v>
      </c>
      <c r="R405" s="49">
        <f t="shared" ca="1" si="947"/>
        <v>0</v>
      </c>
      <c r="S405" s="49">
        <f t="shared" ca="1" si="947"/>
        <v>0</v>
      </c>
      <c r="T405" s="49">
        <f t="shared" ca="1" si="947"/>
        <v>0</v>
      </c>
      <c r="U405" s="49">
        <f t="shared" ca="1" si="947"/>
        <v>0</v>
      </c>
      <c r="V405" s="49">
        <f t="shared" ca="1" si="947"/>
        <v>0</v>
      </c>
      <c r="W405" s="49">
        <f t="shared" ca="1" si="947"/>
        <v>0</v>
      </c>
      <c r="X405" s="49">
        <f t="shared" ca="1" si="947"/>
        <v>0</v>
      </c>
      <c r="Y405" s="49">
        <f t="shared" ca="1" si="947"/>
        <v>0</v>
      </c>
      <c r="Z405" s="49">
        <f t="shared" ca="1" si="947"/>
        <v>0</v>
      </c>
      <c r="AA405" s="49">
        <f t="shared" ca="1" si="947"/>
        <v>0</v>
      </c>
      <c r="AB405" s="49">
        <f t="shared" ca="1" si="947"/>
        <v>0</v>
      </c>
      <c r="AC405" s="49">
        <f t="shared" ca="1" si="947"/>
        <v>0</v>
      </c>
      <c r="AD405" s="49">
        <f t="shared" ca="1" si="947"/>
        <v>0</v>
      </c>
      <c r="AE405" s="49">
        <f t="shared" ca="1" si="947"/>
        <v>0</v>
      </c>
      <c r="AF405" s="49">
        <f t="shared" ca="1" si="947"/>
        <v>0</v>
      </c>
      <c r="AG405" s="49">
        <f t="shared" ca="1" si="947"/>
        <v>0</v>
      </c>
      <c r="AH405" s="49">
        <f t="shared" ca="1" si="947"/>
        <v>0</v>
      </c>
      <c r="AI405" s="49">
        <f t="shared" ca="1" si="947"/>
        <v>0</v>
      </c>
      <c r="AJ405" s="49">
        <f t="shared" ca="1" si="947"/>
        <v>0</v>
      </c>
      <c r="AK405" s="49">
        <f t="shared" ca="1" si="947"/>
        <v>0</v>
      </c>
      <c r="AL405" s="49">
        <f t="shared" ca="1" si="947"/>
        <v>0</v>
      </c>
      <c r="AM405" s="49">
        <f t="shared" ca="1" si="947"/>
        <v>0</v>
      </c>
      <c r="AN405" s="49">
        <f t="shared" ca="1" si="947"/>
        <v>0</v>
      </c>
      <c r="AO405" s="49">
        <f t="shared" ca="1" si="947"/>
        <v>0</v>
      </c>
      <c r="AP405" s="49">
        <f t="shared" ca="1" si="947"/>
        <v>0</v>
      </c>
      <c r="AQ405" s="49">
        <f t="shared" ca="1" si="947"/>
        <v>0</v>
      </c>
      <c r="AR405" s="49">
        <f t="shared" ca="1" si="947"/>
        <v>0</v>
      </c>
      <c r="AS405" s="49">
        <f t="shared" ca="1" si="947"/>
        <v>0</v>
      </c>
      <c r="AT405" s="49">
        <f t="shared" ca="1" si="947"/>
        <v>0</v>
      </c>
      <c r="AU405" s="49">
        <f t="shared" ca="1" si="947"/>
        <v>0</v>
      </c>
      <c r="AV405" s="49">
        <f t="shared" ca="1" si="947"/>
        <v>0</v>
      </c>
      <c r="AW405" s="49">
        <f t="shared" ca="1" si="947"/>
        <v>0</v>
      </c>
      <c r="AX405" s="49">
        <f t="shared" ca="1" si="947"/>
        <v>0</v>
      </c>
      <c r="AY405" s="49">
        <f t="shared" ca="1" si="947"/>
        <v>0</v>
      </c>
      <c r="AZ405" s="49">
        <f t="shared" ca="1" si="947"/>
        <v>0</v>
      </c>
      <c r="BA405" s="49">
        <f t="shared" ca="1" si="947"/>
        <v>0</v>
      </c>
      <c r="BB405" s="49">
        <f t="shared" ca="1" si="947"/>
        <v>0</v>
      </c>
      <c r="BC405" s="49">
        <f t="shared" ca="1" si="947"/>
        <v>0</v>
      </c>
      <c r="BD405" s="49">
        <f t="shared" ca="1" si="947"/>
        <v>0</v>
      </c>
      <c r="BE405" s="49">
        <f t="shared" ca="1" si="947"/>
        <v>0</v>
      </c>
      <c r="BF405" s="49">
        <f t="shared" ca="1" si="947"/>
        <v>0</v>
      </c>
      <c r="BG405" s="49">
        <f t="shared" ca="1" si="947"/>
        <v>0</v>
      </c>
      <c r="BH405" s="49">
        <f t="shared" ca="1" si="947"/>
        <v>0</v>
      </c>
      <c r="BI405" s="49">
        <f t="shared" ca="1" si="947"/>
        <v>0</v>
      </c>
      <c r="BJ405" s="49">
        <f t="shared" ca="1" si="947"/>
        <v>0</v>
      </c>
      <c r="BK405" s="49">
        <f t="shared" ca="1" si="947"/>
        <v>0</v>
      </c>
      <c r="BL405" s="49">
        <f t="shared" ca="1" si="947"/>
        <v>0</v>
      </c>
      <c r="BM405" s="49">
        <f t="shared" ca="1" si="947"/>
        <v>0</v>
      </c>
      <c r="BN405" s="49">
        <f t="shared" ca="1" si="947"/>
        <v>0</v>
      </c>
      <c r="BO405" s="49">
        <f t="shared" ca="1" si="947"/>
        <v>0</v>
      </c>
      <c r="BP405" s="49">
        <f t="shared" ca="1" si="947"/>
        <v>0</v>
      </c>
      <c r="BQ405" s="49">
        <f t="shared" ca="1" si="947"/>
        <v>0</v>
      </c>
      <c r="BR405" s="49">
        <f t="shared" ca="1" si="947"/>
        <v>0</v>
      </c>
      <c r="BS405" s="49">
        <f t="shared" ca="1" si="947"/>
        <v>0</v>
      </c>
    </row>
    <row r="406" spans="3:71" outlineLevel="1" x14ac:dyDescent="0.2"/>
    <row r="407" spans="3:71" outlineLevel="1" x14ac:dyDescent="0.2">
      <c r="C407" s="11" t="s">
        <v>274</v>
      </c>
      <c r="I407" s="30">
        <f t="shared" si="943"/>
        <v>0</v>
      </c>
      <c r="J407" s="26" t="s">
        <v>148</v>
      </c>
      <c r="L407" s="49">
        <v>0</v>
      </c>
      <c r="M407" s="49">
        <v>0</v>
      </c>
      <c r="N407" s="49">
        <v>0</v>
      </c>
      <c r="O407" s="49">
        <v>0</v>
      </c>
      <c r="P407" s="49">
        <v>0</v>
      </c>
      <c r="Q407" s="49">
        <v>0</v>
      </c>
      <c r="R407" s="49">
        <v>0</v>
      </c>
      <c r="S407" s="49">
        <v>0</v>
      </c>
      <c r="T407" s="49">
        <v>0</v>
      </c>
      <c r="U407" s="49">
        <v>0</v>
      </c>
      <c r="V407" s="49">
        <v>0</v>
      </c>
      <c r="W407" s="49">
        <v>0</v>
      </c>
      <c r="X407" s="49">
        <v>0</v>
      </c>
      <c r="Y407" s="49">
        <v>0</v>
      </c>
      <c r="Z407" s="49">
        <v>0</v>
      </c>
      <c r="AA407" s="49">
        <v>0</v>
      </c>
      <c r="AB407" s="49">
        <v>0</v>
      </c>
      <c r="AC407" s="49">
        <v>0</v>
      </c>
      <c r="AD407" s="49">
        <v>0</v>
      </c>
      <c r="AE407" s="49">
        <v>0</v>
      </c>
      <c r="AF407" s="49">
        <v>0</v>
      </c>
      <c r="AG407" s="49">
        <v>0</v>
      </c>
      <c r="AH407" s="49">
        <v>0</v>
      </c>
      <c r="AI407" s="49">
        <v>0</v>
      </c>
      <c r="AJ407" s="49">
        <v>0</v>
      </c>
      <c r="AK407" s="49">
        <v>0</v>
      </c>
      <c r="AL407" s="49">
        <v>0</v>
      </c>
      <c r="AM407" s="49">
        <v>0</v>
      </c>
      <c r="AN407" s="49">
        <v>0</v>
      </c>
      <c r="AO407" s="49">
        <v>0</v>
      </c>
      <c r="AP407" s="49">
        <v>0</v>
      </c>
      <c r="AQ407" s="49">
        <v>0</v>
      </c>
      <c r="AR407" s="49">
        <v>0</v>
      </c>
      <c r="AS407" s="49">
        <v>0</v>
      </c>
      <c r="AT407" s="49">
        <v>0</v>
      </c>
      <c r="AU407" s="49">
        <v>0</v>
      </c>
      <c r="AV407" s="49">
        <v>0</v>
      </c>
      <c r="AW407" s="49">
        <v>0</v>
      </c>
      <c r="AX407" s="49">
        <v>0</v>
      </c>
      <c r="AY407" s="49">
        <v>0</v>
      </c>
      <c r="AZ407" s="49">
        <v>0</v>
      </c>
      <c r="BA407" s="49">
        <v>0</v>
      </c>
      <c r="BB407" s="49">
        <v>0</v>
      </c>
      <c r="BC407" s="49">
        <v>0</v>
      </c>
      <c r="BD407" s="49">
        <v>0</v>
      </c>
      <c r="BE407" s="49">
        <v>0</v>
      </c>
      <c r="BF407" s="49">
        <v>0</v>
      </c>
      <c r="BG407" s="49">
        <v>0</v>
      </c>
      <c r="BH407" s="49">
        <v>0</v>
      </c>
      <c r="BI407" s="49">
        <v>0</v>
      </c>
      <c r="BJ407" s="49">
        <v>0</v>
      </c>
      <c r="BK407" s="49">
        <v>0</v>
      </c>
      <c r="BL407" s="49">
        <v>0</v>
      </c>
      <c r="BM407" s="49">
        <v>0</v>
      </c>
      <c r="BN407" s="49">
        <v>0</v>
      </c>
      <c r="BO407" s="49">
        <v>0</v>
      </c>
      <c r="BP407" s="49">
        <v>0</v>
      </c>
      <c r="BQ407" s="49">
        <v>0</v>
      </c>
      <c r="BR407" s="49">
        <v>0</v>
      </c>
      <c r="BS407" s="49">
        <v>0</v>
      </c>
    </row>
    <row r="408" spans="3:71" outlineLevel="1" x14ac:dyDescent="0.2"/>
    <row r="409" spans="3:71" outlineLevel="1" x14ac:dyDescent="0.2">
      <c r="C409" s="11" t="s">
        <v>275</v>
      </c>
      <c r="I409" s="30">
        <f t="shared" si="943"/>
        <v>0</v>
      </c>
      <c r="J409" s="26" t="s">
        <v>148</v>
      </c>
      <c r="L409" s="49">
        <v>0</v>
      </c>
      <c r="M409" s="49">
        <v>0</v>
      </c>
      <c r="N409" s="49">
        <v>0</v>
      </c>
      <c r="O409" s="49">
        <v>0</v>
      </c>
      <c r="P409" s="49">
        <v>0</v>
      </c>
      <c r="Q409" s="49">
        <v>0</v>
      </c>
      <c r="R409" s="49">
        <v>0</v>
      </c>
      <c r="S409" s="49">
        <v>0</v>
      </c>
      <c r="T409" s="49">
        <v>0</v>
      </c>
      <c r="U409" s="49">
        <v>0</v>
      </c>
      <c r="V409" s="49">
        <v>0</v>
      </c>
      <c r="W409" s="49">
        <v>0</v>
      </c>
      <c r="X409" s="49">
        <v>0</v>
      </c>
      <c r="Y409" s="49">
        <v>0</v>
      </c>
      <c r="Z409" s="49">
        <v>0</v>
      </c>
      <c r="AA409" s="49">
        <v>0</v>
      </c>
      <c r="AB409" s="49">
        <v>0</v>
      </c>
      <c r="AC409" s="49">
        <v>0</v>
      </c>
      <c r="AD409" s="49">
        <v>0</v>
      </c>
      <c r="AE409" s="49">
        <v>0</v>
      </c>
      <c r="AF409" s="49">
        <v>0</v>
      </c>
      <c r="AG409" s="49">
        <v>0</v>
      </c>
      <c r="AH409" s="49">
        <v>0</v>
      </c>
      <c r="AI409" s="49">
        <v>0</v>
      </c>
      <c r="AJ409" s="49">
        <v>0</v>
      </c>
      <c r="AK409" s="49">
        <v>0</v>
      </c>
      <c r="AL409" s="49">
        <v>0</v>
      </c>
      <c r="AM409" s="49">
        <v>0</v>
      </c>
      <c r="AN409" s="49">
        <v>0</v>
      </c>
      <c r="AO409" s="49">
        <v>0</v>
      </c>
      <c r="AP409" s="49">
        <v>0</v>
      </c>
      <c r="AQ409" s="49">
        <v>0</v>
      </c>
      <c r="AR409" s="49">
        <v>0</v>
      </c>
      <c r="AS409" s="49">
        <v>0</v>
      </c>
      <c r="AT409" s="49">
        <v>0</v>
      </c>
      <c r="AU409" s="49">
        <v>0</v>
      </c>
      <c r="AV409" s="49">
        <v>0</v>
      </c>
      <c r="AW409" s="49">
        <v>0</v>
      </c>
      <c r="AX409" s="49">
        <v>0</v>
      </c>
      <c r="AY409" s="49">
        <v>0</v>
      </c>
      <c r="AZ409" s="49">
        <v>0</v>
      </c>
      <c r="BA409" s="49">
        <v>0</v>
      </c>
      <c r="BB409" s="49">
        <v>0</v>
      </c>
      <c r="BC409" s="49">
        <v>0</v>
      </c>
      <c r="BD409" s="49">
        <v>0</v>
      </c>
      <c r="BE409" s="49">
        <v>0</v>
      </c>
      <c r="BF409" s="49">
        <v>0</v>
      </c>
      <c r="BG409" s="49">
        <v>0</v>
      </c>
      <c r="BH409" s="49">
        <v>0</v>
      </c>
      <c r="BI409" s="49">
        <v>0</v>
      </c>
      <c r="BJ409" s="49">
        <v>0</v>
      </c>
      <c r="BK409" s="49">
        <v>0</v>
      </c>
      <c r="BL409" s="49">
        <v>0</v>
      </c>
      <c r="BM409" s="49">
        <v>0</v>
      </c>
      <c r="BN409" s="49">
        <v>0</v>
      </c>
      <c r="BO409" s="49">
        <v>0</v>
      </c>
      <c r="BP409" s="49">
        <v>0</v>
      </c>
      <c r="BQ409" s="49">
        <v>0</v>
      </c>
      <c r="BR409" s="49">
        <v>0</v>
      </c>
      <c r="BS409" s="49">
        <v>0</v>
      </c>
    </row>
    <row r="410" spans="3:71" outlineLevel="1" x14ac:dyDescent="0.2"/>
    <row r="411" spans="3:71" outlineLevel="1" x14ac:dyDescent="0.2">
      <c r="C411" s="11" t="s">
        <v>276</v>
      </c>
      <c r="I411" s="30">
        <f t="shared" ca="1" si="943"/>
        <v>-8799.3901860575097</v>
      </c>
      <c r="J411" s="26" t="s">
        <v>148</v>
      </c>
      <c r="K411" s="7" t="s">
        <v>283</v>
      </c>
      <c r="L411" s="49">
        <f ca="1">L395-L397-L399-L401-L403-L405-L407-L409</f>
        <v>-947.24902398808263</v>
      </c>
      <c r="M411" s="49">
        <f t="shared" ref="M411:BS411" ca="1" si="948">M395-M397-M399-M401-M403-M405-M407-M409</f>
        <v>-1815.5404205555569</v>
      </c>
      <c r="N411" s="49">
        <f t="shared" ca="1" si="948"/>
        <v>-3145.6858975100185</v>
      </c>
      <c r="O411" s="49">
        <f t="shared" ca="1" si="948"/>
        <v>-2699.7811732016748</v>
      </c>
      <c r="P411" s="49">
        <f t="shared" ca="1" si="948"/>
        <v>-1371.8672105939493</v>
      </c>
      <c r="Q411" s="49">
        <f t="shared" ca="1" si="948"/>
        <v>-264.9505457915937</v>
      </c>
      <c r="R411" s="49">
        <f t="shared" ca="1" si="948"/>
        <v>321.86254291486841</v>
      </c>
      <c r="S411" s="49">
        <f t="shared" ca="1" si="948"/>
        <v>56.756416032260013</v>
      </c>
      <c r="T411" s="49">
        <f t="shared" ca="1" si="948"/>
        <v>251.33020778286934</v>
      </c>
      <c r="U411" s="49">
        <f t="shared" ca="1" si="948"/>
        <v>247.58248779883587</v>
      </c>
      <c r="V411" s="49">
        <f t="shared" ca="1" si="948"/>
        <v>217.33433112597569</v>
      </c>
      <c r="W411" s="49">
        <f t="shared" ca="1" si="948"/>
        <v>189.81445259875284</v>
      </c>
      <c r="X411" s="49">
        <f t="shared" ca="1" si="948"/>
        <v>161.00364732980211</v>
      </c>
      <c r="Y411" s="49">
        <f t="shared" ca="1" si="948"/>
        <v>0</v>
      </c>
      <c r="Z411" s="49">
        <f t="shared" ca="1" si="948"/>
        <v>0</v>
      </c>
      <c r="AA411" s="49">
        <f t="shared" ca="1" si="948"/>
        <v>0</v>
      </c>
      <c r="AB411" s="49">
        <f t="shared" ca="1" si="948"/>
        <v>0</v>
      </c>
      <c r="AC411" s="49">
        <f t="shared" ca="1" si="948"/>
        <v>0</v>
      </c>
      <c r="AD411" s="49">
        <f t="shared" ca="1" si="948"/>
        <v>0</v>
      </c>
      <c r="AE411" s="49">
        <f t="shared" ca="1" si="948"/>
        <v>0</v>
      </c>
      <c r="AF411" s="49">
        <f t="shared" ca="1" si="948"/>
        <v>0</v>
      </c>
      <c r="AG411" s="49">
        <f t="shared" ca="1" si="948"/>
        <v>0</v>
      </c>
      <c r="AH411" s="49">
        <f t="shared" ca="1" si="948"/>
        <v>0</v>
      </c>
      <c r="AI411" s="49">
        <f t="shared" ca="1" si="948"/>
        <v>0</v>
      </c>
      <c r="AJ411" s="49">
        <f t="shared" ca="1" si="948"/>
        <v>0</v>
      </c>
      <c r="AK411" s="49">
        <f t="shared" ca="1" si="948"/>
        <v>0</v>
      </c>
      <c r="AL411" s="49">
        <f t="shared" ca="1" si="948"/>
        <v>0</v>
      </c>
      <c r="AM411" s="49">
        <f t="shared" ca="1" si="948"/>
        <v>0</v>
      </c>
      <c r="AN411" s="49">
        <f t="shared" ca="1" si="948"/>
        <v>0</v>
      </c>
      <c r="AO411" s="49">
        <f t="shared" ca="1" si="948"/>
        <v>0</v>
      </c>
      <c r="AP411" s="49">
        <f t="shared" ca="1" si="948"/>
        <v>0</v>
      </c>
      <c r="AQ411" s="49">
        <f t="shared" ca="1" si="948"/>
        <v>0</v>
      </c>
      <c r="AR411" s="49">
        <f t="shared" ca="1" si="948"/>
        <v>0</v>
      </c>
      <c r="AS411" s="49">
        <f t="shared" ca="1" si="948"/>
        <v>0</v>
      </c>
      <c r="AT411" s="49">
        <f t="shared" ca="1" si="948"/>
        <v>0</v>
      </c>
      <c r="AU411" s="49">
        <f t="shared" ca="1" si="948"/>
        <v>0</v>
      </c>
      <c r="AV411" s="49">
        <f t="shared" ca="1" si="948"/>
        <v>0</v>
      </c>
      <c r="AW411" s="49">
        <f t="shared" ca="1" si="948"/>
        <v>0</v>
      </c>
      <c r="AX411" s="49">
        <f t="shared" ca="1" si="948"/>
        <v>0</v>
      </c>
      <c r="AY411" s="49">
        <f t="shared" ca="1" si="948"/>
        <v>0</v>
      </c>
      <c r="AZ411" s="49">
        <f t="shared" ca="1" si="948"/>
        <v>0</v>
      </c>
      <c r="BA411" s="49">
        <f t="shared" ca="1" si="948"/>
        <v>0</v>
      </c>
      <c r="BB411" s="49">
        <f t="shared" ca="1" si="948"/>
        <v>0</v>
      </c>
      <c r="BC411" s="49">
        <f t="shared" ca="1" si="948"/>
        <v>0</v>
      </c>
      <c r="BD411" s="49">
        <f t="shared" ca="1" si="948"/>
        <v>0</v>
      </c>
      <c r="BE411" s="49">
        <f t="shared" ca="1" si="948"/>
        <v>0</v>
      </c>
      <c r="BF411" s="49">
        <f t="shared" ca="1" si="948"/>
        <v>0</v>
      </c>
      <c r="BG411" s="49">
        <f t="shared" ca="1" si="948"/>
        <v>0</v>
      </c>
      <c r="BH411" s="49">
        <f t="shared" ca="1" si="948"/>
        <v>0</v>
      </c>
      <c r="BI411" s="49">
        <f t="shared" ca="1" si="948"/>
        <v>0</v>
      </c>
      <c r="BJ411" s="49">
        <f t="shared" ca="1" si="948"/>
        <v>0</v>
      </c>
      <c r="BK411" s="49">
        <f t="shared" ca="1" si="948"/>
        <v>0</v>
      </c>
      <c r="BL411" s="49">
        <f t="shared" ca="1" si="948"/>
        <v>0</v>
      </c>
      <c r="BM411" s="49">
        <f t="shared" ca="1" si="948"/>
        <v>0</v>
      </c>
      <c r="BN411" s="49">
        <f t="shared" ca="1" si="948"/>
        <v>0</v>
      </c>
      <c r="BO411" s="49">
        <f t="shared" ca="1" si="948"/>
        <v>0</v>
      </c>
      <c r="BP411" s="49">
        <f t="shared" ca="1" si="948"/>
        <v>0</v>
      </c>
      <c r="BQ411" s="49">
        <f t="shared" ca="1" si="948"/>
        <v>0</v>
      </c>
      <c r="BR411" s="49">
        <f t="shared" ca="1" si="948"/>
        <v>0</v>
      </c>
      <c r="BS411" s="49">
        <f t="shared" ca="1" si="948"/>
        <v>0</v>
      </c>
    </row>
    <row r="412" spans="3:71" outlineLevel="1" x14ac:dyDescent="0.2"/>
    <row r="413" spans="3:71" outlineLevel="1" x14ac:dyDescent="0.2">
      <c r="C413" s="11" t="s">
        <v>303</v>
      </c>
      <c r="L413" s="66">
        <f t="shared" ref="L413:AQ413" ca="1" si="949">(K413+L411)*CA_op_trig</f>
        <v>-947.24902398808263</v>
      </c>
      <c r="M413" s="66">
        <f t="shared" ca="1" si="949"/>
        <v>-2762.7894445436395</v>
      </c>
      <c r="N413" s="66">
        <f t="shared" ca="1" si="949"/>
        <v>-5908.4753420536581</v>
      </c>
      <c r="O413" s="66">
        <f t="shared" ca="1" si="949"/>
        <v>-8608.2565152553325</v>
      </c>
      <c r="P413" s="66">
        <f t="shared" ca="1" si="949"/>
        <v>-9980.123725849282</v>
      </c>
      <c r="Q413" s="66">
        <f t="shared" ca="1" si="949"/>
        <v>-10245.074271640875</v>
      </c>
      <c r="R413" s="66">
        <f t="shared" ca="1" si="949"/>
        <v>-9923.2117287260062</v>
      </c>
      <c r="S413" s="66">
        <f t="shared" ca="1" si="949"/>
        <v>-9866.4553126937462</v>
      </c>
      <c r="T413" s="66">
        <f t="shared" ca="1" si="949"/>
        <v>-9615.1251049108778</v>
      </c>
      <c r="U413" s="66">
        <f t="shared" ca="1" si="949"/>
        <v>-9367.5426171120416</v>
      </c>
      <c r="V413" s="66">
        <f t="shared" ca="1" si="949"/>
        <v>-9150.2082859860657</v>
      </c>
      <c r="W413" s="66">
        <f t="shared" ca="1" si="949"/>
        <v>-8960.393833387312</v>
      </c>
      <c r="X413" s="66">
        <f t="shared" ca="1" si="949"/>
        <v>-8799.3901860575097</v>
      </c>
      <c r="Y413" s="66">
        <f t="shared" ca="1" si="949"/>
        <v>0</v>
      </c>
      <c r="Z413" s="66">
        <f t="shared" ca="1" si="949"/>
        <v>0</v>
      </c>
      <c r="AA413" s="66">
        <f t="shared" ca="1" si="949"/>
        <v>0</v>
      </c>
      <c r="AB413" s="66">
        <f t="shared" ca="1" si="949"/>
        <v>0</v>
      </c>
      <c r="AC413" s="66">
        <f t="shared" ca="1" si="949"/>
        <v>0</v>
      </c>
      <c r="AD413" s="66">
        <f t="shared" ca="1" si="949"/>
        <v>0</v>
      </c>
      <c r="AE413" s="66">
        <f t="shared" ca="1" si="949"/>
        <v>0</v>
      </c>
      <c r="AF413" s="66">
        <f t="shared" ca="1" si="949"/>
        <v>0</v>
      </c>
      <c r="AG413" s="66">
        <f t="shared" ca="1" si="949"/>
        <v>0</v>
      </c>
      <c r="AH413" s="66">
        <f t="shared" ca="1" si="949"/>
        <v>0</v>
      </c>
      <c r="AI413" s="66">
        <f t="shared" ca="1" si="949"/>
        <v>0</v>
      </c>
      <c r="AJ413" s="66">
        <f t="shared" ca="1" si="949"/>
        <v>0</v>
      </c>
      <c r="AK413" s="66">
        <f t="shared" ca="1" si="949"/>
        <v>0</v>
      </c>
      <c r="AL413" s="66">
        <f t="shared" ca="1" si="949"/>
        <v>0</v>
      </c>
      <c r="AM413" s="66">
        <f t="shared" ca="1" si="949"/>
        <v>0</v>
      </c>
      <c r="AN413" s="66">
        <f t="shared" ca="1" si="949"/>
        <v>0</v>
      </c>
      <c r="AO413" s="66">
        <f t="shared" ca="1" si="949"/>
        <v>0</v>
      </c>
      <c r="AP413" s="66">
        <f t="shared" ca="1" si="949"/>
        <v>0</v>
      </c>
      <c r="AQ413" s="66">
        <f t="shared" ca="1" si="949"/>
        <v>0</v>
      </c>
      <c r="AR413" s="66">
        <f t="shared" ref="AR413:BS413" ca="1" si="950">(AQ413+AR411)*CA_op_trig</f>
        <v>0</v>
      </c>
      <c r="AS413" s="66">
        <f t="shared" ca="1" si="950"/>
        <v>0</v>
      </c>
      <c r="AT413" s="66">
        <f t="shared" ca="1" si="950"/>
        <v>0</v>
      </c>
      <c r="AU413" s="66">
        <f t="shared" ca="1" si="950"/>
        <v>0</v>
      </c>
      <c r="AV413" s="66">
        <f t="shared" ca="1" si="950"/>
        <v>0</v>
      </c>
      <c r="AW413" s="66">
        <f t="shared" ca="1" si="950"/>
        <v>0</v>
      </c>
      <c r="AX413" s="66">
        <f t="shared" ca="1" si="950"/>
        <v>0</v>
      </c>
      <c r="AY413" s="66">
        <f t="shared" ca="1" si="950"/>
        <v>0</v>
      </c>
      <c r="AZ413" s="66">
        <f t="shared" ca="1" si="950"/>
        <v>0</v>
      </c>
      <c r="BA413" s="66">
        <f t="shared" ca="1" si="950"/>
        <v>0</v>
      </c>
      <c r="BB413" s="66">
        <f t="shared" ca="1" si="950"/>
        <v>0</v>
      </c>
      <c r="BC413" s="66">
        <f t="shared" ca="1" si="950"/>
        <v>0</v>
      </c>
      <c r="BD413" s="66">
        <f t="shared" ca="1" si="950"/>
        <v>0</v>
      </c>
      <c r="BE413" s="66">
        <f t="shared" ca="1" si="950"/>
        <v>0</v>
      </c>
      <c r="BF413" s="66">
        <f t="shared" ca="1" si="950"/>
        <v>0</v>
      </c>
      <c r="BG413" s="66">
        <f t="shared" ca="1" si="950"/>
        <v>0</v>
      </c>
      <c r="BH413" s="66">
        <f t="shared" ca="1" si="950"/>
        <v>0</v>
      </c>
      <c r="BI413" s="66">
        <f t="shared" ca="1" si="950"/>
        <v>0</v>
      </c>
      <c r="BJ413" s="66">
        <f t="shared" ca="1" si="950"/>
        <v>0</v>
      </c>
      <c r="BK413" s="66">
        <f t="shared" ca="1" si="950"/>
        <v>0</v>
      </c>
      <c r="BL413" s="66">
        <f t="shared" ca="1" si="950"/>
        <v>0</v>
      </c>
      <c r="BM413" s="66">
        <f t="shared" ca="1" si="950"/>
        <v>0</v>
      </c>
      <c r="BN413" s="66">
        <f t="shared" ca="1" si="950"/>
        <v>0</v>
      </c>
      <c r="BO413" s="66">
        <f t="shared" ca="1" si="950"/>
        <v>0</v>
      </c>
      <c r="BP413" s="66">
        <f t="shared" ca="1" si="950"/>
        <v>0</v>
      </c>
      <c r="BQ413" s="66">
        <f t="shared" ca="1" si="950"/>
        <v>0</v>
      </c>
      <c r="BR413" s="66">
        <f t="shared" ca="1" si="950"/>
        <v>0</v>
      </c>
      <c r="BS413" s="66">
        <f t="shared" ca="1" si="950"/>
        <v>0</v>
      </c>
    </row>
    <row r="414" spans="3:71" outlineLevel="1" x14ac:dyDescent="0.2"/>
    <row r="415" spans="3:71" outlineLevel="1" x14ac:dyDescent="0.2">
      <c r="C415" s="11" t="s">
        <v>284</v>
      </c>
      <c r="G415" s="60"/>
      <c r="I415" s="63">
        <f ca="1">SUMPRODUCT(OA_cont_ATCF_mwafi,CA_disc_factor_fc)</f>
        <v>-7334.7089005272073</v>
      </c>
      <c r="J415" s="26" t="s">
        <v>148</v>
      </c>
    </row>
    <row r="416" spans="3:71" outlineLevel="1" x14ac:dyDescent="0.2">
      <c r="C416" s="11" t="s">
        <v>285</v>
      </c>
      <c r="I416" s="63">
        <f ca="1">SUMPRODUCT(OA_cont_ATCF_mwafi,CA_disc_factor_pf)</f>
        <v>841.67384124554701</v>
      </c>
      <c r="J416" s="26" t="s">
        <v>148</v>
      </c>
    </row>
    <row r="417" spans="1:71" outlineLevel="1" x14ac:dyDescent="0.2">
      <c r="I417" s="61"/>
    </row>
    <row r="418" spans="1:71" outlineLevel="1" x14ac:dyDescent="0.2">
      <c r="C418" s="11" t="s">
        <v>286</v>
      </c>
      <c r="I418" s="62" t="str">
        <f ca="1">IFERROR(IRR(INDEX(OA_cont_ATCF_mwafi,1,MAX(1,$G$360-L4+1)):INDEX(OA_cont_ATCF_mwafi,1,last_model_year)),"na")</f>
        <v>na</v>
      </c>
      <c r="J418" s="26" t="s">
        <v>90</v>
      </c>
    </row>
    <row r="419" spans="1:71" outlineLevel="1" x14ac:dyDescent="0.2">
      <c r="C419" s="11" t="s">
        <v>287</v>
      </c>
      <c r="I419" s="62" t="str">
        <f ca="1">IFERROR(IRR(INDEX(OA_cont_ATCF_mwafi,1,MAX(1,$G$361-L4+1)):INDEX(OA_cont_ATCF_mwafi,1,last_model_year)),"na")</f>
        <v>na</v>
      </c>
      <c r="J419" s="26" t="s">
        <v>90</v>
      </c>
    </row>
    <row r="420" spans="1:71" outlineLevel="1" x14ac:dyDescent="0.2"/>
    <row r="421" spans="1:71" outlineLevel="1" x14ac:dyDescent="0.2">
      <c r="C421" s="11" t="s">
        <v>304</v>
      </c>
      <c r="I421" s="67">
        <f ca="1">COUNTIF(L413:BS413,"&lt;0")+1</f>
        <v>14</v>
      </c>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c r="BF421" s="7"/>
      <c r="BG421" s="7"/>
      <c r="BH421" s="7"/>
      <c r="BI421" s="7"/>
      <c r="BJ421" s="7"/>
      <c r="BK421" s="7"/>
      <c r="BL421" s="7"/>
      <c r="BM421" s="7"/>
      <c r="BN421" s="7"/>
      <c r="BO421" s="7"/>
      <c r="BP421" s="7"/>
      <c r="BQ421" s="7"/>
      <c r="BR421" s="7"/>
      <c r="BS421" s="7"/>
    </row>
    <row r="422" spans="1:71" outlineLevel="1" x14ac:dyDescent="0.2"/>
    <row r="423" spans="1:71" outlineLevel="1" x14ac:dyDescent="0.2"/>
    <row r="424" spans="1:71" outlineLevel="1" x14ac:dyDescent="0.2"/>
    <row r="425" spans="1:71" outlineLevel="1" x14ac:dyDescent="0.2">
      <c r="A425" s="45"/>
      <c r="B425" s="38" t="s">
        <v>353</v>
      </c>
      <c r="C425" s="45"/>
      <c r="D425" s="45"/>
      <c r="E425" s="45"/>
    </row>
    <row r="426" spans="1:71" outlineLevel="1" x14ac:dyDescent="0.2"/>
    <row r="427" spans="1:71" outlineLevel="1" x14ac:dyDescent="0.2">
      <c r="C427" s="11" t="s">
        <v>354</v>
      </c>
      <c r="I427" s="30">
        <f t="shared" ref="I427:I430" ca="1" si="951">SUM($L427:$BS427)</f>
        <v>-7479.481658148884</v>
      </c>
      <c r="J427" s="26" t="s">
        <v>148</v>
      </c>
      <c r="L427" s="49" cm="1">
        <f t="array" aca="1" ref="L427:BS427" ca="1">OA_cont_ATCF_mwafi*CA_IOC_WI</f>
        <v>-805.16167038987021</v>
      </c>
      <c r="M427" s="49">
        <f ca="1"/>
        <v>-1543.2093574722232</v>
      </c>
      <c r="N427" s="49">
        <f ca="1"/>
        <v>-2673.8330128835155</v>
      </c>
      <c r="O427" s="49">
        <f ca="1"/>
        <v>-2294.8139972214235</v>
      </c>
      <c r="P427" s="49">
        <f ca="1"/>
        <v>-1166.0871290048569</v>
      </c>
      <c r="Q427" s="49">
        <f ca="1"/>
        <v>-225.20796392285465</v>
      </c>
      <c r="R427" s="49">
        <f ca="1"/>
        <v>273.58316147763816</v>
      </c>
      <c r="S427" s="49">
        <f ca="1"/>
        <v>48.242953627421009</v>
      </c>
      <c r="T427" s="49">
        <f ca="1"/>
        <v>213.63067661543894</v>
      </c>
      <c r="U427" s="49">
        <f ca="1"/>
        <v>210.44511462901048</v>
      </c>
      <c r="V427" s="49">
        <f ca="1"/>
        <v>184.73418145707933</v>
      </c>
      <c r="W427" s="49">
        <f ca="1"/>
        <v>161.3422847089399</v>
      </c>
      <c r="X427" s="49">
        <f ca="1"/>
        <v>136.85310023033179</v>
      </c>
      <c r="Y427" s="49">
        <f ca="1"/>
        <v>0</v>
      </c>
      <c r="Z427" s="49">
        <f ca="1"/>
        <v>0</v>
      </c>
      <c r="AA427" s="49">
        <f ca="1"/>
        <v>0</v>
      </c>
      <c r="AB427" s="49">
        <f ca="1"/>
        <v>0</v>
      </c>
      <c r="AC427" s="49">
        <f ca="1"/>
        <v>0</v>
      </c>
      <c r="AD427" s="49">
        <f ca="1"/>
        <v>0</v>
      </c>
      <c r="AE427" s="49">
        <f ca="1"/>
        <v>0</v>
      </c>
      <c r="AF427" s="49">
        <f ca="1"/>
        <v>0</v>
      </c>
      <c r="AG427" s="49">
        <f ca="1"/>
        <v>0</v>
      </c>
      <c r="AH427" s="49">
        <f ca="1"/>
        <v>0</v>
      </c>
      <c r="AI427" s="49">
        <f ca="1"/>
        <v>0</v>
      </c>
      <c r="AJ427" s="49">
        <f ca="1"/>
        <v>0</v>
      </c>
      <c r="AK427" s="49">
        <f ca="1"/>
        <v>0</v>
      </c>
      <c r="AL427" s="49">
        <f ca="1"/>
        <v>0</v>
      </c>
      <c r="AM427" s="49">
        <f ca="1"/>
        <v>0</v>
      </c>
      <c r="AN427" s="49">
        <f ca="1"/>
        <v>0</v>
      </c>
      <c r="AO427" s="49">
        <f ca="1"/>
        <v>0</v>
      </c>
      <c r="AP427" s="49">
        <f ca="1"/>
        <v>0</v>
      </c>
      <c r="AQ427" s="49">
        <f ca="1"/>
        <v>0</v>
      </c>
      <c r="AR427" s="49">
        <f ca="1"/>
        <v>0</v>
      </c>
      <c r="AS427" s="49">
        <f ca="1"/>
        <v>0</v>
      </c>
      <c r="AT427" s="49">
        <f ca="1"/>
        <v>0</v>
      </c>
      <c r="AU427" s="49">
        <f ca="1"/>
        <v>0</v>
      </c>
      <c r="AV427" s="49">
        <f ca="1"/>
        <v>0</v>
      </c>
      <c r="AW427" s="49">
        <f ca="1"/>
        <v>0</v>
      </c>
      <c r="AX427" s="49">
        <f ca="1"/>
        <v>0</v>
      </c>
      <c r="AY427" s="49">
        <f ca="1"/>
        <v>0</v>
      </c>
      <c r="AZ427" s="49">
        <f ca="1"/>
        <v>0</v>
      </c>
      <c r="BA427" s="49">
        <f ca="1"/>
        <v>0</v>
      </c>
      <c r="BB427" s="49">
        <f ca="1"/>
        <v>0</v>
      </c>
      <c r="BC427" s="49">
        <f ca="1"/>
        <v>0</v>
      </c>
      <c r="BD427" s="49">
        <f ca="1"/>
        <v>0</v>
      </c>
      <c r="BE427" s="49">
        <f ca="1"/>
        <v>0</v>
      </c>
      <c r="BF427" s="49">
        <f ca="1"/>
        <v>0</v>
      </c>
      <c r="BG427" s="49">
        <f ca="1"/>
        <v>0</v>
      </c>
      <c r="BH427" s="49">
        <f ca="1"/>
        <v>0</v>
      </c>
      <c r="BI427" s="49">
        <f ca="1"/>
        <v>0</v>
      </c>
      <c r="BJ427" s="49">
        <f ca="1"/>
        <v>0</v>
      </c>
      <c r="BK427" s="49">
        <f ca="1"/>
        <v>0</v>
      </c>
      <c r="BL427" s="49">
        <f ca="1"/>
        <v>0</v>
      </c>
      <c r="BM427" s="49">
        <f ca="1"/>
        <v>0</v>
      </c>
      <c r="BN427" s="49">
        <f ca="1"/>
        <v>0</v>
      </c>
      <c r="BO427" s="49">
        <f ca="1"/>
        <v>0</v>
      </c>
      <c r="BP427" s="49">
        <f ca="1"/>
        <v>0</v>
      </c>
      <c r="BQ427" s="49">
        <f ca="1"/>
        <v>0</v>
      </c>
      <c r="BR427" s="49">
        <f ca="1"/>
        <v>0</v>
      </c>
      <c r="BS427" s="49">
        <f ca="1"/>
        <v>0</v>
      </c>
    </row>
    <row r="428" spans="1:71" outlineLevel="1" x14ac:dyDescent="0.2">
      <c r="C428" s="11" t="s">
        <v>355</v>
      </c>
      <c r="I428" s="30">
        <f t="shared" ca="1" si="951"/>
        <v>-1637.03865</v>
      </c>
      <c r="J428" s="26" t="s">
        <v>148</v>
      </c>
      <c r="L428" s="49" cm="1">
        <f t="array" aca="1" ref="L428:BS428" ca="1">-CA_NOC_carried_costs</f>
        <v>-193.01729999999998</v>
      </c>
      <c r="M428" s="49">
        <f ca="1"/>
        <v>-317.73179999999996</v>
      </c>
      <c r="N428" s="49">
        <f ca="1"/>
        <v>-469.58609999999999</v>
      </c>
      <c r="O428" s="49">
        <f ca="1"/>
        <v>-385.68014999999997</v>
      </c>
      <c r="P428" s="49">
        <f ca="1"/>
        <v>-172.98479999999998</v>
      </c>
      <c r="Q428" s="49">
        <f ca="1"/>
        <v>-98.038499999999999</v>
      </c>
      <c r="R428" s="49">
        <f ca="1"/>
        <v>0</v>
      </c>
      <c r="S428" s="49">
        <f ca="1"/>
        <v>0</v>
      </c>
      <c r="T428" s="49">
        <f ca="1"/>
        <v>0</v>
      </c>
      <c r="U428" s="49">
        <f ca="1"/>
        <v>0</v>
      </c>
      <c r="V428" s="49">
        <f ca="1"/>
        <v>0</v>
      </c>
      <c r="W428" s="49">
        <f ca="1"/>
        <v>0</v>
      </c>
      <c r="X428" s="49">
        <f ca="1"/>
        <v>0</v>
      </c>
      <c r="Y428" s="49">
        <f ca="1"/>
        <v>0</v>
      </c>
      <c r="Z428" s="49">
        <f ca="1"/>
        <v>0</v>
      </c>
      <c r="AA428" s="49">
        <f ca="1"/>
        <v>0</v>
      </c>
      <c r="AB428" s="49">
        <f ca="1"/>
        <v>0</v>
      </c>
      <c r="AC428" s="49">
        <f ca="1"/>
        <v>0</v>
      </c>
      <c r="AD428" s="49">
        <f ca="1"/>
        <v>0</v>
      </c>
      <c r="AE428" s="49">
        <f ca="1"/>
        <v>0</v>
      </c>
      <c r="AF428" s="49">
        <f ca="1"/>
        <v>0</v>
      </c>
      <c r="AG428" s="49">
        <f ca="1"/>
        <v>0</v>
      </c>
      <c r="AH428" s="49">
        <f ca="1"/>
        <v>0</v>
      </c>
      <c r="AI428" s="49">
        <f ca="1"/>
        <v>0</v>
      </c>
      <c r="AJ428" s="49">
        <f ca="1"/>
        <v>0</v>
      </c>
      <c r="AK428" s="49">
        <f ca="1"/>
        <v>0</v>
      </c>
      <c r="AL428" s="49">
        <f ca="1"/>
        <v>0</v>
      </c>
      <c r="AM428" s="49">
        <f ca="1"/>
        <v>0</v>
      </c>
      <c r="AN428" s="49">
        <f ca="1"/>
        <v>0</v>
      </c>
      <c r="AO428" s="49">
        <f ca="1"/>
        <v>0</v>
      </c>
      <c r="AP428" s="49">
        <f ca="1"/>
        <v>0</v>
      </c>
      <c r="AQ428" s="49">
        <f ca="1"/>
        <v>0</v>
      </c>
      <c r="AR428" s="49">
        <f ca="1"/>
        <v>0</v>
      </c>
      <c r="AS428" s="49">
        <f ca="1"/>
        <v>0</v>
      </c>
      <c r="AT428" s="49">
        <f ca="1"/>
        <v>0</v>
      </c>
      <c r="AU428" s="49">
        <f ca="1"/>
        <v>0</v>
      </c>
      <c r="AV428" s="49">
        <f ca="1"/>
        <v>0</v>
      </c>
      <c r="AW428" s="49">
        <f ca="1"/>
        <v>0</v>
      </c>
      <c r="AX428" s="49">
        <f ca="1"/>
        <v>0</v>
      </c>
      <c r="AY428" s="49">
        <f ca="1"/>
        <v>0</v>
      </c>
      <c r="AZ428" s="49">
        <f ca="1"/>
        <v>0</v>
      </c>
      <c r="BA428" s="49">
        <f ca="1"/>
        <v>0</v>
      </c>
      <c r="BB428" s="49">
        <f ca="1"/>
        <v>0</v>
      </c>
      <c r="BC428" s="49">
        <f ca="1"/>
        <v>0</v>
      </c>
      <c r="BD428" s="49">
        <f ca="1"/>
        <v>0</v>
      </c>
      <c r="BE428" s="49">
        <f ca="1"/>
        <v>0</v>
      </c>
      <c r="BF428" s="49">
        <f ca="1"/>
        <v>0</v>
      </c>
      <c r="BG428" s="49">
        <f ca="1"/>
        <v>0</v>
      </c>
      <c r="BH428" s="49">
        <f ca="1"/>
        <v>0</v>
      </c>
      <c r="BI428" s="49">
        <f ca="1"/>
        <v>0</v>
      </c>
      <c r="BJ428" s="49">
        <f ca="1"/>
        <v>0</v>
      </c>
      <c r="BK428" s="49">
        <f ca="1"/>
        <v>0</v>
      </c>
      <c r="BL428" s="49">
        <f ca="1"/>
        <v>0</v>
      </c>
      <c r="BM428" s="49">
        <f ca="1"/>
        <v>0</v>
      </c>
      <c r="BN428" s="49">
        <f ca="1"/>
        <v>0</v>
      </c>
      <c r="BO428" s="49">
        <f ca="1"/>
        <v>0</v>
      </c>
      <c r="BP428" s="49">
        <f ca="1"/>
        <v>0</v>
      </c>
      <c r="BQ428" s="49">
        <f ca="1"/>
        <v>0</v>
      </c>
      <c r="BR428" s="49">
        <f ca="1"/>
        <v>0</v>
      </c>
      <c r="BS428" s="49">
        <f ca="1"/>
        <v>0</v>
      </c>
    </row>
    <row r="429" spans="1:71" outlineLevel="1" x14ac:dyDescent="0.2">
      <c r="C429" s="11" t="s">
        <v>327</v>
      </c>
      <c r="I429" s="30">
        <f t="shared" ca="1" si="951"/>
        <v>645.00252891955881</v>
      </c>
      <c r="J429" s="26" t="s">
        <v>148</v>
      </c>
      <c r="L429" s="49" cm="1">
        <f t="array" aca="1" ref="L429:BS429" ca="1">-CA_NOC_carry_payback</f>
        <v>55.698226968937327</v>
      </c>
      <c r="M429" s="49">
        <f ca="1"/>
        <v>55.533941909771869</v>
      </c>
      <c r="N429" s="49">
        <f ca="1"/>
        <v>13.867056695249131</v>
      </c>
      <c r="O429" s="49">
        <f ca="1"/>
        <v>12.917886190881621</v>
      </c>
      <c r="P429" s="49">
        <f ca="1"/>
        <v>36.579060265503358</v>
      </c>
      <c r="Q429" s="49">
        <f ca="1"/>
        <v>72.710863073136821</v>
      </c>
      <c r="R429" s="49">
        <f ca="1"/>
        <v>69.4046082994155</v>
      </c>
      <c r="S429" s="49">
        <f ca="1"/>
        <v>39.460295921559748</v>
      </c>
      <c r="T429" s="49">
        <f ca="1"/>
        <v>61.479283504706267</v>
      </c>
      <c r="U429" s="49">
        <f ca="1"/>
        <v>61.371701413135398</v>
      </c>
      <c r="V429" s="49">
        <f ca="1"/>
        <v>58.217195960500227</v>
      </c>
      <c r="W429" s="49">
        <f ca="1"/>
        <v>55.376132997961008</v>
      </c>
      <c r="X429" s="49">
        <f ca="1"/>
        <v>52.386275718800604</v>
      </c>
      <c r="Y429" s="49">
        <f ca="1"/>
        <v>0</v>
      </c>
      <c r="Z429" s="49">
        <f ca="1"/>
        <v>0</v>
      </c>
      <c r="AA429" s="49">
        <f ca="1"/>
        <v>0</v>
      </c>
      <c r="AB429" s="49">
        <f ca="1"/>
        <v>0</v>
      </c>
      <c r="AC429" s="49">
        <f ca="1"/>
        <v>0</v>
      </c>
      <c r="AD429" s="49">
        <f ca="1"/>
        <v>0</v>
      </c>
      <c r="AE429" s="49">
        <f ca="1"/>
        <v>0</v>
      </c>
      <c r="AF429" s="49">
        <f ca="1"/>
        <v>0</v>
      </c>
      <c r="AG429" s="49">
        <f ca="1"/>
        <v>0</v>
      </c>
      <c r="AH429" s="49">
        <f ca="1"/>
        <v>0</v>
      </c>
      <c r="AI429" s="49">
        <f ca="1"/>
        <v>0</v>
      </c>
      <c r="AJ429" s="49">
        <f ca="1"/>
        <v>0</v>
      </c>
      <c r="AK429" s="49">
        <f ca="1"/>
        <v>0</v>
      </c>
      <c r="AL429" s="49">
        <f ca="1"/>
        <v>0</v>
      </c>
      <c r="AM429" s="49">
        <f ca="1"/>
        <v>0</v>
      </c>
      <c r="AN429" s="49">
        <f ca="1"/>
        <v>0</v>
      </c>
      <c r="AO429" s="49">
        <f ca="1"/>
        <v>0</v>
      </c>
      <c r="AP429" s="49">
        <f ca="1"/>
        <v>0</v>
      </c>
      <c r="AQ429" s="49">
        <f ca="1"/>
        <v>0</v>
      </c>
      <c r="AR429" s="49">
        <f ca="1"/>
        <v>0</v>
      </c>
      <c r="AS429" s="49">
        <f ca="1"/>
        <v>0</v>
      </c>
      <c r="AT429" s="49">
        <f ca="1"/>
        <v>0</v>
      </c>
      <c r="AU429" s="49">
        <f ca="1"/>
        <v>0</v>
      </c>
      <c r="AV429" s="49">
        <f ca="1"/>
        <v>0</v>
      </c>
      <c r="AW429" s="49">
        <f ca="1"/>
        <v>0</v>
      </c>
      <c r="AX429" s="49">
        <f ca="1"/>
        <v>0</v>
      </c>
      <c r="AY429" s="49">
        <f ca="1"/>
        <v>0</v>
      </c>
      <c r="AZ429" s="49">
        <f ca="1"/>
        <v>0</v>
      </c>
      <c r="BA429" s="49">
        <f ca="1"/>
        <v>0</v>
      </c>
      <c r="BB429" s="49">
        <f ca="1"/>
        <v>0</v>
      </c>
      <c r="BC429" s="49">
        <f ca="1"/>
        <v>0</v>
      </c>
      <c r="BD429" s="49">
        <f ca="1"/>
        <v>0</v>
      </c>
      <c r="BE429" s="49">
        <f ca="1"/>
        <v>0</v>
      </c>
      <c r="BF429" s="49">
        <f ca="1"/>
        <v>0</v>
      </c>
      <c r="BG429" s="49">
        <f ca="1"/>
        <v>0</v>
      </c>
      <c r="BH429" s="49">
        <f ca="1"/>
        <v>0</v>
      </c>
      <c r="BI429" s="49">
        <f ca="1"/>
        <v>0</v>
      </c>
      <c r="BJ429" s="49">
        <f ca="1"/>
        <v>0</v>
      </c>
      <c r="BK429" s="49">
        <f ca="1"/>
        <v>0</v>
      </c>
      <c r="BL429" s="49">
        <f ca="1"/>
        <v>0</v>
      </c>
      <c r="BM429" s="49">
        <f ca="1"/>
        <v>0</v>
      </c>
      <c r="BN429" s="49">
        <f ca="1"/>
        <v>0</v>
      </c>
      <c r="BO429" s="49">
        <f ca="1"/>
        <v>0</v>
      </c>
      <c r="BP429" s="49">
        <f ca="1"/>
        <v>0</v>
      </c>
      <c r="BQ429" s="49">
        <f ca="1"/>
        <v>0</v>
      </c>
      <c r="BR429" s="49">
        <f ca="1"/>
        <v>0</v>
      </c>
      <c r="BS429" s="49">
        <f ca="1"/>
        <v>0</v>
      </c>
    </row>
    <row r="430" spans="1:71" outlineLevel="1" x14ac:dyDescent="0.2">
      <c r="C430" s="11" t="s">
        <v>356</v>
      </c>
      <c r="I430" s="30">
        <f t="shared" ca="1" si="951"/>
        <v>-8471.5177792293252</v>
      </c>
      <c r="J430" s="26" t="s">
        <v>148</v>
      </c>
      <c r="K430" s="7" t="s">
        <v>357</v>
      </c>
      <c r="L430" s="49">
        <f ca="1">SUM(L427:L429)</f>
        <v>-942.48074342093287</v>
      </c>
      <c r="M430" s="49">
        <f t="shared" ref="M430:BS430" ca="1" si="952">SUM(M427:M429)</f>
        <v>-1805.4072155624515</v>
      </c>
      <c r="N430" s="49">
        <f t="shared" ca="1" si="952"/>
        <v>-3129.5520561882663</v>
      </c>
      <c r="O430" s="49">
        <f t="shared" ca="1" si="952"/>
        <v>-2667.5762610305419</v>
      </c>
      <c r="P430" s="49">
        <f t="shared" ca="1" si="952"/>
        <v>-1302.4928687393535</v>
      </c>
      <c r="Q430" s="49">
        <f t="shared" ca="1" si="952"/>
        <v>-250.53560084971787</v>
      </c>
      <c r="R430" s="49">
        <f t="shared" ca="1" si="952"/>
        <v>342.98776977705364</v>
      </c>
      <c r="S430" s="49">
        <f t="shared" ca="1" si="952"/>
        <v>87.70324954898075</v>
      </c>
      <c r="T430" s="49">
        <f t="shared" ca="1" si="952"/>
        <v>275.10996012014522</v>
      </c>
      <c r="U430" s="49">
        <f t="shared" ca="1" si="952"/>
        <v>271.81681604214589</v>
      </c>
      <c r="V430" s="49">
        <f t="shared" ca="1" si="952"/>
        <v>242.95137741757955</v>
      </c>
      <c r="W430" s="49">
        <f t="shared" ca="1" si="952"/>
        <v>216.71841770690091</v>
      </c>
      <c r="X430" s="49">
        <f t="shared" ca="1" si="952"/>
        <v>189.23937594913241</v>
      </c>
      <c r="Y430" s="49">
        <f t="shared" ca="1" si="952"/>
        <v>0</v>
      </c>
      <c r="Z430" s="49">
        <f t="shared" ca="1" si="952"/>
        <v>0</v>
      </c>
      <c r="AA430" s="49">
        <f t="shared" ca="1" si="952"/>
        <v>0</v>
      </c>
      <c r="AB430" s="49">
        <f t="shared" ca="1" si="952"/>
        <v>0</v>
      </c>
      <c r="AC430" s="49">
        <f t="shared" ca="1" si="952"/>
        <v>0</v>
      </c>
      <c r="AD430" s="49">
        <f t="shared" ca="1" si="952"/>
        <v>0</v>
      </c>
      <c r="AE430" s="49">
        <f t="shared" ca="1" si="952"/>
        <v>0</v>
      </c>
      <c r="AF430" s="49">
        <f t="shared" ca="1" si="952"/>
        <v>0</v>
      </c>
      <c r="AG430" s="49">
        <f t="shared" ca="1" si="952"/>
        <v>0</v>
      </c>
      <c r="AH430" s="49">
        <f t="shared" ca="1" si="952"/>
        <v>0</v>
      </c>
      <c r="AI430" s="49">
        <f t="shared" ca="1" si="952"/>
        <v>0</v>
      </c>
      <c r="AJ430" s="49">
        <f t="shared" ca="1" si="952"/>
        <v>0</v>
      </c>
      <c r="AK430" s="49">
        <f t="shared" ca="1" si="952"/>
        <v>0</v>
      </c>
      <c r="AL430" s="49">
        <f t="shared" ca="1" si="952"/>
        <v>0</v>
      </c>
      <c r="AM430" s="49">
        <f t="shared" ca="1" si="952"/>
        <v>0</v>
      </c>
      <c r="AN430" s="49">
        <f t="shared" ca="1" si="952"/>
        <v>0</v>
      </c>
      <c r="AO430" s="49">
        <f t="shared" ca="1" si="952"/>
        <v>0</v>
      </c>
      <c r="AP430" s="49">
        <f t="shared" ca="1" si="952"/>
        <v>0</v>
      </c>
      <c r="AQ430" s="49">
        <f t="shared" ca="1" si="952"/>
        <v>0</v>
      </c>
      <c r="AR430" s="49">
        <f t="shared" ca="1" si="952"/>
        <v>0</v>
      </c>
      <c r="AS430" s="49">
        <f t="shared" ca="1" si="952"/>
        <v>0</v>
      </c>
      <c r="AT430" s="49">
        <f t="shared" ca="1" si="952"/>
        <v>0</v>
      </c>
      <c r="AU430" s="49">
        <f t="shared" ca="1" si="952"/>
        <v>0</v>
      </c>
      <c r="AV430" s="49">
        <f t="shared" ca="1" si="952"/>
        <v>0</v>
      </c>
      <c r="AW430" s="49">
        <f t="shared" ca="1" si="952"/>
        <v>0</v>
      </c>
      <c r="AX430" s="49">
        <f t="shared" ca="1" si="952"/>
        <v>0</v>
      </c>
      <c r="AY430" s="49">
        <f t="shared" ca="1" si="952"/>
        <v>0</v>
      </c>
      <c r="AZ430" s="49">
        <f t="shared" ca="1" si="952"/>
        <v>0</v>
      </c>
      <c r="BA430" s="49">
        <f t="shared" ca="1" si="952"/>
        <v>0</v>
      </c>
      <c r="BB430" s="49">
        <f t="shared" ca="1" si="952"/>
        <v>0</v>
      </c>
      <c r="BC430" s="49">
        <f t="shared" ca="1" si="952"/>
        <v>0</v>
      </c>
      <c r="BD430" s="49">
        <f t="shared" ca="1" si="952"/>
        <v>0</v>
      </c>
      <c r="BE430" s="49">
        <f t="shared" ca="1" si="952"/>
        <v>0</v>
      </c>
      <c r="BF430" s="49">
        <f t="shared" ca="1" si="952"/>
        <v>0</v>
      </c>
      <c r="BG430" s="49">
        <f t="shared" ca="1" si="952"/>
        <v>0</v>
      </c>
      <c r="BH430" s="49">
        <f t="shared" ca="1" si="952"/>
        <v>0</v>
      </c>
      <c r="BI430" s="49">
        <f t="shared" ca="1" si="952"/>
        <v>0</v>
      </c>
      <c r="BJ430" s="49">
        <f t="shared" ca="1" si="952"/>
        <v>0</v>
      </c>
      <c r="BK430" s="49">
        <f t="shared" ca="1" si="952"/>
        <v>0</v>
      </c>
      <c r="BL430" s="49">
        <f t="shared" ca="1" si="952"/>
        <v>0</v>
      </c>
      <c r="BM430" s="49">
        <f t="shared" ca="1" si="952"/>
        <v>0</v>
      </c>
      <c r="BN430" s="49">
        <f t="shared" ca="1" si="952"/>
        <v>0</v>
      </c>
      <c r="BO430" s="49">
        <f t="shared" ca="1" si="952"/>
        <v>0</v>
      </c>
      <c r="BP430" s="49">
        <f t="shared" ca="1" si="952"/>
        <v>0</v>
      </c>
      <c r="BQ430" s="49">
        <f t="shared" ca="1" si="952"/>
        <v>0</v>
      </c>
      <c r="BR430" s="49">
        <f t="shared" ca="1" si="952"/>
        <v>0</v>
      </c>
      <c r="BS430" s="49">
        <f t="shared" ca="1" si="952"/>
        <v>0</v>
      </c>
    </row>
    <row r="431" spans="1:71" outlineLevel="1" x14ac:dyDescent="0.2"/>
    <row r="432" spans="1:71" outlineLevel="1" x14ac:dyDescent="0.2">
      <c r="C432" s="11" t="s">
        <v>303</v>
      </c>
      <c r="L432" s="66">
        <f t="shared" ref="L432" ca="1" si="953">(K432+L430)*CA_op_trig</f>
        <v>-942.48074342093287</v>
      </c>
      <c r="M432" s="66">
        <f t="shared" ref="M432" ca="1" si="954">(L432+M430)*CA_op_trig</f>
        <v>-2747.8879589833841</v>
      </c>
      <c r="N432" s="66">
        <f t="shared" ref="N432" ca="1" si="955">(M432+N430)*CA_op_trig</f>
        <v>-5877.4400151716509</v>
      </c>
      <c r="O432" s="66">
        <f t="shared" ref="O432" ca="1" si="956">(N432+O430)*CA_op_trig</f>
        <v>-8545.0162762021937</v>
      </c>
      <c r="P432" s="66">
        <f t="shared" ref="P432" ca="1" si="957">(O432+P430)*CA_op_trig</f>
        <v>-9847.5091449415468</v>
      </c>
      <c r="Q432" s="66">
        <f t="shared" ref="Q432" ca="1" si="958">(P432+Q430)*CA_op_trig</f>
        <v>-10098.044745791265</v>
      </c>
      <c r="R432" s="66">
        <f t="shared" ref="R432" ca="1" si="959">(Q432+R430)*CA_op_trig</f>
        <v>-9755.0569760142116</v>
      </c>
      <c r="S432" s="66">
        <f t="shared" ref="S432" ca="1" si="960">(R432+S430)*CA_op_trig</f>
        <v>-9667.3537264652314</v>
      </c>
      <c r="T432" s="66">
        <f t="shared" ref="T432" ca="1" si="961">(S432+T430)*CA_op_trig</f>
        <v>-9392.2437663450855</v>
      </c>
      <c r="U432" s="66">
        <f t="shared" ref="U432" ca="1" si="962">(T432+U430)*CA_op_trig</f>
        <v>-9120.4269503029391</v>
      </c>
      <c r="V432" s="66">
        <f t="shared" ref="V432" ca="1" si="963">(U432+V430)*CA_op_trig</f>
        <v>-8877.4755728853597</v>
      </c>
      <c r="W432" s="66">
        <f t="shared" ref="W432" ca="1" si="964">(V432+W430)*CA_op_trig</f>
        <v>-8660.7571551784586</v>
      </c>
      <c r="X432" s="66">
        <f t="shared" ref="X432" ca="1" si="965">(W432+X430)*CA_op_trig</f>
        <v>-8471.5177792293252</v>
      </c>
      <c r="Y432" s="66">
        <f t="shared" ref="Y432" ca="1" si="966">(X432+Y430)*CA_op_trig</f>
        <v>0</v>
      </c>
      <c r="Z432" s="66">
        <f t="shared" ref="Z432" ca="1" si="967">(Y432+Z430)*CA_op_trig</f>
        <v>0</v>
      </c>
      <c r="AA432" s="66">
        <f t="shared" ref="AA432" ca="1" si="968">(Z432+AA430)*CA_op_trig</f>
        <v>0</v>
      </c>
      <c r="AB432" s="66">
        <f t="shared" ref="AB432" ca="1" si="969">(AA432+AB430)*CA_op_trig</f>
        <v>0</v>
      </c>
      <c r="AC432" s="66">
        <f t="shared" ref="AC432" ca="1" si="970">(AB432+AC430)*CA_op_trig</f>
        <v>0</v>
      </c>
      <c r="AD432" s="66">
        <f t="shared" ref="AD432" ca="1" si="971">(AC432+AD430)*CA_op_trig</f>
        <v>0</v>
      </c>
      <c r="AE432" s="66">
        <f t="shared" ref="AE432" ca="1" si="972">(AD432+AE430)*CA_op_trig</f>
        <v>0</v>
      </c>
      <c r="AF432" s="66">
        <f t="shared" ref="AF432" ca="1" si="973">(AE432+AF430)*CA_op_trig</f>
        <v>0</v>
      </c>
      <c r="AG432" s="66">
        <f t="shared" ref="AG432" ca="1" si="974">(AF432+AG430)*CA_op_trig</f>
        <v>0</v>
      </c>
      <c r="AH432" s="66">
        <f t="shared" ref="AH432" ca="1" si="975">(AG432+AH430)*CA_op_trig</f>
        <v>0</v>
      </c>
      <c r="AI432" s="66">
        <f t="shared" ref="AI432" ca="1" si="976">(AH432+AI430)*CA_op_trig</f>
        <v>0</v>
      </c>
      <c r="AJ432" s="66">
        <f t="shared" ref="AJ432" ca="1" si="977">(AI432+AJ430)*CA_op_trig</f>
        <v>0</v>
      </c>
      <c r="AK432" s="66">
        <f t="shared" ref="AK432" ca="1" si="978">(AJ432+AK430)*CA_op_trig</f>
        <v>0</v>
      </c>
      <c r="AL432" s="66">
        <f t="shared" ref="AL432" ca="1" si="979">(AK432+AL430)*CA_op_trig</f>
        <v>0</v>
      </c>
      <c r="AM432" s="66">
        <f t="shared" ref="AM432" ca="1" si="980">(AL432+AM430)*CA_op_trig</f>
        <v>0</v>
      </c>
      <c r="AN432" s="66">
        <f t="shared" ref="AN432" ca="1" si="981">(AM432+AN430)*CA_op_trig</f>
        <v>0</v>
      </c>
      <c r="AO432" s="66">
        <f t="shared" ref="AO432" ca="1" si="982">(AN432+AO430)*CA_op_trig</f>
        <v>0</v>
      </c>
      <c r="AP432" s="66">
        <f t="shared" ref="AP432" ca="1" si="983">(AO432+AP430)*CA_op_trig</f>
        <v>0</v>
      </c>
      <c r="AQ432" s="66">
        <f t="shared" ref="AQ432" ca="1" si="984">(AP432+AQ430)*CA_op_trig</f>
        <v>0</v>
      </c>
      <c r="AR432" s="66">
        <f t="shared" ref="AR432" ca="1" si="985">(AQ432+AR430)*CA_op_trig</f>
        <v>0</v>
      </c>
      <c r="AS432" s="66">
        <f t="shared" ref="AS432" ca="1" si="986">(AR432+AS430)*CA_op_trig</f>
        <v>0</v>
      </c>
      <c r="AT432" s="66">
        <f t="shared" ref="AT432" ca="1" si="987">(AS432+AT430)*CA_op_trig</f>
        <v>0</v>
      </c>
      <c r="AU432" s="66">
        <f t="shared" ref="AU432" ca="1" si="988">(AT432+AU430)*CA_op_trig</f>
        <v>0</v>
      </c>
      <c r="AV432" s="66">
        <f t="shared" ref="AV432" ca="1" si="989">(AU432+AV430)*CA_op_trig</f>
        <v>0</v>
      </c>
      <c r="AW432" s="66">
        <f t="shared" ref="AW432" ca="1" si="990">(AV432+AW430)*CA_op_trig</f>
        <v>0</v>
      </c>
      <c r="AX432" s="66">
        <f t="shared" ref="AX432" ca="1" si="991">(AW432+AX430)*CA_op_trig</f>
        <v>0</v>
      </c>
      <c r="AY432" s="66">
        <f t="shared" ref="AY432" ca="1" si="992">(AX432+AY430)*CA_op_trig</f>
        <v>0</v>
      </c>
      <c r="AZ432" s="66">
        <f t="shared" ref="AZ432" ca="1" si="993">(AY432+AZ430)*CA_op_trig</f>
        <v>0</v>
      </c>
      <c r="BA432" s="66">
        <f t="shared" ref="BA432" ca="1" si="994">(AZ432+BA430)*CA_op_trig</f>
        <v>0</v>
      </c>
      <c r="BB432" s="66">
        <f t="shared" ref="BB432" ca="1" si="995">(BA432+BB430)*CA_op_trig</f>
        <v>0</v>
      </c>
      <c r="BC432" s="66">
        <f t="shared" ref="BC432" ca="1" si="996">(BB432+BC430)*CA_op_trig</f>
        <v>0</v>
      </c>
      <c r="BD432" s="66">
        <f t="shared" ref="BD432" ca="1" si="997">(BC432+BD430)*CA_op_trig</f>
        <v>0</v>
      </c>
      <c r="BE432" s="66">
        <f t="shared" ref="BE432" ca="1" si="998">(BD432+BE430)*CA_op_trig</f>
        <v>0</v>
      </c>
      <c r="BF432" s="66">
        <f t="shared" ref="BF432" ca="1" si="999">(BE432+BF430)*CA_op_trig</f>
        <v>0</v>
      </c>
      <c r="BG432" s="66">
        <f t="shared" ref="BG432" ca="1" si="1000">(BF432+BG430)*CA_op_trig</f>
        <v>0</v>
      </c>
      <c r="BH432" s="66">
        <f t="shared" ref="BH432" ca="1" si="1001">(BG432+BH430)*CA_op_trig</f>
        <v>0</v>
      </c>
      <c r="BI432" s="66">
        <f t="shared" ref="BI432" ca="1" si="1002">(BH432+BI430)*CA_op_trig</f>
        <v>0</v>
      </c>
      <c r="BJ432" s="66">
        <f t="shared" ref="BJ432" ca="1" si="1003">(BI432+BJ430)*CA_op_trig</f>
        <v>0</v>
      </c>
      <c r="BK432" s="66">
        <f t="shared" ref="BK432" ca="1" si="1004">(BJ432+BK430)*CA_op_trig</f>
        <v>0</v>
      </c>
      <c r="BL432" s="66">
        <f t="shared" ref="BL432" ca="1" si="1005">(BK432+BL430)*CA_op_trig</f>
        <v>0</v>
      </c>
      <c r="BM432" s="66">
        <f t="shared" ref="BM432" ca="1" si="1006">(BL432+BM430)*CA_op_trig</f>
        <v>0</v>
      </c>
      <c r="BN432" s="66">
        <f t="shared" ref="BN432" ca="1" si="1007">(BM432+BN430)*CA_op_trig</f>
        <v>0</v>
      </c>
      <c r="BO432" s="66">
        <f t="shared" ref="BO432" ca="1" si="1008">(BN432+BO430)*CA_op_trig</f>
        <v>0</v>
      </c>
      <c r="BP432" s="66">
        <f t="shared" ref="BP432" ca="1" si="1009">(BO432+BP430)*CA_op_trig</f>
        <v>0</v>
      </c>
      <c r="BQ432" s="66">
        <f t="shared" ref="BQ432" ca="1" si="1010">(BP432+BQ430)*CA_op_trig</f>
        <v>0</v>
      </c>
      <c r="BR432" s="66">
        <f t="shared" ref="BR432" ca="1" si="1011">(BQ432+BR430)*CA_op_trig</f>
        <v>0</v>
      </c>
      <c r="BS432" s="66">
        <f t="shared" ref="BS432" ca="1" si="1012">(BR432+BS430)*CA_op_trig</f>
        <v>0</v>
      </c>
    </row>
    <row r="433" spans="1:71" outlineLevel="1" x14ac:dyDescent="0.2"/>
    <row r="434" spans="1:71" outlineLevel="1" x14ac:dyDescent="0.2">
      <c r="C434" s="11" t="s">
        <v>284</v>
      </c>
      <c r="G434" s="60"/>
      <c r="I434" s="63">
        <f ca="1">SUMPRODUCT(OA_IOC_ATCF_mwafi,CA_disc_factor_fc)</f>
        <v>-7158.0098193122149</v>
      </c>
      <c r="J434" s="26" t="s">
        <v>148</v>
      </c>
    </row>
    <row r="435" spans="1:71" outlineLevel="1" x14ac:dyDescent="0.2">
      <c r="C435" s="11" t="s">
        <v>285</v>
      </c>
      <c r="I435" s="63">
        <f ca="1">SUMPRODUCT(OA_IOC_ATCF_mwafi,CA_disc_factor_pf)</f>
        <v>963.47636325565634</v>
      </c>
      <c r="J435" s="26" t="s">
        <v>148</v>
      </c>
    </row>
    <row r="436" spans="1:71" outlineLevel="1" x14ac:dyDescent="0.2">
      <c r="I436" s="61"/>
    </row>
    <row r="437" spans="1:71" outlineLevel="1" x14ac:dyDescent="0.2">
      <c r="C437" s="11" t="s">
        <v>286</v>
      </c>
      <c r="I437" s="62">
        <f ca="1">IFERROR(IRR(INDEX(OA_IOC_ATCF_mwafi,1,MAX(1,$G$360-L4+1)):INDEX(OA_IOC_ATCF_mwafi,1,last_model_year)),"na")</f>
        <v>-0.23141089573206819</v>
      </c>
      <c r="J437" s="26" t="s">
        <v>90</v>
      </c>
    </row>
    <row r="438" spans="1:71" outlineLevel="1" x14ac:dyDescent="0.2">
      <c r="C438" s="11" t="s">
        <v>287</v>
      </c>
      <c r="I438" s="62" t="str">
        <f ca="1">IFERROR(IRR(INDEX(OA_IOC_ATCF_mwafi,1,MAX(1,$G$361-L4+1)):INDEX(OA_IOC_ATCF_mwafi,1,last_model_year)),"na")</f>
        <v>na</v>
      </c>
      <c r="J438" s="26" t="s">
        <v>90</v>
      </c>
    </row>
    <row r="439" spans="1:71" outlineLevel="1" x14ac:dyDescent="0.2"/>
    <row r="440" spans="1:71" outlineLevel="1" x14ac:dyDescent="0.2">
      <c r="C440" s="11" t="s">
        <v>304</v>
      </c>
      <c r="I440" s="67">
        <f ca="1">COUNTIF(L432:BS432,"&lt;0")+1</f>
        <v>14</v>
      </c>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c r="BF440" s="7"/>
      <c r="BG440" s="7"/>
      <c r="BH440" s="7"/>
      <c r="BI440" s="7"/>
      <c r="BJ440" s="7"/>
      <c r="BK440" s="7"/>
      <c r="BL440" s="7"/>
      <c r="BM440" s="7"/>
      <c r="BN440" s="7"/>
      <c r="BO440" s="7"/>
      <c r="BP440" s="7"/>
      <c r="BQ440" s="7"/>
      <c r="BR440" s="7"/>
      <c r="BS440" s="7"/>
    </row>
    <row r="441" spans="1:71" outlineLevel="1" x14ac:dyDescent="0.2"/>
    <row r="442" spans="1:71" outlineLevel="1" x14ac:dyDescent="0.2"/>
    <row r="443" spans="1:71" outlineLevel="1" x14ac:dyDescent="0.2">
      <c r="A443" s="45"/>
      <c r="B443" s="38" t="s">
        <v>290</v>
      </c>
      <c r="C443" s="45"/>
      <c r="D443" s="45"/>
      <c r="E443" s="45"/>
    </row>
    <row r="444" spans="1:71" outlineLevel="1" x14ac:dyDescent="0.2"/>
    <row r="445" spans="1:71" outlineLevel="1" x14ac:dyDescent="0.2">
      <c r="C445" s="11" t="s">
        <v>267</v>
      </c>
    </row>
    <row r="446" spans="1:71" outlineLevel="1" x14ac:dyDescent="0.2">
      <c r="D446" t="s">
        <v>267</v>
      </c>
      <c r="I446" s="30">
        <f t="shared" ref="I446:I452" ca="1" si="1013">SUM($L446:$BS446)</f>
        <v>860.00337189274524</v>
      </c>
      <c r="J446" s="26" t="s">
        <v>148</v>
      </c>
      <c r="L446" s="49" cm="1">
        <f t="array" aca="1" ref="L446:BS446" ca="1">(CA_ent_rev_gas+CA_ent_rev_oil)*CA_NOC_WI</f>
        <v>74.264302625249769</v>
      </c>
      <c r="M446" s="49">
        <f ca="1"/>
        <v>74.04525587969583</v>
      </c>
      <c r="N446" s="49">
        <f ca="1"/>
        <v>18.489408926998841</v>
      </c>
      <c r="O446" s="49">
        <f ca="1"/>
        <v>17.223848254508827</v>
      </c>
      <c r="P446" s="49">
        <f ca="1"/>
        <v>48.77208035400448</v>
      </c>
      <c r="Q446" s="49">
        <f ca="1"/>
        <v>96.947817430849099</v>
      </c>
      <c r="R446" s="49">
        <f ca="1"/>
        <v>92.539477732554005</v>
      </c>
      <c r="S446" s="49">
        <f ca="1"/>
        <v>52.613727895413</v>
      </c>
      <c r="T446" s="49">
        <f ca="1"/>
        <v>81.972378006275022</v>
      </c>
      <c r="U446" s="49">
        <f ca="1"/>
        <v>81.828935217513859</v>
      </c>
      <c r="V446" s="49">
        <f ca="1"/>
        <v>77.622927947333636</v>
      </c>
      <c r="W446" s="49">
        <f ca="1"/>
        <v>73.83484399728134</v>
      </c>
      <c r="X446" s="49">
        <f ca="1"/>
        <v>69.848367625067468</v>
      </c>
      <c r="Y446" s="49">
        <f ca="1"/>
        <v>0</v>
      </c>
      <c r="Z446" s="49">
        <f ca="1"/>
        <v>0</v>
      </c>
      <c r="AA446" s="49">
        <f ca="1"/>
        <v>0</v>
      </c>
      <c r="AB446" s="49">
        <f ca="1"/>
        <v>0</v>
      </c>
      <c r="AC446" s="49">
        <f ca="1"/>
        <v>0</v>
      </c>
      <c r="AD446" s="49">
        <f ca="1"/>
        <v>0</v>
      </c>
      <c r="AE446" s="49">
        <f ca="1"/>
        <v>0</v>
      </c>
      <c r="AF446" s="49">
        <f ca="1"/>
        <v>0</v>
      </c>
      <c r="AG446" s="49">
        <f ca="1"/>
        <v>0</v>
      </c>
      <c r="AH446" s="49">
        <f ca="1"/>
        <v>0</v>
      </c>
      <c r="AI446" s="49">
        <f ca="1"/>
        <v>0</v>
      </c>
      <c r="AJ446" s="49">
        <f ca="1"/>
        <v>0</v>
      </c>
      <c r="AK446" s="49">
        <f ca="1"/>
        <v>0</v>
      </c>
      <c r="AL446" s="49">
        <f ca="1"/>
        <v>0</v>
      </c>
      <c r="AM446" s="49">
        <f ca="1"/>
        <v>0</v>
      </c>
      <c r="AN446" s="49">
        <f ca="1"/>
        <v>0</v>
      </c>
      <c r="AO446" s="49">
        <f ca="1"/>
        <v>0</v>
      </c>
      <c r="AP446" s="49">
        <f ca="1"/>
        <v>0</v>
      </c>
      <c r="AQ446" s="49">
        <f ca="1"/>
        <v>0</v>
      </c>
      <c r="AR446" s="49">
        <f ca="1"/>
        <v>0</v>
      </c>
      <c r="AS446" s="49">
        <f ca="1"/>
        <v>0</v>
      </c>
      <c r="AT446" s="49">
        <f ca="1"/>
        <v>0</v>
      </c>
      <c r="AU446" s="49">
        <f ca="1"/>
        <v>0</v>
      </c>
      <c r="AV446" s="49">
        <f ca="1"/>
        <v>0</v>
      </c>
      <c r="AW446" s="49">
        <f ca="1"/>
        <v>0</v>
      </c>
      <c r="AX446" s="49">
        <f ca="1"/>
        <v>0</v>
      </c>
      <c r="AY446" s="49">
        <f ca="1"/>
        <v>0</v>
      </c>
      <c r="AZ446" s="49">
        <f ca="1"/>
        <v>0</v>
      </c>
      <c r="BA446" s="49">
        <f ca="1"/>
        <v>0</v>
      </c>
      <c r="BB446" s="49">
        <f ca="1"/>
        <v>0</v>
      </c>
      <c r="BC446" s="49">
        <f ca="1"/>
        <v>0</v>
      </c>
      <c r="BD446" s="49">
        <f ca="1"/>
        <v>0</v>
      </c>
      <c r="BE446" s="49">
        <f ca="1"/>
        <v>0</v>
      </c>
      <c r="BF446" s="49">
        <f ca="1"/>
        <v>0</v>
      </c>
      <c r="BG446" s="49">
        <f ca="1"/>
        <v>0</v>
      </c>
      <c r="BH446" s="49">
        <f ca="1"/>
        <v>0</v>
      </c>
      <c r="BI446" s="49">
        <f ca="1"/>
        <v>0</v>
      </c>
      <c r="BJ446" s="49">
        <f ca="1"/>
        <v>0</v>
      </c>
      <c r="BK446" s="49">
        <f ca="1"/>
        <v>0</v>
      </c>
      <c r="BL446" s="49">
        <f ca="1"/>
        <v>0</v>
      </c>
      <c r="BM446" s="49">
        <f ca="1"/>
        <v>0</v>
      </c>
      <c r="BN446" s="49">
        <f ca="1"/>
        <v>0</v>
      </c>
      <c r="BO446" s="49">
        <f ca="1"/>
        <v>0</v>
      </c>
      <c r="BP446" s="49">
        <f ca="1"/>
        <v>0</v>
      </c>
      <c r="BQ446" s="49">
        <f ca="1"/>
        <v>0</v>
      </c>
      <c r="BR446" s="49">
        <f ca="1"/>
        <v>0</v>
      </c>
      <c r="BS446" s="49">
        <f ca="1"/>
        <v>0</v>
      </c>
    </row>
    <row r="447" spans="1:71" outlineLevel="1" x14ac:dyDescent="0.2">
      <c r="D447" t="s">
        <v>335</v>
      </c>
      <c r="I447" s="30">
        <f t="shared" ca="1" si="1013"/>
        <v>-645.00252891955881</v>
      </c>
      <c r="J447" s="26" t="s">
        <v>148</v>
      </c>
      <c r="L447" s="49" cm="1">
        <f t="array" aca="1" ref="L447:BS447" ca="1">CA_NOC_carry_payback</f>
        <v>-55.698226968937327</v>
      </c>
      <c r="M447" s="49">
        <f ca="1"/>
        <v>-55.533941909771869</v>
      </c>
      <c r="N447" s="49">
        <f ca="1"/>
        <v>-13.867056695249131</v>
      </c>
      <c r="O447" s="49">
        <f ca="1"/>
        <v>-12.917886190881621</v>
      </c>
      <c r="P447" s="49">
        <f ca="1"/>
        <v>-36.579060265503358</v>
      </c>
      <c r="Q447" s="49">
        <f ca="1"/>
        <v>-72.710863073136821</v>
      </c>
      <c r="R447" s="49">
        <f ca="1"/>
        <v>-69.4046082994155</v>
      </c>
      <c r="S447" s="49">
        <f ca="1"/>
        <v>-39.460295921559748</v>
      </c>
      <c r="T447" s="49">
        <f ca="1"/>
        <v>-61.479283504706267</v>
      </c>
      <c r="U447" s="49">
        <f ca="1"/>
        <v>-61.371701413135398</v>
      </c>
      <c r="V447" s="49">
        <f ca="1"/>
        <v>-58.217195960500227</v>
      </c>
      <c r="W447" s="49">
        <f ca="1"/>
        <v>-55.376132997961008</v>
      </c>
      <c r="X447" s="49">
        <f ca="1"/>
        <v>-52.386275718800604</v>
      </c>
      <c r="Y447" s="49">
        <f ca="1"/>
        <v>0</v>
      </c>
      <c r="Z447" s="49">
        <f ca="1"/>
        <v>0</v>
      </c>
      <c r="AA447" s="49">
        <f ca="1"/>
        <v>0</v>
      </c>
      <c r="AB447" s="49">
        <f ca="1"/>
        <v>0</v>
      </c>
      <c r="AC447" s="49">
        <f ca="1"/>
        <v>0</v>
      </c>
      <c r="AD447" s="49">
        <f ca="1"/>
        <v>0</v>
      </c>
      <c r="AE447" s="49">
        <f ca="1"/>
        <v>0</v>
      </c>
      <c r="AF447" s="49">
        <f ca="1"/>
        <v>0</v>
      </c>
      <c r="AG447" s="49">
        <f ca="1"/>
        <v>0</v>
      </c>
      <c r="AH447" s="49">
        <f ca="1"/>
        <v>0</v>
      </c>
      <c r="AI447" s="49">
        <f ca="1"/>
        <v>0</v>
      </c>
      <c r="AJ447" s="49">
        <f ca="1"/>
        <v>0</v>
      </c>
      <c r="AK447" s="49">
        <f ca="1"/>
        <v>0</v>
      </c>
      <c r="AL447" s="49">
        <f ca="1"/>
        <v>0</v>
      </c>
      <c r="AM447" s="49">
        <f ca="1"/>
        <v>0</v>
      </c>
      <c r="AN447" s="49">
        <f ca="1"/>
        <v>0</v>
      </c>
      <c r="AO447" s="49">
        <f ca="1"/>
        <v>0</v>
      </c>
      <c r="AP447" s="49">
        <f ca="1"/>
        <v>0</v>
      </c>
      <c r="AQ447" s="49">
        <f ca="1"/>
        <v>0</v>
      </c>
      <c r="AR447" s="49">
        <f ca="1"/>
        <v>0</v>
      </c>
      <c r="AS447" s="49">
        <f ca="1"/>
        <v>0</v>
      </c>
      <c r="AT447" s="49">
        <f ca="1"/>
        <v>0</v>
      </c>
      <c r="AU447" s="49">
        <f ca="1"/>
        <v>0</v>
      </c>
      <c r="AV447" s="49">
        <f ca="1"/>
        <v>0</v>
      </c>
      <c r="AW447" s="49">
        <f ca="1"/>
        <v>0</v>
      </c>
      <c r="AX447" s="49">
        <f ca="1"/>
        <v>0</v>
      </c>
      <c r="AY447" s="49">
        <f ca="1"/>
        <v>0</v>
      </c>
      <c r="AZ447" s="49">
        <f ca="1"/>
        <v>0</v>
      </c>
      <c r="BA447" s="49">
        <f ca="1"/>
        <v>0</v>
      </c>
      <c r="BB447" s="49">
        <f ca="1"/>
        <v>0</v>
      </c>
      <c r="BC447" s="49">
        <f ca="1"/>
        <v>0</v>
      </c>
      <c r="BD447" s="49">
        <f ca="1"/>
        <v>0</v>
      </c>
      <c r="BE447" s="49">
        <f ca="1"/>
        <v>0</v>
      </c>
      <c r="BF447" s="49">
        <f ca="1"/>
        <v>0</v>
      </c>
      <c r="BG447" s="49">
        <f ca="1"/>
        <v>0</v>
      </c>
      <c r="BH447" s="49">
        <f ca="1"/>
        <v>0</v>
      </c>
      <c r="BI447" s="49">
        <f ca="1"/>
        <v>0</v>
      </c>
      <c r="BJ447" s="49">
        <f ca="1"/>
        <v>0</v>
      </c>
      <c r="BK447" s="49">
        <f ca="1"/>
        <v>0</v>
      </c>
      <c r="BL447" s="49">
        <f ca="1"/>
        <v>0</v>
      </c>
      <c r="BM447" s="49">
        <f ca="1"/>
        <v>0</v>
      </c>
      <c r="BN447" s="49">
        <f ca="1"/>
        <v>0</v>
      </c>
      <c r="BO447" s="49">
        <f ca="1"/>
        <v>0</v>
      </c>
      <c r="BP447" s="49">
        <f ca="1"/>
        <v>0</v>
      </c>
      <c r="BQ447" s="49">
        <f ca="1"/>
        <v>0</v>
      </c>
      <c r="BR447" s="49">
        <f ca="1"/>
        <v>0</v>
      </c>
      <c r="BS447" s="49">
        <f ca="1"/>
        <v>0</v>
      </c>
    </row>
    <row r="448" spans="1:71" outlineLevel="1" x14ac:dyDescent="0.2">
      <c r="D448" s="11" t="s">
        <v>270</v>
      </c>
      <c r="I448" s="30">
        <f t="shared" ca="1" si="1013"/>
        <v>215.00084297318628</v>
      </c>
      <c r="J448" s="26" t="s">
        <v>148</v>
      </c>
      <c r="L448" s="49">
        <f ca="1">SUM(L446:L447)</f>
        <v>18.566075656312442</v>
      </c>
      <c r="M448" s="49">
        <f t="shared" ref="M448" ca="1" si="1014">SUM(M446:M447)</f>
        <v>18.511313969923961</v>
      </c>
      <c r="N448" s="49">
        <f t="shared" ref="N448" ca="1" si="1015">SUM(N446:N447)</f>
        <v>4.6223522317497103</v>
      </c>
      <c r="O448" s="49">
        <f t="shared" ref="O448" ca="1" si="1016">SUM(O446:O447)</f>
        <v>4.3059620636272058</v>
      </c>
      <c r="P448" s="49">
        <f t="shared" ref="P448" ca="1" si="1017">SUM(P446:P447)</f>
        <v>12.193020088501122</v>
      </c>
      <c r="Q448" s="49">
        <f t="shared" ref="Q448" ca="1" si="1018">SUM(Q446:Q447)</f>
        <v>24.236954357712278</v>
      </c>
      <c r="R448" s="49">
        <f t="shared" ref="R448" ca="1" si="1019">SUM(R446:R447)</f>
        <v>23.134869433138505</v>
      </c>
      <c r="S448" s="49">
        <f t="shared" ref="S448" ca="1" si="1020">SUM(S446:S447)</f>
        <v>13.153431973853252</v>
      </c>
      <c r="T448" s="49">
        <f t="shared" ref="T448" ca="1" si="1021">SUM(T446:T447)</f>
        <v>20.493094501568756</v>
      </c>
      <c r="U448" s="49">
        <f t="shared" ref="U448" ca="1" si="1022">SUM(U446:U447)</f>
        <v>20.457233804378461</v>
      </c>
      <c r="V448" s="49">
        <f t="shared" ref="V448" ca="1" si="1023">SUM(V446:V447)</f>
        <v>19.405731986833409</v>
      </c>
      <c r="W448" s="49">
        <f t="shared" ref="W448" ca="1" si="1024">SUM(W446:W447)</f>
        <v>18.458710999320331</v>
      </c>
      <c r="X448" s="49">
        <f t="shared" ref="X448" ca="1" si="1025">SUM(X446:X447)</f>
        <v>17.462091906266863</v>
      </c>
      <c r="Y448" s="49">
        <f t="shared" ref="Y448" ca="1" si="1026">SUM(Y446:Y447)</f>
        <v>0</v>
      </c>
      <c r="Z448" s="49">
        <f t="shared" ref="Z448" ca="1" si="1027">SUM(Z446:Z447)</f>
        <v>0</v>
      </c>
      <c r="AA448" s="49">
        <f t="shared" ref="AA448" ca="1" si="1028">SUM(AA446:AA447)</f>
        <v>0</v>
      </c>
      <c r="AB448" s="49">
        <f t="shared" ref="AB448" ca="1" si="1029">SUM(AB446:AB447)</f>
        <v>0</v>
      </c>
      <c r="AC448" s="49">
        <f t="shared" ref="AC448" ca="1" si="1030">SUM(AC446:AC447)</f>
        <v>0</v>
      </c>
      <c r="AD448" s="49">
        <f t="shared" ref="AD448" ca="1" si="1031">SUM(AD446:AD447)</f>
        <v>0</v>
      </c>
      <c r="AE448" s="49">
        <f t="shared" ref="AE448" ca="1" si="1032">SUM(AE446:AE447)</f>
        <v>0</v>
      </c>
      <c r="AF448" s="49">
        <f t="shared" ref="AF448" ca="1" si="1033">SUM(AF446:AF447)</f>
        <v>0</v>
      </c>
      <c r="AG448" s="49">
        <f t="shared" ref="AG448" ca="1" si="1034">SUM(AG446:AG447)</f>
        <v>0</v>
      </c>
      <c r="AH448" s="49">
        <f t="shared" ref="AH448" ca="1" si="1035">SUM(AH446:AH447)</f>
        <v>0</v>
      </c>
      <c r="AI448" s="49">
        <f t="shared" ref="AI448" ca="1" si="1036">SUM(AI446:AI447)</f>
        <v>0</v>
      </c>
      <c r="AJ448" s="49">
        <f t="shared" ref="AJ448" ca="1" si="1037">SUM(AJ446:AJ447)</f>
        <v>0</v>
      </c>
      <c r="AK448" s="49">
        <f t="shared" ref="AK448" ca="1" si="1038">SUM(AK446:AK447)</f>
        <v>0</v>
      </c>
      <c r="AL448" s="49">
        <f t="shared" ref="AL448" ca="1" si="1039">SUM(AL446:AL447)</f>
        <v>0</v>
      </c>
      <c r="AM448" s="49">
        <f t="shared" ref="AM448" ca="1" si="1040">SUM(AM446:AM447)</f>
        <v>0</v>
      </c>
      <c r="AN448" s="49">
        <f t="shared" ref="AN448" ca="1" si="1041">SUM(AN446:AN447)</f>
        <v>0</v>
      </c>
      <c r="AO448" s="49">
        <f t="shared" ref="AO448" ca="1" si="1042">SUM(AO446:AO447)</f>
        <v>0</v>
      </c>
      <c r="AP448" s="49">
        <f t="shared" ref="AP448" ca="1" si="1043">SUM(AP446:AP447)</f>
        <v>0</v>
      </c>
      <c r="AQ448" s="49">
        <f t="shared" ref="AQ448" ca="1" si="1044">SUM(AQ446:AQ447)</f>
        <v>0</v>
      </c>
      <c r="AR448" s="49">
        <f t="shared" ref="AR448" ca="1" si="1045">SUM(AR446:AR447)</f>
        <v>0</v>
      </c>
      <c r="AS448" s="49">
        <f t="shared" ref="AS448" ca="1" si="1046">SUM(AS446:AS447)</f>
        <v>0</v>
      </c>
      <c r="AT448" s="49">
        <f t="shared" ref="AT448" ca="1" si="1047">SUM(AT446:AT447)</f>
        <v>0</v>
      </c>
      <c r="AU448" s="49">
        <f t="shared" ref="AU448" ca="1" si="1048">SUM(AU446:AU447)</f>
        <v>0</v>
      </c>
      <c r="AV448" s="49">
        <f t="shared" ref="AV448" ca="1" si="1049">SUM(AV446:AV447)</f>
        <v>0</v>
      </c>
      <c r="AW448" s="49">
        <f t="shared" ref="AW448" ca="1" si="1050">SUM(AW446:AW447)</f>
        <v>0</v>
      </c>
      <c r="AX448" s="49">
        <f t="shared" ref="AX448" ca="1" si="1051">SUM(AX446:AX447)</f>
        <v>0</v>
      </c>
      <c r="AY448" s="49">
        <f t="shared" ref="AY448" ca="1" si="1052">SUM(AY446:AY447)</f>
        <v>0</v>
      </c>
      <c r="AZ448" s="49">
        <f t="shared" ref="AZ448" ca="1" si="1053">SUM(AZ446:AZ447)</f>
        <v>0</v>
      </c>
      <c r="BA448" s="49">
        <f t="shared" ref="BA448" ca="1" si="1054">SUM(BA446:BA447)</f>
        <v>0</v>
      </c>
      <c r="BB448" s="49">
        <f t="shared" ref="BB448" ca="1" si="1055">SUM(BB446:BB447)</f>
        <v>0</v>
      </c>
      <c r="BC448" s="49">
        <f t="shared" ref="BC448" ca="1" si="1056">SUM(BC446:BC447)</f>
        <v>0</v>
      </c>
      <c r="BD448" s="49">
        <f t="shared" ref="BD448" ca="1" si="1057">SUM(BD446:BD447)</f>
        <v>0</v>
      </c>
      <c r="BE448" s="49">
        <f t="shared" ref="BE448" ca="1" si="1058">SUM(BE446:BE447)</f>
        <v>0</v>
      </c>
      <c r="BF448" s="49">
        <f t="shared" ref="BF448" ca="1" si="1059">SUM(BF446:BF447)</f>
        <v>0</v>
      </c>
      <c r="BG448" s="49">
        <f t="shared" ref="BG448" ca="1" si="1060">SUM(BG446:BG447)</f>
        <v>0</v>
      </c>
      <c r="BH448" s="49">
        <f t="shared" ref="BH448" ca="1" si="1061">SUM(BH446:BH447)</f>
        <v>0</v>
      </c>
      <c r="BI448" s="49">
        <f t="shared" ref="BI448" ca="1" si="1062">SUM(BI446:BI447)</f>
        <v>0</v>
      </c>
      <c r="BJ448" s="49">
        <f t="shared" ref="BJ448" ca="1" si="1063">SUM(BJ446:BJ447)</f>
        <v>0</v>
      </c>
      <c r="BK448" s="49">
        <f t="shared" ref="BK448" ca="1" si="1064">SUM(BK446:BK447)</f>
        <v>0</v>
      </c>
      <c r="BL448" s="49">
        <f t="shared" ref="BL448" ca="1" si="1065">SUM(BL446:BL447)</f>
        <v>0</v>
      </c>
      <c r="BM448" s="49">
        <f t="shared" ref="BM448" ca="1" si="1066">SUM(BM446:BM447)</f>
        <v>0</v>
      </c>
      <c r="BN448" s="49">
        <f t="shared" ref="BN448" ca="1" si="1067">SUM(BN446:BN447)</f>
        <v>0</v>
      </c>
      <c r="BO448" s="49">
        <f t="shared" ref="BO448" ca="1" si="1068">SUM(BO446:BO447)</f>
        <v>0</v>
      </c>
      <c r="BP448" s="49">
        <f t="shared" ref="BP448" ca="1" si="1069">SUM(BP446:BP447)</f>
        <v>0</v>
      </c>
      <c r="BQ448" s="49">
        <f t="shared" ref="BQ448" ca="1" si="1070">SUM(BQ446:BQ447)</f>
        <v>0</v>
      </c>
      <c r="BR448" s="49">
        <f t="shared" ref="BR448" ca="1" si="1071">SUM(BR446:BR447)</f>
        <v>0</v>
      </c>
      <c r="BS448" s="49">
        <f t="shared" ref="BS448" ca="1" si="1072">SUM(BS446:BS447)</f>
        <v>0</v>
      </c>
    </row>
    <row r="449" spans="3:71" outlineLevel="1" x14ac:dyDescent="0.2"/>
    <row r="450" spans="3:71" outlineLevel="1" x14ac:dyDescent="0.2">
      <c r="C450" s="11" t="s">
        <v>50</v>
      </c>
      <c r="I450" s="30">
        <f t="shared" ca="1" si="1013"/>
        <v>525.34775309279996</v>
      </c>
      <c r="J450" s="26" t="s">
        <v>148</v>
      </c>
      <c r="L450" s="49">
        <f t="shared" ref="L450:AQ450" ca="1" si="1073">(L397*CA_NOC_WI)-CA_NOC_CI_opex</f>
        <v>22.210349999999998</v>
      </c>
      <c r="M450" s="49">
        <f t="shared" ca="1" si="1073"/>
        <v>27.582749999999997</v>
      </c>
      <c r="N450" s="49">
        <f t="shared" ca="1" si="1073"/>
        <v>20.355599999999999</v>
      </c>
      <c r="O450" s="49">
        <f t="shared" ca="1" si="1073"/>
        <v>36.132749999999994</v>
      </c>
      <c r="P450" s="49">
        <f t="shared" ca="1" si="1073"/>
        <v>80.518499999999989</v>
      </c>
      <c r="Q450" s="49">
        <f t="shared" ca="1" si="1073"/>
        <v>36.567</v>
      </c>
      <c r="R450" s="49">
        <f t="shared" ca="1" si="1073"/>
        <v>42.27</v>
      </c>
      <c r="S450" s="49">
        <f t="shared" ca="1" si="1073"/>
        <v>42.945</v>
      </c>
      <c r="T450" s="49">
        <f t="shared" ca="1" si="1073"/>
        <v>42.51</v>
      </c>
      <c r="U450" s="49">
        <f t="shared" ca="1" si="1073"/>
        <v>42.931800000000003</v>
      </c>
      <c r="V450" s="49">
        <f t="shared" ca="1" si="1073"/>
        <v>43.353467999999999</v>
      </c>
      <c r="W450" s="49">
        <f t="shared" ca="1" si="1073"/>
        <v>43.774830000000001</v>
      </c>
      <c r="X450" s="49">
        <f t="shared" ca="1" si="1073"/>
        <v>44.195705092799997</v>
      </c>
      <c r="Y450" s="49">
        <f t="shared" ca="1" si="1073"/>
        <v>0</v>
      </c>
      <c r="Z450" s="49">
        <f t="shared" ca="1" si="1073"/>
        <v>0</v>
      </c>
      <c r="AA450" s="49">
        <f t="shared" ca="1" si="1073"/>
        <v>0</v>
      </c>
      <c r="AB450" s="49">
        <f t="shared" ca="1" si="1073"/>
        <v>0</v>
      </c>
      <c r="AC450" s="49">
        <f t="shared" ca="1" si="1073"/>
        <v>0</v>
      </c>
      <c r="AD450" s="49">
        <f t="shared" ca="1" si="1073"/>
        <v>0</v>
      </c>
      <c r="AE450" s="49">
        <f t="shared" ca="1" si="1073"/>
        <v>0</v>
      </c>
      <c r="AF450" s="49">
        <f t="shared" ca="1" si="1073"/>
        <v>0</v>
      </c>
      <c r="AG450" s="49">
        <f t="shared" ca="1" si="1073"/>
        <v>0</v>
      </c>
      <c r="AH450" s="49">
        <f t="shared" ca="1" si="1073"/>
        <v>0</v>
      </c>
      <c r="AI450" s="49">
        <f t="shared" ca="1" si="1073"/>
        <v>0</v>
      </c>
      <c r="AJ450" s="49">
        <f t="shared" ca="1" si="1073"/>
        <v>0</v>
      </c>
      <c r="AK450" s="49">
        <f t="shared" ca="1" si="1073"/>
        <v>0</v>
      </c>
      <c r="AL450" s="49">
        <f t="shared" ca="1" si="1073"/>
        <v>0</v>
      </c>
      <c r="AM450" s="49">
        <f t="shared" ca="1" si="1073"/>
        <v>0</v>
      </c>
      <c r="AN450" s="49">
        <f t="shared" ca="1" si="1073"/>
        <v>0</v>
      </c>
      <c r="AO450" s="49">
        <f t="shared" ca="1" si="1073"/>
        <v>0</v>
      </c>
      <c r="AP450" s="49">
        <f t="shared" ca="1" si="1073"/>
        <v>0</v>
      </c>
      <c r="AQ450" s="49">
        <f t="shared" ca="1" si="1073"/>
        <v>0</v>
      </c>
      <c r="AR450" s="49">
        <f t="shared" ref="AR450:BS450" ca="1" si="1074">(AR397*CA_NOC_WI)-CA_NOC_CI_opex</f>
        <v>0</v>
      </c>
      <c r="AS450" s="49">
        <f t="shared" ca="1" si="1074"/>
        <v>0</v>
      </c>
      <c r="AT450" s="49">
        <f t="shared" ca="1" si="1074"/>
        <v>0</v>
      </c>
      <c r="AU450" s="49">
        <f t="shared" ca="1" si="1074"/>
        <v>0</v>
      </c>
      <c r="AV450" s="49">
        <f t="shared" ca="1" si="1074"/>
        <v>0</v>
      </c>
      <c r="AW450" s="49">
        <f t="shared" ca="1" si="1074"/>
        <v>0</v>
      </c>
      <c r="AX450" s="49">
        <f t="shared" ca="1" si="1074"/>
        <v>0</v>
      </c>
      <c r="AY450" s="49">
        <f t="shared" ca="1" si="1074"/>
        <v>0</v>
      </c>
      <c r="AZ450" s="49">
        <f t="shared" ca="1" si="1074"/>
        <v>0</v>
      </c>
      <c r="BA450" s="49">
        <f t="shared" ca="1" si="1074"/>
        <v>0</v>
      </c>
      <c r="BB450" s="49">
        <f t="shared" ca="1" si="1074"/>
        <v>0</v>
      </c>
      <c r="BC450" s="49">
        <f t="shared" ca="1" si="1074"/>
        <v>0</v>
      </c>
      <c r="BD450" s="49">
        <f t="shared" ca="1" si="1074"/>
        <v>0</v>
      </c>
      <c r="BE450" s="49">
        <f t="shared" ca="1" si="1074"/>
        <v>0</v>
      </c>
      <c r="BF450" s="49">
        <f t="shared" ca="1" si="1074"/>
        <v>0</v>
      </c>
      <c r="BG450" s="49">
        <f t="shared" ca="1" si="1074"/>
        <v>0</v>
      </c>
      <c r="BH450" s="49">
        <f t="shared" ca="1" si="1074"/>
        <v>0</v>
      </c>
      <c r="BI450" s="49">
        <f t="shared" ca="1" si="1074"/>
        <v>0</v>
      </c>
      <c r="BJ450" s="49">
        <f t="shared" ca="1" si="1074"/>
        <v>0</v>
      </c>
      <c r="BK450" s="49">
        <f t="shared" ca="1" si="1074"/>
        <v>0</v>
      </c>
      <c r="BL450" s="49">
        <f t="shared" ca="1" si="1074"/>
        <v>0</v>
      </c>
      <c r="BM450" s="49">
        <f t="shared" ca="1" si="1074"/>
        <v>0</v>
      </c>
      <c r="BN450" s="49">
        <f t="shared" ca="1" si="1074"/>
        <v>0</v>
      </c>
      <c r="BO450" s="49">
        <f t="shared" ca="1" si="1074"/>
        <v>0</v>
      </c>
      <c r="BP450" s="49">
        <f t="shared" ca="1" si="1074"/>
        <v>0</v>
      </c>
      <c r="BQ450" s="49">
        <f t="shared" ca="1" si="1074"/>
        <v>0</v>
      </c>
      <c r="BR450" s="49">
        <f t="shared" ca="1" si="1074"/>
        <v>0</v>
      </c>
      <c r="BS450" s="49">
        <f t="shared" ca="1" si="1074"/>
        <v>0</v>
      </c>
    </row>
    <row r="451" spans="3:71" outlineLevel="1" x14ac:dyDescent="0.2"/>
    <row r="452" spans="3:71" outlineLevel="1" x14ac:dyDescent="0.2">
      <c r="C452" s="11" t="s">
        <v>271</v>
      </c>
      <c r="I452" s="30">
        <f t="shared" ca="1" si="1013"/>
        <v>17.52549670857195</v>
      </c>
      <c r="J452" s="26" t="s">
        <v>148</v>
      </c>
      <c r="L452" s="49">
        <f t="shared" ref="L452:AQ452" ca="1" si="1075">L399*CA_NOC_WI</f>
        <v>1.1240062234621782</v>
      </c>
      <c r="M452" s="49">
        <f t="shared" ca="1" si="1075"/>
        <v>1.0617689630293867</v>
      </c>
      <c r="N452" s="49">
        <f t="shared" ca="1" si="1075"/>
        <v>0.40059355350162507</v>
      </c>
      <c r="O452" s="49">
        <f t="shared" ca="1" si="1075"/>
        <v>0.37812423476005236</v>
      </c>
      <c r="P452" s="49">
        <f t="shared" ca="1" si="1075"/>
        <v>1.0488619430968704</v>
      </c>
      <c r="Q452" s="49">
        <f t="shared" ca="1" si="1075"/>
        <v>2.084899299588153</v>
      </c>
      <c r="R452" s="49">
        <f t="shared" ca="1" si="1075"/>
        <v>1.9900962953237418</v>
      </c>
      <c r="S452" s="49">
        <f t="shared" ca="1" si="1075"/>
        <v>1.1552654905740001</v>
      </c>
      <c r="T452" s="49">
        <f t="shared" ca="1" si="1075"/>
        <v>1.7628468388446239</v>
      </c>
      <c r="U452" s="49">
        <f t="shared" ca="1" si="1075"/>
        <v>1.7597620476884699</v>
      </c>
      <c r="V452" s="49">
        <f t="shared" ca="1" si="1075"/>
        <v>1.6693102784372824</v>
      </c>
      <c r="W452" s="49">
        <f t="shared" ca="1" si="1075"/>
        <v>1.5878461074684156</v>
      </c>
      <c r="X452" s="49">
        <f t="shared" ca="1" si="1075"/>
        <v>1.5021154327971498</v>
      </c>
      <c r="Y452" s="49">
        <f t="shared" ca="1" si="1075"/>
        <v>0</v>
      </c>
      <c r="Z452" s="49">
        <f t="shared" ca="1" si="1075"/>
        <v>0</v>
      </c>
      <c r="AA452" s="49">
        <f t="shared" ca="1" si="1075"/>
        <v>0</v>
      </c>
      <c r="AB452" s="49">
        <f t="shared" ca="1" si="1075"/>
        <v>0</v>
      </c>
      <c r="AC452" s="49">
        <f t="shared" ca="1" si="1075"/>
        <v>0</v>
      </c>
      <c r="AD452" s="49">
        <f t="shared" ca="1" si="1075"/>
        <v>0</v>
      </c>
      <c r="AE452" s="49">
        <f t="shared" ca="1" si="1075"/>
        <v>0</v>
      </c>
      <c r="AF452" s="49">
        <f t="shared" ca="1" si="1075"/>
        <v>0</v>
      </c>
      <c r="AG452" s="49">
        <f t="shared" ca="1" si="1075"/>
        <v>0</v>
      </c>
      <c r="AH452" s="49">
        <f t="shared" ca="1" si="1075"/>
        <v>0</v>
      </c>
      <c r="AI452" s="49">
        <f t="shared" ca="1" si="1075"/>
        <v>0</v>
      </c>
      <c r="AJ452" s="49">
        <f t="shared" ca="1" si="1075"/>
        <v>0</v>
      </c>
      <c r="AK452" s="49">
        <f t="shared" ca="1" si="1075"/>
        <v>0</v>
      </c>
      <c r="AL452" s="49">
        <f t="shared" ca="1" si="1075"/>
        <v>0</v>
      </c>
      <c r="AM452" s="49">
        <f t="shared" ca="1" si="1075"/>
        <v>0</v>
      </c>
      <c r="AN452" s="49">
        <f t="shared" ca="1" si="1075"/>
        <v>0</v>
      </c>
      <c r="AO452" s="49">
        <f t="shared" ca="1" si="1075"/>
        <v>0</v>
      </c>
      <c r="AP452" s="49">
        <f t="shared" ca="1" si="1075"/>
        <v>0</v>
      </c>
      <c r="AQ452" s="49">
        <f t="shared" ca="1" si="1075"/>
        <v>0</v>
      </c>
      <c r="AR452" s="49">
        <f t="shared" ref="AR452:BS452" ca="1" si="1076">AR399*CA_NOC_WI</f>
        <v>0</v>
      </c>
      <c r="AS452" s="49">
        <f t="shared" ca="1" si="1076"/>
        <v>0</v>
      </c>
      <c r="AT452" s="49">
        <f t="shared" ca="1" si="1076"/>
        <v>0</v>
      </c>
      <c r="AU452" s="49">
        <f t="shared" ca="1" si="1076"/>
        <v>0</v>
      </c>
      <c r="AV452" s="49">
        <f t="shared" ca="1" si="1076"/>
        <v>0</v>
      </c>
      <c r="AW452" s="49">
        <f t="shared" ca="1" si="1076"/>
        <v>0</v>
      </c>
      <c r="AX452" s="49">
        <f t="shared" ca="1" si="1076"/>
        <v>0</v>
      </c>
      <c r="AY452" s="49">
        <f t="shared" ca="1" si="1076"/>
        <v>0</v>
      </c>
      <c r="AZ452" s="49">
        <f t="shared" ca="1" si="1076"/>
        <v>0</v>
      </c>
      <c r="BA452" s="49">
        <f t="shared" ca="1" si="1076"/>
        <v>0</v>
      </c>
      <c r="BB452" s="49">
        <f t="shared" ca="1" si="1076"/>
        <v>0</v>
      </c>
      <c r="BC452" s="49">
        <f t="shared" ca="1" si="1076"/>
        <v>0</v>
      </c>
      <c r="BD452" s="49">
        <f t="shared" ca="1" si="1076"/>
        <v>0</v>
      </c>
      <c r="BE452" s="49">
        <f t="shared" ca="1" si="1076"/>
        <v>0</v>
      </c>
      <c r="BF452" s="49">
        <f t="shared" ca="1" si="1076"/>
        <v>0</v>
      </c>
      <c r="BG452" s="49">
        <f t="shared" ca="1" si="1076"/>
        <v>0</v>
      </c>
      <c r="BH452" s="49">
        <f t="shared" ca="1" si="1076"/>
        <v>0</v>
      </c>
      <c r="BI452" s="49">
        <f t="shared" ca="1" si="1076"/>
        <v>0</v>
      </c>
      <c r="BJ452" s="49">
        <f t="shared" ca="1" si="1076"/>
        <v>0</v>
      </c>
      <c r="BK452" s="49">
        <f t="shared" ca="1" si="1076"/>
        <v>0</v>
      </c>
      <c r="BL452" s="49">
        <f t="shared" ca="1" si="1076"/>
        <v>0</v>
      </c>
      <c r="BM452" s="49">
        <f t="shared" ca="1" si="1076"/>
        <v>0</v>
      </c>
      <c r="BN452" s="49">
        <f t="shared" ca="1" si="1076"/>
        <v>0</v>
      </c>
      <c r="BO452" s="49">
        <f t="shared" ca="1" si="1076"/>
        <v>0</v>
      </c>
      <c r="BP452" s="49">
        <f t="shared" ca="1" si="1076"/>
        <v>0</v>
      </c>
      <c r="BQ452" s="49">
        <f t="shared" ca="1" si="1076"/>
        <v>0</v>
      </c>
      <c r="BR452" s="49">
        <f t="shared" ca="1" si="1076"/>
        <v>0</v>
      </c>
      <c r="BS452" s="49">
        <f t="shared" ca="1" si="1076"/>
        <v>0</v>
      </c>
    </row>
    <row r="453" spans="3:71" outlineLevel="1" x14ac:dyDescent="0.2"/>
    <row r="454" spans="3:71" outlineLevel="1" x14ac:dyDescent="0.2">
      <c r="C454" s="11" t="s">
        <v>272</v>
      </c>
      <c r="I454" s="30">
        <f t="shared" ref="I454:I464" ca="1" si="1077">SUM($L454:$BS454)</f>
        <v>0</v>
      </c>
      <c r="J454" s="26" t="s">
        <v>148</v>
      </c>
      <c r="L454" s="49">
        <f t="shared" ref="L454:AQ454" ca="1" si="1078">L401*CA_NOC_WI</f>
        <v>0</v>
      </c>
      <c r="M454" s="49">
        <f t="shared" ca="1" si="1078"/>
        <v>0</v>
      </c>
      <c r="N454" s="49">
        <f t="shared" ca="1" si="1078"/>
        <v>0</v>
      </c>
      <c r="O454" s="49">
        <f t="shared" ca="1" si="1078"/>
        <v>0</v>
      </c>
      <c r="P454" s="49">
        <f t="shared" ca="1" si="1078"/>
        <v>0</v>
      </c>
      <c r="Q454" s="49">
        <f t="shared" ca="1" si="1078"/>
        <v>0</v>
      </c>
      <c r="R454" s="49">
        <f t="shared" ca="1" si="1078"/>
        <v>0</v>
      </c>
      <c r="S454" s="49">
        <f t="shared" ca="1" si="1078"/>
        <v>0</v>
      </c>
      <c r="T454" s="49">
        <f t="shared" ca="1" si="1078"/>
        <v>0</v>
      </c>
      <c r="U454" s="49">
        <f t="shared" ca="1" si="1078"/>
        <v>0</v>
      </c>
      <c r="V454" s="49">
        <f t="shared" ca="1" si="1078"/>
        <v>0</v>
      </c>
      <c r="W454" s="49">
        <f t="shared" ca="1" si="1078"/>
        <v>0</v>
      </c>
      <c r="X454" s="49">
        <f t="shared" ca="1" si="1078"/>
        <v>0</v>
      </c>
      <c r="Y454" s="49">
        <f t="shared" ca="1" si="1078"/>
        <v>0</v>
      </c>
      <c r="Z454" s="49">
        <f t="shared" ca="1" si="1078"/>
        <v>0</v>
      </c>
      <c r="AA454" s="49">
        <f t="shared" ca="1" si="1078"/>
        <v>0</v>
      </c>
      <c r="AB454" s="49">
        <f t="shared" ca="1" si="1078"/>
        <v>0</v>
      </c>
      <c r="AC454" s="49">
        <f t="shared" ca="1" si="1078"/>
        <v>0</v>
      </c>
      <c r="AD454" s="49">
        <f t="shared" ca="1" si="1078"/>
        <v>0</v>
      </c>
      <c r="AE454" s="49">
        <f t="shared" ca="1" si="1078"/>
        <v>0</v>
      </c>
      <c r="AF454" s="49">
        <f t="shared" ca="1" si="1078"/>
        <v>0</v>
      </c>
      <c r="AG454" s="49">
        <f t="shared" ca="1" si="1078"/>
        <v>0</v>
      </c>
      <c r="AH454" s="49">
        <f t="shared" ca="1" si="1078"/>
        <v>0</v>
      </c>
      <c r="AI454" s="49">
        <f t="shared" ca="1" si="1078"/>
        <v>0</v>
      </c>
      <c r="AJ454" s="49">
        <f t="shared" ca="1" si="1078"/>
        <v>0</v>
      </c>
      <c r="AK454" s="49">
        <f t="shared" ca="1" si="1078"/>
        <v>0</v>
      </c>
      <c r="AL454" s="49">
        <f t="shared" ca="1" si="1078"/>
        <v>0</v>
      </c>
      <c r="AM454" s="49">
        <f t="shared" ca="1" si="1078"/>
        <v>0</v>
      </c>
      <c r="AN454" s="49">
        <f t="shared" ca="1" si="1078"/>
        <v>0</v>
      </c>
      <c r="AO454" s="49">
        <f t="shared" ca="1" si="1078"/>
        <v>0</v>
      </c>
      <c r="AP454" s="49">
        <f t="shared" ca="1" si="1078"/>
        <v>0</v>
      </c>
      <c r="AQ454" s="49">
        <f t="shared" ca="1" si="1078"/>
        <v>0</v>
      </c>
      <c r="AR454" s="49">
        <f t="shared" ref="AR454:BS454" ca="1" si="1079">AR401*CA_NOC_WI</f>
        <v>0</v>
      </c>
      <c r="AS454" s="49">
        <f t="shared" ca="1" si="1079"/>
        <v>0</v>
      </c>
      <c r="AT454" s="49">
        <f t="shared" ca="1" si="1079"/>
        <v>0</v>
      </c>
      <c r="AU454" s="49">
        <f t="shared" ca="1" si="1079"/>
        <v>0</v>
      </c>
      <c r="AV454" s="49">
        <f t="shared" ca="1" si="1079"/>
        <v>0</v>
      </c>
      <c r="AW454" s="49">
        <f t="shared" ca="1" si="1079"/>
        <v>0</v>
      </c>
      <c r="AX454" s="49">
        <f t="shared" ca="1" si="1079"/>
        <v>0</v>
      </c>
      <c r="AY454" s="49">
        <f t="shared" ca="1" si="1079"/>
        <v>0</v>
      </c>
      <c r="AZ454" s="49">
        <f t="shared" ca="1" si="1079"/>
        <v>0</v>
      </c>
      <c r="BA454" s="49">
        <f t="shared" ca="1" si="1079"/>
        <v>0</v>
      </c>
      <c r="BB454" s="49">
        <f t="shared" ca="1" si="1079"/>
        <v>0</v>
      </c>
      <c r="BC454" s="49">
        <f t="shared" ca="1" si="1079"/>
        <v>0</v>
      </c>
      <c r="BD454" s="49">
        <f t="shared" ca="1" si="1079"/>
        <v>0</v>
      </c>
      <c r="BE454" s="49">
        <f t="shared" ca="1" si="1079"/>
        <v>0</v>
      </c>
      <c r="BF454" s="49">
        <f t="shared" ca="1" si="1079"/>
        <v>0</v>
      </c>
      <c r="BG454" s="49">
        <f t="shared" ca="1" si="1079"/>
        <v>0</v>
      </c>
      <c r="BH454" s="49">
        <f t="shared" ca="1" si="1079"/>
        <v>0</v>
      </c>
      <c r="BI454" s="49">
        <f t="shared" ca="1" si="1079"/>
        <v>0</v>
      </c>
      <c r="BJ454" s="49">
        <f t="shared" ca="1" si="1079"/>
        <v>0</v>
      </c>
      <c r="BK454" s="49">
        <f t="shared" ca="1" si="1079"/>
        <v>0</v>
      </c>
      <c r="BL454" s="49">
        <f t="shared" ca="1" si="1079"/>
        <v>0</v>
      </c>
      <c r="BM454" s="49">
        <f t="shared" ca="1" si="1079"/>
        <v>0</v>
      </c>
      <c r="BN454" s="49">
        <f t="shared" ca="1" si="1079"/>
        <v>0</v>
      </c>
      <c r="BO454" s="49">
        <f t="shared" ca="1" si="1079"/>
        <v>0</v>
      </c>
      <c r="BP454" s="49">
        <f t="shared" ca="1" si="1079"/>
        <v>0</v>
      </c>
      <c r="BQ454" s="49">
        <f t="shared" ca="1" si="1079"/>
        <v>0</v>
      </c>
      <c r="BR454" s="49">
        <f t="shared" ca="1" si="1079"/>
        <v>0</v>
      </c>
      <c r="BS454" s="49">
        <f t="shared" ca="1" si="1079"/>
        <v>0</v>
      </c>
    </row>
    <row r="455" spans="3:71" outlineLevel="1" x14ac:dyDescent="0.2"/>
    <row r="456" spans="3:71" outlineLevel="1" x14ac:dyDescent="0.2">
      <c r="C456" s="11" t="s">
        <v>273</v>
      </c>
      <c r="I456" s="30">
        <f t="shared" ca="1" si="1077"/>
        <v>0</v>
      </c>
      <c r="J456" s="26" t="s">
        <v>148</v>
      </c>
      <c r="L456" s="49">
        <f t="shared" ref="L456:AQ456" ca="1" si="1080">L403*(CA_NOC_WI)-(CA_NOC_CI_devex+CA_NOC_CI_expex)</f>
        <v>0</v>
      </c>
      <c r="M456" s="49">
        <f t="shared" ca="1" si="1080"/>
        <v>0</v>
      </c>
      <c r="N456" s="49">
        <f t="shared" ca="1" si="1080"/>
        <v>0</v>
      </c>
      <c r="O456" s="49">
        <f t="shared" ca="1" si="1080"/>
        <v>0</v>
      </c>
      <c r="P456" s="49">
        <f t="shared" ca="1" si="1080"/>
        <v>0</v>
      </c>
      <c r="Q456" s="49">
        <f t="shared" ca="1" si="1080"/>
        <v>0</v>
      </c>
      <c r="R456" s="49">
        <f t="shared" ca="1" si="1080"/>
        <v>0</v>
      </c>
      <c r="S456" s="49">
        <f t="shared" ca="1" si="1080"/>
        <v>0</v>
      </c>
      <c r="T456" s="49">
        <f t="shared" ca="1" si="1080"/>
        <v>0</v>
      </c>
      <c r="U456" s="49">
        <f t="shared" ca="1" si="1080"/>
        <v>0</v>
      </c>
      <c r="V456" s="49">
        <f t="shared" ca="1" si="1080"/>
        <v>0</v>
      </c>
      <c r="W456" s="49">
        <f t="shared" ca="1" si="1080"/>
        <v>0</v>
      </c>
      <c r="X456" s="49">
        <f t="shared" ca="1" si="1080"/>
        <v>0</v>
      </c>
      <c r="Y456" s="49">
        <f t="shared" ca="1" si="1080"/>
        <v>0</v>
      </c>
      <c r="Z456" s="49">
        <f t="shared" ca="1" si="1080"/>
        <v>0</v>
      </c>
      <c r="AA456" s="49">
        <f t="shared" ca="1" si="1080"/>
        <v>0</v>
      </c>
      <c r="AB456" s="49">
        <f t="shared" ca="1" si="1080"/>
        <v>0</v>
      </c>
      <c r="AC456" s="49">
        <f t="shared" ca="1" si="1080"/>
        <v>0</v>
      </c>
      <c r="AD456" s="49">
        <f t="shared" ca="1" si="1080"/>
        <v>0</v>
      </c>
      <c r="AE456" s="49">
        <f t="shared" ca="1" si="1080"/>
        <v>0</v>
      </c>
      <c r="AF456" s="49">
        <f t="shared" ca="1" si="1080"/>
        <v>0</v>
      </c>
      <c r="AG456" s="49">
        <f t="shared" ca="1" si="1080"/>
        <v>0</v>
      </c>
      <c r="AH456" s="49">
        <f t="shared" ca="1" si="1080"/>
        <v>0</v>
      </c>
      <c r="AI456" s="49">
        <f t="shared" ca="1" si="1080"/>
        <v>0</v>
      </c>
      <c r="AJ456" s="49">
        <f t="shared" ca="1" si="1080"/>
        <v>0</v>
      </c>
      <c r="AK456" s="49">
        <f t="shared" ca="1" si="1080"/>
        <v>0</v>
      </c>
      <c r="AL456" s="49">
        <f t="shared" ca="1" si="1080"/>
        <v>0</v>
      </c>
      <c r="AM456" s="49">
        <f t="shared" ca="1" si="1080"/>
        <v>0</v>
      </c>
      <c r="AN456" s="49">
        <f t="shared" ca="1" si="1080"/>
        <v>0</v>
      </c>
      <c r="AO456" s="49">
        <f t="shared" ca="1" si="1080"/>
        <v>0</v>
      </c>
      <c r="AP456" s="49">
        <f t="shared" ca="1" si="1080"/>
        <v>0</v>
      </c>
      <c r="AQ456" s="49">
        <f t="shared" ca="1" si="1080"/>
        <v>0</v>
      </c>
      <c r="AR456" s="49">
        <f t="shared" ref="AR456:BS456" ca="1" si="1081">AR403*(CA_NOC_WI)-(CA_NOC_CI_devex+CA_NOC_CI_expex)</f>
        <v>0</v>
      </c>
      <c r="AS456" s="49">
        <f t="shared" ca="1" si="1081"/>
        <v>0</v>
      </c>
      <c r="AT456" s="49">
        <f t="shared" ca="1" si="1081"/>
        <v>0</v>
      </c>
      <c r="AU456" s="49">
        <f t="shared" ca="1" si="1081"/>
        <v>0</v>
      </c>
      <c r="AV456" s="49">
        <f t="shared" ca="1" si="1081"/>
        <v>0</v>
      </c>
      <c r="AW456" s="49">
        <f t="shared" ca="1" si="1081"/>
        <v>0</v>
      </c>
      <c r="AX456" s="49">
        <f t="shared" ca="1" si="1081"/>
        <v>0</v>
      </c>
      <c r="AY456" s="49">
        <f t="shared" ca="1" si="1081"/>
        <v>0</v>
      </c>
      <c r="AZ456" s="49">
        <f t="shared" ca="1" si="1081"/>
        <v>0</v>
      </c>
      <c r="BA456" s="49">
        <f t="shared" ca="1" si="1081"/>
        <v>0</v>
      </c>
      <c r="BB456" s="49">
        <f t="shared" ca="1" si="1081"/>
        <v>0</v>
      </c>
      <c r="BC456" s="49">
        <f t="shared" ca="1" si="1081"/>
        <v>0</v>
      </c>
      <c r="BD456" s="49">
        <f t="shared" ca="1" si="1081"/>
        <v>0</v>
      </c>
      <c r="BE456" s="49">
        <f t="shared" ca="1" si="1081"/>
        <v>0</v>
      </c>
      <c r="BF456" s="49">
        <f t="shared" ca="1" si="1081"/>
        <v>0</v>
      </c>
      <c r="BG456" s="49">
        <f t="shared" ca="1" si="1081"/>
        <v>0</v>
      </c>
      <c r="BH456" s="49">
        <f t="shared" ca="1" si="1081"/>
        <v>0</v>
      </c>
      <c r="BI456" s="49">
        <f t="shared" ca="1" si="1081"/>
        <v>0</v>
      </c>
      <c r="BJ456" s="49">
        <f t="shared" ca="1" si="1081"/>
        <v>0</v>
      </c>
      <c r="BK456" s="49">
        <f t="shared" ca="1" si="1081"/>
        <v>0</v>
      </c>
      <c r="BL456" s="49">
        <f t="shared" ca="1" si="1081"/>
        <v>0</v>
      </c>
      <c r="BM456" s="49">
        <f t="shared" ca="1" si="1081"/>
        <v>0</v>
      </c>
      <c r="BN456" s="49">
        <f t="shared" ca="1" si="1081"/>
        <v>0</v>
      </c>
      <c r="BO456" s="49">
        <f t="shared" ca="1" si="1081"/>
        <v>0</v>
      </c>
      <c r="BP456" s="49">
        <f t="shared" ca="1" si="1081"/>
        <v>0</v>
      </c>
      <c r="BQ456" s="49">
        <f t="shared" ca="1" si="1081"/>
        <v>0</v>
      </c>
      <c r="BR456" s="49">
        <f t="shared" ca="1" si="1081"/>
        <v>0</v>
      </c>
      <c r="BS456" s="49">
        <f t="shared" ca="1" si="1081"/>
        <v>0</v>
      </c>
    </row>
    <row r="457" spans="3:71" outlineLevel="1" x14ac:dyDescent="0.2"/>
    <row r="458" spans="3:71" outlineLevel="1" x14ac:dyDescent="0.2">
      <c r="C458" s="11" t="s">
        <v>264</v>
      </c>
      <c r="I458" s="30">
        <f t="shared" ca="1" si="1077"/>
        <v>0</v>
      </c>
      <c r="J458" s="26" t="s">
        <v>148</v>
      </c>
      <c r="L458" s="49">
        <f t="shared" ref="L458:AQ458" ca="1" si="1082">L405*CA_NOC_WI</f>
        <v>0</v>
      </c>
      <c r="M458" s="49">
        <f t="shared" ca="1" si="1082"/>
        <v>0</v>
      </c>
      <c r="N458" s="49">
        <f t="shared" ca="1" si="1082"/>
        <v>0</v>
      </c>
      <c r="O458" s="49">
        <f t="shared" ca="1" si="1082"/>
        <v>0</v>
      </c>
      <c r="P458" s="49">
        <f t="shared" ca="1" si="1082"/>
        <v>0</v>
      </c>
      <c r="Q458" s="49">
        <f t="shared" ca="1" si="1082"/>
        <v>0</v>
      </c>
      <c r="R458" s="49">
        <f t="shared" ca="1" si="1082"/>
        <v>0</v>
      </c>
      <c r="S458" s="49">
        <f t="shared" ca="1" si="1082"/>
        <v>0</v>
      </c>
      <c r="T458" s="49">
        <f t="shared" ca="1" si="1082"/>
        <v>0</v>
      </c>
      <c r="U458" s="49">
        <f t="shared" ca="1" si="1082"/>
        <v>0</v>
      </c>
      <c r="V458" s="49">
        <f t="shared" ca="1" si="1082"/>
        <v>0</v>
      </c>
      <c r="W458" s="49">
        <f t="shared" ca="1" si="1082"/>
        <v>0</v>
      </c>
      <c r="X458" s="49">
        <f t="shared" ca="1" si="1082"/>
        <v>0</v>
      </c>
      <c r="Y458" s="49">
        <f t="shared" ca="1" si="1082"/>
        <v>0</v>
      </c>
      <c r="Z458" s="49">
        <f t="shared" ca="1" si="1082"/>
        <v>0</v>
      </c>
      <c r="AA458" s="49">
        <f t="shared" ca="1" si="1082"/>
        <v>0</v>
      </c>
      <c r="AB458" s="49">
        <f t="shared" ca="1" si="1082"/>
        <v>0</v>
      </c>
      <c r="AC458" s="49">
        <f t="shared" ca="1" si="1082"/>
        <v>0</v>
      </c>
      <c r="AD458" s="49">
        <f t="shared" ca="1" si="1082"/>
        <v>0</v>
      </c>
      <c r="AE458" s="49">
        <f t="shared" ca="1" si="1082"/>
        <v>0</v>
      </c>
      <c r="AF458" s="49">
        <f t="shared" ca="1" si="1082"/>
        <v>0</v>
      </c>
      <c r="AG458" s="49">
        <f t="shared" ca="1" si="1082"/>
        <v>0</v>
      </c>
      <c r="AH458" s="49">
        <f t="shared" ca="1" si="1082"/>
        <v>0</v>
      </c>
      <c r="AI458" s="49">
        <f t="shared" ca="1" si="1082"/>
        <v>0</v>
      </c>
      <c r="AJ458" s="49">
        <f t="shared" ca="1" si="1082"/>
        <v>0</v>
      </c>
      <c r="AK458" s="49">
        <f t="shared" ca="1" si="1082"/>
        <v>0</v>
      </c>
      <c r="AL458" s="49">
        <f t="shared" ca="1" si="1082"/>
        <v>0</v>
      </c>
      <c r="AM458" s="49">
        <f t="shared" ca="1" si="1082"/>
        <v>0</v>
      </c>
      <c r="AN458" s="49">
        <f t="shared" ca="1" si="1082"/>
        <v>0</v>
      </c>
      <c r="AO458" s="49">
        <f t="shared" ca="1" si="1082"/>
        <v>0</v>
      </c>
      <c r="AP458" s="49">
        <f t="shared" ca="1" si="1082"/>
        <v>0</v>
      </c>
      <c r="AQ458" s="49">
        <f t="shared" ca="1" si="1082"/>
        <v>0</v>
      </c>
      <c r="AR458" s="49">
        <f t="shared" ref="AR458:BS458" ca="1" si="1083">AR405*CA_NOC_WI</f>
        <v>0</v>
      </c>
      <c r="AS458" s="49">
        <f t="shared" ca="1" si="1083"/>
        <v>0</v>
      </c>
      <c r="AT458" s="49">
        <f t="shared" ca="1" si="1083"/>
        <v>0</v>
      </c>
      <c r="AU458" s="49">
        <f t="shared" ca="1" si="1083"/>
        <v>0</v>
      </c>
      <c r="AV458" s="49">
        <f t="shared" ca="1" si="1083"/>
        <v>0</v>
      </c>
      <c r="AW458" s="49">
        <f t="shared" ca="1" si="1083"/>
        <v>0</v>
      </c>
      <c r="AX458" s="49">
        <f t="shared" ca="1" si="1083"/>
        <v>0</v>
      </c>
      <c r="AY458" s="49">
        <f t="shared" ca="1" si="1083"/>
        <v>0</v>
      </c>
      <c r="AZ458" s="49">
        <f t="shared" ca="1" si="1083"/>
        <v>0</v>
      </c>
      <c r="BA458" s="49">
        <f t="shared" ca="1" si="1083"/>
        <v>0</v>
      </c>
      <c r="BB458" s="49">
        <f t="shared" ca="1" si="1083"/>
        <v>0</v>
      </c>
      <c r="BC458" s="49">
        <f t="shared" ca="1" si="1083"/>
        <v>0</v>
      </c>
      <c r="BD458" s="49">
        <f t="shared" ca="1" si="1083"/>
        <v>0</v>
      </c>
      <c r="BE458" s="49">
        <f t="shared" ca="1" si="1083"/>
        <v>0</v>
      </c>
      <c r="BF458" s="49">
        <f t="shared" ca="1" si="1083"/>
        <v>0</v>
      </c>
      <c r="BG458" s="49">
        <f t="shared" ca="1" si="1083"/>
        <v>0</v>
      </c>
      <c r="BH458" s="49">
        <f t="shared" ca="1" si="1083"/>
        <v>0</v>
      </c>
      <c r="BI458" s="49">
        <f t="shared" ca="1" si="1083"/>
        <v>0</v>
      </c>
      <c r="BJ458" s="49">
        <f t="shared" ca="1" si="1083"/>
        <v>0</v>
      </c>
      <c r="BK458" s="49">
        <f t="shared" ca="1" si="1083"/>
        <v>0</v>
      </c>
      <c r="BL458" s="49">
        <f t="shared" ca="1" si="1083"/>
        <v>0</v>
      </c>
      <c r="BM458" s="49">
        <f t="shared" ca="1" si="1083"/>
        <v>0</v>
      </c>
      <c r="BN458" s="49">
        <f t="shared" ca="1" si="1083"/>
        <v>0</v>
      </c>
      <c r="BO458" s="49">
        <f t="shared" ca="1" si="1083"/>
        <v>0</v>
      </c>
      <c r="BP458" s="49">
        <f t="shared" ca="1" si="1083"/>
        <v>0</v>
      </c>
      <c r="BQ458" s="49">
        <f t="shared" ca="1" si="1083"/>
        <v>0</v>
      </c>
      <c r="BR458" s="49">
        <f t="shared" ca="1" si="1083"/>
        <v>0</v>
      </c>
      <c r="BS458" s="49">
        <f t="shared" ca="1" si="1083"/>
        <v>0</v>
      </c>
    </row>
    <row r="459" spans="3:71" outlineLevel="1" x14ac:dyDescent="0.2"/>
    <row r="460" spans="3:71" outlineLevel="1" x14ac:dyDescent="0.2">
      <c r="C460" s="11" t="s">
        <v>274</v>
      </c>
      <c r="I460" s="30">
        <f t="shared" ca="1" si="1077"/>
        <v>0</v>
      </c>
      <c r="J460" s="26" t="s">
        <v>148</v>
      </c>
      <c r="L460" s="49">
        <f t="shared" ref="L460:AQ460" ca="1" si="1084">L407*CA_NOC_WI</f>
        <v>0</v>
      </c>
      <c r="M460" s="49">
        <f t="shared" ca="1" si="1084"/>
        <v>0</v>
      </c>
      <c r="N460" s="49">
        <f t="shared" ca="1" si="1084"/>
        <v>0</v>
      </c>
      <c r="O460" s="49">
        <f t="shared" ca="1" si="1084"/>
        <v>0</v>
      </c>
      <c r="P460" s="49">
        <f t="shared" ca="1" si="1084"/>
        <v>0</v>
      </c>
      <c r="Q460" s="49">
        <f t="shared" ca="1" si="1084"/>
        <v>0</v>
      </c>
      <c r="R460" s="49">
        <f t="shared" ca="1" si="1084"/>
        <v>0</v>
      </c>
      <c r="S460" s="49">
        <f t="shared" ca="1" si="1084"/>
        <v>0</v>
      </c>
      <c r="T460" s="49">
        <f t="shared" ca="1" si="1084"/>
        <v>0</v>
      </c>
      <c r="U460" s="49">
        <f t="shared" ca="1" si="1084"/>
        <v>0</v>
      </c>
      <c r="V460" s="49">
        <f t="shared" ca="1" si="1084"/>
        <v>0</v>
      </c>
      <c r="W460" s="49">
        <f t="shared" ca="1" si="1084"/>
        <v>0</v>
      </c>
      <c r="X460" s="49">
        <f t="shared" ca="1" si="1084"/>
        <v>0</v>
      </c>
      <c r="Y460" s="49">
        <f t="shared" ca="1" si="1084"/>
        <v>0</v>
      </c>
      <c r="Z460" s="49">
        <f t="shared" ca="1" si="1084"/>
        <v>0</v>
      </c>
      <c r="AA460" s="49">
        <f t="shared" ca="1" si="1084"/>
        <v>0</v>
      </c>
      <c r="AB460" s="49">
        <f t="shared" ca="1" si="1084"/>
        <v>0</v>
      </c>
      <c r="AC460" s="49">
        <f t="shared" ca="1" si="1084"/>
        <v>0</v>
      </c>
      <c r="AD460" s="49">
        <f t="shared" ca="1" si="1084"/>
        <v>0</v>
      </c>
      <c r="AE460" s="49">
        <f t="shared" ca="1" si="1084"/>
        <v>0</v>
      </c>
      <c r="AF460" s="49">
        <f t="shared" ca="1" si="1084"/>
        <v>0</v>
      </c>
      <c r="AG460" s="49">
        <f t="shared" ca="1" si="1084"/>
        <v>0</v>
      </c>
      <c r="AH460" s="49">
        <f t="shared" ca="1" si="1084"/>
        <v>0</v>
      </c>
      <c r="AI460" s="49">
        <f t="shared" ca="1" si="1084"/>
        <v>0</v>
      </c>
      <c r="AJ460" s="49">
        <f t="shared" ca="1" si="1084"/>
        <v>0</v>
      </c>
      <c r="AK460" s="49">
        <f t="shared" ca="1" si="1084"/>
        <v>0</v>
      </c>
      <c r="AL460" s="49">
        <f t="shared" ca="1" si="1084"/>
        <v>0</v>
      </c>
      <c r="AM460" s="49">
        <f t="shared" ca="1" si="1084"/>
        <v>0</v>
      </c>
      <c r="AN460" s="49">
        <f t="shared" ca="1" si="1084"/>
        <v>0</v>
      </c>
      <c r="AO460" s="49">
        <f t="shared" ca="1" si="1084"/>
        <v>0</v>
      </c>
      <c r="AP460" s="49">
        <f t="shared" ca="1" si="1084"/>
        <v>0</v>
      </c>
      <c r="AQ460" s="49">
        <f t="shared" ca="1" si="1084"/>
        <v>0</v>
      </c>
      <c r="AR460" s="49">
        <f t="shared" ref="AR460:BS460" ca="1" si="1085">AR407*CA_NOC_WI</f>
        <v>0</v>
      </c>
      <c r="AS460" s="49">
        <f t="shared" ca="1" si="1085"/>
        <v>0</v>
      </c>
      <c r="AT460" s="49">
        <f t="shared" ca="1" si="1085"/>
        <v>0</v>
      </c>
      <c r="AU460" s="49">
        <f t="shared" ca="1" si="1085"/>
        <v>0</v>
      </c>
      <c r="AV460" s="49">
        <f t="shared" ca="1" si="1085"/>
        <v>0</v>
      </c>
      <c r="AW460" s="49">
        <f t="shared" ca="1" si="1085"/>
        <v>0</v>
      </c>
      <c r="AX460" s="49">
        <f t="shared" ca="1" si="1085"/>
        <v>0</v>
      </c>
      <c r="AY460" s="49">
        <f t="shared" ca="1" si="1085"/>
        <v>0</v>
      </c>
      <c r="AZ460" s="49">
        <f t="shared" ca="1" si="1085"/>
        <v>0</v>
      </c>
      <c r="BA460" s="49">
        <f t="shared" ca="1" si="1085"/>
        <v>0</v>
      </c>
      <c r="BB460" s="49">
        <f t="shared" ca="1" si="1085"/>
        <v>0</v>
      </c>
      <c r="BC460" s="49">
        <f t="shared" ca="1" si="1085"/>
        <v>0</v>
      </c>
      <c r="BD460" s="49">
        <f t="shared" ca="1" si="1085"/>
        <v>0</v>
      </c>
      <c r="BE460" s="49">
        <f t="shared" ca="1" si="1085"/>
        <v>0</v>
      </c>
      <c r="BF460" s="49">
        <f t="shared" ca="1" si="1085"/>
        <v>0</v>
      </c>
      <c r="BG460" s="49">
        <f t="shared" ca="1" si="1085"/>
        <v>0</v>
      </c>
      <c r="BH460" s="49">
        <f t="shared" ca="1" si="1085"/>
        <v>0</v>
      </c>
      <c r="BI460" s="49">
        <f t="shared" ca="1" si="1085"/>
        <v>0</v>
      </c>
      <c r="BJ460" s="49">
        <f t="shared" ca="1" si="1085"/>
        <v>0</v>
      </c>
      <c r="BK460" s="49">
        <f t="shared" ca="1" si="1085"/>
        <v>0</v>
      </c>
      <c r="BL460" s="49">
        <f t="shared" ca="1" si="1085"/>
        <v>0</v>
      </c>
      <c r="BM460" s="49">
        <f t="shared" ca="1" si="1085"/>
        <v>0</v>
      </c>
      <c r="BN460" s="49">
        <f t="shared" ca="1" si="1085"/>
        <v>0</v>
      </c>
      <c r="BO460" s="49">
        <f t="shared" ca="1" si="1085"/>
        <v>0</v>
      </c>
      <c r="BP460" s="49">
        <f t="shared" ca="1" si="1085"/>
        <v>0</v>
      </c>
      <c r="BQ460" s="49">
        <f t="shared" ca="1" si="1085"/>
        <v>0</v>
      </c>
      <c r="BR460" s="49">
        <f t="shared" ca="1" si="1085"/>
        <v>0</v>
      </c>
      <c r="BS460" s="49">
        <f t="shared" ca="1" si="1085"/>
        <v>0</v>
      </c>
    </row>
    <row r="461" spans="3:71" outlineLevel="1" x14ac:dyDescent="0.2"/>
    <row r="462" spans="3:71" outlineLevel="1" x14ac:dyDescent="0.2">
      <c r="C462" s="11" t="s">
        <v>275</v>
      </c>
      <c r="I462" s="30">
        <f t="shared" ca="1" si="1077"/>
        <v>0</v>
      </c>
      <c r="J462" s="26" t="s">
        <v>148</v>
      </c>
      <c r="L462" s="49">
        <f t="shared" ref="L462:AQ462" ca="1" si="1086">L409*CA_NOC_WI</f>
        <v>0</v>
      </c>
      <c r="M462" s="49">
        <f t="shared" ca="1" si="1086"/>
        <v>0</v>
      </c>
      <c r="N462" s="49">
        <f t="shared" ca="1" si="1086"/>
        <v>0</v>
      </c>
      <c r="O462" s="49">
        <f t="shared" ca="1" si="1086"/>
        <v>0</v>
      </c>
      <c r="P462" s="49">
        <f t="shared" ca="1" si="1086"/>
        <v>0</v>
      </c>
      <c r="Q462" s="49">
        <f t="shared" ca="1" si="1086"/>
        <v>0</v>
      </c>
      <c r="R462" s="49">
        <f t="shared" ca="1" si="1086"/>
        <v>0</v>
      </c>
      <c r="S462" s="49">
        <f t="shared" ca="1" si="1086"/>
        <v>0</v>
      </c>
      <c r="T462" s="49">
        <f t="shared" ca="1" si="1086"/>
        <v>0</v>
      </c>
      <c r="U462" s="49">
        <f t="shared" ca="1" si="1086"/>
        <v>0</v>
      </c>
      <c r="V462" s="49">
        <f t="shared" ca="1" si="1086"/>
        <v>0</v>
      </c>
      <c r="W462" s="49">
        <f t="shared" ca="1" si="1086"/>
        <v>0</v>
      </c>
      <c r="X462" s="49">
        <f t="shared" ca="1" si="1086"/>
        <v>0</v>
      </c>
      <c r="Y462" s="49">
        <f t="shared" ca="1" si="1086"/>
        <v>0</v>
      </c>
      <c r="Z462" s="49">
        <f t="shared" ca="1" si="1086"/>
        <v>0</v>
      </c>
      <c r="AA462" s="49">
        <f t="shared" ca="1" si="1086"/>
        <v>0</v>
      </c>
      <c r="AB462" s="49">
        <f t="shared" ca="1" si="1086"/>
        <v>0</v>
      </c>
      <c r="AC462" s="49">
        <f t="shared" ca="1" si="1086"/>
        <v>0</v>
      </c>
      <c r="AD462" s="49">
        <f t="shared" ca="1" si="1086"/>
        <v>0</v>
      </c>
      <c r="AE462" s="49">
        <f t="shared" ca="1" si="1086"/>
        <v>0</v>
      </c>
      <c r="AF462" s="49">
        <f t="shared" ca="1" si="1086"/>
        <v>0</v>
      </c>
      <c r="AG462" s="49">
        <f t="shared" ca="1" si="1086"/>
        <v>0</v>
      </c>
      <c r="AH462" s="49">
        <f t="shared" ca="1" si="1086"/>
        <v>0</v>
      </c>
      <c r="AI462" s="49">
        <f t="shared" ca="1" si="1086"/>
        <v>0</v>
      </c>
      <c r="AJ462" s="49">
        <f t="shared" ca="1" si="1086"/>
        <v>0</v>
      </c>
      <c r="AK462" s="49">
        <f t="shared" ca="1" si="1086"/>
        <v>0</v>
      </c>
      <c r="AL462" s="49">
        <f t="shared" ca="1" si="1086"/>
        <v>0</v>
      </c>
      <c r="AM462" s="49">
        <f t="shared" ca="1" si="1086"/>
        <v>0</v>
      </c>
      <c r="AN462" s="49">
        <f t="shared" ca="1" si="1086"/>
        <v>0</v>
      </c>
      <c r="AO462" s="49">
        <f t="shared" ca="1" si="1086"/>
        <v>0</v>
      </c>
      <c r="AP462" s="49">
        <f t="shared" ca="1" si="1086"/>
        <v>0</v>
      </c>
      <c r="AQ462" s="49">
        <f t="shared" ca="1" si="1086"/>
        <v>0</v>
      </c>
      <c r="AR462" s="49">
        <f t="shared" ref="AR462:BS462" ca="1" si="1087">AR409*CA_NOC_WI</f>
        <v>0</v>
      </c>
      <c r="AS462" s="49">
        <f t="shared" ca="1" si="1087"/>
        <v>0</v>
      </c>
      <c r="AT462" s="49">
        <f t="shared" ca="1" si="1087"/>
        <v>0</v>
      </c>
      <c r="AU462" s="49">
        <f t="shared" ca="1" si="1087"/>
        <v>0</v>
      </c>
      <c r="AV462" s="49">
        <f t="shared" ca="1" si="1087"/>
        <v>0</v>
      </c>
      <c r="AW462" s="49">
        <f t="shared" ca="1" si="1087"/>
        <v>0</v>
      </c>
      <c r="AX462" s="49">
        <f t="shared" ca="1" si="1087"/>
        <v>0</v>
      </c>
      <c r="AY462" s="49">
        <f t="shared" ca="1" si="1087"/>
        <v>0</v>
      </c>
      <c r="AZ462" s="49">
        <f t="shared" ca="1" si="1087"/>
        <v>0</v>
      </c>
      <c r="BA462" s="49">
        <f t="shared" ca="1" si="1087"/>
        <v>0</v>
      </c>
      <c r="BB462" s="49">
        <f t="shared" ca="1" si="1087"/>
        <v>0</v>
      </c>
      <c r="BC462" s="49">
        <f t="shared" ca="1" si="1087"/>
        <v>0</v>
      </c>
      <c r="BD462" s="49">
        <f t="shared" ca="1" si="1087"/>
        <v>0</v>
      </c>
      <c r="BE462" s="49">
        <f t="shared" ca="1" si="1087"/>
        <v>0</v>
      </c>
      <c r="BF462" s="49">
        <f t="shared" ca="1" si="1087"/>
        <v>0</v>
      </c>
      <c r="BG462" s="49">
        <f t="shared" ca="1" si="1087"/>
        <v>0</v>
      </c>
      <c r="BH462" s="49">
        <f t="shared" ca="1" si="1087"/>
        <v>0</v>
      </c>
      <c r="BI462" s="49">
        <f t="shared" ca="1" si="1087"/>
        <v>0</v>
      </c>
      <c r="BJ462" s="49">
        <f t="shared" ca="1" si="1087"/>
        <v>0</v>
      </c>
      <c r="BK462" s="49">
        <f t="shared" ca="1" si="1087"/>
        <v>0</v>
      </c>
      <c r="BL462" s="49">
        <f t="shared" ca="1" si="1087"/>
        <v>0</v>
      </c>
      <c r="BM462" s="49">
        <f t="shared" ca="1" si="1087"/>
        <v>0</v>
      </c>
      <c r="BN462" s="49">
        <f t="shared" ca="1" si="1087"/>
        <v>0</v>
      </c>
      <c r="BO462" s="49">
        <f t="shared" ca="1" si="1087"/>
        <v>0</v>
      </c>
      <c r="BP462" s="49">
        <f t="shared" ca="1" si="1087"/>
        <v>0</v>
      </c>
      <c r="BQ462" s="49">
        <f t="shared" ca="1" si="1087"/>
        <v>0</v>
      </c>
      <c r="BR462" s="49">
        <f t="shared" ca="1" si="1087"/>
        <v>0</v>
      </c>
      <c r="BS462" s="49">
        <f t="shared" ca="1" si="1087"/>
        <v>0</v>
      </c>
    </row>
    <row r="463" spans="3:71" outlineLevel="1" x14ac:dyDescent="0.2"/>
    <row r="464" spans="3:71" outlineLevel="1" x14ac:dyDescent="0.2">
      <c r="C464" s="11" t="s">
        <v>276</v>
      </c>
      <c r="H464" s="64" t="b">
        <f ca="1">I464+I430-I411=0</f>
        <v>0</v>
      </c>
      <c r="I464" s="30">
        <f t="shared" ca="1" si="1077"/>
        <v>-327.87240682818566</v>
      </c>
      <c r="J464" s="26" t="s">
        <v>148</v>
      </c>
      <c r="K464" s="7" t="s">
        <v>291</v>
      </c>
      <c r="L464" s="49">
        <f ca="1">L448-L450-L452-L454-L456-L458-L460-L462</f>
        <v>-4.7682805671497341</v>
      </c>
      <c r="M464" s="49">
        <f t="shared" ref="M464:BS464" ca="1" si="1088">M448-M450-M452-M454-M456-M458-M460-M462</f>
        <v>-10.133204993105423</v>
      </c>
      <c r="N464" s="49">
        <f t="shared" ca="1" si="1088"/>
        <v>-16.133841321751913</v>
      </c>
      <c r="O464" s="49">
        <f t="shared" ca="1" si="1088"/>
        <v>-32.20491217113284</v>
      </c>
      <c r="P464" s="49">
        <f t="shared" ca="1" si="1088"/>
        <v>-69.374341854595727</v>
      </c>
      <c r="Q464" s="49">
        <f t="shared" ca="1" si="1088"/>
        <v>-14.414944941875875</v>
      </c>
      <c r="R464" s="49">
        <f t="shared" ca="1" si="1088"/>
        <v>-21.12522686218524</v>
      </c>
      <c r="S464" s="49">
        <f t="shared" ca="1" si="1088"/>
        <v>-30.946833516720748</v>
      </c>
      <c r="T464" s="49">
        <f t="shared" ca="1" si="1088"/>
        <v>-23.779752337275866</v>
      </c>
      <c r="U464" s="49">
        <f t="shared" ca="1" si="1088"/>
        <v>-24.23432824331001</v>
      </c>
      <c r="V464" s="49">
        <f t="shared" ca="1" si="1088"/>
        <v>-25.617046291603874</v>
      </c>
      <c r="W464" s="49">
        <f t="shared" ca="1" si="1088"/>
        <v>-26.903965108148086</v>
      </c>
      <c r="X464" s="49">
        <f t="shared" ca="1" si="1088"/>
        <v>-28.235728619330285</v>
      </c>
      <c r="Y464" s="49">
        <f t="shared" ca="1" si="1088"/>
        <v>0</v>
      </c>
      <c r="Z464" s="49">
        <f t="shared" ca="1" si="1088"/>
        <v>0</v>
      </c>
      <c r="AA464" s="49">
        <f t="shared" ca="1" si="1088"/>
        <v>0</v>
      </c>
      <c r="AB464" s="49">
        <f t="shared" ca="1" si="1088"/>
        <v>0</v>
      </c>
      <c r="AC464" s="49">
        <f t="shared" ca="1" si="1088"/>
        <v>0</v>
      </c>
      <c r="AD464" s="49">
        <f t="shared" ca="1" si="1088"/>
        <v>0</v>
      </c>
      <c r="AE464" s="49">
        <f t="shared" ca="1" si="1088"/>
        <v>0</v>
      </c>
      <c r="AF464" s="49">
        <f t="shared" ca="1" si="1088"/>
        <v>0</v>
      </c>
      <c r="AG464" s="49">
        <f t="shared" ca="1" si="1088"/>
        <v>0</v>
      </c>
      <c r="AH464" s="49">
        <f t="shared" ca="1" si="1088"/>
        <v>0</v>
      </c>
      <c r="AI464" s="49">
        <f t="shared" ca="1" si="1088"/>
        <v>0</v>
      </c>
      <c r="AJ464" s="49">
        <f t="shared" ca="1" si="1088"/>
        <v>0</v>
      </c>
      <c r="AK464" s="49">
        <f t="shared" ca="1" si="1088"/>
        <v>0</v>
      </c>
      <c r="AL464" s="49">
        <f t="shared" ca="1" si="1088"/>
        <v>0</v>
      </c>
      <c r="AM464" s="49">
        <f t="shared" ca="1" si="1088"/>
        <v>0</v>
      </c>
      <c r="AN464" s="49">
        <f t="shared" ca="1" si="1088"/>
        <v>0</v>
      </c>
      <c r="AO464" s="49">
        <f t="shared" ca="1" si="1088"/>
        <v>0</v>
      </c>
      <c r="AP464" s="49">
        <f t="shared" ca="1" si="1088"/>
        <v>0</v>
      </c>
      <c r="AQ464" s="49">
        <f t="shared" ca="1" si="1088"/>
        <v>0</v>
      </c>
      <c r="AR464" s="49">
        <f t="shared" ca="1" si="1088"/>
        <v>0</v>
      </c>
      <c r="AS464" s="49">
        <f t="shared" ca="1" si="1088"/>
        <v>0</v>
      </c>
      <c r="AT464" s="49">
        <f t="shared" ca="1" si="1088"/>
        <v>0</v>
      </c>
      <c r="AU464" s="49">
        <f t="shared" ca="1" si="1088"/>
        <v>0</v>
      </c>
      <c r="AV464" s="49">
        <f t="shared" ca="1" si="1088"/>
        <v>0</v>
      </c>
      <c r="AW464" s="49">
        <f t="shared" ca="1" si="1088"/>
        <v>0</v>
      </c>
      <c r="AX464" s="49">
        <f t="shared" ca="1" si="1088"/>
        <v>0</v>
      </c>
      <c r="AY464" s="49">
        <f t="shared" ca="1" si="1088"/>
        <v>0</v>
      </c>
      <c r="AZ464" s="49">
        <f t="shared" ca="1" si="1088"/>
        <v>0</v>
      </c>
      <c r="BA464" s="49">
        <f t="shared" ca="1" si="1088"/>
        <v>0</v>
      </c>
      <c r="BB464" s="49">
        <f t="shared" ca="1" si="1088"/>
        <v>0</v>
      </c>
      <c r="BC464" s="49">
        <f t="shared" ca="1" si="1088"/>
        <v>0</v>
      </c>
      <c r="BD464" s="49">
        <f t="shared" ca="1" si="1088"/>
        <v>0</v>
      </c>
      <c r="BE464" s="49">
        <f t="shared" ca="1" si="1088"/>
        <v>0</v>
      </c>
      <c r="BF464" s="49">
        <f t="shared" ca="1" si="1088"/>
        <v>0</v>
      </c>
      <c r="BG464" s="49">
        <f t="shared" ca="1" si="1088"/>
        <v>0</v>
      </c>
      <c r="BH464" s="49">
        <f t="shared" ca="1" si="1088"/>
        <v>0</v>
      </c>
      <c r="BI464" s="49">
        <f t="shared" ca="1" si="1088"/>
        <v>0</v>
      </c>
      <c r="BJ464" s="49">
        <f t="shared" ca="1" si="1088"/>
        <v>0</v>
      </c>
      <c r="BK464" s="49">
        <f t="shared" ca="1" si="1088"/>
        <v>0</v>
      </c>
      <c r="BL464" s="49">
        <f t="shared" ca="1" si="1088"/>
        <v>0</v>
      </c>
      <c r="BM464" s="49">
        <f t="shared" ca="1" si="1088"/>
        <v>0</v>
      </c>
      <c r="BN464" s="49">
        <f t="shared" ca="1" si="1088"/>
        <v>0</v>
      </c>
      <c r="BO464" s="49">
        <f t="shared" ca="1" si="1088"/>
        <v>0</v>
      </c>
      <c r="BP464" s="49">
        <f t="shared" ca="1" si="1088"/>
        <v>0</v>
      </c>
      <c r="BQ464" s="49">
        <f t="shared" ca="1" si="1088"/>
        <v>0</v>
      </c>
      <c r="BR464" s="49">
        <f t="shared" ca="1" si="1088"/>
        <v>0</v>
      </c>
      <c r="BS464" s="49">
        <f t="shared" ca="1" si="1088"/>
        <v>0</v>
      </c>
    </row>
    <row r="465" spans="1:71" outlineLevel="1" x14ac:dyDescent="0.2"/>
    <row r="466" spans="1:71" outlineLevel="1" x14ac:dyDescent="0.2">
      <c r="C466" s="11" t="s">
        <v>303</v>
      </c>
      <c r="L466" s="66">
        <f t="shared" ref="L466" ca="1" si="1089">(K466+L464)*CA_op_trig</f>
        <v>-4.7682805671497341</v>
      </c>
      <c r="M466" s="66">
        <f t="shared" ref="M466" ca="1" si="1090">(L466+M464)*CA_op_trig</f>
        <v>-14.901485560255157</v>
      </c>
      <c r="N466" s="66">
        <f t="shared" ref="N466" ca="1" si="1091">(M466+N464)*CA_op_trig</f>
        <v>-31.03532688200707</v>
      </c>
      <c r="O466" s="66">
        <f t="shared" ref="O466" ca="1" si="1092">(N466+O464)*CA_op_trig</f>
        <v>-63.240239053139909</v>
      </c>
      <c r="P466" s="66">
        <f t="shared" ref="P466" ca="1" si="1093">(O466+P464)*CA_op_trig</f>
        <v>-132.61458090773564</v>
      </c>
      <c r="Q466" s="66">
        <f t="shared" ref="Q466" ca="1" si="1094">(P466+Q464)*CA_op_trig</f>
        <v>-147.02952584961153</v>
      </c>
      <c r="R466" s="66">
        <f t="shared" ref="R466" ca="1" si="1095">(Q466+R464)*CA_op_trig</f>
        <v>-168.15475271179676</v>
      </c>
      <c r="S466" s="66">
        <f t="shared" ref="S466" ca="1" si="1096">(R466+S464)*CA_op_trig</f>
        <v>-199.1015862285175</v>
      </c>
      <c r="T466" s="66">
        <f t="shared" ref="T466" ca="1" si="1097">(S466+T464)*CA_op_trig</f>
        <v>-222.88133856579338</v>
      </c>
      <c r="U466" s="66">
        <f t="shared" ref="U466" ca="1" si="1098">(T466+U464)*CA_op_trig</f>
        <v>-247.1156668091034</v>
      </c>
      <c r="V466" s="66">
        <f t="shared" ref="V466" ca="1" si="1099">(U466+V464)*CA_op_trig</f>
        <v>-272.73271310070726</v>
      </c>
      <c r="W466" s="66">
        <f t="shared" ref="W466" ca="1" si="1100">(V466+W464)*CA_op_trig</f>
        <v>-299.63667820885536</v>
      </c>
      <c r="X466" s="66">
        <f t="shared" ref="X466" ca="1" si="1101">(W466+X464)*CA_op_trig</f>
        <v>-327.87240682818566</v>
      </c>
      <c r="Y466" s="66">
        <f t="shared" ref="Y466" ca="1" si="1102">(X466+Y464)*CA_op_trig</f>
        <v>0</v>
      </c>
      <c r="Z466" s="66">
        <f t="shared" ref="Z466" ca="1" si="1103">(Y466+Z464)*CA_op_trig</f>
        <v>0</v>
      </c>
      <c r="AA466" s="66">
        <f t="shared" ref="AA466" ca="1" si="1104">(Z466+AA464)*CA_op_trig</f>
        <v>0</v>
      </c>
      <c r="AB466" s="66">
        <f t="shared" ref="AB466" ca="1" si="1105">(AA466+AB464)*CA_op_trig</f>
        <v>0</v>
      </c>
      <c r="AC466" s="66">
        <f t="shared" ref="AC466" ca="1" si="1106">(AB466+AC464)*CA_op_trig</f>
        <v>0</v>
      </c>
      <c r="AD466" s="66">
        <f t="shared" ref="AD466" ca="1" si="1107">(AC466+AD464)*CA_op_trig</f>
        <v>0</v>
      </c>
      <c r="AE466" s="66">
        <f t="shared" ref="AE466" ca="1" si="1108">(AD466+AE464)*CA_op_trig</f>
        <v>0</v>
      </c>
      <c r="AF466" s="66">
        <f t="shared" ref="AF466" ca="1" si="1109">(AE466+AF464)*CA_op_trig</f>
        <v>0</v>
      </c>
      <c r="AG466" s="66">
        <f t="shared" ref="AG466" ca="1" si="1110">(AF466+AG464)*CA_op_trig</f>
        <v>0</v>
      </c>
      <c r="AH466" s="66">
        <f t="shared" ref="AH466" ca="1" si="1111">(AG466+AH464)*CA_op_trig</f>
        <v>0</v>
      </c>
      <c r="AI466" s="66">
        <f t="shared" ref="AI466" ca="1" si="1112">(AH466+AI464)*CA_op_trig</f>
        <v>0</v>
      </c>
      <c r="AJ466" s="66">
        <f t="shared" ref="AJ466" ca="1" si="1113">(AI466+AJ464)*CA_op_trig</f>
        <v>0</v>
      </c>
      <c r="AK466" s="66">
        <f t="shared" ref="AK466" ca="1" si="1114">(AJ466+AK464)*CA_op_trig</f>
        <v>0</v>
      </c>
      <c r="AL466" s="66">
        <f t="shared" ref="AL466" ca="1" si="1115">(AK466+AL464)*CA_op_trig</f>
        <v>0</v>
      </c>
      <c r="AM466" s="66">
        <f t="shared" ref="AM466" ca="1" si="1116">(AL466+AM464)*CA_op_trig</f>
        <v>0</v>
      </c>
      <c r="AN466" s="66">
        <f t="shared" ref="AN466" ca="1" si="1117">(AM466+AN464)*CA_op_trig</f>
        <v>0</v>
      </c>
      <c r="AO466" s="66">
        <f t="shared" ref="AO466" ca="1" si="1118">(AN466+AO464)*CA_op_trig</f>
        <v>0</v>
      </c>
      <c r="AP466" s="66">
        <f t="shared" ref="AP466" ca="1" si="1119">(AO466+AP464)*CA_op_trig</f>
        <v>0</v>
      </c>
      <c r="AQ466" s="66">
        <f t="shared" ref="AQ466" ca="1" si="1120">(AP466+AQ464)*CA_op_trig</f>
        <v>0</v>
      </c>
      <c r="AR466" s="66">
        <f t="shared" ref="AR466" ca="1" si="1121">(AQ466+AR464)*CA_op_trig</f>
        <v>0</v>
      </c>
      <c r="AS466" s="66">
        <f t="shared" ref="AS466" ca="1" si="1122">(AR466+AS464)*CA_op_trig</f>
        <v>0</v>
      </c>
      <c r="AT466" s="66">
        <f t="shared" ref="AT466" ca="1" si="1123">(AS466+AT464)*CA_op_trig</f>
        <v>0</v>
      </c>
      <c r="AU466" s="66">
        <f t="shared" ref="AU466" ca="1" si="1124">(AT466+AU464)*CA_op_trig</f>
        <v>0</v>
      </c>
      <c r="AV466" s="66">
        <f t="shared" ref="AV466" ca="1" si="1125">(AU466+AV464)*CA_op_trig</f>
        <v>0</v>
      </c>
      <c r="AW466" s="66">
        <f t="shared" ref="AW466" ca="1" si="1126">(AV466+AW464)*CA_op_trig</f>
        <v>0</v>
      </c>
      <c r="AX466" s="66">
        <f t="shared" ref="AX466" ca="1" si="1127">(AW466+AX464)*CA_op_trig</f>
        <v>0</v>
      </c>
      <c r="AY466" s="66">
        <f t="shared" ref="AY466" ca="1" si="1128">(AX466+AY464)*CA_op_trig</f>
        <v>0</v>
      </c>
      <c r="AZ466" s="66">
        <f t="shared" ref="AZ466" ca="1" si="1129">(AY466+AZ464)*CA_op_trig</f>
        <v>0</v>
      </c>
      <c r="BA466" s="66">
        <f t="shared" ref="BA466" ca="1" si="1130">(AZ466+BA464)*CA_op_trig</f>
        <v>0</v>
      </c>
      <c r="BB466" s="66">
        <f t="shared" ref="BB466" ca="1" si="1131">(BA466+BB464)*CA_op_trig</f>
        <v>0</v>
      </c>
      <c r="BC466" s="66">
        <f t="shared" ref="BC466" ca="1" si="1132">(BB466+BC464)*CA_op_trig</f>
        <v>0</v>
      </c>
      <c r="BD466" s="66">
        <f t="shared" ref="BD466" ca="1" si="1133">(BC466+BD464)*CA_op_trig</f>
        <v>0</v>
      </c>
      <c r="BE466" s="66">
        <f t="shared" ref="BE466" ca="1" si="1134">(BD466+BE464)*CA_op_trig</f>
        <v>0</v>
      </c>
      <c r="BF466" s="66">
        <f t="shared" ref="BF466" ca="1" si="1135">(BE466+BF464)*CA_op_trig</f>
        <v>0</v>
      </c>
      <c r="BG466" s="66">
        <f t="shared" ref="BG466" ca="1" si="1136">(BF466+BG464)*CA_op_trig</f>
        <v>0</v>
      </c>
      <c r="BH466" s="66">
        <f t="shared" ref="BH466" ca="1" si="1137">(BG466+BH464)*CA_op_trig</f>
        <v>0</v>
      </c>
      <c r="BI466" s="66">
        <f t="shared" ref="BI466" ca="1" si="1138">(BH466+BI464)*CA_op_trig</f>
        <v>0</v>
      </c>
      <c r="BJ466" s="66">
        <f t="shared" ref="BJ466" ca="1" si="1139">(BI466+BJ464)*CA_op_trig</f>
        <v>0</v>
      </c>
      <c r="BK466" s="66">
        <f t="shared" ref="BK466" ca="1" si="1140">(BJ466+BK464)*CA_op_trig</f>
        <v>0</v>
      </c>
      <c r="BL466" s="66">
        <f t="shared" ref="BL466" ca="1" si="1141">(BK466+BL464)*CA_op_trig</f>
        <v>0</v>
      </c>
      <c r="BM466" s="66">
        <f t="shared" ref="BM466" ca="1" si="1142">(BL466+BM464)*CA_op_trig</f>
        <v>0</v>
      </c>
      <c r="BN466" s="66">
        <f t="shared" ref="BN466" ca="1" si="1143">(BM466+BN464)*CA_op_trig</f>
        <v>0</v>
      </c>
      <c r="BO466" s="66">
        <f t="shared" ref="BO466" ca="1" si="1144">(BN466+BO464)*CA_op_trig</f>
        <v>0</v>
      </c>
      <c r="BP466" s="66">
        <f t="shared" ref="BP466" ca="1" si="1145">(BO466+BP464)*CA_op_trig</f>
        <v>0</v>
      </c>
      <c r="BQ466" s="66">
        <f t="shared" ref="BQ466" ca="1" si="1146">(BP466+BQ464)*CA_op_trig</f>
        <v>0</v>
      </c>
      <c r="BR466" s="66">
        <f t="shared" ref="BR466" ca="1" si="1147">(BQ466+BR464)*CA_op_trig</f>
        <v>0</v>
      </c>
      <c r="BS466" s="66">
        <f t="shared" ref="BS466" ca="1" si="1148">(BR466+BS464)*CA_op_trig</f>
        <v>0</v>
      </c>
    </row>
    <row r="467" spans="1:71" outlineLevel="1" x14ac:dyDescent="0.2"/>
    <row r="468" spans="1:71" outlineLevel="1" x14ac:dyDescent="0.2">
      <c r="C468" s="11" t="s">
        <v>284</v>
      </c>
      <c r="G468" s="60"/>
      <c r="I468" s="63">
        <f ca="1">SUMPRODUCT(OA_noc_ATCF_mwafi,CA_disc_factor_fc)</f>
        <v>-176.69908121499125</v>
      </c>
      <c r="J468" s="26" t="s">
        <v>148</v>
      </c>
    </row>
    <row r="469" spans="1:71" outlineLevel="1" x14ac:dyDescent="0.2">
      <c r="C469" s="11" t="s">
        <v>285</v>
      </c>
      <c r="I469" s="63">
        <f ca="1">SUMPRODUCT(OA_noc_ATCF_mwafi,CA_disc_factor_pf)</f>
        <v>-121.80252201010927</v>
      </c>
      <c r="J469" s="26" t="s">
        <v>148</v>
      </c>
    </row>
    <row r="470" spans="1:71" outlineLevel="1" x14ac:dyDescent="0.2">
      <c r="I470" s="61"/>
    </row>
    <row r="471" spans="1:71" outlineLevel="1" x14ac:dyDescent="0.2">
      <c r="C471" s="11" t="s">
        <v>286</v>
      </c>
      <c r="I471" s="62" t="str">
        <f ca="1">IFERROR(IRR(INDEX(OA_noc_ATCF_mwafi,1,MAX(1,$G$360-L4+1)):INDEX(OA_noc_ATCF_mwafi,1,last_model_year)),"na")</f>
        <v>na</v>
      </c>
      <c r="J471" s="26" t="s">
        <v>90</v>
      </c>
    </row>
    <row r="472" spans="1:71" outlineLevel="1" x14ac:dyDescent="0.2">
      <c r="C472" s="11" t="s">
        <v>287</v>
      </c>
      <c r="I472" s="62" t="str">
        <f ca="1">IFERROR(IRR(INDEX(OA_noc_ATCF_mwafi,1,MAX(1,$G$361-L4+1)):INDEX(OA_noc_ATCF_mwafi,1,last_model_year)),"na")</f>
        <v>na</v>
      </c>
      <c r="J472" s="26" t="s">
        <v>90</v>
      </c>
    </row>
    <row r="473" spans="1:71" outlineLevel="1" x14ac:dyDescent="0.2"/>
    <row r="474" spans="1:71" outlineLevel="1" x14ac:dyDescent="0.2">
      <c r="C474" s="11" t="s">
        <v>304</v>
      </c>
      <c r="I474" s="67">
        <f ca="1">COUNTIF(L466:BS466,"&lt;0")+1</f>
        <v>14</v>
      </c>
    </row>
    <row r="475" spans="1:71" outlineLevel="1" x14ac:dyDescent="0.2"/>
    <row r="476" spans="1:71" outlineLevel="1" x14ac:dyDescent="0.2"/>
    <row r="477" spans="1:71" outlineLevel="1" x14ac:dyDescent="0.2"/>
    <row r="478" spans="1:71" outlineLevel="1" x14ac:dyDescent="0.2"/>
    <row r="479" spans="1:71" outlineLevel="1" x14ac:dyDescent="0.2"/>
    <row r="480" spans="1:71" outlineLevel="1" x14ac:dyDescent="0.2">
      <c r="A480" s="45"/>
      <c r="B480" s="38" t="s">
        <v>292</v>
      </c>
      <c r="C480" s="45"/>
      <c r="D480" s="45"/>
      <c r="E480" s="45"/>
    </row>
    <row r="481" spans="3:71" outlineLevel="1" x14ac:dyDescent="0.2"/>
    <row r="482" spans="3:71" outlineLevel="1" x14ac:dyDescent="0.2">
      <c r="C482" s="11" t="s">
        <v>144</v>
      </c>
    </row>
    <row r="483" spans="3:71" outlineLevel="1" x14ac:dyDescent="0.2">
      <c r="D483" t="s">
        <v>293</v>
      </c>
      <c r="I483" s="30">
        <f t="shared" ref="I483:I498" ca="1" si="1149">SUM($L483:$BS483)</f>
        <v>1752.549670857195</v>
      </c>
      <c r="J483" s="26" t="s">
        <v>148</v>
      </c>
      <c r="L483" s="49" cm="1">
        <f t="array" aca="1" ref="L483:BS483" ca="1">CA_roy_total_fp</f>
        <v>112.40062234621782</v>
      </c>
      <c r="M483" s="49">
        <f ca="1"/>
        <v>106.17689630293869</v>
      </c>
      <c r="N483" s="49">
        <f ca="1"/>
        <v>40.059355350162505</v>
      </c>
      <c r="O483" s="49">
        <f ca="1"/>
        <v>37.812423476005229</v>
      </c>
      <c r="P483" s="49">
        <f ca="1"/>
        <v>104.88619430968704</v>
      </c>
      <c r="Q483" s="49">
        <f ca="1"/>
        <v>208.48992995881528</v>
      </c>
      <c r="R483" s="49">
        <f ca="1"/>
        <v>199.00962953237419</v>
      </c>
      <c r="S483" s="49">
        <f ca="1"/>
        <v>115.5265490574</v>
      </c>
      <c r="T483" s="49">
        <f ca="1"/>
        <v>176.2846838844624</v>
      </c>
      <c r="U483" s="49">
        <f ca="1"/>
        <v>175.976204768847</v>
      </c>
      <c r="V483" s="49">
        <f ca="1"/>
        <v>166.93102784372823</v>
      </c>
      <c r="W483" s="49">
        <f ca="1"/>
        <v>158.78461074684157</v>
      </c>
      <c r="X483" s="49">
        <f ca="1"/>
        <v>150.21154327971496</v>
      </c>
      <c r="Y483" s="49">
        <f ca="1"/>
        <v>0</v>
      </c>
      <c r="Z483" s="49">
        <f ca="1"/>
        <v>0</v>
      </c>
      <c r="AA483" s="49">
        <f ca="1"/>
        <v>0</v>
      </c>
      <c r="AB483" s="49">
        <f ca="1"/>
        <v>0</v>
      </c>
      <c r="AC483" s="49">
        <f ca="1"/>
        <v>0</v>
      </c>
      <c r="AD483" s="49">
        <f ca="1"/>
        <v>0</v>
      </c>
      <c r="AE483" s="49">
        <f ca="1"/>
        <v>0</v>
      </c>
      <c r="AF483" s="49">
        <f ca="1"/>
        <v>0</v>
      </c>
      <c r="AG483" s="49">
        <f ca="1"/>
        <v>0</v>
      </c>
      <c r="AH483" s="49">
        <f ca="1"/>
        <v>0</v>
      </c>
      <c r="AI483" s="49">
        <f ca="1"/>
        <v>0</v>
      </c>
      <c r="AJ483" s="49">
        <f ca="1"/>
        <v>0</v>
      </c>
      <c r="AK483" s="49">
        <f ca="1"/>
        <v>0</v>
      </c>
      <c r="AL483" s="49">
        <f ca="1"/>
        <v>0</v>
      </c>
      <c r="AM483" s="49">
        <f ca="1"/>
        <v>0</v>
      </c>
      <c r="AN483" s="49">
        <f ca="1"/>
        <v>0</v>
      </c>
      <c r="AO483" s="49">
        <f ca="1"/>
        <v>0</v>
      </c>
      <c r="AP483" s="49">
        <f ca="1"/>
        <v>0</v>
      </c>
      <c r="AQ483" s="49">
        <f ca="1"/>
        <v>0</v>
      </c>
      <c r="AR483" s="49">
        <f ca="1"/>
        <v>0</v>
      </c>
      <c r="AS483" s="49">
        <f ca="1"/>
        <v>0</v>
      </c>
      <c r="AT483" s="49">
        <f ca="1"/>
        <v>0</v>
      </c>
      <c r="AU483" s="49">
        <f ca="1"/>
        <v>0</v>
      </c>
      <c r="AV483" s="49">
        <f ca="1"/>
        <v>0</v>
      </c>
      <c r="AW483" s="49">
        <f ca="1"/>
        <v>0</v>
      </c>
      <c r="AX483" s="49">
        <f ca="1"/>
        <v>0</v>
      </c>
      <c r="AY483" s="49">
        <f ca="1"/>
        <v>0</v>
      </c>
      <c r="AZ483" s="49">
        <f ca="1"/>
        <v>0</v>
      </c>
      <c r="BA483" s="49">
        <f ca="1"/>
        <v>0</v>
      </c>
      <c r="BB483" s="49">
        <f ca="1"/>
        <v>0</v>
      </c>
      <c r="BC483" s="49">
        <f ca="1"/>
        <v>0</v>
      </c>
      <c r="BD483" s="49">
        <f ca="1"/>
        <v>0</v>
      </c>
      <c r="BE483" s="49">
        <f ca="1"/>
        <v>0</v>
      </c>
      <c r="BF483" s="49">
        <f ca="1"/>
        <v>0</v>
      </c>
      <c r="BG483" s="49">
        <f ca="1"/>
        <v>0</v>
      </c>
      <c r="BH483" s="49">
        <f ca="1"/>
        <v>0</v>
      </c>
      <c r="BI483" s="49">
        <f ca="1"/>
        <v>0</v>
      </c>
      <c r="BJ483" s="49">
        <f ca="1"/>
        <v>0</v>
      </c>
      <c r="BK483" s="49">
        <f ca="1"/>
        <v>0</v>
      </c>
      <c r="BL483" s="49">
        <f ca="1"/>
        <v>0</v>
      </c>
      <c r="BM483" s="49">
        <f ca="1"/>
        <v>0</v>
      </c>
      <c r="BN483" s="49">
        <f ca="1"/>
        <v>0</v>
      </c>
      <c r="BO483" s="49">
        <f ca="1"/>
        <v>0</v>
      </c>
      <c r="BP483" s="49">
        <f ca="1"/>
        <v>0</v>
      </c>
      <c r="BQ483" s="49">
        <f ca="1"/>
        <v>0</v>
      </c>
      <c r="BR483" s="49">
        <f ca="1"/>
        <v>0</v>
      </c>
      <c r="BS483" s="49">
        <f ca="1"/>
        <v>0</v>
      </c>
    </row>
    <row r="484" spans="3:71" outlineLevel="1" x14ac:dyDescent="0.2">
      <c r="D484" t="s">
        <v>67</v>
      </c>
      <c r="I484" s="30">
        <f t="shared" ca="1" si="1149"/>
        <v>116.836644723813</v>
      </c>
      <c r="J484" s="26" t="s">
        <v>148</v>
      </c>
      <c r="L484" s="49" cm="1">
        <f t="array" aca="1" ref="L484:BS484" ca="1">CA_pid_fees</f>
        <v>7.4933748230811874</v>
      </c>
      <c r="M484" s="49">
        <f ca="1"/>
        <v>7.0784597535292457</v>
      </c>
      <c r="N484" s="49">
        <f ca="1"/>
        <v>2.6706236900108338</v>
      </c>
      <c r="O484" s="49">
        <f ca="1"/>
        <v>2.5208282317336823</v>
      </c>
      <c r="P484" s="49">
        <f ca="1"/>
        <v>6.9924129539791364</v>
      </c>
      <c r="Q484" s="49">
        <f ca="1"/>
        <v>13.89932866392102</v>
      </c>
      <c r="R484" s="49">
        <f ca="1"/>
        <v>13.267308635491613</v>
      </c>
      <c r="S484" s="49">
        <f ca="1"/>
        <v>7.7017699371600008</v>
      </c>
      <c r="T484" s="49">
        <f ca="1"/>
        <v>11.75231225896416</v>
      </c>
      <c r="U484" s="49">
        <f ca="1"/>
        <v>11.731746984589799</v>
      </c>
      <c r="V484" s="49">
        <f ca="1"/>
        <v>11.128735189581883</v>
      </c>
      <c r="W484" s="49">
        <f ca="1"/>
        <v>10.585640716456105</v>
      </c>
      <c r="X484" s="49">
        <f ca="1"/>
        <v>10.014102885314331</v>
      </c>
      <c r="Y484" s="49">
        <f ca="1"/>
        <v>0</v>
      </c>
      <c r="Z484" s="49">
        <f ca="1"/>
        <v>0</v>
      </c>
      <c r="AA484" s="49">
        <f ca="1"/>
        <v>0</v>
      </c>
      <c r="AB484" s="49">
        <f ca="1"/>
        <v>0</v>
      </c>
      <c r="AC484" s="49">
        <f ca="1"/>
        <v>0</v>
      </c>
      <c r="AD484" s="49">
        <f ca="1"/>
        <v>0</v>
      </c>
      <c r="AE484" s="49">
        <f ca="1"/>
        <v>0</v>
      </c>
      <c r="AF484" s="49">
        <f ca="1"/>
        <v>0</v>
      </c>
      <c r="AG484" s="49">
        <f ca="1"/>
        <v>0</v>
      </c>
      <c r="AH484" s="49">
        <f ca="1"/>
        <v>0</v>
      </c>
      <c r="AI484" s="49">
        <f ca="1"/>
        <v>0</v>
      </c>
      <c r="AJ484" s="49">
        <f ca="1"/>
        <v>0</v>
      </c>
      <c r="AK484" s="49">
        <f ca="1"/>
        <v>0</v>
      </c>
      <c r="AL484" s="49">
        <f ca="1"/>
        <v>0</v>
      </c>
      <c r="AM484" s="49">
        <f ca="1"/>
        <v>0</v>
      </c>
      <c r="AN484" s="49">
        <f ca="1"/>
        <v>0</v>
      </c>
      <c r="AO484" s="49">
        <f ca="1"/>
        <v>0</v>
      </c>
      <c r="AP484" s="49">
        <f ca="1"/>
        <v>0</v>
      </c>
      <c r="AQ484" s="49">
        <f ca="1"/>
        <v>0</v>
      </c>
      <c r="AR484" s="49">
        <f ca="1"/>
        <v>0</v>
      </c>
      <c r="AS484" s="49">
        <f ca="1"/>
        <v>0</v>
      </c>
      <c r="AT484" s="49">
        <f ca="1"/>
        <v>0</v>
      </c>
      <c r="AU484" s="49">
        <f ca="1"/>
        <v>0</v>
      </c>
      <c r="AV484" s="49">
        <f ca="1"/>
        <v>0</v>
      </c>
      <c r="AW484" s="49">
        <f ca="1"/>
        <v>0</v>
      </c>
      <c r="AX484" s="49">
        <f ca="1"/>
        <v>0</v>
      </c>
      <c r="AY484" s="49">
        <f ca="1"/>
        <v>0</v>
      </c>
      <c r="AZ484" s="49">
        <f ca="1"/>
        <v>0</v>
      </c>
      <c r="BA484" s="49">
        <f ca="1"/>
        <v>0</v>
      </c>
      <c r="BB484" s="49">
        <f ca="1"/>
        <v>0</v>
      </c>
      <c r="BC484" s="49">
        <f ca="1"/>
        <v>0</v>
      </c>
      <c r="BD484" s="49">
        <f ca="1"/>
        <v>0</v>
      </c>
      <c r="BE484" s="49">
        <f ca="1"/>
        <v>0</v>
      </c>
      <c r="BF484" s="49">
        <f ca="1"/>
        <v>0</v>
      </c>
      <c r="BG484" s="49">
        <f ca="1"/>
        <v>0</v>
      </c>
      <c r="BH484" s="49">
        <f ca="1"/>
        <v>0</v>
      </c>
      <c r="BI484" s="49">
        <f ca="1"/>
        <v>0</v>
      </c>
      <c r="BJ484" s="49">
        <f ca="1"/>
        <v>0</v>
      </c>
      <c r="BK484" s="49">
        <f ca="1"/>
        <v>0</v>
      </c>
      <c r="BL484" s="49">
        <f ca="1"/>
        <v>0</v>
      </c>
      <c r="BM484" s="49">
        <f ca="1"/>
        <v>0</v>
      </c>
      <c r="BN484" s="49">
        <f ca="1"/>
        <v>0</v>
      </c>
      <c r="BO484" s="49">
        <f ca="1"/>
        <v>0</v>
      </c>
      <c r="BP484" s="49">
        <f ca="1"/>
        <v>0</v>
      </c>
      <c r="BQ484" s="49">
        <f ca="1"/>
        <v>0</v>
      </c>
      <c r="BR484" s="49">
        <f ca="1"/>
        <v>0</v>
      </c>
      <c r="BS484" s="49">
        <f ca="1"/>
        <v>0</v>
      </c>
    </row>
    <row r="485" spans="3:71" outlineLevel="1" x14ac:dyDescent="0.2">
      <c r="D485" t="s">
        <v>85</v>
      </c>
      <c r="I485" s="30">
        <f t="shared" ca="1" si="1149"/>
        <v>85.505994076710863</v>
      </c>
      <c r="J485" s="26" t="s">
        <v>148</v>
      </c>
      <c r="L485" s="49" cm="1">
        <f t="array" aca="1" ref="L485:BS485" ca="1">CA_excess_CR_gov</f>
        <v>0</v>
      </c>
      <c r="M485" s="49">
        <f ca="1"/>
        <v>0</v>
      </c>
      <c r="N485" s="49">
        <f ca="1"/>
        <v>7.3702032440919885</v>
      </c>
      <c r="O485" s="49">
        <f ca="1"/>
        <v>19.142861964458827</v>
      </c>
      <c r="P485" s="49">
        <f ca="1"/>
        <v>0</v>
      </c>
      <c r="Q485" s="49">
        <f ca="1"/>
        <v>0</v>
      </c>
      <c r="R485" s="49">
        <f ca="1"/>
        <v>0</v>
      </c>
      <c r="S485" s="49">
        <f ca="1"/>
        <v>58.992928868160043</v>
      </c>
      <c r="T485" s="49">
        <f ca="1"/>
        <v>0</v>
      </c>
      <c r="U485" s="49">
        <f ca="1"/>
        <v>0</v>
      </c>
      <c r="V485" s="49">
        <f ca="1"/>
        <v>0</v>
      </c>
      <c r="W485" s="49">
        <f ca="1"/>
        <v>0</v>
      </c>
      <c r="X485" s="49">
        <f ca="1"/>
        <v>0</v>
      </c>
      <c r="Y485" s="49">
        <f ca="1"/>
        <v>0</v>
      </c>
      <c r="Z485" s="49">
        <f ca="1"/>
        <v>0</v>
      </c>
      <c r="AA485" s="49">
        <f ca="1"/>
        <v>0</v>
      </c>
      <c r="AB485" s="49">
        <f ca="1"/>
        <v>0</v>
      </c>
      <c r="AC485" s="49">
        <f ca="1"/>
        <v>0</v>
      </c>
      <c r="AD485" s="49">
        <f ca="1"/>
        <v>0</v>
      </c>
      <c r="AE485" s="49">
        <f ca="1"/>
        <v>0</v>
      </c>
      <c r="AF485" s="49">
        <f ca="1"/>
        <v>0</v>
      </c>
      <c r="AG485" s="49">
        <f ca="1"/>
        <v>0</v>
      </c>
      <c r="AH485" s="49">
        <f ca="1"/>
        <v>0</v>
      </c>
      <c r="AI485" s="49">
        <f ca="1"/>
        <v>0</v>
      </c>
      <c r="AJ485" s="49">
        <f ca="1"/>
        <v>0</v>
      </c>
      <c r="AK485" s="49">
        <f ca="1"/>
        <v>0</v>
      </c>
      <c r="AL485" s="49">
        <f ca="1"/>
        <v>0</v>
      </c>
      <c r="AM485" s="49">
        <f ca="1"/>
        <v>0</v>
      </c>
      <c r="AN485" s="49">
        <f ca="1"/>
        <v>0</v>
      </c>
      <c r="AO485" s="49">
        <f ca="1"/>
        <v>0</v>
      </c>
      <c r="AP485" s="49">
        <f ca="1"/>
        <v>0</v>
      </c>
      <c r="AQ485" s="49">
        <f ca="1"/>
        <v>0</v>
      </c>
      <c r="AR485" s="49">
        <f ca="1"/>
        <v>0</v>
      </c>
      <c r="AS485" s="49">
        <f ca="1"/>
        <v>0</v>
      </c>
      <c r="AT485" s="49">
        <f ca="1"/>
        <v>0</v>
      </c>
      <c r="AU485" s="49">
        <f ca="1"/>
        <v>0</v>
      </c>
      <c r="AV485" s="49">
        <f ca="1"/>
        <v>0</v>
      </c>
      <c r="AW485" s="49">
        <f ca="1"/>
        <v>0</v>
      </c>
      <c r="AX485" s="49">
        <f ca="1"/>
        <v>0</v>
      </c>
      <c r="AY485" s="49">
        <f ca="1"/>
        <v>0</v>
      </c>
      <c r="AZ485" s="49">
        <f ca="1"/>
        <v>0</v>
      </c>
      <c r="BA485" s="49">
        <f ca="1"/>
        <v>0</v>
      </c>
      <c r="BB485" s="49">
        <f ca="1"/>
        <v>0</v>
      </c>
      <c r="BC485" s="49">
        <f ca="1"/>
        <v>0</v>
      </c>
      <c r="BD485" s="49">
        <f ca="1"/>
        <v>0</v>
      </c>
      <c r="BE485" s="49">
        <f ca="1"/>
        <v>0</v>
      </c>
      <c r="BF485" s="49">
        <f ca="1"/>
        <v>0</v>
      </c>
      <c r="BG485" s="49">
        <f ca="1"/>
        <v>0</v>
      </c>
      <c r="BH485" s="49">
        <f ca="1"/>
        <v>0</v>
      </c>
      <c r="BI485" s="49">
        <f ca="1"/>
        <v>0</v>
      </c>
      <c r="BJ485" s="49">
        <f ca="1"/>
        <v>0</v>
      </c>
      <c r="BK485" s="49">
        <f ca="1"/>
        <v>0</v>
      </c>
      <c r="BL485" s="49">
        <f ca="1"/>
        <v>0</v>
      </c>
      <c r="BM485" s="49">
        <f ca="1"/>
        <v>0</v>
      </c>
      <c r="BN485" s="49">
        <f ca="1"/>
        <v>0</v>
      </c>
      <c r="BO485" s="49">
        <f ca="1"/>
        <v>0</v>
      </c>
      <c r="BP485" s="49">
        <f ca="1"/>
        <v>0</v>
      </c>
      <c r="BQ485" s="49">
        <f ca="1"/>
        <v>0</v>
      </c>
      <c r="BR485" s="49">
        <f ca="1"/>
        <v>0</v>
      </c>
      <c r="BS485" s="49">
        <f ca="1"/>
        <v>0</v>
      </c>
    </row>
    <row r="486" spans="3:71" outlineLevel="1" x14ac:dyDescent="0.2">
      <c r="D486" t="s">
        <v>294</v>
      </c>
      <c r="I486" s="30">
        <f t="shared" ca="1" si="1149"/>
        <v>2660.9338329532516</v>
      </c>
      <c r="J486" s="26" t="s">
        <v>148</v>
      </c>
      <c r="L486" s="49" cm="1">
        <f t="array" aca="1" ref="L486:BS486" ca="1">CA_Spo_gov</f>
        <v>61.985769892971192</v>
      </c>
      <c r="M486" s="49">
        <f ca="1"/>
        <v>25.159168200357517</v>
      </c>
      <c r="N486" s="49">
        <f ca="1"/>
        <v>52.597666496670996</v>
      </c>
      <c r="O486" s="49">
        <f ca="1"/>
        <v>31.520704743129137</v>
      </c>
      <c r="P486" s="49">
        <f ca="1"/>
        <v>168.26768604189351</v>
      </c>
      <c r="Q486" s="49">
        <f ca="1"/>
        <v>375.92014569266644</v>
      </c>
      <c r="R486" s="49">
        <f ca="1"/>
        <v>349.51961350080228</v>
      </c>
      <c r="S486" s="49">
        <f ca="1"/>
        <v>95.550142813019988</v>
      </c>
      <c r="T486" s="49">
        <f ca="1"/>
        <v>313.94877188852013</v>
      </c>
      <c r="U486" s="49">
        <f ca="1"/>
        <v>320.27669267930145</v>
      </c>
      <c r="V486" s="49">
        <f ca="1"/>
        <v>303.81447067558543</v>
      </c>
      <c r="W486" s="49">
        <f ca="1"/>
        <v>288.98799155925167</v>
      </c>
      <c r="X486" s="49">
        <f ca="1"/>
        <v>273.38500876908125</v>
      </c>
      <c r="Y486" s="49">
        <f ca="1"/>
        <v>0</v>
      </c>
      <c r="Z486" s="49">
        <f ca="1"/>
        <v>0</v>
      </c>
      <c r="AA486" s="49">
        <f ca="1"/>
        <v>0</v>
      </c>
      <c r="AB486" s="49">
        <f ca="1"/>
        <v>0</v>
      </c>
      <c r="AC486" s="49">
        <f ca="1"/>
        <v>0</v>
      </c>
      <c r="AD486" s="49">
        <f ca="1"/>
        <v>0</v>
      </c>
      <c r="AE486" s="49">
        <f ca="1"/>
        <v>0</v>
      </c>
      <c r="AF486" s="49">
        <f ca="1"/>
        <v>0</v>
      </c>
      <c r="AG486" s="49">
        <f ca="1"/>
        <v>0</v>
      </c>
      <c r="AH486" s="49">
        <f ca="1"/>
        <v>0</v>
      </c>
      <c r="AI486" s="49">
        <f ca="1"/>
        <v>0</v>
      </c>
      <c r="AJ486" s="49">
        <f ca="1"/>
        <v>0</v>
      </c>
      <c r="AK486" s="49">
        <f ca="1"/>
        <v>0</v>
      </c>
      <c r="AL486" s="49">
        <f ca="1"/>
        <v>0</v>
      </c>
      <c r="AM486" s="49">
        <f ca="1"/>
        <v>0</v>
      </c>
      <c r="AN486" s="49">
        <f ca="1"/>
        <v>0</v>
      </c>
      <c r="AO486" s="49">
        <f ca="1"/>
        <v>0</v>
      </c>
      <c r="AP486" s="49">
        <f ca="1"/>
        <v>0</v>
      </c>
      <c r="AQ486" s="49">
        <f ca="1"/>
        <v>0</v>
      </c>
      <c r="AR486" s="49">
        <f ca="1"/>
        <v>0</v>
      </c>
      <c r="AS486" s="49">
        <f ca="1"/>
        <v>0</v>
      </c>
      <c r="AT486" s="49">
        <f ca="1"/>
        <v>0</v>
      </c>
      <c r="AU486" s="49">
        <f ca="1"/>
        <v>0</v>
      </c>
      <c r="AV486" s="49">
        <f ca="1"/>
        <v>0</v>
      </c>
      <c r="AW486" s="49">
        <f ca="1"/>
        <v>0</v>
      </c>
      <c r="AX486" s="49">
        <f ca="1"/>
        <v>0</v>
      </c>
      <c r="AY486" s="49">
        <f ca="1"/>
        <v>0</v>
      </c>
      <c r="AZ486" s="49">
        <f ca="1"/>
        <v>0</v>
      </c>
      <c r="BA486" s="49">
        <f ca="1"/>
        <v>0</v>
      </c>
      <c r="BB486" s="49">
        <f ca="1"/>
        <v>0</v>
      </c>
      <c r="BC486" s="49">
        <f ca="1"/>
        <v>0</v>
      </c>
      <c r="BD486" s="49">
        <f ca="1"/>
        <v>0</v>
      </c>
      <c r="BE486" s="49">
        <f ca="1"/>
        <v>0</v>
      </c>
      <c r="BF486" s="49">
        <f ca="1"/>
        <v>0</v>
      </c>
      <c r="BG486" s="49">
        <f ca="1"/>
        <v>0</v>
      </c>
      <c r="BH486" s="49">
        <f ca="1"/>
        <v>0</v>
      </c>
      <c r="BI486" s="49">
        <f ca="1"/>
        <v>0</v>
      </c>
      <c r="BJ486" s="49">
        <f ca="1"/>
        <v>0</v>
      </c>
      <c r="BK486" s="49">
        <f ca="1"/>
        <v>0</v>
      </c>
      <c r="BL486" s="49">
        <f ca="1"/>
        <v>0</v>
      </c>
      <c r="BM486" s="49">
        <f ca="1"/>
        <v>0</v>
      </c>
      <c r="BN486" s="49">
        <f ca="1"/>
        <v>0</v>
      </c>
      <c r="BO486" s="49">
        <f ca="1"/>
        <v>0</v>
      </c>
      <c r="BP486" s="49">
        <f ca="1"/>
        <v>0</v>
      </c>
      <c r="BQ486" s="49">
        <f ca="1"/>
        <v>0</v>
      </c>
      <c r="BR486" s="49">
        <f ca="1"/>
        <v>0</v>
      </c>
      <c r="BS486" s="49">
        <f ca="1"/>
        <v>0</v>
      </c>
    </row>
    <row r="487" spans="3:71" outlineLevel="1" x14ac:dyDescent="0.2">
      <c r="D487" t="s">
        <v>226</v>
      </c>
      <c r="I487" s="30">
        <f t="shared" ca="1" si="1149"/>
        <v>1451.3191618758417</v>
      </c>
      <c r="J487" s="26" t="s">
        <v>148</v>
      </c>
      <c r="L487" s="49" cm="1">
        <f t="array" aca="1" ref="L487:BS487" ca="1">CA_PS_gov</f>
        <v>79.855739233931246</v>
      </c>
      <c r="M487" s="49">
        <f ca="1"/>
        <v>82.874871651656264</v>
      </c>
      <c r="N487" s="49">
        <f ca="1"/>
        <v>43.772417730165621</v>
      </c>
      <c r="O487" s="49">
        <f ca="1"/>
        <v>48.781177959716146</v>
      </c>
      <c r="P487" s="49">
        <f ca="1"/>
        <v>100.9402126863032</v>
      </c>
      <c r="Q487" s="49">
        <f ca="1"/>
        <v>159.20400786829271</v>
      </c>
      <c r="R487" s="49">
        <f ca="1"/>
        <v>161.27176896562474</v>
      </c>
      <c r="S487" s="49">
        <f ca="1"/>
        <v>149.34918700800006</v>
      </c>
      <c r="T487" s="49">
        <f ca="1"/>
        <v>138.51525008159996</v>
      </c>
      <c r="U487" s="49">
        <f ca="1"/>
        <v>131.39556622740577</v>
      </c>
      <c r="V487" s="49">
        <f ca="1"/>
        <v>124.64183412331703</v>
      </c>
      <c r="W487" s="49">
        <f ca="1"/>
        <v>118.55917602430841</v>
      </c>
      <c r="X487" s="49">
        <f ca="1"/>
        <v>112.15795231552053</v>
      </c>
      <c r="Y487" s="49">
        <f ca="1"/>
        <v>0</v>
      </c>
      <c r="Z487" s="49">
        <f ca="1"/>
        <v>0</v>
      </c>
      <c r="AA487" s="49">
        <f ca="1"/>
        <v>0</v>
      </c>
      <c r="AB487" s="49">
        <f ca="1"/>
        <v>0</v>
      </c>
      <c r="AC487" s="49">
        <f ca="1"/>
        <v>0</v>
      </c>
      <c r="AD487" s="49">
        <f ca="1"/>
        <v>0</v>
      </c>
      <c r="AE487" s="49">
        <f ca="1"/>
        <v>0</v>
      </c>
      <c r="AF487" s="49">
        <f ca="1"/>
        <v>0</v>
      </c>
      <c r="AG487" s="49">
        <f ca="1"/>
        <v>0</v>
      </c>
      <c r="AH487" s="49">
        <f ca="1"/>
        <v>0</v>
      </c>
      <c r="AI487" s="49">
        <f ca="1"/>
        <v>0</v>
      </c>
      <c r="AJ487" s="49">
        <f ca="1"/>
        <v>0</v>
      </c>
      <c r="AK487" s="49">
        <f ca="1"/>
        <v>0</v>
      </c>
      <c r="AL487" s="49">
        <f ca="1"/>
        <v>0</v>
      </c>
      <c r="AM487" s="49">
        <f ca="1"/>
        <v>0</v>
      </c>
      <c r="AN487" s="49">
        <f ca="1"/>
        <v>0</v>
      </c>
      <c r="AO487" s="49">
        <f ca="1"/>
        <v>0</v>
      </c>
      <c r="AP487" s="49">
        <f ca="1"/>
        <v>0</v>
      </c>
      <c r="AQ487" s="49">
        <f ca="1"/>
        <v>0</v>
      </c>
      <c r="AR487" s="49">
        <f ca="1"/>
        <v>0</v>
      </c>
      <c r="AS487" s="49">
        <f ca="1"/>
        <v>0</v>
      </c>
      <c r="AT487" s="49">
        <f ca="1"/>
        <v>0</v>
      </c>
      <c r="AU487" s="49">
        <f ca="1"/>
        <v>0</v>
      </c>
      <c r="AV487" s="49">
        <f ca="1"/>
        <v>0</v>
      </c>
      <c r="AW487" s="49">
        <f ca="1"/>
        <v>0</v>
      </c>
      <c r="AX487" s="49">
        <f ca="1"/>
        <v>0</v>
      </c>
      <c r="AY487" s="49">
        <f ca="1"/>
        <v>0</v>
      </c>
      <c r="AZ487" s="49">
        <f ca="1"/>
        <v>0</v>
      </c>
      <c r="BA487" s="49">
        <f ca="1"/>
        <v>0</v>
      </c>
      <c r="BB487" s="49">
        <f ca="1"/>
        <v>0</v>
      </c>
      <c r="BC487" s="49">
        <f ca="1"/>
        <v>0</v>
      </c>
      <c r="BD487" s="49">
        <f ca="1"/>
        <v>0</v>
      </c>
      <c r="BE487" s="49">
        <f ca="1"/>
        <v>0</v>
      </c>
      <c r="BF487" s="49">
        <f ca="1"/>
        <v>0</v>
      </c>
      <c r="BG487" s="49">
        <f ca="1"/>
        <v>0</v>
      </c>
      <c r="BH487" s="49">
        <f ca="1"/>
        <v>0</v>
      </c>
      <c r="BI487" s="49">
        <f ca="1"/>
        <v>0</v>
      </c>
      <c r="BJ487" s="49">
        <f ca="1"/>
        <v>0</v>
      </c>
      <c r="BK487" s="49">
        <f ca="1"/>
        <v>0</v>
      </c>
      <c r="BL487" s="49">
        <f ca="1"/>
        <v>0</v>
      </c>
      <c r="BM487" s="49">
        <f ca="1"/>
        <v>0</v>
      </c>
      <c r="BN487" s="49">
        <f ca="1"/>
        <v>0</v>
      </c>
      <c r="BO487" s="49">
        <f ca="1"/>
        <v>0</v>
      </c>
      <c r="BP487" s="49">
        <f ca="1"/>
        <v>0</v>
      </c>
      <c r="BQ487" s="49">
        <f ca="1"/>
        <v>0</v>
      </c>
      <c r="BR487" s="49">
        <f ca="1"/>
        <v>0</v>
      </c>
      <c r="BS487" s="49">
        <f ca="1"/>
        <v>0</v>
      </c>
    </row>
    <row r="488" spans="3:71" outlineLevel="1" x14ac:dyDescent="0.2">
      <c r="D488" t="s">
        <v>295</v>
      </c>
      <c r="I488" s="30">
        <f t="shared" si="1149"/>
        <v>0</v>
      </c>
      <c r="J488" s="26" t="s">
        <v>148</v>
      </c>
      <c r="L488" s="49">
        <v>0</v>
      </c>
      <c r="M488" s="49">
        <v>0</v>
      </c>
      <c r="N488" s="49">
        <v>0</v>
      </c>
      <c r="O488" s="49">
        <v>0</v>
      </c>
      <c r="P488" s="49">
        <v>0</v>
      </c>
      <c r="Q488" s="49">
        <v>0</v>
      </c>
      <c r="R488" s="49">
        <v>0</v>
      </c>
      <c r="S488" s="49">
        <v>0</v>
      </c>
      <c r="T488" s="49">
        <v>0</v>
      </c>
      <c r="U488" s="49">
        <v>0</v>
      </c>
      <c r="V488" s="49">
        <v>0</v>
      </c>
      <c r="W488" s="49">
        <v>0</v>
      </c>
      <c r="X488" s="49">
        <v>0</v>
      </c>
      <c r="Y488" s="49">
        <v>0</v>
      </c>
      <c r="Z488" s="49">
        <v>0</v>
      </c>
      <c r="AA488" s="49">
        <v>0</v>
      </c>
      <c r="AB488" s="49">
        <v>0</v>
      </c>
      <c r="AC488" s="49">
        <v>0</v>
      </c>
      <c r="AD488" s="49">
        <v>0</v>
      </c>
      <c r="AE488" s="49">
        <v>0</v>
      </c>
      <c r="AF488" s="49">
        <v>0</v>
      </c>
      <c r="AG488" s="49">
        <v>0</v>
      </c>
      <c r="AH488" s="49">
        <v>0</v>
      </c>
      <c r="AI488" s="49">
        <v>0</v>
      </c>
      <c r="AJ488" s="49">
        <v>0</v>
      </c>
      <c r="AK488" s="49">
        <v>0</v>
      </c>
      <c r="AL488" s="49">
        <v>0</v>
      </c>
      <c r="AM488" s="49">
        <v>0</v>
      </c>
      <c r="AN488" s="49">
        <v>0</v>
      </c>
      <c r="AO488" s="49">
        <v>0</v>
      </c>
      <c r="AP488" s="49">
        <v>0</v>
      </c>
      <c r="AQ488" s="49">
        <v>0</v>
      </c>
      <c r="AR488" s="49">
        <v>0</v>
      </c>
      <c r="AS488" s="49">
        <v>0</v>
      </c>
      <c r="AT488" s="49">
        <v>0</v>
      </c>
      <c r="AU488" s="49">
        <v>0</v>
      </c>
      <c r="AV488" s="49">
        <v>0</v>
      </c>
      <c r="AW488" s="49">
        <v>0</v>
      </c>
      <c r="AX488" s="49">
        <v>0</v>
      </c>
      <c r="AY488" s="49">
        <v>0</v>
      </c>
      <c r="AZ488" s="49">
        <v>0</v>
      </c>
      <c r="BA488" s="49">
        <v>0</v>
      </c>
      <c r="BB488" s="49">
        <v>0</v>
      </c>
      <c r="BC488" s="49">
        <v>0</v>
      </c>
      <c r="BD488" s="49">
        <v>0</v>
      </c>
      <c r="BE488" s="49">
        <v>0</v>
      </c>
      <c r="BF488" s="49">
        <v>0</v>
      </c>
      <c r="BG488" s="49">
        <v>0</v>
      </c>
      <c r="BH488" s="49">
        <v>0</v>
      </c>
      <c r="BI488" s="49">
        <v>0</v>
      </c>
      <c r="BJ488" s="49">
        <v>0</v>
      </c>
      <c r="BK488" s="49">
        <v>0</v>
      </c>
      <c r="BL488" s="49">
        <v>0</v>
      </c>
      <c r="BM488" s="49">
        <v>0</v>
      </c>
      <c r="BN488" s="49">
        <v>0</v>
      </c>
      <c r="BO488" s="49">
        <v>0</v>
      </c>
      <c r="BP488" s="49">
        <v>0</v>
      </c>
      <c r="BQ488" s="49">
        <v>0</v>
      </c>
      <c r="BR488" s="49">
        <v>0</v>
      </c>
      <c r="BS488" s="49">
        <v>0</v>
      </c>
    </row>
    <row r="489" spans="3:71" outlineLevel="1" x14ac:dyDescent="0.2">
      <c r="D489" t="s">
        <v>274</v>
      </c>
      <c r="I489" s="30">
        <f t="shared" si="1149"/>
        <v>0</v>
      </c>
      <c r="J489" s="26" t="s">
        <v>148</v>
      </c>
      <c r="L489" s="49">
        <v>0</v>
      </c>
      <c r="M489" s="49">
        <v>0</v>
      </c>
      <c r="N489" s="49">
        <v>0</v>
      </c>
      <c r="O489" s="49">
        <v>0</v>
      </c>
      <c r="P489" s="49">
        <v>0</v>
      </c>
      <c r="Q489" s="49">
        <v>0</v>
      </c>
      <c r="R489" s="49">
        <v>0</v>
      </c>
      <c r="S489" s="49">
        <v>0</v>
      </c>
      <c r="T489" s="49">
        <v>0</v>
      </c>
      <c r="U489" s="49">
        <v>0</v>
      </c>
      <c r="V489" s="49">
        <v>0</v>
      </c>
      <c r="W489" s="49">
        <v>0</v>
      </c>
      <c r="X489" s="49">
        <v>0</v>
      </c>
      <c r="Y489" s="49">
        <v>0</v>
      </c>
      <c r="Z489" s="49">
        <v>0</v>
      </c>
      <c r="AA489" s="49">
        <v>0</v>
      </c>
      <c r="AB489" s="49">
        <v>0</v>
      </c>
      <c r="AC489" s="49">
        <v>0</v>
      </c>
      <c r="AD489" s="49">
        <v>0</v>
      </c>
      <c r="AE489" s="49">
        <v>0</v>
      </c>
      <c r="AF489" s="49">
        <v>0</v>
      </c>
      <c r="AG489" s="49">
        <v>0</v>
      </c>
      <c r="AH489" s="49">
        <v>0</v>
      </c>
      <c r="AI489" s="49">
        <v>0</v>
      </c>
      <c r="AJ489" s="49">
        <v>0</v>
      </c>
      <c r="AK489" s="49">
        <v>0</v>
      </c>
      <c r="AL489" s="49">
        <v>0</v>
      </c>
      <c r="AM489" s="49">
        <v>0</v>
      </c>
      <c r="AN489" s="49">
        <v>0</v>
      </c>
      <c r="AO489" s="49">
        <v>0</v>
      </c>
      <c r="AP489" s="49">
        <v>0</v>
      </c>
      <c r="AQ489" s="49">
        <v>0</v>
      </c>
      <c r="AR489" s="49">
        <v>0</v>
      </c>
      <c r="AS489" s="49">
        <v>0</v>
      </c>
      <c r="AT489" s="49">
        <v>0</v>
      </c>
      <c r="AU489" s="49">
        <v>0</v>
      </c>
      <c r="AV489" s="49">
        <v>0</v>
      </c>
      <c r="AW489" s="49">
        <v>0</v>
      </c>
      <c r="AX489" s="49">
        <v>0</v>
      </c>
      <c r="AY489" s="49">
        <v>0</v>
      </c>
      <c r="AZ489" s="49">
        <v>0</v>
      </c>
      <c r="BA489" s="49">
        <v>0</v>
      </c>
      <c r="BB489" s="49">
        <v>0</v>
      </c>
      <c r="BC489" s="49">
        <v>0</v>
      </c>
      <c r="BD489" s="49">
        <v>0</v>
      </c>
      <c r="BE489" s="49">
        <v>0</v>
      </c>
      <c r="BF489" s="49">
        <v>0</v>
      </c>
      <c r="BG489" s="49">
        <v>0</v>
      </c>
      <c r="BH489" s="49">
        <v>0</v>
      </c>
      <c r="BI489" s="49">
        <v>0</v>
      </c>
      <c r="BJ489" s="49">
        <v>0</v>
      </c>
      <c r="BK489" s="49">
        <v>0</v>
      </c>
      <c r="BL489" s="49">
        <v>0</v>
      </c>
      <c r="BM489" s="49">
        <v>0</v>
      </c>
      <c r="BN489" s="49">
        <v>0</v>
      </c>
      <c r="BO489" s="49">
        <v>0</v>
      </c>
      <c r="BP489" s="49">
        <v>0</v>
      </c>
      <c r="BQ489" s="49">
        <v>0</v>
      </c>
      <c r="BR489" s="49">
        <v>0</v>
      </c>
      <c r="BS489" s="49">
        <v>0</v>
      </c>
    </row>
    <row r="490" spans="3:71" outlineLevel="1" x14ac:dyDescent="0.2">
      <c r="D490" t="s">
        <v>296</v>
      </c>
      <c r="I490" s="30">
        <f t="shared" si="1149"/>
        <v>0</v>
      </c>
      <c r="J490" s="26" t="s">
        <v>148</v>
      </c>
      <c r="L490" s="49">
        <v>0</v>
      </c>
      <c r="M490" s="49">
        <v>0</v>
      </c>
      <c r="N490" s="49">
        <v>0</v>
      </c>
      <c r="O490" s="49">
        <v>0</v>
      </c>
      <c r="P490" s="49">
        <v>0</v>
      </c>
      <c r="Q490" s="49">
        <v>0</v>
      </c>
      <c r="R490" s="49">
        <v>0</v>
      </c>
      <c r="S490" s="49">
        <v>0</v>
      </c>
      <c r="T490" s="49">
        <v>0</v>
      </c>
      <c r="U490" s="49">
        <v>0</v>
      </c>
      <c r="V490" s="49">
        <v>0</v>
      </c>
      <c r="W490" s="49">
        <v>0</v>
      </c>
      <c r="X490" s="49">
        <v>0</v>
      </c>
      <c r="Y490" s="49">
        <v>0</v>
      </c>
      <c r="Z490" s="49">
        <v>0</v>
      </c>
      <c r="AA490" s="49">
        <v>0</v>
      </c>
      <c r="AB490" s="49">
        <v>0</v>
      </c>
      <c r="AC490" s="49">
        <v>0</v>
      </c>
      <c r="AD490" s="49">
        <v>0</v>
      </c>
      <c r="AE490" s="49">
        <v>0</v>
      </c>
      <c r="AF490" s="49">
        <v>0</v>
      </c>
      <c r="AG490" s="49">
        <v>0</v>
      </c>
      <c r="AH490" s="49">
        <v>0</v>
      </c>
      <c r="AI490" s="49">
        <v>0</v>
      </c>
      <c r="AJ490" s="49">
        <v>0</v>
      </c>
      <c r="AK490" s="49">
        <v>0</v>
      </c>
      <c r="AL490" s="49">
        <v>0</v>
      </c>
      <c r="AM490" s="49">
        <v>0</v>
      </c>
      <c r="AN490" s="49">
        <v>0</v>
      </c>
      <c r="AO490" s="49">
        <v>0</v>
      </c>
      <c r="AP490" s="49">
        <v>0</v>
      </c>
      <c r="AQ490" s="49">
        <v>0</v>
      </c>
      <c r="AR490" s="49">
        <v>0</v>
      </c>
      <c r="AS490" s="49">
        <v>0</v>
      </c>
      <c r="AT490" s="49">
        <v>0</v>
      </c>
      <c r="AU490" s="49">
        <v>0</v>
      </c>
      <c r="AV490" s="49">
        <v>0</v>
      </c>
      <c r="AW490" s="49">
        <v>0</v>
      </c>
      <c r="AX490" s="49">
        <v>0</v>
      </c>
      <c r="AY490" s="49">
        <v>0</v>
      </c>
      <c r="AZ490" s="49">
        <v>0</v>
      </c>
      <c r="BA490" s="49">
        <v>0</v>
      </c>
      <c r="BB490" s="49">
        <v>0</v>
      </c>
      <c r="BC490" s="49">
        <v>0</v>
      </c>
      <c r="BD490" s="49">
        <v>0</v>
      </c>
      <c r="BE490" s="49">
        <v>0</v>
      </c>
      <c r="BF490" s="49">
        <v>0</v>
      </c>
      <c r="BG490" s="49">
        <v>0</v>
      </c>
      <c r="BH490" s="49">
        <v>0</v>
      </c>
      <c r="BI490" s="49">
        <v>0</v>
      </c>
      <c r="BJ490" s="49">
        <v>0</v>
      </c>
      <c r="BK490" s="49">
        <v>0</v>
      </c>
      <c r="BL490" s="49">
        <v>0</v>
      </c>
      <c r="BM490" s="49">
        <v>0</v>
      </c>
      <c r="BN490" s="49">
        <v>0</v>
      </c>
      <c r="BO490" s="49">
        <v>0</v>
      </c>
      <c r="BP490" s="49">
        <v>0</v>
      </c>
      <c r="BQ490" s="49">
        <v>0</v>
      </c>
      <c r="BR490" s="49">
        <v>0</v>
      </c>
      <c r="BS490" s="49">
        <v>0</v>
      </c>
    </row>
    <row r="491" spans="3:71" outlineLevel="1" x14ac:dyDescent="0.2">
      <c r="C491" s="11" t="s">
        <v>297</v>
      </c>
    </row>
    <row r="492" spans="3:71" outlineLevel="1" x14ac:dyDescent="0.2">
      <c r="D492" t="s">
        <v>298</v>
      </c>
      <c r="I492" s="30">
        <f t="shared" si="1149"/>
        <v>0</v>
      </c>
      <c r="J492" s="26" t="s">
        <v>148</v>
      </c>
      <c r="L492" s="49">
        <v>0</v>
      </c>
      <c r="M492" s="49">
        <v>0</v>
      </c>
      <c r="N492" s="49">
        <v>0</v>
      </c>
      <c r="O492" s="49">
        <v>0</v>
      </c>
      <c r="P492" s="49">
        <v>0</v>
      </c>
      <c r="Q492" s="49">
        <v>0</v>
      </c>
      <c r="R492" s="49">
        <v>0</v>
      </c>
      <c r="S492" s="49">
        <v>0</v>
      </c>
      <c r="T492" s="49">
        <v>0</v>
      </c>
      <c r="U492" s="49">
        <v>0</v>
      </c>
      <c r="V492" s="49">
        <v>0</v>
      </c>
      <c r="W492" s="49">
        <v>0</v>
      </c>
      <c r="X492" s="49">
        <v>0</v>
      </c>
      <c r="Y492" s="49">
        <v>0</v>
      </c>
      <c r="Z492" s="49">
        <v>0</v>
      </c>
      <c r="AA492" s="49">
        <v>0</v>
      </c>
      <c r="AB492" s="49">
        <v>0</v>
      </c>
      <c r="AC492" s="49">
        <v>0</v>
      </c>
      <c r="AD492" s="49">
        <v>0</v>
      </c>
      <c r="AE492" s="49">
        <v>0</v>
      </c>
      <c r="AF492" s="49">
        <v>0</v>
      </c>
      <c r="AG492" s="49">
        <v>0</v>
      </c>
      <c r="AH492" s="49">
        <v>0</v>
      </c>
      <c r="AI492" s="49">
        <v>0</v>
      </c>
      <c r="AJ492" s="49">
        <v>0</v>
      </c>
      <c r="AK492" s="49">
        <v>0</v>
      </c>
      <c r="AL492" s="49">
        <v>0</v>
      </c>
      <c r="AM492" s="49">
        <v>0</v>
      </c>
      <c r="AN492" s="49">
        <v>0</v>
      </c>
      <c r="AO492" s="49">
        <v>0</v>
      </c>
      <c r="AP492" s="49">
        <v>0</v>
      </c>
      <c r="AQ492" s="49">
        <v>0</v>
      </c>
      <c r="AR492" s="49">
        <v>0</v>
      </c>
      <c r="AS492" s="49">
        <v>0</v>
      </c>
      <c r="AT492" s="49">
        <v>0</v>
      </c>
      <c r="AU492" s="49">
        <v>0</v>
      </c>
      <c r="AV492" s="49">
        <v>0</v>
      </c>
      <c r="AW492" s="49">
        <v>0</v>
      </c>
      <c r="AX492" s="49">
        <v>0</v>
      </c>
      <c r="AY492" s="49">
        <v>0</v>
      </c>
      <c r="AZ492" s="49">
        <v>0</v>
      </c>
      <c r="BA492" s="49">
        <v>0</v>
      </c>
      <c r="BB492" s="49">
        <v>0</v>
      </c>
      <c r="BC492" s="49">
        <v>0</v>
      </c>
      <c r="BD492" s="49">
        <v>0</v>
      </c>
      <c r="BE492" s="49">
        <v>0</v>
      </c>
      <c r="BF492" s="49">
        <v>0</v>
      </c>
      <c r="BG492" s="49">
        <v>0</v>
      </c>
      <c r="BH492" s="49">
        <v>0</v>
      </c>
      <c r="BI492" s="49">
        <v>0</v>
      </c>
      <c r="BJ492" s="49">
        <v>0</v>
      </c>
      <c r="BK492" s="49">
        <v>0</v>
      </c>
      <c r="BL492" s="49">
        <v>0</v>
      </c>
      <c r="BM492" s="49">
        <v>0</v>
      </c>
      <c r="BN492" s="49">
        <v>0</v>
      </c>
      <c r="BO492" s="49">
        <v>0</v>
      </c>
      <c r="BP492" s="49">
        <v>0</v>
      </c>
      <c r="BQ492" s="49">
        <v>0</v>
      </c>
      <c r="BR492" s="49">
        <v>0</v>
      </c>
      <c r="BS492" s="49">
        <v>0</v>
      </c>
    </row>
    <row r="493" spans="3:71" outlineLevel="1" x14ac:dyDescent="0.2">
      <c r="D493" t="s">
        <v>299</v>
      </c>
      <c r="I493" s="30">
        <f t="shared" si="1149"/>
        <v>0</v>
      </c>
      <c r="J493" s="26" t="s">
        <v>148</v>
      </c>
      <c r="L493" s="49">
        <v>0</v>
      </c>
      <c r="M493" s="49">
        <v>0</v>
      </c>
      <c r="N493" s="49">
        <v>0</v>
      </c>
      <c r="O493" s="49">
        <v>0</v>
      </c>
      <c r="P493" s="49">
        <v>0</v>
      </c>
      <c r="Q493" s="49">
        <v>0</v>
      </c>
      <c r="R493" s="49">
        <v>0</v>
      </c>
      <c r="S493" s="49">
        <v>0</v>
      </c>
      <c r="T493" s="49">
        <v>0</v>
      </c>
      <c r="U493" s="49">
        <v>0</v>
      </c>
      <c r="V493" s="49">
        <v>0</v>
      </c>
      <c r="W493" s="49">
        <v>0</v>
      </c>
      <c r="X493" s="49">
        <v>0</v>
      </c>
      <c r="Y493" s="49">
        <v>0</v>
      </c>
      <c r="Z493" s="49">
        <v>0</v>
      </c>
      <c r="AA493" s="49">
        <v>0</v>
      </c>
      <c r="AB493" s="49">
        <v>0</v>
      </c>
      <c r="AC493" s="49">
        <v>0</v>
      </c>
      <c r="AD493" s="49">
        <v>0</v>
      </c>
      <c r="AE493" s="49">
        <v>0</v>
      </c>
      <c r="AF493" s="49">
        <v>0</v>
      </c>
      <c r="AG493" s="49">
        <v>0</v>
      </c>
      <c r="AH493" s="49">
        <v>0</v>
      </c>
      <c r="AI493" s="49">
        <v>0</v>
      </c>
      <c r="AJ493" s="49">
        <v>0</v>
      </c>
      <c r="AK493" s="49">
        <v>0</v>
      </c>
      <c r="AL493" s="49">
        <v>0</v>
      </c>
      <c r="AM493" s="49">
        <v>0</v>
      </c>
      <c r="AN493" s="49">
        <v>0</v>
      </c>
      <c r="AO493" s="49">
        <v>0</v>
      </c>
      <c r="AP493" s="49">
        <v>0</v>
      </c>
      <c r="AQ493" s="49">
        <v>0</v>
      </c>
      <c r="AR493" s="49">
        <v>0</v>
      </c>
      <c r="AS493" s="49">
        <v>0</v>
      </c>
      <c r="AT493" s="49">
        <v>0</v>
      </c>
      <c r="AU493" s="49">
        <v>0</v>
      </c>
      <c r="AV493" s="49">
        <v>0</v>
      </c>
      <c r="AW493" s="49">
        <v>0</v>
      </c>
      <c r="AX493" s="49">
        <v>0</v>
      </c>
      <c r="AY493" s="49">
        <v>0</v>
      </c>
      <c r="AZ493" s="49">
        <v>0</v>
      </c>
      <c r="BA493" s="49">
        <v>0</v>
      </c>
      <c r="BB493" s="49">
        <v>0</v>
      </c>
      <c r="BC493" s="49">
        <v>0</v>
      </c>
      <c r="BD493" s="49">
        <v>0</v>
      </c>
      <c r="BE493" s="49">
        <v>0</v>
      </c>
      <c r="BF493" s="49">
        <v>0</v>
      </c>
      <c r="BG493" s="49">
        <v>0</v>
      </c>
      <c r="BH493" s="49">
        <v>0</v>
      </c>
      <c r="BI493" s="49">
        <v>0</v>
      </c>
      <c r="BJ493" s="49">
        <v>0</v>
      </c>
      <c r="BK493" s="49">
        <v>0</v>
      </c>
      <c r="BL493" s="49">
        <v>0</v>
      </c>
      <c r="BM493" s="49">
        <v>0</v>
      </c>
      <c r="BN493" s="49">
        <v>0</v>
      </c>
      <c r="BO493" s="49">
        <v>0</v>
      </c>
      <c r="BP493" s="49">
        <v>0</v>
      </c>
      <c r="BQ493" s="49">
        <v>0</v>
      </c>
      <c r="BR493" s="49">
        <v>0</v>
      </c>
      <c r="BS493" s="49">
        <v>0</v>
      </c>
    </row>
    <row r="494" spans="3:71" outlineLevel="1" x14ac:dyDescent="0.2"/>
    <row r="495" spans="3:71" outlineLevel="1" x14ac:dyDescent="0.2">
      <c r="C495" s="11" t="s">
        <v>300</v>
      </c>
      <c r="H495" s="64" t="b">
        <f ca="1">ROUND(SUM(I495,I411),2)=ROUND(I385,2)</f>
        <v>1</v>
      </c>
      <c r="I495" s="30">
        <f t="shared" ca="1" si="1149"/>
        <v>6067.1453044868113</v>
      </c>
      <c r="J495" s="26" t="s">
        <v>148</v>
      </c>
      <c r="K495" s="7" t="s">
        <v>301</v>
      </c>
      <c r="L495" s="49">
        <f ca="1">SUM(L483:L490)-SUM(L492:L493)</f>
        <v>261.73550629620144</v>
      </c>
      <c r="M495" s="49">
        <f t="shared" ref="M495:BS495" ca="1" si="1150">SUM(M483:M490)-SUM(M492:M493)</f>
        <v>221.28939590848171</v>
      </c>
      <c r="N495" s="49">
        <f t="shared" ca="1" si="1150"/>
        <v>146.47026651110195</v>
      </c>
      <c r="O495" s="49">
        <f t="shared" ca="1" si="1150"/>
        <v>139.77799637504302</v>
      </c>
      <c r="P495" s="49">
        <f t="shared" ca="1" si="1150"/>
        <v>381.08650599186291</v>
      </c>
      <c r="Q495" s="49">
        <f t="shared" ca="1" si="1150"/>
        <v>757.51341218369544</v>
      </c>
      <c r="R495" s="49">
        <f t="shared" ca="1" si="1150"/>
        <v>723.06832063429283</v>
      </c>
      <c r="S495" s="49">
        <f t="shared" ca="1" si="1150"/>
        <v>427.12057768374007</v>
      </c>
      <c r="T495" s="49">
        <f t="shared" ca="1" si="1150"/>
        <v>640.50101811354671</v>
      </c>
      <c r="U495" s="49">
        <f t="shared" ca="1" si="1150"/>
        <v>639.38021066014403</v>
      </c>
      <c r="V495" s="49">
        <f t="shared" ca="1" si="1150"/>
        <v>606.51606783221257</v>
      </c>
      <c r="W495" s="49">
        <f t="shared" ca="1" si="1150"/>
        <v>576.91741904685773</v>
      </c>
      <c r="X495" s="49">
        <f t="shared" ca="1" si="1150"/>
        <v>545.76860724963115</v>
      </c>
      <c r="Y495" s="49">
        <f t="shared" ca="1" si="1150"/>
        <v>0</v>
      </c>
      <c r="Z495" s="49">
        <f t="shared" ca="1" si="1150"/>
        <v>0</v>
      </c>
      <c r="AA495" s="49">
        <f t="shared" ca="1" si="1150"/>
        <v>0</v>
      </c>
      <c r="AB495" s="49">
        <f t="shared" ca="1" si="1150"/>
        <v>0</v>
      </c>
      <c r="AC495" s="49">
        <f t="shared" ca="1" si="1150"/>
        <v>0</v>
      </c>
      <c r="AD495" s="49">
        <f t="shared" ca="1" si="1150"/>
        <v>0</v>
      </c>
      <c r="AE495" s="49">
        <f t="shared" ca="1" si="1150"/>
        <v>0</v>
      </c>
      <c r="AF495" s="49">
        <f t="shared" ca="1" si="1150"/>
        <v>0</v>
      </c>
      <c r="AG495" s="49">
        <f t="shared" ca="1" si="1150"/>
        <v>0</v>
      </c>
      <c r="AH495" s="49">
        <f t="shared" ca="1" si="1150"/>
        <v>0</v>
      </c>
      <c r="AI495" s="49">
        <f t="shared" ca="1" si="1150"/>
        <v>0</v>
      </c>
      <c r="AJ495" s="49">
        <f t="shared" ca="1" si="1150"/>
        <v>0</v>
      </c>
      <c r="AK495" s="49">
        <f t="shared" ca="1" si="1150"/>
        <v>0</v>
      </c>
      <c r="AL495" s="49">
        <f t="shared" ca="1" si="1150"/>
        <v>0</v>
      </c>
      <c r="AM495" s="49">
        <f t="shared" ca="1" si="1150"/>
        <v>0</v>
      </c>
      <c r="AN495" s="49">
        <f t="shared" ca="1" si="1150"/>
        <v>0</v>
      </c>
      <c r="AO495" s="49">
        <f t="shared" ca="1" si="1150"/>
        <v>0</v>
      </c>
      <c r="AP495" s="49">
        <f t="shared" ca="1" si="1150"/>
        <v>0</v>
      </c>
      <c r="AQ495" s="49">
        <f t="shared" ca="1" si="1150"/>
        <v>0</v>
      </c>
      <c r="AR495" s="49">
        <f t="shared" ca="1" si="1150"/>
        <v>0</v>
      </c>
      <c r="AS495" s="49">
        <f t="shared" ca="1" si="1150"/>
        <v>0</v>
      </c>
      <c r="AT495" s="49">
        <f t="shared" ca="1" si="1150"/>
        <v>0</v>
      </c>
      <c r="AU495" s="49">
        <f t="shared" ca="1" si="1150"/>
        <v>0</v>
      </c>
      <c r="AV495" s="49">
        <f t="shared" ca="1" si="1150"/>
        <v>0</v>
      </c>
      <c r="AW495" s="49">
        <f t="shared" ca="1" si="1150"/>
        <v>0</v>
      </c>
      <c r="AX495" s="49">
        <f t="shared" ca="1" si="1150"/>
        <v>0</v>
      </c>
      <c r="AY495" s="49">
        <f t="shared" ca="1" si="1150"/>
        <v>0</v>
      </c>
      <c r="AZ495" s="49">
        <f t="shared" ca="1" si="1150"/>
        <v>0</v>
      </c>
      <c r="BA495" s="49">
        <f t="shared" ca="1" si="1150"/>
        <v>0</v>
      </c>
      <c r="BB495" s="49">
        <f t="shared" ca="1" si="1150"/>
        <v>0</v>
      </c>
      <c r="BC495" s="49">
        <f t="shared" ca="1" si="1150"/>
        <v>0</v>
      </c>
      <c r="BD495" s="49">
        <f t="shared" ca="1" si="1150"/>
        <v>0</v>
      </c>
      <c r="BE495" s="49">
        <f t="shared" ca="1" si="1150"/>
        <v>0</v>
      </c>
      <c r="BF495" s="49">
        <f t="shared" ca="1" si="1150"/>
        <v>0</v>
      </c>
      <c r="BG495" s="49">
        <f t="shared" ca="1" si="1150"/>
        <v>0</v>
      </c>
      <c r="BH495" s="49">
        <f t="shared" ca="1" si="1150"/>
        <v>0</v>
      </c>
      <c r="BI495" s="49">
        <f t="shared" ca="1" si="1150"/>
        <v>0</v>
      </c>
      <c r="BJ495" s="49">
        <f t="shared" ca="1" si="1150"/>
        <v>0</v>
      </c>
      <c r="BK495" s="49">
        <f t="shared" ca="1" si="1150"/>
        <v>0</v>
      </c>
      <c r="BL495" s="49">
        <f t="shared" ca="1" si="1150"/>
        <v>0</v>
      </c>
      <c r="BM495" s="49">
        <f t="shared" ca="1" si="1150"/>
        <v>0</v>
      </c>
      <c r="BN495" s="49">
        <f t="shared" ca="1" si="1150"/>
        <v>0</v>
      </c>
      <c r="BO495" s="49">
        <f t="shared" ca="1" si="1150"/>
        <v>0</v>
      </c>
      <c r="BP495" s="49">
        <f t="shared" ca="1" si="1150"/>
        <v>0</v>
      </c>
      <c r="BQ495" s="49">
        <f t="shared" ca="1" si="1150"/>
        <v>0</v>
      </c>
      <c r="BR495" s="49">
        <f t="shared" ca="1" si="1150"/>
        <v>0</v>
      </c>
      <c r="BS495" s="49">
        <f t="shared" ca="1" si="1150"/>
        <v>0</v>
      </c>
    </row>
    <row r="496" spans="3:71" outlineLevel="1" x14ac:dyDescent="0.2"/>
    <row r="497" spans="3:71" outlineLevel="1" x14ac:dyDescent="0.2">
      <c r="C497" s="11" t="s">
        <v>284</v>
      </c>
      <c r="G497" s="60"/>
      <c r="I497" s="65">
        <f t="shared" ca="1" si="1149"/>
        <v>3076.6834532642611</v>
      </c>
      <c r="J497" s="26" t="s">
        <v>148</v>
      </c>
      <c r="L497" s="49">
        <f t="shared" ref="L497:AQ497" ca="1" si="1151">OA_gov_CF_mwafi*CA_disc_factor_fc</f>
        <v>249.55501353068223</v>
      </c>
      <c r="M497" s="49">
        <f t="shared" ca="1" si="1151"/>
        <v>191.81014581408539</v>
      </c>
      <c r="N497" s="49">
        <f t="shared" ca="1" si="1151"/>
        <v>115.41646244228694</v>
      </c>
      <c r="O497" s="49">
        <f t="shared" ca="1" si="1151"/>
        <v>100.13004533682157</v>
      </c>
      <c r="P497" s="49">
        <f t="shared" ca="1" si="1151"/>
        <v>248.17411838641991</v>
      </c>
      <c r="Q497" s="49">
        <f t="shared" ca="1" si="1151"/>
        <v>448.4670690457865</v>
      </c>
      <c r="R497" s="49">
        <f t="shared" ca="1" si="1151"/>
        <v>389.15882275204444</v>
      </c>
      <c r="S497" s="49">
        <f t="shared" ca="1" si="1151"/>
        <v>208.98030397455418</v>
      </c>
      <c r="T497" s="49">
        <f t="shared" ca="1" si="1151"/>
        <v>284.89314568915847</v>
      </c>
      <c r="U497" s="49">
        <f t="shared" ca="1" si="1151"/>
        <v>258.54055774658525</v>
      </c>
      <c r="V497" s="49">
        <f t="shared" ca="1" si="1151"/>
        <v>222.95597552582788</v>
      </c>
      <c r="W497" s="49">
        <f t="shared" ca="1" si="1151"/>
        <v>192.79589053168343</v>
      </c>
      <c r="X497" s="49">
        <f t="shared" ca="1" si="1151"/>
        <v>165.80590248832479</v>
      </c>
      <c r="Y497" s="49">
        <f t="shared" ca="1" si="1151"/>
        <v>0</v>
      </c>
      <c r="Z497" s="49">
        <f t="shared" ca="1" si="1151"/>
        <v>0</v>
      </c>
      <c r="AA497" s="49">
        <f t="shared" ca="1" si="1151"/>
        <v>0</v>
      </c>
      <c r="AB497" s="49">
        <f t="shared" ca="1" si="1151"/>
        <v>0</v>
      </c>
      <c r="AC497" s="49">
        <f t="shared" ca="1" si="1151"/>
        <v>0</v>
      </c>
      <c r="AD497" s="49">
        <f t="shared" ca="1" si="1151"/>
        <v>0</v>
      </c>
      <c r="AE497" s="49">
        <f t="shared" ca="1" si="1151"/>
        <v>0</v>
      </c>
      <c r="AF497" s="49">
        <f t="shared" ca="1" si="1151"/>
        <v>0</v>
      </c>
      <c r="AG497" s="49">
        <f t="shared" ca="1" si="1151"/>
        <v>0</v>
      </c>
      <c r="AH497" s="49">
        <f t="shared" ca="1" si="1151"/>
        <v>0</v>
      </c>
      <c r="AI497" s="49">
        <f t="shared" ca="1" si="1151"/>
        <v>0</v>
      </c>
      <c r="AJ497" s="49">
        <f t="shared" ca="1" si="1151"/>
        <v>0</v>
      </c>
      <c r="AK497" s="49">
        <f t="shared" ca="1" si="1151"/>
        <v>0</v>
      </c>
      <c r="AL497" s="49">
        <f t="shared" ca="1" si="1151"/>
        <v>0</v>
      </c>
      <c r="AM497" s="49">
        <f t="shared" ca="1" si="1151"/>
        <v>0</v>
      </c>
      <c r="AN497" s="49">
        <f t="shared" ca="1" si="1151"/>
        <v>0</v>
      </c>
      <c r="AO497" s="49">
        <f t="shared" ca="1" si="1151"/>
        <v>0</v>
      </c>
      <c r="AP497" s="49">
        <f t="shared" ca="1" si="1151"/>
        <v>0</v>
      </c>
      <c r="AQ497" s="49">
        <f t="shared" ca="1" si="1151"/>
        <v>0</v>
      </c>
      <c r="AR497" s="49">
        <f t="shared" ref="AR497:BS497" ca="1" si="1152">OA_gov_CF_mwafi*CA_disc_factor_fc</f>
        <v>0</v>
      </c>
      <c r="AS497" s="49">
        <f t="shared" ca="1" si="1152"/>
        <v>0</v>
      </c>
      <c r="AT497" s="49">
        <f t="shared" ca="1" si="1152"/>
        <v>0</v>
      </c>
      <c r="AU497" s="49">
        <f t="shared" ca="1" si="1152"/>
        <v>0</v>
      </c>
      <c r="AV497" s="49">
        <f t="shared" ca="1" si="1152"/>
        <v>0</v>
      </c>
      <c r="AW497" s="49">
        <f t="shared" ca="1" si="1152"/>
        <v>0</v>
      </c>
      <c r="AX497" s="49">
        <f t="shared" ca="1" si="1152"/>
        <v>0</v>
      </c>
      <c r="AY497" s="49">
        <f t="shared" ca="1" si="1152"/>
        <v>0</v>
      </c>
      <c r="AZ497" s="49">
        <f t="shared" ca="1" si="1152"/>
        <v>0</v>
      </c>
      <c r="BA497" s="49">
        <f t="shared" ca="1" si="1152"/>
        <v>0</v>
      </c>
      <c r="BB497" s="49">
        <f t="shared" ca="1" si="1152"/>
        <v>0</v>
      </c>
      <c r="BC497" s="49">
        <f t="shared" ca="1" si="1152"/>
        <v>0</v>
      </c>
      <c r="BD497" s="49">
        <f t="shared" ca="1" si="1152"/>
        <v>0</v>
      </c>
      <c r="BE497" s="49">
        <f t="shared" ca="1" si="1152"/>
        <v>0</v>
      </c>
      <c r="BF497" s="49">
        <f t="shared" ca="1" si="1152"/>
        <v>0</v>
      </c>
      <c r="BG497" s="49">
        <f t="shared" ca="1" si="1152"/>
        <v>0</v>
      </c>
      <c r="BH497" s="49">
        <f t="shared" ca="1" si="1152"/>
        <v>0</v>
      </c>
      <c r="BI497" s="49">
        <f t="shared" ca="1" si="1152"/>
        <v>0</v>
      </c>
      <c r="BJ497" s="49">
        <f t="shared" ca="1" si="1152"/>
        <v>0</v>
      </c>
      <c r="BK497" s="49">
        <f t="shared" ca="1" si="1152"/>
        <v>0</v>
      </c>
      <c r="BL497" s="49">
        <f t="shared" ca="1" si="1152"/>
        <v>0</v>
      </c>
      <c r="BM497" s="49">
        <f t="shared" ca="1" si="1152"/>
        <v>0</v>
      </c>
      <c r="BN497" s="49">
        <f t="shared" ca="1" si="1152"/>
        <v>0</v>
      </c>
      <c r="BO497" s="49">
        <f t="shared" ca="1" si="1152"/>
        <v>0</v>
      </c>
      <c r="BP497" s="49">
        <f t="shared" ca="1" si="1152"/>
        <v>0</v>
      </c>
      <c r="BQ497" s="49">
        <f t="shared" ca="1" si="1152"/>
        <v>0</v>
      </c>
      <c r="BR497" s="49">
        <f t="shared" ca="1" si="1152"/>
        <v>0</v>
      </c>
      <c r="BS497" s="49">
        <f t="shared" ca="1" si="1152"/>
        <v>0</v>
      </c>
    </row>
    <row r="498" spans="3:71" outlineLevel="1" x14ac:dyDescent="0.2">
      <c r="C498" s="11" t="s">
        <v>285</v>
      </c>
      <c r="I498" s="65">
        <f t="shared" ca="1" si="1149"/>
        <v>2599.5336107230887</v>
      </c>
      <c r="J498" s="26" t="s">
        <v>148</v>
      </c>
      <c r="L498" s="49">
        <f t="shared" ref="L498:AQ498" ca="1" si="1153">OA_gov_CF_mwafi*CA_disc_factor_pf</f>
        <v>0</v>
      </c>
      <c r="M498" s="49">
        <f t="shared" ca="1" si="1153"/>
        <v>0</v>
      </c>
      <c r="N498" s="49">
        <f t="shared" ca="1" si="1153"/>
        <v>0</v>
      </c>
      <c r="O498" s="49">
        <f t="shared" ca="1" si="1153"/>
        <v>0</v>
      </c>
      <c r="P498" s="49">
        <f t="shared" ca="1" si="1153"/>
        <v>0</v>
      </c>
      <c r="Q498" s="49">
        <f t="shared" ca="1" si="1153"/>
        <v>0</v>
      </c>
      <c r="R498" s="49">
        <f t="shared" ca="1" si="1153"/>
        <v>0</v>
      </c>
      <c r="S498" s="49">
        <f t="shared" ca="1" si="1153"/>
        <v>407.24349191841191</v>
      </c>
      <c r="T498" s="49">
        <f t="shared" ca="1" si="1153"/>
        <v>555.17614467725468</v>
      </c>
      <c r="U498" s="49">
        <f t="shared" ca="1" si="1153"/>
        <v>503.82240592430833</v>
      </c>
      <c r="V498" s="49">
        <f t="shared" ca="1" si="1153"/>
        <v>434.47812205436259</v>
      </c>
      <c r="W498" s="49">
        <f t="shared" ca="1" si="1153"/>
        <v>375.70464868881987</v>
      </c>
      <c r="X498" s="49">
        <f t="shared" ca="1" si="1153"/>
        <v>323.10879745993128</v>
      </c>
      <c r="Y498" s="49">
        <f t="shared" ca="1" si="1153"/>
        <v>0</v>
      </c>
      <c r="Z498" s="49">
        <f t="shared" ca="1" si="1153"/>
        <v>0</v>
      </c>
      <c r="AA498" s="49">
        <f t="shared" ca="1" si="1153"/>
        <v>0</v>
      </c>
      <c r="AB498" s="49">
        <f t="shared" ca="1" si="1153"/>
        <v>0</v>
      </c>
      <c r="AC498" s="49">
        <f t="shared" ca="1" si="1153"/>
        <v>0</v>
      </c>
      <c r="AD498" s="49">
        <f t="shared" ca="1" si="1153"/>
        <v>0</v>
      </c>
      <c r="AE498" s="49">
        <f t="shared" ca="1" si="1153"/>
        <v>0</v>
      </c>
      <c r="AF498" s="49">
        <f t="shared" ca="1" si="1153"/>
        <v>0</v>
      </c>
      <c r="AG498" s="49">
        <f t="shared" ca="1" si="1153"/>
        <v>0</v>
      </c>
      <c r="AH498" s="49">
        <f t="shared" ca="1" si="1153"/>
        <v>0</v>
      </c>
      <c r="AI498" s="49">
        <f t="shared" ca="1" si="1153"/>
        <v>0</v>
      </c>
      <c r="AJ498" s="49">
        <f t="shared" ca="1" si="1153"/>
        <v>0</v>
      </c>
      <c r="AK498" s="49">
        <f t="shared" ca="1" si="1153"/>
        <v>0</v>
      </c>
      <c r="AL498" s="49">
        <f t="shared" ca="1" si="1153"/>
        <v>0</v>
      </c>
      <c r="AM498" s="49">
        <f t="shared" ca="1" si="1153"/>
        <v>0</v>
      </c>
      <c r="AN498" s="49">
        <f t="shared" ca="1" si="1153"/>
        <v>0</v>
      </c>
      <c r="AO498" s="49">
        <f t="shared" ca="1" si="1153"/>
        <v>0</v>
      </c>
      <c r="AP498" s="49">
        <f t="shared" ca="1" si="1153"/>
        <v>0</v>
      </c>
      <c r="AQ498" s="49">
        <f t="shared" ca="1" si="1153"/>
        <v>0</v>
      </c>
      <c r="AR498" s="49">
        <f t="shared" ref="AR498:BS498" ca="1" si="1154">OA_gov_CF_mwafi*CA_disc_factor_pf</f>
        <v>0</v>
      </c>
      <c r="AS498" s="49">
        <f t="shared" ca="1" si="1154"/>
        <v>0</v>
      </c>
      <c r="AT498" s="49">
        <f t="shared" ca="1" si="1154"/>
        <v>0</v>
      </c>
      <c r="AU498" s="49">
        <f t="shared" ca="1" si="1154"/>
        <v>0</v>
      </c>
      <c r="AV498" s="49">
        <f t="shared" ca="1" si="1154"/>
        <v>0</v>
      </c>
      <c r="AW498" s="49">
        <f t="shared" ca="1" si="1154"/>
        <v>0</v>
      </c>
      <c r="AX498" s="49">
        <f t="shared" ca="1" si="1154"/>
        <v>0</v>
      </c>
      <c r="AY498" s="49">
        <f t="shared" ca="1" si="1154"/>
        <v>0</v>
      </c>
      <c r="AZ498" s="49">
        <f t="shared" ca="1" si="1154"/>
        <v>0</v>
      </c>
      <c r="BA498" s="49">
        <f t="shared" ca="1" si="1154"/>
        <v>0</v>
      </c>
      <c r="BB498" s="49">
        <f t="shared" ca="1" si="1154"/>
        <v>0</v>
      </c>
      <c r="BC498" s="49">
        <f t="shared" ca="1" si="1154"/>
        <v>0</v>
      </c>
      <c r="BD498" s="49">
        <f t="shared" ca="1" si="1154"/>
        <v>0</v>
      </c>
      <c r="BE498" s="49">
        <f t="shared" ca="1" si="1154"/>
        <v>0</v>
      </c>
      <c r="BF498" s="49">
        <f t="shared" ca="1" si="1154"/>
        <v>0</v>
      </c>
      <c r="BG498" s="49">
        <f t="shared" ca="1" si="1154"/>
        <v>0</v>
      </c>
      <c r="BH498" s="49">
        <f t="shared" ca="1" si="1154"/>
        <v>0</v>
      </c>
      <c r="BI498" s="49">
        <f t="shared" ca="1" si="1154"/>
        <v>0</v>
      </c>
      <c r="BJ498" s="49">
        <f t="shared" ca="1" si="1154"/>
        <v>0</v>
      </c>
      <c r="BK498" s="49">
        <f t="shared" ca="1" si="1154"/>
        <v>0</v>
      </c>
      <c r="BL498" s="49">
        <f t="shared" ca="1" si="1154"/>
        <v>0</v>
      </c>
      <c r="BM498" s="49">
        <f t="shared" ca="1" si="1154"/>
        <v>0</v>
      </c>
      <c r="BN498" s="49">
        <f t="shared" ca="1" si="1154"/>
        <v>0</v>
      </c>
      <c r="BO498" s="49">
        <f t="shared" ca="1" si="1154"/>
        <v>0</v>
      </c>
      <c r="BP498" s="49">
        <f t="shared" ca="1" si="1154"/>
        <v>0</v>
      </c>
      <c r="BQ498" s="49">
        <f t="shared" ca="1" si="1154"/>
        <v>0</v>
      </c>
      <c r="BR498" s="49">
        <f t="shared" ca="1" si="1154"/>
        <v>0</v>
      </c>
      <c r="BS498" s="49">
        <f t="shared" ca="1" si="1154"/>
        <v>0</v>
      </c>
    </row>
    <row r="499" spans="3:71" outlineLevel="1" x14ac:dyDescent="0.2">
      <c r="I499" s="61"/>
    </row>
    <row r="500" spans="3:71" outlineLevel="1" x14ac:dyDescent="0.2">
      <c r="C500" s="11" t="s">
        <v>286</v>
      </c>
      <c r="I500" s="62" t="str">
        <f ca="1">IFERROR(IRR(INDEX(OA_gov_CF_mwafi,1,MAX(1,$G$360-L4+1)):INDEX(OA_gov_CF_mwafi,1,last_model_year)),"na")</f>
        <v>na</v>
      </c>
      <c r="J500" s="26" t="s">
        <v>90</v>
      </c>
    </row>
    <row r="501" spans="3:71" outlineLevel="1" x14ac:dyDescent="0.2">
      <c r="C501" s="11" t="s">
        <v>287</v>
      </c>
      <c r="I501" s="62" t="str">
        <f ca="1">IFERROR(IRR(INDEX(OA_gov_CF_mwafi,1,MAX(1,$G$361-L4+1)):INDEX(OA_gov_CF_mwafi,1,last_model_year)),"na")</f>
        <v>na</v>
      </c>
      <c r="J501" s="26" t="s">
        <v>90</v>
      </c>
    </row>
    <row r="502" spans="3:71" outlineLevel="1" x14ac:dyDescent="0.2"/>
    <row r="503" spans="3:71" outlineLevel="1" x14ac:dyDescent="0.2">
      <c r="C503" s="11" t="s">
        <v>302</v>
      </c>
      <c r="I503" s="62">
        <f ca="1">IFERROR(I495/I385,0)</f>
        <v>-2.2205715693386008</v>
      </c>
      <c r="J503" s="26" t="s">
        <v>90</v>
      </c>
    </row>
    <row r="504" spans="3:71" outlineLevel="1" x14ac:dyDescent="0.2"/>
    <row r="505" spans="3:71" outlineLevel="1" x14ac:dyDescent="0.2">
      <c r="C505" s="11" t="s">
        <v>313</v>
      </c>
      <c r="I505" s="65">
        <f ca="1">(input_DiscRate_nom*$I$498)/(1-(1+input_DiscRate_nom)^-COUNTIF(CA_op_trig,"&lt;&gt;0"))</f>
        <v>365.9585042010811</v>
      </c>
      <c r="J505" s="26" t="s">
        <v>314</v>
      </c>
    </row>
    <row r="506" spans="3:71" outlineLevel="1" x14ac:dyDescent="0.2"/>
  </sheetData>
  <mergeCells count="4">
    <mergeCell ref="B7:E7"/>
    <mergeCell ref="B66:E66"/>
    <mergeCell ref="B105:E105"/>
    <mergeCell ref="B355:E355"/>
  </mergeCells>
  <pageMargins left="0.7" right="0.7" top="0.75" bottom="0.75" header="0.3" footer="0.3"/>
  <pageSetup orientation="portrait" r:id="rId1"/>
</worksheet>
</file>

<file path=xl/worksheets/sheet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4CE16-95D0-4404-9C5E-EDC28520EDDC}">
  <sheetPr codeName="Sheet7"/>
  <dimension ref="A1:CP500"/>
  <sheetViews>
    <sheetView showGridLines="0" zoomScale="80" zoomScaleNormal="80" workbookViewId="0">
      <pane xSplit="11" ySplit="5" topLeftCell="L126" activePane="bottomRight" state="frozen"/>
      <selection activeCell="D42" sqref="D42"/>
      <selection pane="topRight" activeCell="D42" sqref="D42"/>
      <selection pane="bottomLeft" activeCell="D42" sqref="D42"/>
      <selection pane="bottomRight" activeCell="L156" sqref="L156"/>
    </sheetView>
  </sheetViews>
  <sheetFormatPr baseColWidth="10" defaultColWidth="0" defaultRowHeight="15" outlineLevelRow="1" x14ac:dyDescent="0.2"/>
  <cols>
    <col min="1" max="3" width="5.6640625" customWidth="1"/>
    <col min="4" max="10" width="14.6640625" customWidth="1"/>
    <col min="11" max="11" width="25.33203125" style="7" bestFit="1" customWidth="1"/>
    <col min="12" max="93" width="9.1640625" customWidth="1"/>
    <col min="94" max="94" width="0" style="6" hidden="1" customWidth="1"/>
    <col min="95" max="16384" width="9.1640625" style="6" hidden="1"/>
  </cols>
  <sheetData>
    <row r="1" spans="1:93" s="5" customFormat="1" ht="20.25" customHeight="1" x14ac:dyDescent="0.2">
      <c r="A1" s="82" t="s">
        <v>562</v>
      </c>
      <c r="B1" s="82"/>
      <c r="C1" s="82"/>
      <c r="D1" s="82"/>
      <c r="E1" s="82"/>
      <c r="F1" s="82"/>
      <c r="G1" s="82"/>
      <c r="H1" s="82"/>
      <c r="I1" s="82"/>
      <c r="J1" s="82"/>
      <c r="K1" s="83"/>
      <c r="L1" s="82"/>
      <c r="M1" s="82"/>
      <c r="N1" s="82"/>
      <c r="O1" s="82"/>
      <c r="P1" s="82"/>
      <c r="Q1" s="82"/>
      <c r="R1" s="82"/>
      <c r="S1" s="82"/>
      <c r="T1" s="82"/>
      <c r="U1" s="82"/>
      <c r="V1" s="82"/>
      <c r="W1" s="82"/>
      <c r="X1" s="82"/>
      <c r="Y1" s="82"/>
      <c r="Z1" s="82"/>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row>
    <row r="2" spans="1:93" ht="9" customHeight="1" x14ac:dyDescent="0.2">
      <c r="A2" s="6"/>
      <c r="B2" s="6"/>
      <c r="C2" s="6"/>
      <c r="D2" s="6"/>
      <c r="E2" s="6"/>
      <c r="F2" s="6"/>
      <c r="G2" s="6"/>
      <c r="H2" s="6"/>
      <c r="I2" s="6"/>
      <c r="J2" s="6"/>
      <c r="K2" s="84"/>
      <c r="L2" s="6"/>
      <c r="M2" s="6"/>
      <c r="N2" s="6"/>
      <c r="O2" s="6"/>
      <c r="P2" s="6"/>
      <c r="Q2" s="6"/>
      <c r="R2" s="6"/>
      <c r="S2" s="6"/>
      <c r="T2" s="6"/>
      <c r="U2" s="6"/>
      <c r="V2" s="6"/>
      <c r="W2" s="6"/>
      <c r="X2" s="6"/>
      <c r="Y2" s="6"/>
      <c r="Z2" s="6"/>
    </row>
    <row r="3" spans="1:93" x14ac:dyDescent="0.2">
      <c r="L3" s="3">
        <f t="array" ref="L3:BS3">IA_Periods</f>
        <v>1</v>
      </c>
      <c r="M3" s="3">
        <v>2</v>
      </c>
      <c r="N3" s="3">
        <v>3</v>
      </c>
      <c r="O3" s="3">
        <v>4</v>
      </c>
      <c r="P3" s="3">
        <v>5</v>
      </c>
      <c r="Q3" s="3">
        <v>6</v>
      </c>
      <c r="R3" s="3">
        <v>7</v>
      </c>
      <c r="S3" s="3">
        <v>8</v>
      </c>
      <c r="T3" s="3">
        <v>9</v>
      </c>
      <c r="U3" s="3">
        <v>10</v>
      </c>
      <c r="V3" s="3">
        <v>11</v>
      </c>
      <c r="W3" s="3">
        <v>12</v>
      </c>
      <c r="X3" s="3">
        <v>13</v>
      </c>
      <c r="Y3" s="3">
        <v>14</v>
      </c>
      <c r="Z3" s="3">
        <v>15</v>
      </c>
      <c r="AA3" s="3">
        <v>16</v>
      </c>
      <c r="AB3" s="3">
        <v>17</v>
      </c>
      <c r="AC3" s="3">
        <v>18</v>
      </c>
      <c r="AD3" s="3">
        <v>19</v>
      </c>
      <c r="AE3" s="3">
        <v>20</v>
      </c>
      <c r="AF3" s="3">
        <v>21</v>
      </c>
      <c r="AG3" s="3">
        <v>22</v>
      </c>
      <c r="AH3" s="3">
        <v>23</v>
      </c>
      <c r="AI3" s="3">
        <v>24</v>
      </c>
      <c r="AJ3" s="3">
        <v>25</v>
      </c>
      <c r="AK3" s="3">
        <v>26</v>
      </c>
      <c r="AL3" s="3">
        <v>27</v>
      </c>
      <c r="AM3" s="3">
        <v>28</v>
      </c>
      <c r="AN3" s="3">
        <v>29</v>
      </c>
      <c r="AO3" s="3">
        <v>30</v>
      </c>
      <c r="AP3" s="3">
        <v>31</v>
      </c>
      <c r="AQ3" s="3">
        <v>32</v>
      </c>
      <c r="AR3" s="3">
        <v>33</v>
      </c>
      <c r="AS3" s="3">
        <v>34</v>
      </c>
      <c r="AT3" s="3">
        <v>35</v>
      </c>
      <c r="AU3" s="3">
        <v>36</v>
      </c>
      <c r="AV3" s="3">
        <v>37</v>
      </c>
      <c r="AW3" s="3">
        <v>38</v>
      </c>
      <c r="AX3" s="3">
        <v>39</v>
      </c>
      <c r="AY3" s="3">
        <v>40</v>
      </c>
      <c r="AZ3" s="3">
        <v>41</v>
      </c>
      <c r="BA3" s="3">
        <v>42</v>
      </c>
      <c r="BB3" s="3">
        <v>43</v>
      </c>
      <c r="BC3" s="3">
        <v>44</v>
      </c>
      <c r="BD3" s="3">
        <v>45</v>
      </c>
      <c r="BE3" s="3">
        <v>46</v>
      </c>
      <c r="BF3" s="3">
        <v>47</v>
      </c>
      <c r="BG3" s="3">
        <v>48</v>
      </c>
      <c r="BH3" s="3">
        <v>49</v>
      </c>
      <c r="BI3" s="3">
        <v>50</v>
      </c>
      <c r="BJ3" s="3">
        <v>51</v>
      </c>
      <c r="BK3" s="3">
        <v>52</v>
      </c>
      <c r="BL3" s="3">
        <v>53</v>
      </c>
      <c r="BM3" s="3">
        <v>54</v>
      </c>
      <c r="BN3" s="3">
        <v>55</v>
      </c>
      <c r="BO3" s="3">
        <v>56</v>
      </c>
      <c r="BP3" s="3">
        <v>57</v>
      </c>
      <c r="BQ3" s="3">
        <v>58</v>
      </c>
      <c r="BR3" s="3">
        <v>59</v>
      </c>
      <c r="BS3" s="3">
        <v>60</v>
      </c>
    </row>
    <row r="4" spans="1:93" x14ac:dyDescent="0.2">
      <c r="L4" s="4">
        <v>1994</v>
      </c>
      <c r="M4">
        <f>L4+1</f>
        <v>1995</v>
      </c>
      <c r="N4">
        <f t="shared" ref="N4:BS4" si="0">M4+1</f>
        <v>1996</v>
      </c>
      <c r="O4">
        <f t="shared" si="0"/>
        <v>1997</v>
      </c>
      <c r="P4">
        <f t="shared" si="0"/>
        <v>1998</v>
      </c>
      <c r="Q4">
        <f t="shared" si="0"/>
        <v>1999</v>
      </c>
      <c r="R4">
        <f t="shared" si="0"/>
        <v>2000</v>
      </c>
      <c r="S4">
        <f t="shared" si="0"/>
        <v>2001</v>
      </c>
      <c r="T4">
        <f t="shared" si="0"/>
        <v>2002</v>
      </c>
      <c r="U4">
        <f t="shared" si="0"/>
        <v>2003</v>
      </c>
      <c r="V4">
        <f t="shared" si="0"/>
        <v>2004</v>
      </c>
      <c r="W4">
        <f t="shared" si="0"/>
        <v>2005</v>
      </c>
      <c r="X4">
        <f t="shared" si="0"/>
        <v>2006</v>
      </c>
      <c r="Y4">
        <f t="shared" si="0"/>
        <v>2007</v>
      </c>
      <c r="Z4">
        <f t="shared" si="0"/>
        <v>2008</v>
      </c>
      <c r="AA4">
        <f t="shared" si="0"/>
        <v>2009</v>
      </c>
      <c r="AB4">
        <f t="shared" si="0"/>
        <v>2010</v>
      </c>
      <c r="AC4">
        <f t="shared" si="0"/>
        <v>2011</v>
      </c>
      <c r="AD4">
        <f t="shared" si="0"/>
        <v>2012</v>
      </c>
      <c r="AE4">
        <f t="shared" si="0"/>
        <v>2013</v>
      </c>
      <c r="AF4">
        <f t="shared" si="0"/>
        <v>2014</v>
      </c>
      <c r="AG4">
        <f t="shared" si="0"/>
        <v>2015</v>
      </c>
      <c r="AH4">
        <f t="shared" si="0"/>
        <v>2016</v>
      </c>
      <c r="AI4">
        <f t="shared" si="0"/>
        <v>2017</v>
      </c>
      <c r="AJ4">
        <f t="shared" si="0"/>
        <v>2018</v>
      </c>
      <c r="AK4">
        <f t="shared" si="0"/>
        <v>2019</v>
      </c>
      <c r="AL4">
        <f t="shared" si="0"/>
        <v>2020</v>
      </c>
      <c r="AM4">
        <f t="shared" si="0"/>
        <v>2021</v>
      </c>
      <c r="AN4">
        <f t="shared" si="0"/>
        <v>2022</v>
      </c>
      <c r="AO4">
        <f t="shared" si="0"/>
        <v>2023</v>
      </c>
      <c r="AP4">
        <f t="shared" si="0"/>
        <v>2024</v>
      </c>
      <c r="AQ4">
        <f t="shared" si="0"/>
        <v>2025</v>
      </c>
      <c r="AR4">
        <f t="shared" si="0"/>
        <v>2026</v>
      </c>
      <c r="AS4">
        <f t="shared" si="0"/>
        <v>2027</v>
      </c>
      <c r="AT4">
        <f t="shared" si="0"/>
        <v>2028</v>
      </c>
      <c r="AU4">
        <f t="shared" si="0"/>
        <v>2029</v>
      </c>
      <c r="AV4">
        <f t="shared" si="0"/>
        <v>2030</v>
      </c>
      <c r="AW4">
        <f t="shared" si="0"/>
        <v>2031</v>
      </c>
      <c r="AX4">
        <f t="shared" si="0"/>
        <v>2032</v>
      </c>
      <c r="AY4">
        <f t="shared" si="0"/>
        <v>2033</v>
      </c>
      <c r="AZ4">
        <f t="shared" si="0"/>
        <v>2034</v>
      </c>
      <c r="BA4">
        <f t="shared" si="0"/>
        <v>2035</v>
      </c>
      <c r="BB4">
        <f t="shared" si="0"/>
        <v>2036</v>
      </c>
      <c r="BC4">
        <f t="shared" si="0"/>
        <v>2037</v>
      </c>
      <c r="BD4">
        <f t="shared" si="0"/>
        <v>2038</v>
      </c>
      <c r="BE4">
        <f t="shared" si="0"/>
        <v>2039</v>
      </c>
      <c r="BF4">
        <f t="shared" si="0"/>
        <v>2040</v>
      </c>
      <c r="BG4">
        <f t="shared" si="0"/>
        <v>2041</v>
      </c>
      <c r="BH4">
        <f t="shared" si="0"/>
        <v>2042</v>
      </c>
      <c r="BI4">
        <f t="shared" si="0"/>
        <v>2043</v>
      </c>
      <c r="BJ4">
        <f t="shared" si="0"/>
        <v>2044</v>
      </c>
      <c r="BK4">
        <f t="shared" si="0"/>
        <v>2045</v>
      </c>
      <c r="BL4">
        <f t="shared" si="0"/>
        <v>2046</v>
      </c>
      <c r="BM4">
        <f t="shared" si="0"/>
        <v>2047</v>
      </c>
      <c r="BN4">
        <f t="shared" si="0"/>
        <v>2048</v>
      </c>
      <c r="BO4">
        <f t="shared" si="0"/>
        <v>2049</v>
      </c>
      <c r="BP4">
        <f t="shared" si="0"/>
        <v>2050</v>
      </c>
      <c r="BQ4">
        <f t="shared" si="0"/>
        <v>2051</v>
      </c>
      <c r="BR4">
        <f t="shared" si="0"/>
        <v>2052</v>
      </c>
      <c r="BS4">
        <f t="shared" si="0"/>
        <v>2053</v>
      </c>
    </row>
    <row r="5" spans="1:93" x14ac:dyDescent="0.2">
      <c r="L5" s="3">
        <f t="array" ref="L5:BS5">+IA_Days</f>
        <v>365</v>
      </c>
      <c r="M5" s="3">
        <v>365</v>
      </c>
      <c r="N5" s="3">
        <v>365</v>
      </c>
      <c r="O5" s="3">
        <v>366</v>
      </c>
      <c r="P5" s="3">
        <v>365</v>
      </c>
      <c r="Q5" s="3">
        <v>365</v>
      </c>
      <c r="R5" s="3">
        <v>365</v>
      </c>
      <c r="S5" s="3">
        <v>366</v>
      </c>
      <c r="T5" s="3">
        <v>365</v>
      </c>
      <c r="U5" s="3">
        <v>365</v>
      </c>
      <c r="V5" s="3">
        <v>365</v>
      </c>
      <c r="W5" s="3">
        <v>366</v>
      </c>
      <c r="X5" s="3">
        <v>365</v>
      </c>
      <c r="Y5" s="3">
        <v>365</v>
      </c>
      <c r="Z5" s="3">
        <v>365</v>
      </c>
      <c r="AA5" s="3">
        <v>366</v>
      </c>
      <c r="AB5" s="3">
        <v>365</v>
      </c>
      <c r="AC5" s="3">
        <v>365</v>
      </c>
      <c r="AD5" s="3">
        <v>365</v>
      </c>
      <c r="AE5" s="3">
        <v>366</v>
      </c>
      <c r="AF5" s="3">
        <v>365</v>
      </c>
      <c r="AG5" s="3">
        <v>365</v>
      </c>
      <c r="AH5" s="3">
        <v>365</v>
      </c>
      <c r="AI5" s="3">
        <v>366</v>
      </c>
      <c r="AJ5" s="3">
        <v>365</v>
      </c>
      <c r="AK5" s="3">
        <v>365</v>
      </c>
      <c r="AL5" s="3">
        <v>365</v>
      </c>
      <c r="AM5" s="3">
        <v>366</v>
      </c>
      <c r="AN5" s="3">
        <v>365</v>
      </c>
      <c r="AO5" s="3">
        <v>365</v>
      </c>
      <c r="AP5" s="3">
        <v>365</v>
      </c>
      <c r="AQ5" s="3">
        <v>366</v>
      </c>
      <c r="AR5" s="3">
        <v>365</v>
      </c>
      <c r="AS5" s="3">
        <v>365</v>
      </c>
      <c r="AT5" s="3">
        <v>365</v>
      </c>
      <c r="AU5" s="3">
        <v>366</v>
      </c>
      <c r="AV5" s="3">
        <v>365</v>
      </c>
      <c r="AW5" s="3">
        <v>365</v>
      </c>
      <c r="AX5" s="3">
        <v>365</v>
      </c>
      <c r="AY5" s="3">
        <v>366</v>
      </c>
      <c r="AZ5" s="3">
        <v>365</v>
      </c>
      <c r="BA5" s="3">
        <v>365</v>
      </c>
      <c r="BB5" s="3">
        <v>365</v>
      </c>
      <c r="BC5" s="3">
        <v>366</v>
      </c>
      <c r="BD5" s="3">
        <v>365</v>
      </c>
      <c r="BE5" s="3">
        <v>365</v>
      </c>
      <c r="BF5" s="3">
        <v>365</v>
      </c>
      <c r="BG5" s="3">
        <v>366</v>
      </c>
      <c r="BH5" s="3">
        <v>365</v>
      </c>
      <c r="BI5" s="3">
        <v>365</v>
      </c>
      <c r="BJ5" s="3">
        <v>365</v>
      </c>
      <c r="BK5" s="3">
        <v>366</v>
      </c>
      <c r="BL5" s="3">
        <v>365</v>
      </c>
      <c r="BM5" s="3">
        <v>365</v>
      </c>
      <c r="BN5" s="3">
        <v>365</v>
      </c>
      <c r="BO5" s="3">
        <v>366</v>
      </c>
      <c r="BP5" s="3">
        <v>365</v>
      </c>
      <c r="BQ5" s="3">
        <v>365</v>
      </c>
      <c r="BR5" s="3">
        <v>365</v>
      </c>
      <c r="BS5" s="3">
        <v>366</v>
      </c>
    </row>
    <row r="6" spans="1:93" ht="16" thickBot="1" x14ac:dyDescent="0.25"/>
    <row r="7" spans="1:93" ht="22" thickBot="1" x14ac:dyDescent="0.25">
      <c r="A7" s="8"/>
      <c r="B7" s="221" t="s">
        <v>65</v>
      </c>
      <c r="C7" s="222"/>
      <c r="D7" s="222"/>
      <c r="E7" s="223"/>
      <c r="F7" s="9"/>
      <c r="G7" s="9"/>
      <c r="H7" s="9"/>
      <c r="I7" s="9"/>
      <c r="J7" s="48"/>
      <c r="K7" s="10"/>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row>
    <row r="8" spans="1:93" outlineLevel="1" x14ac:dyDescent="0.2">
      <c r="J8" s="26"/>
    </row>
    <row r="9" spans="1:93" outlineLevel="1" x14ac:dyDescent="0.2">
      <c r="C9" s="11" t="s">
        <v>6</v>
      </c>
      <c r="J9" s="26"/>
    </row>
    <row r="10" spans="1:93" outlineLevel="1" x14ac:dyDescent="0.2">
      <c r="D10" t="s">
        <v>125</v>
      </c>
      <c r="G10" s="36" t="d">
        <v>1994-01-01</v>
      </c>
      <c r="H10" s="16" t="s">
        <v>363</v>
      </c>
      <c r="J10" s="26"/>
    </row>
    <row r="11" spans="1:93" outlineLevel="1" x14ac:dyDescent="0.2">
      <c r="D11" t="s">
        <v>127</v>
      </c>
      <c r="G11" s="40" cm="1">
        <f t="array" ref="G11">L4-YEAR(effective_date_HM1994)</f>
        <v>0</v>
      </c>
      <c r="H11" s="16" t="s">
        <v>364</v>
      </c>
      <c r="J11" s="26"/>
    </row>
    <row r="12" spans="1:93" outlineLevel="1" x14ac:dyDescent="0.2">
      <c r="J12" s="26"/>
    </row>
    <row r="13" spans="1:93" outlineLevel="1" x14ac:dyDescent="0.2">
      <c r="C13" s="11" t="s">
        <v>66</v>
      </c>
      <c r="J13" s="26"/>
    </row>
    <row r="14" spans="1:93" outlineLevel="1" x14ac:dyDescent="0.2">
      <c r="D14" t="s">
        <v>67</v>
      </c>
      <c r="G14" s="21">
        <v>0.01</v>
      </c>
      <c r="H14" s="16" t="s">
        <v>68</v>
      </c>
      <c r="J14" s="26"/>
    </row>
    <row r="15" spans="1:93" outlineLevel="1" x14ac:dyDescent="0.2">
      <c r="J15" s="26"/>
    </row>
    <row r="16" spans="1:93" outlineLevel="1" x14ac:dyDescent="0.2">
      <c r="J16" s="26"/>
    </row>
    <row r="17" spans="3:10" outlineLevel="1" x14ac:dyDescent="0.2">
      <c r="C17" s="11" t="s">
        <v>69</v>
      </c>
      <c r="J17" s="26"/>
    </row>
    <row r="18" spans="3:10" outlineLevel="1" x14ac:dyDescent="0.2">
      <c r="J18" s="26"/>
    </row>
    <row r="19" spans="3:10" outlineLevel="1" x14ac:dyDescent="0.2">
      <c r="D19" t="s">
        <v>70</v>
      </c>
      <c r="G19" s="21">
        <v>0.12</v>
      </c>
      <c r="H19" s="16" t="s">
        <v>72</v>
      </c>
      <c r="J19" s="26"/>
    </row>
    <row r="20" spans="3:10" outlineLevel="1" x14ac:dyDescent="0.2">
      <c r="D20" t="s">
        <v>71</v>
      </c>
      <c r="G20" s="21">
        <v>0.12</v>
      </c>
      <c r="H20" s="16" t="s">
        <v>73</v>
      </c>
      <c r="J20" s="26"/>
    </row>
    <row r="21" spans="3:10" outlineLevel="1" x14ac:dyDescent="0.2">
      <c r="J21" s="26"/>
    </row>
    <row r="22" spans="3:10" outlineLevel="1" x14ac:dyDescent="0.2">
      <c r="J22" s="26"/>
    </row>
    <row r="23" spans="3:10" outlineLevel="1" x14ac:dyDescent="0.2">
      <c r="C23" s="11" t="s">
        <v>74</v>
      </c>
      <c r="J23" s="26"/>
    </row>
    <row r="24" spans="3:10" outlineLevel="1" x14ac:dyDescent="0.2">
      <c r="J24" s="26"/>
    </row>
    <row r="25" spans="3:10" outlineLevel="1" x14ac:dyDescent="0.2">
      <c r="D25" t="s">
        <v>76</v>
      </c>
      <c r="F25" s="42" t="s">
        <v>365</v>
      </c>
      <c r="G25" s="42" t="s">
        <v>366</v>
      </c>
      <c r="J25" s="26"/>
    </row>
    <row r="26" spans="3:10" outlineLevel="1" x14ac:dyDescent="0.2">
      <c r="E26" s="16" t="s">
        <v>368</v>
      </c>
      <c r="F26" s="68">
        <v>10</v>
      </c>
      <c r="G26" s="70">
        <v>0.7</v>
      </c>
      <c r="H26" s="16" t="s">
        <v>370</v>
      </c>
      <c r="J26" s="26"/>
    </row>
    <row r="27" spans="3:10" outlineLevel="1" x14ac:dyDescent="0.2">
      <c r="D27" s="39"/>
      <c r="E27" s="16" t="s">
        <v>369</v>
      </c>
      <c r="F27" s="68">
        <v>14</v>
      </c>
      <c r="G27" s="69">
        <v>7</v>
      </c>
      <c r="H27" s="16" t="s">
        <v>371</v>
      </c>
      <c r="J27" s="26"/>
    </row>
    <row r="28" spans="3:10" outlineLevel="1" x14ac:dyDescent="0.2">
      <c r="F28" s="68" t="s">
        <v>367</v>
      </c>
      <c r="G28" s="37">
        <v>0.5</v>
      </c>
      <c r="H28" s="16" t="s">
        <v>372</v>
      </c>
      <c r="J28" s="26"/>
    </row>
    <row r="29" spans="3:10" outlineLevel="1" x14ac:dyDescent="0.2">
      <c r="J29" s="26"/>
    </row>
    <row r="30" spans="3:10" outlineLevel="1" x14ac:dyDescent="0.2">
      <c r="J30" s="26"/>
    </row>
    <row r="31" spans="3:10" outlineLevel="1" x14ac:dyDescent="0.2">
      <c r="D31" t="s">
        <v>361</v>
      </c>
      <c r="G31" s="21">
        <v>0</v>
      </c>
      <c r="H31" s="16" t="s">
        <v>362</v>
      </c>
      <c r="J31" s="26"/>
    </row>
    <row r="32" spans="3:10" outlineLevel="1" x14ac:dyDescent="0.2">
      <c r="J32" s="26"/>
    </row>
    <row r="33" spans="3:10" outlineLevel="1" x14ac:dyDescent="0.2">
      <c r="J33" s="26"/>
    </row>
    <row r="34" spans="3:10" outlineLevel="1" x14ac:dyDescent="0.2">
      <c r="J34" s="26"/>
    </row>
    <row r="35" spans="3:10" outlineLevel="1" x14ac:dyDescent="0.2">
      <c r="C35" s="11" t="s">
        <v>91</v>
      </c>
      <c r="F35" s="33" t="s">
        <v>92</v>
      </c>
      <c r="G35" s="33" t="s">
        <v>93</v>
      </c>
      <c r="J35" s="26"/>
    </row>
    <row r="36" spans="3:10" outlineLevel="1" x14ac:dyDescent="0.2">
      <c r="F36" s="42" t="s">
        <v>90</v>
      </c>
      <c r="G36" s="42" t="s">
        <v>90</v>
      </c>
      <c r="J36" s="26"/>
    </row>
    <row r="37" spans="3:10" outlineLevel="1" x14ac:dyDescent="0.2">
      <c r="F37" s="37">
        <v>0.63</v>
      </c>
      <c r="G37" s="41">
        <f>1-F37</f>
        <v>0.37</v>
      </c>
      <c r="J37" s="26"/>
    </row>
    <row r="38" spans="3:10" outlineLevel="1" x14ac:dyDescent="0.2">
      <c r="F38" s="16" t="s">
        <v>373</v>
      </c>
      <c r="G38" s="16" t="s">
        <v>374</v>
      </c>
      <c r="J38" s="26"/>
    </row>
    <row r="39" spans="3:10" outlineLevel="1" x14ac:dyDescent="0.2">
      <c r="J39" s="26"/>
    </row>
    <row r="40" spans="3:10" outlineLevel="1" x14ac:dyDescent="0.2">
      <c r="J40" s="26"/>
    </row>
    <row r="41" spans="3:10" outlineLevel="1" x14ac:dyDescent="0.2">
      <c r="J41" s="26"/>
    </row>
    <row r="42" spans="3:10" outlineLevel="1" x14ac:dyDescent="0.2">
      <c r="C42" s="11" t="s">
        <v>100</v>
      </c>
      <c r="F42" s="33" t="s">
        <v>101</v>
      </c>
      <c r="G42" s="33" t="s">
        <v>102</v>
      </c>
      <c r="J42" s="26"/>
    </row>
    <row r="43" spans="3:10" outlineLevel="1" x14ac:dyDescent="0.2">
      <c r="D43" t="s">
        <v>99</v>
      </c>
      <c r="F43" s="42" t="s">
        <v>90</v>
      </c>
      <c r="G43" s="42" t="s">
        <v>90</v>
      </c>
      <c r="J43" s="26"/>
    </row>
    <row r="44" spans="3:10" outlineLevel="1" x14ac:dyDescent="0.2">
      <c r="F44" s="37">
        <v>0.85</v>
      </c>
      <c r="G44" s="41">
        <f>1-F44</f>
        <v>0.15000000000000002</v>
      </c>
      <c r="J44" s="26"/>
    </row>
    <row r="45" spans="3:10" outlineLevel="1" x14ac:dyDescent="0.2">
      <c r="F45" s="16" t="s">
        <v>375</v>
      </c>
      <c r="G45" s="16" t="s">
        <v>376</v>
      </c>
      <c r="J45" s="26"/>
    </row>
    <row r="46" spans="3:10" outlineLevel="1" x14ac:dyDescent="0.2">
      <c r="J46" s="26"/>
    </row>
    <row r="47" spans="3:10" outlineLevel="1" x14ac:dyDescent="0.2">
      <c r="J47" s="26"/>
    </row>
    <row r="48" spans="3:10" outlineLevel="1" x14ac:dyDescent="0.2">
      <c r="J48" s="26"/>
    </row>
    <row r="49" spans="1:93" outlineLevel="1" x14ac:dyDescent="0.2">
      <c r="C49" s="11" t="s">
        <v>107</v>
      </c>
      <c r="F49" s="33" t="s">
        <v>377</v>
      </c>
      <c r="G49" s="33" t="s">
        <v>378</v>
      </c>
      <c r="J49" s="26"/>
    </row>
    <row r="50" spans="1:93" outlineLevel="1" x14ac:dyDescent="0.2">
      <c r="F50" s="42" t="s">
        <v>90</v>
      </c>
      <c r="G50" s="42" t="s">
        <v>90</v>
      </c>
      <c r="J50" s="26"/>
    </row>
    <row r="51" spans="1:93" outlineLevel="1" x14ac:dyDescent="0.2">
      <c r="F51" s="37">
        <v>0.5</v>
      </c>
      <c r="G51" s="41">
        <f>1-F51</f>
        <v>0.5</v>
      </c>
      <c r="J51" s="26"/>
    </row>
    <row r="52" spans="1:93" outlineLevel="1" x14ac:dyDescent="0.2">
      <c r="F52" s="16" t="s">
        <v>379</v>
      </c>
      <c r="G52" s="16" t="s">
        <v>380</v>
      </c>
      <c r="J52" s="26"/>
    </row>
    <row r="53" spans="1:93" outlineLevel="1" x14ac:dyDescent="0.2">
      <c r="J53" s="26"/>
    </row>
    <row r="54" spans="1:93" outlineLevel="1" x14ac:dyDescent="0.2">
      <c r="J54" s="26"/>
    </row>
    <row r="55" spans="1:93" outlineLevel="1" x14ac:dyDescent="0.2">
      <c r="J55" s="26"/>
    </row>
    <row r="56" spans="1:93" outlineLevel="1" x14ac:dyDescent="0.2">
      <c r="C56" s="11" t="s">
        <v>309</v>
      </c>
      <c r="F56" s="38" t="s">
        <v>75</v>
      </c>
      <c r="G56" s="42" t="s">
        <v>46</v>
      </c>
      <c r="J56" s="26"/>
    </row>
    <row r="57" spans="1:93" outlineLevel="1" x14ac:dyDescent="0.2">
      <c r="D57" t="s">
        <v>111</v>
      </c>
      <c r="F57" s="36" t="d">
        <v>1994-01-01</v>
      </c>
      <c r="G57" s="43">
        <v>22</v>
      </c>
      <c r="J57" s="26"/>
    </row>
    <row r="58" spans="1:93" outlineLevel="1" x14ac:dyDescent="0.2">
      <c r="F58" s="16" t="s">
        <v>381</v>
      </c>
      <c r="G58" s="16" t="s">
        <v>367</v>
      </c>
      <c r="J58" s="26"/>
    </row>
    <row r="59" spans="1:93" outlineLevel="1" x14ac:dyDescent="0.2">
      <c r="J59" s="26"/>
    </row>
    <row r="60" spans="1:93" outlineLevel="1" x14ac:dyDescent="0.2">
      <c r="J60" s="26"/>
    </row>
    <row r="61" spans="1:93" outlineLevel="1" x14ac:dyDescent="0.2">
      <c r="J61" s="26"/>
    </row>
    <row r="62" spans="1:93" ht="16" thickBot="1" x14ac:dyDescent="0.25">
      <c r="J62" s="26"/>
    </row>
    <row r="63" spans="1:93" ht="22" thickBot="1" x14ac:dyDescent="0.25">
      <c r="A63" s="8"/>
      <c r="B63" s="221" t="s">
        <v>114</v>
      </c>
      <c r="C63" s="222"/>
      <c r="D63" s="222"/>
      <c r="E63" s="223"/>
      <c r="F63" s="9"/>
      <c r="G63" s="9"/>
      <c r="H63" s="9"/>
      <c r="I63" s="9"/>
      <c r="J63" s="48"/>
      <c r="K63" s="10"/>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row>
    <row r="64" spans="1:93" outlineLevel="1" x14ac:dyDescent="0.2">
      <c r="J64" s="26"/>
    </row>
    <row r="65" spans="3:10" outlineLevel="1" x14ac:dyDescent="0.2">
      <c r="C65" s="11" t="s">
        <v>115</v>
      </c>
      <c r="J65" s="26"/>
    </row>
    <row r="66" spans="3:10" outlineLevel="1" x14ac:dyDescent="0.2">
      <c r="D66" t="s">
        <v>316</v>
      </c>
      <c r="G66" s="37">
        <v>0.15</v>
      </c>
      <c r="H66" s="16" t="s">
        <v>118</v>
      </c>
      <c r="J66" s="26"/>
    </row>
    <row r="67" spans="3:10" outlineLevel="1" x14ac:dyDescent="0.2">
      <c r="D67" t="s">
        <v>116</v>
      </c>
      <c r="G67" s="37">
        <v>0.85</v>
      </c>
      <c r="H67" s="16" t="s">
        <v>120</v>
      </c>
      <c r="J67" s="26"/>
    </row>
    <row r="68" spans="3:10" outlineLevel="1" x14ac:dyDescent="0.2">
      <c r="J68" s="26"/>
    </row>
    <row r="69" spans="3:10" outlineLevel="1" x14ac:dyDescent="0.2">
      <c r="D69" t="s">
        <v>117</v>
      </c>
      <c r="G69" s="44">
        <v>0</v>
      </c>
      <c r="H69" s="16" t="s">
        <v>119</v>
      </c>
      <c r="J69" s="26"/>
    </row>
    <row r="70" spans="3:10" outlineLevel="1" x14ac:dyDescent="0.2">
      <c r="J70" s="26"/>
    </row>
    <row r="71" spans="3:10" outlineLevel="1" x14ac:dyDescent="0.2">
      <c r="J71" s="26"/>
    </row>
    <row r="72" spans="3:10" outlineLevel="1" x14ac:dyDescent="0.2">
      <c r="C72" s="11" t="s">
        <v>121</v>
      </c>
      <c r="H72" s="38" t="s">
        <v>323</v>
      </c>
      <c r="J72" s="26"/>
    </row>
    <row r="73" spans="3:10" outlineLevel="1" x14ac:dyDescent="0.2">
      <c r="D73" t="s">
        <v>317</v>
      </c>
      <c r="F73" s="41">
        <f>NOC_WI_perc</f>
        <v>0.15</v>
      </c>
      <c r="G73" s="16" t="s">
        <v>319</v>
      </c>
      <c r="H73" s="44">
        <v>0</v>
      </c>
      <c r="I73" s="16" t="s">
        <v>324</v>
      </c>
      <c r="J73" s="26"/>
    </row>
    <row r="74" spans="3:10" outlineLevel="1" x14ac:dyDescent="0.2">
      <c r="D74" t="s">
        <v>318</v>
      </c>
      <c r="F74" s="41">
        <f>NOC_WI_perc</f>
        <v>0.15</v>
      </c>
      <c r="G74" s="16" t="s">
        <v>320</v>
      </c>
      <c r="H74" s="44">
        <v>1</v>
      </c>
      <c r="I74" s="16" t="s">
        <v>325</v>
      </c>
      <c r="J74" s="26"/>
    </row>
    <row r="75" spans="3:10" outlineLevel="1" x14ac:dyDescent="0.2">
      <c r="D75" t="s">
        <v>321</v>
      </c>
      <c r="F75" s="41"/>
      <c r="G75" s="16" t="s">
        <v>322</v>
      </c>
      <c r="H75" s="44">
        <v>0</v>
      </c>
      <c r="I75" s="16" t="s">
        <v>326</v>
      </c>
      <c r="J75" s="26"/>
    </row>
    <row r="76" spans="3:10" outlineLevel="1" x14ac:dyDescent="0.2">
      <c r="J76" s="26"/>
    </row>
    <row r="77" spans="3:10" outlineLevel="1" x14ac:dyDescent="0.2">
      <c r="J77" s="26"/>
    </row>
    <row r="78" spans="3:10" outlineLevel="1" x14ac:dyDescent="0.2">
      <c r="C78" s="11" t="s">
        <v>327</v>
      </c>
      <c r="G78" s="37">
        <v>0.75</v>
      </c>
      <c r="H78" s="16" t="s">
        <v>329</v>
      </c>
      <c r="J78" s="26"/>
    </row>
    <row r="79" spans="3:10" outlineLevel="1" x14ac:dyDescent="0.2">
      <c r="C79" t="s">
        <v>328</v>
      </c>
      <c r="J79" s="26"/>
    </row>
    <row r="80" spans="3:10" outlineLevel="1" x14ac:dyDescent="0.2">
      <c r="J80" s="26"/>
    </row>
    <row r="81" spans="10:10" outlineLevel="1" x14ac:dyDescent="0.2">
      <c r="J81" s="26"/>
    </row>
    <row r="82" spans="10:10" outlineLevel="1" x14ac:dyDescent="0.2">
      <c r="J82" s="26"/>
    </row>
    <row r="83" spans="10:10" outlineLevel="1" x14ac:dyDescent="0.2">
      <c r="J83" s="26"/>
    </row>
    <row r="84" spans="10:10" outlineLevel="1" x14ac:dyDescent="0.2">
      <c r="J84" s="26"/>
    </row>
    <row r="85" spans="10:10" outlineLevel="1" x14ac:dyDescent="0.2">
      <c r="J85" s="26"/>
    </row>
    <row r="86" spans="10:10" outlineLevel="1" x14ac:dyDescent="0.2">
      <c r="J86" s="26"/>
    </row>
    <row r="87" spans="10:10" outlineLevel="1" x14ac:dyDescent="0.2">
      <c r="J87" s="26"/>
    </row>
    <row r="88" spans="10:10" outlineLevel="1" x14ac:dyDescent="0.2">
      <c r="J88" s="26"/>
    </row>
    <row r="89" spans="10:10" outlineLevel="1" x14ac:dyDescent="0.2">
      <c r="J89" s="26"/>
    </row>
    <row r="90" spans="10:10" outlineLevel="1" x14ac:dyDescent="0.2">
      <c r="J90" s="26"/>
    </row>
    <row r="91" spans="10:10" outlineLevel="1" x14ac:dyDescent="0.2">
      <c r="J91" s="26"/>
    </row>
    <row r="92" spans="10:10" outlineLevel="1" x14ac:dyDescent="0.2">
      <c r="J92" s="26"/>
    </row>
    <row r="93" spans="10:10" outlineLevel="1" x14ac:dyDescent="0.2">
      <c r="J93" s="26"/>
    </row>
    <row r="94" spans="10:10" outlineLevel="1" x14ac:dyDescent="0.2">
      <c r="J94" s="26"/>
    </row>
    <row r="95" spans="10:10" outlineLevel="1" x14ac:dyDescent="0.2">
      <c r="J95" s="26"/>
    </row>
    <row r="96" spans="10:10" outlineLevel="1" x14ac:dyDescent="0.2">
      <c r="J96" s="26"/>
    </row>
    <row r="97" spans="1:93" outlineLevel="1" x14ac:dyDescent="0.2">
      <c r="J97" s="26"/>
    </row>
    <row r="98" spans="1:93" outlineLevel="1" x14ac:dyDescent="0.2">
      <c r="J98" s="26"/>
    </row>
    <row r="99" spans="1:93" outlineLevel="1" x14ac:dyDescent="0.2">
      <c r="J99" s="26"/>
    </row>
    <row r="100" spans="1:93" x14ac:dyDescent="0.2">
      <c r="J100" s="26"/>
    </row>
    <row r="101" spans="1:93" ht="16" thickBot="1" x14ac:dyDescent="0.25">
      <c r="J101" s="26"/>
    </row>
    <row r="102" spans="1:93" ht="22" thickBot="1" x14ac:dyDescent="0.25">
      <c r="A102" s="8"/>
      <c r="B102" s="221" t="s">
        <v>122</v>
      </c>
      <c r="C102" s="222"/>
      <c r="D102" s="222"/>
      <c r="E102" s="223"/>
      <c r="F102" s="9"/>
      <c r="G102" s="9"/>
      <c r="H102" s="9"/>
      <c r="I102" s="9"/>
      <c r="J102" s="48"/>
      <c r="K102" s="10"/>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row>
    <row r="103" spans="1:93" outlineLevel="1" x14ac:dyDescent="0.2">
      <c r="J103" s="26"/>
    </row>
    <row r="104" spans="1:93" outlineLevel="1" x14ac:dyDescent="0.2">
      <c r="A104" s="45"/>
      <c r="B104" s="38" t="s">
        <v>123</v>
      </c>
      <c r="C104" s="45"/>
      <c r="D104" s="45"/>
      <c r="E104" s="45"/>
      <c r="J104" s="26"/>
    </row>
    <row r="105" spans="1:93" outlineLevel="1" x14ac:dyDescent="0.2">
      <c r="J105" s="26"/>
    </row>
    <row r="106" spans="1:93" outlineLevel="1" x14ac:dyDescent="0.2">
      <c r="C106" s="11" t="s">
        <v>124</v>
      </c>
      <c r="J106" s="26"/>
    </row>
    <row r="107" spans="1:93" outlineLevel="1" x14ac:dyDescent="0.2">
      <c r="D107" t="s">
        <v>70</v>
      </c>
      <c r="I107" s="30">
        <f ca="1">SUM($L107:$BS107)</f>
        <v>175.91808291477389</v>
      </c>
      <c r="J107" s="26" t="s">
        <v>42</v>
      </c>
      <c r="K107" s="7" t="s">
        <v>131</v>
      </c>
      <c r="L107" s="49">
        <f t="shared" ref="L107:AQ107" ca="1" si="1">IF(_xlfn.SINGLE(IA_Years)&gt;=YEAR(effective_date_HM1994),(OFFSET(_xlfn.SINGLE(IA_prod_oil),,date_offset_HM1994)*_xlfn.SINGLE(IA_Days)/1000),0)</f>
        <v>7.0982879319049994</v>
      </c>
      <c r="M107" s="49">
        <f t="shared" ca="1" si="1"/>
        <v>7.3666552579249993</v>
      </c>
      <c r="N107" s="49">
        <f t="shared" ca="1" si="1"/>
        <v>5.5832165472149997</v>
      </c>
      <c r="O107" s="49">
        <f t="shared" ca="1" si="1"/>
        <v>6.2220890254739993</v>
      </c>
      <c r="P107" s="49">
        <f t="shared" ca="1" si="1"/>
        <v>12.875027128355001</v>
      </c>
      <c r="Q107" s="49">
        <f t="shared" ca="1" si="1"/>
        <v>20.306633656669998</v>
      </c>
      <c r="R107" s="49">
        <f t="shared" ca="1" si="1"/>
        <v>20.570378694594996</v>
      </c>
      <c r="S107" s="49">
        <f t="shared" ca="1" si="1"/>
        <v>19.049641200000003</v>
      </c>
      <c r="T107" s="49">
        <f t="shared" ca="1" si="1"/>
        <v>17.66776149</v>
      </c>
      <c r="U107" s="49">
        <f t="shared" ca="1" si="1"/>
        <v>16.431018185699998</v>
      </c>
      <c r="V107" s="49">
        <f t="shared" ca="1" si="1"/>
        <v>15.280846912700998</v>
      </c>
      <c r="W107" s="49">
        <f t="shared" ca="1" si="1"/>
        <v>14.250122389438808</v>
      </c>
      <c r="X107" s="49">
        <f t="shared" ca="1" si="1"/>
        <v>13.216404494795091</v>
      </c>
      <c r="Y107" s="49">
        <f t="shared" ca="1" si="1"/>
        <v>0</v>
      </c>
      <c r="Z107" s="49">
        <f t="shared" ca="1" si="1"/>
        <v>0</v>
      </c>
      <c r="AA107" s="49">
        <f t="shared" ca="1" si="1"/>
        <v>0</v>
      </c>
      <c r="AB107" s="49">
        <f t="shared" ca="1" si="1"/>
        <v>0</v>
      </c>
      <c r="AC107" s="49">
        <f t="shared" ca="1" si="1"/>
        <v>0</v>
      </c>
      <c r="AD107" s="49">
        <f t="shared" ca="1" si="1"/>
        <v>0</v>
      </c>
      <c r="AE107" s="49">
        <f t="shared" ca="1" si="1"/>
        <v>0</v>
      </c>
      <c r="AF107" s="49">
        <f t="shared" ca="1" si="1"/>
        <v>0</v>
      </c>
      <c r="AG107" s="49">
        <f t="shared" ca="1" si="1"/>
        <v>0</v>
      </c>
      <c r="AH107" s="49">
        <f t="shared" ca="1" si="1"/>
        <v>0</v>
      </c>
      <c r="AI107" s="49">
        <f t="shared" ca="1" si="1"/>
        <v>0</v>
      </c>
      <c r="AJ107" s="49">
        <f t="shared" ca="1" si="1"/>
        <v>0</v>
      </c>
      <c r="AK107" s="49">
        <f t="shared" ca="1" si="1"/>
        <v>0</v>
      </c>
      <c r="AL107" s="49">
        <f t="shared" ca="1" si="1"/>
        <v>0</v>
      </c>
      <c r="AM107" s="49">
        <f t="shared" ca="1" si="1"/>
        <v>0</v>
      </c>
      <c r="AN107" s="49">
        <f t="shared" ca="1" si="1"/>
        <v>0</v>
      </c>
      <c r="AO107" s="49">
        <f t="shared" ca="1" si="1"/>
        <v>0</v>
      </c>
      <c r="AP107" s="49">
        <f t="shared" ca="1" si="1"/>
        <v>0</v>
      </c>
      <c r="AQ107" s="49">
        <f t="shared" ca="1" si="1"/>
        <v>0</v>
      </c>
      <c r="AR107" s="49">
        <f t="shared" ref="AR107:BS107" ca="1" si="2">IF(_xlfn.SINGLE(IA_Years)&gt;=YEAR(effective_date_HM1994),(OFFSET(_xlfn.SINGLE(IA_prod_oil),,date_offset_HM1994)*_xlfn.SINGLE(IA_Days)/1000),0)</f>
        <v>0</v>
      </c>
      <c r="AS107" s="49">
        <f t="shared" ca="1" si="2"/>
        <v>0</v>
      </c>
      <c r="AT107" s="49">
        <f t="shared" ca="1" si="2"/>
        <v>0</v>
      </c>
      <c r="AU107" s="49">
        <f t="shared" ca="1" si="2"/>
        <v>0</v>
      </c>
      <c r="AV107" s="49">
        <f t="shared" ca="1" si="2"/>
        <v>0</v>
      </c>
      <c r="AW107" s="49">
        <f t="shared" ca="1" si="2"/>
        <v>0</v>
      </c>
      <c r="AX107" s="49">
        <f t="shared" ca="1" si="2"/>
        <v>0</v>
      </c>
      <c r="AY107" s="49">
        <f t="shared" ca="1" si="2"/>
        <v>0</v>
      </c>
      <c r="AZ107" s="49">
        <f t="shared" ca="1" si="2"/>
        <v>0</v>
      </c>
      <c r="BA107" s="49">
        <f t="shared" ca="1" si="2"/>
        <v>0</v>
      </c>
      <c r="BB107" s="49">
        <f t="shared" ca="1" si="2"/>
        <v>0</v>
      </c>
      <c r="BC107" s="49">
        <f t="shared" ca="1" si="2"/>
        <v>0</v>
      </c>
      <c r="BD107" s="49">
        <f t="shared" ca="1" si="2"/>
        <v>0</v>
      </c>
      <c r="BE107" s="49">
        <f t="shared" ca="1" si="2"/>
        <v>0</v>
      </c>
      <c r="BF107" s="49">
        <f t="shared" ca="1" si="2"/>
        <v>0</v>
      </c>
      <c r="BG107" s="49">
        <f t="shared" ca="1" si="2"/>
        <v>0</v>
      </c>
      <c r="BH107" s="49">
        <f t="shared" ca="1" si="2"/>
        <v>0</v>
      </c>
      <c r="BI107" s="49">
        <f t="shared" ca="1" si="2"/>
        <v>0</v>
      </c>
      <c r="BJ107" s="49">
        <f t="shared" ca="1" si="2"/>
        <v>0</v>
      </c>
      <c r="BK107" s="49">
        <f t="shared" ca="1" si="2"/>
        <v>0</v>
      </c>
      <c r="BL107" s="49">
        <f t="shared" ca="1" si="2"/>
        <v>0</v>
      </c>
      <c r="BM107" s="49">
        <f t="shared" ca="1" si="2"/>
        <v>0</v>
      </c>
      <c r="BN107" s="49">
        <f t="shared" ca="1" si="2"/>
        <v>0</v>
      </c>
      <c r="BO107" s="49">
        <f t="shared" ca="1" si="2"/>
        <v>0</v>
      </c>
      <c r="BP107" s="49">
        <f t="shared" ca="1" si="2"/>
        <v>0</v>
      </c>
      <c r="BQ107" s="49">
        <f t="shared" ca="1" si="2"/>
        <v>0</v>
      </c>
      <c r="BR107" s="49">
        <f t="shared" ca="1" si="2"/>
        <v>0</v>
      </c>
      <c r="BS107" s="49">
        <f t="shared" ca="1" si="2"/>
        <v>0</v>
      </c>
    </row>
    <row r="108" spans="1:93" outlineLevel="1" x14ac:dyDescent="0.2">
      <c r="D108" t="s">
        <v>71</v>
      </c>
      <c r="I108" s="46">
        <f ca="1">SUM($L108:$BS108)</f>
        <v>0</v>
      </c>
      <c r="J108" s="26" t="s">
        <v>45</v>
      </c>
      <c r="K108" s="7" t="s">
        <v>132</v>
      </c>
      <c r="L108" s="54">
        <f t="shared" ref="L108:AQ108" ca="1" si="3">IF(_xlfn.SINGLE(IA_Years)&gt;=YEAR(effective_date_HM1994),(OFFSET(_xlfn.SINGLE(IA_prod_gas),,date_offset_HM1994)*_xlfn.SINGLE(IA_Days)/1000),0)</f>
        <v>0</v>
      </c>
      <c r="M108" s="54">
        <f t="shared" ca="1" si="3"/>
        <v>0</v>
      </c>
      <c r="N108" s="54">
        <f t="shared" ca="1" si="3"/>
        <v>0</v>
      </c>
      <c r="O108" s="54">
        <f t="shared" ca="1" si="3"/>
        <v>0</v>
      </c>
      <c r="P108" s="54">
        <f t="shared" ca="1" si="3"/>
        <v>0</v>
      </c>
      <c r="Q108" s="54">
        <f t="shared" ca="1" si="3"/>
        <v>0</v>
      </c>
      <c r="R108" s="54">
        <f t="shared" ca="1" si="3"/>
        <v>0</v>
      </c>
      <c r="S108" s="54">
        <f t="shared" ca="1" si="3"/>
        <v>0</v>
      </c>
      <c r="T108" s="54">
        <f t="shared" ca="1" si="3"/>
        <v>0</v>
      </c>
      <c r="U108" s="54">
        <f t="shared" ca="1" si="3"/>
        <v>0</v>
      </c>
      <c r="V108" s="54">
        <f t="shared" ca="1" si="3"/>
        <v>0</v>
      </c>
      <c r="W108" s="54">
        <f t="shared" ca="1" si="3"/>
        <v>0</v>
      </c>
      <c r="X108" s="54">
        <f t="shared" ca="1" si="3"/>
        <v>0</v>
      </c>
      <c r="Y108" s="54">
        <f t="shared" ca="1" si="3"/>
        <v>0</v>
      </c>
      <c r="Z108" s="54">
        <f t="shared" ca="1" si="3"/>
        <v>0</v>
      </c>
      <c r="AA108" s="54">
        <f t="shared" ca="1" si="3"/>
        <v>0</v>
      </c>
      <c r="AB108" s="54">
        <f t="shared" ca="1" si="3"/>
        <v>0</v>
      </c>
      <c r="AC108" s="54">
        <f t="shared" ca="1" si="3"/>
        <v>0</v>
      </c>
      <c r="AD108" s="54">
        <f t="shared" ca="1" si="3"/>
        <v>0</v>
      </c>
      <c r="AE108" s="54">
        <f t="shared" ca="1" si="3"/>
        <v>0</v>
      </c>
      <c r="AF108" s="54">
        <f t="shared" ca="1" si="3"/>
        <v>0</v>
      </c>
      <c r="AG108" s="54">
        <f t="shared" ca="1" si="3"/>
        <v>0</v>
      </c>
      <c r="AH108" s="54">
        <f t="shared" ca="1" si="3"/>
        <v>0</v>
      </c>
      <c r="AI108" s="54">
        <f t="shared" ca="1" si="3"/>
        <v>0</v>
      </c>
      <c r="AJ108" s="54">
        <f t="shared" ca="1" si="3"/>
        <v>0</v>
      </c>
      <c r="AK108" s="54">
        <f t="shared" ca="1" si="3"/>
        <v>0</v>
      </c>
      <c r="AL108" s="54">
        <f t="shared" ca="1" si="3"/>
        <v>0</v>
      </c>
      <c r="AM108" s="54">
        <f t="shared" ca="1" si="3"/>
        <v>0</v>
      </c>
      <c r="AN108" s="54">
        <f t="shared" ca="1" si="3"/>
        <v>0</v>
      </c>
      <c r="AO108" s="54">
        <f t="shared" ca="1" si="3"/>
        <v>0</v>
      </c>
      <c r="AP108" s="54">
        <f t="shared" ca="1" si="3"/>
        <v>0</v>
      </c>
      <c r="AQ108" s="54">
        <f t="shared" ca="1" si="3"/>
        <v>0</v>
      </c>
      <c r="AR108" s="54">
        <f t="shared" ref="AR108:BS108" ca="1" si="4">IF(_xlfn.SINGLE(IA_Years)&gt;=YEAR(effective_date_HM1994),(OFFSET(_xlfn.SINGLE(IA_prod_gas),,date_offset_HM1994)*_xlfn.SINGLE(IA_Days)/1000),0)</f>
        <v>0</v>
      </c>
      <c r="AS108" s="54">
        <f t="shared" ca="1" si="4"/>
        <v>0</v>
      </c>
      <c r="AT108" s="54">
        <f t="shared" ca="1" si="4"/>
        <v>0</v>
      </c>
      <c r="AU108" s="54">
        <f t="shared" ca="1" si="4"/>
        <v>0</v>
      </c>
      <c r="AV108" s="54">
        <f t="shared" ca="1" si="4"/>
        <v>0</v>
      </c>
      <c r="AW108" s="54">
        <f t="shared" ca="1" si="4"/>
        <v>0</v>
      </c>
      <c r="AX108" s="54">
        <f t="shared" ca="1" si="4"/>
        <v>0</v>
      </c>
      <c r="AY108" s="54">
        <f t="shared" ca="1" si="4"/>
        <v>0</v>
      </c>
      <c r="AZ108" s="54">
        <f t="shared" ca="1" si="4"/>
        <v>0</v>
      </c>
      <c r="BA108" s="54">
        <f t="shared" ca="1" si="4"/>
        <v>0</v>
      </c>
      <c r="BB108" s="54">
        <f t="shared" ca="1" si="4"/>
        <v>0</v>
      </c>
      <c r="BC108" s="54">
        <f t="shared" ca="1" si="4"/>
        <v>0</v>
      </c>
      <c r="BD108" s="54">
        <f t="shared" ca="1" si="4"/>
        <v>0</v>
      </c>
      <c r="BE108" s="54">
        <f t="shared" ca="1" si="4"/>
        <v>0</v>
      </c>
      <c r="BF108" s="54">
        <f t="shared" ca="1" si="4"/>
        <v>0</v>
      </c>
      <c r="BG108" s="54">
        <f t="shared" ca="1" si="4"/>
        <v>0</v>
      </c>
      <c r="BH108" s="54">
        <f t="shared" ca="1" si="4"/>
        <v>0</v>
      </c>
      <c r="BI108" s="54">
        <f t="shared" ca="1" si="4"/>
        <v>0</v>
      </c>
      <c r="BJ108" s="54">
        <f t="shared" ca="1" si="4"/>
        <v>0</v>
      </c>
      <c r="BK108" s="54">
        <f t="shared" ca="1" si="4"/>
        <v>0</v>
      </c>
      <c r="BL108" s="54">
        <f t="shared" ca="1" si="4"/>
        <v>0</v>
      </c>
      <c r="BM108" s="54">
        <f t="shared" ca="1" si="4"/>
        <v>0</v>
      </c>
      <c r="BN108" s="54">
        <f t="shared" ca="1" si="4"/>
        <v>0</v>
      </c>
      <c r="BO108" s="54">
        <f t="shared" ca="1" si="4"/>
        <v>0</v>
      </c>
      <c r="BP108" s="54">
        <f t="shared" ca="1" si="4"/>
        <v>0</v>
      </c>
      <c r="BQ108" s="54">
        <f t="shared" ca="1" si="4"/>
        <v>0</v>
      </c>
      <c r="BR108" s="54">
        <f t="shared" ca="1" si="4"/>
        <v>0</v>
      </c>
      <c r="BS108" s="54">
        <f t="shared" ca="1" si="4"/>
        <v>0</v>
      </c>
    </row>
    <row r="109" spans="1:93" outlineLevel="1" x14ac:dyDescent="0.2">
      <c r="A109" s="6"/>
      <c r="B109" s="6"/>
      <c r="C109" s="6"/>
      <c r="D109" s="47" t="s">
        <v>129</v>
      </c>
      <c r="E109" s="6"/>
      <c r="F109" s="6"/>
      <c r="G109" s="6"/>
      <c r="H109" s="6"/>
      <c r="I109" s="30">
        <f ca="1">SUM($L109:$BS109)</f>
        <v>175.91808291477389</v>
      </c>
      <c r="J109" s="26" t="s">
        <v>130</v>
      </c>
      <c r="K109" s="7" t="s">
        <v>133</v>
      </c>
      <c r="L109" s="49">
        <f t="shared" ref="L109:BS109" ca="1" si="5">SUM(L107,L108/conv_BbltoMcf)</f>
        <v>7.0982879319049994</v>
      </c>
      <c r="M109" s="49">
        <f t="shared" ca="1" si="5"/>
        <v>7.3666552579249993</v>
      </c>
      <c r="N109" s="49">
        <f t="shared" ca="1" si="5"/>
        <v>5.5832165472149997</v>
      </c>
      <c r="O109" s="49">
        <f t="shared" ca="1" si="5"/>
        <v>6.2220890254739993</v>
      </c>
      <c r="P109" s="49">
        <f t="shared" ca="1" si="5"/>
        <v>12.875027128355001</v>
      </c>
      <c r="Q109" s="49">
        <f t="shared" ca="1" si="5"/>
        <v>20.306633656669998</v>
      </c>
      <c r="R109" s="49">
        <f t="shared" ca="1" si="5"/>
        <v>20.570378694594996</v>
      </c>
      <c r="S109" s="49">
        <f t="shared" ca="1" si="5"/>
        <v>19.049641200000003</v>
      </c>
      <c r="T109" s="49">
        <f t="shared" ca="1" si="5"/>
        <v>17.66776149</v>
      </c>
      <c r="U109" s="49">
        <f t="shared" ca="1" si="5"/>
        <v>16.431018185699998</v>
      </c>
      <c r="V109" s="49">
        <f t="shared" ca="1" si="5"/>
        <v>15.280846912700998</v>
      </c>
      <c r="W109" s="49">
        <f t="shared" ca="1" si="5"/>
        <v>14.250122389438808</v>
      </c>
      <c r="X109" s="49">
        <f t="shared" ca="1" si="5"/>
        <v>13.216404494795091</v>
      </c>
      <c r="Y109" s="49">
        <f t="shared" ca="1" si="5"/>
        <v>0</v>
      </c>
      <c r="Z109" s="49">
        <f t="shared" ca="1" si="5"/>
        <v>0</v>
      </c>
      <c r="AA109" s="49">
        <f t="shared" ca="1" si="5"/>
        <v>0</v>
      </c>
      <c r="AB109" s="49">
        <f t="shared" ca="1" si="5"/>
        <v>0</v>
      </c>
      <c r="AC109" s="49">
        <f t="shared" ca="1" si="5"/>
        <v>0</v>
      </c>
      <c r="AD109" s="49">
        <f t="shared" ca="1" si="5"/>
        <v>0</v>
      </c>
      <c r="AE109" s="49">
        <f t="shared" ca="1" si="5"/>
        <v>0</v>
      </c>
      <c r="AF109" s="49">
        <f t="shared" ca="1" si="5"/>
        <v>0</v>
      </c>
      <c r="AG109" s="49">
        <f t="shared" ca="1" si="5"/>
        <v>0</v>
      </c>
      <c r="AH109" s="49">
        <f t="shared" ca="1" si="5"/>
        <v>0</v>
      </c>
      <c r="AI109" s="49">
        <f t="shared" ca="1" si="5"/>
        <v>0</v>
      </c>
      <c r="AJ109" s="49">
        <f t="shared" ca="1" si="5"/>
        <v>0</v>
      </c>
      <c r="AK109" s="49">
        <f t="shared" ca="1" si="5"/>
        <v>0</v>
      </c>
      <c r="AL109" s="49">
        <f t="shared" ca="1" si="5"/>
        <v>0</v>
      </c>
      <c r="AM109" s="49">
        <f t="shared" ca="1" si="5"/>
        <v>0</v>
      </c>
      <c r="AN109" s="49">
        <f t="shared" ca="1" si="5"/>
        <v>0</v>
      </c>
      <c r="AO109" s="49">
        <f t="shared" ca="1" si="5"/>
        <v>0</v>
      </c>
      <c r="AP109" s="49">
        <f t="shared" ca="1" si="5"/>
        <v>0</v>
      </c>
      <c r="AQ109" s="49">
        <f t="shared" ca="1" si="5"/>
        <v>0</v>
      </c>
      <c r="AR109" s="49">
        <f t="shared" ca="1" si="5"/>
        <v>0</v>
      </c>
      <c r="AS109" s="49">
        <f t="shared" ca="1" si="5"/>
        <v>0</v>
      </c>
      <c r="AT109" s="49">
        <f t="shared" ca="1" si="5"/>
        <v>0</v>
      </c>
      <c r="AU109" s="49">
        <f t="shared" ca="1" si="5"/>
        <v>0</v>
      </c>
      <c r="AV109" s="49">
        <f t="shared" ca="1" si="5"/>
        <v>0</v>
      </c>
      <c r="AW109" s="49">
        <f t="shared" ca="1" si="5"/>
        <v>0</v>
      </c>
      <c r="AX109" s="49">
        <f t="shared" ca="1" si="5"/>
        <v>0</v>
      </c>
      <c r="AY109" s="49">
        <f t="shared" ca="1" si="5"/>
        <v>0</v>
      </c>
      <c r="AZ109" s="49">
        <f t="shared" ca="1" si="5"/>
        <v>0</v>
      </c>
      <c r="BA109" s="49">
        <f t="shared" ca="1" si="5"/>
        <v>0</v>
      </c>
      <c r="BB109" s="49">
        <f t="shared" ca="1" si="5"/>
        <v>0</v>
      </c>
      <c r="BC109" s="49">
        <f t="shared" ca="1" si="5"/>
        <v>0</v>
      </c>
      <c r="BD109" s="49">
        <f t="shared" ca="1" si="5"/>
        <v>0</v>
      </c>
      <c r="BE109" s="49">
        <f t="shared" ca="1" si="5"/>
        <v>0</v>
      </c>
      <c r="BF109" s="49">
        <f t="shared" ca="1" si="5"/>
        <v>0</v>
      </c>
      <c r="BG109" s="49">
        <f t="shared" ca="1" si="5"/>
        <v>0</v>
      </c>
      <c r="BH109" s="49">
        <f t="shared" ca="1" si="5"/>
        <v>0</v>
      </c>
      <c r="BI109" s="49">
        <f t="shared" ca="1" si="5"/>
        <v>0</v>
      </c>
      <c r="BJ109" s="49">
        <f t="shared" ca="1" si="5"/>
        <v>0</v>
      </c>
      <c r="BK109" s="49">
        <f t="shared" ca="1" si="5"/>
        <v>0</v>
      </c>
      <c r="BL109" s="49">
        <f t="shared" ca="1" si="5"/>
        <v>0</v>
      </c>
      <c r="BM109" s="49">
        <f t="shared" ca="1" si="5"/>
        <v>0</v>
      </c>
      <c r="BN109" s="49">
        <f t="shared" ca="1" si="5"/>
        <v>0</v>
      </c>
      <c r="BO109" s="49">
        <f t="shared" ca="1" si="5"/>
        <v>0</v>
      </c>
      <c r="BP109" s="49">
        <f t="shared" ca="1" si="5"/>
        <v>0</v>
      </c>
      <c r="BQ109" s="49">
        <f t="shared" ca="1" si="5"/>
        <v>0</v>
      </c>
      <c r="BR109" s="49">
        <f t="shared" ca="1" si="5"/>
        <v>0</v>
      </c>
      <c r="BS109" s="49">
        <f t="shared" ca="1" si="5"/>
        <v>0</v>
      </c>
      <c r="BT109" s="6"/>
      <c r="BU109" s="6"/>
      <c r="BV109" s="6"/>
      <c r="BW109" s="6"/>
      <c r="BX109" s="6"/>
      <c r="BY109" s="6"/>
      <c r="BZ109" s="6"/>
      <c r="CA109" s="6"/>
      <c r="CB109" s="6"/>
      <c r="CC109" s="6"/>
      <c r="CD109" s="6"/>
      <c r="CE109" s="6"/>
      <c r="CF109" s="6"/>
      <c r="CG109" s="6"/>
      <c r="CH109" s="6"/>
      <c r="CI109" s="6"/>
      <c r="CJ109" s="6"/>
      <c r="CK109" s="6"/>
      <c r="CL109" s="6"/>
      <c r="CM109" s="6"/>
      <c r="CN109" s="6"/>
      <c r="CO109" s="6"/>
    </row>
    <row r="110" spans="1:93" outlineLevel="1" x14ac:dyDescent="0.2">
      <c r="J110" s="26"/>
      <c r="L110" s="55"/>
      <c r="M110" s="55"/>
      <c r="N110" s="55"/>
      <c r="O110" s="55"/>
      <c r="P110" s="55"/>
      <c r="Q110" s="55"/>
      <c r="R110" s="55"/>
      <c r="S110" s="55"/>
      <c r="T110" s="55"/>
      <c r="U110" s="55"/>
      <c r="V110" s="55"/>
      <c r="W110" s="55"/>
      <c r="X110" s="55"/>
      <c r="Y110" s="55"/>
      <c r="Z110" s="55"/>
      <c r="AA110" s="55"/>
      <c r="AB110" s="55"/>
      <c r="AC110" s="55"/>
      <c r="AD110" s="55"/>
      <c r="AE110" s="55"/>
      <c r="AF110" s="55"/>
      <c r="AG110" s="55"/>
      <c r="AH110" s="55"/>
      <c r="AI110" s="55"/>
      <c r="AJ110" s="55"/>
      <c r="AK110" s="55"/>
      <c r="AL110" s="55"/>
      <c r="AM110" s="55"/>
      <c r="AN110" s="55"/>
      <c r="AO110" s="55"/>
      <c r="AP110" s="55"/>
      <c r="AQ110" s="55"/>
      <c r="AR110" s="55"/>
      <c r="AS110" s="55"/>
      <c r="AT110" s="55"/>
      <c r="AU110" s="55"/>
      <c r="AV110" s="55"/>
      <c r="AW110" s="55"/>
      <c r="AX110" s="55"/>
      <c r="AY110" s="55"/>
      <c r="AZ110" s="55"/>
      <c r="BA110" s="55"/>
      <c r="BB110" s="55"/>
      <c r="BC110" s="55"/>
      <c r="BD110" s="55"/>
      <c r="BE110" s="55"/>
      <c r="BF110" s="55"/>
      <c r="BG110" s="55"/>
      <c r="BH110" s="55"/>
      <c r="BI110" s="55"/>
      <c r="BJ110" s="55"/>
      <c r="BK110" s="55"/>
      <c r="BL110" s="55"/>
      <c r="BM110" s="55"/>
      <c r="BN110" s="55"/>
      <c r="BO110" s="55"/>
      <c r="BP110" s="55"/>
      <c r="BQ110" s="55"/>
      <c r="BR110" s="55"/>
      <c r="BS110" s="55"/>
    </row>
    <row r="111" spans="1:93" outlineLevel="1" x14ac:dyDescent="0.2">
      <c r="C111" s="11" t="s">
        <v>134</v>
      </c>
      <c r="J111" s="26"/>
      <c r="L111" s="55"/>
      <c r="M111" s="55"/>
      <c r="N111" s="55"/>
      <c r="O111" s="55"/>
      <c r="P111" s="55"/>
      <c r="Q111" s="55"/>
      <c r="R111" s="55"/>
      <c r="S111" s="55"/>
      <c r="T111" s="55"/>
      <c r="U111" s="55"/>
      <c r="V111" s="55"/>
      <c r="W111" s="55"/>
      <c r="X111" s="55"/>
      <c r="Y111" s="55"/>
      <c r="Z111" s="55"/>
      <c r="AA111" s="55"/>
      <c r="AB111" s="55"/>
      <c r="AC111" s="55"/>
      <c r="AD111" s="55"/>
      <c r="AE111" s="55"/>
      <c r="AF111" s="55"/>
      <c r="AG111" s="55"/>
      <c r="AH111" s="55"/>
      <c r="AI111" s="55"/>
      <c r="AJ111" s="55"/>
      <c r="AK111" s="55"/>
      <c r="AL111" s="55"/>
      <c r="AM111" s="55"/>
      <c r="AN111" s="55"/>
      <c r="AO111" s="55"/>
      <c r="AP111" s="55"/>
      <c r="AQ111" s="55"/>
      <c r="AR111" s="55"/>
      <c r="AS111" s="55"/>
      <c r="AT111" s="55"/>
      <c r="AU111" s="55"/>
      <c r="AV111" s="55"/>
      <c r="AW111" s="55"/>
      <c r="AX111" s="55"/>
      <c r="AY111" s="55"/>
      <c r="AZ111" s="55"/>
      <c r="BA111" s="55"/>
      <c r="BB111" s="55"/>
      <c r="BC111" s="55"/>
      <c r="BD111" s="55"/>
      <c r="BE111" s="55"/>
      <c r="BF111" s="55"/>
      <c r="BG111" s="55"/>
      <c r="BH111" s="55"/>
      <c r="BI111" s="55"/>
      <c r="BJ111" s="55"/>
      <c r="BK111" s="55"/>
      <c r="BL111" s="55"/>
      <c r="BM111" s="55"/>
      <c r="BN111" s="55"/>
      <c r="BO111" s="55"/>
      <c r="BP111" s="55"/>
      <c r="BQ111" s="55"/>
      <c r="BR111" s="55"/>
      <c r="BS111" s="55"/>
    </row>
    <row r="112" spans="1:93" outlineLevel="1" x14ac:dyDescent="0.2">
      <c r="D112" t="s">
        <v>70</v>
      </c>
      <c r="K112" s="7" t="s">
        <v>135</v>
      </c>
      <c r="L112" s="49">
        <f t="shared" ref="L112:AQ112" ca="1" si="6">SUM(K112)+CA_gross_prod_oil</f>
        <v>7.0982879319049994</v>
      </c>
      <c r="M112" s="49">
        <f t="shared" ca="1" si="6"/>
        <v>14.464943189829999</v>
      </c>
      <c r="N112" s="49">
        <f t="shared" ca="1" si="6"/>
        <v>20.048159737044998</v>
      </c>
      <c r="O112" s="49">
        <f t="shared" ca="1" si="6"/>
        <v>26.270248762518996</v>
      </c>
      <c r="P112" s="49">
        <f t="shared" ca="1" si="6"/>
        <v>39.145275890873997</v>
      </c>
      <c r="Q112" s="49">
        <f t="shared" ca="1" si="6"/>
        <v>59.451909547543991</v>
      </c>
      <c r="R112" s="49">
        <f t="shared" ca="1" si="6"/>
        <v>80.022288242138984</v>
      </c>
      <c r="S112" s="49">
        <f t="shared" ca="1" si="6"/>
        <v>99.07192944213898</v>
      </c>
      <c r="T112" s="49">
        <f t="shared" ca="1" si="6"/>
        <v>116.73969093213898</v>
      </c>
      <c r="U112" s="49">
        <f t="shared" ca="1" si="6"/>
        <v>133.17070911783898</v>
      </c>
      <c r="V112" s="49">
        <f t="shared" ca="1" si="6"/>
        <v>148.45155603053999</v>
      </c>
      <c r="W112" s="49">
        <f t="shared" ca="1" si="6"/>
        <v>162.7016784199788</v>
      </c>
      <c r="X112" s="49">
        <f t="shared" ca="1" si="6"/>
        <v>175.91808291477389</v>
      </c>
      <c r="Y112" s="49">
        <f t="shared" ca="1" si="6"/>
        <v>175.91808291477389</v>
      </c>
      <c r="Z112" s="49">
        <f t="shared" ca="1" si="6"/>
        <v>175.91808291477389</v>
      </c>
      <c r="AA112" s="49">
        <f t="shared" ca="1" si="6"/>
        <v>175.91808291477389</v>
      </c>
      <c r="AB112" s="49">
        <f t="shared" ca="1" si="6"/>
        <v>175.91808291477389</v>
      </c>
      <c r="AC112" s="49">
        <f t="shared" ca="1" si="6"/>
        <v>175.91808291477389</v>
      </c>
      <c r="AD112" s="49">
        <f t="shared" ca="1" si="6"/>
        <v>175.91808291477389</v>
      </c>
      <c r="AE112" s="49">
        <f t="shared" ca="1" si="6"/>
        <v>175.91808291477389</v>
      </c>
      <c r="AF112" s="49">
        <f t="shared" ca="1" si="6"/>
        <v>175.91808291477389</v>
      </c>
      <c r="AG112" s="49">
        <f t="shared" ca="1" si="6"/>
        <v>175.91808291477389</v>
      </c>
      <c r="AH112" s="49">
        <f t="shared" ca="1" si="6"/>
        <v>175.91808291477389</v>
      </c>
      <c r="AI112" s="49">
        <f t="shared" ca="1" si="6"/>
        <v>175.91808291477389</v>
      </c>
      <c r="AJ112" s="49">
        <f t="shared" ca="1" si="6"/>
        <v>175.91808291477389</v>
      </c>
      <c r="AK112" s="49">
        <f t="shared" ca="1" si="6"/>
        <v>175.91808291477389</v>
      </c>
      <c r="AL112" s="49">
        <f t="shared" ca="1" si="6"/>
        <v>175.91808291477389</v>
      </c>
      <c r="AM112" s="49">
        <f t="shared" ca="1" si="6"/>
        <v>175.91808291477389</v>
      </c>
      <c r="AN112" s="49">
        <f t="shared" ca="1" si="6"/>
        <v>175.91808291477389</v>
      </c>
      <c r="AO112" s="49">
        <f t="shared" ca="1" si="6"/>
        <v>175.91808291477389</v>
      </c>
      <c r="AP112" s="49">
        <f t="shared" ca="1" si="6"/>
        <v>175.91808291477389</v>
      </c>
      <c r="AQ112" s="49">
        <f t="shared" ca="1" si="6"/>
        <v>175.91808291477389</v>
      </c>
      <c r="AR112" s="49">
        <f t="shared" ref="AR112:BS112" ca="1" si="7">SUM(AQ112)+CA_gross_prod_oil</f>
        <v>175.91808291477389</v>
      </c>
      <c r="AS112" s="49">
        <f t="shared" ca="1" si="7"/>
        <v>175.91808291477389</v>
      </c>
      <c r="AT112" s="49">
        <f t="shared" ca="1" si="7"/>
        <v>175.91808291477389</v>
      </c>
      <c r="AU112" s="49">
        <f t="shared" ca="1" si="7"/>
        <v>175.91808291477389</v>
      </c>
      <c r="AV112" s="49">
        <f t="shared" ca="1" si="7"/>
        <v>175.91808291477389</v>
      </c>
      <c r="AW112" s="49">
        <f t="shared" ca="1" si="7"/>
        <v>175.91808291477389</v>
      </c>
      <c r="AX112" s="49">
        <f t="shared" ca="1" si="7"/>
        <v>175.91808291477389</v>
      </c>
      <c r="AY112" s="49">
        <f t="shared" ca="1" si="7"/>
        <v>175.91808291477389</v>
      </c>
      <c r="AZ112" s="49">
        <f t="shared" ca="1" si="7"/>
        <v>175.91808291477389</v>
      </c>
      <c r="BA112" s="49">
        <f t="shared" ca="1" si="7"/>
        <v>175.91808291477389</v>
      </c>
      <c r="BB112" s="49">
        <f t="shared" ca="1" si="7"/>
        <v>175.91808291477389</v>
      </c>
      <c r="BC112" s="49">
        <f t="shared" ca="1" si="7"/>
        <v>175.91808291477389</v>
      </c>
      <c r="BD112" s="49">
        <f t="shared" ca="1" si="7"/>
        <v>175.91808291477389</v>
      </c>
      <c r="BE112" s="49">
        <f t="shared" ca="1" si="7"/>
        <v>175.91808291477389</v>
      </c>
      <c r="BF112" s="49">
        <f t="shared" ca="1" si="7"/>
        <v>175.91808291477389</v>
      </c>
      <c r="BG112" s="49">
        <f t="shared" ca="1" si="7"/>
        <v>175.91808291477389</v>
      </c>
      <c r="BH112" s="49">
        <f t="shared" ca="1" si="7"/>
        <v>175.91808291477389</v>
      </c>
      <c r="BI112" s="49">
        <f t="shared" ca="1" si="7"/>
        <v>175.91808291477389</v>
      </c>
      <c r="BJ112" s="49">
        <f t="shared" ca="1" si="7"/>
        <v>175.91808291477389</v>
      </c>
      <c r="BK112" s="49">
        <f t="shared" ca="1" si="7"/>
        <v>175.91808291477389</v>
      </c>
      <c r="BL112" s="49">
        <f t="shared" ca="1" si="7"/>
        <v>175.91808291477389</v>
      </c>
      <c r="BM112" s="49">
        <f t="shared" ca="1" si="7"/>
        <v>175.91808291477389</v>
      </c>
      <c r="BN112" s="49">
        <f t="shared" ca="1" si="7"/>
        <v>175.91808291477389</v>
      </c>
      <c r="BO112" s="49">
        <f t="shared" ca="1" si="7"/>
        <v>175.91808291477389</v>
      </c>
      <c r="BP112" s="49">
        <f t="shared" ca="1" si="7"/>
        <v>175.91808291477389</v>
      </c>
      <c r="BQ112" s="49">
        <f t="shared" ca="1" si="7"/>
        <v>175.91808291477389</v>
      </c>
      <c r="BR112" s="49">
        <f t="shared" ca="1" si="7"/>
        <v>175.91808291477389</v>
      </c>
      <c r="BS112" s="49">
        <f t="shared" ca="1" si="7"/>
        <v>175.91808291477389</v>
      </c>
    </row>
    <row r="113" spans="1:71" outlineLevel="1" x14ac:dyDescent="0.2">
      <c r="D113" t="s">
        <v>71</v>
      </c>
      <c r="K113" s="7" t="s">
        <v>136</v>
      </c>
      <c r="L113" s="49">
        <f t="shared" ref="L113:AQ113" ca="1" si="8">SUM(K113)+CA_gross_prod_gas</f>
        <v>0</v>
      </c>
      <c r="M113" s="49">
        <f t="shared" ca="1" si="8"/>
        <v>0</v>
      </c>
      <c r="N113" s="49">
        <f t="shared" ca="1" si="8"/>
        <v>0</v>
      </c>
      <c r="O113" s="49">
        <f t="shared" ca="1" si="8"/>
        <v>0</v>
      </c>
      <c r="P113" s="49">
        <f t="shared" ca="1" si="8"/>
        <v>0</v>
      </c>
      <c r="Q113" s="49">
        <f t="shared" ca="1" si="8"/>
        <v>0</v>
      </c>
      <c r="R113" s="49">
        <f t="shared" ca="1" si="8"/>
        <v>0</v>
      </c>
      <c r="S113" s="49">
        <f t="shared" ca="1" si="8"/>
        <v>0</v>
      </c>
      <c r="T113" s="49">
        <f t="shared" ca="1" si="8"/>
        <v>0</v>
      </c>
      <c r="U113" s="49">
        <f t="shared" ca="1" si="8"/>
        <v>0</v>
      </c>
      <c r="V113" s="49">
        <f t="shared" ca="1" si="8"/>
        <v>0</v>
      </c>
      <c r="W113" s="49">
        <f t="shared" ca="1" si="8"/>
        <v>0</v>
      </c>
      <c r="X113" s="49">
        <f t="shared" ca="1" si="8"/>
        <v>0</v>
      </c>
      <c r="Y113" s="49">
        <f t="shared" ca="1" si="8"/>
        <v>0</v>
      </c>
      <c r="Z113" s="49">
        <f t="shared" ca="1" si="8"/>
        <v>0</v>
      </c>
      <c r="AA113" s="49">
        <f t="shared" ca="1" si="8"/>
        <v>0</v>
      </c>
      <c r="AB113" s="49">
        <f t="shared" ca="1" si="8"/>
        <v>0</v>
      </c>
      <c r="AC113" s="49">
        <f t="shared" ca="1" si="8"/>
        <v>0</v>
      </c>
      <c r="AD113" s="49">
        <f t="shared" ca="1" si="8"/>
        <v>0</v>
      </c>
      <c r="AE113" s="49">
        <f t="shared" ca="1" si="8"/>
        <v>0</v>
      </c>
      <c r="AF113" s="49">
        <f t="shared" ca="1" si="8"/>
        <v>0</v>
      </c>
      <c r="AG113" s="49">
        <f t="shared" ca="1" si="8"/>
        <v>0</v>
      </c>
      <c r="AH113" s="49">
        <f t="shared" ca="1" si="8"/>
        <v>0</v>
      </c>
      <c r="AI113" s="49">
        <f t="shared" ca="1" si="8"/>
        <v>0</v>
      </c>
      <c r="AJ113" s="49">
        <f t="shared" ca="1" si="8"/>
        <v>0</v>
      </c>
      <c r="AK113" s="49">
        <f t="shared" ca="1" si="8"/>
        <v>0</v>
      </c>
      <c r="AL113" s="49">
        <f t="shared" ca="1" si="8"/>
        <v>0</v>
      </c>
      <c r="AM113" s="49">
        <f t="shared" ca="1" si="8"/>
        <v>0</v>
      </c>
      <c r="AN113" s="49">
        <f t="shared" ca="1" si="8"/>
        <v>0</v>
      </c>
      <c r="AO113" s="49">
        <f t="shared" ca="1" si="8"/>
        <v>0</v>
      </c>
      <c r="AP113" s="49">
        <f t="shared" ca="1" si="8"/>
        <v>0</v>
      </c>
      <c r="AQ113" s="49">
        <f t="shared" ca="1" si="8"/>
        <v>0</v>
      </c>
      <c r="AR113" s="49">
        <f t="shared" ref="AR113:BS113" ca="1" si="9">SUM(AQ113)+CA_gross_prod_gas</f>
        <v>0</v>
      </c>
      <c r="AS113" s="49">
        <f t="shared" ca="1" si="9"/>
        <v>0</v>
      </c>
      <c r="AT113" s="49">
        <f t="shared" ca="1" si="9"/>
        <v>0</v>
      </c>
      <c r="AU113" s="49">
        <f t="shared" ca="1" si="9"/>
        <v>0</v>
      </c>
      <c r="AV113" s="49">
        <f t="shared" ca="1" si="9"/>
        <v>0</v>
      </c>
      <c r="AW113" s="49">
        <f t="shared" ca="1" si="9"/>
        <v>0</v>
      </c>
      <c r="AX113" s="49">
        <f t="shared" ca="1" si="9"/>
        <v>0</v>
      </c>
      <c r="AY113" s="49">
        <f t="shared" ca="1" si="9"/>
        <v>0</v>
      </c>
      <c r="AZ113" s="49">
        <f t="shared" ca="1" si="9"/>
        <v>0</v>
      </c>
      <c r="BA113" s="49">
        <f t="shared" ca="1" si="9"/>
        <v>0</v>
      </c>
      <c r="BB113" s="49">
        <f t="shared" ca="1" si="9"/>
        <v>0</v>
      </c>
      <c r="BC113" s="49">
        <f t="shared" ca="1" si="9"/>
        <v>0</v>
      </c>
      <c r="BD113" s="49">
        <f t="shared" ca="1" si="9"/>
        <v>0</v>
      </c>
      <c r="BE113" s="49">
        <f t="shared" ca="1" si="9"/>
        <v>0</v>
      </c>
      <c r="BF113" s="49">
        <f t="shared" ca="1" si="9"/>
        <v>0</v>
      </c>
      <c r="BG113" s="49">
        <f t="shared" ca="1" si="9"/>
        <v>0</v>
      </c>
      <c r="BH113" s="49">
        <f t="shared" ca="1" si="9"/>
        <v>0</v>
      </c>
      <c r="BI113" s="49">
        <f t="shared" ca="1" si="9"/>
        <v>0</v>
      </c>
      <c r="BJ113" s="49">
        <f t="shared" ca="1" si="9"/>
        <v>0</v>
      </c>
      <c r="BK113" s="49">
        <f t="shared" ca="1" si="9"/>
        <v>0</v>
      </c>
      <c r="BL113" s="49">
        <f t="shared" ca="1" si="9"/>
        <v>0</v>
      </c>
      <c r="BM113" s="49">
        <f t="shared" ca="1" si="9"/>
        <v>0</v>
      </c>
      <c r="BN113" s="49">
        <f t="shared" ca="1" si="9"/>
        <v>0</v>
      </c>
      <c r="BO113" s="49">
        <f t="shared" ca="1" si="9"/>
        <v>0</v>
      </c>
      <c r="BP113" s="49">
        <f t="shared" ca="1" si="9"/>
        <v>0</v>
      </c>
      <c r="BQ113" s="49">
        <f t="shared" ca="1" si="9"/>
        <v>0</v>
      </c>
      <c r="BR113" s="49">
        <f t="shared" ca="1" si="9"/>
        <v>0</v>
      </c>
      <c r="BS113" s="49">
        <f t="shared" ca="1" si="9"/>
        <v>0</v>
      </c>
    </row>
    <row r="114" spans="1:71" outlineLevel="1" x14ac:dyDescent="0.2">
      <c r="D114" s="47" t="s">
        <v>129</v>
      </c>
      <c r="E114" s="6"/>
      <c r="F114" s="6"/>
      <c r="G114" s="6"/>
      <c r="H114" s="6"/>
      <c r="I114" s="6"/>
      <c r="J114" s="6"/>
      <c r="K114" s="7" t="s">
        <v>137</v>
      </c>
      <c r="L114" s="49">
        <f ca="1">SUM(L112:L113)</f>
        <v>7.0982879319049994</v>
      </c>
      <c r="M114" s="49">
        <f t="shared" ref="M114:BS114" ca="1" si="10">SUM(M112:M113)</f>
        <v>14.464943189829999</v>
      </c>
      <c r="N114" s="49">
        <f t="shared" ca="1" si="10"/>
        <v>20.048159737044998</v>
      </c>
      <c r="O114" s="49">
        <f t="shared" ca="1" si="10"/>
        <v>26.270248762518996</v>
      </c>
      <c r="P114" s="49">
        <f t="shared" ca="1" si="10"/>
        <v>39.145275890873997</v>
      </c>
      <c r="Q114" s="49">
        <f t="shared" ca="1" si="10"/>
        <v>59.451909547543991</v>
      </c>
      <c r="R114" s="49">
        <f t="shared" ca="1" si="10"/>
        <v>80.022288242138984</v>
      </c>
      <c r="S114" s="49">
        <f t="shared" ca="1" si="10"/>
        <v>99.07192944213898</v>
      </c>
      <c r="T114" s="49">
        <f t="shared" ca="1" si="10"/>
        <v>116.73969093213898</v>
      </c>
      <c r="U114" s="49">
        <f t="shared" ca="1" si="10"/>
        <v>133.17070911783898</v>
      </c>
      <c r="V114" s="49">
        <f t="shared" ca="1" si="10"/>
        <v>148.45155603053999</v>
      </c>
      <c r="W114" s="49">
        <f t="shared" ca="1" si="10"/>
        <v>162.7016784199788</v>
      </c>
      <c r="X114" s="49">
        <f t="shared" ca="1" si="10"/>
        <v>175.91808291477389</v>
      </c>
      <c r="Y114" s="49">
        <f t="shared" ca="1" si="10"/>
        <v>175.91808291477389</v>
      </c>
      <c r="Z114" s="49">
        <f t="shared" ca="1" si="10"/>
        <v>175.91808291477389</v>
      </c>
      <c r="AA114" s="49">
        <f t="shared" ca="1" si="10"/>
        <v>175.91808291477389</v>
      </c>
      <c r="AB114" s="49">
        <f t="shared" ca="1" si="10"/>
        <v>175.91808291477389</v>
      </c>
      <c r="AC114" s="49">
        <f t="shared" ca="1" si="10"/>
        <v>175.91808291477389</v>
      </c>
      <c r="AD114" s="49">
        <f t="shared" ca="1" si="10"/>
        <v>175.91808291477389</v>
      </c>
      <c r="AE114" s="49">
        <f t="shared" ca="1" si="10"/>
        <v>175.91808291477389</v>
      </c>
      <c r="AF114" s="49">
        <f t="shared" ca="1" si="10"/>
        <v>175.91808291477389</v>
      </c>
      <c r="AG114" s="49">
        <f t="shared" ca="1" si="10"/>
        <v>175.91808291477389</v>
      </c>
      <c r="AH114" s="49">
        <f t="shared" ca="1" si="10"/>
        <v>175.91808291477389</v>
      </c>
      <c r="AI114" s="49">
        <f t="shared" ca="1" si="10"/>
        <v>175.91808291477389</v>
      </c>
      <c r="AJ114" s="49">
        <f t="shared" ca="1" si="10"/>
        <v>175.91808291477389</v>
      </c>
      <c r="AK114" s="49">
        <f t="shared" ca="1" si="10"/>
        <v>175.91808291477389</v>
      </c>
      <c r="AL114" s="49">
        <f t="shared" ca="1" si="10"/>
        <v>175.91808291477389</v>
      </c>
      <c r="AM114" s="49">
        <f t="shared" ca="1" si="10"/>
        <v>175.91808291477389</v>
      </c>
      <c r="AN114" s="49">
        <f t="shared" ca="1" si="10"/>
        <v>175.91808291477389</v>
      </c>
      <c r="AO114" s="49">
        <f t="shared" ca="1" si="10"/>
        <v>175.91808291477389</v>
      </c>
      <c r="AP114" s="49">
        <f t="shared" ca="1" si="10"/>
        <v>175.91808291477389</v>
      </c>
      <c r="AQ114" s="49">
        <f t="shared" ca="1" si="10"/>
        <v>175.91808291477389</v>
      </c>
      <c r="AR114" s="49">
        <f t="shared" ca="1" si="10"/>
        <v>175.91808291477389</v>
      </c>
      <c r="AS114" s="49">
        <f t="shared" ca="1" si="10"/>
        <v>175.91808291477389</v>
      </c>
      <c r="AT114" s="49">
        <f t="shared" ca="1" si="10"/>
        <v>175.91808291477389</v>
      </c>
      <c r="AU114" s="49">
        <f t="shared" ca="1" si="10"/>
        <v>175.91808291477389</v>
      </c>
      <c r="AV114" s="49">
        <f t="shared" ca="1" si="10"/>
        <v>175.91808291477389</v>
      </c>
      <c r="AW114" s="49">
        <f t="shared" ca="1" si="10"/>
        <v>175.91808291477389</v>
      </c>
      <c r="AX114" s="49">
        <f t="shared" ca="1" si="10"/>
        <v>175.91808291477389</v>
      </c>
      <c r="AY114" s="49">
        <f t="shared" ca="1" si="10"/>
        <v>175.91808291477389</v>
      </c>
      <c r="AZ114" s="49">
        <f t="shared" ca="1" si="10"/>
        <v>175.91808291477389</v>
      </c>
      <c r="BA114" s="49">
        <f t="shared" ca="1" si="10"/>
        <v>175.91808291477389</v>
      </c>
      <c r="BB114" s="49">
        <f t="shared" ca="1" si="10"/>
        <v>175.91808291477389</v>
      </c>
      <c r="BC114" s="49">
        <f t="shared" ca="1" si="10"/>
        <v>175.91808291477389</v>
      </c>
      <c r="BD114" s="49">
        <f t="shared" ca="1" si="10"/>
        <v>175.91808291477389</v>
      </c>
      <c r="BE114" s="49">
        <f t="shared" ca="1" si="10"/>
        <v>175.91808291477389</v>
      </c>
      <c r="BF114" s="49">
        <f t="shared" ca="1" si="10"/>
        <v>175.91808291477389</v>
      </c>
      <c r="BG114" s="49">
        <f t="shared" ca="1" si="10"/>
        <v>175.91808291477389</v>
      </c>
      <c r="BH114" s="49">
        <f t="shared" ca="1" si="10"/>
        <v>175.91808291477389</v>
      </c>
      <c r="BI114" s="49">
        <f t="shared" ca="1" si="10"/>
        <v>175.91808291477389</v>
      </c>
      <c r="BJ114" s="49">
        <f t="shared" ca="1" si="10"/>
        <v>175.91808291477389</v>
      </c>
      <c r="BK114" s="49">
        <f t="shared" ca="1" si="10"/>
        <v>175.91808291477389</v>
      </c>
      <c r="BL114" s="49">
        <f t="shared" ca="1" si="10"/>
        <v>175.91808291477389</v>
      </c>
      <c r="BM114" s="49">
        <f t="shared" ca="1" si="10"/>
        <v>175.91808291477389</v>
      </c>
      <c r="BN114" s="49">
        <f t="shared" ca="1" si="10"/>
        <v>175.91808291477389</v>
      </c>
      <c r="BO114" s="49">
        <f t="shared" ca="1" si="10"/>
        <v>175.91808291477389</v>
      </c>
      <c r="BP114" s="49">
        <f t="shared" ca="1" si="10"/>
        <v>175.91808291477389</v>
      </c>
      <c r="BQ114" s="49">
        <f t="shared" ca="1" si="10"/>
        <v>175.91808291477389</v>
      </c>
      <c r="BR114" s="49">
        <f t="shared" ca="1" si="10"/>
        <v>175.91808291477389</v>
      </c>
      <c r="BS114" s="49">
        <f t="shared" ca="1" si="10"/>
        <v>175.91808291477389</v>
      </c>
    </row>
    <row r="115" spans="1:71" outlineLevel="1" x14ac:dyDescent="0.2">
      <c r="J115" s="26"/>
      <c r="L115" s="55"/>
      <c r="M115" s="55"/>
      <c r="N115" s="55"/>
      <c r="O115" s="55"/>
      <c r="P115" s="55"/>
      <c r="Q115" s="55"/>
      <c r="R115" s="55"/>
      <c r="S115" s="55"/>
      <c r="T115" s="55"/>
      <c r="U115" s="55"/>
      <c r="V115" s="55"/>
      <c r="W115" s="55"/>
      <c r="X115" s="55"/>
      <c r="Y115" s="55"/>
      <c r="Z115" s="55"/>
      <c r="AA115" s="55"/>
      <c r="AB115" s="55"/>
      <c r="AC115" s="55"/>
      <c r="AD115" s="55"/>
      <c r="AE115" s="55"/>
      <c r="AF115" s="55"/>
      <c r="AG115" s="55"/>
      <c r="AH115" s="55"/>
      <c r="AI115" s="55"/>
      <c r="AJ115" s="55"/>
      <c r="AK115" s="55"/>
      <c r="AL115" s="55"/>
      <c r="AM115" s="55"/>
      <c r="AN115" s="55"/>
      <c r="AO115" s="55"/>
      <c r="AP115" s="55"/>
      <c r="AQ115" s="55"/>
      <c r="AR115" s="55"/>
      <c r="AS115" s="55"/>
      <c r="AT115" s="55"/>
      <c r="AU115" s="55"/>
      <c r="AV115" s="55"/>
      <c r="AW115" s="55"/>
      <c r="AX115" s="55"/>
      <c r="AY115" s="55"/>
      <c r="AZ115" s="55"/>
      <c r="BA115" s="55"/>
      <c r="BB115" s="55"/>
      <c r="BC115" s="55"/>
      <c r="BD115" s="55"/>
      <c r="BE115" s="55"/>
      <c r="BF115" s="55"/>
      <c r="BG115" s="55"/>
      <c r="BH115" s="55"/>
      <c r="BI115" s="55"/>
      <c r="BJ115" s="55"/>
      <c r="BK115" s="55"/>
      <c r="BL115" s="55"/>
      <c r="BM115" s="55"/>
      <c r="BN115" s="55"/>
      <c r="BO115" s="55"/>
      <c r="BP115" s="55"/>
      <c r="BQ115" s="55"/>
      <c r="BR115" s="55"/>
      <c r="BS115" s="55"/>
    </row>
    <row r="116" spans="1:71" outlineLevel="1" x14ac:dyDescent="0.2">
      <c r="J116" s="26"/>
      <c r="L116" s="55"/>
      <c r="M116" s="55"/>
      <c r="N116" s="55"/>
      <c r="O116" s="55"/>
      <c r="P116" s="55"/>
      <c r="Q116" s="55"/>
      <c r="R116" s="55"/>
      <c r="S116" s="55"/>
      <c r="T116" s="55"/>
      <c r="U116" s="55"/>
      <c r="V116" s="55"/>
      <c r="W116" s="55"/>
      <c r="X116" s="55"/>
      <c r="Y116" s="55"/>
      <c r="Z116" s="55"/>
      <c r="AA116" s="55"/>
      <c r="AB116" s="55"/>
      <c r="AC116" s="55"/>
      <c r="AD116" s="55"/>
      <c r="AE116" s="55"/>
      <c r="AF116" s="55"/>
      <c r="AG116" s="55"/>
      <c r="AH116" s="55"/>
      <c r="AI116" s="55"/>
      <c r="AJ116" s="55"/>
      <c r="AK116" s="55"/>
      <c r="AL116" s="55"/>
      <c r="AM116" s="55"/>
      <c r="AN116" s="55"/>
      <c r="AO116" s="55"/>
      <c r="AP116" s="55"/>
      <c r="AQ116" s="55"/>
      <c r="AR116" s="55"/>
      <c r="AS116" s="55"/>
      <c r="AT116" s="55"/>
      <c r="AU116" s="55"/>
      <c r="AV116" s="55"/>
      <c r="AW116" s="55"/>
      <c r="AX116" s="55"/>
      <c r="AY116" s="55"/>
      <c r="AZ116" s="55"/>
      <c r="BA116" s="55"/>
      <c r="BB116" s="55"/>
      <c r="BC116" s="55"/>
      <c r="BD116" s="55"/>
      <c r="BE116" s="55"/>
      <c r="BF116" s="55"/>
      <c r="BG116" s="55"/>
      <c r="BH116" s="55"/>
      <c r="BI116" s="55"/>
      <c r="BJ116" s="55"/>
      <c r="BK116" s="55"/>
      <c r="BL116" s="55"/>
      <c r="BM116" s="55"/>
      <c r="BN116" s="55"/>
      <c r="BO116" s="55"/>
      <c r="BP116" s="55"/>
      <c r="BQ116" s="55"/>
      <c r="BR116" s="55"/>
      <c r="BS116" s="55"/>
    </row>
    <row r="117" spans="1:71" outlineLevel="1" x14ac:dyDescent="0.2">
      <c r="J117" s="26"/>
      <c r="L117" s="55"/>
      <c r="M117" s="55"/>
      <c r="N117" s="55"/>
      <c r="O117" s="55"/>
      <c r="P117" s="55"/>
      <c r="Q117" s="55"/>
      <c r="R117" s="55"/>
      <c r="S117" s="55"/>
      <c r="T117" s="55"/>
      <c r="U117" s="55"/>
      <c r="V117" s="55"/>
      <c r="W117" s="55"/>
      <c r="X117" s="55"/>
      <c r="Y117" s="55"/>
      <c r="Z117" s="55"/>
      <c r="AA117" s="55"/>
      <c r="AB117" s="55"/>
      <c r="AC117" s="55"/>
      <c r="AD117" s="55"/>
      <c r="AE117" s="55"/>
      <c r="AF117" s="55"/>
      <c r="AG117" s="55"/>
      <c r="AH117" s="55"/>
      <c r="AI117" s="55"/>
      <c r="AJ117" s="55"/>
      <c r="AK117" s="55"/>
      <c r="AL117" s="55"/>
      <c r="AM117" s="55"/>
      <c r="AN117" s="55"/>
      <c r="AO117" s="55"/>
      <c r="AP117" s="55"/>
      <c r="AQ117" s="55"/>
      <c r="AR117" s="55"/>
      <c r="AS117" s="55"/>
      <c r="AT117" s="55"/>
      <c r="AU117" s="55"/>
      <c r="AV117" s="55"/>
      <c r="AW117" s="55"/>
      <c r="AX117" s="55"/>
      <c r="AY117" s="55"/>
      <c r="AZ117" s="55"/>
      <c r="BA117" s="55"/>
      <c r="BB117" s="55"/>
      <c r="BC117" s="55"/>
      <c r="BD117" s="55"/>
      <c r="BE117" s="55"/>
      <c r="BF117" s="55"/>
      <c r="BG117" s="55"/>
      <c r="BH117" s="55"/>
      <c r="BI117" s="55"/>
      <c r="BJ117" s="55"/>
      <c r="BK117" s="55"/>
      <c r="BL117" s="55"/>
      <c r="BM117" s="55"/>
      <c r="BN117" s="55"/>
      <c r="BO117" s="55"/>
      <c r="BP117" s="55"/>
      <c r="BQ117" s="55"/>
      <c r="BR117" s="55"/>
      <c r="BS117" s="55"/>
    </row>
    <row r="118" spans="1:71" outlineLevel="1" x14ac:dyDescent="0.2">
      <c r="A118" s="45"/>
      <c r="B118" s="38" t="s">
        <v>51</v>
      </c>
      <c r="C118" s="45"/>
      <c r="D118" s="45"/>
      <c r="E118" s="45"/>
      <c r="J118" s="26"/>
      <c r="L118" s="55"/>
      <c r="M118" s="55"/>
      <c r="N118" s="55"/>
      <c r="O118" s="55"/>
      <c r="P118" s="55"/>
      <c r="Q118" s="55"/>
      <c r="R118" s="55"/>
      <c r="S118" s="55"/>
      <c r="T118" s="55"/>
      <c r="U118" s="55"/>
      <c r="V118" s="55"/>
      <c r="W118" s="55"/>
      <c r="X118" s="55"/>
      <c r="Y118" s="55"/>
      <c r="Z118" s="55"/>
      <c r="AA118" s="55"/>
      <c r="AB118" s="55"/>
      <c r="AC118" s="55"/>
      <c r="AD118" s="55"/>
      <c r="AE118" s="55"/>
      <c r="AF118" s="55"/>
      <c r="AG118" s="55"/>
      <c r="AH118" s="55"/>
      <c r="AI118" s="55"/>
      <c r="AJ118" s="55"/>
      <c r="AK118" s="55"/>
      <c r="AL118" s="55"/>
      <c r="AM118" s="55"/>
      <c r="AN118" s="55"/>
      <c r="AO118" s="55"/>
      <c r="AP118" s="55"/>
      <c r="AQ118" s="55"/>
      <c r="AR118" s="55"/>
      <c r="AS118" s="55"/>
      <c r="AT118" s="55"/>
      <c r="AU118" s="55"/>
      <c r="AV118" s="55"/>
      <c r="AW118" s="55"/>
      <c r="AX118" s="55"/>
      <c r="AY118" s="55"/>
      <c r="AZ118" s="55"/>
      <c r="BA118" s="55"/>
      <c r="BB118" s="55"/>
      <c r="BC118" s="55"/>
      <c r="BD118" s="55"/>
      <c r="BE118" s="55"/>
      <c r="BF118" s="55"/>
      <c r="BG118" s="55"/>
      <c r="BH118" s="55"/>
      <c r="BI118" s="55"/>
      <c r="BJ118" s="55"/>
      <c r="BK118" s="55"/>
      <c r="BL118" s="55"/>
      <c r="BM118" s="55"/>
      <c r="BN118" s="55"/>
      <c r="BO118" s="55"/>
      <c r="BP118" s="55"/>
      <c r="BQ118" s="55"/>
      <c r="BR118" s="55"/>
      <c r="BS118" s="55"/>
    </row>
    <row r="119" spans="1:71" outlineLevel="1" x14ac:dyDescent="0.2">
      <c r="J119" s="26"/>
      <c r="L119" s="55"/>
      <c r="M119" s="55"/>
      <c r="N119" s="55"/>
      <c r="O119" s="55"/>
      <c r="P119" s="55"/>
      <c r="Q119" s="55"/>
      <c r="R119" s="55"/>
      <c r="S119" s="55"/>
      <c r="T119" s="55"/>
      <c r="U119" s="55"/>
      <c r="V119" s="55"/>
      <c r="W119" s="55"/>
      <c r="X119" s="55"/>
      <c r="Y119" s="55"/>
      <c r="Z119" s="55"/>
      <c r="AA119" s="55"/>
      <c r="AB119" s="55"/>
      <c r="AC119" s="55"/>
      <c r="AD119" s="55"/>
      <c r="AE119" s="55"/>
      <c r="AF119" s="55"/>
      <c r="AG119" s="55"/>
      <c r="AH119" s="55"/>
      <c r="AI119" s="55"/>
      <c r="AJ119" s="55"/>
      <c r="AK119" s="55"/>
      <c r="AL119" s="55"/>
      <c r="AM119" s="55"/>
      <c r="AN119" s="55"/>
      <c r="AO119" s="55"/>
      <c r="AP119" s="55"/>
      <c r="AQ119" s="55"/>
      <c r="AR119" s="55"/>
      <c r="AS119" s="55"/>
      <c r="AT119" s="55"/>
      <c r="AU119" s="55"/>
      <c r="AV119" s="55"/>
      <c r="AW119" s="55"/>
      <c r="AX119" s="55"/>
      <c r="AY119" s="55"/>
      <c r="AZ119" s="55"/>
      <c r="BA119" s="55"/>
      <c r="BB119" s="55"/>
      <c r="BC119" s="55"/>
      <c r="BD119" s="55"/>
      <c r="BE119" s="55"/>
      <c r="BF119" s="55"/>
      <c r="BG119" s="55"/>
      <c r="BH119" s="55"/>
      <c r="BI119" s="55"/>
      <c r="BJ119" s="55"/>
      <c r="BK119" s="55"/>
      <c r="BL119" s="55"/>
      <c r="BM119" s="55"/>
      <c r="BN119" s="55"/>
      <c r="BO119" s="55"/>
      <c r="BP119" s="55"/>
      <c r="BQ119" s="55"/>
      <c r="BR119" s="55"/>
      <c r="BS119" s="55"/>
    </row>
    <row r="120" spans="1:71" outlineLevel="1" x14ac:dyDescent="0.2">
      <c r="C120" s="11" t="s">
        <v>138</v>
      </c>
      <c r="J120" s="26"/>
      <c r="L120" s="55"/>
      <c r="M120" s="55"/>
      <c r="N120" s="55"/>
      <c r="O120" s="55"/>
      <c r="P120" s="55"/>
      <c r="Q120" s="55"/>
      <c r="R120" s="55"/>
      <c r="S120" s="55"/>
      <c r="T120" s="55"/>
      <c r="U120" s="55"/>
      <c r="V120" s="55"/>
      <c r="W120" s="55"/>
      <c r="X120" s="55"/>
      <c r="Y120" s="55"/>
      <c r="Z120" s="55"/>
      <c r="AA120" s="55"/>
      <c r="AB120" s="55"/>
      <c r="AC120" s="55"/>
      <c r="AD120" s="55"/>
      <c r="AE120" s="55"/>
      <c r="AF120" s="55"/>
      <c r="AG120" s="55"/>
      <c r="AH120" s="55"/>
      <c r="AI120" s="55"/>
      <c r="AJ120" s="55"/>
      <c r="AK120" s="55"/>
      <c r="AL120" s="55"/>
      <c r="AM120" s="55"/>
      <c r="AN120" s="55"/>
      <c r="AO120" s="55"/>
      <c r="AP120" s="55"/>
      <c r="AQ120" s="55"/>
      <c r="AR120" s="55"/>
      <c r="AS120" s="55"/>
      <c r="AT120" s="55"/>
      <c r="AU120" s="55"/>
      <c r="AV120" s="55"/>
      <c r="AW120" s="55"/>
      <c r="AX120" s="55"/>
      <c r="AY120" s="55"/>
      <c r="AZ120" s="55"/>
      <c r="BA120" s="55"/>
      <c r="BB120" s="55"/>
      <c r="BC120" s="55"/>
      <c r="BD120" s="55"/>
      <c r="BE120" s="55"/>
      <c r="BF120" s="55"/>
      <c r="BG120" s="55"/>
      <c r="BH120" s="55"/>
      <c r="BI120" s="55"/>
      <c r="BJ120" s="55"/>
      <c r="BK120" s="55"/>
      <c r="BL120" s="55"/>
      <c r="BM120" s="55"/>
      <c r="BN120" s="55"/>
      <c r="BO120" s="55"/>
      <c r="BP120" s="55"/>
      <c r="BQ120" s="55"/>
      <c r="BR120" s="55"/>
      <c r="BS120" s="55"/>
    </row>
    <row r="121" spans="1:71" outlineLevel="1" x14ac:dyDescent="0.2">
      <c r="D121" t="s">
        <v>139</v>
      </c>
      <c r="J121" s="26" t="s">
        <v>46</v>
      </c>
      <c r="K121" s="7" t="s">
        <v>141</v>
      </c>
      <c r="L121" s="49">
        <f t="shared" ref="L121:BS121" ca="1" si="11">IA_oilprice_nominal</f>
        <v>105.56594625304467</v>
      </c>
      <c r="M121" s="49">
        <f t="shared" ca="1" si="11"/>
        <v>96.087837772974183</v>
      </c>
      <c r="N121" s="49">
        <f t="shared" ca="1" si="11"/>
        <v>47.83306661001685</v>
      </c>
      <c r="O121" s="49">
        <f t="shared" ca="1" si="11"/>
        <v>40.514178138774625</v>
      </c>
      <c r="P121" s="49">
        <f t="shared" ca="1" si="11"/>
        <v>54.30988909203591</v>
      </c>
      <c r="Q121" s="49">
        <f t="shared" ca="1" si="11"/>
        <v>68.447232066727068</v>
      </c>
      <c r="R121" s="49">
        <f t="shared" ca="1" si="11"/>
        <v>64.497153078556039</v>
      </c>
      <c r="S121" s="49">
        <f t="shared" ca="1" si="11"/>
        <v>40.43</v>
      </c>
      <c r="T121" s="49">
        <f t="shared" ca="1" si="11"/>
        <v>66.5184</v>
      </c>
      <c r="U121" s="49">
        <f t="shared" ca="1" si="11"/>
        <v>71.400000000000006</v>
      </c>
      <c r="V121" s="49">
        <f t="shared" ca="1" si="11"/>
        <v>72.828000000000003</v>
      </c>
      <c r="W121" s="49">
        <f t="shared" ca="1" si="11"/>
        <v>74.284559999999999</v>
      </c>
      <c r="X121" s="49">
        <f t="shared" ca="1" si="11"/>
        <v>75.770251200000004</v>
      </c>
      <c r="Y121" s="49">
        <f t="shared" ca="1" si="11"/>
        <v>0</v>
      </c>
      <c r="Z121" s="49">
        <f t="shared" ca="1" si="11"/>
        <v>0</v>
      </c>
      <c r="AA121" s="49">
        <f t="shared" si="11"/>
        <v>0</v>
      </c>
      <c r="AB121" s="49">
        <f t="shared" si="11"/>
        <v>0</v>
      </c>
      <c r="AC121" s="49">
        <f t="shared" si="11"/>
        <v>0</v>
      </c>
      <c r="AD121" s="49">
        <f t="shared" si="11"/>
        <v>0</v>
      </c>
      <c r="AE121" s="49">
        <f t="shared" si="11"/>
        <v>0</v>
      </c>
      <c r="AF121" s="49">
        <f t="shared" si="11"/>
        <v>0</v>
      </c>
      <c r="AG121" s="49">
        <f t="shared" si="11"/>
        <v>0</v>
      </c>
      <c r="AH121" s="49">
        <f t="shared" si="11"/>
        <v>0</v>
      </c>
      <c r="AI121" s="49">
        <f t="shared" si="11"/>
        <v>0</v>
      </c>
      <c r="AJ121" s="49">
        <f t="shared" si="11"/>
        <v>0</v>
      </c>
      <c r="AK121" s="49">
        <f t="shared" si="11"/>
        <v>0</v>
      </c>
      <c r="AL121" s="49">
        <f t="shared" si="11"/>
        <v>0</v>
      </c>
      <c r="AM121" s="49">
        <f t="shared" si="11"/>
        <v>0</v>
      </c>
      <c r="AN121" s="49">
        <f t="shared" si="11"/>
        <v>0</v>
      </c>
      <c r="AO121" s="49">
        <f t="shared" si="11"/>
        <v>0</v>
      </c>
      <c r="AP121" s="49">
        <f t="shared" si="11"/>
        <v>0</v>
      </c>
      <c r="AQ121" s="49">
        <f t="shared" si="11"/>
        <v>0</v>
      </c>
      <c r="AR121" s="49">
        <f t="shared" si="11"/>
        <v>0</v>
      </c>
      <c r="AS121" s="49">
        <f t="shared" si="11"/>
        <v>0</v>
      </c>
      <c r="AT121" s="49">
        <f t="shared" si="11"/>
        <v>0</v>
      </c>
      <c r="AU121" s="49">
        <f t="shared" si="11"/>
        <v>0</v>
      </c>
      <c r="AV121" s="49">
        <f t="shared" si="11"/>
        <v>0</v>
      </c>
      <c r="AW121" s="49">
        <f t="shared" si="11"/>
        <v>0</v>
      </c>
      <c r="AX121" s="49">
        <f t="shared" si="11"/>
        <v>0</v>
      </c>
      <c r="AY121" s="49">
        <f t="shared" si="11"/>
        <v>0</v>
      </c>
      <c r="AZ121" s="49">
        <f t="shared" si="11"/>
        <v>0</v>
      </c>
      <c r="BA121" s="49">
        <f t="shared" si="11"/>
        <v>0</v>
      </c>
      <c r="BB121" s="49">
        <f t="shared" si="11"/>
        <v>0</v>
      </c>
      <c r="BC121" s="49">
        <f t="shared" si="11"/>
        <v>0</v>
      </c>
      <c r="BD121" s="49">
        <f t="shared" si="11"/>
        <v>0</v>
      </c>
      <c r="BE121" s="49">
        <f t="shared" si="11"/>
        <v>0</v>
      </c>
      <c r="BF121" s="49">
        <f t="shared" si="11"/>
        <v>0</v>
      </c>
      <c r="BG121" s="49">
        <f t="shared" si="11"/>
        <v>0</v>
      </c>
      <c r="BH121" s="49">
        <f t="shared" si="11"/>
        <v>0</v>
      </c>
      <c r="BI121" s="49">
        <f t="shared" si="11"/>
        <v>0</v>
      </c>
      <c r="BJ121" s="49">
        <f t="shared" si="11"/>
        <v>0</v>
      </c>
      <c r="BK121" s="49">
        <f t="shared" si="11"/>
        <v>0</v>
      </c>
      <c r="BL121" s="49">
        <f t="shared" si="11"/>
        <v>0</v>
      </c>
      <c r="BM121" s="49">
        <f t="shared" si="11"/>
        <v>0</v>
      </c>
      <c r="BN121" s="49">
        <f t="shared" si="11"/>
        <v>0</v>
      </c>
      <c r="BO121" s="49">
        <f t="shared" si="11"/>
        <v>0</v>
      </c>
      <c r="BP121" s="49">
        <f t="shared" si="11"/>
        <v>0</v>
      </c>
      <c r="BQ121" s="49">
        <f t="shared" si="11"/>
        <v>0</v>
      </c>
      <c r="BR121" s="49">
        <f t="shared" si="11"/>
        <v>0</v>
      </c>
      <c r="BS121" s="49">
        <f t="shared" si="11"/>
        <v>0</v>
      </c>
    </row>
    <row r="122" spans="1:71" outlineLevel="1" x14ac:dyDescent="0.2">
      <c r="J122" s="26"/>
      <c r="L122" s="55"/>
      <c r="M122" s="55"/>
      <c r="N122" s="55"/>
      <c r="O122" s="55"/>
      <c r="P122" s="55"/>
      <c r="Q122" s="55"/>
      <c r="R122" s="55"/>
      <c r="S122" s="55"/>
      <c r="T122" s="55"/>
      <c r="U122" s="55"/>
      <c r="V122" s="55"/>
      <c r="W122" s="55"/>
      <c r="X122" s="55"/>
      <c r="Y122" s="55"/>
      <c r="Z122" s="55"/>
      <c r="AA122" s="55"/>
      <c r="AB122" s="55"/>
      <c r="AC122" s="55"/>
      <c r="AD122" s="55"/>
      <c r="AE122" s="55"/>
      <c r="AF122" s="55"/>
      <c r="AG122" s="55"/>
      <c r="AH122" s="55"/>
      <c r="AI122" s="55"/>
      <c r="AJ122" s="55"/>
      <c r="AK122" s="55"/>
      <c r="AL122" s="55"/>
      <c r="AM122" s="55"/>
      <c r="AN122" s="55"/>
      <c r="AO122" s="55"/>
      <c r="AP122" s="55"/>
      <c r="AQ122" s="55"/>
      <c r="AR122" s="55"/>
      <c r="AS122" s="55"/>
      <c r="AT122" s="55"/>
      <c r="AU122" s="55"/>
      <c r="AV122" s="55"/>
      <c r="AW122" s="55"/>
      <c r="AX122" s="55"/>
      <c r="AY122" s="55"/>
      <c r="AZ122" s="55"/>
      <c r="BA122" s="55"/>
      <c r="BB122" s="55"/>
      <c r="BC122" s="55"/>
      <c r="BD122" s="55"/>
      <c r="BE122" s="55"/>
      <c r="BF122" s="55"/>
      <c r="BG122" s="55"/>
      <c r="BH122" s="55"/>
      <c r="BI122" s="55"/>
      <c r="BJ122" s="55"/>
      <c r="BK122" s="55"/>
      <c r="BL122" s="55"/>
      <c r="BM122" s="55"/>
      <c r="BN122" s="55"/>
      <c r="BO122" s="55"/>
      <c r="BP122" s="55"/>
      <c r="BQ122" s="55"/>
      <c r="BR122" s="55"/>
      <c r="BS122" s="55"/>
    </row>
    <row r="123" spans="1:71" outlineLevel="1" x14ac:dyDescent="0.2">
      <c r="D123" t="s">
        <v>140</v>
      </c>
      <c r="J123" s="26" t="s">
        <v>47</v>
      </c>
      <c r="K123" s="7" t="s">
        <v>142</v>
      </c>
      <c r="L123" s="49">
        <f t="shared" ref="L123:BS123" ca="1" si="12">IA_gasprice_nominal</f>
        <v>0</v>
      </c>
      <c r="M123" s="49">
        <f t="shared" ca="1" si="12"/>
        <v>0</v>
      </c>
      <c r="N123" s="49">
        <f t="shared" ca="1" si="12"/>
        <v>0</v>
      </c>
      <c r="O123" s="49">
        <f t="shared" ca="1" si="12"/>
        <v>0</v>
      </c>
      <c r="P123" s="49">
        <f t="shared" ca="1" si="12"/>
        <v>0</v>
      </c>
      <c r="Q123" s="49">
        <f t="shared" ca="1" si="12"/>
        <v>0</v>
      </c>
      <c r="R123" s="49">
        <f t="shared" ca="1" si="12"/>
        <v>0</v>
      </c>
      <c r="S123" s="49">
        <f t="shared" ca="1" si="12"/>
        <v>0</v>
      </c>
      <c r="T123" s="49">
        <f t="shared" ca="1" si="12"/>
        <v>0</v>
      </c>
      <c r="U123" s="49">
        <f t="shared" ca="1" si="12"/>
        <v>0</v>
      </c>
      <c r="V123" s="49">
        <f t="shared" ca="1" si="12"/>
        <v>0</v>
      </c>
      <c r="W123" s="49">
        <f t="shared" ca="1" si="12"/>
        <v>0</v>
      </c>
      <c r="X123" s="49">
        <f t="shared" ca="1" si="12"/>
        <v>0</v>
      </c>
      <c r="Y123" s="49">
        <f t="shared" ca="1" si="12"/>
        <v>0</v>
      </c>
      <c r="Z123" s="49">
        <f t="shared" ca="1" si="12"/>
        <v>0</v>
      </c>
      <c r="AA123" s="49">
        <f t="shared" si="12"/>
        <v>0</v>
      </c>
      <c r="AB123" s="49">
        <f t="shared" si="12"/>
        <v>0</v>
      </c>
      <c r="AC123" s="49">
        <f t="shared" si="12"/>
        <v>0</v>
      </c>
      <c r="AD123" s="49">
        <f t="shared" si="12"/>
        <v>0</v>
      </c>
      <c r="AE123" s="49">
        <f t="shared" si="12"/>
        <v>0</v>
      </c>
      <c r="AF123" s="49">
        <f t="shared" si="12"/>
        <v>0</v>
      </c>
      <c r="AG123" s="49">
        <f t="shared" si="12"/>
        <v>0</v>
      </c>
      <c r="AH123" s="49">
        <f t="shared" si="12"/>
        <v>0</v>
      </c>
      <c r="AI123" s="49">
        <f t="shared" si="12"/>
        <v>0</v>
      </c>
      <c r="AJ123" s="49">
        <f t="shared" si="12"/>
        <v>0</v>
      </c>
      <c r="AK123" s="49">
        <f t="shared" si="12"/>
        <v>0</v>
      </c>
      <c r="AL123" s="49">
        <f t="shared" si="12"/>
        <v>0</v>
      </c>
      <c r="AM123" s="49">
        <f t="shared" si="12"/>
        <v>0</v>
      </c>
      <c r="AN123" s="49">
        <f t="shared" si="12"/>
        <v>0</v>
      </c>
      <c r="AO123" s="49">
        <f t="shared" si="12"/>
        <v>0</v>
      </c>
      <c r="AP123" s="49">
        <f t="shared" si="12"/>
        <v>0</v>
      </c>
      <c r="AQ123" s="49">
        <f t="shared" si="12"/>
        <v>0</v>
      </c>
      <c r="AR123" s="49">
        <f t="shared" si="12"/>
        <v>0</v>
      </c>
      <c r="AS123" s="49">
        <f t="shared" si="12"/>
        <v>0</v>
      </c>
      <c r="AT123" s="49">
        <f t="shared" si="12"/>
        <v>0</v>
      </c>
      <c r="AU123" s="49">
        <f t="shared" si="12"/>
        <v>0</v>
      </c>
      <c r="AV123" s="49">
        <f t="shared" si="12"/>
        <v>0</v>
      </c>
      <c r="AW123" s="49">
        <f t="shared" si="12"/>
        <v>0</v>
      </c>
      <c r="AX123" s="49">
        <f t="shared" si="12"/>
        <v>0</v>
      </c>
      <c r="AY123" s="49">
        <f t="shared" si="12"/>
        <v>0</v>
      </c>
      <c r="AZ123" s="49">
        <f t="shared" si="12"/>
        <v>0</v>
      </c>
      <c r="BA123" s="49">
        <f t="shared" si="12"/>
        <v>0</v>
      </c>
      <c r="BB123" s="49">
        <f t="shared" si="12"/>
        <v>0</v>
      </c>
      <c r="BC123" s="49">
        <f t="shared" si="12"/>
        <v>0</v>
      </c>
      <c r="BD123" s="49">
        <f t="shared" si="12"/>
        <v>0</v>
      </c>
      <c r="BE123" s="49">
        <f t="shared" si="12"/>
        <v>0</v>
      </c>
      <c r="BF123" s="49">
        <f t="shared" si="12"/>
        <v>0</v>
      </c>
      <c r="BG123" s="49">
        <f t="shared" si="12"/>
        <v>0</v>
      </c>
      <c r="BH123" s="49">
        <f t="shared" si="12"/>
        <v>0</v>
      </c>
      <c r="BI123" s="49">
        <f t="shared" si="12"/>
        <v>0</v>
      </c>
      <c r="BJ123" s="49">
        <f t="shared" si="12"/>
        <v>0</v>
      </c>
      <c r="BK123" s="49">
        <f t="shared" si="12"/>
        <v>0</v>
      </c>
      <c r="BL123" s="49">
        <f t="shared" si="12"/>
        <v>0</v>
      </c>
      <c r="BM123" s="49">
        <f t="shared" si="12"/>
        <v>0</v>
      </c>
      <c r="BN123" s="49">
        <f t="shared" si="12"/>
        <v>0</v>
      </c>
      <c r="BO123" s="49">
        <f t="shared" si="12"/>
        <v>0</v>
      </c>
      <c r="BP123" s="49">
        <f t="shared" si="12"/>
        <v>0</v>
      </c>
      <c r="BQ123" s="49">
        <f t="shared" si="12"/>
        <v>0</v>
      </c>
      <c r="BR123" s="49">
        <f t="shared" si="12"/>
        <v>0</v>
      </c>
      <c r="BS123" s="49">
        <f t="shared" si="12"/>
        <v>0</v>
      </c>
    </row>
    <row r="124" spans="1:71" outlineLevel="1" x14ac:dyDescent="0.2">
      <c r="J124" s="26"/>
      <c r="L124" s="55"/>
      <c r="M124" s="55"/>
      <c r="N124" s="55"/>
      <c r="O124" s="55"/>
      <c r="P124" s="55"/>
      <c r="Q124" s="55"/>
      <c r="R124" s="55"/>
      <c r="S124" s="55"/>
      <c r="T124" s="55"/>
      <c r="U124" s="55"/>
      <c r="V124" s="55"/>
      <c r="W124" s="55"/>
      <c r="X124" s="55"/>
      <c r="Y124" s="55"/>
      <c r="Z124" s="55"/>
      <c r="AA124" s="55"/>
      <c r="AB124" s="55"/>
      <c r="AC124" s="55"/>
      <c r="AD124" s="55"/>
      <c r="AE124" s="55"/>
      <c r="AF124" s="55"/>
      <c r="AG124" s="55"/>
      <c r="AH124" s="55"/>
      <c r="AI124" s="55"/>
      <c r="AJ124" s="55"/>
      <c r="AK124" s="55"/>
      <c r="AL124" s="55"/>
      <c r="AM124" s="55"/>
      <c r="AN124" s="55"/>
      <c r="AO124" s="55"/>
      <c r="AP124" s="55"/>
      <c r="AQ124" s="55"/>
      <c r="AR124" s="55"/>
      <c r="AS124" s="55"/>
      <c r="AT124" s="55"/>
      <c r="AU124" s="55"/>
      <c r="AV124" s="55"/>
      <c r="AW124" s="55"/>
      <c r="AX124" s="55"/>
      <c r="AY124" s="55"/>
      <c r="AZ124" s="55"/>
      <c r="BA124" s="55"/>
      <c r="BB124" s="55"/>
      <c r="BC124" s="55"/>
      <c r="BD124" s="55"/>
      <c r="BE124" s="55"/>
      <c r="BF124" s="55"/>
      <c r="BG124" s="55"/>
      <c r="BH124" s="55"/>
      <c r="BI124" s="55"/>
      <c r="BJ124" s="55"/>
      <c r="BK124" s="55"/>
      <c r="BL124" s="55"/>
      <c r="BM124" s="55"/>
      <c r="BN124" s="55"/>
      <c r="BO124" s="55"/>
      <c r="BP124" s="55"/>
      <c r="BQ124" s="55"/>
      <c r="BR124" s="55"/>
      <c r="BS124" s="55"/>
    </row>
    <row r="125" spans="1:71" outlineLevel="1" x14ac:dyDescent="0.2">
      <c r="C125" s="11" t="s">
        <v>111</v>
      </c>
      <c r="J125" s="26"/>
      <c r="L125" s="55"/>
      <c r="M125" s="55"/>
      <c r="N125" s="55"/>
      <c r="O125" s="55"/>
      <c r="P125" s="55"/>
      <c r="Q125" s="55"/>
      <c r="R125" s="55"/>
      <c r="S125" s="55"/>
      <c r="T125" s="55"/>
      <c r="U125" s="55"/>
      <c r="V125" s="55"/>
      <c r="W125" s="55"/>
      <c r="X125" s="55"/>
      <c r="Y125" s="55"/>
      <c r="Z125" s="55"/>
      <c r="AA125" s="55"/>
      <c r="AB125" s="55"/>
      <c r="AC125" s="55"/>
      <c r="AD125" s="55"/>
      <c r="AE125" s="55"/>
      <c r="AF125" s="55"/>
      <c r="AG125" s="55"/>
      <c r="AH125" s="55"/>
      <c r="AI125" s="55"/>
      <c r="AJ125" s="55"/>
      <c r="AK125" s="55"/>
      <c r="AL125" s="55"/>
      <c r="AM125" s="55"/>
      <c r="AN125" s="55"/>
      <c r="AO125" s="55"/>
      <c r="AP125" s="55"/>
      <c r="AQ125" s="55"/>
      <c r="AR125" s="55"/>
      <c r="AS125" s="55"/>
      <c r="AT125" s="55"/>
      <c r="AU125" s="55"/>
      <c r="AV125" s="55"/>
      <c r="AW125" s="55"/>
      <c r="AX125" s="55"/>
      <c r="AY125" s="55"/>
      <c r="AZ125" s="55"/>
      <c r="BA125" s="55"/>
      <c r="BB125" s="55"/>
      <c r="BC125" s="55"/>
      <c r="BD125" s="55"/>
      <c r="BE125" s="55"/>
      <c r="BF125" s="55"/>
      <c r="BG125" s="55"/>
      <c r="BH125" s="55"/>
      <c r="BI125" s="55"/>
      <c r="BJ125" s="55"/>
      <c r="BK125" s="55"/>
      <c r="BL125" s="55"/>
      <c r="BM125" s="55"/>
      <c r="BN125" s="55"/>
      <c r="BO125" s="55"/>
      <c r="BP125" s="55"/>
      <c r="BQ125" s="55"/>
      <c r="BR125" s="55"/>
      <c r="BS125" s="55"/>
    </row>
    <row r="126" spans="1:71" outlineLevel="1" x14ac:dyDescent="0.2">
      <c r="D126" t="s">
        <v>139</v>
      </c>
      <c r="J126" s="26" t="s">
        <v>46</v>
      </c>
      <c r="K126" s="7" t="s">
        <v>143</v>
      </c>
      <c r="L126" s="49">
        <f t="shared" ref="L126:AQ126" si="13">IF(L4&gt;=YEAR(HP_date),HP*IA_infl_index,0)</f>
        <v>22</v>
      </c>
      <c r="M126" s="49">
        <f t="shared" si="13"/>
        <v>22</v>
      </c>
      <c r="N126" s="49">
        <f t="shared" si="13"/>
        <v>22</v>
      </c>
      <c r="O126" s="49">
        <f t="shared" si="13"/>
        <v>22</v>
      </c>
      <c r="P126" s="49">
        <f t="shared" si="13"/>
        <v>22</v>
      </c>
      <c r="Q126" s="49">
        <f t="shared" si="13"/>
        <v>22</v>
      </c>
      <c r="R126" s="49">
        <f t="shared" si="13"/>
        <v>22</v>
      </c>
      <c r="S126" s="49">
        <f t="shared" si="13"/>
        <v>22</v>
      </c>
      <c r="T126" s="49">
        <f t="shared" si="13"/>
        <v>22</v>
      </c>
      <c r="U126" s="49">
        <f t="shared" si="13"/>
        <v>22.44</v>
      </c>
      <c r="V126" s="49">
        <f t="shared" si="13"/>
        <v>22.8888</v>
      </c>
      <c r="W126" s="49">
        <f t="shared" si="13"/>
        <v>23.346575999999999</v>
      </c>
      <c r="X126" s="49">
        <f t="shared" si="13"/>
        <v>23.813507519999998</v>
      </c>
      <c r="Y126" s="49">
        <f t="shared" si="13"/>
        <v>24.289777670399999</v>
      </c>
      <c r="Z126" s="49">
        <f t="shared" si="13"/>
        <v>24.775573223808003</v>
      </c>
      <c r="AA126" s="49">
        <f t="shared" si="13"/>
        <v>0</v>
      </c>
      <c r="AB126" s="49">
        <f t="shared" si="13"/>
        <v>0</v>
      </c>
      <c r="AC126" s="49">
        <f t="shared" si="13"/>
        <v>0</v>
      </c>
      <c r="AD126" s="49">
        <f t="shared" si="13"/>
        <v>0</v>
      </c>
      <c r="AE126" s="49">
        <f t="shared" si="13"/>
        <v>0</v>
      </c>
      <c r="AF126" s="49">
        <f t="shared" si="13"/>
        <v>0</v>
      </c>
      <c r="AG126" s="49">
        <f t="shared" si="13"/>
        <v>0</v>
      </c>
      <c r="AH126" s="49">
        <f t="shared" si="13"/>
        <v>0</v>
      </c>
      <c r="AI126" s="49">
        <f t="shared" si="13"/>
        <v>0</v>
      </c>
      <c r="AJ126" s="49">
        <f t="shared" si="13"/>
        <v>0</v>
      </c>
      <c r="AK126" s="49">
        <f t="shared" si="13"/>
        <v>0</v>
      </c>
      <c r="AL126" s="49">
        <f t="shared" si="13"/>
        <v>0</v>
      </c>
      <c r="AM126" s="49">
        <f t="shared" si="13"/>
        <v>0</v>
      </c>
      <c r="AN126" s="49">
        <f t="shared" si="13"/>
        <v>0</v>
      </c>
      <c r="AO126" s="49">
        <f t="shared" si="13"/>
        <v>0</v>
      </c>
      <c r="AP126" s="49">
        <f t="shared" si="13"/>
        <v>0</v>
      </c>
      <c r="AQ126" s="49">
        <f t="shared" si="13"/>
        <v>0</v>
      </c>
      <c r="AR126" s="49">
        <f t="shared" ref="AR126:BS126" si="14">IF(AR4&gt;=YEAR(HP_date),HP*IA_infl_index,0)</f>
        <v>0</v>
      </c>
      <c r="AS126" s="49">
        <f t="shared" si="14"/>
        <v>0</v>
      </c>
      <c r="AT126" s="49">
        <f t="shared" si="14"/>
        <v>0</v>
      </c>
      <c r="AU126" s="49">
        <f t="shared" si="14"/>
        <v>0</v>
      </c>
      <c r="AV126" s="49">
        <f t="shared" si="14"/>
        <v>0</v>
      </c>
      <c r="AW126" s="49">
        <f t="shared" si="14"/>
        <v>0</v>
      </c>
      <c r="AX126" s="49">
        <f t="shared" si="14"/>
        <v>0</v>
      </c>
      <c r="AY126" s="49">
        <f t="shared" si="14"/>
        <v>0</v>
      </c>
      <c r="AZ126" s="49">
        <f t="shared" si="14"/>
        <v>0</v>
      </c>
      <c r="BA126" s="49">
        <f t="shared" si="14"/>
        <v>0</v>
      </c>
      <c r="BB126" s="49">
        <f t="shared" si="14"/>
        <v>0</v>
      </c>
      <c r="BC126" s="49">
        <f t="shared" si="14"/>
        <v>0</v>
      </c>
      <c r="BD126" s="49">
        <f t="shared" si="14"/>
        <v>0</v>
      </c>
      <c r="BE126" s="49">
        <f t="shared" si="14"/>
        <v>0</v>
      </c>
      <c r="BF126" s="49">
        <f t="shared" si="14"/>
        <v>0</v>
      </c>
      <c r="BG126" s="49">
        <f t="shared" si="14"/>
        <v>0</v>
      </c>
      <c r="BH126" s="49">
        <f t="shared" si="14"/>
        <v>0</v>
      </c>
      <c r="BI126" s="49">
        <f t="shared" si="14"/>
        <v>0</v>
      </c>
      <c r="BJ126" s="49">
        <f t="shared" si="14"/>
        <v>0</v>
      </c>
      <c r="BK126" s="49">
        <f t="shared" si="14"/>
        <v>0</v>
      </c>
      <c r="BL126" s="49">
        <f t="shared" si="14"/>
        <v>0</v>
      </c>
      <c r="BM126" s="49">
        <f t="shared" si="14"/>
        <v>0</v>
      </c>
      <c r="BN126" s="49">
        <f t="shared" si="14"/>
        <v>0</v>
      </c>
      <c r="BO126" s="49">
        <f t="shared" si="14"/>
        <v>0</v>
      </c>
      <c r="BP126" s="49">
        <f t="shared" si="14"/>
        <v>0</v>
      </c>
      <c r="BQ126" s="49">
        <f t="shared" si="14"/>
        <v>0</v>
      </c>
      <c r="BR126" s="49">
        <f t="shared" si="14"/>
        <v>0</v>
      </c>
      <c r="BS126" s="49">
        <f t="shared" si="14"/>
        <v>0</v>
      </c>
    </row>
    <row r="127" spans="1:71" outlineLevel="1" x14ac:dyDescent="0.2">
      <c r="J127" s="26"/>
      <c r="L127" s="55"/>
      <c r="M127" s="55"/>
      <c r="N127" s="55"/>
      <c r="O127" s="55"/>
      <c r="P127" s="55"/>
      <c r="Q127" s="55"/>
      <c r="R127" s="55"/>
      <c r="S127" s="55"/>
      <c r="T127" s="55"/>
      <c r="U127" s="55"/>
      <c r="V127" s="55"/>
      <c r="W127" s="55"/>
      <c r="X127" s="55"/>
      <c r="Y127" s="55"/>
      <c r="Z127" s="55"/>
      <c r="AA127" s="55"/>
      <c r="AB127" s="55"/>
      <c r="AC127" s="55"/>
      <c r="AD127" s="55"/>
      <c r="AE127" s="55"/>
      <c r="AF127" s="55"/>
      <c r="AG127" s="55"/>
      <c r="AH127" s="55"/>
      <c r="AI127" s="55"/>
      <c r="AJ127" s="55"/>
      <c r="AK127" s="55"/>
      <c r="AL127" s="55"/>
      <c r="AM127" s="55"/>
      <c r="AN127" s="55"/>
      <c r="AO127" s="55"/>
      <c r="AP127" s="55"/>
      <c r="AQ127" s="55"/>
      <c r="AR127" s="55"/>
      <c r="AS127" s="55"/>
      <c r="AT127" s="55"/>
      <c r="AU127" s="55"/>
      <c r="AV127" s="55"/>
      <c r="AW127" s="55"/>
      <c r="AX127" s="55"/>
      <c r="AY127" s="55"/>
      <c r="AZ127" s="55"/>
      <c r="BA127" s="55"/>
      <c r="BB127" s="55"/>
      <c r="BC127" s="55"/>
      <c r="BD127" s="55"/>
      <c r="BE127" s="55"/>
      <c r="BF127" s="55"/>
      <c r="BG127" s="55"/>
      <c r="BH127" s="55"/>
      <c r="BI127" s="55"/>
      <c r="BJ127" s="55"/>
      <c r="BK127" s="55"/>
      <c r="BL127" s="55"/>
      <c r="BM127" s="55"/>
      <c r="BN127" s="55"/>
      <c r="BO127" s="55"/>
      <c r="BP127" s="55"/>
      <c r="BQ127" s="55"/>
      <c r="BR127" s="55"/>
      <c r="BS127" s="55"/>
    </row>
    <row r="128" spans="1:71" outlineLevel="1" x14ac:dyDescent="0.2">
      <c r="J128" s="26"/>
      <c r="L128" s="55"/>
      <c r="M128" s="55"/>
      <c r="N128" s="55"/>
      <c r="O128" s="55"/>
      <c r="P128" s="55"/>
      <c r="Q128" s="55"/>
      <c r="R128" s="55"/>
      <c r="S128" s="55"/>
      <c r="T128" s="55"/>
      <c r="U128" s="55"/>
      <c r="V128" s="55"/>
      <c r="W128" s="55"/>
      <c r="X128" s="55"/>
      <c r="Y128" s="55"/>
      <c r="Z128" s="55"/>
      <c r="AA128" s="55"/>
      <c r="AB128" s="55"/>
      <c r="AC128" s="55"/>
      <c r="AD128" s="55"/>
      <c r="AE128" s="55"/>
      <c r="AF128" s="55"/>
      <c r="AG128" s="55"/>
      <c r="AH128" s="55"/>
      <c r="AI128" s="55"/>
      <c r="AJ128" s="55"/>
      <c r="AK128" s="55"/>
      <c r="AL128" s="55"/>
      <c r="AM128" s="55"/>
      <c r="AN128" s="55"/>
      <c r="AO128" s="55"/>
      <c r="AP128" s="55"/>
      <c r="AQ128" s="55"/>
      <c r="AR128" s="55"/>
      <c r="AS128" s="55"/>
      <c r="AT128" s="55"/>
      <c r="AU128" s="55"/>
      <c r="AV128" s="55"/>
      <c r="AW128" s="55"/>
      <c r="AX128" s="55"/>
      <c r="AY128" s="55"/>
      <c r="AZ128" s="55"/>
      <c r="BA128" s="55"/>
      <c r="BB128" s="55"/>
      <c r="BC128" s="55"/>
      <c r="BD128" s="55"/>
      <c r="BE128" s="55"/>
      <c r="BF128" s="55"/>
      <c r="BG128" s="55"/>
      <c r="BH128" s="55"/>
      <c r="BI128" s="55"/>
      <c r="BJ128" s="55"/>
      <c r="BK128" s="55"/>
      <c r="BL128" s="55"/>
      <c r="BM128" s="55"/>
      <c r="BN128" s="55"/>
      <c r="BO128" s="55"/>
      <c r="BP128" s="55"/>
      <c r="BQ128" s="55"/>
      <c r="BR128" s="55"/>
      <c r="BS128" s="55"/>
    </row>
    <row r="129" spans="1:71" outlineLevel="1" x14ac:dyDescent="0.2">
      <c r="A129" s="45"/>
      <c r="B129" s="38" t="s">
        <v>144</v>
      </c>
      <c r="C129" s="45"/>
      <c r="D129" s="45"/>
      <c r="E129" s="45"/>
      <c r="J129" s="26"/>
      <c r="L129" s="55"/>
      <c r="M129" s="55"/>
      <c r="N129" s="55"/>
      <c r="O129" s="55"/>
      <c r="P129" s="55"/>
      <c r="Q129" s="55"/>
      <c r="R129" s="55"/>
      <c r="S129" s="55"/>
      <c r="T129" s="55"/>
      <c r="U129" s="55"/>
      <c r="V129" s="55"/>
      <c r="W129" s="55"/>
      <c r="X129" s="55"/>
      <c r="Y129" s="55"/>
      <c r="Z129" s="55"/>
      <c r="AA129" s="55"/>
      <c r="AB129" s="55"/>
      <c r="AC129" s="55"/>
      <c r="AD129" s="55"/>
      <c r="AE129" s="55"/>
      <c r="AF129" s="55"/>
      <c r="AG129" s="55"/>
      <c r="AH129" s="55"/>
      <c r="AI129" s="55"/>
      <c r="AJ129" s="55"/>
      <c r="AK129" s="55"/>
      <c r="AL129" s="55"/>
      <c r="AM129" s="55"/>
      <c r="AN129" s="55"/>
      <c r="AO129" s="55"/>
      <c r="AP129" s="55"/>
      <c r="AQ129" s="55"/>
      <c r="AR129" s="55"/>
      <c r="AS129" s="55"/>
      <c r="AT129" s="55"/>
      <c r="AU129" s="55"/>
      <c r="AV129" s="55"/>
      <c r="AW129" s="55"/>
      <c r="AX129" s="55"/>
      <c r="AY129" s="55"/>
      <c r="AZ129" s="55"/>
      <c r="BA129" s="55"/>
      <c r="BB129" s="55"/>
      <c r="BC129" s="55"/>
      <c r="BD129" s="55"/>
      <c r="BE129" s="55"/>
      <c r="BF129" s="55"/>
      <c r="BG129" s="55"/>
      <c r="BH129" s="55"/>
      <c r="BI129" s="55"/>
      <c r="BJ129" s="55"/>
      <c r="BK129" s="55"/>
      <c r="BL129" s="55"/>
      <c r="BM129" s="55"/>
      <c r="BN129" s="55"/>
      <c r="BO129" s="55"/>
      <c r="BP129" s="55"/>
      <c r="BQ129" s="55"/>
      <c r="BR129" s="55"/>
      <c r="BS129" s="55"/>
    </row>
    <row r="130" spans="1:71" outlineLevel="1" x14ac:dyDescent="0.2">
      <c r="J130" s="26"/>
      <c r="L130" s="55"/>
      <c r="M130" s="55"/>
      <c r="N130" s="55"/>
      <c r="O130" s="55"/>
      <c r="P130" s="55"/>
      <c r="Q130" s="55"/>
      <c r="R130" s="55"/>
      <c r="S130" s="55"/>
      <c r="T130" s="55"/>
      <c r="U130" s="55"/>
      <c r="V130" s="55"/>
      <c r="W130" s="55"/>
      <c r="X130" s="55"/>
      <c r="Y130" s="55"/>
      <c r="Z130" s="55"/>
      <c r="AA130" s="55"/>
      <c r="AB130" s="55"/>
      <c r="AC130" s="55"/>
      <c r="AD130" s="55"/>
      <c r="AE130" s="55"/>
      <c r="AF130" s="55"/>
      <c r="AG130" s="55"/>
      <c r="AH130" s="55"/>
      <c r="AI130" s="55"/>
      <c r="AJ130" s="55"/>
      <c r="AK130" s="55"/>
      <c r="AL130" s="55"/>
      <c r="AM130" s="55"/>
      <c r="AN130" s="55"/>
      <c r="AO130" s="55"/>
      <c r="AP130" s="55"/>
      <c r="AQ130" s="55"/>
      <c r="AR130" s="55"/>
      <c r="AS130" s="55"/>
      <c r="AT130" s="55"/>
      <c r="AU130" s="55"/>
      <c r="AV130" s="55"/>
      <c r="AW130" s="55"/>
      <c r="AX130" s="55"/>
      <c r="AY130" s="55"/>
      <c r="AZ130" s="55"/>
      <c r="BA130" s="55"/>
      <c r="BB130" s="55"/>
      <c r="BC130" s="55"/>
      <c r="BD130" s="55"/>
      <c r="BE130" s="55"/>
      <c r="BF130" s="55"/>
      <c r="BG130" s="55"/>
      <c r="BH130" s="55"/>
      <c r="BI130" s="55"/>
      <c r="BJ130" s="55"/>
      <c r="BK130" s="55"/>
      <c r="BL130" s="55"/>
      <c r="BM130" s="55"/>
      <c r="BN130" s="55"/>
      <c r="BO130" s="55"/>
      <c r="BP130" s="55"/>
      <c r="BQ130" s="55"/>
      <c r="BR130" s="55"/>
      <c r="BS130" s="55"/>
    </row>
    <row r="131" spans="1:71" outlineLevel="1" x14ac:dyDescent="0.2">
      <c r="C131" s="11" t="s">
        <v>145</v>
      </c>
      <c r="J131" s="26"/>
      <c r="L131" s="55"/>
      <c r="M131" s="55"/>
      <c r="N131" s="55"/>
      <c r="O131" s="55"/>
      <c r="P131" s="55"/>
      <c r="Q131" s="55"/>
      <c r="R131" s="55"/>
      <c r="S131" s="55"/>
      <c r="T131" s="55"/>
      <c r="U131" s="55"/>
      <c r="V131" s="55"/>
      <c r="W131" s="55"/>
      <c r="X131" s="55"/>
      <c r="Y131" s="55"/>
      <c r="Z131" s="55"/>
      <c r="AA131" s="55"/>
      <c r="AB131" s="55"/>
      <c r="AC131" s="55"/>
      <c r="AD131" s="55"/>
      <c r="AE131" s="55"/>
      <c r="AF131" s="55"/>
      <c r="AG131" s="55"/>
      <c r="AH131" s="55"/>
      <c r="AI131" s="55"/>
      <c r="AJ131" s="55"/>
      <c r="AK131" s="55"/>
      <c r="AL131" s="55"/>
      <c r="AM131" s="55"/>
      <c r="AN131" s="55"/>
      <c r="AO131" s="55"/>
      <c r="AP131" s="55"/>
      <c r="AQ131" s="55"/>
      <c r="AR131" s="55"/>
      <c r="AS131" s="55"/>
      <c r="AT131" s="55"/>
      <c r="AU131" s="55"/>
      <c r="AV131" s="55"/>
      <c r="AW131" s="55"/>
      <c r="AX131" s="55"/>
      <c r="AY131" s="55"/>
      <c r="AZ131" s="55"/>
      <c r="BA131" s="55"/>
      <c r="BB131" s="55"/>
      <c r="BC131" s="55"/>
      <c r="BD131" s="55"/>
      <c r="BE131" s="55"/>
      <c r="BF131" s="55"/>
      <c r="BG131" s="55"/>
      <c r="BH131" s="55"/>
      <c r="BI131" s="55"/>
      <c r="BJ131" s="55"/>
      <c r="BK131" s="55"/>
      <c r="BL131" s="55"/>
      <c r="BM131" s="55"/>
      <c r="BN131" s="55"/>
      <c r="BO131" s="55"/>
      <c r="BP131" s="55"/>
      <c r="BQ131" s="55"/>
      <c r="BR131" s="55"/>
      <c r="BS131" s="55"/>
    </row>
    <row r="132" spans="1:71" outlineLevel="1" x14ac:dyDescent="0.2">
      <c r="D132" t="s">
        <v>146</v>
      </c>
      <c r="I132" s="30">
        <f ca="1">SUM($L132:$BS132)</f>
        <v>11683.664472381299</v>
      </c>
      <c r="J132" s="26" t="s">
        <v>148</v>
      </c>
      <c r="K132" s="7" t="s">
        <v>151</v>
      </c>
      <c r="L132" s="49" cm="1">
        <f t="array" aca="1" ref="L132:BS132" ca="1">Haute_Mer_1994!CA_gross_prod_oil*Haute_Mer_1994!CA_FP_oil_nom</f>
        <v>749.33748230811875</v>
      </c>
      <c r="M132" s="49">
        <f ca="1"/>
        <v>707.8459753529246</v>
      </c>
      <c r="N132" s="49">
        <f ca="1"/>
        <v>267.06236900108337</v>
      </c>
      <c r="O132" s="49">
        <f ca="1"/>
        <v>252.08282317336821</v>
      </c>
      <c r="P132" s="49">
        <f ca="1"/>
        <v>699.24129539791363</v>
      </c>
      <c r="Q132" s="49">
        <f ca="1"/>
        <v>1389.9328663921019</v>
      </c>
      <c r="R132" s="49">
        <f ca="1"/>
        <v>1326.7308635491613</v>
      </c>
      <c r="S132" s="49">
        <f ca="1"/>
        <v>770.17699371600008</v>
      </c>
      <c r="T132" s="49">
        <f ca="1"/>
        <v>1175.2312258964159</v>
      </c>
      <c r="U132" s="49">
        <f ca="1"/>
        <v>1173.1746984589799</v>
      </c>
      <c r="V132" s="49">
        <f ca="1"/>
        <v>1112.8735189581882</v>
      </c>
      <c r="W132" s="49">
        <f ca="1"/>
        <v>1058.5640716456105</v>
      </c>
      <c r="X132" s="49">
        <f ca="1"/>
        <v>1001.4102885314331</v>
      </c>
      <c r="Y132" s="49">
        <f ca="1"/>
        <v>0</v>
      </c>
      <c r="Z132" s="49">
        <f ca="1"/>
        <v>0</v>
      </c>
      <c r="AA132" s="49">
        <f ca="1"/>
        <v>0</v>
      </c>
      <c r="AB132" s="49">
        <f ca="1"/>
        <v>0</v>
      </c>
      <c r="AC132" s="49">
        <f ca="1"/>
        <v>0</v>
      </c>
      <c r="AD132" s="49">
        <f ca="1"/>
        <v>0</v>
      </c>
      <c r="AE132" s="49">
        <f ca="1"/>
        <v>0</v>
      </c>
      <c r="AF132" s="49">
        <f ca="1"/>
        <v>0</v>
      </c>
      <c r="AG132" s="49">
        <f ca="1"/>
        <v>0</v>
      </c>
      <c r="AH132" s="49">
        <f ca="1"/>
        <v>0</v>
      </c>
      <c r="AI132" s="49">
        <f ca="1"/>
        <v>0</v>
      </c>
      <c r="AJ132" s="49">
        <f ca="1"/>
        <v>0</v>
      </c>
      <c r="AK132" s="49">
        <f ca="1"/>
        <v>0</v>
      </c>
      <c r="AL132" s="49">
        <f ca="1"/>
        <v>0</v>
      </c>
      <c r="AM132" s="49">
        <f ca="1"/>
        <v>0</v>
      </c>
      <c r="AN132" s="49">
        <f ca="1"/>
        <v>0</v>
      </c>
      <c r="AO132" s="49">
        <f ca="1"/>
        <v>0</v>
      </c>
      <c r="AP132" s="49">
        <f ca="1"/>
        <v>0</v>
      </c>
      <c r="AQ132" s="49">
        <f ca="1"/>
        <v>0</v>
      </c>
      <c r="AR132" s="49">
        <f ca="1"/>
        <v>0</v>
      </c>
      <c r="AS132" s="49">
        <f ca="1"/>
        <v>0</v>
      </c>
      <c r="AT132" s="49">
        <f ca="1"/>
        <v>0</v>
      </c>
      <c r="AU132" s="49">
        <f ca="1"/>
        <v>0</v>
      </c>
      <c r="AV132" s="49">
        <f ca="1"/>
        <v>0</v>
      </c>
      <c r="AW132" s="49">
        <f ca="1"/>
        <v>0</v>
      </c>
      <c r="AX132" s="49">
        <f ca="1"/>
        <v>0</v>
      </c>
      <c r="AY132" s="49">
        <f ca="1"/>
        <v>0</v>
      </c>
      <c r="AZ132" s="49">
        <f ca="1"/>
        <v>0</v>
      </c>
      <c r="BA132" s="49">
        <f ca="1"/>
        <v>0</v>
      </c>
      <c r="BB132" s="49">
        <f ca="1"/>
        <v>0</v>
      </c>
      <c r="BC132" s="49">
        <f ca="1"/>
        <v>0</v>
      </c>
      <c r="BD132" s="49">
        <f ca="1"/>
        <v>0</v>
      </c>
      <c r="BE132" s="49">
        <f ca="1"/>
        <v>0</v>
      </c>
      <c r="BF132" s="49">
        <f ca="1"/>
        <v>0</v>
      </c>
      <c r="BG132" s="49">
        <f ca="1"/>
        <v>0</v>
      </c>
      <c r="BH132" s="49">
        <f ca="1"/>
        <v>0</v>
      </c>
      <c r="BI132" s="49">
        <f ca="1"/>
        <v>0</v>
      </c>
      <c r="BJ132" s="49">
        <f ca="1"/>
        <v>0</v>
      </c>
      <c r="BK132" s="49">
        <f ca="1"/>
        <v>0</v>
      </c>
      <c r="BL132" s="49">
        <f ca="1"/>
        <v>0</v>
      </c>
      <c r="BM132" s="49">
        <f ca="1"/>
        <v>0</v>
      </c>
      <c r="BN132" s="49">
        <f ca="1"/>
        <v>0</v>
      </c>
      <c r="BO132" s="49">
        <f ca="1"/>
        <v>0</v>
      </c>
      <c r="BP132" s="49">
        <f ca="1"/>
        <v>0</v>
      </c>
      <c r="BQ132" s="49">
        <f ca="1"/>
        <v>0</v>
      </c>
      <c r="BR132" s="49">
        <f ca="1"/>
        <v>0</v>
      </c>
      <c r="BS132" s="49">
        <f ca="1"/>
        <v>0</v>
      </c>
    </row>
    <row r="133" spans="1:71" outlineLevel="1" x14ac:dyDescent="0.2">
      <c r="D133" t="s">
        <v>147</v>
      </c>
      <c r="I133" s="30">
        <f ca="1">SUM($L133:$BS133)</f>
        <v>0</v>
      </c>
      <c r="J133" s="26" t="s">
        <v>148</v>
      </c>
      <c r="K133" s="7" t="s">
        <v>152</v>
      </c>
      <c r="L133" s="49" cm="1">
        <f t="array" aca="1" ref="L133:BS133" ca="1">Haute_Mer_1994!CA_gross_prod_gas*Haute_Mer_1994!CA_FP_gas_nom</f>
        <v>0</v>
      </c>
      <c r="M133" s="49">
        <f ca="1"/>
        <v>0</v>
      </c>
      <c r="N133" s="49">
        <f ca="1"/>
        <v>0</v>
      </c>
      <c r="O133" s="49">
        <f ca="1"/>
        <v>0</v>
      </c>
      <c r="P133" s="49">
        <f ca="1"/>
        <v>0</v>
      </c>
      <c r="Q133" s="49">
        <f ca="1"/>
        <v>0</v>
      </c>
      <c r="R133" s="49">
        <f ca="1"/>
        <v>0</v>
      </c>
      <c r="S133" s="49">
        <f ca="1"/>
        <v>0</v>
      </c>
      <c r="T133" s="49">
        <f ca="1"/>
        <v>0</v>
      </c>
      <c r="U133" s="49">
        <f ca="1"/>
        <v>0</v>
      </c>
      <c r="V133" s="49">
        <f ca="1"/>
        <v>0</v>
      </c>
      <c r="W133" s="49">
        <f ca="1"/>
        <v>0</v>
      </c>
      <c r="X133" s="49">
        <f ca="1"/>
        <v>0</v>
      </c>
      <c r="Y133" s="49">
        <f ca="1"/>
        <v>0</v>
      </c>
      <c r="Z133" s="49">
        <f ca="1"/>
        <v>0</v>
      </c>
      <c r="AA133" s="49">
        <f ca="1"/>
        <v>0</v>
      </c>
      <c r="AB133" s="49">
        <f ca="1"/>
        <v>0</v>
      </c>
      <c r="AC133" s="49">
        <f ca="1"/>
        <v>0</v>
      </c>
      <c r="AD133" s="49">
        <f ca="1"/>
        <v>0</v>
      </c>
      <c r="AE133" s="49">
        <f ca="1"/>
        <v>0</v>
      </c>
      <c r="AF133" s="49">
        <f ca="1"/>
        <v>0</v>
      </c>
      <c r="AG133" s="49">
        <f ca="1"/>
        <v>0</v>
      </c>
      <c r="AH133" s="49">
        <f ca="1"/>
        <v>0</v>
      </c>
      <c r="AI133" s="49">
        <f ca="1"/>
        <v>0</v>
      </c>
      <c r="AJ133" s="49">
        <f ca="1"/>
        <v>0</v>
      </c>
      <c r="AK133" s="49">
        <f ca="1"/>
        <v>0</v>
      </c>
      <c r="AL133" s="49">
        <f ca="1"/>
        <v>0</v>
      </c>
      <c r="AM133" s="49">
        <f ca="1"/>
        <v>0</v>
      </c>
      <c r="AN133" s="49">
        <f ca="1"/>
        <v>0</v>
      </c>
      <c r="AO133" s="49">
        <f ca="1"/>
        <v>0</v>
      </c>
      <c r="AP133" s="49">
        <f ca="1"/>
        <v>0</v>
      </c>
      <c r="AQ133" s="49">
        <f ca="1"/>
        <v>0</v>
      </c>
      <c r="AR133" s="49">
        <f ca="1"/>
        <v>0</v>
      </c>
      <c r="AS133" s="49">
        <f ca="1"/>
        <v>0</v>
      </c>
      <c r="AT133" s="49">
        <f ca="1"/>
        <v>0</v>
      </c>
      <c r="AU133" s="49">
        <f ca="1"/>
        <v>0</v>
      </c>
      <c r="AV133" s="49">
        <f ca="1"/>
        <v>0</v>
      </c>
      <c r="AW133" s="49">
        <f ca="1"/>
        <v>0</v>
      </c>
      <c r="AX133" s="49">
        <f ca="1"/>
        <v>0</v>
      </c>
      <c r="AY133" s="49">
        <f ca="1"/>
        <v>0</v>
      </c>
      <c r="AZ133" s="49">
        <f ca="1"/>
        <v>0</v>
      </c>
      <c r="BA133" s="49">
        <f ca="1"/>
        <v>0</v>
      </c>
      <c r="BB133" s="49">
        <f ca="1"/>
        <v>0</v>
      </c>
      <c r="BC133" s="49">
        <f ca="1"/>
        <v>0</v>
      </c>
      <c r="BD133" s="49">
        <f ca="1"/>
        <v>0</v>
      </c>
      <c r="BE133" s="49">
        <f ca="1"/>
        <v>0</v>
      </c>
      <c r="BF133" s="49">
        <f ca="1"/>
        <v>0</v>
      </c>
      <c r="BG133" s="49">
        <f ca="1"/>
        <v>0</v>
      </c>
      <c r="BH133" s="49">
        <f ca="1"/>
        <v>0</v>
      </c>
      <c r="BI133" s="49">
        <f ca="1"/>
        <v>0</v>
      </c>
      <c r="BJ133" s="49">
        <f ca="1"/>
        <v>0</v>
      </c>
      <c r="BK133" s="49">
        <f ca="1"/>
        <v>0</v>
      </c>
      <c r="BL133" s="49">
        <f ca="1"/>
        <v>0</v>
      </c>
      <c r="BM133" s="49">
        <f ca="1"/>
        <v>0</v>
      </c>
      <c r="BN133" s="49">
        <f ca="1"/>
        <v>0</v>
      </c>
      <c r="BO133" s="49">
        <f ca="1"/>
        <v>0</v>
      </c>
      <c r="BP133" s="49">
        <f ca="1"/>
        <v>0</v>
      </c>
      <c r="BQ133" s="49">
        <f ca="1"/>
        <v>0</v>
      </c>
      <c r="BR133" s="49">
        <f ca="1"/>
        <v>0</v>
      </c>
      <c r="BS133" s="49">
        <f ca="1"/>
        <v>0</v>
      </c>
    </row>
    <row r="134" spans="1:71" outlineLevel="1" x14ac:dyDescent="0.2">
      <c r="D134" s="11" t="s">
        <v>150</v>
      </c>
      <c r="I134" s="30">
        <f ca="1">SUM($L134:$BS134)</f>
        <v>11683.664472381299</v>
      </c>
      <c r="J134" s="26"/>
      <c r="K134" s="7" t="s">
        <v>153</v>
      </c>
      <c r="L134" s="49">
        <f ca="1">SUM(L132:L133)</f>
        <v>749.33748230811875</v>
      </c>
      <c r="M134" s="49">
        <f t="shared" ref="M134:BS134" ca="1" si="15">SUM(M132:M133)</f>
        <v>707.8459753529246</v>
      </c>
      <c r="N134" s="49">
        <f t="shared" ca="1" si="15"/>
        <v>267.06236900108337</v>
      </c>
      <c r="O134" s="49">
        <f t="shared" ca="1" si="15"/>
        <v>252.08282317336821</v>
      </c>
      <c r="P134" s="49">
        <f t="shared" ca="1" si="15"/>
        <v>699.24129539791363</v>
      </c>
      <c r="Q134" s="49">
        <f t="shared" ca="1" si="15"/>
        <v>1389.9328663921019</v>
      </c>
      <c r="R134" s="49">
        <f t="shared" ca="1" si="15"/>
        <v>1326.7308635491613</v>
      </c>
      <c r="S134" s="49">
        <f t="shared" ca="1" si="15"/>
        <v>770.17699371600008</v>
      </c>
      <c r="T134" s="49">
        <f t="shared" ca="1" si="15"/>
        <v>1175.2312258964159</v>
      </c>
      <c r="U134" s="49">
        <f t="shared" ca="1" si="15"/>
        <v>1173.1746984589799</v>
      </c>
      <c r="V134" s="49">
        <f t="shared" ca="1" si="15"/>
        <v>1112.8735189581882</v>
      </c>
      <c r="W134" s="49">
        <f t="shared" ca="1" si="15"/>
        <v>1058.5640716456105</v>
      </c>
      <c r="X134" s="49">
        <f t="shared" ca="1" si="15"/>
        <v>1001.4102885314331</v>
      </c>
      <c r="Y134" s="49">
        <f t="shared" ca="1" si="15"/>
        <v>0</v>
      </c>
      <c r="Z134" s="49">
        <f t="shared" ca="1" si="15"/>
        <v>0</v>
      </c>
      <c r="AA134" s="49">
        <f t="shared" ca="1" si="15"/>
        <v>0</v>
      </c>
      <c r="AB134" s="49">
        <f t="shared" ca="1" si="15"/>
        <v>0</v>
      </c>
      <c r="AC134" s="49">
        <f t="shared" ca="1" si="15"/>
        <v>0</v>
      </c>
      <c r="AD134" s="49">
        <f t="shared" ca="1" si="15"/>
        <v>0</v>
      </c>
      <c r="AE134" s="49">
        <f t="shared" ca="1" si="15"/>
        <v>0</v>
      </c>
      <c r="AF134" s="49">
        <f t="shared" ca="1" si="15"/>
        <v>0</v>
      </c>
      <c r="AG134" s="49">
        <f t="shared" ca="1" si="15"/>
        <v>0</v>
      </c>
      <c r="AH134" s="49">
        <f t="shared" ca="1" si="15"/>
        <v>0</v>
      </c>
      <c r="AI134" s="49">
        <f t="shared" ca="1" si="15"/>
        <v>0</v>
      </c>
      <c r="AJ134" s="49">
        <f t="shared" ca="1" si="15"/>
        <v>0</v>
      </c>
      <c r="AK134" s="49">
        <f t="shared" ca="1" si="15"/>
        <v>0</v>
      </c>
      <c r="AL134" s="49">
        <f t="shared" ca="1" si="15"/>
        <v>0</v>
      </c>
      <c r="AM134" s="49">
        <f t="shared" ca="1" si="15"/>
        <v>0</v>
      </c>
      <c r="AN134" s="49">
        <f t="shared" ca="1" si="15"/>
        <v>0</v>
      </c>
      <c r="AO134" s="49">
        <f t="shared" ca="1" si="15"/>
        <v>0</v>
      </c>
      <c r="AP134" s="49">
        <f t="shared" ca="1" si="15"/>
        <v>0</v>
      </c>
      <c r="AQ134" s="49">
        <f t="shared" ca="1" si="15"/>
        <v>0</v>
      </c>
      <c r="AR134" s="49">
        <f t="shared" ca="1" si="15"/>
        <v>0</v>
      </c>
      <c r="AS134" s="49">
        <f t="shared" ca="1" si="15"/>
        <v>0</v>
      </c>
      <c r="AT134" s="49">
        <f t="shared" ca="1" si="15"/>
        <v>0</v>
      </c>
      <c r="AU134" s="49">
        <f t="shared" ca="1" si="15"/>
        <v>0</v>
      </c>
      <c r="AV134" s="49">
        <f t="shared" ca="1" si="15"/>
        <v>0</v>
      </c>
      <c r="AW134" s="49">
        <f t="shared" ca="1" si="15"/>
        <v>0</v>
      </c>
      <c r="AX134" s="49">
        <f t="shared" ca="1" si="15"/>
        <v>0</v>
      </c>
      <c r="AY134" s="49">
        <f t="shared" ca="1" si="15"/>
        <v>0</v>
      </c>
      <c r="AZ134" s="49">
        <f t="shared" ca="1" si="15"/>
        <v>0</v>
      </c>
      <c r="BA134" s="49">
        <f t="shared" ca="1" si="15"/>
        <v>0</v>
      </c>
      <c r="BB134" s="49">
        <f t="shared" ca="1" si="15"/>
        <v>0</v>
      </c>
      <c r="BC134" s="49">
        <f t="shared" ca="1" si="15"/>
        <v>0</v>
      </c>
      <c r="BD134" s="49">
        <f t="shared" ca="1" si="15"/>
        <v>0</v>
      </c>
      <c r="BE134" s="49">
        <f t="shared" ca="1" si="15"/>
        <v>0</v>
      </c>
      <c r="BF134" s="49">
        <f t="shared" ca="1" si="15"/>
        <v>0</v>
      </c>
      <c r="BG134" s="49">
        <f t="shared" ca="1" si="15"/>
        <v>0</v>
      </c>
      <c r="BH134" s="49">
        <f t="shared" ca="1" si="15"/>
        <v>0</v>
      </c>
      <c r="BI134" s="49">
        <f t="shared" ca="1" si="15"/>
        <v>0</v>
      </c>
      <c r="BJ134" s="49">
        <f t="shared" ca="1" si="15"/>
        <v>0</v>
      </c>
      <c r="BK134" s="49">
        <f t="shared" ca="1" si="15"/>
        <v>0</v>
      </c>
      <c r="BL134" s="49">
        <f t="shared" ca="1" si="15"/>
        <v>0</v>
      </c>
      <c r="BM134" s="49">
        <f t="shared" ca="1" si="15"/>
        <v>0</v>
      </c>
      <c r="BN134" s="49">
        <f t="shared" ca="1" si="15"/>
        <v>0</v>
      </c>
      <c r="BO134" s="49">
        <f t="shared" ca="1" si="15"/>
        <v>0</v>
      </c>
      <c r="BP134" s="49">
        <f t="shared" ca="1" si="15"/>
        <v>0</v>
      </c>
      <c r="BQ134" s="49">
        <f t="shared" ca="1" si="15"/>
        <v>0</v>
      </c>
      <c r="BR134" s="49">
        <f t="shared" ca="1" si="15"/>
        <v>0</v>
      </c>
      <c r="BS134" s="49">
        <f t="shared" ca="1" si="15"/>
        <v>0</v>
      </c>
    </row>
    <row r="135" spans="1:71" outlineLevel="1" x14ac:dyDescent="0.2">
      <c r="J135" s="26"/>
      <c r="L135" s="55"/>
      <c r="M135" s="55"/>
      <c r="N135" s="55"/>
      <c r="O135" s="55"/>
      <c r="P135" s="55"/>
      <c r="Q135" s="55"/>
      <c r="R135" s="55"/>
      <c r="S135" s="55"/>
      <c r="T135" s="55"/>
      <c r="U135" s="55"/>
      <c r="V135" s="55"/>
      <c r="W135" s="55"/>
      <c r="X135" s="55"/>
      <c r="Y135" s="55"/>
      <c r="Z135" s="55"/>
      <c r="AA135" s="55"/>
      <c r="AB135" s="55"/>
      <c r="AC135" s="55"/>
      <c r="AD135" s="55"/>
      <c r="AE135" s="55"/>
      <c r="AF135" s="55"/>
      <c r="AG135" s="55"/>
      <c r="AH135" s="55"/>
      <c r="AI135" s="55"/>
      <c r="AJ135" s="55"/>
      <c r="AK135" s="55"/>
      <c r="AL135" s="55"/>
      <c r="AM135" s="55"/>
      <c r="AN135" s="55"/>
      <c r="AO135" s="55"/>
      <c r="AP135" s="55"/>
      <c r="AQ135" s="55"/>
      <c r="AR135" s="55"/>
      <c r="AS135" s="55"/>
      <c r="AT135" s="55"/>
      <c r="AU135" s="55"/>
      <c r="AV135" s="55"/>
      <c r="AW135" s="55"/>
      <c r="AX135" s="55"/>
      <c r="AY135" s="55"/>
      <c r="AZ135" s="55"/>
      <c r="BA135" s="55"/>
      <c r="BB135" s="55"/>
      <c r="BC135" s="55"/>
      <c r="BD135" s="55"/>
      <c r="BE135" s="55"/>
      <c r="BF135" s="55"/>
      <c r="BG135" s="55"/>
      <c r="BH135" s="55"/>
      <c r="BI135" s="55"/>
      <c r="BJ135" s="55"/>
      <c r="BK135" s="55"/>
      <c r="BL135" s="55"/>
      <c r="BM135" s="55"/>
      <c r="BN135" s="55"/>
      <c r="BO135" s="55"/>
      <c r="BP135" s="55"/>
      <c r="BQ135" s="55"/>
      <c r="BR135" s="55"/>
      <c r="BS135" s="55"/>
    </row>
    <row r="136" spans="1:71" outlineLevel="1" x14ac:dyDescent="0.2">
      <c r="J136" s="26"/>
      <c r="L136" s="55"/>
      <c r="M136" s="55"/>
      <c r="N136" s="55"/>
      <c r="O136" s="55"/>
      <c r="P136" s="55"/>
      <c r="Q136" s="55"/>
      <c r="R136" s="55"/>
      <c r="S136" s="55"/>
      <c r="T136" s="55"/>
      <c r="U136" s="55"/>
      <c r="V136" s="55"/>
      <c r="W136" s="55"/>
      <c r="X136" s="55"/>
      <c r="Y136" s="55"/>
      <c r="Z136" s="55"/>
      <c r="AA136" s="55"/>
      <c r="AB136" s="55"/>
      <c r="AC136" s="55"/>
      <c r="AD136" s="55"/>
      <c r="AE136" s="55"/>
      <c r="AF136" s="55"/>
      <c r="AG136" s="55"/>
      <c r="AH136" s="55"/>
      <c r="AI136" s="55"/>
      <c r="AJ136" s="55"/>
      <c r="AK136" s="55"/>
      <c r="AL136" s="55"/>
      <c r="AM136" s="55"/>
      <c r="AN136" s="55"/>
      <c r="AO136" s="55"/>
      <c r="AP136" s="55"/>
      <c r="AQ136" s="55"/>
      <c r="AR136" s="55"/>
      <c r="AS136" s="55"/>
      <c r="AT136" s="55"/>
      <c r="AU136" s="55"/>
      <c r="AV136" s="55"/>
      <c r="AW136" s="55"/>
      <c r="AX136" s="55"/>
      <c r="AY136" s="55"/>
      <c r="AZ136" s="55"/>
      <c r="BA136" s="55"/>
      <c r="BB136" s="55"/>
      <c r="BC136" s="55"/>
      <c r="BD136" s="55"/>
      <c r="BE136" s="55"/>
      <c r="BF136" s="55"/>
      <c r="BG136" s="55"/>
      <c r="BH136" s="55"/>
      <c r="BI136" s="55"/>
      <c r="BJ136" s="55"/>
      <c r="BK136" s="55"/>
      <c r="BL136" s="55"/>
      <c r="BM136" s="55"/>
      <c r="BN136" s="55"/>
      <c r="BO136" s="55"/>
      <c r="BP136" s="55"/>
      <c r="BQ136" s="55"/>
      <c r="BR136" s="55"/>
      <c r="BS136" s="55"/>
    </row>
    <row r="137" spans="1:71" outlineLevel="1" x14ac:dyDescent="0.2">
      <c r="D137" t="s">
        <v>154</v>
      </c>
      <c r="I137" s="30">
        <f ca="1">SUM($L137:$BS137)</f>
        <v>3934.1660106080963</v>
      </c>
      <c r="J137" s="26" t="s">
        <v>148</v>
      </c>
      <c r="K137" s="7" t="s">
        <v>155</v>
      </c>
      <c r="L137" s="49" cm="1">
        <f t="array" aca="1" ref="L137:BS137" ca="1">Haute_Mer_1994!CA_gross_prod_oil*Haute_Mer_1994!CA_HP_oil_nom</f>
        <v>156.16233450190998</v>
      </c>
      <c r="M137" s="49">
        <f ca="1"/>
        <v>162.06641567435</v>
      </c>
      <c r="N137" s="49">
        <f ca="1"/>
        <v>122.83076403873</v>
      </c>
      <c r="O137" s="49">
        <f ca="1"/>
        <v>136.88595856042798</v>
      </c>
      <c r="P137" s="49">
        <f ca="1"/>
        <v>283.25059682381004</v>
      </c>
      <c r="Q137" s="49">
        <f ca="1"/>
        <v>446.74594044673995</v>
      </c>
      <c r="R137" s="49">
        <f ca="1"/>
        <v>452.54833128108993</v>
      </c>
      <c r="S137" s="49">
        <f ca="1"/>
        <v>419.09210640000009</v>
      </c>
      <c r="T137" s="49">
        <f ca="1"/>
        <v>388.69075278000003</v>
      </c>
      <c r="U137" s="49">
        <f ca="1"/>
        <v>368.71204808710797</v>
      </c>
      <c r="V137" s="49">
        <f ca="1"/>
        <v>349.7602488154306</v>
      </c>
      <c r="W137" s="49">
        <f ca="1"/>
        <v>332.69156537433469</v>
      </c>
      <c r="X137" s="49">
        <f ca="1"/>
        <v>314.72894782416466</v>
      </c>
      <c r="Y137" s="49">
        <f ca="1"/>
        <v>0</v>
      </c>
      <c r="Z137" s="49">
        <f ca="1"/>
        <v>0</v>
      </c>
      <c r="AA137" s="49">
        <f ca="1"/>
        <v>0</v>
      </c>
      <c r="AB137" s="49">
        <f ca="1"/>
        <v>0</v>
      </c>
      <c r="AC137" s="49">
        <f ca="1"/>
        <v>0</v>
      </c>
      <c r="AD137" s="49">
        <f ca="1"/>
        <v>0</v>
      </c>
      <c r="AE137" s="49">
        <f ca="1"/>
        <v>0</v>
      </c>
      <c r="AF137" s="49">
        <f ca="1"/>
        <v>0</v>
      </c>
      <c r="AG137" s="49">
        <f ca="1"/>
        <v>0</v>
      </c>
      <c r="AH137" s="49">
        <f ca="1"/>
        <v>0</v>
      </c>
      <c r="AI137" s="49">
        <f ca="1"/>
        <v>0</v>
      </c>
      <c r="AJ137" s="49">
        <f ca="1"/>
        <v>0</v>
      </c>
      <c r="AK137" s="49">
        <f ca="1"/>
        <v>0</v>
      </c>
      <c r="AL137" s="49">
        <f ca="1"/>
        <v>0</v>
      </c>
      <c r="AM137" s="49">
        <f ca="1"/>
        <v>0</v>
      </c>
      <c r="AN137" s="49">
        <f ca="1"/>
        <v>0</v>
      </c>
      <c r="AO137" s="49">
        <f ca="1"/>
        <v>0</v>
      </c>
      <c r="AP137" s="49">
        <f ca="1"/>
        <v>0</v>
      </c>
      <c r="AQ137" s="49">
        <f ca="1"/>
        <v>0</v>
      </c>
      <c r="AR137" s="49">
        <f ca="1"/>
        <v>0</v>
      </c>
      <c r="AS137" s="49">
        <f ca="1"/>
        <v>0</v>
      </c>
      <c r="AT137" s="49">
        <f ca="1"/>
        <v>0</v>
      </c>
      <c r="AU137" s="49">
        <f ca="1"/>
        <v>0</v>
      </c>
      <c r="AV137" s="49">
        <f ca="1"/>
        <v>0</v>
      </c>
      <c r="AW137" s="49">
        <f ca="1"/>
        <v>0</v>
      </c>
      <c r="AX137" s="49">
        <f ca="1"/>
        <v>0</v>
      </c>
      <c r="AY137" s="49">
        <f ca="1"/>
        <v>0</v>
      </c>
      <c r="AZ137" s="49">
        <f ca="1"/>
        <v>0</v>
      </c>
      <c r="BA137" s="49">
        <f ca="1"/>
        <v>0</v>
      </c>
      <c r="BB137" s="49">
        <f ca="1"/>
        <v>0</v>
      </c>
      <c r="BC137" s="49">
        <f ca="1"/>
        <v>0</v>
      </c>
      <c r="BD137" s="49">
        <f ca="1"/>
        <v>0</v>
      </c>
      <c r="BE137" s="49">
        <f ca="1"/>
        <v>0</v>
      </c>
      <c r="BF137" s="49">
        <f ca="1"/>
        <v>0</v>
      </c>
      <c r="BG137" s="49">
        <f ca="1"/>
        <v>0</v>
      </c>
      <c r="BH137" s="49">
        <f ca="1"/>
        <v>0</v>
      </c>
      <c r="BI137" s="49">
        <f ca="1"/>
        <v>0</v>
      </c>
      <c r="BJ137" s="49">
        <f ca="1"/>
        <v>0</v>
      </c>
      <c r="BK137" s="49">
        <f ca="1"/>
        <v>0</v>
      </c>
      <c r="BL137" s="49">
        <f ca="1"/>
        <v>0</v>
      </c>
      <c r="BM137" s="49">
        <f ca="1"/>
        <v>0</v>
      </c>
      <c r="BN137" s="49">
        <f ca="1"/>
        <v>0</v>
      </c>
      <c r="BO137" s="49">
        <f ca="1"/>
        <v>0</v>
      </c>
      <c r="BP137" s="49">
        <f ca="1"/>
        <v>0</v>
      </c>
      <c r="BQ137" s="49">
        <f ca="1"/>
        <v>0</v>
      </c>
      <c r="BR137" s="49">
        <f ca="1"/>
        <v>0</v>
      </c>
      <c r="BS137" s="49">
        <f ca="1"/>
        <v>0</v>
      </c>
    </row>
    <row r="138" spans="1:71" outlineLevel="1" x14ac:dyDescent="0.2">
      <c r="J138" s="26"/>
      <c r="L138" s="55"/>
      <c r="M138" s="55"/>
      <c r="N138" s="55"/>
      <c r="O138" s="55"/>
      <c r="P138" s="55"/>
      <c r="Q138" s="55"/>
      <c r="R138" s="55"/>
      <c r="S138" s="55"/>
      <c r="T138" s="55"/>
      <c r="U138" s="55"/>
      <c r="V138" s="55"/>
      <c r="W138" s="55"/>
      <c r="X138" s="55"/>
      <c r="Y138" s="55"/>
      <c r="Z138" s="55"/>
      <c r="AA138" s="55"/>
      <c r="AB138" s="55"/>
      <c r="AC138" s="55"/>
      <c r="AD138" s="55"/>
      <c r="AE138" s="55"/>
      <c r="AF138" s="55"/>
      <c r="AG138" s="55"/>
      <c r="AH138" s="55"/>
      <c r="AI138" s="55"/>
      <c r="AJ138" s="55"/>
      <c r="AK138" s="55"/>
      <c r="AL138" s="55"/>
      <c r="AM138" s="55"/>
      <c r="AN138" s="55"/>
      <c r="AO138" s="55"/>
      <c r="AP138" s="55"/>
      <c r="AQ138" s="55"/>
      <c r="AR138" s="55"/>
      <c r="AS138" s="55"/>
      <c r="AT138" s="55"/>
      <c r="AU138" s="55"/>
      <c r="AV138" s="55"/>
      <c r="AW138" s="55"/>
      <c r="AX138" s="55"/>
      <c r="AY138" s="55"/>
      <c r="AZ138" s="55"/>
      <c r="BA138" s="55"/>
      <c r="BB138" s="55"/>
      <c r="BC138" s="55"/>
      <c r="BD138" s="55"/>
      <c r="BE138" s="55"/>
      <c r="BF138" s="55"/>
      <c r="BG138" s="55"/>
      <c r="BH138" s="55"/>
      <c r="BI138" s="55"/>
      <c r="BJ138" s="55"/>
      <c r="BK138" s="55"/>
      <c r="BL138" s="55"/>
      <c r="BM138" s="55"/>
      <c r="BN138" s="55"/>
      <c r="BO138" s="55"/>
      <c r="BP138" s="55"/>
      <c r="BQ138" s="55"/>
      <c r="BR138" s="55"/>
      <c r="BS138" s="55"/>
    </row>
    <row r="139" spans="1:71" outlineLevel="1" x14ac:dyDescent="0.2">
      <c r="J139" s="26"/>
      <c r="L139" s="55"/>
      <c r="M139" s="55"/>
      <c r="N139" s="55"/>
      <c r="O139" s="55"/>
      <c r="P139" s="55"/>
      <c r="Q139" s="55"/>
      <c r="R139" s="55"/>
      <c r="S139" s="55"/>
      <c r="T139" s="55"/>
      <c r="U139" s="55"/>
      <c r="V139" s="55"/>
      <c r="W139" s="55"/>
      <c r="X139" s="55"/>
      <c r="Y139" s="55"/>
      <c r="Z139" s="55"/>
      <c r="AA139" s="55"/>
      <c r="AB139" s="55"/>
      <c r="AC139" s="55"/>
      <c r="AD139" s="55"/>
      <c r="AE139" s="55"/>
      <c r="AF139" s="55"/>
      <c r="AG139" s="55"/>
      <c r="AH139" s="55"/>
      <c r="AI139" s="55"/>
      <c r="AJ139" s="55"/>
      <c r="AK139" s="55"/>
      <c r="AL139" s="55"/>
      <c r="AM139" s="55"/>
      <c r="AN139" s="55"/>
      <c r="AO139" s="55"/>
      <c r="AP139" s="55"/>
      <c r="AQ139" s="55"/>
      <c r="AR139" s="55"/>
      <c r="AS139" s="55"/>
      <c r="AT139" s="55"/>
      <c r="AU139" s="55"/>
      <c r="AV139" s="55"/>
      <c r="AW139" s="55"/>
      <c r="AX139" s="55"/>
      <c r="AY139" s="55"/>
      <c r="AZ139" s="55"/>
      <c r="BA139" s="55"/>
      <c r="BB139" s="55"/>
      <c r="BC139" s="55"/>
      <c r="BD139" s="55"/>
      <c r="BE139" s="55"/>
      <c r="BF139" s="55"/>
      <c r="BG139" s="55"/>
      <c r="BH139" s="55"/>
      <c r="BI139" s="55"/>
      <c r="BJ139" s="55"/>
      <c r="BK139" s="55"/>
      <c r="BL139" s="55"/>
      <c r="BM139" s="55"/>
      <c r="BN139" s="55"/>
      <c r="BO139" s="55"/>
      <c r="BP139" s="55"/>
      <c r="BQ139" s="55"/>
      <c r="BR139" s="55"/>
      <c r="BS139" s="55"/>
    </row>
    <row r="140" spans="1:71" outlineLevel="1" x14ac:dyDescent="0.2">
      <c r="D140" t="s">
        <v>156</v>
      </c>
      <c r="I140" s="30">
        <f ca="1">SUM($L140:$BS140)</f>
        <v>7749.4984617732034</v>
      </c>
      <c r="J140" s="26" t="s">
        <v>148</v>
      </c>
      <c r="K140" s="7" t="s">
        <v>157</v>
      </c>
      <c r="L140" s="49" cm="1">
        <f t="array" aca="1" ref="L140:BS140" ca="1">Haute_Mer_1994!CA_gross_rev_oil_fp-Haute_Mer_1994!CA_gross_rev_oil_hp</f>
        <v>593.17514780620877</v>
      </c>
      <c r="M140" s="49">
        <f ca="1"/>
        <v>545.77955967857463</v>
      </c>
      <c r="N140" s="49">
        <f ca="1"/>
        <v>144.23160496235337</v>
      </c>
      <c r="O140" s="49">
        <f ca="1"/>
        <v>115.19686461294023</v>
      </c>
      <c r="P140" s="49">
        <f ca="1"/>
        <v>415.99069857410359</v>
      </c>
      <c r="Q140" s="49">
        <f ca="1"/>
        <v>943.18692594536196</v>
      </c>
      <c r="R140" s="49">
        <f ca="1"/>
        <v>874.18253226807133</v>
      </c>
      <c r="S140" s="49">
        <f ca="1"/>
        <v>351.08488731599999</v>
      </c>
      <c r="T140" s="49">
        <f ca="1"/>
        <v>786.54047311641591</v>
      </c>
      <c r="U140" s="49">
        <f ca="1"/>
        <v>804.46265037187197</v>
      </c>
      <c r="V140" s="49">
        <f ca="1"/>
        <v>763.11327014275764</v>
      </c>
      <c r="W140" s="49">
        <f ca="1"/>
        <v>725.87250627127582</v>
      </c>
      <c r="X140" s="49">
        <f ca="1"/>
        <v>686.68134070726842</v>
      </c>
      <c r="Y140" s="49">
        <f ca="1"/>
        <v>0</v>
      </c>
      <c r="Z140" s="49">
        <f ca="1"/>
        <v>0</v>
      </c>
      <c r="AA140" s="49">
        <f ca="1"/>
        <v>0</v>
      </c>
      <c r="AB140" s="49">
        <f ca="1"/>
        <v>0</v>
      </c>
      <c r="AC140" s="49">
        <f ca="1"/>
        <v>0</v>
      </c>
      <c r="AD140" s="49">
        <f ca="1"/>
        <v>0</v>
      </c>
      <c r="AE140" s="49">
        <f ca="1"/>
        <v>0</v>
      </c>
      <c r="AF140" s="49">
        <f ca="1"/>
        <v>0</v>
      </c>
      <c r="AG140" s="49">
        <f ca="1"/>
        <v>0</v>
      </c>
      <c r="AH140" s="49">
        <f ca="1"/>
        <v>0</v>
      </c>
      <c r="AI140" s="49">
        <f ca="1"/>
        <v>0</v>
      </c>
      <c r="AJ140" s="49">
        <f ca="1"/>
        <v>0</v>
      </c>
      <c r="AK140" s="49">
        <f ca="1"/>
        <v>0</v>
      </c>
      <c r="AL140" s="49">
        <f ca="1"/>
        <v>0</v>
      </c>
      <c r="AM140" s="49">
        <f ca="1"/>
        <v>0</v>
      </c>
      <c r="AN140" s="49">
        <f ca="1"/>
        <v>0</v>
      </c>
      <c r="AO140" s="49">
        <f ca="1"/>
        <v>0</v>
      </c>
      <c r="AP140" s="49">
        <f ca="1"/>
        <v>0</v>
      </c>
      <c r="AQ140" s="49">
        <f ca="1"/>
        <v>0</v>
      </c>
      <c r="AR140" s="49">
        <f ca="1"/>
        <v>0</v>
      </c>
      <c r="AS140" s="49">
        <f ca="1"/>
        <v>0</v>
      </c>
      <c r="AT140" s="49">
        <f ca="1"/>
        <v>0</v>
      </c>
      <c r="AU140" s="49">
        <f ca="1"/>
        <v>0</v>
      </c>
      <c r="AV140" s="49">
        <f ca="1"/>
        <v>0</v>
      </c>
      <c r="AW140" s="49">
        <f ca="1"/>
        <v>0</v>
      </c>
      <c r="AX140" s="49">
        <f ca="1"/>
        <v>0</v>
      </c>
      <c r="AY140" s="49">
        <f ca="1"/>
        <v>0</v>
      </c>
      <c r="AZ140" s="49">
        <f ca="1"/>
        <v>0</v>
      </c>
      <c r="BA140" s="49">
        <f ca="1"/>
        <v>0</v>
      </c>
      <c r="BB140" s="49">
        <f ca="1"/>
        <v>0</v>
      </c>
      <c r="BC140" s="49">
        <f ca="1"/>
        <v>0</v>
      </c>
      <c r="BD140" s="49">
        <f ca="1"/>
        <v>0</v>
      </c>
      <c r="BE140" s="49">
        <f ca="1"/>
        <v>0</v>
      </c>
      <c r="BF140" s="49">
        <f ca="1"/>
        <v>0</v>
      </c>
      <c r="BG140" s="49">
        <f ca="1"/>
        <v>0</v>
      </c>
      <c r="BH140" s="49">
        <f ca="1"/>
        <v>0</v>
      </c>
      <c r="BI140" s="49">
        <f ca="1"/>
        <v>0</v>
      </c>
      <c r="BJ140" s="49">
        <f ca="1"/>
        <v>0</v>
      </c>
      <c r="BK140" s="49">
        <f ca="1"/>
        <v>0</v>
      </c>
      <c r="BL140" s="49">
        <f ca="1"/>
        <v>0</v>
      </c>
      <c r="BM140" s="49">
        <f ca="1"/>
        <v>0</v>
      </c>
      <c r="BN140" s="49">
        <f ca="1"/>
        <v>0</v>
      </c>
      <c r="BO140" s="49">
        <f ca="1"/>
        <v>0</v>
      </c>
      <c r="BP140" s="49">
        <f ca="1"/>
        <v>0</v>
      </c>
      <c r="BQ140" s="49">
        <f ca="1"/>
        <v>0</v>
      </c>
      <c r="BR140" s="49">
        <f ca="1"/>
        <v>0</v>
      </c>
      <c r="BS140" s="49">
        <f ca="1"/>
        <v>0</v>
      </c>
    </row>
    <row r="141" spans="1:71" outlineLevel="1" x14ac:dyDescent="0.2">
      <c r="J141" s="26"/>
      <c r="L141" s="55"/>
      <c r="M141" s="55"/>
      <c r="N141" s="55"/>
      <c r="O141" s="55"/>
      <c r="P141" s="55"/>
      <c r="Q141" s="55"/>
      <c r="R141" s="55"/>
      <c r="S141" s="55"/>
      <c r="T141" s="55"/>
      <c r="U141" s="55"/>
      <c r="V141" s="55"/>
      <c r="W141" s="55"/>
      <c r="X141" s="55"/>
      <c r="Y141" s="55"/>
      <c r="Z141" s="55"/>
      <c r="AA141" s="55"/>
      <c r="AB141" s="55"/>
      <c r="AC141" s="55"/>
      <c r="AD141" s="55"/>
      <c r="AE141" s="55"/>
      <c r="AF141" s="55"/>
      <c r="AG141" s="55"/>
      <c r="AH141" s="55"/>
      <c r="AI141" s="55"/>
      <c r="AJ141" s="55"/>
      <c r="AK141" s="55"/>
      <c r="AL141" s="55"/>
      <c r="AM141" s="55"/>
      <c r="AN141" s="55"/>
      <c r="AO141" s="55"/>
      <c r="AP141" s="55"/>
      <c r="AQ141" s="55"/>
      <c r="AR141" s="55"/>
      <c r="AS141" s="55"/>
      <c r="AT141" s="55"/>
      <c r="AU141" s="55"/>
      <c r="AV141" s="55"/>
      <c r="AW141" s="55"/>
      <c r="AX141" s="55"/>
      <c r="AY141" s="55"/>
      <c r="AZ141" s="55"/>
      <c r="BA141" s="55"/>
      <c r="BB141" s="55"/>
      <c r="BC141" s="55"/>
      <c r="BD141" s="55"/>
      <c r="BE141" s="55"/>
      <c r="BF141" s="55"/>
      <c r="BG141" s="55"/>
      <c r="BH141" s="55"/>
      <c r="BI141" s="55"/>
      <c r="BJ141" s="55"/>
      <c r="BK141" s="55"/>
      <c r="BL141" s="55"/>
      <c r="BM141" s="55"/>
      <c r="BN141" s="55"/>
      <c r="BO141" s="55"/>
      <c r="BP141" s="55"/>
      <c r="BQ141" s="55"/>
      <c r="BR141" s="55"/>
      <c r="BS141" s="55"/>
    </row>
    <row r="142" spans="1:71" outlineLevel="1" x14ac:dyDescent="0.2">
      <c r="C142" s="11" t="s">
        <v>228</v>
      </c>
      <c r="J142" s="26"/>
      <c r="L142" s="55"/>
      <c r="M142" s="55"/>
      <c r="N142" s="55"/>
      <c r="O142" s="55"/>
      <c r="P142" s="55"/>
      <c r="Q142" s="55"/>
      <c r="R142" s="55"/>
      <c r="S142" s="55"/>
      <c r="T142" s="55"/>
      <c r="U142" s="55"/>
      <c r="V142" s="55"/>
      <c r="W142" s="55"/>
      <c r="X142" s="55"/>
      <c r="Y142" s="55"/>
      <c r="Z142" s="55"/>
      <c r="AA142" s="55"/>
      <c r="AB142" s="55"/>
      <c r="AC142" s="55"/>
      <c r="AD142" s="55"/>
      <c r="AE142" s="55"/>
      <c r="AF142" s="55"/>
      <c r="AG142" s="55"/>
      <c r="AH142" s="55"/>
      <c r="AI142" s="55"/>
      <c r="AJ142" s="55"/>
      <c r="AK142" s="55"/>
      <c r="AL142" s="55"/>
      <c r="AM142" s="55"/>
      <c r="AN142" s="55"/>
      <c r="AO142" s="55"/>
      <c r="AP142" s="55"/>
      <c r="AQ142" s="55"/>
      <c r="AR142" s="55"/>
      <c r="AS142" s="55"/>
      <c r="AT142" s="55"/>
      <c r="AU142" s="55"/>
      <c r="AV142" s="55"/>
      <c r="AW142" s="55"/>
      <c r="AX142" s="55"/>
      <c r="AY142" s="55"/>
      <c r="AZ142" s="55"/>
      <c r="BA142" s="55"/>
      <c r="BB142" s="55"/>
      <c r="BC142" s="55"/>
      <c r="BD142" s="55"/>
      <c r="BE142" s="55"/>
      <c r="BF142" s="55"/>
      <c r="BG142" s="55"/>
      <c r="BH142" s="55"/>
      <c r="BI142" s="55"/>
      <c r="BJ142" s="55"/>
      <c r="BK142" s="55"/>
      <c r="BL142" s="55"/>
      <c r="BM142" s="55"/>
      <c r="BN142" s="55"/>
      <c r="BO142" s="55"/>
      <c r="BP142" s="55"/>
      <c r="BQ142" s="55"/>
      <c r="BR142" s="55"/>
      <c r="BS142" s="55"/>
    </row>
    <row r="143" spans="1:71" outlineLevel="1" x14ac:dyDescent="0.2">
      <c r="D143" t="s">
        <v>229</v>
      </c>
      <c r="I143" s="58">
        <f ca="1">IFERROR(I132/$I$134,0)</f>
        <v>1</v>
      </c>
      <c r="J143" s="26" t="s">
        <v>90</v>
      </c>
      <c r="K143" s="7" t="s">
        <v>231</v>
      </c>
      <c r="L143" s="53">
        <f t="shared" ref="L143:BS143" ca="1" si="16">IFERROR(CA_gross_rev_oil_fp/CA_gross_rev_total_fp,0)</f>
        <v>1</v>
      </c>
      <c r="M143" s="53">
        <f t="shared" ca="1" si="16"/>
        <v>1</v>
      </c>
      <c r="N143" s="53">
        <f t="shared" ca="1" si="16"/>
        <v>1</v>
      </c>
      <c r="O143" s="53">
        <f t="shared" ca="1" si="16"/>
        <v>1</v>
      </c>
      <c r="P143" s="53">
        <f t="shared" ca="1" si="16"/>
        <v>1</v>
      </c>
      <c r="Q143" s="53">
        <f t="shared" ca="1" si="16"/>
        <v>1</v>
      </c>
      <c r="R143" s="53">
        <f t="shared" ca="1" si="16"/>
        <v>1</v>
      </c>
      <c r="S143" s="53">
        <f t="shared" ca="1" si="16"/>
        <v>1</v>
      </c>
      <c r="T143" s="53">
        <f t="shared" ca="1" si="16"/>
        <v>1</v>
      </c>
      <c r="U143" s="53">
        <f t="shared" ca="1" si="16"/>
        <v>1</v>
      </c>
      <c r="V143" s="53">
        <f t="shared" ca="1" si="16"/>
        <v>1</v>
      </c>
      <c r="W143" s="53">
        <f t="shared" ca="1" si="16"/>
        <v>1</v>
      </c>
      <c r="X143" s="53">
        <f t="shared" ca="1" si="16"/>
        <v>1</v>
      </c>
      <c r="Y143" s="53">
        <f t="shared" ca="1" si="16"/>
        <v>0</v>
      </c>
      <c r="Z143" s="53">
        <f t="shared" ca="1" si="16"/>
        <v>0</v>
      </c>
      <c r="AA143" s="53">
        <f t="shared" ca="1" si="16"/>
        <v>0</v>
      </c>
      <c r="AB143" s="53">
        <f t="shared" ca="1" si="16"/>
        <v>0</v>
      </c>
      <c r="AC143" s="53">
        <f t="shared" ca="1" si="16"/>
        <v>0</v>
      </c>
      <c r="AD143" s="53">
        <f t="shared" ca="1" si="16"/>
        <v>0</v>
      </c>
      <c r="AE143" s="53">
        <f t="shared" ca="1" si="16"/>
        <v>0</v>
      </c>
      <c r="AF143" s="53">
        <f t="shared" ca="1" si="16"/>
        <v>0</v>
      </c>
      <c r="AG143" s="53">
        <f t="shared" ca="1" si="16"/>
        <v>0</v>
      </c>
      <c r="AH143" s="53">
        <f t="shared" ca="1" si="16"/>
        <v>0</v>
      </c>
      <c r="AI143" s="53">
        <f t="shared" ca="1" si="16"/>
        <v>0</v>
      </c>
      <c r="AJ143" s="53">
        <f t="shared" ca="1" si="16"/>
        <v>0</v>
      </c>
      <c r="AK143" s="53">
        <f t="shared" ca="1" si="16"/>
        <v>0</v>
      </c>
      <c r="AL143" s="53">
        <f t="shared" ca="1" si="16"/>
        <v>0</v>
      </c>
      <c r="AM143" s="53">
        <f t="shared" ca="1" si="16"/>
        <v>0</v>
      </c>
      <c r="AN143" s="53">
        <f t="shared" ca="1" si="16"/>
        <v>0</v>
      </c>
      <c r="AO143" s="53">
        <f t="shared" ca="1" si="16"/>
        <v>0</v>
      </c>
      <c r="AP143" s="53">
        <f t="shared" ca="1" si="16"/>
        <v>0</v>
      </c>
      <c r="AQ143" s="53">
        <f t="shared" ca="1" si="16"/>
        <v>0</v>
      </c>
      <c r="AR143" s="53">
        <f t="shared" ca="1" si="16"/>
        <v>0</v>
      </c>
      <c r="AS143" s="53">
        <f t="shared" ca="1" si="16"/>
        <v>0</v>
      </c>
      <c r="AT143" s="53">
        <f t="shared" ca="1" si="16"/>
        <v>0</v>
      </c>
      <c r="AU143" s="53">
        <f t="shared" ca="1" si="16"/>
        <v>0</v>
      </c>
      <c r="AV143" s="53">
        <f t="shared" ca="1" si="16"/>
        <v>0</v>
      </c>
      <c r="AW143" s="53">
        <f t="shared" ca="1" si="16"/>
        <v>0</v>
      </c>
      <c r="AX143" s="53">
        <f t="shared" ca="1" si="16"/>
        <v>0</v>
      </c>
      <c r="AY143" s="53">
        <f t="shared" ca="1" si="16"/>
        <v>0</v>
      </c>
      <c r="AZ143" s="53">
        <f t="shared" ca="1" si="16"/>
        <v>0</v>
      </c>
      <c r="BA143" s="53">
        <f t="shared" ca="1" si="16"/>
        <v>0</v>
      </c>
      <c r="BB143" s="53">
        <f t="shared" ca="1" si="16"/>
        <v>0</v>
      </c>
      <c r="BC143" s="53">
        <f t="shared" ca="1" si="16"/>
        <v>0</v>
      </c>
      <c r="BD143" s="53">
        <f t="shared" ca="1" si="16"/>
        <v>0</v>
      </c>
      <c r="BE143" s="53">
        <f t="shared" ca="1" si="16"/>
        <v>0</v>
      </c>
      <c r="BF143" s="53">
        <f t="shared" ca="1" si="16"/>
        <v>0</v>
      </c>
      <c r="BG143" s="53">
        <f t="shared" ca="1" si="16"/>
        <v>0</v>
      </c>
      <c r="BH143" s="53">
        <f t="shared" ca="1" si="16"/>
        <v>0</v>
      </c>
      <c r="BI143" s="53">
        <f t="shared" ca="1" si="16"/>
        <v>0</v>
      </c>
      <c r="BJ143" s="53">
        <f t="shared" ca="1" si="16"/>
        <v>0</v>
      </c>
      <c r="BK143" s="53">
        <f t="shared" ca="1" si="16"/>
        <v>0</v>
      </c>
      <c r="BL143" s="53">
        <f t="shared" ca="1" si="16"/>
        <v>0</v>
      </c>
      <c r="BM143" s="53">
        <f t="shared" ca="1" si="16"/>
        <v>0</v>
      </c>
      <c r="BN143" s="53">
        <f t="shared" ca="1" si="16"/>
        <v>0</v>
      </c>
      <c r="BO143" s="53">
        <f t="shared" ca="1" si="16"/>
        <v>0</v>
      </c>
      <c r="BP143" s="53">
        <f t="shared" ca="1" si="16"/>
        <v>0</v>
      </c>
      <c r="BQ143" s="53">
        <f t="shared" ca="1" si="16"/>
        <v>0</v>
      </c>
      <c r="BR143" s="53">
        <f t="shared" ca="1" si="16"/>
        <v>0</v>
      </c>
      <c r="BS143" s="53">
        <f t="shared" ca="1" si="16"/>
        <v>0</v>
      </c>
    </row>
    <row r="144" spans="1:71" outlineLevel="1" x14ac:dyDescent="0.2">
      <c r="D144" t="s">
        <v>230</v>
      </c>
      <c r="I144" s="58">
        <f ca="1">IFERROR(I133/$I$134,0)</f>
        <v>0</v>
      </c>
      <c r="J144" s="26" t="s">
        <v>90</v>
      </c>
      <c r="K144" s="7" t="s">
        <v>232</v>
      </c>
      <c r="L144" s="53">
        <f t="shared" ref="L144:BS144" ca="1" si="17">IFERROR(CA_gross_rev_gas_fp/CA_gross_rev_total_fp,0)</f>
        <v>0</v>
      </c>
      <c r="M144" s="53">
        <f t="shared" ca="1" si="17"/>
        <v>0</v>
      </c>
      <c r="N144" s="53">
        <f t="shared" ca="1" si="17"/>
        <v>0</v>
      </c>
      <c r="O144" s="53">
        <f t="shared" ca="1" si="17"/>
        <v>0</v>
      </c>
      <c r="P144" s="53">
        <f t="shared" ca="1" si="17"/>
        <v>0</v>
      </c>
      <c r="Q144" s="53">
        <f t="shared" ca="1" si="17"/>
        <v>0</v>
      </c>
      <c r="R144" s="53">
        <f t="shared" ca="1" si="17"/>
        <v>0</v>
      </c>
      <c r="S144" s="53">
        <f t="shared" ca="1" si="17"/>
        <v>0</v>
      </c>
      <c r="T144" s="53">
        <f t="shared" ca="1" si="17"/>
        <v>0</v>
      </c>
      <c r="U144" s="53">
        <f t="shared" ca="1" si="17"/>
        <v>0</v>
      </c>
      <c r="V144" s="53">
        <f t="shared" ca="1" si="17"/>
        <v>0</v>
      </c>
      <c r="W144" s="53">
        <f t="shared" ca="1" si="17"/>
        <v>0</v>
      </c>
      <c r="X144" s="53">
        <f t="shared" ca="1" si="17"/>
        <v>0</v>
      </c>
      <c r="Y144" s="53">
        <f t="shared" ca="1" si="17"/>
        <v>0</v>
      </c>
      <c r="Z144" s="53">
        <f t="shared" ca="1" si="17"/>
        <v>0</v>
      </c>
      <c r="AA144" s="53">
        <f t="shared" ca="1" si="17"/>
        <v>0</v>
      </c>
      <c r="AB144" s="53">
        <f t="shared" ca="1" si="17"/>
        <v>0</v>
      </c>
      <c r="AC144" s="53">
        <f t="shared" ca="1" si="17"/>
        <v>0</v>
      </c>
      <c r="AD144" s="53">
        <f t="shared" ca="1" si="17"/>
        <v>0</v>
      </c>
      <c r="AE144" s="53">
        <f t="shared" ca="1" si="17"/>
        <v>0</v>
      </c>
      <c r="AF144" s="53">
        <f t="shared" ca="1" si="17"/>
        <v>0</v>
      </c>
      <c r="AG144" s="53">
        <f t="shared" ca="1" si="17"/>
        <v>0</v>
      </c>
      <c r="AH144" s="53">
        <f t="shared" ca="1" si="17"/>
        <v>0</v>
      </c>
      <c r="AI144" s="53">
        <f t="shared" ca="1" si="17"/>
        <v>0</v>
      </c>
      <c r="AJ144" s="53">
        <f t="shared" ca="1" si="17"/>
        <v>0</v>
      </c>
      <c r="AK144" s="53">
        <f t="shared" ca="1" si="17"/>
        <v>0</v>
      </c>
      <c r="AL144" s="53">
        <f t="shared" ca="1" si="17"/>
        <v>0</v>
      </c>
      <c r="AM144" s="53">
        <f t="shared" ca="1" si="17"/>
        <v>0</v>
      </c>
      <c r="AN144" s="53">
        <f t="shared" ca="1" si="17"/>
        <v>0</v>
      </c>
      <c r="AO144" s="53">
        <f t="shared" ca="1" si="17"/>
        <v>0</v>
      </c>
      <c r="AP144" s="53">
        <f t="shared" ca="1" si="17"/>
        <v>0</v>
      </c>
      <c r="AQ144" s="53">
        <f t="shared" ca="1" si="17"/>
        <v>0</v>
      </c>
      <c r="AR144" s="53">
        <f t="shared" ca="1" si="17"/>
        <v>0</v>
      </c>
      <c r="AS144" s="53">
        <f t="shared" ca="1" si="17"/>
        <v>0</v>
      </c>
      <c r="AT144" s="53">
        <f t="shared" ca="1" si="17"/>
        <v>0</v>
      </c>
      <c r="AU144" s="53">
        <f t="shared" ca="1" si="17"/>
        <v>0</v>
      </c>
      <c r="AV144" s="53">
        <f t="shared" ca="1" si="17"/>
        <v>0</v>
      </c>
      <c r="AW144" s="53">
        <f t="shared" ca="1" si="17"/>
        <v>0</v>
      </c>
      <c r="AX144" s="53">
        <f t="shared" ca="1" si="17"/>
        <v>0</v>
      </c>
      <c r="AY144" s="53">
        <f t="shared" ca="1" si="17"/>
        <v>0</v>
      </c>
      <c r="AZ144" s="53">
        <f t="shared" ca="1" si="17"/>
        <v>0</v>
      </c>
      <c r="BA144" s="53">
        <f t="shared" ca="1" si="17"/>
        <v>0</v>
      </c>
      <c r="BB144" s="53">
        <f t="shared" ca="1" si="17"/>
        <v>0</v>
      </c>
      <c r="BC144" s="53">
        <f t="shared" ca="1" si="17"/>
        <v>0</v>
      </c>
      <c r="BD144" s="53">
        <f t="shared" ca="1" si="17"/>
        <v>0</v>
      </c>
      <c r="BE144" s="53">
        <f t="shared" ca="1" si="17"/>
        <v>0</v>
      </c>
      <c r="BF144" s="53">
        <f t="shared" ca="1" si="17"/>
        <v>0</v>
      </c>
      <c r="BG144" s="53">
        <f t="shared" ca="1" si="17"/>
        <v>0</v>
      </c>
      <c r="BH144" s="53">
        <f t="shared" ca="1" si="17"/>
        <v>0</v>
      </c>
      <c r="BI144" s="53">
        <f t="shared" ca="1" si="17"/>
        <v>0</v>
      </c>
      <c r="BJ144" s="53">
        <f t="shared" ca="1" si="17"/>
        <v>0</v>
      </c>
      <c r="BK144" s="53">
        <f t="shared" ca="1" si="17"/>
        <v>0</v>
      </c>
      <c r="BL144" s="53">
        <f t="shared" ca="1" si="17"/>
        <v>0</v>
      </c>
      <c r="BM144" s="53">
        <f t="shared" ca="1" si="17"/>
        <v>0</v>
      </c>
      <c r="BN144" s="53">
        <f t="shared" ca="1" si="17"/>
        <v>0</v>
      </c>
      <c r="BO144" s="53">
        <f t="shared" ca="1" si="17"/>
        <v>0</v>
      </c>
      <c r="BP144" s="53">
        <f t="shared" ca="1" si="17"/>
        <v>0</v>
      </c>
      <c r="BQ144" s="53">
        <f t="shared" ca="1" si="17"/>
        <v>0</v>
      </c>
      <c r="BR144" s="53">
        <f t="shared" ca="1" si="17"/>
        <v>0</v>
      </c>
      <c r="BS144" s="53">
        <f t="shared" ca="1" si="17"/>
        <v>0</v>
      </c>
    </row>
    <row r="145" spans="1:71" outlineLevel="1" x14ac:dyDescent="0.2">
      <c r="J145" s="26"/>
      <c r="L145" s="55"/>
      <c r="M145" s="55"/>
      <c r="N145" s="55"/>
      <c r="O145" s="55"/>
      <c r="P145" s="55"/>
      <c r="Q145" s="55"/>
      <c r="R145" s="55"/>
      <c r="S145" s="55"/>
      <c r="T145" s="55"/>
      <c r="U145" s="55"/>
      <c r="V145" s="55"/>
      <c r="W145" s="55"/>
      <c r="X145" s="55"/>
      <c r="Y145" s="55"/>
      <c r="Z145" s="55"/>
      <c r="AA145" s="55"/>
      <c r="AB145" s="55"/>
      <c r="AC145" s="55"/>
      <c r="AD145" s="55"/>
      <c r="AE145" s="55"/>
      <c r="AF145" s="55"/>
      <c r="AG145" s="55"/>
      <c r="AH145" s="55"/>
      <c r="AI145" s="55"/>
      <c r="AJ145" s="55"/>
      <c r="AK145" s="55"/>
      <c r="AL145" s="55"/>
      <c r="AM145" s="55"/>
      <c r="AN145" s="55"/>
      <c r="AO145" s="55"/>
      <c r="AP145" s="55"/>
      <c r="AQ145" s="55"/>
      <c r="AR145" s="55"/>
      <c r="AS145" s="55"/>
      <c r="AT145" s="55"/>
      <c r="AU145" s="55"/>
      <c r="AV145" s="55"/>
      <c r="AW145" s="55"/>
      <c r="AX145" s="55"/>
      <c r="AY145" s="55"/>
      <c r="AZ145" s="55"/>
      <c r="BA145" s="55"/>
      <c r="BB145" s="55"/>
      <c r="BC145" s="55"/>
      <c r="BD145" s="55"/>
      <c r="BE145" s="55"/>
      <c r="BF145" s="55"/>
      <c r="BG145" s="55"/>
      <c r="BH145" s="55"/>
      <c r="BI145" s="55"/>
      <c r="BJ145" s="55"/>
      <c r="BK145" s="55"/>
      <c r="BL145" s="55"/>
      <c r="BM145" s="55"/>
      <c r="BN145" s="55"/>
      <c r="BO145" s="55"/>
      <c r="BP145" s="55"/>
      <c r="BQ145" s="55"/>
      <c r="BR145" s="55"/>
      <c r="BS145" s="55"/>
    </row>
    <row r="146" spans="1:71" outlineLevel="1" x14ac:dyDescent="0.2">
      <c r="J146" s="26"/>
      <c r="L146" s="55"/>
      <c r="M146" s="55"/>
      <c r="N146" s="55"/>
      <c r="O146" s="55"/>
      <c r="P146" s="55"/>
      <c r="Q146" s="55"/>
      <c r="R146" s="55"/>
      <c r="S146" s="55"/>
      <c r="T146" s="55"/>
      <c r="U146" s="55"/>
      <c r="V146" s="55"/>
      <c r="W146" s="55"/>
      <c r="X146" s="55"/>
      <c r="Y146" s="55"/>
      <c r="Z146" s="55"/>
      <c r="AA146" s="55"/>
      <c r="AB146" s="55"/>
      <c r="AC146" s="55"/>
      <c r="AD146" s="55"/>
      <c r="AE146" s="55"/>
      <c r="AF146" s="55"/>
      <c r="AG146" s="55"/>
      <c r="AH146" s="55"/>
      <c r="AI146" s="55"/>
      <c r="AJ146" s="55"/>
      <c r="AK146" s="55"/>
      <c r="AL146" s="55"/>
      <c r="AM146" s="55"/>
      <c r="AN146" s="55"/>
      <c r="AO146" s="55"/>
      <c r="AP146" s="55"/>
      <c r="AQ146" s="55"/>
      <c r="AR146" s="55"/>
      <c r="AS146" s="55"/>
      <c r="AT146" s="55"/>
      <c r="AU146" s="55"/>
      <c r="AV146" s="55"/>
      <c r="AW146" s="55"/>
      <c r="AX146" s="55"/>
      <c r="AY146" s="55"/>
      <c r="AZ146" s="55"/>
      <c r="BA146" s="55"/>
      <c r="BB146" s="55"/>
      <c r="BC146" s="55"/>
      <c r="BD146" s="55"/>
      <c r="BE146" s="55"/>
      <c r="BF146" s="55"/>
      <c r="BG146" s="55"/>
      <c r="BH146" s="55"/>
      <c r="BI146" s="55"/>
      <c r="BJ146" s="55"/>
      <c r="BK146" s="55"/>
      <c r="BL146" s="55"/>
      <c r="BM146" s="55"/>
      <c r="BN146" s="55"/>
      <c r="BO146" s="55"/>
      <c r="BP146" s="55"/>
      <c r="BQ146" s="55"/>
      <c r="BR146" s="55"/>
      <c r="BS146" s="55"/>
    </row>
    <row r="147" spans="1:71" outlineLevel="1" x14ac:dyDescent="0.2">
      <c r="J147" s="26"/>
      <c r="L147" s="55"/>
      <c r="M147" s="55"/>
      <c r="N147" s="55"/>
      <c r="O147" s="55"/>
      <c r="P147" s="55"/>
      <c r="Q147" s="55"/>
      <c r="R147" s="55"/>
      <c r="S147" s="55"/>
      <c r="T147" s="55"/>
      <c r="U147" s="55"/>
      <c r="V147" s="55"/>
      <c r="W147" s="55"/>
      <c r="X147" s="55"/>
      <c r="Y147" s="55"/>
      <c r="Z147" s="55"/>
      <c r="AA147" s="55"/>
      <c r="AB147" s="55"/>
      <c r="AC147" s="55"/>
      <c r="AD147" s="55"/>
      <c r="AE147" s="55"/>
      <c r="AF147" s="55"/>
      <c r="AG147" s="55"/>
      <c r="AH147" s="55"/>
      <c r="AI147" s="55"/>
      <c r="AJ147" s="55"/>
      <c r="AK147" s="55"/>
      <c r="AL147" s="55"/>
      <c r="AM147" s="55"/>
      <c r="AN147" s="55"/>
      <c r="AO147" s="55"/>
      <c r="AP147" s="55"/>
      <c r="AQ147" s="55"/>
      <c r="AR147" s="55"/>
      <c r="AS147" s="55"/>
      <c r="AT147" s="55"/>
      <c r="AU147" s="55"/>
      <c r="AV147" s="55"/>
      <c r="AW147" s="55"/>
      <c r="AX147" s="55"/>
      <c r="AY147" s="55"/>
      <c r="AZ147" s="55"/>
      <c r="BA147" s="55"/>
      <c r="BB147" s="55"/>
      <c r="BC147" s="55"/>
      <c r="BD147" s="55"/>
      <c r="BE147" s="55"/>
      <c r="BF147" s="55"/>
      <c r="BG147" s="55"/>
      <c r="BH147" s="55"/>
      <c r="BI147" s="55"/>
      <c r="BJ147" s="55"/>
      <c r="BK147" s="55"/>
      <c r="BL147" s="55"/>
      <c r="BM147" s="55"/>
      <c r="BN147" s="55"/>
      <c r="BO147" s="55"/>
      <c r="BP147" s="55"/>
      <c r="BQ147" s="55"/>
      <c r="BR147" s="55"/>
      <c r="BS147" s="55"/>
    </row>
    <row r="148" spans="1:71" outlineLevel="1" x14ac:dyDescent="0.2">
      <c r="A148" s="45"/>
      <c r="B148" s="38" t="s">
        <v>50</v>
      </c>
      <c r="C148" s="45"/>
      <c r="D148" s="45"/>
      <c r="E148" s="45"/>
      <c r="J148" s="26"/>
      <c r="L148" s="55"/>
      <c r="M148" s="55"/>
      <c r="N148" s="55"/>
      <c r="O148" s="55"/>
      <c r="P148" s="55"/>
      <c r="Q148" s="55"/>
      <c r="R148" s="55"/>
      <c r="S148" s="55"/>
      <c r="T148" s="55"/>
      <c r="U148" s="55"/>
      <c r="V148" s="55"/>
      <c r="W148" s="55"/>
      <c r="X148" s="55"/>
      <c r="Y148" s="55"/>
      <c r="Z148" s="55"/>
      <c r="AA148" s="55"/>
      <c r="AB148" s="55"/>
      <c r="AC148" s="55"/>
      <c r="AD148" s="55"/>
      <c r="AE148" s="55"/>
      <c r="AF148" s="55"/>
      <c r="AG148" s="55"/>
      <c r="AH148" s="55"/>
      <c r="AI148" s="55"/>
      <c r="AJ148" s="55"/>
      <c r="AK148" s="55"/>
      <c r="AL148" s="55"/>
      <c r="AM148" s="55"/>
      <c r="AN148" s="55"/>
      <c r="AO148" s="55"/>
      <c r="AP148" s="55"/>
      <c r="AQ148" s="55"/>
      <c r="AR148" s="55"/>
      <c r="AS148" s="55"/>
      <c r="AT148" s="55"/>
      <c r="AU148" s="55"/>
      <c r="AV148" s="55"/>
      <c r="AW148" s="55"/>
      <c r="AX148" s="55"/>
      <c r="AY148" s="55"/>
      <c r="AZ148" s="55"/>
      <c r="BA148" s="55"/>
      <c r="BB148" s="55"/>
      <c r="BC148" s="55"/>
      <c r="BD148" s="55"/>
      <c r="BE148" s="55"/>
      <c r="BF148" s="55"/>
      <c r="BG148" s="55"/>
      <c r="BH148" s="55"/>
      <c r="BI148" s="55"/>
      <c r="BJ148" s="55"/>
      <c r="BK148" s="55"/>
      <c r="BL148" s="55"/>
      <c r="BM148" s="55"/>
      <c r="BN148" s="55"/>
      <c r="BO148" s="55"/>
      <c r="BP148" s="55"/>
      <c r="BQ148" s="55"/>
      <c r="BR148" s="55"/>
      <c r="BS148" s="55"/>
    </row>
    <row r="149" spans="1:71" outlineLevel="1" x14ac:dyDescent="0.2">
      <c r="J149" s="26"/>
      <c r="L149" s="55"/>
      <c r="M149" s="55"/>
      <c r="N149" s="55"/>
      <c r="O149" s="55"/>
      <c r="P149" s="55"/>
      <c r="Q149" s="55"/>
      <c r="R149" s="55"/>
      <c r="S149" s="55"/>
      <c r="T149" s="55"/>
      <c r="U149" s="55"/>
      <c r="V149" s="55"/>
      <c r="W149" s="55"/>
      <c r="X149" s="55"/>
      <c r="Y149" s="55"/>
      <c r="Z149" s="55"/>
      <c r="AA149" s="55"/>
      <c r="AB149" s="55"/>
      <c r="AC149" s="55"/>
      <c r="AD149" s="55"/>
      <c r="AE149" s="55"/>
      <c r="AF149" s="55"/>
      <c r="AG149" s="55"/>
      <c r="AH149" s="55"/>
      <c r="AI149" s="55"/>
      <c r="AJ149" s="55"/>
      <c r="AK149" s="55"/>
      <c r="AL149" s="55"/>
      <c r="AM149" s="55"/>
      <c r="AN149" s="55"/>
      <c r="AO149" s="55"/>
      <c r="AP149" s="55"/>
      <c r="AQ149" s="55"/>
      <c r="AR149" s="55"/>
      <c r="AS149" s="55"/>
      <c r="AT149" s="55"/>
      <c r="AU149" s="55"/>
      <c r="AV149" s="55"/>
      <c r="AW149" s="55"/>
      <c r="AX149" s="55"/>
      <c r="AY149" s="55"/>
      <c r="AZ149" s="55"/>
      <c r="BA149" s="55"/>
      <c r="BB149" s="55"/>
      <c r="BC149" s="55"/>
      <c r="BD149" s="55"/>
      <c r="BE149" s="55"/>
      <c r="BF149" s="55"/>
      <c r="BG149" s="55"/>
      <c r="BH149" s="55"/>
      <c r="BI149" s="55"/>
      <c r="BJ149" s="55"/>
      <c r="BK149" s="55"/>
      <c r="BL149" s="55"/>
      <c r="BM149" s="55"/>
      <c r="BN149" s="55"/>
      <c r="BO149" s="55"/>
      <c r="BP149" s="55"/>
      <c r="BQ149" s="55"/>
      <c r="BR149" s="55"/>
      <c r="BS149" s="55"/>
    </row>
    <row r="150" spans="1:71" outlineLevel="1" x14ac:dyDescent="0.2">
      <c r="C150" s="11" t="s">
        <v>162</v>
      </c>
      <c r="J150" s="26"/>
      <c r="L150" s="55"/>
      <c r="M150" s="55"/>
      <c r="N150" s="55"/>
      <c r="O150" s="55"/>
      <c r="P150" s="55"/>
      <c r="Q150" s="55"/>
      <c r="R150" s="55"/>
      <c r="S150" s="55"/>
      <c r="T150" s="55"/>
      <c r="U150" s="55"/>
      <c r="V150" s="55"/>
      <c r="W150" s="55"/>
      <c r="X150" s="55"/>
      <c r="Y150" s="55"/>
      <c r="Z150" s="55"/>
      <c r="AA150" s="55"/>
      <c r="AB150" s="55"/>
      <c r="AC150" s="55"/>
      <c r="AD150" s="55"/>
      <c r="AE150" s="55"/>
      <c r="AF150" s="55"/>
      <c r="AG150" s="55"/>
      <c r="AH150" s="55"/>
      <c r="AI150" s="55"/>
      <c r="AJ150" s="55"/>
      <c r="AK150" s="55"/>
      <c r="AL150" s="55"/>
      <c r="AM150" s="55"/>
      <c r="AN150" s="55"/>
      <c r="AO150" s="55"/>
      <c r="AP150" s="55"/>
      <c r="AQ150" s="55"/>
      <c r="AR150" s="55"/>
      <c r="AS150" s="55"/>
      <c r="AT150" s="55"/>
      <c r="AU150" s="55"/>
      <c r="AV150" s="55"/>
      <c r="AW150" s="55"/>
      <c r="AX150" s="55"/>
      <c r="AY150" s="55"/>
      <c r="AZ150" s="55"/>
      <c r="BA150" s="55"/>
      <c r="BB150" s="55"/>
      <c r="BC150" s="55"/>
      <c r="BD150" s="55"/>
      <c r="BE150" s="55"/>
      <c r="BF150" s="55"/>
      <c r="BG150" s="55"/>
      <c r="BH150" s="55"/>
      <c r="BI150" s="55"/>
      <c r="BJ150" s="55"/>
      <c r="BK150" s="55"/>
      <c r="BL150" s="55"/>
      <c r="BM150" s="55"/>
      <c r="BN150" s="55"/>
      <c r="BO150" s="55"/>
      <c r="BP150" s="55"/>
      <c r="BQ150" s="55"/>
      <c r="BR150" s="55"/>
      <c r="BS150" s="55"/>
    </row>
    <row r="151" spans="1:71" outlineLevel="1" x14ac:dyDescent="0.2">
      <c r="D151" t="s">
        <v>160</v>
      </c>
      <c r="I151" s="30">
        <f ca="1">SUM($L151:$BS151)</f>
        <v>3502.3183539519996</v>
      </c>
      <c r="J151" s="26" t="s">
        <v>148</v>
      </c>
      <c r="K151" s="7" t="s">
        <v>159</v>
      </c>
      <c r="L151" s="49">
        <f t="shared" ref="L151:AQ151" ca="1" si="18">IF(L4&gt;=YEAR(effective_date_HM1994),(OFFSET(_xlfn.SINGLE(IA_varopex_real),,date_offset_HM1994)*_xlfn.SINGLE(IA_esc_index)),0)</f>
        <v>148.06899999999999</v>
      </c>
      <c r="M151" s="49">
        <f t="shared" ca="1" si="18"/>
        <v>183.88499999999999</v>
      </c>
      <c r="N151" s="49">
        <f t="shared" ca="1" si="18"/>
        <v>135.70400000000001</v>
      </c>
      <c r="O151" s="49">
        <f t="shared" ca="1" si="18"/>
        <v>240.88499999999999</v>
      </c>
      <c r="P151" s="49">
        <f t="shared" ca="1" si="18"/>
        <v>536.79</v>
      </c>
      <c r="Q151" s="49">
        <f t="shared" ca="1" si="18"/>
        <v>243.78</v>
      </c>
      <c r="R151" s="49">
        <f t="shared" ca="1" si="18"/>
        <v>281.8</v>
      </c>
      <c r="S151" s="49">
        <f t="shared" ca="1" si="18"/>
        <v>286.3</v>
      </c>
      <c r="T151" s="49">
        <f t="shared" ca="1" si="18"/>
        <v>283.39999999999998</v>
      </c>
      <c r="U151" s="49">
        <f t="shared" ca="1" si="18"/>
        <v>286.21200000000005</v>
      </c>
      <c r="V151" s="49">
        <f t="shared" ca="1" si="18"/>
        <v>289.02312000000001</v>
      </c>
      <c r="W151" s="49">
        <f t="shared" ca="1" si="18"/>
        <v>291.8322</v>
      </c>
      <c r="X151" s="49">
        <f t="shared" ca="1" si="18"/>
        <v>294.638033952</v>
      </c>
      <c r="Y151" s="49">
        <f t="shared" ca="1" si="18"/>
        <v>0</v>
      </c>
      <c r="Z151" s="49">
        <f t="shared" ca="1" si="18"/>
        <v>0</v>
      </c>
      <c r="AA151" s="49">
        <f t="shared" ca="1" si="18"/>
        <v>0</v>
      </c>
      <c r="AB151" s="49">
        <f t="shared" ca="1" si="18"/>
        <v>0</v>
      </c>
      <c r="AC151" s="49">
        <f t="shared" ca="1" si="18"/>
        <v>0</v>
      </c>
      <c r="AD151" s="49">
        <f t="shared" ca="1" si="18"/>
        <v>0</v>
      </c>
      <c r="AE151" s="49">
        <f t="shared" ca="1" si="18"/>
        <v>0</v>
      </c>
      <c r="AF151" s="49">
        <f t="shared" ca="1" si="18"/>
        <v>0</v>
      </c>
      <c r="AG151" s="49">
        <f t="shared" ca="1" si="18"/>
        <v>0</v>
      </c>
      <c r="AH151" s="49">
        <f t="shared" ca="1" si="18"/>
        <v>0</v>
      </c>
      <c r="AI151" s="49">
        <f t="shared" ca="1" si="18"/>
        <v>0</v>
      </c>
      <c r="AJ151" s="49">
        <f t="shared" ca="1" si="18"/>
        <v>0</v>
      </c>
      <c r="AK151" s="49">
        <f t="shared" ca="1" si="18"/>
        <v>0</v>
      </c>
      <c r="AL151" s="49">
        <f t="shared" ca="1" si="18"/>
        <v>0</v>
      </c>
      <c r="AM151" s="49">
        <f t="shared" ca="1" si="18"/>
        <v>0</v>
      </c>
      <c r="AN151" s="49">
        <f t="shared" ca="1" si="18"/>
        <v>0</v>
      </c>
      <c r="AO151" s="49">
        <f t="shared" ca="1" si="18"/>
        <v>0</v>
      </c>
      <c r="AP151" s="49">
        <f t="shared" ca="1" si="18"/>
        <v>0</v>
      </c>
      <c r="AQ151" s="49">
        <f t="shared" ca="1" si="18"/>
        <v>0</v>
      </c>
      <c r="AR151" s="49">
        <f t="shared" ref="AR151:BS151" ca="1" si="19">IF(AR4&gt;=YEAR(effective_date_HM1994),(OFFSET(_xlfn.SINGLE(IA_varopex_real),,date_offset_HM1994)*_xlfn.SINGLE(IA_esc_index)),0)</f>
        <v>0</v>
      </c>
      <c r="AS151" s="49">
        <f t="shared" ca="1" si="19"/>
        <v>0</v>
      </c>
      <c r="AT151" s="49">
        <f t="shared" ca="1" si="19"/>
        <v>0</v>
      </c>
      <c r="AU151" s="49">
        <f t="shared" ca="1" si="19"/>
        <v>0</v>
      </c>
      <c r="AV151" s="49">
        <f t="shared" ca="1" si="19"/>
        <v>0</v>
      </c>
      <c r="AW151" s="49">
        <f t="shared" ca="1" si="19"/>
        <v>0</v>
      </c>
      <c r="AX151" s="49">
        <f t="shared" ca="1" si="19"/>
        <v>0</v>
      </c>
      <c r="AY151" s="49">
        <f t="shared" ca="1" si="19"/>
        <v>0</v>
      </c>
      <c r="AZ151" s="49">
        <f t="shared" ca="1" si="19"/>
        <v>0</v>
      </c>
      <c r="BA151" s="49">
        <f t="shared" ca="1" si="19"/>
        <v>0</v>
      </c>
      <c r="BB151" s="49">
        <f t="shared" ca="1" si="19"/>
        <v>0</v>
      </c>
      <c r="BC151" s="49">
        <f t="shared" ca="1" si="19"/>
        <v>0</v>
      </c>
      <c r="BD151" s="49">
        <f t="shared" ca="1" si="19"/>
        <v>0</v>
      </c>
      <c r="BE151" s="49">
        <f t="shared" ca="1" si="19"/>
        <v>0</v>
      </c>
      <c r="BF151" s="49">
        <f t="shared" ca="1" si="19"/>
        <v>0</v>
      </c>
      <c r="BG151" s="49">
        <f t="shared" ca="1" si="19"/>
        <v>0</v>
      </c>
      <c r="BH151" s="49">
        <f t="shared" ca="1" si="19"/>
        <v>0</v>
      </c>
      <c r="BI151" s="49">
        <f t="shared" ca="1" si="19"/>
        <v>0</v>
      </c>
      <c r="BJ151" s="49">
        <f t="shared" ca="1" si="19"/>
        <v>0</v>
      </c>
      <c r="BK151" s="49">
        <f t="shared" ca="1" si="19"/>
        <v>0</v>
      </c>
      <c r="BL151" s="49">
        <f t="shared" ca="1" si="19"/>
        <v>0</v>
      </c>
      <c r="BM151" s="49">
        <f t="shared" ca="1" si="19"/>
        <v>0</v>
      </c>
      <c r="BN151" s="49">
        <f t="shared" ca="1" si="19"/>
        <v>0</v>
      </c>
      <c r="BO151" s="49">
        <f t="shared" ca="1" si="19"/>
        <v>0</v>
      </c>
      <c r="BP151" s="49">
        <f t="shared" ca="1" si="19"/>
        <v>0</v>
      </c>
      <c r="BQ151" s="49">
        <f t="shared" ca="1" si="19"/>
        <v>0</v>
      </c>
      <c r="BR151" s="49">
        <f t="shared" ca="1" si="19"/>
        <v>0</v>
      </c>
      <c r="BS151" s="49">
        <f t="shared" ca="1" si="19"/>
        <v>0</v>
      </c>
    </row>
    <row r="152" spans="1:71" outlineLevel="1" x14ac:dyDescent="0.2">
      <c r="J152" s="26"/>
      <c r="L152" s="55"/>
      <c r="M152" s="55"/>
      <c r="N152" s="55"/>
      <c r="O152" s="55"/>
      <c r="P152" s="55"/>
      <c r="Q152" s="55"/>
      <c r="R152" s="55"/>
      <c r="S152" s="55"/>
      <c r="T152" s="55"/>
      <c r="U152" s="55"/>
      <c r="V152" s="55"/>
      <c r="W152" s="55"/>
      <c r="X152" s="55"/>
      <c r="Y152" s="55"/>
      <c r="Z152" s="55"/>
      <c r="AA152" s="55"/>
      <c r="AB152" s="55"/>
      <c r="AC152" s="55"/>
      <c r="AD152" s="55"/>
      <c r="AE152" s="55"/>
      <c r="AF152" s="55"/>
      <c r="AG152" s="55"/>
      <c r="AH152" s="55"/>
      <c r="AI152" s="55"/>
      <c r="AJ152" s="55"/>
      <c r="AK152" s="55"/>
      <c r="AL152" s="55"/>
      <c r="AM152" s="55"/>
      <c r="AN152" s="55"/>
      <c r="AO152" s="55"/>
      <c r="AP152" s="55"/>
      <c r="AQ152" s="55"/>
      <c r="AR152" s="55"/>
      <c r="AS152" s="55"/>
      <c r="AT152" s="55"/>
      <c r="AU152" s="55"/>
      <c r="AV152" s="55"/>
      <c r="AW152" s="55"/>
      <c r="AX152" s="55"/>
      <c r="AY152" s="55"/>
      <c r="AZ152" s="55"/>
      <c r="BA152" s="55"/>
      <c r="BB152" s="55"/>
      <c r="BC152" s="55"/>
      <c r="BD152" s="55"/>
      <c r="BE152" s="55"/>
      <c r="BF152" s="55"/>
      <c r="BG152" s="55"/>
      <c r="BH152" s="55"/>
      <c r="BI152" s="55"/>
      <c r="BJ152" s="55"/>
      <c r="BK152" s="55"/>
      <c r="BL152" s="55"/>
      <c r="BM152" s="55"/>
      <c r="BN152" s="55"/>
      <c r="BO152" s="55"/>
      <c r="BP152" s="55"/>
      <c r="BQ152" s="55"/>
      <c r="BR152" s="55"/>
      <c r="BS152" s="55"/>
    </row>
    <row r="153" spans="1:71" outlineLevel="1" x14ac:dyDescent="0.2">
      <c r="C153" s="11" t="s">
        <v>161</v>
      </c>
      <c r="J153" s="26"/>
      <c r="L153" s="55"/>
      <c r="M153" s="55"/>
      <c r="N153" s="55"/>
      <c r="O153" s="55"/>
      <c r="P153" s="55"/>
      <c r="Q153" s="55"/>
      <c r="R153" s="55"/>
      <c r="S153" s="55"/>
      <c r="T153" s="55"/>
      <c r="U153" s="55"/>
      <c r="V153" s="55"/>
      <c r="W153" s="55"/>
      <c r="X153" s="55"/>
      <c r="Y153" s="55"/>
      <c r="Z153" s="55"/>
      <c r="AA153" s="55"/>
      <c r="AB153" s="55"/>
      <c r="AC153" s="55"/>
      <c r="AD153" s="55"/>
      <c r="AE153" s="55"/>
      <c r="AF153" s="55"/>
      <c r="AG153" s="55"/>
      <c r="AH153" s="55"/>
      <c r="AI153" s="55"/>
      <c r="AJ153" s="55"/>
      <c r="AK153" s="55"/>
      <c r="AL153" s="55"/>
      <c r="AM153" s="55"/>
      <c r="AN153" s="55"/>
      <c r="AO153" s="55"/>
      <c r="AP153" s="55"/>
      <c r="AQ153" s="55"/>
      <c r="AR153" s="55"/>
      <c r="AS153" s="55"/>
      <c r="AT153" s="55"/>
      <c r="AU153" s="55"/>
      <c r="AV153" s="55"/>
      <c r="AW153" s="55"/>
      <c r="AX153" s="55"/>
      <c r="AY153" s="55"/>
      <c r="AZ153" s="55"/>
      <c r="BA153" s="55"/>
      <c r="BB153" s="55"/>
      <c r="BC153" s="55"/>
      <c r="BD153" s="55"/>
      <c r="BE153" s="55"/>
      <c r="BF153" s="55"/>
      <c r="BG153" s="55"/>
      <c r="BH153" s="55"/>
      <c r="BI153" s="55"/>
      <c r="BJ153" s="55"/>
      <c r="BK153" s="55"/>
      <c r="BL153" s="55"/>
      <c r="BM153" s="55"/>
      <c r="BN153" s="55"/>
      <c r="BO153" s="55"/>
      <c r="BP153" s="55"/>
      <c r="BQ153" s="55"/>
      <c r="BR153" s="55"/>
      <c r="BS153" s="55"/>
    </row>
    <row r="154" spans="1:71" outlineLevel="1" x14ac:dyDescent="0.2">
      <c r="D154" t="s">
        <v>163</v>
      </c>
      <c r="I154" s="30">
        <f ca="1">SUM($L154:$BS154)</f>
        <v>0</v>
      </c>
      <c r="J154" s="26" t="s">
        <v>148</v>
      </c>
      <c r="K154" s="7" t="s">
        <v>164</v>
      </c>
      <c r="L154" s="49">
        <f t="shared" ref="L154:AQ154" ca="1" si="20">IF(L4&gt;=YEAR(effective_date_HM1994),(OFFSET(_xlfn.SINGLE(IA_fixedopex_real),,date_offset_HM1994)*_xlfn.SINGLE(IA_esc_index)),0)</f>
        <v>0</v>
      </c>
      <c r="M154" s="49">
        <f t="shared" ca="1" si="20"/>
        <v>0</v>
      </c>
      <c r="N154" s="49">
        <f t="shared" ca="1" si="20"/>
        <v>0</v>
      </c>
      <c r="O154" s="49">
        <f t="shared" ca="1" si="20"/>
        <v>0</v>
      </c>
      <c r="P154" s="49">
        <f t="shared" ca="1" si="20"/>
        <v>0</v>
      </c>
      <c r="Q154" s="49">
        <f t="shared" ca="1" si="20"/>
        <v>0</v>
      </c>
      <c r="R154" s="49">
        <f t="shared" ca="1" si="20"/>
        <v>0</v>
      </c>
      <c r="S154" s="49">
        <f t="shared" ca="1" si="20"/>
        <v>0</v>
      </c>
      <c r="T154" s="49">
        <f t="shared" ca="1" si="20"/>
        <v>0</v>
      </c>
      <c r="U154" s="49">
        <f t="shared" ca="1" si="20"/>
        <v>0</v>
      </c>
      <c r="V154" s="49">
        <f t="shared" ca="1" si="20"/>
        <v>0</v>
      </c>
      <c r="W154" s="49">
        <f t="shared" ca="1" si="20"/>
        <v>0</v>
      </c>
      <c r="X154" s="49">
        <f t="shared" ca="1" si="20"/>
        <v>0</v>
      </c>
      <c r="Y154" s="49">
        <f t="shared" ca="1" si="20"/>
        <v>0</v>
      </c>
      <c r="Z154" s="49">
        <f t="shared" ca="1" si="20"/>
        <v>0</v>
      </c>
      <c r="AA154" s="49">
        <f t="shared" ca="1" si="20"/>
        <v>0</v>
      </c>
      <c r="AB154" s="49">
        <f t="shared" ca="1" si="20"/>
        <v>0</v>
      </c>
      <c r="AC154" s="49">
        <f t="shared" ca="1" si="20"/>
        <v>0</v>
      </c>
      <c r="AD154" s="49">
        <f t="shared" ca="1" si="20"/>
        <v>0</v>
      </c>
      <c r="AE154" s="49">
        <f t="shared" ca="1" si="20"/>
        <v>0</v>
      </c>
      <c r="AF154" s="49">
        <f t="shared" ca="1" si="20"/>
        <v>0</v>
      </c>
      <c r="AG154" s="49">
        <f t="shared" ca="1" si="20"/>
        <v>0</v>
      </c>
      <c r="AH154" s="49">
        <f t="shared" ca="1" si="20"/>
        <v>0</v>
      </c>
      <c r="AI154" s="49">
        <f t="shared" ca="1" si="20"/>
        <v>0</v>
      </c>
      <c r="AJ154" s="49">
        <f t="shared" ca="1" si="20"/>
        <v>0</v>
      </c>
      <c r="AK154" s="49">
        <f t="shared" ca="1" si="20"/>
        <v>0</v>
      </c>
      <c r="AL154" s="49">
        <f t="shared" ca="1" si="20"/>
        <v>0</v>
      </c>
      <c r="AM154" s="49">
        <f t="shared" ca="1" si="20"/>
        <v>0</v>
      </c>
      <c r="AN154" s="49">
        <f t="shared" ca="1" si="20"/>
        <v>0</v>
      </c>
      <c r="AO154" s="49">
        <f t="shared" ca="1" si="20"/>
        <v>0</v>
      </c>
      <c r="AP154" s="49">
        <f t="shared" ca="1" si="20"/>
        <v>0</v>
      </c>
      <c r="AQ154" s="49">
        <f t="shared" ca="1" si="20"/>
        <v>0</v>
      </c>
      <c r="AR154" s="49">
        <f t="shared" ref="AR154:BS154" ca="1" si="21">IF(AR4&gt;=YEAR(effective_date_HM1994),(OFFSET(_xlfn.SINGLE(IA_fixedopex_real),,date_offset_HM1994)*_xlfn.SINGLE(IA_esc_index)),0)</f>
        <v>0</v>
      </c>
      <c r="AS154" s="49">
        <f t="shared" ca="1" si="21"/>
        <v>0</v>
      </c>
      <c r="AT154" s="49">
        <f t="shared" ca="1" si="21"/>
        <v>0</v>
      </c>
      <c r="AU154" s="49">
        <f t="shared" ca="1" si="21"/>
        <v>0</v>
      </c>
      <c r="AV154" s="49">
        <f t="shared" ca="1" si="21"/>
        <v>0</v>
      </c>
      <c r="AW154" s="49">
        <f t="shared" ca="1" si="21"/>
        <v>0</v>
      </c>
      <c r="AX154" s="49">
        <f t="shared" ca="1" si="21"/>
        <v>0</v>
      </c>
      <c r="AY154" s="49">
        <f t="shared" ca="1" si="21"/>
        <v>0</v>
      </c>
      <c r="AZ154" s="49">
        <f t="shared" ca="1" si="21"/>
        <v>0</v>
      </c>
      <c r="BA154" s="49">
        <f t="shared" ca="1" si="21"/>
        <v>0</v>
      </c>
      <c r="BB154" s="49">
        <f t="shared" ca="1" si="21"/>
        <v>0</v>
      </c>
      <c r="BC154" s="49">
        <f t="shared" ca="1" si="21"/>
        <v>0</v>
      </c>
      <c r="BD154" s="49">
        <f t="shared" ca="1" si="21"/>
        <v>0</v>
      </c>
      <c r="BE154" s="49">
        <f t="shared" ca="1" si="21"/>
        <v>0</v>
      </c>
      <c r="BF154" s="49">
        <f t="shared" ca="1" si="21"/>
        <v>0</v>
      </c>
      <c r="BG154" s="49">
        <f t="shared" ca="1" si="21"/>
        <v>0</v>
      </c>
      <c r="BH154" s="49">
        <f t="shared" ca="1" si="21"/>
        <v>0</v>
      </c>
      <c r="BI154" s="49">
        <f t="shared" ca="1" si="21"/>
        <v>0</v>
      </c>
      <c r="BJ154" s="49">
        <f t="shared" ca="1" si="21"/>
        <v>0</v>
      </c>
      <c r="BK154" s="49">
        <f t="shared" ca="1" si="21"/>
        <v>0</v>
      </c>
      <c r="BL154" s="49">
        <f t="shared" ca="1" si="21"/>
        <v>0</v>
      </c>
      <c r="BM154" s="49">
        <f t="shared" ca="1" si="21"/>
        <v>0</v>
      </c>
      <c r="BN154" s="49">
        <f t="shared" ca="1" si="21"/>
        <v>0</v>
      </c>
      <c r="BO154" s="49">
        <f t="shared" ca="1" si="21"/>
        <v>0</v>
      </c>
      <c r="BP154" s="49">
        <f t="shared" ca="1" si="21"/>
        <v>0</v>
      </c>
      <c r="BQ154" s="49">
        <f t="shared" ca="1" si="21"/>
        <v>0</v>
      </c>
      <c r="BR154" s="49">
        <f t="shared" ca="1" si="21"/>
        <v>0</v>
      </c>
      <c r="BS154" s="49">
        <f t="shared" ca="1" si="21"/>
        <v>0</v>
      </c>
    </row>
    <row r="155" spans="1:71" outlineLevel="1" x14ac:dyDescent="0.2">
      <c r="J155" s="26"/>
      <c r="L155" s="55"/>
      <c r="M155" s="55"/>
      <c r="N155" s="55"/>
      <c r="O155" s="55"/>
      <c r="P155" s="55"/>
      <c r="Q155" s="55"/>
      <c r="R155" s="55"/>
      <c r="S155" s="55"/>
      <c r="T155" s="55"/>
      <c r="U155" s="55"/>
      <c r="V155" s="55"/>
      <c r="W155" s="55"/>
      <c r="X155" s="55"/>
      <c r="Y155" s="55"/>
      <c r="Z155" s="55"/>
      <c r="AA155" s="55"/>
      <c r="AB155" s="55"/>
      <c r="AC155" s="55"/>
      <c r="AD155" s="55"/>
      <c r="AE155" s="55"/>
      <c r="AF155" s="55"/>
      <c r="AG155" s="55"/>
      <c r="AH155" s="55"/>
      <c r="AI155" s="55"/>
      <c r="AJ155" s="55"/>
      <c r="AK155" s="55"/>
      <c r="AL155" s="55"/>
      <c r="AM155" s="55"/>
      <c r="AN155" s="55"/>
      <c r="AO155" s="55"/>
      <c r="AP155" s="55"/>
      <c r="AQ155" s="55"/>
      <c r="AR155" s="55"/>
      <c r="AS155" s="55"/>
      <c r="AT155" s="55"/>
      <c r="AU155" s="55"/>
      <c r="AV155" s="55"/>
      <c r="AW155" s="55"/>
      <c r="AX155" s="55"/>
      <c r="AY155" s="55"/>
      <c r="AZ155" s="55"/>
      <c r="BA155" s="55"/>
      <c r="BB155" s="55"/>
      <c r="BC155" s="55"/>
      <c r="BD155" s="55"/>
      <c r="BE155" s="55"/>
      <c r="BF155" s="55"/>
      <c r="BG155" s="55"/>
      <c r="BH155" s="55"/>
      <c r="BI155" s="55"/>
      <c r="BJ155" s="55"/>
      <c r="BK155" s="55"/>
      <c r="BL155" s="55"/>
      <c r="BM155" s="55"/>
      <c r="BN155" s="55"/>
      <c r="BO155" s="55"/>
      <c r="BP155" s="55"/>
      <c r="BQ155" s="55"/>
      <c r="BR155" s="55"/>
      <c r="BS155" s="55"/>
    </row>
    <row r="156" spans="1:71" outlineLevel="1" x14ac:dyDescent="0.2">
      <c r="J156" s="26"/>
      <c r="L156" s="55"/>
      <c r="M156" s="55"/>
      <c r="N156" s="55"/>
      <c r="O156" s="55"/>
      <c r="P156" s="55"/>
      <c r="Q156" s="55"/>
      <c r="R156" s="55"/>
      <c r="S156" s="55"/>
      <c r="T156" s="55"/>
      <c r="U156" s="55"/>
      <c r="V156" s="55"/>
      <c r="W156" s="55"/>
      <c r="X156" s="55"/>
      <c r="Y156" s="55"/>
      <c r="Z156" s="55"/>
      <c r="AA156" s="55"/>
      <c r="AB156" s="55"/>
      <c r="AC156" s="55"/>
      <c r="AD156" s="55"/>
      <c r="AE156" s="55"/>
      <c r="AF156" s="55"/>
      <c r="AG156" s="55"/>
      <c r="AH156" s="55"/>
      <c r="AI156" s="55"/>
      <c r="AJ156" s="55"/>
      <c r="AK156" s="55"/>
      <c r="AL156" s="55"/>
      <c r="AM156" s="55"/>
      <c r="AN156" s="55"/>
      <c r="AO156" s="55"/>
      <c r="AP156" s="55"/>
      <c r="AQ156" s="55"/>
      <c r="AR156" s="55"/>
      <c r="AS156" s="55"/>
      <c r="AT156" s="55"/>
      <c r="AU156" s="55"/>
      <c r="AV156" s="55"/>
      <c r="AW156" s="55"/>
      <c r="AX156" s="55"/>
      <c r="AY156" s="55"/>
      <c r="AZ156" s="55"/>
      <c r="BA156" s="55"/>
      <c r="BB156" s="55"/>
      <c r="BC156" s="55"/>
      <c r="BD156" s="55"/>
      <c r="BE156" s="55"/>
      <c r="BF156" s="55"/>
      <c r="BG156" s="55"/>
      <c r="BH156" s="55"/>
      <c r="BI156" s="55"/>
      <c r="BJ156" s="55"/>
      <c r="BK156" s="55"/>
      <c r="BL156" s="55"/>
      <c r="BM156" s="55"/>
      <c r="BN156" s="55"/>
      <c r="BO156" s="55"/>
      <c r="BP156" s="55"/>
      <c r="BQ156" s="55"/>
      <c r="BR156" s="55"/>
      <c r="BS156" s="55"/>
    </row>
    <row r="157" spans="1:71" outlineLevel="1" x14ac:dyDescent="0.2">
      <c r="D157" s="11" t="s">
        <v>165</v>
      </c>
      <c r="I157" s="30">
        <f ca="1">SUM($L157:$BS157)</f>
        <v>3502.3183539519996</v>
      </c>
      <c r="J157" s="26" t="s">
        <v>148</v>
      </c>
      <c r="K157" s="7" t="s">
        <v>166</v>
      </c>
      <c r="L157" s="49">
        <f ca="1">SUM(L154,L151)</f>
        <v>148.06899999999999</v>
      </c>
      <c r="M157" s="49">
        <f t="shared" ref="M157:BS157" ca="1" si="22">SUM(M154,M151)</f>
        <v>183.88499999999999</v>
      </c>
      <c r="N157" s="49">
        <f t="shared" ca="1" si="22"/>
        <v>135.70400000000001</v>
      </c>
      <c r="O157" s="49">
        <f t="shared" ca="1" si="22"/>
        <v>240.88499999999999</v>
      </c>
      <c r="P157" s="49">
        <f t="shared" ca="1" si="22"/>
        <v>536.79</v>
      </c>
      <c r="Q157" s="49">
        <f t="shared" ca="1" si="22"/>
        <v>243.78</v>
      </c>
      <c r="R157" s="49">
        <f t="shared" ca="1" si="22"/>
        <v>281.8</v>
      </c>
      <c r="S157" s="49">
        <f t="shared" ca="1" si="22"/>
        <v>286.3</v>
      </c>
      <c r="T157" s="49">
        <f t="shared" ca="1" si="22"/>
        <v>283.39999999999998</v>
      </c>
      <c r="U157" s="49">
        <f t="shared" ca="1" si="22"/>
        <v>286.21200000000005</v>
      </c>
      <c r="V157" s="49">
        <f t="shared" ca="1" si="22"/>
        <v>289.02312000000001</v>
      </c>
      <c r="W157" s="49">
        <f t="shared" ca="1" si="22"/>
        <v>291.8322</v>
      </c>
      <c r="X157" s="49">
        <f t="shared" ca="1" si="22"/>
        <v>294.638033952</v>
      </c>
      <c r="Y157" s="49">
        <f t="shared" ca="1" si="22"/>
        <v>0</v>
      </c>
      <c r="Z157" s="49">
        <f t="shared" ca="1" si="22"/>
        <v>0</v>
      </c>
      <c r="AA157" s="49">
        <f t="shared" ca="1" si="22"/>
        <v>0</v>
      </c>
      <c r="AB157" s="49">
        <f t="shared" ca="1" si="22"/>
        <v>0</v>
      </c>
      <c r="AC157" s="49">
        <f t="shared" ca="1" si="22"/>
        <v>0</v>
      </c>
      <c r="AD157" s="49">
        <f t="shared" ca="1" si="22"/>
        <v>0</v>
      </c>
      <c r="AE157" s="49">
        <f t="shared" ca="1" si="22"/>
        <v>0</v>
      </c>
      <c r="AF157" s="49">
        <f t="shared" ca="1" si="22"/>
        <v>0</v>
      </c>
      <c r="AG157" s="49">
        <f t="shared" ca="1" si="22"/>
        <v>0</v>
      </c>
      <c r="AH157" s="49">
        <f t="shared" ca="1" si="22"/>
        <v>0</v>
      </c>
      <c r="AI157" s="49">
        <f t="shared" ca="1" si="22"/>
        <v>0</v>
      </c>
      <c r="AJ157" s="49">
        <f t="shared" ca="1" si="22"/>
        <v>0</v>
      </c>
      <c r="AK157" s="49">
        <f t="shared" ca="1" si="22"/>
        <v>0</v>
      </c>
      <c r="AL157" s="49">
        <f t="shared" ca="1" si="22"/>
        <v>0</v>
      </c>
      <c r="AM157" s="49">
        <f t="shared" ca="1" si="22"/>
        <v>0</v>
      </c>
      <c r="AN157" s="49">
        <f t="shared" ca="1" si="22"/>
        <v>0</v>
      </c>
      <c r="AO157" s="49">
        <f t="shared" ca="1" si="22"/>
        <v>0</v>
      </c>
      <c r="AP157" s="49">
        <f t="shared" ca="1" si="22"/>
        <v>0</v>
      </c>
      <c r="AQ157" s="49">
        <f t="shared" ca="1" si="22"/>
        <v>0</v>
      </c>
      <c r="AR157" s="49">
        <f t="shared" ca="1" si="22"/>
        <v>0</v>
      </c>
      <c r="AS157" s="49">
        <f t="shared" ca="1" si="22"/>
        <v>0</v>
      </c>
      <c r="AT157" s="49">
        <f t="shared" ca="1" si="22"/>
        <v>0</v>
      </c>
      <c r="AU157" s="49">
        <f t="shared" ca="1" si="22"/>
        <v>0</v>
      </c>
      <c r="AV157" s="49">
        <f t="shared" ca="1" si="22"/>
        <v>0</v>
      </c>
      <c r="AW157" s="49">
        <f t="shared" ca="1" si="22"/>
        <v>0</v>
      </c>
      <c r="AX157" s="49">
        <f t="shared" ca="1" si="22"/>
        <v>0</v>
      </c>
      <c r="AY157" s="49">
        <f t="shared" ca="1" si="22"/>
        <v>0</v>
      </c>
      <c r="AZ157" s="49">
        <f t="shared" ca="1" si="22"/>
        <v>0</v>
      </c>
      <c r="BA157" s="49">
        <f t="shared" ca="1" si="22"/>
        <v>0</v>
      </c>
      <c r="BB157" s="49">
        <f t="shared" ca="1" si="22"/>
        <v>0</v>
      </c>
      <c r="BC157" s="49">
        <f t="shared" ca="1" si="22"/>
        <v>0</v>
      </c>
      <c r="BD157" s="49">
        <f t="shared" ca="1" si="22"/>
        <v>0</v>
      </c>
      <c r="BE157" s="49">
        <f t="shared" ca="1" si="22"/>
        <v>0</v>
      </c>
      <c r="BF157" s="49">
        <f t="shared" ca="1" si="22"/>
        <v>0</v>
      </c>
      <c r="BG157" s="49">
        <f t="shared" ca="1" si="22"/>
        <v>0</v>
      </c>
      <c r="BH157" s="49">
        <f t="shared" ca="1" si="22"/>
        <v>0</v>
      </c>
      <c r="BI157" s="49">
        <f t="shared" ca="1" si="22"/>
        <v>0</v>
      </c>
      <c r="BJ157" s="49">
        <f t="shared" ca="1" si="22"/>
        <v>0</v>
      </c>
      <c r="BK157" s="49">
        <f t="shared" ca="1" si="22"/>
        <v>0</v>
      </c>
      <c r="BL157" s="49">
        <f t="shared" ca="1" si="22"/>
        <v>0</v>
      </c>
      <c r="BM157" s="49">
        <f t="shared" ca="1" si="22"/>
        <v>0</v>
      </c>
      <c r="BN157" s="49">
        <f t="shared" ca="1" si="22"/>
        <v>0</v>
      </c>
      <c r="BO157" s="49">
        <f t="shared" ca="1" si="22"/>
        <v>0</v>
      </c>
      <c r="BP157" s="49">
        <f t="shared" ca="1" si="22"/>
        <v>0</v>
      </c>
      <c r="BQ157" s="49">
        <f t="shared" ca="1" si="22"/>
        <v>0</v>
      </c>
      <c r="BR157" s="49">
        <f t="shared" ca="1" si="22"/>
        <v>0</v>
      </c>
      <c r="BS157" s="49">
        <f t="shared" ca="1" si="22"/>
        <v>0</v>
      </c>
    </row>
    <row r="158" spans="1:71" outlineLevel="1" x14ac:dyDescent="0.2">
      <c r="J158" s="26"/>
      <c r="L158" s="55"/>
      <c r="M158" s="55"/>
      <c r="N158" s="55"/>
      <c r="O158" s="55"/>
      <c r="P158" s="55"/>
      <c r="Q158" s="55"/>
      <c r="R158" s="55"/>
      <c r="S158" s="55"/>
      <c r="T158" s="55"/>
      <c r="U158" s="55"/>
      <c r="V158" s="55"/>
      <c r="W158" s="55"/>
      <c r="X158" s="55"/>
      <c r="Y158" s="55"/>
      <c r="Z158" s="55"/>
      <c r="AA158" s="55"/>
      <c r="AB158" s="55"/>
      <c r="AC158" s="55"/>
      <c r="AD158" s="55"/>
      <c r="AE158" s="55"/>
      <c r="AF158" s="55"/>
      <c r="AG158" s="55"/>
      <c r="AH158" s="55"/>
      <c r="AI158" s="55"/>
      <c r="AJ158" s="55"/>
      <c r="AK158" s="55"/>
      <c r="AL158" s="55"/>
      <c r="AM158" s="55"/>
      <c r="AN158" s="55"/>
      <c r="AO158" s="55"/>
      <c r="AP158" s="55"/>
      <c r="AQ158" s="55"/>
      <c r="AR158" s="55"/>
      <c r="AS158" s="55"/>
      <c r="AT158" s="55"/>
      <c r="AU158" s="55"/>
      <c r="AV158" s="55"/>
      <c r="AW158" s="55"/>
      <c r="AX158" s="55"/>
      <c r="AY158" s="55"/>
      <c r="AZ158" s="55"/>
      <c r="BA158" s="55"/>
      <c r="BB158" s="55"/>
      <c r="BC158" s="55"/>
      <c r="BD158" s="55"/>
      <c r="BE158" s="55"/>
      <c r="BF158" s="55"/>
      <c r="BG158" s="55"/>
      <c r="BH158" s="55"/>
      <c r="BI158" s="55"/>
      <c r="BJ158" s="55"/>
      <c r="BK158" s="55"/>
      <c r="BL158" s="55"/>
      <c r="BM158" s="55"/>
      <c r="BN158" s="55"/>
      <c r="BO158" s="55"/>
      <c r="BP158" s="55"/>
      <c r="BQ158" s="55"/>
      <c r="BR158" s="55"/>
      <c r="BS158" s="55"/>
    </row>
    <row r="159" spans="1:71" outlineLevel="1" x14ac:dyDescent="0.2">
      <c r="J159" s="26"/>
      <c r="L159" s="55"/>
      <c r="M159" s="55"/>
      <c r="N159" s="55"/>
      <c r="O159" s="55"/>
      <c r="P159" s="55"/>
      <c r="Q159" s="55"/>
      <c r="R159" s="55"/>
      <c r="S159" s="55"/>
      <c r="T159" s="55"/>
      <c r="U159" s="55"/>
      <c r="V159" s="55"/>
      <c r="W159" s="55"/>
      <c r="X159" s="55"/>
      <c r="Y159" s="55"/>
      <c r="Z159" s="55"/>
      <c r="AA159" s="55"/>
      <c r="AB159" s="55"/>
      <c r="AC159" s="55"/>
      <c r="AD159" s="55"/>
      <c r="AE159" s="55"/>
      <c r="AF159" s="55"/>
      <c r="AG159" s="55"/>
      <c r="AH159" s="55"/>
      <c r="AI159" s="55"/>
      <c r="AJ159" s="55"/>
      <c r="AK159" s="55"/>
      <c r="AL159" s="55"/>
      <c r="AM159" s="55"/>
      <c r="AN159" s="55"/>
      <c r="AO159" s="55"/>
      <c r="AP159" s="55"/>
      <c r="AQ159" s="55"/>
      <c r="AR159" s="55"/>
      <c r="AS159" s="55"/>
      <c r="AT159" s="55"/>
      <c r="AU159" s="55"/>
      <c r="AV159" s="55"/>
      <c r="AW159" s="55"/>
      <c r="AX159" s="55"/>
      <c r="AY159" s="55"/>
      <c r="AZ159" s="55"/>
      <c r="BA159" s="55"/>
      <c r="BB159" s="55"/>
      <c r="BC159" s="55"/>
      <c r="BD159" s="55"/>
      <c r="BE159" s="55"/>
      <c r="BF159" s="55"/>
      <c r="BG159" s="55"/>
      <c r="BH159" s="55"/>
      <c r="BI159" s="55"/>
      <c r="BJ159" s="55"/>
      <c r="BK159" s="55"/>
      <c r="BL159" s="55"/>
      <c r="BM159" s="55"/>
      <c r="BN159" s="55"/>
      <c r="BO159" s="55"/>
      <c r="BP159" s="55"/>
      <c r="BQ159" s="55"/>
      <c r="BR159" s="55"/>
      <c r="BS159" s="55"/>
    </row>
    <row r="160" spans="1:71" outlineLevel="1" x14ac:dyDescent="0.2">
      <c r="A160" s="45"/>
      <c r="B160" s="38" t="s">
        <v>57</v>
      </c>
      <c r="C160" s="45"/>
      <c r="D160" s="45"/>
      <c r="E160" s="45"/>
      <c r="J160" s="26"/>
      <c r="L160" s="55"/>
      <c r="M160" s="55"/>
      <c r="N160" s="55"/>
      <c r="O160" s="55"/>
      <c r="P160" s="55"/>
      <c r="Q160" s="55"/>
      <c r="R160" s="55"/>
      <c r="S160" s="55"/>
      <c r="T160" s="55"/>
      <c r="U160" s="55"/>
      <c r="V160" s="55"/>
      <c r="W160" s="55"/>
      <c r="X160" s="55"/>
      <c r="Y160" s="55"/>
      <c r="Z160" s="55"/>
      <c r="AA160" s="55"/>
      <c r="AB160" s="55"/>
      <c r="AC160" s="55"/>
      <c r="AD160" s="55"/>
      <c r="AE160" s="55"/>
      <c r="AF160" s="55"/>
      <c r="AG160" s="55"/>
      <c r="AH160" s="55"/>
      <c r="AI160" s="55"/>
      <c r="AJ160" s="55"/>
      <c r="AK160" s="55"/>
      <c r="AL160" s="55"/>
      <c r="AM160" s="55"/>
      <c r="AN160" s="55"/>
      <c r="AO160" s="55"/>
      <c r="AP160" s="55"/>
      <c r="AQ160" s="55"/>
      <c r="AR160" s="55"/>
      <c r="AS160" s="55"/>
      <c r="AT160" s="55"/>
      <c r="AU160" s="55"/>
      <c r="AV160" s="55"/>
      <c r="AW160" s="55"/>
      <c r="AX160" s="55"/>
      <c r="AY160" s="55"/>
      <c r="AZ160" s="55"/>
      <c r="BA160" s="55"/>
      <c r="BB160" s="55"/>
      <c r="BC160" s="55"/>
      <c r="BD160" s="55"/>
      <c r="BE160" s="55"/>
      <c r="BF160" s="55"/>
      <c r="BG160" s="55"/>
      <c r="BH160" s="55"/>
      <c r="BI160" s="55"/>
      <c r="BJ160" s="55"/>
      <c r="BK160" s="55"/>
      <c r="BL160" s="55"/>
      <c r="BM160" s="55"/>
      <c r="BN160" s="55"/>
      <c r="BO160" s="55"/>
      <c r="BP160" s="55"/>
      <c r="BQ160" s="55"/>
      <c r="BR160" s="55"/>
      <c r="BS160" s="55"/>
    </row>
    <row r="161" spans="1:71" outlineLevel="1" x14ac:dyDescent="0.2">
      <c r="J161" s="26"/>
      <c r="L161" s="55"/>
      <c r="M161" s="55"/>
      <c r="N161" s="55"/>
      <c r="O161" s="55"/>
      <c r="P161" s="55"/>
      <c r="Q161" s="55"/>
      <c r="R161" s="55"/>
      <c r="S161" s="55"/>
      <c r="T161" s="55"/>
      <c r="U161" s="55"/>
      <c r="V161" s="55"/>
      <c r="W161" s="55"/>
      <c r="X161" s="55"/>
      <c r="Y161" s="55"/>
      <c r="Z161" s="55"/>
      <c r="AA161" s="55"/>
      <c r="AB161" s="55"/>
      <c r="AC161" s="55"/>
      <c r="AD161" s="55"/>
      <c r="AE161" s="55"/>
      <c r="AF161" s="55"/>
      <c r="AG161" s="55"/>
      <c r="AH161" s="55"/>
      <c r="AI161" s="55"/>
      <c r="AJ161" s="55"/>
      <c r="AK161" s="55"/>
      <c r="AL161" s="55"/>
      <c r="AM161" s="55"/>
      <c r="AN161" s="55"/>
      <c r="AO161" s="55"/>
      <c r="AP161" s="55"/>
      <c r="AQ161" s="55"/>
      <c r="AR161" s="55"/>
      <c r="AS161" s="55"/>
      <c r="AT161" s="55"/>
      <c r="AU161" s="55"/>
      <c r="AV161" s="55"/>
      <c r="AW161" s="55"/>
      <c r="AX161" s="55"/>
      <c r="AY161" s="55"/>
      <c r="AZ161" s="55"/>
      <c r="BA161" s="55"/>
      <c r="BB161" s="55"/>
      <c r="BC161" s="55"/>
      <c r="BD161" s="55"/>
      <c r="BE161" s="55"/>
      <c r="BF161" s="55"/>
      <c r="BG161" s="55"/>
      <c r="BH161" s="55"/>
      <c r="BI161" s="55"/>
      <c r="BJ161" s="55"/>
      <c r="BK161" s="55"/>
      <c r="BL161" s="55"/>
      <c r="BM161" s="55"/>
      <c r="BN161" s="55"/>
      <c r="BO161" s="55"/>
      <c r="BP161" s="55"/>
      <c r="BQ161" s="55"/>
      <c r="BR161" s="55"/>
      <c r="BS161" s="55"/>
    </row>
    <row r="162" spans="1:71" outlineLevel="1" x14ac:dyDescent="0.2">
      <c r="C162" s="11" t="s">
        <v>167</v>
      </c>
      <c r="J162" s="26"/>
      <c r="L162" s="55"/>
      <c r="M162" s="55"/>
      <c r="N162" s="55"/>
      <c r="O162" s="55"/>
      <c r="P162" s="55"/>
      <c r="Q162" s="55"/>
      <c r="R162" s="55"/>
      <c r="S162" s="55"/>
      <c r="T162" s="55"/>
      <c r="U162" s="55"/>
      <c r="V162" s="55"/>
      <c r="W162" s="55"/>
      <c r="X162" s="55"/>
      <c r="Y162" s="55"/>
      <c r="Z162" s="55"/>
      <c r="AA162" s="55"/>
      <c r="AB162" s="55"/>
      <c r="AC162" s="55"/>
      <c r="AD162" s="55"/>
      <c r="AE162" s="55"/>
      <c r="AF162" s="55"/>
      <c r="AG162" s="55"/>
      <c r="AH162" s="55"/>
      <c r="AI162" s="55"/>
      <c r="AJ162" s="55"/>
      <c r="AK162" s="55"/>
      <c r="AL162" s="55"/>
      <c r="AM162" s="55"/>
      <c r="AN162" s="55"/>
      <c r="AO162" s="55"/>
      <c r="AP162" s="55"/>
      <c r="AQ162" s="55"/>
      <c r="AR162" s="55"/>
      <c r="AS162" s="55"/>
      <c r="AT162" s="55"/>
      <c r="AU162" s="55"/>
      <c r="AV162" s="55"/>
      <c r="AW162" s="55"/>
      <c r="AX162" s="55"/>
      <c r="AY162" s="55"/>
      <c r="AZ162" s="55"/>
      <c r="BA162" s="55"/>
      <c r="BB162" s="55"/>
      <c r="BC162" s="55"/>
      <c r="BD162" s="55"/>
      <c r="BE162" s="55"/>
      <c r="BF162" s="55"/>
      <c r="BG162" s="55"/>
      <c r="BH162" s="55"/>
      <c r="BI162" s="55"/>
      <c r="BJ162" s="55"/>
      <c r="BK162" s="55"/>
      <c r="BL162" s="55"/>
      <c r="BM162" s="55"/>
      <c r="BN162" s="55"/>
      <c r="BO162" s="55"/>
      <c r="BP162" s="55"/>
      <c r="BQ162" s="55"/>
      <c r="BR162" s="55"/>
      <c r="BS162" s="55"/>
    </row>
    <row r="163" spans="1:71" outlineLevel="1" x14ac:dyDescent="0.2">
      <c r="D163" t="s">
        <v>168</v>
      </c>
      <c r="I163" s="30">
        <f ca="1">SUM($L163:$BS163)</f>
        <v>0</v>
      </c>
      <c r="J163" s="26" t="s">
        <v>148</v>
      </c>
      <c r="K163" s="7" t="s">
        <v>171</v>
      </c>
      <c r="L163" s="49">
        <f t="shared" ref="L163:AQ163" ca="1" si="23">IF(L4&gt;=YEAR(effective_date_HM1994),(OFFSET(_xlfn.SINGLE(IA_EandA_real),,date_offset_HM1994)*_xlfn.SINGLE(IA_esc_index)),0)</f>
        <v>0</v>
      </c>
      <c r="M163" s="49">
        <f t="shared" ca="1" si="23"/>
        <v>0</v>
      </c>
      <c r="N163" s="49">
        <f t="shared" ca="1" si="23"/>
        <v>0</v>
      </c>
      <c r="O163" s="49">
        <f t="shared" ca="1" si="23"/>
        <v>0</v>
      </c>
      <c r="P163" s="49">
        <f t="shared" ca="1" si="23"/>
        <v>0</v>
      </c>
      <c r="Q163" s="49">
        <f t="shared" ca="1" si="23"/>
        <v>0</v>
      </c>
      <c r="R163" s="49">
        <f t="shared" ca="1" si="23"/>
        <v>0</v>
      </c>
      <c r="S163" s="49">
        <f t="shared" ca="1" si="23"/>
        <v>0</v>
      </c>
      <c r="T163" s="49">
        <f t="shared" ca="1" si="23"/>
        <v>0</v>
      </c>
      <c r="U163" s="49">
        <f t="shared" ca="1" si="23"/>
        <v>0</v>
      </c>
      <c r="V163" s="49">
        <f t="shared" ca="1" si="23"/>
        <v>0</v>
      </c>
      <c r="W163" s="49">
        <f t="shared" ca="1" si="23"/>
        <v>0</v>
      </c>
      <c r="X163" s="49">
        <f t="shared" ca="1" si="23"/>
        <v>0</v>
      </c>
      <c r="Y163" s="49">
        <f t="shared" ca="1" si="23"/>
        <v>0</v>
      </c>
      <c r="Z163" s="49">
        <f t="shared" ca="1" si="23"/>
        <v>0</v>
      </c>
      <c r="AA163" s="49">
        <f t="shared" ca="1" si="23"/>
        <v>0</v>
      </c>
      <c r="AB163" s="49">
        <f t="shared" ca="1" si="23"/>
        <v>0</v>
      </c>
      <c r="AC163" s="49">
        <f t="shared" ca="1" si="23"/>
        <v>0</v>
      </c>
      <c r="AD163" s="49">
        <f t="shared" ca="1" si="23"/>
        <v>0</v>
      </c>
      <c r="AE163" s="49">
        <f t="shared" ca="1" si="23"/>
        <v>0</v>
      </c>
      <c r="AF163" s="49">
        <f t="shared" ca="1" si="23"/>
        <v>0</v>
      </c>
      <c r="AG163" s="49">
        <f t="shared" ca="1" si="23"/>
        <v>0</v>
      </c>
      <c r="AH163" s="49">
        <f t="shared" ca="1" si="23"/>
        <v>0</v>
      </c>
      <c r="AI163" s="49">
        <f t="shared" ca="1" si="23"/>
        <v>0</v>
      </c>
      <c r="AJ163" s="49">
        <f t="shared" ca="1" si="23"/>
        <v>0</v>
      </c>
      <c r="AK163" s="49">
        <f t="shared" ca="1" si="23"/>
        <v>0</v>
      </c>
      <c r="AL163" s="49">
        <f t="shared" ca="1" si="23"/>
        <v>0</v>
      </c>
      <c r="AM163" s="49">
        <f t="shared" ca="1" si="23"/>
        <v>0</v>
      </c>
      <c r="AN163" s="49">
        <f t="shared" ca="1" si="23"/>
        <v>0</v>
      </c>
      <c r="AO163" s="49">
        <f t="shared" ca="1" si="23"/>
        <v>0</v>
      </c>
      <c r="AP163" s="49">
        <f t="shared" ca="1" si="23"/>
        <v>0</v>
      </c>
      <c r="AQ163" s="49">
        <f t="shared" ca="1" si="23"/>
        <v>0</v>
      </c>
      <c r="AR163" s="49">
        <f t="shared" ref="AR163:BS163" ca="1" si="24">IF(AR4&gt;=YEAR(effective_date_HM1994),(OFFSET(_xlfn.SINGLE(IA_EandA_real),,date_offset_HM1994)*_xlfn.SINGLE(IA_esc_index)),0)</f>
        <v>0</v>
      </c>
      <c r="AS163" s="49">
        <f t="shared" ca="1" si="24"/>
        <v>0</v>
      </c>
      <c r="AT163" s="49">
        <f t="shared" ca="1" si="24"/>
        <v>0</v>
      </c>
      <c r="AU163" s="49">
        <f t="shared" ca="1" si="24"/>
        <v>0</v>
      </c>
      <c r="AV163" s="49">
        <f t="shared" ca="1" si="24"/>
        <v>0</v>
      </c>
      <c r="AW163" s="49">
        <f t="shared" ca="1" si="24"/>
        <v>0</v>
      </c>
      <c r="AX163" s="49">
        <f t="shared" ca="1" si="24"/>
        <v>0</v>
      </c>
      <c r="AY163" s="49">
        <f t="shared" ca="1" si="24"/>
        <v>0</v>
      </c>
      <c r="AZ163" s="49">
        <f t="shared" ca="1" si="24"/>
        <v>0</v>
      </c>
      <c r="BA163" s="49">
        <f t="shared" ca="1" si="24"/>
        <v>0</v>
      </c>
      <c r="BB163" s="49">
        <f t="shared" ca="1" si="24"/>
        <v>0</v>
      </c>
      <c r="BC163" s="49">
        <f t="shared" ca="1" si="24"/>
        <v>0</v>
      </c>
      <c r="BD163" s="49">
        <f t="shared" ca="1" si="24"/>
        <v>0</v>
      </c>
      <c r="BE163" s="49">
        <f t="shared" ca="1" si="24"/>
        <v>0</v>
      </c>
      <c r="BF163" s="49">
        <f t="shared" ca="1" si="24"/>
        <v>0</v>
      </c>
      <c r="BG163" s="49">
        <f t="shared" ca="1" si="24"/>
        <v>0</v>
      </c>
      <c r="BH163" s="49">
        <f t="shared" ca="1" si="24"/>
        <v>0</v>
      </c>
      <c r="BI163" s="49">
        <f t="shared" ca="1" si="24"/>
        <v>0</v>
      </c>
      <c r="BJ163" s="49">
        <f t="shared" ca="1" si="24"/>
        <v>0</v>
      </c>
      <c r="BK163" s="49">
        <f t="shared" ca="1" si="24"/>
        <v>0</v>
      </c>
      <c r="BL163" s="49">
        <f t="shared" ca="1" si="24"/>
        <v>0</v>
      </c>
      <c r="BM163" s="49">
        <f t="shared" ca="1" si="24"/>
        <v>0</v>
      </c>
      <c r="BN163" s="49">
        <f t="shared" ca="1" si="24"/>
        <v>0</v>
      </c>
      <c r="BO163" s="49">
        <f t="shared" ca="1" si="24"/>
        <v>0</v>
      </c>
      <c r="BP163" s="49">
        <f t="shared" ca="1" si="24"/>
        <v>0</v>
      </c>
      <c r="BQ163" s="49">
        <f t="shared" ca="1" si="24"/>
        <v>0</v>
      </c>
      <c r="BR163" s="49">
        <f t="shared" ca="1" si="24"/>
        <v>0</v>
      </c>
      <c r="BS163" s="49">
        <f t="shared" ca="1" si="24"/>
        <v>0</v>
      </c>
    </row>
    <row r="164" spans="1:71" outlineLevel="1" x14ac:dyDescent="0.2">
      <c r="J164" s="26"/>
      <c r="L164" s="55"/>
      <c r="M164" s="55"/>
      <c r="N164" s="55"/>
      <c r="O164" s="55"/>
      <c r="P164" s="55"/>
      <c r="Q164" s="55"/>
      <c r="R164" s="55"/>
      <c r="S164" s="55"/>
      <c r="T164" s="55"/>
      <c r="U164" s="55"/>
      <c r="V164" s="55"/>
      <c r="W164" s="55"/>
      <c r="X164" s="55"/>
      <c r="Y164" s="55"/>
      <c r="Z164" s="55"/>
      <c r="AA164" s="55"/>
      <c r="AB164" s="55"/>
      <c r="AC164" s="55"/>
      <c r="AD164" s="55"/>
      <c r="AE164" s="55"/>
      <c r="AF164" s="55"/>
      <c r="AG164" s="55"/>
      <c r="AH164" s="55"/>
      <c r="AI164" s="55"/>
      <c r="AJ164" s="55"/>
      <c r="AK164" s="55"/>
      <c r="AL164" s="55"/>
      <c r="AM164" s="55"/>
      <c r="AN164" s="55"/>
      <c r="AO164" s="55"/>
      <c r="AP164" s="55"/>
      <c r="AQ164" s="55"/>
      <c r="AR164" s="55"/>
      <c r="AS164" s="55"/>
      <c r="AT164" s="55"/>
      <c r="AU164" s="55"/>
      <c r="AV164" s="55"/>
      <c r="AW164" s="55"/>
      <c r="AX164" s="55"/>
      <c r="AY164" s="55"/>
      <c r="AZ164" s="55"/>
      <c r="BA164" s="55"/>
      <c r="BB164" s="55"/>
      <c r="BC164" s="55"/>
      <c r="BD164" s="55"/>
      <c r="BE164" s="55"/>
      <c r="BF164" s="55"/>
      <c r="BG164" s="55"/>
      <c r="BH164" s="55"/>
      <c r="BI164" s="55"/>
      <c r="BJ164" s="55"/>
      <c r="BK164" s="55"/>
      <c r="BL164" s="55"/>
      <c r="BM164" s="55"/>
      <c r="BN164" s="55"/>
      <c r="BO164" s="55"/>
      <c r="BP164" s="55"/>
      <c r="BQ164" s="55"/>
      <c r="BR164" s="55"/>
      <c r="BS164" s="55"/>
    </row>
    <row r="165" spans="1:71" outlineLevel="1" x14ac:dyDescent="0.2">
      <c r="C165" s="11" t="s">
        <v>57</v>
      </c>
      <c r="J165" s="26"/>
      <c r="L165" s="55"/>
      <c r="M165" s="55"/>
      <c r="N165" s="55"/>
      <c r="O165" s="55"/>
      <c r="P165" s="55"/>
      <c r="Q165" s="55"/>
      <c r="R165" s="55"/>
      <c r="S165" s="55"/>
      <c r="T165" s="55"/>
      <c r="U165" s="55"/>
      <c r="V165" s="55"/>
      <c r="W165" s="55"/>
      <c r="X165" s="55"/>
      <c r="Y165" s="55"/>
      <c r="Z165" s="55"/>
      <c r="AA165" s="55"/>
      <c r="AB165" s="55"/>
      <c r="AC165" s="55"/>
      <c r="AD165" s="55"/>
      <c r="AE165" s="55"/>
      <c r="AF165" s="55"/>
      <c r="AG165" s="55"/>
      <c r="AH165" s="55"/>
      <c r="AI165" s="55"/>
      <c r="AJ165" s="55"/>
      <c r="AK165" s="55"/>
      <c r="AL165" s="55"/>
      <c r="AM165" s="55"/>
      <c r="AN165" s="55"/>
      <c r="AO165" s="55"/>
      <c r="AP165" s="55"/>
      <c r="AQ165" s="55"/>
      <c r="AR165" s="55"/>
      <c r="AS165" s="55"/>
      <c r="AT165" s="55"/>
      <c r="AU165" s="55"/>
      <c r="AV165" s="55"/>
      <c r="AW165" s="55"/>
      <c r="AX165" s="55"/>
      <c r="AY165" s="55"/>
      <c r="AZ165" s="55"/>
      <c r="BA165" s="55"/>
      <c r="BB165" s="55"/>
      <c r="BC165" s="55"/>
      <c r="BD165" s="55"/>
      <c r="BE165" s="55"/>
      <c r="BF165" s="55"/>
      <c r="BG165" s="55"/>
      <c r="BH165" s="55"/>
      <c r="BI165" s="55"/>
      <c r="BJ165" s="55"/>
      <c r="BK165" s="55"/>
      <c r="BL165" s="55"/>
      <c r="BM165" s="55"/>
      <c r="BN165" s="55"/>
      <c r="BO165" s="55"/>
      <c r="BP165" s="55"/>
      <c r="BQ165" s="55"/>
      <c r="BR165" s="55"/>
      <c r="BS165" s="55"/>
    </row>
    <row r="166" spans="1:71" outlineLevel="1" x14ac:dyDescent="0.2">
      <c r="D166" t="s">
        <v>169</v>
      </c>
      <c r="I166" s="30">
        <f ca="1">SUM($L166:$BS166)</f>
        <v>10913.591</v>
      </c>
      <c r="J166" s="26" t="s">
        <v>148</v>
      </c>
      <c r="K166" s="7" t="s">
        <v>170</v>
      </c>
      <c r="L166" s="49">
        <f t="shared" ref="L166:AQ166" ca="1" si="25">IF(L4&gt;=YEAR(effective_date_HM1994),(OFFSET(_xlfn.SINGLE(IA_devcapex_real),,date_offset_HM1994)*_xlfn.SINGLE(IA_esc_index)),0)</f>
        <v>1286.7819999999999</v>
      </c>
      <c r="M166" s="49">
        <f t="shared" ca="1" si="25"/>
        <v>2118.212</v>
      </c>
      <c r="N166" s="49">
        <f t="shared" ca="1" si="25"/>
        <v>3130.5740000000001</v>
      </c>
      <c r="O166" s="49">
        <f t="shared" ca="1" si="25"/>
        <v>2571.201</v>
      </c>
      <c r="P166" s="49">
        <f t="shared" ca="1" si="25"/>
        <v>1153.232</v>
      </c>
      <c r="Q166" s="49">
        <f t="shared" ca="1" si="25"/>
        <v>653.59</v>
      </c>
      <c r="R166" s="49">
        <f t="shared" ca="1" si="25"/>
        <v>0</v>
      </c>
      <c r="S166" s="49">
        <f t="shared" ca="1" si="25"/>
        <v>0</v>
      </c>
      <c r="T166" s="49">
        <f t="shared" ca="1" si="25"/>
        <v>0</v>
      </c>
      <c r="U166" s="49">
        <f t="shared" ca="1" si="25"/>
        <v>0</v>
      </c>
      <c r="V166" s="49">
        <f t="shared" ca="1" si="25"/>
        <v>0</v>
      </c>
      <c r="W166" s="49">
        <f t="shared" ca="1" si="25"/>
        <v>0</v>
      </c>
      <c r="X166" s="49">
        <f t="shared" ca="1" si="25"/>
        <v>0</v>
      </c>
      <c r="Y166" s="49">
        <f t="shared" ca="1" si="25"/>
        <v>0</v>
      </c>
      <c r="Z166" s="49">
        <f t="shared" ca="1" si="25"/>
        <v>0</v>
      </c>
      <c r="AA166" s="49">
        <f t="shared" ca="1" si="25"/>
        <v>0</v>
      </c>
      <c r="AB166" s="49">
        <f t="shared" ca="1" si="25"/>
        <v>0</v>
      </c>
      <c r="AC166" s="49">
        <f t="shared" ca="1" si="25"/>
        <v>0</v>
      </c>
      <c r="AD166" s="49">
        <f t="shared" ca="1" si="25"/>
        <v>0</v>
      </c>
      <c r="AE166" s="49">
        <f t="shared" ca="1" si="25"/>
        <v>0</v>
      </c>
      <c r="AF166" s="49">
        <f t="shared" ca="1" si="25"/>
        <v>0</v>
      </c>
      <c r="AG166" s="49">
        <f t="shared" ca="1" si="25"/>
        <v>0</v>
      </c>
      <c r="AH166" s="49">
        <f t="shared" ca="1" si="25"/>
        <v>0</v>
      </c>
      <c r="AI166" s="49">
        <f t="shared" ca="1" si="25"/>
        <v>0</v>
      </c>
      <c r="AJ166" s="49">
        <f t="shared" ca="1" si="25"/>
        <v>0</v>
      </c>
      <c r="AK166" s="49">
        <f t="shared" ca="1" si="25"/>
        <v>0</v>
      </c>
      <c r="AL166" s="49">
        <f t="shared" ca="1" si="25"/>
        <v>0</v>
      </c>
      <c r="AM166" s="49">
        <f t="shared" ca="1" si="25"/>
        <v>0</v>
      </c>
      <c r="AN166" s="49">
        <f t="shared" ca="1" si="25"/>
        <v>0</v>
      </c>
      <c r="AO166" s="49">
        <f t="shared" ca="1" si="25"/>
        <v>0</v>
      </c>
      <c r="AP166" s="49">
        <f t="shared" ca="1" si="25"/>
        <v>0</v>
      </c>
      <c r="AQ166" s="49">
        <f t="shared" ca="1" si="25"/>
        <v>0</v>
      </c>
      <c r="AR166" s="49">
        <f t="shared" ref="AR166:BS166" ca="1" si="26">IF(AR4&gt;=YEAR(effective_date_HM1994),(OFFSET(_xlfn.SINGLE(IA_devcapex_real),,date_offset_HM1994)*_xlfn.SINGLE(IA_esc_index)),0)</f>
        <v>0</v>
      </c>
      <c r="AS166" s="49">
        <f t="shared" ca="1" si="26"/>
        <v>0</v>
      </c>
      <c r="AT166" s="49">
        <f t="shared" ca="1" si="26"/>
        <v>0</v>
      </c>
      <c r="AU166" s="49">
        <f t="shared" ca="1" si="26"/>
        <v>0</v>
      </c>
      <c r="AV166" s="49">
        <f t="shared" ca="1" si="26"/>
        <v>0</v>
      </c>
      <c r="AW166" s="49">
        <f t="shared" ca="1" si="26"/>
        <v>0</v>
      </c>
      <c r="AX166" s="49">
        <f t="shared" ca="1" si="26"/>
        <v>0</v>
      </c>
      <c r="AY166" s="49">
        <f t="shared" ca="1" si="26"/>
        <v>0</v>
      </c>
      <c r="AZ166" s="49">
        <f t="shared" ca="1" si="26"/>
        <v>0</v>
      </c>
      <c r="BA166" s="49">
        <f t="shared" ca="1" si="26"/>
        <v>0</v>
      </c>
      <c r="BB166" s="49">
        <f t="shared" ca="1" si="26"/>
        <v>0</v>
      </c>
      <c r="BC166" s="49">
        <f t="shared" ca="1" si="26"/>
        <v>0</v>
      </c>
      <c r="BD166" s="49">
        <f t="shared" ca="1" si="26"/>
        <v>0</v>
      </c>
      <c r="BE166" s="49">
        <f t="shared" ca="1" si="26"/>
        <v>0</v>
      </c>
      <c r="BF166" s="49">
        <f t="shared" ca="1" si="26"/>
        <v>0</v>
      </c>
      <c r="BG166" s="49">
        <f t="shared" ca="1" si="26"/>
        <v>0</v>
      </c>
      <c r="BH166" s="49">
        <f t="shared" ca="1" si="26"/>
        <v>0</v>
      </c>
      <c r="BI166" s="49">
        <f t="shared" ca="1" si="26"/>
        <v>0</v>
      </c>
      <c r="BJ166" s="49">
        <f t="shared" ca="1" si="26"/>
        <v>0</v>
      </c>
      <c r="BK166" s="49">
        <f t="shared" ca="1" si="26"/>
        <v>0</v>
      </c>
      <c r="BL166" s="49">
        <f t="shared" ca="1" si="26"/>
        <v>0</v>
      </c>
      <c r="BM166" s="49">
        <f t="shared" ca="1" si="26"/>
        <v>0</v>
      </c>
      <c r="BN166" s="49">
        <f t="shared" ca="1" si="26"/>
        <v>0</v>
      </c>
      <c r="BO166" s="49">
        <f t="shared" ca="1" si="26"/>
        <v>0</v>
      </c>
      <c r="BP166" s="49">
        <f t="shared" ca="1" si="26"/>
        <v>0</v>
      </c>
      <c r="BQ166" s="49">
        <f t="shared" ca="1" si="26"/>
        <v>0</v>
      </c>
      <c r="BR166" s="49">
        <f t="shared" ca="1" si="26"/>
        <v>0</v>
      </c>
      <c r="BS166" s="49">
        <f t="shared" ca="1" si="26"/>
        <v>0</v>
      </c>
    </row>
    <row r="167" spans="1:71" outlineLevel="1" x14ac:dyDescent="0.2">
      <c r="J167" s="26"/>
      <c r="L167" s="55"/>
      <c r="M167" s="55"/>
      <c r="N167" s="55"/>
      <c r="O167" s="55"/>
      <c r="P167" s="55"/>
      <c r="Q167" s="55"/>
      <c r="R167" s="55"/>
      <c r="S167" s="55"/>
      <c r="T167" s="55"/>
      <c r="U167" s="55"/>
      <c r="V167" s="55"/>
      <c r="W167" s="55"/>
      <c r="X167" s="55"/>
      <c r="Y167" s="55"/>
      <c r="Z167" s="55"/>
      <c r="AA167" s="55"/>
      <c r="AB167" s="55"/>
      <c r="AC167" s="55"/>
      <c r="AD167" s="55"/>
      <c r="AE167" s="55"/>
      <c r="AF167" s="55"/>
      <c r="AG167" s="55"/>
      <c r="AH167" s="55"/>
      <c r="AI167" s="55"/>
      <c r="AJ167" s="55"/>
      <c r="AK167" s="55"/>
      <c r="AL167" s="55"/>
      <c r="AM167" s="55"/>
      <c r="AN167" s="55"/>
      <c r="AO167" s="55"/>
      <c r="AP167" s="55"/>
      <c r="AQ167" s="55"/>
      <c r="AR167" s="55"/>
      <c r="AS167" s="55"/>
      <c r="AT167" s="55"/>
      <c r="AU167" s="55"/>
      <c r="AV167" s="55"/>
      <c r="AW167" s="55"/>
      <c r="AX167" s="55"/>
      <c r="AY167" s="55"/>
      <c r="AZ167" s="55"/>
      <c r="BA167" s="55"/>
      <c r="BB167" s="55"/>
      <c r="BC167" s="55"/>
      <c r="BD167" s="55"/>
      <c r="BE167" s="55"/>
      <c r="BF167" s="55"/>
      <c r="BG167" s="55"/>
      <c r="BH167" s="55"/>
      <c r="BI167" s="55"/>
      <c r="BJ167" s="55"/>
      <c r="BK167" s="55"/>
      <c r="BL167" s="55"/>
      <c r="BM167" s="55"/>
      <c r="BN167" s="55"/>
      <c r="BO167" s="55"/>
      <c r="BP167" s="55"/>
      <c r="BQ167" s="55"/>
      <c r="BR167" s="55"/>
      <c r="BS167" s="55"/>
    </row>
    <row r="168" spans="1:71" outlineLevel="1" x14ac:dyDescent="0.2">
      <c r="C168" s="11" t="s">
        <v>63</v>
      </c>
      <c r="J168" s="26"/>
      <c r="L168" s="55"/>
      <c r="M168" s="55"/>
      <c r="N168" s="55"/>
      <c r="O168" s="55"/>
      <c r="P168" s="55"/>
      <c r="Q168" s="55"/>
      <c r="R168" s="55"/>
      <c r="S168" s="55"/>
      <c r="T168" s="55"/>
      <c r="U168" s="55"/>
      <c r="V168" s="55"/>
      <c r="W168" s="55"/>
      <c r="X168" s="55"/>
      <c r="Y168" s="55"/>
      <c r="Z168" s="55"/>
      <c r="AA168" s="55"/>
      <c r="AB168" s="55"/>
      <c r="AC168" s="55"/>
      <c r="AD168" s="55"/>
      <c r="AE168" s="55"/>
      <c r="AF168" s="55"/>
      <c r="AG168" s="55"/>
      <c r="AH168" s="55"/>
      <c r="AI168" s="55"/>
      <c r="AJ168" s="55"/>
      <c r="AK168" s="55"/>
      <c r="AL168" s="55"/>
      <c r="AM168" s="55"/>
      <c r="AN168" s="55"/>
      <c r="AO168" s="55"/>
      <c r="AP168" s="55"/>
      <c r="AQ168" s="55"/>
      <c r="AR168" s="55"/>
      <c r="AS168" s="55"/>
      <c r="AT168" s="55"/>
      <c r="AU168" s="55"/>
      <c r="AV168" s="55"/>
      <c r="AW168" s="55"/>
      <c r="AX168" s="55"/>
      <c r="AY168" s="55"/>
      <c r="AZ168" s="55"/>
      <c r="BA168" s="55"/>
      <c r="BB168" s="55"/>
      <c r="BC168" s="55"/>
      <c r="BD168" s="55"/>
      <c r="BE168" s="55"/>
      <c r="BF168" s="55"/>
      <c r="BG168" s="55"/>
      <c r="BH168" s="55"/>
      <c r="BI168" s="55"/>
      <c r="BJ168" s="55"/>
      <c r="BK168" s="55"/>
      <c r="BL168" s="55"/>
      <c r="BM168" s="55"/>
      <c r="BN168" s="55"/>
      <c r="BO168" s="55"/>
      <c r="BP168" s="55"/>
      <c r="BQ168" s="55"/>
      <c r="BR168" s="55"/>
      <c r="BS168" s="55"/>
    </row>
    <row r="169" spans="1:71" outlineLevel="1" x14ac:dyDescent="0.2">
      <c r="D169" t="s">
        <v>312</v>
      </c>
      <c r="I169" s="30">
        <f ca="1">SUM($L169:$BS169)</f>
        <v>0</v>
      </c>
      <c r="J169" s="26" t="s">
        <v>148</v>
      </c>
      <c r="K169" s="7" t="s">
        <v>172</v>
      </c>
      <c r="L169" s="49">
        <f t="shared" ref="L169:AQ169" ca="1" si="27">IF(L4&gt;=YEAR(effective_date_HM1994),(OFFSET(_xlfn.SINGLE(IA_decom_real),,date_offset_HM1994)*_xlfn.SINGLE(IA_esc_index)),0)</f>
        <v>0</v>
      </c>
      <c r="M169" s="49">
        <f t="shared" ca="1" si="27"/>
        <v>0</v>
      </c>
      <c r="N169" s="49">
        <f t="shared" ca="1" si="27"/>
        <v>0</v>
      </c>
      <c r="O169" s="49">
        <f t="shared" ca="1" si="27"/>
        <v>0</v>
      </c>
      <c r="P169" s="49">
        <f t="shared" ca="1" si="27"/>
        <v>0</v>
      </c>
      <c r="Q169" s="49">
        <f t="shared" ca="1" si="27"/>
        <v>0</v>
      </c>
      <c r="R169" s="49">
        <f t="shared" ca="1" si="27"/>
        <v>0</v>
      </c>
      <c r="S169" s="49">
        <f t="shared" ca="1" si="27"/>
        <v>0</v>
      </c>
      <c r="T169" s="49">
        <f t="shared" ca="1" si="27"/>
        <v>0</v>
      </c>
      <c r="U169" s="49">
        <f t="shared" ca="1" si="27"/>
        <v>0</v>
      </c>
      <c r="V169" s="49">
        <f t="shared" ca="1" si="27"/>
        <v>0</v>
      </c>
      <c r="W169" s="49">
        <f t="shared" ca="1" si="27"/>
        <v>0</v>
      </c>
      <c r="X169" s="49">
        <f t="shared" ca="1" si="27"/>
        <v>0</v>
      </c>
      <c r="Y169" s="49">
        <f t="shared" ca="1" si="27"/>
        <v>0</v>
      </c>
      <c r="Z169" s="49">
        <f t="shared" ca="1" si="27"/>
        <v>0</v>
      </c>
      <c r="AA169" s="49">
        <f t="shared" ca="1" si="27"/>
        <v>0</v>
      </c>
      <c r="AB169" s="49">
        <f t="shared" ca="1" si="27"/>
        <v>0</v>
      </c>
      <c r="AC169" s="49">
        <f t="shared" ca="1" si="27"/>
        <v>0</v>
      </c>
      <c r="AD169" s="49">
        <f t="shared" ca="1" si="27"/>
        <v>0</v>
      </c>
      <c r="AE169" s="49">
        <f t="shared" ca="1" si="27"/>
        <v>0</v>
      </c>
      <c r="AF169" s="49">
        <f t="shared" ca="1" si="27"/>
        <v>0</v>
      </c>
      <c r="AG169" s="49">
        <f t="shared" ca="1" si="27"/>
        <v>0</v>
      </c>
      <c r="AH169" s="49">
        <f t="shared" ca="1" si="27"/>
        <v>0</v>
      </c>
      <c r="AI169" s="49">
        <f t="shared" ca="1" si="27"/>
        <v>0</v>
      </c>
      <c r="AJ169" s="49">
        <f t="shared" ca="1" si="27"/>
        <v>0</v>
      </c>
      <c r="AK169" s="49">
        <f t="shared" ca="1" si="27"/>
        <v>0</v>
      </c>
      <c r="AL169" s="49">
        <f t="shared" ca="1" si="27"/>
        <v>0</v>
      </c>
      <c r="AM169" s="49">
        <f t="shared" ca="1" si="27"/>
        <v>0</v>
      </c>
      <c r="AN169" s="49">
        <f t="shared" ca="1" si="27"/>
        <v>0</v>
      </c>
      <c r="AO169" s="49">
        <f t="shared" ca="1" si="27"/>
        <v>0</v>
      </c>
      <c r="AP169" s="49">
        <f t="shared" ca="1" si="27"/>
        <v>0</v>
      </c>
      <c r="AQ169" s="49">
        <f t="shared" ca="1" si="27"/>
        <v>0</v>
      </c>
      <c r="AR169" s="49">
        <f t="shared" ref="AR169:BS169" ca="1" si="28">IF(AR4&gt;=YEAR(effective_date_HM1994),(OFFSET(_xlfn.SINGLE(IA_decom_real),,date_offset_HM1994)*_xlfn.SINGLE(IA_esc_index)),0)</f>
        <v>0</v>
      </c>
      <c r="AS169" s="49">
        <f t="shared" ca="1" si="28"/>
        <v>0</v>
      </c>
      <c r="AT169" s="49">
        <f t="shared" ca="1" si="28"/>
        <v>0</v>
      </c>
      <c r="AU169" s="49">
        <f t="shared" ca="1" si="28"/>
        <v>0</v>
      </c>
      <c r="AV169" s="49">
        <f t="shared" ca="1" si="28"/>
        <v>0</v>
      </c>
      <c r="AW169" s="49">
        <f t="shared" ca="1" si="28"/>
        <v>0</v>
      </c>
      <c r="AX169" s="49">
        <f t="shared" ca="1" si="28"/>
        <v>0</v>
      </c>
      <c r="AY169" s="49">
        <f t="shared" ca="1" si="28"/>
        <v>0</v>
      </c>
      <c r="AZ169" s="49">
        <f t="shared" ca="1" si="28"/>
        <v>0</v>
      </c>
      <c r="BA169" s="49">
        <f t="shared" ca="1" si="28"/>
        <v>0</v>
      </c>
      <c r="BB169" s="49">
        <f t="shared" ca="1" si="28"/>
        <v>0</v>
      </c>
      <c r="BC169" s="49">
        <f t="shared" ca="1" si="28"/>
        <v>0</v>
      </c>
      <c r="BD169" s="49">
        <f t="shared" ca="1" si="28"/>
        <v>0</v>
      </c>
      <c r="BE169" s="49">
        <f t="shared" ca="1" si="28"/>
        <v>0</v>
      </c>
      <c r="BF169" s="49">
        <f t="shared" ca="1" si="28"/>
        <v>0</v>
      </c>
      <c r="BG169" s="49">
        <f t="shared" ca="1" si="28"/>
        <v>0</v>
      </c>
      <c r="BH169" s="49">
        <f t="shared" ca="1" si="28"/>
        <v>0</v>
      </c>
      <c r="BI169" s="49">
        <f t="shared" ca="1" si="28"/>
        <v>0</v>
      </c>
      <c r="BJ169" s="49">
        <f t="shared" ca="1" si="28"/>
        <v>0</v>
      </c>
      <c r="BK169" s="49">
        <f t="shared" ca="1" si="28"/>
        <v>0</v>
      </c>
      <c r="BL169" s="49">
        <f t="shared" ca="1" si="28"/>
        <v>0</v>
      </c>
      <c r="BM169" s="49">
        <f t="shared" ca="1" si="28"/>
        <v>0</v>
      </c>
      <c r="BN169" s="49">
        <f t="shared" ca="1" si="28"/>
        <v>0</v>
      </c>
      <c r="BO169" s="49">
        <f t="shared" ca="1" si="28"/>
        <v>0</v>
      </c>
      <c r="BP169" s="49">
        <f t="shared" ca="1" si="28"/>
        <v>0</v>
      </c>
      <c r="BQ169" s="49">
        <f t="shared" ca="1" si="28"/>
        <v>0</v>
      </c>
      <c r="BR169" s="49">
        <f t="shared" ca="1" si="28"/>
        <v>0</v>
      </c>
      <c r="BS169" s="49">
        <f t="shared" ca="1" si="28"/>
        <v>0</v>
      </c>
    </row>
    <row r="170" spans="1:71" outlineLevel="1" x14ac:dyDescent="0.2">
      <c r="J170" s="26"/>
      <c r="L170" s="55"/>
      <c r="M170" s="55"/>
      <c r="N170" s="55"/>
      <c r="O170" s="55"/>
      <c r="P170" s="55"/>
      <c r="Q170" s="55"/>
      <c r="R170" s="55"/>
      <c r="S170" s="55"/>
      <c r="T170" s="55"/>
      <c r="U170" s="55"/>
      <c r="V170" s="55"/>
      <c r="W170" s="55"/>
      <c r="X170" s="55"/>
      <c r="Y170" s="55"/>
      <c r="Z170" s="55"/>
      <c r="AA170" s="55"/>
      <c r="AB170" s="55"/>
      <c r="AC170" s="55"/>
      <c r="AD170" s="55"/>
      <c r="AE170" s="55"/>
      <c r="AF170" s="55"/>
      <c r="AG170" s="55"/>
      <c r="AH170" s="55"/>
      <c r="AI170" s="55"/>
      <c r="AJ170" s="55"/>
      <c r="AK170" s="55"/>
      <c r="AL170" s="55"/>
      <c r="AM170" s="55"/>
      <c r="AN170" s="55"/>
      <c r="AO170" s="55"/>
      <c r="AP170" s="55"/>
      <c r="AQ170" s="55"/>
      <c r="AR170" s="55"/>
      <c r="AS170" s="55"/>
      <c r="AT170" s="55"/>
      <c r="AU170" s="55"/>
      <c r="AV170" s="55"/>
      <c r="AW170" s="55"/>
      <c r="AX170" s="55"/>
      <c r="AY170" s="55"/>
      <c r="AZ170" s="55"/>
      <c r="BA170" s="55"/>
      <c r="BB170" s="55"/>
      <c r="BC170" s="55"/>
      <c r="BD170" s="55"/>
      <c r="BE170" s="55"/>
      <c r="BF170" s="55"/>
      <c r="BG170" s="55"/>
      <c r="BH170" s="55"/>
      <c r="BI170" s="55"/>
      <c r="BJ170" s="55"/>
      <c r="BK170" s="55"/>
      <c r="BL170" s="55"/>
      <c r="BM170" s="55"/>
      <c r="BN170" s="55"/>
      <c r="BO170" s="55"/>
      <c r="BP170" s="55"/>
      <c r="BQ170" s="55"/>
      <c r="BR170" s="55"/>
      <c r="BS170" s="55"/>
    </row>
    <row r="171" spans="1:71" outlineLevel="1" x14ac:dyDescent="0.2">
      <c r="J171" s="26"/>
      <c r="L171" s="55"/>
      <c r="M171" s="55"/>
      <c r="N171" s="55"/>
      <c r="O171" s="55"/>
      <c r="P171" s="55"/>
      <c r="Q171" s="55"/>
      <c r="R171" s="55"/>
      <c r="S171" s="55"/>
      <c r="T171" s="55"/>
      <c r="U171" s="55"/>
      <c r="V171" s="55"/>
      <c r="W171" s="55"/>
      <c r="X171" s="55"/>
      <c r="Y171" s="55"/>
      <c r="Z171" s="55"/>
      <c r="AA171" s="55"/>
      <c r="AB171" s="55"/>
      <c r="AC171" s="55"/>
      <c r="AD171" s="55"/>
      <c r="AE171" s="55"/>
      <c r="AF171" s="55"/>
      <c r="AG171" s="55"/>
      <c r="AH171" s="55"/>
      <c r="AI171" s="55"/>
      <c r="AJ171" s="55"/>
      <c r="AK171" s="55"/>
      <c r="AL171" s="55"/>
      <c r="AM171" s="55"/>
      <c r="AN171" s="55"/>
      <c r="AO171" s="55"/>
      <c r="AP171" s="55"/>
      <c r="AQ171" s="55"/>
      <c r="AR171" s="55"/>
      <c r="AS171" s="55"/>
      <c r="AT171" s="55"/>
      <c r="AU171" s="55"/>
      <c r="AV171" s="55"/>
      <c r="AW171" s="55"/>
      <c r="AX171" s="55"/>
      <c r="AY171" s="55"/>
      <c r="AZ171" s="55"/>
      <c r="BA171" s="55"/>
      <c r="BB171" s="55"/>
      <c r="BC171" s="55"/>
      <c r="BD171" s="55"/>
      <c r="BE171" s="55"/>
      <c r="BF171" s="55"/>
      <c r="BG171" s="55"/>
      <c r="BH171" s="55"/>
      <c r="BI171" s="55"/>
      <c r="BJ171" s="55"/>
      <c r="BK171" s="55"/>
      <c r="BL171" s="55"/>
      <c r="BM171" s="55"/>
      <c r="BN171" s="55"/>
      <c r="BO171" s="55"/>
      <c r="BP171" s="55"/>
      <c r="BQ171" s="55"/>
      <c r="BR171" s="55"/>
      <c r="BS171" s="55"/>
    </row>
    <row r="172" spans="1:71" outlineLevel="1" x14ac:dyDescent="0.2">
      <c r="A172" s="45"/>
      <c r="B172" s="38" t="s">
        <v>173</v>
      </c>
      <c r="C172" s="45"/>
      <c r="D172" s="45"/>
      <c r="E172" s="45"/>
      <c r="J172" s="26"/>
      <c r="L172" s="55"/>
      <c r="M172" s="55"/>
      <c r="N172" s="55"/>
      <c r="O172" s="55"/>
      <c r="P172" s="55"/>
      <c r="Q172" s="55"/>
      <c r="R172" s="55"/>
      <c r="S172" s="55"/>
      <c r="T172" s="55"/>
      <c r="U172" s="55"/>
      <c r="V172" s="55"/>
      <c r="W172" s="55"/>
      <c r="X172" s="55"/>
      <c r="Y172" s="55"/>
      <c r="Z172" s="55"/>
      <c r="AA172" s="55"/>
      <c r="AB172" s="55"/>
      <c r="AC172" s="55"/>
      <c r="AD172" s="55"/>
      <c r="AE172" s="55"/>
      <c r="AF172" s="55"/>
      <c r="AG172" s="55"/>
      <c r="AH172" s="55"/>
      <c r="AI172" s="55"/>
      <c r="AJ172" s="55"/>
      <c r="AK172" s="55"/>
      <c r="AL172" s="55"/>
      <c r="AM172" s="55"/>
      <c r="AN172" s="55"/>
      <c r="AO172" s="55"/>
      <c r="AP172" s="55"/>
      <c r="AQ172" s="55"/>
      <c r="AR172" s="55"/>
      <c r="AS172" s="55"/>
      <c r="AT172" s="55"/>
      <c r="AU172" s="55"/>
      <c r="AV172" s="55"/>
      <c r="AW172" s="55"/>
      <c r="AX172" s="55"/>
      <c r="AY172" s="55"/>
      <c r="AZ172" s="55"/>
      <c r="BA172" s="55"/>
      <c r="BB172" s="55"/>
      <c r="BC172" s="55"/>
      <c r="BD172" s="55"/>
      <c r="BE172" s="55"/>
      <c r="BF172" s="55"/>
      <c r="BG172" s="55"/>
      <c r="BH172" s="55"/>
      <c r="BI172" s="55"/>
      <c r="BJ172" s="55"/>
      <c r="BK172" s="55"/>
      <c r="BL172" s="55"/>
      <c r="BM172" s="55"/>
      <c r="BN172" s="55"/>
      <c r="BO172" s="55"/>
      <c r="BP172" s="55"/>
      <c r="BQ172" s="55"/>
      <c r="BR172" s="55"/>
      <c r="BS172" s="55"/>
    </row>
    <row r="173" spans="1:71" outlineLevel="1" x14ac:dyDescent="0.2">
      <c r="J173" s="26"/>
      <c r="L173" s="55"/>
      <c r="M173" s="55"/>
      <c r="N173" s="55"/>
      <c r="O173" s="55"/>
      <c r="P173" s="55"/>
      <c r="Q173" s="55"/>
      <c r="R173" s="55"/>
      <c r="S173" s="55"/>
      <c r="T173" s="55"/>
      <c r="U173" s="55"/>
      <c r="V173" s="55"/>
      <c r="W173" s="55"/>
      <c r="X173" s="55"/>
      <c r="Y173" s="55"/>
      <c r="Z173" s="55"/>
      <c r="AA173" s="55"/>
      <c r="AB173" s="55"/>
      <c r="AC173" s="55"/>
      <c r="AD173" s="55"/>
      <c r="AE173" s="55"/>
      <c r="AF173" s="55"/>
      <c r="AG173" s="55"/>
      <c r="AH173" s="55"/>
      <c r="AI173" s="55"/>
      <c r="AJ173" s="55"/>
      <c r="AK173" s="55"/>
      <c r="AL173" s="55"/>
      <c r="AM173" s="55"/>
      <c r="AN173" s="55"/>
      <c r="AO173" s="55"/>
      <c r="AP173" s="55"/>
      <c r="AQ173" s="55"/>
      <c r="AR173" s="55"/>
      <c r="AS173" s="55"/>
      <c r="AT173" s="55"/>
      <c r="AU173" s="55"/>
      <c r="AV173" s="55"/>
      <c r="AW173" s="55"/>
      <c r="AX173" s="55"/>
      <c r="AY173" s="55"/>
      <c r="AZ173" s="55"/>
      <c r="BA173" s="55"/>
      <c r="BB173" s="55"/>
      <c r="BC173" s="55"/>
      <c r="BD173" s="55"/>
      <c r="BE173" s="55"/>
      <c r="BF173" s="55"/>
      <c r="BG173" s="55"/>
      <c r="BH173" s="55"/>
      <c r="BI173" s="55"/>
      <c r="BJ173" s="55"/>
      <c r="BK173" s="55"/>
      <c r="BL173" s="55"/>
      <c r="BM173" s="55"/>
      <c r="BN173" s="55"/>
      <c r="BO173" s="55"/>
      <c r="BP173" s="55"/>
      <c r="BQ173" s="55"/>
      <c r="BR173" s="55"/>
      <c r="BS173" s="55"/>
    </row>
    <row r="174" spans="1:71" outlineLevel="1" x14ac:dyDescent="0.2">
      <c r="C174" s="11" t="s">
        <v>212</v>
      </c>
      <c r="J174" s="26"/>
      <c r="K174" s="7" t="s">
        <v>213</v>
      </c>
      <c r="L174" s="57">
        <f t="shared" ref="L174:BS174" ca="1" si="29">1*(OR(CA_opex_total_nom&gt;0,CA_expex_nom&gt;0,CA_devex_nom&gt;0,CA_gross_prod_oil+CA_gross_prod_gas&gt;0))</f>
        <v>1</v>
      </c>
      <c r="M174" s="57">
        <f t="shared" ca="1" si="29"/>
        <v>1</v>
      </c>
      <c r="N174" s="57">
        <f t="shared" ca="1" si="29"/>
        <v>1</v>
      </c>
      <c r="O174" s="57">
        <f t="shared" ca="1" si="29"/>
        <v>1</v>
      </c>
      <c r="P174" s="57">
        <f t="shared" ca="1" si="29"/>
        <v>1</v>
      </c>
      <c r="Q174" s="57">
        <f t="shared" ca="1" si="29"/>
        <v>1</v>
      </c>
      <c r="R174" s="57">
        <f t="shared" ca="1" si="29"/>
        <v>1</v>
      </c>
      <c r="S174" s="57">
        <f t="shared" ca="1" si="29"/>
        <v>1</v>
      </c>
      <c r="T174" s="57">
        <f t="shared" ca="1" si="29"/>
        <v>1</v>
      </c>
      <c r="U174" s="57">
        <f t="shared" ca="1" si="29"/>
        <v>1</v>
      </c>
      <c r="V174" s="57">
        <f t="shared" ca="1" si="29"/>
        <v>1</v>
      </c>
      <c r="W174" s="57">
        <f t="shared" ca="1" si="29"/>
        <v>1</v>
      </c>
      <c r="X174" s="57">
        <f t="shared" ca="1" si="29"/>
        <v>1</v>
      </c>
      <c r="Y174" s="57">
        <f t="shared" ca="1" si="29"/>
        <v>0</v>
      </c>
      <c r="Z174" s="57">
        <f t="shared" ca="1" si="29"/>
        <v>0</v>
      </c>
      <c r="AA174" s="57">
        <f t="shared" ca="1" si="29"/>
        <v>0</v>
      </c>
      <c r="AB174" s="57">
        <f t="shared" ca="1" si="29"/>
        <v>0</v>
      </c>
      <c r="AC174" s="57">
        <f t="shared" ca="1" si="29"/>
        <v>0</v>
      </c>
      <c r="AD174" s="57">
        <f t="shared" ca="1" si="29"/>
        <v>0</v>
      </c>
      <c r="AE174" s="57">
        <f t="shared" ca="1" si="29"/>
        <v>0</v>
      </c>
      <c r="AF174" s="57">
        <f t="shared" ca="1" si="29"/>
        <v>0</v>
      </c>
      <c r="AG174" s="57">
        <f t="shared" ca="1" si="29"/>
        <v>0</v>
      </c>
      <c r="AH174" s="57">
        <f t="shared" ca="1" si="29"/>
        <v>0</v>
      </c>
      <c r="AI174" s="57">
        <f t="shared" ca="1" si="29"/>
        <v>0</v>
      </c>
      <c r="AJ174" s="57">
        <f t="shared" ca="1" si="29"/>
        <v>0</v>
      </c>
      <c r="AK174" s="57">
        <f t="shared" ca="1" si="29"/>
        <v>0</v>
      </c>
      <c r="AL174" s="57">
        <f t="shared" ca="1" si="29"/>
        <v>0</v>
      </c>
      <c r="AM174" s="57">
        <f t="shared" ca="1" si="29"/>
        <v>0</v>
      </c>
      <c r="AN174" s="57">
        <f t="shared" ca="1" si="29"/>
        <v>0</v>
      </c>
      <c r="AO174" s="57">
        <f t="shared" ca="1" si="29"/>
        <v>0</v>
      </c>
      <c r="AP174" s="57">
        <f t="shared" ca="1" si="29"/>
        <v>0</v>
      </c>
      <c r="AQ174" s="57">
        <f t="shared" ca="1" si="29"/>
        <v>0</v>
      </c>
      <c r="AR174" s="57">
        <f t="shared" ca="1" si="29"/>
        <v>0</v>
      </c>
      <c r="AS174" s="57">
        <f t="shared" ca="1" si="29"/>
        <v>0</v>
      </c>
      <c r="AT174" s="57">
        <f t="shared" ca="1" si="29"/>
        <v>0</v>
      </c>
      <c r="AU174" s="57">
        <f t="shared" ca="1" si="29"/>
        <v>0</v>
      </c>
      <c r="AV174" s="57">
        <f t="shared" ca="1" si="29"/>
        <v>0</v>
      </c>
      <c r="AW174" s="57">
        <f t="shared" ca="1" si="29"/>
        <v>0</v>
      </c>
      <c r="AX174" s="57">
        <f t="shared" ca="1" si="29"/>
        <v>0</v>
      </c>
      <c r="AY174" s="57">
        <f t="shared" ca="1" si="29"/>
        <v>0</v>
      </c>
      <c r="AZ174" s="57">
        <f t="shared" ca="1" si="29"/>
        <v>0</v>
      </c>
      <c r="BA174" s="57">
        <f t="shared" ca="1" si="29"/>
        <v>0</v>
      </c>
      <c r="BB174" s="57">
        <f t="shared" ca="1" si="29"/>
        <v>0</v>
      </c>
      <c r="BC174" s="57">
        <f t="shared" ca="1" si="29"/>
        <v>0</v>
      </c>
      <c r="BD174" s="57">
        <f t="shared" ca="1" si="29"/>
        <v>0</v>
      </c>
      <c r="BE174" s="57">
        <f t="shared" ca="1" si="29"/>
        <v>0</v>
      </c>
      <c r="BF174" s="57">
        <f t="shared" ca="1" si="29"/>
        <v>0</v>
      </c>
      <c r="BG174" s="57">
        <f t="shared" ca="1" si="29"/>
        <v>0</v>
      </c>
      <c r="BH174" s="57">
        <f t="shared" ca="1" si="29"/>
        <v>0</v>
      </c>
      <c r="BI174" s="57">
        <f t="shared" ca="1" si="29"/>
        <v>0</v>
      </c>
      <c r="BJ174" s="57">
        <f t="shared" ca="1" si="29"/>
        <v>0</v>
      </c>
      <c r="BK174" s="57">
        <f t="shared" ca="1" si="29"/>
        <v>0</v>
      </c>
      <c r="BL174" s="57">
        <f t="shared" ca="1" si="29"/>
        <v>0</v>
      </c>
      <c r="BM174" s="57">
        <f t="shared" ca="1" si="29"/>
        <v>0</v>
      </c>
      <c r="BN174" s="57">
        <f t="shared" ca="1" si="29"/>
        <v>0</v>
      </c>
      <c r="BO174" s="57">
        <f t="shared" ca="1" si="29"/>
        <v>0</v>
      </c>
      <c r="BP174" s="57">
        <f t="shared" ca="1" si="29"/>
        <v>0</v>
      </c>
      <c r="BQ174" s="57">
        <f t="shared" ca="1" si="29"/>
        <v>0</v>
      </c>
      <c r="BR174" s="57">
        <f t="shared" ca="1" si="29"/>
        <v>0</v>
      </c>
      <c r="BS174" s="57">
        <f t="shared" ca="1" si="29"/>
        <v>0</v>
      </c>
    </row>
    <row r="175" spans="1:71" outlineLevel="1" x14ac:dyDescent="0.2">
      <c r="J175" s="26"/>
      <c r="L175" s="55"/>
      <c r="M175" s="55"/>
      <c r="N175" s="55"/>
      <c r="O175" s="55"/>
      <c r="P175" s="55"/>
      <c r="Q175" s="55"/>
      <c r="R175" s="55"/>
      <c r="S175" s="55"/>
      <c r="T175" s="55"/>
      <c r="U175" s="55"/>
      <c r="V175" s="55"/>
      <c r="W175" s="55"/>
      <c r="X175" s="55"/>
      <c r="Y175" s="55"/>
      <c r="Z175" s="55"/>
      <c r="AA175" s="55"/>
      <c r="AB175" s="55"/>
      <c r="AC175" s="55"/>
      <c r="AD175" s="55"/>
      <c r="AE175" s="55"/>
      <c r="AF175" s="55"/>
      <c r="AG175" s="55"/>
      <c r="AH175" s="55"/>
      <c r="AI175" s="55"/>
      <c r="AJ175" s="55"/>
      <c r="AK175" s="55"/>
      <c r="AL175" s="55"/>
      <c r="AM175" s="55"/>
      <c r="AN175" s="55"/>
      <c r="AO175" s="55"/>
      <c r="AP175" s="55"/>
      <c r="AQ175" s="55"/>
      <c r="AR175" s="55"/>
      <c r="AS175" s="55"/>
      <c r="AT175" s="55"/>
      <c r="AU175" s="55"/>
      <c r="AV175" s="55"/>
      <c r="AW175" s="55"/>
      <c r="AX175" s="55"/>
      <c r="AY175" s="55"/>
      <c r="AZ175" s="55"/>
      <c r="BA175" s="55"/>
      <c r="BB175" s="55"/>
      <c r="BC175" s="55"/>
      <c r="BD175" s="55"/>
      <c r="BE175" s="55"/>
      <c r="BF175" s="55"/>
      <c r="BG175" s="55"/>
      <c r="BH175" s="55"/>
      <c r="BI175" s="55"/>
      <c r="BJ175" s="55"/>
      <c r="BK175" s="55"/>
      <c r="BL175" s="55"/>
      <c r="BM175" s="55"/>
      <c r="BN175" s="55"/>
      <c r="BO175" s="55"/>
      <c r="BP175" s="55"/>
      <c r="BQ175" s="55"/>
      <c r="BR175" s="55"/>
      <c r="BS175" s="55"/>
    </row>
    <row r="176" spans="1:71" outlineLevel="1" x14ac:dyDescent="0.2">
      <c r="C176" s="11" t="s">
        <v>66</v>
      </c>
      <c r="J176" s="26"/>
      <c r="L176" s="55"/>
      <c r="M176" s="55"/>
      <c r="N176" s="55"/>
      <c r="O176" s="55"/>
      <c r="P176" s="55"/>
      <c r="Q176" s="55"/>
      <c r="R176" s="55"/>
      <c r="S176" s="55"/>
      <c r="T176" s="55"/>
      <c r="U176" s="55"/>
      <c r="V176" s="55"/>
      <c r="W176" s="55"/>
      <c r="X176" s="55"/>
      <c r="Y176" s="55"/>
      <c r="Z176" s="55"/>
      <c r="AA176" s="55"/>
      <c r="AB176" s="55"/>
      <c r="AC176" s="55"/>
      <c r="AD176" s="55"/>
      <c r="AE176" s="55"/>
      <c r="AF176" s="55"/>
      <c r="AG176" s="55"/>
      <c r="AH176" s="55"/>
      <c r="AI176" s="55"/>
      <c r="AJ176" s="55"/>
      <c r="AK176" s="55"/>
      <c r="AL176" s="55"/>
      <c r="AM176" s="55"/>
      <c r="AN176" s="55"/>
      <c r="AO176" s="55"/>
      <c r="AP176" s="55"/>
      <c r="AQ176" s="55"/>
      <c r="AR176" s="55"/>
      <c r="AS176" s="55"/>
      <c r="AT176" s="55"/>
      <c r="AU176" s="55"/>
      <c r="AV176" s="55"/>
      <c r="AW176" s="55"/>
      <c r="AX176" s="55"/>
      <c r="AY176" s="55"/>
      <c r="AZ176" s="55"/>
      <c r="BA176" s="55"/>
      <c r="BB176" s="55"/>
      <c r="BC176" s="55"/>
      <c r="BD176" s="55"/>
      <c r="BE176" s="55"/>
      <c r="BF176" s="55"/>
      <c r="BG176" s="55"/>
      <c r="BH176" s="55"/>
      <c r="BI176" s="55"/>
      <c r="BJ176" s="55"/>
      <c r="BK176" s="55"/>
      <c r="BL176" s="55"/>
      <c r="BM176" s="55"/>
      <c r="BN176" s="55"/>
      <c r="BO176" s="55"/>
      <c r="BP176" s="55"/>
      <c r="BQ176" s="55"/>
      <c r="BR176" s="55"/>
      <c r="BS176" s="55"/>
    </row>
    <row r="177" spans="3:71" outlineLevel="1" x14ac:dyDescent="0.2">
      <c r="D177" t="s">
        <v>67</v>
      </c>
      <c r="I177" s="30">
        <f ca="1">SUM($L177:$BS177)</f>
        <v>116.836644723813</v>
      </c>
      <c r="J177" s="26" t="s">
        <v>148</v>
      </c>
      <c r="K177" s="7" t="s">
        <v>174</v>
      </c>
      <c r="L177" s="49" cm="1">
        <f t="array" aca="1" ref="L177:BS177" ca="1">CA_gross_rev_total_fp*fees_PID_perc</f>
        <v>7.4933748230811874</v>
      </c>
      <c r="M177" s="49">
        <f ca="1"/>
        <v>7.0784597535292457</v>
      </c>
      <c r="N177" s="49">
        <f ca="1"/>
        <v>2.6706236900108338</v>
      </c>
      <c r="O177" s="49">
        <f ca="1"/>
        <v>2.5208282317336823</v>
      </c>
      <c r="P177" s="49">
        <f ca="1"/>
        <v>6.9924129539791364</v>
      </c>
      <c r="Q177" s="49">
        <f ca="1"/>
        <v>13.89932866392102</v>
      </c>
      <c r="R177" s="49">
        <f ca="1"/>
        <v>13.267308635491613</v>
      </c>
      <c r="S177" s="49">
        <f ca="1"/>
        <v>7.7017699371600008</v>
      </c>
      <c r="T177" s="49">
        <f ca="1"/>
        <v>11.75231225896416</v>
      </c>
      <c r="U177" s="49">
        <f ca="1"/>
        <v>11.731746984589799</v>
      </c>
      <c r="V177" s="49">
        <f ca="1"/>
        <v>11.128735189581883</v>
      </c>
      <c r="W177" s="49">
        <f ca="1"/>
        <v>10.585640716456105</v>
      </c>
      <c r="X177" s="49">
        <f ca="1"/>
        <v>10.014102885314331</v>
      </c>
      <c r="Y177" s="49">
        <f ca="1"/>
        <v>0</v>
      </c>
      <c r="Z177" s="49">
        <f ca="1"/>
        <v>0</v>
      </c>
      <c r="AA177" s="49">
        <f ca="1"/>
        <v>0</v>
      </c>
      <c r="AB177" s="49">
        <f ca="1"/>
        <v>0</v>
      </c>
      <c r="AC177" s="49">
        <f ca="1"/>
        <v>0</v>
      </c>
      <c r="AD177" s="49">
        <f ca="1"/>
        <v>0</v>
      </c>
      <c r="AE177" s="49">
        <f ca="1"/>
        <v>0</v>
      </c>
      <c r="AF177" s="49">
        <f ca="1"/>
        <v>0</v>
      </c>
      <c r="AG177" s="49">
        <f ca="1"/>
        <v>0</v>
      </c>
      <c r="AH177" s="49">
        <f ca="1"/>
        <v>0</v>
      </c>
      <c r="AI177" s="49">
        <f ca="1"/>
        <v>0</v>
      </c>
      <c r="AJ177" s="49">
        <f ca="1"/>
        <v>0</v>
      </c>
      <c r="AK177" s="49">
        <f ca="1"/>
        <v>0</v>
      </c>
      <c r="AL177" s="49">
        <f ca="1"/>
        <v>0</v>
      </c>
      <c r="AM177" s="49">
        <f ca="1"/>
        <v>0</v>
      </c>
      <c r="AN177" s="49">
        <f ca="1"/>
        <v>0</v>
      </c>
      <c r="AO177" s="49">
        <f ca="1"/>
        <v>0</v>
      </c>
      <c r="AP177" s="49">
        <f ca="1"/>
        <v>0</v>
      </c>
      <c r="AQ177" s="49">
        <f ca="1"/>
        <v>0</v>
      </c>
      <c r="AR177" s="49">
        <f ca="1"/>
        <v>0</v>
      </c>
      <c r="AS177" s="49">
        <f ca="1"/>
        <v>0</v>
      </c>
      <c r="AT177" s="49">
        <f ca="1"/>
        <v>0</v>
      </c>
      <c r="AU177" s="49">
        <f ca="1"/>
        <v>0</v>
      </c>
      <c r="AV177" s="49">
        <f ca="1"/>
        <v>0</v>
      </c>
      <c r="AW177" s="49">
        <f ca="1"/>
        <v>0</v>
      </c>
      <c r="AX177" s="49">
        <f ca="1"/>
        <v>0</v>
      </c>
      <c r="AY177" s="49">
        <f ca="1"/>
        <v>0</v>
      </c>
      <c r="AZ177" s="49">
        <f ca="1"/>
        <v>0</v>
      </c>
      <c r="BA177" s="49">
        <f ca="1"/>
        <v>0</v>
      </c>
      <c r="BB177" s="49">
        <f ca="1"/>
        <v>0</v>
      </c>
      <c r="BC177" s="49">
        <f ca="1"/>
        <v>0</v>
      </c>
      <c r="BD177" s="49">
        <f ca="1"/>
        <v>0</v>
      </c>
      <c r="BE177" s="49">
        <f ca="1"/>
        <v>0</v>
      </c>
      <c r="BF177" s="49">
        <f ca="1"/>
        <v>0</v>
      </c>
      <c r="BG177" s="49">
        <f ca="1"/>
        <v>0</v>
      </c>
      <c r="BH177" s="49">
        <f ca="1"/>
        <v>0</v>
      </c>
      <c r="BI177" s="49">
        <f ca="1"/>
        <v>0</v>
      </c>
      <c r="BJ177" s="49">
        <f ca="1"/>
        <v>0</v>
      </c>
      <c r="BK177" s="49">
        <f ca="1"/>
        <v>0</v>
      </c>
      <c r="BL177" s="49">
        <f ca="1"/>
        <v>0</v>
      </c>
      <c r="BM177" s="49">
        <f ca="1"/>
        <v>0</v>
      </c>
      <c r="BN177" s="49">
        <f ca="1"/>
        <v>0</v>
      </c>
      <c r="BO177" s="49">
        <f ca="1"/>
        <v>0</v>
      </c>
      <c r="BP177" s="49">
        <f ca="1"/>
        <v>0</v>
      </c>
      <c r="BQ177" s="49">
        <f ca="1"/>
        <v>0</v>
      </c>
      <c r="BR177" s="49">
        <f ca="1"/>
        <v>0</v>
      </c>
      <c r="BS177" s="49">
        <f ca="1"/>
        <v>0</v>
      </c>
    </row>
    <row r="178" spans="3:71" outlineLevel="1" x14ac:dyDescent="0.2">
      <c r="J178" s="26"/>
      <c r="L178" s="55"/>
      <c r="M178" s="55"/>
      <c r="N178" s="55"/>
      <c r="O178" s="55"/>
      <c r="P178" s="55"/>
      <c r="Q178" s="55"/>
      <c r="R178" s="55"/>
      <c r="S178" s="55"/>
      <c r="T178" s="55"/>
      <c r="U178" s="55"/>
      <c r="V178" s="55"/>
      <c r="W178" s="55"/>
      <c r="X178" s="55"/>
      <c r="Y178" s="55"/>
      <c r="Z178" s="55"/>
      <c r="AA178" s="55"/>
      <c r="AB178" s="55"/>
      <c r="AC178" s="55"/>
      <c r="AD178" s="55"/>
      <c r="AE178" s="55"/>
      <c r="AF178" s="55"/>
      <c r="AG178" s="55"/>
      <c r="AH178" s="55"/>
      <c r="AI178" s="55"/>
      <c r="AJ178" s="55"/>
      <c r="AK178" s="55"/>
      <c r="AL178" s="55"/>
      <c r="AM178" s="55"/>
      <c r="AN178" s="55"/>
      <c r="AO178" s="55"/>
      <c r="AP178" s="55"/>
      <c r="AQ178" s="55"/>
      <c r="AR178" s="55"/>
      <c r="AS178" s="55"/>
      <c r="AT178" s="55"/>
      <c r="AU178" s="55"/>
      <c r="AV178" s="55"/>
      <c r="AW178" s="55"/>
      <c r="AX178" s="55"/>
      <c r="AY178" s="55"/>
      <c r="AZ178" s="55"/>
      <c r="BA178" s="55"/>
      <c r="BB178" s="55"/>
      <c r="BC178" s="55"/>
      <c r="BD178" s="55"/>
      <c r="BE178" s="55"/>
      <c r="BF178" s="55"/>
      <c r="BG178" s="55"/>
      <c r="BH178" s="55"/>
      <c r="BI178" s="55"/>
      <c r="BJ178" s="55"/>
      <c r="BK178" s="55"/>
      <c r="BL178" s="55"/>
      <c r="BM178" s="55"/>
      <c r="BN178" s="55"/>
      <c r="BO178" s="55"/>
      <c r="BP178" s="55"/>
      <c r="BQ178" s="55"/>
      <c r="BR178" s="55"/>
      <c r="BS178" s="55"/>
    </row>
    <row r="179" spans="3:71" outlineLevel="1" x14ac:dyDescent="0.2">
      <c r="C179" s="11" t="s">
        <v>69</v>
      </c>
      <c r="J179" s="26"/>
      <c r="L179" s="55"/>
      <c r="M179" s="55"/>
      <c r="N179" s="55"/>
      <c r="O179" s="55"/>
      <c r="P179" s="55"/>
      <c r="Q179" s="55"/>
      <c r="R179" s="55"/>
      <c r="S179" s="55"/>
      <c r="T179" s="55"/>
      <c r="U179" s="55"/>
      <c r="V179" s="55"/>
      <c r="W179" s="55"/>
      <c r="X179" s="55"/>
      <c r="Y179" s="55"/>
      <c r="Z179" s="55"/>
      <c r="AA179" s="55"/>
      <c r="AB179" s="55"/>
      <c r="AC179" s="55"/>
      <c r="AD179" s="55"/>
      <c r="AE179" s="55"/>
      <c r="AF179" s="55"/>
      <c r="AG179" s="55"/>
      <c r="AH179" s="55"/>
      <c r="AI179" s="55"/>
      <c r="AJ179" s="55"/>
      <c r="AK179" s="55"/>
      <c r="AL179" s="55"/>
      <c r="AM179" s="55"/>
      <c r="AN179" s="55"/>
      <c r="AO179" s="55"/>
      <c r="AP179" s="55"/>
      <c r="AQ179" s="55"/>
      <c r="AR179" s="55"/>
      <c r="AS179" s="55"/>
      <c r="AT179" s="55"/>
      <c r="AU179" s="55"/>
      <c r="AV179" s="55"/>
      <c r="AW179" s="55"/>
      <c r="AX179" s="55"/>
      <c r="AY179" s="55"/>
      <c r="AZ179" s="55"/>
      <c r="BA179" s="55"/>
      <c r="BB179" s="55"/>
      <c r="BC179" s="55"/>
      <c r="BD179" s="55"/>
      <c r="BE179" s="55"/>
      <c r="BF179" s="55"/>
      <c r="BG179" s="55"/>
      <c r="BH179" s="55"/>
      <c r="BI179" s="55"/>
      <c r="BJ179" s="55"/>
      <c r="BK179" s="55"/>
      <c r="BL179" s="55"/>
      <c r="BM179" s="55"/>
      <c r="BN179" s="55"/>
      <c r="BO179" s="55"/>
      <c r="BP179" s="55"/>
      <c r="BQ179" s="55"/>
      <c r="BR179" s="55"/>
      <c r="BS179" s="55"/>
    </row>
    <row r="180" spans="3:71" outlineLevel="1" x14ac:dyDescent="0.2">
      <c r="D180" t="s">
        <v>175</v>
      </c>
      <c r="I180" s="30">
        <f ca="1">SUM($L180:$BS180)</f>
        <v>1402.039736685756</v>
      </c>
      <c r="J180" s="26" t="s">
        <v>148</v>
      </c>
      <c r="K180" s="7" t="s">
        <v>177</v>
      </c>
      <c r="L180" s="49" cm="1">
        <f t="array" aca="1" ref="L180:BS180" ca="1">Haute_Mer_1994!CA_gross_rev_oil_fp*Haute_Mer_1994!royalty_rate_oil</f>
        <v>89.920497876974252</v>
      </c>
      <c r="M180" s="49">
        <f ca="1"/>
        <v>84.941517042350952</v>
      </c>
      <c r="N180" s="49">
        <f ca="1"/>
        <v>32.04748428013</v>
      </c>
      <c r="O180" s="49">
        <f ca="1"/>
        <v>30.249938780804186</v>
      </c>
      <c r="P180" s="49">
        <f ca="1"/>
        <v>83.908955447749634</v>
      </c>
      <c r="Q180" s="49">
        <f ca="1"/>
        <v>166.79194396705222</v>
      </c>
      <c r="R180" s="49">
        <f ca="1"/>
        <v>159.20770362589934</v>
      </c>
      <c r="S180" s="49">
        <f ca="1"/>
        <v>92.421239245920006</v>
      </c>
      <c r="T180" s="49">
        <f ca="1"/>
        <v>141.02774710756989</v>
      </c>
      <c r="U180" s="49">
        <f ca="1"/>
        <v>140.7809638150776</v>
      </c>
      <c r="V180" s="49">
        <f ca="1"/>
        <v>133.54482227498258</v>
      </c>
      <c r="W180" s="49">
        <f ca="1"/>
        <v>127.02768859747326</v>
      </c>
      <c r="X180" s="49">
        <f ca="1"/>
        <v>120.16923462377197</v>
      </c>
      <c r="Y180" s="49">
        <f ca="1"/>
        <v>0</v>
      </c>
      <c r="Z180" s="49">
        <f ca="1"/>
        <v>0</v>
      </c>
      <c r="AA180" s="49">
        <f ca="1"/>
        <v>0</v>
      </c>
      <c r="AB180" s="49">
        <f ca="1"/>
        <v>0</v>
      </c>
      <c r="AC180" s="49">
        <f ca="1"/>
        <v>0</v>
      </c>
      <c r="AD180" s="49">
        <f ca="1"/>
        <v>0</v>
      </c>
      <c r="AE180" s="49">
        <f ca="1"/>
        <v>0</v>
      </c>
      <c r="AF180" s="49">
        <f ca="1"/>
        <v>0</v>
      </c>
      <c r="AG180" s="49">
        <f ca="1"/>
        <v>0</v>
      </c>
      <c r="AH180" s="49">
        <f ca="1"/>
        <v>0</v>
      </c>
      <c r="AI180" s="49">
        <f ca="1"/>
        <v>0</v>
      </c>
      <c r="AJ180" s="49">
        <f ca="1"/>
        <v>0</v>
      </c>
      <c r="AK180" s="49">
        <f ca="1"/>
        <v>0</v>
      </c>
      <c r="AL180" s="49">
        <f ca="1"/>
        <v>0</v>
      </c>
      <c r="AM180" s="49">
        <f ca="1"/>
        <v>0</v>
      </c>
      <c r="AN180" s="49">
        <f ca="1"/>
        <v>0</v>
      </c>
      <c r="AO180" s="49">
        <f ca="1"/>
        <v>0</v>
      </c>
      <c r="AP180" s="49">
        <f ca="1"/>
        <v>0</v>
      </c>
      <c r="AQ180" s="49">
        <f ca="1"/>
        <v>0</v>
      </c>
      <c r="AR180" s="49">
        <f ca="1"/>
        <v>0</v>
      </c>
      <c r="AS180" s="49">
        <f ca="1"/>
        <v>0</v>
      </c>
      <c r="AT180" s="49">
        <f ca="1"/>
        <v>0</v>
      </c>
      <c r="AU180" s="49">
        <f ca="1"/>
        <v>0</v>
      </c>
      <c r="AV180" s="49">
        <f ca="1"/>
        <v>0</v>
      </c>
      <c r="AW180" s="49">
        <f ca="1"/>
        <v>0</v>
      </c>
      <c r="AX180" s="49">
        <f ca="1"/>
        <v>0</v>
      </c>
      <c r="AY180" s="49">
        <f ca="1"/>
        <v>0</v>
      </c>
      <c r="AZ180" s="49">
        <f ca="1"/>
        <v>0</v>
      </c>
      <c r="BA180" s="49">
        <f ca="1"/>
        <v>0</v>
      </c>
      <c r="BB180" s="49">
        <f ca="1"/>
        <v>0</v>
      </c>
      <c r="BC180" s="49">
        <f ca="1"/>
        <v>0</v>
      </c>
      <c r="BD180" s="49">
        <f ca="1"/>
        <v>0</v>
      </c>
      <c r="BE180" s="49">
        <f ca="1"/>
        <v>0</v>
      </c>
      <c r="BF180" s="49">
        <f ca="1"/>
        <v>0</v>
      </c>
      <c r="BG180" s="49">
        <f ca="1"/>
        <v>0</v>
      </c>
      <c r="BH180" s="49">
        <f ca="1"/>
        <v>0</v>
      </c>
      <c r="BI180" s="49">
        <f ca="1"/>
        <v>0</v>
      </c>
      <c r="BJ180" s="49">
        <f ca="1"/>
        <v>0</v>
      </c>
      <c r="BK180" s="49">
        <f ca="1"/>
        <v>0</v>
      </c>
      <c r="BL180" s="49">
        <f ca="1"/>
        <v>0</v>
      </c>
      <c r="BM180" s="49">
        <f ca="1"/>
        <v>0</v>
      </c>
      <c r="BN180" s="49">
        <f ca="1"/>
        <v>0</v>
      </c>
      <c r="BO180" s="49">
        <f ca="1"/>
        <v>0</v>
      </c>
      <c r="BP180" s="49">
        <f ca="1"/>
        <v>0</v>
      </c>
      <c r="BQ180" s="49">
        <f ca="1"/>
        <v>0</v>
      </c>
      <c r="BR180" s="49">
        <f ca="1"/>
        <v>0</v>
      </c>
      <c r="BS180" s="49">
        <f ca="1"/>
        <v>0</v>
      </c>
    </row>
    <row r="181" spans="3:71" outlineLevel="1" x14ac:dyDescent="0.2">
      <c r="D181" t="s">
        <v>176</v>
      </c>
      <c r="I181" s="30">
        <f ca="1">SUM($L181:$BS181)</f>
        <v>0</v>
      </c>
      <c r="J181" s="26" t="s">
        <v>148</v>
      </c>
      <c r="K181" s="7" t="s">
        <v>178</v>
      </c>
      <c r="L181" s="49" cm="1">
        <f t="array" aca="1" ref="L181:BS181" ca="1">Haute_Mer_1994!CA_gross_rev_gas_fp*Haute_Mer_1994!royalty_rate_gas</f>
        <v>0</v>
      </c>
      <c r="M181" s="49">
        <f ca="1"/>
        <v>0</v>
      </c>
      <c r="N181" s="49">
        <f ca="1"/>
        <v>0</v>
      </c>
      <c r="O181" s="49">
        <f ca="1"/>
        <v>0</v>
      </c>
      <c r="P181" s="49">
        <f ca="1"/>
        <v>0</v>
      </c>
      <c r="Q181" s="49">
        <f ca="1"/>
        <v>0</v>
      </c>
      <c r="R181" s="49">
        <f ca="1"/>
        <v>0</v>
      </c>
      <c r="S181" s="49">
        <f ca="1"/>
        <v>0</v>
      </c>
      <c r="T181" s="49">
        <f ca="1"/>
        <v>0</v>
      </c>
      <c r="U181" s="49">
        <f ca="1"/>
        <v>0</v>
      </c>
      <c r="V181" s="49">
        <f ca="1"/>
        <v>0</v>
      </c>
      <c r="W181" s="49">
        <f ca="1"/>
        <v>0</v>
      </c>
      <c r="X181" s="49">
        <f ca="1"/>
        <v>0</v>
      </c>
      <c r="Y181" s="49">
        <f ca="1"/>
        <v>0</v>
      </c>
      <c r="Z181" s="49">
        <f ca="1"/>
        <v>0</v>
      </c>
      <c r="AA181" s="49">
        <f ca="1"/>
        <v>0</v>
      </c>
      <c r="AB181" s="49">
        <f ca="1"/>
        <v>0</v>
      </c>
      <c r="AC181" s="49">
        <f ca="1"/>
        <v>0</v>
      </c>
      <c r="AD181" s="49">
        <f ca="1"/>
        <v>0</v>
      </c>
      <c r="AE181" s="49">
        <f ca="1"/>
        <v>0</v>
      </c>
      <c r="AF181" s="49">
        <f ca="1"/>
        <v>0</v>
      </c>
      <c r="AG181" s="49">
        <f ca="1"/>
        <v>0</v>
      </c>
      <c r="AH181" s="49">
        <f ca="1"/>
        <v>0</v>
      </c>
      <c r="AI181" s="49">
        <f ca="1"/>
        <v>0</v>
      </c>
      <c r="AJ181" s="49">
        <f ca="1"/>
        <v>0</v>
      </c>
      <c r="AK181" s="49">
        <f ca="1"/>
        <v>0</v>
      </c>
      <c r="AL181" s="49">
        <f ca="1"/>
        <v>0</v>
      </c>
      <c r="AM181" s="49">
        <f ca="1"/>
        <v>0</v>
      </c>
      <c r="AN181" s="49">
        <f ca="1"/>
        <v>0</v>
      </c>
      <c r="AO181" s="49">
        <f ca="1"/>
        <v>0</v>
      </c>
      <c r="AP181" s="49">
        <f ca="1"/>
        <v>0</v>
      </c>
      <c r="AQ181" s="49">
        <f ca="1"/>
        <v>0</v>
      </c>
      <c r="AR181" s="49">
        <f ca="1"/>
        <v>0</v>
      </c>
      <c r="AS181" s="49">
        <f ca="1"/>
        <v>0</v>
      </c>
      <c r="AT181" s="49">
        <f ca="1"/>
        <v>0</v>
      </c>
      <c r="AU181" s="49">
        <f ca="1"/>
        <v>0</v>
      </c>
      <c r="AV181" s="49">
        <f ca="1"/>
        <v>0</v>
      </c>
      <c r="AW181" s="49">
        <f ca="1"/>
        <v>0</v>
      </c>
      <c r="AX181" s="49">
        <f ca="1"/>
        <v>0</v>
      </c>
      <c r="AY181" s="49">
        <f ca="1"/>
        <v>0</v>
      </c>
      <c r="AZ181" s="49">
        <f ca="1"/>
        <v>0</v>
      </c>
      <c r="BA181" s="49">
        <f ca="1"/>
        <v>0</v>
      </c>
      <c r="BB181" s="49">
        <f ca="1"/>
        <v>0</v>
      </c>
      <c r="BC181" s="49">
        <f ca="1"/>
        <v>0</v>
      </c>
      <c r="BD181" s="49">
        <f ca="1"/>
        <v>0</v>
      </c>
      <c r="BE181" s="49">
        <f ca="1"/>
        <v>0</v>
      </c>
      <c r="BF181" s="49">
        <f ca="1"/>
        <v>0</v>
      </c>
      <c r="BG181" s="49">
        <f ca="1"/>
        <v>0</v>
      </c>
      <c r="BH181" s="49">
        <f ca="1"/>
        <v>0</v>
      </c>
      <c r="BI181" s="49">
        <f ca="1"/>
        <v>0</v>
      </c>
      <c r="BJ181" s="49">
        <f ca="1"/>
        <v>0</v>
      </c>
      <c r="BK181" s="49">
        <f ca="1"/>
        <v>0</v>
      </c>
      <c r="BL181" s="49">
        <f ca="1"/>
        <v>0</v>
      </c>
      <c r="BM181" s="49">
        <f ca="1"/>
        <v>0</v>
      </c>
      <c r="BN181" s="49">
        <f ca="1"/>
        <v>0</v>
      </c>
      <c r="BO181" s="49">
        <f ca="1"/>
        <v>0</v>
      </c>
      <c r="BP181" s="49">
        <f ca="1"/>
        <v>0</v>
      </c>
      <c r="BQ181" s="49">
        <f ca="1"/>
        <v>0</v>
      </c>
      <c r="BR181" s="49">
        <f ca="1"/>
        <v>0</v>
      </c>
      <c r="BS181" s="49">
        <f ca="1"/>
        <v>0</v>
      </c>
    </row>
    <row r="182" spans="3:71" outlineLevel="1" x14ac:dyDescent="0.2">
      <c r="D182" s="11" t="s">
        <v>179</v>
      </c>
      <c r="I182" s="30">
        <f ca="1">SUM($L182:$BS182)</f>
        <v>1402.039736685756</v>
      </c>
      <c r="J182" s="26" t="s">
        <v>148</v>
      </c>
      <c r="K182" s="7" t="s">
        <v>180</v>
      </c>
      <c r="L182" s="49">
        <f ca="1">SUM(L180:L181)</f>
        <v>89.920497876974252</v>
      </c>
      <c r="M182" s="49">
        <f t="shared" ref="M182:BS182" ca="1" si="30">SUM(M180:M181)</f>
        <v>84.941517042350952</v>
      </c>
      <c r="N182" s="49">
        <f t="shared" ca="1" si="30"/>
        <v>32.04748428013</v>
      </c>
      <c r="O182" s="49">
        <f t="shared" ca="1" si="30"/>
        <v>30.249938780804186</v>
      </c>
      <c r="P182" s="49">
        <f t="shared" ca="1" si="30"/>
        <v>83.908955447749634</v>
      </c>
      <c r="Q182" s="49">
        <f t="shared" ca="1" si="30"/>
        <v>166.79194396705222</v>
      </c>
      <c r="R182" s="49">
        <f t="shared" ca="1" si="30"/>
        <v>159.20770362589934</v>
      </c>
      <c r="S182" s="49">
        <f t="shared" ca="1" si="30"/>
        <v>92.421239245920006</v>
      </c>
      <c r="T182" s="49">
        <f t="shared" ca="1" si="30"/>
        <v>141.02774710756989</v>
      </c>
      <c r="U182" s="49">
        <f t="shared" ca="1" si="30"/>
        <v>140.7809638150776</v>
      </c>
      <c r="V182" s="49">
        <f t="shared" ca="1" si="30"/>
        <v>133.54482227498258</v>
      </c>
      <c r="W182" s="49">
        <f t="shared" ca="1" si="30"/>
        <v>127.02768859747326</v>
      </c>
      <c r="X182" s="49">
        <f t="shared" ca="1" si="30"/>
        <v>120.16923462377197</v>
      </c>
      <c r="Y182" s="49">
        <f t="shared" ca="1" si="30"/>
        <v>0</v>
      </c>
      <c r="Z182" s="49">
        <f t="shared" ca="1" si="30"/>
        <v>0</v>
      </c>
      <c r="AA182" s="49">
        <f t="shared" ca="1" si="30"/>
        <v>0</v>
      </c>
      <c r="AB182" s="49">
        <f t="shared" ca="1" si="30"/>
        <v>0</v>
      </c>
      <c r="AC182" s="49">
        <f t="shared" ca="1" si="30"/>
        <v>0</v>
      </c>
      <c r="AD182" s="49">
        <f t="shared" ca="1" si="30"/>
        <v>0</v>
      </c>
      <c r="AE182" s="49">
        <f t="shared" ca="1" si="30"/>
        <v>0</v>
      </c>
      <c r="AF182" s="49">
        <f t="shared" ca="1" si="30"/>
        <v>0</v>
      </c>
      <c r="AG182" s="49">
        <f t="shared" ca="1" si="30"/>
        <v>0</v>
      </c>
      <c r="AH182" s="49">
        <f t="shared" ca="1" si="30"/>
        <v>0</v>
      </c>
      <c r="AI182" s="49">
        <f t="shared" ca="1" si="30"/>
        <v>0</v>
      </c>
      <c r="AJ182" s="49">
        <f t="shared" ca="1" si="30"/>
        <v>0</v>
      </c>
      <c r="AK182" s="49">
        <f t="shared" ca="1" si="30"/>
        <v>0</v>
      </c>
      <c r="AL182" s="49">
        <f t="shared" ca="1" si="30"/>
        <v>0</v>
      </c>
      <c r="AM182" s="49">
        <f t="shared" ca="1" si="30"/>
        <v>0</v>
      </c>
      <c r="AN182" s="49">
        <f t="shared" ca="1" si="30"/>
        <v>0</v>
      </c>
      <c r="AO182" s="49">
        <f t="shared" ca="1" si="30"/>
        <v>0</v>
      </c>
      <c r="AP182" s="49">
        <f t="shared" ca="1" si="30"/>
        <v>0</v>
      </c>
      <c r="AQ182" s="49">
        <f t="shared" ca="1" si="30"/>
        <v>0</v>
      </c>
      <c r="AR182" s="49">
        <f t="shared" ca="1" si="30"/>
        <v>0</v>
      </c>
      <c r="AS182" s="49">
        <f t="shared" ca="1" si="30"/>
        <v>0</v>
      </c>
      <c r="AT182" s="49">
        <f t="shared" ca="1" si="30"/>
        <v>0</v>
      </c>
      <c r="AU182" s="49">
        <f t="shared" ca="1" si="30"/>
        <v>0</v>
      </c>
      <c r="AV182" s="49">
        <f t="shared" ca="1" si="30"/>
        <v>0</v>
      </c>
      <c r="AW182" s="49">
        <f t="shared" ca="1" si="30"/>
        <v>0</v>
      </c>
      <c r="AX182" s="49">
        <f t="shared" ca="1" si="30"/>
        <v>0</v>
      </c>
      <c r="AY182" s="49">
        <f t="shared" ca="1" si="30"/>
        <v>0</v>
      </c>
      <c r="AZ182" s="49">
        <f t="shared" ca="1" si="30"/>
        <v>0</v>
      </c>
      <c r="BA182" s="49">
        <f t="shared" ca="1" si="30"/>
        <v>0</v>
      </c>
      <c r="BB182" s="49">
        <f t="shared" ca="1" si="30"/>
        <v>0</v>
      </c>
      <c r="BC182" s="49">
        <f t="shared" ca="1" si="30"/>
        <v>0</v>
      </c>
      <c r="BD182" s="49">
        <f t="shared" ca="1" si="30"/>
        <v>0</v>
      </c>
      <c r="BE182" s="49">
        <f t="shared" ca="1" si="30"/>
        <v>0</v>
      </c>
      <c r="BF182" s="49">
        <f t="shared" ca="1" si="30"/>
        <v>0</v>
      </c>
      <c r="BG182" s="49">
        <f t="shared" ca="1" si="30"/>
        <v>0</v>
      </c>
      <c r="BH182" s="49">
        <f t="shared" ca="1" si="30"/>
        <v>0</v>
      </c>
      <c r="BI182" s="49">
        <f t="shared" ca="1" si="30"/>
        <v>0</v>
      </c>
      <c r="BJ182" s="49">
        <f t="shared" ca="1" si="30"/>
        <v>0</v>
      </c>
      <c r="BK182" s="49">
        <f t="shared" ca="1" si="30"/>
        <v>0</v>
      </c>
      <c r="BL182" s="49">
        <f t="shared" ca="1" si="30"/>
        <v>0</v>
      </c>
      <c r="BM182" s="49">
        <f t="shared" ca="1" si="30"/>
        <v>0</v>
      </c>
      <c r="BN182" s="49">
        <f t="shared" ca="1" si="30"/>
        <v>0</v>
      </c>
      <c r="BO182" s="49">
        <f t="shared" ca="1" si="30"/>
        <v>0</v>
      </c>
      <c r="BP182" s="49">
        <f t="shared" ca="1" si="30"/>
        <v>0</v>
      </c>
      <c r="BQ182" s="49">
        <f t="shared" ca="1" si="30"/>
        <v>0</v>
      </c>
      <c r="BR182" s="49">
        <f t="shared" ca="1" si="30"/>
        <v>0</v>
      </c>
      <c r="BS182" s="49">
        <f t="shared" ca="1" si="30"/>
        <v>0</v>
      </c>
    </row>
    <row r="183" spans="3:71" outlineLevel="1" x14ac:dyDescent="0.2">
      <c r="J183" s="26"/>
      <c r="L183" s="55"/>
      <c r="M183" s="55"/>
      <c r="N183" s="55"/>
      <c r="O183" s="55"/>
      <c r="P183" s="55"/>
      <c r="Q183" s="55"/>
      <c r="R183" s="55"/>
      <c r="S183" s="55"/>
      <c r="T183" s="55"/>
      <c r="U183" s="55"/>
      <c r="V183" s="55"/>
      <c r="W183" s="55"/>
      <c r="X183" s="55"/>
      <c r="Y183" s="55"/>
      <c r="Z183" s="55"/>
      <c r="AA183" s="55"/>
      <c r="AB183" s="55"/>
      <c r="AC183" s="55"/>
      <c r="AD183" s="55"/>
      <c r="AE183" s="55"/>
      <c r="AF183" s="55"/>
      <c r="AG183" s="55"/>
      <c r="AH183" s="55"/>
      <c r="AI183" s="55"/>
      <c r="AJ183" s="55"/>
      <c r="AK183" s="55"/>
      <c r="AL183" s="55"/>
      <c r="AM183" s="55"/>
      <c r="AN183" s="55"/>
      <c r="AO183" s="55"/>
      <c r="AP183" s="55"/>
      <c r="AQ183" s="55"/>
      <c r="AR183" s="55"/>
      <c r="AS183" s="55"/>
      <c r="AT183" s="55"/>
      <c r="AU183" s="55"/>
      <c r="AV183" s="55"/>
      <c r="AW183" s="55"/>
      <c r="AX183" s="55"/>
      <c r="AY183" s="55"/>
      <c r="AZ183" s="55"/>
      <c r="BA183" s="55"/>
      <c r="BB183" s="55"/>
      <c r="BC183" s="55"/>
      <c r="BD183" s="55"/>
      <c r="BE183" s="55"/>
      <c r="BF183" s="55"/>
      <c r="BG183" s="55"/>
      <c r="BH183" s="55"/>
      <c r="BI183" s="55"/>
      <c r="BJ183" s="55"/>
      <c r="BK183" s="55"/>
      <c r="BL183" s="55"/>
      <c r="BM183" s="55"/>
      <c r="BN183" s="55"/>
      <c r="BO183" s="55"/>
      <c r="BP183" s="55"/>
      <c r="BQ183" s="55"/>
      <c r="BR183" s="55"/>
      <c r="BS183" s="55"/>
    </row>
    <row r="184" spans="3:71" outlineLevel="1" x14ac:dyDescent="0.2">
      <c r="J184" s="26"/>
      <c r="L184" s="55"/>
      <c r="M184" s="55"/>
      <c r="N184" s="55"/>
      <c r="O184" s="55"/>
      <c r="P184" s="55"/>
      <c r="Q184" s="55"/>
      <c r="R184" s="55"/>
      <c r="S184" s="55"/>
      <c r="T184" s="55"/>
      <c r="U184" s="55"/>
      <c r="V184" s="55"/>
      <c r="W184" s="55"/>
      <c r="X184" s="55"/>
      <c r="Y184" s="55"/>
      <c r="Z184" s="55"/>
      <c r="AA184" s="55"/>
      <c r="AB184" s="55"/>
      <c r="AC184" s="55"/>
      <c r="AD184" s="55"/>
      <c r="AE184" s="55"/>
      <c r="AF184" s="55"/>
      <c r="AG184" s="55"/>
      <c r="AH184" s="55"/>
      <c r="AI184" s="55"/>
      <c r="AJ184" s="55"/>
      <c r="AK184" s="55"/>
      <c r="AL184" s="55"/>
      <c r="AM184" s="55"/>
      <c r="AN184" s="55"/>
      <c r="AO184" s="55"/>
      <c r="AP184" s="55"/>
      <c r="AQ184" s="55"/>
      <c r="AR184" s="55"/>
      <c r="AS184" s="55"/>
      <c r="AT184" s="55"/>
      <c r="AU184" s="55"/>
      <c r="AV184" s="55"/>
      <c r="AW184" s="55"/>
      <c r="AX184" s="55"/>
      <c r="AY184" s="55"/>
      <c r="AZ184" s="55"/>
      <c r="BA184" s="55"/>
      <c r="BB184" s="55"/>
      <c r="BC184" s="55"/>
      <c r="BD184" s="55"/>
      <c r="BE184" s="55"/>
      <c r="BF184" s="55"/>
      <c r="BG184" s="55"/>
      <c r="BH184" s="55"/>
      <c r="BI184" s="55"/>
      <c r="BJ184" s="55"/>
      <c r="BK184" s="55"/>
      <c r="BL184" s="55"/>
      <c r="BM184" s="55"/>
      <c r="BN184" s="55"/>
      <c r="BO184" s="55"/>
      <c r="BP184" s="55"/>
      <c r="BQ184" s="55"/>
      <c r="BR184" s="55"/>
      <c r="BS184" s="55"/>
    </row>
    <row r="185" spans="3:71" outlineLevel="1" x14ac:dyDescent="0.2">
      <c r="C185" s="11" t="s">
        <v>74</v>
      </c>
      <c r="J185" s="26"/>
      <c r="L185" s="55"/>
      <c r="M185" s="55"/>
      <c r="N185" s="55"/>
      <c r="O185" s="55"/>
      <c r="P185" s="55"/>
      <c r="Q185" s="55"/>
      <c r="R185" s="55"/>
      <c r="S185" s="55"/>
      <c r="T185" s="55"/>
      <c r="U185" s="55"/>
      <c r="V185" s="55"/>
      <c r="W185" s="55"/>
      <c r="X185" s="55"/>
      <c r="Y185" s="55"/>
      <c r="Z185" s="55"/>
      <c r="AA185" s="55"/>
      <c r="AB185" s="55"/>
      <c r="AC185" s="55"/>
      <c r="AD185" s="55"/>
      <c r="AE185" s="55"/>
      <c r="AF185" s="55"/>
      <c r="AG185" s="55"/>
      <c r="AH185" s="55"/>
      <c r="AI185" s="55"/>
      <c r="AJ185" s="55"/>
      <c r="AK185" s="55"/>
      <c r="AL185" s="55"/>
      <c r="AM185" s="55"/>
      <c r="AN185" s="55"/>
      <c r="AO185" s="55"/>
      <c r="AP185" s="55"/>
      <c r="AQ185" s="55"/>
      <c r="AR185" s="55"/>
      <c r="AS185" s="55"/>
      <c r="AT185" s="55"/>
      <c r="AU185" s="55"/>
      <c r="AV185" s="55"/>
      <c r="AW185" s="55"/>
      <c r="AX185" s="55"/>
      <c r="AY185" s="55"/>
      <c r="AZ185" s="55"/>
      <c r="BA185" s="55"/>
      <c r="BB185" s="55"/>
      <c r="BC185" s="55"/>
      <c r="BD185" s="55"/>
      <c r="BE185" s="55"/>
      <c r="BF185" s="55"/>
      <c r="BG185" s="55"/>
      <c r="BH185" s="55"/>
      <c r="BI185" s="55"/>
      <c r="BJ185" s="55"/>
      <c r="BK185" s="55"/>
      <c r="BL185" s="55"/>
      <c r="BM185" s="55"/>
      <c r="BN185" s="55"/>
      <c r="BO185" s="55"/>
      <c r="BP185" s="55"/>
      <c r="BQ185" s="55"/>
      <c r="BR185" s="55"/>
      <c r="BS185" s="55"/>
    </row>
    <row r="186" spans="3:71" outlineLevel="1" x14ac:dyDescent="0.2">
      <c r="D186" s="11" t="s">
        <v>181</v>
      </c>
      <c r="J186" s="26"/>
      <c r="L186" s="55"/>
      <c r="M186" s="55"/>
      <c r="N186" s="55"/>
      <c r="O186" s="55"/>
      <c r="P186" s="55"/>
      <c r="Q186" s="55"/>
      <c r="R186" s="55"/>
      <c r="S186" s="55"/>
      <c r="T186" s="55"/>
      <c r="U186" s="55"/>
      <c r="V186" s="55"/>
      <c r="W186" s="55"/>
      <c r="X186" s="55"/>
      <c r="Y186" s="55"/>
      <c r="Z186" s="55"/>
      <c r="AA186" s="55"/>
      <c r="AB186" s="55"/>
      <c r="AC186" s="55"/>
      <c r="AD186" s="55"/>
      <c r="AE186" s="55"/>
      <c r="AF186" s="55"/>
      <c r="AG186" s="55"/>
      <c r="AH186" s="55"/>
      <c r="AI186" s="55"/>
      <c r="AJ186" s="55"/>
      <c r="AK186" s="55"/>
      <c r="AL186" s="55"/>
      <c r="AM186" s="55"/>
      <c r="AN186" s="55"/>
      <c r="AO186" s="55"/>
      <c r="AP186" s="55"/>
      <c r="AQ186" s="55"/>
      <c r="AR186" s="55"/>
      <c r="AS186" s="55"/>
      <c r="AT186" s="55"/>
      <c r="AU186" s="55"/>
      <c r="AV186" s="55"/>
      <c r="AW186" s="55"/>
      <c r="AX186" s="55"/>
      <c r="AY186" s="55"/>
      <c r="AZ186" s="55"/>
      <c r="BA186" s="55"/>
      <c r="BB186" s="55"/>
      <c r="BC186" s="55"/>
      <c r="BD186" s="55"/>
      <c r="BE186" s="55"/>
      <c r="BF186" s="55"/>
      <c r="BG186" s="55"/>
      <c r="BH186" s="55"/>
      <c r="BI186" s="55"/>
      <c r="BJ186" s="55"/>
      <c r="BK186" s="55"/>
      <c r="BL186" s="55"/>
      <c r="BM186" s="55"/>
      <c r="BN186" s="55"/>
      <c r="BO186" s="55"/>
      <c r="BP186" s="55"/>
      <c r="BQ186" s="55"/>
      <c r="BR186" s="55"/>
      <c r="BS186" s="55"/>
    </row>
    <row r="187" spans="3:71" outlineLevel="1" x14ac:dyDescent="0.2">
      <c r="D187" s="50" t="s">
        <v>182</v>
      </c>
      <c r="I187" s="30">
        <f ca="1">SUM($L187:$BS187)</f>
        <v>3502.3183539519996</v>
      </c>
      <c r="J187" s="26" t="s">
        <v>148</v>
      </c>
      <c r="K187" s="7" t="s">
        <v>196</v>
      </c>
      <c r="L187" s="49" cm="1">
        <f t="array" aca="1" ref="L187:BS187" ca="1">Haute_Mer_1994!CA_opex_total_nom</f>
        <v>148.06899999999999</v>
      </c>
      <c r="M187" s="49">
        <f ca="1"/>
        <v>183.88499999999999</v>
      </c>
      <c r="N187" s="49">
        <f ca="1"/>
        <v>135.70400000000001</v>
      </c>
      <c r="O187" s="49">
        <f ca="1"/>
        <v>240.88499999999999</v>
      </c>
      <c r="P187" s="49">
        <f ca="1"/>
        <v>536.79</v>
      </c>
      <c r="Q187" s="49">
        <f ca="1"/>
        <v>243.78</v>
      </c>
      <c r="R187" s="49">
        <f ca="1"/>
        <v>281.8</v>
      </c>
      <c r="S187" s="49">
        <f ca="1"/>
        <v>286.3</v>
      </c>
      <c r="T187" s="49">
        <f ca="1"/>
        <v>283.39999999999998</v>
      </c>
      <c r="U187" s="49">
        <f ca="1"/>
        <v>286.21200000000005</v>
      </c>
      <c r="V187" s="49">
        <f ca="1"/>
        <v>289.02312000000001</v>
      </c>
      <c r="W187" s="49">
        <f ca="1"/>
        <v>291.8322</v>
      </c>
      <c r="X187" s="49">
        <f ca="1"/>
        <v>294.638033952</v>
      </c>
      <c r="Y187" s="49">
        <f ca="1"/>
        <v>0</v>
      </c>
      <c r="Z187" s="49">
        <f ca="1"/>
        <v>0</v>
      </c>
      <c r="AA187" s="49">
        <f ca="1"/>
        <v>0</v>
      </c>
      <c r="AB187" s="49">
        <f ca="1"/>
        <v>0</v>
      </c>
      <c r="AC187" s="49">
        <f ca="1"/>
        <v>0</v>
      </c>
      <c r="AD187" s="49">
        <f ca="1"/>
        <v>0</v>
      </c>
      <c r="AE187" s="49">
        <f ca="1"/>
        <v>0</v>
      </c>
      <c r="AF187" s="49">
        <f ca="1"/>
        <v>0</v>
      </c>
      <c r="AG187" s="49">
        <f ca="1"/>
        <v>0</v>
      </c>
      <c r="AH187" s="49">
        <f ca="1"/>
        <v>0</v>
      </c>
      <c r="AI187" s="49">
        <f ca="1"/>
        <v>0</v>
      </c>
      <c r="AJ187" s="49">
        <f ca="1"/>
        <v>0</v>
      </c>
      <c r="AK187" s="49">
        <f ca="1"/>
        <v>0</v>
      </c>
      <c r="AL187" s="49">
        <f ca="1"/>
        <v>0</v>
      </c>
      <c r="AM187" s="49">
        <f ca="1"/>
        <v>0</v>
      </c>
      <c r="AN187" s="49">
        <f ca="1"/>
        <v>0</v>
      </c>
      <c r="AO187" s="49">
        <f ca="1"/>
        <v>0</v>
      </c>
      <c r="AP187" s="49">
        <f ca="1"/>
        <v>0</v>
      </c>
      <c r="AQ187" s="49">
        <f ca="1"/>
        <v>0</v>
      </c>
      <c r="AR187" s="49">
        <f ca="1"/>
        <v>0</v>
      </c>
      <c r="AS187" s="49">
        <f ca="1"/>
        <v>0</v>
      </c>
      <c r="AT187" s="49">
        <f ca="1"/>
        <v>0</v>
      </c>
      <c r="AU187" s="49">
        <f ca="1"/>
        <v>0</v>
      </c>
      <c r="AV187" s="49">
        <f ca="1"/>
        <v>0</v>
      </c>
      <c r="AW187" s="49">
        <f ca="1"/>
        <v>0</v>
      </c>
      <c r="AX187" s="49">
        <f ca="1"/>
        <v>0</v>
      </c>
      <c r="AY187" s="49">
        <f ca="1"/>
        <v>0</v>
      </c>
      <c r="AZ187" s="49">
        <f ca="1"/>
        <v>0</v>
      </c>
      <c r="BA187" s="49">
        <f ca="1"/>
        <v>0</v>
      </c>
      <c r="BB187" s="49">
        <f ca="1"/>
        <v>0</v>
      </c>
      <c r="BC187" s="49">
        <f ca="1"/>
        <v>0</v>
      </c>
      <c r="BD187" s="49">
        <f ca="1"/>
        <v>0</v>
      </c>
      <c r="BE187" s="49">
        <f ca="1"/>
        <v>0</v>
      </c>
      <c r="BF187" s="49">
        <f ca="1"/>
        <v>0</v>
      </c>
      <c r="BG187" s="49">
        <f ca="1"/>
        <v>0</v>
      </c>
      <c r="BH187" s="49">
        <f ca="1"/>
        <v>0</v>
      </c>
      <c r="BI187" s="49">
        <f ca="1"/>
        <v>0</v>
      </c>
      <c r="BJ187" s="49">
        <f ca="1"/>
        <v>0</v>
      </c>
      <c r="BK187" s="49">
        <f ca="1"/>
        <v>0</v>
      </c>
      <c r="BL187" s="49">
        <f ca="1"/>
        <v>0</v>
      </c>
      <c r="BM187" s="49">
        <f ca="1"/>
        <v>0</v>
      </c>
      <c r="BN187" s="49">
        <f ca="1"/>
        <v>0</v>
      </c>
      <c r="BO187" s="49">
        <f ca="1"/>
        <v>0</v>
      </c>
      <c r="BP187" s="49">
        <f ca="1"/>
        <v>0</v>
      </c>
      <c r="BQ187" s="49">
        <f ca="1"/>
        <v>0</v>
      </c>
      <c r="BR187" s="49">
        <f ca="1"/>
        <v>0</v>
      </c>
      <c r="BS187" s="49">
        <f ca="1"/>
        <v>0</v>
      </c>
    </row>
    <row r="188" spans="3:71" outlineLevel="1" x14ac:dyDescent="0.2">
      <c r="D188" s="50" t="s">
        <v>67</v>
      </c>
      <c r="I188" s="30">
        <f t="shared" ref="I188:I191" ca="1" si="31">SUM($L188:$BS188)</f>
        <v>116.836644723813</v>
      </c>
      <c r="J188" s="26" t="s">
        <v>148</v>
      </c>
      <c r="K188" s="7" t="s">
        <v>197</v>
      </c>
      <c r="L188" s="49" cm="1">
        <f t="array" aca="1" ref="L188:BS188" ca="1">Haute_Mer_1994!CA_pid_fees</f>
        <v>7.4933748230811874</v>
      </c>
      <c r="M188" s="49">
        <f ca="1"/>
        <v>7.0784597535292457</v>
      </c>
      <c r="N188" s="49">
        <f ca="1"/>
        <v>2.6706236900108338</v>
      </c>
      <c r="O188" s="49">
        <f ca="1"/>
        <v>2.5208282317336823</v>
      </c>
      <c r="P188" s="49">
        <f ca="1"/>
        <v>6.9924129539791364</v>
      </c>
      <c r="Q188" s="49">
        <f ca="1"/>
        <v>13.89932866392102</v>
      </c>
      <c r="R188" s="49">
        <f ca="1"/>
        <v>13.267308635491613</v>
      </c>
      <c r="S188" s="49">
        <f ca="1"/>
        <v>7.7017699371600008</v>
      </c>
      <c r="T188" s="49">
        <f ca="1"/>
        <v>11.75231225896416</v>
      </c>
      <c r="U188" s="49">
        <f ca="1"/>
        <v>11.731746984589799</v>
      </c>
      <c r="V188" s="49">
        <f ca="1"/>
        <v>11.128735189581883</v>
      </c>
      <c r="W188" s="49">
        <f ca="1"/>
        <v>10.585640716456105</v>
      </c>
      <c r="X188" s="49">
        <f ca="1"/>
        <v>10.014102885314331</v>
      </c>
      <c r="Y188" s="49">
        <f ca="1"/>
        <v>0</v>
      </c>
      <c r="Z188" s="49">
        <f ca="1"/>
        <v>0</v>
      </c>
      <c r="AA188" s="49">
        <f ca="1"/>
        <v>0</v>
      </c>
      <c r="AB188" s="49">
        <f ca="1"/>
        <v>0</v>
      </c>
      <c r="AC188" s="49">
        <f ca="1"/>
        <v>0</v>
      </c>
      <c r="AD188" s="49">
        <f ca="1"/>
        <v>0</v>
      </c>
      <c r="AE188" s="49">
        <f ca="1"/>
        <v>0</v>
      </c>
      <c r="AF188" s="49">
        <f ca="1"/>
        <v>0</v>
      </c>
      <c r="AG188" s="49">
        <f ca="1"/>
        <v>0</v>
      </c>
      <c r="AH188" s="49">
        <f ca="1"/>
        <v>0</v>
      </c>
      <c r="AI188" s="49">
        <f ca="1"/>
        <v>0</v>
      </c>
      <c r="AJ188" s="49">
        <f ca="1"/>
        <v>0</v>
      </c>
      <c r="AK188" s="49">
        <f ca="1"/>
        <v>0</v>
      </c>
      <c r="AL188" s="49">
        <f ca="1"/>
        <v>0</v>
      </c>
      <c r="AM188" s="49">
        <f ca="1"/>
        <v>0</v>
      </c>
      <c r="AN188" s="49">
        <f ca="1"/>
        <v>0</v>
      </c>
      <c r="AO188" s="49">
        <f ca="1"/>
        <v>0</v>
      </c>
      <c r="AP188" s="49">
        <f ca="1"/>
        <v>0</v>
      </c>
      <c r="AQ188" s="49">
        <f ca="1"/>
        <v>0</v>
      </c>
      <c r="AR188" s="49">
        <f ca="1"/>
        <v>0</v>
      </c>
      <c r="AS188" s="49">
        <f ca="1"/>
        <v>0</v>
      </c>
      <c r="AT188" s="49">
        <f ca="1"/>
        <v>0</v>
      </c>
      <c r="AU188" s="49">
        <f ca="1"/>
        <v>0</v>
      </c>
      <c r="AV188" s="49">
        <f ca="1"/>
        <v>0</v>
      </c>
      <c r="AW188" s="49">
        <f ca="1"/>
        <v>0</v>
      </c>
      <c r="AX188" s="49">
        <f ca="1"/>
        <v>0</v>
      </c>
      <c r="AY188" s="49">
        <f ca="1"/>
        <v>0</v>
      </c>
      <c r="AZ188" s="49">
        <f ca="1"/>
        <v>0</v>
      </c>
      <c r="BA188" s="49">
        <f ca="1"/>
        <v>0</v>
      </c>
      <c r="BB188" s="49">
        <f ca="1"/>
        <v>0</v>
      </c>
      <c r="BC188" s="49">
        <f ca="1"/>
        <v>0</v>
      </c>
      <c r="BD188" s="49">
        <f ca="1"/>
        <v>0</v>
      </c>
      <c r="BE188" s="49">
        <f ca="1"/>
        <v>0</v>
      </c>
      <c r="BF188" s="49">
        <f ca="1"/>
        <v>0</v>
      </c>
      <c r="BG188" s="49">
        <f ca="1"/>
        <v>0</v>
      </c>
      <c r="BH188" s="49">
        <f ca="1"/>
        <v>0</v>
      </c>
      <c r="BI188" s="49">
        <f ca="1"/>
        <v>0</v>
      </c>
      <c r="BJ188" s="49">
        <f ca="1"/>
        <v>0</v>
      </c>
      <c r="BK188" s="49">
        <f ca="1"/>
        <v>0</v>
      </c>
      <c r="BL188" s="49">
        <f ca="1"/>
        <v>0</v>
      </c>
      <c r="BM188" s="49">
        <f ca="1"/>
        <v>0</v>
      </c>
      <c r="BN188" s="49">
        <f ca="1"/>
        <v>0</v>
      </c>
      <c r="BO188" s="49">
        <f ca="1"/>
        <v>0</v>
      </c>
      <c r="BP188" s="49">
        <f ca="1"/>
        <v>0</v>
      </c>
      <c r="BQ188" s="49">
        <f ca="1"/>
        <v>0</v>
      </c>
      <c r="BR188" s="49">
        <f ca="1"/>
        <v>0</v>
      </c>
      <c r="BS188" s="49">
        <f ca="1"/>
        <v>0</v>
      </c>
    </row>
    <row r="189" spans="3:71" outlineLevel="1" x14ac:dyDescent="0.2">
      <c r="D189" s="50" t="s">
        <v>183</v>
      </c>
      <c r="I189" s="30">
        <f t="shared" ca="1" si="31"/>
        <v>10913.591</v>
      </c>
      <c r="J189" s="26" t="s">
        <v>148</v>
      </c>
      <c r="K189" s="7" t="s">
        <v>198</v>
      </c>
      <c r="L189" s="49" cm="1">
        <f t="array" aca="1" ref="L189:BS189" ca="1">Haute_Mer_1994!CA_devex_nom</f>
        <v>1286.7819999999999</v>
      </c>
      <c r="M189" s="49">
        <f ca="1"/>
        <v>2118.212</v>
      </c>
      <c r="N189" s="49">
        <f ca="1"/>
        <v>3130.5740000000001</v>
      </c>
      <c r="O189" s="49">
        <f ca="1"/>
        <v>2571.201</v>
      </c>
      <c r="P189" s="49">
        <f ca="1"/>
        <v>1153.232</v>
      </c>
      <c r="Q189" s="49">
        <f ca="1"/>
        <v>653.59</v>
      </c>
      <c r="R189" s="49">
        <f ca="1"/>
        <v>0</v>
      </c>
      <c r="S189" s="49">
        <f ca="1"/>
        <v>0</v>
      </c>
      <c r="T189" s="49">
        <f ca="1"/>
        <v>0</v>
      </c>
      <c r="U189" s="49">
        <f ca="1"/>
        <v>0</v>
      </c>
      <c r="V189" s="49">
        <f ca="1"/>
        <v>0</v>
      </c>
      <c r="W189" s="49">
        <f ca="1"/>
        <v>0</v>
      </c>
      <c r="X189" s="49">
        <f ca="1"/>
        <v>0</v>
      </c>
      <c r="Y189" s="49">
        <f ca="1"/>
        <v>0</v>
      </c>
      <c r="Z189" s="49">
        <f ca="1"/>
        <v>0</v>
      </c>
      <c r="AA189" s="49">
        <f ca="1"/>
        <v>0</v>
      </c>
      <c r="AB189" s="49">
        <f ca="1"/>
        <v>0</v>
      </c>
      <c r="AC189" s="49">
        <f ca="1"/>
        <v>0</v>
      </c>
      <c r="AD189" s="49">
        <f ca="1"/>
        <v>0</v>
      </c>
      <c r="AE189" s="49">
        <f ca="1"/>
        <v>0</v>
      </c>
      <c r="AF189" s="49">
        <f ca="1"/>
        <v>0</v>
      </c>
      <c r="AG189" s="49">
        <f ca="1"/>
        <v>0</v>
      </c>
      <c r="AH189" s="49">
        <f ca="1"/>
        <v>0</v>
      </c>
      <c r="AI189" s="49">
        <f ca="1"/>
        <v>0</v>
      </c>
      <c r="AJ189" s="49">
        <f ca="1"/>
        <v>0</v>
      </c>
      <c r="AK189" s="49">
        <f ca="1"/>
        <v>0</v>
      </c>
      <c r="AL189" s="49">
        <f ca="1"/>
        <v>0</v>
      </c>
      <c r="AM189" s="49">
        <f ca="1"/>
        <v>0</v>
      </c>
      <c r="AN189" s="49">
        <f ca="1"/>
        <v>0</v>
      </c>
      <c r="AO189" s="49">
        <f ca="1"/>
        <v>0</v>
      </c>
      <c r="AP189" s="49">
        <f ca="1"/>
        <v>0</v>
      </c>
      <c r="AQ189" s="49">
        <f ca="1"/>
        <v>0</v>
      </c>
      <c r="AR189" s="49">
        <f ca="1"/>
        <v>0</v>
      </c>
      <c r="AS189" s="49">
        <f ca="1"/>
        <v>0</v>
      </c>
      <c r="AT189" s="49">
        <f ca="1"/>
        <v>0</v>
      </c>
      <c r="AU189" s="49">
        <f ca="1"/>
        <v>0</v>
      </c>
      <c r="AV189" s="49">
        <f ca="1"/>
        <v>0</v>
      </c>
      <c r="AW189" s="49">
        <f ca="1"/>
        <v>0</v>
      </c>
      <c r="AX189" s="49">
        <f ca="1"/>
        <v>0</v>
      </c>
      <c r="AY189" s="49">
        <f ca="1"/>
        <v>0</v>
      </c>
      <c r="AZ189" s="49">
        <f ca="1"/>
        <v>0</v>
      </c>
      <c r="BA189" s="49">
        <f ca="1"/>
        <v>0</v>
      </c>
      <c r="BB189" s="49">
        <f ca="1"/>
        <v>0</v>
      </c>
      <c r="BC189" s="49">
        <f ca="1"/>
        <v>0</v>
      </c>
      <c r="BD189" s="49">
        <f ca="1"/>
        <v>0</v>
      </c>
      <c r="BE189" s="49">
        <f ca="1"/>
        <v>0</v>
      </c>
      <c r="BF189" s="49">
        <f ca="1"/>
        <v>0</v>
      </c>
      <c r="BG189" s="49">
        <f ca="1"/>
        <v>0</v>
      </c>
      <c r="BH189" s="49">
        <f ca="1"/>
        <v>0</v>
      </c>
      <c r="BI189" s="49">
        <f ca="1"/>
        <v>0</v>
      </c>
      <c r="BJ189" s="49">
        <f ca="1"/>
        <v>0</v>
      </c>
      <c r="BK189" s="49">
        <f ca="1"/>
        <v>0</v>
      </c>
      <c r="BL189" s="49">
        <f ca="1"/>
        <v>0</v>
      </c>
      <c r="BM189" s="49">
        <f ca="1"/>
        <v>0</v>
      </c>
      <c r="BN189" s="49">
        <f ca="1"/>
        <v>0</v>
      </c>
      <c r="BO189" s="49">
        <f ca="1"/>
        <v>0</v>
      </c>
      <c r="BP189" s="49">
        <f ca="1"/>
        <v>0</v>
      </c>
      <c r="BQ189" s="49">
        <f ca="1"/>
        <v>0</v>
      </c>
      <c r="BR189" s="49">
        <f ca="1"/>
        <v>0</v>
      </c>
      <c r="BS189" s="49">
        <f ca="1"/>
        <v>0</v>
      </c>
    </row>
    <row r="190" spans="3:71" outlineLevel="1" x14ac:dyDescent="0.2">
      <c r="D190" s="50" t="s">
        <v>184</v>
      </c>
      <c r="I190" s="30">
        <f t="shared" ca="1" si="31"/>
        <v>0</v>
      </c>
      <c r="J190" s="26" t="s">
        <v>148</v>
      </c>
      <c r="K190" s="7" t="s">
        <v>199</v>
      </c>
      <c r="L190" s="49" cm="1">
        <f t="array" aca="1" ref="L190:BS190" ca="1">Haute_Mer_1994!CA_expex_nom*recov_EandA_toggle</f>
        <v>0</v>
      </c>
      <c r="M190" s="49">
        <f ca="1"/>
        <v>0</v>
      </c>
      <c r="N190" s="49">
        <f ca="1"/>
        <v>0</v>
      </c>
      <c r="O190" s="49">
        <f ca="1"/>
        <v>0</v>
      </c>
      <c r="P190" s="49">
        <f ca="1"/>
        <v>0</v>
      </c>
      <c r="Q190" s="49">
        <f ca="1"/>
        <v>0</v>
      </c>
      <c r="R190" s="49">
        <f ca="1"/>
        <v>0</v>
      </c>
      <c r="S190" s="49">
        <f ca="1"/>
        <v>0</v>
      </c>
      <c r="T190" s="49">
        <f ca="1"/>
        <v>0</v>
      </c>
      <c r="U190" s="49">
        <f ca="1"/>
        <v>0</v>
      </c>
      <c r="V190" s="49">
        <f ca="1"/>
        <v>0</v>
      </c>
      <c r="W190" s="49">
        <f ca="1"/>
        <v>0</v>
      </c>
      <c r="X190" s="49">
        <f ca="1"/>
        <v>0</v>
      </c>
      <c r="Y190" s="49">
        <f ca="1"/>
        <v>0</v>
      </c>
      <c r="Z190" s="49">
        <f ca="1"/>
        <v>0</v>
      </c>
      <c r="AA190" s="49">
        <f ca="1"/>
        <v>0</v>
      </c>
      <c r="AB190" s="49">
        <f ca="1"/>
        <v>0</v>
      </c>
      <c r="AC190" s="49">
        <f ca="1"/>
        <v>0</v>
      </c>
      <c r="AD190" s="49">
        <f ca="1"/>
        <v>0</v>
      </c>
      <c r="AE190" s="49">
        <f ca="1"/>
        <v>0</v>
      </c>
      <c r="AF190" s="49">
        <f ca="1"/>
        <v>0</v>
      </c>
      <c r="AG190" s="49">
        <f ca="1"/>
        <v>0</v>
      </c>
      <c r="AH190" s="49">
        <f ca="1"/>
        <v>0</v>
      </c>
      <c r="AI190" s="49">
        <f ca="1"/>
        <v>0</v>
      </c>
      <c r="AJ190" s="49">
        <f ca="1"/>
        <v>0</v>
      </c>
      <c r="AK190" s="49">
        <f ca="1"/>
        <v>0</v>
      </c>
      <c r="AL190" s="49">
        <f ca="1"/>
        <v>0</v>
      </c>
      <c r="AM190" s="49">
        <f ca="1"/>
        <v>0</v>
      </c>
      <c r="AN190" s="49">
        <f ca="1"/>
        <v>0</v>
      </c>
      <c r="AO190" s="49">
        <f ca="1"/>
        <v>0</v>
      </c>
      <c r="AP190" s="49">
        <f ca="1"/>
        <v>0</v>
      </c>
      <c r="AQ190" s="49">
        <f ca="1"/>
        <v>0</v>
      </c>
      <c r="AR190" s="49">
        <f ca="1"/>
        <v>0</v>
      </c>
      <c r="AS190" s="49">
        <f ca="1"/>
        <v>0</v>
      </c>
      <c r="AT190" s="49">
        <f ca="1"/>
        <v>0</v>
      </c>
      <c r="AU190" s="49">
        <f ca="1"/>
        <v>0</v>
      </c>
      <c r="AV190" s="49">
        <f ca="1"/>
        <v>0</v>
      </c>
      <c r="AW190" s="49">
        <f ca="1"/>
        <v>0</v>
      </c>
      <c r="AX190" s="49">
        <f ca="1"/>
        <v>0</v>
      </c>
      <c r="AY190" s="49">
        <f ca="1"/>
        <v>0</v>
      </c>
      <c r="AZ190" s="49">
        <f ca="1"/>
        <v>0</v>
      </c>
      <c r="BA190" s="49">
        <f ca="1"/>
        <v>0</v>
      </c>
      <c r="BB190" s="49">
        <f ca="1"/>
        <v>0</v>
      </c>
      <c r="BC190" s="49">
        <f ca="1"/>
        <v>0</v>
      </c>
      <c r="BD190" s="49">
        <f ca="1"/>
        <v>0</v>
      </c>
      <c r="BE190" s="49">
        <f ca="1"/>
        <v>0</v>
      </c>
      <c r="BF190" s="49">
        <f ca="1"/>
        <v>0</v>
      </c>
      <c r="BG190" s="49">
        <f ca="1"/>
        <v>0</v>
      </c>
      <c r="BH190" s="49">
        <f ca="1"/>
        <v>0</v>
      </c>
      <c r="BI190" s="49">
        <f ca="1"/>
        <v>0</v>
      </c>
      <c r="BJ190" s="49">
        <f ca="1"/>
        <v>0</v>
      </c>
      <c r="BK190" s="49">
        <f ca="1"/>
        <v>0</v>
      </c>
      <c r="BL190" s="49">
        <f ca="1"/>
        <v>0</v>
      </c>
      <c r="BM190" s="49">
        <f ca="1"/>
        <v>0</v>
      </c>
      <c r="BN190" s="49">
        <f ca="1"/>
        <v>0</v>
      </c>
      <c r="BO190" s="49">
        <f ca="1"/>
        <v>0</v>
      </c>
      <c r="BP190" s="49">
        <f ca="1"/>
        <v>0</v>
      </c>
      <c r="BQ190" s="49">
        <f ca="1"/>
        <v>0</v>
      </c>
      <c r="BR190" s="49">
        <f ca="1"/>
        <v>0</v>
      </c>
      <c r="BS190" s="49">
        <f ca="1"/>
        <v>0</v>
      </c>
    </row>
    <row r="191" spans="3:71" outlineLevel="1" x14ac:dyDescent="0.2">
      <c r="D191" s="51" t="s">
        <v>185</v>
      </c>
      <c r="I191" s="30">
        <f t="shared" ca="1" si="31"/>
        <v>14532.745998675813</v>
      </c>
      <c r="J191" s="26" t="s">
        <v>148</v>
      </c>
      <c r="L191" s="49">
        <f ca="1">SUM(L187:L190)</f>
        <v>1442.3443748230811</v>
      </c>
      <c r="M191" s="49">
        <f t="shared" ref="M191:BS191" ca="1" si="32">SUM(M187:M190)</f>
        <v>2309.1754597535291</v>
      </c>
      <c r="N191" s="49">
        <f t="shared" ca="1" si="32"/>
        <v>3268.9486236900111</v>
      </c>
      <c r="O191" s="49">
        <f t="shared" ca="1" si="32"/>
        <v>2814.6068282317337</v>
      </c>
      <c r="P191" s="49">
        <f t="shared" ca="1" si="32"/>
        <v>1697.014412953979</v>
      </c>
      <c r="Q191" s="49">
        <f t="shared" ca="1" si="32"/>
        <v>911.26932866392099</v>
      </c>
      <c r="R191" s="49">
        <f t="shared" ca="1" si="32"/>
        <v>295.0673086354916</v>
      </c>
      <c r="S191" s="49">
        <f t="shared" ca="1" si="32"/>
        <v>294.00176993716002</v>
      </c>
      <c r="T191" s="49">
        <f t="shared" ca="1" si="32"/>
        <v>295.15231225896412</v>
      </c>
      <c r="U191" s="49">
        <f t="shared" ca="1" si="32"/>
        <v>297.94374698458984</v>
      </c>
      <c r="V191" s="49">
        <f t="shared" ca="1" si="32"/>
        <v>300.15185518958191</v>
      </c>
      <c r="W191" s="49">
        <f t="shared" ca="1" si="32"/>
        <v>302.41784071645611</v>
      </c>
      <c r="X191" s="49">
        <f t="shared" ca="1" si="32"/>
        <v>304.65213683731434</v>
      </c>
      <c r="Y191" s="49">
        <f t="shared" ca="1" si="32"/>
        <v>0</v>
      </c>
      <c r="Z191" s="49">
        <f t="shared" ca="1" si="32"/>
        <v>0</v>
      </c>
      <c r="AA191" s="49">
        <f t="shared" ca="1" si="32"/>
        <v>0</v>
      </c>
      <c r="AB191" s="49">
        <f t="shared" ca="1" si="32"/>
        <v>0</v>
      </c>
      <c r="AC191" s="49">
        <f t="shared" ca="1" si="32"/>
        <v>0</v>
      </c>
      <c r="AD191" s="49">
        <f t="shared" ca="1" si="32"/>
        <v>0</v>
      </c>
      <c r="AE191" s="49">
        <f t="shared" ca="1" si="32"/>
        <v>0</v>
      </c>
      <c r="AF191" s="49">
        <f t="shared" ca="1" si="32"/>
        <v>0</v>
      </c>
      <c r="AG191" s="49">
        <f t="shared" ca="1" si="32"/>
        <v>0</v>
      </c>
      <c r="AH191" s="49">
        <f t="shared" ca="1" si="32"/>
        <v>0</v>
      </c>
      <c r="AI191" s="49">
        <f t="shared" ca="1" si="32"/>
        <v>0</v>
      </c>
      <c r="AJ191" s="49">
        <f t="shared" ca="1" si="32"/>
        <v>0</v>
      </c>
      <c r="AK191" s="49">
        <f t="shared" ca="1" si="32"/>
        <v>0</v>
      </c>
      <c r="AL191" s="49">
        <f t="shared" ca="1" si="32"/>
        <v>0</v>
      </c>
      <c r="AM191" s="49">
        <f t="shared" ca="1" si="32"/>
        <v>0</v>
      </c>
      <c r="AN191" s="49">
        <f t="shared" ca="1" si="32"/>
        <v>0</v>
      </c>
      <c r="AO191" s="49">
        <f t="shared" ca="1" si="32"/>
        <v>0</v>
      </c>
      <c r="AP191" s="49">
        <f t="shared" ca="1" si="32"/>
        <v>0</v>
      </c>
      <c r="AQ191" s="49">
        <f t="shared" ca="1" si="32"/>
        <v>0</v>
      </c>
      <c r="AR191" s="49">
        <f t="shared" ca="1" si="32"/>
        <v>0</v>
      </c>
      <c r="AS191" s="49">
        <f t="shared" ca="1" si="32"/>
        <v>0</v>
      </c>
      <c r="AT191" s="49">
        <f t="shared" ca="1" si="32"/>
        <v>0</v>
      </c>
      <c r="AU191" s="49">
        <f t="shared" ca="1" si="32"/>
        <v>0</v>
      </c>
      <c r="AV191" s="49">
        <f t="shared" ca="1" si="32"/>
        <v>0</v>
      </c>
      <c r="AW191" s="49">
        <f t="shared" ca="1" si="32"/>
        <v>0</v>
      </c>
      <c r="AX191" s="49">
        <f t="shared" ca="1" si="32"/>
        <v>0</v>
      </c>
      <c r="AY191" s="49">
        <f t="shared" ca="1" si="32"/>
        <v>0</v>
      </c>
      <c r="AZ191" s="49">
        <f t="shared" ca="1" si="32"/>
        <v>0</v>
      </c>
      <c r="BA191" s="49">
        <f t="shared" ca="1" si="32"/>
        <v>0</v>
      </c>
      <c r="BB191" s="49">
        <f t="shared" ca="1" si="32"/>
        <v>0</v>
      </c>
      <c r="BC191" s="49">
        <f t="shared" ca="1" si="32"/>
        <v>0</v>
      </c>
      <c r="BD191" s="49">
        <f t="shared" ca="1" si="32"/>
        <v>0</v>
      </c>
      <c r="BE191" s="49">
        <f t="shared" ca="1" si="32"/>
        <v>0</v>
      </c>
      <c r="BF191" s="49">
        <f t="shared" ca="1" si="32"/>
        <v>0</v>
      </c>
      <c r="BG191" s="49">
        <f t="shared" ca="1" si="32"/>
        <v>0</v>
      </c>
      <c r="BH191" s="49">
        <f t="shared" ca="1" si="32"/>
        <v>0</v>
      </c>
      <c r="BI191" s="49">
        <f t="shared" ca="1" si="32"/>
        <v>0</v>
      </c>
      <c r="BJ191" s="49">
        <f t="shared" ca="1" si="32"/>
        <v>0</v>
      </c>
      <c r="BK191" s="49">
        <f t="shared" ca="1" si="32"/>
        <v>0</v>
      </c>
      <c r="BL191" s="49">
        <f t="shared" ca="1" si="32"/>
        <v>0</v>
      </c>
      <c r="BM191" s="49">
        <f t="shared" ca="1" si="32"/>
        <v>0</v>
      </c>
      <c r="BN191" s="49">
        <f t="shared" ca="1" si="32"/>
        <v>0</v>
      </c>
      <c r="BO191" s="49">
        <f t="shared" ca="1" si="32"/>
        <v>0</v>
      </c>
      <c r="BP191" s="49">
        <f t="shared" ca="1" si="32"/>
        <v>0</v>
      </c>
      <c r="BQ191" s="49">
        <f t="shared" ca="1" si="32"/>
        <v>0</v>
      </c>
      <c r="BR191" s="49">
        <f t="shared" ca="1" si="32"/>
        <v>0</v>
      </c>
      <c r="BS191" s="49">
        <f t="shared" ca="1" si="32"/>
        <v>0</v>
      </c>
    </row>
    <row r="192" spans="3:71" outlineLevel="1" x14ac:dyDescent="0.2">
      <c r="J192" s="26"/>
      <c r="L192" s="55"/>
      <c r="M192" s="55"/>
      <c r="N192" s="55"/>
      <c r="O192" s="55"/>
      <c r="P192" s="55"/>
      <c r="Q192" s="55"/>
      <c r="R192" s="55"/>
      <c r="S192" s="55"/>
      <c r="T192" s="55"/>
      <c r="U192" s="55"/>
      <c r="V192" s="55"/>
      <c r="W192" s="55"/>
      <c r="X192" s="55"/>
      <c r="Y192" s="55"/>
      <c r="Z192" s="55"/>
      <c r="AA192" s="55"/>
      <c r="AB192" s="55"/>
      <c r="AC192" s="55"/>
      <c r="AD192" s="55"/>
      <c r="AE192" s="55"/>
      <c r="AF192" s="55"/>
      <c r="AG192" s="55"/>
      <c r="AH192" s="55"/>
      <c r="AI192" s="55"/>
      <c r="AJ192" s="55"/>
      <c r="AK192" s="55"/>
      <c r="AL192" s="55"/>
      <c r="AM192" s="55"/>
      <c r="AN192" s="55"/>
      <c r="AO192" s="55"/>
      <c r="AP192" s="55"/>
      <c r="AQ192" s="55"/>
      <c r="AR192" s="55"/>
      <c r="AS192" s="55"/>
      <c r="AT192" s="55"/>
      <c r="AU192" s="55"/>
      <c r="AV192" s="55"/>
      <c r="AW192" s="55"/>
      <c r="AX192" s="55"/>
      <c r="AY192" s="55"/>
      <c r="AZ192" s="55"/>
      <c r="BA192" s="55"/>
      <c r="BB192" s="55"/>
      <c r="BC192" s="55"/>
      <c r="BD192" s="55"/>
      <c r="BE192" s="55"/>
      <c r="BF192" s="55"/>
      <c r="BG192" s="55"/>
      <c r="BH192" s="55"/>
      <c r="BI192" s="55"/>
      <c r="BJ192" s="55"/>
      <c r="BK192" s="55"/>
      <c r="BL192" s="55"/>
      <c r="BM192" s="55"/>
      <c r="BN192" s="55"/>
      <c r="BO192" s="55"/>
      <c r="BP192" s="55"/>
      <c r="BQ192" s="55"/>
      <c r="BR192" s="55"/>
      <c r="BS192" s="55"/>
    </row>
    <row r="193" spans="4:71" outlineLevel="1" x14ac:dyDescent="0.2">
      <c r="D193" s="11" t="s">
        <v>76</v>
      </c>
      <c r="I193" s="30">
        <f t="shared" ref="I193" ca="1" si="33">SUM($L193:$BS193)</f>
        <v>5841.8322361906494</v>
      </c>
      <c r="J193" s="26" t="s">
        <v>148</v>
      </c>
      <c r="K193" s="7" t="s">
        <v>189</v>
      </c>
      <c r="L193" s="49">
        <f ca="1">IF(AND(_xlfn.SINGLE(Haute_Mer_1994!CA_FP_oil_nom)&gt;0,_xlfn.SINGLE(Haute_Mer_1994!CA_FP_oil_nom)&lt;=_xlfn.SINGLE(cost_stop_p1)),cost_stop_perbbl1*_xlfn.SINGLE(Haute_Mer_1994!CA_gross_prod_oil),
IF(AND(_xlfn.SINGLE(Haute_Mer_1994!CA_FP_oil_nom)&gt;cost_stop_p1,_xlfn.SINGLE(Haute_Mer_1994!CA_FP_oil_nom)&lt;=cost_stop_p2),cost_stop_perbbl2*_xlfn.SINGLE(Haute_Mer_1994!CA_gross_prod_oil),
cost_stop_perc*(_xlfn.SINGLE(Haute_Mer_1994!CA_gross_rev_total_fp))))</f>
        <v>374.66874115405938</v>
      </c>
      <c r="M193" s="49">
        <f ca="1">IF(AND(_xlfn.SINGLE(Haute_Mer_1994!CA_FP_oil_nom)&gt;0,_xlfn.SINGLE(Haute_Mer_1994!CA_FP_oil_nom)&lt;=_xlfn.SINGLE(cost_stop_p1)),cost_stop_perbbl1*_xlfn.SINGLE(Haute_Mer_1994!CA_gross_prod_oil),
IF(AND(_xlfn.SINGLE(Haute_Mer_1994!CA_FP_oil_nom)&gt;cost_stop_p1,_xlfn.SINGLE(Haute_Mer_1994!CA_FP_oil_nom)&lt;=cost_stop_p2),cost_stop_perbbl2*_xlfn.SINGLE(Haute_Mer_1994!CA_gross_prod_oil),
cost_stop_perc*(_xlfn.SINGLE(Haute_Mer_1994!CA_gross_rev_total_fp))))</f>
        <v>353.9229876764623</v>
      </c>
      <c r="N193" s="49">
        <f ca="1">IF(AND(_xlfn.SINGLE(Haute_Mer_1994!CA_FP_oil_nom)&gt;0,_xlfn.SINGLE(Haute_Mer_1994!CA_FP_oil_nom)&lt;=_xlfn.SINGLE(cost_stop_p1)),cost_stop_perbbl1*_xlfn.SINGLE(Haute_Mer_1994!CA_gross_prod_oil),
IF(AND(_xlfn.SINGLE(Haute_Mer_1994!CA_FP_oil_nom)&gt;cost_stop_p1,_xlfn.SINGLE(Haute_Mer_1994!CA_FP_oil_nom)&lt;=cost_stop_p2),cost_stop_perbbl2*_xlfn.SINGLE(Haute_Mer_1994!CA_gross_prod_oil),
cost_stop_perc*(_xlfn.SINGLE(Haute_Mer_1994!CA_gross_rev_total_fp))))</f>
        <v>133.53118450054168</v>
      </c>
      <c r="O193" s="49">
        <f ca="1">IF(AND(_xlfn.SINGLE(Haute_Mer_1994!CA_FP_oil_nom)&gt;0,_xlfn.SINGLE(Haute_Mer_1994!CA_FP_oil_nom)&lt;=_xlfn.SINGLE(cost_stop_p1)),cost_stop_perbbl1*_xlfn.SINGLE(Haute_Mer_1994!CA_gross_prod_oil),
IF(AND(_xlfn.SINGLE(Haute_Mer_1994!CA_FP_oil_nom)&gt;cost_stop_p1,_xlfn.SINGLE(Haute_Mer_1994!CA_FP_oil_nom)&lt;=cost_stop_p2),cost_stop_perbbl2*_xlfn.SINGLE(Haute_Mer_1994!CA_gross_prod_oil),
cost_stop_perc*(_xlfn.SINGLE(Haute_Mer_1994!CA_gross_rev_total_fp))))</f>
        <v>126.04141158668411</v>
      </c>
      <c r="P193" s="49">
        <f ca="1">IF(AND(_xlfn.SINGLE(Haute_Mer_1994!CA_FP_oil_nom)&gt;0,_xlfn.SINGLE(Haute_Mer_1994!CA_FP_oil_nom)&lt;=_xlfn.SINGLE(cost_stop_p1)),cost_stop_perbbl1*_xlfn.SINGLE(Haute_Mer_1994!CA_gross_prod_oil),
IF(AND(_xlfn.SINGLE(Haute_Mer_1994!CA_FP_oil_nom)&gt;cost_stop_p1,_xlfn.SINGLE(Haute_Mer_1994!CA_FP_oil_nom)&lt;=cost_stop_p2),cost_stop_perbbl2*_xlfn.SINGLE(Haute_Mer_1994!CA_gross_prod_oil),
cost_stop_perc*(_xlfn.SINGLE(Haute_Mer_1994!CA_gross_rev_total_fp))))</f>
        <v>349.62064769895682</v>
      </c>
      <c r="Q193" s="49">
        <f ca="1">IF(AND(_xlfn.SINGLE(Haute_Mer_1994!CA_FP_oil_nom)&gt;0,_xlfn.SINGLE(Haute_Mer_1994!CA_FP_oil_nom)&lt;=_xlfn.SINGLE(cost_stop_p1)),cost_stop_perbbl1*_xlfn.SINGLE(Haute_Mer_1994!CA_gross_prod_oil),
IF(AND(_xlfn.SINGLE(Haute_Mer_1994!CA_FP_oil_nom)&gt;cost_stop_p1,_xlfn.SINGLE(Haute_Mer_1994!CA_FP_oil_nom)&lt;=cost_stop_p2),cost_stop_perbbl2*_xlfn.SINGLE(Haute_Mer_1994!CA_gross_prod_oil),
cost_stop_perc*(_xlfn.SINGLE(Haute_Mer_1994!CA_gross_rev_total_fp))))</f>
        <v>694.96643319605096</v>
      </c>
      <c r="R193" s="49">
        <f ca="1">IF(AND(_xlfn.SINGLE(Haute_Mer_1994!CA_FP_oil_nom)&gt;0,_xlfn.SINGLE(Haute_Mer_1994!CA_FP_oil_nom)&lt;=_xlfn.SINGLE(cost_stop_p1)),cost_stop_perbbl1*_xlfn.SINGLE(Haute_Mer_1994!CA_gross_prod_oil),
IF(AND(_xlfn.SINGLE(Haute_Mer_1994!CA_FP_oil_nom)&gt;cost_stop_p1,_xlfn.SINGLE(Haute_Mer_1994!CA_FP_oil_nom)&lt;=cost_stop_p2),cost_stop_perbbl2*_xlfn.SINGLE(Haute_Mer_1994!CA_gross_prod_oil),
cost_stop_perc*(_xlfn.SINGLE(Haute_Mer_1994!CA_gross_rev_total_fp))))</f>
        <v>663.36543177458066</v>
      </c>
      <c r="S193" s="49">
        <f ca="1">IF(AND(_xlfn.SINGLE(Haute_Mer_1994!CA_FP_oil_nom)&gt;0,_xlfn.SINGLE(Haute_Mer_1994!CA_FP_oil_nom)&lt;=_xlfn.SINGLE(cost_stop_p1)),cost_stop_perbbl1*_xlfn.SINGLE(Haute_Mer_1994!CA_gross_prod_oil),
IF(AND(_xlfn.SINGLE(Haute_Mer_1994!CA_FP_oil_nom)&gt;cost_stop_p1,_xlfn.SINGLE(Haute_Mer_1994!CA_FP_oil_nom)&lt;=cost_stop_p2),cost_stop_perbbl2*_xlfn.SINGLE(Haute_Mer_1994!CA_gross_prod_oil),
cost_stop_perc*(_xlfn.SINGLE(Haute_Mer_1994!CA_gross_rev_total_fp))))</f>
        <v>385.08849685800004</v>
      </c>
      <c r="T193" s="49">
        <f ca="1">IF(AND(_xlfn.SINGLE(Haute_Mer_1994!CA_FP_oil_nom)&gt;0,_xlfn.SINGLE(Haute_Mer_1994!CA_FP_oil_nom)&lt;=_xlfn.SINGLE(cost_stop_p1)),cost_stop_perbbl1*_xlfn.SINGLE(Haute_Mer_1994!CA_gross_prod_oil),
IF(AND(_xlfn.SINGLE(Haute_Mer_1994!CA_FP_oil_nom)&gt;cost_stop_p1,_xlfn.SINGLE(Haute_Mer_1994!CA_FP_oil_nom)&lt;=cost_stop_p2),cost_stop_perbbl2*_xlfn.SINGLE(Haute_Mer_1994!CA_gross_prod_oil),
cost_stop_perc*(_xlfn.SINGLE(Haute_Mer_1994!CA_gross_rev_total_fp))))</f>
        <v>587.61561294820797</v>
      </c>
      <c r="U193" s="49">
        <f ca="1">IF(AND(_xlfn.SINGLE(Haute_Mer_1994!CA_FP_oil_nom)&gt;0,_xlfn.SINGLE(Haute_Mer_1994!CA_FP_oil_nom)&lt;=_xlfn.SINGLE(cost_stop_p1)),cost_stop_perbbl1*_xlfn.SINGLE(Haute_Mer_1994!CA_gross_prod_oil),
IF(AND(_xlfn.SINGLE(Haute_Mer_1994!CA_FP_oil_nom)&gt;cost_stop_p1,_xlfn.SINGLE(Haute_Mer_1994!CA_FP_oil_nom)&lt;=cost_stop_p2),cost_stop_perbbl2*_xlfn.SINGLE(Haute_Mer_1994!CA_gross_prod_oil),
cost_stop_perc*(_xlfn.SINGLE(Haute_Mer_1994!CA_gross_rev_total_fp))))</f>
        <v>586.58734922948997</v>
      </c>
      <c r="V193" s="49">
        <f ca="1">IF(AND(_xlfn.SINGLE(Haute_Mer_1994!CA_FP_oil_nom)&gt;0,_xlfn.SINGLE(Haute_Mer_1994!CA_FP_oil_nom)&lt;=_xlfn.SINGLE(cost_stop_p1)),cost_stop_perbbl1*_xlfn.SINGLE(Haute_Mer_1994!CA_gross_prod_oil),
IF(AND(_xlfn.SINGLE(Haute_Mer_1994!CA_FP_oil_nom)&gt;cost_stop_p1,_xlfn.SINGLE(Haute_Mer_1994!CA_FP_oil_nom)&lt;=cost_stop_p2),cost_stop_perbbl2*_xlfn.SINGLE(Haute_Mer_1994!CA_gross_prod_oil),
cost_stop_perc*(_xlfn.SINGLE(Haute_Mer_1994!CA_gross_rev_total_fp))))</f>
        <v>556.43675947909412</v>
      </c>
      <c r="W193" s="49">
        <f ca="1">IF(AND(_xlfn.SINGLE(Haute_Mer_1994!CA_FP_oil_nom)&gt;0,_xlfn.SINGLE(Haute_Mer_1994!CA_FP_oil_nom)&lt;=_xlfn.SINGLE(cost_stop_p1)),cost_stop_perbbl1*_xlfn.SINGLE(Haute_Mer_1994!CA_gross_prod_oil),
IF(AND(_xlfn.SINGLE(Haute_Mer_1994!CA_FP_oil_nom)&gt;cost_stop_p1,_xlfn.SINGLE(Haute_Mer_1994!CA_FP_oil_nom)&lt;=cost_stop_p2),cost_stop_perbbl2*_xlfn.SINGLE(Haute_Mer_1994!CA_gross_prod_oil),
cost_stop_perc*(_xlfn.SINGLE(Haute_Mer_1994!CA_gross_rev_total_fp))))</f>
        <v>529.28203582280526</v>
      </c>
      <c r="X193" s="49">
        <f ca="1">IF(AND(_xlfn.SINGLE(Haute_Mer_1994!CA_FP_oil_nom)&gt;0,_xlfn.SINGLE(Haute_Mer_1994!CA_FP_oil_nom)&lt;=_xlfn.SINGLE(cost_stop_p1)),cost_stop_perbbl1*_xlfn.SINGLE(Haute_Mer_1994!CA_gross_prod_oil),
IF(AND(_xlfn.SINGLE(Haute_Mer_1994!CA_FP_oil_nom)&gt;cost_stop_p1,_xlfn.SINGLE(Haute_Mer_1994!CA_FP_oil_nom)&lt;=cost_stop_p2),cost_stop_perbbl2*_xlfn.SINGLE(Haute_Mer_1994!CA_gross_prod_oil),
cost_stop_perc*(_xlfn.SINGLE(Haute_Mer_1994!CA_gross_rev_total_fp))))</f>
        <v>500.70514426571657</v>
      </c>
      <c r="Y193" s="49">
        <f ca="1">IF(AND(_xlfn.SINGLE(Haute_Mer_1994!CA_FP_oil_nom)&gt;0,_xlfn.SINGLE(Haute_Mer_1994!CA_FP_oil_nom)&lt;=_xlfn.SINGLE(cost_stop_p1)),cost_stop_perbbl1*_xlfn.SINGLE(Haute_Mer_1994!CA_gross_prod_oil),
IF(AND(_xlfn.SINGLE(Haute_Mer_1994!CA_FP_oil_nom)&gt;cost_stop_p1,_xlfn.SINGLE(Haute_Mer_1994!CA_FP_oil_nom)&lt;=cost_stop_p2),cost_stop_perbbl2*_xlfn.SINGLE(Haute_Mer_1994!CA_gross_prod_oil),
cost_stop_perc*(_xlfn.SINGLE(Haute_Mer_1994!CA_gross_rev_total_fp))))</f>
        <v>0</v>
      </c>
      <c r="Z193" s="49">
        <f ca="1">IF(AND(_xlfn.SINGLE(Haute_Mer_1994!CA_FP_oil_nom)&gt;0,_xlfn.SINGLE(Haute_Mer_1994!CA_FP_oil_nom)&lt;=_xlfn.SINGLE(cost_stop_p1)),cost_stop_perbbl1*_xlfn.SINGLE(Haute_Mer_1994!CA_gross_prod_oil),
IF(AND(_xlfn.SINGLE(Haute_Mer_1994!CA_FP_oil_nom)&gt;cost_stop_p1,_xlfn.SINGLE(Haute_Mer_1994!CA_FP_oil_nom)&lt;=cost_stop_p2),cost_stop_perbbl2*_xlfn.SINGLE(Haute_Mer_1994!CA_gross_prod_oil),
cost_stop_perc*(_xlfn.SINGLE(Haute_Mer_1994!CA_gross_rev_total_fp))))</f>
        <v>0</v>
      </c>
      <c r="AA193" s="49">
        <f ca="1">IF(AND(_xlfn.SINGLE(Haute_Mer_1994!CA_FP_oil_nom)&gt;0,_xlfn.SINGLE(Haute_Mer_1994!CA_FP_oil_nom)&lt;=_xlfn.SINGLE(cost_stop_p1)),cost_stop_perbbl1*_xlfn.SINGLE(Haute_Mer_1994!CA_gross_prod_oil),
IF(AND(_xlfn.SINGLE(Haute_Mer_1994!CA_FP_oil_nom)&gt;cost_stop_p1,_xlfn.SINGLE(Haute_Mer_1994!CA_FP_oil_nom)&lt;=cost_stop_p2),cost_stop_perbbl2*_xlfn.SINGLE(Haute_Mer_1994!CA_gross_prod_oil),
cost_stop_perc*(_xlfn.SINGLE(Haute_Mer_1994!CA_gross_rev_total_fp))))</f>
        <v>0</v>
      </c>
      <c r="AB193" s="49">
        <f ca="1">IF(AND(_xlfn.SINGLE(Haute_Mer_1994!CA_FP_oil_nom)&gt;0,_xlfn.SINGLE(Haute_Mer_1994!CA_FP_oil_nom)&lt;=_xlfn.SINGLE(cost_stop_p1)),cost_stop_perbbl1*_xlfn.SINGLE(Haute_Mer_1994!CA_gross_prod_oil),
IF(AND(_xlfn.SINGLE(Haute_Mer_1994!CA_FP_oil_nom)&gt;cost_stop_p1,_xlfn.SINGLE(Haute_Mer_1994!CA_FP_oil_nom)&lt;=cost_stop_p2),cost_stop_perbbl2*_xlfn.SINGLE(Haute_Mer_1994!CA_gross_prod_oil),
cost_stop_perc*(_xlfn.SINGLE(Haute_Mer_1994!CA_gross_rev_total_fp))))</f>
        <v>0</v>
      </c>
      <c r="AC193" s="49">
        <f ca="1">IF(AND(_xlfn.SINGLE(Haute_Mer_1994!CA_FP_oil_nom)&gt;0,_xlfn.SINGLE(Haute_Mer_1994!CA_FP_oil_nom)&lt;=_xlfn.SINGLE(cost_stop_p1)),cost_stop_perbbl1*_xlfn.SINGLE(Haute_Mer_1994!CA_gross_prod_oil),
IF(AND(_xlfn.SINGLE(Haute_Mer_1994!CA_FP_oil_nom)&gt;cost_stop_p1,_xlfn.SINGLE(Haute_Mer_1994!CA_FP_oil_nom)&lt;=cost_stop_p2),cost_stop_perbbl2*_xlfn.SINGLE(Haute_Mer_1994!CA_gross_prod_oil),
cost_stop_perc*(_xlfn.SINGLE(Haute_Mer_1994!CA_gross_rev_total_fp))))</f>
        <v>0</v>
      </c>
      <c r="AD193" s="49">
        <f ca="1">IF(AND(_xlfn.SINGLE(Haute_Mer_1994!CA_FP_oil_nom)&gt;0,_xlfn.SINGLE(Haute_Mer_1994!CA_FP_oil_nom)&lt;=_xlfn.SINGLE(cost_stop_p1)),cost_stop_perbbl1*_xlfn.SINGLE(Haute_Mer_1994!CA_gross_prod_oil),
IF(AND(_xlfn.SINGLE(Haute_Mer_1994!CA_FP_oil_nom)&gt;cost_stop_p1,_xlfn.SINGLE(Haute_Mer_1994!CA_FP_oil_nom)&lt;=cost_stop_p2),cost_stop_perbbl2*_xlfn.SINGLE(Haute_Mer_1994!CA_gross_prod_oil),
cost_stop_perc*(_xlfn.SINGLE(Haute_Mer_1994!CA_gross_rev_total_fp))))</f>
        <v>0</v>
      </c>
      <c r="AE193" s="49">
        <f ca="1">IF(AND(_xlfn.SINGLE(Haute_Mer_1994!CA_FP_oil_nom)&gt;0,_xlfn.SINGLE(Haute_Mer_1994!CA_FP_oil_nom)&lt;=_xlfn.SINGLE(cost_stop_p1)),cost_stop_perbbl1*_xlfn.SINGLE(Haute_Mer_1994!CA_gross_prod_oil),
IF(AND(_xlfn.SINGLE(Haute_Mer_1994!CA_FP_oil_nom)&gt;cost_stop_p1,_xlfn.SINGLE(Haute_Mer_1994!CA_FP_oil_nom)&lt;=cost_stop_p2),cost_stop_perbbl2*_xlfn.SINGLE(Haute_Mer_1994!CA_gross_prod_oil),
cost_stop_perc*(_xlfn.SINGLE(Haute_Mer_1994!CA_gross_rev_total_fp))))</f>
        <v>0</v>
      </c>
      <c r="AF193" s="49">
        <f ca="1">IF(AND(_xlfn.SINGLE(Haute_Mer_1994!CA_FP_oil_nom)&gt;0,_xlfn.SINGLE(Haute_Mer_1994!CA_FP_oil_nom)&lt;=_xlfn.SINGLE(cost_stop_p1)),cost_stop_perbbl1*_xlfn.SINGLE(Haute_Mer_1994!CA_gross_prod_oil),
IF(AND(_xlfn.SINGLE(Haute_Mer_1994!CA_FP_oil_nom)&gt;cost_stop_p1,_xlfn.SINGLE(Haute_Mer_1994!CA_FP_oil_nom)&lt;=cost_stop_p2),cost_stop_perbbl2*_xlfn.SINGLE(Haute_Mer_1994!CA_gross_prod_oil),
cost_stop_perc*(_xlfn.SINGLE(Haute_Mer_1994!CA_gross_rev_total_fp))))</f>
        <v>0</v>
      </c>
      <c r="AG193" s="49">
        <f ca="1">IF(AND(_xlfn.SINGLE(Haute_Mer_1994!CA_FP_oil_nom)&gt;0,_xlfn.SINGLE(Haute_Mer_1994!CA_FP_oil_nom)&lt;=_xlfn.SINGLE(cost_stop_p1)),cost_stop_perbbl1*_xlfn.SINGLE(Haute_Mer_1994!CA_gross_prod_oil),
IF(AND(_xlfn.SINGLE(Haute_Mer_1994!CA_FP_oil_nom)&gt;cost_stop_p1,_xlfn.SINGLE(Haute_Mer_1994!CA_FP_oil_nom)&lt;=cost_stop_p2),cost_stop_perbbl2*_xlfn.SINGLE(Haute_Mer_1994!CA_gross_prod_oil),
cost_stop_perc*(_xlfn.SINGLE(Haute_Mer_1994!CA_gross_rev_total_fp))))</f>
        <v>0</v>
      </c>
      <c r="AH193" s="49">
        <f ca="1">IF(AND(_xlfn.SINGLE(Haute_Mer_1994!CA_FP_oil_nom)&gt;0,_xlfn.SINGLE(Haute_Mer_1994!CA_FP_oil_nom)&lt;=_xlfn.SINGLE(cost_stop_p1)),cost_stop_perbbl1*_xlfn.SINGLE(Haute_Mer_1994!CA_gross_prod_oil),
IF(AND(_xlfn.SINGLE(Haute_Mer_1994!CA_FP_oil_nom)&gt;cost_stop_p1,_xlfn.SINGLE(Haute_Mer_1994!CA_FP_oil_nom)&lt;=cost_stop_p2),cost_stop_perbbl2*_xlfn.SINGLE(Haute_Mer_1994!CA_gross_prod_oil),
cost_stop_perc*(_xlfn.SINGLE(Haute_Mer_1994!CA_gross_rev_total_fp))))</f>
        <v>0</v>
      </c>
      <c r="AI193" s="49">
        <f ca="1">IF(AND(_xlfn.SINGLE(Haute_Mer_1994!CA_FP_oil_nom)&gt;0,_xlfn.SINGLE(Haute_Mer_1994!CA_FP_oil_nom)&lt;=_xlfn.SINGLE(cost_stop_p1)),cost_stop_perbbl1*_xlfn.SINGLE(Haute_Mer_1994!CA_gross_prod_oil),
IF(AND(_xlfn.SINGLE(Haute_Mer_1994!CA_FP_oil_nom)&gt;cost_stop_p1,_xlfn.SINGLE(Haute_Mer_1994!CA_FP_oil_nom)&lt;=cost_stop_p2),cost_stop_perbbl2*_xlfn.SINGLE(Haute_Mer_1994!CA_gross_prod_oil),
cost_stop_perc*(_xlfn.SINGLE(Haute_Mer_1994!CA_gross_rev_total_fp))))</f>
        <v>0</v>
      </c>
      <c r="AJ193" s="49">
        <f ca="1">IF(AND(_xlfn.SINGLE(Haute_Mer_1994!CA_FP_oil_nom)&gt;0,_xlfn.SINGLE(Haute_Mer_1994!CA_FP_oil_nom)&lt;=_xlfn.SINGLE(cost_stop_p1)),cost_stop_perbbl1*_xlfn.SINGLE(Haute_Mer_1994!CA_gross_prod_oil),
IF(AND(_xlfn.SINGLE(Haute_Mer_1994!CA_FP_oil_nom)&gt;cost_stop_p1,_xlfn.SINGLE(Haute_Mer_1994!CA_FP_oil_nom)&lt;=cost_stop_p2),cost_stop_perbbl2*_xlfn.SINGLE(Haute_Mer_1994!CA_gross_prod_oil),
cost_stop_perc*(_xlfn.SINGLE(Haute_Mer_1994!CA_gross_rev_total_fp))))</f>
        <v>0</v>
      </c>
      <c r="AK193" s="49">
        <f ca="1">IF(AND(_xlfn.SINGLE(Haute_Mer_1994!CA_FP_oil_nom)&gt;0,_xlfn.SINGLE(Haute_Mer_1994!CA_FP_oil_nom)&lt;=_xlfn.SINGLE(cost_stop_p1)),cost_stop_perbbl1*_xlfn.SINGLE(Haute_Mer_1994!CA_gross_prod_oil),
IF(AND(_xlfn.SINGLE(Haute_Mer_1994!CA_FP_oil_nom)&gt;cost_stop_p1,_xlfn.SINGLE(Haute_Mer_1994!CA_FP_oil_nom)&lt;=cost_stop_p2),cost_stop_perbbl2*_xlfn.SINGLE(Haute_Mer_1994!CA_gross_prod_oil),
cost_stop_perc*(_xlfn.SINGLE(Haute_Mer_1994!CA_gross_rev_total_fp))))</f>
        <v>0</v>
      </c>
      <c r="AL193" s="49">
        <f ca="1">IF(AND(_xlfn.SINGLE(Haute_Mer_1994!CA_FP_oil_nom)&gt;0,_xlfn.SINGLE(Haute_Mer_1994!CA_FP_oil_nom)&lt;=_xlfn.SINGLE(cost_stop_p1)),cost_stop_perbbl1*_xlfn.SINGLE(Haute_Mer_1994!CA_gross_prod_oil),
IF(AND(_xlfn.SINGLE(Haute_Mer_1994!CA_FP_oil_nom)&gt;cost_stop_p1,_xlfn.SINGLE(Haute_Mer_1994!CA_FP_oil_nom)&lt;=cost_stop_p2),cost_stop_perbbl2*_xlfn.SINGLE(Haute_Mer_1994!CA_gross_prod_oil),
cost_stop_perc*(_xlfn.SINGLE(Haute_Mer_1994!CA_gross_rev_total_fp))))</f>
        <v>0</v>
      </c>
      <c r="AM193" s="49">
        <f ca="1">IF(AND(_xlfn.SINGLE(Haute_Mer_1994!CA_FP_oil_nom)&gt;0,_xlfn.SINGLE(Haute_Mer_1994!CA_FP_oil_nom)&lt;=_xlfn.SINGLE(cost_stop_p1)),cost_stop_perbbl1*_xlfn.SINGLE(Haute_Mer_1994!CA_gross_prod_oil),
IF(AND(_xlfn.SINGLE(Haute_Mer_1994!CA_FP_oil_nom)&gt;cost_stop_p1,_xlfn.SINGLE(Haute_Mer_1994!CA_FP_oil_nom)&lt;=cost_stop_p2),cost_stop_perbbl2*_xlfn.SINGLE(Haute_Mer_1994!CA_gross_prod_oil),
cost_stop_perc*(_xlfn.SINGLE(Haute_Mer_1994!CA_gross_rev_total_fp))))</f>
        <v>0</v>
      </c>
      <c r="AN193" s="49">
        <f ca="1">IF(AND(_xlfn.SINGLE(Haute_Mer_1994!CA_FP_oil_nom)&gt;0,_xlfn.SINGLE(Haute_Mer_1994!CA_FP_oil_nom)&lt;=_xlfn.SINGLE(cost_stop_p1)),cost_stop_perbbl1*_xlfn.SINGLE(Haute_Mer_1994!CA_gross_prod_oil),
IF(AND(_xlfn.SINGLE(Haute_Mer_1994!CA_FP_oil_nom)&gt;cost_stop_p1,_xlfn.SINGLE(Haute_Mer_1994!CA_FP_oil_nom)&lt;=cost_stop_p2),cost_stop_perbbl2*_xlfn.SINGLE(Haute_Mer_1994!CA_gross_prod_oil),
cost_stop_perc*(_xlfn.SINGLE(Haute_Mer_1994!CA_gross_rev_total_fp))))</f>
        <v>0</v>
      </c>
      <c r="AO193" s="49">
        <f ca="1">IF(AND(_xlfn.SINGLE(Haute_Mer_1994!CA_FP_oil_nom)&gt;0,_xlfn.SINGLE(Haute_Mer_1994!CA_FP_oil_nom)&lt;=_xlfn.SINGLE(cost_stop_p1)),cost_stop_perbbl1*_xlfn.SINGLE(Haute_Mer_1994!CA_gross_prod_oil),
IF(AND(_xlfn.SINGLE(Haute_Mer_1994!CA_FP_oil_nom)&gt;cost_stop_p1,_xlfn.SINGLE(Haute_Mer_1994!CA_FP_oil_nom)&lt;=cost_stop_p2),cost_stop_perbbl2*_xlfn.SINGLE(Haute_Mer_1994!CA_gross_prod_oil),
cost_stop_perc*(_xlfn.SINGLE(Haute_Mer_1994!CA_gross_rev_total_fp))))</f>
        <v>0</v>
      </c>
      <c r="AP193" s="49">
        <f ca="1">IF(AND(_xlfn.SINGLE(Haute_Mer_1994!CA_FP_oil_nom)&gt;0,_xlfn.SINGLE(Haute_Mer_1994!CA_FP_oil_nom)&lt;=_xlfn.SINGLE(cost_stop_p1)),cost_stop_perbbl1*_xlfn.SINGLE(Haute_Mer_1994!CA_gross_prod_oil),
IF(AND(_xlfn.SINGLE(Haute_Mer_1994!CA_FP_oil_nom)&gt;cost_stop_p1,_xlfn.SINGLE(Haute_Mer_1994!CA_FP_oil_nom)&lt;=cost_stop_p2),cost_stop_perbbl2*_xlfn.SINGLE(Haute_Mer_1994!CA_gross_prod_oil),
cost_stop_perc*(_xlfn.SINGLE(Haute_Mer_1994!CA_gross_rev_total_fp))))</f>
        <v>0</v>
      </c>
      <c r="AQ193" s="49">
        <f ca="1">IF(AND(_xlfn.SINGLE(Haute_Mer_1994!CA_FP_oil_nom)&gt;0,_xlfn.SINGLE(Haute_Mer_1994!CA_FP_oil_nom)&lt;=_xlfn.SINGLE(cost_stop_p1)),cost_stop_perbbl1*_xlfn.SINGLE(Haute_Mer_1994!CA_gross_prod_oil),
IF(AND(_xlfn.SINGLE(Haute_Mer_1994!CA_FP_oil_nom)&gt;cost_stop_p1,_xlfn.SINGLE(Haute_Mer_1994!CA_FP_oil_nom)&lt;=cost_stop_p2),cost_stop_perbbl2*_xlfn.SINGLE(Haute_Mer_1994!CA_gross_prod_oil),
cost_stop_perc*(_xlfn.SINGLE(Haute_Mer_1994!CA_gross_rev_total_fp))))</f>
        <v>0</v>
      </c>
      <c r="AR193" s="49">
        <f ca="1">IF(AND(_xlfn.SINGLE(Haute_Mer_1994!CA_FP_oil_nom)&gt;0,_xlfn.SINGLE(Haute_Mer_1994!CA_FP_oil_nom)&lt;=_xlfn.SINGLE(cost_stop_p1)),cost_stop_perbbl1*_xlfn.SINGLE(Haute_Mer_1994!CA_gross_prod_oil),
IF(AND(_xlfn.SINGLE(Haute_Mer_1994!CA_FP_oil_nom)&gt;cost_stop_p1,_xlfn.SINGLE(Haute_Mer_1994!CA_FP_oil_nom)&lt;=cost_stop_p2),cost_stop_perbbl2*_xlfn.SINGLE(Haute_Mer_1994!CA_gross_prod_oil),
cost_stop_perc*(_xlfn.SINGLE(Haute_Mer_1994!CA_gross_rev_total_fp))))</f>
        <v>0</v>
      </c>
      <c r="AS193" s="49">
        <f ca="1">IF(AND(_xlfn.SINGLE(Haute_Mer_1994!CA_FP_oil_nom)&gt;0,_xlfn.SINGLE(Haute_Mer_1994!CA_FP_oil_nom)&lt;=_xlfn.SINGLE(cost_stop_p1)),cost_stop_perbbl1*_xlfn.SINGLE(Haute_Mer_1994!CA_gross_prod_oil),
IF(AND(_xlfn.SINGLE(Haute_Mer_1994!CA_FP_oil_nom)&gt;cost_stop_p1,_xlfn.SINGLE(Haute_Mer_1994!CA_FP_oil_nom)&lt;=cost_stop_p2),cost_stop_perbbl2*_xlfn.SINGLE(Haute_Mer_1994!CA_gross_prod_oil),
cost_stop_perc*(_xlfn.SINGLE(Haute_Mer_1994!CA_gross_rev_total_fp))))</f>
        <v>0</v>
      </c>
      <c r="AT193" s="49">
        <f ca="1">IF(AND(_xlfn.SINGLE(Haute_Mer_1994!CA_FP_oil_nom)&gt;0,_xlfn.SINGLE(Haute_Mer_1994!CA_FP_oil_nom)&lt;=_xlfn.SINGLE(cost_stop_p1)),cost_stop_perbbl1*_xlfn.SINGLE(Haute_Mer_1994!CA_gross_prod_oil),
IF(AND(_xlfn.SINGLE(Haute_Mer_1994!CA_FP_oil_nom)&gt;cost_stop_p1,_xlfn.SINGLE(Haute_Mer_1994!CA_FP_oil_nom)&lt;=cost_stop_p2),cost_stop_perbbl2*_xlfn.SINGLE(Haute_Mer_1994!CA_gross_prod_oil),
cost_stop_perc*(_xlfn.SINGLE(Haute_Mer_1994!CA_gross_rev_total_fp))))</f>
        <v>0</v>
      </c>
      <c r="AU193" s="49">
        <f ca="1">IF(AND(_xlfn.SINGLE(Haute_Mer_1994!CA_FP_oil_nom)&gt;0,_xlfn.SINGLE(Haute_Mer_1994!CA_FP_oil_nom)&lt;=_xlfn.SINGLE(cost_stop_p1)),cost_stop_perbbl1*_xlfn.SINGLE(Haute_Mer_1994!CA_gross_prod_oil),
IF(AND(_xlfn.SINGLE(Haute_Mer_1994!CA_FP_oil_nom)&gt;cost_stop_p1,_xlfn.SINGLE(Haute_Mer_1994!CA_FP_oil_nom)&lt;=cost_stop_p2),cost_stop_perbbl2*_xlfn.SINGLE(Haute_Mer_1994!CA_gross_prod_oil),
cost_stop_perc*(_xlfn.SINGLE(Haute_Mer_1994!CA_gross_rev_total_fp))))</f>
        <v>0</v>
      </c>
      <c r="AV193" s="49">
        <f ca="1">IF(AND(_xlfn.SINGLE(Haute_Mer_1994!CA_FP_oil_nom)&gt;0,_xlfn.SINGLE(Haute_Mer_1994!CA_FP_oil_nom)&lt;=_xlfn.SINGLE(cost_stop_p1)),cost_stop_perbbl1*_xlfn.SINGLE(Haute_Mer_1994!CA_gross_prod_oil),
IF(AND(_xlfn.SINGLE(Haute_Mer_1994!CA_FP_oil_nom)&gt;cost_stop_p1,_xlfn.SINGLE(Haute_Mer_1994!CA_FP_oil_nom)&lt;=cost_stop_p2),cost_stop_perbbl2*_xlfn.SINGLE(Haute_Mer_1994!CA_gross_prod_oil),
cost_stop_perc*(_xlfn.SINGLE(Haute_Mer_1994!CA_gross_rev_total_fp))))</f>
        <v>0</v>
      </c>
      <c r="AW193" s="49">
        <f ca="1">IF(AND(_xlfn.SINGLE(Haute_Mer_1994!CA_FP_oil_nom)&gt;0,_xlfn.SINGLE(Haute_Mer_1994!CA_FP_oil_nom)&lt;=_xlfn.SINGLE(cost_stop_p1)),cost_stop_perbbl1*_xlfn.SINGLE(Haute_Mer_1994!CA_gross_prod_oil),
IF(AND(_xlfn.SINGLE(Haute_Mer_1994!CA_FP_oil_nom)&gt;cost_stop_p1,_xlfn.SINGLE(Haute_Mer_1994!CA_FP_oil_nom)&lt;=cost_stop_p2),cost_stop_perbbl2*_xlfn.SINGLE(Haute_Mer_1994!CA_gross_prod_oil),
cost_stop_perc*(_xlfn.SINGLE(Haute_Mer_1994!CA_gross_rev_total_fp))))</f>
        <v>0</v>
      </c>
      <c r="AX193" s="49">
        <f ca="1">IF(AND(_xlfn.SINGLE(Haute_Mer_1994!CA_FP_oil_nom)&gt;0,_xlfn.SINGLE(Haute_Mer_1994!CA_FP_oil_nom)&lt;=_xlfn.SINGLE(cost_stop_p1)),cost_stop_perbbl1*_xlfn.SINGLE(Haute_Mer_1994!CA_gross_prod_oil),
IF(AND(_xlfn.SINGLE(Haute_Mer_1994!CA_FP_oil_nom)&gt;cost_stop_p1,_xlfn.SINGLE(Haute_Mer_1994!CA_FP_oil_nom)&lt;=cost_stop_p2),cost_stop_perbbl2*_xlfn.SINGLE(Haute_Mer_1994!CA_gross_prod_oil),
cost_stop_perc*(_xlfn.SINGLE(Haute_Mer_1994!CA_gross_rev_total_fp))))</f>
        <v>0</v>
      </c>
      <c r="AY193" s="49">
        <f ca="1">IF(AND(_xlfn.SINGLE(Haute_Mer_1994!CA_FP_oil_nom)&gt;0,_xlfn.SINGLE(Haute_Mer_1994!CA_FP_oil_nom)&lt;=_xlfn.SINGLE(cost_stop_p1)),cost_stop_perbbl1*_xlfn.SINGLE(Haute_Mer_1994!CA_gross_prod_oil),
IF(AND(_xlfn.SINGLE(Haute_Mer_1994!CA_FP_oil_nom)&gt;cost_stop_p1,_xlfn.SINGLE(Haute_Mer_1994!CA_FP_oil_nom)&lt;=cost_stop_p2),cost_stop_perbbl2*_xlfn.SINGLE(Haute_Mer_1994!CA_gross_prod_oil),
cost_stop_perc*(_xlfn.SINGLE(Haute_Mer_1994!CA_gross_rev_total_fp))))</f>
        <v>0</v>
      </c>
      <c r="AZ193" s="49">
        <f ca="1">IF(AND(_xlfn.SINGLE(Haute_Mer_1994!CA_FP_oil_nom)&gt;0,_xlfn.SINGLE(Haute_Mer_1994!CA_FP_oil_nom)&lt;=_xlfn.SINGLE(cost_stop_p1)),cost_stop_perbbl1*_xlfn.SINGLE(Haute_Mer_1994!CA_gross_prod_oil),
IF(AND(_xlfn.SINGLE(Haute_Mer_1994!CA_FP_oil_nom)&gt;cost_stop_p1,_xlfn.SINGLE(Haute_Mer_1994!CA_FP_oil_nom)&lt;=cost_stop_p2),cost_stop_perbbl2*_xlfn.SINGLE(Haute_Mer_1994!CA_gross_prod_oil),
cost_stop_perc*(_xlfn.SINGLE(Haute_Mer_1994!CA_gross_rev_total_fp))))</f>
        <v>0</v>
      </c>
      <c r="BA193" s="49">
        <f ca="1">IF(AND(_xlfn.SINGLE(Haute_Mer_1994!CA_FP_oil_nom)&gt;0,_xlfn.SINGLE(Haute_Mer_1994!CA_FP_oil_nom)&lt;=_xlfn.SINGLE(cost_stop_p1)),cost_stop_perbbl1*_xlfn.SINGLE(Haute_Mer_1994!CA_gross_prod_oil),
IF(AND(_xlfn.SINGLE(Haute_Mer_1994!CA_FP_oil_nom)&gt;cost_stop_p1,_xlfn.SINGLE(Haute_Mer_1994!CA_FP_oil_nom)&lt;=cost_stop_p2),cost_stop_perbbl2*_xlfn.SINGLE(Haute_Mer_1994!CA_gross_prod_oil),
cost_stop_perc*(_xlfn.SINGLE(Haute_Mer_1994!CA_gross_rev_total_fp))))</f>
        <v>0</v>
      </c>
      <c r="BB193" s="49">
        <f ca="1">IF(AND(_xlfn.SINGLE(Haute_Mer_1994!CA_FP_oil_nom)&gt;0,_xlfn.SINGLE(Haute_Mer_1994!CA_FP_oil_nom)&lt;=_xlfn.SINGLE(cost_stop_p1)),cost_stop_perbbl1*_xlfn.SINGLE(Haute_Mer_1994!CA_gross_prod_oil),
IF(AND(_xlfn.SINGLE(Haute_Mer_1994!CA_FP_oil_nom)&gt;cost_stop_p1,_xlfn.SINGLE(Haute_Mer_1994!CA_FP_oil_nom)&lt;=cost_stop_p2),cost_stop_perbbl2*_xlfn.SINGLE(Haute_Mer_1994!CA_gross_prod_oil),
cost_stop_perc*(_xlfn.SINGLE(Haute_Mer_1994!CA_gross_rev_total_fp))))</f>
        <v>0</v>
      </c>
      <c r="BC193" s="49">
        <f ca="1">IF(AND(_xlfn.SINGLE(Haute_Mer_1994!CA_FP_oil_nom)&gt;0,_xlfn.SINGLE(Haute_Mer_1994!CA_FP_oil_nom)&lt;=_xlfn.SINGLE(cost_stop_p1)),cost_stop_perbbl1*_xlfn.SINGLE(Haute_Mer_1994!CA_gross_prod_oil),
IF(AND(_xlfn.SINGLE(Haute_Mer_1994!CA_FP_oil_nom)&gt;cost_stop_p1,_xlfn.SINGLE(Haute_Mer_1994!CA_FP_oil_nom)&lt;=cost_stop_p2),cost_stop_perbbl2*_xlfn.SINGLE(Haute_Mer_1994!CA_gross_prod_oil),
cost_stop_perc*(_xlfn.SINGLE(Haute_Mer_1994!CA_gross_rev_total_fp))))</f>
        <v>0</v>
      </c>
      <c r="BD193" s="49">
        <f ca="1">IF(AND(_xlfn.SINGLE(Haute_Mer_1994!CA_FP_oil_nom)&gt;0,_xlfn.SINGLE(Haute_Mer_1994!CA_FP_oil_nom)&lt;=_xlfn.SINGLE(cost_stop_p1)),cost_stop_perbbl1*_xlfn.SINGLE(Haute_Mer_1994!CA_gross_prod_oil),
IF(AND(_xlfn.SINGLE(Haute_Mer_1994!CA_FP_oil_nom)&gt;cost_stop_p1,_xlfn.SINGLE(Haute_Mer_1994!CA_FP_oil_nom)&lt;=cost_stop_p2),cost_stop_perbbl2*_xlfn.SINGLE(Haute_Mer_1994!CA_gross_prod_oil),
cost_stop_perc*(_xlfn.SINGLE(Haute_Mer_1994!CA_gross_rev_total_fp))))</f>
        <v>0</v>
      </c>
      <c r="BE193" s="49">
        <f ca="1">IF(AND(_xlfn.SINGLE(Haute_Mer_1994!CA_FP_oil_nom)&gt;0,_xlfn.SINGLE(Haute_Mer_1994!CA_FP_oil_nom)&lt;=_xlfn.SINGLE(cost_stop_p1)),cost_stop_perbbl1*_xlfn.SINGLE(Haute_Mer_1994!CA_gross_prod_oil),
IF(AND(_xlfn.SINGLE(Haute_Mer_1994!CA_FP_oil_nom)&gt;cost_stop_p1,_xlfn.SINGLE(Haute_Mer_1994!CA_FP_oil_nom)&lt;=cost_stop_p2),cost_stop_perbbl2*_xlfn.SINGLE(Haute_Mer_1994!CA_gross_prod_oil),
cost_stop_perc*(_xlfn.SINGLE(Haute_Mer_1994!CA_gross_rev_total_fp))))</f>
        <v>0</v>
      </c>
      <c r="BF193" s="49">
        <f ca="1">IF(AND(_xlfn.SINGLE(Haute_Mer_1994!CA_FP_oil_nom)&gt;0,_xlfn.SINGLE(Haute_Mer_1994!CA_FP_oil_nom)&lt;=_xlfn.SINGLE(cost_stop_p1)),cost_stop_perbbl1*_xlfn.SINGLE(Haute_Mer_1994!CA_gross_prod_oil),
IF(AND(_xlfn.SINGLE(Haute_Mer_1994!CA_FP_oil_nom)&gt;cost_stop_p1,_xlfn.SINGLE(Haute_Mer_1994!CA_FP_oil_nom)&lt;=cost_stop_p2),cost_stop_perbbl2*_xlfn.SINGLE(Haute_Mer_1994!CA_gross_prod_oil),
cost_stop_perc*(_xlfn.SINGLE(Haute_Mer_1994!CA_gross_rev_total_fp))))</f>
        <v>0</v>
      </c>
      <c r="BG193" s="49">
        <f ca="1">IF(AND(_xlfn.SINGLE(Haute_Mer_1994!CA_FP_oil_nom)&gt;0,_xlfn.SINGLE(Haute_Mer_1994!CA_FP_oil_nom)&lt;=_xlfn.SINGLE(cost_stop_p1)),cost_stop_perbbl1*_xlfn.SINGLE(Haute_Mer_1994!CA_gross_prod_oil),
IF(AND(_xlfn.SINGLE(Haute_Mer_1994!CA_FP_oil_nom)&gt;cost_stop_p1,_xlfn.SINGLE(Haute_Mer_1994!CA_FP_oil_nom)&lt;=cost_stop_p2),cost_stop_perbbl2*_xlfn.SINGLE(Haute_Mer_1994!CA_gross_prod_oil),
cost_stop_perc*(_xlfn.SINGLE(Haute_Mer_1994!CA_gross_rev_total_fp))))</f>
        <v>0</v>
      </c>
      <c r="BH193" s="49">
        <f ca="1">IF(AND(_xlfn.SINGLE(Haute_Mer_1994!CA_FP_oil_nom)&gt;0,_xlfn.SINGLE(Haute_Mer_1994!CA_FP_oil_nom)&lt;=_xlfn.SINGLE(cost_stop_p1)),cost_stop_perbbl1*_xlfn.SINGLE(Haute_Mer_1994!CA_gross_prod_oil),
IF(AND(_xlfn.SINGLE(Haute_Mer_1994!CA_FP_oil_nom)&gt;cost_stop_p1,_xlfn.SINGLE(Haute_Mer_1994!CA_FP_oil_nom)&lt;=cost_stop_p2),cost_stop_perbbl2*_xlfn.SINGLE(Haute_Mer_1994!CA_gross_prod_oil),
cost_stop_perc*(_xlfn.SINGLE(Haute_Mer_1994!CA_gross_rev_total_fp))))</f>
        <v>0</v>
      </c>
      <c r="BI193" s="49">
        <f ca="1">IF(AND(_xlfn.SINGLE(Haute_Mer_1994!CA_FP_oil_nom)&gt;0,_xlfn.SINGLE(Haute_Mer_1994!CA_FP_oil_nom)&lt;=_xlfn.SINGLE(cost_stop_p1)),cost_stop_perbbl1*_xlfn.SINGLE(Haute_Mer_1994!CA_gross_prod_oil),
IF(AND(_xlfn.SINGLE(Haute_Mer_1994!CA_FP_oil_nom)&gt;cost_stop_p1,_xlfn.SINGLE(Haute_Mer_1994!CA_FP_oil_nom)&lt;=cost_stop_p2),cost_stop_perbbl2*_xlfn.SINGLE(Haute_Mer_1994!CA_gross_prod_oil),
cost_stop_perc*(_xlfn.SINGLE(Haute_Mer_1994!CA_gross_rev_total_fp))))</f>
        <v>0</v>
      </c>
      <c r="BJ193" s="49">
        <f ca="1">IF(AND(_xlfn.SINGLE(Haute_Mer_1994!CA_FP_oil_nom)&gt;0,_xlfn.SINGLE(Haute_Mer_1994!CA_FP_oil_nom)&lt;=_xlfn.SINGLE(cost_stop_p1)),cost_stop_perbbl1*_xlfn.SINGLE(Haute_Mer_1994!CA_gross_prod_oil),
IF(AND(_xlfn.SINGLE(Haute_Mer_1994!CA_FP_oil_nom)&gt;cost_stop_p1,_xlfn.SINGLE(Haute_Mer_1994!CA_FP_oil_nom)&lt;=cost_stop_p2),cost_stop_perbbl2*_xlfn.SINGLE(Haute_Mer_1994!CA_gross_prod_oil),
cost_stop_perc*(_xlfn.SINGLE(Haute_Mer_1994!CA_gross_rev_total_fp))))</f>
        <v>0</v>
      </c>
      <c r="BK193" s="49">
        <f ca="1">IF(AND(_xlfn.SINGLE(Haute_Mer_1994!CA_FP_oil_nom)&gt;0,_xlfn.SINGLE(Haute_Mer_1994!CA_FP_oil_nom)&lt;=_xlfn.SINGLE(cost_stop_p1)),cost_stop_perbbl1*_xlfn.SINGLE(Haute_Mer_1994!CA_gross_prod_oil),
IF(AND(_xlfn.SINGLE(Haute_Mer_1994!CA_FP_oil_nom)&gt;cost_stop_p1,_xlfn.SINGLE(Haute_Mer_1994!CA_FP_oil_nom)&lt;=cost_stop_p2),cost_stop_perbbl2*_xlfn.SINGLE(Haute_Mer_1994!CA_gross_prod_oil),
cost_stop_perc*(_xlfn.SINGLE(Haute_Mer_1994!CA_gross_rev_total_fp))))</f>
        <v>0</v>
      </c>
      <c r="BL193" s="49">
        <f ca="1">IF(AND(_xlfn.SINGLE(Haute_Mer_1994!CA_FP_oil_nom)&gt;0,_xlfn.SINGLE(Haute_Mer_1994!CA_FP_oil_nom)&lt;=_xlfn.SINGLE(cost_stop_p1)),cost_stop_perbbl1*_xlfn.SINGLE(Haute_Mer_1994!CA_gross_prod_oil),
IF(AND(_xlfn.SINGLE(Haute_Mer_1994!CA_FP_oil_nom)&gt;cost_stop_p1,_xlfn.SINGLE(Haute_Mer_1994!CA_FP_oil_nom)&lt;=cost_stop_p2),cost_stop_perbbl2*_xlfn.SINGLE(Haute_Mer_1994!CA_gross_prod_oil),
cost_stop_perc*(_xlfn.SINGLE(Haute_Mer_1994!CA_gross_rev_total_fp))))</f>
        <v>0</v>
      </c>
      <c r="BM193" s="49">
        <f ca="1">IF(AND(_xlfn.SINGLE(Haute_Mer_1994!CA_FP_oil_nom)&gt;0,_xlfn.SINGLE(Haute_Mer_1994!CA_FP_oil_nom)&lt;=_xlfn.SINGLE(cost_stop_p1)),cost_stop_perbbl1*_xlfn.SINGLE(Haute_Mer_1994!CA_gross_prod_oil),
IF(AND(_xlfn.SINGLE(Haute_Mer_1994!CA_FP_oil_nom)&gt;cost_stop_p1,_xlfn.SINGLE(Haute_Mer_1994!CA_FP_oil_nom)&lt;=cost_stop_p2),cost_stop_perbbl2*_xlfn.SINGLE(Haute_Mer_1994!CA_gross_prod_oil),
cost_stop_perc*(_xlfn.SINGLE(Haute_Mer_1994!CA_gross_rev_total_fp))))</f>
        <v>0</v>
      </c>
      <c r="BN193" s="49">
        <f ca="1">IF(AND(_xlfn.SINGLE(Haute_Mer_1994!CA_FP_oil_nom)&gt;0,_xlfn.SINGLE(Haute_Mer_1994!CA_FP_oil_nom)&lt;=_xlfn.SINGLE(cost_stop_p1)),cost_stop_perbbl1*_xlfn.SINGLE(Haute_Mer_1994!CA_gross_prod_oil),
IF(AND(_xlfn.SINGLE(Haute_Mer_1994!CA_FP_oil_nom)&gt;cost_stop_p1,_xlfn.SINGLE(Haute_Mer_1994!CA_FP_oil_nom)&lt;=cost_stop_p2),cost_stop_perbbl2*_xlfn.SINGLE(Haute_Mer_1994!CA_gross_prod_oil),
cost_stop_perc*(_xlfn.SINGLE(Haute_Mer_1994!CA_gross_rev_total_fp))))</f>
        <v>0</v>
      </c>
      <c r="BO193" s="49">
        <f ca="1">IF(AND(_xlfn.SINGLE(Haute_Mer_1994!CA_FP_oil_nom)&gt;0,_xlfn.SINGLE(Haute_Mer_1994!CA_FP_oil_nom)&lt;=_xlfn.SINGLE(cost_stop_p1)),cost_stop_perbbl1*_xlfn.SINGLE(Haute_Mer_1994!CA_gross_prod_oil),
IF(AND(_xlfn.SINGLE(Haute_Mer_1994!CA_FP_oil_nom)&gt;cost_stop_p1,_xlfn.SINGLE(Haute_Mer_1994!CA_FP_oil_nom)&lt;=cost_stop_p2),cost_stop_perbbl2*_xlfn.SINGLE(Haute_Mer_1994!CA_gross_prod_oil),
cost_stop_perc*(_xlfn.SINGLE(Haute_Mer_1994!CA_gross_rev_total_fp))))</f>
        <v>0</v>
      </c>
      <c r="BP193" s="49">
        <f ca="1">IF(AND(_xlfn.SINGLE(Haute_Mer_1994!CA_FP_oil_nom)&gt;0,_xlfn.SINGLE(Haute_Mer_1994!CA_FP_oil_nom)&lt;=_xlfn.SINGLE(cost_stop_p1)),cost_stop_perbbl1*_xlfn.SINGLE(Haute_Mer_1994!CA_gross_prod_oil),
IF(AND(_xlfn.SINGLE(Haute_Mer_1994!CA_FP_oil_nom)&gt;cost_stop_p1,_xlfn.SINGLE(Haute_Mer_1994!CA_FP_oil_nom)&lt;=cost_stop_p2),cost_stop_perbbl2*_xlfn.SINGLE(Haute_Mer_1994!CA_gross_prod_oil),
cost_stop_perc*(_xlfn.SINGLE(Haute_Mer_1994!CA_gross_rev_total_fp))))</f>
        <v>0</v>
      </c>
      <c r="BQ193" s="49">
        <f ca="1">IF(AND(_xlfn.SINGLE(Haute_Mer_1994!CA_FP_oil_nom)&gt;0,_xlfn.SINGLE(Haute_Mer_1994!CA_FP_oil_nom)&lt;=_xlfn.SINGLE(cost_stop_p1)),cost_stop_perbbl1*_xlfn.SINGLE(Haute_Mer_1994!CA_gross_prod_oil),
IF(AND(_xlfn.SINGLE(Haute_Mer_1994!CA_FP_oil_nom)&gt;cost_stop_p1,_xlfn.SINGLE(Haute_Mer_1994!CA_FP_oil_nom)&lt;=cost_stop_p2),cost_stop_perbbl2*_xlfn.SINGLE(Haute_Mer_1994!CA_gross_prod_oil),
cost_stop_perc*(_xlfn.SINGLE(Haute_Mer_1994!CA_gross_rev_total_fp))))</f>
        <v>0</v>
      </c>
      <c r="BR193" s="49">
        <f ca="1">IF(AND(_xlfn.SINGLE(Haute_Mer_1994!CA_FP_oil_nom)&gt;0,_xlfn.SINGLE(Haute_Mer_1994!CA_FP_oil_nom)&lt;=_xlfn.SINGLE(cost_stop_p1)),cost_stop_perbbl1*_xlfn.SINGLE(Haute_Mer_1994!CA_gross_prod_oil),
IF(AND(_xlfn.SINGLE(Haute_Mer_1994!CA_FP_oil_nom)&gt;cost_stop_p1,_xlfn.SINGLE(Haute_Mer_1994!CA_FP_oil_nom)&lt;=cost_stop_p2),cost_stop_perbbl2*_xlfn.SINGLE(Haute_Mer_1994!CA_gross_prod_oil),
cost_stop_perc*(_xlfn.SINGLE(Haute_Mer_1994!CA_gross_rev_total_fp))))</f>
        <v>0</v>
      </c>
      <c r="BS193" s="49">
        <f ca="1">IF(AND(_xlfn.SINGLE(Haute_Mer_1994!CA_FP_oil_nom)&gt;0,_xlfn.SINGLE(Haute_Mer_1994!CA_FP_oil_nom)&lt;=_xlfn.SINGLE(cost_stop_p1)),cost_stop_perbbl1*_xlfn.SINGLE(Haute_Mer_1994!CA_gross_prod_oil),
IF(AND(_xlfn.SINGLE(Haute_Mer_1994!CA_FP_oil_nom)&gt;cost_stop_p1,_xlfn.SINGLE(Haute_Mer_1994!CA_FP_oil_nom)&lt;=cost_stop_p2),cost_stop_perbbl2*_xlfn.SINGLE(Haute_Mer_1994!CA_gross_prod_oil),
cost_stop_perc*(_xlfn.SINGLE(Haute_Mer_1994!CA_gross_rev_total_fp))))</f>
        <v>0</v>
      </c>
    </row>
    <row r="194" spans="4:71" outlineLevel="1" x14ac:dyDescent="0.2">
      <c r="J194" s="26"/>
      <c r="L194" s="55"/>
      <c r="M194" s="55"/>
      <c r="N194" s="55"/>
      <c r="O194" s="55"/>
      <c r="P194" s="55"/>
      <c r="Q194" s="55"/>
      <c r="R194" s="55"/>
      <c r="S194" s="55"/>
      <c r="T194" s="55"/>
      <c r="U194" s="55"/>
      <c r="V194" s="55"/>
      <c r="W194" s="55"/>
      <c r="X194" s="55"/>
      <c r="Y194" s="55"/>
      <c r="Z194" s="55"/>
      <c r="AA194" s="55"/>
      <c r="AB194" s="55"/>
      <c r="AC194" s="55"/>
      <c r="AD194" s="55"/>
      <c r="AE194" s="55"/>
      <c r="AF194" s="55"/>
      <c r="AG194" s="55"/>
      <c r="AH194" s="55"/>
      <c r="AI194" s="55"/>
      <c r="AJ194" s="55"/>
      <c r="AK194" s="55"/>
      <c r="AL194" s="55"/>
      <c r="AM194" s="55"/>
      <c r="AN194" s="55"/>
      <c r="AO194" s="55"/>
      <c r="AP194" s="55"/>
      <c r="AQ194" s="55"/>
      <c r="AR194" s="55"/>
      <c r="AS194" s="55"/>
      <c r="AT194" s="55"/>
      <c r="AU194" s="55"/>
      <c r="AV194" s="55"/>
      <c r="AW194" s="55"/>
      <c r="AX194" s="55"/>
      <c r="AY194" s="55"/>
      <c r="AZ194" s="55"/>
      <c r="BA194" s="55"/>
      <c r="BB194" s="55"/>
      <c r="BC194" s="55"/>
      <c r="BD194" s="55"/>
      <c r="BE194" s="55"/>
      <c r="BF194" s="55"/>
      <c r="BG194" s="55"/>
      <c r="BH194" s="55"/>
      <c r="BI194" s="55"/>
      <c r="BJ194" s="55"/>
      <c r="BK194" s="55"/>
      <c r="BL194" s="55"/>
      <c r="BM194" s="55"/>
      <c r="BN194" s="55"/>
      <c r="BO194" s="55"/>
      <c r="BP194" s="55"/>
      <c r="BQ194" s="55"/>
      <c r="BR194" s="55"/>
      <c r="BS194" s="55"/>
    </row>
    <row r="195" spans="4:71" outlineLevel="1" x14ac:dyDescent="0.2">
      <c r="D195" s="11" t="s">
        <v>191</v>
      </c>
      <c r="J195" s="26"/>
      <c r="L195" s="55"/>
      <c r="M195" s="55"/>
      <c r="N195" s="55"/>
      <c r="O195" s="55"/>
      <c r="P195" s="55"/>
      <c r="Q195" s="55"/>
      <c r="R195" s="55"/>
      <c r="S195" s="55"/>
      <c r="T195" s="55"/>
      <c r="U195" s="55"/>
      <c r="V195" s="55"/>
      <c r="W195" s="55"/>
      <c r="X195" s="55"/>
      <c r="Y195" s="55"/>
      <c r="Z195" s="55"/>
      <c r="AA195" s="55"/>
      <c r="AB195" s="55"/>
      <c r="AC195" s="55"/>
      <c r="AD195" s="55"/>
      <c r="AE195" s="55"/>
      <c r="AF195" s="55"/>
      <c r="AG195" s="55"/>
      <c r="AH195" s="55"/>
      <c r="AI195" s="55"/>
      <c r="AJ195" s="55"/>
      <c r="AK195" s="55"/>
      <c r="AL195" s="55"/>
      <c r="AM195" s="55"/>
      <c r="AN195" s="55"/>
      <c r="AO195" s="55"/>
      <c r="AP195" s="55"/>
      <c r="AQ195" s="55"/>
      <c r="AR195" s="55"/>
      <c r="AS195" s="55"/>
      <c r="AT195" s="55"/>
      <c r="AU195" s="55"/>
      <c r="AV195" s="55"/>
      <c r="AW195" s="55"/>
      <c r="AX195" s="55"/>
      <c r="AY195" s="55"/>
      <c r="AZ195" s="55"/>
      <c r="BA195" s="55"/>
      <c r="BB195" s="55"/>
      <c r="BC195" s="55"/>
      <c r="BD195" s="55"/>
      <c r="BE195" s="55"/>
      <c r="BF195" s="55"/>
      <c r="BG195" s="55"/>
      <c r="BH195" s="55"/>
      <c r="BI195" s="55"/>
      <c r="BJ195" s="55"/>
      <c r="BK195" s="55"/>
      <c r="BL195" s="55"/>
      <c r="BM195" s="55"/>
      <c r="BN195" s="55"/>
      <c r="BO195" s="55"/>
      <c r="BP195" s="55"/>
      <c r="BQ195" s="55"/>
      <c r="BR195" s="55"/>
      <c r="BS195" s="55"/>
    </row>
    <row r="196" spans="4:71" outlineLevel="1" x14ac:dyDescent="0.2">
      <c r="D196" s="51" t="s">
        <v>182</v>
      </c>
      <c r="J196" s="26"/>
      <c r="L196" s="55"/>
      <c r="M196" s="55"/>
      <c r="N196" s="55"/>
      <c r="O196" s="55"/>
      <c r="P196" s="55"/>
      <c r="Q196" s="55"/>
      <c r="R196" s="55"/>
      <c r="S196" s="55"/>
      <c r="T196" s="55"/>
      <c r="U196" s="55"/>
      <c r="V196" s="55"/>
      <c r="W196" s="55"/>
      <c r="X196" s="55"/>
      <c r="Y196" s="55"/>
      <c r="Z196" s="55"/>
      <c r="AA196" s="55"/>
      <c r="AB196" s="55"/>
      <c r="AC196" s="55"/>
      <c r="AD196" s="55"/>
      <c r="AE196" s="55"/>
      <c r="AF196" s="55"/>
      <c r="AG196" s="55"/>
      <c r="AH196" s="55"/>
      <c r="AI196" s="55"/>
      <c r="AJ196" s="55"/>
      <c r="AK196" s="55"/>
      <c r="AL196" s="55"/>
      <c r="AM196" s="55"/>
      <c r="AN196" s="55"/>
      <c r="AO196" s="55"/>
      <c r="AP196" s="55"/>
      <c r="AQ196" s="55"/>
      <c r="AR196" s="55"/>
      <c r="AS196" s="55"/>
      <c r="AT196" s="55"/>
      <c r="AU196" s="55"/>
      <c r="AV196" s="55"/>
      <c r="AW196" s="55"/>
      <c r="AX196" s="55"/>
      <c r="AY196" s="55"/>
      <c r="AZ196" s="55"/>
      <c r="BA196" s="55"/>
      <c r="BB196" s="55"/>
      <c r="BC196" s="55"/>
      <c r="BD196" s="55"/>
      <c r="BE196" s="55"/>
      <c r="BF196" s="55"/>
      <c r="BG196" s="55"/>
      <c r="BH196" s="55"/>
      <c r="BI196" s="55"/>
      <c r="BJ196" s="55"/>
      <c r="BK196" s="55"/>
      <c r="BL196" s="55"/>
      <c r="BM196" s="55"/>
      <c r="BN196" s="55"/>
      <c r="BO196" s="55"/>
      <c r="BP196" s="55"/>
      <c r="BQ196" s="55"/>
      <c r="BR196" s="55"/>
      <c r="BS196" s="55"/>
    </row>
    <row r="197" spans="4:71" outlineLevel="1" x14ac:dyDescent="0.2">
      <c r="E197" t="s">
        <v>192</v>
      </c>
      <c r="I197" s="30">
        <f t="shared" ref="I197:I199" ca="1" si="34">SUM($L197:$BS197)</f>
        <v>5841.8322361906494</v>
      </c>
      <c r="J197" s="26" t="s">
        <v>148</v>
      </c>
      <c r="L197" s="49">
        <f ca="1">Haute_Mer_1994!CA_cost_stop</f>
        <v>374.66874115405938</v>
      </c>
      <c r="M197" s="49">
        <f ca="1">Haute_Mer_1994!CA_cost_stop</f>
        <v>353.9229876764623</v>
      </c>
      <c r="N197" s="49">
        <f ca="1">Haute_Mer_1994!CA_cost_stop</f>
        <v>133.53118450054168</v>
      </c>
      <c r="O197" s="49">
        <f ca="1">Haute_Mer_1994!CA_cost_stop</f>
        <v>126.04141158668411</v>
      </c>
      <c r="P197" s="49">
        <f ca="1">Haute_Mer_1994!CA_cost_stop</f>
        <v>349.62064769895682</v>
      </c>
      <c r="Q197" s="49">
        <f ca="1">Haute_Mer_1994!CA_cost_stop</f>
        <v>694.96643319605096</v>
      </c>
      <c r="R197" s="49">
        <f ca="1">Haute_Mer_1994!CA_cost_stop</f>
        <v>663.36543177458066</v>
      </c>
      <c r="S197" s="49">
        <f ca="1">Haute_Mer_1994!CA_cost_stop</f>
        <v>385.08849685800004</v>
      </c>
      <c r="T197" s="49">
        <f ca="1">Haute_Mer_1994!CA_cost_stop</f>
        <v>587.61561294820797</v>
      </c>
      <c r="U197" s="49">
        <f ca="1">Haute_Mer_1994!CA_cost_stop</f>
        <v>586.58734922948997</v>
      </c>
      <c r="V197" s="49">
        <f ca="1">Haute_Mer_1994!CA_cost_stop</f>
        <v>556.43675947909412</v>
      </c>
      <c r="W197" s="49">
        <f ca="1">Haute_Mer_1994!CA_cost_stop</f>
        <v>529.28203582280526</v>
      </c>
      <c r="X197" s="49">
        <f ca="1">Haute_Mer_1994!CA_cost_stop</f>
        <v>500.70514426571657</v>
      </c>
      <c r="Y197" s="49">
        <f ca="1">Haute_Mer_1994!CA_cost_stop</f>
        <v>0</v>
      </c>
      <c r="Z197" s="49">
        <f ca="1">Haute_Mer_1994!CA_cost_stop</f>
        <v>0</v>
      </c>
      <c r="AA197" s="49">
        <f ca="1">Haute_Mer_1994!CA_cost_stop</f>
        <v>0</v>
      </c>
      <c r="AB197" s="49">
        <f ca="1">Haute_Mer_1994!CA_cost_stop</f>
        <v>0</v>
      </c>
      <c r="AC197" s="49">
        <f ca="1">Haute_Mer_1994!CA_cost_stop</f>
        <v>0</v>
      </c>
      <c r="AD197" s="49">
        <f ca="1">Haute_Mer_1994!CA_cost_stop</f>
        <v>0</v>
      </c>
      <c r="AE197" s="49">
        <f ca="1">Haute_Mer_1994!CA_cost_stop</f>
        <v>0</v>
      </c>
      <c r="AF197" s="49">
        <f ca="1">Haute_Mer_1994!CA_cost_stop</f>
        <v>0</v>
      </c>
      <c r="AG197" s="49">
        <f ca="1">Haute_Mer_1994!CA_cost_stop</f>
        <v>0</v>
      </c>
      <c r="AH197" s="49">
        <f ca="1">Haute_Mer_1994!CA_cost_stop</f>
        <v>0</v>
      </c>
      <c r="AI197" s="49">
        <f ca="1">Haute_Mer_1994!CA_cost_stop</f>
        <v>0</v>
      </c>
      <c r="AJ197" s="49">
        <f ca="1">Haute_Mer_1994!CA_cost_stop</f>
        <v>0</v>
      </c>
      <c r="AK197" s="49">
        <f ca="1">Haute_Mer_1994!CA_cost_stop</f>
        <v>0</v>
      </c>
      <c r="AL197" s="49">
        <f ca="1">Haute_Mer_1994!CA_cost_stop</f>
        <v>0</v>
      </c>
      <c r="AM197" s="49">
        <f ca="1">Haute_Mer_1994!CA_cost_stop</f>
        <v>0</v>
      </c>
      <c r="AN197" s="49">
        <f ca="1">Haute_Mer_1994!CA_cost_stop</f>
        <v>0</v>
      </c>
      <c r="AO197" s="49">
        <f ca="1">Haute_Mer_1994!CA_cost_stop</f>
        <v>0</v>
      </c>
      <c r="AP197" s="49">
        <f ca="1">Haute_Mer_1994!CA_cost_stop</f>
        <v>0</v>
      </c>
      <c r="AQ197" s="49">
        <f ca="1">Haute_Mer_1994!CA_cost_stop</f>
        <v>0</v>
      </c>
      <c r="AR197" s="49">
        <f ca="1">Haute_Mer_1994!CA_cost_stop</f>
        <v>0</v>
      </c>
      <c r="AS197" s="49">
        <f ca="1">Haute_Mer_1994!CA_cost_stop</f>
        <v>0</v>
      </c>
      <c r="AT197" s="49">
        <f ca="1">Haute_Mer_1994!CA_cost_stop</f>
        <v>0</v>
      </c>
      <c r="AU197" s="49">
        <f ca="1">Haute_Mer_1994!CA_cost_stop</f>
        <v>0</v>
      </c>
      <c r="AV197" s="49">
        <f ca="1">Haute_Mer_1994!CA_cost_stop</f>
        <v>0</v>
      </c>
      <c r="AW197" s="49">
        <f ca="1">Haute_Mer_1994!CA_cost_stop</f>
        <v>0</v>
      </c>
      <c r="AX197" s="49">
        <f ca="1">Haute_Mer_1994!CA_cost_stop</f>
        <v>0</v>
      </c>
      <c r="AY197" s="49">
        <f ca="1">Haute_Mer_1994!CA_cost_stop</f>
        <v>0</v>
      </c>
      <c r="AZ197" s="49">
        <f ca="1">Haute_Mer_1994!CA_cost_stop</f>
        <v>0</v>
      </c>
      <c r="BA197" s="49">
        <f ca="1">Haute_Mer_1994!CA_cost_stop</f>
        <v>0</v>
      </c>
      <c r="BB197" s="49">
        <f ca="1">Haute_Mer_1994!CA_cost_stop</f>
        <v>0</v>
      </c>
      <c r="BC197" s="49">
        <f ca="1">Haute_Mer_1994!CA_cost_stop</f>
        <v>0</v>
      </c>
      <c r="BD197" s="49">
        <f ca="1">Haute_Mer_1994!CA_cost_stop</f>
        <v>0</v>
      </c>
      <c r="BE197" s="49">
        <f ca="1">Haute_Mer_1994!CA_cost_stop</f>
        <v>0</v>
      </c>
      <c r="BF197" s="49">
        <f ca="1">Haute_Mer_1994!CA_cost_stop</f>
        <v>0</v>
      </c>
      <c r="BG197" s="49">
        <f ca="1">Haute_Mer_1994!CA_cost_stop</f>
        <v>0</v>
      </c>
      <c r="BH197" s="49">
        <f ca="1">Haute_Mer_1994!CA_cost_stop</f>
        <v>0</v>
      </c>
      <c r="BI197" s="49">
        <f ca="1">Haute_Mer_1994!CA_cost_stop</f>
        <v>0</v>
      </c>
      <c r="BJ197" s="49">
        <f ca="1">Haute_Mer_1994!CA_cost_stop</f>
        <v>0</v>
      </c>
      <c r="BK197" s="49">
        <f ca="1">Haute_Mer_1994!CA_cost_stop</f>
        <v>0</v>
      </c>
      <c r="BL197" s="49">
        <f ca="1">Haute_Mer_1994!CA_cost_stop</f>
        <v>0</v>
      </c>
      <c r="BM197" s="49">
        <f ca="1">Haute_Mer_1994!CA_cost_stop</f>
        <v>0</v>
      </c>
      <c r="BN197" s="49">
        <f ca="1">Haute_Mer_1994!CA_cost_stop</f>
        <v>0</v>
      </c>
      <c r="BO197" s="49">
        <f ca="1">Haute_Mer_1994!CA_cost_stop</f>
        <v>0</v>
      </c>
      <c r="BP197" s="49">
        <f ca="1">Haute_Mer_1994!CA_cost_stop</f>
        <v>0</v>
      </c>
      <c r="BQ197" s="49">
        <f ca="1">Haute_Mer_1994!CA_cost_stop</f>
        <v>0</v>
      </c>
      <c r="BR197" s="49">
        <f ca="1">Haute_Mer_1994!CA_cost_stop</f>
        <v>0</v>
      </c>
      <c r="BS197" s="49">
        <f ca="1">Haute_Mer_1994!CA_cost_stop</f>
        <v>0</v>
      </c>
    </row>
    <row r="198" spans="4:71" outlineLevel="1" x14ac:dyDescent="0.2">
      <c r="E198" t="s">
        <v>193</v>
      </c>
      <c r="I198" s="30">
        <f ca="1">I187</f>
        <v>3502.3183539519996</v>
      </c>
      <c r="J198" s="26" t="s">
        <v>148</v>
      </c>
      <c r="L198" s="49">
        <f t="shared" ref="L198:AQ198" ca="1" si="35">CA_opex_to_recover+(K200*(1+int_rate_cf_costs))</f>
        <v>148.06899999999999</v>
      </c>
      <c r="M198" s="49">
        <f t="shared" ca="1" si="35"/>
        <v>183.88499999999999</v>
      </c>
      <c r="N198" s="49">
        <f t="shared" ca="1" si="35"/>
        <v>135.70400000000001</v>
      </c>
      <c r="O198" s="49">
        <f t="shared" ca="1" si="35"/>
        <v>243.05781549945831</v>
      </c>
      <c r="P198" s="49">
        <f t="shared" ca="1" si="35"/>
        <v>653.80640391277416</v>
      </c>
      <c r="Q198" s="49">
        <f t="shared" ca="1" si="35"/>
        <v>547.96575621381737</v>
      </c>
      <c r="R198" s="49">
        <f t="shared" ca="1" si="35"/>
        <v>281.8</v>
      </c>
      <c r="S198" s="49">
        <f t="shared" ca="1" si="35"/>
        <v>286.3</v>
      </c>
      <c r="T198" s="49">
        <f t="shared" ca="1" si="35"/>
        <v>283.39999999999998</v>
      </c>
      <c r="U198" s="49">
        <f t="shared" ca="1" si="35"/>
        <v>286.21200000000005</v>
      </c>
      <c r="V198" s="49">
        <f t="shared" ca="1" si="35"/>
        <v>289.02312000000001</v>
      </c>
      <c r="W198" s="49">
        <f t="shared" ca="1" si="35"/>
        <v>291.8322</v>
      </c>
      <c r="X198" s="49">
        <f t="shared" ca="1" si="35"/>
        <v>294.638033952</v>
      </c>
      <c r="Y198" s="49">
        <f t="shared" ca="1" si="35"/>
        <v>0</v>
      </c>
      <c r="Z198" s="49">
        <f t="shared" ca="1" si="35"/>
        <v>0</v>
      </c>
      <c r="AA198" s="49">
        <f t="shared" ca="1" si="35"/>
        <v>0</v>
      </c>
      <c r="AB198" s="49">
        <f t="shared" ca="1" si="35"/>
        <v>0</v>
      </c>
      <c r="AC198" s="49">
        <f t="shared" ca="1" si="35"/>
        <v>0</v>
      </c>
      <c r="AD198" s="49">
        <f t="shared" ca="1" si="35"/>
        <v>0</v>
      </c>
      <c r="AE198" s="49">
        <f t="shared" ca="1" si="35"/>
        <v>0</v>
      </c>
      <c r="AF198" s="49">
        <f t="shared" ca="1" si="35"/>
        <v>0</v>
      </c>
      <c r="AG198" s="49">
        <f t="shared" ca="1" si="35"/>
        <v>0</v>
      </c>
      <c r="AH198" s="49">
        <f t="shared" ca="1" si="35"/>
        <v>0</v>
      </c>
      <c r="AI198" s="49">
        <f t="shared" ca="1" si="35"/>
        <v>0</v>
      </c>
      <c r="AJ198" s="49">
        <f t="shared" ca="1" si="35"/>
        <v>0</v>
      </c>
      <c r="AK198" s="49">
        <f t="shared" ca="1" si="35"/>
        <v>0</v>
      </c>
      <c r="AL198" s="49">
        <f t="shared" ca="1" si="35"/>
        <v>0</v>
      </c>
      <c r="AM198" s="49">
        <f t="shared" ca="1" si="35"/>
        <v>0</v>
      </c>
      <c r="AN198" s="49">
        <f t="shared" ca="1" si="35"/>
        <v>0</v>
      </c>
      <c r="AO198" s="49">
        <f t="shared" ca="1" si="35"/>
        <v>0</v>
      </c>
      <c r="AP198" s="49">
        <f t="shared" ca="1" si="35"/>
        <v>0</v>
      </c>
      <c r="AQ198" s="49">
        <f t="shared" ca="1" si="35"/>
        <v>0</v>
      </c>
      <c r="AR198" s="49">
        <f t="shared" ref="AR198:BS198" ca="1" si="36">CA_opex_to_recover+(AQ200*(1+int_rate_cf_costs))</f>
        <v>0</v>
      </c>
      <c r="AS198" s="49">
        <f t="shared" ca="1" si="36"/>
        <v>0</v>
      </c>
      <c r="AT198" s="49">
        <f t="shared" ca="1" si="36"/>
        <v>0</v>
      </c>
      <c r="AU198" s="49">
        <f t="shared" ca="1" si="36"/>
        <v>0</v>
      </c>
      <c r="AV198" s="49">
        <f t="shared" ca="1" si="36"/>
        <v>0</v>
      </c>
      <c r="AW198" s="49">
        <f t="shared" ca="1" si="36"/>
        <v>0</v>
      </c>
      <c r="AX198" s="49">
        <f t="shared" ca="1" si="36"/>
        <v>0</v>
      </c>
      <c r="AY198" s="49">
        <f t="shared" ca="1" si="36"/>
        <v>0</v>
      </c>
      <c r="AZ198" s="49">
        <f t="shared" ca="1" si="36"/>
        <v>0</v>
      </c>
      <c r="BA198" s="49">
        <f t="shared" ca="1" si="36"/>
        <v>0</v>
      </c>
      <c r="BB198" s="49">
        <f t="shared" ca="1" si="36"/>
        <v>0</v>
      </c>
      <c r="BC198" s="49">
        <f t="shared" ca="1" si="36"/>
        <v>0</v>
      </c>
      <c r="BD198" s="49">
        <f t="shared" ca="1" si="36"/>
        <v>0</v>
      </c>
      <c r="BE198" s="49">
        <f t="shared" ca="1" si="36"/>
        <v>0</v>
      </c>
      <c r="BF198" s="49">
        <f t="shared" ca="1" si="36"/>
        <v>0</v>
      </c>
      <c r="BG198" s="49">
        <f t="shared" ca="1" si="36"/>
        <v>0</v>
      </c>
      <c r="BH198" s="49">
        <f t="shared" ca="1" si="36"/>
        <v>0</v>
      </c>
      <c r="BI198" s="49">
        <f t="shared" ca="1" si="36"/>
        <v>0</v>
      </c>
      <c r="BJ198" s="49">
        <f t="shared" ca="1" si="36"/>
        <v>0</v>
      </c>
      <c r="BK198" s="49">
        <f t="shared" ca="1" si="36"/>
        <v>0</v>
      </c>
      <c r="BL198" s="49">
        <f t="shared" ca="1" si="36"/>
        <v>0</v>
      </c>
      <c r="BM198" s="49">
        <f t="shared" ca="1" si="36"/>
        <v>0</v>
      </c>
      <c r="BN198" s="49">
        <f t="shared" ca="1" si="36"/>
        <v>0</v>
      </c>
      <c r="BO198" s="49">
        <f t="shared" ca="1" si="36"/>
        <v>0</v>
      </c>
      <c r="BP198" s="49">
        <f t="shared" ca="1" si="36"/>
        <v>0</v>
      </c>
      <c r="BQ198" s="49">
        <f t="shared" ca="1" si="36"/>
        <v>0</v>
      </c>
      <c r="BR198" s="49">
        <f t="shared" ca="1" si="36"/>
        <v>0</v>
      </c>
      <c r="BS198" s="49">
        <f t="shared" ca="1" si="36"/>
        <v>0</v>
      </c>
    </row>
    <row r="199" spans="4:71" outlineLevel="1" x14ac:dyDescent="0.2">
      <c r="E199" t="s">
        <v>194</v>
      </c>
      <c r="H199" s="56" t="b">
        <f ca="1">ROUND(I199,2)=-ROUND(I198,2)</f>
        <v>1</v>
      </c>
      <c r="I199" s="30">
        <f t="shared" ca="1" si="34"/>
        <v>-3502.3183539519996</v>
      </c>
      <c r="J199" s="26" t="s">
        <v>148</v>
      </c>
      <c r="L199" s="49">
        <f ca="1">-MIN(L198,L197)</f>
        <v>-148.06899999999999</v>
      </c>
      <c r="M199" s="49">
        <f t="shared" ref="M199:BS199" ca="1" si="37">-MIN(M198,M197)</f>
        <v>-183.88499999999999</v>
      </c>
      <c r="N199" s="49">
        <f t="shared" ca="1" si="37"/>
        <v>-133.53118450054168</v>
      </c>
      <c r="O199" s="49">
        <f t="shared" ca="1" si="37"/>
        <v>-126.04141158668411</v>
      </c>
      <c r="P199" s="49">
        <f t="shared" ca="1" si="37"/>
        <v>-349.62064769895682</v>
      </c>
      <c r="Q199" s="49">
        <f t="shared" ca="1" si="37"/>
        <v>-547.96575621381737</v>
      </c>
      <c r="R199" s="49">
        <f t="shared" ca="1" si="37"/>
        <v>-281.8</v>
      </c>
      <c r="S199" s="49">
        <f t="shared" ca="1" si="37"/>
        <v>-286.3</v>
      </c>
      <c r="T199" s="49">
        <f t="shared" ca="1" si="37"/>
        <v>-283.39999999999998</v>
      </c>
      <c r="U199" s="49">
        <f t="shared" ca="1" si="37"/>
        <v>-286.21200000000005</v>
      </c>
      <c r="V199" s="49">
        <f t="shared" ca="1" si="37"/>
        <v>-289.02312000000001</v>
      </c>
      <c r="W199" s="49">
        <f t="shared" ca="1" si="37"/>
        <v>-291.8322</v>
      </c>
      <c r="X199" s="49">
        <f t="shared" ca="1" si="37"/>
        <v>-294.638033952</v>
      </c>
      <c r="Y199" s="49">
        <f t="shared" ca="1" si="37"/>
        <v>0</v>
      </c>
      <c r="Z199" s="49">
        <f t="shared" ca="1" si="37"/>
        <v>0</v>
      </c>
      <c r="AA199" s="49">
        <f t="shared" ca="1" si="37"/>
        <v>0</v>
      </c>
      <c r="AB199" s="49">
        <f t="shared" ca="1" si="37"/>
        <v>0</v>
      </c>
      <c r="AC199" s="49">
        <f t="shared" ca="1" si="37"/>
        <v>0</v>
      </c>
      <c r="AD199" s="49">
        <f t="shared" ca="1" si="37"/>
        <v>0</v>
      </c>
      <c r="AE199" s="49">
        <f t="shared" ca="1" si="37"/>
        <v>0</v>
      </c>
      <c r="AF199" s="49">
        <f t="shared" ca="1" si="37"/>
        <v>0</v>
      </c>
      <c r="AG199" s="49">
        <f t="shared" ca="1" si="37"/>
        <v>0</v>
      </c>
      <c r="AH199" s="49">
        <f t="shared" ca="1" si="37"/>
        <v>0</v>
      </c>
      <c r="AI199" s="49">
        <f t="shared" ca="1" si="37"/>
        <v>0</v>
      </c>
      <c r="AJ199" s="49">
        <f t="shared" ca="1" si="37"/>
        <v>0</v>
      </c>
      <c r="AK199" s="49">
        <f t="shared" ca="1" si="37"/>
        <v>0</v>
      </c>
      <c r="AL199" s="49">
        <f t="shared" ca="1" si="37"/>
        <v>0</v>
      </c>
      <c r="AM199" s="49">
        <f t="shared" ca="1" si="37"/>
        <v>0</v>
      </c>
      <c r="AN199" s="49">
        <f t="shared" ca="1" si="37"/>
        <v>0</v>
      </c>
      <c r="AO199" s="49">
        <f t="shared" ca="1" si="37"/>
        <v>0</v>
      </c>
      <c r="AP199" s="49">
        <f t="shared" ca="1" si="37"/>
        <v>0</v>
      </c>
      <c r="AQ199" s="49">
        <f t="shared" ca="1" si="37"/>
        <v>0</v>
      </c>
      <c r="AR199" s="49">
        <f t="shared" ca="1" si="37"/>
        <v>0</v>
      </c>
      <c r="AS199" s="49">
        <f t="shared" ca="1" si="37"/>
        <v>0</v>
      </c>
      <c r="AT199" s="49">
        <f t="shared" ca="1" si="37"/>
        <v>0</v>
      </c>
      <c r="AU199" s="49">
        <f t="shared" ca="1" si="37"/>
        <v>0</v>
      </c>
      <c r="AV199" s="49">
        <f t="shared" ca="1" si="37"/>
        <v>0</v>
      </c>
      <c r="AW199" s="49">
        <f t="shared" ca="1" si="37"/>
        <v>0</v>
      </c>
      <c r="AX199" s="49">
        <f t="shared" ca="1" si="37"/>
        <v>0</v>
      </c>
      <c r="AY199" s="49">
        <f t="shared" ca="1" si="37"/>
        <v>0</v>
      </c>
      <c r="AZ199" s="49">
        <f t="shared" ca="1" si="37"/>
        <v>0</v>
      </c>
      <c r="BA199" s="49">
        <f t="shared" ca="1" si="37"/>
        <v>0</v>
      </c>
      <c r="BB199" s="49">
        <f t="shared" ca="1" si="37"/>
        <v>0</v>
      </c>
      <c r="BC199" s="49">
        <f t="shared" ca="1" si="37"/>
        <v>0</v>
      </c>
      <c r="BD199" s="49">
        <f t="shared" ca="1" si="37"/>
        <v>0</v>
      </c>
      <c r="BE199" s="49">
        <f t="shared" ca="1" si="37"/>
        <v>0</v>
      </c>
      <c r="BF199" s="49">
        <f t="shared" ca="1" si="37"/>
        <v>0</v>
      </c>
      <c r="BG199" s="49">
        <f t="shared" ca="1" si="37"/>
        <v>0</v>
      </c>
      <c r="BH199" s="49">
        <f t="shared" ca="1" si="37"/>
        <v>0</v>
      </c>
      <c r="BI199" s="49">
        <f t="shared" ca="1" si="37"/>
        <v>0</v>
      </c>
      <c r="BJ199" s="49">
        <f t="shared" ca="1" si="37"/>
        <v>0</v>
      </c>
      <c r="BK199" s="49">
        <f t="shared" ca="1" si="37"/>
        <v>0</v>
      </c>
      <c r="BL199" s="49">
        <f t="shared" ca="1" si="37"/>
        <v>0</v>
      </c>
      <c r="BM199" s="49">
        <f t="shared" ca="1" si="37"/>
        <v>0</v>
      </c>
      <c r="BN199" s="49">
        <f t="shared" ca="1" si="37"/>
        <v>0</v>
      </c>
      <c r="BO199" s="49">
        <f t="shared" ca="1" si="37"/>
        <v>0</v>
      </c>
      <c r="BP199" s="49">
        <f t="shared" ca="1" si="37"/>
        <v>0</v>
      </c>
      <c r="BQ199" s="49">
        <f t="shared" ca="1" si="37"/>
        <v>0</v>
      </c>
      <c r="BR199" s="49">
        <f t="shared" ca="1" si="37"/>
        <v>0</v>
      </c>
      <c r="BS199" s="49">
        <f t="shared" ca="1" si="37"/>
        <v>0</v>
      </c>
    </row>
    <row r="200" spans="4:71" outlineLevel="1" x14ac:dyDescent="0.2">
      <c r="E200" t="s">
        <v>195</v>
      </c>
      <c r="J200" s="26"/>
      <c r="L200" s="49">
        <f ca="1">L198+L199</f>
        <v>0</v>
      </c>
      <c r="M200" s="49">
        <f t="shared" ref="M200:BS200" ca="1" si="38">M198+M199</f>
        <v>0</v>
      </c>
      <c r="N200" s="49">
        <f t="shared" ca="1" si="38"/>
        <v>2.1728154994583235</v>
      </c>
      <c r="O200" s="49">
        <f t="shared" ca="1" si="38"/>
        <v>117.01640391277421</v>
      </c>
      <c r="P200" s="49">
        <f t="shared" ca="1" si="38"/>
        <v>304.18575621381734</v>
      </c>
      <c r="Q200" s="49">
        <f t="shared" ca="1" si="38"/>
        <v>0</v>
      </c>
      <c r="R200" s="49">
        <f t="shared" ca="1" si="38"/>
        <v>0</v>
      </c>
      <c r="S200" s="49">
        <f t="shared" ca="1" si="38"/>
        <v>0</v>
      </c>
      <c r="T200" s="49">
        <f t="shared" ca="1" si="38"/>
        <v>0</v>
      </c>
      <c r="U200" s="49">
        <f t="shared" ca="1" si="38"/>
        <v>0</v>
      </c>
      <c r="V200" s="49">
        <f t="shared" ca="1" si="38"/>
        <v>0</v>
      </c>
      <c r="W200" s="49">
        <f t="shared" ca="1" si="38"/>
        <v>0</v>
      </c>
      <c r="X200" s="49">
        <f t="shared" ca="1" si="38"/>
        <v>0</v>
      </c>
      <c r="Y200" s="49">
        <f t="shared" ca="1" si="38"/>
        <v>0</v>
      </c>
      <c r="Z200" s="49">
        <f t="shared" ca="1" si="38"/>
        <v>0</v>
      </c>
      <c r="AA200" s="49">
        <f t="shared" ca="1" si="38"/>
        <v>0</v>
      </c>
      <c r="AB200" s="49">
        <f t="shared" ca="1" si="38"/>
        <v>0</v>
      </c>
      <c r="AC200" s="49">
        <f t="shared" ca="1" si="38"/>
        <v>0</v>
      </c>
      <c r="AD200" s="49">
        <f t="shared" ca="1" si="38"/>
        <v>0</v>
      </c>
      <c r="AE200" s="49">
        <f t="shared" ca="1" si="38"/>
        <v>0</v>
      </c>
      <c r="AF200" s="49">
        <f t="shared" ca="1" si="38"/>
        <v>0</v>
      </c>
      <c r="AG200" s="49">
        <f t="shared" ca="1" si="38"/>
        <v>0</v>
      </c>
      <c r="AH200" s="49">
        <f t="shared" ca="1" si="38"/>
        <v>0</v>
      </c>
      <c r="AI200" s="49">
        <f t="shared" ca="1" si="38"/>
        <v>0</v>
      </c>
      <c r="AJ200" s="49">
        <f t="shared" ca="1" si="38"/>
        <v>0</v>
      </c>
      <c r="AK200" s="49">
        <f t="shared" ca="1" si="38"/>
        <v>0</v>
      </c>
      <c r="AL200" s="49">
        <f t="shared" ca="1" si="38"/>
        <v>0</v>
      </c>
      <c r="AM200" s="49">
        <f t="shared" ca="1" si="38"/>
        <v>0</v>
      </c>
      <c r="AN200" s="49">
        <f t="shared" ca="1" si="38"/>
        <v>0</v>
      </c>
      <c r="AO200" s="49">
        <f t="shared" ca="1" si="38"/>
        <v>0</v>
      </c>
      <c r="AP200" s="49">
        <f t="shared" ca="1" si="38"/>
        <v>0</v>
      </c>
      <c r="AQ200" s="49">
        <f t="shared" ca="1" si="38"/>
        <v>0</v>
      </c>
      <c r="AR200" s="49">
        <f t="shared" ca="1" si="38"/>
        <v>0</v>
      </c>
      <c r="AS200" s="49">
        <f t="shared" ca="1" si="38"/>
        <v>0</v>
      </c>
      <c r="AT200" s="49">
        <f t="shared" ca="1" si="38"/>
        <v>0</v>
      </c>
      <c r="AU200" s="49">
        <f t="shared" ca="1" si="38"/>
        <v>0</v>
      </c>
      <c r="AV200" s="49">
        <f t="shared" ca="1" si="38"/>
        <v>0</v>
      </c>
      <c r="AW200" s="49">
        <f t="shared" ca="1" si="38"/>
        <v>0</v>
      </c>
      <c r="AX200" s="49">
        <f t="shared" ca="1" si="38"/>
        <v>0</v>
      </c>
      <c r="AY200" s="49">
        <f t="shared" ca="1" si="38"/>
        <v>0</v>
      </c>
      <c r="AZ200" s="49">
        <f t="shared" ca="1" si="38"/>
        <v>0</v>
      </c>
      <c r="BA200" s="49">
        <f t="shared" ca="1" si="38"/>
        <v>0</v>
      </c>
      <c r="BB200" s="49">
        <f t="shared" ca="1" si="38"/>
        <v>0</v>
      </c>
      <c r="BC200" s="49">
        <f t="shared" ca="1" si="38"/>
        <v>0</v>
      </c>
      <c r="BD200" s="49">
        <f t="shared" ca="1" si="38"/>
        <v>0</v>
      </c>
      <c r="BE200" s="49">
        <f t="shared" ca="1" si="38"/>
        <v>0</v>
      </c>
      <c r="BF200" s="49">
        <f t="shared" ca="1" si="38"/>
        <v>0</v>
      </c>
      <c r="BG200" s="49">
        <f t="shared" ca="1" si="38"/>
        <v>0</v>
      </c>
      <c r="BH200" s="49">
        <f t="shared" ca="1" si="38"/>
        <v>0</v>
      </c>
      <c r="BI200" s="49">
        <f t="shared" ca="1" si="38"/>
        <v>0</v>
      </c>
      <c r="BJ200" s="49">
        <f t="shared" ca="1" si="38"/>
        <v>0</v>
      </c>
      <c r="BK200" s="49">
        <f t="shared" ca="1" si="38"/>
        <v>0</v>
      </c>
      <c r="BL200" s="49">
        <f t="shared" ca="1" si="38"/>
        <v>0</v>
      </c>
      <c r="BM200" s="49">
        <f t="shared" ca="1" si="38"/>
        <v>0</v>
      </c>
      <c r="BN200" s="49">
        <f t="shared" ca="1" si="38"/>
        <v>0</v>
      </c>
      <c r="BO200" s="49">
        <f t="shared" ca="1" si="38"/>
        <v>0</v>
      </c>
      <c r="BP200" s="49">
        <f t="shared" ca="1" si="38"/>
        <v>0</v>
      </c>
      <c r="BQ200" s="49">
        <f t="shared" ca="1" si="38"/>
        <v>0</v>
      </c>
      <c r="BR200" s="49">
        <f t="shared" ca="1" si="38"/>
        <v>0</v>
      </c>
      <c r="BS200" s="49">
        <f t="shared" ca="1" si="38"/>
        <v>0</v>
      </c>
    </row>
    <row r="201" spans="4:71" outlineLevel="1" x14ac:dyDescent="0.2">
      <c r="J201" s="26"/>
      <c r="L201" s="55"/>
      <c r="M201" s="55"/>
      <c r="N201" s="55"/>
      <c r="O201" s="55"/>
      <c r="P201" s="55"/>
      <c r="Q201" s="55"/>
      <c r="R201" s="55"/>
      <c r="S201" s="55"/>
      <c r="T201" s="55"/>
      <c r="U201" s="55"/>
      <c r="V201" s="55"/>
      <c r="W201" s="55"/>
      <c r="X201" s="55"/>
      <c r="Y201" s="55"/>
      <c r="Z201" s="55"/>
      <c r="AA201" s="55"/>
      <c r="AB201" s="55"/>
      <c r="AC201" s="55"/>
      <c r="AD201" s="55"/>
      <c r="AE201" s="55"/>
      <c r="AF201" s="55"/>
      <c r="AG201" s="55"/>
      <c r="AH201" s="55"/>
      <c r="AI201" s="55"/>
      <c r="AJ201" s="55"/>
      <c r="AK201" s="55"/>
      <c r="AL201" s="55"/>
      <c r="AM201" s="55"/>
      <c r="AN201" s="55"/>
      <c r="AO201" s="55"/>
      <c r="AP201" s="55"/>
      <c r="AQ201" s="55"/>
      <c r="AR201" s="55"/>
      <c r="AS201" s="55"/>
      <c r="AT201" s="55"/>
      <c r="AU201" s="55"/>
      <c r="AV201" s="55"/>
      <c r="AW201" s="55"/>
      <c r="AX201" s="55"/>
      <c r="AY201" s="55"/>
      <c r="AZ201" s="55"/>
      <c r="BA201" s="55"/>
      <c r="BB201" s="55"/>
      <c r="BC201" s="55"/>
      <c r="BD201" s="55"/>
      <c r="BE201" s="55"/>
      <c r="BF201" s="55"/>
      <c r="BG201" s="55"/>
      <c r="BH201" s="55"/>
      <c r="BI201" s="55"/>
      <c r="BJ201" s="55"/>
      <c r="BK201" s="55"/>
      <c r="BL201" s="55"/>
      <c r="BM201" s="55"/>
      <c r="BN201" s="55"/>
      <c r="BO201" s="55"/>
      <c r="BP201" s="55"/>
      <c r="BQ201" s="55"/>
      <c r="BR201" s="55"/>
      <c r="BS201" s="55"/>
    </row>
    <row r="202" spans="4:71" outlineLevel="1" x14ac:dyDescent="0.2">
      <c r="D202" s="51" t="s">
        <v>200</v>
      </c>
      <c r="J202" s="26"/>
      <c r="L202" s="55"/>
      <c r="M202" s="55"/>
      <c r="N202" s="55"/>
      <c r="O202" s="55"/>
      <c r="P202" s="55"/>
      <c r="Q202" s="55"/>
      <c r="R202" s="55"/>
      <c r="S202" s="55"/>
      <c r="T202" s="55"/>
      <c r="U202" s="55"/>
      <c r="V202" s="55"/>
      <c r="W202" s="55"/>
      <c r="X202" s="55"/>
      <c r="Y202" s="55"/>
      <c r="Z202" s="55"/>
      <c r="AA202" s="55"/>
      <c r="AB202" s="55"/>
      <c r="AC202" s="55"/>
      <c r="AD202" s="55"/>
      <c r="AE202" s="55"/>
      <c r="AF202" s="55"/>
      <c r="AG202" s="55"/>
      <c r="AH202" s="55"/>
      <c r="AI202" s="55"/>
      <c r="AJ202" s="55"/>
      <c r="AK202" s="55"/>
      <c r="AL202" s="55"/>
      <c r="AM202" s="55"/>
      <c r="AN202" s="55"/>
      <c r="AO202" s="55"/>
      <c r="AP202" s="55"/>
      <c r="AQ202" s="55"/>
      <c r="AR202" s="55"/>
      <c r="AS202" s="55"/>
      <c r="AT202" s="55"/>
      <c r="AU202" s="55"/>
      <c r="AV202" s="55"/>
      <c r="AW202" s="55"/>
      <c r="AX202" s="55"/>
      <c r="AY202" s="55"/>
      <c r="AZ202" s="55"/>
      <c r="BA202" s="55"/>
      <c r="BB202" s="55"/>
      <c r="BC202" s="55"/>
      <c r="BD202" s="55"/>
      <c r="BE202" s="55"/>
      <c r="BF202" s="55"/>
      <c r="BG202" s="55"/>
      <c r="BH202" s="55"/>
      <c r="BI202" s="55"/>
      <c r="BJ202" s="55"/>
      <c r="BK202" s="55"/>
      <c r="BL202" s="55"/>
      <c r="BM202" s="55"/>
      <c r="BN202" s="55"/>
      <c r="BO202" s="55"/>
      <c r="BP202" s="55"/>
      <c r="BQ202" s="55"/>
      <c r="BR202" s="55"/>
      <c r="BS202" s="55"/>
    </row>
    <row r="203" spans="4:71" outlineLevel="1" x14ac:dyDescent="0.2">
      <c r="E203" t="s">
        <v>192</v>
      </c>
      <c r="I203" s="30">
        <f t="shared" ref="I203:I205" ca="1" si="39">SUM($L203:$BS203)</f>
        <v>2339.5138822386502</v>
      </c>
      <c r="J203" s="26" t="s">
        <v>148</v>
      </c>
      <c r="L203" s="49">
        <f ca="1">Haute_Mer_1994!CA_cost_stop+L199</f>
        <v>226.59974115405939</v>
      </c>
      <c r="M203" s="49">
        <f ca="1">Haute_Mer_1994!CA_cost_stop+M199</f>
        <v>170.03798767646231</v>
      </c>
      <c r="N203" s="49">
        <f ca="1">Haute_Mer_1994!CA_cost_stop+N199</f>
        <v>0</v>
      </c>
      <c r="O203" s="49">
        <f ca="1">Haute_Mer_1994!CA_cost_stop+O199</f>
        <v>0</v>
      </c>
      <c r="P203" s="49">
        <f ca="1">Haute_Mer_1994!CA_cost_stop+P199</f>
        <v>0</v>
      </c>
      <c r="Q203" s="49">
        <f ca="1">Haute_Mer_1994!CA_cost_stop+Q199</f>
        <v>147.00067698223359</v>
      </c>
      <c r="R203" s="49">
        <f ca="1">Haute_Mer_1994!CA_cost_stop+R199</f>
        <v>381.56543177458065</v>
      </c>
      <c r="S203" s="49">
        <f ca="1">Haute_Mer_1994!CA_cost_stop+S199</f>
        <v>98.78849685800003</v>
      </c>
      <c r="T203" s="49">
        <f ca="1">Haute_Mer_1994!CA_cost_stop+T199</f>
        <v>304.21561294820799</v>
      </c>
      <c r="U203" s="49">
        <f ca="1">Haute_Mer_1994!CA_cost_stop+U199</f>
        <v>300.37534922948993</v>
      </c>
      <c r="V203" s="49">
        <f ca="1">Haute_Mer_1994!CA_cost_stop+V199</f>
        <v>267.41363947909412</v>
      </c>
      <c r="W203" s="49">
        <f ca="1">Haute_Mer_1994!CA_cost_stop+W199</f>
        <v>237.44983582280526</v>
      </c>
      <c r="X203" s="49">
        <f ca="1">Haute_Mer_1994!CA_cost_stop+X199</f>
        <v>206.06711031371657</v>
      </c>
      <c r="Y203" s="49">
        <f ca="1">Haute_Mer_1994!CA_cost_stop+Y199</f>
        <v>0</v>
      </c>
      <c r="Z203" s="49">
        <f ca="1">Haute_Mer_1994!CA_cost_stop+Z199</f>
        <v>0</v>
      </c>
      <c r="AA203" s="49">
        <f ca="1">Haute_Mer_1994!CA_cost_stop+AA199</f>
        <v>0</v>
      </c>
      <c r="AB203" s="49">
        <f ca="1">Haute_Mer_1994!CA_cost_stop+AB199</f>
        <v>0</v>
      </c>
      <c r="AC203" s="49">
        <f ca="1">Haute_Mer_1994!CA_cost_stop+AC199</f>
        <v>0</v>
      </c>
      <c r="AD203" s="49">
        <f ca="1">Haute_Mer_1994!CA_cost_stop+AD199</f>
        <v>0</v>
      </c>
      <c r="AE203" s="49">
        <f ca="1">Haute_Mer_1994!CA_cost_stop+AE199</f>
        <v>0</v>
      </c>
      <c r="AF203" s="49">
        <f ca="1">Haute_Mer_1994!CA_cost_stop+AF199</f>
        <v>0</v>
      </c>
      <c r="AG203" s="49">
        <f ca="1">Haute_Mer_1994!CA_cost_stop+AG199</f>
        <v>0</v>
      </c>
      <c r="AH203" s="49">
        <f ca="1">Haute_Mer_1994!CA_cost_stop+AH199</f>
        <v>0</v>
      </c>
      <c r="AI203" s="49">
        <f ca="1">Haute_Mer_1994!CA_cost_stop+AI199</f>
        <v>0</v>
      </c>
      <c r="AJ203" s="49">
        <f ca="1">Haute_Mer_1994!CA_cost_stop+AJ199</f>
        <v>0</v>
      </c>
      <c r="AK203" s="49">
        <f ca="1">Haute_Mer_1994!CA_cost_stop+AK199</f>
        <v>0</v>
      </c>
      <c r="AL203" s="49">
        <f ca="1">Haute_Mer_1994!CA_cost_stop+AL199</f>
        <v>0</v>
      </c>
      <c r="AM203" s="49">
        <f ca="1">Haute_Mer_1994!CA_cost_stop+AM199</f>
        <v>0</v>
      </c>
      <c r="AN203" s="49">
        <f ca="1">Haute_Mer_1994!CA_cost_stop+AN199</f>
        <v>0</v>
      </c>
      <c r="AO203" s="49">
        <f ca="1">Haute_Mer_1994!CA_cost_stop+AO199</f>
        <v>0</v>
      </c>
      <c r="AP203" s="49">
        <f ca="1">Haute_Mer_1994!CA_cost_stop+AP199</f>
        <v>0</v>
      </c>
      <c r="AQ203" s="49">
        <f ca="1">Haute_Mer_1994!CA_cost_stop+AQ199</f>
        <v>0</v>
      </c>
      <c r="AR203" s="49">
        <f ca="1">Haute_Mer_1994!CA_cost_stop+AR199</f>
        <v>0</v>
      </c>
      <c r="AS203" s="49">
        <f ca="1">Haute_Mer_1994!CA_cost_stop+AS199</f>
        <v>0</v>
      </c>
      <c r="AT203" s="49">
        <f ca="1">Haute_Mer_1994!CA_cost_stop+AT199</f>
        <v>0</v>
      </c>
      <c r="AU203" s="49">
        <f ca="1">Haute_Mer_1994!CA_cost_stop+AU199</f>
        <v>0</v>
      </c>
      <c r="AV203" s="49">
        <f ca="1">Haute_Mer_1994!CA_cost_stop+AV199</f>
        <v>0</v>
      </c>
      <c r="AW203" s="49">
        <f ca="1">Haute_Mer_1994!CA_cost_stop+AW199</f>
        <v>0</v>
      </c>
      <c r="AX203" s="49">
        <f ca="1">Haute_Mer_1994!CA_cost_stop+AX199</f>
        <v>0</v>
      </c>
      <c r="AY203" s="49">
        <f ca="1">Haute_Mer_1994!CA_cost_stop+AY199</f>
        <v>0</v>
      </c>
      <c r="AZ203" s="49">
        <f ca="1">Haute_Mer_1994!CA_cost_stop+AZ199</f>
        <v>0</v>
      </c>
      <c r="BA203" s="49">
        <f ca="1">Haute_Mer_1994!CA_cost_stop+BA199</f>
        <v>0</v>
      </c>
      <c r="BB203" s="49">
        <f ca="1">Haute_Mer_1994!CA_cost_stop+BB199</f>
        <v>0</v>
      </c>
      <c r="BC203" s="49">
        <f ca="1">Haute_Mer_1994!CA_cost_stop+BC199</f>
        <v>0</v>
      </c>
      <c r="BD203" s="49">
        <f ca="1">Haute_Mer_1994!CA_cost_stop+BD199</f>
        <v>0</v>
      </c>
      <c r="BE203" s="49">
        <f ca="1">Haute_Mer_1994!CA_cost_stop+BE199</f>
        <v>0</v>
      </c>
      <c r="BF203" s="49">
        <f ca="1">Haute_Mer_1994!CA_cost_stop+BF199</f>
        <v>0</v>
      </c>
      <c r="BG203" s="49">
        <f ca="1">Haute_Mer_1994!CA_cost_stop+BG199</f>
        <v>0</v>
      </c>
      <c r="BH203" s="49">
        <f ca="1">Haute_Mer_1994!CA_cost_stop+BH199</f>
        <v>0</v>
      </c>
      <c r="BI203" s="49">
        <f ca="1">Haute_Mer_1994!CA_cost_stop+BI199</f>
        <v>0</v>
      </c>
      <c r="BJ203" s="49">
        <f ca="1">Haute_Mer_1994!CA_cost_stop+BJ199</f>
        <v>0</v>
      </c>
      <c r="BK203" s="49">
        <f ca="1">Haute_Mer_1994!CA_cost_stop+BK199</f>
        <v>0</v>
      </c>
      <c r="BL203" s="49">
        <f ca="1">Haute_Mer_1994!CA_cost_stop+BL199</f>
        <v>0</v>
      </c>
      <c r="BM203" s="49">
        <f ca="1">Haute_Mer_1994!CA_cost_stop+BM199</f>
        <v>0</v>
      </c>
      <c r="BN203" s="49">
        <f ca="1">Haute_Mer_1994!CA_cost_stop+BN199</f>
        <v>0</v>
      </c>
      <c r="BO203" s="49">
        <f ca="1">Haute_Mer_1994!CA_cost_stop+BO199</f>
        <v>0</v>
      </c>
      <c r="BP203" s="49">
        <f ca="1">Haute_Mer_1994!CA_cost_stop+BP199</f>
        <v>0</v>
      </c>
      <c r="BQ203" s="49">
        <f ca="1">Haute_Mer_1994!CA_cost_stop+BQ199</f>
        <v>0</v>
      </c>
      <c r="BR203" s="49">
        <f ca="1">Haute_Mer_1994!CA_cost_stop+BR199</f>
        <v>0</v>
      </c>
      <c r="BS203" s="49">
        <f ca="1">Haute_Mer_1994!CA_cost_stop+BS199</f>
        <v>0</v>
      </c>
    </row>
    <row r="204" spans="4:71" outlineLevel="1" x14ac:dyDescent="0.2">
      <c r="E204" t="s">
        <v>201</v>
      </c>
      <c r="I204" s="30">
        <f ca="1">I188</f>
        <v>116.836644723813</v>
      </c>
      <c r="J204" s="26" t="s">
        <v>148</v>
      </c>
      <c r="L204" s="49">
        <f t="shared" ref="L204:AQ204" ca="1" si="40">CA_pid_to_recover+(K206*(1+int_rate_cf_costs))</f>
        <v>7.4933748230811874</v>
      </c>
      <c r="M204" s="49">
        <f t="shared" ca="1" si="40"/>
        <v>7.0784597535292457</v>
      </c>
      <c r="N204" s="49">
        <f t="shared" ca="1" si="40"/>
        <v>2.6706236900108338</v>
      </c>
      <c r="O204" s="49">
        <f t="shared" ca="1" si="40"/>
        <v>5.1914519217445161</v>
      </c>
      <c r="P204" s="49">
        <f t="shared" ca="1" si="40"/>
        <v>12.183864875723653</v>
      </c>
      <c r="Q204" s="49">
        <f t="shared" ca="1" si="40"/>
        <v>26.083193539644675</v>
      </c>
      <c r="R204" s="49">
        <f t="shared" ca="1" si="40"/>
        <v>13.267308635491613</v>
      </c>
      <c r="S204" s="49">
        <f t="shared" ca="1" si="40"/>
        <v>7.7017699371600008</v>
      </c>
      <c r="T204" s="49">
        <f t="shared" ca="1" si="40"/>
        <v>11.75231225896416</v>
      </c>
      <c r="U204" s="49">
        <f t="shared" ca="1" si="40"/>
        <v>11.731746984589799</v>
      </c>
      <c r="V204" s="49">
        <f t="shared" ca="1" si="40"/>
        <v>11.128735189581883</v>
      </c>
      <c r="W204" s="49">
        <f t="shared" ca="1" si="40"/>
        <v>10.585640716456105</v>
      </c>
      <c r="X204" s="49">
        <f t="shared" ca="1" si="40"/>
        <v>10.014102885314331</v>
      </c>
      <c r="Y204" s="49">
        <f t="shared" ca="1" si="40"/>
        <v>0</v>
      </c>
      <c r="Z204" s="49">
        <f t="shared" ca="1" si="40"/>
        <v>0</v>
      </c>
      <c r="AA204" s="49">
        <f t="shared" ca="1" si="40"/>
        <v>0</v>
      </c>
      <c r="AB204" s="49">
        <f t="shared" ca="1" si="40"/>
        <v>0</v>
      </c>
      <c r="AC204" s="49">
        <f t="shared" ca="1" si="40"/>
        <v>0</v>
      </c>
      <c r="AD204" s="49">
        <f t="shared" ca="1" si="40"/>
        <v>0</v>
      </c>
      <c r="AE204" s="49">
        <f t="shared" ca="1" si="40"/>
        <v>0</v>
      </c>
      <c r="AF204" s="49">
        <f t="shared" ca="1" si="40"/>
        <v>0</v>
      </c>
      <c r="AG204" s="49">
        <f t="shared" ca="1" si="40"/>
        <v>0</v>
      </c>
      <c r="AH204" s="49">
        <f t="shared" ca="1" si="40"/>
        <v>0</v>
      </c>
      <c r="AI204" s="49">
        <f t="shared" ca="1" si="40"/>
        <v>0</v>
      </c>
      <c r="AJ204" s="49">
        <f t="shared" ca="1" si="40"/>
        <v>0</v>
      </c>
      <c r="AK204" s="49">
        <f t="shared" ca="1" si="40"/>
        <v>0</v>
      </c>
      <c r="AL204" s="49">
        <f t="shared" ca="1" si="40"/>
        <v>0</v>
      </c>
      <c r="AM204" s="49">
        <f t="shared" ca="1" si="40"/>
        <v>0</v>
      </c>
      <c r="AN204" s="49">
        <f t="shared" ca="1" si="40"/>
        <v>0</v>
      </c>
      <c r="AO204" s="49">
        <f t="shared" ca="1" si="40"/>
        <v>0</v>
      </c>
      <c r="AP204" s="49">
        <f t="shared" ca="1" si="40"/>
        <v>0</v>
      </c>
      <c r="AQ204" s="49">
        <f t="shared" ca="1" si="40"/>
        <v>0</v>
      </c>
      <c r="AR204" s="49">
        <f t="shared" ref="AR204:BS204" ca="1" si="41">CA_pid_to_recover+(AQ206*(1+int_rate_cf_costs))</f>
        <v>0</v>
      </c>
      <c r="AS204" s="49">
        <f t="shared" ca="1" si="41"/>
        <v>0</v>
      </c>
      <c r="AT204" s="49">
        <f t="shared" ca="1" si="41"/>
        <v>0</v>
      </c>
      <c r="AU204" s="49">
        <f t="shared" ca="1" si="41"/>
        <v>0</v>
      </c>
      <c r="AV204" s="49">
        <f t="shared" ca="1" si="41"/>
        <v>0</v>
      </c>
      <c r="AW204" s="49">
        <f t="shared" ca="1" si="41"/>
        <v>0</v>
      </c>
      <c r="AX204" s="49">
        <f t="shared" ca="1" si="41"/>
        <v>0</v>
      </c>
      <c r="AY204" s="49">
        <f t="shared" ca="1" si="41"/>
        <v>0</v>
      </c>
      <c r="AZ204" s="49">
        <f t="shared" ca="1" si="41"/>
        <v>0</v>
      </c>
      <c r="BA204" s="49">
        <f t="shared" ca="1" si="41"/>
        <v>0</v>
      </c>
      <c r="BB204" s="49">
        <f t="shared" ca="1" si="41"/>
        <v>0</v>
      </c>
      <c r="BC204" s="49">
        <f t="shared" ca="1" si="41"/>
        <v>0</v>
      </c>
      <c r="BD204" s="49">
        <f t="shared" ca="1" si="41"/>
        <v>0</v>
      </c>
      <c r="BE204" s="49">
        <f t="shared" ca="1" si="41"/>
        <v>0</v>
      </c>
      <c r="BF204" s="49">
        <f t="shared" ca="1" si="41"/>
        <v>0</v>
      </c>
      <c r="BG204" s="49">
        <f t="shared" ca="1" si="41"/>
        <v>0</v>
      </c>
      <c r="BH204" s="49">
        <f t="shared" ca="1" si="41"/>
        <v>0</v>
      </c>
      <c r="BI204" s="49">
        <f t="shared" ca="1" si="41"/>
        <v>0</v>
      </c>
      <c r="BJ204" s="49">
        <f t="shared" ca="1" si="41"/>
        <v>0</v>
      </c>
      <c r="BK204" s="49">
        <f t="shared" ca="1" si="41"/>
        <v>0</v>
      </c>
      <c r="BL204" s="49">
        <f t="shared" ca="1" si="41"/>
        <v>0</v>
      </c>
      <c r="BM204" s="49">
        <f t="shared" ca="1" si="41"/>
        <v>0</v>
      </c>
      <c r="BN204" s="49">
        <f t="shared" ca="1" si="41"/>
        <v>0</v>
      </c>
      <c r="BO204" s="49">
        <f t="shared" ca="1" si="41"/>
        <v>0</v>
      </c>
      <c r="BP204" s="49">
        <f t="shared" ca="1" si="41"/>
        <v>0</v>
      </c>
      <c r="BQ204" s="49">
        <f t="shared" ca="1" si="41"/>
        <v>0</v>
      </c>
      <c r="BR204" s="49">
        <f t="shared" ca="1" si="41"/>
        <v>0</v>
      </c>
      <c r="BS204" s="49">
        <f t="shared" ca="1" si="41"/>
        <v>0</v>
      </c>
    </row>
    <row r="205" spans="4:71" outlineLevel="1" x14ac:dyDescent="0.2">
      <c r="E205" t="s">
        <v>202</v>
      </c>
      <c r="H205" s="56" t="b">
        <f ca="1">ROUND(I205,2)=-ROUND(I204,2)</f>
        <v>1</v>
      </c>
      <c r="I205" s="30">
        <f t="shared" ca="1" si="39"/>
        <v>-116.83664472381302</v>
      </c>
      <c r="J205" s="26" t="s">
        <v>148</v>
      </c>
      <c r="L205" s="49">
        <f ca="1">-MIN(L204,L203)</f>
        <v>-7.4933748230811874</v>
      </c>
      <c r="M205" s="49">
        <f t="shared" ref="M205:BS205" ca="1" si="42">-MIN(M204,M203)</f>
        <v>-7.0784597535292457</v>
      </c>
      <c r="N205" s="49">
        <f t="shared" ca="1" si="42"/>
        <v>0</v>
      </c>
      <c r="O205" s="49">
        <f t="shared" ca="1" si="42"/>
        <v>0</v>
      </c>
      <c r="P205" s="49">
        <f t="shared" ca="1" si="42"/>
        <v>0</v>
      </c>
      <c r="Q205" s="49">
        <f t="shared" ca="1" si="42"/>
        <v>-26.083193539644675</v>
      </c>
      <c r="R205" s="49">
        <f t="shared" ca="1" si="42"/>
        <v>-13.267308635491613</v>
      </c>
      <c r="S205" s="49">
        <f t="shared" ca="1" si="42"/>
        <v>-7.7017699371600008</v>
      </c>
      <c r="T205" s="49">
        <f t="shared" ca="1" si="42"/>
        <v>-11.75231225896416</v>
      </c>
      <c r="U205" s="49">
        <f t="shared" ca="1" si="42"/>
        <v>-11.731746984589799</v>
      </c>
      <c r="V205" s="49">
        <f t="shared" ca="1" si="42"/>
        <v>-11.128735189581883</v>
      </c>
      <c r="W205" s="49">
        <f t="shared" ca="1" si="42"/>
        <v>-10.585640716456105</v>
      </c>
      <c r="X205" s="49">
        <f t="shared" ca="1" si="42"/>
        <v>-10.014102885314331</v>
      </c>
      <c r="Y205" s="49">
        <f t="shared" ca="1" si="42"/>
        <v>0</v>
      </c>
      <c r="Z205" s="49">
        <f t="shared" ca="1" si="42"/>
        <v>0</v>
      </c>
      <c r="AA205" s="49">
        <f t="shared" ca="1" si="42"/>
        <v>0</v>
      </c>
      <c r="AB205" s="49">
        <f t="shared" ca="1" si="42"/>
        <v>0</v>
      </c>
      <c r="AC205" s="49">
        <f t="shared" ca="1" si="42"/>
        <v>0</v>
      </c>
      <c r="AD205" s="49">
        <f t="shared" ca="1" si="42"/>
        <v>0</v>
      </c>
      <c r="AE205" s="49">
        <f t="shared" ca="1" si="42"/>
        <v>0</v>
      </c>
      <c r="AF205" s="49">
        <f t="shared" ca="1" si="42"/>
        <v>0</v>
      </c>
      <c r="AG205" s="49">
        <f t="shared" ca="1" si="42"/>
        <v>0</v>
      </c>
      <c r="AH205" s="49">
        <f t="shared" ca="1" si="42"/>
        <v>0</v>
      </c>
      <c r="AI205" s="49">
        <f t="shared" ca="1" si="42"/>
        <v>0</v>
      </c>
      <c r="AJ205" s="49">
        <f t="shared" ca="1" si="42"/>
        <v>0</v>
      </c>
      <c r="AK205" s="49">
        <f t="shared" ca="1" si="42"/>
        <v>0</v>
      </c>
      <c r="AL205" s="49">
        <f t="shared" ca="1" si="42"/>
        <v>0</v>
      </c>
      <c r="AM205" s="49">
        <f t="shared" ca="1" si="42"/>
        <v>0</v>
      </c>
      <c r="AN205" s="49">
        <f t="shared" ca="1" si="42"/>
        <v>0</v>
      </c>
      <c r="AO205" s="49">
        <f t="shared" ca="1" si="42"/>
        <v>0</v>
      </c>
      <c r="AP205" s="49">
        <f t="shared" ca="1" si="42"/>
        <v>0</v>
      </c>
      <c r="AQ205" s="49">
        <f t="shared" ca="1" si="42"/>
        <v>0</v>
      </c>
      <c r="AR205" s="49">
        <f t="shared" ca="1" si="42"/>
        <v>0</v>
      </c>
      <c r="AS205" s="49">
        <f t="shared" ca="1" si="42"/>
        <v>0</v>
      </c>
      <c r="AT205" s="49">
        <f t="shared" ca="1" si="42"/>
        <v>0</v>
      </c>
      <c r="AU205" s="49">
        <f t="shared" ca="1" si="42"/>
        <v>0</v>
      </c>
      <c r="AV205" s="49">
        <f t="shared" ca="1" si="42"/>
        <v>0</v>
      </c>
      <c r="AW205" s="49">
        <f t="shared" ca="1" si="42"/>
        <v>0</v>
      </c>
      <c r="AX205" s="49">
        <f t="shared" ca="1" si="42"/>
        <v>0</v>
      </c>
      <c r="AY205" s="49">
        <f t="shared" ca="1" si="42"/>
        <v>0</v>
      </c>
      <c r="AZ205" s="49">
        <f t="shared" ca="1" si="42"/>
        <v>0</v>
      </c>
      <c r="BA205" s="49">
        <f t="shared" ca="1" si="42"/>
        <v>0</v>
      </c>
      <c r="BB205" s="49">
        <f t="shared" ca="1" si="42"/>
        <v>0</v>
      </c>
      <c r="BC205" s="49">
        <f t="shared" ca="1" si="42"/>
        <v>0</v>
      </c>
      <c r="BD205" s="49">
        <f t="shared" ca="1" si="42"/>
        <v>0</v>
      </c>
      <c r="BE205" s="49">
        <f t="shared" ca="1" si="42"/>
        <v>0</v>
      </c>
      <c r="BF205" s="49">
        <f t="shared" ca="1" si="42"/>
        <v>0</v>
      </c>
      <c r="BG205" s="49">
        <f t="shared" ca="1" si="42"/>
        <v>0</v>
      </c>
      <c r="BH205" s="49">
        <f t="shared" ca="1" si="42"/>
        <v>0</v>
      </c>
      <c r="BI205" s="49">
        <f t="shared" ca="1" si="42"/>
        <v>0</v>
      </c>
      <c r="BJ205" s="49">
        <f t="shared" ca="1" si="42"/>
        <v>0</v>
      </c>
      <c r="BK205" s="49">
        <f t="shared" ca="1" si="42"/>
        <v>0</v>
      </c>
      <c r="BL205" s="49">
        <f t="shared" ca="1" si="42"/>
        <v>0</v>
      </c>
      <c r="BM205" s="49">
        <f t="shared" ca="1" si="42"/>
        <v>0</v>
      </c>
      <c r="BN205" s="49">
        <f t="shared" ca="1" si="42"/>
        <v>0</v>
      </c>
      <c r="BO205" s="49">
        <f t="shared" ca="1" si="42"/>
        <v>0</v>
      </c>
      <c r="BP205" s="49">
        <f t="shared" ca="1" si="42"/>
        <v>0</v>
      </c>
      <c r="BQ205" s="49">
        <f t="shared" ca="1" si="42"/>
        <v>0</v>
      </c>
      <c r="BR205" s="49">
        <f t="shared" ca="1" si="42"/>
        <v>0</v>
      </c>
      <c r="BS205" s="49">
        <f t="shared" ca="1" si="42"/>
        <v>0</v>
      </c>
    </row>
    <row r="206" spans="4:71" outlineLevel="1" x14ac:dyDescent="0.2">
      <c r="E206" t="s">
        <v>195</v>
      </c>
      <c r="J206" s="26"/>
      <c r="L206" s="49">
        <f ca="1">L204+L205</f>
        <v>0</v>
      </c>
      <c r="M206" s="49">
        <f t="shared" ref="M206:BS206" ca="1" si="43">M204+M205</f>
        <v>0</v>
      </c>
      <c r="N206" s="49">
        <f t="shared" ca="1" si="43"/>
        <v>2.6706236900108338</v>
      </c>
      <c r="O206" s="49">
        <f t="shared" ca="1" si="43"/>
        <v>5.1914519217445161</v>
      </c>
      <c r="P206" s="49">
        <f t="shared" ca="1" si="43"/>
        <v>12.183864875723653</v>
      </c>
      <c r="Q206" s="49">
        <f t="shared" ca="1" si="43"/>
        <v>0</v>
      </c>
      <c r="R206" s="49">
        <f t="shared" ca="1" si="43"/>
        <v>0</v>
      </c>
      <c r="S206" s="49">
        <f t="shared" ca="1" si="43"/>
        <v>0</v>
      </c>
      <c r="T206" s="49">
        <f t="shared" ca="1" si="43"/>
        <v>0</v>
      </c>
      <c r="U206" s="49">
        <f t="shared" ca="1" si="43"/>
        <v>0</v>
      </c>
      <c r="V206" s="49">
        <f t="shared" ca="1" si="43"/>
        <v>0</v>
      </c>
      <c r="W206" s="49">
        <f t="shared" ca="1" si="43"/>
        <v>0</v>
      </c>
      <c r="X206" s="49">
        <f t="shared" ca="1" si="43"/>
        <v>0</v>
      </c>
      <c r="Y206" s="49">
        <f t="shared" ca="1" si="43"/>
        <v>0</v>
      </c>
      <c r="Z206" s="49">
        <f t="shared" ca="1" si="43"/>
        <v>0</v>
      </c>
      <c r="AA206" s="49">
        <f t="shared" ca="1" si="43"/>
        <v>0</v>
      </c>
      <c r="AB206" s="49">
        <f t="shared" ca="1" si="43"/>
        <v>0</v>
      </c>
      <c r="AC206" s="49">
        <f t="shared" ca="1" si="43"/>
        <v>0</v>
      </c>
      <c r="AD206" s="49">
        <f t="shared" ca="1" si="43"/>
        <v>0</v>
      </c>
      <c r="AE206" s="49">
        <f t="shared" ca="1" si="43"/>
        <v>0</v>
      </c>
      <c r="AF206" s="49">
        <f t="shared" ca="1" si="43"/>
        <v>0</v>
      </c>
      <c r="AG206" s="49">
        <f t="shared" ca="1" si="43"/>
        <v>0</v>
      </c>
      <c r="AH206" s="49">
        <f t="shared" ca="1" si="43"/>
        <v>0</v>
      </c>
      <c r="AI206" s="49">
        <f t="shared" ca="1" si="43"/>
        <v>0</v>
      </c>
      <c r="AJ206" s="49">
        <f t="shared" ca="1" si="43"/>
        <v>0</v>
      </c>
      <c r="AK206" s="49">
        <f t="shared" ca="1" si="43"/>
        <v>0</v>
      </c>
      <c r="AL206" s="49">
        <f t="shared" ca="1" si="43"/>
        <v>0</v>
      </c>
      <c r="AM206" s="49">
        <f t="shared" ca="1" si="43"/>
        <v>0</v>
      </c>
      <c r="AN206" s="49">
        <f t="shared" ca="1" si="43"/>
        <v>0</v>
      </c>
      <c r="AO206" s="49">
        <f t="shared" ca="1" si="43"/>
        <v>0</v>
      </c>
      <c r="AP206" s="49">
        <f t="shared" ca="1" si="43"/>
        <v>0</v>
      </c>
      <c r="AQ206" s="49">
        <f t="shared" ca="1" si="43"/>
        <v>0</v>
      </c>
      <c r="AR206" s="49">
        <f t="shared" ca="1" si="43"/>
        <v>0</v>
      </c>
      <c r="AS206" s="49">
        <f t="shared" ca="1" si="43"/>
        <v>0</v>
      </c>
      <c r="AT206" s="49">
        <f t="shared" ca="1" si="43"/>
        <v>0</v>
      </c>
      <c r="AU206" s="49">
        <f t="shared" ca="1" si="43"/>
        <v>0</v>
      </c>
      <c r="AV206" s="49">
        <f t="shared" ca="1" si="43"/>
        <v>0</v>
      </c>
      <c r="AW206" s="49">
        <f t="shared" ca="1" si="43"/>
        <v>0</v>
      </c>
      <c r="AX206" s="49">
        <f t="shared" ca="1" si="43"/>
        <v>0</v>
      </c>
      <c r="AY206" s="49">
        <f t="shared" ca="1" si="43"/>
        <v>0</v>
      </c>
      <c r="AZ206" s="49">
        <f t="shared" ca="1" si="43"/>
        <v>0</v>
      </c>
      <c r="BA206" s="49">
        <f t="shared" ca="1" si="43"/>
        <v>0</v>
      </c>
      <c r="BB206" s="49">
        <f t="shared" ca="1" si="43"/>
        <v>0</v>
      </c>
      <c r="BC206" s="49">
        <f t="shared" ca="1" si="43"/>
        <v>0</v>
      </c>
      <c r="BD206" s="49">
        <f t="shared" ca="1" si="43"/>
        <v>0</v>
      </c>
      <c r="BE206" s="49">
        <f t="shared" ca="1" si="43"/>
        <v>0</v>
      </c>
      <c r="BF206" s="49">
        <f t="shared" ca="1" si="43"/>
        <v>0</v>
      </c>
      <c r="BG206" s="49">
        <f t="shared" ca="1" si="43"/>
        <v>0</v>
      </c>
      <c r="BH206" s="49">
        <f t="shared" ca="1" si="43"/>
        <v>0</v>
      </c>
      <c r="BI206" s="49">
        <f t="shared" ca="1" si="43"/>
        <v>0</v>
      </c>
      <c r="BJ206" s="49">
        <f t="shared" ca="1" si="43"/>
        <v>0</v>
      </c>
      <c r="BK206" s="49">
        <f t="shared" ca="1" si="43"/>
        <v>0</v>
      </c>
      <c r="BL206" s="49">
        <f t="shared" ca="1" si="43"/>
        <v>0</v>
      </c>
      <c r="BM206" s="49">
        <f t="shared" ca="1" si="43"/>
        <v>0</v>
      </c>
      <c r="BN206" s="49">
        <f t="shared" ca="1" si="43"/>
        <v>0</v>
      </c>
      <c r="BO206" s="49">
        <f t="shared" ca="1" si="43"/>
        <v>0</v>
      </c>
      <c r="BP206" s="49">
        <f t="shared" ca="1" si="43"/>
        <v>0</v>
      </c>
      <c r="BQ206" s="49">
        <f t="shared" ca="1" si="43"/>
        <v>0</v>
      </c>
      <c r="BR206" s="49">
        <f t="shared" ca="1" si="43"/>
        <v>0</v>
      </c>
      <c r="BS206" s="49">
        <f t="shared" ca="1" si="43"/>
        <v>0</v>
      </c>
    </row>
    <row r="207" spans="4:71" outlineLevel="1" x14ac:dyDescent="0.2">
      <c r="J207" s="26"/>
      <c r="L207" s="55"/>
      <c r="M207" s="55"/>
      <c r="N207" s="55"/>
      <c r="O207" s="55"/>
      <c r="P207" s="55"/>
      <c r="Q207" s="55"/>
      <c r="R207" s="55"/>
      <c r="S207" s="55"/>
      <c r="T207" s="55"/>
      <c r="U207" s="55"/>
      <c r="V207" s="55"/>
      <c r="W207" s="55"/>
      <c r="X207" s="55"/>
      <c r="Y207" s="55"/>
      <c r="Z207" s="55"/>
      <c r="AA207" s="55"/>
      <c r="AB207" s="55"/>
      <c r="AC207" s="55"/>
      <c r="AD207" s="55"/>
      <c r="AE207" s="55"/>
      <c r="AF207" s="55"/>
      <c r="AG207" s="55"/>
      <c r="AH207" s="55"/>
      <c r="AI207" s="55"/>
      <c r="AJ207" s="55"/>
      <c r="AK207" s="55"/>
      <c r="AL207" s="55"/>
      <c r="AM207" s="55"/>
      <c r="AN207" s="55"/>
      <c r="AO207" s="55"/>
      <c r="AP207" s="55"/>
      <c r="AQ207" s="55"/>
      <c r="AR207" s="55"/>
      <c r="AS207" s="55"/>
      <c r="AT207" s="55"/>
      <c r="AU207" s="55"/>
      <c r="AV207" s="55"/>
      <c r="AW207" s="55"/>
      <c r="AX207" s="55"/>
      <c r="AY207" s="55"/>
      <c r="AZ207" s="55"/>
      <c r="BA207" s="55"/>
      <c r="BB207" s="55"/>
      <c r="BC207" s="55"/>
      <c r="BD207" s="55"/>
      <c r="BE207" s="55"/>
      <c r="BF207" s="55"/>
      <c r="BG207" s="55"/>
      <c r="BH207" s="55"/>
      <c r="BI207" s="55"/>
      <c r="BJ207" s="55"/>
      <c r="BK207" s="55"/>
      <c r="BL207" s="55"/>
      <c r="BM207" s="55"/>
      <c r="BN207" s="55"/>
      <c r="BO207" s="55"/>
      <c r="BP207" s="55"/>
      <c r="BQ207" s="55"/>
      <c r="BR207" s="55"/>
      <c r="BS207" s="55"/>
    </row>
    <row r="208" spans="4:71" outlineLevel="1" x14ac:dyDescent="0.2">
      <c r="D208" s="51" t="s">
        <v>183</v>
      </c>
      <c r="J208" s="26"/>
      <c r="L208" s="55"/>
      <c r="M208" s="55"/>
      <c r="N208" s="55"/>
      <c r="O208" s="55"/>
      <c r="P208" s="55"/>
      <c r="Q208" s="55"/>
      <c r="R208" s="55"/>
      <c r="S208" s="55"/>
      <c r="T208" s="55"/>
      <c r="U208" s="55"/>
      <c r="V208" s="55"/>
      <c r="W208" s="55"/>
      <c r="X208" s="55"/>
      <c r="Y208" s="55"/>
      <c r="Z208" s="55"/>
      <c r="AA208" s="55"/>
      <c r="AB208" s="55"/>
      <c r="AC208" s="55"/>
      <c r="AD208" s="55"/>
      <c r="AE208" s="55"/>
      <c r="AF208" s="55"/>
      <c r="AG208" s="55"/>
      <c r="AH208" s="55"/>
      <c r="AI208" s="55"/>
      <c r="AJ208" s="55"/>
      <c r="AK208" s="55"/>
      <c r="AL208" s="55"/>
      <c r="AM208" s="55"/>
      <c r="AN208" s="55"/>
      <c r="AO208" s="55"/>
      <c r="AP208" s="55"/>
      <c r="AQ208" s="55"/>
      <c r="AR208" s="55"/>
      <c r="AS208" s="55"/>
      <c r="AT208" s="55"/>
      <c r="AU208" s="55"/>
      <c r="AV208" s="55"/>
      <c r="AW208" s="55"/>
      <c r="AX208" s="55"/>
      <c r="AY208" s="55"/>
      <c r="AZ208" s="55"/>
      <c r="BA208" s="55"/>
      <c r="BB208" s="55"/>
      <c r="BC208" s="55"/>
      <c r="BD208" s="55"/>
      <c r="BE208" s="55"/>
      <c r="BF208" s="55"/>
      <c r="BG208" s="55"/>
      <c r="BH208" s="55"/>
      <c r="BI208" s="55"/>
      <c r="BJ208" s="55"/>
      <c r="BK208" s="55"/>
      <c r="BL208" s="55"/>
      <c r="BM208" s="55"/>
      <c r="BN208" s="55"/>
      <c r="BO208" s="55"/>
      <c r="BP208" s="55"/>
      <c r="BQ208" s="55"/>
      <c r="BR208" s="55"/>
      <c r="BS208" s="55"/>
    </row>
    <row r="209" spans="3:71" outlineLevel="1" x14ac:dyDescent="0.2">
      <c r="E209" t="s">
        <v>192</v>
      </c>
      <c r="I209" s="30">
        <f t="shared" ref="I209:I211" ca="1" si="44">SUM($L209:$BS209)</f>
        <v>2222.6772375148366</v>
      </c>
      <c r="J209" s="26" t="s">
        <v>148</v>
      </c>
      <c r="L209" s="49">
        <f ca="1">Haute_Mer_1994!CA_cost_stop+L199+L205</f>
        <v>219.1063663309782</v>
      </c>
      <c r="M209" s="49">
        <f ca="1">Haute_Mer_1994!CA_cost_stop+M199+M205</f>
        <v>162.95952792293306</v>
      </c>
      <c r="N209" s="49">
        <f ca="1">Haute_Mer_1994!CA_cost_stop+N199+N205</f>
        <v>0</v>
      </c>
      <c r="O209" s="49">
        <f ca="1">Haute_Mer_1994!CA_cost_stop+O199+O205</f>
        <v>0</v>
      </c>
      <c r="P209" s="49">
        <f ca="1">Haute_Mer_1994!CA_cost_stop+P199+P205</f>
        <v>0</v>
      </c>
      <c r="Q209" s="49">
        <f ca="1">Haute_Mer_1994!CA_cost_stop+Q199+Q205</f>
        <v>120.91748344258892</v>
      </c>
      <c r="R209" s="49">
        <f ca="1">Haute_Mer_1994!CA_cost_stop+R199+R205</f>
        <v>368.29812313908906</v>
      </c>
      <c r="S209" s="49">
        <f ca="1">Haute_Mer_1994!CA_cost_stop+S199+S205</f>
        <v>91.086726920840036</v>
      </c>
      <c r="T209" s="49">
        <f ca="1">Haute_Mer_1994!CA_cost_stop+T199+T205</f>
        <v>292.46330068924385</v>
      </c>
      <c r="U209" s="49">
        <f ca="1">Haute_Mer_1994!CA_cost_stop+U199+U205</f>
        <v>288.64360224490014</v>
      </c>
      <c r="V209" s="49">
        <f ca="1">Haute_Mer_1994!CA_cost_stop+V199+V205</f>
        <v>256.28490428951221</v>
      </c>
      <c r="W209" s="49">
        <f ca="1">Haute_Mer_1994!CA_cost_stop+W199+W205</f>
        <v>226.86419510634914</v>
      </c>
      <c r="X209" s="49">
        <f ca="1">Haute_Mer_1994!CA_cost_stop+X199+X205</f>
        <v>196.05300742840222</v>
      </c>
      <c r="Y209" s="49">
        <f ca="1">Haute_Mer_1994!CA_cost_stop+Y199+Y205</f>
        <v>0</v>
      </c>
      <c r="Z209" s="49">
        <f ca="1">Haute_Mer_1994!CA_cost_stop+Z199+Z205</f>
        <v>0</v>
      </c>
      <c r="AA209" s="49">
        <f ca="1">Haute_Mer_1994!CA_cost_stop+AA199+AA205</f>
        <v>0</v>
      </c>
      <c r="AB209" s="49">
        <f ca="1">Haute_Mer_1994!CA_cost_stop+AB199+AB205</f>
        <v>0</v>
      </c>
      <c r="AC209" s="49">
        <f ca="1">Haute_Mer_1994!CA_cost_stop+AC199+AC205</f>
        <v>0</v>
      </c>
      <c r="AD209" s="49">
        <f ca="1">Haute_Mer_1994!CA_cost_stop+AD199+AD205</f>
        <v>0</v>
      </c>
      <c r="AE209" s="49">
        <f ca="1">Haute_Mer_1994!CA_cost_stop+AE199+AE205</f>
        <v>0</v>
      </c>
      <c r="AF209" s="49">
        <f ca="1">Haute_Mer_1994!CA_cost_stop+AF199+AF205</f>
        <v>0</v>
      </c>
      <c r="AG209" s="49">
        <f ca="1">Haute_Mer_1994!CA_cost_stop+AG199+AG205</f>
        <v>0</v>
      </c>
      <c r="AH209" s="49">
        <f ca="1">Haute_Mer_1994!CA_cost_stop+AH199+AH205</f>
        <v>0</v>
      </c>
      <c r="AI209" s="49">
        <f ca="1">Haute_Mer_1994!CA_cost_stop+AI199+AI205</f>
        <v>0</v>
      </c>
      <c r="AJ209" s="49">
        <f ca="1">Haute_Mer_1994!CA_cost_stop+AJ199+AJ205</f>
        <v>0</v>
      </c>
      <c r="AK209" s="49">
        <f ca="1">Haute_Mer_1994!CA_cost_stop+AK199+AK205</f>
        <v>0</v>
      </c>
      <c r="AL209" s="49">
        <f ca="1">Haute_Mer_1994!CA_cost_stop+AL199+AL205</f>
        <v>0</v>
      </c>
      <c r="AM209" s="49">
        <f ca="1">Haute_Mer_1994!CA_cost_stop+AM199+AM205</f>
        <v>0</v>
      </c>
      <c r="AN209" s="49">
        <f ca="1">Haute_Mer_1994!CA_cost_stop+AN199+AN205</f>
        <v>0</v>
      </c>
      <c r="AO209" s="49">
        <f ca="1">Haute_Mer_1994!CA_cost_stop+AO199+AO205</f>
        <v>0</v>
      </c>
      <c r="AP209" s="49">
        <f ca="1">Haute_Mer_1994!CA_cost_stop+AP199+AP205</f>
        <v>0</v>
      </c>
      <c r="AQ209" s="49">
        <f ca="1">Haute_Mer_1994!CA_cost_stop+AQ199+AQ205</f>
        <v>0</v>
      </c>
      <c r="AR209" s="49">
        <f ca="1">Haute_Mer_1994!CA_cost_stop+AR199+AR205</f>
        <v>0</v>
      </c>
      <c r="AS209" s="49">
        <f ca="1">Haute_Mer_1994!CA_cost_stop+AS199+AS205</f>
        <v>0</v>
      </c>
      <c r="AT209" s="49">
        <f ca="1">Haute_Mer_1994!CA_cost_stop+AT199+AT205</f>
        <v>0</v>
      </c>
      <c r="AU209" s="49">
        <f ca="1">Haute_Mer_1994!CA_cost_stop+AU199+AU205</f>
        <v>0</v>
      </c>
      <c r="AV209" s="49">
        <f ca="1">Haute_Mer_1994!CA_cost_stop+AV199+AV205</f>
        <v>0</v>
      </c>
      <c r="AW209" s="49">
        <f ca="1">Haute_Mer_1994!CA_cost_stop+AW199+AW205</f>
        <v>0</v>
      </c>
      <c r="AX209" s="49">
        <f ca="1">Haute_Mer_1994!CA_cost_stop+AX199+AX205</f>
        <v>0</v>
      </c>
      <c r="AY209" s="49">
        <f ca="1">Haute_Mer_1994!CA_cost_stop+AY199+AY205</f>
        <v>0</v>
      </c>
      <c r="AZ209" s="49">
        <f ca="1">Haute_Mer_1994!CA_cost_stop+AZ199+AZ205</f>
        <v>0</v>
      </c>
      <c r="BA209" s="49">
        <f ca="1">Haute_Mer_1994!CA_cost_stop+BA199+BA205</f>
        <v>0</v>
      </c>
      <c r="BB209" s="49">
        <f ca="1">Haute_Mer_1994!CA_cost_stop+BB199+BB205</f>
        <v>0</v>
      </c>
      <c r="BC209" s="49">
        <f ca="1">Haute_Mer_1994!CA_cost_stop+BC199+BC205</f>
        <v>0</v>
      </c>
      <c r="BD209" s="49">
        <f ca="1">Haute_Mer_1994!CA_cost_stop+BD199+BD205</f>
        <v>0</v>
      </c>
      <c r="BE209" s="49">
        <f ca="1">Haute_Mer_1994!CA_cost_stop+BE199+BE205</f>
        <v>0</v>
      </c>
      <c r="BF209" s="49">
        <f ca="1">Haute_Mer_1994!CA_cost_stop+BF199+BF205</f>
        <v>0</v>
      </c>
      <c r="BG209" s="49">
        <f ca="1">Haute_Mer_1994!CA_cost_stop+BG199+BG205</f>
        <v>0</v>
      </c>
      <c r="BH209" s="49">
        <f ca="1">Haute_Mer_1994!CA_cost_stop+BH199+BH205</f>
        <v>0</v>
      </c>
      <c r="BI209" s="49">
        <f ca="1">Haute_Mer_1994!CA_cost_stop+BI199+BI205</f>
        <v>0</v>
      </c>
      <c r="BJ209" s="49">
        <f ca="1">Haute_Mer_1994!CA_cost_stop+BJ199+BJ205</f>
        <v>0</v>
      </c>
      <c r="BK209" s="49">
        <f ca="1">Haute_Mer_1994!CA_cost_stop+BK199+BK205</f>
        <v>0</v>
      </c>
      <c r="BL209" s="49">
        <f ca="1">Haute_Mer_1994!CA_cost_stop+BL199+BL205</f>
        <v>0</v>
      </c>
      <c r="BM209" s="49">
        <f ca="1">Haute_Mer_1994!CA_cost_stop+BM199+BM205</f>
        <v>0</v>
      </c>
      <c r="BN209" s="49">
        <f ca="1">Haute_Mer_1994!CA_cost_stop+BN199+BN205</f>
        <v>0</v>
      </c>
      <c r="BO209" s="49">
        <f ca="1">Haute_Mer_1994!CA_cost_stop+BO199+BO205</f>
        <v>0</v>
      </c>
      <c r="BP209" s="49">
        <f ca="1">Haute_Mer_1994!CA_cost_stop+BP199+BP205</f>
        <v>0</v>
      </c>
      <c r="BQ209" s="49">
        <f ca="1">Haute_Mer_1994!CA_cost_stop+BQ199+BQ205</f>
        <v>0</v>
      </c>
      <c r="BR209" s="49">
        <f ca="1">Haute_Mer_1994!CA_cost_stop+BR199+BR205</f>
        <v>0</v>
      </c>
      <c r="BS209" s="49">
        <f ca="1">Haute_Mer_1994!CA_cost_stop+BS199+BS205</f>
        <v>0</v>
      </c>
    </row>
    <row r="210" spans="3:71" outlineLevel="1" x14ac:dyDescent="0.2">
      <c r="E210" t="s">
        <v>203</v>
      </c>
      <c r="I210" s="30">
        <f ca="1">I189</f>
        <v>10913.591</v>
      </c>
      <c r="J210" s="26" t="s">
        <v>148</v>
      </c>
      <c r="L210" s="49">
        <f t="shared" ref="L210:AQ210" ca="1" si="45">CA_capex_to_recover+(K212*(1+int_rate_cf_costs))</f>
        <v>1286.7819999999999</v>
      </c>
      <c r="M210" s="49">
        <f t="shared" ca="1" si="45"/>
        <v>3185.8876336690219</v>
      </c>
      <c r="N210" s="49">
        <f t="shared" ca="1" si="45"/>
        <v>6153.502105746089</v>
      </c>
      <c r="O210" s="49">
        <f t="shared" ca="1" si="45"/>
        <v>8724.7031057460881</v>
      </c>
      <c r="P210" s="49">
        <f t="shared" ca="1" si="45"/>
        <v>9877.9351057460881</v>
      </c>
      <c r="Q210" s="49">
        <f t="shared" ca="1" si="45"/>
        <v>10531.525105746088</v>
      </c>
      <c r="R210" s="49">
        <f t="shared" ca="1" si="45"/>
        <v>10410.6076223035</v>
      </c>
      <c r="S210" s="49">
        <f t="shared" ca="1" si="45"/>
        <v>10042.30949916441</v>
      </c>
      <c r="T210" s="49">
        <f t="shared" ca="1" si="45"/>
        <v>9951.2227722435709</v>
      </c>
      <c r="U210" s="49">
        <f t="shared" ca="1" si="45"/>
        <v>9658.7594715543273</v>
      </c>
      <c r="V210" s="49">
        <f t="shared" ca="1" si="45"/>
        <v>9370.1158693094276</v>
      </c>
      <c r="W210" s="49">
        <f t="shared" ca="1" si="45"/>
        <v>9113.8309650199153</v>
      </c>
      <c r="X210" s="49">
        <f t="shared" ca="1" si="45"/>
        <v>8886.9667699135662</v>
      </c>
      <c r="Y210" s="49">
        <f t="shared" ca="1" si="45"/>
        <v>8690.9137624851646</v>
      </c>
      <c r="Z210" s="49">
        <f t="shared" ca="1" si="45"/>
        <v>8690.9137624851646</v>
      </c>
      <c r="AA210" s="49">
        <f t="shared" ca="1" si="45"/>
        <v>8690.9137624851646</v>
      </c>
      <c r="AB210" s="49">
        <f t="shared" ca="1" si="45"/>
        <v>8690.9137624851646</v>
      </c>
      <c r="AC210" s="49">
        <f t="shared" ca="1" si="45"/>
        <v>8690.9137624851646</v>
      </c>
      <c r="AD210" s="49">
        <f t="shared" ca="1" si="45"/>
        <v>8690.9137624851646</v>
      </c>
      <c r="AE210" s="49">
        <f t="shared" ca="1" si="45"/>
        <v>8690.9137624851646</v>
      </c>
      <c r="AF210" s="49">
        <f t="shared" ca="1" si="45"/>
        <v>8690.9137624851646</v>
      </c>
      <c r="AG210" s="49">
        <f t="shared" ca="1" si="45"/>
        <v>8690.9137624851646</v>
      </c>
      <c r="AH210" s="49">
        <f t="shared" ca="1" si="45"/>
        <v>8690.9137624851646</v>
      </c>
      <c r="AI210" s="49">
        <f t="shared" ca="1" si="45"/>
        <v>8690.9137624851646</v>
      </c>
      <c r="AJ210" s="49">
        <f t="shared" ca="1" si="45"/>
        <v>8690.9137624851646</v>
      </c>
      <c r="AK210" s="49">
        <f t="shared" ca="1" si="45"/>
        <v>8690.9137624851646</v>
      </c>
      <c r="AL210" s="49">
        <f t="shared" ca="1" si="45"/>
        <v>8690.9137624851646</v>
      </c>
      <c r="AM210" s="49">
        <f t="shared" ca="1" si="45"/>
        <v>8690.9137624851646</v>
      </c>
      <c r="AN210" s="49">
        <f t="shared" ca="1" si="45"/>
        <v>8690.9137624851646</v>
      </c>
      <c r="AO210" s="49">
        <f t="shared" ca="1" si="45"/>
        <v>8690.9137624851646</v>
      </c>
      <c r="AP210" s="49">
        <f t="shared" ca="1" si="45"/>
        <v>8690.9137624851646</v>
      </c>
      <c r="AQ210" s="49">
        <f t="shared" ca="1" si="45"/>
        <v>8690.9137624851646</v>
      </c>
      <c r="AR210" s="49">
        <f t="shared" ref="AR210:BS210" ca="1" si="46">CA_capex_to_recover+(AQ212*(1+int_rate_cf_costs))</f>
        <v>8690.9137624851646</v>
      </c>
      <c r="AS210" s="49">
        <f t="shared" ca="1" si="46"/>
        <v>8690.9137624851646</v>
      </c>
      <c r="AT210" s="49">
        <f t="shared" ca="1" si="46"/>
        <v>8690.9137624851646</v>
      </c>
      <c r="AU210" s="49">
        <f t="shared" ca="1" si="46"/>
        <v>8690.9137624851646</v>
      </c>
      <c r="AV210" s="49">
        <f t="shared" ca="1" si="46"/>
        <v>8690.9137624851646</v>
      </c>
      <c r="AW210" s="49">
        <f t="shared" ca="1" si="46"/>
        <v>8690.9137624851646</v>
      </c>
      <c r="AX210" s="49">
        <f t="shared" ca="1" si="46"/>
        <v>8690.9137624851646</v>
      </c>
      <c r="AY210" s="49">
        <f t="shared" ca="1" si="46"/>
        <v>8690.9137624851646</v>
      </c>
      <c r="AZ210" s="49">
        <f t="shared" ca="1" si="46"/>
        <v>8690.9137624851646</v>
      </c>
      <c r="BA210" s="49">
        <f t="shared" ca="1" si="46"/>
        <v>8690.9137624851646</v>
      </c>
      <c r="BB210" s="49">
        <f t="shared" ca="1" si="46"/>
        <v>8690.9137624851646</v>
      </c>
      <c r="BC210" s="49">
        <f t="shared" ca="1" si="46"/>
        <v>8690.9137624851646</v>
      </c>
      <c r="BD210" s="49">
        <f t="shared" ca="1" si="46"/>
        <v>8690.9137624851646</v>
      </c>
      <c r="BE210" s="49">
        <f t="shared" ca="1" si="46"/>
        <v>8690.9137624851646</v>
      </c>
      <c r="BF210" s="49">
        <f t="shared" ca="1" si="46"/>
        <v>8690.9137624851646</v>
      </c>
      <c r="BG210" s="49">
        <f t="shared" ca="1" si="46"/>
        <v>8690.9137624851646</v>
      </c>
      <c r="BH210" s="49">
        <f t="shared" ca="1" si="46"/>
        <v>8690.9137624851646</v>
      </c>
      <c r="BI210" s="49">
        <f t="shared" ca="1" si="46"/>
        <v>8690.9137624851646</v>
      </c>
      <c r="BJ210" s="49">
        <f t="shared" ca="1" si="46"/>
        <v>8690.9137624851646</v>
      </c>
      <c r="BK210" s="49">
        <f t="shared" ca="1" si="46"/>
        <v>8690.9137624851646</v>
      </c>
      <c r="BL210" s="49">
        <f t="shared" ca="1" si="46"/>
        <v>8690.9137624851646</v>
      </c>
      <c r="BM210" s="49">
        <f t="shared" ca="1" si="46"/>
        <v>8690.9137624851646</v>
      </c>
      <c r="BN210" s="49">
        <f t="shared" ca="1" si="46"/>
        <v>8690.9137624851646</v>
      </c>
      <c r="BO210" s="49">
        <f t="shared" ca="1" si="46"/>
        <v>8690.9137624851646</v>
      </c>
      <c r="BP210" s="49">
        <f t="shared" ca="1" si="46"/>
        <v>8690.9137624851646</v>
      </c>
      <c r="BQ210" s="49">
        <f t="shared" ca="1" si="46"/>
        <v>8690.9137624851646</v>
      </c>
      <c r="BR210" s="49">
        <f t="shared" ca="1" si="46"/>
        <v>8690.9137624851646</v>
      </c>
      <c r="BS210" s="49">
        <f t="shared" ca="1" si="46"/>
        <v>8690.9137624851646</v>
      </c>
    </row>
    <row r="211" spans="3:71" outlineLevel="1" x14ac:dyDescent="0.2">
      <c r="E211" t="s">
        <v>204</v>
      </c>
      <c r="H211" s="56" t="b">
        <f ca="1">ROUND(I211,2)=-ROUND(I210,2)</f>
        <v>0</v>
      </c>
      <c r="I211" s="30">
        <f t="shared" ca="1" si="44"/>
        <v>-2222.6772375148366</v>
      </c>
      <c r="J211" s="26" t="s">
        <v>148</v>
      </c>
      <c r="L211" s="49">
        <f ca="1">-MIN(L210,L209)</f>
        <v>-219.1063663309782</v>
      </c>
      <c r="M211" s="49">
        <f t="shared" ref="M211:BS211" ca="1" si="47">-MIN(M210,M209)</f>
        <v>-162.95952792293306</v>
      </c>
      <c r="N211" s="49">
        <f t="shared" ca="1" si="47"/>
        <v>0</v>
      </c>
      <c r="O211" s="49">
        <f t="shared" ca="1" si="47"/>
        <v>0</v>
      </c>
      <c r="P211" s="49">
        <f t="shared" ca="1" si="47"/>
        <v>0</v>
      </c>
      <c r="Q211" s="49">
        <f t="shared" ca="1" si="47"/>
        <v>-120.91748344258892</v>
      </c>
      <c r="R211" s="49">
        <f t="shared" ca="1" si="47"/>
        <v>-368.29812313908906</v>
      </c>
      <c r="S211" s="49">
        <f t="shared" ca="1" si="47"/>
        <v>-91.086726920840036</v>
      </c>
      <c r="T211" s="49">
        <f t="shared" ca="1" si="47"/>
        <v>-292.46330068924385</v>
      </c>
      <c r="U211" s="49">
        <f t="shared" ca="1" si="47"/>
        <v>-288.64360224490014</v>
      </c>
      <c r="V211" s="49">
        <f t="shared" ca="1" si="47"/>
        <v>-256.28490428951221</v>
      </c>
      <c r="W211" s="49">
        <f t="shared" ca="1" si="47"/>
        <v>-226.86419510634914</v>
      </c>
      <c r="X211" s="49">
        <f t="shared" ca="1" si="47"/>
        <v>-196.05300742840222</v>
      </c>
      <c r="Y211" s="49">
        <f t="shared" ca="1" si="47"/>
        <v>0</v>
      </c>
      <c r="Z211" s="49">
        <f t="shared" ca="1" si="47"/>
        <v>0</v>
      </c>
      <c r="AA211" s="49">
        <f t="shared" ca="1" si="47"/>
        <v>0</v>
      </c>
      <c r="AB211" s="49">
        <f t="shared" ca="1" si="47"/>
        <v>0</v>
      </c>
      <c r="AC211" s="49">
        <f t="shared" ca="1" si="47"/>
        <v>0</v>
      </c>
      <c r="AD211" s="49">
        <f t="shared" ca="1" si="47"/>
        <v>0</v>
      </c>
      <c r="AE211" s="49">
        <f t="shared" ca="1" si="47"/>
        <v>0</v>
      </c>
      <c r="AF211" s="49">
        <f t="shared" ca="1" si="47"/>
        <v>0</v>
      </c>
      <c r="AG211" s="49">
        <f t="shared" ca="1" si="47"/>
        <v>0</v>
      </c>
      <c r="AH211" s="49">
        <f t="shared" ca="1" si="47"/>
        <v>0</v>
      </c>
      <c r="AI211" s="49">
        <f t="shared" ca="1" si="47"/>
        <v>0</v>
      </c>
      <c r="AJ211" s="49">
        <f t="shared" ca="1" si="47"/>
        <v>0</v>
      </c>
      <c r="AK211" s="49">
        <f t="shared" ca="1" si="47"/>
        <v>0</v>
      </c>
      <c r="AL211" s="49">
        <f t="shared" ca="1" si="47"/>
        <v>0</v>
      </c>
      <c r="AM211" s="49">
        <f t="shared" ca="1" si="47"/>
        <v>0</v>
      </c>
      <c r="AN211" s="49">
        <f t="shared" ca="1" si="47"/>
        <v>0</v>
      </c>
      <c r="AO211" s="49">
        <f t="shared" ca="1" si="47"/>
        <v>0</v>
      </c>
      <c r="AP211" s="49">
        <f t="shared" ca="1" si="47"/>
        <v>0</v>
      </c>
      <c r="AQ211" s="49">
        <f t="shared" ca="1" si="47"/>
        <v>0</v>
      </c>
      <c r="AR211" s="49">
        <f t="shared" ca="1" si="47"/>
        <v>0</v>
      </c>
      <c r="AS211" s="49">
        <f t="shared" ca="1" si="47"/>
        <v>0</v>
      </c>
      <c r="AT211" s="49">
        <f t="shared" ca="1" si="47"/>
        <v>0</v>
      </c>
      <c r="AU211" s="49">
        <f t="shared" ca="1" si="47"/>
        <v>0</v>
      </c>
      <c r="AV211" s="49">
        <f t="shared" ca="1" si="47"/>
        <v>0</v>
      </c>
      <c r="AW211" s="49">
        <f t="shared" ca="1" si="47"/>
        <v>0</v>
      </c>
      <c r="AX211" s="49">
        <f t="shared" ca="1" si="47"/>
        <v>0</v>
      </c>
      <c r="AY211" s="49">
        <f t="shared" ca="1" si="47"/>
        <v>0</v>
      </c>
      <c r="AZ211" s="49">
        <f t="shared" ca="1" si="47"/>
        <v>0</v>
      </c>
      <c r="BA211" s="49">
        <f t="shared" ca="1" si="47"/>
        <v>0</v>
      </c>
      <c r="BB211" s="49">
        <f t="shared" ca="1" si="47"/>
        <v>0</v>
      </c>
      <c r="BC211" s="49">
        <f t="shared" ca="1" si="47"/>
        <v>0</v>
      </c>
      <c r="BD211" s="49">
        <f t="shared" ca="1" si="47"/>
        <v>0</v>
      </c>
      <c r="BE211" s="49">
        <f t="shared" ca="1" si="47"/>
        <v>0</v>
      </c>
      <c r="BF211" s="49">
        <f t="shared" ca="1" si="47"/>
        <v>0</v>
      </c>
      <c r="BG211" s="49">
        <f t="shared" ca="1" si="47"/>
        <v>0</v>
      </c>
      <c r="BH211" s="49">
        <f t="shared" ca="1" si="47"/>
        <v>0</v>
      </c>
      <c r="BI211" s="49">
        <f t="shared" ca="1" si="47"/>
        <v>0</v>
      </c>
      <c r="BJ211" s="49">
        <f t="shared" ca="1" si="47"/>
        <v>0</v>
      </c>
      <c r="BK211" s="49">
        <f t="shared" ca="1" si="47"/>
        <v>0</v>
      </c>
      <c r="BL211" s="49">
        <f t="shared" ca="1" si="47"/>
        <v>0</v>
      </c>
      <c r="BM211" s="49">
        <f t="shared" ca="1" si="47"/>
        <v>0</v>
      </c>
      <c r="BN211" s="49">
        <f t="shared" ca="1" si="47"/>
        <v>0</v>
      </c>
      <c r="BO211" s="49">
        <f t="shared" ca="1" si="47"/>
        <v>0</v>
      </c>
      <c r="BP211" s="49">
        <f t="shared" ca="1" si="47"/>
        <v>0</v>
      </c>
      <c r="BQ211" s="49">
        <f t="shared" ca="1" si="47"/>
        <v>0</v>
      </c>
      <c r="BR211" s="49">
        <f t="shared" ca="1" si="47"/>
        <v>0</v>
      </c>
      <c r="BS211" s="49">
        <f t="shared" ca="1" si="47"/>
        <v>0</v>
      </c>
    </row>
    <row r="212" spans="3:71" outlineLevel="1" x14ac:dyDescent="0.2">
      <c r="E212" t="s">
        <v>195</v>
      </c>
      <c r="J212" s="26"/>
      <c r="L212" s="49">
        <f ca="1">L210+L211</f>
        <v>1067.6756336690216</v>
      </c>
      <c r="M212" s="49">
        <f t="shared" ref="M212:BS212" ca="1" si="48">M210+M211</f>
        <v>3022.9281057460889</v>
      </c>
      <c r="N212" s="49">
        <f t="shared" ca="1" si="48"/>
        <v>6153.502105746089</v>
      </c>
      <c r="O212" s="49">
        <f t="shared" ca="1" si="48"/>
        <v>8724.7031057460881</v>
      </c>
      <c r="P212" s="49">
        <f t="shared" ca="1" si="48"/>
        <v>9877.9351057460881</v>
      </c>
      <c r="Q212" s="49">
        <f t="shared" ca="1" si="48"/>
        <v>10410.6076223035</v>
      </c>
      <c r="R212" s="49">
        <f t="shared" ca="1" si="48"/>
        <v>10042.30949916441</v>
      </c>
      <c r="S212" s="49">
        <f t="shared" ca="1" si="48"/>
        <v>9951.2227722435709</v>
      </c>
      <c r="T212" s="49">
        <f t="shared" ca="1" si="48"/>
        <v>9658.7594715543273</v>
      </c>
      <c r="U212" s="49">
        <f t="shared" ca="1" si="48"/>
        <v>9370.1158693094276</v>
      </c>
      <c r="V212" s="49">
        <f t="shared" ca="1" si="48"/>
        <v>9113.8309650199153</v>
      </c>
      <c r="W212" s="49">
        <f t="shared" ca="1" si="48"/>
        <v>8886.9667699135662</v>
      </c>
      <c r="X212" s="49">
        <f t="shared" ca="1" si="48"/>
        <v>8690.9137624851646</v>
      </c>
      <c r="Y212" s="49">
        <f t="shared" ca="1" si="48"/>
        <v>8690.9137624851646</v>
      </c>
      <c r="Z212" s="49">
        <f t="shared" ca="1" si="48"/>
        <v>8690.9137624851646</v>
      </c>
      <c r="AA212" s="49">
        <f t="shared" ca="1" si="48"/>
        <v>8690.9137624851646</v>
      </c>
      <c r="AB212" s="49">
        <f t="shared" ca="1" si="48"/>
        <v>8690.9137624851646</v>
      </c>
      <c r="AC212" s="49">
        <f t="shared" ca="1" si="48"/>
        <v>8690.9137624851646</v>
      </c>
      <c r="AD212" s="49">
        <f t="shared" ca="1" si="48"/>
        <v>8690.9137624851646</v>
      </c>
      <c r="AE212" s="49">
        <f t="shared" ca="1" si="48"/>
        <v>8690.9137624851646</v>
      </c>
      <c r="AF212" s="49">
        <f t="shared" ca="1" si="48"/>
        <v>8690.9137624851646</v>
      </c>
      <c r="AG212" s="49">
        <f t="shared" ca="1" si="48"/>
        <v>8690.9137624851646</v>
      </c>
      <c r="AH212" s="49">
        <f t="shared" ca="1" si="48"/>
        <v>8690.9137624851646</v>
      </c>
      <c r="AI212" s="49">
        <f t="shared" ca="1" si="48"/>
        <v>8690.9137624851646</v>
      </c>
      <c r="AJ212" s="49">
        <f t="shared" ca="1" si="48"/>
        <v>8690.9137624851646</v>
      </c>
      <c r="AK212" s="49">
        <f t="shared" ca="1" si="48"/>
        <v>8690.9137624851646</v>
      </c>
      <c r="AL212" s="49">
        <f t="shared" ca="1" si="48"/>
        <v>8690.9137624851646</v>
      </c>
      <c r="AM212" s="49">
        <f t="shared" ca="1" si="48"/>
        <v>8690.9137624851646</v>
      </c>
      <c r="AN212" s="49">
        <f t="shared" ca="1" si="48"/>
        <v>8690.9137624851646</v>
      </c>
      <c r="AO212" s="49">
        <f t="shared" ca="1" si="48"/>
        <v>8690.9137624851646</v>
      </c>
      <c r="AP212" s="49">
        <f t="shared" ca="1" si="48"/>
        <v>8690.9137624851646</v>
      </c>
      <c r="AQ212" s="49">
        <f t="shared" ca="1" si="48"/>
        <v>8690.9137624851646</v>
      </c>
      <c r="AR212" s="49">
        <f t="shared" ca="1" si="48"/>
        <v>8690.9137624851646</v>
      </c>
      <c r="AS212" s="49">
        <f t="shared" ca="1" si="48"/>
        <v>8690.9137624851646</v>
      </c>
      <c r="AT212" s="49">
        <f t="shared" ca="1" si="48"/>
        <v>8690.9137624851646</v>
      </c>
      <c r="AU212" s="49">
        <f t="shared" ca="1" si="48"/>
        <v>8690.9137624851646</v>
      </c>
      <c r="AV212" s="49">
        <f t="shared" ca="1" si="48"/>
        <v>8690.9137624851646</v>
      </c>
      <c r="AW212" s="49">
        <f t="shared" ca="1" si="48"/>
        <v>8690.9137624851646</v>
      </c>
      <c r="AX212" s="49">
        <f t="shared" ca="1" si="48"/>
        <v>8690.9137624851646</v>
      </c>
      <c r="AY212" s="49">
        <f t="shared" ca="1" si="48"/>
        <v>8690.9137624851646</v>
      </c>
      <c r="AZ212" s="49">
        <f t="shared" ca="1" si="48"/>
        <v>8690.9137624851646</v>
      </c>
      <c r="BA212" s="49">
        <f t="shared" ca="1" si="48"/>
        <v>8690.9137624851646</v>
      </c>
      <c r="BB212" s="49">
        <f t="shared" ca="1" si="48"/>
        <v>8690.9137624851646</v>
      </c>
      <c r="BC212" s="49">
        <f t="shared" ca="1" si="48"/>
        <v>8690.9137624851646</v>
      </c>
      <c r="BD212" s="49">
        <f t="shared" ca="1" si="48"/>
        <v>8690.9137624851646</v>
      </c>
      <c r="BE212" s="49">
        <f t="shared" ca="1" si="48"/>
        <v>8690.9137624851646</v>
      </c>
      <c r="BF212" s="49">
        <f t="shared" ca="1" si="48"/>
        <v>8690.9137624851646</v>
      </c>
      <c r="BG212" s="49">
        <f t="shared" ca="1" si="48"/>
        <v>8690.9137624851646</v>
      </c>
      <c r="BH212" s="49">
        <f t="shared" ca="1" si="48"/>
        <v>8690.9137624851646</v>
      </c>
      <c r="BI212" s="49">
        <f t="shared" ca="1" si="48"/>
        <v>8690.9137624851646</v>
      </c>
      <c r="BJ212" s="49">
        <f t="shared" ca="1" si="48"/>
        <v>8690.9137624851646</v>
      </c>
      <c r="BK212" s="49">
        <f t="shared" ca="1" si="48"/>
        <v>8690.9137624851646</v>
      </c>
      <c r="BL212" s="49">
        <f t="shared" ca="1" si="48"/>
        <v>8690.9137624851646</v>
      </c>
      <c r="BM212" s="49">
        <f t="shared" ca="1" si="48"/>
        <v>8690.9137624851646</v>
      </c>
      <c r="BN212" s="49">
        <f t="shared" ca="1" si="48"/>
        <v>8690.9137624851646</v>
      </c>
      <c r="BO212" s="49">
        <f t="shared" ca="1" si="48"/>
        <v>8690.9137624851646</v>
      </c>
      <c r="BP212" s="49">
        <f t="shared" ca="1" si="48"/>
        <v>8690.9137624851646</v>
      </c>
      <c r="BQ212" s="49">
        <f t="shared" ca="1" si="48"/>
        <v>8690.9137624851646</v>
      </c>
      <c r="BR212" s="49">
        <f t="shared" ca="1" si="48"/>
        <v>8690.9137624851646</v>
      </c>
      <c r="BS212" s="49">
        <f t="shared" ca="1" si="48"/>
        <v>8690.9137624851646</v>
      </c>
    </row>
    <row r="213" spans="3:71" outlineLevel="1" x14ac:dyDescent="0.2">
      <c r="J213" s="26"/>
      <c r="L213" s="55"/>
      <c r="M213" s="55"/>
      <c r="N213" s="55"/>
      <c r="O213" s="55"/>
      <c r="P213" s="55"/>
      <c r="Q213" s="55"/>
      <c r="R213" s="55"/>
      <c r="S213" s="55"/>
      <c r="T213" s="55"/>
      <c r="U213" s="55"/>
      <c r="V213" s="55"/>
      <c r="W213" s="55"/>
      <c r="X213" s="55"/>
      <c r="Y213" s="55"/>
      <c r="Z213" s="55"/>
      <c r="AA213" s="55"/>
      <c r="AB213" s="55"/>
      <c r="AC213" s="55"/>
      <c r="AD213" s="55"/>
      <c r="AE213" s="55"/>
      <c r="AF213" s="55"/>
      <c r="AG213" s="55"/>
      <c r="AH213" s="55"/>
      <c r="AI213" s="55"/>
      <c r="AJ213" s="55"/>
      <c r="AK213" s="55"/>
      <c r="AL213" s="55"/>
      <c r="AM213" s="55"/>
      <c r="AN213" s="55"/>
      <c r="AO213" s="55"/>
      <c r="AP213" s="55"/>
      <c r="AQ213" s="55"/>
      <c r="AR213" s="55"/>
      <c r="AS213" s="55"/>
      <c r="AT213" s="55"/>
      <c r="AU213" s="55"/>
      <c r="AV213" s="55"/>
      <c r="AW213" s="55"/>
      <c r="AX213" s="55"/>
      <c r="AY213" s="55"/>
      <c r="AZ213" s="55"/>
      <c r="BA213" s="55"/>
      <c r="BB213" s="55"/>
      <c r="BC213" s="55"/>
      <c r="BD213" s="55"/>
      <c r="BE213" s="55"/>
      <c r="BF213" s="55"/>
      <c r="BG213" s="55"/>
      <c r="BH213" s="55"/>
      <c r="BI213" s="55"/>
      <c r="BJ213" s="55"/>
      <c r="BK213" s="55"/>
      <c r="BL213" s="55"/>
      <c r="BM213" s="55"/>
      <c r="BN213" s="55"/>
      <c r="BO213" s="55"/>
      <c r="BP213" s="55"/>
      <c r="BQ213" s="55"/>
      <c r="BR213" s="55"/>
      <c r="BS213" s="55"/>
    </row>
    <row r="214" spans="3:71" outlineLevel="1" x14ac:dyDescent="0.2">
      <c r="D214" s="51" t="s">
        <v>184</v>
      </c>
      <c r="J214" s="26"/>
      <c r="L214" s="55"/>
      <c r="M214" s="55"/>
      <c r="N214" s="55"/>
      <c r="O214" s="55"/>
      <c r="P214" s="55"/>
      <c r="Q214" s="55"/>
      <c r="R214" s="55"/>
      <c r="S214" s="55"/>
      <c r="T214" s="55"/>
      <c r="U214" s="55"/>
      <c r="V214" s="55"/>
      <c r="W214" s="55"/>
      <c r="X214" s="55"/>
      <c r="Y214" s="55"/>
      <c r="Z214" s="55"/>
      <c r="AA214" s="55"/>
      <c r="AB214" s="55"/>
      <c r="AC214" s="55"/>
      <c r="AD214" s="55"/>
      <c r="AE214" s="55"/>
      <c r="AF214" s="55"/>
      <c r="AG214" s="55"/>
      <c r="AH214" s="55"/>
      <c r="AI214" s="55"/>
      <c r="AJ214" s="55"/>
      <c r="AK214" s="55"/>
      <c r="AL214" s="55"/>
      <c r="AM214" s="55"/>
      <c r="AN214" s="55"/>
      <c r="AO214" s="55"/>
      <c r="AP214" s="55"/>
      <c r="AQ214" s="55"/>
      <c r="AR214" s="55"/>
      <c r="AS214" s="55"/>
      <c r="AT214" s="55"/>
      <c r="AU214" s="55"/>
      <c r="AV214" s="55"/>
      <c r="AW214" s="55"/>
      <c r="AX214" s="55"/>
      <c r="AY214" s="55"/>
      <c r="AZ214" s="55"/>
      <c r="BA214" s="55"/>
      <c r="BB214" s="55"/>
      <c r="BC214" s="55"/>
      <c r="BD214" s="55"/>
      <c r="BE214" s="55"/>
      <c r="BF214" s="55"/>
      <c r="BG214" s="55"/>
      <c r="BH214" s="55"/>
      <c r="BI214" s="55"/>
      <c r="BJ214" s="55"/>
      <c r="BK214" s="55"/>
      <c r="BL214" s="55"/>
      <c r="BM214" s="55"/>
      <c r="BN214" s="55"/>
      <c r="BO214" s="55"/>
      <c r="BP214" s="55"/>
      <c r="BQ214" s="55"/>
      <c r="BR214" s="55"/>
      <c r="BS214" s="55"/>
    </row>
    <row r="215" spans="3:71" outlineLevel="1" x14ac:dyDescent="0.2">
      <c r="E215" t="s">
        <v>192</v>
      </c>
      <c r="I215" s="30">
        <f t="shared" ref="I215:I220" ca="1" si="49">SUM($L215:$BS215)</f>
        <v>0</v>
      </c>
      <c r="J215" s="26" t="s">
        <v>148</v>
      </c>
      <c r="L215" s="49">
        <f ca="1">Haute_Mer_1994!CA_cost_stop+L199+L205+L211</f>
        <v>0</v>
      </c>
      <c r="M215" s="49">
        <f ca="1">Haute_Mer_1994!CA_cost_stop+M199+M205+M211</f>
        <v>0</v>
      </c>
      <c r="N215" s="49">
        <f ca="1">Haute_Mer_1994!CA_cost_stop+N199+N205+N211</f>
        <v>0</v>
      </c>
      <c r="O215" s="49">
        <f ca="1">Haute_Mer_1994!CA_cost_stop+O199+O205+O211</f>
        <v>0</v>
      </c>
      <c r="P215" s="49">
        <f ca="1">Haute_Mer_1994!CA_cost_stop+P199+P205+P211</f>
        <v>0</v>
      </c>
      <c r="Q215" s="49">
        <f ca="1">Haute_Mer_1994!CA_cost_stop+Q199+Q205+Q211</f>
        <v>0</v>
      </c>
      <c r="R215" s="49">
        <f ca="1">Haute_Mer_1994!CA_cost_stop+R199+R205+R211</f>
        <v>0</v>
      </c>
      <c r="S215" s="49">
        <f ca="1">Haute_Mer_1994!CA_cost_stop+S199+S205+S211</f>
        <v>0</v>
      </c>
      <c r="T215" s="49">
        <f ca="1">Haute_Mer_1994!CA_cost_stop+T199+T205+T211</f>
        <v>0</v>
      </c>
      <c r="U215" s="49">
        <f ca="1">Haute_Mer_1994!CA_cost_stop+U199+U205+U211</f>
        <v>0</v>
      </c>
      <c r="V215" s="49">
        <f ca="1">Haute_Mer_1994!CA_cost_stop+V199+V205+V211</f>
        <v>0</v>
      </c>
      <c r="W215" s="49">
        <f ca="1">Haute_Mer_1994!CA_cost_stop+W199+W205+W211</f>
        <v>0</v>
      </c>
      <c r="X215" s="49">
        <f ca="1">Haute_Mer_1994!CA_cost_stop+X199+X205+X211</f>
        <v>0</v>
      </c>
      <c r="Y215" s="49">
        <f ca="1">Haute_Mer_1994!CA_cost_stop+Y199+Y205+Y211</f>
        <v>0</v>
      </c>
      <c r="Z215" s="49">
        <f ca="1">Haute_Mer_1994!CA_cost_stop+Z199+Z205+Z211</f>
        <v>0</v>
      </c>
      <c r="AA215" s="49">
        <f ca="1">Haute_Mer_1994!CA_cost_stop+AA199+AA205+AA211</f>
        <v>0</v>
      </c>
      <c r="AB215" s="49">
        <f ca="1">Haute_Mer_1994!CA_cost_stop+AB199+AB205+AB211</f>
        <v>0</v>
      </c>
      <c r="AC215" s="49">
        <f ca="1">Haute_Mer_1994!CA_cost_stop+AC199+AC205+AC211</f>
        <v>0</v>
      </c>
      <c r="AD215" s="49">
        <f ca="1">Haute_Mer_1994!CA_cost_stop+AD199+AD205+AD211</f>
        <v>0</v>
      </c>
      <c r="AE215" s="49">
        <f ca="1">Haute_Mer_1994!CA_cost_stop+AE199+AE205+AE211</f>
        <v>0</v>
      </c>
      <c r="AF215" s="49">
        <f ca="1">Haute_Mer_1994!CA_cost_stop+AF199+AF205+AF211</f>
        <v>0</v>
      </c>
      <c r="AG215" s="49">
        <f ca="1">Haute_Mer_1994!CA_cost_stop+AG199+AG205+AG211</f>
        <v>0</v>
      </c>
      <c r="AH215" s="49">
        <f ca="1">Haute_Mer_1994!CA_cost_stop+AH199+AH205+AH211</f>
        <v>0</v>
      </c>
      <c r="AI215" s="49">
        <f ca="1">Haute_Mer_1994!CA_cost_stop+AI199+AI205+AI211</f>
        <v>0</v>
      </c>
      <c r="AJ215" s="49">
        <f ca="1">Haute_Mer_1994!CA_cost_stop+AJ199+AJ205+AJ211</f>
        <v>0</v>
      </c>
      <c r="AK215" s="49">
        <f ca="1">Haute_Mer_1994!CA_cost_stop+AK199+AK205+AK211</f>
        <v>0</v>
      </c>
      <c r="AL215" s="49">
        <f ca="1">Haute_Mer_1994!CA_cost_stop+AL199+AL205+AL211</f>
        <v>0</v>
      </c>
      <c r="AM215" s="49">
        <f ca="1">Haute_Mer_1994!CA_cost_stop+AM199+AM205+AM211</f>
        <v>0</v>
      </c>
      <c r="AN215" s="49">
        <f ca="1">Haute_Mer_1994!CA_cost_stop+AN199+AN205+AN211</f>
        <v>0</v>
      </c>
      <c r="AO215" s="49">
        <f ca="1">Haute_Mer_1994!CA_cost_stop+AO199+AO205+AO211</f>
        <v>0</v>
      </c>
      <c r="AP215" s="49">
        <f ca="1">Haute_Mer_1994!CA_cost_stop+AP199+AP205+AP211</f>
        <v>0</v>
      </c>
      <c r="AQ215" s="49">
        <f ca="1">Haute_Mer_1994!CA_cost_stop+AQ199+AQ205+AQ211</f>
        <v>0</v>
      </c>
      <c r="AR215" s="49">
        <f ca="1">Haute_Mer_1994!CA_cost_stop+AR199+AR205+AR211</f>
        <v>0</v>
      </c>
      <c r="AS215" s="49">
        <f ca="1">Haute_Mer_1994!CA_cost_stop+AS199+AS205+AS211</f>
        <v>0</v>
      </c>
      <c r="AT215" s="49">
        <f ca="1">Haute_Mer_1994!CA_cost_stop+AT199+AT205+AT211</f>
        <v>0</v>
      </c>
      <c r="AU215" s="49">
        <f ca="1">Haute_Mer_1994!CA_cost_stop+AU199+AU205+AU211</f>
        <v>0</v>
      </c>
      <c r="AV215" s="49">
        <f ca="1">Haute_Mer_1994!CA_cost_stop+AV199+AV205+AV211</f>
        <v>0</v>
      </c>
      <c r="AW215" s="49">
        <f ca="1">Haute_Mer_1994!CA_cost_stop+AW199+AW205+AW211</f>
        <v>0</v>
      </c>
      <c r="AX215" s="49">
        <f ca="1">Haute_Mer_1994!CA_cost_stop+AX199+AX205+AX211</f>
        <v>0</v>
      </c>
      <c r="AY215" s="49">
        <f ca="1">Haute_Mer_1994!CA_cost_stop+AY199+AY205+AY211</f>
        <v>0</v>
      </c>
      <c r="AZ215" s="49">
        <f ca="1">Haute_Mer_1994!CA_cost_stop+AZ199+AZ205+AZ211</f>
        <v>0</v>
      </c>
      <c r="BA215" s="49">
        <f ca="1">Haute_Mer_1994!CA_cost_stop+BA199+BA205+BA211</f>
        <v>0</v>
      </c>
      <c r="BB215" s="49">
        <f ca="1">Haute_Mer_1994!CA_cost_stop+BB199+BB205+BB211</f>
        <v>0</v>
      </c>
      <c r="BC215" s="49">
        <f ca="1">Haute_Mer_1994!CA_cost_stop+BC199+BC205+BC211</f>
        <v>0</v>
      </c>
      <c r="BD215" s="49">
        <f ca="1">Haute_Mer_1994!CA_cost_stop+BD199+BD205+BD211</f>
        <v>0</v>
      </c>
      <c r="BE215" s="49">
        <f ca="1">Haute_Mer_1994!CA_cost_stop+BE199+BE205+BE211</f>
        <v>0</v>
      </c>
      <c r="BF215" s="49">
        <f ca="1">Haute_Mer_1994!CA_cost_stop+BF199+BF205+BF211</f>
        <v>0</v>
      </c>
      <c r="BG215" s="49">
        <f ca="1">Haute_Mer_1994!CA_cost_stop+BG199+BG205+BG211</f>
        <v>0</v>
      </c>
      <c r="BH215" s="49">
        <f ca="1">Haute_Mer_1994!CA_cost_stop+BH199+BH205+BH211</f>
        <v>0</v>
      </c>
      <c r="BI215" s="49">
        <f ca="1">Haute_Mer_1994!CA_cost_stop+BI199+BI205+BI211</f>
        <v>0</v>
      </c>
      <c r="BJ215" s="49">
        <f ca="1">Haute_Mer_1994!CA_cost_stop+BJ199+BJ205+BJ211</f>
        <v>0</v>
      </c>
      <c r="BK215" s="49">
        <f ca="1">Haute_Mer_1994!CA_cost_stop+BK199+BK205+BK211</f>
        <v>0</v>
      </c>
      <c r="BL215" s="49">
        <f ca="1">Haute_Mer_1994!CA_cost_stop+BL199+BL205+BL211</f>
        <v>0</v>
      </c>
      <c r="BM215" s="49">
        <f ca="1">Haute_Mer_1994!CA_cost_stop+BM199+BM205+BM211</f>
        <v>0</v>
      </c>
      <c r="BN215" s="49">
        <f ca="1">Haute_Mer_1994!CA_cost_stop+BN199+BN205+BN211</f>
        <v>0</v>
      </c>
      <c r="BO215" s="49">
        <f ca="1">Haute_Mer_1994!CA_cost_stop+BO199+BO205+BO211</f>
        <v>0</v>
      </c>
      <c r="BP215" s="49">
        <f ca="1">Haute_Mer_1994!CA_cost_stop+BP199+BP205+BP211</f>
        <v>0</v>
      </c>
      <c r="BQ215" s="49">
        <f ca="1">Haute_Mer_1994!CA_cost_stop+BQ199+BQ205+BQ211</f>
        <v>0</v>
      </c>
      <c r="BR215" s="49">
        <f ca="1">Haute_Mer_1994!CA_cost_stop+BR199+BR205+BR211</f>
        <v>0</v>
      </c>
      <c r="BS215" s="49">
        <f ca="1">Haute_Mer_1994!CA_cost_stop+BS199+BS205+BS211</f>
        <v>0</v>
      </c>
    </row>
    <row r="216" spans="3:71" outlineLevel="1" x14ac:dyDescent="0.2">
      <c r="E216" t="s">
        <v>205</v>
      </c>
      <c r="I216" s="30">
        <f ca="1">I190</f>
        <v>0</v>
      </c>
      <c r="J216" s="26" t="s">
        <v>148</v>
      </c>
      <c r="L216" s="49">
        <f t="shared" ref="L216:AQ216" ca="1" si="50">CA_expex_to_recover+(K218*(1+int_rate_cf_costs))</f>
        <v>0</v>
      </c>
      <c r="M216" s="49">
        <f t="shared" ca="1" si="50"/>
        <v>0</v>
      </c>
      <c r="N216" s="49">
        <f t="shared" ca="1" si="50"/>
        <v>0</v>
      </c>
      <c r="O216" s="49">
        <f t="shared" ca="1" si="50"/>
        <v>0</v>
      </c>
      <c r="P216" s="49">
        <f t="shared" ca="1" si="50"/>
        <v>0</v>
      </c>
      <c r="Q216" s="49">
        <f t="shared" ca="1" si="50"/>
        <v>0</v>
      </c>
      <c r="R216" s="49">
        <f t="shared" ca="1" si="50"/>
        <v>0</v>
      </c>
      <c r="S216" s="49">
        <f t="shared" ca="1" si="50"/>
        <v>0</v>
      </c>
      <c r="T216" s="49">
        <f t="shared" ca="1" si="50"/>
        <v>0</v>
      </c>
      <c r="U216" s="49">
        <f t="shared" ca="1" si="50"/>
        <v>0</v>
      </c>
      <c r="V216" s="49">
        <f t="shared" ca="1" si="50"/>
        <v>0</v>
      </c>
      <c r="W216" s="49">
        <f t="shared" ca="1" si="50"/>
        <v>0</v>
      </c>
      <c r="X216" s="49">
        <f t="shared" ca="1" si="50"/>
        <v>0</v>
      </c>
      <c r="Y216" s="49">
        <f t="shared" ca="1" si="50"/>
        <v>0</v>
      </c>
      <c r="Z216" s="49">
        <f t="shared" ca="1" si="50"/>
        <v>0</v>
      </c>
      <c r="AA216" s="49">
        <f t="shared" ca="1" si="50"/>
        <v>0</v>
      </c>
      <c r="AB216" s="49">
        <f t="shared" ca="1" si="50"/>
        <v>0</v>
      </c>
      <c r="AC216" s="49">
        <f t="shared" ca="1" si="50"/>
        <v>0</v>
      </c>
      <c r="AD216" s="49">
        <f t="shared" ca="1" si="50"/>
        <v>0</v>
      </c>
      <c r="AE216" s="49">
        <f t="shared" ca="1" si="50"/>
        <v>0</v>
      </c>
      <c r="AF216" s="49">
        <f t="shared" ca="1" si="50"/>
        <v>0</v>
      </c>
      <c r="AG216" s="49">
        <f t="shared" ca="1" si="50"/>
        <v>0</v>
      </c>
      <c r="AH216" s="49">
        <f t="shared" ca="1" si="50"/>
        <v>0</v>
      </c>
      <c r="AI216" s="49">
        <f t="shared" ca="1" si="50"/>
        <v>0</v>
      </c>
      <c r="AJ216" s="49">
        <f t="shared" ca="1" si="50"/>
        <v>0</v>
      </c>
      <c r="AK216" s="49">
        <f t="shared" ca="1" si="50"/>
        <v>0</v>
      </c>
      <c r="AL216" s="49">
        <f t="shared" ca="1" si="50"/>
        <v>0</v>
      </c>
      <c r="AM216" s="49">
        <f t="shared" ca="1" si="50"/>
        <v>0</v>
      </c>
      <c r="AN216" s="49">
        <f t="shared" ca="1" si="50"/>
        <v>0</v>
      </c>
      <c r="AO216" s="49">
        <f t="shared" ca="1" si="50"/>
        <v>0</v>
      </c>
      <c r="AP216" s="49">
        <f t="shared" ca="1" si="50"/>
        <v>0</v>
      </c>
      <c r="AQ216" s="49">
        <f t="shared" ca="1" si="50"/>
        <v>0</v>
      </c>
      <c r="AR216" s="49">
        <f t="shared" ref="AR216:BS216" ca="1" si="51">CA_expex_to_recover+(AQ218*(1+int_rate_cf_costs))</f>
        <v>0</v>
      </c>
      <c r="AS216" s="49">
        <f t="shared" ca="1" si="51"/>
        <v>0</v>
      </c>
      <c r="AT216" s="49">
        <f t="shared" ca="1" si="51"/>
        <v>0</v>
      </c>
      <c r="AU216" s="49">
        <f t="shared" ca="1" si="51"/>
        <v>0</v>
      </c>
      <c r="AV216" s="49">
        <f t="shared" ca="1" si="51"/>
        <v>0</v>
      </c>
      <c r="AW216" s="49">
        <f t="shared" ca="1" si="51"/>
        <v>0</v>
      </c>
      <c r="AX216" s="49">
        <f t="shared" ca="1" si="51"/>
        <v>0</v>
      </c>
      <c r="AY216" s="49">
        <f t="shared" ca="1" si="51"/>
        <v>0</v>
      </c>
      <c r="AZ216" s="49">
        <f t="shared" ca="1" si="51"/>
        <v>0</v>
      </c>
      <c r="BA216" s="49">
        <f t="shared" ca="1" si="51"/>
        <v>0</v>
      </c>
      <c r="BB216" s="49">
        <f t="shared" ca="1" si="51"/>
        <v>0</v>
      </c>
      <c r="BC216" s="49">
        <f t="shared" ca="1" si="51"/>
        <v>0</v>
      </c>
      <c r="BD216" s="49">
        <f t="shared" ca="1" si="51"/>
        <v>0</v>
      </c>
      <c r="BE216" s="49">
        <f t="shared" ca="1" si="51"/>
        <v>0</v>
      </c>
      <c r="BF216" s="49">
        <f t="shared" ca="1" si="51"/>
        <v>0</v>
      </c>
      <c r="BG216" s="49">
        <f t="shared" ca="1" si="51"/>
        <v>0</v>
      </c>
      <c r="BH216" s="49">
        <f t="shared" ca="1" si="51"/>
        <v>0</v>
      </c>
      <c r="BI216" s="49">
        <f t="shared" ca="1" si="51"/>
        <v>0</v>
      </c>
      <c r="BJ216" s="49">
        <f t="shared" ca="1" si="51"/>
        <v>0</v>
      </c>
      <c r="BK216" s="49">
        <f t="shared" ca="1" si="51"/>
        <v>0</v>
      </c>
      <c r="BL216" s="49">
        <f t="shared" ca="1" si="51"/>
        <v>0</v>
      </c>
      <c r="BM216" s="49">
        <f t="shared" ca="1" si="51"/>
        <v>0</v>
      </c>
      <c r="BN216" s="49">
        <f t="shared" ca="1" si="51"/>
        <v>0</v>
      </c>
      <c r="BO216" s="49">
        <f t="shared" ca="1" si="51"/>
        <v>0</v>
      </c>
      <c r="BP216" s="49">
        <f t="shared" ca="1" si="51"/>
        <v>0</v>
      </c>
      <c r="BQ216" s="49">
        <f t="shared" ca="1" si="51"/>
        <v>0</v>
      </c>
      <c r="BR216" s="49">
        <f t="shared" ca="1" si="51"/>
        <v>0</v>
      </c>
      <c r="BS216" s="49">
        <f t="shared" ca="1" si="51"/>
        <v>0</v>
      </c>
    </row>
    <row r="217" spans="3:71" outlineLevel="1" x14ac:dyDescent="0.2">
      <c r="E217" t="s">
        <v>206</v>
      </c>
      <c r="H217" s="56" t="b">
        <f ca="1">ROUND(I217,2)=-ROUND(I216,2)</f>
        <v>1</v>
      </c>
      <c r="I217" s="30">
        <f t="shared" ca="1" si="49"/>
        <v>0</v>
      </c>
      <c r="J217" s="26" t="s">
        <v>148</v>
      </c>
      <c r="L217" s="49">
        <f ca="1">-MIN(L216,L215)</f>
        <v>0</v>
      </c>
      <c r="M217" s="49">
        <f t="shared" ref="M217:BS217" ca="1" si="52">-MIN(M216,M215)</f>
        <v>0</v>
      </c>
      <c r="N217" s="49">
        <f t="shared" ca="1" si="52"/>
        <v>0</v>
      </c>
      <c r="O217" s="49">
        <f t="shared" ca="1" si="52"/>
        <v>0</v>
      </c>
      <c r="P217" s="49">
        <f t="shared" ca="1" si="52"/>
        <v>0</v>
      </c>
      <c r="Q217" s="49">
        <f t="shared" ca="1" si="52"/>
        <v>0</v>
      </c>
      <c r="R217" s="49">
        <f t="shared" ca="1" si="52"/>
        <v>0</v>
      </c>
      <c r="S217" s="49">
        <f t="shared" ca="1" si="52"/>
        <v>0</v>
      </c>
      <c r="T217" s="49">
        <f t="shared" ca="1" si="52"/>
        <v>0</v>
      </c>
      <c r="U217" s="49">
        <f t="shared" ca="1" si="52"/>
        <v>0</v>
      </c>
      <c r="V217" s="49">
        <f t="shared" ca="1" si="52"/>
        <v>0</v>
      </c>
      <c r="W217" s="49">
        <f t="shared" ca="1" si="52"/>
        <v>0</v>
      </c>
      <c r="X217" s="49">
        <f t="shared" ca="1" si="52"/>
        <v>0</v>
      </c>
      <c r="Y217" s="49">
        <f t="shared" ca="1" si="52"/>
        <v>0</v>
      </c>
      <c r="Z217" s="49">
        <f t="shared" ca="1" si="52"/>
        <v>0</v>
      </c>
      <c r="AA217" s="49">
        <f t="shared" ca="1" si="52"/>
        <v>0</v>
      </c>
      <c r="AB217" s="49">
        <f t="shared" ca="1" si="52"/>
        <v>0</v>
      </c>
      <c r="AC217" s="49">
        <f t="shared" ca="1" si="52"/>
        <v>0</v>
      </c>
      <c r="AD217" s="49">
        <f t="shared" ca="1" si="52"/>
        <v>0</v>
      </c>
      <c r="AE217" s="49">
        <f t="shared" ca="1" si="52"/>
        <v>0</v>
      </c>
      <c r="AF217" s="49">
        <f t="shared" ca="1" si="52"/>
        <v>0</v>
      </c>
      <c r="AG217" s="49">
        <f t="shared" ca="1" si="52"/>
        <v>0</v>
      </c>
      <c r="AH217" s="49">
        <f t="shared" ca="1" si="52"/>
        <v>0</v>
      </c>
      <c r="AI217" s="49">
        <f t="shared" ca="1" si="52"/>
        <v>0</v>
      </c>
      <c r="AJ217" s="49">
        <f t="shared" ca="1" si="52"/>
        <v>0</v>
      </c>
      <c r="AK217" s="49">
        <f t="shared" ca="1" si="52"/>
        <v>0</v>
      </c>
      <c r="AL217" s="49">
        <f t="shared" ca="1" si="52"/>
        <v>0</v>
      </c>
      <c r="AM217" s="49">
        <f t="shared" ca="1" si="52"/>
        <v>0</v>
      </c>
      <c r="AN217" s="49">
        <f t="shared" ca="1" si="52"/>
        <v>0</v>
      </c>
      <c r="AO217" s="49">
        <f t="shared" ca="1" si="52"/>
        <v>0</v>
      </c>
      <c r="AP217" s="49">
        <f t="shared" ca="1" si="52"/>
        <v>0</v>
      </c>
      <c r="AQ217" s="49">
        <f t="shared" ca="1" si="52"/>
        <v>0</v>
      </c>
      <c r="AR217" s="49">
        <f t="shared" ca="1" si="52"/>
        <v>0</v>
      </c>
      <c r="AS217" s="49">
        <f t="shared" ca="1" si="52"/>
        <v>0</v>
      </c>
      <c r="AT217" s="49">
        <f t="shared" ca="1" si="52"/>
        <v>0</v>
      </c>
      <c r="AU217" s="49">
        <f t="shared" ca="1" si="52"/>
        <v>0</v>
      </c>
      <c r="AV217" s="49">
        <f t="shared" ca="1" si="52"/>
        <v>0</v>
      </c>
      <c r="AW217" s="49">
        <f t="shared" ca="1" si="52"/>
        <v>0</v>
      </c>
      <c r="AX217" s="49">
        <f t="shared" ca="1" si="52"/>
        <v>0</v>
      </c>
      <c r="AY217" s="49">
        <f t="shared" ca="1" si="52"/>
        <v>0</v>
      </c>
      <c r="AZ217" s="49">
        <f t="shared" ca="1" si="52"/>
        <v>0</v>
      </c>
      <c r="BA217" s="49">
        <f t="shared" ca="1" si="52"/>
        <v>0</v>
      </c>
      <c r="BB217" s="49">
        <f t="shared" ca="1" si="52"/>
        <v>0</v>
      </c>
      <c r="BC217" s="49">
        <f t="shared" ca="1" si="52"/>
        <v>0</v>
      </c>
      <c r="BD217" s="49">
        <f t="shared" ca="1" si="52"/>
        <v>0</v>
      </c>
      <c r="BE217" s="49">
        <f t="shared" ca="1" si="52"/>
        <v>0</v>
      </c>
      <c r="BF217" s="49">
        <f t="shared" ca="1" si="52"/>
        <v>0</v>
      </c>
      <c r="BG217" s="49">
        <f t="shared" ca="1" si="52"/>
        <v>0</v>
      </c>
      <c r="BH217" s="49">
        <f t="shared" ca="1" si="52"/>
        <v>0</v>
      </c>
      <c r="BI217" s="49">
        <f t="shared" ca="1" si="52"/>
        <v>0</v>
      </c>
      <c r="BJ217" s="49">
        <f t="shared" ca="1" si="52"/>
        <v>0</v>
      </c>
      <c r="BK217" s="49">
        <f t="shared" ca="1" si="52"/>
        <v>0</v>
      </c>
      <c r="BL217" s="49">
        <f t="shared" ca="1" si="52"/>
        <v>0</v>
      </c>
      <c r="BM217" s="49">
        <f t="shared" ca="1" si="52"/>
        <v>0</v>
      </c>
      <c r="BN217" s="49">
        <f t="shared" ca="1" si="52"/>
        <v>0</v>
      </c>
      <c r="BO217" s="49">
        <f t="shared" ca="1" si="52"/>
        <v>0</v>
      </c>
      <c r="BP217" s="49">
        <f t="shared" ca="1" si="52"/>
        <v>0</v>
      </c>
      <c r="BQ217" s="49">
        <f t="shared" ca="1" si="52"/>
        <v>0</v>
      </c>
      <c r="BR217" s="49">
        <f t="shared" ca="1" si="52"/>
        <v>0</v>
      </c>
      <c r="BS217" s="49">
        <f t="shared" ca="1" si="52"/>
        <v>0</v>
      </c>
    </row>
    <row r="218" spans="3:71" outlineLevel="1" x14ac:dyDescent="0.2">
      <c r="E218" t="s">
        <v>195</v>
      </c>
      <c r="J218" s="26"/>
      <c r="L218" s="49">
        <f ca="1">L216+L217</f>
        <v>0</v>
      </c>
      <c r="M218" s="49">
        <f t="shared" ref="M218:BS218" ca="1" si="53">M216+M217</f>
        <v>0</v>
      </c>
      <c r="N218" s="49">
        <f t="shared" ca="1" si="53"/>
        <v>0</v>
      </c>
      <c r="O218" s="49">
        <f t="shared" ca="1" si="53"/>
        <v>0</v>
      </c>
      <c r="P218" s="49">
        <f t="shared" ca="1" si="53"/>
        <v>0</v>
      </c>
      <c r="Q218" s="49">
        <f t="shared" ca="1" si="53"/>
        <v>0</v>
      </c>
      <c r="R218" s="49">
        <f t="shared" ca="1" si="53"/>
        <v>0</v>
      </c>
      <c r="S218" s="49">
        <f t="shared" ca="1" si="53"/>
        <v>0</v>
      </c>
      <c r="T218" s="49">
        <f t="shared" ca="1" si="53"/>
        <v>0</v>
      </c>
      <c r="U218" s="49">
        <f t="shared" ca="1" si="53"/>
        <v>0</v>
      </c>
      <c r="V218" s="49">
        <f t="shared" ca="1" si="53"/>
        <v>0</v>
      </c>
      <c r="W218" s="49">
        <f t="shared" ca="1" si="53"/>
        <v>0</v>
      </c>
      <c r="X218" s="49">
        <f t="shared" ca="1" si="53"/>
        <v>0</v>
      </c>
      <c r="Y218" s="49">
        <f t="shared" ca="1" si="53"/>
        <v>0</v>
      </c>
      <c r="Z218" s="49">
        <f t="shared" ca="1" si="53"/>
        <v>0</v>
      </c>
      <c r="AA218" s="49">
        <f t="shared" ca="1" si="53"/>
        <v>0</v>
      </c>
      <c r="AB218" s="49">
        <f t="shared" ca="1" si="53"/>
        <v>0</v>
      </c>
      <c r="AC218" s="49">
        <f t="shared" ca="1" si="53"/>
        <v>0</v>
      </c>
      <c r="AD218" s="49">
        <f t="shared" ca="1" si="53"/>
        <v>0</v>
      </c>
      <c r="AE218" s="49">
        <f t="shared" ca="1" si="53"/>
        <v>0</v>
      </c>
      <c r="AF218" s="49">
        <f t="shared" ca="1" si="53"/>
        <v>0</v>
      </c>
      <c r="AG218" s="49">
        <f t="shared" ca="1" si="53"/>
        <v>0</v>
      </c>
      <c r="AH218" s="49">
        <f t="shared" ca="1" si="53"/>
        <v>0</v>
      </c>
      <c r="AI218" s="49">
        <f t="shared" ca="1" si="53"/>
        <v>0</v>
      </c>
      <c r="AJ218" s="49">
        <f t="shared" ca="1" si="53"/>
        <v>0</v>
      </c>
      <c r="AK218" s="49">
        <f t="shared" ca="1" si="53"/>
        <v>0</v>
      </c>
      <c r="AL218" s="49">
        <f t="shared" ca="1" si="53"/>
        <v>0</v>
      </c>
      <c r="AM218" s="49">
        <f t="shared" ca="1" si="53"/>
        <v>0</v>
      </c>
      <c r="AN218" s="49">
        <f t="shared" ca="1" si="53"/>
        <v>0</v>
      </c>
      <c r="AO218" s="49">
        <f t="shared" ca="1" si="53"/>
        <v>0</v>
      </c>
      <c r="AP218" s="49">
        <f t="shared" ca="1" si="53"/>
        <v>0</v>
      </c>
      <c r="AQ218" s="49">
        <f t="shared" ca="1" si="53"/>
        <v>0</v>
      </c>
      <c r="AR218" s="49">
        <f t="shared" ca="1" si="53"/>
        <v>0</v>
      </c>
      <c r="AS218" s="49">
        <f t="shared" ca="1" si="53"/>
        <v>0</v>
      </c>
      <c r="AT218" s="49">
        <f t="shared" ca="1" si="53"/>
        <v>0</v>
      </c>
      <c r="AU218" s="49">
        <f t="shared" ca="1" si="53"/>
        <v>0</v>
      </c>
      <c r="AV218" s="49">
        <f t="shared" ca="1" si="53"/>
        <v>0</v>
      </c>
      <c r="AW218" s="49">
        <f t="shared" ca="1" si="53"/>
        <v>0</v>
      </c>
      <c r="AX218" s="49">
        <f t="shared" ca="1" si="53"/>
        <v>0</v>
      </c>
      <c r="AY218" s="49">
        <f t="shared" ca="1" si="53"/>
        <v>0</v>
      </c>
      <c r="AZ218" s="49">
        <f t="shared" ca="1" si="53"/>
        <v>0</v>
      </c>
      <c r="BA218" s="49">
        <f t="shared" ca="1" si="53"/>
        <v>0</v>
      </c>
      <c r="BB218" s="49">
        <f t="shared" ca="1" si="53"/>
        <v>0</v>
      </c>
      <c r="BC218" s="49">
        <f t="shared" ca="1" si="53"/>
        <v>0</v>
      </c>
      <c r="BD218" s="49">
        <f t="shared" ca="1" si="53"/>
        <v>0</v>
      </c>
      <c r="BE218" s="49">
        <f t="shared" ca="1" si="53"/>
        <v>0</v>
      </c>
      <c r="BF218" s="49">
        <f t="shared" ca="1" si="53"/>
        <v>0</v>
      </c>
      <c r="BG218" s="49">
        <f t="shared" ca="1" si="53"/>
        <v>0</v>
      </c>
      <c r="BH218" s="49">
        <f t="shared" ca="1" si="53"/>
        <v>0</v>
      </c>
      <c r="BI218" s="49">
        <f t="shared" ca="1" si="53"/>
        <v>0</v>
      </c>
      <c r="BJ218" s="49">
        <f t="shared" ca="1" si="53"/>
        <v>0</v>
      </c>
      <c r="BK218" s="49">
        <f t="shared" ca="1" si="53"/>
        <v>0</v>
      </c>
      <c r="BL218" s="49">
        <f t="shared" ca="1" si="53"/>
        <v>0</v>
      </c>
      <c r="BM218" s="49">
        <f t="shared" ca="1" si="53"/>
        <v>0</v>
      </c>
      <c r="BN218" s="49">
        <f t="shared" ca="1" si="53"/>
        <v>0</v>
      </c>
      <c r="BO218" s="49">
        <f t="shared" ca="1" si="53"/>
        <v>0</v>
      </c>
      <c r="BP218" s="49">
        <f t="shared" ca="1" si="53"/>
        <v>0</v>
      </c>
      <c r="BQ218" s="49">
        <f t="shared" ca="1" si="53"/>
        <v>0</v>
      </c>
      <c r="BR218" s="49">
        <f t="shared" ca="1" si="53"/>
        <v>0</v>
      </c>
      <c r="BS218" s="49">
        <f t="shared" ca="1" si="53"/>
        <v>0</v>
      </c>
    </row>
    <row r="219" spans="3:71" outlineLevel="1" x14ac:dyDescent="0.2">
      <c r="J219" s="26"/>
      <c r="L219" s="55"/>
      <c r="M219" s="55"/>
      <c r="N219" s="55"/>
      <c r="O219" s="55"/>
      <c r="P219" s="55"/>
      <c r="Q219" s="55"/>
      <c r="R219" s="55"/>
      <c r="S219" s="55"/>
      <c r="T219" s="55"/>
      <c r="U219" s="55"/>
      <c r="V219" s="55"/>
      <c r="W219" s="55"/>
      <c r="X219" s="55"/>
      <c r="Y219" s="55"/>
      <c r="Z219" s="55"/>
      <c r="AA219" s="55"/>
      <c r="AB219" s="55"/>
      <c r="AC219" s="55"/>
      <c r="AD219" s="55"/>
      <c r="AE219" s="55"/>
      <c r="AF219" s="55"/>
      <c r="AG219" s="55"/>
      <c r="AH219" s="55"/>
      <c r="AI219" s="55"/>
      <c r="AJ219" s="55"/>
      <c r="AK219" s="55"/>
      <c r="AL219" s="55"/>
      <c r="AM219" s="55"/>
      <c r="AN219" s="55"/>
      <c r="AO219" s="55"/>
      <c r="AP219" s="55"/>
      <c r="AQ219" s="55"/>
      <c r="AR219" s="55"/>
      <c r="AS219" s="55"/>
      <c r="AT219" s="55"/>
      <c r="AU219" s="55"/>
      <c r="AV219" s="55"/>
      <c r="AW219" s="55"/>
      <c r="AX219" s="55"/>
      <c r="AY219" s="55"/>
      <c r="AZ219" s="55"/>
      <c r="BA219" s="55"/>
      <c r="BB219" s="55"/>
      <c r="BC219" s="55"/>
      <c r="BD219" s="55"/>
      <c r="BE219" s="55"/>
      <c r="BF219" s="55"/>
      <c r="BG219" s="55"/>
      <c r="BH219" s="55"/>
      <c r="BI219" s="55"/>
      <c r="BJ219" s="55"/>
      <c r="BK219" s="55"/>
      <c r="BL219" s="55"/>
      <c r="BM219" s="55"/>
      <c r="BN219" s="55"/>
      <c r="BO219" s="55"/>
      <c r="BP219" s="55"/>
      <c r="BQ219" s="55"/>
      <c r="BR219" s="55"/>
      <c r="BS219" s="55"/>
    </row>
    <row r="220" spans="3:71" outlineLevel="1" x14ac:dyDescent="0.2">
      <c r="D220" s="11" t="s">
        <v>207</v>
      </c>
      <c r="H220" s="56" t="b">
        <f ca="1">ROUND(I220,2)=ROUND(I191,2)</f>
        <v>0</v>
      </c>
      <c r="I220" s="30">
        <f t="shared" ca="1" si="49"/>
        <v>5841.8322361906494</v>
      </c>
      <c r="J220" s="26" t="s">
        <v>148</v>
      </c>
      <c r="K220" s="7" t="s">
        <v>208</v>
      </c>
      <c r="L220" s="49">
        <f ca="1">-SUM(L217,L211,L205,L199)</f>
        <v>374.66874115405938</v>
      </c>
      <c r="M220" s="49">
        <f t="shared" ref="M220:BS220" ca="1" si="54">-SUM(M217,M211,M205,M199)</f>
        <v>353.9229876764623</v>
      </c>
      <c r="N220" s="49">
        <f t="shared" ca="1" si="54"/>
        <v>133.53118450054168</v>
      </c>
      <c r="O220" s="49">
        <f t="shared" ca="1" si="54"/>
        <v>126.04141158668411</v>
      </c>
      <c r="P220" s="49">
        <f t="shared" ca="1" si="54"/>
        <v>349.62064769895682</v>
      </c>
      <c r="Q220" s="49">
        <f t="shared" ca="1" si="54"/>
        <v>694.96643319605096</v>
      </c>
      <c r="R220" s="49">
        <f t="shared" ca="1" si="54"/>
        <v>663.36543177458066</v>
      </c>
      <c r="S220" s="49">
        <f t="shared" ca="1" si="54"/>
        <v>385.08849685800004</v>
      </c>
      <c r="T220" s="49">
        <f t="shared" ca="1" si="54"/>
        <v>587.61561294820797</v>
      </c>
      <c r="U220" s="49">
        <f t="shared" ca="1" si="54"/>
        <v>586.58734922948997</v>
      </c>
      <c r="V220" s="49">
        <f t="shared" ca="1" si="54"/>
        <v>556.43675947909412</v>
      </c>
      <c r="W220" s="49">
        <f t="shared" ca="1" si="54"/>
        <v>529.28203582280526</v>
      </c>
      <c r="X220" s="49">
        <f t="shared" ca="1" si="54"/>
        <v>500.70514426571657</v>
      </c>
      <c r="Y220" s="49">
        <f t="shared" ca="1" si="54"/>
        <v>0</v>
      </c>
      <c r="Z220" s="49">
        <f t="shared" ca="1" si="54"/>
        <v>0</v>
      </c>
      <c r="AA220" s="49">
        <f t="shared" ca="1" si="54"/>
        <v>0</v>
      </c>
      <c r="AB220" s="49">
        <f t="shared" ca="1" si="54"/>
        <v>0</v>
      </c>
      <c r="AC220" s="49">
        <f t="shared" ca="1" si="54"/>
        <v>0</v>
      </c>
      <c r="AD220" s="49">
        <f t="shared" ca="1" si="54"/>
        <v>0</v>
      </c>
      <c r="AE220" s="49">
        <f t="shared" ca="1" si="54"/>
        <v>0</v>
      </c>
      <c r="AF220" s="49">
        <f t="shared" ca="1" si="54"/>
        <v>0</v>
      </c>
      <c r="AG220" s="49">
        <f t="shared" ca="1" si="54"/>
        <v>0</v>
      </c>
      <c r="AH220" s="49">
        <f t="shared" ca="1" si="54"/>
        <v>0</v>
      </c>
      <c r="AI220" s="49">
        <f t="shared" ca="1" si="54"/>
        <v>0</v>
      </c>
      <c r="AJ220" s="49">
        <f t="shared" ca="1" si="54"/>
        <v>0</v>
      </c>
      <c r="AK220" s="49">
        <f t="shared" ca="1" si="54"/>
        <v>0</v>
      </c>
      <c r="AL220" s="49">
        <f t="shared" ca="1" si="54"/>
        <v>0</v>
      </c>
      <c r="AM220" s="49">
        <f t="shared" ca="1" si="54"/>
        <v>0</v>
      </c>
      <c r="AN220" s="49">
        <f t="shared" ca="1" si="54"/>
        <v>0</v>
      </c>
      <c r="AO220" s="49">
        <f t="shared" ca="1" si="54"/>
        <v>0</v>
      </c>
      <c r="AP220" s="49">
        <f t="shared" ca="1" si="54"/>
        <v>0</v>
      </c>
      <c r="AQ220" s="49">
        <f t="shared" ca="1" si="54"/>
        <v>0</v>
      </c>
      <c r="AR220" s="49">
        <f t="shared" ca="1" si="54"/>
        <v>0</v>
      </c>
      <c r="AS220" s="49">
        <f t="shared" ca="1" si="54"/>
        <v>0</v>
      </c>
      <c r="AT220" s="49">
        <f t="shared" ca="1" si="54"/>
        <v>0</v>
      </c>
      <c r="AU220" s="49">
        <f t="shared" ca="1" si="54"/>
        <v>0</v>
      </c>
      <c r="AV220" s="49">
        <f t="shared" ca="1" si="54"/>
        <v>0</v>
      </c>
      <c r="AW220" s="49">
        <f t="shared" ca="1" si="54"/>
        <v>0</v>
      </c>
      <c r="AX220" s="49">
        <f t="shared" ca="1" si="54"/>
        <v>0</v>
      </c>
      <c r="AY220" s="49">
        <f t="shared" ca="1" si="54"/>
        <v>0</v>
      </c>
      <c r="AZ220" s="49">
        <f t="shared" ca="1" si="54"/>
        <v>0</v>
      </c>
      <c r="BA220" s="49">
        <f t="shared" ca="1" si="54"/>
        <v>0</v>
      </c>
      <c r="BB220" s="49">
        <f t="shared" ca="1" si="54"/>
        <v>0</v>
      </c>
      <c r="BC220" s="49">
        <f t="shared" ca="1" si="54"/>
        <v>0</v>
      </c>
      <c r="BD220" s="49">
        <f t="shared" ca="1" si="54"/>
        <v>0</v>
      </c>
      <c r="BE220" s="49">
        <f t="shared" ca="1" si="54"/>
        <v>0</v>
      </c>
      <c r="BF220" s="49">
        <f t="shared" ca="1" si="54"/>
        <v>0</v>
      </c>
      <c r="BG220" s="49">
        <f t="shared" ca="1" si="54"/>
        <v>0</v>
      </c>
      <c r="BH220" s="49">
        <f t="shared" ca="1" si="54"/>
        <v>0</v>
      </c>
      <c r="BI220" s="49">
        <f t="shared" ca="1" si="54"/>
        <v>0</v>
      </c>
      <c r="BJ220" s="49">
        <f t="shared" ca="1" si="54"/>
        <v>0</v>
      </c>
      <c r="BK220" s="49">
        <f t="shared" ca="1" si="54"/>
        <v>0</v>
      </c>
      <c r="BL220" s="49">
        <f t="shared" ca="1" si="54"/>
        <v>0</v>
      </c>
      <c r="BM220" s="49">
        <f t="shared" ca="1" si="54"/>
        <v>0</v>
      </c>
      <c r="BN220" s="49">
        <f t="shared" ca="1" si="54"/>
        <v>0</v>
      </c>
      <c r="BO220" s="49">
        <f t="shared" ca="1" si="54"/>
        <v>0</v>
      </c>
      <c r="BP220" s="49">
        <f t="shared" ca="1" si="54"/>
        <v>0</v>
      </c>
      <c r="BQ220" s="49">
        <f t="shared" ca="1" si="54"/>
        <v>0</v>
      </c>
      <c r="BR220" s="49">
        <f t="shared" ca="1" si="54"/>
        <v>0</v>
      </c>
      <c r="BS220" s="49">
        <f t="shared" ca="1" si="54"/>
        <v>0</v>
      </c>
    </row>
    <row r="221" spans="3:71" outlineLevel="1" x14ac:dyDescent="0.2">
      <c r="J221" s="26"/>
      <c r="L221" s="55"/>
      <c r="M221" s="55"/>
      <c r="N221" s="55"/>
      <c r="O221" s="55"/>
      <c r="P221" s="55"/>
      <c r="Q221" s="55"/>
      <c r="R221" s="55"/>
      <c r="S221" s="55"/>
      <c r="T221" s="55"/>
      <c r="U221" s="55"/>
      <c r="V221" s="55"/>
      <c r="W221" s="55"/>
      <c r="X221" s="55"/>
      <c r="Y221" s="55"/>
      <c r="Z221" s="55"/>
      <c r="AA221" s="55"/>
      <c r="AB221" s="55"/>
      <c r="AC221" s="55"/>
      <c r="AD221" s="55"/>
      <c r="AE221" s="55"/>
      <c r="AF221" s="55"/>
      <c r="AG221" s="55"/>
      <c r="AH221" s="55"/>
      <c r="AI221" s="55"/>
      <c r="AJ221" s="55"/>
      <c r="AK221" s="55"/>
      <c r="AL221" s="55"/>
      <c r="AM221" s="55"/>
      <c r="AN221" s="55"/>
      <c r="AO221" s="55"/>
      <c r="AP221" s="55"/>
      <c r="AQ221" s="55"/>
      <c r="AR221" s="55"/>
      <c r="AS221" s="55"/>
      <c r="AT221" s="55"/>
      <c r="AU221" s="55"/>
      <c r="AV221" s="55"/>
      <c r="AW221" s="55"/>
      <c r="AX221" s="55"/>
      <c r="AY221" s="55"/>
      <c r="AZ221" s="55"/>
      <c r="BA221" s="55"/>
      <c r="BB221" s="55"/>
      <c r="BC221" s="55"/>
      <c r="BD221" s="55"/>
      <c r="BE221" s="55"/>
      <c r="BF221" s="55"/>
      <c r="BG221" s="55"/>
      <c r="BH221" s="55"/>
      <c r="BI221" s="55"/>
      <c r="BJ221" s="55"/>
      <c r="BK221" s="55"/>
      <c r="BL221" s="55"/>
      <c r="BM221" s="55"/>
      <c r="BN221" s="55"/>
      <c r="BO221" s="55"/>
      <c r="BP221" s="55"/>
      <c r="BQ221" s="55"/>
      <c r="BR221" s="55"/>
      <c r="BS221" s="55"/>
    </row>
    <row r="222" spans="3:71" outlineLevel="1" x14ac:dyDescent="0.2">
      <c r="C222" s="11" t="s">
        <v>85</v>
      </c>
      <c r="J222" s="26"/>
      <c r="L222" s="55"/>
      <c r="M222" s="55"/>
      <c r="N222" s="55"/>
      <c r="O222" s="55"/>
      <c r="P222" s="55"/>
      <c r="Q222" s="55"/>
      <c r="R222" s="55"/>
      <c r="S222" s="55"/>
      <c r="T222" s="55"/>
      <c r="U222" s="55"/>
      <c r="V222" s="55"/>
      <c r="W222" s="55"/>
      <c r="X222" s="55"/>
      <c r="Y222" s="55"/>
      <c r="Z222" s="55"/>
      <c r="AA222" s="55"/>
      <c r="AB222" s="55"/>
      <c r="AC222" s="55"/>
      <c r="AD222" s="55"/>
      <c r="AE222" s="55"/>
      <c r="AF222" s="55"/>
      <c r="AG222" s="55"/>
      <c r="AH222" s="55"/>
      <c r="AI222" s="55"/>
      <c r="AJ222" s="55"/>
      <c r="AK222" s="55"/>
      <c r="AL222" s="55"/>
      <c r="AM222" s="55"/>
      <c r="AN222" s="55"/>
      <c r="AO222" s="55"/>
      <c r="AP222" s="55"/>
      <c r="AQ222" s="55"/>
      <c r="AR222" s="55"/>
      <c r="AS222" s="55"/>
      <c r="AT222" s="55"/>
      <c r="AU222" s="55"/>
      <c r="AV222" s="55"/>
      <c r="AW222" s="55"/>
      <c r="AX222" s="55"/>
      <c r="AY222" s="55"/>
      <c r="AZ222" s="55"/>
      <c r="BA222" s="55"/>
      <c r="BB222" s="55"/>
      <c r="BC222" s="55"/>
      <c r="BD222" s="55"/>
      <c r="BE222" s="55"/>
      <c r="BF222" s="55"/>
      <c r="BG222" s="55"/>
      <c r="BH222" s="55"/>
      <c r="BI222" s="55"/>
      <c r="BJ222" s="55"/>
      <c r="BK222" s="55"/>
      <c r="BL222" s="55"/>
      <c r="BM222" s="55"/>
      <c r="BN222" s="55"/>
      <c r="BO222" s="55"/>
      <c r="BP222" s="55"/>
      <c r="BQ222" s="55"/>
      <c r="BR222" s="55"/>
      <c r="BS222" s="55"/>
    </row>
    <row r="223" spans="3:71" outlineLevel="1" x14ac:dyDescent="0.2">
      <c r="D223" t="s">
        <v>209</v>
      </c>
      <c r="I223" s="30">
        <f t="shared" ref="I223:I226" ca="1" si="55">SUM($L223:$BS223)</f>
        <v>0</v>
      </c>
      <c r="J223" s="26" t="s">
        <v>148</v>
      </c>
      <c r="K223" s="7" t="s">
        <v>210</v>
      </c>
      <c r="L223" s="49">
        <f ca="1">IF(CA_cost_stop-CA_cost_recovered_total&lt;0,0,CA_cost_stop-CA_cost_recovered_total)</f>
        <v>0</v>
      </c>
      <c r="M223" s="49">
        <f t="shared" ref="M223:BS223" ca="1" si="56">IF(CA_cost_stop-CA_cost_recovered_total&lt;0,0,CA_cost_stop-CA_cost_recovered_total)</f>
        <v>0</v>
      </c>
      <c r="N223" s="49">
        <f t="shared" ca="1" si="56"/>
        <v>0</v>
      </c>
      <c r="O223" s="49">
        <f t="shared" ca="1" si="56"/>
        <v>0</v>
      </c>
      <c r="P223" s="49">
        <f t="shared" ca="1" si="56"/>
        <v>0</v>
      </c>
      <c r="Q223" s="49">
        <f t="shared" ca="1" si="56"/>
        <v>0</v>
      </c>
      <c r="R223" s="49">
        <f t="shared" ca="1" si="56"/>
        <v>0</v>
      </c>
      <c r="S223" s="49">
        <f t="shared" ca="1" si="56"/>
        <v>0</v>
      </c>
      <c r="T223" s="49">
        <f t="shared" ca="1" si="56"/>
        <v>0</v>
      </c>
      <c r="U223" s="49">
        <f t="shared" ca="1" si="56"/>
        <v>0</v>
      </c>
      <c r="V223" s="49">
        <f t="shared" ca="1" si="56"/>
        <v>0</v>
      </c>
      <c r="W223" s="49">
        <f t="shared" ca="1" si="56"/>
        <v>0</v>
      </c>
      <c r="X223" s="49">
        <f t="shared" ca="1" si="56"/>
        <v>0</v>
      </c>
      <c r="Y223" s="49">
        <f t="shared" ca="1" si="56"/>
        <v>0</v>
      </c>
      <c r="Z223" s="49">
        <f t="shared" ca="1" si="56"/>
        <v>0</v>
      </c>
      <c r="AA223" s="49">
        <f t="shared" ca="1" si="56"/>
        <v>0</v>
      </c>
      <c r="AB223" s="49">
        <f t="shared" ca="1" si="56"/>
        <v>0</v>
      </c>
      <c r="AC223" s="49">
        <f t="shared" ca="1" si="56"/>
        <v>0</v>
      </c>
      <c r="AD223" s="49">
        <f t="shared" ca="1" si="56"/>
        <v>0</v>
      </c>
      <c r="AE223" s="49">
        <f t="shared" ca="1" si="56"/>
        <v>0</v>
      </c>
      <c r="AF223" s="49">
        <f t="shared" ca="1" si="56"/>
        <v>0</v>
      </c>
      <c r="AG223" s="49">
        <f t="shared" ca="1" si="56"/>
        <v>0</v>
      </c>
      <c r="AH223" s="49">
        <f t="shared" ca="1" si="56"/>
        <v>0</v>
      </c>
      <c r="AI223" s="49">
        <f t="shared" ca="1" si="56"/>
        <v>0</v>
      </c>
      <c r="AJ223" s="49">
        <f t="shared" ca="1" si="56"/>
        <v>0</v>
      </c>
      <c r="AK223" s="49">
        <f t="shared" ca="1" si="56"/>
        <v>0</v>
      </c>
      <c r="AL223" s="49">
        <f t="shared" ca="1" si="56"/>
        <v>0</v>
      </c>
      <c r="AM223" s="49">
        <f t="shared" ca="1" si="56"/>
        <v>0</v>
      </c>
      <c r="AN223" s="49">
        <f t="shared" ca="1" si="56"/>
        <v>0</v>
      </c>
      <c r="AO223" s="49">
        <f t="shared" ca="1" si="56"/>
        <v>0</v>
      </c>
      <c r="AP223" s="49">
        <f t="shared" ca="1" si="56"/>
        <v>0</v>
      </c>
      <c r="AQ223" s="49">
        <f t="shared" ca="1" si="56"/>
        <v>0</v>
      </c>
      <c r="AR223" s="49">
        <f t="shared" ca="1" si="56"/>
        <v>0</v>
      </c>
      <c r="AS223" s="49">
        <f t="shared" ca="1" si="56"/>
        <v>0</v>
      </c>
      <c r="AT223" s="49">
        <f t="shared" ca="1" si="56"/>
        <v>0</v>
      </c>
      <c r="AU223" s="49">
        <f t="shared" ca="1" si="56"/>
        <v>0</v>
      </c>
      <c r="AV223" s="49">
        <f t="shared" ca="1" si="56"/>
        <v>0</v>
      </c>
      <c r="AW223" s="49">
        <f t="shared" ca="1" si="56"/>
        <v>0</v>
      </c>
      <c r="AX223" s="49">
        <f t="shared" ca="1" si="56"/>
        <v>0</v>
      </c>
      <c r="AY223" s="49">
        <f t="shared" ca="1" si="56"/>
        <v>0</v>
      </c>
      <c r="AZ223" s="49">
        <f t="shared" ca="1" si="56"/>
        <v>0</v>
      </c>
      <c r="BA223" s="49">
        <f t="shared" ca="1" si="56"/>
        <v>0</v>
      </c>
      <c r="BB223" s="49">
        <f t="shared" ca="1" si="56"/>
        <v>0</v>
      </c>
      <c r="BC223" s="49">
        <f t="shared" ca="1" si="56"/>
        <v>0</v>
      </c>
      <c r="BD223" s="49">
        <f t="shared" ca="1" si="56"/>
        <v>0</v>
      </c>
      <c r="BE223" s="49">
        <f t="shared" ca="1" si="56"/>
        <v>0</v>
      </c>
      <c r="BF223" s="49">
        <f t="shared" ca="1" si="56"/>
        <v>0</v>
      </c>
      <c r="BG223" s="49">
        <f t="shared" ca="1" si="56"/>
        <v>0</v>
      </c>
      <c r="BH223" s="49">
        <f t="shared" ca="1" si="56"/>
        <v>0</v>
      </c>
      <c r="BI223" s="49">
        <f t="shared" ca="1" si="56"/>
        <v>0</v>
      </c>
      <c r="BJ223" s="49">
        <f t="shared" ca="1" si="56"/>
        <v>0</v>
      </c>
      <c r="BK223" s="49">
        <f t="shared" ca="1" si="56"/>
        <v>0</v>
      </c>
      <c r="BL223" s="49">
        <f t="shared" ca="1" si="56"/>
        <v>0</v>
      </c>
      <c r="BM223" s="49">
        <f t="shared" ca="1" si="56"/>
        <v>0</v>
      </c>
      <c r="BN223" s="49">
        <f t="shared" ca="1" si="56"/>
        <v>0</v>
      </c>
      <c r="BO223" s="49">
        <f t="shared" ca="1" si="56"/>
        <v>0</v>
      </c>
      <c r="BP223" s="49">
        <f t="shared" ca="1" si="56"/>
        <v>0</v>
      </c>
      <c r="BQ223" s="49">
        <f t="shared" ca="1" si="56"/>
        <v>0</v>
      </c>
      <c r="BR223" s="49">
        <f t="shared" ca="1" si="56"/>
        <v>0</v>
      </c>
      <c r="BS223" s="49">
        <f t="shared" ca="1" si="56"/>
        <v>0</v>
      </c>
    </row>
    <row r="224" spans="3:71" outlineLevel="1" x14ac:dyDescent="0.2">
      <c r="J224" s="26"/>
      <c r="L224" s="55"/>
      <c r="M224" s="55"/>
      <c r="N224" s="55"/>
      <c r="O224" s="55"/>
      <c r="P224" s="55"/>
      <c r="Q224" s="55"/>
      <c r="R224" s="55"/>
      <c r="S224" s="55"/>
      <c r="T224" s="55"/>
      <c r="U224" s="55"/>
      <c r="V224" s="55"/>
      <c r="W224" s="55"/>
      <c r="X224" s="55"/>
      <c r="Y224" s="55"/>
      <c r="Z224" s="55"/>
      <c r="AA224" s="55"/>
      <c r="AB224" s="55"/>
      <c r="AC224" s="55"/>
      <c r="AD224" s="55"/>
      <c r="AE224" s="55"/>
      <c r="AF224" s="55"/>
      <c r="AG224" s="55"/>
      <c r="AH224" s="55"/>
      <c r="AI224" s="55"/>
      <c r="AJ224" s="55"/>
      <c r="AK224" s="55"/>
      <c r="AL224" s="55"/>
      <c r="AM224" s="55"/>
      <c r="AN224" s="55"/>
      <c r="AO224" s="55"/>
      <c r="AP224" s="55"/>
      <c r="AQ224" s="55"/>
      <c r="AR224" s="55"/>
      <c r="AS224" s="55"/>
      <c r="AT224" s="55"/>
      <c r="AU224" s="55"/>
      <c r="AV224" s="55"/>
      <c r="AW224" s="55"/>
      <c r="AX224" s="55"/>
      <c r="AY224" s="55"/>
      <c r="AZ224" s="55"/>
      <c r="BA224" s="55"/>
      <c r="BB224" s="55"/>
      <c r="BC224" s="55"/>
      <c r="BD224" s="55"/>
      <c r="BE224" s="55"/>
      <c r="BF224" s="55"/>
      <c r="BG224" s="55"/>
      <c r="BH224" s="55"/>
      <c r="BI224" s="55"/>
      <c r="BJ224" s="55"/>
      <c r="BK224" s="55"/>
      <c r="BL224" s="55"/>
      <c r="BM224" s="55"/>
      <c r="BN224" s="55"/>
      <c r="BO224" s="55"/>
      <c r="BP224" s="55"/>
      <c r="BQ224" s="55"/>
      <c r="BR224" s="55"/>
      <c r="BS224" s="55"/>
    </row>
    <row r="225" spans="3:71" outlineLevel="1" x14ac:dyDescent="0.2">
      <c r="D225" t="s">
        <v>211</v>
      </c>
      <c r="I225" s="30">
        <f t="shared" ca="1" si="55"/>
        <v>0</v>
      </c>
      <c r="J225" s="26" t="s">
        <v>148</v>
      </c>
      <c r="K225" s="7" t="s">
        <v>214</v>
      </c>
      <c r="L225" s="49">
        <f t="shared" ref="L225:AQ225" ca="1" si="57">ECR_cont_rate*CA_excess_cost_recovery</f>
        <v>0</v>
      </c>
      <c r="M225" s="49">
        <f t="shared" ca="1" si="57"/>
        <v>0</v>
      </c>
      <c r="N225" s="49">
        <f t="shared" ca="1" si="57"/>
        <v>0</v>
      </c>
      <c r="O225" s="49">
        <f t="shared" ca="1" si="57"/>
        <v>0</v>
      </c>
      <c r="P225" s="49">
        <f t="shared" ca="1" si="57"/>
        <v>0</v>
      </c>
      <c r="Q225" s="49">
        <f t="shared" ca="1" si="57"/>
        <v>0</v>
      </c>
      <c r="R225" s="49">
        <f t="shared" ca="1" si="57"/>
        <v>0</v>
      </c>
      <c r="S225" s="49">
        <f t="shared" ca="1" si="57"/>
        <v>0</v>
      </c>
      <c r="T225" s="49">
        <f t="shared" ca="1" si="57"/>
        <v>0</v>
      </c>
      <c r="U225" s="49">
        <f t="shared" ca="1" si="57"/>
        <v>0</v>
      </c>
      <c r="V225" s="49">
        <f t="shared" ca="1" si="57"/>
        <v>0</v>
      </c>
      <c r="W225" s="49">
        <f t="shared" ca="1" si="57"/>
        <v>0</v>
      </c>
      <c r="X225" s="49">
        <f t="shared" ca="1" si="57"/>
        <v>0</v>
      </c>
      <c r="Y225" s="49">
        <f t="shared" ca="1" si="57"/>
        <v>0</v>
      </c>
      <c r="Z225" s="49">
        <f t="shared" ca="1" si="57"/>
        <v>0</v>
      </c>
      <c r="AA225" s="49">
        <f t="shared" ca="1" si="57"/>
        <v>0</v>
      </c>
      <c r="AB225" s="49">
        <f t="shared" ca="1" si="57"/>
        <v>0</v>
      </c>
      <c r="AC225" s="49">
        <f t="shared" ca="1" si="57"/>
        <v>0</v>
      </c>
      <c r="AD225" s="49">
        <f t="shared" ca="1" si="57"/>
        <v>0</v>
      </c>
      <c r="AE225" s="49">
        <f t="shared" ca="1" si="57"/>
        <v>0</v>
      </c>
      <c r="AF225" s="49">
        <f t="shared" ca="1" si="57"/>
        <v>0</v>
      </c>
      <c r="AG225" s="49">
        <f t="shared" ca="1" si="57"/>
        <v>0</v>
      </c>
      <c r="AH225" s="49">
        <f t="shared" ca="1" si="57"/>
        <v>0</v>
      </c>
      <c r="AI225" s="49">
        <f t="shared" ca="1" si="57"/>
        <v>0</v>
      </c>
      <c r="AJ225" s="49">
        <f t="shared" ca="1" si="57"/>
        <v>0</v>
      </c>
      <c r="AK225" s="49">
        <f t="shared" ca="1" si="57"/>
        <v>0</v>
      </c>
      <c r="AL225" s="49">
        <f t="shared" ca="1" si="57"/>
        <v>0</v>
      </c>
      <c r="AM225" s="49">
        <f t="shared" ca="1" si="57"/>
        <v>0</v>
      </c>
      <c r="AN225" s="49">
        <f t="shared" ca="1" si="57"/>
        <v>0</v>
      </c>
      <c r="AO225" s="49">
        <f t="shared" ca="1" si="57"/>
        <v>0</v>
      </c>
      <c r="AP225" s="49">
        <f t="shared" ca="1" si="57"/>
        <v>0</v>
      </c>
      <c r="AQ225" s="49">
        <f t="shared" ca="1" si="57"/>
        <v>0</v>
      </c>
      <c r="AR225" s="49">
        <f t="shared" ref="AR225:BS225" ca="1" si="58">ECR_cont_rate*CA_excess_cost_recovery</f>
        <v>0</v>
      </c>
      <c r="AS225" s="49">
        <f t="shared" ca="1" si="58"/>
        <v>0</v>
      </c>
      <c r="AT225" s="49">
        <f t="shared" ca="1" si="58"/>
        <v>0</v>
      </c>
      <c r="AU225" s="49">
        <f t="shared" ca="1" si="58"/>
        <v>0</v>
      </c>
      <c r="AV225" s="49">
        <f t="shared" ca="1" si="58"/>
        <v>0</v>
      </c>
      <c r="AW225" s="49">
        <f t="shared" ca="1" si="58"/>
        <v>0</v>
      </c>
      <c r="AX225" s="49">
        <f t="shared" ca="1" si="58"/>
        <v>0</v>
      </c>
      <c r="AY225" s="49">
        <f t="shared" ca="1" si="58"/>
        <v>0</v>
      </c>
      <c r="AZ225" s="49">
        <f t="shared" ca="1" si="58"/>
        <v>0</v>
      </c>
      <c r="BA225" s="49">
        <f t="shared" ca="1" si="58"/>
        <v>0</v>
      </c>
      <c r="BB225" s="49">
        <f t="shared" ca="1" si="58"/>
        <v>0</v>
      </c>
      <c r="BC225" s="49">
        <f t="shared" ca="1" si="58"/>
        <v>0</v>
      </c>
      <c r="BD225" s="49">
        <f t="shared" ca="1" si="58"/>
        <v>0</v>
      </c>
      <c r="BE225" s="49">
        <f t="shared" ca="1" si="58"/>
        <v>0</v>
      </c>
      <c r="BF225" s="49">
        <f t="shared" ca="1" si="58"/>
        <v>0</v>
      </c>
      <c r="BG225" s="49">
        <f t="shared" ca="1" si="58"/>
        <v>0</v>
      </c>
      <c r="BH225" s="49">
        <f t="shared" ca="1" si="58"/>
        <v>0</v>
      </c>
      <c r="BI225" s="49">
        <f t="shared" ca="1" si="58"/>
        <v>0</v>
      </c>
      <c r="BJ225" s="49">
        <f t="shared" ca="1" si="58"/>
        <v>0</v>
      </c>
      <c r="BK225" s="49">
        <f t="shared" ca="1" si="58"/>
        <v>0</v>
      </c>
      <c r="BL225" s="49">
        <f t="shared" ca="1" si="58"/>
        <v>0</v>
      </c>
      <c r="BM225" s="49">
        <f t="shared" ca="1" si="58"/>
        <v>0</v>
      </c>
      <c r="BN225" s="49">
        <f t="shared" ca="1" si="58"/>
        <v>0</v>
      </c>
      <c r="BO225" s="49">
        <f t="shared" ca="1" si="58"/>
        <v>0</v>
      </c>
      <c r="BP225" s="49">
        <f t="shared" ca="1" si="58"/>
        <v>0</v>
      </c>
      <c r="BQ225" s="49">
        <f t="shared" ca="1" si="58"/>
        <v>0</v>
      </c>
      <c r="BR225" s="49">
        <f t="shared" ca="1" si="58"/>
        <v>0</v>
      </c>
      <c r="BS225" s="49">
        <f t="shared" ca="1" si="58"/>
        <v>0</v>
      </c>
    </row>
    <row r="226" spans="3:71" outlineLevel="1" x14ac:dyDescent="0.2">
      <c r="D226" t="s">
        <v>215</v>
      </c>
      <c r="I226" s="30">
        <f t="shared" ca="1" si="55"/>
        <v>0</v>
      </c>
      <c r="J226" s="26" t="s">
        <v>148</v>
      </c>
      <c r="K226" s="7" t="s">
        <v>216</v>
      </c>
      <c r="L226" s="49">
        <f t="shared" ref="L226:BS226" ca="1" si="59">CA_excess_cost_recovery-CA_excess_CR_cont</f>
        <v>0</v>
      </c>
      <c r="M226" s="49">
        <f t="shared" ca="1" si="59"/>
        <v>0</v>
      </c>
      <c r="N226" s="49">
        <f t="shared" ca="1" si="59"/>
        <v>0</v>
      </c>
      <c r="O226" s="49">
        <f t="shared" ca="1" si="59"/>
        <v>0</v>
      </c>
      <c r="P226" s="49">
        <f t="shared" ca="1" si="59"/>
        <v>0</v>
      </c>
      <c r="Q226" s="49">
        <f t="shared" ca="1" si="59"/>
        <v>0</v>
      </c>
      <c r="R226" s="49">
        <f t="shared" ca="1" si="59"/>
        <v>0</v>
      </c>
      <c r="S226" s="49">
        <f t="shared" ca="1" si="59"/>
        <v>0</v>
      </c>
      <c r="T226" s="49">
        <f t="shared" ca="1" si="59"/>
        <v>0</v>
      </c>
      <c r="U226" s="49">
        <f t="shared" ca="1" si="59"/>
        <v>0</v>
      </c>
      <c r="V226" s="49">
        <f t="shared" ca="1" si="59"/>
        <v>0</v>
      </c>
      <c r="W226" s="49">
        <f t="shared" ca="1" si="59"/>
        <v>0</v>
      </c>
      <c r="X226" s="49">
        <f t="shared" ca="1" si="59"/>
        <v>0</v>
      </c>
      <c r="Y226" s="49">
        <f t="shared" ca="1" si="59"/>
        <v>0</v>
      </c>
      <c r="Z226" s="49">
        <f t="shared" ca="1" si="59"/>
        <v>0</v>
      </c>
      <c r="AA226" s="49">
        <f t="shared" ca="1" si="59"/>
        <v>0</v>
      </c>
      <c r="AB226" s="49">
        <f t="shared" ca="1" si="59"/>
        <v>0</v>
      </c>
      <c r="AC226" s="49">
        <f t="shared" ca="1" si="59"/>
        <v>0</v>
      </c>
      <c r="AD226" s="49">
        <f t="shared" ca="1" si="59"/>
        <v>0</v>
      </c>
      <c r="AE226" s="49">
        <f t="shared" ca="1" si="59"/>
        <v>0</v>
      </c>
      <c r="AF226" s="49">
        <f t="shared" ca="1" si="59"/>
        <v>0</v>
      </c>
      <c r="AG226" s="49">
        <f t="shared" ca="1" si="59"/>
        <v>0</v>
      </c>
      <c r="AH226" s="49">
        <f t="shared" ca="1" si="59"/>
        <v>0</v>
      </c>
      <c r="AI226" s="49">
        <f t="shared" ca="1" si="59"/>
        <v>0</v>
      </c>
      <c r="AJ226" s="49">
        <f t="shared" ca="1" si="59"/>
        <v>0</v>
      </c>
      <c r="AK226" s="49">
        <f t="shared" ca="1" si="59"/>
        <v>0</v>
      </c>
      <c r="AL226" s="49">
        <f t="shared" ca="1" si="59"/>
        <v>0</v>
      </c>
      <c r="AM226" s="49">
        <f t="shared" ca="1" si="59"/>
        <v>0</v>
      </c>
      <c r="AN226" s="49">
        <f t="shared" ca="1" si="59"/>
        <v>0</v>
      </c>
      <c r="AO226" s="49">
        <f t="shared" ca="1" si="59"/>
        <v>0</v>
      </c>
      <c r="AP226" s="49">
        <f t="shared" ca="1" si="59"/>
        <v>0</v>
      </c>
      <c r="AQ226" s="49">
        <f t="shared" ca="1" si="59"/>
        <v>0</v>
      </c>
      <c r="AR226" s="49">
        <f t="shared" ca="1" si="59"/>
        <v>0</v>
      </c>
      <c r="AS226" s="49">
        <f t="shared" ca="1" si="59"/>
        <v>0</v>
      </c>
      <c r="AT226" s="49">
        <f t="shared" ca="1" si="59"/>
        <v>0</v>
      </c>
      <c r="AU226" s="49">
        <f t="shared" ca="1" si="59"/>
        <v>0</v>
      </c>
      <c r="AV226" s="49">
        <f t="shared" ca="1" si="59"/>
        <v>0</v>
      </c>
      <c r="AW226" s="49">
        <f t="shared" ca="1" si="59"/>
        <v>0</v>
      </c>
      <c r="AX226" s="49">
        <f t="shared" ca="1" si="59"/>
        <v>0</v>
      </c>
      <c r="AY226" s="49">
        <f t="shared" ca="1" si="59"/>
        <v>0</v>
      </c>
      <c r="AZ226" s="49">
        <f t="shared" ca="1" si="59"/>
        <v>0</v>
      </c>
      <c r="BA226" s="49">
        <f t="shared" ca="1" si="59"/>
        <v>0</v>
      </c>
      <c r="BB226" s="49">
        <f t="shared" ca="1" si="59"/>
        <v>0</v>
      </c>
      <c r="BC226" s="49">
        <f t="shared" ca="1" si="59"/>
        <v>0</v>
      </c>
      <c r="BD226" s="49">
        <f t="shared" ca="1" si="59"/>
        <v>0</v>
      </c>
      <c r="BE226" s="49">
        <f t="shared" ca="1" si="59"/>
        <v>0</v>
      </c>
      <c r="BF226" s="49">
        <f t="shared" ca="1" si="59"/>
        <v>0</v>
      </c>
      <c r="BG226" s="49">
        <f t="shared" ca="1" si="59"/>
        <v>0</v>
      </c>
      <c r="BH226" s="49">
        <f t="shared" ca="1" si="59"/>
        <v>0</v>
      </c>
      <c r="BI226" s="49">
        <f t="shared" ca="1" si="59"/>
        <v>0</v>
      </c>
      <c r="BJ226" s="49">
        <f t="shared" ca="1" si="59"/>
        <v>0</v>
      </c>
      <c r="BK226" s="49">
        <f t="shared" ca="1" si="59"/>
        <v>0</v>
      </c>
      <c r="BL226" s="49">
        <f t="shared" ca="1" si="59"/>
        <v>0</v>
      </c>
      <c r="BM226" s="49">
        <f t="shared" ca="1" si="59"/>
        <v>0</v>
      </c>
      <c r="BN226" s="49">
        <f t="shared" ca="1" si="59"/>
        <v>0</v>
      </c>
      <c r="BO226" s="49">
        <f t="shared" ca="1" si="59"/>
        <v>0</v>
      </c>
      <c r="BP226" s="49">
        <f t="shared" ca="1" si="59"/>
        <v>0</v>
      </c>
      <c r="BQ226" s="49">
        <f t="shared" ca="1" si="59"/>
        <v>0</v>
      </c>
      <c r="BR226" s="49">
        <f t="shared" ca="1" si="59"/>
        <v>0</v>
      </c>
      <c r="BS226" s="49">
        <f t="shared" ca="1" si="59"/>
        <v>0</v>
      </c>
    </row>
    <row r="227" spans="3:71" outlineLevel="1" x14ac:dyDescent="0.2">
      <c r="J227" s="26"/>
      <c r="L227" s="55"/>
      <c r="M227" s="55"/>
      <c r="N227" s="55"/>
      <c r="O227" s="55"/>
      <c r="P227" s="55"/>
      <c r="Q227" s="55"/>
      <c r="R227" s="55"/>
      <c r="S227" s="55"/>
      <c r="T227" s="55"/>
      <c r="U227" s="55"/>
      <c r="V227" s="55"/>
      <c r="W227" s="55"/>
      <c r="X227" s="55"/>
      <c r="Y227" s="55"/>
      <c r="Z227" s="55"/>
      <c r="AA227" s="55"/>
      <c r="AB227" s="55"/>
      <c r="AC227" s="55"/>
      <c r="AD227" s="55"/>
      <c r="AE227" s="55"/>
      <c r="AF227" s="55"/>
      <c r="AG227" s="55"/>
      <c r="AH227" s="55"/>
      <c r="AI227" s="55"/>
      <c r="AJ227" s="55"/>
      <c r="AK227" s="55"/>
      <c r="AL227" s="55"/>
      <c r="AM227" s="55"/>
      <c r="AN227" s="55"/>
      <c r="AO227" s="55"/>
      <c r="AP227" s="55"/>
      <c r="AQ227" s="55"/>
      <c r="AR227" s="55"/>
      <c r="AS227" s="55"/>
      <c r="AT227" s="55"/>
      <c r="AU227" s="55"/>
      <c r="AV227" s="55"/>
      <c r="AW227" s="55"/>
      <c r="AX227" s="55"/>
      <c r="AY227" s="55"/>
      <c r="AZ227" s="55"/>
      <c r="BA227" s="55"/>
      <c r="BB227" s="55"/>
      <c r="BC227" s="55"/>
      <c r="BD227" s="55"/>
      <c r="BE227" s="55"/>
      <c r="BF227" s="55"/>
      <c r="BG227" s="55"/>
      <c r="BH227" s="55"/>
      <c r="BI227" s="55"/>
      <c r="BJ227" s="55"/>
      <c r="BK227" s="55"/>
      <c r="BL227" s="55"/>
      <c r="BM227" s="55"/>
      <c r="BN227" s="55"/>
      <c r="BO227" s="55"/>
      <c r="BP227" s="55"/>
      <c r="BQ227" s="55"/>
      <c r="BR227" s="55"/>
      <c r="BS227" s="55"/>
    </row>
    <row r="228" spans="3:71" outlineLevel="1" x14ac:dyDescent="0.2">
      <c r="J228" s="26"/>
      <c r="L228" s="55"/>
      <c r="M228" s="55"/>
      <c r="N228" s="55"/>
      <c r="O228" s="55"/>
      <c r="P228" s="55"/>
      <c r="Q228" s="55"/>
      <c r="R228" s="55"/>
      <c r="S228" s="55"/>
      <c r="T228" s="55"/>
      <c r="U228" s="55"/>
      <c r="V228" s="55"/>
      <c r="W228" s="55"/>
      <c r="X228" s="55"/>
      <c r="Y228" s="55"/>
      <c r="Z228" s="55"/>
      <c r="AA228" s="55"/>
      <c r="AB228" s="55"/>
      <c r="AC228" s="55"/>
      <c r="AD228" s="55"/>
      <c r="AE228" s="55"/>
      <c r="AF228" s="55"/>
      <c r="AG228" s="55"/>
      <c r="AH228" s="55"/>
      <c r="AI228" s="55"/>
      <c r="AJ228" s="55"/>
      <c r="AK228" s="55"/>
      <c r="AL228" s="55"/>
      <c r="AM228" s="55"/>
      <c r="AN228" s="55"/>
      <c r="AO228" s="55"/>
      <c r="AP228" s="55"/>
      <c r="AQ228" s="55"/>
      <c r="AR228" s="55"/>
      <c r="AS228" s="55"/>
      <c r="AT228" s="55"/>
      <c r="AU228" s="55"/>
      <c r="AV228" s="55"/>
      <c r="AW228" s="55"/>
      <c r="AX228" s="55"/>
      <c r="AY228" s="55"/>
      <c r="AZ228" s="55"/>
      <c r="BA228" s="55"/>
      <c r="BB228" s="55"/>
      <c r="BC228" s="55"/>
      <c r="BD228" s="55"/>
      <c r="BE228" s="55"/>
      <c r="BF228" s="55"/>
      <c r="BG228" s="55"/>
      <c r="BH228" s="55"/>
      <c r="BI228" s="55"/>
      <c r="BJ228" s="55"/>
      <c r="BK228" s="55"/>
      <c r="BL228" s="55"/>
      <c r="BM228" s="55"/>
      <c r="BN228" s="55"/>
      <c r="BO228" s="55"/>
      <c r="BP228" s="55"/>
      <c r="BQ228" s="55"/>
      <c r="BR228" s="55"/>
      <c r="BS228" s="55"/>
    </row>
    <row r="229" spans="3:71" outlineLevel="1" x14ac:dyDescent="0.2">
      <c r="C229" s="11" t="s">
        <v>98</v>
      </c>
      <c r="J229" s="26"/>
      <c r="L229" s="55"/>
      <c r="M229" s="55"/>
      <c r="N229" s="55"/>
      <c r="O229" s="55"/>
      <c r="P229" s="55"/>
      <c r="Q229" s="55"/>
      <c r="R229" s="55"/>
      <c r="S229" s="55"/>
      <c r="T229" s="55"/>
      <c r="U229" s="55"/>
      <c r="V229" s="55"/>
      <c r="W229" s="55"/>
      <c r="X229" s="55"/>
      <c r="Y229" s="55"/>
      <c r="Z229" s="55"/>
      <c r="AA229" s="55"/>
      <c r="AB229" s="55"/>
      <c r="AC229" s="55"/>
      <c r="AD229" s="55"/>
      <c r="AE229" s="55"/>
      <c r="AF229" s="55"/>
      <c r="AG229" s="55"/>
      <c r="AH229" s="55"/>
      <c r="AI229" s="55"/>
      <c r="AJ229" s="55"/>
      <c r="AK229" s="55"/>
      <c r="AL229" s="55"/>
      <c r="AM229" s="55"/>
      <c r="AN229" s="55"/>
      <c r="AO229" s="55"/>
      <c r="AP229" s="55"/>
      <c r="AQ229" s="55"/>
      <c r="AR229" s="55"/>
      <c r="AS229" s="55"/>
      <c r="AT229" s="55"/>
      <c r="AU229" s="55"/>
      <c r="AV229" s="55"/>
      <c r="AW229" s="55"/>
      <c r="AX229" s="55"/>
      <c r="AY229" s="55"/>
      <c r="AZ229" s="55"/>
      <c r="BA229" s="55"/>
      <c r="BB229" s="55"/>
      <c r="BC229" s="55"/>
      <c r="BD229" s="55"/>
      <c r="BE229" s="55"/>
      <c r="BF229" s="55"/>
      <c r="BG229" s="55"/>
      <c r="BH229" s="55"/>
      <c r="BI229" s="55"/>
      <c r="BJ229" s="55"/>
      <c r="BK229" s="55"/>
      <c r="BL229" s="55"/>
      <c r="BM229" s="55"/>
      <c r="BN229" s="55"/>
      <c r="BO229" s="55"/>
      <c r="BP229" s="55"/>
      <c r="BQ229" s="55"/>
      <c r="BR229" s="55"/>
      <c r="BS229" s="55"/>
    </row>
    <row r="230" spans="3:71" outlineLevel="1" x14ac:dyDescent="0.2">
      <c r="J230" s="26"/>
      <c r="L230" s="55"/>
      <c r="M230" s="55"/>
      <c r="N230" s="55"/>
      <c r="O230" s="55"/>
      <c r="P230" s="55"/>
      <c r="Q230" s="55"/>
      <c r="R230" s="55"/>
      <c r="S230" s="55"/>
      <c r="T230" s="55"/>
      <c r="U230" s="55"/>
      <c r="V230" s="55"/>
      <c r="W230" s="55"/>
      <c r="X230" s="55"/>
      <c r="Y230" s="55"/>
      <c r="Z230" s="55"/>
      <c r="AA230" s="55"/>
      <c r="AB230" s="55"/>
      <c r="AC230" s="55"/>
      <c r="AD230" s="55"/>
      <c r="AE230" s="55"/>
      <c r="AF230" s="55"/>
      <c r="AG230" s="55"/>
      <c r="AH230" s="55"/>
      <c r="AI230" s="55"/>
      <c r="AJ230" s="55"/>
      <c r="AK230" s="55"/>
      <c r="AL230" s="55"/>
      <c r="AM230" s="55"/>
      <c r="AN230" s="55"/>
      <c r="AO230" s="55"/>
      <c r="AP230" s="55"/>
      <c r="AQ230" s="55"/>
      <c r="AR230" s="55"/>
      <c r="AS230" s="55"/>
      <c r="AT230" s="55"/>
      <c r="AU230" s="55"/>
      <c r="AV230" s="55"/>
      <c r="AW230" s="55"/>
      <c r="AX230" s="55"/>
      <c r="AY230" s="55"/>
      <c r="AZ230" s="55"/>
      <c r="BA230" s="55"/>
      <c r="BB230" s="55"/>
      <c r="BC230" s="55"/>
      <c r="BD230" s="55"/>
      <c r="BE230" s="55"/>
      <c r="BF230" s="55"/>
      <c r="BG230" s="55"/>
      <c r="BH230" s="55"/>
      <c r="BI230" s="55"/>
      <c r="BJ230" s="55"/>
      <c r="BK230" s="55"/>
      <c r="BL230" s="55"/>
      <c r="BM230" s="55"/>
      <c r="BN230" s="55"/>
      <c r="BO230" s="55"/>
      <c r="BP230" s="55"/>
      <c r="BQ230" s="55"/>
      <c r="BR230" s="55"/>
      <c r="BS230" s="55"/>
    </row>
    <row r="231" spans="3:71" outlineLevel="1" x14ac:dyDescent="0.2">
      <c r="D231" s="35" t="s">
        <v>217</v>
      </c>
      <c r="J231" s="26"/>
      <c r="K231" s="7" t="s">
        <v>219</v>
      </c>
      <c r="L231" s="49">
        <f ca="1">1*AND(Haute_Mer_1994!CA_gross_rev_total_fp&gt;Haute_Mer_1994!CA_gross_rev_oil_hp,CA_op_trig=1)</f>
        <v>1</v>
      </c>
      <c r="M231" s="49">
        <f ca="1">1*AND(Haute_Mer_1994!CA_gross_rev_total_fp&gt;Haute_Mer_1994!CA_gross_rev_oil_hp,CA_op_trig=1)</f>
        <v>1</v>
      </c>
      <c r="N231" s="49">
        <f ca="1">1*AND(Haute_Mer_1994!CA_gross_rev_total_fp&gt;Haute_Mer_1994!CA_gross_rev_oil_hp,CA_op_trig=1)</f>
        <v>1</v>
      </c>
      <c r="O231" s="49">
        <f ca="1">1*AND(Haute_Mer_1994!CA_gross_rev_total_fp&gt;Haute_Mer_1994!CA_gross_rev_oil_hp,CA_op_trig=1)</f>
        <v>1</v>
      </c>
      <c r="P231" s="49">
        <f ca="1">1*AND(Haute_Mer_1994!CA_gross_rev_total_fp&gt;Haute_Mer_1994!CA_gross_rev_oil_hp,CA_op_trig=1)</f>
        <v>1</v>
      </c>
      <c r="Q231" s="49">
        <f ca="1">1*AND(Haute_Mer_1994!CA_gross_rev_total_fp&gt;Haute_Mer_1994!CA_gross_rev_oil_hp,CA_op_trig=1)</f>
        <v>1</v>
      </c>
      <c r="R231" s="49">
        <f ca="1">1*AND(Haute_Mer_1994!CA_gross_rev_total_fp&gt;Haute_Mer_1994!CA_gross_rev_oil_hp,CA_op_trig=1)</f>
        <v>1</v>
      </c>
      <c r="S231" s="49">
        <f ca="1">1*AND(Haute_Mer_1994!CA_gross_rev_total_fp&gt;Haute_Mer_1994!CA_gross_rev_oil_hp,CA_op_trig=1)</f>
        <v>1</v>
      </c>
      <c r="T231" s="49">
        <f ca="1">1*AND(Haute_Mer_1994!CA_gross_rev_total_fp&gt;Haute_Mer_1994!CA_gross_rev_oil_hp,CA_op_trig=1)</f>
        <v>1</v>
      </c>
      <c r="U231" s="49">
        <f ca="1">1*AND(Haute_Mer_1994!CA_gross_rev_total_fp&gt;Haute_Mer_1994!CA_gross_rev_oil_hp,CA_op_trig=1)</f>
        <v>1</v>
      </c>
      <c r="V231" s="49">
        <f ca="1">1*AND(Haute_Mer_1994!CA_gross_rev_total_fp&gt;Haute_Mer_1994!CA_gross_rev_oil_hp,CA_op_trig=1)</f>
        <v>1</v>
      </c>
      <c r="W231" s="49">
        <f ca="1">1*AND(Haute_Mer_1994!CA_gross_rev_total_fp&gt;Haute_Mer_1994!CA_gross_rev_oil_hp,CA_op_trig=1)</f>
        <v>1</v>
      </c>
      <c r="X231" s="49">
        <f ca="1">1*AND(Haute_Mer_1994!CA_gross_rev_total_fp&gt;Haute_Mer_1994!CA_gross_rev_oil_hp,CA_op_trig=1)</f>
        <v>1</v>
      </c>
      <c r="Y231" s="49">
        <f ca="1">1*AND(Haute_Mer_1994!CA_gross_rev_total_fp&gt;Haute_Mer_1994!CA_gross_rev_oil_hp,CA_op_trig=1)</f>
        <v>0</v>
      </c>
      <c r="Z231" s="49">
        <f ca="1">1*AND(Haute_Mer_1994!CA_gross_rev_total_fp&gt;Haute_Mer_1994!CA_gross_rev_oil_hp,CA_op_trig=1)</f>
        <v>0</v>
      </c>
      <c r="AA231" s="49">
        <f ca="1">1*AND(Haute_Mer_1994!CA_gross_rev_total_fp&gt;Haute_Mer_1994!CA_gross_rev_oil_hp,CA_op_trig=1)</f>
        <v>0</v>
      </c>
      <c r="AB231" s="49">
        <f ca="1">1*AND(Haute_Mer_1994!CA_gross_rev_total_fp&gt;Haute_Mer_1994!CA_gross_rev_oil_hp,CA_op_trig=1)</f>
        <v>0</v>
      </c>
      <c r="AC231" s="49">
        <f ca="1">1*AND(Haute_Mer_1994!CA_gross_rev_total_fp&gt;Haute_Mer_1994!CA_gross_rev_oil_hp,CA_op_trig=1)</f>
        <v>0</v>
      </c>
      <c r="AD231" s="49">
        <f ca="1">1*AND(Haute_Mer_1994!CA_gross_rev_total_fp&gt;Haute_Mer_1994!CA_gross_rev_oil_hp,CA_op_trig=1)</f>
        <v>0</v>
      </c>
      <c r="AE231" s="49">
        <f ca="1">1*AND(Haute_Mer_1994!CA_gross_rev_total_fp&gt;Haute_Mer_1994!CA_gross_rev_oil_hp,CA_op_trig=1)</f>
        <v>0</v>
      </c>
      <c r="AF231" s="49">
        <f ca="1">1*AND(Haute_Mer_1994!CA_gross_rev_total_fp&gt;Haute_Mer_1994!CA_gross_rev_oil_hp,CA_op_trig=1)</f>
        <v>0</v>
      </c>
      <c r="AG231" s="49">
        <f ca="1">1*AND(Haute_Mer_1994!CA_gross_rev_total_fp&gt;Haute_Mer_1994!CA_gross_rev_oil_hp,CA_op_trig=1)</f>
        <v>0</v>
      </c>
      <c r="AH231" s="49">
        <f ca="1">1*AND(Haute_Mer_1994!CA_gross_rev_total_fp&gt;Haute_Mer_1994!CA_gross_rev_oil_hp,CA_op_trig=1)</f>
        <v>0</v>
      </c>
      <c r="AI231" s="49">
        <f ca="1">1*AND(Haute_Mer_1994!CA_gross_rev_total_fp&gt;Haute_Mer_1994!CA_gross_rev_oil_hp,CA_op_trig=1)</f>
        <v>0</v>
      </c>
      <c r="AJ231" s="49">
        <f ca="1">1*AND(Haute_Mer_1994!CA_gross_rev_total_fp&gt;Haute_Mer_1994!CA_gross_rev_oil_hp,CA_op_trig=1)</f>
        <v>0</v>
      </c>
      <c r="AK231" s="49">
        <f ca="1">1*AND(Haute_Mer_1994!CA_gross_rev_total_fp&gt;Haute_Mer_1994!CA_gross_rev_oil_hp,CA_op_trig=1)</f>
        <v>0</v>
      </c>
      <c r="AL231" s="49">
        <f ca="1">1*AND(Haute_Mer_1994!CA_gross_rev_total_fp&gt;Haute_Mer_1994!CA_gross_rev_oil_hp,CA_op_trig=1)</f>
        <v>0</v>
      </c>
      <c r="AM231" s="49">
        <f ca="1">1*AND(Haute_Mer_1994!CA_gross_rev_total_fp&gt;Haute_Mer_1994!CA_gross_rev_oil_hp,CA_op_trig=1)</f>
        <v>0</v>
      </c>
      <c r="AN231" s="49">
        <f ca="1">1*AND(Haute_Mer_1994!CA_gross_rev_total_fp&gt;Haute_Mer_1994!CA_gross_rev_oil_hp,CA_op_trig=1)</f>
        <v>0</v>
      </c>
      <c r="AO231" s="49">
        <f ca="1">1*AND(Haute_Mer_1994!CA_gross_rev_total_fp&gt;Haute_Mer_1994!CA_gross_rev_oil_hp,CA_op_trig=1)</f>
        <v>0</v>
      </c>
      <c r="AP231" s="49">
        <f ca="1">1*AND(Haute_Mer_1994!CA_gross_rev_total_fp&gt;Haute_Mer_1994!CA_gross_rev_oil_hp,CA_op_trig=1)</f>
        <v>0</v>
      </c>
      <c r="AQ231" s="49">
        <f ca="1">1*AND(Haute_Mer_1994!CA_gross_rev_total_fp&gt;Haute_Mer_1994!CA_gross_rev_oil_hp,CA_op_trig=1)</f>
        <v>0</v>
      </c>
      <c r="AR231" s="49">
        <f ca="1">1*AND(Haute_Mer_1994!CA_gross_rev_total_fp&gt;Haute_Mer_1994!CA_gross_rev_oil_hp,CA_op_trig=1)</f>
        <v>0</v>
      </c>
      <c r="AS231" s="49">
        <f ca="1">1*AND(Haute_Mer_1994!CA_gross_rev_total_fp&gt;Haute_Mer_1994!CA_gross_rev_oil_hp,CA_op_trig=1)</f>
        <v>0</v>
      </c>
      <c r="AT231" s="49">
        <f ca="1">1*AND(Haute_Mer_1994!CA_gross_rev_total_fp&gt;Haute_Mer_1994!CA_gross_rev_oil_hp,CA_op_trig=1)</f>
        <v>0</v>
      </c>
      <c r="AU231" s="49">
        <f ca="1">1*AND(Haute_Mer_1994!CA_gross_rev_total_fp&gt;Haute_Mer_1994!CA_gross_rev_oil_hp,CA_op_trig=1)</f>
        <v>0</v>
      </c>
      <c r="AV231" s="49">
        <f ca="1">1*AND(Haute_Mer_1994!CA_gross_rev_total_fp&gt;Haute_Mer_1994!CA_gross_rev_oil_hp,CA_op_trig=1)</f>
        <v>0</v>
      </c>
      <c r="AW231" s="49">
        <f ca="1">1*AND(Haute_Mer_1994!CA_gross_rev_total_fp&gt;Haute_Mer_1994!CA_gross_rev_oil_hp,CA_op_trig=1)</f>
        <v>0</v>
      </c>
      <c r="AX231" s="49">
        <f ca="1">1*AND(Haute_Mer_1994!CA_gross_rev_total_fp&gt;Haute_Mer_1994!CA_gross_rev_oil_hp,CA_op_trig=1)</f>
        <v>0</v>
      </c>
      <c r="AY231" s="49">
        <f ca="1">1*AND(Haute_Mer_1994!CA_gross_rev_total_fp&gt;Haute_Mer_1994!CA_gross_rev_oil_hp,CA_op_trig=1)</f>
        <v>0</v>
      </c>
      <c r="AZ231" s="49">
        <f ca="1">1*AND(Haute_Mer_1994!CA_gross_rev_total_fp&gt;Haute_Mer_1994!CA_gross_rev_oil_hp,CA_op_trig=1)</f>
        <v>0</v>
      </c>
      <c r="BA231" s="49">
        <f ca="1">1*AND(Haute_Mer_1994!CA_gross_rev_total_fp&gt;Haute_Mer_1994!CA_gross_rev_oil_hp,CA_op_trig=1)</f>
        <v>0</v>
      </c>
      <c r="BB231" s="49">
        <f ca="1">1*AND(Haute_Mer_1994!CA_gross_rev_total_fp&gt;Haute_Mer_1994!CA_gross_rev_oil_hp,CA_op_trig=1)</f>
        <v>0</v>
      </c>
      <c r="BC231" s="49">
        <f ca="1">1*AND(Haute_Mer_1994!CA_gross_rev_total_fp&gt;Haute_Mer_1994!CA_gross_rev_oil_hp,CA_op_trig=1)</f>
        <v>0</v>
      </c>
      <c r="BD231" s="49">
        <f ca="1">1*AND(Haute_Mer_1994!CA_gross_rev_total_fp&gt;Haute_Mer_1994!CA_gross_rev_oil_hp,CA_op_trig=1)</f>
        <v>0</v>
      </c>
      <c r="BE231" s="49">
        <f ca="1">1*AND(Haute_Mer_1994!CA_gross_rev_total_fp&gt;Haute_Mer_1994!CA_gross_rev_oil_hp,CA_op_trig=1)</f>
        <v>0</v>
      </c>
      <c r="BF231" s="49">
        <f ca="1">1*AND(Haute_Mer_1994!CA_gross_rev_total_fp&gt;Haute_Mer_1994!CA_gross_rev_oil_hp,CA_op_trig=1)</f>
        <v>0</v>
      </c>
      <c r="BG231" s="49">
        <f ca="1">1*AND(Haute_Mer_1994!CA_gross_rev_total_fp&gt;Haute_Mer_1994!CA_gross_rev_oil_hp,CA_op_trig=1)</f>
        <v>0</v>
      </c>
      <c r="BH231" s="49">
        <f ca="1">1*AND(Haute_Mer_1994!CA_gross_rev_total_fp&gt;Haute_Mer_1994!CA_gross_rev_oil_hp,CA_op_trig=1)</f>
        <v>0</v>
      </c>
      <c r="BI231" s="49">
        <f ca="1">1*AND(Haute_Mer_1994!CA_gross_rev_total_fp&gt;Haute_Mer_1994!CA_gross_rev_oil_hp,CA_op_trig=1)</f>
        <v>0</v>
      </c>
      <c r="BJ231" s="49">
        <f ca="1">1*AND(Haute_Mer_1994!CA_gross_rev_total_fp&gt;Haute_Mer_1994!CA_gross_rev_oil_hp,CA_op_trig=1)</f>
        <v>0</v>
      </c>
      <c r="BK231" s="49">
        <f ca="1">1*AND(Haute_Mer_1994!CA_gross_rev_total_fp&gt;Haute_Mer_1994!CA_gross_rev_oil_hp,CA_op_trig=1)</f>
        <v>0</v>
      </c>
      <c r="BL231" s="49">
        <f ca="1">1*AND(Haute_Mer_1994!CA_gross_rev_total_fp&gt;Haute_Mer_1994!CA_gross_rev_oil_hp,CA_op_trig=1)</f>
        <v>0</v>
      </c>
      <c r="BM231" s="49">
        <f ca="1">1*AND(Haute_Mer_1994!CA_gross_rev_total_fp&gt;Haute_Mer_1994!CA_gross_rev_oil_hp,CA_op_trig=1)</f>
        <v>0</v>
      </c>
      <c r="BN231" s="49">
        <f ca="1">1*AND(Haute_Mer_1994!CA_gross_rev_total_fp&gt;Haute_Mer_1994!CA_gross_rev_oil_hp,CA_op_trig=1)</f>
        <v>0</v>
      </c>
      <c r="BO231" s="49">
        <f ca="1">1*AND(Haute_Mer_1994!CA_gross_rev_total_fp&gt;Haute_Mer_1994!CA_gross_rev_oil_hp,CA_op_trig=1)</f>
        <v>0</v>
      </c>
      <c r="BP231" s="49">
        <f ca="1">1*AND(Haute_Mer_1994!CA_gross_rev_total_fp&gt;Haute_Mer_1994!CA_gross_rev_oil_hp,CA_op_trig=1)</f>
        <v>0</v>
      </c>
      <c r="BQ231" s="49">
        <f ca="1">1*AND(Haute_Mer_1994!CA_gross_rev_total_fp&gt;Haute_Mer_1994!CA_gross_rev_oil_hp,CA_op_trig=1)</f>
        <v>0</v>
      </c>
      <c r="BR231" s="49">
        <f ca="1">1*AND(Haute_Mer_1994!CA_gross_rev_total_fp&gt;Haute_Mer_1994!CA_gross_rev_oil_hp,CA_op_trig=1)</f>
        <v>0</v>
      </c>
      <c r="BS231" s="49">
        <f ca="1">1*AND(Haute_Mer_1994!CA_gross_rev_total_fp&gt;Haute_Mer_1994!CA_gross_rev_oil_hp,CA_op_trig=1)</f>
        <v>0</v>
      </c>
    </row>
    <row r="232" spans="3:71" outlineLevel="1" x14ac:dyDescent="0.2">
      <c r="J232" s="26"/>
      <c r="L232" s="55"/>
      <c r="M232" s="55"/>
      <c r="N232" s="55"/>
      <c r="O232" s="55"/>
      <c r="P232" s="55"/>
      <c r="Q232" s="55"/>
      <c r="R232" s="55"/>
      <c r="S232" s="55"/>
      <c r="T232" s="55"/>
      <c r="U232" s="55"/>
      <c r="V232" s="55"/>
      <c r="W232" s="55"/>
      <c r="X232" s="55"/>
      <c r="Y232" s="55"/>
      <c r="Z232" s="55"/>
      <c r="AA232" s="55"/>
      <c r="AB232" s="55"/>
      <c r="AC232" s="55"/>
      <c r="AD232" s="55"/>
      <c r="AE232" s="55"/>
      <c r="AF232" s="55"/>
      <c r="AG232" s="55"/>
      <c r="AH232" s="55"/>
      <c r="AI232" s="55"/>
      <c r="AJ232" s="55"/>
      <c r="AK232" s="55"/>
      <c r="AL232" s="55"/>
      <c r="AM232" s="55"/>
      <c r="AN232" s="55"/>
      <c r="AO232" s="55"/>
      <c r="AP232" s="55"/>
      <c r="AQ232" s="55"/>
      <c r="AR232" s="55"/>
      <c r="AS232" s="55"/>
      <c r="AT232" s="55"/>
      <c r="AU232" s="55"/>
      <c r="AV232" s="55"/>
      <c r="AW232" s="55"/>
      <c r="AX232" s="55"/>
      <c r="AY232" s="55"/>
      <c r="AZ232" s="55"/>
      <c r="BA232" s="55"/>
      <c r="BB232" s="55"/>
      <c r="BC232" s="55"/>
      <c r="BD232" s="55"/>
      <c r="BE232" s="55"/>
      <c r="BF232" s="55"/>
      <c r="BG232" s="55"/>
      <c r="BH232" s="55"/>
      <c r="BI232" s="55"/>
      <c r="BJ232" s="55"/>
      <c r="BK232" s="55"/>
      <c r="BL232" s="55"/>
      <c r="BM232" s="55"/>
      <c r="BN232" s="55"/>
      <c r="BO232" s="55"/>
      <c r="BP232" s="55"/>
      <c r="BQ232" s="55"/>
      <c r="BR232" s="55"/>
      <c r="BS232" s="55"/>
    </row>
    <row r="233" spans="3:71" outlineLevel="1" x14ac:dyDescent="0.2">
      <c r="D233" t="s">
        <v>220</v>
      </c>
      <c r="I233" s="30">
        <f t="shared" ref="I233" ca="1" si="60">SUM($L233:$BS233)</f>
        <v>7749.4984617732034</v>
      </c>
      <c r="J233" s="26" t="s">
        <v>148</v>
      </c>
      <c r="L233" s="49">
        <f ca="1">Haute_Mer_1994!CA_gross_rev_oil_difference</f>
        <v>593.17514780620877</v>
      </c>
      <c r="M233" s="49">
        <f ca="1">Haute_Mer_1994!CA_gross_rev_oil_difference</f>
        <v>545.77955967857463</v>
      </c>
      <c r="N233" s="49">
        <f ca="1">Haute_Mer_1994!CA_gross_rev_oil_difference</f>
        <v>144.23160496235337</v>
      </c>
      <c r="O233" s="49">
        <f ca="1">Haute_Mer_1994!CA_gross_rev_oil_difference</f>
        <v>115.19686461294023</v>
      </c>
      <c r="P233" s="49">
        <f ca="1">Haute_Mer_1994!CA_gross_rev_oil_difference</f>
        <v>415.99069857410359</v>
      </c>
      <c r="Q233" s="49">
        <f ca="1">Haute_Mer_1994!CA_gross_rev_oil_difference</f>
        <v>943.18692594536196</v>
      </c>
      <c r="R233" s="49">
        <f ca="1">Haute_Mer_1994!CA_gross_rev_oil_difference</f>
        <v>874.18253226807133</v>
      </c>
      <c r="S233" s="49">
        <f ca="1">Haute_Mer_1994!CA_gross_rev_oil_difference</f>
        <v>351.08488731599999</v>
      </c>
      <c r="T233" s="49">
        <f ca="1">Haute_Mer_1994!CA_gross_rev_oil_difference</f>
        <v>786.54047311641591</v>
      </c>
      <c r="U233" s="49">
        <f ca="1">Haute_Mer_1994!CA_gross_rev_oil_difference</f>
        <v>804.46265037187197</v>
      </c>
      <c r="V233" s="49">
        <f ca="1">Haute_Mer_1994!CA_gross_rev_oil_difference</f>
        <v>763.11327014275764</v>
      </c>
      <c r="W233" s="49">
        <f ca="1">Haute_Mer_1994!CA_gross_rev_oil_difference</f>
        <v>725.87250627127582</v>
      </c>
      <c r="X233" s="49">
        <f ca="1">Haute_Mer_1994!CA_gross_rev_oil_difference</f>
        <v>686.68134070726842</v>
      </c>
      <c r="Y233" s="49">
        <f ca="1">Haute_Mer_1994!CA_gross_rev_oil_difference</f>
        <v>0</v>
      </c>
      <c r="Z233" s="49">
        <f ca="1">Haute_Mer_1994!CA_gross_rev_oil_difference</f>
        <v>0</v>
      </c>
      <c r="AA233" s="49">
        <f ca="1">Haute_Mer_1994!CA_gross_rev_oil_difference</f>
        <v>0</v>
      </c>
      <c r="AB233" s="49">
        <f ca="1">Haute_Mer_1994!CA_gross_rev_oil_difference</f>
        <v>0</v>
      </c>
      <c r="AC233" s="49">
        <f ca="1">Haute_Mer_1994!CA_gross_rev_oil_difference</f>
        <v>0</v>
      </c>
      <c r="AD233" s="49">
        <f ca="1">Haute_Mer_1994!CA_gross_rev_oil_difference</f>
        <v>0</v>
      </c>
      <c r="AE233" s="49">
        <f ca="1">Haute_Mer_1994!CA_gross_rev_oil_difference</f>
        <v>0</v>
      </c>
      <c r="AF233" s="49">
        <f ca="1">Haute_Mer_1994!CA_gross_rev_oil_difference</f>
        <v>0</v>
      </c>
      <c r="AG233" s="49">
        <f ca="1">Haute_Mer_1994!CA_gross_rev_oil_difference</f>
        <v>0</v>
      </c>
      <c r="AH233" s="49">
        <f ca="1">Haute_Mer_1994!CA_gross_rev_oil_difference</f>
        <v>0</v>
      </c>
      <c r="AI233" s="49">
        <f ca="1">Haute_Mer_1994!CA_gross_rev_oil_difference</f>
        <v>0</v>
      </c>
      <c r="AJ233" s="49">
        <f ca="1">Haute_Mer_1994!CA_gross_rev_oil_difference</f>
        <v>0</v>
      </c>
      <c r="AK233" s="49">
        <f ca="1">Haute_Mer_1994!CA_gross_rev_oil_difference</f>
        <v>0</v>
      </c>
      <c r="AL233" s="49">
        <f ca="1">Haute_Mer_1994!CA_gross_rev_oil_difference</f>
        <v>0</v>
      </c>
      <c r="AM233" s="49">
        <f ca="1">Haute_Mer_1994!CA_gross_rev_oil_difference</f>
        <v>0</v>
      </c>
      <c r="AN233" s="49">
        <f ca="1">Haute_Mer_1994!CA_gross_rev_oil_difference</f>
        <v>0</v>
      </c>
      <c r="AO233" s="49">
        <f ca="1">Haute_Mer_1994!CA_gross_rev_oil_difference</f>
        <v>0</v>
      </c>
      <c r="AP233" s="49">
        <f ca="1">Haute_Mer_1994!CA_gross_rev_oil_difference</f>
        <v>0</v>
      </c>
      <c r="AQ233" s="49">
        <f ca="1">Haute_Mer_1994!CA_gross_rev_oil_difference</f>
        <v>0</v>
      </c>
      <c r="AR233" s="49">
        <f ca="1">Haute_Mer_1994!CA_gross_rev_oil_difference</f>
        <v>0</v>
      </c>
      <c r="AS233" s="49">
        <f ca="1">Haute_Mer_1994!CA_gross_rev_oil_difference</f>
        <v>0</v>
      </c>
      <c r="AT233" s="49">
        <f ca="1">Haute_Mer_1994!CA_gross_rev_oil_difference</f>
        <v>0</v>
      </c>
      <c r="AU233" s="49">
        <f ca="1">Haute_Mer_1994!CA_gross_rev_oil_difference</f>
        <v>0</v>
      </c>
      <c r="AV233" s="49">
        <f ca="1">Haute_Mer_1994!CA_gross_rev_oil_difference</f>
        <v>0</v>
      </c>
      <c r="AW233" s="49">
        <f ca="1">Haute_Mer_1994!CA_gross_rev_oil_difference</f>
        <v>0</v>
      </c>
      <c r="AX233" s="49">
        <f ca="1">Haute_Mer_1994!CA_gross_rev_oil_difference</f>
        <v>0</v>
      </c>
      <c r="AY233" s="49">
        <f ca="1">Haute_Mer_1994!CA_gross_rev_oil_difference</f>
        <v>0</v>
      </c>
      <c r="AZ233" s="49">
        <f ca="1">Haute_Mer_1994!CA_gross_rev_oil_difference</f>
        <v>0</v>
      </c>
      <c r="BA233" s="49">
        <f ca="1">Haute_Mer_1994!CA_gross_rev_oil_difference</f>
        <v>0</v>
      </c>
      <c r="BB233" s="49">
        <f ca="1">Haute_Mer_1994!CA_gross_rev_oil_difference</f>
        <v>0</v>
      </c>
      <c r="BC233" s="49">
        <f ca="1">Haute_Mer_1994!CA_gross_rev_oil_difference</f>
        <v>0</v>
      </c>
      <c r="BD233" s="49">
        <f ca="1">Haute_Mer_1994!CA_gross_rev_oil_difference</f>
        <v>0</v>
      </c>
      <c r="BE233" s="49">
        <f ca="1">Haute_Mer_1994!CA_gross_rev_oil_difference</f>
        <v>0</v>
      </c>
      <c r="BF233" s="49">
        <f ca="1">Haute_Mer_1994!CA_gross_rev_oil_difference</f>
        <v>0</v>
      </c>
      <c r="BG233" s="49">
        <f ca="1">Haute_Mer_1994!CA_gross_rev_oil_difference</f>
        <v>0</v>
      </c>
      <c r="BH233" s="49">
        <f ca="1">Haute_Mer_1994!CA_gross_rev_oil_difference</f>
        <v>0</v>
      </c>
      <c r="BI233" s="49">
        <f ca="1">Haute_Mer_1994!CA_gross_rev_oil_difference</f>
        <v>0</v>
      </c>
      <c r="BJ233" s="49">
        <f ca="1">Haute_Mer_1994!CA_gross_rev_oil_difference</f>
        <v>0</v>
      </c>
      <c r="BK233" s="49">
        <f ca="1">Haute_Mer_1994!CA_gross_rev_oil_difference</f>
        <v>0</v>
      </c>
      <c r="BL233" s="49">
        <f ca="1">Haute_Mer_1994!CA_gross_rev_oil_difference</f>
        <v>0</v>
      </c>
      <c r="BM233" s="49">
        <f ca="1">Haute_Mer_1994!CA_gross_rev_oil_difference</f>
        <v>0</v>
      </c>
      <c r="BN233" s="49">
        <f ca="1">Haute_Mer_1994!CA_gross_rev_oil_difference</f>
        <v>0</v>
      </c>
      <c r="BO233" s="49">
        <f ca="1">Haute_Mer_1994!CA_gross_rev_oil_difference</f>
        <v>0</v>
      </c>
      <c r="BP233" s="49">
        <f ca="1">Haute_Mer_1994!CA_gross_rev_oil_difference</f>
        <v>0</v>
      </c>
      <c r="BQ233" s="49">
        <f ca="1">Haute_Mer_1994!CA_gross_rev_oil_difference</f>
        <v>0</v>
      </c>
      <c r="BR233" s="49">
        <f ca="1">Haute_Mer_1994!CA_gross_rev_oil_difference</f>
        <v>0</v>
      </c>
      <c r="BS233" s="49">
        <f ca="1">Haute_Mer_1994!CA_gross_rev_oil_difference</f>
        <v>0</v>
      </c>
    </row>
    <row r="234" spans="3:71" outlineLevel="1" x14ac:dyDescent="0.2">
      <c r="J234" s="26"/>
      <c r="L234" s="55"/>
      <c r="M234" s="55"/>
      <c r="N234" s="55"/>
      <c r="O234" s="55"/>
      <c r="P234" s="55"/>
      <c r="Q234" s="55"/>
      <c r="R234" s="55"/>
      <c r="S234" s="55"/>
      <c r="T234" s="55"/>
      <c r="U234" s="55"/>
      <c r="V234" s="55"/>
      <c r="W234" s="55"/>
      <c r="X234" s="55"/>
      <c r="Y234" s="55"/>
      <c r="Z234" s="55"/>
      <c r="AA234" s="55"/>
      <c r="AB234" s="55"/>
      <c r="AC234" s="55"/>
      <c r="AD234" s="55"/>
      <c r="AE234" s="55"/>
      <c r="AF234" s="55"/>
      <c r="AG234" s="55"/>
      <c r="AH234" s="55"/>
      <c r="AI234" s="55"/>
      <c r="AJ234" s="55"/>
      <c r="AK234" s="55"/>
      <c r="AL234" s="55"/>
      <c r="AM234" s="55"/>
      <c r="AN234" s="55"/>
      <c r="AO234" s="55"/>
      <c r="AP234" s="55"/>
      <c r="AQ234" s="55"/>
      <c r="AR234" s="55"/>
      <c r="AS234" s="55"/>
      <c r="AT234" s="55"/>
      <c r="AU234" s="55"/>
      <c r="AV234" s="55"/>
      <c r="AW234" s="55"/>
      <c r="AX234" s="55"/>
      <c r="AY234" s="55"/>
      <c r="AZ234" s="55"/>
      <c r="BA234" s="55"/>
      <c r="BB234" s="55"/>
      <c r="BC234" s="55"/>
      <c r="BD234" s="55"/>
      <c r="BE234" s="55"/>
      <c r="BF234" s="55"/>
      <c r="BG234" s="55"/>
      <c r="BH234" s="55"/>
      <c r="BI234" s="55"/>
      <c r="BJ234" s="55"/>
      <c r="BK234" s="55"/>
      <c r="BL234" s="55"/>
      <c r="BM234" s="55"/>
      <c r="BN234" s="55"/>
      <c r="BO234" s="55"/>
      <c r="BP234" s="55"/>
      <c r="BQ234" s="55"/>
      <c r="BR234" s="55"/>
      <c r="BS234" s="55"/>
    </row>
    <row r="235" spans="3:71" outlineLevel="1" x14ac:dyDescent="0.2">
      <c r="D235" t="s">
        <v>218</v>
      </c>
      <c r="I235" s="30">
        <f t="shared" ref="I235:I237" ca="1" si="61">SUM($L235:$BS235)</f>
        <v>929.93981541278436</v>
      </c>
      <c r="J235" s="26" t="s">
        <v>148</v>
      </c>
      <c r="L235" s="49">
        <f t="shared" ref="L235:AQ235" ca="1" si="62">(CA_gross_rev_oil_difference*royalty_rate_oil)*CA_SPO_trig</f>
        <v>71.181017736745048</v>
      </c>
      <c r="M235" s="49">
        <f t="shared" ca="1" si="62"/>
        <v>65.49354716142895</v>
      </c>
      <c r="N235" s="49">
        <f t="shared" ca="1" si="62"/>
        <v>17.307792595482404</v>
      </c>
      <c r="O235" s="49">
        <f t="shared" ca="1" si="62"/>
        <v>13.823623753552827</v>
      </c>
      <c r="P235" s="49">
        <f t="shared" ca="1" si="62"/>
        <v>49.918883828892426</v>
      </c>
      <c r="Q235" s="49">
        <f t="shared" ca="1" si="62"/>
        <v>113.18243111344343</v>
      </c>
      <c r="R235" s="49">
        <f t="shared" ca="1" si="62"/>
        <v>104.90190387216856</v>
      </c>
      <c r="S235" s="49">
        <f t="shared" ca="1" si="62"/>
        <v>42.130186477919999</v>
      </c>
      <c r="T235" s="49">
        <f t="shared" ca="1" si="62"/>
        <v>94.384856773969901</v>
      </c>
      <c r="U235" s="49">
        <f t="shared" ca="1" si="62"/>
        <v>96.535518044624638</v>
      </c>
      <c r="V235" s="49">
        <f t="shared" ca="1" si="62"/>
        <v>91.573592417130911</v>
      </c>
      <c r="W235" s="49">
        <f t="shared" ca="1" si="62"/>
        <v>87.1047007525531</v>
      </c>
      <c r="X235" s="49">
        <f t="shared" ca="1" si="62"/>
        <v>82.401760884872203</v>
      </c>
      <c r="Y235" s="49">
        <f t="shared" ca="1" si="62"/>
        <v>0</v>
      </c>
      <c r="Z235" s="49">
        <f t="shared" ca="1" si="62"/>
        <v>0</v>
      </c>
      <c r="AA235" s="49">
        <f t="shared" ca="1" si="62"/>
        <v>0</v>
      </c>
      <c r="AB235" s="49">
        <f t="shared" ca="1" si="62"/>
        <v>0</v>
      </c>
      <c r="AC235" s="49">
        <f t="shared" ca="1" si="62"/>
        <v>0</v>
      </c>
      <c r="AD235" s="49">
        <f t="shared" ca="1" si="62"/>
        <v>0</v>
      </c>
      <c r="AE235" s="49">
        <f t="shared" ca="1" si="62"/>
        <v>0</v>
      </c>
      <c r="AF235" s="49">
        <f t="shared" ca="1" si="62"/>
        <v>0</v>
      </c>
      <c r="AG235" s="49">
        <f t="shared" ca="1" si="62"/>
        <v>0</v>
      </c>
      <c r="AH235" s="49">
        <f t="shared" ca="1" si="62"/>
        <v>0</v>
      </c>
      <c r="AI235" s="49">
        <f t="shared" ca="1" si="62"/>
        <v>0</v>
      </c>
      <c r="AJ235" s="49">
        <f t="shared" ca="1" si="62"/>
        <v>0</v>
      </c>
      <c r="AK235" s="49">
        <f t="shared" ca="1" si="62"/>
        <v>0</v>
      </c>
      <c r="AL235" s="49">
        <f t="shared" ca="1" si="62"/>
        <v>0</v>
      </c>
      <c r="AM235" s="49">
        <f t="shared" ca="1" si="62"/>
        <v>0</v>
      </c>
      <c r="AN235" s="49">
        <f t="shared" ca="1" si="62"/>
        <v>0</v>
      </c>
      <c r="AO235" s="49">
        <f t="shared" ca="1" si="62"/>
        <v>0</v>
      </c>
      <c r="AP235" s="49">
        <f t="shared" ca="1" si="62"/>
        <v>0</v>
      </c>
      <c r="AQ235" s="49">
        <f t="shared" ca="1" si="62"/>
        <v>0</v>
      </c>
      <c r="AR235" s="49">
        <f t="shared" ref="AR235:BS235" ca="1" si="63">(CA_gross_rev_oil_difference*royalty_rate_oil)*CA_SPO_trig</f>
        <v>0</v>
      </c>
      <c r="AS235" s="49">
        <f t="shared" ca="1" si="63"/>
        <v>0</v>
      </c>
      <c r="AT235" s="49">
        <f t="shared" ca="1" si="63"/>
        <v>0</v>
      </c>
      <c r="AU235" s="49">
        <f t="shared" ca="1" si="63"/>
        <v>0</v>
      </c>
      <c r="AV235" s="49">
        <f t="shared" ca="1" si="63"/>
        <v>0</v>
      </c>
      <c r="AW235" s="49">
        <f t="shared" ca="1" si="63"/>
        <v>0</v>
      </c>
      <c r="AX235" s="49">
        <f t="shared" ca="1" si="63"/>
        <v>0</v>
      </c>
      <c r="AY235" s="49">
        <f t="shared" ca="1" si="63"/>
        <v>0</v>
      </c>
      <c r="AZ235" s="49">
        <f t="shared" ca="1" si="63"/>
        <v>0</v>
      </c>
      <c r="BA235" s="49">
        <f t="shared" ca="1" si="63"/>
        <v>0</v>
      </c>
      <c r="BB235" s="49">
        <f t="shared" ca="1" si="63"/>
        <v>0</v>
      </c>
      <c r="BC235" s="49">
        <f t="shared" ca="1" si="63"/>
        <v>0</v>
      </c>
      <c r="BD235" s="49">
        <f t="shared" ca="1" si="63"/>
        <v>0</v>
      </c>
      <c r="BE235" s="49">
        <f t="shared" ca="1" si="63"/>
        <v>0</v>
      </c>
      <c r="BF235" s="49">
        <f t="shared" ca="1" si="63"/>
        <v>0</v>
      </c>
      <c r="BG235" s="49">
        <f t="shared" ca="1" si="63"/>
        <v>0</v>
      </c>
      <c r="BH235" s="49">
        <f t="shared" ca="1" si="63"/>
        <v>0</v>
      </c>
      <c r="BI235" s="49">
        <f t="shared" ca="1" si="63"/>
        <v>0</v>
      </c>
      <c r="BJ235" s="49">
        <f t="shared" ca="1" si="63"/>
        <v>0</v>
      </c>
      <c r="BK235" s="49">
        <f t="shared" ca="1" si="63"/>
        <v>0</v>
      </c>
      <c r="BL235" s="49">
        <f t="shared" ca="1" si="63"/>
        <v>0</v>
      </c>
      <c r="BM235" s="49">
        <f t="shared" ca="1" si="63"/>
        <v>0</v>
      </c>
      <c r="BN235" s="49">
        <f t="shared" ca="1" si="63"/>
        <v>0</v>
      </c>
      <c r="BO235" s="49">
        <f t="shared" ca="1" si="63"/>
        <v>0</v>
      </c>
      <c r="BP235" s="49">
        <f t="shared" ca="1" si="63"/>
        <v>0</v>
      </c>
      <c r="BQ235" s="49">
        <f t="shared" ca="1" si="63"/>
        <v>0</v>
      </c>
      <c r="BR235" s="49">
        <f t="shared" ca="1" si="63"/>
        <v>0</v>
      </c>
      <c r="BS235" s="49">
        <f t="shared" ca="1" si="63"/>
        <v>0</v>
      </c>
    </row>
    <row r="236" spans="3:71" outlineLevel="1" x14ac:dyDescent="0.2">
      <c r="J236" s="26"/>
      <c r="L236" s="55"/>
      <c r="M236" s="55"/>
      <c r="N236" s="55"/>
      <c r="O236" s="55"/>
      <c r="P236" s="55"/>
      <c r="Q236" s="55"/>
      <c r="R236" s="55"/>
      <c r="S236" s="55"/>
      <c r="T236" s="55"/>
      <c r="U236" s="55"/>
      <c r="V236" s="55"/>
      <c r="W236" s="55"/>
      <c r="X236" s="55"/>
      <c r="Y236" s="55"/>
      <c r="Z236" s="55"/>
      <c r="AA236" s="55"/>
      <c r="AB236" s="55"/>
      <c r="AC236" s="55"/>
      <c r="AD236" s="55"/>
      <c r="AE236" s="55"/>
      <c r="AF236" s="55"/>
      <c r="AG236" s="55"/>
      <c r="AH236" s="55"/>
      <c r="AI236" s="55"/>
      <c r="AJ236" s="55"/>
      <c r="AK236" s="55"/>
      <c r="AL236" s="55"/>
      <c r="AM236" s="55"/>
      <c r="AN236" s="55"/>
      <c r="AO236" s="55"/>
      <c r="AP236" s="55"/>
      <c r="AQ236" s="55"/>
      <c r="AR236" s="55"/>
      <c r="AS236" s="55"/>
      <c r="AT236" s="55"/>
      <c r="AU236" s="55"/>
      <c r="AV236" s="55"/>
      <c r="AW236" s="55"/>
      <c r="AX236" s="55"/>
      <c r="AY236" s="55"/>
      <c r="AZ236" s="55"/>
      <c r="BA236" s="55"/>
      <c r="BB236" s="55"/>
      <c r="BC236" s="55"/>
      <c r="BD236" s="55"/>
      <c r="BE236" s="55"/>
      <c r="BF236" s="55"/>
      <c r="BG236" s="55"/>
      <c r="BH236" s="55"/>
      <c r="BI236" s="55"/>
      <c r="BJ236" s="55"/>
      <c r="BK236" s="55"/>
      <c r="BL236" s="55"/>
      <c r="BM236" s="55"/>
      <c r="BN236" s="55"/>
      <c r="BO236" s="55"/>
      <c r="BP236" s="55"/>
      <c r="BQ236" s="55"/>
      <c r="BR236" s="55"/>
      <c r="BS236" s="55"/>
    </row>
    <row r="237" spans="3:71" outlineLevel="1" x14ac:dyDescent="0.2">
      <c r="D237" t="s">
        <v>386</v>
      </c>
      <c r="I237" s="30">
        <f t="shared" ca="1" si="61"/>
        <v>5841.8322361906494</v>
      </c>
      <c r="J237" s="26" t="s">
        <v>148</v>
      </c>
      <c r="L237" s="49" cm="1">
        <f t="array" aca="1" ref="L237:BS237" ca="1">Haute_Mer_1994!CA_cost_recovered_total</f>
        <v>374.66874115405938</v>
      </c>
      <c r="M237" s="49">
        <f ca="1"/>
        <v>353.9229876764623</v>
      </c>
      <c r="N237" s="49">
        <f ca="1"/>
        <v>133.53118450054168</v>
      </c>
      <c r="O237" s="49">
        <f ca="1"/>
        <v>126.04141158668411</v>
      </c>
      <c r="P237" s="49">
        <f ca="1"/>
        <v>349.62064769895682</v>
      </c>
      <c r="Q237" s="49">
        <f ca="1"/>
        <v>694.96643319605096</v>
      </c>
      <c r="R237" s="49">
        <f ca="1"/>
        <v>663.36543177458066</v>
      </c>
      <c r="S237" s="49">
        <f ca="1"/>
        <v>385.08849685800004</v>
      </c>
      <c r="T237" s="49">
        <f ca="1"/>
        <v>587.61561294820797</v>
      </c>
      <c r="U237" s="49">
        <f ca="1"/>
        <v>586.58734922948997</v>
      </c>
      <c r="V237" s="49">
        <f ca="1"/>
        <v>556.43675947909412</v>
      </c>
      <c r="W237" s="49">
        <f ca="1"/>
        <v>529.28203582280526</v>
      </c>
      <c r="X237" s="49">
        <f ca="1"/>
        <v>500.70514426571657</v>
      </c>
      <c r="Y237" s="49">
        <f ca="1"/>
        <v>0</v>
      </c>
      <c r="Z237" s="49">
        <f ca="1"/>
        <v>0</v>
      </c>
      <c r="AA237" s="49">
        <f ca="1"/>
        <v>0</v>
      </c>
      <c r="AB237" s="49">
        <f ca="1"/>
        <v>0</v>
      </c>
      <c r="AC237" s="49">
        <f ca="1"/>
        <v>0</v>
      </c>
      <c r="AD237" s="49">
        <f ca="1"/>
        <v>0</v>
      </c>
      <c r="AE237" s="49">
        <f ca="1"/>
        <v>0</v>
      </c>
      <c r="AF237" s="49">
        <f ca="1"/>
        <v>0</v>
      </c>
      <c r="AG237" s="49">
        <f ca="1"/>
        <v>0</v>
      </c>
      <c r="AH237" s="49">
        <f ca="1"/>
        <v>0</v>
      </c>
      <c r="AI237" s="49">
        <f ca="1"/>
        <v>0</v>
      </c>
      <c r="AJ237" s="49">
        <f ca="1"/>
        <v>0</v>
      </c>
      <c r="AK237" s="49">
        <f ca="1"/>
        <v>0</v>
      </c>
      <c r="AL237" s="49">
        <f ca="1"/>
        <v>0</v>
      </c>
      <c r="AM237" s="49">
        <f ca="1"/>
        <v>0</v>
      </c>
      <c r="AN237" s="49">
        <f ca="1"/>
        <v>0</v>
      </c>
      <c r="AO237" s="49">
        <f ca="1"/>
        <v>0</v>
      </c>
      <c r="AP237" s="49">
        <f ca="1"/>
        <v>0</v>
      </c>
      <c r="AQ237" s="49">
        <f ca="1"/>
        <v>0</v>
      </c>
      <c r="AR237" s="49">
        <f ca="1"/>
        <v>0</v>
      </c>
      <c r="AS237" s="49">
        <f ca="1"/>
        <v>0</v>
      </c>
      <c r="AT237" s="49">
        <f ca="1"/>
        <v>0</v>
      </c>
      <c r="AU237" s="49">
        <f ca="1"/>
        <v>0</v>
      </c>
      <c r="AV237" s="49">
        <f ca="1"/>
        <v>0</v>
      </c>
      <c r="AW237" s="49">
        <f ca="1"/>
        <v>0</v>
      </c>
      <c r="AX237" s="49">
        <f ca="1"/>
        <v>0</v>
      </c>
      <c r="AY237" s="49">
        <f ca="1"/>
        <v>0</v>
      </c>
      <c r="AZ237" s="49">
        <f ca="1"/>
        <v>0</v>
      </c>
      <c r="BA237" s="49">
        <f ca="1"/>
        <v>0</v>
      </c>
      <c r="BB237" s="49">
        <f ca="1"/>
        <v>0</v>
      </c>
      <c r="BC237" s="49">
        <f ca="1"/>
        <v>0</v>
      </c>
      <c r="BD237" s="49">
        <f ca="1"/>
        <v>0</v>
      </c>
      <c r="BE237" s="49">
        <f ca="1"/>
        <v>0</v>
      </c>
      <c r="BF237" s="49">
        <f ca="1"/>
        <v>0</v>
      </c>
      <c r="BG237" s="49">
        <f ca="1"/>
        <v>0</v>
      </c>
      <c r="BH237" s="49">
        <f ca="1"/>
        <v>0</v>
      </c>
      <c r="BI237" s="49">
        <f ca="1"/>
        <v>0</v>
      </c>
      <c r="BJ237" s="49">
        <f ca="1"/>
        <v>0</v>
      </c>
      <c r="BK237" s="49">
        <f ca="1"/>
        <v>0</v>
      </c>
      <c r="BL237" s="49">
        <f ca="1"/>
        <v>0</v>
      </c>
      <c r="BM237" s="49">
        <f ca="1"/>
        <v>0</v>
      </c>
      <c r="BN237" s="49">
        <f ca="1"/>
        <v>0</v>
      </c>
      <c r="BO237" s="49">
        <f ca="1"/>
        <v>0</v>
      </c>
      <c r="BP237" s="49">
        <f ca="1"/>
        <v>0</v>
      </c>
      <c r="BQ237" s="49">
        <f ca="1"/>
        <v>0</v>
      </c>
      <c r="BR237" s="49">
        <f ca="1"/>
        <v>0</v>
      </c>
      <c r="BS237" s="49">
        <f ca="1"/>
        <v>0</v>
      </c>
    </row>
    <row r="238" spans="3:71" outlineLevel="1" x14ac:dyDescent="0.2">
      <c r="J238" s="26"/>
      <c r="L238" s="55"/>
      <c r="M238" s="55"/>
      <c r="N238" s="55"/>
      <c r="O238" s="55"/>
      <c r="P238" s="55"/>
      <c r="Q238" s="55"/>
      <c r="R238" s="55"/>
      <c r="S238" s="55"/>
      <c r="T238" s="55"/>
      <c r="U238" s="55"/>
      <c r="V238" s="55"/>
      <c r="W238" s="55"/>
      <c r="X238" s="55"/>
      <c r="Y238" s="55"/>
      <c r="Z238" s="55"/>
      <c r="AA238" s="55"/>
      <c r="AB238" s="55"/>
      <c r="AC238" s="55"/>
      <c r="AD238" s="55"/>
      <c r="AE238" s="55"/>
      <c r="AF238" s="55"/>
      <c r="AG238" s="55"/>
      <c r="AH238" s="55"/>
      <c r="AI238" s="55"/>
      <c r="AJ238" s="55"/>
      <c r="AK238" s="55"/>
      <c r="AL238" s="55"/>
      <c r="AM238" s="55"/>
      <c r="AN238" s="55"/>
      <c r="AO238" s="55"/>
      <c r="AP238" s="55"/>
      <c r="AQ238" s="55"/>
      <c r="AR238" s="55"/>
      <c r="AS238" s="55"/>
      <c r="AT238" s="55"/>
      <c r="AU238" s="55"/>
      <c r="AV238" s="55"/>
      <c r="AW238" s="55"/>
      <c r="AX238" s="55"/>
      <c r="AY238" s="55"/>
      <c r="AZ238" s="55"/>
      <c r="BA238" s="55"/>
      <c r="BB238" s="55"/>
      <c r="BC238" s="55"/>
      <c r="BD238" s="55"/>
      <c r="BE238" s="55"/>
      <c r="BF238" s="55"/>
      <c r="BG238" s="55"/>
      <c r="BH238" s="55"/>
      <c r="BI238" s="55"/>
      <c r="BJ238" s="55"/>
      <c r="BK238" s="55"/>
      <c r="BL238" s="55"/>
      <c r="BM238" s="55"/>
      <c r="BN238" s="55"/>
      <c r="BO238" s="55"/>
      <c r="BP238" s="55"/>
      <c r="BQ238" s="55"/>
      <c r="BR238" s="55"/>
      <c r="BS238" s="55"/>
    </row>
    <row r="239" spans="3:71" outlineLevel="1" x14ac:dyDescent="0.2">
      <c r="D239" t="s">
        <v>310</v>
      </c>
      <c r="I239" s="30">
        <f t="shared" ref="I239:I242" ca="1" si="64">SUM($L239:$BS239)</f>
        <v>1952.5143820982978</v>
      </c>
      <c r="J239" s="26" t="s">
        <v>148</v>
      </c>
      <c r="K239" s="7" t="s">
        <v>221</v>
      </c>
      <c r="L239" s="49">
        <f ca="1">MAX(L233-L237-L223,0)</f>
        <v>218.50640665214939</v>
      </c>
      <c r="M239" s="49">
        <f t="shared" ref="M239:BS239" ca="1" si="65">MAX(M233-M237-M223,0)</f>
        <v>191.85657200211233</v>
      </c>
      <c r="N239" s="49">
        <f t="shared" ca="1" si="65"/>
        <v>10.700420461811689</v>
      </c>
      <c r="O239" s="49">
        <f t="shared" ca="1" si="65"/>
        <v>0</v>
      </c>
      <c r="P239" s="49">
        <f t="shared" ca="1" si="65"/>
        <v>66.370050875146774</v>
      </c>
      <c r="Q239" s="49">
        <f t="shared" ca="1" si="65"/>
        <v>248.22049274931101</v>
      </c>
      <c r="R239" s="49">
        <f t="shared" ca="1" si="65"/>
        <v>210.81710049349067</v>
      </c>
      <c r="S239" s="49">
        <f t="shared" ca="1" si="65"/>
        <v>0</v>
      </c>
      <c r="T239" s="49">
        <f t="shared" ca="1" si="65"/>
        <v>198.92486016820794</v>
      </c>
      <c r="U239" s="49">
        <f t="shared" ca="1" si="65"/>
        <v>217.875301142382</v>
      </c>
      <c r="V239" s="49">
        <f t="shared" ca="1" si="65"/>
        <v>206.67651066366352</v>
      </c>
      <c r="W239" s="49">
        <f t="shared" ca="1" si="65"/>
        <v>196.59047044847057</v>
      </c>
      <c r="X239" s="49">
        <f t="shared" ca="1" si="65"/>
        <v>185.97619644155185</v>
      </c>
      <c r="Y239" s="49">
        <f t="shared" ca="1" si="65"/>
        <v>0</v>
      </c>
      <c r="Z239" s="49">
        <f t="shared" ca="1" si="65"/>
        <v>0</v>
      </c>
      <c r="AA239" s="49">
        <f t="shared" ca="1" si="65"/>
        <v>0</v>
      </c>
      <c r="AB239" s="49">
        <f t="shared" ca="1" si="65"/>
        <v>0</v>
      </c>
      <c r="AC239" s="49">
        <f t="shared" ca="1" si="65"/>
        <v>0</v>
      </c>
      <c r="AD239" s="49">
        <f t="shared" ca="1" si="65"/>
        <v>0</v>
      </c>
      <c r="AE239" s="49">
        <f t="shared" ca="1" si="65"/>
        <v>0</v>
      </c>
      <c r="AF239" s="49">
        <f t="shared" ca="1" si="65"/>
        <v>0</v>
      </c>
      <c r="AG239" s="49">
        <f t="shared" ca="1" si="65"/>
        <v>0</v>
      </c>
      <c r="AH239" s="49">
        <f t="shared" ca="1" si="65"/>
        <v>0</v>
      </c>
      <c r="AI239" s="49">
        <f t="shared" ca="1" si="65"/>
        <v>0</v>
      </c>
      <c r="AJ239" s="49">
        <f t="shared" ca="1" si="65"/>
        <v>0</v>
      </c>
      <c r="AK239" s="49">
        <f t="shared" ca="1" si="65"/>
        <v>0</v>
      </c>
      <c r="AL239" s="49">
        <f t="shared" ca="1" si="65"/>
        <v>0</v>
      </c>
      <c r="AM239" s="49">
        <f t="shared" ca="1" si="65"/>
        <v>0</v>
      </c>
      <c r="AN239" s="49">
        <f t="shared" ca="1" si="65"/>
        <v>0</v>
      </c>
      <c r="AO239" s="49">
        <f t="shared" ca="1" si="65"/>
        <v>0</v>
      </c>
      <c r="AP239" s="49">
        <f t="shared" ca="1" si="65"/>
        <v>0</v>
      </c>
      <c r="AQ239" s="49">
        <f t="shared" ca="1" si="65"/>
        <v>0</v>
      </c>
      <c r="AR239" s="49">
        <f t="shared" ca="1" si="65"/>
        <v>0</v>
      </c>
      <c r="AS239" s="49">
        <f t="shared" ca="1" si="65"/>
        <v>0</v>
      </c>
      <c r="AT239" s="49">
        <f t="shared" ca="1" si="65"/>
        <v>0</v>
      </c>
      <c r="AU239" s="49">
        <f t="shared" ca="1" si="65"/>
        <v>0</v>
      </c>
      <c r="AV239" s="49">
        <f t="shared" ca="1" si="65"/>
        <v>0</v>
      </c>
      <c r="AW239" s="49">
        <f t="shared" ca="1" si="65"/>
        <v>0</v>
      </c>
      <c r="AX239" s="49">
        <f t="shared" ca="1" si="65"/>
        <v>0</v>
      </c>
      <c r="AY239" s="49">
        <f t="shared" ca="1" si="65"/>
        <v>0</v>
      </c>
      <c r="AZ239" s="49">
        <f t="shared" ca="1" si="65"/>
        <v>0</v>
      </c>
      <c r="BA239" s="49">
        <f t="shared" ca="1" si="65"/>
        <v>0</v>
      </c>
      <c r="BB239" s="49">
        <f t="shared" ca="1" si="65"/>
        <v>0</v>
      </c>
      <c r="BC239" s="49">
        <f t="shared" ca="1" si="65"/>
        <v>0</v>
      </c>
      <c r="BD239" s="49">
        <f t="shared" ca="1" si="65"/>
        <v>0</v>
      </c>
      <c r="BE239" s="49">
        <f t="shared" ca="1" si="65"/>
        <v>0</v>
      </c>
      <c r="BF239" s="49">
        <f t="shared" ca="1" si="65"/>
        <v>0</v>
      </c>
      <c r="BG239" s="49">
        <f t="shared" ca="1" si="65"/>
        <v>0</v>
      </c>
      <c r="BH239" s="49">
        <f t="shared" ca="1" si="65"/>
        <v>0</v>
      </c>
      <c r="BI239" s="49">
        <f t="shared" ca="1" si="65"/>
        <v>0</v>
      </c>
      <c r="BJ239" s="49">
        <f t="shared" ca="1" si="65"/>
        <v>0</v>
      </c>
      <c r="BK239" s="49">
        <f t="shared" ca="1" si="65"/>
        <v>0</v>
      </c>
      <c r="BL239" s="49">
        <f t="shared" ca="1" si="65"/>
        <v>0</v>
      </c>
      <c r="BM239" s="49">
        <f t="shared" ca="1" si="65"/>
        <v>0</v>
      </c>
      <c r="BN239" s="49">
        <f t="shared" ca="1" si="65"/>
        <v>0</v>
      </c>
      <c r="BO239" s="49">
        <f t="shared" ca="1" si="65"/>
        <v>0</v>
      </c>
      <c r="BP239" s="49">
        <f t="shared" ca="1" si="65"/>
        <v>0</v>
      </c>
      <c r="BQ239" s="49">
        <f t="shared" ca="1" si="65"/>
        <v>0</v>
      </c>
      <c r="BR239" s="49">
        <f t="shared" ca="1" si="65"/>
        <v>0</v>
      </c>
      <c r="BS239" s="49">
        <f t="shared" ca="1" si="65"/>
        <v>0</v>
      </c>
    </row>
    <row r="240" spans="3:71" outlineLevel="1" x14ac:dyDescent="0.2">
      <c r="J240" s="26"/>
      <c r="L240" s="55"/>
      <c r="M240" s="55"/>
      <c r="N240" s="55"/>
      <c r="O240" s="55"/>
      <c r="P240" s="55"/>
      <c r="Q240" s="55"/>
      <c r="R240" s="55"/>
      <c r="S240" s="55"/>
      <c r="T240" s="55"/>
      <c r="U240" s="55"/>
      <c r="V240" s="55"/>
      <c r="W240" s="55"/>
      <c r="X240" s="55"/>
      <c r="Y240" s="55"/>
      <c r="Z240" s="55"/>
      <c r="AA240" s="55"/>
      <c r="AB240" s="55"/>
      <c r="AC240" s="55"/>
      <c r="AD240" s="55"/>
      <c r="AE240" s="55"/>
      <c r="AF240" s="55"/>
      <c r="AG240" s="55"/>
      <c r="AH240" s="55"/>
      <c r="AI240" s="55"/>
      <c r="AJ240" s="55"/>
      <c r="AK240" s="55"/>
      <c r="AL240" s="55"/>
      <c r="AM240" s="55"/>
      <c r="AN240" s="55"/>
      <c r="AO240" s="55"/>
      <c r="AP240" s="55"/>
      <c r="AQ240" s="55"/>
      <c r="AR240" s="55"/>
      <c r="AS240" s="55"/>
      <c r="AT240" s="55"/>
      <c r="AU240" s="55"/>
      <c r="AV240" s="55"/>
      <c r="AW240" s="55"/>
      <c r="AX240" s="55"/>
      <c r="AY240" s="55"/>
      <c r="AZ240" s="55"/>
      <c r="BA240" s="55"/>
      <c r="BB240" s="55"/>
      <c r="BC240" s="55"/>
      <c r="BD240" s="55"/>
      <c r="BE240" s="55"/>
      <c r="BF240" s="55"/>
      <c r="BG240" s="55"/>
      <c r="BH240" s="55"/>
      <c r="BI240" s="55"/>
      <c r="BJ240" s="55"/>
      <c r="BK240" s="55"/>
      <c r="BL240" s="55"/>
      <c r="BM240" s="55"/>
      <c r="BN240" s="55"/>
      <c r="BO240" s="55"/>
      <c r="BP240" s="55"/>
      <c r="BQ240" s="55"/>
      <c r="BR240" s="55"/>
      <c r="BS240" s="55"/>
    </row>
    <row r="241" spans="3:71" outlineLevel="1" x14ac:dyDescent="0.2">
      <c r="D241" s="11" t="s">
        <v>222</v>
      </c>
      <c r="I241" s="30">
        <f t="shared" ca="1" si="64"/>
        <v>1222.8169727275292</v>
      </c>
      <c r="J241" s="26" t="s">
        <v>148</v>
      </c>
      <c r="K241" s="7" t="s">
        <v>224</v>
      </c>
      <c r="L241" s="49">
        <f ca="1">L239-L242</f>
        <v>103.95697873456746</v>
      </c>
      <c r="M241" s="49">
        <f t="shared" ref="M241:BS241" ca="1" si="66">M239-M242</f>
        <v>94.272032961745794</v>
      </c>
      <c r="N241" s="49">
        <f t="shared" ca="1" si="66"/>
        <v>18.912855664754158</v>
      </c>
      <c r="O241" s="49">
        <f t="shared" ca="1" si="66"/>
        <v>13.823623753552827</v>
      </c>
      <c r="P241" s="49">
        <f t="shared" ca="1" si="66"/>
        <v>59.874391460164446</v>
      </c>
      <c r="Q241" s="49">
        <f t="shared" ca="1" si="66"/>
        <v>150.4155050258401</v>
      </c>
      <c r="R241" s="49">
        <f t="shared" ca="1" si="66"/>
        <v>136.52446894619217</v>
      </c>
      <c r="S241" s="49">
        <f t="shared" ca="1" si="66"/>
        <v>42.130186477919999</v>
      </c>
      <c r="T241" s="49">
        <f t="shared" ca="1" si="66"/>
        <v>124.2235857992011</v>
      </c>
      <c r="U241" s="49">
        <f t="shared" ca="1" si="66"/>
        <v>129.21681321598194</v>
      </c>
      <c r="V241" s="49">
        <f t="shared" ca="1" si="66"/>
        <v>122.57506901668044</v>
      </c>
      <c r="W241" s="49">
        <f t="shared" ca="1" si="66"/>
        <v>116.59327131982369</v>
      </c>
      <c r="X241" s="49">
        <f t="shared" ca="1" si="66"/>
        <v>110.29819035110498</v>
      </c>
      <c r="Y241" s="49">
        <f t="shared" ca="1" si="66"/>
        <v>0</v>
      </c>
      <c r="Z241" s="49">
        <f t="shared" ca="1" si="66"/>
        <v>0</v>
      </c>
      <c r="AA241" s="49">
        <f t="shared" ca="1" si="66"/>
        <v>0</v>
      </c>
      <c r="AB241" s="49">
        <f t="shared" ca="1" si="66"/>
        <v>0</v>
      </c>
      <c r="AC241" s="49">
        <f t="shared" ca="1" si="66"/>
        <v>0</v>
      </c>
      <c r="AD241" s="49">
        <f t="shared" ca="1" si="66"/>
        <v>0</v>
      </c>
      <c r="AE241" s="49">
        <f t="shared" ca="1" si="66"/>
        <v>0</v>
      </c>
      <c r="AF241" s="49">
        <f t="shared" ca="1" si="66"/>
        <v>0</v>
      </c>
      <c r="AG241" s="49">
        <f t="shared" ca="1" si="66"/>
        <v>0</v>
      </c>
      <c r="AH241" s="49">
        <f t="shared" ca="1" si="66"/>
        <v>0</v>
      </c>
      <c r="AI241" s="49">
        <f t="shared" ca="1" si="66"/>
        <v>0</v>
      </c>
      <c r="AJ241" s="49">
        <f t="shared" ca="1" si="66"/>
        <v>0</v>
      </c>
      <c r="AK241" s="49">
        <f t="shared" ca="1" si="66"/>
        <v>0</v>
      </c>
      <c r="AL241" s="49">
        <f t="shared" ca="1" si="66"/>
        <v>0</v>
      </c>
      <c r="AM241" s="49">
        <f t="shared" ca="1" si="66"/>
        <v>0</v>
      </c>
      <c r="AN241" s="49">
        <f t="shared" ca="1" si="66"/>
        <v>0</v>
      </c>
      <c r="AO241" s="49">
        <f t="shared" ca="1" si="66"/>
        <v>0</v>
      </c>
      <c r="AP241" s="49">
        <f t="shared" ca="1" si="66"/>
        <v>0</v>
      </c>
      <c r="AQ241" s="49">
        <f t="shared" ca="1" si="66"/>
        <v>0</v>
      </c>
      <c r="AR241" s="49">
        <f t="shared" ca="1" si="66"/>
        <v>0</v>
      </c>
      <c r="AS241" s="49">
        <f t="shared" ca="1" si="66"/>
        <v>0</v>
      </c>
      <c r="AT241" s="49">
        <f t="shared" ca="1" si="66"/>
        <v>0</v>
      </c>
      <c r="AU241" s="49">
        <f t="shared" ca="1" si="66"/>
        <v>0</v>
      </c>
      <c r="AV241" s="49">
        <f t="shared" ca="1" si="66"/>
        <v>0</v>
      </c>
      <c r="AW241" s="49">
        <f t="shared" ca="1" si="66"/>
        <v>0</v>
      </c>
      <c r="AX241" s="49">
        <f t="shared" ca="1" si="66"/>
        <v>0</v>
      </c>
      <c r="AY241" s="49">
        <f t="shared" ca="1" si="66"/>
        <v>0</v>
      </c>
      <c r="AZ241" s="49">
        <f t="shared" ca="1" si="66"/>
        <v>0</v>
      </c>
      <c r="BA241" s="49">
        <f t="shared" ca="1" si="66"/>
        <v>0</v>
      </c>
      <c r="BB241" s="49">
        <f t="shared" ca="1" si="66"/>
        <v>0</v>
      </c>
      <c r="BC241" s="49">
        <f t="shared" ca="1" si="66"/>
        <v>0</v>
      </c>
      <c r="BD241" s="49">
        <f t="shared" ca="1" si="66"/>
        <v>0</v>
      </c>
      <c r="BE241" s="49">
        <f t="shared" ca="1" si="66"/>
        <v>0</v>
      </c>
      <c r="BF241" s="49">
        <f t="shared" ca="1" si="66"/>
        <v>0</v>
      </c>
      <c r="BG241" s="49">
        <f t="shared" ca="1" si="66"/>
        <v>0</v>
      </c>
      <c r="BH241" s="49">
        <f t="shared" ca="1" si="66"/>
        <v>0</v>
      </c>
      <c r="BI241" s="49">
        <f t="shared" ca="1" si="66"/>
        <v>0</v>
      </c>
      <c r="BJ241" s="49">
        <f t="shared" ca="1" si="66"/>
        <v>0</v>
      </c>
      <c r="BK241" s="49">
        <f t="shared" ca="1" si="66"/>
        <v>0</v>
      </c>
      <c r="BL241" s="49">
        <f t="shared" ca="1" si="66"/>
        <v>0</v>
      </c>
      <c r="BM241" s="49">
        <f t="shared" ca="1" si="66"/>
        <v>0</v>
      </c>
      <c r="BN241" s="49">
        <f t="shared" ca="1" si="66"/>
        <v>0</v>
      </c>
      <c r="BO241" s="49">
        <f t="shared" ca="1" si="66"/>
        <v>0</v>
      </c>
      <c r="BP241" s="49">
        <f t="shared" ca="1" si="66"/>
        <v>0</v>
      </c>
      <c r="BQ241" s="49">
        <f t="shared" ca="1" si="66"/>
        <v>0</v>
      </c>
      <c r="BR241" s="49">
        <f t="shared" ca="1" si="66"/>
        <v>0</v>
      </c>
      <c r="BS241" s="49">
        <f t="shared" ca="1" si="66"/>
        <v>0</v>
      </c>
    </row>
    <row r="242" spans="3:71" outlineLevel="1" x14ac:dyDescent="0.2">
      <c r="D242" s="11" t="s">
        <v>223</v>
      </c>
      <c r="I242" s="30">
        <f t="shared" ca="1" si="64"/>
        <v>729.69740937076858</v>
      </c>
      <c r="J242" s="26" t="s">
        <v>148</v>
      </c>
      <c r="K242" s="7" t="s">
        <v>225</v>
      </c>
      <c r="L242" s="49">
        <f ca="1">SPO_govt_rate*Haute_Mer_1994!CA_rev_for_SPO-L235</f>
        <v>114.54942791758194</v>
      </c>
      <c r="M242" s="49">
        <f ca="1">SPO_govt_rate*Haute_Mer_1994!CA_rev_for_SPO-M235</f>
        <v>97.584539040366536</v>
      </c>
      <c r="N242" s="49">
        <f ca="1">SPO_govt_rate*Haute_Mer_1994!CA_rev_for_SPO-N235</f>
        <v>-8.2124352029424692</v>
      </c>
      <c r="O242" s="49">
        <f ca="1">SPO_govt_rate*Haute_Mer_1994!CA_rev_for_SPO-O235</f>
        <v>-13.823623753552827</v>
      </c>
      <c r="P242" s="49">
        <f ca="1">SPO_govt_rate*Haute_Mer_1994!CA_rev_for_SPO-P235</f>
        <v>6.4956594149823275</v>
      </c>
      <c r="Q242" s="49">
        <f ca="1">SPO_govt_rate*Haute_Mer_1994!CA_rev_for_SPO-Q235</f>
        <v>97.804987723470916</v>
      </c>
      <c r="R242" s="49">
        <f ca="1">SPO_govt_rate*Haute_Mer_1994!CA_rev_for_SPO-R235</f>
        <v>74.292631547298498</v>
      </c>
      <c r="S242" s="49">
        <f ca="1">SPO_govt_rate*Haute_Mer_1994!CA_rev_for_SPO-S235</f>
        <v>-42.130186477919999</v>
      </c>
      <c r="T242" s="49">
        <f ca="1">SPO_govt_rate*Haute_Mer_1994!CA_rev_for_SPO-T235</f>
        <v>74.701274369006839</v>
      </c>
      <c r="U242" s="49">
        <f ca="1">SPO_govt_rate*Haute_Mer_1994!CA_rev_for_SPO-U235</f>
        <v>88.658487926400056</v>
      </c>
      <c r="V242" s="49">
        <f ca="1">SPO_govt_rate*Haute_Mer_1994!CA_rev_for_SPO-V235</f>
        <v>84.101441646983076</v>
      </c>
      <c r="W242" s="49">
        <f ca="1">SPO_govt_rate*Haute_Mer_1994!CA_rev_for_SPO-W235</f>
        <v>79.997199128646884</v>
      </c>
      <c r="X242" s="49">
        <f ca="1">SPO_govt_rate*Haute_Mer_1994!CA_rev_for_SPO-X235</f>
        <v>75.678006090446871</v>
      </c>
      <c r="Y242" s="49">
        <f ca="1">SPO_govt_rate*Haute_Mer_1994!CA_rev_for_SPO-Y235</f>
        <v>0</v>
      </c>
      <c r="Z242" s="49">
        <f ca="1">SPO_govt_rate*Haute_Mer_1994!CA_rev_for_SPO-Z235</f>
        <v>0</v>
      </c>
      <c r="AA242" s="49">
        <f ca="1">SPO_govt_rate*Haute_Mer_1994!CA_rev_for_SPO-AA235</f>
        <v>0</v>
      </c>
      <c r="AB242" s="49">
        <f ca="1">SPO_govt_rate*Haute_Mer_1994!CA_rev_for_SPO-AB235</f>
        <v>0</v>
      </c>
      <c r="AC242" s="49">
        <f ca="1">SPO_govt_rate*Haute_Mer_1994!CA_rev_for_SPO-AC235</f>
        <v>0</v>
      </c>
      <c r="AD242" s="49">
        <f ca="1">SPO_govt_rate*Haute_Mer_1994!CA_rev_for_SPO-AD235</f>
        <v>0</v>
      </c>
      <c r="AE242" s="49">
        <f ca="1">SPO_govt_rate*Haute_Mer_1994!CA_rev_for_SPO-AE235</f>
        <v>0</v>
      </c>
      <c r="AF242" s="49">
        <f ca="1">SPO_govt_rate*Haute_Mer_1994!CA_rev_for_SPO-AF235</f>
        <v>0</v>
      </c>
      <c r="AG242" s="49">
        <f ca="1">SPO_govt_rate*Haute_Mer_1994!CA_rev_for_SPO-AG235</f>
        <v>0</v>
      </c>
      <c r="AH242" s="49">
        <f ca="1">SPO_govt_rate*Haute_Mer_1994!CA_rev_for_SPO-AH235</f>
        <v>0</v>
      </c>
      <c r="AI242" s="49">
        <f ca="1">SPO_govt_rate*Haute_Mer_1994!CA_rev_for_SPO-AI235</f>
        <v>0</v>
      </c>
      <c r="AJ242" s="49">
        <f ca="1">SPO_govt_rate*Haute_Mer_1994!CA_rev_for_SPO-AJ235</f>
        <v>0</v>
      </c>
      <c r="AK242" s="49">
        <f ca="1">SPO_govt_rate*Haute_Mer_1994!CA_rev_for_SPO-AK235</f>
        <v>0</v>
      </c>
      <c r="AL242" s="49">
        <f ca="1">SPO_govt_rate*Haute_Mer_1994!CA_rev_for_SPO-AL235</f>
        <v>0</v>
      </c>
      <c r="AM242" s="49">
        <f ca="1">SPO_govt_rate*Haute_Mer_1994!CA_rev_for_SPO-AM235</f>
        <v>0</v>
      </c>
      <c r="AN242" s="49">
        <f ca="1">SPO_govt_rate*Haute_Mer_1994!CA_rev_for_SPO-AN235</f>
        <v>0</v>
      </c>
      <c r="AO242" s="49">
        <f ca="1">SPO_govt_rate*Haute_Mer_1994!CA_rev_for_SPO-AO235</f>
        <v>0</v>
      </c>
      <c r="AP242" s="49">
        <f ca="1">SPO_govt_rate*Haute_Mer_1994!CA_rev_for_SPO-AP235</f>
        <v>0</v>
      </c>
      <c r="AQ242" s="49">
        <f ca="1">SPO_govt_rate*Haute_Mer_1994!CA_rev_for_SPO-AQ235</f>
        <v>0</v>
      </c>
      <c r="AR242" s="49">
        <f ca="1">SPO_govt_rate*Haute_Mer_1994!CA_rev_for_SPO-AR235</f>
        <v>0</v>
      </c>
      <c r="AS242" s="49">
        <f ca="1">SPO_govt_rate*Haute_Mer_1994!CA_rev_for_SPO-AS235</f>
        <v>0</v>
      </c>
      <c r="AT242" s="49">
        <f ca="1">SPO_govt_rate*Haute_Mer_1994!CA_rev_for_SPO-AT235</f>
        <v>0</v>
      </c>
      <c r="AU242" s="49">
        <f ca="1">SPO_govt_rate*Haute_Mer_1994!CA_rev_for_SPO-AU235</f>
        <v>0</v>
      </c>
      <c r="AV242" s="49">
        <f ca="1">SPO_govt_rate*Haute_Mer_1994!CA_rev_for_SPO-AV235</f>
        <v>0</v>
      </c>
      <c r="AW242" s="49">
        <f ca="1">SPO_govt_rate*Haute_Mer_1994!CA_rev_for_SPO-AW235</f>
        <v>0</v>
      </c>
      <c r="AX242" s="49">
        <f ca="1">SPO_govt_rate*Haute_Mer_1994!CA_rev_for_SPO-AX235</f>
        <v>0</v>
      </c>
      <c r="AY242" s="49">
        <f ca="1">SPO_govt_rate*Haute_Mer_1994!CA_rev_for_SPO-AY235</f>
        <v>0</v>
      </c>
      <c r="AZ242" s="49">
        <f ca="1">SPO_govt_rate*Haute_Mer_1994!CA_rev_for_SPO-AZ235</f>
        <v>0</v>
      </c>
      <c r="BA242" s="49">
        <f ca="1">SPO_govt_rate*Haute_Mer_1994!CA_rev_for_SPO-BA235</f>
        <v>0</v>
      </c>
      <c r="BB242" s="49">
        <f ca="1">SPO_govt_rate*Haute_Mer_1994!CA_rev_for_SPO-BB235</f>
        <v>0</v>
      </c>
      <c r="BC242" s="49">
        <f ca="1">SPO_govt_rate*Haute_Mer_1994!CA_rev_for_SPO-BC235</f>
        <v>0</v>
      </c>
      <c r="BD242" s="49">
        <f ca="1">SPO_govt_rate*Haute_Mer_1994!CA_rev_for_SPO-BD235</f>
        <v>0</v>
      </c>
      <c r="BE242" s="49">
        <f ca="1">SPO_govt_rate*Haute_Mer_1994!CA_rev_for_SPO-BE235</f>
        <v>0</v>
      </c>
      <c r="BF242" s="49">
        <f ca="1">SPO_govt_rate*Haute_Mer_1994!CA_rev_for_SPO-BF235</f>
        <v>0</v>
      </c>
      <c r="BG242" s="49">
        <f ca="1">SPO_govt_rate*Haute_Mer_1994!CA_rev_for_SPO-BG235</f>
        <v>0</v>
      </c>
      <c r="BH242" s="49">
        <f ca="1">SPO_govt_rate*Haute_Mer_1994!CA_rev_for_SPO-BH235</f>
        <v>0</v>
      </c>
      <c r="BI242" s="49">
        <f ca="1">SPO_govt_rate*Haute_Mer_1994!CA_rev_for_SPO-BI235</f>
        <v>0</v>
      </c>
      <c r="BJ242" s="49">
        <f ca="1">SPO_govt_rate*Haute_Mer_1994!CA_rev_for_SPO-BJ235</f>
        <v>0</v>
      </c>
      <c r="BK242" s="49">
        <f ca="1">SPO_govt_rate*Haute_Mer_1994!CA_rev_for_SPO-BK235</f>
        <v>0</v>
      </c>
      <c r="BL242" s="49">
        <f ca="1">SPO_govt_rate*Haute_Mer_1994!CA_rev_for_SPO-BL235</f>
        <v>0</v>
      </c>
      <c r="BM242" s="49">
        <f ca="1">SPO_govt_rate*Haute_Mer_1994!CA_rev_for_SPO-BM235</f>
        <v>0</v>
      </c>
      <c r="BN242" s="49">
        <f ca="1">SPO_govt_rate*Haute_Mer_1994!CA_rev_for_SPO-BN235</f>
        <v>0</v>
      </c>
      <c r="BO242" s="49">
        <f ca="1">SPO_govt_rate*Haute_Mer_1994!CA_rev_for_SPO-BO235</f>
        <v>0</v>
      </c>
      <c r="BP242" s="49">
        <f ca="1">SPO_govt_rate*Haute_Mer_1994!CA_rev_for_SPO-BP235</f>
        <v>0</v>
      </c>
      <c r="BQ242" s="49">
        <f ca="1">SPO_govt_rate*Haute_Mer_1994!CA_rev_for_SPO-BQ235</f>
        <v>0</v>
      </c>
      <c r="BR242" s="49">
        <f ca="1">SPO_govt_rate*Haute_Mer_1994!CA_rev_for_SPO-BR235</f>
        <v>0</v>
      </c>
      <c r="BS242" s="49">
        <f ca="1">SPO_govt_rate*Haute_Mer_1994!CA_rev_for_SPO-BS235</f>
        <v>0</v>
      </c>
    </row>
    <row r="243" spans="3:71" outlineLevel="1" x14ac:dyDescent="0.2">
      <c r="J243" s="26"/>
      <c r="L243" s="55"/>
      <c r="M243" s="55"/>
      <c r="N243" s="55"/>
      <c r="O243" s="55"/>
      <c r="P243" s="55"/>
      <c r="Q243" s="55"/>
      <c r="R243" s="55"/>
      <c r="S243" s="55"/>
      <c r="T243" s="55"/>
      <c r="U243" s="55"/>
      <c r="V243" s="55"/>
      <c r="W243" s="55"/>
      <c r="X243" s="55"/>
      <c r="Y243" s="55"/>
      <c r="Z243" s="55"/>
      <c r="AA243" s="55"/>
      <c r="AB243" s="55"/>
      <c r="AC243" s="55"/>
      <c r="AD243" s="55"/>
      <c r="AE243" s="55"/>
      <c r="AF243" s="55"/>
      <c r="AG243" s="55"/>
      <c r="AH243" s="55"/>
      <c r="AI243" s="55"/>
      <c r="AJ243" s="55"/>
      <c r="AK243" s="55"/>
      <c r="AL243" s="55"/>
      <c r="AM243" s="55"/>
      <c r="AN243" s="55"/>
      <c r="AO243" s="55"/>
      <c r="AP243" s="55"/>
      <c r="AQ243" s="55"/>
      <c r="AR243" s="55"/>
      <c r="AS243" s="55"/>
      <c r="AT243" s="55"/>
      <c r="AU243" s="55"/>
      <c r="AV243" s="55"/>
      <c r="AW243" s="55"/>
      <c r="AX243" s="55"/>
      <c r="AY243" s="55"/>
      <c r="AZ243" s="55"/>
      <c r="BA243" s="55"/>
      <c r="BB243" s="55"/>
      <c r="BC243" s="55"/>
      <c r="BD243" s="55"/>
      <c r="BE243" s="55"/>
      <c r="BF243" s="55"/>
      <c r="BG243" s="55"/>
      <c r="BH243" s="55"/>
      <c r="BI243" s="55"/>
      <c r="BJ243" s="55"/>
      <c r="BK243" s="55"/>
      <c r="BL243" s="55"/>
      <c r="BM243" s="55"/>
      <c r="BN243" s="55"/>
      <c r="BO243" s="55"/>
      <c r="BP243" s="55"/>
      <c r="BQ243" s="55"/>
      <c r="BR243" s="55"/>
      <c r="BS243" s="55"/>
    </row>
    <row r="244" spans="3:71" outlineLevel="1" x14ac:dyDescent="0.2">
      <c r="J244" s="26"/>
      <c r="L244" s="55"/>
      <c r="M244" s="55"/>
      <c r="N244" s="55"/>
      <c r="O244" s="55"/>
      <c r="P244" s="55"/>
      <c r="Q244" s="55"/>
      <c r="R244" s="55"/>
      <c r="S244" s="55"/>
      <c r="T244" s="55"/>
      <c r="U244" s="55"/>
      <c r="V244" s="55"/>
      <c r="W244" s="55"/>
      <c r="X244" s="55"/>
      <c r="Y244" s="55"/>
      <c r="Z244" s="55"/>
      <c r="AA244" s="55"/>
      <c r="AB244" s="55"/>
      <c r="AC244" s="55"/>
      <c r="AD244" s="55"/>
      <c r="AE244" s="55"/>
      <c r="AF244" s="55"/>
      <c r="AG244" s="55"/>
      <c r="AH244" s="55"/>
      <c r="AI244" s="55"/>
      <c r="AJ244" s="55"/>
      <c r="AK244" s="55"/>
      <c r="AL244" s="55"/>
      <c r="AM244" s="55"/>
      <c r="AN244" s="55"/>
      <c r="AO244" s="55"/>
      <c r="AP244" s="55"/>
      <c r="AQ244" s="55"/>
      <c r="AR244" s="55"/>
      <c r="AS244" s="55"/>
      <c r="AT244" s="55"/>
      <c r="AU244" s="55"/>
      <c r="AV244" s="55"/>
      <c r="AW244" s="55"/>
      <c r="AX244" s="55"/>
      <c r="AY244" s="55"/>
      <c r="AZ244" s="55"/>
      <c r="BA244" s="55"/>
      <c r="BB244" s="55"/>
      <c r="BC244" s="55"/>
      <c r="BD244" s="55"/>
      <c r="BE244" s="55"/>
      <c r="BF244" s="55"/>
      <c r="BG244" s="55"/>
      <c r="BH244" s="55"/>
      <c r="BI244" s="55"/>
      <c r="BJ244" s="55"/>
      <c r="BK244" s="55"/>
      <c r="BL244" s="55"/>
      <c r="BM244" s="55"/>
      <c r="BN244" s="55"/>
      <c r="BO244" s="55"/>
      <c r="BP244" s="55"/>
      <c r="BQ244" s="55"/>
      <c r="BR244" s="55"/>
      <c r="BS244" s="55"/>
    </row>
    <row r="245" spans="3:71" outlineLevel="1" x14ac:dyDescent="0.2">
      <c r="C245" s="11" t="s">
        <v>227</v>
      </c>
      <c r="J245" s="26"/>
      <c r="L245" s="55"/>
      <c r="M245" s="55"/>
      <c r="N245" s="55"/>
      <c r="O245" s="55"/>
      <c r="P245" s="55"/>
      <c r="Q245" s="55"/>
      <c r="R245" s="55"/>
      <c r="S245" s="55"/>
      <c r="T245" s="55"/>
      <c r="U245" s="55"/>
      <c r="V245" s="55"/>
      <c r="W245" s="55"/>
      <c r="X245" s="55"/>
      <c r="Y245" s="55"/>
      <c r="Z245" s="55"/>
      <c r="AA245" s="55"/>
      <c r="AB245" s="55"/>
      <c r="AC245" s="55"/>
      <c r="AD245" s="55"/>
      <c r="AE245" s="55"/>
      <c r="AF245" s="55"/>
      <c r="AG245" s="55"/>
      <c r="AH245" s="55"/>
      <c r="AI245" s="55"/>
      <c r="AJ245" s="55"/>
      <c r="AK245" s="55"/>
      <c r="AL245" s="55"/>
      <c r="AM245" s="55"/>
      <c r="AN245" s="55"/>
      <c r="AO245" s="55"/>
      <c r="AP245" s="55"/>
      <c r="AQ245" s="55"/>
      <c r="AR245" s="55"/>
      <c r="AS245" s="55"/>
      <c r="AT245" s="55"/>
      <c r="AU245" s="55"/>
      <c r="AV245" s="55"/>
      <c r="AW245" s="55"/>
      <c r="AX245" s="55"/>
      <c r="AY245" s="55"/>
      <c r="AZ245" s="55"/>
      <c r="BA245" s="55"/>
      <c r="BB245" s="55"/>
      <c r="BC245" s="55"/>
      <c r="BD245" s="55"/>
      <c r="BE245" s="55"/>
      <c r="BF245" s="55"/>
      <c r="BG245" s="55"/>
      <c r="BH245" s="55"/>
      <c r="BI245" s="55"/>
      <c r="BJ245" s="55"/>
      <c r="BK245" s="55"/>
      <c r="BL245" s="55"/>
      <c r="BM245" s="55"/>
      <c r="BN245" s="55"/>
      <c r="BO245" s="55"/>
      <c r="BP245" s="55"/>
      <c r="BQ245" s="55"/>
      <c r="BR245" s="55"/>
      <c r="BS245" s="55"/>
    </row>
    <row r="246" spans="3:71" outlineLevel="1" x14ac:dyDescent="0.2">
      <c r="J246" s="26"/>
      <c r="L246" s="55"/>
      <c r="M246" s="55"/>
      <c r="N246" s="55"/>
      <c r="O246" s="55"/>
      <c r="P246" s="55"/>
      <c r="Q246" s="55"/>
      <c r="R246" s="55"/>
      <c r="S246" s="55"/>
      <c r="T246" s="55"/>
      <c r="U246" s="55"/>
      <c r="V246" s="55"/>
      <c r="W246" s="55"/>
      <c r="X246" s="55"/>
      <c r="Y246" s="55"/>
      <c r="Z246" s="55"/>
      <c r="AA246" s="55"/>
      <c r="AB246" s="55"/>
      <c r="AC246" s="55"/>
      <c r="AD246" s="55"/>
      <c r="AE246" s="55"/>
      <c r="AF246" s="55"/>
      <c r="AG246" s="55"/>
      <c r="AH246" s="55"/>
      <c r="AI246" s="55"/>
      <c r="AJ246" s="55"/>
      <c r="AK246" s="55"/>
      <c r="AL246" s="55"/>
      <c r="AM246" s="55"/>
      <c r="AN246" s="55"/>
      <c r="AO246" s="55"/>
      <c r="AP246" s="55"/>
      <c r="AQ246" s="55"/>
      <c r="AR246" s="55"/>
      <c r="AS246" s="55"/>
      <c r="AT246" s="55"/>
      <c r="AU246" s="55"/>
      <c r="AV246" s="55"/>
      <c r="AW246" s="55"/>
      <c r="AX246" s="55"/>
      <c r="AY246" s="55"/>
      <c r="AZ246" s="55"/>
      <c r="BA246" s="55"/>
      <c r="BB246" s="55"/>
      <c r="BC246" s="55"/>
      <c r="BD246" s="55"/>
      <c r="BE246" s="55"/>
      <c r="BF246" s="55"/>
      <c r="BG246" s="55"/>
      <c r="BH246" s="55"/>
      <c r="BI246" s="55"/>
      <c r="BJ246" s="55"/>
      <c r="BK246" s="55"/>
      <c r="BL246" s="55"/>
      <c r="BM246" s="55"/>
      <c r="BN246" s="55"/>
      <c r="BO246" s="55"/>
      <c r="BP246" s="55"/>
      <c r="BQ246" s="55"/>
      <c r="BR246" s="55"/>
      <c r="BS246" s="55"/>
    </row>
    <row r="247" spans="3:71" outlineLevel="1" x14ac:dyDescent="0.2">
      <c r="D247" s="11" t="s">
        <v>226</v>
      </c>
      <c r="J247" s="26"/>
      <c r="L247" s="55"/>
      <c r="M247" s="55"/>
      <c r="N247" s="55"/>
      <c r="O247" s="55"/>
      <c r="P247" s="55"/>
      <c r="Q247" s="55"/>
      <c r="R247" s="55"/>
      <c r="S247" s="55"/>
      <c r="T247" s="55"/>
      <c r="U247" s="55"/>
      <c r="V247" s="55"/>
      <c r="W247" s="55"/>
      <c r="X247" s="55"/>
      <c r="Y247" s="55"/>
      <c r="Z247" s="55"/>
      <c r="AA247" s="55"/>
      <c r="AB247" s="55"/>
      <c r="AC247" s="55"/>
      <c r="AD247" s="55"/>
      <c r="AE247" s="55"/>
      <c r="AF247" s="55"/>
      <c r="AG247" s="55"/>
      <c r="AH247" s="55"/>
      <c r="AI247" s="55"/>
      <c r="AJ247" s="55"/>
      <c r="AK247" s="55"/>
      <c r="AL247" s="55"/>
      <c r="AM247" s="55"/>
      <c r="AN247" s="55"/>
      <c r="AO247" s="55"/>
      <c r="AP247" s="55"/>
      <c r="AQ247" s="55"/>
      <c r="AR247" s="55"/>
      <c r="AS247" s="55"/>
      <c r="AT247" s="55"/>
      <c r="AU247" s="55"/>
      <c r="AV247" s="55"/>
      <c r="AW247" s="55"/>
      <c r="AX247" s="55"/>
      <c r="AY247" s="55"/>
      <c r="AZ247" s="55"/>
      <c r="BA247" s="55"/>
      <c r="BB247" s="55"/>
      <c r="BC247" s="55"/>
      <c r="BD247" s="55"/>
      <c r="BE247" s="55"/>
      <c r="BF247" s="55"/>
      <c r="BG247" s="55"/>
      <c r="BH247" s="55"/>
      <c r="BI247" s="55"/>
      <c r="BJ247" s="55"/>
      <c r="BK247" s="55"/>
      <c r="BL247" s="55"/>
      <c r="BM247" s="55"/>
      <c r="BN247" s="55"/>
      <c r="BO247" s="55"/>
      <c r="BP247" s="55"/>
      <c r="BQ247" s="55"/>
      <c r="BR247" s="55"/>
      <c r="BS247" s="55"/>
    </row>
    <row r="248" spans="3:71" outlineLevel="1" x14ac:dyDescent="0.2">
      <c r="D248" s="50" t="s">
        <v>233</v>
      </c>
      <c r="I248" s="30">
        <f t="shared" ref="I248:I251" ca="1" si="67">SUM($L248:$BS248)</f>
        <v>2487.2781174065963</v>
      </c>
      <c r="J248" s="26" t="s">
        <v>148</v>
      </c>
      <c r="L248" s="49">
        <f ca="1">MAX(Haute_Mer_1994!CA_gross_rev_oil_fp-Haute_Mer_1994!CA_roy_oil_fp-(Haute_Mer_1994!CA_cost_recovered_total*Haute_Mer_1994!CA_rev_oil_perc)-(Haute_Mer_1994!CA_excess_cost_recovery*Haute_Mer_1994!CA_rev_oil_perc)-Haute_Mer_1994!CA_rev_for_SPO,0)</f>
        <v>66.241836624935786</v>
      </c>
      <c r="M248" s="49">
        <f ca="1">MAX(Haute_Mer_1994!CA_gross_rev_oil_fp-Haute_Mer_1994!CA_roy_oil_fp-(Haute_Mer_1994!CA_cost_recovered_total*Haute_Mer_1994!CA_rev_oil_perc)-(Haute_Mer_1994!CA_excess_cost_recovery*Haute_Mer_1994!CA_rev_oil_perc)-Haute_Mer_1994!CA_rev_for_SPO,0)</f>
        <v>77.124898631999031</v>
      </c>
      <c r="N248" s="49">
        <f ca="1">MAX(Haute_Mer_1994!CA_gross_rev_oil_fp-Haute_Mer_1994!CA_roy_oil_fp-(Haute_Mer_1994!CA_cost_recovered_total*Haute_Mer_1994!CA_rev_oil_perc)-(Haute_Mer_1994!CA_excess_cost_recovery*Haute_Mer_1994!CA_rev_oil_perc)-Haute_Mer_1994!CA_rev_for_SPO,0)</f>
        <v>90.783279758600003</v>
      </c>
      <c r="O248" s="49">
        <f ca="1">MAX(Haute_Mer_1994!CA_gross_rev_oil_fp-Haute_Mer_1994!CA_roy_oil_fp-(Haute_Mer_1994!CA_cost_recovered_total*Haute_Mer_1994!CA_rev_oil_perc)-(Haute_Mer_1994!CA_excess_cost_recovery*Haute_Mer_1994!CA_rev_oil_perc)-Haute_Mer_1994!CA_rev_for_SPO,0)</f>
        <v>95.791472805879934</v>
      </c>
      <c r="P248" s="49">
        <f ca="1">MAX(Haute_Mer_1994!CA_gross_rev_oil_fp-Haute_Mer_1994!CA_roy_oil_fp-(Haute_Mer_1994!CA_cost_recovered_total*Haute_Mer_1994!CA_rev_oil_perc)-(Haute_Mer_1994!CA_excess_cost_recovery*Haute_Mer_1994!CA_rev_oil_perc)-Haute_Mer_1994!CA_rev_for_SPO,0)</f>
        <v>199.34164137606035</v>
      </c>
      <c r="Q248" s="49">
        <f ca="1">MAX(Haute_Mer_1994!CA_gross_rev_oil_fp-Haute_Mer_1994!CA_roy_oil_fp-(Haute_Mer_1994!CA_cost_recovered_total*Haute_Mer_1994!CA_rev_oil_perc)-(Haute_Mer_1994!CA_excess_cost_recovery*Haute_Mer_1994!CA_rev_oil_perc)-Haute_Mer_1994!CA_rev_for_SPO,0)</f>
        <v>279.9539964796877</v>
      </c>
      <c r="R248" s="49">
        <f ca="1">MAX(Haute_Mer_1994!CA_gross_rev_oil_fp-Haute_Mer_1994!CA_roy_oil_fp-(Haute_Mer_1994!CA_cost_recovered_total*Haute_Mer_1994!CA_rev_oil_perc)-(Haute_Mer_1994!CA_excess_cost_recovery*Haute_Mer_1994!CA_rev_oil_perc)-Haute_Mer_1994!CA_rev_for_SPO,0)</f>
        <v>293.3406276551907</v>
      </c>
      <c r="S248" s="49">
        <f ca="1">MAX(Haute_Mer_1994!CA_gross_rev_oil_fp-Haute_Mer_1994!CA_roy_oil_fp-(Haute_Mer_1994!CA_cost_recovered_total*Haute_Mer_1994!CA_rev_oil_perc)-(Haute_Mer_1994!CA_excess_cost_recovery*Haute_Mer_1994!CA_rev_oil_perc)-Haute_Mer_1994!CA_rev_for_SPO,0)</f>
        <v>292.66725761208005</v>
      </c>
      <c r="T248" s="49">
        <f ca="1">MAX(Haute_Mer_1994!CA_gross_rev_oil_fp-Haute_Mer_1994!CA_roy_oil_fp-(Haute_Mer_1994!CA_cost_recovered_total*Haute_Mer_1994!CA_rev_oil_perc)-(Haute_Mer_1994!CA_excess_cost_recovery*Haute_Mer_1994!CA_rev_oil_perc)-Haute_Mer_1994!CA_rev_for_SPO,0)</f>
        <v>247.66300567243013</v>
      </c>
      <c r="U248" s="49">
        <f ca="1">MAX(Haute_Mer_1994!CA_gross_rev_oil_fp-Haute_Mer_1994!CA_roy_oil_fp-(Haute_Mer_1994!CA_cost_recovered_total*Haute_Mer_1994!CA_rev_oil_perc)-(Haute_Mer_1994!CA_excess_cost_recovery*Haute_Mer_1994!CA_rev_oil_perc)-Haute_Mer_1994!CA_rev_for_SPO,0)</f>
        <v>227.93108427203049</v>
      </c>
      <c r="V248" s="49">
        <f ca="1">MAX(Haute_Mer_1994!CA_gross_rev_oil_fp-Haute_Mer_1994!CA_roy_oil_fp-(Haute_Mer_1994!CA_cost_recovered_total*Haute_Mer_1994!CA_rev_oil_perc)-(Haute_Mer_1994!CA_excess_cost_recovery*Haute_Mer_1994!CA_rev_oil_perc)-Haute_Mer_1994!CA_rev_for_SPO,0)</f>
        <v>216.21542654044799</v>
      </c>
      <c r="W248" s="49">
        <f ca="1">MAX(Haute_Mer_1994!CA_gross_rev_oil_fp-Haute_Mer_1994!CA_roy_oil_fp-(Haute_Mer_1994!CA_cost_recovered_total*Haute_Mer_1994!CA_rev_oil_perc)-(Haute_Mer_1994!CA_excess_cost_recovery*Haute_Mer_1994!CA_rev_oil_perc)-Haute_Mer_1994!CA_rev_for_SPO,0)</f>
        <v>205.66387677686146</v>
      </c>
      <c r="X248" s="49">
        <f ca="1">MAX(Haute_Mer_1994!CA_gross_rev_oil_fp-Haute_Mer_1994!CA_roy_oil_fp-(Haute_Mer_1994!CA_cost_recovered_total*Haute_Mer_1994!CA_rev_oil_perc)-(Haute_Mer_1994!CA_excess_cost_recovery*Haute_Mer_1994!CA_rev_oil_perc)-Haute_Mer_1994!CA_rev_for_SPO,0)</f>
        <v>194.55971320039271</v>
      </c>
      <c r="Y248" s="49">
        <f ca="1">MAX(Haute_Mer_1994!CA_gross_rev_oil_fp-Haute_Mer_1994!CA_roy_oil_fp-(Haute_Mer_1994!CA_cost_recovered_total*Haute_Mer_1994!CA_rev_oil_perc)-(Haute_Mer_1994!CA_excess_cost_recovery*Haute_Mer_1994!CA_rev_oil_perc)-Haute_Mer_1994!CA_rev_for_SPO,0)</f>
        <v>0</v>
      </c>
      <c r="Z248" s="49">
        <f ca="1">MAX(Haute_Mer_1994!CA_gross_rev_oil_fp-Haute_Mer_1994!CA_roy_oil_fp-(Haute_Mer_1994!CA_cost_recovered_total*Haute_Mer_1994!CA_rev_oil_perc)-(Haute_Mer_1994!CA_excess_cost_recovery*Haute_Mer_1994!CA_rev_oil_perc)-Haute_Mer_1994!CA_rev_for_SPO,0)</f>
        <v>0</v>
      </c>
      <c r="AA248" s="49">
        <f ca="1">MAX(Haute_Mer_1994!CA_gross_rev_oil_fp-Haute_Mer_1994!CA_roy_oil_fp-(Haute_Mer_1994!CA_cost_recovered_total*Haute_Mer_1994!CA_rev_oil_perc)-(Haute_Mer_1994!CA_excess_cost_recovery*Haute_Mer_1994!CA_rev_oil_perc)-Haute_Mer_1994!CA_rev_for_SPO,0)</f>
        <v>0</v>
      </c>
      <c r="AB248" s="49">
        <f ca="1">MAX(Haute_Mer_1994!CA_gross_rev_oil_fp-Haute_Mer_1994!CA_roy_oil_fp-(Haute_Mer_1994!CA_cost_recovered_total*Haute_Mer_1994!CA_rev_oil_perc)-(Haute_Mer_1994!CA_excess_cost_recovery*Haute_Mer_1994!CA_rev_oil_perc)-Haute_Mer_1994!CA_rev_for_SPO,0)</f>
        <v>0</v>
      </c>
      <c r="AC248" s="49">
        <f ca="1">MAX(Haute_Mer_1994!CA_gross_rev_oil_fp-Haute_Mer_1994!CA_roy_oil_fp-(Haute_Mer_1994!CA_cost_recovered_total*Haute_Mer_1994!CA_rev_oil_perc)-(Haute_Mer_1994!CA_excess_cost_recovery*Haute_Mer_1994!CA_rev_oil_perc)-Haute_Mer_1994!CA_rev_for_SPO,0)</f>
        <v>0</v>
      </c>
      <c r="AD248" s="49">
        <f ca="1">MAX(Haute_Mer_1994!CA_gross_rev_oil_fp-Haute_Mer_1994!CA_roy_oil_fp-(Haute_Mer_1994!CA_cost_recovered_total*Haute_Mer_1994!CA_rev_oil_perc)-(Haute_Mer_1994!CA_excess_cost_recovery*Haute_Mer_1994!CA_rev_oil_perc)-Haute_Mer_1994!CA_rev_for_SPO,0)</f>
        <v>0</v>
      </c>
      <c r="AE248" s="49">
        <f ca="1">MAX(Haute_Mer_1994!CA_gross_rev_oil_fp-Haute_Mer_1994!CA_roy_oil_fp-(Haute_Mer_1994!CA_cost_recovered_total*Haute_Mer_1994!CA_rev_oil_perc)-(Haute_Mer_1994!CA_excess_cost_recovery*Haute_Mer_1994!CA_rev_oil_perc)-Haute_Mer_1994!CA_rev_for_SPO,0)</f>
        <v>0</v>
      </c>
      <c r="AF248" s="49">
        <f ca="1">MAX(Haute_Mer_1994!CA_gross_rev_oil_fp-Haute_Mer_1994!CA_roy_oil_fp-(Haute_Mer_1994!CA_cost_recovered_total*Haute_Mer_1994!CA_rev_oil_perc)-(Haute_Mer_1994!CA_excess_cost_recovery*Haute_Mer_1994!CA_rev_oil_perc)-Haute_Mer_1994!CA_rev_for_SPO,0)</f>
        <v>0</v>
      </c>
      <c r="AG248" s="49">
        <f ca="1">MAX(Haute_Mer_1994!CA_gross_rev_oil_fp-Haute_Mer_1994!CA_roy_oil_fp-(Haute_Mer_1994!CA_cost_recovered_total*Haute_Mer_1994!CA_rev_oil_perc)-(Haute_Mer_1994!CA_excess_cost_recovery*Haute_Mer_1994!CA_rev_oil_perc)-Haute_Mer_1994!CA_rev_for_SPO,0)</f>
        <v>0</v>
      </c>
      <c r="AH248" s="49">
        <f ca="1">MAX(Haute_Mer_1994!CA_gross_rev_oil_fp-Haute_Mer_1994!CA_roy_oil_fp-(Haute_Mer_1994!CA_cost_recovered_total*Haute_Mer_1994!CA_rev_oil_perc)-(Haute_Mer_1994!CA_excess_cost_recovery*Haute_Mer_1994!CA_rev_oil_perc)-Haute_Mer_1994!CA_rev_for_SPO,0)</f>
        <v>0</v>
      </c>
      <c r="AI248" s="49">
        <f ca="1">MAX(Haute_Mer_1994!CA_gross_rev_oil_fp-Haute_Mer_1994!CA_roy_oil_fp-(Haute_Mer_1994!CA_cost_recovered_total*Haute_Mer_1994!CA_rev_oil_perc)-(Haute_Mer_1994!CA_excess_cost_recovery*Haute_Mer_1994!CA_rev_oil_perc)-Haute_Mer_1994!CA_rev_for_SPO,0)</f>
        <v>0</v>
      </c>
      <c r="AJ248" s="49">
        <f ca="1">MAX(Haute_Mer_1994!CA_gross_rev_oil_fp-Haute_Mer_1994!CA_roy_oil_fp-(Haute_Mer_1994!CA_cost_recovered_total*Haute_Mer_1994!CA_rev_oil_perc)-(Haute_Mer_1994!CA_excess_cost_recovery*Haute_Mer_1994!CA_rev_oil_perc)-Haute_Mer_1994!CA_rev_for_SPO,0)</f>
        <v>0</v>
      </c>
      <c r="AK248" s="49">
        <f ca="1">MAX(Haute_Mer_1994!CA_gross_rev_oil_fp-Haute_Mer_1994!CA_roy_oil_fp-(Haute_Mer_1994!CA_cost_recovered_total*Haute_Mer_1994!CA_rev_oil_perc)-(Haute_Mer_1994!CA_excess_cost_recovery*Haute_Mer_1994!CA_rev_oil_perc)-Haute_Mer_1994!CA_rev_for_SPO,0)</f>
        <v>0</v>
      </c>
      <c r="AL248" s="49">
        <f ca="1">MAX(Haute_Mer_1994!CA_gross_rev_oil_fp-Haute_Mer_1994!CA_roy_oil_fp-(Haute_Mer_1994!CA_cost_recovered_total*Haute_Mer_1994!CA_rev_oil_perc)-(Haute_Mer_1994!CA_excess_cost_recovery*Haute_Mer_1994!CA_rev_oil_perc)-Haute_Mer_1994!CA_rev_for_SPO,0)</f>
        <v>0</v>
      </c>
      <c r="AM248" s="49">
        <f ca="1">MAX(Haute_Mer_1994!CA_gross_rev_oil_fp-Haute_Mer_1994!CA_roy_oil_fp-(Haute_Mer_1994!CA_cost_recovered_total*Haute_Mer_1994!CA_rev_oil_perc)-(Haute_Mer_1994!CA_excess_cost_recovery*Haute_Mer_1994!CA_rev_oil_perc)-Haute_Mer_1994!CA_rev_for_SPO,0)</f>
        <v>0</v>
      </c>
      <c r="AN248" s="49">
        <f ca="1">MAX(Haute_Mer_1994!CA_gross_rev_oil_fp-Haute_Mer_1994!CA_roy_oil_fp-(Haute_Mer_1994!CA_cost_recovered_total*Haute_Mer_1994!CA_rev_oil_perc)-(Haute_Mer_1994!CA_excess_cost_recovery*Haute_Mer_1994!CA_rev_oil_perc)-Haute_Mer_1994!CA_rev_for_SPO,0)</f>
        <v>0</v>
      </c>
      <c r="AO248" s="49">
        <f ca="1">MAX(Haute_Mer_1994!CA_gross_rev_oil_fp-Haute_Mer_1994!CA_roy_oil_fp-(Haute_Mer_1994!CA_cost_recovered_total*Haute_Mer_1994!CA_rev_oil_perc)-(Haute_Mer_1994!CA_excess_cost_recovery*Haute_Mer_1994!CA_rev_oil_perc)-Haute_Mer_1994!CA_rev_for_SPO,0)</f>
        <v>0</v>
      </c>
      <c r="AP248" s="49">
        <f ca="1">MAX(Haute_Mer_1994!CA_gross_rev_oil_fp-Haute_Mer_1994!CA_roy_oil_fp-(Haute_Mer_1994!CA_cost_recovered_total*Haute_Mer_1994!CA_rev_oil_perc)-(Haute_Mer_1994!CA_excess_cost_recovery*Haute_Mer_1994!CA_rev_oil_perc)-Haute_Mer_1994!CA_rev_for_SPO,0)</f>
        <v>0</v>
      </c>
      <c r="AQ248" s="49">
        <f ca="1">MAX(Haute_Mer_1994!CA_gross_rev_oil_fp-Haute_Mer_1994!CA_roy_oil_fp-(Haute_Mer_1994!CA_cost_recovered_total*Haute_Mer_1994!CA_rev_oil_perc)-(Haute_Mer_1994!CA_excess_cost_recovery*Haute_Mer_1994!CA_rev_oil_perc)-Haute_Mer_1994!CA_rev_for_SPO,0)</f>
        <v>0</v>
      </c>
      <c r="AR248" s="49">
        <f ca="1">MAX(Haute_Mer_1994!CA_gross_rev_oil_fp-Haute_Mer_1994!CA_roy_oil_fp-(Haute_Mer_1994!CA_cost_recovered_total*Haute_Mer_1994!CA_rev_oil_perc)-(Haute_Mer_1994!CA_excess_cost_recovery*Haute_Mer_1994!CA_rev_oil_perc)-Haute_Mer_1994!CA_rev_for_SPO,0)</f>
        <v>0</v>
      </c>
      <c r="AS248" s="49">
        <f ca="1">MAX(Haute_Mer_1994!CA_gross_rev_oil_fp-Haute_Mer_1994!CA_roy_oil_fp-(Haute_Mer_1994!CA_cost_recovered_total*Haute_Mer_1994!CA_rev_oil_perc)-(Haute_Mer_1994!CA_excess_cost_recovery*Haute_Mer_1994!CA_rev_oil_perc)-Haute_Mer_1994!CA_rev_for_SPO,0)</f>
        <v>0</v>
      </c>
      <c r="AT248" s="49">
        <f ca="1">MAX(Haute_Mer_1994!CA_gross_rev_oil_fp-Haute_Mer_1994!CA_roy_oil_fp-(Haute_Mer_1994!CA_cost_recovered_total*Haute_Mer_1994!CA_rev_oil_perc)-(Haute_Mer_1994!CA_excess_cost_recovery*Haute_Mer_1994!CA_rev_oil_perc)-Haute_Mer_1994!CA_rev_for_SPO,0)</f>
        <v>0</v>
      </c>
      <c r="AU248" s="49">
        <f ca="1">MAX(Haute_Mer_1994!CA_gross_rev_oil_fp-Haute_Mer_1994!CA_roy_oil_fp-(Haute_Mer_1994!CA_cost_recovered_total*Haute_Mer_1994!CA_rev_oil_perc)-(Haute_Mer_1994!CA_excess_cost_recovery*Haute_Mer_1994!CA_rev_oil_perc)-Haute_Mer_1994!CA_rev_for_SPO,0)</f>
        <v>0</v>
      </c>
      <c r="AV248" s="49">
        <f ca="1">MAX(Haute_Mer_1994!CA_gross_rev_oil_fp-Haute_Mer_1994!CA_roy_oil_fp-(Haute_Mer_1994!CA_cost_recovered_total*Haute_Mer_1994!CA_rev_oil_perc)-(Haute_Mer_1994!CA_excess_cost_recovery*Haute_Mer_1994!CA_rev_oil_perc)-Haute_Mer_1994!CA_rev_for_SPO,0)</f>
        <v>0</v>
      </c>
      <c r="AW248" s="49">
        <f ca="1">MAX(Haute_Mer_1994!CA_gross_rev_oil_fp-Haute_Mer_1994!CA_roy_oil_fp-(Haute_Mer_1994!CA_cost_recovered_total*Haute_Mer_1994!CA_rev_oil_perc)-(Haute_Mer_1994!CA_excess_cost_recovery*Haute_Mer_1994!CA_rev_oil_perc)-Haute_Mer_1994!CA_rev_for_SPO,0)</f>
        <v>0</v>
      </c>
      <c r="AX248" s="49">
        <f ca="1">MAX(Haute_Mer_1994!CA_gross_rev_oil_fp-Haute_Mer_1994!CA_roy_oil_fp-(Haute_Mer_1994!CA_cost_recovered_total*Haute_Mer_1994!CA_rev_oil_perc)-(Haute_Mer_1994!CA_excess_cost_recovery*Haute_Mer_1994!CA_rev_oil_perc)-Haute_Mer_1994!CA_rev_for_SPO,0)</f>
        <v>0</v>
      </c>
      <c r="AY248" s="49">
        <f ca="1">MAX(Haute_Mer_1994!CA_gross_rev_oil_fp-Haute_Mer_1994!CA_roy_oil_fp-(Haute_Mer_1994!CA_cost_recovered_total*Haute_Mer_1994!CA_rev_oil_perc)-(Haute_Mer_1994!CA_excess_cost_recovery*Haute_Mer_1994!CA_rev_oil_perc)-Haute_Mer_1994!CA_rev_for_SPO,0)</f>
        <v>0</v>
      </c>
      <c r="AZ248" s="49">
        <f ca="1">MAX(Haute_Mer_1994!CA_gross_rev_oil_fp-Haute_Mer_1994!CA_roy_oil_fp-(Haute_Mer_1994!CA_cost_recovered_total*Haute_Mer_1994!CA_rev_oil_perc)-(Haute_Mer_1994!CA_excess_cost_recovery*Haute_Mer_1994!CA_rev_oil_perc)-Haute_Mer_1994!CA_rev_for_SPO,0)</f>
        <v>0</v>
      </c>
      <c r="BA248" s="49">
        <f ca="1">MAX(Haute_Mer_1994!CA_gross_rev_oil_fp-Haute_Mer_1994!CA_roy_oil_fp-(Haute_Mer_1994!CA_cost_recovered_total*Haute_Mer_1994!CA_rev_oil_perc)-(Haute_Mer_1994!CA_excess_cost_recovery*Haute_Mer_1994!CA_rev_oil_perc)-Haute_Mer_1994!CA_rev_for_SPO,0)</f>
        <v>0</v>
      </c>
      <c r="BB248" s="49">
        <f ca="1">MAX(Haute_Mer_1994!CA_gross_rev_oil_fp-Haute_Mer_1994!CA_roy_oil_fp-(Haute_Mer_1994!CA_cost_recovered_total*Haute_Mer_1994!CA_rev_oil_perc)-(Haute_Mer_1994!CA_excess_cost_recovery*Haute_Mer_1994!CA_rev_oil_perc)-Haute_Mer_1994!CA_rev_for_SPO,0)</f>
        <v>0</v>
      </c>
      <c r="BC248" s="49">
        <f ca="1">MAX(Haute_Mer_1994!CA_gross_rev_oil_fp-Haute_Mer_1994!CA_roy_oil_fp-(Haute_Mer_1994!CA_cost_recovered_total*Haute_Mer_1994!CA_rev_oil_perc)-(Haute_Mer_1994!CA_excess_cost_recovery*Haute_Mer_1994!CA_rev_oil_perc)-Haute_Mer_1994!CA_rev_for_SPO,0)</f>
        <v>0</v>
      </c>
      <c r="BD248" s="49">
        <f ca="1">MAX(Haute_Mer_1994!CA_gross_rev_oil_fp-Haute_Mer_1994!CA_roy_oil_fp-(Haute_Mer_1994!CA_cost_recovered_total*Haute_Mer_1994!CA_rev_oil_perc)-(Haute_Mer_1994!CA_excess_cost_recovery*Haute_Mer_1994!CA_rev_oil_perc)-Haute_Mer_1994!CA_rev_for_SPO,0)</f>
        <v>0</v>
      </c>
      <c r="BE248" s="49">
        <f ca="1">MAX(Haute_Mer_1994!CA_gross_rev_oil_fp-Haute_Mer_1994!CA_roy_oil_fp-(Haute_Mer_1994!CA_cost_recovered_total*Haute_Mer_1994!CA_rev_oil_perc)-(Haute_Mer_1994!CA_excess_cost_recovery*Haute_Mer_1994!CA_rev_oil_perc)-Haute_Mer_1994!CA_rev_for_SPO,0)</f>
        <v>0</v>
      </c>
      <c r="BF248" s="49">
        <f ca="1">MAX(Haute_Mer_1994!CA_gross_rev_oil_fp-Haute_Mer_1994!CA_roy_oil_fp-(Haute_Mer_1994!CA_cost_recovered_total*Haute_Mer_1994!CA_rev_oil_perc)-(Haute_Mer_1994!CA_excess_cost_recovery*Haute_Mer_1994!CA_rev_oil_perc)-Haute_Mer_1994!CA_rev_for_SPO,0)</f>
        <v>0</v>
      </c>
      <c r="BG248" s="49">
        <f ca="1">MAX(Haute_Mer_1994!CA_gross_rev_oil_fp-Haute_Mer_1994!CA_roy_oil_fp-(Haute_Mer_1994!CA_cost_recovered_total*Haute_Mer_1994!CA_rev_oil_perc)-(Haute_Mer_1994!CA_excess_cost_recovery*Haute_Mer_1994!CA_rev_oil_perc)-Haute_Mer_1994!CA_rev_for_SPO,0)</f>
        <v>0</v>
      </c>
      <c r="BH248" s="49">
        <f ca="1">MAX(Haute_Mer_1994!CA_gross_rev_oil_fp-Haute_Mer_1994!CA_roy_oil_fp-(Haute_Mer_1994!CA_cost_recovered_total*Haute_Mer_1994!CA_rev_oil_perc)-(Haute_Mer_1994!CA_excess_cost_recovery*Haute_Mer_1994!CA_rev_oil_perc)-Haute_Mer_1994!CA_rev_for_SPO,0)</f>
        <v>0</v>
      </c>
      <c r="BI248" s="49">
        <f ca="1">MAX(Haute_Mer_1994!CA_gross_rev_oil_fp-Haute_Mer_1994!CA_roy_oil_fp-(Haute_Mer_1994!CA_cost_recovered_total*Haute_Mer_1994!CA_rev_oil_perc)-(Haute_Mer_1994!CA_excess_cost_recovery*Haute_Mer_1994!CA_rev_oil_perc)-Haute_Mer_1994!CA_rev_for_SPO,0)</f>
        <v>0</v>
      </c>
      <c r="BJ248" s="49">
        <f ca="1">MAX(Haute_Mer_1994!CA_gross_rev_oil_fp-Haute_Mer_1994!CA_roy_oil_fp-(Haute_Mer_1994!CA_cost_recovered_total*Haute_Mer_1994!CA_rev_oil_perc)-(Haute_Mer_1994!CA_excess_cost_recovery*Haute_Mer_1994!CA_rev_oil_perc)-Haute_Mer_1994!CA_rev_for_SPO,0)</f>
        <v>0</v>
      </c>
      <c r="BK248" s="49">
        <f ca="1">MAX(Haute_Mer_1994!CA_gross_rev_oil_fp-Haute_Mer_1994!CA_roy_oil_fp-(Haute_Mer_1994!CA_cost_recovered_total*Haute_Mer_1994!CA_rev_oil_perc)-(Haute_Mer_1994!CA_excess_cost_recovery*Haute_Mer_1994!CA_rev_oil_perc)-Haute_Mer_1994!CA_rev_for_SPO,0)</f>
        <v>0</v>
      </c>
      <c r="BL248" s="49">
        <f ca="1">MAX(Haute_Mer_1994!CA_gross_rev_oil_fp-Haute_Mer_1994!CA_roy_oil_fp-(Haute_Mer_1994!CA_cost_recovered_total*Haute_Mer_1994!CA_rev_oil_perc)-(Haute_Mer_1994!CA_excess_cost_recovery*Haute_Mer_1994!CA_rev_oil_perc)-Haute_Mer_1994!CA_rev_for_SPO,0)</f>
        <v>0</v>
      </c>
      <c r="BM248" s="49">
        <f ca="1">MAX(Haute_Mer_1994!CA_gross_rev_oil_fp-Haute_Mer_1994!CA_roy_oil_fp-(Haute_Mer_1994!CA_cost_recovered_total*Haute_Mer_1994!CA_rev_oil_perc)-(Haute_Mer_1994!CA_excess_cost_recovery*Haute_Mer_1994!CA_rev_oil_perc)-Haute_Mer_1994!CA_rev_for_SPO,0)</f>
        <v>0</v>
      </c>
      <c r="BN248" s="49">
        <f ca="1">MAX(Haute_Mer_1994!CA_gross_rev_oil_fp-Haute_Mer_1994!CA_roy_oil_fp-(Haute_Mer_1994!CA_cost_recovered_total*Haute_Mer_1994!CA_rev_oil_perc)-(Haute_Mer_1994!CA_excess_cost_recovery*Haute_Mer_1994!CA_rev_oil_perc)-Haute_Mer_1994!CA_rev_for_SPO,0)</f>
        <v>0</v>
      </c>
      <c r="BO248" s="49">
        <f ca="1">MAX(Haute_Mer_1994!CA_gross_rev_oil_fp-Haute_Mer_1994!CA_roy_oil_fp-(Haute_Mer_1994!CA_cost_recovered_total*Haute_Mer_1994!CA_rev_oil_perc)-(Haute_Mer_1994!CA_excess_cost_recovery*Haute_Mer_1994!CA_rev_oil_perc)-Haute_Mer_1994!CA_rev_for_SPO,0)</f>
        <v>0</v>
      </c>
      <c r="BP248" s="49">
        <f ca="1">MAX(Haute_Mer_1994!CA_gross_rev_oil_fp-Haute_Mer_1994!CA_roy_oil_fp-(Haute_Mer_1994!CA_cost_recovered_total*Haute_Mer_1994!CA_rev_oil_perc)-(Haute_Mer_1994!CA_excess_cost_recovery*Haute_Mer_1994!CA_rev_oil_perc)-Haute_Mer_1994!CA_rev_for_SPO,0)</f>
        <v>0</v>
      </c>
      <c r="BQ248" s="49">
        <f ca="1">MAX(Haute_Mer_1994!CA_gross_rev_oil_fp-Haute_Mer_1994!CA_roy_oil_fp-(Haute_Mer_1994!CA_cost_recovered_total*Haute_Mer_1994!CA_rev_oil_perc)-(Haute_Mer_1994!CA_excess_cost_recovery*Haute_Mer_1994!CA_rev_oil_perc)-Haute_Mer_1994!CA_rev_for_SPO,0)</f>
        <v>0</v>
      </c>
      <c r="BR248" s="49">
        <f ca="1">MAX(Haute_Mer_1994!CA_gross_rev_oil_fp-Haute_Mer_1994!CA_roy_oil_fp-(Haute_Mer_1994!CA_cost_recovered_total*Haute_Mer_1994!CA_rev_oil_perc)-(Haute_Mer_1994!CA_excess_cost_recovery*Haute_Mer_1994!CA_rev_oil_perc)-Haute_Mer_1994!CA_rev_for_SPO,0)</f>
        <v>0</v>
      </c>
      <c r="BS248" s="49">
        <f ca="1">MAX(Haute_Mer_1994!CA_gross_rev_oil_fp-Haute_Mer_1994!CA_roy_oil_fp-(Haute_Mer_1994!CA_cost_recovered_total*Haute_Mer_1994!CA_rev_oil_perc)-(Haute_Mer_1994!CA_excess_cost_recovery*Haute_Mer_1994!CA_rev_oil_perc)-Haute_Mer_1994!CA_rev_for_SPO,0)</f>
        <v>0</v>
      </c>
    </row>
    <row r="249" spans="3:71" outlineLevel="1" x14ac:dyDescent="0.2">
      <c r="D249" s="50" t="s">
        <v>234</v>
      </c>
      <c r="J249" s="26"/>
      <c r="L249" s="53">
        <f ca="1">PS_cont_rate*Haute_Mer_1994!CA_op_trig</f>
        <v>0.5</v>
      </c>
      <c r="M249" s="53">
        <f ca="1">PS_cont_rate*Haute_Mer_1994!CA_op_trig</f>
        <v>0.5</v>
      </c>
      <c r="N249" s="53">
        <f ca="1">PS_cont_rate*Haute_Mer_1994!CA_op_trig</f>
        <v>0.5</v>
      </c>
      <c r="O249" s="53">
        <f ca="1">PS_cont_rate*Haute_Mer_1994!CA_op_trig</f>
        <v>0.5</v>
      </c>
      <c r="P249" s="53">
        <f ca="1">PS_cont_rate*Haute_Mer_1994!CA_op_trig</f>
        <v>0.5</v>
      </c>
      <c r="Q249" s="53">
        <f ca="1">PS_cont_rate*Haute_Mer_1994!CA_op_trig</f>
        <v>0.5</v>
      </c>
      <c r="R249" s="53">
        <f ca="1">PS_cont_rate*Haute_Mer_1994!CA_op_trig</f>
        <v>0.5</v>
      </c>
      <c r="S249" s="53">
        <f ca="1">PS_cont_rate*Haute_Mer_1994!CA_op_trig</f>
        <v>0.5</v>
      </c>
      <c r="T249" s="53">
        <f ca="1">PS_cont_rate*Haute_Mer_1994!CA_op_trig</f>
        <v>0.5</v>
      </c>
      <c r="U249" s="53">
        <f ca="1">PS_cont_rate*Haute_Mer_1994!CA_op_trig</f>
        <v>0.5</v>
      </c>
      <c r="V249" s="53">
        <f ca="1">PS_cont_rate*Haute_Mer_1994!CA_op_trig</f>
        <v>0.5</v>
      </c>
      <c r="W249" s="53">
        <f ca="1">PS_cont_rate*Haute_Mer_1994!CA_op_trig</f>
        <v>0.5</v>
      </c>
      <c r="X249" s="53">
        <f ca="1">PS_cont_rate*Haute_Mer_1994!CA_op_trig</f>
        <v>0.5</v>
      </c>
      <c r="Y249" s="53">
        <f ca="1">PS_cont_rate*Haute_Mer_1994!CA_op_trig</f>
        <v>0</v>
      </c>
      <c r="Z249" s="53">
        <f ca="1">PS_cont_rate*Haute_Mer_1994!CA_op_trig</f>
        <v>0</v>
      </c>
      <c r="AA249" s="53">
        <f ca="1">PS_cont_rate*Haute_Mer_1994!CA_op_trig</f>
        <v>0</v>
      </c>
      <c r="AB249" s="53">
        <f ca="1">PS_cont_rate*Haute_Mer_1994!CA_op_trig</f>
        <v>0</v>
      </c>
      <c r="AC249" s="53">
        <f ca="1">PS_cont_rate*Haute_Mer_1994!CA_op_trig</f>
        <v>0</v>
      </c>
      <c r="AD249" s="53">
        <f ca="1">PS_cont_rate*Haute_Mer_1994!CA_op_trig</f>
        <v>0</v>
      </c>
      <c r="AE249" s="53">
        <f ca="1">PS_cont_rate*Haute_Mer_1994!CA_op_trig</f>
        <v>0</v>
      </c>
      <c r="AF249" s="53">
        <f ca="1">PS_cont_rate*Haute_Mer_1994!CA_op_trig</f>
        <v>0</v>
      </c>
      <c r="AG249" s="53">
        <f ca="1">PS_cont_rate*Haute_Mer_1994!CA_op_trig</f>
        <v>0</v>
      </c>
      <c r="AH249" s="53">
        <f ca="1">PS_cont_rate*Haute_Mer_1994!CA_op_trig</f>
        <v>0</v>
      </c>
      <c r="AI249" s="53">
        <f ca="1">PS_cont_rate*Haute_Mer_1994!CA_op_trig</f>
        <v>0</v>
      </c>
      <c r="AJ249" s="53">
        <f ca="1">PS_cont_rate*Haute_Mer_1994!CA_op_trig</f>
        <v>0</v>
      </c>
      <c r="AK249" s="53">
        <f ca="1">PS_cont_rate*Haute_Mer_1994!CA_op_trig</f>
        <v>0</v>
      </c>
      <c r="AL249" s="53">
        <f ca="1">PS_cont_rate*Haute_Mer_1994!CA_op_trig</f>
        <v>0</v>
      </c>
      <c r="AM249" s="53">
        <f ca="1">PS_cont_rate*Haute_Mer_1994!CA_op_trig</f>
        <v>0</v>
      </c>
      <c r="AN249" s="53">
        <f ca="1">PS_cont_rate*Haute_Mer_1994!CA_op_trig</f>
        <v>0</v>
      </c>
      <c r="AO249" s="53">
        <f ca="1">PS_cont_rate*Haute_Mer_1994!CA_op_trig</f>
        <v>0</v>
      </c>
      <c r="AP249" s="53">
        <f ca="1">PS_cont_rate*Haute_Mer_1994!CA_op_trig</f>
        <v>0</v>
      </c>
      <c r="AQ249" s="53">
        <f ca="1">PS_cont_rate*Haute_Mer_1994!CA_op_trig</f>
        <v>0</v>
      </c>
      <c r="AR249" s="53">
        <f ca="1">PS_cont_rate*Haute_Mer_1994!CA_op_trig</f>
        <v>0</v>
      </c>
      <c r="AS249" s="53">
        <f ca="1">PS_cont_rate*Haute_Mer_1994!CA_op_trig</f>
        <v>0</v>
      </c>
      <c r="AT249" s="53">
        <f ca="1">PS_cont_rate*Haute_Mer_1994!CA_op_trig</f>
        <v>0</v>
      </c>
      <c r="AU249" s="53">
        <f ca="1">PS_cont_rate*Haute_Mer_1994!CA_op_trig</f>
        <v>0</v>
      </c>
      <c r="AV249" s="53">
        <f ca="1">PS_cont_rate*Haute_Mer_1994!CA_op_trig</f>
        <v>0</v>
      </c>
      <c r="AW249" s="53">
        <f ca="1">PS_cont_rate*Haute_Mer_1994!CA_op_trig</f>
        <v>0</v>
      </c>
      <c r="AX249" s="53">
        <f ca="1">PS_cont_rate*Haute_Mer_1994!CA_op_trig</f>
        <v>0</v>
      </c>
      <c r="AY249" s="53">
        <f ca="1">PS_cont_rate*Haute_Mer_1994!CA_op_trig</f>
        <v>0</v>
      </c>
      <c r="AZ249" s="53">
        <f ca="1">PS_cont_rate*Haute_Mer_1994!CA_op_trig</f>
        <v>0</v>
      </c>
      <c r="BA249" s="53">
        <f ca="1">PS_cont_rate*Haute_Mer_1994!CA_op_trig</f>
        <v>0</v>
      </c>
      <c r="BB249" s="53">
        <f ca="1">PS_cont_rate*Haute_Mer_1994!CA_op_trig</f>
        <v>0</v>
      </c>
      <c r="BC249" s="53">
        <f ca="1">PS_cont_rate*Haute_Mer_1994!CA_op_trig</f>
        <v>0</v>
      </c>
      <c r="BD249" s="53">
        <f ca="1">PS_cont_rate*Haute_Mer_1994!CA_op_trig</f>
        <v>0</v>
      </c>
      <c r="BE249" s="53">
        <f ca="1">PS_cont_rate*Haute_Mer_1994!CA_op_trig</f>
        <v>0</v>
      </c>
      <c r="BF249" s="53">
        <f ca="1">PS_cont_rate*Haute_Mer_1994!CA_op_trig</f>
        <v>0</v>
      </c>
      <c r="BG249" s="53">
        <f ca="1">PS_cont_rate*Haute_Mer_1994!CA_op_trig</f>
        <v>0</v>
      </c>
      <c r="BH249" s="53">
        <f ca="1">PS_cont_rate*Haute_Mer_1994!CA_op_trig</f>
        <v>0</v>
      </c>
      <c r="BI249" s="53">
        <f ca="1">PS_cont_rate*Haute_Mer_1994!CA_op_trig</f>
        <v>0</v>
      </c>
      <c r="BJ249" s="53">
        <f ca="1">PS_cont_rate*Haute_Mer_1994!CA_op_trig</f>
        <v>0</v>
      </c>
      <c r="BK249" s="53">
        <f ca="1">PS_cont_rate*Haute_Mer_1994!CA_op_trig</f>
        <v>0</v>
      </c>
      <c r="BL249" s="53">
        <f ca="1">PS_cont_rate*Haute_Mer_1994!CA_op_trig</f>
        <v>0</v>
      </c>
      <c r="BM249" s="53">
        <f ca="1">PS_cont_rate*Haute_Mer_1994!CA_op_trig</f>
        <v>0</v>
      </c>
      <c r="BN249" s="53">
        <f ca="1">PS_cont_rate*Haute_Mer_1994!CA_op_trig</f>
        <v>0</v>
      </c>
      <c r="BO249" s="53">
        <f ca="1">PS_cont_rate*Haute_Mer_1994!CA_op_trig</f>
        <v>0</v>
      </c>
      <c r="BP249" s="53">
        <f ca="1">PS_cont_rate*Haute_Mer_1994!CA_op_trig</f>
        <v>0</v>
      </c>
      <c r="BQ249" s="53">
        <f ca="1">PS_cont_rate*Haute_Mer_1994!CA_op_trig</f>
        <v>0</v>
      </c>
      <c r="BR249" s="53">
        <f ca="1">PS_cont_rate*Haute_Mer_1994!CA_op_trig</f>
        <v>0</v>
      </c>
      <c r="BS249" s="53">
        <f ca="1">PS_cont_rate*Haute_Mer_1994!CA_op_trig</f>
        <v>0</v>
      </c>
    </row>
    <row r="250" spans="3:71" outlineLevel="1" x14ac:dyDescent="0.2">
      <c r="D250" t="s">
        <v>235</v>
      </c>
      <c r="I250" s="30">
        <f t="shared" ca="1" si="67"/>
        <v>1243.6390587032981</v>
      </c>
      <c r="J250" s="26" t="s">
        <v>148</v>
      </c>
      <c r="L250" s="49">
        <f ca="1">L248*L249</f>
        <v>33.120918312467893</v>
      </c>
      <c r="M250" s="49">
        <f t="shared" ref="M250:BS250" ca="1" si="68">M248*M249</f>
        <v>38.562449315999515</v>
      </c>
      <c r="N250" s="49">
        <f t="shared" ca="1" si="68"/>
        <v>45.391639879300001</v>
      </c>
      <c r="O250" s="49">
        <f t="shared" ca="1" si="68"/>
        <v>47.895736402939967</v>
      </c>
      <c r="P250" s="49">
        <f t="shared" ca="1" si="68"/>
        <v>99.670820688030176</v>
      </c>
      <c r="Q250" s="49">
        <f t="shared" ca="1" si="68"/>
        <v>139.97699823984385</v>
      </c>
      <c r="R250" s="49">
        <f t="shared" ca="1" si="68"/>
        <v>146.67031382759535</v>
      </c>
      <c r="S250" s="49">
        <f t="shared" ca="1" si="68"/>
        <v>146.33362880604002</v>
      </c>
      <c r="T250" s="49">
        <f t="shared" ca="1" si="68"/>
        <v>123.83150283621507</v>
      </c>
      <c r="U250" s="49">
        <f t="shared" ca="1" si="68"/>
        <v>113.96554213601524</v>
      </c>
      <c r="V250" s="49">
        <f t="shared" ca="1" si="68"/>
        <v>108.107713270224</v>
      </c>
      <c r="W250" s="49">
        <f t="shared" ca="1" si="68"/>
        <v>102.83193838843073</v>
      </c>
      <c r="X250" s="49">
        <f t="shared" ca="1" si="68"/>
        <v>97.279856600196354</v>
      </c>
      <c r="Y250" s="49">
        <f t="shared" ca="1" si="68"/>
        <v>0</v>
      </c>
      <c r="Z250" s="49">
        <f t="shared" ca="1" si="68"/>
        <v>0</v>
      </c>
      <c r="AA250" s="49">
        <f t="shared" ca="1" si="68"/>
        <v>0</v>
      </c>
      <c r="AB250" s="49">
        <f t="shared" ca="1" si="68"/>
        <v>0</v>
      </c>
      <c r="AC250" s="49">
        <f t="shared" ca="1" si="68"/>
        <v>0</v>
      </c>
      <c r="AD250" s="49">
        <f t="shared" ca="1" si="68"/>
        <v>0</v>
      </c>
      <c r="AE250" s="49">
        <f t="shared" ca="1" si="68"/>
        <v>0</v>
      </c>
      <c r="AF250" s="49">
        <f t="shared" ca="1" si="68"/>
        <v>0</v>
      </c>
      <c r="AG250" s="49">
        <f t="shared" ca="1" si="68"/>
        <v>0</v>
      </c>
      <c r="AH250" s="49">
        <f t="shared" ca="1" si="68"/>
        <v>0</v>
      </c>
      <c r="AI250" s="49">
        <f t="shared" ca="1" si="68"/>
        <v>0</v>
      </c>
      <c r="AJ250" s="49">
        <f t="shared" ca="1" si="68"/>
        <v>0</v>
      </c>
      <c r="AK250" s="49">
        <f t="shared" ca="1" si="68"/>
        <v>0</v>
      </c>
      <c r="AL250" s="49">
        <f t="shared" ca="1" si="68"/>
        <v>0</v>
      </c>
      <c r="AM250" s="49">
        <f t="shared" ca="1" si="68"/>
        <v>0</v>
      </c>
      <c r="AN250" s="49">
        <f t="shared" ca="1" si="68"/>
        <v>0</v>
      </c>
      <c r="AO250" s="49">
        <f t="shared" ca="1" si="68"/>
        <v>0</v>
      </c>
      <c r="AP250" s="49">
        <f t="shared" ca="1" si="68"/>
        <v>0</v>
      </c>
      <c r="AQ250" s="49">
        <f t="shared" ca="1" si="68"/>
        <v>0</v>
      </c>
      <c r="AR250" s="49">
        <f t="shared" ca="1" si="68"/>
        <v>0</v>
      </c>
      <c r="AS250" s="49">
        <f t="shared" ca="1" si="68"/>
        <v>0</v>
      </c>
      <c r="AT250" s="49">
        <f t="shared" ca="1" si="68"/>
        <v>0</v>
      </c>
      <c r="AU250" s="49">
        <f t="shared" ca="1" si="68"/>
        <v>0</v>
      </c>
      <c r="AV250" s="49">
        <f t="shared" ca="1" si="68"/>
        <v>0</v>
      </c>
      <c r="AW250" s="49">
        <f t="shared" ca="1" si="68"/>
        <v>0</v>
      </c>
      <c r="AX250" s="49">
        <f t="shared" ca="1" si="68"/>
        <v>0</v>
      </c>
      <c r="AY250" s="49">
        <f t="shared" ca="1" si="68"/>
        <v>0</v>
      </c>
      <c r="AZ250" s="49">
        <f t="shared" ca="1" si="68"/>
        <v>0</v>
      </c>
      <c r="BA250" s="49">
        <f t="shared" ca="1" si="68"/>
        <v>0</v>
      </c>
      <c r="BB250" s="49">
        <f t="shared" ca="1" si="68"/>
        <v>0</v>
      </c>
      <c r="BC250" s="49">
        <f t="shared" ca="1" si="68"/>
        <v>0</v>
      </c>
      <c r="BD250" s="49">
        <f t="shared" ca="1" si="68"/>
        <v>0</v>
      </c>
      <c r="BE250" s="49">
        <f t="shared" ca="1" si="68"/>
        <v>0</v>
      </c>
      <c r="BF250" s="49">
        <f t="shared" ca="1" si="68"/>
        <v>0</v>
      </c>
      <c r="BG250" s="49">
        <f t="shared" ca="1" si="68"/>
        <v>0</v>
      </c>
      <c r="BH250" s="49">
        <f t="shared" ca="1" si="68"/>
        <v>0</v>
      </c>
      <c r="BI250" s="49">
        <f t="shared" ca="1" si="68"/>
        <v>0</v>
      </c>
      <c r="BJ250" s="49">
        <f t="shared" ca="1" si="68"/>
        <v>0</v>
      </c>
      <c r="BK250" s="49">
        <f t="shared" ca="1" si="68"/>
        <v>0</v>
      </c>
      <c r="BL250" s="49">
        <f t="shared" ca="1" si="68"/>
        <v>0</v>
      </c>
      <c r="BM250" s="49">
        <f t="shared" ca="1" si="68"/>
        <v>0</v>
      </c>
      <c r="BN250" s="49">
        <f t="shared" ca="1" si="68"/>
        <v>0</v>
      </c>
      <c r="BO250" s="49">
        <f t="shared" ca="1" si="68"/>
        <v>0</v>
      </c>
      <c r="BP250" s="49">
        <f t="shared" ca="1" si="68"/>
        <v>0</v>
      </c>
      <c r="BQ250" s="49">
        <f t="shared" ca="1" si="68"/>
        <v>0</v>
      </c>
      <c r="BR250" s="49">
        <f t="shared" ca="1" si="68"/>
        <v>0</v>
      </c>
      <c r="BS250" s="49">
        <f t="shared" ca="1" si="68"/>
        <v>0</v>
      </c>
    </row>
    <row r="251" spans="3:71" outlineLevel="1" x14ac:dyDescent="0.2">
      <c r="D251" t="s">
        <v>236</v>
      </c>
      <c r="I251" s="30">
        <f t="shared" ca="1" si="67"/>
        <v>1243.6390587032981</v>
      </c>
      <c r="J251" s="26" t="s">
        <v>148</v>
      </c>
      <c r="L251" s="49">
        <f ca="1">L248-L250</f>
        <v>33.120918312467893</v>
      </c>
      <c r="M251" s="49">
        <f t="shared" ref="M251:BS251" ca="1" si="69">M248-M250</f>
        <v>38.562449315999515</v>
      </c>
      <c r="N251" s="49">
        <f t="shared" ca="1" si="69"/>
        <v>45.391639879300001</v>
      </c>
      <c r="O251" s="49">
        <f t="shared" ca="1" si="69"/>
        <v>47.895736402939967</v>
      </c>
      <c r="P251" s="49">
        <f t="shared" ca="1" si="69"/>
        <v>99.670820688030176</v>
      </c>
      <c r="Q251" s="49">
        <f t="shared" ca="1" si="69"/>
        <v>139.97699823984385</v>
      </c>
      <c r="R251" s="49">
        <f t="shared" ca="1" si="69"/>
        <v>146.67031382759535</v>
      </c>
      <c r="S251" s="49">
        <f t="shared" ca="1" si="69"/>
        <v>146.33362880604002</v>
      </c>
      <c r="T251" s="49">
        <f t="shared" ca="1" si="69"/>
        <v>123.83150283621507</v>
      </c>
      <c r="U251" s="49">
        <f t="shared" ca="1" si="69"/>
        <v>113.96554213601524</v>
      </c>
      <c r="V251" s="49">
        <f t="shared" ca="1" si="69"/>
        <v>108.107713270224</v>
      </c>
      <c r="W251" s="49">
        <f t="shared" ca="1" si="69"/>
        <v>102.83193838843073</v>
      </c>
      <c r="X251" s="49">
        <f t="shared" ca="1" si="69"/>
        <v>97.279856600196354</v>
      </c>
      <c r="Y251" s="49">
        <f t="shared" ca="1" si="69"/>
        <v>0</v>
      </c>
      <c r="Z251" s="49">
        <f t="shared" ca="1" si="69"/>
        <v>0</v>
      </c>
      <c r="AA251" s="49">
        <f t="shared" ca="1" si="69"/>
        <v>0</v>
      </c>
      <c r="AB251" s="49">
        <f t="shared" ca="1" si="69"/>
        <v>0</v>
      </c>
      <c r="AC251" s="49">
        <f t="shared" ca="1" si="69"/>
        <v>0</v>
      </c>
      <c r="AD251" s="49">
        <f t="shared" ca="1" si="69"/>
        <v>0</v>
      </c>
      <c r="AE251" s="49">
        <f t="shared" ca="1" si="69"/>
        <v>0</v>
      </c>
      <c r="AF251" s="49">
        <f t="shared" ca="1" si="69"/>
        <v>0</v>
      </c>
      <c r="AG251" s="49">
        <f t="shared" ca="1" si="69"/>
        <v>0</v>
      </c>
      <c r="AH251" s="49">
        <f t="shared" ca="1" si="69"/>
        <v>0</v>
      </c>
      <c r="AI251" s="49">
        <f t="shared" ca="1" si="69"/>
        <v>0</v>
      </c>
      <c r="AJ251" s="49">
        <f t="shared" ca="1" si="69"/>
        <v>0</v>
      </c>
      <c r="AK251" s="49">
        <f t="shared" ca="1" si="69"/>
        <v>0</v>
      </c>
      <c r="AL251" s="49">
        <f t="shared" ca="1" si="69"/>
        <v>0</v>
      </c>
      <c r="AM251" s="49">
        <f t="shared" ca="1" si="69"/>
        <v>0</v>
      </c>
      <c r="AN251" s="49">
        <f t="shared" ca="1" si="69"/>
        <v>0</v>
      </c>
      <c r="AO251" s="49">
        <f t="shared" ca="1" si="69"/>
        <v>0</v>
      </c>
      <c r="AP251" s="49">
        <f t="shared" ca="1" si="69"/>
        <v>0</v>
      </c>
      <c r="AQ251" s="49">
        <f t="shared" ca="1" si="69"/>
        <v>0</v>
      </c>
      <c r="AR251" s="49">
        <f t="shared" ca="1" si="69"/>
        <v>0</v>
      </c>
      <c r="AS251" s="49">
        <f t="shared" ca="1" si="69"/>
        <v>0</v>
      </c>
      <c r="AT251" s="49">
        <f t="shared" ca="1" si="69"/>
        <v>0</v>
      </c>
      <c r="AU251" s="49">
        <f t="shared" ca="1" si="69"/>
        <v>0</v>
      </c>
      <c r="AV251" s="49">
        <f t="shared" ca="1" si="69"/>
        <v>0</v>
      </c>
      <c r="AW251" s="49">
        <f t="shared" ca="1" si="69"/>
        <v>0</v>
      </c>
      <c r="AX251" s="49">
        <f t="shared" ca="1" si="69"/>
        <v>0</v>
      </c>
      <c r="AY251" s="49">
        <f t="shared" ca="1" si="69"/>
        <v>0</v>
      </c>
      <c r="AZ251" s="49">
        <f t="shared" ca="1" si="69"/>
        <v>0</v>
      </c>
      <c r="BA251" s="49">
        <f t="shared" ca="1" si="69"/>
        <v>0</v>
      </c>
      <c r="BB251" s="49">
        <f t="shared" ca="1" si="69"/>
        <v>0</v>
      </c>
      <c r="BC251" s="49">
        <f t="shared" ca="1" si="69"/>
        <v>0</v>
      </c>
      <c r="BD251" s="49">
        <f t="shared" ca="1" si="69"/>
        <v>0</v>
      </c>
      <c r="BE251" s="49">
        <f t="shared" ca="1" si="69"/>
        <v>0</v>
      </c>
      <c r="BF251" s="49">
        <f t="shared" ca="1" si="69"/>
        <v>0</v>
      </c>
      <c r="BG251" s="49">
        <f t="shared" ca="1" si="69"/>
        <v>0</v>
      </c>
      <c r="BH251" s="49">
        <f t="shared" ca="1" si="69"/>
        <v>0</v>
      </c>
      <c r="BI251" s="49">
        <f t="shared" ca="1" si="69"/>
        <v>0</v>
      </c>
      <c r="BJ251" s="49">
        <f t="shared" ca="1" si="69"/>
        <v>0</v>
      </c>
      <c r="BK251" s="49">
        <f t="shared" ca="1" si="69"/>
        <v>0</v>
      </c>
      <c r="BL251" s="49">
        <f t="shared" ca="1" si="69"/>
        <v>0</v>
      </c>
      <c r="BM251" s="49">
        <f t="shared" ca="1" si="69"/>
        <v>0</v>
      </c>
      <c r="BN251" s="49">
        <f t="shared" ca="1" si="69"/>
        <v>0</v>
      </c>
      <c r="BO251" s="49">
        <f t="shared" ca="1" si="69"/>
        <v>0</v>
      </c>
      <c r="BP251" s="49">
        <f t="shared" ca="1" si="69"/>
        <v>0</v>
      </c>
      <c r="BQ251" s="49">
        <f t="shared" ca="1" si="69"/>
        <v>0</v>
      </c>
      <c r="BR251" s="49">
        <f t="shared" ca="1" si="69"/>
        <v>0</v>
      </c>
      <c r="BS251" s="49">
        <f t="shared" ca="1" si="69"/>
        <v>0</v>
      </c>
    </row>
    <row r="252" spans="3:71" outlineLevel="1" x14ac:dyDescent="0.2">
      <c r="J252" s="26"/>
      <c r="L252" s="55"/>
      <c r="M252" s="55"/>
      <c r="N252" s="55"/>
      <c r="O252" s="55"/>
      <c r="P252" s="55"/>
      <c r="Q252" s="55"/>
      <c r="R252" s="55"/>
      <c r="S252" s="55"/>
      <c r="T252" s="55"/>
      <c r="U252" s="55"/>
      <c r="V252" s="55"/>
      <c r="W252" s="55"/>
      <c r="X252" s="55"/>
      <c r="Y252" s="55"/>
      <c r="Z252" s="55"/>
      <c r="AA252" s="55"/>
      <c r="AB252" s="55"/>
      <c r="AC252" s="55"/>
      <c r="AD252" s="55"/>
      <c r="AE252" s="55"/>
      <c r="AF252" s="55"/>
      <c r="AG252" s="55"/>
      <c r="AH252" s="55"/>
      <c r="AI252" s="55"/>
      <c r="AJ252" s="55"/>
      <c r="AK252" s="55"/>
      <c r="AL252" s="55"/>
      <c r="AM252" s="55"/>
      <c r="AN252" s="55"/>
      <c r="AO252" s="55"/>
      <c r="AP252" s="55"/>
      <c r="AQ252" s="55"/>
      <c r="AR252" s="55"/>
      <c r="AS252" s="55"/>
      <c r="AT252" s="55"/>
      <c r="AU252" s="55"/>
      <c r="AV252" s="55"/>
      <c r="AW252" s="55"/>
      <c r="AX252" s="55"/>
      <c r="AY252" s="55"/>
      <c r="AZ252" s="55"/>
      <c r="BA252" s="55"/>
      <c r="BB252" s="55"/>
      <c r="BC252" s="55"/>
      <c r="BD252" s="55"/>
      <c r="BE252" s="55"/>
      <c r="BF252" s="55"/>
      <c r="BG252" s="55"/>
      <c r="BH252" s="55"/>
      <c r="BI252" s="55"/>
      <c r="BJ252" s="55"/>
      <c r="BK252" s="55"/>
      <c r="BL252" s="55"/>
      <c r="BM252" s="55"/>
      <c r="BN252" s="55"/>
      <c r="BO252" s="55"/>
      <c r="BP252" s="55"/>
      <c r="BQ252" s="55"/>
      <c r="BR252" s="55"/>
      <c r="BS252" s="55"/>
    </row>
    <row r="253" spans="3:71" outlineLevel="1" x14ac:dyDescent="0.2">
      <c r="D253" s="11" t="s">
        <v>237</v>
      </c>
      <c r="J253" s="26"/>
      <c r="L253" s="55"/>
      <c r="M253" s="55"/>
      <c r="N253" s="55"/>
      <c r="O253" s="55"/>
      <c r="P253" s="55"/>
      <c r="Q253" s="55"/>
      <c r="R253" s="55"/>
      <c r="S253" s="55"/>
      <c r="T253" s="55"/>
      <c r="U253" s="55"/>
      <c r="V253" s="55"/>
      <c r="W253" s="55"/>
      <c r="X253" s="55"/>
      <c r="Y253" s="55"/>
      <c r="Z253" s="55"/>
      <c r="AA253" s="55"/>
      <c r="AB253" s="55"/>
      <c r="AC253" s="55"/>
      <c r="AD253" s="55"/>
      <c r="AE253" s="55"/>
      <c r="AF253" s="55"/>
      <c r="AG253" s="55"/>
      <c r="AH253" s="55"/>
      <c r="AI253" s="55"/>
      <c r="AJ253" s="55"/>
      <c r="AK253" s="55"/>
      <c r="AL253" s="55"/>
      <c r="AM253" s="55"/>
      <c r="AN253" s="55"/>
      <c r="AO253" s="55"/>
      <c r="AP253" s="55"/>
      <c r="AQ253" s="55"/>
      <c r="AR253" s="55"/>
      <c r="AS253" s="55"/>
      <c r="AT253" s="55"/>
      <c r="AU253" s="55"/>
      <c r="AV253" s="55"/>
      <c r="AW253" s="55"/>
      <c r="AX253" s="55"/>
      <c r="AY253" s="55"/>
      <c r="AZ253" s="55"/>
      <c r="BA253" s="55"/>
      <c r="BB253" s="55"/>
      <c r="BC253" s="55"/>
      <c r="BD253" s="55"/>
      <c r="BE253" s="55"/>
      <c r="BF253" s="55"/>
      <c r="BG253" s="55"/>
      <c r="BH253" s="55"/>
      <c r="BI253" s="55"/>
      <c r="BJ253" s="55"/>
      <c r="BK253" s="55"/>
      <c r="BL253" s="55"/>
      <c r="BM253" s="55"/>
      <c r="BN253" s="55"/>
      <c r="BO253" s="55"/>
      <c r="BP253" s="55"/>
      <c r="BQ253" s="55"/>
      <c r="BR253" s="55"/>
      <c r="BS253" s="55"/>
    </row>
    <row r="254" spans="3:71" outlineLevel="1" x14ac:dyDescent="0.2">
      <c r="D254" s="50" t="s">
        <v>238</v>
      </c>
      <c r="I254" s="30">
        <f t="shared" ref="I254:I260" ca="1" si="70">SUM($L254:$BS254)</f>
        <v>0</v>
      </c>
      <c r="J254" s="26" t="s">
        <v>148</v>
      </c>
      <c r="L254" s="49">
        <f t="shared" ref="L254:BS254" ca="1" si="71">MAX(CA_gross_rev_gas_fp-CA_roy_gas_fp-(CA_cost_recovered_total*CA_rev_gas_perc)-(CA_excess_cost_recovery*CA_rev_gas_perc),0)</f>
        <v>0</v>
      </c>
      <c r="M254" s="49">
        <f t="shared" ca="1" si="71"/>
        <v>0</v>
      </c>
      <c r="N254" s="49">
        <f t="shared" ca="1" si="71"/>
        <v>0</v>
      </c>
      <c r="O254" s="49">
        <f t="shared" ca="1" si="71"/>
        <v>0</v>
      </c>
      <c r="P254" s="49">
        <f t="shared" ca="1" si="71"/>
        <v>0</v>
      </c>
      <c r="Q254" s="49">
        <f t="shared" ca="1" si="71"/>
        <v>0</v>
      </c>
      <c r="R254" s="49">
        <f t="shared" ca="1" si="71"/>
        <v>0</v>
      </c>
      <c r="S254" s="49">
        <f t="shared" ca="1" si="71"/>
        <v>0</v>
      </c>
      <c r="T254" s="49">
        <f t="shared" ca="1" si="71"/>
        <v>0</v>
      </c>
      <c r="U254" s="49">
        <f t="shared" ca="1" si="71"/>
        <v>0</v>
      </c>
      <c r="V254" s="49">
        <f t="shared" ca="1" si="71"/>
        <v>0</v>
      </c>
      <c r="W254" s="49">
        <f t="shared" ca="1" si="71"/>
        <v>0</v>
      </c>
      <c r="X254" s="49">
        <f t="shared" ca="1" si="71"/>
        <v>0</v>
      </c>
      <c r="Y254" s="49">
        <f t="shared" ca="1" si="71"/>
        <v>0</v>
      </c>
      <c r="Z254" s="49">
        <f t="shared" ca="1" si="71"/>
        <v>0</v>
      </c>
      <c r="AA254" s="49">
        <f t="shared" ca="1" si="71"/>
        <v>0</v>
      </c>
      <c r="AB254" s="49">
        <f t="shared" ca="1" si="71"/>
        <v>0</v>
      </c>
      <c r="AC254" s="49">
        <f t="shared" ca="1" si="71"/>
        <v>0</v>
      </c>
      <c r="AD254" s="49">
        <f t="shared" ca="1" si="71"/>
        <v>0</v>
      </c>
      <c r="AE254" s="49">
        <f t="shared" ca="1" si="71"/>
        <v>0</v>
      </c>
      <c r="AF254" s="49">
        <f t="shared" ca="1" si="71"/>
        <v>0</v>
      </c>
      <c r="AG254" s="49">
        <f t="shared" ca="1" si="71"/>
        <v>0</v>
      </c>
      <c r="AH254" s="49">
        <f t="shared" ca="1" si="71"/>
        <v>0</v>
      </c>
      <c r="AI254" s="49">
        <f t="shared" ca="1" si="71"/>
        <v>0</v>
      </c>
      <c r="AJ254" s="49">
        <f t="shared" ca="1" si="71"/>
        <v>0</v>
      </c>
      <c r="AK254" s="49">
        <f t="shared" ca="1" si="71"/>
        <v>0</v>
      </c>
      <c r="AL254" s="49">
        <f t="shared" ca="1" si="71"/>
        <v>0</v>
      </c>
      <c r="AM254" s="49">
        <f t="shared" ca="1" si="71"/>
        <v>0</v>
      </c>
      <c r="AN254" s="49">
        <f t="shared" ca="1" si="71"/>
        <v>0</v>
      </c>
      <c r="AO254" s="49">
        <f t="shared" ca="1" si="71"/>
        <v>0</v>
      </c>
      <c r="AP254" s="49">
        <f t="shared" ca="1" si="71"/>
        <v>0</v>
      </c>
      <c r="AQ254" s="49">
        <f t="shared" ca="1" si="71"/>
        <v>0</v>
      </c>
      <c r="AR254" s="49">
        <f t="shared" ca="1" si="71"/>
        <v>0</v>
      </c>
      <c r="AS254" s="49">
        <f t="shared" ca="1" si="71"/>
        <v>0</v>
      </c>
      <c r="AT254" s="49">
        <f t="shared" ca="1" si="71"/>
        <v>0</v>
      </c>
      <c r="AU254" s="49">
        <f t="shared" ca="1" si="71"/>
        <v>0</v>
      </c>
      <c r="AV254" s="49">
        <f t="shared" ca="1" si="71"/>
        <v>0</v>
      </c>
      <c r="AW254" s="49">
        <f t="shared" ca="1" si="71"/>
        <v>0</v>
      </c>
      <c r="AX254" s="49">
        <f t="shared" ca="1" si="71"/>
        <v>0</v>
      </c>
      <c r="AY254" s="49">
        <f t="shared" ca="1" si="71"/>
        <v>0</v>
      </c>
      <c r="AZ254" s="49">
        <f t="shared" ca="1" si="71"/>
        <v>0</v>
      </c>
      <c r="BA254" s="49">
        <f t="shared" ca="1" si="71"/>
        <v>0</v>
      </c>
      <c r="BB254" s="49">
        <f t="shared" ca="1" si="71"/>
        <v>0</v>
      </c>
      <c r="BC254" s="49">
        <f t="shared" ca="1" si="71"/>
        <v>0</v>
      </c>
      <c r="BD254" s="49">
        <f t="shared" ca="1" si="71"/>
        <v>0</v>
      </c>
      <c r="BE254" s="49">
        <f t="shared" ca="1" si="71"/>
        <v>0</v>
      </c>
      <c r="BF254" s="49">
        <f t="shared" ca="1" si="71"/>
        <v>0</v>
      </c>
      <c r="BG254" s="49">
        <f t="shared" ca="1" si="71"/>
        <v>0</v>
      </c>
      <c r="BH254" s="49">
        <f t="shared" ca="1" si="71"/>
        <v>0</v>
      </c>
      <c r="BI254" s="49">
        <f t="shared" ca="1" si="71"/>
        <v>0</v>
      </c>
      <c r="BJ254" s="49">
        <f t="shared" ca="1" si="71"/>
        <v>0</v>
      </c>
      <c r="BK254" s="49">
        <f t="shared" ca="1" si="71"/>
        <v>0</v>
      </c>
      <c r="BL254" s="49">
        <f t="shared" ca="1" si="71"/>
        <v>0</v>
      </c>
      <c r="BM254" s="49">
        <f t="shared" ca="1" si="71"/>
        <v>0</v>
      </c>
      <c r="BN254" s="49">
        <f t="shared" ca="1" si="71"/>
        <v>0</v>
      </c>
      <c r="BO254" s="49">
        <f t="shared" ca="1" si="71"/>
        <v>0</v>
      </c>
      <c r="BP254" s="49">
        <f t="shared" ca="1" si="71"/>
        <v>0</v>
      </c>
      <c r="BQ254" s="49">
        <f t="shared" ca="1" si="71"/>
        <v>0</v>
      </c>
      <c r="BR254" s="49">
        <f t="shared" ca="1" si="71"/>
        <v>0</v>
      </c>
      <c r="BS254" s="49">
        <f t="shared" ca="1" si="71"/>
        <v>0</v>
      </c>
    </row>
    <row r="255" spans="3:71" outlineLevel="1" x14ac:dyDescent="0.2">
      <c r="D255" s="50" t="s">
        <v>234</v>
      </c>
      <c r="J255" s="26"/>
      <c r="L255" s="53">
        <f ca="1">PS_cont_rate*Haute_Mer_1994!CA_op_trig</f>
        <v>0.5</v>
      </c>
      <c r="M255" s="53">
        <f ca="1">PS_cont_rate*Haute_Mer_1994!CA_op_trig</f>
        <v>0.5</v>
      </c>
      <c r="N255" s="53">
        <f ca="1">PS_cont_rate*Haute_Mer_1994!CA_op_trig</f>
        <v>0.5</v>
      </c>
      <c r="O255" s="53">
        <f ca="1">PS_cont_rate*Haute_Mer_1994!CA_op_trig</f>
        <v>0.5</v>
      </c>
      <c r="P255" s="53">
        <f ca="1">PS_cont_rate*Haute_Mer_1994!CA_op_trig</f>
        <v>0.5</v>
      </c>
      <c r="Q255" s="53">
        <f ca="1">PS_cont_rate*Haute_Mer_1994!CA_op_trig</f>
        <v>0.5</v>
      </c>
      <c r="R255" s="53">
        <f ca="1">PS_cont_rate*Haute_Mer_1994!CA_op_trig</f>
        <v>0.5</v>
      </c>
      <c r="S255" s="53">
        <f ca="1">PS_cont_rate*Haute_Mer_1994!CA_op_trig</f>
        <v>0.5</v>
      </c>
      <c r="T255" s="53">
        <f ca="1">PS_cont_rate*Haute_Mer_1994!CA_op_trig</f>
        <v>0.5</v>
      </c>
      <c r="U255" s="53">
        <f ca="1">PS_cont_rate*Haute_Mer_1994!CA_op_trig</f>
        <v>0.5</v>
      </c>
      <c r="V255" s="53">
        <f ca="1">PS_cont_rate*Haute_Mer_1994!CA_op_trig</f>
        <v>0.5</v>
      </c>
      <c r="W255" s="53">
        <f ca="1">PS_cont_rate*Haute_Mer_1994!CA_op_trig</f>
        <v>0.5</v>
      </c>
      <c r="X255" s="53">
        <f ca="1">PS_cont_rate*Haute_Mer_1994!CA_op_trig</f>
        <v>0.5</v>
      </c>
      <c r="Y255" s="53">
        <f ca="1">PS_cont_rate*Haute_Mer_1994!CA_op_trig</f>
        <v>0</v>
      </c>
      <c r="Z255" s="53">
        <f ca="1">PS_cont_rate*Haute_Mer_1994!CA_op_trig</f>
        <v>0</v>
      </c>
      <c r="AA255" s="53">
        <f ca="1">PS_cont_rate*Haute_Mer_1994!CA_op_trig</f>
        <v>0</v>
      </c>
      <c r="AB255" s="53">
        <f ca="1">PS_cont_rate*Haute_Mer_1994!CA_op_trig</f>
        <v>0</v>
      </c>
      <c r="AC255" s="53">
        <f ca="1">PS_cont_rate*Haute_Mer_1994!CA_op_trig</f>
        <v>0</v>
      </c>
      <c r="AD255" s="53">
        <f ca="1">PS_cont_rate*Haute_Mer_1994!CA_op_trig</f>
        <v>0</v>
      </c>
      <c r="AE255" s="53">
        <f ca="1">PS_cont_rate*Haute_Mer_1994!CA_op_trig</f>
        <v>0</v>
      </c>
      <c r="AF255" s="53">
        <f ca="1">PS_cont_rate*Haute_Mer_1994!CA_op_trig</f>
        <v>0</v>
      </c>
      <c r="AG255" s="53">
        <f ca="1">PS_cont_rate*Haute_Mer_1994!CA_op_trig</f>
        <v>0</v>
      </c>
      <c r="AH255" s="53">
        <f ca="1">PS_cont_rate*Haute_Mer_1994!CA_op_trig</f>
        <v>0</v>
      </c>
      <c r="AI255" s="53">
        <f ca="1">PS_cont_rate*Haute_Mer_1994!CA_op_trig</f>
        <v>0</v>
      </c>
      <c r="AJ255" s="53">
        <f ca="1">PS_cont_rate*Haute_Mer_1994!CA_op_trig</f>
        <v>0</v>
      </c>
      <c r="AK255" s="53">
        <f ca="1">PS_cont_rate*Haute_Mer_1994!CA_op_trig</f>
        <v>0</v>
      </c>
      <c r="AL255" s="53">
        <f ca="1">PS_cont_rate*Haute_Mer_1994!CA_op_trig</f>
        <v>0</v>
      </c>
      <c r="AM255" s="53">
        <f ca="1">PS_cont_rate*Haute_Mer_1994!CA_op_trig</f>
        <v>0</v>
      </c>
      <c r="AN255" s="53">
        <f ca="1">PS_cont_rate*Haute_Mer_1994!CA_op_trig</f>
        <v>0</v>
      </c>
      <c r="AO255" s="53">
        <f ca="1">PS_cont_rate*Haute_Mer_1994!CA_op_trig</f>
        <v>0</v>
      </c>
      <c r="AP255" s="53">
        <f ca="1">PS_cont_rate*Haute_Mer_1994!CA_op_trig</f>
        <v>0</v>
      </c>
      <c r="AQ255" s="53">
        <f ca="1">PS_cont_rate*Haute_Mer_1994!CA_op_trig</f>
        <v>0</v>
      </c>
      <c r="AR255" s="53">
        <f ca="1">PS_cont_rate*Haute_Mer_1994!CA_op_trig</f>
        <v>0</v>
      </c>
      <c r="AS255" s="53">
        <f ca="1">PS_cont_rate*Haute_Mer_1994!CA_op_trig</f>
        <v>0</v>
      </c>
      <c r="AT255" s="53">
        <f ca="1">PS_cont_rate*Haute_Mer_1994!CA_op_trig</f>
        <v>0</v>
      </c>
      <c r="AU255" s="53">
        <f ca="1">PS_cont_rate*Haute_Mer_1994!CA_op_trig</f>
        <v>0</v>
      </c>
      <c r="AV255" s="53">
        <f ca="1">PS_cont_rate*Haute_Mer_1994!CA_op_trig</f>
        <v>0</v>
      </c>
      <c r="AW255" s="53">
        <f ca="1">PS_cont_rate*Haute_Mer_1994!CA_op_trig</f>
        <v>0</v>
      </c>
      <c r="AX255" s="53">
        <f ca="1">PS_cont_rate*Haute_Mer_1994!CA_op_trig</f>
        <v>0</v>
      </c>
      <c r="AY255" s="53">
        <f ca="1">PS_cont_rate*Haute_Mer_1994!CA_op_trig</f>
        <v>0</v>
      </c>
      <c r="AZ255" s="53">
        <f ca="1">PS_cont_rate*Haute_Mer_1994!CA_op_trig</f>
        <v>0</v>
      </c>
      <c r="BA255" s="53">
        <f ca="1">PS_cont_rate*Haute_Mer_1994!CA_op_trig</f>
        <v>0</v>
      </c>
      <c r="BB255" s="53">
        <f ca="1">PS_cont_rate*Haute_Mer_1994!CA_op_trig</f>
        <v>0</v>
      </c>
      <c r="BC255" s="53">
        <f ca="1">PS_cont_rate*Haute_Mer_1994!CA_op_trig</f>
        <v>0</v>
      </c>
      <c r="BD255" s="53">
        <f ca="1">PS_cont_rate*Haute_Mer_1994!CA_op_trig</f>
        <v>0</v>
      </c>
      <c r="BE255" s="53">
        <f ca="1">PS_cont_rate*Haute_Mer_1994!CA_op_trig</f>
        <v>0</v>
      </c>
      <c r="BF255" s="53">
        <f ca="1">PS_cont_rate*Haute_Mer_1994!CA_op_trig</f>
        <v>0</v>
      </c>
      <c r="BG255" s="53">
        <f ca="1">PS_cont_rate*Haute_Mer_1994!CA_op_trig</f>
        <v>0</v>
      </c>
      <c r="BH255" s="53">
        <f ca="1">PS_cont_rate*Haute_Mer_1994!CA_op_trig</f>
        <v>0</v>
      </c>
      <c r="BI255" s="53">
        <f ca="1">PS_cont_rate*Haute_Mer_1994!CA_op_trig</f>
        <v>0</v>
      </c>
      <c r="BJ255" s="53">
        <f ca="1">PS_cont_rate*Haute_Mer_1994!CA_op_trig</f>
        <v>0</v>
      </c>
      <c r="BK255" s="53">
        <f ca="1">PS_cont_rate*Haute_Mer_1994!CA_op_trig</f>
        <v>0</v>
      </c>
      <c r="BL255" s="53">
        <f ca="1">PS_cont_rate*Haute_Mer_1994!CA_op_trig</f>
        <v>0</v>
      </c>
      <c r="BM255" s="53">
        <f ca="1">PS_cont_rate*Haute_Mer_1994!CA_op_trig</f>
        <v>0</v>
      </c>
      <c r="BN255" s="53">
        <f ca="1">PS_cont_rate*Haute_Mer_1994!CA_op_trig</f>
        <v>0</v>
      </c>
      <c r="BO255" s="53">
        <f ca="1">PS_cont_rate*Haute_Mer_1994!CA_op_trig</f>
        <v>0</v>
      </c>
      <c r="BP255" s="53">
        <f ca="1">PS_cont_rate*Haute_Mer_1994!CA_op_trig</f>
        <v>0</v>
      </c>
      <c r="BQ255" s="53">
        <f ca="1">PS_cont_rate*Haute_Mer_1994!CA_op_trig</f>
        <v>0</v>
      </c>
      <c r="BR255" s="53">
        <f ca="1">PS_cont_rate*Haute_Mer_1994!CA_op_trig</f>
        <v>0</v>
      </c>
      <c r="BS255" s="53">
        <f ca="1">PS_cont_rate*Haute_Mer_1994!CA_op_trig</f>
        <v>0</v>
      </c>
    </row>
    <row r="256" spans="3:71" outlineLevel="1" x14ac:dyDescent="0.2">
      <c r="D256" t="s">
        <v>235</v>
      </c>
      <c r="I256" s="30">
        <f t="shared" ca="1" si="70"/>
        <v>0</v>
      </c>
      <c r="J256" s="26" t="s">
        <v>148</v>
      </c>
      <c r="L256" s="49">
        <f ca="1">L254*L255</f>
        <v>0</v>
      </c>
      <c r="M256" s="49">
        <f t="shared" ref="M256:BS256" ca="1" si="72">M254*M255</f>
        <v>0</v>
      </c>
      <c r="N256" s="49">
        <f t="shared" ca="1" si="72"/>
        <v>0</v>
      </c>
      <c r="O256" s="49">
        <f t="shared" ca="1" si="72"/>
        <v>0</v>
      </c>
      <c r="P256" s="49">
        <f t="shared" ca="1" si="72"/>
        <v>0</v>
      </c>
      <c r="Q256" s="49">
        <f t="shared" ca="1" si="72"/>
        <v>0</v>
      </c>
      <c r="R256" s="49">
        <f t="shared" ca="1" si="72"/>
        <v>0</v>
      </c>
      <c r="S256" s="49">
        <f t="shared" ca="1" si="72"/>
        <v>0</v>
      </c>
      <c r="T256" s="49">
        <f t="shared" ca="1" si="72"/>
        <v>0</v>
      </c>
      <c r="U256" s="49">
        <f t="shared" ca="1" si="72"/>
        <v>0</v>
      </c>
      <c r="V256" s="49">
        <f t="shared" ca="1" si="72"/>
        <v>0</v>
      </c>
      <c r="W256" s="49">
        <f t="shared" ca="1" si="72"/>
        <v>0</v>
      </c>
      <c r="X256" s="49">
        <f t="shared" ca="1" si="72"/>
        <v>0</v>
      </c>
      <c r="Y256" s="49">
        <f t="shared" ca="1" si="72"/>
        <v>0</v>
      </c>
      <c r="Z256" s="49">
        <f t="shared" ca="1" si="72"/>
        <v>0</v>
      </c>
      <c r="AA256" s="49">
        <f t="shared" ca="1" si="72"/>
        <v>0</v>
      </c>
      <c r="AB256" s="49">
        <f t="shared" ca="1" si="72"/>
        <v>0</v>
      </c>
      <c r="AC256" s="49">
        <f t="shared" ca="1" si="72"/>
        <v>0</v>
      </c>
      <c r="AD256" s="49">
        <f t="shared" ca="1" si="72"/>
        <v>0</v>
      </c>
      <c r="AE256" s="49">
        <f t="shared" ca="1" si="72"/>
        <v>0</v>
      </c>
      <c r="AF256" s="49">
        <f t="shared" ca="1" si="72"/>
        <v>0</v>
      </c>
      <c r="AG256" s="49">
        <f t="shared" ca="1" si="72"/>
        <v>0</v>
      </c>
      <c r="AH256" s="49">
        <f t="shared" ca="1" si="72"/>
        <v>0</v>
      </c>
      <c r="AI256" s="49">
        <f t="shared" ca="1" si="72"/>
        <v>0</v>
      </c>
      <c r="AJ256" s="49">
        <f t="shared" ca="1" si="72"/>
        <v>0</v>
      </c>
      <c r="AK256" s="49">
        <f t="shared" ca="1" si="72"/>
        <v>0</v>
      </c>
      <c r="AL256" s="49">
        <f t="shared" ca="1" si="72"/>
        <v>0</v>
      </c>
      <c r="AM256" s="49">
        <f t="shared" ca="1" si="72"/>
        <v>0</v>
      </c>
      <c r="AN256" s="49">
        <f t="shared" ca="1" si="72"/>
        <v>0</v>
      </c>
      <c r="AO256" s="49">
        <f t="shared" ca="1" si="72"/>
        <v>0</v>
      </c>
      <c r="AP256" s="49">
        <f t="shared" ca="1" si="72"/>
        <v>0</v>
      </c>
      <c r="AQ256" s="49">
        <f t="shared" ca="1" si="72"/>
        <v>0</v>
      </c>
      <c r="AR256" s="49">
        <f t="shared" ca="1" si="72"/>
        <v>0</v>
      </c>
      <c r="AS256" s="49">
        <f t="shared" ca="1" si="72"/>
        <v>0</v>
      </c>
      <c r="AT256" s="49">
        <f t="shared" ca="1" si="72"/>
        <v>0</v>
      </c>
      <c r="AU256" s="49">
        <f t="shared" ca="1" si="72"/>
        <v>0</v>
      </c>
      <c r="AV256" s="49">
        <f t="shared" ca="1" si="72"/>
        <v>0</v>
      </c>
      <c r="AW256" s="49">
        <f t="shared" ca="1" si="72"/>
        <v>0</v>
      </c>
      <c r="AX256" s="49">
        <f t="shared" ca="1" si="72"/>
        <v>0</v>
      </c>
      <c r="AY256" s="49">
        <f t="shared" ca="1" si="72"/>
        <v>0</v>
      </c>
      <c r="AZ256" s="49">
        <f t="shared" ca="1" si="72"/>
        <v>0</v>
      </c>
      <c r="BA256" s="49">
        <f t="shared" ca="1" si="72"/>
        <v>0</v>
      </c>
      <c r="BB256" s="49">
        <f t="shared" ca="1" si="72"/>
        <v>0</v>
      </c>
      <c r="BC256" s="49">
        <f t="shared" ca="1" si="72"/>
        <v>0</v>
      </c>
      <c r="BD256" s="49">
        <f t="shared" ca="1" si="72"/>
        <v>0</v>
      </c>
      <c r="BE256" s="49">
        <f t="shared" ca="1" si="72"/>
        <v>0</v>
      </c>
      <c r="BF256" s="49">
        <f t="shared" ca="1" si="72"/>
        <v>0</v>
      </c>
      <c r="BG256" s="49">
        <f t="shared" ca="1" si="72"/>
        <v>0</v>
      </c>
      <c r="BH256" s="49">
        <f t="shared" ca="1" si="72"/>
        <v>0</v>
      </c>
      <c r="BI256" s="49">
        <f t="shared" ca="1" si="72"/>
        <v>0</v>
      </c>
      <c r="BJ256" s="49">
        <f t="shared" ca="1" si="72"/>
        <v>0</v>
      </c>
      <c r="BK256" s="49">
        <f t="shared" ca="1" si="72"/>
        <v>0</v>
      </c>
      <c r="BL256" s="49">
        <f t="shared" ca="1" si="72"/>
        <v>0</v>
      </c>
      <c r="BM256" s="49">
        <f t="shared" ca="1" si="72"/>
        <v>0</v>
      </c>
      <c r="BN256" s="49">
        <f t="shared" ca="1" si="72"/>
        <v>0</v>
      </c>
      <c r="BO256" s="49">
        <f t="shared" ca="1" si="72"/>
        <v>0</v>
      </c>
      <c r="BP256" s="49">
        <f t="shared" ca="1" si="72"/>
        <v>0</v>
      </c>
      <c r="BQ256" s="49">
        <f t="shared" ca="1" si="72"/>
        <v>0</v>
      </c>
      <c r="BR256" s="49">
        <f t="shared" ca="1" si="72"/>
        <v>0</v>
      </c>
      <c r="BS256" s="49">
        <f t="shared" ca="1" si="72"/>
        <v>0</v>
      </c>
    </row>
    <row r="257" spans="1:71" outlineLevel="1" x14ac:dyDescent="0.2">
      <c r="D257" t="s">
        <v>236</v>
      </c>
      <c r="I257" s="30">
        <f t="shared" ca="1" si="70"/>
        <v>0</v>
      </c>
      <c r="J257" s="26" t="s">
        <v>148</v>
      </c>
      <c r="L257" s="49">
        <f ca="1">L254-L256</f>
        <v>0</v>
      </c>
      <c r="M257" s="49">
        <f t="shared" ref="M257:BS257" ca="1" si="73">M254-M256</f>
        <v>0</v>
      </c>
      <c r="N257" s="49">
        <f t="shared" ca="1" si="73"/>
        <v>0</v>
      </c>
      <c r="O257" s="49">
        <f t="shared" ca="1" si="73"/>
        <v>0</v>
      </c>
      <c r="P257" s="49">
        <f t="shared" ca="1" si="73"/>
        <v>0</v>
      </c>
      <c r="Q257" s="49">
        <f t="shared" ca="1" si="73"/>
        <v>0</v>
      </c>
      <c r="R257" s="49">
        <f t="shared" ca="1" si="73"/>
        <v>0</v>
      </c>
      <c r="S257" s="49">
        <f t="shared" ca="1" si="73"/>
        <v>0</v>
      </c>
      <c r="T257" s="49">
        <f t="shared" ca="1" si="73"/>
        <v>0</v>
      </c>
      <c r="U257" s="49">
        <f t="shared" ca="1" si="73"/>
        <v>0</v>
      </c>
      <c r="V257" s="49">
        <f t="shared" ca="1" si="73"/>
        <v>0</v>
      </c>
      <c r="W257" s="49">
        <f t="shared" ca="1" si="73"/>
        <v>0</v>
      </c>
      <c r="X257" s="49">
        <f t="shared" ca="1" si="73"/>
        <v>0</v>
      </c>
      <c r="Y257" s="49">
        <f t="shared" ca="1" si="73"/>
        <v>0</v>
      </c>
      <c r="Z257" s="49">
        <f t="shared" ca="1" si="73"/>
        <v>0</v>
      </c>
      <c r="AA257" s="49">
        <f t="shared" ca="1" si="73"/>
        <v>0</v>
      </c>
      <c r="AB257" s="49">
        <f t="shared" ca="1" si="73"/>
        <v>0</v>
      </c>
      <c r="AC257" s="49">
        <f t="shared" ca="1" si="73"/>
        <v>0</v>
      </c>
      <c r="AD257" s="49">
        <f t="shared" ca="1" si="73"/>
        <v>0</v>
      </c>
      <c r="AE257" s="49">
        <f t="shared" ca="1" si="73"/>
        <v>0</v>
      </c>
      <c r="AF257" s="49">
        <f t="shared" ca="1" si="73"/>
        <v>0</v>
      </c>
      <c r="AG257" s="49">
        <f t="shared" ca="1" si="73"/>
        <v>0</v>
      </c>
      <c r="AH257" s="49">
        <f t="shared" ca="1" si="73"/>
        <v>0</v>
      </c>
      <c r="AI257" s="49">
        <f t="shared" ca="1" si="73"/>
        <v>0</v>
      </c>
      <c r="AJ257" s="49">
        <f t="shared" ca="1" si="73"/>
        <v>0</v>
      </c>
      <c r="AK257" s="49">
        <f t="shared" ca="1" si="73"/>
        <v>0</v>
      </c>
      <c r="AL257" s="49">
        <f t="shared" ca="1" si="73"/>
        <v>0</v>
      </c>
      <c r="AM257" s="49">
        <f t="shared" ca="1" si="73"/>
        <v>0</v>
      </c>
      <c r="AN257" s="49">
        <f t="shared" ca="1" si="73"/>
        <v>0</v>
      </c>
      <c r="AO257" s="49">
        <f t="shared" ca="1" si="73"/>
        <v>0</v>
      </c>
      <c r="AP257" s="49">
        <f t="shared" ca="1" si="73"/>
        <v>0</v>
      </c>
      <c r="AQ257" s="49">
        <f t="shared" ca="1" si="73"/>
        <v>0</v>
      </c>
      <c r="AR257" s="49">
        <f t="shared" ca="1" si="73"/>
        <v>0</v>
      </c>
      <c r="AS257" s="49">
        <f t="shared" ca="1" si="73"/>
        <v>0</v>
      </c>
      <c r="AT257" s="49">
        <f t="shared" ca="1" si="73"/>
        <v>0</v>
      </c>
      <c r="AU257" s="49">
        <f t="shared" ca="1" si="73"/>
        <v>0</v>
      </c>
      <c r="AV257" s="49">
        <f t="shared" ca="1" si="73"/>
        <v>0</v>
      </c>
      <c r="AW257" s="49">
        <f t="shared" ca="1" si="73"/>
        <v>0</v>
      </c>
      <c r="AX257" s="49">
        <f t="shared" ca="1" si="73"/>
        <v>0</v>
      </c>
      <c r="AY257" s="49">
        <f t="shared" ca="1" si="73"/>
        <v>0</v>
      </c>
      <c r="AZ257" s="49">
        <f t="shared" ca="1" si="73"/>
        <v>0</v>
      </c>
      <c r="BA257" s="49">
        <f t="shared" ca="1" si="73"/>
        <v>0</v>
      </c>
      <c r="BB257" s="49">
        <f t="shared" ca="1" si="73"/>
        <v>0</v>
      </c>
      <c r="BC257" s="49">
        <f t="shared" ca="1" si="73"/>
        <v>0</v>
      </c>
      <c r="BD257" s="49">
        <f t="shared" ca="1" si="73"/>
        <v>0</v>
      </c>
      <c r="BE257" s="49">
        <f t="shared" ca="1" si="73"/>
        <v>0</v>
      </c>
      <c r="BF257" s="49">
        <f t="shared" ca="1" si="73"/>
        <v>0</v>
      </c>
      <c r="BG257" s="49">
        <f t="shared" ca="1" si="73"/>
        <v>0</v>
      </c>
      <c r="BH257" s="49">
        <f t="shared" ca="1" si="73"/>
        <v>0</v>
      </c>
      <c r="BI257" s="49">
        <f t="shared" ca="1" si="73"/>
        <v>0</v>
      </c>
      <c r="BJ257" s="49">
        <f t="shared" ca="1" si="73"/>
        <v>0</v>
      </c>
      <c r="BK257" s="49">
        <f t="shared" ca="1" si="73"/>
        <v>0</v>
      </c>
      <c r="BL257" s="49">
        <f t="shared" ca="1" si="73"/>
        <v>0</v>
      </c>
      <c r="BM257" s="49">
        <f t="shared" ca="1" si="73"/>
        <v>0</v>
      </c>
      <c r="BN257" s="49">
        <f t="shared" ca="1" si="73"/>
        <v>0</v>
      </c>
      <c r="BO257" s="49">
        <f t="shared" ca="1" si="73"/>
        <v>0</v>
      </c>
      <c r="BP257" s="49">
        <f t="shared" ca="1" si="73"/>
        <v>0</v>
      </c>
      <c r="BQ257" s="49">
        <f t="shared" ca="1" si="73"/>
        <v>0</v>
      </c>
      <c r="BR257" s="49">
        <f t="shared" ca="1" si="73"/>
        <v>0</v>
      </c>
      <c r="BS257" s="49">
        <f t="shared" ca="1" si="73"/>
        <v>0</v>
      </c>
    </row>
    <row r="258" spans="1:71" outlineLevel="1" x14ac:dyDescent="0.2">
      <c r="J258" s="26"/>
      <c r="L258" s="55"/>
      <c r="M258" s="55"/>
      <c r="N258" s="55"/>
      <c r="O258" s="55"/>
      <c r="P258" s="55"/>
      <c r="Q258" s="55"/>
      <c r="R258" s="55"/>
      <c r="S258" s="55"/>
      <c r="T258" s="55"/>
      <c r="U258" s="55"/>
      <c r="V258" s="55"/>
      <c r="W258" s="55"/>
      <c r="X258" s="55"/>
      <c r="Y258" s="55"/>
      <c r="Z258" s="55"/>
      <c r="AA258" s="55"/>
      <c r="AB258" s="55"/>
      <c r="AC258" s="55"/>
      <c r="AD258" s="55"/>
      <c r="AE258" s="55"/>
      <c r="AF258" s="55"/>
      <c r="AG258" s="55"/>
      <c r="AH258" s="55"/>
      <c r="AI258" s="55"/>
      <c r="AJ258" s="55"/>
      <c r="AK258" s="55"/>
      <c r="AL258" s="55"/>
      <c r="AM258" s="55"/>
      <c r="AN258" s="55"/>
      <c r="AO258" s="55"/>
      <c r="AP258" s="55"/>
      <c r="AQ258" s="55"/>
      <c r="AR258" s="55"/>
      <c r="AS258" s="55"/>
      <c r="AT258" s="55"/>
      <c r="AU258" s="55"/>
      <c r="AV258" s="55"/>
      <c r="AW258" s="55"/>
      <c r="AX258" s="55"/>
      <c r="AY258" s="55"/>
      <c r="AZ258" s="55"/>
      <c r="BA258" s="55"/>
      <c r="BB258" s="55"/>
      <c r="BC258" s="55"/>
      <c r="BD258" s="55"/>
      <c r="BE258" s="55"/>
      <c r="BF258" s="55"/>
      <c r="BG258" s="55"/>
      <c r="BH258" s="55"/>
      <c r="BI258" s="55"/>
      <c r="BJ258" s="55"/>
      <c r="BK258" s="55"/>
      <c r="BL258" s="55"/>
      <c r="BM258" s="55"/>
      <c r="BN258" s="55"/>
      <c r="BO258" s="55"/>
      <c r="BP258" s="55"/>
      <c r="BQ258" s="55"/>
      <c r="BR258" s="55"/>
      <c r="BS258" s="55"/>
    </row>
    <row r="259" spans="1:71" outlineLevel="1" x14ac:dyDescent="0.2">
      <c r="D259" s="11" t="s">
        <v>239</v>
      </c>
      <c r="I259" s="30">
        <f t="shared" ca="1" si="70"/>
        <v>1243.6390587032981</v>
      </c>
      <c r="J259" s="26" t="s">
        <v>148</v>
      </c>
      <c r="K259" s="7" t="s">
        <v>241</v>
      </c>
      <c r="L259" s="49">
        <f ca="1">SUM(L250,L256)</f>
        <v>33.120918312467893</v>
      </c>
      <c r="M259" s="49">
        <f t="shared" ref="M259:BS260" ca="1" si="74">SUM(M250,M256)</f>
        <v>38.562449315999515</v>
      </c>
      <c r="N259" s="49">
        <f t="shared" ca="1" si="74"/>
        <v>45.391639879300001</v>
      </c>
      <c r="O259" s="49">
        <f t="shared" ca="1" si="74"/>
        <v>47.895736402939967</v>
      </c>
      <c r="P259" s="49">
        <f t="shared" ca="1" si="74"/>
        <v>99.670820688030176</v>
      </c>
      <c r="Q259" s="49">
        <f t="shared" ca="1" si="74"/>
        <v>139.97699823984385</v>
      </c>
      <c r="R259" s="49">
        <f t="shared" ca="1" si="74"/>
        <v>146.67031382759535</v>
      </c>
      <c r="S259" s="49">
        <f t="shared" ca="1" si="74"/>
        <v>146.33362880604002</v>
      </c>
      <c r="T259" s="49">
        <f t="shared" ca="1" si="74"/>
        <v>123.83150283621507</v>
      </c>
      <c r="U259" s="49">
        <f t="shared" ca="1" si="74"/>
        <v>113.96554213601524</v>
      </c>
      <c r="V259" s="49">
        <f t="shared" ca="1" si="74"/>
        <v>108.107713270224</v>
      </c>
      <c r="W259" s="49">
        <f t="shared" ca="1" si="74"/>
        <v>102.83193838843073</v>
      </c>
      <c r="X259" s="49">
        <f t="shared" ca="1" si="74"/>
        <v>97.279856600196354</v>
      </c>
      <c r="Y259" s="49">
        <f t="shared" ca="1" si="74"/>
        <v>0</v>
      </c>
      <c r="Z259" s="49">
        <f t="shared" ca="1" si="74"/>
        <v>0</v>
      </c>
      <c r="AA259" s="49">
        <f t="shared" ca="1" si="74"/>
        <v>0</v>
      </c>
      <c r="AB259" s="49">
        <f t="shared" ca="1" si="74"/>
        <v>0</v>
      </c>
      <c r="AC259" s="49">
        <f t="shared" ca="1" si="74"/>
        <v>0</v>
      </c>
      <c r="AD259" s="49">
        <f t="shared" ca="1" si="74"/>
        <v>0</v>
      </c>
      <c r="AE259" s="49">
        <f t="shared" ca="1" si="74"/>
        <v>0</v>
      </c>
      <c r="AF259" s="49">
        <f t="shared" ca="1" si="74"/>
        <v>0</v>
      </c>
      <c r="AG259" s="49">
        <f t="shared" ca="1" si="74"/>
        <v>0</v>
      </c>
      <c r="AH259" s="49">
        <f t="shared" ca="1" si="74"/>
        <v>0</v>
      </c>
      <c r="AI259" s="49">
        <f t="shared" ca="1" si="74"/>
        <v>0</v>
      </c>
      <c r="AJ259" s="49">
        <f t="shared" ca="1" si="74"/>
        <v>0</v>
      </c>
      <c r="AK259" s="49">
        <f t="shared" ca="1" si="74"/>
        <v>0</v>
      </c>
      <c r="AL259" s="49">
        <f t="shared" ca="1" si="74"/>
        <v>0</v>
      </c>
      <c r="AM259" s="49">
        <f t="shared" ca="1" si="74"/>
        <v>0</v>
      </c>
      <c r="AN259" s="49">
        <f t="shared" ca="1" si="74"/>
        <v>0</v>
      </c>
      <c r="AO259" s="49">
        <f t="shared" ca="1" si="74"/>
        <v>0</v>
      </c>
      <c r="AP259" s="49">
        <f t="shared" ca="1" si="74"/>
        <v>0</v>
      </c>
      <c r="AQ259" s="49">
        <f t="shared" ca="1" si="74"/>
        <v>0</v>
      </c>
      <c r="AR259" s="49">
        <f t="shared" ca="1" si="74"/>
        <v>0</v>
      </c>
      <c r="AS259" s="49">
        <f t="shared" ca="1" si="74"/>
        <v>0</v>
      </c>
      <c r="AT259" s="49">
        <f t="shared" ca="1" si="74"/>
        <v>0</v>
      </c>
      <c r="AU259" s="49">
        <f t="shared" ca="1" si="74"/>
        <v>0</v>
      </c>
      <c r="AV259" s="49">
        <f t="shared" ca="1" si="74"/>
        <v>0</v>
      </c>
      <c r="AW259" s="49">
        <f t="shared" ca="1" si="74"/>
        <v>0</v>
      </c>
      <c r="AX259" s="49">
        <f t="shared" ca="1" si="74"/>
        <v>0</v>
      </c>
      <c r="AY259" s="49">
        <f t="shared" ca="1" si="74"/>
        <v>0</v>
      </c>
      <c r="AZ259" s="49">
        <f t="shared" ca="1" si="74"/>
        <v>0</v>
      </c>
      <c r="BA259" s="49">
        <f t="shared" ca="1" si="74"/>
        <v>0</v>
      </c>
      <c r="BB259" s="49">
        <f t="shared" ca="1" si="74"/>
        <v>0</v>
      </c>
      <c r="BC259" s="49">
        <f t="shared" ca="1" si="74"/>
        <v>0</v>
      </c>
      <c r="BD259" s="49">
        <f t="shared" ca="1" si="74"/>
        <v>0</v>
      </c>
      <c r="BE259" s="49">
        <f t="shared" ca="1" si="74"/>
        <v>0</v>
      </c>
      <c r="BF259" s="49">
        <f t="shared" ca="1" si="74"/>
        <v>0</v>
      </c>
      <c r="BG259" s="49">
        <f t="shared" ca="1" si="74"/>
        <v>0</v>
      </c>
      <c r="BH259" s="49">
        <f t="shared" ca="1" si="74"/>
        <v>0</v>
      </c>
      <c r="BI259" s="49">
        <f t="shared" ca="1" si="74"/>
        <v>0</v>
      </c>
      <c r="BJ259" s="49">
        <f t="shared" ca="1" si="74"/>
        <v>0</v>
      </c>
      <c r="BK259" s="49">
        <f t="shared" ca="1" si="74"/>
        <v>0</v>
      </c>
      <c r="BL259" s="49">
        <f t="shared" ca="1" si="74"/>
        <v>0</v>
      </c>
      <c r="BM259" s="49">
        <f t="shared" ca="1" si="74"/>
        <v>0</v>
      </c>
      <c r="BN259" s="49">
        <f t="shared" ca="1" si="74"/>
        <v>0</v>
      </c>
      <c r="BO259" s="49">
        <f t="shared" ca="1" si="74"/>
        <v>0</v>
      </c>
      <c r="BP259" s="49">
        <f t="shared" ca="1" si="74"/>
        <v>0</v>
      </c>
      <c r="BQ259" s="49">
        <f t="shared" ca="1" si="74"/>
        <v>0</v>
      </c>
      <c r="BR259" s="49">
        <f t="shared" ca="1" si="74"/>
        <v>0</v>
      </c>
      <c r="BS259" s="49">
        <f t="shared" ca="1" si="74"/>
        <v>0</v>
      </c>
    </row>
    <row r="260" spans="1:71" outlineLevel="1" x14ac:dyDescent="0.2">
      <c r="D260" s="11" t="s">
        <v>240</v>
      </c>
      <c r="I260" s="30">
        <f t="shared" ca="1" si="70"/>
        <v>1243.6390587032981</v>
      </c>
      <c r="J260" s="26" t="s">
        <v>148</v>
      </c>
      <c r="K260" s="7" t="s">
        <v>242</v>
      </c>
      <c r="L260" s="49">
        <f ca="1">SUM(L251,L257)</f>
        <v>33.120918312467893</v>
      </c>
      <c r="M260" s="49">
        <f t="shared" ca="1" si="74"/>
        <v>38.562449315999515</v>
      </c>
      <c r="N260" s="49">
        <f t="shared" ca="1" si="74"/>
        <v>45.391639879300001</v>
      </c>
      <c r="O260" s="49">
        <f t="shared" ca="1" si="74"/>
        <v>47.895736402939967</v>
      </c>
      <c r="P260" s="49">
        <f t="shared" ca="1" si="74"/>
        <v>99.670820688030176</v>
      </c>
      <c r="Q260" s="49">
        <f t="shared" ca="1" si="74"/>
        <v>139.97699823984385</v>
      </c>
      <c r="R260" s="49">
        <f t="shared" ca="1" si="74"/>
        <v>146.67031382759535</v>
      </c>
      <c r="S260" s="49">
        <f t="shared" ca="1" si="74"/>
        <v>146.33362880604002</v>
      </c>
      <c r="T260" s="49">
        <f t="shared" ca="1" si="74"/>
        <v>123.83150283621507</v>
      </c>
      <c r="U260" s="49">
        <f t="shared" ca="1" si="74"/>
        <v>113.96554213601524</v>
      </c>
      <c r="V260" s="49">
        <f t="shared" ca="1" si="74"/>
        <v>108.107713270224</v>
      </c>
      <c r="W260" s="49">
        <f t="shared" ca="1" si="74"/>
        <v>102.83193838843073</v>
      </c>
      <c r="X260" s="49">
        <f t="shared" ca="1" si="74"/>
        <v>97.279856600196354</v>
      </c>
      <c r="Y260" s="49">
        <f t="shared" ca="1" si="74"/>
        <v>0</v>
      </c>
      <c r="Z260" s="49">
        <f t="shared" ca="1" si="74"/>
        <v>0</v>
      </c>
      <c r="AA260" s="49">
        <f t="shared" ca="1" si="74"/>
        <v>0</v>
      </c>
      <c r="AB260" s="49">
        <f t="shared" ca="1" si="74"/>
        <v>0</v>
      </c>
      <c r="AC260" s="49">
        <f t="shared" ca="1" si="74"/>
        <v>0</v>
      </c>
      <c r="AD260" s="49">
        <f t="shared" ca="1" si="74"/>
        <v>0</v>
      </c>
      <c r="AE260" s="49">
        <f t="shared" ca="1" si="74"/>
        <v>0</v>
      </c>
      <c r="AF260" s="49">
        <f t="shared" ca="1" si="74"/>
        <v>0</v>
      </c>
      <c r="AG260" s="49">
        <f t="shared" ca="1" si="74"/>
        <v>0</v>
      </c>
      <c r="AH260" s="49">
        <f t="shared" ca="1" si="74"/>
        <v>0</v>
      </c>
      <c r="AI260" s="49">
        <f t="shared" ca="1" si="74"/>
        <v>0</v>
      </c>
      <c r="AJ260" s="49">
        <f t="shared" ca="1" si="74"/>
        <v>0</v>
      </c>
      <c r="AK260" s="49">
        <f t="shared" ca="1" si="74"/>
        <v>0</v>
      </c>
      <c r="AL260" s="49">
        <f t="shared" ca="1" si="74"/>
        <v>0</v>
      </c>
      <c r="AM260" s="49">
        <f t="shared" ca="1" si="74"/>
        <v>0</v>
      </c>
      <c r="AN260" s="49">
        <f t="shared" ca="1" si="74"/>
        <v>0</v>
      </c>
      <c r="AO260" s="49">
        <f t="shared" ca="1" si="74"/>
        <v>0</v>
      </c>
      <c r="AP260" s="49">
        <f t="shared" ca="1" si="74"/>
        <v>0</v>
      </c>
      <c r="AQ260" s="49">
        <f t="shared" ca="1" si="74"/>
        <v>0</v>
      </c>
      <c r="AR260" s="49">
        <f t="shared" ca="1" si="74"/>
        <v>0</v>
      </c>
      <c r="AS260" s="49">
        <f t="shared" ca="1" si="74"/>
        <v>0</v>
      </c>
      <c r="AT260" s="49">
        <f t="shared" ca="1" si="74"/>
        <v>0</v>
      </c>
      <c r="AU260" s="49">
        <f t="shared" ca="1" si="74"/>
        <v>0</v>
      </c>
      <c r="AV260" s="49">
        <f t="shared" ca="1" si="74"/>
        <v>0</v>
      </c>
      <c r="AW260" s="49">
        <f t="shared" ca="1" si="74"/>
        <v>0</v>
      </c>
      <c r="AX260" s="49">
        <f t="shared" ca="1" si="74"/>
        <v>0</v>
      </c>
      <c r="AY260" s="49">
        <f t="shared" ca="1" si="74"/>
        <v>0</v>
      </c>
      <c r="AZ260" s="49">
        <f t="shared" ca="1" si="74"/>
        <v>0</v>
      </c>
      <c r="BA260" s="49">
        <f t="shared" ca="1" si="74"/>
        <v>0</v>
      </c>
      <c r="BB260" s="49">
        <f t="shared" ca="1" si="74"/>
        <v>0</v>
      </c>
      <c r="BC260" s="49">
        <f t="shared" ca="1" si="74"/>
        <v>0</v>
      </c>
      <c r="BD260" s="49">
        <f t="shared" ca="1" si="74"/>
        <v>0</v>
      </c>
      <c r="BE260" s="49">
        <f t="shared" ca="1" si="74"/>
        <v>0</v>
      </c>
      <c r="BF260" s="49">
        <f t="shared" ca="1" si="74"/>
        <v>0</v>
      </c>
      <c r="BG260" s="49">
        <f t="shared" ca="1" si="74"/>
        <v>0</v>
      </c>
      <c r="BH260" s="49">
        <f t="shared" ca="1" si="74"/>
        <v>0</v>
      </c>
      <c r="BI260" s="49">
        <f t="shared" ca="1" si="74"/>
        <v>0</v>
      </c>
      <c r="BJ260" s="49">
        <f t="shared" ca="1" si="74"/>
        <v>0</v>
      </c>
      <c r="BK260" s="49">
        <f t="shared" ca="1" si="74"/>
        <v>0</v>
      </c>
      <c r="BL260" s="49">
        <f t="shared" ca="1" si="74"/>
        <v>0</v>
      </c>
      <c r="BM260" s="49">
        <f t="shared" ca="1" si="74"/>
        <v>0</v>
      </c>
      <c r="BN260" s="49">
        <f t="shared" ca="1" si="74"/>
        <v>0</v>
      </c>
      <c r="BO260" s="49">
        <f t="shared" ca="1" si="74"/>
        <v>0</v>
      </c>
      <c r="BP260" s="49">
        <f t="shared" ca="1" si="74"/>
        <v>0</v>
      </c>
      <c r="BQ260" s="49">
        <f t="shared" ca="1" si="74"/>
        <v>0</v>
      </c>
      <c r="BR260" s="49">
        <f t="shared" ca="1" si="74"/>
        <v>0</v>
      </c>
      <c r="BS260" s="49">
        <f t="shared" ca="1" si="74"/>
        <v>0</v>
      </c>
    </row>
    <row r="261" spans="1:71" outlineLevel="1" x14ac:dyDescent="0.2">
      <c r="J261" s="26"/>
      <c r="L261" s="55"/>
      <c r="M261" s="55"/>
      <c r="N261" s="55"/>
      <c r="O261" s="55"/>
      <c r="P261" s="55"/>
      <c r="Q261" s="55"/>
      <c r="R261" s="55"/>
      <c r="S261" s="55"/>
      <c r="T261" s="55"/>
      <c r="U261" s="55"/>
      <c r="V261" s="55"/>
      <c r="W261" s="55"/>
      <c r="X261" s="55"/>
      <c r="Y261" s="55"/>
      <c r="Z261" s="55"/>
      <c r="AA261" s="55"/>
      <c r="AB261" s="55"/>
      <c r="AC261" s="55"/>
      <c r="AD261" s="55"/>
      <c r="AE261" s="55"/>
      <c r="AF261" s="55"/>
      <c r="AG261" s="55"/>
      <c r="AH261" s="55"/>
      <c r="AI261" s="55"/>
      <c r="AJ261" s="55"/>
      <c r="AK261" s="55"/>
      <c r="AL261" s="55"/>
      <c r="AM261" s="55"/>
      <c r="AN261" s="55"/>
      <c r="AO261" s="55"/>
      <c r="AP261" s="55"/>
      <c r="AQ261" s="55"/>
      <c r="AR261" s="55"/>
      <c r="AS261" s="55"/>
      <c r="AT261" s="55"/>
      <c r="AU261" s="55"/>
      <c r="AV261" s="55"/>
      <c r="AW261" s="55"/>
      <c r="AX261" s="55"/>
      <c r="AY261" s="55"/>
      <c r="AZ261" s="55"/>
      <c r="BA261" s="55"/>
      <c r="BB261" s="55"/>
      <c r="BC261" s="55"/>
      <c r="BD261" s="55"/>
      <c r="BE261" s="55"/>
      <c r="BF261" s="55"/>
      <c r="BG261" s="55"/>
      <c r="BH261" s="55"/>
      <c r="BI261" s="55"/>
      <c r="BJ261" s="55"/>
      <c r="BK261" s="55"/>
      <c r="BL261" s="55"/>
      <c r="BM261" s="55"/>
      <c r="BN261" s="55"/>
      <c r="BO261" s="55"/>
      <c r="BP261" s="55"/>
      <c r="BQ261" s="55"/>
      <c r="BR261" s="55"/>
      <c r="BS261" s="55"/>
    </row>
    <row r="262" spans="1:71" outlineLevel="1" x14ac:dyDescent="0.2">
      <c r="J262" s="26"/>
      <c r="L262" s="55"/>
      <c r="M262" s="55"/>
      <c r="N262" s="55"/>
      <c r="O262" s="55"/>
      <c r="P262" s="55"/>
      <c r="Q262" s="55"/>
      <c r="R262" s="55"/>
      <c r="S262" s="55"/>
      <c r="T262" s="55"/>
      <c r="U262" s="55"/>
      <c r="V262" s="55"/>
      <c r="W262" s="55"/>
      <c r="X262" s="55"/>
      <c r="Y262" s="55"/>
      <c r="Z262" s="55"/>
      <c r="AA262" s="55"/>
      <c r="AB262" s="55"/>
      <c r="AC262" s="55"/>
      <c r="AD262" s="55"/>
      <c r="AE262" s="55"/>
      <c r="AF262" s="55"/>
      <c r="AG262" s="55"/>
      <c r="AH262" s="55"/>
      <c r="AI262" s="55"/>
      <c r="AJ262" s="55"/>
      <c r="AK262" s="55"/>
      <c r="AL262" s="55"/>
      <c r="AM262" s="55"/>
      <c r="AN262" s="55"/>
      <c r="AO262" s="55"/>
      <c r="AP262" s="55"/>
      <c r="AQ262" s="55"/>
      <c r="AR262" s="55"/>
      <c r="AS262" s="55"/>
      <c r="AT262" s="55"/>
      <c r="AU262" s="55"/>
      <c r="AV262" s="55"/>
      <c r="AW262" s="55"/>
      <c r="AX262" s="55"/>
      <c r="AY262" s="55"/>
      <c r="AZ262" s="55"/>
      <c r="BA262" s="55"/>
      <c r="BB262" s="55"/>
      <c r="BC262" s="55"/>
      <c r="BD262" s="55"/>
      <c r="BE262" s="55"/>
      <c r="BF262" s="55"/>
      <c r="BG262" s="55"/>
      <c r="BH262" s="55"/>
      <c r="BI262" s="55"/>
      <c r="BJ262" s="55"/>
      <c r="BK262" s="55"/>
      <c r="BL262" s="55"/>
      <c r="BM262" s="55"/>
      <c r="BN262" s="55"/>
      <c r="BO262" s="55"/>
      <c r="BP262" s="55"/>
      <c r="BQ262" s="55"/>
      <c r="BR262" s="55"/>
      <c r="BS262" s="55"/>
    </row>
    <row r="263" spans="1:71" outlineLevel="1" x14ac:dyDescent="0.2">
      <c r="J263" s="26"/>
      <c r="L263" s="55"/>
      <c r="M263" s="55"/>
      <c r="N263" s="55"/>
      <c r="O263" s="55"/>
      <c r="P263" s="55"/>
      <c r="Q263" s="55"/>
      <c r="R263" s="55"/>
      <c r="S263" s="55"/>
      <c r="T263" s="55"/>
      <c r="U263" s="55"/>
      <c r="V263" s="55"/>
      <c r="W263" s="55"/>
      <c r="X263" s="55"/>
      <c r="Y263" s="55"/>
      <c r="Z263" s="55"/>
      <c r="AA263" s="55"/>
      <c r="AB263" s="55"/>
      <c r="AC263" s="55"/>
      <c r="AD263" s="55"/>
      <c r="AE263" s="55"/>
      <c r="AF263" s="55"/>
      <c r="AG263" s="55"/>
      <c r="AH263" s="55"/>
      <c r="AI263" s="55"/>
      <c r="AJ263" s="55"/>
      <c r="AK263" s="55"/>
      <c r="AL263" s="55"/>
      <c r="AM263" s="55"/>
      <c r="AN263" s="55"/>
      <c r="AO263" s="55"/>
      <c r="AP263" s="55"/>
      <c r="AQ263" s="55"/>
      <c r="AR263" s="55"/>
      <c r="AS263" s="55"/>
      <c r="AT263" s="55"/>
      <c r="AU263" s="55"/>
      <c r="AV263" s="55"/>
      <c r="AW263" s="55"/>
      <c r="AX263" s="55"/>
      <c r="AY263" s="55"/>
      <c r="AZ263" s="55"/>
      <c r="BA263" s="55"/>
      <c r="BB263" s="55"/>
      <c r="BC263" s="55"/>
      <c r="BD263" s="55"/>
      <c r="BE263" s="55"/>
      <c r="BF263" s="55"/>
      <c r="BG263" s="55"/>
      <c r="BH263" s="55"/>
      <c r="BI263" s="55"/>
      <c r="BJ263" s="55"/>
      <c r="BK263" s="55"/>
      <c r="BL263" s="55"/>
      <c r="BM263" s="55"/>
      <c r="BN263" s="55"/>
      <c r="BO263" s="55"/>
      <c r="BP263" s="55"/>
      <c r="BQ263" s="55"/>
      <c r="BR263" s="55"/>
      <c r="BS263" s="55"/>
    </row>
    <row r="264" spans="1:71" outlineLevel="1" x14ac:dyDescent="0.2">
      <c r="A264" s="45"/>
      <c r="B264" s="38" t="s">
        <v>243</v>
      </c>
      <c r="C264" s="45"/>
      <c r="D264" s="45"/>
      <c r="E264" s="45"/>
      <c r="J264" s="26"/>
      <c r="L264" s="55"/>
      <c r="M264" s="55"/>
      <c r="N264" s="55"/>
      <c r="O264" s="55"/>
      <c r="P264" s="55"/>
      <c r="Q264" s="55"/>
      <c r="R264" s="55"/>
      <c r="S264" s="55"/>
      <c r="T264" s="55"/>
      <c r="U264" s="55"/>
      <c r="V264" s="55"/>
      <c r="W264" s="55"/>
      <c r="X264" s="55"/>
      <c r="Y264" s="55"/>
      <c r="Z264" s="55"/>
      <c r="AA264" s="55"/>
      <c r="AB264" s="55"/>
      <c r="AC264" s="55"/>
      <c r="AD264" s="55"/>
      <c r="AE264" s="55"/>
      <c r="AF264" s="55"/>
      <c r="AG264" s="55"/>
      <c r="AH264" s="55"/>
      <c r="AI264" s="55"/>
      <c r="AJ264" s="55"/>
      <c r="AK264" s="55"/>
      <c r="AL264" s="55"/>
      <c r="AM264" s="55"/>
      <c r="AN264" s="55"/>
      <c r="AO264" s="55"/>
      <c r="AP264" s="55"/>
      <c r="AQ264" s="55"/>
      <c r="AR264" s="55"/>
      <c r="AS264" s="55"/>
      <c r="AT264" s="55"/>
      <c r="AU264" s="55"/>
      <c r="AV264" s="55"/>
      <c r="AW264" s="55"/>
      <c r="AX264" s="55"/>
      <c r="AY264" s="55"/>
      <c r="AZ264" s="55"/>
      <c r="BA264" s="55"/>
      <c r="BB264" s="55"/>
      <c r="BC264" s="55"/>
      <c r="BD264" s="55"/>
      <c r="BE264" s="55"/>
      <c r="BF264" s="55"/>
      <c r="BG264" s="55"/>
      <c r="BH264" s="55"/>
      <c r="BI264" s="55"/>
      <c r="BJ264" s="55"/>
      <c r="BK264" s="55"/>
      <c r="BL264" s="55"/>
      <c r="BM264" s="55"/>
      <c r="BN264" s="55"/>
      <c r="BO264" s="55"/>
      <c r="BP264" s="55"/>
      <c r="BQ264" s="55"/>
      <c r="BR264" s="55"/>
      <c r="BS264" s="55"/>
    </row>
    <row r="265" spans="1:71" outlineLevel="1" x14ac:dyDescent="0.2">
      <c r="J265" s="26"/>
      <c r="L265" s="55"/>
      <c r="M265" s="55"/>
      <c r="N265" s="55"/>
      <c r="O265" s="55"/>
      <c r="P265" s="55"/>
      <c r="Q265" s="55"/>
      <c r="R265" s="55"/>
      <c r="S265" s="55"/>
      <c r="T265" s="55"/>
      <c r="U265" s="55"/>
      <c r="V265" s="55"/>
      <c r="W265" s="55"/>
      <c r="X265" s="55"/>
      <c r="Y265" s="55"/>
      <c r="Z265" s="55"/>
      <c r="AA265" s="55"/>
      <c r="AB265" s="55"/>
      <c r="AC265" s="55"/>
      <c r="AD265" s="55"/>
      <c r="AE265" s="55"/>
      <c r="AF265" s="55"/>
      <c r="AG265" s="55"/>
      <c r="AH265" s="55"/>
      <c r="AI265" s="55"/>
      <c r="AJ265" s="55"/>
      <c r="AK265" s="55"/>
      <c r="AL265" s="55"/>
      <c r="AM265" s="55"/>
      <c r="AN265" s="55"/>
      <c r="AO265" s="55"/>
      <c r="AP265" s="55"/>
      <c r="AQ265" s="55"/>
      <c r="AR265" s="55"/>
      <c r="AS265" s="55"/>
      <c r="AT265" s="55"/>
      <c r="AU265" s="55"/>
      <c r="AV265" s="55"/>
      <c r="AW265" s="55"/>
      <c r="AX265" s="55"/>
      <c r="AY265" s="55"/>
      <c r="AZ265" s="55"/>
      <c r="BA265" s="55"/>
      <c r="BB265" s="55"/>
      <c r="BC265" s="55"/>
      <c r="BD265" s="55"/>
      <c r="BE265" s="55"/>
      <c r="BF265" s="55"/>
      <c r="BG265" s="55"/>
      <c r="BH265" s="55"/>
      <c r="BI265" s="55"/>
      <c r="BJ265" s="55"/>
      <c r="BK265" s="55"/>
      <c r="BL265" s="55"/>
      <c r="BM265" s="55"/>
      <c r="BN265" s="55"/>
      <c r="BO265" s="55"/>
      <c r="BP265" s="55"/>
      <c r="BQ265" s="55"/>
      <c r="BR265" s="55"/>
      <c r="BS265" s="55"/>
    </row>
    <row r="266" spans="1:71" outlineLevel="1" x14ac:dyDescent="0.2">
      <c r="C266" s="11" t="s">
        <v>244</v>
      </c>
      <c r="J266" s="26"/>
      <c r="L266" s="55"/>
      <c r="M266" s="55"/>
      <c r="N266" s="55"/>
      <c r="O266" s="55"/>
      <c r="P266" s="55"/>
      <c r="Q266" s="55"/>
      <c r="R266" s="55"/>
      <c r="S266" s="55"/>
      <c r="T266" s="55"/>
      <c r="U266" s="55"/>
      <c r="V266" s="55"/>
      <c r="W266" s="55"/>
      <c r="X266" s="55"/>
      <c r="Y266" s="55"/>
      <c r="Z266" s="55"/>
      <c r="AA266" s="55"/>
      <c r="AB266" s="55"/>
      <c r="AC266" s="55"/>
      <c r="AD266" s="55"/>
      <c r="AE266" s="55"/>
      <c r="AF266" s="55"/>
      <c r="AG266" s="55"/>
      <c r="AH266" s="55"/>
      <c r="AI266" s="55"/>
      <c r="AJ266" s="55"/>
      <c r="AK266" s="55"/>
      <c r="AL266" s="55"/>
      <c r="AM266" s="55"/>
      <c r="AN266" s="55"/>
      <c r="AO266" s="55"/>
      <c r="AP266" s="55"/>
      <c r="AQ266" s="55"/>
      <c r="AR266" s="55"/>
      <c r="AS266" s="55"/>
      <c r="AT266" s="55"/>
      <c r="AU266" s="55"/>
      <c r="AV266" s="55"/>
      <c r="AW266" s="55"/>
      <c r="AX266" s="55"/>
      <c r="AY266" s="55"/>
      <c r="AZ266" s="55"/>
      <c r="BA266" s="55"/>
      <c r="BB266" s="55"/>
      <c r="BC266" s="55"/>
      <c r="BD266" s="55"/>
      <c r="BE266" s="55"/>
      <c r="BF266" s="55"/>
      <c r="BG266" s="55"/>
      <c r="BH266" s="55"/>
      <c r="BI266" s="55"/>
      <c r="BJ266" s="55"/>
      <c r="BK266" s="55"/>
      <c r="BL266" s="55"/>
      <c r="BM266" s="55"/>
      <c r="BN266" s="55"/>
      <c r="BO266" s="55"/>
      <c r="BP266" s="55"/>
      <c r="BQ266" s="55"/>
      <c r="BR266" s="55"/>
      <c r="BS266" s="55"/>
    </row>
    <row r="267" spans="1:71" outlineLevel="1" x14ac:dyDescent="0.2">
      <c r="D267" t="s">
        <v>245</v>
      </c>
      <c r="I267" s="30">
        <f t="shared" ref="I267:I271" ca="1" si="75">SUM($L267:$BS267)</f>
        <v>5841.8322361906494</v>
      </c>
      <c r="J267" s="26" t="s">
        <v>148</v>
      </c>
      <c r="L267" s="49" cm="1">
        <f t="array" aca="1" ref="L267:BS267" ca="1">CA_cost_recovered_total*CA_rev_oil_perc</f>
        <v>374.66874115405938</v>
      </c>
      <c r="M267" s="49">
        <f ca="1"/>
        <v>353.9229876764623</v>
      </c>
      <c r="N267" s="49">
        <f ca="1"/>
        <v>133.53118450054168</v>
      </c>
      <c r="O267" s="49">
        <f ca="1"/>
        <v>126.04141158668411</v>
      </c>
      <c r="P267" s="49">
        <f ca="1"/>
        <v>349.62064769895682</v>
      </c>
      <c r="Q267" s="49">
        <f ca="1"/>
        <v>694.96643319605096</v>
      </c>
      <c r="R267" s="49">
        <f ca="1"/>
        <v>663.36543177458066</v>
      </c>
      <c r="S267" s="49">
        <f ca="1"/>
        <v>385.08849685800004</v>
      </c>
      <c r="T267" s="49">
        <f ca="1"/>
        <v>587.61561294820797</v>
      </c>
      <c r="U267" s="49">
        <f ca="1"/>
        <v>586.58734922948997</v>
      </c>
      <c r="V267" s="49">
        <f ca="1"/>
        <v>556.43675947909412</v>
      </c>
      <c r="W267" s="49">
        <f ca="1"/>
        <v>529.28203582280526</v>
      </c>
      <c r="X267" s="49">
        <f ca="1"/>
        <v>500.70514426571657</v>
      </c>
      <c r="Y267" s="49">
        <f ca="1"/>
        <v>0</v>
      </c>
      <c r="Z267" s="49">
        <f ca="1"/>
        <v>0</v>
      </c>
      <c r="AA267" s="49">
        <f ca="1"/>
        <v>0</v>
      </c>
      <c r="AB267" s="49">
        <f ca="1"/>
        <v>0</v>
      </c>
      <c r="AC267" s="49">
        <f ca="1"/>
        <v>0</v>
      </c>
      <c r="AD267" s="49">
        <f ca="1"/>
        <v>0</v>
      </c>
      <c r="AE267" s="49">
        <f ca="1"/>
        <v>0</v>
      </c>
      <c r="AF267" s="49">
        <f ca="1"/>
        <v>0</v>
      </c>
      <c r="AG267" s="49">
        <f ca="1"/>
        <v>0</v>
      </c>
      <c r="AH267" s="49">
        <f ca="1"/>
        <v>0</v>
      </c>
      <c r="AI267" s="49">
        <f ca="1"/>
        <v>0</v>
      </c>
      <c r="AJ267" s="49">
        <f ca="1"/>
        <v>0</v>
      </c>
      <c r="AK267" s="49">
        <f ca="1"/>
        <v>0</v>
      </c>
      <c r="AL267" s="49">
        <f ca="1"/>
        <v>0</v>
      </c>
      <c r="AM267" s="49">
        <f ca="1"/>
        <v>0</v>
      </c>
      <c r="AN267" s="49">
        <f ca="1"/>
        <v>0</v>
      </c>
      <c r="AO267" s="49">
        <f ca="1"/>
        <v>0</v>
      </c>
      <c r="AP267" s="49">
        <f ca="1"/>
        <v>0</v>
      </c>
      <c r="AQ267" s="49">
        <f ca="1"/>
        <v>0</v>
      </c>
      <c r="AR267" s="49">
        <f ca="1"/>
        <v>0</v>
      </c>
      <c r="AS267" s="49">
        <f ca="1"/>
        <v>0</v>
      </c>
      <c r="AT267" s="49">
        <f ca="1"/>
        <v>0</v>
      </c>
      <c r="AU267" s="49">
        <f ca="1"/>
        <v>0</v>
      </c>
      <c r="AV267" s="49">
        <f ca="1"/>
        <v>0</v>
      </c>
      <c r="AW267" s="49">
        <f ca="1"/>
        <v>0</v>
      </c>
      <c r="AX267" s="49">
        <f ca="1"/>
        <v>0</v>
      </c>
      <c r="AY267" s="49">
        <f ca="1"/>
        <v>0</v>
      </c>
      <c r="AZ267" s="49">
        <f ca="1"/>
        <v>0</v>
      </c>
      <c r="BA267" s="49">
        <f ca="1"/>
        <v>0</v>
      </c>
      <c r="BB267" s="49">
        <f ca="1"/>
        <v>0</v>
      </c>
      <c r="BC267" s="49">
        <f ca="1"/>
        <v>0</v>
      </c>
      <c r="BD267" s="49">
        <f ca="1"/>
        <v>0</v>
      </c>
      <c r="BE267" s="49">
        <f ca="1"/>
        <v>0</v>
      </c>
      <c r="BF267" s="49">
        <f ca="1"/>
        <v>0</v>
      </c>
      <c r="BG267" s="49">
        <f ca="1"/>
        <v>0</v>
      </c>
      <c r="BH267" s="49">
        <f ca="1"/>
        <v>0</v>
      </c>
      <c r="BI267" s="49">
        <f ca="1"/>
        <v>0</v>
      </c>
      <c r="BJ267" s="49">
        <f ca="1"/>
        <v>0</v>
      </c>
      <c r="BK267" s="49">
        <f ca="1"/>
        <v>0</v>
      </c>
      <c r="BL267" s="49">
        <f ca="1"/>
        <v>0</v>
      </c>
      <c r="BM267" s="49">
        <f ca="1"/>
        <v>0</v>
      </c>
      <c r="BN267" s="49">
        <f ca="1"/>
        <v>0</v>
      </c>
      <c r="BO267" s="49">
        <f ca="1"/>
        <v>0</v>
      </c>
      <c r="BP267" s="49">
        <f ca="1"/>
        <v>0</v>
      </c>
      <c r="BQ267" s="49">
        <f ca="1"/>
        <v>0</v>
      </c>
      <c r="BR267" s="49">
        <f ca="1"/>
        <v>0</v>
      </c>
      <c r="BS267" s="49">
        <f ca="1"/>
        <v>0</v>
      </c>
    </row>
    <row r="268" spans="1:71" outlineLevel="1" x14ac:dyDescent="0.2">
      <c r="D268" t="s">
        <v>246</v>
      </c>
      <c r="I268" s="30">
        <f t="shared" ca="1" si="75"/>
        <v>0</v>
      </c>
      <c r="J268" s="26" t="s">
        <v>148</v>
      </c>
      <c r="L268" s="49" cm="1">
        <f t="array" aca="1" ref="L268:BS268" ca="1">CA_excess_CR_cont*CA_rev_oil_perc</f>
        <v>0</v>
      </c>
      <c r="M268" s="49">
        <f ca="1"/>
        <v>0</v>
      </c>
      <c r="N268" s="49">
        <f ca="1"/>
        <v>0</v>
      </c>
      <c r="O268" s="49">
        <f ca="1"/>
        <v>0</v>
      </c>
      <c r="P268" s="49">
        <f ca="1"/>
        <v>0</v>
      </c>
      <c r="Q268" s="49">
        <f ca="1"/>
        <v>0</v>
      </c>
      <c r="R268" s="49">
        <f ca="1"/>
        <v>0</v>
      </c>
      <c r="S268" s="49">
        <f ca="1"/>
        <v>0</v>
      </c>
      <c r="T268" s="49">
        <f ca="1"/>
        <v>0</v>
      </c>
      <c r="U268" s="49">
        <f ca="1"/>
        <v>0</v>
      </c>
      <c r="V268" s="49">
        <f ca="1"/>
        <v>0</v>
      </c>
      <c r="W268" s="49">
        <f ca="1"/>
        <v>0</v>
      </c>
      <c r="X268" s="49">
        <f ca="1"/>
        <v>0</v>
      </c>
      <c r="Y268" s="49">
        <f ca="1"/>
        <v>0</v>
      </c>
      <c r="Z268" s="49">
        <f ca="1"/>
        <v>0</v>
      </c>
      <c r="AA268" s="49">
        <f ca="1"/>
        <v>0</v>
      </c>
      <c r="AB268" s="49">
        <f ca="1"/>
        <v>0</v>
      </c>
      <c r="AC268" s="49">
        <f ca="1"/>
        <v>0</v>
      </c>
      <c r="AD268" s="49">
        <f ca="1"/>
        <v>0</v>
      </c>
      <c r="AE268" s="49">
        <f ca="1"/>
        <v>0</v>
      </c>
      <c r="AF268" s="49">
        <f ca="1"/>
        <v>0</v>
      </c>
      <c r="AG268" s="49">
        <f ca="1"/>
        <v>0</v>
      </c>
      <c r="AH268" s="49">
        <f ca="1"/>
        <v>0</v>
      </c>
      <c r="AI268" s="49">
        <f ca="1"/>
        <v>0</v>
      </c>
      <c r="AJ268" s="49">
        <f ca="1"/>
        <v>0</v>
      </c>
      <c r="AK268" s="49">
        <f ca="1"/>
        <v>0</v>
      </c>
      <c r="AL268" s="49">
        <f ca="1"/>
        <v>0</v>
      </c>
      <c r="AM268" s="49">
        <f ca="1"/>
        <v>0</v>
      </c>
      <c r="AN268" s="49">
        <f ca="1"/>
        <v>0</v>
      </c>
      <c r="AO268" s="49">
        <f ca="1"/>
        <v>0</v>
      </c>
      <c r="AP268" s="49">
        <f ca="1"/>
        <v>0</v>
      </c>
      <c r="AQ268" s="49">
        <f ca="1"/>
        <v>0</v>
      </c>
      <c r="AR268" s="49">
        <f ca="1"/>
        <v>0</v>
      </c>
      <c r="AS268" s="49">
        <f ca="1"/>
        <v>0</v>
      </c>
      <c r="AT268" s="49">
        <f ca="1"/>
        <v>0</v>
      </c>
      <c r="AU268" s="49">
        <f ca="1"/>
        <v>0</v>
      </c>
      <c r="AV268" s="49">
        <f ca="1"/>
        <v>0</v>
      </c>
      <c r="AW268" s="49">
        <f ca="1"/>
        <v>0</v>
      </c>
      <c r="AX268" s="49">
        <f ca="1"/>
        <v>0</v>
      </c>
      <c r="AY268" s="49">
        <f ca="1"/>
        <v>0</v>
      </c>
      <c r="AZ268" s="49">
        <f ca="1"/>
        <v>0</v>
      </c>
      <c r="BA268" s="49">
        <f ca="1"/>
        <v>0</v>
      </c>
      <c r="BB268" s="49">
        <f ca="1"/>
        <v>0</v>
      </c>
      <c r="BC268" s="49">
        <f ca="1"/>
        <v>0</v>
      </c>
      <c r="BD268" s="49">
        <f ca="1"/>
        <v>0</v>
      </c>
      <c r="BE268" s="49">
        <f ca="1"/>
        <v>0</v>
      </c>
      <c r="BF268" s="49">
        <f ca="1"/>
        <v>0</v>
      </c>
      <c r="BG268" s="49">
        <f ca="1"/>
        <v>0</v>
      </c>
      <c r="BH268" s="49">
        <f ca="1"/>
        <v>0</v>
      </c>
      <c r="BI268" s="49">
        <f ca="1"/>
        <v>0</v>
      </c>
      <c r="BJ268" s="49">
        <f ca="1"/>
        <v>0</v>
      </c>
      <c r="BK268" s="49">
        <f ca="1"/>
        <v>0</v>
      </c>
      <c r="BL268" s="49">
        <f ca="1"/>
        <v>0</v>
      </c>
      <c r="BM268" s="49">
        <f ca="1"/>
        <v>0</v>
      </c>
      <c r="BN268" s="49">
        <f ca="1"/>
        <v>0</v>
      </c>
      <c r="BO268" s="49">
        <f ca="1"/>
        <v>0</v>
      </c>
      <c r="BP268" s="49">
        <f ca="1"/>
        <v>0</v>
      </c>
      <c r="BQ268" s="49">
        <f ca="1"/>
        <v>0</v>
      </c>
      <c r="BR268" s="49">
        <f ca="1"/>
        <v>0</v>
      </c>
      <c r="BS268" s="49">
        <f ca="1"/>
        <v>0</v>
      </c>
    </row>
    <row r="269" spans="1:71" outlineLevel="1" x14ac:dyDescent="0.2">
      <c r="D269" t="s">
        <v>98</v>
      </c>
      <c r="I269" s="30">
        <f t="shared" ca="1" si="75"/>
        <v>1222.8169727275292</v>
      </c>
      <c r="J269" s="26" t="s">
        <v>148</v>
      </c>
      <c r="L269" s="49" cm="1">
        <f t="array" aca="1" ref="L269:BS269" ca="1">CA_SPO_cont</f>
        <v>103.95697873456746</v>
      </c>
      <c r="M269" s="49">
        <f ca="1"/>
        <v>94.272032961745794</v>
      </c>
      <c r="N269" s="49">
        <f ca="1"/>
        <v>18.912855664754158</v>
      </c>
      <c r="O269" s="49">
        <f ca="1"/>
        <v>13.823623753552827</v>
      </c>
      <c r="P269" s="49">
        <f ca="1"/>
        <v>59.874391460164446</v>
      </c>
      <c r="Q269" s="49">
        <f ca="1"/>
        <v>150.4155050258401</v>
      </c>
      <c r="R269" s="49">
        <f ca="1"/>
        <v>136.52446894619217</v>
      </c>
      <c r="S269" s="49">
        <f ca="1"/>
        <v>42.130186477919999</v>
      </c>
      <c r="T269" s="49">
        <f ca="1"/>
        <v>124.2235857992011</v>
      </c>
      <c r="U269" s="49">
        <f ca="1"/>
        <v>129.21681321598194</v>
      </c>
      <c r="V269" s="49">
        <f ca="1"/>
        <v>122.57506901668044</v>
      </c>
      <c r="W269" s="49">
        <f ca="1"/>
        <v>116.59327131982369</v>
      </c>
      <c r="X269" s="49">
        <f ca="1"/>
        <v>110.29819035110498</v>
      </c>
      <c r="Y269" s="49">
        <f ca="1"/>
        <v>0</v>
      </c>
      <c r="Z269" s="49">
        <f ca="1"/>
        <v>0</v>
      </c>
      <c r="AA269" s="49">
        <f ca="1"/>
        <v>0</v>
      </c>
      <c r="AB269" s="49">
        <f ca="1"/>
        <v>0</v>
      </c>
      <c r="AC269" s="49">
        <f ca="1"/>
        <v>0</v>
      </c>
      <c r="AD269" s="49">
        <f ca="1"/>
        <v>0</v>
      </c>
      <c r="AE269" s="49">
        <f ca="1"/>
        <v>0</v>
      </c>
      <c r="AF269" s="49">
        <f ca="1"/>
        <v>0</v>
      </c>
      <c r="AG269" s="49">
        <f ca="1"/>
        <v>0</v>
      </c>
      <c r="AH269" s="49">
        <f ca="1"/>
        <v>0</v>
      </c>
      <c r="AI269" s="49">
        <f ca="1"/>
        <v>0</v>
      </c>
      <c r="AJ269" s="49">
        <f ca="1"/>
        <v>0</v>
      </c>
      <c r="AK269" s="49">
        <f ca="1"/>
        <v>0</v>
      </c>
      <c r="AL269" s="49">
        <f ca="1"/>
        <v>0</v>
      </c>
      <c r="AM269" s="49">
        <f ca="1"/>
        <v>0</v>
      </c>
      <c r="AN269" s="49">
        <f ca="1"/>
        <v>0</v>
      </c>
      <c r="AO269" s="49">
        <f ca="1"/>
        <v>0</v>
      </c>
      <c r="AP269" s="49">
        <f ca="1"/>
        <v>0</v>
      </c>
      <c r="AQ269" s="49">
        <f ca="1"/>
        <v>0</v>
      </c>
      <c r="AR269" s="49">
        <f ca="1"/>
        <v>0</v>
      </c>
      <c r="AS269" s="49">
        <f ca="1"/>
        <v>0</v>
      </c>
      <c r="AT269" s="49">
        <f ca="1"/>
        <v>0</v>
      </c>
      <c r="AU269" s="49">
        <f ca="1"/>
        <v>0</v>
      </c>
      <c r="AV269" s="49">
        <f ca="1"/>
        <v>0</v>
      </c>
      <c r="AW269" s="49">
        <f ca="1"/>
        <v>0</v>
      </c>
      <c r="AX269" s="49">
        <f ca="1"/>
        <v>0</v>
      </c>
      <c r="AY269" s="49">
        <f ca="1"/>
        <v>0</v>
      </c>
      <c r="AZ269" s="49">
        <f ca="1"/>
        <v>0</v>
      </c>
      <c r="BA269" s="49">
        <f ca="1"/>
        <v>0</v>
      </c>
      <c r="BB269" s="49">
        <f ca="1"/>
        <v>0</v>
      </c>
      <c r="BC269" s="49">
        <f ca="1"/>
        <v>0</v>
      </c>
      <c r="BD269" s="49">
        <f ca="1"/>
        <v>0</v>
      </c>
      <c r="BE269" s="49">
        <f ca="1"/>
        <v>0</v>
      </c>
      <c r="BF269" s="49">
        <f ca="1"/>
        <v>0</v>
      </c>
      <c r="BG269" s="49">
        <f ca="1"/>
        <v>0</v>
      </c>
      <c r="BH269" s="49">
        <f ca="1"/>
        <v>0</v>
      </c>
      <c r="BI269" s="49">
        <f ca="1"/>
        <v>0</v>
      </c>
      <c r="BJ269" s="49">
        <f ca="1"/>
        <v>0</v>
      </c>
      <c r="BK269" s="49">
        <f ca="1"/>
        <v>0</v>
      </c>
      <c r="BL269" s="49">
        <f ca="1"/>
        <v>0</v>
      </c>
      <c r="BM269" s="49">
        <f ca="1"/>
        <v>0</v>
      </c>
      <c r="BN269" s="49">
        <f ca="1"/>
        <v>0</v>
      </c>
      <c r="BO269" s="49">
        <f ca="1"/>
        <v>0</v>
      </c>
      <c r="BP269" s="49">
        <f ca="1"/>
        <v>0</v>
      </c>
      <c r="BQ269" s="49">
        <f ca="1"/>
        <v>0</v>
      </c>
      <c r="BR269" s="49">
        <f ca="1"/>
        <v>0</v>
      </c>
      <c r="BS269" s="49">
        <f ca="1"/>
        <v>0</v>
      </c>
    </row>
    <row r="270" spans="1:71" outlineLevel="1" x14ac:dyDescent="0.2">
      <c r="D270" t="s">
        <v>226</v>
      </c>
      <c r="I270" s="30">
        <f t="shared" ca="1" si="75"/>
        <v>1243.6390587032981</v>
      </c>
      <c r="J270" s="26" t="s">
        <v>148</v>
      </c>
      <c r="L270" s="49" cm="1">
        <f t="array" aca="1" ref="L270:BS270" ca="1">CA_PS_cont*CA_rev_oil_perc</f>
        <v>33.120918312467893</v>
      </c>
      <c r="M270" s="49">
        <f ca="1"/>
        <v>38.562449315999515</v>
      </c>
      <c r="N270" s="49">
        <f ca="1"/>
        <v>45.391639879300001</v>
      </c>
      <c r="O270" s="49">
        <f ca="1"/>
        <v>47.895736402939967</v>
      </c>
      <c r="P270" s="49">
        <f ca="1"/>
        <v>99.670820688030176</v>
      </c>
      <c r="Q270" s="49">
        <f ca="1"/>
        <v>139.97699823984385</v>
      </c>
      <c r="R270" s="49">
        <f ca="1"/>
        <v>146.67031382759535</v>
      </c>
      <c r="S270" s="49">
        <f ca="1"/>
        <v>146.33362880604002</v>
      </c>
      <c r="T270" s="49">
        <f ca="1"/>
        <v>123.83150283621507</v>
      </c>
      <c r="U270" s="49">
        <f ca="1"/>
        <v>113.96554213601524</v>
      </c>
      <c r="V270" s="49">
        <f ca="1"/>
        <v>108.107713270224</v>
      </c>
      <c r="W270" s="49">
        <f ca="1"/>
        <v>102.83193838843073</v>
      </c>
      <c r="X270" s="49">
        <f ca="1"/>
        <v>97.279856600196354</v>
      </c>
      <c r="Y270" s="49">
        <f ca="1"/>
        <v>0</v>
      </c>
      <c r="Z270" s="49">
        <f ca="1"/>
        <v>0</v>
      </c>
      <c r="AA270" s="49">
        <f ca="1"/>
        <v>0</v>
      </c>
      <c r="AB270" s="49">
        <f ca="1"/>
        <v>0</v>
      </c>
      <c r="AC270" s="49">
        <f ca="1"/>
        <v>0</v>
      </c>
      <c r="AD270" s="49">
        <f ca="1"/>
        <v>0</v>
      </c>
      <c r="AE270" s="49">
        <f ca="1"/>
        <v>0</v>
      </c>
      <c r="AF270" s="49">
        <f ca="1"/>
        <v>0</v>
      </c>
      <c r="AG270" s="49">
        <f ca="1"/>
        <v>0</v>
      </c>
      <c r="AH270" s="49">
        <f ca="1"/>
        <v>0</v>
      </c>
      <c r="AI270" s="49">
        <f ca="1"/>
        <v>0</v>
      </c>
      <c r="AJ270" s="49">
        <f ca="1"/>
        <v>0</v>
      </c>
      <c r="AK270" s="49">
        <f ca="1"/>
        <v>0</v>
      </c>
      <c r="AL270" s="49">
        <f ca="1"/>
        <v>0</v>
      </c>
      <c r="AM270" s="49">
        <f ca="1"/>
        <v>0</v>
      </c>
      <c r="AN270" s="49">
        <f ca="1"/>
        <v>0</v>
      </c>
      <c r="AO270" s="49">
        <f ca="1"/>
        <v>0</v>
      </c>
      <c r="AP270" s="49">
        <f ca="1"/>
        <v>0</v>
      </c>
      <c r="AQ270" s="49">
        <f ca="1"/>
        <v>0</v>
      </c>
      <c r="AR270" s="49">
        <f ca="1"/>
        <v>0</v>
      </c>
      <c r="AS270" s="49">
        <f ca="1"/>
        <v>0</v>
      </c>
      <c r="AT270" s="49">
        <f ca="1"/>
        <v>0</v>
      </c>
      <c r="AU270" s="49">
        <f ca="1"/>
        <v>0</v>
      </c>
      <c r="AV270" s="49">
        <f ca="1"/>
        <v>0</v>
      </c>
      <c r="AW270" s="49">
        <f ca="1"/>
        <v>0</v>
      </c>
      <c r="AX270" s="49">
        <f ca="1"/>
        <v>0</v>
      </c>
      <c r="AY270" s="49">
        <f ca="1"/>
        <v>0</v>
      </c>
      <c r="AZ270" s="49">
        <f ca="1"/>
        <v>0</v>
      </c>
      <c r="BA270" s="49">
        <f ca="1"/>
        <v>0</v>
      </c>
      <c r="BB270" s="49">
        <f ca="1"/>
        <v>0</v>
      </c>
      <c r="BC270" s="49">
        <f ca="1"/>
        <v>0</v>
      </c>
      <c r="BD270" s="49">
        <f ca="1"/>
        <v>0</v>
      </c>
      <c r="BE270" s="49">
        <f ca="1"/>
        <v>0</v>
      </c>
      <c r="BF270" s="49">
        <f ca="1"/>
        <v>0</v>
      </c>
      <c r="BG270" s="49">
        <f ca="1"/>
        <v>0</v>
      </c>
      <c r="BH270" s="49">
        <f ca="1"/>
        <v>0</v>
      </c>
      <c r="BI270" s="49">
        <f ca="1"/>
        <v>0</v>
      </c>
      <c r="BJ270" s="49">
        <f ca="1"/>
        <v>0</v>
      </c>
      <c r="BK270" s="49">
        <f ca="1"/>
        <v>0</v>
      </c>
      <c r="BL270" s="49">
        <f ca="1"/>
        <v>0</v>
      </c>
      <c r="BM270" s="49">
        <f ca="1"/>
        <v>0</v>
      </c>
      <c r="BN270" s="49">
        <f ca="1"/>
        <v>0</v>
      </c>
      <c r="BO270" s="49">
        <f ca="1"/>
        <v>0</v>
      </c>
      <c r="BP270" s="49">
        <f ca="1"/>
        <v>0</v>
      </c>
      <c r="BQ270" s="49">
        <f ca="1"/>
        <v>0</v>
      </c>
      <c r="BR270" s="49">
        <f ca="1"/>
        <v>0</v>
      </c>
      <c r="BS270" s="49">
        <f ca="1"/>
        <v>0</v>
      </c>
    </row>
    <row r="271" spans="1:71" outlineLevel="1" x14ac:dyDescent="0.2">
      <c r="D271" s="11" t="s">
        <v>129</v>
      </c>
      <c r="I271" s="30">
        <f t="shared" ca="1" si="75"/>
        <v>8308.2882676214776</v>
      </c>
      <c r="J271" s="26" t="s">
        <v>148</v>
      </c>
      <c r="K271" s="7" t="s">
        <v>247</v>
      </c>
      <c r="L271" s="49">
        <f ca="1">SUM(L267:L270)</f>
        <v>511.7466382010947</v>
      </c>
      <c r="M271" s="49">
        <f t="shared" ref="M271:BS271" ca="1" si="76">SUM(M267:M270)</f>
        <v>486.75746995420764</v>
      </c>
      <c r="N271" s="49">
        <f t="shared" ca="1" si="76"/>
        <v>197.83568004459585</v>
      </c>
      <c r="O271" s="49">
        <f t="shared" ca="1" si="76"/>
        <v>187.76077174317692</v>
      </c>
      <c r="P271" s="49">
        <f t="shared" ca="1" si="76"/>
        <v>509.16585984715141</v>
      </c>
      <c r="Q271" s="49">
        <f t="shared" ca="1" si="76"/>
        <v>985.35893646173486</v>
      </c>
      <c r="R271" s="49">
        <f t="shared" ca="1" si="76"/>
        <v>946.56021454836821</v>
      </c>
      <c r="S271" s="49">
        <f t="shared" ca="1" si="76"/>
        <v>573.5523121419601</v>
      </c>
      <c r="T271" s="49">
        <f t="shared" ca="1" si="76"/>
        <v>835.67070158362412</v>
      </c>
      <c r="U271" s="49">
        <f t="shared" ca="1" si="76"/>
        <v>829.76970458148708</v>
      </c>
      <c r="V271" s="49">
        <f t="shared" ca="1" si="76"/>
        <v>787.11954176599852</v>
      </c>
      <c r="W271" s="49">
        <f t="shared" ca="1" si="76"/>
        <v>748.7072455310597</v>
      </c>
      <c r="X271" s="49">
        <f t="shared" ca="1" si="76"/>
        <v>708.28319121701793</v>
      </c>
      <c r="Y271" s="49">
        <f t="shared" ca="1" si="76"/>
        <v>0</v>
      </c>
      <c r="Z271" s="49">
        <f t="shared" ca="1" si="76"/>
        <v>0</v>
      </c>
      <c r="AA271" s="49">
        <f t="shared" ca="1" si="76"/>
        <v>0</v>
      </c>
      <c r="AB271" s="49">
        <f t="shared" ca="1" si="76"/>
        <v>0</v>
      </c>
      <c r="AC271" s="49">
        <f t="shared" ca="1" si="76"/>
        <v>0</v>
      </c>
      <c r="AD271" s="49">
        <f t="shared" ca="1" si="76"/>
        <v>0</v>
      </c>
      <c r="AE271" s="49">
        <f t="shared" ca="1" si="76"/>
        <v>0</v>
      </c>
      <c r="AF271" s="49">
        <f t="shared" ca="1" si="76"/>
        <v>0</v>
      </c>
      <c r="AG271" s="49">
        <f t="shared" ca="1" si="76"/>
        <v>0</v>
      </c>
      <c r="AH271" s="49">
        <f t="shared" ca="1" si="76"/>
        <v>0</v>
      </c>
      <c r="AI271" s="49">
        <f t="shared" ca="1" si="76"/>
        <v>0</v>
      </c>
      <c r="AJ271" s="49">
        <f t="shared" ca="1" si="76"/>
        <v>0</v>
      </c>
      <c r="AK271" s="49">
        <f t="shared" ca="1" si="76"/>
        <v>0</v>
      </c>
      <c r="AL271" s="49">
        <f t="shared" ca="1" si="76"/>
        <v>0</v>
      </c>
      <c r="AM271" s="49">
        <f t="shared" ca="1" si="76"/>
        <v>0</v>
      </c>
      <c r="AN271" s="49">
        <f t="shared" ca="1" si="76"/>
        <v>0</v>
      </c>
      <c r="AO271" s="49">
        <f t="shared" ca="1" si="76"/>
        <v>0</v>
      </c>
      <c r="AP271" s="49">
        <f t="shared" ca="1" si="76"/>
        <v>0</v>
      </c>
      <c r="AQ271" s="49">
        <f t="shared" ca="1" si="76"/>
        <v>0</v>
      </c>
      <c r="AR271" s="49">
        <f t="shared" ca="1" si="76"/>
        <v>0</v>
      </c>
      <c r="AS271" s="49">
        <f t="shared" ca="1" si="76"/>
        <v>0</v>
      </c>
      <c r="AT271" s="49">
        <f t="shared" ca="1" si="76"/>
        <v>0</v>
      </c>
      <c r="AU271" s="49">
        <f t="shared" ca="1" si="76"/>
        <v>0</v>
      </c>
      <c r="AV271" s="49">
        <f t="shared" ca="1" si="76"/>
        <v>0</v>
      </c>
      <c r="AW271" s="49">
        <f t="shared" ca="1" si="76"/>
        <v>0</v>
      </c>
      <c r="AX271" s="49">
        <f t="shared" ca="1" si="76"/>
        <v>0</v>
      </c>
      <c r="AY271" s="49">
        <f t="shared" ca="1" si="76"/>
        <v>0</v>
      </c>
      <c r="AZ271" s="49">
        <f t="shared" ca="1" si="76"/>
        <v>0</v>
      </c>
      <c r="BA271" s="49">
        <f t="shared" ca="1" si="76"/>
        <v>0</v>
      </c>
      <c r="BB271" s="49">
        <f t="shared" ca="1" si="76"/>
        <v>0</v>
      </c>
      <c r="BC271" s="49">
        <f t="shared" ca="1" si="76"/>
        <v>0</v>
      </c>
      <c r="BD271" s="49">
        <f t="shared" ca="1" si="76"/>
        <v>0</v>
      </c>
      <c r="BE271" s="49">
        <f t="shared" ca="1" si="76"/>
        <v>0</v>
      </c>
      <c r="BF271" s="49">
        <f t="shared" ca="1" si="76"/>
        <v>0</v>
      </c>
      <c r="BG271" s="49">
        <f t="shared" ca="1" si="76"/>
        <v>0</v>
      </c>
      <c r="BH271" s="49">
        <f t="shared" ca="1" si="76"/>
        <v>0</v>
      </c>
      <c r="BI271" s="49">
        <f t="shared" ca="1" si="76"/>
        <v>0</v>
      </c>
      <c r="BJ271" s="49">
        <f t="shared" ca="1" si="76"/>
        <v>0</v>
      </c>
      <c r="BK271" s="49">
        <f t="shared" ca="1" si="76"/>
        <v>0</v>
      </c>
      <c r="BL271" s="49">
        <f t="shared" ca="1" si="76"/>
        <v>0</v>
      </c>
      <c r="BM271" s="49">
        <f t="shared" ca="1" si="76"/>
        <v>0</v>
      </c>
      <c r="BN271" s="49">
        <f t="shared" ca="1" si="76"/>
        <v>0</v>
      </c>
      <c r="BO271" s="49">
        <f t="shared" ca="1" si="76"/>
        <v>0</v>
      </c>
      <c r="BP271" s="49">
        <f t="shared" ca="1" si="76"/>
        <v>0</v>
      </c>
      <c r="BQ271" s="49">
        <f t="shared" ca="1" si="76"/>
        <v>0</v>
      </c>
      <c r="BR271" s="49">
        <f t="shared" ca="1" si="76"/>
        <v>0</v>
      </c>
      <c r="BS271" s="49">
        <f t="shared" ca="1" si="76"/>
        <v>0</v>
      </c>
    </row>
    <row r="272" spans="1:71" outlineLevel="1" x14ac:dyDescent="0.2">
      <c r="J272" s="26"/>
      <c r="L272" s="55"/>
      <c r="M272" s="55"/>
      <c r="N272" s="55"/>
      <c r="O272" s="55"/>
      <c r="P272" s="55"/>
      <c r="Q272" s="55"/>
      <c r="R272" s="55"/>
      <c r="S272" s="55"/>
      <c r="T272" s="55"/>
      <c r="U272" s="55"/>
      <c r="V272" s="55"/>
      <c r="W272" s="55"/>
      <c r="X272" s="55"/>
      <c r="Y272" s="55"/>
      <c r="Z272" s="55"/>
      <c r="AA272" s="55"/>
      <c r="AB272" s="55"/>
      <c r="AC272" s="55"/>
      <c r="AD272" s="55"/>
      <c r="AE272" s="55"/>
      <c r="AF272" s="55"/>
      <c r="AG272" s="55"/>
      <c r="AH272" s="55"/>
      <c r="AI272" s="55"/>
      <c r="AJ272" s="55"/>
      <c r="AK272" s="55"/>
      <c r="AL272" s="55"/>
      <c r="AM272" s="55"/>
      <c r="AN272" s="55"/>
      <c r="AO272" s="55"/>
      <c r="AP272" s="55"/>
      <c r="AQ272" s="55"/>
      <c r="AR272" s="55"/>
      <c r="AS272" s="55"/>
      <c r="AT272" s="55"/>
      <c r="AU272" s="55"/>
      <c r="AV272" s="55"/>
      <c r="AW272" s="55"/>
      <c r="AX272" s="55"/>
      <c r="AY272" s="55"/>
      <c r="AZ272" s="55"/>
      <c r="BA272" s="55"/>
      <c r="BB272" s="55"/>
      <c r="BC272" s="55"/>
      <c r="BD272" s="55"/>
      <c r="BE272" s="55"/>
      <c r="BF272" s="55"/>
      <c r="BG272" s="55"/>
      <c r="BH272" s="55"/>
      <c r="BI272" s="55"/>
      <c r="BJ272" s="55"/>
      <c r="BK272" s="55"/>
      <c r="BL272" s="55"/>
      <c r="BM272" s="55"/>
      <c r="BN272" s="55"/>
      <c r="BO272" s="55"/>
      <c r="BP272" s="55"/>
      <c r="BQ272" s="55"/>
      <c r="BR272" s="55"/>
      <c r="BS272" s="55"/>
    </row>
    <row r="273" spans="3:71" outlineLevel="1" x14ac:dyDescent="0.2">
      <c r="C273" s="11" t="s">
        <v>248</v>
      </c>
      <c r="J273" s="26"/>
      <c r="L273" s="55"/>
      <c r="M273" s="55"/>
      <c r="N273" s="55"/>
      <c r="O273" s="55"/>
      <c r="P273" s="55"/>
      <c r="Q273" s="55"/>
      <c r="R273" s="55"/>
      <c r="S273" s="55"/>
      <c r="T273" s="55"/>
      <c r="U273" s="55"/>
      <c r="V273" s="55"/>
      <c r="W273" s="55"/>
      <c r="X273" s="55"/>
      <c r="Y273" s="55"/>
      <c r="Z273" s="55"/>
      <c r="AA273" s="55"/>
      <c r="AB273" s="55"/>
      <c r="AC273" s="55"/>
      <c r="AD273" s="55"/>
      <c r="AE273" s="55"/>
      <c r="AF273" s="55"/>
      <c r="AG273" s="55"/>
      <c r="AH273" s="55"/>
      <c r="AI273" s="55"/>
      <c r="AJ273" s="55"/>
      <c r="AK273" s="55"/>
      <c r="AL273" s="55"/>
      <c r="AM273" s="55"/>
      <c r="AN273" s="55"/>
      <c r="AO273" s="55"/>
      <c r="AP273" s="55"/>
      <c r="AQ273" s="55"/>
      <c r="AR273" s="55"/>
      <c r="AS273" s="55"/>
      <c r="AT273" s="55"/>
      <c r="AU273" s="55"/>
      <c r="AV273" s="55"/>
      <c r="AW273" s="55"/>
      <c r="AX273" s="55"/>
      <c r="AY273" s="55"/>
      <c r="AZ273" s="55"/>
      <c r="BA273" s="55"/>
      <c r="BB273" s="55"/>
      <c r="BC273" s="55"/>
      <c r="BD273" s="55"/>
      <c r="BE273" s="55"/>
      <c r="BF273" s="55"/>
      <c r="BG273" s="55"/>
      <c r="BH273" s="55"/>
      <c r="BI273" s="55"/>
      <c r="BJ273" s="55"/>
      <c r="BK273" s="55"/>
      <c r="BL273" s="55"/>
      <c r="BM273" s="55"/>
      <c r="BN273" s="55"/>
      <c r="BO273" s="55"/>
      <c r="BP273" s="55"/>
      <c r="BQ273" s="55"/>
      <c r="BR273" s="55"/>
      <c r="BS273" s="55"/>
    </row>
    <row r="274" spans="3:71" outlineLevel="1" x14ac:dyDescent="0.2">
      <c r="D274" t="s">
        <v>249</v>
      </c>
      <c r="I274" s="30">
        <f t="shared" ref="I274:I277" ca="1" si="77">SUM($L274:$BS274)</f>
        <v>0</v>
      </c>
      <c r="J274" s="26" t="s">
        <v>148</v>
      </c>
      <c r="L274" s="49" cm="1">
        <f t="array" aca="1" ref="L274:BS274" ca="1">CA_cost_recovered_total*CA_rev_gas_perc</f>
        <v>0</v>
      </c>
      <c r="M274" s="49">
        <f ca="1"/>
        <v>0</v>
      </c>
      <c r="N274" s="49">
        <f ca="1"/>
        <v>0</v>
      </c>
      <c r="O274" s="49">
        <f ca="1"/>
        <v>0</v>
      </c>
      <c r="P274" s="49">
        <f ca="1"/>
        <v>0</v>
      </c>
      <c r="Q274" s="49">
        <f ca="1"/>
        <v>0</v>
      </c>
      <c r="R274" s="49">
        <f ca="1"/>
        <v>0</v>
      </c>
      <c r="S274" s="49">
        <f ca="1"/>
        <v>0</v>
      </c>
      <c r="T274" s="49">
        <f ca="1"/>
        <v>0</v>
      </c>
      <c r="U274" s="49">
        <f ca="1"/>
        <v>0</v>
      </c>
      <c r="V274" s="49">
        <f ca="1"/>
        <v>0</v>
      </c>
      <c r="W274" s="49">
        <f ca="1"/>
        <v>0</v>
      </c>
      <c r="X274" s="49">
        <f ca="1"/>
        <v>0</v>
      </c>
      <c r="Y274" s="49">
        <f ca="1"/>
        <v>0</v>
      </c>
      <c r="Z274" s="49">
        <f ca="1"/>
        <v>0</v>
      </c>
      <c r="AA274" s="49">
        <f ca="1"/>
        <v>0</v>
      </c>
      <c r="AB274" s="49">
        <f ca="1"/>
        <v>0</v>
      </c>
      <c r="AC274" s="49">
        <f ca="1"/>
        <v>0</v>
      </c>
      <c r="AD274" s="49">
        <f ca="1"/>
        <v>0</v>
      </c>
      <c r="AE274" s="49">
        <f ca="1"/>
        <v>0</v>
      </c>
      <c r="AF274" s="49">
        <f ca="1"/>
        <v>0</v>
      </c>
      <c r="AG274" s="49">
        <f ca="1"/>
        <v>0</v>
      </c>
      <c r="AH274" s="49">
        <f ca="1"/>
        <v>0</v>
      </c>
      <c r="AI274" s="49">
        <f ca="1"/>
        <v>0</v>
      </c>
      <c r="AJ274" s="49">
        <f ca="1"/>
        <v>0</v>
      </c>
      <c r="AK274" s="49">
        <f ca="1"/>
        <v>0</v>
      </c>
      <c r="AL274" s="49">
        <f ca="1"/>
        <v>0</v>
      </c>
      <c r="AM274" s="49">
        <f ca="1"/>
        <v>0</v>
      </c>
      <c r="AN274" s="49">
        <f ca="1"/>
        <v>0</v>
      </c>
      <c r="AO274" s="49">
        <f ca="1"/>
        <v>0</v>
      </c>
      <c r="AP274" s="49">
        <f ca="1"/>
        <v>0</v>
      </c>
      <c r="AQ274" s="49">
        <f ca="1"/>
        <v>0</v>
      </c>
      <c r="AR274" s="49">
        <f ca="1"/>
        <v>0</v>
      </c>
      <c r="AS274" s="49">
        <f ca="1"/>
        <v>0</v>
      </c>
      <c r="AT274" s="49">
        <f ca="1"/>
        <v>0</v>
      </c>
      <c r="AU274" s="49">
        <f ca="1"/>
        <v>0</v>
      </c>
      <c r="AV274" s="49">
        <f ca="1"/>
        <v>0</v>
      </c>
      <c r="AW274" s="49">
        <f ca="1"/>
        <v>0</v>
      </c>
      <c r="AX274" s="49">
        <f ca="1"/>
        <v>0</v>
      </c>
      <c r="AY274" s="49">
        <f ca="1"/>
        <v>0</v>
      </c>
      <c r="AZ274" s="49">
        <f ca="1"/>
        <v>0</v>
      </c>
      <c r="BA274" s="49">
        <f ca="1"/>
        <v>0</v>
      </c>
      <c r="BB274" s="49">
        <f ca="1"/>
        <v>0</v>
      </c>
      <c r="BC274" s="49">
        <f ca="1"/>
        <v>0</v>
      </c>
      <c r="BD274" s="49">
        <f ca="1"/>
        <v>0</v>
      </c>
      <c r="BE274" s="49">
        <f ca="1"/>
        <v>0</v>
      </c>
      <c r="BF274" s="49">
        <f ca="1"/>
        <v>0</v>
      </c>
      <c r="BG274" s="49">
        <f ca="1"/>
        <v>0</v>
      </c>
      <c r="BH274" s="49">
        <f ca="1"/>
        <v>0</v>
      </c>
      <c r="BI274" s="49">
        <f ca="1"/>
        <v>0</v>
      </c>
      <c r="BJ274" s="49">
        <f ca="1"/>
        <v>0</v>
      </c>
      <c r="BK274" s="49">
        <f ca="1"/>
        <v>0</v>
      </c>
      <c r="BL274" s="49">
        <f ca="1"/>
        <v>0</v>
      </c>
      <c r="BM274" s="49">
        <f ca="1"/>
        <v>0</v>
      </c>
      <c r="BN274" s="49">
        <f ca="1"/>
        <v>0</v>
      </c>
      <c r="BO274" s="49">
        <f ca="1"/>
        <v>0</v>
      </c>
      <c r="BP274" s="49">
        <f ca="1"/>
        <v>0</v>
      </c>
      <c r="BQ274" s="49">
        <f ca="1"/>
        <v>0</v>
      </c>
      <c r="BR274" s="49">
        <f ca="1"/>
        <v>0</v>
      </c>
      <c r="BS274" s="49">
        <f ca="1"/>
        <v>0</v>
      </c>
    </row>
    <row r="275" spans="3:71" outlineLevel="1" x14ac:dyDescent="0.2">
      <c r="D275" t="s">
        <v>250</v>
      </c>
      <c r="I275" s="30">
        <f t="shared" ca="1" si="77"/>
        <v>0</v>
      </c>
      <c r="J275" s="26" t="s">
        <v>148</v>
      </c>
      <c r="L275" s="49" cm="1">
        <f t="array" aca="1" ref="L275:BS275" ca="1">CA_excess_CR_cont*CA_rev_gas_perc</f>
        <v>0</v>
      </c>
      <c r="M275" s="49">
        <f ca="1"/>
        <v>0</v>
      </c>
      <c r="N275" s="49">
        <f ca="1"/>
        <v>0</v>
      </c>
      <c r="O275" s="49">
        <f ca="1"/>
        <v>0</v>
      </c>
      <c r="P275" s="49">
        <f ca="1"/>
        <v>0</v>
      </c>
      <c r="Q275" s="49">
        <f ca="1"/>
        <v>0</v>
      </c>
      <c r="R275" s="49">
        <f ca="1"/>
        <v>0</v>
      </c>
      <c r="S275" s="49">
        <f ca="1"/>
        <v>0</v>
      </c>
      <c r="T275" s="49">
        <f ca="1"/>
        <v>0</v>
      </c>
      <c r="U275" s="49">
        <f ca="1"/>
        <v>0</v>
      </c>
      <c r="V275" s="49">
        <f ca="1"/>
        <v>0</v>
      </c>
      <c r="W275" s="49">
        <f ca="1"/>
        <v>0</v>
      </c>
      <c r="X275" s="49">
        <f ca="1"/>
        <v>0</v>
      </c>
      <c r="Y275" s="49">
        <f ca="1"/>
        <v>0</v>
      </c>
      <c r="Z275" s="49">
        <f ca="1"/>
        <v>0</v>
      </c>
      <c r="AA275" s="49">
        <f ca="1"/>
        <v>0</v>
      </c>
      <c r="AB275" s="49">
        <f ca="1"/>
        <v>0</v>
      </c>
      <c r="AC275" s="49">
        <f ca="1"/>
        <v>0</v>
      </c>
      <c r="AD275" s="49">
        <f ca="1"/>
        <v>0</v>
      </c>
      <c r="AE275" s="49">
        <f ca="1"/>
        <v>0</v>
      </c>
      <c r="AF275" s="49">
        <f ca="1"/>
        <v>0</v>
      </c>
      <c r="AG275" s="49">
        <f ca="1"/>
        <v>0</v>
      </c>
      <c r="AH275" s="49">
        <f ca="1"/>
        <v>0</v>
      </c>
      <c r="AI275" s="49">
        <f ca="1"/>
        <v>0</v>
      </c>
      <c r="AJ275" s="49">
        <f ca="1"/>
        <v>0</v>
      </c>
      <c r="AK275" s="49">
        <f ca="1"/>
        <v>0</v>
      </c>
      <c r="AL275" s="49">
        <f ca="1"/>
        <v>0</v>
      </c>
      <c r="AM275" s="49">
        <f ca="1"/>
        <v>0</v>
      </c>
      <c r="AN275" s="49">
        <f ca="1"/>
        <v>0</v>
      </c>
      <c r="AO275" s="49">
        <f ca="1"/>
        <v>0</v>
      </c>
      <c r="AP275" s="49">
        <f ca="1"/>
        <v>0</v>
      </c>
      <c r="AQ275" s="49">
        <f ca="1"/>
        <v>0</v>
      </c>
      <c r="AR275" s="49">
        <f ca="1"/>
        <v>0</v>
      </c>
      <c r="AS275" s="49">
        <f ca="1"/>
        <v>0</v>
      </c>
      <c r="AT275" s="49">
        <f ca="1"/>
        <v>0</v>
      </c>
      <c r="AU275" s="49">
        <f ca="1"/>
        <v>0</v>
      </c>
      <c r="AV275" s="49">
        <f ca="1"/>
        <v>0</v>
      </c>
      <c r="AW275" s="49">
        <f ca="1"/>
        <v>0</v>
      </c>
      <c r="AX275" s="49">
        <f ca="1"/>
        <v>0</v>
      </c>
      <c r="AY275" s="49">
        <f ca="1"/>
        <v>0</v>
      </c>
      <c r="AZ275" s="49">
        <f ca="1"/>
        <v>0</v>
      </c>
      <c r="BA275" s="49">
        <f ca="1"/>
        <v>0</v>
      </c>
      <c r="BB275" s="49">
        <f ca="1"/>
        <v>0</v>
      </c>
      <c r="BC275" s="49">
        <f ca="1"/>
        <v>0</v>
      </c>
      <c r="BD275" s="49">
        <f ca="1"/>
        <v>0</v>
      </c>
      <c r="BE275" s="49">
        <f ca="1"/>
        <v>0</v>
      </c>
      <c r="BF275" s="49">
        <f ca="1"/>
        <v>0</v>
      </c>
      <c r="BG275" s="49">
        <f ca="1"/>
        <v>0</v>
      </c>
      <c r="BH275" s="49">
        <f ca="1"/>
        <v>0</v>
      </c>
      <c r="BI275" s="49">
        <f ca="1"/>
        <v>0</v>
      </c>
      <c r="BJ275" s="49">
        <f ca="1"/>
        <v>0</v>
      </c>
      <c r="BK275" s="49">
        <f ca="1"/>
        <v>0</v>
      </c>
      <c r="BL275" s="49">
        <f ca="1"/>
        <v>0</v>
      </c>
      <c r="BM275" s="49">
        <f ca="1"/>
        <v>0</v>
      </c>
      <c r="BN275" s="49">
        <f ca="1"/>
        <v>0</v>
      </c>
      <c r="BO275" s="49">
        <f ca="1"/>
        <v>0</v>
      </c>
      <c r="BP275" s="49">
        <f ca="1"/>
        <v>0</v>
      </c>
      <c r="BQ275" s="49">
        <f ca="1"/>
        <v>0</v>
      </c>
      <c r="BR275" s="49">
        <f ca="1"/>
        <v>0</v>
      </c>
      <c r="BS275" s="49">
        <f ca="1"/>
        <v>0</v>
      </c>
    </row>
    <row r="276" spans="3:71" outlineLevel="1" x14ac:dyDescent="0.2">
      <c r="D276" t="s">
        <v>237</v>
      </c>
      <c r="I276" s="30">
        <f t="shared" ca="1" si="77"/>
        <v>0</v>
      </c>
      <c r="J276" s="26" t="s">
        <v>148</v>
      </c>
      <c r="L276" s="49" cm="1">
        <f t="array" aca="1" ref="L276:BS276" ca="1">CA_PS_cont*CA_rev_gas_perc</f>
        <v>0</v>
      </c>
      <c r="M276" s="49">
        <f ca="1"/>
        <v>0</v>
      </c>
      <c r="N276" s="49">
        <f ca="1"/>
        <v>0</v>
      </c>
      <c r="O276" s="49">
        <f ca="1"/>
        <v>0</v>
      </c>
      <c r="P276" s="49">
        <f ca="1"/>
        <v>0</v>
      </c>
      <c r="Q276" s="49">
        <f ca="1"/>
        <v>0</v>
      </c>
      <c r="R276" s="49">
        <f ca="1"/>
        <v>0</v>
      </c>
      <c r="S276" s="49">
        <f ca="1"/>
        <v>0</v>
      </c>
      <c r="T276" s="49">
        <f ca="1"/>
        <v>0</v>
      </c>
      <c r="U276" s="49">
        <f ca="1"/>
        <v>0</v>
      </c>
      <c r="V276" s="49">
        <f ca="1"/>
        <v>0</v>
      </c>
      <c r="W276" s="49">
        <f ca="1"/>
        <v>0</v>
      </c>
      <c r="X276" s="49">
        <f ca="1"/>
        <v>0</v>
      </c>
      <c r="Y276" s="49">
        <f ca="1"/>
        <v>0</v>
      </c>
      <c r="Z276" s="49">
        <f ca="1"/>
        <v>0</v>
      </c>
      <c r="AA276" s="49">
        <f ca="1"/>
        <v>0</v>
      </c>
      <c r="AB276" s="49">
        <f ca="1"/>
        <v>0</v>
      </c>
      <c r="AC276" s="49">
        <f ca="1"/>
        <v>0</v>
      </c>
      <c r="AD276" s="49">
        <f ca="1"/>
        <v>0</v>
      </c>
      <c r="AE276" s="49">
        <f ca="1"/>
        <v>0</v>
      </c>
      <c r="AF276" s="49">
        <f ca="1"/>
        <v>0</v>
      </c>
      <c r="AG276" s="49">
        <f ca="1"/>
        <v>0</v>
      </c>
      <c r="AH276" s="49">
        <f ca="1"/>
        <v>0</v>
      </c>
      <c r="AI276" s="49">
        <f ca="1"/>
        <v>0</v>
      </c>
      <c r="AJ276" s="49">
        <f ca="1"/>
        <v>0</v>
      </c>
      <c r="AK276" s="49">
        <f ca="1"/>
        <v>0</v>
      </c>
      <c r="AL276" s="49">
        <f ca="1"/>
        <v>0</v>
      </c>
      <c r="AM276" s="49">
        <f ca="1"/>
        <v>0</v>
      </c>
      <c r="AN276" s="49">
        <f ca="1"/>
        <v>0</v>
      </c>
      <c r="AO276" s="49">
        <f ca="1"/>
        <v>0</v>
      </c>
      <c r="AP276" s="49">
        <f ca="1"/>
        <v>0</v>
      </c>
      <c r="AQ276" s="49">
        <f ca="1"/>
        <v>0</v>
      </c>
      <c r="AR276" s="49">
        <f ca="1"/>
        <v>0</v>
      </c>
      <c r="AS276" s="49">
        <f ca="1"/>
        <v>0</v>
      </c>
      <c r="AT276" s="49">
        <f ca="1"/>
        <v>0</v>
      </c>
      <c r="AU276" s="49">
        <f ca="1"/>
        <v>0</v>
      </c>
      <c r="AV276" s="49">
        <f ca="1"/>
        <v>0</v>
      </c>
      <c r="AW276" s="49">
        <f ca="1"/>
        <v>0</v>
      </c>
      <c r="AX276" s="49">
        <f ca="1"/>
        <v>0</v>
      </c>
      <c r="AY276" s="49">
        <f ca="1"/>
        <v>0</v>
      </c>
      <c r="AZ276" s="49">
        <f ca="1"/>
        <v>0</v>
      </c>
      <c r="BA276" s="49">
        <f ca="1"/>
        <v>0</v>
      </c>
      <c r="BB276" s="49">
        <f ca="1"/>
        <v>0</v>
      </c>
      <c r="BC276" s="49">
        <f ca="1"/>
        <v>0</v>
      </c>
      <c r="BD276" s="49">
        <f ca="1"/>
        <v>0</v>
      </c>
      <c r="BE276" s="49">
        <f ca="1"/>
        <v>0</v>
      </c>
      <c r="BF276" s="49">
        <f ca="1"/>
        <v>0</v>
      </c>
      <c r="BG276" s="49">
        <f ca="1"/>
        <v>0</v>
      </c>
      <c r="BH276" s="49">
        <f ca="1"/>
        <v>0</v>
      </c>
      <c r="BI276" s="49">
        <f ca="1"/>
        <v>0</v>
      </c>
      <c r="BJ276" s="49">
        <f ca="1"/>
        <v>0</v>
      </c>
      <c r="BK276" s="49">
        <f ca="1"/>
        <v>0</v>
      </c>
      <c r="BL276" s="49">
        <f ca="1"/>
        <v>0</v>
      </c>
      <c r="BM276" s="49">
        <f ca="1"/>
        <v>0</v>
      </c>
      <c r="BN276" s="49">
        <f ca="1"/>
        <v>0</v>
      </c>
      <c r="BO276" s="49">
        <f ca="1"/>
        <v>0</v>
      </c>
      <c r="BP276" s="49">
        <f ca="1"/>
        <v>0</v>
      </c>
      <c r="BQ276" s="49">
        <f ca="1"/>
        <v>0</v>
      </c>
      <c r="BR276" s="49">
        <f ca="1"/>
        <v>0</v>
      </c>
      <c r="BS276" s="49">
        <f ca="1"/>
        <v>0</v>
      </c>
    </row>
    <row r="277" spans="3:71" outlineLevel="1" x14ac:dyDescent="0.2">
      <c r="D277" s="11" t="s">
        <v>129</v>
      </c>
      <c r="I277" s="30">
        <f t="shared" ca="1" si="77"/>
        <v>0</v>
      </c>
      <c r="J277" s="26" t="s">
        <v>148</v>
      </c>
      <c r="K277" s="7" t="s">
        <v>251</v>
      </c>
      <c r="L277" s="49">
        <f t="shared" ref="L277:AQ277" ca="1" si="78">SUM(L274:L276)</f>
        <v>0</v>
      </c>
      <c r="M277" s="49">
        <f t="shared" ca="1" si="78"/>
        <v>0</v>
      </c>
      <c r="N277" s="49">
        <f t="shared" ca="1" si="78"/>
        <v>0</v>
      </c>
      <c r="O277" s="49">
        <f t="shared" ca="1" si="78"/>
        <v>0</v>
      </c>
      <c r="P277" s="49">
        <f t="shared" ca="1" si="78"/>
        <v>0</v>
      </c>
      <c r="Q277" s="49">
        <f t="shared" ca="1" si="78"/>
        <v>0</v>
      </c>
      <c r="R277" s="49">
        <f t="shared" ca="1" si="78"/>
        <v>0</v>
      </c>
      <c r="S277" s="49">
        <f t="shared" ca="1" si="78"/>
        <v>0</v>
      </c>
      <c r="T277" s="49">
        <f t="shared" ca="1" si="78"/>
        <v>0</v>
      </c>
      <c r="U277" s="49">
        <f t="shared" ca="1" si="78"/>
        <v>0</v>
      </c>
      <c r="V277" s="49">
        <f t="shared" ca="1" si="78"/>
        <v>0</v>
      </c>
      <c r="W277" s="49">
        <f t="shared" ca="1" si="78"/>
        <v>0</v>
      </c>
      <c r="X277" s="49">
        <f t="shared" ca="1" si="78"/>
        <v>0</v>
      </c>
      <c r="Y277" s="49">
        <f t="shared" ca="1" si="78"/>
        <v>0</v>
      </c>
      <c r="Z277" s="49">
        <f t="shared" ca="1" si="78"/>
        <v>0</v>
      </c>
      <c r="AA277" s="49">
        <f t="shared" ca="1" si="78"/>
        <v>0</v>
      </c>
      <c r="AB277" s="49">
        <f t="shared" ca="1" si="78"/>
        <v>0</v>
      </c>
      <c r="AC277" s="49">
        <f t="shared" ca="1" si="78"/>
        <v>0</v>
      </c>
      <c r="AD277" s="49">
        <f t="shared" ca="1" si="78"/>
        <v>0</v>
      </c>
      <c r="AE277" s="49">
        <f t="shared" ca="1" si="78"/>
        <v>0</v>
      </c>
      <c r="AF277" s="49">
        <f t="shared" ca="1" si="78"/>
        <v>0</v>
      </c>
      <c r="AG277" s="49">
        <f t="shared" ca="1" si="78"/>
        <v>0</v>
      </c>
      <c r="AH277" s="49">
        <f t="shared" ca="1" si="78"/>
        <v>0</v>
      </c>
      <c r="AI277" s="49">
        <f t="shared" ca="1" si="78"/>
        <v>0</v>
      </c>
      <c r="AJ277" s="49">
        <f t="shared" ca="1" si="78"/>
        <v>0</v>
      </c>
      <c r="AK277" s="49">
        <f t="shared" ca="1" si="78"/>
        <v>0</v>
      </c>
      <c r="AL277" s="49">
        <f t="shared" ca="1" si="78"/>
        <v>0</v>
      </c>
      <c r="AM277" s="49">
        <f t="shared" ca="1" si="78"/>
        <v>0</v>
      </c>
      <c r="AN277" s="49">
        <f t="shared" ca="1" si="78"/>
        <v>0</v>
      </c>
      <c r="AO277" s="49">
        <f t="shared" ca="1" si="78"/>
        <v>0</v>
      </c>
      <c r="AP277" s="49">
        <f t="shared" ca="1" si="78"/>
        <v>0</v>
      </c>
      <c r="AQ277" s="49">
        <f t="shared" ca="1" si="78"/>
        <v>0</v>
      </c>
      <c r="AR277" s="49">
        <f t="shared" ref="AR277:BS277" ca="1" si="79">SUM(AR274:AR276)</f>
        <v>0</v>
      </c>
      <c r="AS277" s="49">
        <f t="shared" ca="1" si="79"/>
        <v>0</v>
      </c>
      <c r="AT277" s="49">
        <f t="shared" ca="1" si="79"/>
        <v>0</v>
      </c>
      <c r="AU277" s="49">
        <f t="shared" ca="1" si="79"/>
        <v>0</v>
      </c>
      <c r="AV277" s="49">
        <f t="shared" ca="1" si="79"/>
        <v>0</v>
      </c>
      <c r="AW277" s="49">
        <f t="shared" ca="1" si="79"/>
        <v>0</v>
      </c>
      <c r="AX277" s="49">
        <f t="shared" ca="1" si="79"/>
        <v>0</v>
      </c>
      <c r="AY277" s="49">
        <f t="shared" ca="1" si="79"/>
        <v>0</v>
      </c>
      <c r="AZ277" s="49">
        <f t="shared" ca="1" si="79"/>
        <v>0</v>
      </c>
      <c r="BA277" s="49">
        <f t="shared" ca="1" si="79"/>
        <v>0</v>
      </c>
      <c r="BB277" s="49">
        <f t="shared" ca="1" si="79"/>
        <v>0</v>
      </c>
      <c r="BC277" s="49">
        <f t="shared" ca="1" si="79"/>
        <v>0</v>
      </c>
      <c r="BD277" s="49">
        <f t="shared" ca="1" si="79"/>
        <v>0</v>
      </c>
      <c r="BE277" s="49">
        <f t="shared" ca="1" si="79"/>
        <v>0</v>
      </c>
      <c r="BF277" s="49">
        <f t="shared" ca="1" si="79"/>
        <v>0</v>
      </c>
      <c r="BG277" s="49">
        <f t="shared" ca="1" si="79"/>
        <v>0</v>
      </c>
      <c r="BH277" s="49">
        <f t="shared" ca="1" si="79"/>
        <v>0</v>
      </c>
      <c r="BI277" s="49">
        <f t="shared" ca="1" si="79"/>
        <v>0</v>
      </c>
      <c r="BJ277" s="49">
        <f t="shared" ca="1" si="79"/>
        <v>0</v>
      </c>
      <c r="BK277" s="49">
        <f t="shared" ca="1" si="79"/>
        <v>0</v>
      </c>
      <c r="BL277" s="49">
        <f t="shared" ca="1" si="79"/>
        <v>0</v>
      </c>
      <c r="BM277" s="49">
        <f t="shared" ca="1" si="79"/>
        <v>0</v>
      </c>
      <c r="BN277" s="49">
        <f t="shared" ca="1" si="79"/>
        <v>0</v>
      </c>
      <c r="BO277" s="49">
        <f t="shared" ca="1" si="79"/>
        <v>0</v>
      </c>
      <c r="BP277" s="49">
        <f t="shared" ca="1" si="79"/>
        <v>0</v>
      </c>
      <c r="BQ277" s="49">
        <f t="shared" ca="1" si="79"/>
        <v>0</v>
      </c>
      <c r="BR277" s="49">
        <f t="shared" ca="1" si="79"/>
        <v>0</v>
      </c>
      <c r="BS277" s="49">
        <f t="shared" ca="1" si="79"/>
        <v>0</v>
      </c>
    </row>
    <row r="278" spans="3:71" outlineLevel="1" x14ac:dyDescent="0.2">
      <c r="J278" s="26"/>
      <c r="L278" s="55"/>
      <c r="M278" s="55"/>
      <c r="N278" s="55"/>
      <c r="O278" s="55"/>
      <c r="P278" s="55"/>
      <c r="Q278" s="55"/>
      <c r="R278" s="55"/>
      <c r="S278" s="55"/>
      <c r="T278" s="55"/>
      <c r="U278" s="55"/>
      <c r="V278" s="55"/>
      <c r="W278" s="5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55"/>
      <c r="BR278" s="55"/>
      <c r="BS278" s="55"/>
    </row>
    <row r="279" spans="3:71" outlineLevel="1" x14ac:dyDescent="0.2">
      <c r="C279" s="11" t="s">
        <v>252</v>
      </c>
      <c r="J279" s="26"/>
      <c r="L279" s="55"/>
      <c r="M279" s="55"/>
      <c r="N279" s="55"/>
      <c r="O279" s="55"/>
      <c r="P279" s="55"/>
      <c r="Q279" s="55"/>
      <c r="R279" s="55"/>
      <c r="S279" s="55"/>
      <c r="T279" s="55"/>
      <c r="U279" s="55"/>
      <c r="V279" s="55"/>
      <c r="W279" s="55"/>
      <c r="X279" s="55"/>
      <c r="Y279" s="55"/>
      <c r="Z279" s="55"/>
      <c r="AA279" s="55"/>
      <c r="AB279" s="55"/>
      <c r="AC279" s="55"/>
      <c r="AD279" s="55"/>
      <c r="AE279" s="55"/>
      <c r="AF279" s="55"/>
      <c r="AG279" s="55"/>
      <c r="AH279" s="55"/>
      <c r="AI279" s="55"/>
      <c r="AJ279" s="55"/>
      <c r="AK279" s="55"/>
      <c r="AL279" s="55"/>
      <c r="AM279" s="55"/>
      <c r="AN279" s="55"/>
      <c r="AO279" s="55"/>
      <c r="AP279" s="55"/>
      <c r="AQ279" s="55"/>
      <c r="AR279" s="55"/>
      <c r="AS279" s="55"/>
      <c r="AT279" s="55"/>
      <c r="AU279" s="55"/>
      <c r="AV279" s="55"/>
      <c r="AW279" s="55"/>
      <c r="AX279" s="55"/>
      <c r="AY279" s="55"/>
      <c r="AZ279" s="55"/>
      <c r="BA279" s="55"/>
      <c r="BB279" s="55"/>
      <c r="BC279" s="55"/>
      <c r="BD279" s="55"/>
      <c r="BE279" s="55"/>
      <c r="BF279" s="55"/>
      <c r="BG279" s="55"/>
      <c r="BH279" s="55"/>
      <c r="BI279" s="55"/>
      <c r="BJ279" s="55"/>
      <c r="BK279" s="55"/>
      <c r="BL279" s="55"/>
      <c r="BM279" s="55"/>
      <c r="BN279" s="55"/>
      <c r="BO279" s="55"/>
      <c r="BP279" s="55"/>
      <c r="BQ279" s="55"/>
      <c r="BR279" s="55"/>
      <c r="BS279" s="55"/>
    </row>
    <row r="280" spans="3:71" outlineLevel="1" x14ac:dyDescent="0.2">
      <c r="D280" t="s">
        <v>70</v>
      </c>
      <c r="I280" s="30" t="e">
        <f t="shared" ref="I280:I282" ca="1" si="80">SUM($L280:$BS280)</f>
        <v>#DIV/0!</v>
      </c>
      <c r="J280" s="26" t="s">
        <v>88</v>
      </c>
      <c r="L280" s="49">
        <f t="shared" ref="L280:BS280" ca="1" si="81">CA_ent_rev_oil/CA_FP_oil_nom</f>
        <v>4.8476488523526609</v>
      </c>
      <c r="M280" s="49">
        <f t="shared" ca="1" si="81"/>
        <v>5.0657552634732488</v>
      </c>
      <c r="N280" s="49">
        <f t="shared" ca="1" si="81"/>
        <v>4.1359606244264207</v>
      </c>
      <c r="O280" s="49">
        <f t="shared" ca="1" si="81"/>
        <v>4.6344460228227611</v>
      </c>
      <c r="P280" s="49">
        <f t="shared" ca="1" si="81"/>
        <v>9.3751960896899771</v>
      </c>
      <c r="Q280" s="49">
        <f t="shared" ca="1" si="81"/>
        <v>14.395891648345096</v>
      </c>
      <c r="R280" s="49">
        <f t="shared" ca="1" si="81"/>
        <v>14.675999937477547</v>
      </c>
      <c r="S280" s="49">
        <f t="shared" ca="1" si="81"/>
        <v>14.186305024535249</v>
      </c>
      <c r="T280" s="49">
        <f t="shared" ca="1" si="81"/>
        <v>12.563000637171431</v>
      </c>
      <c r="U280" s="49">
        <f t="shared" ca="1" si="81"/>
        <v>11.621424433914385</v>
      </c>
      <c r="V280" s="49">
        <f t="shared" ca="1" si="81"/>
        <v>10.807924723540376</v>
      </c>
      <c r="W280" s="49">
        <f t="shared" ca="1" si="81"/>
        <v>10.078907992873077</v>
      </c>
      <c r="X280" s="49">
        <f t="shared" ca="1" si="81"/>
        <v>9.3477740933900701</v>
      </c>
      <c r="Y280" s="49" t="e">
        <f t="shared" ca="1" si="81"/>
        <v>#DIV/0!</v>
      </c>
      <c r="Z280" s="49" t="e">
        <f t="shared" ca="1" si="81"/>
        <v>#DIV/0!</v>
      </c>
      <c r="AA280" s="49" t="e">
        <f t="shared" ca="1" si="81"/>
        <v>#DIV/0!</v>
      </c>
      <c r="AB280" s="49" t="e">
        <f t="shared" ca="1" si="81"/>
        <v>#DIV/0!</v>
      </c>
      <c r="AC280" s="49" t="e">
        <f t="shared" ca="1" si="81"/>
        <v>#DIV/0!</v>
      </c>
      <c r="AD280" s="49" t="e">
        <f t="shared" ca="1" si="81"/>
        <v>#DIV/0!</v>
      </c>
      <c r="AE280" s="49" t="e">
        <f t="shared" ca="1" si="81"/>
        <v>#DIV/0!</v>
      </c>
      <c r="AF280" s="49" t="e">
        <f t="shared" ca="1" si="81"/>
        <v>#DIV/0!</v>
      </c>
      <c r="AG280" s="49" t="e">
        <f t="shared" ca="1" si="81"/>
        <v>#DIV/0!</v>
      </c>
      <c r="AH280" s="49" t="e">
        <f t="shared" ca="1" si="81"/>
        <v>#DIV/0!</v>
      </c>
      <c r="AI280" s="49" t="e">
        <f t="shared" ca="1" si="81"/>
        <v>#DIV/0!</v>
      </c>
      <c r="AJ280" s="49" t="e">
        <f t="shared" ca="1" si="81"/>
        <v>#DIV/0!</v>
      </c>
      <c r="AK280" s="49" t="e">
        <f t="shared" ca="1" si="81"/>
        <v>#DIV/0!</v>
      </c>
      <c r="AL280" s="49" t="e">
        <f t="shared" ca="1" si="81"/>
        <v>#DIV/0!</v>
      </c>
      <c r="AM280" s="49" t="e">
        <f t="shared" ca="1" si="81"/>
        <v>#DIV/0!</v>
      </c>
      <c r="AN280" s="49" t="e">
        <f t="shared" ca="1" si="81"/>
        <v>#DIV/0!</v>
      </c>
      <c r="AO280" s="49" t="e">
        <f t="shared" ca="1" si="81"/>
        <v>#DIV/0!</v>
      </c>
      <c r="AP280" s="49" t="e">
        <f t="shared" ca="1" si="81"/>
        <v>#DIV/0!</v>
      </c>
      <c r="AQ280" s="49" t="e">
        <f t="shared" ca="1" si="81"/>
        <v>#DIV/0!</v>
      </c>
      <c r="AR280" s="49" t="e">
        <f t="shared" ca="1" si="81"/>
        <v>#DIV/0!</v>
      </c>
      <c r="AS280" s="49" t="e">
        <f t="shared" ca="1" si="81"/>
        <v>#DIV/0!</v>
      </c>
      <c r="AT280" s="49" t="e">
        <f t="shared" ca="1" si="81"/>
        <v>#DIV/0!</v>
      </c>
      <c r="AU280" s="49" t="e">
        <f t="shared" ca="1" si="81"/>
        <v>#DIV/0!</v>
      </c>
      <c r="AV280" s="49" t="e">
        <f t="shared" ca="1" si="81"/>
        <v>#DIV/0!</v>
      </c>
      <c r="AW280" s="49" t="e">
        <f t="shared" ca="1" si="81"/>
        <v>#DIV/0!</v>
      </c>
      <c r="AX280" s="49" t="e">
        <f t="shared" ca="1" si="81"/>
        <v>#DIV/0!</v>
      </c>
      <c r="AY280" s="49" t="e">
        <f t="shared" ca="1" si="81"/>
        <v>#DIV/0!</v>
      </c>
      <c r="AZ280" s="49" t="e">
        <f t="shared" ca="1" si="81"/>
        <v>#DIV/0!</v>
      </c>
      <c r="BA280" s="49" t="e">
        <f t="shared" ca="1" si="81"/>
        <v>#DIV/0!</v>
      </c>
      <c r="BB280" s="49" t="e">
        <f t="shared" ca="1" si="81"/>
        <v>#DIV/0!</v>
      </c>
      <c r="BC280" s="49" t="e">
        <f t="shared" ca="1" si="81"/>
        <v>#DIV/0!</v>
      </c>
      <c r="BD280" s="49" t="e">
        <f t="shared" ca="1" si="81"/>
        <v>#DIV/0!</v>
      </c>
      <c r="BE280" s="49" t="e">
        <f t="shared" ca="1" si="81"/>
        <v>#DIV/0!</v>
      </c>
      <c r="BF280" s="49" t="e">
        <f t="shared" ca="1" si="81"/>
        <v>#DIV/0!</v>
      </c>
      <c r="BG280" s="49" t="e">
        <f t="shared" ca="1" si="81"/>
        <v>#DIV/0!</v>
      </c>
      <c r="BH280" s="49" t="e">
        <f t="shared" ca="1" si="81"/>
        <v>#DIV/0!</v>
      </c>
      <c r="BI280" s="49" t="e">
        <f t="shared" ca="1" si="81"/>
        <v>#DIV/0!</v>
      </c>
      <c r="BJ280" s="49" t="e">
        <f t="shared" ca="1" si="81"/>
        <v>#DIV/0!</v>
      </c>
      <c r="BK280" s="49" t="e">
        <f t="shared" ca="1" si="81"/>
        <v>#DIV/0!</v>
      </c>
      <c r="BL280" s="49" t="e">
        <f t="shared" ca="1" si="81"/>
        <v>#DIV/0!</v>
      </c>
      <c r="BM280" s="49" t="e">
        <f t="shared" ca="1" si="81"/>
        <v>#DIV/0!</v>
      </c>
      <c r="BN280" s="49" t="e">
        <f t="shared" ca="1" si="81"/>
        <v>#DIV/0!</v>
      </c>
      <c r="BO280" s="49" t="e">
        <f t="shared" ca="1" si="81"/>
        <v>#DIV/0!</v>
      </c>
      <c r="BP280" s="49" t="e">
        <f t="shared" ca="1" si="81"/>
        <v>#DIV/0!</v>
      </c>
      <c r="BQ280" s="49" t="e">
        <f t="shared" ca="1" si="81"/>
        <v>#DIV/0!</v>
      </c>
      <c r="BR280" s="49" t="e">
        <f t="shared" ca="1" si="81"/>
        <v>#DIV/0!</v>
      </c>
      <c r="BS280" s="49" t="e">
        <f t="shared" ca="1" si="81"/>
        <v>#DIV/0!</v>
      </c>
    </row>
    <row r="281" spans="3:71" outlineLevel="1" x14ac:dyDescent="0.2">
      <c r="D281" t="s">
        <v>71</v>
      </c>
      <c r="I281" s="30">
        <f t="shared" ca="1" si="80"/>
        <v>0</v>
      </c>
      <c r="J281" s="26" t="s">
        <v>89</v>
      </c>
      <c r="L281" s="49">
        <f t="shared" ref="L281:BS281" ca="1" si="82">IFERROR(CA_ent_rev_gas/CA_FP_gas_nom,0)</f>
        <v>0</v>
      </c>
      <c r="M281" s="49">
        <f t="shared" ca="1" si="82"/>
        <v>0</v>
      </c>
      <c r="N281" s="49">
        <f t="shared" ca="1" si="82"/>
        <v>0</v>
      </c>
      <c r="O281" s="49">
        <f t="shared" ca="1" si="82"/>
        <v>0</v>
      </c>
      <c r="P281" s="49">
        <f t="shared" ca="1" si="82"/>
        <v>0</v>
      </c>
      <c r="Q281" s="49">
        <f t="shared" ca="1" si="82"/>
        <v>0</v>
      </c>
      <c r="R281" s="49">
        <f t="shared" ca="1" si="82"/>
        <v>0</v>
      </c>
      <c r="S281" s="49">
        <f t="shared" ca="1" si="82"/>
        <v>0</v>
      </c>
      <c r="T281" s="49">
        <f t="shared" ca="1" si="82"/>
        <v>0</v>
      </c>
      <c r="U281" s="49">
        <f t="shared" ca="1" si="82"/>
        <v>0</v>
      </c>
      <c r="V281" s="49">
        <f t="shared" ca="1" si="82"/>
        <v>0</v>
      </c>
      <c r="W281" s="49">
        <f t="shared" ca="1" si="82"/>
        <v>0</v>
      </c>
      <c r="X281" s="49">
        <f t="shared" ca="1" si="82"/>
        <v>0</v>
      </c>
      <c r="Y281" s="49">
        <f t="shared" ca="1" si="82"/>
        <v>0</v>
      </c>
      <c r="Z281" s="49">
        <f t="shared" ca="1" si="82"/>
        <v>0</v>
      </c>
      <c r="AA281" s="49">
        <f t="shared" ca="1" si="82"/>
        <v>0</v>
      </c>
      <c r="AB281" s="49">
        <f t="shared" ca="1" si="82"/>
        <v>0</v>
      </c>
      <c r="AC281" s="49">
        <f t="shared" ca="1" si="82"/>
        <v>0</v>
      </c>
      <c r="AD281" s="49">
        <f t="shared" ca="1" si="82"/>
        <v>0</v>
      </c>
      <c r="AE281" s="49">
        <f t="shared" ca="1" si="82"/>
        <v>0</v>
      </c>
      <c r="AF281" s="49">
        <f t="shared" ca="1" si="82"/>
        <v>0</v>
      </c>
      <c r="AG281" s="49">
        <f t="shared" ca="1" si="82"/>
        <v>0</v>
      </c>
      <c r="AH281" s="49">
        <f t="shared" ca="1" si="82"/>
        <v>0</v>
      </c>
      <c r="AI281" s="49">
        <f t="shared" ca="1" si="82"/>
        <v>0</v>
      </c>
      <c r="AJ281" s="49">
        <f t="shared" ca="1" si="82"/>
        <v>0</v>
      </c>
      <c r="AK281" s="49">
        <f t="shared" ca="1" si="82"/>
        <v>0</v>
      </c>
      <c r="AL281" s="49">
        <f t="shared" ca="1" si="82"/>
        <v>0</v>
      </c>
      <c r="AM281" s="49">
        <f t="shared" ca="1" si="82"/>
        <v>0</v>
      </c>
      <c r="AN281" s="49">
        <f t="shared" ca="1" si="82"/>
        <v>0</v>
      </c>
      <c r="AO281" s="49">
        <f t="shared" ca="1" si="82"/>
        <v>0</v>
      </c>
      <c r="AP281" s="49">
        <f t="shared" ca="1" si="82"/>
        <v>0</v>
      </c>
      <c r="AQ281" s="49">
        <f t="shared" ca="1" si="82"/>
        <v>0</v>
      </c>
      <c r="AR281" s="49">
        <f t="shared" ca="1" si="82"/>
        <v>0</v>
      </c>
      <c r="AS281" s="49">
        <f t="shared" ca="1" si="82"/>
        <v>0</v>
      </c>
      <c r="AT281" s="49">
        <f t="shared" ca="1" si="82"/>
        <v>0</v>
      </c>
      <c r="AU281" s="49">
        <f t="shared" ca="1" si="82"/>
        <v>0</v>
      </c>
      <c r="AV281" s="49">
        <f t="shared" ca="1" si="82"/>
        <v>0</v>
      </c>
      <c r="AW281" s="49">
        <f t="shared" ca="1" si="82"/>
        <v>0</v>
      </c>
      <c r="AX281" s="49">
        <f t="shared" ca="1" si="82"/>
        <v>0</v>
      </c>
      <c r="AY281" s="49">
        <f t="shared" ca="1" si="82"/>
        <v>0</v>
      </c>
      <c r="AZ281" s="49">
        <f t="shared" ca="1" si="82"/>
        <v>0</v>
      </c>
      <c r="BA281" s="49">
        <f t="shared" ca="1" si="82"/>
        <v>0</v>
      </c>
      <c r="BB281" s="49">
        <f t="shared" ca="1" si="82"/>
        <v>0</v>
      </c>
      <c r="BC281" s="49">
        <f t="shared" ca="1" si="82"/>
        <v>0</v>
      </c>
      <c r="BD281" s="49">
        <f t="shared" ca="1" si="82"/>
        <v>0</v>
      </c>
      <c r="BE281" s="49">
        <f t="shared" ca="1" si="82"/>
        <v>0</v>
      </c>
      <c r="BF281" s="49">
        <f t="shared" ca="1" si="82"/>
        <v>0</v>
      </c>
      <c r="BG281" s="49">
        <f t="shared" ca="1" si="82"/>
        <v>0</v>
      </c>
      <c r="BH281" s="49">
        <f t="shared" ca="1" si="82"/>
        <v>0</v>
      </c>
      <c r="BI281" s="49">
        <f t="shared" ca="1" si="82"/>
        <v>0</v>
      </c>
      <c r="BJ281" s="49">
        <f t="shared" ca="1" si="82"/>
        <v>0</v>
      </c>
      <c r="BK281" s="49">
        <f t="shared" ca="1" si="82"/>
        <v>0</v>
      </c>
      <c r="BL281" s="49">
        <f t="shared" ca="1" si="82"/>
        <v>0</v>
      </c>
      <c r="BM281" s="49">
        <f t="shared" ca="1" si="82"/>
        <v>0</v>
      </c>
      <c r="BN281" s="49">
        <f t="shared" ca="1" si="82"/>
        <v>0</v>
      </c>
      <c r="BO281" s="49">
        <f t="shared" ca="1" si="82"/>
        <v>0</v>
      </c>
      <c r="BP281" s="49">
        <f t="shared" ca="1" si="82"/>
        <v>0</v>
      </c>
      <c r="BQ281" s="49">
        <f t="shared" ca="1" si="82"/>
        <v>0</v>
      </c>
      <c r="BR281" s="49">
        <f t="shared" ca="1" si="82"/>
        <v>0</v>
      </c>
      <c r="BS281" s="49">
        <f t="shared" ca="1" si="82"/>
        <v>0</v>
      </c>
    </row>
    <row r="282" spans="3:71" outlineLevel="1" x14ac:dyDescent="0.2">
      <c r="D282" s="11" t="s">
        <v>129</v>
      </c>
      <c r="I282" s="30" t="e">
        <f t="shared" ca="1" si="80"/>
        <v>#DIV/0!</v>
      </c>
      <c r="J282" s="26" t="s">
        <v>130</v>
      </c>
      <c r="K282" s="7" t="s">
        <v>253</v>
      </c>
      <c r="L282" s="49">
        <f t="shared" ref="L282:BS282" ca="1" si="83">L280+L281*conv_BbltoMcf</f>
        <v>4.8476488523526609</v>
      </c>
      <c r="M282" s="49">
        <f t="shared" ca="1" si="83"/>
        <v>5.0657552634732488</v>
      </c>
      <c r="N282" s="49">
        <f t="shared" ca="1" si="83"/>
        <v>4.1359606244264207</v>
      </c>
      <c r="O282" s="49">
        <f t="shared" ca="1" si="83"/>
        <v>4.6344460228227611</v>
      </c>
      <c r="P282" s="49">
        <f t="shared" ca="1" si="83"/>
        <v>9.3751960896899771</v>
      </c>
      <c r="Q282" s="49">
        <f t="shared" ca="1" si="83"/>
        <v>14.395891648345096</v>
      </c>
      <c r="R282" s="49">
        <f t="shared" ca="1" si="83"/>
        <v>14.675999937477547</v>
      </c>
      <c r="S282" s="49">
        <f t="shared" ca="1" si="83"/>
        <v>14.186305024535249</v>
      </c>
      <c r="T282" s="49">
        <f t="shared" ca="1" si="83"/>
        <v>12.563000637171431</v>
      </c>
      <c r="U282" s="49">
        <f t="shared" ca="1" si="83"/>
        <v>11.621424433914385</v>
      </c>
      <c r="V282" s="49">
        <f t="shared" ca="1" si="83"/>
        <v>10.807924723540376</v>
      </c>
      <c r="W282" s="49">
        <f t="shared" ca="1" si="83"/>
        <v>10.078907992873077</v>
      </c>
      <c r="X282" s="49">
        <f t="shared" ca="1" si="83"/>
        <v>9.3477740933900701</v>
      </c>
      <c r="Y282" s="49" t="e">
        <f t="shared" ca="1" si="83"/>
        <v>#DIV/0!</v>
      </c>
      <c r="Z282" s="49" t="e">
        <f t="shared" ca="1" si="83"/>
        <v>#DIV/0!</v>
      </c>
      <c r="AA282" s="49" t="e">
        <f t="shared" ca="1" si="83"/>
        <v>#DIV/0!</v>
      </c>
      <c r="AB282" s="49" t="e">
        <f t="shared" ca="1" si="83"/>
        <v>#DIV/0!</v>
      </c>
      <c r="AC282" s="49" t="e">
        <f t="shared" ca="1" si="83"/>
        <v>#DIV/0!</v>
      </c>
      <c r="AD282" s="49" t="e">
        <f t="shared" ca="1" si="83"/>
        <v>#DIV/0!</v>
      </c>
      <c r="AE282" s="49" t="e">
        <f t="shared" ca="1" si="83"/>
        <v>#DIV/0!</v>
      </c>
      <c r="AF282" s="49" t="e">
        <f t="shared" ca="1" si="83"/>
        <v>#DIV/0!</v>
      </c>
      <c r="AG282" s="49" t="e">
        <f t="shared" ca="1" si="83"/>
        <v>#DIV/0!</v>
      </c>
      <c r="AH282" s="49" t="e">
        <f t="shared" ca="1" si="83"/>
        <v>#DIV/0!</v>
      </c>
      <c r="AI282" s="49" t="e">
        <f t="shared" ca="1" si="83"/>
        <v>#DIV/0!</v>
      </c>
      <c r="AJ282" s="49" t="e">
        <f t="shared" ca="1" si="83"/>
        <v>#DIV/0!</v>
      </c>
      <c r="AK282" s="49" t="e">
        <f t="shared" ca="1" si="83"/>
        <v>#DIV/0!</v>
      </c>
      <c r="AL282" s="49" t="e">
        <f t="shared" ca="1" si="83"/>
        <v>#DIV/0!</v>
      </c>
      <c r="AM282" s="49" t="e">
        <f t="shared" ca="1" si="83"/>
        <v>#DIV/0!</v>
      </c>
      <c r="AN282" s="49" t="e">
        <f t="shared" ca="1" si="83"/>
        <v>#DIV/0!</v>
      </c>
      <c r="AO282" s="49" t="e">
        <f t="shared" ca="1" si="83"/>
        <v>#DIV/0!</v>
      </c>
      <c r="AP282" s="49" t="e">
        <f t="shared" ca="1" si="83"/>
        <v>#DIV/0!</v>
      </c>
      <c r="AQ282" s="49" t="e">
        <f t="shared" ca="1" si="83"/>
        <v>#DIV/0!</v>
      </c>
      <c r="AR282" s="49" t="e">
        <f t="shared" ca="1" si="83"/>
        <v>#DIV/0!</v>
      </c>
      <c r="AS282" s="49" t="e">
        <f t="shared" ca="1" si="83"/>
        <v>#DIV/0!</v>
      </c>
      <c r="AT282" s="49" t="e">
        <f t="shared" ca="1" si="83"/>
        <v>#DIV/0!</v>
      </c>
      <c r="AU282" s="49" t="e">
        <f t="shared" ca="1" si="83"/>
        <v>#DIV/0!</v>
      </c>
      <c r="AV282" s="49" t="e">
        <f t="shared" ca="1" si="83"/>
        <v>#DIV/0!</v>
      </c>
      <c r="AW282" s="49" t="e">
        <f t="shared" ca="1" si="83"/>
        <v>#DIV/0!</v>
      </c>
      <c r="AX282" s="49" t="e">
        <f t="shared" ca="1" si="83"/>
        <v>#DIV/0!</v>
      </c>
      <c r="AY282" s="49" t="e">
        <f t="shared" ca="1" si="83"/>
        <v>#DIV/0!</v>
      </c>
      <c r="AZ282" s="49" t="e">
        <f t="shared" ca="1" si="83"/>
        <v>#DIV/0!</v>
      </c>
      <c r="BA282" s="49" t="e">
        <f t="shared" ca="1" si="83"/>
        <v>#DIV/0!</v>
      </c>
      <c r="BB282" s="49" t="e">
        <f t="shared" ca="1" si="83"/>
        <v>#DIV/0!</v>
      </c>
      <c r="BC282" s="49" t="e">
        <f t="shared" ca="1" si="83"/>
        <v>#DIV/0!</v>
      </c>
      <c r="BD282" s="49" t="e">
        <f t="shared" ca="1" si="83"/>
        <v>#DIV/0!</v>
      </c>
      <c r="BE282" s="49" t="e">
        <f t="shared" ca="1" si="83"/>
        <v>#DIV/0!</v>
      </c>
      <c r="BF282" s="49" t="e">
        <f t="shared" ca="1" si="83"/>
        <v>#DIV/0!</v>
      </c>
      <c r="BG282" s="49" t="e">
        <f t="shared" ca="1" si="83"/>
        <v>#DIV/0!</v>
      </c>
      <c r="BH282" s="49" t="e">
        <f t="shared" ca="1" si="83"/>
        <v>#DIV/0!</v>
      </c>
      <c r="BI282" s="49" t="e">
        <f t="shared" ca="1" si="83"/>
        <v>#DIV/0!</v>
      </c>
      <c r="BJ282" s="49" t="e">
        <f t="shared" ca="1" si="83"/>
        <v>#DIV/0!</v>
      </c>
      <c r="BK282" s="49" t="e">
        <f t="shared" ca="1" si="83"/>
        <v>#DIV/0!</v>
      </c>
      <c r="BL282" s="49" t="e">
        <f t="shared" ca="1" si="83"/>
        <v>#DIV/0!</v>
      </c>
      <c r="BM282" s="49" t="e">
        <f t="shared" ca="1" si="83"/>
        <v>#DIV/0!</v>
      </c>
      <c r="BN282" s="49" t="e">
        <f t="shared" ca="1" si="83"/>
        <v>#DIV/0!</v>
      </c>
      <c r="BO282" s="49" t="e">
        <f t="shared" ca="1" si="83"/>
        <v>#DIV/0!</v>
      </c>
      <c r="BP282" s="49" t="e">
        <f t="shared" ca="1" si="83"/>
        <v>#DIV/0!</v>
      </c>
      <c r="BQ282" s="49" t="e">
        <f t="shared" ca="1" si="83"/>
        <v>#DIV/0!</v>
      </c>
      <c r="BR282" s="49" t="e">
        <f t="shared" ca="1" si="83"/>
        <v>#DIV/0!</v>
      </c>
      <c r="BS282" s="49" t="e">
        <f t="shared" ca="1" si="83"/>
        <v>#DIV/0!</v>
      </c>
    </row>
    <row r="283" spans="3:71" outlineLevel="1" x14ac:dyDescent="0.2">
      <c r="J283" s="26"/>
      <c r="L283" s="55"/>
      <c r="M283" s="55"/>
      <c r="N283" s="55"/>
      <c r="O283" s="55"/>
      <c r="P283" s="55"/>
      <c r="Q283" s="55"/>
      <c r="R283" s="55"/>
      <c r="S283" s="55"/>
      <c r="T283" s="55"/>
      <c r="U283" s="55"/>
      <c r="V283" s="55"/>
      <c r="W283" s="55"/>
      <c r="X283" s="55"/>
      <c r="Y283" s="55"/>
      <c r="Z283" s="55"/>
      <c r="AA283" s="55"/>
      <c r="AB283" s="55"/>
      <c r="AC283" s="55"/>
      <c r="AD283" s="55"/>
      <c r="AE283" s="55"/>
      <c r="AF283" s="55"/>
      <c r="AG283" s="55"/>
      <c r="AH283" s="55"/>
      <c r="AI283" s="55"/>
      <c r="AJ283" s="55"/>
      <c r="AK283" s="55"/>
      <c r="AL283" s="55"/>
      <c r="AM283" s="55"/>
      <c r="AN283" s="55"/>
      <c r="AO283" s="55"/>
      <c r="AP283" s="55"/>
      <c r="AQ283" s="55"/>
      <c r="AR283" s="55"/>
      <c r="AS283" s="55"/>
      <c r="AT283" s="55"/>
      <c r="AU283" s="55"/>
      <c r="AV283" s="55"/>
      <c r="AW283" s="55"/>
      <c r="AX283" s="55"/>
      <c r="AY283" s="55"/>
      <c r="AZ283" s="55"/>
      <c r="BA283" s="55"/>
      <c r="BB283" s="55"/>
      <c r="BC283" s="55"/>
      <c r="BD283" s="55"/>
      <c r="BE283" s="55"/>
      <c r="BF283" s="55"/>
      <c r="BG283" s="55"/>
      <c r="BH283" s="55"/>
      <c r="BI283" s="55"/>
      <c r="BJ283" s="55"/>
      <c r="BK283" s="55"/>
      <c r="BL283" s="55"/>
      <c r="BM283" s="55"/>
      <c r="BN283" s="55"/>
      <c r="BO283" s="55"/>
      <c r="BP283" s="55"/>
      <c r="BQ283" s="55"/>
      <c r="BR283" s="55"/>
      <c r="BS283" s="55"/>
    </row>
    <row r="284" spans="3:71" outlineLevel="1" x14ac:dyDescent="0.2">
      <c r="C284" s="11" t="s">
        <v>338</v>
      </c>
      <c r="J284" s="26"/>
      <c r="L284" s="55"/>
      <c r="M284" s="55"/>
      <c r="N284" s="55"/>
      <c r="O284" s="55"/>
      <c r="P284" s="55"/>
      <c r="Q284" s="55"/>
      <c r="R284" s="55"/>
      <c r="S284" s="55"/>
      <c r="T284" s="55"/>
      <c r="U284" s="55"/>
      <c r="V284" s="55"/>
      <c r="W284" s="55"/>
      <c r="X284" s="55"/>
      <c r="Y284" s="55"/>
      <c r="Z284" s="55"/>
      <c r="AA284" s="55"/>
      <c r="AB284" s="55"/>
      <c r="AC284" s="55"/>
      <c r="AD284" s="55"/>
      <c r="AE284" s="55"/>
      <c r="AF284" s="55"/>
      <c r="AG284" s="55"/>
      <c r="AH284" s="55"/>
      <c r="AI284" s="55"/>
      <c r="AJ284" s="55"/>
      <c r="AK284" s="55"/>
      <c r="AL284" s="55"/>
      <c r="AM284" s="55"/>
      <c r="AN284" s="55"/>
      <c r="AO284" s="55"/>
      <c r="AP284" s="55"/>
      <c r="AQ284" s="55"/>
      <c r="AR284" s="55"/>
      <c r="AS284" s="55"/>
      <c r="AT284" s="55"/>
      <c r="AU284" s="55"/>
      <c r="AV284" s="55"/>
      <c r="AW284" s="55"/>
      <c r="AX284" s="55"/>
      <c r="AY284" s="55"/>
      <c r="AZ284" s="55"/>
      <c r="BA284" s="55"/>
      <c r="BB284" s="55"/>
      <c r="BC284" s="55"/>
      <c r="BD284" s="55"/>
      <c r="BE284" s="55"/>
      <c r="BF284" s="55"/>
      <c r="BG284" s="55"/>
      <c r="BH284" s="55"/>
      <c r="BI284" s="55"/>
      <c r="BJ284" s="55"/>
      <c r="BK284" s="55"/>
      <c r="BL284" s="55"/>
      <c r="BM284" s="55"/>
      <c r="BN284" s="55"/>
      <c r="BO284" s="55"/>
      <c r="BP284" s="55"/>
      <c r="BQ284" s="55"/>
      <c r="BR284" s="55"/>
      <c r="BS284" s="55"/>
    </row>
    <row r="285" spans="3:71" outlineLevel="1" x14ac:dyDescent="0.2">
      <c r="D285" t="s">
        <v>116</v>
      </c>
      <c r="J285" s="26" t="s">
        <v>90</v>
      </c>
      <c r="K285" s="7" t="s">
        <v>340</v>
      </c>
      <c r="L285" s="53">
        <f ca="1">Haute_Mer_1994!IOC_WI_perc*Haute_Mer_1994!CA_op_trig</f>
        <v>0.85</v>
      </c>
      <c r="M285" s="53">
        <f ca="1">Haute_Mer_1994!IOC_WI_perc*Haute_Mer_1994!CA_op_trig</f>
        <v>0.85</v>
      </c>
      <c r="N285" s="53">
        <f ca="1">Haute_Mer_1994!IOC_WI_perc*Haute_Mer_1994!CA_op_trig</f>
        <v>0.85</v>
      </c>
      <c r="O285" s="53">
        <f ca="1">Haute_Mer_1994!IOC_WI_perc*Haute_Mer_1994!CA_op_trig</f>
        <v>0.85</v>
      </c>
      <c r="P285" s="53">
        <f ca="1">Haute_Mer_1994!IOC_WI_perc*Haute_Mer_1994!CA_op_trig</f>
        <v>0.85</v>
      </c>
      <c r="Q285" s="53">
        <f ca="1">Haute_Mer_1994!IOC_WI_perc*Haute_Mer_1994!CA_op_trig</f>
        <v>0.85</v>
      </c>
      <c r="R285" s="53">
        <f ca="1">Haute_Mer_1994!IOC_WI_perc*Haute_Mer_1994!CA_op_trig</f>
        <v>0.85</v>
      </c>
      <c r="S285" s="53">
        <f ca="1">Haute_Mer_1994!IOC_WI_perc*Haute_Mer_1994!CA_op_trig</f>
        <v>0.85</v>
      </c>
      <c r="T285" s="53">
        <f ca="1">Haute_Mer_1994!IOC_WI_perc*Haute_Mer_1994!CA_op_trig</f>
        <v>0.85</v>
      </c>
      <c r="U285" s="53">
        <f ca="1">Haute_Mer_1994!IOC_WI_perc*Haute_Mer_1994!CA_op_trig</f>
        <v>0.85</v>
      </c>
      <c r="V285" s="53">
        <f ca="1">Haute_Mer_1994!IOC_WI_perc*Haute_Mer_1994!CA_op_trig</f>
        <v>0.85</v>
      </c>
      <c r="W285" s="53">
        <f ca="1">Haute_Mer_1994!IOC_WI_perc*Haute_Mer_1994!CA_op_trig</f>
        <v>0.85</v>
      </c>
      <c r="X285" s="53">
        <f ca="1">Haute_Mer_1994!IOC_WI_perc*Haute_Mer_1994!CA_op_trig</f>
        <v>0.85</v>
      </c>
      <c r="Y285" s="53">
        <f ca="1">Haute_Mer_1994!IOC_WI_perc*Haute_Mer_1994!CA_op_trig</f>
        <v>0</v>
      </c>
      <c r="Z285" s="53">
        <f ca="1">Haute_Mer_1994!IOC_WI_perc*Haute_Mer_1994!CA_op_trig</f>
        <v>0</v>
      </c>
      <c r="AA285" s="53">
        <f ca="1">Haute_Mer_1994!IOC_WI_perc*Haute_Mer_1994!CA_op_trig</f>
        <v>0</v>
      </c>
      <c r="AB285" s="53">
        <f ca="1">Haute_Mer_1994!IOC_WI_perc*Haute_Mer_1994!CA_op_trig</f>
        <v>0</v>
      </c>
      <c r="AC285" s="53">
        <f ca="1">Haute_Mer_1994!IOC_WI_perc*Haute_Mer_1994!CA_op_trig</f>
        <v>0</v>
      </c>
      <c r="AD285" s="53">
        <f ca="1">Haute_Mer_1994!IOC_WI_perc*Haute_Mer_1994!CA_op_trig</f>
        <v>0</v>
      </c>
      <c r="AE285" s="53">
        <f ca="1">Haute_Mer_1994!IOC_WI_perc*Haute_Mer_1994!CA_op_trig</f>
        <v>0</v>
      </c>
      <c r="AF285" s="53">
        <f ca="1">Haute_Mer_1994!IOC_WI_perc*Haute_Mer_1994!CA_op_trig</f>
        <v>0</v>
      </c>
      <c r="AG285" s="53">
        <f ca="1">Haute_Mer_1994!IOC_WI_perc*Haute_Mer_1994!CA_op_trig</f>
        <v>0</v>
      </c>
      <c r="AH285" s="53">
        <f ca="1">Haute_Mer_1994!IOC_WI_perc*Haute_Mer_1994!CA_op_trig</f>
        <v>0</v>
      </c>
      <c r="AI285" s="53">
        <f ca="1">Haute_Mer_1994!IOC_WI_perc*Haute_Mer_1994!CA_op_trig</f>
        <v>0</v>
      </c>
      <c r="AJ285" s="53">
        <f ca="1">Haute_Mer_1994!IOC_WI_perc*Haute_Mer_1994!CA_op_trig</f>
        <v>0</v>
      </c>
      <c r="AK285" s="53">
        <f ca="1">Haute_Mer_1994!IOC_WI_perc*Haute_Mer_1994!CA_op_trig</f>
        <v>0</v>
      </c>
      <c r="AL285" s="53">
        <f ca="1">Haute_Mer_1994!IOC_WI_perc*Haute_Mer_1994!CA_op_trig</f>
        <v>0</v>
      </c>
      <c r="AM285" s="53">
        <f ca="1">Haute_Mer_1994!IOC_WI_perc*Haute_Mer_1994!CA_op_trig</f>
        <v>0</v>
      </c>
      <c r="AN285" s="53">
        <f ca="1">Haute_Mer_1994!IOC_WI_perc*Haute_Mer_1994!CA_op_trig</f>
        <v>0</v>
      </c>
      <c r="AO285" s="53">
        <f ca="1">Haute_Mer_1994!IOC_WI_perc*Haute_Mer_1994!CA_op_trig</f>
        <v>0</v>
      </c>
      <c r="AP285" s="53">
        <f ca="1">Haute_Mer_1994!IOC_WI_perc*Haute_Mer_1994!CA_op_trig</f>
        <v>0</v>
      </c>
      <c r="AQ285" s="53">
        <f ca="1">Haute_Mer_1994!IOC_WI_perc*Haute_Mer_1994!CA_op_trig</f>
        <v>0</v>
      </c>
      <c r="AR285" s="53">
        <f ca="1">Haute_Mer_1994!IOC_WI_perc*Haute_Mer_1994!CA_op_trig</f>
        <v>0</v>
      </c>
      <c r="AS285" s="53">
        <f ca="1">Haute_Mer_1994!IOC_WI_perc*Haute_Mer_1994!CA_op_trig</f>
        <v>0</v>
      </c>
      <c r="AT285" s="53">
        <f ca="1">Haute_Mer_1994!IOC_WI_perc*Haute_Mer_1994!CA_op_trig</f>
        <v>0</v>
      </c>
      <c r="AU285" s="53">
        <f ca="1">Haute_Mer_1994!IOC_WI_perc*Haute_Mer_1994!CA_op_trig</f>
        <v>0</v>
      </c>
      <c r="AV285" s="53">
        <f ca="1">Haute_Mer_1994!IOC_WI_perc*Haute_Mer_1994!CA_op_trig</f>
        <v>0</v>
      </c>
      <c r="AW285" s="53">
        <f ca="1">Haute_Mer_1994!IOC_WI_perc*Haute_Mer_1994!CA_op_trig</f>
        <v>0</v>
      </c>
      <c r="AX285" s="53">
        <f ca="1">Haute_Mer_1994!IOC_WI_perc*Haute_Mer_1994!CA_op_trig</f>
        <v>0</v>
      </c>
      <c r="AY285" s="53">
        <f ca="1">Haute_Mer_1994!IOC_WI_perc*Haute_Mer_1994!CA_op_trig</f>
        <v>0</v>
      </c>
      <c r="AZ285" s="53">
        <f ca="1">Haute_Mer_1994!IOC_WI_perc*Haute_Mer_1994!CA_op_trig</f>
        <v>0</v>
      </c>
      <c r="BA285" s="53">
        <f ca="1">Haute_Mer_1994!IOC_WI_perc*Haute_Mer_1994!CA_op_trig</f>
        <v>0</v>
      </c>
      <c r="BB285" s="53">
        <f ca="1">Haute_Mer_1994!IOC_WI_perc*Haute_Mer_1994!CA_op_trig</f>
        <v>0</v>
      </c>
      <c r="BC285" s="53">
        <f ca="1">Haute_Mer_1994!IOC_WI_perc*Haute_Mer_1994!CA_op_trig</f>
        <v>0</v>
      </c>
      <c r="BD285" s="53">
        <f ca="1">Haute_Mer_1994!IOC_WI_perc*Haute_Mer_1994!CA_op_trig</f>
        <v>0</v>
      </c>
      <c r="BE285" s="53">
        <f ca="1">Haute_Mer_1994!IOC_WI_perc*Haute_Mer_1994!CA_op_trig</f>
        <v>0</v>
      </c>
      <c r="BF285" s="53">
        <f ca="1">Haute_Mer_1994!IOC_WI_perc*Haute_Mer_1994!CA_op_trig</f>
        <v>0</v>
      </c>
      <c r="BG285" s="53">
        <f ca="1">Haute_Mer_1994!IOC_WI_perc*Haute_Mer_1994!CA_op_trig</f>
        <v>0</v>
      </c>
      <c r="BH285" s="53">
        <f ca="1">Haute_Mer_1994!IOC_WI_perc*Haute_Mer_1994!CA_op_trig</f>
        <v>0</v>
      </c>
      <c r="BI285" s="53">
        <f ca="1">Haute_Mer_1994!IOC_WI_perc*Haute_Mer_1994!CA_op_trig</f>
        <v>0</v>
      </c>
      <c r="BJ285" s="53">
        <f ca="1">Haute_Mer_1994!IOC_WI_perc*Haute_Mer_1994!CA_op_trig</f>
        <v>0</v>
      </c>
      <c r="BK285" s="53">
        <f ca="1">Haute_Mer_1994!IOC_WI_perc*Haute_Mer_1994!CA_op_trig</f>
        <v>0</v>
      </c>
      <c r="BL285" s="53">
        <f ca="1">Haute_Mer_1994!IOC_WI_perc*Haute_Mer_1994!CA_op_trig</f>
        <v>0</v>
      </c>
      <c r="BM285" s="53">
        <f ca="1">Haute_Mer_1994!IOC_WI_perc*Haute_Mer_1994!CA_op_trig</f>
        <v>0</v>
      </c>
      <c r="BN285" s="53">
        <f ca="1">Haute_Mer_1994!IOC_WI_perc*Haute_Mer_1994!CA_op_trig</f>
        <v>0</v>
      </c>
      <c r="BO285" s="53">
        <f ca="1">Haute_Mer_1994!IOC_WI_perc*Haute_Mer_1994!CA_op_trig</f>
        <v>0</v>
      </c>
      <c r="BP285" s="53">
        <f ca="1">Haute_Mer_1994!IOC_WI_perc*Haute_Mer_1994!CA_op_trig</f>
        <v>0</v>
      </c>
      <c r="BQ285" s="53">
        <f ca="1">Haute_Mer_1994!IOC_WI_perc*Haute_Mer_1994!CA_op_trig</f>
        <v>0</v>
      </c>
      <c r="BR285" s="53">
        <f ca="1">Haute_Mer_1994!IOC_WI_perc*Haute_Mer_1994!CA_op_trig</f>
        <v>0</v>
      </c>
      <c r="BS285" s="53">
        <f ca="1">Haute_Mer_1994!IOC_WI_perc*Haute_Mer_1994!CA_op_trig</f>
        <v>0</v>
      </c>
    </row>
    <row r="286" spans="3:71" outlineLevel="1" x14ac:dyDescent="0.2">
      <c r="D286" t="s">
        <v>339</v>
      </c>
      <c r="J286" s="26" t="s">
        <v>90</v>
      </c>
      <c r="K286" s="7" t="s">
        <v>341</v>
      </c>
      <c r="L286" s="53">
        <f ca="1">Haute_Mer_1994!NOC_WI_perc*Haute_Mer_1994!CA_op_trig</f>
        <v>0.15</v>
      </c>
      <c r="M286" s="53">
        <f ca="1">Haute_Mer_1994!NOC_WI_perc*Haute_Mer_1994!CA_op_trig</f>
        <v>0.15</v>
      </c>
      <c r="N286" s="53">
        <f ca="1">Haute_Mer_1994!NOC_WI_perc*Haute_Mer_1994!CA_op_trig</f>
        <v>0.15</v>
      </c>
      <c r="O286" s="53">
        <f ca="1">Haute_Mer_1994!NOC_WI_perc*Haute_Mer_1994!CA_op_trig</f>
        <v>0.15</v>
      </c>
      <c r="P286" s="53">
        <f ca="1">Haute_Mer_1994!NOC_WI_perc*Haute_Mer_1994!CA_op_trig</f>
        <v>0.15</v>
      </c>
      <c r="Q286" s="53">
        <f ca="1">Haute_Mer_1994!NOC_WI_perc*Haute_Mer_1994!CA_op_trig</f>
        <v>0.15</v>
      </c>
      <c r="R286" s="53">
        <f ca="1">Haute_Mer_1994!NOC_WI_perc*Haute_Mer_1994!CA_op_trig</f>
        <v>0.15</v>
      </c>
      <c r="S286" s="53">
        <f ca="1">Haute_Mer_1994!NOC_WI_perc*Haute_Mer_1994!CA_op_trig</f>
        <v>0.15</v>
      </c>
      <c r="T286" s="53">
        <f ca="1">Haute_Mer_1994!NOC_WI_perc*Haute_Mer_1994!CA_op_trig</f>
        <v>0.15</v>
      </c>
      <c r="U286" s="53">
        <f ca="1">Haute_Mer_1994!NOC_WI_perc*Haute_Mer_1994!CA_op_trig</f>
        <v>0.15</v>
      </c>
      <c r="V286" s="53">
        <f ca="1">Haute_Mer_1994!NOC_WI_perc*Haute_Mer_1994!CA_op_trig</f>
        <v>0.15</v>
      </c>
      <c r="W286" s="53">
        <f ca="1">Haute_Mer_1994!NOC_WI_perc*Haute_Mer_1994!CA_op_trig</f>
        <v>0.15</v>
      </c>
      <c r="X286" s="53">
        <f ca="1">Haute_Mer_1994!NOC_WI_perc*Haute_Mer_1994!CA_op_trig</f>
        <v>0.15</v>
      </c>
      <c r="Y286" s="53">
        <f ca="1">Haute_Mer_1994!NOC_WI_perc*Haute_Mer_1994!CA_op_trig</f>
        <v>0</v>
      </c>
      <c r="Z286" s="53">
        <f ca="1">Haute_Mer_1994!NOC_WI_perc*Haute_Mer_1994!CA_op_trig</f>
        <v>0</v>
      </c>
      <c r="AA286" s="53">
        <f ca="1">Haute_Mer_1994!NOC_WI_perc*Haute_Mer_1994!CA_op_trig</f>
        <v>0</v>
      </c>
      <c r="AB286" s="53">
        <f ca="1">Haute_Mer_1994!NOC_WI_perc*Haute_Mer_1994!CA_op_trig</f>
        <v>0</v>
      </c>
      <c r="AC286" s="53">
        <f ca="1">Haute_Mer_1994!NOC_WI_perc*Haute_Mer_1994!CA_op_trig</f>
        <v>0</v>
      </c>
      <c r="AD286" s="53">
        <f ca="1">Haute_Mer_1994!NOC_WI_perc*Haute_Mer_1994!CA_op_trig</f>
        <v>0</v>
      </c>
      <c r="AE286" s="53">
        <f ca="1">Haute_Mer_1994!NOC_WI_perc*Haute_Mer_1994!CA_op_trig</f>
        <v>0</v>
      </c>
      <c r="AF286" s="53">
        <f ca="1">Haute_Mer_1994!NOC_WI_perc*Haute_Mer_1994!CA_op_trig</f>
        <v>0</v>
      </c>
      <c r="AG286" s="53">
        <f ca="1">Haute_Mer_1994!NOC_WI_perc*Haute_Mer_1994!CA_op_trig</f>
        <v>0</v>
      </c>
      <c r="AH286" s="53">
        <f ca="1">Haute_Mer_1994!NOC_WI_perc*Haute_Mer_1994!CA_op_trig</f>
        <v>0</v>
      </c>
      <c r="AI286" s="53">
        <f ca="1">Haute_Mer_1994!NOC_WI_perc*Haute_Mer_1994!CA_op_trig</f>
        <v>0</v>
      </c>
      <c r="AJ286" s="53">
        <f ca="1">Haute_Mer_1994!NOC_WI_perc*Haute_Mer_1994!CA_op_trig</f>
        <v>0</v>
      </c>
      <c r="AK286" s="53">
        <f ca="1">Haute_Mer_1994!NOC_WI_perc*Haute_Mer_1994!CA_op_trig</f>
        <v>0</v>
      </c>
      <c r="AL286" s="53">
        <f ca="1">Haute_Mer_1994!NOC_WI_perc*Haute_Mer_1994!CA_op_trig</f>
        <v>0</v>
      </c>
      <c r="AM286" s="53">
        <f ca="1">Haute_Mer_1994!NOC_WI_perc*Haute_Mer_1994!CA_op_trig</f>
        <v>0</v>
      </c>
      <c r="AN286" s="53">
        <f ca="1">Haute_Mer_1994!NOC_WI_perc*Haute_Mer_1994!CA_op_trig</f>
        <v>0</v>
      </c>
      <c r="AO286" s="53">
        <f ca="1">Haute_Mer_1994!NOC_WI_perc*Haute_Mer_1994!CA_op_trig</f>
        <v>0</v>
      </c>
      <c r="AP286" s="53">
        <f ca="1">Haute_Mer_1994!NOC_WI_perc*Haute_Mer_1994!CA_op_trig</f>
        <v>0</v>
      </c>
      <c r="AQ286" s="53">
        <f ca="1">Haute_Mer_1994!NOC_WI_perc*Haute_Mer_1994!CA_op_trig</f>
        <v>0</v>
      </c>
      <c r="AR286" s="53">
        <f ca="1">Haute_Mer_1994!NOC_WI_perc*Haute_Mer_1994!CA_op_trig</f>
        <v>0</v>
      </c>
      <c r="AS286" s="53">
        <f ca="1">Haute_Mer_1994!NOC_WI_perc*Haute_Mer_1994!CA_op_trig</f>
        <v>0</v>
      </c>
      <c r="AT286" s="53">
        <f ca="1">Haute_Mer_1994!NOC_WI_perc*Haute_Mer_1994!CA_op_trig</f>
        <v>0</v>
      </c>
      <c r="AU286" s="53">
        <f ca="1">Haute_Mer_1994!NOC_WI_perc*Haute_Mer_1994!CA_op_trig</f>
        <v>0</v>
      </c>
      <c r="AV286" s="53">
        <f ca="1">Haute_Mer_1994!NOC_WI_perc*Haute_Mer_1994!CA_op_trig</f>
        <v>0</v>
      </c>
      <c r="AW286" s="53">
        <f ca="1">Haute_Mer_1994!NOC_WI_perc*Haute_Mer_1994!CA_op_trig</f>
        <v>0</v>
      </c>
      <c r="AX286" s="53">
        <f ca="1">Haute_Mer_1994!NOC_WI_perc*Haute_Mer_1994!CA_op_trig</f>
        <v>0</v>
      </c>
      <c r="AY286" s="53">
        <f ca="1">Haute_Mer_1994!NOC_WI_perc*Haute_Mer_1994!CA_op_trig</f>
        <v>0</v>
      </c>
      <c r="AZ286" s="53">
        <f ca="1">Haute_Mer_1994!NOC_WI_perc*Haute_Mer_1994!CA_op_trig</f>
        <v>0</v>
      </c>
      <c r="BA286" s="53">
        <f ca="1">Haute_Mer_1994!NOC_WI_perc*Haute_Mer_1994!CA_op_trig</f>
        <v>0</v>
      </c>
      <c r="BB286" s="53">
        <f ca="1">Haute_Mer_1994!NOC_WI_perc*Haute_Mer_1994!CA_op_trig</f>
        <v>0</v>
      </c>
      <c r="BC286" s="53">
        <f ca="1">Haute_Mer_1994!NOC_WI_perc*Haute_Mer_1994!CA_op_trig</f>
        <v>0</v>
      </c>
      <c r="BD286" s="53">
        <f ca="1">Haute_Mer_1994!NOC_WI_perc*Haute_Mer_1994!CA_op_trig</f>
        <v>0</v>
      </c>
      <c r="BE286" s="53">
        <f ca="1">Haute_Mer_1994!NOC_WI_perc*Haute_Mer_1994!CA_op_trig</f>
        <v>0</v>
      </c>
      <c r="BF286" s="53">
        <f ca="1">Haute_Mer_1994!NOC_WI_perc*Haute_Mer_1994!CA_op_trig</f>
        <v>0</v>
      </c>
      <c r="BG286" s="53">
        <f ca="1">Haute_Mer_1994!NOC_WI_perc*Haute_Mer_1994!CA_op_trig</f>
        <v>0</v>
      </c>
      <c r="BH286" s="53">
        <f ca="1">Haute_Mer_1994!NOC_WI_perc*Haute_Mer_1994!CA_op_trig</f>
        <v>0</v>
      </c>
      <c r="BI286" s="53">
        <f ca="1">Haute_Mer_1994!NOC_WI_perc*Haute_Mer_1994!CA_op_trig</f>
        <v>0</v>
      </c>
      <c r="BJ286" s="53">
        <f ca="1">Haute_Mer_1994!NOC_WI_perc*Haute_Mer_1994!CA_op_trig</f>
        <v>0</v>
      </c>
      <c r="BK286" s="53">
        <f ca="1">Haute_Mer_1994!NOC_WI_perc*Haute_Mer_1994!CA_op_trig</f>
        <v>0</v>
      </c>
      <c r="BL286" s="53">
        <f ca="1">Haute_Mer_1994!NOC_WI_perc*Haute_Mer_1994!CA_op_trig</f>
        <v>0</v>
      </c>
      <c r="BM286" s="53">
        <f ca="1">Haute_Mer_1994!NOC_WI_perc*Haute_Mer_1994!CA_op_trig</f>
        <v>0</v>
      </c>
      <c r="BN286" s="53">
        <f ca="1">Haute_Mer_1994!NOC_WI_perc*Haute_Mer_1994!CA_op_trig</f>
        <v>0</v>
      </c>
      <c r="BO286" s="53">
        <f ca="1">Haute_Mer_1994!NOC_WI_perc*Haute_Mer_1994!CA_op_trig</f>
        <v>0</v>
      </c>
      <c r="BP286" s="53">
        <f ca="1">Haute_Mer_1994!NOC_WI_perc*Haute_Mer_1994!CA_op_trig</f>
        <v>0</v>
      </c>
      <c r="BQ286" s="53">
        <f ca="1">Haute_Mer_1994!NOC_WI_perc*Haute_Mer_1994!CA_op_trig</f>
        <v>0</v>
      </c>
      <c r="BR286" s="53">
        <f ca="1">Haute_Mer_1994!NOC_WI_perc*Haute_Mer_1994!CA_op_trig</f>
        <v>0</v>
      </c>
      <c r="BS286" s="53">
        <f ca="1">Haute_Mer_1994!NOC_WI_perc*Haute_Mer_1994!CA_op_trig</f>
        <v>0</v>
      </c>
    </row>
    <row r="287" spans="3:71" outlineLevel="1" x14ac:dyDescent="0.2">
      <c r="J287" s="26"/>
      <c r="L287" s="55"/>
      <c r="M287" s="55"/>
      <c r="N287" s="55"/>
      <c r="O287" s="55"/>
      <c r="P287" s="55"/>
      <c r="Q287" s="55"/>
      <c r="R287" s="55"/>
      <c r="S287" s="55"/>
      <c r="T287" s="55"/>
      <c r="U287" s="55"/>
      <c r="V287" s="55"/>
      <c r="W287" s="55"/>
      <c r="X287" s="55"/>
      <c r="Y287" s="55"/>
      <c r="Z287" s="55"/>
      <c r="AA287" s="55"/>
      <c r="AB287" s="55"/>
      <c r="AC287" s="55"/>
      <c r="AD287" s="55"/>
      <c r="AE287" s="55"/>
      <c r="AF287" s="55"/>
      <c r="AG287" s="55"/>
      <c r="AH287" s="55"/>
      <c r="AI287" s="55"/>
      <c r="AJ287" s="55"/>
      <c r="AK287" s="55"/>
      <c r="AL287" s="55"/>
      <c r="AM287" s="55"/>
      <c r="AN287" s="55"/>
      <c r="AO287" s="55"/>
      <c r="AP287" s="55"/>
      <c r="AQ287" s="55"/>
      <c r="AR287" s="55"/>
      <c r="AS287" s="55"/>
      <c r="AT287" s="55"/>
      <c r="AU287" s="55"/>
      <c r="AV287" s="55"/>
      <c r="AW287" s="55"/>
      <c r="AX287" s="55"/>
      <c r="AY287" s="55"/>
      <c r="AZ287" s="55"/>
      <c r="BA287" s="55"/>
      <c r="BB287" s="55"/>
      <c r="BC287" s="55"/>
      <c r="BD287" s="55"/>
      <c r="BE287" s="55"/>
      <c r="BF287" s="55"/>
      <c r="BG287" s="55"/>
      <c r="BH287" s="55"/>
      <c r="BI287" s="55"/>
      <c r="BJ287" s="55"/>
      <c r="BK287" s="55"/>
      <c r="BL287" s="55"/>
      <c r="BM287" s="55"/>
      <c r="BN287" s="55"/>
      <c r="BO287" s="55"/>
      <c r="BP287" s="55"/>
      <c r="BQ287" s="55"/>
      <c r="BR287" s="55"/>
      <c r="BS287" s="55"/>
    </row>
    <row r="288" spans="3:71" outlineLevel="1" x14ac:dyDescent="0.2">
      <c r="C288" s="11" t="s">
        <v>342</v>
      </c>
      <c r="J288" s="26"/>
      <c r="L288" s="55"/>
      <c r="M288" s="55"/>
      <c r="N288" s="55"/>
      <c r="O288" s="55"/>
      <c r="P288" s="55"/>
      <c r="Q288" s="55"/>
      <c r="R288" s="55"/>
      <c r="S288" s="55"/>
      <c r="T288" s="55"/>
      <c r="U288" s="55"/>
      <c r="V288" s="55"/>
      <c r="W288" s="55"/>
      <c r="X288" s="55"/>
      <c r="Y288" s="55"/>
      <c r="Z288" s="55"/>
      <c r="AA288" s="55"/>
      <c r="AB288" s="55"/>
      <c r="AC288" s="55"/>
      <c r="AD288" s="55"/>
      <c r="AE288" s="55"/>
      <c r="AF288" s="55"/>
      <c r="AG288" s="55"/>
      <c r="AH288" s="55"/>
      <c r="AI288" s="55"/>
      <c r="AJ288" s="55"/>
      <c r="AK288" s="55"/>
      <c r="AL288" s="55"/>
      <c r="AM288" s="55"/>
      <c r="AN288" s="55"/>
      <c r="AO288" s="55"/>
      <c r="AP288" s="55"/>
      <c r="AQ288" s="55"/>
      <c r="AR288" s="55"/>
      <c r="AS288" s="55"/>
      <c r="AT288" s="55"/>
      <c r="AU288" s="55"/>
      <c r="AV288" s="55"/>
      <c r="AW288" s="55"/>
      <c r="AX288" s="55"/>
      <c r="AY288" s="55"/>
      <c r="AZ288" s="55"/>
      <c r="BA288" s="55"/>
      <c r="BB288" s="55"/>
      <c r="BC288" s="55"/>
      <c r="BD288" s="55"/>
      <c r="BE288" s="55"/>
      <c r="BF288" s="55"/>
      <c r="BG288" s="55"/>
      <c r="BH288" s="55"/>
      <c r="BI288" s="55"/>
      <c r="BJ288" s="55"/>
      <c r="BK288" s="55"/>
      <c r="BL288" s="55"/>
      <c r="BM288" s="55"/>
      <c r="BN288" s="55"/>
      <c r="BO288" s="55"/>
      <c r="BP288" s="55"/>
      <c r="BQ288" s="55"/>
      <c r="BR288" s="55"/>
      <c r="BS288" s="55"/>
    </row>
    <row r="289" spans="3:71" outlineLevel="1" x14ac:dyDescent="0.2">
      <c r="D289" t="s">
        <v>116</v>
      </c>
      <c r="I289" s="30">
        <f t="shared" ref="I289:I291" ca="1" si="84">SUM($L289:$BS289)</f>
        <v>7062.0450274782552</v>
      </c>
      <c r="J289" s="26" t="s">
        <v>148</v>
      </c>
      <c r="L289" s="49">
        <f t="shared" ref="L289:BS289" ca="1" si="85">CA_ent_rev_oil*CA_IOC_WI</f>
        <v>434.98464247093051</v>
      </c>
      <c r="M289" s="49">
        <f t="shared" ca="1" si="85"/>
        <v>413.74384946107648</v>
      </c>
      <c r="N289" s="49">
        <f t="shared" ca="1" si="85"/>
        <v>168.16032803790645</v>
      </c>
      <c r="O289" s="49">
        <f t="shared" ca="1" si="85"/>
        <v>159.59665598170037</v>
      </c>
      <c r="P289" s="49">
        <f t="shared" ca="1" si="85"/>
        <v>432.79098087007867</v>
      </c>
      <c r="Q289" s="49">
        <f t="shared" ca="1" si="85"/>
        <v>837.55509599247466</v>
      </c>
      <c r="R289" s="49">
        <f t="shared" ca="1" si="85"/>
        <v>804.5761823661129</v>
      </c>
      <c r="S289" s="49">
        <f t="shared" ca="1" si="85"/>
        <v>487.51946532066609</v>
      </c>
      <c r="T289" s="49">
        <f t="shared" ca="1" si="85"/>
        <v>710.3200963460805</v>
      </c>
      <c r="U289" s="49">
        <f t="shared" ca="1" si="85"/>
        <v>705.30424889426399</v>
      </c>
      <c r="V289" s="49">
        <f t="shared" ca="1" si="85"/>
        <v>669.05161050109871</v>
      </c>
      <c r="W289" s="49">
        <f t="shared" ca="1" si="85"/>
        <v>636.40115870140073</v>
      </c>
      <c r="X289" s="49">
        <f t="shared" ca="1" si="85"/>
        <v>602.04071253446523</v>
      </c>
      <c r="Y289" s="49">
        <f t="shared" ca="1" si="85"/>
        <v>0</v>
      </c>
      <c r="Z289" s="49">
        <f t="shared" ca="1" si="85"/>
        <v>0</v>
      </c>
      <c r="AA289" s="49">
        <f t="shared" ca="1" si="85"/>
        <v>0</v>
      </c>
      <c r="AB289" s="49">
        <f t="shared" ca="1" si="85"/>
        <v>0</v>
      </c>
      <c r="AC289" s="49">
        <f t="shared" ca="1" si="85"/>
        <v>0</v>
      </c>
      <c r="AD289" s="49">
        <f t="shared" ca="1" si="85"/>
        <v>0</v>
      </c>
      <c r="AE289" s="49">
        <f t="shared" ca="1" si="85"/>
        <v>0</v>
      </c>
      <c r="AF289" s="49">
        <f t="shared" ca="1" si="85"/>
        <v>0</v>
      </c>
      <c r="AG289" s="49">
        <f t="shared" ca="1" si="85"/>
        <v>0</v>
      </c>
      <c r="AH289" s="49">
        <f t="shared" ca="1" si="85"/>
        <v>0</v>
      </c>
      <c r="AI289" s="49">
        <f t="shared" ca="1" si="85"/>
        <v>0</v>
      </c>
      <c r="AJ289" s="49">
        <f t="shared" ca="1" si="85"/>
        <v>0</v>
      </c>
      <c r="AK289" s="49">
        <f t="shared" ca="1" si="85"/>
        <v>0</v>
      </c>
      <c r="AL289" s="49">
        <f t="shared" ca="1" si="85"/>
        <v>0</v>
      </c>
      <c r="AM289" s="49">
        <f t="shared" ca="1" si="85"/>
        <v>0</v>
      </c>
      <c r="AN289" s="49">
        <f t="shared" ca="1" si="85"/>
        <v>0</v>
      </c>
      <c r="AO289" s="49">
        <f t="shared" ca="1" si="85"/>
        <v>0</v>
      </c>
      <c r="AP289" s="49">
        <f t="shared" ca="1" si="85"/>
        <v>0</v>
      </c>
      <c r="AQ289" s="49">
        <f t="shared" ca="1" si="85"/>
        <v>0</v>
      </c>
      <c r="AR289" s="49">
        <f t="shared" ca="1" si="85"/>
        <v>0</v>
      </c>
      <c r="AS289" s="49">
        <f t="shared" ca="1" si="85"/>
        <v>0</v>
      </c>
      <c r="AT289" s="49">
        <f t="shared" ca="1" si="85"/>
        <v>0</v>
      </c>
      <c r="AU289" s="49">
        <f t="shared" ca="1" si="85"/>
        <v>0</v>
      </c>
      <c r="AV289" s="49">
        <f t="shared" ca="1" si="85"/>
        <v>0</v>
      </c>
      <c r="AW289" s="49">
        <f t="shared" ca="1" si="85"/>
        <v>0</v>
      </c>
      <c r="AX289" s="49">
        <f t="shared" ca="1" si="85"/>
        <v>0</v>
      </c>
      <c r="AY289" s="49">
        <f t="shared" ca="1" si="85"/>
        <v>0</v>
      </c>
      <c r="AZ289" s="49">
        <f t="shared" ca="1" si="85"/>
        <v>0</v>
      </c>
      <c r="BA289" s="49">
        <f t="shared" ca="1" si="85"/>
        <v>0</v>
      </c>
      <c r="BB289" s="49">
        <f t="shared" ca="1" si="85"/>
        <v>0</v>
      </c>
      <c r="BC289" s="49">
        <f t="shared" ca="1" si="85"/>
        <v>0</v>
      </c>
      <c r="BD289" s="49">
        <f t="shared" ca="1" si="85"/>
        <v>0</v>
      </c>
      <c r="BE289" s="49">
        <f t="shared" ca="1" si="85"/>
        <v>0</v>
      </c>
      <c r="BF289" s="49">
        <f t="shared" ca="1" si="85"/>
        <v>0</v>
      </c>
      <c r="BG289" s="49">
        <f t="shared" ca="1" si="85"/>
        <v>0</v>
      </c>
      <c r="BH289" s="49">
        <f t="shared" ca="1" si="85"/>
        <v>0</v>
      </c>
      <c r="BI289" s="49">
        <f t="shared" ca="1" si="85"/>
        <v>0</v>
      </c>
      <c r="BJ289" s="49">
        <f t="shared" ca="1" si="85"/>
        <v>0</v>
      </c>
      <c r="BK289" s="49">
        <f t="shared" ca="1" si="85"/>
        <v>0</v>
      </c>
      <c r="BL289" s="49">
        <f t="shared" ca="1" si="85"/>
        <v>0</v>
      </c>
      <c r="BM289" s="49">
        <f t="shared" ca="1" si="85"/>
        <v>0</v>
      </c>
      <c r="BN289" s="49">
        <f t="shared" ca="1" si="85"/>
        <v>0</v>
      </c>
      <c r="BO289" s="49">
        <f t="shared" ca="1" si="85"/>
        <v>0</v>
      </c>
      <c r="BP289" s="49">
        <f t="shared" ca="1" si="85"/>
        <v>0</v>
      </c>
      <c r="BQ289" s="49">
        <f t="shared" ca="1" si="85"/>
        <v>0</v>
      </c>
      <c r="BR289" s="49">
        <f t="shared" ca="1" si="85"/>
        <v>0</v>
      </c>
      <c r="BS289" s="49">
        <f t="shared" ca="1" si="85"/>
        <v>0</v>
      </c>
    </row>
    <row r="290" spans="3:71" outlineLevel="1" x14ac:dyDescent="0.2">
      <c r="D290" t="s">
        <v>339</v>
      </c>
      <c r="I290" s="30">
        <f t="shared" ca="1" si="84"/>
        <v>1246.2432401432213</v>
      </c>
      <c r="J290" s="26" t="s">
        <v>148</v>
      </c>
      <c r="L290" s="49">
        <f t="shared" ref="L290:BS290" ca="1" si="86">CA_ent_rev_oil*CA_NOC_WI</f>
        <v>76.761995730164202</v>
      </c>
      <c r="M290" s="49">
        <f t="shared" ca="1" si="86"/>
        <v>73.013620493131143</v>
      </c>
      <c r="N290" s="49">
        <f t="shared" ca="1" si="86"/>
        <v>29.675352006689376</v>
      </c>
      <c r="O290" s="49">
        <f t="shared" ca="1" si="86"/>
        <v>28.164115761476538</v>
      </c>
      <c r="P290" s="49">
        <f t="shared" ca="1" si="86"/>
        <v>76.374878977072711</v>
      </c>
      <c r="Q290" s="49">
        <f t="shared" ca="1" si="86"/>
        <v>147.80384046926022</v>
      </c>
      <c r="R290" s="49">
        <f t="shared" ca="1" si="86"/>
        <v>141.98403218225522</v>
      </c>
      <c r="S290" s="49">
        <f t="shared" ca="1" si="86"/>
        <v>86.032846821294015</v>
      </c>
      <c r="T290" s="49">
        <f t="shared" ca="1" si="86"/>
        <v>125.35060523754362</v>
      </c>
      <c r="U290" s="49">
        <f t="shared" ca="1" si="86"/>
        <v>124.46545568722306</v>
      </c>
      <c r="V290" s="49">
        <f t="shared" ca="1" si="86"/>
        <v>118.06793126489977</v>
      </c>
      <c r="W290" s="49">
        <f t="shared" ca="1" si="86"/>
        <v>112.30608682965895</v>
      </c>
      <c r="X290" s="49">
        <f t="shared" ca="1" si="86"/>
        <v>106.24247868255269</v>
      </c>
      <c r="Y290" s="49">
        <f t="shared" ca="1" si="86"/>
        <v>0</v>
      </c>
      <c r="Z290" s="49">
        <f t="shared" ca="1" si="86"/>
        <v>0</v>
      </c>
      <c r="AA290" s="49">
        <f t="shared" ca="1" si="86"/>
        <v>0</v>
      </c>
      <c r="AB290" s="49">
        <f t="shared" ca="1" si="86"/>
        <v>0</v>
      </c>
      <c r="AC290" s="49">
        <f t="shared" ca="1" si="86"/>
        <v>0</v>
      </c>
      <c r="AD290" s="49">
        <f t="shared" ca="1" si="86"/>
        <v>0</v>
      </c>
      <c r="AE290" s="49">
        <f t="shared" ca="1" si="86"/>
        <v>0</v>
      </c>
      <c r="AF290" s="49">
        <f t="shared" ca="1" si="86"/>
        <v>0</v>
      </c>
      <c r="AG290" s="49">
        <f t="shared" ca="1" si="86"/>
        <v>0</v>
      </c>
      <c r="AH290" s="49">
        <f t="shared" ca="1" si="86"/>
        <v>0</v>
      </c>
      <c r="AI290" s="49">
        <f t="shared" ca="1" si="86"/>
        <v>0</v>
      </c>
      <c r="AJ290" s="49">
        <f t="shared" ca="1" si="86"/>
        <v>0</v>
      </c>
      <c r="AK290" s="49">
        <f t="shared" ca="1" si="86"/>
        <v>0</v>
      </c>
      <c r="AL290" s="49">
        <f t="shared" ca="1" si="86"/>
        <v>0</v>
      </c>
      <c r="AM290" s="49">
        <f t="shared" ca="1" si="86"/>
        <v>0</v>
      </c>
      <c r="AN290" s="49">
        <f t="shared" ca="1" si="86"/>
        <v>0</v>
      </c>
      <c r="AO290" s="49">
        <f t="shared" ca="1" si="86"/>
        <v>0</v>
      </c>
      <c r="AP290" s="49">
        <f t="shared" ca="1" si="86"/>
        <v>0</v>
      </c>
      <c r="AQ290" s="49">
        <f t="shared" ca="1" si="86"/>
        <v>0</v>
      </c>
      <c r="AR290" s="49">
        <f t="shared" ca="1" si="86"/>
        <v>0</v>
      </c>
      <c r="AS290" s="49">
        <f t="shared" ca="1" si="86"/>
        <v>0</v>
      </c>
      <c r="AT290" s="49">
        <f t="shared" ca="1" si="86"/>
        <v>0</v>
      </c>
      <c r="AU290" s="49">
        <f t="shared" ca="1" si="86"/>
        <v>0</v>
      </c>
      <c r="AV290" s="49">
        <f t="shared" ca="1" si="86"/>
        <v>0</v>
      </c>
      <c r="AW290" s="49">
        <f t="shared" ca="1" si="86"/>
        <v>0</v>
      </c>
      <c r="AX290" s="49">
        <f t="shared" ca="1" si="86"/>
        <v>0</v>
      </c>
      <c r="AY290" s="49">
        <f t="shared" ca="1" si="86"/>
        <v>0</v>
      </c>
      <c r="AZ290" s="49">
        <f t="shared" ca="1" si="86"/>
        <v>0</v>
      </c>
      <c r="BA290" s="49">
        <f t="shared" ca="1" si="86"/>
        <v>0</v>
      </c>
      <c r="BB290" s="49">
        <f t="shared" ca="1" si="86"/>
        <v>0</v>
      </c>
      <c r="BC290" s="49">
        <f t="shared" ca="1" si="86"/>
        <v>0</v>
      </c>
      <c r="BD290" s="49">
        <f t="shared" ca="1" si="86"/>
        <v>0</v>
      </c>
      <c r="BE290" s="49">
        <f t="shared" ca="1" si="86"/>
        <v>0</v>
      </c>
      <c r="BF290" s="49">
        <f t="shared" ca="1" si="86"/>
        <v>0</v>
      </c>
      <c r="BG290" s="49">
        <f t="shared" ca="1" si="86"/>
        <v>0</v>
      </c>
      <c r="BH290" s="49">
        <f t="shared" ca="1" si="86"/>
        <v>0</v>
      </c>
      <c r="BI290" s="49">
        <f t="shared" ca="1" si="86"/>
        <v>0</v>
      </c>
      <c r="BJ290" s="49">
        <f t="shared" ca="1" si="86"/>
        <v>0</v>
      </c>
      <c r="BK290" s="49">
        <f t="shared" ca="1" si="86"/>
        <v>0</v>
      </c>
      <c r="BL290" s="49">
        <f t="shared" ca="1" si="86"/>
        <v>0</v>
      </c>
      <c r="BM290" s="49">
        <f t="shared" ca="1" si="86"/>
        <v>0</v>
      </c>
      <c r="BN290" s="49">
        <f t="shared" ca="1" si="86"/>
        <v>0</v>
      </c>
      <c r="BO290" s="49">
        <f t="shared" ca="1" si="86"/>
        <v>0</v>
      </c>
      <c r="BP290" s="49">
        <f t="shared" ca="1" si="86"/>
        <v>0</v>
      </c>
      <c r="BQ290" s="49">
        <f t="shared" ca="1" si="86"/>
        <v>0</v>
      </c>
      <c r="BR290" s="49">
        <f t="shared" ca="1" si="86"/>
        <v>0</v>
      </c>
      <c r="BS290" s="49">
        <f t="shared" ca="1" si="86"/>
        <v>0</v>
      </c>
    </row>
    <row r="291" spans="3:71" outlineLevel="1" x14ac:dyDescent="0.2">
      <c r="D291" s="11" t="s">
        <v>129</v>
      </c>
      <c r="I291" s="30">
        <f t="shared" ca="1" si="84"/>
        <v>8308.2882676214776</v>
      </c>
      <c r="J291" s="26" t="s">
        <v>148</v>
      </c>
      <c r="L291" s="49">
        <f ca="1">SUM(L289:L290)</f>
        <v>511.7466382010947</v>
      </c>
      <c r="M291" s="49">
        <f t="shared" ref="M291:BS291" ca="1" si="87">SUM(M289:M290)</f>
        <v>486.75746995420764</v>
      </c>
      <c r="N291" s="49">
        <f t="shared" ca="1" si="87"/>
        <v>197.83568004459582</v>
      </c>
      <c r="O291" s="49">
        <f t="shared" ca="1" si="87"/>
        <v>187.76077174317692</v>
      </c>
      <c r="P291" s="49">
        <f t="shared" ca="1" si="87"/>
        <v>509.16585984715141</v>
      </c>
      <c r="Q291" s="49">
        <f t="shared" ca="1" si="87"/>
        <v>985.35893646173486</v>
      </c>
      <c r="R291" s="49">
        <f t="shared" ca="1" si="87"/>
        <v>946.56021454836809</v>
      </c>
      <c r="S291" s="49">
        <f t="shared" ca="1" si="87"/>
        <v>573.5523121419601</v>
      </c>
      <c r="T291" s="49">
        <f t="shared" ca="1" si="87"/>
        <v>835.67070158362412</v>
      </c>
      <c r="U291" s="49">
        <f t="shared" ca="1" si="87"/>
        <v>829.76970458148708</v>
      </c>
      <c r="V291" s="49">
        <f t="shared" ca="1" si="87"/>
        <v>787.11954176599852</v>
      </c>
      <c r="W291" s="49">
        <f t="shared" ca="1" si="87"/>
        <v>748.7072455310597</v>
      </c>
      <c r="X291" s="49">
        <f t="shared" ca="1" si="87"/>
        <v>708.28319121701793</v>
      </c>
      <c r="Y291" s="49">
        <f t="shared" ca="1" si="87"/>
        <v>0</v>
      </c>
      <c r="Z291" s="49">
        <f t="shared" ca="1" si="87"/>
        <v>0</v>
      </c>
      <c r="AA291" s="49">
        <f t="shared" ca="1" si="87"/>
        <v>0</v>
      </c>
      <c r="AB291" s="49">
        <f t="shared" ca="1" si="87"/>
        <v>0</v>
      </c>
      <c r="AC291" s="49">
        <f t="shared" ca="1" si="87"/>
        <v>0</v>
      </c>
      <c r="AD291" s="49">
        <f t="shared" ca="1" si="87"/>
        <v>0</v>
      </c>
      <c r="AE291" s="49">
        <f t="shared" ca="1" si="87"/>
        <v>0</v>
      </c>
      <c r="AF291" s="49">
        <f t="shared" ca="1" si="87"/>
        <v>0</v>
      </c>
      <c r="AG291" s="49">
        <f t="shared" ca="1" si="87"/>
        <v>0</v>
      </c>
      <c r="AH291" s="49">
        <f t="shared" ca="1" si="87"/>
        <v>0</v>
      </c>
      <c r="AI291" s="49">
        <f t="shared" ca="1" si="87"/>
        <v>0</v>
      </c>
      <c r="AJ291" s="49">
        <f t="shared" ca="1" si="87"/>
        <v>0</v>
      </c>
      <c r="AK291" s="49">
        <f t="shared" ca="1" si="87"/>
        <v>0</v>
      </c>
      <c r="AL291" s="49">
        <f t="shared" ca="1" si="87"/>
        <v>0</v>
      </c>
      <c r="AM291" s="49">
        <f t="shared" ca="1" si="87"/>
        <v>0</v>
      </c>
      <c r="AN291" s="49">
        <f t="shared" ca="1" si="87"/>
        <v>0</v>
      </c>
      <c r="AO291" s="49">
        <f t="shared" ca="1" si="87"/>
        <v>0</v>
      </c>
      <c r="AP291" s="49">
        <f t="shared" ca="1" si="87"/>
        <v>0</v>
      </c>
      <c r="AQ291" s="49">
        <f t="shared" ca="1" si="87"/>
        <v>0</v>
      </c>
      <c r="AR291" s="49">
        <f t="shared" ca="1" si="87"/>
        <v>0</v>
      </c>
      <c r="AS291" s="49">
        <f t="shared" ca="1" si="87"/>
        <v>0</v>
      </c>
      <c r="AT291" s="49">
        <f t="shared" ca="1" si="87"/>
        <v>0</v>
      </c>
      <c r="AU291" s="49">
        <f t="shared" ca="1" si="87"/>
        <v>0</v>
      </c>
      <c r="AV291" s="49">
        <f t="shared" ca="1" si="87"/>
        <v>0</v>
      </c>
      <c r="AW291" s="49">
        <f t="shared" ca="1" si="87"/>
        <v>0</v>
      </c>
      <c r="AX291" s="49">
        <f t="shared" ca="1" si="87"/>
        <v>0</v>
      </c>
      <c r="AY291" s="49">
        <f t="shared" ca="1" si="87"/>
        <v>0</v>
      </c>
      <c r="AZ291" s="49">
        <f t="shared" ca="1" si="87"/>
        <v>0</v>
      </c>
      <c r="BA291" s="49">
        <f t="shared" ca="1" si="87"/>
        <v>0</v>
      </c>
      <c r="BB291" s="49">
        <f t="shared" ca="1" si="87"/>
        <v>0</v>
      </c>
      <c r="BC291" s="49">
        <f t="shared" ca="1" si="87"/>
        <v>0</v>
      </c>
      <c r="BD291" s="49">
        <f t="shared" ca="1" si="87"/>
        <v>0</v>
      </c>
      <c r="BE291" s="49">
        <f t="shared" ca="1" si="87"/>
        <v>0</v>
      </c>
      <c r="BF291" s="49">
        <f t="shared" ca="1" si="87"/>
        <v>0</v>
      </c>
      <c r="BG291" s="49">
        <f t="shared" ca="1" si="87"/>
        <v>0</v>
      </c>
      <c r="BH291" s="49">
        <f t="shared" ca="1" si="87"/>
        <v>0</v>
      </c>
      <c r="BI291" s="49">
        <f t="shared" ca="1" si="87"/>
        <v>0</v>
      </c>
      <c r="BJ291" s="49">
        <f t="shared" ca="1" si="87"/>
        <v>0</v>
      </c>
      <c r="BK291" s="49">
        <f t="shared" ca="1" si="87"/>
        <v>0</v>
      </c>
      <c r="BL291" s="49">
        <f t="shared" ca="1" si="87"/>
        <v>0</v>
      </c>
      <c r="BM291" s="49">
        <f t="shared" ca="1" si="87"/>
        <v>0</v>
      </c>
      <c r="BN291" s="49">
        <f t="shared" ca="1" si="87"/>
        <v>0</v>
      </c>
      <c r="BO291" s="49">
        <f t="shared" ca="1" si="87"/>
        <v>0</v>
      </c>
      <c r="BP291" s="49">
        <f t="shared" ca="1" si="87"/>
        <v>0</v>
      </c>
      <c r="BQ291" s="49">
        <f t="shared" ca="1" si="87"/>
        <v>0</v>
      </c>
      <c r="BR291" s="49">
        <f t="shared" ca="1" si="87"/>
        <v>0</v>
      </c>
      <c r="BS291" s="49">
        <f t="shared" ca="1" si="87"/>
        <v>0</v>
      </c>
    </row>
    <row r="292" spans="3:71" outlineLevel="1" x14ac:dyDescent="0.2">
      <c r="J292" s="26"/>
      <c r="L292" s="55"/>
      <c r="M292" s="55"/>
      <c r="N292" s="55"/>
      <c r="O292" s="55"/>
      <c r="P292" s="55"/>
      <c r="Q292" s="55"/>
      <c r="R292" s="55"/>
      <c r="S292" s="55"/>
      <c r="T292" s="55"/>
      <c r="U292" s="55"/>
      <c r="V292" s="55"/>
      <c r="W292" s="55"/>
      <c r="X292" s="55"/>
      <c r="Y292" s="55"/>
      <c r="Z292" s="55"/>
      <c r="AA292" s="55"/>
      <c r="AB292" s="55"/>
      <c r="AC292" s="55"/>
      <c r="AD292" s="55"/>
      <c r="AE292" s="55"/>
      <c r="AF292" s="55"/>
      <c r="AG292" s="55"/>
      <c r="AH292" s="55"/>
      <c r="AI292" s="55"/>
      <c r="AJ292" s="55"/>
      <c r="AK292" s="55"/>
      <c r="AL292" s="55"/>
      <c r="AM292" s="55"/>
      <c r="AN292" s="55"/>
      <c r="AO292" s="55"/>
      <c r="AP292" s="55"/>
      <c r="AQ292" s="55"/>
      <c r="AR292" s="55"/>
      <c r="AS292" s="55"/>
      <c r="AT292" s="55"/>
      <c r="AU292" s="55"/>
      <c r="AV292" s="55"/>
      <c r="AW292" s="55"/>
      <c r="AX292" s="55"/>
      <c r="AY292" s="55"/>
      <c r="AZ292" s="55"/>
      <c r="BA292" s="55"/>
      <c r="BB292" s="55"/>
      <c r="BC292" s="55"/>
      <c r="BD292" s="55"/>
      <c r="BE292" s="55"/>
      <c r="BF292" s="55"/>
      <c r="BG292" s="55"/>
      <c r="BH292" s="55"/>
      <c r="BI292" s="55"/>
      <c r="BJ292" s="55"/>
      <c r="BK292" s="55"/>
      <c r="BL292" s="55"/>
      <c r="BM292" s="55"/>
      <c r="BN292" s="55"/>
      <c r="BO292" s="55"/>
      <c r="BP292" s="55"/>
      <c r="BQ292" s="55"/>
      <c r="BR292" s="55"/>
      <c r="BS292" s="55"/>
    </row>
    <row r="293" spans="3:71" outlineLevel="1" x14ac:dyDescent="0.2">
      <c r="C293" s="11" t="s">
        <v>343</v>
      </c>
      <c r="J293" s="26"/>
      <c r="L293" s="55"/>
      <c r="M293" s="55"/>
      <c r="N293" s="55"/>
      <c r="O293" s="55"/>
      <c r="P293" s="55"/>
      <c r="Q293" s="55"/>
      <c r="R293" s="55"/>
      <c r="S293" s="55"/>
      <c r="T293" s="55"/>
      <c r="U293" s="55"/>
      <c r="V293" s="55"/>
      <c r="W293" s="55"/>
      <c r="X293" s="55"/>
      <c r="Y293" s="55"/>
      <c r="Z293" s="55"/>
      <c r="AA293" s="55"/>
      <c r="AB293" s="55"/>
      <c r="AC293" s="55"/>
      <c r="AD293" s="55"/>
      <c r="AE293" s="55"/>
      <c r="AF293" s="55"/>
      <c r="AG293" s="55"/>
      <c r="AH293" s="55"/>
      <c r="AI293" s="55"/>
      <c r="AJ293" s="55"/>
      <c r="AK293" s="55"/>
      <c r="AL293" s="55"/>
      <c r="AM293" s="55"/>
      <c r="AN293" s="55"/>
      <c r="AO293" s="55"/>
      <c r="AP293" s="55"/>
      <c r="AQ293" s="55"/>
      <c r="AR293" s="55"/>
      <c r="AS293" s="55"/>
      <c r="AT293" s="55"/>
      <c r="AU293" s="55"/>
      <c r="AV293" s="55"/>
      <c r="AW293" s="55"/>
      <c r="AX293" s="55"/>
      <c r="AY293" s="55"/>
      <c r="AZ293" s="55"/>
      <c r="BA293" s="55"/>
      <c r="BB293" s="55"/>
      <c r="BC293" s="55"/>
      <c r="BD293" s="55"/>
      <c r="BE293" s="55"/>
      <c r="BF293" s="55"/>
      <c r="BG293" s="55"/>
      <c r="BH293" s="55"/>
      <c r="BI293" s="55"/>
      <c r="BJ293" s="55"/>
      <c r="BK293" s="55"/>
      <c r="BL293" s="55"/>
      <c r="BM293" s="55"/>
      <c r="BN293" s="55"/>
      <c r="BO293" s="55"/>
      <c r="BP293" s="55"/>
      <c r="BQ293" s="55"/>
      <c r="BR293" s="55"/>
      <c r="BS293" s="55"/>
    </row>
    <row r="294" spans="3:71" outlineLevel="1" x14ac:dyDescent="0.2">
      <c r="D294" t="s">
        <v>116</v>
      </c>
      <c r="I294" s="30">
        <f t="shared" ref="I294:I296" ca="1" si="88">SUM($L294:$BS294)</f>
        <v>0</v>
      </c>
      <c r="J294" s="26" t="s">
        <v>148</v>
      </c>
      <c r="L294" s="49">
        <f t="shared" ref="L294:BS294" ca="1" si="89">CA_ent_rev_gas*CA_IOC_WI</f>
        <v>0</v>
      </c>
      <c r="M294" s="49">
        <f t="shared" ca="1" si="89"/>
        <v>0</v>
      </c>
      <c r="N294" s="49">
        <f t="shared" ca="1" si="89"/>
        <v>0</v>
      </c>
      <c r="O294" s="49">
        <f t="shared" ca="1" si="89"/>
        <v>0</v>
      </c>
      <c r="P294" s="49">
        <f t="shared" ca="1" si="89"/>
        <v>0</v>
      </c>
      <c r="Q294" s="49">
        <f t="shared" ca="1" si="89"/>
        <v>0</v>
      </c>
      <c r="R294" s="49">
        <f t="shared" ca="1" si="89"/>
        <v>0</v>
      </c>
      <c r="S294" s="49">
        <f t="shared" ca="1" si="89"/>
        <v>0</v>
      </c>
      <c r="T294" s="49">
        <f t="shared" ca="1" si="89"/>
        <v>0</v>
      </c>
      <c r="U294" s="49">
        <f t="shared" ca="1" si="89"/>
        <v>0</v>
      </c>
      <c r="V294" s="49">
        <f t="shared" ca="1" si="89"/>
        <v>0</v>
      </c>
      <c r="W294" s="49">
        <f t="shared" ca="1" si="89"/>
        <v>0</v>
      </c>
      <c r="X294" s="49">
        <f t="shared" ca="1" si="89"/>
        <v>0</v>
      </c>
      <c r="Y294" s="49">
        <f t="shared" ca="1" si="89"/>
        <v>0</v>
      </c>
      <c r="Z294" s="49">
        <f t="shared" ca="1" si="89"/>
        <v>0</v>
      </c>
      <c r="AA294" s="49">
        <f t="shared" ca="1" si="89"/>
        <v>0</v>
      </c>
      <c r="AB294" s="49">
        <f t="shared" ca="1" si="89"/>
        <v>0</v>
      </c>
      <c r="AC294" s="49">
        <f t="shared" ca="1" si="89"/>
        <v>0</v>
      </c>
      <c r="AD294" s="49">
        <f t="shared" ca="1" si="89"/>
        <v>0</v>
      </c>
      <c r="AE294" s="49">
        <f t="shared" ca="1" si="89"/>
        <v>0</v>
      </c>
      <c r="AF294" s="49">
        <f t="shared" ca="1" si="89"/>
        <v>0</v>
      </c>
      <c r="AG294" s="49">
        <f t="shared" ca="1" si="89"/>
        <v>0</v>
      </c>
      <c r="AH294" s="49">
        <f t="shared" ca="1" si="89"/>
        <v>0</v>
      </c>
      <c r="AI294" s="49">
        <f t="shared" ca="1" si="89"/>
        <v>0</v>
      </c>
      <c r="AJ294" s="49">
        <f t="shared" ca="1" si="89"/>
        <v>0</v>
      </c>
      <c r="AK294" s="49">
        <f t="shared" ca="1" si="89"/>
        <v>0</v>
      </c>
      <c r="AL294" s="49">
        <f t="shared" ca="1" si="89"/>
        <v>0</v>
      </c>
      <c r="AM294" s="49">
        <f t="shared" ca="1" si="89"/>
        <v>0</v>
      </c>
      <c r="AN294" s="49">
        <f t="shared" ca="1" si="89"/>
        <v>0</v>
      </c>
      <c r="AO294" s="49">
        <f t="shared" ca="1" si="89"/>
        <v>0</v>
      </c>
      <c r="AP294" s="49">
        <f t="shared" ca="1" si="89"/>
        <v>0</v>
      </c>
      <c r="AQ294" s="49">
        <f t="shared" ca="1" si="89"/>
        <v>0</v>
      </c>
      <c r="AR294" s="49">
        <f t="shared" ca="1" si="89"/>
        <v>0</v>
      </c>
      <c r="AS294" s="49">
        <f t="shared" ca="1" si="89"/>
        <v>0</v>
      </c>
      <c r="AT294" s="49">
        <f t="shared" ca="1" si="89"/>
        <v>0</v>
      </c>
      <c r="AU294" s="49">
        <f t="shared" ca="1" si="89"/>
        <v>0</v>
      </c>
      <c r="AV294" s="49">
        <f t="shared" ca="1" si="89"/>
        <v>0</v>
      </c>
      <c r="AW294" s="49">
        <f t="shared" ca="1" si="89"/>
        <v>0</v>
      </c>
      <c r="AX294" s="49">
        <f t="shared" ca="1" si="89"/>
        <v>0</v>
      </c>
      <c r="AY294" s="49">
        <f t="shared" ca="1" si="89"/>
        <v>0</v>
      </c>
      <c r="AZ294" s="49">
        <f t="shared" ca="1" si="89"/>
        <v>0</v>
      </c>
      <c r="BA294" s="49">
        <f t="shared" ca="1" si="89"/>
        <v>0</v>
      </c>
      <c r="BB294" s="49">
        <f t="shared" ca="1" si="89"/>
        <v>0</v>
      </c>
      <c r="BC294" s="49">
        <f t="shared" ca="1" si="89"/>
        <v>0</v>
      </c>
      <c r="BD294" s="49">
        <f t="shared" ca="1" si="89"/>
        <v>0</v>
      </c>
      <c r="BE294" s="49">
        <f t="shared" ca="1" si="89"/>
        <v>0</v>
      </c>
      <c r="BF294" s="49">
        <f t="shared" ca="1" si="89"/>
        <v>0</v>
      </c>
      <c r="BG294" s="49">
        <f t="shared" ca="1" si="89"/>
        <v>0</v>
      </c>
      <c r="BH294" s="49">
        <f t="shared" ca="1" si="89"/>
        <v>0</v>
      </c>
      <c r="BI294" s="49">
        <f t="shared" ca="1" si="89"/>
        <v>0</v>
      </c>
      <c r="BJ294" s="49">
        <f t="shared" ca="1" si="89"/>
        <v>0</v>
      </c>
      <c r="BK294" s="49">
        <f t="shared" ca="1" si="89"/>
        <v>0</v>
      </c>
      <c r="BL294" s="49">
        <f t="shared" ca="1" si="89"/>
        <v>0</v>
      </c>
      <c r="BM294" s="49">
        <f t="shared" ca="1" si="89"/>
        <v>0</v>
      </c>
      <c r="BN294" s="49">
        <f t="shared" ca="1" si="89"/>
        <v>0</v>
      </c>
      <c r="BO294" s="49">
        <f t="shared" ca="1" si="89"/>
        <v>0</v>
      </c>
      <c r="BP294" s="49">
        <f t="shared" ca="1" si="89"/>
        <v>0</v>
      </c>
      <c r="BQ294" s="49">
        <f t="shared" ca="1" si="89"/>
        <v>0</v>
      </c>
      <c r="BR294" s="49">
        <f t="shared" ca="1" si="89"/>
        <v>0</v>
      </c>
      <c r="BS294" s="49">
        <f t="shared" ca="1" si="89"/>
        <v>0</v>
      </c>
    </row>
    <row r="295" spans="3:71" outlineLevel="1" x14ac:dyDescent="0.2">
      <c r="D295" t="s">
        <v>339</v>
      </c>
      <c r="I295" s="30">
        <f t="shared" ca="1" si="88"/>
        <v>0</v>
      </c>
      <c r="J295" s="26" t="s">
        <v>148</v>
      </c>
      <c r="L295" s="49">
        <f t="shared" ref="L295:BS295" ca="1" si="90">CA_ent_rev_gas*CA_NOC_WI</f>
        <v>0</v>
      </c>
      <c r="M295" s="49">
        <f t="shared" ca="1" si="90"/>
        <v>0</v>
      </c>
      <c r="N295" s="49">
        <f t="shared" ca="1" si="90"/>
        <v>0</v>
      </c>
      <c r="O295" s="49">
        <f t="shared" ca="1" si="90"/>
        <v>0</v>
      </c>
      <c r="P295" s="49">
        <f t="shared" ca="1" si="90"/>
        <v>0</v>
      </c>
      <c r="Q295" s="49">
        <f t="shared" ca="1" si="90"/>
        <v>0</v>
      </c>
      <c r="R295" s="49">
        <f t="shared" ca="1" si="90"/>
        <v>0</v>
      </c>
      <c r="S295" s="49">
        <f t="shared" ca="1" si="90"/>
        <v>0</v>
      </c>
      <c r="T295" s="49">
        <f t="shared" ca="1" si="90"/>
        <v>0</v>
      </c>
      <c r="U295" s="49">
        <f t="shared" ca="1" si="90"/>
        <v>0</v>
      </c>
      <c r="V295" s="49">
        <f t="shared" ca="1" si="90"/>
        <v>0</v>
      </c>
      <c r="W295" s="49">
        <f t="shared" ca="1" si="90"/>
        <v>0</v>
      </c>
      <c r="X295" s="49">
        <f t="shared" ca="1" si="90"/>
        <v>0</v>
      </c>
      <c r="Y295" s="49">
        <f t="shared" ca="1" si="90"/>
        <v>0</v>
      </c>
      <c r="Z295" s="49">
        <f t="shared" ca="1" si="90"/>
        <v>0</v>
      </c>
      <c r="AA295" s="49">
        <f t="shared" ca="1" si="90"/>
        <v>0</v>
      </c>
      <c r="AB295" s="49">
        <f t="shared" ca="1" si="90"/>
        <v>0</v>
      </c>
      <c r="AC295" s="49">
        <f t="shared" ca="1" si="90"/>
        <v>0</v>
      </c>
      <c r="AD295" s="49">
        <f t="shared" ca="1" si="90"/>
        <v>0</v>
      </c>
      <c r="AE295" s="49">
        <f t="shared" ca="1" si="90"/>
        <v>0</v>
      </c>
      <c r="AF295" s="49">
        <f t="shared" ca="1" si="90"/>
        <v>0</v>
      </c>
      <c r="AG295" s="49">
        <f t="shared" ca="1" si="90"/>
        <v>0</v>
      </c>
      <c r="AH295" s="49">
        <f t="shared" ca="1" si="90"/>
        <v>0</v>
      </c>
      <c r="AI295" s="49">
        <f t="shared" ca="1" si="90"/>
        <v>0</v>
      </c>
      <c r="AJ295" s="49">
        <f t="shared" ca="1" si="90"/>
        <v>0</v>
      </c>
      <c r="AK295" s="49">
        <f t="shared" ca="1" si="90"/>
        <v>0</v>
      </c>
      <c r="AL295" s="49">
        <f t="shared" ca="1" si="90"/>
        <v>0</v>
      </c>
      <c r="AM295" s="49">
        <f t="shared" ca="1" si="90"/>
        <v>0</v>
      </c>
      <c r="AN295" s="49">
        <f t="shared" ca="1" si="90"/>
        <v>0</v>
      </c>
      <c r="AO295" s="49">
        <f t="shared" ca="1" si="90"/>
        <v>0</v>
      </c>
      <c r="AP295" s="49">
        <f t="shared" ca="1" si="90"/>
        <v>0</v>
      </c>
      <c r="AQ295" s="49">
        <f t="shared" ca="1" si="90"/>
        <v>0</v>
      </c>
      <c r="AR295" s="49">
        <f t="shared" ca="1" si="90"/>
        <v>0</v>
      </c>
      <c r="AS295" s="49">
        <f t="shared" ca="1" si="90"/>
        <v>0</v>
      </c>
      <c r="AT295" s="49">
        <f t="shared" ca="1" si="90"/>
        <v>0</v>
      </c>
      <c r="AU295" s="49">
        <f t="shared" ca="1" si="90"/>
        <v>0</v>
      </c>
      <c r="AV295" s="49">
        <f t="shared" ca="1" si="90"/>
        <v>0</v>
      </c>
      <c r="AW295" s="49">
        <f t="shared" ca="1" si="90"/>
        <v>0</v>
      </c>
      <c r="AX295" s="49">
        <f t="shared" ca="1" si="90"/>
        <v>0</v>
      </c>
      <c r="AY295" s="49">
        <f t="shared" ca="1" si="90"/>
        <v>0</v>
      </c>
      <c r="AZ295" s="49">
        <f t="shared" ca="1" si="90"/>
        <v>0</v>
      </c>
      <c r="BA295" s="49">
        <f t="shared" ca="1" si="90"/>
        <v>0</v>
      </c>
      <c r="BB295" s="49">
        <f t="shared" ca="1" si="90"/>
        <v>0</v>
      </c>
      <c r="BC295" s="49">
        <f t="shared" ca="1" si="90"/>
        <v>0</v>
      </c>
      <c r="BD295" s="49">
        <f t="shared" ca="1" si="90"/>
        <v>0</v>
      </c>
      <c r="BE295" s="49">
        <f t="shared" ca="1" si="90"/>
        <v>0</v>
      </c>
      <c r="BF295" s="49">
        <f t="shared" ca="1" si="90"/>
        <v>0</v>
      </c>
      <c r="BG295" s="49">
        <f t="shared" ca="1" si="90"/>
        <v>0</v>
      </c>
      <c r="BH295" s="49">
        <f t="shared" ca="1" si="90"/>
        <v>0</v>
      </c>
      <c r="BI295" s="49">
        <f t="shared" ca="1" si="90"/>
        <v>0</v>
      </c>
      <c r="BJ295" s="49">
        <f t="shared" ca="1" si="90"/>
        <v>0</v>
      </c>
      <c r="BK295" s="49">
        <f t="shared" ca="1" si="90"/>
        <v>0</v>
      </c>
      <c r="BL295" s="49">
        <f t="shared" ca="1" si="90"/>
        <v>0</v>
      </c>
      <c r="BM295" s="49">
        <f t="shared" ca="1" si="90"/>
        <v>0</v>
      </c>
      <c r="BN295" s="49">
        <f t="shared" ca="1" si="90"/>
        <v>0</v>
      </c>
      <c r="BO295" s="49">
        <f t="shared" ca="1" si="90"/>
        <v>0</v>
      </c>
      <c r="BP295" s="49">
        <f t="shared" ca="1" si="90"/>
        <v>0</v>
      </c>
      <c r="BQ295" s="49">
        <f t="shared" ca="1" si="90"/>
        <v>0</v>
      </c>
      <c r="BR295" s="49">
        <f t="shared" ca="1" si="90"/>
        <v>0</v>
      </c>
      <c r="BS295" s="49">
        <f t="shared" ca="1" si="90"/>
        <v>0</v>
      </c>
    </row>
    <row r="296" spans="3:71" outlineLevel="1" x14ac:dyDescent="0.2">
      <c r="D296" s="11" t="s">
        <v>129</v>
      </c>
      <c r="I296" s="30">
        <f t="shared" ca="1" si="88"/>
        <v>0</v>
      </c>
      <c r="J296" s="26" t="s">
        <v>148</v>
      </c>
      <c r="L296" s="49">
        <f ca="1">SUM(L294:L295)</f>
        <v>0</v>
      </c>
      <c r="M296" s="49">
        <f t="shared" ref="M296:BS296" ca="1" si="91">SUM(M294:M295)</f>
        <v>0</v>
      </c>
      <c r="N296" s="49">
        <f t="shared" ca="1" si="91"/>
        <v>0</v>
      </c>
      <c r="O296" s="49">
        <f t="shared" ca="1" si="91"/>
        <v>0</v>
      </c>
      <c r="P296" s="49">
        <f t="shared" ca="1" si="91"/>
        <v>0</v>
      </c>
      <c r="Q296" s="49">
        <f t="shared" ca="1" si="91"/>
        <v>0</v>
      </c>
      <c r="R296" s="49">
        <f t="shared" ca="1" si="91"/>
        <v>0</v>
      </c>
      <c r="S296" s="49">
        <f t="shared" ca="1" si="91"/>
        <v>0</v>
      </c>
      <c r="T296" s="49">
        <f t="shared" ca="1" si="91"/>
        <v>0</v>
      </c>
      <c r="U296" s="49">
        <f t="shared" ca="1" si="91"/>
        <v>0</v>
      </c>
      <c r="V296" s="49">
        <f t="shared" ca="1" si="91"/>
        <v>0</v>
      </c>
      <c r="W296" s="49">
        <f t="shared" ca="1" si="91"/>
        <v>0</v>
      </c>
      <c r="X296" s="49">
        <f t="shared" ca="1" si="91"/>
        <v>0</v>
      </c>
      <c r="Y296" s="49">
        <f t="shared" ca="1" si="91"/>
        <v>0</v>
      </c>
      <c r="Z296" s="49">
        <f t="shared" ca="1" si="91"/>
        <v>0</v>
      </c>
      <c r="AA296" s="49">
        <f t="shared" ca="1" si="91"/>
        <v>0</v>
      </c>
      <c r="AB296" s="49">
        <f t="shared" ca="1" si="91"/>
        <v>0</v>
      </c>
      <c r="AC296" s="49">
        <f t="shared" ca="1" si="91"/>
        <v>0</v>
      </c>
      <c r="AD296" s="49">
        <f t="shared" ca="1" si="91"/>
        <v>0</v>
      </c>
      <c r="AE296" s="49">
        <f t="shared" ca="1" si="91"/>
        <v>0</v>
      </c>
      <c r="AF296" s="49">
        <f t="shared" ca="1" si="91"/>
        <v>0</v>
      </c>
      <c r="AG296" s="49">
        <f t="shared" ca="1" si="91"/>
        <v>0</v>
      </c>
      <c r="AH296" s="49">
        <f t="shared" ca="1" si="91"/>
        <v>0</v>
      </c>
      <c r="AI296" s="49">
        <f t="shared" ca="1" si="91"/>
        <v>0</v>
      </c>
      <c r="AJ296" s="49">
        <f t="shared" ca="1" si="91"/>
        <v>0</v>
      </c>
      <c r="AK296" s="49">
        <f t="shared" ca="1" si="91"/>
        <v>0</v>
      </c>
      <c r="AL296" s="49">
        <f t="shared" ca="1" si="91"/>
        <v>0</v>
      </c>
      <c r="AM296" s="49">
        <f t="shared" ca="1" si="91"/>
        <v>0</v>
      </c>
      <c r="AN296" s="49">
        <f t="shared" ca="1" si="91"/>
        <v>0</v>
      </c>
      <c r="AO296" s="49">
        <f t="shared" ca="1" si="91"/>
        <v>0</v>
      </c>
      <c r="AP296" s="49">
        <f t="shared" ca="1" si="91"/>
        <v>0</v>
      </c>
      <c r="AQ296" s="49">
        <f t="shared" ca="1" si="91"/>
        <v>0</v>
      </c>
      <c r="AR296" s="49">
        <f t="shared" ca="1" si="91"/>
        <v>0</v>
      </c>
      <c r="AS296" s="49">
        <f t="shared" ca="1" si="91"/>
        <v>0</v>
      </c>
      <c r="AT296" s="49">
        <f t="shared" ca="1" si="91"/>
        <v>0</v>
      </c>
      <c r="AU296" s="49">
        <f t="shared" ca="1" si="91"/>
        <v>0</v>
      </c>
      <c r="AV296" s="49">
        <f t="shared" ca="1" si="91"/>
        <v>0</v>
      </c>
      <c r="AW296" s="49">
        <f t="shared" ca="1" si="91"/>
        <v>0</v>
      </c>
      <c r="AX296" s="49">
        <f t="shared" ca="1" si="91"/>
        <v>0</v>
      </c>
      <c r="AY296" s="49">
        <f t="shared" ca="1" si="91"/>
        <v>0</v>
      </c>
      <c r="AZ296" s="49">
        <f t="shared" ca="1" si="91"/>
        <v>0</v>
      </c>
      <c r="BA296" s="49">
        <f t="shared" ca="1" si="91"/>
        <v>0</v>
      </c>
      <c r="BB296" s="49">
        <f t="shared" ca="1" si="91"/>
        <v>0</v>
      </c>
      <c r="BC296" s="49">
        <f t="shared" ca="1" si="91"/>
        <v>0</v>
      </c>
      <c r="BD296" s="49">
        <f t="shared" ca="1" si="91"/>
        <v>0</v>
      </c>
      <c r="BE296" s="49">
        <f t="shared" ca="1" si="91"/>
        <v>0</v>
      </c>
      <c r="BF296" s="49">
        <f t="shared" ca="1" si="91"/>
        <v>0</v>
      </c>
      <c r="BG296" s="49">
        <f t="shared" ca="1" si="91"/>
        <v>0</v>
      </c>
      <c r="BH296" s="49">
        <f t="shared" ca="1" si="91"/>
        <v>0</v>
      </c>
      <c r="BI296" s="49">
        <f t="shared" ca="1" si="91"/>
        <v>0</v>
      </c>
      <c r="BJ296" s="49">
        <f t="shared" ca="1" si="91"/>
        <v>0</v>
      </c>
      <c r="BK296" s="49">
        <f t="shared" ca="1" si="91"/>
        <v>0</v>
      </c>
      <c r="BL296" s="49">
        <f t="shared" ca="1" si="91"/>
        <v>0</v>
      </c>
      <c r="BM296" s="49">
        <f t="shared" ca="1" si="91"/>
        <v>0</v>
      </c>
      <c r="BN296" s="49">
        <f t="shared" ca="1" si="91"/>
        <v>0</v>
      </c>
      <c r="BO296" s="49">
        <f t="shared" ca="1" si="91"/>
        <v>0</v>
      </c>
      <c r="BP296" s="49">
        <f t="shared" ca="1" si="91"/>
        <v>0</v>
      </c>
      <c r="BQ296" s="49">
        <f t="shared" ca="1" si="91"/>
        <v>0</v>
      </c>
      <c r="BR296" s="49">
        <f t="shared" ca="1" si="91"/>
        <v>0</v>
      </c>
      <c r="BS296" s="49">
        <f t="shared" ca="1" si="91"/>
        <v>0</v>
      </c>
    </row>
    <row r="297" spans="3:71" outlineLevel="1" x14ac:dyDescent="0.2">
      <c r="J297" s="26"/>
      <c r="L297" s="55"/>
      <c r="M297" s="55"/>
      <c r="N297" s="55"/>
      <c r="O297" s="55"/>
      <c r="P297" s="55"/>
      <c r="Q297" s="55"/>
      <c r="R297" s="55"/>
      <c r="S297" s="55"/>
      <c r="T297" s="55"/>
      <c r="U297" s="55"/>
      <c r="V297" s="55"/>
      <c r="W297" s="55"/>
      <c r="X297" s="55"/>
      <c r="Y297" s="55"/>
      <c r="Z297" s="55"/>
      <c r="AA297" s="55"/>
      <c r="AB297" s="55"/>
      <c r="AC297" s="55"/>
      <c r="AD297" s="55"/>
      <c r="AE297" s="55"/>
      <c r="AF297" s="55"/>
      <c r="AG297" s="55"/>
      <c r="AH297" s="55"/>
      <c r="AI297" s="55"/>
      <c r="AJ297" s="55"/>
      <c r="AK297" s="55"/>
      <c r="AL297" s="55"/>
      <c r="AM297" s="55"/>
      <c r="AN297" s="55"/>
      <c r="AO297" s="55"/>
      <c r="AP297" s="55"/>
      <c r="AQ297" s="55"/>
      <c r="AR297" s="55"/>
      <c r="AS297" s="55"/>
      <c r="AT297" s="55"/>
      <c r="AU297" s="55"/>
      <c r="AV297" s="55"/>
      <c r="AW297" s="55"/>
      <c r="AX297" s="55"/>
      <c r="AY297" s="55"/>
      <c r="AZ297" s="55"/>
      <c r="BA297" s="55"/>
      <c r="BB297" s="55"/>
      <c r="BC297" s="55"/>
      <c r="BD297" s="55"/>
      <c r="BE297" s="55"/>
      <c r="BF297" s="55"/>
      <c r="BG297" s="55"/>
      <c r="BH297" s="55"/>
      <c r="BI297" s="55"/>
      <c r="BJ297" s="55"/>
      <c r="BK297" s="55"/>
      <c r="BL297" s="55"/>
      <c r="BM297" s="55"/>
      <c r="BN297" s="55"/>
      <c r="BO297" s="55"/>
      <c r="BP297" s="55"/>
      <c r="BQ297" s="55"/>
      <c r="BR297" s="55"/>
      <c r="BS297" s="55"/>
    </row>
    <row r="298" spans="3:71" outlineLevel="1" x14ac:dyDescent="0.2">
      <c r="C298" s="11" t="s">
        <v>344</v>
      </c>
      <c r="J298" s="26"/>
      <c r="L298" s="55"/>
      <c r="M298" s="55"/>
      <c r="N298" s="55"/>
      <c r="O298" s="55"/>
      <c r="P298" s="55"/>
      <c r="Q298" s="55"/>
      <c r="R298" s="55"/>
      <c r="S298" s="55"/>
      <c r="T298" s="55"/>
      <c r="U298" s="55"/>
      <c r="V298" s="55"/>
      <c r="W298" s="55"/>
      <c r="X298" s="55"/>
      <c r="Y298" s="55"/>
      <c r="Z298" s="55"/>
      <c r="AA298" s="55"/>
      <c r="AB298" s="55"/>
      <c r="AC298" s="55"/>
      <c r="AD298" s="55"/>
      <c r="AE298" s="55"/>
      <c r="AF298" s="55"/>
      <c r="AG298" s="55"/>
      <c r="AH298" s="55"/>
      <c r="AI298" s="55"/>
      <c r="AJ298" s="55"/>
      <c r="AK298" s="55"/>
      <c r="AL298" s="55"/>
      <c r="AM298" s="55"/>
      <c r="AN298" s="55"/>
      <c r="AO298" s="55"/>
      <c r="AP298" s="55"/>
      <c r="AQ298" s="55"/>
      <c r="AR298" s="55"/>
      <c r="AS298" s="55"/>
      <c r="AT298" s="55"/>
      <c r="AU298" s="55"/>
      <c r="AV298" s="55"/>
      <c r="AW298" s="55"/>
      <c r="AX298" s="55"/>
      <c r="AY298" s="55"/>
      <c r="AZ298" s="55"/>
      <c r="BA298" s="55"/>
      <c r="BB298" s="55"/>
      <c r="BC298" s="55"/>
      <c r="BD298" s="55"/>
      <c r="BE298" s="55"/>
      <c r="BF298" s="55"/>
      <c r="BG298" s="55"/>
      <c r="BH298" s="55"/>
      <c r="BI298" s="55"/>
      <c r="BJ298" s="55"/>
      <c r="BK298" s="55"/>
      <c r="BL298" s="55"/>
      <c r="BM298" s="55"/>
      <c r="BN298" s="55"/>
      <c r="BO298" s="55"/>
      <c r="BP298" s="55"/>
      <c r="BQ298" s="55"/>
      <c r="BR298" s="55"/>
      <c r="BS298" s="55"/>
    </row>
    <row r="299" spans="3:71" outlineLevel="1" x14ac:dyDescent="0.2">
      <c r="D299" t="s">
        <v>116</v>
      </c>
      <c r="I299" s="30" t="e">
        <f t="shared" ref="I299:I301" ca="1" si="92">SUM($L299:$BS299)</f>
        <v>#DIV/0!</v>
      </c>
      <c r="J299" s="26" t="s">
        <v>88</v>
      </c>
      <c r="L299" s="49">
        <f t="shared" ref="L299:BS299" ca="1" si="93">L280*CA_IOC_WI</f>
        <v>4.1205015244997618</v>
      </c>
      <c r="M299" s="49">
        <f t="shared" ca="1" si="93"/>
        <v>4.305891973952261</v>
      </c>
      <c r="N299" s="49">
        <f t="shared" ca="1" si="93"/>
        <v>3.5155665307624573</v>
      </c>
      <c r="O299" s="49">
        <f t="shared" ca="1" si="93"/>
        <v>3.9392791193993468</v>
      </c>
      <c r="P299" s="49">
        <f t="shared" ca="1" si="93"/>
        <v>7.9689166762364803</v>
      </c>
      <c r="Q299" s="49">
        <f t="shared" ca="1" si="93"/>
        <v>12.236507901093331</v>
      </c>
      <c r="R299" s="49">
        <f t="shared" ca="1" si="93"/>
        <v>12.474599946855914</v>
      </c>
      <c r="S299" s="49">
        <f t="shared" ca="1" si="93"/>
        <v>12.058359270854961</v>
      </c>
      <c r="T299" s="49">
        <f t="shared" ca="1" si="93"/>
        <v>10.678550541595715</v>
      </c>
      <c r="U299" s="49">
        <f t="shared" ca="1" si="93"/>
        <v>9.8782107688272269</v>
      </c>
      <c r="V299" s="49">
        <f t="shared" ca="1" si="93"/>
        <v>9.1867360150093198</v>
      </c>
      <c r="W299" s="49">
        <f t="shared" ca="1" si="93"/>
        <v>8.5670717939421159</v>
      </c>
      <c r="X299" s="49">
        <f t="shared" ca="1" si="93"/>
        <v>7.9456079793815597</v>
      </c>
      <c r="Y299" s="49" t="e">
        <f t="shared" ca="1" si="93"/>
        <v>#DIV/0!</v>
      </c>
      <c r="Z299" s="49" t="e">
        <f t="shared" ca="1" si="93"/>
        <v>#DIV/0!</v>
      </c>
      <c r="AA299" s="49" t="e">
        <f t="shared" ca="1" si="93"/>
        <v>#DIV/0!</v>
      </c>
      <c r="AB299" s="49" t="e">
        <f t="shared" ca="1" si="93"/>
        <v>#DIV/0!</v>
      </c>
      <c r="AC299" s="49" t="e">
        <f t="shared" ca="1" si="93"/>
        <v>#DIV/0!</v>
      </c>
      <c r="AD299" s="49" t="e">
        <f t="shared" ca="1" si="93"/>
        <v>#DIV/0!</v>
      </c>
      <c r="AE299" s="49" t="e">
        <f t="shared" ca="1" si="93"/>
        <v>#DIV/0!</v>
      </c>
      <c r="AF299" s="49" t="e">
        <f t="shared" ca="1" si="93"/>
        <v>#DIV/0!</v>
      </c>
      <c r="AG299" s="49" t="e">
        <f t="shared" ca="1" si="93"/>
        <v>#DIV/0!</v>
      </c>
      <c r="AH299" s="49" t="e">
        <f t="shared" ca="1" si="93"/>
        <v>#DIV/0!</v>
      </c>
      <c r="AI299" s="49" t="e">
        <f t="shared" ca="1" si="93"/>
        <v>#DIV/0!</v>
      </c>
      <c r="AJ299" s="49" t="e">
        <f t="shared" ca="1" si="93"/>
        <v>#DIV/0!</v>
      </c>
      <c r="AK299" s="49" t="e">
        <f t="shared" ca="1" si="93"/>
        <v>#DIV/0!</v>
      </c>
      <c r="AL299" s="49" t="e">
        <f t="shared" ca="1" si="93"/>
        <v>#DIV/0!</v>
      </c>
      <c r="AM299" s="49" t="e">
        <f t="shared" ca="1" si="93"/>
        <v>#DIV/0!</v>
      </c>
      <c r="AN299" s="49" t="e">
        <f t="shared" ca="1" si="93"/>
        <v>#DIV/0!</v>
      </c>
      <c r="AO299" s="49" t="e">
        <f t="shared" ca="1" si="93"/>
        <v>#DIV/0!</v>
      </c>
      <c r="AP299" s="49" t="e">
        <f t="shared" ca="1" si="93"/>
        <v>#DIV/0!</v>
      </c>
      <c r="AQ299" s="49" t="e">
        <f t="shared" ca="1" si="93"/>
        <v>#DIV/0!</v>
      </c>
      <c r="AR299" s="49" t="e">
        <f t="shared" ca="1" si="93"/>
        <v>#DIV/0!</v>
      </c>
      <c r="AS299" s="49" t="e">
        <f t="shared" ca="1" si="93"/>
        <v>#DIV/0!</v>
      </c>
      <c r="AT299" s="49" t="e">
        <f t="shared" ca="1" si="93"/>
        <v>#DIV/0!</v>
      </c>
      <c r="AU299" s="49" t="e">
        <f t="shared" ca="1" si="93"/>
        <v>#DIV/0!</v>
      </c>
      <c r="AV299" s="49" t="e">
        <f t="shared" ca="1" si="93"/>
        <v>#DIV/0!</v>
      </c>
      <c r="AW299" s="49" t="e">
        <f t="shared" ca="1" si="93"/>
        <v>#DIV/0!</v>
      </c>
      <c r="AX299" s="49" t="e">
        <f t="shared" ca="1" si="93"/>
        <v>#DIV/0!</v>
      </c>
      <c r="AY299" s="49" t="e">
        <f t="shared" ca="1" si="93"/>
        <v>#DIV/0!</v>
      </c>
      <c r="AZ299" s="49" t="e">
        <f t="shared" ca="1" si="93"/>
        <v>#DIV/0!</v>
      </c>
      <c r="BA299" s="49" t="e">
        <f t="shared" ca="1" si="93"/>
        <v>#DIV/0!</v>
      </c>
      <c r="BB299" s="49" t="e">
        <f t="shared" ca="1" si="93"/>
        <v>#DIV/0!</v>
      </c>
      <c r="BC299" s="49" t="e">
        <f t="shared" ca="1" si="93"/>
        <v>#DIV/0!</v>
      </c>
      <c r="BD299" s="49" t="e">
        <f t="shared" ca="1" si="93"/>
        <v>#DIV/0!</v>
      </c>
      <c r="BE299" s="49" t="e">
        <f t="shared" ca="1" si="93"/>
        <v>#DIV/0!</v>
      </c>
      <c r="BF299" s="49" t="e">
        <f t="shared" ca="1" si="93"/>
        <v>#DIV/0!</v>
      </c>
      <c r="BG299" s="49" t="e">
        <f t="shared" ca="1" si="93"/>
        <v>#DIV/0!</v>
      </c>
      <c r="BH299" s="49" t="e">
        <f t="shared" ca="1" si="93"/>
        <v>#DIV/0!</v>
      </c>
      <c r="BI299" s="49" t="e">
        <f t="shared" ca="1" si="93"/>
        <v>#DIV/0!</v>
      </c>
      <c r="BJ299" s="49" t="e">
        <f t="shared" ca="1" si="93"/>
        <v>#DIV/0!</v>
      </c>
      <c r="BK299" s="49" t="e">
        <f t="shared" ca="1" si="93"/>
        <v>#DIV/0!</v>
      </c>
      <c r="BL299" s="49" t="e">
        <f t="shared" ca="1" si="93"/>
        <v>#DIV/0!</v>
      </c>
      <c r="BM299" s="49" t="e">
        <f t="shared" ca="1" si="93"/>
        <v>#DIV/0!</v>
      </c>
      <c r="BN299" s="49" t="e">
        <f t="shared" ca="1" si="93"/>
        <v>#DIV/0!</v>
      </c>
      <c r="BO299" s="49" t="e">
        <f t="shared" ca="1" si="93"/>
        <v>#DIV/0!</v>
      </c>
      <c r="BP299" s="49" t="e">
        <f t="shared" ca="1" si="93"/>
        <v>#DIV/0!</v>
      </c>
      <c r="BQ299" s="49" t="e">
        <f t="shared" ca="1" si="93"/>
        <v>#DIV/0!</v>
      </c>
      <c r="BR299" s="49" t="e">
        <f t="shared" ca="1" si="93"/>
        <v>#DIV/0!</v>
      </c>
      <c r="BS299" s="49" t="e">
        <f t="shared" ca="1" si="93"/>
        <v>#DIV/0!</v>
      </c>
    </row>
    <row r="300" spans="3:71" outlineLevel="1" x14ac:dyDescent="0.2">
      <c r="D300" t="s">
        <v>339</v>
      </c>
      <c r="I300" s="30" t="e">
        <f t="shared" ca="1" si="92"/>
        <v>#DIV/0!</v>
      </c>
      <c r="J300" s="26" t="s">
        <v>88</v>
      </c>
      <c r="L300" s="49">
        <f t="shared" ref="L300:BS300" ca="1" si="94">L280*CA_NOC_WI</f>
        <v>0.72714732785289915</v>
      </c>
      <c r="M300" s="49">
        <f t="shared" ca="1" si="94"/>
        <v>0.75986328952098725</v>
      </c>
      <c r="N300" s="49">
        <f t="shared" ca="1" si="94"/>
        <v>0.62039409366396303</v>
      </c>
      <c r="O300" s="49">
        <f t="shared" ca="1" si="94"/>
        <v>0.69516690342341414</v>
      </c>
      <c r="P300" s="49">
        <f t="shared" ca="1" si="94"/>
        <v>1.4062794134534966</v>
      </c>
      <c r="Q300" s="49">
        <f t="shared" ca="1" si="94"/>
        <v>2.1593837472517641</v>
      </c>
      <c r="R300" s="49">
        <f t="shared" ca="1" si="94"/>
        <v>2.2013999906216322</v>
      </c>
      <c r="S300" s="49">
        <f t="shared" ca="1" si="94"/>
        <v>2.1279457536802875</v>
      </c>
      <c r="T300" s="49">
        <f t="shared" ca="1" si="94"/>
        <v>1.8844500955757146</v>
      </c>
      <c r="U300" s="49">
        <f t="shared" ca="1" si="94"/>
        <v>1.7432136650871577</v>
      </c>
      <c r="V300" s="49">
        <f t="shared" ca="1" si="94"/>
        <v>1.6211887085310563</v>
      </c>
      <c r="W300" s="49">
        <f t="shared" ca="1" si="94"/>
        <v>1.5118361989309614</v>
      </c>
      <c r="X300" s="49">
        <f t="shared" ca="1" si="94"/>
        <v>1.4021661140085104</v>
      </c>
      <c r="Y300" s="49" t="e">
        <f t="shared" ca="1" si="94"/>
        <v>#DIV/0!</v>
      </c>
      <c r="Z300" s="49" t="e">
        <f t="shared" ca="1" si="94"/>
        <v>#DIV/0!</v>
      </c>
      <c r="AA300" s="49" t="e">
        <f t="shared" ca="1" si="94"/>
        <v>#DIV/0!</v>
      </c>
      <c r="AB300" s="49" t="e">
        <f t="shared" ca="1" si="94"/>
        <v>#DIV/0!</v>
      </c>
      <c r="AC300" s="49" t="e">
        <f t="shared" ca="1" si="94"/>
        <v>#DIV/0!</v>
      </c>
      <c r="AD300" s="49" t="e">
        <f t="shared" ca="1" si="94"/>
        <v>#DIV/0!</v>
      </c>
      <c r="AE300" s="49" t="e">
        <f t="shared" ca="1" si="94"/>
        <v>#DIV/0!</v>
      </c>
      <c r="AF300" s="49" t="e">
        <f t="shared" ca="1" si="94"/>
        <v>#DIV/0!</v>
      </c>
      <c r="AG300" s="49" t="e">
        <f t="shared" ca="1" si="94"/>
        <v>#DIV/0!</v>
      </c>
      <c r="AH300" s="49" t="e">
        <f t="shared" ca="1" si="94"/>
        <v>#DIV/0!</v>
      </c>
      <c r="AI300" s="49" t="e">
        <f t="shared" ca="1" si="94"/>
        <v>#DIV/0!</v>
      </c>
      <c r="AJ300" s="49" t="e">
        <f t="shared" ca="1" si="94"/>
        <v>#DIV/0!</v>
      </c>
      <c r="AK300" s="49" t="e">
        <f t="shared" ca="1" si="94"/>
        <v>#DIV/0!</v>
      </c>
      <c r="AL300" s="49" t="e">
        <f t="shared" ca="1" si="94"/>
        <v>#DIV/0!</v>
      </c>
      <c r="AM300" s="49" t="e">
        <f t="shared" ca="1" si="94"/>
        <v>#DIV/0!</v>
      </c>
      <c r="AN300" s="49" t="e">
        <f t="shared" ca="1" si="94"/>
        <v>#DIV/0!</v>
      </c>
      <c r="AO300" s="49" t="e">
        <f t="shared" ca="1" si="94"/>
        <v>#DIV/0!</v>
      </c>
      <c r="AP300" s="49" t="e">
        <f t="shared" ca="1" si="94"/>
        <v>#DIV/0!</v>
      </c>
      <c r="AQ300" s="49" t="e">
        <f t="shared" ca="1" si="94"/>
        <v>#DIV/0!</v>
      </c>
      <c r="AR300" s="49" t="e">
        <f t="shared" ca="1" si="94"/>
        <v>#DIV/0!</v>
      </c>
      <c r="AS300" s="49" t="e">
        <f t="shared" ca="1" si="94"/>
        <v>#DIV/0!</v>
      </c>
      <c r="AT300" s="49" t="e">
        <f t="shared" ca="1" si="94"/>
        <v>#DIV/0!</v>
      </c>
      <c r="AU300" s="49" t="e">
        <f t="shared" ca="1" si="94"/>
        <v>#DIV/0!</v>
      </c>
      <c r="AV300" s="49" t="e">
        <f t="shared" ca="1" si="94"/>
        <v>#DIV/0!</v>
      </c>
      <c r="AW300" s="49" t="e">
        <f t="shared" ca="1" si="94"/>
        <v>#DIV/0!</v>
      </c>
      <c r="AX300" s="49" t="e">
        <f t="shared" ca="1" si="94"/>
        <v>#DIV/0!</v>
      </c>
      <c r="AY300" s="49" t="e">
        <f t="shared" ca="1" si="94"/>
        <v>#DIV/0!</v>
      </c>
      <c r="AZ300" s="49" t="e">
        <f t="shared" ca="1" si="94"/>
        <v>#DIV/0!</v>
      </c>
      <c r="BA300" s="49" t="e">
        <f t="shared" ca="1" si="94"/>
        <v>#DIV/0!</v>
      </c>
      <c r="BB300" s="49" t="e">
        <f t="shared" ca="1" si="94"/>
        <v>#DIV/0!</v>
      </c>
      <c r="BC300" s="49" t="e">
        <f t="shared" ca="1" si="94"/>
        <v>#DIV/0!</v>
      </c>
      <c r="BD300" s="49" t="e">
        <f t="shared" ca="1" si="94"/>
        <v>#DIV/0!</v>
      </c>
      <c r="BE300" s="49" t="e">
        <f t="shared" ca="1" si="94"/>
        <v>#DIV/0!</v>
      </c>
      <c r="BF300" s="49" t="e">
        <f t="shared" ca="1" si="94"/>
        <v>#DIV/0!</v>
      </c>
      <c r="BG300" s="49" t="e">
        <f t="shared" ca="1" si="94"/>
        <v>#DIV/0!</v>
      </c>
      <c r="BH300" s="49" t="e">
        <f t="shared" ca="1" si="94"/>
        <v>#DIV/0!</v>
      </c>
      <c r="BI300" s="49" t="e">
        <f t="shared" ca="1" si="94"/>
        <v>#DIV/0!</v>
      </c>
      <c r="BJ300" s="49" t="e">
        <f t="shared" ca="1" si="94"/>
        <v>#DIV/0!</v>
      </c>
      <c r="BK300" s="49" t="e">
        <f t="shared" ca="1" si="94"/>
        <v>#DIV/0!</v>
      </c>
      <c r="BL300" s="49" t="e">
        <f t="shared" ca="1" si="94"/>
        <v>#DIV/0!</v>
      </c>
      <c r="BM300" s="49" t="e">
        <f t="shared" ca="1" si="94"/>
        <v>#DIV/0!</v>
      </c>
      <c r="BN300" s="49" t="e">
        <f t="shared" ca="1" si="94"/>
        <v>#DIV/0!</v>
      </c>
      <c r="BO300" s="49" t="e">
        <f t="shared" ca="1" si="94"/>
        <v>#DIV/0!</v>
      </c>
      <c r="BP300" s="49" t="e">
        <f t="shared" ca="1" si="94"/>
        <v>#DIV/0!</v>
      </c>
      <c r="BQ300" s="49" t="e">
        <f t="shared" ca="1" si="94"/>
        <v>#DIV/0!</v>
      </c>
      <c r="BR300" s="49" t="e">
        <f t="shared" ca="1" si="94"/>
        <v>#DIV/0!</v>
      </c>
      <c r="BS300" s="49" t="e">
        <f t="shared" ca="1" si="94"/>
        <v>#DIV/0!</v>
      </c>
    </row>
    <row r="301" spans="3:71" outlineLevel="1" x14ac:dyDescent="0.2">
      <c r="D301" s="11" t="s">
        <v>129</v>
      </c>
      <c r="I301" s="30" t="e">
        <f t="shared" ca="1" si="92"/>
        <v>#DIV/0!</v>
      </c>
      <c r="J301" s="26" t="s">
        <v>88</v>
      </c>
      <c r="L301" s="49">
        <f ca="1">SUM(L299:L300)</f>
        <v>4.8476488523526609</v>
      </c>
      <c r="M301" s="49">
        <f t="shared" ref="M301:BS301" ca="1" si="95">SUM(M299:M300)</f>
        <v>5.0657552634732479</v>
      </c>
      <c r="N301" s="49">
        <f t="shared" ca="1" si="95"/>
        <v>4.1359606244264207</v>
      </c>
      <c r="O301" s="49">
        <f t="shared" ca="1" si="95"/>
        <v>4.6344460228227611</v>
      </c>
      <c r="P301" s="49">
        <f t="shared" ca="1" si="95"/>
        <v>9.3751960896899771</v>
      </c>
      <c r="Q301" s="49">
        <f t="shared" ca="1" si="95"/>
        <v>14.395891648345096</v>
      </c>
      <c r="R301" s="49">
        <f t="shared" ca="1" si="95"/>
        <v>14.675999937477545</v>
      </c>
      <c r="S301" s="49">
        <f t="shared" ca="1" si="95"/>
        <v>14.186305024535248</v>
      </c>
      <c r="T301" s="49">
        <f t="shared" ca="1" si="95"/>
        <v>12.563000637171431</v>
      </c>
      <c r="U301" s="49">
        <f t="shared" ca="1" si="95"/>
        <v>11.621424433914385</v>
      </c>
      <c r="V301" s="49">
        <f t="shared" ca="1" si="95"/>
        <v>10.807924723540376</v>
      </c>
      <c r="W301" s="49">
        <f t="shared" ca="1" si="95"/>
        <v>10.078907992873077</v>
      </c>
      <c r="X301" s="49">
        <f t="shared" ca="1" si="95"/>
        <v>9.3477740933900701</v>
      </c>
      <c r="Y301" s="49" t="e">
        <f t="shared" ca="1" si="95"/>
        <v>#DIV/0!</v>
      </c>
      <c r="Z301" s="49" t="e">
        <f t="shared" ca="1" si="95"/>
        <v>#DIV/0!</v>
      </c>
      <c r="AA301" s="49" t="e">
        <f t="shared" ca="1" si="95"/>
        <v>#DIV/0!</v>
      </c>
      <c r="AB301" s="49" t="e">
        <f t="shared" ca="1" si="95"/>
        <v>#DIV/0!</v>
      </c>
      <c r="AC301" s="49" t="e">
        <f t="shared" ca="1" si="95"/>
        <v>#DIV/0!</v>
      </c>
      <c r="AD301" s="49" t="e">
        <f t="shared" ca="1" si="95"/>
        <v>#DIV/0!</v>
      </c>
      <c r="AE301" s="49" t="e">
        <f t="shared" ca="1" si="95"/>
        <v>#DIV/0!</v>
      </c>
      <c r="AF301" s="49" t="e">
        <f t="shared" ca="1" si="95"/>
        <v>#DIV/0!</v>
      </c>
      <c r="AG301" s="49" t="e">
        <f t="shared" ca="1" si="95"/>
        <v>#DIV/0!</v>
      </c>
      <c r="AH301" s="49" t="e">
        <f t="shared" ca="1" si="95"/>
        <v>#DIV/0!</v>
      </c>
      <c r="AI301" s="49" t="e">
        <f t="shared" ca="1" si="95"/>
        <v>#DIV/0!</v>
      </c>
      <c r="AJ301" s="49" t="e">
        <f t="shared" ca="1" si="95"/>
        <v>#DIV/0!</v>
      </c>
      <c r="AK301" s="49" t="e">
        <f t="shared" ca="1" si="95"/>
        <v>#DIV/0!</v>
      </c>
      <c r="AL301" s="49" t="e">
        <f t="shared" ca="1" si="95"/>
        <v>#DIV/0!</v>
      </c>
      <c r="AM301" s="49" t="e">
        <f t="shared" ca="1" si="95"/>
        <v>#DIV/0!</v>
      </c>
      <c r="AN301" s="49" t="e">
        <f t="shared" ca="1" si="95"/>
        <v>#DIV/0!</v>
      </c>
      <c r="AO301" s="49" t="e">
        <f t="shared" ca="1" si="95"/>
        <v>#DIV/0!</v>
      </c>
      <c r="AP301" s="49" t="e">
        <f t="shared" ca="1" si="95"/>
        <v>#DIV/0!</v>
      </c>
      <c r="AQ301" s="49" t="e">
        <f t="shared" ca="1" si="95"/>
        <v>#DIV/0!</v>
      </c>
      <c r="AR301" s="49" t="e">
        <f t="shared" ca="1" si="95"/>
        <v>#DIV/0!</v>
      </c>
      <c r="AS301" s="49" t="e">
        <f t="shared" ca="1" si="95"/>
        <v>#DIV/0!</v>
      </c>
      <c r="AT301" s="49" t="e">
        <f t="shared" ca="1" si="95"/>
        <v>#DIV/0!</v>
      </c>
      <c r="AU301" s="49" t="e">
        <f t="shared" ca="1" si="95"/>
        <v>#DIV/0!</v>
      </c>
      <c r="AV301" s="49" t="e">
        <f t="shared" ca="1" si="95"/>
        <v>#DIV/0!</v>
      </c>
      <c r="AW301" s="49" t="e">
        <f t="shared" ca="1" si="95"/>
        <v>#DIV/0!</v>
      </c>
      <c r="AX301" s="49" t="e">
        <f t="shared" ca="1" si="95"/>
        <v>#DIV/0!</v>
      </c>
      <c r="AY301" s="49" t="e">
        <f t="shared" ca="1" si="95"/>
        <v>#DIV/0!</v>
      </c>
      <c r="AZ301" s="49" t="e">
        <f t="shared" ca="1" si="95"/>
        <v>#DIV/0!</v>
      </c>
      <c r="BA301" s="49" t="e">
        <f t="shared" ca="1" si="95"/>
        <v>#DIV/0!</v>
      </c>
      <c r="BB301" s="49" t="e">
        <f t="shared" ca="1" si="95"/>
        <v>#DIV/0!</v>
      </c>
      <c r="BC301" s="49" t="e">
        <f t="shared" ca="1" si="95"/>
        <v>#DIV/0!</v>
      </c>
      <c r="BD301" s="49" t="e">
        <f t="shared" ca="1" si="95"/>
        <v>#DIV/0!</v>
      </c>
      <c r="BE301" s="49" t="e">
        <f t="shared" ca="1" si="95"/>
        <v>#DIV/0!</v>
      </c>
      <c r="BF301" s="49" t="e">
        <f t="shared" ca="1" si="95"/>
        <v>#DIV/0!</v>
      </c>
      <c r="BG301" s="49" t="e">
        <f t="shared" ca="1" si="95"/>
        <v>#DIV/0!</v>
      </c>
      <c r="BH301" s="49" t="e">
        <f t="shared" ca="1" si="95"/>
        <v>#DIV/0!</v>
      </c>
      <c r="BI301" s="49" t="e">
        <f t="shared" ca="1" si="95"/>
        <v>#DIV/0!</v>
      </c>
      <c r="BJ301" s="49" t="e">
        <f t="shared" ca="1" si="95"/>
        <v>#DIV/0!</v>
      </c>
      <c r="BK301" s="49" t="e">
        <f t="shared" ca="1" si="95"/>
        <v>#DIV/0!</v>
      </c>
      <c r="BL301" s="49" t="e">
        <f t="shared" ca="1" si="95"/>
        <v>#DIV/0!</v>
      </c>
      <c r="BM301" s="49" t="e">
        <f t="shared" ca="1" si="95"/>
        <v>#DIV/0!</v>
      </c>
      <c r="BN301" s="49" t="e">
        <f t="shared" ca="1" si="95"/>
        <v>#DIV/0!</v>
      </c>
      <c r="BO301" s="49" t="e">
        <f t="shared" ca="1" si="95"/>
        <v>#DIV/0!</v>
      </c>
      <c r="BP301" s="49" t="e">
        <f t="shared" ca="1" si="95"/>
        <v>#DIV/0!</v>
      </c>
      <c r="BQ301" s="49" t="e">
        <f t="shared" ca="1" si="95"/>
        <v>#DIV/0!</v>
      </c>
      <c r="BR301" s="49" t="e">
        <f t="shared" ca="1" si="95"/>
        <v>#DIV/0!</v>
      </c>
      <c r="BS301" s="49" t="e">
        <f t="shared" ca="1" si="95"/>
        <v>#DIV/0!</v>
      </c>
    </row>
    <row r="302" spans="3:71" outlineLevel="1" x14ac:dyDescent="0.2">
      <c r="J302" s="26"/>
      <c r="L302" s="55"/>
      <c r="M302" s="55"/>
      <c r="N302" s="55"/>
      <c r="O302" s="55"/>
      <c r="P302" s="55"/>
      <c r="Q302" s="55"/>
      <c r="R302" s="55"/>
      <c r="S302" s="55"/>
      <c r="T302" s="55"/>
      <c r="U302" s="55"/>
      <c r="V302" s="55"/>
      <c r="W302" s="55"/>
      <c r="X302" s="55"/>
      <c r="Y302" s="55"/>
      <c r="Z302" s="55"/>
      <c r="AA302" s="55"/>
      <c r="AB302" s="55"/>
      <c r="AC302" s="55"/>
      <c r="AD302" s="55"/>
      <c r="AE302" s="55"/>
      <c r="AF302" s="55"/>
      <c r="AG302" s="55"/>
      <c r="AH302" s="55"/>
      <c r="AI302" s="55"/>
      <c r="AJ302" s="55"/>
      <c r="AK302" s="55"/>
      <c r="AL302" s="55"/>
      <c r="AM302" s="55"/>
      <c r="AN302" s="55"/>
      <c r="AO302" s="55"/>
      <c r="AP302" s="55"/>
      <c r="AQ302" s="55"/>
      <c r="AR302" s="55"/>
      <c r="AS302" s="55"/>
      <c r="AT302" s="55"/>
      <c r="AU302" s="55"/>
      <c r="AV302" s="55"/>
      <c r="AW302" s="55"/>
      <c r="AX302" s="55"/>
      <c r="AY302" s="55"/>
      <c r="AZ302" s="55"/>
      <c r="BA302" s="55"/>
      <c r="BB302" s="55"/>
      <c r="BC302" s="55"/>
      <c r="BD302" s="55"/>
      <c r="BE302" s="55"/>
      <c r="BF302" s="55"/>
      <c r="BG302" s="55"/>
      <c r="BH302" s="55"/>
      <c r="BI302" s="55"/>
      <c r="BJ302" s="55"/>
      <c r="BK302" s="55"/>
      <c r="BL302" s="55"/>
      <c r="BM302" s="55"/>
      <c r="BN302" s="55"/>
      <c r="BO302" s="55"/>
      <c r="BP302" s="55"/>
      <c r="BQ302" s="55"/>
      <c r="BR302" s="55"/>
      <c r="BS302" s="55"/>
    </row>
    <row r="303" spans="3:71" outlineLevel="1" x14ac:dyDescent="0.2">
      <c r="C303" s="11" t="s">
        <v>345</v>
      </c>
      <c r="J303" s="26"/>
      <c r="L303" s="55"/>
      <c r="M303" s="55"/>
      <c r="N303" s="55"/>
      <c r="O303" s="55"/>
      <c r="P303" s="55"/>
      <c r="Q303" s="55"/>
      <c r="R303" s="55"/>
      <c r="S303" s="55"/>
      <c r="T303" s="55"/>
      <c r="U303" s="55"/>
      <c r="V303" s="55"/>
      <c r="W303" s="55"/>
      <c r="X303" s="55"/>
      <c r="Y303" s="55"/>
      <c r="Z303" s="55"/>
      <c r="AA303" s="55"/>
      <c r="AB303" s="55"/>
      <c r="AC303" s="55"/>
      <c r="AD303" s="55"/>
      <c r="AE303" s="55"/>
      <c r="AF303" s="55"/>
      <c r="AG303" s="55"/>
      <c r="AH303" s="55"/>
      <c r="AI303" s="55"/>
      <c r="AJ303" s="55"/>
      <c r="AK303" s="55"/>
      <c r="AL303" s="55"/>
      <c r="AM303" s="55"/>
      <c r="AN303" s="55"/>
      <c r="AO303" s="55"/>
      <c r="AP303" s="55"/>
      <c r="AQ303" s="55"/>
      <c r="AR303" s="55"/>
      <c r="AS303" s="55"/>
      <c r="AT303" s="55"/>
      <c r="AU303" s="55"/>
      <c r="AV303" s="55"/>
      <c r="AW303" s="55"/>
      <c r="AX303" s="55"/>
      <c r="AY303" s="55"/>
      <c r="AZ303" s="55"/>
      <c r="BA303" s="55"/>
      <c r="BB303" s="55"/>
      <c r="BC303" s="55"/>
      <c r="BD303" s="55"/>
      <c r="BE303" s="55"/>
      <c r="BF303" s="55"/>
      <c r="BG303" s="55"/>
      <c r="BH303" s="55"/>
      <c r="BI303" s="55"/>
      <c r="BJ303" s="55"/>
      <c r="BK303" s="55"/>
      <c r="BL303" s="55"/>
      <c r="BM303" s="55"/>
      <c r="BN303" s="55"/>
      <c r="BO303" s="55"/>
      <c r="BP303" s="55"/>
      <c r="BQ303" s="55"/>
      <c r="BR303" s="55"/>
      <c r="BS303" s="55"/>
    </row>
    <row r="304" spans="3:71" outlineLevel="1" x14ac:dyDescent="0.2">
      <c r="D304" t="s">
        <v>116</v>
      </c>
      <c r="I304" s="30">
        <f t="shared" ref="I304:I306" ca="1" si="96">SUM($L304:$BS304)</f>
        <v>0</v>
      </c>
      <c r="J304" s="26" t="s">
        <v>148</v>
      </c>
      <c r="L304" s="49">
        <f t="shared" ref="L304:BS304" ca="1" si="97">L281*CA_IOC_WI</f>
        <v>0</v>
      </c>
      <c r="M304" s="49">
        <f t="shared" ca="1" si="97"/>
        <v>0</v>
      </c>
      <c r="N304" s="49">
        <f t="shared" ca="1" si="97"/>
        <v>0</v>
      </c>
      <c r="O304" s="49">
        <f t="shared" ca="1" si="97"/>
        <v>0</v>
      </c>
      <c r="P304" s="49">
        <f t="shared" ca="1" si="97"/>
        <v>0</v>
      </c>
      <c r="Q304" s="49">
        <f t="shared" ca="1" si="97"/>
        <v>0</v>
      </c>
      <c r="R304" s="49">
        <f t="shared" ca="1" si="97"/>
        <v>0</v>
      </c>
      <c r="S304" s="49">
        <f t="shared" ca="1" si="97"/>
        <v>0</v>
      </c>
      <c r="T304" s="49">
        <f t="shared" ca="1" si="97"/>
        <v>0</v>
      </c>
      <c r="U304" s="49">
        <f t="shared" ca="1" si="97"/>
        <v>0</v>
      </c>
      <c r="V304" s="49">
        <f t="shared" ca="1" si="97"/>
        <v>0</v>
      </c>
      <c r="W304" s="49">
        <f t="shared" ca="1" si="97"/>
        <v>0</v>
      </c>
      <c r="X304" s="49">
        <f t="shared" ca="1" si="97"/>
        <v>0</v>
      </c>
      <c r="Y304" s="49">
        <f t="shared" ca="1" si="97"/>
        <v>0</v>
      </c>
      <c r="Z304" s="49">
        <f t="shared" ca="1" si="97"/>
        <v>0</v>
      </c>
      <c r="AA304" s="49">
        <f t="shared" ca="1" si="97"/>
        <v>0</v>
      </c>
      <c r="AB304" s="49">
        <f t="shared" ca="1" si="97"/>
        <v>0</v>
      </c>
      <c r="AC304" s="49">
        <f t="shared" ca="1" si="97"/>
        <v>0</v>
      </c>
      <c r="AD304" s="49">
        <f t="shared" ca="1" si="97"/>
        <v>0</v>
      </c>
      <c r="AE304" s="49">
        <f t="shared" ca="1" si="97"/>
        <v>0</v>
      </c>
      <c r="AF304" s="49">
        <f t="shared" ca="1" si="97"/>
        <v>0</v>
      </c>
      <c r="AG304" s="49">
        <f t="shared" ca="1" si="97"/>
        <v>0</v>
      </c>
      <c r="AH304" s="49">
        <f t="shared" ca="1" si="97"/>
        <v>0</v>
      </c>
      <c r="AI304" s="49">
        <f t="shared" ca="1" si="97"/>
        <v>0</v>
      </c>
      <c r="AJ304" s="49">
        <f t="shared" ca="1" si="97"/>
        <v>0</v>
      </c>
      <c r="AK304" s="49">
        <f t="shared" ca="1" si="97"/>
        <v>0</v>
      </c>
      <c r="AL304" s="49">
        <f t="shared" ca="1" si="97"/>
        <v>0</v>
      </c>
      <c r="AM304" s="49">
        <f t="shared" ca="1" si="97"/>
        <v>0</v>
      </c>
      <c r="AN304" s="49">
        <f t="shared" ca="1" si="97"/>
        <v>0</v>
      </c>
      <c r="AO304" s="49">
        <f t="shared" ca="1" si="97"/>
        <v>0</v>
      </c>
      <c r="AP304" s="49">
        <f t="shared" ca="1" si="97"/>
        <v>0</v>
      </c>
      <c r="AQ304" s="49">
        <f t="shared" ca="1" si="97"/>
        <v>0</v>
      </c>
      <c r="AR304" s="49">
        <f t="shared" ca="1" si="97"/>
        <v>0</v>
      </c>
      <c r="AS304" s="49">
        <f t="shared" ca="1" si="97"/>
        <v>0</v>
      </c>
      <c r="AT304" s="49">
        <f t="shared" ca="1" si="97"/>
        <v>0</v>
      </c>
      <c r="AU304" s="49">
        <f t="shared" ca="1" si="97"/>
        <v>0</v>
      </c>
      <c r="AV304" s="49">
        <f t="shared" ca="1" si="97"/>
        <v>0</v>
      </c>
      <c r="AW304" s="49">
        <f t="shared" ca="1" si="97"/>
        <v>0</v>
      </c>
      <c r="AX304" s="49">
        <f t="shared" ca="1" si="97"/>
        <v>0</v>
      </c>
      <c r="AY304" s="49">
        <f t="shared" ca="1" si="97"/>
        <v>0</v>
      </c>
      <c r="AZ304" s="49">
        <f t="shared" ca="1" si="97"/>
        <v>0</v>
      </c>
      <c r="BA304" s="49">
        <f t="shared" ca="1" si="97"/>
        <v>0</v>
      </c>
      <c r="BB304" s="49">
        <f t="shared" ca="1" si="97"/>
        <v>0</v>
      </c>
      <c r="BC304" s="49">
        <f t="shared" ca="1" si="97"/>
        <v>0</v>
      </c>
      <c r="BD304" s="49">
        <f t="shared" ca="1" si="97"/>
        <v>0</v>
      </c>
      <c r="BE304" s="49">
        <f t="shared" ca="1" si="97"/>
        <v>0</v>
      </c>
      <c r="BF304" s="49">
        <f t="shared" ca="1" si="97"/>
        <v>0</v>
      </c>
      <c r="BG304" s="49">
        <f t="shared" ca="1" si="97"/>
        <v>0</v>
      </c>
      <c r="BH304" s="49">
        <f t="shared" ca="1" si="97"/>
        <v>0</v>
      </c>
      <c r="BI304" s="49">
        <f t="shared" ca="1" si="97"/>
        <v>0</v>
      </c>
      <c r="BJ304" s="49">
        <f t="shared" ca="1" si="97"/>
        <v>0</v>
      </c>
      <c r="BK304" s="49">
        <f t="shared" ca="1" si="97"/>
        <v>0</v>
      </c>
      <c r="BL304" s="49">
        <f t="shared" ca="1" si="97"/>
        <v>0</v>
      </c>
      <c r="BM304" s="49">
        <f t="shared" ca="1" si="97"/>
        <v>0</v>
      </c>
      <c r="BN304" s="49">
        <f t="shared" ca="1" si="97"/>
        <v>0</v>
      </c>
      <c r="BO304" s="49">
        <f t="shared" ca="1" si="97"/>
        <v>0</v>
      </c>
      <c r="BP304" s="49">
        <f t="shared" ca="1" si="97"/>
        <v>0</v>
      </c>
      <c r="BQ304" s="49">
        <f t="shared" ca="1" si="97"/>
        <v>0</v>
      </c>
      <c r="BR304" s="49">
        <f t="shared" ca="1" si="97"/>
        <v>0</v>
      </c>
      <c r="BS304" s="49">
        <f t="shared" ca="1" si="97"/>
        <v>0</v>
      </c>
    </row>
    <row r="305" spans="1:71" outlineLevel="1" x14ac:dyDescent="0.2">
      <c r="D305" t="s">
        <v>339</v>
      </c>
      <c r="I305" s="30">
        <f t="shared" ca="1" si="96"/>
        <v>0</v>
      </c>
      <c r="J305" s="26" t="s">
        <v>148</v>
      </c>
      <c r="L305" s="49">
        <f t="shared" ref="L305:BS305" ca="1" si="98">L281*CA_NOC_WI</f>
        <v>0</v>
      </c>
      <c r="M305" s="49">
        <f t="shared" ca="1" si="98"/>
        <v>0</v>
      </c>
      <c r="N305" s="49">
        <f t="shared" ca="1" si="98"/>
        <v>0</v>
      </c>
      <c r="O305" s="49">
        <f t="shared" ca="1" si="98"/>
        <v>0</v>
      </c>
      <c r="P305" s="49">
        <f t="shared" ca="1" si="98"/>
        <v>0</v>
      </c>
      <c r="Q305" s="49">
        <f t="shared" ca="1" si="98"/>
        <v>0</v>
      </c>
      <c r="R305" s="49">
        <f t="shared" ca="1" si="98"/>
        <v>0</v>
      </c>
      <c r="S305" s="49">
        <f t="shared" ca="1" si="98"/>
        <v>0</v>
      </c>
      <c r="T305" s="49">
        <f t="shared" ca="1" si="98"/>
        <v>0</v>
      </c>
      <c r="U305" s="49">
        <f t="shared" ca="1" si="98"/>
        <v>0</v>
      </c>
      <c r="V305" s="49">
        <f t="shared" ca="1" si="98"/>
        <v>0</v>
      </c>
      <c r="W305" s="49">
        <f t="shared" ca="1" si="98"/>
        <v>0</v>
      </c>
      <c r="X305" s="49">
        <f t="shared" ca="1" si="98"/>
        <v>0</v>
      </c>
      <c r="Y305" s="49">
        <f t="shared" ca="1" si="98"/>
        <v>0</v>
      </c>
      <c r="Z305" s="49">
        <f t="shared" ca="1" si="98"/>
        <v>0</v>
      </c>
      <c r="AA305" s="49">
        <f t="shared" ca="1" si="98"/>
        <v>0</v>
      </c>
      <c r="AB305" s="49">
        <f t="shared" ca="1" si="98"/>
        <v>0</v>
      </c>
      <c r="AC305" s="49">
        <f t="shared" ca="1" si="98"/>
        <v>0</v>
      </c>
      <c r="AD305" s="49">
        <f t="shared" ca="1" si="98"/>
        <v>0</v>
      </c>
      <c r="AE305" s="49">
        <f t="shared" ca="1" si="98"/>
        <v>0</v>
      </c>
      <c r="AF305" s="49">
        <f t="shared" ca="1" si="98"/>
        <v>0</v>
      </c>
      <c r="AG305" s="49">
        <f t="shared" ca="1" si="98"/>
        <v>0</v>
      </c>
      <c r="AH305" s="49">
        <f t="shared" ca="1" si="98"/>
        <v>0</v>
      </c>
      <c r="AI305" s="49">
        <f t="shared" ca="1" si="98"/>
        <v>0</v>
      </c>
      <c r="AJ305" s="49">
        <f t="shared" ca="1" si="98"/>
        <v>0</v>
      </c>
      <c r="AK305" s="49">
        <f t="shared" ca="1" si="98"/>
        <v>0</v>
      </c>
      <c r="AL305" s="49">
        <f t="shared" ca="1" si="98"/>
        <v>0</v>
      </c>
      <c r="AM305" s="49">
        <f t="shared" ca="1" si="98"/>
        <v>0</v>
      </c>
      <c r="AN305" s="49">
        <f t="shared" ca="1" si="98"/>
        <v>0</v>
      </c>
      <c r="AO305" s="49">
        <f t="shared" ca="1" si="98"/>
        <v>0</v>
      </c>
      <c r="AP305" s="49">
        <f t="shared" ca="1" si="98"/>
        <v>0</v>
      </c>
      <c r="AQ305" s="49">
        <f t="shared" ca="1" si="98"/>
        <v>0</v>
      </c>
      <c r="AR305" s="49">
        <f t="shared" ca="1" si="98"/>
        <v>0</v>
      </c>
      <c r="AS305" s="49">
        <f t="shared" ca="1" si="98"/>
        <v>0</v>
      </c>
      <c r="AT305" s="49">
        <f t="shared" ca="1" si="98"/>
        <v>0</v>
      </c>
      <c r="AU305" s="49">
        <f t="shared" ca="1" si="98"/>
        <v>0</v>
      </c>
      <c r="AV305" s="49">
        <f t="shared" ca="1" si="98"/>
        <v>0</v>
      </c>
      <c r="AW305" s="49">
        <f t="shared" ca="1" si="98"/>
        <v>0</v>
      </c>
      <c r="AX305" s="49">
        <f t="shared" ca="1" si="98"/>
        <v>0</v>
      </c>
      <c r="AY305" s="49">
        <f t="shared" ca="1" si="98"/>
        <v>0</v>
      </c>
      <c r="AZ305" s="49">
        <f t="shared" ca="1" si="98"/>
        <v>0</v>
      </c>
      <c r="BA305" s="49">
        <f t="shared" ca="1" si="98"/>
        <v>0</v>
      </c>
      <c r="BB305" s="49">
        <f t="shared" ca="1" si="98"/>
        <v>0</v>
      </c>
      <c r="BC305" s="49">
        <f t="shared" ca="1" si="98"/>
        <v>0</v>
      </c>
      <c r="BD305" s="49">
        <f t="shared" ca="1" si="98"/>
        <v>0</v>
      </c>
      <c r="BE305" s="49">
        <f t="shared" ca="1" si="98"/>
        <v>0</v>
      </c>
      <c r="BF305" s="49">
        <f t="shared" ca="1" si="98"/>
        <v>0</v>
      </c>
      <c r="BG305" s="49">
        <f t="shared" ca="1" si="98"/>
        <v>0</v>
      </c>
      <c r="BH305" s="49">
        <f t="shared" ca="1" si="98"/>
        <v>0</v>
      </c>
      <c r="BI305" s="49">
        <f t="shared" ca="1" si="98"/>
        <v>0</v>
      </c>
      <c r="BJ305" s="49">
        <f t="shared" ca="1" si="98"/>
        <v>0</v>
      </c>
      <c r="BK305" s="49">
        <f t="shared" ca="1" si="98"/>
        <v>0</v>
      </c>
      <c r="BL305" s="49">
        <f t="shared" ca="1" si="98"/>
        <v>0</v>
      </c>
      <c r="BM305" s="49">
        <f t="shared" ca="1" si="98"/>
        <v>0</v>
      </c>
      <c r="BN305" s="49">
        <f t="shared" ca="1" si="98"/>
        <v>0</v>
      </c>
      <c r="BO305" s="49">
        <f t="shared" ca="1" si="98"/>
        <v>0</v>
      </c>
      <c r="BP305" s="49">
        <f t="shared" ca="1" si="98"/>
        <v>0</v>
      </c>
      <c r="BQ305" s="49">
        <f t="shared" ca="1" si="98"/>
        <v>0</v>
      </c>
      <c r="BR305" s="49">
        <f t="shared" ca="1" si="98"/>
        <v>0</v>
      </c>
      <c r="BS305" s="49">
        <f t="shared" ca="1" si="98"/>
        <v>0</v>
      </c>
    </row>
    <row r="306" spans="1:71" outlineLevel="1" x14ac:dyDescent="0.2">
      <c r="D306" s="11" t="s">
        <v>129</v>
      </c>
      <c r="I306" s="30">
        <f t="shared" ca="1" si="96"/>
        <v>0</v>
      </c>
      <c r="J306" s="26" t="s">
        <v>148</v>
      </c>
      <c r="L306" s="49">
        <f ca="1">SUM(L304:L305)</f>
        <v>0</v>
      </c>
      <c r="M306" s="49">
        <f t="shared" ref="M306:BS306" ca="1" si="99">SUM(M304:M305)</f>
        <v>0</v>
      </c>
      <c r="N306" s="49">
        <f t="shared" ca="1" si="99"/>
        <v>0</v>
      </c>
      <c r="O306" s="49">
        <f t="shared" ca="1" si="99"/>
        <v>0</v>
      </c>
      <c r="P306" s="49">
        <f t="shared" ca="1" si="99"/>
        <v>0</v>
      </c>
      <c r="Q306" s="49">
        <f t="shared" ca="1" si="99"/>
        <v>0</v>
      </c>
      <c r="R306" s="49">
        <f t="shared" ca="1" si="99"/>
        <v>0</v>
      </c>
      <c r="S306" s="49">
        <f t="shared" ca="1" si="99"/>
        <v>0</v>
      </c>
      <c r="T306" s="49">
        <f t="shared" ca="1" si="99"/>
        <v>0</v>
      </c>
      <c r="U306" s="49">
        <f t="shared" ca="1" si="99"/>
        <v>0</v>
      </c>
      <c r="V306" s="49">
        <f t="shared" ca="1" si="99"/>
        <v>0</v>
      </c>
      <c r="W306" s="49">
        <f t="shared" ca="1" si="99"/>
        <v>0</v>
      </c>
      <c r="X306" s="49">
        <f t="shared" ca="1" si="99"/>
        <v>0</v>
      </c>
      <c r="Y306" s="49">
        <f t="shared" ca="1" si="99"/>
        <v>0</v>
      </c>
      <c r="Z306" s="49">
        <f t="shared" ca="1" si="99"/>
        <v>0</v>
      </c>
      <c r="AA306" s="49">
        <f t="shared" ca="1" si="99"/>
        <v>0</v>
      </c>
      <c r="AB306" s="49">
        <f t="shared" ca="1" si="99"/>
        <v>0</v>
      </c>
      <c r="AC306" s="49">
        <f t="shared" ca="1" si="99"/>
        <v>0</v>
      </c>
      <c r="AD306" s="49">
        <f t="shared" ca="1" si="99"/>
        <v>0</v>
      </c>
      <c r="AE306" s="49">
        <f t="shared" ca="1" si="99"/>
        <v>0</v>
      </c>
      <c r="AF306" s="49">
        <f t="shared" ca="1" si="99"/>
        <v>0</v>
      </c>
      <c r="AG306" s="49">
        <f t="shared" ca="1" si="99"/>
        <v>0</v>
      </c>
      <c r="AH306" s="49">
        <f t="shared" ca="1" si="99"/>
        <v>0</v>
      </c>
      <c r="AI306" s="49">
        <f t="shared" ca="1" si="99"/>
        <v>0</v>
      </c>
      <c r="AJ306" s="49">
        <f t="shared" ca="1" si="99"/>
        <v>0</v>
      </c>
      <c r="AK306" s="49">
        <f t="shared" ca="1" si="99"/>
        <v>0</v>
      </c>
      <c r="AL306" s="49">
        <f t="shared" ca="1" si="99"/>
        <v>0</v>
      </c>
      <c r="AM306" s="49">
        <f t="shared" ca="1" si="99"/>
        <v>0</v>
      </c>
      <c r="AN306" s="49">
        <f t="shared" ca="1" si="99"/>
        <v>0</v>
      </c>
      <c r="AO306" s="49">
        <f t="shared" ca="1" si="99"/>
        <v>0</v>
      </c>
      <c r="AP306" s="49">
        <f t="shared" ca="1" si="99"/>
        <v>0</v>
      </c>
      <c r="AQ306" s="49">
        <f t="shared" ca="1" si="99"/>
        <v>0</v>
      </c>
      <c r="AR306" s="49">
        <f t="shared" ca="1" si="99"/>
        <v>0</v>
      </c>
      <c r="AS306" s="49">
        <f t="shared" ca="1" si="99"/>
        <v>0</v>
      </c>
      <c r="AT306" s="49">
        <f t="shared" ca="1" si="99"/>
        <v>0</v>
      </c>
      <c r="AU306" s="49">
        <f t="shared" ca="1" si="99"/>
        <v>0</v>
      </c>
      <c r="AV306" s="49">
        <f t="shared" ca="1" si="99"/>
        <v>0</v>
      </c>
      <c r="AW306" s="49">
        <f t="shared" ca="1" si="99"/>
        <v>0</v>
      </c>
      <c r="AX306" s="49">
        <f t="shared" ca="1" si="99"/>
        <v>0</v>
      </c>
      <c r="AY306" s="49">
        <f t="shared" ca="1" si="99"/>
        <v>0</v>
      </c>
      <c r="AZ306" s="49">
        <f t="shared" ca="1" si="99"/>
        <v>0</v>
      </c>
      <c r="BA306" s="49">
        <f t="shared" ca="1" si="99"/>
        <v>0</v>
      </c>
      <c r="BB306" s="49">
        <f t="shared" ca="1" si="99"/>
        <v>0</v>
      </c>
      <c r="BC306" s="49">
        <f t="shared" ca="1" si="99"/>
        <v>0</v>
      </c>
      <c r="BD306" s="49">
        <f t="shared" ca="1" si="99"/>
        <v>0</v>
      </c>
      <c r="BE306" s="49">
        <f t="shared" ca="1" si="99"/>
        <v>0</v>
      </c>
      <c r="BF306" s="49">
        <f t="shared" ca="1" si="99"/>
        <v>0</v>
      </c>
      <c r="BG306" s="49">
        <f t="shared" ca="1" si="99"/>
        <v>0</v>
      </c>
      <c r="BH306" s="49">
        <f t="shared" ca="1" si="99"/>
        <v>0</v>
      </c>
      <c r="BI306" s="49">
        <f t="shared" ca="1" si="99"/>
        <v>0</v>
      </c>
      <c r="BJ306" s="49">
        <f t="shared" ca="1" si="99"/>
        <v>0</v>
      </c>
      <c r="BK306" s="49">
        <f t="shared" ca="1" si="99"/>
        <v>0</v>
      </c>
      <c r="BL306" s="49">
        <f t="shared" ca="1" si="99"/>
        <v>0</v>
      </c>
      <c r="BM306" s="49">
        <f t="shared" ca="1" si="99"/>
        <v>0</v>
      </c>
      <c r="BN306" s="49">
        <f t="shared" ca="1" si="99"/>
        <v>0</v>
      </c>
      <c r="BO306" s="49">
        <f t="shared" ca="1" si="99"/>
        <v>0</v>
      </c>
      <c r="BP306" s="49">
        <f t="shared" ca="1" si="99"/>
        <v>0</v>
      </c>
      <c r="BQ306" s="49">
        <f t="shared" ca="1" si="99"/>
        <v>0</v>
      </c>
      <c r="BR306" s="49">
        <f t="shared" ca="1" si="99"/>
        <v>0</v>
      </c>
      <c r="BS306" s="49">
        <f t="shared" ca="1" si="99"/>
        <v>0</v>
      </c>
    </row>
    <row r="307" spans="1:71" outlineLevel="1" x14ac:dyDescent="0.2">
      <c r="J307" s="26"/>
      <c r="L307" s="55"/>
      <c r="M307" s="55"/>
      <c r="N307" s="55"/>
      <c r="O307" s="55"/>
      <c r="P307" s="55"/>
      <c r="Q307" s="55"/>
      <c r="R307" s="55"/>
      <c r="S307" s="55"/>
      <c r="T307" s="55"/>
      <c r="U307" s="55"/>
      <c r="V307" s="55"/>
      <c r="W307" s="55"/>
      <c r="X307" s="55"/>
      <c r="Y307" s="55"/>
      <c r="Z307" s="55"/>
      <c r="AA307" s="55"/>
      <c r="AB307" s="55"/>
      <c r="AC307" s="55"/>
      <c r="AD307" s="55"/>
      <c r="AE307" s="55"/>
      <c r="AF307" s="55"/>
      <c r="AG307" s="55"/>
      <c r="AH307" s="55"/>
      <c r="AI307" s="55"/>
      <c r="AJ307" s="55"/>
      <c r="AK307" s="55"/>
      <c r="AL307" s="55"/>
      <c r="AM307" s="55"/>
      <c r="AN307" s="55"/>
      <c r="AO307" s="55"/>
      <c r="AP307" s="55"/>
      <c r="AQ307" s="55"/>
      <c r="AR307" s="55"/>
      <c r="AS307" s="55"/>
      <c r="AT307" s="55"/>
      <c r="AU307" s="55"/>
      <c r="AV307" s="55"/>
      <c r="AW307" s="55"/>
      <c r="AX307" s="55"/>
      <c r="AY307" s="55"/>
      <c r="AZ307" s="55"/>
      <c r="BA307" s="55"/>
      <c r="BB307" s="55"/>
      <c r="BC307" s="55"/>
      <c r="BD307" s="55"/>
      <c r="BE307" s="55"/>
      <c r="BF307" s="55"/>
      <c r="BG307" s="55"/>
      <c r="BH307" s="55"/>
      <c r="BI307" s="55"/>
      <c r="BJ307" s="55"/>
      <c r="BK307" s="55"/>
      <c r="BL307" s="55"/>
      <c r="BM307" s="55"/>
      <c r="BN307" s="55"/>
      <c r="BO307" s="55"/>
      <c r="BP307" s="55"/>
      <c r="BQ307" s="55"/>
      <c r="BR307" s="55"/>
      <c r="BS307" s="55"/>
    </row>
    <row r="308" spans="1:71" outlineLevel="1" x14ac:dyDescent="0.2">
      <c r="J308" s="26"/>
      <c r="L308" s="55"/>
      <c r="M308" s="55"/>
      <c r="N308" s="55"/>
      <c r="O308" s="55"/>
      <c r="P308" s="55"/>
      <c r="Q308" s="55"/>
      <c r="R308" s="55"/>
      <c r="S308" s="55"/>
      <c r="T308" s="55"/>
      <c r="U308" s="55"/>
      <c r="V308" s="55"/>
      <c r="W308" s="55"/>
      <c r="X308" s="55"/>
      <c r="Y308" s="55"/>
      <c r="Z308" s="55"/>
      <c r="AA308" s="55"/>
      <c r="AB308" s="55"/>
      <c r="AC308" s="55"/>
      <c r="AD308" s="55"/>
      <c r="AE308" s="55"/>
      <c r="AF308" s="55"/>
      <c r="AG308" s="55"/>
      <c r="AH308" s="55"/>
      <c r="AI308" s="55"/>
      <c r="AJ308" s="55"/>
      <c r="AK308" s="55"/>
      <c r="AL308" s="55"/>
      <c r="AM308" s="55"/>
      <c r="AN308" s="55"/>
      <c r="AO308" s="55"/>
      <c r="AP308" s="55"/>
      <c r="AQ308" s="55"/>
      <c r="AR308" s="55"/>
      <c r="AS308" s="55"/>
      <c r="AT308" s="55"/>
      <c r="AU308" s="55"/>
      <c r="AV308" s="55"/>
      <c r="AW308" s="55"/>
      <c r="AX308" s="55"/>
      <c r="AY308" s="55"/>
      <c r="AZ308" s="55"/>
      <c r="BA308" s="55"/>
      <c r="BB308" s="55"/>
      <c r="BC308" s="55"/>
      <c r="BD308" s="55"/>
      <c r="BE308" s="55"/>
      <c r="BF308" s="55"/>
      <c r="BG308" s="55"/>
      <c r="BH308" s="55"/>
      <c r="BI308" s="55"/>
      <c r="BJ308" s="55"/>
      <c r="BK308" s="55"/>
      <c r="BL308" s="55"/>
      <c r="BM308" s="55"/>
      <c r="BN308" s="55"/>
      <c r="BO308" s="55"/>
      <c r="BP308" s="55"/>
      <c r="BQ308" s="55"/>
      <c r="BR308" s="55"/>
      <c r="BS308" s="55"/>
    </row>
    <row r="309" spans="1:71" outlineLevel="1" x14ac:dyDescent="0.2">
      <c r="J309" s="26"/>
      <c r="L309" s="55"/>
      <c r="M309" s="55"/>
      <c r="N309" s="55"/>
      <c r="O309" s="55"/>
      <c r="P309" s="55"/>
      <c r="Q309" s="55"/>
      <c r="R309" s="55"/>
      <c r="S309" s="55"/>
      <c r="T309" s="55"/>
      <c r="U309" s="55"/>
      <c r="V309" s="55"/>
      <c r="W309" s="55"/>
      <c r="X309" s="55"/>
      <c r="Y309" s="55"/>
      <c r="Z309" s="55"/>
      <c r="AA309" s="55"/>
      <c r="AB309" s="55"/>
      <c r="AC309" s="55"/>
      <c r="AD309" s="55"/>
      <c r="AE309" s="55"/>
      <c r="AF309" s="55"/>
      <c r="AG309" s="55"/>
      <c r="AH309" s="55"/>
      <c r="AI309" s="55"/>
      <c r="AJ309" s="55"/>
      <c r="AK309" s="55"/>
      <c r="AL309" s="55"/>
      <c r="AM309" s="55"/>
      <c r="AN309" s="55"/>
      <c r="AO309" s="55"/>
      <c r="AP309" s="55"/>
      <c r="AQ309" s="55"/>
      <c r="AR309" s="55"/>
      <c r="AS309" s="55"/>
      <c r="AT309" s="55"/>
      <c r="AU309" s="55"/>
      <c r="AV309" s="55"/>
      <c r="AW309" s="55"/>
      <c r="AX309" s="55"/>
      <c r="AY309" s="55"/>
      <c r="AZ309" s="55"/>
      <c r="BA309" s="55"/>
      <c r="BB309" s="55"/>
      <c r="BC309" s="55"/>
      <c r="BD309" s="55"/>
      <c r="BE309" s="55"/>
      <c r="BF309" s="55"/>
      <c r="BG309" s="55"/>
      <c r="BH309" s="55"/>
      <c r="BI309" s="55"/>
      <c r="BJ309" s="55"/>
      <c r="BK309" s="55"/>
      <c r="BL309" s="55"/>
      <c r="BM309" s="55"/>
      <c r="BN309" s="55"/>
      <c r="BO309" s="55"/>
      <c r="BP309" s="55"/>
      <c r="BQ309" s="55"/>
      <c r="BR309" s="55"/>
      <c r="BS309" s="55"/>
    </row>
    <row r="310" spans="1:71" outlineLevel="1" x14ac:dyDescent="0.2">
      <c r="J310" s="26"/>
      <c r="L310" s="55"/>
      <c r="M310" s="55"/>
      <c r="N310" s="55"/>
      <c r="O310" s="55"/>
      <c r="P310" s="55"/>
      <c r="Q310" s="55"/>
      <c r="R310" s="55"/>
      <c r="S310" s="55"/>
      <c r="T310" s="55"/>
      <c r="U310" s="55"/>
      <c r="V310" s="55"/>
      <c r="W310" s="55"/>
      <c r="X310" s="55"/>
      <c r="Y310" s="55"/>
      <c r="Z310" s="55"/>
      <c r="AA310" s="55"/>
      <c r="AB310" s="55"/>
      <c r="AC310" s="55"/>
      <c r="AD310" s="55"/>
      <c r="AE310" s="55"/>
      <c r="AF310" s="55"/>
      <c r="AG310" s="55"/>
      <c r="AH310" s="55"/>
      <c r="AI310" s="55"/>
      <c r="AJ310" s="55"/>
      <c r="AK310" s="55"/>
      <c r="AL310" s="55"/>
      <c r="AM310" s="55"/>
      <c r="AN310" s="55"/>
      <c r="AO310" s="55"/>
      <c r="AP310" s="55"/>
      <c r="AQ310" s="55"/>
      <c r="AR310" s="55"/>
      <c r="AS310" s="55"/>
      <c r="AT310" s="55"/>
      <c r="AU310" s="55"/>
      <c r="AV310" s="55"/>
      <c r="AW310" s="55"/>
      <c r="AX310" s="55"/>
      <c r="AY310" s="55"/>
      <c r="AZ310" s="55"/>
      <c r="BA310" s="55"/>
      <c r="BB310" s="55"/>
      <c r="BC310" s="55"/>
      <c r="BD310" s="55"/>
      <c r="BE310" s="55"/>
      <c r="BF310" s="55"/>
      <c r="BG310" s="55"/>
      <c r="BH310" s="55"/>
      <c r="BI310" s="55"/>
      <c r="BJ310" s="55"/>
      <c r="BK310" s="55"/>
      <c r="BL310" s="55"/>
      <c r="BM310" s="55"/>
      <c r="BN310" s="55"/>
      <c r="BO310" s="55"/>
      <c r="BP310" s="55"/>
      <c r="BQ310" s="55"/>
      <c r="BR310" s="55"/>
      <c r="BS310" s="55"/>
    </row>
    <row r="311" spans="1:71" outlineLevel="1" x14ac:dyDescent="0.2">
      <c r="J311" s="26"/>
      <c r="L311" s="55"/>
      <c r="M311" s="55"/>
      <c r="N311" s="55"/>
      <c r="O311" s="55"/>
      <c r="P311" s="55"/>
      <c r="Q311" s="55"/>
      <c r="R311" s="55"/>
      <c r="S311" s="55"/>
      <c r="T311" s="55"/>
      <c r="U311" s="55"/>
      <c r="V311" s="55"/>
      <c r="W311" s="55"/>
      <c r="X311" s="55"/>
      <c r="Y311" s="55"/>
      <c r="Z311" s="55"/>
      <c r="AA311" s="55"/>
      <c r="AB311" s="55"/>
      <c r="AC311" s="55"/>
      <c r="AD311" s="55"/>
      <c r="AE311" s="55"/>
      <c r="AF311" s="55"/>
      <c r="AG311" s="55"/>
      <c r="AH311" s="55"/>
      <c r="AI311" s="55"/>
      <c r="AJ311" s="55"/>
      <c r="AK311" s="55"/>
      <c r="AL311" s="55"/>
      <c r="AM311" s="55"/>
      <c r="AN311" s="55"/>
      <c r="AO311" s="55"/>
      <c r="AP311" s="55"/>
      <c r="AQ311" s="55"/>
      <c r="AR311" s="55"/>
      <c r="AS311" s="55"/>
      <c r="AT311" s="55"/>
      <c r="AU311" s="55"/>
      <c r="AV311" s="55"/>
      <c r="AW311" s="55"/>
      <c r="AX311" s="55"/>
      <c r="AY311" s="55"/>
      <c r="AZ311" s="55"/>
      <c r="BA311" s="55"/>
      <c r="BB311" s="55"/>
      <c r="BC311" s="55"/>
      <c r="BD311" s="55"/>
      <c r="BE311" s="55"/>
      <c r="BF311" s="55"/>
      <c r="BG311" s="55"/>
      <c r="BH311" s="55"/>
      <c r="BI311" s="55"/>
      <c r="BJ311" s="55"/>
      <c r="BK311" s="55"/>
      <c r="BL311" s="55"/>
      <c r="BM311" s="55"/>
      <c r="BN311" s="55"/>
      <c r="BO311" s="55"/>
      <c r="BP311" s="55"/>
      <c r="BQ311" s="55"/>
      <c r="BR311" s="55"/>
      <c r="BS311" s="55"/>
    </row>
    <row r="312" spans="1:71" outlineLevel="1" x14ac:dyDescent="0.2">
      <c r="J312" s="26"/>
      <c r="L312" s="55"/>
      <c r="M312" s="55"/>
      <c r="N312" s="55"/>
      <c r="O312" s="55"/>
      <c r="P312" s="55"/>
      <c r="Q312" s="55"/>
      <c r="R312" s="55"/>
      <c r="S312" s="55"/>
      <c r="T312" s="55"/>
      <c r="U312" s="55"/>
      <c r="V312" s="55"/>
      <c r="W312" s="55"/>
      <c r="X312" s="55"/>
      <c r="Y312" s="55"/>
      <c r="Z312" s="55"/>
      <c r="AA312" s="55"/>
      <c r="AB312" s="55"/>
      <c r="AC312" s="55"/>
      <c r="AD312" s="55"/>
      <c r="AE312" s="55"/>
      <c r="AF312" s="55"/>
      <c r="AG312" s="55"/>
      <c r="AH312" s="55"/>
      <c r="AI312" s="55"/>
      <c r="AJ312" s="55"/>
      <c r="AK312" s="55"/>
      <c r="AL312" s="55"/>
      <c r="AM312" s="55"/>
      <c r="AN312" s="55"/>
      <c r="AO312" s="55"/>
      <c r="AP312" s="55"/>
      <c r="AQ312" s="55"/>
      <c r="AR312" s="55"/>
      <c r="AS312" s="55"/>
      <c r="AT312" s="55"/>
      <c r="AU312" s="55"/>
      <c r="AV312" s="55"/>
      <c r="AW312" s="55"/>
      <c r="AX312" s="55"/>
      <c r="AY312" s="55"/>
      <c r="AZ312" s="55"/>
      <c r="BA312" s="55"/>
      <c r="BB312" s="55"/>
      <c r="BC312" s="55"/>
      <c r="BD312" s="55"/>
      <c r="BE312" s="55"/>
      <c r="BF312" s="55"/>
      <c r="BG312" s="55"/>
      <c r="BH312" s="55"/>
      <c r="BI312" s="55"/>
      <c r="BJ312" s="55"/>
      <c r="BK312" s="55"/>
      <c r="BL312" s="55"/>
      <c r="BM312" s="55"/>
      <c r="BN312" s="55"/>
      <c r="BO312" s="55"/>
      <c r="BP312" s="55"/>
      <c r="BQ312" s="55"/>
      <c r="BR312" s="55"/>
      <c r="BS312" s="55"/>
    </row>
    <row r="313" spans="1:71" outlineLevel="1" x14ac:dyDescent="0.2">
      <c r="A313" s="45"/>
      <c r="B313" s="38" t="s">
        <v>254</v>
      </c>
      <c r="C313" s="45"/>
      <c r="D313" s="45"/>
      <c r="E313" s="45"/>
      <c r="J313" s="26"/>
      <c r="L313" s="55"/>
      <c r="M313" s="55"/>
      <c r="N313" s="55"/>
      <c r="O313" s="55"/>
      <c r="P313" s="55"/>
      <c r="Q313" s="55"/>
      <c r="R313" s="55"/>
      <c r="S313" s="55"/>
      <c r="T313" s="55"/>
      <c r="U313" s="55"/>
      <c r="V313" s="55"/>
      <c r="W313" s="55"/>
      <c r="X313" s="55"/>
      <c r="Y313" s="55"/>
      <c r="Z313" s="55"/>
      <c r="AA313" s="55"/>
      <c r="AB313" s="55"/>
      <c r="AC313" s="55"/>
      <c r="AD313" s="55"/>
      <c r="AE313" s="55"/>
      <c r="AF313" s="55"/>
      <c r="AG313" s="55"/>
      <c r="AH313" s="55"/>
      <c r="AI313" s="55"/>
      <c r="AJ313" s="55"/>
      <c r="AK313" s="55"/>
      <c r="AL313" s="55"/>
      <c r="AM313" s="55"/>
      <c r="AN313" s="55"/>
      <c r="AO313" s="55"/>
      <c r="AP313" s="55"/>
      <c r="AQ313" s="55"/>
      <c r="AR313" s="55"/>
      <c r="AS313" s="55"/>
      <c r="AT313" s="55"/>
      <c r="AU313" s="55"/>
      <c r="AV313" s="55"/>
      <c r="AW313" s="55"/>
      <c r="AX313" s="55"/>
      <c r="AY313" s="55"/>
      <c r="AZ313" s="55"/>
      <c r="BA313" s="55"/>
      <c r="BB313" s="55"/>
      <c r="BC313" s="55"/>
      <c r="BD313" s="55"/>
      <c r="BE313" s="55"/>
      <c r="BF313" s="55"/>
      <c r="BG313" s="55"/>
      <c r="BH313" s="55"/>
      <c r="BI313" s="55"/>
      <c r="BJ313" s="55"/>
      <c r="BK313" s="55"/>
      <c r="BL313" s="55"/>
      <c r="BM313" s="55"/>
      <c r="BN313" s="55"/>
      <c r="BO313" s="55"/>
      <c r="BP313" s="55"/>
      <c r="BQ313" s="55"/>
      <c r="BR313" s="55"/>
      <c r="BS313" s="55"/>
    </row>
    <row r="314" spans="1:71" outlineLevel="1" x14ac:dyDescent="0.2">
      <c r="J314" s="26"/>
      <c r="L314" s="55"/>
      <c r="M314" s="55"/>
      <c r="N314" s="55"/>
      <c r="O314" s="55"/>
      <c r="P314" s="55"/>
      <c r="Q314" s="55"/>
      <c r="R314" s="55"/>
      <c r="S314" s="55"/>
      <c r="T314" s="55"/>
      <c r="U314" s="55"/>
      <c r="V314" s="55"/>
      <c r="W314" s="55"/>
      <c r="X314" s="55"/>
      <c r="Y314" s="55"/>
      <c r="Z314" s="55"/>
      <c r="AA314" s="55"/>
      <c r="AB314" s="55"/>
      <c r="AC314" s="55"/>
      <c r="AD314" s="55"/>
      <c r="AE314" s="55"/>
      <c r="AF314" s="55"/>
      <c r="AG314" s="55"/>
      <c r="AH314" s="55"/>
      <c r="AI314" s="55"/>
      <c r="AJ314" s="55"/>
      <c r="AK314" s="55"/>
      <c r="AL314" s="55"/>
      <c r="AM314" s="55"/>
      <c r="AN314" s="55"/>
      <c r="AO314" s="55"/>
      <c r="AP314" s="55"/>
      <c r="AQ314" s="55"/>
      <c r="AR314" s="55"/>
      <c r="AS314" s="55"/>
      <c r="AT314" s="55"/>
      <c r="AU314" s="55"/>
      <c r="AV314" s="55"/>
      <c r="AW314" s="55"/>
      <c r="AX314" s="55"/>
      <c r="AY314" s="55"/>
      <c r="AZ314" s="55"/>
      <c r="BA314" s="55"/>
      <c r="BB314" s="55"/>
      <c r="BC314" s="55"/>
      <c r="BD314" s="55"/>
      <c r="BE314" s="55"/>
      <c r="BF314" s="55"/>
      <c r="BG314" s="55"/>
      <c r="BH314" s="55"/>
      <c r="BI314" s="55"/>
      <c r="BJ314" s="55"/>
      <c r="BK314" s="55"/>
      <c r="BL314" s="55"/>
      <c r="BM314" s="55"/>
      <c r="BN314" s="55"/>
      <c r="BO314" s="55"/>
      <c r="BP314" s="55"/>
      <c r="BQ314" s="55"/>
      <c r="BR314" s="55"/>
      <c r="BS314" s="55"/>
    </row>
    <row r="315" spans="1:71" outlineLevel="1" x14ac:dyDescent="0.2">
      <c r="C315" s="11" t="s">
        <v>330</v>
      </c>
      <c r="J315" s="26"/>
      <c r="L315" s="55"/>
      <c r="M315" s="55"/>
      <c r="N315" s="55"/>
      <c r="O315" s="55"/>
      <c r="P315" s="55"/>
      <c r="Q315" s="55"/>
      <c r="R315" s="55"/>
      <c r="S315" s="55"/>
      <c r="T315" s="55"/>
      <c r="U315" s="55"/>
      <c r="V315" s="55"/>
      <c r="W315" s="55"/>
      <c r="X315" s="55"/>
      <c r="Y315" s="55"/>
      <c r="Z315" s="55"/>
      <c r="AA315" s="55"/>
      <c r="AB315" s="55"/>
      <c r="AC315" s="55"/>
      <c r="AD315" s="55"/>
      <c r="AE315" s="55"/>
      <c r="AF315" s="55"/>
      <c r="AG315" s="55"/>
      <c r="AH315" s="55"/>
      <c r="AI315" s="55"/>
      <c r="AJ315" s="55"/>
      <c r="AK315" s="55"/>
      <c r="AL315" s="55"/>
      <c r="AM315" s="55"/>
      <c r="AN315" s="55"/>
      <c r="AO315" s="55"/>
      <c r="AP315" s="55"/>
      <c r="AQ315" s="55"/>
      <c r="AR315" s="55"/>
      <c r="AS315" s="55"/>
      <c r="AT315" s="55"/>
      <c r="AU315" s="55"/>
      <c r="AV315" s="55"/>
      <c r="AW315" s="55"/>
      <c r="AX315" s="55"/>
      <c r="AY315" s="55"/>
      <c r="AZ315" s="55"/>
      <c r="BA315" s="55"/>
      <c r="BB315" s="55"/>
      <c r="BC315" s="55"/>
      <c r="BD315" s="55"/>
      <c r="BE315" s="55"/>
      <c r="BF315" s="55"/>
      <c r="BG315" s="55"/>
      <c r="BH315" s="55"/>
      <c r="BI315" s="55"/>
      <c r="BJ315" s="55"/>
      <c r="BK315" s="55"/>
      <c r="BL315" s="55"/>
      <c r="BM315" s="55"/>
      <c r="BN315" s="55"/>
      <c r="BO315" s="55"/>
      <c r="BP315" s="55"/>
      <c r="BQ315" s="55"/>
      <c r="BR315" s="55"/>
      <c r="BS315" s="55"/>
    </row>
    <row r="316" spans="1:71" outlineLevel="1" x14ac:dyDescent="0.2">
      <c r="D316" t="s">
        <v>331</v>
      </c>
      <c r="I316" s="30">
        <f t="shared" ref="I316:I319" ca="1" si="100">SUM($L316:$BS316)</f>
        <v>0</v>
      </c>
      <c r="J316" s="26" t="s">
        <v>148</v>
      </c>
      <c r="K316" s="7" t="s">
        <v>358</v>
      </c>
      <c r="L316" s="49">
        <f ca="1">(Haute_Mer_1994!CA_expex_nom*Haute_Mer_1994!NOC_CI_expex)*Haute_Mer_1994!CA_op_trig</f>
        <v>0</v>
      </c>
      <c r="M316" s="49">
        <f ca="1">(Haute_Mer_1994!CA_expex_nom*Haute_Mer_1994!NOC_CI_expex)*Haute_Mer_1994!CA_op_trig</f>
        <v>0</v>
      </c>
      <c r="N316" s="49">
        <f ca="1">(Haute_Mer_1994!CA_expex_nom*Haute_Mer_1994!NOC_CI_expex)*Haute_Mer_1994!CA_op_trig</f>
        <v>0</v>
      </c>
      <c r="O316" s="49">
        <f ca="1">(Haute_Mer_1994!CA_expex_nom*Haute_Mer_1994!NOC_CI_expex)*Haute_Mer_1994!CA_op_trig</f>
        <v>0</v>
      </c>
      <c r="P316" s="49">
        <f ca="1">(Haute_Mer_1994!CA_expex_nom*Haute_Mer_1994!NOC_CI_expex)*Haute_Mer_1994!CA_op_trig</f>
        <v>0</v>
      </c>
      <c r="Q316" s="49">
        <f ca="1">(Haute_Mer_1994!CA_expex_nom*Haute_Mer_1994!NOC_CI_expex)*Haute_Mer_1994!CA_op_trig</f>
        <v>0</v>
      </c>
      <c r="R316" s="49">
        <f ca="1">(Haute_Mer_1994!CA_expex_nom*Haute_Mer_1994!NOC_CI_expex)*Haute_Mer_1994!CA_op_trig</f>
        <v>0</v>
      </c>
      <c r="S316" s="49">
        <f ca="1">(Haute_Mer_1994!CA_expex_nom*Haute_Mer_1994!NOC_CI_expex)*Haute_Mer_1994!CA_op_trig</f>
        <v>0</v>
      </c>
      <c r="T316" s="49">
        <f ca="1">(Haute_Mer_1994!CA_expex_nom*Haute_Mer_1994!NOC_CI_expex)*Haute_Mer_1994!CA_op_trig</f>
        <v>0</v>
      </c>
      <c r="U316" s="49">
        <f ca="1">(Haute_Mer_1994!CA_expex_nom*Haute_Mer_1994!NOC_CI_expex)*Haute_Mer_1994!CA_op_trig</f>
        <v>0</v>
      </c>
      <c r="V316" s="49">
        <f ca="1">(Haute_Mer_1994!CA_expex_nom*Haute_Mer_1994!NOC_CI_expex)*Haute_Mer_1994!CA_op_trig</f>
        <v>0</v>
      </c>
      <c r="W316" s="49">
        <f ca="1">(Haute_Mer_1994!CA_expex_nom*Haute_Mer_1994!NOC_CI_expex)*Haute_Mer_1994!CA_op_trig</f>
        <v>0</v>
      </c>
      <c r="X316" s="49">
        <f ca="1">(Haute_Mer_1994!CA_expex_nom*Haute_Mer_1994!NOC_CI_expex)*Haute_Mer_1994!CA_op_trig</f>
        <v>0</v>
      </c>
      <c r="Y316" s="49">
        <f ca="1">(Haute_Mer_1994!CA_expex_nom*Haute_Mer_1994!NOC_CI_expex)*Haute_Mer_1994!CA_op_trig</f>
        <v>0</v>
      </c>
      <c r="Z316" s="49">
        <f ca="1">(Haute_Mer_1994!CA_expex_nom*Haute_Mer_1994!NOC_CI_expex)*Haute_Mer_1994!CA_op_trig</f>
        <v>0</v>
      </c>
      <c r="AA316" s="49">
        <f ca="1">(Haute_Mer_1994!CA_expex_nom*Haute_Mer_1994!NOC_CI_expex)*Haute_Mer_1994!CA_op_trig</f>
        <v>0</v>
      </c>
      <c r="AB316" s="49">
        <f ca="1">(Haute_Mer_1994!CA_expex_nom*Haute_Mer_1994!NOC_CI_expex)*Haute_Mer_1994!CA_op_trig</f>
        <v>0</v>
      </c>
      <c r="AC316" s="49">
        <f ca="1">(Haute_Mer_1994!CA_expex_nom*Haute_Mer_1994!NOC_CI_expex)*Haute_Mer_1994!CA_op_trig</f>
        <v>0</v>
      </c>
      <c r="AD316" s="49">
        <f ca="1">(Haute_Mer_1994!CA_expex_nom*Haute_Mer_1994!NOC_CI_expex)*Haute_Mer_1994!CA_op_trig</f>
        <v>0</v>
      </c>
      <c r="AE316" s="49">
        <f ca="1">(Haute_Mer_1994!CA_expex_nom*Haute_Mer_1994!NOC_CI_expex)*Haute_Mer_1994!CA_op_trig</f>
        <v>0</v>
      </c>
      <c r="AF316" s="49">
        <f ca="1">(Haute_Mer_1994!CA_expex_nom*Haute_Mer_1994!NOC_CI_expex)*Haute_Mer_1994!CA_op_trig</f>
        <v>0</v>
      </c>
      <c r="AG316" s="49">
        <f ca="1">(Haute_Mer_1994!CA_expex_nom*Haute_Mer_1994!NOC_CI_expex)*Haute_Mer_1994!CA_op_trig</f>
        <v>0</v>
      </c>
      <c r="AH316" s="49">
        <f ca="1">(Haute_Mer_1994!CA_expex_nom*Haute_Mer_1994!NOC_CI_expex)*Haute_Mer_1994!CA_op_trig</f>
        <v>0</v>
      </c>
      <c r="AI316" s="49">
        <f ca="1">(Haute_Mer_1994!CA_expex_nom*Haute_Mer_1994!NOC_CI_expex)*Haute_Mer_1994!CA_op_trig</f>
        <v>0</v>
      </c>
      <c r="AJ316" s="49">
        <f ca="1">(Haute_Mer_1994!CA_expex_nom*Haute_Mer_1994!NOC_CI_expex)*Haute_Mer_1994!CA_op_trig</f>
        <v>0</v>
      </c>
      <c r="AK316" s="49">
        <f ca="1">(Haute_Mer_1994!CA_expex_nom*Haute_Mer_1994!NOC_CI_expex)*Haute_Mer_1994!CA_op_trig</f>
        <v>0</v>
      </c>
      <c r="AL316" s="49">
        <f ca="1">(Haute_Mer_1994!CA_expex_nom*Haute_Mer_1994!NOC_CI_expex)*Haute_Mer_1994!CA_op_trig</f>
        <v>0</v>
      </c>
      <c r="AM316" s="49">
        <f ca="1">(Haute_Mer_1994!CA_expex_nom*Haute_Mer_1994!NOC_CI_expex)*Haute_Mer_1994!CA_op_trig</f>
        <v>0</v>
      </c>
      <c r="AN316" s="49">
        <f ca="1">(Haute_Mer_1994!CA_expex_nom*Haute_Mer_1994!NOC_CI_expex)*Haute_Mer_1994!CA_op_trig</f>
        <v>0</v>
      </c>
      <c r="AO316" s="49">
        <f ca="1">(Haute_Mer_1994!CA_expex_nom*Haute_Mer_1994!NOC_CI_expex)*Haute_Mer_1994!CA_op_trig</f>
        <v>0</v>
      </c>
      <c r="AP316" s="49">
        <f ca="1">(Haute_Mer_1994!CA_expex_nom*Haute_Mer_1994!NOC_CI_expex)*Haute_Mer_1994!CA_op_trig</f>
        <v>0</v>
      </c>
      <c r="AQ316" s="49">
        <f ca="1">(Haute_Mer_1994!CA_expex_nom*Haute_Mer_1994!NOC_CI_expex)*Haute_Mer_1994!CA_op_trig</f>
        <v>0</v>
      </c>
      <c r="AR316" s="49">
        <f ca="1">(Haute_Mer_1994!CA_expex_nom*Haute_Mer_1994!NOC_CI_expex)*Haute_Mer_1994!CA_op_trig</f>
        <v>0</v>
      </c>
      <c r="AS316" s="49">
        <f ca="1">(Haute_Mer_1994!CA_expex_nom*Haute_Mer_1994!NOC_CI_expex)*Haute_Mer_1994!CA_op_trig</f>
        <v>0</v>
      </c>
      <c r="AT316" s="49">
        <f ca="1">(Haute_Mer_1994!CA_expex_nom*Haute_Mer_1994!NOC_CI_expex)*Haute_Mer_1994!CA_op_trig</f>
        <v>0</v>
      </c>
      <c r="AU316" s="49">
        <f ca="1">(Haute_Mer_1994!CA_expex_nom*Haute_Mer_1994!NOC_CI_expex)*Haute_Mer_1994!CA_op_trig</f>
        <v>0</v>
      </c>
      <c r="AV316" s="49">
        <f ca="1">(Haute_Mer_1994!CA_expex_nom*Haute_Mer_1994!NOC_CI_expex)*Haute_Mer_1994!CA_op_trig</f>
        <v>0</v>
      </c>
      <c r="AW316" s="49">
        <f ca="1">(Haute_Mer_1994!CA_expex_nom*Haute_Mer_1994!NOC_CI_expex)*Haute_Mer_1994!CA_op_trig</f>
        <v>0</v>
      </c>
      <c r="AX316" s="49">
        <f ca="1">(Haute_Mer_1994!CA_expex_nom*Haute_Mer_1994!NOC_CI_expex)*Haute_Mer_1994!CA_op_trig</f>
        <v>0</v>
      </c>
      <c r="AY316" s="49">
        <f ca="1">(Haute_Mer_1994!CA_expex_nom*Haute_Mer_1994!NOC_CI_expex)*Haute_Mer_1994!CA_op_trig</f>
        <v>0</v>
      </c>
      <c r="AZ316" s="49">
        <f ca="1">(Haute_Mer_1994!CA_expex_nom*Haute_Mer_1994!NOC_CI_expex)*Haute_Mer_1994!CA_op_trig</f>
        <v>0</v>
      </c>
      <c r="BA316" s="49">
        <f ca="1">(Haute_Mer_1994!CA_expex_nom*Haute_Mer_1994!NOC_CI_expex)*Haute_Mer_1994!CA_op_trig</f>
        <v>0</v>
      </c>
      <c r="BB316" s="49">
        <f ca="1">(Haute_Mer_1994!CA_expex_nom*Haute_Mer_1994!NOC_CI_expex)*Haute_Mer_1994!CA_op_trig</f>
        <v>0</v>
      </c>
      <c r="BC316" s="49">
        <f ca="1">(Haute_Mer_1994!CA_expex_nom*Haute_Mer_1994!NOC_CI_expex)*Haute_Mer_1994!CA_op_trig</f>
        <v>0</v>
      </c>
      <c r="BD316" s="49">
        <f ca="1">(Haute_Mer_1994!CA_expex_nom*Haute_Mer_1994!NOC_CI_expex)*Haute_Mer_1994!CA_op_trig</f>
        <v>0</v>
      </c>
      <c r="BE316" s="49">
        <f ca="1">(Haute_Mer_1994!CA_expex_nom*Haute_Mer_1994!NOC_CI_expex)*Haute_Mer_1994!CA_op_trig</f>
        <v>0</v>
      </c>
      <c r="BF316" s="49">
        <f ca="1">(Haute_Mer_1994!CA_expex_nom*Haute_Mer_1994!NOC_CI_expex)*Haute_Mer_1994!CA_op_trig</f>
        <v>0</v>
      </c>
      <c r="BG316" s="49">
        <f ca="1">(Haute_Mer_1994!CA_expex_nom*Haute_Mer_1994!NOC_CI_expex)*Haute_Mer_1994!CA_op_trig</f>
        <v>0</v>
      </c>
      <c r="BH316" s="49">
        <f ca="1">(Haute_Mer_1994!CA_expex_nom*Haute_Mer_1994!NOC_CI_expex)*Haute_Mer_1994!CA_op_trig</f>
        <v>0</v>
      </c>
      <c r="BI316" s="49">
        <f ca="1">(Haute_Mer_1994!CA_expex_nom*Haute_Mer_1994!NOC_CI_expex)*Haute_Mer_1994!CA_op_trig</f>
        <v>0</v>
      </c>
      <c r="BJ316" s="49">
        <f ca="1">(Haute_Mer_1994!CA_expex_nom*Haute_Mer_1994!NOC_CI_expex)*Haute_Mer_1994!CA_op_trig</f>
        <v>0</v>
      </c>
      <c r="BK316" s="49">
        <f ca="1">(Haute_Mer_1994!CA_expex_nom*Haute_Mer_1994!NOC_CI_expex)*Haute_Mer_1994!CA_op_trig</f>
        <v>0</v>
      </c>
      <c r="BL316" s="49">
        <f ca="1">(Haute_Mer_1994!CA_expex_nom*Haute_Mer_1994!NOC_CI_expex)*Haute_Mer_1994!CA_op_trig</f>
        <v>0</v>
      </c>
      <c r="BM316" s="49">
        <f ca="1">(Haute_Mer_1994!CA_expex_nom*Haute_Mer_1994!NOC_CI_expex)*Haute_Mer_1994!CA_op_trig</f>
        <v>0</v>
      </c>
      <c r="BN316" s="49">
        <f ca="1">(Haute_Mer_1994!CA_expex_nom*Haute_Mer_1994!NOC_CI_expex)*Haute_Mer_1994!CA_op_trig</f>
        <v>0</v>
      </c>
      <c r="BO316" s="49">
        <f ca="1">(Haute_Mer_1994!CA_expex_nom*Haute_Mer_1994!NOC_CI_expex)*Haute_Mer_1994!CA_op_trig</f>
        <v>0</v>
      </c>
      <c r="BP316" s="49">
        <f ca="1">(Haute_Mer_1994!CA_expex_nom*Haute_Mer_1994!NOC_CI_expex)*Haute_Mer_1994!CA_op_trig</f>
        <v>0</v>
      </c>
      <c r="BQ316" s="49">
        <f ca="1">(Haute_Mer_1994!CA_expex_nom*Haute_Mer_1994!NOC_CI_expex)*Haute_Mer_1994!CA_op_trig</f>
        <v>0</v>
      </c>
      <c r="BR316" s="49">
        <f ca="1">(Haute_Mer_1994!CA_expex_nom*Haute_Mer_1994!NOC_CI_expex)*Haute_Mer_1994!CA_op_trig</f>
        <v>0</v>
      </c>
      <c r="BS316" s="49">
        <f ca="1">(Haute_Mer_1994!CA_expex_nom*Haute_Mer_1994!NOC_CI_expex)*Haute_Mer_1994!CA_op_trig</f>
        <v>0</v>
      </c>
    </row>
    <row r="317" spans="1:71" outlineLevel="1" x14ac:dyDescent="0.2">
      <c r="D317" t="s">
        <v>332</v>
      </c>
      <c r="I317" s="30">
        <f t="shared" ca="1" si="100"/>
        <v>1637.03865</v>
      </c>
      <c r="J317" s="26" t="s">
        <v>148</v>
      </c>
      <c r="K317" s="7" t="s">
        <v>359</v>
      </c>
      <c r="L317" s="49">
        <f ca="1">(Haute_Mer_1994!CA_devex_nom*Haute_Mer_1994!NOC_CI_devex)*(Haute_Mer_1994!CA_op_trig)</f>
        <v>193.01729999999998</v>
      </c>
      <c r="M317" s="49">
        <f ca="1">(Haute_Mer_1994!CA_devex_nom*Haute_Mer_1994!NOC_CI_devex)*(Haute_Mer_1994!CA_op_trig)</f>
        <v>317.73179999999996</v>
      </c>
      <c r="N317" s="49">
        <f ca="1">(Haute_Mer_1994!CA_devex_nom*Haute_Mer_1994!NOC_CI_devex)*(Haute_Mer_1994!CA_op_trig)</f>
        <v>469.58609999999999</v>
      </c>
      <c r="O317" s="49">
        <f ca="1">(Haute_Mer_1994!CA_devex_nom*Haute_Mer_1994!NOC_CI_devex)*(Haute_Mer_1994!CA_op_trig)</f>
        <v>385.68014999999997</v>
      </c>
      <c r="P317" s="49">
        <f ca="1">(Haute_Mer_1994!CA_devex_nom*Haute_Mer_1994!NOC_CI_devex)*(Haute_Mer_1994!CA_op_trig)</f>
        <v>172.98479999999998</v>
      </c>
      <c r="Q317" s="49">
        <f ca="1">(Haute_Mer_1994!CA_devex_nom*Haute_Mer_1994!NOC_CI_devex)*(Haute_Mer_1994!CA_op_trig)</f>
        <v>98.038499999999999</v>
      </c>
      <c r="R317" s="49">
        <f ca="1">(Haute_Mer_1994!CA_devex_nom*Haute_Mer_1994!NOC_CI_devex)*(Haute_Mer_1994!CA_op_trig)</f>
        <v>0</v>
      </c>
      <c r="S317" s="49">
        <f ca="1">(Haute_Mer_1994!CA_devex_nom*Haute_Mer_1994!NOC_CI_devex)*(Haute_Mer_1994!CA_op_trig)</f>
        <v>0</v>
      </c>
      <c r="T317" s="49">
        <f ca="1">(Haute_Mer_1994!CA_devex_nom*Haute_Mer_1994!NOC_CI_devex)*(Haute_Mer_1994!CA_op_trig)</f>
        <v>0</v>
      </c>
      <c r="U317" s="49">
        <f ca="1">(Haute_Mer_1994!CA_devex_nom*Haute_Mer_1994!NOC_CI_devex)*(Haute_Mer_1994!CA_op_trig)</f>
        <v>0</v>
      </c>
      <c r="V317" s="49">
        <f ca="1">(Haute_Mer_1994!CA_devex_nom*Haute_Mer_1994!NOC_CI_devex)*(Haute_Mer_1994!CA_op_trig)</f>
        <v>0</v>
      </c>
      <c r="W317" s="49">
        <f ca="1">(Haute_Mer_1994!CA_devex_nom*Haute_Mer_1994!NOC_CI_devex)*(Haute_Mer_1994!CA_op_trig)</f>
        <v>0</v>
      </c>
      <c r="X317" s="49">
        <f ca="1">(Haute_Mer_1994!CA_devex_nom*Haute_Mer_1994!NOC_CI_devex)*(Haute_Mer_1994!CA_op_trig)</f>
        <v>0</v>
      </c>
      <c r="Y317" s="49">
        <f ca="1">(Haute_Mer_1994!CA_devex_nom*Haute_Mer_1994!NOC_CI_devex)*(Haute_Mer_1994!CA_op_trig)</f>
        <v>0</v>
      </c>
      <c r="Z317" s="49">
        <f ca="1">(Haute_Mer_1994!CA_devex_nom*Haute_Mer_1994!NOC_CI_devex)*(Haute_Mer_1994!CA_op_trig)</f>
        <v>0</v>
      </c>
      <c r="AA317" s="49">
        <f ca="1">(Haute_Mer_1994!CA_devex_nom*Haute_Mer_1994!NOC_CI_devex)*(Haute_Mer_1994!CA_op_trig)</f>
        <v>0</v>
      </c>
      <c r="AB317" s="49">
        <f ca="1">(Haute_Mer_1994!CA_devex_nom*Haute_Mer_1994!NOC_CI_devex)*(Haute_Mer_1994!CA_op_trig)</f>
        <v>0</v>
      </c>
      <c r="AC317" s="49">
        <f ca="1">(Haute_Mer_1994!CA_devex_nom*Haute_Mer_1994!NOC_CI_devex)*(Haute_Mer_1994!CA_op_trig)</f>
        <v>0</v>
      </c>
      <c r="AD317" s="49">
        <f ca="1">(Haute_Mer_1994!CA_devex_nom*Haute_Mer_1994!NOC_CI_devex)*(Haute_Mer_1994!CA_op_trig)</f>
        <v>0</v>
      </c>
      <c r="AE317" s="49">
        <f ca="1">(Haute_Mer_1994!CA_devex_nom*Haute_Mer_1994!NOC_CI_devex)*(Haute_Mer_1994!CA_op_trig)</f>
        <v>0</v>
      </c>
      <c r="AF317" s="49">
        <f ca="1">(Haute_Mer_1994!CA_devex_nom*Haute_Mer_1994!NOC_CI_devex)*(Haute_Mer_1994!CA_op_trig)</f>
        <v>0</v>
      </c>
      <c r="AG317" s="49">
        <f ca="1">(Haute_Mer_1994!CA_devex_nom*Haute_Mer_1994!NOC_CI_devex)*(Haute_Mer_1994!CA_op_trig)</f>
        <v>0</v>
      </c>
      <c r="AH317" s="49">
        <f ca="1">(Haute_Mer_1994!CA_devex_nom*Haute_Mer_1994!NOC_CI_devex)*(Haute_Mer_1994!CA_op_trig)</f>
        <v>0</v>
      </c>
      <c r="AI317" s="49">
        <f ca="1">(Haute_Mer_1994!CA_devex_nom*Haute_Mer_1994!NOC_CI_devex)*(Haute_Mer_1994!CA_op_trig)</f>
        <v>0</v>
      </c>
      <c r="AJ317" s="49">
        <f ca="1">(Haute_Mer_1994!CA_devex_nom*Haute_Mer_1994!NOC_CI_devex)*(Haute_Mer_1994!CA_op_trig)</f>
        <v>0</v>
      </c>
      <c r="AK317" s="49">
        <f ca="1">(Haute_Mer_1994!CA_devex_nom*Haute_Mer_1994!NOC_CI_devex)*(Haute_Mer_1994!CA_op_trig)</f>
        <v>0</v>
      </c>
      <c r="AL317" s="49">
        <f ca="1">(Haute_Mer_1994!CA_devex_nom*Haute_Mer_1994!NOC_CI_devex)*(Haute_Mer_1994!CA_op_trig)</f>
        <v>0</v>
      </c>
      <c r="AM317" s="49">
        <f ca="1">(Haute_Mer_1994!CA_devex_nom*Haute_Mer_1994!NOC_CI_devex)*(Haute_Mer_1994!CA_op_trig)</f>
        <v>0</v>
      </c>
      <c r="AN317" s="49">
        <f ca="1">(Haute_Mer_1994!CA_devex_nom*Haute_Mer_1994!NOC_CI_devex)*(Haute_Mer_1994!CA_op_trig)</f>
        <v>0</v>
      </c>
      <c r="AO317" s="49">
        <f ca="1">(Haute_Mer_1994!CA_devex_nom*Haute_Mer_1994!NOC_CI_devex)*(Haute_Mer_1994!CA_op_trig)</f>
        <v>0</v>
      </c>
      <c r="AP317" s="49">
        <f ca="1">(Haute_Mer_1994!CA_devex_nom*Haute_Mer_1994!NOC_CI_devex)*(Haute_Mer_1994!CA_op_trig)</f>
        <v>0</v>
      </c>
      <c r="AQ317" s="49">
        <f ca="1">(Haute_Mer_1994!CA_devex_nom*Haute_Mer_1994!NOC_CI_devex)*(Haute_Mer_1994!CA_op_trig)</f>
        <v>0</v>
      </c>
      <c r="AR317" s="49">
        <f ca="1">(Haute_Mer_1994!CA_devex_nom*Haute_Mer_1994!NOC_CI_devex)*(Haute_Mer_1994!CA_op_trig)</f>
        <v>0</v>
      </c>
      <c r="AS317" s="49">
        <f ca="1">(Haute_Mer_1994!CA_devex_nom*Haute_Mer_1994!NOC_CI_devex)*(Haute_Mer_1994!CA_op_trig)</f>
        <v>0</v>
      </c>
      <c r="AT317" s="49">
        <f ca="1">(Haute_Mer_1994!CA_devex_nom*Haute_Mer_1994!NOC_CI_devex)*(Haute_Mer_1994!CA_op_trig)</f>
        <v>0</v>
      </c>
      <c r="AU317" s="49">
        <f ca="1">(Haute_Mer_1994!CA_devex_nom*Haute_Mer_1994!NOC_CI_devex)*(Haute_Mer_1994!CA_op_trig)</f>
        <v>0</v>
      </c>
      <c r="AV317" s="49">
        <f ca="1">(Haute_Mer_1994!CA_devex_nom*Haute_Mer_1994!NOC_CI_devex)*(Haute_Mer_1994!CA_op_trig)</f>
        <v>0</v>
      </c>
      <c r="AW317" s="49">
        <f ca="1">(Haute_Mer_1994!CA_devex_nom*Haute_Mer_1994!NOC_CI_devex)*(Haute_Mer_1994!CA_op_trig)</f>
        <v>0</v>
      </c>
      <c r="AX317" s="49">
        <f ca="1">(Haute_Mer_1994!CA_devex_nom*Haute_Mer_1994!NOC_CI_devex)*(Haute_Mer_1994!CA_op_trig)</f>
        <v>0</v>
      </c>
      <c r="AY317" s="49">
        <f ca="1">(Haute_Mer_1994!CA_devex_nom*Haute_Mer_1994!NOC_CI_devex)*(Haute_Mer_1994!CA_op_trig)</f>
        <v>0</v>
      </c>
      <c r="AZ317" s="49">
        <f ca="1">(Haute_Mer_1994!CA_devex_nom*Haute_Mer_1994!NOC_CI_devex)*(Haute_Mer_1994!CA_op_trig)</f>
        <v>0</v>
      </c>
      <c r="BA317" s="49">
        <f ca="1">(Haute_Mer_1994!CA_devex_nom*Haute_Mer_1994!NOC_CI_devex)*(Haute_Mer_1994!CA_op_trig)</f>
        <v>0</v>
      </c>
      <c r="BB317" s="49">
        <f ca="1">(Haute_Mer_1994!CA_devex_nom*Haute_Mer_1994!NOC_CI_devex)*(Haute_Mer_1994!CA_op_trig)</f>
        <v>0</v>
      </c>
      <c r="BC317" s="49">
        <f ca="1">(Haute_Mer_1994!CA_devex_nom*Haute_Mer_1994!NOC_CI_devex)*(Haute_Mer_1994!CA_op_trig)</f>
        <v>0</v>
      </c>
      <c r="BD317" s="49">
        <f ca="1">(Haute_Mer_1994!CA_devex_nom*Haute_Mer_1994!NOC_CI_devex)*(Haute_Mer_1994!CA_op_trig)</f>
        <v>0</v>
      </c>
      <c r="BE317" s="49">
        <f ca="1">(Haute_Mer_1994!CA_devex_nom*Haute_Mer_1994!NOC_CI_devex)*(Haute_Mer_1994!CA_op_trig)</f>
        <v>0</v>
      </c>
      <c r="BF317" s="49">
        <f ca="1">(Haute_Mer_1994!CA_devex_nom*Haute_Mer_1994!NOC_CI_devex)*(Haute_Mer_1994!CA_op_trig)</f>
        <v>0</v>
      </c>
      <c r="BG317" s="49">
        <f ca="1">(Haute_Mer_1994!CA_devex_nom*Haute_Mer_1994!NOC_CI_devex)*(Haute_Mer_1994!CA_op_trig)</f>
        <v>0</v>
      </c>
      <c r="BH317" s="49">
        <f ca="1">(Haute_Mer_1994!CA_devex_nom*Haute_Mer_1994!NOC_CI_devex)*(Haute_Mer_1994!CA_op_trig)</f>
        <v>0</v>
      </c>
      <c r="BI317" s="49">
        <f ca="1">(Haute_Mer_1994!CA_devex_nom*Haute_Mer_1994!NOC_CI_devex)*(Haute_Mer_1994!CA_op_trig)</f>
        <v>0</v>
      </c>
      <c r="BJ317" s="49">
        <f ca="1">(Haute_Mer_1994!CA_devex_nom*Haute_Mer_1994!NOC_CI_devex)*(Haute_Mer_1994!CA_op_trig)</f>
        <v>0</v>
      </c>
      <c r="BK317" s="49">
        <f ca="1">(Haute_Mer_1994!CA_devex_nom*Haute_Mer_1994!NOC_CI_devex)*(Haute_Mer_1994!CA_op_trig)</f>
        <v>0</v>
      </c>
      <c r="BL317" s="49">
        <f ca="1">(Haute_Mer_1994!CA_devex_nom*Haute_Mer_1994!NOC_CI_devex)*(Haute_Mer_1994!CA_op_trig)</f>
        <v>0</v>
      </c>
      <c r="BM317" s="49">
        <f ca="1">(Haute_Mer_1994!CA_devex_nom*Haute_Mer_1994!NOC_CI_devex)*(Haute_Mer_1994!CA_op_trig)</f>
        <v>0</v>
      </c>
      <c r="BN317" s="49">
        <f ca="1">(Haute_Mer_1994!CA_devex_nom*Haute_Mer_1994!NOC_CI_devex)*(Haute_Mer_1994!CA_op_trig)</f>
        <v>0</v>
      </c>
      <c r="BO317" s="49">
        <f ca="1">(Haute_Mer_1994!CA_devex_nom*Haute_Mer_1994!NOC_CI_devex)*(Haute_Mer_1994!CA_op_trig)</f>
        <v>0</v>
      </c>
      <c r="BP317" s="49">
        <f ca="1">(Haute_Mer_1994!CA_devex_nom*Haute_Mer_1994!NOC_CI_devex)*(Haute_Mer_1994!CA_op_trig)</f>
        <v>0</v>
      </c>
      <c r="BQ317" s="49">
        <f ca="1">(Haute_Mer_1994!CA_devex_nom*Haute_Mer_1994!NOC_CI_devex)*(Haute_Mer_1994!CA_op_trig)</f>
        <v>0</v>
      </c>
      <c r="BR317" s="49">
        <f ca="1">(Haute_Mer_1994!CA_devex_nom*Haute_Mer_1994!NOC_CI_devex)*(Haute_Mer_1994!CA_op_trig)</f>
        <v>0</v>
      </c>
      <c r="BS317" s="49">
        <f ca="1">(Haute_Mer_1994!CA_devex_nom*Haute_Mer_1994!NOC_CI_devex)*(Haute_Mer_1994!CA_op_trig)</f>
        <v>0</v>
      </c>
    </row>
    <row r="318" spans="1:71" outlineLevel="1" x14ac:dyDescent="0.2">
      <c r="D318" t="s">
        <v>333</v>
      </c>
      <c r="I318" s="30">
        <f t="shared" ca="1" si="100"/>
        <v>0</v>
      </c>
      <c r="J318" s="26" t="s">
        <v>148</v>
      </c>
      <c r="K318" s="7" t="s">
        <v>360</v>
      </c>
      <c r="L318" s="49">
        <f ca="1">((Haute_Mer_1994!CA_varopex_nom+Haute_Mer_1994!CA_fixedopex_nom)*(Haute_Mer_1994!NOC_CI_opex))*(Haute_Mer_1994!CA_op_trig)</f>
        <v>0</v>
      </c>
      <c r="M318" s="49">
        <f ca="1">((Haute_Mer_1994!CA_varopex_nom+Haute_Mer_1994!CA_fixedopex_nom)*(Haute_Mer_1994!NOC_CI_opex))*(Haute_Mer_1994!CA_op_trig)</f>
        <v>0</v>
      </c>
      <c r="N318" s="49">
        <f ca="1">((Haute_Mer_1994!CA_varopex_nom+Haute_Mer_1994!CA_fixedopex_nom)*(Haute_Mer_1994!NOC_CI_opex))*(Haute_Mer_1994!CA_op_trig)</f>
        <v>0</v>
      </c>
      <c r="O318" s="49">
        <f ca="1">((Haute_Mer_1994!CA_varopex_nom+Haute_Mer_1994!CA_fixedopex_nom)*(Haute_Mer_1994!NOC_CI_opex))*(Haute_Mer_1994!CA_op_trig)</f>
        <v>0</v>
      </c>
      <c r="P318" s="49">
        <f ca="1">((Haute_Mer_1994!CA_varopex_nom+Haute_Mer_1994!CA_fixedopex_nom)*(Haute_Mer_1994!NOC_CI_opex))*(Haute_Mer_1994!CA_op_trig)</f>
        <v>0</v>
      </c>
      <c r="Q318" s="49">
        <f ca="1">((Haute_Mer_1994!CA_varopex_nom+Haute_Mer_1994!CA_fixedopex_nom)*(Haute_Mer_1994!NOC_CI_opex))*(Haute_Mer_1994!CA_op_trig)</f>
        <v>0</v>
      </c>
      <c r="R318" s="49">
        <f ca="1">((Haute_Mer_1994!CA_varopex_nom+Haute_Mer_1994!CA_fixedopex_nom)*(Haute_Mer_1994!NOC_CI_opex))*(Haute_Mer_1994!CA_op_trig)</f>
        <v>0</v>
      </c>
      <c r="S318" s="49">
        <f ca="1">((Haute_Mer_1994!CA_varopex_nom+Haute_Mer_1994!CA_fixedopex_nom)*(Haute_Mer_1994!NOC_CI_opex))*(Haute_Mer_1994!CA_op_trig)</f>
        <v>0</v>
      </c>
      <c r="T318" s="49">
        <f ca="1">((Haute_Mer_1994!CA_varopex_nom+Haute_Mer_1994!CA_fixedopex_nom)*(Haute_Mer_1994!NOC_CI_opex))*(Haute_Mer_1994!CA_op_trig)</f>
        <v>0</v>
      </c>
      <c r="U318" s="49">
        <f ca="1">((Haute_Mer_1994!CA_varopex_nom+Haute_Mer_1994!CA_fixedopex_nom)*(Haute_Mer_1994!NOC_CI_opex))*(Haute_Mer_1994!CA_op_trig)</f>
        <v>0</v>
      </c>
      <c r="V318" s="49">
        <f ca="1">((Haute_Mer_1994!CA_varopex_nom+Haute_Mer_1994!CA_fixedopex_nom)*(Haute_Mer_1994!NOC_CI_opex))*(Haute_Mer_1994!CA_op_trig)</f>
        <v>0</v>
      </c>
      <c r="W318" s="49">
        <f ca="1">((Haute_Mer_1994!CA_varopex_nom+Haute_Mer_1994!CA_fixedopex_nom)*(Haute_Mer_1994!NOC_CI_opex))*(Haute_Mer_1994!CA_op_trig)</f>
        <v>0</v>
      </c>
      <c r="X318" s="49">
        <f ca="1">((Haute_Mer_1994!CA_varopex_nom+Haute_Mer_1994!CA_fixedopex_nom)*(Haute_Mer_1994!NOC_CI_opex))*(Haute_Mer_1994!CA_op_trig)</f>
        <v>0</v>
      </c>
      <c r="Y318" s="49">
        <f ca="1">((Haute_Mer_1994!CA_varopex_nom+Haute_Mer_1994!CA_fixedopex_nom)*(Haute_Mer_1994!NOC_CI_opex))*(Haute_Mer_1994!CA_op_trig)</f>
        <v>0</v>
      </c>
      <c r="Z318" s="49">
        <f ca="1">((Haute_Mer_1994!CA_varopex_nom+Haute_Mer_1994!CA_fixedopex_nom)*(Haute_Mer_1994!NOC_CI_opex))*(Haute_Mer_1994!CA_op_trig)</f>
        <v>0</v>
      </c>
      <c r="AA318" s="49">
        <f ca="1">((Haute_Mer_1994!CA_varopex_nom+Haute_Mer_1994!CA_fixedopex_nom)*(Haute_Mer_1994!NOC_CI_opex))*(Haute_Mer_1994!CA_op_trig)</f>
        <v>0</v>
      </c>
      <c r="AB318" s="49">
        <f ca="1">((Haute_Mer_1994!CA_varopex_nom+Haute_Mer_1994!CA_fixedopex_nom)*(Haute_Mer_1994!NOC_CI_opex))*(Haute_Mer_1994!CA_op_trig)</f>
        <v>0</v>
      </c>
      <c r="AC318" s="49">
        <f ca="1">((Haute_Mer_1994!CA_varopex_nom+Haute_Mer_1994!CA_fixedopex_nom)*(Haute_Mer_1994!NOC_CI_opex))*(Haute_Mer_1994!CA_op_trig)</f>
        <v>0</v>
      </c>
      <c r="AD318" s="49">
        <f ca="1">((Haute_Mer_1994!CA_varopex_nom+Haute_Mer_1994!CA_fixedopex_nom)*(Haute_Mer_1994!NOC_CI_opex))*(Haute_Mer_1994!CA_op_trig)</f>
        <v>0</v>
      </c>
      <c r="AE318" s="49">
        <f ca="1">((Haute_Mer_1994!CA_varopex_nom+Haute_Mer_1994!CA_fixedopex_nom)*(Haute_Mer_1994!NOC_CI_opex))*(Haute_Mer_1994!CA_op_trig)</f>
        <v>0</v>
      </c>
      <c r="AF318" s="49">
        <f ca="1">((Haute_Mer_1994!CA_varopex_nom+Haute_Mer_1994!CA_fixedopex_nom)*(Haute_Mer_1994!NOC_CI_opex))*(Haute_Mer_1994!CA_op_trig)</f>
        <v>0</v>
      </c>
      <c r="AG318" s="49">
        <f ca="1">((Haute_Mer_1994!CA_varopex_nom+Haute_Mer_1994!CA_fixedopex_nom)*(Haute_Mer_1994!NOC_CI_opex))*(Haute_Mer_1994!CA_op_trig)</f>
        <v>0</v>
      </c>
      <c r="AH318" s="49">
        <f ca="1">((Haute_Mer_1994!CA_varopex_nom+Haute_Mer_1994!CA_fixedopex_nom)*(Haute_Mer_1994!NOC_CI_opex))*(Haute_Mer_1994!CA_op_trig)</f>
        <v>0</v>
      </c>
      <c r="AI318" s="49">
        <f ca="1">((Haute_Mer_1994!CA_varopex_nom+Haute_Mer_1994!CA_fixedopex_nom)*(Haute_Mer_1994!NOC_CI_opex))*(Haute_Mer_1994!CA_op_trig)</f>
        <v>0</v>
      </c>
      <c r="AJ318" s="49">
        <f ca="1">((Haute_Mer_1994!CA_varopex_nom+Haute_Mer_1994!CA_fixedopex_nom)*(Haute_Mer_1994!NOC_CI_opex))*(Haute_Mer_1994!CA_op_trig)</f>
        <v>0</v>
      </c>
      <c r="AK318" s="49">
        <f ca="1">((Haute_Mer_1994!CA_varopex_nom+Haute_Mer_1994!CA_fixedopex_nom)*(Haute_Mer_1994!NOC_CI_opex))*(Haute_Mer_1994!CA_op_trig)</f>
        <v>0</v>
      </c>
      <c r="AL318" s="49">
        <f ca="1">((Haute_Mer_1994!CA_varopex_nom+Haute_Mer_1994!CA_fixedopex_nom)*(Haute_Mer_1994!NOC_CI_opex))*(Haute_Mer_1994!CA_op_trig)</f>
        <v>0</v>
      </c>
      <c r="AM318" s="49">
        <f ca="1">((Haute_Mer_1994!CA_varopex_nom+Haute_Mer_1994!CA_fixedopex_nom)*(Haute_Mer_1994!NOC_CI_opex))*(Haute_Mer_1994!CA_op_trig)</f>
        <v>0</v>
      </c>
      <c r="AN318" s="49">
        <f ca="1">((Haute_Mer_1994!CA_varopex_nom+Haute_Mer_1994!CA_fixedopex_nom)*(Haute_Mer_1994!NOC_CI_opex))*(Haute_Mer_1994!CA_op_trig)</f>
        <v>0</v>
      </c>
      <c r="AO318" s="49">
        <f ca="1">((Haute_Mer_1994!CA_varopex_nom+Haute_Mer_1994!CA_fixedopex_nom)*(Haute_Mer_1994!NOC_CI_opex))*(Haute_Mer_1994!CA_op_trig)</f>
        <v>0</v>
      </c>
      <c r="AP318" s="49">
        <f ca="1">((Haute_Mer_1994!CA_varopex_nom+Haute_Mer_1994!CA_fixedopex_nom)*(Haute_Mer_1994!NOC_CI_opex))*(Haute_Mer_1994!CA_op_trig)</f>
        <v>0</v>
      </c>
      <c r="AQ318" s="49">
        <f ca="1">((Haute_Mer_1994!CA_varopex_nom+Haute_Mer_1994!CA_fixedopex_nom)*(Haute_Mer_1994!NOC_CI_opex))*(Haute_Mer_1994!CA_op_trig)</f>
        <v>0</v>
      </c>
      <c r="AR318" s="49">
        <f ca="1">((Haute_Mer_1994!CA_varopex_nom+Haute_Mer_1994!CA_fixedopex_nom)*(Haute_Mer_1994!NOC_CI_opex))*(Haute_Mer_1994!CA_op_trig)</f>
        <v>0</v>
      </c>
      <c r="AS318" s="49">
        <f ca="1">((Haute_Mer_1994!CA_varopex_nom+Haute_Mer_1994!CA_fixedopex_nom)*(Haute_Mer_1994!NOC_CI_opex))*(Haute_Mer_1994!CA_op_trig)</f>
        <v>0</v>
      </c>
      <c r="AT318" s="49">
        <f ca="1">((Haute_Mer_1994!CA_varopex_nom+Haute_Mer_1994!CA_fixedopex_nom)*(Haute_Mer_1994!NOC_CI_opex))*(Haute_Mer_1994!CA_op_trig)</f>
        <v>0</v>
      </c>
      <c r="AU318" s="49">
        <f ca="1">((Haute_Mer_1994!CA_varopex_nom+Haute_Mer_1994!CA_fixedopex_nom)*(Haute_Mer_1994!NOC_CI_opex))*(Haute_Mer_1994!CA_op_trig)</f>
        <v>0</v>
      </c>
      <c r="AV318" s="49">
        <f ca="1">((Haute_Mer_1994!CA_varopex_nom+Haute_Mer_1994!CA_fixedopex_nom)*(Haute_Mer_1994!NOC_CI_opex))*(Haute_Mer_1994!CA_op_trig)</f>
        <v>0</v>
      </c>
      <c r="AW318" s="49">
        <f ca="1">((Haute_Mer_1994!CA_varopex_nom+Haute_Mer_1994!CA_fixedopex_nom)*(Haute_Mer_1994!NOC_CI_opex))*(Haute_Mer_1994!CA_op_trig)</f>
        <v>0</v>
      </c>
      <c r="AX318" s="49">
        <f ca="1">((Haute_Mer_1994!CA_varopex_nom+Haute_Mer_1994!CA_fixedopex_nom)*(Haute_Mer_1994!NOC_CI_opex))*(Haute_Mer_1994!CA_op_trig)</f>
        <v>0</v>
      </c>
      <c r="AY318" s="49">
        <f ca="1">((Haute_Mer_1994!CA_varopex_nom+Haute_Mer_1994!CA_fixedopex_nom)*(Haute_Mer_1994!NOC_CI_opex))*(Haute_Mer_1994!CA_op_trig)</f>
        <v>0</v>
      </c>
      <c r="AZ318" s="49">
        <f ca="1">((Haute_Mer_1994!CA_varopex_nom+Haute_Mer_1994!CA_fixedopex_nom)*(Haute_Mer_1994!NOC_CI_opex))*(Haute_Mer_1994!CA_op_trig)</f>
        <v>0</v>
      </c>
      <c r="BA318" s="49">
        <f ca="1">((Haute_Mer_1994!CA_varopex_nom+Haute_Mer_1994!CA_fixedopex_nom)*(Haute_Mer_1994!NOC_CI_opex))*(Haute_Mer_1994!CA_op_trig)</f>
        <v>0</v>
      </c>
      <c r="BB318" s="49">
        <f ca="1">((Haute_Mer_1994!CA_varopex_nom+Haute_Mer_1994!CA_fixedopex_nom)*(Haute_Mer_1994!NOC_CI_opex))*(Haute_Mer_1994!CA_op_trig)</f>
        <v>0</v>
      </c>
      <c r="BC318" s="49">
        <f ca="1">((Haute_Mer_1994!CA_varopex_nom+Haute_Mer_1994!CA_fixedopex_nom)*(Haute_Mer_1994!NOC_CI_opex))*(Haute_Mer_1994!CA_op_trig)</f>
        <v>0</v>
      </c>
      <c r="BD318" s="49">
        <f ca="1">((Haute_Mer_1994!CA_varopex_nom+Haute_Mer_1994!CA_fixedopex_nom)*(Haute_Mer_1994!NOC_CI_opex))*(Haute_Mer_1994!CA_op_trig)</f>
        <v>0</v>
      </c>
      <c r="BE318" s="49">
        <f ca="1">((Haute_Mer_1994!CA_varopex_nom+Haute_Mer_1994!CA_fixedopex_nom)*(Haute_Mer_1994!NOC_CI_opex))*(Haute_Mer_1994!CA_op_trig)</f>
        <v>0</v>
      </c>
      <c r="BF318" s="49">
        <f ca="1">((Haute_Mer_1994!CA_varopex_nom+Haute_Mer_1994!CA_fixedopex_nom)*(Haute_Mer_1994!NOC_CI_opex))*(Haute_Mer_1994!CA_op_trig)</f>
        <v>0</v>
      </c>
      <c r="BG318" s="49">
        <f ca="1">((Haute_Mer_1994!CA_varopex_nom+Haute_Mer_1994!CA_fixedopex_nom)*(Haute_Mer_1994!NOC_CI_opex))*(Haute_Mer_1994!CA_op_trig)</f>
        <v>0</v>
      </c>
      <c r="BH318" s="49">
        <f ca="1">((Haute_Mer_1994!CA_varopex_nom+Haute_Mer_1994!CA_fixedopex_nom)*(Haute_Mer_1994!NOC_CI_opex))*(Haute_Mer_1994!CA_op_trig)</f>
        <v>0</v>
      </c>
      <c r="BI318" s="49">
        <f ca="1">((Haute_Mer_1994!CA_varopex_nom+Haute_Mer_1994!CA_fixedopex_nom)*(Haute_Mer_1994!NOC_CI_opex))*(Haute_Mer_1994!CA_op_trig)</f>
        <v>0</v>
      </c>
      <c r="BJ318" s="49">
        <f ca="1">((Haute_Mer_1994!CA_varopex_nom+Haute_Mer_1994!CA_fixedopex_nom)*(Haute_Mer_1994!NOC_CI_opex))*(Haute_Mer_1994!CA_op_trig)</f>
        <v>0</v>
      </c>
      <c r="BK318" s="49">
        <f ca="1">((Haute_Mer_1994!CA_varopex_nom+Haute_Mer_1994!CA_fixedopex_nom)*(Haute_Mer_1994!NOC_CI_opex))*(Haute_Mer_1994!CA_op_trig)</f>
        <v>0</v>
      </c>
      <c r="BL318" s="49">
        <f ca="1">((Haute_Mer_1994!CA_varopex_nom+Haute_Mer_1994!CA_fixedopex_nom)*(Haute_Mer_1994!NOC_CI_opex))*(Haute_Mer_1994!CA_op_trig)</f>
        <v>0</v>
      </c>
      <c r="BM318" s="49">
        <f ca="1">((Haute_Mer_1994!CA_varopex_nom+Haute_Mer_1994!CA_fixedopex_nom)*(Haute_Mer_1994!NOC_CI_opex))*(Haute_Mer_1994!CA_op_trig)</f>
        <v>0</v>
      </c>
      <c r="BN318" s="49">
        <f ca="1">((Haute_Mer_1994!CA_varopex_nom+Haute_Mer_1994!CA_fixedopex_nom)*(Haute_Mer_1994!NOC_CI_opex))*(Haute_Mer_1994!CA_op_trig)</f>
        <v>0</v>
      </c>
      <c r="BO318" s="49">
        <f ca="1">((Haute_Mer_1994!CA_varopex_nom+Haute_Mer_1994!CA_fixedopex_nom)*(Haute_Mer_1994!NOC_CI_opex))*(Haute_Mer_1994!CA_op_trig)</f>
        <v>0</v>
      </c>
      <c r="BP318" s="49">
        <f ca="1">((Haute_Mer_1994!CA_varopex_nom+Haute_Mer_1994!CA_fixedopex_nom)*(Haute_Mer_1994!NOC_CI_opex))*(Haute_Mer_1994!CA_op_trig)</f>
        <v>0</v>
      </c>
      <c r="BQ318" s="49">
        <f ca="1">((Haute_Mer_1994!CA_varopex_nom+Haute_Mer_1994!CA_fixedopex_nom)*(Haute_Mer_1994!NOC_CI_opex))*(Haute_Mer_1994!CA_op_trig)</f>
        <v>0</v>
      </c>
      <c r="BR318" s="49">
        <f ca="1">((Haute_Mer_1994!CA_varopex_nom+Haute_Mer_1994!CA_fixedopex_nom)*(Haute_Mer_1994!NOC_CI_opex))*(Haute_Mer_1994!CA_op_trig)</f>
        <v>0</v>
      </c>
      <c r="BS318" s="49">
        <f ca="1">((Haute_Mer_1994!CA_varopex_nom+Haute_Mer_1994!CA_fixedopex_nom)*(Haute_Mer_1994!NOC_CI_opex))*(Haute_Mer_1994!CA_op_trig)</f>
        <v>0</v>
      </c>
    </row>
    <row r="319" spans="1:71" outlineLevel="1" x14ac:dyDescent="0.2">
      <c r="D319" s="11" t="s">
        <v>129</v>
      </c>
      <c r="I319" s="30">
        <f t="shared" ca="1" si="100"/>
        <v>1637.03865</v>
      </c>
      <c r="J319" s="26" t="s">
        <v>148</v>
      </c>
      <c r="L319" s="49">
        <f ca="1">SUM(L316:L318)</f>
        <v>193.01729999999998</v>
      </c>
      <c r="M319" s="49">
        <f t="shared" ref="M319:BS319" ca="1" si="101">SUM(M316:M318)</f>
        <v>317.73179999999996</v>
      </c>
      <c r="N319" s="49">
        <f t="shared" ca="1" si="101"/>
        <v>469.58609999999999</v>
      </c>
      <c r="O319" s="49">
        <f t="shared" ca="1" si="101"/>
        <v>385.68014999999997</v>
      </c>
      <c r="P319" s="49">
        <f t="shared" ca="1" si="101"/>
        <v>172.98479999999998</v>
      </c>
      <c r="Q319" s="49">
        <f t="shared" ca="1" si="101"/>
        <v>98.038499999999999</v>
      </c>
      <c r="R319" s="49">
        <f t="shared" ca="1" si="101"/>
        <v>0</v>
      </c>
      <c r="S319" s="49">
        <f t="shared" ca="1" si="101"/>
        <v>0</v>
      </c>
      <c r="T319" s="49">
        <f t="shared" ca="1" si="101"/>
        <v>0</v>
      </c>
      <c r="U319" s="49">
        <f t="shared" ca="1" si="101"/>
        <v>0</v>
      </c>
      <c r="V319" s="49">
        <f t="shared" ca="1" si="101"/>
        <v>0</v>
      </c>
      <c r="W319" s="49">
        <f t="shared" ca="1" si="101"/>
        <v>0</v>
      </c>
      <c r="X319" s="49">
        <f t="shared" ca="1" si="101"/>
        <v>0</v>
      </c>
      <c r="Y319" s="49">
        <f t="shared" ca="1" si="101"/>
        <v>0</v>
      </c>
      <c r="Z319" s="49">
        <f t="shared" ca="1" si="101"/>
        <v>0</v>
      </c>
      <c r="AA319" s="49">
        <f t="shared" ca="1" si="101"/>
        <v>0</v>
      </c>
      <c r="AB319" s="49">
        <f t="shared" ca="1" si="101"/>
        <v>0</v>
      </c>
      <c r="AC319" s="49">
        <f t="shared" ca="1" si="101"/>
        <v>0</v>
      </c>
      <c r="AD319" s="49">
        <f t="shared" ca="1" si="101"/>
        <v>0</v>
      </c>
      <c r="AE319" s="49">
        <f t="shared" ca="1" si="101"/>
        <v>0</v>
      </c>
      <c r="AF319" s="49">
        <f t="shared" ca="1" si="101"/>
        <v>0</v>
      </c>
      <c r="AG319" s="49">
        <f t="shared" ca="1" si="101"/>
        <v>0</v>
      </c>
      <c r="AH319" s="49">
        <f t="shared" ca="1" si="101"/>
        <v>0</v>
      </c>
      <c r="AI319" s="49">
        <f t="shared" ca="1" si="101"/>
        <v>0</v>
      </c>
      <c r="AJ319" s="49">
        <f t="shared" ca="1" si="101"/>
        <v>0</v>
      </c>
      <c r="AK319" s="49">
        <f t="shared" ca="1" si="101"/>
        <v>0</v>
      </c>
      <c r="AL319" s="49">
        <f t="shared" ca="1" si="101"/>
        <v>0</v>
      </c>
      <c r="AM319" s="49">
        <f t="shared" ca="1" si="101"/>
        <v>0</v>
      </c>
      <c r="AN319" s="49">
        <f t="shared" ca="1" si="101"/>
        <v>0</v>
      </c>
      <c r="AO319" s="49">
        <f t="shared" ca="1" si="101"/>
        <v>0</v>
      </c>
      <c r="AP319" s="49">
        <f t="shared" ca="1" si="101"/>
        <v>0</v>
      </c>
      <c r="AQ319" s="49">
        <f t="shared" ca="1" si="101"/>
        <v>0</v>
      </c>
      <c r="AR319" s="49">
        <f t="shared" ca="1" si="101"/>
        <v>0</v>
      </c>
      <c r="AS319" s="49">
        <f t="shared" ca="1" si="101"/>
        <v>0</v>
      </c>
      <c r="AT319" s="49">
        <f t="shared" ca="1" si="101"/>
        <v>0</v>
      </c>
      <c r="AU319" s="49">
        <f t="shared" ca="1" si="101"/>
        <v>0</v>
      </c>
      <c r="AV319" s="49">
        <f t="shared" ca="1" si="101"/>
        <v>0</v>
      </c>
      <c r="AW319" s="49">
        <f t="shared" ca="1" si="101"/>
        <v>0</v>
      </c>
      <c r="AX319" s="49">
        <f t="shared" ca="1" si="101"/>
        <v>0</v>
      </c>
      <c r="AY319" s="49">
        <f t="shared" ca="1" si="101"/>
        <v>0</v>
      </c>
      <c r="AZ319" s="49">
        <f t="shared" ca="1" si="101"/>
        <v>0</v>
      </c>
      <c r="BA319" s="49">
        <f t="shared" ca="1" si="101"/>
        <v>0</v>
      </c>
      <c r="BB319" s="49">
        <f t="shared" ca="1" si="101"/>
        <v>0</v>
      </c>
      <c r="BC319" s="49">
        <f t="shared" ca="1" si="101"/>
        <v>0</v>
      </c>
      <c r="BD319" s="49">
        <f t="shared" ca="1" si="101"/>
        <v>0</v>
      </c>
      <c r="BE319" s="49">
        <f t="shared" ca="1" si="101"/>
        <v>0</v>
      </c>
      <c r="BF319" s="49">
        <f t="shared" ca="1" si="101"/>
        <v>0</v>
      </c>
      <c r="BG319" s="49">
        <f t="shared" ca="1" si="101"/>
        <v>0</v>
      </c>
      <c r="BH319" s="49">
        <f t="shared" ca="1" si="101"/>
        <v>0</v>
      </c>
      <c r="BI319" s="49">
        <f t="shared" ca="1" si="101"/>
        <v>0</v>
      </c>
      <c r="BJ319" s="49">
        <f t="shared" ca="1" si="101"/>
        <v>0</v>
      </c>
      <c r="BK319" s="49">
        <f t="shared" ca="1" si="101"/>
        <v>0</v>
      </c>
      <c r="BL319" s="49">
        <f t="shared" ca="1" si="101"/>
        <v>0</v>
      </c>
      <c r="BM319" s="49">
        <f t="shared" ca="1" si="101"/>
        <v>0</v>
      </c>
      <c r="BN319" s="49">
        <f t="shared" ca="1" si="101"/>
        <v>0</v>
      </c>
      <c r="BO319" s="49">
        <f t="shared" ca="1" si="101"/>
        <v>0</v>
      </c>
      <c r="BP319" s="49">
        <f t="shared" ca="1" si="101"/>
        <v>0</v>
      </c>
      <c r="BQ319" s="49">
        <f t="shared" ca="1" si="101"/>
        <v>0</v>
      </c>
      <c r="BR319" s="49">
        <f t="shared" ca="1" si="101"/>
        <v>0</v>
      </c>
      <c r="BS319" s="49">
        <f t="shared" ca="1" si="101"/>
        <v>0</v>
      </c>
    </row>
    <row r="320" spans="1:71" outlineLevel="1" x14ac:dyDescent="0.2">
      <c r="J320" s="26"/>
      <c r="L320" s="55"/>
      <c r="M320" s="55"/>
      <c r="N320" s="55"/>
      <c r="O320" s="55"/>
      <c r="P320" s="55"/>
      <c r="Q320" s="55"/>
      <c r="R320" s="55"/>
      <c r="S320" s="55"/>
      <c r="T320" s="55"/>
      <c r="U320" s="55"/>
      <c r="V320" s="55"/>
      <c r="W320" s="55"/>
      <c r="X320" s="55"/>
      <c r="Y320" s="55"/>
      <c r="Z320" s="55"/>
      <c r="AA320" s="55"/>
      <c r="AB320" s="55"/>
      <c r="AC320" s="55"/>
      <c r="AD320" s="55"/>
      <c r="AE320" s="55"/>
      <c r="AF320" s="55"/>
      <c r="AG320" s="55"/>
      <c r="AH320" s="55"/>
      <c r="AI320" s="55"/>
      <c r="AJ320" s="55"/>
      <c r="AK320" s="55"/>
      <c r="AL320" s="55"/>
      <c r="AM320" s="55"/>
      <c r="AN320" s="55"/>
      <c r="AO320" s="55"/>
      <c r="AP320" s="55"/>
      <c r="AQ320" s="55"/>
      <c r="AR320" s="55"/>
      <c r="AS320" s="55"/>
      <c r="AT320" s="55"/>
      <c r="AU320" s="55"/>
      <c r="AV320" s="55"/>
      <c r="AW320" s="55"/>
      <c r="AX320" s="55"/>
      <c r="AY320" s="55"/>
      <c r="AZ320" s="55"/>
      <c r="BA320" s="55"/>
      <c r="BB320" s="55"/>
      <c r="BC320" s="55"/>
      <c r="BD320" s="55"/>
      <c r="BE320" s="55"/>
      <c r="BF320" s="55"/>
      <c r="BG320" s="55"/>
      <c r="BH320" s="55"/>
      <c r="BI320" s="55"/>
      <c r="BJ320" s="55"/>
      <c r="BK320" s="55"/>
      <c r="BL320" s="55"/>
      <c r="BM320" s="55"/>
      <c r="BN320" s="55"/>
      <c r="BO320" s="55"/>
      <c r="BP320" s="55"/>
      <c r="BQ320" s="55"/>
      <c r="BR320" s="55"/>
      <c r="BS320" s="55"/>
    </row>
    <row r="321" spans="3:71" outlineLevel="1" x14ac:dyDescent="0.2">
      <c r="C321" s="11" t="s">
        <v>334</v>
      </c>
      <c r="J321" s="26"/>
      <c r="L321" s="55"/>
      <c r="M321" s="55"/>
      <c r="N321" s="55"/>
      <c r="O321" s="55"/>
      <c r="P321" s="55"/>
      <c r="Q321" s="55"/>
      <c r="R321" s="55"/>
      <c r="S321" s="55"/>
      <c r="T321" s="55"/>
      <c r="U321" s="55"/>
      <c r="V321" s="55"/>
      <c r="W321" s="55"/>
      <c r="X321" s="55"/>
      <c r="Y321" s="55"/>
      <c r="Z321" s="55"/>
      <c r="AA321" s="55"/>
      <c r="AB321" s="55"/>
      <c r="AC321" s="55"/>
      <c r="AD321" s="55"/>
      <c r="AE321" s="55"/>
      <c r="AF321" s="55"/>
      <c r="AG321" s="55"/>
      <c r="AH321" s="55"/>
      <c r="AI321" s="55"/>
      <c r="AJ321" s="55"/>
      <c r="AK321" s="55"/>
      <c r="AL321" s="55"/>
      <c r="AM321" s="55"/>
      <c r="AN321" s="55"/>
      <c r="AO321" s="55"/>
      <c r="AP321" s="55"/>
      <c r="AQ321" s="55"/>
      <c r="AR321" s="55"/>
      <c r="AS321" s="55"/>
      <c r="AT321" s="55"/>
      <c r="AU321" s="55"/>
      <c r="AV321" s="55"/>
      <c r="AW321" s="55"/>
      <c r="AX321" s="55"/>
      <c r="AY321" s="55"/>
      <c r="AZ321" s="55"/>
      <c r="BA321" s="55"/>
      <c r="BB321" s="55"/>
      <c r="BC321" s="55"/>
      <c r="BD321" s="55"/>
      <c r="BE321" s="55"/>
      <c r="BF321" s="55"/>
      <c r="BG321" s="55"/>
      <c r="BH321" s="55"/>
      <c r="BI321" s="55"/>
      <c r="BJ321" s="55"/>
      <c r="BK321" s="55"/>
      <c r="BL321" s="55"/>
      <c r="BM321" s="55"/>
      <c r="BN321" s="55"/>
      <c r="BO321" s="55"/>
      <c r="BP321" s="55"/>
      <c r="BQ321" s="55"/>
      <c r="BR321" s="55"/>
      <c r="BS321" s="55"/>
    </row>
    <row r="322" spans="3:71" outlineLevel="1" x14ac:dyDescent="0.2">
      <c r="D322" t="s">
        <v>337</v>
      </c>
      <c r="J322" s="26"/>
      <c r="L322" s="49">
        <f>K325</f>
        <v>0</v>
      </c>
      <c r="M322" s="49">
        <f t="shared" ref="M322:BS322" ca="1" si="102">L325</f>
        <v>0</v>
      </c>
      <c r="N322" s="49">
        <f t="shared" ca="1" si="102"/>
        <v>0</v>
      </c>
      <c r="O322" s="49">
        <f t="shared" ca="1" si="102"/>
        <v>0</v>
      </c>
      <c r="P322" s="49">
        <f t="shared" ca="1" si="102"/>
        <v>0</v>
      </c>
      <c r="Q322" s="49">
        <f t="shared" ca="1" si="102"/>
        <v>0</v>
      </c>
      <c r="R322" s="49">
        <f t="shared" ca="1" si="102"/>
        <v>0</v>
      </c>
      <c r="S322" s="49">
        <f t="shared" ca="1" si="102"/>
        <v>0</v>
      </c>
      <c r="T322" s="49">
        <f t="shared" ca="1" si="102"/>
        <v>0</v>
      </c>
      <c r="U322" s="49">
        <f t="shared" ca="1" si="102"/>
        <v>0</v>
      </c>
      <c r="V322" s="49">
        <f t="shared" ca="1" si="102"/>
        <v>0</v>
      </c>
      <c r="W322" s="49">
        <f t="shared" ca="1" si="102"/>
        <v>0</v>
      </c>
      <c r="X322" s="49">
        <f t="shared" ca="1" si="102"/>
        <v>0</v>
      </c>
      <c r="Y322" s="49">
        <f t="shared" ca="1" si="102"/>
        <v>0</v>
      </c>
      <c r="Z322" s="49">
        <f t="shared" ca="1" si="102"/>
        <v>0</v>
      </c>
      <c r="AA322" s="49">
        <f t="shared" ca="1" si="102"/>
        <v>0</v>
      </c>
      <c r="AB322" s="49">
        <f t="shared" ca="1" si="102"/>
        <v>0</v>
      </c>
      <c r="AC322" s="49">
        <f t="shared" ca="1" si="102"/>
        <v>0</v>
      </c>
      <c r="AD322" s="49">
        <f t="shared" ca="1" si="102"/>
        <v>0</v>
      </c>
      <c r="AE322" s="49">
        <f t="shared" ca="1" si="102"/>
        <v>0</v>
      </c>
      <c r="AF322" s="49">
        <f t="shared" ca="1" si="102"/>
        <v>0</v>
      </c>
      <c r="AG322" s="49">
        <f t="shared" ca="1" si="102"/>
        <v>0</v>
      </c>
      <c r="AH322" s="49">
        <f t="shared" ca="1" si="102"/>
        <v>0</v>
      </c>
      <c r="AI322" s="49">
        <f t="shared" ca="1" si="102"/>
        <v>0</v>
      </c>
      <c r="AJ322" s="49">
        <f t="shared" ca="1" si="102"/>
        <v>0</v>
      </c>
      <c r="AK322" s="49">
        <f t="shared" ca="1" si="102"/>
        <v>0</v>
      </c>
      <c r="AL322" s="49">
        <f t="shared" ca="1" si="102"/>
        <v>0</v>
      </c>
      <c r="AM322" s="49">
        <f t="shared" ca="1" si="102"/>
        <v>0</v>
      </c>
      <c r="AN322" s="49">
        <f t="shared" ca="1" si="102"/>
        <v>0</v>
      </c>
      <c r="AO322" s="49">
        <f t="shared" ca="1" si="102"/>
        <v>0</v>
      </c>
      <c r="AP322" s="49">
        <f t="shared" ca="1" si="102"/>
        <v>0</v>
      </c>
      <c r="AQ322" s="49">
        <f t="shared" ca="1" si="102"/>
        <v>0</v>
      </c>
      <c r="AR322" s="49">
        <f t="shared" ca="1" si="102"/>
        <v>0</v>
      </c>
      <c r="AS322" s="49">
        <f t="shared" ca="1" si="102"/>
        <v>0</v>
      </c>
      <c r="AT322" s="49">
        <f t="shared" ca="1" si="102"/>
        <v>0</v>
      </c>
      <c r="AU322" s="49">
        <f t="shared" ca="1" si="102"/>
        <v>0</v>
      </c>
      <c r="AV322" s="49">
        <f t="shared" ca="1" si="102"/>
        <v>0</v>
      </c>
      <c r="AW322" s="49">
        <f t="shared" ca="1" si="102"/>
        <v>0</v>
      </c>
      <c r="AX322" s="49">
        <f t="shared" ca="1" si="102"/>
        <v>0</v>
      </c>
      <c r="AY322" s="49">
        <f t="shared" ca="1" si="102"/>
        <v>0</v>
      </c>
      <c r="AZ322" s="49">
        <f t="shared" ca="1" si="102"/>
        <v>0</v>
      </c>
      <c r="BA322" s="49">
        <f t="shared" ca="1" si="102"/>
        <v>0</v>
      </c>
      <c r="BB322" s="49">
        <f t="shared" ca="1" si="102"/>
        <v>0</v>
      </c>
      <c r="BC322" s="49">
        <f t="shared" ca="1" si="102"/>
        <v>0</v>
      </c>
      <c r="BD322" s="49">
        <f t="shared" ca="1" si="102"/>
        <v>0</v>
      </c>
      <c r="BE322" s="49">
        <f t="shared" ca="1" si="102"/>
        <v>0</v>
      </c>
      <c r="BF322" s="49">
        <f t="shared" ca="1" si="102"/>
        <v>0</v>
      </c>
      <c r="BG322" s="49">
        <f t="shared" ca="1" si="102"/>
        <v>0</v>
      </c>
      <c r="BH322" s="49">
        <f t="shared" ca="1" si="102"/>
        <v>0</v>
      </c>
      <c r="BI322" s="49">
        <f t="shared" ca="1" si="102"/>
        <v>0</v>
      </c>
      <c r="BJ322" s="49">
        <f t="shared" ca="1" si="102"/>
        <v>0</v>
      </c>
      <c r="BK322" s="49">
        <f t="shared" ca="1" si="102"/>
        <v>0</v>
      </c>
      <c r="BL322" s="49">
        <f t="shared" ca="1" si="102"/>
        <v>0</v>
      </c>
      <c r="BM322" s="49">
        <f t="shared" ca="1" si="102"/>
        <v>0</v>
      </c>
      <c r="BN322" s="49">
        <f t="shared" ca="1" si="102"/>
        <v>0</v>
      </c>
      <c r="BO322" s="49">
        <f t="shared" ca="1" si="102"/>
        <v>0</v>
      </c>
      <c r="BP322" s="49">
        <f t="shared" ca="1" si="102"/>
        <v>0</v>
      </c>
      <c r="BQ322" s="49">
        <f t="shared" ca="1" si="102"/>
        <v>0</v>
      </c>
      <c r="BR322" s="49">
        <f t="shared" ca="1" si="102"/>
        <v>0</v>
      </c>
      <c r="BS322" s="49">
        <f t="shared" ca="1" si="102"/>
        <v>0</v>
      </c>
    </row>
    <row r="323" spans="3:71" outlineLevel="1" x14ac:dyDescent="0.2">
      <c r="D323" s="50" t="s">
        <v>348</v>
      </c>
      <c r="I323" s="30">
        <f t="shared" ref="I323:I324" ca="1" si="103">SUM($L323:$BS323)</f>
        <v>0</v>
      </c>
      <c r="J323" s="26" t="s">
        <v>148</v>
      </c>
      <c r="L323" s="49">
        <f ca="1">L316</f>
        <v>0</v>
      </c>
      <c r="M323" s="49">
        <f t="shared" ref="M323:BS323" ca="1" si="104">M316</f>
        <v>0</v>
      </c>
      <c r="N323" s="49">
        <f t="shared" ca="1" si="104"/>
        <v>0</v>
      </c>
      <c r="O323" s="49">
        <f t="shared" ca="1" si="104"/>
        <v>0</v>
      </c>
      <c r="P323" s="49">
        <f t="shared" ca="1" si="104"/>
        <v>0</v>
      </c>
      <c r="Q323" s="49">
        <f t="shared" ca="1" si="104"/>
        <v>0</v>
      </c>
      <c r="R323" s="49">
        <f t="shared" ca="1" si="104"/>
        <v>0</v>
      </c>
      <c r="S323" s="49">
        <f t="shared" ca="1" si="104"/>
        <v>0</v>
      </c>
      <c r="T323" s="49">
        <f t="shared" ca="1" si="104"/>
        <v>0</v>
      </c>
      <c r="U323" s="49">
        <f t="shared" ca="1" si="104"/>
        <v>0</v>
      </c>
      <c r="V323" s="49">
        <f t="shared" ca="1" si="104"/>
        <v>0</v>
      </c>
      <c r="W323" s="49">
        <f t="shared" ca="1" si="104"/>
        <v>0</v>
      </c>
      <c r="X323" s="49">
        <f t="shared" ca="1" si="104"/>
        <v>0</v>
      </c>
      <c r="Y323" s="49">
        <f t="shared" ca="1" si="104"/>
        <v>0</v>
      </c>
      <c r="Z323" s="49">
        <f t="shared" ca="1" si="104"/>
        <v>0</v>
      </c>
      <c r="AA323" s="49">
        <f t="shared" ca="1" si="104"/>
        <v>0</v>
      </c>
      <c r="AB323" s="49">
        <f t="shared" ca="1" si="104"/>
        <v>0</v>
      </c>
      <c r="AC323" s="49">
        <f t="shared" ca="1" si="104"/>
        <v>0</v>
      </c>
      <c r="AD323" s="49">
        <f t="shared" ca="1" si="104"/>
        <v>0</v>
      </c>
      <c r="AE323" s="49">
        <f t="shared" ca="1" si="104"/>
        <v>0</v>
      </c>
      <c r="AF323" s="49">
        <f t="shared" ca="1" si="104"/>
        <v>0</v>
      </c>
      <c r="AG323" s="49">
        <f t="shared" ca="1" si="104"/>
        <v>0</v>
      </c>
      <c r="AH323" s="49">
        <f t="shared" ca="1" si="104"/>
        <v>0</v>
      </c>
      <c r="AI323" s="49">
        <f t="shared" ca="1" si="104"/>
        <v>0</v>
      </c>
      <c r="AJ323" s="49">
        <f t="shared" ca="1" si="104"/>
        <v>0</v>
      </c>
      <c r="AK323" s="49">
        <f t="shared" ca="1" si="104"/>
        <v>0</v>
      </c>
      <c r="AL323" s="49">
        <f t="shared" ca="1" si="104"/>
        <v>0</v>
      </c>
      <c r="AM323" s="49">
        <f t="shared" ca="1" si="104"/>
        <v>0</v>
      </c>
      <c r="AN323" s="49">
        <f t="shared" ca="1" si="104"/>
        <v>0</v>
      </c>
      <c r="AO323" s="49">
        <f t="shared" ca="1" si="104"/>
        <v>0</v>
      </c>
      <c r="AP323" s="49">
        <f t="shared" ca="1" si="104"/>
        <v>0</v>
      </c>
      <c r="AQ323" s="49">
        <f t="shared" ca="1" si="104"/>
        <v>0</v>
      </c>
      <c r="AR323" s="49">
        <f t="shared" ca="1" si="104"/>
        <v>0</v>
      </c>
      <c r="AS323" s="49">
        <f t="shared" ca="1" si="104"/>
        <v>0</v>
      </c>
      <c r="AT323" s="49">
        <f t="shared" ca="1" si="104"/>
        <v>0</v>
      </c>
      <c r="AU323" s="49">
        <f t="shared" ca="1" si="104"/>
        <v>0</v>
      </c>
      <c r="AV323" s="49">
        <f t="shared" ca="1" si="104"/>
        <v>0</v>
      </c>
      <c r="AW323" s="49">
        <f t="shared" ca="1" si="104"/>
        <v>0</v>
      </c>
      <c r="AX323" s="49">
        <f t="shared" ca="1" si="104"/>
        <v>0</v>
      </c>
      <c r="AY323" s="49">
        <f t="shared" ca="1" si="104"/>
        <v>0</v>
      </c>
      <c r="AZ323" s="49">
        <f t="shared" ca="1" si="104"/>
        <v>0</v>
      </c>
      <c r="BA323" s="49">
        <f t="shared" ca="1" si="104"/>
        <v>0</v>
      </c>
      <c r="BB323" s="49">
        <f t="shared" ca="1" si="104"/>
        <v>0</v>
      </c>
      <c r="BC323" s="49">
        <f t="shared" ca="1" si="104"/>
        <v>0</v>
      </c>
      <c r="BD323" s="49">
        <f t="shared" ca="1" si="104"/>
        <v>0</v>
      </c>
      <c r="BE323" s="49">
        <f t="shared" ca="1" si="104"/>
        <v>0</v>
      </c>
      <c r="BF323" s="49">
        <f t="shared" ca="1" si="104"/>
        <v>0</v>
      </c>
      <c r="BG323" s="49">
        <f t="shared" ca="1" si="104"/>
        <v>0</v>
      </c>
      <c r="BH323" s="49">
        <f t="shared" ca="1" si="104"/>
        <v>0</v>
      </c>
      <c r="BI323" s="49">
        <f t="shared" ca="1" si="104"/>
        <v>0</v>
      </c>
      <c r="BJ323" s="49">
        <f t="shared" ca="1" si="104"/>
        <v>0</v>
      </c>
      <c r="BK323" s="49">
        <f t="shared" ca="1" si="104"/>
        <v>0</v>
      </c>
      <c r="BL323" s="49">
        <f t="shared" ca="1" si="104"/>
        <v>0</v>
      </c>
      <c r="BM323" s="49">
        <f t="shared" ca="1" si="104"/>
        <v>0</v>
      </c>
      <c r="BN323" s="49">
        <f t="shared" ca="1" si="104"/>
        <v>0</v>
      </c>
      <c r="BO323" s="49">
        <f t="shared" ca="1" si="104"/>
        <v>0</v>
      </c>
      <c r="BP323" s="49">
        <f t="shared" ca="1" si="104"/>
        <v>0</v>
      </c>
      <c r="BQ323" s="49">
        <f t="shared" ca="1" si="104"/>
        <v>0</v>
      </c>
      <c r="BR323" s="49">
        <f t="shared" ca="1" si="104"/>
        <v>0</v>
      </c>
      <c r="BS323" s="49">
        <f t="shared" ca="1" si="104"/>
        <v>0</v>
      </c>
    </row>
    <row r="324" spans="3:71" outlineLevel="1" x14ac:dyDescent="0.2">
      <c r="D324" s="50" t="s">
        <v>335</v>
      </c>
      <c r="I324" s="30">
        <f t="shared" ca="1" si="103"/>
        <v>0</v>
      </c>
      <c r="J324" s="26" t="s">
        <v>148</v>
      </c>
      <c r="L324" s="49">
        <f ca="1">-MIN(SUM(L322:L323),SUM(L$290,L$295)*Haute_Mer_1994!NOC_rpmt_max_perc)*Haute_Mer_1994!NOC_CI_expex_rpmt</f>
        <v>0</v>
      </c>
      <c r="M324" s="49">
        <f ca="1">-MIN(SUM(M322:M323),SUM(M$290,M$295)*Haute_Mer_1994!NOC_rpmt_max_perc)*Haute_Mer_1994!NOC_CI_expex_rpmt</f>
        <v>0</v>
      </c>
      <c r="N324" s="49">
        <f ca="1">-MIN(SUM(N322:N323),SUM(N$290,N$295)*Haute_Mer_1994!NOC_rpmt_max_perc)*Haute_Mer_1994!NOC_CI_expex_rpmt</f>
        <v>0</v>
      </c>
      <c r="O324" s="49">
        <f ca="1">-MIN(SUM(O322:O323),SUM(O$290,O$295)*Haute_Mer_1994!NOC_rpmt_max_perc)*Haute_Mer_1994!NOC_CI_expex_rpmt</f>
        <v>0</v>
      </c>
      <c r="P324" s="49">
        <f ca="1">-MIN(SUM(P322:P323),SUM(P$290,P$295)*Haute_Mer_1994!NOC_rpmt_max_perc)*Haute_Mer_1994!NOC_CI_expex_rpmt</f>
        <v>0</v>
      </c>
      <c r="Q324" s="49">
        <f ca="1">-MIN(SUM(Q322:Q323),SUM(Q$290,Q$295)*Haute_Mer_1994!NOC_rpmt_max_perc)*Haute_Mer_1994!NOC_CI_expex_rpmt</f>
        <v>0</v>
      </c>
      <c r="R324" s="49">
        <f ca="1">-MIN(SUM(R322:R323),SUM(R$290,R$295)*Haute_Mer_1994!NOC_rpmt_max_perc)*Haute_Mer_1994!NOC_CI_expex_rpmt</f>
        <v>0</v>
      </c>
      <c r="S324" s="49">
        <f ca="1">-MIN(SUM(S322:S323),SUM(S$290,S$295)*Haute_Mer_1994!NOC_rpmt_max_perc)*Haute_Mer_1994!NOC_CI_expex_rpmt</f>
        <v>0</v>
      </c>
      <c r="T324" s="49">
        <f ca="1">-MIN(SUM(T322:T323),SUM(T$290,T$295)*Haute_Mer_1994!NOC_rpmt_max_perc)*Haute_Mer_1994!NOC_CI_expex_rpmt</f>
        <v>0</v>
      </c>
      <c r="U324" s="49">
        <f ca="1">-MIN(SUM(U322:U323),SUM(U$290,U$295)*Haute_Mer_1994!NOC_rpmt_max_perc)*Haute_Mer_1994!NOC_CI_expex_rpmt</f>
        <v>0</v>
      </c>
      <c r="V324" s="49">
        <f ca="1">-MIN(SUM(V322:V323),SUM(V$290,V$295)*Haute_Mer_1994!NOC_rpmt_max_perc)*Haute_Mer_1994!NOC_CI_expex_rpmt</f>
        <v>0</v>
      </c>
      <c r="W324" s="49">
        <f ca="1">-MIN(SUM(W322:W323),SUM(W$290,W$295)*Haute_Mer_1994!NOC_rpmt_max_perc)*Haute_Mer_1994!NOC_CI_expex_rpmt</f>
        <v>0</v>
      </c>
      <c r="X324" s="49">
        <f ca="1">-MIN(SUM(X322:X323),SUM(X$290,X$295)*Haute_Mer_1994!NOC_rpmt_max_perc)*Haute_Mer_1994!NOC_CI_expex_rpmt</f>
        <v>0</v>
      </c>
      <c r="Y324" s="49">
        <f ca="1">-MIN(SUM(Y322:Y323),SUM(Y$290,Y$295)*Haute_Mer_1994!NOC_rpmt_max_perc)*Haute_Mer_1994!NOC_CI_expex_rpmt</f>
        <v>0</v>
      </c>
      <c r="Z324" s="49">
        <f ca="1">-MIN(SUM(Z322:Z323),SUM(Z$290,Z$295)*Haute_Mer_1994!NOC_rpmt_max_perc)*Haute_Mer_1994!NOC_CI_expex_rpmt</f>
        <v>0</v>
      </c>
      <c r="AA324" s="49">
        <f ca="1">-MIN(SUM(AA322:AA323),SUM(AA$290,AA$295)*Haute_Mer_1994!NOC_rpmt_max_perc)*Haute_Mer_1994!NOC_CI_expex_rpmt</f>
        <v>0</v>
      </c>
      <c r="AB324" s="49">
        <f ca="1">-MIN(SUM(AB322:AB323),SUM(AB$290,AB$295)*Haute_Mer_1994!NOC_rpmt_max_perc)*Haute_Mer_1994!NOC_CI_expex_rpmt</f>
        <v>0</v>
      </c>
      <c r="AC324" s="49">
        <f ca="1">-MIN(SUM(AC322:AC323),SUM(AC$290,AC$295)*Haute_Mer_1994!NOC_rpmt_max_perc)*Haute_Mer_1994!NOC_CI_expex_rpmt</f>
        <v>0</v>
      </c>
      <c r="AD324" s="49">
        <f ca="1">-MIN(SUM(AD322:AD323),SUM(AD$290,AD$295)*Haute_Mer_1994!NOC_rpmt_max_perc)*Haute_Mer_1994!NOC_CI_expex_rpmt</f>
        <v>0</v>
      </c>
      <c r="AE324" s="49">
        <f ca="1">-MIN(SUM(AE322:AE323),SUM(AE$290,AE$295)*Haute_Mer_1994!NOC_rpmt_max_perc)*Haute_Mer_1994!NOC_CI_expex_rpmt</f>
        <v>0</v>
      </c>
      <c r="AF324" s="49">
        <f ca="1">-MIN(SUM(AF322:AF323),SUM(AF$290,AF$295)*Haute_Mer_1994!NOC_rpmt_max_perc)*Haute_Mer_1994!NOC_CI_expex_rpmt</f>
        <v>0</v>
      </c>
      <c r="AG324" s="49">
        <f ca="1">-MIN(SUM(AG322:AG323),SUM(AG$290,AG$295)*Haute_Mer_1994!NOC_rpmt_max_perc)*Haute_Mer_1994!NOC_CI_expex_rpmt</f>
        <v>0</v>
      </c>
      <c r="AH324" s="49">
        <f ca="1">-MIN(SUM(AH322:AH323),SUM(AH$290,AH$295)*Haute_Mer_1994!NOC_rpmt_max_perc)*Haute_Mer_1994!NOC_CI_expex_rpmt</f>
        <v>0</v>
      </c>
      <c r="AI324" s="49">
        <f ca="1">-MIN(SUM(AI322:AI323),SUM(AI$290,AI$295)*Haute_Mer_1994!NOC_rpmt_max_perc)*Haute_Mer_1994!NOC_CI_expex_rpmt</f>
        <v>0</v>
      </c>
      <c r="AJ324" s="49">
        <f ca="1">-MIN(SUM(AJ322:AJ323),SUM(AJ$290,AJ$295)*Haute_Mer_1994!NOC_rpmt_max_perc)*Haute_Mer_1994!NOC_CI_expex_rpmt</f>
        <v>0</v>
      </c>
      <c r="AK324" s="49">
        <f ca="1">-MIN(SUM(AK322:AK323),SUM(AK$290,AK$295)*Haute_Mer_1994!NOC_rpmt_max_perc)*Haute_Mer_1994!NOC_CI_expex_rpmt</f>
        <v>0</v>
      </c>
      <c r="AL324" s="49">
        <f ca="1">-MIN(SUM(AL322:AL323),SUM(AL$290,AL$295)*Haute_Mer_1994!NOC_rpmt_max_perc)*Haute_Mer_1994!NOC_CI_expex_rpmt</f>
        <v>0</v>
      </c>
      <c r="AM324" s="49">
        <f ca="1">-MIN(SUM(AM322:AM323),SUM(AM$290,AM$295)*Haute_Mer_1994!NOC_rpmt_max_perc)*Haute_Mer_1994!NOC_CI_expex_rpmt</f>
        <v>0</v>
      </c>
      <c r="AN324" s="49">
        <f ca="1">-MIN(SUM(AN322:AN323),SUM(AN$290,AN$295)*Haute_Mer_1994!NOC_rpmt_max_perc)*Haute_Mer_1994!NOC_CI_expex_rpmt</f>
        <v>0</v>
      </c>
      <c r="AO324" s="49">
        <f ca="1">-MIN(SUM(AO322:AO323),SUM(AO$290,AO$295)*Haute_Mer_1994!NOC_rpmt_max_perc)*Haute_Mer_1994!NOC_CI_expex_rpmt</f>
        <v>0</v>
      </c>
      <c r="AP324" s="49">
        <f ca="1">-MIN(SUM(AP322:AP323),SUM(AP$290,AP$295)*Haute_Mer_1994!NOC_rpmt_max_perc)*Haute_Mer_1994!NOC_CI_expex_rpmt</f>
        <v>0</v>
      </c>
      <c r="AQ324" s="49">
        <f ca="1">-MIN(SUM(AQ322:AQ323),SUM(AQ$290,AQ$295)*Haute_Mer_1994!NOC_rpmt_max_perc)*Haute_Mer_1994!NOC_CI_expex_rpmt</f>
        <v>0</v>
      </c>
      <c r="AR324" s="49">
        <f ca="1">-MIN(SUM(AR322:AR323),SUM(AR$290,AR$295)*Haute_Mer_1994!NOC_rpmt_max_perc)*Haute_Mer_1994!NOC_CI_expex_rpmt</f>
        <v>0</v>
      </c>
      <c r="AS324" s="49">
        <f ca="1">-MIN(SUM(AS322:AS323),SUM(AS$290,AS$295)*Haute_Mer_1994!NOC_rpmt_max_perc)*Haute_Mer_1994!NOC_CI_expex_rpmt</f>
        <v>0</v>
      </c>
      <c r="AT324" s="49">
        <f ca="1">-MIN(SUM(AT322:AT323),SUM(AT$290,AT$295)*Haute_Mer_1994!NOC_rpmt_max_perc)*Haute_Mer_1994!NOC_CI_expex_rpmt</f>
        <v>0</v>
      </c>
      <c r="AU324" s="49">
        <f ca="1">-MIN(SUM(AU322:AU323),SUM(AU$290,AU$295)*Haute_Mer_1994!NOC_rpmt_max_perc)*Haute_Mer_1994!NOC_CI_expex_rpmt</f>
        <v>0</v>
      </c>
      <c r="AV324" s="49">
        <f ca="1">-MIN(SUM(AV322:AV323),SUM(AV$290,AV$295)*Haute_Mer_1994!NOC_rpmt_max_perc)*Haute_Mer_1994!NOC_CI_expex_rpmt</f>
        <v>0</v>
      </c>
      <c r="AW324" s="49">
        <f ca="1">-MIN(SUM(AW322:AW323),SUM(AW$290,AW$295)*Haute_Mer_1994!NOC_rpmt_max_perc)*Haute_Mer_1994!NOC_CI_expex_rpmt</f>
        <v>0</v>
      </c>
      <c r="AX324" s="49">
        <f ca="1">-MIN(SUM(AX322:AX323),SUM(AX$290,AX$295)*Haute_Mer_1994!NOC_rpmt_max_perc)*Haute_Mer_1994!NOC_CI_expex_rpmt</f>
        <v>0</v>
      </c>
      <c r="AY324" s="49">
        <f ca="1">-MIN(SUM(AY322:AY323),SUM(AY$290,AY$295)*Haute_Mer_1994!NOC_rpmt_max_perc)*Haute_Mer_1994!NOC_CI_expex_rpmt</f>
        <v>0</v>
      </c>
      <c r="AZ324" s="49">
        <f ca="1">-MIN(SUM(AZ322:AZ323),SUM(AZ$290,AZ$295)*Haute_Mer_1994!NOC_rpmt_max_perc)*Haute_Mer_1994!NOC_CI_expex_rpmt</f>
        <v>0</v>
      </c>
      <c r="BA324" s="49">
        <f ca="1">-MIN(SUM(BA322:BA323),SUM(BA$290,BA$295)*Haute_Mer_1994!NOC_rpmt_max_perc)*Haute_Mer_1994!NOC_CI_expex_rpmt</f>
        <v>0</v>
      </c>
      <c r="BB324" s="49">
        <f ca="1">-MIN(SUM(BB322:BB323),SUM(BB$290,BB$295)*Haute_Mer_1994!NOC_rpmt_max_perc)*Haute_Mer_1994!NOC_CI_expex_rpmt</f>
        <v>0</v>
      </c>
      <c r="BC324" s="49">
        <f ca="1">-MIN(SUM(BC322:BC323),SUM(BC$290,BC$295)*Haute_Mer_1994!NOC_rpmt_max_perc)*Haute_Mer_1994!NOC_CI_expex_rpmt</f>
        <v>0</v>
      </c>
      <c r="BD324" s="49">
        <f ca="1">-MIN(SUM(BD322:BD323),SUM(BD$290,BD$295)*Haute_Mer_1994!NOC_rpmt_max_perc)*Haute_Mer_1994!NOC_CI_expex_rpmt</f>
        <v>0</v>
      </c>
      <c r="BE324" s="49">
        <f ca="1">-MIN(SUM(BE322:BE323),SUM(BE$290,BE$295)*Haute_Mer_1994!NOC_rpmt_max_perc)*Haute_Mer_1994!NOC_CI_expex_rpmt</f>
        <v>0</v>
      </c>
      <c r="BF324" s="49">
        <f ca="1">-MIN(SUM(BF322:BF323),SUM(BF$290,BF$295)*Haute_Mer_1994!NOC_rpmt_max_perc)*Haute_Mer_1994!NOC_CI_expex_rpmt</f>
        <v>0</v>
      </c>
      <c r="BG324" s="49">
        <f ca="1">-MIN(SUM(BG322:BG323),SUM(BG$290,BG$295)*Haute_Mer_1994!NOC_rpmt_max_perc)*Haute_Mer_1994!NOC_CI_expex_rpmt</f>
        <v>0</v>
      </c>
      <c r="BH324" s="49">
        <f ca="1">-MIN(SUM(BH322:BH323),SUM(BH$290,BH$295)*Haute_Mer_1994!NOC_rpmt_max_perc)*Haute_Mer_1994!NOC_CI_expex_rpmt</f>
        <v>0</v>
      </c>
      <c r="BI324" s="49">
        <f ca="1">-MIN(SUM(BI322:BI323),SUM(BI$290,BI$295)*Haute_Mer_1994!NOC_rpmt_max_perc)*Haute_Mer_1994!NOC_CI_expex_rpmt</f>
        <v>0</v>
      </c>
      <c r="BJ324" s="49">
        <f ca="1">-MIN(SUM(BJ322:BJ323),SUM(BJ$290,BJ$295)*Haute_Mer_1994!NOC_rpmt_max_perc)*Haute_Mer_1994!NOC_CI_expex_rpmt</f>
        <v>0</v>
      </c>
      <c r="BK324" s="49">
        <f ca="1">-MIN(SUM(BK322:BK323),SUM(BK$290,BK$295)*Haute_Mer_1994!NOC_rpmt_max_perc)*Haute_Mer_1994!NOC_CI_expex_rpmt</f>
        <v>0</v>
      </c>
      <c r="BL324" s="49">
        <f ca="1">-MIN(SUM(BL322:BL323),SUM(BL$290,BL$295)*Haute_Mer_1994!NOC_rpmt_max_perc)*Haute_Mer_1994!NOC_CI_expex_rpmt</f>
        <v>0</v>
      </c>
      <c r="BM324" s="49">
        <f ca="1">-MIN(SUM(BM322:BM323),SUM(BM$290,BM$295)*Haute_Mer_1994!NOC_rpmt_max_perc)*Haute_Mer_1994!NOC_CI_expex_rpmt</f>
        <v>0</v>
      </c>
      <c r="BN324" s="49">
        <f ca="1">-MIN(SUM(BN322:BN323),SUM(BN$290,BN$295)*Haute_Mer_1994!NOC_rpmt_max_perc)*Haute_Mer_1994!NOC_CI_expex_rpmt</f>
        <v>0</v>
      </c>
      <c r="BO324" s="49">
        <f ca="1">-MIN(SUM(BO322:BO323),SUM(BO$290,BO$295)*Haute_Mer_1994!NOC_rpmt_max_perc)*Haute_Mer_1994!NOC_CI_expex_rpmt</f>
        <v>0</v>
      </c>
      <c r="BP324" s="49">
        <f ca="1">-MIN(SUM(BP322:BP323),SUM(BP$290,BP$295)*Haute_Mer_1994!NOC_rpmt_max_perc)*Haute_Mer_1994!NOC_CI_expex_rpmt</f>
        <v>0</v>
      </c>
      <c r="BQ324" s="49">
        <f ca="1">-MIN(SUM(BQ322:BQ323),SUM(BQ$290,BQ$295)*Haute_Mer_1994!NOC_rpmt_max_perc)*Haute_Mer_1994!NOC_CI_expex_rpmt</f>
        <v>0</v>
      </c>
      <c r="BR324" s="49">
        <f ca="1">-MIN(SUM(BR322:BR323),SUM(BR$290,BR$295)*Haute_Mer_1994!NOC_rpmt_max_perc)*Haute_Mer_1994!NOC_CI_expex_rpmt</f>
        <v>0</v>
      </c>
      <c r="BS324" s="49">
        <f ca="1">-MIN(SUM(BS322:BS323),SUM(BS$290,BS$295)*Haute_Mer_1994!NOC_rpmt_max_perc)*Haute_Mer_1994!NOC_CI_expex_rpmt</f>
        <v>0</v>
      </c>
    </row>
    <row r="325" spans="3:71" outlineLevel="1" x14ac:dyDescent="0.2">
      <c r="D325" t="s">
        <v>336</v>
      </c>
      <c r="J325" s="26"/>
      <c r="L325" s="49">
        <f ca="1">SUM(L322:L324)</f>
        <v>0</v>
      </c>
      <c r="M325" s="49">
        <f t="shared" ref="M325:BS325" ca="1" si="105">SUM(M322:M324)</f>
        <v>0</v>
      </c>
      <c r="N325" s="49">
        <f t="shared" ca="1" si="105"/>
        <v>0</v>
      </c>
      <c r="O325" s="49">
        <f t="shared" ca="1" si="105"/>
        <v>0</v>
      </c>
      <c r="P325" s="49">
        <f t="shared" ca="1" si="105"/>
        <v>0</v>
      </c>
      <c r="Q325" s="49">
        <f t="shared" ca="1" si="105"/>
        <v>0</v>
      </c>
      <c r="R325" s="49">
        <f t="shared" ca="1" si="105"/>
        <v>0</v>
      </c>
      <c r="S325" s="49">
        <f t="shared" ca="1" si="105"/>
        <v>0</v>
      </c>
      <c r="T325" s="49">
        <f t="shared" ca="1" si="105"/>
        <v>0</v>
      </c>
      <c r="U325" s="49">
        <f t="shared" ca="1" si="105"/>
        <v>0</v>
      </c>
      <c r="V325" s="49">
        <f t="shared" ca="1" si="105"/>
        <v>0</v>
      </c>
      <c r="W325" s="49">
        <f t="shared" ca="1" si="105"/>
        <v>0</v>
      </c>
      <c r="X325" s="49">
        <f t="shared" ca="1" si="105"/>
        <v>0</v>
      </c>
      <c r="Y325" s="49">
        <f t="shared" ca="1" si="105"/>
        <v>0</v>
      </c>
      <c r="Z325" s="49">
        <f t="shared" ca="1" si="105"/>
        <v>0</v>
      </c>
      <c r="AA325" s="49">
        <f t="shared" ca="1" si="105"/>
        <v>0</v>
      </c>
      <c r="AB325" s="49">
        <f t="shared" ca="1" si="105"/>
        <v>0</v>
      </c>
      <c r="AC325" s="49">
        <f t="shared" ca="1" si="105"/>
        <v>0</v>
      </c>
      <c r="AD325" s="49">
        <f t="shared" ca="1" si="105"/>
        <v>0</v>
      </c>
      <c r="AE325" s="49">
        <f t="shared" ca="1" si="105"/>
        <v>0</v>
      </c>
      <c r="AF325" s="49">
        <f t="shared" ca="1" si="105"/>
        <v>0</v>
      </c>
      <c r="AG325" s="49">
        <f t="shared" ca="1" si="105"/>
        <v>0</v>
      </c>
      <c r="AH325" s="49">
        <f t="shared" ca="1" si="105"/>
        <v>0</v>
      </c>
      <c r="AI325" s="49">
        <f t="shared" ca="1" si="105"/>
        <v>0</v>
      </c>
      <c r="AJ325" s="49">
        <f t="shared" ca="1" si="105"/>
        <v>0</v>
      </c>
      <c r="AK325" s="49">
        <f t="shared" ca="1" si="105"/>
        <v>0</v>
      </c>
      <c r="AL325" s="49">
        <f t="shared" ca="1" si="105"/>
        <v>0</v>
      </c>
      <c r="AM325" s="49">
        <f t="shared" ca="1" si="105"/>
        <v>0</v>
      </c>
      <c r="AN325" s="49">
        <f t="shared" ca="1" si="105"/>
        <v>0</v>
      </c>
      <c r="AO325" s="49">
        <f t="shared" ca="1" si="105"/>
        <v>0</v>
      </c>
      <c r="AP325" s="49">
        <f t="shared" ca="1" si="105"/>
        <v>0</v>
      </c>
      <c r="AQ325" s="49">
        <f t="shared" ca="1" si="105"/>
        <v>0</v>
      </c>
      <c r="AR325" s="49">
        <f t="shared" ca="1" si="105"/>
        <v>0</v>
      </c>
      <c r="AS325" s="49">
        <f t="shared" ca="1" si="105"/>
        <v>0</v>
      </c>
      <c r="AT325" s="49">
        <f t="shared" ca="1" si="105"/>
        <v>0</v>
      </c>
      <c r="AU325" s="49">
        <f t="shared" ca="1" si="105"/>
        <v>0</v>
      </c>
      <c r="AV325" s="49">
        <f t="shared" ca="1" si="105"/>
        <v>0</v>
      </c>
      <c r="AW325" s="49">
        <f t="shared" ca="1" si="105"/>
        <v>0</v>
      </c>
      <c r="AX325" s="49">
        <f t="shared" ca="1" si="105"/>
        <v>0</v>
      </c>
      <c r="AY325" s="49">
        <f t="shared" ca="1" si="105"/>
        <v>0</v>
      </c>
      <c r="AZ325" s="49">
        <f t="shared" ca="1" si="105"/>
        <v>0</v>
      </c>
      <c r="BA325" s="49">
        <f t="shared" ca="1" si="105"/>
        <v>0</v>
      </c>
      <c r="BB325" s="49">
        <f t="shared" ca="1" si="105"/>
        <v>0</v>
      </c>
      <c r="BC325" s="49">
        <f t="shared" ca="1" si="105"/>
        <v>0</v>
      </c>
      <c r="BD325" s="49">
        <f t="shared" ca="1" si="105"/>
        <v>0</v>
      </c>
      <c r="BE325" s="49">
        <f t="shared" ca="1" si="105"/>
        <v>0</v>
      </c>
      <c r="BF325" s="49">
        <f t="shared" ca="1" si="105"/>
        <v>0</v>
      </c>
      <c r="BG325" s="49">
        <f t="shared" ca="1" si="105"/>
        <v>0</v>
      </c>
      <c r="BH325" s="49">
        <f t="shared" ca="1" si="105"/>
        <v>0</v>
      </c>
      <c r="BI325" s="49">
        <f t="shared" ca="1" si="105"/>
        <v>0</v>
      </c>
      <c r="BJ325" s="49">
        <f t="shared" ca="1" si="105"/>
        <v>0</v>
      </c>
      <c r="BK325" s="49">
        <f t="shared" ca="1" si="105"/>
        <v>0</v>
      </c>
      <c r="BL325" s="49">
        <f t="shared" ca="1" si="105"/>
        <v>0</v>
      </c>
      <c r="BM325" s="49">
        <f t="shared" ca="1" si="105"/>
        <v>0</v>
      </c>
      <c r="BN325" s="49">
        <f t="shared" ca="1" si="105"/>
        <v>0</v>
      </c>
      <c r="BO325" s="49">
        <f t="shared" ca="1" si="105"/>
        <v>0</v>
      </c>
      <c r="BP325" s="49">
        <f t="shared" ca="1" si="105"/>
        <v>0</v>
      </c>
      <c r="BQ325" s="49">
        <f t="shared" ca="1" si="105"/>
        <v>0</v>
      </c>
      <c r="BR325" s="49">
        <f t="shared" ca="1" si="105"/>
        <v>0</v>
      </c>
      <c r="BS325" s="49">
        <f t="shared" ca="1" si="105"/>
        <v>0</v>
      </c>
    </row>
    <row r="326" spans="3:71" outlineLevel="1" x14ac:dyDescent="0.2">
      <c r="J326" s="26"/>
      <c r="L326" s="55"/>
      <c r="M326" s="55"/>
      <c r="N326" s="55"/>
      <c r="O326" s="55"/>
      <c r="P326" s="55"/>
      <c r="Q326" s="55"/>
      <c r="R326" s="55"/>
      <c r="S326" s="55"/>
      <c r="T326" s="55"/>
      <c r="U326" s="55"/>
      <c r="V326" s="55"/>
      <c r="W326" s="55"/>
      <c r="X326" s="55"/>
      <c r="Y326" s="55"/>
      <c r="Z326" s="55"/>
      <c r="AA326" s="55"/>
      <c r="AB326" s="55"/>
      <c r="AC326" s="55"/>
      <c r="AD326" s="55"/>
      <c r="AE326" s="55"/>
      <c r="AF326" s="55"/>
      <c r="AG326" s="55"/>
      <c r="AH326" s="55"/>
      <c r="AI326" s="55"/>
      <c r="AJ326" s="55"/>
      <c r="AK326" s="55"/>
      <c r="AL326" s="55"/>
      <c r="AM326" s="55"/>
      <c r="AN326" s="55"/>
      <c r="AO326" s="55"/>
      <c r="AP326" s="55"/>
      <c r="AQ326" s="55"/>
      <c r="AR326" s="55"/>
      <c r="AS326" s="55"/>
      <c r="AT326" s="55"/>
      <c r="AU326" s="55"/>
      <c r="AV326" s="55"/>
      <c r="AW326" s="55"/>
      <c r="AX326" s="55"/>
      <c r="AY326" s="55"/>
      <c r="AZ326" s="55"/>
      <c r="BA326" s="55"/>
      <c r="BB326" s="55"/>
      <c r="BC326" s="55"/>
      <c r="BD326" s="55"/>
      <c r="BE326" s="55"/>
      <c r="BF326" s="55"/>
      <c r="BG326" s="55"/>
      <c r="BH326" s="55"/>
      <c r="BI326" s="55"/>
      <c r="BJ326" s="55"/>
      <c r="BK326" s="55"/>
      <c r="BL326" s="55"/>
      <c r="BM326" s="55"/>
      <c r="BN326" s="55"/>
      <c r="BO326" s="55"/>
      <c r="BP326" s="55"/>
      <c r="BQ326" s="55"/>
      <c r="BR326" s="55"/>
      <c r="BS326" s="55"/>
    </row>
    <row r="327" spans="3:71" outlineLevel="1" x14ac:dyDescent="0.2">
      <c r="C327" s="11" t="s">
        <v>346</v>
      </c>
      <c r="J327" s="26"/>
      <c r="L327" s="55"/>
      <c r="M327" s="55"/>
      <c r="N327" s="55"/>
      <c r="O327" s="55"/>
      <c r="P327" s="55"/>
      <c r="Q327" s="55"/>
      <c r="R327" s="55"/>
      <c r="S327" s="55"/>
      <c r="T327" s="55"/>
      <c r="U327" s="55"/>
      <c r="V327" s="55"/>
      <c r="W327" s="55"/>
      <c r="X327" s="55"/>
      <c r="Y327" s="55"/>
      <c r="Z327" s="55"/>
      <c r="AA327" s="55"/>
      <c r="AB327" s="55"/>
      <c r="AC327" s="55"/>
      <c r="AD327" s="55"/>
      <c r="AE327" s="55"/>
      <c r="AF327" s="55"/>
      <c r="AG327" s="55"/>
      <c r="AH327" s="55"/>
      <c r="AI327" s="55"/>
      <c r="AJ327" s="55"/>
      <c r="AK327" s="55"/>
      <c r="AL327" s="55"/>
      <c r="AM327" s="55"/>
      <c r="AN327" s="55"/>
      <c r="AO327" s="55"/>
      <c r="AP327" s="55"/>
      <c r="AQ327" s="55"/>
      <c r="AR327" s="55"/>
      <c r="AS327" s="55"/>
      <c r="AT327" s="55"/>
      <c r="AU327" s="55"/>
      <c r="AV327" s="55"/>
      <c r="AW327" s="55"/>
      <c r="AX327" s="55"/>
      <c r="AY327" s="55"/>
      <c r="AZ327" s="55"/>
      <c r="BA327" s="55"/>
      <c r="BB327" s="55"/>
      <c r="BC327" s="55"/>
      <c r="BD327" s="55"/>
      <c r="BE327" s="55"/>
      <c r="BF327" s="55"/>
      <c r="BG327" s="55"/>
      <c r="BH327" s="55"/>
      <c r="BI327" s="55"/>
      <c r="BJ327" s="55"/>
      <c r="BK327" s="55"/>
      <c r="BL327" s="55"/>
      <c r="BM327" s="55"/>
      <c r="BN327" s="55"/>
      <c r="BO327" s="55"/>
      <c r="BP327" s="55"/>
      <c r="BQ327" s="55"/>
      <c r="BR327" s="55"/>
      <c r="BS327" s="55"/>
    </row>
    <row r="328" spans="3:71" outlineLevel="1" x14ac:dyDescent="0.2">
      <c r="D328" t="s">
        <v>337</v>
      </c>
      <c r="J328" s="26"/>
      <c r="L328" s="49">
        <f>K331</f>
        <v>0</v>
      </c>
      <c r="M328" s="49">
        <f t="shared" ref="M328:BS328" ca="1" si="106">L331</f>
        <v>135.44580320237682</v>
      </c>
      <c r="N328" s="49">
        <f t="shared" ca="1" si="106"/>
        <v>398.41738783252839</v>
      </c>
      <c r="O328" s="49">
        <f t="shared" ca="1" si="106"/>
        <v>845.7469738275114</v>
      </c>
      <c r="P328" s="49">
        <f t="shared" ca="1" si="106"/>
        <v>1210.3040370064041</v>
      </c>
      <c r="Q328" s="49">
        <f t="shared" ca="1" si="106"/>
        <v>1326.0076777735994</v>
      </c>
      <c r="R328" s="49">
        <f t="shared" ca="1" si="106"/>
        <v>1313.1932974216543</v>
      </c>
      <c r="S328" s="49">
        <f t="shared" ca="1" si="106"/>
        <v>1206.7052732849629</v>
      </c>
      <c r="T328" s="49">
        <f t="shared" ca="1" si="106"/>
        <v>1142.1806381689923</v>
      </c>
      <c r="U328" s="49">
        <f t="shared" ca="1" si="106"/>
        <v>1048.1676842408347</v>
      </c>
      <c r="V328" s="49">
        <f t="shared" ca="1" si="106"/>
        <v>954.8185924754174</v>
      </c>
      <c r="W328" s="49">
        <f t="shared" ca="1" si="106"/>
        <v>866.26764402674257</v>
      </c>
      <c r="X328" s="49">
        <f t="shared" ca="1" si="106"/>
        <v>782.03807890449832</v>
      </c>
      <c r="Y328" s="49">
        <f t="shared" ca="1" si="106"/>
        <v>702.35621989258379</v>
      </c>
      <c r="Z328" s="49">
        <f t="shared" ca="1" si="106"/>
        <v>702.35621989258379</v>
      </c>
      <c r="AA328" s="49">
        <f t="shared" ca="1" si="106"/>
        <v>702.35621989258379</v>
      </c>
      <c r="AB328" s="49">
        <f t="shared" ca="1" si="106"/>
        <v>702.35621989258379</v>
      </c>
      <c r="AC328" s="49">
        <f t="shared" ca="1" si="106"/>
        <v>702.35621989258379</v>
      </c>
      <c r="AD328" s="49">
        <f t="shared" ca="1" si="106"/>
        <v>702.35621989258379</v>
      </c>
      <c r="AE328" s="49">
        <f t="shared" ca="1" si="106"/>
        <v>702.35621989258379</v>
      </c>
      <c r="AF328" s="49">
        <f t="shared" ca="1" si="106"/>
        <v>702.35621989258379</v>
      </c>
      <c r="AG328" s="49">
        <f t="shared" ca="1" si="106"/>
        <v>702.35621989258379</v>
      </c>
      <c r="AH328" s="49">
        <f t="shared" ca="1" si="106"/>
        <v>702.35621989258379</v>
      </c>
      <c r="AI328" s="49">
        <f t="shared" ca="1" si="106"/>
        <v>702.35621989258379</v>
      </c>
      <c r="AJ328" s="49">
        <f t="shared" ca="1" si="106"/>
        <v>702.35621989258379</v>
      </c>
      <c r="AK328" s="49">
        <f t="shared" ca="1" si="106"/>
        <v>702.35621989258379</v>
      </c>
      <c r="AL328" s="49">
        <f t="shared" ca="1" si="106"/>
        <v>702.35621989258379</v>
      </c>
      <c r="AM328" s="49">
        <f t="shared" ca="1" si="106"/>
        <v>702.35621989258379</v>
      </c>
      <c r="AN328" s="49">
        <f t="shared" ca="1" si="106"/>
        <v>702.35621989258379</v>
      </c>
      <c r="AO328" s="49">
        <f t="shared" ca="1" si="106"/>
        <v>702.35621989258379</v>
      </c>
      <c r="AP328" s="49">
        <f t="shared" ca="1" si="106"/>
        <v>702.35621989258379</v>
      </c>
      <c r="AQ328" s="49">
        <f t="shared" ca="1" si="106"/>
        <v>702.35621989258379</v>
      </c>
      <c r="AR328" s="49">
        <f t="shared" ca="1" si="106"/>
        <v>702.35621989258379</v>
      </c>
      <c r="AS328" s="49">
        <f t="shared" ca="1" si="106"/>
        <v>702.35621989258379</v>
      </c>
      <c r="AT328" s="49">
        <f t="shared" ca="1" si="106"/>
        <v>702.35621989258379</v>
      </c>
      <c r="AU328" s="49">
        <f t="shared" ca="1" si="106"/>
        <v>702.35621989258379</v>
      </c>
      <c r="AV328" s="49">
        <f t="shared" ca="1" si="106"/>
        <v>702.35621989258379</v>
      </c>
      <c r="AW328" s="49">
        <f t="shared" ca="1" si="106"/>
        <v>702.35621989258379</v>
      </c>
      <c r="AX328" s="49">
        <f t="shared" ca="1" si="106"/>
        <v>702.35621989258379</v>
      </c>
      <c r="AY328" s="49">
        <f t="shared" ca="1" si="106"/>
        <v>702.35621989258379</v>
      </c>
      <c r="AZ328" s="49">
        <f t="shared" ca="1" si="106"/>
        <v>702.35621989258379</v>
      </c>
      <c r="BA328" s="49">
        <f t="shared" ca="1" si="106"/>
        <v>702.35621989258379</v>
      </c>
      <c r="BB328" s="49">
        <f t="shared" ca="1" si="106"/>
        <v>702.35621989258379</v>
      </c>
      <c r="BC328" s="49">
        <f t="shared" ca="1" si="106"/>
        <v>702.35621989258379</v>
      </c>
      <c r="BD328" s="49">
        <f t="shared" ca="1" si="106"/>
        <v>702.35621989258379</v>
      </c>
      <c r="BE328" s="49">
        <f t="shared" ca="1" si="106"/>
        <v>702.35621989258379</v>
      </c>
      <c r="BF328" s="49">
        <f t="shared" ca="1" si="106"/>
        <v>702.35621989258379</v>
      </c>
      <c r="BG328" s="49">
        <f t="shared" ca="1" si="106"/>
        <v>702.35621989258379</v>
      </c>
      <c r="BH328" s="49">
        <f t="shared" ca="1" si="106"/>
        <v>702.35621989258379</v>
      </c>
      <c r="BI328" s="49">
        <f t="shared" ca="1" si="106"/>
        <v>702.35621989258379</v>
      </c>
      <c r="BJ328" s="49">
        <f t="shared" ca="1" si="106"/>
        <v>702.35621989258379</v>
      </c>
      <c r="BK328" s="49">
        <f t="shared" ca="1" si="106"/>
        <v>702.35621989258379</v>
      </c>
      <c r="BL328" s="49">
        <f t="shared" ca="1" si="106"/>
        <v>702.35621989258379</v>
      </c>
      <c r="BM328" s="49">
        <f t="shared" ca="1" si="106"/>
        <v>702.35621989258379</v>
      </c>
      <c r="BN328" s="49">
        <f t="shared" ca="1" si="106"/>
        <v>702.35621989258379</v>
      </c>
      <c r="BO328" s="49">
        <f t="shared" ca="1" si="106"/>
        <v>702.35621989258379</v>
      </c>
      <c r="BP328" s="49">
        <f t="shared" ca="1" si="106"/>
        <v>702.35621989258379</v>
      </c>
      <c r="BQ328" s="49">
        <f t="shared" ca="1" si="106"/>
        <v>702.35621989258379</v>
      </c>
      <c r="BR328" s="49">
        <f t="shared" ca="1" si="106"/>
        <v>702.35621989258379</v>
      </c>
      <c r="BS328" s="49">
        <f t="shared" ca="1" si="106"/>
        <v>702.35621989258379</v>
      </c>
    </row>
    <row r="329" spans="3:71" outlineLevel="1" x14ac:dyDescent="0.2">
      <c r="D329" s="50" t="s">
        <v>348</v>
      </c>
      <c r="I329" s="30">
        <f t="shared" ref="I329:I330" ca="1" si="107">SUM($L329:$BS329)</f>
        <v>1637.03865</v>
      </c>
      <c r="J329" s="26" t="s">
        <v>148</v>
      </c>
      <c r="L329" s="49">
        <f ca="1">L317</f>
        <v>193.01729999999998</v>
      </c>
      <c r="M329" s="49">
        <f t="shared" ref="M329:BS329" ca="1" si="108">M317</f>
        <v>317.73179999999996</v>
      </c>
      <c r="N329" s="49">
        <f t="shared" ca="1" si="108"/>
        <v>469.58609999999999</v>
      </c>
      <c r="O329" s="49">
        <f t="shared" ca="1" si="108"/>
        <v>385.68014999999997</v>
      </c>
      <c r="P329" s="49">
        <f t="shared" ca="1" si="108"/>
        <v>172.98479999999998</v>
      </c>
      <c r="Q329" s="49">
        <f t="shared" ca="1" si="108"/>
        <v>98.038499999999999</v>
      </c>
      <c r="R329" s="49">
        <f t="shared" ca="1" si="108"/>
        <v>0</v>
      </c>
      <c r="S329" s="49">
        <f t="shared" ca="1" si="108"/>
        <v>0</v>
      </c>
      <c r="T329" s="49">
        <f t="shared" ca="1" si="108"/>
        <v>0</v>
      </c>
      <c r="U329" s="49">
        <f t="shared" ca="1" si="108"/>
        <v>0</v>
      </c>
      <c r="V329" s="49">
        <f t="shared" ca="1" si="108"/>
        <v>0</v>
      </c>
      <c r="W329" s="49">
        <f t="shared" ca="1" si="108"/>
        <v>0</v>
      </c>
      <c r="X329" s="49">
        <f t="shared" ca="1" si="108"/>
        <v>0</v>
      </c>
      <c r="Y329" s="49">
        <f t="shared" ca="1" si="108"/>
        <v>0</v>
      </c>
      <c r="Z329" s="49">
        <f t="shared" ca="1" si="108"/>
        <v>0</v>
      </c>
      <c r="AA329" s="49">
        <f t="shared" ca="1" si="108"/>
        <v>0</v>
      </c>
      <c r="AB329" s="49">
        <f t="shared" ca="1" si="108"/>
        <v>0</v>
      </c>
      <c r="AC329" s="49">
        <f t="shared" ca="1" si="108"/>
        <v>0</v>
      </c>
      <c r="AD329" s="49">
        <f t="shared" ca="1" si="108"/>
        <v>0</v>
      </c>
      <c r="AE329" s="49">
        <f t="shared" ca="1" si="108"/>
        <v>0</v>
      </c>
      <c r="AF329" s="49">
        <f t="shared" ca="1" si="108"/>
        <v>0</v>
      </c>
      <c r="AG329" s="49">
        <f t="shared" ca="1" si="108"/>
        <v>0</v>
      </c>
      <c r="AH329" s="49">
        <f t="shared" ca="1" si="108"/>
        <v>0</v>
      </c>
      <c r="AI329" s="49">
        <f t="shared" ca="1" si="108"/>
        <v>0</v>
      </c>
      <c r="AJ329" s="49">
        <f t="shared" ca="1" si="108"/>
        <v>0</v>
      </c>
      <c r="AK329" s="49">
        <f t="shared" ca="1" si="108"/>
        <v>0</v>
      </c>
      <c r="AL329" s="49">
        <f t="shared" ca="1" si="108"/>
        <v>0</v>
      </c>
      <c r="AM329" s="49">
        <f t="shared" ca="1" si="108"/>
        <v>0</v>
      </c>
      <c r="AN329" s="49">
        <f t="shared" ca="1" si="108"/>
        <v>0</v>
      </c>
      <c r="AO329" s="49">
        <f t="shared" ca="1" si="108"/>
        <v>0</v>
      </c>
      <c r="AP329" s="49">
        <f t="shared" ca="1" si="108"/>
        <v>0</v>
      </c>
      <c r="AQ329" s="49">
        <f t="shared" ca="1" si="108"/>
        <v>0</v>
      </c>
      <c r="AR329" s="49">
        <f t="shared" ca="1" si="108"/>
        <v>0</v>
      </c>
      <c r="AS329" s="49">
        <f t="shared" ca="1" si="108"/>
        <v>0</v>
      </c>
      <c r="AT329" s="49">
        <f t="shared" ca="1" si="108"/>
        <v>0</v>
      </c>
      <c r="AU329" s="49">
        <f t="shared" ca="1" si="108"/>
        <v>0</v>
      </c>
      <c r="AV329" s="49">
        <f t="shared" ca="1" si="108"/>
        <v>0</v>
      </c>
      <c r="AW329" s="49">
        <f t="shared" ca="1" si="108"/>
        <v>0</v>
      </c>
      <c r="AX329" s="49">
        <f t="shared" ca="1" si="108"/>
        <v>0</v>
      </c>
      <c r="AY329" s="49">
        <f t="shared" ca="1" si="108"/>
        <v>0</v>
      </c>
      <c r="AZ329" s="49">
        <f t="shared" ca="1" si="108"/>
        <v>0</v>
      </c>
      <c r="BA329" s="49">
        <f t="shared" ca="1" si="108"/>
        <v>0</v>
      </c>
      <c r="BB329" s="49">
        <f t="shared" ca="1" si="108"/>
        <v>0</v>
      </c>
      <c r="BC329" s="49">
        <f t="shared" ca="1" si="108"/>
        <v>0</v>
      </c>
      <c r="BD329" s="49">
        <f t="shared" ca="1" si="108"/>
        <v>0</v>
      </c>
      <c r="BE329" s="49">
        <f t="shared" ca="1" si="108"/>
        <v>0</v>
      </c>
      <c r="BF329" s="49">
        <f t="shared" ca="1" si="108"/>
        <v>0</v>
      </c>
      <c r="BG329" s="49">
        <f t="shared" ca="1" si="108"/>
        <v>0</v>
      </c>
      <c r="BH329" s="49">
        <f t="shared" ca="1" si="108"/>
        <v>0</v>
      </c>
      <c r="BI329" s="49">
        <f t="shared" ca="1" si="108"/>
        <v>0</v>
      </c>
      <c r="BJ329" s="49">
        <f t="shared" ca="1" si="108"/>
        <v>0</v>
      </c>
      <c r="BK329" s="49">
        <f t="shared" ca="1" si="108"/>
        <v>0</v>
      </c>
      <c r="BL329" s="49">
        <f t="shared" ca="1" si="108"/>
        <v>0</v>
      </c>
      <c r="BM329" s="49">
        <f t="shared" ca="1" si="108"/>
        <v>0</v>
      </c>
      <c r="BN329" s="49">
        <f t="shared" ca="1" si="108"/>
        <v>0</v>
      </c>
      <c r="BO329" s="49">
        <f t="shared" ca="1" si="108"/>
        <v>0</v>
      </c>
      <c r="BP329" s="49">
        <f t="shared" ca="1" si="108"/>
        <v>0</v>
      </c>
      <c r="BQ329" s="49">
        <f t="shared" ca="1" si="108"/>
        <v>0</v>
      </c>
      <c r="BR329" s="49">
        <f t="shared" ca="1" si="108"/>
        <v>0</v>
      </c>
      <c r="BS329" s="49">
        <f t="shared" ca="1" si="108"/>
        <v>0</v>
      </c>
    </row>
    <row r="330" spans="3:71" outlineLevel="1" x14ac:dyDescent="0.2">
      <c r="D330" s="50" t="s">
        <v>335</v>
      </c>
      <c r="I330" s="30">
        <f t="shared" ca="1" si="107"/>
        <v>-934.68243010741617</v>
      </c>
      <c r="J330" s="26" t="s">
        <v>148</v>
      </c>
      <c r="L330" s="49">
        <f ca="1">-MIN(SUM(L328:L329),SUM(L$290,L$295)*Haute_Mer_1994!NOC_rpmt_max_perc)*Haute_Mer_1994!NOC_CI_devex_rpmt</f>
        <v>-57.571496797623155</v>
      </c>
      <c r="M330" s="49">
        <f ca="1">-MIN(SUM(M328:M329),SUM(M$290,M$295)*Haute_Mer_1994!NOC_rpmt_max_perc)*Haute_Mer_1994!NOC_CI_devex_rpmt</f>
        <v>-54.760215369848353</v>
      </c>
      <c r="N330" s="49">
        <f ca="1">-MIN(SUM(N328:N329),SUM(N$290,N$295)*Haute_Mer_1994!NOC_rpmt_max_perc)*Haute_Mer_1994!NOC_CI_devex_rpmt</f>
        <v>-22.256514005017031</v>
      </c>
      <c r="O330" s="49">
        <f ca="1">-MIN(SUM(O328:O329),SUM(O$290,O$295)*Haute_Mer_1994!NOC_rpmt_max_perc)*Haute_Mer_1994!NOC_CI_devex_rpmt</f>
        <v>-21.123086821107403</v>
      </c>
      <c r="P330" s="49">
        <f ca="1">-MIN(SUM(P328:P329),SUM(P$290,P$295)*Haute_Mer_1994!NOC_rpmt_max_perc)*Haute_Mer_1994!NOC_CI_devex_rpmt</f>
        <v>-57.281159232804534</v>
      </c>
      <c r="Q330" s="49">
        <f ca="1">-MIN(SUM(Q328:Q329),SUM(Q$290,Q$295)*Haute_Mer_1994!NOC_rpmt_max_perc)*Haute_Mer_1994!NOC_CI_devex_rpmt</f>
        <v>-110.85288035194517</v>
      </c>
      <c r="R330" s="49">
        <f ca="1">-MIN(SUM(R328:R329),SUM(R$290,R$295)*Haute_Mer_1994!NOC_rpmt_max_perc)*Haute_Mer_1994!NOC_CI_devex_rpmt</f>
        <v>-106.48802413669142</v>
      </c>
      <c r="S330" s="49">
        <f ca="1">-MIN(SUM(S328:S329),SUM(S$290,S$295)*Haute_Mer_1994!NOC_rpmt_max_perc)*Haute_Mer_1994!NOC_CI_devex_rpmt</f>
        <v>-64.524635115970511</v>
      </c>
      <c r="T330" s="49">
        <f ca="1">-MIN(SUM(T328:T329),SUM(T$290,T$295)*Haute_Mer_1994!NOC_rpmt_max_perc)*Haute_Mer_1994!NOC_CI_devex_rpmt</f>
        <v>-94.012953928157714</v>
      </c>
      <c r="U330" s="49">
        <f ca="1">-MIN(SUM(U328:U329),SUM(U$290,U$295)*Haute_Mer_1994!NOC_rpmt_max_perc)*Haute_Mer_1994!NOC_CI_devex_rpmt</f>
        <v>-93.349091765417285</v>
      </c>
      <c r="V330" s="49">
        <f ca="1">-MIN(SUM(V328:V329),SUM(V$290,V$295)*Haute_Mer_1994!NOC_rpmt_max_perc)*Haute_Mer_1994!NOC_CI_devex_rpmt</f>
        <v>-88.550948448674831</v>
      </c>
      <c r="W330" s="49">
        <f ca="1">-MIN(SUM(W328:W329),SUM(W$290,W$295)*Haute_Mer_1994!NOC_rpmt_max_perc)*Haute_Mer_1994!NOC_CI_devex_rpmt</f>
        <v>-84.22956512224421</v>
      </c>
      <c r="X330" s="49">
        <f ca="1">-MIN(SUM(X328:X329),SUM(X$290,X$295)*Haute_Mer_1994!NOC_rpmt_max_perc)*Haute_Mer_1994!NOC_CI_devex_rpmt</f>
        <v>-79.681859011914511</v>
      </c>
      <c r="Y330" s="49">
        <f ca="1">-MIN(SUM(Y328:Y329),SUM(Y$290,Y$295)*Haute_Mer_1994!NOC_rpmt_max_perc)*Haute_Mer_1994!NOC_CI_devex_rpmt</f>
        <v>0</v>
      </c>
      <c r="Z330" s="49">
        <f ca="1">-MIN(SUM(Z328:Z329),SUM(Z$290,Z$295)*Haute_Mer_1994!NOC_rpmt_max_perc)*Haute_Mer_1994!NOC_CI_devex_rpmt</f>
        <v>0</v>
      </c>
      <c r="AA330" s="49">
        <f ca="1">-MIN(SUM(AA328:AA329),SUM(AA$290,AA$295)*Haute_Mer_1994!NOC_rpmt_max_perc)*Haute_Mer_1994!NOC_CI_devex_rpmt</f>
        <v>0</v>
      </c>
      <c r="AB330" s="49">
        <f ca="1">-MIN(SUM(AB328:AB329),SUM(AB$290,AB$295)*Haute_Mer_1994!NOC_rpmt_max_perc)*Haute_Mer_1994!NOC_CI_devex_rpmt</f>
        <v>0</v>
      </c>
      <c r="AC330" s="49">
        <f ca="1">-MIN(SUM(AC328:AC329),SUM(AC$290,AC$295)*Haute_Mer_1994!NOC_rpmt_max_perc)*Haute_Mer_1994!NOC_CI_devex_rpmt</f>
        <v>0</v>
      </c>
      <c r="AD330" s="49">
        <f ca="1">-MIN(SUM(AD328:AD329),SUM(AD$290,AD$295)*Haute_Mer_1994!NOC_rpmt_max_perc)*Haute_Mer_1994!NOC_CI_devex_rpmt</f>
        <v>0</v>
      </c>
      <c r="AE330" s="49">
        <f ca="1">-MIN(SUM(AE328:AE329),SUM(AE$290,AE$295)*Haute_Mer_1994!NOC_rpmt_max_perc)*Haute_Mer_1994!NOC_CI_devex_rpmt</f>
        <v>0</v>
      </c>
      <c r="AF330" s="49">
        <f ca="1">-MIN(SUM(AF328:AF329),SUM(AF$290,AF$295)*Haute_Mer_1994!NOC_rpmt_max_perc)*Haute_Mer_1994!NOC_CI_devex_rpmt</f>
        <v>0</v>
      </c>
      <c r="AG330" s="49">
        <f ca="1">-MIN(SUM(AG328:AG329),SUM(AG$290,AG$295)*Haute_Mer_1994!NOC_rpmt_max_perc)*Haute_Mer_1994!NOC_CI_devex_rpmt</f>
        <v>0</v>
      </c>
      <c r="AH330" s="49">
        <f ca="1">-MIN(SUM(AH328:AH329),SUM(AH$290,AH$295)*Haute_Mer_1994!NOC_rpmt_max_perc)*Haute_Mer_1994!NOC_CI_devex_rpmt</f>
        <v>0</v>
      </c>
      <c r="AI330" s="49">
        <f ca="1">-MIN(SUM(AI328:AI329),SUM(AI$290,AI$295)*Haute_Mer_1994!NOC_rpmt_max_perc)*Haute_Mer_1994!NOC_CI_devex_rpmt</f>
        <v>0</v>
      </c>
      <c r="AJ330" s="49">
        <f ca="1">-MIN(SUM(AJ328:AJ329),SUM(AJ$290,AJ$295)*Haute_Mer_1994!NOC_rpmt_max_perc)*Haute_Mer_1994!NOC_CI_devex_rpmt</f>
        <v>0</v>
      </c>
      <c r="AK330" s="49">
        <f ca="1">-MIN(SUM(AK328:AK329),SUM(AK$290,AK$295)*Haute_Mer_1994!NOC_rpmt_max_perc)*Haute_Mer_1994!NOC_CI_devex_rpmt</f>
        <v>0</v>
      </c>
      <c r="AL330" s="49">
        <f ca="1">-MIN(SUM(AL328:AL329),SUM(AL$290,AL$295)*Haute_Mer_1994!NOC_rpmt_max_perc)*Haute_Mer_1994!NOC_CI_devex_rpmt</f>
        <v>0</v>
      </c>
      <c r="AM330" s="49">
        <f ca="1">-MIN(SUM(AM328:AM329),SUM(AM$290,AM$295)*Haute_Mer_1994!NOC_rpmt_max_perc)*Haute_Mer_1994!NOC_CI_devex_rpmt</f>
        <v>0</v>
      </c>
      <c r="AN330" s="49">
        <f ca="1">-MIN(SUM(AN328:AN329),SUM(AN$290,AN$295)*Haute_Mer_1994!NOC_rpmt_max_perc)*Haute_Mer_1994!NOC_CI_devex_rpmt</f>
        <v>0</v>
      </c>
      <c r="AO330" s="49">
        <f ca="1">-MIN(SUM(AO328:AO329),SUM(AO$290,AO$295)*Haute_Mer_1994!NOC_rpmt_max_perc)*Haute_Mer_1994!NOC_CI_devex_rpmt</f>
        <v>0</v>
      </c>
      <c r="AP330" s="49">
        <f ca="1">-MIN(SUM(AP328:AP329),SUM(AP$290,AP$295)*Haute_Mer_1994!NOC_rpmt_max_perc)*Haute_Mer_1994!NOC_CI_devex_rpmt</f>
        <v>0</v>
      </c>
      <c r="AQ330" s="49">
        <f ca="1">-MIN(SUM(AQ328:AQ329),SUM(AQ$290,AQ$295)*Haute_Mer_1994!NOC_rpmt_max_perc)*Haute_Mer_1994!NOC_CI_devex_rpmt</f>
        <v>0</v>
      </c>
      <c r="AR330" s="49">
        <f ca="1">-MIN(SUM(AR328:AR329),SUM(AR$290,AR$295)*Haute_Mer_1994!NOC_rpmt_max_perc)*Haute_Mer_1994!NOC_CI_devex_rpmt</f>
        <v>0</v>
      </c>
      <c r="AS330" s="49">
        <f ca="1">-MIN(SUM(AS328:AS329),SUM(AS$290,AS$295)*Haute_Mer_1994!NOC_rpmt_max_perc)*Haute_Mer_1994!NOC_CI_devex_rpmt</f>
        <v>0</v>
      </c>
      <c r="AT330" s="49">
        <f ca="1">-MIN(SUM(AT328:AT329),SUM(AT$290,AT$295)*Haute_Mer_1994!NOC_rpmt_max_perc)*Haute_Mer_1994!NOC_CI_devex_rpmt</f>
        <v>0</v>
      </c>
      <c r="AU330" s="49">
        <f ca="1">-MIN(SUM(AU328:AU329),SUM(AU$290,AU$295)*Haute_Mer_1994!NOC_rpmt_max_perc)*Haute_Mer_1994!NOC_CI_devex_rpmt</f>
        <v>0</v>
      </c>
      <c r="AV330" s="49">
        <f ca="1">-MIN(SUM(AV328:AV329),SUM(AV$290,AV$295)*Haute_Mer_1994!NOC_rpmt_max_perc)*Haute_Mer_1994!NOC_CI_devex_rpmt</f>
        <v>0</v>
      </c>
      <c r="AW330" s="49">
        <f ca="1">-MIN(SUM(AW328:AW329),SUM(AW$290,AW$295)*Haute_Mer_1994!NOC_rpmt_max_perc)*Haute_Mer_1994!NOC_CI_devex_rpmt</f>
        <v>0</v>
      </c>
      <c r="AX330" s="49">
        <f ca="1">-MIN(SUM(AX328:AX329),SUM(AX$290,AX$295)*Haute_Mer_1994!NOC_rpmt_max_perc)*Haute_Mer_1994!NOC_CI_devex_rpmt</f>
        <v>0</v>
      </c>
      <c r="AY330" s="49">
        <f ca="1">-MIN(SUM(AY328:AY329),SUM(AY$290,AY$295)*Haute_Mer_1994!NOC_rpmt_max_perc)*Haute_Mer_1994!NOC_CI_devex_rpmt</f>
        <v>0</v>
      </c>
      <c r="AZ330" s="49">
        <f ca="1">-MIN(SUM(AZ328:AZ329),SUM(AZ$290,AZ$295)*Haute_Mer_1994!NOC_rpmt_max_perc)*Haute_Mer_1994!NOC_CI_devex_rpmt</f>
        <v>0</v>
      </c>
      <c r="BA330" s="49">
        <f ca="1">-MIN(SUM(BA328:BA329),SUM(BA$290,BA$295)*Haute_Mer_1994!NOC_rpmt_max_perc)*Haute_Mer_1994!NOC_CI_devex_rpmt</f>
        <v>0</v>
      </c>
      <c r="BB330" s="49">
        <f ca="1">-MIN(SUM(BB328:BB329),SUM(BB$290,BB$295)*Haute_Mer_1994!NOC_rpmt_max_perc)*Haute_Mer_1994!NOC_CI_devex_rpmt</f>
        <v>0</v>
      </c>
      <c r="BC330" s="49">
        <f ca="1">-MIN(SUM(BC328:BC329),SUM(BC$290,BC$295)*Haute_Mer_1994!NOC_rpmt_max_perc)*Haute_Mer_1994!NOC_CI_devex_rpmt</f>
        <v>0</v>
      </c>
      <c r="BD330" s="49">
        <f ca="1">-MIN(SUM(BD328:BD329),SUM(BD$290,BD$295)*Haute_Mer_1994!NOC_rpmt_max_perc)*Haute_Mer_1994!NOC_CI_devex_rpmt</f>
        <v>0</v>
      </c>
      <c r="BE330" s="49">
        <f ca="1">-MIN(SUM(BE328:BE329),SUM(BE$290,BE$295)*Haute_Mer_1994!NOC_rpmt_max_perc)*Haute_Mer_1994!NOC_CI_devex_rpmt</f>
        <v>0</v>
      </c>
      <c r="BF330" s="49">
        <f ca="1">-MIN(SUM(BF328:BF329),SUM(BF$290,BF$295)*Haute_Mer_1994!NOC_rpmt_max_perc)*Haute_Mer_1994!NOC_CI_devex_rpmt</f>
        <v>0</v>
      </c>
      <c r="BG330" s="49">
        <f ca="1">-MIN(SUM(BG328:BG329),SUM(BG$290,BG$295)*Haute_Mer_1994!NOC_rpmt_max_perc)*Haute_Mer_1994!NOC_CI_devex_rpmt</f>
        <v>0</v>
      </c>
      <c r="BH330" s="49">
        <f ca="1">-MIN(SUM(BH328:BH329),SUM(BH$290,BH$295)*Haute_Mer_1994!NOC_rpmt_max_perc)*Haute_Mer_1994!NOC_CI_devex_rpmt</f>
        <v>0</v>
      </c>
      <c r="BI330" s="49">
        <f ca="1">-MIN(SUM(BI328:BI329),SUM(BI$290,BI$295)*Haute_Mer_1994!NOC_rpmt_max_perc)*Haute_Mer_1994!NOC_CI_devex_rpmt</f>
        <v>0</v>
      </c>
      <c r="BJ330" s="49">
        <f ca="1">-MIN(SUM(BJ328:BJ329),SUM(BJ$290,BJ$295)*Haute_Mer_1994!NOC_rpmt_max_perc)*Haute_Mer_1994!NOC_CI_devex_rpmt</f>
        <v>0</v>
      </c>
      <c r="BK330" s="49">
        <f ca="1">-MIN(SUM(BK328:BK329),SUM(BK$290,BK$295)*Haute_Mer_1994!NOC_rpmt_max_perc)*Haute_Mer_1994!NOC_CI_devex_rpmt</f>
        <v>0</v>
      </c>
      <c r="BL330" s="49">
        <f ca="1">-MIN(SUM(BL328:BL329),SUM(BL$290,BL$295)*Haute_Mer_1994!NOC_rpmt_max_perc)*Haute_Mer_1994!NOC_CI_devex_rpmt</f>
        <v>0</v>
      </c>
      <c r="BM330" s="49">
        <f ca="1">-MIN(SUM(BM328:BM329),SUM(BM$290,BM$295)*Haute_Mer_1994!NOC_rpmt_max_perc)*Haute_Mer_1994!NOC_CI_devex_rpmt</f>
        <v>0</v>
      </c>
      <c r="BN330" s="49">
        <f ca="1">-MIN(SUM(BN328:BN329),SUM(BN$290,BN$295)*Haute_Mer_1994!NOC_rpmt_max_perc)*Haute_Mer_1994!NOC_CI_devex_rpmt</f>
        <v>0</v>
      </c>
      <c r="BO330" s="49">
        <f ca="1">-MIN(SUM(BO328:BO329),SUM(BO$290,BO$295)*Haute_Mer_1994!NOC_rpmt_max_perc)*Haute_Mer_1994!NOC_CI_devex_rpmt</f>
        <v>0</v>
      </c>
      <c r="BP330" s="49">
        <f ca="1">-MIN(SUM(BP328:BP329),SUM(BP$290,BP$295)*Haute_Mer_1994!NOC_rpmt_max_perc)*Haute_Mer_1994!NOC_CI_devex_rpmt</f>
        <v>0</v>
      </c>
      <c r="BQ330" s="49">
        <f ca="1">-MIN(SUM(BQ328:BQ329),SUM(BQ$290,BQ$295)*Haute_Mer_1994!NOC_rpmt_max_perc)*Haute_Mer_1994!NOC_CI_devex_rpmt</f>
        <v>0</v>
      </c>
      <c r="BR330" s="49">
        <f ca="1">-MIN(SUM(BR328:BR329),SUM(BR$290,BR$295)*Haute_Mer_1994!NOC_rpmt_max_perc)*Haute_Mer_1994!NOC_CI_devex_rpmt</f>
        <v>0</v>
      </c>
      <c r="BS330" s="49">
        <f ca="1">-MIN(SUM(BS328:BS329),SUM(BS$290,BS$295)*Haute_Mer_1994!NOC_rpmt_max_perc)*Haute_Mer_1994!NOC_CI_devex_rpmt</f>
        <v>0</v>
      </c>
    </row>
    <row r="331" spans="3:71" outlineLevel="1" x14ac:dyDescent="0.2">
      <c r="D331" t="s">
        <v>336</v>
      </c>
      <c r="J331" s="26"/>
      <c r="L331" s="49">
        <f ca="1">SUM(L328:L330)</f>
        <v>135.44580320237682</v>
      </c>
      <c r="M331" s="49">
        <f t="shared" ref="M331:BS331" ca="1" si="109">SUM(M328:M330)</f>
        <v>398.41738783252839</v>
      </c>
      <c r="N331" s="49">
        <f t="shared" ca="1" si="109"/>
        <v>845.7469738275114</v>
      </c>
      <c r="O331" s="49">
        <f t="shared" ca="1" si="109"/>
        <v>1210.3040370064041</v>
      </c>
      <c r="P331" s="49">
        <f t="shared" ca="1" si="109"/>
        <v>1326.0076777735994</v>
      </c>
      <c r="Q331" s="49">
        <f t="shared" ca="1" si="109"/>
        <v>1313.1932974216543</v>
      </c>
      <c r="R331" s="49">
        <f t="shared" ca="1" si="109"/>
        <v>1206.7052732849629</v>
      </c>
      <c r="S331" s="49">
        <f t="shared" ca="1" si="109"/>
        <v>1142.1806381689923</v>
      </c>
      <c r="T331" s="49">
        <f t="shared" ca="1" si="109"/>
        <v>1048.1676842408347</v>
      </c>
      <c r="U331" s="49">
        <f t="shared" ca="1" si="109"/>
        <v>954.8185924754174</v>
      </c>
      <c r="V331" s="49">
        <f t="shared" ca="1" si="109"/>
        <v>866.26764402674257</v>
      </c>
      <c r="W331" s="49">
        <f t="shared" ca="1" si="109"/>
        <v>782.03807890449832</v>
      </c>
      <c r="X331" s="49">
        <f t="shared" ca="1" si="109"/>
        <v>702.35621989258379</v>
      </c>
      <c r="Y331" s="49">
        <f t="shared" ca="1" si="109"/>
        <v>702.35621989258379</v>
      </c>
      <c r="Z331" s="49">
        <f t="shared" ca="1" si="109"/>
        <v>702.35621989258379</v>
      </c>
      <c r="AA331" s="49">
        <f t="shared" ca="1" si="109"/>
        <v>702.35621989258379</v>
      </c>
      <c r="AB331" s="49">
        <f t="shared" ca="1" si="109"/>
        <v>702.35621989258379</v>
      </c>
      <c r="AC331" s="49">
        <f t="shared" ca="1" si="109"/>
        <v>702.35621989258379</v>
      </c>
      <c r="AD331" s="49">
        <f t="shared" ca="1" si="109"/>
        <v>702.35621989258379</v>
      </c>
      <c r="AE331" s="49">
        <f t="shared" ca="1" si="109"/>
        <v>702.35621989258379</v>
      </c>
      <c r="AF331" s="49">
        <f t="shared" ca="1" si="109"/>
        <v>702.35621989258379</v>
      </c>
      <c r="AG331" s="49">
        <f t="shared" ca="1" si="109"/>
        <v>702.35621989258379</v>
      </c>
      <c r="AH331" s="49">
        <f t="shared" ca="1" si="109"/>
        <v>702.35621989258379</v>
      </c>
      <c r="AI331" s="49">
        <f t="shared" ca="1" si="109"/>
        <v>702.35621989258379</v>
      </c>
      <c r="AJ331" s="49">
        <f t="shared" ca="1" si="109"/>
        <v>702.35621989258379</v>
      </c>
      <c r="AK331" s="49">
        <f t="shared" ca="1" si="109"/>
        <v>702.35621989258379</v>
      </c>
      <c r="AL331" s="49">
        <f t="shared" ca="1" si="109"/>
        <v>702.35621989258379</v>
      </c>
      <c r="AM331" s="49">
        <f t="shared" ca="1" si="109"/>
        <v>702.35621989258379</v>
      </c>
      <c r="AN331" s="49">
        <f t="shared" ca="1" si="109"/>
        <v>702.35621989258379</v>
      </c>
      <c r="AO331" s="49">
        <f t="shared" ca="1" si="109"/>
        <v>702.35621989258379</v>
      </c>
      <c r="AP331" s="49">
        <f t="shared" ca="1" si="109"/>
        <v>702.35621989258379</v>
      </c>
      <c r="AQ331" s="49">
        <f t="shared" ca="1" si="109"/>
        <v>702.35621989258379</v>
      </c>
      <c r="AR331" s="49">
        <f t="shared" ca="1" si="109"/>
        <v>702.35621989258379</v>
      </c>
      <c r="AS331" s="49">
        <f t="shared" ca="1" si="109"/>
        <v>702.35621989258379</v>
      </c>
      <c r="AT331" s="49">
        <f t="shared" ca="1" si="109"/>
        <v>702.35621989258379</v>
      </c>
      <c r="AU331" s="49">
        <f t="shared" ca="1" si="109"/>
        <v>702.35621989258379</v>
      </c>
      <c r="AV331" s="49">
        <f t="shared" ca="1" si="109"/>
        <v>702.35621989258379</v>
      </c>
      <c r="AW331" s="49">
        <f t="shared" ca="1" si="109"/>
        <v>702.35621989258379</v>
      </c>
      <c r="AX331" s="49">
        <f t="shared" ca="1" si="109"/>
        <v>702.35621989258379</v>
      </c>
      <c r="AY331" s="49">
        <f t="shared" ca="1" si="109"/>
        <v>702.35621989258379</v>
      </c>
      <c r="AZ331" s="49">
        <f t="shared" ca="1" si="109"/>
        <v>702.35621989258379</v>
      </c>
      <c r="BA331" s="49">
        <f t="shared" ca="1" si="109"/>
        <v>702.35621989258379</v>
      </c>
      <c r="BB331" s="49">
        <f t="shared" ca="1" si="109"/>
        <v>702.35621989258379</v>
      </c>
      <c r="BC331" s="49">
        <f t="shared" ca="1" si="109"/>
        <v>702.35621989258379</v>
      </c>
      <c r="BD331" s="49">
        <f t="shared" ca="1" si="109"/>
        <v>702.35621989258379</v>
      </c>
      <c r="BE331" s="49">
        <f t="shared" ca="1" si="109"/>
        <v>702.35621989258379</v>
      </c>
      <c r="BF331" s="49">
        <f t="shared" ca="1" si="109"/>
        <v>702.35621989258379</v>
      </c>
      <c r="BG331" s="49">
        <f t="shared" ca="1" si="109"/>
        <v>702.35621989258379</v>
      </c>
      <c r="BH331" s="49">
        <f t="shared" ca="1" si="109"/>
        <v>702.35621989258379</v>
      </c>
      <c r="BI331" s="49">
        <f t="shared" ca="1" si="109"/>
        <v>702.35621989258379</v>
      </c>
      <c r="BJ331" s="49">
        <f t="shared" ca="1" si="109"/>
        <v>702.35621989258379</v>
      </c>
      <c r="BK331" s="49">
        <f t="shared" ca="1" si="109"/>
        <v>702.35621989258379</v>
      </c>
      <c r="BL331" s="49">
        <f t="shared" ca="1" si="109"/>
        <v>702.35621989258379</v>
      </c>
      <c r="BM331" s="49">
        <f t="shared" ca="1" si="109"/>
        <v>702.35621989258379</v>
      </c>
      <c r="BN331" s="49">
        <f t="shared" ca="1" si="109"/>
        <v>702.35621989258379</v>
      </c>
      <c r="BO331" s="49">
        <f t="shared" ca="1" si="109"/>
        <v>702.35621989258379</v>
      </c>
      <c r="BP331" s="49">
        <f t="shared" ca="1" si="109"/>
        <v>702.35621989258379</v>
      </c>
      <c r="BQ331" s="49">
        <f t="shared" ca="1" si="109"/>
        <v>702.35621989258379</v>
      </c>
      <c r="BR331" s="49">
        <f t="shared" ca="1" si="109"/>
        <v>702.35621989258379</v>
      </c>
      <c r="BS331" s="49">
        <f t="shared" ca="1" si="109"/>
        <v>702.35621989258379</v>
      </c>
    </row>
    <row r="332" spans="3:71" outlineLevel="1" x14ac:dyDescent="0.2">
      <c r="J332" s="26"/>
      <c r="L332" s="55"/>
      <c r="M332" s="55"/>
      <c r="N332" s="55"/>
      <c r="O332" s="55"/>
      <c r="P332" s="55"/>
      <c r="Q332" s="55"/>
      <c r="R332" s="55"/>
      <c r="S332" s="55"/>
      <c r="T332" s="55"/>
      <c r="U332" s="55"/>
      <c r="V332" s="55"/>
      <c r="W332" s="55"/>
      <c r="X332" s="55"/>
      <c r="Y332" s="55"/>
      <c r="Z332" s="55"/>
      <c r="AA332" s="55"/>
      <c r="AB332" s="55"/>
      <c r="AC332" s="55"/>
      <c r="AD332" s="55"/>
      <c r="AE332" s="55"/>
      <c r="AF332" s="55"/>
      <c r="AG332" s="55"/>
      <c r="AH332" s="55"/>
      <c r="AI332" s="55"/>
      <c r="AJ332" s="55"/>
      <c r="AK332" s="55"/>
      <c r="AL332" s="55"/>
      <c r="AM332" s="55"/>
      <c r="AN332" s="55"/>
      <c r="AO332" s="55"/>
      <c r="AP332" s="55"/>
      <c r="AQ332" s="55"/>
      <c r="AR332" s="55"/>
      <c r="AS332" s="55"/>
      <c r="AT332" s="55"/>
      <c r="AU332" s="55"/>
      <c r="AV332" s="55"/>
      <c r="AW332" s="55"/>
      <c r="AX332" s="55"/>
      <c r="AY332" s="55"/>
      <c r="AZ332" s="55"/>
      <c r="BA332" s="55"/>
      <c r="BB332" s="55"/>
      <c r="BC332" s="55"/>
      <c r="BD332" s="55"/>
      <c r="BE332" s="55"/>
      <c r="BF332" s="55"/>
      <c r="BG332" s="55"/>
      <c r="BH332" s="55"/>
      <c r="BI332" s="55"/>
      <c r="BJ332" s="55"/>
      <c r="BK332" s="55"/>
      <c r="BL332" s="55"/>
      <c r="BM332" s="55"/>
      <c r="BN332" s="55"/>
      <c r="BO332" s="55"/>
      <c r="BP332" s="55"/>
      <c r="BQ332" s="55"/>
      <c r="BR332" s="55"/>
      <c r="BS332" s="55"/>
    </row>
    <row r="333" spans="3:71" outlineLevel="1" x14ac:dyDescent="0.2">
      <c r="C333" s="11" t="s">
        <v>347</v>
      </c>
      <c r="J333" s="26"/>
      <c r="L333" s="55"/>
      <c r="M333" s="55"/>
      <c r="N333" s="55"/>
      <c r="O333" s="55"/>
      <c r="P333" s="55"/>
      <c r="Q333" s="55"/>
      <c r="R333" s="55"/>
      <c r="S333" s="55"/>
      <c r="T333" s="55"/>
      <c r="U333" s="55"/>
      <c r="V333" s="55"/>
      <c r="W333" s="55"/>
      <c r="X333" s="55"/>
      <c r="Y333" s="55"/>
      <c r="Z333" s="55"/>
      <c r="AA333" s="55"/>
      <c r="AB333" s="55"/>
      <c r="AC333" s="55"/>
      <c r="AD333" s="55"/>
      <c r="AE333" s="55"/>
      <c r="AF333" s="55"/>
      <c r="AG333" s="55"/>
      <c r="AH333" s="55"/>
      <c r="AI333" s="55"/>
      <c r="AJ333" s="55"/>
      <c r="AK333" s="55"/>
      <c r="AL333" s="55"/>
      <c r="AM333" s="55"/>
      <c r="AN333" s="55"/>
      <c r="AO333" s="55"/>
      <c r="AP333" s="55"/>
      <c r="AQ333" s="55"/>
      <c r="AR333" s="55"/>
      <c r="AS333" s="55"/>
      <c r="AT333" s="55"/>
      <c r="AU333" s="55"/>
      <c r="AV333" s="55"/>
      <c r="AW333" s="55"/>
      <c r="AX333" s="55"/>
      <c r="AY333" s="55"/>
      <c r="AZ333" s="55"/>
      <c r="BA333" s="55"/>
      <c r="BB333" s="55"/>
      <c r="BC333" s="55"/>
      <c r="BD333" s="55"/>
      <c r="BE333" s="55"/>
      <c r="BF333" s="55"/>
      <c r="BG333" s="55"/>
      <c r="BH333" s="55"/>
      <c r="BI333" s="55"/>
      <c r="BJ333" s="55"/>
      <c r="BK333" s="55"/>
      <c r="BL333" s="55"/>
      <c r="BM333" s="55"/>
      <c r="BN333" s="55"/>
      <c r="BO333" s="55"/>
      <c r="BP333" s="55"/>
      <c r="BQ333" s="55"/>
      <c r="BR333" s="55"/>
      <c r="BS333" s="55"/>
    </row>
    <row r="334" spans="3:71" outlineLevel="1" x14ac:dyDescent="0.2">
      <c r="D334" t="s">
        <v>337</v>
      </c>
      <c r="J334" s="26"/>
      <c r="L334" s="49">
        <f>K337</f>
        <v>0</v>
      </c>
      <c r="M334" s="49">
        <f t="shared" ref="M334:BS334" ca="1" si="110">L337</f>
        <v>0</v>
      </c>
      <c r="N334" s="49">
        <f t="shared" ca="1" si="110"/>
        <v>0</v>
      </c>
      <c r="O334" s="49">
        <f t="shared" ca="1" si="110"/>
        <v>0</v>
      </c>
      <c r="P334" s="49">
        <f t="shared" ca="1" si="110"/>
        <v>0</v>
      </c>
      <c r="Q334" s="49">
        <f t="shared" ca="1" si="110"/>
        <v>0</v>
      </c>
      <c r="R334" s="49">
        <f t="shared" ca="1" si="110"/>
        <v>0</v>
      </c>
      <c r="S334" s="49">
        <f t="shared" ca="1" si="110"/>
        <v>0</v>
      </c>
      <c r="T334" s="49">
        <f t="shared" ca="1" si="110"/>
        <v>0</v>
      </c>
      <c r="U334" s="49">
        <f t="shared" ca="1" si="110"/>
        <v>0</v>
      </c>
      <c r="V334" s="49">
        <f t="shared" ca="1" si="110"/>
        <v>0</v>
      </c>
      <c r="W334" s="49">
        <f t="shared" ca="1" si="110"/>
        <v>0</v>
      </c>
      <c r="X334" s="49">
        <f t="shared" ca="1" si="110"/>
        <v>0</v>
      </c>
      <c r="Y334" s="49">
        <f t="shared" ca="1" si="110"/>
        <v>0</v>
      </c>
      <c r="Z334" s="49">
        <f t="shared" ca="1" si="110"/>
        <v>0</v>
      </c>
      <c r="AA334" s="49">
        <f t="shared" ca="1" si="110"/>
        <v>0</v>
      </c>
      <c r="AB334" s="49">
        <f t="shared" ca="1" si="110"/>
        <v>0</v>
      </c>
      <c r="AC334" s="49">
        <f t="shared" ca="1" si="110"/>
        <v>0</v>
      </c>
      <c r="AD334" s="49">
        <f t="shared" ca="1" si="110"/>
        <v>0</v>
      </c>
      <c r="AE334" s="49">
        <f t="shared" ca="1" si="110"/>
        <v>0</v>
      </c>
      <c r="AF334" s="49">
        <f t="shared" ca="1" si="110"/>
        <v>0</v>
      </c>
      <c r="AG334" s="49">
        <f t="shared" ca="1" si="110"/>
        <v>0</v>
      </c>
      <c r="AH334" s="49">
        <f t="shared" ca="1" si="110"/>
        <v>0</v>
      </c>
      <c r="AI334" s="49">
        <f t="shared" ca="1" si="110"/>
        <v>0</v>
      </c>
      <c r="AJ334" s="49">
        <f t="shared" ca="1" si="110"/>
        <v>0</v>
      </c>
      <c r="AK334" s="49">
        <f t="shared" ca="1" si="110"/>
        <v>0</v>
      </c>
      <c r="AL334" s="49">
        <f t="shared" ca="1" si="110"/>
        <v>0</v>
      </c>
      <c r="AM334" s="49">
        <f t="shared" ca="1" si="110"/>
        <v>0</v>
      </c>
      <c r="AN334" s="49">
        <f t="shared" ca="1" si="110"/>
        <v>0</v>
      </c>
      <c r="AO334" s="49">
        <f t="shared" ca="1" si="110"/>
        <v>0</v>
      </c>
      <c r="AP334" s="49">
        <f t="shared" ca="1" si="110"/>
        <v>0</v>
      </c>
      <c r="AQ334" s="49">
        <f t="shared" ca="1" si="110"/>
        <v>0</v>
      </c>
      <c r="AR334" s="49">
        <f t="shared" ca="1" si="110"/>
        <v>0</v>
      </c>
      <c r="AS334" s="49">
        <f t="shared" ca="1" si="110"/>
        <v>0</v>
      </c>
      <c r="AT334" s="49">
        <f t="shared" ca="1" si="110"/>
        <v>0</v>
      </c>
      <c r="AU334" s="49">
        <f t="shared" ca="1" si="110"/>
        <v>0</v>
      </c>
      <c r="AV334" s="49">
        <f t="shared" ca="1" si="110"/>
        <v>0</v>
      </c>
      <c r="AW334" s="49">
        <f t="shared" ca="1" si="110"/>
        <v>0</v>
      </c>
      <c r="AX334" s="49">
        <f t="shared" ca="1" si="110"/>
        <v>0</v>
      </c>
      <c r="AY334" s="49">
        <f t="shared" ca="1" si="110"/>
        <v>0</v>
      </c>
      <c r="AZ334" s="49">
        <f t="shared" ca="1" si="110"/>
        <v>0</v>
      </c>
      <c r="BA334" s="49">
        <f t="shared" ca="1" si="110"/>
        <v>0</v>
      </c>
      <c r="BB334" s="49">
        <f t="shared" ca="1" si="110"/>
        <v>0</v>
      </c>
      <c r="BC334" s="49">
        <f t="shared" ca="1" si="110"/>
        <v>0</v>
      </c>
      <c r="BD334" s="49">
        <f t="shared" ca="1" si="110"/>
        <v>0</v>
      </c>
      <c r="BE334" s="49">
        <f t="shared" ca="1" si="110"/>
        <v>0</v>
      </c>
      <c r="BF334" s="49">
        <f t="shared" ca="1" si="110"/>
        <v>0</v>
      </c>
      <c r="BG334" s="49">
        <f t="shared" ca="1" si="110"/>
        <v>0</v>
      </c>
      <c r="BH334" s="49">
        <f t="shared" ca="1" si="110"/>
        <v>0</v>
      </c>
      <c r="BI334" s="49">
        <f t="shared" ca="1" si="110"/>
        <v>0</v>
      </c>
      <c r="BJ334" s="49">
        <f t="shared" ca="1" si="110"/>
        <v>0</v>
      </c>
      <c r="BK334" s="49">
        <f t="shared" ca="1" si="110"/>
        <v>0</v>
      </c>
      <c r="BL334" s="49">
        <f t="shared" ca="1" si="110"/>
        <v>0</v>
      </c>
      <c r="BM334" s="49">
        <f t="shared" ca="1" si="110"/>
        <v>0</v>
      </c>
      <c r="BN334" s="49">
        <f t="shared" ca="1" si="110"/>
        <v>0</v>
      </c>
      <c r="BO334" s="49">
        <f t="shared" ca="1" si="110"/>
        <v>0</v>
      </c>
      <c r="BP334" s="49">
        <f t="shared" ca="1" si="110"/>
        <v>0</v>
      </c>
      <c r="BQ334" s="49">
        <f t="shared" ca="1" si="110"/>
        <v>0</v>
      </c>
      <c r="BR334" s="49">
        <f t="shared" ca="1" si="110"/>
        <v>0</v>
      </c>
      <c r="BS334" s="49">
        <f t="shared" ca="1" si="110"/>
        <v>0</v>
      </c>
    </row>
    <row r="335" spans="3:71" outlineLevel="1" x14ac:dyDescent="0.2">
      <c r="D335" s="50" t="s">
        <v>348</v>
      </c>
      <c r="I335" s="30">
        <f t="shared" ref="I335:I336" ca="1" si="111">SUM($L335:$BS335)</f>
        <v>0</v>
      </c>
      <c r="J335" s="26" t="s">
        <v>148</v>
      </c>
      <c r="L335" s="49">
        <f ca="1">L318</f>
        <v>0</v>
      </c>
      <c r="M335" s="49">
        <f t="shared" ref="M335:BS335" ca="1" si="112">M318</f>
        <v>0</v>
      </c>
      <c r="N335" s="49">
        <f t="shared" ca="1" si="112"/>
        <v>0</v>
      </c>
      <c r="O335" s="49">
        <f t="shared" ca="1" si="112"/>
        <v>0</v>
      </c>
      <c r="P335" s="49">
        <f t="shared" ca="1" si="112"/>
        <v>0</v>
      </c>
      <c r="Q335" s="49">
        <f t="shared" ca="1" si="112"/>
        <v>0</v>
      </c>
      <c r="R335" s="49">
        <f t="shared" ca="1" si="112"/>
        <v>0</v>
      </c>
      <c r="S335" s="49">
        <f t="shared" ca="1" si="112"/>
        <v>0</v>
      </c>
      <c r="T335" s="49">
        <f t="shared" ca="1" si="112"/>
        <v>0</v>
      </c>
      <c r="U335" s="49">
        <f t="shared" ca="1" si="112"/>
        <v>0</v>
      </c>
      <c r="V335" s="49">
        <f t="shared" ca="1" si="112"/>
        <v>0</v>
      </c>
      <c r="W335" s="49">
        <f t="shared" ca="1" si="112"/>
        <v>0</v>
      </c>
      <c r="X335" s="49">
        <f t="shared" ca="1" si="112"/>
        <v>0</v>
      </c>
      <c r="Y335" s="49">
        <f t="shared" ca="1" si="112"/>
        <v>0</v>
      </c>
      <c r="Z335" s="49">
        <f t="shared" ca="1" si="112"/>
        <v>0</v>
      </c>
      <c r="AA335" s="49">
        <f t="shared" ca="1" si="112"/>
        <v>0</v>
      </c>
      <c r="AB335" s="49">
        <f t="shared" ca="1" si="112"/>
        <v>0</v>
      </c>
      <c r="AC335" s="49">
        <f t="shared" ca="1" si="112"/>
        <v>0</v>
      </c>
      <c r="AD335" s="49">
        <f t="shared" ca="1" si="112"/>
        <v>0</v>
      </c>
      <c r="AE335" s="49">
        <f t="shared" ca="1" si="112"/>
        <v>0</v>
      </c>
      <c r="AF335" s="49">
        <f t="shared" ca="1" si="112"/>
        <v>0</v>
      </c>
      <c r="AG335" s="49">
        <f t="shared" ca="1" si="112"/>
        <v>0</v>
      </c>
      <c r="AH335" s="49">
        <f t="shared" ca="1" si="112"/>
        <v>0</v>
      </c>
      <c r="AI335" s="49">
        <f t="shared" ca="1" si="112"/>
        <v>0</v>
      </c>
      <c r="AJ335" s="49">
        <f t="shared" ca="1" si="112"/>
        <v>0</v>
      </c>
      <c r="AK335" s="49">
        <f t="shared" ca="1" si="112"/>
        <v>0</v>
      </c>
      <c r="AL335" s="49">
        <f t="shared" ca="1" si="112"/>
        <v>0</v>
      </c>
      <c r="AM335" s="49">
        <f t="shared" ca="1" si="112"/>
        <v>0</v>
      </c>
      <c r="AN335" s="49">
        <f t="shared" ca="1" si="112"/>
        <v>0</v>
      </c>
      <c r="AO335" s="49">
        <f t="shared" ca="1" si="112"/>
        <v>0</v>
      </c>
      <c r="AP335" s="49">
        <f t="shared" ca="1" si="112"/>
        <v>0</v>
      </c>
      <c r="AQ335" s="49">
        <f t="shared" ca="1" si="112"/>
        <v>0</v>
      </c>
      <c r="AR335" s="49">
        <f t="shared" ca="1" si="112"/>
        <v>0</v>
      </c>
      <c r="AS335" s="49">
        <f t="shared" ca="1" si="112"/>
        <v>0</v>
      </c>
      <c r="AT335" s="49">
        <f t="shared" ca="1" si="112"/>
        <v>0</v>
      </c>
      <c r="AU335" s="49">
        <f t="shared" ca="1" si="112"/>
        <v>0</v>
      </c>
      <c r="AV335" s="49">
        <f t="shared" ca="1" si="112"/>
        <v>0</v>
      </c>
      <c r="AW335" s="49">
        <f t="shared" ca="1" si="112"/>
        <v>0</v>
      </c>
      <c r="AX335" s="49">
        <f t="shared" ca="1" si="112"/>
        <v>0</v>
      </c>
      <c r="AY335" s="49">
        <f t="shared" ca="1" si="112"/>
        <v>0</v>
      </c>
      <c r="AZ335" s="49">
        <f t="shared" ca="1" si="112"/>
        <v>0</v>
      </c>
      <c r="BA335" s="49">
        <f t="shared" ca="1" si="112"/>
        <v>0</v>
      </c>
      <c r="BB335" s="49">
        <f t="shared" ca="1" si="112"/>
        <v>0</v>
      </c>
      <c r="BC335" s="49">
        <f t="shared" ca="1" si="112"/>
        <v>0</v>
      </c>
      <c r="BD335" s="49">
        <f t="shared" ca="1" si="112"/>
        <v>0</v>
      </c>
      <c r="BE335" s="49">
        <f t="shared" ca="1" si="112"/>
        <v>0</v>
      </c>
      <c r="BF335" s="49">
        <f t="shared" ca="1" si="112"/>
        <v>0</v>
      </c>
      <c r="BG335" s="49">
        <f t="shared" ca="1" si="112"/>
        <v>0</v>
      </c>
      <c r="BH335" s="49">
        <f t="shared" ca="1" si="112"/>
        <v>0</v>
      </c>
      <c r="BI335" s="49">
        <f t="shared" ca="1" si="112"/>
        <v>0</v>
      </c>
      <c r="BJ335" s="49">
        <f t="shared" ca="1" si="112"/>
        <v>0</v>
      </c>
      <c r="BK335" s="49">
        <f t="shared" ca="1" si="112"/>
        <v>0</v>
      </c>
      <c r="BL335" s="49">
        <f t="shared" ca="1" si="112"/>
        <v>0</v>
      </c>
      <c r="BM335" s="49">
        <f t="shared" ca="1" si="112"/>
        <v>0</v>
      </c>
      <c r="BN335" s="49">
        <f t="shared" ca="1" si="112"/>
        <v>0</v>
      </c>
      <c r="BO335" s="49">
        <f t="shared" ca="1" si="112"/>
        <v>0</v>
      </c>
      <c r="BP335" s="49">
        <f t="shared" ca="1" si="112"/>
        <v>0</v>
      </c>
      <c r="BQ335" s="49">
        <f t="shared" ca="1" si="112"/>
        <v>0</v>
      </c>
      <c r="BR335" s="49">
        <f t="shared" ca="1" si="112"/>
        <v>0</v>
      </c>
      <c r="BS335" s="49">
        <f t="shared" ca="1" si="112"/>
        <v>0</v>
      </c>
    </row>
    <row r="336" spans="3:71" outlineLevel="1" x14ac:dyDescent="0.2">
      <c r="D336" s="50" t="s">
        <v>335</v>
      </c>
      <c r="I336" s="30">
        <f t="shared" ca="1" si="111"/>
        <v>0</v>
      </c>
      <c r="J336" s="26" t="s">
        <v>148</v>
      </c>
      <c r="L336" s="49">
        <f ca="1">-MIN(SUM(L334:L335),SUM(L$290,L$295)*Haute_Mer_1994!NOC_rpmt_max_perc)*Haute_Mer_1994!NOC_CI_opex_rpmt</f>
        <v>0</v>
      </c>
      <c r="M336" s="49">
        <f ca="1">-MIN(SUM(M334:M335),SUM(M$290,M$295)*Haute_Mer_1994!NOC_rpmt_max_perc)*Haute_Mer_1994!NOC_CI_opex_rpmt</f>
        <v>0</v>
      </c>
      <c r="N336" s="49">
        <f ca="1">-MIN(SUM(N334:N335),SUM(N$290,N$295)*Haute_Mer_1994!NOC_rpmt_max_perc)*Haute_Mer_1994!NOC_CI_opex_rpmt</f>
        <v>0</v>
      </c>
      <c r="O336" s="49">
        <f ca="1">-MIN(SUM(O334:O335),SUM(O$290,O$295)*Haute_Mer_1994!NOC_rpmt_max_perc)*Haute_Mer_1994!NOC_CI_opex_rpmt</f>
        <v>0</v>
      </c>
      <c r="P336" s="49">
        <f ca="1">-MIN(SUM(P334:P335),SUM(P$290,P$295)*Haute_Mer_1994!NOC_rpmt_max_perc)*Haute_Mer_1994!NOC_CI_opex_rpmt</f>
        <v>0</v>
      </c>
      <c r="Q336" s="49">
        <f ca="1">-MIN(SUM(Q334:Q335),SUM(Q$290,Q$295)*Haute_Mer_1994!NOC_rpmt_max_perc)*Haute_Mer_1994!NOC_CI_opex_rpmt</f>
        <v>0</v>
      </c>
      <c r="R336" s="49">
        <f ca="1">-MIN(SUM(R334:R335),SUM(R$290,R$295)*Haute_Mer_1994!NOC_rpmt_max_perc)*Haute_Mer_1994!NOC_CI_opex_rpmt</f>
        <v>0</v>
      </c>
      <c r="S336" s="49">
        <f ca="1">-MIN(SUM(S334:S335),SUM(S$290,S$295)*Haute_Mer_1994!NOC_rpmt_max_perc)*Haute_Mer_1994!NOC_CI_opex_rpmt</f>
        <v>0</v>
      </c>
      <c r="T336" s="49">
        <f ca="1">-MIN(SUM(T334:T335),SUM(T$290,T$295)*Haute_Mer_1994!NOC_rpmt_max_perc)*Haute_Mer_1994!NOC_CI_opex_rpmt</f>
        <v>0</v>
      </c>
      <c r="U336" s="49">
        <f ca="1">-MIN(SUM(U334:U335),SUM(U$290,U$295)*Haute_Mer_1994!NOC_rpmt_max_perc)*Haute_Mer_1994!NOC_CI_opex_rpmt</f>
        <v>0</v>
      </c>
      <c r="V336" s="49">
        <f ca="1">-MIN(SUM(V334:V335),SUM(V$290,V$295)*Haute_Mer_1994!NOC_rpmt_max_perc)*Haute_Mer_1994!NOC_CI_opex_rpmt</f>
        <v>0</v>
      </c>
      <c r="W336" s="49">
        <f ca="1">-MIN(SUM(W334:W335),SUM(W$290,W$295)*Haute_Mer_1994!NOC_rpmt_max_perc)*Haute_Mer_1994!NOC_CI_opex_rpmt</f>
        <v>0</v>
      </c>
      <c r="X336" s="49">
        <f ca="1">-MIN(SUM(X334:X335),SUM(X$290,X$295)*Haute_Mer_1994!NOC_rpmt_max_perc)*Haute_Mer_1994!NOC_CI_opex_rpmt</f>
        <v>0</v>
      </c>
      <c r="Y336" s="49">
        <f ca="1">-MIN(SUM(Y334:Y335),SUM(Y$290,Y$295)*Haute_Mer_1994!NOC_rpmt_max_perc)*Haute_Mer_1994!NOC_CI_opex_rpmt</f>
        <v>0</v>
      </c>
      <c r="Z336" s="49">
        <f ca="1">-MIN(SUM(Z334:Z335),SUM(Z$290,Z$295)*Haute_Mer_1994!NOC_rpmt_max_perc)*Haute_Mer_1994!NOC_CI_opex_rpmt</f>
        <v>0</v>
      </c>
      <c r="AA336" s="49">
        <f ca="1">-MIN(SUM(AA334:AA335),SUM(AA$290,AA$295)*Haute_Mer_1994!NOC_rpmt_max_perc)*Haute_Mer_1994!NOC_CI_opex_rpmt</f>
        <v>0</v>
      </c>
      <c r="AB336" s="49">
        <f ca="1">-MIN(SUM(AB334:AB335),SUM(AB$290,AB$295)*Haute_Mer_1994!NOC_rpmt_max_perc)*Haute_Mer_1994!NOC_CI_opex_rpmt</f>
        <v>0</v>
      </c>
      <c r="AC336" s="49">
        <f ca="1">-MIN(SUM(AC334:AC335),SUM(AC$290,AC$295)*Haute_Mer_1994!NOC_rpmt_max_perc)*Haute_Mer_1994!NOC_CI_opex_rpmt</f>
        <v>0</v>
      </c>
      <c r="AD336" s="49">
        <f ca="1">-MIN(SUM(AD334:AD335),SUM(AD$290,AD$295)*Haute_Mer_1994!NOC_rpmt_max_perc)*Haute_Mer_1994!NOC_CI_opex_rpmt</f>
        <v>0</v>
      </c>
      <c r="AE336" s="49">
        <f ca="1">-MIN(SUM(AE334:AE335),SUM(AE$290,AE$295)*Haute_Mer_1994!NOC_rpmt_max_perc)*Haute_Mer_1994!NOC_CI_opex_rpmt</f>
        <v>0</v>
      </c>
      <c r="AF336" s="49">
        <f ca="1">-MIN(SUM(AF334:AF335),SUM(AF$290,AF$295)*Haute_Mer_1994!NOC_rpmt_max_perc)*Haute_Mer_1994!NOC_CI_opex_rpmt</f>
        <v>0</v>
      </c>
      <c r="AG336" s="49">
        <f ca="1">-MIN(SUM(AG334:AG335),SUM(AG$290,AG$295)*Haute_Mer_1994!NOC_rpmt_max_perc)*Haute_Mer_1994!NOC_CI_opex_rpmt</f>
        <v>0</v>
      </c>
      <c r="AH336" s="49">
        <f ca="1">-MIN(SUM(AH334:AH335),SUM(AH$290,AH$295)*Haute_Mer_1994!NOC_rpmt_max_perc)*Haute_Mer_1994!NOC_CI_opex_rpmt</f>
        <v>0</v>
      </c>
      <c r="AI336" s="49">
        <f ca="1">-MIN(SUM(AI334:AI335),SUM(AI$290,AI$295)*Haute_Mer_1994!NOC_rpmt_max_perc)*Haute_Mer_1994!NOC_CI_opex_rpmt</f>
        <v>0</v>
      </c>
      <c r="AJ336" s="49">
        <f ca="1">-MIN(SUM(AJ334:AJ335),SUM(AJ$290,AJ$295)*Haute_Mer_1994!NOC_rpmt_max_perc)*Haute_Mer_1994!NOC_CI_opex_rpmt</f>
        <v>0</v>
      </c>
      <c r="AK336" s="49">
        <f ca="1">-MIN(SUM(AK334:AK335),SUM(AK$290,AK$295)*Haute_Mer_1994!NOC_rpmt_max_perc)*Haute_Mer_1994!NOC_CI_opex_rpmt</f>
        <v>0</v>
      </c>
      <c r="AL336" s="49">
        <f ca="1">-MIN(SUM(AL334:AL335),SUM(AL$290,AL$295)*Haute_Mer_1994!NOC_rpmt_max_perc)*Haute_Mer_1994!NOC_CI_opex_rpmt</f>
        <v>0</v>
      </c>
      <c r="AM336" s="49">
        <f ca="1">-MIN(SUM(AM334:AM335),SUM(AM$290,AM$295)*Haute_Mer_1994!NOC_rpmt_max_perc)*Haute_Mer_1994!NOC_CI_opex_rpmt</f>
        <v>0</v>
      </c>
      <c r="AN336" s="49">
        <f ca="1">-MIN(SUM(AN334:AN335),SUM(AN$290,AN$295)*Haute_Mer_1994!NOC_rpmt_max_perc)*Haute_Mer_1994!NOC_CI_opex_rpmt</f>
        <v>0</v>
      </c>
      <c r="AO336" s="49">
        <f ca="1">-MIN(SUM(AO334:AO335),SUM(AO$290,AO$295)*Haute_Mer_1994!NOC_rpmt_max_perc)*Haute_Mer_1994!NOC_CI_opex_rpmt</f>
        <v>0</v>
      </c>
      <c r="AP336" s="49">
        <f ca="1">-MIN(SUM(AP334:AP335),SUM(AP$290,AP$295)*Haute_Mer_1994!NOC_rpmt_max_perc)*Haute_Mer_1994!NOC_CI_opex_rpmt</f>
        <v>0</v>
      </c>
      <c r="AQ336" s="49">
        <f ca="1">-MIN(SUM(AQ334:AQ335),SUM(AQ$290,AQ$295)*Haute_Mer_1994!NOC_rpmt_max_perc)*Haute_Mer_1994!NOC_CI_opex_rpmt</f>
        <v>0</v>
      </c>
      <c r="AR336" s="49">
        <f ca="1">-MIN(SUM(AR334:AR335),SUM(AR$290,AR$295)*Haute_Mer_1994!NOC_rpmt_max_perc)*Haute_Mer_1994!NOC_CI_opex_rpmt</f>
        <v>0</v>
      </c>
      <c r="AS336" s="49">
        <f ca="1">-MIN(SUM(AS334:AS335),SUM(AS$290,AS$295)*Haute_Mer_1994!NOC_rpmt_max_perc)*Haute_Mer_1994!NOC_CI_opex_rpmt</f>
        <v>0</v>
      </c>
      <c r="AT336" s="49">
        <f ca="1">-MIN(SUM(AT334:AT335),SUM(AT$290,AT$295)*Haute_Mer_1994!NOC_rpmt_max_perc)*Haute_Mer_1994!NOC_CI_opex_rpmt</f>
        <v>0</v>
      </c>
      <c r="AU336" s="49">
        <f ca="1">-MIN(SUM(AU334:AU335),SUM(AU$290,AU$295)*Haute_Mer_1994!NOC_rpmt_max_perc)*Haute_Mer_1994!NOC_CI_opex_rpmt</f>
        <v>0</v>
      </c>
      <c r="AV336" s="49">
        <f ca="1">-MIN(SUM(AV334:AV335),SUM(AV$290,AV$295)*Haute_Mer_1994!NOC_rpmt_max_perc)*Haute_Mer_1994!NOC_CI_opex_rpmt</f>
        <v>0</v>
      </c>
      <c r="AW336" s="49">
        <f ca="1">-MIN(SUM(AW334:AW335),SUM(AW$290,AW$295)*Haute_Mer_1994!NOC_rpmt_max_perc)*Haute_Mer_1994!NOC_CI_opex_rpmt</f>
        <v>0</v>
      </c>
      <c r="AX336" s="49">
        <f ca="1">-MIN(SUM(AX334:AX335),SUM(AX$290,AX$295)*Haute_Mer_1994!NOC_rpmt_max_perc)*Haute_Mer_1994!NOC_CI_opex_rpmt</f>
        <v>0</v>
      </c>
      <c r="AY336" s="49">
        <f ca="1">-MIN(SUM(AY334:AY335),SUM(AY$290,AY$295)*Haute_Mer_1994!NOC_rpmt_max_perc)*Haute_Mer_1994!NOC_CI_opex_rpmt</f>
        <v>0</v>
      </c>
      <c r="AZ336" s="49">
        <f ca="1">-MIN(SUM(AZ334:AZ335),SUM(AZ$290,AZ$295)*Haute_Mer_1994!NOC_rpmt_max_perc)*Haute_Mer_1994!NOC_CI_opex_rpmt</f>
        <v>0</v>
      </c>
      <c r="BA336" s="49">
        <f ca="1">-MIN(SUM(BA334:BA335),SUM(BA$290,BA$295)*Haute_Mer_1994!NOC_rpmt_max_perc)*Haute_Mer_1994!NOC_CI_opex_rpmt</f>
        <v>0</v>
      </c>
      <c r="BB336" s="49">
        <f ca="1">-MIN(SUM(BB334:BB335),SUM(BB$290,BB$295)*Haute_Mer_1994!NOC_rpmt_max_perc)*Haute_Mer_1994!NOC_CI_opex_rpmt</f>
        <v>0</v>
      </c>
      <c r="BC336" s="49">
        <f ca="1">-MIN(SUM(BC334:BC335),SUM(BC$290,BC$295)*Haute_Mer_1994!NOC_rpmt_max_perc)*Haute_Mer_1994!NOC_CI_opex_rpmt</f>
        <v>0</v>
      </c>
      <c r="BD336" s="49">
        <f ca="1">-MIN(SUM(BD334:BD335),SUM(BD$290,BD$295)*Haute_Mer_1994!NOC_rpmt_max_perc)*Haute_Mer_1994!NOC_CI_opex_rpmt</f>
        <v>0</v>
      </c>
      <c r="BE336" s="49">
        <f ca="1">-MIN(SUM(BE334:BE335),SUM(BE$290,BE$295)*Haute_Mer_1994!NOC_rpmt_max_perc)*Haute_Mer_1994!NOC_CI_opex_rpmt</f>
        <v>0</v>
      </c>
      <c r="BF336" s="49">
        <f ca="1">-MIN(SUM(BF334:BF335),SUM(BF$290,BF$295)*Haute_Mer_1994!NOC_rpmt_max_perc)*Haute_Mer_1994!NOC_CI_opex_rpmt</f>
        <v>0</v>
      </c>
      <c r="BG336" s="49">
        <f ca="1">-MIN(SUM(BG334:BG335),SUM(BG$290,BG$295)*Haute_Mer_1994!NOC_rpmt_max_perc)*Haute_Mer_1994!NOC_CI_opex_rpmt</f>
        <v>0</v>
      </c>
      <c r="BH336" s="49">
        <f ca="1">-MIN(SUM(BH334:BH335),SUM(BH$290,BH$295)*Haute_Mer_1994!NOC_rpmt_max_perc)*Haute_Mer_1994!NOC_CI_opex_rpmt</f>
        <v>0</v>
      </c>
      <c r="BI336" s="49">
        <f ca="1">-MIN(SUM(BI334:BI335),SUM(BI$290,BI$295)*Haute_Mer_1994!NOC_rpmt_max_perc)*Haute_Mer_1994!NOC_CI_opex_rpmt</f>
        <v>0</v>
      </c>
      <c r="BJ336" s="49">
        <f ca="1">-MIN(SUM(BJ334:BJ335),SUM(BJ$290,BJ$295)*Haute_Mer_1994!NOC_rpmt_max_perc)*Haute_Mer_1994!NOC_CI_opex_rpmt</f>
        <v>0</v>
      </c>
      <c r="BK336" s="49">
        <f ca="1">-MIN(SUM(BK334:BK335),SUM(BK$290,BK$295)*Haute_Mer_1994!NOC_rpmt_max_perc)*Haute_Mer_1994!NOC_CI_opex_rpmt</f>
        <v>0</v>
      </c>
      <c r="BL336" s="49">
        <f ca="1">-MIN(SUM(BL334:BL335),SUM(BL$290,BL$295)*Haute_Mer_1994!NOC_rpmt_max_perc)*Haute_Mer_1994!NOC_CI_opex_rpmt</f>
        <v>0</v>
      </c>
      <c r="BM336" s="49">
        <f ca="1">-MIN(SUM(BM334:BM335),SUM(BM$290,BM$295)*Haute_Mer_1994!NOC_rpmt_max_perc)*Haute_Mer_1994!NOC_CI_opex_rpmt</f>
        <v>0</v>
      </c>
      <c r="BN336" s="49">
        <f ca="1">-MIN(SUM(BN334:BN335),SUM(BN$290,BN$295)*Haute_Mer_1994!NOC_rpmt_max_perc)*Haute_Mer_1994!NOC_CI_opex_rpmt</f>
        <v>0</v>
      </c>
      <c r="BO336" s="49">
        <f ca="1">-MIN(SUM(BO334:BO335),SUM(BO$290,BO$295)*Haute_Mer_1994!NOC_rpmt_max_perc)*Haute_Mer_1994!NOC_CI_opex_rpmt</f>
        <v>0</v>
      </c>
      <c r="BP336" s="49">
        <f ca="1">-MIN(SUM(BP334:BP335),SUM(BP$290,BP$295)*Haute_Mer_1994!NOC_rpmt_max_perc)*Haute_Mer_1994!NOC_CI_opex_rpmt</f>
        <v>0</v>
      </c>
      <c r="BQ336" s="49">
        <f ca="1">-MIN(SUM(BQ334:BQ335),SUM(BQ$290,BQ$295)*Haute_Mer_1994!NOC_rpmt_max_perc)*Haute_Mer_1994!NOC_CI_opex_rpmt</f>
        <v>0</v>
      </c>
      <c r="BR336" s="49">
        <f ca="1">-MIN(SUM(BR334:BR335),SUM(BR$290,BR$295)*Haute_Mer_1994!NOC_rpmt_max_perc)*Haute_Mer_1994!NOC_CI_opex_rpmt</f>
        <v>0</v>
      </c>
      <c r="BS336" s="49">
        <f ca="1">-MIN(SUM(BS334:BS335),SUM(BS$290,BS$295)*Haute_Mer_1994!NOC_rpmt_max_perc)*Haute_Mer_1994!NOC_CI_opex_rpmt</f>
        <v>0</v>
      </c>
    </row>
    <row r="337" spans="1:93" outlineLevel="1" x14ac:dyDescent="0.2">
      <c r="D337" t="s">
        <v>336</v>
      </c>
      <c r="J337" s="26"/>
      <c r="L337" s="49">
        <f ca="1">SUM(L334:L336)</f>
        <v>0</v>
      </c>
      <c r="M337" s="49">
        <f t="shared" ref="M337:BS337" ca="1" si="113">SUM(M334:M336)</f>
        <v>0</v>
      </c>
      <c r="N337" s="49">
        <f t="shared" ca="1" si="113"/>
        <v>0</v>
      </c>
      <c r="O337" s="49">
        <f t="shared" ca="1" si="113"/>
        <v>0</v>
      </c>
      <c r="P337" s="49">
        <f t="shared" ca="1" si="113"/>
        <v>0</v>
      </c>
      <c r="Q337" s="49">
        <f t="shared" ca="1" si="113"/>
        <v>0</v>
      </c>
      <c r="R337" s="49">
        <f t="shared" ca="1" si="113"/>
        <v>0</v>
      </c>
      <c r="S337" s="49">
        <f t="shared" ca="1" si="113"/>
        <v>0</v>
      </c>
      <c r="T337" s="49">
        <f t="shared" ca="1" si="113"/>
        <v>0</v>
      </c>
      <c r="U337" s="49">
        <f t="shared" ca="1" si="113"/>
        <v>0</v>
      </c>
      <c r="V337" s="49">
        <f t="shared" ca="1" si="113"/>
        <v>0</v>
      </c>
      <c r="W337" s="49">
        <f t="shared" ca="1" si="113"/>
        <v>0</v>
      </c>
      <c r="X337" s="49">
        <f t="shared" ca="1" si="113"/>
        <v>0</v>
      </c>
      <c r="Y337" s="49">
        <f t="shared" ca="1" si="113"/>
        <v>0</v>
      </c>
      <c r="Z337" s="49">
        <f t="shared" ca="1" si="113"/>
        <v>0</v>
      </c>
      <c r="AA337" s="49">
        <f t="shared" ca="1" si="113"/>
        <v>0</v>
      </c>
      <c r="AB337" s="49">
        <f t="shared" ca="1" si="113"/>
        <v>0</v>
      </c>
      <c r="AC337" s="49">
        <f t="shared" ca="1" si="113"/>
        <v>0</v>
      </c>
      <c r="AD337" s="49">
        <f t="shared" ca="1" si="113"/>
        <v>0</v>
      </c>
      <c r="AE337" s="49">
        <f t="shared" ca="1" si="113"/>
        <v>0</v>
      </c>
      <c r="AF337" s="49">
        <f t="shared" ca="1" si="113"/>
        <v>0</v>
      </c>
      <c r="AG337" s="49">
        <f t="shared" ca="1" si="113"/>
        <v>0</v>
      </c>
      <c r="AH337" s="49">
        <f t="shared" ca="1" si="113"/>
        <v>0</v>
      </c>
      <c r="AI337" s="49">
        <f t="shared" ca="1" si="113"/>
        <v>0</v>
      </c>
      <c r="AJ337" s="49">
        <f t="shared" ca="1" si="113"/>
        <v>0</v>
      </c>
      <c r="AK337" s="49">
        <f t="shared" ca="1" si="113"/>
        <v>0</v>
      </c>
      <c r="AL337" s="49">
        <f t="shared" ca="1" si="113"/>
        <v>0</v>
      </c>
      <c r="AM337" s="49">
        <f t="shared" ca="1" si="113"/>
        <v>0</v>
      </c>
      <c r="AN337" s="49">
        <f t="shared" ca="1" si="113"/>
        <v>0</v>
      </c>
      <c r="AO337" s="49">
        <f t="shared" ca="1" si="113"/>
        <v>0</v>
      </c>
      <c r="AP337" s="49">
        <f t="shared" ca="1" si="113"/>
        <v>0</v>
      </c>
      <c r="AQ337" s="49">
        <f t="shared" ca="1" si="113"/>
        <v>0</v>
      </c>
      <c r="AR337" s="49">
        <f t="shared" ca="1" si="113"/>
        <v>0</v>
      </c>
      <c r="AS337" s="49">
        <f t="shared" ca="1" si="113"/>
        <v>0</v>
      </c>
      <c r="AT337" s="49">
        <f t="shared" ca="1" si="113"/>
        <v>0</v>
      </c>
      <c r="AU337" s="49">
        <f t="shared" ca="1" si="113"/>
        <v>0</v>
      </c>
      <c r="AV337" s="49">
        <f t="shared" ca="1" si="113"/>
        <v>0</v>
      </c>
      <c r="AW337" s="49">
        <f t="shared" ca="1" si="113"/>
        <v>0</v>
      </c>
      <c r="AX337" s="49">
        <f t="shared" ca="1" si="113"/>
        <v>0</v>
      </c>
      <c r="AY337" s="49">
        <f t="shared" ca="1" si="113"/>
        <v>0</v>
      </c>
      <c r="AZ337" s="49">
        <f t="shared" ca="1" si="113"/>
        <v>0</v>
      </c>
      <c r="BA337" s="49">
        <f t="shared" ca="1" si="113"/>
        <v>0</v>
      </c>
      <c r="BB337" s="49">
        <f t="shared" ca="1" si="113"/>
        <v>0</v>
      </c>
      <c r="BC337" s="49">
        <f t="shared" ca="1" si="113"/>
        <v>0</v>
      </c>
      <c r="BD337" s="49">
        <f t="shared" ca="1" si="113"/>
        <v>0</v>
      </c>
      <c r="BE337" s="49">
        <f t="shared" ca="1" si="113"/>
        <v>0</v>
      </c>
      <c r="BF337" s="49">
        <f t="shared" ca="1" si="113"/>
        <v>0</v>
      </c>
      <c r="BG337" s="49">
        <f t="shared" ca="1" si="113"/>
        <v>0</v>
      </c>
      <c r="BH337" s="49">
        <f t="shared" ca="1" si="113"/>
        <v>0</v>
      </c>
      <c r="BI337" s="49">
        <f t="shared" ca="1" si="113"/>
        <v>0</v>
      </c>
      <c r="BJ337" s="49">
        <f t="shared" ca="1" si="113"/>
        <v>0</v>
      </c>
      <c r="BK337" s="49">
        <f t="shared" ca="1" si="113"/>
        <v>0</v>
      </c>
      <c r="BL337" s="49">
        <f t="shared" ca="1" si="113"/>
        <v>0</v>
      </c>
      <c r="BM337" s="49">
        <f t="shared" ca="1" si="113"/>
        <v>0</v>
      </c>
      <c r="BN337" s="49">
        <f t="shared" ca="1" si="113"/>
        <v>0</v>
      </c>
      <c r="BO337" s="49">
        <f t="shared" ca="1" si="113"/>
        <v>0</v>
      </c>
      <c r="BP337" s="49">
        <f t="shared" ca="1" si="113"/>
        <v>0</v>
      </c>
      <c r="BQ337" s="49">
        <f t="shared" ca="1" si="113"/>
        <v>0</v>
      </c>
      <c r="BR337" s="49">
        <f t="shared" ca="1" si="113"/>
        <v>0</v>
      </c>
      <c r="BS337" s="49">
        <f t="shared" ca="1" si="113"/>
        <v>0</v>
      </c>
    </row>
    <row r="338" spans="1:93" outlineLevel="1" x14ac:dyDescent="0.2">
      <c r="J338" s="26"/>
      <c r="L338" s="55"/>
      <c r="M338" s="55"/>
      <c r="N338" s="55"/>
      <c r="O338" s="55"/>
      <c r="P338" s="55"/>
      <c r="Q338" s="55"/>
      <c r="R338" s="55"/>
      <c r="S338" s="55"/>
      <c r="T338" s="55"/>
      <c r="U338" s="55"/>
      <c r="V338" s="55"/>
      <c r="W338" s="55"/>
      <c r="X338" s="55"/>
      <c r="Y338" s="55"/>
      <c r="Z338" s="55"/>
      <c r="AA338" s="55"/>
      <c r="AB338" s="55"/>
      <c r="AC338" s="55"/>
      <c r="AD338" s="55"/>
      <c r="AE338" s="55"/>
      <c r="AF338" s="55"/>
      <c r="AG338" s="55"/>
      <c r="AH338" s="55"/>
      <c r="AI338" s="55"/>
      <c r="AJ338" s="55"/>
      <c r="AK338" s="55"/>
      <c r="AL338" s="55"/>
      <c r="AM338" s="55"/>
      <c r="AN338" s="55"/>
      <c r="AO338" s="55"/>
      <c r="AP338" s="55"/>
      <c r="AQ338" s="55"/>
      <c r="AR338" s="55"/>
      <c r="AS338" s="55"/>
      <c r="AT338" s="55"/>
      <c r="AU338" s="55"/>
      <c r="AV338" s="55"/>
      <c r="AW338" s="55"/>
      <c r="AX338" s="55"/>
      <c r="AY338" s="55"/>
      <c r="AZ338" s="55"/>
      <c r="BA338" s="55"/>
      <c r="BB338" s="55"/>
      <c r="BC338" s="55"/>
      <c r="BD338" s="55"/>
      <c r="BE338" s="55"/>
      <c r="BF338" s="55"/>
      <c r="BG338" s="55"/>
      <c r="BH338" s="55"/>
      <c r="BI338" s="55"/>
      <c r="BJ338" s="55"/>
      <c r="BK338" s="55"/>
      <c r="BL338" s="55"/>
      <c r="BM338" s="55"/>
      <c r="BN338" s="55"/>
      <c r="BO338" s="55"/>
      <c r="BP338" s="55"/>
      <c r="BQ338" s="55"/>
      <c r="BR338" s="55"/>
      <c r="BS338" s="55"/>
    </row>
    <row r="339" spans="1:93" outlineLevel="1" x14ac:dyDescent="0.2">
      <c r="C339" t="s">
        <v>349</v>
      </c>
      <c r="I339" s="30">
        <f t="shared" ref="I339:I340" ca="1" si="114">SUM($L339:$BS339)</f>
        <v>1637.03865</v>
      </c>
      <c r="J339" s="26" t="s">
        <v>148</v>
      </c>
      <c r="K339" s="7" t="s">
        <v>351</v>
      </c>
      <c r="L339" s="49">
        <f ca="1">L319</f>
        <v>193.01729999999998</v>
      </c>
      <c r="M339" s="49">
        <f t="shared" ref="M339:BS339" ca="1" si="115">M319</f>
        <v>317.73179999999996</v>
      </c>
      <c r="N339" s="49">
        <f t="shared" ca="1" si="115"/>
        <v>469.58609999999999</v>
      </c>
      <c r="O339" s="49">
        <f t="shared" ca="1" si="115"/>
        <v>385.68014999999997</v>
      </c>
      <c r="P339" s="49">
        <f t="shared" ca="1" si="115"/>
        <v>172.98479999999998</v>
      </c>
      <c r="Q339" s="49">
        <f t="shared" ca="1" si="115"/>
        <v>98.038499999999999</v>
      </c>
      <c r="R339" s="49">
        <f t="shared" ca="1" si="115"/>
        <v>0</v>
      </c>
      <c r="S339" s="49">
        <f t="shared" ca="1" si="115"/>
        <v>0</v>
      </c>
      <c r="T339" s="49">
        <f t="shared" ca="1" si="115"/>
        <v>0</v>
      </c>
      <c r="U339" s="49">
        <f t="shared" ca="1" si="115"/>
        <v>0</v>
      </c>
      <c r="V339" s="49">
        <f t="shared" ca="1" si="115"/>
        <v>0</v>
      </c>
      <c r="W339" s="49">
        <f t="shared" ca="1" si="115"/>
        <v>0</v>
      </c>
      <c r="X339" s="49">
        <f t="shared" ca="1" si="115"/>
        <v>0</v>
      </c>
      <c r="Y339" s="49">
        <f t="shared" ca="1" si="115"/>
        <v>0</v>
      </c>
      <c r="Z339" s="49">
        <f t="shared" ca="1" si="115"/>
        <v>0</v>
      </c>
      <c r="AA339" s="49">
        <f t="shared" ca="1" si="115"/>
        <v>0</v>
      </c>
      <c r="AB339" s="49">
        <f t="shared" ca="1" si="115"/>
        <v>0</v>
      </c>
      <c r="AC339" s="49">
        <f t="shared" ca="1" si="115"/>
        <v>0</v>
      </c>
      <c r="AD339" s="49">
        <f t="shared" ca="1" si="115"/>
        <v>0</v>
      </c>
      <c r="AE339" s="49">
        <f t="shared" ca="1" si="115"/>
        <v>0</v>
      </c>
      <c r="AF339" s="49">
        <f t="shared" ca="1" si="115"/>
        <v>0</v>
      </c>
      <c r="AG339" s="49">
        <f t="shared" ca="1" si="115"/>
        <v>0</v>
      </c>
      <c r="AH339" s="49">
        <f t="shared" ca="1" si="115"/>
        <v>0</v>
      </c>
      <c r="AI339" s="49">
        <f t="shared" ca="1" si="115"/>
        <v>0</v>
      </c>
      <c r="AJ339" s="49">
        <f t="shared" ca="1" si="115"/>
        <v>0</v>
      </c>
      <c r="AK339" s="49">
        <f t="shared" ca="1" si="115"/>
        <v>0</v>
      </c>
      <c r="AL339" s="49">
        <f t="shared" ca="1" si="115"/>
        <v>0</v>
      </c>
      <c r="AM339" s="49">
        <f t="shared" ca="1" si="115"/>
        <v>0</v>
      </c>
      <c r="AN339" s="49">
        <f t="shared" ca="1" si="115"/>
        <v>0</v>
      </c>
      <c r="AO339" s="49">
        <f t="shared" ca="1" si="115"/>
        <v>0</v>
      </c>
      <c r="AP339" s="49">
        <f t="shared" ca="1" si="115"/>
        <v>0</v>
      </c>
      <c r="AQ339" s="49">
        <f t="shared" ca="1" si="115"/>
        <v>0</v>
      </c>
      <c r="AR339" s="49">
        <f t="shared" ca="1" si="115"/>
        <v>0</v>
      </c>
      <c r="AS339" s="49">
        <f t="shared" ca="1" si="115"/>
        <v>0</v>
      </c>
      <c r="AT339" s="49">
        <f t="shared" ca="1" si="115"/>
        <v>0</v>
      </c>
      <c r="AU339" s="49">
        <f t="shared" ca="1" si="115"/>
        <v>0</v>
      </c>
      <c r="AV339" s="49">
        <f t="shared" ca="1" si="115"/>
        <v>0</v>
      </c>
      <c r="AW339" s="49">
        <f t="shared" ca="1" si="115"/>
        <v>0</v>
      </c>
      <c r="AX339" s="49">
        <f t="shared" ca="1" si="115"/>
        <v>0</v>
      </c>
      <c r="AY339" s="49">
        <f t="shared" ca="1" si="115"/>
        <v>0</v>
      </c>
      <c r="AZ339" s="49">
        <f t="shared" ca="1" si="115"/>
        <v>0</v>
      </c>
      <c r="BA339" s="49">
        <f t="shared" ca="1" si="115"/>
        <v>0</v>
      </c>
      <c r="BB339" s="49">
        <f t="shared" ca="1" si="115"/>
        <v>0</v>
      </c>
      <c r="BC339" s="49">
        <f t="shared" ca="1" si="115"/>
        <v>0</v>
      </c>
      <c r="BD339" s="49">
        <f t="shared" ca="1" si="115"/>
        <v>0</v>
      </c>
      <c r="BE339" s="49">
        <f t="shared" ca="1" si="115"/>
        <v>0</v>
      </c>
      <c r="BF339" s="49">
        <f t="shared" ca="1" si="115"/>
        <v>0</v>
      </c>
      <c r="BG339" s="49">
        <f t="shared" ca="1" si="115"/>
        <v>0</v>
      </c>
      <c r="BH339" s="49">
        <f t="shared" ca="1" si="115"/>
        <v>0</v>
      </c>
      <c r="BI339" s="49">
        <f t="shared" ca="1" si="115"/>
        <v>0</v>
      </c>
      <c r="BJ339" s="49">
        <f t="shared" ca="1" si="115"/>
        <v>0</v>
      </c>
      <c r="BK339" s="49">
        <f t="shared" ca="1" si="115"/>
        <v>0</v>
      </c>
      <c r="BL339" s="49">
        <f t="shared" ca="1" si="115"/>
        <v>0</v>
      </c>
      <c r="BM339" s="49">
        <f t="shared" ca="1" si="115"/>
        <v>0</v>
      </c>
      <c r="BN339" s="49">
        <f t="shared" ca="1" si="115"/>
        <v>0</v>
      </c>
      <c r="BO339" s="49">
        <f t="shared" ca="1" si="115"/>
        <v>0</v>
      </c>
      <c r="BP339" s="49">
        <f t="shared" ca="1" si="115"/>
        <v>0</v>
      </c>
      <c r="BQ339" s="49">
        <f t="shared" ca="1" si="115"/>
        <v>0</v>
      </c>
      <c r="BR339" s="49">
        <f t="shared" ca="1" si="115"/>
        <v>0</v>
      </c>
      <c r="BS339" s="49">
        <f t="shared" ca="1" si="115"/>
        <v>0</v>
      </c>
    </row>
    <row r="340" spans="1:93" outlineLevel="1" x14ac:dyDescent="0.2">
      <c r="C340" t="s">
        <v>350</v>
      </c>
      <c r="I340" s="30">
        <f t="shared" ca="1" si="114"/>
        <v>-934.68243010741617</v>
      </c>
      <c r="J340" s="26" t="s">
        <v>148</v>
      </c>
      <c r="K340" s="7" t="s">
        <v>352</v>
      </c>
      <c r="L340" s="49">
        <f ca="1">SUM(L324,L330,L336)</f>
        <v>-57.571496797623155</v>
      </c>
      <c r="M340" s="49">
        <f t="shared" ref="M340:BS340" ca="1" si="116">SUM(M324,M330,M336)</f>
        <v>-54.760215369848353</v>
      </c>
      <c r="N340" s="49">
        <f t="shared" ca="1" si="116"/>
        <v>-22.256514005017031</v>
      </c>
      <c r="O340" s="49">
        <f t="shared" ca="1" si="116"/>
        <v>-21.123086821107403</v>
      </c>
      <c r="P340" s="49">
        <f t="shared" ca="1" si="116"/>
        <v>-57.281159232804534</v>
      </c>
      <c r="Q340" s="49">
        <f t="shared" ca="1" si="116"/>
        <v>-110.85288035194517</v>
      </c>
      <c r="R340" s="49">
        <f t="shared" ca="1" si="116"/>
        <v>-106.48802413669142</v>
      </c>
      <c r="S340" s="49">
        <f t="shared" ca="1" si="116"/>
        <v>-64.524635115970511</v>
      </c>
      <c r="T340" s="49">
        <f t="shared" ca="1" si="116"/>
        <v>-94.012953928157714</v>
      </c>
      <c r="U340" s="49">
        <f t="shared" ca="1" si="116"/>
        <v>-93.349091765417285</v>
      </c>
      <c r="V340" s="49">
        <f t="shared" ca="1" si="116"/>
        <v>-88.550948448674831</v>
      </c>
      <c r="W340" s="49">
        <f t="shared" ca="1" si="116"/>
        <v>-84.22956512224421</v>
      </c>
      <c r="X340" s="49">
        <f t="shared" ca="1" si="116"/>
        <v>-79.681859011914511</v>
      </c>
      <c r="Y340" s="49">
        <f t="shared" ca="1" si="116"/>
        <v>0</v>
      </c>
      <c r="Z340" s="49">
        <f t="shared" ca="1" si="116"/>
        <v>0</v>
      </c>
      <c r="AA340" s="49">
        <f t="shared" ca="1" si="116"/>
        <v>0</v>
      </c>
      <c r="AB340" s="49">
        <f t="shared" ca="1" si="116"/>
        <v>0</v>
      </c>
      <c r="AC340" s="49">
        <f t="shared" ca="1" si="116"/>
        <v>0</v>
      </c>
      <c r="AD340" s="49">
        <f t="shared" ca="1" si="116"/>
        <v>0</v>
      </c>
      <c r="AE340" s="49">
        <f t="shared" ca="1" si="116"/>
        <v>0</v>
      </c>
      <c r="AF340" s="49">
        <f t="shared" ca="1" si="116"/>
        <v>0</v>
      </c>
      <c r="AG340" s="49">
        <f t="shared" ca="1" si="116"/>
        <v>0</v>
      </c>
      <c r="AH340" s="49">
        <f t="shared" ca="1" si="116"/>
        <v>0</v>
      </c>
      <c r="AI340" s="49">
        <f t="shared" ca="1" si="116"/>
        <v>0</v>
      </c>
      <c r="AJ340" s="49">
        <f t="shared" ca="1" si="116"/>
        <v>0</v>
      </c>
      <c r="AK340" s="49">
        <f t="shared" ca="1" si="116"/>
        <v>0</v>
      </c>
      <c r="AL340" s="49">
        <f t="shared" ca="1" si="116"/>
        <v>0</v>
      </c>
      <c r="AM340" s="49">
        <f t="shared" ca="1" si="116"/>
        <v>0</v>
      </c>
      <c r="AN340" s="49">
        <f t="shared" ca="1" si="116"/>
        <v>0</v>
      </c>
      <c r="AO340" s="49">
        <f t="shared" ca="1" si="116"/>
        <v>0</v>
      </c>
      <c r="AP340" s="49">
        <f t="shared" ca="1" si="116"/>
        <v>0</v>
      </c>
      <c r="AQ340" s="49">
        <f t="shared" ca="1" si="116"/>
        <v>0</v>
      </c>
      <c r="AR340" s="49">
        <f t="shared" ca="1" si="116"/>
        <v>0</v>
      </c>
      <c r="AS340" s="49">
        <f t="shared" ca="1" si="116"/>
        <v>0</v>
      </c>
      <c r="AT340" s="49">
        <f t="shared" ca="1" si="116"/>
        <v>0</v>
      </c>
      <c r="AU340" s="49">
        <f t="shared" ca="1" si="116"/>
        <v>0</v>
      </c>
      <c r="AV340" s="49">
        <f t="shared" ca="1" si="116"/>
        <v>0</v>
      </c>
      <c r="AW340" s="49">
        <f t="shared" ca="1" si="116"/>
        <v>0</v>
      </c>
      <c r="AX340" s="49">
        <f t="shared" ca="1" si="116"/>
        <v>0</v>
      </c>
      <c r="AY340" s="49">
        <f t="shared" ca="1" si="116"/>
        <v>0</v>
      </c>
      <c r="AZ340" s="49">
        <f t="shared" ca="1" si="116"/>
        <v>0</v>
      </c>
      <c r="BA340" s="49">
        <f t="shared" ca="1" si="116"/>
        <v>0</v>
      </c>
      <c r="BB340" s="49">
        <f t="shared" ca="1" si="116"/>
        <v>0</v>
      </c>
      <c r="BC340" s="49">
        <f t="shared" ca="1" si="116"/>
        <v>0</v>
      </c>
      <c r="BD340" s="49">
        <f t="shared" ca="1" si="116"/>
        <v>0</v>
      </c>
      <c r="BE340" s="49">
        <f t="shared" ca="1" si="116"/>
        <v>0</v>
      </c>
      <c r="BF340" s="49">
        <f t="shared" ca="1" si="116"/>
        <v>0</v>
      </c>
      <c r="BG340" s="49">
        <f t="shared" ca="1" si="116"/>
        <v>0</v>
      </c>
      <c r="BH340" s="49">
        <f t="shared" ca="1" si="116"/>
        <v>0</v>
      </c>
      <c r="BI340" s="49">
        <f t="shared" ca="1" si="116"/>
        <v>0</v>
      </c>
      <c r="BJ340" s="49">
        <f t="shared" ca="1" si="116"/>
        <v>0</v>
      </c>
      <c r="BK340" s="49">
        <f t="shared" ca="1" si="116"/>
        <v>0</v>
      </c>
      <c r="BL340" s="49">
        <f t="shared" ca="1" si="116"/>
        <v>0</v>
      </c>
      <c r="BM340" s="49">
        <f t="shared" ca="1" si="116"/>
        <v>0</v>
      </c>
      <c r="BN340" s="49">
        <f t="shared" ca="1" si="116"/>
        <v>0</v>
      </c>
      <c r="BO340" s="49">
        <f t="shared" ca="1" si="116"/>
        <v>0</v>
      </c>
      <c r="BP340" s="49">
        <f t="shared" ca="1" si="116"/>
        <v>0</v>
      </c>
      <c r="BQ340" s="49">
        <f t="shared" ca="1" si="116"/>
        <v>0</v>
      </c>
      <c r="BR340" s="49">
        <f t="shared" ca="1" si="116"/>
        <v>0</v>
      </c>
      <c r="BS340" s="49">
        <f t="shared" ca="1" si="116"/>
        <v>0</v>
      </c>
    </row>
    <row r="341" spans="1:93" outlineLevel="1" x14ac:dyDescent="0.2">
      <c r="J341" s="26"/>
      <c r="L341" s="55"/>
      <c r="M341" s="55"/>
      <c r="N341" s="55"/>
      <c r="O341" s="55"/>
      <c r="P341" s="55"/>
      <c r="Q341" s="55"/>
      <c r="R341" s="55"/>
      <c r="S341" s="55"/>
      <c r="T341" s="55"/>
      <c r="U341" s="55"/>
      <c r="V341" s="55"/>
      <c r="W341" s="55"/>
      <c r="X341" s="55"/>
      <c r="Y341" s="55"/>
      <c r="Z341" s="55"/>
      <c r="AA341" s="55"/>
      <c r="AB341" s="55"/>
      <c r="AC341" s="55"/>
      <c r="AD341" s="55"/>
      <c r="AE341" s="55"/>
      <c r="AF341" s="55"/>
      <c r="AG341" s="55"/>
      <c r="AH341" s="55"/>
      <c r="AI341" s="55"/>
      <c r="AJ341" s="55"/>
      <c r="AK341" s="55"/>
      <c r="AL341" s="55"/>
      <c r="AM341" s="55"/>
      <c r="AN341" s="55"/>
      <c r="AO341" s="55"/>
      <c r="AP341" s="55"/>
      <c r="AQ341" s="55"/>
      <c r="AR341" s="55"/>
      <c r="AS341" s="55"/>
      <c r="AT341" s="55"/>
      <c r="AU341" s="55"/>
      <c r="AV341" s="55"/>
      <c r="AW341" s="55"/>
      <c r="AX341" s="55"/>
      <c r="AY341" s="55"/>
      <c r="AZ341" s="55"/>
      <c r="BA341" s="55"/>
      <c r="BB341" s="55"/>
      <c r="BC341" s="55"/>
      <c r="BD341" s="55"/>
      <c r="BE341" s="55"/>
      <c r="BF341" s="55"/>
      <c r="BG341" s="55"/>
      <c r="BH341" s="55"/>
      <c r="BI341" s="55"/>
      <c r="BJ341" s="55"/>
      <c r="BK341" s="55"/>
      <c r="BL341" s="55"/>
      <c r="BM341" s="55"/>
      <c r="BN341" s="55"/>
      <c r="BO341" s="55"/>
      <c r="BP341" s="55"/>
      <c r="BQ341" s="55"/>
      <c r="BR341" s="55"/>
      <c r="BS341" s="55"/>
    </row>
    <row r="342" spans="1:93" outlineLevel="1" x14ac:dyDescent="0.2">
      <c r="J342" s="26"/>
      <c r="L342" s="55"/>
      <c r="M342" s="55"/>
      <c r="N342" s="55"/>
      <c r="O342" s="55"/>
      <c r="P342" s="55"/>
      <c r="Q342" s="55"/>
      <c r="R342" s="55"/>
      <c r="S342" s="55"/>
      <c r="T342" s="55"/>
      <c r="U342" s="55"/>
      <c r="V342" s="55"/>
      <c r="W342" s="55"/>
      <c r="X342" s="55"/>
      <c r="Y342" s="55"/>
      <c r="Z342" s="55"/>
      <c r="AA342" s="55"/>
      <c r="AB342" s="55"/>
      <c r="AC342" s="55"/>
      <c r="AD342" s="55"/>
      <c r="AE342" s="55"/>
      <c r="AF342" s="55"/>
      <c r="AG342" s="55"/>
      <c r="AH342" s="55"/>
      <c r="AI342" s="55"/>
      <c r="AJ342" s="55"/>
      <c r="AK342" s="55"/>
      <c r="AL342" s="55"/>
      <c r="AM342" s="55"/>
      <c r="AN342" s="55"/>
      <c r="AO342" s="55"/>
      <c r="AP342" s="55"/>
      <c r="AQ342" s="55"/>
      <c r="AR342" s="55"/>
      <c r="AS342" s="55"/>
      <c r="AT342" s="55"/>
      <c r="AU342" s="55"/>
      <c r="AV342" s="55"/>
      <c r="AW342" s="55"/>
      <c r="AX342" s="55"/>
      <c r="AY342" s="55"/>
      <c r="AZ342" s="55"/>
      <c r="BA342" s="55"/>
      <c r="BB342" s="55"/>
      <c r="BC342" s="55"/>
      <c r="BD342" s="55"/>
      <c r="BE342" s="55"/>
      <c r="BF342" s="55"/>
      <c r="BG342" s="55"/>
      <c r="BH342" s="55"/>
      <c r="BI342" s="55"/>
      <c r="BJ342" s="55"/>
      <c r="BK342" s="55"/>
      <c r="BL342" s="55"/>
      <c r="BM342" s="55"/>
      <c r="BN342" s="55"/>
      <c r="BO342" s="55"/>
      <c r="BP342" s="55"/>
      <c r="BQ342" s="55"/>
      <c r="BR342" s="55"/>
      <c r="BS342" s="55"/>
    </row>
    <row r="343" spans="1:93" outlineLevel="1" x14ac:dyDescent="0.2">
      <c r="J343" s="26"/>
      <c r="L343" s="55"/>
      <c r="M343" s="55"/>
      <c r="N343" s="55"/>
      <c r="O343" s="55"/>
      <c r="P343" s="55"/>
      <c r="Q343" s="55"/>
      <c r="R343" s="55"/>
      <c r="S343" s="55"/>
      <c r="T343" s="55"/>
      <c r="U343" s="55"/>
      <c r="V343" s="55"/>
      <c r="W343" s="55"/>
      <c r="X343" s="55"/>
      <c r="Y343" s="55"/>
      <c r="Z343" s="55"/>
      <c r="AA343" s="55"/>
      <c r="AB343" s="55"/>
      <c r="AC343" s="55"/>
      <c r="AD343" s="55"/>
      <c r="AE343" s="55"/>
      <c r="AF343" s="55"/>
      <c r="AG343" s="55"/>
      <c r="AH343" s="55"/>
      <c r="AI343" s="55"/>
      <c r="AJ343" s="55"/>
      <c r="AK343" s="55"/>
      <c r="AL343" s="55"/>
      <c r="AM343" s="55"/>
      <c r="AN343" s="55"/>
      <c r="AO343" s="55"/>
      <c r="AP343" s="55"/>
      <c r="AQ343" s="55"/>
      <c r="AR343" s="55"/>
      <c r="AS343" s="55"/>
      <c r="AT343" s="55"/>
      <c r="AU343" s="55"/>
      <c r="AV343" s="55"/>
      <c r="AW343" s="55"/>
      <c r="AX343" s="55"/>
      <c r="AY343" s="55"/>
      <c r="AZ343" s="55"/>
      <c r="BA343" s="55"/>
      <c r="BB343" s="55"/>
      <c r="BC343" s="55"/>
      <c r="BD343" s="55"/>
      <c r="BE343" s="55"/>
      <c r="BF343" s="55"/>
      <c r="BG343" s="55"/>
      <c r="BH343" s="55"/>
      <c r="BI343" s="55"/>
      <c r="BJ343" s="55"/>
      <c r="BK343" s="55"/>
      <c r="BL343" s="55"/>
      <c r="BM343" s="55"/>
      <c r="BN343" s="55"/>
      <c r="BO343" s="55"/>
      <c r="BP343" s="55"/>
      <c r="BQ343" s="55"/>
      <c r="BR343" s="55"/>
      <c r="BS343" s="55"/>
    </row>
    <row r="344" spans="1:93" x14ac:dyDescent="0.2">
      <c r="J344" s="26"/>
      <c r="L344" s="55"/>
      <c r="M344" s="55"/>
      <c r="N344" s="55"/>
      <c r="O344" s="55"/>
      <c r="P344" s="55"/>
      <c r="Q344" s="55"/>
      <c r="R344" s="55"/>
      <c r="S344" s="55"/>
      <c r="T344" s="55"/>
      <c r="U344" s="55"/>
      <c r="V344" s="55"/>
      <c r="W344" s="55"/>
      <c r="X344" s="55"/>
      <c r="Y344" s="55"/>
      <c r="Z344" s="55"/>
      <c r="AA344" s="55"/>
      <c r="AB344" s="55"/>
      <c r="AC344" s="55"/>
      <c r="AD344" s="55"/>
      <c r="AE344" s="55"/>
      <c r="AF344" s="55"/>
      <c r="AG344" s="55"/>
      <c r="AH344" s="55"/>
      <c r="AI344" s="55"/>
      <c r="AJ344" s="55"/>
      <c r="AK344" s="55"/>
      <c r="AL344" s="55"/>
      <c r="AM344" s="55"/>
      <c r="AN344" s="55"/>
      <c r="AO344" s="55"/>
      <c r="AP344" s="55"/>
      <c r="AQ344" s="55"/>
      <c r="AR344" s="55"/>
      <c r="AS344" s="55"/>
      <c r="AT344" s="55"/>
      <c r="AU344" s="55"/>
      <c r="AV344" s="55"/>
      <c r="AW344" s="55"/>
      <c r="AX344" s="55"/>
      <c r="AY344" s="55"/>
      <c r="AZ344" s="55"/>
      <c r="BA344" s="55"/>
      <c r="BB344" s="55"/>
      <c r="BC344" s="55"/>
      <c r="BD344" s="55"/>
      <c r="BE344" s="55"/>
      <c r="BF344" s="55"/>
      <c r="BG344" s="55"/>
      <c r="BH344" s="55"/>
      <c r="BI344" s="55"/>
      <c r="BJ344" s="55"/>
      <c r="BK344" s="55"/>
      <c r="BL344" s="55"/>
      <c r="BM344" s="55"/>
      <c r="BN344" s="55"/>
      <c r="BO344" s="55"/>
      <c r="BP344" s="55"/>
      <c r="BQ344" s="55"/>
      <c r="BR344" s="55"/>
      <c r="BS344" s="55"/>
    </row>
    <row r="345" spans="1:93" ht="16" thickBot="1" x14ac:dyDescent="0.25">
      <c r="J345" s="26"/>
      <c r="L345" s="55"/>
      <c r="M345" s="55"/>
      <c r="N345" s="55"/>
      <c r="O345" s="55"/>
      <c r="P345" s="55"/>
      <c r="Q345" s="55"/>
      <c r="R345" s="55"/>
      <c r="S345" s="55"/>
      <c r="T345" s="55"/>
      <c r="U345" s="55"/>
      <c r="V345" s="55"/>
      <c r="W345" s="55"/>
      <c r="X345" s="55"/>
      <c r="Y345" s="55"/>
      <c r="Z345" s="55"/>
      <c r="AA345" s="55"/>
      <c r="AB345" s="55"/>
      <c r="AC345" s="55"/>
      <c r="AD345" s="55"/>
      <c r="AE345" s="55"/>
      <c r="AF345" s="55"/>
      <c r="AG345" s="55"/>
      <c r="AH345" s="55"/>
      <c r="AI345" s="55"/>
      <c r="AJ345" s="55"/>
      <c r="AK345" s="55"/>
      <c r="AL345" s="55"/>
      <c r="AM345" s="55"/>
      <c r="AN345" s="55"/>
      <c r="AO345" s="55"/>
      <c r="AP345" s="55"/>
      <c r="AQ345" s="55"/>
      <c r="AR345" s="55"/>
      <c r="AS345" s="55"/>
      <c r="AT345" s="55"/>
      <c r="AU345" s="55"/>
      <c r="AV345" s="55"/>
      <c r="AW345" s="55"/>
      <c r="AX345" s="55"/>
      <c r="AY345" s="55"/>
      <c r="AZ345" s="55"/>
      <c r="BA345" s="55"/>
      <c r="BB345" s="55"/>
      <c r="BC345" s="55"/>
      <c r="BD345" s="55"/>
      <c r="BE345" s="55"/>
      <c r="BF345" s="55"/>
      <c r="BG345" s="55"/>
      <c r="BH345" s="55"/>
      <c r="BI345" s="55"/>
      <c r="BJ345" s="55"/>
      <c r="BK345" s="55"/>
      <c r="BL345" s="55"/>
      <c r="BM345" s="55"/>
      <c r="BN345" s="55"/>
      <c r="BO345" s="55"/>
      <c r="BP345" s="55"/>
      <c r="BQ345" s="55"/>
      <c r="BR345" s="55"/>
      <c r="BS345" s="55"/>
    </row>
    <row r="346" spans="1:93" ht="22" thickBot="1" x14ac:dyDescent="0.25">
      <c r="A346" s="8"/>
      <c r="B346" s="221" t="s">
        <v>255</v>
      </c>
      <c r="C346" s="222"/>
      <c r="D346" s="222"/>
      <c r="E346" s="223"/>
      <c r="F346" s="9"/>
      <c r="G346" s="9"/>
      <c r="H346" s="9"/>
      <c r="I346" s="9"/>
      <c r="J346" s="48"/>
      <c r="K346" s="10"/>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c r="BY346" s="9"/>
      <c r="BZ346" s="9"/>
      <c r="CA346" s="9"/>
      <c r="CB346" s="9"/>
      <c r="CC346" s="9"/>
      <c r="CD346" s="9"/>
      <c r="CE346" s="9"/>
      <c r="CF346" s="9"/>
      <c r="CG346" s="9"/>
      <c r="CH346" s="9"/>
      <c r="CI346" s="9"/>
      <c r="CJ346" s="9"/>
      <c r="CK346" s="9"/>
      <c r="CL346" s="9"/>
      <c r="CM346" s="9"/>
      <c r="CN346" s="9"/>
      <c r="CO346" s="9"/>
    </row>
    <row r="347" spans="1:93" outlineLevel="1" x14ac:dyDescent="0.2">
      <c r="J347" s="26"/>
      <c r="L347" s="55"/>
      <c r="M347" s="55"/>
      <c r="N347" s="55"/>
      <c r="O347" s="55"/>
      <c r="P347" s="55"/>
      <c r="Q347" s="55"/>
      <c r="R347" s="55"/>
      <c r="S347" s="55"/>
      <c r="T347" s="55"/>
      <c r="U347" s="55"/>
      <c r="V347" s="55"/>
      <c r="W347" s="55"/>
      <c r="X347" s="55"/>
      <c r="Y347" s="55"/>
      <c r="Z347" s="55"/>
      <c r="AA347" s="55"/>
      <c r="AB347" s="55"/>
      <c r="AC347" s="55"/>
      <c r="AD347" s="55"/>
      <c r="AE347" s="55"/>
      <c r="AF347" s="55"/>
      <c r="AG347" s="55"/>
      <c r="AH347" s="55"/>
      <c r="AI347" s="55"/>
      <c r="AJ347" s="55"/>
      <c r="AK347" s="55"/>
      <c r="AL347" s="55"/>
      <c r="AM347" s="55"/>
      <c r="AN347" s="55"/>
      <c r="AO347" s="55"/>
      <c r="AP347" s="55"/>
      <c r="AQ347" s="55"/>
      <c r="AR347" s="55"/>
      <c r="AS347" s="55"/>
      <c r="AT347" s="55"/>
      <c r="AU347" s="55"/>
      <c r="AV347" s="55"/>
      <c r="AW347" s="55"/>
      <c r="AX347" s="55"/>
      <c r="AY347" s="55"/>
      <c r="AZ347" s="55"/>
      <c r="BA347" s="55"/>
      <c r="BB347" s="55"/>
      <c r="BC347" s="55"/>
      <c r="BD347" s="55"/>
      <c r="BE347" s="55"/>
      <c r="BF347" s="55"/>
      <c r="BG347" s="55"/>
      <c r="BH347" s="55"/>
      <c r="BI347" s="55"/>
      <c r="BJ347" s="55"/>
      <c r="BK347" s="55"/>
      <c r="BL347" s="55"/>
      <c r="BM347" s="55"/>
      <c r="BN347" s="55"/>
      <c r="BO347" s="55"/>
      <c r="BP347" s="55"/>
      <c r="BQ347" s="55"/>
      <c r="BR347" s="55"/>
      <c r="BS347" s="55"/>
    </row>
    <row r="348" spans="1:93" outlineLevel="1" x14ac:dyDescent="0.2">
      <c r="A348" s="45"/>
      <c r="B348" s="38" t="s">
        <v>311</v>
      </c>
      <c r="C348" s="45"/>
      <c r="D348" s="45"/>
      <c r="E348" s="45"/>
      <c r="J348" s="26"/>
      <c r="L348" s="55"/>
      <c r="M348" s="55"/>
      <c r="N348" s="55"/>
      <c r="O348" s="55"/>
      <c r="P348" s="55"/>
      <c r="Q348" s="55"/>
      <c r="R348" s="55"/>
      <c r="S348" s="55"/>
      <c r="T348" s="55"/>
      <c r="U348" s="55"/>
      <c r="V348" s="55"/>
      <c r="W348" s="55"/>
      <c r="X348" s="55"/>
      <c r="Y348" s="55"/>
      <c r="Z348" s="55"/>
      <c r="AA348" s="55"/>
      <c r="AB348" s="55"/>
      <c r="AC348" s="55"/>
      <c r="AD348" s="55"/>
      <c r="AE348" s="55"/>
      <c r="AF348" s="55"/>
      <c r="AG348" s="55"/>
      <c r="AH348" s="55"/>
      <c r="AI348" s="55"/>
      <c r="AJ348" s="55"/>
      <c r="AK348" s="55"/>
      <c r="AL348" s="55"/>
      <c r="AM348" s="55"/>
      <c r="AN348" s="55"/>
      <c r="AO348" s="55"/>
      <c r="AP348" s="55"/>
      <c r="AQ348" s="55"/>
      <c r="AR348" s="55"/>
      <c r="AS348" s="55"/>
      <c r="AT348" s="55"/>
      <c r="AU348" s="55"/>
      <c r="AV348" s="55"/>
      <c r="AW348" s="55"/>
      <c r="AX348" s="55"/>
      <c r="AY348" s="55"/>
      <c r="AZ348" s="55"/>
      <c r="BA348" s="55"/>
      <c r="BB348" s="55"/>
      <c r="BC348" s="55"/>
      <c r="BD348" s="55"/>
      <c r="BE348" s="55"/>
      <c r="BF348" s="55"/>
      <c r="BG348" s="55"/>
      <c r="BH348" s="55"/>
      <c r="BI348" s="55"/>
      <c r="BJ348" s="55"/>
      <c r="BK348" s="55"/>
      <c r="BL348" s="55"/>
      <c r="BM348" s="55"/>
      <c r="BN348" s="55"/>
      <c r="BO348" s="55"/>
      <c r="BP348" s="55"/>
      <c r="BQ348" s="55"/>
      <c r="BR348" s="55"/>
      <c r="BS348" s="55"/>
    </row>
    <row r="349" spans="1:93" outlineLevel="1" x14ac:dyDescent="0.2">
      <c r="J349" s="26"/>
      <c r="L349" s="55"/>
      <c r="M349" s="55"/>
      <c r="N349" s="55"/>
      <c r="O349" s="55"/>
      <c r="P349" s="55"/>
      <c r="Q349" s="55"/>
      <c r="R349" s="55"/>
      <c r="S349" s="55"/>
      <c r="T349" s="55"/>
      <c r="U349" s="55"/>
      <c r="V349" s="55"/>
      <c r="W349" s="55"/>
      <c r="X349" s="55"/>
      <c r="Y349" s="55"/>
      <c r="Z349" s="55"/>
      <c r="AA349" s="55"/>
      <c r="AB349" s="55"/>
      <c r="AC349" s="55"/>
      <c r="AD349" s="55"/>
      <c r="AE349" s="55"/>
      <c r="AF349" s="55"/>
      <c r="AG349" s="55"/>
      <c r="AH349" s="55"/>
      <c r="AI349" s="55"/>
      <c r="AJ349" s="55"/>
      <c r="AK349" s="55"/>
      <c r="AL349" s="55"/>
      <c r="AM349" s="55"/>
      <c r="AN349" s="55"/>
      <c r="AO349" s="55"/>
      <c r="AP349" s="55"/>
      <c r="AQ349" s="55"/>
      <c r="AR349" s="55"/>
      <c r="AS349" s="55"/>
      <c r="AT349" s="55"/>
      <c r="AU349" s="55"/>
      <c r="AV349" s="55"/>
      <c r="AW349" s="55"/>
      <c r="AX349" s="55"/>
      <c r="AY349" s="55"/>
      <c r="AZ349" s="55"/>
      <c r="BA349" s="55"/>
      <c r="BB349" s="55"/>
      <c r="BC349" s="55"/>
      <c r="BD349" s="55"/>
      <c r="BE349" s="55"/>
      <c r="BF349" s="55"/>
      <c r="BG349" s="55"/>
      <c r="BH349" s="55"/>
      <c r="BI349" s="55"/>
      <c r="BJ349" s="55"/>
      <c r="BK349" s="55"/>
      <c r="BL349" s="55"/>
      <c r="BM349" s="55"/>
      <c r="BN349" s="55"/>
      <c r="BO349" s="55"/>
      <c r="BP349" s="55"/>
      <c r="BQ349" s="55"/>
      <c r="BR349" s="55"/>
      <c r="BS349" s="55"/>
    </row>
    <row r="350" spans="1:93" outlineLevel="1" x14ac:dyDescent="0.2">
      <c r="C350" t="s">
        <v>278</v>
      </c>
      <c r="J350" s="26"/>
      <c r="L350" s="55"/>
      <c r="M350" s="55"/>
      <c r="N350" s="55"/>
      <c r="O350" s="55"/>
      <c r="P350" s="55"/>
      <c r="Q350" s="55"/>
      <c r="R350" s="55"/>
      <c r="S350" s="55"/>
      <c r="T350" s="55"/>
      <c r="U350" s="55"/>
      <c r="V350" s="55"/>
      <c r="W350" s="55"/>
      <c r="X350" s="55"/>
      <c r="Y350" s="55"/>
      <c r="Z350" s="55"/>
      <c r="AA350" s="55"/>
      <c r="AB350" s="55"/>
      <c r="AC350" s="55"/>
      <c r="AD350" s="55"/>
      <c r="AE350" s="55"/>
      <c r="AF350" s="55"/>
      <c r="AG350" s="55"/>
      <c r="AH350" s="55"/>
      <c r="AI350" s="55"/>
      <c r="AJ350" s="55"/>
      <c r="AK350" s="55"/>
      <c r="AL350" s="55"/>
      <c r="AM350" s="55"/>
      <c r="AN350" s="55"/>
      <c r="AO350" s="55"/>
      <c r="AP350" s="55"/>
      <c r="AQ350" s="55"/>
      <c r="AR350" s="55"/>
      <c r="AS350" s="55"/>
      <c r="AT350" s="55"/>
      <c r="AU350" s="55"/>
      <c r="AV350" s="55"/>
      <c r="AW350" s="55"/>
      <c r="AX350" s="55"/>
      <c r="AY350" s="55"/>
      <c r="AZ350" s="55"/>
      <c r="BA350" s="55"/>
      <c r="BB350" s="55"/>
      <c r="BC350" s="55"/>
      <c r="BD350" s="55"/>
      <c r="BE350" s="55"/>
      <c r="BF350" s="55"/>
      <c r="BG350" s="55"/>
      <c r="BH350" s="55"/>
      <c r="BI350" s="55"/>
      <c r="BJ350" s="55"/>
      <c r="BK350" s="55"/>
      <c r="BL350" s="55"/>
      <c r="BM350" s="55"/>
      <c r="BN350" s="55"/>
      <c r="BO350" s="55"/>
      <c r="BP350" s="55"/>
      <c r="BQ350" s="55"/>
      <c r="BR350" s="55"/>
      <c r="BS350" s="55"/>
    </row>
    <row r="351" spans="1:93" outlineLevel="1" x14ac:dyDescent="0.2">
      <c r="D351" t="s">
        <v>277</v>
      </c>
      <c r="G351" s="29">
        <f>YEAR(effective_date_HM1994)</f>
        <v>1994</v>
      </c>
      <c r="J351" s="26"/>
      <c r="L351" s="49">
        <f t="shared" ref="L351:AQ351" si="117">MAX(L4-$G351+1-0.5,0)</f>
        <v>0.5</v>
      </c>
      <c r="M351" s="49">
        <f t="shared" si="117"/>
        <v>1.5</v>
      </c>
      <c r="N351" s="49">
        <f t="shared" si="117"/>
        <v>2.5</v>
      </c>
      <c r="O351" s="49">
        <f t="shared" si="117"/>
        <v>3.5</v>
      </c>
      <c r="P351" s="49">
        <f t="shared" si="117"/>
        <v>4.5</v>
      </c>
      <c r="Q351" s="49">
        <f t="shared" si="117"/>
        <v>5.5</v>
      </c>
      <c r="R351" s="49">
        <f t="shared" si="117"/>
        <v>6.5</v>
      </c>
      <c r="S351" s="49">
        <f t="shared" si="117"/>
        <v>7.5</v>
      </c>
      <c r="T351" s="49">
        <f t="shared" si="117"/>
        <v>8.5</v>
      </c>
      <c r="U351" s="49">
        <f t="shared" si="117"/>
        <v>9.5</v>
      </c>
      <c r="V351" s="49">
        <f t="shared" si="117"/>
        <v>10.5</v>
      </c>
      <c r="W351" s="49">
        <f t="shared" si="117"/>
        <v>11.5</v>
      </c>
      <c r="X351" s="49">
        <f t="shared" si="117"/>
        <v>12.5</v>
      </c>
      <c r="Y351" s="49">
        <f t="shared" si="117"/>
        <v>13.5</v>
      </c>
      <c r="Z351" s="49">
        <f t="shared" si="117"/>
        <v>14.5</v>
      </c>
      <c r="AA351" s="49">
        <f t="shared" si="117"/>
        <v>15.5</v>
      </c>
      <c r="AB351" s="49">
        <f t="shared" si="117"/>
        <v>16.5</v>
      </c>
      <c r="AC351" s="49">
        <f t="shared" si="117"/>
        <v>17.5</v>
      </c>
      <c r="AD351" s="49">
        <f t="shared" si="117"/>
        <v>18.5</v>
      </c>
      <c r="AE351" s="49">
        <f t="shared" si="117"/>
        <v>19.5</v>
      </c>
      <c r="AF351" s="49">
        <f t="shared" si="117"/>
        <v>20.5</v>
      </c>
      <c r="AG351" s="49">
        <f t="shared" si="117"/>
        <v>21.5</v>
      </c>
      <c r="AH351" s="49">
        <f t="shared" si="117"/>
        <v>22.5</v>
      </c>
      <c r="AI351" s="49">
        <f t="shared" si="117"/>
        <v>23.5</v>
      </c>
      <c r="AJ351" s="49">
        <f t="shared" si="117"/>
        <v>24.5</v>
      </c>
      <c r="AK351" s="49">
        <f t="shared" si="117"/>
        <v>25.5</v>
      </c>
      <c r="AL351" s="49">
        <f t="shared" si="117"/>
        <v>26.5</v>
      </c>
      <c r="AM351" s="49">
        <f t="shared" si="117"/>
        <v>27.5</v>
      </c>
      <c r="AN351" s="49">
        <f t="shared" si="117"/>
        <v>28.5</v>
      </c>
      <c r="AO351" s="49">
        <f t="shared" si="117"/>
        <v>29.5</v>
      </c>
      <c r="AP351" s="49">
        <f t="shared" si="117"/>
        <v>30.5</v>
      </c>
      <c r="AQ351" s="49">
        <f t="shared" si="117"/>
        <v>31.5</v>
      </c>
      <c r="AR351" s="49">
        <f t="shared" ref="AR351:BS351" si="118">MAX(AR4-$G351+1-0.5,0)</f>
        <v>32.5</v>
      </c>
      <c r="AS351" s="49">
        <f t="shared" si="118"/>
        <v>33.5</v>
      </c>
      <c r="AT351" s="49">
        <f t="shared" si="118"/>
        <v>34.5</v>
      </c>
      <c r="AU351" s="49">
        <f t="shared" si="118"/>
        <v>35.5</v>
      </c>
      <c r="AV351" s="49">
        <f t="shared" si="118"/>
        <v>36.5</v>
      </c>
      <c r="AW351" s="49">
        <f t="shared" si="118"/>
        <v>37.5</v>
      </c>
      <c r="AX351" s="49">
        <f t="shared" si="118"/>
        <v>38.5</v>
      </c>
      <c r="AY351" s="49">
        <f t="shared" si="118"/>
        <v>39.5</v>
      </c>
      <c r="AZ351" s="49">
        <f t="shared" si="118"/>
        <v>40.5</v>
      </c>
      <c r="BA351" s="49">
        <f t="shared" si="118"/>
        <v>41.5</v>
      </c>
      <c r="BB351" s="49">
        <f t="shared" si="118"/>
        <v>42.5</v>
      </c>
      <c r="BC351" s="49">
        <f t="shared" si="118"/>
        <v>43.5</v>
      </c>
      <c r="BD351" s="49">
        <f t="shared" si="118"/>
        <v>44.5</v>
      </c>
      <c r="BE351" s="49">
        <f t="shared" si="118"/>
        <v>45.5</v>
      </c>
      <c r="BF351" s="49">
        <f t="shared" si="118"/>
        <v>46.5</v>
      </c>
      <c r="BG351" s="49">
        <f t="shared" si="118"/>
        <v>47.5</v>
      </c>
      <c r="BH351" s="49">
        <f t="shared" si="118"/>
        <v>48.5</v>
      </c>
      <c r="BI351" s="49">
        <f t="shared" si="118"/>
        <v>49.5</v>
      </c>
      <c r="BJ351" s="49">
        <f t="shared" si="118"/>
        <v>50.5</v>
      </c>
      <c r="BK351" s="49">
        <f t="shared" si="118"/>
        <v>51.5</v>
      </c>
      <c r="BL351" s="49">
        <f t="shared" si="118"/>
        <v>52.5</v>
      </c>
      <c r="BM351" s="49">
        <f t="shared" si="118"/>
        <v>53.5</v>
      </c>
      <c r="BN351" s="49">
        <f t="shared" si="118"/>
        <v>54.5</v>
      </c>
      <c r="BO351" s="49">
        <f t="shared" si="118"/>
        <v>55.5</v>
      </c>
      <c r="BP351" s="49">
        <f t="shared" si="118"/>
        <v>56.5</v>
      </c>
      <c r="BQ351" s="49">
        <f t="shared" si="118"/>
        <v>57.5</v>
      </c>
      <c r="BR351" s="49">
        <f t="shared" si="118"/>
        <v>58.5</v>
      </c>
      <c r="BS351" s="49">
        <f t="shared" si="118"/>
        <v>59.5</v>
      </c>
    </row>
    <row r="352" spans="1:93" outlineLevel="1" x14ac:dyDescent="0.2">
      <c r="D352" t="s">
        <v>279</v>
      </c>
      <c r="G352" s="29">
        <f>Current_year</f>
        <v>2021</v>
      </c>
      <c r="J352" s="26"/>
      <c r="L352" s="49">
        <f t="shared" ref="L352:AQ352" si="119">MAX(L4-$G352+1-0.5,0)</f>
        <v>0</v>
      </c>
      <c r="M352" s="49">
        <f t="shared" si="119"/>
        <v>0</v>
      </c>
      <c r="N352" s="49">
        <f t="shared" si="119"/>
        <v>0</v>
      </c>
      <c r="O352" s="49">
        <f t="shared" si="119"/>
        <v>0</v>
      </c>
      <c r="P352" s="49">
        <f t="shared" si="119"/>
        <v>0</v>
      </c>
      <c r="Q352" s="49">
        <f t="shared" si="119"/>
        <v>0</v>
      </c>
      <c r="R352" s="49">
        <f t="shared" si="119"/>
        <v>0</v>
      </c>
      <c r="S352" s="49">
        <f t="shared" si="119"/>
        <v>0</v>
      </c>
      <c r="T352" s="49">
        <f t="shared" si="119"/>
        <v>0</v>
      </c>
      <c r="U352" s="49">
        <f t="shared" si="119"/>
        <v>0</v>
      </c>
      <c r="V352" s="49">
        <f t="shared" si="119"/>
        <v>0</v>
      </c>
      <c r="W352" s="49">
        <f t="shared" si="119"/>
        <v>0</v>
      </c>
      <c r="X352" s="49">
        <f t="shared" si="119"/>
        <v>0</v>
      </c>
      <c r="Y352" s="49">
        <f t="shared" si="119"/>
        <v>0</v>
      </c>
      <c r="Z352" s="49">
        <f t="shared" si="119"/>
        <v>0</v>
      </c>
      <c r="AA352" s="49">
        <f t="shared" si="119"/>
        <v>0</v>
      </c>
      <c r="AB352" s="49">
        <f t="shared" si="119"/>
        <v>0</v>
      </c>
      <c r="AC352" s="49">
        <f t="shared" si="119"/>
        <v>0</v>
      </c>
      <c r="AD352" s="49">
        <f t="shared" si="119"/>
        <v>0</v>
      </c>
      <c r="AE352" s="49">
        <f t="shared" si="119"/>
        <v>0</v>
      </c>
      <c r="AF352" s="49">
        <f t="shared" si="119"/>
        <v>0</v>
      </c>
      <c r="AG352" s="49">
        <f t="shared" si="119"/>
        <v>0</v>
      </c>
      <c r="AH352" s="49">
        <f t="shared" si="119"/>
        <v>0</v>
      </c>
      <c r="AI352" s="49">
        <f t="shared" si="119"/>
        <v>0</v>
      </c>
      <c r="AJ352" s="49">
        <f t="shared" si="119"/>
        <v>0</v>
      </c>
      <c r="AK352" s="49">
        <f t="shared" si="119"/>
        <v>0</v>
      </c>
      <c r="AL352" s="49">
        <f t="shared" si="119"/>
        <v>0</v>
      </c>
      <c r="AM352" s="49">
        <f t="shared" si="119"/>
        <v>0.5</v>
      </c>
      <c r="AN352" s="49">
        <f t="shared" si="119"/>
        <v>1.5</v>
      </c>
      <c r="AO352" s="49">
        <f t="shared" si="119"/>
        <v>2.5</v>
      </c>
      <c r="AP352" s="49">
        <f t="shared" si="119"/>
        <v>3.5</v>
      </c>
      <c r="AQ352" s="49">
        <f t="shared" si="119"/>
        <v>4.5</v>
      </c>
      <c r="AR352" s="49">
        <f t="shared" ref="AR352:BS352" si="120">MAX(AR4-$G352+1-0.5,0)</f>
        <v>5.5</v>
      </c>
      <c r="AS352" s="49">
        <f t="shared" si="120"/>
        <v>6.5</v>
      </c>
      <c r="AT352" s="49">
        <f t="shared" si="120"/>
        <v>7.5</v>
      </c>
      <c r="AU352" s="49">
        <f t="shared" si="120"/>
        <v>8.5</v>
      </c>
      <c r="AV352" s="49">
        <f t="shared" si="120"/>
        <v>9.5</v>
      </c>
      <c r="AW352" s="49">
        <f t="shared" si="120"/>
        <v>10.5</v>
      </c>
      <c r="AX352" s="49">
        <f t="shared" si="120"/>
        <v>11.5</v>
      </c>
      <c r="AY352" s="49">
        <f t="shared" si="120"/>
        <v>12.5</v>
      </c>
      <c r="AZ352" s="49">
        <f t="shared" si="120"/>
        <v>13.5</v>
      </c>
      <c r="BA352" s="49">
        <f t="shared" si="120"/>
        <v>14.5</v>
      </c>
      <c r="BB352" s="49">
        <f t="shared" si="120"/>
        <v>15.5</v>
      </c>
      <c r="BC352" s="49">
        <f t="shared" si="120"/>
        <v>16.5</v>
      </c>
      <c r="BD352" s="49">
        <f t="shared" si="120"/>
        <v>17.5</v>
      </c>
      <c r="BE352" s="49">
        <f t="shared" si="120"/>
        <v>18.5</v>
      </c>
      <c r="BF352" s="49">
        <f t="shared" si="120"/>
        <v>19.5</v>
      </c>
      <c r="BG352" s="49">
        <f t="shared" si="120"/>
        <v>20.5</v>
      </c>
      <c r="BH352" s="49">
        <f t="shared" si="120"/>
        <v>21.5</v>
      </c>
      <c r="BI352" s="49">
        <f t="shared" si="120"/>
        <v>22.5</v>
      </c>
      <c r="BJ352" s="49">
        <f t="shared" si="120"/>
        <v>23.5</v>
      </c>
      <c r="BK352" s="49">
        <f t="shared" si="120"/>
        <v>24.5</v>
      </c>
      <c r="BL352" s="49">
        <f t="shared" si="120"/>
        <v>25.5</v>
      </c>
      <c r="BM352" s="49">
        <f t="shared" si="120"/>
        <v>26.5</v>
      </c>
      <c r="BN352" s="49">
        <f t="shared" si="120"/>
        <v>27.5</v>
      </c>
      <c r="BO352" s="49">
        <f t="shared" si="120"/>
        <v>28.5</v>
      </c>
      <c r="BP352" s="49">
        <f t="shared" si="120"/>
        <v>29.5</v>
      </c>
      <c r="BQ352" s="49">
        <f t="shared" si="120"/>
        <v>30.5</v>
      </c>
      <c r="BR352" s="49">
        <f t="shared" si="120"/>
        <v>31.5</v>
      </c>
      <c r="BS352" s="49">
        <f t="shared" si="120"/>
        <v>32.5</v>
      </c>
    </row>
    <row r="353" spans="1:71" outlineLevel="1" x14ac:dyDescent="0.2">
      <c r="C353" t="s">
        <v>280</v>
      </c>
      <c r="E353" s="59">
        <f>input_DiscRate_nom</f>
        <v>0.1</v>
      </c>
      <c r="J353" s="26"/>
      <c r="L353" s="55"/>
      <c r="M353" s="55"/>
      <c r="N353" s="55"/>
      <c r="O353" s="55"/>
      <c r="P353" s="55"/>
      <c r="Q353" s="55"/>
      <c r="R353" s="55"/>
      <c r="S353" s="55"/>
      <c r="T353" s="55"/>
      <c r="U353" s="55"/>
      <c r="V353" s="55"/>
      <c r="W353" s="55"/>
      <c r="X353" s="55"/>
      <c r="Y353" s="55"/>
      <c r="Z353" s="55"/>
      <c r="AA353" s="55"/>
      <c r="AB353" s="55"/>
      <c r="AC353" s="55"/>
      <c r="AD353" s="55"/>
      <c r="AE353" s="55"/>
      <c r="AF353" s="55"/>
      <c r="AG353" s="55"/>
      <c r="AH353" s="55"/>
      <c r="AI353" s="55"/>
      <c r="AJ353" s="55"/>
      <c r="AK353" s="55"/>
      <c r="AL353" s="55"/>
      <c r="AM353" s="55"/>
      <c r="AN353" s="55"/>
      <c r="AO353" s="55"/>
      <c r="AP353" s="55"/>
      <c r="AQ353" s="55"/>
      <c r="AR353" s="55"/>
      <c r="AS353" s="55"/>
      <c r="AT353" s="55"/>
      <c r="AU353" s="55"/>
      <c r="AV353" s="55"/>
      <c r="AW353" s="55"/>
      <c r="AX353" s="55"/>
      <c r="AY353" s="55"/>
      <c r="AZ353" s="55"/>
      <c r="BA353" s="55"/>
      <c r="BB353" s="55"/>
      <c r="BC353" s="55"/>
      <c r="BD353" s="55"/>
      <c r="BE353" s="55"/>
      <c r="BF353" s="55"/>
      <c r="BG353" s="55"/>
      <c r="BH353" s="55"/>
      <c r="BI353" s="55"/>
      <c r="BJ353" s="55"/>
      <c r="BK353" s="55"/>
      <c r="BL353" s="55"/>
      <c r="BM353" s="55"/>
      <c r="BN353" s="55"/>
      <c r="BO353" s="55"/>
      <c r="BP353" s="55"/>
      <c r="BQ353" s="55"/>
      <c r="BR353" s="55"/>
      <c r="BS353" s="55"/>
    </row>
    <row r="354" spans="1:71" outlineLevel="1" x14ac:dyDescent="0.2">
      <c r="D354" t="s">
        <v>277</v>
      </c>
      <c r="J354" s="26"/>
      <c r="K354" s="7" t="s">
        <v>282</v>
      </c>
      <c r="L354" s="49">
        <f t="shared" ref="L354:BS355" si="121">IF(L351=0,0,(1+input_DiscRate_nom)^-L351)</f>
        <v>0.95346258924559224</v>
      </c>
      <c r="M354" s="49">
        <f t="shared" si="121"/>
        <v>0.86678417204144742</v>
      </c>
      <c r="N354" s="49">
        <f t="shared" si="121"/>
        <v>0.78798561094677033</v>
      </c>
      <c r="O354" s="49">
        <f t="shared" si="121"/>
        <v>0.71635055540615489</v>
      </c>
      <c r="P354" s="49">
        <f t="shared" si="121"/>
        <v>0.65122777764195883</v>
      </c>
      <c r="Q354" s="49">
        <f t="shared" si="121"/>
        <v>0.59202525240178083</v>
      </c>
      <c r="R354" s="49">
        <f t="shared" si="121"/>
        <v>0.53820477491070973</v>
      </c>
      <c r="S354" s="49">
        <f t="shared" si="121"/>
        <v>0.48927706810064514</v>
      </c>
      <c r="T354" s="49">
        <f t="shared" si="121"/>
        <v>0.44479733463695009</v>
      </c>
      <c r="U354" s="49">
        <f t="shared" si="121"/>
        <v>0.4043612133063183</v>
      </c>
      <c r="V354" s="49">
        <f t="shared" si="121"/>
        <v>0.36760110300574383</v>
      </c>
      <c r="W354" s="49">
        <f t="shared" si="121"/>
        <v>0.33418282091431251</v>
      </c>
      <c r="X354" s="49">
        <f t="shared" si="121"/>
        <v>0.30380256446755688</v>
      </c>
      <c r="Y354" s="49">
        <f t="shared" si="121"/>
        <v>0.27618414951596076</v>
      </c>
      <c r="Z354" s="49">
        <f t="shared" si="121"/>
        <v>0.25107649955996431</v>
      </c>
      <c r="AA354" s="49">
        <f t="shared" si="121"/>
        <v>0.22825136323633116</v>
      </c>
      <c r="AB354" s="49">
        <f t="shared" si="121"/>
        <v>0.20750123930575562</v>
      </c>
      <c r="AC354" s="49">
        <f t="shared" si="121"/>
        <v>0.18863749027795962</v>
      </c>
      <c r="AD354" s="49">
        <f t="shared" si="121"/>
        <v>0.17148862752541782</v>
      </c>
      <c r="AE354" s="49">
        <f t="shared" si="121"/>
        <v>0.15589875229583436</v>
      </c>
      <c r="AF354" s="49">
        <f t="shared" si="121"/>
        <v>0.14172613845075852</v>
      </c>
      <c r="AG354" s="49">
        <f t="shared" si="121"/>
        <v>0.1288419440461441</v>
      </c>
      <c r="AH354" s="49">
        <f t="shared" si="121"/>
        <v>0.11712904004194918</v>
      </c>
      <c r="AI354" s="49">
        <f t="shared" si="121"/>
        <v>0.10648094549268106</v>
      </c>
      <c r="AJ354" s="49">
        <f t="shared" si="121"/>
        <v>9.6800859538800965E-2</v>
      </c>
      <c r="AK354" s="49">
        <f t="shared" si="121"/>
        <v>8.8000781398909919E-2</v>
      </c>
      <c r="AL354" s="49">
        <f t="shared" si="121"/>
        <v>8.0000710362645402E-2</v>
      </c>
      <c r="AM354" s="49">
        <f t="shared" si="121"/>
        <v>7.272791851149582E-2</v>
      </c>
      <c r="AN354" s="49">
        <f t="shared" si="121"/>
        <v>6.6116289555905275E-2</v>
      </c>
      <c r="AO354" s="49">
        <f t="shared" si="121"/>
        <v>6.0105717778095702E-2</v>
      </c>
      <c r="AP354" s="49">
        <f t="shared" si="121"/>
        <v>5.4641561616450646E-2</v>
      </c>
      <c r="AQ354" s="49">
        <f t="shared" si="121"/>
        <v>4.967414692404603E-2</v>
      </c>
      <c r="AR354" s="49">
        <f t="shared" si="121"/>
        <v>4.5158315385496389E-2</v>
      </c>
      <c r="AS354" s="49">
        <f t="shared" si="121"/>
        <v>4.1053013986814886E-2</v>
      </c>
      <c r="AT354" s="49">
        <f t="shared" si="121"/>
        <v>3.7320921806195353E-2</v>
      </c>
      <c r="AU354" s="49">
        <f t="shared" si="121"/>
        <v>3.3928110732904866E-2</v>
      </c>
      <c r="AV354" s="49">
        <f t="shared" si="121"/>
        <v>3.0843737029913505E-2</v>
      </c>
      <c r="AW354" s="49">
        <f t="shared" si="121"/>
        <v>2.8039760936285012E-2</v>
      </c>
      <c r="AX354" s="49">
        <f t="shared" si="121"/>
        <v>2.5490691760259102E-2</v>
      </c>
      <c r="AY354" s="49">
        <f t="shared" si="121"/>
        <v>2.3173356145690084E-2</v>
      </c>
      <c r="AZ354" s="49">
        <f t="shared" si="121"/>
        <v>2.1066687405172806E-2</v>
      </c>
      <c r="BA354" s="49">
        <f t="shared" si="121"/>
        <v>1.9151534004702545E-2</v>
      </c>
      <c r="BB354" s="49">
        <f t="shared" si="121"/>
        <v>1.7410485458820502E-2</v>
      </c>
      <c r="BC354" s="49">
        <f t="shared" si="121"/>
        <v>1.5827714053473173E-2</v>
      </c>
      <c r="BD354" s="49">
        <f t="shared" si="121"/>
        <v>1.4388830957702884E-2</v>
      </c>
      <c r="BE354" s="49">
        <f t="shared" si="121"/>
        <v>1.3080755416093532E-2</v>
      </c>
      <c r="BF354" s="49">
        <f t="shared" si="121"/>
        <v>1.1891595832812305E-2</v>
      </c>
      <c r="BG354" s="49">
        <f t="shared" si="121"/>
        <v>1.0810541666193005E-2</v>
      </c>
      <c r="BH354" s="49">
        <f t="shared" si="121"/>
        <v>9.8277651510845412E-3</v>
      </c>
      <c r="BI354" s="49">
        <f t="shared" si="121"/>
        <v>8.9343319555314025E-3</v>
      </c>
      <c r="BJ354" s="49">
        <f t="shared" si="121"/>
        <v>8.1221199595740041E-3</v>
      </c>
      <c r="BK354" s="49">
        <f t="shared" si="121"/>
        <v>7.3837454177945487E-3</v>
      </c>
      <c r="BL354" s="49">
        <f t="shared" si="121"/>
        <v>6.7124958343586817E-3</v>
      </c>
      <c r="BM354" s="49">
        <f t="shared" si="121"/>
        <v>6.1022689403260697E-3</v>
      </c>
      <c r="BN354" s="49">
        <f t="shared" si="121"/>
        <v>5.5475172184782451E-3</v>
      </c>
      <c r="BO354" s="49">
        <f t="shared" si="121"/>
        <v>5.0431974713438599E-3</v>
      </c>
      <c r="BP354" s="49">
        <f t="shared" si="121"/>
        <v>4.5847249739489641E-3</v>
      </c>
      <c r="BQ354" s="49">
        <f t="shared" si="121"/>
        <v>4.1679317944990591E-3</v>
      </c>
      <c r="BR354" s="49">
        <f t="shared" si="121"/>
        <v>3.7890289040900535E-3</v>
      </c>
      <c r="BS354" s="49">
        <f t="shared" si="121"/>
        <v>3.4445717309909553E-3</v>
      </c>
    </row>
    <row r="355" spans="1:71" outlineLevel="1" x14ac:dyDescent="0.2">
      <c r="D355" t="s">
        <v>279</v>
      </c>
      <c r="J355" s="26"/>
      <c r="K355" s="7" t="s">
        <v>281</v>
      </c>
      <c r="L355" s="49">
        <f t="shared" si="121"/>
        <v>0</v>
      </c>
      <c r="M355" s="49">
        <f t="shared" si="121"/>
        <v>0</v>
      </c>
      <c r="N355" s="49">
        <f t="shared" si="121"/>
        <v>0</v>
      </c>
      <c r="O355" s="49">
        <f t="shared" si="121"/>
        <v>0</v>
      </c>
      <c r="P355" s="49">
        <f t="shared" si="121"/>
        <v>0</v>
      </c>
      <c r="Q355" s="49">
        <f t="shared" si="121"/>
        <v>0</v>
      </c>
      <c r="R355" s="49">
        <f t="shared" si="121"/>
        <v>0</v>
      </c>
      <c r="S355" s="49">
        <f t="shared" si="121"/>
        <v>0</v>
      </c>
      <c r="T355" s="49">
        <f t="shared" si="121"/>
        <v>0</v>
      </c>
      <c r="U355" s="49">
        <f t="shared" si="121"/>
        <v>0</v>
      </c>
      <c r="V355" s="49">
        <f t="shared" si="121"/>
        <v>0</v>
      </c>
      <c r="W355" s="49">
        <f t="shared" si="121"/>
        <v>0</v>
      </c>
      <c r="X355" s="49">
        <f t="shared" si="121"/>
        <v>0</v>
      </c>
      <c r="Y355" s="49">
        <f t="shared" si="121"/>
        <v>0</v>
      </c>
      <c r="Z355" s="49">
        <f t="shared" si="121"/>
        <v>0</v>
      </c>
      <c r="AA355" s="49">
        <f t="shared" si="121"/>
        <v>0</v>
      </c>
      <c r="AB355" s="49">
        <f t="shared" si="121"/>
        <v>0</v>
      </c>
      <c r="AC355" s="49">
        <f t="shared" si="121"/>
        <v>0</v>
      </c>
      <c r="AD355" s="49">
        <f t="shared" si="121"/>
        <v>0</v>
      </c>
      <c r="AE355" s="49">
        <f t="shared" si="121"/>
        <v>0</v>
      </c>
      <c r="AF355" s="49">
        <f t="shared" si="121"/>
        <v>0</v>
      </c>
      <c r="AG355" s="49">
        <f t="shared" si="121"/>
        <v>0</v>
      </c>
      <c r="AH355" s="49">
        <f t="shared" si="121"/>
        <v>0</v>
      </c>
      <c r="AI355" s="49">
        <f t="shared" si="121"/>
        <v>0</v>
      </c>
      <c r="AJ355" s="49">
        <f t="shared" si="121"/>
        <v>0</v>
      </c>
      <c r="AK355" s="49">
        <f t="shared" si="121"/>
        <v>0</v>
      </c>
      <c r="AL355" s="49">
        <f t="shared" si="121"/>
        <v>0</v>
      </c>
      <c r="AM355" s="49">
        <f t="shared" si="121"/>
        <v>0.95346258924559224</v>
      </c>
      <c r="AN355" s="49">
        <f t="shared" si="121"/>
        <v>0.86678417204144742</v>
      </c>
      <c r="AO355" s="49">
        <f t="shared" si="121"/>
        <v>0.78798561094677033</v>
      </c>
      <c r="AP355" s="49">
        <f t="shared" si="121"/>
        <v>0.71635055540615489</v>
      </c>
      <c r="AQ355" s="49">
        <f t="shared" si="121"/>
        <v>0.65122777764195883</v>
      </c>
      <c r="AR355" s="49">
        <f t="shared" si="121"/>
        <v>0.59202525240178083</v>
      </c>
      <c r="AS355" s="49">
        <f t="shared" si="121"/>
        <v>0.53820477491070973</v>
      </c>
      <c r="AT355" s="49">
        <f t="shared" si="121"/>
        <v>0.48927706810064514</v>
      </c>
      <c r="AU355" s="49">
        <f t="shared" si="121"/>
        <v>0.44479733463695009</v>
      </c>
      <c r="AV355" s="49">
        <f t="shared" si="121"/>
        <v>0.4043612133063183</v>
      </c>
      <c r="AW355" s="49">
        <f t="shared" si="121"/>
        <v>0.36760110300574383</v>
      </c>
      <c r="AX355" s="49">
        <f t="shared" si="121"/>
        <v>0.33418282091431251</v>
      </c>
      <c r="AY355" s="49">
        <f t="shared" si="121"/>
        <v>0.30380256446755688</v>
      </c>
      <c r="AZ355" s="49">
        <f t="shared" si="121"/>
        <v>0.27618414951596076</v>
      </c>
      <c r="BA355" s="49">
        <f t="shared" si="121"/>
        <v>0.25107649955996431</v>
      </c>
      <c r="BB355" s="49">
        <f t="shared" si="121"/>
        <v>0.22825136323633116</v>
      </c>
      <c r="BC355" s="49">
        <f t="shared" si="121"/>
        <v>0.20750123930575562</v>
      </c>
      <c r="BD355" s="49">
        <f t="shared" si="121"/>
        <v>0.18863749027795962</v>
      </c>
      <c r="BE355" s="49">
        <f t="shared" si="121"/>
        <v>0.17148862752541782</v>
      </c>
      <c r="BF355" s="49">
        <f t="shared" si="121"/>
        <v>0.15589875229583436</v>
      </c>
      <c r="BG355" s="49">
        <f t="shared" si="121"/>
        <v>0.14172613845075852</v>
      </c>
      <c r="BH355" s="49">
        <f t="shared" si="121"/>
        <v>0.1288419440461441</v>
      </c>
      <c r="BI355" s="49">
        <f t="shared" si="121"/>
        <v>0.11712904004194918</v>
      </c>
      <c r="BJ355" s="49">
        <f t="shared" si="121"/>
        <v>0.10648094549268106</v>
      </c>
      <c r="BK355" s="49">
        <f t="shared" si="121"/>
        <v>9.6800859538800965E-2</v>
      </c>
      <c r="BL355" s="49">
        <f t="shared" si="121"/>
        <v>8.8000781398909919E-2</v>
      </c>
      <c r="BM355" s="49">
        <f t="shared" si="121"/>
        <v>8.0000710362645402E-2</v>
      </c>
      <c r="BN355" s="49">
        <f t="shared" si="121"/>
        <v>7.272791851149582E-2</v>
      </c>
      <c r="BO355" s="49">
        <f t="shared" si="121"/>
        <v>6.6116289555905275E-2</v>
      </c>
      <c r="BP355" s="49">
        <f t="shared" si="121"/>
        <v>6.0105717778095702E-2</v>
      </c>
      <c r="BQ355" s="49">
        <f t="shared" si="121"/>
        <v>5.4641561616450646E-2</v>
      </c>
      <c r="BR355" s="49">
        <f t="shared" si="121"/>
        <v>4.967414692404603E-2</v>
      </c>
      <c r="BS355" s="49">
        <f t="shared" si="121"/>
        <v>4.5158315385496389E-2</v>
      </c>
    </row>
    <row r="356" spans="1:71" outlineLevel="1" x14ac:dyDescent="0.2">
      <c r="J356" s="26"/>
      <c r="L356" s="55"/>
      <c r="M356" s="55"/>
      <c r="N356" s="55"/>
      <c r="O356" s="55"/>
      <c r="P356" s="55"/>
      <c r="Q356" s="55"/>
      <c r="R356" s="55"/>
      <c r="S356" s="55"/>
      <c r="T356" s="55"/>
      <c r="U356" s="55"/>
      <c r="V356" s="55"/>
      <c r="W356" s="55"/>
      <c r="X356" s="55"/>
      <c r="Y356" s="55"/>
      <c r="Z356" s="55"/>
      <c r="AA356" s="55"/>
      <c r="AB356" s="55"/>
      <c r="AC356" s="55"/>
      <c r="AD356" s="55"/>
      <c r="AE356" s="55"/>
      <c r="AF356" s="55"/>
      <c r="AG356" s="55"/>
      <c r="AH356" s="55"/>
      <c r="AI356" s="55"/>
      <c r="AJ356" s="55"/>
      <c r="AK356" s="55"/>
      <c r="AL356" s="55"/>
      <c r="AM356" s="55"/>
      <c r="AN356" s="55"/>
      <c r="AO356" s="55"/>
      <c r="AP356" s="55"/>
      <c r="AQ356" s="55"/>
      <c r="AR356" s="55"/>
      <c r="AS356" s="55"/>
      <c r="AT356" s="55"/>
      <c r="AU356" s="55"/>
      <c r="AV356" s="55"/>
      <c r="AW356" s="55"/>
      <c r="AX356" s="55"/>
      <c r="AY356" s="55"/>
      <c r="AZ356" s="55"/>
      <c r="BA356" s="55"/>
      <c r="BB356" s="55"/>
      <c r="BC356" s="55"/>
      <c r="BD356" s="55"/>
      <c r="BE356" s="55"/>
      <c r="BF356" s="55"/>
      <c r="BG356" s="55"/>
      <c r="BH356" s="55"/>
      <c r="BI356" s="55"/>
      <c r="BJ356" s="55"/>
      <c r="BK356" s="55"/>
      <c r="BL356" s="55"/>
      <c r="BM356" s="55"/>
      <c r="BN356" s="55"/>
      <c r="BO356" s="55"/>
      <c r="BP356" s="55"/>
      <c r="BQ356" s="55"/>
      <c r="BR356" s="55"/>
      <c r="BS356" s="55"/>
    </row>
    <row r="357" spans="1:71" outlineLevel="1" x14ac:dyDescent="0.2">
      <c r="J357" s="26"/>
      <c r="L357" s="55"/>
      <c r="M357" s="55"/>
      <c r="N357" s="55"/>
      <c r="O357" s="55"/>
      <c r="P357" s="55"/>
      <c r="Q357" s="55"/>
      <c r="R357" s="55"/>
      <c r="S357" s="55"/>
      <c r="T357" s="55"/>
      <c r="U357" s="55"/>
      <c r="V357" s="55"/>
      <c r="W357" s="55"/>
      <c r="X357" s="55"/>
      <c r="Y357" s="55"/>
      <c r="Z357" s="55"/>
      <c r="AA357" s="55"/>
      <c r="AB357" s="55"/>
      <c r="AC357" s="55"/>
      <c r="AD357" s="55"/>
      <c r="AE357" s="55"/>
      <c r="AF357" s="55"/>
      <c r="AG357" s="55"/>
      <c r="AH357" s="55"/>
      <c r="AI357" s="55"/>
      <c r="AJ357" s="55"/>
      <c r="AK357" s="55"/>
      <c r="AL357" s="55"/>
      <c r="AM357" s="55"/>
      <c r="AN357" s="55"/>
      <c r="AO357" s="55"/>
      <c r="AP357" s="55"/>
      <c r="AQ357" s="55"/>
      <c r="AR357" s="55"/>
      <c r="AS357" s="55"/>
      <c r="AT357" s="55"/>
      <c r="AU357" s="55"/>
      <c r="AV357" s="55"/>
      <c r="AW357" s="55"/>
      <c r="AX357" s="55"/>
      <c r="AY357" s="55"/>
      <c r="AZ357" s="55"/>
      <c r="BA357" s="55"/>
      <c r="BB357" s="55"/>
      <c r="BC357" s="55"/>
      <c r="BD357" s="55"/>
      <c r="BE357" s="55"/>
      <c r="BF357" s="55"/>
      <c r="BG357" s="55"/>
      <c r="BH357" s="55"/>
      <c r="BI357" s="55"/>
      <c r="BJ357" s="55"/>
      <c r="BK357" s="55"/>
      <c r="BL357" s="55"/>
      <c r="BM357" s="55"/>
      <c r="BN357" s="55"/>
      <c r="BO357" s="55"/>
      <c r="BP357" s="55"/>
      <c r="BQ357" s="55"/>
      <c r="BR357" s="55"/>
      <c r="BS357" s="55"/>
    </row>
    <row r="358" spans="1:71" outlineLevel="1" x14ac:dyDescent="0.2">
      <c r="A358" s="45"/>
      <c r="B358" s="38" t="s">
        <v>257</v>
      </c>
      <c r="C358" s="45"/>
      <c r="D358" s="45"/>
      <c r="E358" s="45"/>
      <c r="J358" s="26"/>
      <c r="L358" s="55"/>
      <c r="M358" s="55"/>
      <c r="N358" s="55"/>
      <c r="O358" s="55"/>
      <c r="P358" s="55"/>
      <c r="Q358" s="55"/>
      <c r="R358" s="55"/>
      <c r="S358" s="55"/>
      <c r="T358" s="55"/>
      <c r="U358" s="55"/>
      <c r="V358" s="55"/>
      <c r="W358" s="55"/>
      <c r="X358" s="55"/>
      <c r="Y358" s="55"/>
      <c r="Z358" s="55"/>
      <c r="AA358" s="55"/>
      <c r="AB358" s="55"/>
      <c r="AC358" s="55"/>
      <c r="AD358" s="55"/>
      <c r="AE358" s="55"/>
      <c r="AF358" s="55"/>
      <c r="AG358" s="55"/>
      <c r="AH358" s="55"/>
      <c r="AI358" s="55"/>
      <c r="AJ358" s="55"/>
      <c r="AK358" s="55"/>
      <c r="AL358" s="55"/>
      <c r="AM358" s="55"/>
      <c r="AN358" s="55"/>
      <c r="AO358" s="55"/>
      <c r="AP358" s="55"/>
      <c r="AQ358" s="55"/>
      <c r="AR358" s="55"/>
      <c r="AS358" s="55"/>
      <c r="AT358" s="55"/>
      <c r="AU358" s="55"/>
      <c r="AV358" s="55"/>
      <c r="AW358" s="55"/>
      <c r="AX358" s="55"/>
      <c r="AY358" s="55"/>
      <c r="AZ358" s="55"/>
      <c r="BA358" s="55"/>
      <c r="BB358" s="55"/>
      <c r="BC358" s="55"/>
      <c r="BD358" s="55"/>
      <c r="BE358" s="55"/>
      <c r="BF358" s="55"/>
      <c r="BG358" s="55"/>
      <c r="BH358" s="55"/>
      <c r="BI358" s="55"/>
      <c r="BJ358" s="55"/>
      <c r="BK358" s="55"/>
      <c r="BL358" s="55"/>
      <c r="BM358" s="55"/>
      <c r="BN358" s="55"/>
      <c r="BO358" s="55"/>
      <c r="BP358" s="55"/>
      <c r="BQ358" s="55"/>
      <c r="BR358" s="55"/>
      <c r="BS358" s="55"/>
    </row>
    <row r="359" spans="1:71" outlineLevel="1" x14ac:dyDescent="0.2">
      <c r="J359" s="26"/>
      <c r="L359" s="55"/>
      <c r="M359" s="55"/>
      <c r="N359" s="55"/>
      <c r="O359" s="55"/>
      <c r="P359" s="55"/>
      <c r="Q359" s="55"/>
      <c r="R359" s="55"/>
      <c r="S359" s="55"/>
      <c r="T359" s="55"/>
      <c r="U359" s="55"/>
      <c r="V359" s="55"/>
      <c r="W359" s="55"/>
      <c r="X359" s="55"/>
      <c r="Y359" s="55"/>
      <c r="Z359" s="55"/>
      <c r="AA359" s="55"/>
      <c r="AB359" s="55"/>
      <c r="AC359" s="55"/>
      <c r="AD359" s="55"/>
      <c r="AE359" s="55"/>
      <c r="AF359" s="55"/>
      <c r="AG359" s="55"/>
      <c r="AH359" s="55"/>
      <c r="AI359" s="55"/>
      <c r="AJ359" s="55"/>
      <c r="AK359" s="55"/>
      <c r="AL359" s="55"/>
      <c r="AM359" s="55"/>
      <c r="AN359" s="55"/>
      <c r="AO359" s="55"/>
      <c r="AP359" s="55"/>
      <c r="AQ359" s="55"/>
      <c r="AR359" s="55"/>
      <c r="AS359" s="55"/>
      <c r="AT359" s="55"/>
      <c r="AU359" s="55"/>
      <c r="AV359" s="55"/>
      <c r="AW359" s="55"/>
      <c r="AX359" s="55"/>
      <c r="AY359" s="55"/>
      <c r="AZ359" s="55"/>
      <c r="BA359" s="55"/>
      <c r="BB359" s="55"/>
      <c r="BC359" s="55"/>
      <c r="BD359" s="55"/>
      <c r="BE359" s="55"/>
      <c r="BF359" s="55"/>
      <c r="BG359" s="55"/>
      <c r="BH359" s="55"/>
      <c r="BI359" s="55"/>
      <c r="BJ359" s="55"/>
      <c r="BK359" s="55"/>
      <c r="BL359" s="55"/>
      <c r="BM359" s="55"/>
      <c r="BN359" s="55"/>
      <c r="BO359" s="55"/>
      <c r="BP359" s="55"/>
      <c r="BQ359" s="55"/>
      <c r="BR359" s="55"/>
      <c r="BS359" s="55"/>
    </row>
    <row r="360" spans="1:71" outlineLevel="1" x14ac:dyDescent="0.2">
      <c r="C360" t="s">
        <v>144</v>
      </c>
      <c r="J360" s="26"/>
      <c r="L360" s="55"/>
      <c r="M360" s="55"/>
      <c r="N360" s="55"/>
      <c r="O360" s="55"/>
      <c r="P360" s="55"/>
      <c r="Q360" s="55"/>
      <c r="R360" s="55"/>
      <c r="S360" s="55"/>
      <c r="T360" s="55"/>
      <c r="U360" s="55"/>
      <c r="V360" s="55"/>
      <c r="W360" s="55"/>
      <c r="X360" s="55"/>
      <c r="Y360" s="55"/>
      <c r="Z360" s="55"/>
      <c r="AA360" s="55"/>
      <c r="AB360" s="55"/>
      <c r="AC360" s="55"/>
      <c r="AD360" s="55"/>
      <c r="AE360" s="55"/>
      <c r="AF360" s="55"/>
      <c r="AG360" s="55"/>
      <c r="AH360" s="55"/>
      <c r="AI360" s="55"/>
      <c r="AJ360" s="55"/>
      <c r="AK360" s="55"/>
      <c r="AL360" s="55"/>
      <c r="AM360" s="55"/>
      <c r="AN360" s="55"/>
      <c r="AO360" s="55"/>
      <c r="AP360" s="55"/>
      <c r="AQ360" s="55"/>
      <c r="AR360" s="55"/>
      <c r="AS360" s="55"/>
      <c r="AT360" s="55"/>
      <c r="AU360" s="55"/>
      <c r="AV360" s="55"/>
      <c r="AW360" s="55"/>
      <c r="AX360" s="55"/>
      <c r="AY360" s="55"/>
      <c r="AZ360" s="55"/>
      <c r="BA360" s="55"/>
      <c r="BB360" s="55"/>
      <c r="BC360" s="55"/>
      <c r="BD360" s="55"/>
      <c r="BE360" s="55"/>
      <c r="BF360" s="55"/>
      <c r="BG360" s="55"/>
      <c r="BH360" s="55"/>
      <c r="BI360" s="55"/>
      <c r="BJ360" s="55"/>
      <c r="BK360" s="55"/>
      <c r="BL360" s="55"/>
      <c r="BM360" s="55"/>
      <c r="BN360" s="55"/>
      <c r="BO360" s="55"/>
      <c r="BP360" s="55"/>
      <c r="BQ360" s="55"/>
      <c r="BR360" s="55"/>
      <c r="BS360" s="55"/>
    </row>
    <row r="361" spans="1:71" outlineLevel="1" x14ac:dyDescent="0.2">
      <c r="D361" t="s">
        <v>258</v>
      </c>
      <c r="I361" s="30">
        <f t="shared" ref="I361:I363" ca="1" si="122">SUM($L361:$BS361)</f>
        <v>11683.664472381299</v>
      </c>
      <c r="J361" s="26" t="s">
        <v>148</v>
      </c>
      <c r="L361" s="49" cm="1">
        <f t="array" aca="1" ref="L361:BS361" ca="1">Haute_Mer_1994!CA_gross_rev_oil_fp</f>
        <v>749.33748230811875</v>
      </c>
      <c r="M361" s="49">
        <f ca="1"/>
        <v>707.8459753529246</v>
      </c>
      <c r="N361" s="49">
        <f ca="1"/>
        <v>267.06236900108337</v>
      </c>
      <c r="O361" s="49">
        <f ca="1"/>
        <v>252.08282317336821</v>
      </c>
      <c r="P361" s="49">
        <f ca="1"/>
        <v>699.24129539791363</v>
      </c>
      <c r="Q361" s="49">
        <f ca="1"/>
        <v>1389.9328663921019</v>
      </c>
      <c r="R361" s="49">
        <f ca="1"/>
        <v>1326.7308635491613</v>
      </c>
      <c r="S361" s="49">
        <f ca="1"/>
        <v>770.17699371600008</v>
      </c>
      <c r="T361" s="49">
        <f ca="1"/>
        <v>1175.2312258964159</v>
      </c>
      <c r="U361" s="49">
        <f ca="1"/>
        <v>1173.1746984589799</v>
      </c>
      <c r="V361" s="49">
        <f ca="1"/>
        <v>1112.8735189581882</v>
      </c>
      <c r="W361" s="49">
        <f ca="1"/>
        <v>1058.5640716456105</v>
      </c>
      <c r="X361" s="49">
        <f ca="1"/>
        <v>1001.4102885314331</v>
      </c>
      <c r="Y361" s="49">
        <f ca="1"/>
        <v>0</v>
      </c>
      <c r="Z361" s="49">
        <f ca="1"/>
        <v>0</v>
      </c>
      <c r="AA361" s="49">
        <f ca="1"/>
        <v>0</v>
      </c>
      <c r="AB361" s="49">
        <f ca="1"/>
        <v>0</v>
      </c>
      <c r="AC361" s="49">
        <f ca="1"/>
        <v>0</v>
      </c>
      <c r="AD361" s="49">
        <f ca="1"/>
        <v>0</v>
      </c>
      <c r="AE361" s="49">
        <f ca="1"/>
        <v>0</v>
      </c>
      <c r="AF361" s="49">
        <f ca="1"/>
        <v>0</v>
      </c>
      <c r="AG361" s="49">
        <f ca="1"/>
        <v>0</v>
      </c>
      <c r="AH361" s="49">
        <f ca="1"/>
        <v>0</v>
      </c>
      <c r="AI361" s="49">
        <f ca="1"/>
        <v>0</v>
      </c>
      <c r="AJ361" s="49">
        <f ca="1"/>
        <v>0</v>
      </c>
      <c r="AK361" s="49">
        <f ca="1"/>
        <v>0</v>
      </c>
      <c r="AL361" s="49">
        <f ca="1"/>
        <v>0</v>
      </c>
      <c r="AM361" s="49">
        <f ca="1"/>
        <v>0</v>
      </c>
      <c r="AN361" s="49">
        <f ca="1"/>
        <v>0</v>
      </c>
      <c r="AO361" s="49">
        <f ca="1"/>
        <v>0</v>
      </c>
      <c r="AP361" s="49">
        <f ca="1"/>
        <v>0</v>
      </c>
      <c r="AQ361" s="49">
        <f ca="1"/>
        <v>0</v>
      </c>
      <c r="AR361" s="49">
        <f ca="1"/>
        <v>0</v>
      </c>
      <c r="AS361" s="49">
        <f ca="1"/>
        <v>0</v>
      </c>
      <c r="AT361" s="49">
        <f ca="1"/>
        <v>0</v>
      </c>
      <c r="AU361" s="49">
        <f ca="1"/>
        <v>0</v>
      </c>
      <c r="AV361" s="49">
        <f ca="1"/>
        <v>0</v>
      </c>
      <c r="AW361" s="49">
        <f ca="1"/>
        <v>0</v>
      </c>
      <c r="AX361" s="49">
        <f ca="1"/>
        <v>0</v>
      </c>
      <c r="AY361" s="49">
        <f ca="1"/>
        <v>0</v>
      </c>
      <c r="AZ361" s="49">
        <f ca="1"/>
        <v>0</v>
      </c>
      <c r="BA361" s="49">
        <f ca="1"/>
        <v>0</v>
      </c>
      <c r="BB361" s="49">
        <f ca="1"/>
        <v>0</v>
      </c>
      <c r="BC361" s="49">
        <f ca="1"/>
        <v>0</v>
      </c>
      <c r="BD361" s="49">
        <f ca="1"/>
        <v>0</v>
      </c>
      <c r="BE361" s="49">
        <f ca="1"/>
        <v>0</v>
      </c>
      <c r="BF361" s="49">
        <f ca="1"/>
        <v>0</v>
      </c>
      <c r="BG361" s="49">
        <f ca="1"/>
        <v>0</v>
      </c>
      <c r="BH361" s="49">
        <f ca="1"/>
        <v>0</v>
      </c>
      <c r="BI361" s="49">
        <f ca="1"/>
        <v>0</v>
      </c>
      <c r="BJ361" s="49">
        <f ca="1"/>
        <v>0</v>
      </c>
      <c r="BK361" s="49">
        <f ca="1"/>
        <v>0</v>
      </c>
      <c r="BL361" s="49">
        <f ca="1"/>
        <v>0</v>
      </c>
      <c r="BM361" s="49">
        <f ca="1"/>
        <v>0</v>
      </c>
      <c r="BN361" s="49">
        <f ca="1"/>
        <v>0</v>
      </c>
      <c r="BO361" s="49">
        <f ca="1"/>
        <v>0</v>
      </c>
      <c r="BP361" s="49">
        <f ca="1"/>
        <v>0</v>
      </c>
      <c r="BQ361" s="49">
        <f ca="1"/>
        <v>0</v>
      </c>
      <c r="BR361" s="49">
        <f ca="1"/>
        <v>0</v>
      </c>
      <c r="BS361" s="49">
        <f ca="1"/>
        <v>0</v>
      </c>
    </row>
    <row r="362" spans="1:71" outlineLevel="1" x14ac:dyDescent="0.2">
      <c r="D362" t="s">
        <v>259</v>
      </c>
      <c r="I362" s="30">
        <f t="shared" ca="1" si="122"/>
        <v>0</v>
      </c>
      <c r="J362" s="26" t="s">
        <v>148</v>
      </c>
      <c r="L362" s="49" cm="1">
        <f t="array" aca="1" ref="L362:BS362" ca="1">Haute_Mer_1994!CA_gross_rev_gas_fp</f>
        <v>0</v>
      </c>
      <c r="M362" s="49">
        <f ca="1"/>
        <v>0</v>
      </c>
      <c r="N362" s="49">
        <f ca="1"/>
        <v>0</v>
      </c>
      <c r="O362" s="49">
        <f ca="1"/>
        <v>0</v>
      </c>
      <c r="P362" s="49">
        <f ca="1"/>
        <v>0</v>
      </c>
      <c r="Q362" s="49">
        <f ca="1"/>
        <v>0</v>
      </c>
      <c r="R362" s="49">
        <f ca="1"/>
        <v>0</v>
      </c>
      <c r="S362" s="49">
        <f ca="1"/>
        <v>0</v>
      </c>
      <c r="T362" s="49">
        <f ca="1"/>
        <v>0</v>
      </c>
      <c r="U362" s="49">
        <f ca="1"/>
        <v>0</v>
      </c>
      <c r="V362" s="49">
        <f ca="1"/>
        <v>0</v>
      </c>
      <c r="W362" s="49">
        <f ca="1"/>
        <v>0</v>
      </c>
      <c r="X362" s="49">
        <f ca="1"/>
        <v>0</v>
      </c>
      <c r="Y362" s="49">
        <f ca="1"/>
        <v>0</v>
      </c>
      <c r="Z362" s="49">
        <f ca="1"/>
        <v>0</v>
      </c>
      <c r="AA362" s="49">
        <f ca="1"/>
        <v>0</v>
      </c>
      <c r="AB362" s="49">
        <f ca="1"/>
        <v>0</v>
      </c>
      <c r="AC362" s="49">
        <f ca="1"/>
        <v>0</v>
      </c>
      <c r="AD362" s="49">
        <f ca="1"/>
        <v>0</v>
      </c>
      <c r="AE362" s="49">
        <f ca="1"/>
        <v>0</v>
      </c>
      <c r="AF362" s="49">
        <f ca="1"/>
        <v>0</v>
      </c>
      <c r="AG362" s="49">
        <f ca="1"/>
        <v>0</v>
      </c>
      <c r="AH362" s="49">
        <f ca="1"/>
        <v>0</v>
      </c>
      <c r="AI362" s="49">
        <f ca="1"/>
        <v>0</v>
      </c>
      <c r="AJ362" s="49">
        <f ca="1"/>
        <v>0</v>
      </c>
      <c r="AK362" s="49">
        <f ca="1"/>
        <v>0</v>
      </c>
      <c r="AL362" s="49">
        <f ca="1"/>
        <v>0</v>
      </c>
      <c r="AM362" s="49">
        <f ca="1"/>
        <v>0</v>
      </c>
      <c r="AN362" s="49">
        <f ca="1"/>
        <v>0</v>
      </c>
      <c r="AO362" s="49">
        <f ca="1"/>
        <v>0</v>
      </c>
      <c r="AP362" s="49">
        <f ca="1"/>
        <v>0</v>
      </c>
      <c r="AQ362" s="49">
        <f ca="1"/>
        <v>0</v>
      </c>
      <c r="AR362" s="49">
        <f ca="1"/>
        <v>0</v>
      </c>
      <c r="AS362" s="49">
        <f ca="1"/>
        <v>0</v>
      </c>
      <c r="AT362" s="49">
        <f ca="1"/>
        <v>0</v>
      </c>
      <c r="AU362" s="49">
        <f ca="1"/>
        <v>0</v>
      </c>
      <c r="AV362" s="49">
        <f ca="1"/>
        <v>0</v>
      </c>
      <c r="AW362" s="49">
        <f ca="1"/>
        <v>0</v>
      </c>
      <c r="AX362" s="49">
        <f ca="1"/>
        <v>0</v>
      </c>
      <c r="AY362" s="49">
        <f ca="1"/>
        <v>0</v>
      </c>
      <c r="AZ362" s="49">
        <f ca="1"/>
        <v>0</v>
      </c>
      <c r="BA362" s="49">
        <f ca="1"/>
        <v>0</v>
      </c>
      <c r="BB362" s="49">
        <f ca="1"/>
        <v>0</v>
      </c>
      <c r="BC362" s="49">
        <f ca="1"/>
        <v>0</v>
      </c>
      <c r="BD362" s="49">
        <f ca="1"/>
        <v>0</v>
      </c>
      <c r="BE362" s="49">
        <f ca="1"/>
        <v>0</v>
      </c>
      <c r="BF362" s="49">
        <f ca="1"/>
        <v>0</v>
      </c>
      <c r="BG362" s="49">
        <f ca="1"/>
        <v>0</v>
      </c>
      <c r="BH362" s="49">
        <f ca="1"/>
        <v>0</v>
      </c>
      <c r="BI362" s="49">
        <f ca="1"/>
        <v>0</v>
      </c>
      <c r="BJ362" s="49">
        <f ca="1"/>
        <v>0</v>
      </c>
      <c r="BK362" s="49">
        <f ca="1"/>
        <v>0</v>
      </c>
      <c r="BL362" s="49">
        <f ca="1"/>
        <v>0</v>
      </c>
      <c r="BM362" s="49">
        <f ca="1"/>
        <v>0</v>
      </c>
      <c r="BN362" s="49">
        <f ca="1"/>
        <v>0</v>
      </c>
      <c r="BO362" s="49">
        <f ca="1"/>
        <v>0</v>
      </c>
      <c r="BP362" s="49">
        <f ca="1"/>
        <v>0</v>
      </c>
      <c r="BQ362" s="49">
        <f ca="1"/>
        <v>0</v>
      </c>
      <c r="BR362" s="49">
        <f ca="1"/>
        <v>0</v>
      </c>
      <c r="BS362" s="49">
        <f ca="1"/>
        <v>0</v>
      </c>
    </row>
    <row r="363" spans="1:71" outlineLevel="1" x14ac:dyDescent="0.2">
      <c r="D363" s="11" t="s">
        <v>260</v>
      </c>
      <c r="I363" s="30">
        <f t="shared" ca="1" si="122"/>
        <v>11683.664472381299</v>
      </c>
      <c r="J363" s="26" t="s">
        <v>148</v>
      </c>
      <c r="L363" s="49">
        <f ca="1">SUM(L361:L362)</f>
        <v>749.33748230811875</v>
      </c>
      <c r="M363" s="49">
        <f t="shared" ref="M363:BS363" ca="1" si="123">SUM(M361:M362)</f>
        <v>707.8459753529246</v>
      </c>
      <c r="N363" s="49">
        <f t="shared" ca="1" si="123"/>
        <v>267.06236900108337</v>
      </c>
      <c r="O363" s="49">
        <f t="shared" ca="1" si="123"/>
        <v>252.08282317336821</v>
      </c>
      <c r="P363" s="49">
        <f t="shared" ca="1" si="123"/>
        <v>699.24129539791363</v>
      </c>
      <c r="Q363" s="49">
        <f t="shared" ca="1" si="123"/>
        <v>1389.9328663921019</v>
      </c>
      <c r="R363" s="49">
        <f t="shared" ca="1" si="123"/>
        <v>1326.7308635491613</v>
      </c>
      <c r="S363" s="49">
        <f t="shared" ca="1" si="123"/>
        <v>770.17699371600008</v>
      </c>
      <c r="T363" s="49">
        <f t="shared" ca="1" si="123"/>
        <v>1175.2312258964159</v>
      </c>
      <c r="U363" s="49">
        <f t="shared" ca="1" si="123"/>
        <v>1173.1746984589799</v>
      </c>
      <c r="V363" s="49">
        <f t="shared" ca="1" si="123"/>
        <v>1112.8735189581882</v>
      </c>
      <c r="W363" s="49">
        <f t="shared" ca="1" si="123"/>
        <v>1058.5640716456105</v>
      </c>
      <c r="X363" s="49">
        <f t="shared" ca="1" si="123"/>
        <v>1001.4102885314331</v>
      </c>
      <c r="Y363" s="49">
        <f t="shared" ca="1" si="123"/>
        <v>0</v>
      </c>
      <c r="Z363" s="49">
        <f t="shared" ca="1" si="123"/>
        <v>0</v>
      </c>
      <c r="AA363" s="49">
        <f t="shared" ca="1" si="123"/>
        <v>0</v>
      </c>
      <c r="AB363" s="49">
        <f t="shared" ca="1" si="123"/>
        <v>0</v>
      </c>
      <c r="AC363" s="49">
        <f t="shared" ca="1" si="123"/>
        <v>0</v>
      </c>
      <c r="AD363" s="49">
        <f t="shared" ca="1" si="123"/>
        <v>0</v>
      </c>
      <c r="AE363" s="49">
        <f t="shared" ca="1" si="123"/>
        <v>0</v>
      </c>
      <c r="AF363" s="49">
        <f t="shared" ca="1" si="123"/>
        <v>0</v>
      </c>
      <c r="AG363" s="49">
        <f t="shared" ca="1" si="123"/>
        <v>0</v>
      </c>
      <c r="AH363" s="49">
        <f t="shared" ca="1" si="123"/>
        <v>0</v>
      </c>
      <c r="AI363" s="49">
        <f t="shared" ca="1" si="123"/>
        <v>0</v>
      </c>
      <c r="AJ363" s="49">
        <f t="shared" ca="1" si="123"/>
        <v>0</v>
      </c>
      <c r="AK363" s="49">
        <f t="shared" ca="1" si="123"/>
        <v>0</v>
      </c>
      <c r="AL363" s="49">
        <f t="shared" ca="1" si="123"/>
        <v>0</v>
      </c>
      <c r="AM363" s="49">
        <f t="shared" ca="1" si="123"/>
        <v>0</v>
      </c>
      <c r="AN363" s="49">
        <f t="shared" ca="1" si="123"/>
        <v>0</v>
      </c>
      <c r="AO363" s="49">
        <f t="shared" ca="1" si="123"/>
        <v>0</v>
      </c>
      <c r="AP363" s="49">
        <f t="shared" ca="1" si="123"/>
        <v>0</v>
      </c>
      <c r="AQ363" s="49">
        <f t="shared" ca="1" si="123"/>
        <v>0</v>
      </c>
      <c r="AR363" s="49">
        <f t="shared" ca="1" si="123"/>
        <v>0</v>
      </c>
      <c r="AS363" s="49">
        <f t="shared" ca="1" si="123"/>
        <v>0</v>
      </c>
      <c r="AT363" s="49">
        <f t="shared" ca="1" si="123"/>
        <v>0</v>
      </c>
      <c r="AU363" s="49">
        <f t="shared" ca="1" si="123"/>
        <v>0</v>
      </c>
      <c r="AV363" s="49">
        <f t="shared" ca="1" si="123"/>
        <v>0</v>
      </c>
      <c r="AW363" s="49">
        <f t="shared" ca="1" si="123"/>
        <v>0</v>
      </c>
      <c r="AX363" s="49">
        <f t="shared" ca="1" si="123"/>
        <v>0</v>
      </c>
      <c r="AY363" s="49">
        <f t="shared" ca="1" si="123"/>
        <v>0</v>
      </c>
      <c r="AZ363" s="49">
        <f t="shared" ca="1" si="123"/>
        <v>0</v>
      </c>
      <c r="BA363" s="49">
        <f t="shared" ca="1" si="123"/>
        <v>0</v>
      </c>
      <c r="BB363" s="49">
        <f t="shared" ca="1" si="123"/>
        <v>0</v>
      </c>
      <c r="BC363" s="49">
        <f t="shared" ca="1" si="123"/>
        <v>0</v>
      </c>
      <c r="BD363" s="49">
        <f t="shared" ca="1" si="123"/>
        <v>0</v>
      </c>
      <c r="BE363" s="49">
        <f t="shared" ca="1" si="123"/>
        <v>0</v>
      </c>
      <c r="BF363" s="49">
        <f t="shared" ca="1" si="123"/>
        <v>0</v>
      </c>
      <c r="BG363" s="49">
        <f t="shared" ca="1" si="123"/>
        <v>0</v>
      </c>
      <c r="BH363" s="49">
        <f t="shared" ca="1" si="123"/>
        <v>0</v>
      </c>
      <c r="BI363" s="49">
        <f t="shared" ca="1" si="123"/>
        <v>0</v>
      </c>
      <c r="BJ363" s="49">
        <f t="shared" ca="1" si="123"/>
        <v>0</v>
      </c>
      <c r="BK363" s="49">
        <f t="shared" ca="1" si="123"/>
        <v>0</v>
      </c>
      <c r="BL363" s="49">
        <f t="shared" ca="1" si="123"/>
        <v>0</v>
      </c>
      <c r="BM363" s="49">
        <f t="shared" ca="1" si="123"/>
        <v>0</v>
      </c>
      <c r="BN363" s="49">
        <f t="shared" ca="1" si="123"/>
        <v>0</v>
      </c>
      <c r="BO363" s="49">
        <f t="shared" ca="1" si="123"/>
        <v>0</v>
      </c>
      <c r="BP363" s="49">
        <f t="shared" ca="1" si="123"/>
        <v>0</v>
      </c>
      <c r="BQ363" s="49">
        <f t="shared" ca="1" si="123"/>
        <v>0</v>
      </c>
      <c r="BR363" s="49">
        <f t="shared" ca="1" si="123"/>
        <v>0</v>
      </c>
      <c r="BS363" s="49">
        <f t="shared" ca="1" si="123"/>
        <v>0</v>
      </c>
    </row>
    <row r="364" spans="1:71" outlineLevel="1" x14ac:dyDescent="0.2">
      <c r="J364" s="26"/>
      <c r="L364" s="55"/>
      <c r="M364" s="55"/>
      <c r="N364" s="55"/>
      <c r="O364" s="55"/>
      <c r="P364" s="55"/>
      <c r="Q364" s="55"/>
      <c r="R364" s="55"/>
      <c r="S364" s="55"/>
      <c r="T364" s="55"/>
      <c r="U364" s="55"/>
      <c r="V364" s="55"/>
      <c r="W364" s="55"/>
      <c r="X364" s="55"/>
      <c r="Y364" s="55"/>
      <c r="Z364" s="55"/>
      <c r="AA364" s="55"/>
      <c r="AB364" s="55"/>
      <c r="AC364" s="55"/>
      <c r="AD364" s="55"/>
      <c r="AE364" s="55"/>
      <c r="AF364" s="55"/>
      <c r="AG364" s="55"/>
      <c r="AH364" s="55"/>
      <c r="AI364" s="55"/>
      <c r="AJ364" s="55"/>
      <c r="AK364" s="55"/>
      <c r="AL364" s="55"/>
      <c r="AM364" s="55"/>
      <c r="AN364" s="55"/>
      <c r="AO364" s="55"/>
      <c r="AP364" s="55"/>
      <c r="AQ364" s="55"/>
      <c r="AR364" s="55"/>
      <c r="AS364" s="55"/>
      <c r="AT364" s="55"/>
      <c r="AU364" s="55"/>
      <c r="AV364" s="55"/>
      <c r="AW364" s="55"/>
      <c r="AX364" s="55"/>
      <c r="AY364" s="55"/>
      <c r="AZ364" s="55"/>
      <c r="BA364" s="55"/>
      <c r="BB364" s="55"/>
      <c r="BC364" s="55"/>
      <c r="BD364" s="55"/>
      <c r="BE364" s="55"/>
      <c r="BF364" s="55"/>
      <c r="BG364" s="55"/>
      <c r="BH364" s="55"/>
      <c r="BI364" s="55"/>
      <c r="BJ364" s="55"/>
      <c r="BK364" s="55"/>
      <c r="BL364" s="55"/>
      <c r="BM364" s="55"/>
      <c r="BN364" s="55"/>
      <c r="BO364" s="55"/>
      <c r="BP364" s="55"/>
      <c r="BQ364" s="55"/>
      <c r="BR364" s="55"/>
      <c r="BS364" s="55"/>
    </row>
    <row r="365" spans="1:71" outlineLevel="1" x14ac:dyDescent="0.2">
      <c r="C365" t="s">
        <v>50</v>
      </c>
      <c r="J365" s="26"/>
      <c r="L365" s="55"/>
      <c r="M365" s="55"/>
      <c r="N365" s="55"/>
      <c r="O365" s="55"/>
      <c r="P365" s="55"/>
      <c r="Q365" s="55"/>
      <c r="R365" s="55"/>
      <c r="S365" s="55"/>
      <c r="T365" s="55"/>
      <c r="U365" s="55"/>
      <c r="V365" s="55"/>
      <c r="W365" s="55"/>
      <c r="X365" s="55"/>
      <c r="Y365" s="55"/>
      <c r="Z365" s="55"/>
      <c r="AA365" s="55"/>
      <c r="AB365" s="55"/>
      <c r="AC365" s="55"/>
      <c r="AD365" s="55"/>
      <c r="AE365" s="55"/>
      <c r="AF365" s="55"/>
      <c r="AG365" s="55"/>
      <c r="AH365" s="55"/>
      <c r="AI365" s="55"/>
      <c r="AJ365" s="55"/>
      <c r="AK365" s="55"/>
      <c r="AL365" s="55"/>
      <c r="AM365" s="55"/>
      <c r="AN365" s="55"/>
      <c r="AO365" s="55"/>
      <c r="AP365" s="55"/>
      <c r="AQ365" s="55"/>
      <c r="AR365" s="55"/>
      <c r="AS365" s="55"/>
      <c r="AT365" s="55"/>
      <c r="AU365" s="55"/>
      <c r="AV365" s="55"/>
      <c r="AW365" s="55"/>
      <c r="AX365" s="55"/>
      <c r="AY365" s="55"/>
      <c r="AZ365" s="55"/>
      <c r="BA365" s="55"/>
      <c r="BB365" s="55"/>
      <c r="BC365" s="55"/>
      <c r="BD365" s="55"/>
      <c r="BE365" s="55"/>
      <c r="BF365" s="55"/>
      <c r="BG365" s="55"/>
      <c r="BH365" s="55"/>
      <c r="BI365" s="55"/>
      <c r="BJ365" s="55"/>
      <c r="BK365" s="55"/>
      <c r="BL365" s="55"/>
      <c r="BM365" s="55"/>
      <c r="BN365" s="55"/>
      <c r="BO365" s="55"/>
      <c r="BP365" s="55"/>
      <c r="BQ365" s="55"/>
      <c r="BR365" s="55"/>
      <c r="BS365" s="55"/>
    </row>
    <row r="366" spans="1:71" outlineLevel="1" x14ac:dyDescent="0.2">
      <c r="D366" t="s">
        <v>261</v>
      </c>
      <c r="I366" s="30">
        <f t="shared" ref="I366:I368" ca="1" si="124">SUM($L366:$BS366)</f>
        <v>0</v>
      </c>
      <c r="J366" s="26" t="s">
        <v>148</v>
      </c>
      <c r="L366" s="49" cm="1">
        <f t="array" aca="1" ref="L366:BS366" ca="1">Haute_Mer_1994!CA_fixedopex_nom</f>
        <v>0</v>
      </c>
      <c r="M366" s="49">
        <f ca="1"/>
        <v>0</v>
      </c>
      <c r="N366" s="49">
        <f ca="1"/>
        <v>0</v>
      </c>
      <c r="O366" s="49">
        <f ca="1"/>
        <v>0</v>
      </c>
      <c r="P366" s="49">
        <f ca="1"/>
        <v>0</v>
      </c>
      <c r="Q366" s="49">
        <f ca="1"/>
        <v>0</v>
      </c>
      <c r="R366" s="49">
        <f ca="1"/>
        <v>0</v>
      </c>
      <c r="S366" s="49">
        <f ca="1"/>
        <v>0</v>
      </c>
      <c r="T366" s="49">
        <f ca="1"/>
        <v>0</v>
      </c>
      <c r="U366" s="49">
        <f ca="1"/>
        <v>0</v>
      </c>
      <c r="V366" s="49">
        <f ca="1"/>
        <v>0</v>
      </c>
      <c r="W366" s="49">
        <f ca="1"/>
        <v>0</v>
      </c>
      <c r="X366" s="49">
        <f ca="1"/>
        <v>0</v>
      </c>
      <c r="Y366" s="49">
        <f ca="1"/>
        <v>0</v>
      </c>
      <c r="Z366" s="49">
        <f ca="1"/>
        <v>0</v>
      </c>
      <c r="AA366" s="49">
        <f ca="1"/>
        <v>0</v>
      </c>
      <c r="AB366" s="49">
        <f ca="1"/>
        <v>0</v>
      </c>
      <c r="AC366" s="49">
        <f ca="1"/>
        <v>0</v>
      </c>
      <c r="AD366" s="49">
        <f ca="1"/>
        <v>0</v>
      </c>
      <c r="AE366" s="49">
        <f ca="1"/>
        <v>0</v>
      </c>
      <c r="AF366" s="49">
        <f ca="1"/>
        <v>0</v>
      </c>
      <c r="AG366" s="49">
        <f ca="1"/>
        <v>0</v>
      </c>
      <c r="AH366" s="49">
        <f ca="1"/>
        <v>0</v>
      </c>
      <c r="AI366" s="49">
        <f ca="1"/>
        <v>0</v>
      </c>
      <c r="AJ366" s="49">
        <f ca="1"/>
        <v>0</v>
      </c>
      <c r="AK366" s="49">
        <f ca="1"/>
        <v>0</v>
      </c>
      <c r="AL366" s="49">
        <f ca="1"/>
        <v>0</v>
      </c>
      <c r="AM366" s="49">
        <f ca="1"/>
        <v>0</v>
      </c>
      <c r="AN366" s="49">
        <f ca="1"/>
        <v>0</v>
      </c>
      <c r="AO366" s="49">
        <f ca="1"/>
        <v>0</v>
      </c>
      <c r="AP366" s="49">
        <f ca="1"/>
        <v>0</v>
      </c>
      <c r="AQ366" s="49">
        <f ca="1"/>
        <v>0</v>
      </c>
      <c r="AR366" s="49">
        <f ca="1"/>
        <v>0</v>
      </c>
      <c r="AS366" s="49">
        <f ca="1"/>
        <v>0</v>
      </c>
      <c r="AT366" s="49">
        <f ca="1"/>
        <v>0</v>
      </c>
      <c r="AU366" s="49">
        <f ca="1"/>
        <v>0</v>
      </c>
      <c r="AV366" s="49">
        <f ca="1"/>
        <v>0</v>
      </c>
      <c r="AW366" s="49">
        <f ca="1"/>
        <v>0</v>
      </c>
      <c r="AX366" s="49">
        <f ca="1"/>
        <v>0</v>
      </c>
      <c r="AY366" s="49">
        <f ca="1"/>
        <v>0</v>
      </c>
      <c r="AZ366" s="49">
        <f ca="1"/>
        <v>0</v>
      </c>
      <c r="BA366" s="49">
        <f ca="1"/>
        <v>0</v>
      </c>
      <c r="BB366" s="49">
        <f ca="1"/>
        <v>0</v>
      </c>
      <c r="BC366" s="49">
        <f ca="1"/>
        <v>0</v>
      </c>
      <c r="BD366" s="49">
        <f ca="1"/>
        <v>0</v>
      </c>
      <c r="BE366" s="49">
        <f ca="1"/>
        <v>0</v>
      </c>
      <c r="BF366" s="49">
        <f ca="1"/>
        <v>0</v>
      </c>
      <c r="BG366" s="49">
        <f ca="1"/>
        <v>0</v>
      </c>
      <c r="BH366" s="49">
        <f ca="1"/>
        <v>0</v>
      </c>
      <c r="BI366" s="49">
        <f ca="1"/>
        <v>0</v>
      </c>
      <c r="BJ366" s="49">
        <f ca="1"/>
        <v>0</v>
      </c>
      <c r="BK366" s="49">
        <f ca="1"/>
        <v>0</v>
      </c>
      <c r="BL366" s="49">
        <f ca="1"/>
        <v>0</v>
      </c>
      <c r="BM366" s="49">
        <f ca="1"/>
        <v>0</v>
      </c>
      <c r="BN366" s="49">
        <f ca="1"/>
        <v>0</v>
      </c>
      <c r="BO366" s="49">
        <f ca="1"/>
        <v>0</v>
      </c>
      <c r="BP366" s="49">
        <f ca="1"/>
        <v>0</v>
      </c>
      <c r="BQ366" s="49">
        <f ca="1"/>
        <v>0</v>
      </c>
      <c r="BR366" s="49">
        <f ca="1"/>
        <v>0</v>
      </c>
      <c r="BS366" s="49">
        <f ca="1"/>
        <v>0</v>
      </c>
    </row>
    <row r="367" spans="1:71" outlineLevel="1" x14ac:dyDescent="0.2">
      <c r="D367" t="s">
        <v>158</v>
      </c>
      <c r="I367" s="30">
        <f t="shared" ca="1" si="124"/>
        <v>3502.3183539519996</v>
      </c>
      <c r="J367" s="26" t="s">
        <v>148</v>
      </c>
      <c r="L367" s="49" cm="1">
        <f t="array" aca="1" ref="L367:BS367" ca="1">Haute_Mer_1994!CA_varopex_nom</f>
        <v>148.06899999999999</v>
      </c>
      <c r="M367" s="49">
        <f ca="1"/>
        <v>183.88499999999999</v>
      </c>
      <c r="N367" s="49">
        <f ca="1"/>
        <v>135.70400000000001</v>
      </c>
      <c r="O367" s="49">
        <f ca="1"/>
        <v>240.88499999999999</v>
      </c>
      <c r="P367" s="49">
        <f ca="1"/>
        <v>536.79</v>
      </c>
      <c r="Q367" s="49">
        <f ca="1"/>
        <v>243.78</v>
      </c>
      <c r="R367" s="49">
        <f ca="1"/>
        <v>281.8</v>
      </c>
      <c r="S367" s="49">
        <f ca="1"/>
        <v>286.3</v>
      </c>
      <c r="T367" s="49">
        <f ca="1"/>
        <v>283.39999999999998</v>
      </c>
      <c r="U367" s="49">
        <f ca="1"/>
        <v>286.21200000000005</v>
      </c>
      <c r="V367" s="49">
        <f ca="1"/>
        <v>289.02312000000001</v>
      </c>
      <c r="W367" s="49">
        <f ca="1"/>
        <v>291.8322</v>
      </c>
      <c r="X367" s="49">
        <f ca="1"/>
        <v>294.638033952</v>
      </c>
      <c r="Y367" s="49">
        <f ca="1"/>
        <v>0</v>
      </c>
      <c r="Z367" s="49">
        <f ca="1"/>
        <v>0</v>
      </c>
      <c r="AA367" s="49">
        <f ca="1"/>
        <v>0</v>
      </c>
      <c r="AB367" s="49">
        <f ca="1"/>
        <v>0</v>
      </c>
      <c r="AC367" s="49">
        <f ca="1"/>
        <v>0</v>
      </c>
      <c r="AD367" s="49">
        <f ca="1"/>
        <v>0</v>
      </c>
      <c r="AE367" s="49">
        <f ca="1"/>
        <v>0</v>
      </c>
      <c r="AF367" s="49">
        <f ca="1"/>
        <v>0</v>
      </c>
      <c r="AG367" s="49">
        <f ca="1"/>
        <v>0</v>
      </c>
      <c r="AH367" s="49">
        <f ca="1"/>
        <v>0</v>
      </c>
      <c r="AI367" s="49">
        <f ca="1"/>
        <v>0</v>
      </c>
      <c r="AJ367" s="49">
        <f ca="1"/>
        <v>0</v>
      </c>
      <c r="AK367" s="49">
        <f ca="1"/>
        <v>0</v>
      </c>
      <c r="AL367" s="49">
        <f ca="1"/>
        <v>0</v>
      </c>
      <c r="AM367" s="49">
        <f ca="1"/>
        <v>0</v>
      </c>
      <c r="AN367" s="49">
        <f ca="1"/>
        <v>0</v>
      </c>
      <c r="AO367" s="49">
        <f ca="1"/>
        <v>0</v>
      </c>
      <c r="AP367" s="49">
        <f ca="1"/>
        <v>0</v>
      </c>
      <c r="AQ367" s="49">
        <f ca="1"/>
        <v>0</v>
      </c>
      <c r="AR367" s="49">
        <f ca="1"/>
        <v>0</v>
      </c>
      <c r="AS367" s="49">
        <f ca="1"/>
        <v>0</v>
      </c>
      <c r="AT367" s="49">
        <f ca="1"/>
        <v>0</v>
      </c>
      <c r="AU367" s="49">
        <f ca="1"/>
        <v>0</v>
      </c>
      <c r="AV367" s="49">
        <f ca="1"/>
        <v>0</v>
      </c>
      <c r="AW367" s="49">
        <f ca="1"/>
        <v>0</v>
      </c>
      <c r="AX367" s="49">
        <f ca="1"/>
        <v>0</v>
      </c>
      <c r="AY367" s="49">
        <f ca="1"/>
        <v>0</v>
      </c>
      <c r="AZ367" s="49">
        <f ca="1"/>
        <v>0</v>
      </c>
      <c r="BA367" s="49">
        <f ca="1"/>
        <v>0</v>
      </c>
      <c r="BB367" s="49">
        <f ca="1"/>
        <v>0</v>
      </c>
      <c r="BC367" s="49">
        <f ca="1"/>
        <v>0</v>
      </c>
      <c r="BD367" s="49">
        <f ca="1"/>
        <v>0</v>
      </c>
      <c r="BE367" s="49">
        <f ca="1"/>
        <v>0</v>
      </c>
      <c r="BF367" s="49">
        <f ca="1"/>
        <v>0</v>
      </c>
      <c r="BG367" s="49">
        <f ca="1"/>
        <v>0</v>
      </c>
      <c r="BH367" s="49">
        <f ca="1"/>
        <v>0</v>
      </c>
      <c r="BI367" s="49">
        <f ca="1"/>
        <v>0</v>
      </c>
      <c r="BJ367" s="49">
        <f ca="1"/>
        <v>0</v>
      </c>
      <c r="BK367" s="49">
        <f ca="1"/>
        <v>0</v>
      </c>
      <c r="BL367" s="49">
        <f ca="1"/>
        <v>0</v>
      </c>
      <c r="BM367" s="49">
        <f ca="1"/>
        <v>0</v>
      </c>
      <c r="BN367" s="49">
        <f ca="1"/>
        <v>0</v>
      </c>
      <c r="BO367" s="49">
        <f ca="1"/>
        <v>0</v>
      </c>
      <c r="BP367" s="49">
        <f ca="1"/>
        <v>0</v>
      </c>
      <c r="BQ367" s="49">
        <f ca="1"/>
        <v>0</v>
      </c>
      <c r="BR367" s="49">
        <f ca="1"/>
        <v>0</v>
      </c>
      <c r="BS367" s="49">
        <f ca="1"/>
        <v>0</v>
      </c>
    </row>
    <row r="368" spans="1:71" outlineLevel="1" x14ac:dyDescent="0.2">
      <c r="D368" s="11" t="s">
        <v>165</v>
      </c>
      <c r="I368" s="30">
        <f t="shared" ca="1" si="124"/>
        <v>3502.3183539519996</v>
      </c>
      <c r="J368" s="26" t="s">
        <v>148</v>
      </c>
      <c r="L368" s="49">
        <f ca="1">SUM(L366:L367)</f>
        <v>148.06899999999999</v>
      </c>
      <c r="M368" s="49">
        <f t="shared" ref="M368:BS368" ca="1" si="125">SUM(M366:M367)</f>
        <v>183.88499999999999</v>
      </c>
      <c r="N368" s="49">
        <f t="shared" ca="1" si="125"/>
        <v>135.70400000000001</v>
      </c>
      <c r="O368" s="49">
        <f t="shared" ca="1" si="125"/>
        <v>240.88499999999999</v>
      </c>
      <c r="P368" s="49">
        <f t="shared" ca="1" si="125"/>
        <v>536.79</v>
      </c>
      <c r="Q368" s="49">
        <f t="shared" ca="1" si="125"/>
        <v>243.78</v>
      </c>
      <c r="R368" s="49">
        <f t="shared" ca="1" si="125"/>
        <v>281.8</v>
      </c>
      <c r="S368" s="49">
        <f t="shared" ca="1" si="125"/>
        <v>286.3</v>
      </c>
      <c r="T368" s="49">
        <f t="shared" ca="1" si="125"/>
        <v>283.39999999999998</v>
      </c>
      <c r="U368" s="49">
        <f t="shared" ca="1" si="125"/>
        <v>286.21200000000005</v>
      </c>
      <c r="V368" s="49">
        <f t="shared" ca="1" si="125"/>
        <v>289.02312000000001</v>
      </c>
      <c r="W368" s="49">
        <f t="shared" ca="1" si="125"/>
        <v>291.8322</v>
      </c>
      <c r="X368" s="49">
        <f t="shared" ca="1" si="125"/>
        <v>294.638033952</v>
      </c>
      <c r="Y368" s="49">
        <f t="shared" ca="1" si="125"/>
        <v>0</v>
      </c>
      <c r="Z368" s="49">
        <f t="shared" ca="1" si="125"/>
        <v>0</v>
      </c>
      <c r="AA368" s="49">
        <f t="shared" ca="1" si="125"/>
        <v>0</v>
      </c>
      <c r="AB368" s="49">
        <f t="shared" ca="1" si="125"/>
        <v>0</v>
      </c>
      <c r="AC368" s="49">
        <f t="shared" ca="1" si="125"/>
        <v>0</v>
      </c>
      <c r="AD368" s="49">
        <f t="shared" ca="1" si="125"/>
        <v>0</v>
      </c>
      <c r="AE368" s="49">
        <f t="shared" ca="1" si="125"/>
        <v>0</v>
      </c>
      <c r="AF368" s="49">
        <f t="shared" ca="1" si="125"/>
        <v>0</v>
      </c>
      <c r="AG368" s="49">
        <f t="shared" ca="1" si="125"/>
        <v>0</v>
      </c>
      <c r="AH368" s="49">
        <f t="shared" ca="1" si="125"/>
        <v>0</v>
      </c>
      <c r="AI368" s="49">
        <f t="shared" ca="1" si="125"/>
        <v>0</v>
      </c>
      <c r="AJ368" s="49">
        <f t="shared" ca="1" si="125"/>
        <v>0</v>
      </c>
      <c r="AK368" s="49">
        <f t="shared" ca="1" si="125"/>
        <v>0</v>
      </c>
      <c r="AL368" s="49">
        <f t="shared" ca="1" si="125"/>
        <v>0</v>
      </c>
      <c r="AM368" s="49">
        <f t="shared" ca="1" si="125"/>
        <v>0</v>
      </c>
      <c r="AN368" s="49">
        <f t="shared" ca="1" si="125"/>
        <v>0</v>
      </c>
      <c r="AO368" s="49">
        <f t="shared" ca="1" si="125"/>
        <v>0</v>
      </c>
      <c r="AP368" s="49">
        <f t="shared" ca="1" si="125"/>
        <v>0</v>
      </c>
      <c r="AQ368" s="49">
        <f t="shared" ca="1" si="125"/>
        <v>0</v>
      </c>
      <c r="AR368" s="49">
        <f t="shared" ca="1" si="125"/>
        <v>0</v>
      </c>
      <c r="AS368" s="49">
        <f t="shared" ca="1" si="125"/>
        <v>0</v>
      </c>
      <c r="AT368" s="49">
        <f t="shared" ca="1" si="125"/>
        <v>0</v>
      </c>
      <c r="AU368" s="49">
        <f t="shared" ca="1" si="125"/>
        <v>0</v>
      </c>
      <c r="AV368" s="49">
        <f t="shared" ca="1" si="125"/>
        <v>0</v>
      </c>
      <c r="AW368" s="49">
        <f t="shared" ca="1" si="125"/>
        <v>0</v>
      </c>
      <c r="AX368" s="49">
        <f t="shared" ca="1" si="125"/>
        <v>0</v>
      </c>
      <c r="AY368" s="49">
        <f t="shared" ca="1" si="125"/>
        <v>0</v>
      </c>
      <c r="AZ368" s="49">
        <f t="shared" ca="1" si="125"/>
        <v>0</v>
      </c>
      <c r="BA368" s="49">
        <f t="shared" ca="1" si="125"/>
        <v>0</v>
      </c>
      <c r="BB368" s="49">
        <f t="shared" ca="1" si="125"/>
        <v>0</v>
      </c>
      <c r="BC368" s="49">
        <f t="shared" ca="1" si="125"/>
        <v>0</v>
      </c>
      <c r="BD368" s="49">
        <f t="shared" ca="1" si="125"/>
        <v>0</v>
      </c>
      <c r="BE368" s="49">
        <f t="shared" ca="1" si="125"/>
        <v>0</v>
      </c>
      <c r="BF368" s="49">
        <f t="shared" ca="1" si="125"/>
        <v>0</v>
      </c>
      <c r="BG368" s="49">
        <f t="shared" ca="1" si="125"/>
        <v>0</v>
      </c>
      <c r="BH368" s="49">
        <f t="shared" ca="1" si="125"/>
        <v>0</v>
      </c>
      <c r="BI368" s="49">
        <f t="shared" ca="1" si="125"/>
        <v>0</v>
      </c>
      <c r="BJ368" s="49">
        <f t="shared" ca="1" si="125"/>
        <v>0</v>
      </c>
      <c r="BK368" s="49">
        <f t="shared" ca="1" si="125"/>
        <v>0</v>
      </c>
      <c r="BL368" s="49">
        <f t="shared" ca="1" si="125"/>
        <v>0</v>
      </c>
      <c r="BM368" s="49">
        <f t="shared" ca="1" si="125"/>
        <v>0</v>
      </c>
      <c r="BN368" s="49">
        <f t="shared" ca="1" si="125"/>
        <v>0</v>
      </c>
      <c r="BO368" s="49">
        <f t="shared" ca="1" si="125"/>
        <v>0</v>
      </c>
      <c r="BP368" s="49">
        <f t="shared" ca="1" si="125"/>
        <v>0</v>
      </c>
      <c r="BQ368" s="49">
        <f t="shared" ca="1" si="125"/>
        <v>0</v>
      </c>
      <c r="BR368" s="49">
        <f t="shared" ca="1" si="125"/>
        <v>0</v>
      </c>
      <c r="BS368" s="49">
        <f t="shared" ca="1" si="125"/>
        <v>0</v>
      </c>
    </row>
    <row r="369" spans="1:71" outlineLevel="1" x14ac:dyDescent="0.2">
      <c r="J369" s="26"/>
      <c r="L369" s="55"/>
      <c r="M369" s="55"/>
      <c r="N369" s="55"/>
      <c r="O369" s="55"/>
      <c r="P369" s="55"/>
      <c r="Q369" s="55"/>
      <c r="R369" s="55"/>
      <c r="S369" s="55"/>
      <c r="T369" s="55"/>
      <c r="U369" s="55"/>
      <c r="V369" s="55"/>
      <c r="W369" s="55"/>
      <c r="X369" s="55"/>
      <c r="Y369" s="55"/>
      <c r="Z369" s="55"/>
      <c r="AA369" s="55"/>
      <c r="AB369" s="55"/>
      <c r="AC369" s="55"/>
      <c r="AD369" s="55"/>
      <c r="AE369" s="55"/>
      <c r="AF369" s="55"/>
      <c r="AG369" s="55"/>
      <c r="AH369" s="55"/>
      <c r="AI369" s="55"/>
      <c r="AJ369" s="55"/>
      <c r="AK369" s="55"/>
      <c r="AL369" s="55"/>
      <c r="AM369" s="55"/>
      <c r="AN369" s="55"/>
      <c r="AO369" s="55"/>
      <c r="AP369" s="55"/>
      <c r="AQ369" s="55"/>
      <c r="AR369" s="55"/>
      <c r="AS369" s="55"/>
      <c r="AT369" s="55"/>
      <c r="AU369" s="55"/>
      <c r="AV369" s="55"/>
      <c r="AW369" s="55"/>
      <c r="AX369" s="55"/>
      <c r="AY369" s="55"/>
      <c r="AZ369" s="55"/>
      <c r="BA369" s="55"/>
      <c r="BB369" s="55"/>
      <c r="BC369" s="55"/>
      <c r="BD369" s="55"/>
      <c r="BE369" s="55"/>
      <c r="BF369" s="55"/>
      <c r="BG369" s="55"/>
      <c r="BH369" s="55"/>
      <c r="BI369" s="55"/>
      <c r="BJ369" s="55"/>
      <c r="BK369" s="55"/>
      <c r="BL369" s="55"/>
      <c r="BM369" s="55"/>
      <c r="BN369" s="55"/>
      <c r="BO369" s="55"/>
      <c r="BP369" s="55"/>
      <c r="BQ369" s="55"/>
      <c r="BR369" s="55"/>
      <c r="BS369" s="55"/>
    </row>
    <row r="370" spans="1:71" outlineLevel="1" x14ac:dyDescent="0.2">
      <c r="C370" t="s">
        <v>262</v>
      </c>
      <c r="J370" s="26"/>
      <c r="L370" s="55"/>
      <c r="M370" s="55"/>
      <c r="N370" s="55"/>
      <c r="O370" s="55"/>
      <c r="P370" s="55"/>
      <c r="Q370" s="55"/>
      <c r="R370" s="55"/>
      <c r="S370" s="55"/>
      <c r="T370" s="55"/>
      <c r="U370" s="55"/>
      <c r="V370" s="55"/>
      <c r="W370" s="55"/>
      <c r="X370" s="55"/>
      <c r="Y370" s="55"/>
      <c r="Z370" s="55"/>
      <c r="AA370" s="55"/>
      <c r="AB370" s="55"/>
      <c r="AC370" s="55"/>
      <c r="AD370" s="55"/>
      <c r="AE370" s="55"/>
      <c r="AF370" s="55"/>
      <c r="AG370" s="55"/>
      <c r="AH370" s="55"/>
      <c r="AI370" s="55"/>
      <c r="AJ370" s="55"/>
      <c r="AK370" s="55"/>
      <c r="AL370" s="55"/>
      <c r="AM370" s="55"/>
      <c r="AN370" s="55"/>
      <c r="AO370" s="55"/>
      <c r="AP370" s="55"/>
      <c r="AQ370" s="55"/>
      <c r="AR370" s="55"/>
      <c r="AS370" s="55"/>
      <c r="AT370" s="55"/>
      <c r="AU370" s="55"/>
      <c r="AV370" s="55"/>
      <c r="AW370" s="55"/>
      <c r="AX370" s="55"/>
      <c r="AY370" s="55"/>
      <c r="AZ370" s="55"/>
      <c r="BA370" s="55"/>
      <c r="BB370" s="55"/>
      <c r="BC370" s="55"/>
      <c r="BD370" s="55"/>
      <c r="BE370" s="55"/>
      <c r="BF370" s="55"/>
      <c r="BG370" s="55"/>
      <c r="BH370" s="55"/>
      <c r="BI370" s="55"/>
      <c r="BJ370" s="55"/>
      <c r="BK370" s="55"/>
      <c r="BL370" s="55"/>
      <c r="BM370" s="55"/>
      <c r="BN370" s="55"/>
      <c r="BO370" s="55"/>
      <c r="BP370" s="55"/>
      <c r="BQ370" s="55"/>
      <c r="BR370" s="55"/>
      <c r="BS370" s="55"/>
    </row>
    <row r="371" spans="1:71" outlineLevel="1" x14ac:dyDescent="0.2">
      <c r="D371" t="s">
        <v>263</v>
      </c>
      <c r="I371" s="30">
        <f t="shared" ref="I371:I376" ca="1" si="126">SUM($L371:$BS371)</f>
        <v>0</v>
      </c>
      <c r="J371" s="26" t="s">
        <v>148</v>
      </c>
      <c r="L371" s="49" cm="1">
        <f t="array" aca="1" ref="L371:BS371" ca="1">Haute_Mer_1994!CA_expex_nom</f>
        <v>0</v>
      </c>
      <c r="M371" s="49">
        <f ca="1"/>
        <v>0</v>
      </c>
      <c r="N371" s="49">
        <f ca="1"/>
        <v>0</v>
      </c>
      <c r="O371" s="49">
        <f ca="1"/>
        <v>0</v>
      </c>
      <c r="P371" s="49">
        <f ca="1"/>
        <v>0</v>
      </c>
      <c r="Q371" s="49">
        <f ca="1"/>
        <v>0</v>
      </c>
      <c r="R371" s="49">
        <f ca="1"/>
        <v>0</v>
      </c>
      <c r="S371" s="49">
        <f ca="1"/>
        <v>0</v>
      </c>
      <c r="T371" s="49">
        <f ca="1"/>
        <v>0</v>
      </c>
      <c r="U371" s="49">
        <f ca="1"/>
        <v>0</v>
      </c>
      <c r="V371" s="49">
        <f ca="1"/>
        <v>0</v>
      </c>
      <c r="W371" s="49">
        <f ca="1"/>
        <v>0</v>
      </c>
      <c r="X371" s="49">
        <f ca="1"/>
        <v>0</v>
      </c>
      <c r="Y371" s="49">
        <f ca="1"/>
        <v>0</v>
      </c>
      <c r="Z371" s="49">
        <f ca="1"/>
        <v>0</v>
      </c>
      <c r="AA371" s="49">
        <f ca="1"/>
        <v>0</v>
      </c>
      <c r="AB371" s="49">
        <f ca="1"/>
        <v>0</v>
      </c>
      <c r="AC371" s="49">
        <f ca="1"/>
        <v>0</v>
      </c>
      <c r="AD371" s="49">
        <f ca="1"/>
        <v>0</v>
      </c>
      <c r="AE371" s="49">
        <f ca="1"/>
        <v>0</v>
      </c>
      <c r="AF371" s="49">
        <f ca="1"/>
        <v>0</v>
      </c>
      <c r="AG371" s="49">
        <f ca="1"/>
        <v>0</v>
      </c>
      <c r="AH371" s="49">
        <f ca="1"/>
        <v>0</v>
      </c>
      <c r="AI371" s="49">
        <f ca="1"/>
        <v>0</v>
      </c>
      <c r="AJ371" s="49">
        <f ca="1"/>
        <v>0</v>
      </c>
      <c r="AK371" s="49">
        <f ca="1"/>
        <v>0</v>
      </c>
      <c r="AL371" s="49">
        <f ca="1"/>
        <v>0</v>
      </c>
      <c r="AM371" s="49">
        <f ca="1"/>
        <v>0</v>
      </c>
      <c r="AN371" s="49">
        <f ca="1"/>
        <v>0</v>
      </c>
      <c r="AO371" s="49">
        <f ca="1"/>
        <v>0</v>
      </c>
      <c r="AP371" s="49">
        <f ca="1"/>
        <v>0</v>
      </c>
      <c r="AQ371" s="49">
        <f ca="1"/>
        <v>0</v>
      </c>
      <c r="AR371" s="49">
        <f ca="1"/>
        <v>0</v>
      </c>
      <c r="AS371" s="49">
        <f ca="1"/>
        <v>0</v>
      </c>
      <c r="AT371" s="49">
        <f ca="1"/>
        <v>0</v>
      </c>
      <c r="AU371" s="49">
        <f ca="1"/>
        <v>0</v>
      </c>
      <c r="AV371" s="49">
        <f ca="1"/>
        <v>0</v>
      </c>
      <c r="AW371" s="49">
        <f ca="1"/>
        <v>0</v>
      </c>
      <c r="AX371" s="49">
        <f ca="1"/>
        <v>0</v>
      </c>
      <c r="AY371" s="49">
        <f ca="1"/>
        <v>0</v>
      </c>
      <c r="AZ371" s="49">
        <f ca="1"/>
        <v>0</v>
      </c>
      <c r="BA371" s="49">
        <f ca="1"/>
        <v>0</v>
      </c>
      <c r="BB371" s="49">
        <f ca="1"/>
        <v>0</v>
      </c>
      <c r="BC371" s="49">
        <f ca="1"/>
        <v>0</v>
      </c>
      <c r="BD371" s="49">
        <f ca="1"/>
        <v>0</v>
      </c>
      <c r="BE371" s="49">
        <f ca="1"/>
        <v>0</v>
      </c>
      <c r="BF371" s="49">
        <f ca="1"/>
        <v>0</v>
      </c>
      <c r="BG371" s="49">
        <f ca="1"/>
        <v>0</v>
      </c>
      <c r="BH371" s="49">
        <f ca="1"/>
        <v>0</v>
      </c>
      <c r="BI371" s="49">
        <f ca="1"/>
        <v>0</v>
      </c>
      <c r="BJ371" s="49">
        <f ca="1"/>
        <v>0</v>
      </c>
      <c r="BK371" s="49">
        <f ca="1"/>
        <v>0</v>
      </c>
      <c r="BL371" s="49">
        <f ca="1"/>
        <v>0</v>
      </c>
      <c r="BM371" s="49">
        <f ca="1"/>
        <v>0</v>
      </c>
      <c r="BN371" s="49">
        <f ca="1"/>
        <v>0</v>
      </c>
      <c r="BO371" s="49">
        <f ca="1"/>
        <v>0</v>
      </c>
      <c r="BP371" s="49">
        <f ca="1"/>
        <v>0</v>
      </c>
      <c r="BQ371" s="49">
        <f ca="1"/>
        <v>0</v>
      </c>
      <c r="BR371" s="49">
        <f ca="1"/>
        <v>0</v>
      </c>
      <c r="BS371" s="49">
        <f ca="1"/>
        <v>0</v>
      </c>
    </row>
    <row r="372" spans="1:71" outlineLevel="1" x14ac:dyDescent="0.2">
      <c r="D372" t="s">
        <v>57</v>
      </c>
      <c r="I372" s="30">
        <f t="shared" ca="1" si="126"/>
        <v>10913.591</v>
      </c>
      <c r="J372" s="26" t="s">
        <v>148</v>
      </c>
      <c r="L372" s="49" cm="1">
        <f t="array" aca="1" ref="L372:BS372" ca="1">Haute_Mer_1994!CA_devex_nom</f>
        <v>1286.7819999999999</v>
      </c>
      <c r="M372" s="49">
        <f ca="1"/>
        <v>2118.212</v>
      </c>
      <c r="N372" s="49">
        <f ca="1"/>
        <v>3130.5740000000001</v>
      </c>
      <c r="O372" s="49">
        <f ca="1"/>
        <v>2571.201</v>
      </c>
      <c r="P372" s="49">
        <f ca="1"/>
        <v>1153.232</v>
      </c>
      <c r="Q372" s="49">
        <f ca="1"/>
        <v>653.59</v>
      </c>
      <c r="R372" s="49">
        <f ca="1"/>
        <v>0</v>
      </c>
      <c r="S372" s="49">
        <f ca="1"/>
        <v>0</v>
      </c>
      <c r="T372" s="49">
        <f ca="1"/>
        <v>0</v>
      </c>
      <c r="U372" s="49">
        <f ca="1"/>
        <v>0</v>
      </c>
      <c r="V372" s="49">
        <f ca="1"/>
        <v>0</v>
      </c>
      <c r="W372" s="49">
        <f ca="1"/>
        <v>0</v>
      </c>
      <c r="X372" s="49">
        <f ca="1"/>
        <v>0</v>
      </c>
      <c r="Y372" s="49">
        <f ca="1"/>
        <v>0</v>
      </c>
      <c r="Z372" s="49">
        <f ca="1"/>
        <v>0</v>
      </c>
      <c r="AA372" s="49">
        <f ca="1"/>
        <v>0</v>
      </c>
      <c r="AB372" s="49">
        <f ca="1"/>
        <v>0</v>
      </c>
      <c r="AC372" s="49">
        <f ca="1"/>
        <v>0</v>
      </c>
      <c r="AD372" s="49">
        <f ca="1"/>
        <v>0</v>
      </c>
      <c r="AE372" s="49">
        <f ca="1"/>
        <v>0</v>
      </c>
      <c r="AF372" s="49">
        <f ca="1"/>
        <v>0</v>
      </c>
      <c r="AG372" s="49">
        <f ca="1"/>
        <v>0</v>
      </c>
      <c r="AH372" s="49">
        <f ca="1"/>
        <v>0</v>
      </c>
      <c r="AI372" s="49">
        <f ca="1"/>
        <v>0</v>
      </c>
      <c r="AJ372" s="49">
        <f ca="1"/>
        <v>0</v>
      </c>
      <c r="AK372" s="49">
        <f ca="1"/>
        <v>0</v>
      </c>
      <c r="AL372" s="49">
        <f ca="1"/>
        <v>0</v>
      </c>
      <c r="AM372" s="49">
        <f ca="1"/>
        <v>0</v>
      </c>
      <c r="AN372" s="49">
        <f ca="1"/>
        <v>0</v>
      </c>
      <c r="AO372" s="49">
        <f ca="1"/>
        <v>0</v>
      </c>
      <c r="AP372" s="49">
        <f ca="1"/>
        <v>0</v>
      </c>
      <c r="AQ372" s="49">
        <f ca="1"/>
        <v>0</v>
      </c>
      <c r="AR372" s="49">
        <f ca="1"/>
        <v>0</v>
      </c>
      <c r="AS372" s="49">
        <f ca="1"/>
        <v>0</v>
      </c>
      <c r="AT372" s="49">
        <f ca="1"/>
        <v>0</v>
      </c>
      <c r="AU372" s="49">
        <f ca="1"/>
        <v>0</v>
      </c>
      <c r="AV372" s="49">
        <f ca="1"/>
        <v>0</v>
      </c>
      <c r="AW372" s="49">
        <f ca="1"/>
        <v>0</v>
      </c>
      <c r="AX372" s="49">
        <f ca="1"/>
        <v>0</v>
      </c>
      <c r="AY372" s="49">
        <f ca="1"/>
        <v>0</v>
      </c>
      <c r="AZ372" s="49">
        <f ca="1"/>
        <v>0</v>
      </c>
      <c r="BA372" s="49">
        <f ca="1"/>
        <v>0</v>
      </c>
      <c r="BB372" s="49">
        <f ca="1"/>
        <v>0</v>
      </c>
      <c r="BC372" s="49">
        <f ca="1"/>
        <v>0</v>
      </c>
      <c r="BD372" s="49">
        <f ca="1"/>
        <v>0</v>
      </c>
      <c r="BE372" s="49">
        <f ca="1"/>
        <v>0</v>
      </c>
      <c r="BF372" s="49">
        <f ca="1"/>
        <v>0</v>
      </c>
      <c r="BG372" s="49">
        <f ca="1"/>
        <v>0</v>
      </c>
      <c r="BH372" s="49">
        <f ca="1"/>
        <v>0</v>
      </c>
      <c r="BI372" s="49">
        <f ca="1"/>
        <v>0</v>
      </c>
      <c r="BJ372" s="49">
        <f ca="1"/>
        <v>0</v>
      </c>
      <c r="BK372" s="49">
        <f ca="1"/>
        <v>0</v>
      </c>
      <c r="BL372" s="49">
        <f ca="1"/>
        <v>0</v>
      </c>
      <c r="BM372" s="49">
        <f ca="1"/>
        <v>0</v>
      </c>
      <c r="BN372" s="49">
        <f ca="1"/>
        <v>0</v>
      </c>
      <c r="BO372" s="49">
        <f ca="1"/>
        <v>0</v>
      </c>
      <c r="BP372" s="49">
        <f ca="1"/>
        <v>0</v>
      </c>
      <c r="BQ372" s="49">
        <f ca="1"/>
        <v>0</v>
      </c>
      <c r="BR372" s="49">
        <f ca="1"/>
        <v>0</v>
      </c>
      <c r="BS372" s="49">
        <f ca="1"/>
        <v>0</v>
      </c>
    </row>
    <row r="373" spans="1:71" outlineLevel="1" x14ac:dyDescent="0.2">
      <c r="D373" t="s">
        <v>264</v>
      </c>
      <c r="I373" s="30">
        <f t="shared" ca="1" si="126"/>
        <v>0</v>
      </c>
      <c r="J373" s="26" t="s">
        <v>148</v>
      </c>
      <c r="L373" s="49" cm="1">
        <f t="array" aca="1" ref="L373:BS373" ca="1">Haute_Mer_1994!CA_decom_nom</f>
        <v>0</v>
      </c>
      <c r="M373" s="49">
        <f ca="1"/>
        <v>0</v>
      </c>
      <c r="N373" s="49">
        <f ca="1"/>
        <v>0</v>
      </c>
      <c r="O373" s="49">
        <f ca="1"/>
        <v>0</v>
      </c>
      <c r="P373" s="49">
        <f ca="1"/>
        <v>0</v>
      </c>
      <c r="Q373" s="49">
        <f ca="1"/>
        <v>0</v>
      </c>
      <c r="R373" s="49">
        <f ca="1"/>
        <v>0</v>
      </c>
      <c r="S373" s="49">
        <f ca="1"/>
        <v>0</v>
      </c>
      <c r="T373" s="49">
        <f ca="1"/>
        <v>0</v>
      </c>
      <c r="U373" s="49">
        <f ca="1"/>
        <v>0</v>
      </c>
      <c r="V373" s="49">
        <f ca="1"/>
        <v>0</v>
      </c>
      <c r="W373" s="49">
        <f ca="1"/>
        <v>0</v>
      </c>
      <c r="X373" s="49">
        <f ca="1"/>
        <v>0</v>
      </c>
      <c r="Y373" s="49">
        <f ca="1"/>
        <v>0</v>
      </c>
      <c r="Z373" s="49">
        <f ca="1"/>
        <v>0</v>
      </c>
      <c r="AA373" s="49">
        <f ca="1"/>
        <v>0</v>
      </c>
      <c r="AB373" s="49">
        <f ca="1"/>
        <v>0</v>
      </c>
      <c r="AC373" s="49">
        <f ca="1"/>
        <v>0</v>
      </c>
      <c r="AD373" s="49">
        <f ca="1"/>
        <v>0</v>
      </c>
      <c r="AE373" s="49">
        <f ca="1"/>
        <v>0</v>
      </c>
      <c r="AF373" s="49">
        <f ca="1"/>
        <v>0</v>
      </c>
      <c r="AG373" s="49">
        <f ca="1"/>
        <v>0</v>
      </c>
      <c r="AH373" s="49">
        <f ca="1"/>
        <v>0</v>
      </c>
      <c r="AI373" s="49">
        <f ca="1"/>
        <v>0</v>
      </c>
      <c r="AJ373" s="49">
        <f ca="1"/>
        <v>0</v>
      </c>
      <c r="AK373" s="49">
        <f ca="1"/>
        <v>0</v>
      </c>
      <c r="AL373" s="49">
        <f ca="1"/>
        <v>0</v>
      </c>
      <c r="AM373" s="49">
        <f ca="1"/>
        <v>0</v>
      </c>
      <c r="AN373" s="49">
        <f ca="1"/>
        <v>0</v>
      </c>
      <c r="AO373" s="49">
        <f ca="1"/>
        <v>0</v>
      </c>
      <c r="AP373" s="49">
        <f ca="1"/>
        <v>0</v>
      </c>
      <c r="AQ373" s="49">
        <f ca="1"/>
        <v>0</v>
      </c>
      <c r="AR373" s="49">
        <f ca="1"/>
        <v>0</v>
      </c>
      <c r="AS373" s="49">
        <f ca="1"/>
        <v>0</v>
      </c>
      <c r="AT373" s="49">
        <f ca="1"/>
        <v>0</v>
      </c>
      <c r="AU373" s="49">
        <f ca="1"/>
        <v>0</v>
      </c>
      <c r="AV373" s="49">
        <f ca="1"/>
        <v>0</v>
      </c>
      <c r="AW373" s="49">
        <f ca="1"/>
        <v>0</v>
      </c>
      <c r="AX373" s="49">
        <f ca="1"/>
        <v>0</v>
      </c>
      <c r="AY373" s="49">
        <f ca="1"/>
        <v>0</v>
      </c>
      <c r="AZ373" s="49">
        <f ca="1"/>
        <v>0</v>
      </c>
      <c r="BA373" s="49">
        <f ca="1"/>
        <v>0</v>
      </c>
      <c r="BB373" s="49">
        <f ca="1"/>
        <v>0</v>
      </c>
      <c r="BC373" s="49">
        <f ca="1"/>
        <v>0</v>
      </c>
      <c r="BD373" s="49">
        <f ca="1"/>
        <v>0</v>
      </c>
      <c r="BE373" s="49">
        <f ca="1"/>
        <v>0</v>
      </c>
      <c r="BF373" s="49">
        <f ca="1"/>
        <v>0</v>
      </c>
      <c r="BG373" s="49">
        <f ca="1"/>
        <v>0</v>
      </c>
      <c r="BH373" s="49">
        <f ca="1"/>
        <v>0</v>
      </c>
      <c r="BI373" s="49">
        <f ca="1"/>
        <v>0</v>
      </c>
      <c r="BJ373" s="49">
        <f ca="1"/>
        <v>0</v>
      </c>
      <c r="BK373" s="49">
        <f ca="1"/>
        <v>0</v>
      </c>
      <c r="BL373" s="49">
        <f ca="1"/>
        <v>0</v>
      </c>
      <c r="BM373" s="49">
        <f ca="1"/>
        <v>0</v>
      </c>
      <c r="BN373" s="49">
        <f ca="1"/>
        <v>0</v>
      </c>
      <c r="BO373" s="49">
        <f ca="1"/>
        <v>0</v>
      </c>
      <c r="BP373" s="49">
        <f ca="1"/>
        <v>0</v>
      </c>
      <c r="BQ373" s="49">
        <f ca="1"/>
        <v>0</v>
      </c>
      <c r="BR373" s="49">
        <f ca="1"/>
        <v>0</v>
      </c>
      <c r="BS373" s="49">
        <f ca="1"/>
        <v>0</v>
      </c>
    </row>
    <row r="374" spans="1:71" outlineLevel="1" x14ac:dyDescent="0.2">
      <c r="D374" s="11" t="s">
        <v>265</v>
      </c>
      <c r="I374" s="30">
        <f t="shared" ca="1" si="126"/>
        <v>10913.591</v>
      </c>
      <c r="J374" s="26" t="s">
        <v>148</v>
      </c>
      <c r="L374" s="49">
        <f ca="1">SUM(L371:L373)</f>
        <v>1286.7819999999999</v>
      </c>
      <c r="M374" s="49">
        <f t="shared" ref="M374:BS374" ca="1" si="127">SUM(M371:M373)</f>
        <v>2118.212</v>
      </c>
      <c r="N374" s="49">
        <f t="shared" ca="1" si="127"/>
        <v>3130.5740000000001</v>
      </c>
      <c r="O374" s="49">
        <f t="shared" ca="1" si="127"/>
        <v>2571.201</v>
      </c>
      <c r="P374" s="49">
        <f t="shared" ca="1" si="127"/>
        <v>1153.232</v>
      </c>
      <c r="Q374" s="49">
        <f t="shared" ca="1" si="127"/>
        <v>653.59</v>
      </c>
      <c r="R374" s="49">
        <f t="shared" ca="1" si="127"/>
        <v>0</v>
      </c>
      <c r="S374" s="49">
        <f t="shared" ca="1" si="127"/>
        <v>0</v>
      </c>
      <c r="T374" s="49">
        <f t="shared" ca="1" si="127"/>
        <v>0</v>
      </c>
      <c r="U374" s="49">
        <f t="shared" ca="1" si="127"/>
        <v>0</v>
      </c>
      <c r="V374" s="49">
        <f t="shared" ca="1" si="127"/>
        <v>0</v>
      </c>
      <c r="W374" s="49">
        <f t="shared" ca="1" si="127"/>
        <v>0</v>
      </c>
      <c r="X374" s="49">
        <f t="shared" ca="1" si="127"/>
        <v>0</v>
      </c>
      <c r="Y374" s="49">
        <f t="shared" ca="1" si="127"/>
        <v>0</v>
      </c>
      <c r="Z374" s="49">
        <f t="shared" ca="1" si="127"/>
        <v>0</v>
      </c>
      <c r="AA374" s="49">
        <f t="shared" ca="1" si="127"/>
        <v>0</v>
      </c>
      <c r="AB374" s="49">
        <f t="shared" ca="1" si="127"/>
        <v>0</v>
      </c>
      <c r="AC374" s="49">
        <f t="shared" ca="1" si="127"/>
        <v>0</v>
      </c>
      <c r="AD374" s="49">
        <f t="shared" ca="1" si="127"/>
        <v>0</v>
      </c>
      <c r="AE374" s="49">
        <f t="shared" ca="1" si="127"/>
        <v>0</v>
      </c>
      <c r="AF374" s="49">
        <f t="shared" ca="1" si="127"/>
        <v>0</v>
      </c>
      <c r="AG374" s="49">
        <f t="shared" ca="1" si="127"/>
        <v>0</v>
      </c>
      <c r="AH374" s="49">
        <f t="shared" ca="1" si="127"/>
        <v>0</v>
      </c>
      <c r="AI374" s="49">
        <f t="shared" ca="1" si="127"/>
        <v>0</v>
      </c>
      <c r="AJ374" s="49">
        <f t="shared" ca="1" si="127"/>
        <v>0</v>
      </c>
      <c r="AK374" s="49">
        <f t="shared" ca="1" si="127"/>
        <v>0</v>
      </c>
      <c r="AL374" s="49">
        <f t="shared" ca="1" si="127"/>
        <v>0</v>
      </c>
      <c r="AM374" s="49">
        <f t="shared" ca="1" si="127"/>
        <v>0</v>
      </c>
      <c r="AN374" s="49">
        <f t="shared" ca="1" si="127"/>
        <v>0</v>
      </c>
      <c r="AO374" s="49">
        <f t="shared" ca="1" si="127"/>
        <v>0</v>
      </c>
      <c r="AP374" s="49">
        <f t="shared" ca="1" si="127"/>
        <v>0</v>
      </c>
      <c r="AQ374" s="49">
        <f t="shared" ca="1" si="127"/>
        <v>0</v>
      </c>
      <c r="AR374" s="49">
        <f t="shared" ca="1" si="127"/>
        <v>0</v>
      </c>
      <c r="AS374" s="49">
        <f t="shared" ca="1" si="127"/>
        <v>0</v>
      </c>
      <c r="AT374" s="49">
        <f t="shared" ca="1" si="127"/>
        <v>0</v>
      </c>
      <c r="AU374" s="49">
        <f t="shared" ca="1" si="127"/>
        <v>0</v>
      </c>
      <c r="AV374" s="49">
        <f t="shared" ca="1" si="127"/>
        <v>0</v>
      </c>
      <c r="AW374" s="49">
        <f t="shared" ca="1" si="127"/>
        <v>0</v>
      </c>
      <c r="AX374" s="49">
        <f t="shared" ca="1" si="127"/>
        <v>0</v>
      </c>
      <c r="AY374" s="49">
        <f t="shared" ca="1" si="127"/>
        <v>0</v>
      </c>
      <c r="AZ374" s="49">
        <f t="shared" ca="1" si="127"/>
        <v>0</v>
      </c>
      <c r="BA374" s="49">
        <f t="shared" ca="1" si="127"/>
        <v>0</v>
      </c>
      <c r="BB374" s="49">
        <f t="shared" ca="1" si="127"/>
        <v>0</v>
      </c>
      <c r="BC374" s="49">
        <f t="shared" ca="1" si="127"/>
        <v>0</v>
      </c>
      <c r="BD374" s="49">
        <f t="shared" ca="1" si="127"/>
        <v>0</v>
      </c>
      <c r="BE374" s="49">
        <f t="shared" ca="1" si="127"/>
        <v>0</v>
      </c>
      <c r="BF374" s="49">
        <f t="shared" ca="1" si="127"/>
        <v>0</v>
      </c>
      <c r="BG374" s="49">
        <f t="shared" ca="1" si="127"/>
        <v>0</v>
      </c>
      <c r="BH374" s="49">
        <f t="shared" ca="1" si="127"/>
        <v>0</v>
      </c>
      <c r="BI374" s="49">
        <f t="shared" ca="1" si="127"/>
        <v>0</v>
      </c>
      <c r="BJ374" s="49">
        <f t="shared" ca="1" si="127"/>
        <v>0</v>
      </c>
      <c r="BK374" s="49">
        <f t="shared" ca="1" si="127"/>
        <v>0</v>
      </c>
      <c r="BL374" s="49">
        <f t="shared" ca="1" si="127"/>
        <v>0</v>
      </c>
      <c r="BM374" s="49">
        <f t="shared" ca="1" si="127"/>
        <v>0</v>
      </c>
      <c r="BN374" s="49">
        <f t="shared" ca="1" si="127"/>
        <v>0</v>
      </c>
      <c r="BO374" s="49">
        <f t="shared" ca="1" si="127"/>
        <v>0</v>
      </c>
      <c r="BP374" s="49">
        <f t="shared" ca="1" si="127"/>
        <v>0</v>
      </c>
      <c r="BQ374" s="49">
        <f t="shared" ca="1" si="127"/>
        <v>0</v>
      </c>
      <c r="BR374" s="49">
        <f t="shared" ca="1" si="127"/>
        <v>0</v>
      </c>
      <c r="BS374" s="49">
        <f t="shared" ca="1" si="127"/>
        <v>0</v>
      </c>
    </row>
    <row r="375" spans="1:71" outlineLevel="1" x14ac:dyDescent="0.2">
      <c r="J375" s="26"/>
      <c r="L375" s="55"/>
      <c r="M375" s="55"/>
      <c r="N375" s="55"/>
      <c r="O375" s="55"/>
      <c r="P375" s="55"/>
      <c r="Q375" s="55"/>
      <c r="R375" s="55"/>
      <c r="S375" s="55"/>
      <c r="T375" s="55"/>
      <c r="U375" s="55"/>
      <c r="V375" s="55"/>
      <c r="W375" s="55"/>
      <c r="X375" s="55"/>
      <c r="Y375" s="55"/>
      <c r="Z375" s="55"/>
      <c r="AA375" s="55"/>
      <c r="AB375" s="55"/>
      <c r="AC375" s="55"/>
      <c r="AD375" s="55"/>
      <c r="AE375" s="55"/>
      <c r="AF375" s="55"/>
      <c r="AG375" s="55"/>
      <c r="AH375" s="55"/>
      <c r="AI375" s="55"/>
      <c r="AJ375" s="55"/>
      <c r="AK375" s="55"/>
      <c r="AL375" s="55"/>
      <c r="AM375" s="55"/>
      <c r="AN375" s="55"/>
      <c r="AO375" s="55"/>
      <c r="AP375" s="55"/>
      <c r="AQ375" s="55"/>
      <c r="AR375" s="55"/>
      <c r="AS375" s="55"/>
      <c r="AT375" s="55"/>
      <c r="AU375" s="55"/>
      <c r="AV375" s="55"/>
      <c r="AW375" s="55"/>
      <c r="AX375" s="55"/>
      <c r="AY375" s="55"/>
      <c r="AZ375" s="55"/>
      <c r="BA375" s="55"/>
      <c r="BB375" s="55"/>
      <c r="BC375" s="55"/>
      <c r="BD375" s="55"/>
      <c r="BE375" s="55"/>
      <c r="BF375" s="55"/>
      <c r="BG375" s="55"/>
      <c r="BH375" s="55"/>
      <c r="BI375" s="55"/>
      <c r="BJ375" s="55"/>
      <c r="BK375" s="55"/>
      <c r="BL375" s="55"/>
      <c r="BM375" s="55"/>
      <c r="BN375" s="55"/>
      <c r="BO375" s="55"/>
      <c r="BP375" s="55"/>
      <c r="BQ375" s="55"/>
      <c r="BR375" s="55"/>
      <c r="BS375" s="55"/>
    </row>
    <row r="376" spans="1:71" outlineLevel="1" x14ac:dyDescent="0.2">
      <c r="C376" s="11" t="s">
        <v>257</v>
      </c>
      <c r="H376" s="71"/>
      <c r="I376" s="30">
        <f t="shared" ca="1" si="126"/>
        <v>-2732.2448815707012</v>
      </c>
      <c r="J376" s="26" t="s">
        <v>148</v>
      </c>
      <c r="L376" s="49">
        <f ca="1">L363-L368-L374</f>
        <v>-685.51351769188113</v>
      </c>
      <c r="M376" s="49">
        <f t="shared" ref="M376:BS376" ca="1" si="128">M363-M368-M374</f>
        <v>-1594.2510246470754</v>
      </c>
      <c r="N376" s="49">
        <f t="shared" ca="1" si="128"/>
        <v>-2999.2156309989168</v>
      </c>
      <c r="O376" s="49">
        <f t="shared" ca="1" si="128"/>
        <v>-2560.0031768266317</v>
      </c>
      <c r="P376" s="49">
        <f t="shared" ca="1" si="128"/>
        <v>-990.7807046020863</v>
      </c>
      <c r="Q376" s="49">
        <f t="shared" ca="1" si="128"/>
        <v>492.56286639210191</v>
      </c>
      <c r="R376" s="49">
        <f t="shared" ca="1" si="128"/>
        <v>1044.9308635491614</v>
      </c>
      <c r="S376" s="49">
        <f t="shared" ca="1" si="128"/>
        <v>483.87699371600007</v>
      </c>
      <c r="T376" s="49">
        <f t="shared" ca="1" si="128"/>
        <v>891.83122589641596</v>
      </c>
      <c r="U376" s="49">
        <f t="shared" ca="1" si="128"/>
        <v>886.96269845897996</v>
      </c>
      <c r="V376" s="49">
        <f t="shared" ca="1" si="128"/>
        <v>823.85039895818818</v>
      </c>
      <c r="W376" s="49">
        <f t="shared" ca="1" si="128"/>
        <v>766.73187164561045</v>
      </c>
      <c r="X376" s="49">
        <f t="shared" ca="1" si="128"/>
        <v>706.77225457943314</v>
      </c>
      <c r="Y376" s="49">
        <f t="shared" ca="1" si="128"/>
        <v>0</v>
      </c>
      <c r="Z376" s="49">
        <f t="shared" ca="1" si="128"/>
        <v>0</v>
      </c>
      <c r="AA376" s="49">
        <f t="shared" ca="1" si="128"/>
        <v>0</v>
      </c>
      <c r="AB376" s="49">
        <f t="shared" ca="1" si="128"/>
        <v>0</v>
      </c>
      <c r="AC376" s="49">
        <f t="shared" ca="1" si="128"/>
        <v>0</v>
      </c>
      <c r="AD376" s="49">
        <f t="shared" ca="1" si="128"/>
        <v>0</v>
      </c>
      <c r="AE376" s="49">
        <f t="shared" ca="1" si="128"/>
        <v>0</v>
      </c>
      <c r="AF376" s="49">
        <f t="shared" ca="1" si="128"/>
        <v>0</v>
      </c>
      <c r="AG376" s="49">
        <f t="shared" ca="1" si="128"/>
        <v>0</v>
      </c>
      <c r="AH376" s="49">
        <f t="shared" ca="1" si="128"/>
        <v>0</v>
      </c>
      <c r="AI376" s="49">
        <f t="shared" ca="1" si="128"/>
        <v>0</v>
      </c>
      <c r="AJ376" s="49">
        <f t="shared" ca="1" si="128"/>
        <v>0</v>
      </c>
      <c r="AK376" s="49">
        <f t="shared" ca="1" si="128"/>
        <v>0</v>
      </c>
      <c r="AL376" s="49">
        <f t="shared" ca="1" si="128"/>
        <v>0</v>
      </c>
      <c r="AM376" s="49">
        <f t="shared" ca="1" si="128"/>
        <v>0</v>
      </c>
      <c r="AN376" s="49">
        <f t="shared" ca="1" si="128"/>
        <v>0</v>
      </c>
      <c r="AO376" s="49">
        <f t="shared" ca="1" si="128"/>
        <v>0</v>
      </c>
      <c r="AP376" s="49">
        <f t="shared" ca="1" si="128"/>
        <v>0</v>
      </c>
      <c r="AQ376" s="49">
        <f t="shared" ca="1" si="128"/>
        <v>0</v>
      </c>
      <c r="AR376" s="49">
        <f t="shared" ca="1" si="128"/>
        <v>0</v>
      </c>
      <c r="AS376" s="49">
        <f t="shared" ca="1" si="128"/>
        <v>0</v>
      </c>
      <c r="AT376" s="49">
        <f t="shared" ca="1" si="128"/>
        <v>0</v>
      </c>
      <c r="AU376" s="49">
        <f t="shared" ca="1" si="128"/>
        <v>0</v>
      </c>
      <c r="AV376" s="49">
        <f t="shared" ca="1" si="128"/>
        <v>0</v>
      </c>
      <c r="AW376" s="49">
        <f t="shared" ca="1" si="128"/>
        <v>0</v>
      </c>
      <c r="AX376" s="49">
        <f t="shared" ca="1" si="128"/>
        <v>0</v>
      </c>
      <c r="AY376" s="49">
        <f t="shared" ca="1" si="128"/>
        <v>0</v>
      </c>
      <c r="AZ376" s="49">
        <f t="shared" ca="1" si="128"/>
        <v>0</v>
      </c>
      <c r="BA376" s="49">
        <f t="shared" ca="1" si="128"/>
        <v>0</v>
      </c>
      <c r="BB376" s="49">
        <f t="shared" ca="1" si="128"/>
        <v>0</v>
      </c>
      <c r="BC376" s="49">
        <f t="shared" ca="1" si="128"/>
        <v>0</v>
      </c>
      <c r="BD376" s="49">
        <f t="shared" ca="1" si="128"/>
        <v>0</v>
      </c>
      <c r="BE376" s="49">
        <f t="shared" ca="1" si="128"/>
        <v>0</v>
      </c>
      <c r="BF376" s="49">
        <f t="shared" ca="1" si="128"/>
        <v>0</v>
      </c>
      <c r="BG376" s="49">
        <f t="shared" ca="1" si="128"/>
        <v>0</v>
      </c>
      <c r="BH376" s="49">
        <f t="shared" ca="1" si="128"/>
        <v>0</v>
      </c>
      <c r="BI376" s="49">
        <f t="shared" ca="1" si="128"/>
        <v>0</v>
      </c>
      <c r="BJ376" s="49">
        <f t="shared" ca="1" si="128"/>
        <v>0</v>
      </c>
      <c r="BK376" s="49">
        <f t="shared" ca="1" si="128"/>
        <v>0</v>
      </c>
      <c r="BL376" s="49">
        <f t="shared" ca="1" si="128"/>
        <v>0</v>
      </c>
      <c r="BM376" s="49">
        <f t="shared" ca="1" si="128"/>
        <v>0</v>
      </c>
      <c r="BN376" s="49">
        <f t="shared" ca="1" si="128"/>
        <v>0</v>
      </c>
      <c r="BO376" s="49">
        <f t="shared" ca="1" si="128"/>
        <v>0</v>
      </c>
      <c r="BP376" s="49">
        <f t="shared" ca="1" si="128"/>
        <v>0</v>
      </c>
      <c r="BQ376" s="49">
        <f t="shared" ca="1" si="128"/>
        <v>0</v>
      </c>
      <c r="BR376" s="49">
        <f t="shared" ca="1" si="128"/>
        <v>0</v>
      </c>
      <c r="BS376" s="49">
        <f t="shared" ca="1" si="128"/>
        <v>0</v>
      </c>
    </row>
    <row r="377" spans="1:71" outlineLevel="1" x14ac:dyDescent="0.2">
      <c r="H377" s="71"/>
      <c r="J377" s="26"/>
      <c r="L377" s="55"/>
      <c r="M377" s="55"/>
      <c r="N377" s="55"/>
      <c r="O377" s="55"/>
      <c r="P377" s="55"/>
      <c r="Q377" s="55"/>
      <c r="R377" s="55"/>
      <c r="S377" s="55"/>
      <c r="T377" s="55"/>
      <c r="U377" s="55"/>
      <c r="V377" s="55"/>
      <c r="W377" s="55"/>
      <c r="X377" s="55"/>
      <c r="Y377" s="55"/>
      <c r="Z377" s="55"/>
      <c r="AA377" s="55"/>
      <c r="AB377" s="55"/>
      <c r="AC377" s="55"/>
      <c r="AD377" s="55"/>
      <c r="AE377" s="55"/>
      <c r="AF377" s="55"/>
      <c r="AG377" s="55"/>
      <c r="AH377" s="55"/>
      <c r="AI377" s="55"/>
      <c r="AJ377" s="55"/>
      <c r="AK377" s="55"/>
      <c r="AL377" s="55"/>
      <c r="AM377" s="55"/>
      <c r="AN377" s="55"/>
      <c r="AO377" s="55"/>
      <c r="AP377" s="55"/>
      <c r="AQ377" s="55"/>
      <c r="AR377" s="55"/>
      <c r="AS377" s="55"/>
      <c r="AT377" s="55"/>
      <c r="AU377" s="55"/>
      <c r="AV377" s="55"/>
      <c r="AW377" s="55"/>
      <c r="AX377" s="55"/>
      <c r="AY377" s="55"/>
      <c r="AZ377" s="55"/>
      <c r="BA377" s="55"/>
      <c r="BB377" s="55"/>
      <c r="BC377" s="55"/>
      <c r="BD377" s="55"/>
      <c r="BE377" s="55"/>
      <c r="BF377" s="55"/>
      <c r="BG377" s="55"/>
      <c r="BH377" s="55"/>
      <c r="BI377" s="55"/>
      <c r="BJ377" s="55"/>
      <c r="BK377" s="55"/>
      <c r="BL377" s="55"/>
      <c r="BM377" s="55"/>
      <c r="BN377" s="55"/>
      <c r="BO377" s="55"/>
      <c r="BP377" s="55"/>
      <c r="BQ377" s="55"/>
      <c r="BR377" s="55"/>
      <c r="BS377" s="55"/>
    </row>
    <row r="378" spans="1:71" outlineLevel="1" x14ac:dyDescent="0.2">
      <c r="J378" s="26"/>
      <c r="L378" s="55"/>
      <c r="M378" s="55"/>
      <c r="N378" s="55"/>
      <c r="O378" s="55"/>
      <c r="P378" s="55"/>
      <c r="Q378" s="55"/>
      <c r="R378" s="55"/>
      <c r="S378" s="55"/>
      <c r="T378" s="55"/>
      <c r="U378" s="55"/>
      <c r="V378" s="55"/>
      <c r="W378" s="55"/>
      <c r="X378" s="55"/>
      <c r="Y378" s="55"/>
      <c r="Z378" s="55"/>
      <c r="AA378" s="55"/>
      <c r="AB378" s="55"/>
      <c r="AC378" s="55"/>
      <c r="AD378" s="55"/>
      <c r="AE378" s="55"/>
      <c r="AF378" s="55"/>
      <c r="AG378" s="55"/>
      <c r="AH378" s="55"/>
      <c r="AI378" s="55"/>
      <c r="AJ378" s="55"/>
      <c r="AK378" s="55"/>
      <c r="AL378" s="55"/>
      <c r="AM378" s="55"/>
      <c r="AN378" s="55"/>
      <c r="AO378" s="55"/>
      <c r="AP378" s="55"/>
      <c r="AQ378" s="55"/>
      <c r="AR378" s="55"/>
      <c r="AS378" s="55"/>
      <c r="AT378" s="55"/>
      <c r="AU378" s="55"/>
      <c r="AV378" s="55"/>
      <c r="AW378" s="55"/>
      <c r="AX378" s="55"/>
      <c r="AY378" s="55"/>
      <c r="AZ378" s="55"/>
      <c r="BA378" s="55"/>
      <c r="BB378" s="55"/>
      <c r="BC378" s="55"/>
      <c r="BD378" s="55"/>
      <c r="BE378" s="55"/>
      <c r="BF378" s="55"/>
      <c r="BG378" s="55"/>
      <c r="BH378" s="55"/>
      <c r="BI378" s="55"/>
      <c r="BJ378" s="55"/>
      <c r="BK378" s="55"/>
      <c r="BL378" s="55"/>
      <c r="BM378" s="55"/>
      <c r="BN378" s="55"/>
      <c r="BO378" s="55"/>
      <c r="BP378" s="55"/>
      <c r="BQ378" s="55"/>
      <c r="BR378" s="55"/>
      <c r="BS378" s="55"/>
    </row>
    <row r="379" spans="1:71" outlineLevel="1" x14ac:dyDescent="0.2">
      <c r="J379" s="26"/>
      <c r="L379" s="55"/>
      <c r="M379" s="55"/>
      <c r="N379" s="55"/>
      <c r="O379" s="55"/>
      <c r="P379" s="55"/>
      <c r="Q379" s="55"/>
      <c r="R379" s="55"/>
      <c r="S379" s="55"/>
      <c r="T379" s="55"/>
      <c r="U379" s="55"/>
      <c r="V379" s="55"/>
      <c r="W379" s="55"/>
      <c r="X379" s="55"/>
      <c r="Y379" s="55"/>
      <c r="Z379" s="55"/>
      <c r="AA379" s="55"/>
      <c r="AB379" s="55"/>
      <c r="AC379" s="55"/>
      <c r="AD379" s="55"/>
      <c r="AE379" s="55"/>
      <c r="AF379" s="55"/>
      <c r="AG379" s="55"/>
      <c r="AH379" s="55"/>
      <c r="AI379" s="55"/>
      <c r="AJ379" s="55"/>
      <c r="AK379" s="55"/>
      <c r="AL379" s="55"/>
      <c r="AM379" s="55"/>
      <c r="AN379" s="55"/>
      <c r="AO379" s="55"/>
      <c r="AP379" s="55"/>
      <c r="AQ379" s="55"/>
      <c r="AR379" s="55"/>
      <c r="AS379" s="55"/>
      <c r="AT379" s="55"/>
      <c r="AU379" s="55"/>
      <c r="AV379" s="55"/>
      <c r="AW379" s="55"/>
      <c r="AX379" s="55"/>
      <c r="AY379" s="55"/>
      <c r="AZ379" s="55"/>
      <c r="BA379" s="55"/>
      <c r="BB379" s="55"/>
      <c r="BC379" s="55"/>
      <c r="BD379" s="55"/>
      <c r="BE379" s="55"/>
      <c r="BF379" s="55"/>
      <c r="BG379" s="55"/>
      <c r="BH379" s="55"/>
      <c r="BI379" s="55"/>
      <c r="BJ379" s="55"/>
      <c r="BK379" s="55"/>
      <c r="BL379" s="55"/>
      <c r="BM379" s="55"/>
      <c r="BN379" s="55"/>
      <c r="BO379" s="55"/>
      <c r="BP379" s="55"/>
      <c r="BQ379" s="55"/>
      <c r="BR379" s="55"/>
      <c r="BS379" s="55"/>
    </row>
    <row r="380" spans="1:71" outlineLevel="1" x14ac:dyDescent="0.2">
      <c r="J380" s="26"/>
      <c r="L380" s="55"/>
      <c r="M380" s="55"/>
      <c r="N380" s="55"/>
      <c r="O380" s="55"/>
      <c r="P380" s="55"/>
      <c r="Q380" s="55"/>
      <c r="R380" s="55"/>
      <c r="S380" s="55"/>
      <c r="T380" s="55"/>
      <c r="U380" s="55"/>
      <c r="V380" s="55"/>
      <c r="W380" s="55"/>
      <c r="X380" s="55"/>
      <c r="Y380" s="55"/>
      <c r="Z380" s="55"/>
      <c r="AA380" s="55"/>
      <c r="AB380" s="55"/>
      <c r="AC380" s="55"/>
      <c r="AD380" s="55"/>
      <c r="AE380" s="55"/>
      <c r="AF380" s="55"/>
      <c r="AG380" s="55"/>
      <c r="AH380" s="55"/>
      <c r="AI380" s="55"/>
      <c r="AJ380" s="55"/>
      <c r="AK380" s="55"/>
      <c r="AL380" s="55"/>
      <c r="AM380" s="55"/>
      <c r="AN380" s="55"/>
      <c r="AO380" s="55"/>
      <c r="AP380" s="55"/>
      <c r="AQ380" s="55"/>
      <c r="AR380" s="55"/>
      <c r="AS380" s="55"/>
      <c r="AT380" s="55"/>
      <c r="AU380" s="55"/>
      <c r="AV380" s="55"/>
      <c r="AW380" s="55"/>
      <c r="AX380" s="55"/>
      <c r="AY380" s="55"/>
      <c r="AZ380" s="55"/>
      <c r="BA380" s="55"/>
      <c r="BB380" s="55"/>
      <c r="BC380" s="55"/>
      <c r="BD380" s="55"/>
      <c r="BE380" s="55"/>
      <c r="BF380" s="55"/>
      <c r="BG380" s="55"/>
      <c r="BH380" s="55"/>
      <c r="BI380" s="55"/>
      <c r="BJ380" s="55"/>
      <c r="BK380" s="55"/>
      <c r="BL380" s="55"/>
      <c r="BM380" s="55"/>
      <c r="BN380" s="55"/>
      <c r="BO380" s="55"/>
      <c r="BP380" s="55"/>
      <c r="BQ380" s="55"/>
      <c r="BR380" s="55"/>
      <c r="BS380" s="55"/>
    </row>
    <row r="381" spans="1:71" outlineLevel="1" x14ac:dyDescent="0.2">
      <c r="A381" s="45"/>
      <c r="B381" s="38" t="s">
        <v>266</v>
      </c>
      <c r="C381" s="45"/>
      <c r="D381" s="45"/>
      <c r="E381" s="45"/>
      <c r="J381" s="26"/>
      <c r="L381" s="55"/>
      <c r="M381" s="55"/>
      <c r="N381" s="55"/>
      <c r="O381" s="55"/>
      <c r="P381" s="55"/>
      <c r="Q381" s="55"/>
      <c r="R381" s="55"/>
      <c r="S381" s="55"/>
      <c r="T381" s="55"/>
      <c r="U381" s="55"/>
      <c r="V381" s="55"/>
      <c r="W381" s="55"/>
      <c r="X381" s="55"/>
      <c r="Y381" s="55"/>
      <c r="Z381" s="55"/>
      <c r="AA381" s="55"/>
      <c r="AB381" s="55"/>
      <c r="AC381" s="55"/>
      <c r="AD381" s="55"/>
      <c r="AE381" s="55"/>
      <c r="AF381" s="55"/>
      <c r="AG381" s="55"/>
      <c r="AH381" s="55"/>
      <c r="AI381" s="55"/>
      <c r="AJ381" s="55"/>
      <c r="AK381" s="55"/>
      <c r="AL381" s="55"/>
      <c r="AM381" s="55"/>
      <c r="AN381" s="55"/>
      <c r="AO381" s="55"/>
      <c r="AP381" s="55"/>
      <c r="AQ381" s="55"/>
      <c r="AR381" s="55"/>
      <c r="AS381" s="55"/>
      <c r="AT381" s="55"/>
      <c r="AU381" s="55"/>
      <c r="AV381" s="55"/>
      <c r="AW381" s="55"/>
      <c r="AX381" s="55"/>
      <c r="AY381" s="55"/>
      <c r="AZ381" s="55"/>
      <c r="BA381" s="55"/>
      <c r="BB381" s="55"/>
      <c r="BC381" s="55"/>
      <c r="BD381" s="55"/>
      <c r="BE381" s="55"/>
      <c r="BF381" s="55"/>
      <c r="BG381" s="55"/>
      <c r="BH381" s="55"/>
      <c r="BI381" s="55"/>
      <c r="BJ381" s="55"/>
      <c r="BK381" s="55"/>
      <c r="BL381" s="55"/>
      <c r="BM381" s="55"/>
      <c r="BN381" s="55"/>
      <c r="BO381" s="55"/>
      <c r="BP381" s="55"/>
      <c r="BQ381" s="55"/>
      <c r="BR381" s="55"/>
      <c r="BS381" s="55"/>
    </row>
    <row r="382" spans="1:71" outlineLevel="1" x14ac:dyDescent="0.2">
      <c r="J382" s="26"/>
      <c r="L382" s="55"/>
      <c r="M382" s="55"/>
      <c r="N382" s="55"/>
      <c r="O382" s="55"/>
      <c r="P382" s="55"/>
      <c r="Q382" s="55"/>
      <c r="R382" s="55"/>
      <c r="S382" s="55"/>
      <c r="T382" s="55"/>
      <c r="U382" s="55"/>
      <c r="V382" s="55"/>
      <c r="W382" s="55"/>
      <c r="X382" s="55"/>
      <c r="Y382" s="55"/>
      <c r="Z382" s="55"/>
      <c r="AA382" s="55"/>
      <c r="AB382" s="55"/>
      <c r="AC382" s="55"/>
      <c r="AD382" s="55"/>
      <c r="AE382" s="55"/>
      <c r="AF382" s="55"/>
      <c r="AG382" s="55"/>
      <c r="AH382" s="55"/>
      <c r="AI382" s="55"/>
      <c r="AJ382" s="55"/>
      <c r="AK382" s="55"/>
      <c r="AL382" s="55"/>
      <c r="AM382" s="55"/>
      <c r="AN382" s="55"/>
      <c r="AO382" s="55"/>
      <c r="AP382" s="55"/>
      <c r="AQ382" s="55"/>
      <c r="AR382" s="55"/>
      <c r="AS382" s="55"/>
      <c r="AT382" s="55"/>
      <c r="AU382" s="55"/>
      <c r="AV382" s="55"/>
      <c r="AW382" s="55"/>
      <c r="AX382" s="55"/>
      <c r="AY382" s="55"/>
      <c r="AZ382" s="55"/>
      <c r="BA382" s="55"/>
      <c r="BB382" s="55"/>
      <c r="BC382" s="55"/>
      <c r="BD382" s="55"/>
      <c r="BE382" s="55"/>
      <c r="BF382" s="55"/>
      <c r="BG382" s="55"/>
      <c r="BH382" s="55"/>
      <c r="BI382" s="55"/>
      <c r="BJ382" s="55"/>
      <c r="BK382" s="55"/>
      <c r="BL382" s="55"/>
      <c r="BM382" s="55"/>
      <c r="BN382" s="55"/>
      <c r="BO382" s="55"/>
      <c r="BP382" s="55"/>
      <c r="BQ382" s="55"/>
      <c r="BR382" s="55"/>
      <c r="BS382" s="55"/>
    </row>
    <row r="383" spans="1:71" outlineLevel="1" x14ac:dyDescent="0.2">
      <c r="C383" s="11" t="s">
        <v>267</v>
      </c>
      <c r="J383" s="26"/>
      <c r="L383" s="55"/>
      <c r="M383" s="55"/>
      <c r="N383" s="55"/>
      <c r="O383" s="55"/>
      <c r="P383" s="55"/>
      <c r="Q383" s="55"/>
      <c r="R383" s="55"/>
      <c r="S383" s="55"/>
      <c r="T383" s="55"/>
      <c r="U383" s="55"/>
      <c r="V383" s="55"/>
      <c r="W383" s="55"/>
      <c r="X383" s="55"/>
      <c r="Y383" s="55"/>
      <c r="Z383" s="55"/>
      <c r="AA383" s="55"/>
      <c r="AB383" s="55"/>
      <c r="AC383" s="55"/>
      <c r="AD383" s="55"/>
      <c r="AE383" s="55"/>
      <c r="AF383" s="55"/>
      <c r="AG383" s="55"/>
      <c r="AH383" s="55"/>
      <c r="AI383" s="55"/>
      <c r="AJ383" s="55"/>
      <c r="AK383" s="55"/>
      <c r="AL383" s="55"/>
      <c r="AM383" s="55"/>
      <c r="AN383" s="55"/>
      <c r="AO383" s="55"/>
      <c r="AP383" s="55"/>
      <c r="AQ383" s="55"/>
      <c r="AR383" s="55"/>
      <c r="AS383" s="55"/>
      <c r="AT383" s="55"/>
      <c r="AU383" s="55"/>
      <c r="AV383" s="55"/>
      <c r="AW383" s="55"/>
      <c r="AX383" s="55"/>
      <c r="AY383" s="55"/>
      <c r="AZ383" s="55"/>
      <c r="BA383" s="55"/>
      <c r="BB383" s="55"/>
      <c r="BC383" s="55"/>
      <c r="BD383" s="55"/>
      <c r="BE383" s="55"/>
      <c r="BF383" s="55"/>
      <c r="BG383" s="55"/>
      <c r="BH383" s="55"/>
      <c r="BI383" s="55"/>
      <c r="BJ383" s="55"/>
      <c r="BK383" s="55"/>
      <c r="BL383" s="55"/>
      <c r="BM383" s="55"/>
      <c r="BN383" s="55"/>
      <c r="BO383" s="55"/>
      <c r="BP383" s="55"/>
      <c r="BQ383" s="55"/>
      <c r="BR383" s="55"/>
      <c r="BS383" s="55"/>
    </row>
    <row r="384" spans="1:71" outlineLevel="1" x14ac:dyDescent="0.2">
      <c r="D384" t="s">
        <v>268</v>
      </c>
      <c r="I384" s="30">
        <f t="shared" ref="I384:I390" ca="1" si="129">SUM($L384:$BS384)</f>
        <v>8308.2882676214776</v>
      </c>
      <c r="J384" s="26" t="s">
        <v>148</v>
      </c>
      <c r="L384" s="49" cm="1">
        <f t="array" aca="1" ref="L384:BS384" ca="1">Haute_Mer_1994!CA_ent_rev_oil</f>
        <v>511.7466382010947</v>
      </c>
      <c r="M384" s="49">
        <f ca="1"/>
        <v>486.75746995420764</v>
      </c>
      <c r="N384" s="49">
        <f ca="1"/>
        <v>197.83568004459585</v>
      </c>
      <c r="O384" s="49">
        <f ca="1"/>
        <v>187.76077174317692</v>
      </c>
      <c r="P384" s="49">
        <f ca="1"/>
        <v>509.16585984715141</v>
      </c>
      <c r="Q384" s="49">
        <f ca="1"/>
        <v>985.35893646173486</v>
      </c>
      <c r="R384" s="49">
        <f ca="1"/>
        <v>946.56021454836821</v>
      </c>
      <c r="S384" s="49">
        <f ca="1"/>
        <v>573.5523121419601</v>
      </c>
      <c r="T384" s="49">
        <f ca="1"/>
        <v>835.67070158362412</v>
      </c>
      <c r="U384" s="49">
        <f ca="1"/>
        <v>829.76970458148708</v>
      </c>
      <c r="V384" s="49">
        <f ca="1"/>
        <v>787.11954176599852</v>
      </c>
      <c r="W384" s="49">
        <f ca="1"/>
        <v>748.7072455310597</v>
      </c>
      <c r="X384" s="49">
        <f ca="1"/>
        <v>708.28319121701793</v>
      </c>
      <c r="Y384" s="49">
        <f ca="1"/>
        <v>0</v>
      </c>
      <c r="Z384" s="49">
        <f ca="1"/>
        <v>0</v>
      </c>
      <c r="AA384" s="49">
        <f ca="1"/>
        <v>0</v>
      </c>
      <c r="AB384" s="49">
        <f ca="1"/>
        <v>0</v>
      </c>
      <c r="AC384" s="49">
        <f ca="1"/>
        <v>0</v>
      </c>
      <c r="AD384" s="49">
        <f ca="1"/>
        <v>0</v>
      </c>
      <c r="AE384" s="49">
        <f ca="1"/>
        <v>0</v>
      </c>
      <c r="AF384" s="49">
        <f ca="1"/>
        <v>0</v>
      </c>
      <c r="AG384" s="49">
        <f ca="1"/>
        <v>0</v>
      </c>
      <c r="AH384" s="49">
        <f ca="1"/>
        <v>0</v>
      </c>
      <c r="AI384" s="49">
        <f ca="1"/>
        <v>0</v>
      </c>
      <c r="AJ384" s="49">
        <f ca="1"/>
        <v>0</v>
      </c>
      <c r="AK384" s="49">
        <f ca="1"/>
        <v>0</v>
      </c>
      <c r="AL384" s="49">
        <f ca="1"/>
        <v>0</v>
      </c>
      <c r="AM384" s="49">
        <f ca="1"/>
        <v>0</v>
      </c>
      <c r="AN384" s="49">
        <f ca="1"/>
        <v>0</v>
      </c>
      <c r="AO384" s="49">
        <f ca="1"/>
        <v>0</v>
      </c>
      <c r="AP384" s="49">
        <f ca="1"/>
        <v>0</v>
      </c>
      <c r="AQ384" s="49">
        <f ca="1"/>
        <v>0</v>
      </c>
      <c r="AR384" s="49">
        <f ca="1"/>
        <v>0</v>
      </c>
      <c r="AS384" s="49">
        <f ca="1"/>
        <v>0</v>
      </c>
      <c r="AT384" s="49">
        <f ca="1"/>
        <v>0</v>
      </c>
      <c r="AU384" s="49">
        <f ca="1"/>
        <v>0</v>
      </c>
      <c r="AV384" s="49">
        <f ca="1"/>
        <v>0</v>
      </c>
      <c r="AW384" s="49">
        <f ca="1"/>
        <v>0</v>
      </c>
      <c r="AX384" s="49">
        <f ca="1"/>
        <v>0</v>
      </c>
      <c r="AY384" s="49">
        <f ca="1"/>
        <v>0</v>
      </c>
      <c r="AZ384" s="49">
        <f ca="1"/>
        <v>0</v>
      </c>
      <c r="BA384" s="49">
        <f ca="1"/>
        <v>0</v>
      </c>
      <c r="BB384" s="49">
        <f ca="1"/>
        <v>0</v>
      </c>
      <c r="BC384" s="49">
        <f ca="1"/>
        <v>0</v>
      </c>
      <c r="BD384" s="49">
        <f ca="1"/>
        <v>0</v>
      </c>
      <c r="BE384" s="49">
        <f ca="1"/>
        <v>0</v>
      </c>
      <c r="BF384" s="49">
        <f ca="1"/>
        <v>0</v>
      </c>
      <c r="BG384" s="49">
        <f ca="1"/>
        <v>0</v>
      </c>
      <c r="BH384" s="49">
        <f ca="1"/>
        <v>0</v>
      </c>
      <c r="BI384" s="49">
        <f ca="1"/>
        <v>0</v>
      </c>
      <c r="BJ384" s="49">
        <f ca="1"/>
        <v>0</v>
      </c>
      <c r="BK384" s="49">
        <f ca="1"/>
        <v>0</v>
      </c>
      <c r="BL384" s="49">
        <f ca="1"/>
        <v>0</v>
      </c>
      <c r="BM384" s="49">
        <f ca="1"/>
        <v>0</v>
      </c>
      <c r="BN384" s="49">
        <f ca="1"/>
        <v>0</v>
      </c>
      <c r="BO384" s="49">
        <f ca="1"/>
        <v>0</v>
      </c>
      <c r="BP384" s="49">
        <f ca="1"/>
        <v>0</v>
      </c>
      <c r="BQ384" s="49">
        <f ca="1"/>
        <v>0</v>
      </c>
      <c r="BR384" s="49">
        <f ca="1"/>
        <v>0</v>
      </c>
      <c r="BS384" s="49">
        <f ca="1"/>
        <v>0</v>
      </c>
    </row>
    <row r="385" spans="3:71" outlineLevel="1" x14ac:dyDescent="0.2">
      <c r="D385" t="s">
        <v>269</v>
      </c>
      <c r="I385" s="30">
        <f t="shared" ca="1" si="129"/>
        <v>0</v>
      </c>
      <c r="J385" s="26" t="s">
        <v>148</v>
      </c>
      <c r="L385" s="49" cm="1">
        <f t="array" aca="1" ref="L385:BS385" ca="1">Haute_Mer_1994!CA_ent_rev_gas</f>
        <v>0</v>
      </c>
      <c r="M385" s="49">
        <f ca="1"/>
        <v>0</v>
      </c>
      <c r="N385" s="49">
        <f ca="1"/>
        <v>0</v>
      </c>
      <c r="O385" s="49">
        <f ca="1"/>
        <v>0</v>
      </c>
      <c r="P385" s="49">
        <f ca="1"/>
        <v>0</v>
      </c>
      <c r="Q385" s="49">
        <f ca="1"/>
        <v>0</v>
      </c>
      <c r="R385" s="49">
        <f ca="1"/>
        <v>0</v>
      </c>
      <c r="S385" s="49">
        <f ca="1"/>
        <v>0</v>
      </c>
      <c r="T385" s="49">
        <f ca="1"/>
        <v>0</v>
      </c>
      <c r="U385" s="49">
        <f ca="1"/>
        <v>0</v>
      </c>
      <c r="V385" s="49">
        <f ca="1"/>
        <v>0</v>
      </c>
      <c r="W385" s="49">
        <f ca="1"/>
        <v>0</v>
      </c>
      <c r="X385" s="49">
        <f ca="1"/>
        <v>0</v>
      </c>
      <c r="Y385" s="49">
        <f ca="1"/>
        <v>0</v>
      </c>
      <c r="Z385" s="49">
        <f ca="1"/>
        <v>0</v>
      </c>
      <c r="AA385" s="49">
        <f ca="1"/>
        <v>0</v>
      </c>
      <c r="AB385" s="49">
        <f ca="1"/>
        <v>0</v>
      </c>
      <c r="AC385" s="49">
        <f ca="1"/>
        <v>0</v>
      </c>
      <c r="AD385" s="49">
        <f ca="1"/>
        <v>0</v>
      </c>
      <c r="AE385" s="49">
        <f ca="1"/>
        <v>0</v>
      </c>
      <c r="AF385" s="49">
        <f ca="1"/>
        <v>0</v>
      </c>
      <c r="AG385" s="49">
        <f ca="1"/>
        <v>0</v>
      </c>
      <c r="AH385" s="49">
        <f ca="1"/>
        <v>0</v>
      </c>
      <c r="AI385" s="49">
        <f ca="1"/>
        <v>0</v>
      </c>
      <c r="AJ385" s="49">
        <f ca="1"/>
        <v>0</v>
      </c>
      <c r="AK385" s="49">
        <f ca="1"/>
        <v>0</v>
      </c>
      <c r="AL385" s="49">
        <f ca="1"/>
        <v>0</v>
      </c>
      <c r="AM385" s="49">
        <f ca="1"/>
        <v>0</v>
      </c>
      <c r="AN385" s="49">
        <f ca="1"/>
        <v>0</v>
      </c>
      <c r="AO385" s="49">
        <f ca="1"/>
        <v>0</v>
      </c>
      <c r="AP385" s="49">
        <f ca="1"/>
        <v>0</v>
      </c>
      <c r="AQ385" s="49">
        <f ca="1"/>
        <v>0</v>
      </c>
      <c r="AR385" s="49">
        <f ca="1"/>
        <v>0</v>
      </c>
      <c r="AS385" s="49">
        <f ca="1"/>
        <v>0</v>
      </c>
      <c r="AT385" s="49">
        <f ca="1"/>
        <v>0</v>
      </c>
      <c r="AU385" s="49">
        <f ca="1"/>
        <v>0</v>
      </c>
      <c r="AV385" s="49">
        <f ca="1"/>
        <v>0</v>
      </c>
      <c r="AW385" s="49">
        <f ca="1"/>
        <v>0</v>
      </c>
      <c r="AX385" s="49">
        <f ca="1"/>
        <v>0</v>
      </c>
      <c r="AY385" s="49">
        <f ca="1"/>
        <v>0</v>
      </c>
      <c r="AZ385" s="49">
        <f ca="1"/>
        <v>0</v>
      </c>
      <c r="BA385" s="49">
        <f ca="1"/>
        <v>0</v>
      </c>
      <c r="BB385" s="49">
        <f ca="1"/>
        <v>0</v>
      </c>
      <c r="BC385" s="49">
        <f ca="1"/>
        <v>0</v>
      </c>
      <c r="BD385" s="49">
        <f ca="1"/>
        <v>0</v>
      </c>
      <c r="BE385" s="49">
        <f ca="1"/>
        <v>0</v>
      </c>
      <c r="BF385" s="49">
        <f ca="1"/>
        <v>0</v>
      </c>
      <c r="BG385" s="49">
        <f ca="1"/>
        <v>0</v>
      </c>
      <c r="BH385" s="49">
        <f ca="1"/>
        <v>0</v>
      </c>
      <c r="BI385" s="49">
        <f ca="1"/>
        <v>0</v>
      </c>
      <c r="BJ385" s="49">
        <f ca="1"/>
        <v>0</v>
      </c>
      <c r="BK385" s="49">
        <f ca="1"/>
        <v>0</v>
      </c>
      <c r="BL385" s="49">
        <f ca="1"/>
        <v>0</v>
      </c>
      <c r="BM385" s="49">
        <f ca="1"/>
        <v>0</v>
      </c>
      <c r="BN385" s="49">
        <f ca="1"/>
        <v>0</v>
      </c>
      <c r="BO385" s="49">
        <f ca="1"/>
        <v>0</v>
      </c>
      <c r="BP385" s="49">
        <f ca="1"/>
        <v>0</v>
      </c>
      <c r="BQ385" s="49">
        <f ca="1"/>
        <v>0</v>
      </c>
      <c r="BR385" s="49">
        <f ca="1"/>
        <v>0</v>
      </c>
      <c r="BS385" s="49">
        <f ca="1"/>
        <v>0</v>
      </c>
    </row>
    <row r="386" spans="3:71" outlineLevel="1" x14ac:dyDescent="0.2">
      <c r="D386" s="11" t="s">
        <v>270</v>
      </c>
      <c r="I386" s="30">
        <f t="shared" ca="1" si="129"/>
        <v>8308.2882676214776</v>
      </c>
      <c r="J386" s="26" t="s">
        <v>148</v>
      </c>
      <c r="L386" s="49">
        <f ca="1">SUM(L384:L385)</f>
        <v>511.7466382010947</v>
      </c>
      <c r="M386" s="49">
        <f t="shared" ref="M386:BS386" ca="1" si="130">SUM(M384:M385)</f>
        <v>486.75746995420764</v>
      </c>
      <c r="N386" s="49">
        <f t="shared" ca="1" si="130"/>
        <v>197.83568004459585</v>
      </c>
      <c r="O386" s="49">
        <f t="shared" ca="1" si="130"/>
        <v>187.76077174317692</v>
      </c>
      <c r="P386" s="49">
        <f t="shared" ca="1" si="130"/>
        <v>509.16585984715141</v>
      </c>
      <c r="Q386" s="49">
        <f t="shared" ca="1" si="130"/>
        <v>985.35893646173486</v>
      </c>
      <c r="R386" s="49">
        <f t="shared" ca="1" si="130"/>
        <v>946.56021454836821</v>
      </c>
      <c r="S386" s="49">
        <f t="shared" ca="1" si="130"/>
        <v>573.5523121419601</v>
      </c>
      <c r="T386" s="49">
        <f t="shared" ca="1" si="130"/>
        <v>835.67070158362412</v>
      </c>
      <c r="U386" s="49">
        <f t="shared" ca="1" si="130"/>
        <v>829.76970458148708</v>
      </c>
      <c r="V386" s="49">
        <f t="shared" ca="1" si="130"/>
        <v>787.11954176599852</v>
      </c>
      <c r="W386" s="49">
        <f t="shared" ca="1" si="130"/>
        <v>748.7072455310597</v>
      </c>
      <c r="X386" s="49">
        <f t="shared" ca="1" si="130"/>
        <v>708.28319121701793</v>
      </c>
      <c r="Y386" s="49">
        <f t="shared" ca="1" si="130"/>
        <v>0</v>
      </c>
      <c r="Z386" s="49">
        <f t="shared" ca="1" si="130"/>
        <v>0</v>
      </c>
      <c r="AA386" s="49">
        <f t="shared" ca="1" si="130"/>
        <v>0</v>
      </c>
      <c r="AB386" s="49">
        <f t="shared" ca="1" si="130"/>
        <v>0</v>
      </c>
      <c r="AC386" s="49">
        <f t="shared" ca="1" si="130"/>
        <v>0</v>
      </c>
      <c r="AD386" s="49">
        <f t="shared" ca="1" si="130"/>
        <v>0</v>
      </c>
      <c r="AE386" s="49">
        <f t="shared" ca="1" si="130"/>
        <v>0</v>
      </c>
      <c r="AF386" s="49">
        <f t="shared" ca="1" si="130"/>
        <v>0</v>
      </c>
      <c r="AG386" s="49">
        <f t="shared" ca="1" si="130"/>
        <v>0</v>
      </c>
      <c r="AH386" s="49">
        <f t="shared" ca="1" si="130"/>
        <v>0</v>
      </c>
      <c r="AI386" s="49">
        <f t="shared" ca="1" si="130"/>
        <v>0</v>
      </c>
      <c r="AJ386" s="49">
        <f t="shared" ca="1" si="130"/>
        <v>0</v>
      </c>
      <c r="AK386" s="49">
        <f t="shared" ca="1" si="130"/>
        <v>0</v>
      </c>
      <c r="AL386" s="49">
        <f t="shared" ca="1" si="130"/>
        <v>0</v>
      </c>
      <c r="AM386" s="49">
        <f t="shared" ca="1" si="130"/>
        <v>0</v>
      </c>
      <c r="AN386" s="49">
        <f t="shared" ca="1" si="130"/>
        <v>0</v>
      </c>
      <c r="AO386" s="49">
        <f t="shared" ca="1" si="130"/>
        <v>0</v>
      </c>
      <c r="AP386" s="49">
        <f t="shared" ca="1" si="130"/>
        <v>0</v>
      </c>
      <c r="AQ386" s="49">
        <f t="shared" ca="1" si="130"/>
        <v>0</v>
      </c>
      <c r="AR386" s="49">
        <f t="shared" ca="1" si="130"/>
        <v>0</v>
      </c>
      <c r="AS386" s="49">
        <f t="shared" ca="1" si="130"/>
        <v>0</v>
      </c>
      <c r="AT386" s="49">
        <f t="shared" ca="1" si="130"/>
        <v>0</v>
      </c>
      <c r="AU386" s="49">
        <f t="shared" ca="1" si="130"/>
        <v>0</v>
      </c>
      <c r="AV386" s="49">
        <f t="shared" ca="1" si="130"/>
        <v>0</v>
      </c>
      <c r="AW386" s="49">
        <f t="shared" ca="1" si="130"/>
        <v>0</v>
      </c>
      <c r="AX386" s="49">
        <f t="shared" ca="1" si="130"/>
        <v>0</v>
      </c>
      <c r="AY386" s="49">
        <f t="shared" ca="1" si="130"/>
        <v>0</v>
      </c>
      <c r="AZ386" s="49">
        <f t="shared" ca="1" si="130"/>
        <v>0</v>
      </c>
      <c r="BA386" s="49">
        <f t="shared" ca="1" si="130"/>
        <v>0</v>
      </c>
      <c r="BB386" s="49">
        <f t="shared" ca="1" si="130"/>
        <v>0</v>
      </c>
      <c r="BC386" s="49">
        <f t="shared" ca="1" si="130"/>
        <v>0</v>
      </c>
      <c r="BD386" s="49">
        <f t="shared" ca="1" si="130"/>
        <v>0</v>
      </c>
      <c r="BE386" s="49">
        <f t="shared" ca="1" si="130"/>
        <v>0</v>
      </c>
      <c r="BF386" s="49">
        <f t="shared" ca="1" si="130"/>
        <v>0</v>
      </c>
      <c r="BG386" s="49">
        <f t="shared" ca="1" si="130"/>
        <v>0</v>
      </c>
      <c r="BH386" s="49">
        <f t="shared" ca="1" si="130"/>
        <v>0</v>
      </c>
      <c r="BI386" s="49">
        <f t="shared" ca="1" si="130"/>
        <v>0</v>
      </c>
      <c r="BJ386" s="49">
        <f t="shared" ca="1" si="130"/>
        <v>0</v>
      </c>
      <c r="BK386" s="49">
        <f t="shared" ca="1" si="130"/>
        <v>0</v>
      </c>
      <c r="BL386" s="49">
        <f t="shared" ca="1" si="130"/>
        <v>0</v>
      </c>
      <c r="BM386" s="49">
        <f t="shared" ca="1" si="130"/>
        <v>0</v>
      </c>
      <c r="BN386" s="49">
        <f t="shared" ca="1" si="130"/>
        <v>0</v>
      </c>
      <c r="BO386" s="49">
        <f t="shared" ca="1" si="130"/>
        <v>0</v>
      </c>
      <c r="BP386" s="49">
        <f t="shared" ca="1" si="130"/>
        <v>0</v>
      </c>
      <c r="BQ386" s="49">
        <f t="shared" ca="1" si="130"/>
        <v>0</v>
      </c>
      <c r="BR386" s="49">
        <f t="shared" ca="1" si="130"/>
        <v>0</v>
      </c>
      <c r="BS386" s="49">
        <f t="shared" ca="1" si="130"/>
        <v>0</v>
      </c>
    </row>
    <row r="387" spans="3:71" outlineLevel="1" x14ac:dyDescent="0.2">
      <c r="J387" s="26"/>
      <c r="L387" s="55"/>
      <c r="M387" s="55"/>
      <c r="N387" s="55"/>
      <c r="O387" s="55"/>
      <c r="P387" s="55"/>
      <c r="Q387" s="55"/>
      <c r="R387" s="55"/>
      <c r="S387" s="55"/>
      <c r="T387" s="55"/>
      <c r="U387" s="55"/>
      <c r="V387" s="55"/>
      <c r="W387" s="55"/>
      <c r="X387" s="55"/>
      <c r="Y387" s="55"/>
      <c r="Z387" s="55"/>
      <c r="AA387" s="55"/>
      <c r="AB387" s="55"/>
      <c r="AC387" s="55"/>
      <c r="AD387" s="55"/>
      <c r="AE387" s="55"/>
      <c r="AF387" s="55"/>
      <c r="AG387" s="55"/>
      <c r="AH387" s="55"/>
      <c r="AI387" s="55"/>
      <c r="AJ387" s="55"/>
      <c r="AK387" s="55"/>
      <c r="AL387" s="55"/>
      <c r="AM387" s="55"/>
      <c r="AN387" s="55"/>
      <c r="AO387" s="55"/>
      <c r="AP387" s="55"/>
      <c r="AQ387" s="55"/>
      <c r="AR387" s="55"/>
      <c r="AS387" s="55"/>
      <c r="AT387" s="55"/>
      <c r="AU387" s="55"/>
      <c r="AV387" s="55"/>
      <c r="AW387" s="55"/>
      <c r="AX387" s="55"/>
      <c r="AY387" s="55"/>
      <c r="AZ387" s="55"/>
      <c r="BA387" s="55"/>
      <c r="BB387" s="55"/>
      <c r="BC387" s="55"/>
      <c r="BD387" s="55"/>
      <c r="BE387" s="55"/>
      <c r="BF387" s="55"/>
      <c r="BG387" s="55"/>
      <c r="BH387" s="55"/>
      <c r="BI387" s="55"/>
      <c r="BJ387" s="55"/>
      <c r="BK387" s="55"/>
      <c r="BL387" s="55"/>
      <c r="BM387" s="55"/>
      <c r="BN387" s="55"/>
      <c r="BO387" s="55"/>
      <c r="BP387" s="55"/>
      <c r="BQ387" s="55"/>
      <c r="BR387" s="55"/>
      <c r="BS387" s="55"/>
    </row>
    <row r="388" spans="3:71" outlineLevel="1" x14ac:dyDescent="0.2">
      <c r="C388" s="11" t="s">
        <v>50</v>
      </c>
      <c r="I388" s="30">
        <f t="shared" ca="1" si="129"/>
        <v>3502.3183539519996</v>
      </c>
      <c r="J388" s="26" t="s">
        <v>148</v>
      </c>
      <c r="L388" s="49">
        <f ca="1">L368</f>
        <v>148.06899999999999</v>
      </c>
      <c r="M388" s="49">
        <f t="shared" ref="M388:BS388" ca="1" si="131">M368</f>
        <v>183.88499999999999</v>
      </c>
      <c r="N388" s="49">
        <f t="shared" ca="1" si="131"/>
        <v>135.70400000000001</v>
      </c>
      <c r="O388" s="49">
        <f t="shared" ca="1" si="131"/>
        <v>240.88499999999999</v>
      </c>
      <c r="P388" s="49">
        <f t="shared" ca="1" si="131"/>
        <v>536.79</v>
      </c>
      <c r="Q388" s="49">
        <f t="shared" ca="1" si="131"/>
        <v>243.78</v>
      </c>
      <c r="R388" s="49">
        <f t="shared" ca="1" si="131"/>
        <v>281.8</v>
      </c>
      <c r="S388" s="49">
        <f t="shared" ca="1" si="131"/>
        <v>286.3</v>
      </c>
      <c r="T388" s="49">
        <f t="shared" ca="1" si="131"/>
        <v>283.39999999999998</v>
      </c>
      <c r="U388" s="49">
        <f t="shared" ca="1" si="131"/>
        <v>286.21200000000005</v>
      </c>
      <c r="V388" s="49">
        <f t="shared" ca="1" si="131"/>
        <v>289.02312000000001</v>
      </c>
      <c r="W388" s="49">
        <f t="shared" ca="1" si="131"/>
        <v>291.8322</v>
      </c>
      <c r="X388" s="49">
        <f t="shared" ca="1" si="131"/>
        <v>294.638033952</v>
      </c>
      <c r="Y388" s="49">
        <f t="shared" ca="1" si="131"/>
        <v>0</v>
      </c>
      <c r="Z388" s="49">
        <f t="shared" ca="1" si="131"/>
        <v>0</v>
      </c>
      <c r="AA388" s="49">
        <f t="shared" ca="1" si="131"/>
        <v>0</v>
      </c>
      <c r="AB388" s="49">
        <f t="shared" ca="1" si="131"/>
        <v>0</v>
      </c>
      <c r="AC388" s="49">
        <f t="shared" ca="1" si="131"/>
        <v>0</v>
      </c>
      <c r="AD388" s="49">
        <f t="shared" ca="1" si="131"/>
        <v>0</v>
      </c>
      <c r="AE388" s="49">
        <f t="shared" ca="1" si="131"/>
        <v>0</v>
      </c>
      <c r="AF388" s="49">
        <f t="shared" ca="1" si="131"/>
        <v>0</v>
      </c>
      <c r="AG388" s="49">
        <f t="shared" ca="1" si="131"/>
        <v>0</v>
      </c>
      <c r="AH388" s="49">
        <f t="shared" ca="1" si="131"/>
        <v>0</v>
      </c>
      <c r="AI388" s="49">
        <f t="shared" ca="1" si="131"/>
        <v>0</v>
      </c>
      <c r="AJ388" s="49">
        <f t="shared" ca="1" si="131"/>
        <v>0</v>
      </c>
      <c r="AK388" s="49">
        <f t="shared" ca="1" si="131"/>
        <v>0</v>
      </c>
      <c r="AL388" s="49">
        <f t="shared" ca="1" si="131"/>
        <v>0</v>
      </c>
      <c r="AM388" s="49">
        <f t="shared" ca="1" si="131"/>
        <v>0</v>
      </c>
      <c r="AN388" s="49">
        <f t="shared" ca="1" si="131"/>
        <v>0</v>
      </c>
      <c r="AO388" s="49">
        <f t="shared" ca="1" si="131"/>
        <v>0</v>
      </c>
      <c r="AP388" s="49">
        <f t="shared" ca="1" si="131"/>
        <v>0</v>
      </c>
      <c r="AQ388" s="49">
        <f t="shared" ca="1" si="131"/>
        <v>0</v>
      </c>
      <c r="AR388" s="49">
        <f t="shared" ca="1" si="131"/>
        <v>0</v>
      </c>
      <c r="AS388" s="49">
        <f t="shared" ca="1" si="131"/>
        <v>0</v>
      </c>
      <c r="AT388" s="49">
        <f t="shared" ca="1" si="131"/>
        <v>0</v>
      </c>
      <c r="AU388" s="49">
        <f t="shared" ca="1" si="131"/>
        <v>0</v>
      </c>
      <c r="AV388" s="49">
        <f t="shared" ca="1" si="131"/>
        <v>0</v>
      </c>
      <c r="AW388" s="49">
        <f t="shared" ca="1" si="131"/>
        <v>0</v>
      </c>
      <c r="AX388" s="49">
        <f t="shared" ca="1" si="131"/>
        <v>0</v>
      </c>
      <c r="AY388" s="49">
        <f t="shared" ca="1" si="131"/>
        <v>0</v>
      </c>
      <c r="AZ388" s="49">
        <f t="shared" ca="1" si="131"/>
        <v>0</v>
      </c>
      <c r="BA388" s="49">
        <f t="shared" ca="1" si="131"/>
        <v>0</v>
      </c>
      <c r="BB388" s="49">
        <f t="shared" ca="1" si="131"/>
        <v>0</v>
      </c>
      <c r="BC388" s="49">
        <f t="shared" ca="1" si="131"/>
        <v>0</v>
      </c>
      <c r="BD388" s="49">
        <f t="shared" ca="1" si="131"/>
        <v>0</v>
      </c>
      <c r="BE388" s="49">
        <f t="shared" ca="1" si="131"/>
        <v>0</v>
      </c>
      <c r="BF388" s="49">
        <f t="shared" ca="1" si="131"/>
        <v>0</v>
      </c>
      <c r="BG388" s="49">
        <f t="shared" ca="1" si="131"/>
        <v>0</v>
      </c>
      <c r="BH388" s="49">
        <f t="shared" ca="1" si="131"/>
        <v>0</v>
      </c>
      <c r="BI388" s="49">
        <f t="shared" ca="1" si="131"/>
        <v>0</v>
      </c>
      <c r="BJ388" s="49">
        <f t="shared" ca="1" si="131"/>
        <v>0</v>
      </c>
      <c r="BK388" s="49">
        <f t="shared" ca="1" si="131"/>
        <v>0</v>
      </c>
      <c r="BL388" s="49">
        <f t="shared" ca="1" si="131"/>
        <v>0</v>
      </c>
      <c r="BM388" s="49">
        <f t="shared" ca="1" si="131"/>
        <v>0</v>
      </c>
      <c r="BN388" s="49">
        <f t="shared" ca="1" si="131"/>
        <v>0</v>
      </c>
      <c r="BO388" s="49">
        <f t="shared" ca="1" si="131"/>
        <v>0</v>
      </c>
      <c r="BP388" s="49">
        <f t="shared" ca="1" si="131"/>
        <v>0</v>
      </c>
      <c r="BQ388" s="49">
        <f t="shared" ca="1" si="131"/>
        <v>0</v>
      </c>
      <c r="BR388" s="49">
        <f t="shared" ca="1" si="131"/>
        <v>0</v>
      </c>
      <c r="BS388" s="49">
        <f t="shared" ca="1" si="131"/>
        <v>0</v>
      </c>
    </row>
    <row r="389" spans="3:71" outlineLevel="1" x14ac:dyDescent="0.2">
      <c r="J389" s="26"/>
      <c r="L389" s="55"/>
      <c r="M389" s="55"/>
      <c r="N389" s="55"/>
      <c r="O389" s="55"/>
      <c r="P389" s="55"/>
      <c r="Q389" s="55"/>
      <c r="R389" s="55"/>
      <c r="S389" s="55"/>
      <c r="T389" s="55"/>
      <c r="U389" s="55"/>
      <c r="V389" s="55"/>
      <c r="W389" s="55"/>
      <c r="X389" s="55"/>
      <c r="Y389" s="55"/>
      <c r="Z389" s="55"/>
      <c r="AA389" s="55"/>
      <c r="AB389" s="55"/>
      <c r="AC389" s="55"/>
      <c r="AD389" s="55"/>
      <c r="AE389" s="55"/>
      <c r="AF389" s="55"/>
      <c r="AG389" s="55"/>
      <c r="AH389" s="55"/>
      <c r="AI389" s="55"/>
      <c r="AJ389" s="55"/>
      <c r="AK389" s="55"/>
      <c r="AL389" s="55"/>
      <c r="AM389" s="55"/>
      <c r="AN389" s="55"/>
      <c r="AO389" s="55"/>
      <c r="AP389" s="55"/>
      <c r="AQ389" s="55"/>
      <c r="AR389" s="55"/>
      <c r="AS389" s="55"/>
      <c r="AT389" s="55"/>
      <c r="AU389" s="55"/>
      <c r="AV389" s="55"/>
      <c r="AW389" s="55"/>
      <c r="AX389" s="55"/>
      <c r="AY389" s="55"/>
      <c r="AZ389" s="55"/>
      <c r="BA389" s="55"/>
      <c r="BB389" s="55"/>
      <c r="BC389" s="55"/>
      <c r="BD389" s="55"/>
      <c r="BE389" s="55"/>
      <c r="BF389" s="55"/>
      <c r="BG389" s="55"/>
      <c r="BH389" s="55"/>
      <c r="BI389" s="55"/>
      <c r="BJ389" s="55"/>
      <c r="BK389" s="55"/>
      <c r="BL389" s="55"/>
      <c r="BM389" s="55"/>
      <c r="BN389" s="55"/>
      <c r="BO389" s="55"/>
      <c r="BP389" s="55"/>
      <c r="BQ389" s="55"/>
      <c r="BR389" s="55"/>
      <c r="BS389" s="55"/>
    </row>
    <row r="390" spans="3:71" outlineLevel="1" x14ac:dyDescent="0.2">
      <c r="C390" s="11" t="s">
        <v>271</v>
      </c>
      <c r="I390" s="30">
        <f t="shared" ca="1" si="129"/>
        <v>116.836644723813</v>
      </c>
      <c r="J390" s="26" t="s">
        <v>148</v>
      </c>
      <c r="L390" s="49" cm="1">
        <f t="array" aca="1" ref="L390:BS390" ca="1">Haute_Mer_1994!CA_pid_fees</f>
        <v>7.4933748230811874</v>
      </c>
      <c r="M390" s="49">
        <f ca="1"/>
        <v>7.0784597535292457</v>
      </c>
      <c r="N390" s="49">
        <f ca="1"/>
        <v>2.6706236900108338</v>
      </c>
      <c r="O390" s="49">
        <f ca="1"/>
        <v>2.5208282317336823</v>
      </c>
      <c r="P390" s="49">
        <f ca="1"/>
        <v>6.9924129539791364</v>
      </c>
      <c r="Q390" s="49">
        <f ca="1"/>
        <v>13.89932866392102</v>
      </c>
      <c r="R390" s="49">
        <f ca="1"/>
        <v>13.267308635491613</v>
      </c>
      <c r="S390" s="49">
        <f ca="1"/>
        <v>7.7017699371600008</v>
      </c>
      <c r="T390" s="49">
        <f ca="1"/>
        <v>11.75231225896416</v>
      </c>
      <c r="U390" s="49">
        <f ca="1"/>
        <v>11.731746984589799</v>
      </c>
      <c r="V390" s="49">
        <f ca="1"/>
        <v>11.128735189581883</v>
      </c>
      <c r="W390" s="49">
        <f ca="1"/>
        <v>10.585640716456105</v>
      </c>
      <c r="X390" s="49">
        <f ca="1"/>
        <v>10.014102885314331</v>
      </c>
      <c r="Y390" s="49">
        <f ca="1"/>
        <v>0</v>
      </c>
      <c r="Z390" s="49">
        <f ca="1"/>
        <v>0</v>
      </c>
      <c r="AA390" s="49">
        <f ca="1"/>
        <v>0</v>
      </c>
      <c r="AB390" s="49">
        <f ca="1"/>
        <v>0</v>
      </c>
      <c r="AC390" s="49">
        <f ca="1"/>
        <v>0</v>
      </c>
      <c r="AD390" s="49">
        <f ca="1"/>
        <v>0</v>
      </c>
      <c r="AE390" s="49">
        <f ca="1"/>
        <v>0</v>
      </c>
      <c r="AF390" s="49">
        <f ca="1"/>
        <v>0</v>
      </c>
      <c r="AG390" s="49">
        <f ca="1"/>
        <v>0</v>
      </c>
      <c r="AH390" s="49">
        <f ca="1"/>
        <v>0</v>
      </c>
      <c r="AI390" s="49">
        <f ca="1"/>
        <v>0</v>
      </c>
      <c r="AJ390" s="49">
        <f ca="1"/>
        <v>0</v>
      </c>
      <c r="AK390" s="49">
        <f ca="1"/>
        <v>0</v>
      </c>
      <c r="AL390" s="49">
        <f ca="1"/>
        <v>0</v>
      </c>
      <c r="AM390" s="49">
        <f ca="1"/>
        <v>0</v>
      </c>
      <c r="AN390" s="49">
        <f ca="1"/>
        <v>0</v>
      </c>
      <c r="AO390" s="49">
        <f ca="1"/>
        <v>0</v>
      </c>
      <c r="AP390" s="49">
        <f ca="1"/>
        <v>0</v>
      </c>
      <c r="AQ390" s="49">
        <f ca="1"/>
        <v>0</v>
      </c>
      <c r="AR390" s="49">
        <f ca="1"/>
        <v>0</v>
      </c>
      <c r="AS390" s="49">
        <f ca="1"/>
        <v>0</v>
      </c>
      <c r="AT390" s="49">
        <f ca="1"/>
        <v>0</v>
      </c>
      <c r="AU390" s="49">
        <f ca="1"/>
        <v>0</v>
      </c>
      <c r="AV390" s="49">
        <f ca="1"/>
        <v>0</v>
      </c>
      <c r="AW390" s="49">
        <f ca="1"/>
        <v>0</v>
      </c>
      <c r="AX390" s="49">
        <f ca="1"/>
        <v>0</v>
      </c>
      <c r="AY390" s="49">
        <f ca="1"/>
        <v>0</v>
      </c>
      <c r="AZ390" s="49">
        <f ca="1"/>
        <v>0</v>
      </c>
      <c r="BA390" s="49">
        <f ca="1"/>
        <v>0</v>
      </c>
      <c r="BB390" s="49">
        <f ca="1"/>
        <v>0</v>
      </c>
      <c r="BC390" s="49">
        <f ca="1"/>
        <v>0</v>
      </c>
      <c r="BD390" s="49">
        <f ca="1"/>
        <v>0</v>
      </c>
      <c r="BE390" s="49">
        <f ca="1"/>
        <v>0</v>
      </c>
      <c r="BF390" s="49">
        <f ca="1"/>
        <v>0</v>
      </c>
      <c r="BG390" s="49">
        <f ca="1"/>
        <v>0</v>
      </c>
      <c r="BH390" s="49">
        <f ca="1"/>
        <v>0</v>
      </c>
      <c r="BI390" s="49">
        <f ca="1"/>
        <v>0</v>
      </c>
      <c r="BJ390" s="49">
        <f ca="1"/>
        <v>0</v>
      </c>
      <c r="BK390" s="49">
        <f ca="1"/>
        <v>0</v>
      </c>
      <c r="BL390" s="49">
        <f ca="1"/>
        <v>0</v>
      </c>
      <c r="BM390" s="49">
        <f ca="1"/>
        <v>0</v>
      </c>
      <c r="BN390" s="49">
        <f ca="1"/>
        <v>0</v>
      </c>
      <c r="BO390" s="49">
        <f ca="1"/>
        <v>0</v>
      </c>
      <c r="BP390" s="49">
        <f ca="1"/>
        <v>0</v>
      </c>
      <c r="BQ390" s="49">
        <f ca="1"/>
        <v>0</v>
      </c>
      <c r="BR390" s="49">
        <f ca="1"/>
        <v>0</v>
      </c>
      <c r="BS390" s="49">
        <f ca="1"/>
        <v>0</v>
      </c>
    </row>
    <row r="391" spans="3:71" outlineLevel="1" x14ac:dyDescent="0.2">
      <c r="J391" s="26"/>
      <c r="L391" s="55"/>
      <c r="M391" s="55"/>
      <c r="N391" s="55"/>
      <c r="O391" s="55"/>
      <c r="P391" s="55"/>
      <c r="Q391" s="55"/>
      <c r="R391" s="55"/>
      <c r="S391" s="55"/>
      <c r="T391" s="55"/>
      <c r="U391" s="55"/>
      <c r="V391" s="55"/>
      <c r="W391" s="55"/>
      <c r="X391" s="55"/>
      <c r="Y391" s="55"/>
      <c r="Z391" s="55"/>
      <c r="AA391" s="55"/>
      <c r="AB391" s="55"/>
      <c r="AC391" s="55"/>
      <c r="AD391" s="55"/>
      <c r="AE391" s="55"/>
      <c r="AF391" s="55"/>
      <c r="AG391" s="55"/>
      <c r="AH391" s="55"/>
      <c r="AI391" s="55"/>
      <c r="AJ391" s="55"/>
      <c r="AK391" s="55"/>
      <c r="AL391" s="55"/>
      <c r="AM391" s="55"/>
      <c r="AN391" s="55"/>
      <c r="AO391" s="55"/>
      <c r="AP391" s="55"/>
      <c r="AQ391" s="55"/>
      <c r="AR391" s="55"/>
      <c r="AS391" s="55"/>
      <c r="AT391" s="55"/>
      <c r="AU391" s="55"/>
      <c r="AV391" s="55"/>
      <c r="AW391" s="55"/>
      <c r="AX391" s="55"/>
      <c r="AY391" s="55"/>
      <c r="AZ391" s="55"/>
      <c r="BA391" s="55"/>
      <c r="BB391" s="55"/>
      <c r="BC391" s="55"/>
      <c r="BD391" s="55"/>
      <c r="BE391" s="55"/>
      <c r="BF391" s="55"/>
      <c r="BG391" s="55"/>
      <c r="BH391" s="55"/>
      <c r="BI391" s="55"/>
      <c r="BJ391" s="55"/>
      <c r="BK391" s="55"/>
      <c r="BL391" s="55"/>
      <c r="BM391" s="55"/>
      <c r="BN391" s="55"/>
      <c r="BO391" s="55"/>
      <c r="BP391" s="55"/>
      <c r="BQ391" s="55"/>
      <c r="BR391" s="55"/>
      <c r="BS391" s="55"/>
    </row>
    <row r="392" spans="3:71" outlineLevel="1" x14ac:dyDescent="0.2">
      <c r="C392" s="11" t="s">
        <v>272</v>
      </c>
      <c r="I392" s="30">
        <f t="shared" ref="I392:I402" si="132">SUM($L392:$BS392)</f>
        <v>0</v>
      </c>
      <c r="J392" s="26" t="s">
        <v>148</v>
      </c>
      <c r="L392" s="49">
        <v>0</v>
      </c>
      <c r="M392" s="49">
        <v>0</v>
      </c>
      <c r="N392" s="49">
        <v>0</v>
      </c>
      <c r="O392" s="49">
        <v>0</v>
      </c>
      <c r="P392" s="49">
        <v>0</v>
      </c>
      <c r="Q392" s="49">
        <v>0</v>
      </c>
      <c r="R392" s="49">
        <v>0</v>
      </c>
      <c r="S392" s="49">
        <v>0</v>
      </c>
      <c r="T392" s="49">
        <v>0</v>
      </c>
      <c r="U392" s="49">
        <v>0</v>
      </c>
      <c r="V392" s="49">
        <v>0</v>
      </c>
      <c r="W392" s="49">
        <v>0</v>
      </c>
      <c r="X392" s="49">
        <v>0</v>
      </c>
      <c r="Y392" s="49">
        <v>0</v>
      </c>
      <c r="Z392" s="49">
        <v>0</v>
      </c>
      <c r="AA392" s="49">
        <v>0</v>
      </c>
      <c r="AB392" s="49">
        <v>0</v>
      </c>
      <c r="AC392" s="49">
        <v>0</v>
      </c>
      <c r="AD392" s="49">
        <v>0</v>
      </c>
      <c r="AE392" s="49">
        <v>0</v>
      </c>
      <c r="AF392" s="49">
        <v>0</v>
      </c>
      <c r="AG392" s="49">
        <v>0</v>
      </c>
      <c r="AH392" s="49">
        <v>0</v>
      </c>
      <c r="AI392" s="49">
        <v>0</v>
      </c>
      <c r="AJ392" s="49">
        <v>0</v>
      </c>
      <c r="AK392" s="49">
        <v>0</v>
      </c>
      <c r="AL392" s="49">
        <v>0</v>
      </c>
      <c r="AM392" s="49">
        <v>0</v>
      </c>
      <c r="AN392" s="49">
        <v>0</v>
      </c>
      <c r="AO392" s="49">
        <v>0</v>
      </c>
      <c r="AP392" s="49">
        <v>0</v>
      </c>
      <c r="AQ392" s="49">
        <v>0</v>
      </c>
      <c r="AR392" s="49">
        <v>0</v>
      </c>
      <c r="AS392" s="49">
        <v>0</v>
      </c>
      <c r="AT392" s="49">
        <v>0</v>
      </c>
      <c r="AU392" s="49">
        <v>0</v>
      </c>
      <c r="AV392" s="49">
        <v>0</v>
      </c>
      <c r="AW392" s="49">
        <v>0</v>
      </c>
      <c r="AX392" s="49">
        <v>0</v>
      </c>
      <c r="AY392" s="49">
        <v>0</v>
      </c>
      <c r="AZ392" s="49">
        <v>0</v>
      </c>
      <c r="BA392" s="49">
        <v>0</v>
      </c>
      <c r="BB392" s="49">
        <v>0</v>
      </c>
      <c r="BC392" s="49">
        <v>0</v>
      </c>
      <c r="BD392" s="49">
        <v>0</v>
      </c>
      <c r="BE392" s="49">
        <v>0</v>
      </c>
      <c r="BF392" s="49">
        <v>0</v>
      </c>
      <c r="BG392" s="49">
        <v>0</v>
      </c>
      <c r="BH392" s="49">
        <v>0</v>
      </c>
      <c r="BI392" s="49">
        <v>0</v>
      </c>
      <c r="BJ392" s="49">
        <v>0</v>
      </c>
      <c r="BK392" s="49">
        <v>0</v>
      </c>
      <c r="BL392" s="49">
        <v>0</v>
      </c>
      <c r="BM392" s="49">
        <v>0</v>
      </c>
      <c r="BN392" s="49">
        <v>0</v>
      </c>
      <c r="BO392" s="49">
        <v>0</v>
      </c>
      <c r="BP392" s="49">
        <v>0</v>
      </c>
      <c r="BQ392" s="49">
        <v>0</v>
      </c>
      <c r="BR392" s="49">
        <v>0</v>
      </c>
      <c r="BS392" s="49">
        <v>0</v>
      </c>
    </row>
    <row r="393" spans="3:71" outlineLevel="1" x14ac:dyDescent="0.2">
      <c r="J393" s="26"/>
      <c r="L393" s="55"/>
      <c r="M393" s="55"/>
      <c r="N393" s="55"/>
      <c r="O393" s="55"/>
      <c r="P393" s="55"/>
      <c r="Q393" s="55"/>
      <c r="R393" s="55"/>
      <c r="S393" s="55"/>
      <c r="T393" s="55"/>
      <c r="U393" s="55"/>
      <c r="V393" s="55"/>
      <c r="W393" s="55"/>
      <c r="X393" s="55"/>
      <c r="Y393" s="55"/>
      <c r="Z393" s="55"/>
      <c r="AA393" s="55"/>
      <c r="AB393" s="55"/>
      <c r="AC393" s="55"/>
      <c r="AD393" s="55"/>
      <c r="AE393" s="55"/>
      <c r="AF393" s="55"/>
      <c r="AG393" s="55"/>
      <c r="AH393" s="55"/>
      <c r="AI393" s="55"/>
      <c r="AJ393" s="55"/>
      <c r="AK393" s="55"/>
      <c r="AL393" s="55"/>
      <c r="AM393" s="55"/>
      <c r="AN393" s="55"/>
      <c r="AO393" s="55"/>
      <c r="AP393" s="55"/>
      <c r="AQ393" s="55"/>
      <c r="AR393" s="55"/>
      <c r="AS393" s="55"/>
      <c r="AT393" s="55"/>
      <c r="AU393" s="55"/>
      <c r="AV393" s="55"/>
      <c r="AW393" s="55"/>
      <c r="AX393" s="55"/>
      <c r="AY393" s="55"/>
      <c r="AZ393" s="55"/>
      <c r="BA393" s="55"/>
      <c r="BB393" s="55"/>
      <c r="BC393" s="55"/>
      <c r="BD393" s="55"/>
      <c r="BE393" s="55"/>
      <c r="BF393" s="55"/>
      <c r="BG393" s="55"/>
      <c r="BH393" s="55"/>
      <c r="BI393" s="55"/>
      <c r="BJ393" s="55"/>
      <c r="BK393" s="55"/>
      <c r="BL393" s="55"/>
      <c r="BM393" s="55"/>
      <c r="BN393" s="55"/>
      <c r="BO393" s="55"/>
      <c r="BP393" s="55"/>
      <c r="BQ393" s="55"/>
      <c r="BR393" s="55"/>
      <c r="BS393" s="55"/>
    </row>
    <row r="394" spans="3:71" outlineLevel="1" x14ac:dyDescent="0.2">
      <c r="C394" s="11" t="s">
        <v>273</v>
      </c>
      <c r="I394" s="30">
        <f t="shared" ca="1" si="132"/>
        <v>10913.591</v>
      </c>
      <c r="J394" s="26" t="s">
        <v>148</v>
      </c>
      <c r="L394" s="49">
        <f ca="1">SUM(L371:L372)</f>
        <v>1286.7819999999999</v>
      </c>
      <c r="M394" s="49">
        <f t="shared" ref="M394:BS394" ca="1" si="133">SUM(M371:M372)</f>
        <v>2118.212</v>
      </c>
      <c r="N394" s="49">
        <f t="shared" ca="1" si="133"/>
        <v>3130.5740000000001</v>
      </c>
      <c r="O394" s="49">
        <f t="shared" ca="1" si="133"/>
        <v>2571.201</v>
      </c>
      <c r="P394" s="49">
        <f t="shared" ca="1" si="133"/>
        <v>1153.232</v>
      </c>
      <c r="Q394" s="49">
        <f t="shared" ca="1" si="133"/>
        <v>653.59</v>
      </c>
      <c r="R394" s="49">
        <f t="shared" ca="1" si="133"/>
        <v>0</v>
      </c>
      <c r="S394" s="49">
        <f t="shared" ca="1" si="133"/>
        <v>0</v>
      </c>
      <c r="T394" s="49">
        <f t="shared" ca="1" si="133"/>
        <v>0</v>
      </c>
      <c r="U394" s="49">
        <f t="shared" ca="1" si="133"/>
        <v>0</v>
      </c>
      <c r="V394" s="49">
        <f t="shared" ca="1" si="133"/>
        <v>0</v>
      </c>
      <c r="W394" s="49">
        <f t="shared" ca="1" si="133"/>
        <v>0</v>
      </c>
      <c r="X394" s="49">
        <f t="shared" ca="1" si="133"/>
        <v>0</v>
      </c>
      <c r="Y394" s="49">
        <f t="shared" ca="1" si="133"/>
        <v>0</v>
      </c>
      <c r="Z394" s="49">
        <f t="shared" ca="1" si="133"/>
        <v>0</v>
      </c>
      <c r="AA394" s="49">
        <f t="shared" ca="1" si="133"/>
        <v>0</v>
      </c>
      <c r="AB394" s="49">
        <f t="shared" ca="1" si="133"/>
        <v>0</v>
      </c>
      <c r="AC394" s="49">
        <f t="shared" ca="1" si="133"/>
        <v>0</v>
      </c>
      <c r="AD394" s="49">
        <f t="shared" ca="1" si="133"/>
        <v>0</v>
      </c>
      <c r="AE394" s="49">
        <f t="shared" ca="1" si="133"/>
        <v>0</v>
      </c>
      <c r="AF394" s="49">
        <f t="shared" ca="1" si="133"/>
        <v>0</v>
      </c>
      <c r="AG394" s="49">
        <f t="shared" ca="1" si="133"/>
        <v>0</v>
      </c>
      <c r="AH394" s="49">
        <f t="shared" ca="1" si="133"/>
        <v>0</v>
      </c>
      <c r="AI394" s="49">
        <f t="shared" ca="1" si="133"/>
        <v>0</v>
      </c>
      <c r="AJ394" s="49">
        <f t="shared" ca="1" si="133"/>
        <v>0</v>
      </c>
      <c r="AK394" s="49">
        <f t="shared" ca="1" si="133"/>
        <v>0</v>
      </c>
      <c r="AL394" s="49">
        <f t="shared" ca="1" si="133"/>
        <v>0</v>
      </c>
      <c r="AM394" s="49">
        <f t="shared" ca="1" si="133"/>
        <v>0</v>
      </c>
      <c r="AN394" s="49">
        <f t="shared" ca="1" si="133"/>
        <v>0</v>
      </c>
      <c r="AO394" s="49">
        <f t="shared" ca="1" si="133"/>
        <v>0</v>
      </c>
      <c r="AP394" s="49">
        <f t="shared" ca="1" si="133"/>
        <v>0</v>
      </c>
      <c r="AQ394" s="49">
        <f t="shared" ca="1" si="133"/>
        <v>0</v>
      </c>
      <c r="AR394" s="49">
        <f t="shared" ca="1" si="133"/>
        <v>0</v>
      </c>
      <c r="AS394" s="49">
        <f t="shared" ca="1" si="133"/>
        <v>0</v>
      </c>
      <c r="AT394" s="49">
        <f t="shared" ca="1" si="133"/>
        <v>0</v>
      </c>
      <c r="AU394" s="49">
        <f t="shared" ca="1" si="133"/>
        <v>0</v>
      </c>
      <c r="AV394" s="49">
        <f t="shared" ca="1" si="133"/>
        <v>0</v>
      </c>
      <c r="AW394" s="49">
        <f t="shared" ca="1" si="133"/>
        <v>0</v>
      </c>
      <c r="AX394" s="49">
        <f t="shared" ca="1" si="133"/>
        <v>0</v>
      </c>
      <c r="AY394" s="49">
        <f t="shared" ca="1" si="133"/>
        <v>0</v>
      </c>
      <c r="AZ394" s="49">
        <f t="shared" ca="1" si="133"/>
        <v>0</v>
      </c>
      <c r="BA394" s="49">
        <f t="shared" ca="1" si="133"/>
        <v>0</v>
      </c>
      <c r="BB394" s="49">
        <f t="shared" ca="1" si="133"/>
        <v>0</v>
      </c>
      <c r="BC394" s="49">
        <f t="shared" ca="1" si="133"/>
        <v>0</v>
      </c>
      <c r="BD394" s="49">
        <f t="shared" ca="1" si="133"/>
        <v>0</v>
      </c>
      <c r="BE394" s="49">
        <f t="shared" ca="1" si="133"/>
        <v>0</v>
      </c>
      <c r="BF394" s="49">
        <f t="shared" ca="1" si="133"/>
        <v>0</v>
      </c>
      <c r="BG394" s="49">
        <f t="shared" ca="1" si="133"/>
        <v>0</v>
      </c>
      <c r="BH394" s="49">
        <f t="shared" ca="1" si="133"/>
        <v>0</v>
      </c>
      <c r="BI394" s="49">
        <f t="shared" ca="1" si="133"/>
        <v>0</v>
      </c>
      <c r="BJ394" s="49">
        <f t="shared" ca="1" si="133"/>
        <v>0</v>
      </c>
      <c r="BK394" s="49">
        <f t="shared" ca="1" si="133"/>
        <v>0</v>
      </c>
      <c r="BL394" s="49">
        <f t="shared" ca="1" si="133"/>
        <v>0</v>
      </c>
      <c r="BM394" s="49">
        <f t="shared" ca="1" si="133"/>
        <v>0</v>
      </c>
      <c r="BN394" s="49">
        <f t="shared" ca="1" si="133"/>
        <v>0</v>
      </c>
      <c r="BO394" s="49">
        <f t="shared" ca="1" si="133"/>
        <v>0</v>
      </c>
      <c r="BP394" s="49">
        <f t="shared" ca="1" si="133"/>
        <v>0</v>
      </c>
      <c r="BQ394" s="49">
        <f t="shared" ca="1" si="133"/>
        <v>0</v>
      </c>
      <c r="BR394" s="49">
        <f t="shared" ca="1" si="133"/>
        <v>0</v>
      </c>
      <c r="BS394" s="49">
        <f t="shared" ca="1" si="133"/>
        <v>0</v>
      </c>
    </row>
    <row r="395" spans="3:71" outlineLevel="1" x14ac:dyDescent="0.2">
      <c r="J395" s="26"/>
      <c r="L395" s="55"/>
      <c r="M395" s="55"/>
      <c r="N395" s="55"/>
      <c r="O395" s="55"/>
      <c r="P395" s="55"/>
      <c r="Q395" s="55"/>
      <c r="R395" s="55"/>
      <c r="S395" s="55"/>
      <c r="T395" s="55"/>
      <c r="U395" s="55"/>
      <c r="V395" s="55"/>
      <c r="W395" s="55"/>
      <c r="X395" s="55"/>
      <c r="Y395" s="55"/>
      <c r="Z395" s="55"/>
      <c r="AA395" s="55"/>
      <c r="AB395" s="55"/>
      <c r="AC395" s="55"/>
      <c r="AD395" s="55"/>
      <c r="AE395" s="55"/>
      <c r="AF395" s="55"/>
      <c r="AG395" s="55"/>
      <c r="AH395" s="55"/>
      <c r="AI395" s="55"/>
      <c r="AJ395" s="55"/>
      <c r="AK395" s="55"/>
      <c r="AL395" s="55"/>
      <c r="AM395" s="55"/>
      <c r="AN395" s="55"/>
      <c r="AO395" s="55"/>
      <c r="AP395" s="55"/>
      <c r="AQ395" s="55"/>
      <c r="AR395" s="55"/>
      <c r="AS395" s="55"/>
      <c r="AT395" s="55"/>
      <c r="AU395" s="55"/>
      <c r="AV395" s="55"/>
      <c r="AW395" s="55"/>
      <c r="AX395" s="55"/>
      <c r="AY395" s="55"/>
      <c r="AZ395" s="55"/>
      <c r="BA395" s="55"/>
      <c r="BB395" s="55"/>
      <c r="BC395" s="55"/>
      <c r="BD395" s="55"/>
      <c r="BE395" s="55"/>
      <c r="BF395" s="55"/>
      <c r="BG395" s="55"/>
      <c r="BH395" s="55"/>
      <c r="BI395" s="55"/>
      <c r="BJ395" s="55"/>
      <c r="BK395" s="55"/>
      <c r="BL395" s="55"/>
      <c r="BM395" s="55"/>
      <c r="BN395" s="55"/>
      <c r="BO395" s="55"/>
      <c r="BP395" s="55"/>
      <c r="BQ395" s="55"/>
      <c r="BR395" s="55"/>
      <c r="BS395" s="55"/>
    </row>
    <row r="396" spans="3:71" outlineLevel="1" x14ac:dyDescent="0.2">
      <c r="C396" s="11" t="s">
        <v>264</v>
      </c>
      <c r="I396" s="30">
        <f t="shared" ca="1" si="132"/>
        <v>0</v>
      </c>
      <c r="J396" s="26" t="s">
        <v>148</v>
      </c>
      <c r="L396" s="49">
        <f ca="1">L373</f>
        <v>0</v>
      </c>
      <c r="M396" s="49">
        <f t="shared" ref="M396:BS396" ca="1" si="134">M373</f>
        <v>0</v>
      </c>
      <c r="N396" s="49">
        <f t="shared" ca="1" si="134"/>
        <v>0</v>
      </c>
      <c r="O396" s="49">
        <f t="shared" ca="1" si="134"/>
        <v>0</v>
      </c>
      <c r="P396" s="49">
        <f t="shared" ca="1" si="134"/>
        <v>0</v>
      </c>
      <c r="Q396" s="49">
        <f t="shared" ca="1" si="134"/>
        <v>0</v>
      </c>
      <c r="R396" s="49">
        <f t="shared" ca="1" si="134"/>
        <v>0</v>
      </c>
      <c r="S396" s="49">
        <f t="shared" ca="1" si="134"/>
        <v>0</v>
      </c>
      <c r="T396" s="49">
        <f t="shared" ca="1" si="134"/>
        <v>0</v>
      </c>
      <c r="U396" s="49">
        <f t="shared" ca="1" si="134"/>
        <v>0</v>
      </c>
      <c r="V396" s="49">
        <f t="shared" ca="1" si="134"/>
        <v>0</v>
      </c>
      <c r="W396" s="49">
        <f t="shared" ca="1" si="134"/>
        <v>0</v>
      </c>
      <c r="X396" s="49">
        <f t="shared" ca="1" si="134"/>
        <v>0</v>
      </c>
      <c r="Y396" s="49">
        <f t="shared" ca="1" si="134"/>
        <v>0</v>
      </c>
      <c r="Z396" s="49">
        <f t="shared" ca="1" si="134"/>
        <v>0</v>
      </c>
      <c r="AA396" s="49">
        <f t="shared" ca="1" si="134"/>
        <v>0</v>
      </c>
      <c r="AB396" s="49">
        <f t="shared" ca="1" si="134"/>
        <v>0</v>
      </c>
      <c r="AC396" s="49">
        <f t="shared" ca="1" si="134"/>
        <v>0</v>
      </c>
      <c r="AD396" s="49">
        <f t="shared" ca="1" si="134"/>
        <v>0</v>
      </c>
      <c r="AE396" s="49">
        <f t="shared" ca="1" si="134"/>
        <v>0</v>
      </c>
      <c r="AF396" s="49">
        <f t="shared" ca="1" si="134"/>
        <v>0</v>
      </c>
      <c r="AG396" s="49">
        <f t="shared" ca="1" si="134"/>
        <v>0</v>
      </c>
      <c r="AH396" s="49">
        <f t="shared" ca="1" si="134"/>
        <v>0</v>
      </c>
      <c r="AI396" s="49">
        <f t="shared" ca="1" si="134"/>
        <v>0</v>
      </c>
      <c r="AJ396" s="49">
        <f t="shared" ca="1" si="134"/>
        <v>0</v>
      </c>
      <c r="AK396" s="49">
        <f t="shared" ca="1" si="134"/>
        <v>0</v>
      </c>
      <c r="AL396" s="49">
        <f t="shared" ca="1" si="134"/>
        <v>0</v>
      </c>
      <c r="AM396" s="49">
        <f t="shared" ca="1" si="134"/>
        <v>0</v>
      </c>
      <c r="AN396" s="49">
        <f t="shared" ca="1" si="134"/>
        <v>0</v>
      </c>
      <c r="AO396" s="49">
        <f t="shared" ca="1" si="134"/>
        <v>0</v>
      </c>
      <c r="AP396" s="49">
        <f t="shared" ca="1" si="134"/>
        <v>0</v>
      </c>
      <c r="AQ396" s="49">
        <f t="shared" ca="1" si="134"/>
        <v>0</v>
      </c>
      <c r="AR396" s="49">
        <f t="shared" ca="1" si="134"/>
        <v>0</v>
      </c>
      <c r="AS396" s="49">
        <f t="shared" ca="1" si="134"/>
        <v>0</v>
      </c>
      <c r="AT396" s="49">
        <f t="shared" ca="1" si="134"/>
        <v>0</v>
      </c>
      <c r="AU396" s="49">
        <f t="shared" ca="1" si="134"/>
        <v>0</v>
      </c>
      <c r="AV396" s="49">
        <f t="shared" ca="1" si="134"/>
        <v>0</v>
      </c>
      <c r="AW396" s="49">
        <f t="shared" ca="1" si="134"/>
        <v>0</v>
      </c>
      <c r="AX396" s="49">
        <f t="shared" ca="1" si="134"/>
        <v>0</v>
      </c>
      <c r="AY396" s="49">
        <f t="shared" ca="1" si="134"/>
        <v>0</v>
      </c>
      <c r="AZ396" s="49">
        <f t="shared" ca="1" si="134"/>
        <v>0</v>
      </c>
      <c r="BA396" s="49">
        <f t="shared" ca="1" si="134"/>
        <v>0</v>
      </c>
      <c r="BB396" s="49">
        <f t="shared" ca="1" si="134"/>
        <v>0</v>
      </c>
      <c r="BC396" s="49">
        <f t="shared" ca="1" si="134"/>
        <v>0</v>
      </c>
      <c r="BD396" s="49">
        <f t="shared" ca="1" si="134"/>
        <v>0</v>
      </c>
      <c r="BE396" s="49">
        <f t="shared" ca="1" si="134"/>
        <v>0</v>
      </c>
      <c r="BF396" s="49">
        <f t="shared" ca="1" si="134"/>
        <v>0</v>
      </c>
      <c r="BG396" s="49">
        <f t="shared" ca="1" si="134"/>
        <v>0</v>
      </c>
      <c r="BH396" s="49">
        <f t="shared" ca="1" si="134"/>
        <v>0</v>
      </c>
      <c r="BI396" s="49">
        <f t="shared" ca="1" si="134"/>
        <v>0</v>
      </c>
      <c r="BJ396" s="49">
        <f t="shared" ca="1" si="134"/>
        <v>0</v>
      </c>
      <c r="BK396" s="49">
        <f t="shared" ca="1" si="134"/>
        <v>0</v>
      </c>
      <c r="BL396" s="49">
        <f t="shared" ca="1" si="134"/>
        <v>0</v>
      </c>
      <c r="BM396" s="49">
        <f t="shared" ca="1" si="134"/>
        <v>0</v>
      </c>
      <c r="BN396" s="49">
        <f t="shared" ca="1" si="134"/>
        <v>0</v>
      </c>
      <c r="BO396" s="49">
        <f t="shared" ca="1" si="134"/>
        <v>0</v>
      </c>
      <c r="BP396" s="49">
        <f t="shared" ca="1" si="134"/>
        <v>0</v>
      </c>
      <c r="BQ396" s="49">
        <f t="shared" ca="1" si="134"/>
        <v>0</v>
      </c>
      <c r="BR396" s="49">
        <f t="shared" ca="1" si="134"/>
        <v>0</v>
      </c>
      <c r="BS396" s="49">
        <f t="shared" ca="1" si="134"/>
        <v>0</v>
      </c>
    </row>
    <row r="397" spans="3:71" outlineLevel="1" x14ac:dyDescent="0.2">
      <c r="J397" s="26"/>
      <c r="L397" s="55"/>
      <c r="M397" s="55"/>
      <c r="N397" s="55"/>
      <c r="O397" s="55"/>
      <c r="P397" s="55"/>
      <c r="Q397" s="55"/>
      <c r="R397" s="55"/>
      <c r="S397" s="55"/>
      <c r="T397" s="55"/>
      <c r="U397" s="55"/>
      <c r="V397" s="55"/>
      <c r="W397" s="55"/>
      <c r="X397" s="55"/>
      <c r="Y397" s="55"/>
      <c r="Z397" s="55"/>
      <c r="AA397" s="55"/>
      <c r="AB397" s="55"/>
      <c r="AC397" s="55"/>
      <c r="AD397" s="55"/>
      <c r="AE397" s="55"/>
      <c r="AF397" s="55"/>
      <c r="AG397" s="55"/>
      <c r="AH397" s="55"/>
      <c r="AI397" s="55"/>
      <c r="AJ397" s="55"/>
      <c r="AK397" s="55"/>
      <c r="AL397" s="55"/>
      <c r="AM397" s="55"/>
      <c r="AN397" s="55"/>
      <c r="AO397" s="55"/>
      <c r="AP397" s="55"/>
      <c r="AQ397" s="55"/>
      <c r="AR397" s="55"/>
      <c r="AS397" s="55"/>
      <c r="AT397" s="55"/>
      <c r="AU397" s="55"/>
      <c r="AV397" s="55"/>
      <c r="AW397" s="55"/>
      <c r="AX397" s="55"/>
      <c r="AY397" s="55"/>
      <c r="AZ397" s="55"/>
      <c r="BA397" s="55"/>
      <c r="BB397" s="55"/>
      <c r="BC397" s="55"/>
      <c r="BD397" s="55"/>
      <c r="BE397" s="55"/>
      <c r="BF397" s="55"/>
      <c r="BG397" s="55"/>
      <c r="BH397" s="55"/>
      <c r="BI397" s="55"/>
      <c r="BJ397" s="55"/>
      <c r="BK397" s="55"/>
      <c r="BL397" s="55"/>
      <c r="BM397" s="55"/>
      <c r="BN397" s="55"/>
      <c r="BO397" s="55"/>
      <c r="BP397" s="55"/>
      <c r="BQ397" s="55"/>
      <c r="BR397" s="55"/>
      <c r="BS397" s="55"/>
    </row>
    <row r="398" spans="3:71" outlineLevel="1" x14ac:dyDescent="0.2">
      <c r="C398" s="11" t="s">
        <v>274</v>
      </c>
      <c r="I398" s="30">
        <f t="shared" si="132"/>
        <v>0</v>
      </c>
      <c r="J398" s="26" t="s">
        <v>148</v>
      </c>
      <c r="L398" s="49">
        <v>0</v>
      </c>
      <c r="M398" s="49">
        <v>0</v>
      </c>
      <c r="N398" s="49">
        <v>0</v>
      </c>
      <c r="O398" s="49">
        <v>0</v>
      </c>
      <c r="P398" s="49">
        <v>0</v>
      </c>
      <c r="Q398" s="49">
        <v>0</v>
      </c>
      <c r="R398" s="49">
        <v>0</v>
      </c>
      <c r="S398" s="49">
        <v>0</v>
      </c>
      <c r="T398" s="49">
        <v>0</v>
      </c>
      <c r="U398" s="49">
        <v>0</v>
      </c>
      <c r="V398" s="49">
        <v>0</v>
      </c>
      <c r="W398" s="49">
        <v>0</v>
      </c>
      <c r="X398" s="49">
        <v>0</v>
      </c>
      <c r="Y398" s="49">
        <v>0</v>
      </c>
      <c r="Z398" s="49">
        <v>0</v>
      </c>
      <c r="AA398" s="49">
        <v>0</v>
      </c>
      <c r="AB398" s="49">
        <v>0</v>
      </c>
      <c r="AC398" s="49">
        <v>0</v>
      </c>
      <c r="AD398" s="49">
        <v>0</v>
      </c>
      <c r="AE398" s="49">
        <v>0</v>
      </c>
      <c r="AF398" s="49">
        <v>0</v>
      </c>
      <c r="AG398" s="49">
        <v>0</v>
      </c>
      <c r="AH398" s="49">
        <v>0</v>
      </c>
      <c r="AI398" s="49">
        <v>0</v>
      </c>
      <c r="AJ398" s="49">
        <v>0</v>
      </c>
      <c r="AK398" s="49">
        <v>0</v>
      </c>
      <c r="AL398" s="49">
        <v>0</v>
      </c>
      <c r="AM398" s="49">
        <v>0</v>
      </c>
      <c r="AN398" s="49">
        <v>0</v>
      </c>
      <c r="AO398" s="49">
        <v>0</v>
      </c>
      <c r="AP398" s="49">
        <v>0</v>
      </c>
      <c r="AQ398" s="49">
        <v>0</v>
      </c>
      <c r="AR398" s="49">
        <v>0</v>
      </c>
      <c r="AS398" s="49">
        <v>0</v>
      </c>
      <c r="AT398" s="49">
        <v>0</v>
      </c>
      <c r="AU398" s="49">
        <v>0</v>
      </c>
      <c r="AV398" s="49">
        <v>0</v>
      </c>
      <c r="AW398" s="49">
        <v>0</v>
      </c>
      <c r="AX398" s="49">
        <v>0</v>
      </c>
      <c r="AY398" s="49">
        <v>0</v>
      </c>
      <c r="AZ398" s="49">
        <v>0</v>
      </c>
      <c r="BA398" s="49">
        <v>0</v>
      </c>
      <c r="BB398" s="49">
        <v>0</v>
      </c>
      <c r="BC398" s="49">
        <v>0</v>
      </c>
      <c r="BD398" s="49">
        <v>0</v>
      </c>
      <c r="BE398" s="49">
        <v>0</v>
      </c>
      <c r="BF398" s="49">
        <v>0</v>
      </c>
      <c r="BG398" s="49">
        <v>0</v>
      </c>
      <c r="BH398" s="49">
        <v>0</v>
      </c>
      <c r="BI398" s="49">
        <v>0</v>
      </c>
      <c r="BJ398" s="49">
        <v>0</v>
      </c>
      <c r="BK398" s="49">
        <v>0</v>
      </c>
      <c r="BL398" s="49">
        <v>0</v>
      </c>
      <c r="BM398" s="49">
        <v>0</v>
      </c>
      <c r="BN398" s="49">
        <v>0</v>
      </c>
      <c r="BO398" s="49">
        <v>0</v>
      </c>
      <c r="BP398" s="49">
        <v>0</v>
      </c>
      <c r="BQ398" s="49">
        <v>0</v>
      </c>
      <c r="BR398" s="49">
        <v>0</v>
      </c>
      <c r="BS398" s="49">
        <v>0</v>
      </c>
    </row>
    <row r="399" spans="3:71" outlineLevel="1" x14ac:dyDescent="0.2">
      <c r="J399" s="26"/>
      <c r="L399" s="55"/>
      <c r="M399" s="55"/>
      <c r="N399" s="55"/>
      <c r="O399" s="55"/>
      <c r="P399" s="55"/>
      <c r="Q399" s="55"/>
      <c r="R399" s="55"/>
      <c r="S399" s="55"/>
      <c r="T399" s="55"/>
      <c r="U399" s="55"/>
      <c r="V399" s="55"/>
      <c r="W399" s="55"/>
      <c r="X399" s="55"/>
      <c r="Y399" s="55"/>
      <c r="Z399" s="55"/>
      <c r="AA399" s="55"/>
      <c r="AB399" s="55"/>
      <c r="AC399" s="55"/>
      <c r="AD399" s="55"/>
      <c r="AE399" s="55"/>
      <c r="AF399" s="55"/>
      <c r="AG399" s="55"/>
      <c r="AH399" s="55"/>
      <c r="AI399" s="55"/>
      <c r="AJ399" s="55"/>
      <c r="AK399" s="55"/>
      <c r="AL399" s="55"/>
      <c r="AM399" s="55"/>
      <c r="AN399" s="55"/>
      <c r="AO399" s="55"/>
      <c r="AP399" s="55"/>
      <c r="AQ399" s="55"/>
      <c r="AR399" s="55"/>
      <c r="AS399" s="55"/>
      <c r="AT399" s="55"/>
      <c r="AU399" s="55"/>
      <c r="AV399" s="55"/>
      <c r="AW399" s="55"/>
      <c r="AX399" s="55"/>
      <c r="AY399" s="55"/>
      <c r="AZ399" s="55"/>
      <c r="BA399" s="55"/>
      <c r="BB399" s="55"/>
      <c r="BC399" s="55"/>
      <c r="BD399" s="55"/>
      <c r="BE399" s="55"/>
      <c r="BF399" s="55"/>
      <c r="BG399" s="55"/>
      <c r="BH399" s="55"/>
      <c r="BI399" s="55"/>
      <c r="BJ399" s="55"/>
      <c r="BK399" s="55"/>
      <c r="BL399" s="55"/>
      <c r="BM399" s="55"/>
      <c r="BN399" s="55"/>
      <c r="BO399" s="55"/>
      <c r="BP399" s="55"/>
      <c r="BQ399" s="55"/>
      <c r="BR399" s="55"/>
      <c r="BS399" s="55"/>
    </row>
    <row r="400" spans="3:71" outlineLevel="1" x14ac:dyDescent="0.2">
      <c r="C400" s="11" t="s">
        <v>275</v>
      </c>
      <c r="I400" s="30">
        <f t="shared" si="132"/>
        <v>0</v>
      </c>
      <c r="J400" s="26" t="s">
        <v>148</v>
      </c>
      <c r="L400" s="49">
        <v>0</v>
      </c>
      <c r="M400" s="49">
        <v>0</v>
      </c>
      <c r="N400" s="49">
        <v>0</v>
      </c>
      <c r="O400" s="49">
        <v>0</v>
      </c>
      <c r="P400" s="49">
        <v>0</v>
      </c>
      <c r="Q400" s="49">
        <v>0</v>
      </c>
      <c r="R400" s="49">
        <v>0</v>
      </c>
      <c r="S400" s="49">
        <v>0</v>
      </c>
      <c r="T400" s="49">
        <v>0</v>
      </c>
      <c r="U400" s="49">
        <v>0</v>
      </c>
      <c r="V400" s="49">
        <v>0</v>
      </c>
      <c r="W400" s="49">
        <v>0</v>
      </c>
      <c r="X400" s="49">
        <v>0</v>
      </c>
      <c r="Y400" s="49">
        <v>0</v>
      </c>
      <c r="Z400" s="49">
        <v>0</v>
      </c>
      <c r="AA400" s="49">
        <v>0</v>
      </c>
      <c r="AB400" s="49">
        <v>0</v>
      </c>
      <c r="AC400" s="49">
        <v>0</v>
      </c>
      <c r="AD400" s="49">
        <v>0</v>
      </c>
      <c r="AE400" s="49">
        <v>0</v>
      </c>
      <c r="AF400" s="49">
        <v>0</v>
      </c>
      <c r="AG400" s="49">
        <v>0</v>
      </c>
      <c r="AH400" s="49">
        <v>0</v>
      </c>
      <c r="AI400" s="49">
        <v>0</v>
      </c>
      <c r="AJ400" s="49">
        <v>0</v>
      </c>
      <c r="AK400" s="49">
        <v>0</v>
      </c>
      <c r="AL400" s="49">
        <v>0</v>
      </c>
      <c r="AM400" s="49">
        <v>0</v>
      </c>
      <c r="AN400" s="49">
        <v>0</v>
      </c>
      <c r="AO400" s="49">
        <v>0</v>
      </c>
      <c r="AP400" s="49">
        <v>0</v>
      </c>
      <c r="AQ400" s="49">
        <v>0</v>
      </c>
      <c r="AR400" s="49">
        <v>0</v>
      </c>
      <c r="AS400" s="49">
        <v>0</v>
      </c>
      <c r="AT400" s="49">
        <v>0</v>
      </c>
      <c r="AU400" s="49">
        <v>0</v>
      </c>
      <c r="AV400" s="49">
        <v>0</v>
      </c>
      <c r="AW400" s="49">
        <v>0</v>
      </c>
      <c r="AX400" s="49">
        <v>0</v>
      </c>
      <c r="AY400" s="49">
        <v>0</v>
      </c>
      <c r="AZ400" s="49">
        <v>0</v>
      </c>
      <c r="BA400" s="49">
        <v>0</v>
      </c>
      <c r="BB400" s="49">
        <v>0</v>
      </c>
      <c r="BC400" s="49">
        <v>0</v>
      </c>
      <c r="BD400" s="49">
        <v>0</v>
      </c>
      <c r="BE400" s="49">
        <v>0</v>
      </c>
      <c r="BF400" s="49">
        <v>0</v>
      </c>
      <c r="BG400" s="49">
        <v>0</v>
      </c>
      <c r="BH400" s="49">
        <v>0</v>
      </c>
      <c r="BI400" s="49">
        <v>0</v>
      </c>
      <c r="BJ400" s="49">
        <v>0</v>
      </c>
      <c r="BK400" s="49">
        <v>0</v>
      </c>
      <c r="BL400" s="49">
        <v>0</v>
      </c>
      <c r="BM400" s="49">
        <v>0</v>
      </c>
      <c r="BN400" s="49">
        <v>0</v>
      </c>
      <c r="BO400" s="49">
        <v>0</v>
      </c>
      <c r="BP400" s="49">
        <v>0</v>
      </c>
      <c r="BQ400" s="49">
        <v>0</v>
      </c>
      <c r="BR400" s="49">
        <v>0</v>
      </c>
      <c r="BS400" s="49">
        <v>0</v>
      </c>
    </row>
    <row r="401" spans="1:71" outlineLevel="1" x14ac:dyDescent="0.2">
      <c r="J401" s="26"/>
      <c r="L401" s="55"/>
      <c r="M401" s="55"/>
      <c r="N401" s="55"/>
      <c r="O401" s="55"/>
      <c r="P401" s="55"/>
      <c r="Q401" s="55"/>
      <c r="R401" s="55"/>
      <c r="S401" s="55"/>
      <c r="T401" s="55"/>
      <c r="U401" s="55"/>
      <c r="V401" s="55"/>
      <c r="W401" s="55"/>
      <c r="X401" s="55"/>
      <c r="Y401" s="55"/>
      <c r="Z401" s="55"/>
      <c r="AA401" s="55"/>
      <c r="AB401" s="55"/>
      <c r="AC401" s="55"/>
      <c r="AD401" s="55"/>
      <c r="AE401" s="55"/>
      <c r="AF401" s="55"/>
      <c r="AG401" s="55"/>
      <c r="AH401" s="55"/>
      <c r="AI401" s="55"/>
      <c r="AJ401" s="55"/>
      <c r="AK401" s="55"/>
      <c r="AL401" s="55"/>
      <c r="AM401" s="55"/>
      <c r="AN401" s="55"/>
      <c r="AO401" s="55"/>
      <c r="AP401" s="55"/>
      <c r="AQ401" s="55"/>
      <c r="AR401" s="55"/>
      <c r="AS401" s="55"/>
      <c r="AT401" s="55"/>
      <c r="AU401" s="55"/>
      <c r="AV401" s="55"/>
      <c r="AW401" s="55"/>
      <c r="AX401" s="55"/>
      <c r="AY401" s="55"/>
      <c r="AZ401" s="55"/>
      <c r="BA401" s="55"/>
      <c r="BB401" s="55"/>
      <c r="BC401" s="55"/>
      <c r="BD401" s="55"/>
      <c r="BE401" s="55"/>
      <c r="BF401" s="55"/>
      <c r="BG401" s="55"/>
      <c r="BH401" s="55"/>
      <c r="BI401" s="55"/>
      <c r="BJ401" s="55"/>
      <c r="BK401" s="55"/>
      <c r="BL401" s="55"/>
      <c r="BM401" s="55"/>
      <c r="BN401" s="55"/>
      <c r="BO401" s="55"/>
      <c r="BP401" s="55"/>
      <c r="BQ401" s="55"/>
      <c r="BR401" s="55"/>
      <c r="BS401" s="55"/>
    </row>
    <row r="402" spans="1:71" outlineLevel="1" x14ac:dyDescent="0.2">
      <c r="C402" s="11" t="s">
        <v>276</v>
      </c>
      <c r="H402" s="71"/>
      <c r="I402" s="30">
        <f t="shared" ca="1" si="132"/>
        <v>-6224.4577310543327</v>
      </c>
      <c r="J402" s="26" t="s">
        <v>148</v>
      </c>
      <c r="K402" s="7" t="s">
        <v>382</v>
      </c>
      <c r="L402" s="49">
        <f ca="1">L386-L388-L390-L392-L394-L396-L398-L400</f>
        <v>-930.59773662198631</v>
      </c>
      <c r="M402" s="49">
        <f t="shared" ref="M402:BS402" ca="1" si="135">M386-M388-M390-M392-M394-M396-M398-M400</f>
        <v>-1822.4179897993217</v>
      </c>
      <c r="N402" s="49">
        <f t="shared" ca="1" si="135"/>
        <v>-3071.1129436454153</v>
      </c>
      <c r="O402" s="49">
        <f t="shared" ca="1" si="135"/>
        <v>-2626.8460564885568</v>
      </c>
      <c r="P402" s="49">
        <f t="shared" ca="1" si="135"/>
        <v>-1187.8485531068277</v>
      </c>
      <c r="Q402" s="49">
        <f t="shared" ca="1" si="135"/>
        <v>74.089607797813869</v>
      </c>
      <c r="R402" s="49">
        <f t="shared" ca="1" si="135"/>
        <v>651.49290591287649</v>
      </c>
      <c r="S402" s="49">
        <f t="shared" ca="1" si="135"/>
        <v>279.55054220480008</v>
      </c>
      <c r="T402" s="49">
        <f t="shared" ca="1" si="135"/>
        <v>540.51838932466001</v>
      </c>
      <c r="U402" s="49">
        <f t="shared" ca="1" si="135"/>
        <v>531.8259575968973</v>
      </c>
      <c r="V402" s="49">
        <f t="shared" ca="1" si="135"/>
        <v>486.96768657641661</v>
      </c>
      <c r="W402" s="49">
        <f t="shared" ca="1" si="135"/>
        <v>446.28940481460359</v>
      </c>
      <c r="X402" s="49">
        <f t="shared" ca="1" si="135"/>
        <v>403.63105437970358</v>
      </c>
      <c r="Y402" s="49">
        <f t="shared" ca="1" si="135"/>
        <v>0</v>
      </c>
      <c r="Z402" s="49">
        <f t="shared" ca="1" si="135"/>
        <v>0</v>
      </c>
      <c r="AA402" s="49">
        <f t="shared" ca="1" si="135"/>
        <v>0</v>
      </c>
      <c r="AB402" s="49">
        <f t="shared" ca="1" si="135"/>
        <v>0</v>
      </c>
      <c r="AC402" s="49">
        <f t="shared" ca="1" si="135"/>
        <v>0</v>
      </c>
      <c r="AD402" s="49">
        <f t="shared" ca="1" si="135"/>
        <v>0</v>
      </c>
      <c r="AE402" s="49">
        <f t="shared" ca="1" si="135"/>
        <v>0</v>
      </c>
      <c r="AF402" s="49">
        <f t="shared" ca="1" si="135"/>
        <v>0</v>
      </c>
      <c r="AG402" s="49">
        <f t="shared" ca="1" si="135"/>
        <v>0</v>
      </c>
      <c r="AH402" s="49">
        <f t="shared" ca="1" si="135"/>
        <v>0</v>
      </c>
      <c r="AI402" s="49">
        <f t="shared" ca="1" si="135"/>
        <v>0</v>
      </c>
      <c r="AJ402" s="49">
        <f t="shared" ca="1" si="135"/>
        <v>0</v>
      </c>
      <c r="AK402" s="49">
        <f t="shared" ca="1" si="135"/>
        <v>0</v>
      </c>
      <c r="AL402" s="49">
        <f t="shared" ca="1" si="135"/>
        <v>0</v>
      </c>
      <c r="AM402" s="49">
        <f t="shared" ca="1" si="135"/>
        <v>0</v>
      </c>
      <c r="AN402" s="49">
        <f t="shared" ca="1" si="135"/>
        <v>0</v>
      </c>
      <c r="AO402" s="49">
        <f t="shared" ca="1" si="135"/>
        <v>0</v>
      </c>
      <c r="AP402" s="49">
        <f t="shared" ca="1" si="135"/>
        <v>0</v>
      </c>
      <c r="AQ402" s="49">
        <f t="shared" ca="1" si="135"/>
        <v>0</v>
      </c>
      <c r="AR402" s="49">
        <f t="shared" ca="1" si="135"/>
        <v>0</v>
      </c>
      <c r="AS402" s="49">
        <f t="shared" ca="1" si="135"/>
        <v>0</v>
      </c>
      <c r="AT402" s="49">
        <f t="shared" ca="1" si="135"/>
        <v>0</v>
      </c>
      <c r="AU402" s="49">
        <f t="shared" ca="1" si="135"/>
        <v>0</v>
      </c>
      <c r="AV402" s="49">
        <f t="shared" ca="1" si="135"/>
        <v>0</v>
      </c>
      <c r="AW402" s="49">
        <f t="shared" ca="1" si="135"/>
        <v>0</v>
      </c>
      <c r="AX402" s="49">
        <f t="shared" ca="1" si="135"/>
        <v>0</v>
      </c>
      <c r="AY402" s="49">
        <f t="shared" ca="1" si="135"/>
        <v>0</v>
      </c>
      <c r="AZ402" s="49">
        <f t="shared" ca="1" si="135"/>
        <v>0</v>
      </c>
      <c r="BA402" s="49">
        <f t="shared" ca="1" si="135"/>
        <v>0</v>
      </c>
      <c r="BB402" s="49">
        <f t="shared" ca="1" si="135"/>
        <v>0</v>
      </c>
      <c r="BC402" s="49">
        <f t="shared" ca="1" si="135"/>
        <v>0</v>
      </c>
      <c r="BD402" s="49">
        <f t="shared" ca="1" si="135"/>
        <v>0</v>
      </c>
      <c r="BE402" s="49">
        <f t="shared" ca="1" si="135"/>
        <v>0</v>
      </c>
      <c r="BF402" s="49">
        <f t="shared" ca="1" si="135"/>
        <v>0</v>
      </c>
      <c r="BG402" s="49">
        <f t="shared" ca="1" si="135"/>
        <v>0</v>
      </c>
      <c r="BH402" s="49">
        <f t="shared" ca="1" si="135"/>
        <v>0</v>
      </c>
      <c r="BI402" s="49">
        <f t="shared" ca="1" si="135"/>
        <v>0</v>
      </c>
      <c r="BJ402" s="49">
        <f t="shared" ca="1" si="135"/>
        <v>0</v>
      </c>
      <c r="BK402" s="49">
        <f t="shared" ca="1" si="135"/>
        <v>0</v>
      </c>
      <c r="BL402" s="49">
        <f t="shared" ca="1" si="135"/>
        <v>0</v>
      </c>
      <c r="BM402" s="49">
        <f t="shared" ca="1" si="135"/>
        <v>0</v>
      </c>
      <c r="BN402" s="49">
        <f t="shared" ca="1" si="135"/>
        <v>0</v>
      </c>
      <c r="BO402" s="49">
        <f t="shared" ca="1" si="135"/>
        <v>0</v>
      </c>
      <c r="BP402" s="49">
        <f t="shared" ca="1" si="135"/>
        <v>0</v>
      </c>
      <c r="BQ402" s="49">
        <f t="shared" ca="1" si="135"/>
        <v>0</v>
      </c>
      <c r="BR402" s="49">
        <f t="shared" ca="1" si="135"/>
        <v>0</v>
      </c>
      <c r="BS402" s="49">
        <f t="shared" ca="1" si="135"/>
        <v>0</v>
      </c>
    </row>
    <row r="403" spans="1:71" outlineLevel="1" x14ac:dyDescent="0.2">
      <c r="J403" s="26"/>
      <c r="L403" s="55"/>
      <c r="M403" s="55"/>
      <c r="N403" s="55"/>
      <c r="O403" s="55"/>
      <c r="P403" s="55"/>
      <c r="Q403" s="55"/>
      <c r="R403" s="55"/>
      <c r="S403" s="55"/>
      <c r="T403" s="55"/>
      <c r="U403" s="55"/>
      <c r="V403" s="55"/>
      <c r="W403" s="55"/>
      <c r="X403" s="55"/>
      <c r="Y403" s="55"/>
      <c r="Z403" s="55"/>
      <c r="AA403" s="55"/>
      <c r="AB403" s="55"/>
      <c r="AC403" s="55"/>
      <c r="AD403" s="55"/>
      <c r="AE403" s="55"/>
      <c r="AF403" s="55"/>
      <c r="AG403" s="55"/>
      <c r="AH403" s="55"/>
      <c r="AI403" s="55"/>
      <c r="AJ403" s="55"/>
      <c r="AK403" s="55"/>
      <c r="AL403" s="55"/>
      <c r="AM403" s="55"/>
      <c r="AN403" s="55"/>
      <c r="AO403" s="55"/>
      <c r="AP403" s="55"/>
      <c r="AQ403" s="55"/>
      <c r="AR403" s="55"/>
      <c r="AS403" s="55"/>
      <c r="AT403" s="55"/>
      <c r="AU403" s="55"/>
      <c r="AV403" s="55"/>
      <c r="AW403" s="55"/>
      <c r="AX403" s="55"/>
      <c r="AY403" s="55"/>
      <c r="AZ403" s="55"/>
      <c r="BA403" s="55"/>
      <c r="BB403" s="55"/>
      <c r="BC403" s="55"/>
      <c r="BD403" s="55"/>
      <c r="BE403" s="55"/>
      <c r="BF403" s="55"/>
      <c r="BG403" s="55"/>
      <c r="BH403" s="55"/>
      <c r="BI403" s="55"/>
      <c r="BJ403" s="55"/>
      <c r="BK403" s="55"/>
      <c r="BL403" s="55"/>
      <c r="BM403" s="55"/>
      <c r="BN403" s="55"/>
      <c r="BO403" s="55"/>
      <c r="BP403" s="55"/>
      <c r="BQ403" s="55"/>
      <c r="BR403" s="55"/>
      <c r="BS403" s="55"/>
    </row>
    <row r="404" spans="1:71" outlineLevel="1" x14ac:dyDescent="0.2">
      <c r="C404" s="11" t="s">
        <v>303</v>
      </c>
      <c r="J404" s="26"/>
      <c r="L404" s="66">
        <f ca="1">(K404+L402)*Haute_Mer_1994!CA_op_trig</f>
        <v>-930.59773662198631</v>
      </c>
      <c r="M404" s="66">
        <f ca="1">(L404+M402)*Haute_Mer_1994!CA_op_trig</f>
        <v>-2753.015726421308</v>
      </c>
      <c r="N404" s="66">
        <f ca="1">(M404+N402)*Haute_Mer_1994!CA_op_trig</f>
        <v>-5824.1286700667233</v>
      </c>
      <c r="O404" s="66">
        <f ca="1">(N404+O402)*Haute_Mer_1994!CA_op_trig</f>
        <v>-8450.9747265552796</v>
      </c>
      <c r="P404" s="66">
        <f ca="1">(O404+P402)*Haute_Mer_1994!CA_op_trig</f>
        <v>-9638.8232796621069</v>
      </c>
      <c r="Q404" s="66">
        <f ca="1">(P404+Q402)*Haute_Mer_1994!CA_op_trig</f>
        <v>-9564.7336718642928</v>
      </c>
      <c r="R404" s="66">
        <f ca="1">(Q404+R402)*Haute_Mer_1994!CA_op_trig</f>
        <v>-8913.2407659514156</v>
      </c>
      <c r="S404" s="66">
        <f ca="1">(R404+S402)*Haute_Mer_1994!CA_op_trig</f>
        <v>-8633.6902237466147</v>
      </c>
      <c r="T404" s="66">
        <f ca="1">(S404+T402)*Haute_Mer_1994!CA_op_trig</f>
        <v>-8093.1718344219544</v>
      </c>
      <c r="U404" s="66">
        <f ca="1">(T404+U402)*Haute_Mer_1994!CA_op_trig</f>
        <v>-7561.3458768250566</v>
      </c>
      <c r="V404" s="66">
        <f ca="1">(U404+V402)*Haute_Mer_1994!CA_op_trig</f>
        <v>-7074.3781902486398</v>
      </c>
      <c r="W404" s="66">
        <f ca="1">(V404+W402)*Haute_Mer_1994!CA_op_trig</f>
        <v>-6628.0887854340363</v>
      </c>
      <c r="X404" s="66">
        <f ca="1">(W404+X402)*Haute_Mer_1994!CA_op_trig</f>
        <v>-6224.4577310543327</v>
      </c>
      <c r="Y404" s="66">
        <f ca="1">(X404+Y402)*Haute_Mer_1994!CA_op_trig</f>
        <v>0</v>
      </c>
      <c r="Z404" s="66">
        <f ca="1">(Y404+Z402)*Haute_Mer_1994!CA_op_trig</f>
        <v>0</v>
      </c>
      <c r="AA404" s="66">
        <f ca="1">(Z404+AA402)*Haute_Mer_1994!CA_op_trig</f>
        <v>0</v>
      </c>
      <c r="AB404" s="66">
        <f ca="1">(AA404+AB402)*Haute_Mer_1994!CA_op_trig</f>
        <v>0</v>
      </c>
      <c r="AC404" s="66">
        <f ca="1">(AB404+AC402)*Haute_Mer_1994!CA_op_trig</f>
        <v>0</v>
      </c>
      <c r="AD404" s="66">
        <f ca="1">(AC404+AD402)*Haute_Mer_1994!CA_op_trig</f>
        <v>0</v>
      </c>
      <c r="AE404" s="66">
        <f ca="1">(AD404+AE402)*Haute_Mer_1994!CA_op_trig</f>
        <v>0</v>
      </c>
      <c r="AF404" s="66">
        <f ca="1">(AE404+AF402)*Haute_Mer_1994!CA_op_trig</f>
        <v>0</v>
      </c>
      <c r="AG404" s="66">
        <f ca="1">(AF404+AG402)*Haute_Mer_1994!CA_op_trig</f>
        <v>0</v>
      </c>
      <c r="AH404" s="66">
        <f ca="1">(AG404+AH402)*Haute_Mer_1994!CA_op_trig</f>
        <v>0</v>
      </c>
      <c r="AI404" s="66">
        <f ca="1">(AH404+AI402)*Haute_Mer_1994!CA_op_trig</f>
        <v>0</v>
      </c>
      <c r="AJ404" s="66">
        <f ca="1">(AI404+AJ402)*Haute_Mer_1994!CA_op_trig</f>
        <v>0</v>
      </c>
      <c r="AK404" s="66">
        <f ca="1">(AJ404+AK402)*Haute_Mer_1994!CA_op_trig</f>
        <v>0</v>
      </c>
      <c r="AL404" s="66">
        <f ca="1">(AK404+AL402)*Haute_Mer_1994!CA_op_trig</f>
        <v>0</v>
      </c>
      <c r="AM404" s="66">
        <f ca="1">(AL404+AM402)*Haute_Mer_1994!CA_op_trig</f>
        <v>0</v>
      </c>
      <c r="AN404" s="66">
        <f ca="1">(AM404+AN402)*Haute_Mer_1994!CA_op_trig</f>
        <v>0</v>
      </c>
      <c r="AO404" s="66">
        <f ca="1">(AN404+AO402)*Haute_Mer_1994!CA_op_trig</f>
        <v>0</v>
      </c>
      <c r="AP404" s="66">
        <f ca="1">(AO404+AP402)*Haute_Mer_1994!CA_op_trig</f>
        <v>0</v>
      </c>
      <c r="AQ404" s="66">
        <f ca="1">(AP404+AQ402)*Haute_Mer_1994!CA_op_trig</f>
        <v>0</v>
      </c>
      <c r="AR404" s="66">
        <f ca="1">(AQ404+AR402)*Haute_Mer_1994!CA_op_trig</f>
        <v>0</v>
      </c>
      <c r="AS404" s="66">
        <f ca="1">(AR404+AS402)*Haute_Mer_1994!CA_op_trig</f>
        <v>0</v>
      </c>
      <c r="AT404" s="66">
        <f ca="1">(AS404+AT402)*Haute_Mer_1994!CA_op_trig</f>
        <v>0</v>
      </c>
      <c r="AU404" s="66">
        <f ca="1">(AT404+AU402)*Haute_Mer_1994!CA_op_trig</f>
        <v>0</v>
      </c>
      <c r="AV404" s="66">
        <f ca="1">(AU404+AV402)*Haute_Mer_1994!CA_op_trig</f>
        <v>0</v>
      </c>
      <c r="AW404" s="66">
        <f ca="1">(AV404+AW402)*Haute_Mer_1994!CA_op_trig</f>
        <v>0</v>
      </c>
      <c r="AX404" s="66">
        <f ca="1">(AW404+AX402)*Haute_Mer_1994!CA_op_trig</f>
        <v>0</v>
      </c>
      <c r="AY404" s="66">
        <f ca="1">(AX404+AY402)*Haute_Mer_1994!CA_op_trig</f>
        <v>0</v>
      </c>
      <c r="AZ404" s="66">
        <f ca="1">(AY404+AZ402)*Haute_Mer_1994!CA_op_trig</f>
        <v>0</v>
      </c>
      <c r="BA404" s="66">
        <f ca="1">(AZ404+BA402)*Haute_Mer_1994!CA_op_trig</f>
        <v>0</v>
      </c>
      <c r="BB404" s="66">
        <f ca="1">(BA404+BB402)*Haute_Mer_1994!CA_op_trig</f>
        <v>0</v>
      </c>
      <c r="BC404" s="66">
        <f ca="1">(BB404+BC402)*Haute_Mer_1994!CA_op_trig</f>
        <v>0</v>
      </c>
      <c r="BD404" s="66">
        <f ca="1">(BC404+BD402)*Haute_Mer_1994!CA_op_trig</f>
        <v>0</v>
      </c>
      <c r="BE404" s="66">
        <f ca="1">(BD404+BE402)*Haute_Mer_1994!CA_op_trig</f>
        <v>0</v>
      </c>
      <c r="BF404" s="66">
        <f ca="1">(BE404+BF402)*Haute_Mer_1994!CA_op_trig</f>
        <v>0</v>
      </c>
      <c r="BG404" s="66">
        <f ca="1">(BF404+BG402)*Haute_Mer_1994!CA_op_trig</f>
        <v>0</v>
      </c>
      <c r="BH404" s="66">
        <f ca="1">(BG404+BH402)*Haute_Mer_1994!CA_op_trig</f>
        <v>0</v>
      </c>
      <c r="BI404" s="66">
        <f ca="1">(BH404+BI402)*Haute_Mer_1994!CA_op_trig</f>
        <v>0</v>
      </c>
      <c r="BJ404" s="66">
        <f ca="1">(BI404+BJ402)*Haute_Mer_1994!CA_op_trig</f>
        <v>0</v>
      </c>
      <c r="BK404" s="66">
        <f ca="1">(BJ404+BK402)*Haute_Mer_1994!CA_op_trig</f>
        <v>0</v>
      </c>
      <c r="BL404" s="66">
        <f ca="1">(BK404+BL402)*Haute_Mer_1994!CA_op_trig</f>
        <v>0</v>
      </c>
      <c r="BM404" s="66">
        <f ca="1">(BL404+BM402)*Haute_Mer_1994!CA_op_trig</f>
        <v>0</v>
      </c>
      <c r="BN404" s="66">
        <f ca="1">(BM404+BN402)*Haute_Mer_1994!CA_op_trig</f>
        <v>0</v>
      </c>
      <c r="BO404" s="66">
        <f ca="1">(BN404+BO402)*Haute_Mer_1994!CA_op_trig</f>
        <v>0</v>
      </c>
      <c r="BP404" s="66">
        <f ca="1">(BO404+BP402)*Haute_Mer_1994!CA_op_trig</f>
        <v>0</v>
      </c>
      <c r="BQ404" s="66">
        <f ca="1">(BP404+BQ402)*Haute_Mer_1994!CA_op_trig</f>
        <v>0</v>
      </c>
      <c r="BR404" s="66">
        <f ca="1">(BQ404+BR402)*Haute_Mer_1994!CA_op_trig</f>
        <v>0</v>
      </c>
      <c r="BS404" s="66">
        <f ca="1">(BR404+BS402)*Haute_Mer_1994!CA_op_trig</f>
        <v>0</v>
      </c>
    </row>
    <row r="405" spans="1:71" outlineLevel="1" x14ac:dyDescent="0.2">
      <c r="J405" s="26"/>
      <c r="L405" s="55"/>
      <c r="M405" s="55"/>
      <c r="N405" s="55"/>
      <c r="O405" s="55"/>
      <c r="P405" s="55"/>
      <c r="Q405" s="55"/>
      <c r="R405" s="55"/>
      <c r="S405" s="55"/>
      <c r="T405" s="55"/>
      <c r="U405" s="55"/>
      <c r="V405" s="55"/>
      <c r="W405" s="55"/>
      <c r="X405" s="55"/>
      <c r="Y405" s="55"/>
      <c r="Z405" s="55"/>
      <c r="AA405" s="55"/>
      <c r="AB405" s="55"/>
      <c r="AC405" s="55"/>
      <c r="AD405" s="55"/>
      <c r="AE405" s="55"/>
      <c r="AF405" s="55"/>
      <c r="AG405" s="55"/>
      <c r="AH405" s="55"/>
      <c r="AI405" s="55"/>
      <c r="AJ405" s="55"/>
      <c r="AK405" s="55"/>
      <c r="AL405" s="55"/>
      <c r="AM405" s="55"/>
      <c r="AN405" s="55"/>
      <c r="AO405" s="55"/>
      <c r="AP405" s="55"/>
      <c r="AQ405" s="55"/>
      <c r="AR405" s="55"/>
      <c r="AS405" s="55"/>
      <c r="AT405" s="55"/>
      <c r="AU405" s="55"/>
      <c r="AV405" s="55"/>
      <c r="AW405" s="55"/>
      <c r="AX405" s="55"/>
      <c r="AY405" s="55"/>
      <c r="AZ405" s="55"/>
      <c r="BA405" s="55"/>
      <c r="BB405" s="55"/>
      <c r="BC405" s="55"/>
      <c r="BD405" s="55"/>
      <c r="BE405" s="55"/>
      <c r="BF405" s="55"/>
      <c r="BG405" s="55"/>
      <c r="BH405" s="55"/>
      <c r="BI405" s="55"/>
      <c r="BJ405" s="55"/>
      <c r="BK405" s="55"/>
      <c r="BL405" s="55"/>
      <c r="BM405" s="55"/>
      <c r="BN405" s="55"/>
      <c r="BO405" s="55"/>
      <c r="BP405" s="55"/>
      <c r="BQ405" s="55"/>
      <c r="BR405" s="55"/>
      <c r="BS405" s="55"/>
    </row>
    <row r="406" spans="1:71" outlineLevel="1" x14ac:dyDescent="0.2">
      <c r="C406" s="11" t="s">
        <v>284</v>
      </c>
      <c r="G406" s="60"/>
      <c r="I406" s="63">
        <f ca="1">SUMPRODUCT(OA_cont_ATCF_HM1994,Haute_Mer_1994!CA_disc_factor_fc)</f>
        <v>-6104.7042400701948</v>
      </c>
      <c r="J406" s="26" t="s">
        <v>148</v>
      </c>
      <c r="L406" s="55"/>
      <c r="M406" s="55"/>
      <c r="N406" s="55"/>
      <c r="O406" s="55"/>
      <c r="P406" s="55"/>
      <c r="Q406" s="55"/>
      <c r="R406" s="55"/>
      <c r="S406" s="55"/>
      <c r="T406" s="55"/>
      <c r="U406" s="55"/>
      <c r="V406" s="55"/>
      <c r="W406" s="55"/>
      <c r="X406" s="55"/>
      <c r="Y406" s="55"/>
      <c r="Z406" s="55"/>
      <c r="AA406" s="55"/>
      <c r="AB406" s="55"/>
      <c r="AC406" s="55"/>
      <c r="AD406" s="55"/>
      <c r="AE406" s="55"/>
      <c r="AF406" s="55"/>
      <c r="AG406" s="55"/>
      <c r="AH406" s="55"/>
      <c r="AI406" s="55"/>
      <c r="AJ406" s="55"/>
      <c r="AK406" s="55"/>
      <c r="AL406" s="55"/>
      <c r="AM406" s="55"/>
      <c r="AN406" s="55"/>
      <c r="AO406" s="55"/>
      <c r="AP406" s="55"/>
      <c r="AQ406" s="55"/>
      <c r="AR406" s="55"/>
      <c r="AS406" s="55"/>
      <c r="AT406" s="55"/>
      <c r="AU406" s="55"/>
      <c r="AV406" s="55"/>
      <c r="AW406" s="55"/>
      <c r="AX406" s="55"/>
      <c r="AY406" s="55"/>
      <c r="AZ406" s="55"/>
      <c r="BA406" s="55"/>
      <c r="BB406" s="55"/>
      <c r="BC406" s="55"/>
      <c r="BD406" s="55"/>
      <c r="BE406" s="55"/>
      <c r="BF406" s="55"/>
      <c r="BG406" s="55"/>
      <c r="BH406" s="55"/>
      <c r="BI406" s="55"/>
      <c r="BJ406" s="55"/>
      <c r="BK406" s="55"/>
      <c r="BL406" s="55"/>
      <c r="BM406" s="55"/>
      <c r="BN406" s="55"/>
      <c r="BO406" s="55"/>
      <c r="BP406" s="55"/>
      <c r="BQ406" s="55"/>
      <c r="BR406" s="55"/>
      <c r="BS406" s="55"/>
    </row>
    <row r="407" spans="1:71" outlineLevel="1" x14ac:dyDescent="0.2">
      <c r="C407" s="11" t="s">
        <v>285</v>
      </c>
      <c r="I407" s="63">
        <f ca="1">SUMPRODUCT(OA_cont_ATCF_HM1994,Haute_Mer_1994!CA_disc_factor_pf)</f>
        <v>0</v>
      </c>
      <c r="J407" s="26" t="s">
        <v>148</v>
      </c>
      <c r="L407" s="55"/>
      <c r="M407" s="55"/>
      <c r="N407" s="55"/>
      <c r="O407" s="55"/>
      <c r="P407" s="55"/>
      <c r="Q407" s="55"/>
      <c r="R407" s="55"/>
      <c r="S407" s="55"/>
      <c r="T407" s="55"/>
      <c r="U407" s="55"/>
      <c r="V407" s="55"/>
      <c r="W407" s="55"/>
      <c r="X407" s="55"/>
      <c r="Y407" s="55"/>
      <c r="Z407" s="55"/>
      <c r="AA407" s="55"/>
      <c r="AB407" s="55"/>
      <c r="AC407" s="55"/>
      <c r="AD407" s="55"/>
      <c r="AE407" s="55"/>
      <c r="AF407" s="55"/>
      <c r="AG407" s="55"/>
      <c r="AH407" s="55"/>
      <c r="AI407" s="55"/>
      <c r="AJ407" s="55"/>
      <c r="AK407" s="55"/>
      <c r="AL407" s="55"/>
      <c r="AM407" s="55"/>
      <c r="AN407" s="55"/>
      <c r="AO407" s="55"/>
      <c r="AP407" s="55"/>
      <c r="AQ407" s="55"/>
      <c r="AR407" s="55"/>
      <c r="AS407" s="55"/>
      <c r="AT407" s="55"/>
      <c r="AU407" s="55"/>
      <c r="AV407" s="55"/>
      <c r="AW407" s="55"/>
      <c r="AX407" s="55"/>
      <c r="AY407" s="55"/>
      <c r="AZ407" s="55"/>
      <c r="BA407" s="55"/>
      <c r="BB407" s="55"/>
      <c r="BC407" s="55"/>
      <c r="BD407" s="55"/>
      <c r="BE407" s="55"/>
      <c r="BF407" s="55"/>
      <c r="BG407" s="55"/>
      <c r="BH407" s="55"/>
      <c r="BI407" s="55"/>
      <c r="BJ407" s="55"/>
      <c r="BK407" s="55"/>
      <c r="BL407" s="55"/>
      <c r="BM407" s="55"/>
      <c r="BN407" s="55"/>
      <c r="BO407" s="55"/>
      <c r="BP407" s="55"/>
      <c r="BQ407" s="55"/>
      <c r="BR407" s="55"/>
      <c r="BS407" s="55"/>
    </row>
    <row r="408" spans="1:71" outlineLevel="1" x14ac:dyDescent="0.2">
      <c r="I408" s="61"/>
      <c r="J408" s="26"/>
      <c r="L408" s="55"/>
      <c r="M408" s="55"/>
      <c r="N408" s="55"/>
      <c r="O408" s="55"/>
      <c r="P408" s="55"/>
      <c r="Q408" s="55"/>
      <c r="R408" s="55"/>
      <c r="S408" s="55"/>
      <c r="T408" s="55"/>
      <c r="U408" s="55"/>
      <c r="V408" s="55"/>
      <c r="W408" s="55"/>
      <c r="X408" s="55"/>
      <c r="Y408" s="55"/>
      <c r="Z408" s="55"/>
      <c r="AA408" s="55"/>
      <c r="AB408" s="55"/>
      <c r="AC408" s="55"/>
      <c r="AD408" s="55"/>
      <c r="AE408" s="55"/>
      <c r="AF408" s="55"/>
      <c r="AG408" s="55"/>
      <c r="AH408" s="55"/>
      <c r="AI408" s="55"/>
      <c r="AJ408" s="55"/>
      <c r="AK408" s="55"/>
      <c r="AL408" s="55"/>
      <c r="AM408" s="55"/>
      <c r="AN408" s="55"/>
      <c r="AO408" s="55"/>
      <c r="AP408" s="55"/>
      <c r="AQ408" s="55"/>
      <c r="AR408" s="55"/>
      <c r="AS408" s="55"/>
      <c r="AT408" s="55"/>
      <c r="AU408" s="55"/>
      <c r="AV408" s="55"/>
      <c r="AW408" s="55"/>
      <c r="AX408" s="55"/>
      <c r="AY408" s="55"/>
      <c r="AZ408" s="55"/>
      <c r="BA408" s="55"/>
      <c r="BB408" s="55"/>
      <c r="BC408" s="55"/>
      <c r="BD408" s="55"/>
      <c r="BE408" s="55"/>
      <c r="BF408" s="55"/>
      <c r="BG408" s="55"/>
      <c r="BH408" s="55"/>
      <c r="BI408" s="55"/>
      <c r="BJ408" s="55"/>
      <c r="BK408" s="55"/>
      <c r="BL408" s="55"/>
      <c r="BM408" s="55"/>
      <c r="BN408" s="55"/>
      <c r="BO408" s="55"/>
      <c r="BP408" s="55"/>
      <c r="BQ408" s="55"/>
      <c r="BR408" s="55"/>
      <c r="BS408" s="55"/>
    </row>
    <row r="409" spans="1:71" outlineLevel="1" x14ac:dyDescent="0.2">
      <c r="C409" s="11" t="s">
        <v>286</v>
      </c>
      <c r="I409" s="62">
        <f ca="1">IFERROR(IRR(INDEX(OA_cont_ATCF_HM1994,1,MAX(1,$G$351-L4+1)):INDEX(OA_cont_ATCF_HM1994,1,last_model_year)),"na")</f>
        <v>-0.1404290859922801</v>
      </c>
      <c r="J409" s="26" t="s">
        <v>90</v>
      </c>
      <c r="L409" s="55"/>
      <c r="M409" s="55"/>
      <c r="N409" s="55"/>
      <c r="O409" s="55"/>
      <c r="P409" s="55"/>
      <c r="Q409" s="55"/>
      <c r="R409" s="55"/>
      <c r="S409" s="55"/>
      <c r="T409" s="55"/>
      <c r="U409" s="55"/>
      <c r="V409" s="55"/>
      <c r="W409" s="55"/>
      <c r="X409" s="55"/>
      <c r="Y409" s="55"/>
      <c r="Z409" s="55"/>
      <c r="AA409" s="55"/>
      <c r="AB409" s="55"/>
      <c r="AC409" s="55"/>
      <c r="AD409" s="55"/>
      <c r="AE409" s="55"/>
      <c r="AF409" s="55"/>
      <c r="AG409" s="55"/>
      <c r="AH409" s="55"/>
      <c r="AI409" s="55"/>
      <c r="AJ409" s="55"/>
      <c r="AK409" s="55"/>
      <c r="AL409" s="55"/>
      <c r="AM409" s="55"/>
      <c r="AN409" s="55"/>
      <c r="AO409" s="55"/>
      <c r="AP409" s="55"/>
      <c r="AQ409" s="55"/>
      <c r="AR409" s="55"/>
      <c r="AS409" s="55"/>
      <c r="AT409" s="55"/>
      <c r="AU409" s="55"/>
      <c r="AV409" s="55"/>
      <c r="AW409" s="55"/>
      <c r="AX409" s="55"/>
      <c r="AY409" s="55"/>
      <c r="AZ409" s="55"/>
      <c r="BA409" s="55"/>
      <c r="BB409" s="55"/>
      <c r="BC409" s="55"/>
      <c r="BD409" s="55"/>
      <c r="BE409" s="55"/>
      <c r="BF409" s="55"/>
      <c r="BG409" s="55"/>
      <c r="BH409" s="55"/>
      <c r="BI409" s="55"/>
      <c r="BJ409" s="55"/>
      <c r="BK409" s="55"/>
      <c r="BL409" s="55"/>
      <c r="BM409" s="55"/>
      <c r="BN409" s="55"/>
      <c r="BO409" s="55"/>
      <c r="BP409" s="55"/>
      <c r="BQ409" s="55"/>
      <c r="BR409" s="55"/>
      <c r="BS409" s="55"/>
    </row>
    <row r="410" spans="1:71" outlineLevel="1" x14ac:dyDescent="0.2">
      <c r="C410" s="11" t="s">
        <v>287</v>
      </c>
      <c r="I410" s="62" t="str">
        <f ca="1">IFERROR(IRR(INDEX(OA_cont_ATCF_HM1994,1,MAX(1,$G$352-L4+1)):INDEX(OA_cont_ATCF_HM1994,1,last_model_year)),"na")</f>
        <v>na</v>
      </c>
      <c r="J410" s="26" t="s">
        <v>90</v>
      </c>
      <c r="L410" s="55"/>
      <c r="M410" s="55"/>
      <c r="N410" s="55"/>
      <c r="O410" s="55"/>
      <c r="P410" s="55"/>
      <c r="Q410" s="55"/>
      <c r="R410" s="55"/>
      <c r="S410" s="55"/>
      <c r="T410" s="55"/>
      <c r="U410" s="55"/>
      <c r="V410" s="55"/>
      <c r="W410" s="55"/>
      <c r="X410" s="55"/>
      <c r="Y410" s="55"/>
      <c r="Z410" s="55"/>
      <c r="AA410" s="55"/>
      <c r="AB410" s="55"/>
      <c r="AC410" s="55"/>
      <c r="AD410" s="55"/>
      <c r="AE410" s="55"/>
      <c r="AF410" s="55"/>
      <c r="AG410" s="55"/>
      <c r="AH410" s="55"/>
      <c r="AI410" s="55"/>
      <c r="AJ410" s="55"/>
      <c r="AK410" s="55"/>
      <c r="AL410" s="55"/>
      <c r="AM410" s="55"/>
      <c r="AN410" s="55"/>
      <c r="AO410" s="55"/>
      <c r="AP410" s="55"/>
      <c r="AQ410" s="55"/>
      <c r="AR410" s="55"/>
      <c r="AS410" s="55"/>
      <c r="AT410" s="55"/>
      <c r="AU410" s="55"/>
      <c r="AV410" s="55"/>
      <c r="AW410" s="55"/>
      <c r="AX410" s="55"/>
      <c r="AY410" s="55"/>
      <c r="AZ410" s="55"/>
      <c r="BA410" s="55"/>
      <c r="BB410" s="55"/>
      <c r="BC410" s="55"/>
      <c r="BD410" s="55"/>
      <c r="BE410" s="55"/>
      <c r="BF410" s="55"/>
      <c r="BG410" s="55"/>
      <c r="BH410" s="55"/>
      <c r="BI410" s="55"/>
      <c r="BJ410" s="55"/>
      <c r="BK410" s="55"/>
      <c r="BL410" s="55"/>
      <c r="BM410" s="55"/>
      <c r="BN410" s="55"/>
      <c r="BO410" s="55"/>
      <c r="BP410" s="55"/>
      <c r="BQ410" s="55"/>
      <c r="BR410" s="55"/>
      <c r="BS410" s="55"/>
    </row>
    <row r="411" spans="1:71" outlineLevel="1" x14ac:dyDescent="0.2">
      <c r="J411" s="26"/>
      <c r="L411" s="55"/>
      <c r="M411" s="55"/>
      <c r="N411" s="55"/>
      <c r="O411" s="55"/>
      <c r="P411" s="55"/>
      <c r="Q411" s="55"/>
      <c r="R411" s="55"/>
      <c r="S411" s="55"/>
      <c r="T411" s="55"/>
      <c r="U411" s="55"/>
      <c r="V411" s="55"/>
      <c r="W411" s="55"/>
      <c r="X411" s="55"/>
      <c r="Y411" s="55"/>
      <c r="Z411" s="55"/>
      <c r="AA411" s="55"/>
      <c r="AB411" s="55"/>
      <c r="AC411" s="55"/>
      <c r="AD411" s="55"/>
      <c r="AE411" s="55"/>
      <c r="AF411" s="55"/>
      <c r="AG411" s="55"/>
      <c r="AH411" s="55"/>
      <c r="AI411" s="55"/>
      <c r="AJ411" s="55"/>
      <c r="AK411" s="55"/>
      <c r="AL411" s="55"/>
      <c r="AM411" s="55"/>
      <c r="AN411" s="55"/>
      <c r="AO411" s="55"/>
      <c r="AP411" s="55"/>
      <c r="AQ411" s="55"/>
      <c r="AR411" s="55"/>
      <c r="AS411" s="55"/>
      <c r="AT411" s="55"/>
      <c r="AU411" s="55"/>
      <c r="AV411" s="55"/>
      <c r="AW411" s="55"/>
      <c r="AX411" s="55"/>
      <c r="AY411" s="55"/>
      <c r="AZ411" s="55"/>
      <c r="BA411" s="55"/>
      <c r="BB411" s="55"/>
      <c r="BC411" s="55"/>
      <c r="BD411" s="55"/>
      <c r="BE411" s="55"/>
      <c r="BF411" s="55"/>
      <c r="BG411" s="55"/>
      <c r="BH411" s="55"/>
      <c r="BI411" s="55"/>
      <c r="BJ411" s="55"/>
      <c r="BK411" s="55"/>
      <c r="BL411" s="55"/>
      <c r="BM411" s="55"/>
      <c r="BN411" s="55"/>
      <c r="BO411" s="55"/>
      <c r="BP411" s="55"/>
      <c r="BQ411" s="55"/>
      <c r="BR411" s="55"/>
      <c r="BS411" s="55"/>
    </row>
    <row r="412" spans="1:71" outlineLevel="1" x14ac:dyDescent="0.2">
      <c r="C412" s="11" t="s">
        <v>304</v>
      </c>
      <c r="I412" s="67">
        <f ca="1">COUNTIF(L404:BS404,"&lt;0")+1</f>
        <v>14</v>
      </c>
      <c r="J412" s="26"/>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c r="BF412" s="7"/>
      <c r="BG412" s="7"/>
      <c r="BH412" s="7"/>
      <c r="BI412" s="7"/>
      <c r="BJ412" s="7"/>
      <c r="BK412" s="7"/>
      <c r="BL412" s="7"/>
      <c r="BM412" s="7"/>
      <c r="BN412" s="7"/>
      <c r="BO412" s="7"/>
      <c r="BP412" s="7"/>
      <c r="BQ412" s="7"/>
      <c r="BR412" s="7"/>
      <c r="BS412" s="7"/>
    </row>
    <row r="413" spans="1:71" outlineLevel="1" x14ac:dyDescent="0.2">
      <c r="J413" s="26"/>
      <c r="L413" s="55"/>
      <c r="M413" s="55"/>
      <c r="N413" s="55"/>
      <c r="O413" s="55"/>
      <c r="P413" s="55"/>
      <c r="Q413" s="55"/>
      <c r="R413" s="55"/>
      <c r="S413" s="55"/>
      <c r="T413" s="55"/>
      <c r="U413" s="55"/>
      <c r="V413" s="55"/>
      <c r="W413" s="55"/>
      <c r="X413" s="55"/>
      <c r="Y413" s="55"/>
      <c r="Z413" s="55"/>
      <c r="AA413" s="55"/>
      <c r="AB413" s="55"/>
      <c r="AC413" s="55"/>
      <c r="AD413" s="55"/>
      <c r="AE413" s="55"/>
      <c r="AF413" s="55"/>
      <c r="AG413" s="55"/>
      <c r="AH413" s="55"/>
      <c r="AI413" s="55"/>
      <c r="AJ413" s="55"/>
      <c r="AK413" s="55"/>
      <c r="AL413" s="55"/>
      <c r="AM413" s="55"/>
      <c r="AN413" s="55"/>
      <c r="AO413" s="55"/>
      <c r="AP413" s="55"/>
      <c r="AQ413" s="55"/>
      <c r="AR413" s="55"/>
      <c r="AS413" s="55"/>
      <c r="AT413" s="55"/>
      <c r="AU413" s="55"/>
      <c r="AV413" s="55"/>
      <c r="AW413" s="55"/>
      <c r="AX413" s="55"/>
      <c r="AY413" s="55"/>
      <c r="AZ413" s="55"/>
      <c r="BA413" s="55"/>
      <c r="BB413" s="55"/>
      <c r="BC413" s="55"/>
      <c r="BD413" s="55"/>
      <c r="BE413" s="55"/>
      <c r="BF413" s="55"/>
      <c r="BG413" s="55"/>
      <c r="BH413" s="55"/>
      <c r="BI413" s="55"/>
      <c r="BJ413" s="55"/>
      <c r="BK413" s="55"/>
      <c r="BL413" s="55"/>
      <c r="BM413" s="55"/>
      <c r="BN413" s="55"/>
      <c r="BO413" s="55"/>
      <c r="BP413" s="55"/>
      <c r="BQ413" s="55"/>
      <c r="BR413" s="55"/>
      <c r="BS413" s="55"/>
    </row>
    <row r="414" spans="1:71" outlineLevel="1" x14ac:dyDescent="0.2">
      <c r="J414" s="26"/>
      <c r="L414" s="55"/>
      <c r="M414" s="55"/>
      <c r="N414" s="55"/>
      <c r="O414" s="55"/>
      <c r="P414" s="55"/>
      <c r="Q414" s="55"/>
      <c r="R414" s="55"/>
      <c r="S414" s="55"/>
      <c r="T414" s="55"/>
      <c r="U414" s="55"/>
      <c r="V414" s="55"/>
      <c r="W414" s="55"/>
      <c r="X414" s="55"/>
      <c r="Y414" s="55"/>
      <c r="Z414" s="55"/>
      <c r="AA414" s="55"/>
      <c r="AB414" s="55"/>
      <c r="AC414" s="55"/>
      <c r="AD414" s="55"/>
      <c r="AE414" s="55"/>
      <c r="AF414" s="55"/>
      <c r="AG414" s="55"/>
      <c r="AH414" s="55"/>
      <c r="AI414" s="55"/>
      <c r="AJ414" s="55"/>
      <c r="AK414" s="55"/>
      <c r="AL414" s="55"/>
      <c r="AM414" s="55"/>
      <c r="AN414" s="55"/>
      <c r="AO414" s="55"/>
      <c r="AP414" s="55"/>
      <c r="AQ414" s="55"/>
      <c r="AR414" s="55"/>
      <c r="AS414" s="55"/>
      <c r="AT414" s="55"/>
      <c r="AU414" s="55"/>
      <c r="AV414" s="55"/>
      <c r="AW414" s="55"/>
      <c r="AX414" s="55"/>
      <c r="AY414" s="55"/>
      <c r="AZ414" s="55"/>
      <c r="BA414" s="55"/>
      <c r="BB414" s="55"/>
      <c r="BC414" s="55"/>
      <c r="BD414" s="55"/>
      <c r="BE414" s="55"/>
      <c r="BF414" s="55"/>
      <c r="BG414" s="55"/>
      <c r="BH414" s="55"/>
      <c r="BI414" s="55"/>
      <c r="BJ414" s="55"/>
      <c r="BK414" s="55"/>
      <c r="BL414" s="55"/>
      <c r="BM414" s="55"/>
      <c r="BN414" s="55"/>
      <c r="BO414" s="55"/>
      <c r="BP414" s="55"/>
      <c r="BQ414" s="55"/>
      <c r="BR414" s="55"/>
      <c r="BS414" s="55"/>
    </row>
    <row r="415" spans="1:71" outlineLevel="1" x14ac:dyDescent="0.2">
      <c r="J415" s="26"/>
      <c r="L415" s="55"/>
      <c r="M415" s="55"/>
      <c r="N415" s="55"/>
      <c r="O415" s="55"/>
      <c r="P415" s="55"/>
      <c r="Q415" s="55"/>
      <c r="R415" s="55"/>
      <c r="S415" s="55"/>
      <c r="T415" s="55"/>
      <c r="U415" s="55"/>
      <c r="V415" s="55"/>
      <c r="W415" s="55"/>
      <c r="X415" s="55"/>
      <c r="Y415" s="55"/>
      <c r="Z415" s="55"/>
      <c r="AA415" s="55"/>
      <c r="AB415" s="55"/>
      <c r="AC415" s="55"/>
      <c r="AD415" s="55"/>
      <c r="AE415" s="55"/>
      <c r="AF415" s="55"/>
      <c r="AG415" s="55"/>
      <c r="AH415" s="55"/>
      <c r="AI415" s="55"/>
      <c r="AJ415" s="55"/>
      <c r="AK415" s="55"/>
      <c r="AL415" s="55"/>
      <c r="AM415" s="55"/>
      <c r="AN415" s="55"/>
      <c r="AO415" s="55"/>
      <c r="AP415" s="55"/>
      <c r="AQ415" s="55"/>
      <c r="AR415" s="55"/>
      <c r="AS415" s="55"/>
      <c r="AT415" s="55"/>
      <c r="AU415" s="55"/>
      <c r="AV415" s="55"/>
      <c r="AW415" s="55"/>
      <c r="AX415" s="55"/>
      <c r="AY415" s="55"/>
      <c r="AZ415" s="55"/>
      <c r="BA415" s="55"/>
      <c r="BB415" s="55"/>
      <c r="BC415" s="55"/>
      <c r="BD415" s="55"/>
      <c r="BE415" s="55"/>
      <c r="BF415" s="55"/>
      <c r="BG415" s="55"/>
      <c r="BH415" s="55"/>
      <c r="BI415" s="55"/>
      <c r="BJ415" s="55"/>
      <c r="BK415" s="55"/>
      <c r="BL415" s="55"/>
      <c r="BM415" s="55"/>
      <c r="BN415" s="55"/>
      <c r="BO415" s="55"/>
      <c r="BP415" s="55"/>
      <c r="BQ415" s="55"/>
      <c r="BR415" s="55"/>
      <c r="BS415" s="55"/>
    </row>
    <row r="416" spans="1:71" outlineLevel="1" x14ac:dyDescent="0.2">
      <c r="A416" s="45"/>
      <c r="B416" s="38" t="s">
        <v>353</v>
      </c>
      <c r="C416" s="45"/>
      <c r="D416" s="45"/>
      <c r="E416" s="45"/>
      <c r="J416" s="26"/>
      <c r="L416" s="55"/>
      <c r="M416" s="55"/>
      <c r="N416" s="55"/>
      <c r="O416" s="55"/>
      <c r="P416" s="55"/>
      <c r="Q416" s="55"/>
      <c r="R416" s="55"/>
      <c r="S416" s="55"/>
      <c r="T416" s="55"/>
      <c r="U416" s="55"/>
      <c r="V416" s="55"/>
      <c r="W416" s="55"/>
      <c r="X416" s="55"/>
      <c r="Y416" s="55"/>
      <c r="Z416" s="55"/>
      <c r="AA416" s="55"/>
      <c r="AB416" s="55"/>
      <c r="AC416" s="55"/>
      <c r="AD416" s="55"/>
      <c r="AE416" s="55"/>
      <c r="AF416" s="55"/>
      <c r="AG416" s="55"/>
      <c r="AH416" s="55"/>
      <c r="AI416" s="55"/>
      <c r="AJ416" s="55"/>
      <c r="AK416" s="55"/>
      <c r="AL416" s="55"/>
      <c r="AM416" s="55"/>
      <c r="AN416" s="55"/>
      <c r="AO416" s="55"/>
      <c r="AP416" s="55"/>
      <c r="AQ416" s="55"/>
      <c r="AR416" s="55"/>
      <c r="AS416" s="55"/>
      <c r="AT416" s="55"/>
      <c r="AU416" s="55"/>
      <c r="AV416" s="55"/>
      <c r="AW416" s="55"/>
      <c r="AX416" s="55"/>
      <c r="AY416" s="55"/>
      <c r="AZ416" s="55"/>
      <c r="BA416" s="55"/>
      <c r="BB416" s="55"/>
      <c r="BC416" s="55"/>
      <c r="BD416" s="55"/>
      <c r="BE416" s="55"/>
      <c r="BF416" s="55"/>
      <c r="BG416" s="55"/>
      <c r="BH416" s="55"/>
      <c r="BI416" s="55"/>
      <c r="BJ416" s="55"/>
      <c r="BK416" s="55"/>
      <c r="BL416" s="55"/>
      <c r="BM416" s="55"/>
      <c r="BN416" s="55"/>
      <c r="BO416" s="55"/>
      <c r="BP416" s="55"/>
      <c r="BQ416" s="55"/>
      <c r="BR416" s="55"/>
      <c r="BS416" s="55"/>
    </row>
    <row r="417" spans="3:71" outlineLevel="1" x14ac:dyDescent="0.2">
      <c r="J417" s="26"/>
      <c r="L417" s="55"/>
      <c r="M417" s="55"/>
      <c r="N417" s="55"/>
      <c r="O417" s="55"/>
      <c r="P417" s="55"/>
      <c r="Q417" s="55"/>
      <c r="R417" s="55"/>
      <c r="S417" s="55"/>
      <c r="T417" s="55"/>
      <c r="U417" s="55"/>
      <c r="V417" s="55"/>
      <c r="W417" s="55"/>
      <c r="X417" s="55"/>
      <c r="Y417" s="55"/>
      <c r="Z417" s="55"/>
      <c r="AA417" s="55"/>
      <c r="AB417" s="55"/>
      <c r="AC417" s="55"/>
      <c r="AD417" s="55"/>
      <c r="AE417" s="55"/>
      <c r="AF417" s="55"/>
      <c r="AG417" s="55"/>
      <c r="AH417" s="55"/>
      <c r="AI417" s="55"/>
      <c r="AJ417" s="55"/>
      <c r="AK417" s="55"/>
      <c r="AL417" s="55"/>
      <c r="AM417" s="55"/>
      <c r="AN417" s="55"/>
      <c r="AO417" s="55"/>
      <c r="AP417" s="55"/>
      <c r="AQ417" s="55"/>
      <c r="AR417" s="55"/>
      <c r="AS417" s="55"/>
      <c r="AT417" s="55"/>
      <c r="AU417" s="55"/>
      <c r="AV417" s="55"/>
      <c r="AW417" s="55"/>
      <c r="AX417" s="55"/>
      <c r="AY417" s="55"/>
      <c r="AZ417" s="55"/>
      <c r="BA417" s="55"/>
      <c r="BB417" s="55"/>
      <c r="BC417" s="55"/>
      <c r="BD417" s="55"/>
      <c r="BE417" s="55"/>
      <c r="BF417" s="55"/>
      <c r="BG417" s="55"/>
      <c r="BH417" s="55"/>
      <c r="BI417" s="55"/>
      <c r="BJ417" s="55"/>
      <c r="BK417" s="55"/>
      <c r="BL417" s="55"/>
      <c r="BM417" s="55"/>
      <c r="BN417" s="55"/>
      <c r="BO417" s="55"/>
      <c r="BP417" s="55"/>
      <c r="BQ417" s="55"/>
      <c r="BR417" s="55"/>
      <c r="BS417" s="55"/>
    </row>
    <row r="418" spans="3:71" outlineLevel="1" x14ac:dyDescent="0.2">
      <c r="C418" s="11" t="s">
        <v>354</v>
      </c>
      <c r="I418" s="30">
        <f t="shared" ref="I418:I421" ca="1" si="136">SUM($L418:$BS418)</f>
        <v>-5290.7890713961851</v>
      </c>
      <c r="J418" s="26" t="s">
        <v>148</v>
      </c>
      <c r="L418" s="49" cm="1">
        <f t="array" aca="1" ref="L418:BS418" ca="1">OA_cont_ATCF_HM1994*Haute_Mer_1994!CA_IOC_WI</f>
        <v>-791.00807612868834</v>
      </c>
      <c r="M418" s="49">
        <f ca="1"/>
        <v>-1549.0552913294234</v>
      </c>
      <c r="N418" s="49">
        <f ca="1"/>
        <v>-2610.446002098603</v>
      </c>
      <c r="O418" s="49">
        <f ca="1"/>
        <v>-2232.8191480152732</v>
      </c>
      <c r="P418" s="49">
        <f ca="1"/>
        <v>-1009.6712701408035</v>
      </c>
      <c r="Q418" s="49">
        <f ca="1"/>
        <v>62.97616662814179</v>
      </c>
      <c r="R418" s="49">
        <f ca="1"/>
        <v>553.76897002594501</v>
      </c>
      <c r="S418" s="49">
        <f ca="1"/>
        <v>237.61796087408007</v>
      </c>
      <c r="T418" s="49">
        <f ca="1"/>
        <v>459.44063092596099</v>
      </c>
      <c r="U418" s="49">
        <f ca="1"/>
        <v>452.05206395736269</v>
      </c>
      <c r="V418" s="49">
        <f ca="1"/>
        <v>413.92253358995413</v>
      </c>
      <c r="W418" s="49">
        <f ca="1"/>
        <v>379.34599409241304</v>
      </c>
      <c r="X418" s="49">
        <f ca="1"/>
        <v>343.08639622274802</v>
      </c>
      <c r="Y418" s="49">
        <f ca="1"/>
        <v>0</v>
      </c>
      <c r="Z418" s="49">
        <f ca="1"/>
        <v>0</v>
      </c>
      <c r="AA418" s="49">
        <f ca="1"/>
        <v>0</v>
      </c>
      <c r="AB418" s="49">
        <f ca="1"/>
        <v>0</v>
      </c>
      <c r="AC418" s="49">
        <f ca="1"/>
        <v>0</v>
      </c>
      <c r="AD418" s="49">
        <f ca="1"/>
        <v>0</v>
      </c>
      <c r="AE418" s="49">
        <f ca="1"/>
        <v>0</v>
      </c>
      <c r="AF418" s="49">
        <f ca="1"/>
        <v>0</v>
      </c>
      <c r="AG418" s="49">
        <f ca="1"/>
        <v>0</v>
      </c>
      <c r="AH418" s="49">
        <f ca="1"/>
        <v>0</v>
      </c>
      <c r="AI418" s="49">
        <f ca="1"/>
        <v>0</v>
      </c>
      <c r="AJ418" s="49">
        <f ca="1"/>
        <v>0</v>
      </c>
      <c r="AK418" s="49">
        <f ca="1"/>
        <v>0</v>
      </c>
      <c r="AL418" s="49">
        <f ca="1"/>
        <v>0</v>
      </c>
      <c r="AM418" s="49">
        <f ca="1"/>
        <v>0</v>
      </c>
      <c r="AN418" s="49">
        <f ca="1"/>
        <v>0</v>
      </c>
      <c r="AO418" s="49">
        <f ca="1"/>
        <v>0</v>
      </c>
      <c r="AP418" s="49">
        <f ca="1"/>
        <v>0</v>
      </c>
      <c r="AQ418" s="49">
        <f ca="1"/>
        <v>0</v>
      </c>
      <c r="AR418" s="49">
        <f ca="1"/>
        <v>0</v>
      </c>
      <c r="AS418" s="49">
        <f ca="1"/>
        <v>0</v>
      </c>
      <c r="AT418" s="49">
        <f ca="1"/>
        <v>0</v>
      </c>
      <c r="AU418" s="49">
        <f ca="1"/>
        <v>0</v>
      </c>
      <c r="AV418" s="49">
        <f ca="1"/>
        <v>0</v>
      </c>
      <c r="AW418" s="49">
        <f ca="1"/>
        <v>0</v>
      </c>
      <c r="AX418" s="49">
        <f ca="1"/>
        <v>0</v>
      </c>
      <c r="AY418" s="49">
        <f ca="1"/>
        <v>0</v>
      </c>
      <c r="AZ418" s="49">
        <f ca="1"/>
        <v>0</v>
      </c>
      <c r="BA418" s="49">
        <f ca="1"/>
        <v>0</v>
      </c>
      <c r="BB418" s="49">
        <f ca="1"/>
        <v>0</v>
      </c>
      <c r="BC418" s="49">
        <f ca="1"/>
        <v>0</v>
      </c>
      <c r="BD418" s="49">
        <f ca="1"/>
        <v>0</v>
      </c>
      <c r="BE418" s="49">
        <f ca="1"/>
        <v>0</v>
      </c>
      <c r="BF418" s="49">
        <f ca="1"/>
        <v>0</v>
      </c>
      <c r="BG418" s="49">
        <f ca="1"/>
        <v>0</v>
      </c>
      <c r="BH418" s="49">
        <f ca="1"/>
        <v>0</v>
      </c>
      <c r="BI418" s="49">
        <f ca="1"/>
        <v>0</v>
      </c>
      <c r="BJ418" s="49">
        <f ca="1"/>
        <v>0</v>
      </c>
      <c r="BK418" s="49">
        <f ca="1"/>
        <v>0</v>
      </c>
      <c r="BL418" s="49">
        <f ca="1"/>
        <v>0</v>
      </c>
      <c r="BM418" s="49">
        <f ca="1"/>
        <v>0</v>
      </c>
      <c r="BN418" s="49">
        <f ca="1"/>
        <v>0</v>
      </c>
      <c r="BO418" s="49">
        <f ca="1"/>
        <v>0</v>
      </c>
      <c r="BP418" s="49">
        <f ca="1"/>
        <v>0</v>
      </c>
      <c r="BQ418" s="49">
        <f ca="1"/>
        <v>0</v>
      </c>
      <c r="BR418" s="49">
        <f ca="1"/>
        <v>0</v>
      </c>
      <c r="BS418" s="49">
        <f ca="1"/>
        <v>0</v>
      </c>
    </row>
    <row r="419" spans="3:71" outlineLevel="1" x14ac:dyDescent="0.2">
      <c r="C419" s="11" t="s">
        <v>355</v>
      </c>
      <c r="I419" s="30">
        <f t="shared" ca="1" si="136"/>
        <v>-1637.03865</v>
      </c>
      <c r="J419" s="26" t="s">
        <v>148</v>
      </c>
      <c r="L419" s="49" cm="1">
        <f t="array" aca="1" ref="L419:BS419" ca="1">-Haute_Mer_1994!CA_NOC_carried_costs</f>
        <v>-193.01729999999998</v>
      </c>
      <c r="M419" s="49">
        <f ca="1"/>
        <v>-317.73179999999996</v>
      </c>
      <c r="N419" s="49">
        <f ca="1"/>
        <v>-469.58609999999999</v>
      </c>
      <c r="O419" s="49">
        <f ca="1"/>
        <v>-385.68014999999997</v>
      </c>
      <c r="P419" s="49">
        <f ca="1"/>
        <v>-172.98479999999998</v>
      </c>
      <c r="Q419" s="49">
        <f ca="1"/>
        <v>-98.038499999999999</v>
      </c>
      <c r="R419" s="49">
        <f ca="1"/>
        <v>0</v>
      </c>
      <c r="S419" s="49">
        <f ca="1"/>
        <v>0</v>
      </c>
      <c r="T419" s="49">
        <f ca="1"/>
        <v>0</v>
      </c>
      <c r="U419" s="49">
        <f ca="1"/>
        <v>0</v>
      </c>
      <c r="V419" s="49">
        <f ca="1"/>
        <v>0</v>
      </c>
      <c r="W419" s="49">
        <f ca="1"/>
        <v>0</v>
      </c>
      <c r="X419" s="49">
        <f ca="1"/>
        <v>0</v>
      </c>
      <c r="Y419" s="49">
        <f ca="1"/>
        <v>0</v>
      </c>
      <c r="Z419" s="49">
        <f ca="1"/>
        <v>0</v>
      </c>
      <c r="AA419" s="49">
        <f ca="1"/>
        <v>0</v>
      </c>
      <c r="AB419" s="49">
        <f ca="1"/>
        <v>0</v>
      </c>
      <c r="AC419" s="49">
        <f ca="1"/>
        <v>0</v>
      </c>
      <c r="AD419" s="49">
        <f ca="1"/>
        <v>0</v>
      </c>
      <c r="AE419" s="49">
        <f ca="1"/>
        <v>0</v>
      </c>
      <c r="AF419" s="49">
        <f ca="1"/>
        <v>0</v>
      </c>
      <c r="AG419" s="49">
        <f ca="1"/>
        <v>0</v>
      </c>
      <c r="AH419" s="49">
        <f ca="1"/>
        <v>0</v>
      </c>
      <c r="AI419" s="49">
        <f ca="1"/>
        <v>0</v>
      </c>
      <c r="AJ419" s="49">
        <f ca="1"/>
        <v>0</v>
      </c>
      <c r="AK419" s="49">
        <f ca="1"/>
        <v>0</v>
      </c>
      <c r="AL419" s="49">
        <f ca="1"/>
        <v>0</v>
      </c>
      <c r="AM419" s="49">
        <f ca="1"/>
        <v>0</v>
      </c>
      <c r="AN419" s="49">
        <f ca="1"/>
        <v>0</v>
      </c>
      <c r="AO419" s="49">
        <f ca="1"/>
        <v>0</v>
      </c>
      <c r="AP419" s="49">
        <f ca="1"/>
        <v>0</v>
      </c>
      <c r="AQ419" s="49">
        <f ca="1"/>
        <v>0</v>
      </c>
      <c r="AR419" s="49">
        <f ca="1"/>
        <v>0</v>
      </c>
      <c r="AS419" s="49">
        <f ca="1"/>
        <v>0</v>
      </c>
      <c r="AT419" s="49">
        <f ca="1"/>
        <v>0</v>
      </c>
      <c r="AU419" s="49">
        <f ca="1"/>
        <v>0</v>
      </c>
      <c r="AV419" s="49">
        <f ca="1"/>
        <v>0</v>
      </c>
      <c r="AW419" s="49">
        <f ca="1"/>
        <v>0</v>
      </c>
      <c r="AX419" s="49">
        <f ca="1"/>
        <v>0</v>
      </c>
      <c r="AY419" s="49">
        <f ca="1"/>
        <v>0</v>
      </c>
      <c r="AZ419" s="49">
        <f ca="1"/>
        <v>0</v>
      </c>
      <c r="BA419" s="49">
        <f ca="1"/>
        <v>0</v>
      </c>
      <c r="BB419" s="49">
        <f ca="1"/>
        <v>0</v>
      </c>
      <c r="BC419" s="49">
        <f ca="1"/>
        <v>0</v>
      </c>
      <c r="BD419" s="49">
        <f ca="1"/>
        <v>0</v>
      </c>
      <c r="BE419" s="49">
        <f ca="1"/>
        <v>0</v>
      </c>
      <c r="BF419" s="49">
        <f ca="1"/>
        <v>0</v>
      </c>
      <c r="BG419" s="49">
        <f ca="1"/>
        <v>0</v>
      </c>
      <c r="BH419" s="49">
        <f ca="1"/>
        <v>0</v>
      </c>
      <c r="BI419" s="49">
        <f ca="1"/>
        <v>0</v>
      </c>
      <c r="BJ419" s="49">
        <f ca="1"/>
        <v>0</v>
      </c>
      <c r="BK419" s="49">
        <f ca="1"/>
        <v>0</v>
      </c>
      <c r="BL419" s="49">
        <f ca="1"/>
        <v>0</v>
      </c>
      <c r="BM419" s="49">
        <f ca="1"/>
        <v>0</v>
      </c>
      <c r="BN419" s="49">
        <f ca="1"/>
        <v>0</v>
      </c>
      <c r="BO419" s="49">
        <f ca="1"/>
        <v>0</v>
      </c>
      <c r="BP419" s="49">
        <f ca="1"/>
        <v>0</v>
      </c>
      <c r="BQ419" s="49">
        <f ca="1"/>
        <v>0</v>
      </c>
      <c r="BR419" s="49">
        <f ca="1"/>
        <v>0</v>
      </c>
      <c r="BS419" s="49">
        <f ca="1"/>
        <v>0</v>
      </c>
    </row>
    <row r="420" spans="3:71" outlineLevel="1" x14ac:dyDescent="0.2">
      <c r="C420" s="11" t="s">
        <v>327</v>
      </c>
      <c r="I420" s="30">
        <f t="shared" ca="1" si="136"/>
        <v>934.68243010741617</v>
      </c>
      <c r="J420" s="26" t="s">
        <v>148</v>
      </c>
      <c r="L420" s="49" cm="1">
        <f t="array" aca="1" ref="L420:BS420" ca="1">-Haute_Mer_1994!CA_NOC_carry_payback</f>
        <v>57.571496797623155</v>
      </c>
      <c r="M420" s="49">
        <f ca="1"/>
        <v>54.760215369848353</v>
      </c>
      <c r="N420" s="49">
        <f ca="1"/>
        <v>22.256514005017031</v>
      </c>
      <c r="O420" s="49">
        <f ca="1"/>
        <v>21.123086821107403</v>
      </c>
      <c r="P420" s="49">
        <f ca="1"/>
        <v>57.281159232804534</v>
      </c>
      <c r="Q420" s="49">
        <f ca="1"/>
        <v>110.85288035194517</v>
      </c>
      <c r="R420" s="49">
        <f ca="1"/>
        <v>106.48802413669142</v>
      </c>
      <c r="S420" s="49">
        <f ca="1"/>
        <v>64.524635115970511</v>
      </c>
      <c r="T420" s="49">
        <f ca="1"/>
        <v>94.012953928157714</v>
      </c>
      <c r="U420" s="49">
        <f ca="1"/>
        <v>93.349091765417285</v>
      </c>
      <c r="V420" s="49">
        <f ca="1"/>
        <v>88.550948448674831</v>
      </c>
      <c r="W420" s="49">
        <f ca="1"/>
        <v>84.22956512224421</v>
      </c>
      <c r="X420" s="49">
        <f ca="1"/>
        <v>79.681859011914511</v>
      </c>
      <c r="Y420" s="49">
        <f ca="1"/>
        <v>0</v>
      </c>
      <c r="Z420" s="49">
        <f ca="1"/>
        <v>0</v>
      </c>
      <c r="AA420" s="49">
        <f ca="1"/>
        <v>0</v>
      </c>
      <c r="AB420" s="49">
        <f ca="1"/>
        <v>0</v>
      </c>
      <c r="AC420" s="49">
        <f ca="1"/>
        <v>0</v>
      </c>
      <c r="AD420" s="49">
        <f ca="1"/>
        <v>0</v>
      </c>
      <c r="AE420" s="49">
        <f ca="1"/>
        <v>0</v>
      </c>
      <c r="AF420" s="49">
        <f ca="1"/>
        <v>0</v>
      </c>
      <c r="AG420" s="49">
        <f ca="1"/>
        <v>0</v>
      </c>
      <c r="AH420" s="49">
        <f ca="1"/>
        <v>0</v>
      </c>
      <c r="AI420" s="49">
        <f ca="1"/>
        <v>0</v>
      </c>
      <c r="AJ420" s="49">
        <f ca="1"/>
        <v>0</v>
      </c>
      <c r="AK420" s="49">
        <f ca="1"/>
        <v>0</v>
      </c>
      <c r="AL420" s="49">
        <f ca="1"/>
        <v>0</v>
      </c>
      <c r="AM420" s="49">
        <f ca="1"/>
        <v>0</v>
      </c>
      <c r="AN420" s="49">
        <f ca="1"/>
        <v>0</v>
      </c>
      <c r="AO420" s="49">
        <f ca="1"/>
        <v>0</v>
      </c>
      <c r="AP420" s="49">
        <f ca="1"/>
        <v>0</v>
      </c>
      <c r="AQ420" s="49">
        <f ca="1"/>
        <v>0</v>
      </c>
      <c r="AR420" s="49">
        <f ca="1"/>
        <v>0</v>
      </c>
      <c r="AS420" s="49">
        <f ca="1"/>
        <v>0</v>
      </c>
      <c r="AT420" s="49">
        <f ca="1"/>
        <v>0</v>
      </c>
      <c r="AU420" s="49">
        <f ca="1"/>
        <v>0</v>
      </c>
      <c r="AV420" s="49">
        <f ca="1"/>
        <v>0</v>
      </c>
      <c r="AW420" s="49">
        <f ca="1"/>
        <v>0</v>
      </c>
      <c r="AX420" s="49">
        <f ca="1"/>
        <v>0</v>
      </c>
      <c r="AY420" s="49">
        <f ca="1"/>
        <v>0</v>
      </c>
      <c r="AZ420" s="49">
        <f ca="1"/>
        <v>0</v>
      </c>
      <c r="BA420" s="49">
        <f ca="1"/>
        <v>0</v>
      </c>
      <c r="BB420" s="49">
        <f ca="1"/>
        <v>0</v>
      </c>
      <c r="BC420" s="49">
        <f ca="1"/>
        <v>0</v>
      </c>
      <c r="BD420" s="49">
        <f ca="1"/>
        <v>0</v>
      </c>
      <c r="BE420" s="49">
        <f ca="1"/>
        <v>0</v>
      </c>
      <c r="BF420" s="49">
        <f ca="1"/>
        <v>0</v>
      </c>
      <c r="BG420" s="49">
        <f ca="1"/>
        <v>0</v>
      </c>
      <c r="BH420" s="49">
        <f ca="1"/>
        <v>0</v>
      </c>
      <c r="BI420" s="49">
        <f ca="1"/>
        <v>0</v>
      </c>
      <c r="BJ420" s="49">
        <f ca="1"/>
        <v>0</v>
      </c>
      <c r="BK420" s="49">
        <f ca="1"/>
        <v>0</v>
      </c>
      <c r="BL420" s="49">
        <f ca="1"/>
        <v>0</v>
      </c>
      <c r="BM420" s="49">
        <f ca="1"/>
        <v>0</v>
      </c>
      <c r="BN420" s="49">
        <f ca="1"/>
        <v>0</v>
      </c>
      <c r="BO420" s="49">
        <f ca="1"/>
        <v>0</v>
      </c>
      <c r="BP420" s="49">
        <f ca="1"/>
        <v>0</v>
      </c>
      <c r="BQ420" s="49">
        <f ca="1"/>
        <v>0</v>
      </c>
      <c r="BR420" s="49">
        <f ca="1"/>
        <v>0</v>
      </c>
      <c r="BS420" s="49">
        <f ca="1"/>
        <v>0</v>
      </c>
    </row>
    <row r="421" spans="3:71" outlineLevel="1" x14ac:dyDescent="0.2">
      <c r="C421" s="11" t="s">
        <v>356</v>
      </c>
      <c r="H421" s="7" t="s">
        <v>558</v>
      </c>
      <c r="I421" s="30">
        <f t="shared" ca="1" si="136"/>
        <v>-5993.1452912887689</v>
      </c>
      <c r="J421" s="26" t="s">
        <v>148</v>
      </c>
      <c r="K421" s="7" t="s">
        <v>383</v>
      </c>
      <c r="L421" s="49">
        <f ca="1">SUM(L418:L420)</f>
        <v>-926.4538793310652</v>
      </c>
      <c r="M421" s="49">
        <f t="shared" ref="M421:BS421" ca="1" si="137">SUM(M418:M420)</f>
        <v>-1812.0268759595751</v>
      </c>
      <c r="N421" s="49">
        <f t="shared" ca="1" si="137"/>
        <v>-3057.7755880935861</v>
      </c>
      <c r="O421" s="49">
        <f t="shared" ca="1" si="137"/>
        <v>-2597.376211194166</v>
      </c>
      <c r="P421" s="49">
        <f t="shared" ca="1" si="137"/>
        <v>-1125.3749109079988</v>
      </c>
      <c r="Q421" s="49">
        <f t="shared" ca="1" si="137"/>
        <v>75.790546980086958</v>
      </c>
      <c r="R421" s="49">
        <f t="shared" ca="1" si="137"/>
        <v>660.25699416263637</v>
      </c>
      <c r="S421" s="49">
        <f t="shared" ca="1" si="137"/>
        <v>302.14259599005061</v>
      </c>
      <c r="T421" s="49">
        <f t="shared" ca="1" si="137"/>
        <v>553.45358485411873</v>
      </c>
      <c r="U421" s="49">
        <f t="shared" ca="1" si="137"/>
        <v>545.40115572278</v>
      </c>
      <c r="V421" s="49">
        <f t="shared" ca="1" si="137"/>
        <v>502.47348203862896</v>
      </c>
      <c r="W421" s="49">
        <f t="shared" ca="1" si="137"/>
        <v>463.57555921465723</v>
      </c>
      <c r="X421" s="49">
        <f t="shared" ca="1" si="137"/>
        <v>422.76825523466255</v>
      </c>
      <c r="Y421" s="49">
        <f t="shared" ca="1" si="137"/>
        <v>0</v>
      </c>
      <c r="Z421" s="49">
        <f t="shared" ca="1" si="137"/>
        <v>0</v>
      </c>
      <c r="AA421" s="49">
        <f t="shared" ca="1" si="137"/>
        <v>0</v>
      </c>
      <c r="AB421" s="49">
        <f t="shared" ca="1" si="137"/>
        <v>0</v>
      </c>
      <c r="AC421" s="49">
        <f t="shared" ca="1" si="137"/>
        <v>0</v>
      </c>
      <c r="AD421" s="49">
        <f t="shared" ca="1" si="137"/>
        <v>0</v>
      </c>
      <c r="AE421" s="49">
        <f t="shared" ca="1" si="137"/>
        <v>0</v>
      </c>
      <c r="AF421" s="49">
        <f t="shared" ca="1" si="137"/>
        <v>0</v>
      </c>
      <c r="AG421" s="49">
        <f t="shared" ca="1" si="137"/>
        <v>0</v>
      </c>
      <c r="AH421" s="49">
        <f t="shared" ca="1" si="137"/>
        <v>0</v>
      </c>
      <c r="AI421" s="49">
        <f t="shared" ca="1" si="137"/>
        <v>0</v>
      </c>
      <c r="AJ421" s="49">
        <f t="shared" ca="1" si="137"/>
        <v>0</v>
      </c>
      <c r="AK421" s="49">
        <f t="shared" ca="1" si="137"/>
        <v>0</v>
      </c>
      <c r="AL421" s="49">
        <f t="shared" ca="1" si="137"/>
        <v>0</v>
      </c>
      <c r="AM421" s="49">
        <f t="shared" ca="1" si="137"/>
        <v>0</v>
      </c>
      <c r="AN421" s="49">
        <f t="shared" ca="1" si="137"/>
        <v>0</v>
      </c>
      <c r="AO421" s="49">
        <f t="shared" ca="1" si="137"/>
        <v>0</v>
      </c>
      <c r="AP421" s="49">
        <f t="shared" ca="1" si="137"/>
        <v>0</v>
      </c>
      <c r="AQ421" s="49">
        <f t="shared" ca="1" si="137"/>
        <v>0</v>
      </c>
      <c r="AR421" s="49">
        <f t="shared" ca="1" si="137"/>
        <v>0</v>
      </c>
      <c r="AS421" s="49">
        <f t="shared" ca="1" si="137"/>
        <v>0</v>
      </c>
      <c r="AT421" s="49">
        <f t="shared" ca="1" si="137"/>
        <v>0</v>
      </c>
      <c r="AU421" s="49">
        <f t="shared" ca="1" si="137"/>
        <v>0</v>
      </c>
      <c r="AV421" s="49">
        <f t="shared" ca="1" si="137"/>
        <v>0</v>
      </c>
      <c r="AW421" s="49">
        <f t="shared" ca="1" si="137"/>
        <v>0</v>
      </c>
      <c r="AX421" s="49">
        <f t="shared" ca="1" si="137"/>
        <v>0</v>
      </c>
      <c r="AY421" s="49">
        <f t="shared" ca="1" si="137"/>
        <v>0</v>
      </c>
      <c r="AZ421" s="49">
        <f t="shared" ca="1" si="137"/>
        <v>0</v>
      </c>
      <c r="BA421" s="49">
        <f t="shared" ca="1" si="137"/>
        <v>0</v>
      </c>
      <c r="BB421" s="49">
        <f t="shared" ca="1" si="137"/>
        <v>0</v>
      </c>
      <c r="BC421" s="49">
        <f t="shared" ca="1" si="137"/>
        <v>0</v>
      </c>
      <c r="BD421" s="49">
        <f t="shared" ca="1" si="137"/>
        <v>0</v>
      </c>
      <c r="BE421" s="49">
        <f t="shared" ca="1" si="137"/>
        <v>0</v>
      </c>
      <c r="BF421" s="49">
        <f t="shared" ca="1" si="137"/>
        <v>0</v>
      </c>
      <c r="BG421" s="49">
        <f t="shared" ca="1" si="137"/>
        <v>0</v>
      </c>
      <c r="BH421" s="49">
        <f t="shared" ca="1" si="137"/>
        <v>0</v>
      </c>
      <c r="BI421" s="49">
        <f t="shared" ca="1" si="137"/>
        <v>0</v>
      </c>
      <c r="BJ421" s="49">
        <f t="shared" ca="1" si="137"/>
        <v>0</v>
      </c>
      <c r="BK421" s="49">
        <f t="shared" ca="1" si="137"/>
        <v>0</v>
      </c>
      <c r="BL421" s="49">
        <f t="shared" ca="1" si="137"/>
        <v>0</v>
      </c>
      <c r="BM421" s="49">
        <f t="shared" ca="1" si="137"/>
        <v>0</v>
      </c>
      <c r="BN421" s="49">
        <f t="shared" ca="1" si="137"/>
        <v>0</v>
      </c>
      <c r="BO421" s="49">
        <f t="shared" ca="1" si="137"/>
        <v>0</v>
      </c>
      <c r="BP421" s="49">
        <f t="shared" ca="1" si="137"/>
        <v>0</v>
      </c>
      <c r="BQ421" s="49">
        <f t="shared" ca="1" si="137"/>
        <v>0</v>
      </c>
      <c r="BR421" s="49">
        <f t="shared" ca="1" si="137"/>
        <v>0</v>
      </c>
      <c r="BS421" s="49">
        <f t="shared" ca="1" si="137"/>
        <v>0</v>
      </c>
    </row>
    <row r="422" spans="3:71" outlineLevel="1" x14ac:dyDescent="0.2">
      <c r="J422" s="26"/>
      <c r="L422" s="55"/>
      <c r="M422" s="55"/>
      <c r="N422" s="55"/>
      <c r="O422" s="55"/>
      <c r="P422" s="55"/>
      <c r="Q422" s="55"/>
      <c r="R422" s="55"/>
      <c r="S422" s="55"/>
      <c r="T422" s="55"/>
      <c r="U422" s="55"/>
      <c r="V422" s="55"/>
      <c r="W422" s="55"/>
      <c r="X422" s="55"/>
      <c r="Y422" s="55"/>
      <c r="Z422" s="55"/>
      <c r="AA422" s="55"/>
      <c r="AB422" s="55"/>
      <c r="AC422" s="55"/>
      <c r="AD422" s="55"/>
      <c r="AE422" s="55"/>
      <c r="AF422" s="55"/>
      <c r="AG422" s="55"/>
      <c r="AH422" s="55"/>
      <c r="AI422" s="55"/>
      <c r="AJ422" s="55"/>
      <c r="AK422" s="55"/>
      <c r="AL422" s="55"/>
      <c r="AM422" s="55"/>
      <c r="AN422" s="55"/>
      <c r="AO422" s="55"/>
      <c r="AP422" s="55"/>
      <c r="AQ422" s="55"/>
      <c r="AR422" s="55"/>
      <c r="AS422" s="55"/>
      <c r="AT422" s="55"/>
      <c r="AU422" s="55"/>
      <c r="AV422" s="55"/>
      <c r="AW422" s="55"/>
      <c r="AX422" s="55"/>
      <c r="AY422" s="55"/>
      <c r="AZ422" s="55"/>
      <c r="BA422" s="55"/>
      <c r="BB422" s="55"/>
      <c r="BC422" s="55"/>
      <c r="BD422" s="55"/>
      <c r="BE422" s="55"/>
      <c r="BF422" s="55"/>
      <c r="BG422" s="55"/>
      <c r="BH422" s="55"/>
      <c r="BI422" s="55"/>
      <c r="BJ422" s="55"/>
      <c r="BK422" s="55"/>
      <c r="BL422" s="55"/>
      <c r="BM422" s="55"/>
      <c r="BN422" s="55"/>
      <c r="BO422" s="55"/>
      <c r="BP422" s="55"/>
      <c r="BQ422" s="55"/>
      <c r="BR422" s="55"/>
      <c r="BS422" s="55"/>
    </row>
    <row r="423" spans="3:71" outlineLevel="1" x14ac:dyDescent="0.2">
      <c r="C423" s="11" t="s">
        <v>303</v>
      </c>
      <c r="J423" s="26"/>
      <c r="L423" s="66">
        <f t="shared" ref="L423:BS423" ca="1" si="138">(K423+L421)*CA_op_trig</f>
        <v>-926.4538793310652</v>
      </c>
      <c r="M423" s="66">
        <f t="shared" ca="1" si="138"/>
        <v>-2738.4807552906404</v>
      </c>
      <c r="N423" s="66">
        <f t="shared" ca="1" si="138"/>
        <v>-5796.2563433842261</v>
      </c>
      <c r="O423" s="66">
        <f t="shared" ca="1" si="138"/>
        <v>-8393.6325545783911</v>
      </c>
      <c r="P423" s="66">
        <f t="shared" ca="1" si="138"/>
        <v>-9519.0074654863893</v>
      </c>
      <c r="Q423" s="66">
        <f t="shared" ca="1" si="138"/>
        <v>-9443.216918506303</v>
      </c>
      <c r="R423" s="66">
        <f t="shared" ca="1" si="138"/>
        <v>-8782.959924343666</v>
      </c>
      <c r="S423" s="66">
        <f t="shared" ca="1" si="138"/>
        <v>-8480.8173283536162</v>
      </c>
      <c r="T423" s="66">
        <f t="shared" ca="1" si="138"/>
        <v>-7927.3637434994971</v>
      </c>
      <c r="U423" s="66">
        <f t="shared" ca="1" si="138"/>
        <v>-7381.9625877767176</v>
      </c>
      <c r="V423" s="66">
        <f t="shared" ca="1" si="138"/>
        <v>-6879.4891057380883</v>
      </c>
      <c r="W423" s="66">
        <f t="shared" ca="1" si="138"/>
        <v>-6415.9135465234313</v>
      </c>
      <c r="X423" s="66">
        <f t="shared" ca="1" si="138"/>
        <v>-5993.1452912887689</v>
      </c>
      <c r="Y423" s="66">
        <f t="shared" ca="1" si="138"/>
        <v>0</v>
      </c>
      <c r="Z423" s="66">
        <f t="shared" ca="1" si="138"/>
        <v>0</v>
      </c>
      <c r="AA423" s="66">
        <f t="shared" ca="1" si="138"/>
        <v>0</v>
      </c>
      <c r="AB423" s="66">
        <f t="shared" ca="1" si="138"/>
        <v>0</v>
      </c>
      <c r="AC423" s="66">
        <f t="shared" ca="1" si="138"/>
        <v>0</v>
      </c>
      <c r="AD423" s="66">
        <f t="shared" ca="1" si="138"/>
        <v>0</v>
      </c>
      <c r="AE423" s="66">
        <f t="shared" ca="1" si="138"/>
        <v>0</v>
      </c>
      <c r="AF423" s="66">
        <f t="shared" ca="1" si="138"/>
        <v>0</v>
      </c>
      <c r="AG423" s="66">
        <f t="shared" ca="1" si="138"/>
        <v>0</v>
      </c>
      <c r="AH423" s="66">
        <f t="shared" ca="1" si="138"/>
        <v>0</v>
      </c>
      <c r="AI423" s="66">
        <f t="shared" ca="1" si="138"/>
        <v>0</v>
      </c>
      <c r="AJ423" s="66">
        <f t="shared" ca="1" si="138"/>
        <v>0</v>
      </c>
      <c r="AK423" s="66">
        <f t="shared" ca="1" si="138"/>
        <v>0</v>
      </c>
      <c r="AL423" s="66">
        <f t="shared" ca="1" si="138"/>
        <v>0</v>
      </c>
      <c r="AM423" s="66">
        <f t="shared" ca="1" si="138"/>
        <v>0</v>
      </c>
      <c r="AN423" s="66">
        <f t="shared" ca="1" si="138"/>
        <v>0</v>
      </c>
      <c r="AO423" s="66">
        <f t="shared" ca="1" si="138"/>
        <v>0</v>
      </c>
      <c r="AP423" s="66">
        <f t="shared" ca="1" si="138"/>
        <v>0</v>
      </c>
      <c r="AQ423" s="66">
        <f t="shared" ca="1" si="138"/>
        <v>0</v>
      </c>
      <c r="AR423" s="66">
        <f t="shared" ca="1" si="138"/>
        <v>0</v>
      </c>
      <c r="AS423" s="66">
        <f t="shared" ca="1" si="138"/>
        <v>0</v>
      </c>
      <c r="AT423" s="66">
        <f t="shared" ca="1" si="138"/>
        <v>0</v>
      </c>
      <c r="AU423" s="66">
        <f t="shared" ca="1" si="138"/>
        <v>0</v>
      </c>
      <c r="AV423" s="66">
        <f t="shared" ca="1" si="138"/>
        <v>0</v>
      </c>
      <c r="AW423" s="66">
        <f t="shared" ca="1" si="138"/>
        <v>0</v>
      </c>
      <c r="AX423" s="66">
        <f t="shared" ca="1" si="138"/>
        <v>0</v>
      </c>
      <c r="AY423" s="66">
        <f t="shared" ca="1" si="138"/>
        <v>0</v>
      </c>
      <c r="AZ423" s="66">
        <f t="shared" ca="1" si="138"/>
        <v>0</v>
      </c>
      <c r="BA423" s="66">
        <f t="shared" ca="1" si="138"/>
        <v>0</v>
      </c>
      <c r="BB423" s="66">
        <f t="shared" ca="1" si="138"/>
        <v>0</v>
      </c>
      <c r="BC423" s="66">
        <f t="shared" ca="1" si="138"/>
        <v>0</v>
      </c>
      <c r="BD423" s="66">
        <f t="shared" ca="1" si="138"/>
        <v>0</v>
      </c>
      <c r="BE423" s="66">
        <f t="shared" ca="1" si="138"/>
        <v>0</v>
      </c>
      <c r="BF423" s="66">
        <f t="shared" ca="1" si="138"/>
        <v>0</v>
      </c>
      <c r="BG423" s="66">
        <f t="shared" ca="1" si="138"/>
        <v>0</v>
      </c>
      <c r="BH423" s="66">
        <f t="shared" ca="1" si="138"/>
        <v>0</v>
      </c>
      <c r="BI423" s="66">
        <f t="shared" ca="1" si="138"/>
        <v>0</v>
      </c>
      <c r="BJ423" s="66">
        <f t="shared" ca="1" si="138"/>
        <v>0</v>
      </c>
      <c r="BK423" s="66">
        <f t="shared" ca="1" si="138"/>
        <v>0</v>
      </c>
      <c r="BL423" s="66">
        <f t="shared" ca="1" si="138"/>
        <v>0</v>
      </c>
      <c r="BM423" s="66">
        <f t="shared" ca="1" si="138"/>
        <v>0</v>
      </c>
      <c r="BN423" s="66">
        <f t="shared" ca="1" si="138"/>
        <v>0</v>
      </c>
      <c r="BO423" s="66">
        <f t="shared" ca="1" si="138"/>
        <v>0</v>
      </c>
      <c r="BP423" s="66">
        <f t="shared" ca="1" si="138"/>
        <v>0</v>
      </c>
      <c r="BQ423" s="66">
        <f t="shared" ca="1" si="138"/>
        <v>0</v>
      </c>
      <c r="BR423" s="66">
        <f t="shared" ca="1" si="138"/>
        <v>0</v>
      </c>
      <c r="BS423" s="66">
        <f t="shared" ca="1" si="138"/>
        <v>0</v>
      </c>
    </row>
    <row r="424" spans="3:71" outlineLevel="1" x14ac:dyDescent="0.2">
      <c r="J424" s="26"/>
      <c r="L424" s="55"/>
      <c r="M424" s="55"/>
      <c r="N424" s="55"/>
      <c r="O424" s="55"/>
      <c r="P424" s="55"/>
      <c r="Q424" s="55"/>
      <c r="R424" s="55"/>
      <c r="S424" s="55"/>
      <c r="T424" s="55"/>
      <c r="U424" s="55"/>
      <c r="V424" s="55"/>
      <c r="W424" s="55"/>
      <c r="X424" s="55"/>
      <c r="Y424" s="55"/>
      <c r="Z424" s="55"/>
      <c r="AA424" s="55"/>
      <c r="AB424" s="55"/>
      <c r="AC424" s="55"/>
      <c r="AD424" s="55"/>
      <c r="AE424" s="55"/>
      <c r="AF424" s="55"/>
      <c r="AG424" s="55"/>
      <c r="AH424" s="55"/>
      <c r="AI424" s="55"/>
      <c r="AJ424" s="55"/>
      <c r="AK424" s="55"/>
      <c r="AL424" s="55"/>
      <c r="AM424" s="55"/>
      <c r="AN424" s="55"/>
      <c r="AO424" s="55"/>
      <c r="AP424" s="55"/>
      <c r="AQ424" s="55"/>
      <c r="AR424" s="55"/>
      <c r="AS424" s="55"/>
      <c r="AT424" s="55"/>
      <c r="AU424" s="55"/>
      <c r="AV424" s="55"/>
      <c r="AW424" s="55"/>
      <c r="AX424" s="55"/>
      <c r="AY424" s="55"/>
      <c r="AZ424" s="55"/>
      <c r="BA424" s="55"/>
      <c r="BB424" s="55"/>
      <c r="BC424" s="55"/>
      <c r="BD424" s="55"/>
      <c r="BE424" s="55"/>
      <c r="BF424" s="55"/>
      <c r="BG424" s="55"/>
      <c r="BH424" s="55"/>
      <c r="BI424" s="55"/>
      <c r="BJ424" s="55"/>
      <c r="BK424" s="55"/>
      <c r="BL424" s="55"/>
      <c r="BM424" s="55"/>
      <c r="BN424" s="55"/>
      <c r="BO424" s="55"/>
      <c r="BP424" s="55"/>
      <c r="BQ424" s="55"/>
      <c r="BR424" s="55"/>
      <c r="BS424" s="55"/>
    </row>
    <row r="425" spans="3:71" outlineLevel="1" x14ac:dyDescent="0.2">
      <c r="C425" s="11" t="s">
        <v>284</v>
      </c>
      <c r="G425" s="60"/>
      <c r="H425" s="7" t="s">
        <v>559</v>
      </c>
      <c r="I425" s="63">
        <f ca="1">SUMPRODUCT(OA_IOC_ATCF_HM1994,CA_disc_factor_fc)</f>
        <v>-5974.1303336223446</v>
      </c>
      <c r="J425" s="26" t="s">
        <v>148</v>
      </c>
      <c r="L425" s="55"/>
      <c r="M425" s="55"/>
      <c r="N425" s="55"/>
      <c r="O425" s="55"/>
      <c r="P425" s="55"/>
      <c r="Q425" s="55"/>
      <c r="R425" s="55"/>
      <c r="S425" s="55"/>
      <c r="T425" s="55"/>
      <c r="U425" s="55"/>
      <c r="V425" s="55"/>
      <c r="W425" s="55"/>
      <c r="X425" s="55"/>
      <c r="Y425" s="55"/>
      <c r="Z425" s="55"/>
      <c r="AA425" s="55"/>
      <c r="AB425" s="55"/>
      <c r="AC425" s="55"/>
      <c r="AD425" s="55"/>
      <c r="AE425" s="55"/>
      <c r="AF425" s="55"/>
      <c r="AG425" s="55"/>
      <c r="AH425" s="55"/>
      <c r="AI425" s="55"/>
      <c r="AJ425" s="55"/>
      <c r="AK425" s="55"/>
      <c r="AL425" s="55"/>
      <c r="AM425" s="55"/>
      <c r="AN425" s="55"/>
      <c r="AO425" s="55"/>
      <c r="AP425" s="55"/>
      <c r="AQ425" s="55"/>
      <c r="AR425" s="55"/>
      <c r="AS425" s="55"/>
      <c r="AT425" s="55"/>
      <c r="AU425" s="55"/>
      <c r="AV425" s="55"/>
      <c r="AW425" s="55"/>
      <c r="AX425" s="55"/>
      <c r="AY425" s="55"/>
      <c r="AZ425" s="55"/>
      <c r="BA425" s="55"/>
      <c r="BB425" s="55"/>
      <c r="BC425" s="55"/>
      <c r="BD425" s="55"/>
      <c r="BE425" s="55"/>
      <c r="BF425" s="55"/>
      <c r="BG425" s="55"/>
      <c r="BH425" s="55"/>
      <c r="BI425" s="55"/>
      <c r="BJ425" s="55"/>
      <c r="BK425" s="55"/>
      <c r="BL425" s="55"/>
      <c r="BM425" s="55"/>
      <c r="BN425" s="55"/>
      <c r="BO425" s="55"/>
      <c r="BP425" s="55"/>
      <c r="BQ425" s="55"/>
      <c r="BR425" s="55"/>
      <c r="BS425" s="55"/>
    </row>
    <row r="426" spans="3:71" outlineLevel="1" x14ac:dyDescent="0.2">
      <c r="C426" s="11" t="s">
        <v>285</v>
      </c>
      <c r="I426" s="63">
        <f ca="1">SUMPRODUCT(OA_IOC_ATCF_HM1994,CA_disc_factor_pf)</f>
        <v>0</v>
      </c>
      <c r="J426" s="26" t="s">
        <v>148</v>
      </c>
      <c r="L426" s="55"/>
      <c r="M426" s="55"/>
      <c r="N426" s="55"/>
      <c r="O426" s="55"/>
      <c r="P426" s="55"/>
      <c r="Q426" s="55"/>
      <c r="R426" s="55"/>
      <c r="S426" s="55"/>
      <c r="T426" s="55"/>
      <c r="U426" s="55"/>
      <c r="V426" s="55"/>
      <c r="W426" s="55"/>
      <c r="X426" s="55"/>
      <c r="Y426" s="55"/>
      <c r="Z426" s="55"/>
      <c r="AA426" s="55"/>
      <c r="AB426" s="55"/>
      <c r="AC426" s="55"/>
      <c r="AD426" s="55"/>
      <c r="AE426" s="55"/>
      <c r="AF426" s="55"/>
      <c r="AG426" s="55"/>
      <c r="AH426" s="55"/>
      <c r="AI426" s="55"/>
      <c r="AJ426" s="55"/>
      <c r="AK426" s="55"/>
      <c r="AL426" s="55"/>
      <c r="AM426" s="55"/>
      <c r="AN426" s="55"/>
      <c r="AO426" s="55"/>
      <c r="AP426" s="55"/>
      <c r="AQ426" s="55"/>
      <c r="AR426" s="55"/>
      <c r="AS426" s="55"/>
      <c r="AT426" s="55"/>
      <c r="AU426" s="55"/>
      <c r="AV426" s="55"/>
      <c r="AW426" s="55"/>
      <c r="AX426" s="55"/>
      <c r="AY426" s="55"/>
      <c r="AZ426" s="55"/>
      <c r="BA426" s="55"/>
      <c r="BB426" s="55"/>
      <c r="BC426" s="55"/>
      <c r="BD426" s="55"/>
      <c r="BE426" s="55"/>
      <c r="BF426" s="55"/>
      <c r="BG426" s="55"/>
      <c r="BH426" s="55"/>
      <c r="BI426" s="55"/>
      <c r="BJ426" s="55"/>
      <c r="BK426" s="55"/>
      <c r="BL426" s="55"/>
      <c r="BM426" s="55"/>
      <c r="BN426" s="55"/>
      <c r="BO426" s="55"/>
      <c r="BP426" s="55"/>
      <c r="BQ426" s="55"/>
      <c r="BR426" s="55"/>
      <c r="BS426" s="55"/>
    </row>
    <row r="427" spans="3:71" outlineLevel="1" x14ac:dyDescent="0.2">
      <c r="I427" s="61"/>
      <c r="J427" s="26"/>
      <c r="L427" s="55"/>
      <c r="M427" s="55"/>
      <c r="N427" s="55"/>
      <c r="O427" s="55"/>
      <c r="P427" s="55"/>
      <c r="Q427" s="55"/>
      <c r="R427" s="55"/>
      <c r="S427" s="55"/>
      <c r="T427" s="55"/>
      <c r="U427" s="55"/>
      <c r="V427" s="55"/>
      <c r="W427" s="55"/>
      <c r="X427" s="55"/>
      <c r="Y427" s="55"/>
      <c r="Z427" s="55"/>
      <c r="AA427" s="55"/>
      <c r="AB427" s="55"/>
      <c r="AC427" s="55"/>
      <c r="AD427" s="55"/>
      <c r="AE427" s="55"/>
      <c r="AF427" s="55"/>
      <c r="AG427" s="55"/>
      <c r="AH427" s="55"/>
      <c r="AI427" s="55"/>
      <c r="AJ427" s="55"/>
      <c r="AK427" s="55"/>
      <c r="AL427" s="55"/>
      <c r="AM427" s="55"/>
      <c r="AN427" s="55"/>
      <c r="AO427" s="55"/>
      <c r="AP427" s="55"/>
      <c r="AQ427" s="55"/>
      <c r="AR427" s="55"/>
      <c r="AS427" s="55"/>
      <c r="AT427" s="55"/>
      <c r="AU427" s="55"/>
      <c r="AV427" s="55"/>
      <c r="AW427" s="55"/>
      <c r="AX427" s="55"/>
      <c r="AY427" s="55"/>
      <c r="AZ427" s="55"/>
      <c r="BA427" s="55"/>
      <c r="BB427" s="55"/>
      <c r="BC427" s="55"/>
      <c r="BD427" s="55"/>
      <c r="BE427" s="55"/>
      <c r="BF427" s="55"/>
      <c r="BG427" s="55"/>
      <c r="BH427" s="55"/>
      <c r="BI427" s="55"/>
      <c r="BJ427" s="55"/>
      <c r="BK427" s="55"/>
      <c r="BL427" s="55"/>
      <c r="BM427" s="55"/>
      <c r="BN427" s="55"/>
      <c r="BO427" s="55"/>
      <c r="BP427" s="55"/>
      <c r="BQ427" s="55"/>
      <c r="BR427" s="55"/>
      <c r="BS427" s="55"/>
    </row>
    <row r="428" spans="3:71" outlineLevel="1" x14ac:dyDescent="0.2">
      <c r="C428" s="11" t="s">
        <v>286</v>
      </c>
      <c r="H428" s="7" t="s">
        <v>560</v>
      </c>
      <c r="I428" s="62">
        <f ca="1">IFERROR(IRR(INDEX(OA_IOC_ATCF_HM1994,1,MAX(1,$G$351-L4+1)):INDEX(OA_IOC_ATCF_HM1994,1,last_model_year)),"na")</f>
        <v>-0.13453350459017743</v>
      </c>
      <c r="J428" s="26" t="s">
        <v>90</v>
      </c>
      <c r="L428" s="55"/>
      <c r="M428" s="55"/>
      <c r="N428" s="55"/>
      <c r="O428" s="55"/>
      <c r="P428" s="55"/>
      <c r="Q428" s="55"/>
      <c r="R428" s="55"/>
      <c r="S428" s="55"/>
      <c r="T428" s="55"/>
      <c r="U428" s="55"/>
      <c r="V428" s="55"/>
      <c r="W428" s="55"/>
      <c r="X428" s="55"/>
      <c r="Y428" s="55"/>
      <c r="Z428" s="55"/>
      <c r="AA428" s="55"/>
      <c r="AB428" s="55"/>
      <c r="AC428" s="55"/>
      <c r="AD428" s="55"/>
      <c r="AE428" s="55"/>
      <c r="AF428" s="55"/>
      <c r="AG428" s="55"/>
      <c r="AH428" s="55"/>
      <c r="AI428" s="55"/>
      <c r="AJ428" s="55"/>
      <c r="AK428" s="55"/>
      <c r="AL428" s="55"/>
      <c r="AM428" s="55"/>
      <c r="AN428" s="55"/>
      <c r="AO428" s="55"/>
      <c r="AP428" s="55"/>
      <c r="AQ428" s="55"/>
      <c r="AR428" s="55"/>
      <c r="AS428" s="55"/>
      <c r="AT428" s="55"/>
      <c r="AU428" s="55"/>
      <c r="AV428" s="55"/>
      <c r="AW428" s="55"/>
      <c r="AX428" s="55"/>
      <c r="AY428" s="55"/>
      <c r="AZ428" s="55"/>
      <c r="BA428" s="55"/>
      <c r="BB428" s="55"/>
      <c r="BC428" s="55"/>
      <c r="BD428" s="55"/>
      <c r="BE428" s="55"/>
      <c r="BF428" s="55"/>
      <c r="BG428" s="55"/>
      <c r="BH428" s="55"/>
      <c r="BI428" s="55"/>
      <c r="BJ428" s="55"/>
      <c r="BK428" s="55"/>
      <c r="BL428" s="55"/>
      <c r="BM428" s="55"/>
      <c r="BN428" s="55"/>
      <c r="BO428" s="55"/>
      <c r="BP428" s="55"/>
      <c r="BQ428" s="55"/>
      <c r="BR428" s="55"/>
      <c r="BS428" s="55"/>
    </row>
    <row r="429" spans="3:71" outlineLevel="1" x14ac:dyDescent="0.2">
      <c r="C429" s="11" t="s">
        <v>287</v>
      </c>
      <c r="I429" s="62" t="str">
        <f ca="1">IFERROR(IRR(INDEX(OA_IOC_ATCF_HM1994,1,MAX(1,$G$352-L4+1)):INDEX(OA_IOC_ATCF_HM1994,1,last_model_year)),"na")</f>
        <v>na</v>
      </c>
      <c r="J429" s="26" t="s">
        <v>90</v>
      </c>
      <c r="L429" s="55"/>
      <c r="M429" s="55"/>
      <c r="N429" s="55"/>
      <c r="O429" s="55"/>
      <c r="P429" s="55"/>
      <c r="Q429" s="55"/>
      <c r="R429" s="55"/>
      <c r="S429" s="55"/>
      <c r="T429" s="55"/>
      <c r="U429" s="55"/>
      <c r="V429" s="55"/>
      <c r="W429" s="55"/>
      <c r="X429" s="55"/>
      <c r="Y429" s="55"/>
      <c r="Z429" s="55"/>
      <c r="AA429" s="55"/>
      <c r="AB429" s="55"/>
      <c r="AC429" s="55"/>
      <c r="AD429" s="55"/>
      <c r="AE429" s="55"/>
      <c r="AF429" s="55"/>
      <c r="AG429" s="55"/>
      <c r="AH429" s="55"/>
      <c r="AI429" s="55"/>
      <c r="AJ429" s="55"/>
      <c r="AK429" s="55"/>
      <c r="AL429" s="55"/>
      <c r="AM429" s="55"/>
      <c r="AN429" s="55"/>
      <c r="AO429" s="55"/>
      <c r="AP429" s="55"/>
      <c r="AQ429" s="55"/>
      <c r="AR429" s="55"/>
      <c r="AS429" s="55"/>
      <c r="AT429" s="55"/>
      <c r="AU429" s="55"/>
      <c r="AV429" s="55"/>
      <c r="AW429" s="55"/>
      <c r="AX429" s="55"/>
      <c r="AY429" s="55"/>
      <c r="AZ429" s="55"/>
      <c r="BA429" s="55"/>
      <c r="BB429" s="55"/>
      <c r="BC429" s="55"/>
      <c r="BD429" s="55"/>
      <c r="BE429" s="55"/>
      <c r="BF429" s="55"/>
      <c r="BG429" s="55"/>
      <c r="BH429" s="55"/>
      <c r="BI429" s="55"/>
      <c r="BJ429" s="55"/>
      <c r="BK429" s="55"/>
      <c r="BL429" s="55"/>
      <c r="BM429" s="55"/>
      <c r="BN429" s="55"/>
      <c r="BO429" s="55"/>
      <c r="BP429" s="55"/>
      <c r="BQ429" s="55"/>
      <c r="BR429" s="55"/>
      <c r="BS429" s="55"/>
    </row>
    <row r="430" spans="3:71" outlineLevel="1" x14ac:dyDescent="0.2">
      <c r="J430" s="26"/>
      <c r="L430" s="55"/>
      <c r="M430" s="55"/>
      <c r="N430" s="55"/>
      <c r="O430" s="55"/>
      <c r="P430" s="55"/>
      <c r="Q430" s="55"/>
      <c r="R430" s="55"/>
      <c r="S430" s="55"/>
      <c r="T430" s="55"/>
      <c r="U430" s="55"/>
      <c r="V430" s="55"/>
      <c r="W430" s="55"/>
      <c r="X430" s="55"/>
      <c r="Y430" s="55"/>
      <c r="Z430" s="55"/>
      <c r="AA430" s="55"/>
      <c r="AB430" s="55"/>
      <c r="AC430" s="55"/>
      <c r="AD430" s="55"/>
      <c r="AE430" s="55"/>
      <c r="AF430" s="55"/>
      <c r="AG430" s="55"/>
      <c r="AH430" s="55"/>
      <c r="AI430" s="55"/>
      <c r="AJ430" s="55"/>
      <c r="AK430" s="55"/>
      <c r="AL430" s="55"/>
      <c r="AM430" s="55"/>
      <c r="AN430" s="55"/>
      <c r="AO430" s="55"/>
      <c r="AP430" s="55"/>
      <c r="AQ430" s="55"/>
      <c r="AR430" s="55"/>
      <c r="AS430" s="55"/>
      <c r="AT430" s="55"/>
      <c r="AU430" s="55"/>
      <c r="AV430" s="55"/>
      <c r="AW430" s="55"/>
      <c r="AX430" s="55"/>
      <c r="AY430" s="55"/>
      <c r="AZ430" s="55"/>
      <c r="BA430" s="55"/>
      <c r="BB430" s="55"/>
      <c r="BC430" s="55"/>
      <c r="BD430" s="55"/>
      <c r="BE430" s="55"/>
      <c r="BF430" s="55"/>
      <c r="BG430" s="55"/>
      <c r="BH430" s="55"/>
      <c r="BI430" s="55"/>
      <c r="BJ430" s="55"/>
      <c r="BK430" s="55"/>
      <c r="BL430" s="55"/>
      <c r="BM430" s="55"/>
      <c r="BN430" s="55"/>
      <c r="BO430" s="55"/>
      <c r="BP430" s="55"/>
      <c r="BQ430" s="55"/>
      <c r="BR430" s="55"/>
      <c r="BS430" s="55"/>
    </row>
    <row r="431" spans="3:71" outlineLevel="1" x14ac:dyDescent="0.2">
      <c r="C431" s="11" t="s">
        <v>304</v>
      </c>
      <c r="H431" s="7" t="s">
        <v>561</v>
      </c>
      <c r="I431" s="67">
        <f ca="1">COUNTIF(L423:BS423,"&lt;0")+1</f>
        <v>14</v>
      </c>
      <c r="J431" s="26"/>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H431" s="7"/>
      <c r="BI431" s="7"/>
      <c r="BJ431" s="7"/>
      <c r="BK431" s="7"/>
      <c r="BL431" s="7"/>
      <c r="BM431" s="7"/>
      <c r="BN431" s="7"/>
      <c r="BO431" s="7"/>
      <c r="BP431" s="7"/>
      <c r="BQ431" s="7"/>
      <c r="BR431" s="7"/>
      <c r="BS431" s="7"/>
    </row>
    <row r="432" spans="3:71" outlineLevel="1" x14ac:dyDescent="0.2">
      <c r="J432" s="26"/>
      <c r="L432" s="55"/>
      <c r="M432" s="55"/>
      <c r="N432" s="55"/>
      <c r="O432" s="55"/>
      <c r="P432" s="55"/>
      <c r="Q432" s="55"/>
      <c r="R432" s="55"/>
      <c r="S432" s="55"/>
      <c r="T432" s="55"/>
      <c r="U432" s="55"/>
      <c r="V432" s="55"/>
      <c r="W432" s="55"/>
      <c r="X432" s="55"/>
      <c r="Y432" s="55"/>
      <c r="Z432" s="55"/>
      <c r="AA432" s="55"/>
      <c r="AB432" s="55"/>
      <c r="AC432" s="55"/>
      <c r="AD432" s="55"/>
      <c r="AE432" s="55"/>
      <c r="AF432" s="55"/>
      <c r="AG432" s="55"/>
      <c r="AH432" s="55"/>
      <c r="AI432" s="55"/>
      <c r="AJ432" s="55"/>
      <c r="AK432" s="55"/>
      <c r="AL432" s="55"/>
      <c r="AM432" s="55"/>
      <c r="AN432" s="55"/>
      <c r="AO432" s="55"/>
      <c r="AP432" s="55"/>
      <c r="AQ432" s="55"/>
      <c r="AR432" s="55"/>
      <c r="AS432" s="55"/>
      <c r="AT432" s="55"/>
      <c r="AU432" s="55"/>
      <c r="AV432" s="55"/>
      <c r="AW432" s="55"/>
      <c r="AX432" s="55"/>
      <c r="AY432" s="55"/>
      <c r="AZ432" s="55"/>
      <c r="BA432" s="55"/>
      <c r="BB432" s="55"/>
      <c r="BC432" s="55"/>
      <c r="BD432" s="55"/>
      <c r="BE432" s="55"/>
      <c r="BF432" s="55"/>
      <c r="BG432" s="55"/>
      <c r="BH432" s="55"/>
      <c r="BI432" s="55"/>
      <c r="BJ432" s="55"/>
      <c r="BK432" s="55"/>
      <c r="BL432" s="55"/>
      <c r="BM432" s="55"/>
      <c r="BN432" s="55"/>
      <c r="BO432" s="55"/>
      <c r="BP432" s="55"/>
      <c r="BQ432" s="55"/>
      <c r="BR432" s="55"/>
      <c r="BS432" s="55"/>
    </row>
    <row r="433" spans="1:71" outlineLevel="1" x14ac:dyDescent="0.2">
      <c r="J433" s="26"/>
      <c r="L433" s="55"/>
      <c r="M433" s="55"/>
      <c r="N433" s="55"/>
      <c r="O433" s="55"/>
      <c r="P433" s="55"/>
      <c r="Q433" s="55"/>
      <c r="R433" s="55"/>
      <c r="S433" s="55"/>
      <c r="T433" s="55"/>
      <c r="U433" s="55"/>
      <c r="V433" s="55"/>
      <c r="W433" s="55"/>
      <c r="X433" s="55"/>
      <c r="Y433" s="55"/>
      <c r="Z433" s="55"/>
      <c r="AA433" s="55"/>
      <c r="AB433" s="55"/>
      <c r="AC433" s="55"/>
      <c r="AD433" s="55"/>
      <c r="AE433" s="55"/>
      <c r="AF433" s="55"/>
      <c r="AG433" s="55"/>
      <c r="AH433" s="55"/>
      <c r="AI433" s="55"/>
      <c r="AJ433" s="55"/>
      <c r="AK433" s="55"/>
      <c r="AL433" s="55"/>
      <c r="AM433" s="55"/>
      <c r="AN433" s="55"/>
      <c r="AO433" s="55"/>
      <c r="AP433" s="55"/>
      <c r="AQ433" s="55"/>
      <c r="AR433" s="55"/>
      <c r="AS433" s="55"/>
      <c r="AT433" s="55"/>
      <c r="AU433" s="55"/>
      <c r="AV433" s="55"/>
      <c r="AW433" s="55"/>
      <c r="AX433" s="55"/>
      <c r="AY433" s="55"/>
      <c r="AZ433" s="55"/>
      <c r="BA433" s="55"/>
      <c r="BB433" s="55"/>
      <c r="BC433" s="55"/>
      <c r="BD433" s="55"/>
      <c r="BE433" s="55"/>
      <c r="BF433" s="55"/>
      <c r="BG433" s="55"/>
      <c r="BH433" s="55"/>
      <c r="BI433" s="55"/>
      <c r="BJ433" s="55"/>
      <c r="BK433" s="55"/>
      <c r="BL433" s="55"/>
      <c r="BM433" s="55"/>
      <c r="BN433" s="55"/>
      <c r="BO433" s="55"/>
      <c r="BP433" s="55"/>
      <c r="BQ433" s="55"/>
      <c r="BR433" s="55"/>
      <c r="BS433" s="55"/>
    </row>
    <row r="434" spans="1:71" outlineLevel="1" x14ac:dyDescent="0.2">
      <c r="A434" s="45"/>
      <c r="B434" s="38" t="s">
        <v>290</v>
      </c>
      <c r="C434" s="45"/>
      <c r="D434" s="45"/>
      <c r="E434" s="45"/>
      <c r="J434" s="26"/>
      <c r="L434" s="55"/>
      <c r="M434" s="55"/>
      <c r="N434" s="55"/>
      <c r="O434" s="55"/>
      <c r="P434" s="55"/>
      <c r="Q434" s="55"/>
      <c r="R434" s="55"/>
      <c r="S434" s="55"/>
      <c r="T434" s="55"/>
      <c r="U434" s="55"/>
      <c r="V434" s="55"/>
      <c r="W434" s="55"/>
      <c r="X434" s="55"/>
      <c r="Y434" s="55"/>
      <c r="Z434" s="55"/>
      <c r="AA434" s="55"/>
      <c r="AB434" s="55"/>
      <c r="AC434" s="55"/>
      <c r="AD434" s="55"/>
      <c r="AE434" s="55"/>
      <c r="AF434" s="55"/>
      <c r="AG434" s="55"/>
      <c r="AH434" s="55"/>
      <c r="AI434" s="55"/>
      <c r="AJ434" s="55"/>
      <c r="AK434" s="55"/>
      <c r="AL434" s="55"/>
      <c r="AM434" s="55"/>
      <c r="AN434" s="55"/>
      <c r="AO434" s="55"/>
      <c r="AP434" s="55"/>
      <c r="AQ434" s="55"/>
      <c r="AR434" s="55"/>
      <c r="AS434" s="55"/>
      <c r="AT434" s="55"/>
      <c r="AU434" s="55"/>
      <c r="AV434" s="55"/>
      <c r="AW434" s="55"/>
      <c r="AX434" s="55"/>
      <c r="AY434" s="55"/>
      <c r="AZ434" s="55"/>
      <c r="BA434" s="55"/>
      <c r="BB434" s="55"/>
      <c r="BC434" s="55"/>
      <c r="BD434" s="55"/>
      <c r="BE434" s="55"/>
      <c r="BF434" s="55"/>
      <c r="BG434" s="55"/>
      <c r="BH434" s="55"/>
      <c r="BI434" s="55"/>
      <c r="BJ434" s="55"/>
      <c r="BK434" s="55"/>
      <c r="BL434" s="55"/>
      <c r="BM434" s="55"/>
      <c r="BN434" s="55"/>
      <c r="BO434" s="55"/>
      <c r="BP434" s="55"/>
      <c r="BQ434" s="55"/>
      <c r="BR434" s="55"/>
      <c r="BS434" s="55"/>
    </row>
    <row r="435" spans="1:71" outlineLevel="1" x14ac:dyDescent="0.2">
      <c r="J435" s="26"/>
      <c r="L435" s="55"/>
      <c r="M435" s="55"/>
      <c r="N435" s="55"/>
      <c r="O435" s="55"/>
      <c r="P435" s="55"/>
      <c r="Q435" s="55"/>
      <c r="R435" s="55"/>
      <c r="S435" s="55"/>
      <c r="T435" s="55"/>
      <c r="U435" s="55"/>
      <c r="V435" s="55"/>
      <c r="W435" s="55"/>
      <c r="X435" s="55"/>
      <c r="Y435" s="55"/>
      <c r="Z435" s="55"/>
      <c r="AA435" s="55"/>
      <c r="AB435" s="55"/>
      <c r="AC435" s="55"/>
      <c r="AD435" s="55"/>
      <c r="AE435" s="55"/>
      <c r="AF435" s="55"/>
      <c r="AG435" s="55"/>
      <c r="AH435" s="55"/>
      <c r="AI435" s="55"/>
      <c r="AJ435" s="55"/>
      <c r="AK435" s="55"/>
      <c r="AL435" s="55"/>
      <c r="AM435" s="55"/>
      <c r="AN435" s="55"/>
      <c r="AO435" s="55"/>
      <c r="AP435" s="55"/>
      <c r="AQ435" s="55"/>
      <c r="AR435" s="55"/>
      <c r="AS435" s="55"/>
      <c r="AT435" s="55"/>
      <c r="AU435" s="55"/>
      <c r="AV435" s="55"/>
      <c r="AW435" s="55"/>
      <c r="AX435" s="55"/>
      <c r="AY435" s="55"/>
      <c r="AZ435" s="55"/>
      <c r="BA435" s="55"/>
      <c r="BB435" s="55"/>
      <c r="BC435" s="55"/>
      <c r="BD435" s="55"/>
      <c r="BE435" s="55"/>
      <c r="BF435" s="55"/>
      <c r="BG435" s="55"/>
      <c r="BH435" s="55"/>
      <c r="BI435" s="55"/>
      <c r="BJ435" s="55"/>
      <c r="BK435" s="55"/>
      <c r="BL435" s="55"/>
      <c r="BM435" s="55"/>
      <c r="BN435" s="55"/>
      <c r="BO435" s="55"/>
      <c r="BP435" s="55"/>
      <c r="BQ435" s="55"/>
      <c r="BR435" s="55"/>
      <c r="BS435" s="55"/>
    </row>
    <row r="436" spans="1:71" outlineLevel="1" x14ac:dyDescent="0.2">
      <c r="C436" s="11" t="s">
        <v>267</v>
      </c>
      <c r="J436" s="26"/>
      <c r="L436" s="55"/>
      <c r="M436" s="55"/>
      <c r="N436" s="55"/>
      <c r="O436" s="55"/>
      <c r="P436" s="55"/>
      <c r="Q436" s="55"/>
      <c r="R436" s="55"/>
      <c r="S436" s="55"/>
      <c r="T436" s="55"/>
      <c r="U436" s="55"/>
      <c r="V436" s="55"/>
      <c r="W436" s="55"/>
      <c r="X436" s="55"/>
      <c r="Y436" s="55"/>
      <c r="Z436" s="55"/>
      <c r="AA436" s="55"/>
      <c r="AB436" s="55"/>
      <c r="AC436" s="55"/>
      <c r="AD436" s="55"/>
      <c r="AE436" s="55"/>
      <c r="AF436" s="55"/>
      <c r="AG436" s="55"/>
      <c r="AH436" s="55"/>
      <c r="AI436" s="55"/>
      <c r="AJ436" s="55"/>
      <c r="AK436" s="55"/>
      <c r="AL436" s="55"/>
      <c r="AM436" s="55"/>
      <c r="AN436" s="55"/>
      <c r="AO436" s="55"/>
      <c r="AP436" s="55"/>
      <c r="AQ436" s="55"/>
      <c r="AR436" s="55"/>
      <c r="AS436" s="55"/>
      <c r="AT436" s="55"/>
      <c r="AU436" s="55"/>
      <c r="AV436" s="55"/>
      <c r="AW436" s="55"/>
      <c r="AX436" s="55"/>
      <c r="AY436" s="55"/>
      <c r="AZ436" s="55"/>
      <c r="BA436" s="55"/>
      <c r="BB436" s="55"/>
      <c r="BC436" s="55"/>
      <c r="BD436" s="55"/>
      <c r="BE436" s="55"/>
      <c r="BF436" s="55"/>
      <c r="BG436" s="55"/>
      <c r="BH436" s="55"/>
      <c r="BI436" s="55"/>
      <c r="BJ436" s="55"/>
      <c r="BK436" s="55"/>
      <c r="BL436" s="55"/>
      <c r="BM436" s="55"/>
      <c r="BN436" s="55"/>
      <c r="BO436" s="55"/>
      <c r="BP436" s="55"/>
      <c r="BQ436" s="55"/>
      <c r="BR436" s="55"/>
      <c r="BS436" s="55"/>
    </row>
    <row r="437" spans="1:71" outlineLevel="1" x14ac:dyDescent="0.2">
      <c r="D437" t="s">
        <v>267</v>
      </c>
      <c r="I437" s="30">
        <f t="shared" ref="I437:I443" ca="1" si="139">SUM($L437:$BS437)</f>
        <v>1246.2432401432213</v>
      </c>
      <c r="J437" s="26" t="s">
        <v>148</v>
      </c>
      <c r="L437" s="49" cm="1">
        <f t="array" aca="1" ref="L437:BS437" ca="1">(Haute_Mer_1994!CA_ent_rev_gas+Haute_Mer_1994!CA_ent_rev_oil)*Haute_Mer_1994!CA_NOC_WI</f>
        <v>76.761995730164202</v>
      </c>
      <c r="M437" s="49">
        <f ca="1"/>
        <v>73.013620493131143</v>
      </c>
      <c r="N437" s="49">
        <f ca="1"/>
        <v>29.675352006689376</v>
      </c>
      <c r="O437" s="49">
        <f ca="1"/>
        <v>28.164115761476538</v>
      </c>
      <c r="P437" s="49">
        <f ca="1"/>
        <v>76.374878977072711</v>
      </c>
      <c r="Q437" s="49">
        <f ca="1"/>
        <v>147.80384046926022</v>
      </c>
      <c r="R437" s="49">
        <f ca="1"/>
        <v>141.98403218225522</v>
      </c>
      <c r="S437" s="49">
        <f ca="1"/>
        <v>86.032846821294015</v>
      </c>
      <c r="T437" s="49">
        <f ca="1"/>
        <v>125.35060523754362</v>
      </c>
      <c r="U437" s="49">
        <f ca="1"/>
        <v>124.46545568722306</v>
      </c>
      <c r="V437" s="49">
        <f ca="1"/>
        <v>118.06793126489977</v>
      </c>
      <c r="W437" s="49">
        <f ca="1"/>
        <v>112.30608682965895</v>
      </c>
      <c r="X437" s="49">
        <f ca="1"/>
        <v>106.24247868255269</v>
      </c>
      <c r="Y437" s="49">
        <f ca="1"/>
        <v>0</v>
      </c>
      <c r="Z437" s="49">
        <f ca="1"/>
        <v>0</v>
      </c>
      <c r="AA437" s="49">
        <f ca="1"/>
        <v>0</v>
      </c>
      <c r="AB437" s="49">
        <f ca="1"/>
        <v>0</v>
      </c>
      <c r="AC437" s="49">
        <f ca="1"/>
        <v>0</v>
      </c>
      <c r="AD437" s="49">
        <f ca="1"/>
        <v>0</v>
      </c>
      <c r="AE437" s="49">
        <f ca="1"/>
        <v>0</v>
      </c>
      <c r="AF437" s="49">
        <f ca="1"/>
        <v>0</v>
      </c>
      <c r="AG437" s="49">
        <f ca="1"/>
        <v>0</v>
      </c>
      <c r="AH437" s="49">
        <f ca="1"/>
        <v>0</v>
      </c>
      <c r="AI437" s="49">
        <f ca="1"/>
        <v>0</v>
      </c>
      <c r="AJ437" s="49">
        <f ca="1"/>
        <v>0</v>
      </c>
      <c r="AK437" s="49">
        <f ca="1"/>
        <v>0</v>
      </c>
      <c r="AL437" s="49">
        <f ca="1"/>
        <v>0</v>
      </c>
      <c r="AM437" s="49">
        <f ca="1"/>
        <v>0</v>
      </c>
      <c r="AN437" s="49">
        <f ca="1"/>
        <v>0</v>
      </c>
      <c r="AO437" s="49">
        <f ca="1"/>
        <v>0</v>
      </c>
      <c r="AP437" s="49">
        <f ca="1"/>
        <v>0</v>
      </c>
      <c r="AQ437" s="49">
        <f ca="1"/>
        <v>0</v>
      </c>
      <c r="AR437" s="49">
        <f ca="1"/>
        <v>0</v>
      </c>
      <c r="AS437" s="49">
        <f ca="1"/>
        <v>0</v>
      </c>
      <c r="AT437" s="49">
        <f ca="1"/>
        <v>0</v>
      </c>
      <c r="AU437" s="49">
        <f ca="1"/>
        <v>0</v>
      </c>
      <c r="AV437" s="49">
        <f ca="1"/>
        <v>0</v>
      </c>
      <c r="AW437" s="49">
        <f ca="1"/>
        <v>0</v>
      </c>
      <c r="AX437" s="49">
        <f ca="1"/>
        <v>0</v>
      </c>
      <c r="AY437" s="49">
        <f ca="1"/>
        <v>0</v>
      </c>
      <c r="AZ437" s="49">
        <f ca="1"/>
        <v>0</v>
      </c>
      <c r="BA437" s="49">
        <f ca="1"/>
        <v>0</v>
      </c>
      <c r="BB437" s="49">
        <f ca="1"/>
        <v>0</v>
      </c>
      <c r="BC437" s="49">
        <f ca="1"/>
        <v>0</v>
      </c>
      <c r="BD437" s="49">
        <f ca="1"/>
        <v>0</v>
      </c>
      <c r="BE437" s="49">
        <f ca="1"/>
        <v>0</v>
      </c>
      <c r="BF437" s="49">
        <f ca="1"/>
        <v>0</v>
      </c>
      <c r="BG437" s="49">
        <f ca="1"/>
        <v>0</v>
      </c>
      <c r="BH437" s="49">
        <f ca="1"/>
        <v>0</v>
      </c>
      <c r="BI437" s="49">
        <f ca="1"/>
        <v>0</v>
      </c>
      <c r="BJ437" s="49">
        <f ca="1"/>
        <v>0</v>
      </c>
      <c r="BK437" s="49">
        <f ca="1"/>
        <v>0</v>
      </c>
      <c r="BL437" s="49">
        <f ca="1"/>
        <v>0</v>
      </c>
      <c r="BM437" s="49">
        <f ca="1"/>
        <v>0</v>
      </c>
      <c r="BN437" s="49">
        <f ca="1"/>
        <v>0</v>
      </c>
      <c r="BO437" s="49">
        <f ca="1"/>
        <v>0</v>
      </c>
      <c r="BP437" s="49">
        <f ca="1"/>
        <v>0</v>
      </c>
      <c r="BQ437" s="49">
        <f ca="1"/>
        <v>0</v>
      </c>
      <c r="BR437" s="49">
        <f ca="1"/>
        <v>0</v>
      </c>
      <c r="BS437" s="49">
        <f ca="1"/>
        <v>0</v>
      </c>
    </row>
    <row r="438" spans="1:71" outlineLevel="1" x14ac:dyDescent="0.2">
      <c r="D438" t="s">
        <v>335</v>
      </c>
      <c r="I438" s="30">
        <f t="shared" ca="1" si="139"/>
        <v>-934.68243010741617</v>
      </c>
      <c r="J438" s="26" t="s">
        <v>148</v>
      </c>
      <c r="L438" s="49" cm="1">
        <f t="array" aca="1" ref="L438:BS438" ca="1">Haute_Mer_1994!CA_NOC_carry_payback</f>
        <v>-57.571496797623155</v>
      </c>
      <c r="M438" s="49">
        <f ca="1"/>
        <v>-54.760215369848353</v>
      </c>
      <c r="N438" s="49">
        <f ca="1"/>
        <v>-22.256514005017031</v>
      </c>
      <c r="O438" s="49">
        <f ca="1"/>
        <v>-21.123086821107403</v>
      </c>
      <c r="P438" s="49">
        <f ca="1"/>
        <v>-57.281159232804534</v>
      </c>
      <c r="Q438" s="49">
        <f ca="1"/>
        <v>-110.85288035194517</v>
      </c>
      <c r="R438" s="49">
        <f ca="1"/>
        <v>-106.48802413669142</v>
      </c>
      <c r="S438" s="49">
        <f ca="1"/>
        <v>-64.524635115970511</v>
      </c>
      <c r="T438" s="49">
        <f ca="1"/>
        <v>-94.012953928157714</v>
      </c>
      <c r="U438" s="49">
        <f ca="1"/>
        <v>-93.349091765417285</v>
      </c>
      <c r="V438" s="49">
        <f ca="1"/>
        <v>-88.550948448674831</v>
      </c>
      <c r="W438" s="49">
        <f ca="1"/>
        <v>-84.22956512224421</v>
      </c>
      <c r="X438" s="49">
        <f ca="1"/>
        <v>-79.681859011914511</v>
      </c>
      <c r="Y438" s="49">
        <f ca="1"/>
        <v>0</v>
      </c>
      <c r="Z438" s="49">
        <f ca="1"/>
        <v>0</v>
      </c>
      <c r="AA438" s="49">
        <f ca="1"/>
        <v>0</v>
      </c>
      <c r="AB438" s="49">
        <f ca="1"/>
        <v>0</v>
      </c>
      <c r="AC438" s="49">
        <f ca="1"/>
        <v>0</v>
      </c>
      <c r="AD438" s="49">
        <f ca="1"/>
        <v>0</v>
      </c>
      <c r="AE438" s="49">
        <f ca="1"/>
        <v>0</v>
      </c>
      <c r="AF438" s="49">
        <f ca="1"/>
        <v>0</v>
      </c>
      <c r="AG438" s="49">
        <f ca="1"/>
        <v>0</v>
      </c>
      <c r="AH438" s="49">
        <f ca="1"/>
        <v>0</v>
      </c>
      <c r="AI438" s="49">
        <f ca="1"/>
        <v>0</v>
      </c>
      <c r="AJ438" s="49">
        <f ca="1"/>
        <v>0</v>
      </c>
      <c r="AK438" s="49">
        <f ca="1"/>
        <v>0</v>
      </c>
      <c r="AL438" s="49">
        <f ca="1"/>
        <v>0</v>
      </c>
      <c r="AM438" s="49">
        <f ca="1"/>
        <v>0</v>
      </c>
      <c r="AN438" s="49">
        <f ca="1"/>
        <v>0</v>
      </c>
      <c r="AO438" s="49">
        <f ca="1"/>
        <v>0</v>
      </c>
      <c r="AP438" s="49">
        <f ca="1"/>
        <v>0</v>
      </c>
      <c r="AQ438" s="49">
        <f ca="1"/>
        <v>0</v>
      </c>
      <c r="AR438" s="49">
        <f ca="1"/>
        <v>0</v>
      </c>
      <c r="AS438" s="49">
        <f ca="1"/>
        <v>0</v>
      </c>
      <c r="AT438" s="49">
        <f ca="1"/>
        <v>0</v>
      </c>
      <c r="AU438" s="49">
        <f ca="1"/>
        <v>0</v>
      </c>
      <c r="AV438" s="49">
        <f ca="1"/>
        <v>0</v>
      </c>
      <c r="AW438" s="49">
        <f ca="1"/>
        <v>0</v>
      </c>
      <c r="AX438" s="49">
        <f ca="1"/>
        <v>0</v>
      </c>
      <c r="AY438" s="49">
        <f ca="1"/>
        <v>0</v>
      </c>
      <c r="AZ438" s="49">
        <f ca="1"/>
        <v>0</v>
      </c>
      <c r="BA438" s="49">
        <f ca="1"/>
        <v>0</v>
      </c>
      <c r="BB438" s="49">
        <f ca="1"/>
        <v>0</v>
      </c>
      <c r="BC438" s="49">
        <f ca="1"/>
        <v>0</v>
      </c>
      <c r="BD438" s="49">
        <f ca="1"/>
        <v>0</v>
      </c>
      <c r="BE438" s="49">
        <f ca="1"/>
        <v>0</v>
      </c>
      <c r="BF438" s="49">
        <f ca="1"/>
        <v>0</v>
      </c>
      <c r="BG438" s="49">
        <f ca="1"/>
        <v>0</v>
      </c>
      <c r="BH438" s="49">
        <f ca="1"/>
        <v>0</v>
      </c>
      <c r="BI438" s="49">
        <f ca="1"/>
        <v>0</v>
      </c>
      <c r="BJ438" s="49">
        <f ca="1"/>
        <v>0</v>
      </c>
      <c r="BK438" s="49">
        <f ca="1"/>
        <v>0</v>
      </c>
      <c r="BL438" s="49">
        <f ca="1"/>
        <v>0</v>
      </c>
      <c r="BM438" s="49">
        <f ca="1"/>
        <v>0</v>
      </c>
      <c r="BN438" s="49">
        <f ca="1"/>
        <v>0</v>
      </c>
      <c r="BO438" s="49">
        <f ca="1"/>
        <v>0</v>
      </c>
      <c r="BP438" s="49">
        <f ca="1"/>
        <v>0</v>
      </c>
      <c r="BQ438" s="49">
        <f ca="1"/>
        <v>0</v>
      </c>
      <c r="BR438" s="49">
        <f ca="1"/>
        <v>0</v>
      </c>
      <c r="BS438" s="49">
        <f ca="1"/>
        <v>0</v>
      </c>
    </row>
    <row r="439" spans="1:71" outlineLevel="1" x14ac:dyDescent="0.2">
      <c r="D439" s="11" t="s">
        <v>270</v>
      </c>
      <c r="I439" s="30">
        <f t="shared" ca="1" si="139"/>
        <v>311.56081003580539</v>
      </c>
      <c r="J439" s="26" t="s">
        <v>148</v>
      </c>
      <c r="L439" s="49">
        <f ca="1">SUM(L437:L438)</f>
        <v>19.190498932541047</v>
      </c>
      <c r="M439" s="49">
        <f t="shared" ref="M439:BS439" ca="1" si="140">SUM(M437:M438)</f>
        <v>18.253405123282789</v>
      </c>
      <c r="N439" s="49">
        <f t="shared" ca="1" si="140"/>
        <v>7.418838001672345</v>
      </c>
      <c r="O439" s="49">
        <f t="shared" ca="1" si="140"/>
        <v>7.0410289403691344</v>
      </c>
      <c r="P439" s="49">
        <f t="shared" ca="1" si="140"/>
        <v>19.093719744268178</v>
      </c>
      <c r="Q439" s="49">
        <f t="shared" ca="1" si="140"/>
        <v>36.950960117315049</v>
      </c>
      <c r="R439" s="49">
        <f t="shared" ca="1" si="140"/>
        <v>35.496008045563798</v>
      </c>
      <c r="S439" s="49">
        <f t="shared" ca="1" si="140"/>
        <v>21.508211705323504</v>
      </c>
      <c r="T439" s="49">
        <f t="shared" ca="1" si="140"/>
        <v>31.337651309385905</v>
      </c>
      <c r="U439" s="49">
        <f t="shared" ca="1" si="140"/>
        <v>31.116363921805771</v>
      </c>
      <c r="V439" s="49">
        <f t="shared" ca="1" si="140"/>
        <v>29.516982816224939</v>
      </c>
      <c r="W439" s="49">
        <f t="shared" ca="1" si="140"/>
        <v>28.076521707414742</v>
      </c>
      <c r="X439" s="49">
        <f t="shared" ca="1" si="140"/>
        <v>26.560619670638175</v>
      </c>
      <c r="Y439" s="49">
        <f t="shared" ca="1" si="140"/>
        <v>0</v>
      </c>
      <c r="Z439" s="49">
        <f t="shared" ca="1" si="140"/>
        <v>0</v>
      </c>
      <c r="AA439" s="49">
        <f t="shared" ca="1" si="140"/>
        <v>0</v>
      </c>
      <c r="AB439" s="49">
        <f t="shared" ca="1" si="140"/>
        <v>0</v>
      </c>
      <c r="AC439" s="49">
        <f t="shared" ca="1" si="140"/>
        <v>0</v>
      </c>
      <c r="AD439" s="49">
        <f t="shared" ca="1" si="140"/>
        <v>0</v>
      </c>
      <c r="AE439" s="49">
        <f t="shared" ca="1" si="140"/>
        <v>0</v>
      </c>
      <c r="AF439" s="49">
        <f t="shared" ca="1" si="140"/>
        <v>0</v>
      </c>
      <c r="AG439" s="49">
        <f t="shared" ca="1" si="140"/>
        <v>0</v>
      </c>
      <c r="AH439" s="49">
        <f t="shared" ca="1" si="140"/>
        <v>0</v>
      </c>
      <c r="AI439" s="49">
        <f t="shared" ca="1" si="140"/>
        <v>0</v>
      </c>
      <c r="AJ439" s="49">
        <f t="shared" ca="1" si="140"/>
        <v>0</v>
      </c>
      <c r="AK439" s="49">
        <f t="shared" ca="1" si="140"/>
        <v>0</v>
      </c>
      <c r="AL439" s="49">
        <f t="shared" ca="1" si="140"/>
        <v>0</v>
      </c>
      <c r="AM439" s="49">
        <f t="shared" ca="1" si="140"/>
        <v>0</v>
      </c>
      <c r="AN439" s="49">
        <f t="shared" ca="1" si="140"/>
        <v>0</v>
      </c>
      <c r="AO439" s="49">
        <f t="shared" ca="1" si="140"/>
        <v>0</v>
      </c>
      <c r="AP439" s="49">
        <f t="shared" ca="1" si="140"/>
        <v>0</v>
      </c>
      <c r="AQ439" s="49">
        <f t="shared" ca="1" si="140"/>
        <v>0</v>
      </c>
      <c r="AR439" s="49">
        <f t="shared" ca="1" si="140"/>
        <v>0</v>
      </c>
      <c r="AS439" s="49">
        <f t="shared" ca="1" si="140"/>
        <v>0</v>
      </c>
      <c r="AT439" s="49">
        <f t="shared" ca="1" si="140"/>
        <v>0</v>
      </c>
      <c r="AU439" s="49">
        <f t="shared" ca="1" si="140"/>
        <v>0</v>
      </c>
      <c r="AV439" s="49">
        <f t="shared" ca="1" si="140"/>
        <v>0</v>
      </c>
      <c r="AW439" s="49">
        <f t="shared" ca="1" si="140"/>
        <v>0</v>
      </c>
      <c r="AX439" s="49">
        <f t="shared" ca="1" si="140"/>
        <v>0</v>
      </c>
      <c r="AY439" s="49">
        <f t="shared" ca="1" si="140"/>
        <v>0</v>
      </c>
      <c r="AZ439" s="49">
        <f t="shared" ca="1" si="140"/>
        <v>0</v>
      </c>
      <c r="BA439" s="49">
        <f t="shared" ca="1" si="140"/>
        <v>0</v>
      </c>
      <c r="BB439" s="49">
        <f t="shared" ca="1" si="140"/>
        <v>0</v>
      </c>
      <c r="BC439" s="49">
        <f t="shared" ca="1" si="140"/>
        <v>0</v>
      </c>
      <c r="BD439" s="49">
        <f t="shared" ca="1" si="140"/>
        <v>0</v>
      </c>
      <c r="BE439" s="49">
        <f t="shared" ca="1" si="140"/>
        <v>0</v>
      </c>
      <c r="BF439" s="49">
        <f t="shared" ca="1" si="140"/>
        <v>0</v>
      </c>
      <c r="BG439" s="49">
        <f t="shared" ca="1" si="140"/>
        <v>0</v>
      </c>
      <c r="BH439" s="49">
        <f t="shared" ca="1" si="140"/>
        <v>0</v>
      </c>
      <c r="BI439" s="49">
        <f t="shared" ca="1" si="140"/>
        <v>0</v>
      </c>
      <c r="BJ439" s="49">
        <f t="shared" ca="1" si="140"/>
        <v>0</v>
      </c>
      <c r="BK439" s="49">
        <f t="shared" ca="1" si="140"/>
        <v>0</v>
      </c>
      <c r="BL439" s="49">
        <f t="shared" ca="1" si="140"/>
        <v>0</v>
      </c>
      <c r="BM439" s="49">
        <f t="shared" ca="1" si="140"/>
        <v>0</v>
      </c>
      <c r="BN439" s="49">
        <f t="shared" ca="1" si="140"/>
        <v>0</v>
      </c>
      <c r="BO439" s="49">
        <f t="shared" ca="1" si="140"/>
        <v>0</v>
      </c>
      <c r="BP439" s="49">
        <f t="shared" ca="1" si="140"/>
        <v>0</v>
      </c>
      <c r="BQ439" s="49">
        <f t="shared" ca="1" si="140"/>
        <v>0</v>
      </c>
      <c r="BR439" s="49">
        <f t="shared" ca="1" si="140"/>
        <v>0</v>
      </c>
      <c r="BS439" s="49">
        <f t="shared" ca="1" si="140"/>
        <v>0</v>
      </c>
    </row>
    <row r="440" spans="1:71" outlineLevel="1" x14ac:dyDescent="0.2">
      <c r="J440" s="26"/>
      <c r="L440" s="55"/>
      <c r="M440" s="55"/>
      <c r="N440" s="55"/>
      <c r="O440" s="55"/>
      <c r="P440" s="55"/>
      <c r="Q440" s="55"/>
      <c r="R440" s="55"/>
      <c r="S440" s="55"/>
      <c r="T440" s="55"/>
      <c r="U440" s="55"/>
      <c r="V440" s="55"/>
      <c r="W440" s="55"/>
      <c r="X440" s="55"/>
      <c r="Y440" s="55"/>
      <c r="Z440" s="55"/>
      <c r="AA440" s="55"/>
      <c r="AB440" s="55"/>
      <c r="AC440" s="55"/>
      <c r="AD440" s="55"/>
      <c r="AE440" s="55"/>
      <c r="AF440" s="55"/>
      <c r="AG440" s="55"/>
      <c r="AH440" s="55"/>
      <c r="AI440" s="55"/>
      <c r="AJ440" s="55"/>
      <c r="AK440" s="55"/>
      <c r="AL440" s="55"/>
      <c r="AM440" s="55"/>
      <c r="AN440" s="55"/>
      <c r="AO440" s="55"/>
      <c r="AP440" s="55"/>
      <c r="AQ440" s="55"/>
      <c r="AR440" s="55"/>
      <c r="AS440" s="55"/>
      <c r="AT440" s="55"/>
      <c r="AU440" s="55"/>
      <c r="AV440" s="55"/>
      <c r="AW440" s="55"/>
      <c r="AX440" s="55"/>
      <c r="AY440" s="55"/>
      <c r="AZ440" s="55"/>
      <c r="BA440" s="55"/>
      <c r="BB440" s="55"/>
      <c r="BC440" s="55"/>
      <c r="BD440" s="55"/>
      <c r="BE440" s="55"/>
      <c r="BF440" s="55"/>
      <c r="BG440" s="55"/>
      <c r="BH440" s="55"/>
      <c r="BI440" s="55"/>
      <c r="BJ440" s="55"/>
      <c r="BK440" s="55"/>
      <c r="BL440" s="55"/>
      <c r="BM440" s="55"/>
      <c r="BN440" s="55"/>
      <c r="BO440" s="55"/>
      <c r="BP440" s="55"/>
      <c r="BQ440" s="55"/>
      <c r="BR440" s="55"/>
      <c r="BS440" s="55"/>
    </row>
    <row r="441" spans="1:71" outlineLevel="1" x14ac:dyDescent="0.2">
      <c r="C441" s="11" t="s">
        <v>50</v>
      </c>
      <c r="I441" s="30">
        <f t="shared" ca="1" si="139"/>
        <v>525.34775309279996</v>
      </c>
      <c r="J441" s="26" t="s">
        <v>148</v>
      </c>
      <c r="L441" s="49">
        <f ca="1">(L388*Haute_Mer_1994!CA_NOC_WI)-Haute_Mer_1994!CA_NOC_CI_opex</f>
        <v>22.210349999999998</v>
      </c>
      <c r="M441" s="49">
        <f ca="1">(M388*Haute_Mer_1994!CA_NOC_WI)-Haute_Mer_1994!CA_NOC_CI_opex</f>
        <v>27.582749999999997</v>
      </c>
      <c r="N441" s="49">
        <f ca="1">(N388*Haute_Mer_1994!CA_NOC_WI)-Haute_Mer_1994!CA_NOC_CI_opex</f>
        <v>20.355599999999999</v>
      </c>
      <c r="O441" s="49">
        <f ca="1">(O388*Haute_Mer_1994!CA_NOC_WI)-Haute_Mer_1994!CA_NOC_CI_opex</f>
        <v>36.132749999999994</v>
      </c>
      <c r="P441" s="49">
        <f ca="1">(P388*Haute_Mer_1994!CA_NOC_WI)-Haute_Mer_1994!CA_NOC_CI_opex</f>
        <v>80.518499999999989</v>
      </c>
      <c r="Q441" s="49">
        <f ca="1">(Q388*Haute_Mer_1994!CA_NOC_WI)-Haute_Mer_1994!CA_NOC_CI_opex</f>
        <v>36.567</v>
      </c>
      <c r="R441" s="49">
        <f ca="1">(R388*Haute_Mer_1994!CA_NOC_WI)-Haute_Mer_1994!CA_NOC_CI_opex</f>
        <v>42.27</v>
      </c>
      <c r="S441" s="49">
        <f ca="1">(S388*Haute_Mer_1994!CA_NOC_WI)-Haute_Mer_1994!CA_NOC_CI_opex</f>
        <v>42.945</v>
      </c>
      <c r="T441" s="49">
        <f ca="1">(T388*Haute_Mer_1994!CA_NOC_WI)-Haute_Mer_1994!CA_NOC_CI_opex</f>
        <v>42.51</v>
      </c>
      <c r="U441" s="49">
        <f ca="1">(U388*Haute_Mer_1994!CA_NOC_WI)-Haute_Mer_1994!CA_NOC_CI_opex</f>
        <v>42.931800000000003</v>
      </c>
      <c r="V441" s="49">
        <f ca="1">(V388*Haute_Mer_1994!CA_NOC_WI)-Haute_Mer_1994!CA_NOC_CI_opex</f>
        <v>43.353467999999999</v>
      </c>
      <c r="W441" s="49">
        <f ca="1">(W388*Haute_Mer_1994!CA_NOC_WI)-Haute_Mer_1994!CA_NOC_CI_opex</f>
        <v>43.774830000000001</v>
      </c>
      <c r="X441" s="49">
        <f ca="1">(X388*Haute_Mer_1994!CA_NOC_WI)-Haute_Mer_1994!CA_NOC_CI_opex</f>
        <v>44.195705092799997</v>
      </c>
      <c r="Y441" s="49">
        <f ca="1">(Y388*Haute_Mer_1994!CA_NOC_WI)-Haute_Mer_1994!CA_NOC_CI_opex</f>
        <v>0</v>
      </c>
      <c r="Z441" s="49">
        <f ca="1">(Z388*Haute_Mer_1994!CA_NOC_WI)-Haute_Mer_1994!CA_NOC_CI_opex</f>
        <v>0</v>
      </c>
      <c r="AA441" s="49">
        <f ca="1">(AA388*Haute_Mer_1994!CA_NOC_WI)-Haute_Mer_1994!CA_NOC_CI_opex</f>
        <v>0</v>
      </c>
      <c r="AB441" s="49">
        <f ca="1">(AB388*Haute_Mer_1994!CA_NOC_WI)-Haute_Mer_1994!CA_NOC_CI_opex</f>
        <v>0</v>
      </c>
      <c r="AC441" s="49">
        <f ca="1">(AC388*Haute_Mer_1994!CA_NOC_WI)-Haute_Mer_1994!CA_NOC_CI_opex</f>
        <v>0</v>
      </c>
      <c r="AD441" s="49">
        <f ca="1">(AD388*Haute_Mer_1994!CA_NOC_WI)-Haute_Mer_1994!CA_NOC_CI_opex</f>
        <v>0</v>
      </c>
      <c r="AE441" s="49">
        <f ca="1">(AE388*Haute_Mer_1994!CA_NOC_WI)-Haute_Mer_1994!CA_NOC_CI_opex</f>
        <v>0</v>
      </c>
      <c r="AF441" s="49">
        <f ca="1">(AF388*Haute_Mer_1994!CA_NOC_WI)-Haute_Mer_1994!CA_NOC_CI_opex</f>
        <v>0</v>
      </c>
      <c r="AG441" s="49">
        <f ca="1">(AG388*Haute_Mer_1994!CA_NOC_WI)-Haute_Mer_1994!CA_NOC_CI_opex</f>
        <v>0</v>
      </c>
      <c r="AH441" s="49">
        <f ca="1">(AH388*Haute_Mer_1994!CA_NOC_WI)-Haute_Mer_1994!CA_NOC_CI_opex</f>
        <v>0</v>
      </c>
      <c r="AI441" s="49">
        <f ca="1">(AI388*Haute_Mer_1994!CA_NOC_WI)-Haute_Mer_1994!CA_NOC_CI_opex</f>
        <v>0</v>
      </c>
      <c r="AJ441" s="49">
        <f ca="1">(AJ388*Haute_Mer_1994!CA_NOC_WI)-Haute_Mer_1994!CA_NOC_CI_opex</f>
        <v>0</v>
      </c>
      <c r="AK441" s="49">
        <f ca="1">(AK388*Haute_Mer_1994!CA_NOC_WI)-Haute_Mer_1994!CA_NOC_CI_opex</f>
        <v>0</v>
      </c>
      <c r="AL441" s="49">
        <f ca="1">(AL388*Haute_Mer_1994!CA_NOC_WI)-Haute_Mer_1994!CA_NOC_CI_opex</f>
        <v>0</v>
      </c>
      <c r="AM441" s="49">
        <f ca="1">(AM388*Haute_Mer_1994!CA_NOC_WI)-Haute_Mer_1994!CA_NOC_CI_opex</f>
        <v>0</v>
      </c>
      <c r="AN441" s="49">
        <f ca="1">(AN388*Haute_Mer_1994!CA_NOC_WI)-Haute_Mer_1994!CA_NOC_CI_opex</f>
        <v>0</v>
      </c>
      <c r="AO441" s="49">
        <f ca="1">(AO388*Haute_Mer_1994!CA_NOC_WI)-Haute_Mer_1994!CA_NOC_CI_opex</f>
        <v>0</v>
      </c>
      <c r="AP441" s="49">
        <f ca="1">(AP388*Haute_Mer_1994!CA_NOC_WI)-Haute_Mer_1994!CA_NOC_CI_opex</f>
        <v>0</v>
      </c>
      <c r="AQ441" s="49">
        <f ca="1">(AQ388*Haute_Mer_1994!CA_NOC_WI)-Haute_Mer_1994!CA_NOC_CI_opex</f>
        <v>0</v>
      </c>
      <c r="AR441" s="49">
        <f ca="1">(AR388*Haute_Mer_1994!CA_NOC_WI)-Haute_Mer_1994!CA_NOC_CI_opex</f>
        <v>0</v>
      </c>
      <c r="AS441" s="49">
        <f ca="1">(AS388*Haute_Mer_1994!CA_NOC_WI)-Haute_Mer_1994!CA_NOC_CI_opex</f>
        <v>0</v>
      </c>
      <c r="AT441" s="49">
        <f ca="1">(AT388*Haute_Mer_1994!CA_NOC_WI)-Haute_Mer_1994!CA_NOC_CI_opex</f>
        <v>0</v>
      </c>
      <c r="AU441" s="49">
        <f ca="1">(AU388*Haute_Mer_1994!CA_NOC_WI)-Haute_Mer_1994!CA_NOC_CI_opex</f>
        <v>0</v>
      </c>
      <c r="AV441" s="49">
        <f ca="1">(AV388*Haute_Mer_1994!CA_NOC_WI)-Haute_Mer_1994!CA_NOC_CI_opex</f>
        <v>0</v>
      </c>
      <c r="AW441" s="49">
        <f ca="1">(AW388*Haute_Mer_1994!CA_NOC_WI)-Haute_Mer_1994!CA_NOC_CI_opex</f>
        <v>0</v>
      </c>
      <c r="AX441" s="49">
        <f ca="1">(AX388*Haute_Mer_1994!CA_NOC_WI)-Haute_Mer_1994!CA_NOC_CI_opex</f>
        <v>0</v>
      </c>
      <c r="AY441" s="49">
        <f ca="1">(AY388*Haute_Mer_1994!CA_NOC_WI)-Haute_Mer_1994!CA_NOC_CI_opex</f>
        <v>0</v>
      </c>
      <c r="AZ441" s="49">
        <f ca="1">(AZ388*Haute_Mer_1994!CA_NOC_WI)-Haute_Mer_1994!CA_NOC_CI_opex</f>
        <v>0</v>
      </c>
      <c r="BA441" s="49">
        <f ca="1">(BA388*Haute_Mer_1994!CA_NOC_WI)-Haute_Mer_1994!CA_NOC_CI_opex</f>
        <v>0</v>
      </c>
      <c r="BB441" s="49">
        <f ca="1">(BB388*Haute_Mer_1994!CA_NOC_WI)-Haute_Mer_1994!CA_NOC_CI_opex</f>
        <v>0</v>
      </c>
      <c r="BC441" s="49">
        <f ca="1">(BC388*Haute_Mer_1994!CA_NOC_WI)-Haute_Mer_1994!CA_NOC_CI_opex</f>
        <v>0</v>
      </c>
      <c r="BD441" s="49">
        <f ca="1">(BD388*Haute_Mer_1994!CA_NOC_WI)-Haute_Mer_1994!CA_NOC_CI_opex</f>
        <v>0</v>
      </c>
      <c r="BE441" s="49">
        <f ca="1">(BE388*Haute_Mer_1994!CA_NOC_WI)-Haute_Mer_1994!CA_NOC_CI_opex</f>
        <v>0</v>
      </c>
      <c r="BF441" s="49">
        <f ca="1">(BF388*Haute_Mer_1994!CA_NOC_WI)-Haute_Mer_1994!CA_NOC_CI_opex</f>
        <v>0</v>
      </c>
      <c r="BG441" s="49">
        <f ca="1">(BG388*Haute_Mer_1994!CA_NOC_WI)-Haute_Mer_1994!CA_NOC_CI_opex</f>
        <v>0</v>
      </c>
      <c r="BH441" s="49">
        <f ca="1">(BH388*Haute_Mer_1994!CA_NOC_WI)-Haute_Mer_1994!CA_NOC_CI_opex</f>
        <v>0</v>
      </c>
      <c r="BI441" s="49">
        <f ca="1">(BI388*Haute_Mer_1994!CA_NOC_WI)-Haute_Mer_1994!CA_NOC_CI_opex</f>
        <v>0</v>
      </c>
      <c r="BJ441" s="49">
        <f ca="1">(BJ388*Haute_Mer_1994!CA_NOC_WI)-Haute_Mer_1994!CA_NOC_CI_opex</f>
        <v>0</v>
      </c>
      <c r="BK441" s="49">
        <f ca="1">(BK388*Haute_Mer_1994!CA_NOC_WI)-Haute_Mer_1994!CA_NOC_CI_opex</f>
        <v>0</v>
      </c>
      <c r="BL441" s="49">
        <f ca="1">(BL388*Haute_Mer_1994!CA_NOC_WI)-Haute_Mer_1994!CA_NOC_CI_opex</f>
        <v>0</v>
      </c>
      <c r="BM441" s="49">
        <f ca="1">(BM388*Haute_Mer_1994!CA_NOC_WI)-Haute_Mer_1994!CA_NOC_CI_opex</f>
        <v>0</v>
      </c>
      <c r="BN441" s="49">
        <f ca="1">(BN388*Haute_Mer_1994!CA_NOC_WI)-Haute_Mer_1994!CA_NOC_CI_opex</f>
        <v>0</v>
      </c>
      <c r="BO441" s="49">
        <f ca="1">(BO388*Haute_Mer_1994!CA_NOC_WI)-Haute_Mer_1994!CA_NOC_CI_opex</f>
        <v>0</v>
      </c>
      <c r="BP441" s="49">
        <f ca="1">(BP388*Haute_Mer_1994!CA_NOC_WI)-Haute_Mer_1994!CA_NOC_CI_opex</f>
        <v>0</v>
      </c>
      <c r="BQ441" s="49">
        <f ca="1">(BQ388*Haute_Mer_1994!CA_NOC_WI)-Haute_Mer_1994!CA_NOC_CI_opex</f>
        <v>0</v>
      </c>
      <c r="BR441" s="49">
        <f ca="1">(BR388*Haute_Mer_1994!CA_NOC_WI)-Haute_Mer_1994!CA_NOC_CI_opex</f>
        <v>0</v>
      </c>
      <c r="BS441" s="49">
        <f ca="1">(BS388*Haute_Mer_1994!CA_NOC_WI)-Haute_Mer_1994!CA_NOC_CI_opex</f>
        <v>0</v>
      </c>
    </row>
    <row r="442" spans="1:71" outlineLevel="1" x14ac:dyDescent="0.2">
      <c r="J442" s="26"/>
      <c r="L442" s="55"/>
      <c r="M442" s="55"/>
      <c r="N442" s="55"/>
      <c r="O442" s="55"/>
      <c r="P442" s="55"/>
      <c r="Q442" s="55"/>
      <c r="R442" s="55"/>
      <c r="S442" s="55"/>
      <c r="T442" s="55"/>
      <c r="U442" s="55"/>
      <c r="V442" s="55"/>
      <c r="W442" s="55"/>
      <c r="X442" s="55"/>
      <c r="Y442" s="55"/>
      <c r="Z442" s="55"/>
      <c r="AA442" s="55"/>
      <c r="AB442" s="55"/>
      <c r="AC442" s="55"/>
      <c r="AD442" s="55"/>
      <c r="AE442" s="55"/>
      <c r="AF442" s="55"/>
      <c r="AG442" s="55"/>
      <c r="AH442" s="55"/>
      <c r="AI442" s="55"/>
      <c r="AJ442" s="55"/>
      <c r="AK442" s="55"/>
      <c r="AL442" s="55"/>
      <c r="AM442" s="55"/>
      <c r="AN442" s="55"/>
      <c r="AO442" s="55"/>
      <c r="AP442" s="55"/>
      <c r="AQ442" s="55"/>
      <c r="AR442" s="55"/>
      <c r="AS442" s="55"/>
      <c r="AT442" s="55"/>
      <c r="AU442" s="55"/>
      <c r="AV442" s="55"/>
      <c r="AW442" s="55"/>
      <c r="AX442" s="55"/>
      <c r="AY442" s="55"/>
      <c r="AZ442" s="55"/>
      <c r="BA442" s="55"/>
      <c r="BB442" s="55"/>
      <c r="BC442" s="55"/>
      <c r="BD442" s="55"/>
      <c r="BE442" s="55"/>
      <c r="BF442" s="55"/>
      <c r="BG442" s="55"/>
      <c r="BH442" s="55"/>
      <c r="BI442" s="55"/>
      <c r="BJ442" s="55"/>
      <c r="BK442" s="55"/>
      <c r="BL442" s="55"/>
      <c r="BM442" s="55"/>
      <c r="BN442" s="55"/>
      <c r="BO442" s="55"/>
      <c r="BP442" s="55"/>
      <c r="BQ442" s="55"/>
      <c r="BR442" s="55"/>
      <c r="BS442" s="55"/>
    </row>
    <row r="443" spans="1:71" outlineLevel="1" x14ac:dyDescent="0.2">
      <c r="C443" s="11" t="s">
        <v>271</v>
      </c>
      <c r="I443" s="30">
        <f t="shared" ca="1" si="139"/>
        <v>17.52549670857195</v>
      </c>
      <c r="J443" s="26" t="s">
        <v>148</v>
      </c>
      <c r="L443" s="49">
        <f ca="1">L390*Haute_Mer_1994!CA_NOC_WI</f>
        <v>1.1240062234621782</v>
      </c>
      <c r="M443" s="49">
        <f ca="1">M390*Haute_Mer_1994!CA_NOC_WI</f>
        <v>1.0617689630293867</v>
      </c>
      <c r="N443" s="49">
        <f ca="1">N390*Haute_Mer_1994!CA_NOC_WI</f>
        <v>0.40059355350162507</v>
      </c>
      <c r="O443" s="49">
        <f ca="1">O390*Haute_Mer_1994!CA_NOC_WI</f>
        <v>0.37812423476005236</v>
      </c>
      <c r="P443" s="49">
        <f ca="1">P390*Haute_Mer_1994!CA_NOC_WI</f>
        <v>1.0488619430968704</v>
      </c>
      <c r="Q443" s="49">
        <f ca="1">Q390*Haute_Mer_1994!CA_NOC_WI</f>
        <v>2.084899299588153</v>
      </c>
      <c r="R443" s="49">
        <f ca="1">R390*Haute_Mer_1994!CA_NOC_WI</f>
        <v>1.9900962953237418</v>
      </c>
      <c r="S443" s="49">
        <f ca="1">S390*Haute_Mer_1994!CA_NOC_WI</f>
        <v>1.1552654905740001</v>
      </c>
      <c r="T443" s="49">
        <f ca="1">T390*Haute_Mer_1994!CA_NOC_WI</f>
        <v>1.7628468388446239</v>
      </c>
      <c r="U443" s="49">
        <f ca="1">U390*Haute_Mer_1994!CA_NOC_WI</f>
        <v>1.7597620476884699</v>
      </c>
      <c r="V443" s="49">
        <f ca="1">V390*Haute_Mer_1994!CA_NOC_WI</f>
        <v>1.6693102784372824</v>
      </c>
      <c r="W443" s="49">
        <f ca="1">W390*Haute_Mer_1994!CA_NOC_WI</f>
        <v>1.5878461074684156</v>
      </c>
      <c r="X443" s="49">
        <f ca="1">X390*Haute_Mer_1994!CA_NOC_WI</f>
        <v>1.5021154327971498</v>
      </c>
      <c r="Y443" s="49">
        <f ca="1">Y390*Haute_Mer_1994!CA_NOC_WI</f>
        <v>0</v>
      </c>
      <c r="Z443" s="49">
        <f ca="1">Z390*Haute_Mer_1994!CA_NOC_WI</f>
        <v>0</v>
      </c>
      <c r="AA443" s="49">
        <f ca="1">AA390*Haute_Mer_1994!CA_NOC_WI</f>
        <v>0</v>
      </c>
      <c r="AB443" s="49">
        <f ca="1">AB390*Haute_Mer_1994!CA_NOC_WI</f>
        <v>0</v>
      </c>
      <c r="AC443" s="49">
        <f ca="1">AC390*Haute_Mer_1994!CA_NOC_WI</f>
        <v>0</v>
      </c>
      <c r="AD443" s="49">
        <f ca="1">AD390*Haute_Mer_1994!CA_NOC_WI</f>
        <v>0</v>
      </c>
      <c r="AE443" s="49">
        <f ca="1">AE390*Haute_Mer_1994!CA_NOC_WI</f>
        <v>0</v>
      </c>
      <c r="AF443" s="49">
        <f ca="1">AF390*Haute_Mer_1994!CA_NOC_WI</f>
        <v>0</v>
      </c>
      <c r="AG443" s="49">
        <f ca="1">AG390*Haute_Mer_1994!CA_NOC_WI</f>
        <v>0</v>
      </c>
      <c r="AH443" s="49">
        <f ca="1">AH390*Haute_Mer_1994!CA_NOC_WI</f>
        <v>0</v>
      </c>
      <c r="AI443" s="49">
        <f ca="1">AI390*Haute_Mer_1994!CA_NOC_WI</f>
        <v>0</v>
      </c>
      <c r="AJ443" s="49">
        <f ca="1">AJ390*Haute_Mer_1994!CA_NOC_WI</f>
        <v>0</v>
      </c>
      <c r="AK443" s="49">
        <f ca="1">AK390*Haute_Mer_1994!CA_NOC_WI</f>
        <v>0</v>
      </c>
      <c r="AL443" s="49">
        <f ca="1">AL390*Haute_Mer_1994!CA_NOC_WI</f>
        <v>0</v>
      </c>
      <c r="AM443" s="49">
        <f ca="1">AM390*Haute_Mer_1994!CA_NOC_WI</f>
        <v>0</v>
      </c>
      <c r="AN443" s="49">
        <f ca="1">AN390*Haute_Mer_1994!CA_NOC_WI</f>
        <v>0</v>
      </c>
      <c r="AO443" s="49">
        <f ca="1">AO390*Haute_Mer_1994!CA_NOC_WI</f>
        <v>0</v>
      </c>
      <c r="AP443" s="49">
        <f ca="1">AP390*Haute_Mer_1994!CA_NOC_WI</f>
        <v>0</v>
      </c>
      <c r="AQ443" s="49">
        <f ca="1">AQ390*Haute_Mer_1994!CA_NOC_WI</f>
        <v>0</v>
      </c>
      <c r="AR443" s="49">
        <f ca="1">AR390*Haute_Mer_1994!CA_NOC_WI</f>
        <v>0</v>
      </c>
      <c r="AS443" s="49">
        <f ca="1">AS390*Haute_Mer_1994!CA_NOC_WI</f>
        <v>0</v>
      </c>
      <c r="AT443" s="49">
        <f ca="1">AT390*Haute_Mer_1994!CA_NOC_WI</f>
        <v>0</v>
      </c>
      <c r="AU443" s="49">
        <f ca="1">AU390*Haute_Mer_1994!CA_NOC_WI</f>
        <v>0</v>
      </c>
      <c r="AV443" s="49">
        <f ca="1">AV390*Haute_Mer_1994!CA_NOC_WI</f>
        <v>0</v>
      </c>
      <c r="AW443" s="49">
        <f ca="1">AW390*Haute_Mer_1994!CA_NOC_WI</f>
        <v>0</v>
      </c>
      <c r="AX443" s="49">
        <f ca="1">AX390*Haute_Mer_1994!CA_NOC_WI</f>
        <v>0</v>
      </c>
      <c r="AY443" s="49">
        <f ca="1">AY390*Haute_Mer_1994!CA_NOC_WI</f>
        <v>0</v>
      </c>
      <c r="AZ443" s="49">
        <f ca="1">AZ390*Haute_Mer_1994!CA_NOC_WI</f>
        <v>0</v>
      </c>
      <c r="BA443" s="49">
        <f ca="1">BA390*Haute_Mer_1994!CA_NOC_WI</f>
        <v>0</v>
      </c>
      <c r="BB443" s="49">
        <f ca="1">BB390*Haute_Mer_1994!CA_NOC_WI</f>
        <v>0</v>
      </c>
      <c r="BC443" s="49">
        <f ca="1">BC390*Haute_Mer_1994!CA_NOC_WI</f>
        <v>0</v>
      </c>
      <c r="BD443" s="49">
        <f ca="1">BD390*Haute_Mer_1994!CA_NOC_WI</f>
        <v>0</v>
      </c>
      <c r="BE443" s="49">
        <f ca="1">BE390*Haute_Mer_1994!CA_NOC_WI</f>
        <v>0</v>
      </c>
      <c r="BF443" s="49">
        <f ca="1">BF390*Haute_Mer_1994!CA_NOC_WI</f>
        <v>0</v>
      </c>
      <c r="BG443" s="49">
        <f ca="1">BG390*Haute_Mer_1994!CA_NOC_WI</f>
        <v>0</v>
      </c>
      <c r="BH443" s="49">
        <f ca="1">BH390*Haute_Mer_1994!CA_NOC_WI</f>
        <v>0</v>
      </c>
      <c r="BI443" s="49">
        <f ca="1">BI390*Haute_Mer_1994!CA_NOC_WI</f>
        <v>0</v>
      </c>
      <c r="BJ443" s="49">
        <f ca="1">BJ390*Haute_Mer_1994!CA_NOC_WI</f>
        <v>0</v>
      </c>
      <c r="BK443" s="49">
        <f ca="1">BK390*Haute_Mer_1994!CA_NOC_WI</f>
        <v>0</v>
      </c>
      <c r="BL443" s="49">
        <f ca="1">BL390*Haute_Mer_1994!CA_NOC_WI</f>
        <v>0</v>
      </c>
      <c r="BM443" s="49">
        <f ca="1">BM390*Haute_Mer_1994!CA_NOC_WI</f>
        <v>0</v>
      </c>
      <c r="BN443" s="49">
        <f ca="1">BN390*Haute_Mer_1994!CA_NOC_WI</f>
        <v>0</v>
      </c>
      <c r="BO443" s="49">
        <f ca="1">BO390*Haute_Mer_1994!CA_NOC_WI</f>
        <v>0</v>
      </c>
      <c r="BP443" s="49">
        <f ca="1">BP390*Haute_Mer_1994!CA_NOC_WI</f>
        <v>0</v>
      </c>
      <c r="BQ443" s="49">
        <f ca="1">BQ390*Haute_Mer_1994!CA_NOC_WI</f>
        <v>0</v>
      </c>
      <c r="BR443" s="49">
        <f ca="1">BR390*Haute_Mer_1994!CA_NOC_WI</f>
        <v>0</v>
      </c>
      <c r="BS443" s="49">
        <f ca="1">BS390*Haute_Mer_1994!CA_NOC_WI</f>
        <v>0</v>
      </c>
    </row>
    <row r="444" spans="1:71" outlineLevel="1" x14ac:dyDescent="0.2">
      <c r="J444" s="26"/>
      <c r="L444" s="55"/>
      <c r="M444" s="55"/>
      <c r="N444" s="55"/>
      <c r="O444" s="55"/>
      <c r="P444" s="55"/>
      <c r="Q444" s="55"/>
      <c r="R444" s="55"/>
      <c r="S444" s="55"/>
      <c r="T444" s="55"/>
      <c r="U444" s="55"/>
      <c r="V444" s="55"/>
      <c r="W444" s="55"/>
      <c r="X444" s="55"/>
      <c r="Y444" s="55"/>
      <c r="Z444" s="55"/>
      <c r="AA444" s="55"/>
      <c r="AB444" s="55"/>
      <c r="AC444" s="55"/>
      <c r="AD444" s="55"/>
      <c r="AE444" s="55"/>
      <c r="AF444" s="55"/>
      <c r="AG444" s="55"/>
      <c r="AH444" s="55"/>
      <c r="AI444" s="55"/>
      <c r="AJ444" s="55"/>
      <c r="AK444" s="55"/>
      <c r="AL444" s="55"/>
      <c r="AM444" s="55"/>
      <c r="AN444" s="55"/>
      <c r="AO444" s="55"/>
      <c r="AP444" s="55"/>
      <c r="AQ444" s="55"/>
      <c r="AR444" s="55"/>
      <c r="AS444" s="55"/>
      <c r="AT444" s="55"/>
      <c r="AU444" s="55"/>
      <c r="AV444" s="55"/>
      <c r="AW444" s="55"/>
      <c r="AX444" s="55"/>
      <c r="AY444" s="55"/>
      <c r="AZ444" s="55"/>
      <c r="BA444" s="55"/>
      <c r="BB444" s="55"/>
      <c r="BC444" s="55"/>
      <c r="BD444" s="55"/>
      <c r="BE444" s="55"/>
      <c r="BF444" s="55"/>
      <c r="BG444" s="55"/>
      <c r="BH444" s="55"/>
      <c r="BI444" s="55"/>
      <c r="BJ444" s="55"/>
      <c r="BK444" s="55"/>
      <c r="BL444" s="55"/>
      <c r="BM444" s="55"/>
      <c r="BN444" s="55"/>
      <c r="BO444" s="55"/>
      <c r="BP444" s="55"/>
      <c r="BQ444" s="55"/>
      <c r="BR444" s="55"/>
      <c r="BS444" s="55"/>
    </row>
    <row r="445" spans="1:71" outlineLevel="1" x14ac:dyDescent="0.2">
      <c r="C445" s="11" t="s">
        <v>272</v>
      </c>
      <c r="I445" s="30">
        <f t="shared" ref="I445:I453" ca="1" si="141">SUM($L445:$BS445)</f>
        <v>0</v>
      </c>
      <c r="J445" s="26" t="s">
        <v>148</v>
      </c>
      <c r="L445" s="49">
        <f ca="1">L392*Haute_Mer_1994!CA_NOC_WI</f>
        <v>0</v>
      </c>
      <c r="M445" s="49">
        <f ca="1">M392*Haute_Mer_1994!CA_NOC_WI</f>
        <v>0</v>
      </c>
      <c r="N445" s="49">
        <f ca="1">N392*Haute_Mer_1994!CA_NOC_WI</f>
        <v>0</v>
      </c>
      <c r="O445" s="49">
        <f ca="1">O392*Haute_Mer_1994!CA_NOC_WI</f>
        <v>0</v>
      </c>
      <c r="P445" s="49">
        <f ca="1">P392*Haute_Mer_1994!CA_NOC_WI</f>
        <v>0</v>
      </c>
      <c r="Q445" s="49">
        <f ca="1">Q392*Haute_Mer_1994!CA_NOC_WI</f>
        <v>0</v>
      </c>
      <c r="R445" s="49">
        <f ca="1">R392*Haute_Mer_1994!CA_NOC_WI</f>
        <v>0</v>
      </c>
      <c r="S445" s="49">
        <f ca="1">S392*Haute_Mer_1994!CA_NOC_WI</f>
        <v>0</v>
      </c>
      <c r="T445" s="49">
        <f ca="1">T392*Haute_Mer_1994!CA_NOC_WI</f>
        <v>0</v>
      </c>
      <c r="U445" s="49">
        <f ca="1">U392*Haute_Mer_1994!CA_NOC_WI</f>
        <v>0</v>
      </c>
      <c r="V445" s="49">
        <f ca="1">V392*Haute_Mer_1994!CA_NOC_WI</f>
        <v>0</v>
      </c>
      <c r="W445" s="49">
        <f ca="1">W392*Haute_Mer_1994!CA_NOC_WI</f>
        <v>0</v>
      </c>
      <c r="X445" s="49">
        <f ca="1">X392*Haute_Mer_1994!CA_NOC_WI</f>
        <v>0</v>
      </c>
      <c r="Y445" s="49">
        <f ca="1">Y392*Haute_Mer_1994!CA_NOC_WI</f>
        <v>0</v>
      </c>
      <c r="Z445" s="49">
        <f ca="1">Z392*Haute_Mer_1994!CA_NOC_WI</f>
        <v>0</v>
      </c>
      <c r="AA445" s="49">
        <f ca="1">AA392*Haute_Mer_1994!CA_NOC_WI</f>
        <v>0</v>
      </c>
      <c r="AB445" s="49">
        <f ca="1">AB392*Haute_Mer_1994!CA_NOC_WI</f>
        <v>0</v>
      </c>
      <c r="AC445" s="49">
        <f ca="1">AC392*Haute_Mer_1994!CA_NOC_WI</f>
        <v>0</v>
      </c>
      <c r="AD445" s="49">
        <f ca="1">AD392*Haute_Mer_1994!CA_NOC_WI</f>
        <v>0</v>
      </c>
      <c r="AE445" s="49">
        <f ca="1">AE392*Haute_Mer_1994!CA_NOC_WI</f>
        <v>0</v>
      </c>
      <c r="AF445" s="49">
        <f ca="1">AF392*Haute_Mer_1994!CA_NOC_WI</f>
        <v>0</v>
      </c>
      <c r="AG445" s="49">
        <f ca="1">AG392*Haute_Mer_1994!CA_NOC_WI</f>
        <v>0</v>
      </c>
      <c r="AH445" s="49">
        <f ca="1">AH392*Haute_Mer_1994!CA_NOC_WI</f>
        <v>0</v>
      </c>
      <c r="AI445" s="49">
        <f ca="1">AI392*Haute_Mer_1994!CA_NOC_WI</f>
        <v>0</v>
      </c>
      <c r="AJ445" s="49">
        <f ca="1">AJ392*Haute_Mer_1994!CA_NOC_WI</f>
        <v>0</v>
      </c>
      <c r="AK445" s="49">
        <f ca="1">AK392*Haute_Mer_1994!CA_NOC_WI</f>
        <v>0</v>
      </c>
      <c r="AL445" s="49">
        <f ca="1">AL392*Haute_Mer_1994!CA_NOC_WI</f>
        <v>0</v>
      </c>
      <c r="AM445" s="49">
        <f ca="1">AM392*Haute_Mer_1994!CA_NOC_WI</f>
        <v>0</v>
      </c>
      <c r="AN445" s="49">
        <f ca="1">AN392*Haute_Mer_1994!CA_NOC_WI</f>
        <v>0</v>
      </c>
      <c r="AO445" s="49">
        <f ca="1">AO392*Haute_Mer_1994!CA_NOC_WI</f>
        <v>0</v>
      </c>
      <c r="AP445" s="49">
        <f ca="1">AP392*Haute_Mer_1994!CA_NOC_WI</f>
        <v>0</v>
      </c>
      <c r="AQ445" s="49">
        <f ca="1">AQ392*Haute_Mer_1994!CA_NOC_WI</f>
        <v>0</v>
      </c>
      <c r="AR445" s="49">
        <f ca="1">AR392*Haute_Mer_1994!CA_NOC_WI</f>
        <v>0</v>
      </c>
      <c r="AS445" s="49">
        <f ca="1">AS392*Haute_Mer_1994!CA_NOC_WI</f>
        <v>0</v>
      </c>
      <c r="AT445" s="49">
        <f ca="1">AT392*Haute_Mer_1994!CA_NOC_WI</f>
        <v>0</v>
      </c>
      <c r="AU445" s="49">
        <f ca="1">AU392*Haute_Mer_1994!CA_NOC_WI</f>
        <v>0</v>
      </c>
      <c r="AV445" s="49">
        <f ca="1">AV392*Haute_Mer_1994!CA_NOC_WI</f>
        <v>0</v>
      </c>
      <c r="AW445" s="49">
        <f ca="1">AW392*Haute_Mer_1994!CA_NOC_WI</f>
        <v>0</v>
      </c>
      <c r="AX445" s="49">
        <f ca="1">AX392*Haute_Mer_1994!CA_NOC_WI</f>
        <v>0</v>
      </c>
      <c r="AY445" s="49">
        <f ca="1">AY392*Haute_Mer_1994!CA_NOC_WI</f>
        <v>0</v>
      </c>
      <c r="AZ445" s="49">
        <f ca="1">AZ392*Haute_Mer_1994!CA_NOC_WI</f>
        <v>0</v>
      </c>
      <c r="BA445" s="49">
        <f ca="1">BA392*Haute_Mer_1994!CA_NOC_WI</f>
        <v>0</v>
      </c>
      <c r="BB445" s="49">
        <f ca="1">BB392*Haute_Mer_1994!CA_NOC_WI</f>
        <v>0</v>
      </c>
      <c r="BC445" s="49">
        <f ca="1">BC392*Haute_Mer_1994!CA_NOC_WI</f>
        <v>0</v>
      </c>
      <c r="BD445" s="49">
        <f ca="1">BD392*Haute_Mer_1994!CA_NOC_WI</f>
        <v>0</v>
      </c>
      <c r="BE445" s="49">
        <f ca="1">BE392*Haute_Mer_1994!CA_NOC_WI</f>
        <v>0</v>
      </c>
      <c r="BF445" s="49">
        <f ca="1">BF392*Haute_Mer_1994!CA_NOC_WI</f>
        <v>0</v>
      </c>
      <c r="BG445" s="49">
        <f ca="1">BG392*Haute_Mer_1994!CA_NOC_WI</f>
        <v>0</v>
      </c>
      <c r="BH445" s="49">
        <f ca="1">BH392*Haute_Mer_1994!CA_NOC_WI</f>
        <v>0</v>
      </c>
      <c r="BI445" s="49">
        <f ca="1">BI392*Haute_Mer_1994!CA_NOC_WI</f>
        <v>0</v>
      </c>
      <c r="BJ445" s="49">
        <f ca="1">BJ392*Haute_Mer_1994!CA_NOC_WI</f>
        <v>0</v>
      </c>
      <c r="BK445" s="49">
        <f ca="1">BK392*Haute_Mer_1994!CA_NOC_WI</f>
        <v>0</v>
      </c>
      <c r="BL445" s="49">
        <f ca="1">BL392*Haute_Mer_1994!CA_NOC_WI</f>
        <v>0</v>
      </c>
      <c r="BM445" s="49">
        <f ca="1">BM392*Haute_Mer_1994!CA_NOC_WI</f>
        <v>0</v>
      </c>
      <c r="BN445" s="49">
        <f ca="1">BN392*Haute_Mer_1994!CA_NOC_WI</f>
        <v>0</v>
      </c>
      <c r="BO445" s="49">
        <f ca="1">BO392*Haute_Mer_1994!CA_NOC_WI</f>
        <v>0</v>
      </c>
      <c r="BP445" s="49">
        <f ca="1">BP392*Haute_Mer_1994!CA_NOC_WI</f>
        <v>0</v>
      </c>
      <c r="BQ445" s="49">
        <f ca="1">BQ392*Haute_Mer_1994!CA_NOC_WI</f>
        <v>0</v>
      </c>
      <c r="BR445" s="49">
        <f ca="1">BR392*Haute_Mer_1994!CA_NOC_WI</f>
        <v>0</v>
      </c>
      <c r="BS445" s="49">
        <f ca="1">BS392*Haute_Mer_1994!CA_NOC_WI</f>
        <v>0</v>
      </c>
    </row>
    <row r="446" spans="1:71" outlineLevel="1" x14ac:dyDescent="0.2">
      <c r="J446" s="26"/>
      <c r="L446" s="55"/>
      <c r="M446" s="55"/>
      <c r="N446" s="55"/>
      <c r="O446" s="55"/>
      <c r="P446" s="55"/>
      <c r="Q446" s="55"/>
      <c r="R446" s="55"/>
      <c r="S446" s="55"/>
      <c r="T446" s="55"/>
      <c r="U446" s="55"/>
      <c r="V446" s="55"/>
      <c r="W446" s="55"/>
      <c r="X446" s="55"/>
      <c r="Y446" s="55"/>
      <c r="Z446" s="55"/>
      <c r="AA446" s="55"/>
      <c r="AB446" s="55"/>
      <c r="AC446" s="55"/>
      <c r="AD446" s="55"/>
      <c r="AE446" s="55"/>
      <c r="AF446" s="55"/>
      <c r="AG446" s="55"/>
      <c r="AH446" s="55"/>
      <c r="AI446" s="55"/>
      <c r="AJ446" s="55"/>
      <c r="AK446" s="55"/>
      <c r="AL446" s="55"/>
      <c r="AM446" s="55"/>
      <c r="AN446" s="55"/>
      <c r="AO446" s="55"/>
      <c r="AP446" s="55"/>
      <c r="AQ446" s="55"/>
      <c r="AR446" s="55"/>
      <c r="AS446" s="55"/>
      <c r="AT446" s="55"/>
      <c r="AU446" s="55"/>
      <c r="AV446" s="55"/>
      <c r="AW446" s="55"/>
      <c r="AX446" s="55"/>
      <c r="AY446" s="55"/>
      <c r="AZ446" s="55"/>
      <c r="BA446" s="55"/>
      <c r="BB446" s="55"/>
      <c r="BC446" s="55"/>
      <c r="BD446" s="55"/>
      <c r="BE446" s="55"/>
      <c r="BF446" s="55"/>
      <c r="BG446" s="55"/>
      <c r="BH446" s="55"/>
      <c r="BI446" s="55"/>
      <c r="BJ446" s="55"/>
      <c r="BK446" s="55"/>
      <c r="BL446" s="55"/>
      <c r="BM446" s="55"/>
      <c r="BN446" s="55"/>
      <c r="BO446" s="55"/>
      <c r="BP446" s="55"/>
      <c r="BQ446" s="55"/>
      <c r="BR446" s="55"/>
      <c r="BS446" s="55"/>
    </row>
    <row r="447" spans="1:71" outlineLevel="1" x14ac:dyDescent="0.2">
      <c r="C447" s="11" t="s">
        <v>273</v>
      </c>
      <c r="I447" s="30">
        <f t="shared" ca="1" si="141"/>
        <v>0</v>
      </c>
      <c r="J447" s="26" t="s">
        <v>148</v>
      </c>
      <c r="L447" s="49">
        <f ca="1">L394*(Haute_Mer_1994!CA_NOC_WI)-(Haute_Mer_1994!CA_NOC_CI_devex+Haute_Mer_1994!CA_NOC_CI_expex)</f>
        <v>0</v>
      </c>
      <c r="M447" s="49">
        <f ca="1">M394*(Haute_Mer_1994!CA_NOC_WI)-(Haute_Mer_1994!CA_NOC_CI_devex+Haute_Mer_1994!CA_NOC_CI_expex)</f>
        <v>0</v>
      </c>
      <c r="N447" s="49">
        <f ca="1">N394*(Haute_Mer_1994!CA_NOC_WI)-(Haute_Mer_1994!CA_NOC_CI_devex+Haute_Mer_1994!CA_NOC_CI_expex)</f>
        <v>0</v>
      </c>
      <c r="O447" s="49">
        <f ca="1">O394*(Haute_Mer_1994!CA_NOC_WI)-(Haute_Mer_1994!CA_NOC_CI_devex+Haute_Mer_1994!CA_NOC_CI_expex)</f>
        <v>0</v>
      </c>
      <c r="P447" s="49">
        <f ca="1">P394*(Haute_Mer_1994!CA_NOC_WI)-(Haute_Mer_1994!CA_NOC_CI_devex+Haute_Mer_1994!CA_NOC_CI_expex)</f>
        <v>0</v>
      </c>
      <c r="Q447" s="49">
        <f ca="1">Q394*(Haute_Mer_1994!CA_NOC_WI)-(Haute_Mer_1994!CA_NOC_CI_devex+Haute_Mer_1994!CA_NOC_CI_expex)</f>
        <v>0</v>
      </c>
      <c r="R447" s="49">
        <f ca="1">R394*(Haute_Mer_1994!CA_NOC_WI)-(Haute_Mer_1994!CA_NOC_CI_devex+Haute_Mer_1994!CA_NOC_CI_expex)</f>
        <v>0</v>
      </c>
      <c r="S447" s="49">
        <f ca="1">S394*(Haute_Mer_1994!CA_NOC_WI)-(Haute_Mer_1994!CA_NOC_CI_devex+Haute_Mer_1994!CA_NOC_CI_expex)</f>
        <v>0</v>
      </c>
      <c r="T447" s="49">
        <f ca="1">T394*(Haute_Mer_1994!CA_NOC_WI)-(Haute_Mer_1994!CA_NOC_CI_devex+Haute_Mer_1994!CA_NOC_CI_expex)</f>
        <v>0</v>
      </c>
      <c r="U447" s="49">
        <f ca="1">U394*(Haute_Mer_1994!CA_NOC_WI)-(Haute_Mer_1994!CA_NOC_CI_devex+Haute_Mer_1994!CA_NOC_CI_expex)</f>
        <v>0</v>
      </c>
      <c r="V447" s="49">
        <f ca="1">V394*(Haute_Mer_1994!CA_NOC_WI)-(Haute_Mer_1994!CA_NOC_CI_devex+Haute_Mer_1994!CA_NOC_CI_expex)</f>
        <v>0</v>
      </c>
      <c r="W447" s="49">
        <f ca="1">W394*(Haute_Mer_1994!CA_NOC_WI)-(Haute_Mer_1994!CA_NOC_CI_devex+Haute_Mer_1994!CA_NOC_CI_expex)</f>
        <v>0</v>
      </c>
      <c r="X447" s="49">
        <f ca="1">X394*(Haute_Mer_1994!CA_NOC_WI)-(Haute_Mer_1994!CA_NOC_CI_devex+Haute_Mer_1994!CA_NOC_CI_expex)</f>
        <v>0</v>
      </c>
      <c r="Y447" s="49">
        <f ca="1">Y394*(Haute_Mer_1994!CA_NOC_WI)-(Haute_Mer_1994!CA_NOC_CI_devex+Haute_Mer_1994!CA_NOC_CI_expex)</f>
        <v>0</v>
      </c>
      <c r="Z447" s="49">
        <f ca="1">Z394*(Haute_Mer_1994!CA_NOC_WI)-(Haute_Mer_1994!CA_NOC_CI_devex+Haute_Mer_1994!CA_NOC_CI_expex)</f>
        <v>0</v>
      </c>
      <c r="AA447" s="49">
        <f ca="1">AA394*(Haute_Mer_1994!CA_NOC_WI)-(Haute_Mer_1994!CA_NOC_CI_devex+Haute_Mer_1994!CA_NOC_CI_expex)</f>
        <v>0</v>
      </c>
      <c r="AB447" s="49">
        <f ca="1">AB394*(Haute_Mer_1994!CA_NOC_WI)-(Haute_Mer_1994!CA_NOC_CI_devex+Haute_Mer_1994!CA_NOC_CI_expex)</f>
        <v>0</v>
      </c>
      <c r="AC447" s="49">
        <f ca="1">AC394*(Haute_Mer_1994!CA_NOC_WI)-(Haute_Mer_1994!CA_NOC_CI_devex+Haute_Mer_1994!CA_NOC_CI_expex)</f>
        <v>0</v>
      </c>
      <c r="AD447" s="49">
        <f ca="1">AD394*(Haute_Mer_1994!CA_NOC_WI)-(Haute_Mer_1994!CA_NOC_CI_devex+Haute_Mer_1994!CA_NOC_CI_expex)</f>
        <v>0</v>
      </c>
      <c r="AE447" s="49">
        <f ca="1">AE394*(Haute_Mer_1994!CA_NOC_WI)-(Haute_Mer_1994!CA_NOC_CI_devex+Haute_Mer_1994!CA_NOC_CI_expex)</f>
        <v>0</v>
      </c>
      <c r="AF447" s="49">
        <f ca="1">AF394*(Haute_Mer_1994!CA_NOC_WI)-(Haute_Mer_1994!CA_NOC_CI_devex+Haute_Mer_1994!CA_NOC_CI_expex)</f>
        <v>0</v>
      </c>
      <c r="AG447" s="49">
        <f ca="1">AG394*(Haute_Mer_1994!CA_NOC_WI)-(Haute_Mer_1994!CA_NOC_CI_devex+Haute_Mer_1994!CA_NOC_CI_expex)</f>
        <v>0</v>
      </c>
      <c r="AH447" s="49">
        <f ca="1">AH394*(Haute_Mer_1994!CA_NOC_WI)-(Haute_Mer_1994!CA_NOC_CI_devex+Haute_Mer_1994!CA_NOC_CI_expex)</f>
        <v>0</v>
      </c>
      <c r="AI447" s="49">
        <f ca="1">AI394*(Haute_Mer_1994!CA_NOC_WI)-(Haute_Mer_1994!CA_NOC_CI_devex+Haute_Mer_1994!CA_NOC_CI_expex)</f>
        <v>0</v>
      </c>
      <c r="AJ447" s="49">
        <f ca="1">AJ394*(Haute_Mer_1994!CA_NOC_WI)-(Haute_Mer_1994!CA_NOC_CI_devex+Haute_Mer_1994!CA_NOC_CI_expex)</f>
        <v>0</v>
      </c>
      <c r="AK447" s="49">
        <f ca="1">AK394*(Haute_Mer_1994!CA_NOC_WI)-(Haute_Mer_1994!CA_NOC_CI_devex+Haute_Mer_1994!CA_NOC_CI_expex)</f>
        <v>0</v>
      </c>
      <c r="AL447" s="49">
        <f ca="1">AL394*(Haute_Mer_1994!CA_NOC_WI)-(Haute_Mer_1994!CA_NOC_CI_devex+Haute_Mer_1994!CA_NOC_CI_expex)</f>
        <v>0</v>
      </c>
      <c r="AM447" s="49">
        <f ca="1">AM394*(Haute_Mer_1994!CA_NOC_WI)-(Haute_Mer_1994!CA_NOC_CI_devex+Haute_Mer_1994!CA_NOC_CI_expex)</f>
        <v>0</v>
      </c>
      <c r="AN447" s="49">
        <f ca="1">AN394*(Haute_Mer_1994!CA_NOC_WI)-(Haute_Mer_1994!CA_NOC_CI_devex+Haute_Mer_1994!CA_NOC_CI_expex)</f>
        <v>0</v>
      </c>
      <c r="AO447" s="49">
        <f ca="1">AO394*(Haute_Mer_1994!CA_NOC_WI)-(Haute_Mer_1994!CA_NOC_CI_devex+Haute_Mer_1994!CA_NOC_CI_expex)</f>
        <v>0</v>
      </c>
      <c r="AP447" s="49">
        <f ca="1">AP394*(Haute_Mer_1994!CA_NOC_WI)-(Haute_Mer_1994!CA_NOC_CI_devex+Haute_Mer_1994!CA_NOC_CI_expex)</f>
        <v>0</v>
      </c>
      <c r="AQ447" s="49">
        <f ca="1">AQ394*(Haute_Mer_1994!CA_NOC_WI)-(Haute_Mer_1994!CA_NOC_CI_devex+Haute_Mer_1994!CA_NOC_CI_expex)</f>
        <v>0</v>
      </c>
      <c r="AR447" s="49">
        <f ca="1">AR394*(Haute_Mer_1994!CA_NOC_WI)-(Haute_Mer_1994!CA_NOC_CI_devex+Haute_Mer_1994!CA_NOC_CI_expex)</f>
        <v>0</v>
      </c>
      <c r="AS447" s="49">
        <f ca="1">AS394*(Haute_Mer_1994!CA_NOC_WI)-(Haute_Mer_1994!CA_NOC_CI_devex+Haute_Mer_1994!CA_NOC_CI_expex)</f>
        <v>0</v>
      </c>
      <c r="AT447" s="49">
        <f ca="1">AT394*(Haute_Mer_1994!CA_NOC_WI)-(Haute_Mer_1994!CA_NOC_CI_devex+Haute_Mer_1994!CA_NOC_CI_expex)</f>
        <v>0</v>
      </c>
      <c r="AU447" s="49">
        <f ca="1">AU394*(Haute_Mer_1994!CA_NOC_WI)-(Haute_Mer_1994!CA_NOC_CI_devex+Haute_Mer_1994!CA_NOC_CI_expex)</f>
        <v>0</v>
      </c>
      <c r="AV447" s="49">
        <f ca="1">AV394*(Haute_Mer_1994!CA_NOC_WI)-(Haute_Mer_1994!CA_NOC_CI_devex+Haute_Mer_1994!CA_NOC_CI_expex)</f>
        <v>0</v>
      </c>
      <c r="AW447" s="49">
        <f ca="1">AW394*(Haute_Mer_1994!CA_NOC_WI)-(Haute_Mer_1994!CA_NOC_CI_devex+Haute_Mer_1994!CA_NOC_CI_expex)</f>
        <v>0</v>
      </c>
      <c r="AX447" s="49">
        <f ca="1">AX394*(Haute_Mer_1994!CA_NOC_WI)-(Haute_Mer_1994!CA_NOC_CI_devex+Haute_Mer_1994!CA_NOC_CI_expex)</f>
        <v>0</v>
      </c>
      <c r="AY447" s="49">
        <f ca="1">AY394*(Haute_Mer_1994!CA_NOC_WI)-(Haute_Mer_1994!CA_NOC_CI_devex+Haute_Mer_1994!CA_NOC_CI_expex)</f>
        <v>0</v>
      </c>
      <c r="AZ447" s="49">
        <f ca="1">AZ394*(Haute_Mer_1994!CA_NOC_WI)-(Haute_Mer_1994!CA_NOC_CI_devex+Haute_Mer_1994!CA_NOC_CI_expex)</f>
        <v>0</v>
      </c>
      <c r="BA447" s="49">
        <f ca="1">BA394*(Haute_Mer_1994!CA_NOC_WI)-(Haute_Mer_1994!CA_NOC_CI_devex+Haute_Mer_1994!CA_NOC_CI_expex)</f>
        <v>0</v>
      </c>
      <c r="BB447" s="49">
        <f ca="1">BB394*(Haute_Mer_1994!CA_NOC_WI)-(Haute_Mer_1994!CA_NOC_CI_devex+Haute_Mer_1994!CA_NOC_CI_expex)</f>
        <v>0</v>
      </c>
      <c r="BC447" s="49">
        <f ca="1">BC394*(Haute_Mer_1994!CA_NOC_WI)-(Haute_Mer_1994!CA_NOC_CI_devex+Haute_Mer_1994!CA_NOC_CI_expex)</f>
        <v>0</v>
      </c>
      <c r="BD447" s="49">
        <f ca="1">BD394*(Haute_Mer_1994!CA_NOC_WI)-(Haute_Mer_1994!CA_NOC_CI_devex+Haute_Mer_1994!CA_NOC_CI_expex)</f>
        <v>0</v>
      </c>
      <c r="BE447" s="49">
        <f ca="1">BE394*(Haute_Mer_1994!CA_NOC_WI)-(Haute_Mer_1994!CA_NOC_CI_devex+Haute_Mer_1994!CA_NOC_CI_expex)</f>
        <v>0</v>
      </c>
      <c r="BF447" s="49">
        <f ca="1">BF394*(Haute_Mer_1994!CA_NOC_WI)-(Haute_Mer_1994!CA_NOC_CI_devex+Haute_Mer_1994!CA_NOC_CI_expex)</f>
        <v>0</v>
      </c>
      <c r="BG447" s="49">
        <f ca="1">BG394*(Haute_Mer_1994!CA_NOC_WI)-(Haute_Mer_1994!CA_NOC_CI_devex+Haute_Mer_1994!CA_NOC_CI_expex)</f>
        <v>0</v>
      </c>
      <c r="BH447" s="49">
        <f ca="1">BH394*(Haute_Mer_1994!CA_NOC_WI)-(Haute_Mer_1994!CA_NOC_CI_devex+Haute_Mer_1994!CA_NOC_CI_expex)</f>
        <v>0</v>
      </c>
      <c r="BI447" s="49">
        <f ca="1">BI394*(Haute_Mer_1994!CA_NOC_WI)-(Haute_Mer_1994!CA_NOC_CI_devex+Haute_Mer_1994!CA_NOC_CI_expex)</f>
        <v>0</v>
      </c>
      <c r="BJ447" s="49">
        <f ca="1">BJ394*(Haute_Mer_1994!CA_NOC_WI)-(Haute_Mer_1994!CA_NOC_CI_devex+Haute_Mer_1994!CA_NOC_CI_expex)</f>
        <v>0</v>
      </c>
      <c r="BK447" s="49">
        <f ca="1">BK394*(Haute_Mer_1994!CA_NOC_WI)-(Haute_Mer_1994!CA_NOC_CI_devex+Haute_Mer_1994!CA_NOC_CI_expex)</f>
        <v>0</v>
      </c>
      <c r="BL447" s="49">
        <f ca="1">BL394*(Haute_Mer_1994!CA_NOC_WI)-(Haute_Mer_1994!CA_NOC_CI_devex+Haute_Mer_1994!CA_NOC_CI_expex)</f>
        <v>0</v>
      </c>
      <c r="BM447" s="49">
        <f ca="1">BM394*(Haute_Mer_1994!CA_NOC_WI)-(Haute_Mer_1994!CA_NOC_CI_devex+Haute_Mer_1994!CA_NOC_CI_expex)</f>
        <v>0</v>
      </c>
      <c r="BN447" s="49">
        <f ca="1">BN394*(Haute_Mer_1994!CA_NOC_WI)-(Haute_Mer_1994!CA_NOC_CI_devex+Haute_Mer_1994!CA_NOC_CI_expex)</f>
        <v>0</v>
      </c>
      <c r="BO447" s="49">
        <f ca="1">BO394*(Haute_Mer_1994!CA_NOC_WI)-(Haute_Mer_1994!CA_NOC_CI_devex+Haute_Mer_1994!CA_NOC_CI_expex)</f>
        <v>0</v>
      </c>
      <c r="BP447" s="49">
        <f ca="1">BP394*(Haute_Mer_1994!CA_NOC_WI)-(Haute_Mer_1994!CA_NOC_CI_devex+Haute_Mer_1994!CA_NOC_CI_expex)</f>
        <v>0</v>
      </c>
      <c r="BQ447" s="49">
        <f ca="1">BQ394*(Haute_Mer_1994!CA_NOC_WI)-(Haute_Mer_1994!CA_NOC_CI_devex+Haute_Mer_1994!CA_NOC_CI_expex)</f>
        <v>0</v>
      </c>
      <c r="BR447" s="49">
        <f ca="1">BR394*(Haute_Mer_1994!CA_NOC_WI)-(Haute_Mer_1994!CA_NOC_CI_devex+Haute_Mer_1994!CA_NOC_CI_expex)</f>
        <v>0</v>
      </c>
      <c r="BS447" s="49">
        <f ca="1">BS394*(Haute_Mer_1994!CA_NOC_WI)-(Haute_Mer_1994!CA_NOC_CI_devex+Haute_Mer_1994!CA_NOC_CI_expex)</f>
        <v>0</v>
      </c>
    </row>
    <row r="448" spans="1:71" outlineLevel="1" x14ac:dyDescent="0.2">
      <c r="J448" s="26"/>
      <c r="L448" s="55"/>
      <c r="M448" s="55"/>
      <c r="N448" s="55"/>
      <c r="O448" s="55"/>
      <c r="P448" s="55"/>
      <c r="Q448" s="55"/>
      <c r="R448" s="55"/>
      <c r="S448" s="55"/>
      <c r="T448" s="55"/>
      <c r="U448" s="55"/>
      <c r="V448" s="55"/>
      <c r="W448" s="55"/>
      <c r="X448" s="55"/>
      <c r="Y448" s="55"/>
      <c r="Z448" s="55"/>
      <c r="AA448" s="55"/>
      <c r="AB448" s="55"/>
      <c r="AC448" s="55"/>
      <c r="AD448" s="55"/>
      <c r="AE448" s="55"/>
      <c r="AF448" s="55"/>
      <c r="AG448" s="55"/>
      <c r="AH448" s="55"/>
      <c r="AI448" s="55"/>
      <c r="AJ448" s="55"/>
      <c r="AK448" s="55"/>
      <c r="AL448" s="55"/>
      <c r="AM448" s="55"/>
      <c r="AN448" s="55"/>
      <c r="AO448" s="55"/>
      <c r="AP448" s="55"/>
      <c r="AQ448" s="55"/>
      <c r="AR448" s="55"/>
      <c r="AS448" s="55"/>
      <c r="AT448" s="55"/>
      <c r="AU448" s="55"/>
      <c r="AV448" s="55"/>
      <c r="AW448" s="55"/>
      <c r="AX448" s="55"/>
      <c r="AY448" s="55"/>
      <c r="AZ448" s="55"/>
      <c r="BA448" s="55"/>
      <c r="BB448" s="55"/>
      <c r="BC448" s="55"/>
      <c r="BD448" s="55"/>
      <c r="BE448" s="55"/>
      <c r="BF448" s="55"/>
      <c r="BG448" s="55"/>
      <c r="BH448" s="55"/>
      <c r="BI448" s="55"/>
      <c r="BJ448" s="55"/>
      <c r="BK448" s="55"/>
      <c r="BL448" s="55"/>
      <c r="BM448" s="55"/>
      <c r="BN448" s="55"/>
      <c r="BO448" s="55"/>
      <c r="BP448" s="55"/>
      <c r="BQ448" s="55"/>
      <c r="BR448" s="55"/>
      <c r="BS448" s="55"/>
    </row>
    <row r="449" spans="3:71" outlineLevel="1" x14ac:dyDescent="0.2">
      <c r="C449" s="11" t="s">
        <v>264</v>
      </c>
      <c r="I449" s="30">
        <f t="shared" ca="1" si="141"/>
        <v>0</v>
      </c>
      <c r="J449" s="26" t="s">
        <v>148</v>
      </c>
      <c r="L449" s="49">
        <f ca="1">L396*Haute_Mer_1994!CA_NOC_WI</f>
        <v>0</v>
      </c>
      <c r="M449" s="49">
        <f ca="1">M396*Haute_Mer_1994!CA_NOC_WI</f>
        <v>0</v>
      </c>
      <c r="N449" s="49">
        <f ca="1">N396*Haute_Mer_1994!CA_NOC_WI</f>
        <v>0</v>
      </c>
      <c r="O449" s="49">
        <f ca="1">O396*Haute_Mer_1994!CA_NOC_WI</f>
        <v>0</v>
      </c>
      <c r="P449" s="49">
        <f ca="1">P396*Haute_Mer_1994!CA_NOC_WI</f>
        <v>0</v>
      </c>
      <c r="Q449" s="49">
        <f ca="1">Q396*Haute_Mer_1994!CA_NOC_WI</f>
        <v>0</v>
      </c>
      <c r="R449" s="49">
        <f ca="1">R396*Haute_Mer_1994!CA_NOC_WI</f>
        <v>0</v>
      </c>
      <c r="S449" s="49">
        <f ca="1">S396*Haute_Mer_1994!CA_NOC_WI</f>
        <v>0</v>
      </c>
      <c r="T449" s="49">
        <f ca="1">T396*Haute_Mer_1994!CA_NOC_WI</f>
        <v>0</v>
      </c>
      <c r="U449" s="49">
        <f ca="1">U396*Haute_Mer_1994!CA_NOC_WI</f>
        <v>0</v>
      </c>
      <c r="V449" s="49">
        <f ca="1">V396*Haute_Mer_1994!CA_NOC_WI</f>
        <v>0</v>
      </c>
      <c r="W449" s="49">
        <f ca="1">W396*Haute_Mer_1994!CA_NOC_WI</f>
        <v>0</v>
      </c>
      <c r="X449" s="49">
        <f ca="1">X396*Haute_Mer_1994!CA_NOC_WI</f>
        <v>0</v>
      </c>
      <c r="Y449" s="49">
        <f ca="1">Y396*Haute_Mer_1994!CA_NOC_WI</f>
        <v>0</v>
      </c>
      <c r="Z449" s="49">
        <f ca="1">Z396*Haute_Mer_1994!CA_NOC_WI</f>
        <v>0</v>
      </c>
      <c r="AA449" s="49">
        <f ca="1">AA396*Haute_Mer_1994!CA_NOC_WI</f>
        <v>0</v>
      </c>
      <c r="AB449" s="49">
        <f ca="1">AB396*Haute_Mer_1994!CA_NOC_WI</f>
        <v>0</v>
      </c>
      <c r="AC449" s="49">
        <f ca="1">AC396*Haute_Mer_1994!CA_NOC_WI</f>
        <v>0</v>
      </c>
      <c r="AD449" s="49">
        <f ca="1">AD396*Haute_Mer_1994!CA_NOC_WI</f>
        <v>0</v>
      </c>
      <c r="AE449" s="49">
        <f ca="1">AE396*Haute_Mer_1994!CA_NOC_WI</f>
        <v>0</v>
      </c>
      <c r="AF449" s="49">
        <f ca="1">AF396*Haute_Mer_1994!CA_NOC_WI</f>
        <v>0</v>
      </c>
      <c r="AG449" s="49">
        <f ca="1">AG396*Haute_Mer_1994!CA_NOC_WI</f>
        <v>0</v>
      </c>
      <c r="AH449" s="49">
        <f ca="1">AH396*Haute_Mer_1994!CA_NOC_WI</f>
        <v>0</v>
      </c>
      <c r="AI449" s="49">
        <f ca="1">AI396*Haute_Mer_1994!CA_NOC_WI</f>
        <v>0</v>
      </c>
      <c r="AJ449" s="49">
        <f ca="1">AJ396*Haute_Mer_1994!CA_NOC_WI</f>
        <v>0</v>
      </c>
      <c r="AK449" s="49">
        <f ca="1">AK396*Haute_Mer_1994!CA_NOC_WI</f>
        <v>0</v>
      </c>
      <c r="AL449" s="49">
        <f ca="1">AL396*Haute_Mer_1994!CA_NOC_WI</f>
        <v>0</v>
      </c>
      <c r="AM449" s="49">
        <f ca="1">AM396*Haute_Mer_1994!CA_NOC_WI</f>
        <v>0</v>
      </c>
      <c r="AN449" s="49">
        <f ca="1">AN396*Haute_Mer_1994!CA_NOC_WI</f>
        <v>0</v>
      </c>
      <c r="AO449" s="49">
        <f ca="1">AO396*Haute_Mer_1994!CA_NOC_WI</f>
        <v>0</v>
      </c>
      <c r="AP449" s="49">
        <f ca="1">AP396*Haute_Mer_1994!CA_NOC_WI</f>
        <v>0</v>
      </c>
      <c r="AQ449" s="49">
        <f ca="1">AQ396*Haute_Mer_1994!CA_NOC_WI</f>
        <v>0</v>
      </c>
      <c r="AR449" s="49">
        <f ca="1">AR396*Haute_Mer_1994!CA_NOC_WI</f>
        <v>0</v>
      </c>
      <c r="AS449" s="49">
        <f ca="1">AS396*Haute_Mer_1994!CA_NOC_WI</f>
        <v>0</v>
      </c>
      <c r="AT449" s="49">
        <f ca="1">AT396*Haute_Mer_1994!CA_NOC_WI</f>
        <v>0</v>
      </c>
      <c r="AU449" s="49">
        <f ca="1">AU396*Haute_Mer_1994!CA_NOC_WI</f>
        <v>0</v>
      </c>
      <c r="AV449" s="49">
        <f ca="1">AV396*Haute_Mer_1994!CA_NOC_WI</f>
        <v>0</v>
      </c>
      <c r="AW449" s="49">
        <f ca="1">AW396*Haute_Mer_1994!CA_NOC_WI</f>
        <v>0</v>
      </c>
      <c r="AX449" s="49">
        <f ca="1">AX396*Haute_Mer_1994!CA_NOC_WI</f>
        <v>0</v>
      </c>
      <c r="AY449" s="49">
        <f ca="1">AY396*Haute_Mer_1994!CA_NOC_WI</f>
        <v>0</v>
      </c>
      <c r="AZ449" s="49">
        <f ca="1">AZ396*Haute_Mer_1994!CA_NOC_WI</f>
        <v>0</v>
      </c>
      <c r="BA449" s="49">
        <f ca="1">BA396*Haute_Mer_1994!CA_NOC_WI</f>
        <v>0</v>
      </c>
      <c r="BB449" s="49">
        <f ca="1">BB396*Haute_Mer_1994!CA_NOC_WI</f>
        <v>0</v>
      </c>
      <c r="BC449" s="49">
        <f ca="1">BC396*Haute_Mer_1994!CA_NOC_WI</f>
        <v>0</v>
      </c>
      <c r="BD449" s="49">
        <f ca="1">BD396*Haute_Mer_1994!CA_NOC_WI</f>
        <v>0</v>
      </c>
      <c r="BE449" s="49">
        <f ca="1">BE396*Haute_Mer_1994!CA_NOC_WI</f>
        <v>0</v>
      </c>
      <c r="BF449" s="49">
        <f ca="1">BF396*Haute_Mer_1994!CA_NOC_WI</f>
        <v>0</v>
      </c>
      <c r="BG449" s="49">
        <f ca="1">BG396*Haute_Mer_1994!CA_NOC_WI</f>
        <v>0</v>
      </c>
      <c r="BH449" s="49">
        <f ca="1">BH396*Haute_Mer_1994!CA_NOC_WI</f>
        <v>0</v>
      </c>
      <c r="BI449" s="49">
        <f ca="1">BI396*Haute_Mer_1994!CA_NOC_WI</f>
        <v>0</v>
      </c>
      <c r="BJ449" s="49">
        <f ca="1">BJ396*Haute_Mer_1994!CA_NOC_WI</f>
        <v>0</v>
      </c>
      <c r="BK449" s="49">
        <f ca="1">BK396*Haute_Mer_1994!CA_NOC_WI</f>
        <v>0</v>
      </c>
      <c r="BL449" s="49">
        <f ca="1">BL396*Haute_Mer_1994!CA_NOC_WI</f>
        <v>0</v>
      </c>
      <c r="BM449" s="49">
        <f ca="1">BM396*Haute_Mer_1994!CA_NOC_WI</f>
        <v>0</v>
      </c>
      <c r="BN449" s="49">
        <f ca="1">BN396*Haute_Mer_1994!CA_NOC_WI</f>
        <v>0</v>
      </c>
      <c r="BO449" s="49">
        <f ca="1">BO396*Haute_Mer_1994!CA_NOC_WI</f>
        <v>0</v>
      </c>
      <c r="BP449" s="49">
        <f ca="1">BP396*Haute_Mer_1994!CA_NOC_WI</f>
        <v>0</v>
      </c>
      <c r="BQ449" s="49">
        <f ca="1">BQ396*Haute_Mer_1994!CA_NOC_WI</f>
        <v>0</v>
      </c>
      <c r="BR449" s="49">
        <f ca="1">BR396*Haute_Mer_1994!CA_NOC_WI</f>
        <v>0</v>
      </c>
      <c r="BS449" s="49">
        <f ca="1">BS396*Haute_Mer_1994!CA_NOC_WI</f>
        <v>0</v>
      </c>
    </row>
    <row r="450" spans="3:71" outlineLevel="1" x14ac:dyDescent="0.2">
      <c r="J450" s="26"/>
      <c r="L450" s="55"/>
      <c r="M450" s="55"/>
      <c r="N450" s="55"/>
      <c r="O450" s="55"/>
      <c r="P450" s="55"/>
      <c r="Q450" s="55"/>
      <c r="R450" s="55"/>
      <c r="S450" s="55"/>
      <c r="T450" s="55"/>
      <c r="U450" s="55"/>
      <c r="V450" s="55"/>
      <c r="W450" s="55"/>
      <c r="X450" s="55"/>
      <c r="Y450" s="55"/>
      <c r="Z450" s="55"/>
      <c r="AA450" s="55"/>
      <c r="AB450" s="55"/>
      <c r="AC450" s="55"/>
      <c r="AD450" s="55"/>
      <c r="AE450" s="55"/>
      <c r="AF450" s="55"/>
      <c r="AG450" s="55"/>
      <c r="AH450" s="55"/>
      <c r="AI450" s="55"/>
      <c r="AJ450" s="55"/>
      <c r="AK450" s="55"/>
      <c r="AL450" s="55"/>
      <c r="AM450" s="55"/>
      <c r="AN450" s="55"/>
      <c r="AO450" s="55"/>
      <c r="AP450" s="55"/>
      <c r="AQ450" s="55"/>
      <c r="AR450" s="55"/>
      <c r="AS450" s="55"/>
      <c r="AT450" s="55"/>
      <c r="AU450" s="55"/>
      <c r="AV450" s="55"/>
      <c r="AW450" s="55"/>
      <c r="AX450" s="55"/>
      <c r="AY450" s="55"/>
      <c r="AZ450" s="55"/>
      <c r="BA450" s="55"/>
      <c r="BB450" s="55"/>
      <c r="BC450" s="55"/>
      <c r="BD450" s="55"/>
      <c r="BE450" s="55"/>
      <c r="BF450" s="55"/>
      <c r="BG450" s="55"/>
      <c r="BH450" s="55"/>
      <c r="BI450" s="55"/>
      <c r="BJ450" s="55"/>
      <c r="BK450" s="55"/>
      <c r="BL450" s="55"/>
      <c r="BM450" s="55"/>
      <c r="BN450" s="55"/>
      <c r="BO450" s="55"/>
      <c r="BP450" s="55"/>
      <c r="BQ450" s="55"/>
      <c r="BR450" s="55"/>
      <c r="BS450" s="55"/>
    </row>
    <row r="451" spans="3:71" outlineLevel="1" x14ac:dyDescent="0.2">
      <c r="C451" s="11" t="s">
        <v>274</v>
      </c>
      <c r="I451" s="30">
        <f t="shared" ca="1" si="141"/>
        <v>0</v>
      </c>
      <c r="J451" s="26" t="s">
        <v>148</v>
      </c>
      <c r="L451" s="49">
        <f ca="1">L398*Haute_Mer_1994!CA_NOC_WI</f>
        <v>0</v>
      </c>
      <c r="M451" s="49">
        <f ca="1">M398*Haute_Mer_1994!CA_NOC_WI</f>
        <v>0</v>
      </c>
      <c r="N451" s="49">
        <f ca="1">N398*Haute_Mer_1994!CA_NOC_WI</f>
        <v>0</v>
      </c>
      <c r="O451" s="49">
        <f ca="1">O398*Haute_Mer_1994!CA_NOC_WI</f>
        <v>0</v>
      </c>
      <c r="P451" s="49">
        <f ca="1">P398*Haute_Mer_1994!CA_NOC_WI</f>
        <v>0</v>
      </c>
      <c r="Q451" s="49">
        <f ca="1">Q398*Haute_Mer_1994!CA_NOC_WI</f>
        <v>0</v>
      </c>
      <c r="R451" s="49">
        <f ca="1">R398*Haute_Mer_1994!CA_NOC_WI</f>
        <v>0</v>
      </c>
      <c r="S451" s="49">
        <f ca="1">S398*Haute_Mer_1994!CA_NOC_WI</f>
        <v>0</v>
      </c>
      <c r="T451" s="49">
        <f ca="1">T398*Haute_Mer_1994!CA_NOC_WI</f>
        <v>0</v>
      </c>
      <c r="U451" s="49">
        <f ca="1">U398*Haute_Mer_1994!CA_NOC_WI</f>
        <v>0</v>
      </c>
      <c r="V451" s="49">
        <f ca="1">V398*Haute_Mer_1994!CA_NOC_WI</f>
        <v>0</v>
      </c>
      <c r="W451" s="49">
        <f ca="1">W398*Haute_Mer_1994!CA_NOC_WI</f>
        <v>0</v>
      </c>
      <c r="X451" s="49">
        <f ca="1">X398*Haute_Mer_1994!CA_NOC_WI</f>
        <v>0</v>
      </c>
      <c r="Y451" s="49">
        <f ca="1">Y398*Haute_Mer_1994!CA_NOC_WI</f>
        <v>0</v>
      </c>
      <c r="Z451" s="49">
        <f ca="1">Z398*Haute_Mer_1994!CA_NOC_WI</f>
        <v>0</v>
      </c>
      <c r="AA451" s="49">
        <f ca="1">AA398*Haute_Mer_1994!CA_NOC_WI</f>
        <v>0</v>
      </c>
      <c r="AB451" s="49">
        <f ca="1">AB398*Haute_Mer_1994!CA_NOC_WI</f>
        <v>0</v>
      </c>
      <c r="AC451" s="49">
        <f ca="1">AC398*Haute_Mer_1994!CA_NOC_WI</f>
        <v>0</v>
      </c>
      <c r="AD451" s="49">
        <f ca="1">AD398*Haute_Mer_1994!CA_NOC_WI</f>
        <v>0</v>
      </c>
      <c r="AE451" s="49">
        <f ca="1">AE398*Haute_Mer_1994!CA_NOC_WI</f>
        <v>0</v>
      </c>
      <c r="AF451" s="49">
        <f ca="1">AF398*Haute_Mer_1994!CA_NOC_WI</f>
        <v>0</v>
      </c>
      <c r="AG451" s="49">
        <f ca="1">AG398*Haute_Mer_1994!CA_NOC_WI</f>
        <v>0</v>
      </c>
      <c r="AH451" s="49">
        <f ca="1">AH398*Haute_Mer_1994!CA_NOC_WI</f>
        <v>0</v>
      </c>
      <c r="AI451" s="49">
        <f ca="1">AI398*Haute_Mer_1994!CA_NOC_WI</f>
        <v>0</v>
      </c>
      <c r="AJ451" s="49">
        <f ca="1">AJ398*Haute_Mer_1994!CA_NOC_WI</f>
        <v>0</v>
      </c>
      <c r="AK451" s="49">
        <f ca="1">AK398*Haute_Mer_1994!CA_NOC_WI</f>
        <v>0</v>
      </c>
      <c r="AL451" s="49">
        <f ca="1">AL398*Haute_Mer_1994!CA_NOC_WI</f>
        <v>0</v>
      </c>
      <c r="AM451" s="49">
        <f ca="1">AM398*Haute_Mer_1994!CA_NOC_WI</f>
        <v>0</v>
      </c>
      <c r="AN451" s="49">
        <f ca="1">AN398*Haute_Mer_1994!CA_NOC_WI</f>
        <v>0</v>
      </c>
      <c r="AO451" s="49">
        <f ca="1">AO398*Haute_Mer_1994!CA_NOC_WI</f>
        <v>0</v>
      </c>
      <c r="AP451" s="49">
        <f ca="1">AP398*Haute_Mer_1994!CA_NOC_WI</f>
        <v>0</v>
      </c>
      <c r="AQ451" s="49">
        <f ca="1">AQ398*Haute_Mer_1994!CA_NOC_WI</f>
        <v>0</v>
      </c>
      <c r="AR451" s="49">
        <f ca="1">AR398*Haute_Mer_1994!CA_NOC_WI</f>
        <v>0</v>
      </c>
      <c r="AS451" s="49">
        <f ca="1">AS398*Haute_Mer_1994!CA_NOC_WI</f>
        <v>0</v>
      </c>
      <c r="AT451" s="49">
        <f ca="1">AT398*Haute_Mer_1994!CA_NOC_WI</f>
        <v>0</v>
      </c>
      <c r="AU451" s="49">
        <f ca="1">AU398*Haute_Mer_1994!CA_NOC_WI</f>
        <v>0</v>
      </c>
      <c r="AV451" s="49">
        <f ca="1">AV398*Haute_Mer_1994!CA_NOC_WI</f>
        <v>0</v>
      </c>
      <c r="AW451" s="49">
        <f ca="1">AW398*Haute_Mer_1994!CA_NOC_WI</f>
        <v>0</v>
      </c>
      <c r="AX451" s="49">
        <f ca="1">AX398*Haute_Mer_1994!CA_NOC_WI</f>
        <v>0</v>
      </c>
      <c r="AY451" s="49">
        <f ca="1">AY398*Haute_Mer_1994!CA_NOC_WI</f>
        <v>0</v>
      </c>
      <c r="AZ451" s="49">
        <f ca="1">AZ398*Haute_Mer_1994!CA_NOC_WI</f>
        <v>0</v>
      </c>
      <c r="BA451" s="49">
        <f ca="1">BA398*Haute_Mer_1994!CA_NOC_WI</f>
        <v>0</v>
      </c>
      <c r="BB451" s="49">
        <f ca="1">BB398*Haute_Mer_1994!CA_NOC_WI</f>
        <v>0</v>
      </c>
      <c r="BC451" s="49">
        <f ca="1">BC398*Haute_Mer_1994!CA_NOC_WI</f>
        <v>0</v>
      </c>
      <c r="BD451" s="49">
        <f ca="1">BD398*Haute_Mer_1994!CA_NOC_WI</f>
        <v>0</v>
      </c>
      <c r="BE451" s="49">
        <f ca="1">BE398*Haute_Mer_1994!CA_NOC_WI</f>
        <v>0</v>
      </c>
      <c r="BF451" s="49">
        <f ca="1">BF398*Haute_Mer_1994!CA_NOC_WI</f>
        <v>0</v>
      </c>
      <c r="BG451" s="49">
        <f ca="1">BG398*Haute_Mer_1994!CA_NOC_WI</f>
        <v>0</v>
      </c>
      <c r="BH451" s="49">
        <f ca="1">BH398*Haute_Mer_1994!CA_NOC_WI</f>
        <v>0</v>
      </c>
      <c r="BI451" s="49">
        <f ca="1">BI398*Haute_Mer_1994!CA_NOC_WI</f>
        <v>0</v>
      </c>
      <c r="BJ451" s="49">
        <f ca="1">BJ398*Haute_Mer_1994!CA_NOC_WI</f>
        <v>0</v>
      </c>
      <c r="BK451" s="49">
        <f ca="1">BK398*Haute_Mer_1994!CA_NOC_WI</f>
        <v>0</v>
      </c>
      <c r="BL451" s="49">
        <f ca="1">BL398*Haute_Mer_1994!CA_NOC_WI</f>
        <v>0</v>
      </c>
      <c r="BM451" s="49">
        <f ca="1">BM398*Haute_Mer_1994!CA_NOC_WI</f>
        <v>0</v>
      </c>
      <c r="BN451" s="49">
        <f ca="1">BN398*Haute_Mer_1994!CA_NOC_WI</f>
        <v>0</v>
      </c>
      <c r="BO451" s="49">
        <f ca="1">BO398*Haute_Mer_1994!CA_NOC_WI</f>
        <v>0</v>
      </c>
      <c r="BP451" s="49">
        <f ca="1">BP398*Haute_Mer_1994!CA_NOC_WI</f>
        <v>0</v>
      </c>
      <c r="BQ451" s="49">
        <f ca="1">BQ398*Haute_Mer_1994!CA_NOC_WI</f>
        <v>0</v>
      </c>
      <c r="BR451" s="49">
        <f ca="1">BR398*Haute_Mer_1994!CA_NOC_WI</f>
        <v>0</v>
      </c>
      <c r="BS451" s="49">
        <f ca="1">BS398*Haute_Mer_1994!CA_NOC_WI</f>
        <v>0</v>
      </c>
    </row>
    <row r="452" spans="3:71" outlineLevel="1" x14ac:dyDescent="0.2">
      <c r="J452" s="26"/>
      <c r="L452" s="55"/>
      <c r="M452" s="55"/>
      <c r="N452" s="55"/>
      <c r="O452" s="55"/>
      <c r="P452" s="55"/>
      <c r="Q452" s="55"/>
      <c r="R452" s="55"/>
      <c r="S452" s="55"/>
      <c r="T452" s="55"/>
      <c r="U452" s="55"/>
      <c r="V452" s="55"/>
      <c r="W452" s="55"/>
      <c r="X452" s="55"/>
      <c r="Y452" s="55"/>
      <c r="Z452" s="55"/>
      <c r="AA452" s="55"/>
      <c r="AB452" s="55"/>
      <c r="AC452" s="55"/>
      <c r="AD452" s="55"/>
      <c r="AE452" s="55"/>
      <c r="AF452" s="55"/>
      <c r="AG452" s="55"/>
      <c r="AH452" s="55"/>
      <c r="AI452" s="55"/>
      <c r="AJ452" s="55"/>
      <c r="AK452" s="55"/>
      <c r="AL452" s="55"/>
      <c r="AM452" s="55"/>
      <c r="AN452" s="55"/>
      <c r="AO452" s="55"/>
      <c r="AP452" s="55"/>
      <c r="AQ452" s="55"/>
      <c r="AR452" s="55"/>
      <c r="AS452" s="55"/>
      <c r="AT452" s="55"/>
      <c r="AU452" s="55"/>
      <c r="AV452" s="55"/>
      <c r="AW452" s="55"/>
      <c r="AX452" s="55"/>
      <c r="AY452" s="55"/>
      <c r="AZ452" s="55"/>
      <c r="BA452" s="55"/>
      <c r="BB452" s="55"/>
      <c r="BC452" s="55"/>
      <c r="BD452" s="55"/>
      <c r="BE452" s="55"/>
      <c r="BF452" s="55"/>
      <c r="BG452" s="55"/>
      <c r="BH452" s="55"/>
      <c r="BI452" s="55"/>
      <c r="BJ452" s="55"/>
      <c r="BK452" s="55"/>
      <c r="BL452" s="55"/>
      <c r="BM452" s="55"/>
      <c r="BN452" s="55"/>
      <c r="BO452" s="55"/>
      <c r="BP452" s="55"/>
      <c r="BQ452" s="55"/>
      <c r="BR452" s="55"/>
      <c r="BS452" s="55"/>
    </row>
    <row r="453" spans="3:71" outlineLevel="1" x14ac:dyDescent="0.2">
      <c r="C453" s="11" t="s">
        <v>275</v>
      </c>
      <c r="I453" s="30">
        <f t="shared" ca="1" si="141"/>
        <v>0</v>
      </c>
      <c r="J453" s="26" t="s">
        <v>148</v>
      </c>
      <c r="L453" s="49">
        <f ca="1">L400*Haute_Mer_1994!CA_NOC_WI</f>
        <v>0</v>
      </c>
      <c r="M453" s="49">
        <f ca="1">M400*Haute_Mer_1994!CA_NOC_WI</f>
        <v>0</v>
      </c>
      <c r="N453" s="49">
        <f ca="1">N400*Haute_Mer_1994!CA_NOC_WI</f>
        <v>0</v>
      </c>
      <c r="O453" s="49">
        <f ca="1">O400*Haute_Mer_1994!CA_NOC_WI</f>
        <v>0</v>
      </c>
      <c r="P453" s="49">
        <f ca="1">P400*Haute_Mer_1994!CA_NOC_WI</f>
        <v>0</v>
      </c>
      <c r="Q453" s="49">
        <f ca="1">Q400*Haute_Mer_1994!CA_NOC_WI</f>
        <v>0</v>
      </c>
      <c r="R453" s="49">
        <f ca="1">R400*Haute_Mer_1994!CA_NOC_WI</f>
        <v>0</v>
      </c>
      <c r="S453" s="49">
        <f ca="1">S400*Haute_Mer_1994!CA_NOC_WI</f>
        <v>0</v>
      </c>
      <c r="T453" s="49">
        <f ca="1">T400*Haute_Mer_1994!CA_NOC_WI</f>
        <v>0</v>
      </c>
      <c r="U453" s="49">
        <f ca="1">U400*Haute_Mer_1994!CA_NOC_WI</f>
        <v>0</v>
      </c>
      <c r="V453" s="49">
        <f ca="1">V400*Haute_Mer_1994!CA_NOC_WI</f>
        <v>0</v>
      </c>
      <c r="W453" s="49">
        <f ca="1">W400*Haute_Mer_1994!CA_NOC_WI</f>
        <v>0</v>
      </c>
      <c r="X453" s="49">
        <f ca="1">X400*Haute_Mer_1994!CA_NOC_WI</f>
        <v>0</v>
      </c>
      <c r="Y453" s="49">
        <f ca="1">Y400*Haute_Mer_1994!CA_NOC_WI</f>
        <v>0</v>
      </c>
      <c r="Z453" s="49">
        <f ca="1">Z400*Haute_Mer_1994!CA_NOC_WI</f>
        <v>0</v>
      </c>
      <c r="AA453" s="49">
        <f ca="1">AA400*Haute_Mer_1994!CA_NOC_WI</f>
        <v>0</v>
      </c>
      <c r="AB453" s="49">
        <f ca="1">AB400*Haute_Mer_1994!CA_NOC_WI</f>
        <v>0</v>
      </c>
      <c r="AC453" s="49">
        <f ca="1">AC400*Haute_Mer_1994!CA_NOC_WI</f>
        <v>0</v>
      </c>
      <c r="AD453" s="49">
        <f ca="1">AD400*Haute_Mer_1994!CA_NOC_WI</f>
        <v>0</v>
      </c>
      <c r="AE453" s="49">
        <f ca="1">AE400*Haute_Mer_1994!CA_NOC_WI</f>
        <v>0</v>
      </c>
      <c r="AF453" s="49">
        <f ca="1">AF400*Haute_Mer_1994!CA_NOC_WI</f>
        <v>0</v>
      </c>
      <c r="AG453" s="49">
        <f ca="1">AG400*Haute_Mer_1994!CA_NOC_WI</f>
        <v>0</v>
      </c>
      <c r="AH453" s="49">
        <f ca="1">AH400*Haute_Mer_1994!CA_NOC_WI</f>
        <v>0</v>
      </c>
      <c r="AI453" s="49">
        <f ca="1">AI400*Haute_Mer_1994!CA_NOC_WI</f>
        <v>0</v>
      </c>
      <c r="AJ453" s="49">
        <f ca="1">AJ400*Haute_Mer_1994!CA_NOC_WI</f>
        <v>0</v>
      </c>
      <c r="AK453" s="49">
        <f ca="1">AK400*Haute_Mer_1994!CA_NOC_WI</f>
        <v>0</v>
      </c>
      <c r="AL453" s="49">
        <f ca="1">AL400*Haute_Mer_1994!CA_NOC_WI</f>
        <v>0</v>
      </c>
      <c r="AM453" s="49">
        <f ca="1">AM400*Haute_Mer_1994!CA_NOC_WI</f>
        <v>0</v>
      </c>
      <c r="AN453" s="49">
        <f ca="1">AN400*Haute_Mer_1994!CA_NOC_WI</f>
        <v>0</v>
      </c>
      <c r="AO453" s="49">
        <f ca="1">AO400*Haute_Mer_1994!CA_NOC_WI</f>
        <v>0</v>
      </c>
      <c r="AP453" s="49">
        <f ca="1">AP400*Haute_Mer_1994!CA_NOC_WI</f>
        <v>0</v>
      </c>
      <c r="AQ453" s="49">
        <f ca="1">AQ400*Haute_Mer_1994!CA_NOC_WI</f>
        <v>0</v>
      </c>
      <c r="AR453" s="49">
        <f ca="1">AR400*Haute_Mer_1994!CA_NOC_WI</f>
        <v>0</v>
      </c>
      <c r="AS453" s="49">
        <f ca="1">AS400*Haute_Mer_1994!CA_NOC_WI</f>
        <v>0</v>
      </c>
      <c r="AT453" s="49">
        <f ca="1">AT400*Haute_Mer_1994!CA_NOC_WI</f>
        <v>0</v>
      </c>
      <c r="AU453" s="49">
        <f ca="1">AU400*Haute_Mer_1994!CA_NOC_WI</f>
        <v>0</v>
      </c>
      <c r="AV453" s="49">
        <f ca="1">AV400*Haute_Mer_1994!CA_NOC_WI</f>
        <v>0</v>
      </c>
      <c r="AW453" s="49">
        <f ca="1">AW400*Haute_Mer_1994!CA_NOC_WI</f>
        <v>0</v>
      </c>
      <c r="AX453" s="49">
        <f ca="1">AX400*Haute_Mer_1994!CA_NOC_WI</f>
        <v>0</v>
      </c>
      <c r="AY453" s="49">
        <f ca="1">AY400*Haute_Mer_1994!CA_NOC_WI</f>
        <v>0</v>
      </c>
      <c r="AZ453" s="49">
        <f ca="1">AZ400*Haute_Mer_1994!CA_NOC_WI</f>
        <v>0</v>
      </c>
      <c r="BA453" s="49">
        <f ca="1">BA400*Haute_Mer_1994!CA_NOC_WI</f>
        <v>0</v>
      </c>
      <c r="BB453" s="49">
        <f ca="1">BB400*Haute_Mer_1994!CA_NOC_WI</f>
        <v>0</v>
      </c>
      <c r="BC453" s="49">
        <f ca="1">BC400*Haute_Mer_1994!CA_NOC_WI</f>
        <v>0</v>
      </c>
      <c r="BD453" s="49">
        <f ca="1">BD400*Haute_Mer_1994!CA_NOC_WI</f>
        <v>0</v>
      </c>
      <c r="BE453" s="49">
        <f ca="1">BE400*Haute_Mer_1994!CA_NOC_WI</f>
        <v>0</v>
      </c>
      <c r="BF453" s="49">
        <f ca="1">BF400*Haute_Mer_1994!CA_NOC_WI</f>
        <v>0</v>
      </c>
      <c r="BG453" s="49">
        <f ca="1">BG400*Haute_Mer_1994!CA_NOC_WI</f>
        <v>0</v>
      </c>
      <c r="BH453" s="49">
        <f ca="1">BH400*Haute_Mer_1994!CA_NOC_WI</f>
        <v>0</v>
      </c>
      <c r="BI453" s="49">
        <f ca="1">BI400*Haute_Mer_1994!CA_NOC_WI</f>
        <v>0</v>
      </c>
      <c r="BJ453" s="49">
        <f ca="1">BJ400*Haute_Mer_1994!CA_NOC_WI</f>
        <v>0</v>
      </c>
      <c r="BK453" s="49">
        <f ca="1">BK400*Haute_Mer_1994!CA_NOC_WI</f>
        <v>0</v>
      </c>
      <c r="BL453" s="49">
        <f ca="1">BL400*Haute_Mer_1994!CA_NOC_WI</f>
        <v>0</v>
      </c>
      <c r="BM453" s="49">
        <f ca="1">BM400*Haute_Mer_1994!CA_NOC_WI</f>
        <v>0</v>
      </c>
      <c r="BN453" s="49">
        <f ca="1">BN400*Haute_Mer_1994!CA_NOC_WI</f>
        <v>0</v>
      </c>
      <c r="BO453" s="49">
        <f ca="1">BO400*Haute_Mer_1994!CA_NOC_WI</f>
        <v>0</v>
      </c>
      <c r="BP453" s="49">
        <f ca="1">BP400*Haute_Mer_1994!CA_NOC_WI</f>
        <v>0</v>
      </c>
      <c r="BQ453" s="49">
        <f ca="1">BQ400*Haute_Mer_1994!CA_NOC_WI</f>
        <v>0</v>
      </c>
      <c r="BR453" s="49">
        <f ca="1">BR400*Haute_Mer_1994!CA_NOC_WI</f>
        <v>0</v>
      </c>
      <c r="BS453" s="49">
        <f ca="1">BS400*Haute_Mer_1994!CA_NOC_WI</f>
        <v>0</v>
      </c>
    </row>
    <row r="454" spans="3:71" outlineLevel="1" x14ac:dyDescent="0.2">
      <c r="J454" s="26"/>
      <c r="L454" s="55"/>
      <c r="M454" s="55"/>
      <c r="N454" s="55"/>
      <c r="O454" s="55"/>
      <c r="P454" s="55"/>
      <c r="Q454" s="55"/>
      <c r="R454" s="55"/>
      <c r="S454" s="55"/>
      <c r="T454" s="55"/>
      <c r="U454" s="55"/>
      <c r="V454" s="55"/>
      <c r="W454" s="55"/>
      <c r="X454" s="55"/>
      <c r="Y454" s="55"/>
      <c r="Z454" s="55"/>
      <c r="AA454" s="55"/>
      <c r="AB454" s="55"/>
      <c r="AC454" s="55"/>
      <c r="AD454" s="55"/>
      <c r="AE454" s="55"/>
      <c r="AF454" s="55"/>
      <c r="AG454" s="55"/>
      <c r="AH454" s="55"/>
      <c r="AI454" s="55"/>
      <c r="AJ454" s="55"/>
      <c r="AK454" s="55"/>
      <c r="AL454" s="55"/>
      <c r="AM454" s="55"/>
      <c r="AN454" s="55"/>
      <c r="AO454" s="55"/>
      <c r="AP454" s="55"/>
      <c r="AQ454" s="55"/>
      <c r="AR454" s="55"/>
      <c r="AS454" s="55"/>
      <c r="AT454" s="55"/>
      <c r="AU454" s="55"/>
      <c r="AV454" s="55"/>
      <c r="AW454" s="55"/>
      <c r="AX454" s="55"/>
      <c r="AY454" s="55"/>
      <c r="AZ454" s="55"/>
      <c r="BA454" s="55"/>
      <c r="BB454" s="55"/>
      <c r="BC454" s="55"/>
      <c r="BD454" s="55"/>
      <c r="BE454" s="55"/>
      <c r="BF454" s="55"/>
      <c r="BG454" s="55"/>
      <c r="BH454" s="55"/>
      <c r="BI454" s="55"/>
      <c r="BJ454" s="55"/>
      <c r="BK454" s="55"/>
      <c r="BL454" s="55"/>
      <c r="BM454" s="55"/>
      <c r="BN454" s="55"/>
      <c r="BO454" s="55"/>
      <c r="BP454" s="55"/>
      <c r="BQ454" s="55"/>
      <c r="BR454" s="55"/>
      <c r="BS454" s="55"/>
    </row>
    <row r="455" spans="3:71" outlineLevel="1" x14ac:dyDescent="0.2">
      <c r="C455" s="11" t="s">
        <v>276</v>
      </c>
      <c r="F455" s="64" t="b">
        <f ca="1">ROUND(I455+I421-I402,2)=0</f>
        <v>1</v>
      </c>
      <c r="H455" s="7" t="s">
        <v>556</v>
      </c>
      <c r="I455" s="30">
        <f ca="1">SUM($L455:$BS455)</f>
        <v>-231.31243976556655</v>
      </c>
      <c r="J455" s="26" t="s">
        <v>148</v>
      </c>
      <c r="K455" s="7" t="s">
        <v>384</v>
      </c>
      <c r="L455" s="49">
        <f ca="1">L439-L441-L443-L445-L447-L449-L451-L453</f>
        <v>-4.1438572909211295</v>
      </c>
      <c r="M455" s="49">
        <f t="shared" ref="M455:BS455" ca="1" si="142">M439-M441-M443-M445-M447-M449-M451-M453</f>
        <v>-10.391113839746595</v>
      </c>
      <c r="N455" s="49">
        <f t="shared" ca="1" si="142"/>
        <v>-13.33735555182928</v>
      </c>
      <c r="O455" s="49">
        <f t="shared" ca="1" si="142"/>
        <v>-29.469845294390911</v>
      </c>
      <c r="P455" s="49">
        <f t="shared" ca="1" si="142"/>
        <v>-62.473642198828685</v>
      </c>
      <c r="Q455" s="49">
        <f t="shared" ca="1" si="142"/>
        <v>-1.7009391822731046</v>
      </c>
      <c r="R455" s="49">
        <f t="shared" ca="1" si="142"/>
        <v>-8.764088249759947</v>
      </c>
      <c r="S455" s="49">
        <f t="shared" ca="1" si="142"/>
        <v>-22.592053785250496</v>
      </c>
      <c r="T455" s="49">
        <f t="shared" ca="1" si="142"/>
        <v>-12.935195529458717</v>
      </c>
      <c r="U455" s="49">
        <f t="shared" ca="1" si="142"/>
        <v>-13.575198125882702</v>
      </c>
      <c r="V455" s="49">
        <f t="shared" ca="1" si="142"/>
        <v>-15.505795462212344</v>
      </c>
      <c r="W455" s="49">
        <f t="shared" ca="1" si="142"/>
        <v>-17.286154400053675</v>
      </c>
      <c r="X455" s="49">
        <f t="shared" ca="1" si="142"/>
        <v>-19.137200854958973</v>
      </c>
      <c r="Y455" s="49">
        <f t="shared" ca="1" si="142"/>
        <v>0</v>
      </c>
      <c r="Z455" s="49">
        <f t="shared" ca="1" si="142"/>
        <v>0</v>
      </c>
      <c r="AA455" s="49">
        <f t="shared" ca="1" si="142"/>
        <v>0</v>
      </c>
      <c r="AB455" s="49">
        <f t="shared" ca="1" si="142"/>
        <v>0</v>
      </c>
      <c r="AC455" s="49">
        <f t="shared" ca="1" si="142"/>
        <v>0</v>
      </c>
      <c r="AD455" s="49">
        <f t="shared" ca="1" si="142"/>
        <v>0</v>
      </c>
      <c r="AE455" s="49">
        <f t="shared" ca="1" si="142"/>
        <v>0</v>
      </c>
      <c r="AF455" s="49">
        <f t="shared" ca="1" si="142"/>
        <v>0</v>
      </c>
      <c r="AG455" s="49">
        <f t="shared" ca="1" si="142"/>
        <v>0</v>
      </c>
      <c r="AH455" s="49">
        <f t="shared" ca="1" si="142"/>
        <v>0</v>
      </c>
      <c r="AI455" s="49">
        <f t="shared" ca="1" si="142"/>
        <v>0</v>
      </c>
      <c r="AJ455" s="49">
        <f t="shared" ca="1" si="142"/>
        <v>0</v>
      </c>
      <c r="AK455" s="49">
        <f t="shared" ca="1" si="142"/>
        <v>0</v>
      </c>
      <c r="AL455" s="49">
        <f t="shared" ca="1" si="142"/>
        <v>0</v>
      </c>
      <c r="AM455" s="49">
        <f t="shared" ca="1" si="142"/>
        <v>0</v>
      </c>
      <c r="AN455" s="49">
        <f t="shared" ca="1" si="142"/>
        <v>0</v>
      </c>
      <c r="AO455" s="49">
        <f t="shared" ca="1" si="142"/>
        <v>0</v>
      </c>
      <c r="AP455" s="49">
        <f t="shared" ca="1" si="142"/>
        <v>0</v>
      </c>
      <c r="AQ455" s="49">
        <f t="shared" ca="1" si="142"/>
        <v>0</v>
      </c>
      <c r="AR455" s="49">
        <f t="shared" ca="1" si="142"/>
        <v>0</v>
      </c>
      <c r="AS455" s="49">
        <f t="shared" ca="1" si="142"/>
        <v>0</v>
      </c>
      <c r="AT455" s="49">
        <f t="shared" ca="1" si="142"/>
        <v>0</v>
      </c>
      <c r="AU455" s="49">
        <f t="shared" ca="1" si="142"/>
        <v>0</v>
      </c>
      <c r="AV455" s="49">
        <f t="shared" ca="1" si="142"/>
        <v>0</v>
      </c>
      <c r="AW455" s="49">
        <f t="shared" ca="1" si="142"/>
        <v>0</v>
      </c>
      <c r="AX455" s="49">
        <f t="shared" ca="1" si="142"/>
        <v>0</v>
      </c>
      <c r="AY455" s="49">
        <f t="shared" ca="1" si="142"/>
        <v>0</v>
      </c>
      <c r="AZ455" s="49">
        <f t="shared" ca="1" si="142"/>
        <v>0</v>
      </c>
      <c r="BA455" s="49">
        <f t="shared" ca="1" si="142"/>
        <v>0</v>
      </c>
      <c r="BB455" s="49">
        <f t="shared" ca="1" si="142"/>
        <v>0</v>
      </c>
      <c r="BC455" s="49">
        <f t="shared" ca="1" si="142"/>
        <v>0</v>
      </c>
      <c r="BD455" s="49">
        <f t="shared" ca="1" si="142"/>
        <v>0</v>
      </c>
      <c r="BE455" s="49">
        <f t="shared" ca="1" si="142"/>
        <v>0</v>
      </c>
      <c r="BF455" s="49">
        <f t="shared" ca="1" si="142"/>
        <v>0</v>
      </c>
      <c r="BG455" s="49">
        <f t="shared" ca="1" si="142"/>
        <v>0</v>
      </c>
      <c r="BH455" s="49">
        <f t="shared" ca="1" si="142"/>
        <v>0</v>
      </c>
      <c r="BI455" s="49">
        <f t="shared" ca="1" si="142"/>
        <v>0</v>
      </c>
      <c r="BJ455" s="49">
        <f t="shared" ca="1" si="142"/>
        <v>0</v>
      </c>
      <c r="BK455" s="49">
        <f t="shared" ca="1" si="142"/>
        <v>0</v>
      </c>
      <c r="BL455" s="49">
        <f t="shared" ca="1" si="142"/>
        <v>0</v>
      </c>
      <c r="BM455" s="49">
        <f t="shared" ca="1" si="142"/>
        <v>0</v>
      </c>
      <c r="BN455" s="49">
        <f t="shared" ca="1" si="142"/>
        <v>0</v>
      </c>
      <c r="BO455" s="49">
        <f t="shared" ca="1" si="142"/>
        <v>0</v>
      </c>
      <c r="BP455" s="49">
        <f t="shared" ca="1" si="142"/>
        <v>0</v>
      </c>
      <c r="BQ455" s="49">
        <f t="shared" ca="1" si="142"/>
        <v>0</v>
      </c>
      <c r="BR455" s="49">
        <f t="shared" ca="1" si="142"/>
        <v>0</v>
      </c>
      <c r="BS455" s="49">
        <f t="shared" ca="1" si="142"/>
        <v>0</v>
      </c>
    </row>
    <row r="456" spans="3:71" outlineLevel="1" x14ac:dyDescent="0.2">
      <c r="J456" s="26"/>
      <c r="L456" s="55"/>
      <c r="M456" s="55"/>
      <c r="N456" s="55"/>
      <c r="O456" s="55"/>
      <c r="P456" s="55"/>
      <c r="Q456" s="55"/>
      <c r="R456" s="55"/>
      <c r="S456" s="55"/>
      <c r="T456" s="55"/>
      <c r="U456" s="55"/>
      <c r="V456" s="55"/>
      <c r="W456" s="55"/>
      <c r="X456" s="55"/>
      <c r="Y456" s="55"/>
      <c r="Z456" s="55"/>
      <c r="AA456" s="55"/>
      <c r="AB456" s="55"/>
      <c r="AC456" s="55"/>
      <c r="AD456" s="55"/>
      <c r="AE456" s="55"/>
      <c r="AF456" s="55"/>
      <c r="AG456" s="55"/>
      <c r="AH456" s="55"/>
      <c r="AI456" s="55"/>
      <c r="AJ456" s="55"/>
      <c r="AK456" s="55"/>
      <c r="AL456" s="55"/>
      <c r="AM456" s="55"/>
      <c r="AN456" s="55"/>
      <c r="AO456" s="55"/>
      <c r="AP456" s="55"/>
      <c r="AQ456" s="55"/>
      <c r="AR456" s="55"/>
      <c r="AS456" s="55"/>
      <c r="AT456" s="55"/>
      <c r="AU456" s="55"/>
      <c r="AV456" s="55"/>
      <c r="AW456" s="55"/>
      <c r="AX456" s="55"/>
      <c r="AY456" s="55"/>
      <c r="AZ456" s="55"/>
      <c r="BA456" s="55"/>
      <c r="BB456" s="55"/>
      <c r="BC456" s="55"/>
      <c r="BD456" s="55"/>
      <c r="BE456" s="55"/>
      <c r="BF456" s="55"/>
      <c r="BG456" s="55"/>
      <c r="BH456" s="55"/>
      <c r="BI456" s="55"/>
      <c r="BJ456" s="55"/>
      <c r="BK456" s="55"/>
      <c r="BL456" s="55"/>
      <c r="BM456" s="55"/>
      <c r="BN456" s="55"/>
      <c r="BO456" s="55"/>
      <c r="BP456" s="55"/>
      <c r="BQ456" s="55"/>
      <c r="BR456" s="55"/>
      <c r="BS456" s="55"/>
    </row>
    <row r="457" spans="3:71" outlineLevel="1" x14ac:dyDescent="0.2">
      <c r="C457" s="11" t="s">
        <v>303</v>
      </c>
      <c r="J457" s="26"/>
      <c r="L457" s="66">
        <f t="shared" ref="L457:BS457" ca="1" si="143">(K457+L455)*CA_op_trig</f>
        <v>-4.1438572909211295</v>
      </c>
      <c r="M457" s="66">
        <f t="shared" ca="1" si="143"/>
        <v>-14.534971130667724</v>
      </c>
      <c r="N457" s="66">
        <f t="shared" ca="1" si="143"/>
        <v>-27.872326682497004</v>
      </c>
      <c r="O457" s="66">
        <f t="shared" ca="1" si="143"/>
        <v>-57.342171976887911</v>
      </c>
      <c r="P457" s="66">
        <f t="shared" ca="1" si="143"/>
        <v>-119.8158141757166</v>
      </c>
      <c r="Q457" s="66">
        <f t="shared" ca="1" si="143"/>
        <v>-121.5167533579897</v>
      </c>
      <c r="R457" s="66">
        <f t="shared" ca="1" si="143"/>
        <v>-130.28084160774964</v>
      </c>
      <c r="S457" s="66">
        <f t="shared" ca="1" si="143"/>
        <v>-152.87289539300014</v>
      </c>
      <c r="T457" s="66">
        <f t="shared" ca="1" si="143"/>
        <v>-165.80809092245886</v>
      </c>
      <c r="U457" s="66">
        <f t="shared" ca="1" si="143"/>
        <v>-179.38328904834157</v>
      </c>
      <c r="V457" s="66">
        <f t="shared" ca="1" si="143"/>
        <v>-194.88908451055391</v>
      </c>
      <c r="W457" s="66">
        <f t="shared" ca="1" si="143"/>
        <v>-212.17523891060759</v>
      </c>
      <c r="X457" s="66">
        <f t="shared" ca="1" si="143"/>
        <v>-231.31243976556655</v>
      </c>
      <c r="Y457" s="66">
        <f t="shared" ca="1" si="143"/>
        <v>0</v>
      </c>
      <c r="Z457" s="66">
        <f t="shared" ca="1" si="143"/>
        <v>0</v>
      </c>
      <c r="AA457" s="66">
        <f t="shared" ca="1" si="143"/>
        <v>0</v>
      </c>
      <c r="AB457" s="66">
        <f t="shared" ca="1" si="143"/>
        <v>0</v>
      </c>
      <c r="AC457" s="66">
        <f t="shared" ca="1" si="143"/>
        <v>0</v>
      </c>
      <c r="AD457" s="66">
        <f t="shared" ca="1" si="143"/>
        <v>0</v>
      </c>
      <c r="AE457" s="66">
        <f t="shared" ca="1" si="143"/>
        <v>0</v>
      </c>
      <c r="AF457" s="66">
        <f t="shared" ca="1" si="143"/>
        <v>0</v>
      </c>
      <c r="AG457" s="66">
        <f t="shared" ca="1" si="143"/>
        <v>0</v>
      </c>
      <c r="AH457" s="66">
        <f t="shared" ca="1" si="143"/>
        <v>0</v>
      </c>
      <c r="AI457" s="66">
        <f t="shared" ca="1" si="143"/>
        <v>0</v>
      </c>
      <c r="AJ457" s="66">
        <f t="shared" ca="1" si="143"/>
        <v>0</v>
      </c>
      <c r="AK457" s="66">
        <f t="shared" ca="1" si="143"/>
        <v>0</v>
      </c>
      <c r="AL457" s="66">
        <f t="shared" ca="1" si="143"/>
        <v>0</v>
      </c>
      <c r="AM457" s="66">
        <f t="shared" ca="1" si="143"/>
        <v>0</v>
      </c>
      <c r="AN457" s="66">
        <f t="shared" ca="1" si="143"/>
        <v>0</v>
      </c>
      <c r="AO457" s="66">
        <f t="shared" ca="1" si="143"/>
        <v>0</v>
      </c>
      <c r="AP457" s="66">
        <f t="shared" ca="1" si="143"/>
        <v>0</v>
      </c>
      <c r="AQ457" s="66">
        <f t="shared" ca="1" si="143"/>
        <v>0</v>
      </c>
      <c r="AR457" s="66">
        <f t="shared" ca="1" si="143"/>
        <v>0</v>
      </c>
      <c r="AS457" s="66">
        <f t="shared" ca="1" si="143"/>
        <v>0</v>
      </c>
      <c r="AT457" s="66">
        <f t="shared" ca="1" si="143"/>
        <v>0</v>
      </c>
      <c r="AU457" s="66">
        <f t="shared" ca="1" si="143"/>
        <v>0</v>
      </c>
      <c r="AV457" s="66">
        <f t="shared" ca="1" si="143"/>
        <v>0</v>
      </c>
      <c r="AW457" s="66">
        <f t="shared" ca="1" si="143"/>
        <v>0</v>
      </c>
      <c r="AX457" s="66">
        <f t="shared" ca="1" si="143"/>
        <v>0</v>
      </c>
      <c r="AY457" s="66">
        <f t="shared" ca="1" si="143"/>
        <v>0</v>
      </c>
      <c r="AZ457" s="66">
        <f t="shared" ca="1" si="143"/>
        <v>0</v>
      </c>
      <c r="BA457" s="66">
        <f t="shared" ca="1" si="143"/>
        <v>0</v>
      </c>
      <c r="BB457" s="66">
        <f t="shared" ca="1" si="143"/>
        <v>0</v>
      </c>
      <c r="BC457" s="66">
        <f t="shared" ca="1" si="143"/>
        <v>0</v>
      </c>
      <c r="BD457" s="66">
        <f t="shared" ca="1" si="143"/>
        <v>0</v>
      </c>
      <c r="BE457" s="66">
        <f t="shared" ca="1" si="143"/>
        <v>0</v>
      </c>
      <c r="BF457" s="66">
        <f t="shared" ca="1" si="143"/>
        <v>0</v>
      </c>
      <c r="BG457" s="66">
        <f t="shared" ca="1" si="143"/>
        <v>0</v>
      </c>
      <c r="BH457" s="66">
        <f t="shared" ca="1" si="143"/>
        <v>0</v>
      </c>
      <c r="BI457" s="66">
        <f t="shared" ca="1" si="143"/>
        <v>0</v>
      </c>
      <c r="BJ457" s="66">
        <f t="shared" ca="1" si="143"/>
        <v>0</v>
      </c>
      <c r="BK457" s="66">
        <f t="shared" ca="1" si="143"/>
        <v>0</v>
      </c>
      <c r="BL457" s="66">
        <f t="shared" ca="1" si="143"/>
        <v>0</v>
      </c>
      <c r="BM457" s="66">
        <f t="shared" ca="1" si="143"/>
        <v>0</v>
      </c>
      <c r="BN457" s="66">
        <f t="shared" ca="1" si="143"/>
        <v>0</v>
      </c>
      <c r="BO457" s="66">
        <f t="shared" ca="1" si="143"/>
        <v>0</v>
      </c>
      <c r="BP457" s="66">
        <f t="shared" ca="1" si="143"/>
        <v>0</v>
      </c>
      <c r="BQ457" s="66">
        <f t="shared" ca="1" si="143"/>
        <v>0</v>
      </c>
      <c r="BR457" s="66">
        <f t="shared" ca="1" si="143"/>
        <v>0</v>
      </c>
      <c r="BS457" s="66">
        <f t="shared" ca="1" si="143"/>
        <v>0</v>
      </c>
    </row>
    <row r="458" spans="3:71" outlineLevel="1" x14ac:dyDescent="0.2">
      <c r="J458" s="26"/>
      <c r="L458" s="55"/>
      <c r="M458" s="55"/>
      <c r="N458" s="55"/>
      <c r="O458" s="55"/>
      <c r="P458" s="55"/>
      <c r="Q458" s="55"/>
      <c r="R458" s="55"/>
      <c r="S458" s="55"/>
      <c r="T458" s="55"/>
      <c r="U458" s="55"/>
      <c r="V458" s="55"/>
      <c r="W458" s="55"/>
      <c r="X458" s="55"/>
      <c r="Y458" s="55"/>
      <c r="Z458" s="55"/>
      <c r="AA458" s="55"/>
      <c r="AB458" s="55"/>
      <c r="AC458" s="55"/>
      <c r="AD458" s="55"/>
      <c r="AE458" s="55"/>
      <c r="AF458" s="55"/>
      <c r="AG458" s="55"/>
      <c r="AH458" s="55"/>
      <c r="AI458" s="55"/>
      <c r="AJ458" s="55"/>
      <c r="AK458" s="55"/>
      <c r="AL458" s="55"/>
      <c r="AM458" s="55"/>
      <c r="AN458" s="55"/>
      <c r="AO458" s="55"/>
      <c r="AP458" s="55"/>
      <c r="AQ458" s="55"/>
      <c r="AR458" s="55"/>
      <c r="AS458" s="55"/>
      <c r="AT458" s="55"/>
      <c r="AU458" s="55"/>
      <c r="AV458" s="55"/>
      <c r="AW458" s="55"/>
      <c r="AX458" s="55"/>
      <c r="AY458" s="55"/>
      <c r="AZ458" s="55"/>
      <c r="BA458" s="55"/>
      <c r="BB458" s="55"/>
      <c r="BC458" s="55"/>
      <c r="BD458" s="55"/>
      <c r="BE458" s="55"/>
      <c r="BF458" s="55"/>
      <c r="BG458" s="55"/>
      <c r="BH458" s="55"/>
      <c r="BI458" s="55"/>
      <c r="BJ458" s="55"/>
      <c r="BK458" s="55"/>
      <c r="BL458" s="55"/>
      <c r="BM458" s="55"/>
      <c r="BN458" s="55"/>
      <c r="BO458" s="55"/>
      <c r="BP458" s="55"/>
      <c r="BQ458" s="55"/>
      <c r="BR458" s="55"/>
      <c r="BS458" s="55"/>
    </row>
    <row r="459" spans="3:71" outlineLevel="1" x14ac:dyDescent="0.2">
      <c r="C459" s="11" t="s">
        <v>284</v>
      </c>
      <c r="G459" s="60"/>
      <c r="H459" s="7" t="s">
        <v>557</v>
      </c>
      <c r="I459" s="63">
        <f ca="1">SUMPRODUCT(OA_noc_ATCF_HM1994,CA_disc_factor_fc)</f>
        <v>-130.57390644785335</v>
      </c>
      <c r="J459" s="26" t="s">
        <v>148</v>
      </c>
      <c r="L459" s="55"/>
      <c r="M459" s="55"/>
      <c r="N459" s="55"/>
      <c r="O459" s="55"/>
      <c r="P459" s="55"/>
      <c r="Q459" s="55"/>
      <c r="R459" s="55"/>
      <c r="S459" s="55"/>
      <c r="T459" s="55"/>
      <c r="U459" s="55"/>
      <c r="V459" s="55"/>
      <c r="W459" s="55"/>
      <c r="X459" s="55"/>
      <c r="Y459" s="55"/>
      <c r="Z459" s="55"/>
      <c r="AA459" s="55"/>
      <c r="AB459" s="55"/>
      <c r="AC459" s="55"/>
      <c r="AD459" s="55"/>
      <c r="AE459" s="55"/>
      <c r="AF459" s="55"/>
      <c r="AG459" s="55"/>
      <c r="AH459" s="55"/>
      <c r="AI459" s="55"/>
      <c r="AJ459" s="55"/>
      <c r="AK459" s="55"/>
      <c r="AL459" s="55"/>
      <c r="AM459" s="55"/>
      <c r="AN459" s="55"/>
      <c r="AO459" s="55"/>
      <c r="AP459" s="55"/>
      <c r="AQ459" s="55"/>
      <c r="AR459" s="55"/>
      <c r="AS459" s="55"/>
      <c r="AT459" s="55"/>
      <c r="AU459" s="55"/>
      <c r="AV459" s="55"/>
      <c r="AW459" s="55"/>
      <c r="AX459" s="55"/>
      <c r="AY459" s="55"/>
      <c r="AZ459" s="55"/>
      <c r="BA459" s="55"/>
      <c r="BB459" s="55"/>
      <c r="BC459" s="55"/>
      <c r="BD459" s="55"/>
      <c r="BE459" s="55"/>
      <c r="BF459" s="55"/>
      <c r="BG459" s="55"/>
      <c r="BH459" s="55"/>
      <c r="BI459" s="55"/>
      <c r="BJ459" s="55"/>
      <c r="BK459" s="55"/>
      <c r="BL459" s="55"/>
      <c r="BM459" s="55"/>
      <c r="BN459" s="55"/>
      <c r="BO459" s="55"/>
      <c r="BP459" s="55"/>
      <c r="BQ459" s="55"/>
      <c r="BR459" s="55"/>
      <c r="BS459" s="55"/>
    </row>
    <row r="460" spans="3:71" outlineLevel="1" x14ac:dyDescent="0.2">
      <c r="C460" s="11" t="s">
        <v>285</v>
      </c>
      <c r="I460" s="63">
        <f ca="1">SUMPRODUCT(OA_noc_ATCF_HM1994,CA_disc_factor_pf)</f>
        <v>0</v>
      </c>
      <c r="J460" s="26" t="s">
        <v>148</v>
      </c>
      <c r="L460" s="55"/>
      <c r="M460" s="55"/>
      <c r="N460" s="55"/>
      <c r="O460" s="55"/>
      <c r="P460" s="55"/>
      <c r="Q460" s="55"/>
      <c r="R460" s="55"/>
      <c r="S460" s="55"/>
      <c r="T460" s="55"/>
      <c r="U460" s="55"/>
      <c r="V460" s="55"/>
      <c r="W460" s="55"/>
      <c r="X460" s="55"/>
      <c r="Y460" s="55"/>
      <c r="Z460" s="55"/>
      <c r="AA460" s="55"/>
      <c r="AB460" s="55"/>
      <c r="AC460" s="55"/>
      <c r="AD460" s="55"/>
      <c r="AE460" s="55"/>
      <c r="AF460" s="55"/>
      <c r="AG460" s="55"/>
      <c r="AH460" s="55"/>
      <c r="AI460" s="55"/>
      <c r="AJ460" s="55"/>
      <c r="AK460" s="55"/>
      <c r="AL460" s="55"/>
      <c r="AM460" s="55"/>
      <c r="AN460" s="55"/>
      <c r="AO460" s="55"/>
      <c r="AP460" s="55"/>
      <c r="AQ460" s="55"/>
      <c r="AR460" s="55"/>
      <c r="AS460" s="55"/>
      <c r="AT460" s="55"/>
      <c r="AU460" s="55"/>
      <c r="AV460" s="55"/>
      <c r="AW460" s="55"/>
      <c r="AX460" s="55"/>
      <c r="AY460" s="55"/>
      <c r="AZ460" s="55"/>
      <c r="BA460" s="55"/>
      <c r="BB460" s="55"/>
      <c r="BC460" s="55"/>
      <c r="BD460" s="55"/>
      <c r="BE460" s="55"/>
      <c r="BF460" s="55"/>
      <c r="BG460" s="55"/>
      <c r="BH460" s="55"/>
      <c r="BI460" s="55"/>
      <c r="BJ460" s="55"/>
      <c r="BK460" s="55"/>
      <c r="BL460" s="55"/>
      <c r="BM460" s="55"/>
      <c r="BN460" s="55"/>
      <c r="BO460" s="55"/>
      <c r="BP460" s="55"/>
      <c r="BQ460" s="55"/>
      <c r="BR460" s="55"/>
      <c r="BS460" s="55"/>
    </row>
    <row r="461" spans="3:71" outlineLevel="1" x14ac:dyDescent="0.2">
      <c r="I461" s="61"/>
      <c r="J461" s="26"/>
      <c r="L461" s="55"/>
      <c r="M461" s="55"/>
      <c r="N461" s="55"/>
      <c r="O461" s="55"/>
      <c r="P461" s="55"/>
      <c r="Q461" s="55"/>
      <c r="R461" s="55"/>
      <c r="S461" s="55"/>
      <c r="T461" s="55"/>
      <c r="U461" s="55"/>
      <c r="V461" s="55"/>
      <c r="W461" s="55"/>
      <c r="X461" s="55"/>
      <c r="Y461" s="55"/>
      <c r="Z461" s="55"/>
      <c r="AA461" s="55"/>
      <c r="AB461" s="55"/>
      <c r="AC461" s="55"/>
      <c r="AD461" s="55"/>
      <c r="AE461" s="55"/>
      <c r="AF461" s="55"/>
      <c r="AG461" s="55"/>
      <c r="AH461" s="55"/>
      <c r="AI461" s="55"/>
      <c r="AJ461" s="55"/>
      <c r="AK461" s="55"/>
      <c r="AL461" s="55"/>
      <c r="AM461" s="55"/>
      <c r="AN461" s="55"/>
      <c r="AO461" s="55"/>
      <c r="AP461" s="55"/>
      <c r="AQ461" s="55"/>
      <c r="AR461" s="55"/>
      <c r="AS461" s="55"/>
      <c r="AT461" s="55"/>
      <c r="AU461" s="55"/>
      <c r="AV461" s="55"/>
      <c r="AW461" s="55"/>
      <c r="AX461" s="55"/>
      <c r="AY461" s="55"/>
      <c r="AZ461" s="55"/>
      <c r="BA461" s="55"/>
      <c r="BB461" s="55"/>
      <c r="BC461" s="55"/>
      <c r="BD461" s="55"/>
      <c r="BE461" s="55"/>
      <c r="BF461" s="55"/>
      <c r="BG461" s="55"/>
      <c r="BH461" s="55"/>
      <c r="BI461" s="55"/>
      <c r="BJ461" s="55"/>
      <c r="BK461" s="55"/>
      <c r="BL461" s="55"/>
      <c r="BM461" s="55"/>
      <c r="BN461" s="55"/>
      <c r="BO461" s="55"/>
      <c r="BP461" s="55"/>
      <c r="BQ461" s="55"/>
      <c r="BR461" s="55"/>
      <c r="BS461" s="55"/>
    </row>
    <row r="462" spans="3:71" outlineLevel="1" x14ac:dyDescent="0.2">
      <c r="C462" s="11" t="s">
        <v>286</v>
      </c>
      <c r="I462" s="62" t="str">
        <f ca="1">IFERROR(IRR(INDEX(OA_noc_ATCF_HM1994,1,MAX(1,$G$351-L4+1)):INDEX(OA_noc_ATCF_HM1994,1,last_model_year)),"na")</f>
        <v>na</v>
      </c>
      <c r="J462" s="26" t="s">
        <v>90</v>
      </c>
      <c r="L462" s="55"/>
      <c r="M462" s="55"/>
      <c r="N462" s="55"/>
      <c r="O462" s="55"/>
      <c r="P462" s="55"/>
      <c r="Q462" s="55"/>
      <c r="R462" s="55"/>
      <c r="S462" s="55"/>
      <c r="T462" s="55"/>
      <c r="U462" s="55"/>
      <c r="V462" s="55"/>
      <c r="W462" s="55"/>
      <c r="X462" s="55"/>
      <c r="Y462" s="55"/>
      <c r="Z462" s="55"/>
      <c r="AA462" s="55"/>
      <c r="AB462" s="55"/>
      <c r="AC462" s="55"/>
      <c r="AD462" s="55"/>
      <c r="AE462" s="55"/>
      <c r="AF462" s="55"/>
      <c r="AG462" s="55"/>
      <c r="AH462" s="55"/>
      <c r="AI462" s="55"/>
      <c r="AJ462" s="55"/>
      <c r="AK462" s="55"/>
      <c r="AL462" s="55"/>
      <c r="AM462" s="55"/>
      <c r="AN462" s="55"/>
      <c r="AO462" s="55"/>
      <c r="AP462" s="55"/>
      <c r="AQ462" s="55"/>
      <c r="AR462" s="55"/>
      <c r="AS462" s="55"/>
      <c r="AT462" s="55"/>
      <c r="AU462" s="55"/>
      <c r="AV462" s="55"/>
      <c r="AW462" s="55"/>
      <c r="AX462" s="55"/>
      <c r="AY462" s="55"/>
      <c r="AZ462" s="55"/>
      <c r="BA462" s="55"/>
      <c r="BB462" s="55"/>
      <c r="BC462" s="55"/>
      <c r="BD462" s="55"/>
      <c r="BE462" s="55"/>
      <c r="BF462" s="55"/>
      <c r="BG462" s="55"/>
      <c r="BH462" s="55"/>
      <c r="BI462" s="55"/>
      <c r="BJ462" s="55"/>
      <c r="BK462" s="55"/>
      <c r="BL462" s="55"/>
      <c r="BM462" s="55"/>
      <c r="BN462" s="55"/>
      <c r="BO462" s="55"/>
      <c r="BP462" s="55"/>
      <c r="BQ462" s="55"/>
      <c r="BR462" s="55"/>
      <c r="BS462" s="55"/>
    </row>
    <row r="463" spans="3:71" outlineLevel="1" x14ac:dyDescent="0.2">
      <c r="C463" s="11" t="s">
        <v>287</v>
      </c>
      <c r="I463" s="62" t="str">
        <f ca="1">IFERROR(IRR(INDEX(OA_noc_ATCF_HM1994,1,MAX(1,$G$352-L4+1)):INDEX(OA_noc_ATCF_HM1994,1,last_model_year)),"na")</f>
        <v>na</v>
      </c>
      <c r="J463" s="26" t="s">
        <v>90</v>
      </c>
      <c r="L463" s="55"/>
      <c r="M463" s="55"/>
      <c r="N463" s="55"/>
      <c r="O463" s="55"/>
      <c r="P463" s="55"/>
      <c r="Q463" s="55"/>
      <c r="R463" s="55"/>
      <c r="S463" s="55"/>
      <c r="T463" s="55"/>
      <c r="U463" s="55"/>
      <c r="V463" s="55"/>
      <c r="W463" s="55"/>
      <c r="X463" s="55"/>
      <c r="Y463" s="55"/>
      <c r="Z463" s="55"/>
      <c r="AA463" s="55"/>
      <c r="AB463" s="55"/>
      <c r="AC463" s="55"/>
      <c r="AD463" s="55"/>
      <c r="AE463" s="55"/>
      <c r="AF463" s="55"/>
      <c r="AG463" s="55"/>
      <c r="AH463" s="55"/>
      <c r="AI463" s="55"/>
      <c r="AJ463" s="55"/>
      <c r="AK463" s="55"/>
      <c r="AL463" s="55"/>
      <c r="AM463" s="55"/>
      <c r="AN463" s="55"/>
      <c r="AO463" s="55"/>
      <c r="AP463" s="55"/>
      <c r="AQ463" s="55"/>
      <c r="AR463" s="55"/>
      <c r="AS463" s="55"/>
      <c r="AT463" s="55"/>
      <c r="AU463" s="55"/>
      <c r="AV463" s="55"/>
      <c r="AW463" s="55"/>
      <c r="AX463" s="55"/>
      <c r="AY463" s="55"/>
      <c r="AZ463" s="55"/>
      <c r="BA463" s="55"/>
      <c r="BB463" s="55"/>
      <c r="BC463" s="55"/>
      <c r="BD463" s="55"/>
      <c r="BE463" s="55"/>
      <c r="BF463" s="55"/>
      <c r="BG463" s="55"/>
      <c r="BH463" s="55"/>
      <c r="BI463" s="55"/>
      <c r="BJ463" s="55"/>
      <c r="BK463" s="55"/>
      <c r="BL463" s="55"/>
      <c r="BM463" s="55"/>
      <c r="BN463" s="55"/>
      <c r="BO463" s="55"/>
      <c r="BP463" s="55"/>
      <c r="BQ463" s="55"/>
      <c r="BR463" s="55"/>
      <c r="BS463" s="55"/>
    </row>
    <row r="464" spans="3:71" outlineLevel="1" x14ac:dyDescent="0.2">
      <c r="J464" s="26"/>
      <c r="L464" s="55"/>
      <c r="M464" s="55"/>
      <c r="N464" s="55"/>
      <c r="O464" s="55"/>
      <c r="P464" s="55"/>
      <c r="Q464" s="55"/>
      <c r="R464" s="55"/>
      <c r="S464" s="55"/>
      <c r="T464" s="55"/>
      <c r="U464" s="55"/>
      <c r="V464" s="55"/>
      <c r="W464" s="55"/>
      <c r="X464" s="55"/>
      <c r="Y464" s="55"/>
      <c r="Z464" s="55"/>
      <c r="AA464" s="55"/>
      <c r="AB464" s="55"/>
      <c r="AC464" s="55"/>
      <c r="AD464" s="55"/>
      <c r="AE464" s="55"/>
      <c r="AF464" s="55"/>
      <c r="AG464" s="55"/>
      <c r="AH464" s="55"/>
      <c r="AI464" s="55"/>
      <c r="AJ464" s="55"/>
      <c r="AK464" s="55"/>
      <c r="AL464" s="55"/>
      <c r="AM464" s="55"/>
      <c r="AN464" s="55"/>
      <c r="AO464" s="55"/>
      <c r="AP464" s="55"/>
      <c r="AQ464" s="55"/>
      <c r="AR464" s="55"/>
      <c r="AS464" s="55"/>
      <c r="AT464" s="55"/>
      <c r="AU464" s="55"/>
      <c r="AV464" s="55"/>
      <c r="AW464" s="55"/>
      <c r="AX464" s="55"/>
      <c r="AY464" s="55"/>
      <c r="AZ464" s="55"/>
      <c r="BA464" s="55"/>
      <c r="BB464" s="55"/>
      <c r="BC464" s="55"/>
      <c r="BD464" s="55"/>
      <c r="BE464" s="55"/>
      <c r="BF464" s="55"/>
      <c r="BG464" s="55"/>
      <c r="BH464" s="55"/>
      <c r="BI464" s="55"/>
      <c r="BJ464" s="55"/>
      <c r="BK464" s="55"/>
      <c r="BL464" s="55"/>
      <c r="BM464" s="55"/>
      <c r="BN464" s="55"/>
      <c r="BO464" s="55"/>
      <c r="BP464" s="55"/>
      <c r="BQ464" s="55"/>
      <c r="BR464" s="55"/>
      <c r="BS464" s="55"/>
    </row>
    <row r="465" spans="1:71" outlineLevel="1" x14ac:dyDescent="0.2">
      <c r="C465" s="11" t="s">
        <v>304</v>
      </c>
      <c r="I465" s="67">
        <f ca="1">COUNTIF(L457:BS457,"&lt;0")+1</f>
        <v>14</v>
      </c>
      <c r="J465" s="26"/>
      <c r="L465" s="55"/>
      <c r="M465" s="55"/>
      <c r="N465" s="55"/>
      <c r="O465" s="55"/>
      <c r="P465" s="55"/>
      <c r="Q465" s="55"/>
      <c r="R465" s="55"/>
      <c r="S465" s="55"/>
      <c r="T465" s="55"/>
      <c r="U465" s="55"/>
      <c r="V465" s="55"/>
      <c r="W465" s="55"/>
      <c r="X465" s="55"/>
      <c r="Y465" s="55"/>
      <c r="Z465" s="55"/>
      <c r="AA465" s="55"/>
      <c r="AB465" s="55"/>
      <c r="AC465" s="55"/>
      <c r="AD465" s="55"/>
      <c r="AE465" s="55"/>
      <c r="AF465" s="55"/>
      <c r="AG465" s="55"/>
      <c r="AH465" s="55"/>
      <c r="AI465" s="55"/>
      <c r="AJ465" s="55"/>
      <c r="AK465" s="55"/>
      <c r="AL465" s="55"/>
      <c r="AM465" s="55"/>
      <c r="AN465" s="55"/>
      <c r="AO465" s="55"/>
      <c r="AP465" s="55"/>
      <c r="AQ465" s="55"/>
      <c r="AR465" s="55"/>
      <c r="AS465" s="55"/>
      <c r="AT465" s="55"/>
      <c r="AU465" s="55"/>
      <c r="AV465" s="55"/>
      <c r="AW465" s="55"/>
      <c r="AX465" s="55"/>
      <c r="AY465" s="55"/>
      <c r="AZ465" s="55"/>
      <c r="BA465" s="55"/>
      <c r="BB465" s="55"/>
      <c r="BC465" s="55"/>
      <c r="BD465" s="55"/>
      <c r="BE465" s="55"/>
      <c r="BF465" s="55"/>
      <c r="BG465" s="55"/>
      <c r="BH465" s="55"/>
      <c r="BI465" s="55"/>
      <c r="BJ465" s="55"/>
      <c r="BK465" s="55"/>
      <c r="BL465" s="55"/>
      <c r="BM465" s="55"/>
      <c r="BN465" s="55"/>
      <c r="BO465" s="55"/>
      <c r="BP465" s="55"/>
      <c r="BQ465" s="55"/>
      <c r="BR465" s="55"/>
      <c r="BS465" s="55"/>
    </row>
    <row r="466" spans="1:71" outlineLevel="1" x14ac:dyDescent="0.2">
      <c r="J466" s="26"/>
      <c r="L466" s="55"/>
      <c r="M466" s="55"/>
      <c r="N466" s="55"/>
      <c r="O466" s="55"/>
      <c r="P466" s="55"/>
      <c r="Q466" s="55"/>
      <c r="R466" s="55"/>
      <c r="S466" s="55"/>
      <c r="T466" s="55"/>
      <c r="U466" s="55"/>
      <c r="V466" s="55"/>
      <c r="W466" s="55"/>
      <c r="X466" s="55"/>
      <c r="Y466" s="55"/>
      <c r="Z466" s="55"/>
      <c r="AA466" s="55"/>
      <c r="AB466" s="55"/>
      <c r="AC466" s="55"/>
      <c r="AD466" s="55"/>
      <c r="AE466" s="55"/>
      <c r="AF466" s="55"/>
      <c r="AG466" s="55"/>
      <c r="AH466" s="55"/>
      <c r="AI466" s="55"/>
      <c r="AJ466" s="55"/>
      <c r="AK466" s="55"/>
      <c r="AL466" s="55"/>
      <c r="AM466" s="55"/>
      <c r="AN466" s="55"/>
      <c r="AO466" s="55"/>
      <c r="AP466" s="55"/>
      <c r="AQ466" s="55"/>
      <c r="AR466" s="55"/>
      <c r="AS466" s="55"/>
      <c r="AT466" s="55"/>
      <c r="AU466" s="55"/>
      <c r="AV466" s="55"/>
      <c r="AW466" s="55"/>
      <c r="AX466" s="55"/>
      <c r="AY466" s="55"/>
      <c r="AZ466" s="55"/>
      <c r="BA466" s="55"/>
      <c r="BB466" s="55"/>
      <c r="BC466" s="55"/>
      <c r="BD466" s="55"/>
      <c r="BE466" s="55"/>
      <c r="BF466" s="55"/>
      <c r="BG466" s="55"/>
      <c r="BH466" s="55"/>
      <c r="BI466" s="55"/>
      <c r="BJ466" s="55"/>
      <c r="BK466" s="55"/>
      <c r="BL466" s="55"/>
      <c r="BM466" s="55"/>
      <c r="BN466" s="55"/>
      <c r="BO466" s="55"/>
      <c r="BP466" s="55"/>
      <c r="BQ466" s="55"/>
      <c r="BR466" s="55"/>
      <c r="BS466" s="55"/>
    </row>
    <row r="467" spans="1:71" outlineLevel="1" x14ac:dyDescent="0.2">
      <c r="J467" s="26"/>
      <c r="L467" s="55"/>
      <c r="M467" s="55"/>
      <c r="N467" s="55"/>
      <c r="O467" s="55"/>
      <c r="P467" s="55"/>
      <c r="Q467" s="55"/>
      <c r="R467" s="55"/>
      <c r="S467" s="55"/>
      <c r="T467" s="55"/>
      <c r="U467" s="55"/>
      <c r="V467" s="55"/>
      <c r="W467" s="55"/>
      <c r="X467" s="55"/>
      <c r="Y467" s="55"/>
      <c r="Z467" s="55"/>
      <c r="AA467" s="55"/>
      <c r="AB467" s="55"/>
      <c r="AC467" s="55"/>
      <c r="AD467" s="55"/>
      <c r="AE467" s="55"/>
      <c r="AF467" s="55"/>
      <c r="AG467" s="55"/>
      <c r="AH467" s="55"/>
      <c r="AI467" s="55"/>
      <c r="AJ467" s="55"/>
      <c r="AK467" s="55"/>
      <c r="AL467" s="55"/>
      <c r="AM467" s="55"/>
      <c r="AN467" s="55"/>
      <c r="AO467" s="55"/>
      <c r="AP467" s="55"/>
      <c r="AQ467" s="55"/>
      <c r="AR467" s="55"/>
      <c r="AS467" s="55"/>
      <c r="AT467" s="55"/>
      <c r="AU467" s="55"/>
      <c r="AV467" s="55"/>
      <c r="AW467" s="55"/>
      <c r="AX467" s="55"/>
      <c r="AY467" s="55"/>
      <c r="AZ467" s="55"/>
      <c r="BA467" s="55"/>
      <c r="BB467" s="55"/>
      <c r="BC467" s="55"/>
      <c r="BD467" s="55"/>
      <c r="BE467" s="55"/>
      <c r="BF467" s="55"/>
      <c r="BG467" s="55"/>
      <c r="BH467" s="55"/>
      <c r="BI467" s="55"/>
      <c r="BJ467" s="55"/>
      <c r="BK467" s="55"/>
      <c r="BL467" s="55"/>
      <c r="BM467" s="55"/>
      <c r="BN467" s="55"/>
      <c r="BO467" s="55"/>
      <c r="BP467" s="55"/>
      <c r="BQ467" s="55"/>
      <c r="BR467" s="55"/>
      <c r="BS467" s="55"/>
    </row>
    <row r="468" spans="1:71" outlineLevel="1" x14ac:dyDescent="0.2">
      <c r="J468" s="26"/>
      <c r="L468" s="55"/>
      <c r="M468" s="55"/>
      <c r="N468" s="55"/>
      <c r="O468" s="55"/>
      <c r="P468" s="55"/>
      <c r="Q468" s="55"/>
      <c r="R468" s="55"/>
      <c r="S468" s="55"/>
      <c r="T468" s="55"/>
      <c r="U468" s="55"/>
      <c r="V468" s="55"/>
      <c r="W468" s="55"/>
      <c r="X468" s="55"/>
      <c r="Y468" s="55"/>
      <c r="Z468" s="55"/>
      <c r="AA468" s="55"/>
      <c r="AB468" s="55"/>
      <c r="AC468" s="55"/>
      <c r="AD468" s="55"/>
      <c r="AE468" s="55"/>
      <c r="AF468" s="55"/>
      <c r="AG468" s="55"/>
      <c r="AH468" s="55"/>
      <c r="AI468" s="55"/>
      <c r="AJ468" s="55"/>
      <c r="AK468" s="55"/>
      <c r="AL468" s="55"/>
      <c r="AM468" s="55"/>
      <c r="AN468" s="55"/>
      <c r="AO468" s="55"/>
      <c r="AP468" s="55"/>
      <c r="AQ468" s="55"/>
      <c r="AR468" s="55"/>
      <c r="AS468" s="55"/>
      <c r="AT468" s="55"/>
      <c r="AU468" s="55"/>
      <c r="AV468" s="55"/>
      <c r="AW468" s="55"/>
      <c r="AX468" s="55"/>
      <c r="AY468" s="55"/>
      <c r="AZ468" s="55"/>
      <c r="BA468" s="55"/>
      <c r="BB468" s="55"/>
      <c r="BC468" s="55"/>
      <c r="BD468" s="55"/>
      <c r="BE468" s="55"/>
      <c r="BF468" s="55"/>
      <c r="BG468" s="55"/>
      <c r="BH468" s="55"/>
      <c r="BI468" s="55"/>
      <c r="BJ468" s="55"/>
      <c r="BK468" s="55"/>
      <c r="BL468" s="55"/>
      <c r="BM468" s="55"/>
      <c r="BN468" s="55"/>
      <c r="BO468" s="55"/>
      <c r="BP468" s="55"/>
      <c r="BQ468" s="55"/>
      <c r="BR468" s="55"/>
      <c r="BS468" s="55"/>
    </row>
    <row r="469" spans="1:71" outlineLevel="1" x14ac:dyDescent="0.2">
      <c r="J469" s="26"/>
      <c r="L469" s="55"/>
      <c r="M469" s="55"/>
      <c r="N469" s="55"/>
      <c r="O469" s="55"/>
      <c r="P469" s="55"/>
      <c r="Q469" s="55"/>
      <c r="R469" s="55"/>
      <c r="S469" s="55"/>
      <c r="T469" s="55"/>
      <c r="U469" s="55"/>
      <c r="V469" s="55"/>
      <c r="W469" s="55"/>
      <c r="X469" s="55"/>
      <c r="Y469" s="55"/>
      <c r="Z469" s="55"/>
      <c r="AA469" s="55"/>
      <c r="AB469" s="55"/>
      <c r="AC469" s="55"/>
      <c r="AD469" s="55"/>
      <c r="AE469" s="55"/>
      <c r="AF469" s="55"/>
      <c r="AG469" s="55"/>
      <c r="AH469" s="55"/>
      <c r="AI469" s="55"/>
      <c r="AJ469" s="55"/>
      <c r="AK469" s="55"/>
      <c r="AL469" s="55"/>
      <c r="AM469" s="55"/>
      <c r="AN469" s="55"/>
      <c r="AO469" s="55"/>
      <c r="AP469" s="55"/>
      <c r="AQ469" s="55"/>
      <c r="AR469" s="55"/>
      <c r="AS469" s="55"/>
      <c r="AT469" s="55"/>
      <c r="AU469" s="55"/>
      <c r="AV469" s="55"/>
      <c r="AW469" s="55"/>
      <c r="AX469" s="55"/>
      <c r="AY469" s="55"/>
      <c r="AZ469" s="55"/>
      <c r="BA469" s="55"/>
      <c r="BB469" s="55"/>
      <c r="BC469" s="55"/>
      <c r="BD469" s="55"/>
      <c r="BE469" s="55"/>
      <c r="BF469" s="55"/>
      <c r="BG469" s="55"/>
      <c r="BH469" s="55"/>
      <c r="BI469" s="55"/>
      <c r="BJ469" s="55"/>
      <c r="BK469" s="55"/>
      <c r="BL469" s="55"/>
      <c r="BM469" s="55"/>
      <c r="BN469" s="55"/>
      <c r="BO469" s="55"/>
      <c r="BP469" s="55"/>
      <c r="BQ469" s="55"/>
      <c r="BR469" s="55"/>
      <c r="BS469" s="55"/>
    </row>
    <row r="470" spans="1:71" outlineLevel="1" x14ac:dyDescent="0.2">
      <c r="J470" s="26"/>
      <c r="L470" s="55"/>
      <c r="M470" s="55"/>
      <c r="N470" s="55"/>
      <c r="O470" s="55"/>
      <c r="P470" s="55"/>
      <c r="Q470" s="55"/>
      <c r="R470" s="55"/>
      <c r="S470" s="55"/>
      <c r="T470" s="55"/>
      <c r="U470" s="55"/>
      <c r="V470" s="55"/>
      <c r="W470" s="55"/>
      <c r="X470" s="55"/>
      <c r="Y470" s="55"/>
      <c r="Z470" s="55"/>
      <c r="AA470" s="55"/>
      <c r="AB470" s="55"/>
      <c r="AC470" s="55"/>
      <c r="AD470" s="55"/>
      <c r="AE470" s="55"/>
      <c r="AF470" s="55"/>
      <c r="AG470" s="55"/>
      <c r="AH470" s="55"/>
      <c r="AI470" s="55"/>
      <c r="AJ470" s="55"/>
      <c r="AK470" s="55"/>
      <c r="AL470" s="55"/>
      <c r="AM470" s="55"/>
      <c r="AN470" s="55"/>
      <c r="AO470" s="55"/>
      <c r="AP470" s="55"/>
      <c r="AQ470" s="55"/>
      <c r="AR470" s="55"/>
      <c r="AS470" s="55"/>
      <c r="AT470" s="55"/>
      <c r="AU470" s="55"/>
      <c r="AV470" s="55"/>
      <c r="AW470" s="55"/>
      <c r="AX470" s="55"/>
      <c r="AY470" s="55"/>
      <c r="AZ470" s="55"/>
      <c r="BA470" s="55"/>
      <c r="BB470" s="55"/>
      <c r="BC470" s="55"/>
      <c r="BD470" s="55"/>
      <c r="BE470" s="55"/>
      <c r="BF470" s="55"/>
      <c r="BG470" s="55"/>
      <c r="BH470" s="55"/>
      <c r="BI470" s="55"/>
      <c r="BJ470" s="55"/>
      <c r="BK470" s="55"/>
      <c r="BL470" s="55"/>
      <c r="BM470" s="55"/>
      <c r="BN470" s="55"/>
      <c r="BO470" s="55"/>
      <c r="BP470" s="55"/>
      <c r="BQ470" s="55"/>
      <c r="BR470" s="55"/>
      <c r="BS470" s="55"/>
    </row>
    <row r="471" spans="1:71" outlineLevel="1" x14ac:dyDescent="0.2">
      <c r="A471" s="45"/>
      <c r="B471" s="38" t="s">
        <v>292</v>
      </c>
      <c r="C471" s="45"/>
      <c r="D471" s="45"/>
      <c r="E471" s="45"/>
      <c r="J471" s="26"/>
      <c r="L471" s="55"/>
      <c r="M471" s="55"/>
      <c r="N471" s="55"/>
      <c r="O471" s="55"/>
      <c r="P471" s="55"/>
      <c r="Q471" s="55"/>
      <c r="R471" s="55"/>
      <c r="S471" s="55"/>
      <c r="T471" s="55"/>
      <c r="U471" s="55"/>
      <c r="V471" s="55"/>
      <c r="W471" s="55"/>
      <c r="X471" s="55"/>
      <c r="Y471" s="55"/>
      <c r="Z471" s="55"/>
      <c r="AA471" s="55"/>
      <c r="AB471" s="55"/>
      <c r="AC471" s="55"/>
      <c r="AD471" s="55"/>
      <c r="AE471" s="55"/>
      <c r="AF471" s="55"/>
      <c r="AG471" s="55"/>
      <c r="AH471" s="55"/>
      <c r="AI471" s="55"/>
      <c r="AJ471" s="55"/>
      <c r="AK471" s="55"/>
      <c r="AL471" s="55"/>
      <c r="AM471" s="55"/>
      <c r="AN471" s="55"/>
      <c r="AO471" s="55"/>
      <c r="AP471" s="55"/>
      <c r="AQ471" s="55"/>
      <c r="AR471" s="55"/>
      <c r="AS471" s="55"/>
      <c r="AT471" s="55"/>
      <c r="AU471" s="55"/>
      <c r="AV471" s="55"/>
      <c r="AW471" s="55"/>
      <c r="AX471" s="55"/>
      <c r="AY471" s="55"/>
      <c r="AZ471" s="55"/>
      <c r="BA471" s="55"/>
      <c r="BB471" s="55"/>
      <c r="BC471" s="55"/>
      <c r="BD471" s="55"/>
      <c r="BE471" s="55"/>
      <c r="BF471" s="55"/>
      <c r="BG471" s="55"/>
      <c r="BH471" s="55"/>
      <c r="BI471" s="55"/>
      <c r="BJ471" s="55"/>
      <c r="BK471" s="55"/>
      <c r="BL471" s="55"/>
      <c r="BM471" s="55"/>
      <c r="BN471" s="55"/>
      <c r="BO471" s="55"/>
      <c r="BP471" s="55"/>
      <c r="BQ471" s="55"/>
      <c r="BR471" s="55"/>
      <c r="BS471" s="55"/>
    </row>
    <row r="472" spans="1:71" outlineLevel="1" x14ac:dyDescent="0.2">
      <c r="J472" s="26"/>
      <c r="L472" s="55"/>
      <c r="M472" s="55"/>
      <c r="N472" s="55"/>
      <c r="O472" s="55"/>
      <c r="P472" s="55"/>
      <c r="Q472" s="55"/>
      <c r="R472" s="55"/>
      <c r="S472" s="55"/>
      <c r="T472" s="55"/>
      <c r="U472" s="55"/>
      <c r="V472" s="55"/>
      <c r="W472" s="55"/>
      <c r="X472" s="55"/>
      <c r="Y472" s="55"/>
      <c r="Z472" s="55"/>
      <c r="AA472" s="55"/>
      <c r="AB472" s="55"/>
      <c r="AC472" s="55"/>
      <c r="AD472" s="55"/>
      <c r="AE472" s="55"/>
      <c r="AF472" s="55"/>
      <c r="AG472" s="55"/>
      <c r="AH472" s="55"/>
      <c r="AI472" s="55"/>
      <c r="AJ472" s="55"/>
      <c r="AK472" s="55"/>
      <c r="AL472" s="55"/>
      <c r="AM472" s="55"/>
      <c r="AN472" s="55"/>
      <c r="AO472" s="55"/>
      <c r="AP472" s="55"/>
      <c r="AQ472" s="55"/>
      <c r="AR472" s="55"/>
      <c r="AS472" s="55"/>
      <c r="AT472" s="55"/>
      <c r="AU472" s="55"/>
      <c r="AV472" s="55"/>
      <c r="AW472" s="55"/>
      <c r="AX472" s="55"/>
      <c r="AY472" s="55"/>
      <c r="AZ472" s="55"/>
      <c r="BA472" s="55"/>
      <c r="BB472" s="55"/>
      <c r="BC472" s="55"/>
      <c r="BD472" s="55"/>
      <c r="BE472" s="55"/>
      <c r="BF472" s="55"/>
      <c r="BG472" s="55"/>
      <c r="BH472" s="55"/>
      <c r="BI472" s="55"/>
      <c r="BJ472" s="55"/>
      <c r="BK472" s="55"/>
      <c r="BL472" s="55"/>
      <c r="BM472" s="55"/>
      <c r="BN472" s="55"/>
      <c r="BO472" s="55"/>
      <c r="BP472" s="55"/>
      <c r="BQ472" s="55"/>
      <c r="BR472" s="55"/>
      <c r="BS472" s="55"/>
    </row>
    <row r="473" spans="1:71" outlineLevel="1" x14ac:dyDescent="0.2">
      <c r="C473" s="11" t="s">
        <v>144</v>
      </c>
      <c r="J473" s="26"/>
      <c r="L473" s="55"/>
      <c r="M473" s="55"/>
      <c r="N473" s="55"/>
      <c r="O473" s="55"/>
      <c r="P473" s="55"/>
      <c r="Q473" s="55"/>
      <c r="R473" s="55"/>
      <c r="S473" s="55"/>
      <c r="T473" s="55"/>
      <c r="U473" s="55"/>
      <c r="V473" s="55"/>
      <c r="W473" s="55"/>
      <c r="X473" s="55"/>
      <c r="Y473" s="55"/>
      <c r="Z473" s="55"/>
      <c r="AA473" s="55"/>
      <c r="AB473" s="55"/>
      <c r="AC473" s="55"/>
      <c r="AD473" s="55"/>
      <c r="AE473" s="55"/>
      <c r="AF473" s="55"/>
      <c r="AG473" s="55"/>
      <c r="AH473" s="55"/>
      <c r="AI473" s="55"/>
      <c r="AJ473" s="55"/>
      <c r="AK473" s="55"/>
      <c r="AL473" s="55"/>
      <c r="AM473" s="55"/>
      <c r="AN473" s="55"/>
      <c r="AO473" s="55"/>
      <c r="AP473" s="55"/>
      <c r="AQ473" s="55"/>
      <c r="AR473" s="55"/>
      <c r="AS473" s="55"/>
      <c r="AT473" s="55"/>
      <c r="AU473" s="55"/>
      <c r="AV473" s="55"/>
      <c r="AW473" s="55"/>
      <c r="AX473" s="55"/>
      <c r="AY473" s="55"/>
      <c r="AZ473" s="55"/>
      <c r="BA473" s="55"/>
      <c r="BB473" s="55"/>
      <c r="BC473" s="55"/>
      <c r="BD473" s="55"/>
      <c r="BE473" s="55"/>
      <c r="BF473" s="55"/>
      <c r="BG473" s="55"/>
      <c r="BH473" s="55"/>
      <c r="BI473" s="55"/>
      <c r="BJ473" s="55"/>
      <c r="BK473" s="55"/>
      <c r="BL473" s="55"/>
      <c r="BM473" s="55"/>
      <c r="BN473" s="55"/>
      <c r="BO473" s="55"/>
      <c r="BP473" s="55"/>
      <c r="BQ473" s="55"/>
      <c r="BR473" s="55"/>
      <c r="BS473" s="55"/>
    </row>
    <row r="474" spans="1:71" outlineLevel="1" x14ac:dyDescent="0.2">
      <c r="D474" t="s">
        <v>293</v>
      </c>
      <c r="H474" s="7" t="s">
        <v>546</v>
      </c>
      <c r="I474" s="30">
        <f t="shared" ref="I474:I489" ca="1" si="144">SUM($L474:$BS474)</f>
        <v>1402.039736685756</v>
      </c>
      <c r="J474" s="26" t="s">
        <v>148</v>
      </c>
      <c r="L474" s="49" cm="1">
        <f t="array" aca="1" ref="L474:BS474" ca="1">Haute_Mer_1994!CA_roy_total_fp</f>
        <v>89.920497876974252</v>
      </c>
      <c r="M474" s="49">
        <f ca="1"/>
        <v>84.941517042350952</v>
      </c>
      <c r="N474" s="49">
        <f ca="1"/>
        <v>32.04748428013</v>
      </c>
      <c r="O474" s="49">
        <f ca="1"/>
        <v>30.249938780804186</v>
      </c>
      <c r="P474" s="49">
        <f ca="1"/>
        <v>83.908955447749634</v>
      </c>
      <c r="Q474" s="49">
        <f ca="1"/>
        <v>166.79194396705222</v>
      </c>
      <c r="R474" s="49">
        <f ca="1"/>
        <v>159.20770362589934</v>
      </c>
      <c r="S474" s="49">
        <f ca="1"/>
        <v>92.421239245920006</v>
      </c>
      <c r="T474" s="49">
        <f ca="1"/>
        <v>141.02774710756989</v>
      </c>
      <c r="U474" s="49">
        <f ca="1"/>
        <v>140.7809638150776</v>
      </c>
      <c r="V474" s="49">
        <f ca="1"/>
        <v>133.54482227498258</v>
      </c>
      <c r="W474" s="49">
        <f ca="1"/>
        <v>127.02768859747326</v>
      </c>
      <c r="X474" s="49">
        <f ca="1"/>
        <v>120.16923462377197</v>
      </c>
      <c r="Y474" s="49">
        <f ca="1"/>
        <v>0</v>
      </c>
      <c r="Z474" s="49">
        <f ca="1"/>
        <v>0</v>
      </c>
      <c r="AA474" s="49">
        <f ca="1"/>
        <v>0</v>
      </c>
      <c r="AB474" s="49">
        <f ca="1"/>
        <v>0</v>
      </c>
      <c r="AC474" s="49">
        <f ca="1"/>
        <v>0</v>
      </c>
      <c r="AD474" s="49">
        <f ca="1"/>
        <v>0</v>
      </c>
      <c r="AE474" s="49">
        <f ca="1"/>
        <v>0</v>
      </c>
      <c r="AF474" s="49">
        <f ca="1"/>
        <v>0</v>
      </c>
      <c r="AG474" s="49">
        <f ca="1"/>
        <v>0</v>
      </c>
      <c r="AH474" s="49">
        <f ca="1"/>
        <v>0</v>
      </c>
      <c r="AI474" s="49">
        <f ca="1"/>
        <v>0</v>
      </c>
      <c r="AJ474" s="49">
        <f ca="1"/>
        <v>0</v>
      </c>
      <c r="AK474" s="49">
        <f ca="1"/>
        <v>0</v>
      </c>
      <c r="AL474" s="49">
        <f ca="1"/>
        <v>0</v>
      </c>
      <c r="AM474" s="49">
        <f ca="1"/>
        <v>0</v>
      </c>
      <c r="AN474" s="49">
        <f ca="1"/>
        <v>0</v>
      </c>
      <c r="AO474" s="49">
        <f ca="1"/>
        <v>0</v>
      </c>
      <c r="AP474" s="49">
        <f ca="1"/>
        <v>0</v>
      </c>
      <c r="AQ474" s="49">
        <f ca="1"/>
        <v>0</v>
      </c>
      <c r="AR474" s="49">
        <f ca="1"/>
        <v>0</v>
      </c>
      <c r="AS474" s="49">
        <f ca="1"/>
        <v>0</v>
      </c>
      <c r="AT474" s="49">
        <f ca="1"/>
        <v>0</v>
      </c>
      <c r="AU474" s="49">
        <f ca="1"/>
        <v>0</v>
      </c>
      <c r="AV474" s="49">
        <f ca="1"/>
        <v>0</v>
      </c>
      <c r="AW474" s="49">
        <f ca="1"/>
        <v>0</v>
      </c>
      <c r="AX474" s="49">
        <f ca="1"/>
        <v>0</v>
      </c>
      <c r="AY474" s="49">
        <f ca="1"/>
        <v>0</v>
      </c>
      <c r="AZ474" s="49">
        <f ca="1"/>
        <v>0</v>
      </c>
      <c r="BA474" s="49">
        <f ca="1"/>
        <v>0</v>
      </c>
      <c r="BB474" s="49">
        <f ca="1"/>
        <v>0</v>
      </c>
      <c r="BC474" s="49">
        <f ca="1"/>
        <v>0</v>
      </c>
      <c r="BD474" s="49">
        <f ca="1"/>
        <v>0</v>
      </c>
      <c r="BE474" s="49">
        <f ca="1"/>
        <v>0</v>
      </c>
      <c r="BF474" s="49">
        <f ca="1"/>
        <v>0</v>
      </c>
      <c r="BG474" s="49">
        <f ca="1"/>
        <v>0</v>
      </c>
      <c r="BH474" s="49">
        <f ca="1"/>
        <v>0</v>
      </c>
      <c r="BI474" s="49">
        <f ca="1"/>
        <v>0</v>
      </c>
      <c r="BJ474" s="49">
        <f ca="1"/>
        <v>0</v>
      </c>
      <c r="BK474" s="49">
        <f ca="1"/>
        <v>0</v>
      </c>
      <c r="BL474" s="49">
        <f ca="1"/>
        <v>0</v>
      </c>
      <c r="BM474" s="49">
        <f ca="1"/>
        <v>0</v>
      </c>
      <c r="BN474" s="49">
        <f ca="1"/>
        <v>0</v>
      </c>
      <c r="BO474" s="49">
        <f ca="1"/>
        <v>0</v>
      </c>
      <c r="BP474" s="49">
        <f ca="1"/>
        <v>0</v>
      </c>
      <c r="BQ474" s="49">
        <f ca="1"/>
        <v>0</v>
      </c>
      <c r="BR474" s="49">
        <f ca="1"/>
        <v>0</v>
      </c>
      <c r="BS474" s="49">
        <f ca="1"/>
        <v>0</v>
      </c>
    </row>
    <row r="475" spans="1:71" outlineLevel="1" x14ac:dyDescent="0.2">
      <c r="D475" t="s">
        <v>67</v>
      </c>
      <c r="H475" s="7" t="s">
        <v>547</v>
      </c>
      <c r="I475" s="30">
        <f t="shared" ca="1" si="144"/>
        <v>116.836644723813</v>
      </c>
      <c r="J475" s="26" t="s">
        <v>148</v>
      </c>
      <c r="L475" s="49" cm="1">
        <f t="array" aca="1" ref="L475:BS475" ca="1">Haute_Mer_1994!CA_pid_fees</f>
        <v>7.4933748230811874</v>
      </c>
      <c r="M475" s="49">
        <f ca="1"/>
        <v>7.0784597535292457</v>
      </c>
      <c r="N475" s="49">
        <f ca="1"/>
        <v>2.6706236900108338</v>
      </c>
      <c r="O475" s="49">
        <f ca="1"/>
        <v>2.5208282317336823</v>
      </c>
      <c r="P475" s="49">
        <f ca="1"/>
        <v>6.9924129539791364</v>
      </c>
      <c r="Q475" s="49">
        <f ca="1"/>
        <v>13.89932866392102</v>
      </c>
      <c r="R475" s="49">
        <f ca="1"/>
        <v>13.267308635491613</v>
      </c>
      <c r="S475" s="49">
        <f ca="1"/>
        <v>7.7017699371600008</v>
      </c>
      <c r="T475" s="49">
        <f ca="1"/>
        <v>11.75231225896416</v>
      </c>
      <c r="U475" s="49">
        <f ca="1"/>
        <v>11.731746984589799</v>
      </c>
      <c r="V475" s="49">
        <f ca="1"/>
        <v>11.128735189581883</v>
      </c>
      <c r="W475" s="49">
        <f ca="1"/>
        <v>10.585640716456105</v>
      </c>
      <c r="X475" s="49">
        <f ca="1"/>
        <v>10.014102885314331</v>
      </c>
      <c r="Y475" s="49">
        <f ca="1"/>
        <v>0</v>
      </c>
      <c r="Z475" s="49">
        <f ca="1"/>
        <v>0</v>
      </c>
      <c r="AA475" s="49">
        <f ca="1"/>
        <v>0</v>
      </c>
      <c r="AB475" s="49">
        <f ca="1"/>
        <v>0</v>
      </c>
      <c r="AC475" s="49">
        <f ca="1"/>
        <v>0</v>
      </c>
      <c r="AD475" s="49">
        <f ca="1"/>
        <v>0</v>
      </c>
      <c r="AE475" s="49">
        <f ca="1"/>
        <v>0</v>
      </c>
      <c r="AF475" s="49">
        <f ca="1"/>
        <v>0</v>
      </c>
      <c r="AG475" s="49">
        <f ca="1"/>
        <v>0</v>
      </c>
      <c r="AH475" s="49">
        <f ca="1"/>
        <v>0</v>
      </c>
      <c r="AI475" s="49">
        <f ca="1"/>
        <v>0</v>
      </c>
      <c r="AJ475" s="49">
        <f ca="1"/>
        <v>0</v>
      </c>
      <c r="AK475" s="49">
        <f ca="1"/>
        <v>0</v>
      </c>
      <c r="AL475" s="49">
        <f ca="1"/>
        <v>0</v>
      </c>
      <c r="AM475" s="49">
        <f ca="1"/>
        <v>0</v>
      </c>
      <c r="AN475" s="49">
        <f ca="1"/>
        <v>0</v>
      </c>
      <c r="AO475" s="49">
        <f ca="1"/>
        <v>0</v>
      </c>
      <c r="AP475" s="49">
        <f ca="1"/>
        <v>0</v>
      </c>
      <c r="AQ475" s="49">
        <f ca="1"/>
        <v>0</v>
      </c>
      <c r="AR475" s="49">
        <f ca="1"/>
        <v>0</v>
      </c>
      <c r="AS475" s="49">
        <f ca="1"/>
        <v>0</v>
      </c>
      <c r="AT475" s="49">
        <f ca="1"/>
        <v>0</v>
      </c>
      <c r="AU475" s="49">
        <f ca="1"/>
        <v>0</v>
      </c>
      <c r="AV475" s="49">
        <f ca="1"/>
        <v>0</v>
      </c>
      <c r="AW475" s="49">
        <f ca="1"/>
        <v>0</v>
      </c>
      <c r="AX475" s="49">
        <f ca="1"/>
        <v>0</v>
      </c>
      <c r="AY475" s="49">
        <f ca="1"/>
        <v>0</v>
      </c>
      <c r="AZ475" s="49">
        <f ca="1"/>
        <v>0</v>
      </c>
      <c r="BA475" s="49">
        <f ca="1"/>
        <v>0</v>
      </c>
      <c r="BB475" s="49">
        <f ca="1"/>
        <v>0</v>
      </c>
      <c r="BC475" s="49">
        <f ca="1"/>
        <v>0</v>
      </c>
      <c r="BD475" s="49">
        <f ca="1"/>
        <v>0</v>
      </c>
      <c r="BE475" s="49">
        <f ca="1"/>
        <v>0</v>
      </c>
      <c r="BF475" s="49">
        <f ca="1"/>
        <v>0</v>
      </c>
      <c r="BG475" s="49">
        <f ca="1"/>
        <v>0</v>
      </c>
      <c r="BH475" s="49">
        <f ca="1"/>
        <v>0</v>
      </c>
      <c r="BI475" s="49">
        <f ca="1"/>
        <v>0</v>
      </c>
      <c r="BJ475" s="49">
        <f ca="1"/>
        <v>0</v>
      </c>
      <c r="BK475" s="49">
        <f ca="1"/>
        <v>0</v>
      </c>
      <c r="BL475" s="49">
        <f ca="1"/>
        <v>0</v>
      </c>
      <c r="BM475" s="49">
        <f ca="1"/>
        <v>0</v>
      </c>
      <c r="BN475" s="49">
        <f ca="1"/>
        <v>0</v>
      </c>
      <c r="BO475" s="49">
        <f ca="1"/>
        <v>0</v>
      </c>
      <c r="BP475" s="49">
        <f ca="1"/>
        <v>0</v>
      </c>
      <c r="BQ475" s="49">
        <f ca="1"/>
        <v>0</v>
      </c>
      <c r="BR475" s="49">
        <f ca="1"/>
        <v>0</v>
      </c>
      <c r="BS475" s="49">
        <f ca="1"/>
        <v>0</v>
      </c>
    </row>
    <row r="476" spans="1:71" outlineLevel="1" x14ac:dyDescent="0.2">
      <c r="D476" t="s">
        <v>85</v>
      </c>
      <c r="H476" s="7" t="s">
        <v>548</v>
      </c>
      <c r="I476" s="30">
        <f t="shared" ca="1" si="144"/>
        <v>0</v>
      </c>
      <c r="J476" s="26" t="s">
        <v>148</v>
      </c>
      <c r="L476" s="49" cm="1">
        <f t="array" aca="1" ref="L476:BS476" ca="1">Haute_Mer_1994!CA_excess_CR_gov</f>
        <v>0</v>
      </c>
      <c r="M476" s="49">
        <f ca="1"/>
        <v>0</v>
      </c>
      <c r="N476" s="49">
        <f ca="1"/>
        <v>0</v>
      </c>
      <c r="O476" s="49">
        <f ca="1"/>
        <v>0</v>
      </c>
      <c r="P476" s="49">
        <f ca="1"/>
        <v>0</v>
      </c>
      <c r="Q476" s="49">
        <f ca="1"/>
        <v>0</v>
      </c>
      <c r="R476" s="49">
        <f ca="1"/>
        <v>0</v>
      </c>
      <c r="S476" s="49">
        <f ca="1"/>
        <v>0</v>
      </c>
      <c r="T476" s="49">
        <f ca="1"/>
        <v>0</v>
      </c>
      <c r="U476" s="49">
        <f ca="1"/>
        <v>0</v>
      </c>
      <c r="V476" s="49">
        <f ca="1"/>
        <v>0</v>
      </c>
      <c r="W476" s="49">
        <f ca="1"/>
        <v>0</v>
      </c>
      <c r="X476" s="49">
        <f ca="1"/>
        <v>0</v>
      </c>
      <c r="Y476" s="49">
        <f ca="1"/>
        <v>0</v>
      </c>
      <c r="Z476" s="49">
        <f ca="1"/>
        <v>0</v>
      </c>
      <c r="AA476" s="49">
        <f ca="1"/>
        <v>0</v>
      </c>
      <c r="AB476" s="49">
        <f ca="1"/>
        <v>0</v>
      </c>
      <c r="AC476" s="49">
        <f ca="1"/>
        <v>0</v>
      </c>
      <c r="AD476" s="49">
        <f ca="1"/>
        <v>0</v>
      </c>
      <c r="AE476" s="49">
        <f ca="1"/>
        <v>0</v>
      </c>
      <c r="AF476" s="49">
        <f ca="1"/>
        <v>0</v>
      </c>
      <c r="AG476" s="49">
        <f ca="1"/>
        <v>0</v>
      </c>
      <c r="AH476" s="49">
        <f ca="1"/>
        <v>0</v>
      </c>
      <c r="AI476" s="49">
        <f ca="1"/>
        <v>0</v>
      </c>
      <c r="AJ476" s="49">
        <f ca="1"/>
        <v>0</v>
      </c>
      <c r="AK476" s="49">
        <f ca="1"/>
        <v>0</v>
      </c>
      <c r="AL476" s="49">
        <f ca="1"/>
        <v>0</v>
      </c>
      <c r="AM476" s="49">
        <f ca="1"/>
        <v>0</v>
      </c>
      <c r="AN476" s="49">
        <f ca="1"/>
        <v>0</v>
      </c>
      <c r="AO476" s="49">
        <f ca="1"/>
        <v>0</v>
      </c>
      <c r="AP476" s="49">
        <f ca="1"/>
        <v>0</v>
      </c>
      <c r="AQ476" s="49">
        <f ca="1"/>
        <v>0</v>
      </c>
      <c r="AR476" s="49">
        <f ca="1"/>
        <v>0</v>
      </c>
      <c r="AS476" s="49">
        <f ca="1"/>
        <v>0</v>
      </c>
      <c r="AT476" s="49">
        <f ca="1"/>
        <v>0</v>
      </c>
      <c r="AU476" s="49">
        <f ca="1"/>
        <v>0</v>
      </c>
      <c r="AV476" s="49">
        <f ca="1"/>
        <v>0</v>
      </c>
      <c r="AW476" s="49">
        <f ca="1"/>
        <v>0</v>
      </c>
      <c r="AX476" s="49">
        <f ca="1"/>
        <v>0</v>
      </c>
      <c r="AY476" s="49">
        <f ca="1"/>
        <v>0</v>
      </c>
      <c r="AZ476" s="49">
        <f ca="1"/>
        <v>0</v>
      </c>
      <c r="BA476" s="49">
        <f ca="1"/>
        <v>0</v>
      </c>
      <c r="BB476" s="49">
        <f ca="1"/>
        <v>0</v>
      </c>
      <c r="BC476" s="49">
        <f ca="1"/>
        <v>0</v>
      </c>
      <c r="BD476" s="49">
        <f ca="1"/>
        <v>0</v>
      </c>
      <c r="BE476" s="49">
        <f ca="1"/>
        <v>0</v>
      </c>
      <c r="BF476" s="49">
        <f ca="1"/>
        <v>0</v>
      </c>
      <c r="BG476" s="49">
        <f ca="1"/>
        <v>0</v>
      </c>
      <c r="BH476" s="49">
        <f ca="1"/>
        <v>0</v>
      </c>
      <c r="BI476" s="49">
        <f ca="1"/>
        <v>0</v>
      </c>
      <c r="BJ476" s="49">
        <f ca="1"/>
        <v>0</v>
      </c>
      <c r="BK476" s="49">
        <f ca="1"/>
        <v>0</v>
      </c>
      <c r="BL476" s="49">
        <f ca="1"/>
        <v>0</v>
      </c>
      <c r="BM476" s="49">
        <f ca="1"/>
        <v>0</v>
      </c>
      <c r="BN476" s="49">
        <f ca="1"/>
        <v>0</v>
      </c>
      <c r="BO476" s="49">
        <f ca="1"/>
        <v>0</v>
      </c>
      <c r="BP476" s="49">
        <f ca="1"/>
        <v>0</v>
      </c>
      <c r="BQ476" s="49">
        <f ca="1"/>
        <v>0</v>
      </c>
      <c r="BR476" s="49">
        <f ca="1"/>
        <v>0</v>
      </c>
      <c r="BS476" s="49">
        <f ca="1"/>
        <v>0</v>
      </c>
    </row>
    <row r="477" spans="1:71" outlineLevel="1" x14ac:dyDescent="0.2">
      <c r="D477" t="s">
        <v>294</v>
      </c>
      <c r="H477" s="7" t="s">
        <v>549</v>
      </c>
      <c r="I477" s="30">
        <f t="shared" ca="1" si="144"/>
        <v>729.69740937076858</v>
      </c>
      <c r="J477" s="26" t="s">
        <v>148</v>
      </c>
      <c r="L477" s="49" cm="1">
        <f t="array" aca="1" ref="L477:BS477" ca="1">Haute_Mer_1994!CA_Spo_gov</f>
        <v>114.54942791758194</v>
      </c>
      <c r="M477" s="49">
        <f ca="1"/>
        <v>97.584539040366536</v>
      </c>
      <c r="N477" s="49">
        <f ca="1"/>
        <v>-8.2124352029424692</v>
      </c>
      <c r="O477" s="49">
        <f ca="1"/>
        <v>-13.823623753552827</v>
      </c>
      <c r="P477" s="49">
        <f ca="1"/>
        <v>6.4956594149823275</v>
      </c>
      <c r="Q477" s="49">
        <f ca="1"/>
        <v>97.804987723470916</v>
      </c>
      <c r="R477" s="49">
        <f ca="1"/>
        <v>74.292631547298498</v>
      </c>
      <c r="S477" s="49">
        <f ca="1"/>
        <v>-42.130186477919999</v>
      </c>
      <c r="T477" s="49">
        <f ca="1"/>
        <v>74.701274369006839</v>
      </c>
      <c r="U477" s="49">
        <f ca="1"/>
        <v>88.658487926400056</v>
      </c>
      <c r="V477" s="49">
        <f ca="1"/>
        <v>84.101441646983076</v>
      </c>
      <c r="W477" s="49">
        <f ca="1"/>
        <v>79.997199128646884</v>
      </c>
      <c r="X477" s="49">
        <f ca="1"/>
        <v>75.678006090446871</v>
      </c>
      <c r="Y477" s="49">
        <f ca="1"/>
        <v>0</v>
      </c>
      <c r="Z477" s="49">
        <f ca="1"/>
        <v>0</v>
      </c>
      <c r="AA477" s="49">
        <f ca="1"/>
        <v>0</v>
      </c>
      <c r="AB477" s="49">
        <f ca="1"/>
        <v>0</v>
      </c>
      <c r="AC477" s="49">
        <f ca="1"/>
        <v>0</v>
      </c>
      <c r="AD477" s="49">
        <f ca="1"/>
        <v>0</v>
      </c>
      <c r="AE477" s="49">
        <f ca="1"/>
        <v>0</v>
      </c>
      <c r="AF477" s="49">
        <f ca="1"/>
        <v>0</v>
      </c>
      <c r="AG477" s="49">
        <f ca="1"/>
        <v>0</v>
      </c>
      <c r="AH477" s="49">
        <f ca="1"/>
        <v>0</v>
      </c>
      <c r="AI477" s="49">
        <f ca="1"/>
        <v>0</v>
      </c>
      <c r="AJ477" s="49">
        <f ca="1"/>
        <v>0</v>
      </c>
      <c r="AK477" s="49">
        <f ca="1"/>
        <v>0</v>
      </c>
      <c r="AL477" s="49">
        <f ca="1"/>
        <v>0</v>
      </c>
      <c r="AM477" s="49">
        <f ca="1"/>
        <v>0</v>
      </c>
      <c r="AN477" s="49">
        <f ca="1"/>
        <v>0</v>
      </c>
      <c r="AO477" s="49">
        <f ca="1"/>
        <v>0</v>
      </c>
      <c r="AP477" s="49">
        <f ca="1"/>
        <v>0</v>
      </c>
      <c r="AQ477" s="49">
        <f ca="1"/>
        <v>0</v>
      </c>
      <c r="AR477" s="49">
        <f ca="1"/>
        <v>0</v>
      </c>
      <c r="AS477" s="49">
        <f ca="1"/>
        <v>0</v>
      </c>
      <c r="AT477" s="49">
        <f ca="1"/>
        <v>0</v>
      </c>
      <c r="AU477" s="49">
        <f ca="1"/>
        <v>0</v>
      </c>
      <c r="AV477" s="49">
        <f ca="1"/>
        <v>0</v>
      </c>
      <c r="AW477" s="49">
        <f ca="1"/>
        <v>0</v>
      </c>
      <c r="AX477" s="49">
        <f ca="1"/>
        <v>0</v>
      </c>
      <c r="AY477" s="49">
        <f ca="1"/>
        <v>0</v>
      </c>
      <c r="AZ477" s="49">
        <f ca="1"/>
        <v>0</v>
      </c>
      <c r="BA477" s="49">
        <f ca="1"/>
        <v>0</v>
      </c>
      <c r="BB477" s="49">
        <f ca="1"/>
        <v>0</v>
      </c>
      <c r="BC477" s="49">
        <f ca="1"/>
        <v>0</v>
      </c>
      <c r="BD477" s="49">
        <f ca="1"/>
        <v>0</v>
      </c>
      <c r="BE477" s="49">
        <f ca="1"/>
        <v>0</v>
      </c>
      <c r="BF477" s="49">
        <f ca="1"/>
        <v>0</v>
      </c>
      <c r="BG477" s="49">
        <f ca="1"/>
        <v>0</v>
      </c>
      <c r="BH477" s="49">
        <f ca="1"/>
        <v>0</v>
      </c>
      <c r="BI477" s="49">
        <f ca="1"/>
        <v>0</v>
      </c>
      <c r="BJ477" s="49">
        <f ca="1"/>
        <v>0</v>
      </c>
      <c r="BK477" s="49">
        <f ca="1"/>
        <v>0</v>
      </c>
      <c r="BL477" s="49">
        <f ca="1"/>
        <v>0</v>
      </c>
      <c r="BM477" s="49">
        <f ca="1"/>
        <v>0</v>
      </c>
      <c r="BN477" s="49">
        <f ca="1"/>
        <v>0</v>
      </c>
      <c r="BO477" s="49">
        <f ca="1"/>
        <v>0</v>
      </c>
      <c r="BP477" s="49">
        <f ca="1"/>
        <v>0</v>
      </c>
      <c r="BQ477" s="49">
        <f ca="1"/>
        <v>0</v>
      </c>
      <c r="BR477" s="49">
        <f ca="1"/>
        <v>0</v>
      </c>
      <c r="BS477" s="49">
        <f ca="1"/>
        <v>0</v>
      </c>
    </row>
    <row r="478" spans="1:71" outlineLevel="1" x14ac:dyDescent="0.2">
      <c r="D478" t="s">
        <v>226</v>
      </c>
      <c r="H478" s="7" t="s">
        <v>550</v>
      </c>
      <c r="I478" s="30">
        <f t="shared" ca="1" si="144"/>
        <v>1243.6390587032981</v>
      </c>
      <c r="J478" s="26" t="s">
        <v>148</v>
      </c>
      <c r="L478" s="49" cm="1">
        <f t="array" aca="1" ref="L478:BS478" ca="1">Haute_Mer_1994!CA_PS_gov</f>
        <v>33.120918312467893</v>
      </c>
      <c r="M478" s="49">
        <f ca="1"/>
        <v>38.562449315999515</v>
      </c>
      <c r="N478" s="49">
        <f ca="1"/>
        <v>45.391639879300001</v>
      </c>
      <c r="O478" s="49">
        <f ca="1"/>
        <v>47.895736402939967</v>
      </c>
      <c r="P478" s="49">
        <f ca="1"/>
        <v>99.670820688030176</v>
      </c>
      <c r="Q478" s="49">
        <f ca="1"/>
        <v>139.97699823984385</v>
      </c>
      <c r="R478" s="49">
        <f ca="1"/>
        <v>146.67031382759535</v>
      </c>
      <c r="S478" s="49">
        <f ca="1"/>
        <v>146.33362880604002</v>
      </c>
      <c r="T478" s="49">
        <f ca="1"/>
        <v>123.83150283621507</v>
      </c>
      <c r="U478" s="49">
        <f ca="1"/>
        <v>113.96554213601524</v>
      </c>
      <c r="V478" s="49">
        <f ca="1"/>
        <v>108.107713270224</v>
      </c>
      <c r="W478" s="49">
        <f ca="1"/>
        <v>102.83193838843073</v>
      </c>
      <c r="X478" s="49">
        <f ca="1"/>
        <v>97.279856600196354</v>
      </c>
      <c r="Y478" s="49">
        <f ca="1"/>
        <v>0</v>
      </c>
      <c r="Z478" s="49">
        <f ca="1"/>
        <v>0</v>
      </c>
      <c r="AA478" s="49">
        <f ca="1"/>
        <v>0</v>
      </c>
      <c r="AB478" s="49">
        <f ca="1"/>
        <v>0</v>
      </c>
      <c r="AC478" s="49">
        <f ca="1"/>
        <v>0</v>
      </c>
      <c r="AD478" s="49">
        <f ca="1"/>
        <v>0</v>
      </c>
      <c r="AE478" s="49">
        <f ca="1"/>
        <v>0</v>
      </c>
      <c r="AF478" s="49">
        <f ca="1"/>
        <v>0</v>
      </c>
      <c r="AG478" s="49">
        <f ca="1"/>
        <v>0</v>
      </c>
      <c r="AH478" s="49">
        <f ca="1"/>
        <v>0</v>
      </c>
      <c r="AI478" s="49">
        <f ca="1"/>
        <v>0</v>
      </c>
      <c r="AJ478" s="49">
        <f ca="1"/>
        <v>0</v>
      </c>
      <c r="AK478" s="49">
        <f ca="1"/>
        <v>0</v>
      </c>
      <c r="AL478" s="49">
        <f ca="1"/>
        <v>0</v>
      </c>
      <c r="AM478" s="49">
        <f ca="1"/>
        <v>0</v>
      </c>
      <c r="AN478" s="49">
        <f ca="1"/>
        <v>0</v>
      </c>
      <c r="AO478" s="49">
        <f ca="1"/>
        <v>0</v>
      </c>
      <c r="AP478" s="49">
        <f ca="1"/>
        <v>0</v>
      </c>
      <c r="AQ478" s="49">
        <f ca="1"/>
        <v>0</v>
      </c>
      <c r="AR478" s="49">
        <f ca="1"/>
        <v>0</v>
      </c>
      <c r="AS478" s="49">
        <f ca="1"/>
        <v>0</v>
      </c>
      <c r="AT478" s="49">
        <f ca="1"/>
        <v>0</v>
      </c>
      <c r="AU478" s="49">
        <f ca="1"/>
        <v>0</v>
      </c>
      <c r="AV478" s="49">
        <f ca="1"/>
        <v>0</v>
      </c>
      <c r="AW478" s="49">
        <f ca="1"/>
        <v>0</v>
      </c>
      <c r="AX478" s="49">
        <f ca="1"/>
        <v>0</v>
      </c>
      <c r="AY478" s="49">
        <f ca="1"/>
        <v>0</v>
      </c>
      <c r="AZ478" s="49">
        <f ca="1"/>
        <v>0</v>
      </c>
      <c r="BA478" s="49">
        <f ca="1"/>
        <v>0</v>
      </c>
      <c r="BB478" s="49">
        <f ca="1"/>
        <v>0</v>
      </c>
      <c r="BC478" s="49">
        <f ca="1"/>
        <v>0</v>
      </c>
      <c r="BD478" s="49">
        <f ca="1"/>
        <v>0</v>
      </c>
      <c r="BE478" s="49">
        <f ca="1"/>
        <v>0</v>
      </c>
      <c r="BF478" s="49">
        <f ca="1"/>
        <v>0</v>
      </c>
      <c r="BG478" s="49">
        <f ca="1"/>
        <v>0</v>
      </c>
      <c r="BH478" s="49">
        <f ca="1"/>
        <v>0</v>
      </c>
      <c r="BI478" s="49">
        <f ca="1"/>
        <v>0</v>
      </c>
      <c r="BJ478" s="49">
        <f ca="1"/>
        <v>0</v>
      </c>
      <c r="BK478" s="49">
        <f ca="1"/>
        <v>0</v>
      </c>
      <c r="BL478" s="49">
        <f ca="1"/>
        <v>0</v>
      </c>
      <c r="BM478" s="49">
        <f ca="1"/>
        <v>0</v>
      </c>
      <c r="BN478" s="49">
        <f ca="1"/>
        <v>0</v>
      </c>
      <c r="BO478" s="49">
        <f ca="1"/>
        <v>0</v>
      </c>
      <c r="BP478" s="49">
        <f ca="1"/>
        <v>0</v>
      </c>
      <c r="BQ478" s="49">
        <f ca="1"/>
        <v>0</v>
      </c>
      <c r="BR478" s="49">
        <f ca="1"/>
        <v>0</v>
      </c>
      <c r="BS478" s="49">
        <f ca="1"/>
        <v>0</v>
      </c>
    </row>
    <row r="479" spans="1:71" outlineLevel="1" x14ac:dyDescent="0.2">
      <c r="D479" t="s">
        <v>295</v>
      </c>
      <c r="I479" s="30">
        <f t="shared" si="144"/>
        <v>0</v>
      </c>
      <c r="J479" s="26" t="s">
        <v>148</v>
      </c>
      <c r="L479" s="49">
        <v>0</v>
      </c>
      <c r="M479" s="49">
        <v>0</v>
      </c>
      <c r="N479" s="49">
        <v>0</v>
      </c>
      <c r="O479" s="49">
        <v>0</v>
      </c>
      <c r="P479" s="49">
        <v>0</v>
      </c>
      <c r="Q479" s="49">
        <v>0</v>
      </c>
      <c r="R479" s="49">
        <v>0</v>
      </c>
      <c r="S479" s="49">
        <v>0</v>
      </c>
      <c r="T479" s="49">
        <v>0</v>
      </c>
      <c r="U479" s="49">
        <v>0</v>
      </c>
      <c r="V479" s="49">
        <v>0</v>
      </c>
      <c r="W479" s="49">
        <v>0</v>
      </c>
      <c r="X479" s="49">
        <v>0</v>
      </c>
      <c r="Y479" s="49">
        <v>0</v>
      </c>
      <c r="Z479" s="49">
        <v>0</v>
      </c>
      <c r="AA479" s="49">
        <v>0</v>
      </c>
      <c r="AB479" s="49">
        <v>0</v>
      </c>
      <c r="AC479" s="49">
        <v>0</v>
      </c>
      <c r="AD479" s="49">
        <v>0</v>
      </c>
      <c r="AE479" s="49">
        <v>0</v>
      </c>
      <c r="AF479" s="49">
        <v>0</v>
      </c>
      <c r="AG479" s="49">
        <v>0</v>
      </c>
      <c r="AH479" s="49">
        <v>0</v>
      </c>
      <c r="AI479" s="49">
        <v>0</v>
      </c>
      <c r="AJ479" s="49">
        <v>0</v>
      </c>
      <c r="AK479" s="49">
        <v>0</v>
      </c>
      <c r="AL479" s="49">
        <v>0</v>
      </c>
      <c r="AM479" s="49">
        <v>0</v>
      </c>
      <c r="AN479" s="49">
        <v>0</v>
      </c>
      <c r="AO479" s="49">
        <v>0</v>
      </c>
      <c r="AP479" s="49">
        <v>0</v>
      </c>
      <c r="AQ479" s="49">
        <v>0</v>
      </c>
      <c r="AR479" s="49">
        <v>0</v>
      </c>
      <c r="AS479" s="49">
        <v>0</v>
      </c>
      <c r="AT479" s="49">
        <v>0</v>
      </c>
      <c r="AU479" s="49">
        <v>0</v>
      </c>
      <c r="AV479" s="49">
        <v>0</v>
      </c>
      <c r="AW479" s="49">
        <v>0</v>
      </c>
      <c r="AX479" s="49">
        <v>0</v>
      </c>
      <c r="AY479" s="49">
        <v>0</v>
      </c>
      <c r="AZ479" s="49">
        <v>0</v>
      </c>
      <c r="BA479" s="49">
        <v>0</v>
      </c>
      <c r="BB479" s="49">
        <v>0</v>
      </c>
      <c r="BC479" s="49">
        <v>0</v>
      </c>
      <c r="BD479" s="49">
        <v>0</v>
      </c>
      <c r="BE479" s="49">
        <v>0</v>
      </c>
      <c r="BF479" s="49">
        <v>0</v>
      </c>
      <c r="BG479" s="49">
        <v>0</v>
      </c>
      <c r="BH479" s="49">
        <v>0</v>
      </c>
      <c r="BI479" s="49">
        <v>0</v>
      </c>
      <c r="BJ479" s="49">
        <v>0</v>
      </c>
      <c r="BK479" s="49">
        <v>0</v>
      </c>
      <c r="BL479" s="49">
        <v>0</v>
      </c>
      <c r="BM479" s="49">
        <v>0</v>
      </c>
      <c r="BN479" s="49">
        <v>0</v>
      </c>
      <c r="BO479" s="49">
        <v>0</v>
      </c>
      <c r="BP479" s="49">
        <v>0</v>
      </c>
      <c r="BQ479" s="49">
        <v>0</v>
      </c>
      <c r="BR479" s="49">
        <v>0</v>
      </c>
      <c r="BS479" s="49">
        <v>0</v>
      </c>
    </row>
    <row r="480" spans="1:71" outlineLevel="1" x14ac:dyDescent="0.2">
      <c r="D480" t="s">
        <v>274</v>
      </c>
      <c r="I480" s="30">
        <f t="shared" si="144"/>
        <v>0</v>
      </c>
      <c r="J480" s="26" t="s">
        <v>148</v>
      </c>
      <c r="L480" s="49">
        <v>0</v>
      </c>
      <c r="M480" s="49">
        <v>0</v>
      </c>
      <c r="N480" s="49">
        <v>0</v>
      </c>
      <c r="O480" s="49">
        <v>0</v>
      </c>
      <c r="P480" s="49">
        <v>0</v>
      </c>
      <c r="Q480" s="49">
        <v>0</v>
      </c>
      <c r="R480" s="49">
        <v>0</v>
      </c>
      <c r="S480" s="49">
        <v>0</v>
      </c>
      <c r="T480" s="49">
        <v>0</v>
      </c>
      <c r="U480" s="49">
        <v>0</v>
      </c>
      <c r="V480" s="49">
        <v>0</v>
      </c>
      <c r="W480" s="49">
        <v>0</v>
      </c>
      <c r="X480" s="49">
        <v>0</v>
      </c>
      <c r="Y480" s="49">
        <v>0</v>
      </c>
      <c r="Z480" s="49">
        <v>0</v>
      </c>
      <c r="AA480" s="49">
        <v>0</v>
      </c>
      <c r="AB480" s="49">
        <v>0</v>
      </c>
      <c r="AC480" s="49">
        <v>0</v>
      </c>
      <c r="AD480" s="49">
        <v>0</v>
      </c>
      <c r="AE480" s="49">
        <v>0</v>
      </c>
      <c r="AF480" s="49">
        <v>0</v>
      </c>
      <c r="AG480" s="49">
        <v>0</v>
      </c>
      <c r="AH480" s="49">
        <v>0</v>
      </c>
      <c r="AI480" s="49">
        <v>0</v>
      </c>
      <c r="AJ480" s="49">
        <v>0</v>
      </c>
      <c r="AK480" s="49">
        <v>0</v>
      </c>
      <c r="AL480" s="49">
        <v>0</v>
      </c>
      <c r="AM480" s="49">
        <v>0</v>
      </c>
      <c r="AN480" s="49">
        <v>0</v>
      </c>
      <c r="AO480" s="49">
        <v>0</v>
      </c>
      <c r="AP480" s="49">
        <v>0</v>
      </c>
      <c r="AQ480" s="49">
        <v>0</v>
      </c>
      <c r="AR480" s="49">
        <v>0</v>
      </c>
      <c r="AS480" s="49">
        <v>0</v>
      </c>
      <c r="AT480" s="49">
        <v>0</v>
      </c>
      <c r="AU480" s="49">
        <v>0</v>
      </c>
      <c r="AV480" s="49">
        <v>0</v>
      </c>
      <c r="AW480" s="49">
        <v>0</v>
      </c>
      <c r="AX480" s="49">
        <v>0</v>
      </c>
      <c r="AY480" s="49">
        <v>0</v>
      </c>
      <c r="AZ480" s="49">
        <v>0</v>
      </c>
      <c r="BA480" s="49">
        <v>0</v>
      </c>
      <c r="BB480" s="49">
        <v>0</v>
      </c>
      <c r="BC480" s="49">
        <v>0</v>
      </c>
      <c r="BD480" s="49">
        <v>0</v>
      </c>
      <c r="BE480" s="49">
        <v>0</v>
      </c>
      <c r="BF480" s="49">
        <v>0</v>
      </c>
      <c r="BG480" s="49">
        <v>0</v>
      </c>
      <c r="BH480" s="49">
        <v>0</v>
      </c>
      <c r="BI480" s="49">
        <v>0</v>
      </c>
      <c r="BJ480" s="49">
        <v>0</v>
      </c>
      <c r="BK480" s="49">
        <v>0</v>
      </c>
      <c r="BL480" s="49">
        <v>0</v>
      </c>
      <c r="BM480" s="49">
        <v>0</v>
      </c>
      <c r="BN480" s="49">
        <v>0</v>
      </c>
      <c r="BO480" s="49">
        <v>0</v>
      </c>
      <c r="BP480" s="49">
        <v>0</v>
      </c>
      <c r="BQ480" s="49">
        <v>0</v>
      </c>
      <c r="BR480" s="49">
        <v>0</v>
      </c>
      <c r="BS480" s="49">
        <v>0</v>
      </c>
    </row>
    <row r="481" spans="3:71" outlineLevel="1" x14ac:dyDescent="0.2">
      <c r="D481" t="s">
        <v>296</v>
      </c>
      <c r="I481" s="30">
        <f t="shared" si="144"/>
        <v>0</v>
      </c>
      <c r="J481" s="26" t="s">
        <v>148</v>
      </c>
      <c r="L481" s="49">
        <v>0</v>
      </c>
      <c r="M481" s="49">
        <v>0</v>
      </c>
      <c r="N481" s="49">
        <v>0</v>
      </c>
      <c r="O481" s="49">
        <v>0</v>
      </c>
      <c r="P481" s="49">
        <v>0</v>
      </c>
      <c r="Q481" s="49">
        <v>0</v>
      </c>
      <c r="R481" s="49">
        <v>0</v>
      </c>
      <c r="S481" s="49">
        <v>0</v>
      </c>
      <c r="T481" s="49">
        <v>0</v>
      </c>
      <c r="U481" s="49">
        <v>0</v>
      </c>
      <c r="V481" s="49">
        <v>0</v>
      </c>
      <c r="W481" s="49">
        <v>0</v>
      </c>
      <c r="X481" s="49">
        <v>0</v>
      </c>
      <c r="Y481" s="49">
        <v>0</v>
      </c>
      <c r="Z481" s="49">
        <v>0</v>
      </c>
      <c r="AA481" s="49">
        <v>0</v>
      </c>
      <c r="AB481" s="49">
        <v>0</v>
      </c>
      <c r="AC481" s="49">
        <v>0</v>
      </c>
      <c r="AD481" s="49">
        <v>0</v>
      </c>
      <c r="AE481" s="49">
        <v>0</v>
      </c>
      <c r="AF481" s="49">
        <v>0</v>
      </c>
      <c r="AG481" s="49">
        <v>0</v>
      </c>
      <c r="AH481" s="49">
        <v>0</v>
      </c>
      <c r="AI481" s="49">
        <v>0</v>
      </c>
      <c r="AJ481" s="49">
        <v>0</v>
      </c>
      <c r="AK481" s="49">
        <v>0</v>
      </c>
      <c r="AL481" s="49">
        <v>0</v>
      </c>
      <c r="AM481" s="49">
        <v>0</v>
      </c>
      <c r="AN481" s="49">
        <v>0</v>
      </c>
      <c r="AO481" s="49">
        <v>0</v>
      </c>
      <c r="AP481" s="49">
        <v>0</v>
      </c>
      <c r="AQ481" s="49">
        <v>0</v>
      </c>
      <c r="AR481" s="49">
        <v>0</v>
      </c>
      <c r="AS481" s="49">
        <v>0</v>
      </c>
      <c r="AT481" s="49">
        <v>0</v>
      </c>
      <c r="AU481" s="49">
        <v>0</v>
      </c>
      <c r="AV481" s="49">
        <v>0</v>
      </c>
      <c r="AW481" s="49">
        <v>0</v>
      </c>
      <c r="AX481" s="49">
        <v>0</v>
      </c>
      <c r="AY481" s="49">
        <v>0</v>
      </c>
      <c r="AZ481" s="49">
        <v>0</v>
      </c>
      <c r="BA481" s="49">
        <v>0</v>
      </c>
      <c r="BB481" s="49">
        <v>0</v>
      </c>
      <c r="BC481" s="49">
        <v>0</v>
      </c>
      <c r="BD481" s="49">
        <v>0</v>
      </c>
      <c r="BE481" s="49">
        <v>0</v>
      </c>
      <c r="BF481" s="49">
        <v>0</v>
      </c>
      <c r="BG481" s="49">
        <v>0</v>
      </c>
      <c r="BH481" s="49">
        <v>0</v>
      </c>
      <c r="BI481" s="49">
        <v>0</v>
      </c>
      <c r="BJ481" s="49">
        <v>0</v>
      </c>
      <c r="BK481" s="49">
        <v>0</v>
      </c>
      <c r="BL481" s="49">
        <v>0</v>
      </c>
      <c r="BM481" s="49">
        <v>0</v>
      </c>
      <c r="BN481" s="49">
        <v>0</v>
      </c>
      <c r="BO481" s="49">
        <v>0</v>
      </c>
      <c r="BP481" s="49">
        <v>0</v>
      </c>
      <c r="BQ481" s="49">
        <v>0</v>
      </c>
      <c r="BR481" s="49">
        <v>0</v>
      </c>
      <c r="BS481" s="49">
        <v>0</v>
      </c>
    </row>
    <row r="482" spans="3:71" outlineLevel="1" x14ac:dyDescent="0.2">
      <c r="C482" s="11" t="s">
        <v>297</v>
      </c>
      <c r="J482" s="26"/>
      <c r="L482" s="55"/>
      <c r="M482" s="55"/>
      <c r="N482" s="55"/>
      <c r="O482" s="55"/>
      <c r="P482" s="55"/>
      <c r="Q482" s="55"/>
      <c r="R482" s="55"/>
      <c r="S482" s="55"/>
      <c r="T482" s="55"/>
      <c r="U482" s="55"/>
      <c r="V482" s="55"/>
      <c r="W482" s="55"/>
      <c r="X482" s="55"/>
      <c r="Y482" s="55"/>
      <c r="Z482" s="55"/>
      <c r="AA482" s="55"/>
      <c r="AB482" s="55"/>
      <c r="AC482" s="55"/>
      <c r="AD482" s="55"/>
      <c r="AE482" s="55"/>
      <c r="AF482" s="55"/>
      <c r="AG482" s="55"/>
      <c r="AH482" s="55"/>
      <c r="AI482" s="55"/>
      <c r="AJ482" s="55"/>
      <c r="AK482" s="55"/>
      <c r="AL482" s="55"/>
      <c r="AM482" s="55"/>
      <c r="AN482" s="55"/>
      <c r="AO482" s="55"/>
      <c r="AP482" s="55"/>
      <c r="AQ482" s="55"/>
      <c r="AR482" s="55"/>
      <c r="AS482" s="55"/>
      <c r="AT482" s="55"/>
      <c r="AU482" s="55"/>
      <c r="AV482" s="55"/>
      <c r="AW482" s="55"/>
      <c r="AX482" s="55"/>
      <c r="AY482" s="55"/>
      <c r="AZ482" s="55"/>
      <c r="BA482" s="55"/>
      <c r="BB482" s="55"/>
      <c r="BC482" s="55"/>
      <c r="BD482" s="55"/>
      <c r="BE482" s="55"/>
      <c r="BF482" s="55"/>
      <c r="BG482" s="55"/>
      <c r="BH482" s="55"/>
      <c r="BI482" s="55"/>
      <c r="BJ482" s="55"/>
      <c r="BK482" s="55"/>
      <c r="BL482" s="55"/>
      <c r="BM482" s="55"/>
      <c r="BN482" s="55"/>
      <c r="BO482" s="55"/>
      <c r="BP482" s="55"/>
      <c r="BQ482" s="55"/>
      <c r="BR482" s="55"/>
      <c r="BS482" s="55"/>
    </row>
    <row r="483" spans="3:71" outlineLevel="1" x14ac:dyDescent="0.2">
      <c r="D483" t="s">
        <v>298</v>
      </c>
      <c r="I483" s="30">
        <f t="shared" si="144"/>
        <v>0</v>
      </c>
      <c r="J483" s="26" t="s">
        <v>148</v>
      </c>
      <c r="L483" s="49">
        <v>0</v>
      </c>
      <c r="M483" s="49">
        <v>0</v>
      </c>
      <c r="N483" s="49">
        <v>0</v>
      </c>
      <c r="O483" s="49">
        <v>0</v>
      </c>
      <c r="P483" s="49">
        <v>0</v>
      </c>
      <c r="Q483" s="49">
        <v>0</v>
      </c>
      <c r="R483" s="49">
        <v>0</v>
      </c>
      <c r="S483" s="49">
        <v>0</v>
      </c>
      <c r="T483" s="49">
        <v>0</v>
      </c>
      <c r="U483" s="49">
        <v>0</v>
      </c>
      <c r="V483" s="49">
        <v>0</v>
      </c>
      <c r="W483" s="49">
        <v>0</v>
      </c>
      <c r="X483" s="49">
        <v>0</v>
      </c>
      <c r="Y483" s="49">
        <v>0</v>
      </c>
      <c r="Z483" s="49">
        <v>0</v>
      </c>
      <c r="AA483" s="49">
        <v>0</v>
      </c>
      <c r="AB483" s="49">
        <v>0</v>
      </c>
      <c r="AC483" s="49">
        <v>0</v>
      </c>
      <c r="AD483" s="49">
        <v>0</v>
      </c>
      <c r="AE483" s="49">
        <v>0</v>
      </c>
      <c r="AF483" s="49">
        <v>0</v>
      </c>
      <c r="AG483" s="49">
        <v>0</v>
      </c>
      <c r="AH483" s="49">
        <v>0</v>
      </c>
      <c r="AI483" s="49">
        <v>0</v>
      </c>
      <c r="AJ483" s="49">
        <v>0</v>
      </c>
      <c r="AK483" s="49">
        <v>0</v>
      </c>
      <c r="AL483" s="49">
        <v>0</v>
      </c>
      <c r="AM483" s="49">
        <v>0</v>
      </c>
      <c r="AN483" s="49">
        <v>0</v>
      </c>
      <c r="AO483" s="49">
        <v>0</v>
      </c>
      <c r="AP483" s="49">
        <v>0</v>
      </c>
      <c r="AQ483" s="49">
        <v>0</v>
      </c>
      <c r="AR483" s="49">
        <v>0</v>
      </c>
      <c r="AS483" s="49">
        <v>0</v>
      </c>
      <c r="AT483" s="49">
        <v>0</v>
      </c>
      <c r="AU483" s="49">
        <v>0</v>
      </c>
      <c r="AV483" s="49">
        <v>0</v>
      </c>
      <c r="AW483" s="49">
        <v>0</v>
      </c>
      <c r="AX483" s="49">
        <v>0</v>
      </c>
      <c r="AY483" s="49">
        <v>0</v>
      </c>
      <c r="AZ483" s="49">
        <v>0</v>
      </c>
      <c r="BA483" s="49">
        <v>0</v>
      </c>
      <c r="BB483" s="49">
        <v>0</v>
      </c>
      <c r="BC483" s="49">
        <v>0</v>
      </c>
      <c r="BD483" s="49">
        <v>0</v>
      </c>
      <c r="BE483" s="49">
        <v>0</v>
      </c>
      <c r="BF483" s="49">
        <v>0</v>
      </c>
      <c r="BG483" s="49">
        <v>0</v>
      </c>
      <c r="BH483" s="49">
        <v>0</v>
      </c>
      <c r="BI483" s="49">
        <v>0</v>
      </c>
      <c r="BJ483" s="49">
        <v>0</v>
      </c>
      <c r="BK483" s="49">
        <v>0</v>
      </c>
      <c r="BL483" s="49">
        <v>0</v>
      </c>
      <c r="BM483" s="49">
        <v>0</v>
      </c>
      <c r="BN483" s="49">
        <v>0</v>
      </c>
      <c r="BO483" s="49">
        <v>0</v>
      </c>
      <c r="BP483" s="49">
        <v>0</v>
      </c>
      <c r="BQ483" s="49">
        <v>0</v>
      </c>
      <c r="BR483" s="49">
        <v>0</v>
      </c>
      <c r="BS483" s="49">
        <v>0</v>
      </c>
    </row>
    <row r="484" spans="3:71" outlineLevel="1" x14ac:dyDescent="0.2">
      <c r="D484" t="s">
        <v>299</v>
      </c>
      <c r="I484" s="30">
        <f t="shared" si="144"/>
        <v>0</v>
      </c>
      <c r="J484" s="26" t="s">
        <v>148</v>
      </c>
      <c r="L484" s="49">
        <v>0</v>
      </c>
      <c r="M484" s="49">
        <v>0</v>
      </c>
      <c r="N484" s="49">
        <v>0</v>
      </c>
      <c r="O484" s="49">
        <v>0</v>
      </c>
      <c r="P484" s="49">
        <v>0</v>
      </c>
      <c r="Q484" s="49">
        <v>0</v>
      </c>
      <c r="R484" s="49">
        <v>0</v>
      </c>
      <c r="S484" s="49">
        <v>0</v>
      </c>
      <c r="T484" s="49">
        <v>0</v>
      </c>
      <c r="U484" s="49">
        <v>0</v>
      </c>
      <c r="V484" s="49">
        <v>0</v>
      </c>
      <c r="W484" s="49">
        <v>0</v>
      </c>
      <c r="X484" s="49">
        <v>0</v>
      </c>
      <c r="Y484" s="49">
        <v>0</v>
      </c>
      <c r="Z484" s="49">
        <v>0</v>
      </c>
      <c r="AA484" s="49">
        <v>0</v>
      </c>
      <c r="AB484" s="49">
        <v>0</v>
      </c>
      <c r="AC484" s="49">
        <v>0</v>
      </c>
      <c r="AD484" s="49">
        <v>0</v>
      </c>
      <c r="AE484" s="49">
        <v>0</v>
      </c>
      <c r="AF484" s="49">
        <v>0</v>
      </c>
      <c r="AG484" s="49">
        <v>0</v>
      </c>
      <c r="AH484" s="49">
        <v>0</v>
      </c>
      <c r="AI484" s="49">
        <v>0</v>
      </c>
      <c r="AJ484" s="49">
        <v>0</v>
      </c>
      <c r="AK484" s="49">
        <v>0</v>
      </c>
      <c r="AL484" s="49">
        <v>0</v>
      </c>
      <c r="AM484" s="49">
        <v>0</v>
      </c>
      <c r="AN484" s="49">
        <v>0</v>
      </c>
      <c r="AO484" s="49">
        <v>0</v>
      </c>
      <c r="AP484" s="49">
        <v>0</v>
      </c>
      <c r="AQ484" s="49">
        <v>0</v>
      </c>
      <c r="AR484" s="49">
        <v>0</v>
      </c>
      <c r="AS484" s="49">
        <v>0</v>
      </c>
      <c r="AT484" s="49">
        <v>0</v>
      </c>
      <c r="AU484" s="49">
        <v>0</v>
      </c>
      <c r="AV484" s="49">
        <v>0</v>
      </c>
      <c r="AW484" s="49">
        <v>0</v>
      </c>
      <c r="AX484" s="49">
        <v>0</v>
      </c>
      <c r="AY484" s="49">
        <v>0</v>
      </c>
      <c r="AZ484" s="49">
        <v>0</v>
      </c>
      <c r="BA484" s="49">
        <v>0</v>
      </c>
      <c r="BB484" s="49">
        <v>0</v>
      </c>
      <c r="BC484" s="49">
        <v>0</v>
      </c>
      <c r="BD484" s="49">
        <v>0</v>
      </c>
      <c r="BE484" s="49">
        <v>0</v>
      </c>
      <c r="BF484" s="49">
        <v>0</v>
      </c>
      <c r="BG484" s="49">
        <v>0</v>
      </c>
      <c r="BH484" s="49">
        <v>0</v>
      </c>
      <c r="BI484" s="49">
        <v>0</v>
      </c>
      <c r="BJ484" s="49">
        <v>0</v>
      </c>
      <c r="BK484" s="49">
        <v>0</v>
      </c>
      <c r="BL484" s="49">
        <v>0</v>
      </c>
      <c r="BM484" s="49">
        <v>0</v>
      </c>
      <c r="BN484" s="49">
        <v>0</v>
      </c>
      <c r="BO484" s="49">
        <v>0</v>
      </c>
      <c r="BP484" s="49">
        <v>0</v>
      </c>
      <c r="BQ484" s="49">
        <v>0</v>
      </c>
      <c r="BR484" s="49">
        <v>0</v>
      </c>
      <c r="BS484" s="49">
        <v>0</v>
      </c>
    </row>
    <row r="485" spans="3:71" outlineLevel="1" x14ac:dyDescent="0.2">
      <c r="J485" s="26"/>
      <c r="L485" s="55"/>
      <c r="M485" s="55"/>
      <c r="N485" s="55"/>
      <c r="O485" s="55"/>
      <c r="P485" s="55"/>
      <c r="Q485" s="55"/>
      <c r="R485" s="55"/>
      <c r="S485" s="55"/>
      <c r="T485" s="55"/>
      <c r="U485" s="55"/>
      <c r="V485" s="55"/>
      <c r="W485" s="55"/>
      <c r="X485" s="55"/>
      <c r="Y485" s="55"/>
      <c r="Z485" s="55"/>
      <c r="AA485" s="55"/>
      <c r="AB485" s="55"/>
      <c r="AC485" s="55"/>
      <c r="AD485" s="55"/>
      <c r="AE485" s="55"/>
      <c r="AF485" s="55"/>
      <c r="AG485" s="55"/>
      <c r="AH485" s="55"/>
      <c r="AI485" s="55"/>
      <c r="AJ485" s="55"/>
      <c r="AK485" s="55"/>
      <c r="AL485" s="55"/>
      <c r="AM485" s="55"/>
      <c r="AN485" s="55"/>
      <c r="AO485" s="55"/>
      <c r="AP485" s="55"/>
      <c r="AQ485" s="55"/>
      <c r="AR485" s="55"/>
      <c r="AS485" s="55"/>
      <c r="AT485" s="55"/>
      <c r="AU485" s="55"/>
      <c r="AV485" s="55"/>
      <c r="AW485" s="55"/>
      <c r="AX485" s="55"/>
      <c r="AY485" s="55"/>
      <c r="AZ485" s="55"/>
      <c r="BA485" s="55"/>
      <c r="BB485" s="55"/>
      <c r="BC485" s="55"/>
      <c r="BD485" s="55"/>
      <c r="BE485" s="55"/>
      <c r="BF485" s="55"/>
      <c r="BG485" s="55"/>
      <c r="BH485" s="55"/>
      <c r="BI485" s="55"/>
      <c r="BJ485" s="55"/>
      <c r="BK485" s="55"/>
      <c r="BL485" s="55"/>
      <c r="BM485" s="55"/>
      <c r="BN485" s="55"/>
      <c r="BO485" s="55"/>
      <c r="BP485" s="55"/>
      <c r="BQ485" s="55"/>
      <c r="BR485" s="55"/>
      <c r="BS485" s="55"/>
    </row>
    <row r="486" spans="3:71" outlineLevel="1" x14ac:dyDescent="0.2">
      <c r="C486" s="11" t="s">
        <v>300</v>
      </c>
      <c r="F486" s="64" t="b">
        <f ca="1">ROUND(SUM(I486,I402),2)=ROUND(I376,2)</f>
        <v>1</v>
      </c>
      <c r="H486" s="7" t="s">
        <v>551</v>
      </c>
      <c r="I486" s="30">
        <f t="shared" ca="1" si="144"/>
        <v>3492.2128494836361</v>
      </c>
      <c r="J486" s="26" t="s">
        <v>148</v>
      </c>
      <c r="K486" s="7" t="s">
        <v>385</v>
      </c>
      <c r="L486" s="49">
        <f ca="1">SUM(L474:L481)-SUM(L483:L484)</f>
        <v>245.08421893010527</v>
      </c>
      <c r="M486" s="49">
        <f t="shared" ref="M486:BS486" ca="1" si="145">SUM(M474:M481)-SUM(M483:M484)</f>
        <v>228.16696515224623</v>
      </c>
      <c r="N486" s="49">
        <f t="shared" ca="1" si="145"/>
        <v>71.897312646498364</v>
      </c>
      <c r="O486" s="49">
        <f t="shared" ca="1" si="145"/>
        <v>66.842879661925011</v>
      </c>
      <c r="P486" s="49">
        <f t="shared" ca="1" si="145"/>
        <v>197.06784850474128</v>
      </c>
      <c r="Q486" s="49">
        <f t="shared" ca="1" si="145"/>
        <v>418.47325859428798</v>
      </c>
      <c r="R486" s="49">
        <f t="shared" ca="1" si="145"/>
        <v>393.43795763628481</v>
      </c>
      <c r="S486" s="49">
        <f t="shared" ca="1" si="145"/>
        <v>204.32645151120002</v>
      </c>
      <c r="T486" s="49">
        <f t="shared" ca="1" si="145"/>
        <v>351.31283657175595</v>
      </c>
      <c r="U486" s="49">
        <f t="shared" ca="1" si="145"/>
        <v>355.13674086208266</v>
      </c>
      <c r="V486" s="49">
        <f t="shared" ca="1" si="145"/>
        <v>336.88271238177151</v>
      </c>
      <c r="W486" s="49">
        <f t="shared" ca="1" si="145"/>
        <v>320.44246683100698</v>
      </c>
      <c r="X486" s="49">
        <f t="shared" ca="1" si="145"/>
        <v>303.1412001997295</v>
      </c>
      <c r="Y486" s="49">
        <f t="shared" ca="1" si="145"/>
        <v>0</v>
      </c>
      <c r="Z486" s="49">
        <f t="shared" ca="1" si="145"/>
        <v>0</v>
      </c>
      <c r="AA486" s="49">
        <f t="shared" ca="1" si="145"/>
        <v>0</v>
      </c>
      <c r="AB486" s="49">
        <f t="shared" ca="1" si="145"/>
        <v>0</v>
      </c>
      <c r="AC486" s="49">
        <f t="shared" ca="1" si="145"/>
        <v>0</v>
      </c>
      <c r="AD486" s="49">
        <f t="shared" ca="1" si="145"/>
        <v>0</v>
      </c>
      <c r="AE486" s="49">
        <f t="shared" ca="1" si="145"/>
        <v>0</v>
      </c>
      <c r="AF486" s="49">
        <f t="shared" ca="1" si="145"/>
        <v>0</v>
      </c>
      <c r="AG486" s="49">
        <f t="shared" ca="1" si="145"/>
        <v>0</v>
      </c>
      <c r="AH486" s="49">
        <f t="shared" ca="1" si="145"/>
        <v>0</v>
      </c>
      <c r="AI486" s="49">
        <f t="shared" ca="1" si="145"/>
        <v>0</v>
      </c>
      <c r="AJ486" s="49">
        <f t="shared" ca="1" si="145"/>
        <v>0</v>
      </c>
      <c r="AK486" s="49">
        <f t="shared" ca="1" si="145"/>
        <v>0</v>
      </c>
      <c r="AL486" s="49">
        <f t="shared" ca="1" si="145"/>
        <v>0</v>
      </c>
      <c r="AM486" s="49">
        <f t="shared" ca="1" si="145"/>
        <v>0</v>
      </c>
      <c r="AN486" s="49">
        <f t="shared" ca="1" si="145"/>
        <v>0</v>
      </c>
      <c r="AO486" s="49">
        <f t="shared" ca="1" si="145"/>
        <v>0</v>
      </c>
      <c r="AP486" s="49">
        <f t="shared" ca="1" si="145"/>
        <v>0</v>
      </c>
      <c r="AQ486" s="49">
        <f t="shared" ca="1" si="145"/>
        <v>0</v>
      </c>
      <c r="AR486" s="49">
        <f t="shared" ca="1" si="145"/>
        <v>0</v>
      </c>
      <c r="AS486" s="49">
        <f t="shared" ca="1" si="145"/>
        <v>0</v>
      </c>
      <c r="AT486" s="49">
        <f t="shared" ca="1" si="145"/>
        <v>0</v>
      </c>
      <c r="AU486" s="49">
        <f t="shared" ca="1" si="145"/>
        <v>0</v>
      </c>
      <c r="AV486" s="49">
        <f t="shared" ca="1" si="145"/>
        <v>0</v>
      </c>
      <c r="AW486" s="49">
        <f t="shared" ca="1" si="145"/>
        <v>0</v>
      </c>
      <c r="AX486" s="49">
        <f t="shared" ca="1" si="145"/>
        <v>0</v>
      </c>
      <c r="AY486" s="49">
        <f t="shared" ca="1" si="145"/>
        <v>0</v>
      </c>
      <c r="AZ486" s="49">
        <f t="shared" ca="1" si="145"/>
        <v>0</v>
      </c>
      <c r="BA486" s="49">
        <f t="shared" ca="1" si="145"/>
        <v>0</v>
      </c>
      <c r="BB486" s="49">
        <f t="shared" ca="1" si="145"/>
        <v>0</v>
      </c>
      <c r="BC486" s="49">
        <f t="shared" ca="1" si="145"/>
        <v>0</v>
      </c>
      <c r="BD486" s="49">
        <f t="shared" ca="1" si="145"/>
        <v>0</v>
      </c>
      <c r="BE486" s="49">
        <f t="shared" ca="1" si="145"/>
        <v>0</v>
      </c>
      <c r="BF486" s="49">
        <f t="shared" ca="1" si="145"/>
        <v>0</v>
      </c>
      <c r="BG486" s="49">
        <f t="shared" ca="1" si="145"/>
        <v>0</v>
      </c>
      <c r="BH486" s="49">
        <f t="shared" ca="1" si="145"/>
        <v>0</v>
      </c>
      <c r="BI486" s="49">
        <f t="shared" ca="1" si="145"/>
        <v>0</v>
      </c>
      <c r="BJ486" s="49">
        <f t="shared" ca="1" si="145"/>
        <v>0</v>
      </c>
      <c r="BK486" s="49">
        <f t="shared" ca="1" si="145"/>
        <v>0</v>
      </c>
      <c r="BL486" s="49">
        <f t="shared" ca="1" si="145"/>
        <v>0</v>
      </c>
      <c r="BM486" s="49">
        <f t="shared" ca="1" si="145"/>
        <v>0</v>
      </c>
      <c r="BN486" s="49">
        <f t="shared" ca="1" si="145"/>
        <v>0</v>
      </c>
      <c r="BO486" s="49">
        <f t="shared" ca="1" si="145"/>
        <v>0</v>
      </c>
      <c r="BP486" s="49">
        <f t="shared" ca="1" si="145"/>
        <v>0</v>
      </c>
      <c r="BQ486" s="49">
        <f t="shared" ca="1" si="145"/>
        <v>0</v>
      </c>
      <c r="BR486" s="49">
        <f t="shared" ca="1" si="145"/>
        <v>0</v>
      </c>
      <c r="BS486" s="49">
        <f t="shared" ca="1" si="145"/>
        <v>0</v>
      </c>
    </row>
    <row r="487" spans="3:71" outlineLevel="1" x14ac:dyDescent="0.2">
      <c r="J487" s="26"/>
      <c r="L487" s="55"/>
      <c r="M487" s="55"/>
      <c r="N487" s="55"/>
      <c r="O487" s="55"/>
      <c r="P487" s="55"/>
      <c r="Q487" s="55"/>
      <c r="R487" s="55"/>
      <c r="S487" s="55"/>
      <c r="T487" s="55"/>
      <c r="U487" s="55"/>
      <c r="V487" s="55"/>
      <c r="W487" s="55"/>
      <c r="X487" s="55"/>
      <c r="Y487" s="55"/>
      <c r="Z487" s="55"/>
      <c r="AA487" s="55"/>
      <c r="AB487" s="55"/>
      <c r="AC487" s="55"/>
      <c r="AD487" s="55"/>
      <c r="AE487" s="55"/>
      <c r="AF487" s="55"/>
      <c r="AG487" s="55"/>
      <c r="AH487" s="55"/>
      <c r="AI487" s="55"/>
      <c r="AJ487" s="55"/>
      <c r="AK487" s="55"/>
      <c r="AL487" s="55"/>
      <c r="AM487" s="55"/>
      <c r="AN487" s="55"/>
      <c r="AO487" s="55"/>
      <c r="AP487" s="55"/>
      <c r="AQ487" s="55"/>
      <c r="AR487" s="55"/>
      <c r="AS487" s="55"/>
      <c r="AT487" s="55"/>
      <c r="AU487" s="55"/>
      <c r="AV487" s="55"/>
      <c r="AW487" s="55"/>
      <c r="AX487" s="55"/>
      <c r="AY487" s="55"/>
      <c r="AZ487" s="55"/>
      <c r="BA487" s="55"/>
      <c r="BB487" s="55"/>
      <c r="BC487" s="55"/>
      <c r="BD487" s="55"/>
      <c r="BE487" s="55"/>
      <c r="BF487" s="55"/>
      <c r="BG487" s="55"/>
      <c r="BH487" s="55"/>
      <c r="BI487" s="55"/>
      <c r="BJ487" s="55"/>
      <c r="BK487" s="55"/>
      <c r="BL487" s="55"/>
      <c r="BM487" s="55"/>
      <c r="BN487" s="55"/>
      <c r="BO487" s="55"/>
      <c r="BP487" s="55"/>
      <c r="BQ487" s="55"/>
      <c r="BR487" s="55"/>
      <c r="BS487" s="55"/>
    </row>
    <row r="488" spans="3:71" outlineLevel="1" x14ac:dyDescent="0.2">
      <c r="C488" s="11" t="s">
        <v>284</v>
      </c>
      <c r="G488" s="60"/>
      <c r="H488" s="7" t="s">
        <v>552</v>
      </c>
      <c r="I488" s="65">
        <f t="shared" ca="1" si="144"/>
        <v>1846.6787928072492</v>
      </c>
      <c r="J488" s="26" t="s">
        <v>148</v>
      </c>
      <c r="L488" s="49">
        <f t="shared" ref="L488:AQ488" ca="1" si="146">OA_gov_CF_HM1994*CA_disc_factor_fc</f>
        <v>233.67863396433177</v>
      </c>
      <c r="M488" s="49">
        <f t="shared" ca="1" si="146"/>
        <v>197.77151397669954</v>
      </c>
      <c r="N488" s="49">
        <f t="shared" ca="1" si="146"/>
        <v>56.65404783118197</v>
      </c>
      <c r="O488" s="49">
        <f t="shared" ca="1" si="146"/>
        <v>47.882933970766757</v>
      </c>
      <c r="P488" s="49">
        <f t="shared" ca="1" si="146"/>
        <v>128.33605702642487</v>
      </c>
      <c r="Q488" s="49">
        <f t="shared" ca="1" si="146"/>
        <v>247.74673654267903</v>
      </c>
      <c r="R488" s="49">
        <f t="shared" ca="1" si="146"/>
        <v>211.75018743096601</v>
      </c>
      <c r="S488" s="49">
        <f t="shared" ca="1" si="146"/>
        <v>99.972247130808583</v>
      </c>
      <c r="T488" s="49">
        <f t="shared" ca="1" si="146"/>
        <v>156.26301333086349</v>
      </c>
      <c r="U488" s="49">
        <f t="shared" ca="1" si="146"/>
        <v>143.6035234246433</v>
      </c>
      <c r="V488" s="49">
        <f t="shared" ca="1" si="146"/>
        <v>123.83845665510596</v>
      </c>
      <c r="W488" s="49">
        <f t="shared" ca="1" si="146"/>
        <v>107.08636750632694</v>
      </c>
      <c r="X488" s="49">
        <f t="shared" ca="1" si="146"/>
        <v>92.09507401645088</v>
      </c>
      <c r="Y488" s="49">
        <f t="shared" ca="1" si="146"/>
        <v>0</v>
      </c>
      <c r="Z488" s="49">
        <f t="shared" ca="1" si="146"/>
        <v>0</v>
      </c>
      <c r="AA488" s="49">
        <f t="shared" ca="1" si="146"/>
        <v>0</v>
      </c>
      <c r="AB488" s="49">
        <f t="shared" ca="1" si="146"/>
        <v>0</v>
      </c>
      <c r="AC488" s="49">
        <f t="shared" ca="1" si="146"/>
        <v>0</v>
      </c>
      <c r="AD488" s="49">
        <f t="shared" ca="1" si="146"/>
        <v>0</v>
      </c>
      <c r="AE488" s="49">
        <f t="shared" ca="1" si="146"/>
        <v>0</v>
      </c>
      <c r="AF488" s="49">
        <f t="shared" ca="1" si="146"/>
        <v>0</v>
      </c>
      <c r="AG488" s="49">
        <f t="shared" ca="1" si="146"/>
        <v>0</v>
      </c>
      <c r="AH488" s="49">
        <f t="shared" ca="1" si="146"/>
        <v>0</v>
      </c>
      <c r="AI488" s="49">
        <f t="shared" ca="1" si="146"/>
        <v>0</v>
      </c>
      <c r="AJ488" s="49">
        <f t="shared" ca="1" si="146"/>
        <v>0</v>
      </c>
      <c r="AK488" s="49">
        <f t="shared" ca="1" si="146"/>
        <v>0</v>
      </c>
      <c r="AL488" s="49">
        <f t="shared" ca="1" si="146"/>
        <v>0</v>
      </c>
      <c r="AM488" s="49">
        <f t="shared" ca="1" si="146"/>
        <v>0</v>
      </c>
      <c r="AN488" s="49">
        <f t="shared" ca="1" si="146"/>
        <v>0</v>
      </c>
      <c r="AO488" s="49">
        <f t="shared" ca="1" si="146"/>
        <v>0</v>
      </c>
      <c r="AP488" s="49">
        <f t="shared" ca="1" si="146"/>
        <v>0</v>
      </c>
      <c r="AQ488" s="49">
        <f t="shared" ca="1" si="146"/>
        <v>0</v>
      </c>
      <c r="AR488" s="49">
        <f t="shared" ref="AR488:BS488" ca="1" si="147">OA_gov_CF_HM1994*CA_disc_factor_fc</f>
        <v>0</v>
      </c>
      <c r="AS488" s="49">
        <f t="shared" ca="1" si="147"/>
        <v>0</v>
      </c>
      <c r="AT488" s="49">
        <f t="shared" ca="1" si="147"/>
        <v>0</v>
      </c>
      <c r="AU488" s="49">
        <f t="shared" ca="1" si="147"/>
        <v>0</v>
      </c>
      <c r="AV488" s="49">
        <f t="shared" ca="1" si="147"/>
        <v>0</v>
      </c>
      <c r="AW488" s="49">
        <f t="shared" ca="1" si="147"/>
        <v>0</v>
      </c>
      <c r="AX488" s="49">
        <f t="shared" ca="1" si="147"/>
        <v>0</v>
      </c>
      <c r="AY488" s="49">
        <f t="shared" ca="1" si="147"/>
        <v>0</v>
      </c>
      <c r="AZ488" s="49">
        <f t="shared" ca="1" si="147"/>
        <v>0</v>
      </c>
      <c r="BA488" s="49">
        <f t="shared" ca="1" si="147"/>
        <v>0</v>
      </c>
      <c r="BB488" s="49">
        <f t="shared" ca="1" si="147"/>
        <v>0</v>
      </c>
      <c r="BC488" s="49">
        <f t="shared" ca="1" si="147"/>
        <v>0</v>
      </c>
      <c r="BD488" s="49">
        <f t="shared" ca="1" si="147"/>
        <v>0</v>
      </c>
      <c r="BE488" s="49">
        <f t="shared" ca="1" si="147"/>
        <v>0</v>
      </c>
      <c r="BF488" s="49">
        <f t="shared" ca="1" si="147"/>
        <v>0</v>
      </c>
      <c r="BG488" s="49">
        <f t="shared" ca="1" si="147"/>
        <v>0</v>
      </c>
      <c r="BH488" s="49">
        <f t="shared" ca="1" si="147"/>
        <v>0</v>
      </c>
      <c r="BI488" s="49">
        <f t="shared" ca="1" si="147"/>
        <v>0</v>
      </c>
      <c r="BJ488" s="49">
        <f t="shared" ca="1" si="147"/>
        <v>0</v>
      </c>
      <c r="BK488" s="49">
        <f t="shared" ca="1" si="147"/>
        <v>0</v>
      </c>
      <c r="BL488" s="49">
        <f t="shared" ca="1" si="147"/>
        <v>0</v>
      </c>
      <c r="BM488" s="49">
        <f t="shared" ca="1" si="147"/>
        <v>0</v>
      </c>
      <c r="BN488" s="49">
        <f t="shared" ca="1" si="147"/>
        <v>0</v>
      </c>
      <c r="BO488" s="49">
        <f t="shared" ca="1" si="147"/>
        <v>0</v>
      </c>
      <c r="BP488" s="49">
        <f t="shared" ca="1" si="147"/>
        <v>0</v>
      </c>
      <c r="BQ488" s="49">
        <f t="shared" ca="1" si="147"/>
        <v>0</v>
      </c>
      <c r="BR488" s="49">
        <f t="shared" ca="1" si="147"/>
        <v>0</v>
      </c>
      <c r="BS488" s="49">
        <f t="shared" ca="1" si="147"/>
        <v>0</v>
      </c>
    </row>
    <row r="489" spans="3:71" outlineLevel="1" x14ac:dyDescent="0.2">
      <c r="C489" s="11" t="s">
        <v>285</v>
      </c>
      <c r="I489" s="65">
        <f t="shared" ca="1" si="144"/>
        <v>0</v>
      </c>
      <c r="J489" s="26" t="s">
        <v>148</v>
      </c>
      <c r="L489" s="49">
        <f t="shared" ref="L489:AQ489" ca="1" si="148">OA_gov_CF_HM1994*CA_disc_factor_pf</f>
        <v>0</v>
      </c>
      <c r="M489" s="49">
        <f t="shared" ca="1" si="148"/>
        <v>0</v>
      </c>
      <c r="N489" s="49">
        <f t="shared" ca="1" si="148"/>
        <v>0</v>
      </c>
      <c r="O489" s="49">
        <f t="shared" ca="1" si="148"/>
        <v>0</v>
      </c>
      <c r="P489" s="49">
        <f t="shared" ca="1" si="148"/>
        <v>0</v>
      </c>
      <c r="Q489" s="49">
        <f t="shared" ca="1" si="148"/>
        <v>0</v>
      </c>
      <c r="R489" s="49">
        <f t="shared" ca="1" si="148"/>
        <v>0</v>
      </c>
      <c r="S489" s="49">
        <f t="shared" ca="1" si="148"/>
        <v>0</v>
      </c>
      <c r="T489" s="49">
        <f t="shared" ca="1" si="148"/>
        <v>0</v>
      </c>
      <c r="U489" s="49">
        <f t="shared" ca="1" si="148"/>
        <v>0</v>
      </c>
      <c r="V489" s="49">
        <f t="shared" ca="1" si="148"/>
        <v>0</v>
      </c>
      <c r="W489" s="49">
        <f t="shared" ca="1" si="148"/>
        <v>0</v>
      </c>
      <c r="X489" s="49">
        <f t="shared" ca="1" si="148"/>
        <v>0</v>
      </c>
      <c r="Y489" s="49">
        <f t="shared" ca="1" si="148"/>
        <v>0</v>
      </c>
      <c r="Z489" s="49">
        <f t="shared" ca="1" si="148"/>
        <v>0</v>
      </c>
      <c r="AA489" s="49">
        <f t="shared" ca="1" si="148"/>
        <v>0</v>
      </c>
      <c r="AB489" s="49">
        <f t="shared" ca="1" si="148"/>
        <v>0</v>
      </c>
      <c r="AC489" s="49">
        <f t="shared" ca="1" si="148"/>
        <v>0</v>
      </c>
      <c r="AD489" s="49">
        <f t="shared" ca="1" si="148"/>
        <v>0</v>
      </c>
      <c r="AE489" s="49">
        <f t="shared" ca="1" si="148"/>
        <v>0</v>
      </c>
      <c r="AF489" s="49">
        <f t="shared" ca="1" si="148"/>
        <v>0</v>
      </c>
      <c r="AG489" s="49">
        <f t="shared" ca="1" si="148"/>
        <v>0</v>
      </c>
      <c r="AH489" s="49">
        <f t="shared" ca="1" si="148"/>
        <v>0</v>
      </c>
      <c r="AI489" s="49">
        <f t="shared" ca="1" si="148"/>
        <v>0</v>
      </c>
      <c r="AJ489" s="49">
        <f t="shared" ca="1" si="148"/>
        <v>0</v>
      </c>
      <c r="AK489" s="49">
        <f t="shared" ca="1" si="148"/>
        <v>0</v>
      </c>
      <c r="AL489" s="49">
        <f t="shared" ca="1" si="148"/>
        <v>0</v>
      </c>
      <c r="AM489" s="49">
        <f t="shared" ca="1" si="148"/>
        <v>0</v>
      </c>
      <c r="AN489" s="49">
        <f t="shared" ca="1" si="148"/>
        <v>0</v>
      </c>
      <c r="AO489" s="49">
        <f t="shared" ca="1" si="148"/>
        <v>0</v>
      </c>
      <c r="AP489" s="49">
        <f t="shared" ca="1" si="148"/>
        <v>0</v>
      </c>
      <c r="AQ489" s="49">
        <f t="shared" ca="1" si="148"/>
        <v>0</v>
      </c>
      <c r="AR489" s="49">
        <f t="shared" ref="AR489:BS489" ca="1" si="149">OA_gov_CF_HM1994*CA_disc_factor_pf</f>
        <v>0</v>
      </c>
      <c r="AS489" s="49">
        <f t="shared" ca="1" si="149"/>
        <v>0</v>
      </c>
      <c r="AT489" s="49">
        <f t="shared" ca="1" si="149"/>
        <v>0</v>
      </c>
      <c r="AU489" s="49">
        <f t="shared" ca="1" si="149"/>
        <v>0</v>
      </c>
      <c r="AV489" s="49">
        <f t="shared" ca="1" si="149"/>
        <v>0</v>
      </c>
      <c r="AW489" s="49">
        <f t="shared" ca="1" si="149"/>
        <v>0</v>
      </c>
      <c r="AX489" s="49">
        <f t="shared" ca="1" si="149"/>
        <v>0</v>
      </c>
      <c r="AY489" s="49">
        <f t="shared" ca="1" si="149"/>
        <v>0</v>
      </c>
      <c r="AZ489" s="49">
        <f t="shared" ca="1" si="149"/>
        <v>0</v>
      </c>
      <c r="BA489" s="49">
        <f t="shared" ca="1" si="149"/>
        <v>0</v>
      </c>
      <c r="BB489" s="49">
        <f t="shared" ca="1" si="149"/>
        <v>0</v>
      </c>
      <c r="BC489" s="49">
        <f t="shared" ca="1" si="149"/>
        <v>0</v>
      </c>
      <c r="BD489" s="49">
        <f t="shared" ca="1" si="149"/>
        <v>0</v>
      </c>
      <c r="BE489" s="49">
        <f t="shared" ca="1" si="149"/>
        <v>0</v>
      </c>
      <c r="BF489" s="49">
        <f t="shared" ca="1" si="149"/>
        <v>0</v>
      </c>
      <c r="BG489" s="49">
        <f t="shared" ca="1" si="149"/>
        <v>0</v>
      </c>
      <c r="BH489" s="49">
        <f t="shared" ca="1" si="149"/>
        <v>0</v>
      </c>
      <c r="BI489" s="49">
        <f t="shared" ca="1" si="149"/>
        <v>0</v>
      </c>
      <c r="BJ489" s="49">
        <f t="shared" ca="1" si="149"/>
        <v>0</v>
      </c>
      <c r="BK489" s="49">
        <f t="shared" ca="1" si="149"/>
        <v>0</v>
      </c>
      <c r="BL489" s="49">
        <f t="shared" ca="1" si="149"/>
        <v>0</v>
      </c>
      <c r="BM489" s="49">
        <f t="shared" ca="1" si="149"/>
        <v>0</v>
      </c>
      <c r="BN489" s="49">
        <f t="shared" ca="1" si="149"/>
        <v>0</v>
      </c>
      <c r="BO489" s="49">
        <f t="shared" ca="1" si="149"/>
        <v>0</v>
      </c>
      <c r="BP489" s="49">
        <f t="shared" ca="1" si="149"/>
        <v>0</v>
      </c>
      <c r="BQ489" s="49">
        <f t="shared" ca="1" si="149"/>
        <v>0</v>
      </c>
      <c r="BR489" s="49">
        <f t="shared" ca="1" si="149"/>
        <v>0</v>
      </c>
      <c r="BS489" s="49">
        <f t="shared" ca="1" si="149"/>
        <v>0</v>
      </c>
    </row>
    <row r="490" spans="3:71" outlineLevel="1" x14ac:dyDescent="0.2">
      <c r="I490" s="61"/>
      <c r="J490" s="26"/>
      <c r="L490" s="55"/>
      <c r="M490" s="55"/>
      <c r="N490" s="55"/>
      <c r="O490" s="55"/>
      <c r="P490" s="55"/>
      <c r="Q490" s="55"/>
      <c r="R490" s="55"/>
      <c r="S490" s="55"/>
      <c r="T490" s="55"/>
      <c r="U490" s="55"/>
      <c r="V490" s="55"/>
      <c r="W490" s="55"/>
      <c r="X490" s="55"/>
      <c r="Y490" s="55"/>
      <c r="Z490" s="55"/>
      <c r="AA490" s="55"/>
      <c r="AB490" s="55"/>
      <c r="AC490" s="55"/>
      <c r="AD490" s="55"/>
      <c r="AE490" s="55"/>
      <c r="AF490" s="55"/>
      <c r="AG490" s="55"/>
      <c r="AH490" s="55"/>
      <c r="AI490" s="55"/>
      <c r="AJ490" s="55"/>
      <c r="AK490" s="55"/>
      <c r="AL490" s="55"/>
      <c r="AM490" s="55"/>
      <c r="AN490" s="55"/>
      <c r="AO490" s="55"/>
      <c r="AP490" s="55"/>
      <c r="AQ490" s="55"/>
      <c r="AR490" s="55"/>
      <c r="AS490" s="55"/>
      <c r="AT490" s="55"/>
      <c r="AU490" s="55"/>
      <c r="AV490" s="55"/>
      <c r="AW490" s="55"/>
      <c r="AX490" s="55"/>
      <c r="AY490" s="55"/>
      <c r="AZ490" s="55"/>
      <c r="BA490" s="55"/>
      <c r="BB490" s="55"/>
      <c r="BC490" s="55"/>
      <c r="BD490" s="55"/>
      <c r="BE490" s="55"/>
      <c r="BF490" s="55"/>
      <c r="BG490" s="55"/>
      <c r="BH490" s="55"/>
      <c r="BI490" s="55"/>
      <c r="BJ490" s="55"/>
      <c r="BK490" s="55"/>
      <c r="BL490" s="55"/>
      <c r="BM490" s="55"/>
      <c r="BN490" s="55"/>
      <c r="BO490" s="55"/>
      <c r="BP490" s="55"/>
      <c r="BQ490" s="55"/>
      <c r="BR490" s="55"/>
      <c r="BS490" s="55"/>
    </row>
    <row r="491" spans="3:71" outlineLevel="1" x14ac:dyDescent="0.2">
      <c r="C491" s="11" t="s">
        <v>286</v>
      </c>
      <c r="I491" s="62" t="str">
        <f ca="1">IFERROR(IRR(INDEX(OA_gov_CF_HM1994,1,MAX(1,$G$351-L4+1)):INDEX(OA_gov_CF_HM1994,1,last_model_year)),"na")</f>
        <v>na</v>
      </c>
      <c r="J491" s="26" t="s">
        <v>90</v>
      </c>
      <c r="L491" s="55"/>
      <c r="M491" s="55"/>
      <c r="N491" s="55"/>
      <c r="O491" s="55"/>
      <c r="P491" s="55"/>
      <c r="Q491" s="55"/>
      <c r="R491" s="55"/>
      <c r="S491" s="55"/>
      <c r="T491" s="55"/>
      <c r="U491" s="55"/>
      <c r="V491" s="55"/>
      <c r="W491" s="55"/>
      <c r="X491" s="55"/>
      <c r="Y491" s="55"/>
      <c r="Z491" s="55"/>
      <c r="AA491" s="55"/>
      <c r="AB491" s="55"/>
      <c r="AC491" s="55"/>
      <c r="AD491" s="55"/>
      <c r="AE491" s="55"/>
      <c r="AF491" s="55"/>
      <c r="AG491" s="55"/>
      <c r="AH491" s="55"/>
      <c r="AI491" s="55"/>
      <c r="AJ491" s="55"/>
      <c r="AK491" s="55"/>
      <c r="AL491" s="55"/>
      <c r="AM491" s="55"/>
      <c r="AN491" s="55"/>
      <c r="AO491" s="55"/>
      <c r="AP491" s="55"/>
      <c r="AQ491" s="55"/>
      <c r="AR491" s="55"/>
      <c r="AS491" s="55"/>
      <c r="AT491" s="55"/>
      <c r="AU491" s="55"/>
      <c r="AV491" s="55"/>
      <c r="AW491" s="55"/>
      <c r="AX491" s="55"/>
      <c r="AY491" s="55"/>
      <c r="AZ491" s="55"/>
      <c r="BA491" s="55"/>
      <c r="BB491" s="55"/>
      <c r="BC491" s="55"/>
      <c r="BD491" s="55"/>
      <c r="BE491" s="55"/>
      <c r="BF491" s="55"/>
      <c r="BG491" s="55"/>
      <c r="BH491" s="55"/>
      <c r="BI491" s="55"/>
      <c r="BJ491" s="55"/>
      <c r="BK491" s="55"/>
      <c r="BL491" s="55"/>
      <c r="BM491" s="55"/>
      <c r="BN491" s="55"/>
      <c r="BO491" s="55"/>
      <c r="BP491" s="55"/>
      <c r="BQ491" s="55"/>
      <c r="BR491" s="55"/>
      <c r="BS491" s="55"/>
    </row>
    <row r="492" spans="3:71" outlineLevel="1" x14ac:dyDescent="0.2">
      <c r="C492" s="11" t="s">
        <v>287</v>
      </c>
      <c r="I492" s="62" t="str">
        <f ca="1">IFERROR(IRR(INDEX(OA_gov_CF_HM1994,1,MAX(1,$G$352-L4+1)):INDEX(OA_gov_CF_HM1994,1,last_model_year)),"na")</f>
        <v>na</v>
      </c>
      <c r="J492" s="26" t="s">
        <v>90</v>
      </c>
      <c r="L492" s="55"/>
      <c r="M492" s="55"/>
      <c r="N492" s="55"/>
      <c r="O492" s="55"/>
      <c r="P492" s="55"/>
      <c r="Q492" s="55"/>
      <c r="R492" s="55"/>
      <c r="S492" s="55"/>
      <c r="T492" s="55"/>
      <c r="U492" s="55"/>
      <c r="V492" s="55"/>
      <c r="W492" s="55"/>
      <c r="X492" s="55"/>
      <c r="Y492" s="55"/>
      <c r="Z492" s="55"/>
      <c r="AA492" s="55"/>
      <c r="AB492" s="55"/>
      <c r="AC492" s="55"/>
      <c r="AD492" s="55"/>
      <c r="AE492" s="55"/>
      <c r="AF492" s="55"/>
      <c r="AG492" s="55"/>
      <c r="AH492" s="55"/>
      <c r="AI492" s="55"/>
      <c r="AJ492" s="55"/>
      <c r="AK492" s="55"/>
      <c r="AL492" s="55"/>
      <c r="AM492" s="55"/>
      <c r="AN492" s="55"/>
      <c r="AO492" s="55"/>
      <c r="AP492" s="55"/>
      <c r="AQ492" s="55"/>
      <c r="AR492" s="55"/>
      <c r="AS492" s="55"/>
      <c r="AT492" s="55"/>
      <c r="AU492" s="55"/>
      <c r="AV492" s="55"/>
      <c r="AW492" s="55"/>
      <c r="AX492" s="55"/>
      <c r="AY492" s="55"/>
      <c r="AZ492" s="55"/>
      <c r="BA492" s="55"/>
      <c r="BB492" s="55"/>
      <c r="BC492" s="55"/>
      <c r="BD492" s="55"/>
      <c r="BE492" s="55"/>
      <c r="BF492" s="55"/>
      <c r="BG492" s="55"/>
      <c r="BH492" s="55"/>
      <c r="BI492" s="55"/>
      <c r="BJ492" s="55"/>
      <c r="BK492" s="55"/>
      <c r="BL492" s="55"/>
      <c r="BM492" s="55"/>
      <c r="BN492" s="55"/>
      <c r="BO492" s="55"/>
      <c r="BP492" s="55"/>
      <c r="BQ492" s="55"/>
      <c r="BR492" s="55"/>
      <c r="BS492" s="55"/>
    </row>
    <row r="493" spans="3:71" outlineLevel="1" x14ac:dyDescent="0.2">
      <c r="J493" s="26"/>
      <c r="L493" s="55"/>
      <c r="M493" s="55"/>
      <c r="N493" s="55"/>
      <c r="O493" s="55"/>
      <c r="P493" s="55"/>
      <c r="Q493" s="55"/>
      <c r="R493" s="55"/>
      <c r="S493" s="55"/>
      <c r="T493" s="55"/>
      <c r="U493" s="55"/>
      <c r="V493" s="55"/>
      <c r="W493" s="55"/>
      <c r="X493" s="55"/>
      <c r="Y493" s="55"/>
      <c r="Z493" s="55"/>
      <c r="AA493" s="55"/>
      <c r="AB493" s="55"/>
      <c r="AC493" s="55"/>
      <c r="AD493" s="55"/>
      <c r="AE493" s="55"/>
      <c r="AF493" s="55"/>
      <c r="AG493" s="55"/>
      <c r="AH493" s="55"/>
      <c r="AI493" s="55"/>
      <c r="AJ493" s="55"/>
      <c r="AK493" s="55"/>
      <c r="AL493" s="55"/>
      <c r="AM493" s="55"/>
      <c r="AN493" s="55"/>
      <c r="AO493" s="55"/>
      <c r="AP493" s="55"/>
      <c r="AQ493" s="55"/>
      <c r="AR493" s="55"/>
      <c r="AS493" s="55"/>
      <c r="AT493" s="55"/>
      <c r="AU493" s="55"/>
      <c r="AV493" s="55"/>
      <c r="AW493" s="55"/>
      <c r="AX493" s="55"/>
      <c r="AY493" s="55"/>
      <c r="AZ493" s="55"/>
      <c r="BA493" s="55"/>
      <c r="BB493" s="55"/>
      <c r="BC493" s="55"/>
      <c r="BD493" s="55"/>
      <c r="BE493" s="55"/>
      <c r="BF493" s="55"/>
      <c r="BG493" s="55"/>
      <c r="BH493" s="55"/>
      <c r="BI493" s="55"/>
      <c r="BJ493" s="55"/>
      <c r="BK493" s="55"/>
      <c r="BL493" s="55"/>
      <c r="BM493" s="55"/>
      <c r="BN493" s="55"/>
      <c r="BO493" s="55"/>
      <c r="BP493" s="55"/>
      <c r="BQ493" s="55"/>
      <c r="BR493" s="55"/>
      <c r="BS493" s="55"/>
    </row>
    <row r="494" spans="3:71" outlineLevel="1" x14ac:dyDescent="0.2">
      <c r="C494" s="11" t="s">
        <v>302</v>
      </c>
      <c r="H494" s="7" t="s">
        <v>553</v>
      </c>
      <c r="I494" s="62">
        <f ca="1">IFERROR(I486/I376,0)</f>
        <v>-1.2781478238056201</v>
      </c>
      <c r="J494" s="26" t="s">
        <v>90</v>
      </c>
      <c r="L494" s="55"/>
      <c r="M494" s="55"/>
      <c r="N494" s="55"/>
      <c r="O494" s="55"/>
      <c r="P494" s="55"/>
      <c r="Q494" s="55"/>
      <c r="R494" s="55"/>
      <c r="S494" s="55"/>
      <c r="T494" s="55"/>
      <c r="U494" s="55"/>
      <c r="V494" s="55"/>
      <c r="W494" s="55"/>
      <c r="X494" s="55"/>
      <c r="Y494" s="55"/>
      <c r="Z494" s="55"/>
      <c r="AA494" s="55"/>
      <c r="AB494" s="55"/>
      <c r="AC494" s="55"/>
      <c r="AD494" s="55"/>
      <c r="AE494" s="55"/>
      <c r="AF494" s="55"/>
      <c r="AG494" s="55"/>
      <c r="AH494" s="55"/>
      <c r="AI494" s="55"/>
      <c r="AJ494" s="55"/>
      <c r="AK494" s="55"/>
      <c r="AL494" s="55"/>
      <c r="AM494" s="55"/>
      <c r="AN494" s="55"/>
      <c r="AO494" s="55"/>
      <c r="AP494" s="55"/>
      <c r="AQ494" s="55"/>
      <c r="AR494" s="55"/>
      <c r="AS494" s="55"/>
      <c r="AT494" s="55"/>
      <c r="AU494" s="55"/>
      <c r="AV494" s="55"/>
      <c r="AW494" s="55"/>
      <c r="AX494" s="55"/>
      <c r="AY494" s="55"/>
      <c r="AZ494" s="55"/>
      <c r="BA494" s="55"/>
      <c r="BB494" s="55"/>
      <c r="BC494" s="55"/>
      <c r="BD494" s="55"/>
      <c r="BE494" s="55"/>
      <c r="BF494" s="55"/>
      <c r="BG494" s="55"/>
      <c r="BH494" s="55"/>
      <c r="BI494" s="55"/>
      <c r="BJ494" s="55"/>
      <c r="BK494" s="55"/>
      <c r="BL494" s="55"/>
      <c r="BM494" s="55"/>
      <c r="BN494" s="55"/>
      <c r="BO494" s="55"/>
      <c r="BP494" s="55"/>
      <c r="BQ494" s="55"/>
      <c r="BR494" s="55"/>
      <c r="BS494" s="55"/>
    </row>
    <row r="495" spans="3:71" outlineLevel="1" x14ac:dyDescent="0.2">
      <c r="J495" s="26"/>
      <c r="L495" s="55"/>
      <c r="M495" s="55"/>
      <c r="N495" s="55"/>
      <c r="O495" s="55"/>
      <c r="P495" s="55"/>
      <c r="Q495" s="55"/>
      <c r="R495" s="55"/>
      <c r="S495" s="55"/>
      <c r="T495" s="55"/>
      <c r="U495" s="55"/>
      <c r="V495" s="55"/>
      <c r="W495" s="55"/>
      <c r="X495" s="55"/>
      <c r="Y495" s="55"/>
      <c r="Z495" s="55"/>
      <c r="AA495" s="55"/>
      <c r="AB495" s="55"/>
      <c r="AC495" s="55"/>
      <c r="AD495" s="55"/>
      <c r="AE495" s="55"/>
      <c r="AF495" s="55"/>
      <c r="AG495" s="55"/>
      <c r="AH495" s="55"/>
      <c r="AI495" s="55"/>
      <c r="AJ495" s="55"/>
      <c r="AK495" s="55"/>
      <c r="AL495" s="55"/>
      <c r="AM495" s="55"/>
      <c r="AN495" s="55"/>
      <c r="AO495" s="55"/>
      <c r="AP495" s="55"/>
      <c r="AQ495" s="55"/>
      <c r="AR495" s="55"/>
      <c r="AS495" s="55"/>
      <c r="AT495" s="55"/>
      <c r="AU495" s="55"/>
      <c r="AV495" s="55"/>
      <c r="AW495" s="55"/>
      <c r="AX495" s="55"/>
      <c r="AY495" s="55"/>
      <c r="AZ495" s="55"/>
      <c r="BA495" s="55"/>
      <c r="BB495" s="55"/>
      <c r="BC495" s="55"/>
      <c r="BD495" s="55"/>
      <c r="BE495" s="55"/>
      <c r="BF495" s="55"/>
      <c r="BG495" s="55"/>
      <c r="BH495" s="55"/>
      <c r="BI495" s="55"/>
      <c r="BJ495" s="55"/>
      <c r="BK495" s="55"/>
      <c r="BL495" s="55"/>
      <c r="BM495" s="55"/>
      <c r="BN495" s="55"/>
      <c r="BO495" s="55"/>
      <c r="BP495" s="55"/>
      <c r="BQ495" s="55"/>
      <c r="BR495" s="55"/>
      <c r="BS495" s="55"/>
    </row>
    <row r="496" spans="3:71" outlineLevel="1" x14ac:dyDescent="0.2">
      <c r="C496" s="11" t="s">
        <v>490</v>
      </c>
      <c r="H496" s="7" t="s">
        <v>554</v>
      </c>
      <c r="I496" s="62">
        <f ca="1">IFERROR(SUM(gov_CF_HM1994,I455)/I376,0)</f>
        <v>-1.1934876085643749</v>
      </c>
      <c r="J496" s="26"/>
      <c r="L496" s="55"/>
      <c r="M496" s="55"/>
      <c r="N496" s="55"/>
      <c r="O496" s="55"/>
      <c r="P496" s="55"/>
      <c r="Q496" s="55"/>
      <c r="R496" s="55"/>
      <c r="S496" s="55"/>
      <c r="T496" s="55"/>
      <c r="U496" s="55"/>
      <c r="V496" s="55"/>
      <c r="W496" s="55"/>
      <c r="X496" s="55"/>
      <c r="Y496" s="55"/>
      <c r="Z496" s="55"/>
      <c r="AA496" s="55"/>
      <c r="AB496" s="55"/>
      <c r="AC496" s="55"/>
      <c r="AD496" s="55"/>
      <c r="AE496" s="55"/>
      <c r="AF496" s="55"/>
      <c r="AG496" s="55"/>
      <c r="AH496" s="55"/>
      <c r="AI496" s="55"/>
      <c r="AJ496" s="55"/>
      <c r="AK496" s="55"/>
      <c r="AL496" s="55"/>
      <c r="AM496" s="55"/>
      <c r="AN496" s="55"/>
      <c r="AO496" s="55"/>
      <c r="AP496" s="55"/>
      <c r="AQ496" s="55"/>
      <c r="AR496" s="55"/>
      <c r="AS496" s="55"/>
      <c r="AT496" s="55"/>
      <c r="AU496" s="55"/>
      <c r="AV496" s="55"/>
      <c r="AW496" s="55"/>
      <c r="AX496" s="55"/>
      <c r="AY496" s="55"/>
      <c r="AZ496" s="55"/>
      <c r="BA496" s="55"/>
      <c r="BB496" s="55"/>
      <c r="BC496" s="55"/>
      <c r="BD496" s="55"/>
      <c r="BE496" s="55"/>
      <c r="BF496" s="55"/>
      <c r="BG496" s="55"/>
      <c r="BH496" s="55"/>
      <c r="BI496" s="55"/>
      <c r="BJ496" s="55"/>
      <c r="BK496" s="55"/>
      <c r="BL496" s="55"/>
      <c r="BM496" s="55"/>
      <c r="BN496" s="55"/>
      <c r="BO496" s="55"/>
      <c r="BP496" s="55"/>
      <c r="BQ496" s="55"/>
      <c r="BR496" s="55"/>
      <c r="BS496" s="55"/>
    </row>
    <row r="497" spans="3:71" outlineLevel="1" x14ac:dyDescent="0.2">
      <c r="J497" s="26"/>
      <c r="L497" s="55"/>
      <c r="M497" s="55"/>
      <c r="N497" s="55"/>
      <c r="O497" s="55"/>
      <c r="P497" s="55"/>
      <c r="Q497" s="55"/>
      <c r="R497" s="55"/>
      <c r="S497" s="55"/>
      <c r="T497" s="55"/>
      <c r="U497" s="55"/>
      <c r="V497" s="55"/>
      <c r="W497" s="55"/>
      <c r="X497" s="55"/>
      <c r="Y497" s="55"/>
      <c r="Z497" s="55"/>
      <c r="AA497" s="55"/>
      <c r="AB497" s="55"/>
      <c r="AC497" s="55"/>
      <c r="AD497" s="55"/>
      <c r="AE497" s="55"/>
      <c r="AF497" s="55"/>
      <c r="AG497" s="55"/>
      <c r="AH497" s="55"/>
      <c r="AI497" s="55"/>
      <c r="AJ497" s="55"/>
      <c r="AK497" s="55"/>
      <c r="AL497" s="55"/>
      <c r="AM497" s="55"/>
      <c r="AN497" s="55"/>
      <c r="AO497" s="55"/>
      <c r="AP497" s="55"/>
      <c r="AQ497" s="55"/>
      <c r="AR497" s="55"/>
      <c r="AS497" s="55"/>
      <c r="AT497" s="55"/>
      <c r="AU497" s="55"/>
      <c r="AV497" s="55"/>
      <c r="AW497" s="55"/>
      <c r="AX497" s="55"/>
      <c r="AY497" s="55"/>
      <c r="AZ497" s="55"/>
      <c r="BA497" s="55"/>
      <c r="BB497" s="55"/>
      <c r="BC497" s="55"/>
      <c r="BD497" s="55"/>
      <c r="BE497" s="55"/>
      <c r="BF497" s="55"/>
      <c r="BG497" s="55"/>
      <c r="BH497" s="55"/>
      <c r="BI497" s="55"/>
      <c r="BJ497" s="55"/>
      <c r="BK497" s="55"/>
      <c r="BL497" s="55"/>
      <c r="BM497" s="55"/>
      <c r="BN497" s="55"/>
      <c r="BO497" s="55"/>
      <c r="BP497" s="55"/>
      <c r="BQ497" s="55"/>
      <c r="BR497" s="55"/>
      <c r="BS497" s="55"/>
    </row>
    <row r="498" spans="3:71" outlineLevel="1" x14ac:dyDescent="0.2">
      <c r="C498" s="11" t="s">
        <v>313</v>
      </c>
      <c r="H498" s="7" t="s">
        <v>555</v>
      </c>
      <c r="I498" s="65">
        <f ca="1">(input_DiscRate_nom*$I$488)/(1-(1+input_DiscRate_nom)^-COUNTIF(Haute_Mer_1994!CA_op_trig,"&lt;&gt;0"))</f>
        <v>259.97271432378818</v>
      </c>
      <c r="J498" s="26" t="s">
        <v>314</v>
      </c>
      <c r="L498" s="55"/>
      <c r="M498" s="55"/>
      <c r="N498" s="55"/>
      <c r="O498" s="55"/>
      <c r="P498" s="55"/>
      <c r="Q498" s="55"/>
      <c r="R498" s="55"/>
      <c r="S498" s="55"/>
      <c r="T498" s="55"/>
      <c r="U498" s="55"/>
      <c r="V498" s="55"/>
      <c r="W498" s="55"/>
      <c r="X498" s="55"/>
      <c r="Y498" s="55"/>
      <c r="Z498" s="55"/>
      <c r="AA498" s="55"/>
      <c r="AB498" s="55"/>
      <c r="AC498" s="55"/>
      <c r="AD498" s="55"/>
      <c r="AE498" s="55"/>
      <c r="AF498" s="55"/>
      <c r="AG498" s="55"/>
      <c r="AH498" s="55"/>
      <c r="AI498" s="55"/>
      <c r="AJ498" s="55"/>
      <c r="AK498" s="55"/>
      <c r="AL498" s="55"/>
      <c r="AM498" s="55"/>
      <c r="AN498" s="55"/>
      <c r="AO498" s="55"/>
      <c r="AP498" s="55"/>
      <c r="AQ498" s="55"/>
      <c r="AR498" s="55"/>
      <c r="AS498" s="55"/>
      <c r="AT498" s="55"/>
      <c r="AU498" s="55"/>
      <c r="AV498" s="55"/>
      <c r="AW498" s="55"/>
      <c r="AX498" s="55"/>
      <c r="AY498" s="55"/>
      <c r="AZ498" s="55"/>
      <c r="BA498" s="55"/>
      <c r="BB498" s="55"/>
      <c r="BC498" s="55"/>
      <c r="BD498" s="55"/>
      <c r="BE498" s="55"/>
      <c r="BF498" s="55"/>
      <c r="BG498" s="55"/>
      <c r="BH498" s="55"/>
      <c r="BI498" s="55"/>
      <c r="BJ498" s="55"/>
      <c r="BK498" s="55"/>
      <c r="BL498" s="55"/>
      <c r="BM498" s="55"/>
      <c r="BN498" s="55"/>
      <c r="BO498" s="55"/>
      <c r="BP498" s="55"/>
      <c r="BQ498" s="55"/>
      <c r="BR498" s="55"/>
      <c r="BS498" s="55"/>
    </row>
    <row r="499" spans="3:71" outlineLevel="1" x14ac:dyDescent="0.2">
      <c r="J499" s="26"/>
      <c r="L499" s="55"/>
      <c r="M499" s="55"/>
      <c r="N499" s="55"/>
      <c r="O499" s="55"/>
      <c r="P499" s="55"/>
      <c r="Q499" s="55"/>
      <c r="R499" s="55"/>
      <c r="S499" s="55"/>
      <c r="T499" s="55"/>
      <c r="U499" s="55"/>
      <c r="V499" s="55"/>
      <c r="W499" s="55"/>
      <c r="X499" s="55"/>
      <c r="Y499" s="55"/>
      <c r="Z499" s="55"/>
      <c r="AA499" s="55"/>
      <c r="AB499" s="55"/>
      <c r="AC499" s="55"/>
      <c r="AD499" s="55"/>
      <c r="AE499" s="55"/>
      <c r="AF499" s="55"/>
      <c r="AG499" s="55"/>
      <c r="AH499" s="55"/>
      <c r="AI499" s="55"/>
      <c r="AJ499" s="55"/>
      <c r="AK499" s="55"/>
      <c r="AL499" s="55"/>
      <c r="AM499" s="55"/>
      <c r="AN499" s="55"/>
      <c r="AO499" s="55"/>
      <c r="AP499" s="55"/>
      <c r="AQ499" s="55"/>
      <c r="AR499" s="55"/>
      <c r="AS499" s="55"/>
      <c r="AT499" s="55"/>
      <c r="AU499" s="55"/>
      <c r="AV499" s="55"/>
      <c r="AW499" s="55"/>
      <c r="AX499" s="55"/>
      <c r="AY499" s="55"/>
      <c r="AZ499" s="55"/>
      <c r="BA499" s="55"/>
      <c r="BB499" s="55"/>
      <c r="BC499" s="55"/>
      <c r="BD499" s="55"/>
      <c r="BE499" s="55"/>
      <c r="BF499" s="55"/>
      <c r="BG499" s="55"/>
      <c r="BH499" s="55"/>
      <c r="BI499" s="55"/>
      <c r="BJ499" s="55"/>
      <c r="BK499" s="55"/>
      <c r="BL499" s="55"/>
      <c r="BM499" s="55"/>
      <c r="BN499" s="55"/>
      <c r="BO499" s="55"/>
      <c r="BP499" s="55"/>
      <c r="BQ499" s="55"/>
      <c r="BR499" s="55"/>
      <c r="BS499" s="55"/>
    </row>
    <row r="500" spans="3:71" x14ac:dyDescent="0.2">
      <c r="J500" s="26"/>
      <c r="L500" s="55"/>
      <c r="M500" s="55"/>
      <c r="N500" s="55"/>
      <c r="O500" s="55"/>
      <c r="P500" s="55"/>
      <c r="Q500" s="55"/>
      <c r="R500" s="55"/>
      <c r="S500" s="55"/>
      <c r="T500" s="55"/>
      <c r="U500" s="55"/>
      <c r="V500" s="55"/>
      <c r="W500" s="55"/>
      <c r="X500" s="55"/>
      <c r="Y500" s="55"/>
      <c r="Z500" s="55"/>
      <c r="AA500" s="55"/>
      <c r="AB500" s="55"/>
      <c r="AC500" s="55"/>
      <c r="AD500" s="55"/>
      <c r="AE500" s="55"/>
      <c r="AF500" s="55"/>
      <c r="AG500" s="55"/>
      <c r="AH500" s="55"/>
      <c r="AI500" s="55"/>
      <c r="AJ500" s="55"/>
      <c r="AK500" s="55"/>
      <c r="AL500" s="55"/>
      <c r="AM500" s="55"/>
      <c r="AN500" s="55"/>
      <c r="AO500" s="55"/>
      <c r="AP500" s="55"/>
      <c r="AQ500" s="55"/>
      <c r="AR500" s="55"/>
      <c r="AS500" s="55"/>
      <c r="AT500" s="55"/>
      <c r="AU500" s="55"/>
      <c r="AV500" s="55"/>
      <c r="AW500" s="55"/>
      <c r="AX500" s="55"/>
      <c r="AY500" s="55"/>
      <c r="AZ500" s="55"/>
      <c r="BA500" s="55"/>
      <c r="BB500" s="55"/>
      <c r="BC500" s="55"/>
      <c r="BD500" s="55"/>
      <c r="BE500" s="55"/>
      <c r="BF500" s="55"/>
      <c r="BG500" s="55"/>
      <c r="BH500" s="55"/>
      <c r="BI500" s="55"/>
      <c r="BJ500" s="55"/>
      <c r="BK500" s="55"/>
      <c r="BL500" s="55"/>
      <c r="BM500" s="55"/>
      <c r="BN500" s="55"/>
      <c r="BO500" s="55"/>
      <c r="BP500" s="55"/>
      <c r="BQ500" s="55"/>
      <c r="BR500" s="55"/>
      <c r="BS500" s="55"/>
    </row>
  </sheetData>
  <mergeCells count="4">
    <mergeCell ref="B7:E7"/>
    <mergeCell ref="B63:E63"/>
    <mergeCell ref="B102:E102"/>
    <mergeCell ref="B346:E346"/>
  </mergeCells>
  <pageMargins left="0.7" right="0.7" top="0.75" bottom="0.75" header="0.3" footer="0.3"/>
</worksheet>
</file>

<file path=xl/worksheets/sheet8.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8B539-06E1-4BE1-979E-34771FD527C0}">
  <sheetPr codeName="Sheet8"/>
  <dimension ref="A1:XFD144"/>
  <sheetViews>
    <sheetView showGridLines="0" zoomScale="80" zoomScaleNormal="80" workbookViewId="0">
      <pane xSplit="10" ySplit="5" topLeftCell="K21" activePane="bottomRight" state="frozen"/>
      <selection activeCell="D42" sqref="D42"/>
      <selection pane="topRight" activeCell="D42" sqref="D42"/>
      <selection pane="bottomLeft" activeCell="D42" sqref="D42"/>
      <selection pane="bottomRight"/>
    </sheetView>
  </sheetViews>
  <sheetFormatPr baseColWidth="10" defaultColWidth="0" defaultRowHeight="15" outlineLevelRow="1" x14ac:dyDescent="0.2"/>
  <cols>
    <col min="1" max="3" width="5.6640625" customWidth="1"/>
    <col min="4" max="10" width="14.6640625" customWidth="1"/>
    <col min="11" max="11" width="17.6640625" style="7" customWidth="1"/>
    <col min="12" max="93" width="9.1640625" customWidth="1"/>
    <col min="94" max="94" width="0" style="6" hidden="1" customWidth="1"/>
    <col min="95" max="16384" width="9.1640625" style="6" hidden="1"/>
  </cols>
  <sheetData>
    <row r="1" spans="1:93" s="5" customFormat="1" ht="20.25" customHeight="1" x14ac:dyDescent="0.2">
      <c r="A1" s="82" t="str">
        <f>CHOOSE(db_ML_selected,'Liste Traduction'!B13,'Liste Traduction'!C13)</f>
        <v>Résultats réels</v>
      </c>
      <c r="B1" s="82"/>
      <c r="C1" s="82"/>
      <c r="D1" s="82"/>
      <c r="E1" s="82"/>
      <c r="F1" s="82"/>
      <c r="G1" s="82"/>
      <c r="H1" s="82"/>
      <c r="I1" s="82"/>
      <c r="J1" s="82"/>
      <c r="K1" s="83"/>
      <c r="L1" s="82"/>
      <c r="M1" s="82"/>
      <c r="N1" s="82"/>
      <c r="O1" s="82"/>
      <c r="P1" s="82"/>
      <c r="Q1" s="82"/>
      <c r="R1" s="82"/>
      <c r="S1" s="82"/>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row>
    <row r="2" spans="1:93" ht="9" customHeight="1" x14ac:dyDescent="0.2">
      <c r="A2" s="6"/>
      <c r="B2" s="6"/>
      <c r="C2" s="6"/>
      <c r="D2" s="6"/>
      <c r="E2" s="6"/>
      <c r="F2" s="6"/>
      <c r="G2" s="6"/>
      <c r="H2" s="6"/>
      <c r="I2" s="6"/>
      <c r="J2" s="6"/>
      <c r="K2" s="84"/>
      <c r="L2" s="6"/>
      <c r="M2" s="6"/>
      <c r="N2" s="6"/>
      <c r="O2" s="6"/>
      <c r="P2" s="6"/>
      <c r="Q2" s="6"/>
      <c r="R2" s="6"/>
      <c r="S2" s="6"/>
    </row>
    <row r="3" spans="1:93" x14ac:dyDescent="0.2">
      <c r="L3" s="3"/>
      <c r="M3" s="3"/>
      <c r="N3" s="3"/>
      <c r="O3" s="3"/>
      <c r="P3" s="3"/>
      <c r="Q3" s="3"/>
      <c r="R3" s="3"/>
      <c r="S3" s="3"/>
    </row>
    <row r="4" spans="1:93" x14ac:dyDescent="0.2">
      <c r="L4" s="4">
        <v>2013</v>
      </c>
      <c r="M4">
        <f>L4+1</f>
        <v>2014</v>
      </c>
      <c r="N4">
        <f t="shared" ref="N4:S4" si="0">M4+1</f>
        <v>2015</v>
      </c>
      <c r="O4">
        <f t="shared" si="0"/>
        <v>2016</v>
      </c>
      <c r="P4">
        <f t="shared" si="0"/>
        <v>2017</v>
      </c>
      <c r="Q4">
        <f t="shared" si="0"/>
        <v>2018</v>
      </c>
      <c r="R4">
        <f t="shared" si="0"/>
        <v>2019</v>
      </c>
      <c r="S4">
        <f t="shared" si="0"/>
        <v>2020</v>
      </c>
    </row>
    <row r="5" spans="1:93" x14ac:dyDescent="0.2">
      <c r="L5" s="3"/>
      <c r="M5" s="3"/>
      <c r="N5" s="3"/>
      <c r="O5" s="3"/>
      <c r="P5" s="3"/>
      <c r="Q5" s="3"/>
      <c r="R5" s="3"/>
      <c r="S5" s="3"/>
    </row>
    <row r="6" spans="1:93" ht="16" thickBot="1" x14ac:dyDescent="0.25"/>
    <row r="7" spans="1:93" ht="22" thickBot="1" x14ac:dyDescent="0.25">
      <c r="A7" s="8"/>
      <c r="B7" s="221" t="str">
        <f>CHOOSE(db_ML_selected,'Liste Traduction'!B23,'Liste Traduction'!C23)</f>
        <v>Revenus</v>
      </c>
      <c r="C7" s="222"/>
      <c r="D7" s="222"/>
      <c r="E7" s="223"/>
      <c r="F7" s="9"/>
      <c r="G7" s="9"/>
      <c r="H7" s="9"/>
      <c r="I7" s="9"/>
      <c r="J7" s="9"/>
      <c r="K7" s="10"/>
      <c r="L7" s="9"/>
      <c r="M7" s="9"/>
      <c r="N7" s="9"/>
      <c r="O7" s="9"/>
      <c r="P7" s="9"/>
      <c r="Q7" s="9"/>
      <c r="R7" s="9"/>
      <c r="S7" s="9"/>
    </row>
    <row r="8" spans="1:93" outlineLevel="1" x14ac:dyDescent="0.2">
      <c r="L8" s="25"/>
      <c r="M8" s="25"/>
      <c r="N8" s="25"/>
      <c r="O8" s="25"/>
      <c r="P8" s="25"/>
      <c r="Q8" s="25"/>
      <c r="R8" s="25"/>
      <c r="S8" s="25"/>
    </row>
    <row r="9" spans="1:93" outlineLevel="1" x14ac:dyDescent="0.2">
      <c r="C9" s="11" t="str">
        <f>CHOOSE(db_ML_selected,"Revenue Oil","Revenus Pétrole")</f>
        <v>Revenus Pétrole</v>
      </c>
    </row>
    <row r="10" spans="1:93" outlineLevel="1" x14ac:dyDescent="0.2">
      <c r="D10" t="str">
        <f>CHOOSE(db_ML_selected,'Liste Traduction'!B510,'Liste Traduction'!C510)</f>
        <v>sélectionnés</v>
      </c>
      <c r="G10" s="29" t="str">
        <f>field_selected</f>
        <v>Moho</v>
      </c>
      <c r="I10" s="30">
        <f ca="1">SUM($L10:$BS10)</f>
        <v>16083.577169797001</v>
      </c>
      <c r="J10" s="26" t="s">
        <v>148</v>
      </c>
      <c r="K10" s="7" t="s">
        <v>724</v>
      </c>
      <c r="L10" s="18">
        <f t="shared" ref="L10:S10" ca="1" si="1">OFFSET(L$10,MATCH(field_selected,list_FieldName,0)+1,0)</f>
        <v>1912.183546687</v>
      </c>
      <c r="M10" s="18">
        <f t="shared" ca="1" si="1"/>
        <v>1817.7761666039996</v>
      </c>
      <c r="N10" s="18">
        <f t="shared" ca="1" si="1"/>
        <v>735.04705144999991</v>
      </c>
      <c r="O10" s="18">
        <f t="shared" ca="1" si="1"/>
        <v>631.67255446199999</v>
      </c>
      <c r="P10" s="18">
        <f t="shared" ca="1" si="1"/>
        <v>1772.3638558490002</v>
      </c>
      <c r="Q10" s="18">
        <f t="shared" ca="1" si="1"/>
        <v>3585.8944981400005</v>
      </c>
      <c r="R10" s="18">
        <f t="shared" ca="1" si="1"/>
        <v>3524.3307706050005</v>
      </c>
      <c r="S10" s="18">
        <f t="shared" ca="1" si="1"/>
        <v>2104.3087260000002</v>
      </c>
    </row>
    <row r="11" spans="1:93" outlineLevel="1" x14ac:dyDescent="0.2">
      <c r="J11" s="26"/>
    </row>
    <row r="12" spans="1:93" outlineLevel="1" x14ac:dyDescent="0.2">
      <c r="C12" s="27">
        <v>1</v>
      </c>
      <c r="D12" t="str">
        <f t="array" ref="D12:D16">list_FieldName</f>
        <v>Nkossa</v>
      </c>
      <c r="I12" s="30">
        <f>SUM($L12:$BS12)</f>
        <v>3807.6774191063332</v>
      </c>
      <c r="J12" s="26" t="s">
        <v>148</v>
      </c>
      <c r="L12" s="28">
        <v>825.87788659199975</v>
      </c>
      <c r="M12" s="28">
        <v>863.8104868690001</v>
      </c>
      <c r="N12" s="28">
        <v>388.54410980599999</v>
      </c>
      <c r="O12" s="28">
        <v>356.16039558099999</v>
      </c>
      <c r="P12" s="28">
        <v>387.89706174500009</v>
      </c>
      <c r="Q12" s="28">
        <v>422.61265133000001</v>
      </c>
      <c r="R12" s="28">
        <v>407.5510306000001</v>
      </c>
      <c r="S12" s="28">
        <f>'Données d''entrées'!S93*'Données d''entrées'!S123</f>
        <v>155.22379658333332</v>
      </c>
    </row>
    <row r="13" spans="1:93" outlineLevel="1" x14ac:dyDescent="0.2">
      <c r="C13" s="27">
        <f>C12+1</f>
        <v>2</v>
      </c>
      <c r="D13" t="str">
        <v>Nsoko</v>
      </c>
      <c r="I13" s="30">
        <f>SUM($L13:$BS13)</f>
        <v>350.42411477748368</v>
      </c>
      <c r="J13" s="26" t="s">
        <v>148</v>
      </c>
      <c r="L13" s="28">
        <v>78.722901672999996</v>
      </c>
      <c r="M13" s="28">
        <v>79.69779389899999</v>
      </c>
      <c r="N13" s="28">
        <v>45.507893153000005</v>
      </c>
      <c r="O13" s="28">
        <v>30.810483851000001</v>
      </c>
      <c r="P13" s="28">
        <v>31.00371063</v>
      </c>
      <c r="Q13" s="28">
        <v>44.909501663999997</v>
      </c>
      <c r="R13" s="28">
        <v>15.466697247999999</v>
      </c>
      <c r="S13" s="28">
        <f>'Données d''entrées'!S94*'Données d''entrées'!S124</f>
        <v>24.305132659483661</v>
      </c>
    </row>
    <row r="14" spans="1:93" outlineLevel="1" x14ac:dyDescent="0.2">
      <c r="C14" s="27">
        <f t="shared" ref="C14:C16" si="2">C13+1</f>
        <v>3</v>
      </c>
      <c r="D14" t="str">
        <v>Moho</v>
      </c>
      <c r="I14" s="30">
        <f>SUM($L14:$BS14)</f>
        <v>16083.577169797001</v>
      </c>
      <c r="J14" s="26" t="s">
        <v>148</v>
      </c>
      <c r="L14" s="28">
        <v>1912.183546687</v>
      </c>
      <c r="M14" s="28">
        <v>1817.7761666039996</v>
      </c>
      <c r="N14" s="28">
        <v>735.04705144999991</v>
      </c>
      <c r="O14" s="28">
        <v>631.67255446199999</v>
      </c>
      <c r="P14" s="28">
        <v>1772.3638558490002</v>
      </c>
      <c r="Q14" s="28">
        <v>3585.8944981400005</v>
      </c>
      <c r="R14" s="28">
        <v>3524.3307706050005</v>
      </c>
      <c r="S14" s="28">
        <f>'Données d''entrées'!S95*'Données d''entrées'!S125</f>
        <v>2104.3087260000002</v>
      </c>
    </row>
    <row r="15" spans="1:93" outlineLevel="1" x14ac:dyDescent="0.2">
      <c r="C15" s="27">
        <f t="shared" si="2"/>
        <v>4</v>
      </c>
      <c r="D15" t="str">
        <v>KLL</v>
      </c>
      <c r="I15" s="30">
        <f>SUM($L15:$BS15)</f>
        <v>2917.1164249389999</v>
      </c>
      <c r="J15" s="26" t="s">
        <v>148</v>
      </c>
      <c r="L15" s="28">
        <v>498.12908528100002</v>
      </c>
      <c r="M15" s="28">
        <v>550.270235953</v>
      </c>
      <c r="N15" s="28">
        <v>290.03871171699996</v>
      </c>
      <c r="O15" s="28">
        <v>247.73388778400002</v>
      </c>
      <c r="P15" s="28">
        <v>297.46089801200003</v>
      </c>
      <c r="Q15" s="28">
        <v>409.12926503900002</v>
      </c>
      <c r="R15" s="28">
        <v>399.446294153</v>
      </c>
      <c r="S15" s="28">
        <f>'Données d''entrées'!S96*'Données d''entrées'!S126</f>
        <v>224.90804700000001</v>
      </c>
    </row>
    <row r="16" spans="1:93" outlineLevel="1" x14ac:dyDescent="0.2">
      <c r="C16" s="27">
        <f t="shared" si="2"/>
        <v>5</v>
      </c>
      <c r="D16">
        <v>0</v>
      </c>
      <c r="I16" s="30">
        <f>SUM($L16:$BS16)</f>
        <v>2060.6408514087821</v>
      </c>
      <c r="J16" s="26" t="s">
        <v>148</v>
      </c>
      <c r="L16" s="28"/>
      <c r="M16" s="28"/>
      <c r="N16" s="28"/>
      <c r="O16" s="28">
        <f>'Données d''entrées'!O97*'Données d''entrées'!O127</f>
        <v>129.27461838251727</v>
      </c>
      <c r="P16" s="28">
        <f>'Données d''entrées'!P97*'Données d''entrées'!P127</f>
        <v>298.74067895181616</v>
      </c>
      <c r="Q16" s="28">
        <f>'Données d''entrées'!Q97*'Données d''entrées'!Q127</f>
        <v>664.62329202654621</v>
      </c>
      <c r="R16" s="28">
        <f>'Données d''entrées'!R97*'Données d''entrées'!R127</f>
        <v>617.67746846456896</v>
      </c>
      <c r="S16" s="28">
        <f>'Données d''entrées'!S97*'Données d''entrées'!S127</f>
        <v>350.3247935833333</v>
      </c>
    </row>
    <row r="17" spans="3:16384" outlineLevel="1" x14ac:dyDescent="0.2">
      <c r="K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c r="XFD17"/>
    </row>
    <row r="18" spans="3:16384" outlineLevel="1" x14ac:dyDescent="0.2">
      <c r="C18" s="11" t="str">
        <f>CHOOSE(db_ML_selected,"Revenue LPG", "Revenus GPL")</f>
        <v>Revenus GPL</v>
      </c>
    </row>
    <row r="19" spans="3:16384" outlineLevel="1" x14ac:dyDescent="0.2">
      <c r="D19" t="str">
        <f>D10</f>
        <v>sélectionnés</v>
      </c>
      <c r="G19" s="29" t="str">
        <f>field_selected</f>
        <v>Moho</v>
      </c>
      <c r="I19" s="30">
        <f ca="1">SUM($L19:$BS19)</f>
        <v>0</v>
      </c>
      <c r="J19" s="26" t="s">
        <v>148</v>
      </c>
      <c r="K19" s="7" t="s">
        <v>726</v>
      </c>
      <c r="L19" s="18">
        <f t="shared" ref="L19:S19" ca="1" si="3">OFFSET(L19,MATCH(field_selected,list_FieldName,0)+1,0)</f>
        <v>0</v>
      </c>
      <c r="M19" s="18">
        <f t="shared" ca="1" si="3"/>
        <v>0</v>
      </c>
      <c r="N19" s="18">
        <f t="shared" ca="1" si="3"/>
        <v>0</v>
      </c>
      <c r="O19" s="18">
        <f t="shared" ca="1" si="3"/>
        <v>0</v>
      </c>
      <c r="P19" s="18">
        <f t="shared" ca="1" si="3"/>
        <v>0</v>
      </c>
      <c r="Q19" s="18">
        <f t="shared" ca="1" si="3"/>
        <v>0</v>
      </c>
      <c r="R19" s="18">
        <f t="shared" ca="1" si="3"/>
        <v>0</v>
      </c>
      <c r="S19" s="18">
        <f t="shared" ca="1" si="3"/>
        <v>0</v>
      </c>
    </row>
    <row r="20" spans="3:16384" outlineLevel="1" x14ac:dyDescent="0.2">
      <c r="J20" s="26"/>
    </row>
    <row r="21" spans="3:16384" outlineLevel="1" x14ac:dyDescent="0.2">
      <c r="C21" s="27">
        <v>1</v>
      </c>
      <c r="D21" t="str">
        <f t="array" ref="D21:D25">list_FieldName</f>
        <v>Nkossa</v>
      </c>
      <c r="I21" s="30">
        <f>SUM($L21:$BS21)</f>
        <v>472.874469729</v>
      </c>
      <c r="J21" s="26" t="s">
        <v>148</v>
      </c>
      <c r="L21" s="28">
        <v>93.835649358000012</v>
      </c>
      <c r="M21" s="28">
        <v>113.843912343</v>
      </c>
      <c r="N21" s="28">
        <v>43.989338312000001</v>
      </c>
      <c r="O21" s="28">
        <v>48.609690063000002</v>
      </c>
      <c r="P21" s="28">
        <v>45.476556146000007</v>
      </c>
      <c r="Q21" s="28">
        <v>40.668466663000004</v>
      </c>
      <c r="R21" s="28">
        <v>36.101021994</v>
      </c>
      <c r="S21" s="28">
        <f>'Données d''entrées'!S102*'Données d''entrées'!S141</f>
        <v>50.349834849999993</v>
      </c>
    </row>
    <row r="22" spans="3:16384" outlineLevel="1" x14ac:dyDescent="0.2">
      <c r="C22" s="27">
        <f>C21+1</f>
        <v>2</v>
      </c>
      <c r="D22" t="str">
        <v>Nsoko</v>
      </c>
      <c r="I22" s="30">
        <f>SUM($L22:$BS22)</f>
        <v>34.019346383986168</v>
      </c>
      <c r="J22" s="26" t="s">
        <v>148</v>
      </c>
      <c r="L22" s="28">
        <v>5.2104676200000002</v>
      </c>
      <c r="M22" s="28">
        <v>4.5394383119999988</v>
      </c>
      <c r="N22" s="28">
        <v>2.9711775310000004</v>
      </c>
      <c r="O22" s="28">
        <v>2.259106128</v>
      </c>
      <c r="P22" s="28">
        <v>8.8020351540000004</v>
      </c>
      <c r="Q22" s="28">
        <v>2.6492799690000006</v>
      </c>
      <c r="R22" s="28">
        <v>0.95333045199999999</v>
      </c>
      <c r="S22" s="28">
        <f>'Données d''entrées'!S103*'Données d''entrées'!S142</f>
        <v>6.6345112179861658</v>
      </c>
    </row>
    <row r="23" spans="3:16384" outlineLevel="1" x14ac:dyDescent="0.2">
      <c r="C23" s="27">
        <f t="shared" ref="C23:C25" si="4">C22+1</f>
        <v>3</v>
      </c>
      <c r="D23" t="str">
        <v>Moho</v>
      </c>
      <c r="I23" s="30">
        <f>SUM($L23:$BS23)</f>
        <v>0</v>
      </c>
      <c r="J23" s="26" t="s">
        <v>148</v>
      </c>
      <c r="L23" s="28"/>
      <c r="M23" s="28"/>
      <c r="N23" s="28"/>
      <c r="O23" s="28"/>
      <c r="P23" s="28"/>
      <c r="Q23" s="28"/>
      <c r="R23" s="28"/>
      <c r="S23" s="28"/>
    </row>
    <row r="24" spans="3:16384" outlineLevel="1" x14ac:dyDescent="0.2">
      <c r="C24" s="27">
        <f t="shared" si="4"/>
        <v>4</v>
      </c>
      <c r="D24" t="str">
        <v>KLL</v>
      </c>
      <c r="I24" s="30">
        <f>SUM($L24:$BS24)</f>
        <v>0</v>
      </c>
      <c r="J24" s="26" t="s">
        <v>148</v>
      </c>
      <c r="L24" s="28"/>
      <c r="M24" s="28"/>
      <c r="N24" s="28"/>
      <c r="O24" s="28"/>
      <c r="P24" s="28"/>
      <c r="Q24" s="28"/>
      <c r="R24" s="28"/>
      <c r="S24" s="28"/>
    </row>
    <row r="25" spans="3:16384" outlineLevel="1" x14ac:dyDescent="0.2">
      <c r="C25" s="27">
        <f t="shared" si="4"/>
        <v>5</v>
      </c>
      <c r="D25">
        <v>0</v>
      </c>
      <c r="I25" s="30">
        <f>SUM($L25:$BS25)</f>
        <v>0</v>
      </c>
      <c r="J25" s="26" t="s">
        <v>148</v>
      </c>
      <c r="L25" s="28"/>
      <c r="M25" s="28"/>
      <c r="N25" s="28"/>
      <c r="O25" s="28"/>
      <c r="P25" s="28"/>
      <c r="Q25" s="28"/>
      <c r="R25" s="28"/>
      <c r="S25" s="28"/>
    </row>
    <row r="26" spans="3:16384" customFormat="1" outlineLevel="1" x14ac:dyDescent="0.2"/>
    <row r="27" spans="3:16384" outlineLevel="1" x14ac:dyDescent="0.2">
      <c r="C27" s="11" t="str">
        <f>CHOOSE(db_ML_selected,"Revenue Gas","Revenus Gaz")</f>
        <v>Revenus Gaz</v>
      </c>
    </row>
    <row r="28" spans="3:16384" outlineLevel="1" x14ac:dyDescent="0.2">
      <c r="D28" t="str">
        <f>D19</f>
        <v>sélectionnés</v>
      </c>
      <c r="G28" s="29" t="str">
        <f>field_selected</f>
        <v>Moho</v>
      </c>
      <c r="I28" s="30">
        <f ca="1">SUM($L28:$BS28)</f>
        <v>0</v>
      </c>
      <c r="J28" s="26" t="s">
        <v>148</v>
      </c>
      <c r="K28" s="7" t="s">
        <v>727</v>
      </c>
      <c r="L28" s="18">
        <f t="shared" ref="L28:S28" ca="1" si="5">OFFSET(L28,MATCH(field_selected,list_FieldName,0)+1,0)</f>
        <v>0</v>
      </c>
      <c r="M28" s="18">
        <f t="shared" ca="1" si="5"/>
        <v>0</v>
      </c>
      <c r="N28" s="18">
        <f t="shared" ca="1" si="5"/>
        <v>0</v>
      </c>
      <c r="O28" s="18">
        <f t="shared" ca="1" si="5"/>
        <v>0</v>
      </c>
      <c r="P28" s="18">
        <f t="shared" ca="1" si="5"/>
        <v>0</v>
      </c>
      <c r="Q28" s="18">
        <f t="shared" ca="1" si="5"/>
        <v>0</v>
      </c>
      <c r="R28" s="18">
        <f t="shared" ca="1" si="5"/>
        <v>0</v>
      </c>
      <c r="S28" s="18">
        <f t="shared" ca="1" si="5"/>
        <v>0</v>
      </c>
    </row>
    <row r="29" spans="3:16384" outlineLevel="1" x14ac:dyDescent="0.2">
      <c r="J29" s="26"/>
    </row>
    <row r="30" spans="3:16384" outlineLevel="1" x14ac:dyDescent="0.2">
      <c r="C30" s="27">
        <v>1</v>
      </c>
      <c r="D30" t="str">
        <f t="array" ref="D30:D34">list_FieldName</f>
        <v>Nkossa</v>
      </c>
      <c r="I30" s="30">
        <f>SUM($L30:$BS30)</f>
        <v>0</v>
      </c>
      <c r="J30" s="26" t="s">
        <v>148</v>
      </c>
      <c r="L30" s="28"/>
      <c r="M30" s="28"/>
      <c r="N30" s="28"/>
      <c r="O30" s="28"/>
      <c r="P30" s="28"/>
      <c r="Q30" s="28"/>
      <c r="R30" s="28"/>
      <c r="S30" s="28"/>
    </row>
    <row r="31" spans="3:16384" outlineLevel="1" x14ac:dyDescent="0.2">
      <c r="C31" s="27">
        <f>C30+1</f>
        <v>2</v>
      </c>
      <c r="D31" t="str">
        <v>Nsoko</v>
      </c>
      <c r="I31" s="30">
        <f>SUM($L31:$BS31)</f>
        <v>0</v>
      </c>
      <c r="J31" s="26" t="s">
        <v>148</v>
      </c>
      <c r="L31" s="28"/>
      <c r="M31" s="28"/>
      <c r="N31" s="28"/>
      <c r="O31" s="28"/>
      <c r="P31" s="28"/>
      <c r="Q31" s="28"/>
      <c r="R31" s="28"/>
      <c r="S31" s="28"/>
    </row>
    <row r="32" spans="3:16384" outlineLevel="1" x14ac:dyDescent="0.2">
      <c r="C32" s="27">
        <f t="shared" ref="C32:C34" si="6">C31+1</f>
        <v>3</v>
      </c>
      <c r="D32" t="str">
        <v>Moho</v>
      </c>
      <c r="I32" s="30">
        <f>SUM($L32:$BS32)</f>
        <v>0</v>
      </c>
      <c r="J32" s="26" t="s">
        <v>148</v>
      </c>
      <c r="L32" s="28"/>
      <c r="M32" s="28"/>
      <c r="N32" s="28"/>
      <c r="O32" s="28"/>
      <c r="P32" s="28"/>
      <c r="Q32" s="28"/>
      <c r="R32" s="28"/>
      <c r="S32" s="28"/>
    </row>
    <row r="33" spans="1:21" outlineLevel="1" x14ac:dyDescent="0.2">
      <c r="C33" s="27">
        <f t="shared" si="6"/>
        <v>4</v>
      </c>
      <c r="D33" t="str">
        <v>KLL</v>
      </c>
      <c r="I33" s="30">
        <f>SUM($L33:$BS33)</f>
        <v>0</v>
      </c>
      <c r="J33" s="26" t="s">
        <v>148</v>
      </c>
      <c r="L33" s="28"/>
      <c r="M33" s="28"/>
      <c r="N33" s="28"/>
      <c r="O33" s="28"/>
      <c r="P33" s="28"/>
      <c r="Q33" s="28"/>
      <c r="R33" s="28"/>
      <c r="S33" s="28"/>
    </row>
    <row r="34" spans="1:21" outlineLevel="1" x14ac:dyDescent="0.2">
      <c r="C34" s="27">
        <f t="shared" si="6"/>
        <v>5</v>
      </c>
      <c r="D34">
        <v>0</v>
      </c>
      <c r="I34" s="30">
        <f>SUM($L34:$BS34)</f>
        <v>365.49514539497591</v>
      </c>
      <c r="J34" s="26" t="s">
        <v>148</v>
      </c>
      <c r="L34" s="28"/>
      <c r="M34" s="28">
        <f>'Données d''entrées'!M115*'Données d''entrées'!M136</f>
        <v>9.1558237784542378</v>
      </c>
      <c r="N34" s="28">
        <f>'Données d''entrées'!N115*'Données d''entrées'!N136</f>
        <v>46.336890897670671</v>
      </c>
      <c r="O34" s="28">
        <f>'Données d''entrées'!O115*'Données d''entrées'!O136</f>
        <v>72.726948911052318</v>
      </c>
      <c r="P34" s="28">
        <f>'Données d''entrées'!P115*'Données d''entrées'!P136</f>
        <v>67.059231579873114</v>
      </c>
      <c r="Q34" s="28">
        <f>'Données d''entrées'!Q115*'Données d''entrées'!Q136</f>
        <v>73.564575192058825</v>
      </c>
      <c r="R34" s="28">
        <f>'Données d''entrées'!R115*'Données d''entrées'!R136</f>
        <v>7.5035866695900001E-5</v>
      </c>
      <c r="S34" s="28">
        <f>'Données d''entrées'!S115*'Données d''entrées'!S136</f>
        <v>96.651600000000002</v>
      </c>
    </row>
    <row r="35" spans="1:21" customFormat="1" outlineLevel="1" x14ac:dyDescent="0.2"/>
    <row r="36" spans="1:21" customFormat="1" outlineLevel="1" x14ac:dyDescent="0.2"/>
    <row r="37" spans="1:21" customFormat="1" outlineLevel="1" x14ac:dyDescent="0.2"/>
    <row r="38" spans="1:21" ht="16" thickBot="1" x14ac:dyDescent="0.25"/>
    <row r="39" spans="1:21" ht="22" thickBot="1" x14ac:dyDescent="0.25">
      <c r="A39" s="8"/>
      <c r="B39" s="221" t="str">
        <f>CHOOSE(db_ML_selected,'Liste Traduction'!B49,'Liste Traduction'!C49)</f>
        <v>Part du Contracteur</v>
      </c>
      <c r="C39" s="222"/>
      <c r="D39" s="222"/>
      <c r="E39" s="223"/>
      <c r="F39" s="9"/>
      <c r="G39" s="9"/>
      <c r="H39" s="9"/>
      <c r="I39" s="9"/>
      <c r="J39" s="9"/>
      <c r="K39" s="10"/>
      <c r="L39" s="9"/>
      <c r="M39" s="9"/>
      <c r="N39" s="9"/>
      <c r="O39" s="9"/>
      <c r="P39" s="9"/>
      <c r="Q39" s="9"/>
      <c r="R39" s="9"/>
      <c r="S39" s="9"/>
    </row>
    <row r="40" spans="1:21" outlineLevel="1" x14ac:dyDescent="0.2">
      <c r="L40" s="25"/>
      <c r="M40" s="25"/>
      <c r="N40" s="25"/>
      <c r="O40" s="25"/>
      <c r="P40" s="25"/>
      <c r="Q40" s="25"/>
    </row>
    <row r="41" spans="1:21" outlineLevel="1" x14ac:dyDescent="0.2">
      <c r="C41" s="11" t="s">
        <v>245</v>
      </c>
    </row>
    <row r="42" spans="1:21" outlineLevel="1" x14ac:dyDescent="0.2">
      <c r="D42" t="str">
        <f>D28</f>
        <v>sélectionnés</v>
      </c>
      <c r="G42" s="29" t="str">
        <f>field_selected</f>
        <v>Moho</v>
      </c>
      <c r="I42" s="30">
        <f ca="1">SUM($L42:$BS42)</f>
        <v>167.33813006837374</v>
      </c>
      <c r="J42" s="26" t="s">
        <v>42</v>
      </c>
      <c r="K42" s="7" t="s">
        <v>729</v>
      </c>
      <c r="L42" s="18">
        <f t="shared" ref="L42:S42" ca="1" si="7">OFFSET(L42,MATCH(field_selected,list_FieldName,0)+1,0)</f>
        <v>2.9992264411255869</v>
      </c>
      <c r="M42" s="18">
        <f t="shared" ca="1" si="7"/>
        <v>3.6277583419481636</v>
      </c>
      <c r="N42" s="18">
        <f t="shared" ca="1" si="7"/>
        <v>9.3187840000000008</v>
      </c>
      <c r="O42" s="18">
        <f t="shared" ca="1" si="7"/>
        <v>11.872558173700002</v>
      </c>
      <c r="P42" s="18">
        <f t="shared" ca="1" si="7"/>
        <v>24.691832848900003</v>
      </c>
      <c r="Q42" s="18">
        <f t="shared" ca="1" si="7"/>
        <v>38.944228930599998</v>
      </c>
      <c r="R42" s="18">
        <f t="shared" ca="1" si="7"/>
        <v>39.4500413321</v>
      </c>
      <c r="S42" s="18">
        <f t="shared" ca="1" si="7"/>
        <v>36.433700000000002</v>
      </c>
    </row>
    <row r="43" spans="1:21" outlineLevel="1" x14ac:dyDescent="0.2">
      <c r="J43" s="26"/>
    </row>
    <row r="44" spans="1:21" outlineLevel="1" x14ac:dyDescent="0.2">
      <c r="C44" s="27">
        <v>1</v>
      </c>
      <c r="D44" t="str">
        <f t="array" ref="D44:D48">list_FieldName</f>
        <v>Nkossa</v>
      </c>
      <c r="I44" s="30">
        <f>SUM($L44:$BS44)</f>
        <v>24.485045227307811</v>
      </c>
      <c r="J44" s="26" t="s">
        <v>42</v>
      </c>
      <c r="L44" s="28">
        <v>1.3807403081049057</v>
      </c>
      <c r="M44" s="28">
        <v>1.9157743336614546</v>
      </c>
      <c r="N44" s="28">
        <v>3.4773850197796841</v>
      </c>
      <c r="O44" s="28">
        <v>3.7375901938459899</v>
      </c>
      <c r="P44" s="28">
        <v>4.4421720128500013</v>
      </c>
      <c r="Q44" s="28">
        <v>3.2357743596602591</v>
      </c>
      <c r="R44" s="28">
        <v>3.5382089994055161</v>
      </c>
      <c r="S44" s="28">
        <v>2.7574000000000001</v>
      </c>
      <c r="U44" s="6"/>
    </row>
    <row r="45" spans="1:21" outlineLevel="1" x14ac:dyDescent="0.2">
      <c r="C45" s="27">
        <f>C44+1</f>
        <v>2</v>
      </c>
      <c r="D45" t="str">
        <v>Nsoko</v>
      </c>
      <c r="I45" s="30">
        <f>SUM($L45:$BS45)</f>
        <v>1.7343957191287971</v>
      </c>
      <c r="J45" s="26" t="s">
        <v>42</v>
      </c>
      <c r="L45" s="28">
        <v>0.15431406704487888</v>
      </c>
      <c r="M45" s="28">
        <v>0.14552027333156853</v>
      </c>
      <c r="N45" s="28">
        <v>0.33990963503722305</v>
      </c>
      <c r="O45" s="28">
        <v>0.32692710207644987</v>
      </c>
      <c r="P45" s="28">
        <v>0.31065433628298816</v>
      </c>
      <c r="Q45" s="28">
        <v>0.18013151347648948</v>
      </c>
      <c r="R45" s="28">
        <v>5.2881010000000008E-3</v>
      </c>
      <c r="S45" s="28">
        <v>0.27165069087919902</v>
      </c>
    </row>
    <row r="46" spans="1:21" outlineLevel="1" x14ac:dyDescent="0.2">
      <c r="C46" s="27">
        <f t="shared" ref="C46:C48" si="8">C45+1</f>
        <v>3</v>
      </c>
      <c r="D46" t="str">
        <v>Moho</v>
      </c>
      <c r="I46" s="30">
        <f>SUM($L46:$BS46)</f>
        <v>167.33813006837374</v>
      </c>
      <c r="J46" s="26" t="s">
        <v>42</v>
      </c>
      <c r="L46" s="28">
        <v>2.9992264411255869</v>
      </c>
      <c r="M46" s="28">
        <v>3.6277583419481636</v>
      </c>
      <c r="N46" s="28">
        <v>9.3187840000000008</v>
      </c>
      <c r="O46" s="28">
        <v>11.872558173700002</v>
      </c>
      <c r="P46" s="28">
        <v>24.691832848900003</v>
      </c>
      <c r="Q46" s="28">
        <v>38.944228930599998</v>
      </c>
      <c r="R46" s="28">
        <v>39.4500413321</v>
      </c>
      <c r="S46" s="28">
        <v>36.433700000000002</v>
      </c>
    </row>
    <row r="47" spans="1:21" outlineLevel="1" x14ac:dyDescent="0.2">
      <c r="C47" s="27">
        <f t="shared" si="8"/>
        <v>4</v>
      </c>
      <c r="D47" t="str">
        <v>KLL</v>
      </c>
      <c r="I47" s="30">
        <f>SUM($L47:$BS47)</f>
        <v>16.759906285803403</v>
      </c>
      <c r="J47" s="26" t="s">
        <v>42</v>
      </c>
      <c r="L47" s="28">
        <v>1.4114358390000001</v>
      </c>
      <c r="M47" s="28">
        <v>1.6188763611569861</v>
      </c>
      <c r="N47" s="28">
        <v>2.8081180867335052</v>
      </c>
      <c r="O47" s="28">
        <v>2.7774102616656244</v>
      </c>
      <c r="P47" s="28">
        <v>2.0809056299626487</v>
      </c>
      <c r="Q47" s="28">
        <v>1.8729654654403585</v>
      </c>
      <c r="R47" s="28">
        <v>2.0447946418442813</v>
      </c>
      <c r="S47" s="28">
        <v>2.1454</v>
      </c>
    </row>
    <row r="48" spans="1:21" outlineLevel="1" x14ac:dyDescent="0.2">
      <c r="C48" s="27">
        <f t="shared" si="8"/>
        <v>5</v>
      </c>
      <c r="D48">
        <v>0</v>
      </c>
      <c r="I48" s="30">
        <f>SUM($L48:$BS48)</f>
        <v>26.402903310002607</v>
      </c>
      <c r="J48" s="26" t="s">
        <v>42</v>
      </c>
      <c r="L48" s="28">
        <v>0</v>
      </c>
      <c r="M48" s="28">
        <v>1.7478922999999999E-3</v>
      </c>
      <c r="N48" s="28">
        <v>1.1599785927793915</v>
      </c>
      <c r="O48" s="28">
        <v>2.0650544061377785</v>
      </c>
      <c r="P48" s="28">
        <v>3.8575093549945594</v>
      </c>
      <c r="Q48" s="28">
        <v>6.5863131522777154</v>
      </c>
      <c r="R48" s="28">
        <v>6.7518999115131626</v>
      </c>
      <c r="S48" s="28">
        <v>5.9804000000000004</v>
      </c>
    </row>
    <row r="49" spans="3:16384" outlineLevel="1" x14ac:dyDescent="0.2">
      <c r="K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c r="AMK49"/>
      <c r="AML49"/>
      <c r="AMM49"/>
      <c r="AMN49"/>
      <c r="AMO49"/>
      <c r="AMP49"/>
      <c r="AMQ49"/>
      <c r="AMR49"/>
      <c r="AMS49"/>
      <c r="AMT49"/>
      <c r="AMU49"/>
      <c r="AMV49"/>
      <c r="AMW49"/>
      <c r="AMX49"/>
      <c r="AMY49"/>
      <c r="AMZ49"/>
      <c r="ANA49"/>
      <c r="ANB49"/>
      <c r="ANC49"/>
      <c r="AND49"/>
      <c r="ANE49"/>
      <c r="ANF49"/>
      <c r="ANG49"/>
      <c r="ANH49"/>
      <c r="ANI49"/>
      <c r="ANJ49"/>
      <c r="ANK49"/>
      <c r="ANL49"/>
      <c r="ANM49"/>
      <c r="ANN49"/>
      <c r="ANO49"/>
      <c r="ANP49"/>
      <c r="ANQ49"/>
      <c r="ANR49"/>
      <c r="ANS49"/>
      <c r="ANT49"/>
      <c r="ANU49"/>
      <c r="ANV49"/>
      <c r="ANW49"/>
      <c r="ANX49"/>
      <c r="ANY49"/>
      <c r="ANZ49"/>
      <c r="AOA49"/>
      <c r="AOB49"/>
      <c r="AOC49"/>
      <c r="AOD49"/>
      <c r="AOE49"/>
      <c r="AOF49"/>
      <c r="AOG49"/>
      <c r="AOH49"/>
      <c r="AOI49"/>
      <c r="AOJ49"/>
      <c r="AOK49"/>
      <c r="AOL49"/>
      <c r="AOM49"/>
      <c r="AON49"/>
      <c r="AOO49"/>
      <c r="AOP49"/>
      <c r="AOQ49"/>
      <c r="AOR49"/>
      <c r="AOS49"/>
      <c r="AOT49"/>
      <c r="AOU49"/>
      <c r="AOV49"/>
      <c r="AOW49"/>
      <c r="AOX49"/>
      <c r="AOY49"/>
      <c r="AOZ49"/>
      <c r="APA49"/>
      <c r="APB49"/>
      <c r="APC49"/>
      <c r="APD49"/>
      <c r="APE49"/>
      <c r="APF49"/>
      <c r="APG49"/>
      <c r="APH49"/>
      <c r="API49"/>
      <c r="APJ49"/>
      <c r="APK49"/>
      <c r="APL49"/>
      <c r="APM49"/>
      <c r="APN49"/>
      <c r="APO49"/>
      <c r="APP49"/>
      <c r="APQ49"/>
      <c r="APR49"/>
      <c r="APS49"/>
      <c r="APT49"/>
      <c r="APU49"/>
      <c r="APV49"/>
      <c r="APW49"/>
      <c r="APX49"/>
      <c r="APY49"/>
      <c r="APZ49"/>
      <c r="AQA49"/>
      <c r="AQB49"/>
      <c r="AQC49"/>
      <c r="AQD49"/>
      <c r="AQE49"/>
      <c r="AQF49"/>
      <c r="AQG49"/>
      <c r="AQH49"/>
      <c r="AQI49"/>
      <c r="AQJ49"/>
      <c r="AQK49"/>
      <c r="AQL49"/>
      <c r="AQM49"/>
      <c r="AQN49"/>
      <c r="AQO49"/>
      <c r="AQP49"/>
      <c r="AQQ49"/>
      <c r="AQR49"/>
      <c r="AQS49"/>
      <c r="AQT49"/>
      <c r="AQU49"/>
      <c r="AQV49"/>
      <c r="AQW49"/>
      <c r="AQX49"/>
      <c r="AQY49"/>
      <c r="AQZ49"/>
      <c r="ARA49"/>
      <c r="ARB49"/>
      <c r="ARC49"/>
      <c r="ARD49"/>
      <c r="ARE49"/>
      <c r="ARF49"/>
      <c r="ARG49"/>
      <c r="ARH49"/>
      <c r="ARI49"/>
      <c r="ARJ49"/>
      <c r="ARK49"/>
      <c r="ARL49"/>
      <c r="ARM49"/>
      <c r="ARN49"/>
      <c r="ARO49"/>
      <c r="ARP49"/>
      <c r="ARQ49"/>
      <c r="ARR49"/>
      <c r="ARS49"/>
      <c r="ART49"/>
      <c r="ARU49"/>
      <c r="ARV49"/>
      <c r="ARW49"/>
      <c r="ARX49"/>
      <c r="ARY49"/>
      <c r="ARZ49"/>
      <c r="ASA49"/>
      <c r="ASB49"/>
      <c r="ASC49"/>
      <c r="ASD49"/>
      <c r="ASE49"/>
      <c r="ASF49"/>
      <c r="ASG49"/>
      <c r="ASH49"/>
      <c r="ASI49"/>
      <c r="ASJ49"/>
      <c r="ASK49"/>
      <c r="ASL49"/>
      <c r="ASM49"/>
      <c r="ASN49"/>
      <c r="ASO49"/>
      <c r="ASP49"/>
      <c r="ASQ49"/>
      <c r="ASR49"/>
      <c r="ASS49"/>
      <c r="AST49"/>
      <c r="ASU49"/>
      <c r="ASV49"/>
      <c r="ASW49"/>
      <c r="ASX49"/>
      <c r="ASY49"/>
      <c r="ASZ49"/>
      <c r="ATA49"/>
      <c r="ATB49"/>
      <c r="ATC49"/>
      <c r="ATD49"/>
      <c r="ATE49"/>
      <c r="ATF49"/>
      <c r="ATG49"/>
      <c r="ATH49"/>
      <c r="ATI49"/>
      <c r="ATJ49"/>
      <c r="ATK49"/>
      <c r="ATL49"/>
      <c r="ATM49"/>
      <c r="ATN49"/>
      <c r="ATO49"/>
      <c r="ATP49"/>
      <c r="ATQ49"/>
      <c r="ATR49"/>
      <c r="ATS49"/>
      <c r="ATT49"/>
      <c r="ATU49"/>
      <c r="ATV49"/>
      <c r="ATW49"/>
      <c r="ATX49"/>
      <c r="ATY49"/>
      <c r="ATZ49"/>
      <c r="AUA49"/>
      <c r="AUB49"/>
      <c r="AUC49"/>
      <c r="AUD49"/>
      <c r="AUE49"/>
      <c r="AUF49"/>
      <c r="AUG49"/>
      <c r="AUH49"/>
      <c r="AUI49"/>
      <c r="AUJ49"/>
      <c r="AUK49"/>
      <c r="AUL49"/>
      <c r="AUM49"/>
      <c r="AUN49"/>
      <c r="AUO49"/>
      <c r="AUP49"/>
      <c r="AUQ49"/>
      <c r="AUR49"/>
      <c r="AUS49"/>
      <c r="AUT49"/>
      <c r="AUU49"/>
      <c r="AUV49"/>
      <c r="AUW49"/>
      <c r="AUX49"/>
      <c r="AUY49"/>
      <c r="AUZ49"/>
      <c r="AVA49"/>
      <c r="AVB49"/>
      <c r="AVC49"/>
      <c r="AVD49"/>
      <c r="AVE49"/>
      <c r="AVF49"/>
      <c r="AVG49"/>
      <c r="AVH49"/>
      <c r="AVI49"/>
      <c r="AVJ49"/>
      <c r="AVK49"/>
      <c r="AVL49"/>
      <c r="AVM49"/>
      <c r="AVN49"/>
      <c r="AVO49"/>
      <c r="AVP49"/>
      <c r="AVQ49"/>
      <c r="AVR49"/>
      <c r="AVS49"/>
      <c r="AVT49"/>
      <c r="AVU49"/>
      <c r="AVV49"/>
      <c r="AVW49"/>
      <c r="AVX49"/>
      <c r="AVY49"/>
      <c r="AVZ49"/>
      <c r="AWA49"/>
      <c r="AWB49"/>
      <c r="AWC49"/>
      <c r="AWD49"/>
      <c r="AWE49"/>
      <c r="AWF49"/>
      <c r="AWG49"/>
      <c r="AWH49"/>
      <c r="AWI49"/>
      <c r="AWJ49"/>
      <c r="AWK49"/>
      <c r="AWL49"/>
      <c r="AWM49"/>
      <c r="AWN49"/>
      <c r="AWO49"/>
      <c r="AWP49"/>
      <c r="AWQ49"/>
      <c r="AWR49"/>
      <c r="AWS49"/>
      <c r="AWT49"/>
      <c r="AWU49"/>
      <c r="AWV49"/>
      <c r="AWW49"/>
      <c r="AWX49"/>
      <c r="AWY49"/>
      <c r="AWZ49"/>
      <c r="AXA49"/>
      <c r="AXB49"/>
      <c r="AXC49"/>
      <c r="AXD49"/>
      <c r="AXE49"/>
      <c r="AXF49"/>
      <c r="AXG49"/>
      <c r="AXH49"/>
      <c r="AXI49"/>
      <c r="AXJ49"/>
      <c r="AXK49"/>
      <c r="AXL49"/>
      <c r="AXM49"/>
      <c r="AXN49"/>
      <c r="AXO49"/>
      <c r="AXP49"/>
      <c r="AXQ49"/>
      <c r="AXR49"/>
      <c r="AXS49"/>
      <c r="AXT49"/>
      <c r="AXU49"/>
      <c r="AXV49"/>
      <c r="AXW49"/>
      <c r="AXX49"/>
      <c r="AXY49"/>
      <c r="AXZ49"/>
      <c r="AYA49"/>
      <c r="AYB49"/>
      <c r="AYC49"/>
      <c r="AYD49"/>
      <c r="AYE49"/>
      <c r="AYF49"/>
      <c r="AYG49"/>
      <c r="AYH49"/>
      <c r="AYI49"/>
      <c r="AYJ49"/>
      <c r="AYK49"/>
      <c r="AYL49"/>
      <c r="AYM49"/>
      <c r="AYN49"/>
      <c r="AYO49"/>
      <c r="AYP49"/>
      <c r="AYQ49"/>
      <c r="AYR49"/>
      <c r="AYS49"/>
      <c r="AYT49"/>
      <c r="AYU49"/>
      <c r="AYV49"/>
      <c r="AYW49"/>
      <c r="AYX49"/>
      <c r="AYY49"/>
      <c r="AYZ49"/>
      <c r="AZA49"/>
      <c r="AZB49"/>
      <c r="AZC49"/>
      <c r="AZD49"/>
      <c r="AZE49"/>
      <c r="AZF49"/>
      <c r="AZG49"/>
      <c r="AZH49"/>
      <c r="AZI49"/>
      <c r="AZJ49"/>
      <c r="AZK49"/>
      <c r="AZL49"/>
      <c r="AZM49"/>
      <c r="AZN49"/>
      <c r="AZO49"/>
      <c r="AZP49"/>
      <c r="AZQ49"/>
      <c r="AZR49"/>
      <c r="AZS49"/>
      <c r="AZT49"/>
      <c r="AZU49"/>
      <c r="AZV49"/>
      <c r="AZW49"/>
      <c r="AZX49"/>
      <c r="AZY49"/>
      <c r="AZZ49"/>
      <c r="BAA49"/>
      <c r="BAB49"/>
      <c r="BAC49"/>
      <c r="BAD49"/>
      <c r="BAE49"/>
      <c r="BAF49"/>
      <c r="BAG49"/>
      <c r="BAH49"/>
      <c r="BAI49"/>
      <c r="BAJ49"/>
      <c r="BAK49"/>
      <c r="BAL49"/>
      <c r="BAM49"/>
      <c r="BAN49"/>
      <c r="BAO49"/>
      <c r="BAP49"/>
      <c r="BAQ49"/>
      <c r="BAR49"/>
      <c r="BAS49"/>
      <c r="BAT49"/>
      <c r="BAU49"/>
      <c r="BAV49"/>
      <c r="BAW49"/>
      <c r="BAX49"/>
      <c r="BAY49"/>
      <c r="BAZ49"/>
      <c r="BBA49"/>
      <c r="BBB49"/>
      <c r="BBC49"/>
      <c r="BBD49"/>
      <c r="BBE49"/>
      <c r="BBF49"/>
      <c r="BBG49"/>
      <c r="BBH49"/>
      <c r="BBI49"/>
      <c r="BBJ49"/>
      <c r="BBK49"/>
      <c r="BBL49"/>
      <c r="BBM49"/>
      <c r="BBN49"/>
      <c r="BBO49"/>
      <c r="BBP49"/>
      <c r="BBQ49"/>
      <c r="BBR49"/>
      <c r="BBS49"/>
      <c r="BBT49"/>
      <c r="BBU49"/>
      <c r="BBV49"/>
      <c r="BBW49"/>
      <c r="BBX49"/>
      <c r="BBY49"/>
      <c r="BBZ49"/>
      <c r="BCA49"/>
      <c r="BCB49"/>
      <c r="BCC49"/>
      <c r="BCD49"/>
      <c r="BCE49"/>
      <c r="BCF49"/>
      <c r="BCG49"/>
      <c r="BCH49"/>
      <c r="BCI49"/>
      <c r="BCJ49"/>
      <c r="BCK49"/>
      <c r="BCL49"/>
      <c r="BCM49"/>
      <c r="BCN49"/>
      <c r="BCO49"/>
      <c r="BCP49"/>
      <c r="BCQ49"/>
      <c r="BCR49"/>
      <c r="BCS49"/>
      <c r="BCT49"/>
      <c r="BCU49"/>
      <c r="BCV49"/>
      <c r="BCW49"/>
      <c r="BCX49"/>
      <c r="BCY49"/>
      <c r="BCZ49"/>
      <c r="BDA49"/>
      <c r="BDB49"/>
      <c r="BDC49"/>
      <c r="BDD49"/>
      <c r="BDE49"/>
      <c r="BDF49"/>
      <c r="BDG49"/>
      <c r="BDH49"/>
      <c r="BDI49"/>
      <c r="BDJ49"/>
      <c r="BDK49"/>
      <c r="BDL49"/>
      <c r="BDM49"/>
      <c r="BDN49"/>
      <c r="BDO49"/>
      <c r="BDP49"/>
      <c r="BDQ49"/>
      <c r="BDR49"/>
      <c r="BDS49"/>
      <c r="BDT49"/>
      <c r="BDU49"/>
      <c r="BDV49"/>
      <c r="BDW49"/>
      <c r="BDX49"/>
      <c r="BDY49"/>
      <c r="BDZ49"/>
      <c r="BEA49"/>
      <c r="BEB49"/>
      <c r="BEC49"/>
      <c r="BED49"/>
      <c r="BEE49"/>
      <c r="BEF49"/>
      <c r="BEG49"/>
      <c r="BEH49"/>
      <c r="BEI49"/>
      <c r="BEJ49"/>
      <c r="BEK49"/>
      <c r="BEL49"/>
      <c r="BEM49"/>
      <c r="BEN49"/>
      <c r="BEO49"/>
      <c r="BEP49"/>
      <c r="BEQ49"/>
      <c r="BER49"/>
      <c r="BES49"/>
      <c r="BET49"/>
      <c r="BEU49"/>
      <c r="BEV49"/>
      <c r="BEW49"/>
      <c r="BEX49"/>
      <c r="BEY49"/>
      <c r="BEZ49"/>
      <c r="BFA49"/>
      <c r="BFB49"/>
      <c r="BFC49"/>
      <c r="BFD49"/>
      <c r="BFE49"/>
      <c r="BFF49"/>
      <c r="BFG49"/>
      <c r="BFH49"/>
      <c r="BFI49"/>
      <c r="BFJ49"/>
      <c r="BFK49"/>
      <c r="BFL49"/>
      <c r="BFM49"/>
      <c r="BFN49"/>
      <c r="BFO49"/>
      <c r="BFP49"/>
      <c r="BFQ49"/>
      <c r="BFR49"/>
      <c r="BFS49"/>
      <c r="BFT49"/>
      <c r="BFU49"/>
      <c r="BFV49"/>
      <c r="BFW49"/>
      <c r="BFX49"/>
      <c r="BFY49"/>
      <c r="BFZ49"/>
      <c r="BGA49"/>
      <c r="BGB49"/>
      <c r="BGC49"/>
      <c r="BGD49"/>
      <c r="BGE49"/>
      <c r="BGF49"/>
      <c r="BGG49"/>
      <c r="BGH49"/>
      <c r="BGI49"/>
      <c r="BGJ49"/>
      <c r="BGK49"/>
      <c r="BGL49"/>
      <c r="BGM49"/>
      <c r="BGN49"/>
      <c r="BGO49"/>
      <c r="BGP49"/>
      <c r="BGQ49"/>
      <c r="BGR49"/>
      <c r="BGS49"/>
      <c r="BGT49"/>
      <c r="BGU49"/>
      <c r="BGV49"/>
      <c r="BGW49"/>
      <c r="BGX49"/>
      <c r="BGY49"/>
      <c r="BGZ49"/>
      <c r="BHA49"/>
      <c r="BHB49"/>
      <c r="BHC49"/>
      <c r="BHD49"/>
      <c r="BHE49"/>
      <c r="BHF49"/>
      <c r="BHG49"/>
      <c r="BHH49"/>
      <c r="BHI49"/>
      <c r="BHJ49"/>
      <c r="BHK49"/>
      <c r="BHL49"/>
      <c r="BHM49"/>
      <c r="BHN49"/>
      <c r="BHO49"/>
      <c r="BHP49"/>
      <c r="BHQ49"/>
      <c r="BHR49"/>
      <c r="BHS49"/>
      <c r="BHT49"/>
      <c r="BHU49"/>
      <c r="BHV49"/>
      <c r="BHW49"/>
      <c r="BHX49"/>
      <c r="BHY49"/>
      <c r="BHZ49"/>
      <c r="BIA49"/>
      <c r="BIB49"/>
      <c r="BIC49"/>
      <c r="BID49"/>
      <c r="BIE49"/>
      <c r="BIF49"/>
      <c r="BIG49"/>
      <c r="BIH49"/>
      <c r="BII49"/>
      <c r="BIJ49"/>
      <c r="BIK49"/>
      <c r="BIL49"/>
      <c r="BIM49"/>
      <c r="BIN49"/>
      <c r="BIO49"/>
      <c r="BIP49"/>
      <c r="BIQ49"/>
      <c r="BIR49"/>
      <c r="BIS49"/>
      <c r="BIT49"/>
      <c r="BIU49"/>
      <c r="BIV49"/>
      <c r="BIW49"/>
      <c r="BIX49"/>
      <c r="BIY49"/>
      <c r="BIZ49"/>
      <c r="BJA49"/>
      <c r="BJB49"/>
      <c r="BJC49"/>
      <c r="BJD49"/>
      <c r="BJE49"/>
      <c r="BJF49"/>
      <c r="BJG49"/>
      <c r="BJH49"/>
      <c r="BJI49"/>
      <c r="BJJ49"/>
      <c r="BJK49"/>
      <c r="BJL49"/>
      <c r="BJM49"/>
      <c r="BJN49"/>
      <c r="BJO49"/>
      <c r="BJP49"/>
      <c r="BJQ49"/>
      <c r="BJR49"/>
      <c r="BJS49"/>
      <c r="BJT49"/>
      <c r="BJU49"/>
      <c r="BJV49"/>
      <c r="BJW49"/>
      <c r="BJX49"/>
      <c r="BJY49"/>
      <c r="BJZ49"/>
      <c r="BKA49"/>
      <c r="BKB49"/>
      <c r="BKC49"/>
      <c r="BKD49"/>
      <c r="BKE49"/>
      <c r="BKF49"/>
      <c r="BKG49"/>
      <c r="BKH49"/>
      <c r="BKI49"/>
      <c r="BKJ49"/>
      <c r="BKK49"/>
      <c r="BKL49"/>
      <c r="BKM49"/>
      <c r="BKN49"/>
      <c r="BKO49"/>
      <c r="BKP49"/>
      <c r="BKQ49"/>
      <c r="BKR49"/>
      <c r="BKS49"/>
      <c r="BKT49"/>
      <c r="BKU49"/>
      <c r="BKV49"/>
      <c r="BKW49"/>
      <c r="BKX49"/>
      <c r="BKY49"/>
      <c r="BKZ49"/>
      <c r="BLA49"/>
      <c r="BLB49"/>
      <c r="BLC49"/>
      <c r="BLD49"/>
      <c r="BLE49"/>
      <c r="BLF49"/>
      <c r="BLG49"/>
      <c r="BLH49"/>
      <c r="BLI49"/>
      <c r="BLJ49"/>
      <c r="BLK49"/>
      <c r="BLL49"/>
      <c r="BLM49"/>
      <c r="BLN49"/>
      <c r="BLO49"/>
      <c r="BLP49"/>
      <c r="BLQ49"/>
      <c r="BLR49"/>
      <c r="BLS49"/>
      <c r="BLT49"/>
      <c r="BLU49"/>
      <c r="BLV49"/>
      <c r="BLW49"/>
      <c r="BLX49"/>
      <c r="BLY49"/>
      <c r="BLZ49"/>
      <c r="BMA49"/>
      <c r="BMB49"/>
      <c r="BMC49"/>
      <c r="BMD49"/>
      <c r="BME49"/>
      <c r="BMF49"/>
      <c r="BMG49"/>
      <c r="BMH49"/>
      <c r="BMI49"/>
      <c r="BMJ49"/>
      <c r="BMK49"/>
      <c r="BML49"/>
      <c r="BMM49"/>
      <c r="BMN49"/>
      <c r="BMO49"/>
      <c r="BMP49"/>
      <c r="BMQ49"/>
      <c r="BMR49"/>
      <c r="BMS49"/>
      <c r="BMT49"/>
      <c r="BMU49"/>
      <c r="BMV49"/>
      <c r="BMW49"/>
      <c r="BMX49"/>
      <c r="BMY49"/>
      <c r="BMZ49"/>
      <c r="BNA49"/>
      <c r="BNB49"/>
      <c r="BNC49"/>
      <c r="BND49"/>
      <c r="BNE49"/>
      <c r="BNF49"/>
      <c r="BNG49"/>
      <c r="BNH49"/>
      <c r="BNI49"/>
      <c r="BNJ49"/>
      <c r="BNK49"/>
      <c r="BNL49"/>
      <c r="BNM49"/>
      <c r="BNN49"/>
      <c r="BNO49"/>
      <c r="BNP49"/>
      <c r="BNQ49"/>
      <c r="BNR49"/>
      <c r="BNS49"/>
      <c r="BNT49"/>
      <c r="BNU49"/>
      <c r="BNV49"/>
      <c r="BNW49"/>
      <c r="BNX49"/>
      <c r="BNY49"/>
      <c r="BNZ49"/>
      <c r="BOA49"/>
      <c r="BOB49"/>
      <c r="BOC49"/>
      <c r="BOD49"/>
      <c r="BOE49"/>
      <c r="BOF49"/>
      <c r="BOG49"/>
      <c r="BOH49"/>
      <c r="BOI49"/>
      <c r="BOJ49"/>
      <c r="BOK49"/>
      <c r="BOL49"/>
      <c r="BOM49"/>
      <c r="BON49"/>
      <c r="BOO49"/>
      <c r="BOP49"/>
      <c r="BOQ49"/>
      <c r="BOR49"/>
      <c r="BOS49"/>
      <c r="BOT49"/>
      <c r="BOU49"/>
      <c r="BOV49"/>
      <c r="BOW49"/>
      <c r="BOX49"/>
      <c r="BOY49"/>
      <c r="BOZ49"/>
      <c r="BPA49"/>
      <c r="BPB49"/>
      <c r="BPC49"/>
      <c r="BPD49"/>
      <c r="BPE49"/>
      <c r="BPF49"/>
      <c r="BPG49"/>
      <c r="BPH49"/>
      <c r="BPI49"/>
      <c r="BPJ49"/>
      <c r="BPK49"/>
      <c r="BPL49"/>
      <c r="BPM49"/>
      <c r="BPN49"/>
      <c r="BPO49"/>
      <c r="BPP49"/>
      <c r="BPQ49"/>
      <c r="BPR49"/>
      <c r="BPS49"/>
      <c r="BPT49"/>
      <c r="BPU49"/>
      <c r="BPV49"/>
      <c r="BPW49"/>
      <c r="BPX49"/>
      <c r="BPY49"/>
      <c r="BPZ49"/>
      <c r="BQA49"/>
      <c r="BQB49"/>
      <c r="BQC49"/>
      <c r="BQD49"/>
      <c r="BQE49"/>
      <c r="BQF49"/>
      <c r="BQG49"/>
      <c r="BQH49"/>
      <c r="BQI49"/>
      <c r="BQJ49"/>
      <c r="BQK49"/>
      <c r="BQL49"/>
      <c r="BQM49"/>
      <c r="BQN49"/>
      <c r="BQO49"/>
      <c r="BQP49"/>
      <c r="BQQ49"/>
      <c r="BQR49"/>
      <c r="BQS49"/>
      <c r="BQT49"/>
      <c r="BQU49"/>
      <c r="BQV49"/>
      <c r="BQW49"/>
      <c r="BQX49"/>
      <c r="BQY49"/>
      <c r="BQZ49"/>
      <c r="BRA49"/>
      <c r="BRB49"/>
      <c r="BRC49"/>
      <c r="BRD49"/>
      <c r="BRE49"/>
      <c r="BRF49"/>
      <c r="BRG49"/>
      <c r="BRH49"/>
      <c r="BRI49"/>
      <c r="BRJ49"/>
      <c r="BRK49"/>
      <c r="BRL49"/>
      <c r="BRM49"/>
      <c r="BRN49"/>
      <c r="BRO49"/>
      <c r="BRP49"/>
      <c r="BRQ49"/>
      <c r="BRR49"/>
      <c r="BRS49"/>
      <c r="BRT49"/>
      <c r="BRU49"/>
      <c r="BRV49"/>
      <c r="BRW49"/>
      <c r="BRX49"/>
      <c r="BRY49"/>
      <c r="BRZ49"/>
      <c r="BSA49"/>
      <c r="BSB49"/>
      <c r="BSC49"/>
      <c r="BSD49"/>
      <c r="BSE49"/>
      <c r="BSF49"/>
      <c r="BSG49"/>
      <c r="BSH49"/>
      <c r="BSI49"/>
      <c r="BSJ49"/>
      <c r="BSK49"/>
      <c r="BSL49"/>
      <c r="BSM49"/>
      <c r="BSN49"/>
      <c r="BSO49"/>
      <c r="BSP49"/>
      <c r="BSQ49"/>
      <c r="BSR49"/>
      <c r="BSS49"/>
      <c r="BST49"/>
      <c r="BSU49"/>
      <c r="BSV49"/>
      <c r="BSW49"/>
      <c r="BSX49"/>
      <c r="BSY49"/>
      <c r="BSZ49"/>
      <c r="BTA49"/>
      <c r="BTB49"/>
      <c r="BTC49"/>
      <c r="BTD49"/>
      <c r="BTE49"/>
      <c r="BTF49"/>
      <c r="BTG49"/>
      <c r="BTH49"/>
      <c r="BTI49"/>
      <c r="BTJ49"/>
      <c r="BTK49"/>
      <c r="BTL49"/>
      <c r="BTM49"/>
      <c r="BTN49"/>
      <c r="BTO49"/>
      <c r="BTP49"/>
      <c r="BTQ49"/>
      <c r="BTR49"/>
      <c r="BTS49"/>
      <c r="BTT49"/>
      <c r="BTU49"/>
      <c r="BTV49"/>
      <c r="BTW49"/>
      <c r="BTX49"/>
      <c r="BTY49"/>
      <c r="BTZ49"/>
      <c r="BUA49"/>
      <c r="BUB49"/>
      <c r="BUC49"/>
      <c r="BUD49"/>
      <c r="BUE49"/>
      <c r="BUF49"/>
      <c r="BUG49"/>
      <c r="BUH49"/>
      <c r="BUI49"/>
      <c r="BUJ49"/>
      <c r="BUK49"/>
      <c r="BUL49"/>
      <c r="BUM49"/>
      <c r="BUN49"/>
      <c r="BUO49"/>
      <c r="BUP49"/>
      <c r="BUQ49"/>
      <c r="BUR49"/>
      <c r="BUS49"/>
      <c r="BUT49"/>
      <c r="BUU49"/>
      <c r="BUV49"/>
      <c r="BUW49"/>
      <c r="BUX49"/>
      <c r="BUY49"/>
      <c r="BUZ49"/>
      <c r="BVA49"/>
      <c r="BVB49"/>
      <c r="BVC49"/>
      <c r="BVD49"/>
      <c r="BVE49"/>
      <c r="BVF49"/>
      <c r="BVG49"/>
      <c r="BVH49"/>
      <c r="BVI49"/>
      <c r="BVJ49"/>
      <c r="BVK49"/>
      <c r="BVL49"/>
      <c r="BVM49"/>
      <c r="BVN49"/>
      <c r="BVO49"/>
      <c r="BVP49"/>
      <c r="BVQ49"/>
      <c r="BVR49"/>
      <c r="BVS49"/>
      <c r="BVT49"/>
      <c r="BVU49"/>
      <c r="BVV49"/>
      <c r="BVW49"/>
      <c r="BVX49"/>
      <c r="BVY49"/>
      <c r="BVZ49"/>
      <c r="BWA49"/>
      <c r="BWB49"/>
      <c r="BWC49"/>
      <c r="BWD49"/>
      <c r="BWE49"/>
      <c r="BWF49"/>
      <c r="BWG49"/>
      <c r="BWH49"/>
      <c r="BWI49"/>
      <c r="BWJ49"/>
      <c r="BWK49"/>
      <c r="BWL49"/>
      <c r="BWM49"/>
      <c r="BWN49"/>
      <c r="BWO49"/>
      <c r="BWP49"/>
      <c r="BWQ49"/>
      <c r="BWR49"/>
      <c r="BWS49"/>
      <c r="BWT49"/>
      <c r="BWU49"/>
      <c r="BWV49"/>
      <c r="BWW49"/>
      <c r="BWX49"/>
      <c r="BWY49"/>
      <c r="BWZ49"/>
      <c r="BXA49"/>
      <c r="BXB49"/>
      <c r="BXC49"/>
      <c r="BXD49"/>
      <c r="BXE49"/>
      <c r="BXF49"/>
      <c r="BXG49"/>
      <c r="BXH49"/>
      <c r="BXI49"/>
      <c r="BXJ49"/>
      <c r="BXK49"/>
      <c r="BXL49"/>
      <c r="BXM49"/>
      <c r="BXN49"/>
      <c r="BXO49"/>
      <c r="BXP49"/>
      <c r="BXQ49"/>
      <c r="BXR49"/>
      <c r="BXS49"/>
      <c r="BXT49"/>
      <c r="BXU49"/>
      <c r="BXV49"/>
      <c r="BXW49"/>
      <c r="BXX49"/>
      <c r="BXY49"/>
      <c r="BXZ49"/>
      <c r="BYA49"/>
      <c r="BYB49"/>
      <c r="BYC49"/>
      <c r="BYD49"/>
      <c r="BYE49"/>
      <c r="BYF49"/>
      <c r="BYG49"/>
      <c r="BYH49"/>
      <c r="BYI49"/>
      <c r="BYJ49"/>
      <c r="BYK49"/>
      <c r="BYL49"/>
      <c r="BYM49"/>
      <c r="BYN49"/>
      <c r="BYO49"/>
      <c r="BYP49"/>
      <c r="BYQ49"/>
      <c r="BYR49"/>
      <c r="BYS49"/>
      <c r="BYT49"/>
      <c r="BYU49"/>
      <c r="BYV49"/>
      <c r="BYW49"/>
      <c r="BYX49"/>
      <c r="BYY49"/>
      <c r="BYZ49"/>
      <c r="BZA49"/>
      <c r="BZB49"/>
      <c r="BZC49"/>
      <c r="BZD49"/>
      <c r="BZE49"/>
      <c r="BZF49"/>
      <c r="BZG49"/>
      <c r="BZH49"/>
      <c r="BZI49"/>
      <c r="BZJ49"/>
      <c r="BZK49"/>
      <c r="BZL49"/>
      <c r="BZM49"/>
      <c r="BZN49"/>
      <c r="BZO49"/>
      <c r="BZP49"/>
      <c r="BZQ49"/>
      <c r="BZR49"/>
      <c r="BZS49"/>
      <c r="BZT49"/>
      <c r="BZU49"/>
      <c r="BZV49"/>
      <c r="BZW49"/>
      <c r="BZX49"/>
      <c r="BZY49"/>
      <c r="BZZ49"/>
      <c r="CAA49"/>
      <c r="CAB49"/>
      <c r="CAC49"/>
      <c r="CAD49"/>
      <c r="CAE49"/>
      <c r="CAF49"/>
      <c r="CAG49"/>
      <c r="CAH49"/>
      <c r="CAI49"/>
      <c r="CAJ49"/>
      <c r="CAK49"/>
      <c r="CAL49"/>
      <c r="CAM49"/>
      <c r="CAN49"/>
      <c r="CAO49"/>
      <c r="CAP49"/>
      <c r="CAQ49"/>
      <c r="CAR49"/>
      <c r="CAS49"/>
      <c r="CAT49"/>
      <c r="CAU49"/>
      <c r="CAV49"/>
      <c r="CAW49"/>
      <c r="CAX49"/>
      <c r="CAY49"/>
      <c r="CAZ49"/>
      <c r="CBA49"/>
      <c r="CBB49"/>
      <c r="CBC49"/>
      <c r="CBD49"/>
      <c r="CBE49"/>
      <c r="CBF49"/>
      <c r="CBG49"/>
      <c r="CBH49"/>
      <c r="CBI49"/>
      <c r="CBJ49"/>
      <c r="CBK49"/>
      <c r="CBL49"/>
      <c r="CBM49"/>
      <c r="CBN49"/>
      <c r="CBO49"/>
      <c r="CBP49"/>
      <c r="CBQ49"/>
      <c r="CBR49"/>
      <c r="CBS49"/>
      <c r="CBT49"/>
      <c r="CBU49"/>
      <c r="CBV49"/>
      <c r="CBW49"/>
      <c r="CBX49"/>
      <c r="CBY49"/>
      <c r="CBZ49"/>
      <c r="CCA49"/>
      <c r="CCB49"/>
      <c r="CCC49"/>
      <c r="CCD49"/>
      <c r="CCE49"/>
      <c r="CCF49"/>
      <c r="CCG49"/>
      <c r="CCH49"/>
      <c r="CCI49"/>
      <c r="CCJ49"/>
      <c r="CCK49"/>
      <c r="CCL49"/>
      <c r="CCM49"/>
      <c r="CCN49"/>
      <c r="CCO49"/>
      <c r="CCP49"/>
      <c r="CCQ49"/>
      <c r="CCR49"/>
      <c r="CCS49"/>
      <c r="CCT49"/>
      <c r="CCU49"/>
      <c r="CCV49"/>
      <c r="CCW49"/>
      <c r="CCX49"/>
      <c r="CCY49"/>
      <c r="CCZ49"/>
      <c r="CDA49"/>
      <c r="CDB49"/>
      <c r="CDC49"/>
      <c r="CDD49"/>
      <c r="CDE49"/>
      <c r="CDF49"/>
      <c r="CDG49"/>
      <c r="CDH49"/>
      <c r="CDI49"/>
      <c r="CDJ49"/>
      <c r="CDK49"/>
      <c r="CDL49"/>
      <c r="CDM49"/>
      <c r="CDN49"/>
      <c r="CDO49"/>
      <c r="CDP49"/>
      <c r="CDQ49"/>
      <c r="CDR49"/>
      <c r="CDS49"/>
      <c r="CDT49"/>
      <c r="CDU49"/>
      <c r="CDV49"/>
      <c r="CDW49"/>
      <c r="CDX49"/>
      <c r="CDY49"/>
      <c r="CDZ49"/>
      <c r="CEA49"/>
      <c r="CEB49"/>
      <c r="CEC49"/>
      <c r="CED49"/>
      <c r="CEE49"/>
      <c r="CEF49"/>
      <c r="CEG49"/>
      <c r="CEH49"/>
      <c r="CEI49"/>
      <c r="CEJ49"/>
      <c r="CEK49"/>
      <c r="CEL49"/>
      <c r="CEM49"/>
      <c r="CEN49"/>
      <c r="CEO49"/>
      <c r="CEP49"/>
      <c r="CEQ49"/>
      <c r="CER49"/>
      <c r="CES49"/>
      <c r="CET49"/>
      <c r="CEU49"/>
      <c r="CEV49"/>
      <c r="CEW49"/>
      <c r="CEX49"/>
      <c r="CEY49"/>
      <c r="CEZ49"/>
      <c r="CFA49"/>
      <c r="CFB49"/>
      <c r="CFC49"/>
      <c r="CFD49"/>
      <c r="CFE49"/>
      <c r="CFF49"/>
      <c r="CFG49"/>
      <c r="CFH49"/>
      <c r="CFI49"/>
      <c r="CFJ49"/>
      <c r="CFK49"/>
      <c r="CFL49"/>
      <c r="CFM49"/>
      <c r="CFN49"/>
      <c r="CFO49"/>
      <c r="CFP49"/>
      <c r="CFQ49"/>
      <c r="CFR49"/>
      <c r="CFS49"/>
      <c r="CFT49"/>
      <c r="CFU49"/>
      <c r="CFV49"/>
      <c r="CFW49"/>
      <c r="CFX49"/>
      <c r="CFY49"/>
      <c r="CFZ49"/>
      <c r="CGA49"/>
      <c r="CGB49"/>
      <c r="CGC49"/>
      <c r="CGD49"/>
      <c r="CGE49"/>
      <c r="CGF49"/>
      <c r="CGG49"/>
      <c r="CGH49"/>
      <c r="CGI49"/>
      <c r="CGJ49"/>
      <c r="CGK49"/>
      <c r="CGL49"/>
      <c r="CGM49"/>
      <c r="CGN49"/>
      <c r="CGO49"/>
      <c r="CGP49"/>
      <c r="CGQ49"/>
      <c r="CGR49"/>
      <c r="CGS49"/>
      <c r="CGT49"/>
      <c r="CGU49"/>
      <c r="CGV49"/>
      <c r="CGW49"/>
      <c r="CGX49"/>
      <c r="CGY49"/>
      <c r="CGZ49"/>
      <c r="CHA49"/>
      <c r="CHB49"/>
      <c r="CHC49"/>
      <c r="CHD49"/>
      <c r="CHE49"/>
      <c r="CHF49"/>
      <c r="CHG49"/>
      <c r="CHH49"/>
      <c r="CHI49"/>
      <c r="CHJ49"/>
      <c r="CHK49"/>
      <c r="CHL49"/>
      <c r="CHM49"/>
      <c r="CHN49"/>
      <c r="CHO49"/>
      <c r="CHP49"/>
      <c r="CHQ49"/>
      <c r="CHR49"/>
      <c r="CHS49"/>
      <c r="CHT49"/>
      <c r="CHU49"/>
      <c r="CHV49"/>
      <c r="CHW49"/>
      <c r="CHX49"/>
      <c r="CHY49"/>
      <c r="CHZ49"/>
      <c r="CIA49"/>
      <c r="CIB49"/>
      <c r="CIC49"/>
      <c r="CID49"/>
      <c r="CIE49"/>
      <c r="CIF49"/>
      <c r="CIG49"/>
      <c r="CIH49"/>
      <c r="CII49"/>
      <c r="CIJ49"/>
      <c r="CIK49"/>
      <c r="CIL49"/>
      <c r="CIM49"/>
      <c r="CIN49"/>
      <c r="CIO49"/>
      <c r="CIP49"/>
      <c r="CIQ49"/>
      <c r="CIR49"/>
      <c r="CIS49"/>
      <c r="CIT49"/>
      <c r="CIU49"/>
      <c r="CIV49"/>
      <c r="CIW49"/>
      <c r="CIX49"/>
      <c r="CIY49"/>
      <c r="CIZ49"/>
      <c r="CJA49"/>
      <c r="CJB49"/>
      <c r="CJC49"/>
      <c r="CJD49"/>
      <c r="CJE49"/>
      <c r="CJF49"/>
      <c r="CJG49"/>
      <c r="CJH49"/>
      <c r="CJI49"/>
      <c r="CJJ49"/>
      <c r="CJK49"/>
      <c r="CJL49"/>
      <c r="CJM49"/>
      <c r="CJN49"/>
      <c r="CJO49"/>
      <c r="CJP49"/>
      <c r="CJQ49"/>
      <c r="CJR49"/>
      <c r="CJS49"/>
      <c r="CJT49"/>
      <c r="CJU49"/>
      <c r="CJV49"/>
      <c r="CJW49"/>
      <c r="CJX49"/>
      <c r="CJY49"/>
      <c r="CJZ49"/>
      <c r="CKA49"/>
      <c r="CKB49"/>
      <c r="CKC49"/>
      <c r="CKD49"/>
      <c r="CKE49"/>
      <c r="CKF49"/>
      <c r="CKG49"/>
      <c r="CKH49"/>
      <c r="CKI49"/>
      <c r="CKJ49"/>
      <c r="CKK49"/>
      <c r="CKL49"/>
      <c r="CKM49"/>
      <c r="CKN49"/>
      <c r="CKO49"/>
      <c r="CKP49"/>
      <c r="CKQ49"/>
      <c r="CKR49"/>
      <c r="CKS49"/>
      <c r="CKT49"/>
      <c r="CKU49"/>
      <c r="CKV49"/>
      <c r="CKW49"/>
      <c r="CKX49"/>
      <c r="CKY49"/>
      <c r="CKZ49"/>
      <c r="CLA49"/>
      <c r="CLB49"/>
      <c r="CLC49"/>
      <c r="CLD49"/>
      <c r="CLE49"/>
      <c r="CLF49"/>
      <c r="CLG49"/>
      <c r="CLH49"/>
      <c r="CLI49"/>
      <c r="CLJ49"/>
      <c r="CLK49"/>
      <c r="CLL49"/>
      <c r="CLM49"/>
      <c r="CLN49"/>
      <c r="CLO49"/>
      <c r="CLP49"/>
      <c r="CLQ49"/>
      <c r="CLR49"/>
      <c r="CLS49"/>
      <c r="CLT49"/>
      <c r="CLU49"/>
      <c r="CLV49"/>
      <c r="CLW49"/>
      <c r="CLX49"/>
      <c r="CLY49"/>
      <c r="CLZ49"/>
      <c r="CMA49"/>
      <c r="CMB49"/>
      <c r="CMC49"/>
      <c r="CMD49"/>
      <c r="CME49"/>
      <c r="CMF49"/>
      <c r="CMG49"/>
      <c r="CMH49"/>
      <c r="CMI49"/>
      <c r="CMJ49"/>
      <c r="CMK49"/>
      <c r="CML49"/>
      <c r="CMM49"/>
      <c r="CMN49"/>
      <c r="CMO49"/>
      <c r="CMP49"/>
      <c r="CMQ49"/>
      <c r="CMR49"/>
      <c r="CMS49"/>
      <c r="CMT49"/>
      <c r="CMU49"/>
      <c r="CMV49"/>
      <c r="CMW49"/>
      <c r="CMX49"/>
      <c r="CMY49"/>
      <c r="CMZ49"/>
      <c r="CNA49"/>
      <c r="CNB49"/>
      <c r="CNC49"/>
      <c r="CND49"/>
      <c r="CNE49"/>
      <c r="CNF49"/>
      <c r="CNG49"/>
      <c r="CNH49"/>
      <c r="CNI49"/>
      <c r="CNJ49"/>
      <c r="CNK49"/>
      <c r="CNL49"/>
      <c r="CNM49"/>
      <c r="CNN49"/>
      <c r="CNO49"/>
      <c r="CNP49"/>
      <c r="CNQ49"/>
      <c r="CNR49"/>
      <c r="CNS49"/>
      <c r="CNT49"/>
      <c r="CNU49"/>
      <c r="CNV49"/>
      <c r="CNW49"/>
      <c r="CNX49"/>
      <c r="CNY49"/>
      <c r="CNZ49"/>
      <c r="COA49"/>
      <c r="COB49"/>
      <c r="COC49"/>
      <c r="COD49"/>
      <c r="COE49"/>
      <c r="COF49"/>
      <c r="COG49"/>
      <c r="COH49"/>
      <c r="COI49"/>
      <c r="COJ49"/>
      <c r="COK49"/>
      <c r="COL49"/>
      <c r="COM49"/>
      <c r="CON49"/>
      <c r="COO49"/>
      <c r="COP49"/>
      <c r="COQ49"/>
      <c r="COR49"/>
      <c r="COS49"/>
      <c r="COT49"/>
      <c r="COU49"/>
      <c r="COV49"/>
      <c r="COW49"/>
      <c r="COX49"/>
      <c r="COY49"/>
      <c r="COZ49"/>
      <c r="CPA49"/>
      <c r="CPB49"/>
      <c r="CPC49"/>
      <c r="CPD49"/>
      <c r="CPE49"/>
      <c r="CPF49"/>
      <c r="CPG49"/>
      <c r="CPH49"/>
      <c r="CPI49"/>
      <c r="CPJ49"/>
      <c r="CPK49"/>
      <c r="CPL49"/>
      <c r="CPM49"/>
      <c r="CPN49"/>
      <c r="CPO49"/>
      <c r="CPP49"/>
      <c r="CPQ49"/>
      <c r="CPR49"/>
      <c r="CPS49"/>
      <c r="CPT49"/>
      <c r="CPU49"/>
      <c r="CPV49"/>
      <c r="CPW49"/>
      <c r="CPX49"/>
      <c r="CPY49"/>
      <c r="CPZ49"/>
      <c r="CQA49"/>
      <c r="CQB49"/>
      <c r="CQC49"/>
      <c r="CQD49"/>
      <c r="CQE49"/>
      <c r="CQF49"/>
      <c r="CQG49"/>
      <c r="CQH49"/>
      <c r="CQI49"/>
      <c r="CQJ49"/>
      <c r="CQK49"/>
      <c r="CQL49"/>
      <c r="CQM49"/>
      <c r="CQN49"/>
      <c r="CQO49"/>
      <c r="CQP49"/>
      <c r="CQQ49"/>
      <c r="CQR49"/>
      <c r="CQS49"/>
      <c r="CQT49"/>
      <c r="CQU49"/>
      <c r="CQV49"/>
      <c r="CQW49"/>
      <c r="CQX49"/>
      <c r="CQY49"/>
      <c r="CQZ49"/>
      <c r="CRA49"/>
      <c r="CRB49"/>
      <c r="CRC49"/>
      <c r="CRD49"/>
      <c r="CRE49"/>
      <c r="CRF49"/>
      <c r="CRG49"/>
      <c r="CRH49"/>
      <c r="CRI49"/>
      <c r="CRJ49"/>
      <c r="CRK49"/>
      <c r="CRL49"/>
      <c r="CRM49"/>
      <c r="CRN49"/>
      <c r="CRO49"/>
      <c r="CRP49"/>
      <c r="CRQ49"/>
      <c r="CRR49"/>
      <c r="CRS49"/>
      <c r="CRT49"/>
      <c r="CRU49"/>
      <c r="CRV49"/>
      <c r="CRW49"/>
      <c r="CRX49"/>
      <c r="CRY49"/>
      <c r="CRZ49"/>
      <c r="CSA49"/>
      <c r="CSB49"/>
      <c r="CSC49"/>
      <c r="CSD49"/>
      <c r="CSE49"/>
      <c r="CSF49"/>
      <c r="CSG49"/>
      <c r="CSH49"/>
      <c r="CSI49"/>
      <c r="CSJ49"/>
      <c r="CSK49"/>
      <c r="CSL49"/>
      <c r="CSM49"/>
      <c r="CSN49"/>
      <c r="CSO49"/>
      <c r="CSP49"/>
      <c r="CSQ49"/>
      <c r="CSR49"/>
      <c r="CSS49"/>
      <c r="CST49"/>
      <c r="CSU49"/>
      <c r="CSV49"/>
      <c r="CSW49"/>
      <c r="CSX49"/>
      <c r="CSY49"/>
      <c r="CSZ49"/>
      <c r="CTA49"/>
      <c r="CTB49"/>
      <c r="CTC49"/>
      <c r="CTD49"/>
      <c r="CTE49"/>
      <c r="CTF49"/>
      <c r="CTG49"/>
      <c r="CTH49"/>
      <c r="CTI49"/>
      <c r="CTJ49"/>
      <c r="CTK49"/>
      <c r="CTL49"/>
      <c r="CTM49"/>
      <c r="CTN49"/>
      <c r="CTO49"/>
      <c r="CTP49"/>
      <c r="CTQ49"/>
      <c r="CTR49"/>
      <c r="CTS49"/>
      <c r="CTT49"/>
      <c r="CTU49"/>
      <c r="CTV49"/>
      <c r="CTW49"/>
      <c r="CTX49"/>
      <c r="CTY49"/>
      <c r="CTZ49"/>
      <c r="CUA49"/>
      <c r="CUB49"/>
      <c r="CUC49"/>
      <c r="CUD49"/>
      <c r="CUE49"/>
      <c r="CUF49"/>
      <c r="CUG49"/>
      <c r="CUH49"/>
      <c r="CUI49"/>
      <c r="CUJ49"/>
      <c r="CUK49"/>
      <c r="CUL49"/>
      <c r="CUM49"/>
      <c r="CUN49"/>
      <c r="CUO49"/>
      <c r="CUP49"/>
      <c r="CUQ49"/>
      <c r="CUR49"/>
      <c r="CUS49"/>
      <c r="CUT49"/>
      <c r="CUU49"/>
      <c r="CUV49"/>
      <c r="CUW49"/>
      <c r="CUX49"/>
      <c r="CUY49"/>
      <c r="CUZ49"/>
      <c r="CVA49"/>
      <c r="CVB49"/>
      <c r="CVC49"/>
      <c r="CVD49"/>
      <c r="CVE49"/>
      <c r="CVF49"/>
      <c r="CVG49"/>
      <c r="CVH49"/>
      <c r="CVI49"/>
      <c r="CVJ49"/>
      <c r="CVK49"/>
      <c r="CVL49"/>
      <c r="CVM49"/>
      <c r="CVN49"/>
      <c r="CVO49"/>
      <c r="CVP49"/>
      <c r="CVQ49"/>
      <c r="CVR49"/>
      <c r="CVS49"/>
      <c r="CVT49"/>
      <c r="CVU49"/>
      <c r="CVV49"/>
      <c r="CVW49"/>
      <c r="CVX49"/>
      <c r="CVY49"/>
      <c r="CVZ49"/>
      <c r="CWA49"/>
      <c r="CWB49"/>
      <c r="CWC49"/>
      <c r="CWD49"/>
      <c r="CWE49"/>
      <c r="CWF49"/>
      <c r="CWG49"/>
      <c r="CWH49"/>
      <c r="CWI49"/>
      <c r="CWJ49"/>
      <c r="CWK49"/>
      <c r="CWL49"/>
      <c r="CWM49"/>
      <c r="CWN49"/>
      <c r="CWO49"/>
      <c r="CWP49"/>
      <c r="CWQ49"/>
      <c r="CWR49"/>
      <c r="CWS49"/>
      <c r="CWT49"/>
      <c r="CWU49"/>
      <c r="CWV49"/>
      <c r="CWW49"/>
      <c r="CWX49"/>
      <c r="CWY49"/>
      <c r="CWZ49"/>
      <c r="CXA49"/>
      <c r="CXB49"/>
      <c r="CXC49"/>
      <c r="CXD49"/>
      <c r="CXE49"/>
      <c r="CXF49"/>
      <c r="CXG49"/>
      <c r="CXH49"/>
      <c r="CXI49"/>
      <c r="CXJ49"/>
      <c r="CXK49"/>
      <c r="CXL49"/>
      <c r="CXM49"/>
      <c r="CXN49"/>
      <c r="CXO49"/>
      <c r="CXP49"/>
      <c r="CXQ49"/>
      <c r="CXR49"/>
      <c r="CXS49"/>
      <c r="CXT49"/>
      <c r="CXU49"/>
      <c r="CXV49"/>
      <c r="CXW49"/>
      <c r="CXX49"/>
      <c r="CXY49"/>
      <c r="CXZ49"/>
      <c r="CYA49"/>
      <c r="CYB49"/>
      <c r="CYC49"/>
      <c r="CYD49"/>
      <c r="CYE49"/>
      <c r="CYF49"/>
      <c r="CYG49"/>
      <c r="CYH49"/>
      <c r="CYI49"/>
      <c r="CYJ49"/>
      <c r="CYK49"/>
      <c r="CYL49"/>
      <c r="CYM49"/>
      <c r="CYN49"/>
      <c r="CYO49"/>
      <c r="CYP49"/>
      <c r="CYQ49"/>
      <c r="CYR49"/>
      <c r="CYS49"/>
      <c r="CYT49"/>
      <c r="CYU49"/>
      <c r="CYV49"/>
      <c r="CYW49"/>
      <c r="CYX49"/>
      <c r="CYY49"/>
      <c r="CYZ49"/>
      <c r="CZA49"/>
      <c r="CZB49"/>
      <c r="CZC49"/>
      <c r="CZD49"/>
      <c r="CZE49"/>
      <c r="CZF49"/>
      <c r="CZG49"/>
      <c r="CZH49"/>
      <c r="CZI49"/>
      <c r="CZJ49"/>
      <c r="CZK49"/>
      <c r="CZL49"/>
      <c r="CZM49"/>
      <c r="CZN49"/>
      <c r="CZO49"/>
      <c r="CZP49"/>
      <c r="CZQ49"/>
      <c r="CZR49"/>
      <c r="CZS49"/>
      <c r="CZT49"/>
      <c r="CZU49"/>
      <c r="CZV49"/>
      <c r="CZW49"/>
      <c r="CZX49"/>
      <c r="CZY49"/>
      <c r="CZZ49"/>
      <c r="DAA49"/>
      <c r="DAB49"/>
      <c r="DAC49"/>
      <c r="DAD49"/>
      <c r="DAE49"/>
      <c r="DAF49"/>
      <c r="DAG49"/>
      <c r="DAH49"/>
      <c r="DAI49"/>
      <c r="DAJ49"/>
      <c r="DAK49"/>
      <c r="DAL49"/>
      <c r="DAM49"/>
      <c r="DAN49"/>
      <c r="DAO49"/>
      <c r="DAP49"/>
      <c r="DAQ49"/>
      <c r="DAR49"/>
      <c r="DAS49"/>
      <c r="DAT49"/>
      <c r="DAU49"/>
      <c r="DAV49"/>
      <c r="DAW49"/>
      <c r="DAX49"/>
      <c r="DAY49"/>
      <c r="DAZ49"/>
      <c r="DBA49"/>
      <c r="DBB49"/>
      <c r="DBC49"/>
      <c r="DBD49"/>
      <c r="DBE49"/>
      <c r="DBF49"/>
      <c r="DBG49"/>
      <c r="DBH49"/>
      <c r="DBI49"/>
      <c r="DBJ49"/>
      <c r="DBK49"/>
      <c r="DBL49"/>
      <c r="DBM49"/>
      <c r="DBN49"/>
      <c r="DBO49"/>
      <c r="DBP49"/>
      <c r="DBQ49"/>
      <c r="DBR49"/>
      <c r="DBS49"/>
      <c r="DBT49"/>
      <c r="DBU49"/>
      <c r="DBV49"/>
      <c r="DBW49"/>
      <c r="DBX49"/>
      <c r="DBY49"/>
      <c r="DBZ49"/>
      <c r="DCA49"/>
      <c r="DCB49"/>
      <c r="DCC49"/>
      <c r="DCD49"/>
      <c r="DCE49"/>
      <c r="DCF49"/>
      <c r="DCG49"/>
      <c r="DCH49"/>
      <c r="DCI49"/>
      <c r="DCJ49"/>
      <c r="DCK49"/>
      <c r="DCL49"/>
      <c r="DCM49"/>
      <c r="DCN49"/>
      <c r="DCO49"/>
      <c r="DCP49"/>
      <c r="DCQ49"/>
      <c r="DCR49"/>
      <c r="DCS49"/>
      <c r="DCT49"/>
      <c r="DCU49"/>
      <c r="DCV49"/>
      <c r="DCW49"/>
      <c r="DCX49"/>
      <c r="DCY49"/>
      <c r="DCZ49"/>
      <c r="DDA49"/>
      <c r="DDB49"/>
      <c r="DDC49"/>
      <c r="DDD49"/>
      <c r="DDE49"/>
      <c r="DDF49"/>
      <c r="DDG49"/>
      <c r="DDH49"/>
      <c r="DDI49"/>
      <c r="DDJ49"/>
      <c r="DDK49"/>
      <c r="DDL49"/>
      <c r="DDM49"/>
      <c r="DDN49"/>
      <c r="DDO49"/>
      <c r="DDP49"/>
      <c r="DDQ49"/>
      <c r="DDR49"/>
      <c r="DDS49"/>
      <c r="DDT49"/>
      <c r="DDU49"/>
      <c r="DDV49"/>
      <c r="DDW49"/>
      <c r="DDX49"/>
      <c r="DDY49"/>
      <c r="DDZ49"/>
      <c r="DEA49"/>
      <c r="DEB49"/>
      <c r="DEC49"/>
      <c r="DED49"/>
      <c r="DEE49"/>
      <c r="DEF49"/>
      <c r="DEG49"/>
      <c r="DEH49"/>
      <c r="DEI49"/>
      <c r="DEJ49"/>
      <c r="DEK49"/>
      <c r="DEL49"/>
      <c r="DEM49"/>
      <c r="DEN49"/>
      <c r="DEO49"/>
      <c r="DEP49"/>
      <c r="DEQ49"/>
      <c r="DER49"/>
      <c r="DES49"/>
      <c r="DET49"/>
      <c r="DEU49"/>
      <c r="DEV49"/>
      <c r="DEW49"/>
      <c r="DEX49"/>
      <c r="DEY49"/>
      <c r="DEZ49"/>
      <c r="DFA49"/>
      <c r="DFB49"/>
      <c r="DFC49"/>
      <c r="DFD49"/>
      <c r="DFE49"/>
      <c r="DFF49"/>
      <c r="DFG49"/>
      <c r="DFH49"/>
      <c r="DFI49"/>
      <c r="DFJ49"/>
      <c r="DFK49"/>
      <c r="DFL49"/>
      <c r="DFM49"/>
      <c r="DFN49"/>
      <c r="DFO49"/>
      <c r="DFP49"/>
      <c r="DFQ49"/>
      <c r="DFR49"/>
      <c r="DFS49"/>
      <c r="DFT49"/>
      <c r="DFU49"/>
      <c r="DFV49"/>
      <c r="DFW49"/>
      <c r="DFX49"/>
      <c r="DFY49"/>
      <c r="DFZ49"/>
      <c r="DGA49"/>
      <c r="DGB49"/>
      <c r="DGC49"/>
      <c r="DGD49"/>
      <c r="DGE49"/>
      <c r="DGF49"/>
      <c r="DGG49"/>
      <c r="DGH49"/>
      <c r="DGI49"/>
      <c r="DGJ49"/>
      <c r="DGK49"/>
      <c r="DGL49"/>
      <c r="DGM49"/>
      <c r="DGN49"/>
      <c r="DGO49"/>
      <c r="DGP49"/>
      <c r="DGQ49"/>
      <c r="DGR49"/>
      <c r="DGS49"/>
      <c r="DGT49"/>
      <c r="DGU49"/>
      <c r="DGV49"/>
      <c r="DGW49"/>
      <c r="DGX49"/>
      <c r="DGY49"/>
      <c r="DGZ49"/>
      <c r="DHA49"/>
      <c r="DHB49"/>
      <c r="DHC49"/>
      <c r="DHD49"/>
      <c r="DHE49"/>
      <c r="DHF49"/>
      <c r="DHG49"/>
      <c r="DHH49"/>
      <c r="DHI49"/>
      <c r="DHJ49"/>
      <c r="DHK49"/>
      <c r="DHL49"/>
      <c r="DHM49"/>
      <c r="DHN49"/>
      <c r="DHO49"/>
      <c r="DHP49"/>
      <c r="DHQ49"/>
      <c r="DHR49"/>
      <c r="DHS49"/>
      <c r="DHT49"/>
      <c r="DHU49"/>
      <c r="DHV49"/>
      <c r="DHW49"/>
      <c r="DHX49"/>
      <c r="DHY49"/>
      <c r="DHZ49"/>
      <c r="DIA49"/>
      <c r="DIB49"/>
      <c r="DIC49"/>
      <c r="DID49"/>
      <c r="DIE49"/>
      <c r="DIF49"/>
      <c r="DIG49"/>
      <c r="DIH49"/>
      <c r="DII49"/>
      <c r="DIJ49"/>
      <c r="DIK49"/>
      <c r="DIL49"/>
      <c r="DIM49"/>
      <c r="DIN49"/>
      <c r="DIO49"/>
      <c r="DIP49"/>
      <c r="DIQ49"/>
      <c r="DIR49"/>
      <c r="DIS49"/>
      <c r="DIT49"/>
      <c r="DIU49"/>
      <c r="DIV49"/>
      <c r="DIW49"/>
      <c r="DIX49"/>
      <c r="DIY49"/>
      <c r="DIZ49"/>
      <c r="DJA49"/>
      <c r="DJB49"/>
      <c r="DJC49"/>
      <c r="DJD49"/>
      <c r="DJE49"/>
      <c r="DJF49"/>
      <c r="DJG49"/>
      <c r="DJH49"/>
      <c r="DJI49"/>
      <c r="DJJ49"/>
      <c r="DJK49"/>
      <c r="DJL49"/>
      <c r="DJM49"/>
      <c r="DJN49"/>
      <c r="DJO49"/>
      <c r="DJP49"/>
      <c r="DJQ49"/>
      <c r="DJR49"/>
      <c r="DJS49"/>
      <c r="DJT49"/>
      <c r="DJU49"/>
      <c r="DJV49"/>
      <c r="DJW49"/>
      <c r="DJX49"/>
      <c r="DJY49"/>
      <c r="DJZ49"/>
      <c r="DKA49"/>
      <c r="DKB49"/>
      <c r="DKC49"/>
      <c r="DKD49"/>
      <c r="DKE49"/>
      <c r="DKF49"/>
      <c r="DKG49"/>
      <c r="DKH49"/>
      <c r="DKI49"/>
      <c r="DKJ49"/>
      <c r="DKK49"/>
      <c r="DKL49"/>
      <c r="DKM49"/>
      <c r="DKN49"/>
      <c r="DKO49"/>
      <c r="DKP49"/>
      <c r="DKQ49"/>
      <c r="DKR49"/>
      <c r="DKS49"/>
      <c r="DKT49"/>
      <c r="DKU49"/>
      <c r="DKV49"/>
      <c r="DKW49"/>
      <c r="DKX49"/>
      <c r="DKY49"/>
      <c r="DKZ49"/>
      <c r="DLA49"/>
      <c r="DLB49"/>
      <c r="DLC49"/>
      <c r="DLD49"/>
      <c r="DLE49"/>
      <c r="DLF49"/>
      <c r="DLG49"/>
      <c r="DLH49"/>
      <c r="DLI49"/>
      <c r="DLJ49"/>
      <c r="DLK49"/>
      <c r="DLL49"/>
      <c r="DLM49"/>
      <c r="DLN49"/>
      <c r="DLO49"/>
      <c r="DLP49"/>
      <c r="DLQ49"/>
      <c r="DLR49"/>
      <c r="DLS49"/>
      <c r="DLT49"/>
      <c r="DLU49"/>
      <c r="DLV49"/>
      <c r="DLW49"/>
      <c r="DLX49"/>
      <c r="DLY49"/>
      <c r="DLZ49"/>
      <c r="DMA49"/>
      <c r="DMB49"/>
      <c r="DMC49"/>
      <c r="DMD49"/>
      <c r="DME49"/>
      <c r="DMF49"/>
      <c r="DMG49"/>
      <c r="DMH49"/>
      <c r="DMI49"/>
      <c r="DMJ49"/>
      <c r="DMK49"/>
      <c r="DML49"/>
      <c r="DMM49"/>
      <c r="DMN49"/>
      <c r="DMO49"/>
      <c r="DMP49"/>
      <c r="DMQ49"/>
      <c r="DMR49"/>
      <c r="DMS49"/>
      <c r="DMT49"/>
      <c r="DMU49"/>
      <c r="DMV49"/>
      <c r="DMW49"/>
      <c r="DMX49"/>
      <c r="DMY49"/>
      <c r="DMZ49"/>
      <c r="DNA49"/>
      <c r="DNB49"/>
      <c r="DNC49"/>
      <c r="DND49"/>
      <c r="DNE49"/>
      <c r="DNF49"/>
      <c r="DNG49"/>
      <c r="DNH49"/>
      <c r="DNI49"/>
      <c r="DNJ49"/>
      <c r="DNK49"/>
      <c r="DNL49"/>
      <c r="DNM49"/>
      <c r="DNN49"/>
      <c r="DNO49"/>
      <c r="DNP49"/>
      <c r="DNQ49"/>
      <c r="DNR49"/>
      <c r="DNS49"/>
      <c r="DNT49"/>
      <c r="DNU49"/>
      <c r="DNV49"/>
      <c r="DNW49"/>
      <c r="DNX49"/>
      <c r="DNY49"/>
      <c r="DNZ49"/>
      <c r="DOA49"/>
      <c r="DOB49"/>
      <c r="DOC49"/>
      <c r="DOD49"/>
      <c r="DOE49"/>
      <c r="DOF49"/>
      <c r="DOG49"/>
      <c r="DOH49"/>
      <c r="DOI49"/>
      <c r="DOJ49"/>
      <c r="DOK49"/>
      <c r="DOL49"/>
      <c r="DOM49"/>
      <c r="DON49"/>
      <c r="DOO49"/>
      <c r="DOP49"/>
      <c r="DOQ49"/>
      <c r="DOR49"/>
      <c r="DOS49"/>
      <c r="DOT49"/>
      <c r="DOU49"/>
      <c r="DOV49"/>
      <c r="DOW49"/>
      <c r="DOX49"/>
      <c r="DOY49"/>
      <c r="DOZ49"/>
      <c r="DPA49"/>
      <c r="DPB49"/>
      <c r="DPC49"/>
      <c r="DPD49"/>
      <c r="DPE49"/>
      <c r="DPF49"/>
      <c r="DPG49"/>
      <c r="DPH49"/>
      <c r="DPI49"/>
      <c r="DPJ49"/>
      <c r="DPK49"/>
      <c r="DPL49"/>
      <c r="DPM49"/>
      <c r="DPN49"/>
      <c r="DPO49"/>
      <c r="DPP49"/>
      <c r="DPQ49"/>
      <c r="DPR49"/>
      <c r="DPS49"/>
      <c r="DPT49"/>
      <c r="DPU49"/>
      <c r="DPV49"/>
      <c r="DPW49"/>
      <c r="DPX49"/>
      <c r="DPY49"/>
      <c r="DPZ49"/>
      <c r="DQA49"/>
      <c r="DQB49"/>
      <c r="DQC49"/>
      <c r="DQD49"/>
      <c r="DQE49"/>
      <c r="DQF49"/>
      <c r="DQG49"/>
      <c r="DQH49"/>
      <c r="DQI49"/>
      <c r="DQJ49"/>
      <c r="DQK49"/>
      <c r="DQL49"/>
      <c r="DQM49"/>
      <c r="DQN49"/>
      <c r="DQO49"/>
      <c r="DQP49"/>
      <c r="DQQ49"/>
      <c r="DQR49"/>
      <c r="DQS49"/>
      <c r="DQT49"/>
      <c r="DQU49"/>
      <c r="DQV49"/>
      <c r="DQW49"/>
      <c r="DQX49"/>
      <c r="DQY49"/>
      <c r="DQZ49"/>
      <c r="DRA49"/>
      <c r="DRB49"/>
      <c r="DRC49"/>
      <c r="DRD49"/>
      <c r="DRE49"/>
      <c r="DRF49"/>
      <c r="DRG49"/>
      <c r="DRH49"/>
      <c r="DRI49"/>
      <c r="DRJ49"/>
      <c r="DRK49"/>
      <c r="DRL49"/>
      <c r="DRM49"/>
      <c r="DRN49"/>
      <c r="DRO49"/>
      <c r="DRP49"/>
      <c r="DRQ49"/>
      <c r="DRR49"/>
      <c r="DRS49"/>
      <c r="DRT49"/>
      <c r="DRU49"/>
      <c r="DRV49"/>
      <c r="DRW49"/>
      <c r="DRX49"/>
      <c r="DRY49"/>
      <c r="DRZ49"/>
      <c r="DSA49"/>
      <c r="DSB49"/>
      <c r="DSC49"/>
      <c r="DSD49"/>
      <c r="DSE49"/>
      <c r="DSF49"/>
      <c r="DSG49"/>
      <c r="DSH49"/>
      <c r="DSI49"/>
      <c r="DSJ49"/>
      <c r="DSK49"/>
      <c r="DSL49"/>
      <c r="DSM49"/>
      <c r="DSN49"/>
      <c r="DSO49"/>
      <c r="DSP49"/>
      <c r="DSQ49"/>
      <c r="DSR49"/>
      <c r="DSS49"/>
      <c r="DST49"/>
      <c r="DSU49"/>
      <c r="DSV49"/>
      <c r="DSW49"/>
      <c r="DSX49"/>
      <c r="DSY49"/>
      <c r="DSZ49"/>
      <c r="DTA49"/>
      <c r="DTB49"/>
      <c r="DTC49"/>
      <c r="DTD49"/>
      <c r="DTE49"/>
      <c r="DTF49"/>
      <c r="DTG49"/>
      <c r="DTH49"/>
      <c r="DTI49"/>
      <c r="DTJ49"/>
      <c r="DTK49"/>
      <c r="DTL49"/>
      <c r="DTM49"/>
      <c r="DTN49"/>
      <c r="DTO49"/>
      <c r="DTP49"/>
      <c r="DTQ49"/>
      <c r="DTR49"/>
      <c r="DTS49"/>
      <c r="DTT49"/>
      <c r="DTU49"/>
      <c r="DTV49"/>
      <c r="DTW49"/>
      <c r="DTX49"/>
      <c r="DTY49"/>
      <c r="DTZ49"/>
      <c r="DUA49"/>
      <c r="DUB49"/>
      <c r="DUC49"/>
      <c r="DUD49"/>
      <c r="DUE49"/>
      <c r="DUF49"/>
      <c r="DUG49"/>
      <c r="DUH49"/>
      <c r="DUI49"/>
      <c r="DUJ49"/>
      <c r="DUK49"/>
      <c r="DUL49"/>
      <c r="DUM49"/>
      <c r="DUN49"/>
      <c r="DUO49"/>
      <c r="DUP49"/>
      <c r="DUQ49"/>
      <c r="DUR49"/>
      <c r="DUS49"/>
      <c r="DUT49"/>
      <c r="DUU49"/>
      <c r="DUV49"/>
      <c r="DUW49"/>
      <c r="DUX49"/>
      <c r="DUY49"/>
      <c r="DUZ49"/>
      <c r="DVA49"/>
      <c r="DVB49"/>
      <c r="DVC49"/>
      <c r="DVD49"/>
      <c r="DVE49"/>
      <c r="DVF49"/>
      <c r="DVG49"/>
      <c r="DVH49"/>
      <c r="DVI49"/>
      <c r="DVJ49"/>
      <c r="DVK49"/>
      <c r="DVL49"/>
      <c r="DVM49"/>
      <c r="DVN49"/>
      <c r="DVO49"/>
      <c r="DVP49"/>
      <c r="DVQ49"/>
      <c r="DVR49"/>
      <c r="DVS49"/>
      <c r="DVT49"/>
      <c r="DVU49"/>
      <c r="DVV49"/>
      <c r="DVW49"/>
      <c r="DVX49"/>
      <c r="DVY49"/>
      <c r="DVZ49"/>
      <c r="DWA49"/>
      <c r="DWB49"/>
      <c r="DWC49"/>
      <c r="DWD49"/>
      <c r="DWE49"/>
      <c r="DWF49"/>
      <c r="DWG49"/>
      <c r="DWH49"/>
      <c r="DWI49"/>
      <c r="DWJ49"/>
      <c r="DWK49"/>
      <c r="DWL49"/>
      <c r="DWM49"/>
      <c r="DWN49"/>
      <c r="DWO49"/>
      <c r="DWP49"/>
      <c r="DWQ49"/>
      <c r="DWR49"/>
      <c r="DWS49"/>
      <c r="DWT49"/>
      <c r="DWU49"/>
      <c r="DWV49"/>
      <c r="DWW49"/>
      <c r="DWX49"/>
      <c r="DWY49"/>
      <c r="DWZ49"/>
      <c r="DXA49"/>
      <c r="DXB49"/>
      <c r="DXC49"/>
      <c r="DXD49"/>
      <c r="DXE49"/>
      <c r="DXF49"/>
      <c r="DXG49"/>
      <c r="DXH49"/>
      <c r="DXI49"/>
      <c r="DXJ49"/>
      <c r="DXK49"/>
      <c r="DXL49"/>
      <c r="DXM49"/>
      <c r="DXN49"/>
      <c r="DXO49"/>
      <c r="DXP49"/>
      <c r="DXQ49"/>
      <c r="DXR49"/>
      <c r="DXS49"/>
      <c r="DXT49"/>
      <c r="DXU49"/>
      <c r="DXV49"/>
      <c r="DXW49"/>
      <c r="DXX49"/>
      <c r="DXY49"/>
      <c r="DXZ49"/>
      <c r="DYA49"/>
      <c r="DYB49"/>
      <c r="DYC49"/>
      <c r="DYD49"/>
      <c r="DYE49"/>
      <c r="DYF49"/>
      <c r="DYG49"/>
      <c r="DYH49"/>
      <c r="DYI49"/>
      <c r="DYJ49"/>
      <c r="DYK49"/>
      <c r="DYL49"/>
      <c r="DYM49"/>
      <c r="DYN49"/>
      <c r="DYO49"/>
      <c r="DYP49"/>
      <c r="DYQ49"/>
      <c r="DYR49"/>
      <c r="DYS49"/>
      <c r="DYT49"/>
      <c r="DYU49"/>
      <c r="DYV49"/>
      <c r="DYW49"/>
      <c r="DYX49"/>
      <c r="DYY49"/>
      <c r="DYZ49"/>
      <c r="DZA49"/>
      <c r="DZB49"/>
      <c r="DZC49"/>
      <c r="DZD49"/>
      <c r="DZE49"/>
      <c r="DZF49"/>
      <c r="DZG49"/>
      <c r="DZH49"/>
      <c r="DZI49"/>
      <c r="DZJ49"/>
      <c r="DZK49"/>
      <c r="DZL49"/>
      <c r="DZM49"/>
      <c r="DZN49"/>
      <c r="DZO49"/>
      <c r="DZP49"/>
      <c r="DZQ49"/>
      <c r="DZR49"/>
      <c r="DZS49"/>
      <c r="DZT49"/>
      <c r="DZU49"/>
      <c r="DZV49"/>
      <c r="DZW49"/>
      <c r="DZX49"/>
      <c r="DZY49"/>
      <c r="DZZ49"/>
      <c r="EAA49"/>
      <c r="EAB49"/>
      <c r="EAC49"/>
      <c r="EAD49"/>
      <c r="EAE49"/>
      <c r="EAF49"/>
      <c r="EAG49"/>
      <c r="EAH49"/>
      <c r="EAI49"/>
      <c r="EAJ49"/>
      <c r="EAK49"/>
      <c r="EAL49"/>
      <c r="EAM49"/>
      <c r="EAN49"/>
      <c r="EAO49"/>
      <c r="EAP49"/>
      <c r="EAQ49"/>
      <c r="EAR49"/>
      <c r="EAS49"/>
      <c r="EAT49"/>
      <c r="EAU49"/>
      <c r="EAV49"/>
      <c r="EAW49"/>
      <c r="EAX49"/>
      <c r="EAY49"/>
      <c r="EAZ49"/>
      <c r="EBA49"/>
      <c r="EBB49"/>
      <c r="EBC49"/>
      <c r="EBD49"/>
      <c r="EBE49"/>
      <c r="EBF49"/>
      <c r="EBG49"/>
      <c r="EBH49"/>
      <c r="EBI49"/>
      <c r="EBJ49"/>
      <c r="EBK49"/>
      <c r="EBL49"/>
      <c r="EBM49"/>
      <c r="EBN49"/>
      <c r="EBO49"/>
      <c r="EBP49"/>
      <c r="EBQ49"/>
      <c r="EBR49"/>
      <c r="EBS49"/>
      <c r="EBT49"/>
      <c r="EBU49"/>
      <c r="EBV49"/>
      <c r="EBW49"/>
      <c r="EBX49"/>
      <c r="EBY49"/>
      <c r="EBZ49"/>
      <c r="ECA49"/>
      <c r="ECB49"/>
      <c r="ECC49"/>
      <c r="ECD49"/>
      <c r="ECE49"/>
      <c r="ECF49"/>
      <c r="ECG49"/>
      <c r="ECH49"/>
      <c r="ECI49"/>
      <c r="ECJ49"/>
      <c r="ECK49"/>
      <c r="ECL49"/>
      <c r="ECM49"/>
      <c r="ECN49"/>
      <c r="ECO49"/>
      <c r="ECP49"/>
      <c r="ECQ49"/>
      <c r="ECR49"/>
      <c r="ECS49"/>
      <c r="ECT49"/>
      <c r="ECU49"/>
      <c r="ECV49"/>
      <c r="ECW49"/>
      <c r="ECX49"/>
      <c r="ECY49"/>
      <c r="ECZ49"/>
      <c r="EDA49"/>
      <c r="EDB49"/>
      <c r="EDC49"/>
      <c r="EDD49"/>
      <c r="EDE49"/>
      <c r="EDF49"/>
      <c r="EDG49"/>
      <c r="EDH49"/>
      <c r="EDI49"/>
      <c r="EDJ49"/>
      <c r="EDK49"/>
      <c r="EDL49"/>
      <c r="EDM49"/>
      <c r="EDN49"/>
      <c r="EDO49"/>
      <c r="EDP49"/>
      <c r="EDQ49"/>
      <c r="EDR49"/>
      <c r="EDS49"/>
      <c r="EDT49"/>
      <c r="EDU49"/>
      <c r="EDV49"/>
      <c r="EDW49"/>
      <c r="EDX49"/>
      <c r="EDY49"/>
      <c r="EDZ49"/>
      <c r="EEA49"/>
      <c r="EEB49"/>
      <c r="EEC49"/>
      <c r="EED49"/>
      <c r="EEE49"/>
      <c r="EEF49"/>
      <c r="EEG49"/>
      <c r="EEH49"/>
      <c r="EEI49"/>
      <c r="EEJ49"/>
      <c r="EEK49"/>
      <c r="EEL49"/>
      <c r="EEM49"/>
      <c r="EEN49"/>
      <c r="EEO49"/>
      <c r="EEP49"/>
      <c r="EEQ49"/>
      <c r="EER49"/>
      <c r="EES49"/>
      <c r="EET49"/>
      <c r="EEU49"/>
      <c r="EEV49"/>
      <c r="EEW49"/>
      <c r="EEX49"/>
      <c r="EEY49"/>
      <c r="EEZ49"/>
      <c r="EFA49"/>
      <c r="EFB49"/>
      <c r="EFC49"/>
      <c r="EFD49"/>
      <c r="EFE49"/>
      <c r="EFF49"/>
      <c r="EFG49"/>
      <c r="EFH49"/>
      <c r="EFI49"/>
      <c r="EFJ49"/>
      <c r="EFK49"/>
      <c r="EFL49"/>
      <c r="EFM49"/>
      <c r="EFN49"/>
      <c r="EFO49"/>
      <c r="EFP49"/>
      <c r="EFQ49"/>
      <c r="EFR49"/>
      <c r="EFS49"/>
      <c r="EFT49"/>
      <c r="EFU49"/>
      <c r="EFV49"/>
      <c r="EFW49"/>
      <c r="EFX49"/>
      <c r="EFY49"/>
      <c r="EFZ49"/>
      <c r="EGA49"/>
      <c r="EGB49"/>
      <c r="EGC49"/>
      <c r="EGD49"/>
      <c r="EGE49"/>
      <c r="EGF49"/>
      <c r="EGG49"/>
      <c r="EGH49"/>
      <c r="EGI49"/>
      <c r="EGJ49"/>
      <c r="EGK49"/>
      <c r="EGL49"/>
      <c r="EGM49"/>
      <c r="EGN49"/>
      <c r="EGO49"/>
      <c r="EGP49"/>
      <c r="EGQ49"/>
      <c r="EGR49"/>
      <c r="EGS49"/>
      <c r="EGT49"/>
      <c r="EGU49"/>
      <c r="EGV49"/>
      <c r="EGW49"/>
      <c r="EGX49"/>
      <c r="EGY49"/>
      <c r="EGZ49"/>
      <c r="EHA49"/>
      <c r="EHB49"/>
      <c r="EHC49"/>
      <c r="EHD49"/>
      <c r="EHE49"/>
      <c r="EHF49"/>
      <c r="EHG49"/>
      <c r="EHH49"/>
      <c r="EHI49"/>
      <c r="EHJ49"/>
      <c r="EHK49"/>
      <c r="EHL49"/>
      <c r="EHM49"/>
      <c r="EHN49"/>
      <c r="EHO49"/>
      <c r="EHP49"/>
      <c r="EHQ49"/>
      <c r="EHR49"/>
      <c r="EHS49"/>
      <c r="EHT49"/>
      <c r="EHU49"/>
      <c r="EHV49"/>
      <c r="EHW49"/>
      <c r="EHX49"/>
      <c r="EHY49"/>
      <c r="EHZ49"/>
      <c r="EIA49"/>
      <c r="EIB49"/>
      <c r="EIC49"/>
      <c r="EID49"/>
      <c r="EIE49"/>
      <c r="EIF49"/>
      <c r="EIG49"/>
      <c r="EIH49"/>
      <c r="EII49"/>
      <c r="EIJ49"/>
      <c r="EIK49"/>
      <c r="EIL49"/>
      <c r="EIM49"/>
      <c r="EIN49"/>
      <c r="EIO49"/>
      <c r="EIP49"/>
      <c r="EIQ49"/>
      <c r="EIR49"/>
      <c r="EIS49"/>
      <c r="EIT49"/>
      <c r="EIU49"/>
      <c r="EIV49"/>
      <c r="EIW49"/>
      <c r="EIX49"/>
      <c r="EIY49"/>
      <c r="EIZ49"/>
      <c r="EJA49"/>
      <c r="EJB49"/>
      <c r="EJC49"/>
      <c r="EJD49"/>
      <c r="EJE49"/>
      <c r="EJF49"/>
      <c r="EJG49"/>
      <c r="EJH49"/>
      <c r="EJI49"/>
      <c r="EJJ49"/>
      <c r="EJK49"/>
      <c r="EJL49"/>
      <c r="EJM49"/>
      <c r="EJN49"/>
      <c r="EJO49"/>
      <c r="EJP49"/>
      <c r="EJQ49"/>
      <c r="EJR49"/>
      <c r="EJS49"/>
      <c r="EJT49"/>
      <c r="EJU49"/>
      <c r="EJV49"/>
      <c r="EJW49"/>
      <c r="EJX49"/>
      <c r="EJY49"/>
      <c r="EJZ49"/>
      <c r="EKA49"/>
      <c r="EKB49"/>
      <c r="EKC49"/>
      <c r="EKD49"/>
      <c r="EKE49"/>
      <c r="EKF49"/>
      <c r="EKG49"/>
      <c r="EKH49"/>
      <c r="EKI49"/>
      <c r="EKJ49"/>
      <c r="EKK49"/>
      <c r="EKL49"/>
      <c r="EKM49"/>
      <c r="EKN49"/>
      <c r="EKO49"/>
      <c r="EKP49"/>
      <c r="EKQ49"/>
      <c r="EKR49"/>
      <c r="EKS49"/>
      <c r="EKT49"/>
      <c r="EKU49"/>
      <c r="EKV49"/>
      <c r="EKW49"/>
      <c r="EKX49"/>
      <c r="EKY49"/>
      <c r="EKZ49"/>
      <c r="ELA49"/>
      <c r="ELB49"/>
      <c r="ELC49"/>
      <c r="ELD49"/>
      <c r="ELE49"/>
      <c r="ELF49"/>
      <c r="ELG49"/>
      <c r="ELH49"/>
      <c r="ELI49"/>
      <c r="ELJ49"/>
      <c r="ELK49"/>
      <c r="ELL49"/>
      <c r="ELM49"/>
      <c r="ELN49"/>
      <c r="ELO49"/>
      <c r="ELP49"/>
      <c r="ELQ49"/>
      <c r="ELR49"/>
      <c r="ELS49"/>
      <c r="ELT49"/>
      <c r="ELU49"/>
      <c r="ELV49"/>
      <c r="ELW49"/>
      <c r="ELX49"/>
      <c r="ELY49"/>
      <c r="ELZ49"/>
      <c r="EMA49"/>
      <c r="EMB49"/>
      <c r="EMC49"/>
      <c r="EMD49"/>
      <c r="EME49"/>
      <c r="EMF49"/>
      <c r="EMG49"/>
      <c r="EMH49"/>
      <c r="EMI49"/>
      <c r="EMJ49"/>
      <c r="EMK49"/>
      <c r="EML49"/>
      <c r="EMM49"/>
      <c r="EMN49"/>
      <c r="EMO49"/>
      <c r="EMP49"/>
      <c r="EMQ49"/>
      <c r="EMR49"/>
      <c r="EMS49"/>
      <c r="EMT49"/>
      <c r="EMU49"/>
      <c r="EMV49"/>
      <c r="EMW49"/>
      <c r="EMX49"/>
      <c r="EMY49"/>
      <c r="EMZ49"/>
      <c r="ENA49"/>
      <c r="ENB49"/>
      <c r="ENC49"/>
      <c r="END49"/>
      <c r="ENE49"/>
      <c r="ENF49"/>
      <c r="ENG49"/>
      <c r="ENH49"/>
      <c r="ENI49"/>
      <c r="ENJ49"/>
      <c r="ENK49"/>
      <c r="ENL49"/>
      <c r="ENM49"/>
      <c r="ENN49"/>
      <c r="ENO49"/>
      <c r="ENP49"/>
      <c r="ENQ49"/>
      <c r="ENR49"/>
      <c r="ENS49"/>
      <c r="ENT49"/>
      <c r="ENU49"/>
      <c r="ENV49"/>
      <c r="ENW49"/>
      <c r="ENX49"/>
      <c r="ENY49"/>
      <c r="ENZ49"/>
      <c r="EOA49"/>
      <c r="EOB49"/>
      <c r="EOC49"/>
      <c r="EOD49"/>
      <c r="EOE49"/>
      <c r="EOF49"/>
      <c r="EOG49"/>
      <c r="EOH49"/>
      <c r="EOI49"/>
      <c r="EOJ49"/>
      <c r="EOK49"/>
      <c r="EOL49"/>
      <c r="EOM49"/>
      <c r="EON49"/>
      <c r="EOO49"/>
      <c r="EOP49"/>
      <c r="EOQ49"/>
      <c r="EOR49"/>
      <c r="EOS49"/>
      <c r="EOT49"/>
      <c r="EOU49"/>
      <c r="EOV49"/>
      <c r="EOW49"/>
      <c r="EOX49"/>
      <c r="EOY49"/>
      <c r="EOZ49"/>
      <c r="EPA49"/>
      <c r="EPB49"/>
      <c r="EPC49"/>
      <c r="EPD49"/>
      <c r="EPE49"/>
      <c r="EPF49"/>
      <c r="EPG49"/>
      <c r="EPH49"/>
      <c r="EPI49"/>
      <c r="EPJ49"/>
      <c r="EPK49"/>
      <c r="EPL49"/>
      <c r="EPM49"/>
      <c r="EPN49"/>
      <c r="EPO49"/>
      <c r="EPP49"/>
      <c r="EPQ49"/>
      <c r="EPR49"/>
      <c r="EPS49"/>
      <c r="EPT49"/>
      <c r="EPU49"/>
      <c r="EPV49"/>
      <c r="EPW49"/>
      <c r="EPX49"/>
      <c r="EPY49"/>
      <c r="EPZ49"/>
      <c r="EQA49"/>
      <c r="EQB49"/>
      <c r="EQC49"/>
      <c r="EQD49"/>
      <c r="EQE49"/>
      <c r="EQF49"/>
      <c r="EQG49"/>
      <c r="EQH49"/>
      <c r="EQI49"/>
      <c r="EQJ49"/>
      <c r="EQK49"/>
      <c r="EQL49"/>
      <c r="EQM49"/>
      <c r="EQN49"/>
      <c r="EQO49"/>
      <c r="EQP49"/>
      <c r="EQQ49"/>
      <c r="EQR49"/>
      <c r="EQS49"/>
      <c r="EQT49"/>
      <c r="EQU49"/>
      <c r="EQV49"/>
      <c r="EQW49"/>
      <c r="EQX49"/>
      <c r="EQY49"/>
      <c r="EQZ49"/>
      <c r="ERA49"/>
      <c r="ERB49"/>
      <c r="ERC49"/>
      <c r="ERD49"/>
      <c r="ERE49"/>
      <c r="ERF49"/>
      <c r="ERG49"/>
      <c r="ERH49"/>
      <c r="ERI49"/>
      <c r="ERJ49"/>
      <c r="ERK49"/>
      <c r="ERL49"/>
      <c r="ERM49"/>
      <c r="ERN49"/>
      <c r="ERO49"/>
      <c r="ERP49"/>
      <c r="ERQ49"/>
      <c r="ERR49"/>
      <c r="ERS49"/>
      <c r="ERT49"/>
      <c r="ERU49"/>
      <c r="ERV49"/>
      <c r="ERW49"/>
      <c r="ERX49"/>
      <c r="ERY49"/>
      <c r="ERZ49"/>
      <c r="ESA49"/>
      <c r="ESB49"/>
      <c r="ESC49"/>
      <c r="ESD49"/>
      <c r="ESE49"/>
      <c r="ESF49"/>
      <c r="ESG49"/>
      <c r="ESH49"/>
      <c r="ESI49"/>
      <c r="ESJ49"/>
      <c r="ESK49"/>
      <c r="ESL49"/>
      <c r="ESM49"/>
      <c r="ESN49"/>
      <c r="ESO49"/>
      <c r="ESP49"/>
      <c r="ESQ49"/>
      <c r="ESR49"/>
      <c r="ESS49"/>
      <c r="EST49"/>
      <c r="ESU49"/>
      <c r="ESV49"/>
      <c r="ESW49"/>
      <c r="ESX49"/>
      <c r="ESY49"/>
      <c r="ESZ49"/>
      <c r="ETA49"/>
      <c r="ETB49"/>
      <c r="ETC49"/>
      <c r="ETD49"/>
      <c r="ETE49"/>
      <c r="ETF49"/>
      <c r="ETG49"/>
      <c r="ETH49"/>
      <c r="ETI49"/>
      <c r="ETJ49"/>
      <c r="ETK49"/>
      <c r="ETL49"/>
      <c r="ETM49"/>
      <c r="ETN49"/>
      <c r="ETO49"/>
      <c r="ETP49"/>
      <c r="ETQ49"/>
      <c r="ETR49"/>
      <c r="ETS49"/>
      <c r="ETT49"/>
      <c r="ETU49"/>
      <c r="ETV49"/>
      <c r="ETW49"/>
      <c r="ETX49"/>
      <c r="ETY49"/>
      <c r="ETZ49"/>
      <c r="EUA49"/>
      <c r="EUB49"/>
      <c r="EUC49"/>
      <c r="EUD49"/>
      <c r="EUE49"/>
      <c r="EUF49"/>
      <c r="EUG49"/>
      <c r="EUH49"/>
      <c r="EUI49"/>
      <c r="EUJ49"/>
      <c r="EUK49"/>
      <c r="EUL49"/>
      <c r="EUM49"/>
      <c r="EUN49"/>
      <c r="EUO49"/>
      <c r="EUP49"/>
      <c r="EUQ49"/>
      <c r="EUR49"/>
      <c r="EUS49"/>
      <c r="EUT49"/>
      <c r="EUU49"/>
      <c r="EUV49"/>
      <c r="EUW49"/>
      <c r="EUX49"/>
      <c r="EUY49"/>
      <c r="EUZ49"/>
      <c r="EVA49"/>
      <c r="EVB49"/>
      <c r="EVC49"/>
      <c r="EVD49"/>
      <c r="EVE49"/>
      <c r="EVF49"/>
      <c r="EVG49"/>
      <c r="EVH49"/>
      <c r="EVI49"/>
      <c r="EVJ49"/>
      <c r="EVK49"/>
      <c r="EVL49"/>
      <c r="EVM49"/>
      <c r="EVN49"/>
      <c r="EVO49"/>
      <c r="EVP49"/>
      <c r="EVQ49"/>
      <c r="EVR49"/>
      <c r="EVS49"/>
      <c r="EVT49"/>
      <c r="EVU49"/>
      <c r="EVV49"/>
      <c r="EVW49"/>
      <c r="EVX49"/>
      <c r="EVY49"/>
      <c r="EVZ49"/>
      <c r="EWA49"/>
      <c r="EWB49"/>
      <c r="EWC49"/>
      <c r="EWD49"/>
      <c r="EWE49"/>
      <c r="EWF49"/>
      <c r="EWG49"/>
      <c r="EWH49"/>
      <c r="EWI49"/>
      <c r="EWJ49"/>
      <c r="EWK49"/>
      <c r="EWL49"/>
      <c r="EWM49"/>
      <c r="EWN49"/>
      <c r="EWO49"/>
      <c r="EWP49"/>
      <c r="EWQ49"/>
      <c r="EWR49"/>
      <c r="EWS49"/>
      <c r="EWT49"/>
      <c r="EWU49"/>
      <c r="EWV49"/>
      <c r="EWW49"/>
      <c r="EWX49"/>
      <c r="EWY49"/>
      <c r="EWZ49"/>
      <c r="EXA49"/>
      <c r="EXB49"/>
      <c r="EXC49"/>
      <c r="EXD49"/>
      <c r="EXE49"/>
      <c r="EXF49"/>
      <c r="EXG49"/>
      <c r="EXH49"/>
      <c r="EXI49"/>
      <c r="EXJ49"/>
      <c r="EXK49"/>
      <c r="EXL49"/>
      <c r="EXM49"/>
      <c r="EXN49"/>
      <c r="EXO49"/>
      <c r="EXP49"/>
      <c r="EXQ49"/>
      <c r="EXR49"/>
      <c r="EXS49"/>
      <c r="EXT49"/>
      <c r="EXU49"/>
      <c r="EXV49"/>
      <c r="EXW49"/>
      <c r="EXX49"/>
      <c r="EXY49"/>
      <c r="EXZ49"/>
      <c r="EYA49"/>
      <c r="EYB49"/>
      <c r="EYC49"/>
      <c r="EYD49"/>
      <c r="EYE49"/>
      <c r="EYF49"/>
      <c r="EYG49"/>
      <c r="EYH49"/>
      <c r="EYI49"/>
      <c r="EYJ49"/>
      <c r="EYK49"/>
      <c r="EYL49"/>
      <c r="EYM49"/>
      <c r="EYN49"/>
      <c r="EYO49"/>
      <c r="EYP49"/>
      <c r="EYQ49"/>
      <c r="EYR49"/>
      <c r="EYS49"/>
      <c r="EYT49"/>
      <c r="EYU49"/>
      <c r="EYV49"/>
      <c r="EYW49"/>
      <c r="EYX49"/>
      <c r="EYY49"/>
      <c r="EYZ49"/>
      <c r="EZA49"/>
      <c r="EZB49"/>
      <c r="EZC49"/>
      <c r="EZD49"/>
      <c r="EZE49"/>
      <c r="EZF49"/>
      <c r="EZG49"/>
      <c r="EZH49"/>
      <c r="EZI49"/>
      <c r="EZJ49"/>
      <c r="EZK49"/>
      <c r="EZL49"/>
      <c r="EZM49"/>
      <c r="EZN49"/>
      <c r="EZO49"/>
      <c r="EZP49"/>
      <c r="EZQ49"/>
      <c r="EZR49"/>
      <c r="EZS49"/>
      <c r="EZT49"/>
      <c r="EZU49"/>
      <c r="EZV49"/>
      <c r="EZW49"/>
      <c r="EZX49"/>
      <c r="EZY49"/>
      <c r="EZZ49"/>
      <c r="FAA49"/>
      <c r="FAB49"/>
      <c r="FAC49"/>
      <c r="FAD49"/>
      <c r="FAE49"/>
      <c r="FAF49"/>
      <c r="FAG49"/>
      <c r="FAH49"/>
      <c r="FAI49"/>
      <c r="FAJ49"/>
      <c r="FAK49"/>
      <c r="FAL49"/>
      <c r="FAM49"/>
      <c r="FAN49"/>
      <c r="FAO49"/>
      <c r="FAP49"/>
      <c r="FAQ49"/>
      <c r="FAR49"/>
      <c r="FAS49"/>
      <c r="FAT49"/>
      <c r="FAU49"/>
      <c r="FAV49"/>
      <c r="FAW49"/>
      <c r="FAX49"/>
      <c r="FAY49"/>
      <c r="FAZ49"/>
      <c r="FBA49"/>
      <c r="FBB49"/>
      <c r="FBC49"/>
      <c r="FBD49"/>
      <c r="FBE49"/>
      <c r="FBF49"/>
      <c r="FBG49"/>
      <c r="FBH49"/>
      <c r="FBI49"/>
      <c r="FBJ49"/>
      <c r="FBK49"/>
      <c r="FBL49"/>
      <c r="FBM49"/>
      <c r="FBN49"/>
      <c r="FBO49"/>
      <c r="FBP49"/>
      <c r="FBQ49"/>
      <c r="FBR49"/>
      <c r="FBS49"/>
      <c r="FBT49"/>
      <c r="FBU49"/>
      <c r="FBV49"/>
      <c r="FBW49"/>
      <c r="FBX49"/>
      <c r="FBY49"/>
      <c r="FBZ49"/>
      <c r="FCA49"/>
      <c r="FCB49"/>
      <c r="FCC49"/>
      <c r="FCD49"/>
      <c r="FCE49"/>
      <c r="FCF49"/>
      <c r="FCG49"/>
      <c r="FCH49"/>
      <c r="FCI49"/>
      <c r="FCJ49"/>
      <c r="FCK49"/>
      <c r="FCL49"/>
      <c r="FCM49"/>
      <c r="FCN49"/>
      <c r="FCO49"/>
      <c r="FCP49"/>
      <c r="FCQ49"/>
      <c r="FCR49"/>
      <c r="FCS49"/>
      <c r="FCT49"/>
      <c r="FCU49"/>
      <c r="FCV49"/>
      <c r="FCW49"/>
      <c r="FCX49"/>
      <c r="FCY49"/>
      <c r="FCZ49"/>
      <c r="FDA49"/>
      <c r="FDB49"/>
      <c r="FDC49"/>
      <c r="FDD49"/>
      <c r="FDE49"/>
      <c r="FDF49"/>
      <c r="FDG49"/>
      <c r="FDH49"/>
      <c r="FDI49"/>
      <c r="FDJ49"/>
      <c r="FDK49"/>
      <c r="FDL49"/>
      <c r="FDM49"/>
      <c r="FDN49"/>
      <c r="FDO49"/>
      <c r="FDP49"/>
      <c r="FDQ49"/>
      <c r="FDR49"/>
      <c r="FDS49"/>
      <c r="FDT49"/>
      <c r="FDU49"/>
      <c r="FDV49"/>
      <c r="FDW49"/>
      <c r="FDX49"/>
      <c r="FDY49"/>
      <c r="FDZ49"/>
      <c r="FEA49"/>
      <c r="FEB49"/>
      <c r="FEC49"/>
      <c r="FED49"/>
      <c r="FEE49"/>
      <c r="FEF49"/>
      <c r="FEG49"/>
      <c r="FEH49"/>
      <c r="FEI49"/>
      <c r="FEJ49"/>
      <c r="FEK49"/>
      <c r="FEL49"/>
      <c r="FEM49"/>
      <c r="FEN49"/>
      <c r="FEO49"/>
      <c r="FEP49"/>
      <c r="FEQ49"/>
      <c r="FER49"/>
      <c r="FES49"/>
      <c r="FET49"/>
      <c r="FEU49"/>
      <c r="FEV49"/>
      <c r="FEW49"/>
      <c r="FEX49"/>
      <c r="FEY49"/>
      <c r="FEZ49"/>
      <c r="FFA49"/>
      <c r="FFB49"/>
      <c r="FFC49"/>
      <c r="FFD49"/>
      <c r="FFE49"/>
      <c r="FFF49"/>
      <c r="FFG49"/>
      <c r="FFH49"/>
      <c r="FFI49"/>
      <c r="FFJ49"/>
      <c r="FFK49"/>
      <c r="FFL49"/>
      <c r="FFM49"/>
      <c r="FFN49"/>
      <c r="FFO49"/>
      <c r="FFP49"/>
      <c r="FFQ49"/>
      <c r="FFR49"/>
      <c r="FFS49"/>
      <c r="FFT49"/>
      <c r="FFU49"/>
      <c r="FFV49"/>
      <c r="FFW49"/>
      <c r="FFX49"/>
      <c r="FFY49"/>
      <c r="FFZ49"/>
      <c r="FGA49"/>
      <c r="FGB49"/>
      <c r="FGC49"/>
      <c r="FGD49"/>
      <c r="FGE49"/>
      <c r="FGF49"/>
      <c r="FGG49"/>
      <c r="FGH49"/>
      <c r="FGI49"/>
      <c r="FGJ49"/>
      <c r="FGK49"/>
      <c r="FGL49"/>
      <c r="FGM49"/>
      <c r="FGN49"/>
      <c r="FGO49"/>
      <c r="FGP49"/>
      <c r="FGQ49"/>
      <c r="FGR49"/>
      <c r="FGS49"/>
      <c r="FGT49"/>
      <c r="FGU49"/>
      <c r="FGV49"/>
      <c r="FGW49"/>
      <c r="FGX49"/>
      <c r="FGY49"/>
      <c r="FGZ49"/>
      <c r="FHA49"/>
      <c r="FHB49"/>
      <c r="FHC49"/>
      <c r="FHD49"/>
      <c r="FHE49"/>
      <c r="FHF49"/>
      <c r="FHG49"/>
      <c r="FHH49"/>
      <c r="FHI49"/>
      <c r="FHJ49"/>
      <c r="FHK49"/>
      <c r="FHL49"/>
      <c r="FHM49"/>
      <c r="FHN49"/>
      <c r="FHO49"/>
      <c r="FHP49"/>
      <c r="FHQ49"/>
      <c r="FHR49"/>
      <c r="FHS49"/>
      <c r="FHT49"/>
      <c r="FHU49"/>
      <c r="FHV49"/>
      <c r="FHW49"/>
      <c r="FHX49"/>
      <c r="FHY49"/>
      <c r="FHZ49"/>
      <c r="FIA49"/>
      <c r="FIB49"/>
      <c r="FIC49"/>
      <c r="FID49"/>
      <c r="FIE49"/>
      <c r="FIF49"/>
      <c r="FIG49"/>
      <c r="FIH49"/>
      <c r="FII49"/>
      <c r="FIJ49"/>
      <c r="FIK49"/>
      <c r="FIL49"/>
      <c r="FIM49"/>
      <c r="FIN49"/>
      <c r="FIO49"/>
      <c r="FIP49"/>
      <c r="FIQ49"/>
      <c r="FIR49"/>
      <c r="FIS49"/>
      <c r="FIT49"/>
      <c r="FIU49"/>
      <c r="FIV49"/>
      <c r="FIW49"/>
      <c r="FIX49"/>
      <c r="FIY49"/>
      <c r="FIZ49"/>
      <c r="FJA49"/>
      <c r="FJB49"/>
      <c r="FJC49"/>
      <c r="FJD49"/>
      <c r="FJE49"/>
      <c r="FJF49"/>
      <c r="FJG49"/>
      <c r="FJH49"/>
      <c r="FJI49"/>
      <c r="FJJ49"/>
      <c r="FJK49"/>
      <c r="FJL49"/>
      <c r="FJM49"/>
      <c r="FJN49"/>
      <c r="FJO49"/>
      <c r="FJP49"/>
      <c r="FJQ49"/>
      <c r="FJR49"/>
      <c r="FJS49"/>
      <c r="FJT49"/>
      <c r="FJU49"/>
      <c r="FJV49"/>
      <c r="FJW49"/>
      <c r="FJX49"/>
      <c r="FJY49"/>
      <c r="FJZ49"/>
      <c r="FKA49"/>
      <c r="FKB49"/>
      <c r="FKC49"/>
      <c r="FKD49"/>
      <c r="FKE49"/>
      <c r="FKF49"/>
      <c r="FKG49"/>
      <c r="FKH49"/>
      <c r="FKI49"/>
      <c r="FKJ49"/>
      <c r="FKK49"/>
      <c r="FKL49"/>
      <c r="FKM49"/>
      <c r="FKN49"/>
      <c r="FKO49"/>
      <c r="FKP49"/>
      <c r="FKQ49"/>
      <c r="FKR49"/>
      <c r="FKS49"/>
      <c r="FKT49"/>
      <c r="FKU49"/>
      <c r="FKV49"/>
      <c r="FKW49"/>
      <c r="FKX49"/>
      <c r="FKY49"/>
      <c r="FKZ49"/>
      <c r="FLA49"/>
      <c r="FLB49"/>
      <c r="FLC49"/>
      <c r="FLD49"/>
      <c r="FLE49"/>
      <c r="FLF49"/>
      <c r="FLG49"/>
      <c r="FLH49"/>
      <c r="FLI49"/>
      <c r="FLJ49"/>
      <c r="FLK49"/>
      <c r="FLL49"/>
      <c r="FLM49"/>
      <c r="FLN49"/>
      <c r="FLO49"/>
      <c r="FLP49"/>
      <c r="FLQ49"/>
      <c r="FLR49"/>
      <c r="FLS49"/>
      <c r="FLT49"/>
      <c r="FLU49"/>
      <c r="FLV49"/>
      <c r="FLW49"/>
      <c r="FLX49"/>
      <c r="FLY49"/>
      <c r="FLZ49"/>
      <c r="FMA49"/>
      <c r="FMB49"/>
      <c r="FMC49"/>
      <c r="FMD49"/>
      <c r="FME49"/>
      <c r="FMF49"/>
      <c r="FMG49"/>
      <c r="FMH49"/>
      <c r="FMI49"/>
      <c r="FMJ49"/>
      <c r="FMK49"/>
      <c r="FML49"/>
      <c r="FMM49"/>
      <c r="FMN49"/>
      <c r="FMO49"/>
      <c r="FMP49"/>
      <c r="FMQ49"/>
      <c r="FMR49"/>
      <c r="FMS49"/>
      <c r="FMT49"/>
      <c r="FMU49"/>
      <c r="FMV49"/>
      <c r="FMW49"/>
      <c r="FMX49"/>
      <c r="FMY49"/>
      <c r="FMZ49"/>
      <c r="FNA49"/>
      <c r="FNB49"/>
      <c r="FNC49"/>
      <c r="FND49"/>
      <c r="FNE49"/>
      <c r="FNF49"/>
      <c r="FNG49"/>
      <c r="FNH49"/>
      <c r="FNI49"/>
      <c r="FNJ49"/>
      <c r="FNK49"/>
      <c r="FNL49"/>
      <c r="FNM49"/>
      <c r="FNN49"/>
      <c r="FNO49"/>
      <c r="FNP49"/>
      <c r="FNQ49"/>
      <c r="FNR49"/>
      <c r="FNS49"/>
      <c r="FNT49"/>
      <c r="FNU49"/>
      <c r="FNV49"/>
      <c r="FNW49"/>
      <c r="FNX49"/>
      <c r="FNY49"/>
      <c r="FNZ49"/>
      <c r="FOA49"/>
      <c r="FOB49"/>
      <c r="FOC49"/>
      <c r="FOD49"/>
      <c r="FOE49"/>
      <c r="FOF49"/>
      <c r="FOG49"/>
      <c r="FOH49"/>
      <c r="FOI49"/>
      <c r="FOJ49"/>
      <c r="FOK49"/>
      <c r="FOL49"/>
      <c r="FOM49"/>
      <c r="FON49"/>
      <c r="FOO49"/>
      <c r="FOP49"/>
      <c r="FOQ49"/>
      <c r="FOR49"/>
      <c r="FOS49"/>
      <c r="FOT49"/>
      <c r="FOU49"/>
      <c r="FOV49"/>
      <c r="FOW49"/>
      <c r="FOX49"/>
      <c r="FOY49"/>
      <c r="FOZ49"/>
      <c r="FPA49"/>
      <c r="FPB49"/>
      <c r="FPC49"/>
      <c r="FPD49"/>
      <c r="FPE49"/>
      <c r="FPF49"/>
      <c r="FPG49"/>
      <c r="FPH49"/>
      <c r="FPI49"/>
      <c r="FPJ49"/>
      <c r="FPK49"/>
      <c r="FPL49"/>
      <c r="FPM49"/>
      <c r="FPN49"/>
      <c r="FPO49"/>
      <c r="FPP49"/>
      <c r="FPQ49"/>
      <c r="FPR49"/>
      <c r="FPS49"/>
      <c r="FPT49"/>
      <c r="FPU49"/>
      <c r="FPV49"/>
      <c r="FPW49"/>
      <c r="FPX49"/>
      <c r="FPY49"/>
      <c r="FPZ49"/>
      <c r="FQA49"/>
      <c r="FQB49"/>
      <c r="FQC49"/>
      <c r="FQD49"/>
      <c r="FQE49"/>
      <c r="FQF49"/>
      <c r="FQG49"/>
      <c r="FQH49"/>
      <c r="FQI49"/>
      <c r="FQJ49"/>
      <c r="FQK49"/>
      <c r="FQL49"/>
      <c r="FQM49"/>
      <c r="FQN49"/>
      <c r="FQO49"/>
      <c r="FQP49"/>
      <c r="FQQ49"/>
      <c r="FQR49"/>
      <c r="FQS49"/>
      <c r="FQT49"/>
      <c r="FQU49"/>
      <c r="FQV49"/>
      <c r="FQW49"/>
      <c r="FQX49"/>
      <c r="FQY49"/>
      <c r="FQZ49"/>
      <c r="FRA49"/>
      <c r="FRB49"/>
      <c r="FRC49"/>
      <c r="FRD49"/>
      <c r="FRE49"/>
      <c r="FRF49"/>
      <c r="FRG49"/>
      <c r="FRH49"/>
      <c r="FRI49"/>
      <c r="FRJ49"/>
      <c r="FRK49"/>
      <c r="FRL49"/>
      <c r="FRM49"/>
      <c r="FRN49"/>
      <c r="FRO49"/>
      <c r="FRP49"/>
      <c r="FRQ49"/>
      <c r="FRR49"/>
      <c r="FRS49"/>
      <c r="FRT49"/>
      <c r="FRU49"/>
      <c r="FRV49"/>
      <c r="FRW49"/>
      <c r="FRX49"/>
      <c r="FRY49"/>
      <c r="FRZ49"/>
      <c r="FSA49"/>
      <c r="FSB49"/>
      <c r="FSC49"/>
      <c r="FSD49"/>
      <c r="FSE49"/>
      <c r="FSF49"/>
      <c r="FSG49"/>
      <c r="FSH49"/>
      <c r="FSI49"/>
      <c r="FSJ49"/>
      <c r="FSK49"/>
      <c r="FSL49"/>
      <c r="FSM49"/>
      <c r="FSN49"/>
      <c r="FSO49"/>
      <c r="FSP49"/>
      <c r="FSQ49"/>
      <c r="FSR49"/>
      <c r="FSS49"/>
      <c r="FST49"/>
      <c r="FSU49"/>
      <c r="FSV49"/>
      <c r="FSW49"/>
      <c r="FSX49"/>
      <c r="FSY49"/>
      <c r="FSZ49"/>
      <c r="FTA49"/>
      <c r="FTB49"/>
      <c r="FTC49"/>
      <c r="FTD49"/>
      <c r="FTE49"/>
      <c r="FTF49"/>
      <c r="FTG49"/>
      <c r="FTH49"/>
      <c r="FTI49"/>
      <c r="FTJ49"/>
      <c r="FTK49"/>
      <c r="FTL49"/>
      <c r="FTM49"/>
      <c r="FTN49"/>
      <c r="FTO49"/>
      <c r="FTP49"/>
      <c r="FTQ49"/>
      <c r="FTR49"/>
      <c r="FTS49"/>
      <c r="FTT49"/>
      <c r="FTU49"/>
      <c r="FTV49"/>
      <c r="FTW49"/>
      <c r="FTX49"/>
      <c r="FTY49"/>
      <c r="FTZ49"/>
      <c r="FUA49"/>
      <c r="FUB49"/>
      <c r="FUC49"/>
      <c r="FUD49"/>
      <c r="FUE49"/>
      <c r="FUF49"/>
      <c r="FUG49"/>
      <c r="FUH49"/>
      <c r="FUI49"/>
      <c r="FUJ49"/>
      <c r="FUK49"/>
      <c r="FUL49"/>
      <c r="FUM49"/>
      <c r="FUN49"/>
      <c r="FUO49"/>
      <c r="FUP49"/>
      <c r="FUQ49"/>
      <c r="FUR49"/>
      <c r="FUS49"/>
      <c r="FUT49"/>
      <c r="FUU49"/>
      <c r="FUV49"/>
      <c r="FUW49"/>
      <c r="FUX49"/>
      <c r="FUY49"/>
      <c r="FUZ49"/>
      <c r="FVA49"/>
      <c r="FVB49"/>
      <c r="FVC49"/>
      <c r="FVD49"/>
      <c r="FVE49"/>
      <c r="FVF49"/>
      <c r="FVG49"/>
      <c r="FVH49"/>
      <c r="FVI49"/>
      <c r="FVJ49"/>
      <c r="FVK49"/>
      <c r="FVL49"/>
      <c r="FVM49"/>
      <c r="FVN49"/>
      <c r="FVO49"/>
      <c r="FVP49"/>
      <c r="FVQ49"/>
      <c r="FVR49"/>
      <c r="FVS49"/>
      <c r="FVT49"/>
      <c r="FVU49"/>
      <c r="FVV49"/>
      <c r="FVW49"/>
      <c r="FVX49"/>
      <c r="FVY49"/>
      <c r="FVZ49"/>
      <c r="FWA49"/>
      <c r="FWB49"/>
      <c r="FWC49"/>
      <c r="FWD49"/>
      <c r="FWE49"/>
      <c r="FWF49"/>
      <c r="FWG49"/>
      <c r="FWH49"/>
      <c r="FWI49"/>
      <c r="FWJ49"/>
      <c r="FWK49"/>
      <c r="FWL49"/>
      <c r="FWM49"/>
      <c r="FWN49"/>
      <c r="FWO49"/>
      <c r="FWP49"/>
      <c r="FWQ49"/>
      <c r="FWR49"/>
      <c r="FWS49"/>
      <c r="FWT49"/>
      <c r="FWU49"/>
      <c r="FWV49"/>
      <c r="FWW49"/>
      <c r="FWX49"/>
      <c r="FWY49"/>
      <c r="FWZ49"/>
      <c r="FXA49"/>
      <c r="FXB49"/>
      <c r="FXC49"/>
      <c r="FXD49"/>
      <c r="FXE49"/>
      <c r="FXF49"/>
      <c r="FXG49"/>
      <c r="FXH49"/>
      <c r="FXI49"/>
      <c r="FXJ49"/>
      <c r="FXK49"/>
      <c r="FXL49"/>
      <c r="FXM49"/>
      <c r="FXN49"/>
      <c r="FXO49"/>
      <c r="FXP49"/>
      <c r="FXQ49"/>
      <c r="FXR49"/>
      <c r="FXS49"/>
      <c r="FXT49"/>
      <c r="FXU49"/>
      <c r="FXV49"/>
      <c r="FXW49"/>
      <c r="FXX49"/>
      <c r="FXY49"/>
      <c r="FXZ49"/>
      <c r="FYA49"/>
      <c r="FYB49"/>
      <c r="FYC49"/>
      <c r="FYD49"/>
      <c r="FYE49"/>
      <c r="FYF49"/>
      <c r="FYG49"/>
      <c r="FYH49"/>
      <c r="FYI49"/>
      <c r="FYJ49"/>
      <c r="FYK49"/>
      <c r="FYL49"/>
      <c r="FYM49"/>
      <c r="FYN49"/>
      <c r="FYO49"/>
      <c r="FYP49"/>
      <c r="FYQ49"/>
      <c r="FYR49"/>
      <c r="FYS49"/>
      <c r="FYT49"/>
      <c r="FYU49"/>
      <c r="FYV49"/>
      <c r="FYW49"/>
      <c r="FYX49"/>
      <c r="FYY49"/>
      <c r="FYZ49"/>
      <c r="FZA49"/>
      <c r="FZB49"/>
      <c r="FZC49"/>
      <c r="FZD49"/>
      <c r="FZE49"/>
      <c r="FZF49"/>
      <c r="FZG49"/>
      <c r="FZH49"/>
      <c r="FZI49"/>
      <c r="FZJ49"/>
      <c r="FZK49"/>
      <c r="FZL49"/>
      <c r="FZM49"/>
      <c r="FZN49"/>
      <c r="FZO49"/>
      <c r="FZP49"/>
      <c r="FZQ49"/>
      <c r="FZR49"/>
      <c r="FZS49"/>
      <c r="FZT49"/>
      <c r="FZU49"/>
      <c r="FZV49"/>
      <c r="FZW49"/>
      <c r="FZX49"/>
      <c r="FZY49"/>
      <c r="FZZ49"/>
      <c r="GAA49"/>
      <c r="GAB49"/>
      <c r="GAC49"/>
      <c r="GAD49"/>
      <c r="GAE49"/>
      <c r="GAF49"/>
      <c r="GAG49"/>
      <c r="GAH49"/>
      <c r="GAI49"/>
      <c r="GAJ49"/>
      <c r="GAK49"/>
      <c r="GAL49"/>
      <c r="GAM49"/>
      <c r="GAN49"/>
      <c r="GAO49"/>
      <c r="GAP49"/>
      <c r="GAQ49"/>
      <c r="GAR49"/>
      <c r="GAS49"/>
      <c r="GAT49"/>
      <c r="GAU49"/>
      <c r="GAV49"/>
      <c r="GAW49"/>
      <c r="GAX49"/>
      <c r="GAY49"/>
      <c r="GAZ49"/>
      <c r="GBA49"/>
      <c r="GBB49"/>
      <c r="GBC49"/>
      <c r="GBD49"/>
      <c r="GBE49"/>
      <c r="GBF49"/>
      <c r="GBG49"/>
      <c r="GBH49"/>
      <c r="GBI49"/>
      <c r="GBJ49"/>
      <c r="GBK49"/>
      <c r="GBL49"/>
      <c r="GBM49"/>
      <c r="GBN49"/>
      <c r="GBO49"/>
      <c r="GBP49"/>
      <c r="GBQ49"/>
      <c r="GBR49"/>
      <c r="GBS49"/>
      <c r="GBT49"/>
      <c r="GBU49"/>
      <c r="GBV49"/>
      <c r="GBW49"/>
      <c r="GBX49"/>
      <c r="GBY49"/>
      <c r="GBZ49"/>
      <c r="GCA49"/>
      <c r="GCB49"/>
      <c r="GCC49"/>
      <c r="GCD49"/>
      <c r="GCE49"/>
      <c r="GCF49"/>
      <c r="GCG49"/>
      <c r="GCH49"/>
      <c r="GCI49"/>
      <c r="GCJ49"/>
      <c r="GCK49"/>
      <c r="GCL49"/>
      <c r="GCM49"/>
      <c r="GCN49"/>
      <c r="GCO49"/>
      <c r="GCP49"/>
      <c r="GCQ49"/>
      <c r="GCR49"/>
      <c r="GCS49"/>
      <c r="GCT49"/>
      <c r="GCU49"/>
      <c r="GCV49"/>
      <c r="GCW49"/>
      <c r="GCX49"/>
      <c r="GCY49"/>
      <c r="GCZ49"/>
      <c r="GDA49"/>
      <c r="GDB49"/>
      <c r="GDC49"/>
      <c r="GDD49"/>
      <c r="GDE49"/>
      <c r="GDF49"/>
      <c r="GDG49"/>
      <c r="GDH49"/>
      <c r="GDI49"/>
      <c r="GDJ49"/>
      <c r="GDK49"/>
      <c r="GDL49"/>
      <c r="GDM49"/>
      <c r="GDN49"/>
      <c r="GDO49"/>
      <c r="GDP49"/>
      <c r="GDQ49"/>
      <c r="GDR49"/>
      <c r="GDS49"/>
      <c r="GDT49"/>
      <c r="GDU49"/>
      <c r="GDV49"/>
      <c r="GDW49"/>
      <c r="GDX49"/>
      <c r="GDY49"/>
      <c r="GDZ49"/>
      <c r="GEA49"/>
      <c r="GEB49"/>
      <c r="GEC49"/>
      <c r="GED49"/>
      <c r="GEE49"/>
      <c r="GEF49"/>
      <c r="GEG49"/>
      <c r="GEH49"/>
      <c r="GEI49"/>
      <c r="GEJ49"/>
      <c r="GEK49"/>
      <c r="GEL49"/>
      <c r="GEM49"/>
      <c r="GEN49"/>
      <c r="GEO49"/>
      <c r="GEP49"/>
      <c r="GEQ49"/>
      <c r="GER49"/>
      <c r="GES49"/>
      <c r="GET49"/>
      <c r="GEU49"/>
      <c r="GEV49"/>
      <c r="GEW49"/>
      <c r="GEX49"/>
      <c r="GEY49"/>
      <c r="GEZ49"/>
      <c r="GFA49"/>
      <c r="GFB49"/>
      <c r="GFC49"/>
      <c r="GFD49"/>
      <c r="GFE49"/>
      <c r="GFF49"/>
      <c r="GFG49"/>
      <c r="GFH49"/>
      <c r="GFI49"/>
      <c r="GFJ49"/>
      <c r="GFK49"/>
      <c r="GFL49"/>
      <c r="GFM49"/>
      <c r="GFN49"/>
      <c r="GFO49"/>
      <c r="GFP49"/>
      <c r="GFQ49"/>
      <c r="GFR49"/>
      <c r="GFS49"/>
      <c r="GFT49"/>
      <c r="GFU49"/>
      <c r="GFV49"/>
      <c r="GFW49"/>
      <c r="GFX49"/>
      <c r="GFY49"/>
      <c r="GFZ49"/>
      <c r="GGA49"/>
      <c r="GGB49"/>
      <c r="GGC49"/>
      <c r="GGD49"/>
      <c r="GGE49"/>
      <c r="GGF49"/>
      <c r="GGG49"/>
      <c r="GGH49"/>
      <c r="GGI49"/>
      <c r="GGJ49"/>
      <c r="GGK49"/>
      <c r="GGL49"/>
      <c r="GGM49"/>
      <c r="GGN49"/>
      <c r="GGO49"/>
      <c r="GGP49"/>
      <c r="GGQ49"/>
      <c r="GGR49"/>
      <c r="GGS49"/>
      <c r="GGT49"/>
      <c r="GGU49"/>
      <c r="GGV49"/>
      <c r="GGW49"/>
      <c r="GGX49"/>
      <c r="GGY49"/>
      <c r="GGZ49"/>
      <c r="GHA49"/>
      <c r="GHB49"/>
      <c r="GHC49"/>
      <c r="GHD49"/>
      <c r="GHE49"/>
      <c r="GHF49"/>
      <c r="GHG49"/>
      <c r="GHH49"/>
      <c r="GHI49"/>
      <c r="GHJ49"/>
      <c r="GHK49"/>
      <c r="GHL49"/>
      <c r="GHM49"/>
      <c r="GHN49"/>
      <c r="GHO49"/>
      <c r="GHP49"/>
      <c r="GHQ49"/>
      <c r="GHR49"/>
      <c r="GHS49"/>
      <c r="GHT49"/>
      <c r="GHU49"/>
      <c r="GHV49"/>
      <c r="GHW49"/>
      <c r="GHX49"/>
      <c r="GHY49"/>
      <c r="GHZ49"/>
      <c r="GIA49"/>
      <c r="GIB49"/>
      <c r="GIC49"/>
      <c r="GID49"/>
      <c r="GIE49"/>
      <c r="GIF49"/>
      <c r="GIG49"/>
      <c r="GIH49"/>
      <c r="GII49"/>
      <c r="GIJ49"/>
      <c r="GIK49"/>
      <c r="GIL49"/>
      <c r="GIM49"/>
      <c r="GIN49"/>
      <c r="GIO49"/>
      <c r="GIP49"/>
      <c r="GIQ49"/>
      <c r="GIR49"/>
      <c r="GIS49"/>
      <c r="GIT49"/>
      <c r="GIU49"/>
      <c r="GIV49"/>
      <c r="GIW49"/>
      <c r="GIX49"/>
      <c r="GIY49"/>
      <c r="GIZ49"/>
      <c r="GJA49"/>
      <c r="GJB49"/>
      <c r="GJC49"/>
      <c r="GJD49"/>
      <c r="GJE49"/>
      <c r="GJF49"/>
      <c r="GJG49"/>
      <c r="GJH49"/>
      <c r="GJI49"/>
      <c r="GJJ49"/>
      <c r="GJK49"/>
      <c r="GJL49"/>
      <c r="GJM49"/>
      <c r="GJN49"/>
      <c r="GJO49"/>
      <c r="GJP49"/>
      <c r="GJQ49"/>
      <c r="GJR49"/>
      <c r="GJS49"/>
      <c r="GJT49"/>
      <c r="GJU49"/>
      <c r="GJV49"/>
      <c r="GJW49"/>
      <c r="GJX49"/>
      <c r="GJY49"/>
      <c r="GJZ49"/>
      <c r="GKA49"/>
      <c r="GKB49"/>
      <c r="GKC49"/>
      <c r="GKD49"/>
      <c r="GKE49"/>
      <c r="GKF49"/>
      <c r="GKG49"/>
      <c r="GKH49"/>
      <c r="GKI49"/>
      <c r="GKJ49"/>
      <c r="GKK49"/>
      <c r="GKL49"/>
      <c r="GKM49"/>
      <c r="GKN49"/>
      <c r="GKO49"/>
      <c r="GKP49"/>
      <c r="GKQ49"/>
      <c r="GKR49"/>
      <c r="GKS49"/>
      <c r="GKT49"/>
      <c r="GKU49"/>
      <c r="GKV49"/>
      <c r="GKW49"/>
      <c r="GKX49"/>
      <c r="GKY49"/>
      <c r="GKZ49"/>
      <c r="GLA49"/>
      <c r="GLB49"/>
      <c r="GLC49"/>
      <c r="GLD49"/>
      <c r="GLE49"/>
      <c r="GLF49"/>
      <c r="GLG49"/>
      <c r="GLH49"/>
      <c r="GLI49"/>
      <c r="GLJ49"/>
      <c r="GLK49"/>
      <c r="GLL49"/>
      <c r="GLM49"/>
      <c r="GLN49"/>
      <c r="GLO49"/>
      <c r="GLP49"/>
      <c r="GLQ49"/>
      <c r="GLR49"/>
      <c r="GLS49"/>
      <c r="GLT49"/>
      <c r="GLU49"/>
      <c r="GLV49"/>
      <c r="GLW49"/>
      <c r="GLX49"/>
      <c r="GLY49"/>
      <c r="GLZ49"/>
      <c r="GMA49"/>
      <c r="GMB49"/>
      <c r="GMC49"/>
      <c r="GMD49"/>
      <c r="GME49"/>
      <c r="GMF49"/>
      <c r="GMG49"/>
      <c r="GMH49"/>
      <c r="GMI49"/>
      <c r="GMJ49"/>
      <c r="GMK49"/>
      <c r="GML49"/>
      <c r="GMM49"/>
      <c r="GMN49"/>
      <c r="GMO49"/>
      <c r="GMP49"/>
      <c r="GMQ49"/>
      <c r="GMR49"/>
      <c r="GMS49"/>
      <c r="GMT49"/>
      <c r="GMU49"/>
      <c r="GMV49"/>
      <c r="GMW49"/>
      <c r="GMX49"/>
      <c r="GMY49"/>
      <c r="GMZ49"/>
      <c r="GNA49"/>
      <c r="GNB49"/>
      <c r="GNC49"/>
      <c r="GND49"/>
      <c r="GNE49"/>
      <c r="GNF49"/>
      <c r="GNG49"/>
      <c r="GNH49"/>
      <c r="GNI49"/>
      <c r="GNJ49"/>
      <c r="GNK49"/>
      <c r="GNL49"/>
      <c r="GNM49"/>
      <c r="GNN49"/>
      <c r="GNO49"/>
      <c r="GNP49"/>
      <c r="GNQ49"/>
      <c r="GNR49"/>
      <c r="GNS49"/>
      <c r="GNT49"/>
      <c r="GNU49"/>
      <c r="GNV49"/>
      <c r="GNW49"/>
      <c r="GNX49"/>
      <c r="GNY49"/>
      <c r="GNZ49"/>
      <c r="GOA49"/>
      <c r="GOB49"/>
      <c r="GOC49"/>
      <c r="GOD49"/>
      <c r="GOE49"/>
      <c r="GOF49"/>
      <c r="GOG49"/>
      <c r="GOH49"/>
      <c r="GOI49"/>
      <c r="GOJ49"/>
      <c r="GOK49"/>
      <c r="GOL49"/>
      <c r="GOM49"/>
      <c r="GON49"/>
      <c r="GOO49"/>
      <c r="GOP49"/>
      <c r="GOQ49"/>
      <c r="GOR49"/>
      <c r="GOS49"/>
      <c r="GOT49"/>
      <c r="GOU49"/>
      <c r="GOV49"/>
      <c r="GOW49"/>
      <c r="GOX49"/>
      <c r="GOY49"/>
      <c r="GOZ49"/>
      <c r="GPA49"/>
      <c r="GPB49"/>
      <c r="GPC49"/>
      <c r="GPD49"/>
      <c r="GPE49"/>
      <c r="GPF49"/>
      <c r="GPG49"/>
      <c r="GPH49"/>
      <c r="GPI49"/>
      <c r="GPJ49"/>
      <c r="GPK49"/>
      <c r="GPL49"/>
      <c r="GPM49"/>
      <c r="GPN49"/>
      <c r="GPO49"/>
      <c r="GPP49"/>
      <c r="GPQ49"/>
      <c r="GPR49"/>
      <c r="GPS49"/>
      <c r="GPT49"/>
      <c r="GPU49"/>
      <c r="GPV49"/>
      <c r="GPW49"/>
      <c r="GPX49"/>
      <c r="GPY49"/>
      <c r="GPZ49"/>
      <c r="GQA49"/>
      <c r="GQB49"/>
      <c r="GQC49"/>
      <c r="GQD49"/>
      <c r="GQE49"/>
      <c r="GQF49"/>
      <c r="GQG49"/>
      <c r="GQH49"/>
      <c r="GQI49"/>
      <c r="GQJ49"/>
      <c r="GQK49"/>
      <c r="GQL49"/>
      <c r="GQM49"/>
      <c r="GQN49"/>
      <c r="GQO49"/>
      <c r="GQP49"/>
      <c r="GQQ49"/>
      <c r="GQR49"/>
      <c r="GQS49"/>
      <c r="GQT49"/>
      <c r="GQU49"/>
      <c r="GQV49"/>
      <c r="GQW49"/>
      <c r="GQX49"/>
      <c r="GQY49"/>
      <c r="GQZ49"/>
      <c r="GRA49"/>
      <c r="GRB49"/>
      <c r="GRC49"/>
      <c r="GRD49"/>
      <c r="GRE49"/>
      <c r="GRF49"/>
      <c r="GRG49"/>
      <c r="GRH49"/>
      <c r="GRI49"/>
      <c r="GRJ49"/>
      <c r="GRK49"/>
      <c r="GRL49"/>
      <c r="GRM49"/>
      <c r="GRN49"/>
      <c r="GRO49"/>
      <c r="GRP49"/>
      <c r="GRQ49"/>
      <c r="GRR49"/>
      <c r="GRS49"/>
      <c r="GRT49"/>
      <c r="GRU49"/>
      <c r="GRV49"/>
      <c r="GRW49"/>
      <c r="GRX49"/>
      <c r="GRY49"/>
      <c r="GRZ49"/>
      <c r="GSA49"/>
      <c r="GSB49"/>
      <c r="GSC49"/>
      <c r="GSD49"/>
      <c r="GSE49"/>
      <c r="GSF49"/>
      <c r="GSG49"/>
      <c r="GSH49"/>
      <c r="GSI49"/>
      <c r="GSJ49"/>
      <c r="GSK49"/>
      <c r="GSL49"/>
      <c r="GSM49"/>
      <c r="GSN49"/>
      <c r="GSO49"/>
      <c r="GSP49"/>
      <c r="GSQ49"/>
      <c r="GSR49"/>
      <c r="GSS49"/>
      <c r="GST49"/>
      <c r="GSU49"/>
      <c r="GSV49"/>
      <c r="GSW49"/>
      <c r="GSX49"/>
      <c r="GSY49"/>
      <c r="GSZ49"/>
      <c r="GTA49"/>
      <c r="GTB49"/>
      <c r="GTC49"/>
      <c r="GTD49"/>
      <c r="GTE49"/>
      <c r="GTF49"/>
      <c r="GTG49"/>
      <c r="GTH49"/>
      <c r="GTI49"/>
      <c r="GTJ49"/>
      <c r="GTK49"/>
      <c r="GTL49"/>
      <c r="GTM49"/>
      <c r="GTN49"/>
      <c r="GTO49"/>
      <c r="GTP49"/>
      <c r="GTQ49"/>
      <c r="GTR49"/>
      <c r="GTS49"/>
      <c r="GTT49"/>
      <c r="GTU49"/>
      <c r="GTV49"/>
      <c r="GTW49"/>
      <c r="GTX49"/>
      <c r="GTY49"/>
      <c r="GTZ49"/>
      <c r="GUA49"/>
      <c r="GUB49"/>
      <c r="GUC49"/>
      <c r="GUD49"/>
      <c r="GUE49"/>
      <c r="GUF49"/>
      <c r="GUG49"/>
      <c r="GUH49"/>
      <c r="GUI49"/>
      <c r="GUJ49"/>
      <c r="GUK49"/>
      <c r="GUL49"/>
      <c r="GUM49"/>
      <c r="GUN49"/>
      <c r="GUO49"/>
      <c r="GUP49"/>
      <c r="GUQ49"/>
      <c r="GUR49"/>
      <c r="GUS49"/>
      <c r="GUT49"/>
      <c r="GUU49"/>
      <c r="GUV49"/>
      <c r="GUW49"/>
      <c r="GUX49"/>
      <c r="GUY49"/>
      <c r="GUZ49"/>
      <c r="GVA49"/>
      <c r="GVB49"/>
      <c r="GVC49"/>
      <c r="GVD49"/>
      <c r="GVE49"/>
      <c r="GVF49"/>
      <c r="GVG49"/>
      <c r="GVH49"/>
      <c r="GVI49"/>
      <c r="GVJ49"/>
      <c r="GVK49"/>
      <c r="GVL49"/>
      <c r="GVM49"/>
      <c r="GVN49"/>
      <c r="GVO49"/>
      <c r="GVP49"/>
      <c r="GVQ49"/>
      <c r="GVR49"/>
      <c r="GVS49"/>
      <c r="GVT49"/>
      <c r="GVU49"/>
      <c r="GVV49"/>
      <c r="GVW49"/>
      <c r="GVX49"/>
      <c r="GVY49"/>
      <c r="GVZ49"/>
      <c r="GWA49"/>
      <c r="GWB49"/>
      <c r="GWC49"/>
      <c r="GWD49"/>
      <c r="GWE49"/>
      <c r="GWF49"/>
      <c r="GWG49"/>
      <c r="GWH49"/>
      <c r="GWI49"/>
      <c r="GWJ49"/>
      <c r="GWK49"/>
      <c r="GWL49"/>
      <c r="GWM49"/>
      <c r="GWN49"/>
      <c r="GWO49"/>
      <c r="GWP49"/>
      <c r="GWQ49"/>
      <c r="GWR49"/>
      <c r="GWS49"/>
      <c r="GWT49"/>
      <c r="GWU49"/>
      <c r="GWV49"/>
      <c r="GWW49"/>
      <c r="GWX49"/>
      <c r="GWY49"/>
      <c r="GWZ49"/>
      <c r="GXA49"/>
      <c r="GXB49"/>
      <c r="GXC49"/>
      <c r="GXD49"/>
      <c r="GXE49"/>
      <c r="GXF49"/>
      <c r="GXG49"/>
      <c r="GXH49"/>
      <c r="GXI49"/>
      <c r="GXJ49"/>
      <c r="GXK49"/>
      <c r="GXL49"/>
      <c r="GXM49"/>
      <c r="GXN49"/>
      <c r="GXO49"/>
      <c r="GXP49"/>
      <c r="GXQ49"/>
      <c r="GXR49"/>
      <c r="GXS49"/>
      <c r="GXT49"/>
      <c r="GXU49"/>
      <c r="GXV49"/>
      <c r="GXW49"/>
      <c r="GXX49"/>
      <c r="GXY49"/>
      <c r="GXZ49"/>
      <c r="GYA49"/>
      <c r="GYB49"/>
      <c r="GYC49"/>
      <c r="GYD49"/>
      <c r="GYE49"/>
      <c r="GYF49"/>
      <c r="GYG49"/>
      <c r="GYH49"/>
      <c r="GYI49"/>
      <c r="GYJ49"/>
      <c r="GYK49"/>
      <c r="GYL49"/>
      <c r="GYM49"/>
      <c r="GYN49"/>
      <c r="GYO49"/>
      <c r="GYP49"/>
      <c r="GYQ49"/>
      <c r="GYR49"/>
      <c r="GYS49"/>
      <c r="GYT49"/>
      <c r="GYU49"/>
      <c r="GYV49"/>
      <c r="GYW49"/>
      <c r="GYX49"/>
      <c r="GYY49"/>
      <c r="GYZ49"/>
      <c r="GZA49"/>
      <c r="GZB49"/>
      <c r="GZC49"/>
      <c r="GZD49"/>
      <c r="GZE49"/>
      <c r="GZF49"/>
      <c r="GZG49"/>
      <c r="GZH49"/>
      <c r="GZI49"/>
      <c r="GZJ49"/>
      <c r="GZK49"/>
      <c r="GZL49"/>
      <c r="GZM49"/>
      <c r="GZN49"/>
      <c r="GZO49"/>
      <c r="GZP49"/>
      <c r="GZQ49"/>
      <c r="GZR49"/>
      <c r="GZS49"/>
      <c r="GZT49"/>
      <c r="GZU49"/>
      <c r="GZV49"/>
      <c r="GZW49"/>
      <c r="GZX49"/>
      <c r="GZY49"/>
      <c r="GZZ49"/>
      <c r="HAA49"/>
      <c r="HAB49"/>
      <c r="HAC49"/>
      <c r="HAD49"/>
      <c r="HAE49"/>
      <c r="HAF49"/>
      <c r="HAG49"/>
      <c r="HAH49"/>
      <c r="HAI49"/>
      <c r="HAJ49"/>
      <c r="HAK49"/>
      <c r="HAL49"/>
      <c r="HAM49"/>
      <c r="HAN49"/>
      <c r="HAO49"/>
      <c r="HAP49"/>
      <c r="HAQ49"/>
      <c r="HAR49"/>
      <c r="HAS49"/>
      <c r="HAT49"/>
      <c r="HAU49"/>
      <c r="HAV49"/>
      <c r="HAW49"/>
      <c r="HAX49"/>
      <c r="HAY49"/>
      <c r="HAZ49"/>
      <c r="HBA49"/>
      <c r="HBB49"/>
      <c r="HBC49"/>
      <c r="HBD49"/>
      <c r="HBE49"/>
      <c r="HBF49"/>
      <c r="HBG49"/>
      <c r="HBH49"/>
      <c r="HBI49"/>
      <c r="HBJ49"/>
      <c r="HBK49"/>
      <c r="HBL49"/>
      <c r="HBM49"/>
      <c r="HBN49"/>
      <c r="HBO49"/>
      <c r="HBP49"/>
      <c r="HBQ49"/>
      <c r="HBR49"/>
      <c r="HBS49"/>
      <c r="HBT49"/>
      <c r="HBU49"/>
      <c r="HBV49"/>
      <c r="HBW49"/>
      <c r="HBX49"/>
      <c r="HBY49"/>
      <c r="HBZ49"/>
      <c r="HCA49"/>
      <c r="HCB49"/>
      <c r="HCC49"/>
      <c r="HCD49"/>
      <c r="HCE49"/>
      <c r="HCF49"/>
      <c r="HCG49"/>
      <c r="HCH49"/>
      <c r="HCI49"/>
      <c r="HCJ49"/>
      <c r="HCK49"/>
      <c r="HCL49"/>
      <c r="HCM49"/>
      <c r="HCN49"/>
      <c r="HCO49"/>
      <c r="HCP49"/>
      <c r="HCQ49"/>
      <c r="HCR49"/>
      <c r="HCS49"/>
      <c r="HCT49"/>
      <c r="HCU49"/>
      <c r="HCV49"/>
      <c r="HCW49"/>
      <c r="HCX49"/>
      <c r="HCY49"/>
      <c r="HCZ49"/>
      <c r="HDA49"/>
      <c r="HDB49"/>
      <c r="HDC49"/>
      <c r="HDD49"/>
      <c r="HDE49"/>
      <c r="HDF49"/>
      <c r="HDG49"/>
      <c r="HDH49"/>
      <c r="HDI49"/>
      <c r="HDJ49"/>
      <c r="HDK49"/>
      <c r="HDL49"/>
      <c r="HDM49"/>
      <c r="HDN49"/>
      <c r="HDO49"/>
      <c r="HDP49"/>
      <c r="HDQ49"/>
      <c r="HDR49"/>
      <c r="HDS49"/>
      <c r="HDT49"/>
      <c r="HDU49"/>
      <c r="HDV49"/>
      <c r="HDW49"/>
      <c r="HDX49"/>
      <c r="HDY49"/>
      <c r="HDZ49"/>
      <c r="HEA49"/>
      <c r="HEB49"/>
      <c r="HEC49"/>
      <c r="HED49"/>
      <c r="HEE49"/>
      <c r="HEF49"/>
      <c r="HEG49"/>
      <c r="HEH49"/>
      <c r="HEI49"/>
      <c r="HEJ49"/>
      <c r="HEK49"/>
      <c r="HEL49"/>
      <c r="HEM49"/>
      <c r="HEN49"/>
      <c r="HEO49"/>
      <c r="HEP49"/>
      <c r="HEQ49"/>
      <c r="HER49"/>
      <c r="HES49"/>
      <c r="HET49"/>
      <c r="HEU49"/>
      <c r="HEV49"/>
      <c r="HEW49"/>
      <c r="HEX49"/>
      <c r="HEY49"/>
      <c r="HEZ49"/>
      <c r="HFA49"/>
      <c r="HFB49"/>
      <c r="HFC49"/>
      <c r="HFD49"/>
      <c r="HFE49"/>
      <c r="HFF49"/>
      <c r="HFG49"/>
      <c r="HFH49"/>
      <c r="HFI49"/>
      <c r="HFJ49"/>
      <c r="HFK49"/>
      <c r="HFL49"/>
      <c r="HFM49"/>
      <c r="HFN49"/>
      <c r="HFO49"/>
      <c r="HFP49"/>
      <c r="HFQ49"/>
      <c r="HFR49"/>
      <c r="HFS49"/>
      <c r="HFT49"/>
      <c r="HFU49"/>
      <c r="HFV49"/>
      <c r="HFW49"/>
      <c r="HFX49"/>
      <c r="HFY49"/>
      <c r="HFZ49"/>
      <c r="HGA49"/>
      <c r="HGB49"/>
      <c r="HGC49"/>
      <c r="HGD49"/>
      <c r="HGE49"/>
      <c r="HGF49"/>
      <c r="HGG49"/>
      <c r="HGH49"/>
      <c r="HGI49"/>
      <c r="HGJ49"/>
      <c r="HGK49"/>
      <c r="HGL49"/>
      <c r="HGM49"/>
      <c r="HGN49"/>
      <c r="HGO49"/>
      <c r="HGP49"/>
      <c r="HGQ49"/>
      <c r="HGR49"/>
      <c r="HGS49"/>
      <c r="HGT49"/>
      <c r="HGU49"/>
      <c r="HGV49"/>
      <c r="HGW49"/>
      <c r="HGX49"/>
      <c r="HGY49"/>
      <c r="HGZ49"/>
      <c r="HHA49"/>
      <c r="HHB49"/>
      <c r="HHC49"/>
      <c r="HHD49"/>
      <c r="HHE49"/>
      <c r="HHF49"/>
      <c r="HHG49"/>
      <c r="HHH49"/>
      <c r="HHI49"/>
      <c r="HHJ49"/>
      <c r="HHK49"/>
      <c r="HHL49"/>
      <c r="HHM49"/>
      <c r="HHN49"/>
      <c r="HHO49"/>
      <c r="HHP49"/>
      <c r="HHQ49"/>
      <c r="HHR49"/>
      <c r="HHS49"/>
      <c r="HHT49"/>
      <c r="HHU49"/>
      <c r="HHV49"/>
      <c r="HHW49"/>
      <c r="HHX49"/>
      <c r="HHY49"/>
      <c r="HHZ49"/>
      <c r="HIA49"/>
      <c r="HIB49"/>
      <c r="HIC49"/>
      <c r="HID49"/>
      <c r="HIE49"/>
      <c r="HIF49"/>
      <c r="HIG49"/>
      <c r="HIH49"/>
      <c r="HII49"/>
      <c r="HIJ49"/>
      <c r="HIK49"/>
      <c r="HIL49"/>
      <c r="HIM49"/>
      <c r="HIN49"/>
      <c r="HIO49"/>
      <c r="HIP49"/>
      <c r="HIQ49"/>
      <c r="HIR49"/>
      <c r="HIS49"/>
      <c r="HIT49"/>
      <c r="HIU49"/>
      <c r="HIV49"/>
      <c r="HIW49"/>
      <c r="HIX49"/>
      <c r="HIY49"/>
      <c r="HIZ49"/>
      <c r="HJA49"/>
      <c r="HJB49"/>
      <c r="HJC49"/>
      <c r="HJD49"/>
      <c r="HJE49"/>
      <c r="HJF49"/>
      <c r="HJG49"/>
      <c r="HJH49"/>
      <c r="HJI49"/>
      <c r="HJJ49"/>
      <c r="HJK49"/>
      <c r="HJL49"/>
      <c r="HJM49"/>
      <c r="HJN49"/>
      <c r="HJO49"/>
      <c r="HJP49"/>
      <c r="HJQ49"/>
      <c r="HJR49"/>
      <c r="HJS49"/>
      <c r="HJT49"/>
      <c r="HJU49"/>
      <c r="HJV49"/>
      <c r="HJW49"/>
      <c r="HJX49"/>
      <c r="HJY49"/>
      <c r="HJZ49"/>
      <c r="HKA49"/>
      <c r="HKB49"/>
      <c r="HKC49"/>
      <c r="HKD49"/>
      <c r="HKE49"/>
      <c r="HKF49"/>
      <c r="HKG49"/>
      <c r="HKH49"/>
      <c r="HKI49"/>
      <c r="HKJ49"/>
      <c r="HKK49"/>
      <c r="HKL49"/>
      <c r="HKM49"/>
      <c r="HKN49"/>
      <c r="HKO49"/>
      <c r="HKP49"/>
      <c r="HKQ49"/>
      <c r="HKR49"/>
      <c r="HKS49"/>
      <c r="HKT49"/>
      <c r="HKU49"/>
      <c r="HKV49"/>
      <c r="HKW49"/>
      <c r="HKX49"/>
      <c r="HKY49"/>
      <c r="HKZ49"/>
      <c r="HLA49"/>
      <c r="HLB49"/>
      <c r="HLC49"/>
      <c r="HLD49"/>
      <c r="HLE49"/>
      <c r="HLF49"/>
      <c r="HLG49"/>
      <c r="HLH49"/>
      <c r="HLI49"/>
      <c r="HLJ49"/>
      <c r="HLK49"/>
      <c r="HLL49"/>
      <c r="HLM49"/>
      <c r="HLN49"/>
      <c r="HLO49"/>
      <c r="HLP49"/>
      <c r="HLQ49"/>
      <c r="HLR49"/>
      <c r="HLS49"/>
      <c r="HLT49"/>
      <c r="HLU49"/>
      <c r="HLV49"/>
      <c r="HLW49"/>
      <c r="HLX49"/>
      <c r="HLY49"/>
      <c r="HLZ49"/>
      <c r="HMA49"/>
      <c r="HMB49"/>
      <c r="HMC49"/>
      <c r="HMD49"/>
      <c r="HME49"/>
      <c r="HMF49"/>
      <c r="HMG49"/>
      <c r="HMH49"/>
      <c r="HMI49"/>
      <c r="HMJ49"/>
      <c r="HMK49"/>
      <c r="HML49"/>
      <c r="HMM49"/>
      <c r="HMN49"/>
      <c r="HMO49"/>
      <c r="HMP49"/>
      <c r="HMQ49"/>
      <c r="HMR49"/>
      <c r="HMS49"/>
      <c r="HMT49"/>
      <c r="HMU49"/>
      <c r="HMV49"/>
      <c r="HMW49"/>
      <c r="HMX49"/>
      <c r="HMY49"/>
      <c r="HMZ49"/>
      <c r="HNA49"/>
      <c r="HNB49"/>
      <c r="HNC49"/>
      <c r="HND49"/>
      <c r="HNE49"/>
      <c r="HNF49"/>
      <c r="HNG49"/>
      <c r="HNH49"/>
      <c r="HNI49"/>
      <c r="HNJ49"/>
      <c r="HNK49"/>
      <c r="HNL49"/>
      <c r="HNM49"/>
      <c r="HNN49"/>
      <c r="HNO49"/>
      <c r="HNP49"/>
      <c r="HNQ49"/>
      <c r="HNR49"/>
      <c r="HNS49"/>
      <c r="HNT49"/>
      <c r="HNU49"/>
      <c r="HNV49"/>
      <c r="HNW49"/>
      <c r="HNX49"/>
      <c r="HNY49"/>
      <c r="HNZ49"/>
      <c r="HOA49"/>
      <c r="HOB49"/>
      <c r="HOC49"/>
      <c r="HOD49"/>
      <c r="HOE49"/>
      <c r="HOF49"/>
      <c r="HOG49"/>
      <c r="HOH49"/>
      <c r="HOI49"/>
      <c r="HOJ49"/>
      <c r="HOK49"/>
      <c r="HOL49"/>
      <c r="HOM49"/>
      <c r="HON49"/>
      <c r="HOO49"/>
      <c r="HOP49"/>
      <c r="HOQ49"/>
      <c r="HOR49"/>
      <c r="HOS49"/>
      <c r="HOT49"/>
      <c r="HOU49"/>
      <c r="HOV49"/>
      <c r="HOW49"/>
      <c r="HOX49"/>
      <c r="HOY49"/>
      <c r="HOZ49"/>
      <c r="HPA49"/>
      <c r="HPB49"/>
      <c r="HPC49"/>
      <c r="HPD49"/>
      <c r="HPE49"/>
      <c r="HPF49"/>
      <c r="HPG49"/>
      <c r="HPH49"/>
      <c r="HPI49"/>
      <c r="HPJ49"/>
      <c r="HPK49"/>
      <c r="HPL49"/>
      <c r="HPM49"/>
      <c r="HPN49"/>
      <c r="HPO49"/>
      <c r="HPP49"/>
      <c r="HPQ49"/>
      <c r="HPR49"/>
      <c r="HPS49"/>
      <c r="HPT49"/>
      <c r="HPU49"/>
      <c r="HPV49"/>
      <c r="HPW49"/>
      <c r="HPX49"/>
      <c r="HPY49"/>
      <c r="HPZ49"/>
      <c r="HQA49"/>
      <c r="HQB49"/>
      <c r="HQC49"/>
      <c r="HQD49"/>
      <c r="HQE49"/>
      <c r="HQF49"/>
      <c r="HQG49"/>
      <c r="HQH49"/>
      <c r="HQI49"/>
      <c r="HQJ49"/>
      <c r="HQK49"/>
      <c r="HQL49"/>
      <c r="HQM49"/>
      <c r="HQN49"/>
      <c r="HQO49"/>
      <c r="HQP49"/>
      <c r="HQQ49"/>
      <c r="HQR49"/>
      <c r="HQS49"/>
      <c r="HQT49"/>
      <c r="HQU49"/>
      <c r="HQV49"/>
      <c r="HQW49"/>
      <c r="HQX49"/>
      <c r="HQY49"/>
      <c r="HQZ49"/>
      <c r="HRA49"/>
      <c r="HRB49"/>
      <c r="HRC49"/>
      <c r="HRD49"/>
      <c r="HRE49"/>
      <c r="HRF49"/>
      <c r="HRG49"/>
      <c r="HRH49"/>
      <c r="HRI49"/>
      <c r="HRJ49"/>
      <c r="HRK49"/>
      <c r="HRL49"/>
      <c r="HRM49"/>
      <c r="HRN49"/>
      <c r="HRO49"/>
      <c r="HRP49"/>
      <c r="HRQ49"/>
      <c r="HRR49"/>
      <c r="HRS49"/>
      <c r="HRT49"/>
      <c r="HRU49"/>
      <c r="HRV49"/>
      <c r="HRW49"/>
      <c r="HRX49"/>
      <c r="HRY49"/>
      <c r="HRZ49"/>
      <c r="HSA49"/>
      <c r="HSB49"/>
      <c r="HSC49"/>
      <c r="HSD49"/>
      <c r="HSE49"/>
      <c r="HSF49"/>
      <c r="HSG49"/>
      <c r="HSH49"/>
      <c r="HSI49"/>
      <c r="HSJ49"/>
      <c r="HSK49"/>
      <c r="HSL49"/>
      <c r="HSM49"/>
      <c r="HSN49"/>
      <c r="HSO49"/>
      <c r="HSP49"/>
      <c r="HSQ49"/>
      <c r="HSR49"/>
      <c r="HSS49"/>
      <c r="HST49"/>
      <c r="HSU49"/>
      <c r="HSV49"/>
      <c r="HSW49"/>
      <c r="HSX49"/>
      <c r="HSY49"/>
      <c r="HSZ49"/>
      <c r="HTA49"/>
      <c r="HTB49"/>
      <c r="HTC49"/>
      <c r="HTD49"/>
      <c r="HTE49"/>
      <c r="HTF49"/>
      <c r="HTG49"/>
      <c r="HTH49"/>
      <c r="HTI49"/>
      <c r="HTJ49"/>
      <c r="HTK49"/>
      <c r="HTL49"/>
      <c r="HTM49"/>
      <c r="HTN49"/>
      <c r="HTO49"/>
      <c r="HTP49"/>
      <c r="HTQ49"/>
      <c r="HTR49"/>
      <c r="HTS49"/>
      <c r="HTT49"/>
      <c r="HTU49"/>
      <c r="HTV49"/>
      <c r="HTW49"/>
      <c r="HTX49"/>
      <c r="HTY49"/>
      <c r="HTZ49"/>
      <c r="HUA49"/>
      <c r="HUB49"/>
      <c r="HUC49"/>
      <c r="HUD49"/>
      <c r="HUE49"/>
      <c r="HUF49"/>
      <c r="HUG49"/>
      <c r="HUH49"/>
      <c r="HUI49"/>
      <c r="HUJ49"/>
      <c r="HUK49"/>
      <c r="HUL49"/>
      <c r="HUM49"/>
      <c r="HUN49"/>
      <c r="HUO49"/>
      <c r="HUP49"/>
      <c r="HUQ49"/>
      <c r="HUR49"/>
      <c r="HUS49"/>
      <c r="HUT49"/>
      <c r="HUU49"/>
      <c r="HUV49"/>
      <c r="HUW49"/>
      <c r="HUX49"/>
      <c r="HUY49"/>
      <c r="HUZ49"/>
      <c r="HVA49"/>
      <c r="HVB49"/>
      <c r="HVC49"/>
      <c r="HVD49"/>
      <c r="HVE49"/>
      <c r="HVF49"/>
      <c r="HVG49"/>
      <c r="HVH49"/>
      <c r="HVI49"/>
      <c r="HVJ49"/>
      <c r="HVK49"/>
      <c r="HVL49"/>
      <c r="HVM49"/>
      <c r="HVN49"/>
      <c r="HVO49"/>
      <c r="HVP49"/>
      <c r="HVQ49"/>
      <c r="HVR49"/>
      <c r="HVS49"/>
      <c r="HVT49"/>
      <c r="HVU49"/>
      <c r="HVV49"/>
      <c r="HVW49"/>
      <c r="HVX49"/>
      <c r="HVY49"/>
      <c r="HVZ49"/>
      <c r="HWA49"/>
      <c r="HWB49"/>
      <c r="HWC49"/>
      <c r="HWD49"/>
      <c r="HWE49"/>
      <c r="HWF49"/>
      <c r="HWG49"/>
      <c r="HWH49"/>
      <c r="HWI49"/>
      <c r="HWJ49"/>
      <c r="HWK49"/>
      <c r="HWL49"/>
      <c r="HWM49"/>
      <c r="HWN49"/>
      <c r="HWO49"/>
      <c r="HWP49"/>
      <c r="HWQ49"/>
      <c r="HWR49"/>
      <c r="HWS49"/>
      <c r="HWT49"/>
      <c r="HWU49"/>
      <c r="HWV49"/>
      <c r="HWW49"/>
      <c r="HWX49"/>
      <c r="HWY49"/>
      <c r="HWZ49"/>
      <c r="HXA49"/>
      <c r="HXB49"/>
      <c r="HXC49"/>
      <c r="HXD49"/>
      <c r="HXE49"/>
      <c r="HXF49"/>
      <c r="HXG49"/>
      <c r="HXH49"/>
      <c r="HXI49"/>
      <c r="HXJ49"/>
      <c r="HXK49"/>
      <c r="HXL49"/>
      <c r="HXM49"/>
      <c r="HXN49"/>
      <c r="HXO49"/>
      <c r="HXP49"/>
      <c r="HXQ49"/>
      <c r="HXR49"/>
      <c r="HXS49"/>
      <c r="HXT49"/>
      <c r="HXU49"/>
      <c r="HXV49"/>
      <c r="HXW49"/>
      <c r="HXX49"/>
      <c r="HXY49"/>
      <c r="HXZ49"/>
      <c r="HYA49"/>
      <c r="HYB49"/>
      <c r="HYC49"/>
      <c r="HYD49"/>
      <c r="HYE49"/>
      <c r="HYF49"/>
      <c r="HYG49"/>
      <c r="HYH49"/>
      <c r="HYI49"/>
      <c r="HYJ49"/>
      <c r="HYK49"/>
      <c r="HYL49"/>
      <c r="HYM49"/>
      <c r="HYN49"/>
      <c r="HYO49"/>
      <c r="HYP49"/>
      <c r="HYQ49"/>
      <c r="HYR49"/>
      <c r="HYS49"/>
      <c r="HYT49"/>
      <c r="HYU49"/>
      <c r="HYV49"/>
      <c r="HYW49"/>
      <c r="HYX49"/>
      <c r="HYY49"/>
      <c r="HYZ49"/>
      <c r="HZA49"/>
      <c r="HZB49"/>
      <c r="HZC49"/>
      <c r="HZD49"/>
      <c r="HZE49"/>
      <c r="HZF49"/>
      <c r="HZG49"/>
      <c r="HZH49"/>
      <c r="HZI49"/>
      <c r="HZJ49"/>
      <c r="HZK49"/>
      <c r="HZL49"/>
      <c r="HZM49"/>
      <c r="HZN49"/>
      <c r="HZO49"/>
      <c r="HZP49"/>
      <c r="HZQ49"/>
      <c r="HZR49"/>
      <c r="HZS49"/>
      <c r="HZT49"/>
      <c r="HZU49"/>
      <c r="HZV49"/>
      <c r="HZW49"/>
      <c r="HZX49"/>
      <c r="HZY49"/>
      <c r="HZZ49"/>
      <c r="IAA49"/>
      <c r="IAB49"/>
      <c r="IAC49"/>
      <c r="IAD49"/>
      <c r="IAE49"/>
      <c r="IAF49"/>
      <c r="IAG49"/>
      <c r="IAH49"/>
      <c r="IAI49"/>
      <c r="IAJ49"/>
      <c r="IAK49"/>
      <c r="IAL49"/>
      <c r="IAM49"/>
      <c r="IAN49"/>
      <c r="IAO49"/>
      <c r="IAP49"/>
      <c r="IAQ49"/>
      <c r="IAR49"/>
      <c r="IAS49"/>
      <c r="IAT49"/>
      <c r="IAU49"/>
      <c r="IAV49"/>
      <c r="IAW49"/>
      <c r="IAX49"/>
      <c r="IAY49"/>
      <c r="IAZ49"/>
      <c r="IBA49"/>
      <c r="IBB49"/>
      <c r="IBC49"/>
      <c r="IBD49"/>
      <c r="IBE49"/>
      <c r="IBF49"/>
      <c r="IBG49"/>
      <c r="IBH49"/>
      <c r="IBI49"/>
      <c r="IBJ49"/>
      <c r="IBK49"/>
      <c r="IBL49"/>
      <c r="IBM49"/>
      <c r="IBN49"/>
      <c r="IBO49"/>
      <c r="IBP49"/>
      <c r="IBQ49"/>
      <c r="IBR49"/>
      <c r="IBS49"/>
      <c r="IBT49"/>
      <c r="IBU49"/>
      <c r="IBV49"/>
      <c r="IBW49"/>
      <c r="IBX49"/>
      <c r="IBY49"/>
      <c r="IBZ49"/>
      <c r="ICA49"/>
      <c r="ICB49"/>
      <c r="ICC49"/>
      <c r="ICD49"/>
      <c r="ICE49"/>
      <c r="ICF49"/>
      <c r="ICG49"/>
      <c r="ICH49"/>
      <c r="ICI49"/>
      <c r="ICJ49"/>
      <c r="ICK49"/>
      <c r="ICL49"/>
      <c r="ICM49"/>
      <c r="ICN49"/>
      <c r="ICO49"/>
      <c r="ICP49"/>
      <c r="ICQ49"/>
      <c r="ICR49"/>
      <c r="ICS49"/>
      <c r="ICT49"/>
      <c r="ICU49"/>
      <c r="ICV49"/>
      <c r="ICW49"/>
      <c r="ICX49"/>
      <c r="ICY49"/>
      <c r="ICZ49"/>
      <c r="IDA49"/>
      <c r="IDB49"/>
      <c r="IDC49"/>
      <c r="IDD49"/>
      <c r="IDE49"/>
      <c r="IDF49"/>
      <c r="IDG49"/>
      <c r="IDH49"/>
      <c r="IDI49"/>
      <c r="IDJ49"/>
      <c r="IDK49"/>
      <c r="IDL49"/>
      <c r="IDM49"/>
      <c r="IDN49"/>
      <c r="IDO49"/>
      <c r="IDP49"/>
      <c r="IDQ49"/>
      <c r="IDR49"/>
      <c r="IDS49"/>
      <c r="IDT49"/>
      <c r="IDU49"/>
      <c r="IDV49"/>
      <c r="IDW49"/>
      <c r="IDX49"/>
      <c r="IDY49"/>
      <c r="IDZ49"/>
      <c r="IEA49"/>
      <c r="IEB49"/>
      <c r="IEC49"/>
      <c r="IED49"/>
      <c r="IEE49"/>
      <c r="IEF49"/>
      <c r="IEG49"/>
      <c r="IEH49"/>
      <c r="IEI49"/>
      <c r="IEJ49"/>
      <c r="IEK49"/>
      <c r="IEL49"/>
      <c r="IEM49"/>
      <c r="IEN49"/>
      <c r="IEO49"/>
      <c r="IEP49"/>
      <c r="IEQ49"/>
      <c r="IER49"/>
      <c r="IES49"/>
      <c r="IET49"/>
      <c r="IEU49"/>
      <c r="IEV49"/>
      <c r="IEW49"/>
      <c r="IEX49"/>
      <c r="IEY49"/>
      <c r="IEZ49"/>
      <c r="IFA49"/>
      <c r="IFB49"/>
      <c r="IFC49"/>
      <c r="IFD49"/>
      <c r="IFE49"/>
      <c r="IFF49"/>
      <c r="IFG49"/>
      <c r="IFH49"/>
      <c r="IFI49"/>
      <c r="IFJ49"/>
      <c r="IFK49"/>
      <c r="IFL49"/>
      <c r="IFM49"/>
      <c r="IFN49"/>
      <c r="IFO49"/>
      <c r="IFP49"/>
      <c r="IFQ49"/>
      <c r="IFR49"/>
      <c r="IFS49"/>
      <c r="IFT49"/>
      <c r="IFU49"/>
      <c r="IFV49"/>
      <c r="IFW49"/>
      <c r="IFX49"/>
      <c r="IFY49"/>
      <c r="IFZ49"/>
      <c r="IGA49"/>
      <c r="IGB49"/>
      <c r="IGC49"/>
      <c r="IGD49"/>
      <c r="IGE49"/>
      <c r="IGF49"/>
      <c r="IGG49"/>
      <c r="IGH49"/>
      <c r="IGI49"/>
      <c r="IGJ49"/>
      <c r="IGK49"/>
      <c r="IGL49"/>
      <c r="IGM49"/>
      <c r="IGN49"/>
      <c r="IGO49"/>
      <c r="IGP49"/>
      <c r="IGQ49"/>
      <c r="IGR49"/>
      <c r="IGS49"/>
      <c r="IGT49"/>
      <c r="IGU49"/>
      <c r="IGV49"/>
      <c r="IGW49"/>
      <c r="IGX49"/>
      <c r="IGY49"/>
      <c r="IGZ49"/>
      <c r="IHA49"/>
      <c r="IHB49"/>
      <c r="IHC49"/>
      <c r="IHD49"/>
      <c r="IHE49"/>
      <c r="IHF49"/>
      <c r="IHG49"/>
      <c r="IHH49"/>
      <c r="IHI49"/>
      <c r="IHJ49"/>
      <c r="IHK49"/>
      <c r="IHL49"/>
      <c r="IHM49"/>
      <c r="IHN49"/>
      <c r="IHO49"/>
      <c r="IHP49"/>
      <c r="IHQ49"/>
      <c r="IHR49"/>
      <c r="IHS49"/>
      <c r="IHT49"/>
      <c r="IHU49"/>
      <c r="IHV49"/>
      <c r="IHW49"/>
      <c r="IHX49"/>
      <c r="IHY49"/>
      <c r="IHZ49"/>
      <c r="IIA49"/>
      <c r="IIB49"/>
      <c r="IIC49"/>
      <c r="IID49"/>
      <c r="IIE49"/>
      <c r="IIF49"/>
      <c r="IIG49"/>
      <c r="IIH49"/>
      <c r="III49"/>
      <c r="IIJ49"/>
      <c r="IIK49"/>
      <c r="IIL49"/>
      <c r="IIM49"/>
      <c r="IIN49"/>
      <c r="IIO49"/>
      <c r="IIP49"/>
      <c r="IIQ49"/>
      <c r="IIR49"/>
      <c r="IIS49"/>
      <c r="IIT49"/>
      <c r="IIU49"/>
      <c r="IIV49"/>
      <c r="IIW49"/>
      <c r="IIX49"/>
      <c r="IIY49"/>
      <c r="IIZ49"/>
      <c r="IJA49"/>
      <c r="IJB49"/>
      <c r="IJC49"/>
      <c r="IJD49"/>
      <c r="IJE49"/>
      <c r="IJF49"/>
      <c r="IJG49"/>
      <c r="IJH49"/>
      <c r="IJI49"/>
      <c r="IJJ49"/>
      <c r="IJK49"/>
      <c r="IJL49"/>
      <c r="IJM49"/>
      <c r="IJN49"/>
      <c r="IJO49"/>
      <c r="IJP49"/>
      <c r="IJQ49"/>
      <c r="IJR49"/>
      <c r="IJS49"/>
      <c r="IJT49"/>
      <c r="IJU49"/>
      <c r="IJV49"/>
      <c r="IJW49"/>
      <c r="IJX49"/>
      <c r="IJY49"/>
      <c r="IJZ49"/>
      <c r="IKA49"/>
      <c r="IKB49"/>
      <c r="IKC49"/>
      <c r="IKD49"/>
      <c r="IKE49"/>
      <c r="IKF49"/>
      <c r="IKG49"/>
      <c r="IKH49"/>
      <c r="IKI49"/>
      <c r="IKJ49"/>
      <c r="IKK49"/>
      <c r="IKL49"/>
      <c r="IKM49"/>
      <c r="IKN49"/>
      <c r="IKO49"/>
      <c r="IKP49"/>
      <c r="IKQ49"/>
      <c r="IKR49"/>
      <c r="IKS49"/>
      <c r="IKT49"/>
      <c r="IKU49"/>
      <c r="IKV49"/>
      <c r="IKW49"/>
      <c r="IKX49"/>
      <c r="IKY49"/>
      <c r="IKZ49"/>
      <c r="ILA49"/>
      <c r="ILB49"/>
      <c r="ILC49"/>
      <c r="ILD49"/>
      <c r="ILE49"/>
      <c r="ILF49"/>
      <c r="ILG49"/>
      <c r="ILH49"/>
      <c r="ILI49"/>
      <c r="ILJ49"/>
      <c r="ILK49"/>
      <c r="ILL49"/>
      <c r="ILM49"/>
      <c r="ILN49"/>
      <c r="ILO49"/>
      <c r="ILP49"/>
      <c r="ILQ49"/>
      <c r="ILR49"/>
      <c r="ILS49"/>
      <c r="ILT49"/>
      <c r="ILU49"/>
      <c r="ILV49"/>
      <c r="ILW49"/>
      <c r="ILX49"/>
      <c r="ILY49"/>
      <c r="ILZ49"/>
      <c r="IMA49"/>
      <c r="IMB49"/>
      <c r="IMC49"/>
      <c r="IMD49"/>
      <c r="IME49"/>
      <c r="IMF49"/>
      <c r="IMG49"/>
      <c r="IMH49"/>
      <c r="IMI49"/>
      <c r="IMJ49"/>
      <c r="IMK49"/>
      <c r="IML49"/>
      <c r="IMM49"/>
      <c r="IMN49"/>
      <c r="IMO49"/>
      <c r="IMP49"/>
      <c r="IMQ49"/>
      <c r="IMR49"/>
      <c r="IMS49"/>
      <c r="IMT49"/>
      <c r="IMU49"/>
      <c r="IMV49"/>
      <c r="IMW49"/>
      <c r="IMX49"/>
      <c r="IMY49"/>
      <c r="IMZ49"/>
      <c r="INA49"/>
      <c r="INB49"/>
      <c r="INC49"/>
      <c r="IND49"/>
      <c r="INE49"/>
      <c r="INF49"/>
      <c r="ING49"/>
      <c r="INH49"/>
      <c r="INI49"/>
      <c r="INJ49"/>
      <c r="INK49"/>
      <c r="INL49"/>
      <c r="INM49"/>
      <c r="INN49"/>
      <c r="INO49"/>
      <c r="INP49"/>
      <c r="INQ49"/>
      <c r="INR49"/>
      <c r="INS49"/>
      <c r="INT49"/>
      <c r="INU49"/>
      <c r="INV49"/>
      <c r="INW49"/>
      <c r="INX49"/>
      <c r="INY49"/>
      <c r="INZ49"/>
      <c r="IOA49"/>
      <c r="IOB49"/>
      <c r="IOC49"/>
      <c r="IOD49"/>
      <c r="IOE49"/>
      <c r="IOF49"/>
      <c r="IOG49"/>
      <c r="IOH49"/>
      <c r="IOI49"/>
      <c r="IOJ49"/>
      <c r="IOK49"/>
      <c r="IOL49"/>
      <c r="IOM49"/>
      <c r="ION49"/>
      <c r="IOO49"/>
      <c r="IOP49"/>
      <c r="IOQ49"/>
      <c r="IOR49"/>
      <c r="IOS49"/>
      <c r="IOT49"/>
      <c r="IOU49"/>
      <c r="IOV49"/>
      <c r="IOW49"/>
      <c r="IOX49"/>
      <c r="IOY49"/>
      <c r="IOZ49"/>
      <c r="IPA49"/>
      <c r="IPB49"/>
      <c r="IPC49"/>
      <c r="IPD49"/>
      <c r="IPE49"/>
      <c r="IPF49"/>
      <c r="IPG49"/>
      <c r="IPH49"/>
      <c r="IPI49"/>
      <c r="IPJ49"/>
      <c r="IPK49"/>
      <c r="IPL49"/>
      <c r="IPM49"/>
      <c r="IPN49"/>
      <c r="IPO49"/>
      <c r="IPP49"/>
      <c r="IPQ49"/>
      <c r="IPR49"/>
      <c r="IPS49"/>
      <c r="IPT49"/>
      <c r="IPU49"/>
      <c r="IPV49"/>
      <c r="IPW49"/>
      <c r="IPX49"/>
      <c r="IPY49"/>
      <c r="IPZ49"/>
      <c r="IQA49"/>
      <c r="IQB49"/>
      <c r="IQC49"/>
      <c r="IQD49"/>
      <c r="IQE49"/>
      <c r="IQF49"/>
      <c r="IQG49"/>
      <c r="IQH49"/>
      <c r="IQI49"/>
      <c r="IQJ49"/>
      <c r="IQK49"/>
      <c r="IQL49"/>
      <c r="IQM49"/>
      <c r="IQN49"/>
      <c r="IQO49"/>
      <c r="IQP49"/>
      <c r="IQQ49"/>
      <c r="IQR49"/>
      <c r="IQS49"/>
      <c r="IQT49"/>
      <c r="IQU49"/>
      <c r="IQV49"/>
      <c r="IQW49"/>
      <c r="IQX49"/>
      <c r="IQY49"/>
      <c r="IQZ49"/>
      <c r="IRA49"/>
      <c r="IRB49"/>
      <c r="IRC49"/>
      <c r="IRD49"/>
      <c r="IRE49"/>
      <c r="IRF49"/>
      <c r="IRG49"/>
      <c r="IRH49"/>
      <c r="IRI49"/>
      <c r="IRJ49"/>
      <c r="IRK49"/>
      <c r="IRL49"/>
      <c r="IRM49"/>
      <c r="IRN49"/>
      <c r="IRO49"/>
      <c r="IRP49"/>
      <c r="IRQ49"/>
      <c r="IRR49"/>
      <c r="IRS49"/>
      <c r="IRT49"/>
      <c r="IRU49"/>
      <c r="IRV49"/>
      <c r="IRW49"/>
      <c r="IRX49"/>
      <c r="IRY49"/>
      <c r="IRZ49"/>
      <c r="ISA49"/>
      <c r="ISB49"/>
      <c r="ISC49"/>
      <c r="ISD49"/>
      <c r="ISE49"/>
      <c r="ISF49"/>
      <c r="ISG49"/>
      <c r="ISH49"/>
      <c r="ISI49"/>
      <c r="ISJ49"/>
      <c r="ISK49"/>
      <c r="ISL49"/>
      <c r="ISM49"/>
      <c r="ISN49"/>
      <c r="ISO49"/>
      <c r="ISP49"/>
      <c r="ISQ49"/>
      <c r="ISR49"/>
      <c r="ISS49"/>
      <c r="IST49"/>
      <c r="ISU49"/>
      <c r="ISV49"/>
      <c r="ISW49"/>
      <c r="ISX49"/>
      <c r="ISY49"/>
      <c r="ISZ49"/>
      <c r="ITA49"/>
      <c r="ITB49"/>
      <c r="ITC49"/>
      <c r="ITD49"/>
      <c r="ITE49"/>
      <c r="ITF49"/>
      <c r="ITG49"/>
      <c r="ITH49"/>
      <c r="ITI49"/>
      <c r="ITJ49"/>
      <c r="ITK49"/>
      <c r="ITL49"/>
      <c r="ITM49"/>
      <c r="ITN49"/>
      <c r="ITO49"/>
      <c r="ITP49"/>
      <c r="ITQ49"/>
      <c r="ITR49"/>
      <c r="ITS49"/>
      <c r="ITT49"/>
      <c r="ITU49"/>
      <c r="ITV49"/>
      <c r="ITW49"/>
      <c r="ITX49"/>
      <c r="ITY49"/>
      <c r="ITZ49"/>
      <c r="IUA49"/>
      <c r="IUB49"/>
      <c r="IUC49"/>
      <c r="IUD49"/>
      <c r="IUE49"/>
      <c r="IUF49"/>
      <c r="IUG49"/>
      <c r="IUH49"/>
      <c r="IUI49"/>
      <c r="IUJ49"/>
      <c r="IUK49"/>
      <c r="IUL49"/>
      <c r="IUM49"/>
      <c r="IUN49"/>
      <c r="IUO49"/>
      <c r="IUP49"/>
      <c r="IUQ49"/>
      <c r="IUR49"/>
      <c r="IUS49"/>
      <c r="IUT49"/>
      <c r="IUU49"/>
      <c r="IUV49"/>
      <c r="IUW49"/>
      <c r="IUX49"/>
      <c r="IUY49"/>
      <c r="IUZ49"/>
      <c r="IVA49"/>
      <c r="IVB49"/>
      <c r="IVC49"/>
      <c r="IVD49"/>
      <c r="IVE49"/>
      <c r="IVF49"/>
      <c r="IVG49"/>
      <c r="IVH49"/>
      <c r="IVI49"/>
      <c r="IVJ49"/>
      <c r="IVK49"/>
      <c r="IVL49"/>
      <c r="IVM49"/>
      <c r="IVN49"/>
      <c r="IVO49"/>
      <c r="IVP49"/>
      <c r="IVQ49"/>
      <c r="IVR49"/>
      <c r="IVS49"/>
      <c r="IVT49"/>
      <c r="IVU49"/>
      <c r="IVV49"/>
      <c r="IVW49"/>
      <c r="IVX49"/>
      <c r="IVY49"/>
      <c r="IVZ49"/>
      <c r="IWA49"/>
      <c r="IWB49"/>
      <c r="IWC49"/>
      <c r="IWD49"/>
      <c r="IWE49"/>
      <c r="IWF49"/>
      <c r="IWG49"/>
      <c r="IWH49"/>
      <c r="IWI49"/>
      <c r="IWJ49"/>
      <c r="IWK49"/>
      <c r="IWL49"/>
      <c r="IWM49"/>
      <c r="IWN49"/>
      <c r="IWO49"/>
      <c r="IWP49"/>
      <c r="IWQ49"/>
      <c r="IWR49"/>
      <c r="IWS49"/>
      <c r="IWT49"/>
      <c r="IWU49"/>
      <c r="IWV49"/>
      <c r="IWW49"/>
      <c r="IWX49"/>
      <c r="IWY49"/>
      <c r="IWZ49"/>
      <c r="IXA49"/>
      <c r="IXB49"/>
      <c r="IXC49"/>
      <c r="IXD49"/>
      <c r="IXE49"/>
      <c r="IXF49"/>
      <c r="IXG49"/>
      <c r="IXH49"/>
      <c r="IXI49"/>
      <c r="IXJ49"/>
      <c r="IXK49"/>
      <c r="IXL49"/>
      <c r="IXM49"/>
      <c r="IXN49"/>
      <c r="IXO49"/>
      <c r="IXP49"/>
      <c r="IXQ49"/>
      <c r="IXR49"/>
      <c r="IXS49"/>
      <c r="IXT49"/>
      <c r="IXU49"/>
      <c r="IXV49"/>
      <c r="IXW49"/>
      <c r="IXX49"/>
      <c r="IXY49"/>
      <c r="IXZ49"/>
      <c r="IYA49"/>
      <c r="IYB49"/>
      <c r="IYC49"/>
      <c r="IYD49"/>
      <c r="IYE49"/>
      <c r="IYF49"/>
      <c r="IYG49"/>
      <c r="IYH49"/>
      <c r="IYI49"/>
      <c r="IYJ49"/>
      <c r="IYK49"/>
      <c r="IYL49"/>
      <c r="IYM49"/>
      <c r="IYN49"/>
      <c r="IYO49"/>
      <c r="IYP49"/>
      <c r="IYQ49"/>
      <c r="IYR49"/>
      <c r="IYS49"/>
      <c r="IYT49"/>
      <c r="IYU49"/>
      <c r="IYV49"/>
      <c r="IYW49"/>
      <c r="IYX49"/>
      <c r="IYY49"/>
      <c r="IYZ49"/>
      <c r="IZA49"/>
      <c r="IZB49"/>
      <c r="IZC49"/>
      <c r="IZD49"/>
      <c r="IZE49"/>
      <c r="IZF49"/>
      <c r="IZG49"/>
      <c r="IZH49"/>
      <c r="IZI49"/>
      <c r="IZJ49"/>
      <c r="IZK49"/>
      <c r="IZL49"/>
      <c r="IZM49"/>
      <c r="IZN49"/>
      <c r="IZO49"/>
      <c r="IZP49"/>
      <c r="IZQ49"/>
      <c r="IZR49"/>
      <c r="IZS49"/>
      <c r="IZT49"/>
      <c r="IZU49"/>
      <c r="IZV49"/>
      <c r="IZW49"/>
      <c r="IZX49"/>
      <c r="IZY49"/>
      <c r="IZZ49"/>
      <c r="JAA49"/>
      <c r="JAB49"/>
      <c r="JAC49"/>
      <c r="JAD49"/>
      <c r="JAE49"/>
      <c r="JAF49"/>
      <c r="JAG49"/>
      <c r="JAH49"/>
      <c r="JAI49"/>
      <c r="JAJ49"/>
      <c r="JAK49"/>
      <c r="JAL49"/>
      <c r="JAM49"/>
      <c r="JAN49"/>
      <c r="JAO49"/>
      <c r="JAP49"/>
      <c r="JAQ49"/>
      <c r="JAR49"/>
      <c r="JAS49"/>
      <c r="JAT49"/>
      <c r="JAU49"/>
      <c r="JAV49"/>
      <c r="JAW49"/>
      <c r="JAX49"/>
      <c r="JAY49"/>
      <c r="JAZ49"/>
      <c r="JBA49"/>
      <c r="JBB49"/>
      <c r="JBC49"/>
      <c r="JBD49"/>
      <c r="JBE49"/>
      <c r="JBF49"/>
      <c r="JBG49"/>
      <c r="JBH49"/>
      <c r="JBI49"/>
      <c r="JBJ49"/>
      <c r="JBK49"/>
      <c r="JBL49"/>
      <c r="JBM49"/>
      <c r="JBN49"/>
      <c r="JBO49"/>
      <c r="JBP49"/>
      <c r="JBQ49"/>
      <c r="JBR49"/>
      <c r="JBS49"/>
      <c r="JBT49"/>
      <c r="JBU49"/>
      <c r="JBV49"/>
      <c r="JBW49"/>
      <c r="JBX49"/>
      <c r="JBY49"/>
      <c r="JBZ49"/>
      <c r="JCA49"/>
      <c r="JCB49"/>
      <c r="JCC49"/>
      <c r="JCD49"/>
      <c r="JCE49"/>
      <c r="JCF49"/>
      <c r="JCG49"/>
      <c r="JCH49"/>
      <c r="JCI49"/>
      <c r="JCJ49"/>
      <c r="JCK49"/>
      <c r="JCL49"/>
      <c r="JCM49"/>
      <c r="JCN49"/>
      <c r="JCO49"/>
      <c r="JCP49"/>
      <c r="JCQ49"/>
      <c r="JCR49"/>
      <c r="JCS49"/>
      <c r="JCT49"/>
      <c r="JCU49"/>
      <c r="JCV49"/>
      <c r="JCW49"/>
      <c r="JCX49"/>
      <c r="JCY49"/>
      <c r="JCZ49"/>
      <c r="JDA49"/>
      <c r="JDB49"/>
      <c r="JDC49"/>
      <c r="JDD49"/>
      <c r="JDE49"/>
      <c r="JDF49"/>
      <c r="JDG49"/>
      <c r="JDH49"/>
      <c r="JDI49"/>
      <c r="JDJ49"/>
      <c r="JDK49"/>
      <c r="JDL49"/>
      <c r="JDM49"/>
      <c r="JDN49"/>
      <c r="JDO49"/>
      <c r="JDP49"/>
      <c r="JDQ49"/>
      <c r="JDR49"/>
      <c r="JDS49"/>
      <c r="JDT49"/>
      <c r="JDU49"/>
      <c r="JDV49"/>
      <c r="JDW49"/>
      <c r="JDX49"/>
      <c r="JDY49"/>
      <c r="JDZ49"/>
      <c r="JEA49"/>
      <c r="JEB49"/>
      <c r="JEC49"/>
      <c r="JED49"/>
      <c r="JEE49"/>
      <c r="JEF49"/>
      <c r="JEG49"/>
      <c r="JEH49"/>
      <c r="JEI49"/>
      <c r="JEJ49"/>
      <c r="JEK49"/>
      <c r="JEL49"/>
      <c r="JEM49"/>
      <c r="JEN49"/>
      <c r="JEO49"/>
      <c r="JEP49"/>
      <c r="JEQ49"/>
      <c r="JER49"/>
      <c r="JES49"/>
      <c r="JET49"/>
      <c r="JEU49"/>
      <c r="JEV49"/>
      <c r="JEW49"/>
      <c r="JEX49"/>
      <c r="JEY49"/>
      <c r="JEZ49"/>
      <c r="JFA49"/>
      <c r="JFB49"/>
      <c r="JFC49"/>
      <c r="JFD49"/>
      <c r="JFE49"/>
      <c r="JFF49"/>
      <c r="JFG49"/>
      <c r="JFH49"/>
      <c r="JFI49"/>
      <c r="JFJ49"/>
      <c r="JFK49"/>
      <c r="JFL49"/>
      <c r="JFM49"/>
      <c r="JFN49"/>
      <c r="JFO49"/>
      <c r="JFP49"/>
      <c r="JFQ49"/>
      <c r="JFR49"/>
      <c r="JFS49"/>
      <c r="JFT49"/>
      <c r="JFU49"/>
      <c r="JFV49"/>
      <c r="JFW49"/>
      <c r="JFX49"/>
      <c r="JFY49"/>
      <c r="JFZ49"/>
      <c r="JGA49"/>
      <c r="JGB49"/>
      <c r="JGC49"/>
      <c r="JGD49"/>
      <c r="JGE49"/>
      <c r="JGF49"/>
      <c r="JGG49"/>
      <c r="JGH49"/>
      <c r="JGI49"/>
      <c r="JGJ49"/>
      <c r="JGK49"/>
      <c r="JGL49"/>
      <c r="JGM49"/>
      <c r="JGN49"/>
      <c r="JGO49"/>
      <c r="JGP49"/>
      <c r="JGQ49"/>
      <c r="JGR49"/>
      <c r="JGS49"/>
      <c r="JGT49"/>
      <c r="JGU49"/>
      <c r="JGV49"/>
      <c r="JGW49"/>
      <c r="JGX49"/>
      <c r="JGY49"/>
      <c r="JGZ49"/>
      <c r="JHA49"/>
      <c r="JHB49"/>
      <c r="JHC49"/>
      <c r="JHD49"/>
      <c r="JHE49"/>
      <c r="JHF49"/>
      <c r="JHG49"/>
      <c r="JHH49"/>
      <c r="JHI49"/>
      <c r="JHJ49"/>
      <c r="JHK49"/>
      <c r="JHL49"/>
      <c r="JHM49"/>
      <c r="JHN49"/>
      <c r="JHO49"/>
      <c r="JHP49"/>
      <c r="JHQ49"/>
      <c r="JHR49"/>
      <c r="JHS49"/>
      <c r="JHT49"/>
      <c r="JHU49"/>
      <c r="JHV49"/>
      <c r="JHW49"/>
      <c r="JHX49"/>
      <c r="JHY49"/>
      <c r="JHZ49"/>
      <c r="JIA49"/>
      <c r="JIB49"/>
      <c r="JIC49"/>
      <c r="JID49"/>
      <c r="JIE49"/>
      <c r="JIF49"/>
      <c r="JIG49"/>
      <c r="JIH49"/>
      <c r="JII49"/>
      <c r="JIJ49"/>
      <c r="JIK49"/>
      <c r="JIL49"/>
      <c r="JIM49"/>
      <c r="JIN49"/>
      <c r="JIO49"/>
      <c r="JIP49"/>
      <c r="JIQ49"/>
      <c r="JIR49"/>
      <c r="JIS49"/>
      <c r="JIT49"/>
      <c r="JIU49"/>
      <c r="JIV49"/>
      <c r="JIW49"/>
      <c r="JIX49"/>
      <c r="JIY49"/>
      <c r="JIZ49"/>
      <c r="JJA49"/>
      <c r="JJB49"/>
      <c r="JJC49"/>
      <c r="JJD49"/>
      <c r="JJE49"/>
      <c r="JJF49"/>
      <c r="JJG49"/>
      <c r="JJH49"/>
      <c r="JJI49"/>
      <c r="JJJ49"/>
      <c r="JJK49"/>
      <c r="JJL49"/>
      <c r="JJM49"/>
      <c r="JJN49"/>
      <c r="JJO49"/>
      <c r="JJP49"/>
      <c r="JJQ49"/>
      <c r="JJR49"/>
      <c r="JJS49"/>
      <c r="JJT49"/>
      <c r="JJU49"/>
      <c r="JJV49"/>
      <c r="JJW49"/>
      <c r="JJX49"/>
      <c r="JJY49"/>
      <c r="JJZ49"/>
      <c r="JKA49"/>
      <c r="JKB49"/>
      <c r="JKC49"/>
      <c r="JKD49"/>
      <c r="JKE49"/>
      <c r="JKF49"/>
      <c r="JKG49"/>
      <c r="JKH49"/>
      <c r="JKI49"/>
      <c r="JKJ49"/>
      <c r="JKK49"/>
      <c r="JKL49"/>
      <c r="JKM49"/>
      <c r="JKN49"/>
      <c r="JKO49"/>
      <c r="JKP49"/>
      <c r="JKQ49"/>
      <c r="JKR49"/>
      <c r="JKS49"/>
      <c r="JKT49"/>
      <c r="JKU49"/>
      <c r="JKV49"/>
      <c r="JKW49"/>
      <c r="JKX49"/>
      <c r="JKY49"/>
      <c r="JKZ49"/>
      <c r="JLA49"/>
      <c r="JLB49"/>
      <c r="JLC49"/>
      <c r="JLD49"/>
      <c r="JLE49"/>
      <c r="JLF49"/>
      <c r="JLG49"/>
      <c r="JLH49"/>
      <c r="JLI49"/>
      <c r="JLJ49"/>
      <c r="JLK49"/>
      <c r="JLL49"/>
      <c r="JLM49"/>
      <c r="JLN49"/>
      <c r="JLO49"/>
      <c r="JLP49"/>
      <c r="JLQ49"/>
      <c r="JLR49"/>
      <c r="JLS49"/>
      <c r="JLT49"/>
      <c r="JLU49"/>
      <c r="JLV49"/>
      <c r="JLW49"/>
      <c r="JLX49"/>
      <c r="JLY49"/>
      <c r="JLZ49"/>
      <c r="JMA49"/>
      <c r="JMB49"/>
      <c r="JMC49"/>
      <c r="JMD49"/>
      <c r="JME49"/>
      <c r="JMF49"/>
      <c r="JMG49"/>
      <c r="JMH49"/>
      <c r="JMI49"/>
      <c r="JMJ49"/>
      <c r="JMK49"/>
      <c r="JML49"/>
      <c r="JMM49"/>
      <c r="JMN49"/>
      <c r="JMO49"/>
      <c r="JMP49"/>
      <c r="JMQ49"/>
      <c r="JMR49"/>
      <c r="JMS49"/>
      <c r="JMT49"/>
      <c r="JMU49"/>
      <c r="JMV49"/>
      <c r="JMW49"/>
      <c r="JMX49"/>
      <c r="JMY49"/>
      <c r="JMZ49"/>
      <c r="JNA49"/>
      <c r="JNB49"/>
      <c r="JNC49"/>
      <c r="JND49"/>
      <c r="JNE49"/>
      <c r="JNF49"/>
      <c r="JNG49"/>
      <c r="JNH49"/>
      <c r="JNI49"/>
      <c r="JNJ49"/>
      <c r="JNK49"/>
      <c r="JNL49"/>
      <c r="JNM49"/>
      <c r="JNN49"/>
      <c r="JNO49"/>
      <c r="JNP49"/>
      <c r="JNQ49"/>
      <c r="JNR49"/>
      <c r="JNS49"/>
      <c r="JNT49"/>
      <c r="JNU49"/>
      <c r="JNV49"/>
      <c r="JNW49"/>
      <c r="JNX49"/>
      <c r="JNY49"/>
      <c r="JNZ49"/>
      <c r="JOA49"/>
      <c r="JOB49"/>
      <c r="JOC49"/>
      <c r="JOD49"/>
      <c r="JOE49"/>
      <c r="JOF49"/>
      <c r="JOG49"/>
      <c r="JOH49"/>
      <c r="JOI49"/>
      <c r="JOJ49"/>
      <c r="JOK49"/>
      <c r="JOL49"/>
      <c r="JOM49"/>
      <c r="JON49"/>
      <c r="JOO49"/>
      <c r="JOP49"/>
      <c r="JOQ49"/>
      <c r="JOR49"/>
      <c r="JOS49"/>
      <c r="JOT49"/>
      <c r="JOU49"/>
      <c r="JOV49"/>
      <c r="JOW49"/>
      <c r="JOX49"/>
      <c r="JOY49"/>
      <c r="JOZ49"/>
      <c r="JPA49"/>
      <c r="JPB49"/>
      <c r="JPC49"/>
      <c r="JPD49"/>
      <c r="JPE49"/>
      <c r="JPF49"/>
      <c r="JPG49"/>
      <c r="JPH49"/>
      <c r="JPI49"/>
      <c r="JPJ49"/>
      <c r="JPK49"/>
      <c r="JPL49"/>
      <c r="JPM49"/>
      <c r="JPN49"/>
      <c r="JPO49"/>
      <c r="JPP49"/>
      <c r="JPQ49"/>
      <c r="JPR49"/>
      <c r="JPS49"/>
      <c r="JPT49"/>
      <c r="JPU49"/>
      <c r="JPV49"/>
      <c r="JPW49"/>
      <c r="JPX49"/>
      <c r="JPY49"/>
      <c r="JPZ49"/>
      <c r="JQA49"/>
      <c r="JQB49"/>
      <c r="JQC49"/>
      <c r="JQD49"/>
      <c r="JQE49"/>
      <c r="JQF49"/>
      <c r="JQG49"/>
      <c r="JQH49"/>
      <c r="JQI49"/>
      <c r="JQJ49"/>
      <c r="JQK49"/>
      <c r="JQL49"/>
      <c r="JQM49"/>
      <c r="JQN49"/>
      <c r="JQO49"/>
      <c r="JQP49"/>
      <c r="JQQ49"/>
      <c r="JQR49"/>
      <c r="JQS49"/>
      <c r="JQT49"/>
      <c r="JQU49"/>
      <c r="JQV49"/>
      <c r="JQW49"/>
      <c r="JQX49"/>
      <c r="JQY49"/>
      <c r="JQZ49"/>
      <c r="JRA49"/>
      <c r="JRB49"/>
      <c r="JRC49"/>
      <c r="JRD49"/>
      <c r="JRE49"/>
      <c r="JRF49"/>
      <c r="JRG49"/>
      <c r="JRH49"/>
      <c r="JRI49"/>
      <c r="JRJ49"/>
      <c r="JRK49"/>
      <c r="JRL49"/>
      <c r="JRM49"/>
      <c r="JRN49"/>
      <c r="JRO49"/>
      <c r="JRP49"/>
      <c r="JRQ49"/>
      <c r="JRR49"/>
      <c r="JRS49"/>
      <c r="JRT49"/>
      <c r="JRU49"/>
      <c r="JRV49"/>
      <c r="JRW49"/>
      <c r="JRX49"/>
      <c r="JRY49"/>
      <c r="JRZ49"/>
      <c r="JSA49"/>
      <c r="JSB49"/>
      <c r="JSC49"/>
      <c r="JSD49"/>
      <c r="JSE49"/>
      <c r="JSF49"/>
      <c r="JSG49"/>
      <c r="JSH49"/>
      <c r="JSI49"/>
      <c r="JSJ49"/>
      <c r="JSK49"/>
      <c r="JSL49"/>
      <c r="JSM49"/>
      <c r="JSN49"/>
      <c r="JSO49"/>
      <c r="JSP49"/>
      <c r="JSQ49"/>
      <c r="JSR49"/>
      <c r="JSS49"/>
      <c r="JST49"/>
      <c r="JSU49"/>
      <c r="JSV49"/>
      <c r="JSW49"/>
      <c r="JSX49"/>
      <c r="JSY49"/>
      <c r="JSZ49"/>
      <c r="JTA49"/>
      <c r="JTB49"/>
      <c r="JTC49"/>
      <c r="JTD49"/>
      <c r="JTE49"/>
      <c r="JTF49"/>
      <c r="JTG49"/>
      <c r="JTH49"/>
      <c r="JTI49"/>
      <c r="JTJ49"/>
      <c r="JTK49"/>
      <c r="JTL49"/>
      <c r="JTM49"/>
      <c r="JTN49"/>
      <c r="JTO49"/>
      <c r="JTP49"/>
      <c r="JTQ49"/>
      <c r="JTR49"/>
      <c r="JTS49"/>
      <c r="JTT49"/>
      <c r="JTU49"/>
      <c r="JTV49"/>
      <c r="JTW49"/>
      <c r="JTX49"/>
      <c r="JTY49"/>
      <c r="JTZ49"/>
      <c r="JUA49"/>
      <c r="JUB49"/>
      <c r="JUC49"/>
      <c r="JUD49"/>
      <c r="JUE49"/>
      <c r="JUF49"/>
      <c r="JUG49"/>
      <c r="JUH49"/>
      <c r="JUI49"/>
      <c r="JUJ49"/>
      <c r="JUK49"/>
      <c r="JUL49"/>
      <c r="JUM49"/>
      <c r="JUN49"/>
      <c r="JUO49"/>
      <c r="JUP49"/>
      <c r="JUQ49"/>
      <c r="JUR49"/>
      <c r="JUS49"/>
      <c r="JUT49"/>
      <c r="JUU49"/>
      <c r="JUV49"/>
      <c r="JUW49"/>
      <c r="JUX49"/>
      <c r="JUY49"/>
      <c r="JUZ49"/>
      <c r="JVA49"/>
      <c r="JVB49"/>
      <c r="JVC49"/>
      <c r="JVD49"/>
      <c r="JVE49"/>
      <c r="JVF49"/>
      <c r="JVG49"/>
      <c r="JVH49"/>
      <c r="JVI49"/>
      <c r="JVJ49"/>
      <c r="JVK49"/>
      <c r="JVL49"/>
      <c r="JVM49"/>
      <c r="JVN49"/>
      <c r="JVO49"/>
      <c r="JVP49"/>
      <c r="JVQ49"/>
      <c r="JVR49"/>
      <c r="JVS49"/>
      <c r="JVT49"/>
      <c r="JVU49"/>
      <c r="JVV49"/>
      <c r="JVW49"/>
      <c r="JVX49"/>
      <c r="JVY49"/>
      <c r="JVZ49"/>
      <c r="JWA49"/>
      <c r="JWB49"/>
      <c r="JWC49"/>
      <c r="JWD49"/>
      <c r="JWE49"/>
      <c r="JWF49"/>
      <c r="JWG49"/>
      <c r="JWH49"/>
      <c r="JWI49"/>
      <c r="JWJ49"/>
      <c r="JWK49"/>
      <c r="JWL49"/>
      <c r="JWM49"/>
      <c r="JWN49"/>
      <c r="JWO49"/>
      <c r="JWP49"/>
      <c r="JWQ49"/>
      <c r="JWR49"/>
      <c r="JWS49"/>
      <c r="JWT49"/>
      <c r="JWU49"/>
      <c r="JWV49"/>
      <c r="JWW49"/>
      <c r="JWX49"/>
      <c r="JWY49"/>
      <c r="JWZ49"/>
      <c r="JXA49"/>
      <c r="JXB49"/>
      <c r="JXC49"/>
      <c r="JXD49"/>
      <c r="JXE49"/>
      <c r="JXF49"/>
      <c r="JXG49"/>
      <c r="JXH49"/>
      <c r="JXI49"/>
      <c r="JXJ49"/>
      <c r="JXK49"/>
      <c r="JXL49"/>
      <c r="JXM49"/>
      <c r="JXN49"/>
      <c r="JXO49"/>
      <c r="JXP49"/>
      <c r="JXQ49"/>
      <c r="JXR49"/>
      <c r="JXS49"/>
      <c r="JXT49"/>
      <c r="JXU49"/>
      <c r="JXV49"/>
      <c r="JXW49"/>
      <c r="JXX49"/>
      <c r="JXY49"/>
      <c r="JXZ49"/>
      <c r="JYA49"/>
      <c r="JYB49"/>
      <c r="JYC49"/>
      <c r="JYD49"/>
      <c r="JYE49"/>
      <c r="JYF49"/>
      <c r="JYG49"/>
      <c r="JYH49"/>
      <c r="JYI49"/>
      <c r="JYJ49"/>
      <c r="JYK49"/>
      <c r="JYL49"/>
      <c r="JYM49"/>
      <c r="JYN49"/>
      <c r="JYO49"/>
      <c r="JYP49"/>
      <c r="JYQ49"/>
      <c r="JYR49"/>
      <c r="JYS49"/>
      <c r="JYT49"/>
      <c r="JYU49"/>
      <c r="JYV49"/>
      <c r="JYW49"/>
      <c r="JYX49"/>
      <c r="JYY49"/>
      <c r="JYZ49"/>
      <c r="JZA49"/>
      <c r="JZB49"/>
      <c r="JZC49"/>
      <c r="JZD49"/>
      <c r="JZE49"/>
      <c r="JZF49"/>
      <c r="JZG49"/>
      <c r="JZH49"/>
      <c r="JZI49"/>
      <c r="JZJ49"/>
      <c r="JZK49"/>
      <c r="JZL49"/>
      <c r="JZM49"/>
      <c r="JZN49"/>
      <c r="JZO49"/>
      <c r="JZP49"/>
      <c r="JZQ49"/>
      <c r="JZR49"/>
      <c r="JZS49"/>
      <c r="JZT49"/>
      <c r="JZU49"/>
      <c r="JZV49"/>
      <c r="JZW49"/>
      <c r="JZX49"/>
      <c r="JZY49"/>
      <c r="JZZ49"/>
      <c r="KAA49"/>
      <c r="KAB49"/>
      <c r="KAC49"/>
      <c r="KAD49"/>
      <c r="KAE49"/>
      <c r="KAF49"/>
      <c r="KAG49"/>
      <c r="KAH49"/>
      <c r="KAI49"/>
      <c r="KAJ49"/>
      <c r="KAK49"/>
      <c r="KAL49"/>
      <c r="KAM49"/>
      <c r="KAN49"/>
      <c r="KAO49"/>
      <c r="KAP49"/>
      <c r="KAQ49"/>
      <c r="KAR49"/>
      <c r="KAS49"/>
      <c r="KAT49"/>
      <c r="KAU49"/>
      <c r="KAV49"/>
      <c r="KAW49"/>
      <c r="KAX49"/>
      <c r="KAY49"/>
      <c r="KAZ49"/>
      <c r="KBA49"/>
      <c r="KBB49"/>
      <c r="KBC49"/>
      <c r="KBD49"/>
      <c r="KBE49"/>
      <c r="KBF49"/>
      <c r="KBG49"/>
      <c r="KBH49"/>
      <c r="KBI49"/>
      <c r="KBJ49"/>
      <c r="KBK49"/>
      <c r="KBL49"/>
      <c r="KBM49"/>
      <c r="KBN49"/>
      <c r="KBO49"/>
      <c r="KBP49"/>
      <c r="KBQ49"/>
      <c r="KBR49"/>
      <c r="KBS49"/>
      <c r="KBT49"/>
      <c r="KBU49"/>
      <c r="KBV49"/>
      <c r="KBW49"/>
      <c r="KBX49"/>
      <c r="KBY49"/>
      <c r="KBZ49"/>
      <c r="KCA49"/>
      <c r="KCB49"/>
      <c r="KCC49"/>
      <c r="KCD49"/>
      <c r="KCE49"/>
      <c r="KCF49"/>
      <c r="KCG49"/>
      <c r="KCH49"/>
      <c r="KCI49"/>
      <c r="KCJ49"/>
      <c r="KCK49"/>
      <c r="KCL49"/>
      <c r="KCM49"/>
      <c r="KCN49"/>
      <c r="KCO49"/>
      <c r="KCP49"/>
      <c r="KCQ49"/>
      <c r="KCR49"/>
      <c r="KCS49"/>
      <c r="KCT49"/>
      <c r="KCU49"/>
      <c r="KCV49"/>
      <c r="KCW49"/>
      <c r="KCX49"/>
      <c r="KCY49"/>
      <c r="KCZ49"/>
      <c r="KDA49"/>
      <c r="KDB49"/>
      <c r="KDC49"/>
      <c r="KDD49"/>
      <c r="KDE49"/>
      <c r="KDF49"/>
      <c r="KDG49"/>
      <c r="KDH49"/>
      <c r="KDI49"/>
      <c r="KDJ49"/>
      <c r="KDK49"/>
      <c r="KDL49"/>
      <c r="KDM49"/>
      <c r="KDN49"/>
      <c r="KDO49"/>
      <c r="KDP49"/>
      <c r="KDQ49"/>
      <c r="KDR49"/>
      <c r="KDS49"/>
      <c r="KDT49"/>
      <c r="KDU49"/>
      <c r="KDV49"/>
      <c r="KDW49"/>
      <c r="KDX49"/>
      <c r="KDY49"/>
      <c r="KDZ49"/>
      <c r="KEA49"/>
      <c r="KEB49"/>
      <c r="KEC49"/>
      <c r="KED49"/>
      <c r="KEE49"/>
      <c r="KEF49"/>
      <c r="KEG49"/>
      <c r="KEH49"/>
      <c r="KEI49"/>
      <c r="KEJ49"/>
      <c r="KEK49"/>
      <c r="KEL49"/>
      <c r="KEM49"/>
      <c r="KEN49"/>
      <c r="KEO49"/>
      <c r="KEP49"/>
      <c r="KEQ49"/>
      <c r="KER49"/>
      <c r="KES49"/>
      <c r="KET49"/>
      <c r="KEU49"/>
      <c r="KEV49"/>
      <c r="KEW49"/>
      <c r="KEX49"/>
      <c r="KEY49"/>
      <c r="KEZ49"/>
      <c r="KFA49"/>
      <c r="KFB49"/>
      <c r="KFC49"/>
      <c r="KFD49"/>
      <c r="KFE49"/>
      <c r="KFF49"/>
      <c r="KFG49"/>
      <c r="KFH49"/>
      <c r="KFI49"/>
      <c r="KFJ49"/>
      <c r="KFK49"/>
      <c r="KFL49"/>
      <c r="KFM49"/>
      <c r="KFN49"/>
      <c r="KFO49"/>
      <c r="KFP49"/>
      <c r="KFQ49"/>
      <c r="KFR49"/>
      <c r="KFS49"/>
      <c r="KFT49"/>
      <c r="KFU49"/>
      <c r="KFV49"/>
      <c r="KFW49"/>
      <c r="KFX49"/>
      <c r="KFY49"/>
      <c r="KFZ49"/>
      <c r="KGA49"/>
      <c r="KGB49"/>
      <c r="KGC49"/>
      <c r="KGD49"/>
      <c r="KGE49"/>
      <c r="KGF49"/>
      <c r="KGG49"/>
      <c r="KGH49"/>
      <c r="KGI49"/>
      <c r="KGJ49"/>
      <c r="KGK49"/>
      <c r="KGL49"/>
      <c r="KGM49"/>
      <c r="KGN49"/>
      <c r="KGO49"/>
      <c r="KGP49"/>
      <c r="KGQ49"/>
      <c r="KGR49"/>
      <c r="KGS49"/>
      <c r="KGT49"/>
      <c r="KGU49"/>
      <c r="KGV49"/>
      <c r="KGW49"/>
      <c r="KGX49"/>
      <c r="KGY49"/>
      <c r="KGZ49"/>
      <c r="KHA49"/>
      <c r="KHB49"/>
      <c r="KHC49"/>
      <c r="KHD49"/>
      <c r="KHE49"/>
      <c r="KHF49"/>
      <c r="KHG49"/>
      <c r="KHH49"/>
      <c r="KHI49"/>
      <c r="KHJ49"/>
      <c r="KHK49"/>
      <c r="KHL49"/>
      <c r="KHM49"/>
      <c r="KHN49"/>
      <c r="KHO49"/>
      <c r="KHP49"/>
      <c r="KHQ49"/>
      <c r="KHR49"/>
      <c r="KHS49"/>
      <c r="KHT49"/>
      <c r="KHU49"/>
      <c r="KHV49"/>
      <c r="KHW49"/>
      <c r="KHX49"/>
      <c r="KHY49"/>
      <c r="KHZ49"/>
      <c r="KIA49"/>
      <c r="KIB49"/>
      <c r="KIC49"/>
      <c r="KID49"/>
      <c r="KIE49"/>
      <c r="KIF49"/>
      <c r="KIG49"/>
      <c r="KIH49"/>
      <c r="KII49"/>
      <c r="KIJ49"/>
      <c r="KIK49"/>
      <c r="KIL49"/>
      <c r="KIM49"/>
      <c r="KIN49"/>
      <c r="KIO49"/>
      <c r="KIP49"/>
      <c r="KIQ49"/>
      <c r="KIR49"/>
      <c r="KIS49"/>
      <c r="KIT49"/>
      <c r="KIU49"/>
      <c r="KIV49"/>
      <c r="KIW49"/>
      <c r="KIX49"/>
      <c r="KIY49"/>
      <c r="KIZ49"/>
      <c r="KJA49"/>
      <c r="KJB49"/>
      <c r="KJC49"/>
      <c r="KJD49"/>
      <c r="KJE49"/>
      <c r="KJF49"/>
      <c r="KJG49"/>
      <c r="KJH49"/>
      <c r="KJI49"/>
      <c r="KJJ49"/>
      <c r="KJK49"/>
      <c r="KJL49"/>
      <c r="KJM49"/>
      <c r="KJN49"/>
      <c r="KJO49"/>
      <c r="KJP49"/>
      <c r="KJQ49"/>
      <c r="KJR49"/>
      <c r="KJS49"/>
      <c r="KJT49"/>
      <c r="KJU49"/>
      <c r="KJV49"/>
      <c r="KJW49"/>
      <c r="KJX49"/>
      <c r="KJY49"/>
      <c r="KJZ49"/>
      <c r="KKA49"/>
      <c r="KKB49"/>
      <c r="KKC49"/>
      <c r="KKD49"/>
      <c r="KKE49"/>
      <c r="KKF49"/>
      <c r="KKG49"/>
      <c r="KKH49"/>
      <c r="KKI49"/>
      <c r="KKJ49"/>
      <c r="KKK49"/>
      <c r="KKL49"/>
      <c r="KKM49"/>
      <c r="KKN49"/>
      <c r="KKO49"/>
      <c r="KKP49"/>
      <c r="KKQ49"/>
      <c r="KKR49"/>
      <c r="KKS49"/>
      <c r="KKT49"/>
      <c r="KKU49"/>
      <c r="KKV49"/>
      <c r="KKW49"/>
      <c r="KKX49"/>
      <c r="KKY49"/>
      <c r="KKZ49"/>
      <c r="KLA49"/>
      <c r="KLB49"/>
      <c r="KLC49"/>
      <c r="KLD49"/>
      <c r="KLE49"/>
      <c r="KLF49"/>
      <c r="KLG49"/>
      <c r="KLH49"/>
      <c r="KLI49"/>
      <c r="KLJ49"/>
      <c r="KLK49"/>
      <c r="KLL49"/>
      <c r="KLM49"/>
      <c r="KLN49"/>
      <c r="KLO49"/>
      <c r="KLP49"/>
      <c r="KLQ49"/>
      <c r="KLR49"/>
      <c r="KLS49"/>
      <c r="KLT49"/>
      <c r="KLU49"/>
      <c r="KLV49"/>
      <c r="KLW49"/>
      <c r="KLX49"/>
      <c r="KLY49"/>
      <c r="KLZ49"/>
      <c r="KMA49"/>
      <c r="KMB49"/>
      <c r="KMC49"/>
      <c r="KMD49"/>
      <c r="KME49"/>
      <c r="KMF49"/>
      <c r="KMG49"/>
      <c r="KMH49"/>
      <c r="KMI49"/>
      <c r="KMJ49"/>
      <c r="KMK49"/>
      <c r="KML49"/>
      <c r="KMM49"/>
      <c r="KMN49"/>
      <c r="KMO49"/>
      <c r="KMP49"/>
      <c r="KMQ49"/>
      <c r="KMR49"/>
      <c r="KMS49"/>
      <c r="KMT49"/>
      <c r="KMU49"/>
      <c r="KMV49"/>
      <c r="KMW49"/>
      <c r="KMX49"/>
      <c r="KMY49"/>
      <c r="KMZ49"/>
      <c r="KNA49"/>
      <c r="KNB49"/>
      <c r="KNC49"/>
      <c r="KND49"/>
      <c r="KNE49"/>
      <c r="KNF49"/>
      <c r="KNG49"/>
      <c r="KNH49"/>
      <c r="KNI49"/>
      <c r="KNJ49"/>
      <c r="KNK49"/>
      <c r="KNL49"/>
      <c r="KNM49"/>
      <c r="KNN49"/>
      <c r="KNO49"/>
      <c r="KNP49"/>
      <c r="KNQ49"/>
      <c r="KNR49"/>
      <c r="KNS49"/>
      <c r="KNT49"/>
      <c r="KNU49"/>
      <c r="KNV49"/>
      <c r="KNW49"/>
      <c r="KNX49"/>
      <c r="KNY49"/>
      <c r="KNZ49"/>
      <c r="KOA49"/>
      <c r="KOB49"/>
      <c r="KOC49"/>
      <c r="KOD49"/>
      <c r="KOE49"/>
      <c r="KOF49"/>
      <c r="KOG49"/>
      <c r="KOH49"/>
      <c r="KOI49"/>
      <c r="KOJ49"/>
      <c r="KOK49"/>
      <c r="KOL49"/>
      <c r="KOM49"/>
      <c r="KON49"/>
      <c r="KOO49"/>
      <c r="KOP49"/>
      <c r="KOQ49"/>
      <c r="KOR49"/>
      <c r="KOS49"/>
      <c r="KOT49"/>
      <c r="KOU49"/>
      <c r="KOV49"/>
      <c r="KOW49"/>
      <c r="KOX49"/>
      <c r="KOY49"/>
      <c r="KOZ49"/>
      <c r="KPA49"/>
      <c r="KPB49"/>
      <c r="KPC49"/>
      <c r="KPD49"/>
      <c r="KPE49"/>
      <c r="KPF49"/>
      <c r="KPG49"/>
      <c r="KPH49"/>
      <c r="KPI49"/>
      <c r="KPJ49"/>
      <c r="KPK49"/>
      <c r="KPL49"/>
      <c r="KPM49"/>
      <c r="KPN49"/>
      <c r="KPO49"/>
      <c r="KPP49"/>
      <c r="KPQ49"/>
      <c r="KPR49"/>
      <c r="KPS49"/>
      <c r="KPT49"/>
      <c r="KPU49"/>
      <c r="KPV49"/>
      <c r="KPW49"/>
      <c r="KPX49"/>
      <c r="KPY49"/>
      <c r="KPZ49"/>
      <c r="KQA49"/>
      <c r="KQB49"/>
      <c r="KQC49"/>
      <c r="KQD49"/>
      <c r="KQE49"/>
      <c r="KQF49"/>
      <c r="KQG49"/>
      <c r="KQH49"/>
      <c r="KQI49"/>
      <c r="KQJ49"/>
      <c r="KQK49"/>
      <c r="KQL49"/>
      <c r="KQM49"/>
      <c r="KQN49"/>
      <c r="KQO49"/>
      <c r="KQP49"/>
      <c r="KQQ49"/>
      <c r="KQR49"/>
      <c r="KQS49"/>
      <c r="KQT49"/>
      <c r="KQU49"/>
      <c r="KQV49"/>
      <c r="KQW49"/>
      <c r="KQX49"/>
      <c r="KQY49"/>
      <c r="KQZ49"/>
      <c r="KRA49"/>
      <c r="KRB49"/>
      <c r="KRC49"/>
      <c r="KRD49"/>
      <c r="KRE49"/>
      <c r="KRF49"/>
      <c r="KRG49"/>
      <c r="KRH49"/>
      <c r="KRI49"/>
      <c r="KRJ49"/>
      <c r="KRK49"/>
      <c r="KRL49"/>
      <c r="KRM49"/>
      <c r="KRN49"/>
      <c r="KRO49"/>
      <c r="KRP49"/>
      <c r="KRQ49"/>
      <c r="KRR49"/>
      <c r="KRS49"/>
      <c r="KRT49"/>
      <c r="KRU49"/>
      <c r="KRV49"/>
      <c r="KRW49"/>
      <c r="KRX49"/>
      <c r="KRY49"/>
      <c r="KRZ49"/>
      <c r="KSA49"/>
      <c r="KSB49"/>
      <c r="KSC49"/>
      <c r="KSD49"/>
      <c r="KSE49"/>
      <c r="KSF49"/>
      <c r="KSG49"/>
      <c r="KSH49"/>
      <c r="KSI49"/>
      <c r="KSJ49"/>
      <c r="KSK49"/>
      <c r="KSL49"/>
      <c r="KSM49"/>
      <c r="KSN49"/>
      <c r="KSO49"/>
      <c r="KSP49"/>
      <c r="KSQ49"/>
      <c r="KSR49"/>
      <c r="KSS49"/>
      <c r="KST49"/>
      <c r="KSU49"/>
      <c r="KSV49"/>
      <c r="KSW49"/>
      <c r="KSX49"/>
      <c r="KSY49"/>
      <c r="KSZ49"/>
      <c r="KTA49"/>
      <c r="KTB49"/>
      <c r="KTC49"/>
      <c r="KTD49"/>
      <c r="KTE49"/>
      <c r="KTF49"/>
      <c r="KTG49"/>
      <c r="KTH49"/>
      <c r="KTI49"/>
      <c r="KTJ49"/>
      <c r="KTK49"/>
      <c r="KTL49"/>
      <c r="KTM49"/>
      <c r="KTN49"/>
      <c r="KTO49"/>
      <c r="KTP49"/>
      <c r="KTQ49"/>
      <c r="KTR49"/>
      <c r="KTS49"/>
      <c r="KTT49"/>
      <c r="KTU49"/>
      <c r="KTV49"/>
      <c r="KTW49"/>
      <c r="KTX49"/>
      <c r="KTY49"/>
      <c r="KTZ49"/>
      <c r="KUA49"/>
      <c r="KUB49"/>
      <c r="KUC49"/>
      <c r="KUD49"/>
      <c r="KUE49"/>
      <c r="KUF49"/>
      <c r="KUG49"/>
      <c r="KUH49"/>
      <c r="KUI49"/>
      <c r="KUJ49"/>
      <c r="KUK49"/>
      <c r="KUL49"/>
      <c r="KUM49"/>
      <c r="KUN49"/>
      <c r="KUO49"/>
      <c r="KUP49"/>
      <c r="KUQ49"/>
      <c r="KUR49"/>
      <c r="KUS49"/>
      <c r="KUT49"/>
      <c r="KUU49"/>
      <c r="KUV49"/>
      <c r="KUW49"/>
      <c r="KUX49"/>
      <c r="KUY49"/>
      <c r="KUZ49"/>
      <c r="KVA49"/>
      <c r="KVB49"/>
      <c r="KVC49"/>
      <c r="KVD49"/>
      <c r="KVE49"/>
      <c r="KVF49"/>
      <c r="KVG49"/>
      <c r="KVH49"/>
      <c r="KVI49"/>
      <c r="KVJ49"/>
      <c r="KVK49"/>
      <c r="KVL49"/>
      <c r="KVM49"/>
      <c r="KVN49"/>
      <c r="KVO49"/>
      <c r="KVP49"/>
      <c r="KVQ49"/>
      <c r="KVR49"/>
      <c r="KVS49"/>
      <c r="KVT49"/>
      <c r="KVU49"/>
      <c r="KVV49"/>
      <c r="KVW49"/>
      <c r="KVX49"/>
      <c r="KVY49"/>
      <c r="KVZ49"/>
      <c r="KWA49"/>
      <c r="KWB49"/>
      <c r="KWC49"/>
      <c r="KWD49"/>
      <c r="KWE49"/>
      <c r="KWF49"/>
      <c r="KWG49"/>
      <c r="KWH49"/>
      <c r="KWI49"/>
      <c r="KWJ49"/>
      <c r="KWK49"/>
      <c r="KWL49"/>
      <c r="KWM49"/>
      <c r="KWN49"/>
      <c r="KWO49"/>
      <c r="KWP49"/>
      <c r="KWQ49"/>
      <c r="KWR49"/>
      <c r="KWS49"/>
      <c r="KWT49"/>
      <c r="KWU49"/>
      <c r="KWV49"/>
      <c r="KWW49"/>
      <c r="KWX49"/>
      <c r="KWY49"/>
      <c r="KWZ49"/>
      <c r="KXA49"/>
      <c r="KXB49"/>
      <c r="KXC49"/>
      <c r="KXD49"/>
      <c r="KXE49"/>
      <c r="KXF49"/>
      <c r="KXG49"/>
      <c r="KXH49"/>
      <c r="KXI49"/>
      <c r="KXJ49"/>
      <c r="KXK49"/>
      <c r="KXL49"/>
      <c r="KXM49"/>
      <c r="KXN49"/>
      <c r="KXO49"/>
      <c r="KXP49"/>
      <c r="KXQ49"/>
      <c r="KXR49"/>
      <c r="KXS49"/>
      <c r="KXT49"/>
      <c r="KXU49"/>
      <c r="KXV49"/>
      <c r="KXW49"/>
      <c r="KXX49"/>
      <c r="KXY49"/>
      <c r="KXZ49"/>
      <c r="KYA49"/>
      <c r="KYB49"/>
      <c r="KYC49"/>
      <c r="KYD49"/>
      <c r="KYE49"/>
      <c r="KYF49"/>
      <c r="KYG49"/>
      <c r="KYH49"/>
      <c r="KYI49"/>
      <c r="KYJ49"/>
      <c r="KYK49"/>
      <c r="KYL49"/>
      <c r="KYM49"/>
      <c r="KYN49"/>
      <c r="KYO49"/>
      <c r="KYP49"/>
      <c r="KYQ49"/>
      <c r="KYR49"/>
      <c r="KYS49"/>
      <c r="KYT49"/>
      <c r="KYU49"/>
      <c r="KYV49"/>
      <c r="KYW49"/>
      <c r="KYX49"/>
      <c r="KYY49"/>
      <c r="KYZ49"/>
      <c r="KZA49"/>
      <c r="KZB49"/>
      <c r="KZC49"/>
      <c r="KZD49"/>
      <c r="KZE49"/>
      <c r="KZF49"/>
      <c r="KZG49"/>
      <c r="KZH49"/>
      <c r="KZI49"/>
      <c r="KZJ49"/>
      <c r="KZK49"/>
      <c r="KZL49"/>
      <c r="KZM49"/>
      <c r="KZN49"/>
      <c r="KZO49"/>
      <c r="KZP49"/>
      <c r="KZQ49"/>
      <c r="KZR49"/>
      <c r="KZS49"/>
      <c r="KZT49"/>
      <c r="KZU49"/>
      <c r="KZV49"/>
      <c r="KZW49"/>
      <c r="KZX49"/>
      <c r="KZY49"/>
      <c r="KZZ49"/>
      <c r="LAA49"/>
      <c r="LAB49"/>
      <c r="LAC49"/>
      <c r="LAD49"/>
      <c r="LAE49"/>
      <c r="LAF49"/>
      <c r="LAG49"/>
      <c r="LAH49"/>
      <c r="LAI49"/>
      <c r="LAJ49"/>
      <c r="LAK49"/>
      <c r="LAL49"/>
      <c r="LAM49"/>
      <c r="LAN49"/>
      <c r="LAO49"/>
      <c r="LAP49"/>
      <c r="LAQ49"/>
      <c r="LAR49"/>
      <c r="LAS49"/>
      <c r="LAT49"/>
      <c r="LAU49"/>
      <c r="LAV49"/>
      <c r="LAW49"/>
      <c r="LAX49"/>
      <c r="LAY49"/>
      <c r="LAZ49"/>
      <c r="LBA49"/>
      <c r="LBB49"/>
      <c r="LBC49"/>
      <c r="LBD49"/>
      <c r="LBE49"/>
      <c r="LBF49"/>
      <c r="LBG49"/>
      <c r="LBH49"/>
      <c r="LBI49"/>
      <c r="LBJ49"/>
      <c r="LBK49"/>
      <c r="LBL49"/>
      <c r="LBM49"/>
      <c r="LBN49"/>
      <c r="LBO49"/>
      <c r="LBP49"/>
      <c r="LBQ49"/>
      <c r="LBR49"/>
      <c r="LBS49"/>
      <c r="LBT49"/>
      <c r="LBU49"/>
      <c r="LBV49"/>
      <c r="LBW49"/>
      <c r="LBX49"/>
      <c r="LBY49"/>
      <c r="LBZ49"/>
      <c r="LCA49"/>
      <c r="LCB49"/>
      <c r="LCC49"/>
      <c r="LCD49"/>
      <c r="LCE49"/>
      <c r="LCF49"/>
      <c r="LCG49"/>
      <c r="LCH49"/>
      <c r="LCI49"/>
      <c r="LCJ49"/>
      <c r="LCK49"/>
      <c r="LCL49"/>
      <c r="LCM49"/>
      <c r="LCN49"/>
      <c r="LCO49"/>
      <c r="LCP49"/>
      <c r="LCQ49"/>
      <c r="LCR49"/>
      <c r="LCS49"/>
      <c r="LCT49"/>
      <c r="LCU49"/>
      <c r="LCV49"/>
      <c r="LCW49"/>
      <c r="LCX49"/>
      <c r="LCY49"/>
      <c r="LCZ49"/>
      <c r="LDA49"/>
      <c r="LDB49"/>
      <c r="LDC49"/>
      <c r="LDD49"/>
      <c r="LDE49"/>
      <c r="LDF49"/>
      <c r="LDG49"/>
      <c r="LDH49"/>
      <c r="LDI49"/>
      <c r="LDJ49"/>
      <c r="LDK49"/>
      <c r="LDL49"/>
      <c r="LDM49"/>
      <c r="LDN49"/>
      <c r="LDO49"/>
      <c r="LDP49"/>
      <c r="LDQ49"/>
      <c r="LDR49"/>
      <c r="LDS49"/>
      <c r="LDT49"/>
      <c r="LDU49"/>
      <c r="LDV49"/>
      <c r="LDW49"/>
      <c r="LDX49"/>
      <c r="LDY49"/>
      <c r="LDZ49"/>
      <c r="LEA49"/>
      <c r="LEB49"/>
      <c r="LEC49"/>
      <c r="LED49"/>
      <c r="LEE49"/>
      <c r="LEF49"/>
      <c r="LEG49"/>
      <c r="LEH49"/>
      <c r="LEI49"/>
      <c r="LEJ49"/>
      <c r="LEK49"/>
      <c r="LEL49"/>
      <c r="LEM49"/>
      <c r="LEN49"/>
      <c r="LEO49"/>
      <c r="LEP49"/>
      <c r="LEQ49"/>
      <c r="LER49"/>
      <c r="LES49"/>
      <c r="LET49"/>
      <c r="LEU49"/>
      <c r="LEV49"/>
      <c r="LEW49"/>
      <c r="LEX49"/>
      <c r="LEY49"/>
      <c r="LEZ49"/>
      <c r="LFA49"/>
      <c r="LFB49"/>
      <c r="LFC49"/>
      <c r="LFD49"/>
      <c r="LFE49"/>
      <c r="LFF49"/>
      <c r="LFG49"/>
      <c r="LFH49"/>
      <c r="LFI49"/>
      <c r="LFJ49"/>
      <c r="LFK49"/>
      <c r="LFL49"/>
      <c r="LFM49"/>
      <c r="LFN49"/>
      <c r="LFO49"/>
      <c r="LFP49"/>
      <c r="LFQ49"/>
      <c r="LFR49"/>
      <c r="LFS49"/>
      <c r="LFT49"/>
      <c r="LFU49"/>
      <c r="LFV49"/>
      <c r="LFW49"/>
      <c r="LFX49"/>
      <c r="LFY49"/>
      <c r="LFZ49"/>
      <c r="LGA49"/>
      <c r="LGB49"/>
      <c r="LGC49"/>
      <c r="LGD49"/>
      <c r="LGE49"/>
      <c r="LGF49"/>
      <c r="LGG49"/>
      <c r="LGH49"/>
      <c r="LGI49"/>
      <c r="LGJ49"/>
      <c r="LGK49"/>
      <c r="LGL49"/>
      <c r="LGM49"/>
      <c r="LGN49"/>
      <c r="LGO49"/>
      <c r="LGP49"/>
      <c r="LGQ49"/>
      <c r="LGR49"/>
      <c r="LGS49"/>
      <c r="LGT49"/>
      <c r="LGU49"/>
      <c r="LGV49"/>
      <c r="LGW49"/>
      <c r="LGX49"/>
      <c r="LGY49"/>
      <c r="LGZ49"/>
      <c r="LHA49"/>
      <c r="LHB49"/>
      <c r="LHC49"/>
      <c r="LHD49"/>
      <c r="LHE49"/>
      <c r="LHF49"/>
      <c r="LHG49"/>
      <c r="LHH49"/>
      <c r="LHI49"/>
      <c r="LHJ49"/>
      <c r="LHK49"/>
      <c r="LHL49"/>
      <c r="LHM49"/>
      <c r="LHN49"/>
      <c r="LHO49"/>
      <c r="LHP49"/>
      <c r="LHQ49"/>
      <c r="LHR49"/>
      <c r="LHS49"/>
      <c r="LHT49"/>
      <c r="LHU49"/>
      <c r="LHV49"/>
      <c r="LHW49"/>
      <c r="LHX49"/>
      <c r="LHY49"/>
      <c r="LHZ49"/>
      <c r="LIA49"/>
      <c r="LIB49"/>
      <c r="LIC49"/>
      <c r="LID49"/>
      <c r="LIE49"/>
      <c r="LIF49"/>
      <c r="LIG49"/>
      <c r="LIH49"/>
      <c r="LII49"/>
      <c r="LIJ49"/>
      <c r="LIK49"/>
      <c r="LIL49"/>
      <c r="LIM49"/>
      <c r="LIN49"/>
      <c r="LIO49"/>
      <c r="LIP49"/>
      <c r="LIQ49"/>
      <c r="LIR49"/>
      <c r="LIS49"/>
      <c r="LIT49"/>
      <c r="LIU49"/>
      <c r="LIV49"/>
      <c r="LIW49"/>
      <c r="LIX49"/>
      <c r="LIY49"/>
      <c r="LIZ49"/>
      <c r="LJA49"/>
      <c r="LJB49"/>
      <c r="LJC49"/>
      <c r="LJD49"/>
      <c r="LJE49"/>
      <c r="LJF49"/>
      <c r="LJG49"/>
      <c r="LJH49"/>
      <c r="LJI49"/>
      <c r="LJJ49"/>
      <c r="LJK49"/>
      <c r="LJL49"/>
      <c r="LJM49"/>
      <c r="LJN49"/>
      <c r="LJO49"/>
      <c r="LJP49"/>
      <c r="LJQ49"/>
      <c r="LJR49"/>
      <c r="LJS49"/>
      <c r="LJT49"/>
      <c r="LJU49"/>
      <c r="LJV49"/>
      <c r="LJW49"/>
      <c r="LJX49"/>
      <c r="LJY49"/>
      <c r="LJZ49"/>
      <c r="LKA49"/>
      <c r="LKB49"/>
      <c r="LKC49"/>
      <c r="LKD49"/>
      <c r="LKE49"/>
      <c r="LKF49"/>
      <c r="LKG49"/>
      <c r="LKH49"/>
      <c r="LKI49"/>
      <c r="LKJ49"/>
      <c r="LKK49"/>
      <c r="LKL49"/>
      <c r="LKM49"/>
      <c r="LKN49"/>
      <c r="LKO49"/>
      <c r="LKP49"/>
      <c r="LKQ49"/>
      <c r="LKR49"/>
      <c r="LKS49"/>
      <c r="LKT49"/>
      <c r="LKU49"/>
      <c r="LKV49"/>
      <c r="LKW49"/>
      <c r="LKX49"/>
      <c r="LKY49"/>
      <c r="LKZ49"/>
      <c r="LLA49"/>
      <c r="LLB49"/>
      <c r="LLC49"/>
      <c r="LLD49"/>
      <c r="LLE49"/>
      <c r="LLF49"/>
      <c r="LLG49"/>
      <c r="LLH49"/>
      <c r="LLI49"/>
      <c r="LLJ49"/>
      <c r="LLK49"/>
      <c r="LLL49"/>
      <c r="LLM49"/>
      <c r="LLN49"/>
      <c r="LLO49"/>
      <c r="LLP49"/>
      <c r="LLQ49"/>
      <c r="LLR49"/>
      <c r="LLS49"/>
      <c r="LLT49"/>
      <c r="LLU49"/>
      <c r="LLV49"/>
      <c r="LLW49"/>
      <c r="LLX49"/>
      <c r="LLY49"/>
      <c r="LLZ49"/>
      <c r="LMA49"/>
      <c r="LMB49"/>
      <c r="LMC49"/>
      <c r="LMD49"/>
      <c r="LME49"/>
      <c r="LMF49"/>
      <c r="LMG49"/>
      <c r="LMH49"/>
      <c r="LMI49"/>
      <c r="LMJ49"/>
      <c r="LMK49"/>
      <c r="LML49"/>
      <c r="LMM49"/>
      <c r="LMN49"/>
      <c r="LMO49"/>
      <c r="LMP49"/>
      <c r="LMQ49"/>
      <c r="LMR49"/>
      <c r="LMS49"/>
      <c r="LMT49"/>
      <c r="LMU49"/>
      <c r="LMV49"/>
      <c r="LMW49"/>
      <c r="LMX49"/>
      <c r="LMY49"/>
      <c r="LMZ49"/>
      <c r="LNA49"/>
      <c r="LNB49"/>
      <c r="LNC49"/>
      <c r="LND49"/>
      <c r="LNE49"/>
      <c r="LNF49"/>
      <c r="LNG49"/>
      <c r="LNH49"/>
      <c r="LNI49"/>
      <c r="LNJ49"/>
      <c r="LNK49"/>
      <c r="LNL49"/>
      <c r="LNM49"/>
      <c r="LNN49"/>
      <c r="LNO49"/>
      <c r="LNP49"/>
      <c r="LNQ49"/>
      <c r="LNR49"/>
      <c r="LNS49"/>
      <c r="LNT49"/>
      <c r="LNU49"/>
      <c r="LNV49"/>
      <c r="LNW49"/>
      <c r="LNX49"/>
      <c r="LNY49"/>
      <c r="LNZ49"/>
      <c r="LOA49"/>
      <c r="LOB49"/>
      <c r="LOC49"/>
      <c r="LOD49"/>
      <c r="LOE49"/>
      <c r="LOF49"/>
      <c r="LOG49"/>
      <c r="LOH49"/>
      <c r="LOI49"/>
      <c r="LOJ49"/>
      <c r="LOK49"/>
      <c r="LOL49"/>
      <c r="LOM49"/>
      <c r="LON49"/>
      <c r="LOO49"/>
      <c r="LOP49"/>
      <c r="LOQ49"/>
      <c r="LOR49"/>
      <c r="LOS49"/>
      <c r="LOT49"/>
      <c r="LOU49"/>
      <c r="LOV49"/>
      <c r="LOW49"/>
      <c r="LOX49"/>
      <c r="LOY49"/>
      <c r="LOZ49"/>
      <c r="LPA49"/>
      <c r="LPB49"/>
      <c r="LPC49"/>
      <c r="LPD49"/>
      <c r="LPE49"/>
      <c r="LPF49"/>
      <c r="LPG49"/>
      <c r="LPH49"/>
      <c r="LPI49"/>
      <c r="LPJ49"/>
      <c r="LPK49"/>
      <c r="LPL49"/>
      <c r="LPM49"/>
      <c r="LPN49"/>
      <c r="LPO49"/>
      <c r="LPP49"/>
      <c r="LPQ49"/>
      <c r="LPR49"/>
      <c r="LPS49"/>
      <c r="LPT49"/>
      <c r="LPU49"/>
      <c r="LPV49"/>
      <c r="LPW49"/>
      <c r="LPX49"/>
      <c r="LPY49"/>
      <c r="LPZ49"/>
      <c r="LQA49"/>
      <c r="LQB49"/>
      <c r="LQC49"/>
      <c r="LQD49"/>
      <c r="LQE49"/>
      <c r="LQF49"/>
      <c r="LQG49"/>
      <c r="LQH49"/>
      <c r="LQI49"/>
      <c r="LQJ49"/>
      <c r="LQK49"/>
      <c r="LQL49"/>
      <c r="LQM49"/>
      <c r="LQN49"/>
      <c r="LQO49"/>
      <c r="LQP49"/>
      <c r="LQQ49"/>
      <c r="LQR49"/>
      <c r="LQS49"/>
      <c r="LQT49"/>
      <c r="LQU49"/>
      <c r="LQV49"/>
      <c r="LQW49"/>
      <c r="LQX49"/>
      <c r="LQY49"/>
      <c r="LQZ49"/>
      <c r="LRA49"/>
      <c r="LRB49"/>
      <c r="LRC49"/>
      <c r="LRD49"/>
      <c r="LRE49"/>
      <c r="LRF49"/>
      <c r="LRG49"/>
      <c r="LRH49"/>
      <c r="LRI49"/>
      <c r="LRJ49"/>
      <c r="LRK49"/>
      <c r="LRL49"/>
      <c r="LRM49"/>
      <c r="LRN49"/>
      <c r="LRO49"/>
      <c r="LRP49"/>
      <c r="LRQ49"/>
      <c r="LRR49"/>
      <c r="LRS49"/>
      <c r="LRT49"/>
      <c r="LRU49"/>
      <c r="LRV49"/>
      <c r="LRW49"/>
      <c r="LRX49"/>
      <c r="LRY49"/>
      <c r="LRZ49"/>
      <c r="LSA49"/>
      <c r="LSB49"/>
      <c r="LSC49"/>
      <c r="LSD49"/>
      <c r="LSE49"/>
      <c r="LSF49"/>
      <c r="LSG49"/>
      <c r="LSH49"/>
      <c r="LSI49"/>
      <c r="LSJ49"/>
      <c r="LSK49"/>
      <c r="LSL49"/>
      <c r="LSM49"/>
      <c r="LSN49"/>
      <c r="LSO49"/>
      <c r="LSP49"/>
      <c r="LSQ49"/>
      <c r="LSR49"/>
      <c r="LSS49"/>
      <c r="LST49"/>
      <c r="LSU49"/>
      <c r="LSV49"/>
      <c r="LSW49"/>
      <c r="LSX49"/>
      <c r="LSY49"/>
      <c r="LSZ49"/>
      <c r="LTA49"/>
      <c r="LTB49"/>
      <c r="LTC49"/>
      <c r="LTD49"/>
      <c r="LTE49"/>
      <c r="LTF49"/>
      <c r="LTG49"/>
      <c r="LTH49"/>
      <c r="LTI49"/>
      <c r="LTJ49"/>
      <c r="LTK49"/>
      <c r="LTL49"/>
      <c r="LTM49"/>
      <c r="LTN49"/>
      <c r="LTO49"/>
      <c r="LTP49"/>
      <c r="LTQ49"/>
      <c r="LTR49"/>
      <c r="LTS49"/>
      <c r="LTT49"/>
      <c r="LTU49"/>
      <c r="LTV49"/>
      <c r="LTW49"/>
      <c r="LTX49"/>
      <c r="LTY49"/>
      <c r="LTZ49"/>
      <c r="LUA49"/>
      <c r="LUB49"/>
      <c r="LUC49"/>
      <c r="LUD49"/>
      <c r="LUE49"/>
      <c r="LUF49"/>
      <c r="LUG49"/>
      <c r="LUH49"/>
      <c r="LUI49"/>
      <c r="LUJ49"/>
      <c r="LUK49"/>
      <c r="LUL49"/>
      <c r="LUM49"/>
      <c r="LUN49"/>
      <c r="LUO49"/>
      <c r="LUP49"/>
      <c r="LUQ49"/>
      <c r="LUR49"/>
      <c r="LUS49"/>
      <c r="LUT49"/>
      <c r="LUU49"/>
      <c r="LUV49"/>
      <c r="LUW49"/>
      <c r="LUX49"/>
      <c r="LUY49"/>
      <c r="LUZ49"/>
      <c r="LVA49"/>
      <c r="LVB49"/>
      <c r="LVC49"/>
      <c r="LVD49"/>
      <c r="LVE49"/>
      <c r="LVF49"/>
      <c r="LVG49"/>
      <c r="LVH49"/>
      <c r="LVI49"/>
      <c r="LVJ49"/>
      <c r="LVK49"/>
      <c r="LVL49"/>
      <c r="LVM49"/>
      <c r="LVN49"/>
      <c r="LVO49"/>
      <c r="LVP49"/>
      <c r="LVQ49"/>
      <c r="LVR49"/>
      <c r="LVS49"/>
      <c r="LVT49"/>
      <c r="LVU49"/>
      <c r="LVV49"/>
      <c r="LVW49"/>
      <c r="LVX49"/>
      <c r="LVY49"/>
      <c r="LVZ49"/>
      <c r="LWA49"/>
      <c r="LWB49"/>
      <c r="LWC49"/>
      <c r="LWD49"/>
      <c r="LWE49"/>
      <c r="LWF49"/>
      <c r="LWG49"/>
      <c r="LWH49"/>
      <c r="LWI49"/>
      <c r="LWJ49"/>
      <c r="LWK49"/>
      <c r="LWL49"/>
      <c r="LWM49"/>
      <c r="LWN49"/>
      <c r="LWO49"/>
      <c r="LWP49"/>
      <c r="LWQ49"/>
      <c r="LWR49"/>
      <c r="LWS49"/>
      <c r="LWT49"/>
      <c r="LWU49"/>
      <c r="LWV49"/>
      <c r="LWW49"/>
      <c r="LWX49"/>
      <c r="LWY49"/>
      <c r="LWZ49"/>
      <c r="LXA49"/>
      <c r="LXB49"/>
      <c r="LXC49"/>
      <c r="LXD49"/>
      <c r="LXE49"/>
      <c r="LXF49"/>
      <c r="LXG49"/>
      <c r="LXH49"/>
      <c r="LXI49"/>
      <c r="LXJ49"/>
      <c r="LXK49"/>
      <c r="LXL49"/>
      <c r="LXM49"/>
      <c r="LXN49"/>
      <c r="LXO49"/>
      <c r="LXP49"/>
      <c r="LXQ49"/>
      <c r="LXR49"/>
      <c r="LXS49"/>
      <c r="LXT49"/>
      <c r="LXU49"/>
      <c r="LXV49"/>
      <c r="LXW49"/>
      <c r="LXX49"/>
      <c r="LXY49"/>
      <c r="LXZ49"/>
      <c r="LYA49"/>
      <c r="LYB49"/>
      <c r="LYC49"/>
      <c r="LYD49"/>
      <c r="LYE49"/>
      <c r="LYF49"/>
      <c r="LYG49"/>
      <c r="LYH49"/>
      <c r="LYI49"/>
      <c r="LYJ49"/>
      <c r="LYK49"/>
      <c r="LYL49"/>
      <c r="LYM49"/>
      <c r="LYN49"/>
      <c r="LYO49"/>
      <c r="LYP49"/>
      <c r="LYQ49"/>
      <c r="LYR49"/>
      <c r="LYS49"/>
      <c r="LYT49"/>
      <c r="LYU49"/>
      <c r="LYV49"/>
      <c r="LYW49"/>
      <c r="LYX49"/>
      <c r="LYY49"/>
      <c r="LYZ49"/>
      <c r="LZA49"/>
      <c r="LZB49"/>
      <c r="LZC49"/>
      <c r="LZD49"/>
      <c r="LZE49"/>
      <c r="LZF49"/>
      <c r="LZG49"/>
      <c r="LZH49"/>
      <c r="LZI49"/>
      <c r="LZJ49"/>
      <c r="LZK49"/>
      <c r="LZL49"/>
      <c r="LZM49"/>
      <c r="LZN49"/>
      <c r="LZO49"/>
      <c r="LZP49"/>
      <c r="LZQ49"/>
      <c r="LZR49"/>
      <c r="LZS49"/>
      <c r="LZT49"/>
      <c r="LZU49"/>
      <c r="LZV49"/>
      <c r="LZW49"/>
      <c r="LZX49"/>
      <c r="LZY49"/>
      <c r="LZZ49"/>
      <c r="MAA49"/>
      <c r="MAB49"/>
      <c r="MAC49"/>
      <c r="MAD49"/>
      <c r="MAE49"/>
      <c r="MAF49"/>
      <c r="MAG49"/>
      <c r="MAH49"/>
      <c r="MAI49"/>
      <c r="MAJ49"/>
      <c r="MAK49"/>
      <c r="MAL49"/>
      <c r="MAM49"/>
      <c r="MAN49"/>
      <c r="MAO49"/>
      <c r="MAP49"/>
      <c r="MAQ49"/>
      <c r="MAR49"/>
      <c r="MAS49"/>
      <c r="MAT49"/>
      <c r="MAU49"/>
      <c r="MAV49"/>
      <c r="MAW49"/>
      <c r="MAX49"/>
      <c r="MAY49"/>
      <c r="MAZ49"/>
      <c r="MBA49"/>
      <c r="MBB49"/>
      <c r="MBC49"/>
      <c r="MBD49"/>
      <c r="MBE49"/>
      <c r="MBF49"/>
      <c r="MBG49"/>
      <c r="MBH49"/>
      <c r="MBI49"/>
      <c r="MBJ49"/>
      <c r="MBK49"/>
      <c r="MBL49"/>
      <c r="MBM49"/>
      <c r="MBN49"/>
      <c r="MBO49"/>
      <c r="MBP49"/>
      <c r="MBQ49"/>
      <c r="MBR49"/>
      <c r="MBS49"/>
      <c r="MBT49"/>
      <c r="MBU49"/>
      <c r="MBV49"/>
      <c r="MBW49"/>
      <c r="MBX49"/>
      <c r="MBY49"/>
      <c r="MBZ49"/>
      <c r="MCA49"/>
      <c r="MCB49"/>
      <c r="MCC49"/>
      <c r="MCD49"/>
      <c r="MCE49"/>
      <c r="MCF49"/>
      <c r="MCG49"/>
      <c r="MCH49"/>
      <c r="MCI49"/>
      <c r="MCJ49"/>
      <c r="MCK49"/>
      <c r="MCL49"/>
      <c r="MCM49"/>
      <c r="MCN49"/>
      <c r="MCO49"/>
      <c r="MCP49"/>
      <c r="MCQ49"/>
      <c r="MCR49"/>
      <c r="MCS49"/>
      <c r="MCT49"/>
      <c r="MCU49"/>
      <c r="MCV49"/>
      <c r="MCW49"/>
      <c r="MCX49"/>
      <c r="MCY49"/>
      <c r="MCZ49"/>
      <c r="MDA49"/>
      <c r="MDB49"/>
      <c r="MDC49"/>
      <c r="MDD49"/>
      <c r="MDE49"/>
      <c r="MDF49"/>
      <c r="MDG49"/>
      <c r="MDH49"/>
      <c r="MDI49"/>
      <c r="MDJ49"/>
      <c r="MDK49"/>
      <c r="MDL49"/>
      <c r="MDM49"/>
      <c r="MDN49"/>
      <c r="MDO49"/>
      <c r="MDP49"/>
      <c r="MDQ49"/>
      <c r="MDR49"/>
      <c r="MDS49"/>
      <c r="MDT49"/>
      <c r="MDU49"/>
      <c r="MDV49"/>
      <c r="MDW49"/>
      <c r="MDX49"/>
      <c r="MDY49"/>
      <c r="MDZ49"/>
      <c r="MEA49"/>
      <c r="MEB49"/>
      <c r="MEC49"/>
      <c r="MED49"/>
      <c r="MEE49"/>
      <c r="MEF49"/>
      <c r="MEG49"/>
      <c r="MEH49"/>
      <c r="MEI49"/>
      <c r="MEJ49"/>
      <c r="MEK49"/>
      <c r="MEL49"/>
      <c r="MEM49"/>
      <c r="MEN49"/>
      <c r="MEO49"/>
      <c r="MEP49"/>
      <c r="MEQ49"/>
      <c r="MER49"/>
      <c r="MES49"/>
      <c r="MET49"/>
      <c r="MEU49"/>
      <c r="MEV49"/>
      <c r="MEW49"/>
      <c r="MEX49"/>
      <c r="MEY49"/>
      <c r="MEZ49"/>
      <c r="MFA49"/>
      <c r="MFB49"/>
      <c r="MFC49"/>
      <c r="MFD49"/>
      <c r="MFE49"/>
      <c r="MFF49"/>
      <c r="MFG49"/>
      <c r="MFH49"/>
      <c r="MFI49"/>
      <c r="MFJ49"/>
      <c r="MFK49"/>
      <c r="MFL49"/>
      <c r="MFM49"/>
      <c r="MFN49"/>
      <c r="MFO49"/>
      <c r="MFP49"/>
      <c r="MFQ49"/>
      <c r="MFR49"/>
      <c r="MFS49"/>
      <c r="MFT49"/>
      <c r="MFU49"/>
      <c r="MFV49"/>
      <c r="MFW49"/>
      <c r="MFX49"/>
      <c r="MFY49"/>
      <c r="MFZ49"/>
      <c r="MGA49"/>
      <c r="MGB49"/>
      <c r="MGC49"/>
      <c r="MGD49"/>
      <c r="MGE49"/>
      <c r="MGF49"/>
      <c r="MGG49"/>
      <c r="MGH49"/>
      <c r="MGI49"/>
      <c r="MGJ49"/>
      <c r="MGK49"/>
      <c r="MGL49"/>
      <c r="MGM49"/>
      <c r="MGN49"/>
      <c r="MGO49"/>
      <c r="MGP49"/>
      <c r="MGQ49"/>
      <c r="MGR49"/>
      <c r="MGS49"/>
      <c r="MGT49"/>
      <c r="MGU49"/>
      <c r="MGV49"/>
      <c r="MGW49"/>
      <c r="MGX49"/>
      <c r="MGY49"/>
      <c r="MGZ49"/>
      <c r="MHA49"/>
      <c r="MHB49"/>
      <c r="MHC49"/>
      <c r="MHD49"/>
      <c r="MHE49"/>
      <c r="MHF49"/>
      <c r="MHG49"/>
      <c r="MHH49"/>
      <c r="MHI49"/>
      <c r="MHJ49"/>
      <c r="MHK49"/>
      <c r="MHL49"/>
      <c r="MHM49"/>
      <c r="MHN49"/>
      <c r="MHO49"/>
      <c r="MHP49"/>
      <c r="MHQ49"/>
      <c r="MHR49"/>
      <c r="MHS49"/>
      <c r="MHT49"/>
      <c r="MHU49"/>
      <c r="MHV49"/>
      <c r="MHW49"/>
      <c r="MHX49"/>
      <c r="MHY49"/>
      <c r="MHZ49"/>
      <c r="MIA49"/>
      <c r="MIB49"/>
      <c r="MIC49"/>
      <c r="MID49"/>
      <c r="MIE49"/>
      <c r="MIF49"/>
      <c r="MIG49"/>
      <c r="MIH49"/>
      <c r="MII49"/>
      <c r="MIJ49"/>
      <c r="MIK49"/>
      <c r="MIL49"/>
      <c r="MIM49"/>
      <c r="MIN49"/>
      <c r="MIO49"/>
      <c r="MIP49"/>
      <c r="MIQ49"/>
      <c r="MIR49"/>
      <c r="MIS49"/>
      <c r="MIT49"/>
      <c r="MIU49"/>
      <c r="MIV49"/>
      <c r="MIW49"/>
      <c r="MIX49"/>
      <c r="MIY49"/>
      <c r="MIZ49"/>
      <c r="MJA49"/>
      <c r="MJB49"/>
      <c r="MJC49"/>
      <c r="MJD49"/>
      <c r="MJE49"/>
      <c r="MJF49"/>
      <c r="MJG49"/>
      <c r="MJH49"/>
      <c r="MJI49"/>
      <c r="MJJ49"/>
      <c r="MJK49"/>
      <c r="MJL49"/>
      <c r="MJM49"/>
      <c r="MJN49"/>
      <c r="MJO49"/>
      <c r="MJP49"/>
      <c r="MJQ49"/>
      <c r="MJR49"/>
      <c r="MJS49"/>
      <c r="MJT49"/>
      <c r="MJU49"/>
      <c r="MJV49"/>
      <c r="MJW49"/>
      <c r="MJX49"/>
      <c r="MJY49"/>
      <c r="MJZ49"/>
      <c r="MKA49"/>
      <c r="MKB49"/>
      <c r="MKC49"/>
      <c r="MKD49"/>
      <c r="MKE49"/>
      <c r="MKF49"/>
      <c r="MKG49"/>
      <c r="MKH49"/>
      <c r="MKI49"/>
      <c r="MKJ49"/>
      <c r="MKK49"/>
      <c r="MKL49"/>
      <c r="MKM49"/>
      <c r="MKN49"/>
      <c r="MKO49"/>
      <c r="MKP49"/>
      <c r="MKQ49"/>
      <c r="MKR49"/>
      <c r="MKS49"/>
      <c r="MKT49"/>
      <c r="MKU49"/>
      <c r="MKV49"/>
      <c r="MKW49"/>
      <c r="MKX49"/>
      <c r="MKY49"/>
      <c r="MKZ49"/>
      <c r="MLA49"/>
      <c r="MLB49"/>
      <c r="MLC49"/>
      <c r="MLD49"/>
      <c r="MLE49"/>
      <c r="MLF49"/>
      <c r="MLG49"/>
      <c r="MLH49"/>
      <c r="MLI49"/>
      <c r="MLJ49"/>
      <c r="MLK49"/>
      <c r="MLL49"/>
      <c r="MLM49"/>
      <c r="MLN49"/>
      <c r="MLO49"/>
      <c r="MLP49"/>
      <c r="MLQ49"/>
      <c r="MLR49"/>
      <c r="MLS49"/>
      <c r="MLT49"/>
      <c r="MLU49"/>
      <c r="MLV49"/>
      <c r="MLW49"/>
      <c r="MLX49"/>
      <c r="MLY49"/>
      <c r="MLZ49"/>
      <c r="MMA49"/>
      <c r="MMB49"/>
      <c r="MMC49"/>
      <c r="MMD49"/>
      <c r="MME49"/>
      <c r="MMF49"/>
      <c r="MMG49"/>
      <c r="MMH49"/>
      <c r="MMI49"/>
      <c r="MMJ49"/>
      <c r="MMK49"/>
      <c r="MML49"/>
      <c r="MMM49"/>
      <c r="MMN49"/>
      <c r="MMO49"/>
      <c r="MMP49"/>
      <c r="MMQ49"/>
      <c r="MMR49"/>
      <c r="MMS49"/>
      <c r="MMT49"/>
      <c r="MMU49"/>
      <c r="MMV49"/>
      <c r="MMW49"/>
      <c r="MMX49"/>
      <c r="MMY49"/>
      <c r="MMZ49"/>
      <c r="MNA49"/>
      <c r="MNB49"/>
      <c r="MNC49"/>
      <c r="MND49"/>
      <c r="MNE49"/>
      <c r="MNF49"/>
      <c r="MNG49"/>
      <c r="MNH49"/>
      <c r="MNI49"/>
      <c r="MNJ49"/>
      <c r="MNK49"/>
      <c r="MNL49"/>
      <c r="MNM49"/>
      <c r="MNN49"/>
      <c r="MNO49"/>
      <c r="MNP49"/>
      <c r="MNQ49"/>
      <c r="MNR49"/>
      <c r="MNS49"/>
      <c r="MNT49"/>
      <c r="MNU49"/>
      <c r="MNV49"/>
      <c r="MNW49"/>
      <c r="MNX49"/>
      <c r="MNY49"/>
      <c r="MNZ49"/>
      <c r="MOA49"/>
      <c r="MOB49"/>
      <c r="MOC49"/>
      <c r="MOD49"/>
      <c r="MOE49"/>
      <c r="MOF49"/>
      <c r="MOG49"/>
      <c r="MOH49"/>
      <c r="MOI49"/>
      <c r="MOJ49"/>
      <c r="MOK49"/>
      <c r="MOL49"/>
      <c r="MOM49"/>
      <c r="MON49"/>
      <c r="MOO49"/>
      <c r="MOP49"/>
      <c r="MOQ49"/>
      <c r="MOR49"/>
      <c r="MOS49"/>
      <c r="MOT49"/>
      <c r="MOU49"/>
      <c r="MOV49"/>
      <c r="MOW49"/>
      <c r="MOX49"/>
      <c r="MOY49"/>
      <c r="MOZ49"/>
      <c r="MPA49"/>
      <c r="MPB49"/>
      <c r="MPC49"/>
      <c r="MPD49"/>
      <c r="MPE49"/>
      <c r="MPF49"/>
      <c r="MPG49"/>
      <c r="MPH49"/>
      <c r="MPI49"/>
      <c r="MPJ49"/>
      <c r="MPK49"/>
      <c r="MPL49"/>
      <c r="MPM49"/>
      <c r="MPN49"/>
      <c r="MPO49"/>
      <c r="MPP49"/>
      <c r="MPQ49"/>
      <c r="MPR49"/>
      <c r="MPS49"/>
      <c r="MPT49"/>
      <c r="MPU49"/>
      <c r="MPV49"/>
      <c r="MPW49"/>
      <c r="MPX49"/>
      <c r="MPY49"/>
      <c r="MPZ49"/>
      <c r="MQA49"/>
      <c r="MQB49"/>
      <c r="MQC49"/>
      <c r="MQD49"/>
      <c r="MQE49"/>
      <c r="MQF49"/>
      <c r="MQG49"/>
      <c r="MQH49"/>
      <c r="MQI49"/>
      <c r="MQJ49"/>
      <c r="MQK49"/>
      <c r="MQL49"/>
      <c r="MQM49"/>
      <c r="MQN49"/>
      <c r="MQO49"/>
      <c r="MQP49"/>
      <c r="MQQ49"/>
      <c r="MQR49"/>
      <c r="MQS49"/>
      <c r="MQT49"/>
      <c r="MQU49"/>
      <c r="MQV49"/>
      <c r="MQW49"/>
      <c r="MQX49"/>
      <c r="MQY49"/>
      <c r="MQZ49"/>
      <c r="MRA49"/>
      <c r="MRB49"/>
      <c r="MRC49"/>
      <c r="MRD49"/>
      <c r="MRE49"/>
      <c r="MRF49"/>
      <c r="MRG49"/>
      <c r="MRH49"/>
      <c r="MRI49"/>
      <c r="MRJ49"/>
      <c r="MRK49"/>
      <c r="MRL49"/>
      <c r="MRM49"/>
      <c r="MRN49"/>
      <c r="MRO49"/>
      <c r="MRP49"/>
      <c r="MRQ49"/>
      <c r="MRR49"/>
      <c r="MRS49"/>
      <c r="MRT49"/>
      <c r="MRU49"/>
      <c r="MRV49"/>
      <c r="MRW49"/>
      <c r="MRX49"/>
      <c r="MRY49"/>
      <c r="MRZ49"/>
      <c r="MSA49"/>
      <c r="MSB49"/>
      <c r="MSC49"/>
      <c r="MSD49"/>
      <c r="MSE49"/>
      <c r="MSF49"/>
      <c r="MSG49"/>
      <c r="MSH49"/>
      <c r="MSI49"/>
      <c r="MSJ49"/>
      <c r="MSK49"/>
      <c r="MSL49"/>
      <c r="MSM49"/>
      <c r="MSN49"/>
      <c r="MSO49"/>
      <c r="MSP49"/>
      <c r="MSQ49"/>
      <c r="MSR49"/>
      <c r="MSS49"/>
      <c r="MST49"/>
      <c r="MSU49"/>
      <c r="MSV49"/>
      <c r="MSW49"/>
      <c r="MSX49"/>
      <c r="MSY49"/>
      <c r="MSZ49"/>
      <c r="MTA49"/>
      <c r="MTB49"/>
      <c r="MTC49"/>
      <c r="MTD49"/>
      <c r="MTE49"/>
      <c r="MTF49"/>
      <c r="MTG49"/>
      <c r="MTH49"/>
      <c r="MTI49"/>
      <c r="MTJ49"/>
      <c r="MTK49"/>
      <c r="MTL49"/>
      <c r="MTM49"/>
      <c r="MTN49"/>
      <c r="MTO49"/>
      <c r="MTP49"/>
      <c r="MTQ49"/>
      <c r="MTR49"/>
      <c r="MTS49"/>
      <c r="MTT49"/>
      <c r="MTU49"/>
      <c r="MTV49"/>
      <c r="MTW49"/>
      <c r="MTX49"/>
      <c r="MTY49"/>
      <c r="MTZ49"/>
      <c r="MUA49"/>
      <c r="MUB49"/>
      <c r="MUC49"/>
      <c r="MUD49"/>
      <c r="MUE49"/>
      <c r="MUF49"/>
      <c r="MUG49"/>
      <c r="MUH49"/>
      <c r="MUI49"/>
      <c r="MUJ49"/>
      <c r="MUK49"/>
      <c r="MUL49"/>
      <c r="MUM49"/>
      <c r="MUN49"/>
      <c r="MUO49"/>
      <c r="MUP49"/>
      <c r="MUQ49"/>
      <c r="MUR49"/>
      <c r="MUS49"/>
      <c r="MUT49"/>
      <c r="MUU49"/>
      <c r="MUV49"/>
      <c r="MUW49"/>
      <c r="MUX49"/>
      <c r="MUY49"/>
      <c r="MUZ49"/>
      <c r="MVA49"/>
      <c r="MVB49"/>
      <c r="MVC49"/>
      <c r="MVD49"/>
      <c r="MVE49"/>
      <c r="MVF49"/>
      <c r="MVG49"/>
      <c r="MVH49"/>
      <c r="MVI49"/>
      <c r="MVJ49"/>
      <c r="MVK49"/>
      <c r="MVL49"/>
      <c r="MVM49"/>
      <c r="MVN49"/>
      <c r="MVO49"/>
      <c r="MVP49"/>
      <c r="MVQ49"/>
      <c r="MVR49"/>
      <c r="MVS49"/>
      <c r="MVT49"/>
      <c r="MVU49"/>
      <c r="MVV49"/>
      <c r="MVW49"/>
      <c r="MVX49"/>
      <c r="MVY49"/>
      <c r="MVZ49"/>
      <c r="MWA49"/>
      <c r="MWB49"/>
      <c r="MWC49"/>
      <c r="MWD49"/>
      <c r="MWE49"/>
      <c r="MWF49"/>
      <c r="MWG49"/>
      <c r="MWH49"/>
      <c r="MWI49"/>
      <c r="MWJ49"/>
      <c r="MWK49"/>
      <c r="MWL49"/>
      <c r="MWM49"/>
      <c r="MWN49"/>
      <c r="MWO49"/>
      <c r="MWP49"/>
      <c r="MWQ49"/>
      <c r="MWR49"/>
      <c r="MWS49"/>
      <c r="MWT49"/>
      <c r="MWU49"/>
      <c r="MWV49"/>
      <c r="MWW49"/>
      <c r="MWX49"/>
      <c r="MWY49"/>
      <c r="MWZ49"/>
      <c r="MXA49"/>
      <c r="MXB49"/>
      <c r="MXC49"/>
      <c r="MXD49"/>
      <c r="MXE49"/>
      <c r="MXF49"/>
      <c r="MXG49"/>
      <c r="MXH49"/>
      <c r="MXI49"/>
      <c r="MXJ49"/>
      <c r="MXK49"/>
      <c r="MXL49"/>
      <c r="MXM49"/>
      <c r="MXN49"/>
      <c r="MXO49"/>
      <c r="MXP49"/>
      <c r="MXQ49"/>
      <c r="MXR49"/>
      <c r="MXS49"/>
      <c r="MXT49"/>
      <c r="MXU49"/>
      <c r="MXV49"/>
      <c r="MXW49"/>
      <c r="MXX49"/>
      <c r="MXY49"/>
      <c r="MXZ49"/>
      <c r="MYA49"/>
      <c r="MYB49"/>
      <c r="MYC49"/>
      <c r="MYD49"/>
      <c r="MYE49"/>
      <c r="MYF49"/>
      <c r="MYG49"/>
      <c r="MYH49"/>
      <c r="MYI49"/>
      <c r="MYJ49"/>
      <c r="MYK49"/>
      <c r="MYL49"/>
      <c r="MYM49"/>
      <c r="MYN49"/>
      <c r="MYO49"/>
      <c r="MYP49"/>
      <c r="MYQ49"/>
      <c r="MYR49"/>
      <c r="MYS49"/>
      <c r="MYT49"/>
      <c r="MYU49"/>
      <c r="MYV49"/>
      <c r="MYW49"/>
      <c r="MYX49"/>
      <c r="MYY49"/>
      <c r="MYZ49"/>
      <c r="MZA49"/>
      <c r="MZB49"/>
      <c r="MZC49"/>
      <c r="MZD49"/>
      <c r="MZE49"/>
      <c r="MZF49"/>
      <c r="MZG49"/>
      <c r="MZH49"/>
      <c r="MZI49"/>
      <c r="MZJ49"/>
      <c r="MZK49"/>
      <c r="MZL49"/>
      <c r="MZM49"/>
      <c r="MZN49"/>
      <c r="MZO49"/>
      <c r="MZP49"/>
      <c r="MZQ49"/>
      <c r="MZR49"/>
      <c r="MZS49"/>
      <c r="MZT49"/>
      <c r="MZU49"/>
      <c r="MZV49"/>
      <c r="MZW49"/>
      <c r="MZX49"/>
      <c r="MZY49"/>
      <c r="MZZ49"/>
      <c r="NAA49"/>
      <c r="NAB49"/>
      <c r="NAC49"/>
      <c r="NAD49"/>
      <c r="NAE49"/>
      <c r="NAF49"/>
      <c r="NAG49"/>
      <c r="NAH49"/>
      <c r="NAI49"/>
      <c r="NAJ49"/>
      <c r="NAK49"/>
      <c r="NAL49"/>
      <c r="NAM49"/>
      <c r="NAN49"/>
      <c r="NAO49"/>
      <c r="NAP49"/>
      <c r="NAQ49"/>
      <c r="NAR49"/>
      <c r="NAS49"/>
      <c r="NAT49"/>
      <c r="NAU49"/>
      <c r="NAV49"/>
      <c r="NAW49"/>
      <c r="NAX49"/>
      <c r="NAY49"/>
      <c r="NAZ49"/>
      <c r="NBA49"/>
      <c r="NBB49"/>
      <c r="NBC49"/>
      <c r="NBD49"/>
      <c r="NBE49"/>
      <c r="NBF49"/>
      <c r="NBG49"/>
      <c r="NBH49"/>
      <c r="NBI49"/>
      <c r="NBJ49"/>
      <c r="NBK49"/>
      <c r="NBL49"/>
      <c r="NBM49"/>
      <c r="NBN49"/>
      <c r="NBO49"/>
      <c r="NBP49"/>
      <c r="NBQ49"/>
      <c r="NBR49"/>
      <c r="NBS49"/>
      <c r="NBT49"/>
      <c r="NBU49"/>
      <c r="NBV49"/>
      <c r="NBW49"/>
      <c r="NBX49"/>
      <c r="NBY49"/>
      <c r="NBZ49"/>
      <c r="NCA49"/>
      <c r="NCB49"/>
      <c r="NCC49"/>
      <c r="NCD49"/>
      <c r="NCE49"/>
      <c r="NCF49"/>
      <c r="NCG49"/>
      <c r="NCH49"/>
      <c r="NCI49"/>
      <c r="NCJ49"/>
      <c r="NCK49"/>
      <c r="NCL49"/>
      <c r="NCM49"/>
      <c r="NCN49"/>
      <c r="NCO49"/>
      <c r="NCP49"/>
      <c r="NCQ49"/>
      <c r="NCR49"/>
      <c r="NCS49"/>
      <c r="NCT49"/>
      <c r="NCU49"/>
      <c r="NCV49"/>
      <c r="NCW49"/>
      <c r="NCX49"/>
      <c r="NCY49"/>
      <c r="NCZ49"/>
      <c r="NDA49"/>
      <c r="NDB49"/>
      <c r="NDC49"/>
      <c r="NDD49"/>
      <c r="NDE49"/>
      <c r="NDF49"/>
      <c r="NDG49"/>
      <c r="NDH49"/>
      <c r="NDI49"/>
      <c r="NDJ49"/>
      <c r="NDK49"/>
      <c r="NDL49"/>
      <c r="NDM49"/>
      <c r="NDN49"/>
      <c r="NDO49"/>
      <c r="NDP49"/>
      <c r="NDQ49"/>
      <c r="NDR49"/>
      <c r="NDS49"/>
      <c r="NDT49"/>
      <c r="NDU49"/>
      <c r="NDV49"/>
      <c r="NDW49"/>
      <c r="NDX49"/>
      <c r="NDY49"/>
      <c r="NDZ49"/>
      <c r="NEA49"/>
      <c r="NEB49"/>
      <c r="NEC49"/>
      <c r="NED49"/>
      <c r="NEE49"/>
      <c r="NEF49"/>
      <c r="NEG49"/>
      <c r="NEH49"/>
      <c r="NEI49"/>
      <c r="NEJ49"/>
      <c r="NEK49"/>
      <c r="NEL49"/>
      <c r="NEM49"/>
      <c r="NEN49"/>
      <c r="NEO49"/>
      <c r="NEP49"/>
      <c r="NEQ49"/>
      <c r="NER49"/>
      <c r="NES49"/>
      <c r="NET49"/>
      <c r="NEU49"/>
      <c r="NEV49"/>
      <c r="NEW49"/>
      <c r="NEX49"/>
      <c r="NEY49"/>
      <c r="NEZ49"/>
      <c r="NFA49"/>
      <c r="NFB49"/>
      <c r="NFC49"/>
      <c r="NFD49"/>
      <c r="NFE49"/>
      <c r="NFF49"/>
      <c r="NFG49"/>
      <c r="NFH49"/>
      <c r="NFI49"/>
      <c r="NFJ49"/>
      <c r="NFK49"/>
      <c r="NFL49"/>
      <c r="NFM49"/>
      <c r="NFN49"/>
      <c r="NFO49"/>
      <c r="NFP49"/>
      <c r="NFQ49"/>
      <c r="NFR49"/>
      <c r="NFS49"/>
      <c r="NFT49"/>
      <c r="NFU49"/>
      <c r="NFV49"/>
      <c r="NFW49"/>
      <c r="NFX49"/>
      <c r="NFY49"/>
      <c r="NFZ49"/>
      <c r="NGA49"/>
      <c r="NGB49"/>
      <c r="NGC49"/>
      <c r="NGD49"/>
      <c r="NGE49"/>
      <c r="NGF49"/>
      <c r="NGG49"/>
      <c r="NGH49"/>
      <c r="NGI49"/>
      <c r="NGJ49"/>
      <c r="NGK49"/>
      <c r="NGL49"/>
      <c r="NGM49"/>
      <c r="NGN49"/>
      <c r="NGO49"/>
      <c r="NGP49"/>
      <c r="NGQ49"/>
      <c r="NGR49"/>
      <c r="NGS49"/>
      <c r="NGT49"/>
      <c r="NGU49"/>
      <c r="NGV49"/>
      <c r="NGW49"/>
      <c r="NGX49"/>
      <c r="NGY49"/>
      <c r="NGZ49"/>
      <c r="NHA49"/>
      <c r="NHB49"/>
      <c r="NHC49"/>
      <c r="NHD49"/>
      <c r="NHE49"/>
      <c r="NHF49"/>
      <c r="NHG49"/>
      <c r="NHH49"/>
      <c r="NHI49"/>
      <c r="NHJ49"/>
      <c r="NHK49"/>
      <c r="NHL49"/>
      <c r="NHM49"/>
      <c r="NHN49"/>
      <c r="NHO49"/>
      <c r="NHP49"/>
      <c r="NHQ49"/>
      <c r="NHR49"/>
      <c r="NHS49"/>
      <c r="NHT49"/>
      <c r="NHU49"/>
      <c r="NHV49"/>
      <c r="NHW49"/>
      <c r="NHX49"/>
      <c r="NHY49"/>
      <c r="NHZ49"/>
      <c r="NIA49"/>
      <c r="NIB49"/>
      <c r="NIC49"/>
      <c r="NID49"/>
      <c r="NIE49"/>
      <c r="NIF49"/>
      <c r="NIG49"/>
      <c r="NIH49"/>
      <c r="NII49"/>
      <c r="NIJ49"/>
      <c r="NIK49"/>
      <c r="NIL49"/>
      <c r="NIM49"/>
      <c r="NIN49"/>
      <c r="NIO49"/>
      <c r="NIP49"/>
      <c r="NIQ49"/>
      <c r="NIR49"/>
      <c r="NIS49"/>
      <c r="NIT49"/>
      <c r="NIU49"/>
      <c r="NIV49"/>
      <c r="NIW49"/>
      <c r="NIX49"/>
      <c r="NIY49"/>
      <c r="NIZ49"/>
      <c r="NJA49"/>
      <c r="NJB49"/>
      <c r="NJC49"/>
      <c r="NJD49"/>
      <c r="NJE49"/>
      <c r="NJF49"/>
      <c r="NJG49"/>
      <c r="NJH49"/>
      <c r="NJI49"/>
      <c r="NJJ49"/>
      <c r="NJK49"/>
      <c r="NJL49"/>
      <c r="NJM49"/>
      <c r="NJN49"/>
      <c r="NJO49"/>
      <c r="NJP49"/>
      <c r="NJQ49"/>
      <c r="NJR49"/>
      <c r="NJS49"/>
      <c r="NJT49"/>
      <c r="NJU49"/>
      <c r="NJV49"/>
      <c r="NJW49"/>
      <c r="NJX49"/>
      <c r="NJY49"/>
      <c r="NJZ49"/>
      <c r="NKA49"/>
      <c r="NKB49"/>
      <c r="NKC49"/>
      <c r="NKD49"/>
      <c r="NKE49"/>
      <c r="NKF49"/>
      <c r="NKG49"/>
      <c r="NKH49"/>
      <c r="NKI49"/>
      <c r="NKJ49"/>
      <c r="NKK49"/>
      <c r="NKL49"/>
      <c r="NKM49"/>
      <c r="NKN49"/>
      <c r="NKO49"/>
      <c r="NKP49"/>
      <c r="NKQ49"/>
      <c r="NKR49"/>
      <c r="NKS49"/>
      <c r="NKT49"/>
      <c r="NKU49"/>
      <c r="NKV49"/>
      <c r="NKW49"/>
      <c r="NKX49"/>
      <c r="NKY49"/>
      <c r="NKZ49"/>
      <c r="NLA49"/>
      <c r="NLB49"/>
      <c r="NLC49"/>
      <c r="NLD49"/>
      <c r="NLE49"/>
      <c r="NLF49"/>
      <c r="NLG49"/>
      <c r="NLH49"/>
      <c r="NLI49"/>
      <c r="NLJ49"/>
      <c r="NLK49"/>
      <c r="NLL49"/>
      <c r="NLM49"/>
      <c r="NLN49"/>
      <c r="NLO49"/>
      <c r="NLP49"/>
      <c r="NLQ49"/>
      <c r="NLR49"/>
      <c r="NLS49"/>
      <c r="NLT49"/>
      <c r="NLU49"/>
      <c r="NLV49"/>
      <c r="NLW49"/>
      <c r="NLX49"/>
      <c r="NLY49"/>
      <c r="NLZ49"/>
      <c r="NMA49"/>
      <c r="NMB49"/>
      <c r="NMC49"/>
      <c r="NMD49"/>
      <c r="NME49"/>
      <c r="NMF49"/>
      <c r="NMG49"/>
      <c r="NMH49"/>
      <c r="NMI49"/>
      <c r="NMJ49"/>
      <c r="NMK49"/>
      <c r="NML49"/>
      <c r="NMM49"/>
      <c r="NMN49"/>
      <c r="NMO49"/>
      <c r="NMP49"/>
      <c r="NMQ49"/>
      <c r="NMR49"/>
      <c r="NMS49"/>
      <c r="NMT49"/>
      <c r="NMU49"/>
      <c r="NMV49"/>
      <c r="NMW49"/>
      <c r="NMX49"/>
      <c r="NMY49"/>
      <c r="NMZ49"/>
      <c r="NNA49"/>
      <c r="NNB49"/>
      <c r="NNC49"/>
      <c r="NND49"/>
      <c r="NNE49"/>
      <c r="NNF49"/>
      <c r="NNG49"/>
      <c r="NNH49"/>
      <c r="NNI49"/>
      <c r="NNJ49"/>
      <c r="NNK49"/>
      <c r="NNL49"/>
      <c r="NNM49"/>
      <c r="NNN49"/>
      <c r="NNO49"/>
      <c r="NNP49"/>
      <c r="NNQ49"/>
      <c r="NNR49"/>
      <c r="NNS49"/>
      <c r="NNT49"/>
      <c r="NNU49"/>
      <c r="NNV49"/>
      <c r="NNW49"/>
      <c r="NNX49"/>
      <c r="NNY49"/>
      <c r="NNZ49"/>
      <c r="NOA49"/>
      <c r="NOB49"/>
      <c r="NOC49"/>
      <c r="NOD49"/>
      <c r="NOE49"/>
      <c r="NOF49"/>
      <c r="NOG49"/>
      <c r="NOH49"/>
      <c r="NOI49"/>
      <c r="NOJ49"/>
      <c r="NOK49"/>
      <c r="NOL49"/>
      <c r="NOM49"/>
      <c r="NON49"/>
      <c r="NOO49"/>
      <c r="NOP49"/>
      <c r="NOQ49"/>
      <c r="NOR49"/>
      <c r="NOS49"/>
      <c r="NOT49"/>
      <c r="NOU49"/>
      <c r="NOV49"/>
      <c r="NOW49"/>
      <c r="NOX49"/>
      <c r="NOY49"/>
      <c r="NOZ49"/>
      <c r="NPA49"/>
      <c r="NPB49"/>
      <c r="NPC49"/>
      <c r="NPD49"/>
      <c r="NPE49"/>
      <c r="NPF49"/>
      <c r="NPG49"/>
      <c r="NPH49"/>
      <c r="NPI49"/>
      <c r="NPJ49"/>
      <c r="NPK49"/>
      <c r="NPL49"/>
      <c r="NPM49"/>
      <c r="NPN49"/>
      <c r="NPO49"/>
      <c r="NPP49"/>
      <c r="NPQ49"/>
      <c r="NPR49"/>
      <c r="NPS49"/>
      <c r="NPT49"/>
      <c r="NPU49"/>
      <c r="NPV49"/>
      <c r="NPW49"/>
      <c r="NPX49"/>
      <c r="NPY49"/>
      <c r="NPZ49"/>
      <c r="NQA49"/>
      <c r="NQB49"/>
      <c r="NQC49"/>
      <c r="NQD49"/>
      <c r="NQE49"/>
      <c r="NQF49"/>
      <c r="NQG49"/>
      <c r="NQH49"/>
      <c r="NQI49"/>
      <c r="NQJ49"/>
      <c r="NQK49"/>
      <c r="NQL49"/>
      <c r="NQM49"/>
      <c r="NQN49"/>
      <c r="NQO49"/>
      <c r="NQP49"/>
      <c r="NQQ49"/>
      <c r="NQR49"/>
      <c r="NQS49"/>
      <c r="NQT49"/>
      <c r="NQU49"/>
      <c r="NQV49"/>
      <c r="NQW49"/>
      <c r="NQX49"/>
      <c r="NQY49"/>
      <c r="NQZ49"/>
      <c r="NRA49"/>
      <c r="NRB49"/>
      <c r="NRC49"/>
      <c r="NRD49"/>
      <c r="NRE49"/>
      <c r="NRF49"/>
      <c r="NRG49"/>
      <c r="NRH49"/>
      <c r="NRI49"/>
      <c r="NRJ49"/>
      <c r="NRK49"/>
      <c r="NRL49"/>
      <c r="NRM49"/>
      <c r="NRN49"/>
      <c r="NRO49"/>
      <c r="NRP49"/>
      <c r="NRQ49"/>
      <c r="NRR49"/>
      <c r="NRS49"/>
      <c r="NRT49"/>
      <c r="NRU49"/>
      <c r="NRV49"/>
      <c r="NRW49"/>
      <c r="NRX49"/>
      <c r="NRY49"/>
      <c r="NRZ49"/>
      <c r="NSA49"/>
      <c r="NSB49"/>
      <c r="NSC49"/>
      <c r="NSD49"/>
      <c r="NSE49"/>
      <c r="NSF49"/>
      <c r="NSG49"/>
      <c r="NSH49"/>
      <c r="NSI49"/>
      <c r="NSJ49"/>
      <c r="NSK49"/>
      <c r="NSL49"/>
      <c r="NSM49"/>
      <c r="NSN49"/>
      <c r="NSO49"/>
      <c r="NSP49"/>
      <c r="NSQ49"/>
      <c r="NSR49"/>
      <c r="NSS49"/>
      <c r="NST49"/>
      <c r="NSU49"/>
      <c r="NSV49"/>
      <c r="NSW49"/>
      <c r="NSX49"/>
      <c r="NSY49"/>
      <c r="NSZ49"/>
      <c r="NTA49"/>
      <c r="NTB49"/>
      <c r="NTC49"/>
      <c r="NTD49"/>
      <c r="NTE49"/>
      <c r="NTF49"/>
      <c r="NTG49"/>
      <c r="NTH49"/>
      <c r="NTI49"/>
      <c r="NTJ49"/>
      <c r="NTK49"/>
      <c r="NTL49"/>
      <c r="NTM49"/>
      <c r="NTN49"/>
      <c r="NTO49"/>
      <c r="NTP49"/>
      <c r="NTQ49"/>
      <c r="NTR49"/>
      <c r="NTS49"/>
      <c r="NTT49"/>
      <c r="NTU49"/>
      <c r="NTV49"/>
      <c r="NTW49"/>
      <c r="NTX49"/>
      <c r="NTY49"/>
      <c r="NTZ49"/>
      <c r="NUA49"/>
      <c r="NUB49"/>
      <c r="NUC49"/>
      <c r="NUD49"/>
      <c r="NUE49"/>
      <c r="NUF49"/>
      <c r="NUG49"/>
      <c r="NUH49"/>
      <c r="NUI49"/>
      <c r="NUJ49"/>
      <c r="NUK49"/>
      <c r="NUL49"/>
      <c r="NUM49"/>
      <c r="NUN49"/>
      <c r="NUO49"/>
      <c r="NUP49"/>
      <c r="NUQ49"/>
      <c r="NUR49"/>
      <c r="NUS49"/>
      <c r="NUT49"/>
      <c r="NUU49"/>
      <c r="NUV49"/>
      <c r="NUW49"/>
      <c r="NUX49"/>
      <c r="NUY49"/>
      <c r="NUZ49"/>
      <c r="NVA49"/>
      <c r="NVB49"/>
      <c r="NVC49"/>
      <c r="NVD49"/>
      <c r="NVE49"/>
      <c r="NVF49"/>
      <c r="NVG49"/>
      <c r="NVH49"/>
      <c r="NVI49"/>
      <c r="NVJ49"/>
      <c r="NVK49"/>
      <c r="NVL49"/>
      <c r="NVM49"/>
      <c r="NVN49"/>
      <c r="NVO49"/>
      <c r="NVP49"/>
      <c r="NVQ49"/>
      <c r="NVR49"/>
      <c r="NVS49"/>
      <c r="NVT49"/>
      <c r="NVU49"/>
      <c r="NVV49"/>
      <c r="NVW49"/>
      <c r="NVX49"/>
      <c r="NVY49"/>
      <c r="NVZ49"/>
      <c r="NWA49"/>
      <c r="NWB49"/>
      <c r="NWC49"/>
      <c r="NWD49"/>
      <c r="NWE49"/>
      <c r="NWF49"/>
      <c r="NWG49"/>
      <c r="NWH49"/>
      <c r="NWI49"/>
      <c r="NWJ49"/>
      <c r="NWK49"/>
      <c r="NWL49"/>
      <c r="NWM49"/>
      <c r="NWN49"/>
      <c r="NWO49"/>
      <c r="NWP49"/>
      <c r="NWQ49"/>
      <c r="NWR49"/>
      <c r="NWS49"/>
      <c r="NWT49"/>
      <c r="NWU49"/>
      <c r="NWV49"/>
      <c r="NWW49"/>
      <c r="NWX49"/>
      <c r="NWY49"/>
      <c r="NWZ49"/>
      <c r="NXA49"/>
      <c r="NXB49"/>
      <c r="NXC49"/>
      <c r="NXD49"/>
      <c r="NXE49"/>
      <c r="NXF49"/>
      <c r="NXG49"/>
      <c r="NXH49"/>
      <c r="NXI49"/>
      <c r="NXJ49"/>
      <c r="NXK49"/>
      <c r="NXL49"/>
      <c r="NXM49"/>
      <c r="NXN49"/>
      <c r="NXO49"/>
      <c r="NXP49"/>
      <c r="NXQ49"/>
      <c r="NXR49"/>
      <c r="NXS49"/>
      <c r="NXT49"/>
      <c r="NXU49"/>
      <c r="NXV49"/>
      <c r="NXW49"/>
      <c r="NXX49"/>
      <c r="NXY49"/>
      <c r="NXZ49"/>
      <c r="NYA49"/>
      <c r="NYB49"/>
      <c r="NYC49"/>
      <c r="NYD49"/>
      <c r="NYE49"/>
      <c r="NYF49"/>
      <c r="NYG49"/>
      <c r="NYH49"/>
      <c r="NYI49"/>
      <c r="NYJ49"/>
      <c r="NYK49"/>
      <c r="NYL49"/>
      <c r="NYM49"/>
      <c r="NYN49"/>
      <c r="NYO49"/>
      <c r="NYP49"/>
      <c r="NYQ49"/>
      <c r="NYR49"/>
      <c r="NYS49"/>
      <c r="NYT49"/>
      <c r="NYU49"/>
      <c r="NYV49"/>
      <c r="NYW49"/>
      <c r="NYX49"/>
      <c r="NYY49"/>
      <c r="NYZ49"/>
      <c r="NZA49"/>
      <c r="NZB49"/>
      <c r="NZC49"/>
      <c r="NZD49"/>
      <c r="NZE49"/>
      <c r="NZF49"/>
      <c r="NZG49"/>
      <c r="NZH49"/>
      <c r="NZI49"/>
      <c r="NZJ49"/>
      <c r="NZK49"/>
      <c r="NZL49"/>
      <c r="NZM49"/>
      <c r="NZN49"/>
      <c r="NZO49"/>
      <c r="NZP49"/>
      <c r="NZQ49"/>
      <c r="NZR49"/>
      <c r="NZS49"/>
      <c r="NZT49"/>
      <c r="NZU49"/>
      <c r="NZV49"/>
      <c r="NZW49"/>
      <c r="NZX49"/>
      <c r="NZY49"/>
      <c r="NZZ49"/>
      <c r="OAA49"/>
      <c r="OAB49"/>
      <c r="OAC49"/>
      <c r="OAD49"/>
      <c r="OAE49"/>
      <c r="OAF49"/>
      <c r="OAG49"/>
      <c r="OAH49"/>
      <c r="OAI49"/>
      <c r="OAJ49"/>
      <c r="OAK49"/>
      <c r="OAL49"/>
      <c r="OAM49"/>
      <c r="OAN49"/>
      <c r="OAO49"/>
      <c r="OAP49"/>
      <c r="OAQ49"/>
      <c r="OAR49"/>
      <c r="OAS49"/>
      <c r="OAT49"/>
      <c r="OAU49"/>
      <c r="OAV49"/>
      <c r="OAW49"/>
      <c r="OAX49"/>
      <c r="OAY49"/>
      <c r="OAZ49"/>
      <c r="OBA49"/>
      <c r="OBB49"/>
      <c r="OBC49"/>
      <c r="OBD49"/>
      <c r="OBE49"/>
      <c r="OBF49"/>
      <c r="OBG49"/>
      <c r="OBH49"/>
      <c r="OBI49"/>
      <c r="OBJ49"/>
      <c r="OBK49"/>
      <c r="OBL49"/>
      <c r="OBM49"/>
      <c r="OBN49"/>
      <c r="OBO49"/>
      <c r="OBP49"/>
      <c r="OBQ49"/>
      <c r="OBR49"/>
      <c r="OBS49"/>
      <c r="OBT49"/>
      <c r="OBU49"/>
      <c r="OBV49"/>
      <c r="OBW49"/>
      <c r="OBX49"/>
      <c r="OBY49"/>
      <c r="OBZ49"/>
      <c r="OCA49"/>
      <c r="OCB49"/>
      <c r="OCC49"/>
      <c r="OCD49"/>
      <c r="OCE49"/>
      <c r="OCF49"/>
      <c r="OCG49"/>
      <c r="OCH49"/>
      <c r="OCI49"/>
      <c r="OCJ49"/>
      <c r="OCK49"/>
      <c r="OCL49"/>
      <c r="OCM49"/>
      <c r="OCN49"/>
      <c r="OCO49"/>
      <c r="OCP49"/>
      <c r="OCQ49"/>
      <c r="OCR49"/>
      <c r="OCS49"/>
      <c r="OCT49"/>
      <c r="OCU49"/>
      <c r="OCV49"/>
      <c r="OCW49"/>
      <c r="OCX49"/>
      <c r="OCY49"/>
      <c r="OCZ49"/>
      <c r="ODA49"/>
      <c r="ODB49"/>
      <c r="ODC49"/>
      <c r="ODD49"/>
      <c r="ODE49"/>
      <c r="ODF49"/>
      <c r="ODG49"/>
      <c r="ODH49"/>
      <c r="ODI49"/>
      <c r="ODJ49"/>
      <c r="ODK49"/>
      <c r="ODL49"/>
      <c r="ODM49"/>
      <c r="ODN49"/>
      <c r="ODO49"/>
      <c r="ODP49"/>
      <c r="ODQ49"/>
      <c r="ODR49"/>
      <c r="ODS49"/>
      <c r="ODT49"/>
      <c r="ODU49"/>
      <c r="ODV49"/>
      <c r="ODW49"/>
      <c r="ODX49"/>
      <c r="ODY49"/>
      <c r="ODZ49"/>
      <c r="OEA49"/>
      <c r="OEB49"/>
      <c r="OEC49"/>
      <c r="OED49"/>
      <c r="OEE49"/>
      <c r="OEF49"/>
      <c r="OEG49"/>
      <c r="OEH49"/>
      <c r="OEI49"/>
      <c r="OEJ49"/>
      <c r="OEK49"/>
      <c r="OEL49"/>
      <c r="OEM49"/>
      <c r="OEN49"/>
      <c r="OEO49"/>
      <c r="OEP49"/>
      <c r="OEQ49"/>
      <c r="OER49"/>
      <c r="OES49"/>
      <c r="OET49"/>
      <c r="OEU49"/>
      <c r="OEV49"/>
      <c r="OEW49"/>
      <c r="OEX49"/>
      <c r="OEY49"/>
      <c r="OEZ49"/>
      <c r="OFA49"/>
      <c r="OFB49"/>
      <c r="OFC49"/>
      <c r="OFD49"/>
      <c r="OFE49"/>
      <c r="OFF49"/>
      <c r="OFG49"/>
      <c r="OFH49"/>
      <c r="OFI49"/>
      <c r="OFJ49"/>
      <c r="OFK49"/>
      <c r="OFL49"/>
      <c r="OFM49"/>
      <c r="OFN49"/>
      <c r="OFO49"/>
      <c r="OFP49"/>
      <c r="OFQ49"/>
      <c r="OFR49"/>
      <c r="OFS49"/>
      <c r="OFT49"/>
      <c r="OFU49"/>
      <c r="OFV49"/>
      <c r="OFW49"/>
      <c r="OFX49"/>
      <c r="OFY49"/>
      <c r="OFZ49"/>
      <c r="OGA49"/>
      <c r="OGB49"/>
      <c r="OGC49"/>
      <c r="OGD49"/>
      <c r="OGE49"/>
      <c r="OGF49"/>
      <c r="OGG49"/>
      <c r="OGH49"/>
      <c r="OGI49"/>
      <c r="OGJ49"/>
      <c r="OGK49"/>
      <c r="OGL49"/>
      <c r="OGM49"/>
      <c r="OGN49"/>
      <c r="OGO49"/>
      <c r="OGP49"/>
      <c r="OGQ49"/>
      <c r="OGR49"/>
      <c r="OGS49"/>
      <c r="OGT49"/>
      <c r="OGU49"/>
      <c r="OGV49"/>
      <c r="OGW49"/>
      <c r="OGX49"/>
      <c r="OGY49"/>
      <c r="OGZ49"/>
      <c r="OHA49"/>
      <c r="OHB49"/>
      <c r="OHC49"/>
      <c r="OHD49"/>
      <c r="OHE49"/>
      <c r="OHF49"/>
      <c r="OHG49"/>
      <c r="OHH49"/>
      <c r="OHI49"/>
      <c r="OHJ49"/>
      <c r="OHK49"/>
      <c r="OHL49"/>
      <c r="OHM49"/>
      <c r="OHN49"/>
      <c r="OHO49"/>
      <c r="OHP49"/>
      <c r="OHQ49"/>
      <c r="OHR49"/>
      <c r="OHS49"/>
      <c r="OHT49"/>
      <c r="OHU49"/>
      <c r="OHV49"/>
      <c r="OHW49"/>
      <c r="OHX49"/>
      <c r="OHY49"/>
      <c r="OHZ49"/>
      <c r="OIA49"/>
      <c r="OIB49"/>
      <c r="OIC49"/>
      <c r="OID49"/>
      <c r="OIE49"/>
      <c r="OIF49"/>
      <c r="OIG49"/>
      <c r="OIH49"/>
      <c r="OII49"/>
      <c r="OIJ49"/>
      <c r="OIK49"/>
      <c r="OIL49"/>
      <c r="OIM49"/>
      <c r="OIN49"/>
      <c r="OIO49"/>
      <c r="OIP49"/>
      <c r="OIQ49"/>
      <c r="OIR49"/>
      <c r="OIS49"/>
      <c r="OIT49"/>
      <c r="OIU49"/>
      <c r="OIV49"/>
      <c r="OIW49"/>
      <c r="OIX49"/>
      <c r="OIY49"/>
      <c r="OIZ49"/>
      <c r="OJA49"/>
      <c r="OJB49"/>
      <c r="OJC49"/>
      <c r="OJD49"/>
      <c r="OJE49"/>
      <c r="OJF49"/>
      <c r="OJG49"/>
      <c r="OJH49"/>
      <c r="OJI49"/>
      <c r="OJJ49"/>
      <c r="OJK49"/>
      <c r="OJL49"/>
      <c r="OJM49"/>
      <c r="OJN49"/>
      <c r="OJO49"/>
      <c r="OJP49"/>
      <c r="OJQ49"/>
      <c r="OJR49"/>
      <c r="OJS49"/>
      <c r="OJT49"/>
      <c r="OJU49"/>
      <c r="OJV49"/>
      <c r="OJW49"/>
      <c r="OJX49"/>
      <c r="OJY49"/>
      <c r="OJZ49"/>
      <c r="OKA49"/>
      <c r="OKB49"/>
      <c r="OKC49"/>
      <c r="OKD49"/>
      <c r="OKE49"/>
      <c r="OKF49"/>
      <c r="OKG49"/>
      <c r="OKH49"/>
      <c r="OKI49"/>
      <c r="OKJ49"/>
      <c r="OKK49"/>
      <c r="OKL49"/>
      <c r="OKM49"/>
      <c r="OKN49"/>
      <c r="OKO49"/>
      <c r="OKP49"/>
      <c r="OKQ49"/>
      <c r="OKR49"/>
      <c r="OKS49"/>
      <c r="OKT49"/>
      <c r="OKU49"/>
      <c r="OKV49"/>
      <c r="OKW49"/>
      <c r="OKX49"/>
      <c r="OKY49"/>
      <c r="OKZ49"/>
      <c r="OLA49"/>
      <c r="OLB49"/>
      <c r="OLC49"/>
      <c r="OLD49"/>
      <c r="OLE49"/>
      <c r="OLF49"/>
      <c r="OLG49"/>
      <c r="OLH49"/>
      <c r="OLI49"/>
      <c r="OLJ49"/>
      <c r="OLK49"/>
      <c r="OLL49"/>
      <c r="OLM49"/>
      <c r="OLN49"/>
      <c r="OLO49"/>
      <c r="OLP49"/>
      <c r="OLQ49"/>
      <c r="OLR49"/>
      <c r="OLS49"/>
      <c r="OLT49"/>
      <c r="OLU49"/>
      <c r="OLV49"/>
      <c r="OLW49"/>
      <c r="OLX49"/>
      <c r="OLY49"/>
      <c r="OLZ49"/>
      <c r="OMA49"/>
      <c r="OMB49"/>
      <c r="OMC49"/>
      <c r="OMD49"/>
      <c r="OME49"/>
      <c r="OMF49"/>
      <c r="OMG49"/>
      <c r="OMH49"/>
      <c r="OMI49"/>
      <c r="OMJ49"/>
      <c r="OMK49"/>
      <c r="OML49"/>
      <c r="OMM49"/>
      <c r="OMN49"/>
      <c r="OMO49"/>
      <c r="OMP49"/>
      <c r="OMQ49"/>
      <c r="OMR49"/>
      <c r="OMS49"/>
      <c r="OMT49"/>
      <c r="OMU49"/>
      <c r="OMV49"/>
      <c r="OMW49"/>
      <c r="OMX49"/>
      <c r="OMY49"/>
      <c r="OMZ49"/>
      <c r="ONA49"/>
      <c r="ONB49"/>
      <c r="ONC49"/>
      <c r="OND49"/>
      <c r="ONE49"/>
      <c r="ONF49"/>
      <c r="ONG49"/>
      <c r="ONH49"/>
      <c r="ONI49"/>
      <c r="ONJ49"/>
      <c r="ONK49"/>
      <c r="ONL49"/>
      <c r="ONM49"/>
      <c r="ONN49"/>
      <c r="ONO49"/>
      <c r="ONP49"/>
      <c r="ONQ49"/>
      <c r="ONR49"/>
      <c r="ONS49"/>
      <c r="ONT49"/>
      <c r="ONU49"/>
      <c r="ONV49"/>
      <c r="ONW49"/>
      <c r="ONX49"/>
      <c r="ONY49"/>
      <c r="ONZ49"/>
      <c r="OOA49"/>
      <c r="OOB49"/>
      <c r="OOC49"/>
      <c r="OOD49"/>
      <c r="OOE49"/>
      <c r="OOF49"/>
      <c r="OOG49"/>
      <c r="OOH49"/>
      <c r="OOI49"/>
      <c r="OOJ49"/>
      <c r="OOK49"/>
      <c r="OOL49"/>
      <c r="OOM49"/>
      <c r="OON49"/>
      <c r="OOO49"/>
      <c r="OOP49"/>
      <c r="OOQ49"/>
      <c r="OOR49"/>
      <c r="OOS49"/>
      <c r="OOT49"/>
      <c r="OOU49"/>
      <c r="OOV49"/>
      <c r="OOW49"/>
      <c r="OOX49"/>
      <c r="OOY49"/>
      <c r="OOZ49"/>
      <c r="OPA49"/>
      <c r="OPB49"/>
      <c r="OPC49"/>
      <c r="OPD49"/>
      <c r="OPE49"/>
      <c r="OPF49"/>
      <c r="OPG49"/>
      <c r="OPH49"/>
      <c r="OPI49"/>
      <c r="OPJ49"/>
      <c r="OPK49"/>
      <c r="OPL49"/>
      <c r="OPM49"/>
      <c r="OPN49"/>
      <c r="OPO49"/>
      <c r="OPP49"/>
      <c r="OPQ49"/>
      <c r="OPR49"/>
      <c r="OPS49"/>
      <c r="OPT49"/>
      <c r="OPU49"/>
      <c r="OPV49"/>
      <c r="OPW49"/>
      <c r="OPX49"/>
      <c r="OPY49"/>
      <c r="OPZ49"/>
      <c r="OQA49"/>
      <c r="OQB49"/>
      <c r="OQC49"/>
      <c r="OQD49"/>
      <c r="OQE49"/>
      <c r="OQF49"/>
      <c r="OQG49"/>
      <c r="OQH49"/>
      <c r="OQI49"/>
      <c r="OQJ49"/>
      <c r="OQK49"/>
      <c r="OQL49"/>
      <c r="OQM49"/>
      <c r="OQN49"/>
      <c r="OQO49"/>
      <c r="OQP49"/>
      <c r="OQQ49"/>
      <c r="OQR49"/>
      <c r="OQS49"/>
      <c r="OQT49"/>
      <c r="OQU49"/>
      <c r="OQV49"/>
      <c r="OQW49"/>
      <c r="OQX49"/>
      <c r="OQY49"/>
      <c r="OQZ49"/>
      <c r="ORA49"/>
      <c r="ORB49"/>
      <c r="ORC49"/>
      <c r="ORD49"/>
      <c r="ORE49"/>
      <c r="ORF49"/>
      <c r="ORG49"/>
      <c r="ORH49"/>
      <c r="ORI49"/>
      <c r="ORJ49"/>
      <c r="ORK49"/>
      <c r="ORL49"/>
      <c r="ORM49"/>
      <c r="ORN49"/>
      <c r="ORO49"/>
      <c r="ORP49"/>
      <c r="ORQ49"/>
      <c r="ORR49"/>
      <c r="ORS49"/>
      <c r="ORT49"/>
      <c r="ORU49"/>
      <c r="ORV49"/>
      <c r="ORW49"/>
      <c r="ORX49"/>
      <c r="ORY49"/>
      <c r="ORZ49"/>
      <c r="OSA49"/>
      <c r="OSB49"/>
      <c r="OSC49"/>
      <c r="OSD49"/>
      <c r="OSE49"/>
      <c r="OSF49"/>
      <c r="OSG49"/>
      <c r="OSH49"/>
      <c r="OSI49"/>
      <c r="OSJ49"/>
      <c r="OSK49"/>
      <c r="OSL49"/>
      <c r="OSM49"/>
      <c r="OSN49"/>
      <c r="OSO49"/>
      <c r="OSP49"/>
      <c r="OSQ49"/>
      <c r="OSR49"/>
      <c r="OSS49"/>
      <c r="OST49"/>
      <c r="OSU49"/>
      <c r="OSV49"/>
      <c r="OSW49"/>
      <c r="OSX49"/>
      <c r="OSY49"/>
      <c r="OSZ49"/>
      <c r="OTA49"/>
      <c r="OTB49"/>
      <c r="OTC49"/>
      <c r="OTD49"/>
      <c r="OTE49"/>
      <c r="OTF49"/>
      <c r="OTG49"/>
      <c r="OTH49"/>
      <c r="OTI49"/>
      <c r="OTJ49"/>
      <c r="OTK49"/>
      <c r="OTL49"/>
      <c r="OTM49"/>
      <c r="OTN49"/>
      <c r="OTO49"/>
      <c r="OTP49"/>
      <c r="OTQ49"/>
      <c r="OTR49"/>
      <c r="OTS49"/>
      <c r="OTT49"/>
      <c r="OTU49"/>
      <c r="OTV49"/>
      <c r="OTW49"/>
      <c r="OTX49"/>
      <c r="OTY49"/>
      <c r="OTZ49"/>
      <c r="OUA49"/>
      <c r="OUB49"/>
      <c r="OUC49"/>
      <c r="OUD49"/>
      <c r="OUE49"/>
      <c r="OUF49"/>
      <c r="OUG49"/>
      <c r="OUH49"/>
      <c r="OUI49"/>
      <c r="OUJ49"/>
      <c r="OUK49"/>
      <c r="OUL49"/>
      <c r="OUM49"/>
      <c r="OUN49"/>
      <c r="OUO49"/>
      <c r="OUP49"/>
      <c r="OUQ49"/>
      <c r="OUR49"/>
      <c r="OUS49"/>
      <c r="OUT49"/>
      <c r="OUU49"/>
      <c r="OUV49"/>
      <c r="OUW49"/>
      <c r="OUX49"/>
      <c r="OUY49"/>
      <c r="OUZ49"/>
      <c r="OVA49"/>
      <c r="OVB49"/>
      <c r="OVC49"/>
      <c r="OVD49"/>
      <c r="OVE49"/>
      <c r="OVF49"/>
      <c r="OVG49"/>
      <c r="OVH49"/>
      <c r="OVI49"/>
      <c r="OVJ49"/>
      <c r="OVK49"/>
      <c r="OVL49"/>
      <c r="OVM49"/>
      <c r="OVN49"/>
      <c r="OVO49"/>
      <c r="OVP49"/>
      <c r="OVQ49"/>
      <c r="OVR49"/>
      <c r="OVS49"/>
      <c r="OVT49"/>
      <c r="OVU49"/>
      <c r="OVV49"/>
      <c r="OVW49"/>
      <c r="OVX49"/>
      <c r="OVY49"/>
      <c r="OVZ49"/>
      <c r="OWA49"/>
      <c r="OWB49"/>
      <c r="OWC49"/>
      <c r="OWD49"/>
      <c r="OWE49"/>
      <c r="OWF49"/>
      <c r="OWG49"/>
      <c r="OWH49"/>
      <c r="OWI49"/>
      <c r="OWJ49"/>
      <c r="OWK49"/>
      <c r="OWL49"/>
      <c r="OWM49"/>
      <c r="OWN49"/>
      <c r="OWO49"/>
      <c r="OWP49"/>
      <c r="OWQ49"/>
      <c r="OWR49"/>
      <c r="OWS49"/>
      <c r="OWT49"/>
      <c r="OWU49"/>
      <c r="OWV49"/>
      <c r="OWW49"/>
      <c r="OWX49"/>
      <c r="OWY49"/>
      <c r="OWZ49"/>
      <c r="OXA49"/>
      <c r="OXB49"/>
      <c r="OXC49"/>
      <c r="OXD49"/>
      <c r="OXE49"/>
      <c r="OXF49"/>
      <c r="OXG49"/>
      <c r="OXH49"/>
      <c r="OXI49"/>
      <c r="OXJ49"/>
      <c r="OXK49"/>
      <c r="OXL49"/>
      <c r="OXM49"/>
      <c r="OXN49"/>
      <c r="OXO49"/>
      <c r="OXP49"/>
      <c r="OXQ49"/>
      <c r="OXR49"/>
      <c r="OXS49"/>
      <c r="OXT49"/>
      <c r="OXU49"/>
      <c r="OXV49"/>
      <c r="OXW49"/>
      <c r="OXX49"/>
      <c r="OXY49"/>
      <c r="OXZ49"/>
      <c r="OYA49"/>
      <c r="OYB49"/>
      <c r="OYC49"/>
      <c r="OYD49"/>
      <c r="OYE49"/>
      <c r="OYF49"/>
      <c r="OYG49"/>
      <c r="OYH49"/>
      <c r="OYI49"/>
      <c r="OYJ49"/>
      <c r="OYK49"/>
      <c r="OYL49"/>
      <c r="OYM49"/>
      <c r="OYN49"/>
      <c r="OYO49"/>
      <c r="OYP49"/>
      <c r="OYQ49"/>
      <c r="OYR49"/>
      <c r="OYS49"/>
      <c r="OYT49"/>
      <c r="OYU49"/>
      <c r="OYV49"/>
      <c r="OYW49"/>
      <c r="OYX49"/>
      <c r="OYY49"/>
      <c r="OYZ49"/>
      <c r="OZA49"/>
      <c r="OZB49"/>
      <c r="OZC49"/>
      <c r="OZD49"/>
      <c r="OZE49"/>
      <c r="OZF49"/>
      <c r="OZG49"/>
      <c r="OZH49"/>
      <c r="OZI49"/>
      <c r="OZJ49"/>
      <c r="OZK49"/>
      <c r="OZL49"/>
      <c r="OZM49"/>
      <c r="OZN49"/>
      <c r="OZO49"/>
      <c r="OZP49"/>
      <c r="OZQ49"/>
      <c r="OZR49"/>
      <c r="OZS49"/>
      <c r="OZT49"/>
      <c r="OZU49"/>
      <c r="OZV49"/>
      <c r="OZW49"/>
      <c r="OZX49"/>
      <c r="OZY49"/>
      <c r="OZZ49"/>
      <c r="PAA49"/>
      <c r="PAB49"/>
      <c r="PAC49"/>
      <c r="PAD49"/>
      <c r="PAE49"/>
      <c r="PAF49"/>
      <c r="PAG49"/>
      <c r="PAH49"/>
      <c r="PAI49"/>
      <c r="PAJ49"/>
      <c r="PAK49"/>
      <c r="PAL49"/>
      <c r="PAM49"/>
      <c r="PAN49"/>
      <c r="PAO49"/>
      <c r="PAP49"/>
      <c r="PAQ49"/>
      <c r="PAR49"/>
      <c r="PAS49"/>
      <c r="PAT49"/>
      <c r="PAU49"/>
      <c r="PAV49"/>
      <c r="PAW49"/>
      <c r="PAX49"/>
      <c r="PAY49"/>
      <c r="PAZ49"/>
      <c r="PBA49"/>
      <c r="PBB49"/>
      <c r="PBC49"/>
      <c r="PBD49"/>
      <c r="PBE49"/>
      <c r="PBF49"/>
      <c r="PBG49"/>
      <c r="PBH49"/>
      <c r="PBI49"/>
      <c r="PBJ49"/>
      <c r="PBK49"/>
      <c r="PBL49"/>
      <c r="PBM49"/>
      <c r="PBN49"/>
      <c r="PBO49"/>
      <c r="PBP49"/>
      <c r="PBQ49"/>
      <c r="PBR49"/>
      <c r="PBS49"/>
      <c r="PBT49"/>
      <c r="PBU49"/>
      <c r="PBV49"/>
      <c r="PBW49"/>
      <c r="PBX49"/>
      <c r="PBY49"/>
      <c r="PBZ49"/>
      <c r="PCA49"/>
      <c r="PCB49"/>
      <c r="PCC49"/>
      <c r="PCD49"/>
      <c r="PCE49"/>
      <c r="PCF49"/>
      <c r="PCG49"/>
      <c r="PCH49"/>
      <c r="PCI49"/>
      <c r="PCJ49"/>
      <c r="PCK49"/>
      <c r="PCL49"/>
      <c r="PCM49"/>
      <c r="PCN49"/>
      <c r="PCO49"/>
      <c r="PCP49"/>
      <c r="PCQ49"/>
      <c r="PCR49"/>
      <c r="PCS49"/>
      <c r="PCT49"/>
      <c r="PCU49"/>
      <c r="PCV49"/>
      <c r="PCW49"/>
      <c r="PCX49"/>
      <c r="PCY49"/>
      <c r="PCZ49"/>
      <c r="PDA49"/>
      <c r="PDB49"/>
      <c r="PDC49"/>
      <c r="PDD49"/>
      <c r="PDE49"/>
      <c r="PDF49"/>
      <c r="PDG49"/>
      <c r="PDH49"/>
      <c r="PDI49"/>
      <c r="PDJ49"/>
      <c r="PDK49"/>
      <c r="PDL49"/>
      <c r="PDM49"/>
      <c r="PDN49"/>
      <c r="PDO49"/>
      <c r="PDP49"/>
      <c r="PDQ49"/>
      <c r="PDR49"/>
      <c r="PDS49"/>
      <c r="PDT49"/>
      <c r="PDU49"/>
      <c r="PDV49"/>
      <c r="PDW49"/>
      <c r="PDX49"/>
      <c r="PDY49"/>
      <c r="PDZ49"/>
      <c r="PEA49"/>
      <c r="PEB49"/>
      <c r="PEC49"/>
      <c r="PED49"/>
      <c r="PEE49"/>
      <c r="PEF49"/>
      <c r="PEG49"/>
      <c r="PEH49"/>
      <c r="PEI49"/>
      <c r="PEJ49"/>
      <c r="PEK49"/>
      <c r="PEL49"/>
      <c r="PEM49"/>
      <c r="PEN49"/>
      <c r="PEO49"/>
      <c r="PEP49"/>
      <c r="PEQ49"/>
      <c r="PER49"/>
      <c r="PES49"/>
      <c r="PET49"/>
      <c r="PEU49"/>
      <c r="PEV49"/>
      <c r="PEW49"/>
      <c r="PEX49"/>
      <c r="PEY49"/>
      <c r="PEZ49"/>
      <c r="PFA49"/>
      <c r="PFB49"/>
      <c r="PFC49"/>
      <c r="PFD49"/>
      <c r="PFE49"/>
      <c r="PFF49"/>
      <c r="PFG49"/>
      <c r="PFH49"/>
      <c r="PFI49"/>
      <c r="PFJ49"/>
      <c r="PFK49"/>
      <c r="PFL49"/>
      <c r="PFM49"/>
      <c r="PFN49"/>
      <c r="PFO49"/>
      <c r="PFP49"/>
      <c r="PFQ49"/>
      <c r="PFR49"/>
      <c r="PFS49"/>
      <c r="PFT49"/>
      <c r="PFU49"/>
      <c r="PFV49"/>
      <c r="PFW49"/>
      <c r="PFX49"/>
      <c r="PFY49"/>
      <c r="PFZ49"/>
      <c r="PGA49"/>
      <c r="PGB49"/>
      <c r="PGC49"/>
      <c r="PGD49"/>
      <c r="PGE49"/>
      <c r="PGF49"/>
      <c r="PGG49"/>
      <c r="PGH49"/>
      <c r="PGI49"/>
      <c r="PGJ49"/>
      <c r="PGK49"/>
      <c r="PGL49"/>
      <c r="PGM49"/>
      <c r="PGN49"/>
      <c r="PGO49"/>
      <c r="PGP49"/>
      <c r="PGQ49"/>
      <c r="PGR49"/>
      <c r="PGS49"/>
      <c r="PGT49"/>
      <c r="PGU49"/>
      <c r="PGV49"/>
      <c r="PGW49"/>
      <c r="PGX49"/>
      <c r="PGY49"/>
      <c r="PGZ49"/>
      <c r="PHA49"/>
      <c r="PHB49"/>
      <c r="PHC49"/>
      <c r="PHD49"/>
      <c r="PHE49"/>
      <c r="PHF49"/>
      <c r="PHG49"/>
      <c r="PHH49"/>
      <c r="PHI49"/>
      <c r="PHJ49"/>
      <c r="PHK49"/>
      <c r="PHL49"/>
      <c r="PHM49"/>
      <c r="PHN49"/>
      <c r="PHO49"/>
      <c r="PHP49"/>
      <c r="PHQ49"/>
      <c r="PHR49"/>
      <c r="PHS49"/>
      <c r="PHT49"/>
      <c r="PHU49"/>
      <c r="PHV49"/>
      <c r="PHW49"/>
      <c r="PHX49"/>
      <c r="PHY49"/>
      <c r="PHZ49"/>
      <c r="PIA49"/>
      <c r="PIB49"/>
      <c r="PIC49"/>
      <c r="PID49"/>
      <c r="PIE49"/>
      <c r="PIF49"/>
      <c r="PIG49"/>
      <c r="PIH49"/>
      <c r="PII49"/>
      <c r="PIJ49"/>
      <c r="PIK49"/>
      <c r="PIL49"/>
      <c r="PIM49"/>
      <c r="PIN49"/>
      <c r="PIO49"/>
      <c r="PIP49"/>
      <c r="PIQ49"/>
      <c r="PIR49"/>
      <c r="PIS49"/>
      <c r="PIT49"/>
      <c r="PIU49"/>
      <c r="PIV49"/>
      <c r="PIW49"/>
      <c r="PIX49"/>
      <c r="PIY49"/>
      <c r="PIZ49"/>
      <c r="PJA49"/>
      <c r="PJB49"/>
      <c r="PJC49"/>
      <c r="PJD49"/>
      <c r="PJE49"/>
      <c r="PJF49"/>
      <c r="PJG49"/>
      <c r="PJH49"/>
      <c r="PJI49"/>
      <c r="PJJ49"/>
      <c r="PJK49"/>
      <c r="PJL49"/>
      <c r="PJM49"/>
      <c r="PJN49"/>
      <c r="PJO49"/>
      <c r="PJP49"/>
      <c r="PJQ49"/>
      <c r="PJR49"/>
      <c r="PJS49"/>
      <c r="PJT49"/>
      <c r="PJU49"/>
      <c r="PJV49"/>
      <c r="PJW49"/>
      <c r="PJX49"/>
      <c r="PJY49"/>
      <c r="PJZ49"/>
      <c r="PKA49"/>
      <c r="PKB49"/>
      <c r="PKC49"/>
      <c r="PKD49"/>
      <c r="PKE49"/>
      <c r="PKF49"/>
      <c r="PKG49"/>
      <c r="PKH49"/>
      <c r="PKI49"/>
      <c r="PKJ49"/>
      <c r="PKK49"/>
      <c r="PKL49"/>
      <c r="PKM49"/>
      <c r="PKN49"/>
      <c r="PKO49"/>
      <c r="PKP49"/>
      <c r="PKQ49"/>
      <c r="PKR49"/>
      <c r="PKS49"/>
      <c r="PKT49"/>
      <c r="PKU49"/>
      <c r="PKV49"/>
      <c r="PKW49"/>
      <c r="PKX49"/>
      <c r="PKY49"/>
      <c r="PKZ49"/>
      <c r="PLA49"/>
      <c r="PLB49"/>
      <c r="PLC49"/>
      <c r="PLD49"/>
      <c r="PLE49"/>
      <c r="PLF49"/>
      <c r="PLG49"/>
      <c r="PLH49"/>
      <c r="PLI49"/>
      <c r="PLJ49"/>
      <c r="PLK49"/>
      <c r="PLL49"/>
      <c r="PLM49"/>
      <c r="PLN49"/>
      <c r="PLO49"/>
      <c r="PLP49"/>
      <c r="PLQ49"/>
      <c r="PLR49"/>
      <c r="PLS49"/>
      <c r="PLT49"/>
      <c r="PLU49"/>
      <c r="PLV49"/>
      <c r="PLW49"/>
      <c r="PLX49"/>
      <c r="PLY49"/>
      <c r="PLZ49"/>
      <c r="PMA49"/>
      <c r="PMB49"/>
      <c r="PMC49"/>
      <c r="PMD49"/>
      <c r="PME49"/>
      <c r="PMF49"/>
      <c r="PMG49"/>
      <c r="PMH49"/>
      <c r="PMI49"/>
      <c r="PMJ49"/>
      <c r="PMK49"/>
      <c r="PML49"/>
      <c r="PMM49"/>
      <c r="PMN49"/>
      <c r="PMO49"/>
      <c r="PMP49"/>
      <c r="PMQ49"/>
      <c r="PMR49"/>
      <c r="PMS49"/>
      <c r="PMT49"/>
      <c r="PMU49"/>
      <c r="PMV49"/>
      <c r="PMW49"/>
      <c r="PMX49"/>
      <c r="PMY49"/>
      <c r="PMZ49"/>
      <c r="PNA49"/>
      <c r="PNB49"/>
      <c r="PNC49"/>
      <c r="PND49"/>
      <c r="PNE49"/>
      <c r="PNF49"/>
      <c r="PNG49"/>
      <c r="PNH49"/>
      <c r="PNI49"/>
      <c r="PNJ49"/>
      <c r="PNK49"/>
      <c r="PNL49"/>
      <c r="PNM49"/>
      <c r="PNN49"/>
      <c r="PNO49"/>
      <c r="PNP49"/>
      <c r="PNQ49"/>
      <c r="PNR49"/>
      <c r="PNS49"/>
      <c r="PNT49"/>
      <c r="PNU49"/>
      <c r="PNV49"/>
      <c r="PNW49"/>
      <c r="PNX49"/>
      <c r="PNY49"/>
      <c r="PNZ49"/>
      <c r="POA49"/>
      <c r="POB49"/>
      <c r="POC49"/>
      <c r="POD49"/>
      <c r="POE49"/>
      <c r="POF49"/>
      <c r="POG49"/>
      <c r="POH49"/>
      <c r="POI49"/>
      <c r="POJ49"/>
      <c r="POK49"/>
      <c r="POL49"/>
      <c r="POM49"/>
      <c r="PON49"/>
      <c r="POO49"/>
      <c r="POP49"/>
      <c r="POQ49"/>
      <c r="POR49"/>
      <c r="POS49"/>
      <c r="POT49"/>
      <c r="POU49"/>
      <c r="POV49"/>
      <c r="POW49"/>
      <c r="POX49"/>
      <c r="POY49"/>
      <c r="POZ49"/>
      <c r="PPA49"/>
      <c r="PPB49"/>
      <c r="PPC49"/>
      <c r="PPD49"/>
      <c r="PPE49"/>
      <c r="PPF49"/>
      <c r="PPG49"/>
      <c r="PPH49"/>
      <c r="PPI49"/>
      <c r="PPJ49"/>
      <c r="PPK49"/>
      <c r="PPL49"/>
      <c r="PPM49"/>
      <c r="PPN49"/>
      <c r="PPO49"/>
      <c r="PPP49"/>
      <c r="PPQ49"/>
      <c r="PPR49"/>
      <c r="PPS49"/>
      <c r="PPT49"/>
      <c r="PPU49"/>
      <c r="PPV49"/>
      <c r="PPW49"/>
      <c r="PPX49"/>
      <c r="PPY49"/>
      <c r="PPZ49"/>
      <c r="PQA49"/>
      <c r="PQB49"/>
      <c r="PQC49"/>
      <c r="PQD49"/>
      <c r="PQE49"/>
      <c r="PQF49"/>
      <c r="PQG49"/>
      <c r="PQH49"/>
      <c r="PQI49"/>
      <c r="PQJ49"/>
      <c r="PQK49"/>
      <c r="PQL49"/>
      <c r="PQM49"/>
      <c r="PQN49"/>
      <c r="PQO49"/>
      <c r="PQP49"/>
      <c r="PQQ49"/>
      <c r="PQR49"/>
      <c r="PQS49"/>
      <c r="PQT49"/>
      <c r="PQU49"/>
      <c r="PQV49"/>
      <c r="PQW49"/>
      <c r="PQX49"/>
      <c r="PQY49"/>
      <c r="PQZ49"/>
      <c r="PRA49"/>
      <c r="PRB49"/>
      <c r="PRC49"/>
      <c r="PRD49"/>
      <c r="PRE49"/>
      <c r="PRF49"/>
      <c r="PRG49"/>
      <c r="PRH49"/>
      <c r="PRI49"/>
      <c r="PRJ49"/>
      <c r="PRK49"/>
      <c r="PRL49"/>
      <c r="PRM49"/>
      <c r="PRN49"/>
      <c r="PRO49"/>
      <c r="PRP49"/>
      <c r="PRQ49"/>
      <c r="PRR49"/>
      <c r="PRS49"/>
      <c r="PRT49"/>
      <c r="PRU49"/>
      <c r="PRV49"/>
      <c r="PRW49"/>
      <c r="PRX49"/>
      <c r="PRY49"/>
      <c r="PRZ49"/>
      <c r="PSA49"/>
      <c r="PSB49"/>
      <c r="PSC49"/>
      <c r="PSD49"/>
      <c r="PSE49"/>
      <c r="PSF49"/>
      <c r="PSG49"/>
      <c r="PSH49"/>
      <c r="PSI49"/>
      <c r="PSJ49"/>
      <c r="PSK49"/>
      <c r="PSL49"/>
      <c r="PSM49"/>
      <c r="PSN49"/>
      <c r="PSO49"/>
      <c r="PSP49"/>
      <c r="PSQ49"/>
      <c r="PSR49"/>
      <c r="PSS49"/>
      <c r="PST49"/>
      <c r="PSU49"/>
      <c r="PSV49"/>
      <c r="PSW49"/>
      <c r="PSX49"/>
      <c r="PSY49"/>
      <c r="PSZ49"/>
      <c r="PTA49"/>
      <c r="PTB49"/>
      <c r="PTC49"/>
      <c r="PTD49"/>
      <c r="PTE49"/>
      <c r="PTF49"/>
      <c r="PTG49"/>
      <c r="PTH49"/>
      <c r="PTI49"/>
      <c r="PTJ49"/>
      <c r="PTK49"/>
      <c r="PTL49"/>
      <c r="PTM49"/>
      <c r="PTN49"/>
      <c r="PTO49"/>
      <c r="PTP49"/>
      <c r="PTQ49"/>
      <c r="PTR49"/>
      <c r="PTS49"/>
      <c r="PTT49"/>
      <c r="PTU49"/>
      <c r="PTV49"/>
      <c r="PTW49"/>
      <c r="PTX49"/>
      <c r="PTY49"/>
      <c r="PTZ49"/>
      <c r="PUA49"/>
      <c r="PUB49"/>
      <c r="PUC49"/>
      <c r="PUD49"/>
      <c r="PUE49"/>
      <c r="PUF49"/>
      <c r="PUG49"/>
      <c r="PUH49"/>
      <c r="PUI49"/>
      <c r="PUJ49"/>
      <c r="PUK49"/>
      <c r="PUL49"/>
      <c r="PUM49"/>
      <c r="PUN49"/>
      <c r="PUO49"/>
      <c r="PUP49"/>
      <c r="PUQ49"/>
      <c r="PUR49"/>
      <c r="PUS49"/>
      <c r="PUT49"/>
      <c r="PUU49"/>
      <c r="PUV49"/>
      <c r="PUW49"/>
      <c r="PUX49"/>
      <c r="PUY49"/>
      <c r="PUZ49"/>
      <c r="PVA49"/>
      <c r="PVB49"/>
      <c r="PVC49"/>
      <c r="PVD49"/>
      <c r="PVE49"/>
      <c r="PVF49"/>
      <c r="PVG49"/>
      <c r="PVH49"/>
      <c r="PVI49"/>
      <c r="PVJ49"/>
      <c r="PVK49"/>
      <c r="PVL49"/>
      <c r="PVM49"/>
      <c r="PVN49"/>
      <c r="PVO49"/>
      <c r="PVP49"/>
      <c r="PVQ49"/>
      <c r="PVR49"/>
      <c r="PVS49"/>
      <c r="PVT49"/>
      <c r="PVU49"/>
      <c r="PVV49"/>
      <c r="PVW49"/>
      <c r="PVX49"/>
      <c r="PVY49"/>
      <c r="PVZ49"/>
      <c r="PWA49"/>
      <c r="PWB49"/>
      <c r="PWC49"/>
      <c r="PWD49"/>
      <c r="PWE49"/>
      <c r="PWF49"/>
      <c r="PWG49"/>
      <c r="PWH49"/>
      <c r="PWI49"/>
      <c r="PWJ49"/>
      <c r="PWK49"/>
      <c r="PWL49"/>
      <c r="PWM49"/>
      <c r="PWN49"/>
      <c r="PWO49"/>
      <c r="PWP49"/>
      <c r="PWQ49"/>
      <c r="PWR49"/>
      <c r="PWS49"/>
      <c r="PWT49"/>
      <c r="PWU49"/>
      <c r="PWV49"/>
      <c r="PWW49"/>
      <c r="PWX49"/>
      <c r="PWY49"/>
      <c r="PWZ49"/>
      <c r="PXA49"/>
      <c r="PXB49"/>
      <c r="PXC49"/>
      <c r="PXD49"/>
      <c r="PXE49"/>
      <c r="PXF49"/>
      <c r="PXG49"/>
      <c r="PXH49"/>
      <c r="PXI49"/>
      <c r="PXJ49"/>
      <c r="PXK49"/>
      <c r="PXL49"/>
      <c r="PXM49"/>
      <c r="PXN49"/>
      <c r="PXO49"/>
      <c r="PXP49"/>
      <c r="PXQ49"/>
      <c r="PXR49"/>
      <c r="PXS49"/>
      <c r="PXT49"/>
      <c r="PXU49"/>
      <c r="PXV49"/>
      <c r="PXW49"/>
      <c r="PXX49"/>
      <c r="PXY49"/>
      <c r="PXZ49"/>
      <c r="PYA49"/>
      <c r="PYB49"/>
      <c r="PYC49"/>
      <c r="PYD49"/>
      <c r="PYE49"/>
      <c r="PYF49"/>
      <c r="PYG49"/>
      <c r="PYH49"/>
      <c r="PYI49"/>
      <c r="PYJ49"/>
      <c r="PYK49"/>
      <c r="PYL49"/>
      <c r="PYM49"/>
      <c r="PYN49"/>
      <c r="PYO49"/>
      <c r="PYP49"/>
      <c r="PYQ49"/>
      <c r="PYR49"/>
      <c r="PYS49"/>
      <c r="PYT49"/>
      <c r="PYU49"/>
      <c r="PYV49"/>
      <c r="PYW49"/>
      <c r="PYX49"/>
      <c r="PYY49"/>
      <c r="PYZ49"/>
      <c r="PZA49"/>
      <c r="PZB49"/>
      <c r="PZC49"/>
      <c r="PZD49"/>
      <c r="PZE49"/>
      <c r="PZF49"/>
      <c r="PZG49"/>
      <c r="PZH49"/>
      <c r="PZI49"/>
      <c r="PZJ49"/>
      <c r="PZK49"/>
      <c r="PZL49"/>
      <c r="PZM49"/>
      <c r="PZN49"/>
      <c r="PZO49"/>
      <c r="PZP49"/>
      <c r="PZQ49"/>
      <c r="PZR49"/>
      <c r="PZS49"/>
      <c r="PZT49"/>
      <c r="PZU49"/>
      <c r="PZV49"/>
      <c r="PZW49"/>
      <c r="PZX49"/>
      <c r="PZY49"/>
      <c r="PZZ49"/>
      <c r="QAA49"/>
      <c r="QAB49"/>
      <c r="QAC49"/>
      <c r="QAD49"/>
      <c r="QAE49"/>
      <c r="QAF49"/>
      <c r="QAG49"/>
      <c r="QAH49"/>
      <c r="QAI49"/>
      <c r="QAJ49"/>
      <c r="QAK49"/>
      <c r="QAL49"/>
      <c r="QAM49"/>
      <c r="QAN49"/>
      <c r="QAO49"/>
      <c r="QAP49"/>
      <c r="QAQ49"/>
      <c r="QAR49"/>
      <c r="QAS49"/>
      <c r="QAT49"/>
      <c r="QAU49"/>
      <c r="QAV49"/>
      <c r="QAW49"/>
      <c r="QAX49"/>
      <c r="QAY49"/>
      <c r="QAZ49"/>
      <c r="QBA49"/>
      <c r="QBB49"/>
      <c r="QBC49"/>
      <c r="QBD49"/>
      <c r="QBE49"/>
      <c r="QBF49"/>
      <c r="QBG49"/>
      <c r="QBH49"/>
      <c r="QBI49"/>
      <c r="QBJ49"/>
      <c r="QBK49"/>
      <c r="QBL49"/>
      <c r="QBM49"/>
      <c r="QBN49"/>
      <c r="QBO49"/>
      <c r="QBP49"/>
      <c r="QBQ49"/>
      <c r="QBR49"/>
      <c r="QBS49"/>
      <c r="QBT49"/>
      <c r="QBU49"/>
      <c r="QBV49"/>
      <c r="QBW49"/>
      <c r="QBX49"/>
      <c r="QBY49"/>
      <c r="QBZ49"/>
      <c r="QCA49"/>
      <c r="QCB49"/>
      <c r="QCC49"/>
      <c r="QCD49"/>
      <c r="QCE49"/>
      <c r="QCF49"/>
      <c r="QCG49"/>
      <c r="QCH49"/>
      <c r="QCI49"/>
      <c r="QCJ49"/>
      <c r="QCK49"/>
      <c r="QCL49"/>
      <c r="QCM49"/>
      <c r="QCN49"/>
      <c r="QCO49"/>
      <c r="QCP49"/>
      <c r="QCQ49"/>
      <c r="QCR49"/>
      <c r="QCS49"/>
      <c r="QCT49"/>
      <c r="QCU49"/>
      <c r="QCV49"/>
      <c r="QCW49"/>
      <c r="QCX49"/>
      <c r="QCY49"/>
      <c r="QCZ49"/>
      <c r="QDA49"/>
      <c r="QDB49"/>
      <c r="QDC49"/>
      <c r="QDD49"/>
      <c r="QDE49"/>
      <c r="QDF49"/>
      <c r="QDG49"/>
      <c r="QDH49"/>
      <c r="QDI49"/>
      <c r="QDJ49"/>
      <c r="QDK49"/>
      <c r="QDL49"/>
      <c r="QDM49"/>
      <c r="QDN49"/>
      <c r="QDO49"/>
      <c r="QDP49"/>
      <c r="QDQ49"/>
      <c r="QDR49"/>
      <c r="QDS49"/>
      <c r="QDT49"/>
      <c r="QDU49"/>
      <c r="QDV49"/>
      <c r="QDW49"/>
      <c r="QDX49"/>
      <c r="QDY49"/>
      <c r="QDZ49"/>
      <c r="QEA49"/>
      <c r="QEB49"/>
      <c r="QEC49"/>
      <c r="QED49"/>
      <c r="QEE49"/>
      <c r="QEF49"/>
      <c r="QEG49"/>
      <c r="QEH49"/>
      <c r="QEI49"/>
      <c r="QEJ49"/>
      <c r="QEK49"/>
      <c r="QEL49"/>
      <c r="QEM49"/>
      <c r="QEN49"/>
      <c r="QEO49"/>
      <c r="QEP49"/>
      <c r="QEQ49"/>
      <c r="QER49"/>
      <c r="QES49"/>
      <c r="QET49"/>
      <c r="QEU49"/>
      <c r="QEV49"/>
      <c r="QEW49"/>
      <c r="QEX49"/>
      <c r="QEY49"/>
      <c r="QEZ49"/>
      <c r="QFA49"/>
      <c r="QFB49"/>
      <c r="QFC49"/>
      <c r="QFD49"/>
      <c r="QFE49"/>
      <c r="QFF49"/>
      <c r="QFG49"/>
      <c r="QFH49"/>
      <c r="QFI49"/>
      <c r="QFJ49"/>
      <c r="QFK49"/>
      <c r="QFL49"/>
      <c r="QFM49"/>
      <c r="QFN49"/>
      <c r="QFO49"/>
      <c r="QFP49"/>
      <c r="QFQ49"/>
      <c r="QFR49"/>
      <c r="QFS49"/>
      <c r="QFT49"/>
      <c r="QFU49"/>
      <c r="QFV49"/>
      <c r="QFW49"/>
      <c r="QFX49"/>
      <c r="QFY49"/>
      <c r="QFZ49"/>
      <c r="QGA49"/>
      <c r="QGB49"/>
      <c r="QGC49"/>
      <c r="QGD49"/>
      <c r="QGE49"/>
      <c r="QGF49"/>
      <c r="QGG49"/>
      <c r="QGH49"/>
      <c r="QGI49"/>
      <c r="QGJ49"/>
      <c r="QGK49"/>
      <c r="QGL49"/>
      <c r="QGM49"/>
      <c r="QGN49"/>
      <c r="QGO49"/>
      <c r="QGP49"/>
      <c r="QGQ49"/>
      <c r="QGR49"/>
      <c r="QGS49"/>
      <c r="QGT49"/>
      <c r="QGU49"/>
      <c r="QGV49"/>
      <c r="QGW49"/>
      <c r="QGX49"/>
      <c r="QGY49"/>
      <c r="QGZ49"/>
      <c r="QHA49"/>
      <c r="QHB49"/>
      <c r="QHC49"/>
      <c r="QHD49"/>
      <c r="QHE49"/>
      <c r="QHF49"/>
      <c r="QHG49"/>
      <c r="QHH49"/>
      <c r="QHI49"/>
      <c r="QHJ49"/>
      <c r="QHK49"/>
      <c r="QHL49"/>
      <c r="QHM49"/>
      <c r="QHN49"/>
      <c r="QHO49"/>
      <c r="QHP49"/>
      <c r="QHQ49"/>
      <c r="QHR49"/>
      <c r="QHS49"/>
      <c r="QHT49"/>
      <c r="QHU49"/>
      <c r="QHV49"/>
      <c r="QHW49"/>
      <c r="QHX49"/>
      <c r="QHY49"/>
      <c r="QHZ49"/>
      <c r="QIA49"/>
      <c r="QIB49"/>
      <c r="QIC49"/>
      <c r="QID49"/>
      <c r="QIE49"/>
      <c r="QIF49"/>
      <c r="QIG49"/>
      <c r="QIH49"/>
      <c r="QII49"/>
      <c r="QIJ49"/>
      <c r="QIK49"/>
      <c r="QIL49"/>
      <c r="QIM49"/>
      <c r="QIN49"/>
      <c r="QIO49"/>
      <c r="QIP49"/>
      <c r="QIQ49"/>
      <c r="QIR49"/>
      <c r="QIS49"/>
      <c r="QIT49"/>
      <c r="QIU49"/>
      <c r="QIV49"/>
      <c r="QIW49"/>
      <c r="QIX49"/>
      <c r="QIY49"/>
      <c r="QIZ49"/>
      <c r="QJA49"/>
      <c r="QJB49"/>
      <c r="QJC49"/>
      <c r="QJD49"/>
      <c r="QJE49"/>
      <c r="QJF49"/>
      <c r="QJG49"/>
      <c r="QJH49"/>
      <c r="QJI49"/>
      <c r="QJJ49"/>
      <c r="QJK49"/>
      <c r="QJL49"/>
      <c r="QJM49"/>
      <c r="QJN49"/>
      <c r="QJO49"/>
      <c r="QJP49"/>
      <c r="QJQ49"/>
      <c r="QJR49"/>
      <c r="QJS49"/>
      <c r="QJT49"/>
      <c r="QJU49"/>
      <c r="QJV49"/>
      <c r="QJW49"/>
      <c r="QJX49"/>
      <c r="QJY49"/>
      <c r="QJZ49"/>
      <c r="QKA49"/>
      <c r="QKB49"/>
      <c r="QKC49"/>
      <c r="QKD49"/>
      <c r="QKE49"/>
      <c r="QKF49"/>
      <c r="QKG49"/>
      <c r="QKH49"/>
      <c r="QKI49"/>
      <c r="QKJ49"/>
      <c r="QKK49"/>
      <c r="QKL49"/>
      <c r="QKM49"/>
      <c r="QKN49"/>
      <c r="QKO49"/>
      <c r="QKP49"/>
      <c r="QKQ49"/>
      <c r="QKR49"/>
      <c r="QKS49"/>
      <c r="QKT49"/>
      <c r="QKU49"/>
      <c r="QKV49"/>
      <c r="QKW49"/>
      <c r="QKX49"/>
      <c r="QKY49"/>
      <c r="QKZ49"/>
      <c r="QLA49"/>
      <c r="QLB49"/>
      <c r="QLC49"/>
      <c r="QLD49"/>
      <c r="QLE49"/>
      <c r="QLF49"/>
      <c r="QLG49"/>
      <c r="QLH49"/>
      <c r="QLI49"/>
      <c r="QLJ49"/>
      <c r="QLK49"/>
      <c r="QLL49"/>
      <c r="QLM49"/>
      <c r="QLN49"/>
      <c r="QLO49"/>
      <c r="QLP49"/>
      <c r="QLQ49"/>
      <c r="QLR49"/>
      <c r="QLS49"/>
      <c r="QLT49"/>
      <c r="QLU49"/>
      <c r="QLV49"/>
      <c r="QLW49"/>
      <c r="QLX49"/>
      <c r="QLY49"/>
      <c r="QLZ49"/>
      <c r="QMA49"/>
      <c r="QMB49"/>
      <c r="QMC49"/>
      <c r="QMD49"/>
      <c r="QME49"/>
      <c r="QMF49"/>
      <c r="QMG49"/>
      <c r="QMH49"/>
      <c r="QMI49"/>
      <c r="QMJ49"/>
      <c r="QMK49"/>
      <c r="QML49"/>
      <c r="QMM49"/>
      <c r="QMN49"/>
      <c r="QMO49"/>
      <c r="QMP49"/>
      <c r="QMQ49"/>
      <c r="QMR49"/>
      <c r="QMS49"/>
      <c r="QMT49"/>
      <c r="QMU49"/>
      <c r="QMV49"/>
      <c r="QMW49"/>
      <c r="QMX49"/>
      <c r="QMY49"/>
      <c r="QMZ49"/>
      <c r="QNA49"/>
      <c r="QNB49"/>
      <c r="QNC49"/>
      <c r="QND49"/>
      <c r="QNE49"/>
      <c r="QNF49"/>
      <c r="QNG49"/>
      <c r="QNH49"/>
      <c r="QNI49"/>
      <c r="QNJ49"/>
      <c r="QNK49"/>
      <c r="QNL49"/>
      <c r="QNM49"/>
      <c r="QNN49"/>
      <c r="QNO49"/>
      <c r="QNP49"/>
      <c r="QNQ49"/>
      <c r="QNR49"/>
      <c r="QNS49"/>
      <c r="QNT49"/>
      <c r="QNU49"/>
      <c r="QNV49"/>
      <c r="QNW49"/>
      <c r="QNX49"/>
      <c r="QNY49"/>
      <c r="QNZ49"/>
      <c r="QOA49"/>
      <c r="QOB49"/>
      <c r="QOC49"/>
      <c r="QOD49"/>
      <c r="QOE49"/>
      <c r="QOF49"/>
      <c r="QOG49"/>
      <c r="QOH49"/>
      <c r="QOI49"/>
      <c r="QOJ49"/>
      <c r="QOK49"/>
      <c r="QOL49"/>
      <c r="QOM49"/>
      <c r="QON49"/>
      <c r="QOO49"/>
      <c r="QOP49"/>
      <c r="QOQ49"/>
      <c r="QOR49"/>
      <c r="QOS49"/>
      <c r="QOT49"/>
      <c r="QOU49"/>
      <c r="QOV49"/>
      <c r="QOW49"/>
      <c r="QOX49"/>
      <c r="QOY49"/>
      <c r="QOZ49"/>
      <c r="QPA49"/>
      <c r="QPB49"/>
      <c r="QPC49"/>
      <c r="QPD49"/>
      <c r="QPE49"/>
      <c r="QPF49"/>
      <c r="QPG49"/>
      <c r="QPH49"/>
      <c r="QPI49"/>
      <c r="QPJ49"/>
      <c r="QPK49"/>
      <c r="QPL49"/>
      <c r="QPM49"/>
      <c r="QPN49"/>
      <c r="QPO49"/>
      <c r="QPP49"/>
      <c r="QPQ49"/>
      <c r="QPR49"/>
      <c r="QPS49"/>
      <c r="QPT49"/>
      <c r="QPU49"/>
      <c r="QPV49"/>
      <c r="QPW49"/>
      <c r="QPX49"/>
      <c r="QPY49"/>
      <c r="QPZ49"/>
      <c r="QQA49"/>
      <c r="QQB49"/>
      <c r="QQC49"/>
      <c r="QQD49"/>
      <c r="QQE49"/>
      <c r="QQF49"/>
      <c r="QQG49"/>
      <c r="QQH49"/>
      <c r="QQI49"/>
      <c r="QQJ49"/>
      <c r="QQK49"/>
      <c r="QQL49"/>
      <c r="QQM49"/>
      <c r="QQN49"/>
      <c r="QQO49"/>
      <c r="QQP49"/>
      <c r="QQQ49"/>
      <c r="QQR49"/>
      <c r="QQS49"/>
      <c r="QQT49"/>
      <c r="QQU49"/>
      <c r="QQV49"/>
      <c r="QQW49"/>
      <c r="QQX49"/>
      <c r="QQY49"/>
      <c r="QQZ49"/>
      <c r="QRA49"/>
      <c r="QRB49"/>
      <c r="QRC49"/>
      <c r="QRD49"/>
      <c r="QRE49"/>
      <c r="QRF49"/>
      <c r="QRG49"/>
      <c r="QRH49"/>
      <c r="QRI49"/>
      <c r="QRJ49"/>
      <c r="QRK49"/>
      <c r="QRL49"/>
      <c r="QRM49"/>
      <c r="QRN49"/>
      <c r="QRO49"/>
      <c r="QRP49"/>
      <c r="QRQ49"/>
      <c r="QRR49"/>
      <c r="QRS49"/>
      <c r="QRT49"/>
      <c r="QRU49"/>
      <c r="QRV49"/>
      <c r="QRW49"/>
      <c r="QRX49"/>
      <c r="QRY49"/>
      <c r="QRZ49"/>
      <c r="QSA49"/>
      <c r="QSB49"/>
      <c r="QSC49"/>
      <c r="QSD49"/>
      <c r="QSE49"/>
      <c r="QSF49"/>
      <c r="QSG49"/>
      <c r="QSH49"/>
      <c r="QSI49"/>
      <c r="QSJ49"/>
      <c r="QSK49"/>
      <c r="QSL49"/>
      <c r="QSM49"/>
      <c r="QSN49"/>
      <c r="QSO49"/>
      <c r="QSP49"/>
      <c r="QSQ49"/>
      <c r="QSR49"/>
      <c r="QSS49"/>
      <c r="QST49"/>
      <c r="QSU49"/>
      <c r="QSV49"/>
      <c r="QSW49"/>
      <c r="QSX49"/>
      <c r="QSY49"/>
      <c r="QSZ49"/>
      <c r="QTA49"/>
      <c r="QTB49"/>
      <c r="QTC49"/>
      <c r="QTD49"/>
      <c r="QTE49"/>
      <c r="QTF49"/>
      <c r="QTG49"/>
      <c r="QTH49"/>
      <c r="QTI49"/>
      <c r="QTJ49"/>
      <c r="QTK49"/>
      <c r="QTL49"/>
      <c r="QTM49"/>
      <c r="QTN49"/>
      <c r="QTO49"/>
      <c r="QTP49"/>
      <c r="QTQ49"/>
      <c r="QTR49"/>
      <c r="QTS49"/>
      <c r="QTT49"/>
      <c r="QTU49"/>
      <c r="QTV49"/>
      <c r="QTW49"/>
      <c r="QTX49"/>
      <c r="QTY49"/>
      <c r="QTZ49"/>
      <c r="QUA49"/>
      <c r="QUB49"/>
      <c r="QUC49"/>
      <c r="QUD49"/>
      <c r="QUE49"/>
      <c r="QUF49"/>
      <c r="QUG49"/>
      <c r="QUH49"/>
      <c r="QUI49"/>
      <c r="QUJ49"/>
      <c r="QUK49"/>
      <c r="QUL49"/>
      <c r="QUM49"/>
      <c r="QUN49"/>
      <c r="QUO49"/>
      <c r="QUP49"/>
      <c r="QUQ49"/>
      <c r="QUR49"/>
      <c r="QUS49"/>
      <c r="QUT49"/>
      <c r="QUU49"/>
      <c r="QUV49"/>
      <c r="QUW49"/>
      <c r="QUX49"/>
      <c r="QUY49"/>
      <c r="QUZ49"/>
      <c r="QVA49"/>
      <c r="QVB49"/>
      <c r="QVC49"/>
      <c r="QVD49"/>
      <c r="QVE49"/>
      <c r="QVF49"/>
      <c r="QVG49"/>
      <c r="QVH49"/>
      <c r="QVI49"/>
      <c r="QVJ49"/>
      <c r="QVK49"/>
      <c r="QVL49"/>
      <c r="QVM49"/>
      <c r="QVN49"/>
      <c r="QVO49"/>
      <c r="QVP49"/>
      <c r="QVQ49"/>
      <c r="QVR49"/>
      <c r="QVS49"/>
      <c r="QVT49"/>
      <c r="QVU49"/>
      <c r="QVV49"/>
      <c r="QVW49"/>
      <c r="QVX49"/>
      <c r="QVY49"/>
      <c r="QVZ49"/>
      <c r="QWA49"/>
      <c r="QWB49"/>
      <c r="QWC49"/>
      <c r="QWD49"/>
      <c r="QWE49"/>
      <c r="QWF49"/>
      <c r="QWG49"/>
      <c r="QWH49"/>
      <c r="QWI49"/>
      <c r="QWJ49"/>
      <c r="QWK49"/>
      <c r="QWL49"/>
      <c r="QWM49"/>
      <c r="QWN49"/>
      <c r="QWO49"/>
      <c r="QWP49"/>
      <c r="QWQ49"/>
      <c r="QWR49"/>
      <c r="QWS49"/>
      <c r="QWT49"/>
      <c r="QWU49"/>
      <c r="QWV49"/>
      <c r="QWW49"/>
      <c r="QWX49"/>
      <c r="QWY49"/>
      <c r="QWZ49"/>
      <c r="QXA49"/>
      <c r="QXB49"/>
      <c r="QXC49"/>
      <c r="QXD49"/>
      <c r="QXE49"/>
      <c r="QXF49"/>
      <c r="QXG49"/>
      <c r="QXH49"/>
      <c r="QXI49"/>
      <c r="QXJ49"/>
      <c r="QXK49"/>
      <c r="QXL49"/>
      <c r="QXM49"/>
      <c r="QXN49"/>
      <c r="QXO49"/>
      <c r="QXP49"/>
      <c r="QXQ49"/>
      <c r="QXR49"/>
      <c r="QXS49"/>
      <c r="QXT49"/>
      <c r="QXU49"/>
      <c r="QXV49"/>
      <c r="QXW49"/>
      <c r="QXX49"/>
      <c r="QXY49"/>
      <c r="QXZ49"/>
      <c r="QYA49"/>
      <c r="QYB49"/>
      <c r="QYC49"/>
      <c r="QYD49"/>
      <c r="QYE49"/>
      <c r="QYF49"/>
      <c r="QYG49"/>
      <c r="QYH49"/>
      <c r="QYI49"/>
      <c r="QYJ49"/>
      <c r="QYK49"/>
      <c r="QYL49"/>
      <c r="QYM49"/>
      <c r="QYN49"/>
      <c r="QYO49"/>
      <c r="QYP49"/>
      <c r="QYQ49"/>
      <c r="QYR49"/>
      <c r="QYS49"/>
      <c r="QYT49"/>
      <c r="QYU49"/>
      <c r="QYV49"/>
      <c r="QYW49"/>
      <c r="QYX49"/>
      <c r="QYY49"/>
      <c r="QYZ49"/>
      <c r="QZA49"/>
      <c r="QZB49"/>
      <c r="QZC49"/>
      <c r="QZD49"/>
      <c r="QZE49"/>
      <c r="QZF49"/>
      <c r="QZG49"/>
      <c r="QZH49"/>
      <c r="QZI49"/>
      <c r="QZJ49"/>
      <c r="QZK49"/>
      <c r="QZL49"/>
      <c r="QZM49"/>
      <c r="QZN49"/>
      <c r="QZO49"/>
      <c r="QZP49"/>
      <c r="QZQ49"/>
      <c r="QZR49"/>
      <c r="QZS49"/>
      <c r="QZT49"/>
      <c r="QZU49"/>
      <c r="QZV49"/>
      <c r="QZW49"/>
      <c r="QZX49"/>
      <c r="QZY49"/>
      <c r="QZZ49"/>
      <c r="RAA49"/>
      <c r="RAB49"/>
      <c r="RAC49"/>
      <c r="RAD49"/>
      <c r="RAE49"/>
      <c r="RAF49"/>
      <c r="RAG49"/>
      <c r="RAH49"/>
      <c r="RAI49"/>
      <c r="RAJ49"/>
      <c r="RAK49"/>
      <c r="RAL49"/>
      <c r="RAM49"/>
      <c r="RAN49"/>
      <c r="RAO49"/>
      <c r="RAP49"/>
      <c r="RAQ49"/>
      <c r="RAR49"/>
      <c r="RAS49"/>
      <c r="RAT49"/>
      <c r="RAU49"/>
      <c r="RAV49"/>
      <c r="RAW49"/>
      <c r="RAX49"/>
      <c r="RAY49"/>
      <c r="RAZ49"/>
      <c r="RBA49"/>
      <c r="RBB49"/>
      <c r="RBC49"/>
      <c r="RBD49"/>
      <c r="RBE49"/>
      <c r="RBF49"/>
      <c r="RBG49"/>
      <c r="RBH49"/>
      <c r="RBI49"/>
      <c r="RBJ49"/>
      <c r="RBK49"/>
      <c r="RBL49"/>
      <c r="RBM49"/>
      <c r="RBN49"/>
      <c r="RBO49"/>
      <c r="RBP49"/>
      <c r="RBQ49"/>
      <c r="RBR49"/>
      <c r="RBS49"/>
      <c r="RBT49"/>
      <c r="RBU49"/>
      <c r="RBV49"/>
      <c r="RBW49"/>
      <c r="RBX49"/>
      <c r="RBY49"/>
      <c r="RBZ49"/>
      <c r="RCA49"/>
      <c r="RCB49"/>
      <c r="RCC49"/>
      <c r="RCD49"/>
      <c r="RCE49"/>
      <c r="RCF49"/>
      <c r="RCG49"/>
      <c r="RCH49"/>
      <c r="RCI49"/>
      <c r="RCJ49"/>
      <c r="RCK49"/>
      <c r="RCL49"/>
      <c r="RCM49"/>
      <c r="RCN49"/>
      <c r="RCO49"/>
      <c r="RCP49"/>
      <c r="RCQ49"/>
      <c r="RCR49"/>
      <c r="RCS49"/>
      <c r="RCT49"/>
      <c r="RCU49"/>
      <c r="RCV49"/>
      <c r="RCW49"/>
      <c r="RCX49"/>
      <c r="RCY49"/>
      <c r="RCZ49"/>
      <c r="RDA49"/>
      <c r="RDB49"/>
      <c r="RDC49"/>
      <c r="RDD49"/>
      <c r="RDE49"/>
      <c r="RDF49"/>
      <c r="RDG49"/>
      <c r="RDH49"/>
      <c r="RDI49"/>
      <c r="RDJ49"/>
      <c r="RDK49"/>
      <c r="RDL49"/>
      <c r="RDM49"/>
      <c r="RDN49"/>
      <c r="RDO49"/>
      <c r="RDP49"/>
      <c r="RDQ49"/>
      <c r="RDR49"/>
      <c r="RDS49"/>
      <c r="RDT49"/>
      <c r="RDU49"/>
      <c r="RDV49"/>
      <c r="RDW49"/>
      <c r="RDX49"/>
      <c r="RDY49"/>
      <c r="RDZ49"/>
      <c r="REA49"/>
      <c r="REB49"/>
      <c r="REC49"/>
      <c r="RED49"/>
      <c r="REE49"/>
      <c r="REF49"/>
      <c r="REG49"/>
      <c r="REH49"/>
      <c r="REI49"/>
      <c r="REJ49"/>
      <c r="REK49"/>
      <c r="REL49"/>
      <c r="REM49"/>
      <c r="REN49"/>
      <c r="REO49"/>
      <c r="REP49"/>
      <c r="REQ49"/>
      <c r="RER49"/>
      <c r="RES49"/>
      <c r="RET49"/>
      <c r="REU49"/>
      <c r="REV49"/>
      <c r="REW49"/>
      <c r="REX49"/>
      <c r="REY49"/>
      <c r="REZ49"/>
      <c r="RFA49"/>
      <c r="RFB49"/>
      <c r="RFC49"/>
      <c r="RFD49"/>
      <c r="RFE49"/>
      <c r="RFF49"/>
      <c r="RFG49"/>
      <c r="RFH49"/>
      <c r="RFI49"/>
      <c r="RFJ49"/>
      <c r="RFK49"/>
      <c r="RFL49"/>
      <c r="RFM49"/>
      <c r="RFN49"/>
      <c r="RFO49"/>
      <c r="RFP49"/>
      <c r="RFQ49"/>
      <c r="RFR49"/>
      <c r="RFS49"/>
      <c r="RFT49"/>
      <c r="RFU49"/>
      <c r="RFV49"/>
      <c r="RFW49"/>
      <c r="RFX49"/>
      <c r="RFY49"/>
      <c r="RFZ49"/>
      <c r="RGA49"/>
      <c r="RGB49"/>
      <c r="RGC49"/>
      <c r="RGD49"/>
      <c r="RGE49"/>
      <c r="RGF49"/>
      <c r="RGG49"/>
      <c r="RGH49"/>
      <c r="RGI49"/>
      <c r="RGJ49"/>
      <c r="RGK49"/>
      <c r="RGL49"/>
      <c r="RGM49"/>
      <c r="RGN49"/>
      <c r="RGO49"/>
      <c r="RGP49"/>
      <c r="RGQ49"/>
      <c r="RGR49"/>
      <c r="RGS49"/>
      <c r="RGT49"/>
      <c r="RGU49"/>
      <c r="RGV49"/>
      <c r="RGW49"/>
      <c r="RGX49"/>
      <c r="RGY49"/>
      <c r="RGZ49"/>
      <c r="RHA49"/>
      <c r="RHB49"/>
      <c r="RHC49"/>
      <c r="RHD49"/>
      <c r="RHE49"/>
      <c r="RHF49"/>
      <c r="RHG49"/>
      <c r="RHH49"/>
      <c r="RHI49"/>
      <c r="RHJ49"/>
      <c r="RHK49"/>
      <c r="RHL49"/>
      <c r="RHM49"/>
      <c r="RHN49"/>
      <c r="RHO49"/>
      <c r="RHP49"/>
      <c r="RHQ49"/>
      <c r="RHR49"/>
      <c r="RHS49"/>
      <c r="RHT49"/>
      <c r="RHU49"/>
      <c r="RHV49"/>
      <c r="RHW49"/>
      <c r="RHX49"/>
      <c r="RHY49"/>
      <c r="RHZ49"/>
      <c r="RIA49"/>
      <c r="RIB49"/>
      <c r="RIC49"/>
      <c r="RID49"/>
      <c r="RIE49"/>
      <c r="RIF49"/>
      <c r="RIG49"/>
      <c r="RIH49"/>
      <c r="RII49"/>
      <c r="RIJ49"/>
      <c r="RIK49"/>
      <c r="RIL49"/>
      <c r="RIM49"/>
      <c r="RIN49"/>
      <c r="RIO49"/>
      <c r="RIP49"/>
      <c r="RIQ49"/>
      <c r="RIR49"/>
      <c r="RIS49"/>
      <c r="RIT49"/>
      <c r="RIU49"/>
      <c r="RIV49"/>
      <c r="RIW49"/>
      <c r="RIX49"/>
      <c r="RIY49"/>
      <c r="RIZ49"/>
      <c r="RJA49"/>
      <c r="RJB49"/>
      <c r="RJC49"/>
      <c r="RJD49"/>
      <c r="RJE49"/>
      <c r="RJF49"/>
      <c r="RJG49"/>
      <c r="RJH49"/>
      <c r="RJI49"/>
      <c r="RJJ49"/>
      <c r="RJK49"/>
      <c r="RJL49"/>
      <c r="RJM49"/>
      <c r="RJN49"/>
      <c r="RJO49"/>
      <c r="RJP49"/>
      <c r="RJQ49"/>
      <c r="RJR49"/>
      <c r="RJS49"/>
      <c r="RJT49"/>
      <c r="RJU49"/>
      <c r="RJV49"/>
      <c r="RJW49"/>
      <c r="RJX49"/>
      <c r="RJY49"/>
      <c r="RJZ49"/>
      <c r="RKA49"/>
      <c r="RKB49"/>
      <c r="RKC49"/>
      <c r="RKD49"/>
      <c r="RKE49"/>
      <c r="RKF49"/>
      <c r="RKG49"/>
      <c r="RKH49"/>
      <c r="RKI49"/>
      <c r="RKJ49"/>
      <c r="RKK49"/>
      <c r="RKL49"/>
      <c r="RKM49"/>
      <c r="RKN49"/>
      <c r="RKO49"/>
      <c r="RKP49"/>
      <c r="RKQ49"/>
      <c r="RKR49"/>
      <c r="RKS49"/>
      <c r="RKT49"/>
      <c r="RKU49"/>
      <c r="RKV49"/>
      <c r="RKW49"/>
      <c r="RKX49"/>
      <c r="RKY49"/>
      <c r="RKZ49"/>
      <c r="RLA49"/>
      <c r="RLB49"/>
      <c r="RLC49"/>
      <c r="RLD49"/>
      <c r="RLE49"/>
      <c r="RLF49"/>
      <c r="RLG49"/>
      <c r="RLH49"/>
      <c r="RLI49"/>
      <c r="RLJ49"/>
      <c r="RLK49"/>
      <c r="RLL49"/>
      <c r="RLM49"/>
      <c r="RLN49"/>
      <c r="RLO49"/>
      <c r="RLP49"/>
      <c r="RLQ49"/>
      <c r="RLR49"/>
      <c r="RLS49"/>
      <c r="RLT49"/>
      <c r="RLU49"/>
      <c r="RLV49"/>
      <c r="RLW49"/>
      <c r="RLX49"/>
      <c r="RLY49"/>
      <c r="RLZ49"/>
      <c r="RMA49"/>
      <c r="RMB49"/>
      <c r="RMC49"/>
      <c r="RMD49"/>
      <c r="RME49"/>
      <c r="RMF49"/>
      <c r="RMG49"/>
      <c r="RMH49"/>
      <c r="RMI49"/>
      <c r="RMJ49"/>
      <c r="RMK49"/>
      <c r="RML49"/>
      <c r="RMM49"/>
      <c r="RMN49"/>
      <c r="RMO49"/>
      <c r="RMP49"/>
      <c r="RMQ49"/>
      <c r="RMR49"/>
      <c r="RMS49"/>
      <c r="RMT49"/>
      <c r="RMU49"/>
      <c r="RMV49"/>
      <c r="RMW49"/>
      <c r="RMX49"/>
      <c r="RMY49"/>
      <c r="RMZ49"/>
      <c r="RNA49"/>
      <c r="RNB49"/>
      <c r="RNC49"/>
      <c r="RND49"/>
      <c r="RNE49"/>
      <c r="RNF49"/>
      <c r="RNG49"/>
      <c r="RNH49"/>
      <c r="RNI49"/>
      <c r="RNJ49"/>
      <c r="RNK49"/>
      <c r="RNL49"/>
      <c r="RNM49"/>
      <c r="RNN49"/>
      <c r="RNO49"/>
      <c r="RNP49"/>
      <c r="RNQ49"/>
      <c r="RNR49"/>
      <c r="RNS49"/>
      <c r="RNT49"/>
      <c r="RNU49"/>
      <c r="RNV49"/>
      <c r="RNW49"/>
      <c r="RNX49"/>
      <c r="RNY49"/>
      <c r="RNZ49"/>
      <c r="ROA49"/>
      <c r="ROB49"/>
      <c r="ROC49"/>
      <c r="ROD49"/>
      <c r="ROE49"/>
      <c r="ROF49"/>
      <c r="ROG49"/>
      <c r="ROH49"/>
      <c r="ROI49"/>
      <c r="ROJ49"/>
      <c r="ROK49"/>
      <c r="ROL49"/>
      <c r="ROM49"/>
      <c r="RON49"/>
      <c r="ROO49"/>
      <c r="ROP49"/>
      <c r="ROQ49"/>
      <c r="ROR49"/>
      <c r="ROS49"/>
      <c r="ROT49"/>
      <c r="ROU49"/>
      <c r="ROV49"/>
      <c r="ROW49"/>
      <c r="ROX49"/>
      <c r="ROY49"/>
      <c r="ROZ49"/>
      <c r="RPA49"/>
      <c r="RPB49"/>
      <c r="RPC49"/>
      <c r="RPD49"/>
      <c r="RPE49"/>
      <c r="RPF49"/>
      <c r="RPG49"/>
      <c r="RPH49"/>
      <c r="RPI49"/>
      <c r="RPJ49"/>
      <c r="RPK49"/>
      <c r="RPL49"/>
      <c r="RPM49"/>
      <c r="RPN49"/>
      <c r="RPO49"/>
      <c r="RPP49"/>
      <c r="RPQ49"/>
      <c r="RPR49"/>
      <c r="RPS49"/>
      <c r="RPT49"/>
      <c r="RPU49"/>
      <c r="RPV49"/>
      <c r="RPW49"/>
      <c r="RPX49"/>
      <c r="RPY49"/>
      <c r="RPZ49"/>
      <c r="RQA49"/>
      <c r="RQB49"/>
      <c r="RQC49"/>
      <c r="RQD49"/>
      <c r="RQE49"/>
      <c r="RQF49"/>
      <c r="RQG49"/>
      <c r="RQH49"/>
      <c r="RQI49"/>
      <c r="RQJ49"/>
      <c r="RQK49"/>
      <c r="RQL49"/>
      <c r="RQM49"/>
      <c r="RQN49"/>
      <c r="RQO49"/>
      <c r="RQP49"/>
      <c r="RQQ49"/>
      <c r="RQR49"/>
      <c r="RQS49"/>
      <c r="RQT49"/>
      <c r="RQU49"/>
      <c r="RQV49"/>
      <c r="RQW49"/>
      <c r="RQX49"/>
      <c r="RQY49"/>
      <c r="RQZ49"/>
      <c r="RRA49"/>
      <c r="RRB49"/>
      <c r="RRC49"/>
      <c r="RRD49"/>
      <c r="RRE49"/>
      <c r="RRF49"/>
      <c r="RRG49"/>
      <c r="RRH49"/>
      <c r="RRI49"/>
      <c r="RRJ49"/>
      <c r="RRK49"/>
      <c r="RRL49"/>
      <c r="RRM49"/>
      <c r="RRN49"/>
      <c r="RRO49"/>
      <c r="RRP49"/>
      <c r="RRQ49"/>
      <c r="RRR49"/>
      <c r="RRS49"/>
      <c r="RRT49"/>
      <c r="RRU49"/>
      <c r="RRV49"/>
      <c r="RRW49"/>
      <c r="RRX49"/>
      <c r="RRY49"/>
      <c r="RRZ49"/>
      <c r="RSA49"/>
      <c r="RSB49"/>
      <c r="RSC49"/>
      <c r="RSD49"/>
      <c r="RSE49"/>
      <c r="RSF49"/>
      <c r="RSG49"/>
      <c r="RSH49"/>
      <c r="RSI49"/>
      <c r="RSJ49"/>
      <c r="RSK49"/>
      <c r="RSL49"/>
      <c r="RSM49"/>
      <c r="RSN49"/>
      <c r="RSO49"/>
      <c r="RSP49"/>
      <c r="RSQ49"/>
      <c r="RSR49"/>
      <c r="RSS49"/>
      <c r="RST49"/>
      <c r="RSU49"/>
      <c r="RSV49"/>
      <c r="RSW49"/>
      <c r="RSX49"/>
      <c r="RSY49"/>
      <c r="RSZ49"/>
      <c r="RTA49"/>
      <c r="RTB49"/>
      <c r="RTC49"/>
      <c r="RTD49"/>
      <c r="RTE49"/>
      <c r="RTF49"/>
      <c r="RTG49"/>
      <c r="RTH49"/>
      <c r="RTI49"/>
      <c r="RTJ49"/>
      <c r="RTK49"/>
      <c r="RTL49"/>
      <c r="RTM49"/>
      <c r="RTN49"/>
      <c r="RTO49"/>
      <c r="RTP49"/>
      <c r="RTQ49"/>
      <c r="RTR49"/>
      <c r="RTS49"/>
      <c r="RTT49"/>
      <c r="RTU49"/>
      <c r="RTV49"/>
      <c r="RTW49"/>
      <c r="RTX49"/>
      <c r="RTY49"/>
      <c r="RTZ49"/>
      <c r="RUA49"/>
      <c r="RUB49"/>
      <c r="RUC49"/>
      <c r="RUD49"/>
      <c r="RUE49"/>
      <c r="RUF49"/>
      <c r="RUG49"/>
      <c r="RUH49"/>
      <c r="RUI49"/>
      <c r="RUJ49"/>
      <c r="RUK49"/>
      <c r="RUL49"/>
      <c r="RUM49"/>
      <c r="RUN49"/>
      <c r="RUO49"/>
      <c r="RUP49"/>
      <c r="RUQ49"/>
      <c r="RUR49"/>
      <c r="RUS49"/>
      <c r="RUT49"/>
      <c r="RUU49"/>
      <c r="RUV49"/>
      <c r="RUW49"/>
      <c r="RUX49"/>
      <c r="RUY49"/>
      <c r="RUZ49"/>
      <c r="RVA49"/>
      <c r="RVB49"/>
      <c r="RVC49"/>
      <c r="RVD49"/>
      <c r="RVE49"/>
      <c r="RVF49"/>
      <c r="RVG49"/>
      <c r="RVH49"/>
      <c r="RVI49"/>
      <c r="RVJ49"/>
      <c r="RVK49"/>
      <c r="RVL49"/>
      <c r="RVM49"/>
      <c r="RVN49"/>
      <c r="RVO49"/>
      <c r="RVP49"/>
      <c r="RVQ49"/>
      <c r="RVR49"/>
      <c r="RVS49"/>
      <c r="RVT49"/>
      <c r="RVU49"/>
      <c r="RVV49"/>
      <c r="RVW49"/>
      <c r="RVX49"/>
      <c r="RVY49"/>
      <c r="RVZ49"/>
      <c r="RWA49"/>
      <c r="RWB49"/>
      <c r="RWC49"/>
      <c r="RWD49"/>
      <c r="RWE49"/>
      <c r="RWF49"/>
      <c r="RWG49"/>
      <c r="RWH49"/>
      <c r="RWI49"/>
      <c r="RWJ49"/>
      <c r="RWK49"/>
      <c r="RWL49"/>
      <c r="RWM49"/>
      <c r="RWN49"/>
      <c r="RWO49"/>
      <c r="RWP49"/>
      <c r="RWQ49"/>
      <c r="RWR49"/>
      <c r="RWS49"/>
      <c r="RWT49"/>
      <c r="RWU49"/>
      <c r="RWV49"/>
      <c r="RWW49"/>
      <c r="RWX49"/>
      <c r="RWY49"/>
      <c r="RWZ49"/>
      <c r="RXA49"/>
      <c r="RXB49"/>
      <c r="RXC49"/>
      <c r="RXD49"/>
      <c r="RXE49"/>
      <c r="RXF49"/>
      <c r="RXG49"/>
      <c r="RXH49"/>
      <c r="RXI49"/>
      <c r="RXJ49"/>
      <c r="RXK49"/>
      <c r="RXL49"/>
      <c r="RXM49"/>
      <c r="RXN49"/>
      <c r="RXO49"/>
      <c r="RXP49"/>
      <c r="RXQ49"/>
      <c r="RXR49"/>
      <c r="RXS49"/>
      <c r="RXT49"/>
      <c r="RXU49"/>
      <c r="RXV49"/>
      <c r="RXW49"/>
      <c r="RXX49"/>
      <c r="RXY49"/>
      <c r="RXZ49"/>
      <c r="RYA49"/>
      <c r="RYB49"/>
      <c r="RYC49"/>
      <c r="RYD49"/>
      <c r="RYE49"/>
      <c r="RYF49"/>
      <c r="RYG49"/>
      <c r="RYH49"/>
      <c r="RYI49"/>
      <c r="RYJ49"/>
      <c r="RYK49"/>
      <c r="RYL49"/>
      <c r="RYM49"/>
      <c r="RYN49"/>
      <c r="RYO49"/>
      <c r="RYP49"/>
      <c r="RYQ49"/>
      <c r="RYR49"/>
      <c r="RYS49"/>
      <c r="RYT49"/>
      <c r="RYU49"/>
      <c r="RYV49"/>
      <c r="RYW49"/>
      <c r="RYX49"/>
      <c r="RYY49"/>
      <c r="RYZ49"/>
      <c r="RZA49"/>
      <c r="RZB49"/>
      <c r="RZC49"/>
      <c r="RZD49"/>
      <c r="RZE49"/>
      <c r="RZF49"/>
      <c r="RZG49"/>
      <c r="RZH49"/>
      <c r="RZI49"/>
      <c r="RZJ49"/>
      <c r="RZK49"/>
      <c r="RZL49"/>
      <c r="RZM49"/>
      <c r="RZN49"/>
      <c r="RZO49"/>
      <c r="RZP49"/>
      <c r="RZQ49"/>
      <c r="RZR49"/>
      <c r="RZS49"/>
      <c r="RZT49"/>
      <c r="RZU49"/>
      <c r="RZV49"/>
      <c r="RZW49"/>
      <c r="RZX49"/>
      <c r="RZY49"/>
      <c r="RZZ49"/>
      <c r="SAA49"/>
      <c r="SAB49"/>
      <c r="SAC49"/>
      <c r="SAD49"/>
      <c r="SAE49"/>
      <c r="SAF49"/>
      <c r="SAG49"/>
      <c r="SAH49"/>
      <c r="SAI49"/>
      <c r="SAJ49"/>
      <c r="SAK49"/>
      <c r="SAL49"/>
      <c r="SAM49"/>
      <c r="SAN49"/>
      <c r="SAO49"/>
      <c r="SAP49"/>
      <c r="SAQ49"/>
      <c r="SAR49"/>
      <c r="SAS49"/>
      <c r="SAT49"/>
      <c r="SAU49"/>
      <c r="SAV49"/>
      <c r="SAW49"/>
      <c r="SAX49"/>
      <c r="SAY49"/>
      <c r="SAZ49"/>
      <c r="SBA49"/>
      <c r="SBB49"/>
      <c r="SBC49"/>
      <c r="SBD49"/>
      <c r="SBE49"/>
      <c r="SBF49"/>
      <c r="SBG49"/>
      <c r="SBH49"/>
      <c r="SBI49"/>
      <c r="SBJ49"/>
      <c r="SBK49"/>
      <c r="SBL49"/>
      <c r="SBM49"/>
      <c r="SBN49"/>
      <c r="SBO49"/>
      <c r="SBP49"/>
      <c r="SBQ49"/>
      <c r="SBR49"/>
      <c r="SBS49"/>
      <c r="SBT49"/>
      <c r="SBU49"/>
      <c r="SBV49"/>
      <c r="SBW49"/>
      <c r="SBX49"/>
      <c r="SBY49"/>
      <c r="SBZ49"/>
      <c r="SCA49"/>
      <c r="SCB49"/>
      <c r="SCC49"/>
      <c r="SCD49"/>
      <c r="SCE49"/>
      <c r="SCF49"/>
      <c r="SCG49"/>
      <c r="SCH49"/>
      <c r="SCI49"/>
      <c r="SCJ49"/>
      <c r="SCK49"/>
      <c r="SCL49"/>
      <c r="SCM49"/>
      <c r="SCN49"/>
      <c r="SCO49"/>
      <c r="SCP49"/>
      <c r="SCQ49"/>
      <c r="SCR49"/>
      <c r="SCS49"/>
      <c r="SCT49"/>
      <c r="SCU49"/>
      <c r="SCV49"/>
      <c r="SCW49"/>
      <c r="SCX49"/>
      <c r="SCY49"/>
      <c r="SCZ49"/>
      <c r="SDA49"/>
      <c r="SDB49"/>
      <c r="SDC49"/>
      <c r="SDD49"/>
      <c r="SDE49"/>
      <c r="SDF49"/>
      <c r="SDG49"/>
      <c r="SDH49"/>
      <c r="SDI49"/>
      <c r="SDJ49"/>
      <c r="SDK49"/>
      <c r="SDL49"/>
      <c r="SDM49"/>
      <c r="SDN49"/>
      <c r="SDO49"/>
      <c r="SDP49"/>
      <c r="SDQ49"/>
      <c r="SDR49"/>
      <c r="SDS49"/>
      <c r="SDT49"/>
      <c r="SDU49"/>
      <c r="SDV49"/>
      <c r="SDW49"/>
      <c r="SDX49"/>
      <c r="SDY49"/>
      <c r="SDZ49"/>
      <c r="SEA49"/>
      <c r="SEB49"/>
      <c r="SEC49"/>
      <c r="SED49"/>
      <c r="SEE49"/>
      <c r="SEF49"/>
      <c r="SEG49"/>
      <c r="SEH49"/>
      <c r="SEI49"/>
      <c r="SEJ49"/>
      <c r="SEK49"/>
      <c r="SEL49"/>
      <c r="SEM49"/>
      <c r="SEN49"/>
      <c r="SEO49"/>
      <c r="SEP49"/>
      <c r="SEQ49"/>
      <c r="SER49"/>
      <c r="SES49"/>
      <c r="SET49"/>
      <c r="SEU49"/>
      <c r="SEV49"/>
      <c r="SEW49"/>
      <c r="SEX49"/>
      <c r="SEY49"/>
      <c r="SEZ49"/>
      <c r="SFA49"/>
      <c r="SFB49"/>
      <c r="SFC49"/>
      <c r="SFD49"/>
      <c r="SFE49"/>
      <c r="SFF49"/>
      <c r="SFG49"/>
      <c r="SFH49"/>
      <c r="SFI49"/>
      <c r="SFJ49"/>
      <c r="SFK49"/>
      <c r="SFL49"/>
      <c r="SFM49"/>
      <c r="SFN49"/>
      <c r="SFO49"/>
      <c r="SFP49"/>
      <c r="SFQ49"/>
      <c r="SFR49"/>
      <c r="SFS49"/>
      <c r="SFT49"/>
      <c r="SFU49"/>
      <c r="SFV49"/>
      <c r="SFW49"/>
      <c r="SFX49"/>
      <c r="SFY49"/>
      <c r="SFZ49"/>
      <c r="SGA49"/>
      <c r="SGB49"/>
      <c r="SGC49"/>
      <c r="SGD49"/>
      <c r="SGE49"/>
      <c r="SGF49"/>
      <c r="SGG49"/>
      <c r="SGH49"/>
      <c r="SGI49"/>
      <c r="SGJ49"/>
      <c r="SGK49"/>
      <c r="SGL49"/>
      <c r="SGM49"/>
      <c r="SGN49"/>
      <c r="SGO49"/>
      <c r="SGP49"/>
      <c r="SGQ49"/>
      <c r="SGR49"/>
      <c r="SGS49"/>
      <c r="SGT49"/>
      <c r="SGU49"/>
      <c r="SGV49"/>
      <c r="SGW49"/>
      <c r="SGX49"/>
      <c r="SGY49"/>
      <c r="SGZ49"/>
      <c r="SHA49"/>
      <c r="SHB49"/>
      <c r="SHC49"/>
      <c r="SHD49"/>
      <c r="SHE49"/>
      <c r="SHF49"/>
      <c r="SHG49"/>
      <c r="SHH49"/>
      <c r="SHI49"/>
      <c r="SHJ49"/>
      <c r="SHK49"/>
      <c r="SHL49"/>
      <c r="SHM49"/>
      <c r="SHN49"/>
      <c r="SHO49"/>
      <c r="SHP49"/>
      <c r="SHQ49"/>
      <c r="SHR49"/>
      <c r="SHS49"/>
      <c r="SHT49"/>
      <c r="SHU49"/>
      <c r="SHV49"/>
      <c r="SHW49"/>
      <c r="SHX49"/>
      <c r="SHY49"/>
      <c r="SHZ49"/>
      <c r="SIA49"/>
      <c r="SIB49"/>
      <c r="SIC49"/>
      <c r="SID49"/>
      <c r="SIE49"/>
      <c r="SIF49"/>
      <c r="SIG49"/>
      <c r="SIH49"/>
      <c r="SII49"/>
      <c r="SIJ49"/>
      <c r="SIK49"/>
      <c r="SIL49"/>
      <c r="SIM49"/>
      <c r="SIN49"/>
      <c r="SIO49"/>
      <c r="SIP49"/>
      <c r="SIQ49"/>
      <c r="SIR49"/>
      <c r="SIS49"/>
      <c r="SIT49"/>
      <c r="SIU49"/>
      <c r="SIV49"/>
      <c r="SIW49"/>
      <c r="SIX49"/>
      <c r="SIY49"/>
      <c r="SIZ49"/>
      <c r="SJA49"/>
      <c r="SJB49"/>
      <c r="SJC49"/>
      <c r="SJD49"/>
      <c r="SJE49"/>
      <c r="SJF49"/>
      <c r="SJG49"/>
      <c r="SJH49"/>
      <c r="SJI49"/>
      <c r="SJJ49"/>
      <c r="SJK49"/>
      <c r="SJL49"/>
      <c r="SJM49"/>
      <c r="SJN49"/>
      <c r="SJO49"/>
      <c r="SJP49"/>
      <c r="SJQ49"/>
      <c r="SJR49"/>
      <c r="SJS49"/>
      <c r="SJT49"/>
      <c r="SJU49"/>
      <c r="SJV49"/>
      <c r="SJW49"/>
      <c r="SJX49"/>
      <c r="SJY49"/>
      <c r="SJZ49"/>
      <c r="SKA49"/>
      <c r="SKB49"/>
      <c r="SKC49"/>
      <c r="SKD49"/>
      <c r="SKE49"/>
      <c r="SKF49"/>
      <c r="SKG49"/>
      <c r="SKH49"/>
      <c r="SKI49"/>
      <c r="SKJ49"/>
      <c r="SKK49"/>
      <c r="SKL49"/>
      <c r="SKM49"/>
      <c r="SKN49"/>
      <c r="SKO49"/>
      <c r="SKP49"/>
      <c r="SKQ49"/>
      <c r="SKR49"/>
      <c r="SKS49"/>
      <c r="SKT49"/>
      <c r="SKU49"/>
      <c r="SKV49"/>
      <c r="SKW49"/>
      <c r="SKX49"/>
      <c r="SKY49"/>
      <c r="SKZ49"/>
      <c r="SLA49"/>
      <c r="SLB49"/>
      <c r="SLC49"/>
      <c r="SLD49"/>
      <c r="SLE49"/>
      <c r="SLF49"/>
      <c r="SLG49"/>
      <c r="SLH49"/>
      <c r="SLI49"/>
      <c r="SLJ49"/>
      <c r="SLK49"/>
      <c r="SLL49"/>
      <c r="SLM49"/>
      <c r="SLN49"/>
      <c r="SLO49"/>
      <c r="SLP49"/>
      <c r="SLQ49"/>
      <c r="SLR49"/>
      <c r="SLS49"/>
      <c r="SLT49"/>
      <c r="SLU49"/>
      <c r="SLV49"/>
      <c r="SLW49"/>
      <c r="SLX49"/>
      <c r="SLY49"/>
      <c r="SLZ49"/>
      <c r="SMA49"/>
      <c r="SMB49"/>
      <c r="SMC49"/>
      <c r="SMD49"/>
      <c r="SME49"/>
      <c r="SMF49"/>
      <c r="SMG49"/>
      <c r="SMH49"/>
      <c r="SMI49"/>
      <c r="SMJ49"/>
      <c r="SMK49"/>
      <c r="SML49"/>
      <c r="SMM49"/>
      <c r="SMN49"/>
      <c r="SMO49"/>
      <c r="SMP49"/>
      <c r="SMQ49"/>
      <c r="SMR49"/>
      <c r="SMS49"/>
      <c r="SMT49"/>
      <c r="SMU49"/>
      <c r="SMV49"/>
      <c r="SMW49"/>
      <c r="SMX49"/>
      <c r="SMY49"/>
      <c r="SMZ49"/>
      <c r="SNA49"/>
      <c r="SNB49"/>
      <c r="SNC49"/>
      <c r="SND49"/>
      <c r="SNE49"/>
      <c r="SNF49"/>
      <c r="SNG49"/>
      <c r="SNH49"/>
      <c r="SNI49"/>
      <c r="SNJ49"/>
      <c r="SNK49"/>
      <c r="SNL49"/>
      <c r="SNM49"/>
      <c r="SNN49"/>
      <c r="SNO49"/>
      <c r="SNP49"/>
      <c r="SNQ49"/>
      <c r="SNR49"/>
      <c r="SNS49"/>
      <c r="SNT49"/>
      <c r="SNU49"/>
      <c r="SNV49"/>
      <c r="SNW49"/>
      <c r="SNX49"/>
      <c r="SNY49"/>
      <c r="SNZ49"/>
      <c r="SOA49"/>
      <c r="SOB49"/>
      <c r="SOC49"/>
      <c r="SOD49"/>
      <c r="SOE49"/>
      <c r="SOF49"/>
      <c r="SOG49"/>
      <c r="SOH49"/>
      <c r="SOI49"/>
      <c r="SOJ49"/>
      <c r="SOK49"/>
      <c r="SOL49"/>
      <c r="SOM49"/>
      <c r="SON49"/>
      <c r="SOO49"/>
      <c r="SOP49"/>
      <c r="SOQ49"/>
      <c r="SOR49"/>
      <c r="SOS49"/>
      <c r="SOT49"/>
      <c r="SOU49"/>
      <c r="SOV49"/>
      <c r="SOW49"/>
      <c r="SOX49"/>
      <c r="SOY49"/>
      <c r="SOZ49"/>
      <c r="SPA49"/>
      <c r="SPB49"/>
      <c r="SPC49"/>
      <c r="SPD49"/>
      <c r="SPE49"/>
      <c r="SPF49"/>
      <c r="SPG49"/>
      <c r="SPH49"/>
      <c r="SPI49"/>
      <c r="SPJ49"/>
      <c r="SPK49"/>
      <c r="SPL49"/>
      <c r="SPM49"/>
      <c r="SPN49"/>
      <c r="SPO49"/>
      <c r="SPP49"/>
      <c r="SPQ49"/>
      <c r="SPR49"/>
      <c r="SPS49"/>
      <c r="SPT49"/>
      <c r="SPU49"/>
      <c r="SPV49"/>
      <c r="SPW49"/>
      <c r="SPX49"/>
      <c r="SPY49"/>
      <c r="SPZ49"/>
      <c r="SQA49"/>
      <c r="SQB49"/>
      <c r="SQC49"/>
      <c r="SQD49"/>
      <c r="SQE49"/>
      <c r="SQF49"/>
      <c r="SQG49"/>
      <c r="SQH49"/>
      <c r="SQI49"/>
      <c r="SQJ49"/>
      <c r="SQK49"/>
      <c r="SQL49"/>
      <c r="SQM49"/>
      <c r="SQN49"/>
      <c r="SQO49"/>
      <c r="SQP49"/>
      <c r="SQQ49"/>
      <c r="SQR49"/>
      <c r="SQS49"/>
      <c r="SQT49"/>
      <c r="SQU49"/>
      <c r="SQV49"/>
      <c r="SQW49"/>
      <c r="SQX49"/>
      <c r="SQY49"/>
      <c r="SQZ49"/>
      <c r="SRA49"/>
      <c r="SRB49"/>
      <c r="SRC49"/>
      <c r="SRD49"/>
      <c r="SRE49"/>
      <c r="SRF49"/>
      <c r="SRG49"/>
      <c r="SRH49"/>
      <c r="SRI49"/>
      <c r="SRJ49"/>
      <c r="SRK49"/>
      <c r="SRL49"/>
      <c r="SRM49"/>
      <c r="SRN49"/>
      <c r="SRO49"/>
      <c r="SRP49"/>
      <c r="SRQ49"/>
      <c r="SRR49"/>
      <c r="SRS49"/>
      <c r="SRT49"/>
      <c r="SRU49"/>
      <c r="SRV49"/>
      <c r="SRW49"/>
      <c r="SRX49"/>
      <c r="SRY49"/>
      <c r="SRZ49"/>
      <c r="SSA49"/>
      <c r="SSB49"/>
      <c r="SSC49"/>
      <c r="SSD49"/>
      <c r="SSE49"/>
      <c r="SSF49"/>
      <c r="SSG49"/>
      <c r="SSH49"/>
      <c r="SSI49"/>
      <c r="SSJ49"/>
      <c r="SSK49"/>
      <c r="SSL49"/>
      <c r="SSM49"/>
      <c r="SSN49"/>
      <c r="SSO49"/>
      <c r="SSP49"/>
      <c r="SSQ49"/>
      <c r="SSR49"/>
      <c r="SSS49"/>
      <c r="SST49"/>
      <c r="SSU49"/>
      <c r="SSV49"/>
      <c r="SSW49"/>
      <c r="SSX49"/>
      <c r="SSY49"/>
      <c r="SSZ49"/>
      <c r="STA49"/>
      <c r="STB49"/>
      <c r="STC49"/>
      <c r="STD49"/>
      <c r="STE49"/>
      <c r="STF49"/>
      <c r="STG49"/>
      <c r="STH49"/>
      <c r="STI49"/>
      <c r="STJ49"/>
      <c r="STK49"/>
      <c r="STL49"/>
      <c r="STM49"/>
      <c r="STN49"/>
      <c r="STO49"/>
      <c r="STP49"/>
      <c r="STQ49"/>
      <c r="STR49"/>
      <c r="STS49"/>
      <c r="STT49"/>
      <c r="STU49"/>
      <c r="STV49"/>
      <c r="STW49"/>
      <c r="STX49"/>
      <c r="STY49"/>
      <c r="STZ49"/>
      <c r="SUA49"/>
      <c r="SUB49"/>
      <c r="SUC49"/>
      <c r="SUD49"/>
      <c r="SUE49"/>
      <c r="SUF49"/>
      <c r="SUG49"/>
      <c r="SUH49"/>
      <c r="SUI49"/>
      <c r="SUJ49"/>
      <c r="SUK49"/>
      <c r="SUL49"/>
      <c r="SUM49"/>
      <c r="SUN49"/>
      <c r="SUO49"/>
      <c r="SUP49"/>
      <c r="SUQ49"/>
      <c r="SUR49"/>
      <c r="SUS49"/>
      <c r="SUT49"/>
      <c r="SUU49"/>
      <c r="SUV49"/>
      <c r="SUW49"/>
      <c r="SUX49"/>
      <c r="SUY49"/>
      <c r="SUZ49"/>
      <c r="SVA49"/>
      <c r="SVB49"/>
      <c r="SVC49"/>
      <c r="SVD49"/>
      <c r="SVE49"/>
      <c r="SVF49"/>
      <c r="SVG49"/>
      <c r="SVH49"/>
      <c r="SVI49"/>
      <c r="SVJ49"/>
      <c r="SVK49"/>
      <c r="SVL49"/>
      <c r="SVM49"/>
      <c r="SVN49"/>
      <c r="SVO49"/>
      <c r="SVP49"/>
      <c r="SVQ49"/>
      <c r="SVR49"/>
      <c r="SVS49"/>
      <c r="SVT49"/>
      <c r="SVU49"/>
      <c r="SVV49"/>
      <c r="SVW49"/>
      <c r="SVX49"/>
      <c r="SVY49"/>
      <c r="SVZ49"/>
      <c r="SWA49"/>
      <c r="SWB49"/>
      <c r="SWC49"/>
      <c r="SWD49"/>
      <c r="SWE49"/>
      <c r="SWF49"/>
      <c r="SWG49"/>
      <c r="SWH49"/>
      <c r="SWI49"/>
      <c r="SWJ49"/>
      <c r="SWK49"/>
      <c r="SWL49"/>
      <c r="SWM49"/>
      <c r="SWN49"/>
      <c r="SWO49"/>
      <c r="SWP49"/>
      <c r="SWQ49"/>
      <c r="SWR49"/>
      <c r="SWS49"/>
      <c r="SWT49"/>
      <c r="SWU49"/>
      <c r="SWV49"/>
      <c r="SWW49"/>
      <c r="SWX49"/>
      <c r="SWY49"/>
      <c r="SWZ49"/>
      <c r="SXA49"/>
      <c r="SXB49"/>
      <c r="SXC49"/>
      <c r="SXD49"/>
      <c r="SXE49"/>
      <c r="SXF49"/>
      <c r="SXG49"/>
      <c r="SXH49"/>
      <c r="SXI49"/>
      <c r="SXJ49"/>
      <c r="SXK49"/>
      <c r="SXL49"/>
      <c r="SXM49"/>
      <c r="SXN49"/>
      <c r="SXO49"/>
      <c r="SXP49"/>
      <c r="SXQ49"/>
      <c r="SXR49"/>
      <c r="SXS49"/>
      <c r="SXT49"/>
      <c r="SXU49"/>
      <c r="SXV49"/>
      <c r="SXW49"/>
      <c r="SXX49"/>
      <c r="SXY49"/>
      <c r="SXZ49"/>
      <c r="SYA49"/>
      <c r="SYB49"/>
      <c r="SYC49"/>
      <c r="SYD49"/>
      <c r="SYE49"/>
      <c r="SYF49"/>
      <c r="SYG49"/>
      <c r="SYH49"/>
      <c r="SYI49"/>
      <c r="SYJ49"/>
      <c r="SYK49"/>
      <c r="SYL49"/>
      <c r="SYM49"/>
      <c r="SYN49"/>
      <c r="SYO49"/>
      <c r="SYP49"/>
      <c r="SYQ49"/>
      <c r="SYR49"/>
      <c r="SYS49"/>
      <c r="SYT49"/>
      <c r="SYU49"/>
      <c r="SYV49"/>
      <c r="SYW49"/>
      <c r="SYX49"/>
      <c r="SYY49"/>
      <c r="SYZ49"/>
      <c r="SZA49"/>
      <c r="SZB49"/>
      <c r="SZC49"/>
      <c r="SZD49"/>
      <c r="SZE49"/>
      <c r="SZF49"/>
      <c r="SZG49"/>
      <c r="SZH49"/>
      <c r="SZI49"/>
      <c r="SZJ49"/>
      <c r="SZK49"/>
      <c r="SZL49"/>
      <c r="SZM49"/>
      <c r="SZN49"/>
      <c r="SZO49"/>
      <c r="SZP49"/>
      <c r="SZQ49"/>
      <c r="SZR49"/>
      <c r="SZS49"/>
      <c r="SZT49"/>
      <c r="SZU49"/>
      <c r="SZV49"/>
      <c r="SZW49"/>
      <c r="SZX49"/>
      <c r="SZY49"/>
      <c r="SZZ49"/>
      <c r="TAA49"/>
      <c r="TAB49"/>
      <c r="TAC49"/>
      <c r="TAD49"/>
      <c r="TAE49"/>
      <c r="TAF49"/>
      <c r="TAG49"/>
      <c r="TAH49"/>
      <c r="TAI49"/>
      <c r="TAJ49"/>
      <c r="TAK49"/>
      <c r="TAL49"/>
      <c r="TAM49"/>
      <c r="TAN49"/>
      <c r="TAO49"/>
      <c r="TAP49"/>
      <c r="TAQ49"/>
      <c r="TAR49"/>
      <c r="TAS49"/>
      <c r="TAT49"/>
      <c r="TAU49"/>
      <c r="TAV49"/>
      <c r="TAW49"/>
      <c r="TAX49"/>
      <c r="TAY49"/>
      <c r="TAZ49"/>
      <c r="TBA49"/>
      <c r="TBB49"/>
      <c r="TBC49"/>
      <c r="TBD49"/>
      <c r="TBE49"/>
      <c r="TBF49"/>
      <c r="TBG49"/>
      <c r="TBH49"/>
      <c r="TBI49"/>
      <c r="TBJ49"/>
      <c r="TBK49"/>
      <c r="TBL49"/>
      <c r="TBM49"/>
      <c r="TBN49"/>
      <c r="TBO49"/>
      <c r="TBP49"/>
      <c r="TBQ49"/>
      <c r="TBR49"/>
      <c r="TBS49"/>
      <c r="TBT49"/>
      <c r="TBU49"/>
      <c r="TBV49"/>
      <c r="TBW49"/>
      <c r="TBX49"/>
      <c r="TBY49"/>
      <c r="TBZ49"/>
      <c r="TCA49"/>
      <c r="TCB49"/>
      <c r="TCC49"/>
      <c r="TCD49"/>
      <c r="TCE49"/>
      <c r="TCF49"/>
      <c r="TCG49"/>
      <c r="TCH49"/>
      <c r="TCI49"/>
      <c r="TCJ49"/>
      <c r="TCK49"/>
      <c r="TCL49"/>
      <c r="TCM49"/>
      <c r="TCN49"/>
      <c r="TCO49"/>
      <c r="TCP49"/>
      <c r="TCQ49"/>
      <c r="TCR49"/>
      <c r="TCS49"/>
      <c r="TCT49"/>
      <c r="TCU49"/>
      <c r="TCV49"/>
      <c r="TCW49"/>
      <c r="TCX49"/>
      <c r="TCY49"/>
      <c r="TCZ49"/>
      <c r="TDA49"/>
      <c r="TDB49"/>
      <c r="TDC49"/>
      <c r="TDD49"/>
      <c r="TDE49"/>
      <c r="TDF49"/>
      <c r="TDG49"/>
      <c r="TDH49"/>
      <c r="TDI49"/>
      <c r="TDJ49"/>
      <c r="TDK49"/>
      <c r="TDL49"/>
      <c r="TDM49"/>
      <c r="TDN49"/>
      <c r="TDO49"/>
      <c r="TDP49"/>
      <c r="TDQ49"/>
      <c r="TDR49"/>
      <c r="TDS49"/>
      <c r="TDT49"/>
      <c r="TDU49"/>
      <c r="TDV49"/>
      <c r="TDW49"/>
      <c r="TDX49"/>
      <c r="TDY49"/>
      <c r="TDZ49"/>
      <c r="TEA49"/>
      <c r="TEB49"/>
      <c r="TEC49"/>
      <c r="TED49"/>
      <c r="TEE49"/>
      <c r="TEF49"/>
      <c r="TEG49"/>
      <c r="TEH49"/>
      <c r="TEI49"/>
      <c r="TEJ49"/>
      <c r="TEK49"/>
      <c r="TEL49"/>
      <c r="TEM49"/>
      <c r="TEN49"/>
      <c r="TEO49"/>
      <c r="TEP49"/>
      <c r="TEQ49"/>
      <c r="TER49"/>
      <c r="TES49"/>
      <c r="TET49"/>
      <c r="TEU49"/>
      <c r="TEV49"/>
      <c r="TEW49"/>
      <c r="TEX49"/>
      <c r="TEY49"/>
      <c r="TEZ49"/>
      <c r="TFA49"/>
      <c r="TFB49"/>
      <c r="TFC49"/>
      <c r="TFD49"/>
      <c r="TFE49"/>
      <c r="TFF49"/>
      <c r="TFG49"/>
      <c r="TFH49"/>
      <c r="TFI49"/>
      <c r="TFJ49"/>
      <c r="TFK49"/>
      <c r="TFL49"/>
      <c r="TFM49"/>
      <c r="TFN49"/>
      <c r="TFO49"/>
      <c r="TFP49"/>
      <c r="TFQ49"/>
      <c r="TFR49"/>
      <c r="TFS49"/>
      <c r="TFT49"/>
      <c r="TFU49"/>
      <c r="TFV49"/>
      <c r="TFW49"/>
      <c r="TFX49"/>
      <c r="TFY49"/>
      <c r="TFZ49"/>
      <c r="TGA49"/>
      <c r="TGB49"/>
      <c r="TGC49"/>
      <c r="TGD49"/>
      <c r="TGE49"/>
      <c r="TGF49"/>
      <c r="TGG49"/>
      <c r="TGH49"/>
      <c r="TGI49"/>
      <c r="TGJ49"/>
      <c r="TGK49"/>
      <c r="TGL49"/>
      <c r="TGM49"/>
      <c r="TGN49"/>
      <c r="TGO49"/>
      <c r="TGP49"/>
      <c r="TGQ49"/>
      <c r="TGR49"/>
      <c r="TGS49"/>
      <c r="TGT49"/>
      <c r="TGU49"/>
      <c r="TGV49"/>
      <c r="TGW49"/>
      <c r="TGX49"/>
      <c r="TGY49"/>
      <c r="TGZ49"/>
      <c r="THA49"/>
      <c r="THB49"/>
      <c r="THC49"/>
      <c r="THD49"/>
      <c r="THE49"/>
      <c r="THF49"/>
      <c r="THG49"/>
      <c r="THH49"/>
      <c r="THI49"/>
      <c r="THJ49"/>
      <c r="THK49"/>
      <c r="THL49"/>
      <c r="THM49"/>
      <c r="THN49"/>
      <c r="THO49"/>
      <c r="THP49"/>
      <c r="THQ49"/>
      <c r="THR49"/>
      <c r="THS49"/>
      <c r="THT49"/>
      <c r="THU49"/>
      <c r="THV49"/>
      <c r="THW49"/>
      <c r="THX49"/>
      <c r="THY49"/>
      <c r="THZ49"/>
      <c r="TIA49"/>
      <c r="TIB49"/>
      <c r="TIC49"/>
      <c r="TID49"/>
      <c r="TIE49"/>
      <c r="TIF49"/>
      <c r="TIG49"/>
      <c r="TIH49"/>
      <c r="TII49"/>
      <c r="TIJ49"/>
      <c r="TIK49"/>
      <c r="TIL49"/>
      <c r="TIM49"/>
      <c r="TIN49"/>
      <c r="TIO49"/>
      <c r="TIP49"/>
      <c r="TIQ49"/>
      <c r="TIR49"/>
      <c r="TIS49"/>
      <c r="TIT49"/>
      <c r="TIU49"/>
      <c r="TIV49"/>
      <c r="TIW49"/>
      <c r="TIX49"/>
      <c r="TIY49"/>
      <c r="TIZ49"/>
      <c r="TJA49"/>
      <c r="TJB49"/>
      <c r="TJC49"/>
      <c r="TJD49"/>
      <c r="TJE49"/>
      <c r="TJF49"/>
      <c r="TJG49"/>
      <c r="TJH49"/>
      <c r="TJI49"/>
      <c r="TJJ49"/>
      <c r="TJK49"/>
      <c r="TJL49"/>
      <c r="TJM49"/>
      <c r="TJN49"/>
      <c r="TJO49"/>
      <c r="TJP49"/>
      <c r="TJQ49"/>
      <c r="TJR49"/>
      <c r="TJS49"/>
      <c r="TJT49"/>
      <c r="TJU49"/>
      <c r="TJV49"/>
      <c r="TJW49"/>
      <c r="TJX49"/>
      <c r="TJY49"/>
      <c r="TJZ49"/>
      <c r="TKA49"/>
      <c r="TKB49"/>
      <c r="TKC49"/>
      <c r="TKD49"/>
      <c r="TKE49"/>
      <c r="TKF49"/>
      <c r="TKG49"/>
      <c r="TKH49"/>
      <c r="TKI49"/>
      <c r="TKJ49"/>
      <c r="TKK49"/>
      <c r="TKL49"/>
      <c r="TKM49"/>
      <c r="TKN49"/>
      <c r="TKO49"/>
      <c r="TKP49"/>
      <c r="TKQ49"/>
      <c r="TKR49"/>
      <c r="TKS49"/>
      <c r="TKT49"/>
      <c r="TKU49"/>
      <c r="TKV49"/>
      <c r="TKW49"/>
      <c r="TKX49"/>
      <c r="TKY49"/>
      <c r="TKZ49"/>
      <c r="TLA49"/>
      <c r="TLB49"/>
      <c r="TLC49"/>
      <c r="TLD49"/>
      <c r="TLE49"/>
      <c r="TLF49"/>
      <c r="TLG49"/>
      <c r="TLH49"/>
      <c r="TLI49"/>
      <c r="TLJ49"/>
      <c r="TLK49"/>
      <c r="TLL49"/>
      <c r="TLM49"/>
      <c r="TLN49"/>
      <c r="TLO49"/>
      <c r="TLP49"/>
      <c r="TLQ49"/>
      <c r="TLR49"/>
      <c r="TLS49"/>
      <c r="TLT49"/>
      <c r="TLU49"/>
      <c r="TLV49"/>
      <c r="TLW49"/>
      <c r="TLX49"/>
      <c r="TLY49"/>
      <c r="TLZ49"/>
      <c r="TMA49"/>
      <c r="TMB49"/>
      <c r="TMC49"/>
      <c r="TMD49"/>
      <c r="TME49"/>
      <c r="TMF49"/>
      <c r="TMG49"/>
      <c r="TMH49"/>
      <c r="TMI49"/>
      <c r="TMJ49"/>
      <c r="TMK49"/>
      <c r="TML49"/>
      <c r="TMM49"/>
      <c r="TMN49"/>
      <c r="TMO49"/>
      <c r="TMP49"/>
      <c r="TMQ49"/>
      <c r="TMR49"/>
      <c r="TMS49"/>
      <c r="TMT49"/>
      <c r="TMU49"/>
      <c r="TMV49"/>
      <c r="TMW49"/>
      <c r="TMX49"/>
      <c r="TMY49"/>
      <c r="TMZ49"/>
      <c r="TNA49"/>
      <c r="TNB49"/>
      <c r="TNC49"/>
      <c r="TND49"/>
      <c r="TNE49"/>
      <c r="TNF49"/>
      <c r="TNG49"/>
      <c r="TNH49"/>
      <c r="TNI49"/>
      <c r="TNJ49"/>
      <c r="TNK49"/>
      <c r="TNL49"/>
      <c r="TNM49"/>
      <c r="TNN49"/>
      <c r="TNO49"/>
      <c r="TNP49"/>
      <c r="TNQ49"/>
      <c r="TNR49"/>
      <c r="TNS49"/>
      <c r="TNT49"/>
      <c r="TNU49"/>
      <c r="TNV49"/>
      <c r="TNW49"/>
      <c r="TNX49"/>
      <c r="TNY49"/>
      <c r="TNZ49"/>
      <c r="TOA49"/>
      <c r="TOB49"/>
      <c r="TOC49"/>
      <c r="TOD49"/>
      <c r="TOE49"/>
      <c r="TOF49"/>
      <c r="TOG49"/>
      <c r="TOH49"/>
      <c r="TOI49"/>
      <c r="TOJ49"/>
      <c r="TOK49"/>
      <c r="TOL49"/>
      <c r="TOM49"/>
      <c r="TON49"/>
      <c r="TOO49"/>
      <c r="TOP49"/>
      <c r="TOQ49"/>
      <c r="TOR49"/>
      <c r="TOS49"/>
      <c r="TOT49"/>
      <c r="TOU49"/>
      <c r="TOV49"/>
      <c r="TOW49"/>
      <c r="TOX49"/>
      <c r="TOY49"/>
      <c r="TOZ49"/>
      <c r="TPA49"/>
      <c r="TPB49"/>
      <c r="TPC49"/>
      <c r="TPD49"/>
      <c r="TPE49"/>
      <c r="TPF49"/>
      <c r="TPG49"/>
      <c r="TPH49"/>
      <c r="TPI49"/>
      <c r="TPJ49"/>
      <c r="TPK49"/>
      <c r="TPL49"/>
      <c r="TPM49"/>
      <c r="TPN49"/>
      <c r="TPO49"/>
      <c r="TPP49"/>
      <c r="TPQ49"/>
      <c r="TPR49"/>
      <c r="TPS49"/>
      <c r="TPT49"/>
      <c r="TPU49"/>
      <c r="TPV49"/>
      <c r="TPW49"/>
      <c r="TPX49"/>
      <c r="TPY49"/>
      <c r="TPZ49"/>
      <c r="TQA49"/>
      <c r="TQB49"/>
      <c r="TQC49"/>
      <c r="TQD49"/>
      <c r="TQE49"/>
      <c r="TQF49"/>
      <c r="TQG49"/>
      <c r="TQH49"/>
      <c r="TQI49"/>
      <c r="TQJ49"/>
      <c r="TQK49"/>
      <c r="TQL49"/>
      <c r="TQM49"/>
      <c r="TQN49"/>
      <c r="TQO49"/>
      <c r="TQP49"/>
      <c r="TQQ49"/>
      <c r="TQR49"/>
      <c r="TQS49"/>
      <c r="TQT49"/>
      <c r="TQU49"/>
      <c r="TQV49"/>
      <c r="TQW49"/>
      <c r="TQX49"/>
      <c r="TQY49"/>
      <c r="TQZ49"/>
      <c r="TRA49"/>
      <c r="TRB49"/>
      <c r="TRC49"/>
      <c r="TRD49"/>
      <c r="TRE49"/>
      <c r="TRF49"/>
      <c r="TRG49"/>
      <c r="TRH49"/>
      <c r="TRI49"/>
      <c r="TRJ49"/>
      <c r="TRK49"/>
      <c r="TRL49"/>
      <c r="TRM49"/>
      <c r="TRN49"/>
      <c r="TRO49"/>
      <c r="TRP49"/>
      <c r="TRQ49"/>
      <c r="TRR49"/>
      <c r="TRS49"/>
      <c r="TRT49"/>
      <c r="TRU49"/>
      <c r="TRV49"/>
      <c r="TRW49"/>
      <c r="TRX49"/>
      <c r="TRY49"/>
      <c r="TRZ49"/>
      <c r="TSA49"/>
      <c r="TSB49"/>
      <c r="TSC49"/>
      <c r="TSD49"/>
      <c r="TSE49"/>
      <c r="TSF49"/>
      <c r="TSG49"/>
      <c r="TSH49"/>
      <c r="TSI49"/>
      <c r="TSJ49"/>
      <c r="TSK49"/>
      <c r="TSL49"/>
      <c r="TSM49"/>
      <c r="TSN49"/>
      <c r="TSO49"/>
      <c r="TSP49"/>
      <c r="TSQ49"/>
      <c r="TSR49"/>
      <c r="TSS49"/>
      <c r="TST49"/>
      <c r="TSU49"/>
      <c r="TSV49"/>
      <c r="TSW49"/>
      <c r="TSX49"/>
      <c r="TSY49"/>
      <c r="TSZ49"/>
      <c r="TTA49"/>
      <c r="TTB49"/>
      <c r="TTC49"/>
      <c r="TTD49"/>
      <c r="TTE49"/>
      <c r="TTF49"/>
      <c r="TTG49"/>
      <c r="TTH49"/>
      <c r="TTI49"/>
      <c r="TTJ49"/>
      <c r="TTK49"/>
      <c r="TTL49"/>
      <c r="TTM49"/>
      <c r="TTN49"/>
      <c r="TTO49"/>
      <c r="TTP49"/>
      <c r="TTQ49"/>
      <c r="TTR49"/>
      <c r="TTS49"/>
      <c r="TTT49"/>
      <c r="TTU49"/>
      <c r="TTV49"/>
      <c r="TTW49"/>
      <c r="TTX49"/>
      <c r="TTY49"/>
      <c r="TTZ49"/>
      <c r="TUA49"/>
      <c r="TUB49"/>
      <c r="TUC49"/>
      <c r="TUD49"/>
      <c r="TUE49"/>
      <c r="TUF49"/>
      <c r="TUG49"/>
      <c r="TUH49"/>
      <c r="TUI49"/>
      <c r="TUJ49"/>
      <c r="TUK49"/>
      <c r="TUL49"/>
      <c r="TUM49"/>
      <c r="TUN49"/>
      <c r="TUO49"/>
      <c r="TUP49"/>
      <c r="TUQ49"/>
      <c r="TUR49"/>
      <c r="TUS49"/>
      <c r="TUT49"/>
      <c r="TUU49"/>
      <c r="TUV49"/>
      <c r="TUW49"/>
      <c r="TUX49"/>
      <c r="TUY49"/>
      <c r="TUZ49"/>
      <c r="TVA49"/>
      <c r="TVB49"/>
      <c r="TVC49"/>
      <c r="TVD49"/>
      <c r="TVE49"/>
      <c r="TVF49"/>
      <c r="TVG49"/>
      <c r="TVH49"/>
      <c r="TVI49"/>
      <c r="TVJ49"/>
      <c r="TVK49"/>
      <c r="TVL49"/>
      <c r="TVM49"/>
      <c r="TVN49"/>
      <c r="TVO49"/>
      <c r="TVP49"/>
      <c r="TVQ49"/>
      <c r="TVR49"/>
      <c r="TVS49"/>
      <c r="TVT49"/>
      <c r="TVU49"/>
      <c r="TVV49"/>
      <c r="TVW49"/>
      <c r="TVX49"/>
      <c r="TVY49"/>
      <c r="TVZ49"/>
      <c r="TWA49"/>
      <c r="TWB49"/>
      <c r="TWC49"/>
      <c r="TWD49"/>
      <c r="TWE49"/>
      <c r="TWF49"/>
      <c r="TWG49"/>
      <c r="TWH49"/>
      <c r="TWI49"/>
      <c r="TWJ49"/>
      <c r="TWK49"/>
      <c r="TWL49"/>
      <c r="TWM49"/>
      <c r="TWN49"/>
      <c r="TWO49"/>
      <c r="TWP49"/>
      <c r="TWQ49"/>
      <c r="TWR49"/>
      <c r="TWS49"/>
      <c r="TWT49"/>
      <c r="TWU49"/>
      <c r="TWV49"/>
      <c r="TWW49"/>
      <c r="TWX49"/>
      <c r="TWY49"/>
      <c r="TWZ49"/>
      <c r="TXA49"/>
      <c r="TXB49"/>
      <c r="TXC49"/>
      <c r="TXD49"/>
      <c r="TXE49"/>
      <c r="TXF49"/>
      <c r="TXG49"/>
      <c r="TXH49"/>
      <c r="TXI49"/>
      <c r="TXJ49"/>
      <c r="TXK49"/>
      <c r="TXL49"/>
      <c r="TXM49"/>
      <c r="TXN49"/>
      <c r="TXO49"/>
      <c r="TXP49"/>
      <c r="TXQ49"/>
      <c r="TXR49"/>
      <c r="TXS49"/>
      <c r="TXT49"/>
      <c r="TXU49"/>
      <c r="TXV49"/>
      <c r="TXW49"/>
      <c r="TXX49"/>
      <c r="TXY49"/>
      <c r="TXZ49"/>
      <c r="TYA49"/>
      <c r="TYB49"/>
      <c r="TYC49"/>
      <c r="TYD49"/>
      <c r="TYE49"/>
      <c r="TYF49"/>
      <c r="TYG49"/>
      <c r="TYH49"/>
      <c r="TYI49"/>
      <c r="TYJ49"/>
      <c r="TYK49"/>
      <c r="TYL49"/>
      <c r="TYM49"/>
      <c r="TYN49"/>
      <c r="TYO49"/>
      <c r="TYP49"/>
      <c r="TYQ49"/>
      <c r="TYR49"/>
      <c r="TYS49"/>
      <c r="TYT49"/>
      <c r="TYU49"/>
      <c r="TYV49"/>
      <c r="TYW49"/>
      <c r="TYX49"/>
      <c r="TYY49"/>
      <c r="TYZ49"/>
      <c r="TZA49"/>
      <c r="TZB49"/>
      <c r="TZC49"/>
      <c r="TZD49"/>
      <c r="TZE49"/>
      <c r="TZF49"/>
      <c r="TZG49"/>
      <c r="TZH49"/>
      <c r="TZI49"/>
      <c r="TZJ49"/>
      <c r="TZK49"/>
      <c r="TZL49"/>
      <c r="TZM49"/>
      <c r="TZN49"/>
      <c r="TZO49"/>
      <c r="TZP49"/>
      <c r="TZQ49"/>
      <c r="TZR49"/>
      <c r="TZS49"/>
      <c r="TZT49"/>
      <c r="TZU49"/>
      <c r="TZV49"/>
      <c r="TZW49"/>
      <c r="TZX49"/>
      <c r="TZY49"/>
      <c r="TZZ49"/>
      <c r="UAA49"/>
      <c r="UAB49"/>
      <c r="UAC49"/>
      <c r="UAD49"/>
      <c r="UAE49"/>
      <c r="UAF49"/>
      <c r="UAG49"/>
      <c r="UAH49"/>
      <c r="UAI49"/>
      <c r="UAJ49"/>
      <c r="UAK49"/>
      <c r="UAL49"/>
      <c r="UAM49"/>
      <c r="UAN49"/>
      <c r="UAO49"/>
      <c r="UAP49"/>
      <c r="UAQ49"/>
      <c r="UAR49"/>
      <c r="UAS49"/>
      <c r="UAT49"/>
      <c r="UAU49"/>
      <c r="UAV49"/>
      <c r="UAW49"/>
      <c r="UAX49"/>
      <c r="UAY49"/>
      <c r="UAZ49"/>
      <c r="UBA49"/>
      <c r="UBB49"/>
      <c r="UBC49"/>
      <c r="UBD49"/>
      <c r="UBE49"/>
      <c r="UBF49"/>
      <c r="UBG49"/>
      <c r="UBH49"/>
      <c r="UBI49"/>
      <c r="UBJ49"/>
      <c r="UBK49"/>
      <c r="UBL49"/>
      <c r="UBM49"/>
      <c r="UBN49"/>
      <c r="UBO49"/>
      <c r="UBP49"/>
      <c r="UBQ49"/>
      <c r="UBR49"/>
      <c r="UBS49"/>
      <c r="UBT49"/>
      <c r="UBU49"/>
      <c r="UBV49"/>
      <c r="UBW49"/>
      <c r="UBX49"/>
      <c r="UBY49"/>
      <c r="UBZ49"/>
      <c r="UCA49"/>
      <c r="UCB49"/>
      <c r="UCC49"/>
      <c r="UCD49"/>
      <c r="UCE49"/>
      <c r="UCF49"/>
      <c r="UCG49"/>
      <c r="UCH49"/>
      <c r="UCI49"/>
      <c r="UCJ49"/>
      <c r="UCK49"/>
      <c r="UCL49"/>
      <c r="UCM49"/>
      <c r="UCN49"/>
      <c r="UCO49"/>
      <c r="UCP49"/>
      <c r="UCQ49"/>
      <c r="UCR49"/>
      <c r="UCS49"/>
      <c r="UCT49"/>
      <c r="UCU49"/>
      <c r="UCV49"/>
      <c r="UCW49"/>
      <c r="UCX49"/>
      <c r="UCY49"/>
      <c r="UCZ49"/>
      <c r="UDA49"/>
      <c r="UDB49"/>
      <c r="UDC49"/>
      <c r="UDD49"/>
      <c r="UDE49"/>
      <c r="UDF49"/>
      <c r="UDG49"/>
      <c r="UDH49"/>
      <c r="UDI49"/>
      <c r="UDJ49"/>
      <c r="UDK49"/>
      <c r="UDL49"/>
      <c r="UDM49"/>
      <c r="UDN49"/>
      <c r="UDO49"/>
      <c r="UDP49"/>
      <c r="UDQ49"/>
      <c r="UDR49"/>
      <c r="UDS49"/>
      <c r="UDT49"/>
      <c r="UDU49"/>
      <c r="UDV49"/>
      <c r="UDW49"/>
      <c r="UDX49"/>
      <c r="UDY49"/>
      <c r="UDZ49"/>
      <c r="UEA49"/>
      <c r="UEB49"/>
      <c r="UEC49"/>
      <c r="UED49"/>
      <c r="UEE49"/>
      <c r="UEF49"/>
      <c r="UEG49"/>
      <c r="UEH49"/>
      <c r="UEI49"/>
      <c r="UEJ49"/>
      <c r="UEK49"/>
      <c r="UEL49"/>
      <c r="UEM49"/>
      <c r="UEN49"/>
      <c r="UEO49"/>
      <c r="UEP49"/>
      <c r="UEQ49"/>
      <c r="UER49"/>
      <c r="UES49"/>
      <c r="UET49"/>
      <c r="UEU49"/>
      <c r="UEV49"/>
      <c r="UEW49"/>
      <c r="UEX49"/>
      <c r="UEY49"/>
      <c r="UEZ49"/>
      <c r="UFA49"/>
      <c r="UFB49"/>
      <c r="UFC49"/>
      <c r="UFD49"/>
      <c r="UFE49"/>
      <c r="UFF49"/>
      <c r="UFG49"/>
      <c r="UFH49"/>
      <c r="UFI49"/>
      <c r="UFJ49"/>
      <c r="UFK49"/>
      <c r="UFL49"/>
      <c r="UFM49"/>
      <c r="UFN49"/>
      <c r="UFO49"/>
      <c r="UFP49"/>
      <c r="UFQ49"/>
      <c r="UFR49"/>
      <c r="UFS49"/>
      <c r="UFT49"/>
      <c r="UFU49"/>
      <c r="UFV49"/>
      <c r="UFW49"/>
      <c r="UFX49"/>
      <c r="UFY49"/>
      <c r="UFZ49"/>
      <c r="UGA49"/>
      <c r="UGB49"/>
      <c r="UGC49"/>
      <c r="UGD49"/>
      <c r="UGE49"/>
      <c r="UGF49"/>
      <c r="UGG49"/>
      <c r="UGH49"/>
      <c r="UGI49"/>
      <c r="UGJ49"/>
      <c r="UGK49"/>
      <c r="UGL49"/>
      <c r="UGM49"/>
      <c r="UGN49"/>
      <c r="UGO49"/>
      <c r="UGP49"/>
      <c r="UGQ49"/>
      <c r="UGR49"/>
      <c r="UGS49"/>
      <c r="UGT49"/>
      <c r="UGU49"/>
      <c r="UGV49"/>
      <c r="UGW49"/>
      <c r="UGX49"/>
      <c r="UGY49"/>
      <c r="UGZ49"/>
      <c r="UHA49"/>
      <c r="UHB49"/>
      <c r="UHC49"/>
      <c r="UHD49"/>
      <c r="UHE49"/>
      <c r="UHF49"/>
      <c r="UHG49"/>
      <c r="UHH49"/>
      <c r="UHI49"/>
      <c r="UHJ49"/>
      <c r="UHK49"/>
      <c r="UHL49"/>
      <c r="UHM49"/>
      <c r="UHN49"/>
      <c r="UHO49"/>
      <c r="UHP49"/>
      <c r="UHQ49"/>
      <c r="UHR49"/>
      <c r="UHS49"/>
      <c r="UHT49"/>
      <c r="UHU49"/>
      <c r="UHV49"/>
      <c r="UHW49"/>
      <c r="UHX49"/>
      <c r="UHY49"/>
      <c r="UHZ49"/>
      <c r="UIA49"/>
      <c r="UIB49"/>
      <c r="UIC49"/>
      <c r="UID49"/>
      <c r="UIE49"/>
      <c r="UIF49"/>
      <c r="UIG49"/>
      <c r="UIH49"/>
      <c r="UII49"/>
      <c r="UIJ49"/>
      <c r="UIK49"/>
      <c r="UIL49"/>
      <c r="UIM49"/>
      <c r="UIN49"/>
      <c r="UIO49"/>
      <c r="UIP49"/>
      <c r="UIQ49"/>
      <c r="UIR49"/>
      <c r="UIS49"/>
      <c r="UIT49"/>
      <c r="UIU49"/>
      <c r="UIV49"/>
      <c r="UIW49"/>
      <c r="UIX49"/>
      <c r="UIY49"/>
      <c r="UIZ49"/>
      <c r="UJA49"/>
      <c r="UJB49"/>
      <c r="UJC49"/>
      <c r="UJD49"/>
      <c r="UJE49"/>
      <c r="UJF49"/>
      <c r="UJG49"/>
      <c r="UJH49"/>
      <c r="UJI49"/>
      <c r="UJJ49"/>
      <c r="UJK49"/>
      <c r="UJL49"/>
      <c r="UJM49"/>
      <c r="UJN49"/>
      <c r="UJO49"/>
      <c r="UJP49"/>
      <c r="UJQ49"/>
      <c r="UJR49"/>
      <c r="UJS49"/>
      <c r="UJT49"/>
      <c r="UJU49"/>
      <c r="UJV49"/>
      <c r="UJW49"/>
      <c r="UJX49"/>
      <c r="UJY49"/>
      <c r="UJZ49"/>
      <c r="UKA49"/>
      <c r="UKB49"/>
      <c r="UKC49"/>
      <c r="UKD49"/>
      <c r="UKE49"/>
      <c r="UKF49"/>
      <c r="UKG49"/>
      <c r="UKH49"/>
      <c r="UKI49"/>
      <c r="UKJ49"/>
      <c r="UKK49"/>
      <c r="UKL49"/>
      <c r="UKM49"/>
      <c r="UKN49"/>
      <c r="UKO49"/>
      <c r="UKP49"/>
      <c r="UKQ49"/>
      <c r="UKR49"/>
      <c r="UKS49"/>
      <c r="UKT49"/>
      <c r="UKU49"/>
      <c r="UKV49"/>
      <c r="UKW49"/>
      <c r="UKX49"/>
      <c r="UKY49"/>
      <c r="UKZ49"/>
      <c r="ULA49"/>
      <c r="ULB49"/>
      <c r="ULC49"/>
      <c r="ULD49"/>
      <c r="ULE49"/>
      <c r="ULF49"/>
      <c r="ULG49"/>
      <c r="ULH49"/>
      <c r="ULI49"/>
      <c r="ULJ49"/>
      <c r="ULK49"/>
      <c r="ULL49"/>
      <c r="ULM49"/>
      <c r="ULN49"/>
      <c r="ULO49"/>
      <c r="ULP49"/>
      <c r="ULQ49"/>
      <c r="ULR49"/>
      <c r="ULS49"/>
      <c r="ULT49"/>
      <c r="ULU49"/>
      <c r="ULV49"/>
      <c r="ULW49"/>
      <c r="ULX49"/>
      <c r="ULY49"/>
      <c r="ULZ49"/>
      <c r="UMA49"/>
      <c r="UMB49"/>
      <c r="UMC49"/>
      <c r="UMD49"/>
      <c r="UME49"/>
      <c r="UMF49"/>
      <c r="UMG49"/>
      <c r="UMH49"/>
      <c r="UMI49"/>
      <c r="UMJ49"/>
      <c r="UMK49"/>
      <c r="UML49"/>
      <c r="UMM49"/>
      <c r="UMN49"/>
      <c r="UMO49"/>
      <c r="UMP49"/>
      <c r="UMQ49"/>
      <c r="UMR49"/>
      <c r="UMS49"/>
      <c r="UMT49"/>
      <c r="UMU49"/>
      <c r="UMV49"/>
      <c r="UMW49"/>
      <c r="UMX49"/>
      <c r="UMY49"/>
      <c r="UMZ49"/>
      <c r="UNA49"/>
      <c r="UNB49"/>
      <c r="UNC49"/>
      <c r="UND49"/>
      <c r="UNE49"/>
      <c r="UNF49"/>
      <c r="UNG49"/>
      <c r="UNH49"/>
      <c r="UNI49"/>
      <c r="UNJ49"/>
      <c r="UNK49"/>
      <c r="UNL49"/>
      <c r="UNM49"/>
      <c r="UNN49"/>
      <c r="UNO49"/>
      <c r="UNP49"/>
      <c r="UNQ49"/>
      <c r="UNR49"/>
      <c r="UNS49"/>
      <c r="UNT49"/>
      <c r="UNU49"/>
      <c r="UNV49"/>
      <c r="UNW49"/>
      <c r="UNX49"/>
      <c r="UNY49"/>
      <c r="UNZ49"/>
      <c r="UOA49"/>
      <c r="UOB49"/>
      <c r="UOC49"/>
      <c r="UOD49"/>
      <c r="UOE49"/>
      <c r="UOF49"/>
      <c r="UOG49"/>
      <c r="UOH49"/>
      <c r="UOI49"/>
      <c r="UOJ49"/>
      <c r="UOK49"/>
      <c r="UOL49"/>
      <c r="UOM49"/>
      <c r="UON49"/>
      <c r="UOO49"/>
      <c r="UOP49"/>
      <c r="UOQ49"/>
      <c r="UOR49"/>
      <c r="UOS49"/>
      <c r="UOT49"/>
      <c r="UOU49"/>
      <c r="UOV49"/>
      <c r="UOW49"/>
      <c r="UOX49"/>
      <c r="UOY49"/>
      <c r="UOZ49"/>
      <c r="UPA49"/>
      <c r="UPB49"/>
      <c r="UPC49"/>
      <c r="UPD49"/>
      <c r="UPE49"/>
      <c r="UPF49"/>
      <c r="UPG49"/>
      <c r="UPH49"/>
      <c r="UPI49"/>
      <c r="UPJ49"/>
      <c r="UPK49"/>
      <c r="UPL49"/>
      <c r="UPM49"/>
      <c r="UPN49"/>
      <c r="UPO49"/>
      <c r="UPP49"/>
      <c r="UPQ49"/>
      <c r="UPR49"/>
      <c r="UPS49"/>
      <c r="UPT49"/>
      <c r="UPU49"/>
      <c r="UPV49"/>
      <c r="UPW49"/>
      <c r="UPX49"/>
      <c r="UPY49"/>
      <c r="UPZ49"/>
      <c r="UQA49"/>
      <c r="UQB49"/>
      <c r="UQC49"/>
      <c r="UQD49"/>
      <c r="UQE49"/>
      <c r="UQF49"/>
      <c r="UQG49"/>
      <c r="UQH49"/>
      <c r="UQI49"/>
      <c r="UQJ49"/>
      <c r="UQK49"/>
      <c r="UQL49"/>
      <c r="UQM49"/>
      <c r="UQN49"/>
      <c r="UQO49"/>
      <c r="UQP49"/>
      <c r="UQQ49"/>
      <c r="UQR49"/>
      <c r="UQS49"/>
      <c r="UQT49"/>
      <c r="UQU49"/>
      <c r="UQV49"/>
      <c r="UQW49"/>
      <c r="UQX49"/>
      <c r="UQY49"/>
      <c r="UQZ49"/>
      <c r="URA49"/>
      <c r="URB49"/>
      <c r="URC49"/>
      <c r="URD49"/>
      <c r="URE49"/>
      <c r="URF49"/>
      <c r="URG49"/>
      <c r="URH49"/>
      <c r="URI49"/>
      <c r="URJ49"/>
      <c r="URK49"/>
      <c r="URL49"/>
      <c r="URM49"/>
      <c r="URN49"/>
      <c r="URO49"/>
      <c r="URP49"/>
      <c r="URQ49"/>
      <c r="URR49"/>
      <c r="URS49"/>
      <c r="URT49"/>
      <c r="URU49"/>
      <c r="URV49"/>
      <c r="URW49"/>
      <c r="URX49"/>
      <c r="URY49"/>
      <c r="URZ49"/>
      <c r="USA49"/>
      <c r="USB49"/>
      <c r="USC49"/>
      <c r="USD49"/>
      <c r="USE49"/>
      <c r="USF49"/>
      <c r="USG49"/>
      <c r="USH49"/>
      <c r="USI49"/>
      <c r="USJ49"/>
      <c r="USK49"/>
      <c r="USL49"/>
      <c r="USM49"/>
      <c r="USN49"/>
      <c r="USO49"/>
      <c r="USP49"/>
      <c r="USQ49"/>
      <c r="USR49"/>
      <c r="USS49"/>
      <c r="UST49"/>
      <c r="USU49"/>
      <c r="USV49"/>
      <c r="USW49"/>
      <c r="USX49"/>
      <c r="USY49"/>
      <c r="USZ49"/>
      <c r="UTA49"/>
      <c r="UTB49"/>
      <c r="UTC49"/>
      <c r="UTD49"/>
      <c r="UTE49"/>
      <c r="UTF49"/>
      <c r="UTG49"/>
      <c r="UTH49"/>
      <c r="UTI49"/>
      <c r="UTJ49"/>
      <c r="UTK49"/>
      <c r="UTL49"/>
      <c r="UTM49"/>
      <c r="UTN49"/>
      <c r="UTO49"/>
      <c r="UTP49"/>
      <c r="UTQ49"/>
      <c r="UTR49"/>
      <c r="UTS49"/>
      <c r="UTT49"/>
      <c r="UTU49"/>
      <c r="UTV49"/>
      <c r="UTW49"/>
      <c r="UTX49"/>
      <c r="UTY49"/>
      <c r="UTZ49"/>
      <c r="UUA49"/>
      <c r="UUB49"/>
      <c r="UUC49"/>
      <c r="UUD49"/>
      <c r="UUE49"/>
      <c r="UUF49"/>
      <c r="UUG49"/>
      <c r="UUH49"/>
      <c r="UUI49"/>
      <c r="UUJ49"/>
      <c r="UUK49"/>
      <c r="UUL49"/>
      <c r="UUM49"/>
      <c r="UUN49"/>
      <c r="UUO49"/>
      <c r="UUP49"/>
      <c r="UUQ49"/>
      <c r="UUR49"/>
      <c r="UUS49"/>
      <c r="UUT49"/>
      <c r="UUU49"/>
      <c r="UUV49"/>
      <c r="UUW49"/>
      <c r="UUX49"/>
      <c r="UUY49"/>
      <c r="UUZ49"/>
      <c r="UVA49"/>
      <c r="UVB49"/>
      <c r="UVC49"/>
      <c r="UVD49"/>
      <c r="UVE49"/>
      <c r="UVF49"/>
      <c r="UVG49"/>
      <c r="UVH49"/>
      <c r="UVI49"/>
      <c r="UVJ49"/>
      <c r="UVK49"/>
      <c r="UVL49"/>
      <c r="UVM49"/>
      <c r="UVN49"/>
      <c r="UVO49"/>
      <c r="UVP49"/>
      <c r="UVQ49"/>
      <c r="UVR49"/>
      <c r="UVS49"/>
      <c r="UVT49"/>
      <c r="UVU49"/>
      <c r="UVV49"/>
      <c r="UVW49"/>
      <c r="UVX49"/>
      <c r="UVY49"/>
      <c r="UVZ49"/>
      <c r="UWA49"/>
      <c r="UWB49"/>
      <c r="UWC49"/>
      <c r="UWD49"/>
      <c r="UWE49"/>
      <c r="UWF49"/>
      <c r="UWG49"/>
      <c r="UWH49"/>
      <c r="UWI49"/>
      <c r="UWJ49"/>
      <c r="UWK49"/>
      <c r="UWL49"/>
      <c r="UWM49"/>
      <c r="UWN49"/>
      <c r="UWO49"/>
      <c r="UWP49"/>
      <c r="UWQ49"/>
      <c r="UWR49"/>
      <c r="UWS49"/>
      <c r="UWT49"/>
      <c r="UWU49"/>
      <c r="UWV49"/>
      <c r="UWW49"/>
      <c r="UWX49"/>
      <c r="UWY49"/>
      <c r="UWZ49"/>
      <c r="UXA49"/>
      <c r="UXB49"/>
      <c r="UXC49"/>
      <c r="UXD49"/>
      <c r="UXE49"/>
      <c r="UXF49"/>
      <c r="UXG49"/>
      <c r="UXH49"/>
      <c r="UXI49"/>
      <c r="UXJ49"/>
      <c r="UXK49"/>
      <c r="UXL49"/>
      <c r="UXM49"/>
      <c r="UXN49"/>
      <c r="UXO49"/>
      <c r="UXP49"/>
      <c r="UXQ49"/>
      <c r="UXR49"/>
      <c r="UXS49"/>
      <c r="UXT49"/>
      <c r="UXU49"/>
      <c r="UXV49"/>
      <c r="UXW49"/>
      <c r="UXX49"/>
      <c r="UXY49"/>
      <c r="UXZ49"/>
      <c r="UYA49"/>
      <c r="UYB49"/>
      <c r="UYC49"/>
      <c r="UYD49"/>
      <c r="UYE49"/>
      <c r="UYF49"/>
      <c r="UYG49"/>
      <c r="UYH49"/>
      <c r="UYI49"/>
      <c r="UYJ49"/>
      <c r="UYK49"/>
      <c r="UYL49"/>
      <c r="UYM49"/>
      <c r="UYN49"/>
      <c r="UYO49"/>
      <c r="UYP49"/>
      <c r="UYQ49"/>
      <c r="UYR49"/>
      <c r="UYS49"/>
      <c r="UYT49"/>
      <c r="UYU49"/>
      <c r="UYV49"/>
      <c r="UYW49"/>
      <c r="UYX49"/>
      <c r="UYY49"/>
      <c r="UYZ49"/>
      <c r="UZA49"/>
      <c r="UZB49"/>
      <c r="UZC49"/>
      <c r="UZD49"/>
      <c r="UZE49"/>
      <c r="UZF49"/>
      <c r="UZG49"/>
      <c r="UZH49"/>
      <c r="UZI49"/>
      <c r="UZJ49"/>
      <c r="UZK49"/>
      <c r="UZL49"/>
      <c r="UZM49"/>
      <c r="UZN49"/>
      <c r="UZO49"/>
      <c r="UZP49"/>
      <c r="UZQ49"/>
      <c r="UZR49"/>
      <c r="UZS49"/>
      <c r="UZT49"/>
      <c r="UZU49"/>
      <c r="UZV49"/>
      <c r="UZW49"/>
      <c r="UZX49"/>
      <c r="UZY49"/>
      <c r="UZZ49"/>
      <c r="VAA49"/>
      <c r="VAB49"/>
      <c r="VAC49"/>
      <c r="VAD49"/>
      <c r="VAE49"/>
      <c r="VAF49"/>
      <c r="VAG49"/>
      <c r="VAH49"/>
      <c r="VAI49"/>
      <c r="VAJ49"/>
      <c r="VAK49"/>
      <c r="VAL49"/>
      <c r="VAM49"/>
      <c r="VAN49"/>
      <c r="VAO49"/>
      <c r="VAP49"/>
      <c r="VAQ49"/>
      <c r="VAR49"/>
      <c r="VAS49"/>
      <c r="VAT49"/>
      <c r="VAU49"/>
      <c r="VAV49"/>
      <c r="VAW49"/>
      <c r="VAX49"/>
      <c r="VAY49"/>
      <c r="VAZ49"/>
      <c r="VBA49"/>
      <c r="VBB49"/>
      <c r="VBC49"/>
      <c r="VBD49"/>
      <c r="VBE49"/>
      <c r="VBF49"/>
      <c r="VBG49"/>
      <c r="VBH49"/>
      <c r="VBI49"/>
      <c r="VBJ49"/>
      <c r="VBK49"/>
      <c r="VBL49"/>
      <c r="VBM49"/>
      <c r="VBN49"/>
      <c r="VBO49"/>
      <c r="VBP49"/>
      <c r="VBQ49"/>
      <c r="VBR49"/>
      <c r="VBS49"/>
      <c r="VBT49"/>
      <c r="VBU49"/>
      <c r="VBV49"/>
      <c r="VBW49"/>
      <c r="VBX49"/>
      <c r="VBY49"/>
      <c r="VBZ49"/>
      <c r="VCA49"/>
      <c r="VCB49"/>
      <c r="VCC49"/>
      <c r="VCD49"/>
      <c r="VCE49"/>
      <c r="VCF49"/>
      <c r="VCG49"/>
      <c r="VCH49"/>
      <c r="VCI49"/>
      <c r="VCJ49"/>
      <c r="VCK49"/>
      <c r="VCL49"/>
      <c r="VCM49"/>
      <c r="VCN49"/>
      <c r="VCO49"/>
      <c r="VCP49"/>
      <c r="VCQ49"/>
      <c r="VCR49"/>
      <c r="VCS49"/>
      <c r="VCT49"/>
      <c r="VCU49"/>
      <c r="VCV49"/>
      <c r="VCW49"/>
      <c r="VCX49"/>
      <c r="VCY49"/>
      <c r="VCZ49"/>
      <c r="VDA49"/>
      <c r="VDB49"/>
      <c r="VDC49"/>
      <c r="VDD49"/>
      <c r="VDE49"/>
      <c r="VDF49"/>
      <c r="VDG49"/>
      <c r="VDH49"/>
      <c r="VDI49"/>
      <c r="VDJ49"/>
      <c r="VDK49"/>
      <c r="VDL49"/>
      <c r="VDM49"/>
      <c r="VDN49"/>
      <c r="VDO49"/>
      <c r="VDP49"/>
      <c r="VDQ49"/>
      <c r="VDR49"/>
      <c r="VDS49"/>
      <c r="VDT49"/>
      <c r="VDU49"/>
      <c r="VDV49"/>
      <c r="VDW49"/>
      <c r="VDX49"/>
      <c r="VDY49"/>
      <c r="VDZ49"/>
      <c r="VEA49"/>
      <c r="VEB49"/>
      <c r="VEC49"/>
      <c r="VED49"/>
      <c r="VEE49"/>
      <c r="VEF49"/>
      <c r="VEG49"/>
      <c r="VEH49"/>
      <c r="VEI49"/>
      <c r="VEJ49"/>
      <c r="VEK49"/>
      <c r="VEL49"/>
      <c r="VEM49"/>
      <c r="VEN49"/>
      <c r="VEO49"/>
      <c r="VEP49"/>
      <c r="VEQ49"/>
      <c r="VER49"/>
      <c r="VES49"/>
      <c r="VET49"/>
      <c r="VEU49"/>
      <c r="VEV49"/>
      <c r="VEW49"/>
      <c r="VEX49"/>
      <c r="VEY49"/>
      <c r="VEZ49"/>
      <c r="VFA49"/>
      <c r="VFB49"/>
      <c r="VFC49"/>
      <c r="VFD49"/>
      <c r="VFE49"/>
      <c r="VFF49"/>
      <c r="VFG49"/>
      <c r="VFH49"/>
      <c r="VFI49"/>
      <c r="VFJ49"/>
      <c r="VFK49"/>
      <c r="VFL49"/>
      <c r="VFM49"/>
      <c r="VFN49"/>
      <c r="VFO49"/>
      <c r="VFP49"/>
      <c r="VFQ49"/>
      <c r="VFR49"/>
      <c r="VFS49"/>
      <c r="VFT49"/>
      <c r="VFU49"/>
      <c r="VFV49"/>
      <c r="VFW49"/>
      <c r="VFX49"/>
      <c r="VFY49"/>
      <c r="VFZ49"/>
      <c r="VGA49"/>
      <c r="VGB49"/>
      <c r="VGC49"/>
      <c r="VGD49"/>
      <c r="VGE49"/>
      <c r="VGF49"/>
      <c r="VGG49"/>
      <c r="VGH49"/>
      <c r="VGI49"/>
      <c r="VGJ49"/>
      <c r="VGK49"/>
      <c r="VGL49"/>
      <c r="VGM49"/>
      <c r="VGN49"/>
      <c r="VGO49"/>
      <c r="VGP49"/>
      <c r="VGQ49"/>
      <c r="VGR49"/>
      <c r="VGS49"/>
      <c r="VGT49"/>
      <c r="VGU49"/>
      <c r="VGV49"/>
      <c r="VGW49"/>
      <c r="VGX49"/>
      <c r="VGY49"/>
      <c r="VGZ49"/>
      <c r="VHA49"/>
      <c r="VHB49"/>
      <c r="VHC49"/>
      <c r="VHD49"/>
      <c r="VHE49"/>
      <c r="VHF49"/>
      <c r="VHG49"/>
      <c r="VHH49"/>
      <c r="VHI49"/>
      <c r="VHJ49"/>
      <c r="VHK49"/>
      <c r="VHL49"/>
      <c r="VHM49"/>
      <c r="VHN49"/>
      <c r="VHO49"/>
      <c r="VHP49"/>
      <c r="VHQ49"/>
      <c r="VHR49"/>
      <c r="VHS49"/>
      <c r="VHT49"/>
      <c r="VHU49"/>
      <c r="VHV49"/>
      <c r="VHW49"/>
      <c r="VHX49"/>
      <c r="VHY49"/>
      <c r="VHZ49"/>
      <c r="VIA49"/>
      <c r="VIB49"/>
      <c r="VIC49"/>
      <c r="VID49"/>
      <c r="VIE49"/>
      <c r="VIF49"/>
      <c r="VIG49"/>
      <c r="VIH49"/>
      <c r="VII49"/>
      <c r="VIJ49"/>
      <c r="VIK49"/>
      <c r="VIL49"/>
      <c r="VIM49"/>
      <c r="VIN49"/>
      <c r="VIO49"/>
      <c r="VIP49"/>
      <c r="VIQ49"/>
      <c r="VIR49"/>
      <c r="VIS49"/>
      <c r="VIT49"/>
      <c r="VIU49"/>
      <c r="VIV49"/>
      <c r="VIW49"/>
      <c r="VIX49"/>
      <c r="VIY49"/>
      <c r="VIZ49"/>
      <c r="VJA49"/>
      <c r="VJB49"/>
      <c r="VJC49"/>
      <c r="VJD49"/>
      <c r="VJE49"/>
      <c r="VJF49"/>
      <c r="VJG49"/>
      <c r="VJH49"/>
      <c r="VJI49"/>
      <c r="VJJ49"/>
      <c r="VJK49"/>
      <c r="VJL49"/>
      <c r="VJM49"/>
      <c r="VJN49"/>
      <c r="VJO49"/>
      <c r="VJP49"/>
      <c r="VJQ49"/>
      <c r="VJR49"/>
      <c r="VJS49"/>
      <c r="VJT49"/>
      <c r="VJU49"/>
      <c r="VJV49"/>
      <c r="VJW49"/>
      <c r="VJX49"/>
      <c r="VJY49"/>
      <c r="VJZ49"/>
      <c r="VKA49"/>
      <c r="VKB49"/>
      <c r="VKC49"/>
      <c r="VKD49"/>
      <c r="VKE49"/>
      <c r="VKF49"/>
      <c r="VKG49"/>
      <c r="VKH49"/>
      <c r="VKI49"/>
      <c r="VKJ49"/>
      <c r="VKK49"/>
      <c r="VKL49"/>
      <c r="VKM49"/>
      <c r="VKN49"/>
      <c r="VKO49"/>
      <c r="VKP49"/>
      <c r="VKQ49"/>
      <c r="VKR49"/>
      <c r="VKS49"/>
      <c r="VKT49"/>
      <c r="VKU49"/>
      <c r="VKV49"/>
      <c r="VKW49"/>
      <c r="VKX49"/>
      <c r="VKY49"/>
      <c r="VKZ49"/>
      <c r="VLA49"/>
      <c r="VLB49"/>
      <c r="VLC49"/>
      <c r="VLD49"/>
      <c r="VLE49"/>
      <c r="VLF49"/>
      <c r="VLG49"/>
      <c r="VLH49"/>
      <c r="VLI49"/>
      <c r="VLJ49"/>
      <c r="VLK49"/>
      <c r="VLL49"/>
      <c r="VLM49"/>
      <c r="VLN49"/>
      <c r="VLO49"/>
      <c r="VLP49"/>
      <c r="VLQ49"/>
      <c r="VLR49"/>
      <c r="VLS49"/>
      <c r="VLT49"/>
      <c r="VLU49"/>
      <c r="VLV49"/>
      <c r="VLW49"/>
      <c r="VLX49"/>
      <c r="VLY49"/>
      <c r="VLZ49"/>
      <c r="VMA49"/>
      <c r="VMB49"/>
      <c r="VMC49"/>
      <c r="VMD49"/>
      <c r="VME49"/>
      <c r="VMF49"/>
      <c r="VMG49"/>
      <c r="VMH49"/>
      <c r="VMI49"/>
      <c r="VMJ49"/>
      <c r="VMK49"/>
      <c r="VML49"/>
      <c r="VMM49"/>
      <c r="VMN49"/>
      <c r="VMO49"/>
      <c r="VMP49"/>
      <c r="VMQ49"/>
      <c r="VMR49"/>
      <c r="VMS49"/>
      <c r="VMT49"/>
      <c r="VMU49"/>
      <c r="VMV49"/>
      <c r="VMW49"/>
      <c r="VMX49"/>
      <c r="VMY49"/>
      <c r="VMZ49"/>
      <c r="VNA49"/>
      <c r="VNB49"/>
      <c r="VNC49"/>
      <c r="VND49"/>
      <c r="VNE49"/>
      <c r="VNF49"/>
      <c r="VNG49"/>
      <c r="VNH49"/>
      <c r="VNI49"/>
      <c r="VNJ49"/>
      <c r="VNK49"/>
      <c r="VNL49"/>
      <c r="VNM49"/>
      <c r="VNN49"/>
      <c r="VNO49"/>
      <c r="VNP49"/>
      <c r="VNQ49"/>
      <c r="VNR49"/>
      <c r="VNS49"/>
      <c r="VNT49"/>
      <c r="VNU49"/>
      <c r="VNV49"/>
      <c r="VNW49"/>
      <c r="VNX49"/>
      <c r="VNY49"/>
      <c r="VNZ49"/>
      <c r="VOA49"/>
      <c r="VOB49"/>
      <c r="VOC49"/>
      <c r="VOD49"/>
      <c r="VOE49"/>
      <c r="VOF49"/>
      <c r="VOG49"/>
      <c r="VOH49"/>
      <c r="VOI49"/>
      <c r="VOJ49"/>
      <c r="VOK49"/>
      <c r="VOL49"/>
      <c r="VOM49"/>
      <c r="VON49"/>
      <c r="VOO49"/>
      <c r="VOP49"/>
      <c r="VOQ49"/>
      <c r="VOR49"/>
      <c r="VOS49"/>
      <c r="VOT49"/>
      <c r="VOU49"/>
      <c r="VOV49"/>
      <c r="VOW49"/>
      <c r="VOX49"/>
      <c r="VOY49"/>
      <c r="VOZ49"/>
      <c r="VPA49"/>
      <c r="VPB49"/>
      <c r="VPC49"/>
      <c r="VPD49"/>
      <c r="VPE49"/>
      <c r="VPF49"/>
      <c r="VPG49"/>
      <c r="VPH49"/>
      <c r="VPI49"/>
      <c r="VPJ49"/>
      <c r="VPK49"/>
      <c r="VPL49"/>
      <c r="VPM49"/>
      <c r="VPN49"/>
      <c r="VPO49"/>
      <c r="VPP49"/>
      <c r="VPQ49"/>
      <c r="VPR49"/>
      <c r="VPS49"/>
      <c r="VPT49"/>
      <c r="VPU49"/>
      <c r="VPV49"/>
      <c r="VPW49"/>
      <c r="VPX49"/>
      <c r="VPY49"/>
      <c r="VPZ49"/>
      <c r="VQA49"/>
      <c r="VQB49"/>
      <c r="VQC49"/>
      <c r="VQD49"/>
      <c r="VQE49"/>
      <c r="VQF49"/>
      <c r="VQG49"/>
      <c r="VQH49"/>
      <c r="VQI49"/>
      <c r="VQJ49"/>
      <c r="VQK49"/>
      <c r="VQL49"/>
      <c r="VQM49"/>
      <c r="VQN49"/>
      <c r="VQO49"/>
      <c r="VQP49"/>
      <c r="VQQ49"/>
      <c r="VQR49"/>
      <c r="VQS49"/>
      <c r="VQT49"/>
      <c r="VQU49"/>
      <c r="VQV49"/>
      <c r="VQW49"/>
      <c r="VQX49"/>
      <c r="VQY49"/>
      <c r="VQZ49"/>
      <c r="VRA49"/>
      <c r="VRB49"/>
      <c r="VRC49"/>
      <c r="VRD49"/>
      <c r="VRE49"/>
      <c r="VRF49"/>
      <c r="VRG49"/>
      <c r="VRH49"/>
      <c r="VRI49"/>
      <c r="VRJ49"/>
      <c r="VRK49"/>
      <c r="VRL49"/>
      <c r="VRM49"/>
      <c r="VRN49"/>
      <c r="VRO49"/>
      <c r="VRP49"/>
      <c r="VRQ49"/>
      <c r="VRR49"/>
      <c r="VRS49"/>
      <c r="VRT49"/>
      <c r="VRU49"/>
      <c r="VRV49"/>
      <c r="VRW49"/>
      <c r="VRX49"/>
      <c r="VRY49"/>
      <c r="VRZ49"/>
      <c r="VSA49"/>
      <c r="VSB49"/>
      <c r="VSC49"/>
      <c r="VSD49"/>
      <c r="VSE49"/>
      <c r="VSF49"/>
      <c r="VSG49"/>
      <c r="VSH49"/>
      <c r="VSI49"/>
      <c r="VSJ49"/>
      <c r="VSK49"/>
      <c r="VSL49"/>
      <c r="VSM49"/>
      <c r="VSN49"/>
      <c r="VSO49"/>
      <c r="VSP49"/>
      <c r="VSQ49"/>
      <c r="VSR49"/>
      <c r="VSS49"/>
      <c r="VST49"/>
      <c r="VSU49"/>
      <c r="VSV49"/>
      <c r="VSW49"/>
      <c r="VSX49"/>
      <c r="VSY49"/>
      <c r="VSZ49"/>
      <c r="VTA49"/>
      <c r="VTB49"/>
      <c r="VTC49"/>
      <c r="VTD49"/>
      <c r="VTE49"/>
      <c r="VTF49"/>
      <c r="VTG49"/>
      <c r="VTH49"/>
      <c r="VTI49"/>
      <c r="VTJ49"/>
      <c r="VTK49"/>
      <c r="VTL49"/>
      <c r="VTM49"/>
      <c r="VTN49"/>
      <c r="VTO49"/>
      <c r="VTP49"/>
      <c r="VTQ49"/>
      <c r="VTR49"/>
      <c r="VTS49"/>
      <c r="VTT49"/>
      <c r="VTU49"/>
      <c r="VTV49"/>
      <c r="VTW49"/>
      <c r="VTX49"/>
      <c r="VTY49"/>
      <c r="VTZ49"/>
      <c r="VUA49"/>
      <c r="VUB49"/>
      <c r="VUC49"/>
      <c r="VUD49"/>
      <c r="VUE49"/>
      <c r="VUF49"/>
      <c r="VUG49"/>
      <c r="VUH49"/>
      <c r="VUI49"/>
      <c r="VUJ49"/>
      <c r="VUK49"/>
      <c r="VUL49"/>
      <c r="VUM49"/>
      <c r="VUN49"/>
      <c r="VUO49"/>
      <c r="VUP49"/>
      <c r="VUQ49"/>
      <c r="VUR49"/>
      <c r="VUS49"/>
      <c r="VUT49"/>
      <c r="VUU49"/>
      <c r="VUV49"/>
      <c r="VUW49"/>
      <c r="VUX49"/>
      <c r="VUY49"/>
      <c r="VUZ49"/>
      <c r="VVA49"/>
      <c r="VVB49"/>
      <c r="VVC49"/>
      <c r="VVD49"/>
      <c r="VVE49"/>
      <c r="VVF49"/>
      <c r="VVG49"/>
      <c r="VVH49"/>
      <c r="VVI49"/>
      <c r="VVJ49"/>
      <c r="VVK49"/>
      <c r="VVL49"/>
      <c r="VVM49"/>
      <c r="VVN49"/>
      <c r="VVO49"/>
      <c r="VVP49"/>
      <c r="VVQ49"/>
      <c r="VVR49"/>
      <c r="VVS49"/>
      <c r="VVT49"/>
      <c r="VVU49"/>
      <c r="VVV49"/>
      <c r="VVW49"/>
      <c r="VVX49"/>
      <c r="VVY49"/>
      <c r="VVZ49"/>
      <c r="VWA49"/>
      <c r="VWB49"/>
      <c r="VWC49"/>
      <c r="VWD49"/>
      <c r="VWE49"/>
      <c r="VWF49"/>
      <c r="VWG49"/>
      <c r="VWH49"/>
      <c r="VWI49"/>
      <c r="VWJ49"/>
      <c r="VWK49"/>
      <c r="VWL49"/>
      <c r="VWM49"/>
      <c r="VWN49"/>
      <c r="VWO49"/>
      <c r="VWP49"/>
      <c r="VWQ49"/>
      <c r="VWR49"/>
      <c r="VWS49"/>
      <c r="VWT49"/>
      <c r="VWU49"/>
      <c r="VWV49"/>
      <c r="VWW49"/>
      <c r="VWX49"/>
      <c r="VWY49"/>
      <c r="VWZ49"/>
      <c r="VXA49"/>
      <c r="VXB49"/>
      <c r="VXC49"/>
      <c r="VXD49"/>
      <c r="VXE49"/>
      <c r="VXF49"/>
      <c r="VXG49"/>
      <c r="VXH49"/>
      <c r="VXI49"/>
      <c r="VXJ49"/>
      <c r="VXK49"/>
      <c r="VXL49"/>
      <c r="VXM49"/>
      <c r="VXN49"/>
      <c r="VXO49"/>
      <c r="VXP49"/>
      <c r="VXQ49"/>
      <c r="VXR49"/>
      <c r="VXS49"/>
      <c r="VXT49"/>
      <c r="VXU49"/>
      <c r="VXV49"/>
      <c r="VXW49"/>
      <c r="VXX49"/>
      <c r="VXY49"/>
      <c r="VXZ49"/>
      <c r="VYA49"/>
      <c r="VYB49"/>
      <c r="VYC49"/>
      <c r="VYD49"/>
      <c r="VYE49"/>
      <c r="VYF49"/>
      <c r="VYG49"/>
      <c r="VYH49"/>
      <c r="VYI49"/>
      <c r="VYJ49"/>
      <c r="VYK49"/>
      <c r="VYL49"/>
      <c r="VYM49"/>
      <c r="VYN49"/>
      <c r="VYO49"/>
      <c r="VYP49"/>
      <c r="VYQ49"/>
      <c r="VYR49"/>
      <c r="VYS49"/>
      <c r="VYT49"/>
      <c r="VYU49"/>
      <c r="VYV49"/>
      <c r="VYW49"/>
      <c r="VYX49"/>
      <c r="VYY49"/>
      <c r="VYZ49"/>
      <c r="VZA49"/>
      <c r="VZB49"/>
      <c r="VZC49"/>
      <c r="VZD49"/>
      <c r="VZE49"/>
      <c r="VZF49"/>
      <c r="VZG49"/>
      <c r="VZH49"/>
      <c r="VZI49"/>
      <c r="VZJ49"/>
      <c r="VZK49"/>
      <c r="VZL49"/>
      <c r="VZM49"/>
      <c r="VZN49"/>
      <c r="VZO49"/>
      <c r="VZP49"/>
      <c r="VZQ49"/>
      <c r="VZR49"/>
      <c r="VZS49"/>
      <c r="VZT49"/>
      <c r="VZU49"/>
      <c r="VZV49"/>
      <c r="VZW49"/>
      <c r="VZX49"/>
      <c r="VZY49"/>
      <c r="VZZ49"/>
      <c r="WAA49"/>
      <c r="WAB49"/>
      <c r="WAC49"/>
      <c r="WAD49"/>
      <c r="WAE49"/>
      <c r="WAF49"/>
      <c r="WAG49"/>
      <c r="WAH49"/>
      <c r="WAI49"/>
      <c r="WAJ49"/>
      <c r="WAK49"/>
      <c r="WAL49"/>
      <c r="WAM49"/>
      <c r="WAN49"/>
      <c r="WAO49"/>
      <c r="WAP49"/>
      <c r="WAQ49"/>
      <c r="WAR49"/>
      <c r="WAS49"/>
      <c r="WAT49"/>
      <c r="WAU49"/>
      <c r="WAV49"/>
      <c r="WAW49"/>
      <c r="WAX49"/>
      <c r="WAY49"/>
      <c r="WAZ49"/>
      <c r="WBA49"/>
      <c r="WBB49"/>
      <c r="WBC49"/>
      <c r="WBD49"/>
      <c r="WBE49"/>
      <c r="WBF49"/>
      <c r="WBG49"/>
      <c r="WBH49"/>
      <c r="WBI49"/>
      <c r="WBJ49"/>
      <c r="WBK49"/>
      <c r="WBL49"/>
      <c r="WBM49"/>
      <c r="WBN49"/>
      <c r="WBO49"/>
      <c r="WBP49"/>
      <c r="WBQ49"/>
      <c r="WBR49"/>
      <c r="WBS49"/>
      <c r="WBT49"/>
      <c r="WBU49"/>
      <c r="WBV49"/>
      <c r="WBW49"/>
      <c r="WBX49"/>
      <c r="WBY49"/>
      <c r="WBZ49"/>
      <c r="WCA49"/>
      <c r="WCB49"/>
      <c r="WCC49"/>
      <c r="WCD49"/>
      <c r="WCE49"/>
      <c r="WCF49"/>
      <c r="WCG49"/>
      <c r="WCH49"/>
      <c r="WCI49"/>
      <c r="WCJ49"/>
      <c r="WCK49"/>
      <c r="WCL49"/>
      <c r="WCM49"/>
      <c r="WCN49"/>
      <c r="WCO49"/>
      <c r="WCP49"/>
      <c r="WCQ49"/>
      <c r="WCR49"/>
      <c r="WCS49"/>
      <c r="WCT49"/>
      <c r="WCU49"/>
      <c r="WCV49"/>
      <c r="WCW49"/>
      <c r="WCX49"/>
      <c r="WCY49"/>
      <c r="WCZ49"/>
      <c r="WDA49"/>
      <c r="WDB49"/>
      <c r="WDC49"/>
      <c r="WDD49"/>
      <c r="WDE49"/>
      <c r="WDF49"/>
      <c r="WDG49"/>
      <c r="WDH49"/>
      <c r="WDI49"/>
      <c r="WDJ49"/>
      <c r="WDK49"/>
      <c r="WDL49"/>
      <c r="WDM49"/>
      <c r="WDN49"/>
      <c r="WDO49"/>
      <c r="WDP49"/>
      <c r="WDQ49"/>
      <c r="WDR49"/>
      <c r="WDS49"/>
      <c r="WDT49"/>
      <c r="WDU49"/>
      <c r="WDV49"/>
      <c r="WDW49"/>
      <c r="WDX49"/>
      <c r="WDY49"/>
      <c r="WDZ49"/>
      <c r="WEA49"/>
      <c r="WEB49"/>
      <c r="WEC49"/>
      <c r="WED49"/>
      <c r="WEE49"/>
      <c r="WEF49"/>
      <c r="WEG49"/>
      <c r="WEH49"/>
      <c r="WEI49"/>
      <c r="WEJ49"/>
      <c r="WEK49"/>
      <c r="WEL49"/>
      <c r="WEM49"/>
      <c r="WEN49"/>
      <c r="WEO49"/>
      <c r="WEP49"/>
      <c r="WEQ49"/>
      <c r="WER49"/>
      <c r="WES49"/>
      <c r="WET49"/>
      <c r="WEU49"/>
      <c r="WEV49"/>
      <c r="WEW49"/>
      <c r="WEX49"/>
      <c r="WEY49"/>
      <c r="WEZ49"/>
      <c r="WFA49"/>
      <c r="WFB49"/>
      <c r="WFC49"/>
      <c r="WFD49"/>
      <c r="WFE49"/>
      <c r="WFF49"/>
      <c r="WFG49"/>
      <c r="WFH49"/>
      <c r="WFI49"/>
      <c r="WFJ49"/>
      <c r="WFK49"/>
      <c r="WFL49"/>
      <c r="WFM49"/>
      <c r="WFN49"/>
      <c r="WFO49"/>
      <c r="WFP49"/>
      <c r="WFQ49"/>
      <c r="WFR49"/>
      <c r="WFS49"/>
      <c r="WFT49"/>
      <c r="WFU49"/>
      <c r="WFV49"/>
      <c r="WFW49"/>
      <c r="WFX49"/>
      <c r="WFY49"/>
      <c r="WFZ49"/>
      <c r="WGA49"/>
      <c r="WGB49"/>
      <c r="WGC49"/>
      <c r="WGD49"/>
      <c r="WGE49"/>
      <c r="WGF49"/>
      <c r="WGG49"/>
      <c r="WGH49"/>
      <c r="WGI49"/>
      <c r="WGJ49"/>
      <c r="WGK49"/>
      <c r="WGL49"/>
      <c r="WGM49"/>
      <c r="WGN49"/>
      <c r="WGO49"/>
      <c r="WGP49"/>
      <c r="WGQ49"/>
      <c r="WGR49"/>
      <c r="WGS49"/>
      <c r="WGT49"/>
      <c r="WGU49"/>
      <c r="WGV49"/>
      <c r="WGW49"/>
      <c r="WGX49"/>
      <c r="WGY49"/>
      <c r="WGZ49"/>
      <c r="WHA49"/>
      <c r="WHB49"/>
      <c r="WHC49"/>
      <c r="WHD49"/>
      <c r="WHE49"/>
      <c r="WHF49"/>
      <c r="WHG49"/>
      <c r="WHH49"/>
      <c r="WHI49"/>
      <c r="WHJ49"/>
      <c r="WHK49"/>
      <c r="WHL49"/>
      <c r="WHM49"/>
      <c r="WHN49"/>
      <c r="WHO49"/>
      <c r="WHP49"/>
      <c r="WHQ49"/>
      <c r="WHR49"/>
      <c r="WHS49"/>
      <c r="WHT49"/>
      <c r="WHU49"/>
      <c r="WHV49"/>
      <c r="WHW49"/>
      <c r="WHX49"/>
      <c r="WHY49"/>
      <c r="WHZ49"/>
      <c r="WIA49"/>
      <c r="WIB49"/>
      <c r="WIC49"/>
      <c r="WID49"/>
      <c r="WIE49"/>
      <c r="WIF49"/>
      <c r="WIG49"/>
      <c r="WIH49"/>
      <c r="WII49"/>
      <c r="WIJ49"/>
      <c r="WIK49"/>
      <c r="WIL49"/>
      <c r="WIM49"/>
      <c r="WIN49"/>
      <c r="WIO49"/>
      <c r="WIP49"/>
      <c r="WIQ49"/>
      <c r="WIR49"/>
      <c r="WIS49"/>
      <c r="WIT49"/>
      <c r="WIU49"/>
      <c r="WIV49"/>
      <c r="WIW49"/>
      <c r="WIX49"/>
      <c r="WIY49"/>
      <c r="WIZ49"/>
      <c r="WJA49"/>
      <c r="WJB49"/>
      <c r="WJC49"/>
      <c r="WJD49"/>
      <c r="WJE49"/>
      <c r="WJF49"/>
      <c r="WJG49"/>
      <c r="WJH49"/>
      <c r="WJI49"/>
      <c r="WJJ49"/>
      <c r="WJK49"/>
      <c r="WJL49"/>
      <c r="WJM49"/>
      <c r="WJN49"/>
      <c r="WJO49"/>
      <c r="WJP49"/>
      <c r="WJQ49"/>
      <c r="WJR49"/>
      <c r="WJS49"/>
      <c r="WJT49"/>
      <c r="WJU49"/>
      <c r="WJV49"/>
      <c r="WJW49"/>
      <c r="WJX49"/>
      <c r="WJY49"/>
      <c r="WJZ49"/>
      <c r="WKA49"/>
      <c r="WKB49"/>
      <c r="WKC49"/>
      <c r="WKD49"/>
      <c r="WKE49"/>
      <c r="WKF49"/>
      <c r="WKG49"/>
      <c r="WKH49"/>
      <c r="WKI49"/>
      <c r="WKJ49"/>
      <c r="WKK49"/>
      <c r="WKL49"/>
      <c r="WKM49"/>
      <c r="WKN49"/>
      <c r="WKO49"/>
      <c r="WKP49"/>
      <c r="WKQ49"/>
      <c r="WKR49"/>
      <c r="WKS49"/>
      <c r="WKT49"/>
      <c r="WKU49"/>
      <c r="WKV49"/>
      <c r="WKW49"/>
      <c r="WKX49"/>
      <c r="WKY49"/>
      <c r="WKZ49"/>
      <c r="WLA49"/>
      <c r="WLB49"/>
      <c r="WLC49"/>
      <c r="WLD49"/>
      <c r="WLE49"/>
      <c r="WLF49"/>
      <c r="WLG49"/>
      <c r="WLH49"/>
      <c r="WLI49"/>
      <c r="WLJ49"/>
      <c r="WLK49"/>
      <c r="WLL49"/>
      <c r="WLM49"/>
      <c r="WLN49"/>
      <c r="WLO49"/>
      <c r="WLP49"/>
      <c r="WLQ49"/>
      <c r="WLR49"/>
      <c r="WLS49"/>
      <c r="WLT49"/>
      <c r="WLU49"/>
      <c r="WLV49"/>
      <c r="WLW49"/>
      <c r="WLX49"/>
      <c r="WLY49"/>
      <c r="WLZ49"/>
      <c r="WMA49"/>
      <c r="WMB49"/>
      <c r="WMC49"/>
      <c r="WMD49"/>
      <c r="WME49"/>
      <c r="WMF49"/>
      <c r="WMG49"/>
      <c r="WMH49"/>
      <c r="WMI49"/>
      <c r="WMJ49"/>
      <c r="WMK49"/>
      <c r="WML49"/>
      <c r="WMM49"/>
      <c r="WMN49"/>
      <c r="WMO49"/>
      <c r="WMP49"/>
      <c r="WMQ49"/>
      <c r="WMR49"/>
      <c r="WMS49"/>
      <c r="WMT49"/>
      <c r="WMU49"/>
      <c r="WMV49"/>
      <c r="WMW49"/>
      <c r="WMX49"/>
      <c r="WMY49"/>
      <c r="WMZ49"/>
      <c r="WNA49"/>
      <c r="WNB49"/>
      <c r="WNC49"/>
      <c r="WND49"/>
      <c r="WNE49"/>
      <c r="WNF49"/>
      <c r="WNG49"/>
      <c r="WNH49"/>
      <c r="WNI49"/>
      <c r="WNJ49"/>
      <c r="WNK49"/>
      <c r="WNL49"/>
      <c r="WNM49"/>
      <c r="WNN49"/>
      <c r="WNO49"/>
      <c r="WNP49"/>
      <c r="WNQ49"/>
      <c r="WNR49"/>
      <c r="WNS49"/>
      <c r="WNT49"/>
      <c r="WNU49"/>
      <c r="WNV49"/>
      <c r="WNW49"/>
      <c r="WNX49"/>
      <c r="WNY49"/>
      <c r="WNZ49"/>
      <c r="WOA49"/>
      <c r="WOB49"/>
      <c r="WOC49"/>
      <c r="WOD49"/>
      <c r="WOE49"/>
      <c r="WOF49"/>
      <c r="WOG49"/>
      <c r="WOH49"/>
      <c r="WOI49"/>
      <c r="WOJ49"/>
      <c r="WOK49"/>
      <c r="WOL49"/>
      <c r="WOM49"/>
      <c r="WON49"/>
      <c r="WOO49"/>
      <c r="WOP49"/>
      <c r="WOQ49"/>
      <c r="WOR49"/>
      <c r="WOS49"/>
      <c r="WOT49"/>
      <c r="WOU49"/>
      <c r="WOV49"/>
      <c r="WOW49"/>
      <c r="WOX49"/>
      <c r="WOY49"/>
      <c r="WOZ49"/>
      <c r="WPA49"/>
      <c r="WPB49"/>
      <c r="WPC49"/>
      <c r="WPD49"/>
      <c r="WPE49"/>
      <c r="WPF49"/>
      <c r="WPG49"/>
      <c r="WPH49"/>
      <c r="WPI49"/>
      <c r="WPJ49"/>
      <c r="WPK49"/>
      <c r="WPL49"/>
      <c r="WPM49"/>
      <c r="WPN49"/>
      <c r="WPO49"/>
      <c r="WPP49"/>
      <c r="WPQ49"/>
      <c r="WPR49"/>
      <c r="WPS49"/>
      <c r="WPT49"/>
      <c r="WPU49"/>
      <c r="WPV49"/>
      <c r="WPW49"/>
      <c r="WPX49"/>
      <c r="WPY49"/>
      <c r="WPZ49"/>
      <c r="WQA49"/>
      <c r="WQB49"/>
      <c r="WQC49"/>
      <c r="WQD49"/>
      <c r="WQE49"/>
      <c r="WQF49"/>
      <c r="WQG49"/>
      <c r="WQH49"/>
      <c r="WQI49"/>
      <c r="WQJ49"/>
      <c r="WQK49"/>
      <c r="WQL49"/>
      <c r="WQM49"/>
      <c r="WQN49"/>
      <c r="WQO49"/>
      <c r="WQP49"/>
      <c r="WQQ49"/>
      <c r="WQR49"/>
      <c r="WQS49"/>
      <c r="WQT49"/>
      <c r="WQU49"/>
      <c r="WQV49"/>
      <c r="WQW49"/>
      <c r="WQX49"/>
      <c r="WQY49"/>
      <c r="WQZ49"/>
      <c r="WRA49"/>
      <c r="WRB49"/>
      <c r="WRC49"/>
      <c r="WRD49"/>
      <c r="WRE49"/>
      <c r="WRF49"/>
      <c r="WRG49"/>
      <c r="WRH49"/>
      <c r="WRI49"/>
      <c r="WRJ49"/>
      <c r="WRK49"/>
      <c r="WRL49"/>
      <c r="WRM49"/>
      <c r="WRN49"/>
      <c r="WRO49"/>
      <c r="WRP49"/>
      <c r="WRQ49"/>
      <c r="WRR49"/>
      <c r="WRS49"/>
      <c r="WRT49"/>
      <c r="WRU49"/>
      <c r="WRV49"/>
      <c r="WRW49"/>
      <c r="WRX49"/>
      <c r="WRY49"/>
      <c r="WRZ49"/>
      <c r="WSA49"/>
      <c r="WSB49"/>
      <c r="WSC49"/>
      <c r="WSD49"/>
      <c r="WSE49"/>
      <c r="WSF49"/>
      <c r="WSG49"/>
      <c r="WSH49"/>
      <c r="WSI49"/>
      <c r="WSJ49"/>
      <c r="WSK49"/>
      <c r="WSL49"/>
      <c r="WSM49"/>
      <c r="WSN49"/>
      <c r="WSO49"/>
      <c r="WSP49"/>
      <c r="WSQ49"/>
      <c r="WSR49"/>
      <c r="WSS49"/>
      <c r="WST49"/>
      <c r="WSU49"/>
      <c r="WSV49"/>
      <c r="WSW49"/>
      <c r="WSX49"/>
      <c r="WSY49"/>
      <c r="WSZ49"/>
      <c r="WTA49"/>
      <c r="WTB49"/>
      <c r="WTC49"/>
      <c r="WTD49"/>
      <c r="WTE49"/>
      <c r="WTF49"/>
      <c r="WTG49"/>
      <c r="WTH49"/>
      <c r="WTI49"/>
      <c r="WTJ49"/>
      <c r="WTK49"/>
      <c r="WTL49"/>
      <c r="WTM49"/>
      <c r="WTN49"/>
      <c r="WTO49"/>
      <c r="WTP49"/>
      <c r="WTQ49"/>
      <c r="WTR49"/>
      <c r="WTS49"/>
      <c r="WTT49"/>
      <c r="WTU49"/>
      <c r="WTV49"/>
      <c r="WTW49"/>
      <c r="WTX49"/>
      <c r="WTY49"/>
      <c r="WTZ49"/>
      <c r="WUA49"/>
      <c r="WUB49"/>
      <c r="WUC49"/>
      <c r="WUD49"/>
      <c r="WUE49"/>
      <c r="WUF49"/>
      <c r="WUG49"/>
      <c r="WUH49"/>
      <c r="WUI49"/>
      <c r="WUJ49"/>
      <c r="WUK49"/>
      <c r="WUL49"/>
      <c r="WUM49"/>
      <c r="WUN49"/>
      <c r="WUO49"/>
      <c r="WUP49"/>
      <c r="WUQ49"/>
      <c r="WUR49"/>
      <c r="WUS49"/>
      <c r="WUT49"/>
      <c r="WUU49"/>
      <c r="WUV49"/>
      <c r="WUW49"/>
      <c r="WUX49"/>
      <c r="WUY49"/>
      <c r="WUZ49"/>
      <c r="WVA49"/>
      <c r="WVB49"/>
      <c r="WVC49"/>
      <c r="WVD49"/>
      <c r="WVE49"/>
      <c r="WVF49"/>
      <c r="WVG49"/>
      <c r="WVH49"/>
      <c r="WVI49"/>
      <c r="WVJ49"/>
      <c r="WVK49"/>
      <c r="WVL49"/>
      <c r="WVM49"/>
      <c r="WVN49"/>
      <c r="WVO49"/>
      <c r="WVP49"/>
      <c r="WVQ49"/>
      <c r="WVR49"/>
      <c r="WVS49"/>
      <c r="WVT49"/>
      <c r="WVU49"/>
      <c r="WVV49"/>
      <c r="WVW49"/>
      <c r="WVX49"/>
      <c r="WVY49"/>
      <c r="WVZ49"/>
      <c r="WWA49"/>
      <c r="WWB49"/>
      <c r="WWC49"/>
      <c r="WWD49"/>
      <c r="WWE49"/>
      <c r="WWF49"/>
      <c r="WWG49"/>
      <c r="WWH49"/>
      <c r="WWI49"/>
      <c r="WWJ49"/>
      <c r="WWK49"/>
      <c r="WWL49"/>
      <c r="WWM49"/>
      <c r="WWN49"/>
      <c r="WWO49"/>
      <c r="WWP49"/>
      <c r="WWQ49"/>
      <c r="WWR49"/>
      <c r="WWS49"/>
      <c r="WWT49"/>
      <c r="WWU49"/>
      <c r="WWV49"/>
      <c r="WWW49"/>
      <c r="WWX49"/>
      <c r="WWY49"/>
      <c r="WWZ49"/>
      <c r="WXA49"/>
      <c r="WXB49"/>
      <c r="WXC49"/>
      <c r="WXD49"/>
      <c r="WXE49"/>
      <c r="WXF49"/>
      <c r="WXG49"/>
      <c r="WXH49"/>
      <c r="WXI49"/>
      <c r="WXJ49"/>
      <c r="WXK49"/>
      <c r="WXL49"/>
      <c r="WXM49"/>
      <c r="WXN49"/>
      <c r="WXO49"/>
      <c r="WXP49"/>
      <c r="WXQ49"/>
      <c r="WXR49"/>
      <c r="WXS49"/>
      <c r="WXT49"/>
      <c r="WXU49"/>
      <c r="WXV49"/>
      <c r="WXW49"/>
      <c r="WXX49"/>
      <c r="WXY49"/>
      <c r="WXZ49"/>
      <c r="WYA49"/>
      <c r="WYB49"/>
      <c r="WYC49"/>
      <c r="WYD49"/>
      <c r="WYE49"/>
      <c r="WYF49"/>
      <c r="WYG49"/>
      <c r="WYH49"/>
      <c r="WYI49"/>
      <c r="WYJ49"/>
      <c r="WYK49"/>
      <c r="WYL49"/>
      <c r="WYM49"/>
      <c r="WYN49"/>
      <c r="WYO49"/>
      <c r="WYP49"/>
      <c r="WYQ49"/>
      <c r="WYR49"/>
      <c r="WYS49"/>
      <c r="WYT49"/>
      <c r="WYU49"/>
      <c r="WYV49"/>
      <c r="WYW49"/>
      <c r="WYX49"/>
      <c r="WYY49"/>
      <c r="WYZ49"/>
      <c r="WZA49"/>
      <c r="WZB49"/>
      <c r="WZC49"/>
      <c r="WZD49"/>
      <c r="WZE49"/>
      <c r="WZF49"/>
      <c r="WZG49"/>
      <c r="WZH49"/>
      <c r="WZI49"/>
      <c r="WZJ49"/>
      <c r="WZK49"/>
      <c r="WZL49"/>
      <c r="WZM49"/>
      <c r="WZN49"/>
      <c r="WZO49"/>
      <c r="WZP49"/>
      <c r="WZQ49"/>
      <c r="WZR49"/>
      <c r="WZS49"/>
      <c r="WZT49"/>
      <c r="WZU49"/>
      <c r="WZV49"/>
      <c r="WZW49"/>
      <c r="WZX49"/>
      <c r="WZY49"/>
      <c r="WZZ49"/>
      <c r="XAA49"/>
      <c r="XAB49"/>
      <c r="XAC49"/>
      <c r="XAD49"/>
      <c r="XAE49"/>
      <c r="XAF49"/>
      <c r="XAG49"/>
      <c r="XAH49"/>
      <c r="XAI49"/>
      <c r="XAJ49"/>
      <c r="XAK49"/>
      <c r="XAL49"/>
      <c r="XAM49"/>
      <c r="XAN49"/>
      <c r="XAO49"/>
      <c r="XAP49"/>
      <c r="XAQ49"/>
      <c r="XAR49"/>
      <c r="XAS49"/>
      <c r="XAT49"/>
      <c r="XAU49"/>
      <c r="XAV49"/>
      <c r="XAW49"/>
      <c r="XAX49"/>
      <c r="XAY49"/>
      <c r="XAZ49"/>
      <c r="XBA49"/>
      <c r="XBB49"/>
      <c r="XBC49"/>
      <c r="XBD49"/>
      <c r="XBE49"/>
      <c r="XBF49"/>
      <c r="XBG49"/>
      <c r="XBH49"/>
      <c r="XBI49"/>
      <c r="XBJ49"/>
      <c r="XBK49"/>
      <c r="XBL49"/>
      <c r="XBM49"/>
      <c r="XBN49"/>
      <c r="XBO49"/>
      <c r="XBP49"/>
      <c r="XBQ49"/>
      <c r="XBR49"/>
      <c r="XBS49"/>
      <c r="XBT49"/>
      <c r="XBU49"/>
      <c r="XBV49"/>
      <c r="XBW49"/>
      <c r="XBX49"/>
      <c r="XBY49"/>
      <c r="XBZ49"/>
      <c r="XCA49"/>
      <c r="XCB49"/>
      <c r="XCC49"/>
      <c r="XCD49"/>
      <c r="XCE49"/>
      <c r="XCF49"/>
      <c r="XCG49"/>
      <c r="XCH49"/>
      <c r="XCI49"/>
      <c r="XCJ49"/>
      <c r="XCK49"/>
      <c r="XCL49"/>
      <c r="XCM49"/>
      <c r="XCN49"/>
      <c r="XCO49"/>
      <c r="XCP49"/>
      <c r="XCQ49"/>
      <c r="XCR49"/>
      <c r="XCS49"/>
      <c r="XCT49"/>
      <c r="XCU49"/>
      <c r="XCV49"/>
      <c r="XCW49"/>
      <c r="XCX49"/>
      <c r="XCY49"/>
      <c r="XCZ49"/>
      <c r="XDA49"/>
      <c r="XDB49"/>
      <c r="XDC49"/>
      <c r="XDD49"/>
      <c r="XDE49"/>
      <c r="XDF49"/>
      <c r="XDG49"/>
      <c r="XDH49"/>
      <c r="XDI49"/>
      <c r="XDJ49"/>
      <c r="XDK49"/>
      <c r="XDL49"/>
      <c r="XDM49"/>
      <c r="XDN49"/>
      <c r="XDO49"/>
      <c r="XDP49"/>
      <c r="XDQ49"/>
      <c r="XDR49"/>
      <c r="XDS49"/>
      <c r="XDT49"/>
      <c r="XDU49"/>
      <c r="XDV49"/>
      <c r="XDW49"/>
      <c r="XDX49"/>
      <c r="XDY49"/>
      <c r="XDZ49"/>
      <c r="XEA49"/>
      <c r="XEB49"/>
      <c r="XEC49"/>
      <c r="XED49"/>
      <c r="XEE49"/>
      <c r="XEF49"/>
      <c r="XEG49"/>
      <c r="XEH49"/>
      <c r="XEI49"/>
      <c r="XEJ49"/>
      <c r="XEK49"/>
      <c r="XEL49"/>
      <c r="XEM49"/>
      <c r="XEN49"/>
      <c r="XEO49"/>
      <c r="XEP49"/>
      <c r="XEQ49"/>
      <c r="XER49"/>
      <c r="XES49"/>
      <c r="XET49"/>
      <c r="XEU49"/>
      <c r="XEV49"/>
      <c r="XEW49"/>
      <c r="XEX49"/>
      <c r="XEY49"/>
      <c r="XEZ49"/>
      <c r="XFA49"/>
      <c r="XFB49"/>
      <c r="XFC49"/>
      <c r="XFD49"/>
    </row>
    <row r="50" spans="3:16384" outlineLevel="1" x14ac:dyDescent="0.2">
      <c r="C50" s="11" t="s">
        <v>249</v>
      </c>
    </row>
    <row r="51" spans="3:16384" outlineLevel="1" x14ac:dyDescent="0.2">
      <c r="D51" t="str">
        <f>D42</f>
        <v>sélectionnés</v>
      </c>
      <c r="G51" s="29" t="str">
        <f>field_selected</f>
        <v>Moho</v>
      </c>
      <c r="I51" s="30">
        <f ca="1">SUM($L51:$BS51)</f>
        <v>0</v>
      </c>
      <c r="J51" s="26" t="s">
        <v>653</v>
      </c>
      <c r="K51" s="7" t="s">
        <v>929</v>
      </c>
      <c r="L51" s="18">
        <f t="shared" ref="L51:S51" ca="1" si="9">OFFSET(L51,MATCH(field_selected,list_FieldName,0)+1,0)</f>
        <v>0</v>
      </c>
      <c r="M51" s="18">
        <f t="shared" ca="1" si="9"/>
        <v>0</v>
      </c>
      <c r="N51" s="18">
        <f t="shared" ca="1" si="9"/>
        <v>0</v>
      </c>
      <c r="O51" s="18">
        <f t="shared" ca="1" si="9"/>
        <v>0</v>
      </c>
      <c r="P51" s="18">
        <f t="shared" ca="1" si="9"/>
        <v>0</v>
      </c>
      <c r="Q51" s="18">
        <f t="shared" ca="1" si="9"/>
        <v>0</v>
      </c>
      <c r="R51" s="18">
        <f t="shared" ca="1" si="9"/>
        <v>0</v>
      </c>
      <c r="S51" s="18">
        <f t="shared" ca="1" si="9"/>
        <v>0</v>
      </c>
    </row>
    <row r="52" spans="3:16384" outlineLevel="1" x14ac:dyDescent="0.2">
      <c r="J52" s="26"/>
    </row>
    <row r="53" spans="3:16384" outlineLevel="1" x14ac:dyDescent="0.2">
      <c r="C53" s="27">
        <v>1</v>
      </c>
      <c r="D53" t="str">
        <f t="array" ref="D53:D57">list_FieldName</f>
        <v>Nkossa</v>
      </c>
      <c r="I53" s="30">
        <f>SUM($L53:$BS53)</f>
        <v>0</v>
      </c>
      <c r="J53" s="26" t="s">
        <v>653</v>
      </c>
      <c r="L53" s="28"/>
      <c r="M53" s="28"/>
      <c r="N53" s="28"/>
      <c r="O53" s="28"/>
      <c r="P53" s="28"/>
      <c r="Q53" s="28"/>
      <c r="R53" s="28"/>
      <c r="S53" s="28"/>
      <c r="U53" s="6"/>
    </row>
    <row r="54" spans="3:16384" outlineLevel="1" x14ac:dyDescent="0.2">
      <c r="C54" s="27">
        <f>C53+1</f>
        <v>2</v>
      </c>
      <c r="D54" t="str">
        <v>Nsoko</v>
      </c>
      <c r="I54" s="30">
        <f>SUM($L54:$BS54)</f>
        <v>0</v>
      </c>
      <c r="J54" s="26" t="s">
        <v>653</v>
      </c>
      <c r="L54" s="28"/>
      <c r="M54" s="28"/>
      <c r="N54" s="28"/>
      <c r="O54" s="28"/>
      <c r="P54" s="28"/>
      <c r="Q54" s="28"/>
      <c r="R54" s="28"/>
      <c r="S54" s="28"/>
    </row>
    <row r="55" spans="3:16384" outlineLevel="1" x14ac:dyDescent="0.2">
      <c r="C55" s="27">
        <f t="shared" ref="C55:C57" si="10">C54+1</f>
        <v>3</v>
      </c>
      <c r="D55" t="str">
        <v>Moho</v>
      </c>
      <c r="I55" s="30">
        <f>SUM($L55:$BS55)</f>
        <v>0</v>
      </c>
      <c r="J55" s="26" t="s">
        <v>653</v>
      </c>
      <c r="L55" s="28"/>
      <c r="M55" s="28"/>
      <c r="N55" s="28"/>
      <c r="O55" s="28"/>
      <c r="P55" s="28"/>
      <c r="Q55" s="28"/>
      <c r="R55" s="28"/>
      <c r="S55" s="28"/>
    </row>
    <row r="56" spans="3:16384" outlineLevel="1" x14ac:dyDescent="0.2">
      <c r="C56" s="27">
        <f t="shared" si="10"/>
        <v>4</v>
      </c>
      <c r="D56" t="str">
        <v>KLL</v>
      </c>
      <c r="I56" s="30">
        <f>SUM($L56:$BS56)</f>
        <v>0</v>
      </c>
      <c r="J56" s="26" t="s">
        <v>653</v>
      </c>
      <c r="L56" s="28"/>
      <c r="M56" s="28"/>
      <c r="N56" s="28"/>
      <c r="O56" s="28"/>
      <c r="P56" s="28"/>
      <c r="Q56" s="28"/>
      <c r="R56" s="28"/>
      <c r="S56" s="28"/>
    </row>
    <row r="57" spans="3:16384" outlineLevel="1" x14ac:dyDescent="0.2">
      <c r="C57" s="27">
        <f t="shared" si="10"/>
        <v>5</v>
      </c>
      <c r="D57">
        <v>0</v>
      </c>
      <c r="I57" s="30">
        <f>SUM($L57:$BS57)</f>
        <v>2.2508972690963422</v>
      </c>
      <c r="J57" s="26" t="s">
        <v>653</v>
      </c>
      <c r="L57" s="28"/>
      <c r="M57" s="28">
        <v>0</v>
      </c>
      <c r="N57" s="28">
        <v>6.0402377207779689E-2</v>
      </c>
      <c r="O57" s="28">
        <v>0.29969764090000001</v>
      </c>
      <c r="P57" s="28">
        <v>0.45985607418856261</v>
      </c>
      <c r="Q57" s="28">
        <v>0.41688345860000003</v>
      </c>
      <c r="R57" s="28">
        <v>0.44835771819999998</v>
      </c>
      <c r="S57" s="28">
        <v>0.56569999999999998</v>
      </c>
    </row>
    <row r="58" spans="3:16384" outlineLevel="1" x14ac:dyDescent="0.2">
      <c r="K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c r="AKB58"/>
      <c r="AKC58"/>
      <c r="AKD58"/>
      <c r="AKE58"/>
      <c r="AKF58"/>
      <c r="AKG58"/>
      <c r="AKH58"/>
      <c r="AKI58"/>
      <c r="AKJ58"/>
      <c r="AKK58"/>
      <c r="AKL58"/>
      <c r="AKM58"/>
      <c r="AKN58"/>
      <c r="AKO58"/>
      <c r="AKP58"/>
      <c r="AKQ58"/>
      <c r="AKR58"/>
      <c r="AKS58"/>
      <c r="AKT58"/>
      <c r="AKU58"/>
      <c r="AKV58"/>
      <c r="AKW58"/>
      <c r="AKX58"/>
      <c r="AKY58"/>
      <c r="AKZ58"/>
      <c r="ALA58"/>
      <c r="ALB58"/>
      <c r="ALC58"/>
      <c r="ALD58"/>
      <c r="ALE58"/>
      <c r="ALF58"/>
      <c r="ALG58"/>
      <c r="ALH58"/>
      <c r="ALI58"/>
      <c r="ALJ58"/>
      <c r="ALK58"/>
      <c r="ALL58"/>
      <c r="ALM58"/>
      <c r="ALN58"/>
      <c r="ALO58"/>
      <c r="ALP58"/>
      <c r="ALQ58"/>
      <c r="ALR58"/>
      <c r="ALS58"/>
      <c r="ALT58"/>
      <c r="ALU58"/>
      <c r="ALV58"/>
      <c r="ALW58"/>
      <c r="ALX58"/>
      <c r="ALY58"/>
      <c r="ALZ58"/>
      <c r="AMA58"/>
      <c r="AMB58"/>
      <c r="AMC58"/>
      <c r="AMD58"/>
      <c r="AME58"/>
      <c r="AMF58"/>
      <c r="AMG58"/>
      <c r="AMH58"/>
      <c r="AMI58"/>
      <c r="AMJ58"/>
      <c r="AMK58"/>
      <c r="AML58"/>
      <c r="AMM58"/>
      <c r="AMN58"/>
      <c r="AMO58"/>
      <c r="AMP58"/>
      <c r="AMQ58"/>
      <c r="AMR58"/>
      <c r="AMS58"/>
      <c r="AMT58"/>
      <c r="AMU58"/>
      <c r="AMV58"/>
      <c r="AMW58"/>
      <c r="AMX58"/>
      <c r="AMY58"/>
      <c r="AMZ58"/>
      <c r="ANA58"/>
      <c r="ANB58"/>
      <c r="ANC58"/>
      <c r="AND58"/>
      <c r="ANE58"/>
      <c r="ANF58"/>
      <c r="ANG58"/>
      <c r="ANH58"/>
      <c r="ANI58"/>
      <c r="ANJ58"/>
      <c r="ANK58"/>
      <c r="ANL58"/>
      <c r="ANM58"/>
      <c r="ANN58"/>
      <c r="ANO58"/>
      <c r="ANP58"/>
      <c r="ANQ58"/>
      <c r="ANR58"/>
      <c r="ANS58"/>
      <c r="ANT58"/>
      <c r="ANU58"/>
      <c r="ANV58"/>
      <c r="ANW58"/>
      <c r="ANX58"/>
      <c r="ANY58"/>
      <c r="ANZ58"/>
      <c r="AOA58"/>
      <c r="AOB58"/>
      <c r="AOC58"/>
      <c r="AOD58"/>
      <c r="AOE58"/>
      <c r="AOF58"/>
      <c r="AOG58"/>
      <c r="AOH58"/>
      <c r="AOI58"/>
      <c r="AOJ58"/>
      <c r="AOK58"/>
      <c r="AOL58"/>
      <c r="AOM58"/>
      <c r="AON58"/>
      <c r="AOO58"/>
      <c r="AOP58"/>
      <c r="AOQ58"/>
      <c r="AOR58"/>
      <c r="AOS58"/>
      <c r="AOT58"/>
      <c r="AOU58"/>
      <c r="AOV58"/>
      <c r="AOW58"/>
      <c r="AOX58"/>
      <c r="AOY58"/>
      <c r="AOZ58"/>
      <c r="APA58"/>
      <c r="APB58"/>
      <c r="APC58"/>
      <c r="APD58"/>
      <c r="APE58"/>
      <c r="APF58"/>
      <c r="APG58"/>
      <c r="APH58"/>
      <c r="API58"/>
      <c r="APJ58"/>
      <c r="APK58"/>
      <c r="APL58"/>
      <c r="APM58"/>
      <c r="APN58"/>
      <c r="APO58"/>
      <c r="APP58"/>
      <c r="APQ58"/>
      <c r="APR58"/>
      <c r="APS58"/>
      <c r="APT58"/>
      <c r="APU58"/>
      <c r="APV58"/>
      <c r="APW58"/>
      <c r="APX58"/>
      <c r="APY58"/>
      <c r="APZ58"/>
      <c r="AQA58"/>
      <c r="AQB58"/>
      <c r="AQC58"/>
      <c r="AQD58"/>
      <c r="AQE58"/>
      <c r="AQF58"/>
      <c r="AQG58"/>
      <c r="AQH58"/>
      <c r="AQI58"/>
      <c r="AQJ58"/>
      <c r="AQK58"/>
      <c r="AQL58"/>
      <c r="AQM58"/>
      <c r="AQN58"/>
      <c r="AQO58"/>
      <c r="AQP58"/>
      <c r="AQQ58"/>
      <c r="AQR58"/>
      <c r="AQS58"/>
      <c r="AQT58"/>
      <c r="AQU58"/>
      <c r="AQV58"/>
      <c r="AQW58"/>
      <c r="AQX58"/>
      <c r="AQY58"/>
      <c r="AQZ58"/>
      <c r="ARA58"/>
      <c r="ARB58"/>
      <c r="ARC58"/>
      <c r="ARD58"/>
      <c r="ARE58"/>
      <c r="ARF58"/>
      <c r="ARG58"/>
      <c r="ARH58"/>
      <c r="ARI58"/>
      <c r="ARJ58"/>
      <c r="ARK58"/>
      <c r="ARL58"/>
      <c r="ARM58"/>
      <c r="ARN58"/>
      <c r="ARO58"/>
      <c r="ARP58"/>
      <c r="ARQ58"/>
      <c r="ARR58"/>
      <c r="ARS58"/>
      <c r="ART58"/>
      <c r="ARU58"/>
      <c r="ARV58"/>
      <c r="ARW58"/>
      <c r="ARX58"/>
      <c r="ARY58"/>
      <c r="ARZ58"/>
      <c r="ASA58"/>
      <c r="ASB58"/>
      <c r="ASC58"/>
      <c r="ASD58"/>
      <c r="ASE58"/>
      <c r="ASF58"/>
      <c r="ASG58"/>
      <c r="ASH58"/>
      <c r="ASI58"/>
      <c r="ASJ58"/>
      <c r="ASK58"/>
      <c r="ASL58"/>
      <c r="ASM58"/>
      <c r="ASN58"/>
      <c r="ASO58"/>
      <c r="ASP58"/>
      <c r="ASQ58"/>
      <c r="ASR58"/>
      <c r="ASS58"/>
      <c r="AST58"/>
      <c r="ASU58"/>
      <c r="ASV58"/>
      <c r="ASW58"/>
      <c r="ASX58"/>
      <c r="ASY58"/>
      <c r="ASZ58"/>
      <c r="ATA58"/>
      <c r="ATB58"/>
      <c r="ATC58"/>
      <c r="ATD58"/>
      <c r="ATE58"/>
      <c r="ATF58"/>
      <c r="ATG58"/>
      <c r="ATH58"/>
      <c r="ATI58"/>
      <c r="ATJ58"/>
      <c r="ATK58"/>
      <c r="ATL58"/>
      <c r="ATM58"/>
      <c r="ATN58"/>
      <c r="ATO58"/>
      <c r="ATP58"/>
      <c r="ATQ58"/>
      <c r="ATR58"/>
      <c r="ATS58"/>
      <c r="ATT58"/>
      <c r="ATU58"/>
      <c r="ATV58"/>
      <c r="ATW58"/>
      <c r="ATX58"/>
      <c r="ATY58"/>
      <c r="ATZ58"/>
      <c r="AUA58"/>
      <c r="AUB58"/>
      <c r="AUC58"/>
      <c r="AUD58"/>
      <c r="AUE58"/>
      <c r="AUF58"/>
      <c r="AUG58"/>
      <c r="AUH58"/>
      <c r="AUI58"/>
      <c r="AUJ58"/>
      <c r="AUK58"/>
      <c r="AUL58"/>
      <c r="AUM58"/>
      <c r="AUN58"/>
      <c r="AUO58"/>
      <c r="AUP58"/>
      <c r="AUQ58"/>
      <c r="AUR58"/>
      <c r="AUS58"/>
      <c r="AUT58"/>
      <c r="AUU58"/>
      <c r="AUV58"/>
      <c r="AUW58"/>
      <c r="AUX58"/>
      <c r="AUY58"/>
      <c r="AUZ58"/>
      <c r="AVA58"/>
      <c r="AVB58"/>
      <c r="AVC58"/>
      <c r="AVD58"/>
      <c r="AVE58"/>
      <c r="AVF58"/>
      <c r="AVG58"/>
      <c r="AVH58"/>
      <c r="AVI58"/>
      <c r="AVJ58"/>
      <c r="AVK58"/>
      <c r="AVL58"/>
      <c r="AVM58"/>
      <c r="AVN58"/>
      <c r="AVO58"/>
      <c r="AVP58"/>
      <c r="AVQ58"/>
      <c r="AVR58"/>
      <c r="AVS58"/>
      <c r="AVT58"/>
      <c r="AVU58"/>
      <c r="AVV58"/>
      <c r="AVW58"/>
      <c r="AVX58"/>
      <c r="AVY58"/>
      <c r="AVZ58"/>
      <c r="AWA58"/>
      <c r="AWB58"/>
      <c r="AWC58"/>
      <c r="AWD58"/>
      <c r="AWE58"/>
      <c r="AWF58"/>
      <c r="AWG58"/>
      <c r="AWH58"/>
      <c r="AWI58"/>
      <c r="AWJ58"/>
      <c r="AWK58"/>
      <c r="AWL58"/>
      <c r="AWM58"/>
      <c r="AWN58"/>
      <c r="AWO58"/>
      <c r="AWP58"/>
      <c r="AWQ58"/>
      <c r="AWR58"/>
      <c r="AWS58"/>
      <c r="AWT58"/>
      <c r="AWU58"/>
      <c r="AWV58"/>
      <c r="AWW58"/>
      <c r="AWX58"/>
      <c r="AWY58"/>
      <c r="AWZ58"/>
      <c r="AXA58"/>
      <c r="AXB58"/>
      <c r="AXC58"/>
      <c r="AXD58"/>
      <c r="AXE58"/>
      <c r="AXF58"/>
      <c r="AXG58"/>
      <c r="AXH58"/>
      <c r="AXI58"/>
      <c r="AXJ58"/>
      <c r="AXK58"/>
      <c r="AXL58"/>
      <c r="AXM58"/>
      <c r="AXN58"/>
      <c r="AXO58"/>
      <c r="AXP58"/>
      <c r="AXQ58"/>
      <c r="AXR58"/>
      <c r="AXS58"/>
      <c r="AXT58"/>
      <c r="AXU58"/>
      <c r="AXV58"/>
      <c r="AXW58"/>
      <c r="AXX58"/>
      <c r="AXY58"/>
      <c r="AXZ58"/>
      <c r="AYA58"/>
      <c r="AYB58"/>
      <c r="AYC58"/>
      <c r="AYD58"/>
      <c r="AYE58"/>
      <c r="AYF58"/>
      <c r="AYG58"/>
      <c r="AYH58"/>
      <c r="AYI58"/>
      <c r="AYJ58"/>
      <c r="AYK58"/>
      <c r="AYL58"/>
      <c r="AYM58"/>
      <c r="AYN58"/>
      <c r="AYO58"/>
      <c r="AYP58"/>
      <c r="AYQ58"/>
      <c r="AYR58"/>
      <c r="AYS58"/>
      <c r="AYT58"/>
      <c r="AYU58"/>
      <c r="AYV58"/>
      <c r="AYW58"/>
      <c r="AYX58"/>
      <c r="AYY58"/>
      <c r="AYZ58"/>
      <c r="AZA58"/>
      <c r="AZB58"/>
      <c r="AZC58"/>
      <c r="AZD58"/>
      <c r="AZE58"/>
      <c r="AZF58"/>
      <c r="AZG58"/>
      <c r="AZH58"/>
      <c r="AZI58"/>
      <c r="AZJ58"/>
      <c r="AZK58"/>
      <c r="AZL58"/>
      <c r="AZM58"/>
      <c r="AZN58"/>
      <c r="AZO58"/>
      <c r="AZP58"/>
      <c r="AZQ58"/>
      <c r="AZR58"/>
      <c r="AZS58"/>
      <c r="AZT58"/>
      <c r="AZU58"/>
      <c r="AZV58"/>
      <c r="AZW58"/>
      <c r="AZX58"/>
      <c r="AZY58"/>
      <c r="AZZ58"/>
      <c r="BAA58"/>
      <c r="BAB58"/>
      <c r="BAC58"/>
      <c r="BAD58"/>
      <c r="BAE58"/>
      <c r="BAF58"/>
      <c r="BAG58"/>
      <c r="BAH58"/>
      <c r="BAI58"/>
      <c r="BAJ58"/>
      <c r="BAK58"/>
      <c r="BAL58"/>
      <c r="BAM58"/>
      <c r="BAN58"/>
      <c r="BAO58"/>
      <c r="BAP58"/>
      <c r="BAQ58"/>
      <c r="BAR58"/>
      <c r="BAS58"/>
      <c r="BAT58"/>
      <c r="BAU58"/>
      <c r="BAV58"/>
      <c r="BAW58"/>
      <c r="BAX58"/>
      <c r="BAY58"/>
      <c r="BAZ58"/>
      <c r="BBA58"/>
      <c r="BBB58"/>
      <c r="BBC58"/>
      <c r="BBD58"/>
      <c r="BBE58"/>
      <c r="BBF58"/>
      <c r="BBG58"/>
      <c r="BBH58"/>
      <c r="BBI58"/>
      <c r="BBJ58"/>
      <c r="BBK58"/>
      <c r="BBL58"/>
      <c r="BBM58"/>
      <c r="BBN58"/>
      <c r="BBO58"/>
      <c r="BBP58"/>
      <c r="BBQ58"/>
      <c r="BBR58"/>
      <c r="BBS58"/>
      <c r="BBT58"/>
      <c r="BBU58"/>
      <c r="BBV58"/>
      <c r="BBW58"/>
      <c r="BBX58"/>
      <c r="BBY58"/>
      <c r="BBZ58"/>
      <c r="BCA58"/>
      <c r="BCB58"/>
      <c r="BCC58"/>
      <c r="BCD58"/>
      <c r="BCE58"/>
      <c r="BCF58"/>
      <c r="BCG58"/>
      <c r="BCH58"/>
      <c r="BCI58"/>
      <c r="BCJ58"/>
      <c r="BCK58"/>
      <c r="BCL58"/>
      <c r="BCM58"/>
      <c r="BCN58"/>
      <c r="BCO58"/>
      <c r="BCP58"/>
      <c r="BCQ58"/>
      <c r="BCR58"/>
      <c r="BCS58"/>
      <c r="BCT58"/>
      <c r="BCU58"/>
      <c r="BCV58"/>
      <c r="BCW58"/>
      <c r="BCX58"/>
      <c r="BCY58"/>
      <c r="BCZ58"/>
      <c r="BDA58"/>
      <c r="BDB58"/>
      <c r="BDC58"/>
      <c r="BDD58"/>
      <c r="BDE58"/>
      <c r="BDF58"/>
      <c r="BDG58"/>
      <c r="BDH58"/>
      <c r="BDI58"/>
      <c r="BDJ58"/>
      <c r="BDK58"/>
      <c r="BDL58"/>
      <c r="BDM58"/>
      <c r="BDN58"/>
      <c r="BDO58"/>
      <c r="BDP58"/>
      <c r="BDQ58"/>
      <c r="BDR58"/>
      <c r="BDS58"/>
      <c r="BDT58"/>
      <c r="BDU58"/>
      <c r="BDV58"/>
      <c r="BDW58"/>
      <c r="BDX58"/>
      <c r="BDY58"/>
      <c r="BDZ58"/>
      <c r="BEA58"/>
      <c r="BEB58"/>
      <c r="BEC58"/>
      <c r="BED58"/>
      <c r="BEE58"/>
      <c r="BEF58"/>
      <c r="BEG58"/>
      <c r="BEH58"/>
      <c r="BEI58"/>
      <c r="BEJ58"/>
      <c r="BEK58"/>
      <c r="BEL58"/>
      <c r="BEM58"/>
      <c r="BEN58"/>
      <c r="BEO58"/>
      <c r="BEP58"/>
      <c r="BEQ58"/>
      <c r="BER58"/>
      <c r="BES58"/>
      <c r="BET58"/>
      <c r="BEU58"/>
      <c r="BEV58"/>
      <c r="BEW58"/>
      <c r="BEX58"/>
      <c r="BEY58"/>
      <c r="BEZ58"/>
      <c r="BFA58"/>
      <c r="BFB58"/>
      <c r="BFC58"/>
      <c r="BFD58"/>
      <c r="BFE58"/>
      <c r="BFF58"/>
      <c r="BFG58"/>
      <c r="BFH58"/>
      <c r="BFI58"/>
      <c r="BFJ58"/>
      <c r="BFK58"/>
      <c r="BFL58"/>
      <c r="BFM58"/>
      <c r="BFN58"/>
      <c r="BFO58"/>
      <c r="BFP58"/>
      <c r="BFQ58"/>
      <c r="BFR58"/>
      <c r="BFS58"/>
      <c r="BFT58"/>
      <c r="BFU58"/>
      <c r="BFV58"/>
      <c r="BFW58"/>
      <c r="BFX58"/>
      <c r="BFY58"/>
      <c r="BFZ58"/>
      <c r="BGA58"/>
      <c r="BGB58"/>
      <c r="BGC58"/>
      <c r="BGD58"/>
      <c r="BGE58"/>
      <c r="BGF58"/>
      <c r="BGG58"/>
      <c r="BGH58"/>
      <c r="BGI58"/>
      <c r="BGJ58"/>
      <c r="BGK58"/>
      <c r="BGL58"/>
      <c r="BGM58"/>
      <c r="BGN58"/>
      <c r="BGO58"/>
      <c r="BGP58"/>
      <c r="BGQ58"/>
      <c r="BGR58"/>
      <c r="BGS58"/>
      <c r="BGT58"/>
      <c r="BGU58"/>
      <c r="BGV58"/>
      <c r="BGW58"/>
      <c r="BGX58"/>
      <c r="BGY58"/>
      <c r="BGZ58"/>
      <c r="BHA58"/>
      <c r="BHB58"/>
      <c r="BHC58"/>
      <c r="BHD58"/>
      <c r="BHE58"/>
      <c r="BHF58"/>
      <c r="BHG58"/>
      <c r="BHH58"/>
      <c r="BHI58"/>
      <c r="BHJ58"/>
      <c r="BHK58"/>
      <c r="BHL58"/>
      <c r="BHM58"/>
      <c r="BHN58"/>
      <c r="BHO58"/>
      <c r="BHP58"/>
      <c r="BHQ58"/>
      <c r="BHR58"/>
      <c r="BHS58"/>
      <c r="BHT58"/>
      <c r="BHU58"/>
      <c r="BHV58"/>
      <c r="BHW58"/>
      <c r="BHX58"/>
      <c r="BHY58"/>
      <c r="BHZ58"/>
      <c r="BIA58"/>
      <c r="BIB58"/>
      <c r="BIC58"/>
      <c r="BID58"/>
      <c r="BIE58"/>
      <c r="BIF58"/>
      <c r="BIG58"/>
      <c r="BIH58"/>
      <c r="BII58"/>
      <c r="BIJ58"/>
      <c r="BIK58"/>
      <c r="BIL58"/>
      <c r="BIM58"/>
      <c r="BIN58"/>
      <c r="BIO58"/>
      <c r="BIP58"/>
      <c r="BIQ58"/>
      <c r="BIR58"/>
      <c r="BIS58"/>
      <c r="BIT58"/>
      <c r="BIU58"/>
      <c r="BIV58"/>
      <c r="BIW58"/>
      <c r="BIX58"/>
      <c r="BIY58"/>
      <c r="BIZ58"/>
      <c r="BJA58"/>
      <c r="BJB58"/>
      <c r="BJC58"/>
      <c r="BJD58"/>
      <c r="BJE58"/>
      <c r="BJF58"/>
      <c r="BJG58"/>
      <c r="BJH58"/>
      <c r="BJI58"/>
      <c r="BJJ58"/>
      <c r="BJK58"/>
      <c r="BJL58"/>
      <c r="BJM58"/>
      <c r="BJN58"/>
      <c r="BJO58"/>
      <c r="BJP58"/>
      <c r="BJQ58"/>
      <c r="BJR58"/>
      <c r="BJS58"/>
      <c r="BJT58"/>
      <c r="BJU58"/>
      <c r="BJV58"/>
      <c r="BJW58"/>
      <c r="BJX58"/>
      <c r="BJY58"/>
      <c r="BJZ58"/>
      <c r="BKA58"/>
      <c r="BKB58"/>
      <c r="BKC58"/>
      <c r="BKD58"/>
      <c r="BKE58"/>
      <c r="BKF58"/>
      <c r="BKG58"/>
      <c r="BKH58"/>
      <c r="BKI58"/>
      <c r="BKJ58"/>
      <c r="BKK58"/>
      <c r="BKL58"/>
      <c r="BKM58"/>
      <c r="BKN58"/>
      <c r="BKO58"/>
      <c r="BKP58"/>
      <c r="BKQ58"/>
      <c r="BKR58"/>
      <c r="BKS58"/>
      <c r="BKT58"/>
      <c r="BKU58"/>
      <c r="BKV58"/>
      <c r="BKW58"/>
      <c r="BKX58"/>
      <c r="BKY58"/>
      <c r="BKZ58"/>
      <c r="BLA58"/>
      <c r="BLB58"/>
      <c r="BLC58"/>
      <c r="BLD58"/>
      <c r="BLE58"/>
      <c r="BLF58"/>
      <c r="BLG58"/>
      <c r="BLH58"/>
      <c r="BLI58"/>
      <c r="BLJ58"/>
      <c r="BLK58"/>
      <c r="BLL58"/>
      <c r="BLM58"/>
      <c r="BLN58"/>
      <c r="BLO58"/>
      <c r="BLP58"/>
      <c r="BLQ58"/>
      <c r="BLR58"/>
      <c r="BLS58"/>
      <c r="BLT58"/>
      <c r="BLU58"/>
      <c r="BLV58"/>
      <c r="BLW58"/>
      <c r="BLX58"/>
      <c r="BLY58"/>
      <c r="BLZ58"/>
      <c r="BMA58"/>
      <c r="BMB58"/>
      <c r="BMC58"/>
      <c r="BMD58"/>
      <c r="BME58"/>
      <c r="BMF58"/>
      <c r="BMG58"/>
      <c r="BMH58"/>
      <c r="BMI58"/>
      <c r="BMJ58"/>
      <c r="BMK58"/>
      <c r="BML58"/>
      <c r="BMM58"/>
      <c r="BMN58"/>
      <c r="BMO58"/>
      <c r="BMP58"/>
      <c r="BMQ58"/>
      <c r="BMR58"/>
      <c r="BMS58"/>
      <c r="BMT58"/>
      <c r="BMU58"/>
      <c r="BMV58"/>
      <c r="BMW58"/>
      <c r="BMX58"/>
      <c r="BMY58"/>
      <c r="BMZ58"/>
      <c r="BNA58"/>
      <c r="BNB58"/>
      <c r="BNC58"/>
      <c r="BND58"/>
      <c r="BNE58"/>
      <c r="BNF58"/>
      <c r="BNG58"/>
      <c r="BNH58"/>
      <c r="BNI58"/>
      <c r="BNJ58"/>
      <c r="BNK58"/>
      <c r="BNL58"/>
      <c r="BNM58"/>
      <c r="BNN58"/>
      <c r="BNO58"/>
      <c r="BNP58"/>
      <c r="BNQ58"/>
      <c r="BNR58"/>
      <c r="BNS58"/>
      <c r="BNT58"/>
      <c r="BNU58"/>
      <c r="BNV58"/>
      <c r="BNW58"/>
      <c r="BNX58"/>
      <c r="BNY58"/>
      <c r="BNZ58"/>
      <c r="BOA58"/>
      <c r="BOB58"/>
      <c r="BOC58"/>
      <c r="BOD58"/>
      <c r="BOE58"/>
      <c r="BOF58"/>
      <c r="BOG58"/>
      <c r="BOH58"/>
      <c r="BOI58"/>
      <c r="BOJ58"/>
      <c r="BOK58"/>
      <c r="BOL58"/>
      <c r="BOM58"/>
      <c r="BON58"/>
      <c r="BOO58"/>
      <c r="BOP58"/>
      <c r="BOQ58"/>
      <c r="BOR58"/>
      <c r="BOS58"/>
      <c r="BOT58"/>
      <c r="BOU58"/>
      <c r="BOV58"/>
      <c r="BOW58"/>
      <c r="BOX58"/>
      <c r="BOY58"/>
      <c r="BOZ58"/>
      <c r="BPA58"/>
      <c r="BPB58"/>
      <c r="BPC58"/>
      <c r="BPD58"/>
      <c r="BPE58"/>
      <c r="BPF58"/>
      <c r="BPG58"/>
      <c r="BPH58"/>
      <c r="BPI58"/>
      <c r="BPJ58"/>
      <c r="BPK58"/>
      <c r="BPL58"/>
      <c r="BPM58"/>
      <c r="BPN58"/>
      <c r="BPO58"/>
      <c r="BPP58"/>
      <c r="BPQ58"/>
      <c r="BPR58"/>
      <c r="BPS58"/>
      <c r="BPT58"/>
      <c r="BPU58"/>
      <c r="BPV58"/>
      <c r="BPW58"/>
      <c r="BPX58"/>
      <c r="BPY58"/>
      <c r="BPZ58"/>
      <c r="BQA58"/>
      <c r="BQB58"/>
      <c r="BQC58"/>
      <c r="BQD58"/>
      <c r="BQE58"/>
      <c r="BQF58"/>
      <c r="BQG58"/>
      <c r="BQH58"/>
      <c r="BQI58"/>
      <c r="BQJ58"/>
      <c r="BQK58"/>
      <c r="BQL58"/>
      <c r="BQM58"/>
      <c r="BQN58"/>
      <c r="BQO58"/>
      <c r="BQP58"/>
      <c r="BQQ58"/>
      <c r="BQR58"/>
      <c r="BQS58"/>
      <c r="BQT58"/>
      <c r="BQU58"/>
      <c r="BQV58"/>
      <c r="BQW58"/>
      <c r="BQX58"/>
      <c r="BQY58"/>
      <c r="BQZ58"/>
      <c r="BRA58"/>
      <c r="BRB58"/>
      <c r="BRC58"/>
      <c r="BRD58"/>
      <c r="BRE58"/>
      <c r="BRF58"/>
      <c r="BRG58"/>
      <c r="BRH58"/>
      <c r="BRI58"/>
      <c r="BRJ58"/>
      <c r="BRK58"/>
      <c r="BRL58"/>
      <c r="BRM58"/>
      <c r="BRN58"/>
      <c r="BRO58"/>
      <c r="BRP58"/>
      <c r="BRQ58"/>
      <c r="BRR58"/>
      <c r="BRS58"/>
      <c r="BRT58"/>
      <c r="BRU58"/>
      <c r="BRV58"/>
      <c r="BRW58"/>
      <c r="BRX58"/>
      <c r="BRY58"/>
      <c r="BRZ58"/>
      <c r="BSA58"/>
      <c r="BSB58"/>
      <c r="BSC58"/>
      <c r="BSD58"/>
      <c r="BSE58"/>
      <c r="BSF58"/>
      <c r="BSG58"/>
      <c r="BSH58"/>
      <c r="BSI58"/>
      <c r="BSJ58"/>
      <c r="BSK58"/>
      <c r="BSL58"/>
      <c r="BSM58"/>
      <c r="BSN58"/>
      <c r="BSO58"/>
      <c r="BSP58"/>
      <c r="BSQ58"/>
      <c r="BSR58"/>
      <c r="BSS58"/>
      <c r="BST58"/>
      <c r="BSU58"/>
      <c r="BSV58"/>
      <c r="BSW58"/>
      <c r="BSX58"/>
      <c r="BSY58"/>
      <c r="BSZ58"/>
      <c r="BTA58"/>
      <c r="BTB58"/>
      <c r="BTC58"/>
      <c r="BTD58"/>
      <c r="BTE58"/>
      <c r="BTF58"/>
      <c r="BTG58"/>
      <c r="BTH58"/>
      <c r="BTI58"/>
      <c r="BTJ58"/>
      <c r="BTK58"/>
      <c r="BTL58"/>
      <c r="BTM58"/>
      <c r="BTN58"/>
      <c r="BTO58"/>
      <c r="BTP58"/>
      <c r="BTQ58"/>
      <c r="BTR58"/>
      <c r="BTS58"/>
      <c r="BTT58"/>
      <c r="BTU58"/>
      <c r="BTV58"/>
      <c r="BTW58"/>
      <c r="BTX58"/>
      <c r="BTY58"/>
      <c r="BTZ58"/>
      <c r="BUA58"/>
      <c r="BUB58"/>
      <c r="BUC58"/>
      <c r="BUD58"/>
      <c r="BUE58"/>
      <c r="BUF58"/>
      <c r="BUG58"/>
      <c r="BUH58"/>
      <c r="BUI58"/>
      <c r="BUJ58"/>
      <c r="BUK58"/>
      <c r="BUL58"/>
      <c r="BUM58"/>
      <c r="BUN58"/>
      <c r="BUO58"/>
      <c r="BUP58"/>
      <c r="BUQ58"/>
      <c r="BUR58"/>
      <c r="BUS58"/>
      <c r="BUT58"/>
      <c r="BUU58"/>
      <c r="BUV58"/>
      <c r="BUW58"/>
      <c r="BUX58"/>
      <c r="BUY58"/>
      <c r="BUZ58"/>
      <c r="BVA58"/>
      <c r="BVB58"/>
      <c r="BVC58"/>
      <c r="BVD58"/>
      <c r="BVE58"/>
      <c r="BVF58"/>
      <c r="BVG58"/>
      <c r="BVH58"/>
      <c r="BVI58"/>
      <c r="BVJ58"/>
      <c r="BVK58"/>
      <c r="BVL58"/>
      <c r="BVM58"/>
      <c r="BVN58"/>
      <c r="BVO58"/>
      <c r="BVP58"/>
      <c r="BVQ58"/>
      <c r="BVR58"/>
      <c r="BVS58"/>
      <c r="BVT58"/>
      <c r="BVU58"/>
      <c r="BVV58"/>
      <c r="BVW58"/>
      <c r="BVX58"/>
      <c r="BVY58"/>
      <c r="BVZ58"/>
      <c r="BWA58"/>
      <c r="BWB58"/>
      <c r="BWC58"/>
      <c r="BWD58"/>
      <c r="BWE58"/>
      <c r="BWF58"/>
      <c r="BWG58"/>
      <c r="BWH58"/>
      <c r="BWI58"/>
      <c r="BWJ58"/>
      <c r="BWK58"/>
      <c r="BWL58"/>
      <c r="BWM58"/>
      <c r="BWN58"/>
      <c r="BWO58"/>
      <c r="BWP58"/>
      <c r="BWQ58"/>
      <c r="BWR58"/>
      <c r="BWS58"/>
      <c r="BWT58"/>
      <c r="BWU58"/>
      <c r="BWV58"/>
      <c r="BWW58"/>
      <c r="BWX58"/>
      <c r="BWY58"/>
      <c r="BWZ58"/>
      <c r="BXA58"/>
      <c r="BXB58"/>
      <c r="BXC58"/>
      <c r="BXD58"/>
      <c r="BXE58"/>
      <c r="BXF58"/>
      <c r="BXG58"/>
      <c r="BXH58"/>
      <c r="BXI58"/>
      <c r="BXJ58"/>
      <c r="BXK58"/>
      <c r="BXL58"/>
      <c r="BXM58"/>
      <c r="BXN58"/>
      <c r="BXO58"/>
      <c r="BXP58"/>
      <c r="BXQ58"/>
      <c r="BXR58"/>
      <c r="BXS58"/>
      <c r="BXT58"/>
      <c r="BXU58"/>
      <c r="BXV58"/>
      <c r="BXW58"/>
      <c r="BXX58"/>
      <c r="BXY58"/>
      <c r="BXZ58"/>
      <c r="BYA58"/>
      <c r="BYB58"/>
      <c r="BYC58"/>
      <c r="BYD58"/>
      <c r="BYE58"/>
      <c r="BYF58"/>
      <c r="BYG58"/>
      <c r="BYH58"/>
      <c r="BYI58"/>
      <c r="BYJ58"/>
      <c r="BYK58"/>
      <c r="BYL58"/>
      <c r="BYM58"/>
      <c r="BYN58"/>
      <c r="BYO58"/>
      <c r="BYP58"/>
      <c r="BYQ58"/>
      <c r="BYR58"/>
      <c r="BYS58"/>
      <c r="BYT58"/>
      <c r="BYU58"/>
      <c r="BYV58"/>
      <c r="BYW58"/>
      <c r="BYX58"/>
      <c r="BYY58"/>
      <c r="BYZ58"/>
      <c r="BZA58"/>
      <c r="BZB58"/>
      <c r="BZC58"/>
      <c r="BZD58"/>
      <c r="BZE58"/>
      <c r="BZF58"/>
      <c r="BZG58"/>
      <c r="BZH58"/>
      <c r="BZI58"/>
      <c r="BZJ58"/>
      <c r="BZK58"/>
      <c r="BZL58"/>
      <c r="BZM58"/>
      <c r="BZN58"/>
      <c r="BZO58"/>
      <c r="BZP58"/>
      <c r="BZQ58"/>
      <c r="BZR58"/>
      <c r="BZS58"/>
      <c r="BZT58"/>
      <c r="BZU58"/>
      <c r="BZV58"/>
      <c r="BZW58"/>
      <c r="BZX58"/>
      <c r="BZY58"/>
      <c r="BZZ58"/>
      <c r="CAA58"/>
      <c r="CAB58"/>
      <c r="CAC58"/>
      <c r="CAD58"/>
      <c r="CAE58"/>
      <c r="CAF58"/>
      <c r="CAG58"/>
      <c r="CAH58"/>
      <c r="CAI58"/>
      <c r="CAJ58"/>
      <c r="CAK58"/>
      <c r="CAL58"/>
      <c r="CAM58"/>
      <c r="CAN58"/>
      <c r="CAO58"/>
      <c r="CAP58"/>
      <c r="CAQ58"/>
      <c r="CAR58"/>
      <c r="CAS58"/>
      <c r="CAT58"/>
      <c r="CAU58"/>
      <c r="CAV58"/>
      <c r="CAW58"/>
      <c r="CAX58"/>
      <c r="CAY58"/>
      <c r="CAZ58"/>
      <c r="CBA58"/>
      <c r="CBB58"/>
      <c r="CBC58"/>
      <c r="CBD58"/>
      <c r="CBE58"/>
      <c r="CBF58"/>
      <c r="CBG58"/>
      <c r="CBH58"/>
      <c r="CBI58"/>
      <c r="CBJ58"/>
      <c r="CBK58"/>
      <c r="CBL58"/>
      <c r="CBM58"/>
      <c r="CBN58"/>
      <c r="CBO58"/>
      <c r="CBP58"/>
      <c r="CBQ58"/>
      <c r="CBR58"/>
      <c r="CBS58"/>
      <c r="CBT58"/>
      <c r="CBU58"/>
      <c r="CBV58"/>
      <c r="CBW58"/>
      <c r="CBX58"/>
      <c r="CBY58"/>
      <c r="CBZ58"/>
      <c r="CCA58"/>
      <c r="CCB58"/>
      <c r="CCC58"/>
      <c r="CCD58"/>
      <c r="CCE58"/>
      <c r="CCF58"/>
      <c r="CCG58"/>
      <c r="CCH58"/>
      <c r="CCI58"/>
      <c r="CCJ58"/>
      <c r="CCK58"/>
      <c r="CCL58"/>
      <c r="CCM58"/>
      <c r="CCN58"/>
      <c r="CCO58"/>
      <c r="CCP58"/>
      <c r="CCQ58"/>
      <c r="CCR58"/>
      <c r="CCS58"/>
      <c r="CCT58"/>
      <c r="CCU58"/>
      <c r="CCV58"/>
      <c r="CCW58"/>
      <c r="CCX58"/>
      <c r="CCY58"/>
      <c r="CCZ58"/>
      <c r="CDA58"/>
      <c r="CDB58"/>
      <c r="CDC58"/>
      <c r="CDD58"/>
      <c r="CDE58"/>
      <c r="CDF58"/>
      <c r="CDG58"/>
      <c r="CDH58"/>
      <c r="CDI58"/>
      <c r="CDJ58"/>
      <c r="CDK58"/>
      <c r="CDL58"/>
      <c r="CDM58"/>
      <c r="CDN58"/>
      <c r="CDO58"/>
      <c r="CDP58"/>
      <c r="CDQ58"/>
      <c r="CDR58"/>
      <c r="CDS58"/>
      <c r="CDT58"/>
      <c r="CDU58"/>
      <c r="CDV58"/>
      <c r="CDW58"/>
      <c r="CDX58"/>
      <c r="CDY58"/>
      <c r="CDZ58"/>
      <c r="CEA58"/>
      <c r="CEB58"/>
      <c r="CEC58"/>
      <c r="CED58"/>
      <c r="CEE58"/>
      <c r="CEF58"/>
      <c r="CEG58"/>
      <c r="CEH58"/>
      <c r="CEI58"/>
      <c r="CEJ58"/>
      <c r="CEK58"/>
      <c r="CEL58"/>
      <c r="CEM58"/>
      <c r="CEN58"/>
      <c r="CEO58"/>
      <c r="CEP58"/>
      <c r="CEQ58"/>
      <c r="CER58"/>
      <c r="CES58"/>
      <c r="CET58"/>
      <c r="CEU58"/>
      <c r="CEV58"/>
      <c r="CEW58"/>
      <c r="CEX58"/>
      <c r="CEY58"/>
      <c r="CEZ58"/>
      <c r="CFA58"/>
      <c r="CFB58"/>
      <c r="CFC58"/>
      <c r="CFD58"/>
      <c r="CFE58"/>
      <c r="CFF58"/>
      <c r="CFG58"/>
      <c r="CFH58"/>
      <c r="CFI58"/>
      <c r="CFJ58"/>
      <c r="CFK58"/>
      <c r="CFL58"/>
      <c r="CFM58"/>
      <c r="CFN58"/>
      <c r="CFO58"/>
      <c r="CFP58"/>
      <c r="CFQ58"/>
      <c r="CFR58"/>
      <c r="CFS58"/>
      <c r="CFT58"/>
      <c r="CFU58"/>
      <c r="CFV58"/>
      <c r="CFW58"/>
      <c r="CFX58"/>
      <c r="CFY58"/>
      <c r="CFZ58"/>
      <c r="CGA58"/>
      <c r="CGB58"/>
      <c r="CGC58"/>
      <c r="CGD58"/>
      <c r="CGE58"/>
      <c r="CGF58"/>
      <c r="CGG58"/>
      <c r="CGH58"/>
      <c r="CGI58"/>
      <c r="CGJ58"/>
      <c r="CGK58"/>
      <c r="CGL58"/>
      <c r="CGM58"/>
      <c r="CGN58"/>
      <c r="CGO58"/>
      <c r="CGP58"/>
      <c r="CGQ58"/>
      <c r="CGR58"/>
      <c r="CGS58"/>
      <c r="CGT58"/>
      <c r="CGU58"/>
      <c r="CGV58"/>
      <c r="CGW58"/>
      <c r="CGX58"/>
      <c r="CGY58"/>
      <c r="CGZ58"/>
      <c r="CHA58"/>
      <c r="CHB58"/>
      <c r="CHC58"/>
      <c r="CHD58"/>
      <c r="CHE58"/>
      <c r="CHF58"/>
      <c r="CHG58"/>
      <c r="CHH58"/>
      <c r="CHI58"/>
      <c r="CHJ58"/>
      <c r="CHK58"/>
      <c r="CHL58"/>
      <c r="CHM58"/>
      <c r="CHN58"/>
      <c r="CHO58"/>
      <c r="CHP58"/>
      <c r="CHQ58"/>
      <c r="CHR58"/>
      <c r="CHS58"/>
      <c r="CHT58"/>
      <c r="CHU58"/>
      <c r="CHV58"/>
      <c r="CHW58"/>
      <c r="CHX58"/>
      <c r="CHY58"/>
      <c r="CHZ58"/>
      <c r="CIA58"/>
      <c r="CIB58"/>
      <c r="CIC58"/>
      <c r="CID58"/>
      <c r="CIE58"/>
      <c r="CIF58"/>
      <c r="CIG58"/>
      <c r="CIH58"/>
      <c r="CII58"/>
      <c r="CIJ58"/>
      <c r="CIK58"/>
      <c r="CIL58"/>
      <c r="CIM58"/>
      <c r="CIN58"/>
      <c r="CIO58"/>
      <c r="CIP58"/>
      <c r="CIQ58"/>
      <c r="CIR58"/>
      <c r="CIS58"/>
      <c r="CIT58"/>
      <c r="CIU58"/>
      <c r="CIV58"/>
      <c r="CIW58"/>
      <c r="CIX58"/>
      <c r="CIY58"/>
      <c r="CIZ58"/>
      <c r="CJA58"/>
      <c r="CJB58"/>
      <c r="CJC58"/>
      <c r="CJD58"/>
      <c r="CJE58"/>
      <c r="CJF58"/>
      <c r="CJG58"/>
      <c r="CJH58"/>
      <c r="CJI58"/>
      <c r="CJJ58"/>
      <c r="CJK58"/>
      <c r="CJL58"/>
      <c r="CJM58"/>
      <c r="CJN58"/>
      <c r="CJO58"/>
      <c r="CJP58"/>
      <c r="CJQ58"/>
      <c r="CJR58"/>
      <c r="CJS58"/>
      <c r="CJT58"/>
      <c r="CJU58"/>
      <c r="CJV58"/>
      <c r="CJW58"/>
      <c r="CJX58"/>
      <c r="CJY58"/>
      <c r="CJZ58"/>
      <c r="CKA58"/>
      <c r="CKB58"/>
      <c r="CKC58"/>
      <c r="CKD58"/>
      <c r="CKE58"/>
      <c r="CKF58"/>
      <c r="CKG58"/>
      <c r="CKH58"/>
      <c r="CKI58"/>
      <c r="CKJ58"/>
      <c r="CKK58"/>
      <c r="CKL58"/>
      <c r="CKM58"/>
      <c r="CKN58"/>
      <c r="CKO58"/>
      <c r="CKP58"/>
      <c r="CKQ58"/>
      <c r="CKR58"/>
      <c r="CKS58"/>
      <c r="CKT58"/>
      <c r="CKU58"/>
      <c r="CKV58"/>
      <c r="CKW58"/>
      <c r="CKX58"/>
      <c r="CKY58"/>
      <c r="CKZ58"/>
      <c r="CLA58"/>
      <c r="CLB58"/>
      <c r="CLC58"/>
      <c r="CLD58"/>
      <c r="CLE58"/>
      <c r="CLF58"/>
      <c r="CLG58"/>
      <c r="CLH58"/>
      <c r="CLI58"/>
      <c r="CLJ58"/>
      <c r="CLK58"/>
      <c r="CLL58"/>
      <c r="CLM58"/>
      <c r="CLN58"/>
      <c r="CLO58"/>
      <c r="CLP58"/>
      <c r="CLQ58"/>
      <c r="CLR58"/>
      <c r="CLS58"/>
      <c r="CLT58"/>
      <c r="CLU58"/>
      <c r="CLV58"/>
      <c r="CLW58"/>
      <c r="CLX58"/>
      <c r="CLY58"/>
      <c r="CLZ58"/>
      <c r="CMA58"/>
      <c r="CMB58"/>
      <c r="CMC58"/>
      <c r="CMD58"/>
      <c r="CME58"/>
      <c r="CMF58"/>
      <c r="CMG58"/>
      <c r="CMH58"/>
      <c r="CMI58"/>
      <c r="CMJ58"/>
      <c r="CMK58"/>
      <c r="CML58"/>
      <c r="CMM58"/>
      <c r="CMN58"/>
      <c r="CMO58"/>
      <c r="CMP58"/>
      <c r="CMQ58"/>
      <c r="CMR58"/>
      <c r="CMS58"/>
      <c r="CMT58"/>
      <c r="CMU58"/>
      <c r="CMV58"/>
      <c r="CMW58"/>
      <c r="CMX58"/>
      <c r="CMY58"/>
      <c r="CMZ58"/>
      <c r="CNA58"/>
      <c r="CNB58"/>
      <c r="CNC58"/>
      <c r="CND58"/>
      <c r="CNE58"/>
      <c r="CNF58"/>
      <c r="CNG58"/>
      <c r="CNH58"/>
      <c r="CNI58"/>
      <c r="CNJ58"/>
      <c r="CNK58"/>
      <c r="CNL58"/>
      <c r="CNM58"/>
      <c r="CNN58"/>
      <c r="CNO58"/>
      <c r="CNP58"/>
      <c r="CNQ58"/>
      <c r="CNR58"/>
      <c r="CNS58"/>
      <c r="CNT58"/>
      <c r="CNU58"/>
      <c r="CNV58"/>
      <c r="CNW58"/>
      <c r="CNX58"/>
      <c r="CNY58"/>
      <c r="CNZ58"/>
      <c r="COA58"/>
      <c r="COB58"/>
      <c r="COC58"/>
      <c r="COD58"/>
      <c r="COE58"/>
      <c r="COF58"/>
      <c r="COG58"/>
      <c r="COH58"/>
      <c r="COI58"/>
      <c r="COJ58"/>
      <c r="COK58"/>
      <c r="COL58"/>
      <c r="COM58"/>
      <c r="CON58"/>
      <c r="COO58"/>
      <c r="COP58"/>
      <c r="COQ58"/>
      <c r="COR58"/>
      <c r="COS58"/>
      <c r="COT58"/>
      <c r="COU58"/>
      <c r="COV58"/>
      <c r="COW58"/>
      <c r="COX58"/>
      <c r="COY58"/>
      <c r="COZ58"/>
      <c r="CPA58"/>
      <c r="CPB58"/>
      <c r="CPC58"/>
      <c r="CPD58"/>
      <c r="CPE58"/>
      <c r="CPF58"/>
      <c r="CPG58"/>
      <c r="CPH58"/>
      <c r="CPI58"/>
      <c r="CPJ58"/>
      <c r="CPK58"/>
      <c r="CPL58"/>
      <c r="CPM58"/>
      <c r="CPN58"/>
      <c r="CPO58"/>
      <c r="CPP58"/>
      <c r="CPQ58"/>
      <c r="CPR58"/>
      <c r="CPS58"/>
      <c r="CPT58"/>
      <c r="CPU58"/>
      <c r="CPV58"/>
      <c r="CPW58"/>
      <c r="CPX58"/>
      <c r="CPY58"/>
      <c r="CPZ58"/>
      <c r="CQA58"/>
      <c r="CQB58"/>
      <c r="CQC58"/>
      <c r="CQD58"/>
      <c r="CQE58"/>
      <c r="CQF58"/>
      <c r="CQG58"/>
      <c r="CQH58"/>
      <c r="CQI58"/>
      <c r="CQJ58"/>
      <c r="CQK58"/>
      <c r="CQL58"/>
      <c r="CQM58"/>
      <c r="CQN58"/>
      <c r="CQO58"/>
      <c r="CQP58"/>
      <c r="CQQ58"/>
      <c r="CQR58"/>
      <c r="CQS58"/>
      <c r="CQT58"/>
      <c r="CQU58"/>
      <c r="CQV58"/>
      <c r="CQW58"/>
      <c r="CQX58"/>
      <c r="CQY58"/>
      <c r="CQZ58"/>
      <c r="CRA58"/>
      <c r="CRB58"/>
      <c r="CRC58"/>
      <c r="CRD58"/>
      <c r="CRE58"/>
      <c r="CRF58"/>
      <c r="CRG58"/>
      <c r="CRH58"/>
      <c r="CRI58"/>
      <c r="CRJ58"/>
      <c r="CRK58"/>
      <c r="CRL58"/>
      <c r="CRM58"/>
      <c r="CRN58"/>
      <c r="CRO58"/>
      <c r="CRP58"/>
      <c r="CRQ58"/>
      <c r="CRR58"/>
      <c r="CRS58"/>
      <c r="CRT58"/>
      <c r="CRU58"/>
      <c r="CRV58"/>
      <c r="CRW58"/>
      <c r="CRX58"/>
      <c r="CRY58"/>
      <c r="CRZ58"/>
      <c r="CSA58"/>
      <c r="CSB58"/>
      <c r="CSC58"/>
      <c r="CSD58"/>
      <c r="CSE58"/>
      <c r="CSF58"/>
      <c r="CSG58"/>
      <c r="CSH58"/>
      <c r="CSI58"/>
      <c r="CSJ58"/>
      <c r="CSK58"/>
      <c r="CSL58"/>
      <c r="CSM58"/>
      <c r="CSN58"/>
      <c r="CSO58"/>
      <c r="CSP58"/>
      <c r="CSQ58"/>
      <c r="CSR58"/>
      <c r="CSS58"/>
      <c r="CST58"/>
      <c r="CSU58"/>
      <c r="CSV58"/>
      <c r="CSW58"/>
      <c r="CSX58"/>
      <c r="CSY58"/>
      <c r="CSZ58"/>
      <c r="CTA58"/>
      <c r="CTB58"/>
      <c r="CTC58"/>
      <c r="CTD58"/>
      <c r="CTE58"/>
      <c r="CTF58"/>
      <c r="CTG58"/>
      <c r="CTH58"/>
      <c r="CTI58"/>
      <c r="CTJ58"/>
      <c r="CTK58"/>
      <c r="CTL58"/>
      <c r="CTM58"/>
      <c r="CTN58"/>
      <c r="CTO58"/>
      <c r="CTP58"/>
      <c r="CTQ58"/>
      <c r="CTR58"/>
      <c r="CTS58"/>
      <c r="CTT58"/>
      <c r="CTU58"/>
      <c r="CTV58"/>
      <c r="CTW58"/>
      <c r="CTX58"/>
      <c r="CTY58"/>
      <c r="CTZ58"/>
      <c r="CUA58"/>
      <c r="CUB58"/>
      <c r="CUC58"/>
      <c r="CUD58"/>
      <c r="CUE58"/>
      <c r="CUF58"/>
      <c r="CUG58"/>
      <c r="CUH58"/>
      <c r="CUI58"/>
      <c r="CUJ58"/>
      <c r="CUK58"/>
      <c r="CUL58"/>
      <c r="CUM58"/>
      <c r="CUN58"/>
      <c r="CUO58"/>
      <c r="CUP58"/>
      <c r="CUQ58"/>
      <c r="CUR58"/>
      <c r="CUS58"/>
      <c r="CUT58"/>
      <c r="CUU58"/>
      <c r="CUV58"/>
      <c r="CUW58"/>
      <c r="CUX58"/>
      <c r="CUY58"/>
      <c r="CUZ58"/>
      <c r="CVA58"/>
      <c r="CVB58"/>
      <c r="CVC58"/>
      <c r="CVD58"/>
      <c r="CVE58"/>
      <c r="CVF58"/>
      <c r="CVG58"/>
      <c r="CVH58"/>
      <c r="CVI58"/>
      <c r="CVJ58"/>
      <c r="CVK58"/>
      <c r="CVL58"/>
      <c r="CVM58"/>
      <c r="CVN58"/>
      <c r="CVO58"/>
      <c r="CVP58"/>
      <c r="CVQ58"/>
      <c r="CVR58"/>
      <c r="CVS58"/>
      <c r="CVT58"/>
      <c r="CVU58"/>
      <c r="CVV58"/>
      <c r="CVW58"/>
      <c r="CVX58"/>
      <c r="CVY58"/>
      <c r="CVZ58"/>
      <c r="CWA58"/>
      <c r="CWB58"/>
      <c r="CWC58"/>
      <c r="CWD58"/>
      <c r="CWE58"/>
      <c r="CWF58"/>
      <c r="CWG58"/>
      <c r="CWH58"/>
      <c r="CWI58"/>
      <c r="CWJ58"/>
      <c r="CWK58"/>
      <c r="CWL58"/>
      <c r="CWM58"/>
      <c r="CWN58"/>
      <c r="CWO58"/>
      <c r="CWP58"/>
      <c r="CWQ58"/>
      <c r="CWR58"/>
      <c r="CWS58"/>
      <c r="CWT58"/>
      <c r="CWU58"/>
      <c r="CWV58"/>
      <c r="CWW58"/>
      <c r="CWX58"/>
      <c r="CWY58"/>
      <c r="CWZ58"/>
      <c r="CXA58"/>
      <c r="CXB58"/>
      <c r="CXC58"/>
      <c r="CXD58"/>
      <c r="CXE58"/>
      <c r="CXF58"/>
      <c r="CXG58"/>
      <c r="CXH58"/>
      <c r="CXI58"/>
      <c r="CXJ58"/>
      <c r="CXK58"/>
      <c r="CXL58"/>
      <c r="CXM58"/>
      <c r="CXN58"/>
      <c r="CXO58"/>
      <c r="CXP58"/>
      <c r="CXQ58"/>
      <c r="CXR58"/>
      <c r="CXS58"/>
      <c r="CXT58"/>
      <c r="CXU58"/>
      <c r="CXV58"/>
      <c r="CXW58"/>
      <c r="CXX58"/>
      <c r="CXY58"/>
      <c r="CXZ58"/>
      <c r="CYA58"/>
      <c r="CYB58"/>
      <c r="CYC58"/>
      <c r="CYD58"/>
      <c r="CYE58"/>
      <c r="CYF58"/>
      <c r="CYG58"/>
      <c r="CYH58"/>
      <c r="CYI58"/>
      <c r="CYJ58"/>
      <c r="CYK58"/>
      <c r="CYL58"/>
      <c r="CYM58"/>
      <c r="CYN58"/>
      <c r="CYO58"/>
      <c r="CYP58"/>
      <c r="CYQ58"/>
      <c r="CYR58"/>
      <c r="CYS58"/>
      <c r="CYT58"/>
      <c r="CYU58"/>
      <c r="CYV58"/>
      <c r="CYW58"/>
      <c r="CYX58"/>
      <c r="CYY58"/>
      <c r="CYZ58"/>
      <c r="CZA58"/>
      <c r="CZB58"/>
      <c r="CZC58"/>
      <c r="CZD58"/>
      <c r="CZE58"/>
      <c r="CZF58"/>
      <c r="CZG58"/>
      <c r="CZH58"/>
      <c r="CZI58"/>
      <c r="CZJ58"/>
      <c r="CZK58"/>
      <c r="CZL58"/>
      <c r="CZM58"/>
      <c r="CZN58"/>
      <c r="CZO58"/>
      <c r="CZP58"/>
      <c r="CZQ58"/>
      <c r="CZR58"/>
      <c r="CZS58"/>
      <c r="CZT58"/>
      <c r="CZU58"/>
      <c r="CZV58"/>
      <c r="CZW58"/>
      <c r="CZX58"/>
      <c r="CZY58"/>
      <c r="CZZ58"/>
      <c r="DAA58"/>
      <c r="DAB58"/>
      <c r="DAC58"/>
      <c r="DAD58"/>
      <c r="DAE58"/>
      <c r="DAF58"/>
      <c r="DAG58"/>
      <c r="DAH58"/>
      <c r="DAI58"/>
      <c r="DAJ58"/>
      <c r="DAK58"/>
      <c r="DAL58"/>
      <c r="DAM58"/>
      <c r="DAN58"/>
      <c r="DAO58"/>
      <c r="DAP58"/>
      <c r="DAQ58"/>
      <c r="DAR58"/>
      <c r="DAS58"/>
      <c r="DAT58"/>
      <c r="DAU58"/>
      <c r="DAV58"/>
      <c r="DAW58"/>
      <c r="DAX58"/>
      <c r="DAY58"/>
      <c r="DAZ58"/>
      <c r="DBA58"/>
      <c r="DBB58"/>
      <c r="DBC58"/>
      <c r="DBD58"/>
      <c r="DBE58"/>
      <c r="DBF58"/>
      <c r="DBG58"/>
      <c r="DBH58"/>
      <c r="DBI58"/>
      <c r="DBJ58"/>
      <c r="DBK58"/>
      <c r="DBL58"/>
      <c r="DBM58"/>
      <c r="DBN58"/>
      <c r="DBO58"/>
      <c r="DBP58"/>
      <c r="DBQ58"/>
      <c r="DBR58"/>
      <c r="DBS58"/>
      <c r="DBT58"/>
      <c r="DBU58"/>
      <c r="DBV58"/>
      <c r="DBW58"/>
      <c r="DBX58"/>
      <c r="DBY58"/>
      <c r="DBZ58"/>
      <c r="DCA58"/>
      <c r="DCB58"/>
      <c r="DCC58"/>
      <c r="DCD58"/>
      <c r="DCE58"/>
      <c r="DCF58"/>
      <c r="DCG58"/>
      <c r="DCH58"/>
      <c r="DCI58"/>
      <c r="DCJ58"/>
      <c r="DCK58"/>
      <c r="DCL58"/>
      <c r="DCM58"/>
      <c r="DCN58"/>
      <c r="DCO58"/>
      <c r="DCP58"/>
      <c r="DCQ58"/>
      <c r="DCR58"/>
      <c r="DCS58"/>
      <c r="DCT58"/>
      <c r="DCU58"/>
      <c r="DCV58"/>
      <c r="DCW58"/>
      <c r="DCX58"/>
      <c r="DCY58"/>
      <c r="DCZ58"/>
      <c r="DDA58"/>
      <c r="DDB58"/>
      <c r="DDC58"/>
      <c r="DDD58"/>
      <c r="DDE58"/>
      <c r="DDF58"/>
      <c r="DDG58"/>
      <c r="DDH58"/>
      <c r="DDI58"/>
      <c r="DDJ58"/>
      <c r="DDK58"/>
      <c r="DDL58"/>
      <c r="DDM58"/>
      <c r="DDN58"/>
      <c r="DDO58"/>
      <c r="DDP58"/>
      <c r="DDQ58"/>
      <c r="DDR58"/>
      <c r="DDS58"/>
      <c r="DDT58"/>
      <c r="DDU58"/>
      <c r="DDV58"/>
      <c r="DDW58"/>
      <c r="DDX58"/>
      <c r="DDY58"/>
      <c r="DDZ58"/>
      <c r="DEA58"/>
      <c r="DEB58"/>
      <c r="DEC58"/>
      <c r="DED58"/>
      <c r="DEE58"/>
      <c r="DEF58"/>
      <c r="DEG58"/>
      <c r="DEH58"/>
      <c r="DEI58"/>
      <c r="DEJ58"/>
      <c r="DEK58"/>
      <c r="DEL58"/>
      <c r="DEM58"/>
      <c r="DEN58"/>
      <c r="DEO58"/>
      <c r="DEP58"/>
      <c r="DEQ58"/>
      <c r="DER58"/>
      <c r="DES58"/>
      <c r="DET58"/>
      <c r="DEU58"/>
      <c r="DEV58"/>
      <c r="DEW58"/>
      <c r="DEX58"/>
      <c r="DEY58"/>
      <c r="DEZ58"/>
      <c r="DFA58"/>
      <c r="DFB58"/>
      <c r="DFC58"/>
      <c r="DFD58"/>
      <c r="DFE58"/>
      <c r="DFF58"/>
      <c r="DFG58"/>
      <c r="DFH58"/>
      <c r="DFI58"/>
      <c r="DFJ58"/>
      <c r="DFK58"/>
      <c r="DFL58"/>
      <c r="DFM58"/>
      <c r="DFN58"/>
      <c r="DFO58"/>
      <c r="DFP58"/>
      <c r="DFQ58"/>
      <c r="DFR58"/>
      <c r="DFS58"/>
      <c r="DFT58"/>
      <c r="DFU58"/>
      <c r="DFV58"/>
      <c r="DFW58"/>
      <c r="DFX58"/>
      <c r="DFY58"/>
      <c r="DFZ58"/>
      <c r="DGA58"/>
      <c r="DGB58"/>
      <c r="DGC58"/>
      <c r="DGD58"/>
      <c r="DGE58"/>
      <c r="DGF58"/>
      <c r="DGG58"/>
      <c r="DGH58"/>
      <c r="DGI58"/>
      <c r="DGJ58"/>
      <c r="DGK58"/>
      <c r="DGL58"/>
      <c r="DGM58"/>
      <c r="DGN58"/>
      <c r="DGO58"/>
      <c r="DGP58"/>
      <c r="DGQ58"/>
      <c r="DGR58"/>
      <c r="DGS58"/>
      <c r="DGT58"/>
      <c r="DGU58"/>
      <c r="DGV58"/>
      <c r="DGW58"/>
      <c r="DGX58"/>
      <c r="DGY58"/>
      <c r="DGZ58"/>
      <c r="DHA58"/>
      <c r="DHB58"/>
      <c r="DHC58"/>
      <c r="DHD58"/>
      <c r="DHE58"/>
      <c r="DHF58"/>
      <c r="DHG58"/>
      <c r="DHH58"/>
      <c r="DHI58"/>
      <c r="DHJ58"/>
      <c r="DHK58"/>
      <c r="DHL58"/>
      <c r="DHM58"/>
      <c r="DHN58"/>
      <c r="DHO58"/>
      <c r="DHP58"/>
      <c r="DHQ58"/>
      <c r="DHR58"/>
      <c r="DHS58"/>
      <c r="DHT58"/>
      <c r="DHU58"/>
      <c r="DHV58"/>
      <c r="DHW58"/>
      <c r="DHX58"/>
      <c r="DHY58"/>
      <c r="DHZ58"/>
      <c r="DIA58"/>
      <c r="DIB58"/>
      <c r="DIC58"/>
      <c r="DID58"/>
      <c r="DIE58"/>
      <c r="DIF58"/>
      <c r="DIG58"/>
      <c r="DIH58"/>
      <c r="DII58"/>
      <c r="DIJ58"/>
      <c r="DIK58"/>
      <c r="DIL58"/>
      <c r="DIM58"/>
      <c r="DIN58"/>
      <c r="DIO58"/>
      <c r="DIP58"/>
      <c r="DIQ58"/>
      <c r="DIR58"/>
      <c r="DIS58"/>
      <c r="DIT58"/>
      <c r="DIU58"/>
      <c r="DIV58"/>
      <c r="DIW58"/>
      <c r="DIX58"/>
      <c r="DIY58"/>
      <c r="DIZ58"/>
      <c r="DJA58"/>
      <c r="DJB58"/>
      <c r="DJC58"/>
      <c r="DJD58"/>
      <c r="DJE58"/>
      <c r="DJF58"/>
      <c r="DJG58"/>
      <c r="DJH58"/>
      <c r="DJI58"/>
      <c r="DJJ58"/>
      <c r="DJK58"/>
      <c r="DJL58"/>
      <c r="DJM58"/>
      <c r="DJN58"/>
      <c r="DJO58"/>
      <c r="DJP58"/>
      <c r="DJQ58"/>
      <c r="DJR58"/>
      <c r="DJS58"/>
      <c r="DJT58"/>
      <c r="DJU58"/>
      <c r="DJV58"/>
      <c r="DJW58"/>
      <c r="DJX58"/>
      <c r="DJY58"/>
      <c r="DJZ58"/>
      <c r="DKA58"/>
      <c r="DKB58"/>
      <c r="DKC58"/>
      <c r="DKD58"/>
      <c r="DKE58"/>
      <c r="DKF58"/>
      <c r="DKG58"/>
      <c r="DKH58"/>
      <c r="DKI58"/>
      <c r="DKJ58"/>
      <c r="DKK58"/>
      <c r="DKL58"/>
      <c r="DKM58"/>
      <c r="DKN58"/>
      <c r="DKO58"/>
      <c r="DKP58"/>
      <c r="DKQ58"/>
      <c r="DKR58"/>
      <c r="DKS58"/>
      <c r="DKT58"/>
      <c r="DKU58"/>
      <c r="DKV58"/>
      <c r="DKW58"/>
      <c r="DKX58"/>
      <c r="DKY58"/>
      <c r="DKZ58"/>
      <c r="DLA58"/>
      <c r="DLB58"/>
      <c r="DLC58"/>
      <c r="DLD58"/>
      <c r="DLE58"/>
      <c r="DLF58"/>
      <c r="DLG58"/>
      <c r="DLH58"/>
      <c r="DLI58"/>
      <c r="DLJ58"/>
      <c r="DLK58"/>
      <c r="DLL58"/>
      <c r="DLM58"/>
      <c r="DLN58"/>
      <c r="DLO58"/>
      <c r="DLP58"/>
      <c r="DLQ58"/>
      <c r="DLR58"/>
      <c r="DLS58"/>
      <c r="DLT58"/>
      <c r="DLU58"/>
      <c r="DLV58"/>
      <c r="DLW58"/>
      <c r="DLX58"/>
      <c r="DLY58"/>
      <c r="DLZ58"/>
      <c r="DMA58"/>
      <c r="DMB58"/>
      <c r="DMC58"/>
      <c r="DMD58"/>
      <c r="DME58"/>
      <c r="DMF58"/>
      <c r="DMG58"/>
      <c r="DMH58"/>
      <c r="DMI58"/>
      <c r="DMJ58"/>
      <c r="DMK58"/>
      <c r="DML58"/>
      <c r="DMM58"/>
      <c r="DMN58"/>
      <c r="DMO58"/>
      <c r="DMP58"/>
      <c r="DMQ58"/>
      <c r="DMR58"/>
      <c r="DMS58"/>
      <c r="DMT58"/>
      <c r="DMU58"/>
      <c r="DMV58"/>
      <c r="DMW58"/>
      <c r="DMX58"/>
      <c r="DMY58"/>
      <c r="DMZ58"/>
      <c r="DNA58"/>
      <c r="DNB58"/>
      <c r="DNC58"/>
      <c r="DND58"/>
      <c r="DNE58"/>
      <c r="DNF58"/>
      <c r="DNG58"/>
      <c r="DNH58"/>
      <c r="DNI58"/>
      <c r="DNJ58"/>
      <c r="DNK58"/>
      <c r="DNL58"/>
      <c r="DNM58"/>
      <c r="DNN58"/>
      <c r="DNO58"/>
      <c r="DNP58"/>
      <c r="DNQ58"/>
      <c r="DNR58"/>
      <c r="DNS58"/>
      <c r="DNT58"/>
      <c r="DNU58"/>
      <c r="DNV58"/>
      <c r="DNW58"/>
      <c r="DNX58"/>
      <c r="DNY58"/>
      <c r="DNZ58"/>
      <c r="DOA58"/>
      <c r="DOB58"/>
      <c r="DOC58"/>
      <c r="DOD58"/>
      <c r="DOE58"/>
      <c r="DOF58"/>
      <c r="DOG58"/>
      <c r="DOH58"/>
      <c r="DOI58"/>
      <c r="DOJ58"/>
      <c r="DOK58"/>
      <c r="DOL58"/>
      <c r="DOM58"/>
      <c r="DON58"/>
      <c r="DOO58"/>
      <c r="DOP58"/>
      <c r="DOQ58"/>
      <c r="DOR58"/>
      <c r="DOS58"/>
      <c r="DOT58"/>
      <c r="DOU58"/>
      <c r="DOV58"/>
      <c r="DOW58"/>
      <c r="DOX58"/>
      <c r="DOY58"/>
      <c r="DOZ58"/>
      <c r="DPA58"/>
      <c r="DPB58"/>
      <c r="DPC58"/>
      <c r="DPD58"/>
      <c r="DPE58"/>
      <c r="DPF58"/>
      <c r="DPG58"/>
      <c r="DPH58"/>
      <c r="DPI58"/>
      <c r="DPJ58"/>
      <c r="DPK58"/>
      <c r="DPL58"/>
      <c r="DPM58"/>
      <c r="DPN58"/>
      <c r="DPO58"/>
      <c r="DPP58"/>
      <c r="DPQ58"/>
      <c r="DPR58"/>
      <c r="DPS58"/>
      <c r="DPT58"/>
      <c r="DPU58"/>
      <c r="DPV58"/>
      <c r="DPW58"/>
      <c r="DPX58"/>
      <c r="DPY58"/>
      <c r="DPZ58"/>
      <c r="DQA58"/>
      <c r="DQB58"/>
      <c r="DQC58"/>
      <c r="DQD58"/>
      <c r="DQE58"/>
      <c r="DQF58"/>
      <c r="DQG58"/>
      <c r="DQH58"/>
      <c r="DQI58"/>
      <c r="DQJ58"/>
      <c r="DQK58"/>
      <c r="DQL58"/>
      <c r="DQM58"/>
      <c r="DQN58"/>
      <c r="DQO58"/>
      <c r="DQP58"/>
      <c r="DQQ58"/>
      <c r="DQR58"/>
      <c r="DQS58"/>
      <c r="DQT58"/>
      <c r="DQU58"/>
      <c r="DQV58"/>
      <c r="DQW58"/>
      <c r="DQX58"/>
      <c r="DQY58"/>
      <c r="DQZ58"/>
      <c r="DRA58"/>
      <c r="DRB58"/>
      <c r="DRC58"/>
      <c r="DRD58"/>
      <c r="DRE58"/>
      <c r="DRF58"/>
      <c r="DRG58"/>
      <c r="DRH58"/>
      <c r="DRI58"/>
      <c r="DRJ58"/>
      <c r="DRK58"/>
      <c r="DRL58"/>
      <c r="DRM58"/>
      <c r="DRN58"/>
      <c r="DRO58"/>
      <c r="DRP58"/>
      <c r="DRQ58"/>
      <c r="DRR58"/>
      <c r="DRS58"/>
      <c r="DRT58"/>
      <c r="DRU58"/>
      <c r="DRV58"/>
      <c r="DRW58"/>
      <c r="DRX58"/>
      <c r="DRY58"/>
      <c r="DRZ58"/>
      <c r="DSA58"/>
      <c r="DSB58"/>
      <c r="DSC58"/>
      <c r="DSD58"/>
      <c r="DSE58"/>
      <c r="DSF58"/>
      <c r="DSG58"/>
      <c r="DSH58"/>
      <c r="DSI58"/>
      <c r="DSJ58"/>
      <c r="DSK58"/>
      <c r="DSL58"/>
      <c r="DSM58"/>
      <c r="DSN58"/>
      <c r="DSO58"/>
      <c r="DSP58"/>
      <c r="DSQ58"/>
      <c r="DSR58"/>
      <c r="DSS58"/>
      <c r="DST58"/>
      <c r="DSU58"/>
      <c r="DSV58"/>
      <c r="DSW58"/>
      <c r="DSX58"/>
      <c r="DSY58"/>
      <c r="DSZ58"/>
      <c r="DTA58"/>
      <c r="DTB58"/>
      <c r="DTC58"/>
      <c r="DTD58"/>
      <c r="DTE58"/>
      <c r="DTF58"/>
      <c r="DTG58"/>
      <c r="DTH58"/>
      <c r="DTI58"/>
      <c r="DTJ58"/>
      <c r="DTK58"/>
      <c r="DTL58"/>
      <c r="DTM58"/>
      <c r="DTN58"/>
      <c r="DTO58"/>
      <c r="DTP58"/>
      <c r="DTQ58"/>
      <c r="DTR58"/>
      <c r="DTS58"/>
      <c r="DTT58"/>
      <c r="DTU58"/>
      <c r="DTV58"/>
      <c r="DTW58"/>
      <c r="DTX58"/>
      <c r="DTY58"/>
      <c r="DTZ58"/>
      <c r="DUA58"/>
      <c r="DUB58"/>
      <c r="DUC58"/>
      <c r="DUD58"/>
      <c r="DUE58"/>
      <c r="DUF58"/>
      <c r="DUG58"/>
      <c r="DUH58"/>
      <c r="DUI58"/>
      <c r="DUJ58"/>
      <c r="DUK58"/>
      <c r="DUL58"/>
      <c r="DUM58"/>
      <c r="DUN58"/>
      <c r="DUO58"/>
      <c r="DUP58"/>
      <c r="DUQ58"/>
      <c r="DUR58"/>
      <c r="DUS58"/>
      <c r="DUT58"/>
      <c r="DUU58"/>
      <c r="DUV58"/>
      <c r="DUW58"/>
      <c r="DUX58"/>
      <c r="DUY58"/>
      <c r="DUZ58"/>
      <c r="DVA58"/>
      <c r="DVB58"/>
      <c r="DVC58"/>
      <c r="DVD58"/>
      <c r="DVE58"/>
      <c r="DVF58"/>
      <c r="DVG58"/>
      <c r="DVH58"/>
      <c r="DVI58"/>
      <c r="DVJ58"/>
      <c r="DVK58"/>
      <c r="DVL58"/>
      <c r="DVM58"/>
      <c r="DVN58"/>
      <c r="DVO58"/>
      <c r="DVP58"/>
      <c r="DVQ58"/>
      <c r="DVR58"/>
      <c r="DVS58"/>
      <c r="DVT58"/>
      <c r="DVU58"/>
      <c r="DVV58"/>
      <c r="DVW58"/>
      <c r="DVX58"/>
      <c r="DVY58"/>
      <c r="DVZ58"/>
      <c r="DWA58"/>
      <c r="DWB58"/>
      <c r="DWC58"/>
      <c r="DWD58"/>
      <c r="DWE58"/>
      <c r="DWF58"/>
      <c r="DWG58"/>
      <c r="DWH58"/>
      <c r="DWI58"/>
      <c r="DWJ58"/>
      <c r="DWK58"/>
      <c r="DWL58"/>
      <c r="DWM58"/>
      <c r="DWN58"/>
      <c r="DWO58"/>
      <c r="DWP58"/>
      <c r="DWQ58"/>
      <c r="DWR58"/>
      <c r="DWS58"/>
      <c r="DWT58"/>
      <c r="DWU58"/>
      <c r="DWV58"/>
      <c r="DWW58"/>
      <c r="DWX58"/>
      <c r="DWY58"/>
      <c r="DWZ58"/>
      <c r="DXA58"/>
      <c r="DXB58"/>
      <c r="DXC58"/>
      <c r="DXD58"/>
      <c r="DXE58"/>
      <c r="DXF58"/>
      <c r="DXG58"/>
      <c r="DXH58"/>
      <c r="DXI58"/>
      <c r="DXJ58"/>
      <c r="DXK58"/>
      <c r="DXL58"/>
      <c r="DXM58"/>
      <c r="DXN58"/>
      <c r="DXO58"/>
      <c r="DXP58"/>
      <c r="DXQ58"/>
      <c r="DXR58"/>
      <c r="DXS58"/>
      <c r="DXT58"/>
      <c r="DXU58"/>
      <c r="DXV58"/>
      <c r="DXW58"/>
      <c r="DXX58"/>
      <c r="DXY58"/>
      <c r="DXZ58"/>
      <c r="DYA58"/>
      <c r="DYB58"/>
      <c r="DYC58"/>
      <c r="DYD58"/>
      <c r="DYE58"/>
      <c r="DYF58"/>
      <c r="DYG58"/>
      <c r="DYH58"/>
      <c r="DYI58"/>
      <c r="DYJ58"/>
      <c r="DYK58"/>
      <c r="DYL58"/>
      <c r="DYM58"/>
      <c r="DYN58"/>
      <c r="DYO58"/>
      <c r="DYP58"/>
      <c r="DYQ58"/>
      <c r="DYR58"/>
      <c r="DYS58"/>
      <c r="DYT58"/>
      <c r="DYU58"/>
      <c r="DYV58"/>
      <c r="DYW58"/>
      <c r="DYX58"/>
      <c r="DYY58"/>
      <c r="DYZ58"/>
      <c r="DZA58"/>
      <c r="DZB58"/>
      <c r="DZC58"/>
      <c r="DZD58"/>
      <c r="DZE58"/>
      <c r="DZF58"/>
      <c r="DZG58"/>
      <c r="DZH58"/>
      <c r="DZI58"/>
      <c r="DZJ58"/>
      <c r="DZK58"/>
      <c r="DZL58"/>
      <c r="DZM58"/>
      <c r="DZN58"/>
      <c r="DZO58"/>
      <c r="DZP58"/>
      <c r="DZQ58"/>
      <c r="DZR58"/>
      <c r="DZS58"/>
      <c r="DZT58"/>
      <c r="DZU58"/>
      <c r="DZV58"/>
      <c r="DZW58"/>
      <c r="DZX58"/>
      <c r="DZY58"/>
      <c r="DZZ58"/>
      <c r="EAA58"/>
      <c r="EAB58"/>
      <c r="EAC58"/>
      <c r="EAD58"/>
      <c r="EAE58"/>
      <c r="EAF58"/>
      <c r="EAG58"/>
      <c r="EAH58"/>
      <c r="EAI58"/>
      <c r="EAJ58"/>
      <c r="EAK58"/>
      <c r="EAL58"/>
      <c r="EAM58"/>
      <c r="EAN58"/>
      <c r="EAO58"/>
      <c r="EAP58"/>
      <c r="EAQ58"/>
      <c r="EAR58"/>
      <c r="EAS58"/>
      <c r="EAT58"/>
      <c r="EAU58"/>
      <c r="EAV58"/>
      <c r="EAW58"/>
      <c r="EAX58"/>
      <c r="EAY58"/>
      <c r="EAZ58"/>
      <c r="EBA58"/>
      <c r="EBB58"/>
      <c r="EBC58"/>
      <c r="EBD58"/>
      <c r="EBE58"/>
      <c r="EBF58"/>
      <c r="EBG58"/>
      <c r="EBH58"/>
      <c r="EBI58"/>
      <c r="EBJ58"/>
      <c r="EBK58"/>
      <c r="EBL58"/>
      <c r="EBM58"/>
      <c r="EBN58"/>
      <c r="EBO58"/>
      <c r="EBP58"/>
      <c r="EBQ58"/>
      <c r="EBR58"/>
      <c r="EBS58"/>
      <c r="EBT58"/>
      <c r="EBU58"/>
      <c r="EBV58"/>
      <c r="EBW58"/>
      <c r="EBX58"/>
      <c r="EBY58"/>
      <c r="EBZ58"/>
      <c r="ECA58"/>
      <c r="ECB58"/>
      <c r="ECC58"/>
      <c r="ECD58"/>
      <c r="ECE58"/>
      <c r="ECF58"/>
      <c r="ECG58"/>
      <c r="ECH58"/>
      <c r="ECI58"/>
      <c r="ECJ58"/>
      <c r="ECK58"/>
      <c r="ECL58"/>
      <c r="ECM58"/>
      <c r="ECN58"/>
      <c r="ECO58"/>
      <c r="ECP58"/>
      <c r="ECQ58"/>
      <c r="ECR58"/>
      <c r="ECS58"/>
      <c r="ECT58"/>
      <c r="ECU58"/>
      <c r="ECV58"/>
      <c r="ECW58"/>
      <c r="ECX58"/>
      <c r="ECY58"/>
      <c r="ECZ58"/>
      <c r="EDA58"/>
      <c r="EDB58"/>
      <c r="EDC58"/>
      <c r="EDD58"/>
      <c r="EDE58"/>
      <c r="EDF58"/>
      <c r="EDG58"/>
      <c r="EDH58"/>
      <c r="EDI58"/>
      <c r="EDJ58"/>
      <c r="EDK58"/>
      <c r="EDL58"/>
      <c r="EDM58"/>
      <c r="EDN58"/>
      <c r="EDO58"/>
      <c r="EDP58"/>
      <c r="EDQ58"/>
      <c r="EDR58"/>
      <c r="EDS58"/>
      <c r="EDT58"/>
      <c r="EDU58"/>
      <c r="EDV58"/>
      <c r="EDW58"/>
      <c r="EDX58"/>
      <c r="EDY58"/>
      <c r="EDZ58"/>
      <c r="EEA58"/>
      <c r="EEB58"/>
      <c r="EEC58"/>
      <c r="EED58"/>
      <c r="EEE58"/>
      <c r="EEF58"/>
      <c r="EEG58"/>
      <c r="EEH58"/>
      <c r="EEI58"/>
      <c r="EEJ58"/>
      <c r="EEK58"/>
      <c r="EEL58"/>
      <c r="EEM58"/>
      <c r="EEN58"/>
      <c r="EEO58"/>
      <c r="EEP58"/>
      <c r="EEQ58"/>
      <c r="EER58"/>
      <c r="EES58"/>
      <c r="EET58"/>
      <c r="EEU58"/>
      <c r="EEV58"/>
      <c r="EEW58"/>
      <c r="EEX58"/>
      <c r="EEY58"/>
      <c r="EEZ58"/>
      <c r="EFA58"/>
      <c r="EFB58"/>
      <c r="EFC58"/>
      <c r="EFD58"/>
      <c r="EFE58"/>
      <c r="EFF58"/>
      <c r="EFG58"/>
      <c r="EFH58"/>
      <c r="EFI58"/>
      <c r="EFJ58"/>
      <c r="EFK58"/>
      <c r="EFL58"/>
      <c r="EFM58"/>
      <c r="EFN58"/>
      <c r="EFO58"/>
      <c r="EFP58"/>
      <c r="EFQ58"/>
      <c r="EFR58"/>
      <c r="EFS58"/>
      <c r="EFT58"/>
      <c r="EFU58"/>
      <c r="EFV58"/>
      <c r="EFW58"/>
      <c r="EFX58"/>
      <c r="EFY58"/>
      <c r="EFZ58"/>
      <c r="EGA58"/>
      <c r="EGB58"/>
      <c r="EGC58"/>
      <c r="EGD58"/>
      <c r="EGE58"/>
      <c r="EGF58"/>
      <c r="EGG58"/>
      <c r="EGH58"/>
      <c r="EGI58"/>
      <c r="EGJ58"/>
      <c r="EGK58"/>
      <c r="EGL58"/>
      <c r="EGM58"/>
      <c r="EGN58"/>
      <c r="EGO58"/>
      <c r="EGP58"/>
      <c r="EGQ58"/>
      <c r="EGR58"/>
      <c r="EGS58"/>
      <c r="EGT58"/>
      <c r="EGU58"/>
      <c r="EGV58"/>
      <c r="EGW58"/>
      <c r="EGX58"/>
      <c r="EGY58"/>
      <c r="EGZ58"/>
      <c r="EHA58"/>
      <c r="EHB58"/>
      <c r="EHC58"/>
      <c r="EHD58"/>
      <c r="EHE58"/>
      <c r="EHF58"/>
      <c r="EHG58"/>
      <c r="EHH58"/>
      <c r="EHI58"/>
      <c r="EHJ58"/>
      <c r="EHK58"/>
      <c r="EHL58"/>
      <c r="EHM58"/>
      <c r="EHN58"/>
      <c r="EHO58"/>
      <c r="EHP58"/>
      <c r="EHQ58"/>
      <c r="EHR58"/>
      <c r="EHS58"/>
      <c r="EHT58"/>
      <c r="EHU58"/>
      <c r="EHV58"/>
      <c r="EHW58"/>
      <c r="EHX58"/>
      <c r="EHY58"/>
      <c r="EHZ58"/>
      <c r="EIA58"/>
      <c r="EIB58"/>
      <c r="EIC58"/>
      <c r="EID58"/>
      <c r="EIE58"/>
      <c r="EIF58"/>
      <c r="EIG58"/>
      <c r="EIH58"/>
      <c r="EII58"/>
      <c r="EIJ58"/>
      <c r="EIK58"/>
      <c r="EIL58"/>
      <c r="EIM58"/>
      <c r="EIN58"/>
      <c r="EIO58"/>
      <c r="EIP58"/>
      <c r="EIQ58"/>
      <c r="EIR58"/>
      <c r="EIS58"/>
      <c r="EIT58"/>
      <c r="EIU58"/>
      <c r="EIV58"/>
      <c r="EIW58"/>
      <c r="EIX58"/>
      <c r="EIY58"/>
      <c r="EIZ58"/>
      <c r="EJA58"/>
      <c r="EJB58"/>
      <c r="EJC58"/>
      <c r="EJD58"/>
      <c r="EJE58"/>
      <c r="EJF58"/>
      <c r="EJG58"/>
      <c r="EJH58"/>
      <c r="EJI58"/>
      <c r="EJJ58"/>
      <c r="EJK58"/>
      <c r="EJL58"/>
      <c r="EJM58"/>
      <c r="EJN58"/>
      <c r="EJO58"/>
      <c r="EJP58"/>
      <c r="EJQ58"/>
      <c r="EJR58"/>
      <c r="EJS58"/>
      <c r="EJT58"/>
      <c r="EJU58"/>
      <c r="EJV58"/>
      <c r="EJW58"/>
      <c r="EJX58"/>
      <c r="EJY58"/>
      <c r="EJZ58"/>
      <c r="EKA58"/>
      <c r="EKB58"/>
      <c r="EKC58"/>
      <c r="EKD58"/>
      <c r="EKE58"/>
      <c r="EKF58"/>
      <c r="EKG58"/>
      <c r="EKH58"/>
      <c r="EKI58"/>
      <c r="EKJ58"/>
      <c r="EKK58"/>
      <c r="EKL58"/>
      <c r="EKM58"/>
      <c r="EKN58"/>
      <c r="EKO58"/>
      <c r="EKP58"/>
      <c r="EKQ58"/>
      <c r="EKR58"/>
      <c r="EKS58"/>
      <c r="EKT58"/>
      <c r="EKU58"/>
      <c r="EKV58"/>
      <c r="EKW58"/>
      <c r="EKX58"/>
      <c r="EKY58"/>
      <c r="EKZ58"/>
      <c r="ELA58"/>
      <c r="ELB58"/>
      <c r="ELC58"/>
      <c r="ELD58"/>
      <c r="ELE58"/>
      <c r="ELF58"/>
      <c r="ELG58"/>
      <c r="ELH58"/>
      <c r="ELI58"/>
      <c r="ELJ58"/>
      <c r="ELK58"/>
      <c r="ELL58"/>
      <c r="ELM58"/>
      <c r="ELN58"/>
      <c r="ELO58"/>
      <c r="ELP58"/>
      <c r="ELQ58"/>
      <c r="ELR58"/>
      <c r="ELS58"/>
      <c r="ELT58"/>
      <c r="ELU58"/>
      <c r="ELV58"/>
      <c r="ELW58"/>
      <c r="ELX58"/>
      <c r="ELY58"/>
      <c r="ELZ58"/>
      <c r="EMA58"/>
      <c r="EMB58"/>
      <c r="EMC58"/>
      <c r="EMD58"/>
      <c r="EME58"/>
      <c r="EMF58"/>
      <c r="EMG58"/>
      <c r="EMH58"/>
      <c r="EMI58"/>
      <c r="EMJ58"/>
      <c r="EMK58"/>
      <c r="EML58"/>
      <c r="EMM58"/>
      <c r="EMN58"/>
      <c r="EMO58"/>
      <c r="EMP58"/>
      <c r="EMQ58"/>
      <c r="EMR58"/>
      <c r="EMS58"/>
      <c r="EMT58"/>
      <c r="EMU58"/>
      <c r="EMV58"/>
      <c r="EMW58"/>
      <c r="EMX58"/>
      <c r="EMY58"/>
      <c r="EMZ58"/>
      <c r="ENA58"/>
      <c r="ENB58"/>
      <c r="ENC58"/>
      <c r="END58"/>
      <c r="ENE58"/>
      <c r="ENF58"/>
      <c r="ENG58"/>
      <c r="ENH58"/>
      <c r="ENI58"/>
      <c r="ENJ58"/>
      <c r="ENK58"/>
      <c r="ENL58"/>
      <c r="ENM58"/>
      <c r="ENN58"/>
      <c r="ENO58"/>
      <c r="ENP58"/>
      <c r="ENQ58"/>
      <c r="ENR58"/>
      <c r="ENS58"/>
      <c r="ENT58"/>
      <c r="ENU58"/>
      <c r="ENV58"/>
      <c r="ENW58"/>
      <c r="ENX58"/>
      <c r="ENY58"/>
      <c r="ENZ58"/>
      <c r="EOA58"/>
      <c r="EOB58"/>
      <c r="EOC58"/>
      <c r="EOD58"/>
      <c r="EOE58"/>
      <c r="EOF58"/>
      <c r="EOG58"/>
      <c r="EOH58"/>
      <c r="EOI58"/>
      <c r="EOJ58"/>
      <c r="EOK58"/>
      <c r="EOL58"/>
      <c r="EOM58"/>
      <c r="EON58"/>
      <c r="EOO58"/>
      <c r="EOP58"/>
      <c r="EOQ58"/>
      <c r="EOR58"/>
      <c r="EOS58"/>
      <c r="EOT58"/>
      <c r="EOU58"/>
      <c r="EOV58"/>
      <c r="EOW58"/>
      <c r="EOX58"/>
      <c r="EOY58"/>
      <c r="EOZ58"/>
      <c r="EPA58"/>
      <c r="EPB58"/>
      <c r="EPC58"/>
      <c r="EPD58"/>
      <c r="EPE58"/>
      <c r="EPF58"/>
      <c r="EPG58"/>
      <c r="EPH58"/>
      <c r="EPI58"/>
      <c r="EPJ58"/>
      <c r="EPK58"/>
      <c r="EPL58"/>
      <c r="EPM58"/>
      <c r="EPN58"/>
      <c r="EPO58"/>
      <c r="EPP58"/>
      <c r="EPQ58"/>
      <c r="EPR58"/>
      <c r="EPS58"/>
      <c r="EPT58"/>
      <c r="EPU58"/>
      <c r="EPV58"/>
      <c r="EPW58"/>
      <c r="EPX58"/>
      <c r="EPY58"/>
      <c r="EPZ58"/>
      <c r="EQA58"/>
      <c r="EQB58"/>
      <c r="EQC58"/>
      <c r="EQD58"/>
      <c r="EQE58"/>
      <c r="EQF58"/>
      <c r="EQG58"/>
      <c r="EQH58"/>
      <c r="EQI58"/>
      <c r="EQJ58"/>
      <c r="EQK58"/>
      <c r="EQL58"/>
      <c r="EQM58"/>
      <c r="EQN58"/>
      <c r="EQO58"/>
      <c r="EQP58"/>
      <c r="EQQ58"/>
      <c r="EQR58"/>
      <c r="EQS58"/>
      <c r="EQT58"/>
      <c r="EQU58"/>
      <c r="EQV58"/>
      <c r="EQW58"/>
      <c r="EQX58"/>
      <c r="EQY58"/>
      <c r="EQZ58"/>
      <c r="ERA58"/>
      <c r="ERB58"/>
      <c r="ERC58"/>
      <c r="ERD58"/>
      <c r="ERE58"/>
      <c r="ERF58"/>
      <c r="ERG58"/>
      <c r="ERH58"/>
      <c r="ERI58"/>
      <c r="ERJ58"/>
      <c r="ERK58"/>
      <c r="ERL58"/>
      <c r="ERM58"/>
      <c r="ERN58"/>
      <c r="ERO58"/>
      <c r="ERP58"/>
      <c r="ERQ58"/>
      <c r="ERR58"/>
      <c r="ERS58"/>
      <c r="ERT58"/>
      <c r="ERU58"/>
      <c r="ERV58"/>
      <c r="ERW58"/>
      <c r="ERX58"/>
      <c r="ERY58"/>
      <c r="ERZ58"/>
      <c r="ESA58"/>
      <c r="ESB58"/>
      <c r="ESC58"/>
      <c r="ESD58"/>
      <c r="ESE58"/>
      <c r="ESF58"/>
      <c r="ESG58"/>
      <c r="ESH58"/>
      <c r="ESI58"/>
      <c r="ESJ58"/>
      <c r="ESK58"/>
      <c r="ESL58"/>
      <c r="ESM58"/>
      <c r="ESN58"/>
      <c r="ESO58"/>
      <c r="ESP58"/>
      <c r="ESQ58"/>
      <c r="ESR58"/>
      <c r="ESS58"/>
      <c r="EST58"/>
      <c r="ESU58"/>
      <c r="ESV58"/>
      <c r="ESW58"/>
      <c r="ESX58"/>
      <c r="ESY58"/>
      <c r="ESZ58"/>
      <c r="ETA58"/>
      <c r="ETB58"/>
      <c r="ETC58"/>
      <c r="ETD58"/>
      <c r="ETE58"/>
      <c r="ETF58"/>
      <c r="ETG58"/>
      <c r="ETH58"/>
      <c r="ETI58"/>
      <c r="ETJ58"/>
      <c r="ETK58"/>
      <c r="ETL58"/>
      <c r="ETM58"/>
      <c r="ETN58"/>
      <c r="ETO58"/>
      <c r="ETP58"/>
      <c r="ETQ58"/>
      <c r="ETR58"/>
      <c r="ETS58"/>
      <c r="ETT58"/>
      <c r="ETU58"/>
      <c r="ETV58"/>
      <c r="ETW58"/>
      <c r="ETX58"/>
      <c r="ETY58"/>
      <c r="ETZ58"/>
      <c r="EUA58"/>
      <c r="EUB58"/>
      <c r="EUC58"/>
      <c r="EUD58"/>
      <c r="EUE58"/>
      <c r="EUF58"/>
      <c r="EUG58"/>
      <c r="EUH58"/>
      <c r="EUI58"/>
      <c r="EUJ58"/>
      <c r="EUK58"/>
      <c r="EUL58"/>
      <c r="EUM58"/>
      <c r="EUN58"/>
      <c r="EUO58"/>
      <c r="EUP58"/>
      <c r="EUQ58"/>
      <c r="EUR58"/>
      <c r="EUS58"/>
      <c r="EUT58"/>
      <c r="EUU58"/>
      <c r="EUV58"/>
      <c r="EUW58"/>
      <c r="EUX58"/>
      <c r="EUY58"/>
      <c r="EUZ58"/>
      <c r="EVA58"/>
      <c r="EVB58"/>
      <c r="EVC58"/>
      <c r="EVD58"/>
      <c r="EVE58"/>
      <c r="EVF58"/>
      <c r="EVG58"/>
      <c r="EVH58"/>
      <c r="EVI58"/>
      <c r="EVJ58"/>
      <c r="EVK58"/>
      <c r="EVL58"/>
      <c r="EVM58"/>
      <c r="EVN58"/>
      <c r="EVO58"/>
      <c r="EVP58"/>
      <c r="EVQ58"/>
      <c r="EVR58"/>
      <c r="EVS58"/>
      <c r="EVT58"/>
      <c r="EVU58"/>
      <c r="EVV58"/>
      <c r="EVW58"/>
      <c r="EVX58"/>
      <c r="EVY58"/>
      <c r="EVZ58"/>
      <c r="EWA58"/>
      <c r="EWB58"/>
      <c r="EWC58"/>
      <c r="EWD58"/>
      <c r="EWE58"/>
      <c r="EWF58"/>
      <c r="EWG58"/>
      <c r="EWH58"/>
      <c r="EWI58"/>
      <c r="EWJ58"/>
      <c r="EWK58"/>
      <c r="EWL58"/>
      <c r="EWM58"/>
      <c r="EWN58"/>
      <c r="EWO58"/>
      <c r="EWP58"/>
      <c r="EWQ58"/>
      <c r="EWR58"/>
      <c r="EWS58"/>
      <c r="EWT58"/>
      <c r="EWU58"/>
      <c r="EWV58"/>
      <c r="EWW58"/>
      <c r="EWX58"/>
      <c r="EWY58"/>
      <c r="EWZ58"/>
      <c r="EXA58"/>
      <c r="EXB58"/>
      <c r="EXC58"/>
      <c r="EXD58"/>
      <c r="EXE58"/>
      <c r="EXF58"/>
      <c r="EXG58"/>
      <c r="EXH58"/>
      <c r="EXI58"/>
      <c r="EXJ58"/>
      <c r="EXK58"/>
      <c r="EXL58"/>
      <c r="EXM58"/>
      <c r="EXN58"/>
      <c r="EXO58"/>
      <c r="EXP58"/>
      <c r="EXQ58"/>
      <c r="EXR58"/>
      <c r="EXS58"/>
      <c r="EXT58"/>
      <c r="EXU58"/>
      <c r="EXV58"/>
      <c r="EXW58"/>
      <c r="EXX58"/>
      <c r="EXY58"/>
      <c r="EXZ58"/>
      <c r="EYA58"/>
      <c r="EYB58"/>
      <c r="EYC58"/>
      <c r="EYD58"/>
      <c r="EYE58"/>
      <c r="EYF58"/>
      <c r="EYG58"/>
      <c r="EYH58"/>
      <c r="EYI58"/>
      <c r="EYJ58"/>
      <c r="EYK58"/>
      <c r="EYL58"/>
      <c r="EYM58"/>
      <c r="EYN58"/>
      <c r="EYO58"/>
      <c r="EYP58"/>
      <c r="EYQ58"/>
      <c r="EYR58"/>
      <c r="EYS58"/>
      <c r="EYT58"/>
      <c r="EYU58"/>
      <c r="EYV58"/>
      <c r="EYW58"/>
      <c r="EYX58"/>
      <c r="EYY58"/>
      <c r="EYZ58"/>
      <c r="EZA58"/>
      <c r="EZB58"/>
      <c r="EZC58"/>
      <c r="EZD58"/>
      <c r="EZE58"/>
      <c r="EZF58"/>
      <c r="EZG58"/>
      <c r="EZH58"/>
      <c r="EZI58"/>
      <c r="EZJ58"/>
      <c r="EZK58"/>
      <c r="EZL58"/>
      <c r="EZM58"/>
      <c r="EZN58"/>
      <c r="EZO58"/>
      <c r="EZP58"/>
      <c r="EZQ58"/>
      <c r="EZR58"/>
      <c r="EZS58"/>
      <c r="EZT58"/>
      <c r="EZU58"/>
      <c r="EZV58"/>
      <c r="EZW58"/>
      <c r="EZX58"/>
      <c r="EZY58"/>
      <c r="EZZ58"/>
      <c r="FAA58"/>
      <c r="FAB58"/>
      <c r="FAC58"/>
      <c r="FAD58"/>
      <c r="FAE58"/>
      <c r="FAF58"/>
      <c r="FAG58"/>
      <c r="FAH58"/>
      <c r="FAI58"/>
      <c r="FAJ58"/>
      <c r="FAK58"/>
      <c r="FAL58"/>
      <c r="FAM58"/>
      <c r="FAN58"/>
      <c r="FAO58"/>
      <c r="FAP58"/>
      <c r="FAQ58"/>
      <c r="FAR58"/>
      <c r="FAS58"/>
      <c r="FAT58"/>
      <c r="FAU58"/>
      <c r="FAV58"/>
      <c r="FAW58"/>
      <c r="FAX58"/>
      <c r="FAY58"/>
      <c r="FAZ58"/>
      <c r="FBA58"/>
      <c r="FBB58"/>
      <c r="FBC58"/>
      <c r="FBD58"/>
      <c r="FBE58"/>
      <c r="FBF58"/>
      <c r="FBG58"/>
      <c r="FBH58"/>
      <c r="FBI58"/>
      <c r="FBJ58"/>
      <c r="FBK58"/>
      <c r="FBL58"/>
      <c r="FBM58"/>
      <c r="FBN58"/>
      <c r="FBO58"/>
      <c r="FBP58"/>
      <c r="FBQ58"/>
      <c r="FBR58"/>
      <c r="FBS58"/>
      <c r="FBT58"/>
      <c r="FBU58"/>
      <c r="FBV58"/>
      <c r="FBW58"/>
      <c r="FBX58"/>
      <c r="FBY58"/>
      <c r="FBZ58"/>
      <c r="FCA58"/>
      <c r="FCB58"/>
      <c r="FCC58"/>
      <c r="FCD58"/>
      <c r="FCE58"/>
      <c r="FCF58"/>
      <c r="FCG58"/>
      <c r="FCH58"/>
      <c r="FCI58"/>
      <c r="FCJ58"/>
      <c r="FCK58"/>
      <c r="FCL58"/>
      <c r="FCM58"/>
      <c r="FCN58"/>
      <c r="FCO58"/>
      <c r="FCP58"/>
      <c r="FCQ58"/>
      <c r="FCR58"/>
      <c r="FCS58"/>
      <c r="FCT58"/>
      <c r="FCU58"/>
      <c r="FCV58"/>
      <c r="FCW58"/>
      <c r="FCX58"/>
      <c r="FCY58"/>
      <c r="FCZ58"/>
      <c r="FDA58"/>
      <c r="FDB58"/>
      <c r="FDC58"/>
      <c r="FDD58"/>
      <c r="FDE58"/>
      <c r="FDF58"/>
      <c r="FDG58"/>
      <c r="FDH58"/>
      <c r="FDI58"/>
      <c r="FDJ58"/>
      <c r="FDK58"/>
      <c r="FDL58"/>
      <c r="FDM58"/>
      <c r="FDN58"/>
      <c r="FDO58"/>
      <c r="FDP58"/>
      <c r="FDQ58"/>
      <c r="FDR58"/>
      <c r="FDS58"/>
      <c r="FDT58"/>
      <c r="FDU58"/>
      <c r="FDV58"/>
      <c r="FDW58"/>
      <c r="FDX58"/>
      <c r="FDY58"/>
      <c r="FDZ58"/>
      <c r="FEA58"/>
      <c r="FEB58"/>
      <c r="FEC58"/>
      <c r="FED58"/>
      <c r="FEE58"/>
      <c r="FEF58"/>
      <c r="FEG58"/>
      <c r="FEH58"/>
      <c r="FEI58"/>
      <c r="FEJ58"/>
      <c r="FEK58"/>
      <c r="FEL58"/>
      <c r="FEM58"/>
      <c r="FEN58"/>
      <c r="FEO58"/>
      <c r="FEP58"/>
      <c r="FEQ58"/>
      <c r="FER58"/>
      <c r="FES58"/>
      <c r="FET58"/>
      <c r="FEU58"/>
      <c r="FEV58"/>
      <c r="FEW58"/>
      <c r="FEX58"/>
      <c r="FEY58"/>
      <c r="FEZ58"/>
      <c r="FFA58"/>
      <c r="FFB58"/>
      <c r="FFC58"/>
      <c r="FFD58"/>
      <c r="FFE58"/>
      <c r="FFF58"/>
      <c r="FFG58"/>
      <c r="FFH58"/>
      <c r="FFI58"/>
      <c r="FFJ58"/>
      <c r="FFK58"/>
      <c r="FFL58"/>
      <c r="FFM58"/>
      <c r="FFN58"/>
      <c r="FFO58"/>
      <c r="FFP58"/>
      <c r="FFQ58"/>
      <c r="FFR58"/>
      <c r="FFS58"/>
      <c r="FFT58"/>
      <c r="FFU58"/>
      <c r="FFV58"/>
      <c r="FFW58"/>
      <c r="FFX58"/>
      <c r="FFY58"/>
      <c r="FFZ58"/>
      <c r="FGA58"/>
      <c r="FGB58"/>
      <c r="FGC58"/>
      <c r="FGD58"/>
      <c r="FGE58"/>
      <c r="FGF58"/>
      <c r="FGG58"/>
      <c r="FGH58"/>
      <c r="FGI58"/>
      <c r="FGJ58"/>
      <c r="FGK58"/>
      <c r="FGL58"/>
      <c r="FGM58"/>
      <c r="FGN58"/>
      <c r="FGO58"/>
      <c r="FGP58"/>
      <c r="FGQ58"/>
      <c r="FGR58"/>
      <c r="FGS58"/>
      <c r="FGT58"/>
      <c r="FGU58"/>
      <c r="FGV58"/>
      <c r="FGW58"/>
      <c r="FGX58"/>
      <c r="FGY58"/>
      <c r="FGZ58"/>
      <c r="FHA58"/>
      <c r="FHB58"/>
      <c r="FHC58"/>
      <c r="FHD58"/>
      <c r="FHE58"/>
      <c r="FHF58"/>
      <c r="FHG58"/>
      <c r="FHH58"/>
      <c r="FHI58"/>
      <c r="FHJ58"/>
      <c r="FHK58"/>
      <c r="FHL58"/>
      <c r="FHM58"/>
      <c r="FHN58"/>
      <c r="FHO58"/>
      <c r="FHP58"/>
      <c r="FHQ58"/>
      <c r="FHR58"/>
      <c r="FHS58"/>
      <c r="FHT58"/>
      <c r="FHU58"/>
      <c r="FHV58"/>
      <c r="FHW58"/>
      <c r="FHX58"/>
      <c r="FHY58"/>
      <c r="FHZ58"/>
      <c r="FIA58"/>
      <c r="FIB58"/>
      <c r="FIC58"/>
      <c r="FID58"/>
      <c r="FIE58"/>
      <c r="FIF58"/>
      <c r="FIG58"/>
      <c r="FIH58"/>
      <c r="FII58"/>
      <c r="FIJ58"/>
      <c r="FIK58"/>
      <c r="FIL58"/>
      <c r="FIM58"/>
      <c r="FIN58"/>
      <c r="FIO58"/>
      <c r="FIP58"/>
      <c r="FIQ58"/>
      <c r="FIR58"/>
      <c r="FIS58"/>
      <c r="FIT58"/>
      <c r="FIU58"/>
      <c r="FIV58"/>
      <c r="FIW58"/>
      <c r="FIX58"/>
      <c r="FIY58"/>
      <c r="FIZ58"/>
      <c r="FJA58"/>
      <c r="FJB58"/>
      <c r="FJC58"/>
      <c r="FJD58"/>
      <c r="FJE58"/>
      <c r="FJF58"/>
      <c r="FJG58"/>
      <c r="FJH58"/>
      <c r="FJI58"/>
      <c r="FJJ58"/>
      <c r="FJK58"/>
      <c r="FJL58"/>
      <c r="FJM58"/>
      <c r="FJN58"/>
      <c r="FJO58"/>
      <c r="FJP58"/>
      <c r="FJQ58"/>
      <c r="FJR58"/>
      <c r="FJS58"/>
      <c r="FJT58"/>
      <c r="FJU58"/>
      <c r="FJV58"/>
      <c r="FJW58"/>
      <c r="FJX58"/>
      <c r="FJY58"/>
      <c r="FJZ58"/>
      <c r="FKA58"/>
      <c r="FKB58"/>
      <c r="FKC58"/>
      <c r="FKD58"/>
      <c r="FKE58"/>
      <c r="FKF58"/>
      <c r="FKG58"/>
      <c r="FKH58"/>
      <c r="FKI58"/>
      <c r="FKJ58"/>
      <c r="FKK58"/>
      <c r="FKL58"/>
      <c r="FKM58"/>
      <c r="FKN58"/>
      <c r="FKO58"/>
      <c r="FKP58"/>
      <c r="FKQ58"/>
      <c r="FKR58"/>
      <c r="FKS58"/>
      <c r="FKT58"/>
      <c r="FKU58"/>
      <c r="FKV58"/>
      <c r="FKW58"/>
      <c r="FKX58"/>
      <c r="FKY58"/>
      <c r="FKZ58"/>
      <c r="FLA58"/>
      <c r="FLB58"/>
      <c r="FLC58"/>
      <c r="FLD58"/>
      <c r="FLE58"/>
      <c r="FLF58"/>
      <c r="FLG58"/>
      <c r="FLH58"/>
      <c r="FLI58"/>
      <c r="FLJ58"/>
      <c r="FLK58"/>
      <c r="FLL58"/>
      <c r="FLM58"/>
      <c r="FLN58"/>
      <c r="FLO58"/>
      <c r="FLP58"/>
      <c r="FLQ58"/>
      <c r="FLR58"/>
      <c r="FLS58"/>
      <c r="FLT58"/>
      <c r="FLU58"/>
      <c r="FLV58"/>
      <c r="FLW58"/>
      <c r="FLX58"/>
      <c r="FLY58"/>
      <c r="FLZ58"/>
      <c r="FMA58"/>
      <c r="FMB58"/>
      <c r="FMC58"/>
      <c r="FMD58"/>
      <c r="FME58"/>
      <c r="FMF58"/>
      <c r="FMG58"/>
      <c r="FMH58"/>
      <c r="FMI58"/>
      <c r="FMJ58"/>
      <c r="FMK58"/>
      <c r="FML58"/>
      <c r="FMM58"/>
      <c r="FMN58"/>
      <c r="FMO58"/>
      <c r="FMP58"/>
      <c r="FMQ58"/>
      <c r="FMR58"/>
      <c r="FMS58"/>
      <c r="FMT58"/>
      <c r="FMU58"/>
      <c r="FMV58"/>
      <c r="FMW58"/>
      <c r="FMX58"/>
      <c r="FMY58"/>
      <c r="FMZ58"/>
      <c r="FNA58"/>
      <c r="FNB58"/>
      <c r="FNC58"/>
      <c r="FND58"/>
      <c r="FNE58"/>
      <c r="FNF58"/>
      <c r="FNG58"/>
      <c r="FNH58"/>
      <c r="FNI58"/>
      <c r="FNJ58"/>
      <c r="FNK58"/>
      <c r="FNL58"/>
      <c r="FNM58"/>
      <c r="FNN58"/>
      <c r="FNO58"/>
      <c r="FNP58"/>
      <c r="FNQ58"/>
      <c r="FNR58"/>
      <c r="FNS58"/>
      <c r="FNT58"/>
      <c r="FNU58"/>
      <c r="FNV58"/>
      <c r="FNW58"/>
      <c r="FNX58"/>
      <c r="FNY58"/>
      <c r="FNZ58"/>
      <c r="FOA58"/>
      <c r="FOB58"/>
      <c r="FOC58"/>
      <c r="FOD58"/>
      <c r="FOE58"/>
      <c r="FOF58"/>
      <c r="FOG58"/>
      <c r="FOH58"/>
      <c r="FOI58"/>
      <c r="FOJ58"/>
      <c r="FOK58"/>
      <c r="FOL58"/>
      <c r="FOM58"/>
      <c r="FON58"/>
      <c r="FOO58"/>
      <c r="FOP58"/>
      <c r="FOQ58"/>
      <c r="FOR58"/>
      <c r="FOS58"/>
      <c r="FOT58"/>
      <c r="FOU58"/>
      <c r="FOV58"/>
      <c r="FOW58"/>
      <c r="FOX58"/>
      <c r="FOY58"/>
      <c r="FOZ58"/>
      <c r="FPA58"/>
      <c r="FPB58"/>
      <c r="FPC58"/>
      <c r="FPD58"/>
      <c r="FPE58"/>
      <c r="FPF58"/>
      <c r="FPG58"/>
      <c r="FPH58"/>
      <c r="FPI58"/>
      <c r="FPJ58"/>
      <c r="FPK58"/>
      <c r="FPL58"/>
      <c r="FPM58"/>
      <c r="FPN58"/>
      <c r="FPO58"/>
      <c r="FPP58"/>
      <c r="FPQ58"/>
      <c r="FPR58"/>
      <c r="FPS58"/>
      <c r="FPT58"/>
      <c r="FPU58"/>
      <c r="FPV58"/>
      <c r="FPW58"/>
      <c r="FPX58"/>
      <c r="FPY58"/>
      <c r="FPZ58"/>
      <c r="FQA58"/>
      <c r="FQB58"/>
      <c r="FQC58"/>
      <c r="FQD58"/>
      <c r="FQE58"/>
      <c r="FQF58"/>
      <c r="FQG58"/>
      <c r="FQH58"/>
      <c r="FQI58"/>
      <c r="FQJ58"/>
      <c r="FQK58"/>
      <c r="FQL58"/>
      <c r="FQM58"/>
      <c r="FQN58"/>
      <c r="FQO58"/>
      <c r="FQP58"/>
      <c r="FQQ58"/>
      <c r="FQR58"/>
      <c r="FQS58"/>
      <c r="FQT58"/>
      <c r="FQU58"/>
      <c r="FQV58"/>
      <c r="FQW58"/>
      <c r="FQX58"/>
      <c r="FQY58"/>
      <c r="FQZ58"/>
      <c r="FRA58"/>
      <c r="FRB58"/>
      <c r="FRC58"/>
      <c r="FRD58"/>
      <c r="FRE58"/>
      <c r="FRF58"/>
      <c r="FRG58"/>
      <c r="FRH58"/>
      <c r="FRI58"/>
      <c r="FRJ58"/>
      <c r="FRK58"/>
      <c r="FRL58"/>
      <c r="FRM58"/>
      <c r="FRN58"/>
      <c r="FRO58"/>
      <c r="FRP58"/>
      <c r="FRQ58"/>
      <c r="FRR58"/>
      <c r="FRS58"/>
      <c r="FRT58"/>
      <c r="FRU58"/>
      <c r="FRV58"/>
      <c r="FRW58"/>
      <c r="FRX58"/>
      <c r="FRY58"/>
      <c r="FRZ58"/>
      <c r="FSA58"/>
      <c r="FSB58"/>
      <c r="FSC58"/>
      <c r="FSD58"/>
      <c r="FSE58"/>
      <c r="FSF58"/>
      <c r="FSG58"/>
      <c r="FSH58"/>
      <c r="FSI58"/>
      <c r="FSJ58"/>
      <c r="FSK58"/>
      <c r="FSL58"/>
      <c r="FSM58"/>
      <c r="FSN58"/>
      <c r="FSO58"/>
      <c r="FSP58"/>
      <c r="FSQ58"/>
      <c r="FSR58"/>
      <c r="FSS58"/>
      <c r="FST58"/>
      <c r="FSU58"/>
      <c r="FSV58"/>
      <c r="FSW58"/>
      <c r="FSX58"/>
      <c r="FSY58"/>
      <c r="FSZ58"/>
      <c r="FTA58"/>
      <c r="FTB58"/>
      <c r="FTC58"/>
      <c r="FTD58"/>
      <c r="FTE58"/>
      <c r="FTF58"/>
      <c r="FTG58"/>
      <c r="FTH58"/>
      <c r="FTI58"/>
      <c r="FTJ58"/>
      <c r="FTK58"/>
      <c r="FTL58"/>
      <c r="FTM58"/>
      <c r="FTN58"/>
      <c r="FTO58"/>
      <c r="FTP58"/>
      <c r="FTQ58"/>
      <c r="FTR58"/>
      <c r="FTS58"/>
      <c r="FTT58"/>
      <c r="FTU58"/>
      <c r="FTV58"/>
      <c r="FTW58"/>
      <c r="FTX58"/>
      <c r="FTY58"/>
      <c r="FTZ58"/>
      <c r="FUA58"/>
      <c r="FUB58"/>
      <c r="FUC58"/>
      <c r="FUD58"/>
      <c r="FUE58"/>
      <c r="FUF58"/>
      <c r="FUG58"/>
      <c r="FUH58"/>
      <c r="FUI58"/>
      <c r="FUJ58"/>
      <c r="FUK58"/>
      <c r="FUL58"/>
      <c r="FUM58"/>
      <c r="FUN58"/>
      <c r="FUO58"/>
      <c r="FUP58"/>
      <c r="FUQ58"/>
      <c r="FUR58"/>
      <c r="FUS58"/>
      <c r="FUT58"/>
      <c r="FUU58"/>
      <c r="FUV58"/>
      <c r="FUW58"/>
      <c r="FUX58"/>
      <c r="FUY58"/>
      <c r="FUZ58"/>
      <c r="FVA58"/>
      <c r="FVB58"/>
      <c r="FVC58"/>
      <c r="FVD58"/>
      <c r="FVE58"/>
      <c r="FVF58"/>
      <c r="FVG58"/>
      <c r="FVH58"/>
      <c r="FVI58"/>
      <c r="FVJ58"/>
      <c r="FVK58"/>
      <c r="FVL58"/>
      <c r="FVM58"/>
      <c r="FVN58"/>
      <c r="FVO58"/>
      <c r="FVP58"/>
      <c r="FVQ58"/>
      <c r="FVR58"/>
      <c r="FVS58"/>
      <c r="FVT58"/>
      <c r="FVU58"/>
      <c r="FVV58"/>
      <c r="FVW58"/>
      <c r="FVX58"/>
      <c r="FVY58"/>
      <c r="FVZ58"/>
      <c r="FWA58"/>
      <c r="FWB58"/>
      <c r="FWC58"/>
      <c r="FWD58"/>
      <c r="FWE58"/>
      <c r="FWF58"/>
      <c r="FWG58"/>
      <c r="FWH58"/>
      <c r="FWI58"/>
      <c r="FWJ58"/>
      <c r="FWK58"/>
      <c r="FWL58"/>
      <c r="FWM58"/>
      <c r="FWN58"/>
      <c r="FWO58"/>
      <c r="FWP58"/>
      <c r="FWQ58"/>
      <c r="FWR58"/>
      <c r="FWS58"/>
      <c r="FWT58"/>
      <c r="FWU58"/>
      <c r="FWV58"/>
      <c r="FWW58"/>
      <c r="FWX58"/>
      <c r="FWY58"/>
      <c r="FWZ58"/>
      <c r="FXA58"/>
      <c r="FXB58"/>
      <c r="FXC58"/>
      <c r="FXD58"/>
      <c r="FXE58"/>
      <c r="FXF58"/>
      <c r="FXG58"/>
      <c r="FXH58"/>
      <c r="FXI58"/>
      <c r="FXJ58"/>
      <c r="FXK58"/>
      <c r="FXL58"/>
      <c r="FXM58"/>
      <c r="FXN58"/>
      <c r="FXO58"/>
      <c r="FXP58"/>
      <c r="FXQ58"/>
      <c r="FXR58"/>
      <c r="FXS58"/>
      <c r="FXT58"/>
      <c r="FXU58"/>
      <c r="FXV58"/>
      <c r="FXW58"/>
      <c r="FXX58"/>
      <c r="FXY58"/>
      <c r="FXZ58"/>
      <c r="FYA58"/>
      <c r="FYB58"/>
      <c r="FYC58"/>
      <c r="FYD58"/>
      <c r="FYE58"/>
      <c r="FYF58"/>
      <c r="FYG58"/>
      <c r="FYH58"/>
      <c r="FYI58"/>
      <c r="FYJ58"/>
      <c r="FYK58"/>
      <c r="FYL58"/>
      <c r="FYM58"/>
      <c r="FYN58"/>
      <c r="FYO58"/>
      <c r="FYP58"/>
      <c r="FYQ58"/>
      <c r="FYR58"/>
      <c r="FYS58"/>
      <c r="FYT58"/>
      <c r="FYU58"/>
      <c r="FYV58"/>
      <c r="FYW58"/>
      <c r="FYX58"/>
      <c r="FYY58"/>
      <c r="FYZ58"/>
      <c r="FZA58"/>
      <c r="FZB58"/>
      <c r="FZC58"/>
      <c r="FZD58"/>
      <c r="FZE58"/>
      <c r="FZF58"/>
      <c r="FZG58"/>
      <c r="FZH58"/>
      <c r="FZI58"/>
      <c r="FZJ58"/>
      <c r="FZK58"/>
      <c r="FZL58"/>
      <c r="FZM58"/>
      <c r="FZN58"/>
      <c r="FZO58"/>
      <c r="FZP58"/>
      <c r="FZQ58"/>
      <c r="FZR58"/>
      <c r="FZS58"/>
      <c r="FZT58"/>
      <c r="FZU58"/>
      <c r="FZV58"/>
      <c r="FZW58"/>
      <c r="FZX58"/>
      <c r="FZY58"/>
      <c r="FZZ58"/>
      <c r="GAA58"/>
      <c r="GAB58"/>
      <c r="GAC58"/>
      <c r="GAD58"/>
      <c r="GAE58"/>
      <c r="GAF58"/>
      <c r="GAG58"/>
      <c r="GAH58"/>
      <c r="GAI58"/>
      <c r="GAJ58"/>
      <c r="GAK58"/>
      <c r="GAL58"/>
      <c r="GAM58"/>
      <c r="GAN58"/>
      <c r="GAO58"/>
      <c r="GAP58"/>
      <c r="GAQ58"/>
      <c r="GAR58"/>
      <c r="GAS58"/>
      <c r="GAT58"/>
      <c r="GAU58"/>
      <c r="GAV58"/>
      <c r="GAW58"/>
      <c r="GAX58"/>
      <c r="GAY58"/>
      <c r="GAZ58"/>
      <c r="GBA58"/>
      <c r="GBB58"/>
      <c r="GBC58"/>
      <c r="GBD58"/>
      <c r="GBE58"/>
      <c r="GBF58"/>
      <c r="GBG58"/>
      <c r="GBH58"/>
      <c r="GBI58"/>
      <c r="GBJ58"/>
      <c r="GBK58"/>
      <c r="GBL58"/>
      <c r="GBM58"/>
      <c r="GBN58"/>
      <c r="GBO58"/>
      <c r="GBP58"/>
      <c r="GBQ58"/>
      <c r="GBR58"/>
      <c r="GBS58"/>
      <c r="GBT58"/>
      <c r="GBU58"/>
      <c r="GBV58"/>
      <c r="GBW58"/>
      <c r="GBX58"/>
      <c r="GBY58"/>
      <c r="GBZ58"/>
      <c r="GCA58"/>
      <c r="GCB58"/>
      <c r="GCC58"/>
      <c r="GCD58"/>
      <c r="GCE58"/>
      <c r="GCF58"/>
      <c r="GCG58"/>
      <c r="GCH58"/>
      <c r="GCI58"/>
      <c r="GCJ58"/>
      <c r="GCK58"/>
      <c r="GCL58"/>
      <c r="GCM58"/>
      <c r="GCN58"/>
      <c r="GCO58"/>
      <c r="GCP58"/>
      <c r="GCQ58"/>
      <c r="GCR58"/>
      <c r="GCS58"/>
      <c r="GCT58"/>
      <c r="GCU58"/>
      <c r="GCV58"/>
      <c r="GCW58"/>
      <c r="GCX58"/>
      <c r="GCY58"/>
      <c r="GCZ58"/>
      <c r="GDA58"/>
      <c r="GDB58"/>
      <c r="GDC58"/>
      <c r="GDD58"/>
      <c r="GDE58"/>
      <c r="GDF58"/>
      <c r="GDG58"/>
      <c r="GDH58"/>
      <c r="GDI58"/>
      <c r="GDJ58"/>
      <c r="GDK58"/>
      <c r="GDL58"/>
      <c r="GDM58"/>
      <c r="GDN58"/>
      <c r="GDO58"/>
      <c r="GDP58"/>
      <c r="GDQ58"/>
      <c r="GDR58"/>
      <c r="GDS58"/>
      <c r="GDT58"/>
      <c r="GDU58"/>
      <c r="GDV58"/>
      <c r="GDW58"/>
      <c r="GDX58"/>
      <c r="GDY58"/>
      <c r="GDZ58"/>
      <c r="GEA58"/>
      <c r="GEB58"/>
      <c r="GEC58"/>
      <c r="GED58"/>
      <c r="GEE58"/>
      <c r="GEF58"/>
      <c r="GEG58"/>
      <c r="GEH58"/>
      <c r="GEI58"/>
      <c r="GEJ58"/>
      <c r="GEK58"/>
      <c r="GEL58"/>
      <c r="GEM58"/>
      <c r="GEN58"/>
      <c r="GEO58"/>
      <c r="GEP58"/>
      <c r="GEQ58"/>
      <c r="GER58"/>
      <c r="GES58"/>
      <c r="GET58"/>
      <c r="GEU58"/>
      <c r="GEV58"/>
      <c r="GEW58"/>
      <c r="GEX58"/>
      <c r="GEY58"/>
      <c r="GEZ58"/>
      <c r="GFA58"/>
      <c r="GFB58"/>
      <c r="GFC58"/>
      <c r="GFD58"/>
      <c r="GFE58"/>
      <c r="GFF58"/>
      <c r="GFG58"/>
      <c r="GFH58"/>
      <c r="GFI58"/>
      <c r="GFJ58"/>
      <c r="GFK58"/>
      <c r="GFL58"/>
      <c r="GFM58"/>
      <c r="GFN58"/>
      <c r="GFO58"/>
      <c r="GFP58"/>
      <c r="GFQ58"/>
      <c r="GFR58"/>
      <c r="GFS58"/>
      <c r="GFT58"/>
      <c r="GFU58"/>
      <c r="GFV58"/>
      <c r="GFW58"/>
      <c r="GFX58"/>
      <c r="GFY58"/>
      <c r="GFZ58"/>
      <c r="GGA58"/>
      <c r="GGB58"/>
      <c r="GGC58"/>
      <c r="GGD58"/>
      <c r="GGE58"/>
      <c r="GGF58"/>
      <c r="GGG58"/>
      <c r="GGH58"/>
      <c r="GGI58"/>
      <c r="GGJ58"/>
      <c r="GGK58"/>
      <c r="GGL58"/>
      <c r="GGM58"/>
      <c r="GGN58"/>
      <c r="GGO58"/>
      <c r="GGP58"/>
      <c r="GGQ58"/>
      <c r="GGR58"/>
      <c r="GGS58"/>
      <c r="GGT58"/>
      <c r="GGU58"/>
      <c r="GGV58"/>
      <c r="GGW58"/>
      <c r="GGX58"/>
      <c r="GGY58"/>
      <c r="GGZ58"/>
      <c r="GHA58"/>
      <c r="GHB58"/>
      <c r="GHC58"/>
      <c r="GHD58"/>
      <c r="GHE58"/>
      <c r="GHF58"/>
      <c r="GHG58"/>
      <c r="GHH58"/>
      <c r="GHI58"/>
      <c r="GHJ58"/>
      <c r="GHK58"/>
      <c r="GHL58"/>
      <c r="GHM58"/>
      <c r="GHN58"/>
      <c r="GHO58"/>
      <c r="GHP58"/>
      <c r="GHQ58"/>
      <c r="GHR58"/>
      <c r="GHS58"/>
      <c r="GHT58"/>
      <c r="GHU58"/>
      <c r="GHV58"/>
      <c r="GHW58"/>
      <c r="GHX58"/>
      <c r="GHY58"/>
      <c r="GHZ58"/>
      <c r="GIA58"/>
      <c r="GIB58"/>
      <c r="GIC58"/>
      <c r="GID58"/>
      <c r="GIE58"/>
      <c r="GIF58"/>
      <c r="GIG58"/>
      <c r="GIH58"/>
      <c r="GII58"/>
      <c r="GIJ58"/>
      <c r="GIK58"/>
      <c r="GIL58"/>
      <c r="GIM58"/>
      <c r="GIN58"/>
      <c r="GIO58"/>
      <c r="GIP58"/>
      <c r="GIQ58"/>
      <c r="GIR58"/>
      <c r="GIS58"/>
      <c r="GIT58"/>
      <c r="GIU58"/>
      <c r="GIV58"/>
      <c r="GIW58"/>
      <c r="GIX58"/>
      <c r="GIY58"/>
      <c r="GIZ58"/>
      <c r="GJA58"/>
      <c r="GJB58"/>
      <c r="GJC58"/>
      <c r="GJD58"/>
      <c r="GJE58"/>
      <c r="GJF58"/>
      <c r="GJG58"/>
      <c r="GJH58"/>
      <c r="GJI58"/>
      <c r="GJJ58"/>
      <c r="GJK58"/>
      <c r="GJL58"/>
      <c r="GJM58"/>
      <c r="GJN58"/>
      <c r="GJO58"/>
      <c r="GJP58"/>
      <c r="GJQ58"/>
      <c r="GJR58"/>
      <c r="GJS58"/>
      <c r="GJT58"/>
      <c r="GJU58"/>
      <c r="GJV58"/>
      <c r="GJW58"/>
      <c r="GJX58"/>
      <c r="GJY58"/>
      <c r="GJZ58"/>
      <c r="GKA58"/>
      <c r="GKB58"/>
      <c r="GKC58"/>
      <c r="GKD58"/>
      <c r="GKE58"/>
      <c r="GKF58"/>
      <c r="GKG58"/>
      <c r="GKH58"/>
      <c r="GKI58"/>
      <c r="GKJ58"/>
      <c r="GKK58"/>
      <c r="GKL58"/>
      <c r="GKM58"/>
      <c r="GKN58"/>
      <c r="GKO58"/>
      <c r="GKP58"/>
      <c r="GKQ58"/>
      <c r="GKR58"/>
      <c r="GKS58"/>
      <c r="GKT58"/>
      <c r="GKU58"/>
      <c r="GKV58"/>
      <c r="GKW58"/>
      <c r="GKX58"/>
      <c r="GKY58"/>
      <c r="GKZ58"/>
      <c r="GLA58"/>
      <c r="GLB58"/>
      <c r="GLC58"/>
      <c r="GLD58"/>
      <c r="GLE58"/>
      <c r="GLF58"/>
      <c r="GLG58"/>
      <c r="GLH58"/>
      <c r="GLI58"/>
      <c r="GLJ58"/>
      <c r="GLK58"/>
      <c r="GLL58"/>
      <c r="GLM58"/>
      <c r="GLN58"/>
      <c r="GLO58"/>
      <c r="GLP58"/>
      <c r="GLQ58"/>
      <c r="GLR58"/>
      <c r="GLS58"/>
      <c r="GLT58"/>
      <c r="GLU58"/>
      <c r="GLV58"/>
      <c r="GLW58"/>
      <c r="GLX58"/>
      <c r="GLY58"/>
      <c r="GLZ58"/>
      <c r="GMA58"/>
      <c r="GMB58"/>
      <c r="GMC58"/>
      <c r="GMD58"/>
      <c r="GME58"/>
      <c r="GMF58"/>
      <c r="GMG58"/>
      <c r="GMH58"/>
      <c r="GMI58"/>
      <c r="GMJ58"/>
      <c r="GMK58"/>
      <c r="GML58"/>
      <c r="GMM58"/>
      <c r="GMN58"/>
      <c r="GMO58"/>
      <c r="GMP58"/>
      <c r="GMQ58"/>
      <c r="GMR58"/>
      <c r="GMS58"/>
      <c r="GMT58"/>
      <c r="GMU58"/>
      <c r="GMV58"/>
      <c r="GMW58"/>
      <c r="GMX58"/>
      <c r="GMY58"/>
      <c r="GMZ58"/>
      <c r="GNA58"/>
      <c r="GNB58"/>
      <c r="GNC58"/>
      <c r="GND58"/>
      <c r="GNE58"/>
      <c r="GNF58"/>
      <c r="GNG58"/>
      <c r="GNH58"/>
      <c r="GNI58"/>
      <c r="GNJ58"/>
      <c r="GNK58"/>
      <c r="GNL58"/>
      <c r="GNM58"/>
      <c r="GNN58"/>
      <c r="GNO58"/>
      <c r="GNP58"/>
      <c r="GNQ58"/>
      <c r="GNR58"/>
      <c r="GNS58"/>
      <c r="GNT58"/>
      <c r="GNU58"/>
      <c r="GNV58"/>
      <c r="GNW58"/>
      <c r="GNX58"/>
      <c r="GNY58"/>
      <c r="GNZ58"/>
      <c r="GOA58"/>
      <c r="GOB58"/>
      <c r="GOC58"/>
      <c r="GOD58"/>
      <c r="GOE58"/>
      <c r="GOF58"/>
      <c r="GOG58"/>
      <c r="GOH58"/>
      <c r="GOI58"/>
      <c r="GOJ58"/>
      <c r="GOK58"/>
      <c r="GOL58"/>
      <c r="GOM58"/>
      <c r="GON58"/>
      <c r="GOO58"/>
      <c r="GOP58"/>
      <c r="GOQ58"/>
      <c r="GOR58"/>
      <c r="GOS58"/>
      <c r="GOT58"/>
      <c r="GOU58"/>
      <c r="GOV58"/>
      <c r="GOW58"/>
      <c r="GOX58"/>
      <c r="GOY58"/>
      <c r="GOZ58"/>
      <c r="GPA58"/>
      <c r="GPB58"/>
      <c r="GPC58"/>
      <c r="GPD58"/>
      <c r="GPE58"/>
      <c r="GPF58"/>
      <c r="GPG58"/>
      <c r="GPH58"/>
      <c r="GPI58"/>
      <c r="GPJ58"/>
      <c r="GPK58"/>
      <c r="GPL58"/>
      <c r="GPM58"/>
      <c r="GPN58"/>
      <c r="GPO58"/>
      <c r="GPP58"/>
      <c r="GPQ58"/>
      <c r="GPR58"/>
      <c r="GPS58"/>
      <c r="GPT58"/>
      <c r="GPU58"/>
      <c r="GPV58"/>
      <c r="GPW58"/>
      <c r="GPX58"/>
      <c r="GPY58"/>
      <c r="GPZ58"/>
      <c r="GQA58"/>
      <c r="GQB58"/>
      <c r="GQC58"/>
      <c r="GQD58"/>
      <c r="GQE58"/>
      <c r="GQF58"/>
      <c r="GQG58"/>
      <c r="GQH58"/>
      <c r="GQI58"/>
      <c r="GQJ58"/>
      <c r="GQK58"/>
      <c r="GQL58"/>
      <c r="GQM58"/>
      <c r="GQN58"/>
      <c r="GQO58"/>
      <c r="GQP58"/>
      <c r="GQQ58"/>
      <c r="GQR58"/>
      <c r="GQS58"/>
      <c r="GQT58"/>
      <c r="GQU58"/>
      <c r="GQV58"/>
      <c r="GQW58"/>
      <c r="GQX58"/>
      <c r="GQY58"/>
      <c r="GQZ58"/>
      <c r="GRA58"/>
      <c r="GRB58"/>
      <c r="GRC58"/>
      <c r="GRD58"/>
      <c r="GRE58"/>
      <c r="GRF58"/>
      <c r="GRG58"/>
      <c r="GRH58"/>
      <c r="GRI58"/>
      <c r="GRJ58"/>
      <c r="GRK58"/>
      <c r="GRL58"/>
      <c r="GRM58"/>
      <c r="GRN58"/>
      <c r="GRO58"/>
      <c r="GRP58"/>
      <c r="GRQ58"/>
      <c r="GRR58"/>
      <c r="GRS58"/>
      <c r="GRT58"/>
      <c r="GRU58"/>
      <c r="GRV58"/>
      <c r="GRW58"/>
      <c r="GRX58"/>
      <c r="GRY58"/>
      <c r="GRZ58"/>
      <c r="GSA58"/>
      <c r="GSB58"/>
      <c r="GSC58"/>
      <c r="GSD58"/>
      <c r="GSE58"/>
      <c r="GSF58"/>
      <c r="GSG58"/>
      <c r="GSH58"/>
      <c r="GSI58"/>
      <c r="GSJ58"/>
      <c r="GSK58"/>
      <c r="GSL58"/>
      <c r="GSM58"/>
      <c r="GSN58"/>
      <c r="GSO58"/>
      <c r="GSP58"/>
      <c r="GSQ58"/>
      <c r="GSR58"/>
      <c r="GSS58"/>
      <c r="GST58"/>
      <c r="GSU58"/>
      <c r="GSV58"/>
      <c r="GSW58"/>
      <c r="GSX58"/>
      <c r="GSY58"/>
      <c r="GSZ58"/>
      <c r="GTA58"/>
      <c r="GTB58"/>
      <c r="GTC58"/>
      <c r="GTD58"/>
      <c r="GTE58"/>
      <c r="GTF58"/>
      <c r="GTG58"/>
      <c r="GTH58"/>
      <c r="GTI58"/>
      <c r="GTJ58"/>
      <c r="GTK58"/>
      <c r="GTL58"/>
      <c r="GTM58"/>
      <c r="GTN58"/>
      <c r="GTO58"/>
      <c r="GTP58"/>
      <c r="GTQ58"/>
      <c r="GTR58"/>
      <c r="GTS58"/>
      <c r="GTT58"/>
      <c r="GTU58"/>
      <c r="GTV58"/>
      <c r="GTW58"/>
      <c r="GTX58"/>
      <c r="GTY58"/>
      <c r="GTZ58"/>
      <c r="GUA58"/>
      <c r="GUB58"/>
      <c r="GUC58"/>
      <c r="GUD58"/>
      <c r="GUE58"/>
      <c r="GUF58"/>
      <c r="GUG58"/>
      <c r="GUH58"/>
      <c r="GUI58"/>
      <c r="GUJ58"/>
      <c r="GUK58"/>
      <c r="GUL58"/>
      <c r="GUM58"/>
      <c r="GUN58"/>
      <c r="GUO58"/>
      <c r="GUP58"/>
      <c r="GUQ58"/>
      <c r="GUR58"/>
      <c r="GUS58"/>
      <c r="GUT58"/>
      <c r="GUU58"/>
      <c r="GUV58"/>
      <c r="GUW58"/>
      <c r="GUX58"/>
      <c r="GUY58"/>
      <c r="GUZ58"/>
      <c r="GVA58"/>
      <c r="GVB58"/>
      <c r="GVC58"/>
      <c r="GVD58"/>
      <c r="GVE58"/>
      <c r="GVF58"/>
      <c r="GVG58"/>
      <c r="GVH58"/>
      <c r="GVI58"/>
      <c r="GVJ58"/>
      <c r="GVK58"/>
      <c r="GVL58"/>
      <c r="GVM58"/>
      <c r="GVN58"/>
      <c r="GVO58"/>
      <c r="GVP58"/>
      <c r="GVQ58"/>
      <c r="GVR58"/>
      <c r="GVS58"/>
      <c r="GVT58"/>
      <c r="GVU58"/>
      <c r="GVV58"/>
      <c r="GVW58"/>
      <c r="GVX58"/>
      <c r="GVY58"/>
      <c r="GVZ58"/>
      <c r="GWA58"/>
      <c r="GWB58"/>
      <c r="GWC58"/>
      <c r="GWD58"/>
      <c r="GWE58"/>
      <c r="GWF58"/>
      <c r="GWG58"/>
      <c r="GWH58"/>
      <c r="GWI58"/>
      <c r="GWJ58"/>
      <c r="GWK58"/>
      <c r="GWL58"/>
      <c r="GWM58"/>
      <c r="GWN58"/>
      <c r="GWO58"/>
      <c r="GWP58"/>
      <c r="GWQ58"/>
      <c r="GWR58"/>
      <c r="GWS58"/>
      <c r="GWT58"/>
      <c r="GWU58"/>
      <c r="GWV58"/>
      <c r="GWW58"/>
      <c r="GWX58"/>
      <c r="GWY58"/>
      <c r="GWZ58"/>
      <c r="GXA58"/>
      <c r="GXB58"/>
      <c r="GXC58"/>
      <c r="GXD58"/>
      <c r="GXE58"/>
      <c r="GXF58"/>
      <c r="GXG58"/>
      <c r="GXH58"/>
      <c r="GXI58"/>
      <c r="GXJ58"/>
      <c r="GXK58"/>
      <c r="GXL58"/>
      <c r="GXM58"/>
      <c r="GXN58"/>
      <c r="GXO58"/>
      <c r="GXP58"/>
      <c r="GXQ58"/>
      <c r="GXR58"/>
      <c r="GXS58"/>
      <c r="GXT58"/>
      <c r="GXU58"/>
      <c r="GXV58"/>
      <c r="GXW58"/>
      <c r="GXX58"/>
      <c r="GXY58"/>
      <c r="GXZ58"/>
      <c r="GYA58"/>
      <c r="GYB58"/>
      <c r="GYC58"/>
      <c r="GYD58"/>
      <c r="GYE58"/>
      <c r="GYF58"/>
      <c r="GYG58"/>
      <c r="GYH58"/>
      <c r="GYI58"/>
      <c r="GYJ58"/>
      <c r="GYK58"/>
      <c r="GYL58"/>
      <c r="GYM58"/>
      <c r="GYN58"/>
      <c r="GYO58"/>
      <c r="GYP58"/>
      <c r="GYQ58"/>
      <c r="GYR58"/>
      <c r="GYS58"/>
      <c r="GYT58"/>
      <c r="GYU58"/>
      <c r="GYV58"/>
      <c r="GYW58"/>
      <c r="GYX58"/>
      <c r="GYY58"/>
      <c r="GYZ58"/>
      <c r="GZA58"/>
      <c r="GZB58"/>
      <c r="GZC58"/>
      <c r="GZD58"/>
      <c r="GZE58"/>
      <c r="GZF58"/>
      <c r="GZG58"/>
      <c r="GZH58"/>
      <c r="GZI58"/>
      <c r="GZJ58"/>
      <c r="GZK58"/>
      <c r="GZL58"/>
      <c r="GZM58"/>
      <c r="GZN58"/>
      <c r="GZO58"/>
      <c r="GZP58"/>
      <c r="GZQ58"/>
      <c r="GZR58"/>
      <c r="GZS58"/>
      <c r="GZT58"/>
      <c r="GZU58"/>
      <c r="GZV58"/>
      <c r="GZW58"/>
      <c r="GZX58"/>
      <c r="GZY58"/>
      <c r="GZZ58"/>
      <c r="HAA58"/>
      <c r="HAB58"/>
      <c r="HAC58"/>
      <c r="HAD58"/>
      <c r="HAE58"/>
      <c r="HAF58"/>
      <c r="HAG58"/>
      <c r="HAH58"/>
      <c r="HAI58"/>
      <c r="HAJ58"/>
      <c r="HAK58"/>
      <c r="HAL58"/>
      <c r="HAM58"/>
      <c r="HAN58"/>
      <c r="HAO58"/>
      <c r="HAP58"/>
      <c r="HAQ58"/>
      <c r="HAR58"/>
      <c r="HAS58"/>
      <c r="HAT58"/>
      <c r="HAU58"/>
      <c r="HAV58"/>
      <c r="HAW58"/>
      <c r="HAX58"/>
      <c r="HAY58"/>
      <c r="HAZ58"/>
      <c r="HBA58"/>
      <c r="HBB58"/>
      <c r="HBC58"/>
      <c r="HBD58"/>
      <c r="HBE58"/>
      <c r="HBF58"/>
      <c r="HBG58"/>
      <c r="HBH58"/>
      <c r="HBI58"/>
      <c r="HBJ58"/>
      <c r="HBK58"/>
      <c r="HBL58"/>
      <c r="HBM58"/>
      <c r="HBN58"/>
      <c r="HBO58"/>
      <c r="HBP58"/>
      <c r="HBQ58"/>
      <c r="HBR58"/>
      <c r="HBS58"/>
      <c r="HBT58"/>
      <c r="HBU58"/>
      <c r="HBV58"/>
      <c r="HBW58"/>
      <c r="HBX58"/>
      <c r="HBY58"/>
      <c r="HBZ58"/>
      <c r="HCA58"/>
      <c r="HCB58"/>
      <c r="HCC58"/>
      <c r="HCD58"/>
      <c r="HCE58"/>
      <c r="HCF58"/>
      <c r="HCG58"/>
      <c r="HCH58"/>
      <c r="HCI58"/>
      <c r="HCJ58"/>
      <c r="HCK58"/>
      <c r="HCL58"/>
      <c r="HCM58"/>
      <c r="HCN58"/>
      <c r="HCO58"/>
      <c r="HCP58"/>
      <c r="HCQ58"/>
      <c r="HCR58"/>
      <c r="HCS58"/>
      <c r="HCT58"/>
      <c r="HCU58"/>
      <c r="HCV58"/>
      <c r="HCW58"/>
      <c r="HCX58"/>
      <c r="HCY58"/>
      <c r="HCZ58"/>
      <c r="HDA58"/>
      <c r="HDB58"/>
      <c r="HDC58"/>
      <c r="HDD58"/>
      <c r="HDE58"/>
      <c r="HDF58"/>
      <c r="HDG58"/>
      <c r="HDH58"/>
      <c r="HDI58"/>
      <c r="HDJ58"/>
      <c r="HDK58"/>
      <c r="HDL58"/>
      <c r="HDM58"/>
      <c r="HDN58"/>
      <c r="HDO58"/>
      <c r="HDP58"/>
      <c r="HDQ58"/>
      <c r="HDR58"/>
      <c r="HDS58"/>
      <c r="HDT58"/>
      <c r="HDU58"/>
      <c r="HDV58"/>
      <c r="HDW58"/>
      <c r="HDX58"/>
      <c r="HDY58"/>
      <c r="HDZ58"/>
      <c r="HEA58"/>
      <c r="HEB58"/>
      <c r="HEC58"/>
      <c r="HED58"/>
      <c r="HEE58"/>
      <c r="HEF58"/>
      <c r="HEG58"/>
      <c r="HEH58"/>
      <c r="HEI58"/>
      <c r="HEJ58"/>
      <c r="HEK58"/>
      <c r="HEL58"/>
      <c r="HEM58"/>
      <c r="HEN58"/>
      <c r="HEO58"/>
      <c r="HEP58"/>
      <c r="HEQ58"/>
      <c r="HER58"/>
      <c r="HES58"/>
      <c r="HET58"/>
      <c r="HEU58"/>
      <c r="HEV58"/>
      <c r="HEW58"/>
      <c r="HEX58"/>
      <c r="HEY58"/>
      <c r="HEZ58"/>
      <c r="HFA58"/>
      <c r="HFB58"/>
      <c r="HFC58"/>
      <c r="HFD58"/>
      <c r="HFE58"/>
      <c r="HFF58"/>
      <c r="HFG58"/>
      <c r="HFH58"/>
      <c r="HFI58"/>
      <c r="HFJ58"/>
      <c r="HFK58"/>
      <c r="HFL58"/>
      <c r="HFM58"/>
      <c r="HFN58"/>
      <c r="HFO58"/>
      <c r="HFP58"/>
      <c r="HFQ58"/>
      <c r="HFR58"/>
      <c r="HFS58"/>
      <c r="HFT58"/>
      <c r="HFU58"/>
      <c r="HFV58"/>
      <c r="HFW58"/>
      <c r="HFX58"/>
      <c r="HFY58"/>
      <c r="HFZ58"/>
      <c r="HGA58"/>
      <c r="HGB58"/>
      <c r="HGC58"/>
      <c r="HGD58"/>
      <c r="HGE58"/>
      <c r="HGF58"/>
      <c r="HGG58"/>
      <c r="HGH58"/>
      <c r="HGI58"/>
      <c r="HGJ58"/>
      <c r="HGK58"/>
      <c r="HGL58"/>
      <c r="HGM58"/>
      <c r="HGN58"/>
      <c r="HGO58"/>
      <c r="HGP58"/>
      <c r="HGQ58"/>
      <c r="HGR58"/>
      <c r="HGS58"/>
      <c r="HGT58"/>
      <c r="HGU58"/>
      <c r="HGV58"/>
      <c r="HGW58"/>
      <c r="HGX58"/>
      <c r="HGY58"/>
      <c r="HGZ58"/>
      <c r="HHA58"/>
      <c r="HHB58"/>
      <c r="HHC58"/>
      <c r="HHD58"/>
      <c r="HHE58"/>
      <c r="HHF58"/>
      <c r="HHG58"/>
      <c r="HHH58"/>
      <c r="HHI58"/>
      <c r="HHJ58"/>
      <c r="HHK58"/>
      <c r="HHL58"/>
      <c r="HHM58"/>
      <c r="HHN58"/>
      <c r="HHO58"/>
      <c r="HHP58"/>
      <c r="HHQ58"/>
      <c r="HHR58"/>
      <c r="HHS58"/>
      <c r="HHT58"/>
      <c r="HHU58"/>
      <c r="HHV58"/>
      <c r="HHW58"/>
      <c r="HHX58"/>
      <c r="HHY58"/>
      <c r="HHZ58"/>
      <c r="HIA58"/>
      <c r="HIB58"/>
      <c r="HIC58"/>
      <c r="HID58"/>
      <c r="HIE58"/>
      <c r="HIF58"/>
      <c r="HIG58"/>
      <c r="HIH58"/>
      <c r="HII58"/>
      <c r="HIJ58"/>
      <c r="HIK58"/>
      <c r="HIL58"/>
      <c r="HIM58"/>
      <c r="HIN58"/>
      <c r="HIO58"/>
      <c r="HIP58"/>
      <c r="HIQ58"/>
      <c r="HIR58"/>
      <c r="HIS58"/>
      <c r="HIT58"/>
      <c r="HIU58"/>
      <c r="HIV58"/>
      <c r="HIW58"/>
      <c r="HIX58"/>
      <c r="HIY58"/>
      <c r="HIZ58"/>
      <c r="HJA58"/>
      <c r="HJB58"/>
      <c r="HJC58"/>
      <c r="HJD58"/>
      <c r="HJE58"/>
      <c r="HJF58"/>
      <c r="HJG58"/>
      <c r="HJH58"/>
      <c r="HJI58"/>
      <c r="HJJ58"/>
      <c r="HJK58"/>
      <c r="HJL58"/>
      <c r="HJM58"/>
      <c r="HJN58"/>
      <c r="HJO58"/>
      <c r="HJP58"/>
      <c r="HJQ58"/>
      <c r="HJR58"/>
      <c r="HJS58"/>
      <c r="HJT58"/>
      <c r="HJU58"/>
      <c r="HJV58"/>
      <c r="HJW58"/>
      <c r="HJX58"/>
      <c r="HJY58"/>
      <c r="HJZ58"/>
      <c r="HKA58"/>
      <c r="HKB58"/>
      <c r="HKC58"/>
      <c r="HKD58"/>
      <c r="HKE58"/>
      <c r="HKF58"/>
      <c r="HKG58"/>
      <c r="HKH58"/>
      <c r="HKI58"/>
      <c r="HKJ58"/>
      <c r="HKK58"/>
      <c r="HKL58"/>
      <c r="HKM58"/>
      <c r="HKN58"/>
      <c r="HKO58"/>
      <c r="HKP58"/>
      <c r="HKQ58"/>
      <c r="HKR58"/>
      <c r="HKS58"/>
      <c r="HKT58"/>
      <c r="HKU58"/>
      <c r="HKV58"/>
      <c r="HKW58"/>
      <c r="HKX58"/>
      <c r="HKY58"/>
      <c r="HKZ58"/>
      <c r="HLA58"/>
      <c r="HLB58"/>
      <c r="HLC58"/>
      <c r="HLD58"/>
      <c r="HLE58"/>
      <c r="HLF58"/>
      <c r="HLG58"/>
      <c r="HLH58"/>
      <c r="HLI58"/>
      <c r="HLJ58"/>
      <c r="HLK58"/>
      <c r="HLL58"/>
      <c r="HLM58"/>
      <c r="HLN58"/>
      <c r="HLO58"/>
      <c r="HLP58"/>
      <c r="HLQ58"/>
      <c r="HLR58"/>
      <c r="HLS58"/>
      <c r="HLT58"/>
      <c r="HLU58"/>
      <c r="HLV58"/>
      <c r="HLW58"/>
      <c r="HLX58"/>
      <c r="HLY58"/>
      <c r="HLZ58"/>
      <c r="HMA58"/>
      <c r="HMB58"/>
      <c r="HMC58"/>
      <c r="HMD58"/>
      <c r="HME58"/>
      <c r="HMF58"/>
      <c r="HMG58"/>
      <c r="HMH58"/>
      <c r="HMI58"/>
      <c r="HMJ58"/>
      <c r="HMK58"/>
      <c r="HML58"/>
      <c r="HMM58"/>
      <c r="HMN58"/>
      <c r="HMO58"/>
      <c r="HMP58"/>
      <c r="HMQ58"/>
      <c r="HMR58"/>
      <c r="HMS58"/>
      <c r="HMT58"/>
      <c r="HMU58"/>
      <c r="HMV58"/>
      <c r="HMW58"/>
      <c r="HMX58"/>
      <c r="HMY58"/>
      <c r="HMZ58"/>
      <c r="HNA58"/>
      <c r="HNB58"/>
      <c r="HNC58"/>
      <c r="HND58"/>
      <c r="HNE58"/>
      <c r="HNF58"/>
      <c r="HNG58"/>
      <c r="HNH58"/>
      <c r="HNI58"/>
      <c r="HNJ58"/>
      <c r="HNK58"/>
      <c r="HNL58"/>
      <c r="HNM58"/>
      <c r="HNN58"/>
      <c r="HNO58"/>
      <c r="HNP58"/>
      <c r="HNQ58"/>
      <c r="HNR58"/>
      <c r="HNS58"/>
      <c r="HNT58"/>
      <c r="HNU58"/>
      <c r="HNV58"/>
      <c r="HNW58"/>
      <c r="HNX58"/>
      <c r="HNY58"/>
      <c r="HNZ58"/>
      <c r="HOA58"/>
      <c r="HOB58"/>
      <c r="HOC58"/>
      <c r="HOD58"/>
      <c r="HOE58"/>
      <c r="HOF58"/>
      <c r="HOG58"/>
      <c r="HOH58"/>
      <c r="HOI58"/>
      <c r="HOJ58"/>
      <c r="HOK58"/>
      <c r="HOL58"/>
      <c r="HOM58"/>
      <c r="HON58"/>
      <c r="HOO58"/>
      <c r="HOP58"/>
      <c r="HOQ58"/>
      <c r="HOR58"/>
      <c r="HOS58"/>
      <c r="HOT58"/>
      <c r="HOU58"/>
      <c r="HOV58"/>
      <c r="HOW58"/>
      <c r="HOX58"/>
      <c r="HOY58"/>
      <c r="HOZ58"/>
      <c r="HPA58"/>
      <c r="HPB58"/>
      <c r="HPC58"/>
      <c r="HPD58"/>
      <c r="HPE58"/>
      <c r="HPF58"/>
      <c r="HPG58"/>
      <c r="HPH58"/>
      <c r="HPI58"/>
      <c r="HPJ58"/>
      <c r="HPK58"/>
      <c r="HPL58"/>
      <c r="HPM58"/>
      <c r="HPN58"/>
      <c r="HPO58"/>
      <c r="HPP58"/>
      <c r="HPQ58"/>
      <c r="HPR58"/>
      <c r="HPS58"/>
      <c r="HPT58"/>
      <c r="HPU58"/>
      <c r="HPV58"/>
      <c r="HPW58"/>
      <c r="HPX58"/>
      <c r="HPY58"/>
      <c r="HPZ58"/>
      <c r="HQA58"/>
      <c r="HQB58"/>
      <c r="HQC58"/>
      <c r="HQD58"/>
      <c r="HQE58"/>
      <c r="HQF58"/>
      <c r="HQG58"/>
      <c r="HQH58"/>
      <c r="HQI58"/>
      <c r="HQJ58"/>
      <c r="HQK58"/>
      <c r="HQL58"/>
      <c r="HQM58"/>
      <c r="HQN58"/>
      <c r="HQO58"/>
      <c r="HQP58"/>
      <c r="HQQ58"/>
      <c r="HQR58"/>
      <c r="HQS58"/>
      <c r="HQT58"/>
      <c r="HQU58"/>
      <c r="HQV58"/>
      <c r="HQW58"/>
      <c r="HQX58"/>
      <c r="HQY58"/>
      <c r="HQZ58"/>
      <c r="HRA58"/>
      <c r="HRB58"/>
      <c r="HRC58"/>
      <c r="HRD58"/>
      <c r="HRE58"/>
      <c r="HRF58"/>
      <c r="HRG58"/>
      <c r="HRH58"/>
      <c r="HRI58"/>
      <c r="HRJ58"/>
      <c r="HRK58"/>
      <c r="HRL58"/>
      <c r="HRM58"/>
      <c r="HRN58"/>
      <c r="HRO58"/>
      <c r="HRP58"/>
      <c r="HRQ58"/>
      <c r="HRR58"/>
      <c r="HRS58"/>
      <c r="HRT58"/>
      <c r="HRU58"/>
      <c r="HRV58"/>
      <c r="HRW58"/>
      <c r="HRX58"/>
      <c r="HRY58"/>
      <c r="HRZ58"/>
      <c r="HSA58"/>
      <c r="HSB58"/>
      <c r="HSC58"/>
      <c r="HSD58"/>
      <c r="HSE58"/>
      <c r="HSF58"/>
      <c r="HSG58"/>
      <c r="HSH58"/>
      <c r="HSI58"/>
      <c r="HSJ58"/>
      <c r="HSK58"/>
      <c r="HSL58"/>
      <c r="HSM58"/>
      <c r="HSN58"/>
      <c r="HSO58"/>
      <c r="HSP58"/>
      <c r="HSQ58"/>
      <c r="HSR58"/>
      <c r="HSS58"/>
      <c r="HST58"/>
      <c r="HSU58"/>
      <c r="HSV58"/>
      <c r="HSW58"/>
      <c r="HSX58"/>
      <c r="HSY58"/>
      <c r="HSZ58"/>
      <c r="HTA58"/>
      <c r="HTB58"/>
      <c r="HTC58"/>
      <c r="HTD58"/>
      <c r="HTE58"/>
      <c r="HTF58"/>
      <c r="HTG58"/>
      <c r="HTH58"/>
      <c r="HTI58"/>
      <c r="HTJ58"/>
      <c r="HTK58"/>
      <c r="HTL58"/>
      <c r="HTM58"/>
      <c r="HTN58"/>
      <c r="HTO58"/>
      <c r="HTP58"/>
      <c r="HTQ58"/>
      <c r="HTR58"/>
      <c r="HTS58"/>
      <c r="HTT58"/>
      <c r="HTU58"/>
      <c r="HTV58"/>
      <c r="HTW58"/>
      <c r="HTX58"/>
      <c r="HTY58"/>
      <c r="HTZ58"/>
      <c r="HUA58"/>
      <c r="HUB58"/>
      <c r="HUC58"/>
      <c r="HUD58"/>
      <c r="HUE58"/>
      <c r="HUF58"/>
      <c r="HUG58"/>
      <c r="HUH58"/>
      <c r="HUI58"/>
      <c r="HUJ58"/>
      <c r="HUK58"/>
      <c r="HUL58"/>
      <c r="HUM58"/>
      <c r="HUN58"/>
      <c r="HUO58"/>
      <c r="HUP58"/>
      <c r="HUQ58"/>
      <c r="HUR58"/>
      <c r="HUS58"/>
      <c r="HUT58"/>
      <c r="HUU58"/>
      <c r="HUV58"/>
      <c r="HUW58"/>
      <c r="HUX58"/>
      <c r="HUY58"/>
      <c r="HUZ58"/>
      <c r="HVA58"/>
      <c r="HVB58"/>
      <c r="HVC58"/>
      <c r="HVD58"/>
      <c r="HVE58"/>
      <c r="HVF58"/>
      <c r="HVG58"/>
      <c r="HVH58"/>
      <c r="HVI58"/>
      <c r="HVJ58"/>
      <c r="HVK58"/>
      <c r="HVL58"/>
      <c r="HVM58"/>
      <c r="HVN58"/>
      <c r="HVO58"/>
      <c r="HVP58"/>
      <c r="HVQ58"/>
      <c r="HVR58"/>
      <c r="HVS58"/>
      <c r="HVT58"/>
      <c r="HVU58"/>
      <c r="HVV58"/>
      <c r="HVW58"/>
      <c r="HVX58"/>
      <c r="HVY58"/>
      <c r="HVZ58"/>
      <c r="HWA58"/>
      <c r="HWB58"/>
      <c r="HWC58"/>
      <c r="HWD58"/>
      <c r="HWE58"/>
      <c r="HWF58"/>
      <c r="HWG58"/>
      <c r="HWH58"/>
      <c r="HWI58"/>
      <c r="HWJ58"/>
      <c r="HWK58"/>
      <c r="HWL58"/>
      <c r="HWM58"/>
      <c r="HWN58"/>
      <c r="HWO58"/>
      <c r="HWP58"/>
      <c r="HWQ58"/>
      <c r="HWR58"/>
      <c r="HWS58"/>
      <c r="HWT58"/>
      <c r="HWU58"/>
      <c r="HWV58"/>
      <c r="HWW58"/>
      <c r="HWX58"/>
      <c r="HWY58"/>
      <c r="HWZ58"/>
      <c r="HXA58"/>
      <c r="HXB58"/>
      <c r="HXC58"/>
      <c r="HXD58"/>
      <c r="HXE58"/>
      <c r="HXF58"/>
      <c r="HXG58"/>
      <c r="HXH58"/>
      <c r="HXI58"/>
      <c r="HXJ58"/>
      <c r="HXK58"/>
      <c r="HXL58"/>
      <c r="HXM58"/>
      <c r="HXN58"/>
      <c r="HXO58"/>
      <c r="HXP58"/>
      <c r="HXQ58"/>
      <c r="HXR58"/>
      <c r="HXS58"/>
      <c r="HXT58"/>
      <c r="HXU58"/>
      <c r="HXV58"/>
      <c r="HXW58"/>
      <c r="HXX58"/>
      <c r="HXY58"/>
      <c r="HXZ58"/>
      <c r="HYA58"/>
      <c r="HYB58"/>
      <c r="HYC58"/>
      <c r="HYD58"/>
      <c r="HYE58"/>
      <c r="HYF58"/>
      <c r="HYG58"/>
      <c r="HYH58"/>
      <c r="HYI58"/>
      <c r="HYJ58"/>
      <c r="HYK58"/>
      <c r="HYL58"/>
      <c r="HYM58"/>
      <c r="HYN58"/>
      <c r="HYO58"/>
      <c r="HYP58"/>
      <c r="HYQ58"/>
      <c r="HYR58"/>
      <c r="HYS58"/>
      <c r="HYT58"/>
      <c r="HYU58"/>
      <c r="HYV58"/>
      <c r="HYW58"/>
      <c r="HYX58"/>
      <c r="HYY58"/>
      <c r="HYZ58"/>
      <c r="HZA58"/>
      <c r="HZB58"/>
      <c r="HZC58"/>
      <c r="HZD58"/>
      <c r="HZE58"/>
      <c r="HZF58"/>
      <c r="HZG58"/>
      <c r="HZH58"/>
      <c r="HZI58"/>
      <c r="HZJ58"/>
      <c r="HZK58"/>
      <c r="HZL58"/>
      <c r="HZM58"/>
      <c r="HZN58"/>
      <c r="HZO58"/>
      <c r="HZP58"/>
      <c r="HZQ58"/>
      <c r="HZR58"/>
      <c r="HZS58"/>
      <c r="HZT58"/>
      <c r="HZU58"/>
      <c r="HZV58"/>
      <c r="HZW58"/>
      <c r="HZX58"/>
      <c r="HZY58"/>
      <c r="HZZ58"/>
      <c r="IAA58"/>
      <c r="IAB58"/>
      <c r="IAC58"/>
      <c r="IAD58"/>
      <c r="IAE58"/>
      <c r="IAF58"/>
      <c r="IAG58"/>
      <c r="IAH58"/>
      <c r="IAI58"/>
      <c r="IAJ58"/>
      <c r="IAK58"/>
      <c r="IAL58"/>
      <c r="IAM58"/>
      <c r="IAN58"/>
      <c r="IAO58"/>
      <c r="IAP58"/>
      <c r="IAQ58"/>
      <c r="IAR58"/>
      <c r="IAS58"/>
      <c r="IAT58"/>
      <c r="IAU58"/>
      <c r="IAV58"/>
      <c r="IAW58"/>
      <c r="IAX58"/>
      <c r="IAY58"/>
      <c r="IAZ58"/>
      <c r="IBA58"/>
      <c r="IBB58"/>
      <c r="IBC58"/>
      <c r="IBD58"/>
      <c r="IBE58"/>
      <c r="IBF58"/>
      <c r="IBG58"/>
      <c r="IBH58"/>
      <c r="IBI58"/>
      <c r="IBJ58"/>
      <c r="IBK58"/>
      <c r="IBL58"/>
      <c r="IBM58"/>
      <c r="IBN58"/>
      <c r="IBO58"/>
      <c r="IBP58"/>
      <c r="IBQ58"/>
      <c r="IBR58"/>
      <c r="IBS58"/>
      <c r="IBT58"/>
      <c r="IBU58"/>
      <c r="IBV58"/>
      <c r="IBW58"/>
      <c r="IBX58"/>
      <c r="IBY58"/>
      <c r="IBZ58"/>
      <c r="ICA58"/>
      <c r="ICB58"/>
      <c r="ICC58"/>
      <c r="ICD58"/>
      <c r="ICE58"/>
      <c r="ICF58"/>
      <c r="ICG58"/>
      <c r="ICH58"/>
      <c r="ICI58"/>
      <c r="ICJ58"/>
      <c r="ICK58"/>
      <c r="ICL58"/>
      <c r="ICM58"/>
      <c r="ICN58"/>
      <c r="ICO58"/>
      <c r="ICP58"/>
      <c r="ICQ58"/>
      <c r="ICR58"/>
      <c r="ICS58"/>
      <c r="ICT58"/>
      <c r="ICU58"/>
      <c r="ICV58"/>
      <c r="ICW58"/>
      <c r="ICX58"/>
      <c r="ICY58"/>
      <c r="ICZ58"/>
      <c r="IDA58"/>
      <c r="IDB58"/>
      <c r="IDC58"/>
      <c r="IDD58"/>
      <c r="IDE58"/>
      <c r="IDF58"/>
      <c r="IDG58"/>
      <c r="IDH58"/>
      <c r="IDI58"/>
      <c r="IDJ58"/>
      <c r="IDK58"/>
      <c r="IDL58"/>
      <c r="IDM58"/>
      <c r="IDN58"/>
      <c r="IDO58"/>
      <c r="IDP58"/>
      <c r="IDQ58"/>
      <c r="IDR58"/>
      <c r="IDS58"/>
      <c r="IDT58"/>
      <c r="IDU58"/>
      <c r="IDV58"/>
      <c r="IDW58"/>
      <c r="IDX58"/>
      <c r="IDY58"/>
      <c r="IDZ58"/>
      <c r="IEA58"/>
      <c r="IEB58"/>
      <c r="IEC58"/>
      <c r="IED58"/>
      <c r="IEE58"/>
      <c r="IEF58"/>
      <c r="IEG58"/>
      <c r="IEH58"/>
      <c r="IEI58"/>
      <c r="IEJ58"/>
      <c r="IEK58"/>
      <c r="IEL58"/>
      <c r="IEM58"/>
      <c r="IEN58"/>
      <c r="IEO58"/>
      <c r="IEP58"/>
      <c r="IEQ58"/>
      <c r="IER58"/>
      <c r="IES58"/>
      <c r="IET58"/>
      <c r="IEU58"/>
      <c r="IEV58"/>
      <c r="IEW58"/>
      <c r="IEX58"/>
      <c r="IEY58"/>
      <c r="IEZ58"/>
      <c r="IFA58"/>
      <c r="IFB58"/>
      <c r="IFC58"/>
      <c r="IFD58"/>
      <c r="IFE58"/>
      <c r="IFF58"/>
      <c r="IFG58"/>
      <c r="IFH58"/>
      <c r="IFI58"/>
      <c r="IFJ58"/>
      <c r="IFK58"/>
      <c r="IFL58"/>
      <c r="IFM58"/>
      <c r="IFN58"/>
      <c r="IFO58"/>
      <c r="IFP58"/>
      <c r="IFQ58"/>
      <c r="IFR58"/>
      <c r="IFS58"/>
      <c r="IFT58"/>
      <c r="IFU58"/>
      <c r="IFV58"/>
      <c r="IFW58"/>
      <c r="IFX58"/>
      <c r="IFY58"/>
      <c r="IFZ58"/>
      <c r="IGA58"/>
      <c r="IGB58"/>
      <c r="IGC58"/>
      <c r="IGD58"/>
      <c r="IGE58"/>
      <c r="IGF58"/>
      <c r="IGG58"/>
      <c r="IGH58"/>
      <c r="IGI58"/>
      <c r="IGJ58"/>
      <c r="IGK58"/>
      <c r="IGL58"/>
      <c r="IGM58"/>
      <c r="IGN58"/>
      <c r="IGO58"/>
      <c r="IGP58"/>
      <c r="IGQ58"/>
      <c r="IGR58"/>
      <c r="IGS58"/>
      <c r="IGT58"/>
      <c r="IGU58"/>
      <c r="IGV58"/>
      <c r="IGW58"/>
      <c r="IGX58"/>
      <c r="IGY58"/>
      <c r="IGZ58"/>
      <c r="IHA58"/>
      <c r="IHB58"/>
      <c r="IHC58"/>
      <c r="IHD58"/>
      <c r="IHE58"/>
      <c r="IHF58"/>
      <c r="IHG58"/>
      <c r="IHH58"/>
      <c r="IHI58"/>
      <c r="IHJ58"/>
      <c r="IHK58"/>
      <c r="IHL58"/>
      <c r="IHM58"/>
      <c r="IHN58"/>
      <c r="IHO58"/>
      <c r="IHP58"/>
      <c r="IHQ58"/>
      <c r="IHR58"/>
      <c r="IHS58"/>
      <c r="IHT58"/>
      <c r="IHU58"/>
      <c r="IHV58"/>
      <c r="IHW58"/>
      <c r="IHX58"/>
      <c r="IHY58"/>
      <c r="IHZ58"/>
      <c r="IIA58"/>
      <c r="IIB58"/>
      <c r="IIC58"/>
      <c r="IID58"/>
      <c r="IIE58"/>
      <c r="IIF58"/>
      <c r="IIG58"/>
      <c r="IIH58"/>
      <c r="III58"/>
      <c r="IIJ58"/>
      <c r="IIK58"/>
      <c r="IIL58"/>
      <c r="IIM58"/>
      <c r="IIN58"/>
      <c r="IIO58"/>
      <c r="IIP58"/>
      <c r="IIQ58"/>
      <c r="IIR58"/>
      <c r="IIS58"/>
      <c r="IIT58"/>
      <c r="IIU58"/>
      <c r="IIV58"/>
      <c r="IIW58"/>
      <c r="IIX58"/>
      <c r="IIY58"/>
      <c r="IIZ58"/>
      <c r="IJA58"/>
      <c r="IJB58"/>
      <c r="IJC58"/>
      <c r="IJD58"/>
      <c r="IJE58"/>
      <c r="IJF58"/>
      <c r="IJG58"/>
      <c r="IJH58"/>
      <c r="IJI58"/>
      <c r="IJJ58"/>
      <c r="IJK58"/>
      <c r="IJL58"/>
      <c r="IJM58"/>
      <c r="IJN58"/>
      <c r="IJO58"/>
      <c r="IJP58"/>
      <c r="IJQ58"/>
      <c r="IJR58"/>
      <c r="IJS58"/>
      <c r="IJT58"/>
      <c r="IJU58"/>
      <c r="IJV58"/>
      <c r="IJW58"/>
      <c r="IJX58"/>
      <c r="IJY58"/>
      <c r="IJZ58"/>
      <c r="IKA58"/>
      <c r="IKB58"/>
      <c r="IKC58"/>
      <c r="IKD58"/>
      <c r="IKE58"/>
      <c r="IKF58"/>
      <c r="IKG58"/>
      <c r="IKH58"/>
      <c r="IKI58"/>
      <c r="IKJ58"/>
      <c r="IKK58"/>
      <c r="IKL58"/>
      <c r="IKM58"/>
      <c r="IKN58"/>
      <c r="IKO58"/>
      <c r="IKP58"/>
      <c r="IKQ58"/>
      <c r="IKR58"/>
      <c r="IKS58"/>
      <c r="IKT58"/>
      <c r="IKU58"/>
      <c r="IKV58"/>
      <c r="IKW58"/>
      <c r="IKX58"/>
      <c r="IKY58"/>
      <c r="IKZ58"/>
      <c r="ILA58"/>
      <c r="ILB58"/>
      <c r="ILC58"/>
      <c r="ILD58"/>
      <c r="ILE58"/>
      <c r="ILF58"/>
      <c r="ILG58"/>
      <c r="ILH58"/>
      <c r="ILI58"/>
      <c r="ILJ58"/>
      <c r="ILK58"/>
      <c r="ILL58"/>
      <c r="ILM58"/>
      <c r="ILN58"/>
      <c r="ILO58"/>
      <c r="ILP58"/>
      <c r="ILQ58"/>
      <c r="ILR58"/>
      <c r="ILS58"/>
      <c r="ILT58"/>
      <c r="ILU58"/>
      <c r="ILV58"/>
      <c r="ILW58"/>
      <c r="ILX58"/>
      <c r="ILY58"/>
      <c r="ILZ58"/>
      <c r="IMA58"/>
      <c r="IMB58"/>
      <c r="IMC58"/>
      <c r="IMD58"/>
      <c r="IME58"/>
      <c r="IMF58"/>
      <c r="IMG58"/>
      <c r="IMH58"/>
      <c r="IMI58"/>
      <c r="IMJ58"/>
      <c r="IMK58"/>
      <c r="IML58"/>
      <c r="IMM58"/>
      <c r="IMN58"/>
      <c r="IMO58"/>
      <c r="IMP58"/>
      <c r="IMQ58"/>
      <c r="IMR58"/>
      <c r="IMS58"/>
      <c r="IMT58"/>
      <c r="IMU58"/>
      <c r="IMV58"/>
      <c r="IMW58"/>
      <c r="IMX58"/>
      <c r="IMY58"/>
      <c r="IMZ58"/>
      <c r="INA58"/>
      <c r="INB58"/>
      <c r="INC58"/>
      <c r="IND58"/>
      <c r="INE58"/>
      <c r="INF58"/>
      <c r="ING58"/>
      <c r="INH58"/>
      <c r="INI58"/>
      <c r="INJ58"/>
      <c r="INK58"/>
      <c r="INL58"/>
      <c r="INM58"/>
      <c r="INN58"/>
      <c r="INO58"/>
      <c r="INP58"/>
      <c r="INQ58"/>
      <c r="INR58"/>
      <c r="INS58"/>
      <c r="INT58"/>
      <c r="INU58"/>
      <c r="INV58"/>
      <c r="INW58"/>
      <c r="INX58"/>
      <c r="INY58"/>
      <c r="INZ58"/>
      <c r="IOA58"/>
      <c r="IOB58"/>
      <c r="IOC58"/>
      <c r="IOD58"/>
      <c r="IOE58"/>
      <c r="IOF58"/>
      <c r="IOG58"/>
      <c r="IOH58"/>
      <c r="IOI58"/>
      <c r="IOJ58"/>
      <c r="IOK58"/>
      <c r="IOL58"/>
      <c r="IOM58"/>
      <c r="ION58"/>
      <c r="IOO58"/>
      <c r="IOP58"/>
      <c r="IOQ58"/>
      <c r="IOR58"/>
      <c r="IOS58"/>
      <c r="IOT58"/>
      <c r="IOU58"/>
      <c r="IOV58"/>
      <c r="IOW58"/>
      <c r="IOX58"/>
      <c r="IOY58"/>
      <c r="IOZ58"/>
      <c r="IPA58"/>
      <c r="IPB58"/>
      <c r="IPC58"/>
      <c r="IPD58"/>
      <c r="IPE58"/>
      <c r="IPF58"/>
      <c r="IPG58"/>
      <c r="IPH58"/>
      <c r="IPI58"/>
      <c r="IPJ58"/>
      <c r="IPK58"/>
      <c r="IPL58"/>
      <c r="IPM58"/>
      <c r="IPN58"/>
      <c r="IPO58"/>
      <c r="IPP58"/>
      <c r="IPQ58"/>
      <c r="IPR58"/>
      <c r="IPS58"/>
      <c r="IPT58"/>
      <c r="IPU58"/>
      <c r="IPV58"/>
      <c r="IPW58"/>
      <c r="IPX58"/>
      <c r="IPY58"/>
      <c r="IPZ58"/>
      <c r="IQA58"/>
      <c r="IQB58"/>
      <c r="IQC58"/>
      <c r="IQD58"/>
      <c r="IQE58"/>
      <c r="IQF58"/>
      <c r="IQG58"/>
      <c r="IQH58"/>
      <c r="IQI58"/>
      <c r="IQJ58"/>
      <c r="IQK58"/>
      <c r="IQL58"/>
      <c r="IQM58"/>
      <c r="IQN58"/>
      <c r="IQO58"/>
      <c r="IQP58"/>
      <c r="IQQ58"/>
      <c r="IQR58"/>
      <c r="IQS58"/>
      <c r="IQT58"/>
      <c r="IQU58"/>
      <c r="IQV58"/>
      <c r="IQW58"/>
      <c r="IQX58"/>
      <c r="IQY58"/>
      <c r="IQZ58"/>
      <c r="IRA58"/>
      <c r="IRB58"/>
      <c r="IRC58"/>
      <c r="IRD58"/>
      <c r="IRE58"/>
      <c r="IRF58"/>
      <c r="IRG58"/>
      <c r="IRH58"/>
      <c r="IRI58"/>
      <c r="IRJ58"/>
      <c r="IRK58"/>
      <c r="IRL58"/>
      <c r="IRM58"/>
      <c r="IRN58"/>
      <c r="IRO58"/>
      <c r="IRP58"/>
      <c r="IRQ58"/>
      <c r="IRR58"/>
      <c r="IRS58"/>
      <c r="IRT58"/>
      <c r="IRU58"/>
      <c r="IRV58"/>
      <c r="IRW58"/>
      <c r="IRX58"/>
      <c r="IRY58"/>
      <c r="IRZ58"/>
      <c r="ISA58"/>
      <c r="ISB58"/>
      <c r="ISC58"/>
      <c r="ISD58"/>
      <c r="ISE58"/>
      <c r="ISF58"/>
      <c r="ISG58"/>
      <c r="ISH58"/>
      <c r="ISI58"/>
      <c r="ISJ58"/>
      <c r="ISK58"/>
      <c r="ISL58"/>
      <c r="ISM58"/>
      <c r="ISN58"/>
      <c r="ISO58"/>
      <c r="ISP58"/>
      <c r="ISQ58"/>
      <c r="ISR58"/>
      <c r="ISS58"/>
      <c r="IST58"/>
      <c r="ISU58"/>
      <c r="ISV58"/>
      <c r="ISW58"/>
      <c r="ISX58"/>
      <c r="ISY58"/>
      <c r="ISZ58"/>
      <c r="ITA58"/>
      <c r="ITB58"/>
      <c r="ITC58"/>
      <c r="ITD58"/>
      <c r="ITE58"/>
      <c r="ITF58"/>
      <c r="ITG58"/>
      <c r="ITH58"/>
      <c r="ITI58"/>
      <c r="ITJ58"/>
      <c r="ITK58"/>
      <c r="ITL58"/>
      <c r="ITM58"/>
      <c r="ITN58"/>
      <c r="ITO58"/>
      <c r="ITP58"/>
      <c r="ITQ58"/>
      <c r="ITR58"/>
      <c r="ITS58"/>
      <c r="ITT58"/>
      <c r="ITU58"/>
      <c r="ITV58"/>
      <c r="ITW58"/>
      <c r="ITX58"/>
      <c r="ITY58"/>
      <c r="ITZ58"/>
      <c r="IUA58"/>
      <c r="IUB58"/>
      <c r="IUC58"/>
      <c r="IUD58"/>
      <c r="IUE58"/>
      <c r="IUF58"/>
      <c r="IUG58"/>
      <c r="IUH58"/>
      <c r="IUI58"/>
      <c r="IUJ58"/>
      <c r="IUK58"/>
      <c r="IUL58"/>
      <c r="IUM58"/>
      <c r="IUN58"/>
      <c r="IUO58"/>
      <c r="IUP58"/>
      <c r="IUQ58"/>
      <c r="IUR58"/>
      <c r="IUS58"/>
      <c r="IUT58"/>
      <c r="IUU58"/>
      <c r="IUV58"/>
      <c r="IUW58"/>
      <c r="IUX58"/>
      <c r="IUY58"/>
      <c r="IUZ58"/>
      <c r="IVA58"/>
      <c r="IVB58"/>
      <c r="IVC58"/>
      <c r="IVD58"/>
      <c r="IVE58"/>
      <c r="IVF58"/>
      <c r="IVG58"/>
      <c r="IVH58"/>
      <c r="IVI58"/>
      <c r="IVJ58"/>
      <c r="IVK58"/>
      <c r="IVL58"/>
      <c r="IVM58"/>
      <c r="IVN58"/>
      <c r="IVO58"/>
      <c r="IVP58"/>
      <c r="IVQ58"/>
      <c r="IVR58"/>
      <c r="IVS58"/>
      <c r="IVT58"/>
      <c r="IVU58"/>
      <c r="IVV58"/>
      <c r="IVW58"/>
      <c r="IVX58"/>
      <c r="IVY58"/>
      <c r="IVZ58"/>
      <c r="IWA58"/>
      <c r="IWB58"/>
      <c r="IWC58"/>
      <c r="IWD58"/>
      <c r="IWE58"/>
      <c r="IWF58"/>
      <c r="IWG58"/>
      <c r="IWH58"/>
      <c r="IWI58"/>
      <c r="IWJ58"/>
      <c r="IWK58"/>
      <c r="IWL58"/>
      <c r="IWM58"/>
      <c r="IWN58"/>
      <c r="IWO58"/>
      <c r="IWP58"/>
      <c r="IWQ58"/>
      <c r="IWR58"/>
      <c r="IWS58"/>
      <c r="IWT58"/>
      <c r="IWU58"/>
      <c r="IWV58"/>
      <c r="IWW58"/>
      <c r="IWX58"/>
      <c r="IWY58"/>
      <c r="IWZ58"/>
      <c r="IXA58"/>
      <c r="IXB58"/>
      <c r="IXC58"/>
      <c r="IXD58"/>
      <c r="IXE58"/>
      <c r="IXF58"/>
      <c r="IXG58"/>
      <c r="IXH58"/>
      <c r="IXI58"/>
      <c r="IXJ58"/>
      <c r="IXK58"/>
      <c r="IXL58"/>
      <c r="IXM58"/>
      <c r="IXN58"/>
      <c r="IXO58"/>
      <c r="IXP58"/>
      <c r="IXQ58"/>
      <c r="IXR58"/>
      <c r="IXS58"/>
      <c r="IXT58"/>
      <c r="IXU58"/>
      <c r="IXV58"/>
      <c r="IXW58"/>
      <c r="IXX58"/>
      <c r="IXY58"/>
      <c r="IXZ58"/>
      <c r="IYA58"/>
      <c r="IYB58"/>
      <c r="IYC58"/>
      <c r="IYD58"/>
      <c r="IYE58"/>
      <c r="IYF58"/>
      <c r="IYG58"/>
      <c r="IYH58"/>
      <c r="IYI58"/>
      <c r="IYJ58"/>
      <c r="IYK58"/>
      <c r="IYL58"/>
      <c r="IYM58"/>
      <c r="IYN58"/>
      <c r="IYO58"/>
      <c r="IYP58"/>
      <c r="IYQ58"/>
      <c r="IYR58"/>
      <c r="IYS58"/>
      <c r="IYT58"/>
      <c r="IYU58"/>
      <c r="IYV58"/>
      <c r="IYW58"/>
      <c r="IYX58"/>
      <c r="IYY58"/>
      <c r="IYZ58"/>
      <c r="IZA58"/>
      <c r="IZB58"/>
      <c r="IZC58"/>
      <c r="IZD58"/>
      <c r="IZE58"/>
      <c r="IZF58"/>
      <c r="IZG58"/>
      <c r="IZH58"/>
      <c r="IZI58"/>
      <c r="IZJ58"/>
      <c r="IZK58"/>
      <c r="IZL58"/>
      <c r="IZM58"/>
      <c r="IZN58"/>
      <c r="IZO58"/>
      <c r="IZP58"/>
      <c r="IZQ58"/>
      <c r="IZR58"/>
      <c r="IZS58"/>
      <c r="IZT58"/>
      <c r="IZU58"/>
      <c r="IZV58"/>
      <c r="IZW58"/>
      <c r="IZX58"/>
      <c r="IZY58"/>
      <c r="IZZ58"/>
      <c r="JAA58"/>
      <c r="JAB58"/>
      <c r="JAC58"/>
      <c r="JAD58"/>
      <c r="JAE58"/>
      <c r="JAF58"/>
      <c r="JAG58"/>
      <c r="JAH58"/>
      <c r="JAI58"/>
      <c r="JAJ58"/>
      <c r="JAK58"/>
      <c r="JAL58"/>
      <c r="JAM58"/>
      <c r="JAN58"/>
      <c r="JAO58"/>
      <c r="JAP58"/>
      <c r="JAQ58"/>
      <c r="JAR58"/>
      <c r="JAS58"/>
      <c r="JAT58"/>
      <c r="JAU58"/>
      <c r="JAV58"/>
      <c r="JAW58"/>
      <c r="JAX58"/>
      <c r="JAY58"/>
      <c r="JAZ58"/>
      <c r="JBA58"/>
      <c r="JBB58"/>
      <c r="JBC58"/>
      <c r="JBD58"/>
      <c r="JBE58"/>
      <c r="JBF58"/>
      <c r="JBG58"/>
      <c r="JBH58"/>
      <c r="JBI58"/>
      <c r="JBJ58"/>
      <c r="JBK58"/>
      <c r="JBL58"/>
      <c r="JBM58"/>
      <c r="JBN58"/>
      <c r="JBO58"/>
      <c r="JBP58"/>
      <c r="JBQ58"/>
      <c r="JBR58"/>
      <c r="JBS58"/>
      <c r="JBT58"/>
      <c r="JBU58"/>
      <c r="JBV58"/>
      <c r="JBW58"/>
      <c r="JBX58"/>
      <c r="JBY58"/>
      <c r="JBZ58"/>
      <c r="JCA58"/>
      <c r="JCB58"/>
      <c r="JCC58"/>
      <c r="JCD58"/>
      <c r="JCE58"/>
      <c r="JCF58"/>
      <c r="JCG58"/>
      <c r="JCH58"/>
      <c r="JCI58"/>
      <c r="JCJ58"/>
      <c r="JCK58"/>
      <c r="JCL58"/>
      <c r="JCM58"/>
      <c r="JCN58"/>
      <c r="JCO58"/>
      <c r="JCP58"/>
      <c r="JCQ58"/>
      <c r="JCR58"/>
      <c r="JCS58"/>
      <c r="JCT58"/>
      <c r="JCU58"/>
      <c r="JCV58"/>
      <c r="JCW58"/>
      <c r="JCX58"/>
      <c r="JCY58"/>
      <c r="JCZ58"/>
      <c r="JDA58"/>
      <c r="JDB58"/>
      <c r="JDC58"/>
      <c r="JDD58"/>
      <c r="JDE58"/>
      <c r="JDF58"/>
      <c r="JDG58"/>
      <c r="JDH58"/>
      <c r="JDI58"/>
      <c r="JDJ58"/>
      <c r="JDK58"/>
      <c r="JDL58"/>
      <c r="JDM58"/>
      <c r="JDN58"/>
      <c r="JDO58"/>
      <c r="JDP58"/>
      <c r="JDQ58"/>
      <c r="JDR58"/>
      <c r="JDS58"/>
      <c r="JDT58"/>
      <c r="JDU58"/>
      <c r="JDV58"/>
      <c r="JDW58"/>
      <c r="JDX58"/>
      <c r="JDY58"/>
      <c r="JDZ58"/>
      <c r="JEA58"/>
      <c r="JEB58"/>
      <c r="JEC58"/>
      <c r="JED58"/>
      <c r="JEE58"/>
      <c r="JEF58"/>
      <c r="JEG58"/>
      <c r="JEH58"/>
      <c r="JEI58"/>
      <c r="JEJ58"/>
      <c r="JEK58"/>
      <c r="JEL58"/>
      <c r="JEM58"/>
      <c r="JEN58"/>
      <c r="JEO58"/>
      <c r="JEP58"/>
      <c r="JEQ58"/>
      <c r="JER58"/>
      <c r="JES58"/>
      <c r="JET58"/>
      <c r="JEU58"/>
      <c r="JEV58"/>
      <c r="JEW58"/>
      <c r="JEX58"/>
      <c r="JEY58"/>
      <c r="JEZ58"/>
      <c r="JFA58"/>
      <c r="JFB58"/>
      <c r="JFC58"/>
      <c r="JFD58"/>
      <c r="JFE58"/>
      <c r="JFF58"/>
      <c r="JFG58"/>
      <c r="JFH58"/>
      <c r="JFI58"/>
      <c r="JFJ58"/>
      <c r="JFK58"/>
      <c r="JFL58"/>
      <c r="JFM58"/>
      <c r="JFN58"/>
      <c r="JFO58"/>
      <c r="JFP58"/>
      <c r="JFQ58"/>
      <c r="JFR58"/>
      <c r="JFS58"/>
      <c r="JFT58"/>
      <c r="JFU58"/>
      <c r="JFV58"/>
      <c r="JFW58"/>
      <c r="JFX58"/>
      <c r="JFY58"/>
      <c r="JFZ58"/>
      <c r="JGA58"/>
      <c r="JGB58"/>
      <c r="JGC58"/>
      <c r="JGD58"/>
      <c r="JGE58"/>
      <c r="JGF58"/>
      <c r="JGG58"/>
      <c r="JGH58"/>
      <c r="JGI58"/>
      <c r="JGJ58"/>
      <c r="JGK58"/>
      <c r="JGL58"/>
      <c r="JGM58"/>
      <c r="JGN58"/>
      <c r="JGO58"/>
      <c r="JGP58"/>
      <c r="JGQ58"/>
      <c r="JGR58"/>
      <c r="JGS58"/>
      <c r="JGT58"/>
      <c r="JGU58"/>
      <c r="JGV58"/>
      <c r="JGW58"/>
      <c r="JGX58"/>
      <c r="JGY58"/>
      <c r="JGZ58"/>
      <c r="JHA58"/>
      <c r="JHB58"/>
      <c r="JHC58"/>
      <c r="JHD58"/>
      <c r="JHE58"/>
      <c r="JHF58"/>
      <c r="JHG58"/>
      <c r="JHH58"/>
      <c r="JHI58"/>
      <c r="JHJ58"/>
      <c r="JHK58"/>
      <c r="JHL58"/>
      <c r="JHM58"/>
      <c r="JHN58"/>
      <c r="JHO58"/>
      <c r="JHP58"/>
      <c r="JHQ58"/>
      <c r="JHR58"/>
      <c r="JHS58"/>
      <c r="JHT58"/>
      <c r="JHU58"/>
      <c r="JHV58"/>
      <c r="JHW58"/>
      <c r="JHX58"/>
      <c r="JHY58"/>
      <c r="JHZ58"/>
      <c r="JIA58"/>
      <c r="JIB58"/>
      <c r="JIC58"/>
      <c r="JID58"/>
      <c r="JIE58"/>
      <c r="JIF58"/>
      <c r="JIG58"/>
      <c r="JIH58"/>
      <c r="JII58"/>
      <c r="JIJ58"/>
      <c r="JIK58"/>
      <c r="JIL58"/>
      <c r="JIM58"/>
      <c r="JIN58"/>
      <c r="JIO58"/>
      <c r="JIP58"/>
      <c r="JIQ58"/>
      <c r="JIR58"/>
      <c r="JIS58"/>
      <c r="JIT58"/>
      <c r="JIU58"/>
      <c r="JIV58"/>
      <c r="JIW58"/>
      <c r="JIX58"/>
      <c r="JIY58"/>
      <c r="JIZ58"/>
      <c r="JJA58"/>
      <c r="JJB58"/>
      <c r="JJC58"/>
      <c r="JJD58"/>
      <c r="JJE58"/>
      <c r="JJF58"/>
      <c r="JJG58"/>
      <c r="JJH58"/>
      <c r="JJI58"/>
      <c r="JJJ58"/>
      <c r="JJK58"/>
      <c r="JJL58"/>
      <c r="JJM58"/>
      <c r="JJN58"/>
      <c r="JJO58"/>
      <c r="JJP58"/>
      <c r="JJQ58"/>
      <c r="JJR58"/>
      <c r="JJS58"/>
      <c r="JJT58"/>
      <c r="JJU58"/>
      <c r="JJV58"/>
      <c r="JJW58"/>
      <c r="JJX58"/>
      <c r="JJY58"/>
      <c r="JJZ58"/>
      <c r="JKA58"/>
      <c r="JKB58"/>
      <c r="JKC58"/>
      <c r="JKD58"/>
      <c r="JKE58"/>
      <c r="JKF58"/>
      <c r="JKG58"/>
      <c r="JKH58"/>
      <c r="JKI58"/>
      <c r="JKJ58"/>
      <c r="JKK58"/>
      <c r="JKL58"/>
      <c r="JKM58"/>
      <c r="JKN58"/>
      <c r="JKO58"/>
      <c r="JKP58"/>
      <c r="JKQ58"/>
      <c r="JKR58"/>
      <c r="JKS58"/>
      <c r="JKT58"/>
      <c r="JKU58"/>
      <c r="JKV58"/>
      <c r="JKW58"/>
      <c r="JKX58"/>
      <c r="JKY58"/>
      <c r="JKZ58"/>
      <c r="JLA58"/>
      <c r="JLB58"/>
      <c r="JLC58"/>
      <c r="JLD58"/>
      <c r="JLE58"/>
      <c r="JLF58"/>
      <c r="JLG58"/>
      <c r="JLH58"/>
      <c r="JLI58"/>
      <c r="JLJ58"/>
      <c r="JLK58"/>
      <c r="JLL58"/>
      <c r="JLM58"/>
      <c r="JLN58"/>
      <c r="JLO58"/>
      <c r="JLP58"/>
      <c r="JLQ58"/>
      <c r="JLR58"/>
      <c r="JLS58"/>
      <c r="JLT58"/>
      <c r="JLU58"/>
      <c r="JLV58"/>
      <c r="JLW58"/>
      <c r="JLX58"/>
      <c r="JLY58"/>
      <c r="JLZ58"/>
      <c r="JMA58"/>
      <c r="JMB58"/>
      <c r="JMC58"/>
      <c r="JMD58"/>
      <c r="JME58"/>
      <c r="JMF58"/>
      <c r="JMG58"/>
      <c r="JMH58"/>
      <c r="JMI58"/>
      <c r="JMJ58"/>
      <c r="JMK58"/>
      <c r="JML58"/>
      <c r="JMM58"/>
      <c r="JMN58"/>
      <c r="JMO58"/>
      <c r="JMP58"/>
      <c r="JMQ58"/>
      <c r="JMR58"/>
      <c r="JMS58"/>
      <c r="JMT58"/>
      <c r="JMU58"/>
      <c r="JMV58"/>
      <c r="JMW58"/>
      <c r="JMX58"/>
      <c r="JMY58"/>
      <c r="JMZ58"/>
      <c r="JNA58"/>
      <c r="JNB58"/>
      <c r="JNC58"/>
      <c r="JND58"/>
      <c r="JNE58"/>
      <c r="JNF58"/>
      <c r="JNG58"/>
      <c r="JNH58"/>
      <c r="JNI58"/>
      <c r="JNJ58"/>
      <c r="JNK58"/>
      <c r="JNL58"/>
      <c r="JNM58"/>
      <c r="JNN58"/>
      <c r="JNO58"/>
      <c r="JNP58"/>
      <c r="JNQ58"/>
      <c r="JNR58"/>
      <c r="JNS58"/>
      <c r="JNT58"/>
      <c r="JNU58"/>
      <c r="JNV58"/>
      <c r="JNW58"/>
      <c r="JNX58"/>
      <c r="JNY58"/>
      <c r="JNZ58"/>
      <c r="JOA58"/>
      <c r="JOB58"/>
      <c r="JOC58"/>
      <c r="JOD58"/>
      <c r="JOE58"/>
      <c r="JOF58"/>
      <c r="JOG58"/>
      <c r="JOH58"/>
      <c r="JOI58"/>
      <c r="JOJ58"/>
      <c r="JOK58"/>
      <c r="JOL58"/>
      <c r="JOM58"/>
      <c r="JON58"/>
      <c r="JOO58"/>
      <c r="JOP58"/>
      <c r="JOQ58"/>
      <c r="JOR58"/>
      <c r="JOS58"/>
      <c r="JOT58"/>
      <c r="JOU58"/>
      <c r="JOV58"/>
      <c r="JOW58"/>
      <c r="JOX58"/>
      <c r="JOY58"/>
      <c r="JOZ58"/>
      <c r="JPA58"/>
      <c r="JPB58"/>
      <c r="JPC58"/>
      <c r="JPD58"/>
      <c r="JPE58"/>
      <c r="JPF58"/>
      <c r="JPG58"/>
      <c r="JPH58"/>
      <c r="JPI58"/>
      <c r="JPJ58"/>
      <c r="JPK58"/>
      <c r="JPL58"/>
      <c r="JPM58"/>
      <c r="JPN58"/>
      <c r="JPO58"/>
      <c r="JPP58"/>
      <c r="JPQ58"/>
      <c r="JPR58"/>
      <c r="JPS58"/>
      <c r="JPT58"/>
      <c r="JPU58"/>
      <c r="JPV58"/>
      <c r="JPW58"/>
      <c r="JPX58"/>
      <c r="JPY58"/>
      <c r="JPZ58"/>
      <c r="JQA58"/>
      <c r="JQB58"/>
      <c r="JQC58"/>
      <c r="JQD58"/>
      <c r="JQE58"/>
      <c r="JQF58"/>
      <c r="JQG58"/>
      <c r="JQH58"/>
      <c r="JQI58"/>
      <c r="JQJ58"/>
      <c r="JQK58"/>
      <c r="JQL58"/>
      <c r="JQM58"/>
      <c r="JQN58"/>
      <c r="JQO58"/>
      <c r="JQP58"/>
      <c r="JQQ58"/>
      <c r="JQR58"/>
      <c r="JQS58"/>
      <c r="JQT58"/>
      <c r="JQU58"/>
      <c r="JQV58"/>
      <c r="JQW58"/>
      <c r="JQX58"/>
      <c r="JQY58"/>
      <c r="JQZ58"/>
      <c r="JRA58"/>
      <c r="JRB58"/>
      <c r="JRC58"/>
      <c r="JRD58"/>
      <c r="JRE58"/>
      <c r="JRF58"/>
      <c r="JRG58"/>
      <c r="JRH58"/>
      <c r="JRI58"/>
      <c r="JRJ58"/>
      <c r="JRK58"/>
      <c r="JRL58"/>
      <c r="JRM58"/>
      <c r="JRN58"/>
      <c r="JRO58"/>
      <c r="JRP58"/>
      <c r="JRQ58"/>
      <c r="JRR58"/>
      <c r="JRS58"/>
      <c r="JRT58"/>
      <c r="JRU58"/>
      <c r="JRV58"/>
      <c r="JRW58"/>
      <c r="JRX58"/>
      <c r="JRY58"/>
      <c r="JRZ58"/>
      <c r="JSA58"/>
      <c r="JSB58"/>
      <c r="JSC58"/>
      <c r="JSD58"/>
      <c r="JSE58"/>
      <c r="JSF58"/>
      <c r="JSG58"/>
      <c r="JSH58"/>
      <c r="JSI58"/>
      <c r="JSJ58"/>
      <c r="JSK58"/>
      <c r="JSL58"/>
      <c r="JSM58"/>
      <c r="JSN58"/>
      <c r="JSO58"/>
      <c r="JSP58"/>
      <c r="JSQ58"/>
      <c r="JSR58"/>
      <c r="JSS58"/>
      <c r="JST58"/>
      <c r="JSU58"/>
      <c r="JSV58"/>
      <c r="JSW58"/>
      <c r="JSX58"/>
      <c r="JSY58"/>
      <c r="JSZ58"/>
      <c r="JTA58"/>
      <c r="JTB58"/>
      <c r="JTC58"/>
      <c r="JTD58"/>
      <c r="JTE58"/>
      <c r="JTF58"/>
      <c r="JTG58"/>
      <c r="JTH58"/>
      <c r="JTI58"/>
      <c r="JTJ58"/>
      <c r="JTK58"/>
      <c r="JTL58"/>
      <c r="JTM58"/>
      <c r="JTN58"/>
      <c r="JTO58"/>
      <c r="JTP58"/>
      <c r="JTQ58"/>
      <c r="JTR58"/>
      <c r="JTS58"/>
      <c r="JTT58"/>
      <c r="JTU58"/>
      <c r="JTV58"/>
      <c r="JTW58"/>
      <c r="JTX58"/>
      <c r="JTY58"/>
      <c r="JTZ58"/>
      <c r="JUA58"/>
      <c r="JUB58"/>
      <c r="JUC58"/>
      <c r="JUD58"/>
      <c r="JUE58"/>
      <c r="JUF58"/>
      <c r="JUG58"/>
      <c r="JUH58"/>
      <c r="JUI58"/>
      <c r="JUJ58"/>
      <c r="JUK58"/>
      <c r="JUL58"/>
      <c r="JUM58"/>
      <c r="JUN58"/>
      <c r="JUO58"/>
      <c r="JUP58"/>
      <c r="JUQ58"/>
      <c r="JUR58"/>
      <c r="JUS58"/>
      <c r="JUT58"/>
      <c r="JUU58"/>
      <c r="JUV58"/>
      <c r="JUW58"/>
      <c r="JUX58"/>
      <c r="JUY58"/>
      <c r="JUZ58"/>
      <c r="JVA58"/>
      <c r="JVB58"/>
      <c r="JVC58"/>
      <c r="JVD58"/>
      <c r="JVE58"/>
      <c r="JVF58"/>
      <c r="JVG58"/>
      <c r="JVH58"/>
      <c r="JVI58"/>
      <c r="JVJ58"/>
      <c r="JVK58"/>
      <c r="JVL58"/>
      <c r="JVM58"/>
      <c r="JVN58"/>
      <c r="JVO58"/>
      <c r="JVP58"/>
      <c r="JVQ58"/>
      <c r="JVR58"/>
      <c r="JVS58"/>
      <c r="JVT58"/>
      <c r="JVU58"/>
      <c r="JVV58"/>
      <c r="JVW58"/>
      <c r="JVX58"/>
      <c r="JVY58"/>
      <c r="JVZ58"/>
      <c r="JWA58"/>
      <c r="JWB58"/>
      <c r="JWC58"/>
      <c r="JWD58"/>
      <c r="JWE58"/>
      <c r="JWF58"/>
      <c r="JWG58"/>
      <c r="JWH58"/>
      <c r="JWI58"/>
      <c r="JWJ58"/>
      <c r="JWK58"/>
      <c r="JWL58"/>
      <c r="JWM58"/>
      <c r="JWN58"/>
      <c r="JWO58"/>
      <c r="JWP58"/>
      <c r="JWQ58"/>
      <c r="JWR58"/>
      <c r="JWS58"/>
      <c r="JWT58"/>
      <c r="JWU58"/>
      <c r="JWV58"/>
      <c r="JWW58"/>
      <c r="JWX58"/>
      <c r="JWY58"/>
      <c r="JWZ58"/>
      <c r="JXA58"/>
      <c r="JXB58"/>
      <c r="JXC58"/>
      <c r="JXD58"/>
      <c r="JXE58"/>
      <c r="JXF58"/>
      <c r="JXG58"/>
      <c r="JXH58"/>
      <c r="JXI58"/>
      <c r="JXJ58"/>
      <c r="JXK58"/>
      <c r="JXL58"/>
      <c r="JXM58"/>
      <c r="JXN58"/>
      <c r="JXO58"/>
      <c r="JXP58"/>
      <c r="JXQ58"/>
      <c r="JXR58"/>
      <c r="JXS58"/>
      <c r="JXT58"/>
      <c r="JXU58"/>
      <c r="JXV58"/>
      <c r="JXW58"/>
      <c r="JXX58"/>
      <c r="JXY58"/>
      <c r="JXZ58"/>
      <c r="JYA58"/>
      <c r="JYB58"/>
      <c r="JYC58"/>
      <c r="JYD58"/>
      <c r="JYE58"/>
      <c r="JYF58"/>
      <c r="JYG58"/>
      <c r="JYH58"/>
      <c r="JYI58"/>
      <c r="JYJ58"/>
      <c r="JYK58"/>
      <c r="JYL58"/>
      <c r="JYM58"/>
      <c r="JYN58"/>
      <c r="JYO58"/>
      <c r="JYP58"/>
      <c r="JYQ58"/>
      <c r="JYR58"/>
      <c r="JYS58"/>
      <c r="JYT58"/>
      <c r="JYU58"/>
      <c r="JYV58"/>
      <c r="JYW58"/>
      <c r="JYX58"/>
      <c r="JYY58"/>
      <c r="JYZ58"/>
      <c r="JZA58"/>
      <c r="JZB58"/>
      <c r="JZC58"/>
      <c r="JZD58"/>
      <c r="JZE58"/>
      <c r="JZF58"/>
      <c r="JZG58"/>
      <c r="JZH58"/>
      <c r="JZI58"/>
      <c r="JZJ58"/>
      <c r="JZK58"/>
      <c r="JZL58"/>
      <c r="JZM58"/>
      <c r="JZN58"/>
      <c r="JZO58"/>
      <c r="JZP58"/>
      <c r="JZQ58"/>
      <c r="JZR58"/>
      <c r="JZS58"/>
      <c r="JZT58"/>
      <c r="JZU58"/>
      <c r="JZV58"/>
      <c r="JZW58"/>
      <c r="JZX58"/>
      <c r="JZY58"/>
      <c r="JZZ58"/>
      <c r="KAA58"/>
      <c r="KAB58"/>
      <c r="KAC58"/>
      <c r="KAD58"/>
      <c r="KAE58"/>
      <c r="KAF58"/>
      <c r="KAG58"/>
      <c r="KAH58"/>
      <c r="KAI58"/>
      <c r="KAJ58"/>
      <c r="KAK58"/>
      <c r="KAL58"/>
      <c r="KAM58"/>
      <c r="KAN58"/>
      <c r="KAO58"/>
      <c r="KAP58"/>
      <c r="KAQ58"/>
      <c r="KAR58"/>
      <c r="KAS58"/>
      <c r="KAT58"/>
      <c r="KAU58"/>
      <c r="KAV58"/>
      <c r="KAW58"/>
      <c r="KAX58"/>
      <c r="KAY58"/>
      <c r="KAZ58"/>
      <c r="KBA58"/>
      <c r="KBB58"/>
      <c r="KBC58"/>
      <c r="KBD58"/>
      <c r="KBE58"/>
      <c r="KBF58"/>
      <c r="KBG58"/>
      <c r="KBH58"/>
      <c r="KBI58"/>
      <c r="KBJ58"/>
      <c r="KBK58"/>
      <c r="KBL58"/>
      <c r="KBM58"/>
      <c r="KBN58"/>
      <c r="KBO58"/>
      <c r="KBP58"/>
      <c r="KBQ58"/>
      <c r="KBR58"/>
      <c r="KBS58"/>
      <c r="KBT58"/>
      <c r="KBU58"/>
      <c r="KBV58"/>
      <c r="KBW58"/>
      <c r="KBX58"/>
      <c r="KBY58"/>
      <c r="KBZ58"/>
      <c r="KCA58"/>
      <c r="KCB58"/>
      <c r="KCC58"/>
      <c r="KCD58"/>
      <c r="KCE58"/>
      <c r="KCF58"/>
      <c r="KCG58"/>
      <c r="KCH58"/>
      <c r="KCI58"/>
      <c r="KCJ58"/>
      <c r="KCK58"/>
      <c r="KCL58"/>
      <c r="KCM58"/>
      <c r="KCN58"/>
      <c r="KCO58"/>
      <c r="KCP58"/>
      <c r="KCQ58"/>
      <c r="KCR58"/>
      <c r="KCS58"/>
      <c r="KCT58"/>
      <c r="KCU58"/>
      <c r="KCV58"/>
      <c r="KCW58"/>
      <c r="KCX58"/>
      <c r="KCY58"/>
      <c r="KCZ58"/>
      <c r="KDA58"/>
      <c r="KDB58"/>
      <c r="KDC58"/>
      <c r="KDD58"/>
      <c r="KDE58"/>
      <c r="KDF58"/>
      <c r="KDG58"/>
      <c r="KDH58"/>
      <c r="KDI58"/>
      <c r="KDJ58"/>
      <c r="KDK58"/>
      <c r="KDL58"/>
      <c r="KDM58"/>
      <c r="KDN58"/>
      <c r="KDO58"/>
      <c r="KDP58"/>
      <c r="KDQ58"/>
      <c r="KDR58"/>
      <c r="KDS58"/>
      <c r="KDT58"/>
      <c r="KDU58"/>
      <c r="KDV58"/>
      <c r="KDW58"/>
      <c r="KDX58"/>
      <c r="KDY58"/>
      <c r="KDZ58"/>
      <c r="KEA58"/>
      <c r="KEB58"/>
      <c r="KEC58"/>
      <c r="KED58"/>
      <c r="KEE58"/>
      <c r="KEF58"/>
      <c r="KEG58"/>
      <c r="KEH58"/>
      <c r="KEI58"/>
      <c r="KEJ58"/>
      <c r="KEK58"/>
      <c r="KEL58"/>
      <c r="KEM58"/>
      <c r="KEN58"/>
      <c r="KEO58"/>
      <c r="KEP58"/>
      <c r="KEQ58"/>
      <c r="KER58"/>
      <c r="KES58"/>
      <c r="KET58"/>
      <c r="KEU58"/>
      <c r="KEV58"/>
      <c r="KEW58"/>
      <c r="KEX58"/>
      <c r="KEY58"/>
      <c r="KEZ58"/>
      <c r="KFA58"/>
      <c r="KFB58"/>
      <c r="KFC58"/>
      <c r="KFD58"/>
      <c r="KFE58"/>
      <c r="KFF58"/>
      <c r="KFG58"/>
      <c r="KFH58"/>
      <c r="KFI58"/>
      <c r="KFJ58"/>
      <c r="KFK58"/>
      <c r="KFL58"/>
      <c r="KFM58"/>
      <c r="KFN58"/>
      <c r="KFO58"/>
      <c r="KFP58"/>
      <c r="KFQ58"/>
      <c r="KFR58"/>
      <c r="KFS58"/>
      <c r="KFT58"/>
      <c r="KFU58"/>
      <c r="KFV58"/>
      <c r="KFW58"/>
      <c r="KFX58"/>
      <c r="KFY58"/>
      <c r="KFZ58"/>
      <c r="KGA58"/>
      <c r="KGB58"/>
      <c r="KGC58"/>
      <c r="KGD58"/>
      <c r="KGE58"/>
      <c r="KGF58"/>
      <c r="KGG58"/>
      <c r="KGH58"/>
      <c r="KGI58"/>
      <c r="KGJ58"/>
      <c r="KGK58"/>
      <c r="KGL58"/>
      <c r="KGM58"/>
      <c r="KGN58"/>
      <c r="KGO58"/>
      <c r="KGP58"/>
      <c r="KGQ58"/>
      <c r="KGR58"/>
      <c r="KGS58"/>
      <c r="KGT58"/>
      <c r="KGU58"/>
      <c r="KGV58"/>
      <c r="KGW58"/>
      <c r="KGX58"/>
      <c r="KGY58"/>
      <c r="KGZ58"/>
      <c r="KHA58"/>
      <c r="KHB58"/>
      <c r="KHC58"/>
      <c r="KHD58"/>
      <c r="KHE58"/>
      <c r="KHF58"/>
      <c r="KHG58"/>
      <c r="KHH58"/>
      <c r="KHI58"/>
      <c r="KHJ58"/>
      <c r="KHK58"/>
      <c r="KHL58"/>
      <c r="KHM58"/>
      <c r="KHN58"/>
      <c r="KHO58"/>
      <c r="KHP58"/>
      <c r="KHQ58"/>
      <c r="KHR58"/>
      <c r="KHS58"/>
      <c r="KHT58"/>
      <c r="KHU58"/>
      <c r="KHV58"/>
      <c r="KHW58"/>
      <c r="KHX58"/>
      <c r="KHY58"/>
      <c r="KHZ58"/>
      <c r="KIA58"/>
      <c r="KIB58"/>
      <c r="KIC58"/>
      <c r="KID58"/>
      <c r="KIE58"/>
      <c r="KIF58"/>
      <c r="KIG58"/>
      <c r="KIH58"/>
      <c r="KII58"/>
      <c r="KIJ58"/>
      <c r="KIK58"/>
      <c r="KIL58"/>
      <c r="KIM58"/>
      <c r="KIN58"/>
      <c r="KIO58"/>
      <c r="KIP58"/>
      <c r="KIQ58"/>
      <c r="KIR58"/>
      <c r="KIS58"/>
      <c r="KIT58"/>
      <c r="KIU58"/>
      <c r="KIV58"/>
      <c r="KIW58"/>
      <c r="KIX58"/>
      <c r="KIY58"/>
      <c r="KIZ58"/>
      <c r="KJA58"/>
      <c r="KJB58"/>
      <c r="KJC58"/>
      <c r="KJD58"/>
      <c r="KJE58"/>
      <c r="KJF58"/>
      <c r="KJG58"/>
      <c r="KJH58"/>
      <c r="KJI58"/>
      <c r="KJJ58"/>
      <c r="KJK58"/>
      <c r="KJL58"/>
      <c r="KJM58"/>
      <c r="KJN58"/>
      <c r="KJO58"/>
      <c r="KJP58"/>
      <c r="KJQ58"/>
      <c r="KJR58"/>
      <c r="KJS58"/>
      <c r="KJT58"/>
      <c r="KJU58"/>
      <c r="KJV58"/>
      <c r="KJW58"/>
      <c r="KJX58"/>
      <c r="KJY58"/>
      <c r="KJZ58"/>
      <c r="KKA58"/>
      <c r="KKB58"/>
      <c r="KKC58"/>
      <c r="KKD58"/>
      <c r="KKE58"/>
      <c r="KKF58"/>
      <c r="KKG58"/>
      <c r="KKH58"/>
      <c r="KKI58"/>
      <c r="KKJ58"/>
      <c r="KKK58"/>
      <c r="KKL58"/>
      <c r="KKM58"/>
      <c r="KKN58"/>
      <c r="KKO58"/>
      <c r="KKP58"/>
      <c r="KKQ58"/>
      <c r="KKR58"/>
      <c r="KKS58"/>
      <c r="KKT58"/>
      <c r="KKU58"/>
      <c r="KKV58"/>
      <c r="KKW58"/>
      <c r="KKX58"/>
      <c r="KKY58"/>
      <c r="KKZ58"/>
      <c r="KLA58"/>
      <c r="KLB58"/>
      <c r="KLC58"/>
      <c r="KLD58"/>
      <c r="KLE58"/>
      <c r="KLF58"/>
      <c r="KLG58"/>
      <c r="KLH58"/>
      <c r="KLI58"/>
      <c r="KLJ58"/>
      <c r="KLK58"/>
      <c r="KLL58"/>
      <c r="KLM58"/>
      <c r="KLN58"/>
      <c r="KLO58"/>
      <c r="KLP58"/>
      <c r="KLQ58"/>
      <c r="KLR58"/>
      <c r="KLS58"/>
      <c r="KLT58"/>
      <c r="KLU58"/>
      <c r="KLV58"/>
      <c r="KLW58"/>
      <c r="KLX58"/>
      <c r="KLY58"/>
      <c r="KLZ58"/>
      <c r="KMA58"/>
      <c r="KMB58"/>
      <c r="KMC58"/>
      <c r="KMD58"/>
      <c r="KME58"/>
      <c r="KMF58"/>
      <c r="KMG58"/>
      <c r="KMH58"/>
      <c r="KMI58"/>
      <c r="KMJ58"/>
      <c r="KMK58"/>
      <c r="KML58"/>
      <c r="KMM58"/>
      <c r="KMN58"/>
      <c r="KMO58"/>
      <c r="KMP58"/>
      <c r="KMQ58"/>
      <c r="KMR58"/>
      <c r="KMS58"/>
      <c r="KMT58"/>
      <c r="KMU58"/>
      <c r="KMV58"/>
      <c r="KMW58"/>
      <c r="KMX58"/>
      <c r="KMY58"/>
      <c r="KMZ58"/>
      <c r="KNA58"/>
      <c r="KNB58"/>
      <c r="KNC58"/>
      <c r="KND58"/>
      <c r="KNE58"/>
      <c r="KNF58"/>
      <c r="KNG58"/>
      <c r="KNH58"/>
      <c r="KNI58"/>
      <c r="KNJ58"/>
      <c r="KNK58"/>
      <c r="KNL58"/>
      <c r="KNM58"/>
      <c r="KNN58"/>
      <c r="KNO58"/>
      <c r="KNP58"/>
      <c r="KNQ58"/>
      <c r="KNR58"/>
      <c r="KNS58"/>
      <c r="KNT58"/>
      <c r="KNU58"/>
      <c r="KNV58"/>
      <c r="KNW58"/>
      <c r="KNX58"/>
      <c r="KNY58"/>
      <c r="KNZ58"/>
      <c r="KOA58"/>
      <c r="KOB58"/>
      <c r="KOC58"/>
      <c r="KOD58"/>
      <c r="KOE58"/>
      <c r="KOF58"/>
      <c r="KOG58"/>
      <c r="KOH58"/>
      <c r="KOI58"/>
      <c r="KOJ58"/>
      <c r="KOK58"/>
      <c r="KOL58"/>
      <c r="KOM58"/>
      <c r="KON58"/>
      <c r="KOO58"/>
      <c r="KOP58"/>
      <c r="KOQ58"/>
      <c r="KOR58"/>
      <c r="KOS58"/>
      <c r="KOT58"/>
      <c r="KOU58"/>
      <c r="KOV58"/>
      <c r="KOW58"/>
      <c r="KOX58"/>
      <c r="KOY58"/>
      <c r="KOZ58"/>
      <c r="KPA58"/>
      <c r="KPB58"/>
      <c r="KPC58"/>
      <c r="KPD58"/>
      <c r="KPE58"/>
      <c r="KPF58"/>
      <c r="KPG58"/>
      <c r="KPH58"/>
      <c r="KPI58"/>
      <c r="KPJ58"/>
      <c r="KPK58"/>
      <c r="KPL58"/>
      <c r="KPM58"/>
      <c r="KPN58"/>
      <c r="KPO58"/>
      <c r="KPP58"/>
      <c r="KPQ58"/>
      <c r="KPR58"/>
      <c r="KPS58"/>
      <c r="KPT58"/>
      <c r="KPU58"/>
      <c r="KPV58"/>
      <c r="KPW58"/>
      <c r="KPX58"/>
      <c r="KPY58"/>
      <c r="KPZ58"/>
      <c r="KQA58"/>
      <c r="KQB58"/>
      <c r="KQC58"/>
      <c r="KQD58"/>
      <c r="KQE58"/>
      <c r="KQF58"/>
      <c r="KQG58"/>
      <c r="KQH58"/>
      <c r="KQI58"/>
      <c r="KQJ58"/>
      <c r="KQK58"/>
      <c r="KQL58"/>
      <c r="KQM58"/>
      <c r="KQN58"/>
      <c r="KQO58"/>
      <c r="KQP58"/>
      <c r="KQQ58"/>
      <c r="KQR58"/>
      <c r="KQS58"/>
      <c r="KQT58"/>
      <c r="KQU58"/>
      <c r="KQV58"/>
      <c r="KQW58"/>
      <c r="KQX58"/>
      <c r="KQY58"/>
      <c r="KQZ58"/>
      <c r="KRA58"/>
      <c r="KRB58"/>
      <c r="KRC58"/>
      <c r="KRD58"/>
      <c r="KRE58"/>
      <c r="KRF58"/>
      <c r="KRG58"/>
      <c r="KRH58"/>
      <c r="KRI58"/>
      <c r="KRJ58"/>
      <c r="KRK58"/>
      <c r="KRL58"/>
      <c r="KRM58"/>
      <c r="KRN58"/>
      <c r="KRO58"/>
      <c r="KRP58"/>
      <c r="KRQ58"/>
      <c r="KRR58"/>
      <c r="KRS58"/>
      <c r="KRT58"/>
      <c r="KRU58"/>
      <c r="KRV58"/>
      <c r="KRW58"/>
      <c r="KRX58"/>
      <c r="KRY58"/>
      <c r="KRZ58"/>
      <c r="KSA58"/>
      <c r="KSB58"/>
      <c r="KSC58"/>
      <c r="KSD58"/>
      <c r="KSE58"/>
      <c r="KSF58"/>
      <c r="KSG58"/>
      <c r="KSH58"/>
      <c r="KSI58"/>
      <c r="KSJ58"/>
      <c r="KSK58"/>
      <c r="KSL58"/>
      <c r="KSM58"/>
      <c r="KSN58"/>
      <c r="KSO58"/>
      <c r="KSP58"/>
      <c r="KSQ58"/>
      <c r="KSR58"/>
      <c r="KSS58"/>
      <c r="KST58"/>
      <c r="KSU58"/>
      <c r="KSV58"/>
      <c r="KSW58"/>
      <c r="KSX58"/>
      <c r="KSY58"/>
      <c r="KSZ58"/>
      <c r="KTA58"/>
      <c r="KTB58"/>
      <c r="KTC58"/>
      <c r="KTD58"/>
      <c r="KTE58"/>
      <c r="KTF58"/>
      <c r="KTG58"/>
      <c r="KTH58"/>
      <c r="KTI58"/>
      <c r="KTJ58"/>
      <c r="KTK58"/>
      <c r="KTL58"/>
      <c r="KTM58"/>
      <c r="KTN58"/>
      <c r="KTO58"/>
      <c r="KTP58"/>
      <c r="KTQ58"/>
      <c r="KTR58"/>
      <c r="KTS58"/>
      <c r="KTT58"/>
      <c r="KTU58"/>
      <c r="KTV58"/>
      <c r="KTW58"/>
      <c r="KTX58"/>
      <c r="KTY58"/>
      <c r="KTZ58"/>
      <c r="KUA58"/>
      <c r="KUB58"/>
      <c r="KUC58"/>
      <c r="KUD58"/>
      <c r="KUE58"/>
      <c r="KUF58"/>
      <c r="KUG58"/>
      <c r="KUH58"/>
      <c r="KUI58"/>
      <c r="KUJ58"/>
      <c r="KUK58"/>
      <c r="KUL58"/>
      <c r="KUM58"/>
      <c r="KUN58"/>
      <c r="KUO58"/>
      <c r="KUP58"/>
      <c r="KUQ58"/>
      <c r="KUR58"/>
      <c r="KUS58"/>
      <c r="KUT58"/>
      <c r="KUU58"/>
      <c r="KUV58"/>
      <c r="KUW58"/>
      <c r="KUX58"/>
      <c r="KUY58"/>
      <c r="KUZ58"/>
      <c r="KVA58"/>
      <c r="KVB58"/>
      <c r="KVC58"/>
      <c r="KVD58"/>
      <c r="KVE58"/>
      <c r="KVF58"/>
      <c r="KVG58"/>
      <c r="KVH58"/>
      <c r="KVI58"/>
      <c r="KVJ58"/>
      <c r="KVK58"/>
      <c r="KVL58"/>
      <c r="KVM58"/>
      <c r="KVN58"/>
      <c r="KVO58"/>
      <c r="KVP58"/>
      <c r="KVQ58"/>
      <c r="KVR58"/>
      <c r="KVS58"/>
      <c r="KVT58"/>
      <c r="KVU58"/>
      <c r="KVV58"/>
      <c r="KVW58"/>
      <c r="KVX58"/>
      <c r="KVY58"/>
      <c r="KVZ58"/>
      <c r="KWA58"/>
      <c r="KWB58"/>
      <c r="KWC58"/>
      <c r="KWD58"/>
      <c r="KWE58"/>
      <c r="KWF58"/>
      <c r="KWG58"/>
      <c r="KWH58"/>
      <c r="KWI58"/>
      <c r="KWJ58"/>
      <c r="KWK58"/>
      <c r="KWL58"/>
      <c r="KWM58"/>
      <c r="KWN58"/>
      <c r="KWO58"/>
      <c r="KWP58"/>
      <c r="KWQ58"/>
      <c r="KWR58"/>
      <c r="KWS58"/>
      <c r="KWT58"/>
      <c r="KWU58"/>
      <c r="KWV58"/>
      <c r="KWW58"/>
      <c r="KWX58"/>
      <c r="KWY58"/>
      <c r="KWZ58"/>
      <c r="KXA58"/>
      <c r="KXB58"/>
      <c r="KXC58"/>
      <c r="KXD58"/>
      <c r="KXE58"/>
      <c r="KXF58"/>
      <c r="KXG58"/>
      <c r="KXH58"/>
      <c r="KXI58"/>
      <c r="KXJ58"/>
      <c r="KXK58"/>
      <c r="KXL58"/>
      <c r="KXM58"/>
      <c r="KXN58"/>
      <c r="KXO58"/>
      <c r="KXP58"/>
      <c r="KXQ58"/>
      <c r="KXR58"/>
      <c r="KXS58"/>
      <c r="KXT58"/>
      <c r="KXU58"/>
      <c r="KXV58"/>
      <c r="KXW58"/>
      <c r="KXX58"/>
      <c r="KXY58"/>
      <c r="KXZ58"/>
      <c r="KYA58"/>
      <c r="KYB58"/>
      <c r="KYC58"/>
      <c r="KYD58"/>
      <c r="KYE58"/>
      <c r="KYF58"/>
      <c r="KYG58"/>
      <c r="KYH58"/>
      <c r="KYI58"/>
      <c r="KYJ58"/>
      <c r="KYK58"/>
      <c r="KYL58"/>
      <c r="KYM58"/>
      <c r="KYN58"/>
      <c r="KYO58"/>
      <c r="KYP58"/>
      <c r="KYQ58"/>
      <c r="KYR58"/>
      <c r="KYS58"/>
      <c r="KYT58"/>
      <c r="KYU58"/>
      <c r="KYV58"/>
      <c r="KYW58"/>
      <c r="KYX58"/>
      <c r="KYY58"/>
      <c r="KYZ58"/>
      <c r="KZA58"/>
      <c r="KZB58"/>
      <c r="KZC58"/>
      <c r="KZD58"/>
      <c r="KZE58"/>
      <c r="KZF58"/>
      <c r="KZG58"/>
      <c r="KZH58"/>
      <c r="KZI58"/>
      <c r="KZJ58"/>
      <c r="KZK58"/>
      <c r="KZL58"/>
      <c r="KZM58"/>
      <c r="KZN58"/>
      <c r="KZO58"/>
      <c r="KZP58"/>
      <c r="KZQ58"/>
      <c r="KZR58"/>
      <c r="KZS58"/>
      <c r="KZT58"/>
      <c r="KZU58"/>
      <c r="KZV58"/>
      <c r="KZW58"/>
      <c r="KZX58"/>
      <c r="KZY58"/>
      <c r="KZZ58"/>
      <c r="LAA58"/>
      <c r="LAB58"/>
      <c r="LAC58"/>
      <c r="LAD58"/>
      <c r="LAE58"/>
      <c r="LAF58"/>
      <c r="LAG58"/>
      <c r="LAH58"/>
      <c r="LAI58"/>
      <c r="LAJ58"/>
      <c r="LAK58"/>
      <c r="LAL58"/>
      <c r="LAM58"/>
      <c r="LAN58"/>
      <c r="LAO58"/>
      <c r="LAP58"/>
      <c r="LAQ58"/>
      <c r="LAR58"/>
      <c r="LAS58"/>
      <c r="LAT58"/>
      <c r="LAU58"/>
      <c r="LAV58"/>
      <c r="LAW58"/>
      <c r="LAX58"/>
      <c r="LAY58"/>
      <c r="LAZ58"/>
      <c r="LBA58"/>
      <c r="LBB58"/>
      <c r="LBC58"/>
      <c r="LBD58"/>
      <c r="LBE58"/>
      <c r="LBF58"/>
      <c r="LBG58"/>
      <c r="LBH58"/>
      <c r="LBI58"/>
      <c r="LBJ58"/>
      <c r="LBK58"/>
      <c r="LBL58"/>
      <c r="LBM58"/>
      <c r="LBN58"/>
      <c r="LBO58"/>
      <c r="LBP58"/>
      <c r="LBQ58"/>
      <c r="LBR58"/>
      <c r="LBS58"/>
      <c r="LBT58"/>
      <c r="LBU58"/>
      <c r="LBV58"/>
      <c r="LBW58"/>
      <c r="LBX58"/>
      <c r="LBY58"/>
      <c r="LBZ58"/>
      <c r="LCA58"/>
      <c r="LCB58"/>
      <c r="LCC58"/>
      <c r="LCD58"/>
      <c r="LCE58"/>
      <c r="LCF58"/>
      <c r="LCG58"/>
      <c r="LCH58"/>
      <c r="LCI58"/>
      <c r="LCJ58"/>
      <c r="LCK58"/>
      <c r="LCL58"/>
      <c r="LCM58"/>
      <c r="LCN58"/>
      <c r="LCO58"/>
      <c r="LCP58"/>
      <c r="LCQ58"/>
      <c r="LCR58"/>
      <c r="LCS58"/>
      <c r="LCT58"/>
      <c r="LCU58"/>
      <c r="LCV58"/>
      <c r="LCW58"/>
      <c r="LCX58"/>
      <c r="LCY58"/>
      <c r="LCZ58"/>
      <c r="LDA58"/>
      <c r="LDB58"/>
      <c r="LDC58"/>
      <c r="LDD58"/>
      <c r="LDE58"/>
      <c r="LDF58"/>
      <c r="LDG58"/>
      <c r="LDH58"/>
      <c r="LDI58"/>
      <c r="LDJ58"/>
      <c r="LDK58"/>
      <c r="LDL58"/>
      <c r="LDM58"/>
      <c r="LDN58"/>
      <c r="LDO58"/>
      <c r="LDP58"/>
      <c r="LDQ58"/>
      <c r="LDR58"/>
      <c r="LDS58"/>
      <c r="LDT58"/>
      <c r="LDU58"/>
      <c r="LDV58"/>
      <c r="LDW58"/>
      <c r="LDX58"/>
      <c r="LDY58"/>
      <c r="LDZ58"/>
      <c r="LEA58"/>
      <c r="LEB58"/>
      <c r="LEC58"/>
      <c r="LED58"/>
      <c r="LEE58"/>
      <c r="LEF58"/>
      <c r="LEG58"/>
      <c r="LEH58"/>
      <c r="LEI58"/>
      <c r="LEJ58"/>
      <c r="LEK58"/>
      <c r="LEL58"/>
      <c r="LEM58"/>
      <c r="LEN58"/>
      <c r="LEO58"/>
      <c r="LEP58"/>
      <c r="LEQ58"/>
      <c r="LER58"/>
      <c r="LES58"/>
      <c r="LET58"/>
      <c r="LEU58"/>
      <c r="LEV58"/>
      <c r="LEW58"/>
      <c r="LEX58"/>
      <c r="LEY58"/>
      <c r="LEZ58"/>
      <c r="LFA58"/>
      <c r="LFB58"/>
      <c r="LFC58"/>
      <c r="LFD58"/>
      <c r="LFE58"/>
      <c r="LFF58"/>
      <c r="LFG58"/>
      <c r="LFH58"/>
      <c r="LFI58"/>
      <c r="LFJ58"/>
      <c r="LFK58"/>
      <c r="LFL58"/>
      <c r="LFM58"/>
      <c r="LFN58"/>
      <c r="LFO58"/>
      <c r="LFP58"/>
      <c r="LFQ58"/>
      <c r="LFR58"/>
      <c r="LFS58"/>
      <c r="LFT58"/>
      <c r="LFU58"/>
      <c r="LFV58"/>
      <c r="LFW58"/>
      <c r="LFX58"/>
      <c r="LFY58"/>
      <c r="LFZ58"/>
      <c r="LGA58"/>
      <c r="LGB58"/>
      <c r="LGC58"/>
      <c r="LGD58"/>
      <c r="LGE58"/>
      <c r="LGF58"/>
      <c r="LGG58"/>
      <c r="LGH58"/>
      <c r="LGI58"/>
      <c r="LGJ58"/>
      <c r="LGK58"/>
      <c r="LGL58"/>
      <c r="LGM58"/>
      <c r="LGN58"/>
      <c r="LGO58"/>
      <c r="LGP58"/>
      <c r="LGQ58"/>
      <c r="LGR58"/>
      <c r="LGS58"/>
      <c r="LGT58"/>
      <c r="LGU58"/>
      <c r="LGV58"/>
      <c r="LGW58"/>
      <c r="LGX58"/>
      <c r="LGY58"/>
      <c r="LGZ58"/>
      <c r="LHA58"/>
      <c r="LHB58"/>
      <c r="LHC58"/>
      <c r="LHD58"/>
      <c r="LHE58"/>
      <c r="LHF58"/>
      <c r="LHG58"/>
      <c r="LHH58"/>
      <c r="LHI58"/>
      <c r="LHJ58"/>
      <c r="LHK58"/>
      <c r="LHL58"/>
      <c r="LHM58"/>
      <c r="LHN58"/>
      <c r="LHO58"/>
      <c r="LHP58"/>
      <c r="LHQ58"/>
      <c r="LHR58"/>
      <c r="LHS58"/>
      <c r="LHT58"/>
      <c r="LHU58"/>
      <c r="LHV58"/>
      <c r="LHW58"/>
      <c r="LHX58"/>
      <c r="LHY58"/>
      <c r="LHZ58"/>
      <c r="LIA58"/>
      <c r="LIB58"/>
      <c r="LIC58"/>
      <c r="LID58"/>
      <c r="LIE58"/>
      <c r="LIF58"/>
      <c r="LIG58"/>
      <c r="LIH58"/>
      <c r="LII58"/>
      <c r="LIJ58"/>
      <c r="LIK58"/>
      <c r="LIL58"/>
      <c r="LIM58"/>
      <c r="LIN58"/>
      <c r="LIO58"/>
      <c r="LIP58"/>
      <c r="LIQ58"/>
      <c r="LIR58"/>
      <c r="LIS58"/>
      <c r="LIT58"/>
      <c r="LIU58"/>
      <c r="LIV58"/>
      <c r="LIW58"/>
      <c r="LIX58"/>
      <c r="LIY58"/>
      <c r="LIZ58"/>
      <c r="LJA58"/>
      <c r="LJB58"/>
      <c r="LJC58"/>
      <c r="LJD58"/>
      <c r="LJE58"/>
      <c r="LJF58"/>
      <c r="LJG58"/>
      <c r="LJH58"/>
      <c r="LJI58"/>
      <c r="LJJ58"/>
      <c r="LJK58"/>
      <c r="LJL58"/>
      <c r="LJM58"/>
      <c r="LJN58"/>
      <c r="LJO58"/>
      <c r="LJP58"/>
      <c r="LJQ58"/>
      <c r="LJR58"/>
      <c r="LJS58"/>
      <c r="LJT58"/>
      <c r="LJU58"/>
      <c r="LJV58"/>
      <c r="LJW58"/>
      <c r="LJX58"/>
      <c r="LJY58"/>
      <c r="LJZ58"/>
      <c r="LKA58"/>
      <c r="LKB58"/>
      <c r="LKC58"/>
      <c r="LKD58"/>
      <c r="LKE58"/>
      <c r="LKF58"/>
      <c r="LKG58"/>
      <c r="LKH58"/>
      <c r="LKI58"/>
      <c r="LKJ58"/>
      <c r="LKK58"/>
      <c r="LKL58"/>
      <c r="LKM58"/>
      <c r="LKN58"/>
      <c r="LKO58"/>
      <c r="LKP58"/>
      <c r="LKQ58"/>
      <c r="LKR58"/>
      <c r="LKS58"/>
      <c r="LKT58"/>
      <c r="LKU58"/>
      <c r="LKV58"/>
      <c r="LKW58"/>
      <c r="LKX58"/>
      <c r="LKY58"/>
      <c r="LKZ58"/>
      <c r="LLA58"/>
      <c r="LLB58"/>
      <c r="LLC58"/>
      <c r="LLD58"/>
      <c r="LLE58"/>
      <c r="LLF58"/>
      <c r="LLG58"/>
      <c r="LLH58"/>
      <c r="LLI58"/>
      <c r="LLJ58"/>
      <c r="LLK58"/>
      <c r="LLL58"/>
      <c r="LLM58"/>
      <c r="LLN58"/>
      <c r="LLO58"/>
      <c r="LLP58"/>
      <c r="LLQ58"/>
      <c r="LLR58"/>
      <c r="LLS58"/>
      <c r="LLT58"/>
      <c r="LLU58"/>
      <c r="LLV58"/>
      <c r="LLW58"/>
      <c r="LLX58"/>
      <c r="LLY58"/>
      <c r="LLZ58"/>
      <c r="LMA58"/>
      <c r="LMB58"/>
      <c r="LMC58"/>
      <c r="LMD58"/>
      <c r="LME58"/>
      <c r="LMF58"/>
      <c r="LMG58"/>
      <c r="LMH58"/>
      <c r="LMI58"/>
      <c r="LMJ58"/>
      <c r="LMK58"/>
      <c r="LML58"/>
      <c r="LMM58"/>
      <c r="LMN58"/>
      <c r="LMO58"/>
      <c r="LMP58"/>
      <c r="LMQ58"/>
      <c r="LMR58"/>
      <c r="LMS58"/>
      <c r="LMT58"/>
      <c r="LMU58"/>
      <c r="LMV58"/>
      <c r="LMW58"/>
      <c r="LMX58"/>
      <c r="LMY58"/>
      <c r="LMZ58"/>
      <c r="LNA58"/>
      <c r="LNB58"/>
      <c r="LNC58"/>
      <c r="LND58"/>
      <c r="LNE58"/>
      <c r="LNF58"/>
      <c r="LNG58"/>
      <c r="LNH58"/>
      <c r="LNI58"/>
      <c r="LNJ58"/>
      <c r="LNK58"/>
      <c r="LNL58"/>
      <c r="LNM58"/>
      <c r="LNN58"/>
      <c r="LNO58"/>
      <c r="LNP58"/>
      <c r="LNQ58"/>
      <c r="LNR58"/>
      <c r="LNS58"/>
      <c r="LNT58"/>
      <c r="LNU58"/>
      <c r="LNV58"/>
      <c r="LNW58"/>
      <c r="LNX58"/>
      <c r="LNY58"/>
      <c r="LNZ58"/>
      <c r="LOA58"/>
      <c r="LOB58"/>
      <c r="LOC58"/>
      <c r="LOD58"/>
      <c r="LOE58"/>
      <c r="LOF58"/>
      <c r="LOG58"/>
      <c r="LOH58"/>
      <c r="LOI58"/>
      <c r="LOJ58"/>
      <c r="LOK58"/>
      <c r="LOL58"/>
      <c r="LOM58"/>
      <c r="LON58"/>
      <c r="LOO58"/>
      <c r="LOP58"/>
      <c r="LOQ58"/>
      <c r="LOR58"/>
      <c r="LOS58"/>
      <c r="LOT58"/>
      <c r="LOU58"/>
      <c r="LOV58"/>
      <c r="LOW58"/>
      <c r="LOX58"/>
      <c r="LOY58"/>
      <c r="LOZ58"/>
      <c r="LPA58"/>
      <c r="LPB58"/>
      <c r="LPC58"/>
      <c r="LPD58"/>
      <c r="LPE58"/>
      <c r="LPF58"/>
      <c r="LPG58"/>
      <c r="LPH58"/>
      <c r="LPI58"/>
      <c r="LPJ58"/>
      <c r="LPK58"/>
      <c r="LPL58"/>
      <c r="LPM58"/>
      <c r="LPN58"/>
      <c r="LPO58"/>
      <c r="LPP58"/>
      <c r="LPQ58"/>
      <c r="LPR58"/>
      <c r="LPS58"/>
      <c r="LPT58"/>
      <c r="LPU58"/>
      <c r="LPV58"/>
      <c r="LPW58"/>
      <c r="LPX58"/>
      <c r="LPY58"/>
      <c r="LPZ58"/>
      <c r="LQA58"/>
      <c r="LQB58"/>
      <c r="LQC58"/>
      <c r="LQD58"/>
      <c r="LQE58"/>
      <c r="LQF58"/>
      <c r="LQG58"/>
      <c r="LQH58"/>
      <c r="LQI58"/>
      <c r="LQJ58"/>
      <c r="LQK58"/>
      <c r="LQL58"/>
      <c r="LQM58"/>
      <c r="LQN58"/>
      <c r="LQO58"/>
      <c r="LQP58"/>
      <c r="LQQ58"/>
      <c r="LQR58"/>
      <c r="LQS58"/>
      <c r="LQT58"/>
      <c r="LQU58"/>
      <c r="LQV58"/>
      <c r="LQW58"/>
      <c r="LQX58"/>
      <c r="LQY58"/>
      <c r="LQZ58"/>
      <c r="LRA58"/>
      <c r="LRB58"/>
      <c r="LRC58"/>
      <c r="LRD58"/>
      <c r="LRE58"/>
      <c r="LRF58"/>
      <c r="LRG58"/>
      <c r="LRH58"/>
      <c r="LRI58"/>
      <c r="LRJ58"/>
      <c r="LRK58"/>
      <c r="LRL58"/>
      <c r="LRM58"/>
      <c r="LRN58"/>
      <c r="LRO58"/>
      <c r="LRP58"/>
      <c r="LRQ58"/>
      <c r="LRR58"/>
      <c r="LRS58"/>
      <c r="LRT58"/>
      <c r="LRU58"/>
      <c r="LRV58"/>
      <c r="LRW58"/>
      <c r="LRX58"/>
      <c r="LRY58"/>
      <c r="LRZ58"/>
      <c r="LSA58"/>
      <c r="LSB58"/>
      <c r="LSC58"/>
      <c r="LSD58"/>
      <c r="LSE58"/>
      <c r="LSF58"/>
      <c r="LSG58"/>
      <c r="LSH58"/>
      <c r="LSI58"/>
      <c r="LSJ58"/>
      <c r="LSK58"/>
      <c r="LSL58"/>
      <c r="LSM58"/>
      <c r="LSN58"/>
      <c r="LSO58"/>
      <c r="LSP58"/>
      <c r="LSQ58"/>
      <c r="LSR58"/>
      <c r="LSS58"/>
      <c r="LST58"/>
      <c r="LSU58"/>
      <c r="LSV58"/>
      <c r="LSW58"/>
      <c r="LSX58"/>
      <c r="LSY58"/>
      <c r="LSZ58"/>
      <c r="LTA58"/>
      <c r="LTB58"/>
      <c r="LTC58"/>
      <c r="LTD58"/>
      <c r="LTE58"/>
      <c r="LTF58"/>
      <c r="LTG58"/>
      <c r="LTH58"/>
      <c r="LTI58"/>
      <c r="LTJ58"/>
      <c r="LTK58"/>
      <c r="LTL58"/>
      <c r="LTM58"/>
      <c r="LTN58"/>
      <c r="LTO58"/>
      <c r="LTP58"/>
      <c r="LTQ58"/>
      <c r="LTR58"/>
      <c r="LTS58"/>
      <c r="LTT58"/>
      <c r="LTU58"/>
      <c r="LTV58"/>
      <c r="LTW58"/>
      <c r="LTX58"/>
      <c r="LTY58"/>
      <c r="LTZ58"/>
      <c r="LUA58"/>
      <c r="LUB58"/>
      <c r="LUC58"/>
      <c r="LUD58"/>
      <c r="LUE58"/>
      <c r="LUF58"/>
      <c r="LUG58"/>
      <c r="LUH58"/>
      <c r="LUI58"/>
      <c r="LUJ58"/>
      <c r="LUK58"/>
      <c r="LUL58"/>
      <c r="LUM58"/>
      <c r="LUN58"/>
      <c r="LUO58"/>
      <c r="LUP58"/>
      <c r="LUQ58"/>
      <c r="LUR58"/>
      <c r="LUS58"/>
      <c r="LUT58"/>
      <c r="LUU58"/>
      <c r="LUV58"/>
      <c r="LUW58"/>
      <c r="LUX58"/>
      <c r="LUY58"/>
      <c r="LUZ58"/>
      <c r="LVA58"/>
      <c r="LVB58"/>
      <c r="LVC58"/>
      <c r="LVD58"/>
      <c r="LVE58"/>
      <c r="LVF58"/>
      <c r="LVG58"/>
      <c r="LVH58"/>
      <c r="LVI58"/>
      <c r="LVJ58"/>
      <c r="LVK58"/>
      <c r="LVL58"/>
      <c r="LVM58"/>
      <c r="LVN58"/>
      <c r="LVO58"/>
      <c r="LVP58"/>
      <c r="LVQ58"/>
      <c r="LVR58"/>
      <c r="LVS58"/>
      <c r="LVT58"/>
      <c r="LVU58"/>
      <c r="LVV58"/>
      <c r="LVW58"/>
      <c r="LVX58"/>
      <c r="LVY58"/>
      <c r="LVZ58"/>
      <c r="LWA58"/>
      <c r="LWB58"/>
      <c r="LWC58"/>
      <c r="LWD58"/>
      <c r="LWE58"/>
      <c r="LWF58"/>
      <c r="LWG58"/>
      <c r="LWH58"/>
      <c r="LWI58"/>
      <c r="LWJ58"/>
      <c r="LWK58"/>
      <c r="LWL58"/>
      <c r="LWM58"/>
      <c r="LWN58"/>
      <c r="LWO58"/>
      <c r="LWP58"/>
      <c r="LWQ58"/>
      <c r="LWR58"/>
      <c r="LWS58"/>
      <c r="LWT58"/>
      <c r="LWU58"/>
      <c r="LWV58"/>
      <c r="LWW58"/>
      <c r="LWX58"/>
      <c r="LWY58"/>
      <c r="LWZ58"/>
      <c r="LXA58"/>
      <c r="LXB58"/>
      <c r="LXC58"/>
      <c r="LXD58"/>
      <c r="LXE58"/>
      <c r="LXF58"/>
      <c r="LXG58"/>
      <c r="LXH58"/>
      <c r="LXI58"/>
      <c r="LXJ58"/>
      <c r="LXK58"/>
      <c r="LXL58"/>
      <c r="LXM58"/>
      <c r="LXN58"/>
      <c r="LXO58"/>
      <c r="LXP58"/>
      <c r="LXQ58"/>
      <c r="LXR58"/>
      <c r="LXS58"/>
      <c r="LXT58"/>
      <c r="LXU58"/>
      <c r="LXV58"/>
      <c r="LXW58"/>
      <c r="LXX58"/>
      <c r="LXY58"/>
      <c r="LXZ58"/>
      <c r="LYA58"/>
      <c r="LYB58"/>
      <c r="LYC58"/>
      <c r="LYD58"/>
      <c r="LYE58"/>
      <c r="LYF58"/>
      <c r="LYG58"/>
      <c r="LYH58"/>
      <c r="LYI58"/>
      <c r="LYJ58"/>
      <c r="LYK58"/>
      <c r="LYL58"/>
      <c r="LYM58"/>
      <c r="LYN58"/>
      <c r="LYO58"/>
      <c r="LYP58"/>
      <c r="LYQ58"/>
      <c r="LYR58"/>
      <c r="LYS58"/>
      <c r="LYT58"/>
      <c r="LYU58"/>
      <c r="LYV58"/>
      <c r="LYW58"/>
      <c r="LYX58"/>
      <c r="LYY58"/>
      <c r="LYZ58"/>
      <c r="LZA58"/>
      <c r="LZB58"/>
      <c r="LZC58"/>
      <c r="LZD58"/>
      <c r="LZE58"/>
      <c r="LZF58"/>
      <c r="LZG58"/>
      <c r="LZH58"/>
      <c r="LZI58"/>
      <c r="LZJ58"/>
      <c r="LZK58"/>
      <c r="LZL58"/>
      <c r="LZM58"/>
      <c r="LZN58"/>
      <c r="LZO58"/>
      <c r="LZP58"/>
      <c r="LZQ58"/>
      <c r="LZR58"/>
      <c r="LZS58"/>
      <c r="LZT58"/>
      <c r="LZU58"/>
      <c r="LZV58"/>
      <c r="LZW58"/>
      <c r="LZX58"/>
      <c r="LZY58"/>
      <c r="LZZ58"/>
      <c r="MAA58"/>
      <c r="MAB58"/>
      <c r="MAC58"/>
      <c r="MAD58"/>
      <c r="MAE58"/>
      <c r="MAF58"/>
      <c r="MAG58"/>
      <c r="MAH58"/>
      <c r="MAI58"/>
      <c r="MAJ58"/>
      <c r="MAK58"/>
      <c r="MAL58"/>
      <c r="MAM58"/>
      <c r="MAN58"/>
      <c r="MAO58"/>
      <c r="MAP58"/>
      <c r="MAQ58"/>
      <c r="MAR58"/>
      <c r="MAS58"/>
      <c r="MAT58"/>
      <c r="MAU58"/>
      <c r="MAV58"/>
      <c r="MAW58"/>
      <c r="MAX58"/>
      <c r="MAY58"/>
      <c r="MAZ58"/>
      <c r="MBA58"/>
      <c r="MBB58"/>
      <c r="MBC58"/>
      <c r="MBD58"/>
      <c r="MBE58"/>
      <c r="MBF58"/>
      <c r="MBG58"/>
      <c r="MBH58"/>
      <c r="MBI58"/>
      <c r="MBJ58"/>
      <c r="MBK58"/>
      <c r="MBL58"/>
      <c r="MBM58"/>
      <c r="MBN58"/>
      <c r="MBO58"/>
      <c r="MBP58"/>
      <c r="MBQ58"/>
      <c r="MBR58"/>
      <c r="MBS58"/>
      <c r="MBT58"/>
      <c r="MBU58"/>
      <c r="MBV58"/>
      <c r="MBW58"/>
      <c r="MBX58"/>
      <c r="MBY58"/>
      <c r="MBZ58"/>
      <c r="MCA58"/>
      <c r="MCB58"/>
      <c r="MCC58"/>
      <c r="MCD58"/>
      <c r="MCE58"/>
      <c r="MCF58"/>
      <c r="MCG58"/>
      <c r="MCH58"/>
      <c r="MCI58"/>
      <c r="MCJ58"/>
      <c r="MCK58"/>
      <c r="MCL58"/>
      <c r="MCM58"/>
      <c r="MCN58"/>
      <c r="MCO58"/>
      <c r="MCP58"/>
      <c r="MCQ58"/>
      <c r="MCR58"/>
      <c r="MCS58"/>
      <c r="MCT58"/>
      <c r="MCU58"/>
      <c r="MCV58"/>
      <c r="MCW58"/>
      <c r="MCX58"/>
      <c r="MCY58"/>
      <c r="MCZ58"/>
      <c r="MDA58"/>
      <c r="MDB58"/>
      <c r="MDC58"/>
      <c r="MDD58"/>
      <c r="MDE58"/>
      <c r="MDF58"/>
      <c r="MDG58"/>
      <c r="MDH58"/>
      <c r="MDI58"/>
      <c r="MDJ58"/>
      <c r="MDK58"/>
      <c r="MDL58"/>
      <c r="MDM58"/>
      <c r="MDN58"/>
      <c r="MDO58"/>
      <c r="MDP58"/>
      <c r="MDQ58"/>
      <c r="MDR58"/>
      <c r="MDS58"/>
      <c r="MDT58"/>
      <c r="MDU58"/>
      <c r="MDV58"/>
      <c r="MDW58"/>
      <c r="MDX58"/>
      <c r="MDY58"/>
      <c r="MDZ58"/>
      <c r="MEA58"/>
      <c r="MEB58"/>
      <c r="MEC58"/>
      <c r="MED58"/>
      <c r="MEE58"/>
      <c r="MEF58"/>
      <c r="MEG58"/>
      <c r="MEH58"/>
      <c r="MEI58"/>
      <c r="MEJ58"/>
      <c r="MEK58"/>
      <c r="MEL58"/>
      <c r="MEM58"/>
      <c r="MEN58"/>
      <c r="MEO58"/>
      <c r="MEP58"/>
      <c r="MEQ58"/>
      <c r="MER58"/>
      <c r="MES58"/>
      <c r="MET58"/>
      <c r="MEU58"/>
      <c r="MEV58"/>
      <c r="MEW58"/>
      <c r="MEX58"/>
      <c r="MEY58"/>
      <c r="MEZ58"/>
      <c r="MFA58"/>
      <c r="MFB58"/>
      <c r="MFC58"/>
      <c r="MFD58"/>
      <c r="MFE58"/>
      <c r="MFF58"/>
      <c r="MFG58"/>
      <c r="MFH58"/>
      <c r="MFI58"/>
      <c r="MFJ58"/>
      <c r="MFK58"/>
      <c r="MFL58"/>
      <c r="MFM58"/>
      <c r="MFN58"/>
      <c r="MFO58"/>
      <c r="MFP58"/>
      <c r="MFQ58"/>
      <c r="MFR58"/>
      <c r="MFS58"/>
      <c r="MFT58"/>
      <c r="MFU58"/>
      <c r="MFV58"/>
      <c r="MFW58"/>
      <c r="MFX58"/>
      <c r="MFY58"/>
      <c r="MFZ58"/>
      <c r="MGA58"/>
      <c r="MGB58"/>
      <c r="MGC58"/>
      <c r="MGD58"/>
      <c r="MGE58"/>
      <c r="MGF58"/>
      <c r="MGG58"/>
      <c r="MGH58"/>
      <c r="MGI58"/>
      <c r="MGJ58"/>
      <c r="MGK58"/>
      <c r="MGL58"/>
      <c r="MGM58"/>
      <c r="MGN58"/>
      <c r="MGO58"/>
      <c r="MGP58"/>
      <c r="MGQ58"/>
      <c r="MGR58"/>
      <c r="MGS58"/>
      <c r="MGT58"/>
      <c r="MGU58"/>
      <c r="MGV58"/>
      <c r="MGW58"/>
      <c r="MGX58"/>
      <c r="MGY58"/>
      <c r="MGZ58"/>
      <c r="MHA58"/>
      <c r="MHB58"/>
      <c r="MHC58"/>
      <c r="MHD58"/>
      <c r="MHE58"/>
      <c r="MHF58"/>
      <c r="MHG58"/>
      <c r="MHH58"/>
      <c r="MHI58"/>
      <c r="MHJ58"/>
      <c r="MHK58"/>
      <c r="MHL58"/>
      <c r="MHM58"/>
      <c r="MHN58"/>
      <c r="MHO58"/>
      <c r="MHP58"/>
      <c r="MHQ58"/>
      <c r="MHR58"/>
      <c r="MHS58"/>
      <c r="MHT58"/>
      <c r="MHU58"/>
      <c r="MHV58"/>
      <c r="MHW58"/>
      <c r="MHX58"/>
      <c r="MHY58"/>
      <c r="MHZ58"/>
      <c r="MIA58"/>
      <c r="MIB58"/>
      <c r="MIC58"/>
      <c r="MID58"/>
      <c r="MIE58"/>
      <c r="MIF58"/>
      <c r="MIG58"/>
      <c r="MIH58"/>
      <c r="MII58"/>
      <c r="MIJ58"/>
      <c r="MIK58"/>
      <c r="MIL58"/>
      <c r="MIM58"/>
      <c r="MIN58"/>
      <c r="MIO58"/>
      <c r="MIP58"/>
      <c r="MIQ58"/>
      <c r="MIR58"/>
      <c r="MIS58"/>
      <c r="MIT58"/>
      <c r="MIU58"/>
      <c r="MIV58"/>
      <c r="MIW58"/>
      <c r="MIX58"/>
      <c r="MIY58"/>
      <c r="MIZ58"/>
      <c r="MJA58"/>
      <c r="MJB58"/>
      <c r="MJC58"/>
      <c r="MJD58"/>
      <c r="MJE58"/>
      <c r="MJF58"/>
      <c r="MJG58"/>
      <c r="MJH58"/>
      <c r="MJI58"/>
      <c r="MJJ58"/>
      <c r="MJK58"/>
      <c r="MJL58"/>
      <c r="MJM58"/>
      <c r="MJN58"/>
      <c r="MJO58"/>
      <c r="MJP58"/>
      <c r="MJQ58"/>
      <c r="MJR58"/>
      <c r="MJS58"/>
      <c r="MJT58"/>
      <c r="MJU58"/>
      <c r="MJV58"/>
      <c r="MJW58"/>
      <c r="MJX58"/>
      <c r="MJY58"/>
      <c r="MJZ58"/>
      <c r="MKA58"/>
      <c r="MKB58"/>
      <c r="MKC58"/>
      <c r="MKD58"/>
      <c r="MKE58"/>
      <c r="MKF58"/>
      <c r="MKG58"/>
      <c r="MKH58"/>
      <c r="MKI58"/>
      <c r="MKJ58"/>
      <c r="MKK58"/>
      <c r="MKL58"/>
      <c r="MKM58"/>
      <c r="MKN58"/>
      <c r="MKO58"/>
      <c r="MKP58"/>
      <c r="MKQ58"/>
      <c r="MKR58"/>
      <c r="MKS58"/>
      <c r="MKT58"/>
      <c r="MKU58"/>
      <c r="MKV58"/>
      <c r="MKW58"/>
      <c r="MKX58"/>
      <c r="MKY58"/>
      <c r="MKZ58"/>
      <c r="MLA58"/>
      <c r="MLB58"/>
      <c r="MLC58"/>
      <c r="MLD58"/>
      <c r="MLE58"/>
      <c r="MLF58"/>
      <c r="MLG58"/>
      <c r="MLH58"/>
      <c r="MLI58"/>
      <c r="MLJ58"/>
      <c r="MLK58"/>
      <c r="MLL58"/>
      <c r="MLM58"/>
      <c r="MLN58"/>
      <c r="MLO58"/>
      <c r="MLP58"/>
      <c r="MLQ58"/>
      <c r="MLR58"/>
      <c r="MLS58"/>
      <c r="MLT58"/>
      <c r="MLU58"/>
      <c r="MLV58"/>
      <c r="MLW58"/>
      <c r="MLX58"/>
      <c r="MLY58"/>
      <c r="MLZ58"/>
      <c r="MMA58"/>
      <c r="MMB58"/>
      <c r="MMC58"/>
      <c r="MMD58"/>
      <c r="MME58"/>
      <c r="MMF58"/>
      <c r="MMG58"/>
      <c r="MMH58"/>
      <c r="MMI58"/>
      <c r="MMJ58"/>
      <c r="MMK58"/>
      <c r="MML58"/>
      <c r="MMM58"/>
      <c r="MMN58"/>
      <c r="MMO58"/>
      <c r="MMP58"/>
      <c r="MMQ58"/>
      <c r="MMR58"/>
      <c r="MMS58"/>
      <c r="MMT58"/>
      <c r="MMU58"/>
      <c r="MMV58"/>
      <c r="MMW58"/>
      <c r="MMX58"/>
      <c r="MMY58"/>
      <c r="MMZ58"/>
      <c r="MNA58"/>
      <c r="MNB58"/>
      <c r="MNC58"/>
      <c r="MND58"/>
      <c r="MNE58"/>
      <c r="MNF58"/>
      <c r="MNG58"/>
      <c r="MNH58"/>
      <c r="MNI58"/>
      <c r="MNJ58"/>
      <c r="MNK58"/>
      <c r="MNL58"/>
      <c r="MNM58"/>
      <c r="MNN58"/>
      <c r="MNO58"/>
      <c r="MNP58"/>
      <c r="MNQ58"/>
      <c r="MNR58"/>
      <c r="MNS58"/>
      <c r="MNT58"/>
      <c r="MNU58"/>
      <c r="MNV58"/>
      <c r="MNW58"/>
      <c r="MNX58"/>
      <c r="MNY58"/>
      <c r="MNZ58"/>
      <c r="MOA58"/>
      <c r="MOB58"/>
      <c r="MOC58"/>
      <c r="MOD58"/>
      <c r="MOE58"/>
      <c r="MOF58"/>
      <c r="MOG58"/>
      <c r="MOH58"/>
      <c r="MOI58"/>
      <c r="MOJ58"/>
      <c r="MOK58"/>
      <c r="MOL58"/>
      <c r="MOM58"/>
      <c r="MON58"/>
      <c r="MOO58"/>
      <c r="MOP58"/>
      <c r="MOQ58"/>
      <c r="MOR58"/>
      <c r="MOS58"/>
      <c r="MOT58"/>
      <c r="MOU58"/>
      <c r="MOV58"/>
      <c r="MOW58"/>
      <c r="MOX58"/>
      <c r="MOY58"/>
      <c r="MOZ58"/>
      <c r="MPA58"/>
      <c r="MPB58"/>
      <c r="MPC58"/>
      <c r="MPD58"/>
      <c r="MPE58"/>
      <c r="MPF58"/>
      <c r="MPG58"/>
      <c r="MPH58"/>
      <c r="MPI58"/>
      <c r="MPJ58"/>
      <c r="MPK58"/>
      <c r="MPL58"/>
      <c r="MPM58"/>
      <c r="MPN58"/>
      <c r="MPO58"/>
      <c r="MPP58"/>
      <c r="MPQ58"/>
      <c r="MPR58"/>
      <c r="MPS58"/>
      <c r="MPT58"/>
      <c r="MPU58"/>
      <c r="MPV58"/>
      <c r="MPW58"/>
      <c r="MPX58"/>
      <c r="MPY58"/>
      <c r="MPZ58"/>
      <c r="MQA58"/>
      <c r="MQB58"/>
      <c r="MQC58"/>
      <c r="MQD58"/>
      <c r="MQE58"/>
      <c r="MQF58"/>
      <c r="MQG58"/>
      <c r="MQH58"/>
      <c r="MQI58"/>
      <c r="MQJ58"/>
      <c r="MQK58"/>
      <c r="MQL58"/>
      <c r="MQM58"/>
      <c r="MQN58"/>
      <c r="MQO58"/>
      <c r="MQP58"/>
      <c r="MQQ58"/>
      <c r="MQR58"/>
      <c r="MQS58"/>
      <c r="MQT58"/>
      <c r="MQU58"/>
      <c r="MQV58"/>
      <c r="MQW58"/>
      <c r="MQX58"/>
      <c r="MQY58"/>
      <c r="MQZ58"/>
      <c r="MRA58"/>
      <c r="MRB58"/>
      <c r="MRC58"/>
      <c r="MRD58"/>
      <c r="MRE58"/>
      <c r="MRF58"/>
      <c r="MRG58"/>
      <c r="MRH58"/>
      <c r="MRI58"/>
      <c r="MRJ58"/>
      <c r="MRK58"/>
      <c r="MRL58"/>
      <c r="MRM58"/>
      <c r="MRN58"/>
      <c r="MRO58"/>
      <c r="MRP58"/>
      <c r="MRQ58"/>
      <c r="MRR58"/>
      <c r="MRS58"/>
      <c r="MRT58"/>
      <c r="MRU58"/>
      <c r="MRV58"/>
      <c r="MRW58"/>
      <c r="MRX58"/>
      <c r="MRY58"/>
      <c r="MRZ58"/>
      <c r="MSA58"/>
      <c r="MSB58"/>
      <c r="MSC58"/>
      <c r="MSD58"/>
      <c r="MSE58"/>
      <c r="MSF58"/>
      <c r="MSG58"/>
      <c r="MSH58"/>
      <c r="MSI58"/>
      <c r="MSJ58"/>
      <c r="MSK58"/>
      <c r="MSL58"/>
      <c r="MSM58"/>
      <c r="MSN58"/>
      <c r="MSO58"/>
      <c r="MSP58"/>
      <c r="MSQ58"/>
      <c r="MSR58"/>
      <c r="MSS58"/>
      <c r="MST58"/>
      <c r="MSU58"/>
      <c r="MSV58"/>
      <c r="MSW58"/>
      <c r="MSX58"/>
      <c r="MSY58"/>
      <c r="MSZ58"/>
      <c r="MTA58"/>
      <c r="MTB58"/>
      <c r="MTC58"/>
      <c r="MTD58"/>
      <c r="MTE58"/>
      <c r="MTF58"/>
      <c r="MTG58"/>
      <c r="MTH58"/>
      <c r="MTI58"/>
      <c r="MTJ58"/>
      <c r="MTK58"/>
      <c r="MTL58"/>
      <c r="MTM58"/>
      <c r="MTN58"/>
      <c r="MTO58"/>
      <c r="MTP58"/>
      <c r="MTQ58"/>
      <c r="MTR58"/>
      <c r="MTS58"/>
      <c r="MTT58"/>
      <c r="MTU58"/>
      <c r="MTV58"/>
      <c r="MTW58"/>
      <c r="MTX58"/>
      <c r="MTY58"/>
      <c r="MTZ58"/>
      <c r="MUA58"/>
      <c r="MUB58"/>
      <c r="MUC58"/>
      <c r="MUD58"/>
      <c r="MUE58"/>
      <c r="MUF58"/>
      <c r="MUG58"/>
      <c r="MUH58"/>
      <c r="MUI58"/>
      <c r="MUJ58"/>
      <c r="MUK58"/>
      <c r="MUL58"/>
      <c r="MUM58"/>
      <c r="MUN58"/>
      <c r="MUO58"/>
      <c r="MUP58"/>
      <c r="MUQ58"/>
      <c r="MUR58"/>
      <c r="MUS58"/>
      <c r="MUT58"/>
      <c r="MUU58"/>
      <c r="MUV58"/>
      <c r="MUW58"/>
      <c r="MUX58"/>
      <c r="MUY58"/>
      <c r="MUZ58"/>
      <c r="MVA58"/>
      <c r="MVB58"/>
      <c r="MVC58"/>
      <c r="MVD58"/>
      <c r="MVE58"/>
      <c r="MVF58"/>
      <c r="MVG58"/>
      <c r="MVH58"/>
      <c r="MVI58"/>
      <c r="MVJ58"/>
      <c r="MVK58"/>
      <c r="MVL58"/>
      <c r="MVM58"/>
      <c r="MVN58"/>
      <c r="MVO58"/>
      <c r="MVP58"/>
      <c r="MVQ58"/>
      <c r="MVR58"/>
      <c r="MVS58"/>
      <c r="MVT58"/>
      <c r="MVU58"/>
      <c r="MVV58"/>
      <c r="MVW58"/>
      <c r="MVX58"/>
      <c r="MVY58"/>
      <c r="MVZ58"/>
      <c r="MWA58"/>
      <c r="MWB58"/>
      <c r="MWC58"/>
      <c r="MWD58"/>
      <c r="MWE58"/>
      <c r="MWF58"/>
      <c r="MWG58"/>
      <c r="MWH58"/>
      <c r="MWI58"/>
      <c r="MWJ58"/>
      <c r="MWK58"/>
      <c r="MWL58"/>
      <c r="MWM58"/>
      <c r="MWN58"/>
      <c r="MWO58"/>
      <c r="MWP58"/>
      <c r="MWQ58"/>
      <c r="MWR58"/>
      <c r="MWS58"/>
      <c r="MWT58"/>
      <c r="MWU58"/>
      <c r="MWV58"/>
      <c r="MWW58"/>
      <c r="MWX58"/>
      <c r="MWY58"/>
      <c r="MWZ58"/>
      <c r="MXA58"/>
      <c r="MXB58"/>
      <c r="MXC58"/>
      <c r="MXD58"/>
      <c r="MXE58"/>
      <c r="MXF58"/>
      <c r="MXG58"/>
      <c r="MXH58"/>
      <c r="MXI58"/>
      <c r="MXJ58"/>
      <c r="MXK58"/>
      <c r="MXL58"/>
      <c r="MXM58"/>
      <c r="MXN58"/>
      <c r="MXO58"/>
      <c r="MXP58"/>
      <c r="MXQ58"/>
      <c r="MXR58"/>
      <c r="MXS58"/>
      <c r="MXT58"/>
      <c r="MXU58"/>
      <c r="MXV58"/>
      <c r="MXW58"/>
      <c r="MXX58"/>
      <c r="MXY58"/>
      <c r="MXZ58"/>
      <c r="MYA58"/>
      <c r="MYB58"/>
      <c r="MYC58"/>
      <c r="MYD58"/>
      <c r="MYE58"/>
      <c r="MYF58"/>
      <c r="MYG58"/>
      <c r="MYH58"/>
      <c r="MYI58"/>
      <c r="MYJ58"/>
      <c r="MYK58"/>
      <c r="MYL58"/>
      <c r="MYM58"/>
      <c r="MYN58"/>
      <c r="MYO58"/>
      <c r="MYP58"/>
      <c r="MYQ58"/>
      <c r="MYR58"/>
      <c r="MYS58"/>
      <c r="MYT58"/>
      <c r="MYU58"/>
      <c r="MYV58"/>
      <c r="MYW58"/>
      <c r="MYX58"/>
      <c r="MYY58"/>
      <c r="MYZ58"/>
      <c r="MZA58"/>
      <c r="MZB58"/>
      <c r="MZC58"/>
      <c r="MZD58"/>
      <c r="MZE58"/>
      <c r="MZF58"/>
      <c r="MZG58"/>
      <c r="MZH58"/>
      <c r="MZI58"/>
      <c r="MZJ58"/>
      <c r="MZK58"/>
      <c r="MZL58"/>
      <c r="MZM58"/>
      <c r="MZN58"/>
      <c r="MZO58"/>
      <c r="MZP58"/>
      <c r="MZQ58"/>
      <c r="MZR58"/>
      <c r="MZS58"/>
      <c r="MZT58"/>
      <c r="MZU58"/>
      <c r="MZV58"/>
      <c r="MZW58"/>
      <c r="MZX58"/>
      <c r="MZY58"/>
      <c r="MZZ58"/>
      <c r="NAA58"/>
      <c r="NAB58"/>
      <c r="NAC58"/>
      <c r="NAD58"/>
      <c r="NAE58"/>
      <c r="NAF58"/>
      <c r="NAG58"/>
      <c r="NAH58"/>
      <c r="NAI58"/>
      <c r="NAJ58"/>
      <c r="NAK58"/>
      <c r="NAL58"/>
      <c r="NAM58"/>
      <c r="NAN58"/>
      <c r="NAO58"/>
      <c r="NAP58"/>
      <c r="NAQ58"/>
      <c r="NAR58"/>
      <c r="NAS58"/>
      <c r="NAT58"/>
      <c r="NAU58"/>
      <c r="NAV58"/>
      <c r="NAW58"/>
      <c r="NAX58"/>
      <c r="NAY58"/>
      <c r="NAZ58"/>
      <c r="NBA58"/>
      <c r="NBB58"/>
      <c r="NBC58"/>
      <c r="NBD58"/>
      <c r="NBE58"/>
      <c r="NBF58"/>
      <c r="NBG58"/>
      <c r="NBH58"/>
      <c r="NBI58"/>
      <c r="NBJ58"/>
      <c r="NBK58"/>
      <c r="NBL58"/>
      <c r="NBM58"/>
      <c r="NBN58"/>
      <c r="NBO58"/>
      <c r="NBP58"/>
      <c r="NBQ58"/>
      <c r="NBR58"/>
      <c r="NBS58"/>
      <c r="NBT58"/>
      <c r="NBU58"/>
      <c r="NBV58"/>
      <c r="NBW58"/>
      <c r="NBX58"/>
      <c r="NBY58"/>
      <c r="NBZ58"/>
      <c r="NCA58"/>
      <c r="NCB58"/>
      <c r="NCC58"/>
      <c r="NCD58"/>
      <c r="NCE58"/>
      <c r="NCF58"/>
      <c r="NCG58"/>
      <c r="NCH58"/>
      <c r="NCI58"/>
      <c r="NCJ58"/>
      <c r="NCK58"/>
      <c r="NCL58"/>
      <c r="NCM58"/>
      <c r="NCN58"/>
      <c r="NCO58"/>
      <c r="NCP58"/>
      <c r="NCQ58"/>
      <c r="NCR58"/>
      <c r="NCS58"/>
      <c r="NCT58"/>
      <c r="NCU58"/>
      <c r="NCV58"/>
      <c r="NCW58"/>
      <c r="NCX58"/>
      <c r="NCY58"/>
      <c r="NCZ58"/>
      <c r="NDA58"/>
      <c r="NDB58"/>
      <c r="NDC58"/>
      <c r="NDD58"/>
      <c r="NDE58"/>
      <c r="NDF58"/>
      <c r="NDG58"/>
      <c r="NDH58"/>
      <c r="NDI58"/>
      <c r="NDJ58"/>
      <c r="NDK58"/>
      <c r="NDL58"/>
      <c r="NDM58"/>
      <c r="NDN58"/>
      <c r="NDO58"/>
      <c r="NDP58"/>
      <c r="NDQ58"/>
      <c r="NDR58"/>
      <c r="NDS58"/>
      <c r="NDT58"/>
      <c r="NDU58"/>
      <c r="NDV58"/>
      <c r="NDW58"/>
      <c r="NDX58"/>
      <c r="NDY58"/>
      <c r="NDZ58"/>
      <c r="NEA58"/>
      <c r="NEB58"/>
      <c r="NEC58"/>
      <c r="NED58"/>
      <c r="NEE58"/>
      <c r="NEF58"/>
      <c r="NEG58"/>
      <c r="NEH58"/>
      <c r="NEI58"/>
      <c r="NEJ58"/>
      <c r="NEK58"/>
      <c r="NEL58"/>
      <c r="NEM58"/>
      <c r="NEN58"/>
      <c r="NEO58"/>
      <c r="NEP58"/>
      <c r="NEQ58"/>
      <c r="NER58"/>
      <c r="NES58"/>
      <c r="NET58"/>
      <c r="NEU58"/>
      <c r="NEV58"/>
      <c r="NEW58"/>
      <c r="NEX58"/>
      <c r="NEY58"/>
      <c r="NEZ58"/>
      <c r="NFA58"/>
      <c r="NFB58"/>
      <c r="NFC58"/>
      <c r="NFD58"/>
      <c r="NFE58"/>
      <c r="NFF58"/>
      <c r="NFG58"/>
      <c r="NFH58"/>
      <c r="NFI58"/>
      <c r="NFJ58"/>
      <c r="NFK58"/>
      <c r="NFL58"/>
      <c r="NFM58"/>
      <c r="NFN58"/>
      <c r="NFO58"/>
      <c r="NFP58"/>
      <c r="NFQ58"/>
      <c r="NFR58"/>
      <c r="NFS58"/>
      <c r="NFT58"/>
      <c r="NFU58"/>
      <c r="NFV58"/>
      <c r="NFW58"/>
      <c r="NFX58"/>
      <c r="NFY58"/>
      <c r="NFZ58"/>
      <c r="NGA58"/>
      <c r="NGB58"/>
      <c r="NGC58"/>
      <c r="NGD58"/>
      <c r="NGE58"/>
      <c r="NGF58"/>
      <c r="NGG58"/>
      <c r="NGH58"/>
      <c r="NGI58"/>
      <c r="NGJ58"/>
      <c r="NGK58"/>
      <c r="NGL58"/>
      <c r="NGM58"/>
      <c r="NGN58"/>
      <c r="NGO58"/>
      <c r="NGP58"/>
      <c r="NGQ58"/>
      <c r="NGR58"/>
      <c r="NGS58"/>
      <c r="NGT58"/>
      <c r="NGU58"/>
      <c r="NGV58"/>
      <c r="NGW58"/>
      <c r="NGX58"/>
      <c r="NGY58"/>
      <c r="NGZ58"/>
      <c r="NHA58"/>
      <c r="NHB58"/>
      <c r="NHC58"/>
      <c r="NHD58"/>
      <c r="NHE58"/>
      <c r="NHF58"/>
      <c r="NHG58"/>
      <c r="NHH58"/>
      <c r="NHI58"/>
      <c r="NHJ58"/>
      <c r="NHK58"/>
      <c r="NHL58"/>
      <c r="NHM58"/>
      <c r="NHN58"/>
      <c r="NHO58"/>
      <c r="NHP58"/>
      <c r="NHQ58"/>
      <c r="NHR58"/>
      <c r="NHS58"/>
      <c r="NHT58"/>
      <c r="NHU58"/>
      <c r="NHV58"/>
      <c r="NHW58"/>
      <c r="NHX58"/>
      <c r="NHY58"/>
      <c r="NHZ58"/>
      <c r="NIA58"/>
      <c r="NIB58"/>
      <c r="NIC58"/>
      <c r="NID58"/>
      <c r="NIE58"/>
      <c r="NIF58"/>
      <c r="NIG58"/>
      <c r="NIH58"/>
      <c r="NII58"/>
      <c r="NIJ58"/>
      <c r="NIK58"/>
      <c r="NIL58"/>
      <c r="NIM58"/>
      <c r="NIN58"/>
      <c r="NIO58"/>
      <c r="NIP58"/>
      <c r="NIQ58"/>
      <c r="NIR58"/>
      <c r="NIS58"/>
      <c r="NIT58"/>
      <c r="NIU58"/>
      <c r="NIV58"/>
      <c r="NIW58"/>
      <c r="NIX58"/>
      <c r="NIY58"/>
      <c r="NIZ58"/>
      <c r="NJA58"/>
      <c r="NJB58"/>
      <c r="NJC58"/>
      <c r="NJD58"/>
      <c r="NJE58"/>
      <c r="NJF58"/>
      <c r="NJG58"/>
      <c r="NJH58"/>
      <c r="NJI58"/>
      <c r="NJJ58"/>
      <c r="NJK58"/>
      <c r="NJL58"/>
      <c r="NJM58"/>
      <c r="NJN58"/>
      <c r="NJO58"/>
      <c r="NJP58"/>
      <c r="NJQ58"/>
      <c r="NJR58"/>
      <c r="NJS58"/>
      <c r="NJT58"/>
      <c r="NJU58"/>
      <c r="NJV58"/>
      <c r="NJW58"/>
      <c r="NJX58"/>
      <c r="NJY58"/>
      <c r="NJZ58"/>
      <c r="NKA58"/>
      <c r="NKB58"/>
      <c r="NKC58"/>
      <c r="NKD58"/>
      <c r="NKE58"/>
      <c r="NKF58"/>
      <c r="NKG58"/>
      <c r="NKH58"/>
      <c r="NKI58"/>
      <c r="NKJ58"/>
      <c r="NKK58"/>
      <c r="NKL58"/>
      <c r="NKM58"/>
      <c r="NKN58"/>
      <c r="NKO58"/>
      <c r="NKP58"/>
      <c r="NKQ58"/>
      <c r="NKR58"/>
      <c r="NKS58"/>
      <c r="NKT58"/>
      <c r="NKU58"/>
      <c r="NKV58"/>
      <c r="NKW58"/>
      <c r="NKX58"/>
      <c r="NKY58"/>
      <c r="NKZ58"/>
      <c r="NLA58"/>
      <c r="NLB58"/>
      <c r="NLC58"/>
      <c r="NLD58"/>
      <c r="NLE58"/>
      <c r="NLF58"/>
      <c r="NLG58"/>
      <c r="NLH58"/>
      <c r="NLI58"/>
      <c r="NLJ58"/>
      <c r="NLK58"/>
      <c r="NLL58"/>
      <c r="NLM58"/>
      <c r="NLN58"/>
      <c r="NLO58"/>
      <c r="NLP58"/>
      <c r="NLQ58"/>
      <c r="NLR58"/>
      <c r="NLS58"/>
      <c r="NLT58"/>
      <c r="NLU58"/>
      <c r="NLV58"/>
      <c r="NLW58"/>
      <c r="NLX58"/>
      <c r="NLY58"/>
      <c r="NLZ58"/>
      <c r="NMA58"/>
      <c r="NMB58"/>
      <c r="NMC58"/>
      <c r="NMD58"/>
      <c r="NME58"/>
      <c r="NMF58"/>
      <c r="NMG58"/>
      <c r="NMH58"/>
      <c r="NMI58"/>
      <c r="NMJ58"/>
      <c r="NMK58"/>
      <c r="NML58"/>
      <c r="NMM58"/>
      <c r="NMN58"/>
      <c r="NMO58"/>
      <c r="NMP58"/>
      <c r="NMQ58"/>
      <c r="NMR58"/>
      <c r="NMS58"/>
      <c r="NMT58"/>
      <c r="NMU58"/>
      <c r="NMV58"/>
      <c r="NMW58"/>
      <c r="NMX58"/>
      <c r="NMY58"/>
      <c r="NMZ58"/>
      <c r="NNA58"/>
      <c r="NNB58"/>
      <c r="NNC58"/>
      <c r="NND58"/>
      <c r="NNE58"/>
      <c r="NNF58"/>
      <c r="NNG58"/>
      <c r="NNH58"/>
      <c r="NNI58"/>
      <c r="NNJ58"/>
      <c r="NNK58"/>
      <c r="NNL58"/>
      <c r="NNM58"/>
      <c r="NNN58"/>
      <c r="NNO58"/>
      <c r="NNP58"/>
      <c r="NNQ58"/>
      <c r="NNR58"/>
      <c r="NNS58"/>
      <c r="NNT58"/>
      <c r="NNU58"/>
      <c r="NNV58"/>
      <c r="NNW58"/>
      <c r="NNX58"/>
      <c r="NNY58"/>
      <c r="NNZ58"/>
      <c r="NOA58"/>
      <c r="NOB58"/>
      <c r="NOC58"/>
      <c r="NOD58"/>
      <c r="NOE58"/>
      <c r="NOF58"/>
      <c r="NOG58"/>
      <c r="NOH58"/>
      <c r="NOI58"/>
      <c r="NOJ58"/>
      <c r="NOK58"/>
      <c r="NOL58"/>
      <c r="NOM58"/>
      <c r="NON58"/>
      <c r="NOO58"/>
      <c r="NOP58"/>
      <c r="NOQ58"/>
      <c r="NOR58"/>
      <c r="NOS58"/>
      <c r="NOT58"/>
      <c r="NOU58"/>
      <c r="NOV58"/>
      <c r="NOW58"/>
      <c r="NOX58"/>
      <c r="NOY58"/>
      <c r="NOZ58"/>
      <c r="NPA58"/>
      <c r="NPB58"/>
      <c r="NPC58"/>
      <c r="NPD58"/>
      <c r="NPE58"/>
      <c r="NPF58"/>
      <c r="NPG58"/>
      <c r="NPH58"/>
      <c r="NPI58"/>
      <c r="NPJ58"/>
      <c r="NPK58"/>
      <c r="NPL58"/>
      <c r="NPM58"/>
      <c r="NPN58"/>
      <c r="NPO58"/>
      <c r="NPP58"/>
      <c r="NPQ58"/>
      <c r="NPR58"/>
      <c r="NPS58"/>
      <c r="NPT58"/>
      <c r="NPU58"/>
      <c r="NPV58"/>
      <c r="NPW58"/>
      <c r="NPX58"/>
      <c r="NPY58"/>
      <c r="NPZ58"/>
      <c r="NQA58"/>
      <c r="NQB58"/>
      <c r="NQC58"/>
      <c r="NQD58"/>
      <c r="NQE58"/>
      <c r="NQF58"/>
      <c r="NQG58"/>
      <c r="NQH58"/>
      <c r="NQI58"/>
      <c r="NQJ58"/>
      <c r="NQK58"/>
      <c r="NQL58"/>
      <c r="NQM58"/>
      <c r="NQN58"/>
      <c r="NQO58"/>
      <c r="NQP58"/>
      <c r="NQQ58"/>
      <c r="NQR58"/>
      <c r="NQS58"/>
      <c r="NQT58"/>
      <c r="NQU58"/>
      <c r="NQV58"/>
      <c r="NQW58"/>
      <c r="NQX58"/>
      <c r="NQY58"/>
      <c r="NQZ58"/>
      <c r="NRA58"/>
      <c r="NRB58"/>
      <c r="NRC58"/>
      <c r="NRD58"/>
      <c r="NRE58"/>
      <c r="NRF58"/>
      <c r="NRG58"/>
      <c r="NRH58"/>
      <c r="NRI58"/>
      <c r="NRJ58"/>
      <c r="NRK58"/>
      <c r="NRL58"/>
      <c r="NRM58"/>
      <c r="NRN58"/>
      <c r="NRO58"/>
      <c r="NRP58"/>
      <c r="NRQ58"/>
      <c r="NRR58"/>
      <c r="NRS58"/>
      <c r="NRT58"/>
      <c r="NRU58"/>
      <c r="NRV58"/>
      <c r="NRW58"/>
      <c r="NRX58"/>
      <c r="NRY58"/>
      <c r="NRZ58"/>
      <c r="NSA58"/>
      <c r="NSB58"/>
      <c r="NSC58"/>
      <c r="NSD58"/>
      <c r="NSE58"/>
      <c r="NSF58"/>
      <c r="NSG58"/>
      <c r="NSH58"/>
      <c r="NSI58"/>
      <c r="NSJ58"/>
      <c r="NSK58"/>
      <c r="NSL58"/>
      <c r="NSM58"/>
      <c r="NSN58"/>
      <c r="NSO58"/>
      <c r="NSP58"/>
      <c r="NSQ58"/>
      <c r="NSR58"/>
      <c r="NSS58"/>
      <c r="NST58"/>
      <c r="NSU58"/>
      <c r="NSV58"/>
      <c r="NSW58"/>
      <c r="NSX58"/>
      <c r="NSY58"/>
      <c r="NSZ58"/>
      <c r="NTA58"/>
      <c r="NTB58"/>
      <c r="NTC58"/>
      <c r="NTD58"/>
      <c r="NTE58"/>
      <c r="NTF58"/>
      <c r="NTG58"/>
      <c r="NTH58"/>
      <c r="NTI58"/>
      <c r="NTJ58"/>
      <c r="NTK58"/>
      <c r="NTL58"/>
      <c r="NTM58"/>
      <c r="NTN58"/>
      <c r="NTO58"/>
      <c r="NTP58"/>
      <c r="NTQ58"/>
      <c r="NTR58"/>
      <c r="NTS58"/>
      <c r="NTT58"/>
      <c r="NTU58"/>
      <c r="NTV58"/>
      <c r="NTW58"/>
      <c r="NTX58"/>
      <c r="NTY58"/>
      <c r="NTZ58"/>
      <c r="NUA58"/>
      <c r="NUB58"/>
      <c r="NUC58"/>
      <c r="NUD58"/>
      <c r="NUE58"/>
      <c r="NUF58"/>
      <c r="NUG58"/>
      <c r="NUH58"/>
      <c r="NUI58"/>
      <c r="NUJ58"/>
      <c r="NUK58"/>
      <c r="NUL58"/>
      <c r="NUM58"/>
      <c r="NUN58"/>
      <c r="NUO58"/>
      <c r="NUP58"/>
      <c r="NUQ58"/>
      <c r="NUR58"/>
      <c r="NUS58"/>
      <c r="NUT58"/>
      <c r="NUU58"/>
      <c r="NUV58"/>
      <c r="NUW58"/>
      <c r="NUX58"/>
      <c r="NUY58"/>
      <c r="NUZ58"/>
      <c r="NVA58"/>
      <c r="NVB58"/>
      <c r="NVC58"/>
      <c r="NVD58"/>
      <c r="NVE58"/>
      <c r="NVF58"/>
      <c r="NVG58"/>
      <c r="NVH58"/>
      <c r="NVI58"/>
      <c r="NVJ58"/>
      <c r="NVK58"/>
      <c r="NVL58"/>
      <c r="NVM58"/>
      <c r="NVN58"/>
      <c r="NVO58"/>
      <c r="NVP58"/>
      <c r="NVQ58"/>
      <c r="NVR58"/>
      <c r="NVS58"/>
      <c r="NVT58"/>
      <c r="NVU58"/>
      <c r="NVV58"/>
      <c r="NVW58"/>
      <c r="NVX58"/>
      <c r="NVY58"/>
      <c r="NVZ58"/>
      <c r="NWA58"/>
      <c r="NWB58"/>
      <c r="NWC58"/>
      <c r="NWD58"/>
      <c r="NWE58"/>
      <c r="NWF58"/>
      <c r="NWG58"/>
      <c r="NWH58"/>
      <c r="NWI58"/>
      <c r="NWJ58"/>
      <c r="NWK58"/>
      <c r="NWL58"/>
      <c r="NWM58"/>
      <c r="NWN58"/>
      <c r="NWO58"/>
      <c r="NWP58"/>
      <c r="NWQ58"/>
      <c r="NWR58"/>
      <c r="NWS58"/>
      <c r="NWT58"/>
      <c r="NWU58"/>
      <c r="NWV58"/>
      <c r="NWW58"/>
      <c r="NWX58"/>
      <c r="NWY58"/>
      <c r="NWZ58"/>
      <c r="NXA58"/>
      <c r="NXB58"/>
      <c r="NXC58"/>
      <c r="NXD58"/>
      <c r="NXE58"/>
      <c r="NXF58"/>
      <c r="NXG58"/>
      <c r="NXH58"/>
      <c r="NXI58"/>
      <c r="NXJ58"/>
      <c r="NXK58"/>
      <c r="NXL58"/>
      <c r="NXM58"/>
      <c r="NXN58"/>
      <c r="NXO58"/>
      <c r="NXP58"/>
      <c r="NXQ58"/>
      <c r="NXR58"/>
      <c r="NXS58"/>
      <c r="NXT58"/>
      <c r="NXU58"/>
      <c r="NXV58"/>
      <c r="NXW58"/>
      <c r="NXX58"/>
      <c r="NXY58"/>
      <c r="NXZ58"/>
      <c r="NYA58"/>
      <c r="NYB58"/>
      <c r="NYC58"/>
      <c r="NYD58"/>
      <c r="NYE58"/>
      <c r="NYF58"/>
      <c r="NYG58"/>
      <c r="NYH58"/>
      <c r="NYI58"/>
      <c r="NYJ58"/>
      <c r="NYK58"/>
      <c r="NYL58"/>
      <c r="NYM58"/>
      <c r="NYN58"/>
      <c r="NYO58"/>
      <c r="NYP58"/>
      <c r="NYQ58"/>
      <c r="NYR58"/>
      <c r="NYS58"/>
      <c r="NYT58"/>
      <c r="NYU58"/>
      <c r="NYV58"/>
      <c r="NYW58"/>
      <c r="NYX58"/>
      <c r="NYY58"/>
      <c r="NYZ58"/>
      <c r="NZA58"/>
      <c r="NZB58"/>
      <c r="NZC58"/>
      <c r="NZD58"/>
      <c r="NZE58"/>
      <c r="NZF58"/>
      <c r="NZG58"/>
      <c r="NZH58"/>
      <c r="NZI58"/>
      <c r="NZJ58"/>
      <c r="NZK58"/>
      <c r="NZL58"/>
      <c r="NZM58"/>
      <c r="NZN58"/>
      <c r="NZO58"/>
      <c r="NZP58"/>
      <c r="NZQ58"/>
      <c r="NZR58"/>
      <c r="NZS58"/>
      <c r="NZT58"/>
      <c r="NZU58"/>
      <c r="NZV58"/>
      <c r="NZW58"/>
      <c r="NZX58"/>
      <c r="NZY58"/>
      <c r="NZZ58"/>
      <c r="OAA58"/>
      <c r="OAB58"/>
      <c r="OAC58"/>
      <c r="OAD58"/>
      <c r="OAE58"/>
      <c r="OAF58"/>
      <c r="OAG58"/>
      <c r="OAH58"/>
      <c r="OAI58"/>
      <c r="OAJ58"/>
      <c r="OAK58"/>
      <c r="OAL58"/>
      <c r="OAM58"/>
      <c r="OAN58"/>
      <c r="OAO58"/>
      <c r="OAP58"/>
      <c r="OAQ58"/>
      <c r="OAR58"/>
      <c r="OAS58"/>
      <c r="OAT58"/>
      <c r="OAU58"/>
      <c r="OAV58"/>
      <c r="OAW58"/>
      <c r="OAX58"/>
      <c r="OAY58"/>
      <c r="OAZ58"/>
      <c r="OBA58"/>
      <c r="OBB58"/>
      <c r="OBC58"/>
      <c r="OBD58"/>
      <c r="OBE58"/>
      <c r="OBF58"/>
      <c r="OBG58"/>
      <c r="OBH58"/>
      <c r="OBI58"/>
      <c r="OBJ58"/>
      <c r="OBK58"/>
      <c r="OBL58"/>
      <c r="OBM58"/>
      <c r="OBN58"/>
      <c r="OBO58"/>
      <c r="OBP58"/>
      <c r="OBQ58"/>
      <c r="OBR58"/>
      <c r="OBS58"/>
      <c r="OBT58"/>
      <c r="OBU58"/>
      <c r="OBV58"/>
      <c r="OBW58"/>
      <c r="OBX58"/>
      <c r="OBY58"/>
      <c r="OBZ58"/>
      <c r="OCA58"/>
      <c r="OCB58"/>
      <c r="OCC58"/>
      <c r="OCD58"/>
      <c r="OCE58"/>
      <c r="OCF58"/>
      <c r="OCG58"/>
      <c r="OCH58"/>
      <c r="OCI58"/>
      <c r="OCJ58"/>
      <c r="OCK58"/>
      <c r="OCL58"/>
      <c r="OCM58"/>
      <c r="OCN58"/>
      <c r="OCO58"/>
      <c r="OCP58"/>
      <c r="OCQ58"/>
      <c r="OCR58"/>
      <c r="OCS58"/>
      <c r="OCT58"/>
      <c r="OCU58"/>
      <c r="OCV58"/>
      <c r="OCW58"/>
      <c r="OCX58"/>
      <c r="OCY58"/>
      <c r="OCZ58"/>
      <c r="ODA58"/>
      <c r="ODB58"/>
      <c r="ODC58"/>
      <c r="ODD58"/>
      <c r="ODE58"/>
      <c r="ODF58"/>
      <c r="ODG58"/>
      <c r="ODH58"/>
      <c r="ODI58"/>
      <c r="ODJ58"/>
      <c r="ODK58"/>
      <c r="ODL58"/>
      <c r="ODM58"/>
      <c r="ODN58"/>
      <c r="ODO58"/>
      <c r="ODP58"/>
      <c r="ODQ58"/>
      <c r="ODR58"/>
      <c r="ODS58"/>
      <c r="ODT58"/>
      <c r="ODU58"/>
      <c r="ODV58"/>
      <c r="ODW58"/>
      <c r="ODX58"/>
      <c r="ODY58"/>
      <c r="ODZ58"/>
      <c r="OEA58"/>
      <c r="OEB58"/>
      <c r="OEC58"/>
      <c r="OED58"/>
      <c r="OEE58"/>
      <c r="OEF58"/>
      <c r="OEG58"/>
      <c r="OEH58"/>
      <c r="OEI58"/>
      <c r="OEJ58"/>
      <c r="OEK58"/>
      <c r="OEL58"/>
      <c r="OEM58"/>
      <c r="OEN58"/>
      <c r="OEO58"/>
      <c r="OEP58"/>
      <c r="OEQ58"/>
      <c r="OER58"/>
      <c r="OES58"/>
      <c r="OET58"/>
      <c r="OEU58"/>
      <c r="OEV58"/>
      <c r="OEW58"/>
      <c r="OEX58"/>
      <c r="OEY58"/>
      <c r="OEZ58"/>
      <c r="OFA58"/>
      <c r="OFB58"/>
      <c r="OFC58"/>
      <c r="OFD58"/>
      <c r="OFE58"/>
      <c r="OFF58"/>
      <c r="OFG58"/>
      <c r="OFH58"/>
      <c r="OFI58"/>
      <c r="OFJ58"/>
      <c r="OFK58"/>
      <c r="OFL58"/>
      <c r="OFM58"/>
      <c r="OFN58"/>
      <c r="OFO58"/>
      <c r="OFP58"/>
      <c r="OFQ58"/>
      <c r="OFR58"/>
      <c r="OFS58"/>
      <c r="OFT58"/>
      <c r="OFU58"/>
      <c r="OFV58"/>
      <c r="OFW58"/>
      <c r="OFX58"/>
      <c r="OFY58"/>
      <c r="OFZ58"/>
      <c r="OGA58"/>
      <c r="OGB58"/>
      <c r="OGC58"/>
      <c r="OGD58"/>
      <c r="OGE58"/>
      <c r="OGF58"/>
      <c r="OGG58"/>
      <c r="OGH58"/>
      <c r="OGI58"/>
      <c r="OGJ58"/>
      <c r="OGK58"/>
      <c r="OGL58"/>
      <c r="OGM58"/>
      <c r="OGN58"/>
      <c r="OGO58"/>
      <c r="OGP58"/>
      <c r="OGQ58"/>
      <c r="OGR58"/>
      <c r="OGS58"/>
      <c r="OGT58"/>
      <c r="OGU58"/>
      <c r="OGV58"/>
      <c r="OGW58"/>
      <c r="OGX58"/>
      <c r="OGY58"/>
      <c r="OGZ58"/>
      <c r="OHA58"/>
      <c r="OHB58"/>
      <c r="OHC58"/>
      <c r="OHD58"/>
      <c r="OHE58"/>
      <c r="OHF58"/>
      <c r="OHG58"/>
      <c r="OHH58"/>
      <c r="OHI58"/>
      <c r="OHJ58"/>
      <c r="OHK58"/>
      <c r="OHL58"/>
      <c r="OHM58"/>
      <c r="OHN58"/>
      <c r="OHO58"/>
      <c r="OHP58"/>
      <c r="OHQ58"/>
      <c r="OHR58"/>
      <c r="OHS58"/>
      <c r="OHT58"/>
      <c r="OHU58"/>
      <c r="OHV58"/>
      <c r="OHW58"/>
      <c r="OHX58"/>
      <c r="OHY58"/>
      <c r="OHZ58"/>
      <c r="OIA58"/>
      <c r="OIB58"/>
      <c r="OIC58"/>
      <c r="OID58"/>
      <c r="OIE58"/>
      <c r="OIF58"/>
      <c r="OIG58"/>
      <c r="OIH58"/>
      <c r="OII58"/>
      <c r="OIJ58"/>
      <c r="OIK58"/>
      <c r="OIL58"/>
      <c r="OIM58"/>
      <c r="OIN58"/>
      <c r="OIO58"/>
      <c r="OIP58"/>
      <c r="OIQ58"/>
      <c r="OIR58"/>
      <c r="OIS58"/>
      <c r="OIT58"/>
      <c r="OIU58"/>
      <c r="OIV58"/>
      <c r="OIW58"/>
      <c r="OIX58"/>
      <c r="OIY58"/>
      <c r="OIZ58"/>
      <c r="OJA58"/>
      <c r="OJB58"/>
      <c r="OJC58"/>
      <c r="OJD58"/>
      <c r="OJE58"/>
      <c r="OJF58"/>
      <c r="OJG58"/>
      <c r="OJH58"/>
      <c r="OJI58"/>
      <c r="OJJ58"/>
      <c r="OJK58"/>
      <c r="OJL58"/>
      <c r="OJM58"/>
      <c r="OJN58"/>
      <c r="OJO58"/>
      <c r="OJP58"/>
      <c r="OJQ58"/>
      <c r="OJR58"/>
      <c r="OJS58"/>
      <c r="OJT58"/>
      <c r="OJU58"/>
      <c r="OJV58"/>
      <c r="OJW58"/>
      <c r="OJX58"/>
      <c r="OJY58"/>
      <c r="OJZ58"/>
      <c r="OKA58"/>
      <c r="OKB58"/>
      <c r="OKC58"/>
      <c r="OKD58"/>
      <c r="OKE58"/>
      <c r="OKF58"/>
      <c r="OKG58"/>
      <c r="OKH58"/>
      <c r="OKI58"/>
      <c r="OKJ58"/>
      <c r="OKK58"/>
      <c r="OKL58"/>
      <c r="OKM58"/>
      <c r="OKN58"/>
      <c r="OKO58"/>
      <c r="OKP58"/>
      <c r="OKQ58"/>
      <c r="OKR58"/>
      <c r="OKS58"/>
      <c r="OKT58"/>
      <c r="OKU58"/>
      <c r="OKV58"/>
      <c r="OKW58"/>
      <c r="OKX58"/>
      <c r="OKY58"/>
      <c r="OKZ58"/>
      <c r="OLA58"/>
      <c r="OLB58"/>
      <c r="OLC58"/>
      <c r="OLD58"/>
      <c r="OLE58"/>
      <c r="OLF58"/>
      <c r="OLG58"/>
      <c r="OLH58"/>
      <c r="OLI58"/>
      <c r="OLJ58"/>
      <c r="OLK58"/>
      <c r="OLL58"/>
      <c r="OLM58"/>
      <c r="OLN58"/>
      <c r="OLO58"/>
      <c r="OLP58"/>
      <c r="OLQ58"/>
      <c r="OLR58"/>
      <c r="OLS58"/>
      <c r="OLT58"/>
      <c r="OLU58"/>
      <c r="OLV58"/>
      <c r="OLW58"/>
      <c r="OLX58"/>
      <c r="OLY58"/>
      <c r="OLZ58"/>
      <c r="OMA58"/>
      <c r="OMB58"/>
      <c r="OMC58"/>
      <c r="OMD58"/>
      <c r="OME58"/>
      <c r="OMF58"/>
      <c r="OMG58"/>
      <c r="OMH58"/>
      <c r="OMI58"/>
      <c r="OMJ58"/>
      <c r="OMK58"/>
      <c r="OML58"/>
      <c r="OMM58"/>
      <c r="OMN58"/>
      <c r="OMO58"/>
      <c r="OMP58"/>
      <c r="OMQ58"/>
      <c r="OMR58"/>
      <c r="OMS58"/>
      <c r="OMT58"/>
      <c r="OMU58"/>
      <c r="OMV58"/>
      <c r="OMW58"/>
      <c r="OMX58"/>
      <c r="OMY58"/>
      <c r="OMZ58"/>
      <c r="ONA58"/>
      <c r="ONB58"/>
      <c r="ONC58"/>
      <c r="OND58"/>
      <c r="ONE58"/>
      <c r="ONF58"/>
      <c r="ONG58"/>
      <c r="ONH58"/>
      <c r="ONI58"/>
      <c r="ONJ58"/>
      <c r="ONK58"/>
      <c r="ONL58"/>
      <c r="ONM58"/>
      <c r="ONN58"/>
      <c r="ONO58"/>
      <c r="ONP58"/>
      <c r="ONQ58"/>
      <c r="ONR58"/>
      <c r="ONS58"/>
      <c r="ONT58"/>
      <c r="ONU58"/>
      <c r="ONV58"/>
      <c r="ONW58"/>
      <c r="ONX58"/>
      <c r="ONY58"/>
      <c r="ONZ58"/>
      <c r="OOA58"/>
      <c r="OOB58"/>
      <c r="OOC58"/>
      <c r="OOD58"/>
      <c r="OOE58"/>
      <c r="OOF58"/>
      <c r="OOG58"/>
      <c r="OOH58"/>
      <c r="OOI58"/>
      <c r="OOJ58"/>
      <c r="OOK58"/>
      <c r="OOL58"/>
      <c r="OOM58"/>
      <c r="OON58"/>
      <c r="OOO58"/>
      <c r="OOP58"/>
      <c r="OOQ58"/>
      <c r="OOR58"/>
      <c r="OOS58"/>
      <c r="OOT58"/>
      <c r="OOU58"/>
      <c r="OOV58"/>
      <c r="OOW58"/>
      <c r="OOX58"/>
      <c r="OOY58"/>
      <c r="OOZ58"/>
      <c r="OPA58"/>
      <c r="OPB58"/>
      <c r="OPC58"/>
      <c r="OPD58"/>
      <c r="OPE58"/>
      <c r="OPF58"/>
      <c r="OPG58"/>
      <c r="OPH58"/>
      <c r="OPI58"/>
      <c r="OPJ58"/>
      <c r="OPK58"/>
      <c r="OPL58"/>
      <c r="OPM58"/>
      <c r="OPN58"/>
      <c r="OPO58"/>
      <c r="OPP58"/>
      <c r="OPQ58"/>
      <c r="OPR58"/>
      <c r="OPS58"/>
      <c r="OPT58"/>
      <c r="OPU58"/>
      <c r="OPV58"/>
      <c r="OPW58"/>
      <c r="OPX58"/>
      <c r="OPY58"/>
      <c r="OPZ58"/>
      <c r="OQA58"/>
      <c r="OQB58"/>
      <c r="OQC58"/>
      <c r="OQD58"/>
      <c r="OQE58"/>
      <c r="OQF58"/>
      <c r="OQG58"/>
      <c r="OQH58"/>
      <c r="OQI58"/>
      <c r="OQJ58"/>
      <c r="OQK58"/>
      <c r="OQL58"/>
      <c r="OQM58"/>
      <c r="OQN58"/>
      <c r="OQO58"/>
      <c r="OQP58"/>
      <c r="OQQ58"/>
      <c r="OQR58"/>
      <c r="OQS58"/>
      <c r="OQT58"/>
      <c r="OQU58"/>
      <c r="OQV58"/>
      <c r="OQW58"/>
      <c r="OQX58"/>
      <c r="OQY58"/>
      <c r="OQZ58"/>
      <c r="ORA58"/>
      <c r="ORB58"/>
      <c r="ORC58"/>
      <c r="ORD58"/>
      <c r="ORE58"/>
      <c r="ORF58"/>
      <c r="ORG58"/>
      <c r="ORH58"/>
      <c r="ORI58"/>
      <c r="ORJ58"/>
      <c r="ORK58"/>
      <c r="ORL58"/>
      <c r="ORM58"/>
      <c r="ORN58"/>
      <c r="ORO58"/>
      <c r="ORP58"/>
      <c r="ORQ58"/>
      <c r="ORR58"/>
      <c r="ORS58"/>
      <c r="ORT58"/>
      <c r="ORU58"/>
      <c r="ORV58"/>
      <c r="ORW58"/>
      <c r="ORX58"/>
      <c r="ORY58"/>
      <c r="ORZ58"/>
      <c r="OSA58"/>
      <c r="OSB58"/>
      <c r="OSC58"/>
      <c r="OSD58"/>
      <c r="OSE58"/>
      <c r="OSF58"/>
      <c r="OSG58"/>
      <c r="OSH58"/>
      <c r="OSI58"/>
      <c r="OSJ58"/>
      <c r="OSK58"/>
      <c r="OSL58"/>
      <c r="OSM58"/>
      <c r="OSN58"/>
      <c r="OSO58"/>
      <c r="OSP58"/>
      <c r="OSQ58"/>
      <c r="OSR58"/>
      <c r="OSS58"/>
      <c r="OST58"/>
      <c r="OSU58"/>
      <c r="OSV58"/>
      <c r="OSW58"/>
      <c r="OSX58"/>
      <c r="OSY58"/>
      <c r="OSZ58"/>
      <c r="OTA58"/>
      <c r="OTB58"/>
      <c r="OTC58"/>
      <c r="OTD58"/>
      <c r="OTE58"/>
      <c r="OTF58"/>
      <c r="OTG58"/>
      <c r="OTH58"/>
      <c r="OTI58"/>
      <c r="OTJ58"/>
      <c r="OTK58"/>
      <c r="OTL58"/>
      <c r="OTM58"/>
      <c r="OTN58"/>
      <c r="OTO58"/>
      <c r="OTP58"/>
      <c r="OTQ58"/>
      <c r="OTR58"/>
      <c r="OTS58"/>
      <c r="OTT58"/>
      <c r="OTU58"/>
      <c r="OTV58"/>
      <c r="OTW58"/>
      <c r="OTX58"/>
      <c r="OTY58"/>
      <c r="OTZ58"/>
      <c r="OUA58"/>
      <c r="OUB58"/>
      <c r="OUC58"/>
      <c r="OUD58"/>
      <c r="OUE58"/>
      <c r="OUF58"/>
      <c r="OUG58"/>
      <c r="OUH58"/>
      <c r="OUI58"/>
      <c r="OUJ58"/>
      <c r="OUK58"/>
      <c r="OUL58"/>
      <c r="OUM58"/>
      <c r="OUN58"/>
      <c r="OUO58"/>
      <c r="OUP58"/>
      <c r="OUQ58"/>
      <c r="OUR58"/>
      <c r="OUS58"/>
      <c r="OUT58"/>
      <c r="OUU58"/>
      <c r="OUV58"/>
      <c r="OUW58"/>
      <c r="OUX58"/>
      <c r="OUY58"/>
      <c r="OUZ58"/>
      <c r="OVA58"/>
      <c r="OVB58"/>
      <c r="OVC58"/>
      <c r="OVD58"/>
      <c r="OVE58"/>
      <c r="OVF58"/>
      <c r="OVG58"/>
      <c r="OVH58"/>
      <c r="OVI58"/>
      <c r="OVJ58"/>
      <c r="OVK58"/>
      <c r="OVL58"/>
      <c r="OVM58"/>
      <c r="OVN58"/>
      <c r="OVO58"/>
      <c r="OVP58"/>
      <c r="OVQ58"/>
      <c r="OVR58"/>
      <c r="OVS58"/>
      <c r="OVT58"/>
      <c r="OVU58"/>
      <c r="OVV58"/>
      <c r="OVW58"/>
      <c r="OVX58"/>
      <c r="OVY58"/>
      <c r="OVZ58"/>
      <c r="OWA58"/>
      <c r="OWB58"/>
      <c r="OWC58"/>
      <c r="OWD58"/>
      <c r="OWE58"/>
      <c r="OWF58"/>
      <c r="OWG58"/>
      <c r="OWH58"/>
      <c r="OWI58"/>
      <c r="OWJ58"/>
      <c r="OWK58"/>
      <c r="OWL58"/>
      <c r="OWM58"/>
      <c r="OWN58"/>
      <c r="OWO58"/>
      <c r="OWP58"/>
      <c r="OWQ58"/>
      <c r="OWR58"/>
      <c r="OWS58"/>
      <c r="OWT58"/>
      <c r="OWU58"/>
      <c r="OWV58"/>
      <c r="OWW58"/>
      <c r="OWX58"/>
      <c r="OWY58"/>
      <c r="OWZ58"/>
      <c r="OXA58"/>
      <c r="OXB58"/>
      <c r="OXC58"/>
      <c r="OXD58"/>
      <c r="OXE58"/>
      <c r="OXF58"/>
      <c r="OXG58"/>
      <c r="OXH58"/>
      <c r="OXI58"/>
      <c r="OXJ58"/>
      <c r="OXK58"/>
      <c r="OXL58"/>
      <c r="OXM58"/>
      <c r="OXN58"/>
      <c r="OXO58"/>
      <c r="OXP58"/>
      <c r="OXQ58"/>
      <c r="OXR58"/>
      <c r="OXS58"/>
      <c r="OXT58"/>
      <c r="OXU58"/>
      <c r="OXV58"/>
      <c r="OXW58"/>
      <c r="OXX58"/>
      <c r="OXY58"/>
      <c r="OXZ58"/>
      <c r="OYA58"/>
      <c r="OYB58"/>
      <c r="OYC58"/>
      <c r="OYD58"/>
      <c r="OYE58"/>
      <c r="OYF58"/>
      <c r="OYG58"/>
      <c r="OYH58"/>
      <c r="OYI58"/>
      <c r="OYJ58"/>
      <c r="OYK58"/>
      <c r="OYL58"/>
      <c r="OYM58"/>
      <c r="OYN58"/>
      <c r="OYO58"/>
      <c r="OYP58"/>
      <c r="OYQ58"/>
      <c r="OYR58"/>
      <c r="OYS58"/>
      <c r="OYT58"/>
      <c r="OYU58"/>
      <c r="OYV58"/>
      <c r="OYW58"/>
      <c r="OYX58"/>
      <c r="OYY58"/>
      <c r="OYZ58"/>
      <c r="OZA58"/>
      <c r="OZB58"/>
      <c r="OZC58"/>
      <c r="OZD58"/>
      <c r="OZE58"/>
      <c r="OZF58"/>
      <c r="OZG58"/>
      <c r="OZH58"/>
      <c r="OZI58"/>
      <c r="OZJ58"/>
      <c r="OZK58"/>
      <c r="OZL58"/>
      <c r="OZM58"/>
      <c r="OZN58"/>
      <c r="OZO58"/>
      <c r="OZP58"/>
      <c r="OZQ58"/>
      <c r="OZR58"/>
      <c r="OZS58"/>
      <c r="OZT58"/>
      <c r="OZU58"/>
      <c r="OZV58"/>
      <c r="OZW58"/>
      <c r="OZX58"/>
      <c r="OZY58"/>
      <c r="OZZ58"/>
      <c r="PAA58"/>
      <c r="PAB58"/>
      <c r="PAC58"/>
      <c r="PAD58"/>
      <c r="PAE58"/>
      <c r="PAF58"/>
      <c r="PAG58"/>
      <c r="PAH58"/>
      <c r="PAI58"/>
      <c r="PAJ58"/>
      <c r="PAK58"/>
      <c r="PAL58"/>
      <c r="PAM58"/>
      <c r="PAN58"/>
      <c r="PAO58"/>
      <c r="PAP58"/>
      <c r="PAQ58"/>
      <c r="PAR58"/>
      <c r="PAS58"/>
      <c r="PAT58"/>
      <c r="PAU58"/>
      <c r="PAV58"/>
      <c r="PAW58"/>
      <c r="PAX58"/>
      <c r="PAY58"/>
      <c r="PAZ58"/>
      <c r="PBA58"/>
      <c r="PBB58"/>
      <c r="PBC58"/>
      <c r="PBD58"/>
      <c r="PBE58"/>
      <c r="PBF58"/>
      <c r="PBG58"/>
      <c r="PBH58"/>
      <c r="PBI58"/>
      <c r="PBJ58"/>
      <c r="PBK58"/>
      <c r="PBL58"/>
      <c r="PBM58"/>
      <c r="PBN58"/>
      <c r="PBO58"/>
      <c r="PBP58"/>
      <c r="PBQ58"/>
      <c r="PBR58"/>
      <c r="PBS58"/>
      <c r="PBT58"/>
      <c r="PBU58"/>
      <c r="PBV58"/>
      <c r="PBW58"/>
      <c r="PBX58"/>
      <c r="PBY58"/>
      <c r="PBZ58"/>
      <c r="PCA58"/>
      <c r="PCB58"/>
      <c r="PCC58"/>
      <c r="PCD58"/>
      <c r="PCE58"/>
      <c r="PCF58"/>
      <c r="PCG58"/>
      <c r="PCH58"/>
      <c r="PCI58"/>
      <c r="PCJ58"/>
      <c r="PCK58"/>
      <c r="PCL58"/>
      <c r="PCM58"/>
      <c r="PCN58"/>
      <c r="PCO58"/>
      <c r="PCP58"/>
      <c r="PCQ58"/>
      <c r="PCR58"/>
      <c r="PCS58"/>
      <c r="PCT58"/>
      <c r="PCU58"/>
      <c r="PCV58"/>
      <c r="PCW58"/>
      <c r="PCX58"/>
      <c r="PCY58"/>
      <c r="PCZ58"/>
      <c r="PDA58"/>
      <c r="PDB58"/>
      <c r="PDC58"/>
      <c r="PDD58"/>
      <c r="PDE58"/>
      <c r="PDF58"/>
      <c r="PDG58"/>
      <c r="PDH58"/>
      <c r="PDI58"/>
      <c r="PDJ58"/>
      <c r="PDK58"/>
      <c r="PDL58"/>
      <c r="PDM58"/>
      <c r="PDN58"/>
      <c r="PDO58"/>
      <c r="PDP58"/>
      <c r="PDQ58"/>
      <c r="PDR58"/>
      <c r="PDS58"/>
      <c r="PDT58"/>
      <c r="PDU58"/>
      <c r="PDV58"/>
      <c r="PDW58"/>
      <c r="PDX58"/>
      <c r="PDY58"/>
      <c r="PDZ58"/>
      <c r="PEA58"/>
      <c r="PEB58"/>
      <c r="PEC58"/>
      <c r="PED58"/>
      <c r="PEE58"/>
      <c r="PEF58"/>
      <c r="PEG58"/>
      <c r="PEH58"/>
      <c r="PEI58"/>
      <c r="PEJ58"/>
      <c r="PEK58"/>
      <c r="PEL58"/>
      <c r="PEM58"/>
      <c r="PEN58"/>
      <c r="PEO58"/>
      <c r="PEP58"/>
      <c r="PEQ58"/>
      <c r="PER58"/>
      <c r="PES58"/>
      <c r="PET58"/>
      <c r="PEU58"/>
      <c r="PEV58"/>
      <c r="PEW58"/>
      <c r="PEX58"/>
      <c r="PEY58"/>
      <c r="PEZ58"/>
      <c r="PFA58"/>
      <c r="PFB58"/>
      <c r="PFC58"/>
      <c r="PFD58"/>
      <c r="PFE58"/>
      <c r="PFF58"/>
      <c r="PFG58"/>
      <c r="PFH58"/>
      <c r="PFI58"/>
      <c r="PFJ58"/>
      <c r="PFK58"/>
      <c r="PFL58"/>
      <c r="PFM58"/>
      <c r="PFN58"/>
      <c r="PFO58"/>
      <c r="PFP58"/>
      <c r="PFQ58"/>
      <c r="PFR58"/>
      <c r="PFS58"/>
      <c r="PFT58"/>
      <c r="PFU58"/>
      <c r="PFV58"/>
      <c r="PFW58"/>
      <c r="PFX58"/>
      <c r="PFY58"/>
      <c r="PFZ58"/>
      <c r="PGA58"/>
      <c r="PGB58"/>
      <c r="PGC58"/>
      <c r="PGD58"/>
      <c r="PGE58"/>
      <c r="PGF58"/>
      <c r="PGG58"/>
      <c r="PGH58"/>
      <c r="PGI58"/>
      <c r="PGJ58"/>
      <c r="PGK58"/>
      <c r="PGL58"/>
      <c r="PGM58"/>
      <c r="PGN58"/>
      <c r="PGO58"/>
      <c r="PGP58"/>
      <c r="PGQ58"/>
      <c r="PGR58"/>
      <c r="PGS58"/>
      <c r="PGT58"/>
      <c r="PGU58"/>
      <c r="PGV58"/>
      <c r="PGW58"/>
      <c r="PGX58"/>
      <c r="PGY58"/>
      <c r="PGZ58"/>
      <c r="PHA58"/>
      <c r="PHB58"/>
      <c r="PHC58"/>
      <c r="PHD58"/>
      <c r="PHE58"/>
      <c r="PHF58"/>
      <c r="PHG58"/>
      <c r="PHH58"/>
      <c r="PHI58"/>
      <c r="PHJ58"/>
      <c r="PHK58"/>
      <c r="PHL58"/>
      <c r="PHM58"/>
      <c r="PHN58"/>
      <c r="PHO58"/>
      <c r="PHP58"/>
      <c r="PHQ58"/>
      <c r="PHR58"/>
      <c r="PHS58"/>
      <c r="PHT58"/>
      <c r="PHU58"/>
      <c r="PHV58"/>
      <c r="PHW58"/>
      <c r="PHX58"/>
      <c r="PHY58"/>
      <c r="PHZ58"/>
      <c r="PIA58"/>
      <c r="PIB58"/>
      <c r="PIC58"/>
      <c r="PID58"/>
      <c r="PIE58"/>
      <c r="PIF58"/>
      <c r="PIG58"/>
      <c r="PIH58"/>
      <c r="PII58"/>
      <c r="PIJ58"/>
      <c r="PIK58"/>
      <c r="PIL58"/>
      <c r="PIM58"/>
      <c r="PIN58"/>
      <c r="PIO58"/>
      <c r="PIP58"/>
      <c r="PIQ58"/>
      <c r="PIR58"/>
      <c r="PIS58"/>
      <c r="PIT58"/>
      <c r="PIU58"/>
      <c r="PIV58"/>
      <c r="PIW58"/>
      <c r="PIX58"/>
      <c r="PIY58"/>
      <c r="PIZ58"/>
      <c r="PJA58"/>
      <c r="PJB58"/>
      <c r="PJC58"/>
      <c r="PJD58"/>
      <c r="PJE58"/>
      <c r="PJF58"/>
      <c r="PJG58"/>
      <c r="PJH58"/>
      <c r="PJI58"/>
      <c r="PJJ58"/>
      <c r="PJK58"/>
      <c r="PJL58"/>
      <c r="PJM58"/>
      <c r="PJN58"/>
      <c r="PJO58"/>
      <c r="PJP58"/>
      <c r="PJQ58"/>
      <c r="PJR58"/>
      <c r="PJS58"/>
      <c r="PJT58"/>
      <c r="PJU58"/>
      <c r="PJV58"/>
      <c r="PJW58"/>
      <c r="PJX58"/>
      <c r="PJY58"/>
      <c r="PJZ58"/>
      <c r="PKA58"/>
      <c r="PKB58"/>
      <c r="PKC58"/>
      <c r="PKD58"/>
      <c r="PKE58"/>
      <c r="PKF58"/>
      <c r="PKG58"/>
      <c r="PKH58"/>
      <c r="PKI58"/>
      <c r="PKJ58"/>
      <c r="PKK58"/>
      <c r="PKL58"/>
      <c r="PKM58"/>
      <c r="PKN58"/>
      <c r="PKO58"/>
      <c r="PKP58"/>
      <c r="PKQ58"/>
      <c r="PKR58"/>
      <c r="PKS58"/>
      <c r="PKT58"/>
      <c r="PKU58"/>
      <c r="PKV58"/>
      <c r="PKW58"/>
      <c r="PKX58"/>
      <c r="PKY58"/>
      <c r="PKZ58"/>
      <c r="PLA58"/>
      <c r="PLB58"/>
      <c r="PLC58"/>
      <c r="PLD58"/>
      <c r="PLE58"/>
      <c r="PLF58"/>
      <c r="PLG58"/>
      <c r="PLH58"/>
      <c r="PLI58"/>
      <c r="PLJ58"/>
      <c r="PLK58"/>
      <c r="PLL58"/>
      <c r="PLM58"/>
      <c r="PLN58"/>
      <c r="PLO58"/>
      <c r="PLP58"/>
      <c r="PLQ58"/>
      <c r="PLR58"/>
      <c r="PLS58"/>
      <c r="PLT58"/>
      <c r="PLU58"/>
      <c r="PLV58"/>
      <c r="PLW58"/>
      <c r="PLX58"/>
      <c r="PLY58"/>
      <c r="PLZ58"/>
      <c r="PMA58"/>
      <c r="PMB58"/>
      <c r="PMC58"/>
      <c r="PMD58"/>
      <c r="PME58"/>
      <c r="PMF58"/>
      <c r="PMG58"/>
      <c r="PMH58"/>
      <c r="PMI58"/>
      <c r="PMJ58"/>
      <c r="PMK58"/>
      <c r="PML58"/>
      <c r="PMM58"/>
      <c r="PMN58"/>
      <c r="PMO58"/>
      <c r="PMP58"/>
      <c r="PMQ58"/>
      <c r="PMR58"/>
      <c r="PMS58"/>
      <c r="PMT58"/>
      <c r="PMU58"/>
      <c r="PMV58"/>
      <c r="PMW58"/>
      <c r="PMX58"/>
      <c r="PMY58"/>
      <c r="PMZ58"/>
      <c r="PNA58"/>
      <c r="PNB58"/>
      <c r="PNC58"/>
      <c r="PND58"/>
      <c r="PNE58"/>
      <c r="PNF58"/>
      <c r="PNG58"/>
      <c r="PNH58"/>
      <c r="PNI58"/>
      <c r="PNJ58"/>
      <c r="PNK58"/>
      <c r="PNL58"/>
      <c r="PNM58"/>
      <c r="PNN58"/>
      <c r="PNO58"/>
      <c r="PNP58"/>
      <c r="PNQ58"/>
      <c r="PNR58"/>
      <c r="PNS58"/>
      <c r="PNT58"/>
      <c r="PNU58"/>
      <c r="PNV58"/>
      <c r="PNW58"/>
      <c r="PNX58"/>
      <c r="PNY58"/>
      <c r="PNZ58"/>
      <c r="POA58"/>
      <c r="POB58"/>
      <c r="POC58"/>
      <c r="POD58"/>
      <c r="POE58"/>
      <c r="POF58"/>
      <c r="POG58"/>
      <c r="POH58"/>
      <c r="POI58"/>
      <c r="POJ58"/>
      <c r="POK58"/>
      <c r="POL58"/>
      <c r="POM58"/>
      <c r="PON58"/>
      <c r="POO58"/>
      <c r="POP58"/>
      <c r="POQ58"/>
      <c r="POR58"/>
      <c r="POS58"/>
      <c r="POT58"/>
      <c r="POU58"/>
      <c r="POV58"/>
      <c r="POW58"/>
      <c r="POX58"/>
      <c r="POY58"/>
      <c r="POZ58"/>
      <c r="PPA58"/>
      <c r="PPB58"/>
      <c r="PPC58"/>
      <c r="PPD58"/>
      <c r="PPE58"/>
      <c r="PPF58"/>
      <c r="PPG58"/>
      <c r="PPH58"/>
      <c r="PPI58"/>
      <c r="PPJ58"/>
      <c r="PPK58"/>
      <c r="PPL58"/>
      <c r="PPM58"/>
      <c r="PPN58"/>
      <c r="PPO58"/>
      <c r="PPP58"/>
      <c r="PPQ58"/>
      <c r="PPR58"/>
      <c r="PPS58"/>
      <c r="PPT58"/>
      <c r="PPU58"/>
      <c r="PPV58"/>
      <c r="PPW58"/>
      <c r="PPX58"/>
      <c r="PPY58"/>
      <c r="PPZ58"/>
      <c r="PQA58"/>
      <c r="PQB58"/>
      <c r="PQC58"/>
      <c r="PQD58"/>
      <c r="PQE58"/>
      <c r="PQF58"/>
      <c r="PQG58"/>
      <c r="PQH58"/>
      <c r="PQI58"/>
      <c r="PQJ58"/>
      <c r="PQK58"/>
      <c r="PQL58"/>
      <c r="PQM58"/>
      <c r="PQN58"/>
      <c r="PQO58"/>
      <c r="PQP58"/>
      <c r="PQQ58"/>
      <c r="PQR58"/>
      <c r="PQS58"/>
      <c r="PQT58"/>
      <c r="PQU58"/>
      <c r="PQV58"/>
      <c r="PQW58"/>
      <c r="PQX58"/>
      <c r="PQY58"/>
      <c r="PQZ58"/>
      <c r="PRA58"/>
      <c r="PRB58"/>
      <c r="PRC58"/>
      <c r="PRD58"/>
      <c r="PRE58"/>
      <c r="PRF58"/>
      <c r="PRG58"/>
      <c r="PRH58"/>
      <c r="PRI58"/>
      <c r="PRJ58"/>
      <c r="PRK58"/>
      <c r="PRL58"/>
      <c r="PRM58"/>
      <c r="PRN58"/>
      <c r="PRO58"/>
      <c r="PRP58"/>
      <c r="PRQ58"/>
      <c r="PRR58"/>
      <c r="PRS58"/>
      <c r="PRT58"/>
      <c r="PRU58"/>
      <c r="PRV58"/>
      <c r="PRW58"/>
      <c r="PRX58"/>
      <c r="PRY58"/>
      <c r="PRZ58"/>
      <c r="PSA58"/>
      <c r="PSB58"/>
      <c r="PSC58"/>
      <c r="PSD58"/>
      <c r="PSE58"/>
      <c r="PSF58"/>
      <c r="PSG58"/>
      <c r="PSH58"/>
      <c r="PSI58"/>
      <c r="PSJ58"/>
      <c r="PSK58"/>
      <c r="PSL58"/>
      <c r="PSM58"/>
      <c r="PSN58"/>
      <c r="PSO58"/>
      <c r="PSP58"/>
      <c r="PSQ58"/>
      <c r="PSR58"/>
      <c r="PSS58"/>
      <c r="PST58"/>
      <c r="PSU58"/>
      <c r="PSV58"/>
      <c r="PSW58"/>
      <c r="PSX58"/>
      <c r="PSY58"/>
      <c r="PSZ58"/>
      <c r="PTA58"/>
      <c r="PTB58"/>
      <c r="PTC58"/>
      <c r="PTD58"/>
      <c r="PTE58"/>
      <c r="PTF58"/>
      <c r="PTG58"/>
      <c r="PTH58"/>
      <c r="PTI58"/>
      <c r="PTJ58"/>
      <c r="PTK58"/>
      <c r="PTL58"/>
      <c r="PTM58"/>
      <c r="PTN58"/>
      <c r="PTO58"/>
      <c r="PTP58"/>
      <c r="PTQ58"/>
      <c r="PTR58"/>
      <c r="PTS58"/>
      <c r="PTT58"/>
      <c r="PTU58"/>
      <c r="PTV58"/>
      <c r="PTW58"/>
      <c r="PTX58"/>
      <c r="PTY58"/>
      <c r="PTZ58"/>
      <c r="PUA58"/>
      <c r="PUB58"/>
      <c r="PUC58"/>
      <c r="PUD58"/>
      <c r="PUE58"/>
      <c r="PUF58"/>
      <c r="PUG58"/>
      <c r="PUH58"/>
      <c r="PUI58"/>
      <c r="PUJ58"/>
      <c r="PUK58"/>
      <c r="PUL58"/>
      <c r="PUM58"/>
      <c r="PUN58"/>
      <c r="PUO58"/>
      <c r="PUP58"/>
      <c r="PUQ58"/>
      <c r="PUR58"/>
      <c r="PUS58"/>
      <c r="PUT58"/>
      <c r="PUU58"/>
      <c r="PUV58"/>
      <c r="PUW58"/>
      <c r="PUX58"/>
      <c r="PUY58"/>
      <c r="PUZ58"/>
      <c r="PVA58"/>
      <c r="PVB58"/>
      <c r="PVC58"/>
      <c r="PVD58"/>
      <c r="PVE58"/>
      <c r="PVF58"/>
      <c r="PVG58"/>
      <c r="PVH58"/>
      <c r="PVI58"/>
      <c r="PVJ58"/>
      <c r="PVK58"/>
      <c r="PVL58"/>
      <c r="PVM58"/>
      <c r="PVN58"/>
      <c r="PVO58"/>
      <c r="PVP58"/>
      <c r="PVQ58"/>
      <c r="PVR58"/>
      <c r="PVS58"/>
      <c r="PVT58"/>
      <c r="PVU58"/>
      <c r="PVV58"/>
      <c r="PVW58"/>
      <c r="PVX58"/>
      <c r="PVY58"/>
      <c r="PVZ58"/>
      <c r="PWA58"/>
      <c r="PWB58"/>
      <c r="PWC58"/>
      <c r="PWD58"/>
      <c r="PWE58"/>
      <c r="PWF58"/>
      <c r="PWG58"/>
      <c r="PWH58"/>
      <c r="PWI58"/>
      <c r="PWJ58"/>
      <c r="PWK58"/>
      <c r="PWL58"/>
      <c r="PWM58"/>
      <c r="PWN58"/>
      <c r="PWO58"/>
      <c r="PWP58"/>
      <c r="PWQ58"/>
      <c r="PWR58"/>
      <c r="PWS58"/>
      <c r="PWT58"/>
      <c r="PWU58"/>
      <c r="PWV58"/>
      <c r="PWW58"/>
      <c r="PWX58"/>
      <c r="PWY58"/>
      <c r="PWZ58"/>
      <c r="PXA58"/>
      <c r="PXB58"/>
      <c r="PXC58"/>
      <c r="PXD58"/>
      <c r="PXE58"/>
      <c r="PXF58"/>
      <c r="PXG58"/>
      <c r="PXH58"/>
      <c r="PXI58"/>
      <c r="PXJ58"/>
      <c r="PXK58"/>
      <c r="PXL58"/>
      <c r="PXM58"/>
      <c r="PXN58"/>
      <c r="PXO58"/>
      <c r="PXP58"/>
      <c r="PXQ58"/>
      <c r="PXR58"/>
      <c r="PXS58"/>
      <c r="PXT58"/>
      <c r="PXU58"/>
      <c r="PXV58"/>
      <c r="PXW58"/>
      <c r="PXX58"/>
      <c r="PXY58"/>
      <c r="PXZ58"/>
      <c r="PYA58"/>
      <c r="PYB58"/>
      <c r="PYC58"/>
      <c r="PYD58"/>
      <c r="PYE58"/>
      <c r="PYF58"/>
      <c r="PYG58"/>
      <c r="PYH58"/>
      <c r="PYI58"/>
      <c r="PYJ58"/>
      <c r="PYK58"/>
      <c r="PYL58"/>
      <c r="PYM58"/>
      <c r="PYN58"/>
      <c r="PYO58"/>
      <c r="PYP58"/>
      <c r="PYQ58"/>
      <c r="PYR58"/>
      <c r="PYS58"/>
      <c r="PYT58"/>
      <c r="PYU58"/>
      <c r="PYV58"/>
      <c r="PYW58"/>
      <c r="PYX58"/>
      <c r="PYY58"/>
      <c r="PYZ58"/>
      <c r="PZA58"/>
      <c r="PZB58"/>
      <c r="PZC58"/>
      <c r="PZD58"/>
      <c r="PZE58"/>
      <c r="PZF58"/>
      <c r="PZG58"/>
      <c r="PZH58"/>
      <c r="PZI58"/>
      <c r="PZJ58"/>
      <c r="PZK58"/>
      <c r="PZL58"/>
      <c r="PZM58"/>
      <c r="PZN58"/>
      <c r="PZO58"/>
      <c r="PZP58"/>
      <c r="PZQ58"/>
      <c r="PZR58"/>
      <c r="PZS58"/>
      <c r="PZT58"/>
      <c r="PZU58"/>
      <c r="PZV58"/>
      <c r="PZW58"/>
      <c r="PZX58"/>
      <c r="PZY58"/>
      <c r="PZZ58"/>
      <c r="QAA58"/>
      <c r="QAB58"/>
      <c r="QAC58"/>
      <c r="QAD58"/>
      <c r="QAE58"/>
      <c r="QAF58"/>
      <c r="QAG58"/>
      <c r="QAH58"/>
      <c r="QAI58"/>
      <c r="QAJ58"/>
      <c r="QAK58"/>
      <c r="QAL58"/>
      <c r="QAM58"/>
      <c r="QAN58"/>
      <c r="QAO58"/>
      <c r="QAP58"/>
      <c r="QAQ58"/>
      <c r="QAR58"/>
      <c r="QAS58"/>
      <c r="QAT58"/>
      <c r="QAU58"/>
      <c r="QAV58"/>
      <c r="QAW58"/>
      <c r="QAX58"/>
      <c r="QAY58"/>
      <c r="QAZ58"/>
      <c r="QBA58"/>
      <c r="QBB58"/>
      <c r="QBC58"/>
      <c r="QBD58"/>
      <c r="QBE58"/>
      <c r="QBF58"/>
      <c r="QBG58"/>
      <c r="QBH58"/>
      <c r="QBI58"/>
      <c r="QBJ58"/>
      <c r="QBK58"/>
      <c r="QBL58"/>
      <c r="QBM58"/>
      <c r="QBN58"/>
      <c r="QBO58"/>
      <c r="QBP58"/>
      <c r="QBQ58"/>
      <c r="QBR58"/>
      <c r="QBS58"/>
      <c r="QBT58"/>
      <c r="QBU58"/>
      <c r="QBV58"/>
      <c r="QBW58"/>
      <c r="QBX58"/>
      <c r="QBY58"/>
      <c r="QBZ58"/>
      <c r="QCA58"/>
      <c r="QCB58"/>
      <c r="QCC58"/>
      <c r="QCD58"/>
      <c r="QCE58"/>
      <c r="QCF58"/>
      <c r="QCG58"/>
      <c r="QCH58"/>
      <c r="QCI58"/>
      <c r="QCJ58"/>
      <c r="QCK58"/>
      <c r="QCL58"/>
      <c r="QCM58"/>
      <c r="QCN58"/>
      <c r="QCO58"/>
      <c r="QCP58"/>
      <c r="QCQ58"/>
      <c r="QCR58"/>
      <c r="QCS58"/>
      <c r="QCT58"/>
      <c r="QCU58"/>
      <c r="QCV58"/>
      <c r="QCW58"/>
      <c r="QCX58"/>
      <c r="QCY58"/>
      <c r="QCZ58"/>
      <c r="QDA58"/>
      <c r="QDB58"/>
      <c r="QDC58"/>
      <c r="QDD58"/>
      <c r="QDE58"/>
      <c r="QDF58"/>
      <c r="QDG58"/>
      <c r="QDH58"/>
      <c r="QDI58"/>
      <c r="QDJ58"/>
      <c r="QDK58"/>
      <c r="QDL58"/>
      <c r="QDM58"/>
      <c r="QDN58"/>
      <c r="QDO58"/>
      <c r="QDP58"/>
      <c r="QDQ58"/>
      <c r="QDR58"/>
      <c r="QDS58"/>
      <c r="QDT58"/>
      <c r="QDU58"/>
      <c r="QDV58"/>
      <c r="QDW58"/>
      <c r="QDX58"/>
      <c r="QDY58"/>
      <c r="QDZ58"/>
      <c r="QEA58"/>
      <c r="QEB58"/>
      <c r="QEC58"/>
      <c r="QED58"/>
      <c r="QEE58"/>
      <c r="QEF58"/>
      <c r="QEG58"/>
      <c r="QEH58"/>
      <c r="QEI58"/>
      <c r="QEJ58"/>
      <c r="QEK58"/>
      <c r="QEL58"/>
      <c r="QEM58"/>
      <c r="QEN58"/>
      <c r="QEO58"/>
      <c r="QEP58"/>
      <c r="QEQ58"/>
      <c r="QER58"/>
      <c r="QES58"/>
      <c r="QET58"/>
      <c r="QEU58"/>
      <c r="QEV58"/>
      <c r="QEW58"/>
      <c r="QEX58"/>
      <c r="QEY58"/>
      <c r="QEZ58"/>
      <c r="QFA58"/>
      <c r="QFB58"/>
      <c r="QFC58"/>
      <c r="QFD58"/>
      <c r="QFE58"/>
      <c r="QFF58"/>
      <c r="QFG58"/>
      <c r="QFH58"/>
      <c r="QFI58"/>
      <c r="QFJ58"/>
      <c r="QFK58"/>
      <c r="QFL58"/>
      <c r="QFM58"/>
      <c r="QFN58"/>
      <c r="QFO58"/>
      <c r="QFP58"/>
      <c r="QFQ58"/>
      <c r="QFR58"/>
      <c r="QFS58"/>
      <c r="QFT58"/>
      <c r="QFU58"/>
      <c r="QFV58"/>
      <c r="QFW58"/>
      <c r="QFX58"/>
      <c r="QFY58"/>
      <c r="QFZ58"/>
      <c r="QGA58"/>
      <c r="QGB58"/>
      <c r="QGC58"/>
      <c r="QGD58"/>
      <c r="QGE58"/>
      <c r="QGF58"/>
      <c r="QGG58"/>
      <c r="QGH58"/>
      <c r="QGI58"/>
      <c r="QGJ58"/>
      <c r="QGK58"/>
      <c r="QGL58"/>
      <c r="QGM58"/>
      <c r="QGN58"/>
      <c r="QGO58"/>
      <c r="QGP58"/>
      <c r="QGQ58"/>
      <c r="QGR58"/>
      <c r="QGS58"/>
      <c r="QGT58"/>
      <c r="QGU58"/>
      <c r="QGV58"/>
      <c r="QGW58"/>
      <c r="QGX58"/>
      <c r="QGY58"/>
      <c r="QGZ58"/>
      <c r="QHA58"/>
      <c r="QHB58"/>
      <c r="QHC58"/>
      <c r="QHD58"/>
      <c r="QHE58"/>
      <c r="QHF58"/>
      <c r="QHG58"/>
      <c r="QHH58"/>
      <c r="QHI58"/>
      <c r="QHJ58"/>
      <c r="QHK58"/>
      <c r="QHL58"/>
      <c r="QHM58"/>
      <c r="QHN58"/>
      <c r="QHO58"/>
      <c r="QHP58"/>
      <c r="QHQ58"/>
      <c r="QHR58"/>
      <c r="QHS58"/>
      <c r="QHT58"/>
      <c r="QHU58"/>
      <c r="QHV58"/>
      <c r="QHW58"/>
      <c r="QHX58"/>
      <c r="QHY58"/>
      <c r="QHZ58"/>
      <c r="QIA58"/>
      <c r="QIB58"/>
      <c r="QIC58"/>
      <c r="QID58"/>
      <c r="QIE58"/>
      <c r="QIF58"/>
      <c r="QIG58"/>
      <c r="QIH58"/>
      <c r="QII58"/>
      <c r="QIJ58"/>
      <c r="QIK58"/>
      <c r="QIL58"/>
      <c r="QIM58"/>
      <c r="QIN58"/>
      <c r="QIO58"/>
      <c r="QIP58"/>
      <c r="QIQ58"/>
      <c r="QIR58"/>
      <c r="QIS58"/>
      <c r="QIT58"/>
      <c r="QIU58"/>
      <c r="QIV58"/>
      <c r="QIW58"/>
      <c r="QIX58"/>
      <c r="QIY58"/>
      <c r="QIZ58"/>
      <c r="QJA58"/>
      <c r="QJB58"/>
      <c r="QJC58"/>
      <c r="QJD58"/>
      <c r="QJE58"/>
      <c r="QJF58"/>
      <c r="QJG58"/>
      <c r="QJH58"/>
      <c r="QJI58"/>
      <c r="QJJ58"/>
      <c r="QJK58"/>
      <c r="QJL58"/>
      <c r="QJM58"/>
      <c r="QJN58"/>
      <c r="QJO58"/>
      <c r="QJP58"/>
      <c r="QJQ58"/>
      <c r="QJR58"/>
      <c r="QJS58"/>
      <c r="QJT58"/>
      <c r="QJU58"/>
      <c r="QJV58"/>
      <c r="QJW58"/>
      <c r="QJX58"/>
      <c r="QJY58"/>
      <c r="QJZ58"/>
      <c r="QKA58"/>
      <c r="QKB58"/>
      <c r="QKC58"/>
      <c r="QKD58"/>
      <c r="QKE58"/>
      <c r="QKF58"/>
      <c r="QKG58"/>
      <c r="QKH58"/>
      <c r="QKI58"/>
      <c r="QKJ58"/>
      <c r="QKK58"/>
      <c r="QKL58"/>
      <c r="QKM58"/>
      <c r="QKN58"/>
      <c r="QKO58"/>
      <c r="QKP58"/>
      <c r="QKQ58"/>
      <c r="QKR58"/>
      <c r="QKS58"/>
      <c r="QKT58"/>
      <c r="QKU58"/>
      <c r="QKV58"/>
      <c r="QKW58"/>
      <c r="QKX58"/>
      <c r="QKY58"/>
      <c r="QKZ58"/>
      <c r="QLA58"/>
      <c r="QLB58"/>
      <c r="QLC58"/>
      <c r="QLD58"/>
      <c r="QLE58"/>
      <c r="QLF58"/>
      <c r="QLG58"/>
      <c r="QLH58"/>
      <c r="QLI58"/>
      <c r="QLJ58"/>
      <c r="QLK58"/>
      <c r="QLL58"/>
      <c r="QLM58"/>
      <c r="QLN58"/>
      <c r="QLO58"/>
      <c r="QLP58"/>
      <c r="QLQ58"/>
      <c r="QLR58"/>
      <c r="QLS58"/>
      <c r="QLT58"/>
      <c r="QLU58"/>
      <c r="QLV58"/>
      <c r="QLW58"/>
      <c r="QLX58"/>
      <c r="QLY58"/>
      <c r="QLZ58"/>
      <c r="QMA58"/>
      <c r="QMB58"/>
      <c r="QMC58"/>
      <c r="QMD58"/>
      <c r="QME58"/>
      <c r="QMF58"/>
      <c r="QMG58"/>
      <c r="QMH58"/>
      <c r="QMI58"/>
      <c r="QMJ58"/>
      <c r="QMK58"/>
      <c r="QML58"/>
      <c r="QMM58"/>
      <c r="QMN58"/>
      <c r="QMO58"/>
      <c r="QMP58"/>
      <c r="QMQ58"/>
      <c r="QMR58"/>
      <c r="QMS58"/>
      <c r="QMT58"/>
      <c r="QMU58"/>
      <c r="QMV58"/>
      <c r="QMW58"/>
      <c r="QMX58"/>
      <c r="QMY58"/>
      <c r="QMZ58"/>
      <c r="QNA58"/>
      <c r="QNB58"/>
      <c r="QNC58"/>
      <c r="QND58"/>
      <c r="QNE58"/>
      <c r="QNF58"/>
      <c r="QNG58"/>
      <c r="QNH58"/>
      <c r="QNI58"/>
      <c r="QNJ58"/>
      <c r="QNK58"/>
      <c r="QNL58"/>
      <c r="QNM58"/>
      <c r="QNN58"/>
      <c r="QNO58"/>
      <c r="QNP58"/>
      <c r="QNQ58"/>
      <c r="QNR58"/>
      <c r="QNS58"/>
      <c r="QNT58"/>
      <c r="QNU58"/>
      <c r="QNV58"/>
      <c r="QNW58"/>
      <c r="QNX58"/>
      <c r="QNY58"/>
      <c r="QNZ58"/>
      <c r="QOA58"/>
      <c r="QOB58"/>
      <c r="QOC58"/>
      <c r="QOD58"/>
      <c r="QOE58"/>
      <c r="QOF58"/>
      <c r="QOG58"/>
      <c r="QOH58"/>
      <c r="QOI58"/>
      <c r="QOJ58"/>
      <c r="QOK58"/>
      <c r="QOL58"/>
      <c r="QOM58"/>
      <c r="QON58"/>
      <c r="QOO58"/>
      <c r="QOP58"/>
      <c r="QOQ58"/>
      <c r="QOR58"/>
      <c r="QOS58"/>
      <c r="QOT58"/>
      <c r="QOU58"/>
      <c r="QOV58"/>
      <c r="QOW58"/>
      <c r="QOX58"/>
      <c r="QOY58"/>
      <c r="QOZ58"/>
      <c r="QPA58"/>
      <c r="QPB58"/>
      <c r="QPC58"/>
      <c r="QPD58"/>
      <c r="QPE58"/>
      <c r="QPF58"/>
      <c r="QPG58"/>
      <c r="QPH58"/>
      <c r="QPI58"/>
      <c r="QPJ58"/>
      <c r="QPK58"/>
      <c r="QPL58"/>
      <c r="QPM58"/>
      <c r="QPN58"/>
      <c r="QPO58"/>
      <c r="QPP58"/>
      <c r="QPQ58"/>
      <c r="QPR58"/>
      <c r="QPS58"/>
      <c r="QPT58"/>
      <c r="QPU58"/>
      <c r="QPV58"/>
      <c r="QPW58"/>
      <c r="QPX58"/>
      <c r="QPY58"/>
      <c r="QPZ58"/>
      <c r="QQA58"/>
      <c r="QQB58"/>
      <c r="QQC58"/>
      <c r="QQD58"/>
      <c r="QQE58"/>
      <c r="QQF58"/>
      <c r="QQG58"/>
      <c r="QQH58"/>
      <c r="QQI58"/>
      <c r="QQJ58"/>
      <c r="QQK58"/>
      <c r="QQL58"/>
      <c r="QQM58"/>
      <c r="QQN58"/>
      <c r="QQO58"/>
      <c r="QQP58"/>
      <c r="QQQ58"/>
      <c r="QQR58"/>
      <c r="QQS58"/>
      <c r="QQT58"/>
      <c r="QQU58"/>
      <c r="QQV58"/>
      <c r="QQW58"/>
      <c r="QQX58"/>
      <c r="QQY58"/>
      <c r="QQZ58"/>
      <c r="QRA58"/>
      <c r="QRB58"/>
      <c r="QRC58"/>
      <c r="QRD58"/>
      <c r="QRE58"/>
      <c r="QRF58"/>
      <c r="QRG58"/>
      <c r="QRH58"/>
      <c r="QRI58"/>
      <c r="QRJ58"/>
      <c r="QRK58"/>
      <c r="QRL58"/>
      <c r="QRM58"/>
      <c r="QRN58"/>
      <c r="QRO58"/>
      <c r="QRP58"/>
      <c r="QRQ58"/>
      <c r="QRR58"/>
      <c r="QRS58"/>
      <c r="QRT58"/>
      <c r="QRU58"/>
      <c r="QRV58"/>
      <c r="QRW58"/>
      <c r="QRX58"/>
      <c r="QRY58"/>
      <c r="QRZ58"/>
      <c r="QSA58"/>
      <c r="QSB58"/>
      <c r="QSC58"/>
      <c r="QSD58"/>
      <c r="QSE58"/>
      <c r="QSF58"/>
      <c r="QSG58"/>
      <c r="QSH58"/>
      <c r="QSI58"/>
      <c r="QSJ58"/>
      <c r="QSK58"/>
      <c r="QSL58"/>
      <c r="QSM58"/>
      <c r="QSN58"/>
      <c r="QSO58"/>
      <c r="QSP58"/>
      <c r="QSQ58"/>
      <c r="QSR58"/>
      <c r="QSS58"/>
      <c r="QST58"/>
      <c r="QSU58"/>
      <c r="QSV58"/>
      <c r="QSW58"/>
      <c r="QSX58"/>
      <c r="QSY58"/>
      <c r="QSZ58"/>
      <c r="QTA58"/>
      <c r="QTB58"/>
      <c r="QTC58"/>
      <c r="QTD58"/>
      <c r="QTE58"/>
      <c r="QTF58"/>
      <c r="QTG58"/>
      <c r="QTH58"/>
      <c r="QTI58"/>
      <c r="QTJ58"/>
      <c r="QTK58"/>
      <c r="QTL58"/>
      <c r="QTM58"/>
      <c r="QTN58"/>
      <c r="QTO58"/>
      <c r="QTP58"/>
      <c r="QTQ58"/>
      <c r="QTR58"/>
      <c r="QTS58"/>
      <c r="QTT58"/>
      <c r="QTU58"/>
      <c r="QTV58"/>
      <c r="QTW58"/>
      <c r="QTX58"/>
      <c r="QTY58"/>
      <c r="QTZ58"/>
      <c r="QUA58"/>
      <c r="QUB58"/>
      <c r="QUC58"/>
      <c r="QUD58"/>
      <c r="QUE58"/>
      <c r="QUF58"/>
      <c r="QUG58"/>
      <c r="QUH58"/>
      <c r="QUI58"/>
      <c r="QUJ58"/>
      <c r="QUK58"/>
      <c r="QUL58"/>
      <c r="QUM58"/>
      <c r="QUN58"/>
      <c r="QUO58"/>
      <c r="QUP58"/>
      <c r="QUQ58"/>
      <c r="QUR58"/>
      <c r="QUS58"/>
      <c r="QUT58"/>
      <c r="QUU58"/>
      <c r="QUV58"/>
      <c r="QUW58"/>
      <c r="QUX58"/>
      <c r="QUY58"/>
      <c r="QUZ58"/>
      <c r="QVA58"/>
      <c r="QVB58"/>
      <c r="QVC58"/>
      <c r="QVD58"/>
      <c r="QVE58"/>
      <c r="QVF58"/>
      <c r="QVG58"/>
      <c r="QVH58"/>
      <c r="QVI58"/>
      <c r="QVJ58"/>
      <c r="QVK58"/>
      <c r="QVL58"/>
      <c r="QVM58"/>
      <c r="QVN58"/>
      <c r="QVO58"/>
      <c r="QVP58"/>
      <c r="QVQ58"/>
      <c r="QVR58"/>
      <c r="QVS58"/>
      <c r="QVT58"/>
      <c r="QVU58"/>
      <c r="QVV58"/>
      <c r="QVW58"/>
      <c r="QVX58"/>
      <c r="QVY58"/>
      <c r="QVZ58"/>
      <c r="QWA58"/>
      <c r="QWB58"/>
      <c r="QWC58"/>
      <c r="QWD58"/>
      <c r="QWE58"/>
      <c r="QWF58"/>
      <c r="QWG58"/>
      <c r="QWH58"/>
      <c r="QWI58"/>
      <c r="QWJ58"/>
      <c r="QWK58"/>
      <c r="QWL58"/>
      <c r="QWM58"/>
      <c r="QWN58"/>
      <c r="QWO58"/>
      <c r="QWP58"/>
      <c r="QWQ58"/>
      <c r="QWR58"/>
      <c r="QWS58"/>
      <c r="QWT58"/>
      <c r="QWU58"/>
      <c r="QWV58"/>
      <c r="QWW58"/>
      <c r="QWX58"/>
      <c r="QWY58"/>
      <c r="QWZ58"/>
      <c r="QXA58"/>
      <c r="QXB58"/>
      <c r="QXC58"/>
      <c r="QXD58"/>
      <c r="QXE58"/>
      <c r="QXF58"/>
      <c r="QXG58"/>
      <c r="QXH58"/>
      <c r="QXI58"/>
      <c r="QXJ58"/>
      <c r="QXK58"/>
      <c r="QXL58"/>
      <c r="QXM58"/>
      <c r="QXN58"/>
      <c r="QXO58"/>
      <c r="QXP58"/>
      <c r="QXQ58"/>
      <c r="QXR58"/>
      <c r="QXS58"/>
      <c r="QXT58"/>
      <c r="QXU58"/>
      <c r="QXV58"/>
      <c r="QXW58"/>
      <c r="QXX58"/>
      <c r="QXY58"/>
      <c r="QXZ58"/>
      <c r="QYA58"/>
      <c r="QYB58"/>
      <c r="QYC58"/>
      <c r="QYD58"/>
      <c r="QYE58"/>
      <c r="QYF58"/>
      <c r="QYG58"/>
      <c r="QYH58"/>
      <c r="QYI58"/>
      <c r="QYJ58"/>
      <c r="QYK58"/>
      <c r="QYL58"/>
      <c r="QYM58"/>
      <c r="QYN58"/>
      <c r="QYO58"/>
      <c r="QYP58"/>
      <c r="QYQ58"/>
      <c r="QYR58"/>
      <c r="QYS58"/>
      <c r="QYT58"/>
      <c r="QYU58"/>
      <c r="QYV58"/>
      <c r="QYW58"/>
      <c r="QYX58"/>
      <c r="QYY58"/>
      <c r="QYZ58"/>
      <c r="QZA58"/>
      <c r="QZB58"/>
      <c r="QZC58"/>
      <c r="QZD58"/>
      <c r="QZE58"/>
      <c r="QZF58"/>
      <c r="QZG58"/>
      <c r="QZH58"/>
      <c r="QZI58"/>
      <c r="QZJ58"/>
      <c r="QZK58"/>
      <c r="QZL58"/>
      <c r="QZM58"/>
      <c r="QZN58"/>
      <c r="QZO58"/>
      <c r="QZP58"/>
      <c r="QZQ58"/>
      <c r="QZR58"/>
      <c r="QZS58"/>
      <c r="QZT58"/>
      <c r="QZU58"/>
      <c r="QZV58"/>
      <c r="QZW58"/>
      <c r="QZX58"/>
      <c r="QZY58"/>
      <c r="QZZ58"/>
      <c r="RAA58"/>
      <c r="RAB58"/>
      <c r="RAC58"/>
      <c r="RAD58"/>
      <c r="RAE58"/>
      <c r="RAF58"/>
      <c r="RAG58"/>
      <c r="RAH58"/>
      <c r="RAI58"/>
      <c r="RAJ58"/>
      <c r="RAK58"/>
      <c r="RAL58"/>
      <c r="RAM58"/>
      <c r="RAN58"/>
      <c r="RAO58"/>
      <c r="RAP58"/>
      <c r="RAQ58"/>
      <c r="RAR58"/>
      <c r="RAS58"/>
      <c r="RAT58"/>
      <c r="RAU58"/>
      <c r="RAV58"/>
      <c r="RAW58"/>
      <c r="RAX58"/>
      <c r="RAY58"/>
      <c r="RAZ58"/>
      <c r="RBA58"/>
      <c r="RBB58"/>
      <c r="RBC58"/>
      <c r="RBD58"/>
      <c r="RBE58"/>
      <c r="RBF58"/>
      <c r="RBG58"/>
      <c r="RBH58"/>
      <c r="RBI58"/>
      <c r="RBJ58"/>
      <c r="RBK58"/>
      <c r="RBL58"/>
      <c r="RBM58"/>
      <c r="RBN58"/>
      <c r="RBO58"/>
      <c r="RBP58"/>
      <c r="RBQ58"/>
      <c r="RBR58"/>
      <c r="RBS58"/>
      <c r="RBT58"/>
      <c r="RBU58"/>
      <c r="RBV58"/>
      <c r="RBW58"/>
      <c r="RBX58"/>
      <c r="RBY58"/>
      <c r="RBZ58"/>
      <c r="RCA58"/>
      <c r="RCB58"/>
      <c r="RCC58"/>
      <c r="RCD58"/>
      <c r="RCE58"/>
      <c r="RCF58"/>
      <c r="RCG58"/>
      <c r="RCH58"/>
      <c r="RCI58"/>
      <c r="RCJ58"/>
      <c r="RCK58"/>
      <c r="RCL58"/>
      <c r="RCM58"/>
      <c r="RCN58"/>
      <c r="RCO58"/>
      <c r="RCP58"/>
      <c r="RCQ58"/>
      <c r="RCR58"/>
      <c r="RCS58"/>
      <c r="RCT58"/>
      <c r="RCU58"/>
      <c r="RCV58"/>
      <c r="RCW58"/>
      <c r="RCX58"/>
      <c r="RCY58"/>
      <c r="RCZ58"/>
      <c r="RDA58"/>
      <c r="RDB58"/>
      <c r="RDC58"/>
      <c r="RDD58"/>
      <c r="RDE58"/>
      <c r="RDF58"/>
      <c r="RDG58"/>
      <c r="RDH58"/>
      <c r="RDI58"/>
      <c r="RDJ58"/>
      <c r="RDK58"/>
      <c r="RDL58"/>
      <c r="RDM58"/>
      <c r="RDN58"/>
      <c r="RDO58"/>
      <c r="RDP58"/>
      <c r="RDQ58"/>
      <c r="RDR58"/>
      <c r="RDS58"/>
      <c r="RDT58"/>
      <c r="RDU58"/>
      <c r="RDV58"/>
      <c r="RDW58"/>
      <c r="RDX58"/>
      <c r="RDY58"/>
      <c r="RDZ58"/>
      <c r="REA58"/>
      <c r="REB58"/>
      <c r="REC58"/>
      <c r="RED58"/>
      <c r="REE58"/>
      <c r="REF58"/>
      <c r="REG58"/>
      <c r="REH58"/>
      <c r="REI58"/>
      <c r="REJ58"/>
      <c r="REK58"/>
      <c r="REL58"/>
      <c r="REM58"/>
      <c r="REN58"/>
      <c r="REO58"/>
      <c r="REP58"/>
      <c r="REQ58"/>
      <c r="RER58"/>
      <c r="RES58"/>
      <c r="RET58"/>
      <c r="REU58"/>
      <c r="REV58"/>
      <c r="REW58"/>
      <c r="REX58"/>
      <c r="REY58"/>
      <c r="REZ58"/>
      <c r="RFA58"/>
      <c r="RFB58"/>
      <c r="RFC58"/>
      <c r="RFD58"/>
      <c r="RFE58"/>
      <c r="RFF58"/>
      <c r="RFG58"/>
      <c r="RFH58"/>
      <c r="RFI58"/>
      <c r="RFJ58"/>
      <c r="RFK58"/>
      <c r="RFL58"/>
      <c r="RFM58"/>
      <c r="RFN58"/>
      <c r="RFO58"/>
      <c r="RFP58"/>
      <c r="RFQ58"/>
      <c r="RFR58"/>
      <c r="RFS58"/>
      <c r="RFT58"/>
      <c r="RFU58"/>
      <c r="RFV58"/>
      <c r="RFW58"/>
      <c r="RFX58"/>
      <c r="RFY58"/>
      <c r="RFZ58"/>
      <c r="RGA58"/>
      <c r="RGB58"/>
      <c r="RGC58"/>
      <c r="RGD58"/>
      <c r="RGE58"/>
      <c r="RGF58"/>
      <c r="RGG58"/>
      <c r="RGH58"/>
      <c r="RGI58"/>
      <c r="RGJ58"/>
      <c r="RGK58"/>
      <c r="RGL58"/>
      <c r="RGM58"/>
      <c r="RGN58"/>
      <c r="RGO58"/>
      <c r="RGP58"/>
      <c r="RGQ58"/>
      <c r="RGR58"/>
      <c r="RGS58"/>
      <c r="RGT58"/>
      <c r="RGU58"/>
      <c r="RGV58"/>
      <c r="RGW58"/>
      <c r="RGX58"/>
      <c r="RGY58"/>
      <c r="RGZ58"/>
      <c r="RHA58"/>
      <c r="RHB58"/>
      <c r="RHC58"/>
      <c r="RHD58"/>
      <c r="RHE58"/>
      <c r="RHF58"/>
      <c r="RHG58"/>
      <c r="RHH58"/>
      <c r="RHI58"/>
      <c r="RHJ58"/>
      <c r="RHK58"/>
      <c r="RHL58"/>
      <c r="RHM58"/>
      <c r="RHN58"/>
      <c r="RHO58"/>
      <c r="RHP58"/>
      <c r="RHQ58"/>
      <c r="RHR58"/>
      <c r="RHS58"/>
      <c r="RHT58"/>
      <c r="RHU58"/>
      <c r="RHV58"/>
      <c r="RHW58"/>
      <c r="RHX58"/>
      <c r="RHY58"/>
      <c r="RHZ58"/>
      <c r="RIA58"/>
      <c r="RIB58"/>
      <c r="RIC58"/>
      <c r="RID58"/>
      <c r="RIE58"/>
      <c r="RIF58"/>
      <c r="RIG58"/>
      <c r="RIH58"/>
      <c r="RII58"/>
      <c r="RIJ58"/>
      <c r="RIK58"/>
      <c r="RIL58"/>
      <c r="RIM58"/>
      <c r="RIN58"/>
      <c r="RIO58"/>
      <c r="RIP58"/>
      <c r="RIQ58"/>
      <c r="RIR58"/>
      <c r="RIS58"/>
      <c r="RIT58"/>
      <c r="RIU58"/>
      <c r="RIV58"/>
      <c r="RIW58"/>
      <c r="RIX58"/>
      <c r="RIY58"/>
      <c r="RIZ58"/>
      <c r="RJA58"/>
      <c r="RJB58"/>
      <c r="RJC58"/>
      <c r="RJD58"/>
      <c r="RJE58"/>
      <c r="RJF58"/>
      <c r="RJG58"/>
      <c r="RJH58"/>
      <c r="RJI58"/>
      <c r="RJJ58"/>
      <c r="RJK58"/>
      <c r="RJL58"/>
      <c r="RJM58"/>
      <c r="RJN58"/>
      <c r="RJO58"/>
      <c r="RJP58"/>
      <c r="RJQ58"/>
      <c r="RJR58"/>
      <c r="RJS58"/>
      <c r="RJT58"/>
      <c r="RJU58"/>
      <c r="RJV58"/>
      <c r="RJW58"/>
      <c r="RJX58"/>
      <c r="RJY58"/>
      <c r="RJZ58"/>
      <c r="RKA58"/>
      <c r="RKB58"/>
      <c r="RKC58"/>
      <c r="RKD58"/>
      <c r="RKE58"/>
      <c r="RKF58"/>
      <c r="RKG58"/>
      <c r="RKH58"/>
      <c r="RKI58"/>
      <c r="RKJ58"/>
      <c r="RKK58"/>
      <c r="RKL58"/>
      <c r="RKM58"/>
      <c r="RKN58"/>
      <c r="RKO58"/>
      <c r="RKP58"/>
      <c r="RKQ58"/>
      <c r="RKR58"/>
      <c r="RKS58"/>
      <c r="RKT58"/>
      <c r="RKU58"/>
      <c r="RKV58"/>
      <c r="RKW58"/>
      <c r="RKX58"/>
      <c r="RKY58"/>
      <c r="RKZ58"/>
      <c r="RLA58"/>
      <c r="RLB58"/>
      <c r="RLC58"/>
      <c r="RLD58"/>
      <c r="RLE58"/>
      <c r="RLF58"/>
      <c r="RLG58"/>
      <c r="RLH58"/>
      <c r="RLI58"/>
      <c r="RLJ58"/>
      <c r="RLK58"/>
      <c r="RLL58"/>
      <c r="RLM58"/>
      <c r="RLN58"/>
      <c r="RLO58"/>
      <c r="RLP58"/>
      <c r="RLQ58"/>
      <c r="RLR58"/>
      <c r="RLS58"/>
      <c r="RLT58"/>
      <c r="RLU58"/>
      <c r="RLV58"/>
      <c r="RLW58"/>
      <c r="RLX58"/>
      <c r="RLY58"/>
      <c r="RLZ58"/>
      <c r="RMA58"/>
      <c r="RMB58"/>
      <c r="RMC58"/>
      <c r="RMD58"/>
      <c r="RME58"/>
      <c r="RMF58"/>
      <c r="RMG58"/>
      <c r="RMH58"/>
      <c r="RMI58"/>
      <c r="RMJ58"/>
      <c r="RMK58"/>
      <c r="RML58"/>
      <c r="RMM58"/>
      <c r="RMN58"/>
      <c r="RMO58"/>
      <c r="RMP58"/>
      <c r="RMQ58"/>
      <c r="RMR58"/>
      <c r="RMS58"/>
      <c r="RMT58"/>
      <c r="RMU58"/>
      <c r="RMV58"/>
      <c r="RMW58"/>
      <c r="RMX58"/>
      <c r="RMY58"/>
      <c r="RMZ58"/>
      <c r="RNA58"/>
      <c r="RNB58"/>
      <c r="RNC58"/>
      <c r="RND58"/>
      <c r="RNE58"/>
      <c r="RNF58"/>
      <c r="RNG58"/>
      <c r="RNH58"/>
      <c r="RNI58"/>
      <c r="RNJ58"/>
      <c r="RNK58"/>
      <c r="RNL58"/>
      <c r="RNM58"/>
      <c r="RNN58"/>
      <c r="RNO58"/>
      <c r="RNP58"/>
      <c r="RNQ58"/>
      <c r="RNR58"/>
      <c r="RNS58"/>
      <c r="RNT58"/>
      <c r="RNU58"/>
      <c r="RNV58"/>
      <c r="RNW58"/>
      <c r="RNX58"/>
      <c r="RNY58"/>
      <c r="RNZ58"/>
      <c r="ROA58"/>
      <c r="ROB58"/>
      <c r="ROC58"/>
      <c r="ROD58"/>
      <c r="ROE58"/>
      <c r="ROF58"/>
      <c r="ROG58"/>
      <c r="ROH58"/>
      <c r="ROI58"/>
      <c r="ROJ58"/>
      <c r="ROK58"/>
      <c r="ROL58"/>
      <c r="ROM58"/>
      <c r="RON58"/>
      <c r="ROO58"/>
      <c r="ROP58"/>
      <c r="ROQ58"/>
      <c r="ROR58"/>
      <c r="ROS58"/>
      <c r="ROT58"/>
      <c r="ROU58"/>
      <c r="ROV58"/>
      <c r="ROW58"/>
      <c r="ROX58"/>
      <c r="ROY58"/>
      <c r="ROZ58"/>
      <c r="RPA58"/>
      <c r="RPB58"/>
      <c r="RPC58"/>
      <c r="RPD58"/>
      <c r="RPE58"/>
      <c r="RPF58"/>
      <c r="RPG58"/>
      <c r="RPH58"/>
      <c r="RPI58"/>
      <c r="RPJ58"/>
      <c r="RPK58"/>
      <c r="RPL58"/>
      <c r="RPM58"/>
      <c r="RPN58"/>
      <c r="RPO58"/>
      <c r="RPP58"/>
      <c r="RPQ58"/>
      <c r="RPR58"/>
      <c r="RPS58"/>
      <c r="RPT58"/>
      <c r="RPU58"/>
      <c r="RPV58"/>
      <c r="RPW58"/>
      <c r="RPX58"/>
      <c r="RPY58"/>
      <c r="RPZ58"/>
      <c r="RQA58"/>
      <c r="RQB58"/>
      <c r="RQC58"/>
      <c r="RQD58"/>
      <c r="RQE58"/>
      <c r="RQF58"/>
      <c r="RQG58"/>
      <c r="RQH58"/>
      <c r="RQI58"/>
      <c r="RQJ58"/>
      <c r="RQK58"/>
      <c r="RQL58"/>
      <c r="RQM58"/>
      <c r="RQN58"/>
      <c r="RQO58"/>
      <c r="RQP58"/>
      <c r="RQQ58"/>
      <c r="RQR58"/>
      <c r="RQS58"/>
      <c r="RQT58"/>
      <c r="RQU58"/>
      <c r="RQV58"/>
      <c r="RQW58"/>
      <c r="RQX58"/>
      <c r="RQY58"/>
      <c r="RQZ58"/>
      <c r="RRA58"/>
      <c r="RRB58"/>
      <c r="RRC58"/>
      <c r="RRD58"/>
      <c r="RRE58"/>
      <c r="RRF58"/>
      <c r="RRG58"/>
      <c r="RRH58"/>
      <c r="RRI58"/>
      <c r="RRJ58"/>
      <c r="RRK58"/>
      <c r="RRL58"/>
      <c r="RRM58"/>
      <c r="RRN58"/>
      <c r="RRO58"/>
      <c r="RRP58"/>
      <c r="RRQ58"/>
      <c r="RRR58"/>
      <c r="RRS58"/>
      <c r="RRT58"/>
      <c r="RRU58"/>
      <c r="RRV58"/>
      <c r="RRW58"/>
      <c r="RRX58"/>
      <c r="RRY58"/>
      <c r="RRZ58"/>
      <c r="RSA58"/>
      <c r="RSB58"/>
      <c r="RSC58"/>
      <c r="RSD58"/>
      <c r="RSE58"/>
      <c r="RSF58"/>
      <c r="RSG58"/>
      <c r="RSH58"/>
      <c r="RSI58"/>
      <c r="RSJ58"/>
      <c r="RSK58"/>
      <c r="RSL58"/>
      <c r="RSM58"/>
      <c r="RSN58"/>
      <c r="RSO58"/>
      <c r="RSP58"/>
      <c r="RSQ58"/>
      <c r="RSR58"/>
      <c r="RSS58"/>
      <c r="RST58"/>
      <c r="RSU58"/>
      <c r="RSV58"/>
      <c r="RSW58"/>
      <c r="RSX58"/>
      <c r="RSY58"/>
      <c r="RSZ58"/>
      <c r="RTA58"/>
      <c r="RTB58"/>
      <c r="RTC58"/>
      <c r="RTD58"/>
      <c r="RTE58"/>
      <c r="RTF58"/>
      <c r="RTG58"/>
      <c r="RTH58"/>
      <c r="RTI58"/>
      <c r="RTJ58"/>
      <c r="RTK58"/>
      <c r="RTL58"/>
      <c r="RTM58"/>
      <c r="RTN58"/>
      <c r="RTO58"/>
      <c r="RTP58"/>
      <c r="RTQ58"/>
      <c r="RTR58"/>
      <c r="RTS58"/>
      <c r="RTT58"/>
      <c r="RTU58"/>
      <c r="RTV58"/>
      <c r="RTW58"/>
      <c r="RTX58"/>
      <c r="RTY58"/>
      <c r="RTZ58"/>
      <c r="RUA58"/>
      <c r="RUB58"/>
      <c r="RUC58"/>
      <c r="RUD58"/>
      <c r="RUE58"/>
      <c r="RUF58"/>
      <c r="RUG58"/>
      <c r="RUH58"/>
      <c r="RUI58"/>
      <c r="RUJ58"/>
      <c r="RUK58"/>
      <c r="RUL58"/>
      <c r="RUM58"/>
      <c r="RUN58"/>
      <c r="RUO58"/>
      <c r="RUP58"/>
      <c r="RUQ58"/>
      <c r="RUR58"/>
      <c r="RUS58"/>
      <c r="RUT58"/>
      <c r="RUU58"/>
      <c r="RUV58"/>
      <c r="RUW58"/>
      <c r="RUX58"/>
      <c r="RUY58"/>
      <c r="RUZ58"/>
      <c r="RVA58"/>
      <c r="RVB58"/>
      <c r="RVC58"/>
      <c r="RVD58"/>
      <c r="RVE58"/>
      <c r="RVF58"/>
      <c r="RVG58"/>
      <c r="RVH58"/>
      <c r="RVI58"/>
      <c r="RVJ58"/>
      <c r="RVK58"/>
      <c r="RVL58"/>
      <c r="RVM58"/>
      <c r="RVN58"/>
      <c r="RVO58"/>
      <c r="RVP58"/>
      <c r="RVQ58"/>
      <c r="RVR58"/>
      <c r="RVS58"/>
      <c r="RVT58"/>
      <c r="RVU58"/>
      <c r="RVV58"/>
      <c r="RVW58"/>
      <c r="RVX58"/>
      <c r="RVY58"/>
      <c r="RVZ58"/>
      <c r="RWA58"/>
      <c r="RWB58"/>
      <c r="RWC58"/>
      <c r="RWD58"/>
      <c r="RWE58"/>
      <c r="RWF58"/>
      <c r="RWG58"/>
      <c r="RWH58"/>
      <c r="RWI58"/>
      <c r="RWJ58"/>
      <c r="RWK58"/>
      <c r="RWL58"/>
      <c r="RWM58"/>
      <c r="RWN58"/>
      <c r="RWO58"/>
      <c r="RWP58"/>
      <c r="RWQ58"/>
      <c r="RWR58"/>
      <c r="RWS58"/>
      <c r="RWT58"/>
      <c r="RWU58"/>
      <c r="RWV58"/>
      <c r="RWW58"/>
      <c r="RWX58"/>
      <c r="RWY58"/>
      <c r="RWZ58"/>
      <c r="RXA58"/>
      <c r="RXB58"/>
      <c r="RXC58"/>
      <c r="RXD58"/>
      <c r="RXE58"/>
      <c r="RXF58"/>
      <c r="RXG58"/>
      <c r="RXH58"/>
      <c r="RXI58"/>
      <c r="RXJ58"/>
      <c r="RXK58"/>
      <c r="RXL58"/>
      <c r="RXM58"/>
      <c r="RXN58"/>
      <c r="RXO58"/>
      <c r="RXP58"/>
      <c r="RXQ58"/>
      <c r="RXR58"/>
      <c r="RXS58"/>
      <c r="RXT58"/>
      <c r="RXU58"/>
      <c r="RXV58"/>
      <c r="RXW58"/>
      <c r="RXX58"/>
      <c r="RXY58"/>
      <c r="RXZ58"/>
      <c r="RYA58"/>
      <c r="RYB58"/>
      <c r="RYC58"/>
      <c r="RYD58"/>
      <c r="RYE58"/>
      <c r="RYF58"/>
      <c r="RYG58"/>
      <c r="RYH58"/>
      <c r="RYI58"/>
      <c r="RYJ58"/>
      <c r="RYK58"/>
      <c r="RYL58"/>
      <c r="RYM58"/>
      <c r="RYN58"/>
      <c r="RYO58"/>
      <c r="RYP58"/>
      <c r="RYQ58"/>
      <c r="RYR58"/>
      <c r="RYS58"/>
      <c r="RYT58"/>
      <c r="RYU58"/>
      <c r="RYV58"/>
      <c r="RYW58"/>
      <c r="RYX58"/>
      <c r="RYY58"/>
      <c r="RYZ58"/>
      <c r="RZA58"/>
      <c r="RZB58"/>
      <c r="RZC58"/>
      <c r="RZD58"/>
      <c r="RZE58"/>
      <c r="RZF58"/>
      <c r="RZG58"/>
      <c r="RZH58"/>
      <c r="RZI58"/>
      <c r="RZJ58"/>
      <c r="RZK58"/>
      <c r="RZL58"/>
      <c r="RZM58"/>
      <c r="RZN58"/>
      <c r="RZO58"/>
      <c r="RZP58"/>
      <c r="RZQ58"/>
      <c r="RZR58"/>
      <c r="RZS58"/>
      <c r="RZT58"/>
      <c r="RZU58"/>
      <c r="RZV58"/>
      <c r="RZW58"/>
      <c r="RZX58"/>
      <c r="RZY58"/>
      <c r="RZZ58"/>
      <c r="SAA58"/>
      <c r="SAB58"/>
      <c r="SAC58"/>
      <c r="SAD58"/>
      <c r="SAE58"/>
      <c r="SAF58"/>
      <c r="SAG58"/>
      <c r="SAH58"/>
      <c r="SAI58"/>
      <c r="SAJ58"/>
      <c r="SAK58"/>
      <c r="SAL58"/>
      <c r="SAM58"/>
      <c r="SAN58"/>
      <c r="SAO58"/>
      <c r="SAP58"/>
      <c r="SAQ58"/>
      <c r="SAR58"/>
      <c r="SAS58"/>
      <c r="SAT58"/>
      <c r="SAU58"/>
      <c r="SAV58"/>
      <c r="SAW58"/>
      <c r="SAX58"/>
      <c r="SAY58"/>
      <c r="SAZ58"/>
      <c r="SBA58"/>
      <c r="SBB58"/>
      <c r="SBC58"/>
      <c r="SBD58"/>
      <c r="SBE58"/>
      <c r="SBF58"/>
      <c r="SBG58"/>
      <c r="SBH58"/>
      <c r="SBI58"/>
      <c r="SBJ58"/>
      <c r="SBK58"/>
      <c r="SBL58"/>
      <c r="SBM58"/>
      <c r="SBN58"/>
      <c r="SBO58"/>
      <c r="SBP58"/>
      <c r="SBQ58"/>
      <c r="SBR58"/>
      <c r="SBS58"/>
      <c r="SBT58"/>
      <c r="SBU58"/>
      <c r="SBV58"/>
      <c r="SBW58"/>
      <c r="SBX58"/>
      <c r="SBY58"/>
      <c r="SBZ58"/>
      <c r="SCA58"/>
      <c r="SCB58"/>
      <c r="SCC58"/>
      <c r="SCD58"/>
      <c r="SCE58"/>
      <c r="SCF58"/>
      <c r="SCG58"/>
      <c r="SCH58"/>
      <c r="SCI58"/>
      <c r="SCJ58"/>
      <c r="SCK58"/>
      <c r="SCL58"/>
      <c r="SCM58"/>
      <c r="SCN58"/>
      <c r="SCO58"/>
      <c r="SCP58"/>
      <c r="SCQ58"/>
      <c r="SCR58"/>
      <c r="SCS58"/>
      <c r="SCT58"/>
      <c r="SCU58"/>
      <c r="SCV58"/>
      <c r="SCW58"/>
      <c r="SCX58"/>
      <c r="SCY58"/>
      <c r="SCZ58"/>
      <c r="SDA58"/>
      <c r="SDB58"/>
      <c r="SDC58"/>
      <c r="SDD58"/>
      <c r="SDE58"/>
      <c r="SDF58"/>
      <c r="SDG58"/>
      <c r="SDH58"/>
      <c r="SDI58"/>
      <c r="SDJ58"/>
      <c r="SDK58"/>
      <c r="SDL58"/>
      <c r="SDM58"/>
      <c r="SDN58"/>
      <c r="SDO58"/>
      <c r="SDP58"/>
      <c r="SDQ58"/>
      <c r="SDR58"/>
      <c r="SDS58"/>
      <c r="SDT58"/>
      <c r="SDU58"/>
      <c r="SDV58"/>
      <c r="SDW58"/>
      <c r="SDX58"/>
      <c r="SDY58"/>
      <c r="SDZ58"/>
      <c r="SEA58"/>
      <c r="SEB58"/>
      <c r="SEC58"/>
      <c r="SED58"/>
      <c r="SEE58"/>
      <c r="SEF58"/>
      <c r="SEG58"/>
      <c r="SEH58"/>
      <c r="SEI58"/>
      <c r="SEJ58"/>
      <c r="SEK58"/>
      <c r="SEL58"/>
      <c r="SEM58"/>
      <c r="SEN58"/>
      <c r="SEO58"/>
      <c r="SEP58"/>
      <c r="SEQ58"/>
      <c r="SER58"/>
      <c r="SES58"/>
      <c r="SET58"/>
      <c r="SEU58"/>
      <c r="SEV58"/>
      <c r="SEW58"/>
      <c r="SEX58"/>
      <c r="SEY58"/>
      <c r="SEZ58"/>
      <c r="SFA58"/>
      <c r="SFB58"/>
      <c r="SFC58"/>
      <c r="SFD58"/>
      <c r="SFE58"/>
      <c r="SFF58"/>
      <c r="SFG58"/>
      <c r="SFH58"/>
      <c r="SFI58"/>
      <c r="SFJ58"/>
      <c r="SFK58"/>
      <c r="SFL58"/>
      <c r="SFM58"/>
      <c r="SFN58"/>
      <c r="SFO58"/>
      <c r="SFP58"/>
      <c r="SFQ58"/>
      <c r="SFR58"/>
      <c r="SFS58"/>
      <c r="SFT58"/>
      <c r="SFU58"/>
      <c r="SFV58"/>
      <c r="SFW58"/>
      <c r="SFX58"/>
      <c r="SFY58"/>
      <c r="SFZ58"/>
      <c r="SGA58"/>
      <c r="SGB58"/>
      <c r="SGC58"/>
      <c r="SGD58"/>
      <c r="SGE58"/>
      <c r="SGF58"/>
      <c r="SGG58"/>
      <c r="SGH58"/>
      <c r="SGI58"/>
      <c r="SGJ58"/>
      <c r="SGK58"/>
      <c r="SGL58"/>
      <c r="SGM58"/>
      <c r="SGN58"/>
      <c r="SGO58"/>
      <c r="SGP58"/>
      <c r="SGQ58"/>
      <c r="SGR58"/>
      <c r="SGS58"/>
      <c r="SGT58"/>
      <c r="SGU58"/>
      <c r="SGV58"/>
      <c r="SGW58"/>
      <c r="SGX58"/>
      <c r="SGY58"/>
      <c r="SGZ58"/>
      <c r="SHA58"/>
      <c r="SHB58"/>
      <c r="SHC58"/>
      <c r="SHD58"/>
      <c r="SHE58"/>
      <c r="SHF58"/>
      <c r="SHG58"/>
      <c r="SHH58"/>
      <c r="SHI58"/>
      <c r="SHJ58"/>
      <c r="SHK58"/>
      <c r="SHL58"/>
      <c r="SHM58"/>
      <c r="SHN58"/>
      <c r="SHO58"/>
      <c r="SHP58"/>
      <c r="SHQ58"/>
      <c r="SHR58"/>
      <c r="SHS58"/>
      <c r="SHT58"/>
      <c r="SHU58"/>
      <c r="SHV58"/>
      <c r="SHW58"/>
      <c r="SHX58"/>
      <c r="SHY58"/>
      <c r="SHZ58"/>
      <c r="SIA58"/>
      <c r="SIB58"/>
      <c r="SIC58"/>
      <c r="SID58"/>
      <c r="SIE58"/>
      <c r="SIF58"/>
      <c r="SIG58"/>
      <c r="SIH58"/>
      <c r="SII58"/>
      <c r="SIJ58"/>
      <c r="SIK58"/>
      <c r="SIL58"/>
      <c r="SIM58"/>
      <c r="SIN58"/>
      <c r="SIO58"/>
      <c r="SIP58"/>
      <c r="SIQ58"/>
      <c r="SIR58"/>
      <c r="SIS58"/>
      <c r="SIT58"/>
      <c r="SIU58"/>
      <c r="SIV58"/>
      <c r="SIW58"/>
      <c r="SIX58"/>
      <c r="SIY58"/>
      <c r="SIZ58"/>
      <c r="SJA58"/>
      <c r="SJB58"/>
      <c r="SJC58"/>
      <c r="SJD58"/>
      <c r="SJE58"/>
      <c r="SJF58"/>
      <c r="SJG58"/>
      <c r="SJH58"/>
      <c r="SJI58"/>
      <c r="SJJ58"/>
      <c r="SJK58"/>
      <c r="SJL58"/>
      <c r="SJM58"/>
      <c r="SJN58"/>
      <c r="SJO58"/>
      <c r="SJP58"/>
      <c r="SJQ58"/>
      <c r="SJR58"/>
      <c r="SJS58"/>
      <c r="SJT58"/>
      <c r="SJU58"/>
      <c r="SJV58"/>
      <c r="SJW58"/>
      <c r="SJX58"/>
      <c r="SJY58"/>
      <c r="SJZ58"/>
      <c r="SKA58"/>
      <c r="SKB58"/>
      <c r="SKC58"/>
      <c r="SKD58"/>
      <c r="SKE58"/>
      <c r="SKF58"/>
      <c r="SKG58"/>
      <c r="SKH58"/>
      <c r="SKI58"/>
      <c r="SKJ58"/>
      <c r="SKK58"/>
      <c r="SKL58"/>
      <c r="SKM58"/>
      <c r="SKN58"/>
      <c r="SKO58"/>
      <c r="SKP58"/>
      <c r="SKQ58"/>
      <c r="SKR58"/>
      <c r="SKS58"/>
      <c r="SKT58"/>
      <c r="SKU58"/>
      <c r="SKV58"/>
      <c r="SKW58"/>
      <c r="SKX58"/>
      <c r="SKY58"/>
      <c r="SKZ58"/>
      <c r="SLA58"/>
      <c r="SLB58"/>
      <c r="SLC58"/>
      <c r="SLD58"/>
      <c r="SLE58"/>
      <c r="SLF58"/>
      <c r="SLG58"/>
      <c r="SLH58"/>
      <c r="SLI58"/>
      <c r="SLJ58"/>
      <c r="SLK58"/>
      <c r="SLL58"/>
      <c r="SLM58"/>
      <c r="SLN58"/>
      <c r="SLO58"/>
      <c r="SLP58"/>
      <c r="SLQ58"/>
      <c r="SLR58"/>
      <c r="SLS58"/>
      <c r="SLT58"/>
      <c r="SLU58"/>
      <c r="SLV58"/>
      <c r="SLW58"/>
      <c r="SLX58"/>
      <c r="SLY58"/>
      <c r="SLZ58"/>
      <c r="SMA58"/>
      <c r="SMB58"/>
      <c r="SMC58"/>
      <c r="SMD58"/>
      <c r="SME58"/>
      <c r="SMF58"/>
      <c r="SMG58"/>
      <c r="SMH58"/>
      <c r="SMI58"/>
      <c r="SMJ58"/>
      <c r="SMK58"/>
      <c r="SML58"/>
      <c r="SMM58"/>
      <c r="SMN58"/>
      <c r="SMO58"/>
      <c r="SMP58"/>
      <c r="SMQ58"/>
      <c r="SMR58"/>
      <c r="SMS58"/>
      <c r="SMT58"/>
      <c r="SMU58"/>
      <c r="SMV58"/>
      <c r="SMW58"/>
      <c r="SMX58"/>
      <c r="SMY58"/>
      <c r="SMZ58"/>
      <c r="SNA58"/>
      <c r="SNB58"/>
      <c r="SNC58"/>
      <c r="SND58"/>
      <c r="SNE58"/>
      <c r="SNF58"/>
      <c r="SNG58"/>
      <c r="SNH58"/>
      <c r="SNI58"/>
      <c r="SNJ58"/>
      <c r="SNK58"/>
      <c r="SNL58"/>
      <c r="SNM58"/>
      <c r="SNN58"/>
      <c r="SNO58"/>
      <c r="SNP58"/>
      <c r="SNQ58"/>
      <c r="SNR58"/>
      <c r="SNS58"/>
      <c r="SNT58"/>
      <c r="SNU58"/>
      <c r="SNV58"/>
      <c r="SNW58"/>
      <c r="SNX58"/>
      <c r="SNY58"/>
      <c r="SNZ58"/>
      <c r="SOA58"/>
      <c r="SOB58"/>
      <c r="SOC58"/>
      <c r="SOD58"/>
      <c r="SOE58"/>
      <c r="SOF58"/>
      <c r="SOG58"/>
      <c r="SOH58"/>
      <c r="SOI58"/>
      <c r="SOJ58"/>
      <c r="SOK58"/>
      <c r="SOL58"/>
      <c r="SOM58"/>
      <c r="SON58"/>
      <c r="SOO58"/>
      <c r="SOP58"/>
      <c r="SOQ58"/>
      <c r="SOR58"/>
      <c r="SOS58"/>
      <c r="SOT58"/>
      <c r="SOU58"/>
      <c r="SOV58"/>
      <c r="SOW58"/>
      <c r="SOX58"/>
      <c r="SOY58"/>
      <c r="SOZ58"/>
      <c r="SPA58"/>
      <c r="SPB58"/>
      <c r="SPC58"/>
      <c r="SPD58"/>
      <c r="SPE58"/>
      <c r="SPF58"/>
      <c r="SPG58"/>
      <c r="SPH58"/>
      <c r="SPI58"/>
      <c r="SPJ58"/>
      <c r="SPK58"/>
      <c r="SPL58"/>
      <c r="SPM58"/>
      <c r="SPN58"/>
      <c r="SPO58"/>
      <c r="SPP58"/>
      <c r="SPQ58"/>
      <c r="SPR58"/>
      <c r="SPS58"/>
      <c r="SPT58"/>
      <c r="SPU58"/>
      <c r="SPV58"/>
      <c r="SPW58"/>
      <c r="SPX58"/>
      <c r="SPY58"/>
      <c r="SPZ58"/>
      <c r="SQA58"/>
      <c r="SQB58"/>
      <c r="SQC58"/>
      <c r="SQD58"/>
      <c r="SQE58"/>
      <c r="SQF58"/>
      <c r="SQG58"/>
      <c r="SQH58"/>
      <c r="SQI58"/>
      <c r="SQJ58"/>
      <c r="SQK58"/>
      <c r="SQL58"/>
      <c r="SQM58"/>
      <c r="SQN58"/>
      <c r="SQO58"/>
      <c r="SQP58"/>
      <c r="SQQ58"/>
      <c r="SQR58"/>
      <c r="SQS58"/>
      <c r="SQT58"/>
      <c r="SQU58"/>
      <c r="SQV58"/>
      <c r="SQW58"/>
      <c r="SQX58"/>
      <c r="SQY58"/>
      <c r="SQZ58"/>
      <c r="SRA58"/>
      <c r="SRB58"/>
      <c r="SRC58"/>
      <c r="SRD58"/>
      <c r="SRE58"/>
      <c r="SRF58"/>
      <c r="SRG58"/>
      <c r="SRH58"/>
      <c r="SRI58"/>
      <c r="SRJ58"/>
      <c r="SRK58"/>
      <c r="SRL58"/>
      <c r="SRM58"/>
      <c r="SRN58"/>
      <c r="SRO58"/>
      <c r="SRP58"/>
      <c r="SRQ58"/>
      <c r="SRR58"/>
      <c r="SRS58"/>
      <c r="SRT58"/>
      <c r="SRU58"/>
      <c r="SRV58"/>
      <c r="SRW58"/>
      <c r="SRX58"/>
      <c r="SRY58"/>
      <c r="SRZ58"/>
      <c r="SSA58"/>
      <c r="SSB58"/>
      <c r="SSC58"/>
      <c r="SSD58"/>
      <c r="SSE58"/>
      <c r="SSF58"/>
      <c r="SSG58"/>
      <c r="SSH58"/>
      <c r="SSI58"/>
      <c r="SSJ58"/>
      <c r="SSK58"/>
      <c r="SSL58"/>
      <c r="SSM58"/>
      <c r="SSN58"/>
      <c r="SSO58"/>
      <c r="SSP58"/>
      <c r="SSQ58"/>
      <c r="SSR58"/>
      <c r="SSS58"/>
      <c r="SST58"/>
      <c r="SSU58"/>
      <c r="SSV58"/>
      <c r="SSW58"/>
      <c r="SSX58"/>
      <c r="SSY58"/>
      <c r="SSZ58"/>
      <c r="STA58"/>
      <c r="STB58"/>
      <c r="STC58"/>
      <c r="STD58"/>
      <c r="STE58"/>
      <c r="STF58"/>
      <c r="STG58"/>
      <c r="STH58"/>
      <c r="STI58"/>
      <c r="STJ58"/>
      <c r="STK58"/>
      <c r="STL58"/>
      <c r="STM58"/>
      <c r="STN58"/>
      <c r="STO58"/>
      <c r="STP58"/>
      <c r="STQ58"/>
      <c r="STR58"/>
      <c r="STS58"/>
      <c r="STT58"/>
      <c r="STU58"/>
      <c r="STV58"/>
      <c r="STW58"/>
      <c r="STX58"/>
      <c r="STY58"/>
      <c r="STZ58"/>
      <c r="SUA58"/>
      <c r="SUB58"/>
      <c r="SUC58"/>
      <c r="SUD58"/>
      <c r="SUE58"/>
      <c r="SUF58"/>
      <c r="SUG58"/>
      <c r="SUH58"/>
      <c r="SUI58"/>
      <c r="SUJ58"/>
      <c r="SUK58"/>
      <c r="SUL58"/>
      <c r="SUM58"/>
      <c r="SUN58"/>
      <c r="SUO58"/>
      <c r="SUP58"/>
      <c r="SUQ58"/>
      <c r="SUR58"/>
      <c r="SUS58"/>
      <c r="SUT58"/>
      <c r="SUU58"/>
      <c r="SUV58"/>
      <c r="SUW58"/>
      <c r="SUX58"/>
      <c r="SUY58"/>
      <c r="SUZ58"/>
      <c r="SVA58"/>
      <c r="SVB58"/>
      <c r="SVC58"/>
      <c r="SVD58"/>
      <c r="SVE58"/>
      <c r="SVF58"/>
      <c r="SVG58"/>
      <c r="SVH58"/>
      <c r="SVI58"/>
      <c r="SVJ58"/>
      <c r="SVK58"/>
      <c r="SVL58"/>
      <c r="SVM58"/>
      <c r="SVN58"/>
      <c r="SVO58"/>
      <c r="SVP58"/>
      <c r="SVQ58"/>
      <c r="SVR58"/>
      <c r="SVS58"/>
      <c r="SVT58"/>
      <c r="SVU58"/>
      <c r="SVV58"/>
      <c r="SVW58"/>
      <c r="SVX58"/>
      <c r="SVY58"/>
      <c r="SVZ58"/>
      <c r="SWA58"/>
      <c r="SWB58"/>
      <c r="SWC58"/>
      <c r="SWD58"/>
      <c r="SWE58"/>
      <c r="SWF58"/>
      <c r="SWG58"/>
      <c r="SWH58"/>
      <c r="SWI58"/>
      <c r="SWJ58"/>
      <c r="SWK58"/>
      <c r="SWL58"/>
      <c r="SWM58"/>
      <c r="SWN58"/>
      <c r="SWO58"/>
      <c r="SWP58"/>
      <c r="SWQ58"/>
      <c r="SWR58"/>
      <c r="SWS58"/>
      <c r="SWT58"/>
      <c r="SWU58"/>
      <c r="SWV58"/>
      <c r="SWW58"/>
      <c r="SWX58"/>
      <c r="SWY58"/>
      <c r="SWZ58"/>
      <c r="SXA58"/>
      <c r="SXB58"/>
      <c r="SXC58"/>
      <c r="SXD58"/>
      <c r="SXE58"/>
      <c r="SXF58"/>
      <c r="SXG58"/>
      <c r="SXH58"/>
      <c r="SXI58"/>
      <c r="SXJ58"/>
      <c r="SXK58"/>
      <c r="SXL58"/>
      <c r="SXM58"/>
      <c r="SXN58"/>
      <c r="SXO58"/>
      <c r="SXP58"/>
      <c r="SXQ58"/>
      <c r="SXR58"/>
      <c r="SXS58"/>
      <c r="SXT58"/>
      <c r="SXU58"/>
      <c r="SXV58"/>
      <c r="SXW58"/>
      <c r="SXX58"/>
      <c r="SXY58"/>
      <c r="SXZ58"/>
      <c r="SYA58"/>
      <c r="SYB58"/>
      <c r="SYC58"/>
      <c r="SYD58"/>
      <c r="SYE58"/>
      <c r="SYF58"/>
      <c r="SYG58"/>
      <c r="SYH58"/>
      <c r="SYI58"/>
      <c r="SYJ58"/>
      <c r="SYK58"/>
      <c r="SYL58"/>
      <c r="SYM58"/>
      <c r="SYN58"/>
      <c r="SYO58"/>
      <c r="SYP58"/>
      <c r="SYQ58"/>
      <c r="SYR58"/>
      <c r="SYS58"/>
      <c r="SYT58"/>
      <c r="SYU58"/>
      <c r="SYV58"/>
      <c r="SYW58"/>
      <c r="SYX58"/>
      <c r="SYY58"/>
      <c r="SYZ58"/>
      <c r="SZA58"/>
      <c r="SZB58"/>
      <c r="SZC58"/>
      <c r="SZD58"/>
      <c r="SZE58"/>
      <c r="SZF58"/>
      <c r="SZG58"/>
      <c r="SZH58"/>
      <c r="SZI58"/>
      <c r="SZJ58"/>
      <c r="SZK58"/>
      <c r="SZL58"/>
      <c r="SZM58"/>
      <c r="SZN58"/>
      <c r="SZO58"/>
      <c r="SZP58"/>
      <c r="SZQ58"/>
      <c r="SZR58"/>
      <c r="SZS58"/>
      <c r="SZT58"/>
      <c r="SZU58"/>
      <c r="SZV58"/>
      <c r="SZW58"/>
      <c r="SZX58"/>
      <c r="SZY58"/>
      <c r="SZZ58"/>
      <c r="TAA58"/>
      <c r="TAB58"/>
      <c r="TAC58"/>
      <c r="TAD58"/>
      <c r="TAE58"/>
      <c r="TAF58"/>
      <c r="TAG58"/>
      <c r="TAH58"/>
      <c r="TAI58"/>
      <c r="TAJ58"/>
      <c r="TAK58"/>
      <c r="TAL58"/>
      <c r="TAM58"/>
      <c r="TAN58"/>
      <c r="TAO58"/>
      <c r="TAP58"/>
      <c r="TAQ58"/>
      <c r="TAR58"/>
      <c r="TAS58"/>
      <c r="TAT58"/>
      <c r="TAU58"/>
      <c r="TAV58"/>
      <c r="TAW58"/>
      <c r="TAX58"/>
      <c r="TAY58"/>
      <c r="TAZ58"/>
      <c r="TBA58"/>
      <c r="TBB58"/>
      <c r="TBC58"/>
      <c r="TBD58"/>
      <c r="TBE58"/>
      <c r="TBF58"/>
      <c r="TBG58"/>
      <c r="TBH58"/>
      <c r="TBI58"/>
      <c r="TBJ58"/>
      <c r="TBK58"/>
      <c r="TBL58"/>
      <c r="TBM58"/>
      <c r="TBN58"/>
      <c r="TBO58"/>
      <c r="TBP58"/>
      <c r="TBQ58"/>
      <c r="TBR58"/>
      <c r="TBS58"/>
      <c r="TBT58"/>
      <c r="TBU58"/>
      <c r="TBV58"/>
      <c r="TBW58"/>
      <c r="TBX58"/>
      <c r="TBY58"/>
      <c r="TBZ58"/>
      <c r="TCA58"/>
      <c r="TCB58"/>
      <c r="TCC58"/>
      <c r="TCD58"/>
      <c r="TCE58"/>
      <c r="TCF58"/>
      <c r="TCG58"/>
      <c r="TCH58"/>
      <c r="TCI58"/>
      <c r="TCJ58"/>
      <c r="TCK58"/>
      <c r="TCL58"/>
      <c r="TCM58"/>
      <c r="TCN58"/>
      <c r="TCO58"/>
      <c r="TCP58"/>
      <c r="TCQ58"/>
      <c r="TCR58"/>
      <c r="TCS58"/>
      <c r="TCT58"/>
      <c r="TCU58"/>
      <c r="TCV58"/>
      <c r="TCW58"/>
      <c r="TCX58"/>
      <c r="TCY58"/>
      <c r="TCZ58"/>
      <c r="TDA58"/>
      <c r="TDB58"/>
      <c r="TDC58"/>
      <c r="TDD58"/>
      <c r="TDE58"/>
      <c r="TDF58"/>
      <c r="TDG58"/>
      <c r="TDH58"/>
      <c r="TDI58"/>
      <c r="TDJ58"/>
      <c r="TDK58"/>
      <c r="TDL58"/>
      <c r="TDM58"/>
      <c r="TDN58"/>
      <c r="TDO58"/>
      <c r="TDP58"/>
      <c r="TDQ58"/>
      <c r="TDR58"/>
      <c r="TDS58"/>
      <c r="TDT58"/>
      <c r="TDU58"/>
      <c r="TDV58"/>
      <c r="TDW58"/>
      <c r="TDX58"/>
      <c r="TDY58"/>
      <c r="TDZ58"/>
      <c r="TEA58"/>
      <c r="TEB58"/>
      <c r="TEC58"/>
      <c r="TED58"/>
      <c r="TEE58"/>
      <c r="TEF58"/>
      <c r="TEG58"/>
      <c r="TEH58"/>
      <c r="TEI58"/>
      <c r="TEJ58"/>
      <c r="TEK58"/>
      <c r="TEL58"/>
      <c r="TEM58"/>
      <c r="TEN58"/>
      <c r="TEO58"/>
      <c r="TEP58"/>
      <c r="TEQ58"/>
      <c r="TER58"/>
      <c r="TES58"/>
      <c r="TET58"/>
      <c r="TEU58"/>
      <c r="TEV58"/>
      <c r="TEW58"/>
      <c r="TEX58"/>
      <c r="TEY58"/>
      <c r="TEZ58"/>
      <c r="TFA58"/>
      <c r="TFB58"/>
      <c r="TFC58"/>
      <c r="TFD58"/>
      <c r="TFE58"/>
      <c r="TFF58"/>
      <c r="TFG58"/>
      <c r="TFH58"/>
      <c r="TFI58"/>
      <c r="TFJ58"/>
      <c r="TFK58"/>
      <c r="TFL58"/>
      <c r="TFM58"/>
      <c r="TFN58"/>
      <c r="TFO58"/>
      <c r="TFP58"/>
      <c r="TFQ58"/>
      <c r="TFR58"/>
      <c r="TFS58"/>
      <c r="TFT58"/>
      <c r="TFU58"/>
      <c r="TFV58"/>
      <c r="TFW58"/>
      <c r="TFX58"/>
      <c r="TFY58"/>
      <c r="TFZ58"/>
      <c r="TGA58"/>
      <c r="TGB58"/>
      <c r="TGC58"/>
      <c r="TGD58"/>
      <c r="TGE58"/>
      <c r="TGF58"/>
      <c r="TGG58"/>
      <c r="TGH58"/>
      <c r="TGI58"/>
      <c r="TGJ58"/>
      <c r="TGK58"/>
      <c r="TGL58"/>
      <c r="TGM58"/>
      <c r="TGN58"/>
      <c r="TGO58"/>
      <c r="TGP58"/>
      <c r="TGQ58"/>
      <c r="TGR58"/>
      <c r="TGS58"/>
      <c r="TGT58"/>
      <c r="TGU58"/>
      <c r="TGV58"/>
      <c r="TGW58"/>
      <c r="TGX58"/>
      <c r="TGY58"/>
      <c r="TGZ58"/>
      <c r="THA58"/>
      <c r="THB58"/>
      <c r="THC58"/>
      <c r="THD58"/>
      <c r="THE58"/>
      <c r="THF58"/>
      <c r="THG58"/>
      <c r="THH58"/>
      <c r="THI58"/>
      <c r="THJ58"/>
      <c r="THK58"/>
      <c r="THL58"/>
      <c r="THM58"/>
      <c r="THN58"/>
      <c r="THO58"/>
      <c r="THP58"/>
      <c r="THQ58"/>
      <c r="THR58"/>
      <c r="THS58"/>
      <c r="THT58"/>
      <c r="THU58"/>
      <c r="THV58"/>
      <c r="THW58"/>
      <c r="THX58"/>
      <c r="THY58"/>
      <c r="THZ58"/>
      <c r="TIA58"/>
      <c r="TIB58"/>
      <c r="TIC58"/>
      <c r="TID58"/>
      <c r="TIE58"/>
      <c r="TIF58"/>
      <c r="TIG58"/>
      <c r="TIH58"/>
      <c r="TII58"/>
      <c r="TIJ58"/>
      <c r="TIK58"/>
      <c r="TIL58"/>
      <c r="TIM58"/>
      <c r="TIN58"/>
      <c r="TIO58"/>
      <c r="TIP58"/>
      <c r="TIQ58"/>
      <c r="TIR58"/>
      <c r="TIS58"/>
      <c r="TIT58"/>
      <c r="TIU58"/>
      <c r="TIV58"/>
      <c r="TIW58"/>
      <c r="TIX58"/>
      <c r="TIY58"/>
      <c r="TIZ58"/>
      <c r="TJA58"/>
      <c r="TJB58"/>
      <c r="TJC58"/>
      <c r="TJD58"/>
      <c r="TJE58"/>
      <c r="TJF58"/>
      <c r="TJG58"/>
      <c r="TJH58"/>
      <c r="TJI58"/>
      <c r="TJJ58"/>
      <c r="TJK58"/>
      <c r="TJL58"/>
      <c r="TJM58"/>
      <c r="TJN58"/>
      <c r="TJO58"/>
      <c r="TJP58"/>
      <c r="TJQ58"/>
      <c r="TJR58"/>
      <c r="TJS58"/>
      <c r="TJT58"/>
      <c r="TJU58"/>
      <c r="TJV58"/>
      <c r="TJW58"/>
      <c r="TJX58"/>
      <c r="TJY58"/>
      <c r="TJZ58"/>
      <c r="TKA58"/>
      <c r="TKB58"/>
      <c r="TKC58"/>
      <c r="TKD58"/>
      <c r="TKE58"/>
      <c r="TKF58"/>
      <c r="TKG58"/>
      <c r="TKH58"/>
      <c r="TKI58"/>
      <c r="TKJ58"/>
      <c r="TKK58"/>
      <c r="TKL58"/>
      <c r="TKM58"/>
      <c r="TKN58"/>
      <c r="TKO58"/>
      <c r="TKP58"/>
      <c r="TKQ58"/>
      <c r="TKR58"/>
      <c r="TKS58"/>
      <c r="TKT58"/>
      <c r="TKU58"/>
      <c r="TKV58"/>
      <c r="TKW58"/>
      <c r="TKX58"/>
      <c r="TKY58"/>
      <c r="TKZ58"/>
      <c r="TLA58"/>
      <c r="TLB58"/>
      <c r="TLC58"/>
      <c r="TLD58"/>
      <c r="TLE58"/>
      <c r="TLF58"/>
      <c r="TLG58"/>
      <c r="TLH58"/>
      <c r="TLI58"/>
      <c r="TLJ58"/>
      <c r="TLK58"/>
      <c r="TLL58"/>
      <c r="TLM58"/>
      <c r="TLN58"/>
      <c r="TLO58"/>
      <c r="TLP58"/>
      <c r="TLQ58"/>
      <c r="TLR58"/>
      <c r="TLS58"/>
      <c r="TLT58"/>
      <c r="TLU58"/>
      <c r="TLV58"/>
      <c r="TLW58"/>
      <c r="TLX58"/>
      <c r="TLY58"/>
      <c r="TLZ58"/>
      <c r="TMA58"/>
      <c r="TMB58"/>
      <c r="TMC58"/>
      <c r="TMD58"/>
      <c r="TME58"/>
      <c r="TMF58"/>
      <c r="TMG58"/>
      <c r="TMH58"/>
      <c r="TMI58"/>
      <c r="TMJ58"/>
      <c r="TMK58"/>
      <c r="TML58"/>
      <c r="TMM58"/>
      <c r="TMN58"/>
      <c r="TMO58"/>
      <c r="TMP58"/>
      <c r="TMQ58"/>
      <c r="TMR58"/>
      <c r="TMS58"/>
      <c r="TMT58"/>
      <c r="TMU58"/>
      <c r="TMV58"/>
      <c r="TMW58"/>
      <c r="TMX58"/>
      <c r="TMY58"/>
      <c r="TMZ58"/>
      <c r="TNA58"/>
      <c r="TNB58"/>
      <c r="TNC58"/>
      <c r="TND58"/>
      <c r="TNE58"/>
      <c r="TNF58"/>
      <c r="TNG58"/>
      <c r="TNH58"/>
      <c r="TNI58"/>
      <c r="TNJ58"/>
      <c r="TNK58"/>
      <c r="TNL58"/>
      <c r="TNM58"/>
      <c r="TNN58"/>
      <c r="TNO58"/>
      <c r="TNP58"/>
      <c r="TNQ58"/>
      <c r="TNR58"/>
      <c r="TNS58"/>
      <c r="TNT58"/>
      <c r="TNU58"/>
      <c r="TNV58"/>
      <c r="TNW58"/>
      <c r="TNX58"/>
      <c r="TNY58"/>
      <c r="TNZ58"/>
      <c r="TOA58"/>
      <c r="TOB58"/>
      <c r="TOC58"/>
      <c r="TOD58"/>
      <c r="TOE58"/>
      <c r="TOF58"/>
      <c r="TOG58"/>
      <c r="TOH58"/>
      <c r="TOI58"/>
      <c r="TOJ58"/>
      <c r="TOK58"/>
      <c r="TOL58"/>
      <c r="TOM58"/>
      <c r="TON58"/>
      <c r="TOO58"/>
      <c r="TOP58"/>
      <c r="TOQ58"/>
      <c r="TOR58"/>
      <c r="TOS58"/>
      <c r="TOT58"/>
      <c r="TOU58"/>
      <c r="TOV58"/>
      <c r="TOW58"/>
      <c r="TOX58"/>
      <c r="TOY58"/>
      <c r="TOZ58"/>
      <c r="TPA58"/>
      <c r="TPB58"/>
      <c r="TPC58"/>
      <c r="TPD58"/>
      <c r="TPE58"/>
      <c r="TPF58"/>
      <c r="TPG58"/>
      <c r="TPH58"/>
      <c r="TPI58"/>
      <c r="TPJ58"/>
      <c r="TPK58"/>
      <c r="TPL58"/>
      <c r="TPM58"/>
      <c r="TPN58"/>
      <c r="TPO58"/>
      <c r="TPP58"/>
      <c r="TPQ58"/>
      <c r="TPR58"/>
      <c r="TPS58"/>
      <c r="TPT58"/>
      <c r="TPU58"/>
      <c r="TPV58"/>
      <c r="TPW58"/>
      <c r="TPX58"/>
      <c r="TPY58"/>
      <c r="TPZ58"/>
      <c r="TQA58"/>
      <c r="TQB58"/>
      <c r="TQC58"/>
      <c r="TQD58"/>
      <c r="TQE58"/>
      <c r="TQF58"/>
      <c r="TQG58"/>
      <c r="TQH58"/>
      <c r="TQI58"/>
      <c r="TQJ58"/>
      <c r="TQK58"/>
      <c r="TQL58"/>
      <c r="TQM58"/>
      <c r="TQN58"/>
      <c r="TQO58"/>
      <c r="TQP58"/>
      <c r="TQQ58"/>
      <c r="TQR58"/>
      <c r="TQS58"/>
      <c r="TQT58"/>
      <c r="TQU58"/>
      <c r="TQV58"/>
      <c r="TQW58"/>
      <c r="TQX58"/>
      <c r="TQY58"/>
      <c r="TQZ58"/>
      <c r="TRA58"/>
      <c r="TRB58"/>
      <c r="TRC58"/>
      <c r="TRD58"/>
      <c r="TRE58"/>
      <c r="TRF58"/>
      <c r="TRG58"/>
      <c r="TRH58"/>
      <c r="TRI58"/>
      <c r="TRJ58"/>
      <c r="TRK58"/>
      <c r="TRL58"/>
      <c r="TRM58"/>
      <c r="TRN58"/>
      <c r="TRO58"/>
      <c r="TRP58"/>
      <c r="TRQ58"/>
      <c r="TRR58"/>
      <c r="TRS58"/>
      <c r="TRT58"/>
      <c r="TRU58"/>
      <c r="TRV58"/>
      <c r="TRW58"/>
      <c r="TRX58"/>
      <c r="TRY58"/>
      <c r="TRZ58"/>
      <c r="TSA58"/>
      <c r="TSB58"/>
      <c r="TSC58"/>
      <c r="TSD58"/>
      <c r="TSE58"/>
      <c r="TSF58"/>
      <c r="TSG58"/>
      <c r="TSH58"/>
      <c r="TSI58"/>
      <c r="TSJ58"/>
      <c r="TSK58"/>
      <c r="TSL58"/>
      <c r="TSM58"/>
      <c r="TSN58"/>
      <c r="TSO58"/>
      <c r="TSP58"/>
      <c r="TSQ58"/>
      <c r="TSR58"/>
      <c r="TSS58"/>
      <c r="TST58"/>
      <c r="TSU58"/>
      <c r="TSV58"/>
      <c r="TSW58"/>
      <c r="TSX58"/>
      <c r="TSY58"/>
      <c r="TSZ58"/>
      <c r="TTA58"/>
      <c r="TTB58"/>
      <c r="TTC58"/>
      <c r="TTD58"/>
      <c r="TTE58"/>
      <c r="TTF58"/>
      <c r="TTG58"/>
      <c r="TTH58"/>
      <c r="TTI58"/>
      <c r="TTJ58"/>
      <c r="TTK58"/>
      <c r="TTL58"/>
      <c r="TTM58"/>
      <c r="TTN58"/>
      <c r="TTO58"/>
      <c r="TTP58"/>
      <c r="TTQ58"/>
      <c r="TTR58"/>
      <c r="TTS58"/>
      <c r="TTT58"/>
      <c r="TTU58"/>
      <c r="TTV58"/>
      <c r="TTW58"/>
      <c r="TTX58"/>
      <c r="TTY58"/>
      <c r="TTZ58"/>
      <c r="TUA58"/>
      <c r="TUB58"/>
      <c r="TUC58"/>
      <c r="TUD58"/>
      <c r="TUE58"/>
      <c r="TUF58"/>
      <c r="TUG58"/>
      <c r="TUH58"/>
      <c r="TUI58"/>
      <c r="TUJ58"/>
      <c r="TUK58"/>
      <c r="TUL58"/>
      <c r="TUM58"/>
      <c r="TUN58"/>
      <c r="TUO58"/>
      <c r="TUP58"/>
      <c r="TUQ58"/>
      <c r="TUR58"/>
      <c r="TUS58"/>
      <c r="TUT58"/>
      <c r="TUU58"/>
      <c r="TUV58"/>
      <c r="TUW58"/>
      <c r="TUX58"/>
      <c r="TUY58"/>
      <c r="TUZ58"/>
      <c r="TVA58"/>
      <c r="TVB58"/>
      <c r="TVC58"/>
      <c r="TVD58"/>
      <c r="TVE58"/>
      <c r="TVF58"/>
      <c r="TVG58"/>
      <c r="TVH58"/>
      <c r="TVI58"/>
      <c r="TVJ58"/>
      <c r="TVK58"/>
      <c r="TVL58"/>
      <c r="TVM58"/>
      <c r="TVN58"/>
      <c r="TVO58"/>
      <c r="TVP58"/>
      <c r="TVQ58"/>
      <c r="TVR58"/>
      <c r="TVS58"/>
      <c r="TVT58"/>
      <c r="TVU58"/>
      <c r="TVV58"/>
      <c r="TVW58"/>
      <c r="TVX58"/>
      <c r="TVY58"/>
      <c r="TVZ58"/>
      <c r="TWA58"/>
      <c r="TWB58"/>
      <c r="TWC58"/>
      <c r="TWD58"/>
      <c r="TWE58"/>
      <c r="TWF58"/>
      <c r="TWG58"/>
      <c r="TWH58"/>
      <c r="TWI58"/>
      <c r="TWJ58"/>
      <c r="TWK58"/>
      <c r="TWL58"/>
      <c r="TWM58"/>
      <c r="TWN58"/>
      <c r="TWO58"/>
      <c r="TWP58"/>
      <c r="TWQ58"/>
      <c r="TWR58"/>
      <c r="TWS58"/>
      <c r="TWT58"/>
      <c r="TWU58"/>
      <c r="TWV58"/>
      <c r="TWW58"/>
      <c r="TWX58"/>
      <c r="TWY58"/>
      <c r="TWZ58"/>
      <c r="TXA58"/>
      <c r="TXB58"/>
      <c r="TXC58"/>
      <c r="TXD58"/>
      <c r="TXE58"/>
      <c r="TXF58"/>
      <c r="TXG58"/>
      <c r="TXH58"/>
      <c r="TXI58"/>
      <c r="TXJ58"/>
      <c r="TXK58"/>
      <c r="TXL58"/>
      <c r="TXM58"/>
      <c r="TXN58"/>
      <c r="TXO58"/>
      <c r="TXP58"/>
      <c r="TXQ58"/>
      <c r="TXR58"/>
      <c r="TXS58"/>
      <c r="TXT58"/>
      <c r="TXU58"/>
      <c r="TXV58"/>
      <c r="TXW58"/>
      <c r="TXX58"/>
      <c r="TXY58"/>
      <c r="TXZ58"/>
      <c r="TYA58"/>
      <c r="TYB58"/>
      <c r="TYC58"/>
      <c r="TYD58"/>
      <c r="TYE58"/>
      <c r="TYF58"/>
      <c r="TYG58"/>
      <c r="TYH58"/>
      <c r="TYI58"/>
      <c r="TYJ58"/>
      <c r="TYK58"/>
      <c r="TYL58"/>
      <c r="TYM58"/>
      <c r="TYN58"/>
      <c r="TYO58"/>
      <c r="TYP58"/>
      <c r="TYQ58"/>
      <c r="TYR58"/>
      <c r="TYS58"/>
      <c r="TYT58"/>
      <c r="TYU58"/>
      <c r="TYV58"/>
      <c r="TYW58"/>
      <c r="TYX58"/>
      <c r="TYY58"/>
      <c r="TYZ58"/>
      <c r="TZA58"/>
      <c r="TZB58"/>
      <c r="TZC58"/>
      <c r="TZD58"/>
      <c r="TZE58"/>
      <c r="TZF58"/>
      <c r="TZG58"/>
      <c r="TZH58"/>
      <c r="TZI58"/>
      <c r="TZJ58"/>
      <c r="TZK58"/>
      <c r="TZL58"/>
      <c r="TZM58"/>
      <c r="TZN58"/>
      <c r="TZO58"/>
      <c r="TZP58"/>
      <c r="TZQ58"/>
      <c r="TZR58"/>
      <c r="TZS58"/>
      <c r="TZT58"/>
      <c r="TZU58"/>
      <c r="TZV58"/>
      <c r="TZW58"/>
      <c r="TZX58"/>
      <c r="TZY58"/>
      <c r="TZZ58"/>
      <c r="UAA58"/>
      <c r="UAB58"/>
      <c r="UAC58"/>
      <c r="UAD58"/>
      <c r="UAE58"/>
      <c r="UAF58"/>
      <c r="UAG58"/>
      <c r="UAH58"/>
      <c r="UAI58"/>
      <c r="UAJ58"/>
      <c r="UAK58"/>
      <c r="UAL58"/>
      <c r="UAM58"/>
      <c r="UAN58"/>
      <c r="UAO58"/>
      <c r="UAP58"/>
      <c r="UAQ58"/>
      <c r="UAR58"/>
      <c r="UAS58"/>
      <c r="UAT58"/>
      <c r="UAU58"/>
      <c r="UAV58"/>
      <c r="UAW58"/>
      <c r="UAX58"/>
      <c r="UAY58"/>
      <c r="UAZ58"/>
      <c r="UBA58"/>
      <c r="UBB58"/>
      <c r="UBC58"/>
      <c r="UBD58"/>
      <c r="UBE58"/>
      <c r="UBF58"/>
      <c r="UBG58"/>
      <c r="UBH58"/>
      <c r="UBI58"/>
      <c r="UBJ58"/>
      <c r="UBK58"/>
      <c r="UBL58"/>
      <c r="UBM58"/>
      <c r="UBN58"/>
      <c r="UBO58"/>
      <c r="UBP58"/>
      <c r="UBQ58"/>
      <c r="UBR58"/>
      <c r="UBS58"/>
      <c r="UBT58"/>
      <c r="UBU58"/>
      <c r="UBV58"/>
      <c r="UBW58"/>
      <c r="UBX58"/>
      <c r="UBY58"/>
      <c r="UBZ58"/>
      <c r="UCA58"/>
      <c r="UCB58"/>
      <c r="UCC58"/>
      <c r="UCD58"/>
      <c r="UCE58"/>
      <c r="UCF58"/>
      <c r="UCG58"/>
      <c r="UCH58"/>
      <c r="UCI58"/>
      <c r="UCJ58"/>
      <c r="UCK58"/>
      <c r="UCL58"/>
      <c r="UCM58"/>
      <c r="UCN58"/>
      <c r="UCO58"/>
      <c r="UCP58"/>
      <c r="UCQ58"/>
      <c r="UCR58"/>
      <c r="UCS58"/>
      <c r="UCT58"/>
      <c r="UCU58"/>
      <c r="UCV58"/>
      <c r="UCW58"/>
      <c r="UCX58"/>
      <c r="UCY58"/>
      <c r="UCZ58"/>
      <c r="UDA58"/>
      <c r="UDB58"/>
      <c r="UDC58"/>
      <c r="UDD58"/>
      <c r="UDE58"/>
      <c r="UDF58"/>
      <c r="UDG58"/>
      <c r="UDH58"/>
      <c r="UDI58"/>
      <c r="UDJ58"/>
      <c r="UDK58"/>
      <c r="UDL58"/>
      <c r="UDM58"/>
      <c r="UDN58"/>
      <c r="UDO58"/>
      <c r="UDP58"/>
      <c r="UDQ58"/>
      <c r="UDR58"/>
      <c r="UDS58"/>
      <c r="UDT58"/>
      <c r="UDU58"/>
      <c r="UDV58"/>
      <c r="UDW58"/>
      <c r="UDX58"/>
      <c r="UDY58"/>
      <c r="UDZ58"/>
      <c r="UEA58"/>
      <c r="UEB58"/>
      <c r="UEC58"/>
      <c r="UED58"/>
      <c r="UEE58"/>
      <c r="UEF58"/>
      <c r="UEG58"/>
      <c r="UEH58"/>
      <c r="UEI58"/>
      <c r="UEJ58"/>
      <c r="UEK58"/>
      <c r="UEL58"/>
      <c r="UEM58"/>
      <c r="UEN58"/>
      <c r="UEO58"/>
      <c r="UEP58"/>
      <c r="UEQ58"/>
      <c r="UER58"/>
      <c r="UES58"/>
      <c r="UET58"/>
      <c r="UEU58"/>
      <c r="UEV58"/>
      <c r="UEW58"/>
      <c r="UEX58"/>
      <c r="UEY58"/>
      <c r="UEZ58"/>
      <c r="UFA58"/>
      <c r="UFB58"/>
      <c r="UFC58"/>
      <c r="UFD58"/>
      <c r="UFE58"/>
      <c r="UFF58"/>
      <c r="UFG58"/>
      <c r="UFH58"/>
      <c r="UFI58"/>
      <c r="UFJ58"/>
      <c r="UFK58"/>
      <c r="UFL58"/>
      <c r="UFM58"/>
      <c r="UFN58"/>
      <c r="UFO58"/>
      <c r="UFP58"/>
      <c r="UFQ58"/>
      <c r="UFR58"/>
      <c r="UFS58"/>
      <c r="UFT58"/>
      <c r="UFU58"/>
      <c r="UFV58"/>
      <c r="UFW58"/>
      <c r="UFX58"/>
      <c r="UFY58"/>
      <c r="UFZ58"/>
      <c r="UGA58"/>
      <c r="UGB58"/>
      <c r="UGC58"/>
      <c r="UGD58"/>
      <c r="UGE58"/>
      <c r="UGF58"/>
      <c r="UGG58"/>
      <c r="UGH58"/>
      <c r="UGI58"/>
      <c r="UGJ58"/>
      <c r="UGK58"/>
      <c r="UGL58"/>
      <c r="UGM58"/>
      <c r="UGN58"/>
      <c r="UGO58"/>
      <c r="UGP58"/>
      <c r="UGQ58"/>
      <c r="UGR58"/>
      <c r="UGS58"/>
      <c r="UGT58"/>
      <c r="UGU58"/>
      <c r="UGV58"/>
      <c r="UGW58"/>
      <c r="UGX58"/>
      <c r="UGY58"/>
      <c r="UGZ58"/>
      <c r="UHA58"/>
      <c r="UHB58"/>
      <c r="UHC58"/>
      <c r="UHD58"/>
      <c r="UHE58"/>
      <c r="UHF58"/>
      <c r="UHG58"/>
      <c r="UHH58"/>
      <c r="UHI58"/>
      <c r="UHJ58"/>
      <c r="UHK58"/>
      <c r="UHL58"/>
      <c r="UHM58"/>
      <c r="UHN58"/>
      <c r="UHO58"/>
      <c r="UHP58"/>
      <c r="UHQ58"/>
      <c r="UHR58"/>
      <c r="UHS58"/>
      <c r="UHT58"/>
      <c r="UHU58"/>
      <c r="UHV58"/>
      <c r="UHW58"/>
      <c r="UHX58"/>
      <c r="UHY58"/>
      <c r="UHZ58"/>
      <c r="UIA58"/>
      <c r="UIB58"/>
      <c r="UIC58"/>
      <c r="UID58"/>
      <c r="UIE58"/>
      <c r="UIF58"/>
      <c r="UIG58"/>
      <c r="UIH58"/>
      <c r="UII58"/>
      <c r="UIJ58"/>
      <c r="UIK58"/>
      <c r="UIL58"/>
      <c r="UIM58"/>
      <c r="UIN58"/>
      <c r="UIO58"/>
      <c r="UIP58"/>
      <c r="UIQ58"/>
      <c r="UIR58"/>
      <c r="UIS58"/>
      <c r="UIT58"/>
      <c r="UIU58"/>
      <c r="UIV58"/>
      <c r="UIW58"/>
      <c r="UIX58"/>
      <c r="UIY58"/>
      <c r="UIZ58"/>
      <c r="UJA58"/>
      <c r="UJB58"/>
      <c r="UJC58"/>
      <c r="UJD58"/>
      <c r="UJE58"/>
      <c r="UJF58"/>
      <c r="UJG58"/>
      <c r="UJH58"/>
      <c r="UJI58"/>
      <c r="UJJ58"/>
      <c r="UJK58"/>
      <c r="UJL58"/>
      <c r="UJM58"/>
      <c r="UJN58"/>
      <c r="UJO58"/>
      <c r="UJP58"/>
      <c r="UJQ58"/>
      <c r="UJR58"/>
      <c r="UJS58"/>
      <c r="UJT58"/>
      <c r="UJU58"/>
      <c r="UJV58"/>
      <c r="UJW58"/>
      <c r="UJX58"/>
      <c r="UJY58"/>
      <c r="UJZ58"/>
      <c r="UKA58"/>
      <c r="UKB58"/>
      <c r="UKC58"/>
      <c r="UKD58"/>
      <c r="UKE58"/>
      <c r="UKF58"/>
      <c r="UKG58"/>
      <c r="UKH58"/>
      <c r="UKI58"/>
      <c r="UKJ58"/>
      <c r="UKK58"/>
      <c r="UKL58"/>
      <c r="UKM58"/>
      <c r="UKN58"/>
      <c r="UKO58"/>
      <c r="UKP58"/>
      <c r="UKQ58"/>
      <c r="UKR58"/>
      <c r="UKS58"/>
      <c r="UKT58"/>
      <c r="UKU58"/>
      <c r="UKV58"/>
      <c r="UKW58"/>
      <c r="UKX58"/>
      <c r="UKY58"/>
      <c r="UKZ58"/>
      <c r="ULA58"/>
      <c r="ULB58"/>
      <c r="ULC58"/>
      <c r="ULD58"/>
      <c r="ULE58"/>
      <c r="ULF58"/>
      <c r="ULG58"/>
      <c r="ULH58"/>
      <c r="ULI58"/>
      <c r="ULJ58"/>
      <c r="ULK58"/>
      <c r="ULL58"/>
      <c r="ULM58"/>
      <c r="ULN58"/>
      <c r="ULO58"/>
      <c r="ULP58"/>
      <c r="ULQ58"/>
      <c r="ULR58"/>
      <c r="ULS58"/>
      <c r="ULT58"/>
      <c r="ULU58"/>
      <c r="ULV58"/>
      <c r="ULW58"/>
      <c r="ULX58"/>
      <c r="ULY58"/>
      <c r="ULZ58"/>
      <c r="UMA58"/>
      <c r="UMB58"/>
      <c r="UMC58"/>
      <c r="UMD58"/>
      <c r="UME58"/>
      <c r="UMF58"/>
      <c r="UMG58"/>
      <c r="UMH58"/>
      <c r="UMI58"/>
      <c r="UMJ58"/>
      <c r="UMK58"/>
      <c r="UML58"/>
      <c r="UMM58"/>
      <c r="UMN58"/>
      <c r="UMO58"/>
      <c r="UMP58"/>
      <c r="UMQ58"/>
      <c r="UMR58"/>
      <c r="UMS58"/>
      <c r="UMT58"/>
      <c r="UMU58"/>
      <c r="UMV58"/>
      <c r="UMW58"/>
      <c r="UMX58"/>
      <c r="UMY58"/>
      <c r="UMZ58"/>
      <c r="UNA58"/>
      <c r="UNB58"/>
      <c r="UNC58"/>
      <c r="UND58"/>
      <c r="UNE58"/>
      <c r="UNF58"/>
      <c r="UNG58"/>
      <c r="UNH58"/>
      <c r="UNI58"/>
      <c r="UNJ58"/>
      <c r="UNK58"/>
      <c r="UNL58"/>
      <c r="UNM58"/>
      <c r="UNN58"/>
      <c r="UNO58"/>
      <c r="UNP58"/>
      <c r="UNQ58"/>
      <c r="UNR58"/>
      <c r="UNS58"/>
      <c r="UNT58"/>
      <c r="UNU58"/>
      <c r="UNV58"/>
      <c r="UNW58"/>
      <c r="UNX58"/>
      <c r="UNY58"/>
      <c r="UNZ58"/>
      <c r="UOA58"/>
      <c r="UOB58"/>
      <c r="UOC58"/>
      <c r="UOD58"/>
      <c r="UOE58"/>
      <c r="UOF58"/>
      <c r="UOG58"/>
      <c r="UOH58"/>
      <c r="UOI58"/>
      <c r="UOJ58"/>
      <c r="UOK58"/>
      <c r="UOL58"/>
      <c r="UOM58"/>
      <c r="UON58"/>
      <c r="UOO58"/>
      <c r="UOP58"/>
      <c r="UOQ58"/>
      <c r="UOR58"/>
      <c r="UOS58"/>
      <c r="UOT58"/>
      <c r="UOU58"/>
      <c r="UOV58"/>
      <c r="UOW58"/>
      <c r="UOX58"/>
      <c r="UOY58"/>
      <c r="UOZ58"/>
      <c r="UPA58"/>
      <c r="UPB58"/>
      <c r="UPC58"/>
      <c r="UPD58"/>
      <c r="UPE58"/>
      <c r="UPF58"/>
      <c r="UPG58"/>
      <c r="UPH58"/>
      <c r="UPI58"/>
      <c r="UPJ58"/>
      <c r="UPK58"/>
      <c r="UPL58"/>
      <c r="UPM58"/>
      <c r="UPN58"/>
      <c r="UPO58"/>
      <c r="UPP58"/>
      <c r="UPQ58"/>
      <c r="UPR58"/>
      <c r="UPS58"/>
      <c r="UPT58"/>
      <c r="UPU58"/>
      <c r="UPV58"/>
      <c r="UPW58"/>
      <c r="UPX58"/>
      <c r="UPY58"/>
      <c r="UPZ58"/>
      <c r="UQA58"/>
      <c r="UQB58"/>
      <c r="UQC58"/>
      <c r="UQD58"/>
      <c r="UQE58"/>
      <c r="UQF58"/>
      <c r="UQG58"/>
      <c r="UQH58"/>
      <c r="UQI58"/>
      <c r="UQJ58"/>
      <c r="UQK58"/>
      <c r="UQL58"/>
      <c r="UQM58"/>
      <c r="UQN58"/>
      <c r="UQO58"/>
      <c r="UQP58"/>
      <c r="UQQ58"/>
      <c r="UQR58"/>
      <c r="UQS58"/>
      <c r="UQT58"/>
      <c r="UQU58"/>
      <c r="UQV58"/>
      <c r="UQW58"/>
      <c r="UQX58"/>
      <c r="UQY58"/>
      <c r="UQZ58"/>
      <c r="URA58"/>
      <c r="URB58"/>
      <c r="URC58"/>
      <c r="URD58"/>
      <c r="URE58"/>
      <c r="URF58"/>
      <c r="URG58"/>
      <c r="URH58"/>
      <c r="URI58"/>
      <c r="URJ58"/>
      <c r="URK58"/>
      <c r="URL58"/>
      <c r="URM58"/>
      <c r="URN58"/>
      <c r="URO58"/>
      <c r="URP58"/>
      <c r="URQ58"/>
      <c r="URR58"/>
      <c r="URS58"/>
      <c r="URT58"/>
      <c r="URU58"/>
      <c r="URV58"/>
      <c r="URW58"/>
      <c r="URX58"/>
      <c r="URY58"/>
      <c r="URZ58"/>
      <c r="USA58"/>
      <c r="USB58"/>
      <c r="USC58"/>
      <c r="USD58"/>
      <c r="USE58"/>
      <c r="USF58"/>
      <c r="USG58"/>
      <c r="USH58"/>
      <c r="USI58"/>
      <c r="USJ58"/>
      <c r="USK58"/>
      <c r="USL58"/>
      <c r="USM58"/>
      <c r="USN58"/>
      <c r="USO58"/>
      <c r="USP58"/>
      <c r="USQ58"/>
      <c r="USR58"/>
      <c r="USS58"/>
      <c r="UST58"/>
      <c r="USU58"/>
      <c r="USV58"/>
      <c r="USW58"/>
      <c r="USX58"/>
      <c r="USY58"/>
      <c r="USZ58"/>
      <c r="UTA58"/>
      <c r="UTB58"/>
      <c r="UTC58"/>
      <c r="UTD58"/>
      <c r="UTE58"/>
      <c r="UTF58"/>
      <c r="UTG58"/>
      <c r="UTH58"/>
      <c r="UTI58"/>
      <c r="UTJ58"/>
      <c r="UTK58"/>
      <c r="UTL58"/>
      <c r="UTM58"/>
      <c r="UTN58"/>
      <c r="UTO58"/>
      <c r="UTP58"/>
      <c r="UTQ58"/>
      <c r="UTR58"/>
      <c r="UTS58"/>
      <c r="UTT58"/>
      <c r="UTU58"/>
      <c r="UTV58"/>
      <c r="UTW58"/>
      <c r="UTX58"/>
      <c r="UTY58"/>
      <c r="UTZ58"/>
      <c r="UUA58"/>
      <c r="UUB58"/>
      <c r="UUC58"/>
      <c r="UUD58"/>
      <c r="UUE58"/>
      <c r="UUF58"/>
      <c r="UUG58"/>
      <c r="UUH58"/>
      <c r="UUI58"/>
      <c r="UUJ58"/>
      <c r="UUK58"/>
      <c r="UUL58"/>
      <c r="UUM58"/>
      <c r="UUN58"/>
      <c r="UUO58"/>
      <c r="UUP58"/>
      <c r="UUQ58"/>
      <c r="UUR58"/>
      <c r="UUS58"/>
      <c r="UUT58"/>
      <c r="UUU58"/>
      <c r="UUV58"/>
      <c r="UUW58"/>
      <c r="UUX58"/>
      <c r="UUY58"/>
      <c r="UUZ58"/>
      <c r="UVA58"/>
      <c r="UVB58"/>
      <c r="UVC58"/>
      <c r="UVD58"/>
      <c r="UVE58"/>
      <c r="UVF58"/>
      <c r="UVG58"/>
      <c r="UVH58"/>
      <c r="UVI58"/>
      <c r="UVJ58"/>
      <c r="UVK58"/>
      <c r="UVL58"/>
      <c r="UVM58"/>
      <c r="UVN58"/>
      <c r="UVO58"/>
      <c r="UVP58"/>
      <c r="UVQ58"/>
      <c r="UVR58"/>
      <c r="UVS58"/>
      <c r="UVT58"/>
      <c r="UVU58"/>
      <c r="UVV58"/>
      <c r="UVW58"/>
      <c r="UVX58"/>
      <c r="UVY58"/>
      <c r="UVZ58"/>
      <c r="UWA58"/>
      <c r="UWB58"/>
      <c r="UWC58"/>
      <c r="UWD58"/>
      <c r="UWE58"/>
      <c r="UWF58"/>
      <c r="UWG58"/>
      <c r="UWH58"/>
      <c r="UWI58"/>
      <c r="UWJ58"/>
      <c r="UWK58"/>
      <c r="UWL58"/>
      <c r="UWM58"/>
      <c r="UWN58"/>
      <c r="UWO58"/>
      <c r="UWP58"/>
      <c r="UWQ58"/>
      <c r="UWR58"/>
      <c r="UWS58"/>
      <c r="UWT58"/>
      <c r="UWU58"/>
      <c r="UWV58"/>
      <c r="UWW58"/>
      <c r="UWX58"/>
      <c r="UWY58"/>
      <c r="UWZ58"/>
      <c r="UXA58"/>
      <c r="UXB58"/>
      <c r="UXC58"/>
      <c r="UXD58"/>
      <c r="UXE58"/>
      <c r="UXF58"/>
      <c r="UXG58"/>
      <c r="UXH58"/>
      <c r="UXI58"/>
      <c r="UXJ58"/>
      <c r="UXK58"/>
      <c r="UXL58"/>
      <c r="UXM58"/>
      <c r="UXN58"/>
      <c r="UXO58"/>
      <c r="UXP58"/>
      <c r="UXQ58"/>
      <c r="UXR58"/>
      <c r="UXS58"/>
      <c r="UXT58"/>
      <c r="UXU58"/>
      <c r="UXV58"/>
      <c r="UXW58"/>
      <c r="UXX58"/>
      <c r="UXY58"/>
      <c r="UXZ58"/>
      <c r="UYA58"/>
      <c r="UYB58"/>
      <c r="UYC58"/>
      <c r="UYD58"/>
      <c r="UYE58"/>
      <c r="UYF58"/>
      <c r="UYG58"/>
      <c r="UYH58"/>
      <c r="UYI58"/>
      <c r="UYJ58"/>
      <c r="UYK58"/>
      <c r="UYL58"/>
      <c r="UYM58"/>
      <c r="UYN58"/>
      <c r="UYO58"/>
      <c r="UYP58"/>
      <c r="UYQ58"/>
      <c r="UYR58"/>
      <c r="UYS58"/>
      <c r="UYT58"/>
      <c r="UYU58"/>
      <c r="UYV58"/>
      <c r="UYW58"/>
      <c r="UYX58"/>
      <c r="UYY58"/>
      <c r="UYZ58"/>
      <c r="UZA58"/>
      <c r="UZB58"/>
      <c r="UZC58"/>
      <c r="UZD58"/>
      <c r="UZE58"/>
      <c r="UZF58"/>
      <c r="UZG58"/>
      <c r="UZH58"/>
      <c r="UZI58"/>
      <c r="UZJ58"/>
      <c r="UZK58"/>
      <c r="UZL58"/>
      <c r="UZM58"/>
      <c r="UZN58"/>
      <c r="UZO58"/>
      <c r="UZP58"/>
      <c r="UZQ58"/>
      <c r="UZR58"/>
      <c r="UZS58"/>
      <c r="UZT58"/>
      <c r="UZU58"/>
      <c r="UZV58"/>
      <c r="UZW58"/>
      <c r="UZX58"/>
      <c r="UZY58"/>
      <c r="UZZ58"/>
      <c r="VAA58"/>
      <c r="VAB58"/>
      <c r="VAC58"/>
      <c r="VAD58"/>
      <c r="VAE58"/>
      <c r="VAF58"/>
      <c r="VAG58"/>
      <c r="VAH58"/>
      <c r="VAI58"/>
      <c r="VAJ58"/>
      <c r="VAK58"/>
      <c r="VAL58"/>
      <c r="VAM58"/>
      <c r="VAN58"/>
      <c r="VAO58"/>
      <c r="VAP58"/>
      <c r="VAQ58"/>
      <c r="VAR58"/>
      <c r="VAS58"/>
      <c r="VAT58"/>
      <c r="VAU58"/>
      <c r="VAV58"/>
      <c r="VAW58"/>
      <c r="VAX58"/>
      <c r="VAY58"/>
      <c r="VAZ58"/>
      <c r="VBA58"/>
      <c r="VBB58"/>
      <c r="VBC58"/>
      <c r="VBD58"/>
      <c r="VBE58"/>
      <c r="VBF58"/>
      <c r="VBG58"/>
      <c r="VBH58"/>
      <c r="VBI58"/>
      <c r="VBJ58"/>
      <c r="VBK58"/>
      <c r="VBL58"/>
      <c r="VBM58"/>
      <c r="VBN58"/>
      <c r="VBO58"/>
      <c r="VBP58"/>
      <c r="VBQ58"/>
      <c r="VBR58"/>
      <c r="VBS58"/>
      <c r="VBT58"/>
      <c r="VBU58"/>
      <c r="VBV58"/>
      <c r="VBW58"/>
      <c r="VBX58"/>
      <c r="VBY58"/>
      <c r="VBZ58"/>
      <c r="VCA58"/>
      <c r="VCB58"/>
      <c r="VCC58"/>
      <c r="VCD58"/>
      <c r="VCE58"/>
      <c r="VCF58"/>
      <c r="VCG58"/>
      <c r="VCH58"/>
      <c r="VCI58"/>
      <c r="VCJ58"/>
      <c r="VCK58"/>
      <c r="VCL58"/>
      <c r="VCM58"/>
      <c r="VCN58"/>
      <c r="VCO58"/>
      <c r="VCP58"/>
      <c r="VCQ58"/>
      <c r="VCR58"/>
      <c r="VCS58"/>
      <c r="VCT58"/>
      <c r="VCU58"/>
      <c r="VCV58"/>
      <c r="VCW58"/>
      <c r="VCX58"/>
      <c r="VCY58"/>
      <c r="VCZ58"/>
      <c r="VDA58"/>
      <c r="VDB58"/>
      <c r="VDC58"/>
      <c r="VDD58"/>
      <c r="VDE58"/>
      <c r="VDF58"/>
      <c r="VDG58"/>
      <c r="VDH58"/>
      <c r="VDI58"/>
      <c r="VDJ58"/>
      <c r="VDK58"/>
      <c r="VDL58"/>
      <c r="VDM58"/>
      <c r="VDN58"/>
      <c r="VDO58"/>
      <c r="VDP58"/>
      <c r="VDQ58"/>
      <c r="VDR58"/>
      <c r="VDS58"/>
      <c r="VDT58"/>
      <c r="VDU58"/>
      <c r="VDV58"/>
      <c r="VDW58"/>
      <c r="VDX58"/>
      <c r="VDY58"/>
      <c r="VDZ58"/>
      <c r="VEA58"/>
      <c r="VEB58"/>
      <c r="VEC58"/>
      <c r="VED58"/>
      <c r="VEE58"/>
      <c r="VEF58"/>
      <c r="VEG58"/>
      <c r="VEH58"/>
      <c r="VEI58"/>
      <c r="VEJ58"/>
      <c r="VEK58"/>
      <c r="VEL58"/>
      <c r="VEM58"/>
      <c r="VEN58"/>
      <c r="VEO58"/>
      <c r="VEP58"/>
      <c r="VEQ58"/>
      <c r="VER58"/>
      <c r="VES58"/>
      <c r="VET58"/>
      <c r="VEU58"/>
      <c r="VEV58"/>
      <c r="VEW58"/>
      <c r="VEX58"/>
      <c r="VEY58"/>
      <c r="VEZ58"/>
      <c r="VFA58"/>
      <c r="VFB58"/>
      <c r="VFC58"/>
      <c r="VFD58"/>
      <c r="VFE58"/>
      <c r="VFF58"/>
      <c r="VFG58"/>
      <c r="VFH58"/>
      <c r="VFI58"/>
      <c r="VFJ58"/>
      <c r="VFK58"/>
      <c r="VFL58"/>
      <c r="VFM58"/>
      <c r="VFN58"/>
      <c r="VFO58"/>
      <c r="VFP58"/>
      <c r="VFQ58"/>
      <c r="VFR58"/>
      <c r="VFS58"/>
      <c r="VFT58"/>
      <c r="VFU58"/>
      <c r="VFV58"/>
      <c r="VFW58"/>
      <c r="VFX58"/>
      <c r="VFY58"/>
      <c r="VFZ58"/>
      <c r="VGA58"/>
      <c r="VGB58"/>
      <c r="VGC58"/>
      <c r="VGD58"/>
      <c r="VGE58"/>
      <c r="VGF58"/>
      <c r="VGG58"/>
      <c r="VGH58"/>
      <c r="VGI58"/>
      <c r="VGJ58"/>
      <c r="VGK58"/>
      <c r="VGL58"/>
      <c r="VGM58"/>
      <c r="VGN58"/>
      <c r="VGO58"/>
      <c r="VGP58"/>
      <c r="VGQ58"/>
      <c r="VGR58"/>
      <c r="VGS58"/>
      <c r="VGT58"/>
      <c r="VGU58"/>
      <c r="VGV58"/>
      <c r="VGW58"/>
      <c r="VGX58"/>
      <c r="VGY58"/>
      <c r="VGZ58"/>
      <c r="VHA58"/>
      <c r="VHB58"/>
      <c r="VHC58"/>
      <c r="VHD58"/>
      <c r="VHE58"/>
      <c r="VHF58"/>
      <c r="VHG58"/>
      <c r="VHH58"/>
      <c r="VHI58"/>
      <c r="VHJ58"/>
      <c r="VHK58"/>
      <c r="VHL58"/>
      <c r="VHM58"/>
      <c r="VHN58"/>
      <c r="VHO58"/>
      <c r="VHP58"/>
      <c r="VHQ58"/>
      <c r="VHR58"/>
      <c r="VHS58"/>
      <c r="VHT58"/>
      <c r="VHU58"/>
      <c r="VHV58"/>
      <c r="VHW58"/>
      <c r="VHX58"/>
      <c r="VHY58"/>
      <c r="VHZ58"/>
      <c r="VIA58"/>
      <c r="VIB58"/>
      <c r="VIC58"/>
      <c r="VID58"/>
      <c r="VIE58"/>
      <c r="VIF58"/>
      <c r="VIG58"/>
      <c r="VIH58"/>
      <c r="VII58"/>
      <c r="VIJ58"/>
      <c r="VIK58"/>
      <c r="VIL58"/>
      <c r="VIM58"/>
      <c r="VIN58"/>
      <c r="VIO58"/>
      <c r="VIP58"/>
      <c r="VIQ58"/>
      <c r="VIR58"/>
      <c r="VIS58"/>
      <c r="VIT58"/>
      <c r="VIU58"/>
      <c r="VIV58"/>
      <c r="VIW58"/>
      <c r="VIX58"/>
      <c r="VIY58"/>
      <c r="VIZ58"/>
      <c r="VJA58"/>
      <c r="VJB58"/>
      <c r="VJC58"/>
      <c r="VJD58"/>
      <c r="VJE58"/>
      <c r="VJF58"/>
      <c r="VJG58"/>
      <c r="VJH58"/>
      <c r="VJI58"/>
      <c r="VJJ58"/>
      <c r="VJK58"/>
      <c r="VJL58"/>
      <c r="VJM58"/>
      <c r="VJN58"/>
      <c r="VJO58"/>
      <c r="VJP58"/>
      <c r="VJQ58"/>
      <c r="VJR58"/>
      <c r="VJS58"/>
      <c r="VJT58"/>
      <c r="VJU58"/>
      <c r="VJV58"/>
      <c r="VJW58"/>
      <c r="VJX58"/>
      <c r="VJY58"/>
      <c r="VJZ58"/>
      <c r="VKA58"/>
      <c r="VKB58"/>
      <c r="VKC58"/>
      <c r="VKD58"/>
      <c r="VKE58"/>
      <c r="VKF58"/>
      <c r="VKG58"/>
      <c r="VKH58"/>
      <c r="VKI58"/>
      <c r="VKJ58"/>
      <c r="VKK58"/>
      <c r="VKL58"/>
      <c r="VKM58"/>
      <c r="VKN58"/>
      <c r="VKO58"/>
      <c r="VKP58"/>
      <c r="VKQ58"/>
      <c r="VKR58"/>
      <c r="VKS58"/>
      <c r="VKT58"/>
      <c r="VKU58"/>
      <c r="VKV58"/>
      <c r="VKW58"/>
      <c r="VKX58"/>
      <c r="VKY58"/>
      <c r="VKZ58"/>
      <c r="VLA58"/>
      <c r="VLB58"/>
      <c r="VLC58"/>
      <c r="VLD58"/>
      <c r="VLE58"/>
      <c r="VLF58"/>
      <c r="VLG58"/>
      <c r="VLH58"/>
      <c r="VLI58"/>
      <c r="VLJ58"/>
      <c r="VLK58"/>
      <c r="VLL58"/>
      <c r="VLM58"/>
      <c r="VLN58"/>
      <c r="VLO58"/>
      <c r="VLP58"/>
      <c r="VLQ58"/>
      <c r="VLR58"/>
      <c r="VLS58"/>
      <c r="VLT58"/>
      <c r="VLU58"/>
      <c r="VLV58"/>
      <c r="VLW58"/>
      <c r="VLX58"/>
      <c r="VLY58"/>
      <c r="VLZ58"/>
      <c r="VMA58"/>
      <c r="VMB58"/>
      <c r="VMC58"/>
      <c r="VMD58"/>
      <c r="VME58"/>
      <c r="VMF58"/>
      <c r="VMG58"/>
      <c r="VMH58"/>
      <c r="VMI58"/>
      <c r="VMJ58"/>
      <c r="VMK58"/>
      <c r="VML58"/>
      <c r="VMM58"/>
      <c r="VMN58"/>
      <c r="VMO58"/>
      <c r="VMP58"/>
      <c r="VMQ58"/>
      <c r="VMR58"/>
      <c r="VMS58"/>
      <c r="VMT58"/>
      <c r="VMU58"/>
      <c r="VMV58"/>
      <c r="VMW58"/>
      <c r="VMX58"/>
      <c r="VMY58"/>
      <c r="VMZ58"/>
      <c r="VNA58"/>
      <c r="VNB58"/>
      <c r="VNC58"/>
      <c r="VND58"/>
      <c r="VNE58"/>
      <c r="VNF58"/>
      <c r="VNG58"/>
      <c r="VNH58"/>
      <c r="VNI58"/>
      <c r="VNJ58"/>
      <c r="VNK58"/>
      <c r="VNL58"/>
      <c r="VNM58"/>
      <c r="VNN58"/>
      <c r="VNO58"/>
      <c r="VNP58"/>
      <c r="VNQ58"/>
      <c r="VNR58"/>
      <c r="VNS58"/>
      <c r="VNT58"/>
      <c r="VNU58"/>
      <c r="VNV58"/>
      <c r="VNW58"/>
      <c r="VNX58"/>
      <c r="VNY58"/>
      <c r="VNZ58"/>
      <c r="VOA58"/>
      <c r="VOB58"/>
      <c r="VOC58"/>
      <c r="VOD58"/>
      <c r="VOE58"/>
      <c r="VOF58"/>
      <c r="VOG58"/>
      <c r="VOH58"/>
      <c r="VOI58"/>
      <c r="VOJ58"/>
      <c r="VOK58"/>
      <c r="VOL58"/>
      <c r="VOM58"/>
      <c r="VON58"/>
      <c r="VOO58"/>
      <c r="VOP58"/>
      <c r="VOQ58"/>
      <c r="VOR58"/>
      <c r="VOS58"/>
      <c r="VOT58"/>
      <c r="VOU58"/>
      <c r="VOV58"/>
      <c r="VOW58"/>
      <c r="VOX58"/>
      <c r="VOY58"/>
      <c r="VOZ58"/>
      <c r="VPA58"/>
      <c r="VPB58"/>
      <c r="VPC58"/>
      <c r="VPD58"/>
      <c r="VPE58"/>
      <c r="VPF58"/>
      <c r="VPG58"/>
      <c r="VPH58"/>
      <c r="VPI58"/>
      <c r="VPJ58"/>
      <c r="VPK58"/>
      <c r="VPL58"/>
      <c r="VPM58"/>
      <c r="VPN58"/>
      <c r="VPO58"/>
      <c r="VPP58"/>
      <c r="VPQ58"/>
      <c r="VPR58"/>
      <c r="VPS58"/>
      <c r="VPT58"/>
      <c r="VPU58"/>
      <c r="VPV58"/>
      <c r="VPW58"/>
      <c r="VPX58"/>
      <c r="VPY58"/>
      <c r="VPZ58"/>
      <c r="VQA58"/>
      <c r="VQB58"/>
      <c r="VQC58"/>
      <c r="VQD58"/>
      <c r="VQE58"/>
      <c r="VQF58"/>
      <c r="VQG58"/>
      <c r="VQH58"/>
      <c r="VQI58"/>
      <c r="VQJ58"/>
      <c r="VQK58"/>
      <c r="VQL58"/>
      <c r="VQM58"/>
      <c r="VQN58"/>
      <c r="VQO58"/>
      <c r="VQP58"/>
      <c r="VQQ58"/>
      <c r="VQR58"/>
      <c r="VQS58"/>
      <c r="VQT58"/>
      <c r="VQU58"/>
      <c r="VQV58"/>
      <c r="VQW58"/>
      <c r="VQX58"/>
      <c r="VQY58"/>
      <c r="VQZ58"/>
      <c r="VRA58"/>
      <c r="VRB58"/>
      <c r="VRC58"/>
      <c r="VRD58"/>
      <c r="VRE58"/>
      <c r="VRF58"/>
      <c r="VRG58"/>
      <c r="VRH58"/>
      <c r="VRI58"/>
      <c r="VRJ58"/>
      <c r="VRK58"/>
      <c r="VRL58"/>
      <c r="VRM58"/>
      <c r="VRN58"/>
      <c r="VRO58"/>
      <c r="VRP58"/>
      <c r="VRQ58"/>
      <c r="VRR58"/>
      <c r="VRS58"/>
      <c r="VRT58"/>
      <c r="VRU58"/>
      <c r="VRV58"/>
      <c r="VRW58"/>
      <c r="VRX58"/>
      <c r="VRY58"/>
      <c r="VRZ58"/>
      <c r="VSA58"/>
      <c r="VSB58"/>
      <c r="VSC58"/>
      <c r="VSD58"/>
      <c r="VSE58"/>
      <c r="VSF58"/>
      <c r="VSG58"/>
      <c r="VSH58"/>
      <c r="VSI58"/>
      <c r="VSJ58"/>
      <c r="VSK58"/>
      <c r="VSL58"/>
      <c r="VSM58"/>
      <c r="VSN58"/>
      <c r="VSO58"/>
      <c r="VSP58"/>
      <c r="VSQ58"/>
      <c r="VSR58"/>
      <c r="VSS58"/>
      <c r="VST58"/>
      <c r="VSU58"/>
      <c r="VSV58"/>
      <c r="VSW58"/>
      <c r="VSX58"/>
      <c r="VSY58"/>
      <c r="VSZ58"/>
      <c r="VTA58"/>
      <c r="VTB58"/>
      <c r="VTC58"/>
      <c r="VTD58"/>
      <c r="VTE58"/>
      <c r="VTF58"/>
      <c r="VTG58"/>
      <c r="VTH58"/>
      <c r="VTI58"/>
      <c r="VTJ58"/>
      <c r="VTK58"/>
      <c r="VTL58"/>
      <c r="VTM58"/>
      <c r="VTN58"/>
      <c r="VTO58"/>
      <c r="VTP58"/>
      <c r="VTQ58"/>
      <c r="VTR58"/>
      <c r="VTS58"/>
      <c r="VTT58"/>
      <c r="VTU58"/>
      <c r="VTV58"/>
      <c r="VTW58"/>
      <c r="VTX58"/>
      <c r="VTY58"/>
      <c r="VTZ58"/>
      <c r="VUA58"/>
      <c r="VUB58"/>
      <c r="VUC58"/>
      <c r="VUD58"/>
      <c r="VUE58"/>
      <c r="VUF58"/>
      <c r="VUG58"/>
      <c r="VUH58"/>
      <c r="VUI58"/>
      <c r="VUJ58"/>
      <c r="VUK58"/>
      <c r="VUL58"/>
      <c r="VUM58"/>
      <c r="VUN58"/>
      <c r="VUO58"/>
      <c r="VUP58"/>
      <c r="VUQ58"/>
      <c r="VUR58"/>
      <c r="VUS58"/>
      <c r="VUT58"/>
      <c r="VUU58"/>
      <c r="VUV58"/>
      <c r="VUW58"/>
      <c r="VUX58"/>
      <c r="VUY58"/>
      <c r="VUZ58"/>
      <c r="VVA58"/>
      <c r="VVB58"/>
      <c r="VVC58"/>
      <c r="VVD58"/>
      <c r="VVE58"/>
      <c r="VVF58"/>
      <c r="VVG58"/>
      <c r="VVH58"/>
      <c r="VVI58"/>
      <c r="VVJ58"/>
      <c r="VVK58"/>
      <c r="VVL58"/>
      <c r="VVM58"/>
      <c r="VVN58"/>
      <c r="VVO58"/>
      <c r="VVP58"/>
      <c r="VVQ58"/>
      <c r="VVR58"/>
      <c r="VVS58"/>
      <c r="VVT58"/>
      <c r="VVU58"/>
      <c r="VVV58"/>
      <c r="VVW58"/>
      <c r="VVX58"/>
      <c r="VVY58"/>
      <c r="VVZ58"/>
      <c r="VWA58"/>
      <c r="VWB58"/>
      <c r="VWC58"/>
      <c r="VWD58"/>
      <c r="VWE58"/>
      <c r="VWF58"/>
      <c r="VWG58"/>
      <c r="VWH58"/>
      <c r="VWI58"/>
      <c r="VWJ58"/>
      <c r="VWK58"/>
      <c r="VWL58"/>
      <c r="VWM58"/>
      <c r="VWN58"/>
      <c r="VWO58"/>
      <c r="VWP58"/>
      <c r="VWQ58"/>
      <c r="VWR58"/>
      <c r="VWS58"/>
      <c r="VWT58"/>
      <c r="VWU58"/>
      <c r="VWV58"/>
      <c r="VWW58"/>
      <c r="VWX58"/>
      <c r="VWY58"/>
      <c r="VWZ58"/>
      <c r="VXA58"/>
      <c r="VXB58"/>
      <c r="VXC58"/>
      <c r="VXD58"/>
      <c r="VXE58"/>
      <c r="VXF58"/>
      <c r="VXG58"/>
      <c r="VXH58"/>
      <c r="VXI58"/>
      <c r="VXJ58"/>
      <c r="VXK58"/>
      <c r="VXL58"/>
      <c r="VXM58"/>
      <c r="VXN58"/>
      <c r="VXO58"/>
      <c r="VXP58"/>
      <c r="VXQ58"/>
      <c r="VXR58"/>
      <c r="VXS58"/>
      <c r="VXT58"/>
      <c r="VXU58"/>
      <c r="VXV58"/>
      <c r="VXW58"/>
      <c r="VXX58"/>
      <c r="VXY58"/>
      <c r="VXZ58"/>
      <c r="VYA58"/>
      <c r="VYB58"/>
      <c r="VYC58"/>
      <c r="VYD58"/>
      <c r="VYE58"/>
      <c r="VYF58"/>
      <c r="VYG58"/>
      <c r="VYH58"/>
      <c r="VYI58"/>
      <c r="VYJ58"/>
      <c r="VYK58"/>
      <c r="VYL58"/>
      <c r="VYM58"/>
      <c r="VYN58"/>
      <c r="VYO58"/>
      <c r="VYP58"/>
      <c r="VYQ58"/>
      <c r="VYR58"/>
      <c r="VYS58"/>
      <c r="VYT58"/>
      <c r="VYU58"/>
      <c r="VYV58"/>
      <c r="VYW58"/>
      <c r="VYX58"/>
      <c r="VYY58"/>
      <c r="VYZ58"/>
      <c r="VZA58"/>
      <c r="VZB58"/>
      <c r="VZC58"/>
      <c r="VZD58"/>
      <c r="VZE58"/>
      <c r="VZF58"/>
      <c r="VZG58"/>
      <c r="VZH58"/>
      <c r="VZI58"/>
      <c r="VZJ58"/>
      <c r="VZK58"/>
      <c r="VZL58"/>
      <c r="VZM58"/>
      <c r="VZN58"/>
      <c r="VZO58"/>
      <c r="VZP58"/>
      <c r="VZQ58"/>
      <c r="VZR58"/>
      <c r="VZS58"/>
      <c r="VZT58"/>
      <c r="VZU58"/>
      <c r="VZV58"/>
      <c r="VZW58"/>
      <c r="VZX58"/>
      <c r="VZY58"/>
      <c r="VZZ58"/>
      <c r="WAA58"/>
      <c r="WAB58"/>
      <c r="WAC58"/>
      <c r="WAD58"/>
      <c r="WAE58"/>
      <c r="WAF58"/>
      <c r="WAG58"/>
      <c r="WAH58"/>
      <c r="WAI58"/>
      <c r="WAJ58"/>
      <c r="WAK58"/>
      <c r="WAL58"/>
      <c r="WAM58"/>
      <c r="WAN58"/>
      <c r="WAO58"/>
      <c r="WAP58"/>
      <c r="WAQ58"/>
      <c r="WAR58"/>
      <c r="WAS58"/>
      <c r="WAT58"/>
      <c r="WAU58"/>
      <c r="WAV58"/>
      <c r="WAW58"/>
      <c r="WAX58"/>
      <c r="WAY58"/>
      <c r="WAZ58"/>
      <c r="WBA58"/>
      <c r="WBB58"/>
      <c r="WBC58"/>
      <c r="WBD58"/>
      <c r="WBE58"/>
      <c r="WBF58"/>
      <c r="WBG58"/>
      <c r="WBH58"/>
      <c r="WBI58"/>
      <c r="WBJ58"/>
      <c r="WBK58"/>
      <c r="WBL58"/>
      <c r="WBM58"/>
      <c r="WBN58"/>
      <c r="WBO58"/>
      <c r="WBP58"/>
      <c r="WBQ58"/>
      <c r="WBR58"/>
      <c r="WBS58"/>
      <c r="WBT58"/>
      <c r="WBU58"/>
      <c r="WBV58"/>
      <c r="WBW58"/>
      <c r="WBX58"/>
      <c r="WBY58"/>
      <c r="WBZ58"/>
      <c r="WCA58"/>
      <c r="WCB58"/>
      <c r="WCC58"/>
      <c r="WCD58"/>
      <c r="WCE58"/>
      <c r="WCF58"/>
      <c r="WCG58"/>
      <c r="WCH58"/>
      <c r="WCI58"/>
      <c r="WCJ58"/>
      <c r="WCK58"/>
      <c r="WCL58"/>
      <c r="WCM58"/>
      <c r="WCN58"/>
      <c r="WCO58"/>
      <c r="WCP58"/>
      <c r="WCQ58"/>
      <c r="WCR58"/>
      <c r="WCS58"/>
      <c r="WCT58"/>
      <c r="WCU58"/>
      <c r="WCV58"/>
      <c r="WCW58"/>
      <c r="WCX58"/>
      <c r="WCY58"/>
      <c r="WCZ58"/>
      <c r="WDA58"/>
      <c r="WDB58"/>
      <c r="WDC58"/>
      <c r="WDD58"/>
      <c r="WDE58"/>
      <c r="WDF58"/>
      <c r="WDG58"/>
      <c r="WDH58"/>
      <c r="WDI58"/>
      <c r="WDJ58"/>
      <c r="WDK58"/>
      <c r="WDL58"/>
      <c r="WDM58"/>
      <c r="WDN58"/>
      <c r="WDO58"/>
      <c r="WDP58"/>
      <c r="WDQ58"/>
      <c r="WDR58"/>
      <c r="WDS58"/>
      <c r="WDT58"/>
      <c r="WDU58"/>
      <c r="WDV58"/>
      <c r="WDW58"/>
      <c r="WDX58"/>
      <c r="WDY58"/>
      <c r="WDZ58"/>
      <c r="WEA58"/>
      <c r="WEB58"/>
      <c r="WEC58"/>
      <c r="WED58"/>
      <c r="WEE58"/>
      <c r="WEF58"/>
      <c r="WEG58"/>
      <c r="WEH58"/>
      <c r="WEI58"/>
      <c r="WEJ58"/>
      <c r="WEK58"/>
      <c r="WEL58"/>
      <c r="WEM58"/>
      <c r="WEN58"/>
      <c r="WEO58"/>
      <c r="WEP58"/>
      <c r="WEQ58"/>
      <c r="WER58"/>
      <c r="WES58"/>
      <c r="WET58"/>
      <c r="WEU58"/>
      <c r="WEV58"/>
      <c r="WEW58"/>
      <c r="WEX58"/>
      <c r="WEY58"/>
      <c r="WEZ58"/>
      <c r="WFA58"/>
      <c r="WFB58"/>
      <c r="WFC58"/>
      <c r="WFD58"/>
      <c r="WFE58"/>
      <c r="WFF58"/>
      <c r="WFG58"/>
      <c r="WFH58"/>
      <c r="WFI58"/>
      <c r="WFJ58"/>
      <c r="WFK58"/>
      <c r="WFL58"/>
      <c r="WFM58"/>
      <c r="WFN58"/>
      <c r="WFO58"/>
      <c r="WFP58"/>
      <c r="WFQ58"/>
      <c r="WFR58"/>
      <c r="WFS58"/>
      <c r="WFT58"/>
      <c r="WFU58"/>
      <c r="WFV58"/>
      <c r="WFW58"/>
      <c r="WFX58"/>
      <c r="WFY58"/>
      <c r="WFZ58"/>
      <c r="WGA58"/>
      <c r="WGB58"/>
      <c r="WGC58"/>
      <c r="WGD58"/>
      <c r="WGE58"/>
      <c r="WGF58"/>
      <c r="WGG58"/>
      <c r="WGH58"/>
      <c r="WGI58"/>
      <c r="WGJ58"/>
      <c r="WGK58"/>
      <c r="WGL58"/>
      <c r="WGM58"/>
      <c r="WGN58"/>
      <c r="WGO58"/>
      <c r="WGP58"/>
      <c r="WGQ58"/>
      <c r="WGR58"/>
      <c r="WGS58"/>
      <c r="WGT58"/>
      <c r="WGU58"/>
      <c r="WGV58"/>
      <c r="WGW58"/>
      <c r="WGX58"/>
      <c r="WGY58"/>
      <c r="WGZ58"/>
      <c r="WHA58"/>
      <c r="WHB58"/>
      <c r="WHC58"/>
      <c r="WHD58"/>
      <c r="WHE58"/>
      <c r="WHF58"/>
      <c r="WHG58"/>
      <c r="WHH58"/>
      <c r="WHI58"/>
      <c r="WHJ58"/>
      <c r="WHK58"/>
      <c r="WHL58"/>
      <c r="WHM58"/>
      <c r="WHN58"/>
      <c r="WHO58"/>
      <c r="WHP58"/>
      <c r="WHQ58"/>
      <c r="WHR58"/>
      <c r="WHS58"/>
      <c r="WHT58"/>
      <c r="WHU58"/>
      <c r="WHV58"/>
      <c r="WHW58"/>
      <c r="WHX58"/>
      <c r="WHY58"/>
      <c r="WHZ58"/>
      <c r="WIA58"/>
      <c r="WIB58"/>
      <c r="WIC58"/>
      <c r="WID58"/>
      <c r="WIE58"/>
      <c r="WIF58"/>
      <c r="WIG58"/>
      <c r="WIH58"/>
      <c r="WII58"/>
      <c r="WIJ58"/>
      <c r="WIK58"/>
      <c r="WIL58"/>
      <c r="WIM58"/>
      <c r="WIN58"/>
      <c r="WIO58"/>
      <c r="WIP58"/>
      <c r="WIQ58"/>
      <c r="WIR58"/>
      <c r="WIS58"/>
      <c r="WIT58"/>
      <c r="WIU58"/>
      <c r="WIV58"/>
      <c r="WIW58"/>
      <c r="WIX58"/>
      <c r="WIY58"/>
      <c r="WIZ58"/>
      <c r="WJA58"/>
      <c r="WJB58"/>
      <c r="WJC58"/>
      <c r="WJD58"/>
      <c r="WJE58"/>
      <c r="WJF58"/>
      <c r="WJG58"/>
      <c r="WJH58"/>
      <c r="WJI58"/>
      <c r="WJJ58"/>
      <c r="WJK58"/>
      <c r="WJL58"/>
      <c r="WJM58"/>
      <c r="WJN58"/>
      <c r="WJO58"/>
      <c r="WJP58"/>
      <c r="WJQ58"/>
      <c r="WJR58"/>
      <c r="WJS58"/>
      <c r="WJT58"/>
      <c r="WJU58"/>
      <c r="WJV58"/>
      <c r="WJW58"/>
      <c r="WJX58"/>
      <c r="WJY58"/>
      <c r="WJZ58"/>
      <c r="WKA58"/>
      <c r="WKB58"/>
      <c r="WKC58"/>
      <c r="WKD58"/>
      <c r="WKE58"/>
      <c r="WKF58"/>
      <c r="WKG58"/>
      <c r="WKH58"/>
      <c r="WKI58"/>
      <c r="WKJ58"/>
      <c r="WKK58"/>
      <c r="WKL58"/>
      <c r="WKM58"/>
      <c r="WKN58"/>
      <c r="WKO58"/>
      <c r="WKP58"/>
      <c r="WKQ58"/>
      <c r="WKR58"/>
      <c r="WKS58"/>
      <c r="WKT58"/>
      <c r="WKU58"/>
      <c r="WKV58"/>
      <c r="WKW58"/>
      <c r="WKX58"/>
      <c r="WKY58"/>
      <c r="WKZ58"/>
      <c r="WLA58"/>
      <c r="WLB58"/>
      <c r="WLC58"/>
      <c r="WLD58"/>
      <c r="WLE58"/>
      <c r="WLF58"/>
      <c r="WLG58"/>
      <c r="WLH58"/>
      <c r="WLI58"/>
      <c r="WLJ58"/>
      <c r="WLK58"/>
      <c r="WLL58"/>
      <c r="WLM58"/>
      <c r="WLN58"/>
      <c r="WLO58"/>
      <c r="WLP58"/>
      <c r="WLQ58"/>
      <c r="WLR58"/>
      <c r="WLS58"/>
      <c r="WLT58"/>
      <c r="WLU58"/>
      <c r="WLV58"/>
      <c r="WLW58"/>
      <c r="WLX58"/>
      <c r="WLY58"/>
      <c r="WLZ58"/>
      <c r="WMA58"/>
      <c r="WMB58"/>
      <c r="WMC58"/>
      <c r="WMD58"/>
      <c r="WME58"/>
      <c r="WMF58"/>
      <c r="WMG58"/>
      <c r="WMH58"/>
      <c r="WMI58"/>
      <c r="WMJ58"/>
      <c r="WMK58"/>
      <c r="WML58"/>
      <c r="WMM58"/>
      <c r="WMN58"/>
      <c r="WMO58"/>
      <c r="WMP58"/>
      <c r="WMQ58"/>
      <c r="WMR58"/>
      <c r="WMS58"/>
      <c r="WMT58"/>
      <c r="WMU58"/>
      <c r="WMV58"/>
      <c r="WMW58"/>
      <c r="WMX58"/>
      <c r="WMY58"/>
      <c r="WMZ58"/>
      <c r="WNA58"/>
      <c r="WNB58"/>
      <c r="WNC58"/>
      <c r="WND58"/>
      <c r="WNE58"/>
      <c r="WNF58"/>
      <c r="WNG58"/>
      <c r="WNH58"/>
      <c r="WNI58"/>
      <c r="WNJ58"/>
      <c r="WNK58"/>
      <c r="WNL58"/>
      <c r="WNM58"/>
      <c r="WNN58"/>
      <c r="WNO58"/>
      <c r="WNP58"/>
      <c r="WNQ58"/>
      <c r="WNR58"/>
      <c r="WNS58"/>
      <c r="WNT58"/>
      <c r="WNU58"/>
      <c r="WNV58"/>
      <c r="WNW58"/>
      <c r="WNX58"/>
      <c r="WNY58"/>
      <c r="WNZ58"/>
      <c r="WOA58"/>
      <c r="WOB58"/>
      <c r="WOC58"/>
      <c r="WOD58"/>
      <c r="WOE58"/>
      <c r="WOF58"/>
      <c r="WOG58"/>
      <c r="WOH58"/>
      <c r="WOI58"/>
      <c r="WOJ58"/>
      <c r="WOK58"/>
      <c r="WOL58"/>
      <c r="WOM58"/>
      <c r="WON58"/>
      <c r="WOO58"/>
      <c r="WOP58"/>
      <c r="WOQ58"/>
      <c r="WOR58"/>
      <c r="WOS58"/>
      <c r="WOT58"/>
      <c r="WOU58"/>
      <c r="WOV58"/>
      <c r="WOW58"/>
      <c r="WOX58"/>
      <c r="WOY58"/>
      <c r="WOZ58"/>
      <c r="WPA58"/>
      <c r="WPB58"/>
      <c r="WPC58"/>
      <c r="WPD58"/>
      <c r="WPE58"/>
      <c r="WPF58"/>
      <c r="WPG58"/>
      <c r="WPH58"/>
      <c r="WPI58"/>
      <c r="WPJ58"/>
      <c r="WPK58"/>
      <c r="WPL58"/>
      <c r="WPM58"/>
      <c r="WPN58"/>
      <c r="WPO58"/>
      <c r="WPP58"/>
      <c r="WPQ58"/>
      <c r="WPR58"/>
      <c r="WPS58"/>
      <c r="WPT58"/>
      <c r="WPU58"/>
      <c r="WPV58"/>
      <c r="WPW58"/>
      <c r="WPX58"/>
      <c r="WPY58"/>
      <c r="WPZ58"/>
      <c r="WQA58"/>
      <c r="WQB58"/>
      <c r="WQC58"/>
      <c r="WQD58"/>
      <c r="WQE58"/>
      <c r="WQF58"/>
      <c r="WQG58"/>
      <c r="WQH58"/>
      <c r="WQI58"/>
      <c r="WQJ58"/>
      <c r="WQK58"/>
      <c r="WQL58"/>
      <c r="WQM58"/>
      <c r="WQN58"/>
      <c r="WQO58"/>
      <c r="WQP58"/>
      <c r="WQQ58"/>
      <c r="WQR58"/>
      <c r="WQS58"/>
      <c r="WQT58"/>
      <c r="WQU58"/>
      <c r="WQV58"/>
      <c r="WQW58"/>
      <c r="WQX58"/>
      <c r="WQY58"/>
      <c r="WQZ58"/>
      <c r="WRA58"/>
      <c r="WRB58"/>
      <c r="WRC58"/>
      <c r="WRD58"/>
      <c r="WRE58"/>
      <c r="WRF58"/>
      <c r="WRG58"/>
      <c r="WRH58"/>
      <c r="WRI58"/>
      <c r="WRJ58"/>
      <c r="WRK58"/>
      <c r="WRL58"/>
      <c r="WRM58"/>
      <c r="WRN58"/>
      <c r="WRO58"/>
      <c r="WRP58"/>
      <c r="WRQ58"/>
      <c r="WRR58"/>
      <c r="WRS58"/>
      <c r="WRT58"/>
      <c r="WRU58"/>
      <c r="WRV58"/>
      <c r="WRW58"/>
      <c r="WRX58"/>
      <c r="WRY58"/>
      <c r="WRZ58"/>
      <c r="WSA58"/>
      <c r="WSB58"/>
      <c r="WSC58"/>
      <c r="WSD58"/>
      <c r="WSE58"/>
      <c r="WSF58"/>
      <c r="WSG58"/>
      <c r="WSH58"/>
      <c r="WSI58"/>
      <c r="WSJ58"/>
      <c r="WSK58"/>
      <c r="WSL58"/>
      <c r="WSM58"/>
      <c r="WSN58"/>
      <c r="WSO58"/>
      <c r="WSP58"/>
      <c r="WSQ58"/>
      <c r="WSR58"/>
      <c r="WSS58"/>
      <c r="WST58"/>
      <c r="WSU58"/>
      <c r="WSV58"/>
      <c r="WSW58"/>
      <c r="WSX58"/>
      <c r="WSY58"/>
      <c r="WSZ58"/>
      <c r="WTA58"/>
      <c r="WTB58"/>
      <c r="WTC58"/>
      <c r="WTD58"/>
      <c r="WTE58"/>
      <c r="WTF58"/>
      <c r="WTG58"/>
      <c r="WTH58"/>
      <c r="WTI58"/>
      <c r="WTJ58"/>
      <c r="WTK58"/>
      <c r="WTL58"/>
      <c r="WTM58"/>
      <c r="WTN58"/>
      <c r="WTO58"/>
      <c r="WTP58"/>
      <c r="WTQ58"/>
      <c r="WTR58"/>
      <c r="WTS58"/>
      <c r="WTT58"/>
      <c r="WTU58"/>
      <c r="WTV58"/>
      <c r="WTW58"/>
      <c r="WTX58"/>
      <c r="WTY58"/>
      <c r="WTZ58"/>
      <c r="WUA58"/>
      <c r="WUB58"/>
      <c r="WUC58"/>
      <c r="WUD58"/>
      <c r="WUE58"/>
      <c r="WUF58"/>
      <c r="WUG58"/>
      <c r="WUH58"/>
      <c r="WUI58"/>
      <c r="WUJ58"/>
      <c r="WUK58"/>
      <c r="WUL58"/>
      <c r="WUM58"/>
      <c r="WUN58"/>
      <c r="WUO58"/>
      <c r="WUP58"/>
      <c r="WUQ58"/>
      <c r="WUR58"/>
      <c r="WUS58"/>
      <c r="WUT58"/>
      <c r="WUU58"/>
      <c r="WUV58"/>
      <c r="WUW58"/>
      <c r="WUX58"/>
      <c r="WUY58"/>
      <c r="WUZ58"/>
      <c r="WVA58"/>
      <c r="WVB58"/>
      <c r="WVC58"/>
      <c r="WVD58"/>
      <c r="WVE58"/>
      <c r="WVF58"/>
      <c r="WVG58"/>
      <c r="WVH58"/>
      <c r="WVI58"/>
      <c r="WVJ58"/>
      <c r="WVK58"/>
      <c r="WVL58"/>
      <c r="WVM58"/>
      <c r="WVN58"/>
      <c r="WVO58"/>
      <c r="WVP58"/>
      <c r="WVQ58"/>
      <c r="WVR58"/>
      <c r="WVS58"/>
      <c r="WVT58"/>
      <c r="WVU58"/>
      <c r="WVV58"/>
      <c r="WVW58"/>
      <c r="WVX58"/>
      <c r="WVY58"/>
      <c r="WVZ58"/>
      <c r="WWA58"/>
      <c r="WWB58"/>
      <c r="WWC58"/>
      <c r="WWD58"/>
      <c r="WWE58"/>
      <c r="WWF58"/>
      <c r="WWG58"/>
      <c r="WWH58"/>
      <c r="WWI58"/>
      <c r="WWJ58"/>
      <c r="WWK58"/>
      <c r="WWL58"/>
      <c r="WWM58"/>
      <c r="WWN58"/>
      <c r="WWO58"/>
      <c r="WWP58"/>
      <c r="WWQ58"/>
      <c r="WWR58"/>
      <c r="WWS58"/>
      <c r="WWT58"/>
      <c r="WWU58"/>
      <c r="WWV58"/>
      <c r="WWW58"/>
      <c r="WWX58"/>
      <c r="WWY58"/>
      <c r="WWZ58"/>
      <c r="WXA58"/>
      <c r="WXB58"/>
      <c r="WXC58"/>
      <c r="WXD58"/>
      <c r="WXE58"/>
      <c r="WXF58"/>
      <c r="WXG58"/>
      <c r="WXH58"/>
      <c r="WXI58"/>
      <c r="WXJ58"/>
      <c r="WXK58"/>
      <c r="WXL58"/>
      <c r="WXM58"/>
      <c r="WXN58"/>
      <c r="WXO58"/>
      <c r="WXP58"/>
      <c r="WXQ58"/>
      <c r="WXR58"/>
      <c r="WXS58"/>
      <c r="WXT58"/>
      <c r="WXU58"/>
      <c r="WXV58"/>
      <c r="WXW58"/>
      <c r="WXX58"/>
      <c r="WXY58"/>
      <c r="WXZ58"/>
      <c r="WYA58"/>
      <c r="WYB58"/>
      <c r="WYC58"/>
      <c r="WYD58"/>
      <c r="WYE58"/>
      <c r="WYF58"/>
      <c r="WYG58"/>
      <c r="WYH58"/>
      <c r="WYI58"/>
      <c r="WYJ58"/>
      <c r="WYK58"/>
      <c r="WYL58"/>
      <c r="WYM58"/>
      <c r="WYN58"/>
      <c r="WYO58"/>
      <c r="WYP58"/>
      <c r="WYQ58"/>
      <c r="WYR58"/>
      <c r="WYS58"/>
      <c r="WYT58"/>
      <c r="WYU58"/>
      <c r="WYV58"/>
      <c r="WYW58"/>
      <c r="WYX58"/>
      <c r="WYY58"/>
      <c r="WYZ58"/>
      <c r="WZA58"/>
      <c r="WZB58"/>
      <c r="WZC58"/>
      <c r="WZD58"/>
      <c r="WZE58"/>
      <c r="WZF58"/>
      <c r="WZG58"/>
      <c r="WZH58"/>
      <c r="WZI58"/>
      <c r="WZJ58"/>
      <c r="WZK58"/>
      <c r="WZL58"/>
      <c r="WZM58"/>
      <c r="WZN58"/>
      <c r="WZO58"/>
      <c r="WZP58"/>
      <c r="WZQ58"/>
      <c r="WZR58"/>
      <c r="WZS58"/>
      <c r="WZT58"/>
      <c r="WZU58"/>
      <c r="WZV58"/>
      <c r="WZW58"/>
      <c r="WZX58"/>
      <c r="WZY58"/>
      <c r="WZZ58"/>
      <c r="XAA58"/>
      <c r="XAB58"/>
      <c r="XAC58"/>
      <c r="XAD58"/>
      <c r="XAE58"/>
      <c r="XAF58"/>
      <c r="XAG58"/>
      <c r="XAH58"/>
      <c r="XAI58"/>
      <c r="XAJ58"/>
      <c r="XAK58"/>
      <c r="XAL58"/>
      <c r="XAM58"/>
      <c r="XAN58"/>
      <c r="XAO58"/>
      <c r="XAP58"/>
      <c r="XAQ58"/>
      <c r="XAR58"/>
      <c r="XAS58"/>
      <c r="XAT58"/>
      <c r="XAU58"/>
      <c r="XAV58"/>
      <c r="XAW58"/>
      <c r="XAX58"/>
      <c r="XAY58"/>
      <c r="XAZ58"/>
      <c r="XBA58"/>
      <c r="XBB58"/>
      <c r="XBC58"/>
      <c r="XBD58"/>
      <c r="XBE58"/>
      <c r="XBF58"/>
      <c r="XBG58"/>
      <c r="XBH58"/>
      <c r="XBI58"/>
      <c r="XBJ58"/>
      <c r="XBK58"/>
      <c r="XBL58"/>
      <c r="XBM58"/>
      <c r="XBN58"/>
      <c r="XBO58"/>
      <c r="XBP58"/>
      <c r="XBQ58"/>
      <c r="XBR58"/>
      <c r="XBS58"/>
      <c r="XBT58"/>
      <c r="XBU58"/>
      <c r="XBV58"/>
      <c r="XBW58"/>
      <c r="XBX58"/>
      <c r="XBY58"/>
      <c r="XBZ58"/>
      <c r="XCA58"/>
      <c r="XCB58"/>
      <c r="XCC58"/>
      <c r="XCD58"/>
      <c r="XCE58"/>
      <c r="XCF58"/>
      <c r="XCG58"/>
      <c r="XCH58"/>
      <c r="XCI58"/>
      <c r="XCJ58"/>
      <c r="XCK58"/>
      <c r="XCL58"/>
      <c r="XCM58"/>
      <c r="XCN58"/>
      <c r="XCO58"/>
      <c r="XCP58"/>
      <c r="XCQ58"/>
      <c r="XCR58"/>
      <c r="XCS58"/>
      <c r="XCT58"/>
      <c r="XCU58"/>
      <c r="XCV58"/>
      <c r="XCW58"/>
      <c r="XCX58"/>
      <c r="XCY58"/>
      <c r="XCZ58"/>
      <c r="XDA58"/>
      <c r="XDB58"/>
      <c r="XDC58"/>
      <c r="XDD58"/>
      <c r="XDE58"/>
      <c r="XDF58"/>
      <c r="XDG58"/>
      <c r="XDH58"/>
      <c r="XDI58"/>
      <c r="XDJ58"/>
      <c r="XDK58"/>
      <c r="XDL58"/>
      <c r="XDM58"/>
      <c r="XDN58"/>
      <c r="XDO58"/>
      <c r="XDP58"/>
      <c r="XDQ58"/>
      <c r="XDR58"/>
      <c r="XDS58"/>
      <c r="XDT58"/>
      <c r="XDU58"/>
      <c r="XDV58"/>
      <c r="XDW58"/>
      <c r="XDX58"/>
      <c r="XDY58"/>
      <c r="XDZ58"/>
      <c r="XEA58"/>
      <c r="XEB58"/>
      <c r="XEC58"/>
      <c r="XED58"/>
      <c r="XEE58"/>
      <c r="XEF58"/>
      <c r="XEG58"/>
      <c r="XEH58"/>
      <c r="XEI58"/>
      <c r="XEJ58"/>
      <c r="XEK58"/>
      <c r="XEL58"/>
      <c r="XEM58"/>
      <c r="XEN58"/>
      <c r="XEO58"/>
      <c r="XEP58"/>
      <c r="XEQ58"/>
      <c r="XER58"/>
      <c r="XES58"/>
      <c r="XET58"/>
      <c r="XEU58"/>
      <c r="XEV58"/>
      <c r="XEW58"/>
      <c r="XEX58"/>
      <c r="XEY58"/>
      <c r="XEZ58"/>
      <c r="XFA58"/>
      <c r="XFB58"/>
      <c r="XFC58"/>
      <c r="XFD58"/>
    </row>
    <row r="59" spans="3:16384" outlineLevel="1" x14ac:dyDescent="0.2">
      <c r="C59" s="11" t="s">
        <v>1021</v>
      </c>
    </row>
    <row r="60" spans="3:16384" outlineLevel="1" x14ac:dyDescent="0.2">
      <c r="D60" t="str">
        <f>D51</f>
        <v>sélectionnés</v>
      </c>
      <c r="G60" s="29" t="str">
        <f>field_selected</f>
        <v>Moho</v>
      </c>
      <c r="I60" s="30">
        <f ca="1">SUM($L60:$BS60)</f>
        <v>0</v>
      </c>
      <c r="J60" s="26" t="s">
        <v>653</v>
      </c>
      <c r="K60" s="7" t="s">
        <v>932</v>
      </c>
      <c r="L60" s="18">
        <f t="shared" ref="L60:S60" ca="1" si="11">OFFSET(L60,MATCH(field_selected,list_FieldName,0)+1,0)</f>
        <v>0</v>
      </c>
      <c r="M60" s="18">
        <f t="shared" ca="1" si="11"/>
        <v>0</v>
      </c>
      <c r="N60" s="18">
        <f t="shared" ca="1" si="11"/>
        <v>0</v>
      </c>
      <c r="O60" s="18">
        <f t="shared" ca="1" si="11"/>
        <v>0</v>
      </c>
      <c r="P60" s="18">
        <f t="shared" ca="1" si="11"/>
        <v>0</v>
      </c>
      <c r="Q60" s="18">
        <f t="shared" ca="1" si="11"/>
        <v>0</v>
      </c>
      <c r="R60" s="18">
        <f t="shared" ca="1" si="11"/>
        <v>0</v>
      </c>
      <c r="S60" s="18">
        <f t="shared" ca="1" si="11"/>
        <v>0</v>
      </c>
    </row>
    <row r="61" spans="3:16384" outlineLevel="1" x14ac:dyDescent="0.2">
      <c r="J61" s="26"/>
    </row>
    <row r="62" spans="3:16384" outlineLevel="1" x14ac:dyDescent="0.2">
      <c r="C62" s="27">
        <v>1</v>
      </c>
      <c r="D62" t="str">
        <f t="array" ref="D62:D66">list_FieldName</f>
        <v>Nkossa</v>
      </c>
      <c r="I62" s="30">
        <f>SUM($L62:$BS62)</f>
        <v>0</v>
      </c>
      <c r="J62" s="26" t="s">
        <v>653</v>
      </c>
      <c r="L62" s="28"/>
      <c r="M62" s="28"/>
      <c r="N62" s="28"/>
      <c r="O62" s="28"/>
      <c r="P62" s="28"/>
      <c r="Q62" s="28"/>
      <c r="R62" s="28"/>
      <c r="S62" s="28"/>
      <c r="U62" s="6"/>
    </row>
    <row r="63" spans="3:16384" outlineLevel="1" x14ac:dyDescent="0.2">
      <c r="C63" s="27">
        <f>C62+1</f>
        <v>2</v>
      </c>
      <c r="D63" t="str">
        <v>Nsoko</v>
      </c>
      <c r="I63" s="30">
        <f>SUM($L63:$BS63)</f>
        <v>0</v>
      </c>
      <c r="J63" s="26" t="s">
        <v>653</v>
      </c>
      <c r="L63" s="28"/>
      <c r="M63" s="28"/>
      <c r="N63" s="28"/>
      <c r="O63" s="28"/>
      <c r="P63" s="28"/>
      <c r="Q63" s="28"/>
      <c r="R63" s="28"/>
      <c r="S63" s="28"/>
    </row>
    <row r="64" spans="3:16384" outlineLevel="1" x14ac:dyDescent="0.2">
      <c r="C64" s="27">
        <f t="shared" ref="C64:C66" si="12">C63+1</f>
        <v>3</v>
      </c>
      <c r="D64" t="str">
        <v>Moho</v>
      </c>
      <c r="I64" s="30">
        <f>SUM($L64:$BS64)</f>
        <v>0</v>
      </c>
      <c r="J64" s="26" t="s">
        <v>653</v>
      </c>
      <c r="L64" s="28"/>
      <c r="M64" s="28"/>
      <c r="N64" s="28"/>
      <c r="O64" s="28"/>
      <c r="P64" s="28"/>
      <c r="Q64" s="28"/>
      <c r="R64" s="28"/>
      <c r="S64" s="28"/>
    </row>
    <row r="65" spans="3:16384" outlineLevel="1" x14ac:dyDescent="0.2">
      <c r="C65" s="27">
        <f t="shared" si="12"/>
        <v>4</v>
      </c>
      <c r="D65" t="str">
        <v>KLL</v>
      </c>
      <c r="I65" s="30">
        <f>SUM($L65:$BS65)</f>
        <v>0</v>
      </c>
      <c r="J65" s="26" t="s">
        <v>653</v>
      </c>
      <c r="L65" s="28"/>
      <c r="M65" s="28"/>
      <c r="N65" s="28"/>
      <c r="O65" s="28"/>
      <c r="P65" s="28"/>
      <c r="Q65" s="28"/>
      <c r="R65" s="28"/>
      <c r="S65" s="28"/>
    </row>
    <row r="66" spans="3:16384" outlineLevel="1" x14ac:dyDescent="0.2">
      <c r="C66" s="27">
        <f t="shared" si="12"/>
        <v>5</v>
      </c>
      <c r="D66">
        <v>0</v>
      </c>
      <c r="I66" s="30">
        <f>SUM($L66:$BS66)</f>
        <v>0</v>
      </c>
      <c r="J66" s="26" t="s">
        <v>653</v>
      </c>
      <c r="L66" s="28"/>
      <c r="M66" s="28"/>
      <c r="N66" s="28"/>
      <c r="O66" s="28"/>
      <c r="P66" s="28"/>
      <c r="Q66" s="28"/>
      <c r="R66" s="28"/>
      <c r="S66" s="28"/>
    </row>
    <row r="67" spans="3:16384" outlineLevel="1" x14ac:dyDescent="0.2">
      <c r="K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c r="AKB67"/>
      <c r="AKC67"/>
      <c r="AKD67"/>
      <c r="AKE67"/>
      <c r="AKF67"/>
      <c r="AKG67"/>
      <c r="AKH67"/>
      <c r="AKI67"/>
      <c r="AKJ67"/>
      <c r="AKK67"/>
      <c r="AKL67"/>
      <c r="AKM67"/>
      <c r="AKN67"/>
      <c r="AKO67"/>
      <c r="AKP67"/>
      <c r="AKQ67"/>
      <c r="AKR67"/>
      <c r="AKS67"/>
      <c r="AKT67"/>
      <c r="AKU67"/>
      <c r="AKV67"/>
      <c r="AKW67"/>
      <c r="AKX67"/>
      <c r="AKY67"/>
      <c r="AKZ67"/>
      <c r="ALA67"/>
      <c r="ALB67"/>
      <c r="ALC67"/>
      <c r="ALD67"/>
      <c r="ALE67"/>
      <c r="ALF67"/>
      <c r="ALG67"/>
      <c r="ALH67"/>
      <c r="ALI67"/>
      <c r="ALJ67"/>
      <c r="ALK67"/>
      <c r="ALL67"/>
      <c r="ALM67"/>
      <c r="ALN67"/>
      <c r="ALO67"/>
      <c r="ALP67"/>
      <c r="ALQ67"/>
      <c r="ALR67"/>
      <c r="ALS67"/>
      <c r="ALT67"/>
      <c r="ALU67"/>
      <c r="ALV67"/>
      <c r="ALW67"/>
      <c r="ALX67"/>
      <c r="ALY67"/>
      <c r="ALZ67"/>
      <c r="AMA67"/>
      <c r="AMB67"/>
      <c r="AMC67"/>
      <c r="AMD67"/>
      <c r="AME67"/>
      <c r="AMF67"/>
      <c r="AMG67"/>
      <c r="AMH67"/>
      <c r="AMI67"/>
      <c r="AMJ67"/>
      <c r="AMK67"/>
      <c r="AML67"/>
      <c r="AMM67"/>
      <c r="AMN67"/>
      <c r="AMO67"/>
      <c r="AMP67"/>
      <c r="AMQ67"/>
      <c r="AMR67"/>
      <c r="AMS67"/>
      <c r="AMT67"/>
      <c r="AMU67"/>
      <c r="AMV67"/>
      <c r="AMW67"/>
      <c r="AMX67"/>
      <c r="AMY67"/>
      <c r="AMZ67"/>
      <c r="ANA67"/>
      <c r="ANB67"/>
      <c r="ANC67"/>
      <c r="AND67"/>
      <c r="ANE67"/>
      <c r="ANF67"/>
      <c r="ANG67"/>
      <c r="ANH67"/>
      <c r="ANI67"/>
      <c r="ANJ67"/>
      <c r="ANK67"/>
      <c r="ANL67"/>
      <c r="ANM67"/>
      <c r="ANN67"/>
      <c r="ANO67"/>
      <c r="ANP67"/>
      <c r="ANQ67"/>
      <c r="ANR67"/>
      <c r="ANS67"/>
      <c r="ANT67"/>
      <c r="ANU67"/>
      <c r="ANV67"/>
      <c r="ANW67"/>
      <c r="ANX67"/>
      <c r="ANY67"/>
      <c r="ANZ67"/>
      <c r="AOA67"/>
      <c r="AOB67"/>
      <c r="AOC67"/>
      <c r="AOD67"/>
      <c r="AOE67"/>
      <c r="AOF67"/>
      <c r="AOG67"/>
      <c r="AOH67"/>
      <c r="AOI67"/>
      <c r="AOJ67"/>
      <c r="AOK67"/>
      <c r="AOL67"/>
      <c r="AOM67"/>
      <c r="AON67"/>
      <c r="AOO67"/>
      <c r="AOP67"/>
      <c r="AOQ67"/>
      <c r="AOR67"/>
      <c r="AOS67"/>
      <c r="AOT67"/>
      <c r="AOU67"/>
      <c r="AOV67"/>
      <c r="AOW67"/>
      <c r="AOX67"/>
      <c r="AOY67"/>
      <c r="AOZ67"/>
      <c r="APA67"/>
      <c r="APB67"/>
      <c r="APC67"/>
      <c r="APD67"/>
      <c r="APE67"/>
      <c r="APF67"/>
      <c r="APG67"/>
      <c r="APH67"/>
      <c r="API67"/>
      <c r="APJ67"/>
      <c r="APK67"/>
      <c r="APL67"/>
      <c r="APM67"/>
      <c r="APN67"/>
      <c r="APO67"/>
      <c r="APP67"/>
      <c r="APQ67"/>
      <c r="APR67"/>
      <c r="APS67"/>
      <c r="APT67"/>
      <c r="APU67"/>
      <c r="APV67"/>
      <c r="APW67"/>
      <c r="APX67"/>
      <c r="APY67"/>
      <c r="APZ67"/>
      <c r="AQA67"/>
      <c r="AQB67"/>
      <c r="AQC67"/>
      <c r="AQD67"/>
      <c r="AQE67"/>
      <c r="AQF67"/>
      <c r="AQG67"/>
      <c r="AQH67"/>
      <c r="AQI67"/>
      <c r="AQJ67"/>
      <c r="AQK67"/>
      <c r="AQL67"/>
      <c r="AQM67"/>
      <c r="AQN67"/>
      <c r="AQO67"/>
      <c r="AQP67"/>
      <c r="AQQ67"/>
      <c r="AQR67"/>
      <c r="AQS67"/>
      <c r="AQT67"/>
      <c r="AQU67"/>
      <c r="AQV67"/>
      <c r="AQW67"/>
      <c r="AQX67"/>
      <c r="AQY67"/>
      <c r="AQZ67"/>
      <c r="ARA67"/>
      <c r="ARB67"/>
      <c r="ARC67"/>
      <c r="ARD67"/>
      <c r="ARE67"/>
      <c r="ARF67"/>
      <c r="ARG67"/>
      <c r="ARH67"/>
      <c r="ARI67"/>
      <c r="ARJ67"/>
      <c r="ARK67"/>
      <c r="ARL67"/>
      <c r="ARM67"/>
      <c r="ARN67"/>
      <c r="ARO67"/>
      <c r="ARP67"/>
      <c r="ARQ67"/>
      <c r="ARR67"/>
      <c r="ARS67"/>
      <c r="ART67"/>
      <c r="ARU67"/>
      <c r="ARV67"/>
      <c r="ARW67"/>
      <c r="ARX67"/>
      <c r="ARY67"/>
      <c r="ARZ67"/>
      <c r="ASA67"/>
      <c r="ASB67"/>
      <c r="ASC67"/>
      <c r="ASD67"/>
      <c r="ASE67"/>
      <c r="ASF67"/>
      <c r="ASG67"/>
      <c r="ASH67"/>
      <c r="ASI67"/>
      <c r="ASJ67"/>
      <c r="ASK67"/>
      <c r="ASL67"/>
      <c r="ASM67"/>
      <c r="ASN67"/>
      <c r="ASO67"/>
      <c r="ASP67"/>
      <c r="ASQ67"/>
      <c r="ASR67"/>
      <c r="ASS67"/>
      <c r="AST67"/>
      <c r="ASU67"/>
      <c r="ASV67"/>
      <c r="ASW67"/>
      <c r="ASX67"/>
      <c r="ASY67"/>
      <c r="ASZ67"/>
      <c r="ATA67"/>
      <c r="ATB67"/>
      <c r="ATC67"/>
      <c r="ATD67"/>
      <c r="ATE67"/>
      <c r="ATF67"/>
      <c r="ATG67"/>
      <c r="ATH67"/>
      <c r="ATI67"/>
      <c r="ATJ67"/>
      <c r="ATK67"/>
      <c r="ATL67"/>
      <c r="ATM67"/>
      <c r="ATN67"/>
      <c r="ATO67"/>
      <c r="ATP67"/>
      <c r="ATQ67"/>
      <c r="ATR67"/>
      <c r="ATS67"/>
      <c r="ATT67"/>
      <c r="ATU67"/>
      <c r="ATV67"/>
      <c r="ATW67"/>
      <c r="ATX67"/>
      <c r="ATY67"/>
      <c r="ATZ67"/>
      <c r="AUA67"/>
      <c r="AUB67"/>
      <c r="AUC67"/>
      <c r="AUD67"/>
      <c r="AUE67"/>
      <c r="AUF67"/>
      <c r="AUG67"/>
      <c r="AUH67"/>
      <c r="AUI67"/>
      <c r="AUJ67"/>
      <c r="AUK67"/>
      <c r="AUL67"/>
      <c r="AUM67"/>
      <c r="AUN67"/>
      <c r="AUO67"/>
      <c r="AUP67"/>
      <c r="AUQ67"/>
      <c r="AUR67"/>
      <c r="AUS67"/>
      <c r="AUT67"/>
      <c r="AUU67"/>
      <c r="AUV67"/>
      <c r="AUW67"/>
      <c r="AUX67"/>
      <c r="AUY67"/>
      <c r="AUZ67"/>
      <c r="AVA67"/>
      <c r="AVB67"/>
      <c r="AVC67"/>
      <c r="AVD67"/>
      <c r="AVE67"/>
      <c r="AVF67"/>
      <c r="AVG67"/>
      <c r="AVH67"/>
      <c r="AVI67"/>
      <c r="AVJ67"/>
      <c r="AVK67"/>
      <c r="AVL67"/>
      <c r="AVM67"/>
      <c r="AVN67"/>
      <c r="AVO67"/>
      <c r="AVP67"/>
      <c r="AVQ67"/>
      <c r="AVR67"/>
      <c r="AVS67"/>
      <c r="AVT67"/>
      <c r="AVU67"/>
      <c r="AVV67"/>
      <c r="AVW67"/>
      <c r="AVX67"/>
      <c r="AVY67"/>
      <c r="AVZ67"/>
      <c r="AWA67"/>
      <c r="AWB67"/>
      <c r="AWC67"/>
      <c r="AWD67"/>
      <c r="AWE67"/>
      <c r="AWF67"/>
      <c r="AWG67"/>
      <c r="AWH67"/>
      <c r="AWI67"/>
      <c r="AWJ67"/>
      <c r="AWK67"/>
      <c r="AWL67"/>
      <c r="AWM67"/>
      <c r="AWN67"/>
      <c r="AWO67"/>
      <c r="AWP67"/>
      <c r="AWQ67"/>
      <c r="AWR67"/>
      <c r="AWS67"/>
      <c r="AWT67"/>
      <c r="AWU67"/>
      <c r="AWV67"/>
      <c r="AWW67"/>
      <c r="AWX67"/>
      <c r="AWY67"/>
      <c r="AWZ67"/>
      <c r="AXA67"/>
      <c r="AXB67"/>
      <c r="AXC67"/>
      <c r="AXD67"/>
      <c r="AXE67"/>
      <c r="AXF67"/>
      <c r="AXG67"/>
      <c r="AXH67"/>
      <c r="AXI67"/>
      <c r="AXJ67"/>
      <c r="AXK67"/>
      <c r="AXL67"/>
      <c r="AXM67"/>
      <c r="AXN67"/>
      <c r="AXO67"/>
      <c r="AXP67"/>
      <c r="AXQ67"/>
      <c r="AXR67"/>
      <c r="AXS67"/>
      <c r="AXT67"/>
      <c r="AXU67"/>
      <c r="AXV67"/>
      <c r="AXW67"/>
      <c r="AXX67"/>
      <c r="AXY67"/>
      <c r="AXZ67"/>
      <c r="AYA67"/>
      <c r="AYB67"/>
      <c r="AYC67"/>
      <c r="AYD67"/>
      <c r="AYE67"/>
      <c r="AYF67"/>
      <c r="AYG67"/>
      <c r="AYH67"/>
      <c r="AYI67"/>
      <c r="AYJ67"/>
      <c r="AYK67"/>
      <c r="AYL67"/>
      <c r="AYM67"/>
      <c r="AYN67"/>
      <c r="AYO67"/>
      <c r="AYP67"/>
      <c r="AYQ67"/>
      <c r="AYR67"/>
      <c r="AYS67"/>
      <c r="AYT67"/>
      <c r="AYU67"/>
      <c r="AYV67"/>
      <c r="AYW67"/>
      <c r="AYX67"/>
      <c r="AYY67"/>
      <c r="AYZ67"/>
      <c r="AZA67"/>
      <c r="AZB67"/>
      <c r="AZC67"/>
      <c r="AZD67"/>
      <c r="AZE67"/>
      <c r="AZF67"/>
      <c r="AZG67"/>
      <c r="AZH67"/>
      <c r="AZI67"/>
      <c r="AZJ67"/>
      <c r="AZK67"/>
      <c r="AZL67"/>
      <c r="AZM67"/>
      <c r="AZN67"/>
      <c r="AZO67"/>
      <c r="AZP67"/>
      <c r="AZQ67"/>
      <c r="AZR67"/>
      <c r="AZS67"/>
      <c r="AZT67"/>
      <c r="AZU67"/>
      <c r="AZV67"/>
      <c r="AZW67"/>
      <c r="AZX67"/>
      <c r="AZY67"/>
      <c r="AZZ67"/>
      <c r="BAA67"/>
      <c r="BAB67"/>
      <c r="BAC67"/>
      <c r="BAD67"/>
      <c r="BAE67"/>
      <c r="BAF67"/>
      <c r="BAG67"/>
      <c r="BAH67"/>
      <c r="BAI67"/>
      <c r="BAJ67"/>
      <c r="BAK67"/>
      <c r="BAL67"/>
      <c r="BAM67"/>
      <c r="BAN67"/>
      <c r="BAO67"/>
      <c r="BAP67"/>
      <c r="BAQ67"/>
      <c r="BAR67"/>
      <c r="BAS67"/>
      <c r="BAT67"/>
      <c r="BAU67"/>
      <c r="BAV67"/>
      <c r="BAW67"/>
      <c r="BAX67"/>
      <c r="BAY67"/>
      <c r="BAZ67"/>
      <c r="BBA67"/>
      <c r="BBB67"/>
      <c r="BBC67"/>
      <c r="BBD67"/>
      <c r="BBE67"/>
      <c r="BBF67"/>
      <c r="BBG67"/>
      <c r="BBH67"/>
      <c r="BBI67"/>
      <c r="BBJ67"/>
      <c r="BBK67"/>
      <c r="BBL67"/>
      <c r="BBM67"/>
      <c r="BBN67"/>
      <c r="BBO67"/>
      <c r="BBP67"/>
      <c r="BBQ67"/>
      <c r="BBR67"/>
      <c r="BBS67"/>
      <c r="BBT67"/>
      <c r="BBU67"/>
      <c r="BBV67"/>
      <c r="BBW67"/>
      <c r="BBX67"/>
      <c r="BBY67"/>
      <c r="BBZ67"/>
      <c r="BCA67"/>
      <c r="BCB67"/>
      <c r="BCC67"/>
      <c r="BCD67"/>
      <c r="BCE67"/>
      <c r="BCF67"/>
      <c r="BCG67"/>
      <c r="BCH67"/>
      <c r="BCI67"/>
      <c r="BCJ67"/>
      <c r="BCK67"/>
      <c r="BCL67"/>
      <c r="BCM67"/>
      <c r="BCN67"/>
      <c r="BCO67"/>
      <c r="BCP67"/>
      <c r="BCQ67"/>
      <c r="BCR67"/>
      <c r="BCS67"/>
      <c r="BCT67"/>
      <c r="BCU67"/>
      <c r="BCV67"/>
      <c r="BCW67"/>
      <c r="BCX67"/>
      <c r="BCY67"/>
      <c r="BCZ67"/>
      <c r="BDA67"/>
      <c r="BDB67"/>
      <c r="BDC67"/>
      <c r="BDD67"/>
      <c r="BDE67"/>
      <c r="BDF67"/>
      <c r="BDG67"/>
      <c r="BDH67"/>
      <c r="BDI67"/>
      <c r="BDJ67"/>
      <c r="BDK67"/>
      <c r="BDL67"/>
      <c r="BDM67"/>
      <c r="BDN67"/>
      <c r="BDO67"/>
      <c r="BDP67"/>
      <c r="BDQ67"/>
      <c r="BDR67"/>
      <c r="BDS67"/>
      <c r="BDT67"/>
      <c r="BDU67"/>
      <c r="BDV67"/>
      <c r="BDW67"/>
      <c r="BDX67"/>
      <c r="BDY67"/>
      <c r="BDZ67"/>
      <c r="BEA67"/>
      <c r="BEB67"/>
      <c r="BEC67"/>
      <c r="BED67"/>
      <c r="BEE67"/>
      <c r="BEF67"/>
      <c r="BEG67"/>
      <c r="BEH67"/>
      <c r="BEI67"/>
      <c r="BEJ67"/>
      <c r="BEK67"/>
      <c r="BEL67"/>
      <c r="BEM67"/>
      <c r="BEN67"/>
      <c r="BEO67"/>
      <c r="BEP67"/>
      <c r="BEQ67"/>
      <c r="BER67"/>
      <c r="BES67"/>
      <c r="BET67"/>
      <c r="BEU67"/>
      <c r="BEV67"/>
      <c r="BEW67"/>
      <c r="BEX67"/>
      <c r="BEY67"/>
      <c r="BEZ67"/>
      <c r="BFA67"/>
      <c r="BFB67"/>
      <c r="BFC67"/>
      <c r="BFD67"/>
      <c r="BFE67"/>
      <c r="BFF67"/>
      <c r="BFG67"/>
      <c r="BFH67"/>
      <c r="BFI67"/>
      <c r="BFJ67"/>
      <c r="BFK67"/>
      <c r="BFL67"/>
      <c r="BFM67"/>
      <c r="BFN67"/>
      <c r="BFO67"/>
      <c r="BFP67"/>
      <c r="BFQ67"/>
      <c r="BFR67"/>
      <c r="BFS67"/>
      <c r="BFT67"/>
      <c r="BFU67"/>
      <c r="BFV67"/>
      <c r="BFW67"/>
      <c r="BFX67"/>
      <c r="BFY67"/>
      <c r="BFZ67"/>
      <c r="BGA67"/>
      <c r="BGB67"/>
      <c r="BGC67"/>
      <c r="BGD67"/>
      <c r="BGE67"/>
      <c r="BGF67"/>
      <c r="BGG67"/>
      <c r="BGH67"/>
      <c r="BGI67"/>
      <c r="BGJ67"/>
      <c r="BGK67"/>
      <c r="BGL67"/>
      <c r="BGM67"/>
      <c r="BGN67"/>
      <c r="BGO67"/>
      <c r="BGP67"/>
      <c r="BGQ67"/>
      <c r="BGR67"/>
      <c r="BGS67"/>
      <c r="BGT67"/>
      <c r="BGU67"/>
      <c r="BGV67"/>
      <c r="BGW67"/>
      <c r="BGX67"/>
      <c r="BGY67"/>
      <c r="BGZ67"/>
      <c r="BHA67"/>
      <c r="BHB67"/>
      <c r="BHC67"/>
      <c r="BHD67"/>
      <c r="BHE67"/>
      <c r="BHF67"/>
      <c r="BHG67"/>
      <c r="BHH67"/>
      <c r="BHI67"/>
      <c r="BHJ67"/>
      <c r="BHK67"/>
      <c r="BHL67"/>
      <c r="BHM67"/>
      <c r="BHN67"/>
      <c r="BHO67"/>
      <c r="BHP67"/>
      <c r="BHQ67"/>
      <c r="BHR67"/>
      <c r="BHS67"/>
      <c r="BHT67"/>
      <c r="BHU67"/>
      <c r="BHV67"/>
      <c r="BHW67"/>
      <c r="BHX67"/>
      <c r="BHY67"/>
      <c r="BHZ67"/>
      <c r="BIA67"/>
      <c r="BIB67"/>
      <c r="BIC67"/>
      <c r="BID67"/>
      <c r="BIE67"/>
      <c r="BIF67"/>
      <c r="BIG67"/>
      <c r="BIH67"/>
      <c r="BII67"/>
      <c r="BIJ67"/>
      <c r="BIK67"/>
      <c r="BIL67"/>
      <c r="BIM67"/>
      <c r="BIN67"/>
      <c r="BIO67"/>
      <c r="BIP67"/>
      <c r="BIQ67"/>
      <c r="BIR67"/>
      <c r="BIS67"/>
      <c r="BIT67"/>
      <c r="BIU67"/>
      <c r="BIV67"/>
      <c r="BIW67"/>
      <c r="BIX67"/>
      <c r="BIY67"/>
      <c r="BIZ67"/>
      <c r="BJA67"/>
      <c r="BJB67"/>
      <c r="BJC67"/>
      <c r="BJD67"/>
      <c r="BJE67"/>
      <c r="BJF67"/>
      <c r="BJG67"/>
      <c r="BJH67"/>
      <c r="BJI67"/>
      <c r="BJJ67"/>
      <c r="BJK67"/>
      <c r="BJL67"/>
      <c r="BJM67"/>
      <c r="BJN67"/>
      <c r="BJO67"/>
      <c r="BJP67"/>
      <c r="BJQ67"/>
      <c r="BJR67"/>
      <c r="BJS67"/>
      <c r="BJT67"/>
      <c r="BJU67"/>
      <c r="BJV67"/>
      <c r="BJW67"/>
      <c r="BJX67"/>
      <c r="BJY67"/>
      <c r="BJZ67"/>
      <c r="BKA67"/>
      <c r="BKB67"/>
      <c r="BKC67"/>
      <c r="BKD67"/>
      <c r="BKE67"/>
      <c r="BKF67"/>
      <c r="BKG67"/>
      <c r="BKH67"/>
      <c r="BKI67"/>
      <c r="BKJ67"/>
      <c r="BKK67"/>
      <c r="BKL67"/>
      <c r="BKM67"/>
      <c r="BKN67"/>
      <c r="BKO67"/>
      <c r="BKP67"/>
      <c r="BKQ67"/>
      <c r="BKR67"/>
      <c r="BKS67"/>
      <c r="BKT67"/>
      <c r="BKU67"/>
      <c r="BKV67"/>
      <c r="BKW67"/>
      <c r="BKX67"/>
      <c r="BKY67"/>
      <c r="BKZ67"/>
      <c r="BLA67"/>
      <c r="BLB67"/>
      <c r="BLC67"/>
      <c r="BLD67"/>
      <c r="BLE67"/>
      <c r="BLF67"/>
      <c r="BLG67"/>
      <c r="BLH67"/>
      <c r="BLI67"/>
      <c r="BLJ67"/>
      <c r="BLK67"/>
      <c r="BLL67"/>
      <c r="BLM67"/>
      <c r="BLN67"/>
      <c r="BLO67"/>
      <c r="BLP67"/>
      <c r="BLQ67"/>
      <c r="BLR67"/>
      <c r="BLS67"/>
      <c r="BLT67"/>
      <c r="BLU67"/>
      <c r="BLV67"/>
      <c r="BLW67"/>
      <c r="BLX67"/>
      <c r="BLY67"/>
      <c r="BLZ67"/>
      <c r="BMA67"/>
      <c r="BMB67"/>
      <c r="BMC67"/>
      <c r="BMD67"/>
      <c r="BME67"/>
      <c r="BMF67"/>
      <c r="BMG67"/>
      <c r="BMH67"/>
      <c r="BMI67"/>
      <c r="BMJ67"/>
      <c r="BMK67"/>
      <c r="BML67"/>
      <c r="BMM67"/>
      <c r="BMN67"/>
      <c r="BMO67"/>
      <c r="BMP67"/>
      <c r="BMQ67"/>
      <c r="BMR67"/>
      <c r="BMS67"/>
      <c r="BMT67"/>
      <c r="BMU67"/>
      <c r="BMV67"/>
      <c r="BMW67"/>
      <c r="BMX67"/>
      <c r="BMY67"/>
      <c r="BMZ67"/>
      <c r="BNA67"/>
      <c r="BNB67"/>
      <c r="BNC67"/>
      <c r="BND67"/>
      <c r="BNE67"/>
      <c r="BNF67"/>
      <c r="BNG67"/>
      <c r="BNH67"/>
      <c r="BNI67"/>
      <c r="BNJ67"/>
      <c r="BNK67"/>
      <c r="BNL67"/>
      <c r="BNM67"/>
      <c r="BNN67"/>
      <c r="BNO67"/>
      <c r="BNP67"/>
      <c r="BNQ67"/>
      <c r="BNR67"/>
      <c r="BNS67"/>
      <c r="BNT67"/>
      <c r="BNU67"/>
      <c r="BNV67"/>
      <c r="BNW67"/>
      <c r="BNX67"/>
      <c r="BNY67"/>
      <c r="BNZ67"/>
      <c r="BOA67"/>
      <c r="BOB67"/>
      <c r="BOC67"/>
      <c r="BOD67"/>
      <c r="BOE67"/>
      <c r="BOF67"/>
      <c r="BOG67"/>
      <c r="BOH67"/>
      <c r="BOI67"/>
      <c r="BOJ67"/>
      <c r="BOK67"/>
      <c r="BOL67"/>
      <c r="BOM67"/>
      <c r="BON67"/>
      <c r="BOO67"/>
      <c r="BOP67"/>
      <c r="BOQ67"/>
      <c r="BOR67"/>
      <c r="BOS67"/>
      <c r="BOT67"/>
      <c r="BOU67"/>
      <c r="BOV67"/>
      <c r="BOW67"/>
      <c r="BOX67"/>
      <c r="BOY67"/>
      <c r="BOZ67"/>
      <c r="BPA67"/>
      <c r="BPB67"/>
      <c r="BPC67"/>
      <c r="BPD67"/>
      <c r="BPE67"/>
      <c r="BPF67"/>
      <c r="BPG67"/>
      <c r="BPH67"/>
      <c r="BPI67"/>
      <c r="BPJ67"/>
      <c r="BPK67"/>
      <c r="BPL67"/>
      <c r="BPM67"/>
      <c r="BPN67"/>
      <c r="BPO67"/>
      <c r="BPP67"/>
      <c r="BPQ67"/>
      <c r="BPR67"/>
      <c r="BPS67"/>
      <c r="BPT67"/>
      <c r="BPU67"/>
      <c r="BPV67"/>
      <c r="BPW67"/>
      <c r="BPX67"/>
      <c r="BPY67"/>
      <c r="BPZ67"/>
      <c r="BQA67"/>
      <c r="BQB67"/>
      <c r="BQC67"/>
      <c r="BQD67"/>
      <c r="BQE67"/>
      <c r="BQF67"/>
      <c r="BQG67"/>
      <c r="BQH67"/>
      <c r="BQI67"/>
      <c r="BQJ67"/>
      <c r="BQK67"/>
      <c r="BQL67"/>
      <c r="BQM67"/>
      <c r="BQN67"/>
      <c r="BQO67"/>
      <c r="BQP67"/>
      <c r="BQQ67"/>
      <c r="BQR67"/>
      <c r="BQS67"/>
      <c r="BQT67"/>
      <c r="BQU67"/>
      <c r="BQV67"/>
      <c r="BQW67"/>
      <c r="BQX67"/>
      <c r="BQY67"/>
      <c r="BQZ67"/>
      <c r="BRA67"/>
      <c r="BRB67"/>
      <c r="BRC67"/>
      <c r="BRD67"/>
      <c r="BRE67"/>
      <c r="BRF67"/>
      <c r="BRG67"/>
      <c r="BRH67"/>
      <c r="BRI67"/>
      <c r="BRJ67"/>
      <c r="BRK67"/>
      <c r="BRL67"/>
      <c r="BRM67"/>
      <c r="BRN67"/>
      <c r="BRO67"/>
      <c r="BRP67"/>
      <c r="BRQ67"/>
      <c r="BRR67"/>
      <c r="BRS67"/>
      <c r="BRT67"/>
      <c r="BRU67"/>
      <c r="BRV67"/>
      <c r="BRW67"/>
      <c r="BRX67"/>
      <c r="BRY67"/>
      <c r="BRZ67"/>
      <c r="BSA67"/>
      <c r="BSB67"/>
      <c r="BSC67"/>
      <c r="BSD67"/>
      <c r="BSE67"/>
      <c r="BSF67"/>
      <c r="BSG67"/>
      <c r="BSH67"/>
      <c r="BSI67"/>
      <c r="BSJ67"/>
      <c r="BSK67"/>
      <c r="BSL67"/>
      <c r="BSM67"/>
      <c r="BSN67"/>
      <c r="BSO67"/>
      <c r="BSP67"/>
      <c r="BSQ67"/>
      <c r="BSR67"/>
      <c r="BSS67"/>
      <c r="BST67"/>
      <c r="BSU67"/>
      <c r="BSV67"/>
      <c r="BSW67"/>
      <c r="BSX67"/>
      <c r="BSY67"/>
      <c r="BSZ67"/>
      <c r="BTA67"/>
      <c r="BTB67"/>
      <c r="BTC67"/>
      <c r="BTD67"/>
      <c r="BTE67"/>
      <c r="BTF67"/>
      <c r="BTG67"/>
      <c r="BTH67"/>
      <c r="BTI67"/>
      <c r="BTJ67"/>
      <c r="BTK67"/>
      <c r="BTL67"/>
      <c r="BTM67"/>
      <c r="BTN67"/>
      <c r="BTO67"/>
      <c r="BTP67"/>
      <c r="BTQ67"/>
      <c r="BTR67"/>
      <c r="BTS67"/>
      <c r="BTT67"/>
      <c r="BTU67"/>
      <c r="BTV67"/>
      <c r="BTW67"/>
      <c r="BTX67"/>
      <c r="BTY67"/>
      <c r="BTZ67"/>
      <c r="BUA67"/>
      <c r="BUB67"/>
      <c r="BUC67"/>
      <c r="BUD67"/>
      <c r="BUE67"/>
      <c r="BUF67"/>
      <c r="BUG67"/>
      <c r="BUH67"/>
      <c r="BUI67"/>
      <c r="BUJ67"/>
      <c r="BUK67"/>
      <c r="BUL67"/>
      <c r="BUM67"/>
      <c r="BUN67"/>
      <c r="BUO67"/>
      <c r="BUP67"/>
      <c r="BUQ67"/>
      <c r="BUR67"/>
      <c r="BUS67"/>
      <c r="BUT67"/>
      <c r="BUU67"/>
      <c r="BUV67"/>
      <c r="BUW67"/>
      <c r="BUX67"/>
      <c r="BUY67"/>
      <c r="BUZ67"/>
      <c r="BVA67"/>
      <c r="BVB67"/>
      <c r="BVC67"/>
      <c r="BVD67"/>
      <c r="BVE67"/>
      <c r="BVF67"/>
      <c r="BVG67"/>
      <c r="BVH67"/>
      <c r="BVI67"/>
      <c r="BVJ67"/>
      <c r="BVK67"/>
      <c r="BVL67"/>
      <c r="BVM67"/>
      <c r="BVN67"/>
      <c r="BVO67"/>
      <c r="BVP67"/>
      <c r="BVQ67"/>
      <c r="BVR67"/>
      <c r="BVS67"/>
      <c r="BVT67"/>
      <c r="BVU67"/>
      <c r="BVV67"/>
      <c r="BVW67"/>
      <c r="BVX67"/>
      <c r="BVY67"/>
      <c r="BVZ67"/>
      <c r="BWA67"/>
      <c r="BWB67"/>
      <c r="BWC67"/>
      <c r="BWD67"/>
      <c r="BWE67"/>
      <c r="BWF67"/>
      <c r="BWG67"/>
      <c r="BWH67"/>
      <c r="BWI67"/>
      <c r="BWJ67"/>
      <c r="BWK67"/>
      <c r="BWL67"/>
      <c r="BWM67"/>
      <c r="BWN67"/>
      <c r="BWO67"/>
      <c r="BWP67"/>
      <c r="BWQ67"/>
      <c r="BWR67"/>
      <c r="BWS67"/>
      <c r="BWT67"/>
      <c r="BWU67"/>
      <c r="BWV67"/>
      <c r="BWW67"/>
      <c r="BWX67"/>
      <c r="BWY67"/>
      <c r="BWZ67"/>
      <c r="BXA67"/>
      <c r="BXB67"/>
      <c r="BXC67"/>
      <c r="BXD67"/>
      <c r="BXE67"/>
      <c r="BXF67"/>
      <c r="BXG67"/>
      <c r="BXH67"/>
      <c r="BXI67"/>
      <c r="BXJ67"/>
      <c r="BXK67"/>
      <c r="BXL67"/>
      <c r="BXM67"/>
      <c r="BXN67"/>
      <c r="BXO67"/>
      <c r="BXP67"/>
      <c r="BXQ67"/>
      <c r="BXR67"/>
      <c r="BXS67"/>
      <c r="BXT67"/>
      <c r="BXU67"/>
      <c r="BXV67"/>
      <c r="BXW67"/>
      <c r="BXX67"/>
      <c r="BXY67"/>
      <c r="BXZ67"/>
      <c r="BYA67"/>
      <c r="BYB67"/>
      <c r="BYC67"/>
      <c r="BYD67"/>
      <c r="BYE67"/>
      <c r="BYF67"/>
      <c r="BYG67"/>
      <c r="BYH67"/>
      <c r="BYI67"/>
      <c r="BYJ67"/>
      <c r="BYK67"/>
      <c r="BYL67"/>
      <c r="BYM67"/>
      <c r="BYN67"/>
      <c r="BYO67"/>
      <c r="BYP67"/>
      <c r="BYQ67"/>
      <c r="BYR67"/>
      <c r="BYS67"/>
      <c r="BYT67"/>
      <c r="BYU67"/>
      <c r="BYV67"/>
      <c r="BYW67"/>
      <c r="BYX67"/>
      <c r="BYY67"/>
      <c r="BYZ67"/>
      <c r="BZA67"/>
      <c r="BZB67"/>
      <c r="BZC67"/>
      <c r="BZD67"/>
      <c r="BZE67"/>
      <c r="BZF67"/>
      <c r="BZG67"/>
      <c r="BZH67"/>
      <c r="BZI67"/>
      <c r="BZJ67"/>
      <c r="BZK67"/>
      <c r="BZL67"/>
      <c r="BZM67"/>
      <c r="BZN67"/>
      <c r="BZO67"/>
      <c r="BZP67"/>
      <c r="BZQ67"/>
      <c r="BZR67"/>
      <c r="BZS67"/>
      <c r="BZT67"/>
      <c r="BZU67"/>
      <c r="BZV67"/>
      <c r="BZW67"/>
      <c r="BZX67"/>
      <c r="BZY67"/>
      <c r="BZZ67"/>
      <c r="CAA67"/>
      <c r="CAB67"/>
      <c r="CAC67"/>
      <c r="CAD67"/>
      <c r="CAE67"/>
      <c r="CAF67"/>
      <c r="CAG67"/>
      <c r="CAH67"/>
      <c r="CAI67"/>
      <c r="CAJ67"/>
      <c r="CAK67"/>
      <c r="CAL67"/>
      <c r="CAM67"/>
      <c r="CAN67"/>
      <c r="CAO67"/>
      <c r="CAP67"/>
      <c r="CAQ67"/>
      <c r="CAR67"/>
      <c r="CAS67"/>
      <c r="CAT67"/>
      <c r="CAU67"/>
      <c r="CAV67"/>
      <c r="CAW67"/>
      <c r="CAX67"/>
      <c r="CAY67"/>
      <c r="CAZ67"/>
      <c r="CBA67"/>
      <c r="CBB67"/>
      <c r="CBC67"/>
      <c r="CBD67"/>
      <c r="CBE67"/>
      <c r="CBF67"/>
      <c r="CBG67"/>
      <c r="CBH67"/>
      <c r="CBI67"/>
      <c r="CBJ67"/>
      <c r="CBK67"/>
      <c r="CBL67"/>
      <c r="CBM67"/>
      <c r="CBN67"/>
      <c r="CBO67"/>
      <c r="CBP67"/>
      <c r="CBQ67"/>
      <c r="CBR67"/>
      <c r="CBS67"/>
      <c r="CBT67"/>
      <c r="CBU67"/>
      <c r="CBV67"/>
      <c r="CBW67"/>
      <c r="CBX67"/>
      <c r="CBY67"/>
      <c r="CBZ67"/>
      <c r="CCA67"/>
      <c r="CCB67"/>
      <c r="CCC67"/>
      <c r="CCD67"/>
      <c r="CCE67"/>
      <c r="CCF67"/>
      <c r="CCG67"/>
      <c r="CCH67"/>
      <c r="CCI67"/>
      <c r="CCJ67"/>
      <c r="CCK67"/>
      <c r="CCL67"/>
      <c r="CCM67"/>
      <c r="CCN67"/>
      <c r="CCO67"/>
      <c r="CCP67"/>
      <c r="CCQ67"/>
      <c r="CCR67"/>
      <c r="CCS67"/>
      <c r="CCT67"/>
      <c r="CCU67"/>
      <c r="CCV67"/>
      <c r="CCW67"/>
      <c r="CCX67"/>
      <c r="CCY67"/>
      <c r="CCZ67"/>
      <c r="CDA67"/>
      <c r="CDB67"/>
      <c r="CDC67"/>
      <c r="CDD67"/>
      <c r="CDE67"/>
      <c r="CDF67"/>
      <c r="CDG67"/>
      <c r="CDH67"/>
      <c r="CDI67"/>
      <c r="CDJ67"/>
      <c r="CDK67"/>
      <c r="CDL67"/>
      <c r="CDM67"/>
      <c r="CDN67"/>
      <c r="CDO67"/>
      <c r="CDP67"/>
      <c r="CDQ67"/>
      <c r="CDR67"/>
      <c r="CDS67"/>
      <c r="CDT67"/>
      <c r="CDU67"/>
      <c r="CDV67"/>
      <c r="CDW67"/>
      <c r="CDX67"/>
      <c r="CDY67"/>
      <c r="CDZ67"/>
      <c r="CEA67"/>
      <c r="CEB67"/>
      <c r="CEC67"/>
      <c r="CED67"/>
      <c r="CEE67"/>
      <c r="CEF67"/>
      <c r="CEG67"/>
      <c r="CEH67"/>
      <c r="CEI67"/>
      <c r="CEJ67"/>
      <c r="CEK67"/>
      <c r="CEL67"/>
      <c r="CEM67"/>
      <c r="CEN67"/>
      <c r="CEO67"/>
      <c r="CEP67"/>
      <c r="CEQ67"/>
      <c r="CER67"/>
      <c r="CES67"/>
      <c r="CET67"/>
      <c r="CEU67"/>
      <c r="CEV67"/>
      <c r="CEW67"/>
      <c r="CEX67"/>
      <c r="CEY67"/>
      <c r="CEZ67"/>
      <c r="CFA67"/>
      <c r="CFB67"/>
      <c r="CFC67"/>
      <c r="CFD67"/>
      <c r="CFE67"/>
      <c r="CFF67"/>
      <c r="CFG67"/>
      <c r="CFH67"/>
      <c r="CFI67"/>
      <c r="CFJ67"/>
      <c r="CFK67"/>
      <c r="CFL67"/>
      <c r="CFM67"/>
      <c r="CFN67"/>
      <c r="CFO67"/>
      <c r="CFP67"/>
      <c r="CFQ67"/>
      <c r="CFR67"/>
      <c r="CFS67"/>
      <c r="CFT67"/>
      <c r="CFU67"/>
      <c r="CFV67"/>
      <c r="CFW67"/>
      <c r="CFX67"/>
      <c r="CFY67"/>
      <c r="CFZ67"/>
      <c r="CGA67"/>
      <c r="CGB67"/>
      <c r="CGC67"/>
      <c r="CGD67"/>
      <c r="CGE67"/>
      <c r="CGF67"/>
      <c r="CGG67"/>
      <c r="CGH67"/>
      <c r="CGI67"/>
      <c r="CGJ67"/>
      <c r="CGK67"/>
      <c r="CGL67"/>
      <c r="CGM67"/>
      <c r="CGN67"/>
      <c r="CGO67"/>
      <c r="CGP67"/>
      <c r="CGQ67"/>
      <c r="CGR67"/>
      <c r="CGS67"/>
      <c r="CGT67"/>
      <c r="CGU67"/>
      <c r="CGV67"/>
      <c r="CGW67"/>
      <c r="CGX67"/>
      <c r="CGY67"/>
      <c r="CGZ67"/>
      <c r="CHA67"/>
      <c r="CHB67"/>
      <c r="CHC67"/>
      <c r="CHD67"/>
      <c r="CHE67"/>
      <c r="CHF67"/>
      <c r="CHG67"/>
      <c r="CHH67"/>
      <c r="CHI67"/>
      <c r="CHJ67"/>
      <c r="CHK67"/>
      <c r="CHL67"/>
      <c r="CHM67"/>
      <c r="CHN67"/>
      <c r="CHO67"/>
      <c r="CHP67"/>
      <c r="CHQ67"/>
      <c r="CHR67"/>
      <c r="CHS67"/>
      <c r="CHT67"/>
      <c r="CHU67"/>
      <c r="CHV67"/>
      <c r="CHW67"/>
      <c r="CHX67"/>
      <c r="CHY67"/>
      <c r="CHZ67"/>
      <c r="CIA67"/>
      <c r="CIB67"/>
      <c r="CIC67"/>
      <c r="CID67"/>
      <c r="CIE67"/>
      <c r="CIF67"/>
      <c r="CIG67"/>
      <c r="CIH67"/>
      <c r="CII67"/>
      <c r="CIJ67"/>
      <c r="CIK67"/>
      <c r="CIL67"/>
      <c r="CIM67"/>
      <c r="CIN67"/>
      <c r="CIO67"/>
      <c r="CIP67"/>
      <c r="CIQ67"/>
      <c r="CIR67"/>
      <c r="CIS67"/>
      <c r="CIT67"/>
      <c r="CIU67"/>
      <c r="CIV67"/>
      <c r="CIW67"/>
      <c r="CIX67"/>
      <c r="CIY67"/>
      <c r="CIZ67"/>
      <c r="CJA67"/>
      <c r="CJB67"/>
      <c r="CJC67"/>
      <c r="CJD67"/>
      <c r="CJE67"/>
      <c r="CJF67"/>
      <c r="CJG67"/>
      <c r="CJH67"/>
      <c r="CJI67"/>
      <c r="CJJ67"/>
      <c r="CJK67"/>
      <c r="CJL67"/>
      <c r="CJM67"/>
      <c r="CJN67"/>
      <c r="CJO67"/>
      <c r="CJP67"/>
      <c r="CJQ67"/>
      <c r="CJR67"/>
      <c r="CJS67"/>
      <c r="CJT67"/>
      <c r="CJU67"/>
      <c r="CJV67"/>
      <c r="CJW67"/>
      <c r="CJX67"/>
      <c r="CJY67"/>
      <c r="CJZ67"/>
      <c r="CKA67"/>
      <c r="CKB67"/>
      <c r="CKC67"/>
      <c r="CKD67"/>
      <c r="CKE67"/>
      <c r="CKF67"/>
      <c r="CKG67"/>
      <c r="CKH67"/>
      <c r="CKI67"/>
      <c r="CKJ67"/>
      <c r="CKK67"/>
      <c r="CKL67"/>
      <c r="CKM67"/>
      <c r="CKN67"/>
      <c r="CKO67"/>
      <c r="CKP67"/>
      <c r="CKQ67"/>
      <c r="CKR67"/>
      <c r="CKS67"/>
      <c r="CKT67"/>
      <c r="CKU67"/>
      <c r="CKV67"/>
      <c r="CKW67"/>
      <c r="CKX67"/>
      <c r="CKY67"/>
      <c r="CKZ67"/>
      <c r="CLA67"/>
      <c r="CLB67"/>
      <c r="CLC67"/>
      <c r="CLD67"/>
      <c r="CLE67"/>
      <c r="CLF67"/>
      <c r="CLG67"/>
      <c r="CLH67"/>
      <c r="CLI67"/>
      <c r="CLJ67"/>
      <c r="CLK67"/>
      <c r="CLL67"/>
      <c r="CLM67"/>
      <c r="CLN67"/>
      <c r="CLO67"/>
      <c r="CLP67"/>
      <c r="CLQ67"/>
      <c r="CLR67"/>
      <c r="CLS67"/>
      <c r="CLT67"/>
      <c r="CLU67"/>
      <c r="CLV67"/>
      <c r="CLW67"/>
      <c r="CLX67"/>
      <c r="CLY67"/>
      <c r="CLZ67"/>
      <c r="CMA67"/>
      <c r="CMB67"/>
      <c r="CMC67"/>
      <c r="CMD67"/>
      <c r="CME67"/>
      <c r="CMF67"/>
      <c r="CMG67"/>
      <c r="CMH67"/>
      <c r="CMI67"/>
      <c r="CMJ67"/>
      <c r="CMK67"/>
      <c r="CML67"/>
      <c r="CMM67"/>
      <c r="CMN67"/>
      <c r="CMO67"/>
      <c r="CMP67"/>
      <c r="CMQ67"/>
      <c r="CMR67"/>
      <c r="CMS67"/>
      <c r="CMT67"/>
      <c r="CMU67"/>
      <c r="CMV67"/>
      <c r="CMW67"/>
      <c r="CMX67"/>
      <c r="CMY67"/>
      <c r="CMZ67"/>
      <c r="CNA67"/>
      <c r="CNB67"/>
      <c r="CNC67"/>
      <c r="CND67"/>
      <c r="CNE67"/>
      <c r="CNF67"/>
      <c r="CNG67"/>
      <c r="CNH67"/>
      <c r="CNI67"/>
      <c r="CNJ67"/>
      <c r="CNK67"/>
      <c r="CNL67"/>
      <c r="CNM67"/>
      <c r="CNN67"/>
      <c r="CNO67"/>
      <c r="CNP67"/>
      <c r="CNQ67"/>
      <c r="CNR67"/>
      <c r="CNS67"/>
      <c r="CNT67"/>
      <c r="CNU67"/>
      <c r="CNV67"/>
      <c r="CNW67"/>
      <c r="CNX67"/>
      <c r="CNY67"/>
      <c r="CNZ67"/>
      <c r="COA67"/>
      <c r="COB67"/>
      <c r="COC67"/>
      <c r="COD67"/>
      <c r="COE67"/>
      <c r="COF67"/>
      <c r="COG67"/>
      <c r="COH67"/>
      <c r="COI67"/>
      <c r="COJ67"/>
      <c r="COK67"/>
      <c r="COL67"/>
      <c r="COM67"/>
      <c r="CON67"/>
      <c r="COO67"/>
      <c r="COP67"/>
      <c r="COQ67"/>
      <c r="COR67"/>
      <c r="COS67"/>
      <c r="COT67"/>
      <c r="COU67"/>
      <c r="COV67"/>
      <c r="COW67"/>
      <c r="COX67"/>
      <c r="COY67"/>
      <c r="COZ67"/>
      <c r="CPA67"/>
      <c r="CPB67"/>
      <c r="CPC67"/>
      <c r="CPD67"/>
      <c r="CPE67"/>
      <c r="CPF67"/>
      <c r="CPG67"/>
      <c r="CPH67"/>
      <c r="CPI67"/>
      <c r="CPJ67"/>
      <c r="CPK67"/>
      <c r="CPL67"/>
      <c r="CPM67"/>
      <c r="CPN67"/>
      <c r="CPO67"/>
      <c r="CPP67"/>
      <c r="CPQ67"/>
      <c r="CPR67"/>
      <c r="CPS67"/>
      <c r="CPT67"/>
      <c r="CPU67"/>
      <c r="CPV67"/>
      <c r="CPW67"/>
      <c r="CPX67"/>
      <c r="CPY67"/>
      <c r="CPZ67"/>
      <c r="CQA67"/>
      <c r="CQB67"/>
      <c r="CQC67"/>
      <c r="CQD67"/>
      <c r="CQE67"/>
      <c r="CQF67"/>
      <c r="CQG67"/>
      <c r="CQH67"/>
      <c r="CQI67"/>
      <c r="CQJ67"/>
      <c r="CQK67"/>
      <c r="CQL67"/>
      <c r="CQM67"/>
      <c r="CQN67"/>
      <c r="CQO67"/>
      <c r="CQP67"/>
      <c r="CQQ67"/>
      <c r="CQR67"/>
      <c r="CQS67"/>
      <c r="CQT67"/>
      <c r="CQU67"/>
      <c r="CQV67"/>
      <c r="CQW67"/>
      <c r="CQX67"/>
      <c r="CQY67"/>
      <c r="CQZ67"/>
      <c r="CRA67"/>
      <c r="CRB67"/>
      <c r="CRC67"/>
      <c r="CRD67"/>
      <c r="CRE67"/>
      <c r="CRF67"/>
      <c r="CRG67"/>
      <c r="CRH67"/>
      <c r="CRI67"/>
      <c r="CRJ67"/>
      <c r="CRK67"/>
      <c r="CRL67"/>
      <c r="CRM67"/>
      <c r="CRN67"/>
      <c r="CRO67"/>
      <c r="CRP67"/>
      <c r="CRQ67"/>
      <c r="CRR67"/>
      <c r="CRS67"/>
      <c r="CRT67"/>
      <c r="CRU67"/>
      <c r="CRV67"/>
      <c r="CRW67"/>
      <c r="CRX67"/>
      <c r="CRY67"/>
      <c r="CRZ67"/>
      <c r="CSA67"/>
      <c r="CSB67"/>
      <c r="CSC67"/>
      <c r="CSD67"/>
      <c r="CSE67"/>
      <c r="CSF67"/>
      <c r="CSG67"/>
      <c r="CSH67"/>
      <c r="CSI67"/>
      <c r="CSJ67"/>
      <c r="CSK67"/>
      <c r="CSL67"/>
      <c r="CSM67"/>
      <c r="CSN67"/>
      <c r="CSO67"/>
      <c r="CSP67"/>
      <c r="CSQ67"/>
      <c r="CSR67"/>
      <c r="CSS67"/>
      <c r="CST67"/>
      <c r="CSU67"/>
      <c r="CSV67"/>
      <c r="CSW67"/>
      <c r="CSX67"/>
      <c r="CSY67"/>
      <c r="CSZ67"/>
      <c r="CTA67"/>
      <c r="CTB67"/>
      <c r="CTC67"/>
      <c r="CTD67"/>
      <c r="CTE67"/>
      <c r="CTF67"/>
      <c r="CTG67"/>
      <c r="CTH67"/>
      <c r="CTI67"/>
      <c r="CTJ67"/>
      <c r="CTK67"/>
      <c r="CTL67"/>
      <c r="CTM67"/>
      <c r="CTN67"/>
      <c r="CTO67"/>
      <c r="CTP67"/>
      <c r="CTQ67"/>
      <c r="CTR67"/>
      <c r="CTS67"/>
      <c r="CTT67"/>
      <c r="CTU67"/>
      <c r="CTV67"/>
      <c r="CTW67"/>
      <c r="CTX67"/>
      <c r="CTY67"/>
      <c r="CTZ67"/>
      <c r="CUA67"/>
      <c r="CUB67"/>
      <c r="CUC67"/>
      <c r="CUD67"/>
      <c r="CUE67"/>
      <c r="CUF67"/>
      <c r="CUG67"/>
      <c r="CUH67"/>
      <c r="CUI67"/>
      <c r="CUJ67"/>
      <c r="CUK67"/>
      <c r="CUL67"/>
      <c r="CUM67"/>
      <c r="CUN67"/>
      <c r="CUO67"/>
      <c r="CUP67"/>
      <c r="CUQ67"/>
      <c r="CUR67"/>
      <c r="CUS67"/>
      <c r="CUT67"/>
      <c r="CUU67"/>
      <c r="CUV67"/>
      <c r="CUW67"/>
      <c r="CUX67"/>
      <c r="CUY67"/>
      <c r="CUZ67"/>
      <c r="CVA67"/>
      <c r="CVB67"/>
      <c r="CVC67"/>
      <c r="CVD67"/>
      <c r="CVE67"/>
      <c r="CVF67"/>
      <c r="CVG67"/>
      <c r="CVH67"/>
      <c r="CVI67"/>
      <c r="CVJ67"/>
      <c r="CVK67"/>
      <c r="CVL67"/>
      <c r="CVM67"/>
      <c r="CVN67"/>
      <c r="CVO67"/>
      <c r="CVP67"/>
      <c r="CVQ67"/>
      <c r="CVR67"/>
      <c r="CVS67"/>
      <c r="CVT67"/>
      <c r="CVU67"/>
      <c r="CVV67"/>
      <c r="CVW67"/>
      <c r="CVX67"/>
      <c r="CVY67"/>
      <c r="CVZ67"/>
      <c r="CWA67"/>
      <c r="CWB67"/>
      <c r="CWC67"/>
      <c r="CWD67"/>
      <c r="CWE67"/>
      <c r="CWF67"/>
      <c r="CWG67"/>
      <c r="CWH67"/>
      <c r="CWI67"/>
      <c r="CWJ67"/>
      <c r="CWK67"/>
      <c r="CWL67"/>
      <c r="CWM67"/>
      <c r="CWN67"/>
      <c r="CWO67"/>
      <c r="CWP67"/>
      <c r="CWQ67"/>
      <c r="CWR67"/>
      <c r="CWS67"/>
      <c r="CWT67"/>
      <c r="CWU67"/>
      <c r="CWV67"/>
      <c r="CWW67"/>
      <c r="CWX67"/>
      <c r="CWY67"/>
      <c r="CWZ67"/>
      <c r="CXA67"/>
      <c r="CXB67"/>
      <c r="CXC67"/>
      <c r="CXD67"/>
      <c r="CXE67"/>
      <c r="CXF67"/>
      <c r="CXG67"/>
      <c r="CXH67"/>
      <c r="CXI67"/>
      <c r="CXJ67"/>
      <c r="CXK67"/>
      <c r="CXL67"/>
      <c r="CXM67"/>
      <c r="CXN67"/>
      <c r="CXO67"/>
      <c r="CXP67"/>
      <c r="CXQ67"/>
      <c r="CXR67"/>
      <c r="CXS67"/>
      <c r="CXT67"/>
      <c r="CXU67"/>
      <c r="CXV67"/>
      <c r="CXW67"/>
      <c r="CXX67"/>
      <c r="CXY67"/>
      <c r="CXZ67"/>
      <c r="CYA67"/>
      <c r="CYB67"/>
      <c r="CYC67"/>
      <c r="CYD67"/>
      <c r="CYE67"/>
      <c r="CYF67"/>
      <c r="CYG67"/>
      <c r="CYH67"/>
      <c r="CYI67"/>
      <c r="CYJ67"/>
      <c r="CYK67"/>
      <c r="CYL67"/>
      <c r="CYM67"/>
      <c r="CYN67"/>
      <c r="CYO67"/>
      <c r="CYP67"/>
      <c r="CYQ67"/>
      <c r="CYR67"/>
      <c r="CYS67"/>
      <c r="CYT67"/>
      <c r="CYU67"/>
      <c r="CYV67"/>
      <c r="CYW67"/>
      <c r="CYX67"/>
      <c r="CYY67"/>
      <c r="CYZ67"/>
      <c r="CZA67"/>
      <c r="CZB67"/>
      <c r="CZC67"/>
      <c r="CZD67"/>
      <c r="CZE67"/>
      <c r="CZF67"/>
      <c r="CZG67"/>
      <c r="CZH67"/>
      <c r="CZI67"/>
      <c r="CZJ67"/>
      <c r="CZK67"/>
      <c r="CZL67"/>
      <c r="CZM67"/>
      <c r="CZN67"/>
      <c r="CZO67"/>
      <c r="CZP67"/>
      <c r="CZQ67"/>
      <c r="CZR67"/>
      <c r="CZS67"/>
      <c r="CZT67"/>
      <c r="CZU67"/>
      <c r="CZV67"/>
      <c r="CZW67"/>
      <c r="CZX67"/>
      <c r="CZY67"/>
      <c r="CZZ67"/>
      <c r="DAA67"/>
      <c r="DAB67"/>
      <c r="DAC67"/>
      <c r="DAD67"/>
      <c r="DAE67"/>
      <c r="DAF67"/>
      <c r="DAG67"/>
      <c r="DAH67"/>
      <c r="DAI67"/>
      <c r="DAJ67"/>
      <c r="DAK67"/>
      <c r="DAL67"/>
      <c r="DAM67"/>
      <c r="DAN67"/>
      <c r="DAO67"/>
      <c r="DAP67"/>
      <c r="DAQ67"/>
      <c r="DAR67"/>
      <c r="DAS67"/>
      <c r="DAT67"/>
      <c r="DAU67"/>
      <c r="DAV67"/>
      <c r="DAW67"/>
      <c r="DAX67"/>
      <c r="DAY67"/>
      <c r="DAZ67"/>
      <c r="DBA67"/>
      <c r="DBB67"/>
      <c r="DBC67"/>
      <c r="DBD67"/>
      <c r="DBE67"/>
      <c r="DBF67"/>
      <c r="DBG67"/>
      <c r="DBH67"/>
      <c r="DBI67"/>
      <c r="DBJ67"/>
      <c r="DBK67"/>
      <c r="DBL67"/>
      <c r="DBM67"/>
      <c r="DBN67"/>
      <c r="DBO67"/>
      <c r="DBP67"/>
      <c r="DBQ67"/>
      <c r="DBR67"/>
      <c r="DBS67"/>
      <c r="DBT67"/>
      <c r="DBU67"/>
      <c r="DBV67"/>
      <c r="DBW67"/>
      <c r="DBX67"/>
      <c r="DBY67"/>
      <c r="DBZ67"/>
      <c r="DCA67"/>
      <c r="DCB67"/>
      <c r="DCC67"/>
      <c r="DCD67"/>
      <c r="DCE67"/>
      <c r="DCF67"/>
      <c r="DCG67"/>
      <c r="DCH67"/>
      <c r="DCI67"/>
      <c r="DCJ67"/>
      <c r="DCK67"/>
      <c r="DCL67"/>
      <c r="DCM67"/>
      <c r="DCN67"/>
      <c r="DCO67"/>
      <c r="DCP67"/>
      <c r="DCQ67"/>
      <c r="DCR67"/>
      <c r="DCS67"/>
      <c r="DCT67"/>
      <c r="DCU67"/>
      <c r="DCV67"/>
      <c r="DCW67"/>
      <c r="DCX67"/>
      <c r="DCY67"/>
      <c r="DCZ67"/>
      <c r="DDA67"/>
      <c r="DDB67"/>
      <c r="DDC67"/>
      <c r="DDD67"/>
      <c r="DDE67"/>
      <c r="DDF67"/>
      <c r="DDG67"/>
      <c r="DDH67"/>
      <c r="DDI67"/>
      <c r="DDJ67"/>
      <c r="DDK67"/>
      <c r="DDL67"/>
      <c r="DDM67"/>
      <c r="DDN67"/>
      <c r="DDO67"/>
      <c r="DDP67"/>
      <c r="DDQ67"/>
      <c r="DDR67"/>
      <c r="DDS67"/>
      <c r="DDT67"/>
      <c r="DDU67"/>
      <c r="DDV67"/>
      <c r="DDW67"/>
      <c r="DDX67"/>
      <c r="DDY67"/>
      <c r="DDZ67"/>
      <c r="DEA67"/>
      <c r="DEB67"/>
      <c r="DEC67"/>
      <c r="DED67"/>
      <c r="DEE67"/>
      <c r="DEF67"/>
      <c r="DEG67"/>
      <c r="DEH67"/>
      <c r="DEI67"/>
      <c r="DEJ67"/>
      <c r="DEK67"/>
      <c r="DEL67"/>
      <c r="DEM67"/>
      <c r="DEN67"/>
      <c r="DEO67"/>
      <c r="DEP67"/>
      <c r="DEQ67"/>
      <c r="DER67"/>
      <c r="DES67"/>
      <c r="DET67"/>
      <c r="DEU67"/>
      <c r="DEV67"/>
      <c r="DEW67"/>
      <c r="DEX67"/>
      <c r="DEY67"/>
      <c r="DEZ67"/>
      <c r="DFA67"/>
      <c r="DFB67"/>
      <c r="DFC67"/>
      <c r="DFD67"/>
      <c r="DFE67"/>
      <c r="DFF67"/>
      <c r="DFG67"/>
      <c r="DFH67"/>
      <c r="DFI67"/>
      <c r="DFJ67"/>
      <c r="DFK67"/>
      <c r="DFL67"/>
      <c r="DFM67"/>
      <c r="DFN67"/>
      <c r="DFO67"/>
      <c r="DFP67"/>
      <c r="DFQ67"/>
      <c r="DFR67"/>
      <c r="DFS67"/>
      <c r="DFT67"/>
      <c r="DFU67"/>
      <c r="DFV67"/>
      <c r="DFW67"/>
      <c r="DFX67"/>
      <c r="DFY67"/>
      <c r="DFZ67"/>
      <c r="DGA67"/>
      <c r="DGB67"/>
      <c r="DGC67"/>
      <c r="DGD67"/>
      <c r="DGE67"/>
      <c r="DGF67"/>
      <c r="DGG67"/>
      <c r="DGH67"/>
      <c r="DGI67"/>
      <c r="DGJ67"/>
      <c r="DGK67"/>
      <c r="DGL67"/>
      <c r="DGM67"/>
      <c r="DGN67"/>
      <c r="DGO67"/>
      <c r="DGP67"/>
      <c r="DGQ67"/>
      <c r="DGR67"/>
      <c r="DGS67"/>
      <c r="DGT67"/>
      <c r="DGU67"/>
      <c r="DGV67"/>
      <c r="DGW67"/>
      <c r="DGX67"/>
      <c r="DGY67"/>
      <c r="DGZ67"/>
      <c r="DHA67"/>
      <c r="DHB67"/>
      <c r="DHC67"/>
      <c r="DHD67"/>
      <c r="DHE67"/>
      <c r="DHF67"/>
      <c r="DHG67"/>
      <c r="DHH67"/>
      <c r="DHI67"/>
      <c r="DHJ67"/>
      <c r="DHK67"/>
      <c r="DHL67"/>
      <c r="DHM67"/>
      <c r="DHN67"/>
      <c r="DHO67"/>
      <c r="DHP67"/>
      <c r="DHQ67"/>
      <c r="DHR67"/>
      <c r="DHS67"/>
      <c r="DHT67"/>
      <c r="DHU67"/>
      <c r="DHV67"/>
      <c r="DHW67"/>
      <c r="DHX67"/>
      <c r="DHY67"/>
      <c r="DHZ67"/>
      <c r="DIA67"/>
      <c r="DIB67"/>
      <c r="DIC67"/>
      <c r="DID67"/>
      <c r="DIE67"/>
      <c r="DIF67"/>
      <c r="DIG67"/>
      <c r="DIH67"/>
      <c r="DII67"/>
      <c r="DIJ67"/>
      <c r="DIK67"/>
      <c r="DIL67"/>
      <c r="DIM67"/>
      <c r="DIN67"/>
      <c r="DIO67"/>
      <c r="DIP67"/>
      <c r="DIQ67"/>
      <c r="DIR67"/>
      <c r="DIS67"/>
      <c r="DIT67"/>
      <c r="DIU67"/>
      <c r="DIV67"/>
      <c r="DIW67"/>
      <c r="DIX67"/>
      <c r="DIY67"/>
      <c r="DIZ67"/>
      <c r="DJA67"/>
      <c r="DJB67"/>
      <c r="DJC67"/>
      <c r="DJD67"/>
      <c r="DJE67"/>
      <c r="DJF67"/>
      <c r="DJG67"/>
      <c r="DJH67"/>
      <c r="DJI67"/>
      <c r="DJJ67"/>
      <c r="DJK67"/>
      <c r="DJL67"/>
      <c r="DJM67"/>
      <c r="DJN67"/>
      <c r="DJO67"/>
      <c r="DJP67"/>
      <c r="DJQ67"/>
      <c r="DJR67"/>
      <c r="DJS67"/>
      <c r="DJT67"/>
      <c r="DJU67"/>
      <c r="DJV67"/>
      <c r="DJW67"/>
      <c r="DJX67"/>
      <c r="DJY67"/>
      <c r="DJZ67"/>
      <c r="DKA67"/>
      <c r="DKB67"/>
      <c r="DKC67"/>
      <c r="DKD67"/>
      <c r="DKE67"/>
      <c r="DKF67"/>
      <c r="DKG67"/>
      <c r="DKH67"/>
      <c r="DKI67"/>
      <c r="DKJ67"/>
      <c r="DKK67"/>
      <c r="DKL67"/>
      <c r="DKM67"/>
      <c r="DKN67"/>
      <c r="DKO67"/>
      <c r="DKP67"/>
      <c r="DKQ67"/>
      <c r="DKR67"/>
      <c r="DKS67"/>
      <c r="DKT67"/>
      <c r="DKU67"/>
      <c r="DKV67"/>
      <c r="DKW67"/>
      <c r="DKX67"/>
      <c r="DKY67"/>
      <c r="DKZ67"/>
      <c r="DLA67"/>
      <c r="DLB67"/>
      <c r="DLC67"/>
      <c r="DLD67"/>
      <c r="DLE67"/>
      <c r="DLF67"/>
      <c r="DLG67"/>
      <c r="DLH67"/>
      <c r="DLI67"/>
      <c r="DLJ67"/>
      <c r="DLK67"/>
      <c r="DLL67"/>
      <c r="DLM67"/>
      <c r="DLN67"/>
      <c r="DLO67"/>
      <c r="DLP67"/>
      <c r="DLQ67"/>
      <c r="DLR67"/>
      <c r="DLS67"/>
      <c r="DLT67"/>
      <c r="DLU67"/>
      <c r="DLV67"/>
      <c r="DLW67"/>
      <c r="DLX67"/>
      <c r="DLY67"/>
      <c r="DLZ67"/>
      <c r="DMA67"/>
      <c r="DMB67"/>
      <c r="DMC67"/>
      <c r="DMD67"/>
      <c r="DME67"/>
      <c r="DMF67"/>
      <c r="DMG67"/>
      <c r="DMH67"/>
      <c r="DMI67"/>
      <c r="DMJ67"/>
      <c r="DMK67"/>
      <c r="DML67"/>
      <c r="DMM67"/>
      <c r="DMN67"/>
      <c r="DMO67"/>
      <c r="DMP67"/>
      <c r="DMQ67"/>
      <c r="DMR67"/>
      <c r="DMS67"/>
      <c r="DMT67"/>
      <c r="DMU67"/>
      <c r="DMV67"/>
      <c r="DMW67"/>
      <c r="DMX67"/>
      <c r="DMY67"/>
      <c r="DMZ67"/>
      <c r="DNA67"/>
      <c r="DNB67"/>
      <c r="DNC67"/>
      <c r="DND67"/>
      <c r="DNE67"/>
      <c r="DNF67"/>
      <c r="DNG67"/>
      <c r="DNH67"/>
      <c r="DNI67"/>
      <c r="DNJ67"/>
      <c r="DNK67"/>
      <c r="DNL67"/>
      <c r="DNM67"/>
      <c r="DNN67"/>
      <c r="DNO67"/>
      <c r="DNP67"/>
      <c r="DNQ67"/>
      <c r="DNR67"/>
      <c r="DNS67"/>
      <c r="DNT67"/>
      <c r="DNU67"/>
      <c r="DNV67"/>
      <c r="DNW67"/>
      <c r="DNX67"/>
      <c r="DNY67"/>
      <c r="DNZ67"/>
      <c r="DOA67"/>
      <c r="DOB67"/>
      <c r="DOC67"/>
      <c r="DOD67"/>
      <c r="DOE67"/>
      <c r="DOF67"/>
      <c r="DOG67"/>
      <c r="DOH67"/>
      <c r="DOI67"/>
      <c r="DOJ67"/>
      <c r="DOK67"/>
      <c r="DOL67"/>
      <c r="DOM67"/>
      <c r="DON67"/>
      <c r="DOO67"/>
      <c r="DOP67"/>
      <c r="DOQ67"/>
      <c r="DOR67"/>
      <c r="DOS67"/>
      <c r="DOT67"/>
      <c r="DOU67"/>
      <c r="DOV67"/>
      <c r="DOW67"/>
      <c r="DOX67"/>
      <c r="DOY67"/>
      <c r="DOZ67"/>
      <c r="DPA67"/>
      <c r="DPB67"/>
      <c r="DPC67"/>
      <c r="DPD67"/>
      <c r="DPE67"/>
      <c r="DPF67"/>
      <c r="DPG67"/>
      <c r="DPH67"/>
      <c r="DPI67"/>
      <c r="DPJ67"/>
      <c r="DPK67"/>
      <c r="DPL67"/>
      <c r="DPM67"/>
      <c r="DPN67"/>
      <c r="DPO67"/>
      <c r="DPP67"/>
      <c r="DPQ67"/>
      <c r="DPR67"/>
      <c r="DPS67"/>
      <c r="DPT67"/>
      <c r="DPU67"/>
      <c r="DPV67"/>
      <c r="DPW67"/>
      <c r="DPX67"/>
      <c r="DPY67"/>
      <c r="DPZ67"/>
      <c r="DQA67"/>
      <c r="DQB67"/>
      <c r="DQC67"/>
      <c r="DQD67"/>
      <c r="DQE67"/>
      <c r="DQF67"/>
      <c r="DQG67"/>
      <c r="DQH67"/>
      <c r="DQI67"/>
      <c r="DQJ67"/>
      <c r="DQK67"/>
      <c r="DQL67"/>
      <c r="DQM67"/>
      <c r="DQN67"/>
      <c r="DQO67"/>
      <c r="DQP67"/>
      <c r="DQQ67"/>
      <c r="DQR67"/>
      <c r="DQS67"/>
      <c r="DQT67"/>
      <c r="DQU67"/>
      <c r="DQV67"/>
      <c r="DQW67"/>
      <c r="DQX67"/>
      <c r="DQY67"/>
      <c r="DQZ67"/>
      <c r="DRA67"/>
      <c r="DRB67"/>
      <c r="DRC67"/>
      <c r="DRD67"/>
      <c r="DRE67"/>
      <c r="DRF67"/>
      <c r="DRG67"/>
      <c r="DRH67"/>
      <c r="DRI67"/>
      <c r="DRJ67"/>
      <c r="DRK67"/>
      <c r="DRL67"/>
      <c r="DRM67"/>
      <c r="DRN67"/>
      <c r="DRO67"/>
      <c r="DRP67"/>
      <c r="DRQ67"/>
      <c r="DRR67"/>
      <c r="DRS67"/>
      <c r="DRT67"/>
      <c r="DRU67"/>
      <c r="DRV67"/>
      <c r="DRW67"/>
      <c r="DRX67"/>
      <c r="DRY67"/>
      <c r="DRZ67"/>
      <c r="DSA67"/>
      <c r="DSB67"/>
      <c r="DSC67"/>
      <c r="DSD67"/>
      <c r="DSE67"/>
      <c r="DSF67"/>
      <c r="DSG67"/>
      <c r="DSH67"/>
      <c r="DSI67"/>
      <c r="DSJ67"/>
      <c r="DSK67"/>
      <c r="DSL67"/>
      <c r="DSM67"/>
      <c r="DSN67"/>
      <c r="DSO67"/>
      <c r="DSP67"/>
      <c r="DSQ67"/>
      <c r="DSR67"/>
      <c r="DSS67"/>
      <c r="DST67"/>
      <c r="DSU67"/>
      <c r="DSV67"/>
      <c r="DSW67"/>
      <c r="DSX67"/>
      <c r="DSY67"/>
      <c r="DSZ67"/>
      <c r="DTA67"/>
      <c r="DTB67"/>
      <c r="DTC67"/>
      <c r="DTD67"/>
      <c r="DTE67"/>
      <c r="DTF67"/>
      <c r="DTG67"/>
      <c r="DTH67"/>
      <c r="DTI67"/>
      <c r="DTJ67"/>
      <c r="DTK67"/>
      <c r="DTL67"/>
      <c r="DTM67"/>
      <c r="DTN67"/>
      <c r="DTO67"/>
      <c r="DTP67"/>
      <c r="DTQ67"/>
      <c r="DTR67"/>
      <c r="DTS67"/>
      <c r="DTT67"/>
      <c r="DTU67"/>
      <c r="DTV67"/>
      <c r="DTW67"/>
      <c r="DTX67"/>
      <c r="DTY67"/>
      <c r="DTZ67"/>
      <c r="DUA67"/>
      <c r="DUB67"/>
      <c r="DUC67"/>
      <c r="DUD67"/>
      <c r="DUE67"/>
      <c r="DUF67"/>
      <c r="DUG67"/>
      <c r="DUH67"/>
      <c r="DUI67"/>
      <c r="DUJ67"/>
      <c r="DUK67"/>
      <c r="DUL67"/>
      <c r="DUM67"/>
      <c r="DUN67"/>
      <c r="DUO67"/>
      <c r="DUP67"/>
      <c r="DUQ67"/>
      <c r="DUR67"/>
      <c r="DUS67"/>
      <c r="DUT67"/>
      <c r="DUU67"/>
      <c r="DUV67"/>
      <c r="DUW67"/>
      <c r="DUX67"/>
      <c r="DUY67"/>
      <c r="DUZ67"/>
      <c r="DVA67"/>
      <c r="DVB67"/>
      <c r="DVC67"/>
      <c r="DVD67"/>
      <c r="DVE67"/>
      <c r="DVF67"/>
      <c r="DVG67"/>
      <c r="DVH67"/>
      <c r="DVI67"/>
      <c r="DVJ67"/>
      <c r="DVK67"/>
      <c r="DVL67"/>
      <c r="DVM67"/>
      <c r="DVN67"/>
      <c r="DVO67"/>
      <c r="DVP67"/>
      <c r="DVQ67"/>
      <c r="DVR67"/>
      <c r="DVS67"/>
      <c r="DVT67"/>
      <c r="DVU67"/>
      <c r="DVV67"/>
      <c r="DVW67"/>
      <c r="DVX67"/>
      <c r="DVY67"/>
      <c r="DVZ67"/>
      <c r="DWA67"/>
      <c r="DWB67"/>
      <c r="DWC67"/>
      <c r="DWD67"/>
      <c r="DWE67"/>
      <c r="DWF67"/>
      <c r="DWG67"/>
      <c r="DWH67"/>
      <c r="DWI67"/>
      <c r="DWJ67"/>
      <c r="DWK67"/>
      <c r="DWL67"/>
      <c r="DWM67"/>
      <c r="DWN67"/>
      <c r="DWO67"/>
      <c r="DWP67"/>
      <c r="DWQ67"/>
      <c r="DWR67"/>
      <c r="DWS67"/>
      <c r="DWT67"/>
      <c r="DWU67"/>
      <c r="DWV67"/>
      <c r="DWW67"/>
      <c r="DWX67"/>
      <c r="DWY67"/>
      <c r="DWZ67"/>
      <c r="DXA67"/>
      <c r="DXB67"/>
      <c r="DXC67"/>
      <c r="DXD67"/>
      <c r="DXE67"/>
      <c r="DXF67"/>
      <c r="DXG67"/>
      <c r="DXH67"/>
      <c r="DXI67"/>
      <c r="DXJ67"/>
      <c r="DXK67"/>
      <c r="DXL67"/>
      <c r="DXM67"/>
      <c r="DXN67"/>
      <c r="DXO67"/>
      <c r="DXP67"/>
      <c r="DXQ67"/>
      <c r="DXR67"/>
      <c r="DXS67"/>
      <c r="DXT67"/>
      <c r="DXU67"/>
      <c r="DXV67"/>
      <c r="DXW67"/>
      <c r="DXX67"/>
      <c r="DXY67"/>
      <c r="DXZ67"/>
      <c r="DYA67"/>
      <c r="DYB67"/>
      <c r="DYC67"/>
      <c r="DYD67"/>
      <c r="DYE67"/>
      <c r="DYF67"/>
      <c r="DYG67"/>
      <c r="DYH67"/>
      <c r="DYI67"/>
      <c r="DYJ67"/>
      <c r="DYK67"/>
      <c r="DYL67"/>
      <c r="DYM67"/>
      <c r="DYN67"/>
      <c r="DYO67"/>
      <c r="DYP67"/>
      <c r="DYQ67"/>
      <c r="DYR67"/>
      <c r="DYS67"/>
      <c r="DYT67"/>
      <c r="DYU67"/>
      <c r="DYV67"/>
      <c r="DYW67"/>
      <c r="DYX67"/>
      <c r="DYY67"/>
      <c r="DYZ67"/>
      <c r="DZA67"/>
      <c r="DZB67"/>
      <c r="DZC67"/>
      <c r="DZD67"/>
      <c r="DZE67"/>
      <c r="DZF67"/>
      <c r="DZG67"/>
      <c r="DZH67"/>
      <c r="DZI67"/>
      <c r="DZJ67"/>
      <c r="DZK67"/>
      <c r="DZL67"/>
      <c r="DZM67"/>
      <c r="DZN67"/>
      <c r="DZO67"/>
      <c r="DZP67"/>
      <c r="DZQ67"/>
      <c r="DZR67"/>
      <c r="DZS67"/>
      <c r="DZT67"/>
      <c r="DZU67"/>
      <c r="DZV67"/>
      <c r="DZW67"/>
      <c r="DZX67"/>
      <c r="DZY67"/>
      <c r="DZZ67"/>
      <c r="EAA67"/>
      <c r="EAB67"/>
      <c r="EAC67"/>
      <c r="EAD67"/>
      <c r="EAE67"/>
      <c r="EAF67"/>
      <c r="EAG67"/>
      <c r="EAH67"/>
      <c r="EAI67"/>
      <c r="EAJ67"/>
      <c r="EAK67"/>
      <c r="EAL67"/>
      <c r="EAM67"/>
      <c r="EAN67"/>
      <c r="EAO67"/>
      <c r="EAP67"/>
      <c r="EAQ67"/>
      <c r="EAR67"/>
      <c r="EAS67"/>
      <c r="EAT67"/>
      <c r="EAU67"/>
      <c r="EAV67"/>
      <c r="EAW67"/>
      <c r="EAX67"/>
      <c r="EAY67"/>
      <c r="EAZ67"/>
      <c r="EBA67"/>
      <c r="EBB67"/>
      <c r="EBC67"/>
      <c r="EBD67"/>
      <c r="EBE67"/>
      <c r="EBF67"/>
      <c r="EBG67"/>
      <c r="EBH67"/>
      <c r="EBI67"/>
      <c r="EBJ67"/>
      <c r="EBK67"/>
      <c r="EBL67"/>
      <c r="EBM67"/>
      <c r="EBN67"/>
      <c r="EBO67"/>
      <c r="EBP67"/>
      <c r="EBQ67"/>
      <c r="EBR67"/>
      <c r="EBS67"/>
      <c r="EBT67"/>
      <c r="EBU67"/>
      <c r="EBV67"/>
      <c r="EBW67"/>
      <c r="EBX67"/>
      <c r="EBY67"/>
      <c r="EBZ67"/>
      <c r="ECA67"/>
      <c r="ECB67"/>
      <c r="ECC67"/>
      <c r="ECD67"/>
      <c r="ECE67"/>
      <c r="ECF67"/>
      <c r="ECG67"/>
      <c r="ECH67"/>
      <c r="ECI67"/>
      <c r="ECJ67"/>
      <c r="ECK67"/>
      <c r="ECL67"/>
      <c r="ECM67"/>
      <c r="ECN67"/>
      <c r="ECO67"/>
      <c r="ECP67"/>
      <c r="ECQ67"/>
      <c r="ECR67"/>
      <c r="ECS67"/>
      <c r="ECT67"/>
      <c r="ECU67"/>
      <c r="ECV67"/>
      <c r="ECW67"/>
      <c r="ECX67"/>
      <c r="ECY67"/>
      <c r="ECZ67"/>
      <c r="EDA67"/>
      <c r="EDB67"/>
      <c r="EDC67"/>
      <c r="EDD67"/>
      <c r="EDE67"/>
      <c r="EDF67"/>
      <c r="EDG67"/>
      <c r="EDH67"/>
      <c r="EDI67"/>
      <c r="EDJ67"/>
      <c r="EDK67"/>
      <c r="EDL67"/>
      <c r="EDM67"/>
      <c r="EDN67"/>
      <c r="EDO67"/>
      <c r="EDP67"/>
      <c r="EDQ67"/>
      <c r="EDR67"/>
      <c r="EDS67"/>
      <c r="EDT67"/>
      <c r="EDU67"/>
      <c r="EDV67"/>
      <c r="EDW67"/>
      <c r="EDX67"/>
      <c r="EDY67"/>
      <c r="EDZ67"/>
      <c r="EEA67"/>
      <c r="EEB67"/>
      <c r="EEC67"/>
      <c r="EED67"/>
      <c r="EEE67"/>
      <c r="EEF67"/>
      <c r="EEG67"/>
      <c r="EEH67"/>
      <c r="EEI67"/>
      <c r="EEJ67"/>
      <c r="EEK67"/>
      <c r="EEL67"/>
      <c r="EEM67"/>
      <c r="EEN67"/>
      <c r="EEO67"/>
      <c r="EEP67"/>
      <c r="EEQ67"/>
      <c r="EER67"/>
      <c r="EES67"/>
      <c r="EET67"/>
      <c r="EEU67"/>
      <c r="EEV67"/>
      <c r="EEW67"/>
      <c r="EEX67"/>
      <c r="EEY67"/>
      <c r="EEZ67"/>
      <c r="EFA67"/>
      <c r="EFB67"/>
      <c r="EFC67"/>
      <c r="EFD67"/>
      <c r="EFE67"/>
      <c r="EFF67"/>
      <c r="EFG67"/>
      <c r="EFH67"/>
      <c r="EFI67"/>
      <c r="EFJ67"/>
      <c r="EFK67"/>
      <c r="EFL67"/>
      <c r="EFM67"/>
      <c r="EFN67"/>
      <c r="EFO67"/>
      <c r="EFP67"/>
      <c r="EFQ67"/>
      <c r="EFR67"/>
      <c r="EFS67"/>
      <c r="EFT67"/>
      <c r="EFU67"/>
      <c r="EFV67"/>
      <c r="EFW67"/>
      <c r="EFX67"/>
      <c r="EFY67"/>
      <c r="EFZ67"/>
      <c r="EGA67"/>
      <c r="EGB67"/>
      <c r="EGC67"/>
      <c r="EGD67"/>
      <c r="EGE67"/>
      <c r="EGF67"/>
      <c r="EGG67"/>
      <c r="EGH67"/>
      <c r="EGI67"/>
      <c r="EGJ67"/>
      <c r="EGK67"/>
      <c r="EGL67"/>
      <c r="EGM67"/>
      <c r="EGN67"/>
      <c r="EGO67"/>
      <c r="EGP67"/>
      <c r="EGQ67"/>
      <c r="EGR67"/>
      <c r="EGS67"/>
      <c r="EGT67"/>
      <c r="EGU67"/>
      <c r="EGV67"/>
      <c r="EGW67"/>
      <c r="EGX67"/>
      <c r="EGY67"/>
      <c r="EGZ67"/>
      <c r="EHA67"/>
      <c r="EHB67"/>
      <c r="EHC67"/>
      <c r="EHD67"/>
      <c r="EHE67"/>
      <c r="EHF67"/>
      <c r="EHG67"/>
      <c r="EHH67"/>
      <c r="EHI67"/>
      <c r="EHJ67"/>
      <c r="EHK67"/>
      <c r="EHL67"/>
      <c r="EHM67"/>
      <c r="EHN67"/>
      <c r="EHO67"/>
      <c r="EHP67"/>
      <c r="EHQ67"/>
      <c r="EHR67"/>
      <c r="EHS67"/>
      <c r="EHT67"/>
      <c r="EHU67"/>
      <c r="EHV67"/>
      <c r="EHW67"/>
      <c r="EHX67"/>
      <c r="EHY67"/>
      <c r="EHZ67"/>
      <c r="EIA67"/>
      <c r="EIB67"/>
      <c r="EIC67"/>
      <c r="EID67"/>
      <c r="EIE67"/>
      <c r="EIF67"/>
      <c r="EIG67"/>
      <c r="EIH67"/>
      <c r="EII67"/>
      <c r="EIJ67"/>
      <c r="EIK67"/>
      <c r="EIL67"/>
      <c r="EIM67"/>
      <c r="EIN67"/>
      <c r="EIO67"/>
      <c r="EIP67"/>
      <c r="EIQ67"/>
      <c r="EIR67"/>
      <c r="EIS67"/>
      <c r="EIT67"/>
      <c r="EIU67"/>
      <c r="EIV67"/>
      <c r="EIW67"/>
      <c r="EIX67"/>
      <c r="EIY67"/>
      <c r="EIZ67"/>
      <c r="EJA67"/>
      <c r="EJB67"/>
      <c r="EJC67"/>
      <c r="EJD67"/>
      <c r="EJE67"/>
      <c r="EJF67"/>
      <c r="EJG67"/>
      <c r="EJH67"/>
      <c r="EJI67"/>
      <c r="EJJ67"/>
      <c r="EJK67"/>
      <c r="EJL67"/>
      <c r="EJM67"/>
      <c r="EJN67"/>
      <c r="EJO67"/>
      <c r="EJP67"/>
      <c r="EJQ67"/>
      <c r="EJR67"/>
      <c r="EJS67"/>
      <c r="EJT67"/>
      <c r="EJU67"/>
      <c r="EJV67"/>
      <c r="EJW67"/>
      <c r="EJX67"/>
      <c r="EJY67"/>
      <c r="EJZ67"/>
      <c r="EKA67"/>
      <c r="EKB67"/>
      <c r="EKC67"/>
      <c r="EKD67"/>
      <c r="EKE67"/>
      <c r="EKF67"/>
      <c r="EKG67"/>
      <c r="EKH67"/>
      <c r="EKI67"/>
      <c r="EKJ67"/>
      <c r="EKK67"/>
      <c r="EKL67"/>
      <c r="EKM67"/>
      <c r="EKN67"/>
      <c r="EKO67"/>
      <c r="EKP67"/>
      <c r="EKQ67"/>
      <c r="EKR67"/>
      <c r="EKS67"/>
      <c r="EKT67"/>
      <c r="EKU67"/>
      <c r="EKV67"/>
      <c r="EKW67"/>
      <c r="EKX67"/>
      <c r="EKY67"/>
      <c r="EKZ67"/>
      <c r="ELA67"/>
      <c r="ELB67"/>
      <c r="ELC67"/>
      <c r="ELD67"/>
      <c r="ELE67"/>
      <c r="ELF67"/>
      <c r="ELG67"/>
      <c r="ELH67"/>
      <c r="ELI67"/>
      <c r="ELJ67"/>
      <c r="ELK67"/>
      <c r="ELL67"/>
      <c r="ELM67"/>
      <c r="ELN67"/>
      <c r="ELO67"/>
      <c r="ELP67"/>
      <c r="ELQ67"/>
      <c r="ELR67"/>
      <c r="ELS67"/>
      <c r="ELT67"/>
      <c r="ELU67"/>
      <c r="ELV67"/>
      <c r="ELW67"/>
      <c r="ELX67"/>
      <c r="ELY67"/>
      <c r="ELZ67"/>
      <c r="EMA67"/>
      <c r="EMB67"/>
      <c r="EMC67"/>
      <c r="EMD67"/>
      <c r="EME67"/>
      <c r="EMF67"/>
      <c r="EMG67"/>
      <c r="EMH67"/>
      <c r="EMI67"/>
      <c r="EMJ67"/>
      <c r="EMK67"/>
      <c r="EML67"/>
      <c r="EMM67"/>
      <c r="EMN67"/>
      <c r="EMO67"/>
      <c r="EMP67"/>
      <c r="EMQ67"/>
      <c r="EMR67"/>
      <c r="EMS67"/>
      <c r="EMT67"/>
      <c r="EMU67"/>
      <c r="EMV67"/>
      <c r="EMW67"/>
      <c r="EMX67"/>
      <c r="EMY67"/>
      <c r="EMZ67"/>
      <c r="ENA67"/>
      <c r="ENB67"/>
      <c r="ENC67"/>
      <c r="END67"/>
      <c r="ENE67"/>
      <c r="ENF67"/>
      <c r="ENG67"/>
      <c r="ENH67"/>
      <c r="ENI67"/>
      <c r="ENJ67"/>
      <c r="ENK67"/>
      <c r="ENL67"/>
      <c r="ENM67"/>
      <c r="ENN67"/>
      <c r="ENO67"/>
      <c r="ENP67"/>
      <c r="ENQ67"/>
      <c r="ENR67"/>
      <c r="ENS67"/>
      <c r="ENT67"/>
      <c r="ENU67"/>
      <c r="ENV67"/>
      <c r="ENW67"/>
      <c r="ENX67"/>
      <c r="ENY67"/>
      <c r="ENZ67"/>
      <c r="EOA67"/>
      <c r="EOB67"/>
      <c r="EOC67"/>
      <c r="EOD67"/>
      <c r="EOE67"/>
      <c r="EOF67"/>
      <c r="EOG67"/>
      <c r="EOH67"/>
      <c r="EOI67"/>
      <c r="EOJ67"/>
      <c r="EOK67"/>
      <c r="EOL67"/>
      <c r="EOM67"/>
      <c r="EON67"/>
      <c r="EOO67"/>
      <c r="EOP67"/>
      <c r="EOQ67"/>
      <c r="EOR67"/>
      <c r="EOS67"/>
      <c r="EOT67"/>
      <c r="EOU67"/>
      <c r="EOV67"/>
      <c r="EOW67"/>
      <c r="EOX67"/>
      <c r="EOY67"/>
      <c r="EOZ67"/>
      <c r="EPA67"/>
      <c r="EPB67"/>
      <c r="EPC67"/>
      <c r="EPD67"/>
      <c r="EPE67"/>
      <c r="EPF67"/>
      <c r="EPG67"/>
      <c r="EPH67"/>
      <c r="EPI67"/>
      <c r="EPJ67"/>
      <c r="EPK67"/>
      <c r="EPL67"/>
      <c r="EPM67"/>
      <c r="EPN67"/>
      <c r="EPO67"/>
      <c r="EPP67"/>
      <c r="EPQ67"/>
      <c r="EPR67"/>
      <c r="EPS67"/>
      <c r="EPT67"/>
      <c r="EPU67"/>
      <c r="EPV67"/>
      <c r="EPW67"/>
      <c r="EPX67"/>
      <c r="EPY67"/>
      <c r="EPZ67"/>
      <c r="EQA67"/>
      <c r="EQB67"/>
      <c r="EQC67"/>
      <c r="EQD67"/>
      <c r="EQE67"/>
      <c r="EQF67"/>
      <c r="EQG67"/>
      <c r="EQH67"/>
      <c r="EQI67"/>
      <c r="EQJ67"/>
      <c r="EQK67"/>
      <c r="EQL67"/>
      <c r="EQM67"/>
      <c r="EQN67"/>
      <c r="EQO67"/>
      <c r="EQP67"/>
      <c r="EQQ67"/>
      <c r="EQR67"/>
      <c r="EQS67"/>
      <c r="EQT67"/>
      <c r="EQU67"/>
      <c r="EQV67"/>
      <c r="EQW67"/>
      <c r="EQX67"/>
      <c r="EQY67"/>
      <c r="EQZ67"/>
      <c r="ERA67"/>
      <c r="ERB67"/>
      <c r="ERC67"/>
      <c r="ERD67"/>
      <c r="ERE67"/>
      <c r="ERF67"/>
      <c r="ERG67"/>
      <c r="ERH67"/>
      <c r="ERI67"/>
      <c r="ERJ67"/>
      <c r="ERK67"/>
      <c r="ERL67"/>
      <c r="ERM67"/>
      <c r="ERN67"/>
      <c r="ERO67"/>
      <c r="ERP67"/>
      <c r="ERQ67"/>
      <c r="ERR67"/>
      <c r="ERS67"/>
      <c r="ERT67"/>
      <c r="ERU67"/>
      <c r="ERV67"/>
      <c r="ERW67"/>
      <c r="ERX67"/>
      <c r="ERY67"/>
      <c r="ERZ67"/>
      <c r="ESA67"/>
      <c r="ESB67"/>
      <c r="ESC67"/>
      <c r="ESD67"/>
      <c r="ESE67"/>
      <c r="ESF67"/>
      <c r="ESG67"/>
      <c r="ESH67"/>
      <c r="ESI67"/>
      <c r="ESJ67"/>
      <c r="ESK67"/>
      <c r="ESL67"/>
      <c r="ESM67"/>
      <c r="ESN67"/>
      <c r="ESO67"/>
      <c r="ESP67"/>
      <c r="ESQ67"/>
      <c r="ESR67"/>
      <c r="ESS67"/>
      <c r="EST67"/>
      <c r="ESU67"/>
      <c r="ESV67"/>
      <c r="ESW67"/>
      <c r="ESX67"/>
      <c r="ESY67"/>
      <c r="ESZ67"/>
      <c r="ETA67"/>
      <c r="ETB67"/>
      <c r="ETC67"/>
      <c r="ETD67"/>
      <c r="ETE67"/>
      <c r="ETF67"/>
      <c r="ETG67"/>
      <c r="ETH67"/>
      <c r="ETI67"/>
      <c r="ETJ67"/>
      <c r="ETK67"/>
      <c r="ETL67"/>
      <c r="ETM67"/>
      <c r="ETN67"/>
      <c r="ETO67"/>
      <c r="ETP67"/>
      <c r="ETQ67"/>
      <c r="ETR67"/>
      <c r="ETS67"/>
      <c r="ETT67"/>
      <c r="ETU67"/>
      <c r="ETV67"/>
      <c r="ETW67"/>
      <c r="ETX67"/>
      <c r="ETY67"/>
      <c r="ETZ67"/>
      <c r="EUA67"/>
      <c r="EUB67"/>
      <c r="EUC67"/>
      <c r="EUD67"/>
      <c r="EUE67"/>
      <c r="EUF67"/>
      <c r="EUG67"/>
      <c r="EUH67"/>
      <c r="EUI67"/>
      <c r="EUJ67"/>
      <c r="EUK67"/>
      <c r="EUL67"/>
      <c r="EUM67"/>
      <c r="EUN67"/>
      <c r="EUO67"/>
      <c r="EUP67"/>
      <c r="EUQ67"/>
      <c r="EUR67"/>
      <c r="EUS67"/>
      <c r="EUT67"/>
      <c r="EUU67"/>
      <c r="EUV67"/>
      <c r="EUW67"/>
      <c r="EUX67"/>
      <c r="EUY67"/>
      <c r="EUZ67"/>
      <c r="EVA67"/>
      <c r="EVB67"/>
      <c r="EVC67"/>
      <c r="EVD67"/>
      <c r="EVE67"/>
      <c r="EVF67"/>
      <c r="EVG67"/>
      <c r="EVH67"/>
      <c r="EVI67"/>
      <c r="EVJ67"/>
      <c r="EVK67"/>
      <c r="EVL67"/>
      <c r="EVM67"/>
      <c r="EVN67"/>
      <c r="EVO67"/>
      <c r="EVP67"/>
      <c r="EVQ67"/>
      <c r="EVR67"/>
      <c r="EVS67"/>
      <c r="EVT67"/>
      <c r="EVU67"/>
      <c r="EVV67"/>
      <c r="EVW67"/>
      <c r="EVX67"/>
      <c r="EVY67"/>
      <c r="EVZ67"/>
      <c r="EWA67"/>
      <c r="EWB67"/>
      <c r="EWC67"/>
      <c r="EWD67"/>
      <c r="EWE67"/>
      <c r="EWF67"/>
      <c r="EWG67"/>
      <c r="EWH67"/>
      <c r="EWI67"/>
      <c r="EWJ67"/>
      <c r="EWK67"/>
      <c r="EWL67"/>
      <c r="EWM67"/>
      <c r="EWN67"/>
      <c r="EWO67"/>
      <c r="EWP67"/>
      <c r="EWQ67"/>
      <c r="EWR67"/>
      <c r="EWS67"/>
      <c r="EWT67"/>
      <c r="EWU67"/>
      <c r="EWV67"/>
      <c r="EWW67"/>
      <c r="EWX67"/>
      <c r="EWY67"/>
      <c r="EWZ67"/>
      <c r="EXA67"/>
      <c r="EXB67"/>
      <c r="EXC67"/>
      <c r="EXD67"/>
      <c r="EXE67"/>
      <c r="EXF67"/>
      <c r="EXG67"/>
      <c r="EXH67"/>
      <c r="EXI67"/>
      <c r="EXJ67"/>
      <c r="EXK67"/>
      <c r="EXL67"/>
      <c r="EXM67"/>
      <c r="EXN67"/>
      <c r="EXO67"/>
      <c r="EXP67"/>
      <c r="EXQ67"/>
      <c r="EXR67"/>
      <c r="EXS67"/>
      <c r="EXT67"/>
      <c r="EXU67"/>
      <c r="EXV67"/>
      <c r="EXW67"/>
      <c r="EXX67"/>
      <c r="EXY67"/>
      <c r="EXZ67"/>
      <c r="EYA67"/>
      <c r="EYB67"/>
      <c r="EYC67"/>
      <c r="EYD67"/>
      <c r="EYE67"/>
      <c r="EYF67"/>
      <c r="EYG67"/>
      <c r="EYH67"/>
      <c r="EYI67"/>
      <c r="EYJ67"/>
      <c r="EYK67"/>
      <c r="EYL67"/>
      <c r="EYM67"/>
      <c r="EYN67"/>
      <c r="EYO67"/>
      <c r="EYP67"/>
      <c r="EYQ67"/>
      <c r="EYR67"/>
      <c r="EYS67"/>
      <c r="EYT67"/>
      <c r="EYU67"/>
      <c r="EYV67"/>
      <c r="EYW67"/>
      <c r="EYX67"/>
      <c r="EYY67"/>
      <c r="EYZ67"/>
      <c r="EZA67"/>
      <c r="EZB67"/>
      <c r="EZC67"/>
      <c r="EZD67"/>
      <c r="EZE67"/>
      <c r="EZF67"/>
      <c r="EZG67"/>
      <c r="EZH67"/>
      <c r="EZI67"/>
      <c r="EZJ67"/>
      <c r="EZK67"/>
      <c r="EZL67"/>
      <c r="EZM67"/>
      <c r="EZN67"/>
      <c r="EZO67"/>
      <c r="EZP67"/>
      <c r="EZQ67"/>
      <c r="EZR67"/>
      <c r="EZS67"/>
      <c r="EZT67"/>
      <c r="EZU67"/>
      <c r="EZV67"/>
      <c r="EZW67"/>
      <c r="EZX67"/>
      <c r="EZY67"/>
      <c r="EZZ67"/>
      <c r="FAA67"/>
      <c r="FAB67"/>
      <c r="FAC67"/>
      <c r="FAD67"/>
      <c r="FAE67"/>
      <c r="FAF67"/>
      <c r="FAG67"/>
      <c r="FAH67"/>
      <c r="FAI67"/>
      <c r="FAJ67"/>
      <c r="FAK67"/>
      <c r="FAL67"/>
      <c r="FAM67"/>
      <c r="FAN67"/>
      <c r="FAO67"/>
      <c r="FAP67"/>
      <c r="FAQ67"/>
      <c r="FAR67"/>
      <c r="FAS67"/>
      <c r="FAT67"/>
      <c r="FAU67"/>
      <c r="FAV67"/>
      <c r="FAW67"/>
      <c r="FAX67"/>
      <c r="FAY67"/>
      <c r="FAZ67"/>
      <c r="FBA67"/>
      <c r="FBB67"/>
      <c r="FBC67"/>
      <c r="FBD67"/>
      <c r="FBE67"/>
      <c r="FBF67"/>
      <c r="FBG67"/>
      <c r="FBH67"/>
      <c r="FBI67"/>
      <c r="FBJ67"/>
      <c r="FBK67"/>
      <c r="FBL67"/>
      <c r="FBM67"/>
      <c r="FBN67"/>
      <c r="FBO67"/>
      <c r="FBP67"/>
      <c r="FBQ67"/>
      <c r="FBR67"/>
      <c r="FBS67"/>
      <c r="FBT67"/>
      <c r="FBU67"/>
      <c r="FBV67"/>
      <c r="FBW67"/>
      <c r="FBX67"/>
      <c r="FBY67"/>
      <c r="FBZ67"/>
      <c r="FCA67"/>
      <c r="FCB67"/>
      <c r="FCC67"/>
      <c r="FCD67"/>
      <c r="FCE67"/>
      <c r="FCF67"/>
      <c r="FCG67"/>
      <c r="FCH67"/>
      <c r="FCI67"/>
      <c r="FCJ67"/>
      <c r="FCK67"/>
      <c r="FCL67"/>
      <c r="FCM67"/>
      <c r="FCN67"/>
      <c r="FCO67"/>
      <c r="FCP67"/>
      <c r="FCQ67"/>
      <c r="FCR67"/>
      <c r="FCS67"/>
      <c r="FCT67"/>
      <c r="FCU67"/>
      <c r="FCV67"/>
      <c r="FCW67"/>
      <c r="FCX67"/>
      <c r="FCY67"/>
      <c r="FCZ67"/>
      <c r="FDA67"/>
      <c r="FDB67"/>
      <c r="FDC67"/>
      <c r="FDD67"/>
      <c r="FDE67"/>
      <c r="FDF67"/>
      <c r="FDG67"/>
      <c r="FDH67"/>
      <c r="FDI67"/>
      <c r="FDJ67"/>
      <c r="FDK67"/>
      <c r="FDL67"/>
      <c r="FDM67"/>
      <c r="FDN67"/>
      <c r="FDO67"/>
      <c r="FDP67"/>
      <c r="FDQ67"/>
      <c r="FDR67"/>
      <c r="FDS67"/>
      <c r="FDT67"/>
      <c r="FDU67"/>
      <c r="FDV67"/>
      <c r="FDW67"/>
      <c r="FDX67"/>
      <c r="FDY67"/>
      <c r="FDZ67"/>
      <c r="FEA67"/>
      <c r="FEB67"/>
      <c r="FEC67"/>
      <c r="FED67"/>
      <c r="FEE67"/>
      <c r="FEF67"/>
      <c r="FEG67"/>
      <c r="FEH67"/>
      <c r="FEI67"/>
      <c r="FEJ67"/>
      <c r="FEK67"/>
      <c r="FEL67"/>
      <c r="FEM67"/>
      <c r="FEN67"/>
      <c r="FEO67"/>
      <c r="FEP67"/>
      <c r="FEQ67"/>
      <c r="FER67"/>
      <c r="FES67"/>
      <c r="FET67"/>
      <c r="FEU67"/>
      <c r="FEV67"/>
      <c r="FEW67"/>
      <c r="FEX67"/>
      <c r="FEY67"/>
      <c r="FEZ67"/>
      <c r="FFA67"/>
      <c r="FFB67"/>
      <c r="FFC67"/>
      <c r="FFD67"/>
      <c r="FFE67"/>
      <c r="FFF67"/>
      <c r="FFG67"/>
      <c r="FFH67"/>
      <c r="FFI67"/>
      <c r="FFJ67"/>
      <c r="FFK67"/>
      <c r="FFL67"/>
      <c r="FFM67"/>
      <c r="FFN67"/>
      <c r="FFO67"/>
      <c r="FFP67"/>
      <c r="FFQ67"/>
      <c r="FFR67"/>
      <c r="FFS67"/>
      <c r="FFT67"/>
      <c r="FFU67"/>
      <c r="FFV67"/>
      <c r="FFW67"/>
      <c r="FFX67"/>
      <c r="FFY67"/>
      <c r="FFZ67"/>
      <c r="FGA67"/>
      <c r="FGB67"/>
      <c r="FGC67"/>
      <c r="FGD67"/>
      <c r="FGE67"/>
      <c r="FGF67"/>
      <c r="FGG67"/>
      <c r="FGH67"/>
      <c r="FGI67"/>
      <c r="FGJ67"/>
      <c r="FGK67"/>
      <c r="FGL67"/>
      <c r="FGM67"/>
      <c r="FGN67"/>
      <c r="FGO67"/>
      <c r="FGP67"/>
      <c r="FGQ67"/>
      <c r="FGR67"/>
      <c r="FGS67"/>
      <c r="FGT67"/>
      <c r="FGU67"/>
      <c r="FGV67"/>
      <c r="FGW67"/>
      <c r="FGX67"/>
      <c r="FGY67"/>
      <c r="FGZ67"/>
      <c r="FHA67"/>
      <c r="FHB67"/>
      <c r="FHC67"/>
      <c r="FHD67"/>
      <c r="FHE67"/>
      <c r="FHF67"/>
      <c r="FHG67"/>
      <c r="FHH67"/>
      <c r="FHI67"/>
      <c r="FHJ67"/>
      <c r="FHK67"/>
      <c r="FHL67"/>
      <c r="FHM67"/>
      <c r="FHN67"/>
      <c r="FHO67"/>
      <c r="FHP67"/>
      <c r="FHQ67"/>
      <c r="FHR67"/>
      <c r="FHS67"/>
      <c r="FHT67"/>
      <c r="FHU67"/>
      <c r="FHV67"/>
      <c r="FHW67"/>
      <c r="FHX67"/>
      <c r="FHY67"/>
      <c r="FHZ67"/>
      <c r="FIA67"/>
      <c r="FIB67"/>
      <c r="FIC67"/>
      <c r="FID67"/>
      <c r="FIE67"/>
      <c r="FIF67"/>
      <c r="FIG67"/>
      <c r="FIH67"/>
      <c r="FII67"/>
      <c r="FIJ67"/>
      <c r="FIK67"/>
      <c r="FIL67"/>
      <c r="FIM67"/>
      <c r="FIN67"/>
      <c r="FIO67"/>
      <c r="FIP67"/>
      <c r="FIQ67"/>
      <c r="FIR67"/>
      <c r="FIS67"/>
      <c r="FIT67"/>
      <c r="FIU67"/>
      <c r="FIV67"/>
      <c r="FIW67"/>
      <c r="FIX67"/>
      <c r="FIY67"/>
      <c r="FIZ67"/>
      <c r="FJA67"/>
      <c r="FJB67"/>
      <c r="FJC67"/>
      <c r="FJD67"/>
      <c r="FJE67"/>
      <c r="FJF67"/>
      <c r="FJG67"/>
      <c r="FJH67"/>
      <c r="FJI67"/>
      <c r="FJJ67"/>
      <c r="FJK67"/>
      <c r="FJL67"/>
      <c r="FJM67"/>
      <c r="FJN67"/>
      <c r="FJO67"/>
      <c r="FJP67"/>
      <c r="FJQ67"/>
      <c r="FJR67"/>
      <c r="FJS67"/>
      <c r="FJT67"/>
      <c r="FJU67"/>
      <c r="FJV67"/>
      <c r="FJW67"/>
      <c r="FJX67"/>
      <c r="FJY67"/>
      <c r="FJZ67"/>
      <c r="FKA67"/>
      <c r="FKB67"/>
      <c r="FKC67"/>
      <c r="FKD67"/>
      <c r="FKE67"/>
      <c r="FKF67"/>
      <c r="FKG67"/>
      <c r="FKH67"/>
      <c r="FKI67"/>
      <c r="FKJ67"/>
      <c r="FKK67"/>
      <c r="FKL67"/>
      <c r="FKM67"/>
      <c r="FKN67"/>
      <c r="FKO67"/>
      <c r="FKP67"/>
      <c r="FKQ67"/>
      <c r="FKR67"/>
      <c r="FKS67"/>
      <c r="FKT67"/>
      <c r="FKU67"/>
      <c r="FKV67"/>
      <c r="FKW67"/>
      <c r="FKX67"/>
      <c r="FKY67"/>
      <c r="FKZ67"/>
      <c r="FLA67"/>
      <c r="FLB67"/>
      <c r="FLC67"/>
      <c r="FLD67"/>
      <c r="FLE67"/>
      <c r="FLF67"/>
      <c r="FLG67"/>
      <c r="FLH67"/>
      <c r="FLI67"/>
      <c r="FLJ67"/>
      <c r="FLK67"/>
      <c r="FLL67"/>
      <c r="FLM67"/>
      <c r="FLN67"/>
      <c r="FLO67"/>
      <c r="FLP67"/>
      <c r="FLQ67"/>
      <c r="FLR67"/>
      <c r="FLS67"/>
      <c r="FLT67"/>
      <c r="FLU67"/>
      <c r="FLV67"/>
      <c r="FLW67"/>
      <c r="FLX67"/>
      <c r="FLY67"/>
      <c r="FLZ67"/>
      <c r="FMA67"/>
      <c r="FMB67"/>
      <c r="FMC67"/>
      <c r="FMD67"/>
      <c r="FME67"/>
      <c r="FMF67"/>
      <c r="FMG67"/>
      <c r="FMH67"/>
      <c r="FMI67"/>
      <c r="FMJ67"/>
      <c r="FMK67"/>
      <c r="FML67"/>
      <c r="FMM67"/>
      <c r="FMN67"/>
      <c r="FMO67"/>
      <c r="FMP67"/>
      <c r="FMQ67"/>
      <c r="FMR67"/>
      <c r="FMS67"/>
      <c r="FMT67"/>
      <c r="FMU67"/>
      <c r="FMV67"/>
      <c r="FMW67"/>
      <c r="FMX67"/>
      <c r="FMY67"/>
      <c r="FMZ67"/>
      <c r="FNA67"/>
      <c r="FNB67"/>
      <c r="FNC67"/>
      <c r="FND67"/>
      <c r="FNE67"/>
      <c r="FNF67"/>
      <c r="FNG67"/>
      <c r="FNH67"/>
      <c r="FNI67"/>
      <c r="FNJ67"/>
      <c r="FNK67"/>
      <c r="FNL67"/>
      <c r="FNM67"/>
      <c r="FNN67"/>
      <c r="FNO67"/>
      <c r="FNP67"/>
      <c r="FNQ67"/>
      <c r="FNR67"/>
      <c r="FNS67"/>
      <c r="FNT67"/>
      <c r="FNU67"/>
      <c r="FNV67"/>
      <c r="FNW67"/>
      <c r="FNX67"/>
      <c r="FNY67"/>
      <c r="FNZ67"/>
      <c r="FOA67"/>
      <c r="FOB67"/>
      <c r="FOC67"/>
      <c r="FOD67"/>
      <c r="FOE67"/>
      <c r="FOF67"/>
      <c r="FOG67"/>
      <c r="FOH67"/>
      <c r="FOI67"/>
      <c r="FOJ67"/>
      <c r="FOK67"/>
      <c r="FOL67"/>
      <c r="FOM67"/>
      <c r="FON67"/>
      <c r="FOO67"/>
      <c r="FOP67"/>
      <c r="FOQ67"/>
      <c r="FOR67"/>
      <c r="FOS67"/>
      <c r="FOT67"/>
      <c r="FOU67"/>
      <c r="FOV67"/>
      <c r="FOW67"/>
      <c r="FOX67"/>
      <c r="FOY67"/>
      <c r="FOZ67"/>
      <c r="FPA67"/>
      <c r="FPB67"/>
      <c r="FPC67"/>
      <c r="FPD67"/>
      <c r="FPE67"/>
      <c r="FPF67"/>
      <c r="FPG67"/>
      <c r="FPH67"/>
      <c r="FPI67"/>
      <c r="FPJ67"/>
      <c r="FPK67"/>
      <c r="FPL67"/>
      <c r="FPM67"/>
      <c r="FPN67"/>
      <c r="FPO67"/>
      <c r="FPP67"/>
      <c r="FPQ67"/>
      <c r="FPR67"/>
      <c r="FPS67"/>
      <c r="FPT67"/>
      <c r="FPU67"/>
      <c r="FPV67"/>
      <c r="FPW67"/>
      <c r="FPX67"/>
      <c r="FPY67"/>
      <c r="FPZ67"/>
      <c r="FQA67"/>
      <c r="FQB67"/>
      <c r="FQC67"/>
      <c r="FQD67"/>
      <c r="FQE67"/>
      <c r="FQF67"/>
      <c r="FQG67"/>
      <c r="FQH67"/>
      <c r="FQI67"/>
      <c r="FQJ67"/>
      <c r="FQK67"/>
      <c r="FQL67"/>
      <c r="FQM67"/>
      <c r="FQN67"/>
      <c r="FQO67"/>
      <c r="FQP67"/>
      <c r="FQQ67"/>
      <c r="FQR67"/>
      <c r="FQS67"/>
      <c r="FQT67"/>
      <c r="FQU67"/>
      <c r="FQV67"/>
      <c r="FQW67"/>
      <c r="FQX67"/>
      <c r="FQY67"/>
      <c r="FQZ67"/>
      <c r="FRA67"/>
      <c r="FRB67"/>
      <c r="FRC67"/>
      <c r="FRD67"/>
      <c r="FRE67"/>
      <c r="FRF67"/>
      <c r="FRG67"/>
      <c r="FRH67"/>
      <c r="FRI67"/>
      <c r="FRJ67"/>
      <c r="FRK67"/>
      <c r="FRL67"/>
      <c r="FRM67"/>
      <c r="FRN67"/>
      <c r="FRO67"/>
      <c r="FRP67"/>
      <c r="FRQ67"/>
      <c r="FRR67"/>
      <c r="FRS67"/>
      <c r="FRT67"/>
      <c r="FRU67"/>
      <c r="FRV67"/>
      <c r="FRW67"/>
      <c r="FRX67"/>
      <c r="FRY67"/>
      <c r="FRZ67"/>
      <c r="FSA67"/>
      <c r="FSB67"/>
      <c r="FSC67"/>
      <c r="FSD67"/>
      <c r="FSE67"/>
      <c r="FSF67"/>
      <c r="FSG67"/>
      <c r="FSH67"/>
      <c r="FSI67"/>
      <c r="FSJ67"/>
      <c r="FSK67"/>
      <c r="FSL67"/>
      <c r="FSM67"/>
      <c r="FSN67"/>
      <c r="FSO67"/>
      <c r="FSP67"/>
      <c r="FSQ67"/>
      <c r="FSR67"/>
      <c r="FSS67"/>
      <c r="FST67"/>
      <c r="FSU67"/>
      <c r="FSV67"/>
      <c r="FSW67"/>
      <c r="FSX67"/>
      <c r="FSY67"/>
      <c r="FSZ67"/>
      <c r="FTA67"/>
      <c r="FTB67"/>
      <c r="FTC67"/>
      <c r="FTD67"/>
      <c r="FTE67"/>
      <c r="FTF67"/>
      <c r="FTG67"/>
      <c r="FTH67"/>
      <c r="FTI67"/>
      <c r="FTJ67"/>
      <c r="FTK67"/>
      <c r="FTL67"/>
      <c r="FTM67"/>
      <c r="FTN67"/>
      <c r="FTO67"/>
      <c r="FTP67"/>
      <c r="FTQ67"/>
      <c r="FTR67"/>
      <c r="FTS67"/>
      <c r="FTT67"/>
      <c r="FTU67"/>
      <c r="FTV67"/>
      <c r="FTW67"/>
      <c r="FTX67"/>
      <c r="FTY67"/>
      <c r="FTZ67"/>
      <c r="FUA67"/>
      <c r="FUB67"/>
      <c r="FUC67"/>
      <c r="FUD67"/>
      <c r="FUE67"/>
      <c r="FUF67"/>
      <c r="FUG67"/>
      <c r="FUH67"/>
      <c r="FUI67"/>
      <c r="FUJ67"/>
      <c r="FUK67"/>
      <c r="FUL67"/>
      <c r="FUM67"/>
      <c r="FUN67"/>
      <c r="FUO67"/>
      <c r="FUP67"/>
      <c r="FUQ67"/>
      <c r="FUR67"/>
      <c r="FUS67"/>
      <c r="FUT67"/>
      <c r="FUU67"/>
      <c r="FUV67"/>
      <c r="FUW67"/>
      <c r="FUX67"/>
      <c r="FUY67"/>
      <c r="FUZ67"/>
      <c r="FVA67"/>
      <c r="FVB67"/>
      <c r="FVC67"/>
      <c r="FVD67"/>
      <c r="FVE67"/>
      <c r="FVF67"/>
      <c r="FVG67"/>
      <c r="FVH67"/>
      <c r="FVI67"/>
      <c r="FVJ67"/>
      <c r="FVK67"/>
      <c r="FVL67"/>
      <c r="FVM67"/>
      <c r="FVN67"/>
      <c r="FVO67"/>
      <c r="FVP67"/>
      <c r="FVQ67"/>
      <c r="FVR67"/>
      <c r="FVS67"/>
      <c r="FVT67"/>
      <c r="FVU67"/>
      <c r="FVV67"/>
      <c r="FVW67"/>
      <c r="FVX67"/>
      <c r="FVY67"/>
      <c r="FVZ67"/>
      <c r="FWA67"/>
      <c r="FWB67"/>
      <c r="FWC67"/>
      <c r="FWD67"/>
      <c r="FWE67"/>
      <c r="FWF67"/>
      <c r="FWG67"/>
      <c r="FWH67"/>
      <c r="FWI67"/>
      <c r="FWJ67"/>
      <c r="FWK67"/>
      <c r="FWL67"/>
      <c r="FWM67"/>
      <c r="FWN67"/>
      <c r="FWO67"/>
      <c r="FWP67"/>
      <c r="FWQ67"/>
      <c r="FWR67"/>
      <c r="FWS67"/>
      <c r="FWT67"/>
      <c r="FWU67"/>
      <c r="FWV67"/>
      <c r="FWW67"/>
      <c r="FWX67"/>
      <c r="FWY67"/>
      <c r="FWZ67"/>
      <c r="FXA67"/>
      <c r="FXB67"/>
      <c r="FXC67"/>
      <c r="FXD67"/>
      <c r="FXE67"/>
      <c r="FXF67"/>
      <c r="FXG67"/>
      <c r="FXH67"/>
      <c r="FXI67"/>
      <c r="FXJ67"/>
      <c r="FXK67"/>
      <c r="FXL67"/>
      <c r="FXM67"/>
      <c r="FXN67"/>
      <c r="FXO67"/>
      <c r="FXP67"/>
      <c r="FXQ67"/>
      <c r="FXR67"/>
      <c r="FXS67"/>
      <c r="FXT67"/>
      <c r="FXU67"/>
      <c r="FXV67"/>
      <c r="FXW67"/>
      <c r="FXX67"/>
      <c r="FXY67"/>
      <c r="FXZ67"/>
      <c r="FYA67"/>
      <c r="FYB67"/>
      <c r="FYC67"/>
      <c r="FYD67"/>
      <c r="FYE67"/>
      <c r="FYF67"/>
      <c r="FYG67"/>
      <c r="FYH67"/>
      <c r="FYI67"/>
      <c r="FYJ67"/>
      <c r="FYK67"/>
      <c r="FYL67"/>
      <c r="FYM67"/>
      <c r="FYN67"/>
      <c r="FYO67"/>
      <c r="FYP67"/>
      <c r="FYQ67"/>
      <c r="FYR67"/>
      <c r="FYS67"/>
      <c r="FYT67"/>
      <c r="FYU67"/>
      <c r="FYV67"/>
      <c r="FYW67"/>
      <c r="FYX67"/>
      <c r="FYY67"/>
      <c r="FYZ67"/>
      <c r="FZA67"/>
      <c r="FZB67"/>
      <c r="FZC67"/>
      <c r="FZD67"/>
      <c r="FZE67"/>
      <c r="FZF67"/>
      <c r="FZG67"/>
      <c r="FZH67"/>
      <c r="FZI67"/>
      <c r="FZJ67"/>
      <c r="FZK67"/>
      <c r="FZL67"/>
      <c r="FZM67"/>
      <c r="FZN67"/>
      <c r="FZO67"/>
      <c r="FZP67"/>
      <c r="FZQ67"/>
      <c r="FZR67"/>
      <c r="FZS67"/>
      <c r="FZT67"/>
      <c r="FZU67"/>
      <c r="FZV67"/>
      <c r="FZW67"/>
      <c r="FZX67"/>
      <c r="FZY67"/>
      <c r="FZZ67"/>
      <c r="GAA67"/>
      <c r="GAB67"/>
      <c r="GAC67"/>
      <c r="GAD67"/>
      <c r="GAE67"/>
      <c r="GAF67"/>
      <c r="GAG67"/>
      <c r="GAH67"/>
      <c r="GAI67"/>
      <c r="GAJ67"/>
      <c r="GAK67"/>
      <c r="GAL67"/>
      <c r="GAM67"/>
      <c r="GAN67"/>
      <c r="GAO67"/>
      <c r="GAP67"/>
      <c r="GAQ67"/>
      <c r="GAR67"/>
      <c r="GAS67"/>
      <c r="GAT67"/>
      <c r="GAU67"/>
      <c r="GAV67"/>
      <c r="GAW67"/>
      <c r="GAX67"/>
      <c r="GAY67"/>
      <c r="GAZ67"/>
      <c r="GBA67"/>
      <c r="GBB67"/>
      <c r="GBC67"/>
      <c r="GBD67"/>
      <c r="GBE67"/>
      <c r="GBF67"/>
      <c r="GBG67"/>
      <c r="GBH67"/>
      <c r="GBI67"/>
      <c r="GBJ67"/>
      <c r="GBK67"/>
      <c r="GBL67"/>
      <c r="GBM67"/>
      <c r="GBN67"/>
      <c r="GBO67"/>
      <c r="GBP67"/>
      <c r="GBQ67"/>
      <c r="GBR67"/>
      <c r="GBS67"/>
      <c r="GBT67"/>
      <c r="GBU67"/>
      <c r="GBV67"/>
      <c r="GBW67"/>
      <c r="GBX67"/>
      <c r="GBY67"/>
      <c r="GBZ67"/>
      <c r="GCA67"/>
      <c r="GCB67"/>
      <c r="GCC67"/>
      <c r="GCD67"/>
      <c r="GCE67"/>
      <c r="GCF67"/>
      <c r="GCG67"/>
      <c r="GCH67"/>
      <c r="GCI67"/>
      <c r="GCJ67"/>
      <c r="GCK67"/>
      <c r="GCL67"/>
      <c r="GCM67"/>
      <c r="GCN67"/>
      <c r="GCO67"/>
      <c r="GCP67"/>
      <c r="GCQ67"/>
      <c r="GCR67"/>
      <c r="GCS67"/>
      <c r="GCT67"/>
      <c r="GCU67"/>
      <c r="GCV67"/>
      <c r="GCW67"/>
      <c r="GCX67"/>
      <c r="GCY67"/>
      <c r="GCZ67"/>
      <c r="GDA67"/>
      <c r="GDB67"/>
      <c r="GDC67"/>
      <c r="GDD67"/>
      <c r="GDE67"/>
      <c r="GDF67"/>
      <c r="GDG67"/>
      <c r="GDH67"/>
      <c r="GDI67"/>
      <c r="GDJ67"/>
      <c r="GDK67"/>
      <c r="GDL67"/>
      <c r="GDM67"/>
      <c r="GDN67"/>
      <c r="GDO67"/>
      <c r="GDP67"/>
      <c r="GDQ67"/>
      <c r="GDR67"/>
      <c r="GDS67"/>
      <c r="GDT67"/>
      <c r="GDU67"/>
      <c r="GDV67"/>
      <c r="GDW67"/>
      <c r="GDX67"/>
      <c r="GDY67"/>
      <c r="GDZ67"/>
      <c r="GEA67"/>
      <c r="GEB67"/>
      <c r="GEC67"/>
      <c r="GED67"/>
      <c r="GEE67"/>
      <c r="GEF67"/>
      <c r="GEG67"/>
      <c r="GEH67"/>
      <c r="GEI67"/>
      <c r="GEJ67"/>
      <c r="GEK67"/>
      <c r="GEL67"/>
      <c r="GEM67"/>
      <c r="GEN67"/>
      <c r="GEO67"/>
      <c r="GEP67"/>
      <c r="GEQ67"/>
      <c r="GER67"/>
      <c r="GES67"/>
      <c r="GET67"/>
      <c r="GEU67"/>
      <c r="GEV67"/>
      <c r="GEW67"/>
      <c r="GEX67"/>
      <c r="GEY67"/>
      <c r="GEZ67"/>
      <c r="GFA67"/>
      <c r="GFB67"/>
      <c r="GFC67"/>
      <c r="GFD67"/>
      <c r="GFE67"/>
      <c r="GFF67"/>
      <c r="GFG67"/>
      <c r="GFH67"/>
      <c r="GFI67"/>
      <c r="GFJ67"/>
      <c r="GFK67"/>
      <c r="GFL67"/>
      <c r="GFM67"/>
      <c r="GFN67"/>
      <c r="GFO67"/>
      <c r="GFP67"/>
      <c r="GFQ67"/>
      <c r="GFR67"/>
      <c r="GFS67"/>
      <c r="GFT67"/>
      <c r="GFU67"/>
      <c r="GFV67"/>
      <c r="GFW67"/>
      <c r="GFX67"/>
      <c r="GFY67"/>
      <c r="GFZ67"/>
      <c r="GGA67"/>
      <c r="GGB67"/>
      <c r="GGC67"/>
      <c r="GGD67"/>
      <c r="GGE67"/>
      <c r="GGF67"/>
      <c r="GGG67"/>
      <c r="GGH67"/>
      <c r="GGI67"/>
      <c r="GGJ67"/>
      <c r="GGK67"/>
      <c r="GGL67"/>
      <c r="GGM67"/>
      <c r="GGN67"/>
      <c r="GGO67"/>
      <c r="GGP67"/>
      <c r="GGQ67"/>
      <c r="GGR67"/>
      <c r="GGS67"/>
      <c r="GGT67"/>
      <c r="GGU67"/>
      <c r="GGV67"/>
      <c r="GGW67"/>
      <c r="GGX67"/>
      <c r="GGY67"/>
      <c r="GGZ67"/>
      <c r="GHA67"/>
      <c r="GHB67"/>
      <c r="GHC67"/>
      <c r="GHD67"/>
      <c r="GHE67"/>
      <c r="GHF67"/>
      <c r="GHG67"/>
      <c r="GHH67"/>
      <c r="GHI67"/>
      <c r="GHJ67"/>
      <c r="GHK67"/>
      <c r="GHL67"/>
      <c r="GHM67"/>
      <c r="GHN67"/>
      <c r="GHO67"/>
      <c r="GHP67"/>
      <c r="GHQ67"/>
      <c r="GHR67"/>
      <c r="GHS67"/>
      <c r="GHT67"/>
      <c r="GHU67"/>
      <c r="GHV67"/>
      <c r="GHW67"/>
      <c r="GHX67"/>
      <c r="GHY67"/>
      <c r="GHZ67"/>
      <c r="GIA67"/>
      <c r="GIB67"/>
      <c r="GIC67"/>
      <c r="GID67"/>
      <c r="GIE67"/>
      <c r="GIF67"/>
      <c r="GIG67"/>
      <c r="GIH67"/>
      <c r="GII67"/>
      <c r="GIJ67"/>
      <c r="GIK67"/>
      <c r="GIL67"/>
      <c r="GIM67"/>
      <c r="GIN67"/>
      <c r="GIO67"/>
      <c r="GIP67"/>
      <c r="GIQ67"/>
      <c r="GIR67"/>
      <c r="GIS67"/>
      <c r="GIT67"/>
      <c r="GIU67"/>
      <c r="GIV67"/>
      <c r="GIW67"/>
      <c r="GIX67"/>
      <c r="GIY67"/>
      <c r="GIZ67"/>
      <c r="GJA67"/>
      <c r="GJB67"/>
      <c r="GJC67"/>
      <c r="GJD67"/>
      <c r="GJE67"/>
      <c r="GJF67"/>
      <c r="GJG67"/>
      <c r="GJH67"/>
      <c r="GJI67"/>
      <c r="GJJ67"/>
      <c r="GJK67"/>
      <c r="GJL67"/>
      <c r="GJM67"/>
      <c r="GJN67"/>
      <c r="GJO67"/>
      <c r="GJP67"/>
      <c r="GJQ67"/>
      <c r="GJR67"/>
      <c r="GJS67"/>
      <c r="GJT67"/>
      <c r="GJU67"/>
      <c r="GJV67"/>
      <c r="GJW67"/>
      <c r="GJX67"/>
      <c r="GJY67"/>
      <c r="GJZ67"/>
      <c r="GKA67"/>
      <c r="GKB67"/>
      <c r="GKC67"/>
      <c r="GKD67"/>
      <c r="GKE67"/>
      <c r="GKF67"/>
      <c r="GKG67"/>
      <c r="GKH67"/>
      <c r="GKI67"/>
      <c r="GKJ67"/>
      <c r="GKK67"/>
      <c r="GKL67"/>
      <c r="GKM67"/>
      <c r="GKN67"/>
      <c r="GKO67"/>
      <c r="GKP67"/>
      <c r="GKQ67"/>
      <c r="GKR67"/>
      <c r="GKS67"/>
      <c r="GKT67"/>
      <c r="GKU67"/>
      <c r="GKV67"/>
      <c r="GKW67"/>
      <c r="GKX67"/>
      <c r="GKY67"/>
      <c r="GKZ67"/>
      <c r="GLA67"/>
      <c r="GLB67"/>
      <c r="GLC67"/>
      <c r="GLD67"/>
      <c r="GLE67"/>
      <c r="GLF67"/>
      <c r="GLG67"/>
      <c r="GLH67"/>
      <c r="GLI67"/>
      <c r="GLJ67"/>
      <c r="GLK67"/>
      <c r="GLL67"/>
      <c r="GLM67"/>
      <c r="GLN67"/>
      <c r="GLO67"/>
      <c r="GLP67"/>
      <c r="GLQ67"/>
      <c r="GLR67"/>
      <c r="GLS67"/>
      <c r="GLT67"/>
      <c r="GLU67"/>
      <c r="GLV67"/>
      <c r="GLW67"/>
      <c r="GLX67"/>
      <c r="GLY67"/>
      <c r="GLZ67"/>
      <c r="GMA67"/>
      <c r="GMB67"/>
      <c r="GMC67"/>
      <c r="GMD67"/>
      <c r="GME67"/>
      <c r="GMF67"/>
      <c r="GMG67"/>
      <c r="GMH67"/>
      <c r="GMI67"/>
      <c r="GMJ67"/>
      <c r="GMK67"/>
      <c r="GML67"/>
      <c r="GMM67"/>
      <c r="GMN67"/>
      <c r="GMO67"/>
      <c r="GMP67"/>
      <c r="GMQ67"/>
      <c r="GMR67"/>
      <c r="GMS67"/>
      <c r="GMT67"/>
      <c r="GMU67"/>
      <c r="GMV67"/>
      <c r="GMW67"/>
      <c r="GMX67"/>
      <c r="GMY67"/>
      <c r="GMZ67"/>
      <c r="GNA67"/>
      <c r="GNB67"/>
      <c r="GNC67"/>
      <c r="GND67"/>
      <c r="GNE67"/>
      <c r="GNF67"/>
      <c r="GNG67"/>
      <c r="GNH67"/>
      <c r="GNI67"/>
      <c r="GNJ67"/>
      <c r="GNK67"/>
      <c r="GNL67"/>
      <c r="GNM67"/>
      <c r="GNN67"/>
      <c r="GNO67"/>
      <c r="GNP67"/>
      <c r="GNQ67"/>
      <c r="GNR67"/>
      <c r="GNS67"/>
      <c r="GNT67"/>
      <c r="GNU67"/>
      <c r="GNV67"/>
      <c r="GNW67"/>
      <c r="GNX67"/>
      <c r="GNY67"/>
      <c r="GNZ67"/>
      <c r="GOA67"/>
      <c r="GOB67"/>
      <c r="GOC67"/>
      <c r="GOD67"/>
      <c r="GOE67"/>
      <c r="GOF67"/>
      <c r="GOG67"/>
      <c r="GOH67"/>
      <c r="GOI67"/>
      <c r="GOJ67"/>
      <c r="GOK67"/>
      <c r="GOL67"/>
      <c r="GOM67"/>
      <c r="GON67"/>
      <c r="GOO67"/>
      <c r="GOP67"/>
      <c r="GOQ67"/>
      <c r="GOR67"/>
      <c r="GOS67"/>
      <c r="GOT67"/>
      <c r="GOU67"/>
      <c r="GOV67"/>
      <c r="GOW67"/>
      <c r="GOX67"/>
      <c r="GOY67"/>
      <c r="GOZ67"/>
      <c r="GPA67"/>
      <c r="GPB67"/>
      <c r="GPC67"/>
      <c r="GPD67"/>
      <c r="GPE67"/>
      <c r="GPF67"/>
      <c r="GPG67"/>
      <c r="GPH67"/>
      <c r="GPI67"/>
      <c r="GPJ67"/>
      <c r="GPK67"/>
      <c r="GPL67"/>
      <c r="GPM67"/>
      <c r="GPN67"/>
      <c r="GPO67"/>
      <c r="GPP67"/>
      <c r="GPQ67"/>
      <c r="GPR67"/>
      <c r="GPS67"/>
      <c r="GPT67"/>
      <c r="GPU67"/>
      <c r="GPV67"/>
      <c r="GPW67"/>
      <c r="GPX67"/>
      <c r="GPY67"/>
      <c r="GPZ67"/>
      <c r="GQA67"/>
      <c r="GQB67"/>
      <c r="GQC67"/>
      <c r="GQD67"/>
      <c r="GQE67"/>
      <c r="GQF67"/>
      <c r="GQG67"/>
      <c r="GQH67"/>
      <c r="GQI67"/>
      <c r="GQJ67"/>
      <c r="GQK67"/>
      <c r="GQL67"/>
      <c r="GQM67"/>
      <c r="GQN67"/>
      <c r="GQO67"/>
      <c r="GQP67"/>
      <c r="GQQ67"/>
      <c r="GQR67"/>
      <c r="GQS67"/>
      <c r="GQT67"/>
      <c r="GQU67"/>
      <c r="GQV67"/>
      <c r="GQW67"/>
      <c r="GQX67"/>
      <c r="GQY67"/>
      <c r="GQZ67"/>
      <c r="GRA67"/>
      <c r="GRB67"/>
      <c r="GRC67"/>
      <c r="GRD67"/>
      <c r="GRE67"/>
      <c r="GRF67"/>
      <c r="GRG67"/>
      <c r="GRH67"/>
      <c r="GRI67"/>
      <c r="GRJ67"/>
      <c r="GRK67"/>
      <c r="GRL67"/>
      <c r="GRM67"/>
      <c r="GRN67"/>
      <c r="GRO67"/>
      <c r="GRP67"/>
      <c r="GRQ67"/>
      <c r="GRR67"/>
      <c r="GRS67"/>
      <c r="GRT67"/>
      <c r="GRU67"/>
      <c r="GRV67"/>
      <c r="GRW67"/>
      <c r="GRX67"/>
      <c r="GRY67"/>
      <c r="GRZ67"/>
      <c r="GSA67"/>
      <c r="GSB67"/>
      <c r="GSC67"/>
      <c r="GSD67"/>
      <c r="GSE67"/>
      <c r="GSF67"/>
      <c r="GSG67"/>
      <c r="GSH67"/>
      <c r="GSI67"/>
      <c r="GSJ67"/>
      <c r="GSK67"/>
      <c r="GSL67"/>
      <c r="GSM67"/>
      <c r="GSN67"/>
      <c r="GSO67"/>
      <c r="GSP67"/>
      <c r="GSQ67"/>
      <c r="GSR67"/>
      <c r="GSS67"/>
      <c r="GST67"/>
      <c r="GSU67"/>
      <c r="GSV67"/>
      <c r="GSW67"/>
      <c r="GSX67"/>
      <c r="GSY67"/>
      <c r="GSZ67"/>
      <c r="GTA67"/>
      <c r="GTB67"/>
      <c r="GTC67"/>
      <c r="GTD67"/>
      <c r="GTE67"/>
      <c r="GTF67"/>
      <c r="GTG67"/>
      <c r="GTH67"/>
      <c r="GTI67"/>
      <c r="GTJ67"/>
      <c r="GTK67"/>
      <c r="GTL67"/>
      <c r="GTM67"/>
      <c r="GTN67"/>
      <c r="GTO67"/>
      <c r="GTP67"/>
      <c r="GTQ67"/>
      <c r="GTR67"/>
      <c r="GTS67"/>
      <c r="GTT67"/>
      <c r="GTU67"/>
      <c r="GTV67"/>
      <c r="GTW67"/>
      <c r="GTX67"/>
      <c r="GTY67"/>
      <c r="GTZ67"/>
      <c r="GUA67"/>
      <c r="GUB67"/>
      <c r="GUC67"/>
      <c r="GUD67"/>
      <c r="GUE67"/>
      <c r="GUF67"/>
      <c r="GUG67"/>
      <c r="GUH67"/>
      <c r="GUI67"/>
      <c r="GUJ67"/>
      <c r="GUK67"/>
      <c r="GUL67"/>
      <c r="GUM67"/>
      <c r="GUN67"/>
      <c r="GUO67"/>
      <c r="GUP67"/>
      <c r="GUQ67"/>
      <c r="GUR67"/>
      <c r="GUS67"/>
      <c r="GUT67"/>
      <c r="GUU67"/>
      <c r="GUV67"/>
      <c r="GUW67"/>
      <c r="GUX67"/>
      <c r="GUY67"/>
      <c r="GUZ67"/>
      <c r="GVA67"/>
      <c r="GVB67"/>
      <c r="GVC67"/>
      <c r="GVD67"/>
      <c r="GVE67"/>
      <c r="GVF67"/>
      <c r="GVG67"/>
      <c r="GVH67"/>
      <c r="GVI67"/>
      <c r="GVJ67"/>
      <c r="GVK67"/>
      <c r="GVL67"/>
      <c r="GVM67"/>
      <c r="GVN67"/>
      <c r="GVO67"/>
      <c r="GVP67"/>
      <c r="GVQ67"/>
      <c r="GVR67"/>
      <c r="GVS67"/>
      <c r="GVT67"/>
      <c r="GVU67"/>
      <c r="GVV67"/>
      <c r="GVW67"/>
      <c r="GVX67"/>
      <c r="GVY67"/>
      <c r="GVZ67"/>
      <c r="GWA67"/>
      <c r="GWB67"/>
      <c r="GWC67"/>
      <c r="GWD67"/>
      <c r="GWE67"/>
      <c r="GWF67"/>
      <c r="GWG67"/>
      <c r="GWH67"/>
      <c r="GWI67"/>
      <c r="GWJ67"/>
      <c r="GWK67"/>
      <c r="GWL67"/>
      <c r="GWM67"/>
      <c r="GWN67"/>
      <c r="GWO67"/>
      <c r="GWP67"/>
      <c r="GWQ67"/>
      <c r="GWR67"/>
      <c r="GWS67"/>
      <c r="GWT67"/>
      <c r="GWU67"/>
      <c r="GWV67"/>
      <c r="GWW67"/>
      <c r="GWX67"/>
      <c r="GWY67"/>
      <c r="GWZ67"/>
      <c r="GXA67"/>
      <c r="GXB67"/>
      <c r="GXC67"/>
      <c r="GXD67"/>
      <c r="GXE67"/>
      <c r="GXF67"/>
      <c r="GXG67"/>
      <c r="GXH67"/>
      <c r="GXI67"/>
      <c r="GXJ67"/>
      <c r="GXK67"/>
      <c r="GXL67"/>
      <c r="GXM67"/>
      <c r="GXN67"/>
      <c r="GXO67"/>
      <c r="GXP67"/>
      <c r="GXQ67"/>
      <c r="GXR67"/>
      <c r="GXS67"/>
      <c r="GXT67"/>
      <c r="GXU67"/>
      <c r="GXV67"/>
      <c r="GXW67"/>
      <c r="GXX67"/>
      <c r="GXY67"/>
      <c r="GXZ67"/>
      <c r="GYA67"/>
      <c r="GYB67"/>
      <c r="GYC67"/>
      <c r="GYD67"/>
      <c r="GYE67"/>
      <c r="GYF67"/>
      <c r="GYG67"/>
      <c r="GYH67"/>
      <c r="GYI67"/>
      <c r="GYJ67"/>
      <c r="GYK67"/>
      <c r="GYL67"/>
      <c r="GYM67"/>
      <c r="GYN67"/>
      <c r="GYO67"/>
      <c r="GYP67"/>
      <c r="GYQ67"/>
      <c r="GYR67"/>
      <c r="GYS67"/>
      <c r="GYT67"/>
      <c r="GYU67"/>
      <c r="GYV67"/>
      <c r="GYW67"/>
      <c r="GYX67"/>
      <c r="GYY67"/>
      <c r="GYZ67"/>
      <c r="GZA67"/>
      <c r="GZB67"/>
      <c r="GZC67"/>
      <c r="GZD67"/>
      <c r="GZE67"/>
      <c r="GZF67"/>
      <c r="GZG67"/>
      <c r="GZH67"/>
      <c r="GZI67"/>
      <c r="GZJ67"/>
      <c r="GZK67"/>
      <c r="GZL67"/>
      <c r="GZM67"/>
      <c r="GZN67"/>
      <c r="GZO67"/>
      <c r="GZP67"/>
      <c r="GZQ67"/>
      <c r="GZR67"/>
      <c r="GZS67"/>
      <c r="GZT67"/>
      <c r="GZU67"/>
      <c r="GZV67"/>
      <c r="GZW67"/>
      <c r="GZX67"/>
      <c r="GZY67"/>
      <c r="GZZ67"/>
      <c r="HAA67"/>
      <c r="HAB67"/>
      <c r="HAC67"/>
      <c r="HAD67"/>
      <c r="HAE67"/>
      <c r="HAF67"/>
      <c r="HAG67"/>
      <c r="HAH67"/>
      <c r="HAI67"/>
      <c r="HAJ67"/>
      <c r="HAK67"/>
      <c r="HAL67"/>
      <c r="HAM67"/>
      <c r="HAN67"/>
      <c r="HAO67"/>
      <c r="HAP67"/>
      <c r="HAQ67"/>
      <c r="HAR67"/>
      <c r="HAS67"/>
      <c r="HAT67"/>
      <c r="HAU67"/>
      <c r="HAV67"/>
      <c r="HAW67"/>
      <c r="HAX67"/>
      <c r="HAY67"/>
      <c r="HAZ67"/>
      <c r="HBA67"/>
      <c r="HBB67"/>
      <c r="HBC67"/>
      <c r="HBD67"/>
      <c r="HBE67"/>
      <c r="HBF67"/>
      <c r="HBG67"/>
      <c r="HBH67"/>
      <c r="HBI67"/>
      <c r="HBJ67"/>
      <c r="HBK67"/>
      <c r="HBL67"/>
      <c r="HBM67"/>
      <c r="HBN67"/>
      <c r="HBO67"/>
      <c r="HBP67"/>
      <c r="HBQ67"/>
      <c r="HBR67"/>
      <c r="HBS67"/>
      <c r="HBT67"/>
      <c r="HBU67"/>
      <c r="HBV67"/>
      <c r="HBW67"/>
      <c r="HBX67"/>
      <c r="HBY67"/>
      <c r="HBZ67"/>
      <c r="HCA67"/>
      <c r="HCB67"/>
      <c r="HCC67"/>
      <c r="HCD67"/>
      <c r="HCE67"/>
      <c r="HCF67"/>
      <c r="HCG67"/>
      <c r="HCH67"/>
      <c r="HCI67"/>
      <c r="HCJ67"/>
      <c r="HCK67"/>
      <c r="HCL67"/>
      <c r="HCM67"/>
      <c r="HCN67"/>
      <c r="HCO67"/>
      <c r="HCP67"/>
      <c r="HCQ67"/>
      <c r="HCR67"/>
      <c r="HCS67"/>
      <c r="HCT67"/>
      <c r="HCU67"/>
      <c r="HCV67"/>
      <c r="HCW67"/>
      <c r="HCX67"/>
      <c r="HCY67"/>
      <c r="HCZ67"/>
      <c r="HDA67"/>
      <c r="HDB67"/>
      <c r="HDC67"/>
      <c r="HDD67"/>
      <c r="HDE67"/>
      <c r="HDF67"/>
      <c r="HDG67"/>
      <c r="HDH67"/>
      <c r="HDI67"/>
      <c r="HDJ67"/>
      <c r="HDK67"/>
      <c r="HDL67"/>
      <c r="HDM67"/>
      <c r="HDN67"/>
      <c r="HDO67"/>
      <c r="HDP67"/>
      <c r="HDQ67"/>
      <c r="HDR67"/>
      <c r="HDS67"/>
      <c r="HDT67"/>
      <c r="HDU67"/>
      <c r="HDV67"/>
      <c r="HDW67"/>
      <c r="HDX67"/>
      <c r="HDY67"/>
      <c r="HDZ67"/>
      <c r="HEA67"/>
      <c r="HEB67"/>
      <c r="HEC67"/>
      <c r="HED67"/>
      <c r="HEE67"/>
      <c r="HEF67"/>
      <c r="HEG67"/>
      <c r="HEH67"/>
      <c r="HEI67"/>
      <c r="HEJ67"/>
      <c r="HEK67"/>
      <c r="HEL67"/>
      <c r="HEM67"/>
      <c r="HEN67"/>
      <c r="HEO67"/>
      <c r="HEP67"/>
      <c r="HEQ67"/>
      <c r="HER67"/>
      <c r="HES67"/>
      <c r="HET67"/>
      <c r="HEU67"/>
      <c r="HEV67"/>
      <c r="HEW67"/>
      <c r="HEX67"/>
      <c r="HEY67"/>
      <c r="HEZ67"/>
      <c r="HFA67"/>
      <c r="HFB67"/>
      <c r="HFC67"/>
      <c r="HFD67"/>
      <c r="HFE67"/>
      <c r="HFF67"/>
      <c r="HFG67"/>
      <c r="HFH67"/>
      <c r="HFI67"/>
      <c r="HFJ67"/>
      <c r="HFK67"/>
      <c r="HFL67"/>
      <c r="HFM67"/>
      <c r="HFN67"/>
      <c r="HFO67"/>
      <c r="HFP67"/>
      <c r="HFQ67"/>
      <c r="HFR67"/>
      <c r="HFS67"/>
      <c r="HFT67"/>
      <c r="HFU67"/>
      <c r="HFV67"/>
      <c r="HFW67"/>
      <c r="HFX67"/>
      <c r="HFY67"/>
      <c r="HFZ67"/>
      <c r="HGA67"/>
      <c r="HGB67"/>
      <c r="HGC67"/>
      <c r="HGD67"/>
      <c r="HGE67"/>
      <c r="HGF67"/>
      <c r="HGG67"/>
      <c r="HGH67"/>
      <c r="HGI67"/>
      <c r="HGJ67"/>
      <c r="HGK67"/>
      <c r="HGL67"/>
      <c r="HGM67"/>
      <c r="HGN67"/>
      <c r="HGO67"/>
      <c r="HGP67"/>
      <c r="HGQ67"/>
      <c r="HGR67"/>
      <c r="HGS67"/>
      <c r="HGT67"/>
      <c r="HGU67"/>
      <c r="HGV67"/>
      <c r="HGW67"/>
      <c r="HGX67"/>
      <c r="HGY67"/>
      <c r="HGZ67"/>
      <c r="HHA67"/>
      <c r="HHB67"/>
      <c r="HHC67"/>
      <c r="HHD67"/>
      <c r="HHE67"/>
      <c r="HHF67"/>
      <c r="HHG67"/>
      <c r="HHH67"/>
      <c r="HHI67"/>
      <c r="HHJ67"/>
      <c r="HHK67"/>
      <c r="HHL67"/>
      <c r="HHM67"/>
      <c r="HHN67"/>
      <c r="HHO67"/>
      <c r="HHP67"/>
      <c r="HHQ67"/>
      <c r="HHR67"/>
      <c r="HHS67"/>
      <c r="HHT67"/>
      <c r="HHU67"/>
      <c r="HHV67"/>
      <c r="HHW67"/>
      <c r="HHX67"/>
      <c r="HHY67"/>
      <c r="HHZ67"/>
      <c r="HIA67"/>
      <c r="HIB67"/>
      <c r="HIC67"/>
      <c r="HID67"/>
      <c r="HIE67"/>
      <c r="HIF67"/>
      <c r="HIG67"/>
      <c r="HIH67"/>
      <c r="HII67"/>
      <c r="HIJ67"/>
      <c r="HIK67"/>
      <c r="HIL67"/>
      <c r="HIM67"/>
      <c r="HIN67"/>
      <c r="HIO67"/>
      <c r="HIP67"/>
      <c r="HIQ67"/>
      <c r="HIR67"/>
      <c r="HIS67"/>
      <c r="HIT67"/>
      <c r="HIU67"/>
      <c r="HIV67"/>
      <c r="HIW67"/>
      <c r="HIX67"/>
      <c r="HIY67"/>
      <c r="HIZ67"/>
      <c r="HJA67"/>
      <c r="HJB67"/>
      <c r="HJC67"/>
      <c r="HJD67"/>
      <c r="HJE67"/>
      <c r="HJF67"/>
      <c r="HJG67"/>
      <c r="HJH67"/>
      <c r="HJI67"/>
      <c r="HJJ67"/>
      <c r="HJK67"/>
      <c r="HJL67"/>
      <c r="HJM67"/>
      <c r="HJN67"/>
      <c r="HJO67"/>
      <c r="HJP67"/>
      <c r="HJQ67"/>
      <c r="HJR67"/>
      <c r="HJS67"/>
      <c r="HJT67"/>
      <c r="HJU67"/>
      <c r="HJV67"/>
      <c r="HJW67"/>
      <c r="HJX67"/>
      <c r="HJY67"/>
      <c r="HJZ67"/>
      <c r="HKA67"/>
      <c r="HKB67"/>
      <c r="HKC67"/>
      <c r="HKD67"/>
      <c r="HKE67"/>
      <c r="HKF67"/>
      <c r="HKG67"/>
      <c r="HKH67"/>
      <c r="HKI67"/>
      <c r="HKJ67"/>
      <c r="HKK67"/>
      <c r="HKL67"/>
      <c r="HKM67"/>
      <c r="HKN67"/>
      <c r="HKO67"/>
      <c r="HKP67"/>
      <c r="HKQ67"/>
      <c r="HKR67"/>
      <c r="HKS67"/>
      <c r="HKT67"/>
      <c r="HKU67"/>
      <c r="HKV67"/>
      <c r="HKW67"/>
      <c r="HKX67"/>
      <c r="HKY67"/>
      <c r="HKZ67"/>
      <c r="HLA67"/>
      <c r="HLB67"/>
      <c r="HLC67"/>
      <c r="HLD67"/>
      <c r="HLE67"/>
      <c r="HLF67"/>
      <c r="HLG67"/>
      <c r="HLH67"/>
      <c r="HLI67"/>
      <c r="HLJ67"/>
      <c r="HLK67"/>
      <c r="HLL67"/>
      <c r="HLM67"/>
      <c r="HLN67"/>
      <c r="HLO67"/>
      <c r="HLP67"/>
      <c r="HLQ67"/>
      <c r="HLR67"/>
      <c r="HLS67"/>
      <c r="HLT67"/>
      <c r="HLU67"/>
      <c r="HLV67"/>
      <c r="HLW67"/>
      <c r="HLX67"/>
      <c r="HLY67"/>
      <c r="HLZ67"/>
      <c r="HMA67"/>
      <c r="HMB67"/>
      <c r="HMC67"/>
      <c r="HMD67"/>
      <c r="HME67"/>
      <c r="HMF67"/>
      <c r="HMG67"/>
      <c r="HMH67"/>
      <c r="HMI67"/>
      <c r="HMJ67"/>
      <c r="HMK67"/>
      <c r="HML67"/>
      <c r="HMM67"/>
      <c r="HMN67"/>
      <c r="HMO67"/>
      <c r="HMP67"/>
      <c r="HMQ67"/>
      <c r="HMR67"/>
      <c r="HMS67"/>
      <c r="HMT67"/>
      <c r="HMU67"/>
      <c r="HMV67"/>
      <c r="HMW67"/>
      <c r="HMX67"/>
      <c r="HMY67"/>
      <c r="HMZ67"/>
      <c r="HNA67"/>
      <c r="HNB67"/>
      <c r="HNC67"/>
      <c r="HND67"/>
      <c r="HNE67"/>
      <c r="HNF67"/>
      <c r="HNG67"/>
      <c r="HNH67"/>
      <c r="HNI67"/>
      <c r="HNJ67"/>
      <c r="HNK67"/>
      <c r="HNL67"/>
      <c r="HNM67"/>
      <c r="HNN67"/>
      <c r="HNO67"/>
      <c r="HNP67"/>
      <c r="HNQ67"/>
      <c r="HNR67"/>
      <c r="HNS67"/>
      <c r="HNT67"/>
      <c r="HNU67"/>
      <c r="HNV67"/>
      <c r="HNW67"/>
      <c r="HNX67"/>
      <c r="HNY67"/>
      <c r="HNZ67"/>
      <c r="HOA67"/>
      <c r="HOB67"/>
      <c r="HOC67"/>
      <c r="HOD67"/>
      <c r="HOE67"/>
      <c r="HOF67"/>
      <c r="HOG67"/>
      <c r="HOH67"/>
      <c r="HOI67"/>
      <c r="HOJ67"/>
      <c r="HOK67"/>
      <c r="HOL67"/>
      <c r="HOM67"/>
      <c r="HON67"/>
      <c r="HOO67"/>
      <c r="HOP67"/>
      <c r="HOQ67"/>
      <c r="HOR67"/>
      <c r="HOS67"/>
      <c r="HOT67"/>
      <c r="HOU67"/>
      <c r="HOV67"/>
      <c r="HOW67"/>
      <c r="HOX67"/>
      <c r="HOY67"/>
      <c r="HOZ67"/>
      <c r="HPA67"/>
      <c r="HPB67"/>
      <c r="HPC67"/>
      <c r="HPD67"/>
      <c r="HPE67"/>
      <c r="HPF67"/>
      <c r="HPG67"/>
      <c r="HPH67"/>
      <c r="HPI67"/>
      <c r="HPJ67"/>
      <c r="HPK67"/>
      <c r="HPL67"/>
      <c r="HPM67"/>
      <c r="HPN67"/>
      <c r="HPO67"/>
      <c r="HPP67"/>
      <c r="HPQ67"/>
      <c r="HPR67"/>
      <c r="HPS67"/>
      <c r="HPT67"/>
      <c r="HPU67"/>
      <c r="HPV67"/>
      <c r="HPW67"/>
      <c r="HPX67"/>
      <c r="HPY67"/>
      <c r="HPZ67"/>
      <c r="HQA67"/>
      <c r="HQB67"/>
      <c r="HQC67"/>
      <c r="HQD67"/>
      <c r="HQE67"/>
      <c r="HQF67"/>
      <c r="HQG67"/>
      <c r="HQH67"/>
      <c r="HQI67"/>
      <c r="HQJ67"/>
      <c r="HQK67"/>
      <c r="HQL67"/>
      <c r="HQM67"/>
      <c r="HQN67"/>
      <c r="HQO67"/>
      <c r="HQP67"/>
      <c r="HQQ67"/>
      <c r="HQR67"/>
      <c r="HQS67"/>
      <c r="HQT67"/>
      <c r="HQU67"/>
      <c r="HQV67"/>
      <c r="HQW67"/>
      <c r="HQX67"/>
      <c r="HQY67"/>
      <c r="HQZ67"/>
      <c r="HRA67"/>
      <c r="HRB67"/>
      <c r="HRC67"/>
      <c r="HRD67"/>
      <c r="HRE67"/>
      <c r="HRF67"/>
      <c r="HRG67"/>
      <c r="HRH67"/>
      <c r="HRI67"/>
      <c r="HRJ67"/>
      <c r="HRK67"/>
      <c r="HRL67"/>
      <c r="HRM67"/>
      <c r="HRN67"/>
      <c r="HRO67"/>
      <c r="HRP67"/>
      <c r="HRQ67"/>
      <c r="HRR67"/>
      <c r="HRS67"/>
      <c r="HRT67"/>
      <c r="HRU67"/>
      <c r="HRV67"/>
      <c r="HRW67"/>
      <c r="HRX67"/>
      <c r="HRY67"/>
      <c r="HRZ67"/>
      <c r="HSA67"/>
      <c r="HSB67"/>
      <c r="HSC67"/>
      <c r="HSD67"/>
      <c r="HSE67"/>
      <c r="HSF67"/>
      <c r="HSG67"/>
      <c r="HSH67"/>
      <c r="HSI67"/>
      <c r="HSJ67"/>
      <c r="HSK67"/>
      <c r="HSL67"/>
      <c r="HSM67"/>
      <c r="HSN67"/>
      <c r="HSO67"/>
      <c r="HSP67"/>
      <c r="HSQ67"/>
      <c r="HSR67"/>
      <c r="HSS67"/>
      <c r="HST67"/>
      <c r="HSU67"/>
      <c r="HSV67"/>
      <c r="HSW67"/>
      <c r="HSX67"/>
      <c r="HSY67"/>
      <c r="HSZ67"/>
      <c r="HTA67"/>
      <c r="HTB67"/>
      <c r="HTC67"/>
      <c r="HTD67"/>
      <c r="HTE67"/>
      <c r="HTF67"/>
      <c r="HTG67"/>
      <c r="HTH67"/>
      <c r="HTI67"/>
      <c r="HTJ67"/>
      <c r="HTK67"/>
      <c r="HTL67"/>
      <c r="HTM67"/>
      <c r="HTN67"/>
      <c r="HTO67"/>
      <c r="HTP67"/>
      <c r="HTQ67"/>
      <c r="HTR67"/>
      <c r="HTS67"/>
      <c r="HTT67"/>
      <c r="HTU67"/>
      <c r="HTV67"/>
      <c r="HTW67"/>
      <c r="HTX67"/>
      <c r="HTY67"/>
      <c r="HTZ67"/>
      <c r="HUA67"/>
      <c r="HUB67"/>
      <c r="HUC67"/>
      <c r="HUD67"/>
      <c r="HUE67"/>
      <c r="HUF67"/>
      <c r="HUG67"/>
      <c r="HUH67"/>
      <c r="HUI67"/>
      <c r="HUJ67"/>
      <c r="HUK67"/>
      <c r="HUL67"/>
      <c r="HUM67"/>
      <c r="HUN67"/>
      <c r="HUO67"/>
      <c r="HUP67"/>
      <c r="HUQ67"/>
      <c r="HUR67"/>
      <c r="HUS67"/>
      <c r="HUT67"/>
      <c r="HUU67"/>
      <c r="HUV67"/>
      <c r="HUW67"/>
      <c r="HUX67"/>
      <c r="HUY67"/>
      <c r="HUZ67"/>
      <c r="HVA67"/>
      <c r="HVB67"/>
      <c r="HVC67"/>
      <c r="HVD67"/>
      <c r="HVE67"/>
      <c r="HVF67"/>
      <c r="HVG67"/>
      <c r="HVH67"/>
      <c r="HVI67"/>
      <c r="HVJ67"/>
      <c r="HVK67"/>
      <c r="HVL67"/>
      <c r="HVM67"/>
      <c r="HVN67"/>
      <c r="HVO67"/>
      <c r="HVP67"/>
      <c r="HVQ67"/>
      <c r="HVR67"/>
      <c r="HVS67"/>
      <c r="HVT67"/>
      <c r="HVU67"/>
      <c r="HVV67"/>
      <c r="HVW67"/>
      <c r="HVX67"/>
      <c r="HVY67"/>
      <c r="HVZ67"/>
      <c r="HWA67"/>
      <c r="HWB67"/>
      <c r="HWC67"/>
      <c r="HWD67"/>
      <c r="HWE67"/>
      <c r="HWF67"/>
      <c r="HWG67"/>
      <c r="HWH67"/>
      <c r="HWI67"/>
      <c r="HWJ67"/>
      <c r="HWK67"/>
      <c r="HWL67"/>
      <c r="HWM67"/>
      <c r="HWN67"/>
      <c r="HWO67"/>
      <c r="HWP67"/>
      <c r="HWQ67"/>
      <c r="HWR67"/>
      <c r="HWS67"/>
      <c r="HWT67"/>
      <c r="HWU67"/>
      <c r="HWV67"/>
      <c r="HWW67"/>
      <c r="HWX67"/>
      <c r="HWY67"/>
      <c r="HWZ67"/>
      <c r="HXA67"/>
      <c r="HXB67"/>
      <c r="HXC67"/>
      <c r="HXD67"/>
      <c r="HXE67"/>
      <c r="HXF67"/>
      <c r="HXG67"/>
      <c r="HXH67"/>
      <c r="HXI67"/>
      <c r="HXJ67"/>
      <c r="HXK67"/>
      <c r="HXL67"/>
      <c r="HXM67"/>
      <c r="HXN67"/>
      <c r="HXO67"/>
      <c r="HXP67"/>
      <c r="HXQ67"/>
      <c r="HXR67"/>
      <c r="HXS67"/>
      <c r="HXT67"/>
      <c r="HXU67"/>
      <c r="HXV67"/>
      <c r="HXW67"/>
      <c r="HXX67"/>
      <c r="HXY67"/>
      <c r="HXZ67"/>
      <c r="HYA67"/>
      <c r="HYB67"/>
      <c r="HYC67"/>
      <c r="HYD67"/>
      <c r="HYE67"/>
      <c r="HYF67"/>
      <c r="HYG67"/>
      <c r="HYH67"/>
      <c r="HYI67"/>
      <c r="HYJ67"/>
      <c r="HYK67"/>
      <c r="HYL67"/>
      <c r="HYM67"/>
      <c r="HYN67"/>
      <c r="HYO67"/>
      <c r="HYP67"/>
      <c r="HYQ67"/>
      <c r="HYR67"/>
      <c r="HYS67"/>
      <c r="HYT67"/>
      <c r="HYU67"/>
      <c r="HYV67"/>
      <c r="HYW67"/>
      <c r="HYX67"/>
      <c r="HYY67"/>
      <c r="HYZ67"/>
      <c r="HZA67"/>
      <c r="HZB67"/>
      <c r="HZC67"/>
      <c r="HZD67"/>
      <c r="HZE67"/>
      <c r="HZF67"/>
      <c r="HZG67"/>
      <c r="HZH67"/>
      <c r="HZI67"/>
      <c r="HZJ67"/>
      <c r="HZK67"/>
      <c r="HZL67"/>
      <c r="HZM67"/>
      <c r="HZN67"/>
      <c r="HZO67"/>
      <c r="HZP67"/>
      <c r="HZQ67"/>
      <c r="HZR67"/>
      <c r="HZS67"/>
      <c r="HZT67"/>
      <c r="HZU67"/>
      <c r="HZV67"/>
      <c r="HZW67"/>
      <c r="HZX67"/>
      <c r="HZY67"/>
      <c r="HZZ67"/>
      <c r="IAA67"/>
      <c r="IAB67"/>
      <c r="IAC67"/>
      <c r="IAD67"/>
      <c r="IAE67"/>
      <c r="IAF67"/>
      <c r="IAG67"/>
      <c r="IAH67"/>
      <c r="IAI67"/>
      <c r="IAJ67"/>
      <c r="IAK67"/>
      <c r="IAL67"/>
      <c r="IAM67"/>
      <c r="IAN67"/>
      <c r="IAO67"/>
      <c r="IAP67"/>
      <c r="IAQ67"/>
      <c r="IAR67"/>
      <c r="IAS67"/>
      <c r="IAT67"/>
      <c r="IAU67"/>
      <c r="IAV67"/>
      <c r="IAW67"/>
      <c r="IAX67"/>
      <c r="IAY67"/>
      <c r="IAZ67"/>
      <c r="IBA67"/>
      <c r="IBB67"/>
      <c r="IBC67"/>
      <c r="IBD67"/>
      <c r="IBE67"/>
      <c r="IBF67"/>
      <c r="IBG67"/>
      <c r="IBH67"/>
      <c r="IBI67"/>
      <c r="IBJ67"/>
      <c r="IBK67"/>
      <c r="IBL67"/>
      <c r="IBM67"/>
      <c r="IBN67"/>
      <c r="IBO67"/>
      <c r="IBP67"/>
      <c r="IBQ67"/>
      <c r="IBR67"/>
      <c r="IBS67"/>
      <c r="IBT67"/>
      <c r="IBU67"/>
      <c r="IBV67"/>
      <c r="IBW67"/>
      <c r="IBX67"/>
      <c r="IBY67"/>
      <c r="IBZ67"/>
      <c r="ICA67"/>
      <c r="ICB67"/>
      <c r="ICC67"/>
      <c r="ICD67"/>
      <c r="ICE67"/>
      <c r="ICF67"/>
      <c r="ICG67"/>
      <c r="ICH67"/>
      <c r="ICI67"/>
      <c r="ICJ67"/>
      <c r="ICK67"/>
      <c r="ICL67"/>
      <c r="ICM67"/>
      <c r="ICN67"/>
      <c r="ICO67"/>
      <c r="ICP67"/>
      <c r="ICQ67"/>
      <c r="ICR67"/>
      <c r="ICS67"/>
      <c r="ICT67"/>
      <c r="ICU67"/>
      <c r="ICV67"/>
      <c r="ICW67"/>
      <c r="ICX67"/>
      <c r="ICY67"/>
      <c r="ICZ67"/>
      <c r="IDA67"/>
      <c r="IDB67"/>
      <c r="IDC67"/>
      <c r="IDD67"/>
      <c r="IDE67"/>
      <c r="IDF67"/>
      <c r="IDG67"/>
      <c r="IDH67"/>
      <c r="IDI67"/>
      <c r="IDJ67"/>
      <c r="IDK67"/>
      <c r="IDL67"/>
      <c r="IDM67"/>
      <c r="IDN67"/>
      <c r="IDO67"/>
      <c r="IDP67"/>
      <c r="IDQ67"/>
      <c r="IDR67"/>
      <c r="IDS67"/>
      <c r="IDT67"/>
      <c r="IDU67"/>
      <c r="IDV67"/>
      <c r="IDW67"/>
      <c r="IDX67"/>
      <c r="IDY67"/>
      <c r="IDZ67"/>
      <c r="IEA67"/>
      <c r="IEB67"/>
      <c r="IEC67"/>
      <c r="IED67"/>
      <c r="IEE67"/>
      <c r="IEF67"/>
      <c r="IEG67"/>
      <c r="IEH67"/>
      <c r="IEI67"/>
      <c r="IEJ67"/>
      <c r="IEK67"/>
      <c r="IEL67"/>
      <c r="IEM67"/>
      <c r="IEN67"/>
      <c r="IEO67"/>
      <c r="IEP67"/>
      <c r="IEQ67"/>
      <c r="IER67"/>
      <c r="IES67"/>
      <c r="IET67"/>
      <c r="IEU67"/>
      <c r="IEV67"/>
      <c r="IEW67"/>
      <c r="IEX67"/>
      <c r="IEY67"/>
      <c r="IEZ67"/>
      <c r="IFA67"/>
      <c r="IFB67"/>
      <c r="IFC67"/>
      <c r="IFD67"/>
      <c r="IFE67"/>
      <c r="IFF67"/>
      <c r="IFG67"/>
      <c r="IFH67"/>
      <c r="IFI67"/>
      <c r="IFJ67"/>
      <c r="IFK67"/>
      <c r="IFL67"/>
      <c r="IFM67"/>
      <c r="IFN67"/>
      <c r="IFO67"/>
      <c r="IFP67"/>
      <c r="IFQ67"/>
      <c r="IFR67"/>
      <c r="IFS67"/>
      <c r="IFT67"/>
      <c r="IFU67"/>
      <c r="IFV67"/>
      <c r="IFW67"/>
      <c r="IFX67"/>
      <c r="IFY67"/>
      <c r="IFZ67"/>
      <c r="IGA67"/>
      <c r="IGB67"/>
      <c r="IGC67"/>
      <c r="IGD67"/>
      <c r="IGE67"/>
      <c r="IGF67"/>
      <c r="IGG67"/>
      <c r="IGH67"/>
      <c r="IGI67"/>
      <c r="IGJ67"/>
      <c r="IGK67"/>
      <c r="IGL67"/>
      <c r="IGM67"/>
      <c r="IGN67"/>
      <c r="IGO67"/>
      <c r="IGP67"/>
      <c r="IGQ67"/>
      <c r="IGR67"/>
      <c r="IGS67"/>
      <c r="IGT67"/>
      <c r="IGU67"/>
      <c r="IGV67"/>
      <c r="IGW67"/>
      <c r="IGX67"/>
      <c r="IGY67"/>
      <c r="IGZ67"/>
      <c r="IHA67"/>
      <c r="IHB67"/>
      <c r="IHC67"/>
      <c r="IHD67"/>
      <c r="IHE67"/>
      <c r="IHF67"/>
      <c r="IHG67"/>
      <c r="IHH67"/>
      <c r="IHI67"/>
      <c r="IHJ67"/>
      <c r="IHK67"/>
      <c r="IHL67"/>
      <c r="IHM67"/>
      <c r="IHN67"/>
      <c r="IHO67"/>
      <c r="IHP67"/>
      <c r="IHQ67"/>
      <c r="IHR67"/>
      <c r="IHS67"/>
      <c r="IHT67"/>
      <c r="IHU67"/>
      <c r="IHV67"/>
      <c r="IHW67"/>
      <c r="IHX67"/>
      <c r="IHY67"/>
      <c r="IHZ67"/>
      <c r="IIA67"/>
      <c r="IIB67"/>
      <c r="IIC67"/>
      <c r="IID67"/>
      <c r="IIE67"/>
      <c r="IIF67"/>
      <c r="IIG67"/>
      <c r="IIH67"/>
      <c r="III67"/>
      <c r="IIJ67"/>
      <c r="IIK67"/>
      <c r="IIL67"/>
      <c r="IIM67"/>
      <c r="IIN67"/>
      <c r="IIO67"/>
      <c r="IIP67"/>
      <c r="IIQ67"/>
      <c r="IIR67"/>
      <c r="IIS67"/>
      <c r="IIT67"/>
      <c r="IIU67"/>
      <c r="IIV67"/>
      <c r="IIW67"/>
      <c r="IIX67"/>
      <c r="IIY67"/>
      <c r="IIZ67"/>
      <c r="IJA67"/>
      <c r="IJB67"/>
      <c r="IJC67"/>
      <c r="IJD67"/>
      <c r="IJE67"/>
      <c r="IJF67"/>
      <c r="IJG67"/>
      <c r="IJH67"/>
      <c r="IJI67"/>
      <c r="IJJ67"/>
      <c r="IJK67"/>
      <c r="IJL67"/>
      <c r="IJM67"/>
      <c r="IJN67"/>
      <c r="IJO67"/>
      <c r="IJP67"/>
      <c r="IJQ67"/>
      <c r="IJR67"/>
      <c r="IJS67"/>
      <c r="IJT67"/>
      <c r="IJU67"/>
      <c r="IJV67"/>
      <c r="IJW67"/>
      <c r="IJX67"/>
      <c r="IJY67"/>
      <c r="IJZ67"/>
      <c r="IKA67"/>
      <c r="IKB67"/>
      <c r="IKC67"/>
      <c r="IKD67"/>
      <c r="IKE67"/>
      <c r="IKF67"/>
      <c r="IKG67"/>
      <c r="IKH67"/>
      <c r="IKI67"/>
      <c r="IKJ67"/>
      <c r="IKK67"/>
      <c r="IKL67"/>
      <c r="IKM67"/>
      <c r="IKN67"/>
      <c r="IKO67"/>
      <c r="IKP67"/>
      <c r="IKQ67"/>
      <c r="IKR67"/>
      <c r="IKS67"/>
      <c r="IKT67"/>
      <c r="IKU67"/>
      <c r="IKV67"/>
      <c r="IKW67"/>
      <c r="IKX67"/>
      <c r="IKY67"/>
      <c r="IKZ67"/>
      <c r="ILA67"/>
      <c r="ILB67"/>
      <c r="ILC67"/>
      <c r="ILD67"/>
      <c r="ILE67"/>
      <c r="ILF67"/>
      <c r="ILG67"/>
      <c r="ILH67"/>
      <c r="ILI67"/>
      <c r="ILJ67"/>
      <c r="ILK67"/>
      <c r="ILL67"/>
      <c r="ILM67"/>
      <c r="ILN67"/>
      <c r="ILO67"/>
      <c r="ILP67"/>
      <c r="ILQ67"/>
      <c r="ILR67"/>
      <c r="ILS67"/>
      <c r="ILT67"/>
      <c r="ILU67"/>
      <c r="ILV67"/>
      <c r="ILW67"/>
      <c r="ILX67"/>
      <c r="ILY67"/>
      <c r="ILZ67"/>
      <c r="IMA67"/>
      <c r="IMB67"/>
      <c r="IMC67"/>
      <c r="IMD67"/>
      <c r="IME67"/>
      <c r="IMF67"/>
      <c r="IMG67"/>
      <c r="IMH67"/>
      <c r="IMI67"/>
      <c r="IMJ67"/>
      <c r="IMK67"/>
      <c r="IML67"/>
      <c r="IMM67"/>
      <c r="IMN67"/>
      <c r="IMO67"/>
      <c r="IMP67"/>
      <c r="IMQ67"/>
      <c r="IMR67"/>
      <c r="IMS67"/>
      <c r="IMT67"/>
      <c r="IMU67"/>
      <c r="IMV67"/>
      <c r="IMW67"/>
      <c r="IMX67"/>
      <c r="IMY67"/>
      <c r="IMZ67"/>
      <c r="INA67"/>
      <c r="INB67"/>
      <c r="INC67"/>
      <c r="IND67"/>
      <c r="INE67"/>
      <c r="INF67"/>
      <c r="ING67"/>
      <c r="INH67"/>
      <c r="INI67"/>
      <c r="INJ67"/>
      <c r="INK67"/>
      <c r="INL67"/>
      <c r="INM67"/>
      <c r="INN67"/>
      <c r="INO67"/>
      <c r="INP67"/>
      <c r="INQ67"/>
      <c r="INR67"/>
      <c r="INS67"/>
      <c r="INT67"/>
      <c r="INU67"/>
      <c r="INV67"/>
      <c r="INW67"/>
      <c r="INX67"/>
      <c r="INY67"/>
      <c r="INZ67"/>
      <c r="IOA67"/>
      <c r="IOB67"/>
      <c r="IOC67"/>
      <c r="IOD67"/>
      <c r="IOE67"/>
      <c r="IOF67"/>
      <c r="IOG67"/>
      <c r="IOH67"/>
      <c r="IOI67"/>
      <c r="IOJ67"/>
      <c r="IOK67"/>
      <c r="IOL67"/>
      <c r="IOM67"/>
      <c r="ION67"/>
      <c r="IOO67"/>
      <c r="IOP67"/>
      <c r="IOQ67"/>
      <c r="IOR67"/>
      <c r="IOS67"/>
      <c r="IOT67"/>
      <c r="IOU67"/>
      <c r="IOV67"/>
      <c r="IOW67"/>
      <c r="IOX67"/>
      <c r="IOY67"/>
      <c r="IOZ67"/>
      <c r="IPA67"/>
      <c r="IPB67"/>
      <c r="IPC67"/>
      <c r="IPD67"/>
      <c r="IPE67"/>
      <c r="IPF67"/>
      <c r="IPG67"/>
      <c r="IPH67"/>
      <c r="IPI67"/>
      <c r="IPJ67"/>
      <c r="IPK67"/>
      <c r="IPL67"/>
      <c r="IPM67"/>
      <c r="IPN67"/>
      <c r="IPO67"/>
      <c r="IPP67"/>
      <c r="IPQ67"/>
      <c r="IPR67"/>
      <c r="IPS67"/>
      <c r="IPT67"/>
      <c r="IPU67"/>
      <c r="IPV67"/>
      <c r="IPW67"/>
      <c r="IPX67"/>
      <c r="IPY67"/>
      <c r="IPZ67"/>
      <c r="IQA67"/>
      <c r="IQB67"/>
      <c r="IQC67"/>
      <c r="IQD67"/>
      <c r="IQE67"/>
      <c r="IQF67"/>
      <c r="IQG67"/>
      <c r="IQH67"/>
      <c r="IQI67"/>
      <c r="IQJ67"/>
      <c r="IQK67"/>
      <c r="IQL67"/>
      <c r="IQM67"/>
      <c r="IQN67"/>
      <c r="IQO67"/>
      <c r="IQP67"/>
      <c r="IQQ67"/>
      <c r="IQR67"/>
      <c r="IQS67"/>
      <c r="IQT67"/>
      <c r="IQU67"/>
      <c r="IQV67"/>
      <c r="IQW67"/>
      <c r="IQX67"/>
      <c r="IQY67"/>
      <c r="IQZ67"/>
      <c r="IRA67"/>
      <c r="IRB67"/>
      <c r="IRC67"/>
      <c r="IRD67"/>
      <c r="IRE67"/>
      <c r="IRF67"/>
      <c r="IRG67"/>
      <c r="IRH67"/>
      <c r="IRI67"/>
      <c r="IRJ67"/>
      <c r="IRK67"/>
      <c r="IRL67"/>
      <c r="IRM67"/>
      <c r="IRN67"/>
      <c r="IRO67"/>
      <c r="IRP67"/>
      <c r="IRQ67"/>
      <c r="IRR67"/>
      <c r="IRS67"/>
      <c r="IRT67"/>
      <c r="IRU67"/>
      <c r="IRV67"/>
      <c r="IRW67"/>
      <c r="IRX67"/>
      <c r="IRY67"/>
      <c r="IRZ67"/>
      <c r="ISA67"/>
      <c r="ISB67"/>
      <c r="ISC67"/>
      <c r="ISD67"/>
      <c r="ISE67"/>
      <c r="ISF67"/>
      <c r="ISG67"/>
      <c r="ISH67"/>
      <c r="ISI67"/>
      <c r="ISJ67"/>
      <c r="ISK67"/>
      <c r="ISL67"/>
      <c r="ISM67"/>
      <c r="ISN67"/>
      <c r="ISO67"/>
      <c r="ISP67"/>
      <c r="ISQ67"/>
      <c r="ISR67"/>
      <c r="ISS67"/>
      <c r="IST67"/>
      <c r="ISU67"/>
      <c r="ISV67"/>
      <c r="ISW67"/>
      <c r="ISX67"/>
      <c r="ISY67"/>
      <c r="ISZ67"/>
      <c r="ITA67"/>
      <c r="ITB67"/>
      <c r="ITC67"/>
      <c r="ITD67"/>
      <c r="ITE67"/>
      <c r="ITF67"/>
      <c r="ITG67"/>
      <c r="ITH67"/>
      <c r="ITI67"/>
      <c r="ITJ67"/>
      <c r="ITK67"/>
      <c r="ITL67"/>
      <c r="ITM67"/>
      <c r="ITN67"/>
      <c r="ITO67"/>
      <c r="ITP67"/>
      <c r="ITQ67"/>
      <c r="ITR67"/>
      <c r="ITS67"/>
      <c r="ITT67"/>
      <c r="ITU67"/>
      <c r="ITV67"/>
      <c r="ITW67"/>
      <c r="ITX67"/>
      <c r="ITY67"/>
      <c r="ITZ67"/>
      <c r="IUA67"/>
      <c r="IUB67"/>
      <c r="IUC67"/>
      <c r="IUD67"/>
      <c r="IUE67"/>
      <c r="IUF67"/>
      <c r="IUG67"/>
      <c r="IUH67"/>
      <c r="IUI67"/>
      <c r="IUJ67"/>
      <c r="IUK67"/>
      <c r="IUL67"/>
      <c r="IUM67"/>
      <c r="IUN67"/>
      <c r="IUO67"/>
      <c r="IUP67"/>
      <c r="IUQ67"/>
      <c r="IUR67"/>
      <c r="IUS67"/>
      <c r="IUT67"/>
      <c r="IUU67"/>
      <c r="IUV67"/>
      <c r="IUW67"/>
      <c r="IUX67"/>
      <c r="IUY67"/>
      <c r="IUZ67"/>
      <c r="IVA67"/>
      <c r="IVB67"/>
      <c r="IVC67"/>
      <c r="IVD67"/>
      <c r="IVE67"/>
      <c r="IVF67"/>
      <c r="IVG67"/>
      <c r="IVH67"/>
      <c r="IVI67"/>
      <c r="IVJ67"/>
      <c r="IVK67"/>
      <c r="IVL67"/>
      <c r="IVM67"/>
      <c r="IVN67"/>
      <c r="IVO67"/>
      <c r="IVP67"/>
      <c r="IVQ67"/>
      <c r="IVR67"/>
      <c r="IVS67"/>
      <c r="IVT67"/>
      <c r="IVU67"/>
      <c r="IVV67"/>
      <c r="IVW67"/>
      <c r="IVX67"/>
      <c r="IVY67"/>
      <c r="IVZ67"/>
      <c r="IWA67"/>
      <c r="IWB67"/>
      <c r="IWC67"/>
      <c r="IWD67"/>
      <c r="IWE67"/>
      <c r="IWF67"/>
      <c r="IWG67"/>
      <c r="IWH67"/>
      <c r="IWI67"/>
      <c r="IWJ67"/>
      <c r="IWK67"/>
      <c r="IWL67"/>
      <c r="IWM67"/>
      <c r="IWN67"/>
      <c r="IWO67"/>
      <c r="IWP67"/>
      <c r="IWQ67"/>
      <c r="IWR67"/>
      <c r="IWS67"/>
      <c r="IWT67"/>
      <c r="IWU67"/>
      <c r="IWV67"/>
      <c r="IWW67"/>
      <c r="IWX67"/>
      <c r="IWY67"/>
      <c r="IWZ67"/>
      <c r="IXA67"/>
      <c r="IXB67"/>
      <c r="IXC67"/>
      <c r="IXD67"/>
      <c r="IXE67"/>
      <c r="IXF67"/>
      <c r="IXG67"/>
      <c r="IXH67"/>
      <c r="IXI67"/>
      <c r="IXJ67"/>
      <c r="IXK67"/>
      <c r="IXL67"/>
      <c r="IXM67"/>
      <c r="IXN67"/>
      <c r="IXO67"/>
      <c r="IXP67"/>
      <c r="IXQ67"/>
      <c r="IXR67"/>
      <c r="IXS67"/>
      <c r="IXT67"/>
      <c r="IXU67"/>
      <c r="IXV67"/>
      <c r="IXW67"/>
      <c r="IXX67"/>
      <c r="IXY67"/>
      <c r="IXZ67"/>
      <c r="IYA67"/>
      <c r="IYB67"/>
      <c r="IYC67"/>
      <c r="IYD67"/>
      <c r="IYE67"/>
      <c r="IYF67"/>
      <c r="IYG67"/>
      <c r="IYH67"/>
      <c r="IYI67"/>
      <c r="IYJ67"/>
      <c r="IYK67"/>
      <c r="IYL67"/>
      <c r="IYM67"/>
      <c r="IYN67"/>
      <c r="IYO67"/>
      <c r="IYP67"/>
      <c r="IYQ67"/>
      <c r="IYR67"/>
      <c r="IYS67"/>
      <c r="IYT67"/>
      <c r="IYU67"/>
      <c r="IYV67"/>
      <c r="IYW67"/>
      <c r="IYX67"/>
      <c r="IYY67"/>
      <c r="IYZ67"/>
      <c r="IZA67"/>
      <c r="IZB67"/>
      <c r="IZC67"/>
      <c r="IZD67"/>
      <c r="IZE67"/>
      <c r="IZF67"/>
      <c r="IZG67"/>
      <c r="IZH67"/>
      <c r="IZI67"/>
      <c r="IZJ67"/>
      <c r="IZK67"/>
      <c r="IZL67"/>
      <c r="IZM67"/>
      <c r="IZN67"/>
      <c r="IZO67"/>
      <c r="IZP67"/>
      <c r="IZQ67"/>
      <c r="IZR67"/>
      <c r="IZS67"/>
      <c r="IZT67"/>
      <c r="IZU67"/>
      <c r="IZV67"/>
      <c r="IZW67"/>
      <c r="IZX67"/>
      <c r="IZY67"/>
      <c r="IZZ67"/>
      <c r="JAA67"/>
      <c r="JAB67"/>
      <c r="JAC67"/>
      <c r="JAD67"/>
      <c r="JAE67"/>
      <c r="JAF67"/>
      <c r="JAG67"/>
      <c r="JAH67"/>
      <c r="JAI67"/>
      <c r="JAJ67"/>
      <c r="JAK67"/>
      <c r="JAL67"/>
      <c r="JAM67"/>
      <c r="JAN67"/>
      <c r="JAO67"/>
      <c r="JAP67"/>
      <c r="JAQ67"/>
      <c r="JAR67"/>
      <c r="JAS67"/>
      <c r="JAT67"/>
      <c r="JAU67"/>
      <c r="JAV67"/>
      <c r="JAW67"/>
      <c r="JAX67"/>
      <c r="JAY67"/>
      <c r="JAZ67"/>
      <c r="JBA67"/>
      <c r="JBB67"/>
      <c r="JBC67"/>
      <c r="JBD67"/>
      <c r="JBE67"/>
      <c r="JBF67"/>
      <c r="JBG67"/>
      <c r="JBH67"/>
      <c r="JBI67"/>
      <c r="JBJ67"/>
      <c r="JBK67"/>
      <c r="JBL67"/>
      <c r="JBM67"/>
      <c r="JBN67"/>
      <c r="JBO67"/>
      <c r="JBP67"/>
      <c r="JBQ67"/>
      <c r="JBR67"/>
      <c r="JBS67"/>
      <c r="JBT67"/>
      <c r="JBU67"/>
      <c r="JBV67"/>
      <c r="JBW67"/>
      <c r="JBX67"/>
      <c r="JBY67"/>
      <c r="JBZ67"/>
      <c r="JCA67"/>
      <c r="JCB67"/>
      <c r="JCC67"/>
      <c r="JCD67"/>
      <c r="JCE67"/>
      <c r="JCF67"/>
      <c r="JCG67"/>
      <c r="JCH67"/>
      <c r="JCI67"/>
      <c r="JCJ67"/>
      <c r="JCK67"/>
      <c r="JCL67"/>
      <c r="JCM67"/>
      <c r="JCN67"/>
      <c r="JCO67"/>
      <c r="JCP67"/>
      <c r="JCQ67"/>
      <c r="JCR67"/>
      <c r="JCS67"/>
      <c r="JCT67"/>
      <c r="JCU67"/>
      <c r="JCV67"/>
      <c r="JCW67"/>
      <c r="JCX67"/>
      <c r="JCY67"/>
      <c r="JCZ67"/>
      <c r="JDA67"/>
      <c r="JDB67"/>
      <c r="JDC67"/>
      <c r="JDD67"/>
      <c r="JDE67"/>
      <c r="JDF67"/>
      <c r="JDG67"/>
      <c r="JDH67"/>
      <c r="JDI67"/>
      <c r="JDJ67"/>
      <c r="JDK67"/>
      <c r="JDL67"/>
      <c r="JDM67"/>
      <c r="JDN67"/>
      <c r="JDO67"/>
      <c r="JDP67"/>
      <c r="JDQ67"/>
      <c r="JDR67"/>
      <c r="JDS67"/>
      <c r="JDT67"/>
      <c r="JDU67"/>
      <c r="JDV67"/>
      <c r="JDW67"/>
      <c r="JDX67"/>
      <c r="JDY67"/>
      <c r="JDZ67"/>
      <c r="JEA67"/>
      <c r="JEB67"/>
      <c r="JEC67"/>
      <c r="JED67"/>
      <c r="JEE67"/>
      <c r="JEF67"/>
      <c r="JEG67"/>
      <c r="JEH67"/>
      <c r="JEI67"/>
      <c r="JEJ67"/>
      <c r="JEK67"/>
      <c r="JEL67"/>
      <c r="JEM67"/>
      <c r="JEN67"/>
      <c r="JEO67"/>
      <c r="JEP67"/>
      <c r="JEQ67"/>
      <c r="JER67"/>
      <c r="JES67"/>
      <c r="JET67"/>
      <c r="JEU67"/>
      <c r="JEV67"/>
      <c r="JEW67"/>
      <c r="JEX67"/>
      <c r="JEY67"/>
      <c r="JEZ67"/>
      <c r="JFA67"/>
      <c r="JFB67"/>
      <c r="JFC67"/>
      <c r="JFD67"/>
      <c r="JFE67"/>
      <c r="JFF67"/>
      <c r="JFG67"/>
      <c r="JFH67"/>
      <c r="JFI67"/>
      <c r="JFJ67"/>
      <c r="JFK67"/>
      <c r="JFL67"/>
      <c r="JFM67"/>
      <c r="JFN67"/>
      <c r="JFO67"/>
      <c r="JFP67"/>
      <c r="JFQ67"/>
      <c r="JFR67"/>
      <c r="JFS67"/>
      <c r="JFT67"/>
      <c r="JFU67"/>
      <c r="JFV67"/>
      <c r="JFW67"/>
      <c r="JFX67"/>
      <c r="JFY67"/>
      <c r="JFZ67"/>
      <c r="JGA67"/>
      <c r="JGB67"/>
      <c r="JGC67"/>
      <c r="JGD67"/>
      <c r="JGE67"/>
      <c r="JGF67"/>
      <c r="JGG67"/>
      <c r="JGH67"/>
      <c r="JGI67"/>
      <c r="JGJ67"/>
      <c r="JGK67"/>
      <c r="JGL67"/>
      <c r="JGM67"/>
      <c r="JGN67"/>
      <c r="JGO67"/>
      <c r="JGP67"/>
      <c r="JGQ67"/>
      <c r="JGR67"/>
      <c r="JGS67"/>
      <c r="JGT67"/>
      <c r="JGU67"/>
      <c r="JGV67"/>
      <c r="JGW67"/>
      <c r="JGX67"/>
      <c r="JGY67"/>
      <c r="JGZ67"/>
      <c r="JHA67"/>
      <c r="JHB67"/>
      <c r="JHC67"/>
      <c r="JHD67"/>
      <c r="JHE67"/>
      <c r="JHF67"/>
      <c r="JHG67"/>
      <c r="JHH67"/>
      <c r="JHI67"/>
      <c r="JHJ67"/>
      <c r="JHK67"/>
      <c r="JHL67"/>
      <c r="JHM67"/>
      <c r="JHN67"/>
      <c r="JHO67"/>
      <c r="JHP67"/>
      <c r="JHQ67"/>
      <c r="JHR67"/>
      <c r="JHS67"/>
      <c r="JHT67"/>
      <c r="JHU67"/>
      <c r="JHV67"/>
      <c r="JHW67"/>
      <c r="JHX67"/>
      <c r="JHY67"/>
      <c r="JHZ67"/>
      <c r="JIA67"/>
      <c r="JIB67"/>
      <c r="JIC67"/>
      <c r="JID67"/>
      <c r="JIE67"/>
      <c r="JIF67"/>
      <c r="JIG67"/>
      <c r="JIH67"/>
      <c r="JII67"/>
      <c r="JIJ67"/>
      <c r="JIK67"/>
      <c r="JIL67"/>
      <c r="JIM67"/>
      <c r="JIN67"/>
      <c r="JIO67"/>
      <c r="JIP67"/>
      <c r="JIQ67"/>
      <c r="JIR67"/>
      <c r="JIS67"/>
      <c r="JIT67"/>
      <c r="JIU67"/>
      <c r="JIV67"/>
      <c r="JIW67"/>
      <c r="JIX67"/>
      <c r="JIY67"/>
      <c r="JIZ67"/>
      <c r="JJA67"/>
      <c r="JJB67"/>
      <c r="JJC67"/>
      <c r="JJD67"/>
      <c r="JJE67"/>
      <c r="JJF67"/>
      <c r="JJG67"/>
      <c r="JJH67"/>
      <c r="JJI67"/>
      <c r="JJJ67"/>
      <c r="JJK67"/>
      <c r="JJL67"/>
      <c r="JJM67"/>
      <c r="JJN67"/>
      <c r="JJO67"/>
      <c r="JJP67"/>
      <c r="JJQ67"/>
      <c r="JJR67"/>
      <c r="JJS67"/>
      <c r="JJT67"/>
      <c r="JJU67"/>
      <c r="JJV67"/>
      <c r="JJW67"/>
      <c r="JJX67"/>
      <c r="JJY67"/>
      <c r="JJZ67"/>
      <c r="JKA67"/>
      <c r="JKB67"/>
      <c r="JKC67"/>
      <c r="JKD67"/>
      <c r="JKE67"/>
      <c r="JKF67"/>
      <c r="JKG67"/>
      <c r="JKH67"/>
      <c r="JKI67"/>
      <c r="JKJ67"/>
      <c r="JKK67"/>
      <c r="JKL67"/>
      <c r="JKM67"/>
      <c r="JKN67"/>
      <c r="JKO67"/>
      <c r="JKP67"/>
      <c r="JKQ67"/>
      <c r="JKR67"/>
      <c r="JKS67"/>
      <c r="JKT67"/>
      <c r="JKU67"/>
      <c r="JKV67"/>
      <c r="JKW67"/>
      <c r="JKX67"/>
      <c r="JKY67"/>
      <c r="JKZ67"/>
      <c r="JLA67"/>
      <c r="JLB67"/>
      <c r="JLC67"/>
      <c r="JLD67"/>
      <c r="JLE67"/>
      <c r="JLF67"/>
      <c r="JLG67"/>
      <c r="JLH67"/>
      <c r="JLI67"/>
      <c r="JLJ67"/>
      <c r="JLK67"/>
      <c r="JLL67"/>
      <c r="JLM67"/>
      <c r="JLN67"/>
      <c r="JLO67"/>
      <c r="JLP67"/>
      <c r="JLQ67"/>
      <c r="JLR67"/>
      <c r="JLS67"/>
      <c r="JLT67"/>
      <c r="JLU67"/>
      <c r="JLV67"/>
      <c r="JLW67"/>
      <c r="JLX67"/>
      <c r="JLY67"/>
      <c r="JLZ67"/>
      <c r="JMA67"/>
      <c r="JMB67"/>
      <c r="JMC67"/>
      <c r="JMD67"/>
      <c r="JME67"/>
      <c r="JMF67"/>
      <c r="JMG67"/>
      <c r="JMH67"/>
      <c r="JMI67"/>
      <c r="JMJ67"/>
      <c r="JMK67"/>
      <c r="JML67"/>
      <c r="JMM67"/>
      <c r="JMN67"/>
      <c r="JMO67"/>
      <c r="JMP67"/>
      <c r="JMQ67"/>
      <c r="JMR67"/>
      <c r="JMS67"/>
      <c r="JMT67"/>
      <c r="JMU67"/>
      <c r="JMV67"/>
      <c r="JMW67"/>
      <c r="JMX67"/>
      <c r="JMY67"/>
      <c r="JMZ67"/>
      <c r="JNA67"/>
      <c r="JNB67"/>
      <c r="JNC67"/>
      <c r="JND67"/>
      <c r="JNE67"/>
      <c r="JNF67"/>
      <c r="JNG67"/>
      <c r="JNH67"/>
      <c r="JNI67"/>
      <c r="JNJ67"/>
      <c r="JNK67"/>
      <c r="JNL67"/>
      <c r="JNM67"/>
      <c r="JNN67"/>
      <c r="JNO67"/>
      <c r="JNP67"/>
      <c r="JNQ67"/>
      <c r="JNR67"/>
      <c r="JNS67"/>
      <c r="JNT67"/>
      <c r="JNU67"/>
      <c r="JNV67"/>
      <c r="JNW67"/>
      <c r="JNX67"/>
      <c r="JNY67"/>
      <c r="JNZ67"/>
      <c r="JOA67"/>
      <c r="JOB67"/>
      <c r="JOC67"/>
      <c r="JOD67"/>
      <c r="JOE67"/>
      <c r="JOF67"/>
      <c r="JOG67"/>
      <c r="JOH67"/>
      <c r="JOI67"/>
      <c r="JOJ67"/>
      <c r="JOK67"/>
      <c r="JOL67"/>
      <c r="JOM67"/>
      <c r="JON67"/>
      <c r="JOO67"/>
      <c r="JOP67"/>
      <c r="JOQ67"/>
      <c r="JOR67"/>
      <c r="JOS67"/>
      <c r="JOT67"/>
      <c r="JOU67"/>
      <c r="JOV67"/>
      <c r="JOW67"/>
      <c r="JOX67"/>
      <c r="JOY67"/>
      <c r="JOZ67"/>
      <c r="JPA67"/>
      <c r="JPB67"/>
      <c r="JPC67"/>
      <c r="JPD67"/>
      <c r="JPE67"/>
      <c r="JPF67"/>
      <c r="JPG67"/>
      <c r="JPH67"/>
      <c r="JPI67"/>
      <c r="JPJ67"/>
      <c r="JPK67"/>
      <c r="JPL67"/>
      <c r="JPM67"/>
      <c r="JPN67"/>
      <c r="JPO67"/>
      <c r="JPP67"/>
      <c r="JPQ67"/>
      <c r="JPR67"/>
      <c r="JPS67"/>
      <c r="JPT67"/>
      <c r="JPU67"/>
      <c r="JPV67"/>
      <c r="JPW67"/>
      <c r="JPX67"/>
      <c r="JPY67"/>
      <c r="JPZ67"/>
      <c r="JQA67"/>
      <c r="JQB67"/>
      <c r="JQC67"/>
      <c r="JQD67"/>
      <c r="JQE67"/>
      <c r="JQF67"/>
      <c r="JQG67"/>
      <c r="JQH67"/>
      <c r="JQI67"/>
      <c r="JQJ67"/>
      <c r="JQK67"/>
      <c r="JQL67"/>
      <c r="JQM67"/>
      <c r="JQN67"/>
      <c r="JQO67"/>
      <c r="JQP67"/>
      <c r="JQQ67"/>
      <c r="JQR67"/>
      <c r="JQS67"/>
      <c r="JQT67"/>
      <c r="JQU67"/>
      <c r="JQV67"/>
      <c r="JQW67"/>
      <c r="JQX67"/>
      <c r="JQY67"/>
      <c r="JQZ67"/>
      <c r="JRA67"/>
      <c r="JRB67"/>
      <c r="JRC67"/>
      <c r="JRD67"/>
      <c r="JRE67"/>
      <c r="JRF67"/>
      <c r="JRG67"/>
      <c r="JRH67"/>
      <c r="JRI67"/>
      <c r="JRJ67"/>
      <c r="JRK67"/>
      <c r="JRL67"/>
      <c r="JRM67"/>
      <c r="JRN67"/>
      <c r="JRO67"/>
      <c r="JRP67"/>
      <c r="JRQ67"/>
      <c r="JRR67"/>
      <c r="JRS67"/>
      <c r="JRT67"/>
      <c r="JRU67"/>
      <c r="JRV67"/>
      <c r="JRW67"/>
      <c r="JRX67"/>
      <c r="JRY67"/>
      <c r="JRZ67"/>
      <c r="JSA67"/>
      <c r="JSB67"/>
      <c r="JSC67"/>
      <c r="JSD67"/>
      <c r="JSE67"/>
      <c r="JSF67"/>
      <c r="JSG67"/>
      <c r="JSH67"/>
      <c r="JSI67"/>
      <c r="JSJ67"/>
      <c r="JSK67"/>
      <c r="JSL67"/>
      <c r="JSM67"/>
      <c r="JSN67"/>
      <c r="JSO67"/>
      <c r="JSP67"/>
      <c r="JSQ67"/>
      <c r="JSR67"/>
      <c r="JSS67"/>
      <c r="JST67"/>
      <c r="JSU67"/>
      <c r="JSV67"/>
      <c r="JSW67"/>
      <c r="JSX67"/>
      <c r="JSY67"/>
      <c r="JSZ67"/>
      <c r="JTA67"/>
      <c r="JTB67"/>
      <c r="JTC67"/>
      <c r="JTD67"/>
      <c r="JTE67"/>
      <c r="JTF67"/>
      <c r="JTG67"/>
      <c r="JTH67"/>
      <c r="JTI67"/>
      <c r="JTJ67"/>
      <c r="JTK67"/>
      <c r="JTL67"/>
      <c r="JTM67"/>
      <c r="JTN67"/>
      <c r="JTO67"/>
      <c r="JTP67"/>
      <c r="JTQ67"/>
      <c r="JTR67"/>
      <c r="JTS67"/>
      <c r="JTT67"/>
      <c r="JTU67"/>
      <c r="JTV67"/>
      <c r="JTW67"/>
      <c r="JTX67"/>
      <c r="JTY67"/>
      <c r="JTZ67"/>
      <c r="JUA67"/>
      <c r="JUB67"/>
      <c r="JUC67"/>
      <c r="JUD67"/>
      <c r="JUE67"/>
      <c r="JUF67"/>
      <c r="JUG67"/>
      <c r="JUH67"/>
      <c r="JUI67"/>
      <c r="JUJ67"/>
      <c r="JUK67"/>
      <c r="JUL67"/>
      <c r="JUM67"/>
      <c r="JUN67"/>
      <c r="JUO67"/>
      <c r="JUP67"/>
      <c r="JUQ67"/>
      <c r="JUR67"/>
      <c r="JUS67"/>
      <c r="JUT67"/>
      <c r="JUU67"/>
      <c r="JUV67"/>
      <c r="JUW67"/>
      <c r="JUX67"/>
      <c r="JUY67"/>
      <c r="JUZ67"/>
      <c r="JVA67"/>
      <c r="JVB67"/>
      <c r="JVC67"/>
      <c r="JVD67"/>
      <c r="JVE67"/>
      <c r="JVF67"/>
      <c r="JVG67"/>
      <c r="JVH67"/>
      <c r="JVI67"/>
      <c r="JVJ67"/>
      <c r="JVK67"/>
      <c r="JVL67"/>
      <c r="JVM67"/>
      <c r="JVN67"/>
      <c r="JVO67"/>
      <c r="JVP67"/>
      <c r="JVQ67"/>
      <c r="JVR67"/>
      <c r="JVS67"/>
      <c r="JVT67"/>
      <c r="JVU67"/>
      <c r="JVV67"/>
      <c r="JVW67"/>
      <c r="JVX67"/>
      <c r="JVY67"/>
      <c r="JVZ67"/>
      <c r="JWA67"/>
      <c r="JWB67"/>
      <c r="JWC67"/>
      <c r="JWD67"/>
      <c r="JWE67"/>
      <c r="JWF67"/>
      <c r="JWG67"/>
      <c r="JWH67"/>
      <c r="JWI67"/>
      <c r="JWJ67"/>
      <c r="JWK67"/>
      <c r="JWL67"/>
      <c r="JWM67"/>
      <c r="JWN67"/>
      <c r="JWO67"/>
      <c r="JWP67"/>
      <c r="JWQ67"/>
      <c r="JWR67"/>
      <c r="JWS67"/>
      <c r="JWT67"/>
      <c r="JWU67"/>
      <c r="JWV67"/>
      <c r="JWW67"/>
      <c r="JWX67"/>
      <c r="JWY67"/>
      <c r="JWZ67"/>
      <c r="JXA67"/>
      <c r="JXB67"/>
      <c r="JXC67"/>
      <c r="JXD67"/>
      <c r="JXE67"/>
      <c r="JXF67"/>
      <c r="JXG67"/>
      <c r="JXH67"/>
      <c r="JXI67"/>
      <c r="JXJ67"/>
      <c r="JXK67"/>
      <c r="JXL67"/>
      <c r="JXM67"/>
      <c r="JXN67"/>
      <c r="JXO67"/>
      <c r="JXP67"/>
      <c r="JXQ67"/>
      <c r="JXR67"/>
      <c r="JXS67"/>
      <c r="JXT67"/>
      <c r="JXU67"/>
      <c r="JXV67"/>
      <c r="JXW67"/>
      <c r="JXX67"/>
      <c r="JXY67"/>
      <c r="JXZ67"/>
      <c r="JYA67"/>
      <c r="JYB67"/>
      <c r="JYC67"/>
      <c r="JYD67"/>
      <c r="JYE67"/>
      <c r="JYF67"/>
      <c r="JYG67"/>
      <c r="JYH67"/>
      <c r="JYI67"/>
      <c r="JYJ67"/>
      <c r="JYK67"/>
      <c r="JYL67"/>
      <c r="JYM67"/>
      <c r="JYN67"/>
      <c r="JYO67"/>
      <c r="JYP67"/>
      <c r="JYQ67"/>
      <c r="JYR67"/>
      <c r="JYS67"/>
      <c r="JYT67"/>
      <c r="JYU67"/>
      <c r="JYV67"/>
      <c r="JYW67"/>
      <c r="JYX67"/>
      <c r="JYY67"/>
      <c r="JYZ67"/>
      <c r="JZA67"/>
      <c r="JZB67"/>
      <c r="JZC67"/>
      <c r="JZD67"/>
      <c r="JZE67"/>
      <c r="JZF67"/>
      <c r="JZG67"/>
      <c r="JZH67"/>
      <c r="JZI67"/>
      <c r="JZJ67"/>
      <c r="JZK67"/>
      <c r="JZL67"/>
      <c r="JZM67"/>
      <c r="JZN67"/>
      <c r="JZO67"/>
      <c r="JZP67"/>
      <c r="JZQ67"/>
      <c r="JZR67"/>
      <c r="JZS67"/>
      <c r="JZT67"/>
      <c r="JZU67"/>
      <c r="JZV67"/>
      <c r="JZW67"/>
      <c r="JZX67"/>
      <c r="JZY67"/>
      <c r="JZZ67"/>
      <c r="KAA67"/>
      <c r="KAB67"/>
      <c r="KAC67"/>
      <c r="KAD67"/>
      <c r="KAE67"/>
      <c r="KAF67"/>
      <c r="KAG67"/>
      <c r="KAH67"/>
      <c r="KAI67"/>
      <c r="KAJ67"/>
      <c r="KAK67"/>
      <c r="KAL67"/>
      <c r="KAM67"/>
      <c r="KAN67"/>
      <c r="KAO67"/>
      <c r="KAP67"/>
      <c r="KAQ67"/>
      <c r="KAR67"/>
      <c r="KAS67"/>
      <c r="KAT67"/>
      <c r="KAU67"/>
      <c r="KAV67"/>
      <c r="KAW67"/>
      <c r="KAX67"/>
      <c r="KAY67"/>
      <c r="KAZ67"/>
      <c r="KBA67"/>
      <c r="KBB67"/>
      <c r="KBC67"/>
      <c r="KBD67"/>
      <c r="KBE67"/>
      <c r="KBF67"/>
      <c r="KBG67"/>
      <c r="KBH67"/>
      <c r="KBI67"/>
      <c r="KBJ67"/>
      <c r="KBK67"/>
      <c r="KBL67"/>
      <c r="KBM67"/>
      <c r="KBN67"/>
      <c r="KBO67"/>
      <c r="KBP67"/>
      <c r="KBQ67"/>
      <c r="KBR67"/>
      <c r="KBS67"/>
      <c r="KBT67"/>
      <c r="KBU67"/>
      <c r="KBV67"/>
      <c r="KBW67"/>
      <c r="KBX67"/>
      <c r="KBY67"/>
      <c r="KBZ67"/>
      <c r="KCA67"/>
      <c r="KCB67"/>
      <c r="KCC67"/>
      <c r="KCD67"/>
      <c r="KCE67"/>
      <c r="KCF67"/>
      <c r="KCG67"/>
      <c r="KCH67"/>
      <c r="KCI67"/>
      <c r="KCJ67"/>
      <c r="KCK67"/>
      <c r="KCL67"/>
      <c r="KCM67"/>
      <c r="KCN67"/>
      <c r="KCO67"/>
      <c r="KCP67"/>
      <c r="KCQ67"/>
      <c r="KCR67"/>
      <c r="KCS67"/>
      <c r="KCT67"/>
      <c r="KCU67"/>
      <c r="KCV67"/>
      <c r="KCW67"/>
      <c r="KCX67"/>
      <c r="KCY67"/>
      <c r="KCZ67"/>
      <c r="KDA67"/>
      <c r="KDB67"/>
      <c r="KDC67"/>
      <c r="KDD67"/>
      <c r="KDE67"/>
      <c r="KDF67"/>
      <c r="KDG67"/>
      <c r="KDH67"/>
      <c r="KDI67"/>
      <c r="KDJ67"/>
      <c r="KDK67"/>
      <c r="KDL67"/>
      <c r="KDM67"/>
      <c r="KDN67"/>
      <c r="KDO67"/>
      <c r="KDP67"/>
      <c r="KDQ67"/>
      <c r="KDR67"/>
      <c r="KDS67"/>
      <c r="KDT67"/>
      <c r="KDU67"/>
      <c r="KDV67"/>
      <c r="KDW67"/>
      <c r="KDX67"/>
      <c r="KDY67"/>
      <c r="KDZ67"/>
      <c r="KEA67"/>
      <c r="KEB67"/>
      <c r="KEC67"/>
      <c r="KED67"/>
      <c r="KEE67"/>
      <c r="KEF67"/>
      <c r="KEG67"/>
      <c r="KEH67"/>
      <c r="KEI67"/>
      <c r="KEJ67"/>
      <c r="KEK67"/>
      <c r="KEL67"/>
      <c r="KEM67"/>
      <c r="KEN67"/>
      <c r="KEO67"/>
      <c r="KEP67"/>
      <c r="KEQ67"/>
      <c r="KER67"/>
      <c r="KES67"/>
      <c r="KET67"/>
      <c r="KEU67"/>
      <c r="KEV67"/>
      <c r="KEW67"/>
      <c r="KEX67"/>
      <c r="KEY67"/>
      <c r="KEZ67"/>
      <c r="KFA67"/>
      <c r="KFB67"/>
      <c r="KFC67"/>
      <c r="KFD67"/>
      <c r="KFE67"/>
      <c r="KFF67"/>
      <c r="KFG67"/>
      <c r="KFH67"/>
      <c r="KFI67"/>
      <c r="KFJ67"/>
      <c r="KFK67"/>
      <c r="KFL67"/>
      <c r="KFM67"/>
      <c r="KFN67"/>
      <c r="KFO67"/>
      <c r="KFP67"/>
      <c r="KFQ67"/>
      <c r="KFR67"/>
      <c r="KFS67"/>
      <c r="KFT67"/>
      <c r="KFU67"/>
      <c r="KFV67"/>
      <c r="KFW67"/>
      <c r="KFX67"/>
      <c r="KFY67"/>
      <c r="KFZ67"/>
      <c r="KGA67"/>
      <c r="KGB67"/>
      <c r="KGC67"/>
      <c r="KGD67"/>
      <c r="KGE67"/>
      <c r="KGF67"/>
      <c r="KGG67"/>
      <c r="KGH67"/>
      <c r="KGI67"/>
      <c r="KGJ67"/>
      <c r="KGK67"/>
      <c r="KGL67"/>
      <c r="KGM67"/>
      <c r="KGN67"/>
      <c r="KGO67"/>
      <c r="KGP67"/>
      <c r="KGQ67"/>
      <c r="KGR67"/>
      <c r="KGS67"/>
      <c r="KGT67"/>
      <c r="KGU67"/>
      <c r="KGV67"/>
      <c r="KGW67"/>
      <c r="KGX67"/>
      <c r="KGY67"/>
      <c r="KGZ67"/>
      <c r="KHA67"/>
      <c r="KHB67"/>
      <c r="KHC67"/>
      <c r="KHD67"/>
      <c r="KHE67"/>
      <c r="KHF67"/>
      <c r="KHG67"/>
      <c r="KHH67"/>
      <c r="KHI67"/>
      <c r="KHJ67"/>
      <c r="KHK67"/>
      <c r="KHL67"/>
      <c r="KHM67"/>
      <c r="KHN67"/>
      <c r="KHO67"/>
      <c r="KHP67"/>
      <c r="KHQ67"/>
      <c r="KHR67"/>
      <c r="KHS67"/>
      <c r="KHT67"/>
      <c r="KHU67"/>
      <c r="KHV67"/>
      <c r="KHW67"/>
      <c r="KHX67"/>
      <c r="KHY67"/>
      <c r="KHZ67"/>
      <c r="KIA67"/>
      <c r="KIB67"/>
      <c r="KIC67"/>
      <c r="KID67"/>
      <c r="KIE67"/>
      <c r="KIF67"/>
      <c r="KIG67"/>
      <c r="KIH67"/>
      <c r="KII67"/>
      <c r="KIJ67"/>
      <c r="KIK67"/>
      <c r="KIL67"/>
      <c r="KIM67"/>
      <c r="KIN67"/>
      <c r="KIO67"/>
      <c r="KIP67"/>
      <c r="KIQ67"/>
      <c r="KIR67"/>
      <c r="KIS67"/>
      <c r="KIT67"/>
      <c r="KIU67"/>
      <c r="KIV67"/>
      <c r="KIW67"/>
      <c r="KIX67"/>
      <c r="KIY67"/>
      <c r="KIZ67"/>
      <c r="KJA67"/>
      <c r="KJB67"/>
      <c r="KJC67"/>
      <c r="KJD67"/>
      <c r="KJE67"/>
      <c r="KJF67"/>
      <c r="KJG67"/>
      <c r="KJH67"/>
      <c r="KJI67"/>
      <c r="KJJ67"/>
      <c r="KJK67"/>
      <c r="KJL67"/>
      <c r="KJM67"/>
      <c r="KJN67"/>
      <c r="KJO67"/>
      <c r="KJP67"/>
      <c r="KJQ67"/>
      <c r="KJR67"/>
      <c r="KJS67"/>
      <c r="KJT67"/>
      <c r="KJU67"/>
      <c r="KJV67"/>
      <c r="KJW67"/>
      <c r="KJX67"/>
      <c r="KJY67"/>
      <c r="KJZ67"/>
      <c r="KKA67"/>
      <c r="KKB67"/>
      <c r="KKC67"/>
      <c r="KKD67"/>
      <c r="KKE67"/>
      <c r="KKF67"/>
      <c r="KKG67"/>
      <c r="KKH67"/>
      <c r="KKI67"/>
      <c r="KKJ67"/>
      <c r="KKK67"/>
      <c r="KKL67"/>
      <c r="KKM67"/>
      <c r="KKN67"/>
      <c r="KKO67"/>
      <c r="KKP67"/>
      <c r="KKQ67"/>
      <c r="KKR67"/>
      <c r="KKS67"/>
      <c r="KKT67"/>
      <c r="KKU67"/>
      <c r="KKV67"/>
      <c r="KKW67"/>
      <c r="KKX67"/>
      <c r="KKY67"/>
      <c r="KKZ67"/>
      <c r="KLA67"/>
      <c r="KLB67"/>
      <c r="KLC67"/>
      <c r="KLD67"/>
      <c r="KLE67"/>
      <c r="KLF67"/>
      <c r="KLG67"/>
      <c r="KLH67"/>
      <c r="KLI67"/>
      <c r="KLJ67"/>
      <c r="KLK67"/>
      <c r="KLL67"/>
      <c r="KLM67"/>
      <c r="KLN67"/>
      <c r="KLO67"/>
      <c r="KLP67"/>
      <c r="KLQ67"/>
      <c r="KLR67"/>
      <c r="KLS67"/>
      <c r="KLT67"/>
      <c r="KLU67"/>
      <c r="KLV67"/>
      <c r="KLW67"/>
      <c r="KLX67"/>
      <c r="KLY67"/>
      <c r="KLZ67"/>
      <c r="KMA67"/>
      <c r="KMB67"/>
      <c r="KMC67"/>
      <c r="KMD67"/>
      <c r="KME67"/>
      <c r="KMF67"/>
      <c r="KMG67"/>
      <c r="KMH67"/>
      <c r="KMI67"/>
      <c r="KMJ67"/>
      <c r="KMK67"/>
      <c r="KML67"/>
      <c r="KMM67"/>
      <c r="KMN67"/>
      <c r="KMO67"/>
      <c r="KMP67"/>
      <c r="KMQ67"/>
      <c r="KMR67"/>
      <c r="KMS67"/>
      <c r="KMT67"/>
      <c r="KMU67"/>
      <c r="KMV67"/>
      <c r="KMW67"/>
      <c r="KMX67"/>
      <c r="KMY67"/>
      <c r="KMZ67"/>
      <c r="KNA67"/>
      <c r="KNB67"/>
      <c r="KNC67"/>
      <c r="KND67"/>
      <c r="KNE67"/>
      <c r="KNF67"/>
      <c r="KNG67"/>
      <c r="KNH67"/>
      <c r="KNI67"/>
      <c r="KNJ67"/>
      <c r="KNK67"/>
      <c r="KNL67"/>
      <c r="KNM67"/>
      <c r="KNN67"/>
      <c r="KNO67"/>
      <c r="KNP67"/>
      <c r="KNQ67"/>
      <c r="KNR67"/>
      <c r="KNS67"/>
      <c r="KNT67"/>
      <c r="KNU67"/>
      <c r="KNV67"/>
      <c r="KNW67"/>
      <c r="KNX67"/>
      <c r="KNY67"/>
      <c r="KNZ67"/>
      <c r="KOA67"/>
      <c r="KOB67"/>
      <c r="KOC67"/>
      <c r="KOD67"/>
      <c r="KOE67"/>
      <c r="KOF67"/>
      <c r="KOG67"/>
      <c r="KOH67"/>
      <c r="KOI67"/>
      <c r="KOJ67"/>
      <c r="KOK67"/>
      <c r="KOL67"/>
      <c r="KOM67"/>
      <c r="KON67"/>
      <c r="KOO67"/>
      <c r="KOP67"/>
      <c r="KOQ67"/>
      <c r="KOR67"/>
      <c r="KOS67"/>
      <c r="KOT67"/>
      <c r="KOU67"/>
      <c r="KOV67"/>
      <c r="KOW67"/>
      <c r="KOX67"/>
      <c r="KOY67"/>
      <c r="KOZ67"/>
      <c r="KPA67"/>
      <c r="KPB67"/>
      <c r="KPC67"/>
      <c r="KPD67"/>
      <c r="KPE67"/>
      <c r="KPF67"/>
      <c r="KPG67"/>
      <c r="KPH67"/>
      <c r="KPI67"/>
      <c r="KPJ67"/>
      <c r="KPK67"/>
      <c r="KPL67"/>
      <c r="KPM67"/>
      <c r="KPN67"/>
      <c r="KPO67"/>
      <c r="KPP67"/>
      <c r="KPQ67"/>
      <c r="KPR67"/>
      <c r="KPS67"/>
      <c r="KPT67"/>
      <c r="KPU67"/>
      <c r="KPV67"/>
      <c r="KPW67"/>
      <c r="KPX67"/>
      <c r="KPY67"/>
      <c r="KPZ67"/>
      <c r="KQA67"/>
      <c r="KQB67"/>
      <c r="KQC67"/>
      <c r="KQD67"/>
      <c r="KQE67"/>
      <c r="KQF67"/>
      <c r="KQG67"/>
      <c r="KQH67"/>
      <c r="KQI67"/>
      <c r="KQJ67"/>
      <c r="KQK67"/>
      <c r="KQL67"/>
      <c r="KQM67"/>
      <c r="KQN67"/>
      <c r="KQO67"/>
      <c r="KQP67"/>
      <c r="KQQ67"/>
      <c r="KQR67"/>
      <c r="KQS67"/>
      <c r="KQT67"/>
      <c r="KQU67"/>
      <c r="KQV67"/>
      <c r="KQW67"/>
      <c r="KQX67"/>
      <c r="KQY67"/>
      <c r="KQZ67"/>
      <c r="KRA67"/>
      <c r="KRB67"/>
      <c r="KRC67"/>
      <c r="KRD67"/>
      <c r="KRE67"/>
      <c r="KRF67"/>
      <c r="KRG67"/>
      <c r="KRH67"/>
      <c r="KRI67"/>
      <c r="KRJ67"/>
      <c r="KRK67"/>
      <c r="KRL67"/>
      <c r="KRM67"/>
      <c r="KRN67"/>
      <c r="KRO67"/>
      <c r="KRP67"/>
      <c r="KRQ67"/>
      <c r="KRR67"/>
      <c r="KRS67"/>
      <c r="KRT67"/>
      <c r="KRU67"/>
      <c r="KRV67"/>
      <c r="KRW67"/>
      <c r="KRX67"/>
      <c r="KRY67"/>
      <c r="KRZ67"/>
      <c r="KSA67"/>
      <c r="KSB67"/>
      <c r="KSC67"/>
      <c r="KSD67"/>
      <c r="KSE67"/>
      <c r="KSF67"/>
      <c r="KSG67"/>
      <c r="KSH67"/>
      <c r="KSI67"/>
      <c r="KSJ67"/>
      <c r="KSK67"/>
      <c r="KSL67"/>
      <c r="KSM67"/>
      <c r="KSN67"/>
      <c r="KSO67"/>
      <c r="KSP67"/>
      <c r="KSQ67"/>
      <c r="KSR67"/>
      <c r="KSS67"/>
      <c r="KST67"/>
      <c r="KSU67"/>
      <c r="KSV67"/>
      <c r="KSW67"/>
      <c r="KSX67"/>
      <c r="KSY67"/>
      <c r="KSZ67"/>
      <c r="KTA67"/>
      <c r="KTB67"/>
      <c r="KTC67"/>
      <c r="KTD67"/>
      <c r="KTE67"/>
      <c r="KTF67"/>
      <c r="KTG67"/>
      <c r="KTH67"/>
      <c r="KTI67"/>
      <c r="KTJ67"/>
      <c r="KTK67"/>
      <c r="KTL67"/>
      <c r="KTM67"/>
      <c r="KTN67"/>
      <c r="KTO67"/>
      <c r="KTP67"/>
      <c r="KTQ67"/>
      <c r="KTR67"/>
      <c r="KTS67"/>
      <c r="KTT67"/>
      <c r="KTU67"/>
      <c r="KTV67"/>
      <c r="KTW67"/>
      <c r="KTX67"/>
      <c r="KTY67"/>
      <c r="KTZ67"/>
      <c r="KUA67"/>
      <c r="KUB67"/>
      <c r="KUC67"/>
      <c r="KUD67"/>
      <c r="KUE67"/>
      <c r="KUF67"/>
      <c r="KUG67"/>
      <c r="KUH67"/>
      <c r="KUI67"/>
      <c r="KUJ67"/>
      <c r="KUK67"/>
      <c r="KUL67"/>
      <c r="KUM67"/>
      <c r="KUN67"/>
      <c r="KUO67"/>
      <c r="KUP67"/>
      <c r="KUQ67"/>
      <c r="KUR67"/>
      <c r="KUS67"/>
      <c r="KUT67"/>
      <c r="KUU67"/>
      <c r="KUV67"/>
      <c r="KUW67"/>
      <c r="KUX67"/>
      <c r="KUY67"/>
      <c r="KUZ67"/>
      <c r="KVA67"/>
      <c r="KVB67"/>
      <c r="KVC67"/>
      <c r="KVD67"/>
      <c r="KVE67"/>
      <c r="KVF67"/>
      <c r="KVG67"/>
      <c r="KVH67"/>
      <c r="KVI67"/>
      <c r="KVJ67"/>
      <c r="KVK67"/>
      <c r="KVL67"/>
      <c r="KVM67"/>
      <c r="KVN67"/>
      <c r="KVO67"/>
      <c r="KVP67"/>
      <c r="KVQ67"/>
      <c r="KVR67"/>
      <c r="KVS67"/>
      <c r="KVT67"/>
      <c r="KVU67"/>
      <c r="KVV67"/>
      <c r="KVW67"/>
      <c r="KVX67"/>
      <c r="KVY67"/>
      <c r="KVZ67"/>
      <c r="KWA67"/>
      <c r="KWB67"/>
      <c r="KWC67"/>
      <c r="KWD67"/>
      <c r="KWE67"/>
      <c r="KWF67"/>
      <c r="KWG67"/>
      <c r="KWH67"/>
      <c r="KWI67"/>
      <c r="KWJ67"/>
      <c r="KWK67"/>
      <c r="KWL67"/>
      <c r="KWM67"/>
      <c r="KWN67"/>
      <c r="KWO67"/>
      <c r="KWP67"/>
      <c r="KWQ67"/>
      <c r="KWR67"/>
      <c r="KWS67"/>
      <c r="KWT67"/>
      <c r="KWU67"/>
      <c r="KWV67"/>
      <c r="KWW67"/>
      <c r="KWX67"/>
      <c r="KWY67"/>
      <c r="KWZ67"/>
      <c r="KXA67"/>
      <c r="KXB67"/>
      <c r="KXC67"/>
      <c r="KXD67"/>
      <c r="KXE67"/>
      <c r="KXF67"/>
      <c r="KXG67"/>
      <c r="KXH67"/>
      <c r="KXI67"/>
      <c r="KXJ67"/>
      <c r="KXK67"/>
      <c r="KXL67"/>
      <c r="KXM67"/>
      <c r="KXN67"/>
      <c r="KXO67"/>
      <c r="KXP67"/>
      <c r="KXQ67"/>
      <c r="KXR67"/>
      <c r="KXS67"/>
      <c r="KXT67"/>
      <c r="KXU67"/>
      <c r="KXV67"/>
      <c r="KXW67"/>
      <c r="KXX67"/>
      <c r="KXY67"/>
      <c r="KXZ67"/>
      <c r="KYA67"/>
      <c r="KYB67"/>
      <c r="KYC67"/>
      <c r="KYD67"/>
      <c r="KYE67"/>
      <c r="KYF67"/>
      <c r="KYG67"/>
      <c r="KYH67"/>
      <c r="KYI67"/>
      <c r="KYJ67"/>
      <c r="KYK67"/>
      <c r="KYL67"/>
      <c r="KYM67"/>
      <c r="KYN67"/>
      <c r="KYO67"/>
      <c r="KYP67"/>
      <c r="KYQ67"/>
      <c r="KYR67"/>
      <c r="KYS67"/>
      <c r="KYT67"/>
      <c r="KYU67"/>
      <c r="KYV67"/>
      <c r="KYW67"/>
      <c r="KYX67"/>
      <c r="KYY67"/>
      <c r="KYZ67"/>
      <c r="KZA67"/>
      <c r="KZB67"/>
      <c r="KZC67"/>
      <c r="KZD67"/>
      <c r="KZE67"/>
      <c r="KZF67"/>
      <c r="KZG67"/>
      <c r="KZH67"/>
      <c r="KZI67"/>
      <c r="KZJ67"/>
      <c r="KZK67"/>
      <c r="KZL67"/>
      <c r="KZM67"/>
      <c r="KZN67"/>
      <c r="KZO67"/>
      <c r="KZP67"/>
      <c r="KZQ67"/>
      <c r="KZR67"/>
      <c r="KZS67"/>
      <c r="KZT67"/>
      <c r="KZU67"/>
      <c r="KZV67"/>
      <c r="KZW67"/>
      <c r="KZX67"/>
      <c r="KZY67"/>
      <c r="KZZ67"/>
      <c r="LAA67"/>
      <c r="LAB67"/>
      <c r="LAC67"/>
      <c r="LAD67"/>
      <c r="LAE67"/>
      <c r="LAF67"/>
      <c r="LAG67"/>
      <c r="LAH67"/>
      <c r="LAI67"/>
      <c r="LAJ67"/>
      <c r="LAK67"/>
      <c r="LAL67"/>
      <c r="LAM67"/>
      <c r="LAN67"/>
      <c r="LAO67"/>
      <c r="LAP67"/>
      <c r="LAQ67"/>
      <c r="LAR67"/>
      <c r="LAS67"/>
      <c r="LAT67"/>
      <c r="LAU67"/>
      <c r="LAV67"/>
      <c r="LAW67"/>
      <c r="LAX67"/>
      <c r="LAY67"/>
      <c r="LAZ67"/>
      <c r="LBA67"/>
      <c r="LBB67"/>
      <c r="LBC67"/>
      <c r="LBD67"/>
      <c r="LBE67"/>
      <c r="LBF67"/>
      <c r="LBG67"/>
      <c r="LBH67"/>
      <c r="LBI67"/>
      <c r="LBJ67"/>
      <c r="LBK67"/>
      <c r="LBL67"/>
      <c r="LBM67"/>
      <c r="LBN67"/>
      <c r="LBO67"/>
      <c r="LBP67"/>
      <c r="LBQ67"/>
      <c r="LBR67"/>
      <c r="LBS67"/>
      <c r="LBT67"/>
      <c r="LBU67"/>
      <c r="LBV67"/>
      <c r="LBW67"/>
      <c r="LBX67"/>
      <c r="LBY67"/>
      <c r="LBZ67"/>
      <c r="LCA67"/>
      <c r="LCB67"/>
      <c r="LCC67"/>
      <c r="LCD67"/>
      <c r="LCE67"/>
      <c r="LCF67"/>
      <c r="LCG67"/>
      <c r="LCH67"/>
      <c r="LCI67"/>
      <c r="LCJ67"/>
      <c r="LCK67"/>
      <c r="LCL67"/>
      <c r="LCM67"/>
      <c r="LCN67"/>
      <c r="LCO67"/>
      <c r="LCP67"/>
      <c r="LCQ67"/>
      <c r="LCR67"/>
      <c r="LCS67"/>
      <c r="LCT67"/>
      <c r="LCU67"/>
      <c r="LCV67"/>
      <c r="LCW67"/>
      <c r="LCX67"/>
      <c r="LCY67"/>
      <c r="LCZ67"/>
      <c r="LDA67"/>
      <c r="LDB67"/>
      <c r="LDC67"/>
      <c r="LDD67"/>
      <c r="LDE67"/>
      <c r="LDF67"/>
      <c r="LDG67"/>
      <c r="LDH67"/>
      <c r="LDI67"/>
      <c r="LDJ67"/>
      <c r="LDK67"/>
      <c r="LDL67"/>
      <c r="LDM67"/>
      <c r="LDN67"/>
      <c r="LDO67"/>
      <c r="LDP67"/>
      <c r="LDQ67"/>
      <c r="LDR67"/>
      <c r="LDS67"/>
      <c r="LDT67"/>
      <c r="LDU67"/>
      <c r="LDV67"/>
      <c r="LDW67"/>
      <c r="LDX67"/>
      <c r="LDY67"/>
      <c r="LDZ67"/>
      <c r="LEA67"/>
      <c r="LEB67"/>
      <c r="LEC67"/>
      <c r="LED67"/>
      <c r="LEE67"/>
      <c r="LEF67"/>
      <c r="LEG67"/>
      <c r="LEH67"/>
      <c r="LEI67"/>
      <c r="LEJ67"/>
      <c r="LEK67"/>
      <c r="LEL67"/>
      <c r="LEM67"/>
      <c r="LEN67"/>
      <c r="LEO67"/>
      <c r="LEP67"/>
      <c r="LEQ67"/>
      <c r="LER67"/>
      <c r="LES67"/>
      <c r="LET67"/>
      <c r="LEU67"/>
      <c r="LEV67"/>
      <c r="LEW67"/>
      <c r="LEX67"/>
      <c r="LEY67"/>
      <c r="LEZ67"/>
      <c r="LFA67"/>
      <c r="LFB67"/>
      <c r="LFC67"/>
      <c r="LFD67"/>
      <c r="LFE67"/>
      <c r="LFF67"/>
      <c r="LFG67"/>
      <c r="LFH67"/>
      <c r="LFI67"/>
      <c r="LFJ67"/>
      <c r="LFK67"/>
      <c r="LFL67"/>
      <c r="LFM67"/>
      <c r="LFN67"/>
      <c r="LFO67"/>
      <c r="LFP67"/>
      <c r="LFQ67"/>
      <c r="LFR67"/>
      <c r="LFS67"/>
      <c r="LFT67"/>
      <c r="LFU67"/>
      <c r="LFV67"/>
      <c r="LFW67"/>
      <c r="LFX67"/>
      <c r="LFY67"/>
      <c r="LFZ67"/>
      <c r="LGA67"/>
      <c r="LGB67"/>
      <c r="LGC67"/>
      <c r="LGD67"/>
      <c r="LGE67"/>
      <c r="LGF67"/>
      <c r="LGG67"/>
      <c r="LGH67"/>
      <c r="LGI67"/>
      <c r="LGJ67"/>
      <c r="LGK67"/>
      <c r="LGL67"/>
      <c r="LGM67"/>
      <c r="LGN67"/>
      <c r="LGO67"/>
      <c r="LGP67"/>
      <c r="LGQ67"/>
      <c r="LGR67"/>
      <c r="LGS67"/>
      <c r="LGT67"/>
      <c r="LGU67"/>
      <c r="LGV67"/>
      <c r="LGW67"/>
      <c r="LGX67"/>
      <c r="LGY67"/>
      <c r="LGZ67"/>
      <c r="LHA67"/>
      <c r="LHB67"/>
      <c r="LHC67"/>
      <c r="LHD67"/>
      <c r="LHE67"/>
      <c r="LHF67"/>
      <c r="LHG67"/>
      <c r="LHH67"/>
      <c r="LHI67"/>
      <c r="LHJ67"/>
      <c r="LHK67"/>
      <c r="LHL67"/>
      <c r="LHM67"/>
      <c r="LHN67"/>
      <c r="LHO67"/>
      <c r="LHP67"/>
      <c r="LHQ67"/>
      <c r="LHR67"/>
      <c r="LHS67"/>
      <c r="LHT67"/>
      <c r="LHU67"/>
      <c r="LHV67"/>
      <c r="LHW67"/>
      <c r="LHX67"/>
      <c r="LHY67"/>
      <c r="LHZ67"/>
      <c r="LIA67"/>
      <c r="LIB67"/>
      <c r="LIC67"/>
      <c r="LID67"/>
      <c r="LIE67"/>
      <c r="LIF67"/>
      <c r="LIG67"/>
      <c r="LIH67"/>
      <c r="LII67"/>
      <c r="LIJ67"/>
      <c r="LIK67"/>
      <c r="LIL67"/>
      <c r="LIM67"/>
      <c r="LIN67"/>
      <c r="LIO67"/>
      <c r="LIP67"/>
      <c r="LIQ67"/>
      <c r="LIR67"/>
      <c r="LIS67"/>
      <c r="LIT67"/>
      <c r="LIU67"/>
      <c r="LIV67"/>
      <c r="LIW67"/>
      <c r="LIX67"/>
      <c r="LIY67"/>
      <c r="LIZ67"/>
      <c r="LJA67"/>
      <c r="LJB67"/>
      <c r="LJC67"/>
      <c r="LJD67"/>
      <c r="LJE67"/>
      <c r="LJF67"/>
      <c r="LJG67"/>
      <c r="LJH67"/>
      <c r="LJI67"/>
      <c r="LJJ67"/>
      <c r="LJK67"/>
      <c r="LJL67"/>
      <c r="LJM67"/>
      <c r="LJN67"/>
      <c r="LJO67"/>
      <c r="LJP67"/>
      <c r="LJQ67"/>
      <c r="LJR67"/>
      <c r="LJS67"/>
      <c r="LJT67"/>
      <c r="LJU67"/>
      <c r="LJV67"/>
      <c r="LJW67"/>
      <c r="LJX67"/>
      <c r="LJY67"/>
      <c r="LJZ67"/>
      <c r="LKA67"/>
      <c r="LKB67"/>
      <c r="LKC67"/>
      <c r="LKD67"/>
      <c r="LKE67"/>
      <c r="LKF67"/>
      <c r="LKG67"/>
      <c r="LKH67"/>
      <c r="LKI67"/>
      <c r="LKJ67"/>
      <c r="LKK67"/>
      <c r="LKL67"/>
      <c r="LKM67"/>
      <c r="LKN67"/>
      <c r="LKO67"/>
      <c r="LKP67"/>
      <c r="LKQ67"/>
      <c r="LKR67"/>
      <c r="LKS67"/>
      <c r="LKT67"/>
      <c r="LKU67"/>
      <c r="LKV67"/>
      <c r="LKW67"/>
      <c r="LKX67"/>
      <c r="LKY67"/>
      <c r="LKZ67"/>
      <c r="LLA67"/>
      <c r="LLB67"/>
      <c r="LLC67"/>
      <c r="LLD67"/>
      <c r="LLE67"/>
      <c r="LLF67"/>
      <c r="LLG67"/>
      <c r="LLH67"/>
      <c r="LLI67"/>
      <c r="LLJ67"/>
      <c r="LLK67"/>
      <c r="LLL67"/>
      <c r="LLM67"/>
      <c r="LLN67"/>
      <c r="LLO67"/>
      <c r="LLP67"/>
      <c r="LLQ67"/>
      <c r="LLR67"/>
      <c r="LLS67"/>
      <c r="LLT67"/>
      <c r="LLU67"/>
      <c r="LLV67"/>
      <c r="LLW67"/>
      <c r="LLX67"/>
      <c r="LLY67"/>
      <c r="LLZ67"/>
      <c r="LMA67"/>
      <c r="LMB67"/>
      <c r="LMC67"/>
      <c r="LMD67"/>
      <c r="LME67"/>
      <c r="LMF67"/>
      <c r="LMG67"/>
      <c r="LMH67"/>
      <c r="LMI67"/>
      <c r="LMJ67"/>
      <c r="LMK67"/>
      <c r="LML67"/>
      <c r="LMM67"/>
      <c r="LMN67"/>
      <c r="LMO67"/>
      <c r="LMP67"/>
      <c r="LMQ67"/>
      <c r="LMR67"/>
      <c r="LMS67"/>
      <c r="LMT67"/>
      <c r="LMU67"/>
      <c r="LMV67"/>
      <c r="LMW67"/>
      <c r="LMX67"/>
      <c r="LMY67"/>
      <c r="LMZ67"/>
      <c r="LNA67"/>
      <c r="LNB67"/>
      <c r="LNC67"/>
      <c r="LND67"/>
      <c r="LNE67"/>
      <c r="LNF67"/>
      <c r="LNG67"/>
      <c r="LNH67"/>
      <c r="LNI67"/>
      <c r="LNJ67"/>
      <c r="LNK67"/>
      <c r="LNL67"/>
      <c r="LNM67"/>
      <c r="LNN67"/>
      <c r="LNO67"/>
      <c r="LNP67"/>
      <c r="LNQ67"/>
      <c r="LNR67"/>
      <c r="LNS67"/>
      <c r="LNT67"/>
      <c r="LNU67"/>
      <c r="LNV67"/>
      <c r="LNW67"/>
      <c r="LNX67"/>
      <c r="LNY67"/>
      <c r="LNZ67"/>
      <c r="LOA67"/>
      <c r="LOB67"/>
      <c r="LOC67"/>
      <c r="LOD67"/>
      <c r="LOE67"/>
      <c r="LOF67"/>
      <c r="LOG67"/>
      <c r="LOH67"/>
      <c r="LOI67"/>
      <c r="LOJ67"/>
      <c r="LOK67"/>
      <c r="LOL67"/>
      <c r="LOM67"/>
      <c r="LON67"/>
      <c r="LOO67"/>
      <c r="LOP67"/>
      <c r="LOQ67"/>
      <c r="LOR67"/>
      <c r="LOS67"/>
      <c r="LOT67"/>
      <c r="LOU67"/>
      <c r="LOV67"/>
      <c r="LOW67"/>
      <c r="LOX67"/>
      <c r="LOY67"/>
      <c r="LOZ67"/>
      <c r="LPA67"/>
      <c r="LPB67"/>
      <c r="LPC67"/>
      <c r="LPD67"/>
      <c r="LPE67"/>
      <c r="LPF67"/>
      <c r="LPG67"/>
      <c r="LPH67"/>
      <c r="LPI67"/>
      <c r="LPJ67"/>
      <c r="LPK67"/>
      <c r="LPL67"/>
      <c r="LPM67"/>
      <c r="LPN67"/>
      <c r="LPO67"/>
      <c r="LPP67"/>
      <c r="LPQ67"/>
      <c r="LPR67"/>
      <c r="LPS67"/>
      <c r="LPT67"/>
      <c r="LPU67"/>
      <c r="LPV67"/>
      <c r="LPW67"/>
      <c r="LPX67"/>
      <c r="LPY67"/>
      <c r="LPZ67"/>
      <c r="LQA67"/>
      <c r="LQB67"/>
      <c r="LQC67"/>
      <c r="LQD67"/>
      <c r="LQE67"/>
      <c r="LQF67"/>
      <c r="LQG67"/>
      <c r="LQH67"/>
      <c r="LQI67"/>
      <c r="LQJ67"/>
      <c r="LQK67"/>
      <c r="LQL67"/>
      <c r="LQM67"/>
      <c r="LQN67"/>
      <c r="LQO67"/>
      <c r="LQP67"/>
      <c r="LQQ67"/>
      <c r="LQR67"/>
      <c r="LQS67"/>
      <c r="LQT67"/>
      <c r="LQU67"/>
      <c r="LQV67"/>
      <c r="LQW67"/>
      <c r="LQX67"/>
      <c r="LQY67"/>
      <c r="LQZ67"/>
      <c r="LRA67"/>
      <c r="LRB67"/>
      <c r="LRC67"/>
      <c r="LRD67"/>
      <c r="LRE67"/>
      <c r="LRF67"/>
      <c r="LRG67"/>
      <c r="LRH67"/>
      <c r="LRI67"/>
      <c r="LRJ67"/>
      <c r="LRK67"/>
      <c r="LRL67"/>
      <c r="LRM67"/>
      <c r="LRN67"/>
      <c r="LRO67"/>
      <c r="LRP67"/>
      <c r="LRQ67"/>
      <c r="LRR67"/>
      <c r="LRS67"/>
      <c r="LRT67"/>
      <c r="LRU67"/>
      <c r="LRV67"/>
      <c r="LRW67"/>
      <c r="LRX67"/>
      <c r="LRY67"/>
      <c r="LRZ67"/>
      <c r="LSA67"/>
      <c r="LSB67"/>
      <c r="LSC67"/>
      <c r="LSD67"/>
      <c r="LSE67"/>
      <c r="LSF67"/>
      <c r="LSG67"/>
      <c r="LSH67"/>
      <c r="LSI67"/>
      <c r="LSJ67"/>
      <c r="LSK67"/>
      <c r="LSL67"/>
      <c r="LSM67"/>
      <c r="LSN67"/>
      <c r="LSO67"/>
      <c r="LSP67"/>
      <c r="LSQ67"/>
      <c r="LSR67"/>
      <c r="LSS67"/>
      <c r="LST67"/>
      <c r="LSU67"/>
      <c r="LSV67"/>
      <c r="LSW67"/>
      <c r="LSX67"/>
      <c r="LSY67"/>
      <c r="LSZ67"/>
      <c r="LTA67"/>
      <c r="LTB67"/>
      <c r="LTC67"/>
      <c r="LTD67"/>
      <c r="LTE67"/>
      <c r="LTF67"/>
      <c r="LTG67"/>
      <c r="LTH67"/>
      <c r="LTI67"/>
      <c r="LTJ67"/>
      <c r="LTK67"/>
      <c r="LTL67"/>
      <c r="LTM67"/>
      <c r="LTN67"/>
      <c r="LTO67"/>
      <c r="LTP67"/>
      <c r="LTQ67"/>
      <c r="LTR67"/>
      <c r="LTS67"/>
      <c r="LTT67"/>
      <c r="LTU67"/>
      <c r="LTV67"/>
      <c r="LTW67"/>
      <c r="LTX67"/>
      <c r="LTY67"/>
      <c r="LTZ67"/>
      <c r="LUA67"/>
      <c r="LUB67"/>
      <c r="LUC67"/>
      <c r="LUD67"/>
      <c r="LUE67"/>
      <c r="LUF67"/>
      <c r="LUG67"/>
      <c r="LUH67"/>
      <c r="LUI67"/>
      <c r="LUJ67"/>
      <c r="LUK67"/>
      <c r="LUL67"/>
      <c r="LUM67"/>
      <c r="LUN67"/>
      <c r="LUO67"/>
      <c r="LUP67"/>
      <c r="LUQ67"/>
      <c r="LUR67"/>
      <c r="LUS67"/>
      <c r="LUT67"/>
      <c r="LUU67"/>
      <c r="LUV67"/>
      <c r="LUW67"/>
      <c r="LUX67"/>
      <c r="LUY67"/>
      <c r="LUZ67"/>
      <c r="LVA67"/>
      <c r="LVB67"/>
      <c r="LVC67"/>
      <c r="LVD67"/>
      <c r="LVE67"/>
      <c r="LVF67"/>
      <c r="LVG67"/>
      <c r="LVH67"/>
      <c r="LVI67"/>
      <c r="LVJ67"/>
      <c r="LVK67"/>
      <c r="LVL67"/>
      <c r="LVM67"/>
      <c r="LVN67"/>
      <c r="LVO67"/>
      <c r="LVP67"/>
      <c r="LVQ67"/>
      <c r="LVR67"/>
      <c r="LVS67"/>
      <c r="LVT67"/>
      <c r="LVU67"/>
      <c r="LVV67"/>
      <c r="LVW67"/>
      <c r="LVX67"/>
      <c r="LVY67"/>
      <c r="LVZ67"/>
      <c r="LWA67"/>
      <c r="LWB67"/>
      <c r="LWC67"/>
      <c r="LWD67"/>
      <c r="LWE67"/>
      <c r="LWF67"/>
      <c r="LWG67"/>
      <c r="LWH67"/>
      <c r="LWI67"/>
      <c r="LWJ67"/>
      <c r="LWK67"/>
      <c r="LWL67"/>
      <c r="LWM67"/>
      <c r="LWN67"/>
      <c r="LWO67"/>
      <c r="LWP67"/>
      <c r="LWQ67"/>
      <c r="LWR67"/>
      <c r="LWS67"/>
      <c r="LWT67"/>
      <c r="LWU67"/>
      <c r="LWV67"/>
      <c r="LWW67"/>
      <c r="LWX67"/>
      <c r="LWY67"/>
      <c r="LWZ67"/>
      <c r="LXA67"/>
      <c r="LXB67"/>
      <c r="LXC67"/>
      <c r="LXD67"/>
      <c r="LXE67"/>
      <c r="LXF67"/>
      <c r="LXG67"/>
      <c r="LXH67"/>
      <c r="LXI67"/>
      <c r="LXJ67"/>
      <c r="LXK67"/>
      <c r="LXL67"/>
      <c r="LXM67"/>
      <c r="LXN67"/>
      <c r="LXO67"/>
      <c r="LXP67"/>
      <c r="LXQ67"/>
      <c r="LXR67"/>
      <c r="LXS67"/>
      <c r="LXT67"/>
      <c r="LXU67"/>
      <c r="LXV67"/>
      <c r="LXW67"/>
      <c r="LXX67"/>
      <c r="LXY67"/>
      <c r="LXZ67"/>
      <c r="LYA67"/>
      <c r="LYB67"/>
      <c r="LYC67"/>
      <c r="LYD67"/>
      <c r="LYE67"/>
      <c r="LYF67"/>
      <c r="LYG67"/>
      <c r="LYH67"/>
      <c r="LYI67"/>
      <c r="LYJ67"/>
      <c r="LYK67"/>
      <c r="LYL67"/>
      <c r="LYM67"/>
      <c r="LYN67"/>
      <c r="LYO67"/>
      <c r="LYP67"/>
      <c r="LYQ67"/>
      <c r="LYR67"/>
      <c r="LYS67"/>
      <c r="LYT67"/>
      <c r="LYU67"/>
      <c r="LYV67"/>
      <c r="LYW67"/>
      <c r="LYX67"/>
      <c r="LYY67"/>
      <c r="LYZ67"/>
      <c r="LZA67"/>
      <c r="LZB67"/>
      <c r="LZC67"/>
      <c r="LZD67"/>
      <c r="LZE67"/>
      <c r="LZF67"/>
      <c r="LZG67"/>
      <c r="LZH67"/>
      <c r="LZI67"/>
      <c r="LZJ67"/>
      <c r="LZK67"/>
      <c r="LZL67"/>
      <c r="LZM67"/>
      <c r="LZN67"/>
      <c r="LZO67"/>
      <c r="LZP67"/>
      <c r="LZQ67"/>
      <c r="LZR67"/>
      <c r="LZS67"/>
      <c r="LZT67"/>
      <c r="LZU67"/>
      <c r="LZV67"/>
      <c r="LZW67"/>
      <c r="LZX67"/>
      <c r="LZY67"/>
      <c r="LZZ67"/>
      <c r="MAA67"/>
      <c r="MAB67"/>
      <c r="MAC67"/>
      <c r="MAD67"/>
      <c r="MAE67"/>
      <c r="MAF67"/>
      <c r="MAG67"/>
      <c r="MAH67"/>
      <c r="MAI67"/>
      <c r="MAJ67"/>
      <c r="MAK67"/>
      <c r="MAL67"/>
      <c r="MAM67"/>
      <c r="MAN67"/>
      <c r="MAO67"/>
      <c r="MAP67"/>
      <c r="MAQ67"/>
      <c r="MAR67"/>
      <c r="MAS67"/>
      <c r="MAT67"/>
      <c r="MAU67"/>
      <c r="MAV67"/>
      <c r="MAW67"/>
      <c r="MAX67"/>
      <c r="MAY67"/>
      <c r="MAZ67"/>
      <c r="MBA67"/>
      <c r="MBB67"/>
      <c r="MBC67"/>
      <c r="MBD67"/>
      <c r="MBE67"/>
      <c r="MBF67"/>
      <c r="MBG67"/>
      <c r="MBH67"/>
      <c r="MBI67"/>
      <c r="MBJ67"/>
      <c r="MBK67"/>
      <c r="MBL67"/>
      <c r="MBM67"/>
      <c r="MBN67"/>
      <c r="MBO67"/>
      <c r="MBP67"/>
      <c r="MBQ67"/>
      <c r="MBR67"/>
      <c r="MBS67"/>
      <c r="MBT67"/>
      <c r="MBU67"/>
      <c r="MBV67"/>
      <c r="MBW67"/>
      <c r="MBX67"/>
      <c r="MBY67"/>
      <c r="MBZ67"/>
      <c r="MCA67"/>
      <c r="MCB67"/>
      <c r="MCC67"/>
      <c r="MCD67"/>
      <c r="MCE67"/>
      <c r="MCF67"/>
      <c r="MCG67"/>
      <c r="MCH67"/>
      <c r="MCI67"/>
      <c r="MCJ67"/>
      <c r="MCK67"/>
      <c r="MCL67"/>
      <c r="MCM67"/>
      <c r="MCN67"/>
      <c r="MCO67"/>
      <c r="MCP67"/>
      <c r="MCQ67"/>
      <c r="MCR67"/>
      <c r="MCS67"/>
      <c r="MCT67"/>
      <c r="MCU67"/>
      <c r="MCV67"/>
      <c r="MCW67"/>
      <c r="MCX67"/>
      <c r="MCY67"/>
      <c r="MCZ67"/>
      <c r="MDA67"/>
      <c r="MDB67"/>
      <c r="MDC67"/>
      <c r="MDD67"/>
      <c r="MDE67"/>
      <c r="MDF67"/>
      <c r="MDG67"/>
      <c r="MDH67"/>
      <c r="MDI67"/>
      <c r="MDJ67"/>
      <c r="MDK67"/>
      <c r="MDL67"/>
      <c r="MDM67"/>
      <c r="MDN67"/>
      <c r="MDO67"/>
      <c r="MDP67"/>
      <c r="MDQ67"/>
      <c r="MDR67"/>
      <c r="MDS67"/>
      <c r="MDT67"/>
      <c r="MDU67"/>
      <c r="MDV67"/>
      <c r="MDW67"/>
      <c r="MDX67"/>
      <c r="MDY67"/>
      <c r="MDZ67"/>
      <c r="MEA67"/>
      <c r="MEB67"/>
      <c r="MEC67"/>
      <c r="MED67"/>
      <c r="MEE67"/>
      <c r="MEF67"/>
      <c r="MEG67"/>
      <c r="MEH67"/>
      <c r="MEI67"/>
      <c r="MEJ67"/>
      <c r="MEK67"/>
      <c r="MEL67"/>
      <c r="MEM67"/>
      <c r="MEN67"/>
      <c r="MEO67"/>
      <c r="MEP67"/>
      <c r="MEQ67"/>
      <c r="MER67"/>
      <c r="MES67"/>
      <c r="MET67"/>
      <c r="MEU67"/>
      <c r="MEV67"/>
      <c r="MEW67"/>
      <c r="MEX67"/>
      <c r="MEY67"/>
      <c r="MEZ67"/>
      <c r="MFA67"/>
      <c r="MFB67"/>
      <c r="MFC67"/>
      <c r="MFD67"/>
      <c r="MFE67"/>
      <c r="MFF67"/>
      <c r="MFG67"/>
      <c r="MFH67"/>
      <c r="MFI67"/>
      <c r="MFJ67"/>
      <c r="MFK67"/>
      <c r="MFL67"/>
      <c r="MFM67"/>
      <c r="MFN67"/>
      <c r="MFO67"/>
      <c r="MFP67"/>
      <c r="MFQ67"/>
      <c r="MFR67"/>
      <c r="MFS67"/>
      <c r="MFT67"/>
      <c r="MFU67"/>
      <c r="MFV67"/>
      <c r="MFW67"/>
      <c r="MFX67"/>
      <c r="MFY67"/>
      <c r="MFZ67"/>
      <c r="MGA67"/>
      <c r="MGB67"/>
      <c r="MGC67"/>
      <c r="MGD67"/>
      <c r="MGE67"/>
      <c r="MGF67"/>
      <c r="MGG67"/>
      <c r="MGH67"/>
      <c r="MGI67"/>
      <c r="MGJ67"/>
      <c r="MGK67"/>
      <c r="MGL67"/>
      <c r="MGM67"/>
      <c r="MGN67"/>
      <c r="MGO67"/>
      <c r="MGP67"/>
      <c r="MGQ67"/>
      <c r="MGR67"/>
      <c r="MGS67"/>
      <c r="MGT67"/>
      <c r="MGU67"/>
      <c r="MGV67"/>
      <c r="MGW67"/>
      <c r="MGX67"/>
      <c r="MGY67"/>
      <c r="MGZ67"/>
      <c r="MHA67"/>
      <c r="MHB67"/>
      <c r="MHC67"/>
      <c r="MHD67"/>
      <c r="MHE67"/>
      <c r="MHF67"/>
      <c r="MHG67"/>
      <c r="MHH67"/>
      <c r="MHI67"/>
      <c r="MHJ67"/>
      <c r="MHK67"/>
      <c r="MHL67"/>
      <c r="MHM67"/>
      <c r="MHN67"/>
      <c r="MHO67"/>
      <c r="MHP67"/>
      <c r="MHQ67"/>
      <c r="MHR67"/>
      <c r="MHS67"/>
      <c r="MHT67"/>
      <c r="MHU67"/>
      <c r="MHV67"/>
      <c r="MHW67"/>
      <c r="MHX67"/>
      <c r="MHY67"/>
      <c r="MHZ67"/>
      <c r="MIA67"/>
      <c r="MIB67"/>
      <c r="MIC67"/>
      <c r="MID67"/>
      <c r="MIE67"/>
      <c r="MIF67"/>
      <c r="MIG67"/>
      <c r="MIH67"/>
      <c r="MII67"/>
      <c r="MIJ67"/>
      <c r="MIK67"/>
      <c r="MIL67"/>
      <c r="MIM67"/>
      <c r="MIN67"/>
      <c r="MIO67"/>
      <c r="MIP67"/>
      <c r="MIQ67"/>
      <c r="MIR67"/>
      <c r="MIS67"/>
      <c r="MIT67"/>
      <c r="MIU67"/>
      <c r="MIV67"/>
      <c r="MIW67"/>
      <c r="MIX67"/>
      <c r="MIY67"/>
      <c r="MIZ67"/>
      <c r="MJA67"/>
      <c r="MJB67"/>
      <c r="MJC67"/>
      <c r="MJD67"/>
      <c r="MJE67"/>
      <c r="MJF67"/>
      <c r="MJG67"/>
      <c r="MJH67"/>
      <c r="MJI67"/>
      <c r="MJJ67"/>
      <c r="MJK67"/>
      <c r="MJL67"/>
      <c r="MJM67"/>
      <c r="MJN67"/>
      <c r="MJO67"/>
      <c r="MJP67"/>
      <c r="MJQ67"/>
      <c r="MJR67"/>
      <c r="MJS67"/>
      <c r="MJT67"/>
      <c r="MJU67"/>
      <c r="MJV67"/>
      <c r="MJW67"/>
      <c r="MJX67"/>
      <c r="MJY67"/>
      <c r="MJZ67"/>
      <c r="MKA67"/>
      <c r="MKB67"/>
      <c r="MKC67"/>
      <c r="MKD67"/>
      <c r="MKE67"/>
      <c r="MKF67"/>
      <c r="MKG67"/>
      <c r="MKH67"/>
      <c r="MKI67"/>
      <c r="MKJ67"/>
      <c r="MKK67"/>
      <c r="MKL67"/>
      <c r="MKM67"/>
      <c r="MKN67"/>
      <c r="MKO67"/>
      <c r="MKP67"/>
      <c r="MKQ67"/>
      <c r="MKR67"/>
      <c r="MKS67"/>
      <c r="MKT67"/>
      <c r="MKU67"/>
      <c r="MKV67"/>
      <c r="MKW67"/>
      <c r="MKX67"/>
      <c r="MKY67"/>
      <c r="MKZ67"/>
      <c r="MLA67"/>
      <c r="MLB67"/>
      <c r="MLC67"/>
      <c r="MLD67"/>
      <c r="MLE67"/>
      <c r="MLF67"/>
      <c r="MLG67"/>
      <c r="MLH67"/>
      <c r="MLI67"/>
      <c r="MLJ67"/>
      <c r="MLK67"/>
      <c r="MLL67"/>
      <c r="MLM67"/>
      <c r="MLN67"/>
      <c r="MLO67"/>
      <c r="MLP67"/>
      <c r="MLQ67"/>
      <c r="MLR67"/>
      <c r="MLS67"/>
      <c r="MLT67"/>
      <c r="MLU67"/>
      <c r="MLV67"/>
      <c r="MLW67"/>
      <c r="MLX67"/>
      <c r="MLY67"/>
      <c r="MLZ67"/>
      <c r="MMA67"/>
      <c r="MMB67"/>
      <c r="MMC67"/>
      <c r="MMD67"/>
      <c r="MME67"/>
      <c r="MMF67"/>
      <c r="MMG67"/>
      <c r="MMH67"/>
      <c r="MMI67"/>
      <c r="MMJ67"/>
      <c r="MMK67"/>
      <c r="MML67"/>
      <c r="MMM67"/>
      <c r="MMN67"/>
      <c r="MMO67"/>
      <c r="MMP67"/>
      <c r="MMQ67"/>
      <c r="MMR67"/>
      <c r="MMS67"/>
      <c r="MMT67"/>
      <c r="MMU67"/>
      <c r="MMV67"/>
      <c r="MMW67"/>
      <c r="MMX67"/>
      <c r="MMY67"/>
      <c r="MMZ67"/>
      <c r="MNA67"/>
      <c r="MNB67"/>
      <c r="MNC67"/>
      <c r="MND67"/>
      <c r="MNE67"/>
      <c r="MNF67"/>
      <c r="MNG67"/>
      <c r="MNH67"/>
      <c r="MNI67"/>
      <c r="MNJ67"/>
      <c r="MNK67"/>
      <c r="MNL67"/>
      <c r="MNM67"/>
      <c r="MNN67"/>
      <c r="MNO67"/>
      <c r="MNP67"/>
      <c r="MNQ67"/>
      <c r="MNR67"/>
      <c r="MNS67"/>
      <c r="MNT67"/>
      <c r="MNU67"/>
      <c r="MNV67"/>
      <c r="MNW67"/>
      <c r="MNX67"/>
      <c r="MNY67"/>
      <c r="MNZ67"/>
      <c r="MOA67"/>
      <c r="MOB67"/>
      <c r="MOC67"/>
      <c r="MOD67"/>
      <c r="MOE67"/>
      <c r="MOF67"/>
      <c r="MOG67"/>
      <c r="MOH67"/>
      <c r="MOI67"/>
      <c r="MOJ67"/>
      <c r="MOK67"/>
      <c r="MOL67"/>
      <c r="MOM67"/>
      <c r="MON67"/>
      <c r="MOO67"/>
      <c r="MOP67"/>
      <c r="MOQ67"/>
      <c r="MOR67"/>
      <c r="MOS67"/>
      <c r="MOT67"/>
      <c r="MOU67"/>
      <c r="MOV67"/>
      <c r="MOW67"/>
      <c r="MOX67"/>
      <c r="MOY67"/>
      <c r="MOZ67"/>
      <c r="MPA67"/>
      <c r="MPB67"/>
      <c r="MPC67"/>
      <c r="MPD67"/>
      <c r="MPE67"/>
      <c r="MPF67"/>
      <c r="MPG67"/>
      <c r="MPH67"/>
      <c r="MPI67"/>
      <c r="MPJ67"/>
      <c r="MPK67"/>
      <c r="MPL67"/>
      <c r="MPM67"/>
      <c r="MPN67"/>
      <c r="MPO67"/>
      <c r="MPP67"/>
      <c r="MPQ67"/>
      <c r="MPR67"/>
      <c r="MPS67"/>
      <c r="MPT67"/>
      <c r="MPU67"/>
      <c r="MPV67"/>
      <c r="MPW67"/>
      <c r="MPX67"/>
      <c r="MPY67"/>
      <c r="MPZ67"/>
      <c r="MQA67"/>
      <c r="MQB67"/>
      <c r="MQC67"/>
      <c r="MQD67"/>
      <c r="MQE67"/>
      <c r="MQF67"/>
      <c r="MQG67"/>
      <c r="MQH67"/>
      <c r="MQI67"/>
      <c r="MQJ67"/>
      <c r="MQK67"/>
      <c r="MQL67"/>
      <c r="MQM67"/>
      <c r="MQN67"/>
      <c r="MQO67"/>
      <c r="MQP67"/>
      <c r="MQQ67"/>
      <c r="MQR67"/>
      <c r="MQS67"/>
      <c r="MQT67"/>
      <c r="MQU67"/>
      <c r="MQV67"/>
      <c r="MQW67"/>
      <c r="MQX67"/>
      <c r="MQY67"/>
      <c r="MQZ67"/>
      <c r="MRA67"/>
      <c r="MRB67"/>
      <c r="MRC67"/>
      <c r="MRD67"/>
      <c r="MRE67"/>
      <c r="MRF67"/>
      <c r="MRG67"/>
      <c r="MRH67"/>
      <c r="MRI67"/>
      <c r="MRJ67"/>
      <c r="MRK67"/>
      <c r="MRL67"/>
      <c r="MRM67"/>
      <c r="MRN67"/>
      <c r="MRO67"/>
      <c r="MRP67"/>
      <c r="MRQ67"/>
      <c r="MRR67"/>
      <c r="MRS67"/>
      <c r="MRT67"/>
      <c r="MRU67"/>
      <c r="MRV67"/>
      <c r="MRW67"/>
      <c r="MRX67"/>
      <c r="MRY67"/>
      <c r="MRZ67"/>
      <c r="MSA67"/>
      <c r="MSB67"/>
      <c r="MSC67"/>
      <c r="MSD67"/>
      <c r="MSE67"/>
      <c r="MSF67"/>
      <c r="MSG67"/>
      <c r="MSH67"/>
      <c r="MSI67"/>
      <c r="MSJ67"/>
      <c r="MSK67"/>
      <c r="MSL67"/>
      <c r="MSM67"/>
      <c r="MSN67"/>
      <c r="MSO67"/>
      <c r="MSP67"/>
      <c r="MSQ67"/>
      <c r="MSR67"/>
      <c r="MSS67"/>
      <c r="MST67"/>
      <c r="MSU67"/>
      <c r="MSV67"/>
      <c r="MSW67"/>
      <c r="MSX67"/>
      <c r="MSY67"/>
      <c r="MSZ67"/>
      <c r="MTA67"/>
      <c r="MTB67"/>
      <c r="MTC67"/>
      <c r="MTD67"/>
      <c r="MTE67"/>
      <c r="MTF67"/>
      <c r="MTG67"/>
      <c r="MTH67"/>
      <c r="MTI67"/>
      <c r="MTJ67"/>
      <c r="MTK67"/>
      <c r="MTL67"/>
      <c r="MTM67"/>
      <c r="MTN67"/>
      <c r="MTO67"/>
      <c r="MTP67"/>
      <c r="MTQ67"/>
      <c r="MTR67"/>
      <c r="MTS67"/>
      <c r="MTT67"/>
      <c r="MTU67"/>
      <c r="MTV67"/>
      <c r="MTW67"/>
      <c r="MTX67"/>
      <c r="MTY67"/>
      <c r="MTZ67"/>
      <c r="MUA67"/>
      <c r="MUB67"/>
      <c r="MUC67"/>
      <c r="MUD67"/>
      <c r="MUE67"/>
      <c r="MUF67"/>
      <c r="MUG67"/>
      <c r="MUH67"/>
      <c r="MUI67"/>
      <c r="MUJ67"/>
      <c r="MUK67"/>
      <c r="MUL67"/>
      <c r="MUM67"/>
      <c r="MUN67"/>
      <c r="MUO67"/>
      <c r="MUP67"/>
      <c r="MUQ67"/>
      <c r="MUR67"/>
      <c r="MUS67"/>
      <c r="MUT67"/>
      <c r="MUU67"/>
      <c r="MUV67"/>
      <c r="MUW67"/>
      <c r="MUX67"/>
      <c r="MUY67"/>
      <c r="MUZ67"/>
      <c r="MVA67"/>
      <c r="MVB67"/>
      <c r="MVC67"/>
      <c r="MVD67"/>
      <c r="MVE67"/>
      <c r="MVF67"/>
      <c r="MVG67"/>
      <c r="MVH67"/>
      <c r="MVI67"/>
      <c r="MVJ67"/>
      <c r="MVK67"/>
      <c r="MVL67"/>
      <c r="MVM67"/>
      <c r="MVN67"/>
      <c r="MVO67"/>
      <c r="MVP67"/>
      <c r="MVQ67"/>
      <c r="MVR67"/>
      <c r="MVS67"/>
      <c r="MVT67"/>
      <c r="MVU67"/>
      <c r="MVV67"/>
      <c r="MVW67"/>
      <c r="MVX67"/>
      <c r="MVY67"/>
      <c r="MVZ67"/>
      <c r="MWA67"/>
      <c r="MWB67"/>
      <c r="MWC67"/>
      <c r="MWD67"/>
      <c r="MWE67"/>
      <c r="MWF67"/>
      <c r="MWG67"/>
      <c r="MWH67"/>
      <c r="MWI67"/>
      <c r="MWJ67"/>
      <c r="MWK67"/>
      <c r="MWL67"/>
      <c r="MWM67"/>
      <c r="MWN67"/>
      <c r="MWO67"/>
      <c r="MWP67"/>
      <c r="MWQ67"/>
      <c r="MWR67"/>
      <c r="MWS67"/>
      <c r="MWT67"/>
      <c r="MWU67"/>
      <c r="MWV67"/>
      <c r="MWW67"/>
      <c r="MWX67"/>
      <c r="MWY67"/>
      <c r="MWZ67"/>
      <c r="MXA67"/>
      <c r="MXB67"/>
      <c r="MXC67"/>
      <c r="MXD67"/>
      <c r="MXE67"/>
      <c r="MXF67"/>
      <c r="MXG67"/>
      <c r="MXH67"/>
      <c r="MXI67"/>
      <c r="MXJ67"/>
      <c r="MXK67"/>
      <c r="MXL67"/>
      <c r="MXM67"/>
      <c r="MXN67"/>
      <c r="MXO67"/>
      <c r="MXP67"/>
      <c r="MXQ67"/>
      <c r="MXR67"/>
      <c r="MXS67"/>
      <c r="MXT67"/>
      <c r="MXU67"/>
      <c r="MXV67"/>
      <c r="MXW67"/>
      <c r="MXX67"/>
      <c r="MXY67"/>
      <c r="MXZ67"/>
      <c r="MYA67"/>
      <c r="MYB67"/>
      <c r="MYC67"/>
      <c r="MYD67"/>
      <c r="MYE67"/>
      <c r="MYF67"/>
      <c r="MYG67"/>
      <c r="MYH67"/>
      <c r="MYI67"/>
      <c r="MYJ67"/>
      <c r="MYK67"/>
      <c r="MYL67"/>
      <c r="MYM67"/>
      <c r="MYN67"/>
      <c r="MYO67"/>
      <c r="MYP67"/>
      <c r="MYQ67"/>
      <c r="MYR67"/>
      <c r="MYS67"/>
      <c r="MYT67"/>
      <c r="MYU67"/>
      <c r="MYV67"/>
      <c r="MYW67"/>
      <c r="MYX67"/>
      <c r="MYY67"/>
      <c r="MYZ67"/>
      <c r="MZA67"/>
      <c r="MZB67"/>
      <c r="MZC67"/>
      <c r="MZD67"/>
      <c r="MZE67"/>
      <c r="MZF67"/>
      <c r="MZG67"/>
      <c r="MZH67"/>
      <c r="MZI67"/>
      <c r="MZJ67"/>
      <c r="MZK67"/>
      <c r="MZL67"/>
      <c r="MZM67"/>
      <c r="MZN67"/>
      <c r="MZO67"/>
      <c r="MZP67"/>
      <c r="MZQ67"/>
      <c r="MZR67"/>
      <c r="MZS67"/>
      <c r="MZT67"/>
      <c r="MZU67"/>
      <c r="MZV67"/>
      <c r="MZW67"/>
      <c r="MZX67"/>
      <c r="MZY67"/>
      <c r="MZZ67"/>
      <c r="NAA67"/>
      <c r="NAB67"/>
      <c r="NAC67"/>
      <c r="NAD67"/>
      <c r="NAE67"/>
      <c r="NAF67"/>
      <c r="NAG67"/>
      <c r="NAH67"/>
      <c r="NAI67"/>
      <c r="NAJ67"/>
      <c r="NAK67"/>
      <c r="NAL67"/>
      <c r="NAM67"/>
      <c r="NAN67"/>
      <c r="NAO67"/>
      <c r="NAP67"/>
      <c r="NAQ67"/>
      <c r="NAR67"/>
      <c r="NAS67"/>
      <c r="NAT67"/>
      <c r="NAU67"/>
      <c r="NAV67"/>
      <c r="NAW67"/>
      <c r="NAX67"/>
      <c r="NAY67"/>
      <c r="NAZ67"/>
      <c r="NBA67"/>
      <c r="NBB67"/>
      <c r="NBC67"/>
      <c r="NBD67"/>
      <c r="NBE67"/>
      <c r="NBF67"/>
      <c r="NBG67"/>
      <c r="NBH67"/>
      <c r="NBI67"/>
      <c r="NBJ67"/>
      <c r="NBK67"/>
      <c r="NBL67"/>
      <c r="NBM67"/>
      <c r="NBN67"/>
      <c r="NBO67"/>
      <c r="NBP67"/>
      <c r="NBQ67"/>
      <c r="NBR67"/>
      <c r="NBS67"/>
      <c r="NBT67"/>
      <c r="NBU67"/>
      <c r="NBV67"/>
      <c r="NBW67"/>
      <c r="NBX67"/>
      <c r="NBY67"/>
      <c r="NBZ67"/>
      <c r="NCA67"/>
      <c r="NCB67"/>
      <c r="NCC67"/>
      <c r="NCD67"/>
      <c r="NCE67"/>
      <c r="NCF67"/>
      <c r="NCG67"/>
      <c r="NCH67"/>
      <c r="NCI67"/>
      <c r="NCJ67"/>
      <c r="NCK67"/>
      <c r="NCL67"/>
      <c r="NCM67"/>
      <c r="NCN67"/>
      <c r="NCO67"/>
      <c r="NCP67"/>
      <c r="NCQ67"/>
      <c r="NCR67"/>
      <c r="NCS67"/>
      <c r="NCT67"/>
      <c r="NCU67"/>
      <c r="NCV67"/>
      <c r="NCW67"/>
      <c r="NCX67"/>
      <c r="NCY67"/>
      <c r="NCZ67"/>
      <c r="NDA67"/>
      <c r="NDB67"/>
      <c r="NDC67"/>
      <c r="NDD67"/>
      <c r="NDE67"/>
      <c r="NDF67"/>
      <c r="NDG67"/>
      <c r="NDH67"/>
      <c r="NDI67"/>
      <c r="NDJ67"/>
      <c r="NDK67"/>
      <c r="NDL67"/>
      <c r="NDM67"/>
      <c r="NDN67"/>
      <c r="NDO67"/>
      <c r="NDP67"/>
      <c r="NDQ67"/>
      <c r="NDR67"/>
      <c r="NDS67"/>
      <c r="NDT67"/>
      <c r="NDU67"/>
      <c r="NDV67"/>
      <c r="NDW67"/>
      <c r="NDX67"/>
      <c r="NDY67"/>
      <c r="NDZ67"/>
      <c r="NEA67"/>
      <c r="NEB67"/>
      <c r="NEC67"/>
      <c r="NED67"/>
      <c r="NEE67"/>
      <c r="NEF67"/>
      <c r="NEG67"/>
      <c r="NEH67"/>
      <c r="NEI67"/>
      <c r="NEJ67"/>
      <c r="NEK67"/>
      <c r="NEL67"/>
      <c r="NEM67"/>
      <c r="NEN67"/>
      <c r="NEO67"/>
      <c r="NEP67"/>
      <c r="NEQ67"/>
      <c r="NER67"/>
      <c r="NES67"/>
      <c r="NET67"/>
      <c r="NEU67"/>
      <c r="NEV67"/>
      <c r="NEW67"/>
      <c r="NEX67"/>
      <c r="NEY67"/>
      <c r="NEZ67"/>
      <c r="NFA67"/>
      <c r="NFB67"/>
      <c r="NFC67"/>
      <c r="NFD67"/>
      <c r="NFE67"/>
      <c r="NFF67"/>
      <c r="NFG67"/>
      <c r="NFH67"/>
      <c r="NFI67"/>
      <c r="NFJ67"/>
      <c r="NFK67"/>
      <c r="NFL67"/>
      <c r="NFM67"/>
      <c r="NFN67"/>
      <c r="NFO67"/>
      <c r="NFP67"/>
      <c r="NFQ67"/>
      <c r="NFR67"/>
      <c r="NFS67"/>
      <c r="NFT67"/>
      <c r="NFU67"/>
      <c r="NFV67"/>
      <c r="NFW67"/>
      <c r="NFX67"/>
      <c r="NFY67"/>
      <c r="NFZ67"/>
      <c r="NGA67"/>
      <c r="NGB67"/>
      <c r="NGC67"/>
      <c r="NGD67"/>
      <c r="NGE67"/>
      <c r="NGF67"/>
      <c r="NGG67"/>
      <c r="NGH67"/>
      <c r="NGI67"/>
      <c r="NGJ67"/>
      <c r="NGK67"/>
      <c r="NGL67"/>
      <c r="NGM67"/>
      <c r="NGN67"/>
      <c r="NGO67"/>
      <c r="NGP67"/>
      <c r="NGQ67"/>
      <c r="NGR67"/>
      <c r="NGS67"/>
      <c r="NGT67"/>
      <c r="NGU67"/>
      <c r="NGV67"/>
      <c r="NGW67"/>
      <c r="NGX67"/>
      <c r="NGY67"/>
      <c r="NGZ67"/>
      <c r="NHA67"/>
      <c r="NHB67"/>
      <c r="NHC67"/>
      <c r="NHD67"/>
      <c r="NHE67"/>
      <c r="NHF67"/>
      <c r="NHG67"/>
      <c r="NHH67"/>
      <c r="NHI67"/>
      <c r="NHJ67"/>
      <c r="NHK67"/>
      <c r="NHL67"/>
      <c r="NHM67"/>
      <c r="NHN67"/>
      <c r="NHO67"/>
      <c r="NHP67"/>
      <c r="NHQ67"/>
      <c r="NHR67"/>
      <c r="NHS67"/>
      <c r="NHT67"/>
      <c r="NHU67"/>
      <c r="NHV67"/>
      <c r="NHW67"/>
      <c r="NHX67"/>
      <c r="NHY67"/>
      <c r="NHZ67"/>
      <c r="NIA67"/>
      <c r="NIB67"/>
      <c r="NIC67"/>
      <c r="NID67"/>
      <c r="NIE67"/>
      <c r="NIF67"/>
      <c r="NIG67"/>
      <c r="NIH67"/>
      <c r="NII67"/>
      <c r="NIJ67"/>
      <c r="NIK67"/>
      <c r="NIL67"/>
      <c r="NIM67"/>
      <c r="NIN67"/>
      <c r="NIO67"/>
      <c r="NIP67"/>
      <c r="NIQ67"/>
      <c r="NIR67"/>
      <c r="NIS67"/>
      <c r="NIT67"/>
      <c r="NIU67"/>
      <c r="NIV67"/>
      <c r="NIW67"/>
      <c r="NIX67"/>
      <c r="NIY67"/>
      <c r="NIZ67"/>
      <c r="NJA67"/>
      <c r="NJB67"/>
      <c r="NJC67"/>
      <c r="NJD67"/>
      <c r="NJE67"/>
      <c r="NJF67"/>
      <c r="NJG67"/>
      <c r="NJH67"/>
      <c r="NJI67"/>
      <c r="NJJ67"/>
      <c r="NJK67"/>
      <c r="NJL67"/>
      <c r="NJM67"/>
      <c r="NJN67"/>
      <c r="NJO67"/>
      <c r="NJP67"/>
      <c r="NJQ67"/>
      <c r="NJR67"/>
      <c r="NJS67"/>
      <c r="NJT67"/>
      <c r="NJU67"/>
      <c r="NJV67"/>
      <c r="NJW67"/>
      <c r="NJX67"/>
      <c r="NJY67"/>
      <c r="NJZ67"/>
      <c r="NKA67"/>
      <c r="NKB67"/>
      <c r="NKC67"/>
      <c r="NKD67"/>
      <c r="NKE67"/>
      <c r="NKF67"/>
      <c r="NKG67"/>
      <c r="NKH67"/>
      <c r="NKI67"/>
      <c r="NKJ67"/>
      <c r="NKK67"/>
      <c r="NKL67"/>
      <c r="NKM67"/>
      <c r="NKN67"/>
      <c r="NKO67"/>
      <c r="NKP67"/>
      <c r="NKQ67"/>
      <c r="NKR67"/>
      <c r="NKS67"/>
      <c r="NKT67"/>
      <c r="NKU67"/>
      <c r="NKV67"/>
      <c r="NKW67"/>
      <c r="NKX67"/>
      <c r="NKY67"/>
      <c r="NKZ67"/>
      <c r="NLA67"/>
      <c r="NLB67"/>
      <c r="NLC67"/>
      <c r="NLD67"/>
      <c r="NLE67"/>
      <c r="NLF67"/>
      <c r="NLG67"/>
      <c r="NLH67"/>
      <c r="NLI67"/>
      <c r="NLJ67"/>
      <c r="NLK67"/>
      <c r="NLL67"/>
      <c r="NLM67"/>
      <c r="NLN67"/>
      <c r="NLO67"/>
      <c r="NLP67"/>
      <c r="NLQ67"/>
      <c r="NLR67"/>
      <c r="NLS67"/>
      <c r="NLT67"/>
      <c r="NLU67"/>
      <c r="NLV67"/>
      <c r="NLW67"/>
      <c r="NLX67"/>
      <c r="NLY67"/>
      <c r="NLZ67"/>
      <c r="NMA67"/>
      <c r="NMB67"/>
      <c r="NMC67"/>
      <c r="NMD67"/>
      <c r="NME67"/>
      <c r="NMF67"/>
      <c r="NMG67"/>
      <c r="NMH67"/>
      <c r="NMI67"/>
      <c r="NMJ67"/>
      <c r="NMK67"/>
      <c r="NML67"/>
      <c r="NMM67"/>
      <c r="NMN67"/>
      <c r="NMO67"/>
      <c r="NMP67"/>
      <c r="NMQ67"/>
      <c r="NMR67"/>
      <c r="NMS67"/>
      <c r="NMT67"/>
      <c r="NMU67"/>
      <c r="NMV67"/>
      <c r="NMW67"/>
      <c r="NMX67"/>
      <c r="NMY67"/>
      <c r="NMZ67"/>
      <c r="NNA67"/>
      <c r="NNB67"/>
      <c r="NNC67"/>
      <c r="NND67"/>
      <c r="NNE67"/>
      <c r="NNF67"/>
      <c r="NNG67"/>
      <c r="NNH67"/>
      <c r="NNI67"/>
      <c r="NNJ67"/>
      <c r="NNK67"/>
      <c r="NNL67"/>
      <c r="NNM67"/>
      <c r="NNN67"/>
      <c r="NNO67"/>
      <c r="NNP67"/>
      <c r="NNQ67"/>
      <c r="NNR67"/>
      <c r="NNS67"/>
      <c r="NNT67"/>
      <c r="NNU67"/>
      <c r="NNV67"/>
      <c r="NNW67"/>
      <c r="NNX67"/>
      <c r="NNY67"/>
      <c r="NNZ67"/>
      <c r="NOA67"/>
      <c r="NOB67"/>
      <c r="NOC67"/>
      <c r="NOD67"/>
      <c r="NOE67"/>
      <c r="NOF67"/>
      <c r="NOG67"/>
      <c r="NOH67"/>
      <c r="NOI67"/>
      <c r="NOJ67"/>
      <c r="NOK67"/>
      <c r="NOL67"/>
      <c r="NOM67"/>
      <c r="NON67"/>
      <c r="NOO67"/>
      <c r="NOP67"/>
      <c r="NOQ67"/>
      <c r="NOR67"/>
      <c r="NOS67"/>
      <c r="NOT67"/>
      <c r="NOU67"/>
      <c r="NOV67"/>
      <c r="NOW67"/>
      <c r="NOX67"/>
      <c r="NOY67"/>
      <c r="NOZ67"/>
      <c r="NPA67"/>
      <c r="NPB67"/>
      <c r="NPC67"/>
      <c r="NPD67"/>
      <c r="NPE67"/>
      <c r="NPF67"/>
      <c r="NPG67"/>
      <c r="NPH67"/>
      <c r="NPI67"/>
      <c r="NPJ67"/>
      <c r="NPK67"/>
      <c r="NPL67"/>
      <c r="NPM67"/>
      <c r="NPN67"/>
      <c r="NPO67"/>
      <c r="NPP67"/>
      <c r="NPQ67"/>
      <c r="NPR67"/>
      <c r="NPS67"/>
      <c r="NPT67"/>
      <c r="NPU67"/>
      <c r="NPV67"/>
      <c r="NPW67"/>
      <c r="NPX67"/>
      <c r="NPY67"/>
      <c r="NPZ67"/>
      <c r="NQA67"/>
      <c r="NQB67"/>
      <c r="NQC67"/>
      <c r="NQD67"/>
      <c r="NQE67"/>
      <c r="NQF67"/>
      <c r="NQG67"/>
      <c r="NQH67"/>
      <c r="NQI67"/>
      <c r="NQJ67"/>
      <c r="NQK67"/>
      <c r="NQL67"/>
      <c r="NQM67"/>
      <c r="NQN67"/>
      <c r="NQO67"/>
      <c r="NQP67"/>
      <c r="NQQ67"/>
      <c r="NQR67"/>
      <c r="NQS67"/>
      <c r="NQT67"/>
      <c r="NQU67"/>
      <c r="NQV67"/>
      <c r="NQW67"/>
      <c r="NQX67"/>
      <c r="NQY67"/>
      <c r="NQZ67"/>
      <c r="NRA67"/>
      <c r="NRB67"/>
      <c r="NRC67"/>
      <c r="NRD67"/>
      <c r="NRE67"/>
      <c r="NRF67"/>
      <c r="NRG67"/>
      <c r="NRH67"/>
      <c r="NRI67"/>
      <c r="NRJ67"/>
      <c r="NRK67"/>
      <c r="NRL67"/>
      <c r="NRM67"/>
      <c r="NRN67"/>
      <c r="NRO67"/>
      <c r="NRP67"/>
      <c r="NRQ67"/>
      <c r="NRR67"/>
      <c r="NRS67"/>
      <c r="NRT67"/>
      <c r="NRU67"/>
      <c r="NRV67"/>
      <c r="NRW67"/>
      <c r="NRX67"/>
      <c r="NRY67"/>
      <c r="NRZ67"/>
      <c r="NSA67"/>
      <c r="NSB67"/>
      <c r="NSC67"/>
      <c r="NSD67"/>
      <c r="NSE67"/>
      <c r="NSF67"/>
      <c r="NSG67"/>
      <c r="NSH67"/>
      <c r="NSI67"/>
      <c r="NSJ67"/>
      <c r="NSK67"/>
      <c r="NSL67"/>
      <c r="NSM67"/>
      <c r="NSN67"/>
      <c r="NSO67"/>
      <c r="NSP67"/>
      <c r="NSQ67"/>
      <c r="NSR67"/>
      <c r="NSS67"/>
      <c r="NST67"/>
      <c r="NSU67"/>
      <c r="NSV67"/>
      <c r="NSW67"/>
      <c r="NSX67"/>
      <c r="NSY67"/>
      <c r="NSZ67"/>
      <c r="NTA67"/>
      <c r="NTB67"/>
      <c r="NTC67"/>
      <c r="NTD67"/>
      <c r="NTE67"/>
      <c r="NTF67"/>
      <c r="NTG67"/>
      <c r="NTH67"/>
      <c r="NTI67"/>
      <c r="NTJ67"/>
      <c r="NTK67"/>
      <c r="NTL67"/>
      <c r="NTM67"/>
      <c r="NTN67"/>
      <c r="NTO67"/>
      <c r="NTP67"/>
      <c r="NTQ67"/>
      <c r="NTR67"/>
      <c r="NTS67"/>
      <c r="NTT67"/>
      <c r="NTU67"/>
      <c r="NTV67"/>
      <c r="NTW67"/>
      <c r="NTX67"/>
      <c r="NTY67"/>
      <c r="NTZ67"/>
      <c r="NUA67"/>
      <c r="NUB67"/>
      <c r="NUC67"/>
      <c r="NUD67"/>
      <c r="NUE67"/>
      <c r="NUF67"/>
      <c r="NUG67"/>
      <c r="NUH67"/>
      <c r="NUI67"/>
      <c r="NUJ67"/>
      <c r="NUK67"/>
      <c r="NUL67"/>
      <c r="NUM67"/>
      <c r="NUN67"/>
      <c r="NUO67"/>
      <c r="NUP67"/>
      <c r="NUQ67"/>
      <c r="NUR67"/>
      <c r="NUS67"/>
      <c r="NUT67"/>
      <c r="NUU67"/>
      <c r="NUV67"/>
      <c r="NUW67"/>
      <c r="NUX67"/>
      <c r="NUY67"/>
      <c r="NUZ67"/>
      <c r="NVA67"/>
      <c r="NVB67"/>
      <c r="NVC67"/>
      <c r="NVD67"/>
      <c r="NVE67"/>
      <c r="NVF67"/>
      <c r="NVG67"/>
      <c r="NVH67"/>
      <c r="NVI67"/>
      <c r="NVJ67"/>
      <c r="NVK67"/>
      <c r="NVL67"/>
      <c r="NVM67"/>
      <c r="NVN67"/>
      <c r="NVO67"/>
      <c r="NVP67"/>
      <c r="NVQ67"/>
      <c r="NVR67"/>
      <c r="NVS67"/>
      <c r="NVT67"/>
      <c r="NVU67"/>
      <c r="NVV67"/>
      <c r="NVW67"/>
      <c r="NVX67"/>
      <c r="NVY67"/>
      <c r="NVZ67"/>
      <c r="NWA67"/>
      <c r="NWB67"/>
      <c r="NWC67"/>
      <c r="NWD67"/>
      <c r="NWE67"/>
      <c r="NWF67"/>
      <c r="NWG67"/>
      <c r="NWH67"/>
      <c r="NWI67"/>
      <c r="NWJ67"/>
      <c r="NWK67"/>
      <c r="NWL67"/>
      <c r="NWM67"/>
      <c r="NWN67"/>
      <c r="NWO67"/>
      <c r="NWP67"/>
      <c r="NWQ67"/>
      <c r="NWR67"/>
      <c r="NWS67"/>
      <c r="NWT67"/>
      <c r="NWU67"/>
      <c r="NWV67"/>
      <c r="NWW67"/>
      <c r="NWX67"/>
      <c r="NWY67"/>
      <c r="NWZ67"/>
      <c r="NXA67"/>
      <c r="NXB67"/>
      <c r="NXC67"/>
      <c r="NXD67"/>
      <c r="NXE67"/>
      <c r="NXF67"/>
      <c r="NXG67"/>
      <c r="NXH67"/>
      <c r="NXI67"/>
      <c r="NXJ67"/>
      <c r="NXK67"/>
      <c r="NXL67"/>
      <c r="NXM67"/>
      <c r="NXN67"/>
      <c r="NXO67"/>
      <c r="NXP67"/>
      <c r="NXQ67"/>
      <c r="NXR67"/>
      <c r="NXS67"/>
      <c r="NXT67"/>
      <c r="NXU67"/>
      <c r="NXV67"/>
      <c r="NXW67"/>
      <c r="NXX67"/>
      <c r="NXY67"/>
      <c r="NXZ67"/>
      <c r="NYA67"/>
      <c r="NYB67"/>
      <c r="NYC67"/>
      <c r="NYD67"/>
      <c r="NYE67"/>
      <c r="NYF67"/>
      <c r="NYG67"/>
      <c r="NYH67"/>
      <c r="NYI67"/>
      <c r="NYJ67"/>
      <c r="NYK67"/>
      <c r="NYL67"/>
      <c r="NYM67"/>
      <c r="NYN67"/>
      <c r="NYO67"/>
      <c r="NYP67"/>
      <c r="NYQ67"/>
      <c r="NYR67"/>
      <c r="NYS67"/>
      <c r="NYT67"/>
      <c r="NYU67"/>
      <c r="NYV67"/>
      <c r="NYW67"/>
      <c r="NYX67"/>
      <c r="NYY67"/>
      <c r="NYZ67"/>
      <c r="NZA67"/>
      <c r="NZB67"/>
      <c r="NZC67"/>
      <c r="NZD67"/>
      <c r="NZE67"/>
      <c r="NZF67"/>
      <c r="NZG67"/>
      <c r="NZH67"/>
      <c r="NZI67"/>
      <c r="NZJ67"/>
      <c r="NZK67"/>
      <c r="NZL67"/>
      <c r="NZM67"/>
      <c r="NZN67"/>
      <c r="NZO67"/>
      <c r="NZP67"/>
      <c r="NZQ67"/>
      <c r="NZR67"/>
      <c r="NZS67"/>
      <c r="NZT67"/>
      <c r="NZU67"/>
      <c r="NZV67"/>
      <c r="NZW67"/>
      <c r="NZX67"/>
      <c r="NZY67"/>
      <c r="NZZ67"/>
      <c r="OAA67"/>
      <c r="OAB67"/>
      <c r="OAC67"/>
      <c r="OAD67"/>
      <c r="OAE67"/>
      <c r="OAF67"/>
      <c r="OAG67"/>
      <c r="OAH67"/>
      <c r="OAI67"/>
      <c r="OAJ67"/>
      <c r="OAK67"/>
      <c r="OAL67"/>
      <c r="OAM67"/>
      <c r="OAN67"/>
      <c r="OAO67"/>
      <c r="OAP67"/>
      <c r="OAQ67"/>
      <c r="OAR67"/>
      <c r="OAS67"/>
      <c r="OAT67"/>
      <c r="OAU67"/>
      <c r="OAV67"/>
      <c r="OAW67"/>
      <c r="OAX67"/>
      <c r="OAY67"/>
      <c r="OAZ67"/>
      <c r="OBA67"/>
      <c r="OBB67"/>
      <c r="OBC67"/>
      <c r="OBD67"/>
      <c r="OBE67"/>
      <c r="OBF67"/>
      <c r="OBG67"/>
      <c r="OBH67"/>
      <c r="OBI67"/>
      <c r="OBJ67"/>
      <c r="OBK67"/>
      <c r="OBL67"/>
      <c r="OBM67"/>
      <c r="OBN67"/>
      <c r="OBO67"/>
      <c r="OBP67"/>
      <c r="OBQ67"/>
      <c r="OBR67"/>
      <c r="OBS67"/>
      <c r="OBT67"/>
      <c r="OBU67"/>
      <c r="OBV67"/>
      <c r="OBW67"/>
      <c r="OBX67"/>
      <c r="OBY67"/>
      <c r="OBZ67"/>
      <c r="OCA67"/>
      <c r="OCB67"/>
      <c r="OCC67"/>
      <c r="OCD67"/>
      <c r="OCE67"/>
      <c r="OCF67"/>
      <c r="OCG67"/>
      <c r="OCH67"/>
      <c r="OCI67"/>
      <c r="OCJ67"/>
      <c r="OCK67"/>
      <c r="OCL67"/>
      <c r="OCM67"/>
      <c r="OCN67"/>
      <c r="OCO67"/>
      <c r="OCP67"/>
      <c r="OCQ67"/>
      <c r="OCR67"/>
      <c r="OCS67"/>
      <c r="OCT67"/>
      <c r="OCU67"/>
      <c r="OCV67"/>
      <c r="OCW67"/>
      <c r="OCX67"/>
      <c r="OCY67"/>
      <c r="OCZ67"/>
      <c r="ODA67"/>
      <c r="ODB67"/>
      <c r="ODC67"/>
      <c r="ODD67"/>
      <c r="ODE67"/>
      <c r="ODF67"/>
      <c r="ODG67"/>
      <c r="ODH67"/>
      <c r="ODI67"/>
      <c r="ODJ67"/>
      <c r="ODK67"/>
      <c r="ODL67"/>
      <c r="ODM67"/>
      <c r="ODN67"/>
      <c r="ODO67"/>
      <c r="ODP67"/>
      <c r="ODQ67"/>
      <c r="ODR67"/>
      <c r="ODS67"/>
      <c r="ODT67"/>
      <c r="ODU67"/>
      <c r="ODV67"/>
      <c r="ODW67"/>
      <c r="ODX67"/>
      <c r="ODY67"/>
      <c r="ODZ67"/>
      <c r="OEA67"/>
      <c r="OEB67"/>
      <c r="OEC67"/>
      <c r="OED67"/>
      <c r="OEE67"/>
      <c r="OEF67"/>
      <c r="OEG67"/>
      <c r="OEH67"/>
      <c r="OEI67"/>
      <c r="OEJ67"/>
      <c r="OEK67"/>
      <c r="OEL67"/>
      <c r="OEM67"/>
      <c r="OEN67"/>
      <c r="OEO67"/>
      <c r="OEP67"/>
      <c r="OEQ67"/>
      <c r="OER67"/>
      <c r="OES67"/>
      <c r="OET67"/>
      <c r="OEU67"/>
      <c r="OEV67"/>
      <c r="OEW67"/>
      <c r="OEX67"/>
      <c r="OEY67"/>
      <c r="OEZ67"/>
      <c r="OFA67"/>
      <c r="OFB67"/>
      <c r="OFC67"/>
      <c r="OFD67"/>
      <c r="OFE67"/>
      <c r="OFF67"/>
      <c r="OFG67"/>
      <c r="OFH67"/>
      <c r="OFI67"/>
      <c r="OFJ67"/>
      <c r="OFK67"/>
      <c r="OFL67"/>
      <c r="OFM67"/>
      <c r="OFN67"/>
      <c r="OFO67"/>
      <c r="OFP67"/>
      <c r="OFQ67"/>
      <c r="OFR67"/>
      <c r="OFS67"/>
      <c r="OFT67"/>
      <c r="OFU67"/>
      <c r="OFV67"/>
      <c r="OFW67"/>
      <c r="OFX67"/>
      <c r="OFY67"/>
      <c r="OFZ67"/>
      <c r="OGA67"/>
      <c r="OGB67"/>
      <c r="OGC67"/>
      <c r="OGD67"/>
      <c r="OGE67"/>
      <c r="OGF67"/>
      <c r="OGG67"/>
      <c r="OGH67"/>
      <c r="OGI67"/>
      <c r="OGJ67"/>
      <c r="OGK67"/>
      <c r="OGL67"/>
      <c r="OGM67"/>
      <c r="OGN67"/>
      <c r="OGO67"/>
      <c r="OGP67"/>
      <c r="OGQ67"/>
      <c r="OGR67"/>
      <c r="OGS67"/>
      <c r="OGT67"/>
      <c r="OGU67"/>
      <c r="OGV67"/>
      <c r="OGW67"/>
      <c r="OGX67"/>
      <c r="OGY67"/>
      <c r="OGZ67"/>
      <c r="OHA67"/>
      <c r="OHB67"/>
      <c r="OHC67"/>
      <c r="OHD67"/>
      <c r="OHE67"/>
      <c r="OHF67"/>
      <c r="OHG67"/>
      <c r="OHH67"/>
      <c r="OHI67"/>
      <c r="OHJ67"/>
      <c r="OHK67"/>
      <c r="OHL67"/>
      <c r="OHM67"/>
      <c r="OHN67"/>
      <c r="OHO67"/>
      <c r="OHP67"/>
      <c r="OHQ67"/>
      <c r="OHR67"/>
      <c r="OHS67"/>
      <c r="OHT67"/>
      <c r="OHU67"/>
      <c r="OHV67"/>
      <c r="OHW67"/>
      <c r="OHX67"/>
      <c r="OHY67"/>
      <c r="OHZ67"/>
      <c r="OIA67"/>
      <c r="OIB67"/>
      <c r="OIC67"/>
      <c r="OID67"/>
      <c r="OIE67"/>
      <c r="OIF67"/>
      <c r="OIG67"/>
      <c r="OIH67"/>
      <c r="OII67"/>
      <c r="OIJ67"/>
      <c r="OIK67"/>
      <c r="OIL67"/>
      <c r="OIM67"/>
      <c r="OIN67"/>
      <c r="OIO67"/>
      <c r="OIP67"/>
      <c r="OIQ67"/>
      <c r="OIR67"/>
      <c r="OIS67"/>
      <c r="OIT67"/>
      <c r="OIU67"/>
      <c r="OIV67"/>
      <c r="OIW67"/>
      <c r="OIX67"/>
      <c r="OIY67"/>
      <c r="OIZ67"/>
      <c r="OJA67"/>
      <c r="OJB67"/>
      <c r="OJC67"/>
      <c r="OJD67"/>
      <c r="OJE67"/>
      <c r="OJF67"/>
      <c r="OJG67"/>
      <c r="OJH67"/>
      <c r="OJI67"/>
      <c r="OJJ67"/>
      <c r="OJK67"/>
      <c r="OJL67"/>
      <c r="OJM67"/>
      <c r="OJN67"/>
      <c r="OJO67"/>
      <c r="OJP67"/>
      <c r="OJQ67"/>
      <c r="OJR67"/>
      <c r="OJS67"/>
      <c r="OJT67"/>
      <c r="OJU67"/>
      <c r="OJV67"/>
      <c r="OJW67"/>
      <c r="OJX67"/>
      <c r="OJY67"/>
      <c r="OJZ67"/>
      <c r="OKA67"/>
      <c r="OKB67"/>
      <c r="OKC67"/>
      <c r="OKD67"/>
      <c r="OKE67"/>
      <c r="OKF67"/>
      <c r="OKG67"/>
      <c r="OKH67"/>
      <c r="OKI67"/>
      <c r="OKJ67"/>
      <c r="OKK67"/>
      <c r="OKL67"/>
      <c r="OKM67"/>
      <c r="OKN67"/>
      <c r="OKO67"/>
      <c r="OKP67"/>
      <c r="OKQ67"/>
      <c r="OKR67"/>
      <c r="OKS67"/>
      <c r="OKT67"/>
      <c r="OKU67"/>
      <c r="OKV67"/>
      <c r="OKW67"/>
      <c r="OKX67"/>
      <c r="OKY67"/>
      <c r="OKZ67"/>
      <c r="OLA67"/>
      <c r="OLB67"/>
      <c r="OLC67"/>
      <c r="OLD67"/>
      <c r="OLE67"/>
      <c r="OLF67"/>
      <c r="OLG67"/>
      <c r="OLH67"/>
      <c r="OLI67"/>
      <c r="OLJ67"/>
      <c r="OLK67"/>
      <c r="OLL67"/>
      <c r="OLM67"/>
      <c r="OLN67"/>
      <c r="OLO67"/>
      <c r="OLP67"/>
      <c r="OLQ67"/>
      <c r="OLR67"/>
      <c r="OLS67"/>
      <c r="OLT67"/>
      <c r="OLU67"/>
      <c r="OLV67"/>
      <c r="OLW67"/>
      <c r="OLX67"/>
      <c r="OLY67"/>
      <c r="OLZ67"/>
      <c r="OMA67"/>
      <c r="OMB67"/>
      <c r="OMC67"/>
      <c r="OMD67"/>
      <c r="OME67"/>
      <c r="OMF67"/>
      <c r="OMG67"/>
      <c r="OMH67"/>
      <c r="OMI67"/>
      <c r="OMJ67"/>
      <c r="OMK67"/>
      <c r="OML67"/>
      <c r="OMM67"/>
      <c r="OMN67"/>
      <c r="OMO67"/>
      <c r="OMP67"/>
      <c r="OMQ67"/>
      <c r="OMR67"/>
      <c r="OMS67"/>
      <c r="OMT67"/>
      <c r="OMU67"/>
      <c r="OMV67"/>
      <c r="OMW67"/>
      <c r="OMX67"/>
      <c r="OMY67"/>
      <c r="OMZ67"/>
      <c r="ONA67"/>
      <c r="ONB67"/>
      <c r="ONC67"/>
      <c r="OND67"/>
      <c r="ONE67"/>
      <c r="ONF67"/>
      <c r="ONG67"/>
      <c r="ONH67"/>
      <c r="ONI67"/>
      <c r="ONJ67"/>
      <c r="ONK67"/>
      <c r="ONL67"/>
      <c r="ONM67"/>
      <c r="ONN67"/>
      <c r="ONO67"/>
      <c r="ONP67"/>
      <c r="ONQ67"/>
      <c r="ONR67"/>
      <c r="ONS67"/>
      <c r="ONT67"/>
      <c r="ONU67"/>
      <c r="ONV67"/>
      <c r="ONW67"/>
      <c r="ONX67"/>
      <c r="ONY67"/>
      <c r="ONZ67"/>
      <c r="OOA67"/>
      <c r="OOB67"/>
      <c r="OOC67"/>
      <c r="OOD67"/>
      <c r="OOE67"/>
      <c r="OOF67"/>
      <c r="OOG67"/>
      <c r="OOH67"/>
      <c r="OOI67"/>
      <c r="OOJ67"/>
      <c r="OOK67"/>
      <c r="OOL67"/>
      <c r="OOM67"/>
      <c r="OON67"/>
      <c r="OOO67"/>
      <c r="OOP67"/>
      <c r="OOQ67"/>
      <c r="OOR67"/>
      <c r="OOS67"/>
      <c r="OOT67"/>
      <c r="OOU67"/>
      <c r="OOV67"/>
      <c r="OOW67"/>
      <c r="OOX67"/>
      <c r="OOY67"/>
      <c r="OOZ67"/>
      <c r="OPA67"/>
      <c r="OPB67"/>
      <c r="OPC67"/>
      <c r="OPD67"/>
      <c r="OPE67"/>
      <c r="OPF67"/>
      <c r="OPG67"/>
      <c r="OPH67"/>
      <c r="OPI67"/>
      <c r="OPJ67"/>
      <c r="OPK67"/>
      <c r="OPL67"/>
      <c r="OPM67"/>
      <c r="OPN67"/>
      <c r="OPO67"/>
      <c r="OPP67"/>
      <c r="OPQ67"/>
      <c r="OPR67"/>
      <c r="OPS67"/>
      <c r="OPT67"/>
      <c r="OPU67"/>
      <c r="OPV67"/>
      <c r="OPW67"/>
      <c r="OPX67"/>
      <c r="OPY67"/>
      <c r="OPZ67"/>
      <c r="OQA67"/>
      <c r="OQB67"/>
      <c r="OQC67"/>
      <c r="OQD67"/>
      <c r="OQE67"/>
      <c r="OQF67"/>
      <c r="OQG67"/>
      <c r="OQH67"/>
      <c r="OQI67"/>
      <c r="OQJ67"/>
      <c r="OQK67"/>
      <c r="OQL67"/>
      <c r="OQM67"/>
      <c r="OQN67"/>
      <c r="OQO67"/>
      <c r="OQP67"/>
      <c r="OQQ67"/>
      <c r="OQR67"/>
      <c r="OQS67"/>
      <c r="OQT67"/>
      <c r="OQU67"/>
      <c r="OQV67"/>
      <c r="OQW67"/>
      <c r="OQX67"/>
      <c r="OQY67"/>
      <c r="OQZ67"/>
      <c r="ORA67"/>
      <c r="ORB67"/>
      <c r="ORC67"/>
      <c r="ORD67"/>
      <c r="ORE67"/>
      <c r="ORF67"/>
      <c r="ORG67"/>
      <c r="ORH67"/>
      <c r="ORI67"/>
      <c r="ORJ67"/>
      <c r="ORK67"/>
      <c r="ORL67"/>
      <c r="ORM67"/>
      <c r="ORN67"/>
      <c r="ORO67"/>
      <c r="ORP67"/>
      <c r="ORQ67"/>
      <c r="ORR67"/>
      <c r="ORS67"/>
      <c r="ORT67"/>
      <c r="ORU67"/>
      <c r="ORV67"/>
      <c r="ORW67"/>
      <c r="ORX67"/>
      <c r="ORY67"/>
      <c r="ORZ67"/>
      <c r="OSA67"/>
      <c r="OSB67"/>
      <c r="OSC67"/>
      <c r="OSD67"/>
      <c r="OSE67"/>
      <c r="OSF67"/>
      <c r="OSG67"/>
      <c r="OSH67"/>
      <c r="OSI67"/>
      <c r="OSJ67"/>
      <c r="OSK67"/>
      <c r="OSL67"/>
      <c r="OSM67"/>
      <c r="OSN67"/>
      <c r="OSO67"/>
      <c r="OSP67"/>
      <c r="OSQ67"/>
      <c r="OSR67"/>
      <c r="OSS67"/>
      <c r="OST67"/>
      <c r="OSU67"/>
      <c r="OSV67"/>
      <c r="OSW67"/>
      <c r="OSX67"/>
      <c r="OSY67"/>
      <c r="OSZ67"/>
      <c r="OTA67"/>
      <c r="OTB67"/>
      <c r="OTC67"/>
      <c r="OTD67"/>
      <c r="OTE67"/>
      <c r="OTF67"/>
      <c r="OTG67"/>
      <c r="OTH67"/>
      <c r="OTI67"/>
      <c r="OTJ67"/>
      <c r="OTK67"/>
      <c r="OTL67"/>
      <c r="OTM67"/>
      <c r="OTN67"/>
      <c r="OTO67"/>
      <c r="OTP67"/>
      <c r="OTQ67"/>
      <c r="OTR67"/>
      <c r="OTS67"/>
      <c r="OTT67"/>
      <c r="OTU67"/>
      <c r="OTV67"/>
      <c r="OTW67"/>
      <c r="OTX67"/>
      <c r="OTY67"/>
      <c r="OTZ67"/>
      <c r="OUA67"/>
      <c r="OUB67"/>
      <c r="OUC67"/>
      <c r="OUD67"/>
      <c r="OUE67"/>
      <c r="OUF67"/>
      <c r="OUG67"/>
      <c r="OUH67"/>
      <c r="OUI67"/>
      <c r="OUJ67"/>
      <c r="OUK67"/>
      <c r="OUL67"/>
      <c r="OUM67"/>
      <c r="OUN67"/>
      <c r="OUO67"/>
      <c r="OUP67"/>
      <c r="OUQ67"/>
      <c r="OUR67"/>
      <c r="OUS67"/>
      <c r="OUT67"/>
      <c r="OUU67"/>
      <c r="OUV67"/>
      <c r="OUW67"/>
      <c r="OUX67"/>
      <c r="OUY67"/>
      <c r="OUZ67"/>
      <c r="OVA67"/>
      <c r="OVB67"/>
      <c r="OVC67"/>
      <c r="OVD67"/>
      <c r="OVE67"/>
      <c r="OVF67"/>
      <c r="OVG67"/>
      <c r="OVH67"/>
      <c r="OVI67"/>
      <c r="OVJ67"/>
      <c r="OVK67"/>
      <c r="OVL67"/>
      <c r="OVM67"/>
      <c r="OVN67"/>
      <c r="OVO67"/>
      <c r="OVP67"/>
      <c r="OVQ67"/>
      <c r="OVR67"/>
      <c r="OVS67"/>
      <c r="OVT67"/>
      <c r="OVU67"/>
      <c r="OVV67"/>
      <c r="OVW67"/>
      <c r="OVX67"/>
      <c r="OVY67"/>
      <c r="OVZ67"/>
      <c r="OWA67"/>
      <c r="OWB67"/>
      <c r="OWC67"/>
      <c r="OWD67"/>
      <c r="OWE67"/>
      <c r="OWF67"/>
      <c r="OWG67"/>
      <c r="OWH67"/>
      <c r="OWI67"/>
      <c r="OWJ67"/>
      <c r="OWK67"/>
      <c r="OWL67"/>
      <c r="OWM67"/>
      <c r="OWN67"/>
      <c r="OWO67"/>
      <c r="OWP67"/>
      <c r="OWQ67"/>
      <c r="OWR67"/>
      <c r="OWS67"/>
      <c r="OWT67"/>
      <c r="OWU67"/>
      <c r="OWV67"/>
      <c r="OWW67"/>
      <c r="OWX67"/>
      <c r="OWY67"/>
      <c r="OWZ67"/>
      <c r="OXA67"/>
      <c r="OXB67"/>
      <c r="OXC67"/>
      <c r="OXD67"/>
      <c r="OXE67"/>
      <c r="OXF67"/>
      <c r="OXG67"/>
      <c r="OXH67"/>
      <c r="OXI67"/>
      <c r="OXJ67"/>
      <c r="OXK67"/>
      <c r="OXL67"/>
      <c r="OXM67"/>
      <c r="OXN67"/>
      <c r="OXO67"/>
      <c r="OXP67"/>
      <c r="OXQ67"/>
      <c r="OXR67"/>
      <c r="OXS67"/>
      <c r="OXT67"/>
      <c r="OXU67"/>
      <c r="OXV67"/>
      <c r="OXW67"/>
      <c r="OXX67"/>
      <c r="OXY67"/>
      <c r="OXZ67"/>
      <c r="OYA67"/>
      <c r="OYB67"/>
      <c r="OYC67"/>
      <c r="OYD67"/>
      <c r="OYE67"/>
      <c r="OYF67"/>
      <c r="OYG67"/>
      <c r="OYH67"/>
      <c r="OYI67"/>
      <c r="OYJ67"/>
      <c r="OYK67"/>
      <c r="OYL67"/>
      <c r="OYM67"/>
      <c r="OYN67"/>
      <c r="OYO67"/>
      <c r="OYP67"/>
      <c r="OYQ67"/>
      <c r="OYR67"/>
      <c r="OYS67"/>
      <c r="OYT67"/>
      <c r="OYU67"/>
      <c r="OYV67"/>
      <c r="OYW67"/>
      <c r="OYX67"/>
      <c r="OYY67"/>
      <c r="OYZ67"/>
      <c r="OZA67"/>
      <c r="OZB67"/>
      <c r="OZC67"/>
      <c r="OZD67"/>
      <c r="OZE67"/>
      <c r="OZF67"/>
      <c r="OZG67"/>
      <c r="OZH67"/>
      <c r="OZI67"/>
      <c r="OZJ67"/>
      <c r="OZK67"/>
      <c r="OZL67"/>
      <c r="OZM67"/>
      <c r="OZN67"/>
      <c r="OZO67"/>
      <c r="OZP67"/>
      <c r="OZQ67"/>
      <c r="OZR67"/>
      <c r="OZS67"/>
      <c r="OZT67"/>
      <c r="OZU67"/>
      <c r="OZV67"/>
      <c r="OZW67"/>
      <c r="OZX67"/>
      <c r="OZY67"/>
      <c r="OZZ67"/>
      <c r="PAA67"/>
      <c r="PAB67"/>
      <c r="PAC67"/>
      <c r="PAD67"/>
      <c r="PAE67"/>
      <c r="PAF67"/>
      <c r="PAG67"/>
      <c r="PAH67"/>
      <c r="PAI67"/>
      <c r="PAJ67"/>
      <c r="PAK67"/>
      <c r="PAL67"/>
      <c r="PAM67"/>
      <c r="PAN67"/>
      <c r="PAO67"/>
      <c r="PAP67"/>
      <c r="PAQ67"/>
      <c r="PAR67"/>
      <c r="PAS67"/>
      <c r="PAT67"/>
      <c r="PAU67"/>
      <c r="PAV67"/>
      <c r="PAW67"/>
      <c r="PAX67"/>
      <c r="PAY67"/>
      <c r="PAZ67"/>
      <c r="PBA67"/>
      <c r="PBB67"/>
      <c r="PBC67"/>
      <c r="PBD67"/>
      <c r="PBE67"/>
      <c r="PBF67"/>
      <c r="PBG67"/>
      <c r="PBH67"/>
      <c r="PBI67"/>
      <c r="PBJ67"/>
      <c r="PBK67"/>
      <c r="PBL67"/>
      <c r="PBM67"/>
      <c r="PBN67"/>
      <c r="PBO67"/>
      <c r="PBP67"/>
      <c r="PBQ67"/>
      <c r="PBR67"/>
      <c r="PBS67"/>
      <c r="PBT67"/>
      <c r="PBU67"/>
      <c r="PBV67"/>
      <c r="PBW67"/>
      <c r="PBX67"/>
      <c r="PBY67"/>
      <c r="PBZ67"/>
      <c r="PCA67"/>
      <c r="PCB67"/>
      <c r="PCC67"/>
      <c r="PCD67"/>
      <c r="PCE67"/>
      <c r="PCF67"/>
      <c r="PCG67"/>
      <c r="PCH67"/>
      <c r="PCI67"/>
      <c r="PCJ67"/>
      <c r="PCK67"/>
      <c r="PCL67"/>
      <c r="PCM67"/>
      <c r="PCN67"/>
      <c r="PCO67"/>
      <c r="PCP67"/>
      <c r="PCQ67"/>
      <c r="PCR67"/>
      <c r="PCS67"/>
      <c r="PCT67"/>
      <c r="PCU67"/>
      <c r="PCV67"/>
      <c r="PCW67"/>
      <c r="PCX67"/>
      <c r="PCY67"/>
      <c r="PCZ67"/>
      <c r="PDA67"/>
      <c r="PDB67"/>
      <c r="PDC67"/>
      <c r="PDD67"/>
      <c r="PDE67"/>
      <c r="PDF67"/>
      <c r="PDG67"/>
      <c r="PDH67"/>
      <c r="PDI67"/>
      <c r="PDJ67"/>
      <c r="PDK67"/>
      <c r="PDL67"/>
      <c r="PDM67"/>
      <c r="PDN67"/>
      <c r="PDO67"/>
      <c r="PDP67"/>
      <c r="PDQ67"/>
      <c r="PDR67"/>
      <c r="PDS67"/>
      <c r="PDT67"/>
      <c r="PDU67"/>
      <c r="PDV67"/>
      <c r="PDW67"/>
      <c r="PDX67"/>
      <c r="PDY67"/>
      <c r="PDZ67"/>
      <c r="PEA67"/>
      <c r="PEB67"/>
      <c r="PEC67"/>
      <c r="PED67"/>
      <c r="PEE67"/>
      <c r="PEF67"/>
      <c r="PEG67"/>
      <c r="PEH67"/>
      <c r="PEI67"/>
      <c r="PEJ67"/>
      <c r="PEK67"/>
      <c r="PEL67"/>
      <c r="PEM67"/>
      <c r="PEN67"/>
      <c r="PEO67"/>
      <c r="PEP67"/>
      <c r="PEQ67"/>
      <c r="PER67"/>
      <c r="PES67"/>
      <c r="PET67"/>
      <c r="PEU67"/>
      <c r="PEV67"/>
      <c r="PEW67"/>
      <c r="PEX67"/>
      <c r="PEY67"/>
      <c r="PEZ67"/>
      <c r="PFA67"/>
      <c r="PFB67"/>
      <c r="PFC67"/>
      <c r="PFD67"/>
      <c r="PFE67"/>
      <c r="PFF67"/>
      <c r="PFG67"/>
      <c r="PFH67"/>
      <c r="PFI67"/>
      <c r="PFJ67"/>
      <c r="PFK67"/>
      <c r="PFL67"/>
      <c r="PFM67"/>
      <c r="PFN67"/>
      <c r="PFO67"/>
      <c r="PFP67"/>
      <c r="PFQ67"/>
      <c r="PFR67"/>
      <c r="PFS67"/>
      <c r="PFT67"/>
      <c r="PFU67"/>
      <c r="PFV67"/>
      <c r="PFW67"/>
      <c r="PFX67"/>
      <c r="PFY67"/>
      <c r="PFZ67"/>
      <c r="PGA67"/>
      <c r="PGB67"/>
      <c r="PGC67"/>
      <c r="PGD67"/>
      <c r="PGE67"/>
      <c r="PGF67"/>
      <c r="PGG67"/>
      <c r="PGH67"/>
      <c r="PGI67"/>
      <c r="PGJ67"/>
      <c r="PGK67"/>
      <c r="PGL67"/>
      <c r="PGM67"/>
      <c r="PGN67"/>
      <c r="PGO67"/>
      <c r="PGP67"/>
      <c r="PGQ67"/>
      <c r="PGR67"/>
      <c r="PGS67"/>
      <c r="PGT67"/>
      <c r="PGU67"/>
      <c r="PGV67"/>
      <c r="PGW67"/>
      <c r="PGX67"/>
      <c r="PGY67"/>
      <c r="PGZ67"/>
      <c r="PHA67"/>
      <c r="PHB67"/>
      <c r="PHC67"/>
      <c r="PHD67"/>
      <c r="PHE67"/>
      <c r="PHF67"/>
      <c r="PHG67"/>
      <c r="PHH67"/>
      <c r="PHI67"/>
      <c r="PHJ67"/>
      <c r="PHK67"/>
      <c r="PHL67"/>
      <c r="PHM67"/>
      <c r="PHN67"/>
      <c r="PHO67"/>
      <c r="PHP67"/>
      <c r="PHQ67"/>
      <c r="PHR67"/>
      <c r="PHS67"/>
      <c r="PHT67"/>
      <c r="PHU67"/>
      <c r="PHV67"/>
      <c r="PHW67"/>
      <c r="PHX67"/>
      <c r="PHY67"/>
      <c r="PHZ67"/>
      <c r="PIA67"/>
      <c r="PIB67"/>
      <c r="PIC67"/>
      <c r="PID67"/>
      <c r="PIE67"/>
      <c r="PIF67"/>
      <c r="PIG67"/>
      <c r="PIH67"/>
      <c r="PII67"/>
      <c r="PIJ67"/>
      <c r="PIK67"/>
      <c r="PIL67"/>
      <c r="PIM67"/>
      <c r="PIN67"/>
      <c r="PIO67"/>
      <c r="PIP67"/>
      <c r="PIQ67"/>
      <c r="PIR67"/>
      <c r="PIS67"/>
      <c r="PIT67"/>
      <c r="PIU67"/>
      <c r="PIV67"/>
      <c r="PIW67"/>
      <c r="PIX67"/>
      <c r="PIY67"/>
      <c r="PIZ67"/>
      <c r="PJA67"/>
      <c r="PJB67"/>
      <c r="PJC67"/>
      <c r="PJD67"/>
      <c r="PJE67"/>
      <c r="PJF67"/>
      <c r="PJG67"/>
      <c r="PJH67"/>
      <c r="PJI67"/>
      <c r="PJJ67"/>
      <c r="PJK67"/>
      <c r="PJL67"/>
      <c r="PJM67"/>
      <c r="PJN67"/>
      <c r="PJO67"/>
      <c r="PJP67"/>
      <c r="PJQ67"/>
      <c r="PJR67"/>
      <c r="PJS67"/>
      <c r="PJT67"/>
      <c r="PJU67"/>
      <c r="PJV67"/>
      <c r="PJW67"/>
      <c r="PJX67"/>
      <c r="PJY67"/>
      <c r="PJZ67"/>
      <c r="PKA67"/>
      <c r="PKB67"/>
      <c r="PKC67"/>
      <c r="PKD67"/>
      <c r="PKE67"/>
      <c r="PKF67"/>
      <c r="PKG67"/>
      <c r="PKH67"/>
      <c r="PKI67"/>
      <c r="PKJ67"/>
      <c r="PKK67"/>
      <c r="PKL67"/>
      <c r="PKM67"/>
      <c r="PKN67"/>
      <c r="PKO67"/>
      <c r="PKP67"/>
      <c r="PKQ67"/>
      <c r="PKR67"/>
      <c r="PKS67"/>
      <c r="PKT67"/>
      <c r="PKU67"/>
      <c r="PKV67"/>
      <c r="PKW67"/>
      <c r="PKX67"/>
      <c r="PKY67"/>
      <c r="PKZ67"/>
      <c r="PLA67"/>
      <c r="PLB67"/>
      <c r="PLC67"/>
      <c r="PLD67"/>
      <c r="PLE67"/>
      <c r="PLF67"/>
      <c r="PLG67"/>
      <c r="PLH67"/>
      <c r="PLI67"/>
      <c r="PLJ67"/>
      <c r="PLK67"/>
      <c r="PLL67"/>
      <c r="PLM67"/>
      <c r="PLN67"/>
      <c r="PLO67"/>
      <c r="PLP67"/>
      <c r="PLQ67"/>
      <c r="PLR67"/>
      <c r="PLS67"/>
      <c r="PLT67"/>
      <c r="PLU67"/>
      <c r="PLV67"/>
      <c r="PLW67"/>
      <c r="PLX67"/>
      <c r="PLY67"/>
      <c r="PLZ67"/>
      <c r="PMA67"/>
      <c r="PMB67"/>
      <c r="PMC67"/>
      <c r="PMD67"/>
      <c r="PME67"/>
      <c r="PMF67"/>
      <c r="PMG67"/>
      <c r="PMH67"/>
      <c r="PMI67"/>
      <c r="PMJ67"/>
      <c r="PMK67"/>
      <c r="PML67"/>
      <c r="PMM67"/>
      <c r="PMN67"/>
      <c r="PMO67"/>
      <c r="PMP67"/>
      <c r="PMQ67"/>
      <c r="PMR67"/>
      <c r="PMS67"/>
      <c r="PMT67"/>
      <c r="PMU67"/>
      <c r="PMV67"/>
      <c r="PMW67"/>
      <c r="PMX67"/>
      <c r="PMY67"/>
      <c r="PMZ67"/>
      <c r="PNA67"/>
      <c r="PNB67"/>
      <c r="PNC67"/>
      <c r="PND67"/>
      <c r="PNE67"/>
      <c r="PNF67"/>
      <c r="PNG67"/>
      <c r="PNH67"/>
      <c r="PNI67"/>
      <c r="PNJ67"/>
      <c r="PNK67"/>
      <c r="PNL67"/>
      <c r="PNM67"/>
      <c r="PNN67"/>
      <c r="PNO67"/>
      <c r="PNP67"/>
      <c r="PNQ67"/>
      <c r="PNR67"/>
      <c r="PNS67"/>
      <c r="PNT67"/>
      <c r="PNU67"/>
      <c r="PNV67"/>
      <c r="PNW67"/>
      <c r="PNX67"/>
      <c r="PNY67"/>
      <c r="PNZ67"/>
      <c r="POA67"/>
      <c r="POB67"/>
      <c r="POC67"/>
      <c r="POD67"/>
      <c r="POE67"/>
      <c r="POF67"/>
      <c r="POG67"/>
      <c r="POH67"/>
      <c r="POI67"/>
      <c r="POJ67"/>
      <c r="POK67"/>
      <c r="POL67"/>
      <c r="POM67"/>
      <c r="PON67"/>
      <c r="POO67"/>
      <c r="POP67"/>
      <c r="POQ67"/>
      <c r="POR67"/>
      <c r="POS67"/>
      <c r="POT67"/>
      <c r="POU67"/>
      <c r="POV67"/>
      <c r="POW67"/>
      <c r="POX67"/>
      <c r="POY67"/>
      <c r="POZ67"/>
      <c r="PPA67"/>
      <c r="PPB67"/>
      <c r="PPC67"/>
      <c r="PPD67"/>
      <c r="PPE67"/>
      <c r="PPF67"/>
      <c r="PPG67"/>
      <c r="PPH67"/>
      <c r="PPI67"/>
      <c r="PPJ67"/>
      <c r="PPK67"/>
      <c r="PPL67"/>
      <c r="PPM67"/>
      <c r="PPN67"/>
      <c r="PPO67"/>
      <c r="PPP67"/>
      <c r="PPQ67"/>
      <c r="PPR67"/>
      <c r="PPS67"/>
      <c r="PPT67"/>
      <c r="PPU67"/>
      <c r="PPV67"/>
      <c r="PPW67"/>
      <c r="PPX67"/>
      <c r="PPY67"/>
      <c r="PPZ67"/>
      <c r="PQA67"/>
      <c r="PQB67"/>
      <c r="PQC67"/>
      <c r="PQD67"/>
      <c r="PQE67"/>
      <c r="PQF67"/>
      <c r="PQG67"/>
      <c r="PQH67"/>
      <c r="PQI67"/>
      <c r="PQJ67"/>
      <c r="PQK67"/>
      <c r="PQL67"/>
      <c r="PQM67"/>
      <c r="PQN67"/>
      <c r="PQO67"/>
      <c r="PQP67"/>
      <c r="PQQ67"/>
      <c r="PQR67"/>
      <c r="PQS67"/>
      <c r="PQT67"/>
      <c r="PQU67"/>
      <c r="PQV67"/>
      <c r="PQW67"/>
      <c r="PQX67"/>
      <c r="PQY67"/>
      <c r="PQZ67"/>
      <c r="PRA67"/>
      <c r="PRB67"/>
      <c r="PRC67"/>
      <c r="PRD67"/>
      <c r="PRE67"/>
      <c r="PRF67"/>
      <c r="PRG67"/>
      <c r="PRH67"/>
      <c r="PRI67"/>
      <c r="PRJ67"/>
      <c r="PRK67"/>
      <c r="PRL67"/>
      <c r="PRM67"/>
      <c r="PRN67"/>
      <c r="PRO67"/>
      <c r="PRP67"/>
      <c r="PRQ67"/>
      <c r="PRR67"/>
      <c r="PRS67"/>
      <c r="PRT67"/>
      <c r="PRU67"/>
      <c r="PRV67"/>
      <c r="PRW67"/>
      <c r="PRX67"/>
      <c r="PRY67"/>
      <c r="PRZ67"/>
      <c r="PSA67"/>
      <c r="PSB67"/>
      <c r="PSC67"/>
      <c r="PSD67"/>
      <c r="PSE67"/>
      <c r="PSF67"/>
      <c r="PSG67"/>
      <c r="PSH67"/>
      <c r="PSI67"/>
      <c r="PSJ67"/>
      <c r="PSK67"/>
      <c r="PSL67"/>
      <c r="PSM67"/>
      <c r="PSN67"/>
      <c r="PSO67"/>
      <c r="PSP67"/>
      <c r="PSQ67"/>
      <c r="PSR67"/>
      <c r="PSS67"/>
      <c r="PST67"/>
      <c r="PSU67"/>
      <c r="PSV67"/>
      <c r="PSW67"/>
      <c r="PSX67"/>
      <c r="PSY67"/>
      <c r="PSZ67"/>
      <c r="PTA67"/>
      <c r="PTB67"/>
      <c r="PTC67"/>
      <c r="PTD67"/>
      <c r="PTE67"/>
      <c r="PTF67"/>
      <c r="PTG67"/>
      <c r="PTH67"/>
      <c r="PTI67"/>
      <c r="PTJ67"/>
      <c r="PTK67"/>
      <c r="PTL67"/>
      <c r="PTM67"/>
      <c r="PTN67"/>
      <c r="PTO67"/>
      <c r="PTP67"/>
      <c r="PTQ67"/>
      <c r="PTR67"/>
      <c r="PTS67"/>
      <c r="PTT67"/>
      <c r="PTU67"/>
      <c r="PTV67"/>
      <c r="PTW67"/>
      <c r="PTX67"/>
      <c r="PTY67"/>
      <c r="PTZ67"/>
      <c r="PUA67"/>
      <c r="PUB67"/>
      <c r="PUC67"/>
      <c r="PUD67"/>
      <c r="PUE67"/>
      <c r="PUF67"/>
      <c r="PUG67"/>
      <c r="PUH67"/>
      <c r="PUI67"/>
      <c r="PUJ67"/>
      <c r="PUK67"/>
      <c r="PUL67"/>
      <c r="PUM67"/>
      <c r="PUN67"/>
      <c r="PUO67"/>
      <c r="PUP67"/>
      <c r="PUQ67"/>
      <c r="PUR67"/>
      <c r="PUS67"/>
      <c r="PUT67"/>
      <c r="PUU67"/>
      <c r="PUV67"/>
      <c r="PUW67"/>
      <c r="PUX67"/>
      <c r="PUY67"/>
      <c r="PUZ67"/>
      <c r="PVA67"/>
      <c r="PVB67"/>
      <c r="PVC67"/>
      <c r="PVD67"/>
      <c r="PVE67"/>
      <c r="PVF67"/>
      <c r="PVG67"/>
      <c r="PVH67"/>
      <c r="PVI67"/>
      <c r="PVJ67"/>
      <c r="PVK67"/>
      <c r="PVL67"/>
      <c r="PVM67"/>
      <c r="PVN67"/>
      <c r="PVO67"/>
      <c r="PVP67"/>
      <c r="PVQ67"/>
      <c r="PVR67"/>
      <c r="PVS67"/>
      <c r="PVT67"/>
      <c r="PVU67"/>
      <c r="PVV67"/>
      <c r="PVW67"/>
      <c r="PVX67"/>
      <c r="PVY67"/>
      <c r="PVZ67"/>
      <c r="PWA67"/>
      <c r="PWB67"/>
      <c r="PWC67"/>
      <c r="PWD67"/>
      <c r="PWE67"/>
      <c r="PWF67"/>
      <c r="PWG67"/>
      <c r="PWH67"/>
      <c r="PWI67"/>
      <c r="PWJ67"/>
      <c r="PWK67"/>
      <c r="PWL67"/>
      <c r="PWM67"/>
      <c r="PWN67"/>
      <c r="PWO67"/>
      <c r="PWP67"/>
      <c r="PWQ67"/>
      <c r="PWR67"/>
      <c r="PWS67"/>
      <c r="PWT67"/>
      <c r="PWU67"/>
      <c r="PWV67"/>
      <c r="PWW67"/>
      <c r="PWX67"/>
      <c r="PWY67"/>
      <c r="PWZ67"/>
      <c r="PXA67"/>
      <c r="PXB67"/>
      <c r="PXC67"/>
      <c r="PXD67"/>
      <c r="PXE67"/>
      <c r="PXF67"/>
      <c r="PXG67"/>
      <c r="PXH67"/>
      <c r="PXI67"/>
      <c r="PXJ67"/>
      <c r="PXK67"/>
      <c r="PXL67"/>
      <c r="PXM67"/>
      <c r="PXN67"/>
      <c r="PXO67"/>
      <c r="PXP67"/>
      <c r="PXQ67"/>
      <c r="PXR67"/>
      <c r="PXS67"/>
      <c r="PXT67"/>
      <c r="PXU67"/>
      <c r="PXV67"/>
      <c r="PXW67"/>
      <c r="PXX67"/>
      <c r="PXY67"/>
      <c r="PXZ67"/>
      <c r="PYA67"/>
      <c r="PYB67"/>
      <c r="PYC67"/>
      <c r="PYD67"/>
      <c r="PYE67"/>
      <c r="PYF67"/>
      <c r="PYG67"/>
      <c r="PYH67"/>
      <c r="PYI67"/>
      <c r="PYJ67"/>
      <c r="PYK67"/>
      <c r="PYL67"/>
      <c r="PYM67"/>
      <c r="PYN67"/>
      <c r="PYO67"/>
      <c r="PYP67"/>
      <c r="PYQ67"/>
      <c r="PYR67"/>
      <c r="PYS67"/>
      <c r="PYT67"/>
      <c r="PYU67"/>
      <c r="PYV67"/>
      <c r="PYW67"/>
      <c r="PYX67"/>
      <c r="PYY67"/>
      <c r="PYZ67"/>
      <c r="PZA67"/>
      <c r="PZB67"/>
      <c r="PZC67"/>
      <c r="PZD67"/>
      <c r="PZE67"/>
      <c r="PZF67"/>
      <c r="PZG67"/>
      <c r="PZH67"/>
      <c r="PZI67"/>
      <c r="PZJ67"/>
      <c r="PZK67"/>
      <c r="PZL67"/>
      <c r="PZM67"/>
      <c r="PZN67"/>
      <c r="PZO67"/>
      <c r="PZP67"/>
      <c r="PZQ67"/>
      <c r="PZR67"/>
      <c r="PZS67"/>
      <c r="PZT67"/>
      <c r="PZU67"/>
      <c r="PZV67"/>
      <c r="PZW67"/>
      <c r="PZX67"/>
      <c r="PZY67"/>
      <c r="PZZ67"/>
      <c r="QAA67"/>
      <c r="QAB67"/>
      <c r="QAC67"/>
      <c r="QAD67"/>
      <c r="QAE67"/>
      <c r="QAF67"/>
      <c r="QAG67"/>
      <c r="QAH67"/>
      <c r="QAI67"/>
      <c r="QAJ67"/>
      <c r="QAK67"/>
      <c r="QAL67"/>
      <c r="QAM67"/>
      <c r="QAN67"/>
      <c r="QAO67"/>
      <c r="QAP67"/>
      <c r="QAQ67"/>
      <c r="QAR67"/>
      <c r="QAS67"/>
      <c r="QAT67"/>
      <c r="QAU67"/>
      <c r="QAV67"/>
      <c r="QAW67"/>
      <c r="QAX67"/>
      <c r="QAY67"/>
      <c r="QAZ67"/>
      <c r="QBA67"/>
      <c r="QBB67"/>
      <c r="QBC67"/>
      <c r="QBD67"/>
      <c r="QBE67"/>
      <c r="QBF67"/>
      <c r="QBG67"/>
      <c r="QBH67"/>
      <c r="QBI67"/>
      <c r="QBJ67"/>
      <c r="QBK67"/>
      <c r="QBL67"/>
      <c r="QBM67"/>
      <c r="QBN67"/>
      <c r="QBO67"/>
      <c r="QBP67"/>
      <c r="QBQ67"/>
      <c r="QBR67"/>
      <c r="QBS67"/>
      <c r="QBT67"/>
      <c r="QBU67"/>
      <c r="QBV67"/>
      <c r="QBW67"/>
      <c r="QBX67"/>
      <c r="QBY67"/>
      <c r="QBZ67"/>
      <c r="QCA67"/>
      <c r="QCB67"/>
      <c r="QCC67"/>
      <c r="QCD67"/>
      <c r="QCE67"/>
      <c r="QCF67"/>
      <c r="QCG67"/>
      <c r="QCH67"/>
      <c r="QCI67"/>
      <c r="QCJ67"/>
      <c r="QCK67"/>
      <c r="QCL67"/>
      <c r="QCM67"/>
      <c r="QCN67"/>
      <c r="QCO67"/>
      <c r="QCP67"/>
      <c r="QCQ67"/>
      <c r="QCR67"/>
      <c r="QCS67"/>
      <c r="QCT67"/>
      <c r="QCU67"/>
      <c r="QCV67"/>
      <c r="QCW67"/>
      <c r="QCX67"/>
      <c r="QCY67"/>
      <c r="QCZ67"/>
      <c r="QDA67"/>
      <c r="QDB67"/>
      <c r="QDC67"/>
      <c r="QDD67"/>
      <c r="QDE67"/>
      <c r="QDF67"/>
      <c r="QDG67"/>
      <c r="QDH67"/>
      <c r="QDI67"/>
      <c r="QDJ67"/>
      <c r="QDK67"/>
      <c r="QDL67"/>
      <c r="QDM67"/>
      <c r="QDN67"/>
      <c r="QDO67"/>
      <c r="QDP67"/>
      <c r="QDQ67"/>
      <c r="QDR67"/>
      <c r="QDS67"/>
      <c r="QDT67"/>
      <c r="QDU67"/>
      <c r="QDV67"/>
      <c r="QDW67"/>
      <c r="QDX67"/>
      <c r="QDY67"/>
      <c r="QDZ67"/>
      <c r="QEA67"/>
      <c r="QEB67"/>
      <c r="QEC67"/>
      <c r="QED67"/>
      <c r="QEE67"/>
      <c r="QEF67"/>
      <c r="QEG67"/>
      <c r="QEH67"/>
      <c r="QEI67"/>
      <c r="QEJ67"/>
      <c r="QEK67"/>
      <c r="QEL67"/>
      <c r="QEM67"/>
      <c r="QEN67"/>
      <c r="QEO67"/>
      <c r="QEP67"/>
      <c r="QEQ67"/>
      <c r="QER67"/>
      <c r="QES67"/>
      <c r="QET67"/>
      <c r="QEU67"/>
      <c r="QEV67"/>
      <c r="QEW67"/>
      <c r="QEX67"/>
      <c r="QEY67"/>
      <c r="QEZ67"/>
      <c r="QFA67"/>
      <c r="QFB67"/>
      <c r="QFC67"/>
      <c r="QFD67"/>
      <c r="QFE67"/>
      <c r="QFF67"/>
      <c r="QFG67"/>
      <c r="QFH67"/>
      <c r="QFI67"/>
      <c r="QFJ67"/>
      <c r="QFK67"/>
      <c r="QFL67"/>
      <c r="QFM67"/>
      <c r="QFN67"/>
      <c r="QFO67"/>
      <c r="QFP67"/>
      <c r="QFQ67"/>
      <c r="QFR67"/>
      <c r="QFS67"/>
      <c r="QFT67"/>
      <c r="QFU67"/>
      <c r="QFV67"/>
      <c r="QFW67"/>
      <c r="QFX67"/>
      <c r="QFY67"/>
      <c r="QFZ67"/>
      <c r="QGA67"/>
      <c r="QGB67"/>
      <c r="QGC67"/>
      <c r="QGD67"/>
      <c r="QGE67"/>
      <c r="QGF67"/>
      <c r="QGG67"/>
      <c r="QGH67"/>
      <c r="QGI67"/>
      <c r="QGJ67"/>
      <c r="QGK67"/>
      <c r="QGL67"/>
      <c r="QGM67"/>
      <c r="QGN67"/>
      <c r="QGO67"/>
      <c r="QGP67"/>
      <c r="QGQ67"/>
      <c r="QGR67"/>
      <c r="QGS67"/>
      <c r="QGT67"/>
      <c r="QGU67"/>
      <c r="QGV67"/>
      <c r="QGW67"/>
      <c r="QGX67"/>
      <c r="QGY67"/>
      <c r="QGZ67"/>
      <c r="QHA67"/>
      <c r="QHB67"/>
      <c r="QHC67"/>
      <c r="QHD67"/>
      <c r="QHE67"/>
      <c r="QHF67"/>
      <c r="QHG67"/>
      <c r="QHH67"/>
      <c r="QHI67"/>
      <c r="QHJ67"/>
      <c r="QHK67"/>
      <c r="QHL67"/>
      <c r="QHM67"/>
      <c r="QHN67"/>
      <c r="QHO67"/>
      <c r="QHP67"/>
      <c r="QHQ67"/>
      <c r="QHR67"/>
      <c r="QHS67"/>
      <c r="QHT67"/>
      <c r="QHU67"/>
      <c r="QHV67"/>
      <c r="QHW67"/>
      <c r="QHX67"/>
      <c r="QHY67"/>
      <c r="QHZ67"/>
      <c r="QIA67"/>
      <c r="QIB67"/>
      <c r="QIC67"/>
      <c r="QID67"/>
      <c r="QIE67"/>
      <c r="QIF67"/>
      <c r="QIG67"/>
      <c r="QIH67"/>
      <c r="QII67"/>
      <c r="QIJ67"/>
      <c r="QIK67"/>
      <c r="QIL67"/>
      <c r="QIM67"/>
      <c r="QIN67"/>
      <c r="QIO67"/>
      <c r="QIP67"/>
      <c r="QIQ67"/>
      <c r="QIR67"/>
      <c r="QIS67"/>
      <c r="QIT67"/>
      <c r="QIU67"/>
      <c r="QIV67"/>
      <c r="QIW67"/>
      <c r="QIX67"/>
      <c r="QIY67"/>
      <c r="QIZ67"/>
      <c r="QJA67"/>
      <c r="QJB67"/>
      <c r="QJC67"/>
      <c r="QJD67"/>
      <c r="QJE67"/>
      <c r="QJF67"/>
      <c r="QJG67"/>
      <c r="QJH67"/>
      <c r="QJI67"/>
      <c r="QJJ67"/>
      <c r="QJK67"/>
      <c r="QJL67"/>
      <c r="QJM67"/>
      <c r="QJN67"/>
      <c r="QJO67"/>
      <c r="QJP67"/>
      <c r="QJQ67"/>
      <c r="QJR67"/>
      <c r="QJS67"/>
      <c r="QJT67"/>
      <c r="QJU67"/>
      <c r="QJV67"/>
      <c r="QJW67"/>
      <c r="QJX67"/>
      <c r="QJY67"/>
      <c r="QJZ67"/>
      <c r="QKA67"/>
      <c r="QKB67"/>
      <c r="QKC67"/>
      <c r="QKD67"/>
      <c r="QKE67"/>
      <c r="QKF67"/>
      <c r="QKG67"/>
      <c r="QKH67"/>
      <c r="QKI67"/>
      <c r="QKJ67"/>
      <c r="QKK67"/>
      <c r="QKL67"/>
      <c r="QKM67"/>
      <c r="QKN67"/>
      <c r="QKO67"/>
      <c r="QKP67"/>
      <c r="QKQ67"/>
      <c r="QKR67"/>
      <c r="QKS67"/>
      <c r="QKT67"/>
      <c r="QKU67"/>
      <c r="QKV67"/>
      <c r="QKW67"/>
      <c r="QKX67"/>
      <c r="QKY67"/>
      <c r="QKZ67"/>
      <c r="QLA67"/>
      <c r="QLB67"/>
      <c r="QLC67"/>
      <c r="QLD67"/>
      <c r="QLE67"/>
      <c r="QLF67"/>
      <c r="QLG67"/>
      <c r="QLH67"/>
      <c r="QLI67"/>
      <c r="QLJ67"/>
      <c r="QLK67"/>
      <c r="QLL67"/>
      <c r="QLM67"/>
      <c r="QLN67"/>
      <c r="QLO67"/>
      <c r="QLP67"/>
      <c r="QLQ67"/>
      <c r="QLR67"/>
      <c r="QLS67"/>
      <c r="QLT67"/>
      <c r="QLU67"/>
      <c r="QLV67"/>
      <c r="QLW67"/>
      <c r="QLX67"/>
      <c r="QLY67"/>
      <c r="QLZ67"/>
      <c r="QMA67"/>
      <c r="QMB67"/>
      <c r="QMC67"/>
      <c r="QMD67"/>
      <c r="QME67"/>
      <c r="QMF67"/>
      <c r="QMG67"/>
      <c r="QMH67"/>
      <c r="QMI67"/>
      <c r="QMJ67"/>
      <c r="QMK67"/>
      <c r="QML67"/>
      <c r="QMM67"/>
      <c r="QMN67"/>
      <c r="QMO67"/>
      <c r="QMP67"/>
      <c r="QMQ67"/>
      <c r="QMR67"/>
      <c r="QMS67"/>
      <c r="QMT67"/>
      <c r="QMU67"/>
      <c r="QMV67"/>
      <c r="QMW67"/>
      <c r="QMX67"/>
      <c r="QMY67"/>
      <c r="QMZ67"/>
      <c r="QNA67"/>
      <c r="QNB67"/>
      <c r="QNC67"/>
      <c r="QND67"/>
      <c r="QNE67"/>
      <c r="QNF67"/>
      <c r="QNG67"/>
      <c r="QNH67"/>
      <c r="QNI67"/>
      <c r="QNJ67"/>
      <c r="QNK67"/>
      <c r="QNL67"/>
      <c r="QNM67"/>
      <c r="QNN67"/>
      <c r="QNO67"/>
      <c r="QNP67"/>
      <c r="QNQ67"/>
      <c r="QNR67"/>
      <c r="QNS67"/>
      <c r="QNT67"/>
      <c r="QNU67"/>
      <c r="QNV67"/>
      <c r="QNW67"/>
      <c r="QNX67"/>
      <c r="QNY67"/>
      <c r="QNZ67"/>
      <c r="QOA67"/>
      <c r="QOB67"/>
      <c r="QOC67"/>
      <c r="QOD67"/>
      <c r="QOE67"/>
      <c r="QOF67"/>
      <c r="QOG67"/>
      <c r="QOH67"/>
      <c r="QOI67"/>
      <c r="QOJ67"/>
      <c r="QOK67"/>
      <c r="QOL67"/>
      <c r="QOM67"/>
      <c r="QON67"/>
      <c r="QOO67"/>
      <c r="QOP67"/>
      <c r="QOQ67"/>
      <c r="QOR67"/>
      <c r="QOS67"/>
      <c r="QOT67"/>
      <c r="QOU67"/>
      <c r="QOV67"/>
      <c r="QOW67"/>
      <c r="QOX67"/>
      <c r="QOY67"/>
      <c r="QOZ67"/>
      <c r="QPA67"/>
      <c r="QPB67"/>
      <c r="QPC67"/>
      <c r="QPD67"/>
      <c r="QPE67"/>
      <c r="QPF67"/>
      <c r="QPG67"/>
      <c r="QPH67"/>
      <c r="QPI67"/>
      <c r="QPJ67"/>
      <c r="QPK67"/>
      <c r="QPL67"/>
      <c r="QPM67"/>
      <c r="QPN67"/>
      <c r="QPO67"/>
      <c r="QPP67"/>
      <c r="QPQ67"/>
      <c r="QPR67"/>
      <c r="QPS67"/>
      <c r="QPT67"/>
      <c r="QPU67"/>
      <c r="QPV67"/>
      <c r="QPW67"/>
      <c r="QPX67"/>
      <c r="QPY67"/>
      <c r="QPZ67"/>
      <c r="QQA67"/>
      <c r="QQB67"/>
      <c r="QQC67"/>
      <c r="QQD67"/>
      <c r="QQE67"/>
      <c r="QQF67"/>
      <c r="QQG67"/>
      <c r="QQH67"/>
      <c r="QQI67"/>
      <c r="QQJ67"/>
      <c r="QQK67"/>
      <c r="QQL67"/>
      <c r="QQM67"/>
      <c r="QQN67"/>
      <c r="QQO67"/>
      <c r="QQP67"/>
      <c r="QQQ67"/>
      <c r="QQR67"/>
      <c r="QQS67"/>
      <c r="QQT67"/>
      <c r="QQU67"/>
      <c r="QQV67"/>
      <c r="QQW67"/>
      <c r="QQX67"/>
      <c r="QQY67"/>
      <c r="QQZ67"/>
      <c r="QRA67"/>
      <c r="QRB67"/>
      <c r="QRC67"/>
      <c r="QRD67"/>
      <c r="QRE67"/>
      <c r="QRF67"/>
      <c r="QRG67"/>
      <c r="QRH67"/>
      <c r="QRI67"/>
      <c r="QRJ67"/>
      <c r="QRK67"/>
      <c r="QRL67"/>
      <c r="QRM67"/>
      <c r="QRN67"/>
      <c r="QRO67"/>
      <c r="QRP67"/>
      <c r="QRQ67"/>
      <c r="QRR67"/>
      <c r="QRS67"/>
      <c r="QRT67"/>
      <c r="QRU67"/>
      <c r="QRV67"/>
      <c r="QRW67"/>
      <c r="QRX67"/>
      <c r="QRY67"/>
      <c r="QRZ67"/>
      <c r="QSA67"/>
      <c r="QSB67"/>
      <c r="QSC67"/>
      <c r="QSD67"/>
      <c r="QSE67"/>
      <c r="QSF67"/>
      <c r="QSG67"/>
      <c r="QSH67"/>
      <c r="QSI67"/>
      <c r="QSJ67"/>
      <c r="QSK67"/>
      <c r="QSL67"/>
      <c r="QSM67"/>
      <c r="QSN67"/>
      <c r="QSO67"/>
      <c r="QSP67"/>
      <c r="QSQ67"/>
      <c r="QSR67"/>
      <c r="QSS67"/>
      <c r="QST67"/>
      <c r="QSU67"/>
      <c r="QSV67"/>
      <c r="QSW67"/>
      <c r="QSX67"/>
      <c r="QSY67"/>
      <c r="QSZ67"/>
      <c r="QTA67"/>
      <c r="QTB67"/>
      <c r="QTC67"/>
      <c r="QTD67"/>
      <c r="QTE67"/>
      <c r="QTF67"/>
      <c r="QTG67"/>
      <c r="QTH67"/>
      <c r="QTI67"/>
      <c r="QTJ67"/>
      <c r="QTK67"/>
      <c r="QTL67"/>
      <c r="QTM67"/>
      <c r="QTN67"/>
      <c r="QTO67"/>
      <c r="QTP67"/>
      <c r="QTQ67"/>
      <c r="QTR67"/>
      <c r="QTS67"/>
      <c r="QTT67"/>
      <c r="QTU67"/>
      <c r="QTV67"/>
      <c r="QTW67"/>
      <c r="QTX67"/>
      <c r="QTY67"/>
      <c r="QTZ67"/>
      <c r="QUA67"/>
      <c r="QUB67"/>
      <c r="QUC67"/>
      <c r="QUD67"/>
      <c r="QUE67"/>
      <c r="QUF67"/>
      <c r="QUG67"/>
      <c r="QUH67"/>
      <c r="QUI67"/>
      <c r="QUJ67"/>
      <c r="QUK67"/>
      <c r="QUL67"/>
      <c r="QUM67"/>
      <c r="QUN67"/>
      <c r="QUO67"/>
      <c r="QUP67"/>
      <c r="QUQ67"/>
      <c r="QUR67"/>
      <c r="QUS67"/>
      <c r="QUT67"/>
      <c r="QUU67"/>
      <c r="QUV67"/>
      <c r="QUW67"/>
      <c r="QUX67"/>
      <c r="QUY67"/>
      <c r="QUZ67"/>
      <c r="QVA67"/>
      <c r="QVB67"/>
      <c r="QVC67"/>
      <c r="QVD67"/>
      <c r="QVE67"/>
      <c r="QVF67"/>
      <c r="QVG67"/>
      <c r="QVH67"/>
      <c r="QVI67"/>
      <c r="QVJ67"/>
      <c r="QVK67"/>
      <c r="QVL67"/>
      <c r="QVM67"/>
      <c r="QVN67"/>
      <c r="QVO67"/>
      <c r="QVP67"/>
      <c r="QVQ67"/>
      <c r="QVR67"/>
      <c r="QVS67"/>
      <c r="QVT67"/>
      <c r="QVU67"/>
      <c r="QVV67"/>
      <c r="QVW67"/>
      <c r="QVX67"/>
      <c r="QVY67"/>
      <c r="QVZ67"/>
      <c r="QWA67"/>
      <c r="QWB67"/>
      <c r="QWC67"/>
      <c r="QWD67"/>
      <c r="QWE67"/>
      <c r="QWF67"/>
      <c r="QWG67"/>
      <c r="QWH67"/>
      <c r="QWI67"/>
      <c r="QWJ67"/>
      <c r="QWK67"/>
      <c r="QWL67"/>
      <c r="QWM67"/>
      <c r="QWN67"/>
      <c r="QWO67"/>
      <c r="QWP67"/>
      <c r="QWQ67"/>
      <c r="QWR67"/>
      <c r="QWS67"/>
      <c r="QWT67"/>
      <c r="QWU67"/>
      <c r="QWV67"/>
      <c r="QWW67"/>
      <c r="QWX67"/>
      <c r="QWY67"/>
      <c r="QWZ67"/>
      <c r="QXA67"/>
      <c r="QXB67"/>
      <c r="QXC67"/>
      <c r="QXD67"/>
      <c r="QXE67"/>
      <c r="QXF67"/>
      <c r="QXG67"/>
      <c r="QXH67"/>
      <c r="QXI67"/>
      <c r="QXJ67"/>
      <c r="QXK67"/>
      <c r="QXL67"/>
      <c r="QXM67"/>
      <c r="QXN67"/>
      <c r="QXO67"/>
      <c r="QXP67"/>
      <c r="QXQ67"/>
      <c r="QXR67"/>
      <c r="QXS67"/>
      <c r="QXT67"/>
      <c r="QXU67"/>
      <c r="QXV67"/>
      <c r="QXW67"/>
      <c r="QXX67"/>
      <c r="QXY67"/>
      <c r="QXZ67"/>
      <c r="QYA67"/>
      <c r="QYB67"/>
      <c r="QYC67"/>
      <c r="QYD67"/>
      <c r="QYE67"/>
      <c r="QYF67"/>
      <c r="QYG67"/>
      <c r="QYH67"/>
      <c r="QYI67"/>
      <c r="QYJ67"/>
      <c r="QYK67"/>
      <c r="QYL67"/>
      <c r="QYM67"/>
      <c r="QYN67"/>
      <c r="QYO67"/>
      <c r="QYP67"/>
      <c r="QYQ67"/>
      <c r="QYR67"/>
      <c r="QYS67"/>
      <c r="QYT67"/>
      <c r="QYU67"/>
      <c r="QYV67"/>
      <c r="QYW67"/>
      <c r="QYX67"/>
      <c r="QYY67"/>
      <c r="QYZ67"/>
      <c r="QZA67"/>
      <c r="QZB67"/>
      <c r="QZC67"/>
      <c r="QZD67"/>
      <c r="QZE67"/>
      <c r="QZF67"/>
      <c r="QZG67"/>
      <c r="QZH67"/>
      <c r="QZI67"/>
      <c r="QZJ67"/>
      <c r="QZK67"/>
      <c r="QZL67"/>
      <c r="QZM67"/>
      <c r="QZN67"/>
      <c r="QZO67"/>
      <c r="QZP67"/>
      <c r="QZQ67"/>
      <c r="QZR67"/>
      <c r="QZS67"/>
      <c r="QZT67"/>
      <c r="QZU67"/>
      <c r="QZV67"/>
      <c r="QZW67"/>
      <c r="QZX67"/>
      <c r="QZY67"/>
      <c r="QZZ67"/>
      <c r="RAA67"/>
      <c r="RAB67"/>
      <c r="RAC67"/>
      <c r="RAD67"/>
      <c r="RAE67"/>
      <c r="RAF67"/>
      <c r="RAG67"/>
      <c r="RAH67"/>
      <c r="RAI67"/>
      <c r="RAJ67"/>
      <c r="RAK67"/>
      <c r="RAL67"/>
      <c r="RAM67"/>
      <c r="RAN67"/>
      <c r="RAO67"/>
      <c r="RAP67"/>
      <c r="RAQ67"/>
      <c r="RAR67"/>
      <c r="RAS67"/>
      <c r="RAT67"/>
      <c r="RAU67"/>
      <c r="RAV67"/>
      <c r="RAW67"/>
      <c r="RAX67"/>
      <c r="RAY67"/>
      <c r="RAZ67"/>
      <c r="RBA67"/>
      <c r="RBB67"/>
      <c r="RBC67"/>
      <c r="RBD67"/>
      <c r="RBE67"/>
      <c r="RBF67"/>
      <c r="RBG67"/>
      <c r="RBH67"/>
      <c r="RBI67"/>
      <c r="RBJ67"/>
      <c r="RBK67"/>
      <c r="RBL67"/>
      <c r="RBM67"/>
      <c r="RBN67"/>
      <c r="RBO67"/>
      <c r="RBP67"/>
      <c r="RBQ67"/>
      <c r="RBR67"/>
      <c r="RBS67"/>
      <c r="RBT67"/>
      <c r="RBU67"/>
      <c r="RBV67"/>
      <c r="RBW67"/>
      <c r="RBX67"/>
      <c r="RBY67"/>
      <c r="RBZ67"/>
      <c r="RCA67"/>
      <c r="RCB67"/>
      <c r="RCC67"/>
      <c r="RCD67"/>
      <c r="RCE67"/>
      <c r="RCF67"/>
      <c r="RCG67"/>
      <c r="RCH67"/>
      <c r="RCI67"/>
      <c r="RCJ67"/>
      <c r="RCK67"/>
      <c r="RCL67"/>
      <c r="RCM67"/>
      <c r="RCN67"/>
      <c r="RCO67"/>
      <c r="RCP67"/>
      <c r="RCQ67"/>
      <c r="RCR67"/>
      <c r="RCS67"/>
      <c r="RCT67"/>
      <c r="RCU67"/>
      <c r="RCV67"/>
      <c r="RCW67"/>
      <c r="RCX67"/>
      <c r="RCY67"/>
      <c r="RCZ67"/>
      <c r="RDA67"/>
      <c r="RDB67"/>
      <c r="RDC67"/>
      <c r="RDD67"/>
      <c r="RDE67"/>
      <c r="RDF67"/>
      <c r="RDG67"/>
      <c r="RDH67"/>
      <c r="RDI67"/>
      <c r="RDJ67"/>
      <c r="RDK67"/>
      <c r="RDL67"/>
      <c r="RDM67"/>
      <c r="RDN67"/>
      <c r="RDO67"/>
      <c r="RDP67"/>
      <c r="RDQ67"/>
      <c r="RDR67"/>
      <c r="RDS67"/>
      <c r="RDT67"/>
      <c r="RDU67"/>
      <c r="RDV67"/>
      <c r="RDW67"/>
      <c r="RDX67"/>
      <c r="RDY67"/>
      <c r="RDZ67"/>
      <c r="REA67"/>
      <c r="REB67"/>
      <c r="REC67"/>
      <c r="RED67"/>
      <c r="REE67"/>
      <c r="REF67"/>
      <c r="REG67"/>
      <c r="REH67"/>
      <c r="REI67"/>
      <c r="REJ67"/>
      <c r="REK67"/>
      <c r="REL67"/>
      <c r="REM67"/>
      <c r="REN67"/>
      <c r="REO67"/>
      <c r="REP67"/>
      <c r="REQ67"/>
      <c r="RER67"/>
      <c r="RES67"/>
      <c r="RET67"/>
      <c r="REU67"/>
      <c r="REV67"/>
      <c r="REW67"/>
      <c r="REX67"/>
      <c r="REY67"/>
      <c r="REZ67"/>
      <c r="RFA67"/>
      <c r="RFB67"/>
      <c r="RFC67"/>
      <c r="RFD67"/>
      <c r="RFE67"/>
      <c r="RFF67"/>
      <c r="RFG67"/>
      <c r="RFH67"/>
      <c r="RFI67"/>
      <c r="RFJ67"/>
      <c r="RFK67"/>
      <c r="RFL67"/>
      <c r="RFM67"/>
      <c r="RFN67"/>
      <c r="RFO67"/>
      <c r="RFP67"/>
      <c r="RFQ67"/>
      <c r="RFR67"/>
      <c r="RFS67"/>
      <c r="RFT67"/>
      <c r="RFU67"/>
      <c r="RFV67"/>
      <c r="RFW67"/>
      <c r="RFX67"/>
      <c r="RFY67"/>
      <c r="RFZ67"/>
      <c r="RGA67"/>
      <c r="RGB67"/>
      <c r="RGC67"/>
      <c r="RGD67"/>
      <c r="RGE67"/>
      <c r="RGF67"/>
      <c r="RGG67"/>
      <c r="RGH67"/>
      <c r="RGI67"/>
      <c r="RGJ67"/>
      <c r="RGK67"/>
      <c r="RGL67"/>
      <c r="RGM67"/>
      <c r="RGN67"/>
      <c r="RGO67"/>
      <c r="RGP67"/>
      <c r="RGQ67"/>
      <c r="RGR67"/>
      <c r="RGS67"/>
      <c r="RGT67"/>
      <c r="RGU67"/>
      <c r="RGV67"/>
      <c r="RGW67"/>
      <c r="RGX67"/>
      <c r="RGY67"/>
      <c r="RGZ67"/>
      <c r="RHA67"/>
      <c r="RHB67"/>
      <c r="RHC67"/>
      <c r="RHD67"/>
      <c r="RHE67"/>
      <c r="RHF67"/>
      <c r="RHG67"/>
      <c r="RHH67"/>
      <c r="RHI67"/>
      <c r="RHJ67"/>
      <c r="RHK67"/>
      <c r="RHL67"/>
      <c r="RHM67"/>
      <c r="RHN67"/>
      <c r="RHO67"/>
      <c r="RHP67"/>
      <c r="RHQ67"/>
      <c r="RHR67"/>
      <c r="RHS67"/>
      <c r="RHT67"/>
      <c r="RHU67"/>
      <c r="RHV67"/>
      <c r="RHW67"/>
      <c r="RHX67"/>
      <c r="RHY67"/>
      <c r="RHZ67"/>
      <c r="RIA67"/>
      <c r="RIB67"/>
      <c r="RIC67"/>
      <c r="RID67"/>
      <c r="RIE67"/>
      <c r="RIF67"/>
      <c r="RIG67"/>
      <c r="RIH67"/>
      <c r="RII67"/>
      <c r="RIJ67"/>
      <c r="RIK67"/>
      <c r="RIL67"/>
      <c r="RIM67"/>
      <c r="RIN67"/>
      <c r="RIO67"/>
      <c r="RIP67"/>
      <c r="RIQ67"/>
      <c r="RIR67"/>
      <c r="RIS67"/>
      <c r="RIT67"/>
      <c r="RIU67"/>
      <c r="RIV67"/>
      <c r="RIW67"/>
      <c r="RIX67"/>
      <c r="RIY67"/>
      <c r="RIZ67"/>
      <c r="RJA67"/>
      <c r="RJB67"/>
      <c r="RJC67"/>
      <c r="RJD67"/>
      <c r="RJE67"/>
      <c r="RJF67"/>
      <c r="RJG67"/>
      <c r="RJH67"/>
      <c r="RJI67"/>
      <c r="RJJ67"/>
      <c r="RJK67"/>
      <c r="RJL67"/>
      <c r="RJM67"/>
      <c r="RJN67"/>
      <c r="RJO67"/>
      <c r="RJP67"/>
      <c r="RJQ67"/>
      <c r="RJR67"/>
      <c r="RJS67"/>
      <c r="RJT67"/>
      <c r="RJU67"/>
      <c r="RJV67"/>
      <c r="RJW67"/>
      <c r="RJX67"/>
      <c r="RJY67"/>
      <c r="RJZ67"/>
      <c r="RKA67"/>
      <c r="RKB67"/>
      <c r="RKC67"/>
      <c r="RKD67"/>
      <c r="RKE67"/>
      <c r="RKF67"/>
      <c r="RKG67"/>
      <c r="RKH67"/>
      <c r="RKI67"/>
      <c r="RKJ67"/>
      <c r="RKK67"/>
      <c r="RKL67"/>
      <c r="RKM67"/>
      <c r="RKN67"/>
      <c r="RKO67"/>
      <c r="RKP67"/>
      <c r="RKQ67"/>
      <c r="RKR67"/>
      <c r="RKS67"/>
      <c r="RKT67"/>
      <c r="RKU67"/>
      <c r="RKV67"/>
      <c r="RKW67"/>
      <c r="RKX67"/>
      <c r="RKY67"/>
      <c r="RKZ67"/>
      <c r="RLA67"/>
      <c r="RLB67"/>
      <c r="RLC67"/>
      <c r="RLD67"/>
      <c r="RLE67"/>
      <c r="RLF67"/>
      <c r="RLG67"/>
      <c r="RLH67"/>
      <c r="RLI67"/>
      <c r="RLJ67"/>
      <c r="RLK67"/>
      <c r="RLL67"/>
      <c r="RLM67"/>
      <c r="RLN67"/>
      <c r="RLO67"/>
      <c r="RLP67"/>
      <c r="RLQ67"/>
      <c r="RLR67"/>
      <c r="RLS67"/>
      <c r="RLT67"/>
      <c r="RLU67"/>
      <c r="RLV67"/>
      <c r="RLW67"/>
      <c r="RLX67"/>
      <c r="RLY67"/>
      <c r="RLZ67"/>
      <c r="RMA67"/>
      <c r="RMB67"/>
      <c r="RMC67"/>
      <c r="RMD67"/>
      <c r="RME67"/>
      <c r="RMF67"/>
      <c r="RMG67"/>
      <c r="RMH67"/>
      <c r="RMI67"/>
      <c r="RMJ67"/>
      <c r="RMK67"/>
      <c r="RML67"/>
      <c r="RMM67"/>
      <c r="RMN67"/>
      <c r="RMO67"/>
      <c r="RMP67"/>
      <c r="RMQ67"/>
      <c r="RMR67"/>
      <c r="RMS67"/>
      <c r="RMT67"/>
      <c r="RMU67"/>
      <c r="RMV67"/>
      <c r="RMW67"/>
      <c r="RMX67"/>
      <c r="RMY67"/>
      <c r="RMZ67"/>
      <c r="RNA67"/>
      <c r="RNB67"/>
      <c r="RNC67"/>
      <c r="RND67"/>
      <c r="RNE67"/>
      <c r="RNF67"/>
      <c r="RNG67"/>
      <c r="RNH67"/>
      <c r="RNI67"/>
      <c r="RNJ67"/>
      <c r="RNK67"/>
      <c r="RNL67"/>
      <c r="RNM67"/>
      <c r="RNN67"/>
      <c r="RNO67"/>
      <c r="RNP67"/>
      <c r="RNQ67"/>
      <c r="RNR67"/>
      <c r="RNS67"/>
      <c r="RNT67"/>
      <c r="RNU67"/>
      <c r="RNV67"/>
      <c r="RNW67"/>
      <c r="RNX67"/>
      <c r="RNY67"/>
      <c r="RNZ67"/>
      <c r="ROA67"/>
      <c r="ROB67"/>
      <c r="ROC67"/>
      <c r="ROD67"/>
      <c r="ROE67"/>
      <c r="ROF67"/>
      <c r="ROG67"/>
      <c r="ROH67"/>
      <c r="ROI67"/>
      <c r="ROJ67"/>
      <c r="ROK67"/>
      <c r="ROL67"/>
      <c r="ROM67"/>
      <c r="RON67"/>
      <c r="ROO67"/>
      <c r="ROP67"/>
      <c r="ROQ67"/>
      <c r="ROR67"/>
      <c r="ROS67"/>
      <c r="ROT67"/>
      <c r="ROU67"/>
      <c r="ROV67"/>
      <c r="ROW67"/>
      <c r="ROX67"/>
      <c r="ROY67"/>
      <c r="ROZ67"/>
      <c r="RPA67"/>
      <c r="RPB67"/>
      <c r="RPC67"/>
      <c r="RPD67"/>
      <c r="RPE67"/>
      <c r="RPF67"/>
      <c r="RPG67"/>
      <c r="RPH67"/>
      <c r="RPI67"/>
      <c r="RPJ67"/>
      <c r="RPK67"/>
      <c r="RPL67"/>
      <c r="RPM67"/>
      <c r="RPN67"/>
      <c r="RPO67"/>
      <c r="RPP67"/>
      <c r="RPQ67"/>
      <c r="RPR67"/>
      <c r="RPS67"/>
      <c r="RPT67"/>
      <c r="RPU67"/>
      <c r="RPV67"/>
      <c r="RPW67"/>
      <c r="RPX67"/>
      <c r="RPY67"/>
      <c r="RPZ67"/>
      <c r="RQA67"/>
      <c r="RQB67"/>
      <c r="RQC67"/>
      <c r="RQD67"/>
      <c r="RQE67"/>
      <c r="RQF67"/>
      <c r="RQG67"/>
      <c r="RQH67"/>
      <c r="RQI67"/>
      <c r="RQJ67"/>
      <c r="RQK67"/>
      <c r="RQL67"/>
      <c r="RQM67"/>
      <c r="RQN67"/>
      <c r="RQO67"/>
      <c r="RQP67"/>
      <c r="RQQ67"/>
      <c r="RQR67"/>
      <c r="RQS67"/>
      <c r="RQT67"/>
      <c r="RQU67"/>
      <c r="RQV67"/>
      <c r="RQW67"/>
      <c r="RQX67"/>
      <c r="RQY67"/>
      <c r="RQZ67"/>
      <c r="RRA67"/>
      <c r="RRB67"/>
      <c r="RRC67"/>
      <c r="RRD67"/>
      <c r="RRE67"/>
      <c r="RRF67"/>
      <c r="RRG67"/>
      <c r="RRH67"/>
      <c r="RRI67"/>
      <c r="RRJ67"/>
      <c r="RRK67"/>
      <c r="RRL67"/>
      <c r="RRM67"/>
      <c r="RRN67"/>
      <c r="RRO67"/>
      <c r="RRP67"/>
      <c r="RRQ67"/>
      <c r="RRR67"/>
      <c r="RRS67"/>
      <c r="RRT67"/>
      <c r="RRU67"/>
      <c r="RRV67"/>
      <c r="RRW67"/>
      <c r="RRX67"/>
      <c r="RRY67"/>
      <c r="RRZ67"/>
      <c r="RSA67"/>
      <c r="RSB67"/>
      <c r="RSC67"/>
      <c r="RSD67"/>
      <c r="RSE67"/>
      <c r="RSF67"/>
      <c r="RSG67"/>
      <c r="RSH67"/>
      <c r="RSI67"/>
      <c r="RSJ67"/>
      <c r="RSK67"/>
      <c r="RSL67"/>
      <c r="RSM67"/>
      <c r="RSN67"/>
      <c r="RSO67"/>
      <c r="RSP67"/>
      <c r="RSQ67"/>
      <c r="RSR67"/>
      <c r="RSS67"/>
      <c r="RST67"/>
      <c r="RSU67"/>
      <c r="RSV67"/>
      <c r="RSW67"/>
      <c r="RSX67"/>
      <c r="RSY67"/>
      <c r="RSZ67"/>
      <c r="RTA67"/>
      <c r="RTB67"/>
      <c r="RTC67"/>
      <c r="RTD67"/>
      <c r="RTE67"/>
      <c r="RTF67"/>
      <c r="RTG67"/>
      <c r="RTH67"/>
      <c r="RTI67"/>
      <c r="RTJ67"/>
      <c r="RTK67"/>
      <c r="RTL67"/>
      <c r="RTM67"/>
      <c r="RTN67"/>
      <c r="RTO67"/>
      <c r="RTP67"/>
      <c r="RTQ67"/>
      <c r="RTR67"/>
      <c r="RTS67"/>
      <c r="RTT67"/>
      <c r="RTU67"/>
      <c r="RTV67"/>
      <c r="RTW67"/>
      <c r="RTX67"/>
      <c r="RTY67"/>
      <c r="RTZ67"/>
      <c r="RUA67"/>
      <c r="RUB67"/>
      <c r="RUC67"/>
      <c r="RUD67"/>
      <c r="RUE67"/>
      <c r="RUF67"/>
      <c r="RUG67"/>
      <c r="RUH67"/>
      <c r="RUI67"/>
      <c r="RUJ67"/>
      <c r="RUK67"/>
      <c r="RUL67"/>
      <c r="RUM67"/>
      <c r="RUN67"/>
      <c r="RUO67"/>
      <c r="RUP67"/>
      <c r="RUQ67"/>
      <c r="RUR67"/>
      <c r="RUS67"/>
      <c r="RUT67"/>
      <c r="RUU67"/>
      <c r="RUV67"/>
      <c r="RUW67"/>
      <c r="RUX67"/>
      <c r="RUY67"/>
      <c r="RUZ67"/>
      <c r="RVA67"/>
      <c r="RVB67"/>
      <c r="RVC67"/>
      <c r="RVD67"/>
      <c r="RVE67"/>
      <c r="RVF67"/>
      <c r="RVG67"/>
      <c r="RVH67"/>
      <c r="RVI67"/>
      <c r="RVJ67"/>
      <c r="RVK67"/>
      <c r="RVL67"/>
      <c r="RVM67"/>
      <c r="RVN67"/>
      <c r="RVO67"/>
      <c r="RVP67"/>
      <c r="RVQ67"/>
      <c r="RVR67"/>
      <c r="RVS67"/>
      <c r="RVT67"/>
      <c r="RVU67"/>
      <c r="RVV67"/>
      <c r="RVW67"/>
      <c r="RVX67"/>
      <c r="RVY67"/>
      <c r="RVZ67"/>
      <c r="RWA67"/>
      <c r="RWB67"/>
      <c r="RWC67"/>
      <c r="RWD67"/>
      <c r="RWE67"/>
      <c r="RWF67"/>
      <c r="RWG67"/>
      <c r="RWH67"/>
      <c r="RWI67"/>
      <c r="RWJ67"/>
      <c r="RWK67"/>
      <c r="RWL67"/>
      <c r="RWM67"/>
      <c r="RWN67"/>
      <c r="RWO67"/>
      <c r="RWP67"/>
      <c r="RWQ67"/>
      <c r="RWR67"/>
      <c r="RWS67"/>
      <c r="RWT67"/>
      <c r="RWU67"/>
      <c r="RWV67"/>
      <c r="RWW67"/>
      <c r="RWX67"/>
      <c r="RWY67"/>
      <c r="RWZ67"/>
      <c r="RXA67"/>
      <c r="RXB67"/>
      <c r="RXC67"/>
      <c r="RXD67"/>
      <c r="RXE67"/>
      <c r="RXF67"/>
      <c r="RXG67"/>
      <c r="RXH67"/>
      <c r="RXI67"/>
      <c r="RXJ67"/>
      <c r="RXK67"/>
      <c r="RXL67"/>
      <c r="RXM67"/>
      <c r="RXN67"/>
      <c r="RXO67"/>
      <c r="RXP67"/>
      <c r="RXQ67"/>
      <c r="RXR67"/>
      <c r="RXS67"/>
      <c r="RXT67"/>
      <c r="RXU67"/>
      <c r="RXV67"/>
      <c r="RXW67"/>
      <c r="RXX67"/>
      <c r="RXY67"/>
      <c r="RXZ67"/>
      <c r="RYA67"/>
      <c r="RYB67"/>
      <c r="RYC67"/>
      <c r="RYD67"/>
      <c r="RYE67"/>
      <c r="RYF67"/>
      <c r="RYG67"/>
      <c r="RYH67"/>
      <c r="RYI67"/>
      <c r="RYJ67"/>
      <c r="RYK67"/>
      <c r="RYL67"/>
      <c r="RYM67"/>
      <c r="RYN67"/>
      <c r="RYO67"/>
      <c r="RYP67"/>
      <c r="RYQ67"/>
      <c r="RYR67"/>
      <c r="RYS67"/>
      <c r="RYT67"/>
      <c r="RYU67"/>
      <c r="RYV67"/>
      <c r="RYW67"/>
      <c r="RYX67"/>
      <c r="RYY67"/>
      <c r="RYZ67"/>
      <c r="RZA67"/>
      <c r="RZB67"/>
      <c r="RZC67"/>
      <c r="RZD67"/>
      <c r="RZE67"/>
      <c r="RZF67"/>
      <c r="RZG67"/>
      <c r="RZH67"/>
      <c r="RZI67"/>
      <c r="RZJ67"/>
      <c r="RZK67"/>
      <c r="RZL67"/>
      <c r="RZM67"/>
      <c r="RZN67"/>
      <c r="RZO67"/>
      <c r="RZP67"/>
      <c r="RZQ67"/>
      <c r="RZR67"/>
      <c r="RZS67"/>
      <c r="RZT67"/>
      <c r="RZU67"/>
      <c r="RZV67"/>
      <c r="RZW67"/>
      <c r="RZX67"/>
      <c r="RZY67"/>
      <c r="RZZ67"/>
      <c r="SAA67"/>
      <c r="SAB67"/>
      <c r="SAC67"/>
      <c r="SAD67"/>
      <c r="SAE67"/>
      <c r="SAF67"/>
      <c r="SAG67"/>
      <c r="SAH67"/>
      <c r="SAI67"/>
      <c r="SAJ67"/>
      <c r="SAK67"/>
      <c r="SAL67"/>
      <c r="SAM67"/>
      <c r="SAN67"/>
      <c r="SAO67"/>
      <c r="SAP67"/>
      <c r="SAQ67"/>
      <c r="SAR67"/>
      <c r="SAS67"/>
      <c r="SAT67"/>
      <c r="SAU67"/>
      <c r="SAV67"/>
      <c r="SAW67"/>
      <c r="SAX67"/>
      <c r="SAY67"/>
      <c r="SAZ67"/>
      <c r="SBA67"/>
      <c r="SBB67"/>
      <c r="SBC67"/>
      <c r="SBD67"/>
      <c r="SBE67"/>
      <c r="SBF67"/>
      <c r="SBG67"/>
      <c r="SBH67"/>
      <c r="SBI67"/>
      <c r="SBJ67"/>
      <c r="SBK67"/>
      <c r="SBL67"/>
      <c r="SBM67"/>
      <c r="SBN67"/>
      <c r="SBO67"/>
      <c r="SBP67"/>
      <c r="SBQ67"/>
      <c r="SBR67"/>
      <c r="SBS67"/>
      <c r="SBT67"/>
      <c r="SBU67"/>
      <c r="SBV67"/>
      <c r="SBW67"/>
      <c r="SBX67"/>
      <c r="SBY67"/>
      <c r="SBZ67"/>
      <c r="SCA67"/>
      <c r="SCB67"/>
      <c r="SCC67"/>
      <c r="SCD67"/>
      <c r="SCE67"/>
      <c r="SCF67"/>
      <c r="SCG67"/>
      <c r="SCH67"/>
      <c r="SCI67"/>
      <c r="SCJ67"/>
      <c r="SCK67"/>
      <c r="SCL67"/>
      <c r="SCM67"/>
      <c r="SCN67"/>
      <c r="SCO67"/>
      <c r="SCP67"/>
      <c r="SCQ67"/>
      <c r="SCR67"/>
      <c r="SCS67"/>
      <c r="SCT67"/>
      <c r="SCU67"/>
      <c r="SCV67"/>
      <c r="SCW67"/>
      <c r="SCX67"/>
      <c r="SCY67"/>
      <c r="SCZ67"/>
      <c r="SDA67"/>
      <c r="SDB67"/>
      <c r="SDC67"/>
      <c r="SDD67"/>
      <c r="SDE67"/>
      <c r="SDF67"/>
      <c r="SDG67"/>
      <c r="SDH67"/>
      <c r="SDI67"/>
      <c r="SDJ67"/>
      <c r="SDK67"/>
      <c r="SDL67"/>
      <c r="SDM67"/>
      <c r="SDN67"/>
      <c r="SDO67"/>
      <c r="SDP67"/>
      <c r="SDQ67"/>
      <c r="SDR67"/>
      <c r="SDS67"/>
      <c r="SDT67"/>
      <c r="SDU67"/>
      <c r="SDV67"/>
      <c r="SDW67"/>
      <c r="SDX67"/>
      <c r="SDY67"/>
      <c r="SDZ67"/>
      <c r="SEA67"/>
      <c r="SEB67"/>
      <c r="SEC67"/>
      <c r="SED67"/>
      <c r="SEE67"/>
      <c r="SEF67"/>
      <c r="SEG67"/>
      <c r="SEH67"/>
      <c r="SEI67"/>
      <c r="SEJ67"/>
      <c r="SEK67"/>
      <c r="SEL67"/>
      <c r="SEM67"/>
      <c r="SEN67"/>
      <c r="SEO67"/>
      <c r="SEP67"/>
      <c r="SEQ67"/>
      <c r="SER67"/>
      <c r="SES67"/>
      <c r="SET67"/>
      <c r="SEU67"/>
      <c r="SEV67"/>
      <c r="SEW67"/>
      <c r="SEX67"/>
      <c r="SEY67"/>
      <c r="SEZ67"/>
      <c r="SFA67"/>
      <c r="SFB67"/>
      <c r="SFC67"/>
      <c r="SFD67"/>
      <c r="SFE67"/>
      <c r="SFF67"/>
      <c r="SFG67"/>
      <c r="SFH67"/>
      <c r="SFI67"/>
      <c r="SFJ67"/>
      <c r="SFK67"/>
      <c r="SFL67"/>
      <c r="SFM67"/>
      <c r="SFN67"/>
      <c r="SFO67"/>
      <c r="SFP67"/>
      <c r="SFQ67"/>
      <c r="SFR67"/>
      <c r="SFS67"/>
      <c r="SFT67"/>
      <c r="SFU67"/>
      <c r="SFV67"/>
      <c r="SFW67"/>
      <c r="SFX67"/>
      <c r="SFY67"/>
      <c r="SFZ67"/>
      <c r="SGA67"/>
      <c r="SGB67"/>
      <c r="SGC67"/>
      <c r="SGD67"/>
      <c r="SGE67"/>
      <c r="SGF67"/>
      <c r="SGG67"/>
      <c r="SGH67"/>
      <c r="SGI67"/>
      <c r="SGJ67"/>
      <c r="SGK67"/>
      <c r="SGL67"/>
      <c r="SGM67"/>
      <c r="SGN67"/>
      <c r="SGO67"/>
      <c r="SGP67"/>
      <c r="SGQ67"/>
      <c r="SGR67"/>
      <c r="SGS67"/>
      <c r="SGT67"/>
      <c r="SGU67"/>
      <c r="SGV67"/>
      <c r="SGW67"/>
      <c r="SGX67"/>
      <c r="SGY67"/>
      <c r="SGZ67"/>
      <c r="SHA67"/>
      <c r="SHB67"/>
      <c r="SHC67"/>
      <c r="SHD67"/>
      <c r="SHE67"/>
      <c r="SHF67"/>
      <c r="SHG67"/>
      <c r="SHH67"/>
      <c r="SHI67"/>
      <c r="SHJ67"/>
      <c r="SHK67"/>
      <c r="SHL67"/>
      <c r="SHM67"/>
      <c r="SHN67"/>
      <c r="SHO67"/>
      <c r="SHP67"/>
      <c r="SHQ67"/>
      <c r="SHR67"/>
      <c r="SHS67"/>
      <c r="SHT67"/>
      <c r="SHU67"/>
      <c r="SHV67"/>
      <c r="SHW67"/>
      <c r="SHX67"/>
      <c r="SHY67"/>
      <c r="SHZ67"/>
      <c r="SIA67"/>
      <c r="SIB67"/>
      <c r="SIC67"/>
      <c r="SID67"/>
      <c r="SIE67"/>
      <c r="SIF67"/>
      <c r="SIG67"/>
      <c r="SIH67"/>
      <c r="SII67"/>
      <c r="SIJ67"/>
      <c r="SIK67"/>
      <c r="SIL67"/>
      <c r="SIM67"/>
      <c r="SIN67"/>
      <c r="SIO67"/>
      <c r="SIP67"/>
      <c r="SIQ67"/>
      <c r="SIR67"/>
      <c r="SIS67"/>
      <c r="SIT67"/>
      <c r="SIU67"/>
      <c r="SIV67"/>
      <c r="SIW67"/>
      <c r="SIX67"/>
      <c r="SIY67"/>
      <c r="SIZ67"/>
      <c r="SJA67"/>
      <c r="SJB67"/>
      <c r="SJC67"/>
      <c r="SJD67"/>
      <c r="SJE67"/>
      <c r="SJF67"/>
      <c r="SJG67"/>
      <c r="SJH67"/>
      <c r="SJI67"/>
      <c r="SJJ67"/>
      <c r="SJK67"/>
      <c r="SJL67"/>
      <c r="SJM67"/>
      <c r="SJN67"/>
      <c r="SJO67"/>
      <c r="SJP67"/>
      <c r="SJQ67"/>
      <c r="SJR67"/>
      <c r="SJS67"/>
      <c r="SJT67"/>
      <c r="SJU67"/>
      <c r="SJV67"/>
      <c r="SJW67"/>
      <c r="SJX67"/>
      <c r="SJY67"/>
      <c r="SJZ67"/>
      <c r="SKA67"/>
      <c r="SKB67"/>
      <c r="SKC67"/>
      <c r="SKD67"/>
      <c r="SKE67"/>
      <c r="SKF67"/>
      <c r="SKG67"/>
      <c r="SKH67"/>
      <c r="SKI67"/>
      <c r="SKJ67"/>
      <c r="SKK67"/>
      <c r="SKL67"/>
      <c r="SKM67"/>
      <c r="SKN67"/>
      <c r="SKO67"/>
      <c r="SKP67"/>
      <c r="SKQ67"/>
      <c r="SKR67"/>
      <c r="SKS67"/>
      <c r="SKT67"/>
      <c r="SKU67"/>
      <c r="SKV67"/>
      <c r="SKW67"/>
      <c r="SKX67"/>
      <c r="SKY67"/>
      <c r="SKZ67"/>
      <c r="SLA67"/>
      <c r="SLB67"/>
      <c r="SLC67"/>
      <c r="SLD67"/>
      <c r="SLE67"/>
      <c r="SLF67"/>
      <c r="SLG67"/>
      <c r="SLH67"/>
      <c r="SLI67"/>
      <c r="SLJ67"/>
      <c r="SLK67"/>
      <c r="SLL67"/>
      <c r="SLM67"/>
      <c r="SLN67"/>
      <c r="SLO67"/>
      <c r="SLP67"/>
      <c r="SLQ67"/>
      <c r="SLR67"/>
      <c r="SLS67"/>
      <c r="SLT67"/>
      <c r="SLU67"/>
      <c r="SLV67"/>
      <c r="SLW67"/>
      <c r="SLX67"/>
      <c r="SLY67"/>
      <c r="SLZ67"/>
      <c r="SMA67"/>
      <c r="SMB67"/>
      <c r="SMC67"/>
      <c r="SMD67"/>
      <c r="SME67"/>
      <c r="SMF67"/>
      <c r="SMG67"/>
      <c r="SMH67"/>
      <c r="SMI67"/>
      <c r="SMJ67"/>
      <c r="SMK67"/>
      <c r="SML67"/>
      <c r="SMM67"/>
      <c r="SMN67"/>
      <c r="SMO67"/>
      <c r="SMP67"/>
      <c r="SMQ67"/>
      <c r="SMR67"/>
      <c r="SMS67"/>
      <c r="SMT67"/>
      <c r="SMU67"/>
      <c r="SMV67"/>
      <c r="SMW67"/>
      <c r="SMX67"/>
      <c r="SMY67"/>
      <c r="SMZ67"/>
      <c r="SNA67"/>
      <c r="SNB67"/>
      <c r="SNC67"/>
      <c r="SND67"/>
      <c r="SNE67"/>
      <c r="SNF67"/>
      <c r="SNG67"/>
      <c r="SNH67"/>
      <c r="SNI67"/>
      <c r="SNJ67"/>
      <c r="SNK67"/>
      <c r="SNL67"/>
      <c r="SNM67"/>
      <c r="SNN67"/>
      <c r="SNO67"/>
      <c r="SNP67"/>
      <c r="SNQ67"/>
      <c r="SNR67"/>
      <c r="SNS67"/>
      <c r="SNT67"/>
      <c r="SNU67"/>
      <c r="SNV67"/>
      <c r="SNW67"/>
      <c r="SNX67"/>
      <c r="SNY67"/>
      <c r="SNZ67"/>
      <c r="SOA67"/>
      <c r="SOB67"/>
      <c r="SOC67"/>
      <c r="SOD67"/>
      <c r="SOE67"/>
      <c r="SOF67"/>
      <c r="SOG67"/>
      <c r="SOH67"/>
      <c r="SOI67"/>
      <c r="SOJ67"/>
      <c r="SOK67"/>
      <c r="SOL67"/>
      <c r="SOM67"/>
      <c r="SON67"/>
      <c r="SOO67"/>
      <c r="SOP67"/>
      <c r="SOQ67"/>
      <c r="SOR67"/>
      <c r="SOS67"/>
      <c r="SOT67"/>
      <c r="SOU67"/>
      <c r="SOV67"/>
      <c r="SOW67"/>
      <c r="SOX67"/>
      <c r="SOY67"/>
      <c r="SOZ67"/>
      <c r="SPA67"/>
      <c r="SPB67"/>
      <c r="SPC67"/>
      <c r="SPD67"/>
      <c r="SPE67"/>
      <c r="SPF67"/>
      <c r="SPG67"/>
      <c r="SPH67"/>
      <c r="SPI67"/>
      <c r="SPJ67"/>
      <c r="SPK67"/>
      <c r="SPL67"/>
      <c r="SPM67"/>
      <c r="SPN67"/>
      <c r="SPO67"/>
      <c r="SPP67"/>
      <c r="SPQ67"/>
      <c r="SPR67"/>
      <c r="SPS67"/>
      <c r="SPT67"/>
      <c r="SPU67"/>
      <c r="SPV67"/>
      <c r="SPW67"/>
      <c r="SPX67"/>
      <c r="SPY67"/>
      <c r="SPZ67"/>
      <c r="SQA67"/>
      <c r="SQB67"/>
      <c r="SQC67"/>
      <c r="SQD67"/>
      <c r="SQE67"/>
      <c r="SQF67"/>
      <c r="SQG67"/>
      <c r="SQH67"/>
      <c r="SQI67"/>
      <c r="SQJ67"/>
      <c r="SQK67"/>
      <c r="SQL67"/>
      <c r="SQM67"/>
      <c r="SQN67"/>
      <c r="SQO67"/>
      <c r="SQP67"/>
      <c r="SQQ67"/>
      <c r="SQR67"/>
      <c r="SQS67"/>
      <c r="SQT67"/>
      <c r="SQU67"/>
      <c r="SQV67"/>
      <c r="SQW67"/>
      <c r="SQX67"/>
      <c r="SQY67"/>
      <c r="SQZ67"/>
      <c r="SRA67"/>
      <c r="SRB67"/>
      <c r="SRC67"/>
      <c r="SRD67"/>
      <c r="SRE67"/>
      <c r="SRF67"/>
      <c r="SRG67"/>
      <c r="SRH67"/>
      <c r="SRI67"/>
      <c r="SRJ67"/>
      <c r="SRK67"/>
      <c r="SRL67"/>
      <c r="SRM67"/>
      <c r="SRN67"/>
      <c r="SRO67"/>
      <c r="SRP67"/>
      <c r="SRQ67"/>
      <c r="SRR67"/>
      <c r="SRS67"/>
      <c r="SRT67"/>
      <c r="SRU67"/>
      <c r="SRV67"/>
      <c r="SRW67"/>
      <c r="SRX67"/>
      <c r="SRY67"/>
      <c r="SRZ67"/>
      <c r="SSA67"/>
      <c r="SSB67"/>
      <c r="SSC67"/>
      <c r="SSD67"/>
      <c r="SSE67"/>
      <c r="SSF67"/>
      <c r="SSG67"/>
      <c r="SSH67"/>
      <c r="SSI67"/>
      <c r="SSJ67"/>
      <c r="SSK67"/>
      <c r="SSL67"/>
      <c r="SSM67"/>
      <c r="SSN67"/>
      <c r="SSO67"/>
      <c r="SSP67"/>
      <c r="SSQ67"/>
      <c r="SSR67"/>
      <c r="SSS67"/>
      <c r="SST67"/>
      <c r="SSU67"/>
      <c r="SSV67"/>
      <c r="SSW67"/>
      <c r="SSX67"/>
      <c r="SSY67"/>
      <c r="SSZ67"/>
      <c r="STA67"/>
      <c r="STB67"/>
      <c r="STC67"/>
      <c r="STD67"/>
      <c r="STE67"/>
      <c r="STF67"/>
      <c r="STG67"/>
      <c r="STH67"/>
      <c r="STI67"/>
      <c r="STJ67"/>
      <c r="STK67"/>
      <c r="STL67"/>
      <c r="STM67"/>
      <c r="STN67"/>
      <c r="STO67"/>
      <c r="STP67"/>
      <c r="STQ67"/>
      <c r="STR67"/>
      <c r="STS67"/>
      <c r="STT67"/>
      <c r="STU67"/>
      <c r="STV67"/>
      <c r="STW67"/>
      <c r="STX67"/>
      <c r="STY67"/>
      <c r="STZ67"/>
      <c r="SUA67"/>
      <c r="SUB67"/>
      <c r="SUC67"/>
      <c r="SUD67"/>
      <c r="SUE67"/>
      <c r="SUF67"/>
      <c r="SUG67"/>
      <c r="SUH67"/>
      <c r="SUI67"/>
      <c r="SUJ67"/>
      <c r="SUK67"/>
      <c r="SUL67"/>
      <c r="SUM67"/>
      <c r="SUN67"/>
      <c r="SUO67"/>
      <c r="SUP67"/>
      <c r="SUQ67"/>
      <c r="SUR67"/>
      <c r="SUS67"/>
      <c r="SUT67"/>
      <c r="SUU67"/>
      <c r="SUV67"/>
      <c r="SUW67"/>
      <c r="SUX67"/>
      <c r="SUY67"/>
      <c r="SUZ67"/>
      <c r="SVA67"/>
      <c r="SVB67"/>
      <c r="SVC67"/>
      <c r="SVD67"/>
      <c r="SVE67"/>
      <c r="SVF67"/>
      <c r="SVG67"/>
      <c r="SVH67"/>
      <c r="SVI67"/>
      <c r="SVJ67"/>
      <c r="SVK67"/>
      <c r="SVL67"/>
      <c r="SVM67"/>
      <c r="SVN67"/>
      <c r="SVO67"/>
      <c r="SVP67"/>
      <c r="SVQ67"/>
      <c r="SVR67"/>
      <c r="SVS67"/>
      <c r="SVT67"/>
      <c r="SVU67"/>
      <c r="SVV67"/>
      <c r="SVW67"/>
      <c r="SVX67"/>
      <c r="SVY67"/>
      <c r="SVZ67"/>
      <c r="SWA67"/>
      <c r="SWB67"/>
      <c r="SWC67"/>
      <c r="SWD67"/>
      <c r="SWE67"/>
      <c r="SWF67"/>
      <c r="SWG67"/>
      <c r="SWH67"/>
      <c r="SWI67"/>
      <c r="SWJ67"/>
      <c r="SWK67"/>
      <c r="SWL67"/>
      <c r="SWM67"/>
      <c r="SWN67"/>
      <c r="SWO67"/>
      <c r="SWP67"/>
      <c r="SWQ67"/>
      <c r="SWR67"/>
      <c r="SWS67"/>
      <c r="SWT67"/>
      <c r="SWU67"/>
      <c r="SWV67"/>
      <c r="SWW67"/>
      <c r="SWX67"/>
      <c r="SWY67"/>
      <c r="SWZ67"/>
      <c r="SXA67"/>
      <c r="SXB67"/>
      <c r="SXC67"/>
      <c r="SXD67"/>
      <c r="SXE67"/>
      <c r="SXF67"/>
      <c r="SXG67"/>
      <c r="SXH67"/>
      <c r="SXI67"/>
      <c r="SXJ67"/>
      <c r="SXK67"/>
      <c r="SXL67"/>
      <c r="SXM67"/>
      <c r="SXN67"/>
      <c r="SXO67"/>
      <c r="SXP67"/>
      <c r="SXQ67"/>
      <c r="SXR67"/>
      <c r="SXS67"/>
      <c r="SXT67"/>
      <c r="SXU67"/>
      <c r="SXV67"/>
      <c r="SXW67"/>
      <c r="SXX67"/>
      <c r="SXY67"/>
      <c r="SXZ67"/>
      <c r="SYA67"/>
      <c r="SYB67"/>
      <c r="SYC67"/>
      <c r="SYD67"/>
      <c r="SYE67"/>
      <c r="SYF67"/>
      <c r="SYG67"/>
      <c r="SYH67"/>
      <c r="SYI67"/>
      <c r="SYJ67"/>
      <c r="SYK67"/>
      <c r="SYL67"/>
      <c r="SYM67"/>
      <c r="SYN67"/>
      <c r="SYO67"/>
      <c r="SYP67"/>
      <c r="SYQ67"/>
      <c r="SYR67"/>
      <c r="SYS67"/>
      <c r="SYT67"/>
      <c r="SYU67"/>
      <c r="SYV67"/>
      <c r="SYW67"/>
      <c r="SYX67"/>
      <c r="SYY67"/>
      <c r="SYZ67"/>
      <c r="SZA67"/>
      <c r="SZB67"/>
      <c r="SZC67"/>
      <c r="SZD67"/>
      <c r="SZE67"/>
      <c r="SZF67"/>
      <c r="SZG67"/>
      <c r="SZH67"/>
      <c r="SZI67"/>
      <c r="SZJ67"/>
      <c r="SZK67"/>
      <c r="SZL67"/>
      <c r="SZM67"/>
      <c r="SZN67"/>
      <c r="SZO67"/>
      <c r="SZP67"/>
      <c r="SZQ67"/>
      <c r="SZR67"/>
      <c r="SZS67"/>
      <c r="SZT67"/>
      <c r="SZU67"/>
      <c r="SZV67"/>
      <c r="SZW67"/>
      <c r="SZX67"/>
      <c r="SZY67"/>
      <c r="SZZ67"/>
      <c r="TAA67"/>
      <c r="TAB67"/>
      <c r="TAC67"/>
      <c r="TAD67"/>
      <c r="TAE67"/>
      <c r="TAF67"/>
      <c r="TAG67"/>
      <c r="TAH67"/>
      <c r="TAI67"/>
      <c r="TAJ67"/>
      <c r="TAK67"/>
      <c r="TAL67"/>
      <c r="TAM67"/>
      <c r="TAN67"/>
      <c r="TAO67"/>
      <c r="TAP67"/>
      <c r="TAQ67"/>
      <c r="TAR67"/>
      <c r="TAS67"/>
      <c r="TAT67"/>
      <c r="TAU67"/>
      <c r="TAV67"/>
      <c r="TAW67"/>
      <c r="TAX67"/>
      <c r="TAY67"/>
      <c r="TAZ67"/>
      <c r="TBA67"/>
      <c r="TBB67"/>
      <c r="TBC67"/>
      <c r="TBD67"/>
      <c r="TBE67"/>
      <c r="TBF67"/>
      <c r="TBG67"/>
      <c r="TBH67"/>
      <c r="TBI67"/>
      <c r="TBJ67"/>
      <c r="TBK67"/>
      <c r="TBL67"/>
      <c r="TBM67"/>
      <c r="TBN67"/>
      <c r="TBO67"/>
      <c r="TBP67"/>
      <c r="TBQ67"/>
      <c r="TBR67"/>
      <c r="TBS67"/>
      <c r="TBT67"/>
      <c r="TBU67"/>
      <c r="TBV67"/>
      <c r="TBW67"/>
      <c r="TBX67"/>
      <c r="TBY67"/>
      <c r="TBZ67"/>
      <c r="TCA67"/>
      <c r="TCB67"/>
      <c r="TCC67"/>
      <c r="TCD67"/>
      <c r="TCE67"/>
      <c r="TCF67"/>
      <c r="TCG67"/>
      <c r="TCH67"/>
      <c r="TCI67"/>
      <c r="TCJ67"/>
      <c r="TCK67"/>
      <c r="TCL67"/>
      <c r="TCM67"/>
      <c r="TCN67"/>
      <c r="TCO67"/>
      <c r="TCP67"/>
      <c r="TCQ67"/>
      <c r="TCR67"/>
      <c r="TCS67"/>
      <c r="TCT67"/>
      <c r="TCU67"/>
      <c r="TCV67"/>
      <c r="TCW67"/>
      <c r="TCX67"/>
      <c r="TCY67"/>
      <c r="TCZ67"/>
      <c r="TDA67"/>
      <c r="TDB67"/>
      <c r="TDC67"/>
      <c r="TDD67"/>
      <c r="TDE67"/>
      <c r="TDF67"/>
      <c r="TDG67"/>
      <c r="TDH67"/>
      <c r="TDI67"/>
      <c r="TDJ67"/>
      <c r="TDK67"/>
      <c r="TDL67"/>
      <c r="TDM67"/>
      <c r="TDN67"/>
      <c r="TDO67"/>
      <c r="TDP67"/>
      <c r="TDQ67"/>
      <c r="TDR67"/>
      <c r="TDS67"/>
      <c r="TDT67"/>
      <c r="TDU67"/>
      <c r="TDV67"/>
      <c r="TDW67"/>
      <c r="TDX67"/>
      <c r="TDY67"/>
      <c r="TDZ67"/>
      <c r="TEA67"/>
      <c r="TEB67"/>
      <c r="TEC67"/>
      <c r="TED67"/>
      <c r="TEE67"/>
      <c r="TEF67"/>
      <c r="TEG67"/>
      <c r="TEH67"/>
      <c r="TEI67"/>
      <c r="TEJ67"/>
      <c r="TEK67"/>
      <c r="TEL67"/>
      <c r="TEM67"/>
      <c r="TEN67"/>
      <c r="TEO67"/>
      <c r="TEP67"/>
      <c r="TEQ67"/>
      <c r="TER67"/>
      <c r="TES67"/>
      <c r="TET67"/>
      <c r="TEU67"/>
      <c r="TEV67"/>
      <c r="TEW67"/>
      <c r="TEX67"/>
      <c r="TEY67"/>
      <c r="TEZ67"/>
      <c r="TFA67"/>
      <c r="TFB67"/>
      <c r="TFC67"/>
      <c r="TFD67"/>
      <c r="TFE67"/>
      <c r="TFF67"/>
      <c r="TFG67"/>
      <c r="TFH67"/>
      <c r="TFI67"/>
      <c r="TFJ67"/>
      <c r="TFK67"/>
      <c r="TFL67"/>
      <c r="TFM67"/>
      <c r="TFN67"/>
      <c r="TFO67"/>
      <c r="TFP67"/>
      <c r="TFQ67"/>
      <c r="TFR67"/>
      <c r="TFS67"/>
      <c r="TFT67"/>
      <c r="TFU67"/>
      <c r="TFV67"/>
      <c r="TFW67"/>
      <c r="TFX67"/>
      <c r="TFY67"/>
      <c r="TFZ67"/>
      <c r="TGA67"/>
      <c r="TGB67"/>
      <c r="TGC67"/>
      <c r="TGD67"/>
      <c r="TGE67"/>
      <c r="TGF67"/>
      <c r="TGG67"/>
      <c r="TGH67"/>
      <c r="TGI67"/>
      <c r="TGJ67"/>
      <c r="TGK67"/>
      <c r="TGL67"/>
      <c r="TGM67"/>
      <c r="TGN67"/>
      <c r="TGO67"/>
      <c r="TGP67"/>
      <c r="TGQ67"/>
      <c r="TGR67"/>
      <c r="TGS67"/>
      <c r="TGT67"/>
      <c r="TGU67"/>
      <c r="TGV67"/>
      <c r="TGW67"/>
      <c r="TGX67"/>
      <c r="TGY67"/>
      <c r="TGZ67"/>
      <c r="THA67"/>
      <c r="THB67"/>
      <c r="THC67"/>
      <c r="THD67"/>
      <c r="THE67"/>
      <c r="THF67"/>
      <c r="THG67"/>
      <c r="THH67"/>
      <c r="THI67"/>
      <c r="THJ67"/>
      <c r="THK67"/>
      <c r="THL67"/>
      <c r="THM67"/>
      <c r="THN67"/>
      <c r="THO67"/>
      <c r="THP67"/>
      <c r="THQ67"/>
      <c r="THR67"/>
      <c r="THS67"/>
      <c r="THT67"/>
      <c r="THU67"/>
      <c r="THV67"/>
      <c r="THW67"/>
      <c r="THX67"/>
      <c r="THY67"/>
      <c r="THZ67"/>
      <c r="TIA67"/>
      <c r="TIB67"/>
      <c r="TIC67"/>
      <c r="TID67"/>
      <c r="TIE67"/>
      <c r="TIF67"/>
      <c r="TIG67"/>
      <c r="TIH67"/>
      <c r="TII67"/>
      <c r="TIJ67"/>
      <c r="TIK67"/>
      <c r="TIL67"/>
      <c r="TIM67"/>
      <c r="TIN67"/>
      <c r="TIO67"/>
      <c r="TIP67"/>
      <c r="TIQ67"/>
      <c r="TIR67"/>
      <c r="TIS67"/>
      <c r="TIT67"/>
      <c r="TIU67"/>
      <c r="TIV67"/>
      <c r="TIW67"/>
      <c r="TIX67"/>
      <c r="TIY67"/>
      <c r="TIZ67"/>
      <c r="TJA67"/>
      <c r="TJB67"/>
      <c r="TJC67"/>
      <c r="TJD67"/>
      <c r="TJE67"/>
      <c r="TJF67"/>
      <c r="TJG67"/>
      <c r="TJH67"/>
      <c r="TJI67"/>
      <c r="TJJ67"/>
      <c r="TJK67"/>
      <c r="TJL67"/>
      <c r="TJM67"/>
      <c r="TJN67"/>
      <c r="TJO67"/>
      <c r="TJP67"/>
      <c r="TJQ67"/>
      <c r="TJR67"/>
      <c r="TJS67"/>
      <c r="TJT67"/>
      <c r="TJU67"/>
      <c r="TJV67"/>
      <c r="TJW67"/>
      <c r="TJX67"/>
      <c r="TJY67"/>
      <c r="TJZ67"/>
      <c r="TKA67"/>
      <c r="TKB67"/>
      <c r="TKC67"/>
      <c r="TKD67"/>
      <c r="TKE67"/>
      <c r="TKF67"/>
      <c r="TKG67"/>
      <c r="TKH67"/>
      <c r="TKI67"/>
      <c r="TKJ67"/>
      <c r="TKK67"/>
      <c r="TKL67"/>
      <c r="TKM67"/>
      <c r="TKN67"/>
      <c r="TKO67"/>
      <c r="TKP67"/>
      <c r="TKQ67"/>
      <c r="TKR67"/>
      <c r="TKS67"/>
      <c r="TKT67"/>
      <c r="TKU67"/>
      <c r="TKV67"/>
      <c r="TKW67"/>
      <c r="TKX67"/>
      <c r="TKY67"/>
      <c r="TKZ67"/>
      <c r="TLA67"/>
      <c r="TLB67"/>
      <c r="TLC67"/>
      <c r="TLD67"/>
      <c r="TLE67"/>
      <c r="TLF67"/>
      <c r="TLG67"/>
      <c r="TLH67"/>
      <c r="TLI67"/>
      <c r="TLJ67"/>
      <c r="TLK67"/>
      <c r="TLL67"/>
      <c r="TLM67"/>
      <c r="TLN67"/>
      <c r="TLO67"/>
      <c r="TLP67"/>
      <c r="TLQ67"/>
      <c r="TLR67"/>
      <c r="TLS67"/>
      <c r="TLT67"/>
      <c r="TLU67"/>
      <c r="TLV67"/>
      <c r="TLW67"/>
      <c r="TLX67"/>
      <c r="TLY67"/>
      <c r="TLZ67"/>
      <c r="TMA67"/>
      <c r="TMB67"/>
      <c r="TMC67"/>
      <c r="TMD67"/>
      <c r="TME67"/>
      <c r="TMF67"/>
      <c r="TMG67"/>
      <c r="TMH67"/>
      <c r="TMI67"/>
      <c r="TMJ67"/>
      <c r="TMK67"/>
      <c r="TML67"/>
      <c r="TMM67"/>
      <c r="TMN67"/>
      <c r="TMO67"/>
      <c r="TMP67"/>
      <c r="TMQ67"/>
      <c r="TMR67"/>
      <c r="TMS67"/>
      <c r="TMT67"/>
      <c r="TMU67"/>
      <c r="TMV67"/>
      <c r="TMW67"/>
      <c r="TMX67"/>
      <c r="TMY67"/>
      <c r="TMZ67"/>
      <c r="TNA67"/>
      <c r="TNB67"/>
      <c r="TNC67"/>
      <c r="TND67"/>
      <c r="TNE67"/>
      <c r="TNF67"/>
      <c r="TNG67"/>
      <c r="TNH67"/>
      <c r="TNI67"/>
      <c r="TNJ67"/>
      <c r="TNK67"/>
      <c r="TNL67"/>
      <c r="TNM67"/>
      <c r="TNN67"/>
      <c r="TNO67"/>
      <c r="TNP67"/>
      <c r="TNQ67"/>
      <c r="TNR67"/>
      <c r="TNS67"/>
      <c r="TNT67"/>
      <c r="TNU67"/>
      <c r="TNV67"/>
      <c r="TNW67"/>
      <c r="TNX67"/>
      <c r="TNY67"/>
      <c r="TNZ67"/>
      <c r="TOA67"/>
      <c r="TOB67"/>
      <c r="TOC67"/>
      <c r="TOD67"/>
      <c r="TOE67"/>
      <c r="TOF67"/>
      <c r="TOG67"/>
      <c r="TOH67"/>
      <c r="TOI67"/>
      <c r="TOJ67"/>
      <c r="TOK67"/>
      <c r="TOL67"/>
      <c r="TOM67"/>
      <c r="TON67"/>
      <c r="TOO67"/>
      <c r="TOP67"/>
      <c r="TOQ67"/>
      <c r="TOR67"/>
      <c r="TOS67"/>
      <c r="TOT67"/>
      <c r="TOU67"/>
      <c r="TOV67"/>
      <c r="TOW67"/>
      <c r="TOX67"/>
      <c r="TOY67"/>
      <c r="TOZ67"/>
      <c r="TPA67"/>
      <c r="TPB67"/>
      <c r="TPC67"/>
      <c r="TPD67"/>
      <c r="TPE67"/>
      <c r="TPF67"/>
      <c r="TPG67"/>
      <c r="TPH67"/>
      <c r="TPI67"/>
      <c r="TPJ67"/>
      <c r="TPK67"/>
      <c r="TPL67"/>
      <c r="TPM67"/>
      <c r="TPN67"/>
      <c r="TPO67"/>
      <c r="TPP67"/>
      <c r="TPQ67"/>
      <c r="TPR67"/>
      <c r="TPS67"/>
      <c r="TPT67"/>
      <c r="TPU67"/>
      <c r="TPV67"/>
      <c r="TPW67"/>
      <c r="TPX67"/>
      <c r="TPY67"/>
      <c r="TPZ67"/>
      <c r="TQA67"/>
      <c r="TQB67"/>
      <c r="TQC67"/>
      <c r="TQD67"/>
      <c r="TQE67"/>
      <c r="TQF67"/>
      <c r="TQG67"/>
      <c r="TQH67"/>
      <c r="TQI67"/>
      <c r="TQJ67"/>
      <c r="TQK67"/>
      <c r="TQL67"/>
      <c r="TQM67"/>
      <c r="TQN67"/>
      <c r="TQO67"/>
      <c r="TQP67"/>
      <c r="TQQ67"/>
      <c r="TQR67"/>
      <c r="TQS67"/>
      <c r="TQT67"/>
      <c r="TQU67"/>
      <c r="TQV67"/>
      <c r="TQW67"/>
      <c r="TQX67"/>
      <c r="TQY67"/>
      <c r="TQZ67"/>
      <c r="TRA67"/>
      <c r="TRB67"/>
      <c r="TRC67"/>
      <c r="TRD67"/>
      <c r="TRE67"/>
      <c r="TRF67"/>
      <c r="TRG67"/>
      <c r="TRH67"/>
      <c r="TRI67"/>
      <c r="TRJ67"/>
      <c r="TRK67"/>
      <c r="TRL67"/>
      <c r="TRM67"/>
      <c r="TRN67"/>
      <c r="TRO67"/>
      <c r="TRP67"/>
      <c r="TRQ67"/>
      <c r="TRR67"/>
      <c r="TRS67"/>
      <c r="TRT67"/>
      <c r="TRU67"/>
      <c r="TRV67"/>
      <c r="TRW67"/>
      <c r="TRX67"/>
      <c r="TRY67"/>
      <c r="TRZ67"/>
      <c r="TSA67"/>
      <c r="TSB67"/>
      <c r="TSC67"/>
      <c r="TSD67"/>
      <c r="TSE67"/>
      <c r="TSF67"/>
      <c r="TSG67"/>
      <c r="TSH67"/>
      <c r="TSI67"/>
      <c r="TSJ67"/>
      <c r="TSK67"/>
      <c r="TSL67"/>
      <c r="TSM67"/>
      <c r="TSN67"/>
      <c r="TSO67"/>
      <c r="TSP67"/>
      <c r="TSQ67"/>
      <c r="TSR67"/>
      <c r="TSS67"/>
      <c r="TST67"/>
      <c r="TSU67"/>
      <c r="TSV67"/>
      <c r="TSW67"/>
      <c r="TSX67"/>
      <c r="TSY67"/>
      <c r="TSZ67"/>
      <c r="TTA67"/>
      <c r="TTB67"/>
      <c r="TTC67"/>
      <c r="TTD67"/>
      <c r="TTE67"/>
      <c r="TTF67"/>
      <c r="TTG67"/>
      <c r="TTH67"/>
      <c r="TTI67"/>
      <c r="TTJ67"/>
      <c r="TTK67"/>
      <c r="TTL67"/>
      <c r="TTM67"/>
      <c r="TTN67"/>
      <c r="TTO67"/>
      <c r="TTP67"/>
      <c r="TTQ67"/>
      <c r="TTR67"/>
      <c r="TTS67"/>
      <c r="TTT67"/>
      <c r="TTU67"/>
      <c r="TTV67"/>
      <c r="TTW67"/>
      <c r="TTX67"/>
      <c r="TTY67"/>
      <c r="TTZ67"/>
      <c r="TUA67"/>
      <c r="TUB67"/>
      <c r="TUC67"/>
      <c r="TUD67"/>
      <c r="TUE67"/>
      <c r="TUF67"/>
      <c r="TUG67"/>
      <c r="TUH67"/>
      <c r="TUI67"/>
      <c r="TUJ67"/>
      <c r="TUK67"/>
      <c r="TUL67"/>
      <c r="TUM67"/>
      <c r="TUN67"/>
      <c r="TUO67"/>
      <c r="TUP67"/>
      <c r="TUQ67"/>
      <c r="TUR67"/>
      <c r="TUS67"/>
      <c r="TUT67"/>
      <c r="TUU67"/>
      <c r="TUV67"/>
      <c r="TUW67"/>
      <c r="TUX67"/>
      <c r="TUY67"/>
      <c r="TUZ67"/>
      <c r="TVA67"/>
      <c r="TVB67"/>
      <c r="TVC67"/>
      <c r="TVD67"/>
      <c r="TVE67"/>
      <c r="TVF67"/>
      <c r="TVG67"/>
      <c r="TVH67"/>
      <c r="TVI67"/>
      <c r="TVJ67"/>
      <c r="TVK67"/>
      <c r="TVL67"/>
      <c r="TVM67"/>
      <c r="TVN67"/>
      <c r="TVO67"/>
      <c r="TVP67"/>
      <c r="TVQ67"/>
      <c r="TVR67"/>
      <c r="TVS67"/>
      <c r="TVT67"/>
      <c r="TVU67"/>
      <c r="TVV67"/>
      <c r="TVW67"/>
      <c r="TVX67"/>
      <c r="TVY67"/>
      <c r="TVZ67"/>
      <c r="TWA67"/>
      <c r="TWB67"/>
      <c r="TWC67"/>
      <c r="TWD67"/>
      <c r="TWE67"/>
      <c r="TWF67"/>
      <c r="TWG67"/>
      <c r="TWH67"/>
      <c r="TWI67"/>
      <c r="TWJ67"/>
      <c r="TWK67"/>
      <c r="TWL67"/>
      <c r="TWM67"/>
      <c r="TWN67"/>
      <c r="TWO67"/>
      <c r="TWP67"/>
      <c r="TWQ67"/>
      <c r="TWR67"/>
      <c r="TWS67"/>
      <c r="TWT67"/>
      <c r="TWU67"/>
      <c r="TWV67"/>
      <c r="TWW67"/>
      <c r="TWX67"/>
      <c r="TWY67"/>
      <c r="TWZ67"/>
      <c r="TXA67"/>
      <c r="TXB67"/>
      <c r="TXC67"/>
      <c r="TXD67"/>
      <c r="TXE67"/>
      <c r="TXF67"/>
      <c r="TXG67"/>
      <c r="TXH67"/>
      <c r="TXI67"/>
      <c r="TXJ67"/>
      <c r="TXK67"/>
      <c r="TXL67"/>
      <c r="TXM67"/>
      <c r="TXN67"/>
      <c r="TXO67"/>
      <c r="TXP67"/>
      <c r="TXQ67"/>
      <c r="TXR67"/>
      <c r="TXS67"/>
      <c r="TXT67"/>
      <c r="TXU67"/>
      <c r="TXV67"/>
      <c r="TXW67"/>
      <c r="TXX67"/>
      <c r="TXY67"/>
      <c r="TXZ67"/>
      <c r="TYA67"/>
      <c r="TYB67"/>
      <c r="TYC67"/>
      <c r="TYD67"/>
      <c r="TYE67"/>
      <c r="TYF67"/>
      <c r="TYG67"/>
      <c r="TYH67"/>
      <c r="TYI67"/>
      <c r="TYJ67"/>
      <c r="TYK67"/>
      <c r="TYL67"/>
      <c r="TYM67"/>
      <c r="TYN67"/>
      <c r="TYO67"/>
      <c r="TYP67"/>
      <c r="TYQ67"/>
      <c r="TYR67"/>
      <c r="TYS67"/>
      <c r="TYT67"/>
      <c r="TYU67"/>
      <c r="TYV67"/>
      <c r="TYW67"/>
      <c r="TYX67"/>
      <c r="TYY67"/>
      <c r="TYZ67"/>
      <c r="TZA67"/>
      <c r="TZB67"/>
      <c r="TZC67"/>
      <c r="TZD67"/>
      <c r="TZE67"/>
      <c r="TZF67"/>
      <c r="TZG67"/>
      <c r="TZH67"/>
      <c r="TZI67"/>
      <c r="TZJ67"/>
      <c r="TZK67"/>
      <c r="TZL67"/>
      <c r="TZM67"/>
      <c r="TZN67"/>
      <c r="TZO67"/>
      <c r="TZP67"/>
      <c r="TZQ67"/>
      <c r="TZR67"/>
      <c r="TZS67"/>
      <c r="TZT67"/>
      <c r="TZU67"/>
      <c r="TZV67"/>
      <c r="TZW67"/>
      <c r="TZX67"/>
      <c r="TZY67"/>
      <c r="TZZ67"/>
      <c r="UAA67"/>
      <c r="UAB67"/>
      <c r="UAC67"/>
      <c r="UAD67"/>
      <c r="UAE67"/>
      <c r="UAF67"/>
      <c r="UAG67"/>
      <c r="UAH67"/>
      <c r="UAI67"/>
      <c r="UAJ67"/>
      <c r="UAK67"/>
      <c r="UAL67"/>
      <c r="UAM67"/>
      <c r="UAN67"/>
      <c r="UAO67"/>
      <c r="UAP67"/>
      <c r="UAQ67"/>
      <c r="UAR67"/>
      <c r="UAS67"/>
      <c r="UAT67"/>
      <c r="UAU67"/>
      <c r="UAV67"/>
      <c r="UAW67"/>
      <c r="UAX67"/>
      <c r="UAY67"/>
      <c r="UAZ67"/>
      <c r="UBA67"/>
      <c r="UBB67"/>
      <c r="UBC67"/>
      <c r="UBD67"/>
      <c r="UBE67"/>
      <c r="UBF67"/>
      <c r="UBG67"/>
      <c r="UBH67"/>
      <c r="UBI67"/>
      <c r="UBJ67"/>
      <c r="UBK67"/>
      <c r="UBL67"/>
      <c r="UBM67"/>
      <c r="UBN67"/>
      <c r="UBO67"/>
      <c r="UBP67"/>
      <c r="UBQ67"/>
      <c r="UBR67"/>
      <c r="UBS67"/>
      <c r="UBT67"/>
      <c r="UBU67"/>
      <c r="UBV67"/>
      <c r="UBW67"/>
      <c r="UBX67"/>
      <c r="UBY67"/>
      <c r="UBZ67"/>
      <c r="UCA67"/>
      <c r="UCB67"/>
      <c r="UCC67"/>
      <c r="UCD67"/>
      <c r="UCE67"/>
      <c r="UCF67"/>
      <c r="UCG67"/>
      <c r="UCH67"/>
      <c r="UCI67"/>
      <c r="UCJ67"/>
      <c r="UCK67"/>
      <c r="UCL67"/>
      <c r="UCM67"/>
      <c r="UCN67"/>
      <c r="UCO67"/>
      <c r="UCP67"/>
      <c r="UCQ67"/>
      <c r="UCR67"/>
      <c r="UCS67"/>
      <c r="UCT67"/>
      <c r="UCU67"/>
      <c r="UCV67"/>
      <c r="UCW67"/>
      <c r="UCX67"/>
      <c r="UCY67"/>
      <c r="UCZ67"/>
      <c r="UDA67"/>
      <c r="UDB67"/>
      <c r="UDC67"/>
      <c r="UDD67"/>
      <c r="UDE67"/>
      <c r="UDF67"/>
      <c r="UDG67"/>
      <c r="UDH67"/>
      <c r="UDI67"/>
      <c r="UDJ67"/>
      <c r="UDK67"/>
      <c r="UDL67"/>
      <c r="UDM67"/>
      <c r="UDN67"/>
      <c r="UDO67"/>
      <c r="UDP67"/>
      <c r="UDQ67"/>
      <c r="UDR67"/>
      <c r="UDS67"/>
      <c r="UDT67"/>
      <c r="UDU67"/>
      <c r="UDV67"/>
      <c r="UDW67"/>
      <c r="UDX67"/>
      <c r="UDY67"/>
      <c r="UDZ67"/>
      <c r="UEA67"/>
      <c r="UEB67"/>
      <c r="UEC67"/>
      <c r="UED67"/>
      <c r="UEE67"/>
      <c r="UEF67"/>
      <c r="UEG67"/>
      <c r="UEH67"/>
      <c r="UEI67"/>
      <c r="UEJ67"/>
      <c r="UEK67"/>
      <c r="UEL67"/>
      <c r="UEM67"/>
      <c r="UEN67"/>
      <c r="UEO67"/>
      <c r="UEP67"/>
      <c r="UEQ67"/>
      <c r="UER67"/>
      <c r="UES67"/>
      <c r="UET67"/>
      <c r="UEU67"/>
      <c r="UEV67"/>
      <c r="UEW67"/>
      <c r="UEX67"/>
      <c r="UEY67"/>
      <c r="UEZ67"/>
      <c r="UFA67"/>
      <c r="UFB67"/>
      <c r="UFC67"/>
      <c r="UFD67"/>
      <c r="UFE67"/>
      <c r="UFF67"/>
      <c r="UFG67"/>
      <c r="UFH67"/>
      <c r="UFI67"/>
      <c r="UFJ67"/>
      <c r="UFK67"/>
      <c r="UFL67"/>
      <c r="UFM67"/>
      <c r="UFN67"/>
      <c r="UFO67"/>
      <c r="UFP67"/>
      <c r="UFQ67"/>
      <c r="UFR67"/>
      <c r="UFS67"/>
      <c r="UFT67"/>
      <c r="UFU67"/>
      <c r="UFV67"/>
      <c r="UFW67"/>
      <c r="UFX67"/>
      <c r="UFY67"/>
      <c r="UFZ67"/>
      <c r="UGA67"/>
      <c r="UGB67"/>
      <c r="UGC67"/>
      <c r="UGD67"/>
      <c r="UGE67"/>
      <c r="UGF67"/>
      <c r="UGG67"/>
      <c r="UGH67"/>
      <c r="UGI67"/>
      <c r="UGJ67"/>
      <c r="UGK67"/>
      <c r="UGL67"/>
      <c r="UGM67"/>
      <c r="UGN67"/>
      <c r="UGO67"/>
      <c r="UGP67"/>
      <c r="UGQ67"/>
      <c r="UGR67"/>
      <c r="UGS67"/>
      <c r="UGT67"/>
      <c r="UGU67"/>
      <c r="UGV67"/>
      <c r="UGW67"/>
      <c r="UGX67"/>
      <c r="UGY67"/>
      <c r="UGZ67"/>
      <c r="UHA67"/>
      <c r="UHB67"/>
      <c r="UHC67"/>
      <c r="UHD67"/>
      <c r="UHE67"/>
      <c r="UHF67"/>
      <c r="UHG67"/>
      <c r="UHH67"/>
      <c r="UHI67"/>
      <c r="UHJ67"/>
      <c r="UHK67"/>
      <c r="UHL67"/>
      <c r="UHM67"/>
      <c r="UHN67"/>
      <c r="UHO67"/>
      <c r="UHP67"/>
      <c r="UHQ67"/>
      <c r="UHR67"/>
      <c r="UHS67"/>
      <c r="UHT67"/>
      <c r="UHU67"/>
      <c r="UHV67"/>
      <c r="UHW67"/>
      <c r="UHX67"/>
      <c r="UHY67"/>
      <c r="UHZ67"/>
      <c r="UIA67"/>
      <c r="UIB67"/>
      <c r="UIC67"/>
      <c r="UID67"/>
      <c r="UIE67"/>
      <c r="UIF67"/>
      <c r="UIG67"/>
      <c r="UIH67"/>
      <c r="UII67"/>
      <c r="UIJ67"/>
      <c r="UIK67"/>
      <c r="UIL67"/>
      <c r="UIM67"/>
      <c r="UIN67"/>
      <c r="UIO67"/>
      <c r="UIP67"/>
      <c r="UIQ67"/>
      <c r="UIR67"/>
      <c r="UIS67"/>
      <c r="UIT67"/>
      <c r="UIU67"/>
      <c r="UIV67"/>
      <c r="UIW67"/>
      <c r="UIX67"/>
      <c r="UIY67"/>
      <c r="UIZ67"/>
      <c r="UJA67"/>
      <c r="UJB67"/>
      <c r="UJC67"/>
      <c r="UJD67"/>
      <c r="UJE67"/>
      <c r="UJF67"/>
      <c r="UJG67"/>
      <c r="UJH67"/>
      <c r="UJI67"/>
      <c r="UJJ67"/>
      <c r="UJK67"/>
      <c r="UJL67"/>
      <c r="UJM67"/>
      <c r="UJN67"/>
      <c r="UJO67"/>
      <c r="UJP67"/>
      <c r="UJQ67"/>
      <c r="UJR67"/>
      <c r="UJS67"/>
      <c r="UJT67"/>
      <c r="UJU67"/>
      <c r="UJV67"/>
      <c r="UJW67"/>
      <c r="UJX67"/>
      <c r="UJY67"/>
      <c r="UJZ67"/>
      <c r="UKA67"/>
      <c r="UKB67"/>
      <c r="UKC67"/>
      <c r="UKD67"/>
      <c r="UKE67"/>
      <c r="UKF67"/>
      <c r="UKG67"/>
      <c r="UKH67"/>
      <c r="UKI67"/>
      <c r="UKJ67"/>
      <c r="UKK67"/>
      <c r="UKL67"/>
      <c r="UKM67"/>
      <c r="UKN67"/>
      <c r="UKO67"/>
      <c r="UKP67"/>
      <c r="UKQ67"/>
      <c r="UKR67"/>
      <c r="UKS67"/>
      <c r="UKT67"/>
      <c r="UKU67"/>
      <c r="UKV67"/>
      <c r="UKW67"/>
      <c r="UKX67"/>
      <c r="UKY67"/>
      <c r="UKZ67"/>
      <c r="ULA67"/>
      <c r="ULB67"/>
      <c r="ULC67"/>
      <c r="ULD67"/>
      <c r="ULE67"/>
      <c r="ULF67"/>
      <c r="ULG67"/>
      <c r="ULH67"/>
      <c r="ULI67"/>
      <c r="ULJ67"/>
      <c r="ULK67"/>
      <c r="ULL67"/>
      <c r="ULM67"/>
      <c r="ULN67"/>
      <c r="ULO67"/>
      <c r="ULP67"/>
      <c r="ULQ67"/>
      <c r="ULR67"/>
      <c r="ULS67"/>
      <c r="ULT67"/>
      <c r="ULU67"/>
      <c r="ULV67"/>
      <c r="ULW67"/>
      <c r="ULX67"/>
      <c r="ULY67"/>
      <c r="ULZ67"/>
      <c r="UMA67"/>
      <c r="UMB67"/>
      <c r="UMC67"/>
      <c r="UMD67"/>
      <c r="UME67"/>
      <c r="UMF67"/>
      <c r="UMG67"/>
      <c r="UMH67"/>
      <c r="UMI67"/>
      <c r="UMJ67"/>
      <c r="UMK67"/>
      <c r="UML67"/>
      <c r="UMM67"/>
      <c r="UMN67"/>
      <c r="UMO67"/>
      <c r="UMP67"/>
      <c r="UMQ67"/>
      <c r="UMR67"/>
      <c r="UMS67"/>
      <c r="UMT67"/>
      <c r="UMU67"/>
      <c r="UMV67"/>
      <c r="UMW67"/>
      <c r="UMX67"/>
      <c r="UMY67"/>
      <c r="UMZ67"/>
      <c r="UNA67"/>
      <c r="UNB67"/>
      <c r="UNC67"/>
      <c r="UND67"/>
      <c r="UNE67"/>
      <c r="UNF67"/>
      <c r="UNG67"/>
      <c r="UNH67"/>
      <c r="UNI67"/>
      <c r="UNJ67"/>
      <c r="UNK67"/>
      <c r="UNL67"/>
      <c r="UNM67"/>
      <c r="UNN67"/>
      <c r="UNO67"/>
      <c r="UNP67"/>
      <c r="UNQ67"/>
      <c r="UNR67"/>
      <c r="UNS67"/>
      <c r="UNT67"/>
      <c r="UNU67"/>
      <c r="UNV67"/>
      <c r="UNW67"/>
      <c r="UNX67"/>
      <c r="UNY67"/>
      <c r="UNZ67"/>
      <c r="UOA67"/>
      <c r="UOB67"/>
      <c r="UOC67"/>
      <c r="UOD67"/>
      <c r="UOE67"/>
      <c r="UOF67"/>
      <c r="UOG67"/>
      <c r="UOH67"/>
      <c r="UOI67"/>
      <c r="UOJ67"/>
      <c r="UOK67"/>
      <c r="UOL67"/>
      <c r="UOM67"/>
      <c r="UON67"/>
      <c r="UOO67"/>
      <c r="UOP67"/>
      <c r="UOQ67"/>
      <c r="UOR67"/>
      <c r="UOS67"/>
      <c r="UOT67"/>
      <c r="UOU67"/>
      <c r="UOV67"/>
      <c r="UOW67"/>
      <c r="UOX67"/>
      <c r="UOY67"/>
      <c r="UOZ67"/>
      <c r="UPA67"/>
      <c r="UPB67"/>
      <c r="UPC67"/>
      <c r="UPD67"/>
      <c r="UPE67"/>
      <c r="UPF67"/>
      <c r="UPG67"/>
      <c r="UPH67"/>
      <c r="UPI67"/>
      <c r="UPJ67"/>
      <c r="UPK67"/>
      <c r="UPL67"/>
      <c r="UPM67"/>
      <c r="UPN67"/>
      <c r="UPO67"/>
      <c r="UPP67"/>
      <c r="UPQ67"/>
      <c r="UPR67"/>
      <c r="UPS67"/>
      <c r="UPT67"/>
      <c r="UPU67"/>
      <c r="UPV67"/>
      <c r="UPW67"/>
      <c r="UPX67"/>
      <c r="UPY67"/>
      <c r="UPZ67"/>
      <c r="UQA67"/>
      <c r="UQB67"/>
      <c r="UQC67"/>
      <c r="UQD67"/>
      <c r="UQE67"/>
      <c r="UQF67"/>
      <c r="UQG67"/>
      <c r="UQH67"/>
      <c r="UQI67"/>
      <c r="UQJ67"/>
      <c r="UQK67"/>
      <c r="UQL67"/>
      <c r="UQM67"/>
      <c r="UQN67"/>
      <c r="UQO67"/>
      <c r="UQP67"/>
      <c r="UQQ67"/>
      <c r="UQR67"/>
      <c r="UQS67"/>
      <c r="UQT67"/>
      <c r="UQU67"/>
      <c r="UQV67"/>
      <c r="UQW67"/>
      <c r="UQX67"/>
      <c r="UQY67"/>
      <c r="UQZ67"/>
      <c r="URA67"/>
      <c r="URB67"/>
      <c r="URC67"/>
      <c r="URD67"/>
      <c r="URE67"/>
      <c r="URF67"/>
      <c r="URG67"/>
      <c r="URH67"/>
      <c r="URI67"/>
      <c r="URJ67"/>
      <c r="URK67"/>
      <c r="URL67"/>
      <c r="URM67"/>
      <c r="URN67"/>
      <c r="URO67"/>
      <c r="URP67"/>
      <c r="URQ67"/>
      <c r="URR67"/>
      <c r="URS67"/>
      <c r="URT67"/>
      <c r="URU67"/>
      <c r="URV67"/>
      <c r="URW67"/>
      <c r="URX67"/>
      <c r="URY67"/>
      <c r="URZ67"/>
      <c r="USA67"/>
      <c r="USB67"/>
      <c r="USC67"/>
      <c r="USD67"/>
      <c r="USE67"/>
      <c r="USF67"/>
      <c r="USG67"/>
      <c r="USH67"/>
      <c r="USI67"/>
      <c r="USJ67"/>
      <c r="USK67"/>
      <c r="USL67"/>
      <c r="USM67"/>
      <c r="USN67"/>
      <c r="USO67"/>
      <c r="USP67"/>
      <c r="USQ67"/>
      <c r="USR67"/>
      <c r="USS67"/>
      <c r="UST67"/>
      <c r="USU67"/>
      <c r="USV67"/>
      <c r="USW67"/>
      <c r="USX67"/>
      <c r="USY67"/>
      <c r="USZ67"/>
      <c r="UTA67"/>
      <c r="UTB67"/>
      <c r="UTC67"/>
      <c r="UTD67"/>
      <c r="UTE67"/>
      <c r="UTF67"/>
      <c r="UTG67"/>
      <c r="UTH67"/>
      <c r="UTI67"/>
      <c r="UTJ67"/>
      <c r="UTK67"/>
      <c r="UTL67"/>
      <c r="UTM67"/>
      <c r="UTN67"/>
      <c r="UTO67"/>
      <c r="UTP67"/>
      <c r="UTQ67"/>
      <c r="UTR67"/>
      <c r="UTS67"/>
      <c r="UTT67"/>
      <c r="UTU67"/>
      <c r="UTV67"/>
      <c r="UTW67"/>
      <c r="UTX67"/>
      <c r="UTY67"/>
      <c r="UTZ67"/>
      <c r="UUA67"/>
      <c r="UUB67"/>
      <c r="UUC67"/>
      <c r="UUD67"/>
      <c r="UUE67"/>
      <c r="UUF67"/>
      <c r="UUG67"/>
      <c r="UUH67"/>
      <c r="UUI67"/>
      <c r="UUJ67"/>
      <c r="UUK67"/>
      <c r="UUL67"/>
      <c r="UUM67"/>
      <c r="UUN67"/>
      <c r="UUO67"/>
      <c r="UUP67"/>
      <c r="UUQ67"/>
      <c r="UUR67"/>
      <c r="UUS67"/>
      <c r="UUT67"/>
      <c r="UUU67"/>
      <c r="UUV67"/>
      <c r="UUW67"/>
      <c r="UUX67"/>
      <c r="UUY67"/>
      <c r="UUZ67"/>
      <c r="UVA67"/>
      <c r="UVB67"/>
      <c r="UVC67"/>
      <c r="UVD67"/>
      <c r="UVE67"/>
      <c r="UVF67"/>
      <c r="UVG67"/>
      <c r="UVH67"/>
      <c r="UVI67"/>
      <c r="UVJ67"/>
      <c r="UVK67"/>
      <c r="UVL67"/>
      <c r="UVM67"/>
      <c r="UVN67"/>
      <c r="UVO67"/>
      <c r="UVP67"/>
      <c r="UVQ67"/>
      <c r="UVR67"/>
      <c r="UVS67"/>
      <c r="UVT67"/>
      <c r="UVU67"/>
      <c r="UVV67"/>
      <c r="UVW67"/>
      <c r="UVX67"/>
      <c r="UVY67"/>
      <c r="UVZ67"/>
      <c r="UWA67"/>
      <c r="UWB67"/>
      <c r="UWC67"/>
      <c r="UWD67"/>
      <c r="UWE67"/>
      <c r="UWF67"/>
      <c r="UWG67"/>
      <c r="UWH67"/>
      <c r="UWI67"/>
      <c r="UWJ67"/>
      <c r="UWK67"/>
      <c r="UWL67"/>
      <c r="UWM67"/>
      <c r="UWN67"/>
      <c r="UWO67"/>
      <c r="UWP67"/>
      <c r="UWQ67"/>
      <c r="UWR67"/>
      <c r="UWS67"/>
      <c r="UWT67"/>
      <c r="UWU67"/>
      <c r="UWV67"/>
      <c r="UWW67"/>
      <c r="UWX67"/>
      <c r="UWY67"/>
      <c r="UWZ67"/>
      <c r="UXA67"/>
      <c r="UXB67"/>
      <c r="UXC67"/>
      <c r="UXD67"/>
      <c r="UXE67"/>
      <c r="UXF67"/>
      <c r="UXG67"/>
      <c r="UXH67"/>
      <c r="UXI67"/>
      <c r="UXJ67"/>
      <c r="UXK67"/>
      <c r="UXL67"/>
      <c r="UXM67"/>
      <c r="UXN67"/>
      <c r="UXO67"/>
      <c r="UXP67"/>
      <c r="UXQ67"/>
      <c r="UXR67"/>
      <c r="UXS67"/>
      <c r="UXT67"/>
      <c r="UXU67"/>
      <c r="UXV67"/>
      <c r="UXW67"/>
      <c r="UXX67"/>
      <c r="UXY67"/>
      <c r="UXZ67"/>
      <c r="UYA67"/>
      <c r="UYB67"/>
      <c r="UYC67"/>
      <c r="UYD67"/>
      <c r="UYE67"/>
      <c r="UYF67"/>
      <c r="UYG67"/>
      <c r="UYH67"/>
      <c r="UYI67"/>
      <c r="UYJ67"/>
      <c r="UYK67"/>
      <c r="UYL67"/>
      <c r="UYM67"/>
      <c r="UYN67"/>
      <c r="UYO67"/>
      <c r="UYP67"/>
      <c r="UYQ67"/>
      <c r="UYR67"/>
      <c r="UYS67"/>
      <c r="UYT67"/>
      <c r="UYU67"/>
      <c r="UYV67"/>
      <c r="UYW67"/>
      <c r="UYX67"/>
      <c r="UYY67"/>
      <c r="UYZ67"/>
      <c r="UZA67"/>
      <c r="UZB67"/>
      <c r="UZC67"/>
      <c r="UZD67"/>
      <c r="UZE67"/>
      <c r="UZF67"/>
      <c r="UZG67"/>
      <c r="UZH67"/>
      <c r="UZI67"/>
      <c r="UZJ67"/>
      <c r="UZK67"/>
      <c r="UZL67"/>
      <c r="UZM67"/>
      <c r="UZN67"/>
      <c r="UZO67"/>
      <c r="UZP67"/>
      <c r="UZQ67"/>
      <c r="UZR67"/>
      <c r="UZS67"/>
      <c r="UZT67"/>
      <c r="UZU67"/>
      <c r="UZV67"/>
      <c r="UZW67"/>
      <c r="UZX67"/>
      <c r="UZY67"/>
      <c r="UZZ67"/>
      <c r="VAA67"/>
      <c r="VAB67"/>
      <c r="VAC67"/>
      <c r="VAD67"/>
      <c r="VAE67"/>
      <c r="VAF67"/>
      <c r="VAG67"/>
      <c r="VAH67"/>
      <c r="VAI67"/>
      <c r="VAJ67"/>
      <c r="VAK67"/>
      <c r="VAL67"/>
      <c r="VAM67"/>
      <c r="VAN67"/>
      <c r="VAO67"/>
      <c r="VAP67"/>
      <c r="VAQ67"/>
      <c r="VAR67"/>
      <c r="VAS67"/>
      <c r="VAT67"/>
      <c r="VAU67"/>
      <c r="VAV67"/>
      <c r="VAW67"/>
      <c r="VAX67"/>
      <c r="VAY67"/>
      <c r="VAZ67"/>
      <c r="VBA67"/>
      <c r="VBB67"/>
      <c r="VBC67"/>
      <c r="VBD67"/>
      <c r="VBE67"/>
      <c r="VBF67"/>
      <c r="VBG67"/>
      <c r="VBH67"/>
      <c r="VBI67"/>
      <c r="VBJ67"/>
      <c r="VBK67"/>
      <c r="VBL67"/>
      <c r="VBM67"/>
      <c r="VBN67"/>
      <c r="VBO67"/>
      <c r="VBP67"/>
      <c r="VBQ67"/>
      <c r="VBR67"/>
      <c r="VBS67"/>
      <c r="VBT67"/>
      <c r="VBU67"/>
      <c r="VBV67"/>
      <c r="VBW67"/>
      <c r="VBX67"/>
      <c r="VBY67"/>
      <c r="VBZ67"/>
      <c r="VCA67"/>
      <c r="VCB67"/>
      <c r="VCC67"/>
      <c r="VCD67"/>
      <c r="VCE67"/>
      <c r="VCF67"/>
      <c r="VCG67"/>
      <c r="VCH67"/>
      <c r="VCI67"/>
      <c r="VCJ67"/>
      <c r="VCK67"/>
      <c r="VCL67"/>
      <c r="VCM67"/>
      <c r="VCN67"/>
      <c r="VCO67"/>
      <c r="VCP67"/>
      <c r="VCQ67"/>
      <c r="VCR67"/>
      <c r="VCS67"/>
      <c r="VCT67"/>
      <c r="VCU67"/>
      <c r="VCV67"/>
      <c r="VCW67"/>
      <c r="VCX67"/>
      <c r="VCY67"/>
      <c r="VCZ67"/>
      <c r="VDA67"/>
      <c r="VDB67"/>
      <c r="VDC67"/>
      <c r="VDD67"/>
      <c r="VDE67"/>
      <c r="VDF67"/>
      <c r="VDG67"/>
      <c r="VDH67"/>
      <c r="VDI67"/>
      <c r="VDJ67"/>
      <c r="VDK67"/>
      <c r="VDL67"/>
      <c r="VDM67"/>
      <c r="VDN67"/>
      <c r="VDO67"/>
      <c r="VDP67"/>
      <c r="VDQ67"/>
      <c r="VDR67"/>
      <c r="VDS67"/>
      <c r="VDT67"/>
      <c r="VDU67"/>
      <c r="VDV67"/>
      <c r="VDW67"/>
      <c r="VDX67"/>
      <c r="VDY67"/>
      <c r="VDZ67"/>
      <c r="VEA67"/>
      <c r="VEB67"/>
      <c r="VEC67"/>
      <c r="VED67"/>
      <c r="VEE67"/>
      <c r="VEF67"/>
      <c r="VEG67"/>
      <c r="VEH67"/>
      <c r="VEI67"/>
      <c r="VEJ67"/>
      <c r="VEK67"/>
      <c r="VEL67"/>
      <c r="VEM67"/>
      <c r="VEN67"/>
      <c r="VEO67"/>
      <c r="VEP67"/>
      <c r="VEQ67"/>
      <c r="VER67"/>
      <c r="VES67"/>
      <c r="VET67"/>
      <c r="VEU67"/>
      <c r="VEV67"/>
      <c r="VEW67"/>
      <c r="VEX67"/>
      <c r="VEY67"/>
      <c r="VEZ67"/>
      <c r="VFA67"/>
      <c r="VFB67"/>
      <c r="VFC67"/>
      <c r="VFD67"/>
      <c r="VFE67"/>
      <c r="VFF67"/>
      <c r="VFG67"/>
      <c r="VFH67"/>
      <c r="VFI67"/>
      <c r="VFJ67"/>
      <c r="VFK67"/>
      <c r="VFL67"/>
      <c r="VFM67"/>
      <c r="VFN67"/>
      <c r="VFO67"/>
      <c r="VFP67"/>
      <c r="VFQ67"/>
      <c r="VFR67"/>
      <c r="VFS67"/>
      <c r="VFT67"/>
      <c r="VFU67"/>
      <c r="VFV67"/>
      <c r="VFW67"/>
      <c r="VFX67"/>
      <c r="VFY67"/>
      <c r="VFZ67"/>
      <c r="VGA67"/>
      <c r="VGB67"/>
      <c r="VGC67"/>
      <c r="VGD67"/>
      <c r="VGE67"/>
      <c r="VGF67"/>
      <c r="VGG67"/>
      <c r="VGH67"/>
      <c r="VGI67"/>
      <c r="VGJ67"/>
      <c r="VGK67"/>
      <c r="VGL67"/>
      <c r="VGM67"/>
      <c r="VGN67"/>
      <c r="VGO67"/>
      <c r="VGP67"/>
      <c r="VGQ67"/>
      <c r="VGR67"/>
      <c r="VGS67"/>
      <c r="VGT67"/>
      <c r="VGU67"/>
      <c r="VGV67"/>
      <c r="VGW67"/>
      <c r="VGX67"/>
      <c r="VGY67"/>
      <c r="VGZ67"/>
      <c r="VHA67"/>
      <c r="VHB67"/>
      <c r="VHC67"/>
      <c r="VHD67"/>
      <c r="VHE67"/>
      <c r="VHF67"/>
      <c r="VHG67"/>
      <c r="VHH67"/>
      <c r="VHI67"/>
      <c r="VHJ67"/>
      <c r="VHK67"/>
      <c r="VHL67"/>
      <c r="VHM67"/>
      <c r="VHN67"/>
      <c r="VHO67"/>
      <c r="VHP67"/>
      <c r="VHQ67"/>
      <c r="VHR67"/>
      <c r="VHS67"/>
      <c r="VHT67"/>
      <c r="VHU67"/>
      <c r="VHV67"/>
      <c r="VHW67"/>
      <c r="VHX67"/>
      <c r="VHY67"/>
      <c r="VHZ67"/>
      <c r="VIA67"/>
      <c r="VIB67"/>
      <c r="VIC67"/>
      <c r="VID67"/>
      <c r="VIE67"/>
      <c r="VIF67"/>
      <c r="VIG67"/>
      <c r="VIH67"/>
      <c r="VII67"/>
      <c r="VIJ67"/>
      <c r="VIK67"/>
      <c r="VIL67"/>
      <c r="VIM67"/>
      <c r="VIN67"/>
      <c r="VIO67"/>
      <c r="VIP67"/>
      <c r="VIQ67"/>
      <c r="VIR67"/>
      <c r="VIS67"/>
      <c r="VIT67"/>
      <c r="VIU67"/>
      <c r="VIV67"/>
      <c r="VIW67"/>
      <c r="VIX67"/>
      <c r="VIY67"/>
      <c r="VIZ67"/>
      <c r="VJA67"/>
      <c r="VJB67"/>
      <c r="VJC67"/>
      <c r="VJD67"/>
      <c r="VJE67"/>
      <c r="VJF67"/>
      <c r="VJG67"/>
      <c r="VJH67"/>
      <c r="VJI67"/>
      <c r="VJJ67"/>
      <c r="VJK67"/>
      <c r="VJL67"/>
      <c r="VJM67"/>
      <c r="VJN67"/>
      <c r="VJO67"/>
      <c r="VJP67"/>
      <c r="VJQ67"/>
      <c r="VJR67"/>
      <c r="VJS67"/>
      <c r="VJT67"/>
      <c r="VJU67"/>
      <c r="VJV67"/>
      <c r="VJW67"/>
      <c r="VJX67"/>
      <c r="VJY67"/>
      <c r="VJZ67"/>
      <c r="VKA67"/>
      <c r="VKB67"/>
      <c r="VKC67"/>
      <c r="VKD67"/>
      <c r="VKE67"/>
      <c r="VKF67"/>
      <c r="VKG67"/>
      <c r="VKH67"/>
      <c r="VKI67"/>
      <c r="VKJ67"/>
      <c r="VKK67"/>
      <c r="VKL67"/>
      <c r="VKM67"/>
      <c r="VKN67"/>
      <c r="VKO67"/>
      <c r="VKP67"/>
      <c r="VKQ67"/>
      <c r="VKR67"/>
      <c r="VKS67"/>
      <c r="VKT67"/>
      <c r="VKU67"/>
      <c r="VKV67"/>
      <c r="VKW67"/>
      <c r="VKX67"/>
      <c r="VKY67"/>
      <c r="VKZ67"/>
      <c r="VLA67"/>
      <c r="VLB67"/>
      <c r="VLC67"/>
      <c r="VLD67"/>
      <c r="VLE67"/>
      <c r="VLF67"/>
      <c r="VLG67"/>
      <c r="VLH67"/>
      <c r="VLI67"/>
      <c r="VLJ67"/>
      <c r="VLK67"/>
      <c r="VLL67"/>
      <c r="VLM67"/>
      <c r="VLN67"/>
      <c r="VLO67"/>
      <c r="VLP67"/>
      <c r="VLQ67"/>
      <c r="VLR67"/>
      <c r="VLS67"/>
      <c r="VLT67"/>
      <c r="VLU67"/>
      <c r="VLV67"/>
      <c r="VLW67"/>
      <c r="VLX67"/>
      <c r="VLY67"/>
      <c r="VLZ67"/>
      <c r="VMA67"/>
      <c r="VMB67"/>
      <c r="VMC67"/>
      <c r="VMD67"/>
      <c r="VME67"/>
      <c r="VMF67"/>
      <c r="VMG67"/>
      <c r="VMH67"/>
      <c r="VMI67"/>
      <c r="VMJ67"/>
      <c r="VMK67"/>
      <c r="VML67"/>
      <c r="VMM67"/>
      <c r="VMN67"/>
      <c r="VMO67"/>
      <c r="VMP67"/>
      <c r="VMQ67"/>
      <c r="VMR67"/>
      <c r="VMS67"/>
      <c r="VMT67"/>
      <c r="VMU67"/>
      <c r="VMV67"/>
      <c r="VMW67"/>
      <c r="VMX67"/>
      <c r="VMY67"/>
      <c r="VMZ67"/>
      <c r="VNA67"/>
      <c r="VNB67"/>
      <c r="VNC67"/>
      <c r="VND67"/>
      <c r="VNE67"/>
      <c r="VNF67"/>
      <c r="VNG67"/>
      <c r="VNH67"/>
      <c r="VNI67"/>
      <c r="VNJ67"/>
      <c r="VNK67"/>
      <c r="VNL67"/>
      <c r="VNM67"/>
      <c r="VNN67"/>
      <c r="VNO67"/>
      <c r="VNP67"/>
      <c r="VNQ67"/>
      <c r="VNR67"/>
      <c r="VNS67"/>
      <c r="VNT67"/>
      <c r="VNU67"/>
      <c r="VNV67"/>
      <c r="VNW67"/>
      <c r="VNX67"/>
      <c r="VNY67"/>
      <c r="VNZ67"/>
      <c r="VOA67"/>
      <c r="VOB67"/>
      <c r="VOC67"/>
      <c r="VOD67"/>
      <c r="VOE67"/>
      <c r="VOF67"/>
      <c r="VOG67"/>
      <c r="VOH67"/>
      <c r="VOI67"/>
      <c r="VOJ67"/>
      <c r="VOK67"/>
      <c r="VOL67"/>
      <c r="VOM67"/>
      <c r="VON67"/>
      <c r="VOO67"/>
      <c r="VOP67"/>
      <c r="VOQ67"/>
      <c r="VOR67"/>
      <c r="VOS67"/>
      <c r="VOT67"/>
      <c r="VOU67"/>
      <c r="VOV67"/>
      <c r="VOW67"/>
      <c r="VOX67"/>
      <c r="VOY67"/>
      <c r="VOZ67"/>
      <c r="VPA67"/>
      <c r="VPB67"/>
      <c r="VPC67"/>
      <c r="VPD67"/>
      <c r="VPE67"/>
      <c r="VPF67"/>
      <c r="VPG67"/>
      <c r="VPH67"/>
      <c r="VPI67"/>
      <c r="VPJ67"/>
      <c r="VPK67"/>
      <c r="VPL67"/>
      <c r="VPM67"/>
      <c r="VPN67"/>
      <c r="VPO67"/>
      <c r="VPP67"/>
      <c r="VPQ67"/>
      <c r="VPR67"/>
      <c r="VPS67"/>
      <c r="VPT67"/>
      <c r="VPU67"/>
      <c r="VPV67"/>
      <c r="VPW67"/>
      <c r="VPX67"/>
      <c r="VPY67"/>
      <c r="VPZ67"/>
      <c r="VQA67"/>
      <c r="VQB67"/>
      <c r="VQC67"/>
      <c r="VQD67"/>
      <c r="VQE67"/>
      <c r="VQF67"/>
      <c r="VQG67"/>
      <c r="VQH67"/>
      <c r="VQI67"/>
      <c r="VQJ67"/>
      <c r="VQK67"/>
      <c r="VQL67"/>
      <c r="VQM67"/>
      <c r="VQN67"/>
      <c r="VQO67"/>
      <c r="VQP67"/>
      <c r="VQQ67"/>
      <c r="VQR67"/>
      <c r="VQS67"/>
      <c r="VQT67"/>
      <c r="VQU67"/>
      <c r="VQV67"/>
      <c r="VQW67"/>
      <c r="VQX67"/>
      <c r="VQY67"/>
      <c r="VQZ67"/>
      <c r="VRA67"/>
      <c r="VRB67"/>
      <c r="VRC67"/>
      <c r="VRD67"/>
      <c r="VRE67"/>
      <c r="VRF67"/>
      <c r="VRG67"/>
      <c r="VRH67"/>
      <c r="VRI67"/>
      <c r="VRJ67"/>
      <c r="VRK67"/>
      <c r="VRL67"/>
      <c r="VRM67"/>
      <c r="VRN67"/>
      <c r="VRO67"/>
      <c r="VRP67"/>
      <c r="VRQ67"/>
      <c r="VRR67"/>
      <c r="VRS67"/>
      <c r="VRT67"/>
      <c r="VRU67"/>
      <c r="VRV67"/>
      <c r="VRW67"/>
      <c r="VRX67"/>
      <c r="VRY67"/>
      <c r="VRZ67"/>
      <c r="VSA67"/>
      <c r="VSB67"/>
      <c r="VSC67"/>
      <c r="VSD67"/>
      <c r="VSE67"/>
      <c r="VSF67"/>
      <c r="VSG67"/>
      <c r="VSH67"/>
      <c r="VSI67"/>
      <c r="VSJ67"/>
      <c r="VSK67"/>
      <c r="VSL67"/>
      <c r="VSM67"/>
      <c r="VSN67"/>
      <c r="VSO67"/>
      <c r="VSP67"/>
      <c r="VSQ67"/>
      <c r="VSR67"/>
      <c r="VSS67"/>
      <c r="VST67"/>
      <c r="VSU67"/>
      <c r="VSV67"/>
      <c r="VSW67"/>
      <c r="VSX67"/>
      <c r="VSY67"/>
      <c r="VSZ67"/>
      <c r="VTA67"/>
      <c r="VTB67"/>
      <c r="VTC67"/>
      <c r="VTD67"/>
      <c r="VTE67"/>
      <c r="VTF67"/>
      <c r="VTG67"/>
      <c r="VTH67"/>
      <c r="VTI67"/>
      <c r="VTJ67"/>
      <c r="VTK67"/>
      <c r="VTL67"/>
      <c r="VTM67"/>
      <c r="VTN67"/>
      <c r="VTO67"/>
      <c r="VTP67"/>
      <c r="VTQ67"/>
      <c r="VTR67"/>
      <c r="VTS67"/>
      <c r="VTT67"/>
      <c r="VTU67"/>
      <c r="VTV67"/>
      <c r="VTW67"/>
      <c r="VTX67"/>
      <c r="VTY67"/>
      <c r="VTZ67"/>
      <c r="VUA67"/>
      <c r="VUB67"/>
      <c r="VUC67"/>
      <c r="VUD67"/>
      <c r="VUE67"/>
      <c r="VUF67"/>
      <c r="VUG67"/>
      <c r="VUH67"/>
      <c r="VUI67"/>
      <c r="VUJ67"/>
      <c r="VUK67"/>
      <c r="VUL67"/>
      <c r="VUM67"/>
      <c r="VUN67"/>
      <c r="VUO67"/>
      <c r="VUP67"/>
      <c r="VUQ67"/>
      <c r="VUR67"/>
      <c r="VUS67"/>
      <c r="VUT67"/>
      <c r="VUU67"/>
      <c r="VUV67"/>
      <c r="VUW67"/>
      <c r="VUX67"/>
      <c r="VUY67"/>
      <c r="VUZ67"/>
      <c r="VVA67"/>
      <c r="VVB67"/>
      <c r="VVC67"/>
      <c r="VVD67"/>
      <c r="VVE67"/>
      <c r="VVF67"/>
      <c r="VVG67"/>
      <c r="VVH67"/>
      <c r="VVI67"/>
      <c r="VVJ67"/>
      <c r="VVK67"/>
      <c r="VVL67"/>
      <c r="VVM67"/>
      <c r="VVN67"/>
      <c r="VVO67"/>
      <c r="VVP67"/>
      <c r="VVQ67"/>
      <c r="VVR67"/>
      <c r="VVS67"/>
      <c r="VVT67"/>
      <c r="VVU67"/>
      <c r="VVV67"/>
      <c r="VVW67"/>
      <c r="VVX67"/>
      <c r="VVY67"/>
      <c r="VVZ67"/>
      <c r="VWA67"/>
      <c r="VWB67"/>
      <c r="VWC67"/>
      <c r="VWD67"/>
      <c r="VWE67"/>
      <c r="VWF67"/>
      <c r="VWG67"/>
      <c r="VWH67"/>
      <c r="VWI67"/>
      <c r="VWJ67"/>
      <c r="VWK67"/>
      <c r="VWL67"/>
      <c r="VWM67"/>
      <c r="VWN67"/>
      <c r="VWO67"/>
      <c r="VWP67"/>
      <c r="VWQ67"/>
      <c r="VWR67"/>
      <c r="VWS67"/>
      <c r="VWT67"/>
      <c r="VWU67"/>
      <c r="VWV67"/>
      <c r="VWW67"/>
      <c r="VWX67"/>
      <c r="VWY67"/>
      <c r="VWZ67"/>
      <c r="VXA67"/>
      <c r="VXB67"/>
      <c r="VXC67"/>
      <c r="VXD67"/>
      <c r="VXE67"/>
      <c r="VXF67"/>
      <c r="VXG67"/>
      <c r="VXH67"/>
      <c r="VXI67"/>
      <c r="VXJ67"/>
      <c r="VXK67"/>
      <c r="VXL67"/>
      <c r="VXM67"/>
      <c r="VXN67"/>
      <c r="VXO67"/>
      <c r="VXP67"/>
      <c r="VXQ67"/>
      <c r="VXR67"/>
      <c r="VXS67"/>
      <c r="VXT67"/>
      <c r="VXU67"/>
      <c r="VXV67"/>
      <c r="VXW67"/>
      <c r="VXX67"/>
      <c r="VXY67"/>
      <c r="VXZ67"/>
      <c r="VYA67"/>
      <c r="VYB67"/>
      <c r="VYC67"/>
      <c r="VYD67"/>
      <c r="VYE67"/>
      <c r="VYF67"/>
      <c r="VYG67"/>
      <c r="VYH67"/>
      <c r="VYI67"/>
      <c r="VYJ67"/>
      <c r="VYK67"/>
      <c r="VYL67"/>
      <c r="VYM67"/>
      <c r="VYN67"/>
      <c r="VYO67"/>
      <c r="VYP67"/>
      <c r="VYQ67"/>
      <c r="VYR67"/>
      <c r="VYS67"/>
      <c r="VYT67"/>
      <c r="VYU67"/>
      <c r="VYV67"/>
      <c r="VYW67"/>
      <c r="VYX67"/>
      <c r="VYY67"/>
      <c r="VYZ67"/>
      <c r="VZA67"/>
      <c r="VZB67"/>
      <c r="VZC67"/>
      <c r="VZD67"/>
      <c r="VZE67"/>
      <c r="VZF67"/>
      <c r="VZG67"/>
      <c r="VZH67"/>
      <c r="VZI67"/>
      <c r="VZJ67"/>
      <c r="VZK67"/>
      <c r="VZL67"/>
      <c r="VZM67"/>
      <c r="VZN67"/>
      <c r="VZO67"/>
      <c r="VZP67"/>
      <c r="VZQ67"/>
      <c r="VZR67"/>
      <c r="VZS67"/>
      <c r="VZT67"/>
      <c r="VZU67"/>
      <c r="VZV67"/>
      <c r="VZW67"/>
      <c r="VZX67"/>
      <c r="VZY67"/>
      <c r="VZZ67"/>
      <c r="WAA67"/>
      <c r="WAB67"/>
      <c r="WAC67"/>
      <c r="WAD67"/>
      <c r="WAE67"/>
      <c r="WAF67"/>
      <c r="WAG67"/>
      <c r="WAH67"/>
      <c r="WAI67"/>
      <c r="WAJ67"/>
      <c r="WAK67"/>
      <c r="WAL67"/>
      <c r="WAM67"/>
      <c r="WAN67"/>
      <c r="WAO67"/>
      <c r="WAP67"/>
      <c r="WAQ67"/>
      <c r="WAR67"/>
      <c r="WAS67"/>
      <c r="WAT67"/>
      <c r="WAU67"/>
      <c r="WAV67"/>
      <c r="WAW67"/>
      <c r="WAX67"/>
      <c r="WAY67"/>
      <c r="WAZ67"/>
      <c r="WBA67"/>
      <c r="WBB67"/>
      <c r="WBC67"/>
      <c r="WBD67"/>
      <c r="WBE67"/>
      <c r="WBF67"/>
      <c r="WBG67"/>
      <c r="WBH67"/>
      <c r="WBI67"/>
      <c r="WBJ67"/>
      <c r="WBK67"/>
      <c r="WBL67"/>
      <c r="WBM67"/>
      <c r="WBN67"/>
      <c r="WBO67"/>
      <c r="WBP67"/>
      <c r="WBQ67"/>
      <c r="WBR67"/>
      <c r="WBS67"/>
      <c r="WBT67"/>
      <c r="WBU67"/>
      <c r="WBV67"/>
      <c r="WBW67"/>
      <c r="WBX67"/>
      <c r="WBY67"/>
      <c r="WBZ67"/>
      <c r="WCA67"/>
      <c r="WCB67"/>
      <c r="WCC67"/>
      <c r="WCD67"/>
      <c r="WCE67"/>
      <c r="WCF67"/>
      <c r="WCG67"/>
      <c r="WCH67"/>
      <c r="WCI67"/>
      <c r="WCJ67"/>
      <c r="WCK67"/>
      <c r="WCL67"/>
      <c r="WCM67"/>
      <c r="WCN67"/>
      <c r="WCO67"/>
      <c r="WCP67"/>
      <c r="WCQ67"/>
      <c r="WCR67"/>
      <c r="WCS67"/>
      <c r="WCT67"/>
      <c r="WCU67"/>
      <c r="WCV67"/>
      <c r="WCW67"/>
      <c r="WCX67"/>
      <c r="WCY67"/>
      <c r="WCZ67"/>
      <c r="WDA67"/>
      <c r="WDB67"/>
      <c r="WDC67"/>
      <c r="WDD67"/>
      <c r="WDE67"/>
      <c r="WDF67"/>
      <c r="WDG67"/>
      <c r="WDH67"/>
      <c r="WDI67"/>
      <c r="WDJ67"/>
      <c r="WDK67"/>
      <c r="WDL67"/>
      <c r="WDM67"/>
      <c r="WDN67"/>
      <c r="WDO67"/>
      <c r="WDP67"/>
      <c r="WDQ67"/>
      <c r="WDR67"/>
      <c r="WDS67"/>
      <c r="WDT67"/>
      <c r="WDU67"/>
      <c r="WDV67"/>
      <c r="WDW67"/>
      <c r="WDX67"/>
      <c r="WDY67"/>
      <c r="WDZ67"/>
      <c r="WEA67"/>
      <c r="WEB67"/>
      <c r="WEC67"/>
      <c r="WED67"/>
      <c r="WEE67"/>
      <c r="WEF67"/>
      <c r="WEG67"/>
      <c r="WEH67"/>
      <c r="WEI67"/>
      <c r="WEJ67"/>
      <c r="WEK67"/>
      <c r="WEL67"/>
      <c r="WEM67"/>
      <c r="WEN67"/>
      <c r="WEO67"/>
      <c r="WEP67"/>
      <c r="WEQ67"/>
      <c r="WER67"/>
      <c r="WES67"/>
      <c r="WET67"/>
      <c r="WEU67"/>
      <c r="WEV67"/>
      <c r="WEW67"/>
      <c r="WEX67"/>
      <c r="WEY67"/>
      <c r="WEZ67"/>
      <c r="WFA67"/>
      <c r="WFB67"/>
      <c r="WFC67"/>
      <c r="WFD67"/>
      <c r="WFE67"/>
      <c r="WFF67"/>
      <c r="WFG67"/>
      <c r="WFH67"/>
      <c r="WFI67"/>
      <c r="WFJ67"/>
      <c r="WFK67"/>
      <c r="WFL67"/>
      <c r="WFM67"/>
      <c r="WFN67"/>
      <c r="WFO67"/>
      <c r="WFP67"/>
      <c r="WFQ67"/>
      <c r="WFR67"/>
      <c r="WFS67"/>
      <c r="WFT67"/>
      <c r="WFU67"/>
      <c r="WFV67"/>
      <c r="WFW67"/>
      <c r="WFX67"/>
      <c r="WFY67"/>
      <c r="WFZ67"/>
      <c r="WGA67"/>
      <c r="WGB67"/>
      <c r="WGC67"/>
      <c r="WGD67"/>
      <c r="WGE67"/>
      <c r="WGF67"/>
      <c r="WGG67"/>
      <c r="WGH67"/>
      <c r="WGI67"/>
      <c r="WGJ67"/>
      <c r="WGK67"/>
      <c r="WGL67"/>
      <c r="WGM67"/>
      <c r="WGN67"/>
      <c r="WGO67"/>
      <c r="WGP67"/>
      <c r="WGQ67"/>
      <c r="WGR67"/>
      <c r="WGS67"/>
      <c r="WGT67"/>
      <c r="WGU67"/>
      <c r="WGV67"/>
      <c r="WGW67"/>
      <c r="WGX67"/>
      <c r="WGY67"/>
      <c r="WGZ67"/>
      <c r="WHA67"/>
      <c r="WHB67"/>
      <c r="WHC67"/>
      <c r="WHD67"/>
      <c r="WHE67"/>
      <c r="WHF67"/>
      <c r="WHG67"/>
      <c r="WHH67"/>
      <c r="WHI67"/>
      <c r="WHJ67"/>
      <c r="WHK67"/>
      <c r="WHL67"/>
      <c r="WHM67"/>
      <c r="WHN67"/>
      <c r="WHO67"/>
      <c r="WHP67"/>
      <c r="WHQ67"/>
      <c r="WHR67"/>
      <c r="WHS67"/>
      <c r="WHT67"/>
      <c r="WHU67"/>
      <c r="WHV67"/>
      <c r="WHW67"/>
      <c r="WHX67"/>
      <c r="WHY67"/>
      <c r="WHZ67"/>
      <c r="WIA67"/>
      <c r="WIB67"/>
      <c r="WIC67"/>
      <c r="WID67"/>
      <c r="WIE67"/>
      <c r="WIF67"/>
      <c r="WIG67"/>
      <c r="WIH67"/>
      <c r="WII67"/>
      <c r="WIJ67"/>
      <c r="WIK67"/>
      <c r="WIL67"/>
      <c r="WIM67"/>
      <c r="WIN67"/>
      <c r="WIO67"/>
      <c r="WIP67"/>
      <c r="WIQ67"/>
      <c r="WIR67"/>
      <c r="WIS67"/>
      <c r="WIT67"/>
      <c r="WIU67"/>
      <c r="WIV67"/>
      <c r="WIW67"/>
      <c r="WIX67"/>
      <c r="WIY67"/>
      <c r="WIZ67"/>
      <c r="WJA67"/>
      <c r="WJB67"/>
      <c r="WJC67"/>
      <c r="WJD67"/>
      <c r="WJE67"/>
      <c r="WJF67"/>
      <c r="WJG67"/>
      <c r="WJH67"/>
      <c r="WJI67"/>
      <c r="WJJ67"/>
      <c r="WJK67"/>
      <c r="WJL67"/>
      <c r="WJM67"/>
      <c r="WJN67"/>
      <c r="WJO67"/>
      <c r="WJP67"/>
      <c r="WJQ67"/>
      <c r="WJR67"/>
      <c r="WJS67"/>
      <c r="WJT67"/>
      <c r="WJU67"/>
      <c r="WJV67"/>
      <c r="WJW67"/>
      <c r="WJX67"/>
      <c r="WJY67"/>
      <c r="WJZ67"/>
      <c r="WKA67"/>
      <c r="WKB67"/>
      <c r="WKC67"/>
      <c r="WKD67"/>
      <c r="WKE67"/>
      <c r="WKF67"/>
      <c r="WKG67"/>
      <c r="WKH67"/>
      <c r="WKI67"/>
      <c r="WKJ67"/>
      <c r="WKK67"/>
      <c r="WKL67"/>
      <c r="WKM67"/>
      <c r="WKN67"/>
      <c r="WKO67"/>
      <c r="WKP67"/>
      <c r="WKQ67"/>
      <c r="WKR67"/>
      <c r="WKS67"/>
      <c r="WKT67"/>
      <c r="WKU67"/>
      <c r="WKV67"/>
      <c r="WKW67"/>
      <c r="WKX67"/>
      <c r="WKY67"/>
      <c r="WKZ67"/>
      <c r="WLA67"/>
      <c r="WLB67"/>
      <c r="WLC67"/>
      <c r="WLD67"/>
      <c r="WLE67"/>
      <c r="WLF67"/>
      <c r="WLG67"/>
      <c r="WLH67"/>
      <c r="WLI67"/>
      <c r="WLJ67"/>
      <c r="WLK67"/>
      <c r="WLL67"/>
      <c r="WLM67"/>
      <c r="WLN67"/>
      <c r="WLO67"/>
      <c r="WLP67"/>
      <c r="WLQ67"/>
      <c r="WLR67"/>
      <c r="WLS67"/>
      <c r="WLT67"/>
      <c r="WLU67"/>
      <c r="WLV67"/>
      <c r="WLW67"/>
      <c r="WLX67"/>
      <c r="WLY67"/>
      <c r="WLZ67"/>
      <c r="WMA67"/>
      <c r="WMB67"/>
      <c r="WMC67"/>
      <c r="WMD67"/>
      <c r="WME67"/>
      <c r="WMF67"/>
      <c r="WMG67"/>
      <c r="WMH67"/>
      <c r="WMI67"/>
      <c r="WMJ67"/>
      <c r="WMK67"/>
      <c r="WML67"/>
      <c r="WMM67"/>
      <c r="WMN67"/>
      <c r="WMO67"/>
      <c r="WMP67"/>
      <c r="WMQ67"/>
      <c r="WMR67"/>
      <c r="WMS67"/>
      <c r="WMT67"/>
      <c r="WMU67"/>
      <c r="WMV67"/>
      <c r="WMW67"/>
      <c r="WMX67"/>
      <c r="WMY67"/>
      <c r="WMZ67"/>
      <c r="WNA67"/>
      <c r="WNB67"/>
      <c r="WNC67"/>
      <c r="WND67"/>
      <c r="WNE67"/>
      <c r="WNF67"/>
      <c r="WNG67"/>
      <c r="WNH67"/>
      <c r="WNI67"/>
      <c r="WNJ67"/>
      <c r="WNK67"/>
      <c r="WNL67"/>
      <c r="WNM67"/>
      <c r="WNN67"/>
      <c r="WNO67"/>
      <c r="WNP67"/>
      <c r="WNQ67"/>
      <c r="WNR67"/>
      <c r="WNS67"/>
      <c r="WNT67"/>
      <c r="WNU67"/>
      <c r="WNV67"/>
      <c r="WNW67"/>
      <c r="WNX67"/>
      <c r="WNY67"/>
      <c r="WNZ67"/>
      <c r="WOA67"/>
      <c r="WOB67"/>
      <c r="WOC67"/>
      <c r="WOD67"/>
      <c r="WOE67"/>
      <c r="WOF67"/>
      <c r="WOG67"/>
      <c r="WOH67"/>
      <c r="WOI67"/>
      <c r="WOJ67"/>
      <c r="WOK67"/>
      <c r="WOL67"/>
      <c r="WOM67"/>
      <c r="WON67"/>
      <c r="WOO67"/>
      <c r="WOP67"/>
      <c r="WOQ67"/>
      <c r="WOR67"/>
      <c r="WOS67"/>
      <c r="WOT67"/>
      <c r="WOU67"/>
      <c r="WOV67"/>
      <c r="WOW67"/>
      <c r="WOX67"/>
      <c r="WOY67"/>
      <c r="WOZ67"/>
      <c r="WPA67"/>
      <c r="WPB67"/>
      <c r="WPC67"/>
      <c r="WPD67"/>
      <c r="WPE67"/>
      <c r="WPF67"/>
      <c r="WPG67"/>
      <c r="WPH67"/>
      <c r="WPI67"/>
      <c r="WPJ67"/>
      <c r="WPK67"/>
      <c r="WPL67"/>
      <c r="WPM67"/>
      <c r="WPN67"/>
      <c r="WPO67"/>
      <c r="WPP67"/>
      <c r="WPQ67"/>
      <c r="WPR67"/>
      <c r="WPS67"/>
      <c r="WPT67"/>
      <c r="WPU67"/>
      <c r="WPV67"/>
      <c r="WPW67"/>
      <c r="WPX67"/>
      <c r="WPY67"/>
      <c r="WPZ67"/>
      <c r="WQA67"/>
      <c r="WQB67"/>
      <c r="WQC67"/>
      <c r="WQD67"/>
      <c r="WQE67"/>
      <c r="WQF67"/>
      <c r="WQG67"/>
      <c r="WQH67"/>
      <c r="WQI67"/>
      <c r="WQJ67"/>
      <c r="WQK67"/>
      <c r="WQL67"/>
      <c r="WQM67"/>
      <c r="WQN67"/>
      <c r="WQO67"/>
      <c r="WQP67"/>
      <c r="WQQ67"/>
      <c r="WQR67"/>
      <c r="WQS67"/>
      <c r="WQT67"/>
      <c r="WQU67"/>
      <c r="WQV67"/>
      <c r="WQW67"/>
      <c r="WQX67"/>
      <c r="WQY67"/>
      <c r="WQZ67"/>
      <c r="WRA67"/>
      <c r="WRB67"/>
      <c r="WRC67"/>
      <c r="WRD67"/>
      <c r="WRE67"/>
      <c r="WRF67"/>
      <c r="WRG67"/>
      <c r="WRH67"/>
      <c r="WRI67"/>
      <c r="WRJ67"/>
      <c r="WRK67"/>
      <c r="WRL67"/>
      <c r="WRM67"/>
      <c r="WRN67"/>
      <c r="WRO67"/>
      <c r="WRP67"/>
      <c r="WRQ67"/>
      <c r="WRR67"/>
      <c r="WRS67"/>
      <c r="WRT67"/>
      <c r="WRU67"/>
      <c r="WRV67"/>
      <c r="WRW67"/>
      <c r="WRX67"/>
      <c r="WRY67"/>
      <c r="WRZ67"/>
      <c r="WSA67"/>
      <c r="WSB67"/>
      <c r="WSC67"/>
      <c r="WSD67"/>
      <c r="WSE67"/>
      <c r="WSF67"/>
      <c r="WSG67"/>
      <c r="WSH67"/>
      <c r="WSI67"/>
      <c r="WSJ67"/>
      <c r="WSK67"/>
      <c r="WSL67"/>
      <c r="WSM67"/>
      <c r="WSN67"/>
      <c r="WSO67"/>
      <c r="WSP67"/>
      <c r="WSQ67"/>
      <c r="WSR67"/>
      <c r="WSS67"/>
      <c r="WST67"/>
      <c r="WSU67"/>
      <c r="WSV67"/>
      <c r="WSW67"/>
      <c r="WSX67"/>
      <c r="WSY67"/>
      <c r="WSZ67"/>
      <c r="WTA67"/>
      <c r="WTB67"/>
      <c r="WTC67"/>
      <c r="WTD67"/>
      <c r="WTE67"/>
      <c r="WTF67"/>
      <c r="WTG67"/>
      <c r="WTH67"/>
      <c r="WTI67"/>
      <c r="WTJ67"/>
      <c r="WTK67"/>
      <c r="WTL67"/>
      <c r="WTM67"/>
      <c r="WTN67"/>
      <c r="WTO67"/>
      <c r="WTP67"/>
      <c r="WTQ67"/>
      <c r="WTR67"/>
      <c r="WTS67"/>
      <c r="WTT67"/>
      <c r="WTU67"/>
      <c r="WTV67"/>
      <c r="WTW67"/>
      <c r="WTX67"/>
      <c r="WTY67"/>
      <c r="WTZ67"/>
      <c r="WUA67"/>
      <c r="WUB67"/>
      <c r="WUC67"/>
      <c r="WUD67"/>
      <c r="WUE67"/>
      <c r="WUF67"/>
      <c r="WUG67"/>
      <c r="WUH67"/>
      <c r="WUI67"/>
      <c r="WUJ67"/>
      <c r="WUK67"/>
      <c r="WUL67"/>
      <c r="WUM67"/>
      <c r="WUN67"/>
      <c r="WUO67"/>
      <c r="WUP67"/>
      <c r="WUQ67"/>
      <c r="WUR67"/>
      <c r="WUS67"/>
      <c r="WUT67"/>
      <c r="WUU67"/>
      <c r="WUV67"/>
      <c r="WUW67"/>
      <c r="WUX67"/>
      <c r="WUY67"/>
      <c r="WUZ67"/>
      <c r="WVA67"/>
      <c r="WVB67"/>
      <c r="WVC67"/>
      <c r="WVD67"/>
      <c r="WVE67"/>
      <c r="WVF67"/>
      <c r="WVG67"/>
      <c r="WVH67"/>
      <c r="WVI67"/>
      <c r="WVJ67"/>
      <c r="WVK67"/>
      <c r="WVL67"/>
      <c r="WVM67"/>
      <c r="WVN67"/>
      <c r="WVO67"/>
      <c r="WVP67"/>
      <c r="WVQ67"/>
      <c r="WVR67"/>
      <c r="WVS67"/>
      <c r="WVT67"/>
      <c r="WVU67"/>
      <c r="WVV67"/>
      <c r="WVW67"/>
      <c r="WVX67"/>
      <c r="WVY67"/>
      <c r="WVZ67"/>
      <c r="WWA67"/>
      <c r="WWB67"/>
      <c r="WWC67"/>
      <c r="WWD67"/>
      <c r="WWE67"/>
      <c r="WWF67"/>
      <c r="WWG67"/>
      <c r="WWH67"/>
      <c r="WWI67"/>
      <c r="WWJ67"/>
      <c r="WWK67"/>
      <c r="WWL67"/>
      <c r="WWM67"/>
      <c r="WWN67"/>
      <c r="WWO67"/>
      <c r="WWP67"/>
      <c r="WWQ67"/>
      <c r="WWR67"/>
      <c r="WWS67"/>
      <c r="WWT67"/>
      <c r="WWU67"/>
      <c r="WWV67"/>
      <c r="WWW67"/>
      <c r="WWX67"/>
      <c r="WWY67"/>
      <c r="WWZ67"/>
      <c r="WXA67"/>
      <c r="WXB67"/>
      <c r="WXC67"/>
      <c r="WXD67"/>
      <c r="WXE67"/>
      <c r="WXF67"/>
      <c r="WXG67"/>
      <c r="WXH67"/>
      <c r="WXI67"/>
      <c r="WXJ67"/>
      <c r="WXK67"/>
      <c r="WXL67"/>
      <c r="WXM67"/>
      <c r="WXN67"/>
      <c r="WXO67"/>
      <c r="WXP67"/>
      <c r="WXQ67"/>
      <c r="WXR67"/>
      <c r="WXS67"/>
      <c r="WXT67"/>
      <c r="WXU67"/>
      <c r="WXV67"/>
      <c r="WXW67"/>
      <c r="WXX67"/>
      <c r="WXY67"/>
      <c r="WXZ67"/>
      <c r="WYA67"/>
      <c r="WYB67"/>
      <c r="WYC67"/>
      <c r="WYD67"/>
      <c r="WYE67"/>
      <c r="WYF67"/>
      <c r="WYG67"/>
      <c r="WYH67"/>
      <c r="WYI67"/>
      <c r="WYJ67"/>
      <c r="WYK67"/>
      <c r="WYL67"/>
      <c r="WYM67"/>
      <c r="WYN67"/>
      <c r="WYO67"/>
      <c r="WYP67"/>
      <c r="WYQ67"/>
      <c r="WYR67"/>
      <c r="WYS67"/>
      <c r="WYT67"/>
      <c r="WYU67"/>
      <c r="WYV67"/>
      <c r="WYW67"/>
      <c r="WYX67"/>
      <c r="WYY67"/>
      <c r="WYZ67"/>
      <c r="WZA67"/>
      <c r="WZB67"/>
      <c r="WZC67"/>
      <c r="WZD67"/>
      <c r="WZE67"/>
      <c r="WZF67"/>
      <c r="WZG67"/>
      <c r="WZH67"/>
      <c r="WZI67"/>
      <c r="WZJ67"/>
      <c r="WZK67"/>
      <c r="WZL67"/>
      <c r="WZM67"/>
      <c r="WZN67"/>
      <c r="WZO67"/>
      <c r="WZP67"/>
      <c r="WZQ67"/>
      <c r="WZR67"/>
      <c r="WZS67"/>
      <c r="WZT67"/>
      <c r="WZU67"/>
      <c r="WZV67"/>
      <c r="WZW67"/>
      <c r="WZX67"/>
      <c r="WZY67"/>
      <c r="WZZ67"/>
      <c r="XAA67"/>
      <c r="XAB67"/>
      <c r="XAC67"/>
      <c r="XAD67"/>
      <c r="XAE67"/>
      <c r="XAF67"/>
      <c r="XAG67"/>
      <c r="XAH67"/>
      <c r="XAI67"/>
      <c r="XAJ67"/>
      <c r="XAK67"/>
      <c r="XAL67"/>
      <c r="XAM67"/>
      <c r="XAN67"/>
      <c r="XAO67"/>
      <c r="XAP67"/>
      <c r="XAQ67"/>
      <c r="XAR67"/>
      <c r="XAS67"/>
      <c r="XAT67"/>
      <c r="XAU67"/>
      <c r="XAV67"/>
      <c r="XAW67"/>
      <c r="XAX67"/>
      <c r="XAY67"/>
      <c r="XAZ67"/>
      <c r="XBA67"/>
      <c r="XBB67"/>
      <c r="XBC67"/>
      <c r="XBD67"/>
      <c r="XBE67"/>
      <c r="XBF67"/>
      <c r="XBG67"/>
      <c r="XBH67"/>
      <c r="XBI67"/>
      <c r="XBJ67"/>
      <c r="XBK67"/>
      <c r="XBL67"/>
      <c r="XBM67"/>
      <c r="XBN67"/>
      <c r="XBO67"/>
      <c r="XBP67"/>
      <c r="XBQ67"/>
      <c r="XBR67"/>
      <c r="XBS67"/>
      <c r="XBT67"/>
      <c r="XBU67"/>
      <c r="XBV67"/>
      <c r="XBW67"/>
      <c r="XBX67"/>
      <c r="XBY67"/>
      <c r="XBZ67"/>
      <c r="XCA67"/>
      <c r="XCB67"/>
      <c r="XCC67"/>
      <c r="XCD67"/>
      <c r="XCE67"/>
      <c r="XCF67"/>
      <c r="XCG67"/>
      <c r="XCH67"/>
      <c r="XCI67"/>
      <c r="XCJ67"/>
      <c r="XCK67"/>
      <c r="XCL67"/>
      <c r="XCM67"/>
      <c r="XCN67"/>
      <c r="XCO67"/>
      <c r="XCP67"/>
      <c r="XCQ67"/>
      <c r="XCR67"/>
      <c r="XCS67"/>
      <c r="XCT67"/>
      <c r="XCU67"/>
      <c r="XCV67"/>
      <c r="XCW67"/>
      <c r="XCX67"/>
      <c r="XCY67"/>
      <c r="XCZ67"/>
      <c r="XDA67"/>
      <c r="XDB67"/>
      <c r="XDC67"/>
      <c r="XDD67"/>
      <c r="XDE67"/>
      <c r="XDF67"/>
      <c r="XDG67"/>
      <c r="XDH67"/>
      <c r="XDI67"/>
      <c r="XDJ67"/>
      <c r="XDK67"/>
      <c r="XDL67"/>
      <c r="XDM67"/>
      <c r="XDN67"/>
      <c r="XDO67"/>
      <c r="XDP67"/>
      <c r="XDQ67"/>
      <c r="XDR67"/>
      <c r="XDS67"/>
      <c r="XDT67"/>
      <c r="XDU67"/>
      <c r="XDV67"/>
      <c r="XDW67"/>
      <c r="XDX67"/>
      <c r="XDY67"/>
      <c r="XDZ67"/>
      <c r="XEA67"/>
      <c r="XEB67"/>
      <c r="XEC67"/>
      <c r="XED67"/>
      <c r="XEE67"/>
      <c r="XEF67"/>
      <c r="XEG67"/>
      <c r="XEH67"/>
      <c r="XEI67"/>
      <c r="XEJ67"/>
      <c r="XEK67"/>
      <c r="XEL67"/>
      <c r="XEM67"/>
      <c r="XEN67"/>
      <c r="XEO67"/>
      <c r="XEP67"/>
      <c r="XEQ67"/>
      <c r="XER67"/>
      <c r="XES67"/>
      <c r="XET67"/>
      <c r="XEU67"/>
      <c r="XEV67"/>
      <c r="XEW67"/>
      <c r="XEX67"/>
      <c r="XEY67"/>
      <c r="XEZ67"/>
      <c r="XFA67"/>
      <c r="XFB67"/>
      <c r="XFC67"/>
      <c r="XFD67"/>
    </row>
    <row r="68" spans="3:16384" outlineLevel="1" x14ac:dyDescent="0.2">
      <c r="C68" s="11" t="s">
        <v>294</v>
      </c>
    </row>
    <row r="69" spans="3:16384" outlineLevel="1" x14ac:dyDescent="0.2">
      <c r="D69" t="str">
        <f>D60</f>
        <v>sélectionnés</v>
      </c>
      <c r="G69" s="29" t="str">
        <f>field_selected</f>
        <v>Moho</v>
      </c>
      <c r="I69" s="30">
        <f ca="1">SUM($L69:$BS69)</f>
        <v>2.5725060448574117</v>
      </c>
      <c r="J69" s="26" t="s">
        <v>42</v>
      </c>
      <c r="K69" s="7" t="s">
        <v>730</v>
      </c>
      <c r="L69" s="18">
        <f t="shared" ref="L69:S69" ca="1" si="13">OFFSET(L69,MATCH(field_selected,list_FieldName,0)+1,0)</f>
        <v>1.3011282288180415</v>
      </c>
      <c r="M69" s="18">
        <f t="shared" ca="1" si="13"/>
        <v>1.2713778160393705</v>
      </c>
      <c r="N69" s="18">
        <f t="shared" ca="1" si="13"/>
        <v>0</v>
      </c>
      <c r="O69" s="18">
        <f t="shared" ca="1" si="13"/>
        <v>0</v>
      </c>
      <c r="P69" s="18">
        <f t="shared" ca="1" si="13"/>
        <v>0</v>
      </c>
      <c r="Q69" s="18">
        <f t="shared" ca="1" si="13"/>
        <v>0</v>
      </c>
      <c r="R69" s="18">
        <f t="shared" ca="1" si="13"/>
        <v>0</v>
      </c>
      <c r="S69" s="18">
        <f t="shared" ca="1" si="13"/>
        <v>0</v>
      </c>
    </row>
    <row r="70" spans="3:16384" outlineLevel="1" x14ac:dyDescent="0.2">
      <c r="J70" s="26"/>
    </row>
    <row r="71" spans="3:16384" outlineLevel="1" x14ac:dyDescent="0.2">
      <c r="C71" s="27">
        <v>1</v>
      </c>
      <c r="D71" t="str">
        <f t="array" ref="D71:D75">list_FieldName</f>
        <v>Nkossa</v>
      </c>
      <c r="I71" s="30">
        <f>SUM($L71:$BS71)</f>
        <v>2.5825556335602142</v>
      </c>
      <c r="J71" s="26" t="s">
        <v>42</v>
      </c>
      <c r="L71" s="28">
        <v>0.8835340775105599</v>
      </c>
      <c r="M71" s="28">
        <v>0.94749741706858259</v>
      </c>
      <c r="N71" s="28">
        <v>0.40785802751232092</v>
      </c>
      <c r="O71" s="28">
        <v>0.25146291728071501</v>
      </c>
      <c r="P71" s="28">
        <v>0</v>
      </c>
      <c r="Q71" s="28">
        <v>9.0465671308245996E-2</v>
      </c>
      <c r="R71" s="28">
        <v>1.7375228797899358E-3</v>
      </c>
      <c r="S71" s="28">
        <v>0</v>
      </c>
    </row>
    <row r="72" spans="3:16384" outlineLevel="1" x14ac:dyDescent="0.2">
      <c r="C72" s="27">
        <f>C71+1</f>
        <v>2</v>
      </c>
      <c r="D72" t="str">
        <v>Nsoko</v>
      </c>
      <c r="I72" s="30">
        <f>SUM($L72:$BS72)</f>
        <v>0.36995639007616549</v>
      </c>
      <c r="J72" s="26" t="s">
        <v>42</v>
      </c>
      <c r="L72" s="28">
        <v>0.10588587949191329</v>
      </c>
      <c r="M72" s="28">
        <v>6.9609650832439571E-2</v>
      </c>
      <c r="N72" s="28">
        <v>5.3481962271483753E-2</v>
      </c>
      <c r="O72" s="28">
        <v>3.0981245651339466E-2</v>
      </c>
      <c r="P72" s="28">
        <v>4.936642197925295E-2</v>
      </c>
      <c r="Q72" s="28">
        <v>4.8879391630877622E-2</v>
      </c>
      <c r="R72" s="28">
        <v>8.8046038456768751E-3</v>
      </c>
      <c r="S72" s="28">
        <v>2.9472343731819233E-3</v>
      </c>
    </row>
    <row r="73" spans="3:16384" outlineLevel="1" x14ac:dyDescent="0.2">
      <c r="C73" s="27">
        <f t="shared" ref="C73:C75" si="14">C72+1</f>
        <v>3</v>
      </c>
      <c r="D73" t="str">
        <v>Moho</v>
      </c>
      <c r="I73" s="30">
        <f>SUM($L73:$BS73)</f>
        <v>2.5725060448574117</v>
      </c>
      <c r="J73" s="26" t="s">
        <v>42</v>
      </c>
      <c r="L73" s="28">
        <v>1.3011282288180415</v>
      </c>
      <c r="M73" s="28">
        <v>1.2713778160393705</v>
      </c>
      <c r="N73" s="28">
        <v>0</v>
      </c>
      <c r="O73" s="28">
        <v>0</v>
      </c>
      <c r="P73" s="28">
        <v>0</v>
      </c>
      <c r="Q73" s="28">
        <v>0</v>
      </c>
      <c r="R73" s="28">
        <v>0</v>
      </c>
      <c r="S73" s="28">
        <v>0</v>
      </c>
    </row>
    <row r="74" spans="3:16384" outlineLevel="1" x14ac:dyDescent="0.2">
      <c r="C74" s="27">
        <f t="shared" si="14"/>
        <v>4</v>
      </c>
      <c r="D74" t="str">
        <v>KLL</v>
      </c>
      <c r="I74" s="30">
        <f>SUM($L74:$BS74)</f>
        <v>5.0169330717353731</v>
      </c>
      <c r="J74" s="26" t="s">
        <v>42</v>
      </c>
      <c r="L74" s="28">
        <v>1.0633832259196123</v>
      </c>
      <c r="M74" s="28">
        <v>1.0621533260092089</v>
      </c>
      <c r="N74" s="28">
        <v>0.41741880843603402</v>
      </c>
      <c r="O74" s="28">
        <v>0.16884295166726887</v>
      </c>
      <c r="P74" s="28">
        <v>0.84496460914877114</v>
      </c>
      <c r="Q74" s="28">
        <v>0.76771468612347271</v>
      </c>
      <c r="R74" s="28">
        <v>0.69245546443100559</v>
      </c>
      <c r="S74" s="28">
        <v>0</v>
      </c>
    </row>
    <row r="75" spans="3:16384" outlineLevel="1" x14ac:dyDescent="0.2">
      <c r="C75" s="27">
        <f t="shared" si="14"/>
        <v>5</v>
      </c>
      <c r="D75">
        <v>0</v>
      </c>
      <c r="I75" s="30">
        <f>SUM($L75:$BS75)</f>
        <v>0</v>
      </c>
      <c r="J75" s="26" t="s">
        <v>42</v>
      </c>
      <c r="L75" s="28">
        <v>0</v>
      </c>
      <c r="M75" s="28">
        <v>0</v>
      </c>
      <c r="N75" s="28">
        <v>0</v>
      </c>
      <c r="O75" s="28">
        <v>0</v>
      </c>
      <c r="P75" s="28">
        <v>0</v>
      </c>
      <c r="Q75" s="28">
        <v>0</v>
      </c>
      <c r="R75" s="28">
        <v>0</v>
      </c>
      <c r="S75" s="28">
        <v>0</v>
      </c>
    </row>
    <row r="76" spans="3:16384" customFormat="1" outlineLevel="1" x14ac:dyDescent="0.2"/>
    <row r="77" spans="3:16384" outlineLevel="1" x14ac:dyDescent="0.2">
      <c r="C77" s="11" t="s">
        <v>226</v>
      </c>
    </row>
    <row r="78" spans="3:16384" outlineLevel="1" x14ac:dyDescent="0.2">
      <c r="D78" t="str">
        <f>D69</f>
        <v>sélectionnés</v>
      </c>
      <c r="G78" s="29" t="str">
        <f>field_selected</f>
        <v>Moho</v>
      </c>
      <c r="I78" s="30">
        <f ca="1">SUM($L78:$BS78)</f>
        <v>25.687551809112641</v>
      </c>
      <c r="J78" s="26" t="s">
        <v>42</v>
      </c>
      <c r="K78" s="7" t="s">
        <v>731</v>
      </c>
      <c r="L78" s="18">
        <f t="shared" ref="L78:S78" ca="1" si="15">OFFSET(L78,MATCH(field_selected,list_FieldName,0)+1,0)</f>
        <v>3.0112438592065649</v>
      </c>
      <c r="M78" s="18">
        <f t="shared" ca="1" si="15"/>
        <v>3.1320007571110731</v>
      </c>
      <c r="N78" s="18">
        <f t="shared" ca="1" si="15"/>
        <v>2.3005080000000002</v>
      </c>
      <c r="O78" s="18">
        <f t="shared" ca="1" si="15"/>
        <v>1.780883726055001</v>
      </c>
      <c r="P78" s="18">
        <f t="shared" ca="1" si="15"/>
        <v>3.7037749273350014</v>
      </c>
      <c r="Q78" s="18">
        <f t="shared" ca="1" si="15"/>
        <v>5.8416343395900006</v>
      </c>
      <c r="R78" s="18">
        <f t="shared" ca="1" si="15"/>
        <v>5.9175061998150014</v>
      </c>
      <c r="S78" s="18">
        <f t="shared" ca="1" si="15"/>
        <v>0</v>
      </c>
    </row>
    <row r="79" spans="3:16384" outlineLevel="1" x14ac:dyDescent="0.2">
      <c r="J79" s="26"/>
    </row>
    <row r="80" spans="3:16384" outlineLevel="1" x14ac:dyDescent="0.2">
      <c r="C80" s="27">
        <v>1</v>
      </c>
      <c r="D80" t="str">
        <f t="array" ref="D80:D84">list_FieldName</f>
        <v>Nkossa</v>
      </c>
      <c r="I80" s="30">
        <f>SUM($L80:$BS80)</f>
        <v>4.375445477821839</v>
      </c>
      <c r="J80" s="26" t="s">
        <v>42</v>
      </c>
      <c r="L80" s="28">
        <v>0.30706708984116576</v>
      </c>
      <c r="M80" s="28">
        <v>0.49798902339473888</v>
      </c>
      <c r="N80" s="28">
        <v>0.60175185366110728</v>
      </c>
      <c r="O80" s="28">
        <v>0.80085268772186191</v>
      </c>
      <c r="P80" s="28">
        <v>0.7982269322166875</v>
      </c>
      <c r="Q80" s="28">
        <v>0.62519240715688618</v>
      </c>
      <c r="R80" s="28">
        <v>0.74436548382939105</v>
      </c>
      <c r="S80" s="28">
        <v>0</v>
      </c>
    </row>
    <row r="81" spans="3:19" outlineLevel="1" x14ac:dyDescent="0.2">
      <c r="C81" s="27">
        <f>C80+1</f>
        <v>2</v>
      </c>
      <c r="D81" t="str">
        <v>Nsoko</v>
      </c>
      <c r="I81" s="30">
        <f>SUM($L81:$BS81)</f>
        <v>0.75782725333469858</v>
      </c>
      <c r="J81" s="26" t="s">
        <v>42</v>
      </c>
      <c r="L81" s="28">
        <v>5.0835241220326684E-2</v>
      </c>
      <c r="M81" s="28">
        <v>4.8400184427632449E-2</v>
      </c>
      <c r="N81" s="28">
        <v>0.10791415938192012</v>
      </c>
      <c r="O81" s="28">
        <v>0.12759443024300501</v>
      </c>
      <c r="P81" s="28">
        <v>7.5388962861735118E-2</v>
      </c>
      <c r="Q81" s="28">
        <v>4.5942617091668733E-2</v>
      </c>
      <c r="R81" s="28">
        <v>0.12053553756363533</v>
      </c>
      <c r="S81" s="28">
        <v>0.18121612054477504</v>
      </c>
    </row>
    <row r="82" spans="3:19" outlineLevel="1" x14ac:dyDescent="0.2">
      <c r="C82" s="27">
        <f t="shared" ref="C82:C84" si="16">C81+1</f>
        <v>3</v>
      </c>
      <c r="D82" t="str">
        <v>Moho</v>
      </c>
      <c r="I82" s="30">
        <f>SUM($L82:$BS82)</f>
        <v>25.687551809112641</v>
      </c>
      <c r="J82" s="26" t="s">
        <v>42</v>
      </c>
      <c r="L82" s="28">
        <v>3.0112438592065649</v>
      </c>
      <c r="M82" s="28">
        <v>3.1320007571110731</v>
      </c>
      <c r="N82" s="28">
        <v>2.3005080000000002</v>
      </c>
      <c r="O82" s="28">
        <v>1.780883726055001</v>
      </c>
      <c r="P82" s="28">
        <v>3.7037749273350014</v>
      </c>
      <c r="Q82" s="28">
        <v>5.8416343395900006</v>
      </c>
      <c r="R82" s="28">
        <v>5.9175061998150014</v>
      </c>
      <c r="S82" s="28">
        <v>0</v>
      </c>
    </row>
    <row r="83" spans="3:19" outlineLevel="1" x14ac:dyDescent="0.2">
      <c r="C83" s="27">
        <f t="shared" si="16"/>
        <v>4</v>
      </c>
      <c r="D83" t="str">
        <v>KLL</v>
      </c>
      <c r="I83" s="30">
        <f>SUM($L83:$BS83)</f>
        <v>4.0122215440017852</v>
      </c>
      <c r="J83" s="26" t="s">
        <v>42</v>
      </c>
      <c r="L83" s="28">
        <v>0.11506850186468412</v>
      </c>
      <c r="M83" s="28">
        <v>0.31124816316764908</v>
      </c>
      <c r="N83" s="28">
        <v>1.0893849225582186</v>
      </c>
      <c r="O83" s="28">
        <v>0.43191609869596437</v>
      </c>
      <c r="P83" s="28">
        <v>0.56139136377902654</v>
      </c>
      <c r="Q83" s="28">
        <v>0.57283093189709422</v>
      </c>
      <c r="R83" s="28">
        <v>0.93038156203914835</v>
      </c>
      <c r="S83" s="28">
        <v>0</v>
      </c>
    </row>
    <row r="84" spans="3:19" outlineLevel="1" x14ac:dyDescent="0.2">
      <c r="C84" s="27">
        <f t="shared" si="16"/>
        <v>5</v>
      </c>
      <c r="D84">
        <v>0</v>
      </c>
      <c r="I84" s="30">
        <f>SUM($L84:$BS84)</f>
        <v>2.6257504255717645</v>
      </c>
      <c r="J84" s="26" t="s">
        <v>42</v>
      </c>
      <c r="L84" s="28">
        <v>0</v>
      </c>
      <c r="M84" s="28">
        <v>2.2472901000000002E-4</v>
      </c>
      <c r="N84" s="28">
        <v>0.14914010478592177</v>
      </c>
      <c r="O84" s="28">
        <v>0.26550699507485731</v>
      </c>
      <c r="P84" s="28">
        <v>0.49596548849930067</v>
      </c>
      <c r="Q84" s="28">
        <v>0.84681169100713505</v>
      </c>
      <c r="R84" s="28">
        <v>0.8681014171945497</v>
      </c>
      <c r="S84" s="28">
        <v>0</v>
      </c>
    </row>
    <row r="85" spans="3:19" customFormat="1" outlineLevel="1" x14ac:dyDescent="0.2"/>
    <row r="86" spans="3:19" outlineLevel="1" x14ac:dyDescent="0.2">
      <c r="C86" s="11" t="s">
        <v>237</v>
      </c>
    </row>
    <row r="87" spans="3:19" outlineLevel="1" x14ac:dyDescent="0.2">
      <c r="D87" t="str">
        <f>D78</f>
        <v>sélectionnés</v>
      </c>
      <c r="G87" s="29" t="str">
        <f>field_selected</f>
        <v>Moho</v>
      </c>
      <c r="I87" s="30">
        <f ca="1">SUM($L87:$BS87)</f>
        <v>0</v>
      </c>
      <c r="J87" s="26" t="s">
        <v>653</v>
      </c>
      <c r="K87" s="7" t="s">
        <v>930</v>
      </c>
      <c r="L87" s="18">
        <f t="shared" ref="L87:S87" ca="1" si="17">OFFSET(L87,MATCH(field_selected,list_FieldName,0)+1,0)</f>
        <v>0</v>
      </c>
      <c r="M87" s="18">
        <f t="shared" ca="1" si="17"/>
        <v>0</v>
      </c>
      <c r="N87" s="18">
        <f t="shared" ca="1" si="17"/>
        <v>0</v>
      </c>
      <c r="O87" s="18">
        <f t="shared" ca="1" si="17"/>
        <v>0</v>
      </c>
      <c r="P87" s="18">
        <f t="shared" ca="1" si="17"/>
        <v>0</v>
      </c>
      <c r="Q87" s="18">
        <f t="shared" ca="1" si="17"/>
        <v>0</v>
      </c>
      <c r="R87" s="18">
        <f t="shared" ca="1" si="17"/>
        <v>0</v>
      </c>
      <c r="S87" s="18">
        <f t="shared" ca="1" si="17"/>
        <v>0</v>
      </c>
    </row>
    <row r="88" spans="3:19" outlineLevel="1" x14ac:dyDescent="0.2">
      <c r="J88" s="26"/>
    </row>
    <row r="89" spans="3:19" outlineLevel="1" x14ac:dyDescent="0.2">
      <c r="C89" s="27">
        <v>1</v>
      </c>
      <c r="D89" t="str">
        <f t="array" ref="D89:D93">list_FieldName</f>
        <v>Nkossa</v>
      </c>
      <c r="I89" s="30">
        <f>SUM($L89:$BS89)</f>
        <v>0</v>
      </c>
      <c r="J89" s="26" t="s">
        <v>653</v>
      </c>
      <c r="L89" s="28"/>
      <c r="M89" s="28"/>
      <c r="N89" s="28"/>
      <c r="O89" s="28"/>
      <c r="P89" s="28"/>
      <c r="Q89" s="28"/>
      <c r="R89" s="28"/>
      <c r="S89" s="28"/>
    </row>
    <row r="90" spans="3:19" outlineLevel="1" x14ac:dyDescent="0.2">
      <c r="C90" s="27">
        <f>C89+1</f>
        <v>2</v>
      </c>
      <c r="D90" t="str">
        <v>Nsoko</v>
      </c>
      <c r="I90" s="30">
        <f>SUM($L90:$BS90)</f>
        <v>0</v>
      </c>
      <c r="J90" s="26" t="s">
        <v>653</v>
      </c>
      <c r="L90" s="28"/>
      <c r="M90" s="28"/>
      <c r="N90" s="28"/>
      <c r="O90" s="28"/>
      <c r="P90" s="28"/>
      <c r="Q90" s="28"/>
      <c r="R90" s="28"/>
      <c r="S90" s="28"/>
    </row>
    <row r="91" spans="3:19" outlineLevel="1" x14ac:dyDescent="0.2">
      <c r="C91" s="27">
        <f t="shared" ref="C91:C93" si="18">C90+1</f>
        <v>3</v>
      </c>
      <c r="D91" t="str">
        <v>Moho</v>
      </c>
      <c r="I91" s="30">
        <f>SUM($L91:$BS91)</f>
        <v>0</v>
      </c>
      <c r="J91" s="26" t="s">
        <v>653</v>
      </c>
      <c r="L91" s="28"/>
      <c r="M91" s="28"/>
      <c r="N91" s="28"/>
      <c r="O91" s="28"/>
      <c r="P91" s="28"/>
      <c r="Q91" s="28"/>
      <c r="R91" s="28"/>
      <c r="S91" s="28"/>
    </row>
    <row r="92" spans="3:19" outlineLevel="1" x14ac:dyDescent="0.2">
      <c r="C92" s="27">
        <f t="shared" si="18"/>
        <v>4</v>
      </c>
      <c r="D92" t="str">
        <v>KLL</v>
      </c>
      <c r="I92" s="30">
        <f>SUM($L92:$BS92)</f>
        <v>0</v>
      </c>
      <c r="J92" s="26" t="s">
        <v>653</v>
      </c>
      <c r="L92" s="28"/>
      <c r="M92" s="28"/>
      <c r="N92" s="28"/>
      <c r="O92" s="28"/>
      <c r="P92" s="28"/>
      <c r="Q92" s="28"/>
      <c r="R92" s="28"/>
      <c r="S92" s="28"/>
    </row>
    <row r="93" spans="3:19" outlineLevel="1" x14ac:dyDescent="0.2">
      <c r="C93" s="27">
        <f t="shared" si="18"/>
        <v>5</v>
      </c>
      <c r="D93">
        <v>0</v>
      </c>
      <c r="I93" s="30">
        <f>SUM($L93:$BS93)</f>
        <v>0.60235840769845939</v>
      </c>
      <c r="J93" s="26" t="s">
        <v>653</v>
      </c>
      <c r="L93" s="28"/>
      <c r="M93" s="28"/>
      <c r="N93" s="28">
        <f>(2.57929989543152/'Données d''entrées'!N136)</f>
        <v>2.3831985976096579E-2</v>
      </c>
      <c r="O93" s="28">
        <f>12.8128593562942/'Données d''entrées'!O136</f>
        <v>0.11606580325884983</v>
      </c>
      <c r="P93" s="28">
        <f>17.9172066704223/'Données d''entrées'!P136</f>
        <v>0.15912131301670815</v>
      </c>
      <c r="Q93" s="28">
        <f>16.5888683770172/'Données d''entrées'!P136</f>
        <v>0.14732444438283135</v>
      </c>
      <c r="R93" s="28">
        <f>18.2771409736445/'Données d''entrées'!R136</f>
        <v>0.15601486106397353</v>
      </c>
      <c r="S93" s="28"/>
    </row>
    <row r="94" spans="3:19" customFormat="1" outlineLevel="1" x14ac:dyDescent="0.2"/>
    <row r="95" spans="3:19" customFormat="1" outlineLevel="1" x14ac:dyDescent="0.2"/>
    <row r="96" spans="3:19" ht="16" thickBot="1" x14ac:dyDescent="0.25"/>
    <row r="97" spans="1:16384" ht="22" thickBot="1" x14ac:dyDescent="0.25">
      <c r="A97" s="8"/>
      <c r="B97" s="221" t="str">
        <f>CHOOSE(db_ML_selected,'Liste Traduction'!B34,'Liste Traduction'!C34)</f>
        <v>Part du Gouv.</v>
      </c>
      <c r="C97" s="222"/>
      <c r="D97" s="222"/>
      <c r="E97" s="223"/>
      <c r="F97" s="9"/>
      <c r="G97" s="9"/>
      <c r="H97" s="9"/>
      <c r="I97" s="9"/>
      <c r="J97" s="9"/>
      <c r="K97" s="10"/>
      <c r="L97" s="9"/>
      <c r="M97" s="9"/>
      <c r="N97" s="9"/>
      <c r="O97" s="9"/>
      <c r="P97" s="9"/>
      <c r="Q97" s="9"/>
      <c r="R97" s="9"/>
      <c r="S97" s="9"/>
    </row>
    <row r="98" spans="1:16384" outlineLevel="1" x14ac:dyDescent="0.2">
      <c r="L98" s="25"/>
      <c r="M98" s="25"/>
      <c r="N98" s="25"/>
      <c r="O98" s="25"/>
      <c r="P98" s="25"/>
      <c r="Q98" s="25"/>
    </row>
    <row r="99" spans="1:16384" outlineLevel="1" x14ac:dyDescent="0.2">
      <c r="C99" s="11" t="s">
        <v>293</v>
      </c>
    </row>
    <row r="100" spans="1:16384" outlineLevel="1" x14ac:dyDescent="0.2">
      <c r="D100" t="str">
        <f>D60</f>
        <v>sélectionnés</v>
      </c>
      <c r="G100" s="29" t="str">
        <f>field_selected</f>
        <v>Moho</v>
      </c>
      <c r="I100" s="30">
        <f ca="1">SUM($L100:$BS100)</f>
        <v>40.680169048149999</v>
      </c>
      <c r="J100" s="26" t="s">
        <v>42</v>
      </c>
      <c r="K100" s="7" t="s">
        <v>743</v>
      </c>
      <c r="L100" s="18">
        <f t="shared" ref="L100:S100" ca="1" si="19">OFFSET(L100,MATCH(field_selected,list_FieldName,0)+1,0)</f>
        <v>2.9171046295500003</v>
      </c>
      <c r="M100" s="18">
        <f t="shared" ca="1" si="19"/>
        <v>3.0273925717499997</v>
      </c>
      <c r="N100" s="18">
        <f t="shared" ca="1" si="19"/>
        <v>2.294473</v>
      </c>
      <c r="O100" s="18">
        <f t="shared" ca="1" si="19"/>
        <v>2.54411960865</v>
      </c>
      <c r="P100" s="18">
        <f t="shared" ca="1" si="19"/>
        <v>5.2911070390499999</v>
      </c>
      <c r="Q100" s="18">
        <f t="shared" ca="1" si="19"/>
        <v>8.345191913699999</v>
      </c>
      <c r="R100" s="18">
        <f t="shared" ca="1" si="19"/>
        <v>8.4535802854500002</v>
      </c>
      <c r="S100" s="18">
        <f t="shared" ca="1" si="19"/>
        <v>7.8071999999999999</v>
      </c>
    </row>
    <row r="101" spans="1:16384" outlineLevel="1" x14ac:dyDescent="0.2">
      <c r="J101" s="26"/>
    </row>
    <row r="102" spans="1:16384" outlineLevel="1" x14ac:dyDescent="0.2">
      <c r="C102" s="27">
        <v>1</v>
      </c>
      <c r="D102" t="str">
        <f t="array" ref="D102:D106">list_FieldName</f>
        <v>Nkossa</v>
      </c>
      <c r="I102" s="30">
        <f>SUM($L102:$BS102)</f>
        <v>8.3448989881839992</v>
      </c>
      <c r="J102" s="26" t="s">
        <v>42</v>
      </c>
      <c r="L102" s="28">
        <v>1.03553218656</v>
      </c>
      <c r="M102" s="28">
        <v>1.21280778072</v>
      </c>
      <c r="N102" s="28">
        <v>1.1507753715600002</v>
      </c>
      <c r="O102" s="28">
        <v>1.0860716465940001</v>
      </c>
      <c r="P102" s="28">
        <v>1.2115014580500001</v>
      </c>
      <c r="Q102" s="28">
        <v>0.9311093695499999</v>
      </c>
      <c r="R102" s="28">
        <v>0.96490117515000018</v>
      </c>
      <c r="S102" s="28">
        <v>0.75219999999999998</v>
      </c>
      <c r="U102" s="6"/>
    </row>
    <row r="103" spans="1:16384" outlineLevel="1" x14ac:dyDescent="0.2">
      <c r="C103" s="27">
        <f>C102+1</f>
        <v>2</v>
      </c>
      <c r="D103" t="str">
        <v>Nsoko</v>
      </c>
      <c r="I103" s="30">
        <f>SUM($L103:$BS103)</f>
        <v>0.91513518189075016</v>
      </c>
      <c r="J103" s="26" t="s">
        <v>42</v>
      </c>
      <c r="L103" s="28">
        <v>0.14841261960000002</v>
      </c>
      <c r="M103" s="28">
        <v>0.1095304854</v>
      </c>
      <c r="N103" s="28">
        <v>0.14853961200000002</v>
      </c>
      <c r="O103" s="28">
        <v>0.12473470156200001</v>
      </c>
      <c r="P103" s="28">
        <v>0.12703000605000001</v>
      </c>
      <c r="Q103" s="28">
        <v>9.224131725000001E-2</v>
      </c>
      <c r="R103" s="28">
        <v>5.8080559949999999E-2</v>
      </c>
      <c r="S103" s="28">
        <v>0.10656588007874998</v>
      </c>
    </row>
    <row r="104" spans="1:16384" outlineLevel="1" x14ac:dyDescent="0.2">
      <c r="C104" s="27">
        <f t="shared" ref="C104:C106" si="20">C103+1</f>
        <v>3</v>
      </c>
      <c r="D104" t="str">
        <v>Moho</v>
      </c>
      <c r="I104" s="30">
        <f>SUM($L104:$BS104)</f>
        <v>40.680169048149999</v>
      </c>
      <c r="J104" s="26" t="s">
        <v>42</v>
      </c>
      <c r="L104" s="28">
        <v>2.9171046295500003</v>
      </c>
      <c r="M104" s="28">
        <v>3.0273925717499997</v>
      </c>
      <c r="N104" s="28">
        <v>2.294473</v>
      </c>
      <c r="O104" s="28">
        <v>2.54411960865</v>
      </c>
      <c r="P104" s="28">
        <v>5.2911070390499999</v>
      </c>
      <c r="Q104" s="28">
        <v>8.345191913699999</v>
      </c>
      <c r="R104" s="28">
        <v>8.4535802854500002</v>
      </c>
      <c r="S104" s="28">
        <v>7.8071999999999999</v>
      </c>
    </row>
    <row r="105" spans="1:16384" outlineLevel="1" x14ac:dyDescent="0.2">
      <c r="C105" s="27">
        <f t="shared" si="20"/>
        <v>4</v>
      </c>
      <c r="D105" t="str">
        <v>KLL</v>
      </c>
      <c r="I105" s="30">
        <f>SUM($L105:$BS105)</f>
        <v>7.3850847363999996</v>
      </c>
      <c r="J105" s="26" t="s">
        <v>42</v>
      </c>
      <c r="L105" s="28">
        <v>0.84686150339999999</v>
      </c>
      <c r="M105" s="28">
        <v>0.93905395545000003</v>
      </c>
      <c r="N105" s="28">
        <v>1.0590887867999998</v>
      </c>
      <c r="O105" s="28">
        <v>0.92085782850000009</v>
      </c>
      <c r="P105" s="28">
        <v>0.85162084950000005</v>
      </c>
      <c r="Q105" s="28">
        <v>0.96035746979999992</v>
      </c>
      <c r="R105" s="28">
        <v>0.97284434295000011</v>
      </c>
      <c r="S105" s="28">
        <v>0.83440000000000003</v>
      </c>
    </row>
    <row r="106" spans="1:16384" outlineLevel="1" x14ac:dyDescent="0.2">
      <c r="C106" s="27">
        <f t="shared" si="20"/>
        <v>5</v>
      </c>
      <c r="D106">
        <v>0</v>
      </c>
      <c r="I106" s="30">
        <f>SUM($L106:$BS106)</f>
        <v>5.9749687844115931</v>
      </c>
      <c r="J106" s="26" t="s">
        <v>42</v>
      </c>
      <c r="L106" s="28">
        <v>0</v>
      </c>
      <c r="M106" s="28">
        <v>3.7454835E-4</v>
      </c>
      <c r="N106" s="28">
        <v>0.26116374818294924</v>
      </c>
      <c r="O106" s="28">
        <v>0.50386072589491582</v>
      </c>
      <c r="P106" s="28">
        <v>0.91095461329297778</v>
      </c>
      <c r="Q106" s="28">
        <v>1.4878144553755435</v>
      </c>
      <c r="R106" s="28">
        <v>1.5293006933152067</v>
      </c>
      <c r="S106" s="28">
        <v>1.2815000000000001</v>
      </c>
    </row>
    <row r="107" spans="1:16384" outlineLevel="1" x14ac:dyDescent="0.2">
      <c r="K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c r="SB107"/>
      <c r="SC107"/>
      <c r="SD107"/>
      <c r="SE107"/>
      <c r="SF107"/>
      <c r="SG107"/>
      <c r="SH107"/>
      <c r="SI107"/>
      <c r="SJ107"/>
      <c r="SK107"/>
      <c r="SL107"/>
      <c r="SM107"/>
      <c r="SN107"/>
      <c r="SO107"/>
      <c r="SP107"/>
      <c r="SQ107"/>
      <c r="SR107"/>
      <c r="SS107"/>
      <c r="ST107"/>
      <c r="SU107"/>
      <c r="SV107"/>
      <c r="SW107"/>
      <c r="SX107"/>
      <c r="SY107"/>
      <c r="SZ107"/>
      <c r="TA107"/>
      <c r="TB107"/>
      <c r="TC107"/>
      <c r="TD107"/>
      <c r="TE107"/>
      <c r="TF107"/>
      <c r="TG107"/>
      <c r="TH107"/>
      <c r="TI107"/>
      <c r="TJ107"/>
      <c r="TK107"/>
      <c r="TL107"/>
      <c r="TM107"/>
      <c r="TN107"/>
      <c r="TO107"/>
      <c r="TP107"/>
      <c r="TQ107"/>
      <c r="TR107"/>
      <c r="TS107"/>
      <c r="TT107"/>
      <c r="TU107"/>
      <c r="TV107"/>
      <c r="TW107"/>
      <c r="TX107"/>
      <c r="TY107"/>
      <c r="TZ107"/>
      <c r="UA107"/>
      <c r="UB107"/>
      <c r="UC107"/>
      <c r="UD107"/>
      <c r="UE107"/>
      <c r="UF107"/>
      <c r="UG107"/>
      <c r="UH107"/>
      <c r="UI107"/>
      <c r="UJ107"/>
      <c r="UK107"/>
      <c r="UL107"/>
      <c r="UM107"/>
      <c r="UN107"/>
      <c r="UO107"/>
      <c r="UP107"/>
      <c r="UQ107"/>
      <c r="UR107"/>
      <c r="US107"/>
      <c r="UT107"/>
      <c r="UU107"/>
      <c r="UV107"/>
      <c r="UW107"/>
      <c r="UX107"/>
      <c r="UY107"/>
      <c r="UZ107"/>
      <c r="VA107"/>
      <c r="VB107"/>
      <c r="VC107"/>
      <c r="VD107"/>
      <c r="VE107"/>
      <c r="VF107"/>
      <c r="VG107"/>
      <c r="VH107"/>
      <c r="VI107"/>
      <c r="VJ107"/>
      <c r="VK107"/>
      <c r="VL107"/>
      <c r="VM107"/>
      <c r="VN107"/>
      <c r="VO107"/>
      <c r="VP107"/>
      <c r="VQ107"/>
      <c r="VR107"/>
      <c r="VS107"/>
      <c r="VT107"/>
      <c r="VU107"/>
      <c r="VV107"/>
      <c r="VW107"/>
      <c r="VX107"/>
      <c r="VY107"/>
      <c r="VZ107"/>
      <c r="WA107"/>
      <c r="WB107"/>
      <c r="WC107"/>
      <c r="WD107"/>
      <c r="WE107"/>
      <c r="WF107"/>
      <c r="WG107"/>
      <c r="WH107"/>
      <c r="WI107"/>
      <c r="WJ107"/>
      <c r="WK107"/>
      <c r="WL107"/>
      <c r="WM107"/>
      <c r="WN107"/>
      <c r="WO107"/>
      <c r="WP107"/>
      <c r="WQ107"/>
      <c r="WR107"/>
      <c r="WS107"/>
      <c r="WT107"/>
      <c r="WU107"/>
      <c r="WV107"/>
      <c r="WW107"/>
      <c r="WX107"/>
      <c r="WY107"/>
      <c r="WZ107"/>
      <c r="XA107"/>
      <c r="XB107"/>
      <c r="XC107"/>
      <c r="XD107"/>
      <c r="XE107"/>
      <c r="XF107"/>
      <c r="XG107"/>
      <c r="XH107"/>
      <c r="XI107"/>
      <c r="XJ107"/>
      <c r="XK107"/>
      <c r="XL107"/>
      <c r="XM107"/>
      <c r="XN107"/>
      <c r="XO107"/>
      <c r="XP107"/>
      <c r="XQ107"/>
      <c r="XR107"/>
      <c r="XS107"/>
      <c r="XT107"/>
      <c r="XU107"/>
      <c r="XV107"/>
      <c r="XW107"/>
      <c r="XX107"/>
      <c r="XY107"/>
      <c r="XZ107"/>
      <c r="YA107"/>
      <c r="YB107"/>
      <c r="YC107"/>
      <c r="YD107"/>
      <c r="YE107"/>
      <c r="YF107"/>
      <c r="YG107"/>
      <c r="YH107"/>
      <c r="YI107"/>
      <c r="YJ107"/>
      <c r="YK107"/>
      <c r="YL107"/>
      <c r="YM107"/>
      <c r="YN107"/>
      <c r="YO107"/>
      <c r="YP107"/>
      <c r="YQ107"/>
      <c r="YR107"/>
      <c r="YS107"/>
      <c r="YT107"/>
      <c r="YU107"/>
      <c r="YV107"/>
      <c r="YW107"/>
      <c r="YX107"/>
      <c r="YY107"/>
      <c r="YZ107"/>
      <c r="ZA107"/>
      <c r="ZB107"/>
      <c r="ZC107"/>
      <c r="ZD107"/>
      <c r="ZE107"/>
      <c r="ZF107"/>
      <c r="ZG107"/>
      <c r="ZH107"/>
      <c r="ZI107"/>
      <c r="ZJ107"/>
      <c r="ZK107"/>
      <c r="ZL107"/>
      <c r="ZM107"/>
      <c r="ZN107"/>
      <c r="ZO107"/>
      <c r="ZP107"/>
      <c r="ZQ107"/>
      <c r="ZR107"/>
      <c r="ZS107"/>
      <c r="ZT107"/>
      <c r="ZU107"/>
      <c r="ZV107"/>
      <c r="ZW107"/>
      <c r="ZX107"/>
      <c r="ZY107"/>
      <c r="ZZ107"/>
      <c r="AAA107"/>
      <c r="AAB107"/>
      <c r="AAC107"/>
      <c r="AAD107"/>
      <c r="AAE107"/>
      <c r="AAF107"/>
      <c r="AAG107"/>
      <c r="AAH107"/>
      <c r="AAI107"/>
      <c r="AAJ107"/>
      <c r="AAK107"/>
      <c r="AAL107"/>
      <c r="AAM107"/>
      <c r="AAN107"/>
      <c r="AAO107"/>
      <c r="AAP107"/>
      <c r="AAQ107"/>
      <c r="AAR107"/>
      <c r="AAS107"/>
      <c r="AAT107"/>
      <c r="AAU107"/>
      <c r="AAV107"/>
      <c r="AAW107"/>
      <c r="AAX107"/>
      <c r="AAY107"/>
      <c r="AAZ107"/>
      <c r="ABA107"/>
      <c r="ABB107"/>
      <c r="ABC107"/>
      <c r="ABD107"/>
      <c r="ABE107"/>
      <c r="ABF107"/>
      <c r="ABG107"/>
      <c r="ABH107"/>
      <c r="ABI107"/>
      <c r="ABJ107"/>
      <c r="ABK107"/>
      <c r="ABL107"/>
      <c r="ABM107"/>
      <c r="ABN107"/>
      <c r="ABO107"/>
      <c r="ABP107"/>
      <c r="ABQ107"/>
      <c r="ABR107"/>
      <c r="ABS107"/>
      <c r="ABT107"/>
      <c r="ABU107"/>
      <c r="ABV107"/>
      <c r="ABW107"/>
      <c r="ABX107"/>
      <c r="ABY107"/>
      <c r="ABZ107"/>
      <c r="ACA107"/>
      <c r="ACB107"/>
      <c r="ACC107"/>
      <c r="ACD107"/>
      <c r="ACE107"/>
      <c r="ACF107"/>
      <c r="ACG107"/>
      <c r="ACH107"/>
      <c r="ACI107"/>
      <c r="ACJ107"/>
      <c r="ACK107"/>
      <c r="ACL107"/>
      <c r="ACM107"/>
      <c r="ACN107"/>
      <c r="ACO107"/>
      <c r="ACP107"/>
      <c r="ACQ107"/>
      <c r="ACR107"/>
      <c r="ACS107"/>
      <c r="ACT107"/>
      <c r="ACU107"/>
      <c r="ACV107"/>
      <c r="ACW107"/>
      <c r="ACX107"/>
      <c r="ACY107"/>
      <c r="ACZ107"/>
      <c r="ADA107"/>
      <c r="ADB107"/>
      <c r="ADC107"/>
      <c r="ADD107"/>
      <c r="ADE107"/>
      <c r="ADF107"/>
      <c r="ADG107"/>
      <c r="ADH107"/>
      <c r="ADI107"/>
      <c r="ADJ107"/>
      <c r="ADK107"/>
      <c r="ADL107"/>
      <c r="ADM107"/>
      <c r="ADN107"/>
      <c r="ADO107"/>
      <c r="ADP107"/>
      <c r="ADQ107"/>
      <c r="ADR107"/>
      <c r="ADS107"/>
      <c r="ADT107"/>
      <c r="ADU107"/>
      <c r="ADV107"/>
      <c r="ADW107"/>
      <c r="ADX107"/>
      <c r="ADY107"/>
      <c r="ADZ107"/>
      <c r="AEA107"/>
      <c r="AEB107"/>
      <c r="AEC107"/>
      <c r="AED107"/>
      <c r="AEE107"/>
      <c r="AEF107"/>
      <c r="AEG107"/>
      <c r="AEH107"/>
      <c r="AEI107"/>
      <c r="AEJ107"/>
      <c r="AEK107"/>
      <c r="AEL107"/>
      <c r="AEM107"/>
      <c r="AEN107"/>
      <c r="AEO107"/>
      <c r="AEP107"/>
      <c r="AEQ107"/>
      <c r="AER107"/>
      <c r="AES107"/>
      <c r="AET107"/>
      <c r="AEU107"/>
      <c r="AEV107"/>
      <c r="AEW107"/>
      <c r="AEX107"/>
      <c r="AEY107"/>
      <c r="AEZ107"/>
      <c r="AFA107"/>
      <c r="AFB107"/>
      <c r="AFC107"/>
      <c r="AFD107"/>
      <c r="AFE107"/>
      <c r="AFF107"/>
      <c r="AFG107"/>
      <c r="AFH107"/>
      <c r="AFI107"/>
      <c r="AFJ107"/>
      <c r="AFK107"/>
      <c r="AFL107"/>
      <c r="AFM107"/>
      <c r="AFN107"/>
      <c r="AFO107"/>
      <c r="AFP107"/>
      <c r="AFQ107"/>
      <c r="AFR107"/>
      <c r="AFS107"/>
      <c r="AFT107"/>
      <c r="AFU107"/>
      <c r="AFV107"/>
      <c r="AFW107"/>
      <c r="AFX107"/>
      <c r="AFY107"/>
      <c r="AFZ107"/>
      <c r="AGA107"/>
      <c r="AGB107"/>
      <c r="AGC107"/>
      <c r="AGD107"/>
      <c r="AGE107"/>
      <c r="AGF107"/>
      <c r="AGG107"/>
      <c r="AGH107"/>
      <c r="AGI107"/>
      <c r="AGJ107"/>
      <c r="AGK107"/>
      <c r="AGL107"/>
      <c r="AGM107"/>
      <c r="AGN107"/>
      <c r="AGO107"/>
      <c r="AGP107"/>
      <c r="AGQ107"/>
      <c r="AGR107"/>
      <c r="AGS107"/>
      <c r="AGT107"/>
      <c r="AGU107"/>
      <c r="AGV107"/>
      <c r="AGW107"/>
      <c r="AGX107"/>
      <c r="AGY107"/>
      <c r="AGZ107"/>
      <c r="AHA107"/>
      <c r="AHB107"/>
      <c r="AHC107"/>
      <c r="AHD107"/>
      <c r="AHE107"/>
      <c r="AHF107"/>
      <c r="AHG107"/>
      <c r="AHH107"/>
      <c r="AHI107"/>
      <c r="AHJ107"/>
      <c r="AHK107"/>
      <c r="AHL107"/>
      <c r="AHM107"/>
      <c r="AHN107"/>
      <c r="AHO107"/>
      <c r="AHP107"/>
      <c r="AHQ107"/>
      <c r="AHR107"/>
      <c r="AHS107"/>
      <c r="AHT107"/>
      <c r="AHU107"/>
      <c r="AHV107"/>
      <c r="AHW107"/>
      <c r="AHX107"/>
      <c r="AHY107"/>
      <c r="AHZ107"/>
      <c r="AIA107"/>
      <c r="AIB107"/>
      <c r="AIC107"/>
      <c r="AID107"/>
      <c r="AIE107"/>
      <c r="AIF107"/>
      <c r="AIG107"/>
      <c r="AIH107"/>
      <c r="AII107"/>
      <c r="AIJ107"/>
      <c r="AIK107"/>
      <c r="AIL107"/>
      <c r="AIM107"/>
      <c r="AIN107"/>
      <c r="AIO107"/>
      <c r="AIP107"/>
      <c r="AIQ107"/>
      <c r="AIR107"/>
      <c r="AIS107"/>
      <c r="AIT107"/>
      <c r="AIU107"/>
      <c r="AIV107"/>
      <c r="AIW107"/>
      <c r="AIX107"/>
      <c r="AIY107"/>
      <c r="AIZ107"/>
      <c r="AJA107"/>
      <c r="AJB107"/>
      <c r="AJC107"/>
      <c r="AJD107"/>
      <c r="AJE107"/>
      <c r="AJF107"/>
      <c r="AJG107"/>
      <c r="AJH107"/>
      <c r="AJI107"/>
      <c r="AJJ107"/>
      <c r="AJK107"/>
      <c r="AJL107"/>
      <c r="AJM107"/>
      <c r="AJN107"/>
      <c r="AJO107"/>
      <c r="AJP107"/>
      <c r="AJQ107"/>
      <c r="AJR107"/>
      <c r="AJS107"/>
      <c r="AJT107"/>
      <c r="AJU107"/>
      <c r="AJV107"/>
      <c r="AJW107"/>
      <c r="AJX107"/>
      <c r="AJY107"/>
      <c r="AJZ107"/>
      <c r="AKA107"/>
      <c r="AKB107"/>
      <c r="AKC107"/>
      <c r="AKD107"/>
      <c r="AKE107"/>
      <c r="AKF107"/>
      <c r="AKG107"/>
      <c r="AKH107"/>
      <c r="AKI107"/>
      <c r="AKJ107"/>
      <c r="AKK107"/>
      <c r="AKL107"/>
      <c r="AKM107"/>
      <c r="AKN107"/>
      <c r="AKO107"/>
      <c r="AKP107"/>
      <c r="AKQ107"/>
      <c r="AKR107"/>
      <c r="AKS107"/>
      <c r="AKT107"/>
      <c r="AKU107"/>
      <c r="AKV107"/>
      <c r="AKW107"/>
      <c r="AKX107"/>
      <c r="AKY107"/>
      <c r="AKZ107"/>
      <c r="ALA107"/>
      <c r="ALB107"/>
      <c r="ALC107"/>
      <c r="ALD107"/>
      <c r="ALE107"/>
      <c r="ALF107"/>
      <c r="ALG107"/>
      <c r="ALH107"/>
      <c r="ALI107"/>
      <c r="ALJ107"/>
      <c r="ALK107"/>
      <c r="ALL107"/>
      <c r="ALM107"/>
      <c r="ALN107"/>
      <c r="ALO107"/>
      <c r="ALP107"/>
      <c r="ALQ107"/>
      <c r="ALR107"/>
      <c r="ALS107"/>
      <c r="ALT107"/>
      <c r="ALU107"/>
      <c r="ALV107"/>
      <c r="ALW107"/>
      <c r="ALX107"/>
      <c r="ALY107"/>
      <c r="ALZ107"/>
      <c r="AMA107"/>
      <c r="AMB107"/>
      <c r="AMC107"/>
      <c r="AMD107"/>
      <c r="AME107"/>
      <c r="AMF107"/>
      <c r="AMG107"/>
      <c r="AMH107"/>
      <c r="AMI107"/>
      <c r="AMJ107"/>
      <c r="AMK107"/>
      <c r="AML107"/>
      <c r="AMM107"/>
      <c r="AMN107"/>
      <c r="AMO107"/>
      <c r="AMP107"/>
      <c r="AMQ107"/>
      <c r="AMR107"/>
      <c r="AMS107"/>
      <c r="AMT107"/>
      <c r="AMU107"/>
      <c r="AMV107"/>
      <c r="AMW107"/>
      <c r="AMX107"/>
      <c r="AMY107"/>
      <c r="AMZ107"/>
      <c r="ANA107"/>
      <c r="ANB107"/>
      <c r="ANC107"/>
      <c r="AND107"/>
      <c r="ANE107"/>
      <c r="ANF107"/>
      <c r="ANG107"/>
      <c r="ANH107"/>
      <c r="ANI107"/>
      <c r="ANJ107"/>
      <c r="ANK107"/>
      <c r="ANL107"/>
      <c r="ANM107"/>
      <c r="ANN107"/>
      <c r="ANO107"/>
      <c r="ANP107"/>
      <c r="ANQ107"/>
      <c r="ANR107"/>
      <c r="ANS107"/>
      <c r="ANT107"/>
      <c r="ANU107"/>
      <c r="ANV107"/>
      <c r="ANW107"/>
      <c r="ANX107"/>
      <c r="ANY107"/>
      <c r="ANZ107"/>
      <c r="AOA107"/>
      <c r="AOB107"/>
      <c r="AOC107"/>
      <c r="AOD107"/>
      <c r="AOE107"/>
      <c r="AOF107"/>
      <c r="AOG107"/>
      <c r="AOH107"/>
      <c r="AOI107"/>
      <c r="AOJ107"/>
      <c r="AOK107"/>
      <c r="AOL107"/>
      <c r="AOM107"/>
      <c r="AON107"/>
      <c r="AOO107"/>
      <c r="AOP107"/>
      <c r="AOQ107"/>
      <c r="AOR107"/>
      <c r="AOS107"/>
      <c r="AOT107"/>
      <c r="AOU107"/>
      <c r="AOV107"/>
      <c r="AOW107"/>
      <c r="AOX107"/>
      <c r="AOY107"/>
      <c r="AOZ107"/>
      <c r="APA107"/>
      <c r="APB107"/>
      <c r="APC107"/>
      <c r="APD107"/>
      <c r="APE107"/>
      <c r="APF107"/>
      <c r="APG107"/>
      <c r="APH107"/>
      <c r="API107"/>
      <c r="APJ107"/>
      <c r="APK107"/>
      <c r="APL107"/>
      <c r="APM107"/>
      <c r="APN107"/>
      <c r="APO107"/>
      <c r="APP107"/>
      <c r="APQ107"/>
      <c r="APR107"/>
      <c r="APS107"/>
      <c r="APT107"/>
      <c r="APU107"/>
      <c r="APV107"/>
      <c r="APW107"/>
      <c r="APX107"/>
      <c r="APY107"/>
      <c r="APZ107"/>
      <c r="AQA107"/>
      <c r="AQB107"/>
      <c r="AQC107"/>
      <c r="AQD107"/>
      <c r="AQE107"/>
      <c r="AQF107"/>
      <c r="AQG107"/>
      <c r="AQH107"/>
      <c r="AQI107"/>
      <c r="AQJ107"/>
      <c r="AQK107"/>
      <c r="AQL107"/>
      <c r="AQM107"/>
      <c r="AQN107"/>
      <c r="AQO107"/>
      <c r="AQP107"/>
      <c r="AQQ107"/>
      <c r="AQR107"/>
      <c r="AQS107"/>
      <c r="AQT107"/>
      <c r="AQU107"/>
      <c r="AQV107"/>
      <c r="AQW107"/>
      <c r="AQX107"/>
      <c r="AQY107"/>
      <c r="AQZ107"/>
      <c r="ARA107"/>
      <c r="ARB107"/>
      <c r="ARC107"/>
      <c r="ARD107"/>
      <c r="ARE107"/>
      <c r="ARF107"/>
      <c r="ARG107"/>
      <c r="ARH107"/>
      <c r="ARI107"/>
      <c r="ARJ107"/>
      <c r="ARK107"/>
      <c r="ARL107"/>
      <c r="ARM107"/>
      <c r="ARN107"/>
      <c r="ARO107"/>
      <c r="ARP107"/>
      <c r="ARQ107"/>
      <c r="ARR107"/>
      <c r="ARS107"/>
      <c r="ART107"/>
      <c r="ARU107"/>
      <c r="ARV107"/>
      <c r="ARW107"/>
      <c r="ARX107"/>
      <c r="ARY107"/>
      <c r="ARZ107"/>
      <c r="ASA107"/>
      <c r="ASB107"/>
      <c r="ASC107"/>
      <c r="ASD107"/>
      <c r="ASE107"/>
      <c r="ASF107"/>
      <c r="ASG107"/>
      <c r="ASH107"/>
      <c r="ASI107"/>
      <c r="ASJ107"/>
      <c r="ASK107"/>
      <c r="ASL107"/>
      <c r="ASM107"/>
      <c r="ASN107"/>
      <c r="ASO107"/>
      <c r="ASP107"/>
      <c r="ASQ107"/>
      <c r="ASR107"/>
      <c r="ASS107"/>
      <c r="AST107"/>
      <c r="ASU107"/>
      <c r="ASV107"/>
      <c r="ASW107"/>
      <c r="ASX107"/>
      <c r="ASY107"/>
      <c r="ASZ107"/>
      <c r="ATA107"/>
      <c r="ATB107"/>
      <c r="ATC107"/>
      <c r="ATD107"/>
      <c r="ATE107"/>
      <c r="ATF107"/>
      <c r="ATG107"/>
      <c r="ATH107"/>
      <c r="ATI107"/>
      <c r="ATJ107"/>
      <c r="ATK107"/>
      <c r="ATL107"/>
      <c r="ATM107"/>
      <c r="ATN107"/>
      <c r="ATO107"/>
      <c r="ATP107"/>
      <c r="ATQ107"/>
      <c r="ATR107"/>
      <c r="ATS107"/>
      <c r="ATT107"/>
      <c r="ATU107"/>
      <c r="ATV107"/>
      <c r="ATW107"/>
      <c r="ATX107"/>
      <c r="ATY107"/>
      <c r="ATZ107"/>
      <c r="AUA107"/>
      <c r="AUB107"/>
      <c r="AUC107"/>
      <c r="AUD107"/>
      <c r="AUE107"/>
      <c r="AUF107"/>
      <c r="AUG107"/>
      <c r="AUH107"/>
      <c r="AUI107"/>
      <c r="AUJ107"/>
      <c r="AUK107"/>
      <c r="AUL107"/>
      <c r="AUM107"/>
      <c r="AUN107"/>
      <c r="AUO107"/>
      <c r="AUP107"/>
      <c r="AUQ107"/>
      <c r="AUR107"/>
      <c r="AUS107"/>
      <c r="AUT107"/>
      <c r="AUU107"/>
      <c r="AUV107"/>
      <c r="AUW107"/>
      <c r="AUX107"/>
      <c r="AUY107"/>
      <c r="AUZ107"/>
      <c r="AVA107"/>
      <c r="AVB107"/>
      <c r="AVC107"/>
      <c r="AVD107"/>
      <c r="AVE107"/>
      <c r="AVF107"/>
      <c r="AVG107"/>
      <c r="AVH107"/>
      <c r="AVI107"/>
      <c r="AVJ107"/>
      <c r="AVK107"/>
      <c r="AVL107"/>
      <c r="AVM107"/>
      <c r="AVN107"/>
      <c r="AVO107"/>
      <c r="AVP107"/>
      <c r="AVQ107"/>
      <c r="AVR107"/>
      <c r="AVS107"/>
      <c r="AVT107"/>
      <c r="AVU107"/>
      <c r="AVV107"/>
      <c r="AVW107"/>
      <c r="AVX107"/>
      <c r="AVY107"/>
      <c r="AVZ107"/>
      <c r="AWA107"/>
      <c r="AWB107"/>
      <c r="AWC107"/>
      <c r="AWD107"/>
      <c r="AWE107"/>
      <c r="AWF107"/>
      <c r="AWG107"/>
      <c r="AWH107"/>
      <c r="AWI107"/>
      <c r="AWJ107"/>
      <c r="AWK107"/>
      <c r="AWL107"/>
      <c r="AWM107"/>
      <c r="AWN107"/>
      <c r="AWO107"/>
      <c r="AWP107"/>
      <c r="AWQ107"/>
      <c r="AWR107"/>
      <c r="AWS107"/>
      <c r="AWT107"/>
      <c r="AWU107"/>
      <c r="AWV107"/>
      <c r="AWW107"/>
      <c r="AWX107"/>
      <c r="AWY107"/>
      <c r="AWZ107"/>
      <c r="AXA107"/>
      <c r="AXB107"/>
      <c r="AXC107"/>
      <c r="AXD107"/>
      <c r="AXE107"/>
      <c r="AXF107"/>
      <c r="AXG107"/>
      <c r="AXH107"/>
      <c r="AXI107"/>
      <c r="AXJ107"/>
      <c r="AXK107"/>
      <c r="AXL107"/>
      <c r="AXM107"/>
      <c r="AXN107"/>
      <c r="AXO107"/>
      <c r="AXP107"/>
      <c r="AXQ107"/>
      <c r="AXR107"/>
      <c r="AXS107"/>
      <c r="AXT107"/>
      <c r="AXU107"/>
      <c r="AXV107"/>
      <c r="AXW107"/>
      <c r="AXX107"/>
      <c r="AXY107"/>
      <c r="AXZ107"/>
      <c r="AYA107"/>
      <c r="AYB107"/>
      <c r="AYC107"/>
      <c r="AYD107"/>
      <c r="AYE107"/>
      <c r="AYF107"/>
      <c r="AYG107"/>
      <c r="AYH107"/>
      <c r="AYI107"/>
      <c r="AYJ107"/>
      <c r="AYK107"/>
      <c r="AYL107"/>
      <c r="AYM107"/>
      <c r="AYN107"/>
      <c r="AYO107"/>
      <c r="AYP107"/>
      <c r="AYQ107"/>
      <c r="AYR107"/>
      <c r="AYS107"/>
      <c r="AYT107"/>
      <c r="AYU107"/>
      <c r="AYV107"/>
      <c r="AYW107"/>
      <c r="AYX107"/>
      <c r="AYY107"/>
      <c r="AYZ107"/>
      <c r="AZA107"/>
      <c r="AZB107"/>
      <c r="AZC107"/>
      <c r="AZD107"/>
      <c r="AZE107"/>
      <c r="AZF107"/>
      <c r="AZG107"/>
      <c r="AZH107"/>
      <c r="AZI107"/>
      <c r="AZJ107"/>
      <c r="AZK107"/>
      <c r="AZL107"/>
      <c r="AZM107"/>
      <c r="AZN107"/>
      <c r="AZO107"/>
      <c r="AZP107"/>
      <c r="AZQ107"/>
      <c r="AZR107"/>
      <c r="AZS107"/>
      <c r="AZT107"/>
      <c r="AZU107"/>
      <c r="AZV107"/>
      <c r="AZW107"/>
      <c r="AZX107"/>
      <c r="AZY107"/>
      <c r="AZZ107"/>
      <c r="BAA107"/>
      <c r="BAB107"/>
      <c r="BAC107"/>
      <c r="BAD107"/>
      <c r="BAE107"/>
      <c r="BAF107"/>
      <c r="BAG107"/>
      <c r="BAH107"/>
      <c r="BAI107"/>
      <c r="BAJ107"/>
      <c r="BAK107"/>
      <c r="BAL107"/>
      <c r="BAM107"/>
      <c r="BAN107"/>
      <c r="BAO107"/>
      <c r="BAP107"/>
      <c r="BAQ107"/>
      <c r="BAR107"/>
      <c r="BAS107"/>
      <c r="BAT107"/>
      <c r="BAU107"/>
      <c r="BAV107"/>
      <c r="BAW107"/>
      <c r="BAX107"/>
      <c r="BAY107"/>
      <c r="BAZ107"/>
      <c r="BBA107"/>
      <c r="BBB107"/>
      <c r="BBC107"/>
      <c r="BBD107"/>
      <c r="BBE107"/>
      <c r="BBF107"/>
      <c r="BBG107"/>
      <c r="BBH107"/>
      <c r="BBI107"/>
      <c r="BBJ107"/>
      <c r="BBK107"/>
      <c r="BBL107"/>
      <c r="BBM107"/>
      <c r="BBN107"/>
      <c r="BBO107"/>
      <c r="BBP107"/>
      <c r="BBQ107"/>
      <c r="BBR107"/>
      <c r="BBS107"/>
      <c r="BBT107"/>
      <c r="BBU107"/>
      <c r="BBV107"/>
      <c r="BBW107"/>
      <c r="BBX107"/>
      <c r="BBY107"/>
      <c r="BBZ107"/>
      <c r="BCA107"/>
      <c r="BCB107"/>
      <c r="BCC107"/>
      <c r="BCD107"/>
      <c r="BCE107"/>
      <c r="BCF107"/>
      <c r="BCG107"/>
      <c r="BCH107"/>
      <c r="BCI107"/>
      <c r="BCJ107"/>
      <c r="BCK107"/>
      <c r="BCL107"/>
      <c r="BCM107"/>
      <c r="BCN107"/>
      <c r="BCO107"/>
      <c r="BCP107"/>
      <c r="BCQ107"/>
      <c r="BCR107"/>
      <c r="BCS107"/>
      <c r="BCT107"/>
      <c r="BCU107"/>
      <c r="BCV107"/>
      <c r="BCW107"/>
      <c r="BCX107"/>
      <c r="BCY107"/>
      <c r="BCZ107"/>
      <c r="BDA107"/>
      <c r="BDB107"/>
      <c r="BDC107"/>
      <c r="BDD107"/>
      <c r="BDE107"/>
      <c r="BDF107"/>
      <c r="BDG107"/>
      <c r="BDH107"/>
      <c r="BDI107"/>
      <c r="BDJ107"/>
      <c r="BDK107"/>
      <c r="BDL107"/>
      <c r="BDM107"/>
      <c r="BDN107"/>
      <c r="BDO107"/>
      <c r="BDP107"/>
      <c r="BDQ107"/>
      <c r="BDR107"/>
      <c r="BDS107"/>
      <c r="BDT107"/>
      <c r="BDU107"/>
      <c r="BDV107"/>
      <c r="BDW107"/>
      <c r="BDX107"/>
      <c r="BDY107"/>
      <c r="BDZ107"/>
      <c r="BEA107"/>
      <c r="BEB107"/>
      <c r="BEC107"/>
      <c r="BED107"/>
      <c r="BEE107"/>
      <c r="BEF107"/>
      <c r="BEG107"/>
      <c r="BEH107"/>
      <c r="BEI107"/>
      <c r="BEJ107"/>
      <c r="BEK107"/>
      <c r="BEL107"/>
      <c r="BEM107"/>
      <c r="BEN107"/>
      <c r="BEO107"/>
      <c r="BEP107"/>
      <c r="BEQ107"/>
      <c r="BER107"/>
      <c r="BES107"/>
      <c r="BET107"/>
      <c r="BEU107"/>
      <c r="BEV107"/>
      <c r="BEW107"/>
      <c r="BEX107"/>
      <c r="BEY107"/>
      <c r="BEZ107"/>
      <c r="BFA107"/>
      <c r="BFB107"/>
      <c r="BFC107"/>
      <c r="BFD107"/>
      <c r="BFE107"/>
      <c r="BFF107"/>
      <c r="BFG107"/>
      <c r="BFH107"/>
      <c r="BFI107"/>
      <c r="BFJ107"/>
      <c r="BFK107"/>
      <c r="BFL107"/>
      <c r="BFM107"/>
      <c r="BFN107"/>
      <c r="BFO107"/>
      <c r="BFP107"/>
      <c r="BFQ107"/>
      <c r="BFR107"/>
      <c r="BFS107"/>
      <c r="BFT107"/>
      <c r="BFU107"/>
      <c r="BFV107"/>
      <c r="BFW107"/>
      <c r="BFX107"/>
      <c r="BFY107"/>
      <c r="BFZ107"/>
      <c r="BGA107"/>
      <c r="BGB107"/>
      <c r="BGC107"/>
      <c r="BGD107"/>
      <c r="BGE107"/>
      <c r="BGF107"/>
      <c r="BGG107"/>
      <c r="BGH107"/>
      <c r="BGI107"/>
      <c r="BGJ107"/>
      <c r="BGK107"/>
      <c r="BGL107"/>
      <c r="BGM107"/>
      <c r="BGN107"/>
      <c r="BGO107"/>
      <c r="BGP107"/>
      <c r="BGQ107"/>
      <c r="BGR107"/>
      <c r="BGS107"/>
      <c r="BGT107"/>
      <c r="BGU107"/>
      <c r="BGV107"/>
      <c r="BGW107"/>
      <c r="BGX107"/>
      <c r="BGY107"/>
      <c r="BGZ107"/>
      <c r="BHA107"/>
      <c r="BHB107"/>
      <c r="BHC107"/>
      <c r="BHD107"/>
      <c r="BHE107"/>
      <c r="BHF107"/>
      <c r="BHG107"/>
      <c r="BHH107"/>
      <c r="BHI107"/>
      <c r="BHJ107"/>
      <c r="BHK107"/>
      <c r="BHL107"/>
      <c r="BHM107"/>
      <c r="BHN107"/>
      <c r="BHO107"/>
      <c r="BHP107"/>
      <c r="BHQ107"/>
      <c r="BHR107"/>
      <c r="BHS107"/>
      <c r="BHT107"/>
      <c r="BHU107"/>
      <c r="BHV107"/>
      <c r="BHW107"/>
      <c r="BHX107"/>
      <c r="BHY107"/>
      <c r="BHZ107"/>
      <c r="BIA107"/>
      <c r="BIB107"/>
      <c r="BIC107"/>
      <c r="BID107"/>
      <c r="BIE107"/>
      <c r="BIF107"/>
      <c r="BIG107"/>
      <c r="BIH107"/>
      <c r="BII107"/>
      <c r="BIJ107"/>
      <c r="BIK107"/>
      <c r="BIL107"/>
      <c r="BIM107"/>
      <c r="BIN107"/>
      <c r="BIO107"/>
      <c r="BIP107"/>
      <c r="BIQ107"/>
      <c r="BIR107"/>
      <c r="BIS107"/>
      <c r="BIT107"/>
      <c r="BIU107"/>
      <c r="BIV107"/>
      <c r="BIW107"/>
      <c r="BIX107"/>
      <c r="BIY107"/>
      <c r="BIZ107"/>
      <c r="BJA107"/>
      <c r="BJB107"/>
      <c r="BJC107"/>
      <c r="BJD107"/>
      <c r="BJE107"/>
      <c r="BJF107"/>
      <c r="BJG107"/>
      <c r="BJH107"/>
      <c r="BJI107"/>
      <c r="BJJ107"/>
      <c r="BJK107"/>
      <c r="BJL107"/>
      <c r="BJM107"/>
      <c r="BJN107"/>
      <c r="BJO107"/>
      <c r="BJP107"/>
      <c r="BJQ107"/>
      <c r="BJR107"/>
      <c r="BJS107"/>
      <c r="BJT107"/>
      <c r="BJU107"/>
      <c r="BJV107"/>
      <c r="BJW107"/>
      <c r="BJX107"/>
      <c r="BJY107"/>
      <c r="BJZ107"/>
      <c r="BKA107"/>
      <c r="BKB107"/>
      <c r="BKC107"/>
      <c r="BKD107"/>
      <c r="BKE107"/>
      <c r="BKF107"/>
      <c r="BKG107"/>
      <c r="BKH107"/>
      <c r="BKI107"/>
      <c r="BKJ107"/>
      <c r="BKK107"/>
      <c r="BKL107"/>
      <c r="BKM107"/>
      <c r="BKN107"/>
      <c r="BKO107"/>
      <c r="BKP107"/>
      <c r="BKQ107"/>
      <c r="BKR107"/>
      <c r="BKS107"/>
      <c r="BKT107"/>
      <c r="BKU107"/>
      <c r="BKV107"/>
      <c r="BKW107"/>
      <c r="BKX107"/>
      <c r="BKY107"/>
      <c r="BKZ107"/>
      <c r="BLA107"/>
      <c r="BLB107"/>
      <c r="BLC107"/>
      <c r="BLD107"/>
      <c r="BLE107"/>
      <c r="BLF107"/>
      <c r="BLG107"/>
      <c r="BLH107"/>
      <c r="BLI107"/>
      <c r="BLJ107"/>
      <c r="BLK107"/>
      <c r="BLL107"/>
      <c r="BLM107"/>
      <c r="BLN107"/>
      <c r="BLO107"/>
      <c r="BLP107"/>
      <c r="BLQ107"/>
      <c r="BLR107"/>
      <c r="BLS107"/>
      <c r="BLT107"/>
      <c r="BLU107"/>
      <c r="BLV107"/>
      <c r="BLW107"/>
      <c r="BLX107"/>
      <c r="BLY107"/>
      <c r="BLZ107"/>
      <c r="BMA107"/>
      <c r="BMB107"/>
      <c r="BMC107"/>
      <c r="BMD107"/>
      <c r="BME107"/>
      <c r="BMF107"/>
      <c r="BMG107"/>
      <c r="BMH107"/>
      <c r="BMI107"/>
      <c r="BMJ107"/>
      <c r="BMK107"/>
      <c r="BML107"/>
      <c r="BMM107"/>
      <c r="BMN107"/>
      <c r="BMO107"/>
      <c r="BMP107"/>
      <c r="BMQ107"/>
      <c r="BMR107"/>
      <c r="BMS107"/>
      <c r="BMT107"/>
      <c r="BMU107"/>
      <c r="BMV107"/>
      <c r="BMW107"/>
      <c r="BMX107"/>
      <c r="BMY107"/>
      <c r="BMZ107"/>
      <c r="BNA107"/>
      <c r="BNB107"/>
      <c r="BNC107"/>
      <c r="BND107"/>
      <c r="BNE107"/>
      <c r="BNF107"/>
      <c r="BNG107"/>
      <c r="BNH107"/>
      <c r="BNI107"/>
      <c r="BNJ107"/>
      <c r="BNK107"/>
      <c r="BNL107"/>
      <c r="BNM107"/>
      <c r="BNN107"/>
      <c r="BNO107"/>
      <c r="BNP107"/>
      <c r="BNQ107"/>
      <c r="BNR107"/>
      <c r="BNS107"/>
      <c r="BNT107"/>
      <c r="BNU107"/>
      <c r="BNV107"/>
      <c r="BNW107"/>
      <c r="BNX107"/>
      <c r="BNY107"/>
      <c r="BNZ107"/>
      <c r="BOA107"/>
      <c r="BOB107"/>
      <c r="BOC107"/>
      <c r="BOD107"/>
      <c r="BOE107"/>
      <c r="BOF107"/>
      <c r="BOG107"/>
      <c r="BOH107"/>
      <c r="BOI107"/>
      <c r="BOJ107"/>
      <c r="BOK107"/>
      <c r="BOL107"/>
      <c r="BOM107"/>
      <c r="BON107"/>
      <c r="BOO107"/>
      <c r="BOP107"/>
      <c r="BOQ107"/>
      <c r="BOR107"/>
      <c r="BOS107"/>
      <c r="BOT107"/>
      <c r="BOU107"/>
      <c r="BOV107"/>
      <c r="BOW107"/>
      <c r="BOX107"/>
      <c r="BOY107"/>
      <c r="BOZ107"/>
      <c r="BPA107"/>
      <c r="BPB107"/>
      <c r="BPC107"/>
      <c r="BPD107"/>
      <c r="BPE107"/>
      <c r="BPF107"/>
      <c r="BPG107"/>
      <c r="BPH107"/>
      <c r="BPI107"/>
      <c r="BPJ107"/>
      <c r="BPK107"/>
      <c r="BPL107"/>
      <c r="BPM107"/>
      <c r="BPN107"/>
      <c r="BPO107"/>
      <c r="BPP107"/>
      <c r="BPQ107"/>
      <c r="BPR107"/>
      <c r="BPS107"/>
      <c r="BPT107"/>
      <c r="BPU107"/>
      <c r="BPV107"/>
      <c r="BPW107"/>
      <c r="BPX107"/>
      <c r="BPY107"/>
      <c r="BPZ107"/>
      <c r="BQA107"/>
      <c r="BQB107"/>
      <c r="BQC107"/>
      <c r="BQD107"/>
      <c r="BQE107"/>
      <c r="BQF107"/>
      <c r="BQG107"/>
      <c r="BQH107"/>
      <c r="BQI107"/>
      <c r="BQJ107"/>
      <c r="BQK107"/>
      <c r="BQL107"/>
      <c r="BQM107"/>
      <c r="BQN107"/>
      <c r="BQO107"/>
      <c r="BQP107"/>
      <c r="BQQ107"/>
      <c r="BQR107"/>
      <c r="BQS107"/>
      <c r="BQT107"/>
      <c r="BQU107"/>
      <c r="BQV107"/>
      <c r="BQW107"/>
      <c r="BQX107"/>
      <c r="BQY107"/>
      <c r="BQZ107"/>
      <c r="BRA107"/>
      <c r="BRB107"/>
      <c r="BRC107"/>
      <c r="BRD107"/>
      <c r="BRE107"/>
      <c r="BRF107"/>
      <c r="BRG107"/>
      <c r="BRH107"/>
      <c r="BRI107"/>
      <c r="BRJ107"/>
      <c r="BRK107"/>
      <c r="BRL107"/>
      <c r="BRM107"/>
      <c r="BRN107"/>
      <c r="BRO107"/>
      <c r="BRP107"/>
      <c r="BRQ107"/>
      <c r="BRR107"/>
      <c r="BRS107"/>
      <c r="BRT107"/>
      <c r="BRU107"/>
      <c r="BRV107"/>
      <c r="BRW107"/>
      <c r="BRX107"/>
      <c r="BRY107"/>
      <c r="BRZ107"/>
      <c r="BSA107"/>
      <c r="BSB107"/>
      <c r="BSC107"/>
      <c r="BSD107"/>
      <c r="BSE107"/>
      <c r="BSF107"/>
      <c r="BSG107"/>
      <c r="BSH107"/>
      <c r="BSI107"/>
      <c r="BSJ107"/>
      <c r="BSK107"/>
      <c r="BSL107"/>
      <c r="BSM107"/>
      <c r="BSN107"/>
      <c r="BSO107"/>
      <c r="BSP107"/>
      <c r="BSQ107"/>
      <c r="BSR107"/>
      <c r="BSS107"/>
      <c r="BST107"/>
      <c r="BSU107"/>
      <c r="BSV107"/>
      <c r="BSW107"/>
      <c r="BSX107"/>
      <c r="BSY107"/>
      <c r="BSZ107"/>
      <c r="BTA107"/>
      <c r="BTB107"/>
      <c r="BTC107"/>
      <c r="BTD107"/>
      <c r="BTE107"/>
      <c r="BTF107"/>
      <c r="BTG107"/>
      <c r="BTH107"/>
      <c r="BTI107"/>
      <c r="BTJ107"/>
      <c r="BTK107"/>
      <c r="BTL107"/>
      <c r="BTM107"/>
      <c r="BTN107"/>
      <c r="BTO107"/>
      <c r="BTP107"/>
      <c r="BTQ107"/>
      <c r="BTR107"/>
      <c r="BTS107"/>
      <c r="BTT107"/>
      <c r="BTU107"/>
      <c r="BTV107"/>
      <c r="BTW107"/>
      <c r="BTX107"/>
      <c r="BTY107"/>
      <c r="BTZ107"/>
      <c r="BUA107"/>
      <c r="BUB107"/>
      <c r="BUC107"/>
      <c r="BUD107"/>
      <c r="BUE107"/>
      <c r="BUF107"/>
      <c r="BUG107"/>
      <c r="BUH107"/>
      <c r="BUI107"/>
      <c r="BUJ107"/>
      <c r="BUK107"/>
      <c r="BUL107"/>
      <c r="BUM107"/>
      <c r="BUN107"/>
      <c r="BUO107"/>
      <c r="BUP107"/>
      <c r="BUQ107"/>
      <c r="BUR107"/>
      <c r="BUS107"/>
      <c r="BUT107"/>
      <c r="BUU107"/>
      <c r="BUV107"/>
      <c r="BUW107"/>
      <c r="BUX107"/>
      <c r="BUY107"/>
      <c r="BUZ107"/>
      <c r="BVA107"/>
      <c r="BVB107"/>
      <c r="BVC107"/>
      <c r="BVD107"/>
      <c r="BVE107"/>
      <c r="BVF107"/>
      <c r="BVG107"/>
      <c r="BVH107"/>
      <c r="BVI107"/>
      <c r="BVJ107"/>
      <c r="BVK107"/>
      <c r="BVL107"/>
      <c r="BVM107"/>
      <c r="BVN107"/>
      <c r="BVO107"/>
      <c r="BVP107"/>
      <c r="BVQ107"/>
      <c r="BVR107"/>
      <c r="BVS107"/>
      <c r="BVT107"/>
      <c r="BVU107"/>
      <c r="BVV107"/>
      <c r="BVW107"/>
      <c r="BVX107"/>
      <c r="BVY107"/>
      <c r="BVZ107"/>
      <c r="BWA107"/>
      <c r="BWB107"/>
      <c r="BWC107"/>
      <c r="BWD107"/>
      <c r="BWE107"/>
      <c r="BWF107"/>
      <c r="BWG107"/>
      <c r="BWH107"/>
      <c r="BWI107"/>
      <c r="BWJ107"/>
      <c r="BWK107"/>
      <c r="BWL107"/>
      <c r="BWM107"/>
      <c r="BWN107"/>
      <c r="BWO107"/>
      <c r="BWP107"/>
      <c r="BWQ107"/>
      <c r="BWR107"/>
      <c r="BWS107"/>
      <c r="BWT107"/>
      <c r="BWU107"/>
      <c r="BWV107"/>
      <c r="BWW107"/>
      <c r="BWX107"/>
      <c r="BWY107"/>
      <c r="BWZ107"/>
      <c r="BXA107"/>
      <c r="BXB107"/>
      <c r="BXC107"/>
      <c r="BXD107"/>
      <c r="BXE107"/>
      <c r="BXF107"/>
      <c r="BXG107"/>
      <c r="BXH107"/>
      <c r="BXI107"/>
      <c r="BXJ107"/>
      <c r="BXK107"/>
      <c r="BXL107"/>
      <c r="BXM107"/>
      <c r="BXN107"/>
      <c r="BXO107"/>
      <c r="BXP107"/>
      <c r="BXQ107"/>
      <c r="BXR107"/>
      <c r="BXS107"/>
      <c r="BXT107"/>
      <c r="BXU107"/>
      <c r="BXV107"/>
      <c r="BXW107"/>
      <c r="BXX107"/>
      <c r="BXY107"/>
      <c r="BXZ107"/>
      <c r="BYA107"/>
      <c r="BYB107"/>
      <c r="BYC107"/>
      <c r="BYD107"/>
      <c r="BYE107"/>
      <c r="BYF107"/>
      <c r="BYG107"/>
      <c r="BYH107"/>
      <c r="BYI107"/>
      <c r="BYJ107"/>
      <c r="BYK107"/>
      <c r="BYL107"/>
      <c r="BYM107"/>
      <c r="BYN107"/>
      <c r="BYO107"/>
      <c r="BYP107"/>
      <c r="BYQ107"/>
      <c r="BYR107"/>
      <c r="BYS107"/>
      <c r="BYT107"/>
      <c r="BYU107"/>
      <c r="BYV107"/>
      <c r="BYW107"/>
      <c r="BYX107"/>
      <c r="BYY107"/>
      <c r="BYZ107"/>
      <c r="BZA107"/>
      <c r="BZB107"/>
      <c r="BZC107"/>
      <c r="BZD107"/>
      <c r="BZE107"/>
      <c r="BZF107"/>
      <c r="BZG107"/>
      <c r="BZH107"/>
      <c r="BZI107"/>
      <c r="BZJ107"/>
      <c r="BZK107"/>
      <c r="BZL107"/>
      <c r="BZM107"/>
      <c r="BZN107"/>
      <c r="BZO107"/>
      <c r="BZP107"/>
      <c r="BZQ107"/>
      <c r="BZR107"/>
      <c r="BZS107"/>
      <c r="BZT107"/>
      <c r="BZU107"/>
      <c r="BZV107"/>
      <c r="BZW107"/>
      <c r="BZX107"/>
      <c r="BZY107"/>
      <c r="BZZ107"/>
      <c r="CAA107"/>
      <c r="CAB107"/>
      <c r="CAC107"/>
      <c r="CAD107"/>
      <c r="CAE107"/>
      <c r="CAF107"/>
      <c r="CAG107"/>
      <c r="CAH107"/>
      <c r="CAI107"/>
      <c r="CAJ107"/>
      <c r="CAK107"/>
      <c r="CAL107"/>
      <c r="CAM107"/>
      <c r="CAN107"/>
      <c r="CAO107"/>
      <c r="CAP107"/>
      <c r="CAQ107"/>
      <c r="CAR107"/>
      <c r="CAS107"/>
      <c r="CAT107"/>
      <c r="CAU107"/>
      <c r="CAV107"/>
      <c r="CAW107"/>
      <c r="CAX107"/>
      <c r="CAY107"/>
      <c r="CAZ107"/>
      <c r="CBA107"/>
      <c r="CBB107"/>
      <c r="CBC107"/>
      <c r="CBD107"/>
      <c r="CBE107"/>
      <c r="CBF107"/>
      <c r="CBG107"/>
      <c r="CBH107"/>
      <c r="CBI107"/>
      <c r="CBJ107"/>
      <c r="CBK107"/>
      <c r="CBL107"/>
      <c r="CBM107"/>
      <c r="CBN107"/>
      <c r="CBO107"/>
      <c r="CBP107"/>
      <c r="CBQ107"/>
      <c r="CBR107"/>
      <c r="CBS107"/>
      <c r="CBT107"/>
      <c r="CBU107"/>
      <c r="CBV107"/>
      <c r="CBW107"/>
      <c r="CBX107"/>
      <c r="CBY107"/>
      <c r="CBZ107"/>
      <c r="CCA107"/>
      <c r="CCB107"/>
      <c r="CCC107"/>
      <c r="CCD107"/>
      <c r="CCE107"/>
      <c r="CCF107"/>
      <c r="CCG107"/>
      <c r="CCH107"/>
      <c r="CCI107"/>
      <c r="CCJ107"/>
      <c r="CCK107"/>
      <c r="CCL107"/>
      <c r="CCM107"/>
      <c r="CCN107"/>
      <c r="CCO107"/>
      <c r="CCP107"/>
      <c r="CCQ107"/>
      <c r="CCR107"/>
      <c r="CCS107"/>
      <c r="CCT107"/>
      <c r="CCU107"/>
      <c r="CCV107"/>
      <c r="CCW107"/>
      <c r="CCX107"/>
      <c r="CCY107"/>
      <c r="CCZ107"/>
      <c r="CDA107"/>
      <c r="CDB107"/>
      <c r="CDC107"/>
      <c r="CDD107"/>
      <c r="CDE107"/>
      <c r="CDF107"/>
      <c r="CDG107"/>
      <c r="CDH107"/>
      <c r="CDI107"/>
      <c r="CDJ107"/>
      <c r="CDK107"/>
      <c r="CDL107"/>
      <c r="CDM107"/>
      <c r="CDN107"/>
      <c r="CDO107"/>
      <c r="CDP107"/>
      <c r="CDQ107"/>
      <c r="CDR107"/>
      <c r="CDS107"/>
      <c r="CDT107"/>
      <c r="CDU107"/>
      <c r="CDV107"/>
      <c r="CDW107"/>
      <c r="CDX107"/>
      <c r="CDY107"/>
      <c r="CDZ107"/>
      <c r="CEA107"/>
      <c r="CEB107"/>
      <c r="CEC107"/>
      <c r="CED107"/>
      <c r="CEE107"/>
      <c r="CEF107"/>
      <c r="CEG107"/>
      <c r="CEH107"/>
      <c r="CEI107"/>
      <c r="CEJ107"/>
      <c r="CEK107"/>
      <c r="CEL107"/>
      <c r="CEM107"/>
      <c r="CEN107"/>
      <c r="CEO107"/>
      <c r="CEP107"/>
      <c r="CEQ107"/>
      <c r="CER107"/>
      <c r="CES107"/>
      <c r="CET107"/>
      <c r="CEU107"/>
      <c r="CEV107"/>
      <c r="CEW107"/>
      <c r="CEX107"/>
      <c r="CEY107"/>
      <c r="CEZ107"/>
      <c r="CFA107"/>
      <c r="CFB107"/>
      <c r="CFC107"/>
      <c r="CFD107"/>
      <c r="CFE107"/>
      <c r="CFF107"/>
      <c r="CFG107"/>
      <c r="CFH107"/>
      <c r="CFI107"/>
      <c r="CFJ107"/>
      <c r="CFK107"/>
      <c r="CFL107"/>
      <c r="CFM107"/>
      <c r="CFN107"/>
      <c r="CFO107"/>
      <c r="CFP107"/>
      <c r="CFQ107"/>
      <c r="CFR107"/>
      <c r="CFS107"/>
      <c r="CFT107"/>
      <c r="CFU107"/>
      <c r="CFV107"/>
      <c r="CFW107"/>
      <c r="CFX107"/>
      <c r="CFY107"/>
      <c r="CFZ107"/>
      <c r="CGA107"/>
      <c r="CGB107"/>
      <c r="CGC107"/>
      <c r="CGD107"/>
      <c r="CGE107"/>
      <c r="CGF107"/>
      <c r="CGG107"/>
      <c r="CGH107"/>
      <c r="CGI107"/>
      <c r="CGJ107"/>
      <c r="CGK107"/>
      <c r="CGL107"/>
      <c r="CGM107"/>
      <c r="CGN107"/>
      <c r="CGO107"/>
      <c r="CGP107"/>
      <c r="CGQ107"/>
      <c r="CGR107"/>
      <c r="CGS107"/>
      <c r="CGT107"/>
      <c r="CGU107"/>
      <c r="CGV107"/>
      <c r="CGW107"/>
      <c r="CGX107"/>
      <c r="CGY107"/>
      <c r="CGZ107"/>
      <c r="CHA107"/>
      <c r="CHB107"/>
      <c r="CHC107"/>
      <c r="CHD107"/>
      <c r="CHE107"/>
      <c r="CHF107"/>
      <c r="CHG107"/>
      <c r="CHH107"/>
      <c r="CHI107"/>
      <c r="CHJ107"/>
      <c r="CHK107"/>
      <c r="CHL107"/>
      <c r="CHM107"/>
      <c r="CHN107"/>
      <c r="CHO107"/>
      <c r="CHP107"/>
      <c r="CHQ107"/>
      <c r="CHR107"/>
      <c r="CHS107"/>
      <c r="CHT107"/>
      <c r="CHU107"/>
      <c r="CHV107"/>
      <c r="CHW107"/>
      <c r="CHX107"/>
      <c r="CHY107"/>
      <c r="CHZ107"/>
      <c r="CIA107"/>
      <c r="CIB107"/>
      <c r="CIC107"/>
      <c r="CID107"/>
      <c r="CIE107"/>
      <c r="CIF107"/>
      <c r="CIG107"/>
      <c r="CIH107"/>
      <c r="CII107"/>
      <c r="CIJ107"/>
      <c r="CIK107"/>
      <c r="CIL107"/>
      <c r="CIM107"/>
      <c r="CIN107"/>
      <c r="CIO107"/>
      <c r="CIP107"/>
      <c r="CIQ107"/>
      <c r="CIR107"/>
      <c r="CIS107"/>
      <c r="CIT107"/>
      <c r="CIU107"/>
      <c r="CIV107"/>
      <c r="CIW107"/>
      <c r="CIX107"/>
      <c r="CIY107"/>
      <c r="CIZ107"/>
      <c r="CJA107"/>
      <c r="CJB107"/>
      <c r="CJC107"/>
      <c r="CJD107"/>
      <c r="CJE107"/>
      <c r="CJF107"/>
      <c r="CJG107"/>
      <c r="CJH107"/>
      <c r="CJI107"/>
      <c r="CJJ107"/>
      <c r="CJK107"/>
      <c r="CJL107"/>
      <c r="CJM107"/>
      <c r="CJN107"/>
      <c r="CJO107"/>
      <c r="CJP107"/>
      <c r="CJQ107"/>
      <c r="CJR107"/>
      <c r="CJS107"/>
      <c r="CJT107"/>
      <c r="CJU107"/>
      <c r="CJV107"/>
      <c r="CJW107"/>
      <c r="CJX107"/>
      <c r="CJY107"/>
      <c r="CJZ107"/>
      <c r="CKA107"/>
      <c r="CKB107"/>
      <c r="CKC107"/>
      <c r="CKD107"/>
      <c r="CKE107"/>
      <c r="CKF107"/>
      <c r="CKG107"/>
      <c r="CKH107"/>
      <c r="CKI107"/>
      <c r="CKJ107"/>
      <c r="CKK107"/>
      <c r="CKL107"/>
      <c r="CKM107"/>
      <c r="CKN107"/>
      <c r="CKO107"/>
      <c r="CKP107"/>
      <c r="CKQ107"/>
      <c r="CKR107"/>
      <c r="CKS107"/>
      <c r="CKT107"/>
      <c r="CKU107"/>
      <c r="CKV107"/>
      <c r="CKW107"/>
      <c r="CKX107"/>
      <c r="CKY107"/>
      <c r="CKZ107"/>
      <c r="CLA107"/>
      <c r="CLB107"/>
      <c r="CLC107"/>
      <c r="CLD107"/>
      <c r="CLE107"/>
      <c r="CLF107"/>
      <c r="CLG107"/>
      <c r="CLH107"/>
      <c r="CLI107"/>
      <c r="CLJ107"/>
      <c r="CLK107"/>
      <c r="CLL107"/>
      <c r="CLM107"/>
      <c r="CLN107"/>
      <c r="CLO107"/>
      <c r="CLP107"/>
      <c r="CLQ107"/>
      <c r="CLR107"/>
      <c r="CLS107"/>
      <c r="CLT107"/>
      <c r="CLU107"/>
      <c r="CLV107"/>
      <c r="CLW107"/>
      <c r="CLX107"/>
      <c r="CLY107"/>
      <c r="CLZ107"/>
      <c r="CMA107"/>
      <c r="CMB107"/>
      <c r="CMC107"/>
      <c r="CMD107"/>
      <c r="CME107"/>
      <c r="CMF107"/>
      <c r="CMG107"/>
      <c r="CMH107"/>
      <c r="CMI107"/>
      <c r="CMJ107"/>
      <c r="CMK107"/>
      <c r="CML107"/>
      <c r="CMM107"/>
      <c r="CMN107"/>
      <c r="CMO107"/>
      <c r="CMP107"/>
      <c r="CMQ107"/>
      <c r="CMR107"/>
      <c r="CMS107"/>
      <c r="CMT107"/>
      <c r="CMU107"/>
      <c r="CMV107"/>
      <c r="CMW107"/>
      <c r="CMX107"/>
      <c r="CMY107"/>
      <c r="CMZ107"/>
      <c r="CNA107"/>
      <c r="CNB107"/>
      <c r="CNC107"/>
      <c r="CND107"/>
      <c r="CNE107"/>
      <c r="CNF107"/>
      <c r="CNG107"/>
      <c r="CNH107"/>
      <c r="CNI107"/>
      <c r="CNJ107"/>
      <c r="CNK107"/>
      <c r="CNL107"/>
      <c r="CNM107"/>
      <c r="CNN107"/>
      <c r="CNO107"/>
      <c r="CNP107"/>
      <c r="CNQ107"/>
      <c r="CNR107"/>
      <c r="CNS107"/>
      <c r="CNT107"/>
      <c r="CNU107"/>
      <c r="CNV107"/>
      <c r="CNW107"/>
      <c r="CNX107"/>
      <c r="CNY107"/>
      <c r="CNZ107"/>
      <c r="COA107"/>
      <c r="COB107"/>
      <c r="COC107"/>
      <c r="COD107"/>
      <c r="COE107"/>
      <c r="COF107"/>
      <c r="COG107"/>
      <c r="COH107"/>
      <c r="COI107"/>
      <c r="COJ107"/>
      <c r="COK107"/>
      <c r="COL107"/>
      <c r="COM107"/>
      <c r="CON107"/>
      <c r="COO107"/>
      <c r="COP107"/>
      <c r="COQ107"/>
      <c r="COR107"/>
      <c r="COS107"/>
      <c r="COT107"/>
      <c r="COU107"/>
      <c r="COV107"/>
      <c r="COW107"/>
      <c r="COX107"/>
      <c r="COY107"/>
      <c r="COZ107"/>
      <c r="CPA107"/>
      <c r="CPB107"/>
      <c r="CPC107"/>
      <c r="CPD107"/>
      <c r="CPE107"/>
      <c r="CPF107"/>
      <c r="CPG107"/>
      <c r="CPH107"/>
      <c r="CPI107"/>
      <c r="CPJ107"/>
      <c r="CPK107"/>
      <c r="CPL107"/>
      <c r="CPM107"/>
      <c r="CPN107"/>
      <c r="CPO107"/>
      <c r="CPP107"/>
      <c r="CPQ107"/>
      <c r="CPR107"/>
      <c r="CPS107"/>
      <c r="CPT107"/>
      <c r="CPU107"/>
      <c r="CPV107"/>
      <c r="CPW107"/>
      <c r="CPX107"/>
      <c r="CPY107"/>
      <c r="CPZ107"/>
      <c r="CQA107"/>
      <c r="CQB107"/>
      <c r="CQC107"/>
      <c r="CQD107"/>
      <c r="CQE107"/>
      <c r="CQF107"/>
      <c r="CQG107"/>
      <c r="CQH107"/>
      <c r="CQI107"/>
      <c r="CQJ107"/>
      <c r="CQK107"/>
      <c r="CQL107"/>
      <c r="CQM107"/>
      <c r="CQN107"/>
      <c r="CQO107"/>
      <c r="CQP107"/>
      <c r="CQQ107"/>
      <c r="CQR107"/>
      <c r="CQS107"/>
      <c r="CQT107"/>
      <c r="CQU107"/>
      <c r="CQV107"/>
      <c r="CQW107"/>
      <c r="CQX107"/>
      <c r="CQY107"/>
      <c r="CQZ107"/>
      <c r="CRA107"/>
      <c r="CRB107"/>
      <c r="CRC107"/>
      <c r="CRD107"/>
      <c r="CRE107"/>
      <c r="CRF107"/>
      <c r="CRG107"/>
      <c r="CRH107"/>
      <c r="CRI107"/>
      <c r="CRJ107"/>
      <c r="CRK107"/>
      <c r="CRL107"/>
      <c r="CRM107"/>
      <c r="CRN107"/>
      <c r="CRO107"/>
      <c r="CRP107"/>
      <c r="CRQ107"/>
      <c r="CRR107"/>
      <c r="CRS107"/>
      <c r="CRT107"/>
      <c r="CRU107"/>
      <c r="CRV107"/>
      <c r="CRW107"/>
      <c r="CRX107"/>
      <c r="CRY107"/>
      <c r="CRZ107"/>
      <c r="CSA107"/>
      <c r="CSB107"/>
      <c r="CSC107"/>
      <c r="CSD107"/>
      <c r="CSE107"/>
      <c r="CSF107"/>
      <c r="CSG107"/>
      <c r="CSH107"/>
      <c r="CSI107"/>
      <c r="CSJ107"/>
      <c r="CSK107"/>
      <c r="CSL107"/>
      <c r="CSM107"/>
      <c r="CSN107"/>
      <c r="CSO107"/>
      <c r="CSP107"/>
      <c r="CSQ107"/>
      <c r="CSR107"/>
      <c r="CSS107"/>
      <c r="CST107"/>
      <c r="CSU107"/>
      <c r="CSV107"/>
      <c r="CSW107"/>
      <c r="CSX107"/>
      <c r="CSY107"/>
      <c r="CSZ107"/>
      <c r="CTA107"/>
      <c r="CTB107"/>
      <c r="CTC107"/>
      <c r="CTD107"/>
      <c r="CTE107"/>
      <c r="CTF107"/>
      <c r="CTG107"/>
      <c r="CTH107"/>
      <c r="CTI107"/>
      <c r="CTJ107"/>
      <c r="CTK107"/>
      <c r="CTL107"/>
      <c r="CTM107"/>
      <c r="CTN107"/>
      <c r="CTO107"/>
      <c r="CTP107"/>
      <c r="CTQ107"/>
      <c r="CTR107"/>
      <c r="CTS107"/>
      <c r="CTT107"/>
      <c r="CTU107"/>
      <c r="CTV107"/>
      <c r="CTW107"/>
      <c r="CTX107"/>
      <c r="CTY107"/>
      <c r="CTZ107"/>
      <c r="CUA107"/>
      <c r="CUB107"/>
      <c r="CUC107"/>
      <c r="CUD107"/>
      <c r="CUE107"/>
      <c r="CUF107"/>
      <c r="CUG107"/>
      <c r="CUH107"/>
      <c r="CUI107"/>
      <c r="CUJ107"/>
      <c r="CUK107"/>
      <c r="CUL107"/>
      <c r="CUM107"/>
      <c r="CUN107"/>
      <c r="CUO107"/>
      <c r="CUP107"/>
      <c r="CUQ107"/>
      <c r="CUR107"/>
      <c r="CUS107"/>
      <c r="CUT107"/>
      <c r="CUU107"/>
      <c r="CUV107"/>
      <c r="CUW107"/>
      <c r="CUX107"/>
      <c r="CUY107"/>
      <c r="CUZ107"/>
      <c r="CVA107"/>
      <c r="CVB107"/>
      <c r="CVC107"/>
      <c r="CVD107"/>
      <c r="CVE107"/>
      <c r="CVF107"/>
      <c r="CVG107"/>
      <c r="CVH107"/>
      <c r="CVI107"/>
      <c r="CVJ107"/>
      <c r="CVK107"/>
      <c r="CVL107"/>
      <c r="CVM107"/>
      <c r="CVN107"/>
      <c r="CVO107"/>
      <c r="CVP107"/>
      <c r="CVQ107"/>
      <c r="CVR107"/>
      <c r="CVS107"/>
      <c r="CVT107"/>
      <c r="CVU107"/>
      <c r="CVV107"/>
      <c r="CVW107"/>
      <c r="CVX107"/>
      <c r="CVY107"/>
      <c r="CVZ107"/>
      <c r="CWA107"/>
      <c r="CWB107"/>
      <c r="CWC107"/>
      <c r="CWD107"/>
      <c r="CWE107"/>
      <c r="CWF107"/>
      <c r="CWG107"/>
      <c r="CWH107"/>
      <c r="CWI107"/>
      <c r="CWJ107"/>
      <c r="CWK107"/>
      <c r="CWL107"/>
      <c r="CWM107"/>
      <c r="CWN107"/>
      <c r="CWO107"/>
      <c r="CWP107"/>
      <c r="CWQ107"/>
      <c r="CWR107"/>
      <c r="CWS107"/>
      <c r="CWT107"/>
      <c r="CWU107"/>
      <c r="CWV107"/>
      <c r="CWW107"/>
      <c r="CWX107"/>
      <c r="CWY107"/>
      <c r="CWZ107"/>
      <c r="CXA107"/>
      <c r="CXB107"/>
      <c r="CXC107"/>
      <c r="CXD107"/>
      <c r="CXE107"/>
      <c r="CXF107"/>
      <c r="CXG107"/>
      <c r="CXH107"/>
      <c r="CXI107"/>
      <c r="CXJ107"/>
      <c r="CXK107"/>
      <c r="CXL107"/>
      <c r="CXM107"/>
      <c r="CXN107"/>
      <c r="CXO107"/>
      <c r="CXP107"/>
      <c r="CXQ107"/>
      <c r="CXR107"/>
      <c r="CXS107"/>
      <c r="CXT107"/>
      <c r="CXU107"/>
      <c r="CXV107"/>
      <c r="CXW107"/>
      <c r="CXX107"/>
      <c r="CXY107"/>
      <c r="CXZ107"/>
      <c r="CYA107"/>
      <c r="CYB107"/>
      <c r="CYC107"/>
      <c r="CYD107"/>
      <c r="CYE107"/>
      <c r="CYF107"/>
      <c r="CYG107"/>
      <c r="CYH107"/>
      <c r="CYI107"/>
      <c r="CYJ107"/>
      <c r="CYK107"/>
      <c r="CYL107"/>
      <c r="CYM107"/>
      <c r="CYN107"/>
      <c r="CYO107"/>
      <c r="CYP107"/>
      <c r="CYQ107"/>
      <c r="CYR107"/>
      <c r="CYS107"/>
      <c r="CYT107"/>
      <c r="CYU107"/>
      <c r="CYV107"/>
      <c r="CYW107"/>
      <c r="CYX107"/>
      <c r="CYY107"/>
      <c r="CYZ107"/>
      <c r="CZA107"/>
      <c r="CZB107"/>
      <c r="CZC107"/>
      <c r="CZD107"/>
      <c r="CZE107"/>
      <c r="CZF107"/>
      <c r="CZG107"/>
      <c r="CZH107"/>
      <c r="CZI107"/>
      <c r="CZJ107"/>
      <c r="CZK107"/>
      <c r="CZL107"/>
      <c r="CZM107"/>
      <c r="CZN107"/>
      <c r="CZO107"/>
      <c r="CZP107"/>
      <c r="CZQ107"/>
      <c r="CZR107"/>
      <c r="CZS107"/>
      <c r="CZT107"/>
      <c r="CZU107"/>
      <c r="CZV107"/>
      <c r="CZW107"/>
      <c r="CZX107"/>
      <c r="CZY107"/>
      <c r="CZZ107"/>
      <c r="DAA107"/>
      <c r="DAB107"/>
      <c r="DAC107"/>
      <c r="DAD107"/>
      <c r="DAE107"/>
      <c r="DAF107"/>
      <c r="DAG107"/>
      <c r="DAH107"/>
      <c r="DAI107"/>
      <c r="DAJ107"/>
      <c r="DAK107"/>
      <c r="DAL107"/>
      <c r="DAM107"/>
      <c r="DAN107"/>
      <c r="DAO107"/>
      <c r="DAP107"/>
      <c r="DAQ107"/>
      <c r="DAR107"/>
      <c r="DAS107"/>
      <c r="DAT107"/>
      <c r="DAU107"/>
      <c r="DAV107"/>
      <c r="DAW107"/>
      <c r="DAX107"/>
      <c r="DAY107"/>
      <c r="DAZ107"/>
      <c r="DBA107"/>
      <c r="DBB107"/>
      <c r="DBC107"/>
      <c r="DBD107"/>
      <c r="DBE107"/>
      <c r="DBF107"/>
      <c r="DBG107"/>
      <c r="DBH107"/>
      <c r="DBI107"/>
      <c r="DBJ107"/>
      <c r="DBK107"/>
      <c r="DBL107"/>
      <c r="DBM107"/>
      <c r="DBN107"/>
      <c r="DBO107"/>
      <c r="DBP107"/>
      <c r="DBQ107"/>
      <c r="DBR107"/>
      <c r="DBS107"/>
      <c r="DBT107"/>
      <c r="DBU107"/>
      <c r="DBV107"/>
      <c r="DBW107"/>
      <c r="DBX107"/>
      <c r="DBY107"/>
      <c r="DBZ107"/>
      <c r="DCA107"/>
      <c r="DCB107"/>
      <c r="DCC107"/>
      <c r="DCD107"/>
      <c r="DCE107"/>
      <c r="DCF107"/>
      <c r="DCG107"/>
      <c r="DCH107"/>
      <c r="DCI107"/>
      <c r="DCJ107"/>
      <c r="DCK107"/>
      <c r="DCL107"/>
      <c r="DCM107"/>
      <c r="DCN107"/>
      <c r="DCO107"/>
      <c r="DCP107"/>
      <c r="DCQ107"/>
      <c r="DCR107"/>
      <c r="DCS107"/>
      <c r="DCT107"/>
      <c r="DCU107"/>
      <c r="DCV107"/>
      <c r="DCW107"/>
      <c r="DCX107"/>
      <c r="DCY107"/>
      <c r="DCZ107"/>
      <c r="DDA107"/>
      <c r="DDB107"/>
      <c r="DDC107"/>
      <c r="DDD107"/>
      <c r="DDE107"/>
      <c r="DDF107"/>
      <c r="DDG107"/>
      <c r="DDH107"/>
      <c r="DDI107"/>
      <c r="DDJ107"/>
      <c r="DDK107"/>
      <c r="DDL107"/>
      <c r="DDM107"/>
      <c r="DDN107"/>
      <c r="DDO107"/>
      <c r="DDP107"/>
      <c r="DDQ107"/>
      <c r="DDR107"/>
      <c r="DDS107"/>
      <c r="DDT107"/>
      <c r="DDU107"/>
      <c r="DDV107"/>
      <c r="DDW107"/>
      <c r="DDX107"/>
      <c r="DDY107"/>
      <c r="DDZ107"/>
      <c r="DEA107"/>
      <c r="DEB107"/>
      <c r="DEC107"/>
      <c r="DED107"/>
      <c r="DEE107"/>
      <c r="DEF107"/>
      <c r="DEG107"/>
      <c r="DEH107"/>
      <c r="DEI107"/>
      <c r="DEJ107"/>
      <c r="DEK107"/>
      <c r="DEL107"/>
      <c r="DEM107"/>
      <c r="DEN107"/>
      <c r="DEO107"/>
      <c r="DEP107"/>
      <c r="DEQ107"/>
      <c r="DER107"/>
      <c r="DES107"/>
      <c r="DET107"/>
      <c r="DEU107"/>
      <c r="DEV107"/>
      <c r="DEW107"/>
      <c r="DEX107"/>
      <c r="DEY107"/>
      <c r="DEZ107"/>
      <c r="DFA107"/>
      <c r="DFB107"/>
      <c r="DFC107"/>
      <c r="DFD107"/>
      <c r="DFE107"/>
      <c r="DFF107"/>
      <c r="DFG107"/>
      <c r="DFH107"/>
      <c r="DFI107"/>
      <c r="DFJ107"/>
      <c r="DFK107"/>
      <c r="DFL107"/>
      <c r="DFM107"/>
      <c r="DFN107"/>
      <c r="DFO107"/>
      <c r="DFP107"/>
      <c r="DFQ107"/>
      <c r="DFR107"/>
      <c r="DFS107"/>
      <c r="DFT107"/>
      <c r="DFU107"/>
      <c r="DFV107"/>
      <c r="DFW107"/>
      <c r="DFX107"/>
      <c r="DFY107"/>
      <c r="DFZ107"/>
      <c r="DGA107"/>
      <c r="DGB107"/>
      <c r="DGC107"/>
      <c r="DGD107"/>
      <c r="DGE107"/>
      <c r="DGF107"/>
      <c r="DGG107"/>
      <c r="DGH107"/>
      <c r="DGI107"/>
      <c r="DGJ107"/>
      <c r="DGK107"/>
      <c r="DGL107"/>
      <c r="DGM107"/>
      <c r="DGN107"/>
      <c r="DGO107"/>
      <c r="DGP107"/>
      <c r="DGQ107"/>
      <c r="DGR107"/>
      <c r="DGS107"/>
      <c r="DGT107"/>
      <c r="DGU107"/>
      <c r="DGV107"/>
      <c r="DGW107"/>
      <c r="DGX107"/>
      <c r="DGY107"/>
      <c r="DGZ107"/>
      <c r="DHA107"/>
      <c r="DHB107"/>
      <c r="DHC107"/>
      <c r="DHD107"/>
      <c r="DHE107"/>
      <c r="DHF107"/>
      <c r="DHG107"/>
      <c r="DHH107"/>
      <c r="DHI107"/>
      <c r="DHJ107"/>
      <c r="DHK107"/>
      <c r="DHL107"/>
      <c r="DHM107"/>
      <c r="DHN107"/>
      <c r="DHO107"/>
      <c r="DHP107"/>
      <c r="DHQ107"/>
      <c r="DHR107"/>
      <c r="DHS107"/>
      <c r="DHT107"/>
      <c r="DHU107"/>
      <c r="DHV107"/>
      <c r="DHW107"/>
      <c r="DHX107"/>
      <c r="DHY107"/>
      <c r="DHZ107"/>
      <c r="DIA107"/>
      <c r="DIB107"/>
      <c r="DIC107"/>
      <c r="DID107"/>
      <c r="DIE107"/>
      <c r="DIF107"/>
      <c r="DIG107"/>
      <c r="DIH107"/>
      <c r="DII107"/>
      <c r="DIJ107"/>
      <c r="DIK107"/>
      <c r="DIL107"/>
      <c r="DIM107"/>
      <c r="DIN107"/>
      <c r="DIO107"/>
      <c r="DIP107"/>
      <c r="DIQ107"/>
      <c r="DIR107"/>
      <c r="DIS107"/>
      <c r="DIT107"/>
      <c r="DIU107"/>
      <c r="DIV107"/>
      <c r="DIW107"/>
      <c r="DIX107"/>
      <c r="DIY107"/>
      <c r="DIZ107"/>
      <c r="DJA107"/>
      <c r="DJB107"/>
      <c r="DJC107"/>
      <c r="DJD107"/>
      <c r="DJE107"/>
      <c r="DJF107"/>
      <c r="DJG107"/>
      <c r="DJH107"/>
      <c r="DJI107"/>
      <c r="DJJ107"/>
      <c r="DJK107"/>
      <c r="DJL107"/>
      <c r="DJM107"/>
      <c r="DJN107"/>
      <c r="DJO107"/>
      <c r="DJP107"/>
      <c r="DJQ107"/>
      <c r="DJR107"/>
      <c r="DJS107"/>
      <c r="DJT107"/>
      <c r="DJU107"/>
      <c r="DJV107"/>
      <c r="DJW107"/>
      <c r="DJX107"/>
      <c r="DJY107"/>
      <c r="DJZ107"/>
      <c r="DKA107"/>
      <c r="DKB107"/>
      <c r="DKC107"/>
      <c r="DKD107"/>
      <c r="DKE107"/>
      <c r="DKF107"/>
      <c r="DKG107"/>
      <c r="DKH107"/>
      <c r="DKI107"/>
      <c r="DKJ107"/>
      <c r="DKK107"/>
      <c r="DKL107"/>
      <c r="DKM107"/>
      <c r="DKN107"/>
      <c r="DKO107"/>
      <c r="DKP107"/>
      <c r="DKQ107"/>
      <c r="DKR107"/>
      <c r="DKS107"/>
      <c r="DKT107"/>
      <c r="DKU107"/>
      <c r="DKV107"/>
      <c r="DKW107"/>
      <c r="DKX107"/>
      <c r="DKY107"/>
      <c r="DKZ107"/>
      <c r="DLA107"/>
      <c r="DLB107"/>
      <c r="DLC107"/>
      <c r="DLD107"/>
      <c r="DLE107"/>
      <c r="DLF107"/>
      <c r="DLG107"/>
      <c r="DLH107"/>
      <c r="DLI107"/>
      <c r="DLJ107"/>
      <c r="DLK107"/>
      <c r="DLL107"/>
      <c r="DLM107"/>
      <c r="DLN107"/>
      <c r="DLO107"/>
      <c r="DLP107"/>
      <c r="DLQ107"/>
      <c r="DLR107"/>
      <c r="DLS107"/>
      <c r="DLT107"/>
      <c r="DLU107"/>
      <c r="DLV107"/>
      <c r="DLW107"/>
      <c r="DLX107"/>
      <c r="DLY107"/>
      <c r="DLZ107"/>
      <c r="DMA107"/>
      <c r="DMB107"/>
      <c r="DMC107"/>
      <c r="DMD107"/>
      <c r="DME107"/>
      <c r="DMF107"/>
      <c r="DMG107"/>
      <c r="DMH107"/>
      <c r="DMI107"/>
      <c r="DMJ107"/>
      <c r="DMK107"/>
      <c r="DML107"/>
      <c r="DMM107"/>
      <c r="DMN107"/>
      <c r="DMO107"/>
      <c r="DMP107"/>
      <c r="DMQ107"/>
      <c r="DMR107"/>
      <c r="DMS107"/>
      <c r="DMT107"/>
      <c r="DMU107"/>
      <c r="DMV107"/>
      <c r="DMW107"/>
      <c r="DMX107"/>
      <c r="DMY107"/>
      <c r="DMZ107"/>
      <c r="DNA107"/>
      <c r="DNB107"/>
      <c r="DNC107"/>
      <c r="DND107"/>
      <c r="DNE107"/>
      <c r="DNF107"/>
      <c r="DNG107"/>
      <c r="DNH107"/>
      <c r="DNI107"/>
      <c r="DNJ107"/>
      <c r="DNK107"/>
      <c r="DNL107"/>
      <c r="DNM107"/>
      <c r="DNN107"/>
      <c r="DNO107"/>
      <c r="DNP107"/>
      <c r="DNQ107"/>
      <c r="DNR107"/>
      <c r="DNS107"/>
      <c r="DNT107"/>
      <c r="DNU107"/>
      <c r="DNV107"/>
      <c r="DNW107"/>
      <c r="DNX107"/>
      <c r="DNY107"/>
      <c r="DNZ107"/>
      <c r="DOA107"/>
      <c r="DOB107"/>
      <c r="DOC107"/>
      <c r="DOD107"/>
      <c r="DOE107"/>
      <c r="DOF107"/>
      <c r="DOG107"/>
      <c r="DOH107"/>
      <c r="DOI107"/>
      <c r="DOJ107"/>
      <c r="DOK107"/>
      <c r="DOL107"/>
      <c r="DOM107"/>
      <c r="DON107"/>
      <c r="DOO107"/>
      <c r="DOP107"/>
      <c r="DOQ107"/>
      <c r="DOR107"/>
      <c r="DOS107"/>
      <c r="DOT107"/>
      <c r="DOU107"/>
      <c r="DOV107"/>
      <c r="DOW107"/>
      <c r="DOX107"/>
      <c r="DOY107"/>
      <c r="DOZ107"/>
      <c r="DPA107"/>
      <c r="DPB107"/>
      <c r="DPC107"/>
      <c r="DPD107"/>
      <c r="DPE107"/>
      <c r="DPF107"/>
      <c r="DPG107"/>
      <c r="DPH107"/>
      <c r="DPI107"/>
      <c r="DPJ107"/>
      <c r="DPK107"/>
      <c r="DPL107"/>
      <c r="DPM107"/>
      <c r="DPN107"/>
      <c r="DPO107"/>
      <c r="DPP107"/>
      <c r="DPQ107"/>
      <c r="DPR107"/>
      <c r="DPS107"/>
      <c r="DPT107"/>
      <c r="DPU107"/>
      <c r="DPV107"/>
      <c r="DPW107"/>
      <c r="DPX107"/>
      <c r="DPY107"/>
      <c r="DPZ107"/>
      <c r="DQA107"/>
      <c r="DQB107"/>
      <c r="DQC107"/>
      <c r="DQD107"/>
      <c r="DQE107"/>
      <c r="DQF107"/>
      <c r="DQG107"/>
      <c r="DQH107"/>
      <c r="DQI107"/>
      <c r="DQJ107"/>
      <c r="DQK107"/>
      <c r="DQL107"/>
      <c r="DQM107"/>
      <c r="DQN107"/>
      <c r="DQO107"/>
      <c r="DQP107"/>
      <c r="DQQ107"/>
      <c r="DQR107"/>
      <c r="DQS107"/>
      <c r="DQT107"/>
      <c r="DQU107"/>
      <c r="DQV107"/>
      <c r="DQW107"/>
      <c r="DQX107"/>
      <c r="DQY107"/>
      <c r="DQZ107"/>
      <c r="DRA107"/>
      <c r="DRB107"/>
      <c r="DRC107"/>
      <c r="DRD107"/>
      <c r="DRE107"/>
      <c r="DRF107"/>
      <c r="DRG107"/>
      <c r="DRH107"/>
      <c r="DRI107"/>
      <c r="DRJ107"/>
      <c r="DRK107"/>
      <c r="DRL107"/>
      <c r="DRM107"/>
      <c r="DRN107"/>
      <c r="DRO107"/>
      <c r="DRP107"/>
      <c r="DRQ107"/>
      <c r="DRR107"/>
      <c r="DRS107"/>
      <c r="DRT107"/>
      <c r="DRU107"/>
      <c r="DRV107"/>
      <c r="DRW107"/>
      <c r="DRX107"/>
      <c r="DRY107"/>
      <c r="DRZ107"/>
      <c r="DSA107"/>
      <c r="DSB107"/>
      <c r="DSC107"/>
      <c r="DSD107"/>
      <c r="DSE107"/>
      <c r="DSF107"/>
      <c r="DSG107"/>
      <c r="DSH107"/>
      <c r="DSI107"/>
      <c r="DSJ107"/>
      <c r="DSK107"/>
      <c r="DSL107"/>
      <c r="DSM107"/>
      <c r="DSN107"/>
      <c r="DSO107"/>
      <c r="DSP107"/>
      <c r="DSQ107"/>
      <c r="DSR107"/>
      <c r="DSS107"/>
      <c r="DST107"/>
      <c r="DSU107"/>
      <c r="DSV107"/>
      <c r="DSW107"/>
      <c r="DSX107"/>
      <c r="DSY107"/>
      <c r="DSZ107"/>
      <c r="DTA107"/>
      <c r="DTB107"/>
      <c r="DTC107"/>
      <c r="DTD107"/>
      <c r="DTE107"/>
      <c r="DTF107"/>
      <c r="DTG107"/>
      <c r="DTH107"/>
      <c r="DTI107"/>
      <c r="DTJ107"/>
      <c r="DTK107"/>
      <c r="DTL107"/>
      <c r="DTM107"/>
      <c r="DTN107"/>
      <c r="DTO107"/>
      <c r="DTP107"/>
      <c r="DTQ107"/>
      <c r="DTR107"/>
      <c r="DTS107"/>
      <c r="DTT107"/>
      <c r="DTU107"/>
      <c r="DTV107"/>
      <c r="DTW107"/>
      <c r="DTX107"/>
      <c r="DTY107"/>
      <c r="DTZ107"/>
      <c r="DUA107"/>
      <c r="DUB107"/>
      <c r="DUC107"/>
      <c r="DUD107"/>
      <c r="DUE107"/>
      <c r="DUF107"/>
      <c r="DUG107"/>
      <c r="DUH107"/>
      <c r="DUI107"/>
      <c r="DUJ107"/>
      <c r="DUK107"/>
      <c r="DUL107"/>
      <c r="DUM107"/>
      <c r="DUN107"/>
      <c r="DUO107"/>
      <c r="DUP107"/>
      <c r="DUQ107"/>
      <c r="DUR107"/>
      <c r="DUS107"/>
      <c r="DUT107"/>
      <c r="DUU107"/>
      <c r="DUV107"/>
      <c r="DUW107"/>
      <c r="DUX107"/>
      <c r="DUY107"/>
      <c r="DUZ107"/>
      <c r="DVA107"/>
      <c r="DVB107"/>
      <c r="DVC107"/>
      <c r="DVD107"/>
      <c r="DVE107"/>
      <c r="DVF107"/>
      <c r="DVG107"/>
      <c r="DVH107"/>
      <c r="DVI107"/>
      <c r="DVJ107"/>
      <c r="DVK107"/>
      <c r="DVL107"/>
      <c r="DVM107"/>
      <c r="DVN107"/>
      <c r="DVO107"/>
      <c r="DVP107"/>
      <c r="DVQ107"/>
      <c r="DVR107"/>
      <c r="DVS107"/>
      <c r="DVT107"/>
      <c r="DVU107"/>
      <c r="DVV107"/>
      <c r="DVW107"/>
      <c r="DVX107"/>
      <c r="DVY107"/>
      <c r="DVZ107"/>
      <c r="DWA107"/>
      <c r="DWB107"/>
      <c r="DWC107"/>
      <c r="DWD107"/>
      <c r="DWE107"/>
      <c r="DWF107"/>
      <c r="DWG107"/>
      <c r="DWH107"/>
      <c r="DWI107"/>
      <c r="DWJ107"/>
      <c r="DWK107"/>
      <c r="DWL107"/>
      <c r="DWM107"/>
      <c r="DWN107"/>
      <c r="DWO107"/>
      <c r="DWP107"/>
      <c r="DWQ107"/>
      <c r="DWR107"/>
      <c r="DWS107"/>
      <c r="DWT107"/>
      <c r="DWU107"/>
      <c r="DWV107"/>
      <c r="DWW107"/>
      <c r="DWX107"/>
      <c r="DWY107"/>
      <c r="DWZ107"/>
      <c r="DXA107"/>
      <c r="DXB107"/>
      <c r="DXC107"/>
      <c r="DXD107"/>
      <c r="DXE107"/>
      <c r="DXF107"/>
      <c r="DXG107"/>
      <c r="DXH107"/>
      <c r="DXI107"/>
      <c r="DXJ107"/>
      <c r="DXK107"/>
      <c r="DXL107"/>
      <c r="DXM107"/>
      <c r="DXN107"/>
      <c r="DXO107"/>
      <c r="DXP107"/>
      <c r="DXQ107"/>
      <c r="DXR107"/>
      <c r="DXS107"/>
      <c r="DXT107"/>
      <c r="DXU107"/>
      <c r="DXV107"/>
      <c r="DXW107"/>
      <c r="DXX107"/>
      <c r="DXY107"/>
      <c r="DXZ107"/>
      <c r="DYA107"/>
      <c r="DYB107"/>
      <c r="DYC107"/>
      <c r="DYD107"/>
      <c r="DYE107"/>
      <c r="DYF107"/>
      <c r="DYG107"/>
      <c r="DYH107"/>
      <c r="DYI107"/>
      <c r="DYJ107"/>
      <c r="DYK107"/>
      <c r="DYL107"/>
      <c r="DYM107"/>
      <c r="DYN107"/>
      <c r="DYO107"/>
      <c r="DYP107"/>
      <c r="DYQ107"/>
      <c r="DYR107"/>
      <c r="DYS107"/>
      <c r="DYT107"/>
      <c r="DYU107"/>
      <c r="DYV107"/>
      <c r="DYW107"/>
      <c r="DYX107"/>
      <c r="DYY107"/>
      <c r="DYZ107"/>
      <c r="DZA107"/>
      <c r="DZB107"/>
      <c r="DZC107"/>
      <c r="DZD107"/>
      <c r="DZE107"/>
      <c r="DZF107"/>
      <c r="DZG107"/>
      <c r="DZH107"/>
      <c r="DZI107"/>
      <c r="DZJ107"/>
      <c r="DZK107"/>
      <c r="DZL107"/>
      <c r="DZM107"/>
      <c r="DZN107"/>
      <c r="DZO107"/>
      <c r="DZP107"/>
      <c r="DZQ107"/>
      <c r="DZR107"/>
      <c r="DZS107"/>
      <c r="DZT107"/>
      <c r="DZU107"/>
      <c r="DZV107"/>
      <c r="DZW107"/>
      <c r="DZX107"/>
      <c r="DZY107"/>
      <c r="DZZ107"/>
      <c r="EAA107"/>
      <c r="EAB107"/>
      <c r="EAC107"/>
      <c r="EAD107"/>
      <c r="EAE107"/>
      <c r="EAF107"/>
      <c r="EAG107"/>
      <c r="EAH107"/>
      <c r="EAI107"/>
      <c r="EAJ107"/>
      <c r="EAK107"/>
      <c r="EAL107"/>
      <c r="EAM107"/>
      <c r="EAN107"/>
      <c r="EAO107"/>
      <c r="EAP107"/>
      <c r="EAQ107"/>
      <c r="EAR107"/>
      <c r="EAS107"/>
      <c r="EAT107"/>
      <c r="EAU107"/>
      <c r="EAV107"/>
      <c r="EAW107"/>
      <c r="EAX107"/>
      <c r="EAY107"/>
      <c r="EAZ107"/>
      <c r="EBA107"/>
      <c r="EBB107"/>
      <c r="EBC107"/>
      <c r="EBD107"/>
      <c r="EBE107"/>
      <c r="EBF107"/>
      <c r="EBG107"/>
      <c r="EBH107"/>
      <c r="EBI107"/>
      <c r="EBJ107"/>
      <c r="EBK107"/>
      <c r="EBL107"/>
      <c r="EBM107"/>
      <c r="EBN107"/>
      <c r="EBO107"/>
      <c r="EBP107"/>
      <c r="EBQ107"/>
      <c r="EBR107"/>
      <c r="EBS107"/>
      <c r="EBT107"/>
      <c r="EBU107"/>
      <c r="EBV107"/>
      <c r="EBW107"/>
      <c r="EBX107"/>
      <c r="EBY107"/>
      <c r="EBZ107"/>
      <c r="ECA107"/>
      <c r="ECB107"/>
      <c r="ECC107"/>
      <c r="ECD107"/>
      <c r="ECE107"/>
      <c r="ECF107"/>
      <c r="ECG107"/>
      <c r="ECH107"/>
      <c r="ECI107"/>
      <c r="ECJ107"/>
      <c r="ECK107"/>
      <c r="ECL107"/>
      <c r="ECM107"/>
      <c r="ECN107"/>
      <c r="ECO107"/>
      <c r="ECP107"/>
      <c r="ECQ107"/>
      <c r="ECR107"/>
      <c r="ECS107"/>
      <c r="ECT107"/>
      <c r="ECU107"/>
      <c r="ECV107"/>
      <c r="ECW107"/>
      <c r="ECX107"/>
      <c r="ECY107"/>
      <c r="ECZ107"/>
      <c r="EDA107"/>
      <c r="EDB107"/>
      <c r="EDC107"/>
      <c r="EDD107"/>
      <c r="EDE107"/>
      <c r="EDF107"/>
      <c r="EDG107"/>
      <c r="EDH107"/>
      <c r="EDI107"/>
      <c r="EDJ107"/>
      <c r="EDK107"/>
      <c r="EDL107"/>
      <c r="EDM107"/>
      <c r="EDN107"/>
      <c r="EDO107"/>
      <c r="EDP107"/>
      <c r="EDQ107"/>
      <c r="EDR107"/>
      <c r="EDS107"/>
      <c r="EDT107"/>
      <c r="EDU107"/>
      <c r="EDV107"/>
      <c r="EDW107"/>
      <c r="EDX107"/>
      <c r="EDY107"/>
      <c r="EDZ107"/>
      <c r="EEA107"/>
      <c r="EEB107"/>
      <c r="EEC107"/>
      <c r="EED107"/>
      <c r="EEE107"/>
      <c r="EEF107"/>
      <c r="EEG107"/>
      <c r="EEH107"/>
      <c r="EEI107"/>
      <c r="EEJ107"/>
      <c r="EEK107"/>
      <c r="EEL107"/>
      <c r="EEM107"/>
      <c r="EEN107"/>
      <c r="EEO107"/>
      <c r="EEP107"/>
      <c r="EEQ107"/>
      <c r="EER107"/>
      <c r="EES107"/>
      <c r="EET107"/>
      <c r="EEU107"/>
      <c r="EEV107"/>
      <c r="EEW107"/>
      <c r="EEX107"/>
      <c r="EEY107"/>
      <c r="EEZ107"/>
      <c r="EFA107"/>
      <c r="EFB107"/>
      <c r="EFC107"/>
      <c r="EFD107"/>
      <c r="EFE107"/>
      <c r="EFF107"/>
      <c r="EFG107"/>
      <c r="EFH107"/>
      <c r="EFI107"/>
      <c r="EFJ107"/>
      <c r="EFK107"/>
      <c r="EFL107"/>
      <c r="EFM107"/>
      <c r="EFN107"/>
      <c r="EFO107"/>
      <c r="EFP107"/>
      <c r="EFQ107"/>
      <c r="EFR107"/>
      <c r="EFS107"/>
      <c r="EFT107"/>
      <c r="EFU107"/>
      <c r="EFV107"/>
      <c r="EFW107"/>
      <c r="EFX107"/>
      <c r="EFY107"/>
      <c r="EFZ107"/>
      <c r="EGA107"/>
      <c r="EGB107"/>
      <c r="EGC107"/>
      <c r="EGD107"/>
      <c r="EGE107"/>
      <c r="EGF107"/>
      <c r="EGG107"/>
      <c r="EGH107"/>
      <c r="EGI107"/>
      <c r="EGJ107"/>
      <c r="EGK107"/>
      <c r="EGL107"/>
      <c r="EGM107"/>
      <c r="EGN107"/>
      <c r="EGO107"/>
      <c r="EGP107"/>
      <c r="EGQ107"/>
      <c r="EGR107"/>
      <c r="EGS107"/>
      <c r="EGT107"/>
      <c r="EGU107"/>
      <c r="EGV107"/>
      <c r="EGW107"/>
      <c r="EGX107"/>
      <c r="EGY107"/>
      <c r="EGZ107"/>
      <c r="EHA107"/>
      <c r="EHB107"/>
      <c r="EHC107"/>
      <c r="EHD107"/>
      <c r="EHE107"/>
      <c r="EHF107"/>
      <c r="EHG107"/>
      <c r="EHH107"/>
      <c r="EHI107"/>
      <c r="EHJ107"/>
      <c r="EHK107"/>
      <c r="EHL107"/>
      <c r="EHM107"/>
      <c r="EHN107"/>
      <c r="EHO107"/>
      <c r="EHP107"/>
      <c r="EHQ107"/>
      <c r="EHR107"/>
      <c r="EHS107"/>
      <c r="EHT107"/>
      <c r="EHU107"/>
      <c r="EHV107"/>
      <c r="EHW107"/>
      <c r="EHX107"/>
      <c r="EHY107"/>
      <c r="EHZ107"/>
      <c r="EIA107"/>
      <c r="EIB107"/>
      <c r="EIC107"/>
      <c r="EID107"/>
      <c r="EIE107"/>
      <c r="EIF107"/>
      <c r="EIG107"/>
      <c r="EIH107"/>
      <c r="EII107"/>
      <c r="EIJ107"/>
      <c r="EIK107"/>
      <c r="EIL107"/>
      <c r="EIM107"/>
      <c r="EIN107"/>
      <c r="EIO107"/>
      <c r="EIP107"/>
      <c r="EIQ107"/>
      <c r="EIR107"/>
      <c r="EIS107"/>
      <c r="EIT107"/>
      <c r="EIU107"/>
      <c r="EIV107"/>
      <c r="EIW107"/>
      <c r="EIX107"/>
      <c r="EIY107"/>
      <c r="EIZ107"/>
      <c r="EJA107"/>
      <c r="EJB107"/>
      <c r="EJC107"/>
      <c r="EJD107"/>
      <c r="EJE107"/>
      <c r="EJF107"/>
      <c r="EJG107"/>
      <c r="EJH107"/>
      <c r="EJI107"/>
      <c r="EJJ107"/>
      <c r="EJK107"/>
      <c r="EJL107"/>
      <c r="EJM107"/>
      <c r="EJN107"/>
      <c r="EJO107"/>
      <c r="EJP107"/>
      <c r="EJQ107"/>
      <c r="EJR107"/>
      <c r="EJS107"/>
      <c r="EJT107"/>
      <c r="EJU107"/>
      <c r="EJV107"/>
      <c r="EJW107"/>
      <c r="EJX107"/>
      <c r="EJY107"/>
      <c r="EJZ107"/>
      <c r="EKA107"/>
      <c r="EKB107"/>
      <c r="EKC107"/>
      <c r="EKD107"/>
      <c r="EKE107"/>
      <c r="EKF107"/>
      <c r="EKG107"/>
      <c r="EKH107"/>
      <c r="EKI107"/>
      <c r="EKJ107"/>
      <c r="EKK107"/>
      <c r="EKL107"/>
      <c r="EKM107"/>
      <c r="EKN107"/>
      <c r="EKO107"/>
      <c r="EKP107"/>
      <c r="EKQ107"/>
      <c r="EKR107"/>
      <c r="EKS107"/>
      <c r="EKT107"/>
      <c r="EKU107"/>
      <c r="EKV107"/>
      <c r="EKW107"/>
      <c r="EKX107"/>
      <c r="EKY107"/>
      <c r="EKZ107"/>
      <c r="ELA107"/>
      <c r="ELB107"/>
      <c r="ELC107"/>
      <c r="ELD107"/>
      <c r="ELE107"/>
      <c r="ELF107"/>
      <c r="ELG107"/>
      <c r="ELH107"/>
      <c r="ELI107"/>
      <c r="ELJ107"/>
      <c r="ELK107"/>
      <c r="ELL107"/>
      <c r="ELM107"/>
      <c r="ELN107"/>
      <c r="ELO107"/>
      <c r="ELP107"/>
      <c r="ELQ107"/>
      <c r="ELR107"/>
      <c r="ELS107"/>
      <c r="ELT107"/>
      <c r="ELU107"/>
      <c r="ELV107"/>
      <c r="ELW107"/>
      <c r="ELX107"/>
      <c r="ELY107"/>
      <c r="ELZ107"/>
      <c r="EMA107"/>
      <c r="EMB107"/>
      <c r="EMC107"/>
      <c r="EMD107"/>
      <c r="EME107"/>
      <c r="EMF107"/>
      <c r="EMG107"/>
      <c r="EMH107"/>
      <c r="EMI107"/>
      <c r="EMJ107"/>
      <c r="EMK107"/>
      <c r="EML107"/>
      <c r="EMM107"/>
      <c r="EMN107"/>
      <c r="EMO107"/>
      <c r="EMP107"/>
      <c r="EMQ107"/>
      <c r="EMR107"/>
      <c r="EMS107"/>
      <c r="EMT107"/>
      <c r="EMU107"/>
      <c r="EMV107"/>
      <c r="EMW107"/>
      <c r="EMX107"/>
      <c r="EMY107"/>
      <c r="EMZ107"/>
      <c r="ENA107"/>
      <c r="ENB107"/>
      <c r="ENC107"/>
      <c r="END107"/>
      <c r="ENE107"/>
      <c r="ENF107"/>
      <c r="ENG107"/>
      <c r="ENH107"/>
      <c r="ENI107"/>
      <c r="ENJ107"/>
      <c r="ENK107"/>
      <c r="ENL107"/>
      <c r="ENM107"/>
      <c r="ENN107"/>
      <c r="ENO107"/>
      <c r="ENP107"/>
      <c r="ENQ107"/>
      <c r="ENR107"/>
      <c r="ENS107"/>
      <c r="ENT107"/>
      <c r="ENU107"/>
      <c r="ENV107"/>
      <c r="ENW107"/>
      <c r="ENX107"/>
      <c r="ENY107"/>
      <c r="ENZ107"/>
      <c r="EOA107"/>
      <c r="EOB107"/>
      <c r="EOC107"/>
      <c r="EOD107"/>
      <c r="EOE107"/>
      <c r="EOF107"/>
      <c r="EOG107"/>
      <c r="EOH107"/>
      <c r="EOI107"/>
      <c r="EOJ107"/>
      <c r="EOK107"/>
      <c r="EOL107"/>
      <c r="EOM107"/>
      <c r="EON107"/>
      <c r="EOO107"/>
      <c r="EOP107"/>
      <c r="EOQ107"/>
      <c r="EOR107"/>
      <c r="EOS107"/>
      <c r="EOT107"/>
      <c r="EOU107"/>
      <c r="EOV107"/>
      <c r="EOW107"/>
      <c r="EOX107"/>
      <c r="EOY107"/>
      <c r="EOZ107"/>
      <c r="EPA107"/>
      <c r="EPB107"/>
      <c r="EPC107"/>
      <c r="EPD107"/>
      <c r="EPE107"/>
      <c r="EPF107"/>
      <c r="EPG107"/>
      <c r="EPH107"/>
      <c r="EPI107"/>
      <c r="EPJ107"/>
      <c r="EPK107"/>
      <c r="EPL107"/>
      <c r="EPM107"/>
      <c r="EPN107"/>
      <c r="EPO107"/>
      <c r="EPP107"/>
      <c r="EPQ107"/>
      <c r="EPR107"/>
      <c r="EPS107"/>
      <c r="EPT107"/>
      <c r="EPU107"/>
      <c r="EPV107"/>
      <c r="EPW107"/>
      <c r="EPX107"/>
      <c r="EPY107"/>
      <c r="EPZ107"/>
      <c r="EQA107"/>
      <c r="EQB107"/>
      <c r="EQC107"/>
      <c r="EQD107"/>
      <c r="EQE107"/>
      <c r="EQF107"/>
      <c r="EQG107"/>
      <c r="EQH107"/>
      <c r="EQI107"/>
      <c r="EQJ107"/>
      <c r="EQK107"/>
      <c r="EQL107"/>
      <c r="EQM107"/>
      <c r="EQN107"/>
      <c r="EQO107"/>
      <c r="EQP107"/>
      <c r="EQQ107"/>
      <c r="EQR107"/>
      <c r="EQS107"/>
      <c r="EQT107"/>
      <c r="EQU107"/>
      <c r="EQV107"/>
      <c r="EQW107"/>
      <c r="EQX107"/>
      <c r="EQY107"/>
      <c r="EQZ107"/>
      <c r="ERA107"/>
      <c r="ERB107"/>
      <c r="ERC107"/>
      <c r="ERD107"/>
      <c r="ERE107"/>
      <c r="ERF107"/>
      <c r="ERG107"/>
      <c r="ERH107"/>
      <c r="ERI107"/>
      <c r="ERJ107"/>
      <c r="ERK107"/>
      <c r="ERL107"/>
      <c r="ERM107"/>
      <c r="ERN107"/>
      <c r="ERO107"/>
      <c r="ERP107"/>
      <c r="ERQ107"/>
      <c r="ERR107"/>
      <c r="ERS107"/>
      <c r="ERT107"/>
      <c r="ERU107"/>
      <c r="ERV107"/>
      <c r="ERW107"/>
      <c r="ERX107"/>
      <c r="ERY107"/>
      <c r="ERZ107"/>
      <c r="ESA107"/>
      <c r="ESB107"/>
      <c r="ESC107"/>
      <c r="ESD107"/>
      <c r="ESE107"/>
      <c r="ESF107"/>
      <c r="ESG107"/>
      <c r="ESH107"/>
      <c r="ESI107"/>
      <c r="ESJ107"/>
      <c r="ESK107"/>
      <c r="ESL107"/>
      <c r="ESM107"/>
      <c r="ESN107"/>
      <c r="ESO107"/>
      <c r="ESP107"/>
      <c r="ESQ107"/>
      <c r="ESR107"/>
      <c r="ESS107"/>
      <c r="EST107"/>
      <c r="ESU107"/>
      <c r="ESV107"/>
      <c r="ESW107"/>
      <c r="ESX107"/>
      <c r="ESY107"/>
      <c r="ESZ107"/>
      <c r="ETA107"/>
      <c r="ETB107"/>
      <c r="ETC107"/>
      <c r="ETD107"/>
      <c r="ETE107"/>
      <c r="ETF107"/>
      <c r="ETG107"/>
      <c r="ETH107"/>
      <c r="ETI107"/>
      <c r="ETJ107"/>
      <c r="ETK107"/>
      <c r="ETL107"/>
      <c r="ETM107"/>
      <c r="ETN107"/>
      <c r="ETO107"/>
      <c r="ETP107"/>
      <c r="ETQ107"/>
      <c r="ETR107"/>
      <c r="ETS107"/>
      <c r="ETT107"/>
      <c r="ETU107"/>
      <c r="ETV107"/>
      <c r="ETW107"/>
      <c r="ETX107"/>
      <c r="ETY107"/>
      <c r="ETZ107"/>
      <c r="EUA107"/>
      <c r="EUB107"/>
      <c r="EUC107"/>
      <c r="EUD107"/>
      <c r="EUE107"/>
      <c r="EUF107"/>
      <c r="EUG107"/>
      <c r="EUH107"/>
      <c r="EUI107"/>
      <c r="EUJ107"/>
      <c r="EUK107"/>
      <c r="EUL107"/>
      <c r="EUM107"/>
      <c r="EUN107"/>
      <c r="EUO107"/>
      <c r="EUP107"/>
      <c r="EUQ107"/>
      <c r="EUR107"/>
      <c r="EUS107"/>
      <c r="EUT107"/>
      <c r="EUU107"/>
      <c r="EUV107"/>
      <c r="EUW107"/>
      <c r="EUX107"/>
      <c r="EUY107"/>
      <c r="EUZ107"/>
      <c r="EVA107"/>
      <c r="EVB107"/>
      <c r="EVC107"/>
      <c r="EVD107"/>
      <c r="EVE107"/>
      <c r="EVF107"/>
      <c r="EVG107"/>
      <c r="EVH107"/>
      <c r="EVI107"/>
      <c r="EVJ107"/>
      <c r="EVK107"/>
      <c r="EVL107"/>
      <c r="EVM107"/>
      <c r="EVN107"/>
      <c r="EVO107"/>
      <c r="EVP107"/>
      <c r="EVQ107"/>
      <c r="EVR107"/>
      <c r="EVS107"/>
      <c r="EVT107"/>
      <c r="EVU107"/>
      <c r="EVV107"/>
      <c r="EVW107"/>
      <c r="EVX107"/>
      <c r="EVY107"/>
      <c r="EVZ107"/>
      <c r="EWA107"/>
      <c r="EWB107"/>
      <c r="EWC107"/>
      <c r="EWD107"/>
      <c r="EWE107"/>
      <c r="EWF107"/>
      <c r="EWG107"/>
      <c r="EWH107"/>
      <c r="EWI107"/>
      <c r="EWJ107"/>
      <c r="EWK107"/>
      <c r="EWL107"/>
      <c r="EWM107"/>
      <c r="EWN107"/>
      <c r="EWO107"/>
      <c r="EWP107"/>
      <c r="EWQ107"/>
      <c r="EWR107"/>
      <c r="EWS107"/>
      <c r="EWT107"/>
      <c r="EWU107"/>
      <c r="EWV107"/>
      <c r="EWW107"/>
      <c r="EWX107"/>
      <c r="EWY107"/>
      <c r="EWZ107"/>
      <c r="EXA107"/>
      <c r="EXB107"/>
      <c r="EXC107"/>
      <c r="EXD107"/>
      <c r="EXE107"/>
      <c r="EXF107"/>
      <c r="EXG107"/>
      <c r="EXH107"/>
      <c r="EXI107"/>
      <c r="EXJ107"/>
      <c r="EXK107"/>
      <c r="EXL107"/>
      <c r="EXM107"/>
      <c r="EXN107"/>
      <c r="EXO107"/>
      <c r="EXP107"/>
      <c r="EXQ107"/>
      <c r="EXR107"/>
      <c r="EXS107"/>
      <c r="EXT107"/>
      <c r="EXU107"/>
      <c r="EXV107"/>
      <c r="EXW107"/>
      <c r="EXX107"/>
      <c r="EXY107"/>
      <c r="EXZ107"/>
      <c r="EYA107"/>
      <c r="EYB107"/>
      <c r="EYC107"/>
      <c r="EYD107"/>
      <c r="EYE107"/>
      <c r="EYF107"/>
      <c r="EYG107"/>
      <c r="EYH107"/>
      <c r="EYI107"/>
      <c r="EYJ107"/>
      <c r="EYK107"/>
      <c r="EYL107"/>
      <c r="EYM107"/>
      <c r="EYN107"/>
      <c r="EYO107"/>
      <c r="EYP107"/>
      <c r="EYQ107"/>
      <c r="EYR107"/>
      <c r="EYS107"/>
      <c r="EYT107"/>
      <c r="EYU107"/>
      <c r="EYV107"/>
      <c r="EYW107"/>
      <c r="EYX107"/>
      <c r="EYY107"/>
      <c r="EYZ107"/>
      <c r="EZA107"/>
      <c r="EZB107"/>
      <c r="EZC107"/>
      <c r="EZD107"/>
      <c r="EZE107"/>
      <c r="EZF107"/>
      <c r="EZG107"/>
      <c r="EZH107"/>
      <c r="EZI107"/>
      <c r="EZJ107"/>
      <c r="EZK107"/>
      <c r="EZL107"/>
      <c r="EZM107"/>
      <c r="EZN107"/>
      <c r="EZO107"/>
      <c r="EZP107"/>
      <c r="EZQ107"/>
      <c r="EZR107"/>
      <c r="EZS107"/>
      <c r="EZT107"/>
      <c r="EZU107"/>
      <c r="EZV107"/>
      <c r="EZW107"/>
      <c r="EZX107"/>
      <c r="EZY107"/>
      <c r="EZZ107"/>
      <c r="FAA107"/>
      <c r="FAB107"/>
      <c r="FAC107"/>
      <c r="FAD107"/>
      <c r="FAE107"/>
      <c r="FAF107"/>
      <c r="FAG107"/>
      <c r="FAH107"/>
      <c r="FAI107"/>
      <c r="FAJ107"/>
      <c r="FAK107"/>
      <c r="FAL107"/>
      <c r="FAM107"/>
      <c r="FAN107"/>
      <c r="FAO107"/>
      <c r="FAP107"/>
      <c r="FAQ107"/>
      <c r="FAR107"/>
      <c r="FAS107"/>
      <c r="FAT107"/>
      <c r="FAU107"/>
      <c r="FAV107"/>
      <c r="FAW107"/>
      <c r="FAX107"/>
      <c r="FAY107"/>
      <c r="FAZ107"/>
      <c r="FBA107"/>
      <c r="FBB107"/>
      <c r="FBC107"/>
      <c r="FBD107"/>
      <c r="FBE107"/>
      <c r="FBF107"/>
      <c r="FBG107"/>
      <c r="FBH107"/>
      <c r="FBI107"/>
      <c r="FBJ107"/>
      <c r="FBK107"/>
      <c r="FBL107"/>
      <c r="FBM107"/>
      <c r="FBN107"/>
      <c r="FBO107"/>
      <c r="FBP107"/>
      <c r="FBQ107"/>
      <c r="FBR107"/>
      <c r="FBS107"/>
      <c r="FBT107"/>
      <c r="FBU107"/>
      <c r="FBV107"/>
      <c r="FBW107"/>
      <c r="FBX107"/>
      <c r="FBY107"/>
      <c r="FBZ107"/>
      <c r="FCA107"/>
      <c r="FCB107"/>
      <c r="FCC107"/>
      <c r="FCD107"/>
      <c r="FCE107"/>
      <c r="FCF107"/>
      <c r="FCG107"/>
      <c r="FCH107"/>
      <c r="FCI107"/>
      <c r="FCJ107"/>
      <c r="FCK107"/>
      <c r="FCL107"/>
      <c r="FCM107"/>
      <c r="FCN107"/>
      <c r="FCO107"/>
      <c r="FCP107"/>
      <c r="FCQ107"/>
      <c r="FCR107"/>
      <c r="FCS107"/>
      <c r="FCT107"/>
      <c r="FCU107"/>
      <c r="FCV107"/>
      <c r="FCW107"/>
      <c r="FCX107"/>
      <c r="FCY107"/>
      <c r="FCZ107"/>
      <c r="FDA107"/>
      <c r="FDB107"/>
      <c r="FDC107"/>
      <c r="FDD107"/>
      <c r="FDE107"/>
      <c r="FDF107"/>
      <c r="FDG107"/>
      <c r="FDH107"/>
      <c r="FDI107"/>
      <c r="FDJ107"/>
      <c r="FDK107"/>
      <c r="FDL107"/>
      <c r="FDM107"/>
      <c r="FDN107"/>
      <c r="FDO107"/>
      <c r="FDP107"/>
      <c r="FDQ107"/>
      <c r="FDR107"/>
      <c r="FDS107"/>
      <c r="FDT107"/>
      <c r="FDU107"/>
      <c r="FDV107"/>
      <c r="FDW107"/>
      <c r="FDX107"/>
      <c r="FDY107"/>
      <c r="FDZ107"/>
      <c r="FEA107"/>
      <c r="FEB107"/>
      <c r="FEC107"/>
      <c r="FED107"/>
      <c r="FEE107"/>
      <c r="FEF107"/>
      <c r="FEG107"/>
      <c r="FEH107"/>
      <c r="FEI107"/>
      <c r="FEJ107"/>
      <c r="FEK107"/>
      <c r="FEL107"/>
      <c r="FEM107"/>
      <c r="FEN107"/>
      <c r="FEO107"/>
      <c r="FEP107"/>
      <c r="FEQ107"/>
      <c r="FER107"/>
      <c r="FES107"/>
      <c r="FET107"/>
      <c r="FEU107"/>
      <c r="FEV107"/>
      <c r="FEW107"/>
      <c r="FEX107"/>
      <c r="FEY107"/>
      <c r="FEZ107"/>
      <c r="FFA107"/>
      <c r="FFB107"/>
      <c r="FFC107"/>
      <c r="FFD107"/>
      <c r="FFE107"/>
      <c r="FFF107"/>
      <c r="FFG107"/>
      <c r="FFH107"/>
      <c r="FFI107"/>
      <c r="FFJ107"/>
      <c r="FFK107"/>
      <c r="FFL107"/>
      <c r="FFM107"/>
      <c r="FFN107"/>
      <c r="FFO107"/>
      <c r="FFP107"/>
      <c r="FFQ107"/>
      <c r="FFR107"/>
      <c r="FFS107"/>
      <c r="FFT107"/>
      <c r="FFU107"/>
      <c r="FFV107"/>
      <c r="FFW107"/>
      <c r="FFX107"/>
      <c r="FFY107"/>
      <c r="FFZ107"/>
      <c r="FGA107"/>
      <c r="FGB107"/>
      <c r="FGC107"/>
      <c r="FGD107"/>
      <c r="FGE107"/>
      <c r="FGF107"/>
      <c r="FGG107"/>
      <c r="FGH107"/>
      <c r="FGI107"/>
      <c r="FGJ107"/>
      <c r="FGK107"/>
      <c r="FGL107"/>
      <c r="FGM107"/>
      <c r="FGN107"/>
      <c r="FGO107"/>
      <c r="FGP107"/>
      <c r="FGQ107"/>
      <c r="FGR107"/>
      <c r="FGS107"/>
      <c r="FGT107"/>
      <c r="FGU107"/>
      <c r="FGV107"/>
      <c r="FGW107"/>
      <c r="FGX107"/>
      <c r="FGY107"/>
      <c r="FGZ107"/>
      <c r="FHA107"/>
      <c r="FHB107"/>
      <c r="FHC107"/>
      <c r="FHD107"/>
      <c r="FHE107"/>
      <c r="FHF107"/>
      <c r="FHG107"/>
      <c r="FHH107"/>
      <c r="FHI107"/>
      <c r="FHJ107"/>
      <c r="FHK107"/>
      <c r="FHL107"/>
      <c r="FHM107"/>
      <c r="FHN107"/>
      <c r="FHO107"/>
      <c r="FHP107"/>
      <c r="FHQ107"/>
      <c r="FHR107"/>
      <c r="FHS107"/>
      <c r="FHT107"/>
      <c r="FHU107"/>
      <c r="FHV107"/>
      <c r="FHW107"/>
      <c r="FHX107"/>
      <c r="FHY107"/>
      <c r="FHZ107"/>
      <c r="FIA107"/>
      <c r="FIB107"/>
      <c r="FIC107"/>
      <c r="FID107"/>
      <c r="FIE107"/>
      <c r="FIF107"/>
      <c r="FIG107"/>
      <c r="FIH107"/>
      <c r="FII107"/>
      <c r="FIJ107"/>
      <c r="FIK107"/>
      <c r="FIL107"/>
      <c r="FIM107"/>
      <c r="FIN107"/>
      <c r="FIO107"/>
      <c r="FIP107"/>
      <c r="FIQ107"/>
      <c r="FIR107"/>
      <c r="FIS107"/>
      <c r="FIT107"/>
      <c r="FIU107"/>
      <c r="FIV107"/>
      <c r="FIW107"/>
      <c r="FIX107"/>
      <c r="FIY107"/>
      <c r="FIZ107"/>
      <c r="FJA107"/>
      <c r="FJB107"/>
      <c r="FJC107"/>
      <c r="FJD107"/>
      <c r="FJE107"/>
      <c r="FJF107"/>
      <c r="FJG107"/>
      <c r="FJH107"/>
      <c r="FJI107"/>
      <c r="FJJ107"/>
      <c r="FJK107"/>
      <c r="FJL107"/>
      <c r="FJM107"/>
      <c r="FJN107"/>
      <c r="FJO107"/>
      <c r="FJP107"/>
      <c r="FJQ107"/>
      <c r="FJR107"/>
      <c r="FJS107"/>
      <c r="FJT107"/>
      <c r="FJU107"/>
      <c r="FJV107"/>
      <c r="FJW107"/>
      <c r="FJX107"/>
      <c r="FJY107"/>
      <c r="FJZ107"/>
      <c r="FKA107"/>
      <c r="FKB107"/>
      <c r="FKC107"/>
      <c r="FKD107"/>
      <c r="FKE107"/>
      <c r="FKF107"/>
      <c r="FKG107"/>
      <c r="FKH107"/>
      <c r="FKI107"/>
      <c r="FKJ107"/>
      <c r="FKK107"/>
      <c r="FKL107"/>
      <c r="FKM107"/>
      <c r="FKN107"/>
      <c r="FKO107"/>
      <c r="FKP107"/>
      <c r="FKQ107"/>
      <c r="FKR107"/>
      <c r="FKS107"/>
      <c r="FKT107"/>
      <c r="FKU107"/>
      <c r="FKV107"/>
      <c r="FKW107"/>
      <c r="FKX107"/>
      <c r="FKY107"/>
      <c r="FKZ107"/>
      <c r="FLA107"/>
      <c r="FLB107"/>
      <c r="FLC107"/>
      <c r="FLD107"/>
      <c r="FLE107"/>
      <c r="FLF107"/>
      <c r="FLG107"/>
      <c r="FLH107"/>
      <c r="FLI107"/>
      <c r="FLJ107"/>
      <c r="FLK107"/>
      <c r="FLL107"/>
      <c r="FLM107"/>
      <c r="FLN107"/>
      <c r="FLO107"/>
      <c r="FLP107"/>
      <c r="FLQ107"/>
      <c r="FLR107"/>
      <c r="FLS107"/>
      <c r="FLT107"/>
      <c r="FLU107"/>
      <c r="FLV107"/>
      <c r="FLW107"/>
      <c r="FLX107"/>
      <c r="FLY107"/>
      <c r="FLZ107"/>
      <c r="FMA107"/>
      <c r="FMB107"/>
      <c r="FMC107"/>
      <c r="FMD107"/>
      <c r="FME107"/>
      <c r="FMF107"/>
      <c r="FMG107"/>
      <c r="FMH107"/>
      <c r="FMI107"/>
      <c r="FMJ107"/>
      <c r="FMK107"/>
      <c r="FML107"/>
      <c r="FMM107"/>
      <c r="FMN107"/>
      <c r="FMO107"/>
      <c r="FMP107"/>
      <c r="FMQ107"/>
      <c r="FMR107"/>
      <c r="FMS107"/>
      <c r="FMT107"/>
      <c r="FMU107"/>
      <c r="FMV107"/>
      <c r="FMW107"/>
      <c r="FMX107"/>
      <c r="FMY107"/>
      <c r="FMZ107"/>
      <c r="FNA107"/>
      <c r="FNB107"/>
      <c r="FNC107"/>
      <c r="FND107"/>
      <c r="FNE107"/>
      <c r="FNF107"/>
      <c r="FNG107"/>
      <c r="FNH107"/>
      <c r="FNI107"/>
      <c r="FNJ107"/>
      <c r="FNK107"/>
      <c r="FNL107"/>
      <c r="FNM107"/>
      <c r="FNN107"/>
      <c r="FNO107"/>
      <c r="FNP107"/>
      <c r="FNQ107"/>
      <c r="FNR107"/>
      <c r="FNS107"/>
      <c r="FNT107"/>
      <c r="FNU107"/>
      <c r="FNV107"/>
      <c r="FNW107"/>
      <c r="FNX107"/>
      <c r="FNY107"/>
      <c r="FNZ107"/>
      <c r="FOA107"/>
      <c r="FOB107"/>
      <c r="FOC107"/>
      <c r="FOD107"/>
      <c r="FOE107"/>
      <c r="FOF107"/>
      <c r="FOG107"/>
      <c r="FOH107"/>
      <c r="FOI107"/>
      <c r="FOJ107"/>
      <c r="FOK107"/>
      <c r="FOL107"/>
      <c r="FOM107"/>
      <c r="FON107"/>
      <c r="FOO107"/>
      <c r="FOP107"/>
      <c r="FOQ107"/>
      <c r="FOR107"/>
      <c r="FOS107"/>
      <c r="FOT107"/>
      <c r="FOU107"/>
      <c r="FOV107"/>
      <c r="FOW107"/>
      <c r="FOX107"/>
      <c r="FOY107"/>
      <c r="FOZ107"/>
      <c r="FPA107"/>
      <c r="FPB107"/>
      <c r="FPC107"/>
      <c r="FPD107"/>
      <c r="FPE107"/>
      <c r="FPF107"/>
      <c r="FPG107"/>
      <c r="FPH107"/>
      <c r="FPI107"/>
      <c r="FPJ107"/>
      <c r="FPK107"/>
      <c r="FPL107"/>
      <c r="FPM107"/>
      <c r="FPN107"/>
      <c r="FPO107"/>
      <c r="FPP107"/>
      <c r="FPQ107"/>
      <c r="FPR107"/>
      <c r="FPS107"/>
      <c r="FPT107"/>
      <c r="FPU107"/>
      <c r="FPV107"/>
      <c r="FPW107"/>
      <c r="FPX107"/>
      <c r="FPY107"/>
      <c r="FPZ107"/>
      <c r="FQA107"/>
      <c r="FQB107"/>
      <c r="FQC107"/>
      <c r="FQD107"/>
      <c r="FQE107"/>
      <c r="FQF107"/>
      <c r="FQG107"/>
      <c r="FQH107"/>
      <c r="FQI107"/>
      <c r="FQJ107"/>
      <c r="FQK107"/>
      <c r="FQL107"/>
      <c r="FQM107"/>
      <c r="FQN107"/>
      <c r="FQO107"/>
      <c r="FQP107"/>
      <c r="FQQ107"/>
      <c r="FQR107"/>
      <c r="FQS107"/>
      <c r="FQT107"/>
      <c r="FQU107"/>
      <c r="FQV107"/>
      <c r="FQW107"/>
      <c r="FQX107"/>
      <c r="FQY107"/>
      <c r="FQZ107"/>
      <c r="FRA107"/>
      <c r="FRB107"/>
      <c r="FRC107"/>
      <c r="FRD107"/>
      <c r="FRE107"/>
      <c r="FRF107"/>
      <c r="FRG107"/>
      <c r="FRH107"/>
      <c r="FRI107"/>
      <c r="FRJ107"/>
      <c r="FRK107"/>
      <c r="FRL107"/>
      <c r="FRM107"/>
      <c r="FRN107"/>
      <c r="FRO107"/>
      <c r="FRP107"/>
      <c r="FRQ107"/>
      <c r="FRR107"/>
      <c r="FRS107"/>
      <c r="FRT107"/>
      <c r="FRU107"/>
      <c r="FRV107"/>
      <c r="FRW107"/>
      <c r="FRX107"/>
      <c r="FRY107"/>
      <c r="FRZ107"/>
      <c r="FSA107"/>
      <c r="FSB107"/>
      <c r="FSC107"/>
      <c r="FSD107"/>
      <c r="FSE107"/>
      <c r="FSF107"/>
      <c r="FSG107"/>
      <c r="FSH107"/>
      <c r="FSI107"/>
      <c r="FSJ107"/>
      <c r="FSK107"/>
      <c r="FSL107"/>
      <c r="FSM107"/>
      <c r="FSN107"/>
      <c r="FSO107"/>
      <c r="FSP107"/>
      <c r="FSQ107"/>
      <c r="FSR107"/>
      <c r="FSS107"/>
      <c r="FST107"/>
      <c r="FSU107"/>
      <c r="FSV107"/>
      <c r="FSW107"/>
      <c r="FSX107"/>
      <c r="FSY107"/>
      <c r="FSZ107"/>
      <c r="FTA107"/>
      <c r="FTB107"/>
      <c r="FTC107"/>
      <c r="FTD107"/>
      <c r="FTE107"/>
      <c r="FTF107"/>
      <c r="FTG107"/>
      <c r="FTH107"/>
      <c r="FTI107"/>
      <c r="FTJ107"/>
      <c r="FTK107"/>
      <c r="FTL107"/>
      <c r="FTM107"/>
      <c r="FTN107"/>
      <c r="FTO107"/>
      <c r="FTP107"/>
      <c r="FTQ107"/>
      <c r="FTR107"/>
      <c r="FTS107"/>
      <c r="FTT107"/>
      <c r="FTU107"/>
      <c r="FTV107"/>
      <c r="FTW107"/>
      <c r="FTX107"/>
      <c r="FTY107"/>
      <c r="FTZ107"/>
      <c r="FUA107"/>
      <c r="FUB107"/>
      <c r="FUC107"/>
      <c r="FUD107"/>
      <c r="FUE107"/>
      <c r="FUF107"/>
      <c r="FUG107"/>
      <c r="FUH107"/>
      <c r="FUI107"/>
      <c r="FUJ107"/>
      <c r="FUK107"/>
      <c r="FUL107"/>
      <c r="FUM107"/>
      <c r="FUN107"/>
      <c r="FUO107"/>
      <c r="FUP107"/>
      <c r="FUQ107"/>
      <c r="FUR107"/>
      <c r="FUS107"/>
      <c r="FUT107"/>
      <c r="FUU107"/>
      <c r="FUV107"/>
      <c r="FUW107"/>
      <c r="FUX107"/>
      <c r="FUY107"/>
      <c r="FUZ107"/>
      <c r="FVA107"/>
      <c r="FVB107"/>
      <c r="FVC107"/>
      <c r="FVD107"/>
      <c r="FVE107"/>
      <c r="FVF107"/>
      <c r="FVG107"/>
      <c r="FVH107"/>
      <c r="FVI107"/>
      <c r="FVJ107"/>
      <c r="FVK107"/>
      <c r="FVL107"/>
      <c r="FVM107"/>
      <c r="FVN107"/>
      <c r="FVO107"/>
      <c r="FVP107"/>
      <c r="FVQ107"/>
      <c r="FVR107"/>
      <c r="FVS107"/>
      <c r="FVT107"/>
      <c r="FVU107"/>
      <c r="FVV107"/>
      <c r="FVW107"/>
      <c r="FVX107"/>
      <c r="FVY107"/>
      <c r="FVZ107"/>
      <c r="FWA107"/>
      <c r="FWB107"/>
      <c r="FWC107"/>
      <c r="FWD107"/>
      <c r="FWE107"/>
      <c r="FWF107"/>
      <c r="FWG107"/>
      <c r="FWH107"/>
      <c r="FWI107"/>
      <c r="FWJ107"/>
      <c r="FWK107"/>
      <c r="FWL107"/>
      <c r="FWM107"/>
      <c r="FWN107"/>
      <c r="FWO107"/>
      <c r="FWP107"/>
      <c r="FWQ107"/>
      <c r="FWR107"/>
      <c r="FWS107"/>
      <c r="FWT107"/>
      <c r="FWU107"/>
      <c r="FWV107"/>
      <c r="FWW107"/>
      <c r="FWX107"/>
      <c r="FWY107"/>
      <c r="FWZ107"/>
      <c r="FXA107"/>
      <c r="FXB107"/>
      <c r="FXC107"/>
      <c r="FXD107"/>
      <c r="FXE107"/>
      <c r="FXF107"/>
      <c r="FXG107"/>
      <c r="FXH107"/>
      <c r="FXI107"/>
      <c r="FXJ107"/>
      <c r="FXK107"/>
      <c r="FXL107"/>
      <c r="FXM107"/>
      <c r="FXN107"/>
      <c r="FXO107"/>
      <c r="FXP107"/>
      <c r="FXQ107"/>
      <c r="FXR107"/>
      <c r="FXS107"/>
      <c r="FXT107"/>
      <c r="FXU107"/>
      <c r="FXV107"/>
      <c r="FXW107"/>
      <c r="FXX107"/>
      <c r="FXY107"/>
      <c r="FXZ107"/>
      <c r="FYA107"/>
      <c r="FYB107"/>
      <c r="FYC107"/>
      <c r="FYD107"/>
      <c r="FYE107"/>
      <c r="FYF107"/>
      <c r="FYG107"/>
      <c r="FYH107"/>
      <c r="FYI107"/>
      <c r="FYJ107"/>
      <c r="FYK107"/>
      <c r="FYL107"/>
      <c r="FYM107"/>
      <c r="FYN107"/>
      <c r="FYO107"/>
      <c r="FYP107"/>
      <c r="FYQ107"/>
      <c r="FYR107"/>
      <c r="FYS107"/>
      <c r="FYT107"/>
      <c r="FYU107"/>
      <c r="FYV107"/>
      <c r="FYW107"/>
      <c r="FYX107"/>
      <c r="FYY107"/>
      <c r="FYZ107"/>
      <c r="FZA107"/>
      <c r="FZB107"/>
      <c r="FZC107"/>
      <c r="FZD107"/>
      <c r="FZE107"/>
      <c r="FZF107"/>
      <c r="FZG107"/>
      <c r="FZH107"/>
      <c r="FZI107"/>
      <c r="FZJ107"/>
      <c r="FZK107"/>
      <c r="FZL107"/>
      <c r="FZM107"/>
      <c r="FZN107"/>
      <c r="FZO107"/>
      <c r="FZP107"/>
      <c r="FZQ107"/>
      <c r="FZR107"/>
      <c r="FZS107"/>
      <c r="FZT107"/>
      <c r="FZU107"/>
      <c r="FZV107"/>
      <c r="FZW107"/>
      <c r="FZX107"/>
      <c r="FZY107"/>
      <c r="FZZ107"/>
      <c r="GAA107"/>
      <c r="GAB107"/>
      <c r="GAC107"/>
      <c r="GAD107"/>
      <c r="GAE107"/>
      <c r="GAF107"/>
      <c r="GAG107"/>
      <c r="GAH107"/>
      <c r="GAI107"/>
      <c r="GAJ107"/>
      <c r="GAK107"/>
      <c r="GAL107"/>
      <c r="GAM107"/>
      <c r="GAN107"/>
      <c r="GAO107"/>
      <c r="GAP107"/>
      <c r="GAQ107"/>
      <c r="GAR107"/>
      <c r="GAS107"/>
      <c r="GAT107"/>
      <c r="GAU107"/>
      <c r="GAV107"/>
      <c r="GAW107"/>
      <c r="GAX107"/>
      <c r="GAY107"/>
      <c r="GAZ107"/>
      <c r="GBA107"/>
      <c r="GBB107"/>
      <c r="GBC107"/>
      <c r="GBD107"/>
      <c r="GBE107"/>
      <c r="GBF107"/>
      <c r="GBG107"/>
      <c r="GBH107"/>
      <c r="GBI107"/>
      <c r="GBJ107"/>
      <c r="GBK107"/>
      <c r="GBL107"/>
      <c r="GBM107"/>
      <c r="GBN107"/>
      <c r="GBO107"/>
      <c r="GBP107"/>
      <c r="GBQ107"/>
      <c r="GBR107"/>
      <c r="GBS107"/>
      <c r="GBT107"/>
      <c r="GBU107"/>
      <c r="GBV107"/>
      <c r="GBW107"/>
      <c r="GBX107"/>
      <c r="GBY107"/>
      <c r="GBZ107"/>
      <c r="GCA107"/>
      <c r="GCB107"/>
      <c r="GCC107"/>
      <c r="GCD107"/>
      <c r="GCE107"/>
      <c r="GCF107"/>
      <c r="GCG107"/>
      <c r="GCH107"/>
      <c r="GCI107"/>
      <c r="GCJ107"/>
      <c r="GCK107"/>
      <c r="GCL107"/>
      <c r="GCM107"/>
      <c r="GCN107"/>
      <c r="GCO107"/>
      <c r="GCP107"/>
      <c r="GCQ107"/>
      <c r="GCR107"/>
      <c r="GCS107"/>
      <c r="GCT107"/>
      <c r="GCU107"/>
      <c r="GCV107"/>
      <c r="GCW107"/>
      <c r="GCX107"/>
      <c r="GCY107"/>
      <c r="GCZ107"/>
      <c r="GDA107"/>
      <c r="GDB107"/>
      <c r="GDC107"/>
      <c r="GDD107"/>
      <c r="GDE107"/>
      <c r="GDF107"/>
      <c r="GDG107"/>
      <c r="GDH107"/>
      <c r="GDI107"/>
      <c r="GDJ107"/>
      <c r="GDK107"/>
      <c r="GDL107"/>
      <c r="GDM107"/>
      <c r="GDN107"/>
      <c r="GDO107"/>
      <c r="GDP107"/>
      <c r="GDQ107"/>
      <c r="GDR107"/>
      <c r="GDS107"/>
      <c r="GDT107"/>
      <c r="GDU107"/>
      <c r="GDV107"/>
      <c r="GDW107"/>
      <c r="GDX107"/>
      <c r="GDY107"/>
      <c r="GDZ107"/>
      <c r="GEA107"/>
      <c r="GEB107"/>
      <c r="GEC107"/>
      <c r="GED107"/>
      <c r="GEE107"/>
      <c r="GEF107"/>
      <c r="GEG107"/>
      <c r="GEH107"/>
      <c r="GEI107"/>
      <c r="GEJ107"/>
      <c r="GEK107"/>
      <c r="GEL107"/>
      <c r="GEM107"/>
      <c r="GEN107"/>
      <c r="GEO107"/>
      <c r="GEP107"/>
      <c r="GEQ107"/>
      <c r="GER107"/>
      <c r="GES107"/>
      <c r="GET107"/>
      <c r="GEU107"/>
      <c r="GEV107"/>
      <c r="GEW107"/>
      <c r="GEX107"/>
      <c r="GEY107"/>
      <c r="GEZ107"/>
      <c r="GFA107"/>
      <c r="GFB107"/>
      <c r="GFC107"/>
      <c r="GFD107"/>
      <c r="GFE107"/>
      <c r="GFF107"/>
      <c r="GFG107"/>
      <c r="GFH107"/>
      <c r="GFI107"/>
      <c r="GFJ107"/>
      <c r="GFK107"/>
      <c r="GFL107"/>
      <c r="GFM107"/>
      <c r="GFN107"/>
      <c r="GFO107"/>
      <c r="GFP107"/>
      <c r="GFQ107"/>
      <c r="GFR107"/>
      <c r="GFS107"/>
      <c r="GFT107"/>
      <c r="GFU107"/>
      <c r="GFV107"/>
      <c r="GFW107"/>
      <c r="GFX107"/>
      <c r="GFY107"/>
      <c r="GFZ107"/>
      <c r="GGA107"/>
      <c r="GGB107"/>
      <c r="GGC107"/>
      <c r="GGD107"/>
      <c r="GGE107"/>
      <c r="GGF107"/>
      <c r="GGG107"/>
      <c r="GGH107"/>
      <c r="GGI107"/>
      <c r="GGJ107"/>
      <c r="GGK107"/>
      <c r="GGL107"/>
      <c r="GGM107"/>
      <c r="GGN107"/>
      <c r="GGO107"/>
      <c r="GGP107"/>
      <c r="GGQ107"/>
      <c r="GGR107"/>
      <c r="GGS107"/>
      <c r="GGT107"/>
      <c r="GGU107"/>
      <c r="GGV107"/>
      <c r="GGW107"/>
      <c r="GGX107"/>
      <c r="GGY107"/>
      <c r="GGZ107"/>
      <c r="GHA107"/>
      <c r="GHB107"/>
      <c r="GHC107"/>
      <c r="GHD107"/>
      <c r="GHE107"/>
      <c r="GHF107"/>
      <c r="GHG107"/>
      <c r="GHH107"/>
      <c r="GHI107"/>
      <c r="GHJ107"/>
      <c r="GHK107"/>
      <c r="GHL107"/>
      <c r="GHM107"/>
      <c r="GHN107"/>
      <c r="GHO107"/>
      <c r="GHP107"/>
      <c r="GHQ107"/>
      <c r="GHR107"/>
      <c r="GHS107"/>
      <c r="GHT107"/>
      <c r="GHU107"/>
      <c r="GHV107"/>
      <c r="GHW107"/>
      <c r="GHX107"/>
      <c r="GHY107"/>
      <c r="GHZ107"/>
      <c r="GIA107"/>
      <c r="GIB107"/>
      <c r="GIC107"/>
      <c r="GID107"/>
      <c r="GIE107"/>
      <c r="GIF107"/>
      <c r="GIG107"/>
      <c r="GIH107"/>
      <c r="GII107"/>
      <c r="GIJ107"/>
      <c r="GIK107"/>
      <c r="GIL107"/>
      <c r="GIM107"/>
      <c r="GIN107"/>
      <c r="GIO107"/>
      <c r="GIP107"/>
      <c r="GIQ107"/>
      <c r="GIR107"/>
      <c r="GIS107"/>
      <c r="GIT107"/>
      <c r="GIU107"/>
      <c r="GIV107"/>
      <c r="GIW107"/>
      <c r="GIX107"/>
      <c r="GIY107"/>
      <c r="GIZ107"/>
      <c r="GJA107"/>
      <c r="GJB107"/>
      <c r="GJC107"/>
      <c r="GJD107"/>
      <c r="GJE107"/>
      <c r="GJF107"/>
      <c r="GJG107"/>
      <c r="GJH107"/>
      <c r="GJI107"/>
      <c r="GJJ107"/>
      <c r="GJK107"/>
      <c r="GJL107"/>
      <c r="GJM107"/>
      <c r="GJN107"/>
      <c r="GJO107"/>
      <c r="GJP107"/>
      <c r="GJQ107"/>
      <c r="GJR107"/>
      <c r="GJS107"/>
      <c r="GJT107"/>
      <c r="GJU107"/>
      <c r="GJV107"/>
      <c r="GJW107"/>
      <c r="GJX107"/>
      <c r="GJY107"/>
      <c r="GJZ107"/>
      <c r="GKA107"/>
      <c r="GKB107"/>
      <c r="GKC107"/>
      <c r="GKD107"/>
      <c r="GKE107"/>
      <c r="GKF107"/>
      <c r="GKG107"/>
      <c r="GKH107"/>
      <c r="GKI107"/>
      <c r="GKJ107"/>
      <c r="GKK107"/>
      <c r="GKL107"/>
      <c r="GKM107"/>
      <c r="GKN107"/>
      <c r="GKO107"/>
      <c r="GKP107"/>
      <c r="GKQ107"/>
      <c r="GKR107"/>
      <c r="GKS107"/>
      <c r="GKT107"/>
      <c r="GKU107"/>
      <c r="GKV107"/>
      <c r="GKW107"/>
      <c r="GKX107"/>
      <c r="GKY107"/>
      <c r="GKZ107"/>
      <c r="GLA107"/>
      <c r="GLB107"/>
      <c r="GLC107"/>
      <c r="GLD107"/>
      <c r="GLE107"/>
      <c r="GLF107"/>
      <c r="GLG107"/>
      <c r="GLH107"/>
      <c r="GLI107"/>
      <c r="GLJ107"/>
      <c r="GLK107"/>
      <c r="GLL107"/>
      <c r="GLM107"/>
      <c r="GLN107"/>
      <c r="GLO107"/>
      <c r="GLP107"/>
      <c r="GLQ107"/>
      <c r="GLR107"/>
      <c r="GLS107"/>
      <c r="GLT107"/>
      <c r="GLU107"/>
      <c r="GLV107"/>
      <c r="GLW107"/>
      <c r="GLX107"/>
      <c r="GLY107"/>
      <c r="GLZ107"/>
      <c r="GMA107"/>
      <c r="GMB107"/>
      <c r="GMC107"/>
      <c r="GMD107"/>
      <c r="GME107"/>
      <c r="GMF107"/>
      <c r="GMG107"/>
      <c r="GMH107"/>
      <c r="GMI107"/>
      <c r="GMJ107"/>
      <c r="GMK107"/>
      <c r="GML107"/>
      <c r="GMM107"/>
      <c r="GMN107"/>
      <c r="GMO107"/>
      <c r="GMP107"/>
      <c r="GMQ107"/>
      <c r="GMR107"/>
      <c r="GMS107"/>
      <c r="GMT107"/>
      <c r="GMU107"/>
      <c r="GMV107"/>
      <c r="GMW107"/>
      <c r="GMX107"/>
      <c r="GMY107"/>
      <c r="GMZ107"/>
      <c r="GNA107"/>
      <c r="GNB107"/>
      <c r="GNC107"/>
      <c r="GND107"/>
      <c r="GNE107"/>
      <c r="GNF107"/>
      <c r="GNG107"/>
      <c r="GNH107"/>
      <c r="GNI107"/>
      <c r="GNJ107"/>
      <c r="GNK107"/>
      <c r="GNL107"/>
      <c r="GNM107"/>
      <c r="GNN107"/>
      <c r="GNO107"/>
      <c r="GNP107"/>
      <c r="GNQ107"/>
      <c r="GNR107"/>
      <c r="GNS107"/>
      <c r="GNT107"/>
      <c r="GNU107"/>
      <c r="GNV107"/>
      <c r="GNW107"/>
      <c r="GNX107"/>
      <c r="GNY107"/>
      <c r="GNZ107"/>
      <c r="GOA107"/>
      <c r="GOB107"/>
      <c r="GOC107"/>
      <c r="GOD107"/>
      <c r="GOE107"/>
      <c r="GOF107"/>
      <c r="GOG107"/>
      <c r="GOH107"/>
      <c r="GOI107"/>
      <c r="GOJ107"/>
      <c r="GOK107"/>
      <c r="GOL107"/>
      <c r="GOM107"/>
      <c r="GON107"/>
      <c r="GOO107"/>
      <c r="GOP107"/>
      <c r="GOQ107"/>
      <c r="GOR107"/>
      <c r="GOS107"/>
      <c r="GOT107"/>
      <c r="GOU107"/>
      <c r="GOV107"/>
      <c r="GOW107"/>
      <c r="GOX107"/>
      <c r="GOY107"/>
      <c r="GOZ107"/>
      <c r="GPA107"/>
      <c r="GPB107"/>
      <c r="GPC107"/>
      <c r="GPD107"/>
      <c r="GPE107"/>
      <c r="GPF107"/>
      <c r="GPG107"/>
      <c r="GPH107"/>
      <c r="GPI107"/>
      <c r="GPJ107"/>
      <c r="GPK107"/>
      <c r="GPL107"/>
      <c r="GPM107"/>
      <c r="GPN107"/>
      <c r="GPO107"/>
      <c r="GPP107"/>
      <c r="GPQ107"/>
      <c r="GPR107"/>
      <c r="GPS107"/>
      <c r="GPT107"/>
      <c r="GPU107"/>
      <c r="GPV107"/>
      <c r="GPW107"/>
      <c r="GPX107"/>
      <c r="GPY107"/>
      <c r="GPZ107"/>
      <c r="GQA107"/>
      <c r="GQB107"/>
      <c r="GQC107"/>
      <c r="GQD107"/>
      <c r="GQE107"/>
      <c r="GQF107"/>
      <c r="GQG107"/>
      <c r="GQH107"/>
      <c r="GQI107"/>
      <c r="GQJ107"/>
      <c r="GQK107"/>
      <c r="GQL107"/>
      <c r="GQM107"/>
      <c r="GQN107"/>
      <c r="GQO107"/>
      <c r="GQP107"/>
      <c r="GQQ107"/>
      <c r="GQR107"/>
      <c r="GQS107"/>
      <c r="GQT107"/>
      <c r="GQU107"/>
      <c r="GQV107"/>
      <c r="GQW107"/>
      <c r="GQX107"/>
      <c r="GQY107"/>
      <c r="GQZ107"/>
      <c r="GRA107"/>
      <c r="GRB107"/>
      <c r="GRC107"/>
      <c r="GRD107"/>
      <c r="GRE107"/>
      <c r="GRF107"/>
      <c r="GRG107"/>
      <c r="GRH107"/>
      <c r="GRI107"/>
      <c r="GRJ107"/>
      <c r="GRK107"/>
      <c r="GRL107"/>
      <c r="GRM107"/>
      <c r="GRN107"/>
      <c r="GRO107"/>
      <c r="GRP107"/>
      <c r="GRQ107"/>
      <c r="GRR107"/>
      <c r="GRS107"/>
      <c r="GRT107"/>
      <c r="GRU107"/>
      <c r="GRV107"/>
      <c r="GRW107"/>
      <c r="GRX107"/>
      <c r="GRY107"/>
      <c r="GRZ107"/>
      <c r="GSA107"/>
      <c r="GSB107"/>
      <c r="GSC107"/>
      <c r="GSD107"/>
      <c r="GSE107"/>
      <c r="GSF107"/>
      <c r="GSG107"/>
      <c r="GSH107"/>
      <c r="GSI107"/>
      <c r="GSJ107"/>
      <c r="GSK107"/>
      <c r="GSL107"/>
      <c r="GSM107"/>
      <c r="GSN107"/>
      <c r="GSO107"/>
      <c r="GSP107"/>
      <c r="GSQ107"/>
      <c r="GSR107"/>
      <c r="GSS107"/>
      <c r="GST107"/>
      <c r="GSU107"/>
      <c r="GSV107"/>
      <c r="GSW107"/>
      <c r="GSX107"/>
      <c r="GSY107"/>
      <c r="GSZ107"/>
      <c r="GTA107"/>
      <c r="GTB107"/>
      <c r="GTC107"/>
      <c r="GTD107"/>
      <c r="GTE107"/>
      <c r="GTF107"/>
      <c r="GTG107"/>
      <c r="GTH107"/>
      <c r="GTI107"/>
      <c r="GTJ107"/>
      <c r="GTK107"/>
      <c r="GTL107"/>
      <c r="GTM107"/>
      <c r="GTN107"/>
      <c r="GTO107"/>
      <c r="GTP107"/>
      <c r="GTQ107"/>
      <c r="GTR107"/>
      <c r="GTS107"/>
      <c r="GTT107"/>
      <c r="GTU107"/>
      <c r="GTV107"/>
      <c r="GTW107"/>
      <c r="GTX107"/>
      <c r="GTY107"/>
      <c r="GTZ107"/>
      <c r="GUA107"/>
      <c r="GUB107"/>
      <c r="GUC107"/>
      <c r="GUD107"/>
      <c r="GUE107"/>
      <c r="GUF107"/>
      <c r="GUG107"/>
      <c r="GUH107"/>
      <c r="GUI107"/>
      <c r="GUJ107"/>
      <c r="GUK107"/>
      <c r="GUL107"/>
      <c r="GUM107"/>
      <c r="GUN107"/>
      <c r="GUO107"/>
      <c r="GUP107"/>
      <c r="GUQ107"/>
      <c r="GUR107"/>
      <c r="GUS107"/>
      <c r="GUT107"/>
      <c r="GUU107"/>
      <c r="GUV107"/>
      <c r="GUW107"/>
      <c r="GUX107"/>
      <c r="GUY107"/>
      <c r="GUZ107"/>
      <c r="GVA107"/>
      <c r="GVB107"/>
      <c r="GVC107"/>
      <c r="GVD107"/>
      <c r="GVE107"/>
      <c r="GVF107"/>
      <c r="GVG107"/>
      <c r="GVH107"/>
      <c r="GVI107"/>
      <c r="GVJ107"/>
      <c r="GVK107"/>
      <c r="GVL107"/>
      <c r="GVM107"/>
      <c r="GVN107"/>
      <c r="GVO107"/>
      <c r="GVP107"/>
      <c r="GVQ107"/>
      <c r="GVR107"/>
      <c r="GVS107"/>
      <c r="GVT107"/>
      <c r="GVU107"/>
      <c r="GVV107"/>
      <c r="GVW107"/>
      <c r="GVX107"/>
      <c r="GVY107"/>
      <c r="GVZ107"/>
      <c r="GWA107"/>
      <c r="GWB107"/>
      <c r="GWC107"/>
      <c r="GWD107"/>
      <c r="GWE107"/>
      <c r="GWF107"/>
      <c r="GWG107"/>
      <c r="GWH107"/>
      <c r="GWI107"/>
      <c r="GWJ107"/>
      <c r="GWK107"/>
      <c r="GWL107"/>
      <c r="GWM107"/>
      <c r="GWN107"/>
      <c r="GWO107"/>
      <c r="GWP107"/>
      <c r="GWQ107"/>
      <c r="GWR107"/>
      <c r="GWS107"/>
      <c r="GWT107"/>
      <c r="GWU107"/>
      <c r="GWV107"/>
      <c r="GWW107"/>
      <c r="GWX107"/>
      <c r="GWY107"/>
      <c r="GWZ107"/>
      <c r="GXA107"/>
      <c r="GXB107"/>
      <c r="GXC107"/>
      <c r="GXD107"/>
      <c r="GXE107"/>
      <c r="GXF107"/>
      <c r="GXG107"/>
      <c r="GXH107"/>
      <c r="GXI107"/>
      <c r="GXJ107"/>
      <c r="GXK107"/>
      <c r="GXL107"/>
      <c r="GXM107"/>
      <c r="GXN107"/>
      <c r="GXO107"/>
      <c r="GXP107"/>
      <c r="GXQ107"/>
      <c r="GXR107"/>
      <c r="GXS107"/>
      <c r="GXT107"/>
      <c r="GXU107"/>
      <c r="GXV107"/>
      <c r="GXW107"/>
      <c r="GXX107"/>
      <c r="GXY107"/>
      <c r="GXZ107"/>
      <c r="GYA107"/>
      <c r="GYB107"/>
      <c r="GYC107"/>
      <c r="GYD107"/>
      <c r="GYE107"/>
      <c r="GYF107"/>
      <c r="GYG107"/>
      <c r="GYH107"/>
      <c r="GYI107"/>
      <c r="GYJ107"/>
      <c r="GYK107"/>
      <c r="GYL107"/>
      <c r="GYM107"/>
      <c r="GYN107"/>
      <c r="GYO107"/>
      <c r="GYP107"/>
      <c r="GYQ107"/>
      <c r="GYR107"/>
      <c r="GYS107"/>
      <c r="GYT107"/>
      <c r="GYU107"/>
      <c r="GYV107"/>
      <c r="GYW107"/>
      <c r="GYX107"/>
      <c r="GYY107"/>
      <c r="GYZ107"/>
      <c r="GZA107"/>
      <c r="GZB107"/>
      <c r="GZC107"/>
      <c r="GZD107"/>
      <c r="GZE107"/>
      <c r="GZF107"/>
      <c r="GZG107"/>
      <c r="GZH107"/>
      <c r="GZI107"/>
      <c r="GZJ107"/>
      <c r="GZK107"/>
      <c r="GZL107"/>
      <c r="GZM107"/>
      <c r="GZN107"/>
      <c r="GZO107"/>
      <c r="GZP107"/>
      <c r="GZQ107"/>
      <c r="GZR107"/>
      <c r="GZS107"/>
      <c r="GZT107"/>
      <c r="GZU107"/>
      <c r="GZV107"/>
      <c r="GZW107"/>
      <c r="GZX107"/>
      <c r="GZY107"/>
      <c r="GZZ107"/>
      <c r="HAA107"/>
      <c r="HAB107"/>
      <c r="HAC107"/>
      <c r="HAD107"/>
      <c r="HAE107"/>
      <c r="HAF107"/>
      <c r="HAG107"/>
      <c r="HAH107"/>
      <c r="HAI107"/>
      <c r="HAJ107"/>
      <c r="HAK107"/>
      <c r="HAL107"/>
      <c r="HAM107"/>
      <c r="HAN107"/>
      <c r="HAO107"/>
      <c r="HAP107"/>
      <c r="HAQ107"/>
      <c r="HAR107"/>
      <c r="HAS107"/>
      <c r="HAT107"/>
      <c r="HAU107"/>
      <c r="HAV107"/>
      <c r="HAW107"/>
      <c r="HAX107"/>
      <c r="HAY107"/>
      <c r="HAZ107"/>
      <c r="HBA107"/>
      <c r="HBB107"/>
      <c r="HBC107"/>
      <c r="HBD107"/>
      <c r="HBE107"/>
      <c r="HBF107"/>
      <c r="HBG107"/>
      <c r="HBH107"/>
      <c r="HBI107"/>
      <c r="HBJ107"/>
      <c r="HBK107"/>
      <c r="HBL107"/>
      <c r="HBM107"/>
      <c r="HBN107"/>
      <c r="HBO107"/>
      <c r="HBP107"/>
      <c r="HBQ107"/>
      <c r="HBR107"/>
      <c r="HBS107"/>
      <c r="HBT107"/>
      <c r="HBU107"/>
      <c r="HBV107"/>
      <c r="HBW107"/>
      <c r="HBX107"/>
      <c r="HBY107"/>
      <c r="HBZ107"/>
      <c r="HCA107"/>
      <c r="HCB107"/>
      <c r="HCC107"/>
      <c r="HCD107"/>
      <c r="HCE107"/>
      <c r="HCF107"/>
      <c r="HCG107"/>
      <c r="HCH107"/>
      <c r="HCI107"/>
      <c r="HCJ107"/>
      <c r="HCK107"/>
      <c r="HCL107"/>
      <c r="HCM107"/>
      <c r="HCN107"/>
      <c r="HCO107"/>
      <c r="HCP107"/>
      <c r="HCQ107"/>
      <c r="HCR107"/>
      <c r="HCS107"/>
      <c r="HCT107"/>
      <c r="HCU107"/>
      <c r="HCV107"/>
      <c r="HCW107"/>
      <c r="HCX107"/>
      <c r="HCY107"/>
      <c r="HCZ107"/>
      <c r="HDA107"/>
      <c r="HDB107"/>
      <c r="HDC107"/>
      <c r="HDD107"/>
      <c r="HDE107"/>
      <c r="HDF107"/>
      <c r="HDG107"/>
      <c r="HDH107"/>
      <c r="HDI107"/>
      <c r="HDJ107"/>
      <c r="HDK107"/>
      <c r="HDL107"/>
      <c r="HDM107"/>
      <c r="HDN107"/>
      <c r="HDO107"/>
      <c r="HDP107"/>
      <c r="HDQ107"/>
      <c r="HDR107"/>
      <c r="HDS107"/>
      <c r="HDT107"/>
      <c r="HDU107"/>
      <c r="HDV107"/>
      <c r="HDW107"/>
      <c r="HDX107"/>
      <c r="HDY107"/>
      <c r="HDZ107"/>
      <c r="HEA107"/>
      <c r="HEB107"/>
      <c r="HEC107"/>
      <c r="HED107"/>
      <c r="HEE107"/>
      <c r="HEF107"/>
      <c r="HEG107"/>
      <c r="HEH107"/>
      <c r="HEI107"/>
      <c r="HEJ107"/>
      <c r="HEK107"/>
      <c r="HEL107"/>
      <c r="HEM107"/>
      <c r="HEN107"/>
      <c r="HEO107"/>
      <c r="HEP107"/>
      <c r="HEQ107"/>
      <c r="HER107"/>
      <c r="HES107"/>
      <c r="HET107"/>
      <c r="HEU107"/>
      <c r="HEV107"/>
      <c r="HEW107"/>
      <c r="HEX107"/>
      <c r="HEY107"/>
      <c r="HEZ107"/>
      <c r="HFA107"/>
      <c r="HFB107"/>
      <c r="HFC107"/>
      <c r="HFD107"/>
      <c r="HFE107"/>
      <c r="HFF107"/>
      <c r="HFG107"/>
      <c r="HFH107"/>
      <c r="HFI107"/>
      <c r="HFJ107"/>
      <c r="HFK107"/>
      <c r="HFL107"/>
      <c r="HFM107"/>
      <c r="HFN107"/>
      <c r="HFO107"/>
      <c r="HFP107"/>
      <c r="HFQ107"/>
      <c r="HFR107"/>
      <c r="HFS107"/>
      <c r="HFT107"/>
      <c r="HFU107"/>
      <c r="HFV107"/>
      <c r="HFW107"/>
      <c r="HFX107"/>
      <c r="HFY107"/>
      <c r="HFZ107"/>
      <c r="HGA107"/>
      <c r="HGB107"/>
      <c r="HGC107"/>
      <c r="HGD107"/>
      <c r="HGE107"/>
      <c r="HGF107"/>
      <c r="HGG107"/>
      <c r="HGH107"/>
      <c r="HGI107"/>
      <c r="HGJ107"/>
      <c r="HGK107"/>
      <c r="HGL107"/>
      <c r="HGM107"/>
      <c r="HGN107"/>
      <c r="HGO107"/>
      <c r="HGP107"/>
      <c r="HGQ107"/>
      <c r="HGR107"/>
      <c r="HGS107"/>
      <c r="HGT107"/>
      <c r="HGU107"/>
      <c r="HGV107"/>
      <c r="HGW107"/>
      <c r="HGX107"/>
      <c r="HGY107"/>
      <c r="HGZ107"/>
      <c r="HHA107"/>
      <c r="HHB107"/>
      <c r="HHC107"/>
      <c r="HHD107"/>
      <c r="HHE107"/>
      <c r="HHF107"/>
      <c r="HHG107"/>
      <c r="HHH107"/>
      <c r="HHI107"/>
      <c r="HHJ107"/>
      <c r="HHK107"/>
      <c r="HHL107"/>
      <c r="HHM107"/>
      <c r="HHN107"/>
      <c r="HHO107"/>
      <c r="HHP107"/>
      <c r="HHQ107"/>
      <c r="HHR107"/>
      <c r="HHS107"/>
      <c r="HHT107"/>
      <c r="HHU107"/>
      <c r="HHV107"/>
      <c r="HHW107"/>
      <c r="HHX107"/>
      <c r="HHY107"/>
      <c r="HHZ107"/>
      <c r="HIA107"/>
      <c r="HIB107"/>
      <c r="HIC107"/>
      <c r="HID107"/>
      <c r="HIE107"/>
      <c r="HIF107"/>
      <c r="HIG107"/>
      <c r="HIH107"/>
      <c r="HII107"/>
      <c r="HIJ107"/>
      <c r="HIK107"/>
      <c r="HIL107"/>
      <c r="HIM107"/>
      <c r="HIN107"/>
      <c r="HIO107"/>
      <c r="HIP107"/>
      <c r="HIQ107"/>
      <c r="HIR107"/>
      <c r="HIS107"/>
      <c r="HIT107"/>
      <c r="HIU107"/>
      <c r="HIV107"/>
      <c r="HIW107"/>
      <c r="HIX107"/>
      <c r="HIY107"/>
      <c r="HIZ107"/>
      <c r="HJA107"/>
      <c r="HJB107"/>
      <c r="HJC107"/>
      <c r="HJD107"/>
      <c r="HJE107"/>
      <c r="HJF107"/>
      <c r="HJG107"/>
      <c r="HJH107"/>
      <c r="HJI107"/>
      <c r="HJJ107"/>
      <c r="HJK107"/>
      <c r="HJL107"/>
      <c r="HJM107"/>
      <c r="HJN107"/>
      <c r="HJO107"/>
      <c r="HJP107"/>
      <c r="HJQ107"/>
      <c r="HJR107"/>
      <c r="HJS107"/>
      <c r="HJT107"/>
      <c r="HJU107"/>
      <c r="HJV107"/>
      <c r="HJW107"/>
      <c r="HJX107"/>
      <c r="HJY107"/>
      <c r="HJZ107"/>
      <c r="HKA107"/>
      <c r="HKB107"/>
      <c r="HKC107"/>
      <c r="HKD107"/>
      <c r="HKE107"/>
      <c r="HKF107"/>
      <c r="HKG107"/>
      <c r="HKH107"/>
      <c r="HKI107"/>
      <c r="HKJ107"/>
      <c r="HKK107"/>
      <c r="HKL107"/>
      <c r="HKM107"/>
      <c r="HKN107"/>
      <c r="HKO107"/>
      <c r="HKP107"/>
      <c r="HKQ107"/>
      <c r="HKR107"/>
      <c r="HKS107"/>
      <c r="HKT107"/>
      <c r="HKU107"/>
      <c r="HKV107"/>
      <c r="HKW107"/>
      <c r="HKX107"/>
      <c r="HKY107"/>
      <c r="HKZ107"/>
      <c r="HLA107"/>
      <c r="HLB107"/>
      <c r="HLC107"/>
      <c r="HLD107"/>
      <c r="HLE107"/>
      <c r="HLF107"/>
      <c r="HLG107"/>
      <c r="HLH107"/>
      <c r="HLI107"/>
      <c r="HLJ107"/>
      <c r="HLK107"/>
      <c r="HLL107"/>
      <c r="HLM107"/>
      <c r="HLN107"/>
      <c r="HLO107"/>
      <c r="HLP107"/>
      <c r="HLQ107"/>
      <c r="HLR107"/>
      <c r="HLS107"/>
      <c r="HLT107"/>
      <c r="HLU107"/>
      <c r="HLV107"/>
      <c r="HLW107"/>
      <c r="HLX107"/>
      <c r="HLY107"/>
      <c r="HLZ107"/>
      <c r="HMA107"/>
      <c r="HMB107"/>
      <c r="HMC107"/>
      <c r="HMD107"/>
      <c r="HME107"/>
      <c r="HMF107"/>
      <c r="HMG107"/>
      <c r="HMH107"/>
      <c r="HMI107"/>
      <c r="HMJ107"/>
      <c r="HMK107"/>
      <c r="HML107"/>
      <c r="HMM107"/>
      <c r="HMN107"/>
      <c r="HMO107"/>
      <c r="HMP107"/>
      <c r="HMQ107"/>
      <c r="HMR107"/>
      <c r="HMS107"/>
      <c r="HMT107"/>
      <c r="HMU107"/>
      <c r="HMV107"/>
      <c r="HMW107"/>
      <c r="HMX107"/>
      <c r="HMY107"/>
      <c r="HMZ107"/>
      <c r="HNA107"/>
      <c r="HNB107"/>
      <c r="HNC107"/>
      <c r="HND107"/>
      <c r="HNE107"/>
      <c r="HNF107"/>
      <c r="HNG107"/>
      <c r="HNH107"/>
      <c r="HNI107"/>
      <c r="HNJ107"/>
      <c r="HNK107"/>
      <c r="HNL107"/>
      <c r="HNM107"/>
      <c r="HNN107"/>
      <c r="HNO107"/>
      <c r="HNP107"/>
      <c r="HNQ107"/>
      <c r="HNR107"/>
      <c r="HNS107"/>
      <c r="HNT107"/>
      <c r="HNU107"/>
      <c r="HNV107"/>
      <c r="HNW107"/>
      <c r="HNX107"/>
      <c r="HNY107"/>
      <c r="HNZ107"/>
      <c r="HOA107"/>
      <c r="HOB107"/>
      <c r="HOC107"/>
      <c r="HOD107"/>
      <c r="HOE107"/>
      <c r="HOF107"/>
      <c r="HOG107"/>
      <c r="HOH107"/>
      <c r="HOI107"/>
      <c r="HOJ107"/>
      <c r="HOK107"/>
      <c r="HOL107"/>
      <c r="HOM107"/>
      <c r="HON107"/>
      <c r="HOO107"/>
      <c r="HOP107"/>
      <c r="HOQ107"/>
      <c r="HOR107"/>
      <c r="HOS107"/>
      <c r="HOT107"/>
      <c r="HOU107"/>
      <c r="HOV107"/>
      <c r="HOW107"/>
      <c r="HOX107"/>
      <c r="HOY107"/>
      <c r="HOZ107"/>
      <c r="HPA107"/>
      <c r="HPB107"/>
      <c r="HPC107"/>
      <c r="HPD107"/>
      <c r="HPE107"/>
      <c r="HPF107"/>
      <c r="HPG107"/>
      <c r="HPH107"/>
      <c r="HPI107"/>
      <c r="HPJ107"/>
      <c r="HPK107"/>
      <c r="HPL107"/>
      <c r="HPM107"/>
      <c r="HPN107"/>
      <c r="HPO107"/>
      <c r="HPP107"/>
      <c r="HPQ107"/>
      <c r="HPR107"/>
      <c r="HPS107"/>
      <c r="HPT107"/>
      <c r="HPU107"/>
      <c r="HPV107"/>
      <c r="HPW107"/>
      <c r="HPX107"/>
      <c r="HPY107"/>
      <c r="HPZ107"/>
      <c r="HQA107"/>
      <c r="HQB107"/>
      <c r="HQC107"/>
      <c r="HQD107"/>
      <c r="HQE107"/>
      <c r="HQF107"/>
      <c r="HQG107"/>
      <c r="HQH107"/>
      <c r="HQI107"/>
      <c r="HQJ107"/>
      <c r="HQK107"/>
      <c r="HQL107"/>
      <c r="HQM107"/>
      <c r="HQN107"/>
      <c r="HQO107"/>
      <c r="HQP107"/>
      <c r="HQQ107"/>
      <c r="HQR107"/>
      <c r="HQS107"/>
      <c r="HQT107"/>
      <c r="HQU107"/>
      <c r="HQV107"/>
      <c r="HQW107"/>
      <c r="HQX107"/>
      <c r="HQY107"/>
      <c r="HQZ107"/>
      <c r="HRA107"/>
      <c r="HRB107"/>
      <c r="HRC107"/>
      <c r="HRD107"/>
      <c r="HRE107"/>
      <c r="HRF107"/>
      <c r="HRG107"/>
      <c r="HRH107"/>
      <c r="HRI107"/>
      <c r="HRJ107"/>
      <c r="HRK107"/>
      <c r="HRL107"/>
      <c r="HRM107"/>
      <c r="HRN107"/>
      <c r="HRO107"/>
      <c r="HRP107"/>
      <c r="HRQ107"/>
      <c r="HRR107"/>
      <c r="HRS107"/>
      <c r="HRT107"/>
      <c r="HRU107"/>
      <c r="HRV107"/>
      <c r="HRW107"/>
      <c r="HRX107"/>
      <c r="HRY107"/>
      <c r="HRZ107"/>
      <c r="HSA107"/>
      <c r="HSB107"/>
      <c r="HSC107"/>
      <c r="HSD107"/>
      <c r="HSE107"/>
      <c r="HSF107"/>
      <c r="HSG107"/>
      <c r="HSH107"/>
      <c r="HSI107"/>
      <c r="HSJ107"/>
      <c r="HSK107"/>
      <c r="HSL107"/>
      <c r="HSM107"/>
      <c r="HSN107"/>
      <c r="HSO107"/>
      <c r="HSP107"/>
      <c r="HSQ107"/>
      <c r="HSR107"/>
      <c r="HSS107"/>
      <c r="HST107"/>
      <c r="HSU107"/>
      <c r="HSV107"/>
      <c r="HSW107"/>
      <c r="HSX107"/>
      <c r="HSY107"/>
      <c r="HSZ107"/>
      <c r="HTA107"/>
      <c r="HTB107"/>
      <c r="HTC107"/>
      <c r="HTD107"/>
      <c r="HTE107"/>
      <c r="HTF107"/>
      <c r="HTG107"/>
      <c r="HTH107"/>
      <c r="HTI107"/>
      <c r="HTJ107"/>
      <c r="HTK107"/>
      <c r="HTL107"/>
      <c r="HTM107"/>
      <c r="HTN107"/>
      <c r="HTO107"/>
      <c r="HTP107"/>
      <c r="HTQ107"/>
      <c r="HTR107"/>
      <c r="HTS107"/>
      <c r="HTT107"/>
      <c r="HTU107"/>
      <c r="HTV107"/>
      <c r="HTW107"/>
      <c r="HTX107"/>
      <c r="HTY107"/>
      <c r="HTZ107"/>
      <c r="HUA107"/>
      <c r="HUB107"/>
      <c r="HUC107"/>
      <c r="HUD107"/>
      <c r="HUE107"/>
      <c r="HUF107"/>
      <c r="HUG107"/>
      <c r="HUH107"/>
      <c r="HUI107"/>
      <c r="HUJ107"/>
      <c r="HUK107"/>
      <c r="HUL107"/>
      <c r="HUM107"/>
      <c r="HUN107"/>
      <c r="HUO107"/>
      <c r="HUP107"/>
      <c r="HUQ107"/>
      <c r="HUR107"/>
      <c r="HUS107"/>
      <c r="HUT107"/>
      <c r="HUU107"/>
      <c r="HUV107"/>
      <c r="HUW107"/>
      <c r="HUX107"/>
      <c r="HUY107"/>
      <c r="HUZ107"/>
      <c r="HVA107"/>
      <c r="HVB107"/>
      <c r="HVC107"/>
      <c r="HVD107"/>
      <c r="HVE107"/>
      <c r="HVF107"/>
      <c r="HVG107"/>
      <c r="HVH107"/>
      <c r="HVI107"/>
      <c r="HVJ107"/>
      <c r="HVK107"/>
      <c r="HVL107"/>
      <c r="HVM107"/>
      <c r="HVN107"/>
      <c r="HVO107"/>
      <c r="HVP107"/>
      <c r="HVQ107"/>
      <c r="HVR107"/>
      <c r="HVS107"/>
      <c r="HVT107"/>
      <c r="HVU107"/>
      <c r="HVV107"/>
      <c r="HVW107"/>
      <c r="HVX107"/>
      <c r="HVY107"/>
      <c r="HVZ107"/>
      <c r="HWA107"/>
      <c r="HWB107"/>
      <c r="HWC107"/>
      <c r="HWD107"/>
      <c r="HWE107"/>
      <c r="HWF107"/>
      <c r="HWG107"/>
      <c r="HWH107"/>
      <c r="HWI107"/>
      <c r="HWJ107"/>
      <c r="HWK107"/>
      <c r="HWL107"/>
      <c r="HWM107"/>
      <c r="HWN107"/>
      <c r="HWO107"/>
      <c r="HWP107"/>
      <c r="HWQ107"/>
      <c r="HWR107"/>
      <c r="HWS107"/>
      <c r="HWT107"/>
      <c r="HWU107"/>
      <c r="HWV107"/>
      <c r="HWW107"/>
      <c r="HWX107"/>
      <c r="HWY107"/>
      <c r="HWZ107"/>
      <c r="HXA107"/>
      <c r="HXB107"/>
      <c r="HXC107"/>
      <c r="HXD107"/>
      <c r="HXE107"/>
      <c r="HXF107"/>
      <c r="HXG107"/>
      <c r="HXH107"/>
      <c r="HXI107"/>
      <c r="HXJ107"/>
      <c r="HXK107"/>
      <c r="HXL107"/>
      <c r="HXM107"/>
      <c r="HXN107"/>
      <c r="HXO107"/>
      <c r="HXP107"/>
      <c r="HXQ107"/>
      <c r="HXR107"/>
      <c r="HXS107"/>
      <c r="HXT107"/>
      <c r="HXU107"/>
      <c r="HXV107"/>
      <c r="HXW107"/>
      <c r="HXX107"/>
      <c r="HXY107"/>
      <c r="HXZ107"/>
      <c r="HYA107"/>
      <c r="HYB107"/>
      <c r="HYC107"/>
      <c r="HYD107"/>
      <c r="HYE107"/>
      <c r="HYF107"/>
      <c r="HYG107"/>
      <c r="HYH107"/>
      <c r="HYI107"/>
      <c r="HYJ107"/>
      <c r="HYK107"/>
      <c r="HYL107"/>
      <c r="HYM107"/>
      <c r="HYN107"/>
      <c r="HYO107"/>
      <c r="HYP107"/>
      <c r="HYQ107"/>
      <c r="HYR107"/>
      <c r="HYS107"/>
      <c r="HYT107"/>
      <c r="HYU107"/>
      <c r="HYV107"/>
      <c r="HYW107"/>
      <c r="HYX107"/>
      <c r="HYY107"/>
      <c r="HYZ107"/>
      <c r="HZA107"/>
      <c r="HZB107"/>
      <c r="HZC107"/>
      <c r="HZD107"/>
      <c r="HZE107"/>
      <c r="HZF107"/>
      <c r="HZG107"/>
      <c r="HZH107"/>
      <c r="HZI107"/>
      <c r="HZJ107"/>
      <c r="HZK107"/>
      <c r="HZL107"/>
      <c r="HZM107"/>
      <c r="HZN107"/>
      <c r="HZO107"/>
      <c r="HZP107"/>
      <c r="HZQ107"/>
      <c r="HZR107"/>
      <c r="HZS107"/>
      <c r="HZT107"/>
      <c r="HZU107"/>
      <c r="HZV107"/>
      <c r="HZW107"/>
      <c r="HZX107"/>
      <c r="HZY107"/>
      <c r="HZZ107"/>
      <c r="IAA107"/>
      <c r="IAB107"/>
      <c r="IAC107"/>
      <c r="IAD107"/>
      <c r="IAE107"/>
      <c r="IAF107"/>
      <c r="IAG107"/>
      <c r="IAH107"/>
      <c r="IAI107"/>
      <c r="IAJ107"/>
      <c r="IAK107"/>
      <c r="IAL107"/>
      <c r="IAM107"/>
      <c r="IAN107"/>
      <c r="IAO107"/>
      <c r="IAP107"/>
      <c r="IAQ107"/>
      <c r="IAR107"/>
      <c r="IAS107"/>
      <c r="IAT107"/>
      <c r="IAU107"/>
      <c r="IAV107"/>
      <c r="IAW107"/>
      <c r="IAX107"/>
      <c r="IAY107"/>
      <c r="IAZ107"/>
      <c r="IBA107"/>
      <c r="IBB107"/>
      <c r="IBC107"/>
      <c r="IBD107"/>
      <c r="IBE107"/>
      <c r="IBF107"/>
      <c r="IBG107"/>
      <c r="IBH107"/>
      <c r="IBI107"/>
      <c r="IBJ107"/>
      <c r="IBK107"/>
      <c r="IBL107"/>
      <c r="IBM107"/>
      <c r="IBN107"/>
      <c r="IBO107"/>
      <c r="IBP107"/>
      <c r="IBQ107"/>
      <c r="IBR107"/>
      <c r="IBS107"/>
      <c r="IBT107"/>
      <c r="IBU107"/>
      <c r="IBV107"/>
      <c r="IBW107"/>
      <c r="IBX107"/>
      <c r="IBY107"/>
      <c r="IBZ107"/>
      <c r="ICA107"/>
      <c r="ICB107"/>
      <c r="ICC107"/>
      <c r="ICD107"/>
      <c r="ICE107"/>
      <c r="ICF107"/>
      <c r="ICG107"/>
      <c r="ICH107"/>
      <c r="ICI107"/>
      <c r="ICJ107"/>
      <c r="ICK107"/>
      <c r="ICL107"/>
      <c r="ICM107"/>
      <c r="ICN107"/>
      <c r="ICO107"/>
      <c r="ICP107"/>
      <c r="ICQ107"/>
      <c r="ICR107"/>
      <c r="ICS107"/>
      <c r="ICT107"/>
      <c r="ICU107"/>
      <c r="ICV107"/>
      <c r="ICW107"/>
      <c r="ICX107"/>
      <c r="ICY107"/>
      <c r="ICZ107"/>
      <c r="IDA107"/>
      <c r="IDB107"/>
      <c r="IDC107"/>
      <c r="IDD107"/>
      <c r="IDE107"/>
      <c r="IDF107"/>
      <c r="IDG107"/>
      <c r="IDH107"/>
      <c r="IDI107"/>
      <c r="IDJ107"/>
      <c r="IDK107"/>
      <c r="IDL107"/>
      <c r="IDM107"/>
      <c r="IDN107"/>
      <c r="IDO107"/>
      <c r="IDP107"/>
      <c r="IDQ107"/>
      <c r="IDR107"/>
      <c r="IDS107"/>
      <c r="IDT107"/>
      <c r="IDU107"/>
      <c r="IDV107"/>
      <c r="IDW107"/>
      <c r="IDX107"/>
      <c r="IDY107"/>
      <c r="IDZ107"/>
      <c r="IEA107"/>
      <c r="IEB107"/>
      <c r="IEC107"/>
      <c r="IED107"/>
      <c r="IEE107"/>
      <c r="IEF107"/>
      <c r="IEG107"/>
      <c r="IEH107"/>
      <c r="IEI107"/>
      <c r="IEJ107"/>
      <c r="IEK107"/>
      <c r="IEL107"/>
      <c r="IEM107"/>
      <c r="IEN107"/>
      <c r="IEO107"/>
      <c r="IEP107"/>
      <c r="IEQ107"/>
      <c r="IER107"/>
      <c r="IES107"/>
      <c r="IET107"/>
      <c r="IEU107"/>
      <c r="IEV107"/>
      <c r="IEW107"/>
      <c r="IEX107"/>
      <c r="IEY107"/>
      <c r="IEZ107"/>
      <c r="IFA107"/>
      <c r="IFB107"/>
      <c r="IFC107"/>
      <c r="IFD107"/>
      <c r="IFE107"/>
      <c r="IFF107"/>
      <c r="IFG107"/>
      <c r="IFH107"/>
      <c r="IFI107"/>
      <c r="IFJ107"/>
      <c r="IFK107"/>
      <c r="IFL107"/>
      <c r="IFM107"/>
      <c r="IFN107"/>
      <c r="IFO107"/>
      <c r="IFP107"/>
      <c r="IFQ107"/>
      <c r="IFR107"/>
      <c r="IFS107"/>
      <c r="IFT107"/>
      <c r="IFU107"/>
      <c r="IFV107"/>
      <c r="IFW107"/>
      <c r="IFX107"/>
      <c r="IFY107"/>
      <c r="IFZ107"/>
      <c r="IGA107"/>
      <c r="IGB107"/>
      <c r="IGC107"/>
      <c r="IGD107"/>
      <c r="IGE107"/>
      <c r="IGF107"/>
      <c r="IGG107"/>
      <c r="IGH107"/>
      <c r="IGI107"/>
      <c r="IGJ107"/>
      <c r="IGK107"/>
      <c r="IGL107"/>
      <c r="IGM107"/>
      <c r="IGN107"/>
      <c r="IGO107"/>
      <c r="IGP107"/>
      <c r="IGQ107"/>
      <c r="IGR107"/>
      <c r="IGS107"/>
      <c r="IGT107"/>
      <c r="IGU107"/>
      <c r="IGV107"/>
      <c r="IGW107"/>
      <c r="IGX107"/>
      <c r="IGY107"/>
      <c r="IGZ107"/>
      <c r="IHA107"/>
      <c r="IHB107"/>
      <c r="IHC107"/>
      <c r="IHD107"/>
      <c r="IHE107"/>
      <c r="IHF107"/>
      <c r="IHG107"/>
      <c r="IHH107"/>
      <c r="IHI107"/>
      <c r="IHJ107"/>
      <c r="IHK107"/>
      <c r="IHL107"/>
      <c r="IHM107"/>
      <c r="IHN107"/>
      <c r="IHO107"/>
      <c r="IHP107"/>
      <c r="IHQ107"/>
      <c r="IHR107"/>
      <c r="IHS107"/>
      <c r="IHT107"/>
      <c r="IHU107"/>
      <c r="IHV107"/>
      <c r="IHW107"/>
      <c r="IHX107"/>
      <c r="IHY107"/>
      <c r="IHZ107"/>
      <c r="IIA107"/>
      <c r="IIB107"/>
      <c r="IIC107"/>
      <c r="IID107"/>
      <c r="IIE107"/>
      <c r="IIF107"/>
      <c r="IIG107"/>
      <c r="IIH107"/>
      <c r="III107"/>
      <c r="IIJ107"/>
      <c r="IIK107"/>
      <c r="IIL107"/>
      <c r="IIM107"/>
      <c r="IIN107"/>
      <c r="IIO107"/>
      <c r="IIP107"/>
      <c r="IIQ107"/>
      <c r="IIR107"/>
      <c r="IIS107"/>
      <c r="IIT107"/>
      <c r="IIU107"/>
      <c r="IIV107"/>
      <c r="IIW107"/>
      <c r="IIX107"/>
      <c r="IIY107"/>
      <c r="IIZ107"/>
      <c r="IJA107"/>
      <c r="IJB107"/>
      <c r="IJC107"/>
      <c r="IJD107"/>
      <c r="IJE107"/>
      <c r="IJF107"/>
      <c r="IJG107"/>
      <c r="IJH107"/>
      <c r="IJI107"/>
      <c r="IJJ107"/>
      <c r="IJK107"/>
      <c r="IJL107"/>
      <c r="IJM107"/>
      <c r="IJN107"/>
      <c r="IJO107"/>
      <c r="IJP107"/>
      <c r="IJQ107"/>
      <c r="IJR107"/>
      <c r="IJS107"/>
      <c r="IJT107"/>
      <c r="IJU107"/>
      <c r="IJV107"/>
      <c r="IJW107"/>
      <c r="IJX107"/>
      <c r="IJY107"/>
      <c r="IJZ107"/>
      <c r="IKA107"/>
      <c r="IKB107"/>
      <c r="IKC107"/>
      <c r="IKD107"/>
      <c r="IKE107"/>
      <c r="IKF107"/>
      <c r="IKG107"/>
      <c r="IKH107"/>
      <c r="IKI107"/>
      <c r="IKJ107"/>
      <c r="IKK107"/>
      <c r="IKL107"/>
      <c r="IKM107"/>
      <c r="IKN107"/>
      <c r="IKO107"/>
      <c r="IKP107"/>
      <c r="IKQ107"/>
      <c r="IKR107"/>
      <c r="IKS107"/>
      <c r="IKT107"/>
      <c r="IKU107"/>
      <c r="IKV107"/>
      <c r="IKW107"/>
      <c r="IKX107"/>
      <c r="IKY107"/>
      <c r="IKZ107"/>
      <c r="ILA107"/>
      <c r="ILB107"/>
      <c r="ILC107"/>
      <c r="ILD107"/>
      <c r="ILE107"/>
      <c r="ILF107"/>
      <c r="ILG107"/>
      <c r="ILH107"/>
      <c r="ILI107"/>
      <c r="ILJ107"/>
      <c r="ILK107"/>
      <c r="ILL107"/>
      <c r="ILM107"/>
      <c r="ILN107"/>
      <c r="ILO107"/>
      <c r="ILP107"/>
      <c r="ILQ107"/>
      <c r="ILR107"/>
      <c r="ILS107"/>
      <c r="ILT107"/>
      <c r="ILU107"/>
      <c r="ILV107"/>
      <c r="ILW107"/>
      <c r="ILX107"/>
      <c r="ILY107"/>
      <c r="ILZ107"/>
      <c r="IMA107"/>
      <c r="IMB107"/>
      <c r="IMC107"/>
      <c r="IMD107"/>
      <c r="IME107"/>
      <c r="IMF107"/>
      <c r="IMG107"/>
      <c r="IMH107"/>
      <c r="IMI107"/>
      <c r="IMJ107"/>
      <c r="IMK107"/>
      <c r="IML107"/>
      <c r="IMM107"/>
      <c r="IMN107"/>
      <c r="IMO107"/>
      <c r="IMP107"/>
      <c r="IMQ107"/>
      <c r="IMR107"/>
      <c r="IMS107"/>
      <c r="IMT107"/>
      <c r="IMU107"/>
      <c r="IMV107"/>
      <c r="IMW107"/>
      <c r="IMX107"/>
      <c r="IMY107"/>
      <c r="IMZ107"/>
      <c r="INA107"/>
      <c r="INB107"/>
      <c r="INC107"/>
      <c r="IND107"/>
      <c r="INE107"/>
      <c r="INF107"/>
      <c r="ING107"/>
      <c r="INH107"/>
      <c r="INI107"/>
      <c r="INJ107"/>
      <c r="INK107"/>
      <c r="INL107"/>
      <c r="INM107"/>
      <c r="INN107"/>
      <c r="INO107"/>
      <c r="INP107"/>
      <c r="INQ107"/>
      <c r="INR107"/>
      <c r="INS107"/>
      <c r="INT107"/>
      <c r="INU107"/>
      <c r="INV107"/>
      <c r="INW107"/>
      <c r="INX107"/>
      <c r="INY107"/>
      <c r="INZ107"/>
      <c r="IOA107"/>
      <c r="IOB107"/>
      <c r="IOC107"/>
      <c r="IOD107"/>
      <c r="IOE107"/>
      <c r="IOF107"/>
      <c r="IOG107"/>
      <c r="IOH107"/>
      <c r="IOI107"/>
      <c r="IOJ107"/>
      <c r="IOK107"/>
      <c r="IOL107"/>
      <c r="IOM107"/>
      <c r="ION107"/>
      <c r="IOO107"/>
      <c r="IOP107"/>
      <c r="IOQ107"/>
      <c r="IOR107"/>
      <c r="IOS107"/>
      <c r="IOT107"/>
      <c r="IOU107"/>
      <c r="IOV107"/>
      <c r="IOW107"/>
      <c r="IOX107"/>
      <c r="IOY107"/>
      <c r="IOZ107"/>
      <c r="IPA107"/>
      <c r="IPB107"/>
      <c r="IPC107"/>
      <c r="IPD107"/>
      <c r="IPE107"/>
      <c r="IPF107"/>
      <c r="IPG107"/>
      <c r="IPH107"/>
      <c r="IPI107"/>
      <c r="IPJ107"/>
      <c r="IPK107"/>
      <c r="IPL107"/>
      <c r="IPM107"/>
      <c r="IPN107"/>
      <c r="IPO107"/>
      <c r="IPP107"/>
      <c r="IPQ107"/>
      <c r="IPR107"/>
      <c r="IPS107"/>
      <c r="IPT107"/>
      <c r="IPU107"/>
      <c r="IPV107"/>
      <c r="IPW107"/>
      <c r="IPX107"/>
      <c r="IPY107"/>
      <c r="IPZ107"/>
      <c r="IQA107"/>
      <c r="IQB107"/>
      <c r="IQC107"/>
      <c r="IQD107"/>
      <c r="IQE107"/>
      <c r="IQF107"/>
      <c r="IQG107"/>
      <c r="IQH107"/>
      <c r="IQI107"/>
      <c r="IQJ107"/>
      <c r="IQK107"/>
      <c r="IQL107"/>
      <c r="IQM107"/>
      <c r="IQN107"/>
      <c r="IQO107"/>
      <c r="IQP107"/>
      <c r="IQQ107"/>
      <c r="IQR107"/>
      <c r="IQS107"/>
      <c r="IQT107"/>
      <c r="IQU107"/>
      <c r="IQV107"/>
      <c r="IQW107"/>
      <c r="IQX107"/>
      <c r="IQY107"/>
      <c r="IQZ107"/>
      <c r="IRA107"/>
      <c r="IRB107"/>
      <c r="IRC107"/>
      <c r="IRD107"/>
      <c r="IRE107"/>
      <c r="IRF107"/>
      <c r="IRG107"/>
      <c r="IRH107"/>
      <c r="IRI107"/>
      <c r="IRJ107"/>
      <c r="IRK107"/>
      <c r="IRL107"/>
      <c r="IRM107"/>
      <c r="IRN107"/>
      <c r="IRO107"/>
      <c r="IRP107"/>
      <c r="IRQ107"/>
      <c r="IRR107"/>
      <c r="IRS107"/>
      <c r="IRT107"/>
      <c r="IRU107"/>
      <c r="IRV107"/>
      <c r="IRW107"/>
      <c r="IRX107"/>
      <c r="IRY107"/>
      <c r="IRZ107"/>
      <c r="ISA107"/>
      <c r="ISB107"/>
      <c r="ISC107"/>
      <c r="ISD107"/>
      <c r="ISE107"/>
      <c r="ISF107"/>
      <c r="ISG107"/>
      <c r="ISH107"/>
      <c r="ISI107"/>
      <c r="ISJ107"/>
      <c r="ISK107"/>
      <c r="ISL107"/>
      <c r="ISM107"/>
      <c r="ISN107"/>
      <c r="ISO107"/>
      <c r="ISP107"/>
      <c r="ISQ107"/>
      <c r="ISR107"/>
      <c r="ISS107"/>
      <c r="IST107"/>
      <c r="ISU107"/>
      <c r="ISV107"/>
      <c r="ISW107"/>
      <c r="ISX107"/>
      <c r="ISY107"/>
      <c r="ISZ107"/>
      <c r="ITA107"/>
      <c r="ITB107"/>
      <c r="ITC107"/>
      <c r="ITD107"/>
      <c r="ITE107"/>
      <c r="ITF107"/>
      <c r="ITG107"/>
      <c r="ITH107"/>
      <c r="ITI107"/>
      <c r="ITJ107"/>
      <c r="ITK107"/>
      <c r="ITL107"/>
      <c r="ITM107"/>
      <c r="ITN107"/>
      <c r="ITO107"/>
      <c r="ITP107"/>
      <c r="ITQ107"/>
      <c r="ITR107"/>
      <c r="ITS107"/>
      <c r="ITT107"/>
      <c r="ITU107"/>
      <c r="ITV107"/>
      <c r="ITW107"/>
      <c r="ITX107"/>
      <c r="ITY107"/>
      <c r="ITZ107"/>
      <c r="IUA107"/>
      <c r="IUB107"/>
      <c r="IUC107"/>
      <c r="IUD107"/>
      <c r="IUE107"/>
      <c r="IUF107"/>
      <c r="IUG107"/>
      <c r="IUH107"/>
      <c r="IUI107"/>
      <c r="IUJ107"/>
      <c r="IUK107"/>
      <c r="IUL107"/>
      <c r="IUM107"/>
      <c r="IUN107"/>
      <c r="IUO107"/>
      <c r="IUP107"/>
      <c r="IUQ107"/>
      <c r="IUR107"/>
      <c r="IUS107"/>
      <c r="IUT107"/>
      <c r="IUU107"/>
      <c r="IUV107"/>
      <c r="IUW107"/>
      <c r="IUX107"/>
      <c r="IUY107"/>
      <c r="IUZ107"/>
      <c r="IVA107"/>
      <c r="IVB107"/>
      <c r="IVC107"/>
      <c r="IVD107"/>
      <c r="IVE107"/>
      <c r="IVF107"/>
      <c r="IVG107"/>
      <c r="IVH107"/>
      <c r="IVI107"/>
      <c r="IVJ107"/>
      <c r="IVK107"/>
      <c r="IVL107"/>
      <c r="IVM107"/>
      <c r="IVN107"/>
      <c r="IVO107"/>
      <c r="IVP107"/>
      <c r="IVQ107"/>
      <c r="IVR107"/>
      <c r="IVS107"/>
      <c r="IVT107"/>
      <c r="IVU107"/>
      <c r="IVV107"/>
      <c r="IVW107"/>
      <c r="IVX107"/>
      <c r="IVY107"/>
      <c r="IVZ107"/>
      <c r="IWA107"/>
      <c r="IWB107"/>
      <c r="IWC107"/>
      <c r="IWD107"/>
      <c r="IWE107"/>
      <c r="IWF107"/>
      <c r="IWG107"/>
      <c r="IWH107"/>
      <c r="IWI107"/>
      <c r="IWJ107"/>
      <c r="IWK107"/>
      <c r="IWL107"/>
      <c r="IWM107"/>
      <c r="IWN107"/>
      <c r="IWO107"/>
      <c r="IWP107"/>
      <c r="IWQ107"/>
      <c r="IWR107"/>
      <c r="IWS107"/>
      <c r="IWT107"/>
      <c r="IWU107"/>
      <c r="IWV107"/>
      <c r="IWW107"/>
      <c r="IWX107"/>
      <c r="IWY107"/>
      <c r="IWZ107"/>
      <c r="IXA107"/>
      <c r="IXB107"/>
      <c r="IXC107"/>
      <c r="IXD107"/>
      <c r="IXE107"/>
      <c r="IXF107"/>
      <c r="IXG107"/>
      <c r="IXH107"/>
      <c r="IXI107"/>
      <c r="IXJ107"/>
      <c r="IXK107"/>
      <c r="IXL107"/>
      <c r="IXM107"/>
      <c r="IXN107"/>
      <c r="IXO107"/>
      <c r="IXP107"/>
      <c r="IXQ107"/>
      <c r="IXR107"/>
      <c r="IXS107"/>
      <c r="IXT107"/>
      <c r="IXU107"/>
      <c r="IXV107"/>
      <c r="IXW107"/>
      <c r="IXX107"/>
      <c r="IXY107"/>
      <c r="IXZ107"/>
      <c r="IYA107"/>
      <c r="IYB107"/>
      <c r="IYC107"/>
      <c r="IYD107"/>
      <c r="IYE107"/>
      <c r="IYF107"/>
      <c r="IYG107"/>
      <c r="IYH107"/>
      <c r="IYI107"/>
      <c r="IYJ107"/>
      <c r="IYK107"/>
      <c r="IYL107"/>
      <c r="IYM107"/>
      <c r="IYN107"/>
      <c r="IYO107"/>
      <c r="IYP107"/>
      <c r="IYQ107"/>
      <c r="IYR107"/>
      <c r="IYS107"/>
      <c r="IYT107"/>
      <c r="IYU107"/>
      <c r="IYV107"/>
      <c r="IYW107"/>
      <c r="IYX107"/>
      <c r="IYY107"/>
      <c r="IYZ107"/>
      <c r="IZA107"/>
      <c r="IZB107"/>
      <c r="IZC107"/>
      <c r="IZD107"/>
      <c r="IZE107"/>
      <c r="IZF107"/>
      <c r="IZG107"/>
      <c r="IZH107"/>
      <c r="IZI107"/>
      <c r="IZJ107"/>
      <c r="IZK107"/>
      <c r="IZL107"/>
      <c r="IZM107"/>
      <c r="IZN107"/>
      <c r="IZO107"/>
      <c r="IZP107"/>
      <c r="IZQ107"/>
      <c r="IZR107"/>
      <c r="IZS107"/>
      <c r="IZT107"/>
      <c r="IZU107"/>
      <c r="IZV107"/>
      <c r="IZW107"/>
      <c r="IZX107"/>
      <c r="IZY107"/>
      <c r="IZZ107"/>
      <c r="JAA107"/>
      <c r="JAB107"/>
      <c r="JAC107"/>
      <c r="JAD107"/>
      <c r="JAE107"/>
      <c r="JAF107"/>
      <c r="JAG107"/>
      <c r="JAH107"/>
      <c r="JAI107"/>
      <c r="JAJ107"/>
      <c r="JAK107"/>
      <c r="JAL107"/>
      <c r="JAM107"/>
      <c r="JAN107"/>
      <c r="JAO107"/>
      <c r="JAP107"/>
      <c r="JAQ107"/>
      <c r="JAR107"/>
      <c r="JAS107"/>
      <c r="JAT107"/>
      <c r="JAU107"/>
      <c r="JAV107"/>
      <c r="JAW107"/>
      <c r="JAX107"/>
      <c r="JAY107"/>
      <c r="JAZ107"/>
      <c r="JBA107"/>
      <c r="JBB107"/>
      <c r="JBC107"/>
      <c r="JBD107"/>
      <c r="JBE107"/>
      <c r="JBF107"/>
      <c r="JBG107"/>
      <c r="JBH107"/>
      <c r="JBI107"/>
      <c r="JBJ107"/>
      <c r="JBK107"/>
      <c r="JBL107"/>
      <c r="JBM107"/>
      <c r="JBN107"/>
      <c r="JBO107"/>
      <c r="JBP107"/>
      <c r="JBQ107"/>
      <c r="JBR107"/>
      <c r="JBS107"/>
      <c r="JBT107"/>
      <c r="JBU107"/>
      <c r="JBV107"/>
      <c r="JBW107"/>
      <c r="JBX107"/>
      <c r="JBY107"/>
      <c r="JBZ107"/>
      <c r="JCA107"/>
      <c r="JCB107"/>
      <c r="JCC107"/>
      <c r="JCD107"/>
      <c r="JCE107"/>
      <c r="JCF107"/>
      <c r="JCG107"/>
      <c r="JCH107"/>
      <c r="JCI107"/>
      <c r="JCJ107"/>
      <c r="JCK107"/>
      <c r="JCL107"/>
      <c r="JCM107"/>
      <c r="JCN107"/>
      <c r="JCO107"/>
      <c r="JCP107"/>
      <c r="JCQ107"/>
      <c r="JCR107"/>
      <c r="JCS107"/>
      <c r="JCT107"/>
      <c r="JCU107"/>
      <c r="JCV107"/>
      <c r="JCW107"/>
      <c r="JCX107"/>
      <c r="JCY107"/>
      <c r="JCZ107"/>
      <c r="JDA107"/>
      <c r="JDB107"/>
      <c r="JDC107"/>
      <c r="JDD107"/>
      <c r="JDE107"/>
      <c r="JDF107"/>
      <c r="JDG107"/>
      <c r="JDH107"/>
      <c r="JDI107"/>
      <c r="JDJ107"/>
      <c r="JDK107"/>
      <c r="JDL107"/>
      <c r="JDM107"/>
      <c r="JDN107"/>
      <c r="JDO107"/>
      <c r="JDP107"/>
      <c r="JDQ107"/>
      <c r="JDR107"/>
      <c r="JDS107"/>
      <c r="JDT107"/>
      <c r="JDU107"/>
      <c r="JDV107"/>
      <c r="JDW107"/>
      <c r="JDX107"/>
      <c r="JDY107"/>
      <c r="JDZ107"/>
      <c r="JEA107"/>
      <c r="JEB107"/>
      <c r="JEC107"/>
      <c r="JED107"/>
      <c r="JEE107"/>
      <c r="JEF107"/>
      <c r="JEG107"/>
      <c r="JEH107"/>
      <c r="JEI107"/>
      <c r="JEJ107"/>
      <c r="JEK107"/>
      <c r="JEL107"/>
      <c r="JEM107"/>
      <c r="JEN107"/>
      <c r="JEO107"/>
      <c r="JEP107"/>
      <c r="JEQ107"/>
      <c r="JER107"/>
      <c r="JES107"/>
      <c r="JET107"/>
      <c r="JEU107"/>
      <c r="JEV107"/>
      <c r="JEW107"/>
      <c r="JEX107"/>
      <c r="JEY107"/>
      <c r="JEZ107"/>
      <c r="JFA107"/>
      <c r="JFB107"/>
      <c r="JFC107"/>
      <c r="JFD107"/>
      <c r="JFE107"/>
      <c r="JFF107"/>
      <c r="JFG107"/>
      <c r="JFH107"/>
      <c r="JFI107"/>
      <c r="JFJ107"/>
      <c r="JFK107"/>
      <c r="JFL107"/>
      <c r="JFM107"/>
      <c r="JFN107"/>
      <c r="JFO107"/>
      <c r="JFP107"/>
      <c r="JFQ107"/>
      <c r="JFR107"/>
      <c r="JFS107"/>
      <c r="JFT107"/>
      <c r="JFU107"/>
      <c r="JFV107"/>
      <c r="JFW107"/>
      <c r="JFX107"/>
      <c r="JFY107"/>
      <c r="JFZ107"/>
      <c r="JGA107"/>
      <c r="JGB107"/>
      <c r="JGC107"/>
      <c r="JGD107"/>
      <c r="JGE107"/>
      <c r="JGF107"/>
      <c r="JGG107"/>
      <c r="JGH107"/>
      <c r="JGI107"/>
      <c r="JGJ107"/>
      <c r="JGK107"/>
      <c r="JGL107"/>
      <c r="JGM107"/>
      <c r="JGN107"/>
      <c r="JGO107"/>
      <c r="JGP107"/>
      <c r="JGQ107"/>
      <c r="JGR107"/>
      <c r="JGS107"/>
      <c r="JGT107"/>
      <c r="JGU107"/>
      <c r="JGV107"/>
      <c r="JGW107"/>
      <c r="JGX107"/>
      <c r="JGY107"/>
      <c r="JGZ107"/>
      <c r="JHA107"/>
      <c r="JHB107"/>
      <c r="JHC107"/>
      <c r="JHD107"/>
      <c r="JHE107"/>
      <c r="JHF107"/>
      <c r="JHG107"/>
      <c r="JHH107"/>
      <c r="JHI107"/>
      <c r="JHJ107"/>
      <c r="JHK107"/>
      <c r="JHL107"/>
      <c r="JHM107"/>
      <c r="JHN107"/>
      <c r="JHO107"/>
      <c r="JHP107"/>
      <c r="JHQ107"/>
      <c r="JHR107"/>
      <c r="JHS107"/>
      <c r="JHT107"/>
      <c r="JHU107"/>
      <c r="JHV107"/>
      <c r="JHW107"/>
      <c r="JHX107"/>
      <c r="JHY107"/>
      <c r="JHZ107"/>
      <c r="JIA107"/>
      <c r="JIB107"/>
      <c r="JIC107"/>
      <c r="JID107"/>
      <c r="JIE107"/>
      <c r="JIF107"/>
      <c r="JIG107"/>
      <c r="JIH107"/>
      <c r="JII107"/>
      <c r="JIJ107"/>
      <c r="JIK107"/>
      <c r="JIL107"/>
      <c r="JIM107"/>
      <c r="JIN107"/>
      <c r="JIO107"/>
      <c r="JIP107"/>
      <c r="JIQ107"/>
      <c r="JIR107"/>
      <c r="JIS107"/>
      <c r="JIT107"/>
      <c r="JIU107"/>
      <c r="JIV107"/>
      <c r="JIW107"/>
      <c r="JIX107"/>
      <c r="JIY107"/>
      <c r="JIZ107"/>
      <c r="JJA107"/>
      <c r="JJB107"/>
      <c r="JJC107"/>
      <c r="JJD107"/>
      <c r="JJE107"/>
      <c r="JJF107"/>
      <c r="JJG107"/>
      <c r="JJH107"/>
      <c r="JJI107"/>
      <c r="JJJ107"/>
      <c r="JJK107"/>
      <c r="JJL107"/>
      <c r="JJM107"/>
      <c r="JJN107"/>
      <c r="JJO107"/>
      <c r="JJP107"/>
      <c r="JJQ107"/>
      <c r="JJR107"/>
      <c r="JJS107"/>
      <c r="JJT107"/>
      <c r="JJU107"/>
      <c r="JJV107"/>
      <c r="JJW107"/>
      <c r="JJX107"/>
      <c r="JJY107"/>
      <c r="JJZ107"/>
      <c r="JKA107"/>
      <c r="JKB107"/>
      <c r="JKC107"/>
      <c r="JKD107"/>
      <c r="JKE107"/>
      <c r="JKF107"/>
      <c r="JKG107"/>
      <c r="JKH107"/>
      <c r="JKI107"/>
      <c r="JKJ107"/>
      <c r="JKK107"/>
      <c r="JKL107"/>
      <c r="JKM107"/>
      <c r="JKN107"/>
      <c r="JKO107"/>
      <c r="JKP107"/>
      <c r="JKQ107"/>
      <c r="JKR107"/>
      <c r="JKS107"/>
      <c r="JKT107"/>
      <c r="JKU107"/>
      <c r="JKV107"/>
      <c r="JKW107"/>
      <c r="JKX107"/>
      <c r="JKY107"/>
      <c r="JKZ107"/>
      <c r="JLA107"/>
      <c r="JLB107"/>
      <c r="JLC107"/>
      <c r="JLD107"/>
      <c r="JLE107"/>
      <c r="JLF107"/>
      <c r="JLG107"/>
      <c r="JLH107"/>
      <c r="JLI107"/>
      <c r="JLJ107"/>
      <c r="JLK107"/>
      <c r="JLL107"/>
      <c r="JLM107"/>
      <c r="JLN107"/>
      <c r="JLO107"/>
      <c r="JLP107"/>
      <c r="JLQ107"/>
      <c r="JLR107"/>
      <c r="JLS107"/>
      <c r="JLT107"/>
      <c r="JLU107"/>
      <c r="JLV107"/>
      <c r="JLW107"/>
      <c r="JLX107"/>
      <c r="JLY107"/>
      <c r="JLZ107"/>
      <c r="JMA107"/>
      <c r="JMB107"/>
      <c r="JMC107"/>
      <c r="JMD107"/>
      <c r="JME107"/>
      <c r="JMF107"/>
      <c r="JMG107"/>
      <c r="JMH107"/>
      <c r="JMI107"/>
      <c r="JMJ107"/>
      <c r="JMK107"/>
      <c r="JML107"/>
      <c r="JMM107"/>
      <c r="JMN107"/>
      <c r="JMO107"/>
      <c r="JMP107"/>
      <c r="JMQ107"/>
      <c r="JMR107"/>
      <c r="JMS107"/>
      <c r="JMT107"/>
      <c r="JMU107"/>
      <c r="JMV107"/>
      <c r="JMW107"/>
      <c r="JMX107"/>
      <c r="JMY107"/>
      <c r="JMZ107"/>
      <c r="JNA107"/>
      <c r="JNB107"/>
      <c r="JNC107"/>
      <c r="JND107"/>
      <c r="JNE107"/>
      <c r="JNF107"/>
      <c r="JNG107"/>
      <c r="JNH107"/>
      <c r="JNI107"/>
      <c r="JNJ107"/>
      <c r="JNK107"/>
      <c r="JNL107"/>
      <c r="JNM107"/>
      <c r="JNN107"/>
      <c r="JNO107"/>
      <c r="JNP107"/>
      <c r="JNQ107"/>
      <c r="JNR107"/>
      <c r="JNS107"/>
      <c r="JNT107"/>
      <c r="JNU107"/>
      <c r="JNV107"/>
      <c r="JNW107"/>
      <c r="JNX107"/>
      <c r="JNY107"/>
      <c r="JNZ107"/>
      <c r="JOA107"/>
      <c r="JOB107"/>
      <c r="JOC107"/>
      <c r="JOD107"/>
      <c r="JOE107"/>
      <c r="JOF107"/>
      <c r="JOG107"/>
      <c r="JOH107"/>
      <c r="JOI107"/>
      <c r="JOJ107"/>
      <c r="JOK107"/>
      <c r="JOL107"/>
      <c r="JOM107"/>
      <c r="JON107"/>
      <c r="JOO107"/>
      <c r="JOP107"/>
      <c r="JOQ107"/>
      <c r="JOR107"/>
      <c r="JOS107"/>
      <c r="JOT107"/>
      <c r="JOU107"/>
      <c r="JOV107"/>
      <c r="JOW107"/>
      <c r="JOX107"/>
      <c r="JOY107"/>
      <c r="JOZ107"/>
      <c r="JPA107"/>
      <c r="JPB107"/>
      <c r="JPC107"/>
      <c r="JPD107"/>
      <c r="JPE107"/>
      <c r="JPF107"/>
      <c r="JPG107"/>
      <c r="JPH107"/>
      <c r="JPI107"/>
      <c r="JPJ107"/>
      <c r="JPK107"/>
      <c r="JPL107"/>
      <c r="JPM107"/>
      <c r="JPN107"/>
      <c r="JPO107"/>
      <c r="JPP107"/>
      <c r="JPQ107"/>
      <c r="JPR107"/>
      <c r="JPS107"/>
      <c r="JPT107"/>
      <c r="JPU107"/>
      <c r="JPV107"/>
      <c r="JPW107"/>
      <c r="JPX107"/>
      <c r="JPY107"/>
      <c r="JPZ107"/>
      <c r="JQA107"/>
      <c r="JQB107"/>
      <c r="JQC107"/>
      <c r="JQD107"/>
      <c r="JQE107"/>
      <c r="JQF107"/>
      <c r="JQG107"/>
      <c r="JQH107"/>
      <c r="JQI107"/>
      <c r="JQJ107"/>
      <c r="JQK107"/>
      <c r="JQL107"/>
      <c r="JQM107"/>
      <c r="JQN107"/>
      <c r="JQO107"/>
      <c r="JQP107"/>
      <c r="JQQ107"/>
      <c r="JQR107"/>
      <c r="JQS107"/>
      <c r="JQT107"/>
      <c r="JQU107"/>
      <c r="JQV107"/>
      <c r="JQW107"/>
      <c r="JQX107"/>
      <c r="JQY107"/>
      <c r="JQZ107"/>
      <c r="JRA107"/>
      <c r="JRB107"/>
      <c r="JRC107"/>
      <c r="JRD107"/>
      <c r="JRE107"/>
      <c r="JRF107"/>
      <c r="JRG107"/>
      <c r="JRH107"/>
      <c r="JRI107"/>
      <c r="JRJ107"/>
      <c r="JRK107"/>
      <c r="JRL107"/>
      <c r="JRM107"/>
      <c r="JRN107"/>
      <c r="JRO107"/>
      <c r="JRP107"/>
      <c r="JRQ107"/>
      <c r="JRR107"/>
      <c r="JRS107"/>
      <c r="JRT107"/>
      <c r="JRU107"/>
      <c r="JRV107"/>
      <c r="JRW107"/>
      <c r="JRX107"/>
      <c r="JRY107"/>
      <c r="JRZ107"/>
      <c r="JSA107"/>
      <c r="JSB107"/>
      <c r="JSC107"/>
      <c r="JSD107"/>
      <c r="JSE107"/>
      <c r="JSF107"/>
      <c r="JSG107"/>
      <c r="JSH107"/>
      <c r="JSI107"/>
      <c r="JSJ107"/>
      <c r="JSK107"/>
      <c r="JSL107"/>
      <c r="JSM107"/>
      <c r="JSN107"/>
      <c r="JSO107"/>
      <c r="JSP107"/>
      <c r="JSQ107"/>
      <c r="JSR107"/>
      <c r="JSS107"/>
      <c r="JST107"/>
      <c r="JSU107"/>
      <c r="JSV107"/>
      <c r="JSW107"/>
      <c r="JSX107"/>
      <c r="JSY107"/>
      <c r="JSZ107"/>
      <c r="JTA107"/>
      <c r="JTB107"/>
      <c r="JTC107"/>
      <c r="JTD107"/>
      <c r="JTE107"/>
      <c r="JTF107"/>
      <c r="JTG107"/>
      <c r="JTH107"/>
      <c r="JTI107"/>
      <c r="JTJ107"/>
      <c r="JTK107"/>
      <c r="JTL107"/>
      <c r="JTM107"/>
      <c r="JTN107"/>
      <c r="JTO107"/>
      <c r="JTP107"/>
      <c r="JTQ107"/>
      <c r="JTR107"/>
      <c r="JTS107"/>
      <c r="JTT107"/>
      <c r="JTU107"/>
      <c r="JTV107"/>
      <c r="JTW107"/>
      <c r="JTX107"/>
      <c r="JTY107"/>
      <c r="JTZ107"/>
      <c r="JUA107"/>
      <c r="JUB107"/>
      <c r="JUC107"/>
      <c r="JUD107"/>
      <c r="JUE107"/>
      <c r="JUF107"/>
      <c r="JUG107"/>
      <c r="JUH107"/>
      <c r="JUI107"/>
      <c r="JUJ107"/>
      <c r="JUK107"/>
      <c r="JUL107"/>
      <c r="JUM107"/>
      <c r="JUN107"/>
      <c r="JUO107"/>
      <c r="JUP107"/>
      <c r="JUQ107"/>
      <c r="JUR107"/>
      <c r="JUS107"/>
      <c r="JUT107"/>
      <c r="JUU107"/>
      <c r="JUV107"/>
      <c r="JUW107"/>
      <c r="JUX107"/>
      <c r="JUY107"/>
      <c r="JUZ107"/>
      <c r="JVA107"/>
      <c r="JVB107"/>
      <c r="JVC107"/>
      <c r="JVD107"/>
      <c r="JVE107"/>
      <c r="JVF107"/>
      <c r="JVG107"/>
      <c r="JVH107"/>
      <c r="JVI107"/>
      <c r="JVJ107"/>
      <c r="JVK107"/>
      <c r="JVL107"/>
      <c r="JVM107"/>
      <c r="JVN107"/>
      <c r="JVO107"/>
      <c r="JVP107"/>
      <c r="JVQ107"/>
      <c r="JVR107"/>
      <c r="JVS107"/>
      <c r="JVT107"/>
      <c r="JVU107"/>
      <c r="JVV107"/>
      <c r="JVW107"/>
      <c r="JVX107"/>
      <c r="JVY107"/>
      <c r="JVZ107"/>
      <c r="JWA107"/>
      <c r="JWB107"/>
      <c r="JWC107"/>
      <c r="JWD107"/>
      <c r="JWE107"/>
      <c r="JWF107"/>
      <c r="JWG107"/>
      <c r="JWH107"/>
      <c r="JWI107"/>
      <c r="JWJ107"/>
      <c r="JWK107"/>
      <c r="JWL107"/>
      <c r="JWM107"/>
      <c r="JWN107"/>
      <c r="JWO107"/>
      <c r="JWP107"/>
      <c r="JWQ107"/>
      <c r="JWR107"/>
      <c r="JWS107"/>
      <c r="JWT107"/>
      <c r="JWU107"/>
      <c r="JWV107"/>
      <c r="JWW107"/>
      <c r="JWX107"/>
      <c r="JWY107"/>
      <c r="JWZ107"/>
      <c r="JXA107"/>
      <c r="JXB107"/>
      <c r="JXC107"/>
      <c r="JXD107"/>
      <c r="JXE107"/>
      <c r="JXF107"/>
      <c r="JXG107"/>
      <c r="JXH107"/>
      <c r="JXI107"/>
      <c r="JXJ107"/>
      <c r="JXK107"/>
      <c r="JXL107"/>
      <c r="JXM107"/>
      <c r="JXN107"/>
      <c r="JXO107"/>
      <c r="JXP107"/>
      <c r="JXQ107"/>
      <c r="JXR107"/>
      <c r="JXS107"/>
      <c r="JXT107"/>
      <c r="JXU107"/>
      <c r="JXV107"/>
      <c r="JXW107"/>
      <c r="JXX107"/>
      <c r="JXY107"/>
      <c r="JXZ107"/>
      <c r="JYA107"/>
      <c r="JYB107"/>
      <c r="JYC107"/>
      <c r="JYD107"/>
      <c r="JYE107"/>
      <c r="JYF107"/>
      <c r="JYG107"/>
      <c r="JYH107"/>
      <c r="JYI107"/>
      <c r="JYJ107"/>
      <c r="JYK107"/>
      <c r="JYL107"/>
      <c r="JYM107"/>
      <c r="JYN107"/>
      <c r="JYO107"/>
      <c r="JYP107"/>
      <c r="JYQ107"/>
      <c r="JYR107"/>
      <c r="JYS107"/>
      <c r="JYT107"/>
      <c r="JYU107"/>
      <c r="JYV107"/>
      <c r="JYW107"/>
      <c r="JYX107"/>
      <c r="JYY107"/>
      <c r="JYZ107"/>
      <c r="JZA107"/>
      <c r="JZB107"/>
      <c r="JZC107"/>
      <c r="JZD107"/>
      <c r="JZE107"/>
      <c r="JZF107"/>
      <c r="JZG107"/>
      <c r="JZH107"/>
      <c r="JZI107"/>
      <c r="JZJ107"/>
      <c r="JZK107"/>
      <c r="JZL107"/>
      <c r="JZM107"/>
      <c r="JZN107"/>
      <c r="JZO107"/>
      <c r="JZP107"/>
      <c r="JZQ107"/>
      <c r="JZR107"/>
      <c r="JZS107"/>
      <c r="JZT107"/>
      <c r="JZU107"/>
      <c r="JZV107"/>
      <c r="JZW107"/>
      <c r="JZX107"/>
      <c r="JZY107"/>
      <c r="JZZ107"/>
      <c r="KAA107"/>
      <c r="KAB107"/>
      <c r="KAC107"/>
      <c r="KAD107"/>
      <c r="KAE107"/>
      <c r="KAF107"/>
      <c r="KAG107"/>
      <c r="KAH107"/>
      <c r="KAI107"/>
      <c r="KAJ107"/>
      <c r="KAK107"/>
      <c r="KAL107"/>
      <c r="KAM107"/>
      <c r="KAN107"/>
      <c r="KAO107"/>
      <c r="KAP107"/>
      <c r="KAQ107"/>
      <c r="KAR107"/>
      <c r="KAS107"/>
      <c r="KAT107"/>
      <c r="KAU107"/>
      <c r="KAV107"/>
      <c r="KAW107"/>
      <c r="KAX107"/>
      <c r="KAY107"/>
      <c r="KAZ107"/>
      <c r="KBA107"/>
      <c r="KBB107"/>
      <c r="KBC107"/>
      <c r="KBD107"/>
      <c r="KBE107"/>
      <c r="KBF107"/>
      <c r="KBG107"/>
      <c r="KBH107"/>
      <c r="KBI107"/>
      <c r="KBJ107"/>
      <c r="KBK107"/>
      <c r="KBL107"/>
      <c r="KBM107"/>
      <c r="KBN107"/>
      <c r="KBO107"/>
      <c r="KBP107"/>
      <c r="KBQ107"/>
      <c r="KBR107"/>
      <c r="KBS107"/>
      <c r="KBT107"/>
      <c r="KBU107"/>
      <c r="KBV107"/>
      <c r="KBW107"/>
      <c r="KBX107"/>
      <c r="KBY107"/>
      <c r="KBZ107"/>
      <c r="KCA107"/>
      <c r="KCB107"/>
      <c r="KCC107"/>
      <c r="KCD107"/>
      <c r="KCE107"/>
      <c r="KCF107"/>
      <c r="KCG107"/>
      <c r="KCH107"/>
      <c r="KCI107"/>
      <c r="KCJ107"/>
      <c r="KCK107"/>
      <c r="KCL107"/>
      <c r="KCM107"/>
      <c r="KCN107"/>
      <c r="KCO107"/>
      <c r="KCP107"/>
      <c r="KCQ107"/>
      <c r="KCR107"/>
      <c r="KCS107"/>
      <c r="KCT107"/>
      <c r="KCU107"/>
      <c r="KCV107"/>
      <c r="KCW107"/>
      <c r="KCX107"/>
      <c r="KCY107"/>
      <c r="KCZ107"/>
      <c r="KDA107"/>
      <c r="KDB107"/>
      <c r="KDC107"/>
      <c r="KDD107"/>
      <c r="KDE107"/>
      <c r="KDF107"/>
      <c r="KDG107"/>
      <c r="KDH107"/>
      <c r="KDI107"/>
      <c r="KDJ107"/>
      <c r="KDK107"/>
      <c r="KDL107"/>
      <c r="KDM107"/>
      <c r="KDN107"/>
      <c r="KDO107"/>
      <c r="KDP107"/>
      <c r="KDQ107"/>
      <c r="KDR107"/>
      <c r="KDS107"/>
      <c r="KDT107"/>
      <c r="KDU107"/>
      <c r="KDV107"/>
      <c r="KDW107"/>
      <c r="KDX107"/>
      <c r="KDY107"/>
      <c r="KDZ107"/>
      <c r="KEA107"/>
      <c r="KEB107"/>
      <c r="KEC107"/>
      <c r="KED107"/>
      <c r="KEE107"/>
      <c r="KEF107"/>
      <c r="KEG107"/>
      <c r="KEH107"/>
      <c r="KEI107"/>
      <c r="KEJ107"/>
      <c r="KEK107"/>
      <c r="KEL107"/>
      <c r="KEM107"/>
      <c r="KEN107"/>
      <c r="KEO107"/>
      <c r="KEP107"/>
      <c r="KEQ107"/>
      <c r="KER107"/>
      <c r="KES107"/>
      <c r="KET107"/>
      <c r="KEU107"/>
      <c r="KEV107"/>
      <c r="KEW107"/>
      <c r="KEX107"/>
      <c r="KEY107"/>
      <c r="KEZ107"/>
      <c r="KFA107"/>
      <c r="KFB107"/>
      <c r="KFC107"/>
      <c r="KFD107"/>
      <c r="KFE107"/>
      <c r="KFF107"/>
      <c r="KFG107"/>
      <c r="KFH107"/>
      <c r="KFI107"/>
      <c r="KFJ107"/>
      <c r="KFK107"/>
      <c r="KFL107"/>
      <c r="KFM107"/>
      <c r="KFN107"/>
      <c r="KFO107"/>
      <c r="KFP107"/>
      <c r="KFQ107"/>
      <c r="KFR107"/>
      <c r="KFS107"/>
      <c r="KFT107"/>
      <c r="KFU107"/>
      <c r="KFV107"/>
      <c r="KFW107"/>
      <c r="KFX107"/>
      <c r="KFY107"/>
      <c r="KFZ107"/>
      <c r="KGA107"/>
      <c r="KGB107"/>
      <c r="KGC107"/>
      <c r="KGD107"/>
      <c r="KGE107"/>
      <c r="KGF107"/>
      <c r="KGG107"/>
      <c r="KGH107"/>
      <c r="KGI107"/>
      <c r="KGJ107"/>
      <c r="KGK107"/>
      <c r="KGL107"/>
      <c r="KGM107"/>
      <c r="KGN107"/>
      <c r="KGO107"/>
      <c r="KGP107"/>
      <c r="KGQ107"/>
      <c r="KGR107"/>
      <c r="KGS107"/>
      <c r="KGT107"/>
      <c r="KGU107"/>
      <c r="KGV107"/>
      <c r="KGW107"/>
      <c r="KGX107"/>
      <c r="KGY107"/>
      <c r="KGZ107"/>
      <c r="KHA107"/>
      <c r="KHB107"/>
      <c r="KHC107"/>
      <c r="KHD107"/>
      <c r="KHE107"/>
      <c r="KHF107"/>
      <c r="KHG107"/>
      <c r="KHH107"/>
      <c r="KHI107"/>
      <c r="KHJ107"/>
      <c r="KHK107"/>
      <c r="KHL107"/>
      <c r="KHM107"/>
      <c r="KHN107"/>
      <c r="KHO107"/>
      <c r="KHP107"/>
      <c r="KHQ107"/>
      <c r="KHR107"/>
      <c r="KHS107"/>
      <c r="KHT107"/>
      <c r="KHU107"/>
      <c r="KHV107"/>
      <c r="KHW107"/>
      <c r="KHX107"/>
      <c r="KHY107"/>
      <c r="KHZ107"/>
      <c r="KIA107"/>
      <c r="KIB107"/>
      <c r="KIC107"/>
      <c r="KID107"/>
      <c r="KIE107"/>
      <c r="KIF107"/>
      <c r="KIG107"/>
      <c r="KIH107"/>
      <c r="KII107"/>
      <c r="KIJ107"/>
      <c r="KIK107"/>
      <c r="KIL107"/>
      <c r="KIM107"/>
      <c r="KIN107"/>
      <c r="KIO107"/>
      <c r="KIP107"/>
      <c r="KIQ107"/>
      <c r="KIR107"/>
      <c r="KIS107"/>
      <c r="KIT107"/>
      <c r="KIU107"/>
      <c r="KIV107"/>
      <c r="KIW107"/>
      <c r="KIX107"/>
      <c r="KIY107"/>
      <c r="KIZ107"/>
      <c r="KJA107"/>
      <c r="KJB107"/>
      <c r="KJC107"/>
      <c r="KJD107"/>
      <c r="KJE107"/>
      <c r="KJF107"/>
      <c r="KJG107"/>
      <c r="KJH107"/>
      <c r="KJI107"/>
      <c r="KJJ107"/>
      <c r="KJK107"/>
      <c r="KJL107"/>
      <c r="KJM107"/>
      <c r="KJN107"/>
      <c r="KJO107"/>
      <c r="KJP107"/>
      <c r="KJQ107"/>
      <c r="KJR107"/>
      <c r="KJS107"/>
      <c r="KJT107"/>
      <c r="KJU107"/>
      <c r="KJV107"/>
      <c r="KJW107"/>
      <c r="KJX107"/>
      <c r="KJY107"/>
      <c r="KJZ107"/>
      <c r="KKA107"/>
      <c r="KKB107"/>
      <c r="KKC107"/>
      <c r="KKD107"/>
      <c r="KKE107"/>
      <c r="KKF107"/>
      <c r="KKG107"/>
      <c r="KKH107"/>
      <c r="KKI107"/>
      <c r="KKJ107"/>
      <c r="KKK107"/>
      <c r="KKL107"/>
      <c r="KKM107"/>
      <c r="KKN107"/>
      <c r="KKO107"/>
      <c r="KKP107"/>
      <c r="KKQ107"/>
      <c r="KKR107"/>
      <c r="KKS107"/>
      <c r="KKT107"/>
      <c r="KKU107"/>
      <c r="KKV107"/>
      <c r="KKW107"/>
      <c r="KKX107"/>
      <c r="KKY107"/>
      <c r="KKZ107"/>
      <c r="KLA107"/>
      <c r="KLB107"/>
      <c r="KLC107"/>
      <c r="KLD107"/>
      <c r="KLE107"/>
      <c r="KLF107"/>
      <c r="KLG107"/>
      <c r="KLH107"/>
      <c r="KLI107"/>
      <c r="KLJ107"/>
      <c r="KLK107"/>
      <c r="KLL107"/>
      <c r="KLM107"/>
      <c r="KLN107"/>
      <c r="KLO107"/>
      <c r="KLP107"/>
      <c r="KLQ107"/>
      <c r="KLR107"/>
      <c r="KLS107"/>
      <c r="KLT107"/>
      <c r="KLU107"/>
      <c r="KLV107"/>
      <c r="KLW107"/>
      <c r="KLX107"/>
      <c r="KLY107"/>
      <c r="KLZ107"/>
      <c r="KMA107"/>
      <c r="KMB107"/>
      <c r="KMC107"/>
      <c r="KMD107"/>
      <c r="KME107"/>
      <c r="KMF107"/>
      <c r="KMG107"/>
      <c r="KMH107"/>
      <c r="KMI107"/>
      <c r="KMJ107"/>
      <c r="KMK107"/>
      <c r="KML107"/>
      <c r="KMM107"/>
      <c r="KMN107"/>
      <c r="KMO107"/>
      <c r="KMP107"/>
      <c r="KMQ107"/>
      <c r="KMR107"/>
      <c r="KMS107"/>
      <c r="KMT107"/>
      <c r="KMU107"/>
      <c r="KMV107"/>
      <c r="KMW107"/>
      <c r="KMX107"/>
      <c r="KMY107"/>
      <c r="KMZ107"/>
      <c r="KNA107"/>
      <c r="KNB107"/>
      <c r="KNC107"/>
      <c r="KND107"/>
      <c r="KNE107"/>
      <c r="KNF107"/>
      <c r="KNG107"/>
      <c r="KNH107"/>
      <c r="KNI107"/>
      <c r="KNJ107"/>
      <c r="KNK107"/>
      <c r="KNL107"/>
      <c r="KNM107"/>
      <c r="KNN107"/>
      <c r="KNO107"/>
      <c r="KNP107"/>
      <c r="KNQ107"/>
      <c r="KNR107"/>
      <c r="KNS107"/>
      <c r="KNT107"/>
      <c r="KNU107"/>
      <c r="KNV107"/>
      <c r="KNW107"/>
      <c r="KNX107"/>
      <c r="KNY107"/>
      <c r="KNZ107"/>
      <c r="KOA107"/>
      <c r="KOB107"/>
      <c r="KOC107"/>
      <c r="KOD107"/>
      <c r="KOE107"/>
      <c r="KOF107"/>
      <c r="KOG107"/>
      <c r="KOH107"/>
      <c r="KOI107"/>
      <c r="KOJ107"/>
      <c r="KOK107"/>
      <c r="KOL107"/>
      <c r="KOM107"/>
      <c r="KON107"/>
      <c r="KOO107"/>
      <c r="KOP107"/>
      <c r="KOQ107"/>
      <c r="KOR107"/>
      <c r="KOS107"/>
      <c r="KOT107"/>
      <c r="KOU107"/>
      <c r="KOV107"/>
      <c r="KOW107"/>
      <c r="KOX107"/>
      <c r="KOY107"/>
      <c r="KOZ107"/>
      <c r="KPA107"/>
      <c r="KPB107"/>
      <c r="KPC107"/>
      <c r="KPD107"/>
      <c r="KPE107"/>
      <c r="KPF107"/>
      <c r="KPG107"/>
      <c r="KPH107"/>
      <c r="KPI107"/>
      <c r="KPJ107"/>
      <c r="KPK107"/>
      <c r="KPL107"/>
      <c r="KPM107"/>
      <c r="KPN107"/>
      <c r="KPO107"/>
      <c r="KPP107"/>
      <c r="KPQ107"/>
      <c r="KPR107"/>
      <c r="KPS107"/>
      <c r="KPT107"/>
      <c r="KPU107"/>
      <c r="KPV107"/>
      <c r="KPW107"/>
      <c r="KPX107"/>
      <c r="KPY107"/>
      <c r="KPZ107"/>
      <c r="KQA107"/>
      <c r="KQB107"/>
      <c r="KQC107"/>
      <c r="KQD107"/>
      <c r="KQE107"/>
      <c r="KQF107"/>
      <c r="KQG107"/>
      <c r="KQH107"/>
      <c r="KQI107"/>
      <c r="KQJ107"/>
      <c r="KQK107"/>
      <c r="KQL107"/>
      <c r="KQM107"/>
      <c r="KQN107"/>
      <c r="KQO107"/>
      <c r="KQP107"/>
      <c r="KQQ107"/>
      <c r="KQR107"/>
      <c r="KQS107"/>
      <c r="KQT107"/>
      <c r="KQU107"/>
      <c r="KQV107"/>
      <c r="KQW107"/>
      <c r="KQX107"/>
      <c r="KQY107"/>
      <c r="KQZ107"/>
      <c r="KRA107"/>
      <c r="KRB107"/>
      <c r="KRC107"/>
      <c r="KRD107"/>
      <c r="KRE107"/>
      <c r="KRF107"/>
      <c r="KRG107"/>
      <c r="KRH107"/>
      <c r="KRI107"/>
      <c r="KRJ107"/>
      <c r="KRK107"/>
      <c r="KRL107"/>
      <c r="KRM107"/>
      <c r="KRN107"/>
      <c r="KRO107"/>
      <c r="KRP107"/>
      <c r="KRQ107"/>
      <c r="KRR107"/>
      <c r="KRS107"/>
      <c r="KRT107"/>
      <c r="KRU107"/>
      <c r="KRV107"/>
      <c r="KRW107"/>
      <c r="KRX107"/>
      <c r="KRY107"/>
      <c r="KRZ107"/>
      <c r="KSA107"/>
      <c r="KSB107"/>
      <c r="KSC107"/>
      <c r="KSD107"/>
      <c r="KSE107"/>
      <c r="KSF107"/>
      <c r="KSG107"/>
      <c r="KSH107"/>
      <c r="KSI107"/>
      <c r="KSJ107"/>
      <c r="KSK107"/>
      <c r="KSL107"/>
      <c r="KSM107"/>
      <c r="KSN107"/>
      <c r="KSO107"/>
      <c r="KSP107"/>
      <c r="KSQ107"/>
      <c r="KSR107"/>
      <c r="KSS107"/>
      <c r="KST107"/>
      <c r="KSU107"/>
      <c r="KSV107"/>
      <c r="KSW107"/>
      <c r="KSX107"/>
      <c r="KSY107"/>
      <c r="KSZ107"/>
      <c r="KTA107"/>
      <c r="KTB107"/>
      <c r="KTC107"/>
      <c r="KTD107"/>
      <c r="KTE107"/>
      <c r="KTF107"/>
      <c r="KTG107"/>
      <c r="KTH107"/>
      <c r="KTI107"/>
      <c r="KTJ107"/>
      <c r="KTK107"/>
      <c r="KTL107"/>
      <c r="KTM107"/>
      <c r="KTN107"/>
      <c r="KTO107"/>
      <c r="KTP107"/>
      <c r="KTQ107"/>
      <c r="KTR107"/>
      <c r="KTS107"/>
      <c r="KTT107"/>
      <c r="KTU107"/>
      <c r="KTV107"/>
      <c r="KTW107"/>
      <c r="KTX107"/>
      <c r="KTY107"/>
      <c r="KTZ107"/>
      <c r="KUA107"/>
      <c r="KUB107"/>
      <c r="KUC107"/>
      <c r="KUD107"/>
      <c r="KUE107"/>
      <c r="KUF107"/>
      <c r="KUG107"/>
      <c r="KUH107"/>
      <c r="KUI107"/>
      <c r="KUJ107"/>
      <c r="KUK107"/>
      <c r="KUL107"/>
      <c r="KUM107"/>
      <c r="KUN107"/>
      <c r="KUO107"/>
      <c r="KUP107"/>
      <c r="KUQ107"/>
      <c r="KUR107"/>
      <c r="KUS107"/>
      <c r="KUT107"/>
      <c r="KUU107"/>
      <c r="KUV107"/>
      <c r="KUW107"/>
      <c r="KUX107"/>
      <c r="KUY107"/>
      <c r="KUZ107"/>
      <c r="KVA107"/>
      <c r="KVB107"/>
      <c r="KVC107"/>
      <c r="KVD107"/>
      <c r="KVE107"/>
      <c r="KVF107"/>
      <c r="KVG107"/>
      <c r="KVH107"/>
      <c r="KVI107"/>
      <c r="KVJ107"/>
      <c r="KVK107"/>
      <c r="KVL107"/>
      <c r="KVM107"/>
      <c r="KVN107"/>
      <c r="KVO107"/>
      <c r="KVP107"/>
      <c r="KVQ107"/>
      <c r="KVR107"/>
      <c r="KVS107"/>
      <c r="KVT107"/>
      <c r="KVU107"/>
      <c r="KVV107"/>
      <c r="KVW107"/>
      <c r="KVX107"/>
      <c r="KVY107"/>
      <c r="KVZ107"/>
      <c r="KWA107"/>
      <c r="KWB107"/>
      <c r="KWC107"/>
      <c r="KWD107"/>
      <c r="KWE107"/>
      <c r="KWF107"/>
      <c r="KWG107"/>
      <c r="KWH107"/>
      <c r="KWI107"/>
      <c r="KWJ107"/>
      <c r="KWK107"/>
      <c r="KWL107"/>
      <c r="KWM107"/>
      <c r="KWN107"/>
      <c r="KWO107"/>
      <c r="KWP107"/>
      <c r="KWQ107"/>
      <c r="KWR107"/>
      <c r="KWS107"/>
      <c r="KWT107"/>
      <c r="KWU107"/>
      <c r="KWV107"/>
      <c r="KWW107"/>
      <c r="KWX107"/>
      <c r="KWY107"/>
      <c r="KWZ107"/>
      <c r="KXA107"/>
      <c r="KXB107"/>
      <c r="KXC107"/>
      <c r="KXD107"/>
      <c r="KXE107"/>
      <c r="KXF107"/>
      <c r="KXG107"/>
      <c r="KXH107"/>
      <c r="KXI107"/>
      <c r="KXJ107"/>
      <c r="KXK107"/>
      <c r="KXL107"/>
      <c r="KXM107"/>
      <c r="KXN107"/>
      <c r="KXO107"/>
      <c r="KXP107"/>
      <c r="KXQ107"/>
      <c r="KXR107"/>
      <c r="KXS107"/>
      <c r="KXT107"/>
      <c r="KXU107"/>
      <c r="KXV107"/>
      <c r="KXW107"/>
      <c r="KXX107"/>
      <c r="KXY107"/>
      <c r="KXZ107"/>
      <c r="KYA107"/>
      <c r="KYB107"/>
      <c r="KYC107"/>
      <c r="KYD107"/>
      <c r="KYE107"/>
      <c r="KYF107"/>
      <c r="KYG107"/>
      <c r="KYH107"/>
      <c r="KYI107"/>
      <c r="KYJ107"/>
      <c r="KYK107"/>
      <c r="KYL107"/>
      <c r="KYM107"/>
      <c r="KYN107"/>
      <c r="KYO107"/>
      <c r="KYP107"/>
      <c r="KYQ107"/>
      <c r="KYR107"/>
      <c r="KYS107"/>
      <c r="KYT107"/>
      <c r="KYU107"/>
      <c r="KYV107"/>
      <c r="KYW107"/>
      <c r="KYX107"/>
      <c r="KYY107"/>
      <c r="KYZ107"/>
      <c r="KZA107"/>
      <c r="KZB107"/>
      <c r="KZC107"/>
      <c r="KZD107"/>
      <c r="KZE107"/>
      <c r="KZF107"/>
      <c r="KZG107"/>
      <c r="KZH107"/>
      <c r="KZI107"/>
      <c r="KZJ107"/>
      <c r="KZK107"/>
      <c r="KZL107"/>
      <c r="KZM107"/>
      <c r="KZN107"/>
      <c r="KZO107"/>
      <c r="KZP107"/>
      <c r="KZQ107"/>
      <c r="KZR107"/>
      <c r="KZS107"/>
      <c r="KZT107"/>
      <c r="KZU107"/>
      <c r="KZV107"/>
      <c r="KZW107"/>
      <c r="KZX107"/>
      <c r="KZY107"/>
      <c r="KZZ107"/>
      <c r="LAA107"/>
      <c r="LAB107"/>
      <c r="LAC107"/>
      <c r="LAD107"/>
      <c r="LAE107"/>
      <c r="LAF107"/>
      <c r="LAG107"/>
      <c r="LAH107"/>
      <c r="LAI107"/>
      <c r="LAJ107"/>
      <c r="LAK107"/>
      <c r="LAL107"/>
      <c r="LAM107"/>
      <c r="LAN107"/>
      <c r="LAO107"/>
      <c r="LAP107"/>
      <c r="LAQ107"/>
      <c r="LAR107"/>
      <c r="LAS107"/>
      <c r="LAT107"/>
      <c r="LAU107"/>
      <c r="LAV107"/>
      <c r="LAW107"/>
      <c r="LAX107"/>
      <c r="LAY107"/>
      <c r="LAZ107"/>
      <c r="LBA107"/>
      <c r="LBB107"/>
      <c r="LBC107"/>
      <c r="LBD107"/>
      <c r="LBE107"/>
      <c r="LBF107"/>
      <c r="LBG107"/>
      <c r="LBH107"/>
      <c r="LBI107"/>
      <c r="LBJ107"/>
      <c r="LBK107"/>
      <c r="LBL107"/>
      <c r="LBM107"/>
      <c r="LBN107"/>
      <c r="LBO107"/>
      <c r="LBP107"/>
      <c r="LBQ107"/>
      <c r="LBR107"/>
      <c r="LBS107"/>
      <c r="LBT107"/>
      <c r="LBU107"/>
      <c r="LBV107"/>
      <c r="LBW107"/>
      <c r="LBX107"/>
      <c r="LBY107"/>
      <c r="LBZ107"/>
      <c r="LCA107"/>
      <c r="LCB107"/>
      <c r="LCC107"/>
      <c r="LCD107"/>
      <c r="LCE107"/>
      <c r="LCF107"/>
      <c r="LCG107"/>
      <c r="LCH107"/>
      <c r="LCI107"/>
      <c r="LCJ107"/>
      <c r="LCK107"/>
      <c r="LCL107"/>
      <c r="LCM107"/>
      <c r="LCN107"/>
      <c r="LCO107"/>
      <c r="LCP107"/>
      <c r="LCQ107"/>
      <c r="LCR107"/>
      <c r="LCS107"/>
      <c r="LCT107"/>
      <c r="LCU107"/>
      <c r="LCV107"/>
      <c r="LCW107"/>
      <c r="LCX107"/>
      <c r="LCY107"/>
      <c r="LCZ107"/>
      <c r="LDA107"/>
      <c r="LDB107"/>
      <c r="LDC107"/>
      <c r="LDD107"/>
      <c r="LDE107"/>
      <c r="LDF107"/>
      <c r="LDG107"/>
      <c r="LDH107"/>
      <c r="LDI107"/>
      <c r="LDJ107"/>
      <c r="LDK107"/>
      <c r="LDL107"/>
      <c r="LDM107"/>
      <c r="LDN107"/>
      <c r="LDO107"/>
      <c r="LDP107"/>
      <c r="LDQ107"/>
      <c r="LDR107"/>
      <c r="LDS107"/>
      <c r="LDT107"/>
      <c r="LDU107"/>
      <c r="LDV107"/>
      <c r="LDW107"/>
      <c r="LDX107"/>
      <c r="LDY107"/>
      <c r="LDZ107"/>
      <c r="LEA107"/>
      <c r="LEB107"/>
      <c r="LEC107"/>
      <c r="LED107"/>
      <c r="LEE107"/>
      <c r="LEF107"/>
      <c r="LEG107"/>
      <c r="LEH107"/>
      <c r="LEI107"/>
      <c r="LEJ107"/>
      <c r="LEK107"/>
      <c r="LEL107"/>
      <c r="LEM107"/>
      <c r="LEN107"/>
      <c r="LEO107"/>
      <c r="LEP107"/>
      <c r="LEQ107"/>
      <c r="LER107"/>
      <c r="LES107"/>
      <c r="LET107"/>
      <c r="LEU107"/>
      <c r="LEV107"/>
      <c r="LEW107"/>
      <c r="LEX107"/>
      <c r="LEY107"/>
      <c r="LEZ107"/>
      <c r="LFA107"/>
      <c r="LFB107"/>
      <c r="LFC107"/>
      <c r="LFD107"/>
      <c r="LFE107"/>
      <c r="LFF107"/>
      <c r="LFG107"/>
      <c r="LFH107"/>
      <c r="LFI107"/>
      <c r="LFJ107"/>
      <c r="LFK107"/>
      <c r="LFL107"/>
      <c r="LFM107"/>
      <c r="LFN107"/>
      <c r="LFO107"/>
      <c r="LFP107"/>
      <c r="LFQ107"/>
      <c r="LFR107"/>
      <c r="LFS107"/>
      <c r="LFT107"/>
      <c r="LFU107"/>
      <c r="LFV107"/>
      <c r="LFW107"/>
      <c r="LFX107"/>
      <c r="LFY107"/>
      <c r="LFZ107"/>
      <c r="LGA107"/>
      <c r="LGB107"/>
      <c r="LGC107"/>
      <c r="LGD107"/>
      <c r="LGE107"/>
      <c r="LGF107"/>
      <c r="LGG107"/>
      <c r="LGH107"/>
      <c r="LGI107"/>
      <c r="LGJ107"/>
      <c r="LGK107"/>
      <c r="LGL107"/>
      <c r="LGM107"/>
      <c r="LGN107"/>
      <c r="LGO107"/>
      <c r="LGP107"/>
      <c r="LGQ107"/>
      <c r="LGR107"/>
      <c r="LGS107"/>
      <c r="LGT107"/>
      <c r="LGU107"/>
      <c r="LGV107"/>
      <c r="LGW107"/>
      <c r="LGX107"/>
      <c r="LGY107"/>
      <c r="LGZ107"/>
      <c r="LHA107"/>
      <c r="LHB107"/>
      <c r="LHC107"/>
      <c r="LHD107"/>
      <c r="LHE107"/>
      <c r="LHF107"/>
      <c r="LHG107"/>
      <c r="LHH107"/>
      <c r="LHI107"/>
      <c r="LHJ107"/>
      <c r="LHK107"/>
      <c r="LHL107"/>
      <c r="LHM107"/>
      <c r="LHN107"/>
      <c r="LHO107"/>
      <c r="LHP107"/>
      <c r="LHQ107"/>
      <c r="LHR107"/>
      <c r="LHS107"/>
      <c r="LHT107"/>
      <c r="LHU107"/>
      <c r="LHV107"/>
      <c r="LHW107"/>
      <c r="LHX107"/>
      <c r="LHY107"/>
      <c r="LHZ107"/>
      <c r="LIA107"/>
      <c r="LIB107"/>
      <c r="LIC107"/>
      <c r="LID107"/>
      <c r="LIE107"/>
      <c r="LIF107"/>
      <c r="LIG107"/>
      <c r="LIH107"/>
      <c r="LII107"/>
      <c r="LIJ107"/>
      <c r="LIK107"/>
      <c r="LIL107"/>
      <c r="LIM107"/>
      <c r="LIN107"/>
      <c r="LIO107"/>
      <c r="LIP107"/>
      <c r="LIQ107"/>
      <c r="LIR107"/>
      <c r="LIS107"/>
      <c r="LIT107"/>
      <c r="LIU107"/>
      <c r="LIV107"/>
      <c r="LIW107"/>
      <c r="LIX107"/>
      <c r="LIY107"/>
      <c r="LIZ107"/>
      <c r="LJA107"/>
      <c r="LJB107"/>
      <c r="LJC107"/>
      <c r="LJD107"/>
      <c r="LJE107"/>
      <c r="LJF107"/>
      <c r="LJG107"/>
      <c r="LJH107"/>
      <c r="LJI107"/>
      <c r="LJJ107"/>
      <c r="LJK107"/>
      <c r="LJL107"/>
      <c r="LJM107"/>
      <c r="LJN107"/>
      <c r="LJO107"/>
      <c r="LJP107"/>
      <c r="LJQ107"/>
      <c r="LJR107"/>
      <c r="LJS107"/>
      <c r="LJT107"/>
      <c r="LJU107"/>
      <c r="LJV107"/>
      <c r="LJW107"/>
      <c r="LJX107"/>
      <c r="LJY107"/>
      <c r="LJZ107"/>
      <c r="LKA107"/>
      <c r="LKB107"/>
      <c r="LKC107"/>
      <c r="LKD107"/>
      <c r="LKE107"/>
      <c r="LKF107"/>
      <c r="LKG107"/>
      <c r="LKH107"/>
      <c r="LKI107"/>
      <c r="LKJ107"/>
      <c r="LKK107"/>
      <c r="LKL107"/>
      <c r="LKM107"/>
      <c r="LKN107"/>
      <c r="LKO107"/>
      <c r="LKP107"/>
      <c r="LKQ107"/>
      <c r="LKR107"/>
      <c r="LKS107"/>
      <c r="LKT107"/>
      <c r="LKU107"/>
      <c r="LKV107"/>
      <c r="LKW107"/>
      <c r="LKX107"/>
      <c r="LKY107"/>
      <c r="LKZ107"/>
      <c r="LLA107"/>
      <c r="LLB107"/>
      <c r="LLC107"/>
      <c r="LLD107"/>
      <c r="LLE107"/>
      <c r="LLF107"/>
      <c r="LLG107"/>
      <c r="LLH107"/>
      <c r="LLI107"/>
      <c r="LLJ107"/>
      <c r="LLK107"/>
      <c r="LLL107"/>
      <c r="LLM107"/>
      <c r="LLN107"/>
      <c r="LLO107"/>
      <c r="LLP107"/>
      <c r="LLQ107"/>
      <c r="LLR107"/>
      <c r="LLS107"/>
      <c r="LLT107"/>
      <c r="LLU107"/>
      <c r="LLV107"/>
      <c r="LLW107"/>
      <c r="LLX107"/>
      <c r="LLY107"/>
      <c r="LLZ107"/>
      <c r="LMA107"/>
      <c r="LMB107"/>
      <c r="LMC107"/>
      <c r="LMD107"/>
      <c r="LME107"/>
      <c r="LMF107"/>
      <c r="LMG107"/>
      <c r="LMH107"/>
      <c r="LMI107"/>
      <c r="LMJ107"/>
      <c r="LMK107"/>
      <c r="LML107"/>
      <c r="LMM107"/>
      <c r="LMN107"/>
      <c r="LMO107"/>
      <c r="LMP107"/>
      <c r="LMQ107"/>
      <c r="LMR107"/>
      <c r="LMS107"/>
      <c r="LMT107"/>
      <c r="LMU107"/>
      <c r="LMV107"/>
      <c r="LMW107"/>
      <c r="LMX107"/>
      <c r="LMY107"/>
      <c r="LMZ107"/>
      <c r="LNA107"/>
      <c r="LNB107"/>
      <c r="LNC107"/>
      <c r="LND107"/>
      <c r="LNE107"/>
      <c r="LNF107"/>
      <c r="LNG107"/>
      <c r="LNH107"/>
      <c r="LNI107"/>
      <c r="LNJ107"/>
      <c r="LNK107"/>
      <c r="LNL107"/>
      <c r="LNM107"/>
      <c r="LNN107"/>
      <c r="LNO107"/>
      <c r="LNP107"/>
      <c r="LNQ107"/>
      <c r="LNR107"/>
      <c r="LNS107"/>
      <c r="LNT107"/>
      <c r="LNU107"/>
      <c r="LNV107"/>
      <c r="LNW107"/>
      <c r="LNX107"/>
      <c r="LNY107"/>
      <c r="LNZ107"/>
      <c r="LOA107"/>
      <c r="LOB107"/>
      <c r="LOC107"/>
      <c r="LOD107"/>
      <c r="LOE107"/>
      <c r="LOF107"/>
      <c r="LOG107"/>
      <c r="LOH107"/>
      <c r="LOI107"/>
      <c r="LOJ107"/>
      <c r="LOK107"/>
      <c r="LOL107"/>
      <c r="LOM107"/>
      <c r="LON107"/>
      <c r="LOO107"/>
      <c r="LOP107"/>
      <c r="LOQ107"/>
      <c r="LOR107"/>
      <c r="LOS107"/>
      <c r="LOT107"/>
      <c r="LOU107"/>
      <c r="LOV107"/>
      <c r="LOW107"/>
      <c r="LOX107"/>
      <c r="LOY107"/>
      <c r="LOZ107"/>
      <c r="LPA107"/>
      <c r="LPB107"/>
      <c r="LPC107"/>
      <c r="LPD107"/>
      <c r="LPE107"/>
      <c r="LPF107"/>
      <c r="LPG107"/>
      <c r="LPH107"/>
      <c r="LPI107"/>
      <c r="LPJ107"/>
      <c r="LPK107"/>
      <c r="LPL107"/>
      <c r="LPM107"/>
      <c r="LPN107"/>
      <c r="LPO107"/>
      <c r="LPP107"/>
      <c r="LPQ107"/>
      <c r="LPR107"/>
      <c r="LPS107"/>
      <c r="LPT107"/>
      <c r="LPU107"/>
      <c r="LPV107"/>
      <c r="LPW107"/>
      <c r="LPX107"/>
      <c r="LPY107"/>
      <c r="LPZ107"/>
      <c r="LQA107"/>
      <c r="LQB107"/>
      <c r="LQC107"/>
      <c r="LQD107"/>
      <c r="LQE107"/>
      <c r="LQF107"/>
      <c r="LQG107"/>
      <c r="LQH107"/>
      <c r="LQI107"/>
      <c r="LQJ107"/>
      <c r="LQK107"/>
      <c r="LQL107"/>
      <c r="LQM107"/>
      <c r="LQN107"/>
      <c r="LQO107"/>
      <c r="LQP107"/>
      <c r="LQQ107"/>
      <c r="LQR107"/>
      <c r="LQS107"/>
      <c r="LQT107"/>
      <c r="LQU107"/>
      <c r="LQV107"/>
      <c r="LQW107"/>
      <c r="LQX107"/>
      <c r="LQY107"/>
      <c r="LQZ107"/>
      <c r="LRA107"/>
      <c r="LRB107"/>
      <c r="LRC107"/>
      <c r="LRD107"/>
      <c r="LRE107"/>
      <c r="LRF107"/>
      <c r="LRG107"/>
      <c r="LRH107"/>
      <c r="LRI107"/>
      <c r="LRJ107"/>
      <c r="LRK107"/>
      <c r="LRL107"/>
      <c r="LRM107"/>
      <c r="LRN107"/>
      <c r="LRO107"/>
      <c r="LRP107"/>
      <c r="LRQ107"/>
      <c r="LRR107"/>
      <c r="LRS107"/>
      <c r="LRT107"/>
      <c r="LRU107"/>
      <c r="LRV107"/>
      <c r="LRW107"/>
      <c r="LRX107"/>
      <c r="LRY107"/>
      <c r="LRZ107"/>
      <c r="LSA107"/>
      <c r="LSB107"/>
      <c r="LSC107"/>
      <c r="LSD107"/>
      <c r="LSE107"/>
      <c r="LSF107"/>
      <c r="LSG107"/>
      <c r="LSH107"/>
      <c r="LSI107"/>
      <c r="LSJ107"/>
      <c r="LSK107"/>
      <c r="LSL107"/>
      <c r="LSM107"/>
      <c r="LSN107"/>
      <c r="LSO107"/>
      <c r="LSP107"/>
      <c r="LSQ107"/>
      <c r="LSR107"/>
      <c r="LSS107"/>
      <c r="LST107"/>
      <c r="LSU107"/>
      <c r="LSV107"/>
      <c r="LSW107"/>
      <c r="LSX107"/>
      <c r="LSY107"/>
      <c r="LSZ107"/>
      <c r="LTA107"/>
      <c r="LTB107"/>
      <c r="LTC107"/>
      <c r="LTD107"/>
      <c r="LTE107"/>
      <c r="LTF107"/>
      <c r="LTG107"/>
      <c r="LTH107"/>
      <c r="LTI107"/>
      <c r="LTJ107"/>
      <c r="LTK107"/>
      <c r="LTL107"/>
      <c r="LTM107"/>
      <c r="LTN107"/>
      <c r="LTO107"/>
      <c r="LTP107"/>
      <c r="LTQ107"/>
      <c r="LTR107"/>
      <c r="LTS107"/>
      <c r="LTT107"/>
      <c r="LTU107"/>
      <c r="LTV107"/>
      <c r="LTW107"/>
      <c r="LTX107"/>
      <c r="LTY107"/>
      <c r="LTZ107"/>
      <c r="LUA107"/>
      <c r="LUB107"/>
      <c r="LUC107"/>
      <c r="LUD107"/>
      <c r="LUE107"/>
      <c r="LUF107"/>
      <c r="LUG107"/>
      <c r="LUH107"/>
      <c r="LUI107"/>
      <c r="LUJ107"/>
      <c r="LUK107"/>
      <c r="LUL107"/>
      <c r="LUM107"/>
      <c r="LUN107"/>
      <c r="LUO107"/>
      <c r="LUP107"/>
      <c r="LUQ107"/>
      <c r="LUR107"/>
      <c r="LUS107"/>
      <c r="LUT107"/>
      <c r="LUU107"/>
      <c r="LUV107"/>
      <c r="LUW107"/>
      <c r="LUX107"/>
      <c r="LUY107"/>
      <c r="LUZ107"/>
      <c r="LVA107"/>
      <c r="LVB107"/>
      <c r="LVC107"/>
      <c r="LVD107"/>
      <c r="LVE107"/>
      <c r="LVF107"/>
      <c r="LVG107"/>
      <c r="LVH107"/>
      <c r="LVI107"/>
      <c r="LVJ107"/>
      <c r="LVK107"/>
      <c r="LVL107"/>
      <c r="LVM107"/>
      <c r="LVN107"/>
      <c r="LVO107"/>
      <c r="LVP107"/>
      <c r="LVQ107"/>
      <c r="LVR107"/>
      <c r="LVS107"/>
      <c r="LVT107"/>
      <c r="LVU107"/>
      <c r="LVV107"/>
      <c r="LVW107"/>
      <c r="LVX107"/>
      <c r="LVY107"/>
      <c r="LVZ107"/>
      <c r="LWA107"/>
      <c r="LWB107"/>
      <c r="LWC107"/>
      <c r="LWD107"/>
      <c r="LWE107"/>
      <c r="LWF107"/>
      <c r="LWG107"/>
      <c r="LWH107"/>
      <c r="LWI107"/>
      <c r="LWJ107"/>
      <c r="LWK107"/>
      <c r="LWL107"/>
      <c r="LWM107"/>
      <c r="LWN107"/>
      <c r="LWO107"/>
      <c r="LWP107"/>
      <c r="LWQ107"/>
      <c r="LWR107"/>
      <c r="LWS107"/>
      <c r="LWT107"/>
      <c r="LWU107"/>
      <c r="LWV107"/>
      <c r="LWW107"/>
      <c r="LWX107"/>
      <c r="LWY107"/>
      <c r="LWZ107"/>
      <c r="LXA107"/>
      <c r="LXB107"/>
      <c r="LXC107"/>
      <c r="LXD107"/>
      <c r="LXE107"/>
      <c r="LXF107"/>
      <c r="LXG107"/>
      <c r="LXH107"/>
      <c r="LXI107"/>
      <c r="LXJ107"/>
      <c r="LXK107"/>
      <c r="LXL107"/>
      <c r="LXM107"/>
      <c r="LXN107"/>
      <c r="LXO107"/>
      <c r="LXP107"/>
      <c r="LXQ107"/>
      <c r="LXR107"/>
      <c r="LXS107"/>
      <c r="LXT107"/>
      <c r="LXU107"/>
      <c r="LXV107"/>
      <c r="LXW107"/>
      <c r="LXX107"/>
      <c r="LXY107"/>
      <c r="LXZ107"/>
      <c r="LYA107"/>
      <c r="LYB107"/>
      <c r="LYC107"/>
      <c r="LYD107"/>
      <c r="LYE107"/>
      <c r="LYF107"/>
      <c r="LYG107"/>
      <c r="LYH107"/>
      <c r="LYI107"/>
      <c r="LYJ107"/>
      <c r="LYK107"/>
      <c r="LYL107"/>
      <c r="LYM107"/>
      <c r="LYN107"/>
      <c r="LYO107"/>
      <c r="LYP107"/>
      <c r="LYQ107"/>
      <c r="LYR107"/>
      <c r="LYS107"/>
      <c r="LYT107"/>
      <c r="LYU107"/>
      <c r="LYV107"/>
      <c r="LYW107"/>
      <c r="LYX107"/>
      <c r="LYY107"/>
      <c r="LYZ107"/>
      <c r="LZA107"/>
      <c r="LZB107"/>
      <c r="LZC107"/>
      <c r="LZD107"/>
      <c r="LZE107"/>
      <c r="LZF107"/>
      <c r="LZG107"/>
      <c r="LZH107"/>
      <c r="LZI107"/>
      <c r="LZJ107"/>
      <c r="LZK107"/>
      <c r="LZL107"/>
      <c r="LZM107"/>
      <c r="LZN107"/>
      <c r="LZO107"/>
      <c r="LZP107"/>
      <c r="LZQ107"/>
      <c r="LZR107"/>
      <c r="LZS107"/>
      <c r="LZT107"/>
      <c r="LZU107"/>
      <c r="LZV107"/>
      <c r="LZW107"/>
      <c r="LZX107"/>
      <c r="LZY107"/>
      <c r="LZZ107"/>
      <c r="MAA107"/>
      <c r="MAB107"/>
      <c r="MAC107"/>
      <c r="MAD107"/>
      <c r="MAE107"/>
      <c r="MAF107"/>
      <c r="MAG107"/>
      <c r="MAH107"/>
      <c r="MAI107"/>
      <c r="MAJ107"/>
      <c r="MAK107"/>
      <c r="MAL107"/>
      <c r="MAM107"/>
      <c r="MAN107"/>
      <c r="MAO107"/>
      <c r="MAP107"/>
      <c r="MAQ107"/>
      <c r="MAR107"/>
      <c r="MAS107"/>
      <c r="MAT107"/>
      <c r="MAU107"/>
      <c r="MAV107"/>
      <c r="MAW107"/>
      <c r="MAX107"/>
      <c r="MAY107"/>
      <c r="MAZ107"/>
      <c r="MBA107"/>
      <c r="MBB107"/>
      <c r="MBC107"/>
      <c r="MBD107"/>
      <c r="MBE107"/>
      <c r="MBF107"/>
      <c r="MBG107"/>
      <c r="MBH107"/>
      <c r="MBI107"/>
      <c r="MBJ107"/>
      <c r="MBK107"/>
      <c r="MBL107"/>
      <c r="MBM107"/>
      <c r="MBN107"/>
      <c r="MBO107"/>
      <c r="MBP107"/>
      <c r="MBQ107"/>
      <c r="MBR107"/>
      <c r="MBS107"/>
      <c r="MBT107"/>
      <c r="MBU107"/>
      <c r="MBV107"/>
      <c r="MBW107"/>
      <c r="MBX107"/>
      <c r="MBY107"/>
      <c r="MBZ107"/>
      <c r="MCA107"/>
      <c r="MCB107"/>
      <c r="MCC107"/>
      <c r="MCD107"/>
      <c r="MCE107"/>
      <c r="MCF107"/>
      <c r="MCG107"/>
      <c r="MCH107"/>
      <c r="MCI107"/>
      <c r="MCJ107"/>
      <c r="MCK107"/>
      <c r="MCL107"/>
      <c r="MCM107"/>
      <c r="MCN107"/>
      <c r="MCO107"/>
      <c r="MCP107"/>
      <c r="MCQ107"/>
      <c r="MCR107"/>
      <c r="MCS107"/>
      <c r="MCT107"/>
      <c r="MCU107"/>
      <c r="MCV107"/>
      <c r="MCW107"/>
      <c r="MCX107"/>
      <c r="MCY107"/>
      <c r="MCZ107"/>
      <c r="MDA107"/>
      <c r="MDB107"/>
      <c r="MDC107"/>
      <c r="MDD107"/>
      <c r="MDE107"/>
      <c r="MDF107"/>
      <c r="MDG107"/>
      <c r="MDH107"/>
      <c r="MDI107"/>
      <c r="MDJ107"/>
      <c r="MDK107"/>
      <c r="MDL107"/>
      <c r="MDM107"/>
      <c r="MDN107"/>
      <c r="MDO107"/>
      <c r="MDP107"/>
      <c r="MDQ107"/>
      <c r="MDR107"/>
      <c r="MDS107"/>
      <c r="MDT107"/>
      <c r="MDU107"/>
      <c r="MDV107"/>
      <c r="MDW107"/>
      <c r="MDX107"/>
      <c r="MDY107"/>
      <c r="MDZ107"/>
      <c r="MEA107"/>
      <c r="MEB107"/>
      <c r="MEC107"/>
      <c r="MED107"/>
      <c r="MEE107"/>
      <c r="MEF107"/>
      <c r="MEG107"/>
      <c r="MEH107"/>
      <c r="MEI107"/>
      <c r="MEJ107"/>
      <c r="MEK107"/>
      <c r="MEL107"/>
      <c r="MEM107"/>
      <c r="MEN107"/>
      <c r="MEO107"/>
      <c r="MEP107"/>
      <c r="MEQ107"/>
      <c r="MER107"/>
      <c r="MES107"/>
      <c r="MET107"/>
      <c r="MEU107"/>
      <c r="MEV107"/>
      <c r="MEW107"/>
      <c r="MEX107"/>
      <c r="MEY107"/>
      <c r="MEZ107"/>
      <c r="MFA107"/>
      <c r="MFB107"/>
      <c r="MFC107"/>
      <c r="MFD107"/>
      <c r="MFE107"/>
      <c r="MFF107"/>
      <c r="MFG107"/>
      <c r="MFH107"/>
      <c r="MFI107"/>
      <c r="MFJ107"/>
      <c r="MFK107"/>
      <c r="MFL107"/>
      <c r="MFM107"/>
      <c r="MFN107"/>
      <c r="MFO107"/>
      <c r="MFP107"/>
      <c r="MFQ107"/>
      <c r="MFR107"/>
      <c r="MFS107"/>
      <c r="MFT107"/>
      <c r="MFU107"/>
      <c r="MFV107"/>
      <c r="MFW107"/>
      <c r="MFX107"/>
      <c r="MFY107"/>
      <c r="MFZ107"/>
      <c r="MGA107"/>
      <c r="MGB107"/>
      <c r="MGC107"/>
      <c r="MGD107"/>
      <c r="MGE107"/>
      <c r="MGF107"/>
      <c r="MGG107"/>
      <c r="MGH107"/>
      <c r="MGI107"/>
      <c r="MGJ107"/>
      <c r="MGK107"/>
      <c r="MGL107"/>
      <c r="MGM107"/>
      <c r="MGN107"/>
      <c r="MGO107"/>
      <c r="MGP107"/>
      <c r="MGQ107"/>
      <c r="MGR107"/>
      <c r="MGS107"/>
      <c r="MGT107"/>
      <c r="MGU107"/>
      <c r="MGV107"/>
      <c r="MGW107"/>
      <c r="MGX107"/>
      <c r="MGY107"/>
      <c r="MGZ107"/>
      <c r="MHA107"/>
      <c r="MHB107"/>
      <c r="MHC107"/>
      <c r="MHD107"/>
      <c r="MHE107"/>
      <c r="MHF107"/>
      <c r="MHG107"/>
      <c r="MHH107"/>
      <c r="MHI107"/>
      <c r="MHJ107"/>
      <c r="MHK107"/>
      <c r="MHL107"/>
      <c r="MHM107"/>
      <c r="MHN107"/>
      <c r="MHO107"/>
      <c r="MHP107"/>
      <c r="MHQ107"/>
      <c r="MHR107"/>
      <c r="MHS107"/>
      <c r="MHT107"/>
      <c r="MHU107"/>
      <c r="MHV107"/>
      <c r="MHW107"/>
      <c r="MHX107"/>
      <c r="MHY107"/>
      <c r="MHZ107"/>
      <c r="MIA107"/>
      <c r="MIB107"/>
      <c r="MIC107"/>
      <c r="MID107"/>
      <c r="MIE107"/>
      <c r="MIF107"/>
      <c r="MIG107"/>
      <c r="MIH107"/>
      <c r="MII107"/>
      <c r="MIJ107"/>
      <c r="MIK107"/>
      <c r="MIL107"/>
      <c r="MIM107"/>
      <c r="MIN107"/>
      <c r="MIO107"/>
      <c r="MIP107"/>
      <c r="MIQ107"/>
      <c r="MIR107"/>
      <c r="MIS107"/>
      <c r="MIT107"/>
      <c r="MIU107"/>
      <c r="MIV107"/>
      <c r="MIW107"/>
      <c r="MIX107"/>
      <c r="MIY107"/>
      <c r="MIZ107"/>
      <c r="MJA107"/>
      <c r="MJB107"/>
      <c r="MJC107"/>
      <c r="MJD107"/>
      <c r="MJE107"/>
      <c r="MJF107"/>
      <c r="MJG107"/>
      <c r="MJH107"/>
      <c r="MJI107"/>
      <c r="MJJ107"/>
      <c r="MJK107"/>
      <c r="MJL107"/>
      <c r="MJM107"/>
      <c r="MJN107"/>
      <c r="MJO107"/>
      <c r="MJP107"/>
      <c r="MJQ107"/>
      <c r="MJR107"/>
      <c r="MJS107"/>
      <c r="MJT107"/>
      <c r="MJU107"/>
      <c r="MJV107"/>
      <c r="MJW107"/>
      <c r="MJX107"/>
      <c r="MJY107"/>
      <c r="MJZ107"/>
      <c r="MKA107"/>
      <c r="MKB107"/>
      <c r="MKC107"/>
      <c r="MKD107"/>
      <c r="MKE107"/>
      <c r="MKF107"/>
      <c r="MKG107"/>
      <c r="MKH107"/>
      <c r="MKI107"/>
      <c r="MKJ107"/>
      <c r="MKK107"/>
      <c r="MKL107"/>
      <c r="MKM107"/>
      <c r="MKN107"/>
      <c r="MKO107"/>
      <c r="MKP107"/>
      <c r="MKQ107"/>
      <c r="MKR107"/>
      <c r="MKS107"/>
      <c r="MKT107"/>
      <c r="MKU107"/>
      <c r="MKV107"/>
      <c r="MKW107"/>
      <c r="MKX107"/>
      <c r="MKY107"/>
      <c r="MKZ107"/>
      <c r="MLA107"/>
      <c r="MLB107"/>
      <c r="MLC107"/>
      <c r="MLD107"/>
      <c r="MLE107"/>
      <c r="MLF107"/>
      <c r="MLG107"/>
      <c r="MLH107"/>
      <c r="MLI107"/>
      <c r="MLJ107"/>
      <c r="MLK107"/>
      <c r="MLL107"/>
      <c r="MLM107"/>
      <c r="MLN107"/>
      <c r="MLO107"/>
      <c r="MLP107"/>
      <c r="MLQ107"/>
      <c r="MLR107"/>
      <c r="MLS107"/>
      <c r="MLT107"/>
      <c r="MLU107"/>
      <c r="MLV107"/>
      <c r="MLW107"/>
      <c r="MLX107"/>
      <c r="MLY107"/>
      <c r="MLZ107"/>
      <c r="MMA107"/>
      <c r="MMB107"/>
      <c r="MMC107"/>
      <c r="MMD107"/>
      <c r="MME107"/>
      <c r="MMF107"/>
      <c r="MMG107"/>
      <c r="MMH107"/>
      <c r="MMI107"/>
      <c r="MMJ107"/>
      <c r="MMK107"/>
      <c r="MML107"/>
      <c r="MMM107"/>
      <c r="MMN107"/>
      <c r="MMO107"/>
      <c r="MMP107"/>
      <c r="MMQ107"/>
      <c r="MMR107"/>
      <c r="MMS107"/>
      <c r="MMT107"/>
      <c r="MMU107"/>
      <c r="MMV107"/>
      <c r="MMW107"/>
      <c r="MMX107"/>
      <c r="MMY107"/>
      <c r="MMZ107"/>
      <c r="MNA107"/>
      <c r="MNB107"/>
      <c r="MNC107"/>
      <c r="MND107"/>
      <c r="MNE107"/>
      <c r="MNF107"/>
      <c r="MNG107"/>
      <c r="MNH107"/>
      <c r="MNI107"/>
      <c r="MNJ107"/>
      <c r="MNK107"/>
      <c r="MNL107"/>
      <c r="MNM107"/>
      <c r="MNN107"/>
      <c r="MNO107"/>
      <c r="MNP107"/>
      <c r="MNQ107"/>
      <c r="MNR107"/>
      <c r="MNS107"/>
      <c r="MNT107"/>
      <c r="MNU107"/>
      <c r="MNV107"/>
      <c r="MNW107"/>
      <c r="MNX107"/>
      <c r="MNY107"/>
      <c r="MNZ107"/>
      <c r="MOA107"/>
      <c r="MOB107"/>
      <c r="MOC107"/>
      <c r="MOD107"/>
      <c r="MOE107"/>
      <c r="MOF107"/>
      <c r="MOG107"/>
      <c r="MOH107"/>
      <c r="MOI107"/>
      <c r="MOJ107"/>
      <c r="MOK107"/>
      <c r="MOL107"/>
      <c r="MOM107"/>
      <c r="MON107"/>
      <c r="MOO107"/>
      <c r="MOP107"/>
      <c r="MOQ107"/>
      <c r="MOR107"/>
      <c r="MOS107"/>
      <c r="MOT107"/>
      <c r="MOU107"/>
      <c r="MOV107"/>
      <c r="MOW107"/>
      <c r="MOX107"/>
      <c r="MOY107"/>
      <c r="MOZ107"/>
      <c r="MPA107"/>
      <c r="MPB107"/>
      <c r="MPC107"/>
      <c r="MPD107"/>
      <c r="MPE107"/>
      <c r="MPF107"/>
      <c r="MPG107"/>
      <c r="MPH107"/>
      <c r="MPI107"/>
      <c r="MPJ107"/>
      <c r="MPK107"/>
      <c r="MPL107"/>
      <c r="MPM107"/>
      <c r="MPN107"/>
      <c r="MPO107"/>
      <c r="MPP107"/>
      <c r="MPQ107"/>
      <c r="MPR107"/>
      <c r="MPS107"/>
      <c r="MPT107"/>
      <c r="MPU107"/>
      <c r="MPV107"/>
      <c r="MPW107"/>
      <c r="MPX107"/>
      <c r="MPY107"/>
      <c r="MPZ107"/>
      <c r="MQA107"/>
      <c r="MQB107"/>
      <c r="MQC107"/>
      <c r="MQD107"/>
      <c r="MQE107"/>
      <c r="MQF107"/>
      <c r="MQG107"/>
      <c r="MQH107"/>
      <c r="MQI107"/>
      <c r="MQJ107"/>
      <c r="MQK107"/>
      <c r="MQL107"/>
      <c r="MQM107"/>
      <c r="MQN107"/>
      <c r="MQO107"/>
      <c r="MQP107"/>
      <c r="MQQ107"/>
      <c r="MQR107"/>
      <c r="MQS107"/>
      <c r="MQT107"/>
      <c r="MQU107"/>
      <c r="MQV107"/>
      <c r="MQW107"/>
      <c r="MQX107"/>
      <c r="MQY107"/>
      <c r="MQZ107"/>
      <c r="MRA107"/>
      <c r="MRB107"/>
      <c r="MRC107"/>
      <c r="MRD107"/>
      <c r="MRE107"/>
      <c r="MRF107"/>
      <c r="MRG107"/>
      <c r="MRH107"/>
      <c r="MRI107"/>
      <c r="MRJ107"/>
      <c r="MRK107"/>
      <c r="MRL107"/>
      <c r="MRM107"/>
      <c r="MRN107"/>
      <c r="MRO107"/>
      <c r="MRP107"/>
      <c r="MRQ107"/>
      <c r="MRR107"/>
      <c r="MRS107"/>
      <c r="MRT107"/>
      <c r="MRU107"/>
      <c r="MRV107"/>
      <c r="MRW107"/>
      <c r="MRX107"/>
      <c r="MRY107"/>
      <c r="MRZ107"/>
      <c r="MSA107"/>
      <c r="MSB107"/>
      <c r="MSC107"/>
      <c r="MSD107"/>
      <c r="MSE107"/>
      <c r="MSF107"/>
      <c r="MSG107"/>
      <c r="MSH107"/>
      <c r="MSI107"/>
      <c r="MSJ107"/>
      <c r="MSK107"/>
      <c r="MSL107"/>
      <c r="MSM107"/>
      <c r="MSN107"/>
      <c r="MSO107"/>
      <c r="MSP107"/>
      <c r="MSQ107"/>
      <c r="MSR107"/>
      <c r="MSS107"/>
      <c r="MST107"/>
      <c r="MSU107"/>
      <c r="MSV107"/>
      <c r="MSW107"/>
      <c r="MSX107"/>
      <c r="MSY107"/>
      <c r="MSZ107"/>
      <c r="MTA107"/>
      <c r="MTB107"/>
      <c r="MTC107"/>
      <c r="MTD107"/>
      <c r="MTE107"/>
      <c r="MTF107"/>
      <c r="MTG107"/>
      <c r="MTH107"/>
      <c r="MTI107"/>
      <c r="MTJ107"/>
      <c r="MTK107"/>
      <c r="MTL107"/>
      <c r="MTM107"/>
      <c r="MTN107"/>
      <c r="MTO107"/>
      <c r="MTP107"/>
      <c r="MTQ107"/>
      <c r="MTR107"/>
      <c r="MTS107"/>
      <c r="MTT107"/>
      <c r="MTU107"/>
      <c r="MTV107"/>
      <c r="MTW107"/>
      <c r="MTX107"/>
      <c r="MTY107"/>
      <c r="MTZ107"/>
      <c r="MUA107"/>
      <c r="MUB107"/>
      <c r="MUC107"/>
      <c r="MUD107"/>
      <c r="MUE107"/>
      <c r="MUF107"/>
      <c r="MUG107"/>
      <c r="MUH107"/>
      <c r="MUI107"/>
      <c r="MUJ107"/>
      <c r="MUK107"/>
      <c r="MUL107"/>
      <c r="MUM107"/>
      <c r="MUN107"/>
      <c r="MUO107"/>
      <c r="MUP107"/>
      <c r="MUQ107"/>
      <c r="MUR107"/>
      <c r="MUS107"/>
      <c r="MUT107"/>
      <c r="MUU107"/>
      <c r="MUV107"/>
      <c r="MUW107"/>
      <c r="MUX107"/>
      <c r="MUY107"/>
      <c r="MUZ107"/>
      <c r="MVA107"/>
      <c r="MVB107"/>
      <c r="MVC107"/>
      <c r="MVD107"/>
      <c r="MVE107"/>
      <c r="MVF107"/>
      <c r="MVG107"/>
      <c r="MVH107"/>
      <c r="MVI107"/>
      <c r="MVJ107"/>
      <c r="MVK107"/>
      <c r="MVL107"/>
      <c r="MVM107"/>
      <c r="MVN107"/>
      <c r="MVO107"/>
      <c r="MVP107"/>
      <c r="MVQ107"/>
      <c r="MVR107"/>
      <c r="MVS107"/>
      <c r="MVT107"/>
      <c r="MVU107"/>
      <c r="MVV107"/>
      <c r="MVW107"/>
      <c r="MVX107"/>
      <c r="MVY107"/>
      <c r="MVZ107"/>
      <c r="MWA107"/>
      <c r="MWB107"/>
      <c r="MWC107"/>
      <c r="MWD107"/>
      <c r="MWE107"/>
      <c r="MWF107"/>
      <c r="MWG107"/>
      <c r="MWH107"/>
      <c r="MWI107"/>
      <c r="MWJ107"/>
      <c r="MWK107"/>
      <c r="MWL107"/>
      <c r="MWM107"/>
      <c r="MWN107"/>
      <c r="MWO107"/>
      <c r="MWP107"/>
      <c r="MWQ107"/>
      <c r="MWR107"/>
      <c r="MWS107"/>
      <c r="MWT107"/>
      <c r="MWU107"/>
      <c r="MWV107"/>
      <c r="MWW107"/>
      <c r="MWX107"/>
      <c r="MWY107"/>
      <c r="MWZ107"/>
      <c r="MXA107"/>
      <c r="MXB107"/>
      <c r="MXC107"/>
      <c r="MXD107"/>
      <c r="MXE107"/>
      <c r="MXF107"/>
      <c r="MXG107"/>
      <c r="MXH107"/>
      <c r="MXI107"/>
      <c r="MXJ107"/>
      <c r="MXK107"/>
      <c r="MXL107"/>
      <c r="MXM107"/>
      <c r="MXN107"/>
      <c r="MXO107"/>
      <c r="MXP107"/>
      <c r="MXQ107"/>
      <c r="MXR107"/>
      <c r="MXS107"/>
      <c r="MXT107"/>
      <c r="MXU107"/>
      <c r="MXV107"/>
      <c r="MXW107"/>
      <c r="MXX107"/>
      <c r="MXY107"/>
      <c r="MXZ107"/>
      <c r="MYA107"/>
      <c r="MYB107"/>
      <c r="MYC107"/>
      <c r="MYD107"/>
      <c r="MYE107"/>
      <c r="MYF107"/>
      <c r="MYG107"/>
      <c r="MYH107"/>
      <c r="MYI107"/>
      <c r="MYJ107"/>
      <c r="MYK107"/>
      <c r="MYL107"/>
      <c r="MYM107"/>
      <c r="MYN107"/>
      <c r="MYO107"/>
      <c r="MYP107"/>
      <c r="MYQ107"/>
      <c r="MYR107"/>
      <c r="MYS107"/>
      <c r="MYT107"/>
      <c r="MYU107"/>
      <c r="MYV107"/>
      <c r="MYW107"/>
      <c r="MYX107"/>
      <c r="MYY107"/>
      <c r="MYZ107"/>
      <c r="MZA107"/>
      <c r="MZB107"/>
      <c r="MZC107"/>
      <c r="MZD107"/>
      <c r="MZE107"/>
      <c r="MZF107"/>
      <c r="MZG107"/>
      <c r="MZH107"/>
      <c r="MZI107"/>
      <c r="MZJ107"/>
      <c r="MZK107"/>
      <c r="MZL107"/>
      <c r="MZM107"/>
      <c r="MZN107"/>
      <c r="MZO107"/>
      <c r="MZP107"/>
      <c r="MZQ107"/>
      <c r="MZR107"/>
      <c r="MZS107"/>
      <c r="MZT107"/>
      <c r="MZU107"/>
      <c r="MZV107"/>
      <c r="MZW107"/>
      <c r="MZX107"/>
      <c r="MZY107"/>
      <c r="MZZ107"/>
      <c r="NAA107"/>
      <c r="NAB107"/>
      <c r="NAC107"/>
      <c r="NAD107"/>
      <c r="NAE107"/>
      <c r="NAF107"/>
      <c r="NAG107"/>
      <c r="NAH107"/>
      <c r="NAI107"/>
      <c r="NAJ107"/>
      <c r="NAK107"/>
      <c r="NAL107"/>
      <c r="NAM107"/>
      <c r="NAN107"/>
      <c r="NAO107"/>
      <c r="NAP107"/>
      <c r="NAQ107"/>
      <c r="NAR107"/>
      <c r="NAS107"/>
      <c r="NAT107"/>
      <c r="NAU107"/>
      <c r="NAV107"/>
      <c r="NAW107"/>
      <c r="NAX107"/>
      <c r="NAY107"/>
      <c r="NAZ107"/>
      <c r="NBA107"/>
      <c r="NBB107"/>
      <c r="NBC107"/>
      <c r="NBD107"/>
      <c r="NBE107"/>
      <c r="NBF107"/>
      <c r="NBG107"/>
      <c r="NBH107"/>
      <c r="NBI107"/>
      <c r="NBJ107"/>
      <c r="NBK107"/>
      <c r="NBL107"/>
      <c r="NBM107"/>
      <c r="NBN107"/>
      <c r="NBO107"/>
      <c r="NBP107"/>
      <c r="NBQ107"/>
      <c r="NBR107"/>
      <c r="NBS107"/>
      <c r="NBT107"/>
      <c r="NBU107"/>
      <c r="NBV107"/>
      <c r="NBW107"/>
      <c r="NBX107"/>
      <c r="NBY107"/>
      <c r="NBZ107"/>
      <c r="NCA107"/>
      <c r="NCB107"/>
      <c r="NCC107"/>
      <c r="NCD107"/>
      <c r="NCE107"/>
      <c r="NCF107"/>
      <c r="NCG107"/>
      <c r="NCH107"/>
      <c r="NCI107"/>
      <c r="NCJ107"/>
      <c r="NCK107"/>
      <c r="NCL107"/>
      <c r="NCM107"/>
      <c r="NCN107"/>
      <c r="NCO107"/>
      <c r="NCP107"/>
      <c r="NCQ107"/>
      <c r="NCR107"/>
      <c r="NCS107"/>
      <c r="NCT107"/>
      <c r="NCU107"/>
      <c r="NCV107"/>
      <c r="NCW107"/>
      <c r="NCX107"/>
      <c r="NCY107"/>
      <c r="NCZ107"/>
      <c r="NDA107"/>
      <c r="NDB107"/>
      <c r="NDC107"/>
      <c r="NDD107"/>
      <c r="NDE107"/>
      <c r="NDF107"/>
      <c r="NDG107"/>
      <c r="NDH107"/>
      <c r="NDI107"/>
      <c r="NDJ107"/>
      <c r="NDK107"/>
      <c r="NDL107"/>
      <c r="NDM107"/>
      <c r="NDN107"/>
      <c r="NDO107"/>
      <c r="NDP107"/>
      <c r="NDQ107"/>
      <c r="NDR107"/>
      <c r="NDS107"/>
      <c r="NDT107"/>
      <c r="NDU107"/>
      <c r="NDV107"/>
      <c r="NDW107"/>
      <c r="NDX107"/>
      <c r="NDY107"/>
      <c r="NDZ107"/>
      <c r="NEA107"/>
      <c r="NEB107"/>
      <c r="NEC107"/>
      <c r="NED107"/>
      <c r="NEE107"/>
      <c r="NEF107"/>
      <c r="NEG107"/>
      <c r="NEH107"/>
      <c r="NEI107"/>
      <c r="NEJ107"/>
      <c r="NEK107"/>
      <c r="NEL107"/>
      <c r="NEM107"/>
      <c r="NEN107"/>
      <c r="NEO107"/>
      <c r="NEP107"/>
      <c r="NEQ107"/>
      <c r="NER107"/>
      <c r="NES107"/>
      <c r="NET107"/>
      <c r="NEU107"/>
      <c r="NEV107"/>
      <c r="NEW107"/>
      <c r="NEX107"/>
      <c r="NEY107"/>
      <c r="NEZ107"/>
      <c r="NFA107"/>
      <c r="NFB107"/>
      <c r="NFC107"/>
      <c r="NFD107"/>
      <c r="NFE107"/>
      <c r="NFF107"/>
      <c r="NFG107"/>
      <c r="NFH107"/>
      <c r="NFI107"/>
      <c r="NFJ107"/>
      <c r="NFK107"/>
      <c r="NFL107"/>
      <c r="NFM107"/>
      <c r="NFN107"/>
      <c r="NFO107"/>
      <c r="NFP107"/>
      <c r="NFQ107"/>
      <c r="NFR107"/>
      <c r="NFS107"/>
      <c r="NFT107"/>
      <c r="NFU107"/>
      <c r="NFV107"/>
      <c r="NFW107"/>
      <c r="NFX107"/>
      <c r="NFY107"/>
      <c r="NFZ107"/>
      <c r="NGA107"/>
      <c r="NGB107"/>
      <c r="NGC107"/>
      <c r="NGD107"/>
      <c r="NGE107"/>
      <c r="NGF107"/>
      <c r="NGG107"/>
      <c r="NGH107"/>
      <c r="NGI107"/>
      <c r="NGJ107"/>
      <c r="NGK107"/>
      <c r="NGL107"/>
      <c r="NGM107"/>
      <c r="NGN107"/>
      <c r="NGO107"/>
      <c r="NGP107"/>
      <c r="NGQ107"/>
      <c r="NGR107"/>
      <c r="NGS107"/>
      <c r="NGT107"/>
      <c r="NGU107"/>
      <c r="NGV107"/>
      <c r="NGW107"/>
      <c r="NGX107"/>
      <c r="NGY107"/>
      <c r="NGZ107"/>
      <c r="NHA107"/>
      <c r="NHB107"/>
      <c r="NHC107"/>
      <c r="NHD107"/>
      <c r="NHE107"/>
      <c r="NHF107"/>
      <c r="NHG107"/>
      <c r="NHH107"/>
      <c r="NHI107"/>
      <c r="NHJ107"/>
      <c r="NHK107"/>
      <c r="NHL107"/>
      <c r="NHM107"/>
      <c r="NHN107"/>
      <c r="NHO107"/>
      <c r="NHP107"/>
      <c r="NHQ107"/>
      <c r="NHR107"/>
      <c r="NHS107"/>
      <c r="NHT107"/>
      <c r="NHU107"/>
      <c r="NHV107"/>
      <c r="NHW107"/>
      <c r="NHX107"/>
      <c r="NHY107"/>
      <c r="NHZ107"/>
      <c r="NIA107"/>
      <c r="NIB107"/>
      <c r="NIC107"/>
      <c r="NID107"/>
      <c r="NIE107"/>
      <c r="NIF107"/>
      <c r="NIG107"/>
      <c r="NIH107"/>
      <c r="NII107"/>
      <c r="NIJ107"/>
      <c r="NIK107"/>
      <c r="NIL107"/>
      <c r="NIM107"/>
      <c r="NIN107"/>
      <c r="NIO107"/>
      <c r="NIP107"/>
      <c r="NIQ107"/>
      <c r="NIR107"/>
      <c r="NIS107"/>
      <c r="NIT107"/>
      <c r="NIU107"/>
      <c r="NIV107"/>
      <c r="NIW107"/>
      <c r="NIX107"/>
      <c r="NIY107"/>
      <c r="NIZ107"/>
      <c r="NJA107"/>
      <c r="NJB107"/>
      <c r="NJC107"/>
      <c r="NJD107"/>
      <c r="NJE107"/>
      <c r="NJF107"/>
      <c r="NJG107"/>
      <c r="NJH107"/>
      <c r="NJI107"/>
      <c r="NJJ107"/>
      <c r="NJK107"/>
      <c r="NJL107"/>
      <c r="NJM107"/>
      <c r="NJN107"/>
      <c r="NJO107"/>
      <c r="NJP107"/>
      <c r="NJQ107"/>
      <c r="NJR107"/>
      <c r="NJS107"/>
      <c r="NJT107"/>
      <c r="NJU107"/>
      <c r="NJV107"/>
      <c r="NJW107"/>
      <c r="NJX107"/>
      <c r="NJY107"/>
      <c r="NJZ107"/>
      <c r="NKA107"/>
      <c r="NKB107"/>
      <c r="NKC107"/>
      <c r="NKD107"/>
      <c r="NKE107"/>
      <c r="NKF107"/>
      <c r="NKG107"/>
      <c r="NKH107"/>
      <c r="NKI107"/>
      <c r="NKJ107"/>
      <c r="NKK107"/>
      <c r="NKL107"/>
      <c r="NKM107"/>
      <c r="NKN107"/>
      <c r="NKO107"/>
      <c r="NKP107"/>
      <c r="NKQ107"/>
      <c r="NKR107"/>
      <c r="NKS107"/>
      <c r="NKT107"/>
      <c r="NKU107"/>
      <c r="NKV107"/>
      <c r="NKW107"/>
      <c r="NKX107"/>
      <c r="NKY107"/>
      <c r="NKZ107"/>
      <c r="NLA107"/>
      <c r="NLB107"/>
      <c r="NLC107"/>
      <c r="NLD107"/>
      <c r="NLE107"/>
      <c r="NLF107"/>
      <c r="NLG107"/>
      <c r="NLH107"/>
      <c r="NLI107"/>
      <c r="NLJ107"/>
      <c r="NLK107"/>
      <c r="NLL107"/>
      <c r="NLM107"/>
      <c r="NLN107"/>
      <c r="NLO107"/>
      <c r="NLP107"/>
      <c r="NLQ107"/>
      <c r="NLR107"/>
      <c r="NLS107"/>
      <c r="NLT107"/>
      <c r="NLU107"/>
      <c r="NLV107"/>
      <c r="NLW107"/>
      <c r="NLX107"/>
      <c r="NLY107"/>
      <c r="NLZ107"/>
      <c r="NMA107"/>
      <c r="NMB107"/>
      <c r="NMC107"/>
      <c r="NMD107"/>
      <c r="NME107"/>
      <c r="NMF107"/>
      <c r="NMG107"/>
      <c r="NMH107"/>
      <c r="NMI107"/>
      <c r="NMJ107"/>
      <c r="NMK107"/>
      <c r="NML107"/>
      <c r="NMM107"/>
      <c r="NMN107"/>
      <c r="NMO107"/>
      <c r="NMP107"/>
      <c r="NMQ107"/>
      <c r="NMR107"/>
      <c r="NMS107"/>
      <c r="NMT107"/>
      <c r="NMU107"/>
      <c r="NMV107"/>
      <c r="NMW107"/>
      <c r="NMX107"/>
      <c r="NMY107"/>
      <c r="NMZ107"/>
      <c r="NNA107"/>
      <c r="NNB107"/>
      <c r="NNC107"/>
      <c r="NND107"/>
      <c r="NNE107"/>
      <c r="NNF107"/>
      <c r="NNG107"/>
      <c r="NNH107"/>
      <c r="NNI107"/>
      <c r="NNJ107"/>
      <c r="NNK107"/>
      <c r="NNL107"/>
      <c r="NNM107"/>
      <c r="NNN107"/>
      <c r="NNO107"/>
      <c r="NNP107"/>
      <c r="NNQ107"/>
      <c r="NNR107"/>
      <c r="NNS107"/>
      <c r="NNT107"/>
      <c r="NNU107"/>
      <c r="NNV107"/>
      <c r="NNW107"/>
      <c r="NNX107"/>
      <c r="NNY107"/>
      <c r="NNZ107"/>
      <c r="NOA107"/>
      <c r="NOB107"/>
      <c r="NOC107"/>
      <c r="NOD107"/>
      <c r="NOE107"/>
      <c r="NOF107"/>
      <c r="NOG107"/>
      <c r="NOH107"/>
      <c r="NOI107"/>
      <c r="NOJ107"/>
      <c r="NOK107"/>
      <c r="NOL107"/>
      <c r="NOM107"/>
      <c r="NON107"/>
      <c r="NOO107"/>
      <c r="NOP107"/>
      <c r="NOQ107"/>
      <c r="NOR107"/>
      <c r="NOS107"/>
      <c r="NOT107"/>
      <c r="NOU107"/>
      <c r="NOV107"/>
      <c r="NOW107"/>
      <c r="NOX107"/>
      <c r="NOY107"/>
      <c r="NOZ107"/>
      <c r="NPA107"/>
      <c r="NPB107"/>
      <c r="NPC107"/>
      <c r="NPD107"/>
      <c r="NPE107"/>
      <c r="NPF107"/>
      <c r="NPG107"/>
      <c r="NPH107"/>
      <c r="NPI107"/>
      <c r="NPJ107"/>
      <c r="NPK107"/>
      <c r="NPL107"/>
      <c r="NPM107"/>
      <c r="NPN107"/>
      <c r="NPO107"/>
      <c r="NPP107"/>
      <c r="NPQ107"/>
      <c r="NPR107"/>
      <c r="NPS107"/>
      <c r="NPT107"/>
      <c r="NPU107"/>
      <c r="NPV107"/>
      <c r="NPW107"/>
      <c r="NPX107"/>
      <c r="NPY107"/>
      <c r="NPZ107"/>
      <c r="NQA107"/>
      <c r="NQB107"/>
      <c r="NQC107"/>
      <c r="NQD107"/>
      <c r="NQE107"/>
      <c r="NQF107"/>
      <c r="NQG107"/>
      <c r="NQH107"/>
      <c r="NQI107"/>
      <c r="NQJ107"/>
      <c r="NQK107"/>
      <c r="NQL107"/>
      <c r="NQM107"/>
      <c r="NQN107"/>
      <c r="NQO107"/>
      <c r="NQP107"/>
      <c r="NQQ107"/>
      <c r="NQR107"/>
      <c r="NQS107"/>
      <c r="NQT107"/>
      <c r="NQU107"/>
      <c r="NQV107"/>
      <c r="NQW107"/>
      <c r="NQX107"/>
      <c r="NQY107"/>
      <c r="NQZ107"/>
      <c r="NRA107"/>
      <c r="NRB107"/>
      <c r="NRC107"/>
      <c r="NRD107"/>
      <c r="NRE107"/>
      <c r="NRF107"/>
      <c r="NRG107"/>
      <c r="NRH107"/>
      <c r="NRI107"/>
      <c r="NRJ107"/>
      <c r="NRK107"/>
      <c r="NRL107"/>
      <c r="NRM107"/>
      <c r="NRN107"/>
      <c r="NRO107"/>
      <c r="NRP107"/>
      <c r="NRQ107"/>
      <c r="NRR107"/>
      <c r="NRS107"/>
      <c r="NRT107"/>
      <c r="NRU107"/>
      <c r="NRV107"/>
      <c r="NRW107"/>
      <c r="NRX107"/>
      <c r="NRY107"/>
      <c r="NRZ107"/>
      <c r="NSA107"/>
      <c r="NSB107"/>
      <c r="NSC107"/>
      <c r="NSD107"/>
      <c r="NSE107"/>
      <c r="NSF107"/>
      <c r="NSG107"/>
      <c r="NSH107"/>
      <c r="NSI107"/>
      <c r="NSJ107"/>
      <c r="NSK107"/>
      <c r="NSL107"/>
      <c r="NSM107"/>
      <c r="NSN107"/>
      <c r="NSO107"/>
      <c r="NSP107"/>
      <c r="NSQ107"/>
      <c r="NSR107"/>
      <c r="NSS107"/>
      <c r="NST107"/>
      <c r="NSU107"/>
      <c r="NSV107"/>
      <c r="NSW107"/>
      <c r="NSX107"/>
      <c r="NSY107"/>
      <c r="NSZ107"/>
      <c r="NTA107"/>
      <c r="NTB107"/>
      <c r="NTC107"/>
      <c r="NTD107"/>
      <c r="NTE107"/>
      <c r="NTF107"/>
      <c r="NTG107"/>
      <c r="NTH107"/>
      <c r="NTI107"/>
      <c r="NTJ107"/>
      <c r="NTK107"/>
      <c r="NTL107"/>
      <c r="NTM107"/>
      <c r="NTN107"/>
      <c r="NTO107"/>
      <c r="NTP107"/>
      <c r="NTQ107"/>
      <c r="NTR107"/>
      <c r="NTS107"/>
      <c r="NTT107"/>
      <c r="NTU107"/>
      <c r="NTV107"/>
      <c r="NTW107"/>
      <c r="NTX107"/>
      <c r="NTY107"/>
      <c r="NTZ107"/>
      <c r="NUA107"/>
      <c r="NUB107"/>
      <c r="NUC107"/>
      <c r="NUD107"/>
      <c r="NUE107"/>
      <c r="NUF107"/>
      <c r="NUG107"/>
      <c r="NUH107"/>
      <c r="NUI107"/>
      <c r="NUJ107"/>
      <c r="NUK107"/>
      <c r="NUL107"/>
      <c r="NUM107"/>
      <c r="NUN107"/>
      <c r="NUO107"/>
      <c r="NUP107"/>
      <c r="NUQ107"/>
      <c r="NUR107"/>
      <c r="NUS107"/>
      <c r="NUT107"/>
      <c r="NUU107"/>
      <c r="NUV107"/>
      <c r="NUW107"/>
      <c r="NUX107"/>
      <c r="NUY107"/>
      <c r="NUZ107"/>
      <c r="NVA107"/>
      <c r="NVB107"/>
      <c r="NVC107"/>
      <c r="NVD107"/>
      <c r="NVE107"/>
      <c r="NVF107"/>
      <c r="NVG107"/>
      <c r="NVH107"/>
      <c r="NVI107"/>
      <c r="NVJ107"/>
      <c r="NVK107"/>
      <c r="NVL107"/>
      <c r="NVM107"/>
      <c r="NVN107"/>
      <c r="NVO107"/>
      <c r="NVP107"/>
      <c r="NVQ107"/>
      <c r="NVR107"/>
      <c r="NVS107"/>
      <c r="NVT107"/>
      <c r="NVU107"/>
      <c r="NVV107"/>
      <c r="NVW107"/>
      <c r="NVX107"/>
      <c r="NVY107"/>
      <c r="NVZ107"/>
      <c r="NWA107"/>
      <c r="NWB107"/>
      <c r="NWC107"/>
      <c r="NWD107"/>
      <c r="NWE107"/>
      <c r="NWF107"/>
      <c r="NWG107"/>
      <c r="NWH107"/>
      <c r="NWI107"/>
      <c r="NWJ107"/>
      <c r="NWK107"/>
      <c r="NWL107"/>
      <c r="NWM107"/>
      <c r="NWN107"/>
      <c r="NWO107"/>
      <c r="NWP107"/>
      <c r="NWQ107"/>
      <c r="NWR107"/>
      <c r="NWS107"/>
      <c r="NWT107"/>
      <c r="NWU107"/>
      <c r="NWV107"/>
      <c r="NWW107"/>
      <c r="NWX107"/>
      <c r="NWY107"/>
      <c r="NWZ107"/>
      <c r="NXA107"/>
      <c r="NXB107"/>
      <c r="NXC107"/>
      <c r="NXD107"/>
      <c r="NXE107"/>
      <c r="NXF107"/>
      <c r="NXG107"/>
      <c r="NXH107"/>
      <c r="NXI107"/>
      <c r="NXJ107"/>
      <c r="NXK107"/>
      <c r="NXL107"/>
      <c r="NXM107"/>
      <c r="NXN107"/>
      <c r="NXO107"/>
      <c r="NXP107"/>
      <c r="NXQ107"/>
      <c r="NXR107"/>
      <c r="NXS107"/>
      <c r="NXT107"/>
      <c r="NXU107"/>
      <c r="NXV107"/>
      <c r="NXW107"/>
      <c r="NXX107"/>
      <c r="NXY107"/>
      <c r="NXZ107"/>
      <c r="NYA107"/>
      <c r="NYB107"/>
      <c r="NYC107"/>
      <c r="NYD107"/>
      <c r="NYE107"/>
      <c r="NYF107"/>
      <c r="NYG107"/>
      <c r="NYH107"/>
      <c r="NYI107"/>
      <c r="NYJ107"/>
      <c r="NYK107"/>
      <c r="NYL107"/>
      <c r="NYM107"/>
      <c r="NYN107"/>
      <c r="NYO107"/>
      <c r="NYP107"/>
      <c r="NYQ107"/>
      <c r="NYR107"/>
      <c r="NYS107"/>
      <c r="NYT107"/>
      <c r="NYU107"/>
      <c r="NYV107"/>
      <c r="NYW107"/>
      <c r="NYX107"/>
      <c r="NYY107"/>
      <c r="NYZ107"/>
      <c r="NZA107"/>
      <c r="NZB107"/>
      <c r="NZC107"/>
      <c r="NZD107"/>
      <c r="NZE107"/>
      <c r="NZF107"/>
      <c r="NZG107"/>
      <c r="NZH107"/>
      <c r="NZI107"/>
      <c r="NZJ107"/>
      <c r="NZK107"/>
      <c r="NZL107"/>
      <c r="NZM107"/>
      <c r="NZN107"/>
      <c r="NZO107"/>
      <c r="NZP107"/>
      <c r="NZQ107"/>
      <c r="NZR107"/>
      <c r="NZS107"/>
      <c r="NZT107"/>
      <c r="NZU107"/>
      <c r="NZV107"/>
      <c r="NZW107"/>
      <c r="NZX107"/>
      <c r="NZY107"/>
      <c r="NZZ107"/>
      <c r="OAA107"/>
      <c r="OAB107"/>
      <c r="OAC107"/>
      <c r="OAD107"/>
      <c r="OAE107"/>
      <c r="OAF107"/>
      <c r="OAG107"/>
      <c r="OAH107"/>
      <c r="OAI107"/>
      <c r="OAJ107"/>
      <c r="OAK107"/>
      <c r="OAL107"/>
      <c r="OAM107"/>
      <c r="OAN107"/>
      <c r="OAO107"/>
      <c r="OAP107"/>
      <c r="OAQ107"/>
      <c r="OAR107"/>
      <c r="OAS107"/>
      <c r="OAT107"/>
      <c r="OAU107"/>
      <c r="OAV107"/>
      <c r="OAW107"/>
      <c r="OAX107"/>
      <c r="OAY107"/>
      <c r="OAZ107"/>
      <c r="OBA107"/>
      <c r="OBB107"/>
      <c r="OBC107"/>
      <c r="OBD107"/>
      <c r="OBE107"/>
      <c r="OBF107"/>
      <c r="OBG107"/>
      <c r="OBH107"/>
      <c r="OBI107"/>
      <c r="OBJ107"/>
      <c r="OBK107"/>
      <c r="OBL107"/>
      <c r="OBM107"/>
      <c r="OBN107"/>
      <c r="OBO107"/>
      <c r="OBP107"/>
      <c r="OBQ107"/>
      <c r="OBR107"/>
      <c r="OBS107"/>
      <c r="OBT107"/>
      <c r="OBU107"/>
      <c r="OBV107"/>
      <c r="OBW107"/>
      <c r="OBX107"/>
      <c r="OBY107"/>
      <c r="OBZ107"/>
      <c r="OCA107"/>
      <c r="OCB107"/>
      <c r="OCC107"/>
      <c r="OCD107"/>
      <c r="OCE107"/>
      <c r="OCF107"/>
      <c r="OCG107"/>
      <c r="OCH107"/>
      <c r="OCI107"/>
      <c r="OCJ107"/>
      <c r="OCK107"/>
      <c r="OCL107"/>
      <c r="OCM107"/>
      <c r="OCN107"/>
      <c r="OCO107"/>
      <c r="OCP107"/>
      <c r="OCQ107"/>
      <c r="OCR107"/>
      <c r="OCS107"/>
      <c r="OCT107"/>
      <c r="OCU107"/>
      <c r="OCV107"/>
      <c r="OCW107"/>
      <c r="OCX107"/>
      <c r="OCY107"/>
      <c r="OCZ107"/>
      <c r="ODA107"/>
      <c r="ODB107"/>
      <c r="ODC107"/>
      <c r="ODD107"/>
      <c r="ODE107"/>
      <c r="ODF107"/>
      <c r="ODG107"/>
      <c r="ODH107"/>
      <c r="ODI107"/>
      <c r="ODJ107"/>
      <c r="ODK107"/>
      <c r="ODL107"/>
      <c r="ODM107"/>
      <c r="ODN107"/>
      <c r="ODO107"/>
      <c r="ODP107"/>
      <c r="ODQ107"/>
      <c r="ODR107"/>
      <c r="ODS107"/>
      <c r="ODT107"/>
      <c r="ODU107"/>
      <c r="ODV107"/>
      <c r="ODW107"/>
      <c r="ODX107"/>
      <c r="ODY107"/>
      <c r="ODZ107"/>
      <c r="OEA107"/>
      <c r="OEB107"/>
      <c r="OEC107"/>
      <c r="OED107"/>
      <c r="OEE107"/>
      <c r="OEF107"/>
      <c r="OEG107"/>
      <c r="OEH107"/>
      <c r="OEI107"/>
      <c r="OEJ107"/>
      <c r="OEK107"/>
      <c r="OEL107"/>
      <c r="OEM107"/>
      <c r="OEN107"/>
      <c r="OEO107"/>
      <c r="OEP107"/>
      <c r="OEQ107"/>
      <c r="OER107"/>
      <c r="OES107"/>
      <c r="OET107"/>
      <c r="OEU107"/>
      <c r="OEV107"/>
      <c r="OEW107"/>
      <c r="OEX107"/>
      <c r="OEY107"/>
      <c r="OEZ107"/>
      <c r="OFA107"/>
      <c r="OFB107"/>
      <c r="OFC107"/>
      <c r="OFD107"/>
      <c r="OFE107"/>
      <c r="OFF107"/>
      <c r="OFG107"/>
      <c r="OFH107"/>
      <c r="OFI107"/>
      <c r="OFJ107"/>
      <c r="OFK107"/>
      <c r="OFL107"/>
      <c r="OFM107"/>
      <c r="OFN107"/>
      <c r="OFO107"/>
      <c r="OFP107"/>
      <c r="OFQ107"/>
      <c r="OFR107"/>
      <c r="OFS107"/>
      <c r="OFT107"/>
      <c r="OFU107"/>
      <c r="OFV107"/>
      <c r="OFW107"/>
      <c r="OFX107"/>
      <c r="OFY107"/>
      <c r="OFZ107"/>
      <c r="OGA107"/>
      <c r="OGB107"/>
      <c r="OGC107"/>
      <c r="OGD107"/>
      <c r="OGE107"/>
      <c r="OGF107"/>
      <c r="OGG107"/>
      <c r="OGH107"/>
      <c r="OGI107"/>
      <c r="OGJ107"/>
      <c r="OGK107"/>
      <c r="OGL107"/>
      <c r="OGM107"/>
      <c r="OGN107"/>
      <c r="OGO107"/>
      <c r="OGP107"/>
      <c r="OGQ107"/>
      <c r="OGR107"/>
      <c r="OGS107"/>
      <c r="OGT107"/>
      <c r="OGU107"/>
      <c r="OGV107"/>
      <c r="OGW107"/>
      <c r="OGX107"/>
      <c r="OGY107"/>
      <c r="OGZ107"/>
      <c r="OHA107"/>
      <c r="OHB107"/>
      <c r="OHC107"/>
      <c r="OHD107"/>
      <c r="OHE107"/>
      <c r="OHF107"/>
      <c r="OHG107"/>
      <c r="OHH107"/>
      <c r="OHI107"/>
      <c r="OHJ107"/>
      <c r="OHK107"/>
      <c r="OHL107"/>
      <c r="OHM107"/>
      <c r="OHN107"/>
      <c r="OHO107"/>
      <c r="OHP107"/>
      <c r="OHQ107"/>
      <c r="OHR107"/>
      <c r="OHS107"/>
      <c r="OHT107"/>
      <c r="OHU107"/>
      <c r="OHV107"/>
      <c r="OHW107"/>
      <c r="OHX107"/>
      <c r="OHY107"/>
      <c r="OHZ107"/>
      <c r="OIA107"/>
      <c r="OIB107"/>
      <c r="OIC107"/>
      <c r="OID107"/>
      <c r="OIE107"/>
      <c r="OIF107"/>
      <c r="OIG107"/>
      <c r="OIH107"/>
      <c r="OII107"/>
      <c r="OIJ107"/>
      <c r="OIK107"/>
      <c r="OIL107"/>
      <c r="OIM107"/>
      <c r="OIN107"/>
      <c r="OIO107"/>
      <c r="OIP107"/>
      <c r="OIQ107"/>
      <c r="OIR107"/>
      <c r="OIS107"/>
      <c r="OIT107"/>
      <c r="OIU107"/>
      <c r="OIV107"/>
      <c r="OIW107"/>
      <c r="OIX107"/>
      <c r="OIY107"/>
      <c r="OIZ107"/>
      <c r="OJA107"/>
      <c r="OJB107"/>
      <c r="OJC107"/>
      <c r="OJD107"/>
      <c r="OJE107"/>
      <c r="OJF107"/>
      <c r="OJG107"/>
      <c r="OJH107"/>
      <c r="OJI107"/>
      <c r="OJJ107"/>
      <c r="OJK107"/>
      <c r="OJL107"/>
      <c r="OJM107"/>
      <c r="OJN107"/>
      <c r="OJO107"/>
      <c r="OJP107"/>
      <c r="OJQ107"/>
      <c r="OJR107"/>
      <c r="OJS107"/>
      <c r="OJT107"/>
      <c r="OJU107"/>
      <c r="OJV107"/>
      <c r="OJW107"/>
      <c r="OJX107"/>
      <c r="OJY107"/>
      <c r="OJZ107"/>
      <c r="OKA107"/>
      <c r="OKB107"/>
      <c r="OKC107"/>
      <c r="OKD107"/>
      <c r="OKE107"/>
      <c r="OKF107"/>
      <c r="OKG107"/>
      <c r="OKH107"/>
      <c r="OKI107"/>
      <c r="OKJ107"/>
      <c r="OKK107"/>
      <c r="OKL107"/>
      <c r="OKM107"/>
      <c r="OKN107"/>
      <c r="OKO107"/>
      <c r="OKP107"/>
      <c r="OKQ107"/>
      <c r="OKR107"/>
      <c r="OKS107"/>
      <c r="OKT107"/>
      <c r="OKU107"/>
      <c r="OKV107"/>
      <c r="OKW107"/>
      <c r="OKX107"/>
      <c r="OKY107"/>
      <c r="OKZ107"/>
      <c r="OLA107"/>
      <c r="OLB107"/>
      <c r="OLC107"/>
      <c r="OLD107"/>
      <c r="OLE107"/>
      <c r="OLF107"/>
      <c r="OLG107"/>
      <c r="OLH107"/>
      <c r="OLI107"/>
      <c r="OLJ107"/>
      <c r="OLK107"/>
      <c r="OLL107"/>
      <c r="OLM107"/>
      <c r="OLN107"/>
      <c r="OLO107"/>
      <c r="OLP107"/>
      <c r="OLQ107"/>
      <c r="OLR107"/>
      <c r="OLS107"/>
      <c r="OLT107"/>
      <c r="OLU107"/>
      <c r="OLV107"/>
      <c r="OLW107"/>
      <c r="OLX107"/>
      <c r="OLY107"/>
      <c r="OLZ107"/>
      <c r="OMA107"/>
      <c r="OMB107"/>
      <c r="OMC107"/>
      <c r="OMD107"/>
      <c r="OME107"/>
      <c r="OMF107"/>
      <c r="OMG107"/>
      <c r="OMH107"/>
      <c r="OMI107"/>
      <c r="OMJ107"/>
      <c r="OMK107"/>
      <c r="OML107"/>
      <c r="OMM107"/>
      <c r="OMN107"/>
      <c r="OMO107"/>
      <c r="OMP107"/>
      <c r="OMQ107"/>
      <c r="OMR107"/>
      <c r="OMS107"/>
      <c r="OMT107"/>
      <c r="OMU107"/>
      <c r="OMV107"/>
      <c r="OMW107"/>
      <c r="OMX107"/>
      <c r="OMY107"/>
      <c r="OMZ107"/>
      <c r="ONA107"/>
      <c r="ONB107"/>
      <c r="ONC107"/>
      <c r="OND107"/>
      <c r="ONE107"/>
      <c r="ONF107"/>
      <c r="ONG107"/>
      <c r="ONH107"/>
      <c r="ONI107"/>
      <c r="ONJ107"/>
      <c r="ONK107"/>
      <c r="ONL107"/>
      <c r="ONM107"/>
      <c r="ONN107"/>
      <c r="ONO107"/>
      <c r="ONP107"/>
      <c r="ONQ107"/>
      <c r="ONR107"/>
      <c r="ONS107"/>
      <c r="ONT107"/>
      <c r="ONU107"/>
      <c r="ONV107"/>
      <c r="ONW107"/>
      <c r="ONX107"/>
      <c r="ONY107"/>
      <c r="ONZ107"/>
      <c r="OOA107"/>
      <c r="OOB107"/>
      <c r="OOC107"/>
      <c r="OOD107"/>
      <c r="OOE107"/>
      <c r="OOF107"/>
      <c r="OOG107"/>
      <c r="OOH107"/>
      <c r="OOI107"/>
      <c r="OOJ107"/>
      <c r="OOK107"/>
      <c r="OOL107"/>
      <c r="OOM107"/>
      <c r="OON107"/>
      <c r="OOO107"/>
      <c r="OOP107"/>
      <c r="OOQ107"/>
      <c r="OOR107"/>
      <c r="OOS107"/>
      <c r="OOT107"/>
      <c r="OOU107"/>
      <c r="OOV107"/>
      <c r="OOW107"/>
      <c r="OOX107"/>
      <c r="OOY107"/>
      <c r="OOZ107"/>
      <c r="OPA107"/>
      <c r="OPB107"/>
      <c r="OPC107"/>
      <c r="OPD107"/>
      <c r="OPE107"/>
      <c r="OPF107"/>
      <c r="OPG107"/>
      <c r="OPH107"/>
      <c r="OPI107"/>
      <c r="OPJ107"/>
      <c r="OPK107"/>
      <c r="OPL107"/>
      <c r="OPM107"/>
      <c r="OPN107"/>
      <c r="OPO107"/>
      <c r="OPP107"/>
      <c r="OPQ107"/>
      <c r="OPR107"/>
      <c r="OPS107"/>
      <c r="OPT107"/>
      <c r="OPU107"/>
      <c r="OPV107"/>
      <c r="OPW107"/>
      <c r="OPX107"/>
      <c r="OPY107"/>
      <c r="OPZ107"/>
      <c r="OQA107"/>
      <c r="OQB107"/>
      <c r="OQC107"/>
      <c r="OQD107"/>
      <c r="OQE107"/>
      <c r="OQF107"/>
      <c r="OQG107"/>
      <c r="OQH107"/>
      <c r="OQI107"/>
      <c r="OQJ107"/>
      <c r="OQK107"/>
      <c r="OQL107"/>
      <c r="OQM107"/>
      <c r="OQN107"/>
      <c r="OQO107"/>
      <c r="OQP107"/>
      <c r="OQQ107"/>
      <c r="OQR107"/>
      <c r="OQS107"/>
      <c r="OQT107"/>
      <c r="OQU107"/>
      <c r="OQV107"/>
      <c r="OQW107"/>
      <c r="OQX107"/>
      <c r="OQY107"/>
      <c r="OQZ107"/>
      <c r="ORA107"/>
      <c r="ORB107"/>
      <c r="ORC107"/>
      <c r="ORD107"/>
      <c r="ORE107"/>
      <c r="ORF107"/>
      <c r="ORG107"/>
      <c r="ORH107"/>
      <c r="ORI107"/>
      <c r="ORJ107"/>
      <c r="ORK107"/>
      <c r="ORL107"/>
      <c r="ORM107"/>
      <c r="ORN107"/>
      <c r="ORO107"/>
      <c r="ORP107"/>
      <c r="ORQ107"/>
      <c r="ORR107"/>
      <c r="ORS107"/>
      <c r="ORT107"/>
      <c r="ORU107"/>
      <c r="ORV107"/>
      <c r="ORW107"/>
      <c r="ORX107"/>
      <c r="ORY107"/>
      <c r="ORZ107"/>
      <c r="OSA107"/>
      <c r="OSB107"/>
      <c r="OSC107"/>
      <c r="OSD107"/>
      <c r="OSE107"/>
      <c r="OSF107"/>
      <c r="OSG107"/>
      <c r="OSH107"/>
      <c r="OSI107"/>
      <c r="OSJ107"/>
      <c r="OSK107"/>
      <c r="OSL107"/>
      <c r="OSM107"/>
      <c r="OSN107"/>
      <c r="OSO107"/>
      <c r="OSP107"/>
      <c r="OSQ107"/>
      <c r="OSR107"/>
      <c r="OSS107"/>
      <c r="OST107"/>
      <c r="OSU107"/>
      <c r="OSV107"/>
      <c r="OSW107"/>
      <c r="OSX107"/>
      <c r="OSY107"/>
      <c r="OSZ107"/>
      <c r="OTA107"/>
      <c r="OTB107"/>
      <c r="OTC107"/>
      <c r="OTD107"/>
      <c r="OTE107"/>
      <c r="OTF107"/>
      <c r="OTG107"/>
      <c r="OTH107"/>
      <c r="OTI107"/>
      <c r="OTJ107"/>
      <c r="OTK107"/>
      <c r="OTL107"/>
      <c r="OTM107"/>
      <c r="OTN107"/>
      <c r="OTO107"/>
      <c r="OTP107"/>
      <c r="OTQ107"/>
      <c r="OTR107"/>
      <c r="OTS107"/>
      <c r="OTT107"/>
      <c r="OTU107"/>
      <c r="OTV107"/>
      <c r="OTW107"/>
      <c r="OTX107"/>
      <c r="OTY107"/>
      <c r="OTZ107"/>
      <c r="OUA107"/>
      <c r="OUB107"/>
      <c r="OUC107"/>
      <c r="OUD107"/>
      <c r="OUE107"/>
      <c r="OUF107"/>
      <c r="OUG107"/>
      <c r="OUH107"/>
      <c r="OUI107"/>
      <c r="OUJ107"/>
      <c r="OUK107"/>
      <c r="OUL107"/>
      <c r="OUM107"/>
      <c r="OUN107"/>
      <c r="OUO107"/>
      <c r="OUP107"/>
      <c r="OUQ107"/>
      <c r="OUR107"/>
      <c r="OUS107"/>
      <c r="OUT107"/>
      <c r="OUU107"/>
      <c r="OUV107"/>
      <c r="OUW107"/>
      <c r="OUX107"/>
      <c r="OUY107"/>
      <c r="OUZ107"/>
      <c r="OVA107"/>
      <c r="OVB107"/>
      <c r="OVC107"/>
      <c r="OVD107"/>
      <c r="OVE107"/>
      <c r="OVF107"/>
      <c r="OVG107"/>
      <c r="OVH107"/>
      <c r="OVI107"/>
      <c r="OVJ107"/>
      <c r="OVK107"/>
      <c r="OVL107"/>
      <c r="OVM107"/>
      <c r="OVN107"/>
      <c r="OVO107"/>
      <c r="OVP107"/>
      <c r="OVQ107"/>
      <c r="OVR107"/>
      <c r="OVS107"/>
      <c r="OVT107"/>
      <c r="OVU107"/>
      <c r="OVV107"/>
      <c r="OVW107"/>
      <c r="OVX107"/>
      <c r="OVY107"/>
      <c r="OVZ107"/>
      <c r="OWA107"/>
      <c r="OWB107"/>
      <c r="OWC107"/>
      <c r="OWD107"/>
      <c r="OWE107"/>
      <c r="OWF107"/>
      <c r="OWG107"/>
      <c r="OWH107"/>
      <c r="OWI107"/>
      <c r="OWJ107"/>
      <c r="OWK107"/>
      <c r="OWL107"/>
      <c r="OWM107"/>
      <c r="OWN107"/>
      <c r="OWO107"/>
      <c r="OWP107"/>
      <c r="OWQ107"/>
      <c r="OWR107"/>
      <c r="OWS107"/>
      <c r="OWT107"/>
      <c r="OWU107"/>
      <c r="OWV107"/>
      <c r="OWW107"/>
      <c r="OWX107"/>
      <c r="OWY107"/>
      <c r="OWZ107"/>
      <c r="OXA107"/>
      <c r="OXB107"/>
      <c r="OXC107"/>
      <c r="OXD107"/>
      <c r="OXE107"/>
      <c r="OXF107"/>
      <c r="OXG107"/>
      <c r="OXH107"/>
      <c r="OXI107"/>
      <c r="OXJ107"/>
      <c r="OXK107"/>
      <c r="OXL107"/>
      <c r="OXM107"/>
      <c r="OXN107"/>
      <c r="OXO107"/>
      <c r="OXP107"/>
      <c r="OXQ107"/>
      <c r="OXR107"/>
      <c r="OXS107"/>
      <c r="OXT107"/>
      <c r="OXU107"/>
      <c r="OXV107"/>
      <c r="OXW107"/>
      <c r="OXX107"/>
      <c r="OXY107"/>
      <c r="OXZ107"/>
      <c r="OYA107"/>
      <c r="OYB107"/>
      <c r="OYC107"/>
      <c r="OYD107"/>
      <c r="OYE107"/>
      <c r="OYF107"/>
      <c r="OYG107"/>
      <c r="OYH107"/>
      <c r="OYI107"/>
      <c r="OYJ107"/>
      <c r="OYK107"/>
      <c r="OYL107"/>
      <c r="OYM107"/>
      <c r="OYN107"/>
      <c r="OYO107"/>
      <c r="OYP107"/>
      <c r="OYQ107"/>
      <c r="OYR107"/>
      <c r="OYS107"/>
      <c r="OYT107"/>
      <c r="OYU107"/>
      <c r="OYV107"/>
      <c r="OYW107"/>
      <c r="OYX107"/>
      <c r="OYY107"/>
      <c r="OYZ107"/>
      <c r="OZA107"/>
      <c r="OZB107"/>
      <c r="OZC107"/>
      <c r="OZD107"/>
      <c r="OZE107"/>
      <c r="OZF107"/>
      <c r="OZG107"/>
      <c r="OZH107"/>
      <c r="OZI107"/>
      <c r="OZJ107"/>
      <c r="OZK107"/>
      <c r="OZL107"/>
      <c r="OZM107"/>
      <c r="OZN107"/>
      <c r="OZO107"/>
      <c r="OZP107"/>
      <c r="OZQ107"/>
      <c r="OZR107"/>
      <c r="OZS107"/>
      <c r="OZT107"/>
      <c r="OZU107"/>
      <c r="OZV107"/>
      <c r="OZW107"/>
      <c r="OZX107"/>
      <c r="OZY107"/>
      <c r="OZZ107"/>
      <c r="PAA107"/>
      <c r="PAB107"/>
      <c r="PAC107"/>
      <c r="PAD107"/>
      <c r="PAE107"/>
      <c r="PAF107"/>
      <c r="PAG107"/>
      <c r="PAH107"/>
      <c r="PAI107"/>
      <c r="PAJ107"/>
      <c r="PAK107"/>
      <c r="PAL107"/>
      <c r="PAM107"/>
      <c r="PAN107"/>
      <c r="PAO107"/>
      <c r="PAP107"/>
      <c r="PAQ107"/>
      <c r="PAR107"/>
      <c r="PAS107"/>
      <c r="PAT107"/>
      <c r="PAU107"/>
      <c r="PAV107"/>
      <c r="PAW107"/>
      <c r="PAX107"/>
      <c r="PAY107"/>
      <c r="PAZ107"/>
      <c r="PBA107"/>
      <c r="PBB107"/>
      <c r="PBC107"/>
      <c r="PBD107"/>
      <c r="PBE107"/>
      <c r="PBF107"/>
      <c r="PBG107"/>
      <c r="PBH107"/>
      <c r="PBI107"/>
      <c r="PBJ107"/>
      <c r="PBK107"/>
      <c r="PBL107"/>
      <c r="PBM107"/>
      <c r="PBN107"/>
      <c r="PBO107"/>
      <c r="PBP107"/>
      <c r="PBQ107"/>
      <c r="PBR107"/>
      <c r="PBS107"/>
      <c r="PBT107"/>
      <c r="PBU107"/>
      <c r="PBV107"/>
      <c r="PBW107"/>
      <c r="PBX107"/>
      <c r="PBY107"/>
      <c r="PBZ107"/>
      <c r="PCA107"/>
      <c r="PCB107"/>
      <c r="PCC107"/>
      <c r="PCD107"/>
      <c r="PCE107"/>
      <c r="PCF107"/>
      <c r="PCG107"/>
      <c r="PCH107"/>
      <c r="PCI107"/>
      <c r="PCJ107"/>
      <c r="PCK107"/>
      <c r="PCL107"/>
      <c r="PCM107"/>
      <c r="PCN107"/>
      <c r="PCO107"/>
      <c r="PCP107"/>
      <c r="PCQ107"/>
      <c r="PCR107"/>
      <c r="PCS107"/>
      <c r="PCT107"/>
      <c r="PCU107"/>
      <c r="PCV107"/>
      <c r="PCW107"/>
      <c r="PCX107"/>
      <c r="PCY107"/>
      <c r="PCZ107"/>
      <c r="PDA107"/>
      <c r="PDB107"/>
      <c r="PDC107"/>
      <c r="PDD107"/>
      <c r="PDE107"/>
      <c r="PDF107"/>
      <c r="PDG107"/>
      <c r="PDH107"/>
      <c r="PDI107"/>
      <c r="PDJ107"/>
      <c r="PDK107"/>
      <c r="PDL107"/>
      <c r="PDM107"/>
      <c r="PDN107"/>
      <c r="PDO107"/>
      <c r="PDP107"/>
      <c r="PDQ107"/>
      <c r="PDR107"/>
      <c r="PDS107"/>
      <c r="PDT107"/>
      <c r="PDU107"/>
      <c r="PDV107"/>
      <c r="PDW107"/>
      <c r="PDX107"/>
      <c r="PDY107"/>
      <c r="PDZ107"/>
      <c r="PEA107"/>
      <c r="PEB107"/>
      <c r="PEC107"/>
      <c r="PED107"/>
      <c r="PEE107"/>
      <c r="PEF107"/>
      <c r="PEG107"/>
      <c r="PEH107"/>
      <c r="PEI107"/>
      <c r="PEJ107"/>
      <c r="PEK107"/>
      <c r="PEL107"/>
      <c r="PEM107"/>
      <c r="PEN107"/>
      <c r="PEO107"/>
      <c r="PEP107"/>
      <c r="PEQ107"/>
      <c r="PER107"/>
      <c r="PES107"/>
      <c r="PET107"/>
      <c r="PEU107"/>
      <c r="PEV107"/>
      <c r="PEW107"/>
      <c r="PEX107"/>
      <c r="PEY107"/>
      <c r="PEZ107"/>
      <c r="PFA107"/>
      <c r="PFB107"/>
      <c r="PFC107"/>
      <c r="PFD107"/>
      <c r="PFE107"/>
      <c r="PFF107"/>
      <c r="PFG107"/>
      <c r="PFH107"/>
      <c r="PFI107"/>
      <c r="PFJ107"/>
      <c r="PFK107"/>
      <c r="PFL107"/>
      <c r="PFM107"/>
      <c r="PFN107"/>
      <c r="PFO107"/>
      <c r="PFP107"/>
      <c r="PFQ107"/>
      <c r="PFR107"/>
      <c r="PFS107"/>
      <c r="PFT107"/>
      <c r="PFU107"/>
      <c r="PFV107"/>
      <c r="PFW107"/>
      <c r="PFX107"/>
      <c r="PFY107"/>
      <c r="PFZ107"/>
      <c r="PGA107"/>
      <c r="PGB107"/>
      <c r="PGC107"/>
      <c r="PGD107"/>
      <c r="PGE107"/>
      <c r="PGF107"/>
      <c r="PGG107"/>
      <c r="PGH107"/>
      <c r="PGI107"/>
      <c r="PGJ107"/>
      <c r="PGK107"/>
      <c r="PGL107"/>
      <c r="PGM107"/>
      <c r="PGN107"/>
      <c r="PGO107"/>
      <c r="PGP107"/>
      <c r="PGQ107"/>
      <c r="PGR107"/>
      <c r="PGS107"/>
      <c r="PGT107"/>
      <c r="PGU107"/>
      <c r="PGV107"/>
      <c r="PGW107"/>
      <c r="PGX107"/>
      <c r="PGY107"/>
      <c r="PGZ107"/>
      <c r="PHA107"/>
      <c r="PHB107"/>
      <c r="PHC107"/>
      <c r="PHD107"/>
      <c r="PHE107"/>
      <c r="PHF107"/>
      <c r="PHG107"/>
      <c r="PHH107"/>
      <c r="PHI107"/>
      <c r="PHJ107"/>
      <c r="PHK107"/>
      <c r="PHL107"/>
      <c r="PHM107"/>
      <c r="PHN107"/>
      <c r="PHO107"/>
      <c r="PHP107"/>
      <c r="PHQ107"/>
      <c r="PHR107"/>
      <c r="PHS107"/>
      <c r="PHT107"/>
      <c r="PHU107"/>
      <c r="PHV107"/>
      <c r="PHW107"/>
      <c r="PHX107"/>
      <c r="PHY107"/>
      <c r="PHZ107"/>
      <c r="PIA107"/>
      <c r="PIB107"/>
      <c r="PIC107"/>
      <c r="PID107"/>
      <c r="PIE107"/>
      <c r="PIF107"/>
      <c r="PIG107"/>
      <c r="PIH107"/>
      <c r="PII107"/>
      <c r="PIJ107"/>
      <c r="PIK107"/>
      <c r="PIL107"/>
      <c r="PIM107"/>
      <c r="PIN107"/>
      <c r="PIO107"/>
      <c r="PIP107"/>
      <c r="PIQ107"/>
      <c r="PIR107"/>
      <c r="PIS107"/>
      <c r="PIT107"/>
      <c r="PIU107"/>
      <c r="PIV107"/>
      <c r="PIW107"/>
      <c r="PIX107"/>
      <c r="PIY107"/>
      <c r="PIZ107"/>
      <c r="PJA107"/>
      <c r="PJB107"/>
      <c r="PJC107"/>
      <c r="PJD107"/>
      <c r="PJE107"/>
      <c r="PJF107"/>
      <c r="PJG107"/>
      <c r="PJH107"/>
      <c r="PJI107"/>
      <c r="PJJ107"/>
      <c r="PJK107"/>
      <c r="PJL107"/>
      <c r="PJM107"/>
      <c r="PJN107"/>
      <c r="PJO107"/>
      <c r="PJP107"/>
      <c r="PJQ107"/>
      <c r="PJR107"/>
      <c r="PJS107"/>
      <c r="PJT107"/>
      <c r="PJU107"/>
      <c r="PJV107"/>
      <c r="PJW107"/>
      <c r="PJX107"/>
      <c r="PJY107"/>
      <c r="PJZ107"/>
      <c r="PKA107"/>
      <c r="PKB107"/>
      <c r="PKC107"/>
      <c r="PKD107"/>
      <c r="PKE107"/>
      <c r="PKF107"/>
      <c r="PKG107"/>
      <c r="PKH107"/>
      <c r="PKI107"/>
      <c r="PKJ107"/>
      <c r="PKK107"/>
      <c r="PKL107"/>
      <c r="PKM107"/>
      <c r="PKN107"/>
      <c r="PKO107"/>
      <c r="PKP107"/>
      <c r="PKQ107"/>
      <c r="PKR107"/>
      <c r="PKS107"/>
      <c r="PKT107"/>
      <c r="PKU107"/>
      <c r="PKV107"/>
      <c r="PKW107"/>
      <c r="PKX107"/>
      <c r="PKY107"/>
      <c r="PKZ107"/>
      <c r="PLA107"/>
      <c r="PLB107"/>
      <c r="PLC107"/>
      <c r="PLD107"/>
      <c r="PLE107"/>
      <c r="PLF107"/>
      <c r="PLG107"/>
      <c r="PLH107"/>
      <c r="PLI107"/>
      <c r="PLJ107"/>
      <c r="PLK107"/>
      <c r="PLL107"/>
      <c r="PLM107"/>
      <c r="PLN107"/>
      <c r="PLO107"/>
      <c r="PLP107"/>
      <c r="PLQ107"/>
      <c r="PLR107"/>
      <c r="PLS107"/>
      <c r="PLT107"/>
      <c r="PLU107"/>
      <c r="PLV107"/>
      <c r="PLW107"/>
      <c r="PLX107"/>
      <c r="PLY107"/>
      <c r="PLZ107"/>
      <c r="PMA107"/>
      <c r="PMB107"/>
      <c r="PMC107"/>
      <c r="PMD107"/>
      <c r="PME107"/>
      <c r="PMF107"/>
      <c r="PMG107"/>
      <c r="PMH107"/>
      <c r="PMI107"/>
      <c r="PMJ107"/>
      <c r="PMK107"/>
      <c r="PML107"/>
      <c r="PMM107"/>
      <c r="PMN107"/>
      <c r="PMO107"/>
      <c r="PMP107"/>
      <c r="PMQ107"/>
      <c r="PMR107"/>
      <c r="PMS107"/>
      <c r="PMT107"/>
      <c r="PMU107"/>
      <c r="PMV107"/>
      <c r="PMW107"/>
      <c r="PMX107"/>
      <c r="PMY107"/>
      <c r="PMZ107"/>
      <c r="PNA107"/>
      <c r="PNB107"/>
      <c r="PNC107"/>
      <c r="PND107"/>
      <c r="PNE107"/>
      <c r="PNF107"/>
      <c r="PNG107"/>
      <c r="PNH107"/>
      <c r="PNI107"/>
      <c r="PNJ107"/>
      <c r="PNK107"/>
      <c r="PNL107"/>
      <c r="PNM107"/>
      <c r="PNN107"/>
      <c r="PNO107"/>
      <c r="PNP107"/>
      <c r="PNQ107"/>
      <c r="PNR107"/>
      <c r="PNS107"/>
      <c r="PNT107"/>
      <c r="PNU107"/>
      <c r="PNV107"/>
      <c r="PNW107"/>
      <c r="PNX107"/>
      <c r="PNY107"/>
      <c r="PNZ107"/>
      <c r="POA107"/>
      <c r="POB107"/>
      <c r="POC107"/>
      <c r="POD107"/>
      <c r="POE107"/>
      <c r="POF107"/>
      <c r="POG107"/>
      <c r="POH107"/>
      <c r="POI107"/>
      <c r="POJ107"/>
      <c r="POK107"/>
      <c r="POL107"/>
      <c r="POM107"/>
      <c r="PON107"/>
      <c r="POO107"/>
      <c r="POP107"/>
      <c r="POQ107"/>
      <c r="POR107"/>
      <c r="POS107"/>
      <c r="POT107"/>
      <c r="POU107"/>
      <c r="POV107"/>
      <c r="POW107"/>
      <c r="POX107"/>
      <c r="POY107"/>
      <c r="POZ107"/>
      <c r="PPA107"/>
      <c r="PPB107"/>
      <c r="PPC107"/>
      <c r="PPD107"/>
      <c r="PPE107"/>
      <c r="PPF107"/>
      <c r="PPG107"/>
      <c r="PPH107"/>
      <c r="PPI107"/>
      <c r="PPJ107"/>
      <c r="PPK107"/>
      <c r="PPL107"/>
      <c r="PPM107"/>
      <c r="PPN107"/>
      <c r="PPO107"/>
      <c r="PPP107"/>
      <c r="PPQ107"/>
      <c r="PPR107"/>
      <c r="PPS107"/>
      <c r="PPT107"/>
      <c r="PPU107"/>
      <c r="PPV107"/>
      <c r="PPW107"/>
      <c r="PPX107"/>
      <c r="PPY107"/>
      <c r="PPZ107"/>
      <c r="PQA107"/>
      <c r="PQB107"/>
      <c r="PQC107"/>
      <c r="PQD107"/>
      <c r="PQE107"/>
      <c r="PQF107"/>
      <c r="PQG107"/>
      <c r="PQH107"/>
      <c r="PQI107"/>
      <c r="PQJ107"/>
      <c r="PQK107"/>
      <c r="PQL107"/>
      <c r="PQM107"/>
      <c r="PQN107"/>
      <c r="PQO107"/>
      <c r="PQP107"/>
      <c r="PQQ107"/>
      <c r="PQR107"/>
      <c r="PQS107"/>
      <c r="PQT107"/>
      <c r="PQU107"/>
      <c r="PQV107"/>
      <c r="PQW107"/>
      <c r="PQX107"/>
      <c r="PQY107"/>
      <c r="PQZ107"/>
      <c r="PRA107"/>
      <c r="PRB107"/>
      <c r="PRC107"/>
      <c r="PRD107"/>
      <c r="PRE107"/>
      <c r="PRF107"/>
      <c r="PRG107"/>
      <c r="PRH107"/>
      <c r="PRI107"/>
      <c r="PRJ107"/>
      <c r="PRK107"/>
      <c r="PRL107"/>
      <c r="PRM107"/>
      <c r="PRN107"/>
      <c r="PRO107"/>
      <c r="PRP107"/>
      <c r="PRQ107"/>
      <c r="PRR107"/>
      <c r="PRS107"/>
      <c r="PRT107"/>
      <c r="PRU107"/>
      <c r="PRV107"/>
      <c r="PRW107"/>
      <c r="PRX107"/>
      <c r="PRY107"/>
      <c r="PRZ107"/>
      <c r="PSA107"/>
      <c r="PSB107"/>
      <c r="PSC107"/>
      <c r="PSD107"/>
      <c r="PSE107"/>
      <c r="PSF107"/>
      <c r="PSG107"/>
      <c r="PSH107"/>
      <c r="PSI107"/>
      <c r="PSJ107"/>
      <c r="PSK107"/>
      <c r="PSL107"/>
      <c r="PSM107"/>
      <c r="PSN107"/>
      <c r="PSO107"/>
      <c r="PSP107"/>
      <c r="PSQ107"/>
      <c r="PSR107"/>
      <c r="PSS107"/>
      <c r="PST107"/>
      <c r="PSU107"/>
      <c r="PSV107"/>
      <c r="PSW107"/>
      <c r="PSX107"/>
      <c r="PSY107"/>
      <c r="PSZ107"/>
      <c r="PTA107"/>
      <c r="PTB107"/>
      <c r="PTC107"/>
      <c r="PTD107"/>
      <c r="PTE107"/>
      <c r="PTF107"/>
      <c r="PTG107"/>
      <c r="PTH107"/>
      <c r="PTI107"/>
      <c r="PTJ107"/>
      <c r="PTK107"/>
      <c r="PTL107"/>
      <c r="PTM107"/>
      <c r="PTN107"/>
      <c r="PTO107"/>
      <c r="PTP107"/>
      <c r="PTQ107"/>
      <c r="PTR107"/>
      <c r="PTS107"/>
      <c r="PTT107"/>
      <c r="PTU107"/>
      <c r="PTV107"/>
      <c r="PTW107"/>
      <c r="PTX107"/>
      <c r="PTY107"/>
      <c r="PTZ107"/>
      <c r="PUA107"/>
      <c r="PUB107"/>
      <c r="PUC107"/>
      <c r="PUD107"/>
      <c r="PUE107"/>
      <c r="PUF107"/>
      <c r="PUG107"/>
      <c r="PUH107"/>
      <c r="PUI107"/>
      <c r="PUJ107"/>
      <c r="PUK107"/>
      <c r="PUL107"/>
      <c r="PUM107"/>
      <c r="PUN107"/>
      <c r="PUO107"/>
      <c r="PUP107"/>
      <c r="PUQ107"/>
      <c r="PUR107"/>
      <c r="PUS107"/>
      <c r="PUT107"/>
      <c r="PUU107"/>
      <c r="PUV107"/>
      <c r="PUW107"/>
      <c r="PUX107"/>
      <c r="PUY107"/>
      <c r="PUZ107"/>
      <c r="PVA107"/>
      <c r="PVB107"/>
      <c r="PVC107"/>
      <c r="PVD107"/>
      <c r="PVE107"/>
      <c r="PVF107"/>
      <c r="PVG107"/>
      <c r="PVH107"/>
      <c r="PVI107"/>
      <c r="PVJ107"/>
      <c r="PVK107"/>
      <c r="PVL107"/>
      <c r="PVM107"/>
      <c r="PVN107"/>
      <c r="PVO107"/>
      <c r="PVP107"/>
      <c r="PVQ107"/>
      <c r="PVR107"/>
      <c r="PVS107"/>
      <c r="PVT107"/>
      <c r="PVU107"/>
      <c r="PVV107"/>
      <c r="PVW107"/>
      <c r="PVX107"/>
      <c r="PVY107"/>
      <c r="PVZ107"/>
      <c r="PWA107"/>
      <c r="PWB107"/>
      <c r="PWC107"/>
      <c r="PWD107"/>
      <c r="PWE107"/>
      <c r="PWF107"/>
      <c r="PWG107"/>
      <c r="PWH107"/>
      <c r="PWI107"/>
      <c r="PWJ107"/>
      <c r="PWK107"/>
      <c r="PWL107"/>
      <c r="PWM107"/>
      <c r="PWN107"/>
      <c r="PWO107"/>
      <c r="PWP107"/>
      <c r="PWQ107"/>
      <c r="PWR107"/>
      <c r="PWS107"/>
      <c r="PWT107"/>
      <c r="PWU107"/>
      <c r="PWV107"/>
      <c r="PWW107"/>
      <c r="PWX107"/>
      <c r="PWY107"/>
      <c r="PWZ107"/>
      <c r="PXA107"/>
      <c r="PXB107"/>
      <c r="PXC107"/>
      <c r="PXD107"/>
      <c r="PXE107"/>
      <c r="PXF107"/>
      <c r="PXG107"/>
      <c r="PXH107"/>
      <c r="PXI107"/>
      <c r="PXJ107"/>
      <c r="PXK107"/>
      <c r="PXL107"/>
      <c r="PXM107"/>
      <c r="PXN107"/>
      <c r="PXO107"/>
      <c r="PXP107"/>
      <c r="PXQ107"/>
      <c r="PXR107"/>
      <c r="PXS107"/>
      <c r="PXT107"/>
      <c r="PXU107"/>
      <c r="PXV107"/>
      <c r="PXW107"/>
      <c r="PXX107"/>
      <c r="PXY107"/>
      <c r="PXZ107"/>
      <c r="PYA107"/>
      <c r="PYB107"/>
      <c r="PYC107"/>
      <c r="PYD107"/>
      <c r="PYE107"/>
      <c r="PYF107"/>
      <c r="PYG107"/>
      <c r="PYH107"/>
      <c r="PYI107"/>
      <c r="PYJ107"/>
      <c r="PYK107"/>
      <c r="PYL107"/>
      <c r="PYM107"/>
      <c r="PYN107"/>
      <c r="PYO107"/>
      <c r="PYP107"/>
      <c r="PYQ107"/>
      <c r="PYR107"/>
      <c r="PYS107"/>
      <c r="PYT107"/>
      <c r="PYU107"/>
      <c r="PYV107"/>
      <c r="PYW107"/>
      <c r="PYX107"/>
      <c r="PYY107"/>
      <c r="PYZ107"/>
      <c r="PZA107"/>
      <c r="PZB107"/>
      <c r="PZC107"/>
      <c r="PZD107"/>
      <c r="PZE107"/>
      <c r="PZF107"/>
      <c r="PZG107"/>
      <c r="PZH107"/>
      <c r="PZI107"/>
      <c r="PZJ107"/>
      <c r="PZK107"/>
      <c r="PZL107"/>
      <c r="PZM107"/>
      <c r="PZN107"/>
      <c r="PZO107"/>
      <c r="PZP107"/>
      <c r="PZQ107"/>
      <c r="PZR107"/>
      <c r="PZS107"/>
      <c r="PZT107"/>
      <c r="PZU107"/>
      <c r="PZV107"/>
      <c r="PZW107"/>
      <c r="PZX107"/>
      <c r="PZY107"/>
      <c r="PZZ107"/>
      <c r="QAA107"/>
      <c r="QAB107"/>
      <c r="QAC107"/>
      <c r="QAD107"/>
      <c r="QAE107"/>
      <c r="QAF107"/>
      <c r="QAG107"/>
      <c r="QAH107"/>
      <c r="QAI107"/>
      <c r="QAJ107"/>
      <c r="QAK107"/>
      <c r="QAL107"/>
      <c r="QAM107"/>
      <c r="QAN107"/>
      <c r="QAO107"/>
      <c r="QAP107"/>
      <c r="QAQ107"/>
      <c r="QAR107"/>
      <c r="QAS107"/>
      <c r="QAT107"/>
      <c r="QAU107"/>
      <c r="QAV107"/>
      <c r="QAW107"/>
      <c r="QAX107"/>
      <c r="QAY107"/>
      <c r="QAZ107"/>
      <c r="QBA107"/>
      <c r="QBB107"/>
      <c r="QBC107"/>
      <c r="QBD107"/>
      <c r="QBE107"/>
      <c r="QBF107"/>
      <c r="QBG107"/>
      <c r="QBH107"/>
      <c r="QBI107"/>
      <c r="QBJ107"/>
      <c r="QBK107"/>
      <c r="QBL107"/>
      <c r="QBM107"/>
      <c r="QBN107"/>
      <c r="QBO107"/>
      <c r="QBP107"/>
      <c r="QBQ107"/>
      <c r="QBR107"/>
      <c r="QBS107"/>
      <c r="QBT107"/>
      <c r="QBU107"/>
      <c r="QBV107"/>
      <c r="QBW107"/>
      <c r="QBX107"/>
      <c r="QBY107"/>
      <c r="QBZ107"/>
      <c r="QCA107"/>
      <c r="QCB107"/>
      <c r="QCC107"/>
      <c r="QCD107"/>
      <c r="QCE107"/>
      <c r="QCF107"/>
      <c r="QCG107"/>
      <c r="QCH107"/>
      <c r="QCI107"/>
      <c r="QCJ107"/>
      <c r="QCK107"/>
      <c r="QCL107"/>
      <c r="QCM107"/>
      <c r="QCN107"/>
      <c r="QCO107"/>
      <c r="QCP107"/>
      <c r="QCQ107"/>
      <c r="QCR107"/>
      <c r="QCS107"/>
      <c r="QCT107"/>
      <c r="QCU107"/>
      <c r="QCV107"/>
      <c r="QCW107"/>
      <c r="QCX107"/>
      <c r="QCY107"/>
      <c r="QCZ107"/>
      <c r="QDA107"/>
      <c r="QDB107"/>
      <c r="QDC107"/>
      <c r="QDD107"/>
      <c r="QDE107"/>
      <c r="QDF107"/>
      <c r="QDG107"/>
      <c r="QDH107"/>
      <c r="QDI107"/>
      <c r="QDJ107"/>
      <c r="QDK107"/>
      <c r="QDL107"/>
      <c r="QDM107"/>
      <c r="QDN107"/>
      <c r="QDO107"/>
      <c r="QDP107"/>
      <c r="QDQ107"/>
      <c r="QDR107"/>
      <c r="QDS107"/>
      <c r="QDT107"/>
      <c r="QDU107"/>
      <c r="QDV107"/>
      <c r="QDW107"/>
      <c r="QDX107"/>
      <c r="QDY107"/>
      <c r="QDZ107"/>
      <c r="QEA107"/>
      <c r="QEB107"/>
      <c r="QEC107"/>
      <c r="QED107"/>
      <c r="QEE107"/>
      <c r="QEF107"/>
      <c r="QEG107"/>
      <c r="QEH107"/>
      <c r="QEI107"/>
      <c r="QEJ107"/>
      <c r="QEK107"/>
      <c r="QEL107"/>
      <c r="QEM107"/>
      <c r="QEN107"/>
      <c r="QEO107"/>
      <c r="QEP107"/>
      <c r="QEQ107"/>
      <c r="QER107"/>
      <c r="QES107"/>
      <c r="QET107"/>
      <c r="QEU107"/>
      <c r="QEV107"/>
      <c r="QEW107"/>
      <c r="QEX107"/>
      <c r="QEY107"/>
      <c r="QEZ107"/>
      <c r="QFA107"/>
      <c r="QFB107"/>
      <c r="QFC107"/>
      <c r="QFD107"/>
      <c r="QFE107"/>
      <c r="QFF107"/>
      <c r="QFG107"/>
      <c r="QFH107"/>
      <c r="QFI107"/>
      <c r="QFJ107"/>
      <c r="QFK107"/>
      <c r="QFL107"/>
      <c r="QFM107"/>
      <c r="QFN107"/>
      <c r="QFO107"/>
      <c r="QFP107"/>
      <c r="QFQ107"/>
      <c r="QFR107"/>
      <c r="QFS107"/>
      <c r="QFT107"/>
      <c r="QFU107"/>
      <c r="QFV107"/>
      <c r="QFW107"/>
      <c r="QFX107"/>
      <c r="QFY107"/>
      <c r="QFZ107"/>
      <c r="QGA107"/>
      <c r="QGB107"/>
      <c r="QGC107"/>
      <c r="QGD107"/>
      <c r="QGE107"/>
      <c r="QGF107"/>
      <c r="QGG107"/>
      <c r="QGH107"/>
      <c r="QGI107"/>
      <c r="QGJ107"/>
      <c r="QGK107"/>
      <c r="QGL107"/>
      <c r="QGM107"/>
      <c r="QGN107"/>
      <c r="QGO107"/>
      <c r="QGP107"/>
      <c r="QGQ107"/>
      <c r="QGR107"/>
      <c r="QGS107"/>
      <c r="QGT107"/>
      <c r="QGU107"/>
      <c r="QGV107"/>
      <c r="QGW107"/>
      <c r="QGX107"/>
      <c r="QGY107"/>
      <c r="QGZ107"/>
      <c r="QHA107"/>
      <c r="QHB107"/>
      <c r="QHC107"/>
      <c r="QHD107"/>
      <c r="QHE107"/>
      <c r="QHF107"/>
      <c r="QHG107"/>
      <c r="QHH107"/>
      <c r="QHI107"/>
      <c r="QHJ107"/>
      <c r="QHK107"/>
      <c r="QHL107"/>
      <c r="QHM107"/>
      <c r="QHN107"/>
      <c r="QHO107"/>
      <c r="QHP107"/>
      <c r="QHQ107"/>
      <c r="QHR107"/>
      <c r="QHS107"/>
      <c r="QHT107"/>
      <c r="QHU107"/>
      <c r="QHV107"/>
      <c r="QHW107"/>
      <c r="QHX107"/>
      <c r="QHY107"/>
      <c r="QHZ107"/>
      <c r="QIA107"/>
      <c r="QIB107"/>
      <c r="QIC107"/>
      <c r="QID107"/>
      <c r="QIE107"/>
      <c r="QIF107"/>
      <c r="QIG107"/>
      <c r="QIH107"/>
      <c r="QII107"/>
      <c r="QIJ107"/>
      <c r="QIK107"/>
      <c r="QIL107"/>
      <c r="QIM107"/>
      <c r="QIN107"/>
      <c r="QIO107"/>
      <c r="QIP107"/>
      <c r="QIQ107"/>
      <c r="QIR107"/>
      <c r="QIS107"/>
      <c r="QIT107"/>
      <c r="QIU107"/>
      <c r="QIV107"/>
      <c r="QIW107"/>
      <c r="QIX107"/>
      <c r="QIY107"/>
      <c r="QIZ107"/>
      <c r="QJA107"/>
      <c r="QJB107"/>
      <c r="QJC107"/>
      <c r="QJD107"/>
      <c r="QJE107"/>
      <c r="QJF107"/>
      <c r="QJG107"/>
      <c r="QJH107"/>
      <c r="QJI107"/>
      <c r="QJJ107"/>
      <c r="QJK107"/>
      <c r="QJL107"/>
      <c r="QJM107"/>
      <c r="QJN107"/>
      <c r="QJO107"/>
      <c r="QJP107"/>
      <c r="QJQ107"/>
      <c r="QJR107"/>
      <c r="QJS107"/>
      <c r="QJT107"/>
      <c r="QJU107"/>
      <c r="QJV107"/>
      <c r="QJW107"/>
      <c r="QJX107"/>
      <c r="QJY107"/>
      <c r="QJZ107"/>
      <c r="QKA107"/>
      <c r="QKB107"/>
      <c r="QKC107"/>
      <c r="QKD107"/>
      <c r="QKE107"/>
      <c r="QKF107"/>
      <c r="QKG107"/>
      <c r="QKH107"/>
      <c r="QKI107"/>
      <c r="QKJ107"/>
      <c r="QKK107"/>
      <c r="QKL107"/>
      <c r="QKM107"/>
      <c r="QKN107"/>
      <c r="QKO107"/>
      <c r="QKP107"/>
      <c r="QKQ107"/>
      <c r="QKR107"/>
      <c r="QKS107"/>
      <c r="QKT107"/>
      <c r="QKU107"/>
      <c r="QKV107"/>
      <c r="QKW107"/>
      <c r="QKX107"/>
      <c r="QKY107"/>
      <c r="QKZ107"/>
      <c r="QLA107"/>
      <c r="QLB107"/>
      <c r="QLC107"/>
      <c r="QLD107"/>
      <c r="QLE107"/>
      <c r="QLF107"/>
      <c r="QLG107"/>
      <c r="QLH107"/>
      <c r="QLI107"/>
      <c r="QLJ107"/>
      <c r="QLK107"/>
      <c r="QLL107"/>
      <c r="QLM107"/>
      <c r="QLN107"/>
      <c r="QLO107"/>
      <c r="QLP107"/>
      <c r="QLQ107"/>
      <c r="QLR107"/>
      <c r="QLS107"/>
      <c r="QLT107"/>
      <c r="QLU107"/>
      <c r="QLV107"/>
      <c r="QLW107"/>
      <c r="QLX107"/>
      <c r="QLY107"/>
      <c r="QLZ107"/>
      <c r="QMA107"/>
      <c r="QMB107"/>
      <c r="QMC107"/>
      <c r="QMD107"/>
      <c r="QME107"/>
      <c r="QMF107"/>
      <c r="QMG107"/>
      <c r="QMH107"/>
      <c r="QMI107"/>
      <c r="QMJ107"/>
      <c r="QMK107"/>
      <c r="QML107"/>
      <c r="QMM107"/>
      <c r="QMN107"/>
      <c r="QMO107"/>
      <c r="QMP107"/>
      <c r="QMQ107"/>
      <c r="QMR107"/>
      <c r="QMS107"/>
      <c r="QMT107"/>
      <c r="QMU107"/>
      <c r="QMV107"/>
      <c r="QMW107"/>
      <c r="QMX107"/>
      <c r="QMY107"/>
      <c r="QMZ107"/>
      <c r="QNA107"/>
      <c r="QNB107"/>
      <c r="QNC107"/>
      <c r="QND107"/>
      <c r="QNE107"/>
      <c r="QNF107"/>
      <c r="QNG107"/>
      <c r="QNH107"/>
      <c r="QNI107"/>
      <c r="QNJ107"/>
      <c r="QNK107"/>
      <c r="QNL107"/>
      <c r="QNM107"/>
      <c r="QNN107"/>
      <c r="QNO107"/>
      <c r="QNP107"/>
      <c r="QNQ107"/>
      <c r="QNR107"/>
      <c r="QNS107"/>
      <c r="QNT107"/>
      <c r="QNU107"/>
      <c r="QNV107"/>
      <c r="QNW107"/>
      <c r="QNX107"/>
      <c r="QNY107"/>
      <c r="QNZ107"/>
      <c r="QOA107"/>
      <c r="QOB107"/>
      <c r="QOC107"/>
      <c r="QOD107"/>
      <c r="QOE107"/>
      <c r="QOF107"/>
      <c r="QOG107"/>
      <c r="QOH107"/>
      <c r="QOI107"/>
      <c r="QOJ107"/>
      <c r="QOK107"/>
      <c r="QOL107"/>
      <c r="QOM107"/>
      <c r="QON107"/>
      <c r="QOO107"/>
      <c r="QOP107"/>
      <c r="QOQ107"/>
      <c r="QOR107"/>
      <c r="QOS107"/>
      <c r="QOT107"/>
      <c r="QOU107"/>
      <c r="QOV107"/>
      <c r="QOW107"/>
      <c r="QOX107"/>
      <c r="QOY107"/>
      <c r="QOZ107"/>
      <c r="QPA107"/>
      <c r="QPB107"/>
      <c r="QPC107"/>
      <c r="QPD107"/>
      <c r="QPE107"/>
      <c r="QPF107"/>
      <c r="QPG107"/>
      <c r="QPH107"/>
      <c r="QPI107"/>
      <c r="QPJ107"/>
      <c r="QPK107"/>
      <c r="QPL107"/>
      <c r="QPM107"/>
      <c r="QPN107"/>
      <c r="QPO107"/>
      <c r="QPP107"/>
      <c r="QPQ107"/>
      <c r="QPR107"/>
      <c r="QPS107"/>
      <c r="QPT107"/>
      <c r="QPU107"/>
      <c r="QPV107"/>
      <c r="QPW107"/>
      <c r="QPX107"/>
      <c r="QPY107"/>
      <c r="QPZ107"/>
      <c r="QQA107"/>
      <c r="QQB107"/>
      <c r="QQC107"/>
      <c r="QQD107"/>
      <c r="QQE107"/>
      <c r="QQF107"/>
      <c r="QQG107"/>
      <c r="QQH107"/>
      <c r="QQI107"/>
      <c r="QQJ107"/>
      <c r="QQK107"/>
      <c r="QQL107"/>
      <c r="QQM107"/>
      <c r="QQN107"/>
      <c r="QQO107"/>
      <c r="QQP107"/>
      <c r="QQQ107"/>
      <c r="QQR107"/>
      <c r="QQS107"/>
      <c r="QQT107"/>
      <c r="QQU107"/>
      <c r="QQV107"/>
      <c r="QQW107"/>
      <c r="QQX107"/>
      <c r="QQY107"/>
      <c r="QQZ107"/>
      <c r="QRA107"/>
      <c r="QRB107"/>
      <c r="QRC107"/>
      <c r="QRD107"/>
      <c r="QRE107"/>
      <c r="QRF107"/>
      <c r="QRG107"/>
      <c r="QRH107"/>
      <c r="QRI107"/>
      <c r="QRJ107"/>
      <c r="QRK107"/>
      <c r="QRL107"/>
      <c r="QRM107"/>
      <c r="QRN107"/>
      <c r="QRO107"/>
      <c r="QRP107"/>
      <c r="QRQ107"/>
      <c r="QRR107"/>
      <c r="QRS107"/>
      <c r="QRT107"/>
      <c r="QRU107"/>
      <c r="QRV107"/>
      <c r="QRW107"/>
      <c r="QRX107"/>
      <c r="QRY107"/>
      <c r="QRZ107"/>
      <c r="QSA107"/>
      <c r="QSB107"/>
      <c r="QSC107"/>
      <c r="QSD107"/>
      <c r="QSE107"/>
      <c r="QSF107"/>
      <c r="QSG107"/>
      <c r="QSH107"/>
      <c r="QSI107"/>
      <c r="QSJ107"/>
      <c r="QSK107"/>
      <c r="QSL107"/>
      <c r="QSM107"/>
      <c r="QSN107"/>
      <c r="QSO107"/>
      <c r="QSP107"/>
      <c r="QSQ107"/>
      <c r="QSR107"/>
      <c r="QSS107"/>
      <c r="QST107"/>
      <c r="QSU107"/>
      <c r="QSV107"/>
      <c r="QSW107"/>
      <c r="QSX107"/>
      <c r="QSY107"/>
      <c r="QSZ107"/>
      <c r="QTA107"/>
      <c r="QTB107"/>
      <c r="QTC107"/>
      <c r="QTD107"/>
      <c r="QTE107"/>
      <c r="QTF107"/>
      <c r="QTG107"/>
      <c r="QTH107"/>
      <c r="QTI107"/>
      <c r="QTJ107"/>
      <c r="QTK107"/>
      <c r="QTL107"/>
      <c r="QTM107"/>
      <c r="QTN107"/>
      <c r="QTO107"/>
      <c r="QTP107"/>
      <c r="QTQ107"/>
      <c r="QTR107"/>
      <c r="QTS107"/>
      <c r="QTT107"/>
      <c r="QTU107"/>
      <c r="QTV107"/>
      <c r="QTW107"/>
      <c r="QTX107"/>
      <c r="QTY107"/>
      <c r="QTZ107"/>
      <c r="QUA107"/>
      <c r="QUB107"/>
      <c r="QUC107"/>
      <c r="QUD107"/>
      <c r="QUE107"/>
      <c r="QUF107"/>
      <c r="QUG107"/>
      <c r="QUH107"/>
      <c r="QUI107"/>
      <c r="QUJ107"/>
      <c r="QUK107"/>
      <c r="QUL107"/>
      <c r="QUM107"/>
      <c r="QUN107"/>
      <c r="QUO107"/>
      <c r="QUP107"/>
      <c r="QUQ107"/>
      <c r="QUR107"/>
      <c r="QUS107"/>
      <c r="QUT107"/>
      <c r="QUU107"/>
      <c r="QUV107"/>
      <c r="QUW107"/>
      <c r="QUX107"/>
      <c r="QUY107"/>
      <c r="QUZ107"/>
      <c r="QVA107"/>
      <c r="QVB107"/>
      <c r="QVC107"/>
      <c r="QVD107"/>
      <c r="QVE107"/>
      <c r="QVF107"/>
      <c r="QVG107"/>
      <c r="QVH107"/>
      <c r="QVI107"/>
      <c r="QVJ107"/>
      <c r="QVK107"/>
      <c r="QVL107"/>
      <c r="QVM107"/>
      <c r="QVN107"/>
      <c r="QVO107"/>
      <c r="QVP107"/>
      <c r="QVQ107"/>
      <c r="QVR107"/>
      <c r="QVS107"/>
      <c r="QVT107"/>
      <c r="QVU107"/>
      <c r="QVV107"/>
      <c r="QVW107"/>
      <c r="QVX107"/>
      <c r="QVY107"/>
      <c r="QVZ107"/>
      <c r="QWA107"/>
      <c r="QWB107"/>
      <c r="QWC107"/>
      <c r="QWD107"/>
      <c r="QWE107"/>
      <c r="QWF107"/>
      <c r="QWG107"/>
      <c r="QWH107"/>
      <c r="QWI107"/>
      <c r="QWJ107"/>
      <c r="QWK107"/>
      <c r="QWL107"/>
      <c r="QWM107"/>
      <c r="QWN107"/>
      <c r="QWO107"/>
      <c r="QWP107"/>
      <c r="QWQ107"/>
      <c r="QWR107"/>
      <c r="QWS107"/>
      <c r="QWT107"/>
      <c r="QWU107"/>
      <c r="QWV107"/>
      <c r="QWW107"/>
      <c r="QWX107"/>
      <c r="QWY107"/>
      <c r="QWZ107"/>
      <c r="QXA107"/>
      <c r="QXB107"/>
      <c r="QXC107"/>
      <c r="QXD107"/>
      <c r="QXE107"/>
      <c r="QXF107"/>
      <c r="QXG107"/>
      <c r="QXH107"/>
      <c r="QXI107"/>
      <c r="QXJ107"/>
      <c r="QXK107"/>
      <c r="QXL107"/>
      <c r="QXM107"/>
      <c r="QXN107"/>
      <c r="QXO107"/>
      <c r="QXP107"/>
      <c r="QXQ107"/>
      <c r="QXR107"/>
      <c r="QXS107"/>
      <c r="QXT107"/>
      <c r="QXU107"/>
      <c r="QXV107"/>
      <c r="QXW107"/>
      <c r="QXX107"/>
      <c r="QXY107"/>
      <c r="QXZ107"/>
      <c r="QYA107"/>
      <c r="QYB107"/>
      <c r="QYC107"/>
      <c r="QYD107"/>
      <c r="QYE107"/>
      <c r="QYF107"/>
      <c r="QYG107"/>
      <c r="QYH107"/>
      <c r="QYI107"/>
      <c r="QYJ107"/>
      <c r="QYK107"/>
      <c r="QYL107"/>
      <c r="QYM107"/>
      <c r="QYN107"/>
      <c r="QYO107"/>
      <c r="QYP107"/>
      <c r="QYQ107"/>
      <c r="QYR107"/>
      <c r="QYS107"/>
      <c r="QYT107"/>
      <c r="QYU107"/>
      <c r="QYV107"/>
      <c r="QYW107"/>
      <c r="QYX107"/>
      <c r="QYY107"/>
      <c r="QYZ107"/>
      <c r="QZA107"/>
      <c r="QZB107"/>
      <c r="QZC107"/>
      <c r="QZD107"/>
      <c r="QZE107"/>
      <c r="QZF107"/>
      <c r="QZG107"/>
      <c r="QZH107"/>
      <c r="QZI107"/>
      <c r="QZJ107"/>
      <c r="QZK107"/>
      <c r="QZL107"/>
      <c r="QZM107"/>
      <c r="QZN107"/>
      <c r="QZO107"/>
      <c r="QZP107"/>
      <c r="QZQ107"/>
      <c r="QZR107"/>
      <c r="QZS107"/>
      <c r="QZT107"/>
      <c r="QZU107"/>
      <c r="QZV107"/>
      <c r="QZW107"/>
      <c r="QZX107"/>
      <c r="QZY107"/>
      <c r="QZZ107"/>
      <c r="RAA107"/>
      <c r="RAB107"/>
      <c r="RAC107"/>
      <c r="RAD107"/>
      <c r="RAE107"/>
      <c r="RAF107"/>
      <c r="RAG107"/>
      <c r="RAH107"/>
      <c r="RAI107"/>
      <c r="RAJ107"/>
      <c r="RAK107"/>
      <c r="RAL107"/>
      <c r="RAM107"/>
      <c r="RAN107"/>
      <c r="RAO107"/>
      <c r="RAP107"/>
      <c r="RAQ107"/>
      <c r="RAR107"/>
      <c r="RAS107"/>
      <c r="RAT107"/>
      <c r="RAU107"/>
      <c r="RAV107"/>
      <c r="RAW107"/>
      <c r="RAX107"/>
      <c r="RAY107"/>
      <c r="RAZ107"/>
      <c r="RBA107"/>
      <c r="RBB107"/>
      <c r="RBC107"/>
      <c r="RBD107"/>
      <c r="RBE107"/>
      <c r="RBF107"/>
      <c r="RBG107"/>
      <c r="RBH107"/>
      <c r="RBI107"/>
      <c r="RBJ107"/>
      <c r="RBK107"/>
      <c r="RBL107"/>
      <c r="RBM107"/>
      <c r="RBN107"/>
      <c r="RBO107"/>
      <c r="RBP107"/>
      <c r="RBQ107"/>
      <c r="RBR107"/>
      <c r="RBS107"/>
      <c r="RBT107"/>
      <c r="RBU107"/>
      <c r="RBV107"/>
      <c r="RBW107"/>
      <c r="RBX107"/>
      <c r="RBY107"/>
      <c r="RBZ107"/>
      <c r="RCA107"/>
      <c r="RCB107"/>
      <c r="RCC107"/>
      <c r="RCD107"/>
      <c r="RCE107"/>
      <c r="RCF107"/>
      <c r="RCG107"/>
      <c r="RCH107"/>
      <c r="RCI107"/>
      <c r="RCJ107"/>
      <c r="RCK107"/>
      <c r="RCL107"/>
      <c r="RCM107"/>
      <c r="RCN107"/>
      <c r="RCO107"/>
      <c r="RCP107"/>
      <c r="RCQ107"/>
      <c r="RCR107"/>
      <c r="RCS107"/>
      <c r="RCT107"/>
      <c r="RCU107"/>
      <c r="RCV107"/>
      <c r="RCW107"/>
      <c r="RCX107"/>
      <c r="RCY107"/>
      <c r="RCZ107"/>
      <c r="RDA107"/>
      <c r="RDB107"/>
      <c r="RDC107"/>
      <c r="RDD107"/>
      <c r="RDE107"/>
      <c r="RDF107"/>
      <c r="RDG107"/>
      <c r="RDH107"/>
      <c r="RDI107"/>
      <c r="RDJ107"/>
      <c r="RDK107"/>
      <c r="RDL107"/>
      <c r="RDM107"/>
      <c r="RDN107"/>
      <c r="RDO107"/>
      <c r="RDP107"/>
      <c r="RDQ107"/>
      <c r="RDR107"/>
      <c r="RDS107"/>
      <c r="RDT107"/>
      <c r="RDU107"/>
      <c r="RDV107"/>
      <c r="RDW107"/>
      <c r="RDX107"/>
      <c r="RDY107"/>
      <c r="RDZ107"/>
      <c r="REA107"/>
      <c r="REB107"/>
      <c r="REC107"/>
      <c r="RED107"/>
      <c r="REE107"/>
      <c r="REF107"/>
      <c r="REG107"/>
      <c r="REH107"/>
      <c r="REI107"/>
      <c r="REJ107"/>
      <c r="REK107"/>
      <c r="REL107"/>
      <c r="REM107"/>
      <c r="REN107"/>
      <c r="REO107"/>
      <c r="REP107"/>
      <c r="REQ107"/>
      <c r="RER107"/>
      <c r="RES107"/>
      <c r="RET107"/>
      <c r="REU107"/>
      <c r="REV107"/>
      <c r="REW107"/>
      <c r="REX107"/>
      <c r="REY107"/>
      <c r="REZ107"/>
      <c r="RFA107"/>
      <c r="RFB107"/>
      <c r="RFC107"/>
      <c r="RFD107"/>
      <c r="RFE107"/>
      <c r="RFF107"/>
      <c r="RFG107"/>
      <c r="RFH107"/>
      <c r="RFI107"/>
      <c r="RFJ107"/>
      <c r="RFK107"/>
      <c r="RFL107"/>
      <c r="RFM107"/>
      <c r="RFN107"/>
      <c r="RFO107"/>
      <c r="RFP107"/>
      <c r="RFQ107"/>
      <c r="RFR107"/>
      <c r="RFS107"/>
      <c r="RFT107"/>
      <c r="RFU107"/>
      <c r="RFV107"/>
      <c r="RFW107"/>
      <c r="RFX107"/>
      <c r="RFY107"/>
      <c r="RFZ107"/>
      <c r="RGA107"/>
      <c r="RGB107"/>
      <c r="RGC107"/>
      <c r="RGD107"/>
      <c r="RGE107"/>
      <c r="RGF107"/>
      <c r="RGG107"/>
      <c r="RGH107"/>
      <c r="RGI107"/>
      <c r="RGJ107"/>
      <c r="RGK107"/>
      <c r="RGL107"/>
      <c r="RGM107"/>
      <c r="RGN107"/>
      <c r="RGO107"/>
      <c r="RGP107"/>
      <c r="RGQ107"/>
      <c r="RGR107"/>
      <c r="RGS107"/>
      <c r="RGT107"/>
      <c r="RGU107"/>
      <c r="RGV107"/>
      <c r="RGW107"/>
      <c r="RGX107"/>
      <c r="RGY107"/>
      <c r="RGZ107"/>
      <c r="RHA107"/>
      <c r="RHB107"/>
      <c r="RHC107"/>
      <c r="RHD107"/>
      <c r="RHE107"/>
      <c r="RHF107"/>
      <c r="RHG107"/>
      <c r="RHH107"/>
      <c r="RHI107"/>
      <c r="RHJ107"/>
      <c r="RHK107"/>
      <c r="RHL107"/>
      <c r="RHM107"/>
      <c r="RHN107"/>
      <c r="RHO107"/>
      <c r="RHP107"/>
      <c r="RHQ107"/>
      <c r="RHR107"/>
      <c r="RHS107"/>
      <c r="RHT107"/>
      <c r="RHU107"/>
      <c r="RHV107"/>
      <c r="RHW107"/>
      <c r="RHX107"/>
      <c r="RHY107"/>
      <c r="RHZ107"/>
      <c r="RIA107"/>
      <c r="RIB107"/>
      <c r="RIC107"/>
      <c r="RID107"/>
      <c r="RIE107"/>
      <c r="RIF107"/>
      <c r="RIG107"/>
      <c r="RIH107"/>
      <c r="RII107"/>
      <c r="RIJ107"/>
      <c r="RIK107"/>
      <c r="RIL107"/>
      <c r="RIM107"/>
      <c r="RIN107"/>
      <c r="RIO107"/>
      <c r="RIP107"/>
      <c r="RIQ107"/>
      <c r="RIR107"/>
      <c r="RIS107"/>
      <c r="RIT107"/>
      <c r="RIU107"/>
      <c r="RIV107"/>
      <c r="RIW107"/>
      <c r="RIX107"/>
      <c r="RIY107"/>
      <c r="RIZ107"/>
      <c r="RJA107"/>
      <c r="RJB107"/>
      <c r="RJC107"/>
      <c r="RJD107"/>
      <c r="RJE107"/>
      <c r="RJF107"/>
      <c r="RJG107"/>
      <c r="RJH107"/>
      <c r="RJI107"/>
      <c r="RJJ107"/>
      <c r="RJK107"/>
      <c r="RJL107"/>
      <c r="RJM107"/>
      <c r="RJN107"/>
      <c r="RJO107"/>
      <c r="RJP107"/>
      <c r="RJQ107"/>
      <c r="RJR107"/>
      <c r="RJS107"/>
      <c r="RJT107"/>
      <c r="RJU107"/>
      <c r="RJV107"/>
      <c r="RJW107"/>
      <c r="RJX107"/>
      <c r="RJY107"/>
      <c r="RJZ107"/>
      <c r="RKA107"/>
      <c r="RKB107"/>
      <c r="RKC107"/>
      <c r="RKD107"/>
      <c r="RKE107"/>
      <c r="RKF107"/>
      <c r="RKG107"/>
      <c r="RKH107"/>
      <c r="RKI107"/>
      <c r="RKJ107"/>
      <c r="RKK107"/>
      <c r="RKL107"/>
      <c r="RKM107"/>
      <c r="RKN107"/>
      <c r="RKO107"/>
      <c r="RKP107"/>
      <c r="RKQ107"/>
      <c r="RKR107"/>
      <c r="RKS107"/>
      <c r="RKT107"/>
      <c r="RKU107"/>
      <c r="RKV107"/>
      <c r="RKW107"/>
      <c r="RKX107"/>
      <c r="RKY107"/>
      <c r="RKZ107"/>
      <c r="RLA107"/>
      <c r="RLB107"/>
      <c r="RLC107"/>
      <c r="RLD107"/>
      <c r="RLE107"/>
      <c r="RLF107"/>
      <c r="RLG107"/>
      <c r="RLH107"/>
      <c r="RLI107"/>
      <c r="RLJ107"/>
      <c r="RLK107"/>
      <c r="RLL107"/>
      <c r="RLM107"/>
      <c r="RLN107"/>
      <c r="RLO107"/>
      <c r="RLP107"/>
      <c r="RLQ107"/>
      <c r="RLR107"/>
      <c r="RLS107"/>
      <c r="RLT107"/>
      <c r="RLU107"/>
      <c r="RLV107"/>
      <c r="RLW107"/>
      <c r="RLX107"/>
      <c r="RLY107"/>
      <c r="RLZ107"/>
      <c r="RMA107"/>
      <c r="RMB107"/>
      <c r="RMC107"/>
      <c r="RMD107"/>
      <c r="RME107"/>
      <c r="RMF107"/>
      <c r="RMG107"/>
      <c r="RMH107"/>
      <c r="RMI107"/>
      <c r="RMJ107"/>
      <c r="RMK107"/>
      <c r="RML107"/>
      <c r="RMM107"/>
      <c r="RMN107"/>
      <c r="RMO107"/>
      <c r="RMP107"/>
      <c r="RMQ107"/>
      <c r="RMR107"/>
      <c r="RMS107"/>
      <c r="RMT107"/>
      <c r="RMU107"/>
      <c r="RMV107"/>
      <c r="RMW107"/>
      <c r="RMX107"/>
      <c r="RMY107"/>
      <c r="RMZ107"/>
      <c r="RNA107"/>
      <c r="RNB107"/>
      <c r="RNC107"/>
      <c r="RND107"/>
      <c r="RNE107"/>
      <c r="RNF107"/>
      <c r="RNG107"/>
      <c r="RNH107"/>
      <c r="RNI107"/>
      <c r="RNJ107"/>
      <c r="RNK107"/>
      <c r="RNL107"/>
      <c r="RNM107"/>
      <c r="RNN107"/>
      <c r="RNO107"/>
      <c r="RNP107"/>
      <c r="RNQ107"/>
      <c r="RNR107"/>
      <c r="RNS107"/>
      <c r="RNT107"/>
      <c r="RNU107"/>
      <c r="RNV107"/>
      <c r="RNW107"/>
      <c r="RNX107"/>
      <c r="RNY107"/>
      <c r="RNZ107"/>
      <c r="ROA107"/>
      <c r="ROB107"/>
      <c r="ROC107"/>
      <c r="ROD107"/>
      <c r="ROE107"/>
      <c r="ROF107"/>
      <c r="ROG107"/>
      <c r="ROH107"/>
      <c r="ROI107"/>
      <c r="ROJ107"/>
      <c r="ROK107"/>
      <c r="ROL107"/>
      <c r="ROM107"/>
      <c r="RON107"/>
      <c r="ROO107"/>
      <c r="ROP107"/>
      <c r="ROQ107"/>
      <c r="ROR107"/>
      <c r="ROS107"/>
      <c r="ROT107"/>
      <c r="ROU107"/>
      <c r="ROV107"/>
      <c r="ROW107"/>
      <c r="ROX107"/>
      <c r="ROY107"/>
      <c r="ROZ107"/>
      <c r="RPA107"/>
      <c r="RPB107"/>
      <c r="RPC107"/>
      <c r="RPD107"/>
      <c r="RPE107"/>
      <c r="RPF107"/>
      <c r="RPG107"/>
      <c r="RPH107"/>
      <c r="RPI107"/>
      <c r="RPJ107"/>
      <c r="RPK107"/>
      <c r="RPL107"/>
      <c r="RPM107"/>
      <c r="RPN107"/>
      <c r="RPO107"/>
      <c r="RPP107"/>
      <c r="RPQ107"/>
      <c r="RPR107"/>
      <c r="RPS107"/>
      <c r="RPT107"/>
      <c r="RPU107"/>
      <c r="RPV107"/>
      <c r="RPW107"/>
      <c r="RPX107"/>
      <c r="RPY107"/>
      <c r="RPZ107"/>
      <c r="RQA107"/>
      <c r="RQB107"/>
      <c r="RQC107"/>
      <c r="RQD107"/>
      <c r="RQE107"/>
      <c r="RQF107"/>
      <c r="RQG107"/>
      <c r="RQH107"/>
      <c r="RQI107"/>
      <c r="RQJ107"/>
      <c r="RQK107"/>
      <c r="RQL107"/>
      <c r="RQM107"/>
      <c r="RQN107"/>
      <c r="RQO107"/>
      <c r="RQP107"/>
      <c r="RQQ107"/>
      <c r="RQR107"/>
      <c r="RQS107"/>
      <c r="RQT107"/>
      <c r="RQU107"/>
      <c r="RQV107"/>
      <c r="RQW107"/>
      <c r="RQX107"/>
      <c r="RQY107"/>
      <c r="RQZ107"/>
      <c r="RRA107"/>
      <c r="RRB107"/>
      <c r="RRC107"/>
      <c r="RRD107"/>
      <c r="RRE107"/>
      <c r="RRF107"/>
      <c r="RRG107"/>
      <c r="RRH107"/>
      <c r="RRI107"/>
      <c r="RRJ107"/>
      <c r="RRK107"/>
      <c r="RRL107"/>
      <c r="RRM107"/>
      <c r="RRN107"/>
      <c r="RRO107"/>
      <c r="RRP107"/>
      <c r="RRQ107"/>
      <c r="RRR107"/>
      <c r="RRS107"/>
      <c r="RRT107"/>
      <c r="RRU107"/>
      <c r="RRV107"/>
      <c r="RRW107"/>
      <c r="RRX107"/>
      <c r="RRY107"/>
      <c r="RRZ107"/>
      <c r="RSA107"/>
      <c r="RSB107"/>
      <c r="RSC107"/>
      <c r="RSD107"/>
      <c r="RSE107"/>
      <c r="RSF107"/>
      <c r="RSG107"/>
      <c r="RSH107"/>
      <c r="RSI107"/>
      <c r="RSJ107"/>
      <c r="RSK107"/>
      <c r="RSL107"/>
      <c r="RSM107"/>
      <c r="RSN107"/>
      <c r="RSO107"/>
      <c r="RSP107"/>
      <c r="RSQ107"/>
      <c r="RSR107"/>
      <c r="RSS107"/>
      <c r="RST107"/>
      <c r="RSU107"/>
      <c r="RSV107"/>
      <c r="RSW107"/>
      <c r="RSX107"/>
      <c r="RSY107"/>
      <c r="RSZ107"/>
      <c r="RTA107"/>
      <c r="RTB107"/>
      <c r="RTC107"/>
      <c r="RTD107"/>
      <c r="RTE107"/>
      <c r="RTF107"/>
      <c r="RTG107"/>
      <c r="RTH107"/>
      <c r="RTI107"/>
      <c r="RTJ107"/>
      <c r="RTK107"/>
      <c r="RTL107"/>
      <c r="RTM107"/>
      <c r="RTN107"/>
      <c r="RTO107"/>
      <c r="RTP107"/>
      <c r="RTQ107"/>
      <c r="RTR107"/>
      <c r="RTS107"/>
      <c r="RTT107"/>
      <c r="RTU107"/>
      <c r="RTV107"/>
      <c r="RTW107"/>
      <c r="RTX107"/>
      <c r="RTY107"/>
      <c r="RTZ107"/>
      <c r="RUA107"/>
      <c r="RUB107"/>
      <c r="RUC107"/>
      <c r="RUD107"/>
      <c r="RUE107"/>
      <c r="RUF107"/>
      <c r="RUG107"/>
      <c r="RUH107"/>
      <c r="RUI107"/>
      <c r="RUJ107"/>
      <c r="RUK107"/>
      <c r="RUL107"/>
      <c r="RUM107"/>
      <c r="RUN107"/>
      <c r="RUO107"/>
      <c r="RUP107"/>
      <c r="RUQ107"/>
      <c r="RUR107"/>
      <c r="RUS107"/>
      <c r="RUT107"/>
      <c r="RUU107"/>
      <c r="RUV107"/>
      <c r="RUW107"/>
      <c r="RUX107"/>
      <c r="RUY107"/>
      <c r="RUZ107"/>
      <c r="RVA107"/>
      <c r="RVB107"/>
      <c r="RVC107"/>
      <c r="RVD107"/>
      <c r="RVE107"/>
      <c r="RVF107"/>
      <c r="RVG107"/>
      <c r="RVH107"/>
      <c r="RVI107"/>
      <c r="RVJ107"/>
      <c r="RVK107"/>
      <c r="RVL107"/>
      <c r="RVM107"/>
      <c r="RVN107"/>
      <c r="RVO107"/>
      <c r="RVP107"/>
      <c r="RVQ107"/>
      <c r="RVR107"/>
      <c r="RVS107"/>
      <c r="RVT107"/>
      <c r="RVU107"/>
      <c r="RVV107"/>
      <c r="RVW107"/>
      <c r="RVX107"/>
      <c r="RVY107"/>
      <c r="RVZ107"/>
      <c r="RWA107"/>
      <c r="RWB107"/>
      <c r="RWC107"/>
      <c r="RWD107"/>
      <c r="RWE107"/>
      <c r="RWF107"/>
      <c r="RWG107"/>
      <c r="RWH107"/>
      <c r="RWI107"/>
      <c r="RWJ107"/>
      <c r="RWK107"/>
      <c r="RWL107"/>
      <c r="RWM107"/>
      <c r="RWN107"/>
      <c r="RWO107"/>
      <c r="RWP107"/>
      <c r="RWQ107"/>
      <c r="RWR107"/>
      <c r="RWS107"/>
      <c r="RWT107"/>
      <c r="RWU107"/>
      <c r="RWV107"/>
      <c r="RWW107"/>
      <c r="RWX107"/>
      <c r="RWY107"/>
      <c r="RWZ107"/>
      <c r="RXA107"/>
      <c r="RXB107"/>
      <c r="RXC107"/>
      <c r="RXD107"/>
      <c r="RXE107"/>
      <c r="RXF107"/>
      <c r="RXG107"/>
      <c r="RXH107"/>
      <c r="RXI107"/>
      <c r="RXJ107"/>
      <c r="RXK107"/>
      <c r="RXL107"/>
      <c r="RXM107"/>
      <c r="RXN107"/>
      <c r="RXO107"/>
      <c r="RXP107"/>
      <c r="RXQ107"/>
      <c r="RXR107"/>
      <c r="RXS107"/>
      <c r="RXT107"/>
      <c r="RXU107"/>
      <c r="RXV107"/>
      <c r="RXW107"/>
      <c r="RXX107"/>
      <c r="RXY107"/>
      <c r="RXZ107"/>
      <c r="RYA107"/>
      <c r="RYB107"/>
      <c r="RYC107"/>
      <c r="RYD107"/>
      <c r="RYE107"/>
      <c r="RYF107"/>
      <c r="RYG107"/>
      <c r="RYH107"/>
      <c r="RYI107"/>
      <c r="RYJ107"/>
      <c r="RYK107"/>
      <c r="RYL107"/>
      <c r="RYM107"/>
      <c r="RYN107"/>
      <c r="RYO107"/>
      <c r="RYP107"/>
      <c r="RYQ107"/>
      <c r="RYR107"/>
      <c r="RYS107"/>
      <c r="RYT107"/>
      <c r="RYU107"/>
      <c r="RYV107"/>
      <c r="RYW107"/>
      <c r="RYX107"/>
      <c r="RYY107"/>
      <c r="RYZ107"/>
      <c r="RZA107"/>
      <c r="RZB107"/>
      <c r="RZC107"/>
      <c r="RZD107"/>
      <c r="RZE107"/>
      <c r="RZF107"/>
      <c r="RZG107"/>
      <c r="RZH107"/>
      <c r="RZI107"/>
      <c r="RZJ107"/>
      <c r="RZK107"/>
      <c r="RZL107"/>
      <c r="RZM107"/>
      <c r="RZN107"/>
      <c r="RZO107"/>
      <c r="RZP107"/>
      <c r="RZQ107"/>
      <c r="RZR107"/>
      <c r="RZS107"/>
      <c r="RZT107"/>
      <c r="RZU107"/>
      <c r="RZV107"/>
      <c r="RZW107"/>
      <c r="RZX107"/>
      <c r="RZY107"/>
      <c r="RZZ107"/>
      <c r="SAA107"/>
      <c r="SAB107"/>
      <c r="SAC107"/>
      <c r="SAD107"/>
      <c r="SAE107"/>
      <c r="SAF107"/>
      <c r="SAG107"/>
      <c r="SAH107"/>
      <c r="SAI107"/>
      <c r="SAJ107"/>
      <c r="SAK107"/>
      <c r="SAL107"/>
      <c r="SAM107"/>
      <c r="SAN107"/>
      <c r="SAO107"/>
      <c r="SAP107"/>
      <c r="SAQ107"/>
      <c r="SAR107"/>
      <c r="SAS107"/>
      <c r="SAT107"/>
      <c r="SAU107"/>
      <c r="SAV107"/>
      <c r="SAW107"/>
      <c r="SAX107"/>
      <c r="SAY107"/>
      <c r="SAZ107"/>
      <c r="SBA107"/>
      <c r="SBB107"/>
      <c r="SBC107"/>
      <c r="SBD107"/>
      <c r="SBE107"/>
      <c r="SBF107"/>
      <c r="SBG107"/>
      <c r="SBH107"/>
      <c r="SBI107"/>
      <c r="SBJ107"/>
      <c r="SBK107"/>
      <c r="SBL107"/>
      <c r="SBM107"/>
      <c r="SBN107"/>
      <c r="SBO107"/>
      <c r="SBP107"/>
      <c r="SBQ107"/>
      <c r="SBR107"/>
      <c r="SBS107"/>
      <c r="SBT107"/>
      <c r="SBU107"/>
      <c r="SBV107"/>
      <c r="SBW107"/>
      <c r="SBX107"/>
      <c r="SBY107"/>
      <c r="SBZ107"/>
      <c r="SCA107"/>
      <c r="SCB107"/>
      <c r="SCC107"/>
      <c r="SCD107"/>
      <c r="SCE107"/>
      <c r="SCF107"/>
      <c r="SCG107"/>
      <c r="SCH107"/>
      <c r="SCI107"/>
      <c r="SCJ107"/>
      <c r="SCK107"/>
      <c r="SCL107"/>
      <c r="SCM107"/>
      <c r="SCN107"/>
      <c r="SCO107"/>
      <c r="SCP107"/>
      <c r="SCQ107"/>
      <c r="SCR107"/>
      <c r="SCS107"/>
      <c r="SCT107"/>
      <c r="SCU107"/>
      <c r="SCV107"/>
      <c r="SCW107"/>
      <c r="SCX107"/>
      <c r="SCY107"/>
      <c r="SCZ107"/>
      <c r="SDA107"/>
      <c r="SDB107"/>
      <c r="SDC107"/>
      <c r="SDD107"/>
      <c r="SDE107"/>
      <c r="SDF107"/>
      <c r="SDG107"/>
      <c r="SDH107"/>
      <c r="SDI107"/>
      <c r="SDJ107"/>
      <c r="SDK107"/>
      <c r="SDL107"/>
      <c r="SDM107"/>
      <c r="SDN107"/>
      <c r="SDO107"/>
      <c r="SDP107"/>
      <c r="SDQ107"/>
      <c r="SDR107"/>
      <c r="SDS107"/>
      <c r="SDT107"/>
      <c r="SDU107"/>
      <c r="SDV107"/>
      <c r="SDW107"/>
      <c r="SDX107"/>
      <c r="SDY107"/>
      <c r="SDZ107"/>
      <c r="SEA107"/>
      <c r="SEB107"/>
      <c r="SEC107"/>
      <c r="SED107"/>
      <c r="SEE107"/>
      <c r="SEF107"/>
      <c r="SEG107"/>
      <c r="SEH107"/>
      <c r="SEI107"/>
      <c r="SEJ107"/>
      <c r="SEK107"/>
      <c r="SEL107"/>
      <c r="SEM107"/>
      <c r="SEN107"/>
      <c r="SEO107"/>
      <c r="SEP107"/>
      <c r="SEQ107"/>
      <c r="SER107"/>
      <c r="SES107"/>
      <c r="SET107"/>
      <c r="SEU107"/>
      <c r="SEV107"/>
      <c r="SEW107"/>
      <c r="SEX107"/>
      <c r="SEY107"/>
      <c r="SEZ107"/>
      <c r="SFA107"/>
      <c r="SFB107"/>
      <c r="SFC107"/>
      <c r="SFD107"/>
      <c r="SFE107"/>
      <c r="SFF107"/>
      <c r="SFG107"/>
      <c r="SFH107"/>
      <c r="SFI107"/>
      <c r="SFJ107"/>
      <c r="SFK107"/>
      <c r="SFL107"/>
      <c r="SFM107"/>
      <c r="SFN107"/>
      <c r="SFO107"/>
      <c r="SFP107"/>
      <c r="SFQ107"/>
      <c r="SFR107"/>
      <c r="SFS107"/>
      <c r="SFT107"/>
      <c r="SFU107"/>
      <c r="SFV107"/>
      <c r="SFW107"/>
      <c r="SFX107"/>
      <c r="SFY107"/>
      <c r="SFZ107"/>
      <c r="SGA107"/>
      <c r="SGB107"/>
      <c r="SGC107"/>
      <c r="SGD107"/>
      <c r="SGE107"/>
      <c r="SGF107"/>
      <c r="SGG107"/>
      <c r="SGH107"/>
      <c r="SGI107"/>
      <c r="SGJ107"/>
      <c r="SGK107"/>
      <c r="SGL107"/>
      <c r="SGM107"/>
      <c r="SGN107"/>
      <c r="SGO107"/>
      <c r="SGP107"/>
      <c r="SGQ107"/>
      <c r="SGR107"/>
      <c r="SGS107"/>
      <c r="SGT107"/>
      <c r="SGU107"/>
      <c r="SGV107"/>
      <c r="SGW107"/>
      <c r="SGX107"/>
      <c r="SGY107"/>
      <c r="SGZ107"/>
      <c r="SHA107"/>
      <c r="SHB107"/>
      <c r="SHC107"/>
      <c r="SHD107"/>
      <c r="SHE107"/>
      <c r="SHF107"/>
      <c r="SHG107"/>
      <c r="SHH107"/>
      <c r="SHI107"/>
      <c r="SHJ107"/>
      <c r="SHK107"/>
      <c r="SHL107"/>
      <c r="SHM107"/>
      <c r="SHN107"/>
      <c r="SHO107"/>
      <c r="SHP107"/>
      <c r="SHQ107"/>
      <c r="SHR107"/>
      <c r="SHS107"/>
      <c r="SHT107"/>
      <c r="SHU107"/>
      <c r="SHV107"/>
      <c r="SHW107"/>
      <c r="SHX107"/>
      <c r="SHY107"/>
      <c r="SHZ107"/>
      <c r="SIA107"/>
      <c r="SIB107"/>
      <c r="SIC107"/>
      <c r="SID107"/>
      <c r="SIE107"/>
      <c r="SIF107"/>
      <c r="SIG107"/>
      <c r="SIH107"/>
      <c r="SII107"/>
      <c r="SIJ107"/>
      <c r="SIK107"/>
      <c r="SIL107"/>
      <c r="SIM107"/>
      <c r="SIN107"/>
      <c r="SIO107"/>
      <c r="SIP107"/>
      <c r="SIQ107"/>
      <c r="SIR107"/>
      <c r="SIS107"/>
      <c r="SIT107"/>
      <c r="SIU107"/>
      <c r="SIV107"/>
      <c r="SIW107"/>
      <c r="SIX107"/>
      <c r="SIY107"/>
      <c r="SIZ107"/>
      <c r="SJA107"/>
      <c r="SJB107"/>
      <c r="SJC107"/>
      <c r="SJD107"/>
      <c r="SJE107"/>
      <c r="SJF107"/>
      <c r="SJG107"/>
      <c r="SJH107"/>
      <c r="SJI107"/>
      <c r="SJJ107"/>
      <c r="SJK107"/>
      <c r="SJL107"/>
      <c r="SJM107"/>
      <c r="SJN107"/>
      <c r="SJO107"/>
      <c r="SJP107"/>
      <c r="SJQ107"/>
      <c r="SJR107"/>
      <c r="SJS107"/>
      <c r="SJT107"/>
      <c r="SJU107"/>
      <c r="SJV107"/>
      <c r="SJW107"/>
      <c r="SJX107"/>
      <c r="SJY107"/>
      <c r="SJZ107"/>
      <c r="SKA107"/>
      <c r="SKB107"/>
      <c r="SKC107"/>
      <c r="SKD107"/>
      <c r="SKE107"/>
      <c r="SKF107"/>
      <c r="SKG107"/>
      <c r="SKH107"/>
      <c r="SKI107"/>
      <c r="SKJ107"/>
      <c r="SKK107"/>
      <c r="SKL107"/>
      <c r="SKM107"/>
      <c r="SKN107"/>
      <c r="SKO107"/>
      <c r="SKP107"/>
      <c r="SKQ107"/>
      <c r="SKR107"/>
      <c r="SKS107"/>
      <c r="SKT107"/>
      <c r="SKU107"/>
      <c r="SKV107"/>
      <c r="SKW107"/>
      <c r="SKX107"/>
      <c r="SKY107"/>
      <c r="SKZ107"/>
      <c r="SLA107"/>
      <c r="SLB107"/>
      <c r="SLC107"/>
      <c r="SLD107"/>
      <c r="SLE107"/>
      <c r="SLF107"/>
      <c r="SLG107"/>
      <c r="SLH107"/>
      <c r="SLI107"/>
      <c r="SLJ107"/>
      <c r="SLK107"/>
      <c r="SLL107"/>
      <c r="SLM107"/>
      <c r="SLN107"/>
      <c r="SLO107"/>
      <c r="SLP107"/>
      <c r="SLQ107"/>
      <c r="SLR107"/>
      <c r="SLS107"/>
      <c r="SLT107"/>
      <c r="SLU107"/>
      <c r="SLV107"/>
      <c r="SLW107"/>
      <c r="SLX107"/>
      <c r="SLY107"/>
      <c r="SLZ107"/>
      <c r="SMA107"/>
      <c r="SMB107"/>
      <c r="SMC107"/>
      <c r="SMD107"/>
      <c r="SME107"/>
      <c r="SMF107"/>
      <c r="SMG107"/>
      <c r="SMH107"/>
      <c r="SMI107"/>
      <c r="SMJ107"/>
      <c r="SMK107"/>
      <c r="SML107"/>
      <c r="SMM107"/>
      <c r="SMN107"/>
      <c r="SMO107"/>
      <c r="SMP107"/>
      <c r="SMQ107"/>
      <c r="SMR107"/>
      <c r="SMS107"/>
      <c r="SMT107"/>
      <c r="SMU107"/>
      <c r="SMV107"/>
      <c r="SMW107"/>
      <c r="SMX107"/>
      <c r="SMY107"/>
      <c r="SMZ107"/>
      <c r="SNA107"/>
      <c r="SNB107"/>
      <c r="SNC107"/>
      <c r="SND107"/>
      <c r="SNE107"/>
      <c r="SNF107"/>
      <c r="SNG107"/>
      <c r="SNH107"/>
      <c r="SNI107"/>
      <c r="SNJ107"/>
      <c r="SNK107"/>
      <c r="SNL107"/>
      <c r="SNM107"/>
      <c r="SNN107"/>
      <c r="SNO107"/>
      <c r="SNP107"/>
      <c r="SNQ107"/>
      <c r="SNR107"/>
      <c r="SNS107"/>
      <c r="SNT107"/>
      <c r="SNU107"/>
      <c r="SNV107"/>
      <c r="SNW107"/>
      <c r="SNX107"/>
      <c r="SNY107"/>
      <c r="SNZ107"/>
      <c r="SOA107"/>
      <c r="SOB107"/>
      <c r="SOC107"/>
      <c r="SOD107"/>
      <c r="SOE107"/>
      <c r="SOF107"/>
      <c r="SOG107"/>
      <c r="SOH107"/>
      <c r="SOI107"/>
      <c r="SOJ107"/>
      <c r="SOK107"/>
      <c r="SOL107"/>
      <c r="SOM107"/>
      <c r="SON107"/>
      <c r="SOO107"/>
      <c r="SOP107"/>
      <c r="SOQ107"/>
      <c r="SOR107"/>
      <c r="SOS107"/>
      <c r="SOT107"/>
      <c r="SOU107"/>
      <c r="SOV107"/>
      <c r="SOW107"/>
      <c r="SOX107"/>
      <c r="SOY107"/>
      <c r="SOZ107"/>
      <c r="SPA107"/>
      <c r="SPB107"/>
      <c r="SPC107"/>
      <c r="SPD107"/>
      <c r="SPE107"/>
      <c r="SPF107"/>
      <c r="SPG107"/>
      <c r="SPH107"/>
      <c r="SPI107"/>
      <c r="SPJ107"/>
      <c r="SPK107"/>
      <c r="SPL107"/>
      <c r="SPM107"/>
      <c r="SPN107"/>
      <c r="SPO107"/>
      <c r="SPP107"/>
      <c r="SPQ107"/>
      <c r="SPR107"/>
      <c r="SPS107"/>
      <c r="SPT107"/>
      <c r="SPU107"/>
      <c r="SPV107"/>
      <c r="SPW107"/>
      <c r="SPX107"/>
      <c r="SPY107"/>
      <c r="SPZ107"/>
      <c r="SQA107"/>
      <c r="SQB107"/>
      <c r="SQC107"/>
      <c r="SQD107"/>
      <c r="SQE107"/>
      <c r="SQF107"/>
      <c r="SQG107"/>
      <c r="SQH107"/>
      <c r="SQI107"/>
      <c r="SQJ107"/>
      <c r="SQK107"/>
      <c r="SQL107"/>
      <c r="SQM107"/>
      <c r="SQN107"/>
      <c r="SQO107"/>
      <c r="SQP107"/>
      <c r="SQQ107"/>
      <c r="SQR107"/>
      <c r="SQS107"/>
      <c r="SQT107"/>
      <c r="SQU107"/>
      <c r="SQV107"/>
      <c r="SQW107"/>
      <c r="SQX107"/>
      <c r="SQY107"/>
      <c r="SQZ107"/>
      <c r="SRA107"/>
      <c r="SRB107"/>
      <c r="SRC107"/>
      <c r="SRD107"/>
      <c r="SRE107"/>
      <c r="SRF107"/>
      <c r="SRG107"/>
      <c r="SRH107"/>
      <c r="SRI107"/>
      <c r="SRJ107"/>
      <c r="SRK107"/>
      <c r="SRL107"/>
      <c r="SRM107"/>
      <c r="SRN107"/>
      <c r="SRO107"/>
      <c r="SRP107"/>
      <c r="SRQ107"/>
      <c r="SRR107"/>
      <c r="SRS107"/>
      <c r="SRT107"/>
      <c r="SRU107"/>
      <c r="SRV107"/>
      <c r="SRW107"/>
      <c r="SRX107"/>
      <c r="SRY107"/>
      <c r="SRZ107"/>
      <c r="SSA107"/>
      <c r="SSB107"/>
      <c r="SSC107"/>
      <c r="SSD107"/>
      <c r="SSE107"/>
      <c r="SSF107"/>
      <c r="SSG107"/>
      <c r="SSH107"/>
      <c r="SSI107"/>
      <c r="SSJ107"/>
      <c r="SSK107"/>
      <c r="SSL107"/>
      <c r="SSM107"/>
      <c r="SSN107"/>
      <c r="SSO107"/>
      <c r="SSP107"/>
      <c r="SSQ107"/>
      <c r="SSR107"/>
      <c r="SSS107"/>
      <c r="SST107"/>
      <c r="SSU107"/>
      <c r="SSV107"/>
      <c r="SSW107"/>
      <c r="SSX107"/>
      <c r="SSY107"/>
      <c r="SSZ107"/>
      <c r="STA107"/>
      <c r="STB107"/>
      <c r="STC107"/>
      <c r="STD107"/>
      <c r="STE107"/>
      <c r="STF107"/>
      <c r="STG107"/>
      <c r="STH107"/>
      <c r="STI107"/>
      <c r="STJ107"/>
      <c r="STK107"/>
      <c r="STL107"/>
      <c r="STM107"/>
      <c r="STN107"/>
      <c r="STO107"/>
      <c r="STP107"/>
      <c r="STQ107"/>
      <c r="STR107"/>
      <c r="STS107"/>
      <c r="STT107"/>
      <c r="STU107"/>
      <c r="STV107"/>
      <c r="STW107"/>
      <c r="STX107"/>
      <c r="STY107"/>
      <c r="STZ107"/>
      <c r="SUA107"/>
      <c r="SUB107"/>
      <c r="SUC107"/>
      <c r="SUD107"/>
      <c r="SUE107"/>
      <c r="SUF107"/>
      <c r="SUG107"/>
      <c r="SUH107"/>
      <c r="SUI107"/>
      <c r="SUJ107"/>
      <c r="SUK107"/>
      <c r="SUL107"/>
      <c r="SUM107"/>
      <c r="SUN107"/>
      <c r="SUO107"/>
      <c r="SUP107"/>
      <c r="SUQ107"/>
      <c r="SUR107"/>
      <c r="SUS107"/>
      <c r="SUT107"/>
      <c r="SUU107"/>
      <c r="SUV107"/>
      <c r="SUW107"/>
      <c r="SUX107"/>
      <c r="SUY107"/>
      <c r="SUZ107"/>
      <c r="SVA107"/>
      <c r="SVB107"/>
      <c r="SVC107"/>
      <c r="SVD107"/>
      <c r="SVE107"/>
      <c r="SVF107"/>
      <c r="SVG107"/>
      <c r="SVH107"/>
      <c r="SVI107"/>
      <c r="SVJ107"/>
      <c r="SVK107"/>
      <c r="SVL107"/>
      <c r="SVM107"/>
      <c r="SVN107"/>
      <c r="SVO107"/>
      <c r="SVP107"/>
      <c r="SVQ107"/>
      <c r="SVR107"/>
      <c r="SVS107"/>
      <c r="SVT107"/>
      <c r="SVU107"/>
      <c r="SVV107"/>
      <c r="SVW107"/>
      <c r="SVX107"/>
      <c r="SVY107"/>
      <c r="SVZ107"/>
      <c r="SWA107"/>
      <c r="SWB107"/>
      <c r="SWC107"/>
      <c r="SWD107"/>
      <c r="SWE107"/>
      <c r="SWF107"/>
      <c r="SWG107"/>
      <c r="SWH107"/>
      <c r="SWI107"/>
      <c r="SWJ107"/>
      <c r="SWK107"/>
      <c r="SWL107"/>
      <c r="SWM107"/>
      <c r="SWN107"/>
      <c r="SWO107"/>
      <c r="SWP107"/>
      <c r="SWQ107"/>
      <c r="SWR107"/>
      <c r="SWS107"/>
      <c r="SWT107"/>
      <c r="SWU107"/>
      <c r="SWV107"/>
      <c r="SWW107"/>
      <c r="SWX107"/>
      <c r="SWY107"/>
      <c r="SWZ107"/>
      <c r="SXA107"/>
      <c r="SXB107"/>
      <c r="SXC107"/>
      <c r="SXD107"/>
      <c r="SXE107"/>
      <c r="SXF107"/>
      <c r="SXG107"/>
      <c r="SXH107"/>
      <c r="SXI107"/>
      <c r="SXJ107"/>
      <c r="SXK107"/>
      <c r="SXL107"/>
      <c r="SXM107"/>
      <c r="SXN107"/>
      <c r="SXO107"/>
      <c r="SXP107"/>
      <c r="SXQ107"/>
      <c r="SXR107"/>
      <c r="SXS107"/>
      <c r="SXT107"/>
      <c r="SXU107"/>
      <c r="SXV107"/>
      <c r="SXW107"/>
      <c r="SXX107"/>
      <c r="SXY107"/>
      <c r="SXZ107"/>
      <c r="SYA107"/>
      <c r="SYB107"/>
      <c r="SYC107"/>
      <c r="SYD107"/>
      <c r="SYE107"/>
      <c r="SYF107"/>
      <c r="SYG107"/>
      <c r="SYH107"/>
      <c r="SYI107"/>
      <c r="SYJ107"/>
      <c r="SYK107"/>
      <c r="SYL107"/>
      <c r="SYM107"/>
      <c r="SYN107"/>
      <c r="SYO107"/>
      <c r="SYP107"/>
      <c r="SYQ107"/>
      <c r="SYR107"/>
      <c r="SYS107"/>
      <c r="SYT107"/>
      <c r="SYU107"/>
      <c r="SYV107"/>
      <c r="SYW107"/>
      <c r="SYX107"/>
      <c r="SYY107"/>
      <c r="SYZ107"/>
      <c r="SZA107"/>
      <c r="SZB107"/>
      <c r="SZC107"/>
      <c r="SZD107"/>
      <c r="SZE107"/>
      <c r="SZF107"/>
      <c r="SZG107"/>
      <c r="SZH107"/>
      <c r="SZI107"/>
      <c r="SZJ107"/>
      <c r="SZK107"/>
      <c r="SZL107"/>
      <c r="SZM107"/>
      <c r="SZN107"/>
      <c r="SZO107"/>
      <c r="SZP107"/>
      <c r="SZQ107"/>
      <c r="SZR107"/>
      <c r="SZS107"/>
      <c r="SZT107"/>
      <c r="SZU107"/>
      <c r="SZV107"/>
      <c r="SZW107"/>
      <c r="SZX107"/>
      <c r="SZY107"/>
      <c r="SZZ107"/>
      <c r="TAA107"/>
      <c r="TAB107"/>
      <c r="TAC107"/>
      <c r="TAD107"/>
      <c r="TAE107"/>
      <c r="TAF107"/>
      <c r="TAG107"/>
      <c r="TAH107"/>
      <c r="TAI107"/>
      <c r="TAJ107"/>
      <c r="TAK107"/>
      <c r="TAL107"/>
      <c r="TAM107"/>
      <c r="TAN107"/>
      <c r="TAO107"/>
      <c r="TAP107"/>
      <c r="TAQ107"/>
      <c r="TAR107"/>
      <c r="TAS107"/>
      <c r="TAT107"/>
      <c r="TAU107"/>
      <c r="TAV107"/>
      <c r="TAW107"/>
      <c r="TAX107"/>
      <c r="TAY107"/>
      <c r="TAZ107"/>
      <c r="TBA107"/>
      <c r="TBB107"/>
      <c r="TBC107"/>
      <c r="TBD107"/>
      <c r="TBE107"/>
      <c r="TBF107"/>
      <c r="TBG107"/>
      <c r="TBH107"/>
      <c r="TBI107"/>
      <c r="TBJ107"/>
      <c r="TBK107"/>
      <c r="TBL107"/>
      <c r="TBM107"/>
      <c r="TBN107"/>
      <c r="TBO107"/>
      <c r="TBP107"/>
      <c r="TBQ107"/>
      <c r="TBR107"/>
      <c r="TBS107"/>
      <c r="TBT107"/>
      <c r="TBU107"/>
      <c r="TBV107"/>
      <c r="TBW107"/>
      <c r="TBX107"/>
      <c r="TBY107"/>
      <c r="TBZ107"/>
      <c r="TCA107"/>
      <c r="TCB107"/>
      <c r="TCC107"/>
      <c r="TCD107"/>
      <c r="TCE107"/>
      <c r="TCF107"/>
      <c r="TCG107"/>
      <c r="TCH107"/>
      <c r="TCI107"/>
      <c r="TCJ107"/>
      <c r="TCK107"/>
      <c r="TCL107"/>
      <c r="TCM107"/>
      <c r="TCN107"/>
      <c r="TCO107"/>
      <c r="TCP107"/>
      <c r="TCQ107"/>
      <c r="TCR107"/>
      <c r="TCS107"/>
      <c r="TCT107"/>
      <c r="TCU107"/>
      <c r="TCV107"/>
      <c r="TCW107"/>
      <c r="TCX107"/>
      <c r="TCY107"/>
      <c r="TCZ107"/>
      <c r="TDA107"/>
      <c r="TDB107"/>
      <c r="TDC107"/>
      <c r="TDD107"/>
      <c r="TDE107"/>
      <c r="TDF107"/>
      <c r="TDG107"/>
      <c r="TDH107"/>
      <c r="TDI107"/>
      <c r="TDJ107"/>
      <c r="TDK107"/>
      <c r="TDL107"/>
      <c r="TDM107"/>
      <c r="TDN107"/>
      <c r="TDO107"/>
      <c r="TDP107"/>
      <c r="TDQ107"/>
      <c r="TDR107"/>
      <c r="TDS107"/>
      <c r="TDT107"/>
      <c r="TDU107"/>
      <c r="TDV107"/>
      <c r="TDW107"/>
      <c r="TDX107"/>
      <c r="TDY107"/>
      <c r="TDZ107"/>
      <c r="TEA107"/>
      <c r="TEB107"/>
      <c r="TEC107"/>
      <c r="TED107"/>
      <c r="TEE107"/>
      <c r="TEF107"/>
      <c r="TEG107"/>
      <c r="TEH107"/>
      <c r="TEI107"/>
      <c r="TEJ107"/>
      <c r="TEK107"/>
      <c r="TEL107"/>
      <c r="TEM107"/>
      <c r="TEN107"/>
      <c r="TEO107"/>
      <c r="TEP107"/>
      <c r="TEQ107"/>
      <c r="TER107"/>
      <c r="TES107"/>
      <c r="TET107"/>
      <c r="TEU107"/>
      <c r="TEV107"/>
      <c r="TEW107"/>
      <c r="TEX107"/>
      <c r="TEY107"/>
      <c r="TEZ107"/>
      <c r="TFA107"/>
      <c r="TFB107"/>
      <c r="TFC107"/>
      <c r="TFD107"/>
      <c r="TFE107"/>
      <c r="TFF107"/>
      <c r="TFG107"/>
      <c r="TFH107"/>
      <c r="TFI107"/>
      <c r="TFJ107"/>
      <c r="TFK107"/>
      <c r="TFL107"/>
      <c r="TFM107"/>
      <c r="TFN107"/>
      <c r="TFO107"/>
      <c r="TFP107"/>
      <c r="TFQ107"/>
      <c r="TFR107"/>
      <c r="TFS107"/>
      <c r="TFT107"/>
      <c r="TFU107"/>
      <c r="TFV107"/>
      <c r="TFW107"/>
      <c r="TFX107"/>
      <c r="TFY107"/>
      <c r="TFZ107"/>
      <c r="TGA107"/>
      <c r="TGB107"/>
      <c r="TGC107"/>
      <c r="TGD107"/>
      <c r="TGE107"/>
      <c r="TGF107"/>
      <c r="TGG107"/>
      <c r="TGH107"/>
      <c r="TGI107"/>
      <c r="TGJ107"/>
      <c r="TGK107"/>
      <c r="TGL107"/>
      <c r="TGM107"/>
      <c r="TGN107"/>
      <c r="TGO107"/>
      <c r="TGP107"/>
      <c r="TGQ107"/>
      <c r="TGR107"/>
      <c r="TGS107"/>
      <c r="TGT107"/>
      <c r="TGU107"/>
      <c r="TGV107"/>
      <c r="TGW107"/>
      <c r="TGX107"/>
      <c r="TGY107"/>
      <c r="TGZ107"/>
      <c r="THA107"/>
      <c r="THB107"/>
      <c r="THC107"/>
      <c r="THD107"/>
      <c r="THE107"/>
      <c r="THF107"/>
      <c r="THG107"/>
      <c r="THH107"/>
      <c r="THI107"/>
      <c r="THJ107"/>
      <c r="THK107"/>
      <c r="THL107"/>
      <c r="THM107"/>
      <c r="THN107"/>
      <c r="THO107"/>
      <c r="THP107"/>
      <c r="THQ107"/>
      <c r="THR107"/>
      <c r="THS107"/>
      <c r="THT107"/>
      <c r="THU107"/>
      <c r="THV107"/>
      <c r="THW107"/>
      <c r="THX107"/>
      <c r="THY107"/>
      <c r="THZ107"/>
      <c r="TIA107"/>
      <c r="TIB107"/>
      <c r="TIC107"/>
      <c r="TID107"/>
      <c r="TIE107"/>
      <c r="TIF107"/>
      <c r="TIG107"/>
      <c r="TIH107"/>
      <c r="TII107"/>
      <c r="TIJ107"/>
      <c r="TIK107"/>
      <c r="TIL107"/>
      <c r="TIM107"/>
      <c r="TIN107"/>
      <c r="TIO107"/>
      <c r="TIP107"/>
      <c r="TIQ107"/>
      <c r="TIR107"/>
      <c r="TIS107"/>
      <c r="TIT107"/>
      <c r="TIU107"/>
      <c r="TIV107"/>
      <c r="TIW107"/>
      <c r="TIX107"/>
      <c r="TIY107"/>
      <c r="TIZ107"/>
      <c r="TJA107"/>
      <c r="TJB107"/>
      <c r="TJC107"/>
      <c r="TJD107"/>
      <c r="TJE107"/>
      <c r="TJF107"/>
      <c r="TJG107"/>
      <c r="TJH107"/>
      <c r="TJI107"/>
      <c r="TJJ107"/>
      <c r="TJK107"/>
      <c r="TJL107"/>
      <c r="TJM107"/>
      <c r="TJN107"/>
      <c r="TJO107"/>
      <c r="TJP107"/>
      <c r="TJQ107"/>
      <c r="TJR107"/>
      <c r="TJS107"/>
      <c r="TJT107"/>
      <c r="TJU107"/>
      <c r="TJV107"/>
      <c r="TJW107"/>
      <c r="TJX107"/>
      <c r="TJY107"/>
      <c r="TJZ107"/>
      <c r="TKA107"/>
      <c r="TKB107"/>
      <c r="TKC107"/>
      <c r="TKD107"/>
      <c r="TKE107"/>
      <c r="TKF107"/>
      <c r="TKG107"/>
      <c r="TKH107"/>
      <c r="TKI107"/>
      <c r="TKJ107"/>
      <c r="TKK107"/>
      <c r="TKL107"/>
      <c r="TKM107"/>
      <c r="TKN107"/>
      <c r="TKO107"/>
      <c r="TKP107"/>
      <c r="TKQ107"/>
      <c r="TKR107"/>
      <c r="TKS107"/>
      <c r="TKT107"/>
      <c r="TKU107"/>
      <c r="TKV107"/>
      <c r="TKW107"/>
      <c r="TKX107"/>
      <c r="TKY107"/>
      <c r="TKZ107"/>
      <c r="TLA107"/>
      <c r="TLB107"/>
      <c r="TLC107"/>
      <c r="TLD107"/>
      <c r="TLE107"/>
      <c r="TLF107"/>
      <c r="TLG107"/>
      <c r="TLH107"/>
      <c r="TLI107"/>
      <c r="TLJ107"/>
      <c r="TLK107"/>
      <c r="TLL107"/>
      <c r="TLM107"/>
      <c r="TLN107"/>
      <c r="TLO107"/>
      <c r="TLP107"/>
      <c r="TLQ107"/>
      <c r="TLR107"/>
      <c r="TLS107"/>
      <c r="TLT107"/>
      <c r="TLU107"/>
      <c r="TLV107"/>
      <c r="TLW107"/>
      <c r="TLX107"/>
      <c r="TLY107"/>
      <c r="TLZ107"/>
      <c r="TMA107"/>
      <c r="TMB107"/>
      <c r="TMC107"/>
      <c r="TMD107"/>
      <c r="TME107"/>
      <c r="TMF107"/>
      <c r="TMG107"/>
      <c r="TMH107"/>
      <c r="TMI107"/>
      <c r="TMJ107"/>
      <c r="TMK107"/>
      <c r="TML107"/>
      <c r="TMM107"/>
      <c r="TMN107"/>
      <c r="TMO107"/>
      <c r="TMP107"/>
      <c r="TMQ107"/>
      <c r="TMR107"/>
      <c r="TMS107"/>
      <c r="TMT107"/>
      <c r="TMU107"/>
      <c r="TMV107"/>
      <c r="TMW107"/>
      <c r="TMX107"/>
      <c r="TMY107"/>
      <c r="TMZ107"/>
      <c r="TNA107"/>
      <c r="TNB107"/>
      <c r="TNC107"/>
      <c r="TND107"/>
      <c r="TNE107"/>
      <c r="TNF107"/>
      <c r="TNG107"/>
      <c r="TNH107"/>
      <c r="TNI107"/>
      <c r="TNJ107"/>
      <c r="TNK107"/>
      <c r="TNL107"/>
      <c r="TNM107"/>
      <c r="TNN107"/>
      <c r="TNO107"/>
      <c r="TNP107"/>
      <c r="TNQ107"/>
      <c r="TNR107"/>
      <c r="TNS107"/>
      <c r="TNT107"/>
      <c r="TNU107"/>
      <c r="TNV107"/>
      <c r="TNW107"/>
      <c r="TNX107"/>
      <c r="TNY107"/>
      <c r="TNZ107"/>
      <c r="TOA107"/>
      <c r="TOB107"/>
      <c r="TOC107"/>
      <c r="TOD107"/>
      <c r="TOE107"/>
      <c r="TOF107"/>
      <c r="TOG107"/>
      <c r="TOH107"/>
      <c r="TOI107"/>
      <c r="TOJ107"/>
      <c r="TOK107"/>
      <c r="TOL107"/>
      <c r="TOM107"/>
      <c r="TON107"/>
      <c r="TOO107"/>
      <c r="TOP107"/>
      <c r="TOQ107"/>
      <c r="TOR107"/>
      <c r="TOS107"/>
      <c r="TOT107"/>
      <c r="TOU107"/>
      <c r="TOV107"/>
      <c r="TOW107"/>
      <c r="TOX107"/>
      <c r="TOY107"/>
      <c r="TOZ107"/>
      <c r="TPA107"/>
      <c r="TPB107"/>
      <c r="TPC107"/>
      <c r="TPD107"/>
      <c r="TPE107"/>
      <c r="TPF107"/>
      <c r="TPG107"/>
      <c r="TPH107"/>
      <c r="TPI107"/>
      <c r="TPJ107"/>
      <c r="TPK107"/>
      <c r="TPL107"/>
      <c r="TPM107"/>
      <c r="TPN107"/>
      <c r="TPO107"/>
      <c r="TPP107"/>
      <c r="TPQ107"/>
      <c r="TPR107"/>
      <c r="TPS107"/>
      <c r="TPT107"/>
      <c r="TPU107"/>
      <c r="TPV107"/>
      <c r="TPW107"/>
      <c r="TPX107"/>
      <c r="TPY107"/>
      <c r="TPZ107"/>
      <c r="TQA107"/>
      <c r="TQB107"/>
      <c r="TQC107"/>
      <c r="TQD107"/>
      <c r="TQE107"/>
      <c r="TQF107"/>
      <c r="TQG107"/>
      <c r="TQH107"/>
      <c r="TQI107"/>
      <c r="TQJ107"/>
      <c r="TQK107"/>
      <c r="TQL107"/>
      <c r="TQM107"/>
      <c r="TQN107"/>
      <c r="TQO107"/>
      <c r="TQP107"/>
      <c r="TQQ107"/>
      <c r="TQR107"/>
      <c r="TQS107"/>
      <c r="TQT107"/>
      <c r="TQU107"/>
      <c r="TQV107"/>
      <c r="TQW107"/>
      <c r="TQX107"/>
      <c r="TQY107"/>
      <c r="TQZ107"/>
      <c r="TRA107"/>
      <c r="TRB107"/>
      <c r="TRC107"/>
      <c r="TRD107"/>
      <c r="TRE107"/>
      <c r="TRF107"/>
      <c r="TRG107"/>
      <c r="TRH107"/>
      <c r="TRI107"/>
      <c r="TRJ107"/>
      <c r="TRK107"/>
      <c r="TRL107"/>
      <c r="TRM107"/>
      <c r="TRN107"/>
      <c r="TRO107"/>
      <c r="TRP107"/>
      <c r="TRQ107"/>
      <c r="TRR107"/>
      <c r="TRS107"/>
      <c r="TRT107"/>
      <c r="TRU107"/>
      <c r="TRV107"/>
      <c r="TRW107"/>
      <c r="TRX107"/>
      <c r="TRY107"/>
      <c r="TRZ107"/>
      <c r="TSA107"/>
      <c r="TSB107"/>
      <c r="TSC107"/>
      <c r="TSD107"/>
      <c r="TSE107"/>
      <c r="TSF107"/>
      <c r="TSG107"/>
      <c r="TSH107"/>
      <c r="TSI107"/>
      <c r="TSJ107"/>
      <c r="TSK107"/>
      <c r="TSL107"/>
      <c r="TSM107"/>
      <c r="TSN107"/>
      <c r="TSO107"/>
      <c r="TSP107"/>
      <c r="TSQ107"/>
      <c r="TSR107"/>
      <c r="TSS107"/>
      <c r="TST107"/>
      <c r="TSU107"/>
      <c r="TSV107"/>
      <c r="TSW107"/>
      <c r="TSX107"/>
      <c r="TSY107"/>
      <c r="TSZ107"/>
      <c r="TTA107"/>
      <c r="TTB107"/>
      <c r="TTC107"/>
      <c r="TTD107"/>
      <c r="TTE107"/>
      <c r="TTF107"/>
      <c r="TTG107"/>
      <c r="TTH107"/>
      <c r="TTI107"/>
      <c r="TTJ107"/>
      <c r="TTK107"/>
      <c r="TTL107"/>
      <c r="TTM107"/>
      <c r="TTN107"/>
      <c r="TTO107"/>
      <c r="TTP107"/>
      <c r="TTQ107"/>
      <c r="TTR107"/>
      <c r="TTS107"/>
      <c r="TTT107"/>
      <c r="TTU107"/>
      <c r="TTV107"/>
      <c r="TTW107"/>
      <c r="TTX107"/>
      <c r="TTY107"/>
      <c r="TTZ107"/>
      <c r="TUA107"/>
      <c r="TUB107"/>
      <c r="TUC107"/>
      <c r="TUD107"/>
      <c r="TUE107"/>
      <c r="TUF107"/>
      <c r="TUG107"/>
      <c r="TUH107"/>
      <c r="TUI107"/>
      <c r="TUJ107"/>
      <c r="TUK107"/>
      <c r="TUL107"/>
      <c r="TUM107"/>
      <c r="TUN107"/>
      <c r="TUO107"/>
      <c r="TUP107"/>
      <c r="TUQ107"/>
      <c r="TUR107"/>
      <c r="TUS107"/>
      <c r="TUT107"/>
      <c r="TUU107"/>
      <c r="TUV107"/>
      <c r="TUW107"/>
      <c r="TUX107"/>
      <c r="TUY107"/>
      <c r="TUZ107"/>
      <c r="TVA107"/>
      <c r="TVB107"/>
      <c r="TVC107"/>
      <c r="TVD107"/>
      <c r="TVE107"/>
      <c r="TVF107"/>
      <c r="TVG107"/>
      <c r="TVH107"/>
      <c r="TVI107"/>
      <c r="TVJ107"/>
      <c r="TVK107"/>
      <c r="TVL107"/>
      <c r="TVM107"/>
      <c r="TVN107"/>
      <c r="TVO107"/>
      <c r="TVP107"/>
      <c r="TVQ107"/>
      <c r="TVR107"/>
      <c r="TVS107"/>
      <c r="TVT107"/>
      <c r="TVU107"/>
      <c r="TVV107"/>
      <c r="TVW107"/>
      <c r="TVX107"/>
      <c r="TVY107"/>
      <c r="TVZ107"/>
      <c r="TWA107"/>
      <c r="TWB107"/>
      <c r="TWC107"/>
      <c r="TWD107"/>
      <c r="TWE107"/>
      <c r="TWF107"/>
      <c r="TWG107"/>
      <c r="TWH107"/>
      <c r="TWI107"/>
      <c r="TWJ107"/>
      <c r="TWK107"/>
      <c r="TWL107"/>
      <c r="TWM107"/>
      <c r="TWN107"/>
      <c r="TWO107"/>
      <c r="TWP107"/>
      <c r="TWQ107"/>
      <c r="TWR107"/>
      <c r="TWS107"/>
      <c r="TWT107"/>
      <c r="TWU107"/>
      <c r="TWV107"/>
      <c r="TWW107"/>
      <c r="TWX107"/>
      <c r="TWY107"/>
      <c r="TWZ107"/>
      <c r="TXA107"/>
      <c r="TXB107"/>
      <c r="TXC107"/>
      <c r="TXD107"/>
      <c r="TXE107"/>
      <c r="TXF107"/>
      <c r="TXG107"/>
      <c r="TXH107"/>
      <c r="TXI107"/>
      <c r="TXJ107"/>
      <c r="TXK107"/>
      <c r="TXL107"/>
      <c r="TXM107"/>
      <c r="TXN107"/>
      <c r="TXO107"/>
      <c r="TXP107"/>
      <c r="TXQ107"/>
      <c r="TXR107"/>
      <c r="TXS107"/>
      <c r="TXT107"/>
      <c r="TXU107"/>
      <c r="TXV107"/>
      <c r="TXW107"/>
      <c r="TXX107"/>
      <c r="TXY107"/>
      <c r="TXZ107"/>
      <c r="TYA107"/>
      <c r="TYB107"/>
      <c r="TYC107"/>
      <c r="TYD107"/>
      <c r="TYE107"/>
      <c r="TYF107"/>
      <c r="TYG107"/>
      <c r="TYH107"/>
      <c r="TYI107"/>
      <c r="TYJ107"/>
      <c r="TYK107"/>
      <c r="TYL107"/>
      <c r="TYM107"/>
      <c r="TYN107"/>
      <c r="TYO107"/>
      <c r="TYP107"/>
      <c r="TYQ107"/>
      <c r="TYR107"/>
      <c r="TYS107"/>
      <c r="TYT107"/>
      <c r="TYU107"/>
      <c r="TYV107"/>
      <c r="TYW107"/>
      <c r="TYX107"/>
      <c r="TYY107"/>
      <c r="TYZ107"/>
      <c r="TZA107"/>
      <c r="TZB107"/>
      <c r="TZC107"/>
      <c r="TZD107"/>
      <c r="TZE107"/>
      <c r="TZF107"/>
      <c r="TZG107"/>
      <c r="TZH107"/>
      <c r="TZI107"/>
      <c r="TZJ107"/>
      <c r="TZK107"/>
      <c r="TZL107"/>
      <c r="TZM107"/>
      <c r="TZN107"/>
      <c r="TZO107"/>
      <c r="TZP107"/>
      <c r="TZQ107"/>
      <c r="TZR107"/>
      <c r="TZS107"/>
      <c r="TZT107"/>
      <c r="TZU107"/>
      <c r="TZV107"/>
      <c r="TZW107"/>
      <c r="TZX107"/>
      <c r="TZY107"/>
      <c r="TZZ107"/>
      <c r="UAA107"/>
      <c r="UAB107"/>
      <c r="UAC107"/>
      <c r="UAD107"/>
      <c r="UAE107"/>
      <c r="UAF107"/>
      <c r="UAG107"/>
      <c r="UAH107"/>
      <c r="UAI107"/>
      <c r="UAJ107"/>
      <c r="UAK107"/>
      <c r="UAL107"/>
      <c r="UAM107"/>
      <c r="UAN107"/>
      <c r="UAO107"/>
      <c r="UAP107"/>
      <c r="UAQ107"/>
      <c r="UAR107"/>
      <c r="UAS107"/>
      <c r="UAT107"/>
      <c r="UAU107"/>
      <c r="UAV107"/>
      <c r="UAW107"/>
      <c r="UAX107"/>
      <c r="UAY107"/>
      <c r="UAZ107"/>
      <c r="UBA107"/>
      <c r="UBB107"/>
      <c r="UBC107"/>
      <c r="UBD107"/>
      <c r="UBE107"/>
      <c r="UBF107"/>
      <c r="UBG107"/>
      <c r="UBH107"/>
      <c r="UBI107"/>
      <c r="UBJ107"/>
      <c r="UBK107"/>
      <c r="UBL107"/>
      <c r="UBM107"/>
      <c r="UBN107"/>
      <c r="UBO107"/>
      <c r="UBP107"/>
      <c r="UBQ107"/>
      <c r="UBR107"/>
      <c r="UBS107"/>
      <c r="UBT107"/>
      <c r="UBU107"/>
      <c r="UBV107"/>
      <c r="UBW107"/>
      <c r="UBX107"/>
      <c r="UBY107"/>
      <c r="UBZ107"/>
      <c r="UCA107"/>
      <c r="UCB107"/>
      <c r="UCC107"/>
      <c r="UCD107"/>
      <c r="UCE107"/>
      <c r="UCF107"/>
      <c r="UCG107"/>
      <c r="UCH107"/>
      <c r="UCI107"/>
      <c r="UCJ107"/>
      <c r="UCK107"/>
      <c r="UCL107"/>
      <c r="UCM107"/>
      <c r="UCN107"/>
      <c r="UCO107"/>
      <c r="UCP107"/>
      <c r="UCQ107"/>
      <c r="UCR107"/>
      <c r="UCS107"/>
      <c r="UCT107"/>
      <c r="UCU107"/>
      <c r="UCV107"/>
      <c r="UCW107"/>
      <c r="UCX107"/>
      <c r="UCY107"/>
      <c r="UCZ107"/>
      <c r="UDA107"/>
      <c r="UDB107"/>
      <c r="UDC107"/>
      <c r="UDD107"/>
      <c r="UDE107"/>
      <c r="UDF107"/>
      <c r="UDG107"/>
      <c r="UDH107"/>
      <c r="UDI107"/>
      <c r="UDJ107"/>
      <c r="UDK107"/>
      <c r="UDL107"/>
      <c r="UDM107"/>
      <c r="UDN107"/>
      <c r="UDO107"/>
      <c r="UDP107"/>
      <c r="UDQ107"/>
      <c r="UDR107"/>
      <c r="UDS107"/>
      <c r="UDT107"/>
      <c r="UDU107"/>
      <c r="UDV107"/>
      <c r="UDW107"/>
      <c r="UDX107"/>
      <c r="UDY107"/>
      <c r="UDZ107"/>
      <c r="UEA107"/>
      <c r="UEB107"/>
      <c r="UEC107"/>
      <c r="UED107"/>
      <c r="UEE107"/>
      <c r="UEF107"/>
      <c r="UEG107"/>
      <c r="UEH107"/>
      <c r="UEI107"/>
      <c r="UEJ107"/>
      <c r="UEK107"/>
      <c r="UEL107"/>
      <c r="UEM107"/>
      <c r="UEN107"/>
      <c r="UEO107"/>
      <c r="UEP107"/>
      <c r="UEQ107"/>
      <c r="UER107"/>
      <c r="UES107"/>
      <c r="UET107"/>
      <c r="UEU107"/>
      <c r="UEV107"/>
      <c r="UEW107"/>
      <c r="UEX107"/>
      <c r="UEY107"/>
      <c r="UEZ107"/>
      <c r="UFA107"/>
      <c r="UFB107"/>
      <c r="UFC107"/>
      <c r="UFD107"/>
      <c r="UFE107"/>
      <c r="UFF107"/>
      <c r="UFG107"/>
      <c r="UFH107"/>
      <c r="UFI107"/>
      <c r="UFJ107"/>
      <c r="UFK107"/>
      <c r="UFL107"/>
      <c r="UFM107"/>
      <c r="UFN107"/>
      <c r="UFO107"/>
      <c r="UFP107"/>
      <c r="UFQ107"/>
      <c r="UFR107"/>
      <c r="UFS107"/>
      <c r="UFT107"/>
      <c r="UFU107"/>
      <c r="UFV107"/>
      <c r="UFW107"/>
      <c r="UFX107"/>
      <c r="UFY107"/>
      <c r="UFZ107"/>
      <c r="UGA107"/>
      <c r="UGB107"/>
      <c r="UGC107"/>
      <c r="UGD107"/>
      <c r="UGE107"/>
      <c r="UGF107"/>
      <c r="UGG107"/>
      <c r="UGH107"/>
      <c r="UGI107"/>
      <c r="UGJ107"/>
      <c r="UGK107"/>
      <c r="UGL107"/>
      <c r="UGM107"/>
      <c r="UGN107"/>
      <c r="UGO107"/>
      <c r="UGP107"/>
      <c r="UGQ107"/>
      <c r="UGR107"/>
      <c r="UGS107"/>
      <c r="UGT107"/>
      <c r="UGU107"/>
      <c r="UGV107"/>
      <c r="UGW107"/>
      <c r="UGX107"/>
      <c r="UGY107"/>
      <c r="UGZ107"/>
      <c r="UHA107"/>
      <c r="UHB107"/>
      <c r="UHC107"/>
      <c r="UHD107"/>
      <c r="UHE107"/>
      <c r="UHF107"/>
      <c r="UHG107"/>
      <c r="UHH107"/>
      <c r="UHI107"/>
      <c r="UHJ107"/>
      <c r="UHK107"/>
      <c r="UHL107"/>
      <c r="UHM107"/>
      <c r="UHN107"/>
      <c r="UHO107"/>
      <c r="UHP107"/>
      <c r="UHQ107"/>
      <c r="UHR107"/>
      <c r="UHS107"/>
      <c r="UHT107"/>
      <c r="UHU107"/>
      <c r="UHV107"/>
      <c r="UHW107"/>
      <c r="UHX107"/>
      <c r="UHY107"/>
      <c r="UHZ107"/>
      <c r="UIA107"/>
      <c r="UIB107"/>
      <c r="UIC107"/>
      <c r="UID107"/>
      <c r="UIE107"/>
      <c r="UIF107"/>
      <c r="UIG107"/>
      <c r="UIH107"/>
      <c r="UII107"/>
      <c r="UIJ107"/>
      <c r="UIK107"/>
      <c r="UIL107"/>
      <c r="UIM107"/>
      <c r="UIN107"/>
      <c r="UIO107"/>
      <c r="UIP107"/>
      <c r="UIQ107"/>
      <c r="UIR107"/>
      <c r="UIS107"/>
      <c r="UIT107"/>
      <c r="UIU107"/>
      <c r="UIV107"/>
      <c r="UIW107"/>
      <c r="UIX107"/>
      <c r="UIY107"/>
      <c r="UIZ107"/>
      <c r="UJA107"/>
      <c r="UJB107"/>
      <c r="UJC107"/>
      <c r="UJD107"/>
      <c r="UJE107"/>
      <c r="UJF107"/>
      <c r="UJG107"/>
      <c r="UJH107"/>
      <c r="UJI107"/>
      <c r="UJJ107"/>
      <c r="UJK107"/>
      <c r="UJL107"/>
      <c r="UJM107"/>
      <c r="UJN107"/>
      <c r="UJO107"/>
      <c r="UJP107"/>
      <c r="UJQ107"/>
      <c r="UJR107"/>
      <c r="UJS107"/>
      <c r="UJT107"/>
      <c r="UJU107"/>
      <c r="UJV107"/>
      <c r="UJW107"/>
      <c r="UJX107"/>
      <c r="UJY107"/>
      <c r="UJZ107"/>
      <c r="UKA107"/>
      <c r="UKB107"/>
      <c r="UKC107"/>
      <c r="UKD107"/>
      <c r="UKE107"/>
      <c r="UKF107"/>
      <c r="UKG107"/>
      <c r="UKH107"/>
      <c r="UKI107"/>
      <c r="UKJ107"/>
      <c r="UKK107"/>
      <c r="UKL107"/>
      <c r="UKM107"/>
      <c r="UKN107"/>
      <c r="UKO107"/>
      <c r="UKP107"/>
      <c r="UKQ107"/>
      <c r="UKR107"/>
      <c r="UKS107"/>
      <c r="UKT107"/>
      <c r="UKU107"/>
      <c r="UKV107"/>
      <c r="UKW107"/>
      <c r="UKX107"/>
      <c r="UKY107"/>
      <c r="UKZ107"/>
      <c r="ULA107"/>
      <c r="ULB107"/>
      <c r="ULC107"/>
      <c r="ULD107"/>
      <c r="ULE107"/>
      <c r="ULF107"/>
      <c r="ULG107"/>
      <c r="ULH107"/>
      <c r="ULI107"/>
      <c r="ULJ107"/>
      <c r="ULK107"/>
      <c r="ULL107"/>
      <c r="ULM107"/>
      <c r="ULN107"/>
      <c r="ULO107"/>
      <c r="ULP107"/>
      <c r="ULQ107"/>
      <c r="ULR107"/>
      <c r="ULS107"/>
      <c r="ULT107"/>
      <c r="ULU107"/>
      <c r="ULV107"/>
      <c r="ULW107"/>
      <c r="ULX107"/>
      <c r="ULY107"/>
      <c r="ULZ107"/>
      <c r="UMA107"/>
      <c r="UMB107"/>
      <c r="UMC107"/>
      <c r="UMD107"/>
      <c r="UME107"/>
      <c r="UMF107"/>
      <c r="UMG107"/>
      <c r="UMH107"/>
      <c r="UMI107"/>
      <c r="UMJ107"/>
      <c r="UMK107"/>
      <c r="UML107"/>
      <c r="UMM107"/>
      <c r="UMN107"/>
      <c r="UMO107"/>
      <c r="UMP107"/>
      <c r="UMQ107"/>
      <c r="UMR107"/>
      <c r="UMS107"/>
      <c r="UMT107"/>
      <c r="UMU107"/>
      <c r="UMV107"/>
      <c r="UMW107"/>
      <c r="UMX107"/>
      <c r="UMY107"/>
      <c r="UMZ107"/>
      <c r="UNA107"/>
      <c r="UNB107"/>
      <c r="UNC107"/>
      <c r="UND107"/>
      <c r="UNE107"/>
      <c r="UNF107"/>
      <c r="UNG107"/>
      <c r="UNH107"/>
      <c r="UNI107"/>
      <c r="UNJ107"/>
      <c r="UNK107"/>
      <c r="UNL107"/>
      <c r="UNM107"/>
      <c r="UNN107"/>
      <c r="UNO107"/>
      <c r="UNP107"/>
      <c r="UNQ107"/>
      <c r="UNR107"/>
      <c r="UNS107"/>
      <c r="UNT107"/>
      <c r="UNU107"/>
      <c r="UNV107"/>
      <c r="UNW107"/>
      <c r="UNX107"/>
      <c r="UNY107"/>
      <c r="UNZ107"/>
      <c r="UOA107"/>
      <c r="UOB107"/>
      <c r="UOC107"/>
      <c r="UOD107"/>
      <c r="UOE107"/>
      <c r="UOF107"/>
      <c r="UOG107"/>
      <c r="UOH107"/>
      <c r="UOI107"/>
      <c r="UOJ107"/>
      <c r="UOK107"/>
      <c r="UOL107"/>
      <c r="UOM107"/>
      <c r="UON107"/>
      <c r="UOO107"/>
      <c r="UOP107"/>
      <c r="UOQ107"/>
      <c r="UOR107"/>
      <c r="UOS107"/>
      <c r="UOT107"/>
      <c r="UOU107"/>
      <c r="UOV107"/>
      <c r="UOW107"/>
      <c r="UOX107"/>
      <c r="UOY107"/>
      <c r="UOZ107"/>
      <c r="UPA107"/>
      <c r="UPB107"/>
      <c r="UPC107"/>
      <c r="UPD107"/>
      <c r="UPE107"/>
      <c r="UPF107"/>
      <c r="UPG107"/>
      <c r="UPH107"/>
      <c r="UPI107"/>
      <c r="UPJ107"/>
      <c r="UPK107"/>
      <c r="UPL107"/>
      <c r="UPM107"/>
      <c r="UPN107"/>
      <c r="UPO107"/>
      <c r="UPP107"/>
      <c r="UPQ107"/>
      <c r="UPR107"/>
      <c r="UPS107"/>
      <c r="UPT107"/>
      <c r="UPU107"/>
      <c r="UPV107"/>
      <c r="UPW107"/>
      <c r="UPX107"/>
      <c r="UPY107"/>
      <c r="UPZ107"/>
      <c r="UQA107"/>
      <c r="UQB107"/>
      <c r="UQC107"/>
      <c r="UQD107"/>
      <c r="UQE107"/>
      <c r="UQF107"/>
      <c r="UQG107"/>
      <c r="UQH107"/>
      <c r="UQI107"/>
      <c r="UQJ107"/>
      <c r="UQK107"/>
      <c r="UQL107"/>
      <c r="UQM107"/>
      <c r="UQN107"/>
      <c r="UQO107"/>
      <c r="UQP107"/>
      <c r="UQQ107"/>
      <c r="UQR107"/>
      <c r="UQS107"/>
      <c r="UQT107"/>
      <c r="UQU107"/>
      <c r="UQV107"/>
      <c r="UQW107"/>
      <c r="UQX107"/>
      <c r="UQY107"/>
      <c r="UQZ107"/>
      <c r="URA107"/>
      <c r="URB107"/>
      <c r="URC107"/>
      <c r="URD107"/>
      <c r="URE107"/>
      <c r="URF107"/>
      <c r="URG107"/>
      <c r="URH107"/>
      <c r="URI107"/>
      <c r="URJ107"/>
      <c r="URK107"/>
      <c r="URL107"/>
      <c r="URM107"/>
      <c r="URN107"/>
      <c r="URO107"/>
      <c r="URP107"/>
      <c r="URQ107"/>
      <c r="URR107"/>
      <c r="URS107"/>
      <c r="URT107"/>
      <c r="URU107"/>
      <c r="URV107"/>
      <c r="URW107"/>
      <c r="URX107"/>
      <c r="URY107"/>
      <c r="URZ107"/>
      <c r="USA107"/>
      <c r="USB107"/>
      <c r="USC107"/>
      <c r="USD107"/>
      <c r="USE107"/>
      <c r="USF107"/>
      <c r="USG107"/>
      <c r="USH107"/>
      <c r="USI107"/>
      <c r="USJ107"/>
      <c r="USK107"/>
      <c r="USL107"/>
      <c r="USM107"/>
      <c r="USN107"/>
      <c r="USO107"/>
      <c r="USP107"/>
      <c r="USQ107"/>
      <c r="USR107"/>
      <c r="USS107"/>
      <c r="UST107"/>
      <c r="USU107"/>
      <c r="USV107"/>
      <c r="USW107"/>
      <c r="USX107"/>
      <c r="USY107"/>
      <c r="USZ107"/>
      <c r="UTA107"/>
      <c r="UTB107"/>
      <c r="UTC107"/>
      <c r="UTD107"/>
      <c r="UTE107"/>
      <c r="UTF107"/>
      <c r="UTG107"/>
      <c r="UTH107"/>
      <c r="UTI107"/>
      <c r="UTJ107"/>
      <c r="UTK107"/>
      <c r="UTL107"/>
      <c r="UTM107"/>
      <c r="UTN107"/>
      <c r="UTO107"/>
      <c r="UTP107"/>
      <c r="UTQ107"/>
      <c r="UTR107"/>
      <c r="UTS107"/>
      <c r="UTT107"/>
      <c r="UTU107"/>
      <c r="UTV107"/>
      <c r="UTW107"/>
      <c r="UTX107"/>
      <c r="UTY107"/>
      <c r="UTZ107"/>
      <c r="UUA107"/>
      <c r="UUB107"/>
      <c r="UUC107"/>
      <c r="UUD107"/>
      <c r="UUE107"/>
      <c r="UUF107"/>
      <c r="UUG107"/>
      <c r="UUH107"/>
      <c r="UUI107"/>
      <c r="UUJ107"/>
      <c r="UUK107"/>
      <c r="UUL107"/>
      <c r="UUM107"/>
      <c r="UUN107"/>
      <c r="UUO107"/>
      <c r="UUP107"/>
      <c r="UUQ107"/>
      <c r="UUR107"/>
      <c r="UUS107"/>
      <c r="UUT107"/>
      <c r="UUU107"/>
      <c r="UUV107"/>
      <c r="UUW107"/>
      <c r="UUX107"/>
      <c r="UUY107"/>
      <c r="UUZ107"/>
      <c r="UVA107"/>
      <c r="UVB107"/>
      <c r="UVC107"/>
      <c r="UVD107"/>
      <c r="UVE107"/>
      <c r="UVF107"/>
      <c r="UVG107"/>
      <c r="UVH107"/>
      <c r="UVI107"/>
      <c r="UVJ107"/>
      <c r="UVK107"/>
      <c r="UVL107"/>
      <c r="UVM107"/>
      <c r="UVN107"/>
      <c r="UVO107"/>
      <c r="UVP107"/>
      <c r="UVQ107"/>
      <c r="UVR107"/>
      <c r="UVS107"/>
      <c r="UVT107"/>
      <c r="UVU107"/>
      <c r="UVV107"/>
      <c r="UVW107"/>
      <c r="UVX107"/>
      <c r="UVY107"/>
      <c r="UVZ107"/>
      <c r="UWA107"/>
      <c r="UWB107"/>
      <c r="UWC107"/>
      <c r="UWD107"/>
      <c r="UWE107"/>
      <c r="UWF107"/>
      <c r="UWG107"/>
      <c r="UWH107"/>
      <c r="UWI107"/>
      <c r="UWJ107"/>
      <c r="UWK107"/>
      <c r="UWL107"/>
      <c r="UWM107"/>
      <c r="UWN107"/>
      <c r="UWO107"/>
      <c r="UWP107"/>
      <c r="UWQ107"/>
      <c r="UWR107"/>
      <c r="UWS107"/>
      <c r="UWT107"/>
      <c r="UWU107"/>
      <c r="UWV107"/>
      <c r="UWW107"/>
      <c r="UWX107"/>
      <c r="UWY107"/>
      <c r="UWZ107"/>
      <c r="UXA107"/>
      <c r="UXB107"/>
      <c r="UXC107"/>
      <c r="UXD107"/>
      <c r="UXE107"/>
      <c r="UXF107"/>
      <c r="UXG107"/>
      <c r="UXH107"/>
      <c r="UXI107"/>
      <c r="UXJ107"/>
      <c r="UXK107"/>
      <c r="UXL107"/>
      <c r="UXM107"/>
      <c r="UXN107"/>
      <c r="UXO107"/>
      <c r="UXP107"/>
      <c r="UXQ107"/>
      <c r="UXR107"/>
      <c r="UXS107"/>
      <c r="UXT107"/>
      <c r="UXU107"/>
      <c r="UXV107"/>
      <c r="UXW107"/>
      <c r="UXX107"/>
      <c r="UXY107"/>
      <c r="UXZ107"/>
      <c r="UYA107"/>
      <c r="UYB107"/>
      <c r="UYC107"/>
      <c r="UYD107"/>
      <c r="UYE107"/>
      <c r="UYF107"/>
      <c r="UYG107"/>
      <c r="UYH107"/>
      <c r="UYI107"/>
      <c r="UYJ107"/>
      <c r="UYK107"/>
      <c r="UYL107"/>
      <c r="UYM107"/>
      <c r="UYN107"/>
      <c r="UYO107"/>
      <c r="UYP107"/>
      <c r="UYQ107"/>
      <c r="UYR107"/>
      <c r="UYS107"/>
      <c r="UYT107"/>
      <c r="UYU107"/>
      <c r="UYV107"/>
      <c r="UYW107"/>
      <c r="UYX107"/>
      <c r="UYY107"/>
      <c r="UYZ107"/>
      <c r="UZA107"/>
      <c r="UZB107"/>
      <c r="UZC107"/>
      <c r="UZD107"/>
      <c r="UZE107"/>
      <c r="UZF107"/>
      <c r="UZG107"/>
      <c r="UZH107"/>
      <c r="UZI107"/>
      <c r="UZJ107"/>
      <c r="UZK107"/>
      <c r="UZL107"/>
      <c r="UZM107"/>
      <c r="UZN107"/>
      <c r="UZO107"/>
      <c r="UZP107"/>
      <c r="UZQ107"/>
      <c r="UZR107"/>
      <c r="UZS107"/>
      <c r="UZT107"/>
      <c r="UZU107"/>
      <c r="UZV107"/>
      <c r="UZW107"/>
      <c r="UZX107"/>
      <c r="UZY107"/>
      <c r="UZZ107"/>
      <c r="VAA107"/>
      <c r="VAB107"/>
      <c r="VAC107"/>
      <c r="VAD107"/>
      <c r="VAE107"/>
      <c r="VAF107"/>
      <c r="VAG107"/>
      <c r="VAH107"/>
      <c r="VAI107"/>
      <c r="VAJ107"/>
      <c r="VAK107"/>
      <c r="VAL107"/>
      <c r="VAM107"/>
      <c r="VAN107"/>
      <c r="VAO107"/>
      <c r="VAP107"/>
      <c r="VAQ107"/>
      <c r="VAR107"/>
      <c r="VAS107"/>
      <c r="VAT107"/>
      <c r="VAU107"/>
      <c r="VAV107"/>
      <c r="VAW107"/>
      <c r="VAX107"/>
      <c r="VAY107"/>
      <c r="VAZ107"/>
      <c r="VBA107"/>
      <c r="VBB107"/>
      <c r="VBC107"/>
      <c r="VBD107"/>
      <c r="VBE107"/>
      <c r="VBF107"/>
      <c r="VBG107"/>
      <c r="VBH107"/>
      <c r="VBI107"/>
      <c r="VBJ107"/>
      <c r="VBK107"/>
      <c r="VBL107"/>
      <c r="VBM107"/>
      <c r="VBN107"/>
      <c r="VBO107"/>
      <c r="VBP107"/>
      <c r="VBQ107"/>
      <c r="VBR107"/>
      <c r="VBS107"/>
      <c r="VBT107"/>
      <c r="VBU107"/>
      <c r="VBV107"/>
      <c r="VBW107"/>
      <c r="VBX107"/>
      <c r="VBY107"/>
      <c r="VBZ107"/>
      <c r="VCA107"/>
      <c r="VCB107"/>
      <c r="VCC107"/>
      <c r="VCD107"/>
      <c r="VCE107"/>
      <c r="VCF107"/>
      <c r="VCG107"/>
      <c r="VCH107"/>
      <c r="VCI107"/>
      <c r="VCJ107"/>
      <c r="VCK107"/>
      <c r="VCL107"/>
      <c r="VCM107"/>
      <c r="VCN107"/>
      <c r="VCO107"/>
      <c r="VCP107"/>
      <c r="VCQ107"/>
      <c r="VCR107"/>
      <c r="VCS107"/>
      <c r="VCT107"/>
      <c r="VCU107"/>
      <c r="VCV107"/>
      <c r="VCW107"/>
      <c r="VCX107"/>
      <c r="VCY107"/>
      <c r="VCZ107"/>
      <c r="VDA107"/>
      <c r="VDB107"/>
      <c r="VDC107"/>
      <c r="VDD107"/>
      <c r="VDE107"/>
      <c r="VDF107"/>
      <c r="VDG107"/>
      <c r="VDH107"/>
      <c r="VDI107"/>
      <c r="VDJ107"/>
      <c r="VDK107"/>
      <c r="VDL107"/>
      <c r="VDM107"/>
      <c r="VDN107"/>
      <c r="VDO107"/>
      <c r="VDP107"/>
      <c r="VDQ107"/>
      <c r="VDR107"/>
      <c r="VDS107"/>
      <c r="VDT107"/>
      <c r="VDU107"/>
      <c r="VDV107"/>
      <c r="VDW107"/>
      <c r="VDX107"/>
      <c r="VDY107"/>
      <c r="VDZ107"/>
      <c r="VEA107"/>
      <c r="VEB107"/>
      <c r="VEC107"/>
      <c r="VED107"/>
      <c r="VEE107"/>
      <c r="VEF107"/>
      <c r="VEG107"/>
      <c r="VEH107"/>
      <c r="VEI107"/>
      <c r="VEJ107"/>
      <c r="VEK107"/>
      <c r="VEL107"/>
      <c r="VEM107"/>
      <c r="VEN107"/>
      <c r="VEO107"/>
      <c r="VEP107"/>
      <c r="VEQ107"/>
      <c r="VER107"/>
      <c r="VES107"/>
      <c r="VET107"/>
      <c r="VEU107"/>
      <c r="VEV107"/>
      <c r="VEW107"/>
      <c r="VEX107"/>
      <c r="VEY107"/>
      <c r="VEZ107"/>
      <c r="VFA107"/>
      <c r="VFB107"/>
      <c r="VFC107"/>
      <c r="VFD107"/>
      <c r="VFE107"/>
      <c r="VFF107"/>
      <c r="VFG107"/>
      <c r="VFH107"/>
      <c r="VFI107"/>
      <c r="VFJ107"/>
      <c r="VFK107"/>
      <c r="VFL107"/>
      <c r="VFM107"/>
      <c r="VFN107"/>
      <c r="VFO107"/>
      <c r="VFP107"/>
      <c r="VFQ107"/>
      <c r="VFR107"/>
      <c r="VFS107"/>
      <c r="VFT107"/>
      <c r="VFU107"/>
      <c r="VFV107"/>
      <c r="VFW107"/>
      <c r="VFX107"/>
      <c r="VFY107"/>
      <c r="VFZ107"/>
      <c r="VGA107"/>
      <c r="VGB107"/>
      <c r="VGC107"/>
      <c r="VGD107"/>
      <c r="VGE107"/>
      <c r="VGF107"/>
      <c r="VGG107"/>
      <c r="VGH107"/>
      <c r="VGI107"/>
      <c r="VGJ107"/>
      <c r="VGK107"/>
      <c r="VGL107"/>
      <c r="VGM107"/>
      <c r="VGN107"/>
      <c r="VGO107"/>
      <c r="VGP107"/>
      <c r="VGQ107"/>
      <c r="VGR107"/>
      <c r="VGS107"/>
      <c r="VGT107"/>
      <c r="VGU107"/>
      <c r="VGV107"/>
      <c r="VGW107"/>
      <c r="VGX107"/>
      <c r="VGY107"/>
      <c r="VGZ107"/>
      <c r="VHA107"/>
      <c r="VHB107"/>
      <c r="VHC107"/>
      <c r="VHD107"/>
      <c r="VHE107"/>
      <c r="VHF107"/>
      <c r="VHG107"/>
      <c r="VHH107"/>
      <c r="VHI107"/>
      <c r="VHJ107"/>
      <c r="VHK107"/>
      <c r="VHL107"/>
      <c r="VHM107"/>
      <c r="VHN107"/>
      <c r="VHO107"/>
      <c r="VHP107"/>
      <c r="VHQ107"/>
      <c r="VHR107"/>
      <c r="VHS107"/>
      <c r="VHT107"/>
      <c r="VHU107"/>
      <c r="VHV107"/>
      <c r="VHW107"/>
      <c r="VHX107"/>
      <c r="VHY107"/>
      <c r="VHZ107"/>
      <c r="VIA107"/>
      <c r="VIB107"/>
      <c r="VIC107"/>
      <c r="VID107"/>
      <c r="VIE107"/>
      <c r="VIF107"/>
      <c r="VIG107"/>
      <c r="VIH107"/>
      <c r="VII107"/>
      <c r="VIJ107"/>
      <c r="VIK107"/>
      <c r="VIL107"/>
      <c r="VIM107"/>
      <c r="VIN107"/>
      <c r="VIO107"/>
      <c r="VIP107"/>
      <c r="VIQ107"/>
      <c r="VIR107"/>
      <c r="VIS107"/>
      <c r="VIT107"/>
      <c r="VIU107"/>
      <c r="VIV107"/>
      <c r="VIW107"/>
      <c r="VIX107"/>
      <c r="VIY107"/>
      <c r="VIZ107"/>
      <c r="VJA107"/>
      <c r="VJB107"/>
      <c r="VJC107"/>
      <c r="VJD107"/>
      <c r="VJE107"/>
      <c r="VJF107"/>
      <c r="VJG107"/>
      <c r="VJH107"/>
      <c r="VJI107"/>
      <c r="VJJ107"/>
      <c r="VJK107"/>
      <c r="VJL107"/>
      <c r="VJM107"/>
      <c r="VJN107"/>
      <c r="VJO107"/>
      <c r="VJP107"/>
      <c r="VJQ107"/>
      <c r="VJR107"/>
      <c r="VJS107"/>
      <c r="VJT107"/>
      <c r="VJU107"/>
      <c r="VJV107"/>
      <c r="VJW107"/>
      <c r="VJX107"/>
      <c r="VJY107"/>
      <c r="VJZ107"/>
      <c r="VKA107"/>
      <c r="VKB107"/>
      <c r="VKC107"/>
      <c r="VKD107"/>
      <c r="VKE107"/>
      <c r="VKF107"/>
      <c r="VKG107"/>
      <c r="VKH107"/>
      <c r="VKI107"/>
      <c r="VKJ107"/>
      <c r="VKK107"/>
      <c r="VKL107"/>
      <c r="VKM107"/>
      <c r="VKN107"/>
      <c r="VKO107"/>
      <c r="VKP107"/>
      <c r="VKQ107"/>
      <c r="VKR107"/>
      <c r="VKS107"/>
      <c r="VKT107"/>
      <c r="VKU107"/>
      <c r="VKV107"/>
      <c r="VKW107"/>
      <c r="VKX107"/>
      <c r="VKY107"/>
      <c r="VKZ107"/>
      <c r="VLA107"/>
      <c r="VLB107"/>
      <c r="VLC107"/>
      <c r="VLD107"/>
      <c r="VLE107"/>
      <c r="VLF107"/>
      <c r="VLG107"/>
      <c r="VLH107"/>
      <c r="VLI107"/>
      <c r="VLJ107"/>
      <c r="VLK107"/>
      <c r="VLL107"/>
      <c r="VLM107"/>
      <c r="VLN107"/>
      <c r="VLO107"/>
      <c r="VLP107"/>
      <c r="VLQ107"/>
      <c r="VLR107"/>
      <c r="VLS107"/>
      <c r="VLT107"/>
      <c r="VLU107"/>
      <c r="VLV107"/>
      <c r="VLW107"/>
      <c r="VLX107"/>
      <c r="VLY107"/>
      <c r="VLZ107"/>
      <c r="VMA107"/>
      <c r="VMB107"/>
      <c r="VMC107"/>
      <c r="VMD107"/>
      <c r="VME107"/>
      <c r="VMF107"/>
      <c r="VMG107"/>
      <c r="VMH107"/>
      <c r="VMI107"/>
      <c r="VMJ107"/>
      <c r="VMK107"/>
      <c r="VML107"/>
      <c r="VMM107"/>
      <c r="VMN107"/>
      <c r="VMO107"/>
      <c r="VMP107"/>
      <c r="VMQ107"/>
      <c r="VMR107"/>
      <c r="VMS107"/>
      <c r="VMT107"/>
      <c r="VMU107"/>
      <c r="VMV107"/>
      <c r="VMW107"/>
      <c r="VMX107"/>
      <c r="VMY107"/>
      <c r="VMZ107"/>
      <c r="VNA107"/>
      <c r="VNB107"/>
      <c r="VNC107"/>
      <c r="VND107"/>
      <c r="VNE107"/>
      <c r="VNF107"/>
      <c r="VNG107"/>
      <c r="VNH107"/>
      <c r="VNI107"/>
      <c r="VNJ107"/>
      <c r="VNK107"/>
      <c r="VNL107"/>
      <c r="VNM107"/>
      <c r="VNN107"/>
      <c r="VNO107"/>
      <c r="VNP107"/>
      <c r="VNQ107"/>
      <c r="VNR107"/>
      <c r="VNS107"/>
      <c r="VNT107"/>
      <c r="VNU107"/>
      <c r="VNV107"/>
      <c r="VNW107"/>
      <c r="VNX107"/>
      <c r="VNY107"/>
      <c r="VNZ107"/>
      <c r="VOA107"/>
      <c r="VOB107"/>
      <c r="VOC107"/>
      <c r="VOD107"/>
      <c r="VOE107"/>
      <c r="VOF107"/>
      <c r="VOG107"/>
      <c r="VOH107"/>
      <c r="VOI107"/>
      <c r="VOJ107"/>
      <c r="VOK107"/>
      <c r="VOL107"/>
      <c r="VOM107"/>
      <c r="VON107"/>
      <c r="VOO107"/>
      <c r="VOP107"/>
      <c r="VOQ107"/>
      <c r="VOR107"/>
      <c r="VOS107"/>
      <c r="VOT107"/>
      <c r="VOU107"/>
      <c r="VOV107"/>
      <c r="VOW107"/>
      <c r="VOX107"/>
      <c r="VOY107"/>
      <c r="VOZ107"/>
      <c r="VPA107"/>
      <c r="VPB107"/>
      <c r="VPC107"/>
      <c r="VPD107"/>
      <c r="VPE107"/>
      <c r="VPF107"/>
      <c r="VPG107"/>
      <c r="VPH107"/>
      <c r="VPI107"/>
      <c r="VPJ107"/>
      <c r="VPK107"/>
      <c r="VPL107"/>
      <c r="VPM107"/>
      <c r="VPN107"/>
      <c r="VPO107"/>
      <c r="VPP107"/>
      <c r="VPQ107"/>
      <c r="VPR107"/>
      <c r="VPS107"/>
      <c r="VPT107"/>
      <c r="VPU107"/>
      <c r="VPV107"/>
      <c r="VPW107"/>
      <c r="VPX107"/>
      <c r="VPY107"/>
      <c r="VPZ107"/>
      <c r="VQA107"/>
      <c r="VQB107"/>
      <c r="VQC107"/>
      <c r="VQD107"/>
      <c r="VQE107"/>
      <c r="VQF107"/>
      <c r="VQG107"/>
      <c r="VQH107"/>
      <c r="VQI107"/>
      <c r="VQJ107"/>
      <c r="VQK107"/>
      <c r="VQL107"/>
      <c r="VQM107"/>
      <c r="VQN107"/>
      <c r="VQO107"/>
      <c r="VQP107"/>
      <c r="VQQ107"/>
      <c r="VQR107"/>
      <c r="VQS107"/>
      <c r="VQT107"/>
      <c r="VQU107"/>
      <c r="VQV107"/>
      <c r="VQW107"/>
      <c r="VQX107"/>
      <c r="VQY107"/>
      <c r="VQZ107"/>
      <c r="VRA107"/>
      <c r="VRB107"/>
      <c r="VRC107"/>
      <c r="VRD107"/>
      <c r="VRE107"/>
      <c r="VRF107"/>
      <c r="VRG107"/>
      <c r="VRH107"/>
      <c r="VRI107"/>
      <c r="VRJ107"/>
      <c r="VRK107"/>
      <c r="VRL107"/>
      <c r="VRM107"/>
      <c r="VRN107"/>
      <c r="VRO107"/>
      <c r="VRP107"/>
      <c r="VRQ107"/>
      <c r="VRR107"/>
      <c r="VRS107"/>
      <c r="VRT107"/>
      <c r="VRU107"/>
      <c r="VRV107"/>
      <c r="VRW107"/>
      <c r="VRX107"/>
      <c r="VRY107"/>
      <c r="VRZ107"/>
      <c r="VSA107"/>
      <c r="VSB107"/>
      <c r="VSC107"/>
      <c r="VSD107"/>
      <c r="VSE107"/>
      <c r="VSF107"/>
      <c r="VSG107"/>
      <c r="VSH107"/>
      <c r="VSI107"/>
      <c r="VSJ107"/>
      <c r="VSK107"/>
      <c r="VSL107"/>
      <c r="VSM107"/>
      <c r="VSN107"/>
      <c r="VSO107"/>
      <c r="VSP107"/>
      <c r="VSQ107"/>
      <c r="VSR107"/>
      <c r="VSS107"/>
      <c r="VST107"/>
      <c r="VSU107"/>
      <c r="VSV107"/>
      <c r="VSW107"/>
      <c r="VSX107"/>
      <c r="VSY107"/>
      <c r="VSZ107"/>
      <c r="VTA107"/>
      <c r="VTB107"/>
      <c r="VTC107"/>
      <c r="VTD107"/>
      <c r="VTE107"/>
      <c r="VTF107"/>
      <c r="VTG107"/>
      <c r="VTH107"/>
      <c r="VTI107"/>
      <c r="VTJ107"/>
      <c r="VTK107"/>
      <c r="VTL107"/>
      <c r="VTM107"/>
      <c r="VTN107"/>
      <c r="VTO107"/>
      <c r="VTP107"/>
      <c r="VTQ107"/>
      <c r="VTR107"/>
      <c r="VTS107"/>
      <c r="VTT107"/>
      <c r="VTU107"/>
      <c r="VTV107"/>
      <c r="VTW107"/>
      <c r="VTX107"/>
      <c r="VTY107"/>
      <c r="VTZ107"/>
      <c r="VUA107"/>
      <c r="VUB107"/>
      <c r="VUC107"/>
      <c r="VUD107"/>
      <c r="VUE107"/>
      <c r="VUF107"/>
      <c r="VUG107"/>
      <c r="VUH107"/>
      <c r="VUI107"/>
      <c r="VUJ107"/>
      <c r="VUK107"/>
      <c r="VUL107"/>
      <c r="VUM107"/>
      <c r="VUN107"/>
      <c r="VUO107"/>
      <c r="VUP107"/>
      <c r="VUQ107"/>
      <c r="VUR107"/>
      <c r="VUS107"/>
      <c r="VUT107"/>
      <c r="VUU107"/>
      <c r="VUV107"/>
      <c r="VUW107"/>
      <c r="VUX107"/>
      <c r="VUY107"/>
      <c r="VUZ107"/>
      <c r="VVA107"/>
      <c r="VVB107"/>
      <c r="VVC107"/>
      <c r="VVD107"/>
      <c r="VVE107"/>
      <c r="VVF107"/>
      <c r="VVG107"/>
      <c r="VVH107"/>
      <c r="VVI107"/>
      <c r="VVJ107"/>
      <c r="VVK107"/>
      <c r="VVL107"/>
      <c r="VVM107"/>
      <c r="VVN107"/>
      <c r="VVO107"/>
      <c r="VVP107"/>
      <c r="VVQ107"/>
      <c r="VVR107"/>
      <c r="VVS107"/>
      <c r="VVT107"/>
      <c r="VVU107"/>
      <c r="VVV107"/>
      <c r="VVW107"/>
      <c r="VVX107"/>
      <c r="VVY107"/>
      <c r="VVZ107"/>
      <c r="VWA107"/>
      <c r="VWB107"/>
      <c r="VWC107"/>
      <c r="VWD107"/>
      <c r="VWE107"/>
      <c r="VWF107"/>
      <c r="VWG107"/>
      <c r="VWH107"/>
      <c r="VWI107"/>
      <c r="VWJ107"/>
      <c r="VWK107"/>
      <c r="VWL107"/>
      <c r="VWM107"/>
      <c r="VWN107"/>
      <c r="VWO107"/>
      <c r="VWP107"/>
      <c r="VWQ107"/>
      <c r="VWR107"/>
      <c r="VWS107"/>
      <c r="VWT107"/>
      <c r="VWU107"/>
      <c r="VWV107"/>
      <c r="VWW107"/>
      <c r="VWX107"/>
      <c r="VWY107"/>
      <c r="VWZ107"/>
      <c r="VXA107"/>
      <c r="VXB107"/>
      <c r="VXC107"/>
      <c r="VXD107"/>
      <c r="VXE107"/>
      <c r="VXF107"/>
      <c r="VXG107"/>
      <c r="VXH107"/>
      <c r="VXI107"/>
      <c r="VXJ107"/>
      <c r="VXK107"/>
      <c r="VXL107"/>
      <c r="VXM107"/>
      <c r="VXN107"/>
      <c r="VXO107"/>
      <c r="VXP107"/>
      <c r="VXQ107"/>
      <c r="VXR107"/>
      <c r="VXS107"/>
      <c r="VXT107"/>
      <c r="VXU107"/>
      <c r="VXV107"/>
      <c r="VXW107"/>
      <c r="VXX107"/>
      <c r="VXY107"/>
      <c r="VXZ107"/>
      <c r="VYA107"/>
      <c r="VYB107"/>
      <c r="VYC107"/>
      <c r="VYD107"/>
      <c r="VYE107"/>
      <c r="VYF107"/>
      <c r="VYG107"/>
      <c r="VYH107"/>
      <c r="VYI107"/>
      <c r="VYJ107"/>
      <c r="VYK107"/>
      <c r="VYL107"/>
      <c r="VYM107"/>
      <c r="VYN107"/>
      <c r="VYO107"/>
      <c r="VYP107"/>
      <c r="VYQ107"/>
      <c r="VYR107"/>
      <c r="VYS107"/>
      <c r="VYT107"/>
      <c r="VYU107"/>
      <c r="VYV107"/>
      <c r="VYW107"/>
      <c r="VYX107"/>
      <c r="VYY107"/>
      <c r="VYZ107"/>
      <c r="VZA107"/>
      <c r="VZB107"/>
      <c r="VZC107"/>
      <c r="VZD107"/>
      <c r="VZE107"/>
      <c r="VZF107"/>
      <c r="VZG107"/>
      <c r="VZH107"/>
      <c r="VZI107"/>
      <c r="VZJ107"/>
      <c r="VZK107"/>
      <c r="VZL107"/>
      <c r="VZM107"/>
      <c r="VZN107"/>
      <c r="VZO107"/>
      <c r="VZP107"/>
      <c r="VZQ107"/>
      <c r="VZR107"/>
      <c r="VZS107"/>
      <c r="VZT107"/>
      <c r="VZU107"/>
      <c r="VZV107"/>
      <c r="VZW107"/>
      <c r="VZX107"/>
      <c r="VZY107"/>
      <c r="VZZ107"/>
      <c r="WAA107"/>
      <c r="WAB107"/>
      <c r="WAC107"/>
      <c r="WAD107"/>
      <c r="WAE107"/>
      <c r="WAF107"/>
      <c r="WAG107"/>
      <c r="WAH107"/>
      <c r="WAI107"/>
      <c r="WAJ107"/>
      <c r="WAK107"/>
      <c r="WAL107"/>
      <c r="WAM107"/>
      <c r="WAN107"/>
      <c r="WAO107"/>
      <c r="WAP107"/>
      <c r="WAQ107"/>
      <c r="WAR107"/>
      <c r="WAS107"/>
      <c r="WAT107"/>
      <c r="WAU107"/>
      <c r="WAV107"/>
      <c r="WAW107"/>
      <c r="WAX107"/>
      <c r="WAY107"/>
      <c r="WAZ107"/>
      <c r="WBA107"/>
      <c r="WBB107"/>
      <c r="WBC107"/>
      <c r="WBD107"/>
      <c r="WBE107"/>
      <c r="WBF107"/>
      <c r="WBG107"/>
      <c r="WBH107"/>
      <c r="WBI107"/>
      <c r="WBJ107"/>
      <c r="WBK107"/>
      <c r="WBL107"/>
      <c r="WBM107"/>
      <c r="WBN107"/>
      <c r="WBO107"/>
      <c r="WBP107"/>
      <c r="WBQ107"/>
      <c r="WBR107"/>
      <c r="WBS107"/>
      <c r="WBT107"/>
      <c r="WBU107"/>
      <c r="WBV107"/>
      <c r="WBW107"/>
      <c r="WBX107"/>
      <c r="WBY107"/>
      <c r="WBZ107"/>
      <c r="WCA107"/>
      <c r="WCB107"/>
      <c r="WCC107"/>
      <c r="WCD107"/>
      <c r="WCE107"/>
      <c r="WCF107"/>
      <c r="WCG107"/>
      <c r="WCH107"/>
      <c r="WCI107"/>
      <c r="WCJ107"/>
      <c r="WCK107"/>
      <c r="WCL107"/>
      <c r="WCM107"/>
      <c r="WCN107"/>
      <c r="WCO107"/>
      <c r="WCP107"/>
      <c r="WCQ107"/>
      <c r="WCR107"/>
      <c r="WCS107"/>
      <c r="WCT107"/>
      <c r="WCU107"/>
      <c r="WCV107"/>
      <c r="WCW107"/>
      <c r="WCX107"/>
      <c r="WCY107"/>
      <c r="WCZ107"/>
      <c r="WDA107"/>
      <c r="WDB107"/>
      <c r="WDC107"/>
      <c r="WDD107"/>
      <c r="WDE107"/>
      <c r="WDF107"/>
      <c r="WDG107"/>
      <c r="WDH107"/>
      <c r="WDI107"/>
      <c r="WDJ107"/>
      <c r="WDK107"/>
      <c r="WDL107"/>
      <c r="WDM107"/>
      <c r="WDN107"/>
      <c r="WDO107"/>
      <c r="WDP107"/>
      <c r="WDQ107"/>
      <c r="WDR107"/>
      <c r="WDS107"/>
      <c r="WDT107"/>
      <c r="WDU107"/>
      <c r="WDV107"/>
      <c r="WDW107"/>
      <c r="WDX107"/>
      <c r="WDY107"/>
      <c r="WDZ107"/>
      <c r="WEA107"/>
      <c r="WEB107"/>
      <c r="WEC107"/>
      <c r="WED107"/>
      <c r="WEE107"/>
      <c r="WEF107"/>
      <c r="WEG107"/>
      <c r="WEH107"/>
      <c r="WEI107"/>
      <c r="WEJ107"/>
      <c r="WEK107"/>
      <c r="WEL107"/>
      <c r="WEM107"/>
      <c r="WEN107"/>
      <c r="WEO107"/>
      <c r="WEP107"/>
      <c r="WEQ107"/>
      <c r="WER107"/>
      <c r="WES107"/>
      <c r="WET107"/>
      <c r="WEU107"/>
      <c r="WEV107"/>
      <c r="WEW107"/>
      <c r="WEX107"/>
      <c r="WEY107"/>
      <c r="WEZ107"/>
      <c r="WFA107"/>
      <c r="WFB107"/>
      <c r="WFC107"/>
      <c r="WFD107"/>
      <c r="WFE107"/>
      <c r="WFF107"/>
      <c r="WFG107"/>
      <c r="WFH107"/>
      <c r="WFI107"/>
      <c r="WFJ107"/>
      <c r="WFK107"/>
      <c r="WFL107"/>
      <c r="WFM107"/>
      <c r="WFN107"/>
      <c r="WFO107"/>
      <c r="WFP107"/>
      <c r="WFQ107"/>
      <c r="WFR107"/>
      <c r="WFS107"/>
      <c r="WFT107"/>
      <c r="WFU107"/>
      <c r="WFV107"/>
      <c r="WFW107"/>
      <c r="WFX107"/>
      <c r="WFY107"/>
      <c r="WFZ107"/>
      <c r="WGA107"/>
      <c r="WGB107"/>
      <c r="WGC107"/>
      <c r="WGD107"/>
      <c r="WGE107"/>
      <c r="WGF107"/>
      <c r="WGG107"/>
      <c r="WGH107"/>
      <c r="WGI107"/>
      <c r="WGJ107"/>
      <c r="WGK107"/>
      <c r="WGL107"/>
      <c r="WGM107"/>
      <c r="WGN107"/>
      <c r="WGO107"/>
      <c r="WGP107"/>
      <c r="WGQ107"/>
      <c r="WGR107"/>
      <c r="WGS107"/>
      <c r="WGT107"/>
      <c r="WGU107"/>
      <c r="WGV107"/>
      <c r="WGW107"/>
      <c r="WGX107"/>
      <c r="WGY107"/>
      <c r="WGZ107"/>
      <c r="WHA107"/>
      <c r="WHB107"/>
      <c r="WHC107"/>
      <c r="WHD107"/>
      <c r="WHE107"/>
      <c r="WHF107"/>
      <c r="WHG107"/>
      <c r="WHH107"/>
      <c r="WHI107"/>
      <c r="WHJ107"/>
      <c r="WHK107"/>
      <c r="WHL107"/>
      <c r="WHM107"/>
      <c r="WHN107"/>
      <c r="WHO107"/>
      <c r="WHP107"/>
      <c r="WHQ107"/>
      <c r="WHR107"/>
      <c r="WHS107"/>
      <c r="WHT107"/>
      <c r="WHU107"/>
      <c r="WHV107"/>
      <c r="WHW107"/>
      <c r="WHX107"/>
      <c r="WHY107"/>
      <c r="WHZ107"/>
      <c r="WIA107"/>
      <c r="WIB107"/>
      <c r="WIC107"/>
      <c r="WID107"/>
      <c r="WIE107"/>
      <c r="WIF107"/>
      <c r="WIG107"/>
      <c r="WIH107"/>
      <c r="WII107"/>
      <c r="WIJ107"/>
      <c r="WIK107"/>
      <c r="WIL107"/>
      <c r="WIM107"/>
      <c r="WIN107"/>
      <c r="WIO107"/>
      <c r="WIP107"/>
      <c r="WIQ107"/>
      <c r="WIR107"/>
      <c r="WIS107"/>
      <c r="WIT107"/>
      <c r="WIU107"/>
      <c r="WIV107"/>
      <c r="WIW107"/>
      <c r="WIX107"/>
      <c r="WIY107"/>
      <c r="WIZ107"/>
      <c r="WJA107"/>
      <c r="WJB107"/>
      <c r="WJC107"/>
      <c r="WJD107"/>
      <c r="WJE107"/>
      <c r="WJF107"/>
      <c r="WJG107"/>
      <c r="WJH107"/>
      <c r="WJI107"/>
      <c r="WJJ107"/>
      <c r="WJK107"/>
      <c r="WJL107"/>
      <c r="WJM107"/>
      <c r="WJN107"/>
      <c r="WJO107"/>
      <c r="WJP107"/>
      <c r="WJQ107"/>
      <c r="WJR107"/>
      <c r="WJS107"/>
      <c r="WJT107"/>
      <c r="WJU107"/>
      <c r="WJV107"/>
      <c r="WJW107"/>
      <c r="WJX107"/>
      <c r="WJY107"/>
      <c r="WJZ107"/>
      <c r="WKA107"/>
      <c r="WKB107"/>
      <c r="WKC107"/>
      <c r="WKD107"/>
      <c r="WKE107"/>
      <c r="WKF107"/>
      <c r="WKG107"/>
      <c r="WKH107"/>
      <c r="WKI107"/>
      <c r="WKJ107"/>
      <c r="WKK107"/>
      <c r="WKL107"/>
      <c r="WKM107"/>
      <c r="WKN107"/>
      <c r="WKO107"/>
      <c r="WKP107"/>
      <c r="WKQ107"/>
      <c r="WKR107"/>
      <c r="WKS107"/>
      <c r="WKT107"/>
      <c r="WKU107"/>
      <c r="WKV107"/>
      <c r="WKW107"/>
      <c r="WKX107"/>
      <c r="WKY107"/>
      <c r="WKZ107"/>
      <c r="WLA107"/>
      <c r="WLB107"/>
      <c r="WLC107"/>
      <c r="WLD107"/>
      <c r="WLE107"/>
      <c r="WLF107"/>
      <c r="WLG107"/>
      <c r="WLH107"/>
      <c r="WLI107"/>
      <c r="WLJ107"/>
      <c r="WLK107"/>
      <c r="WLL107"/>
      <c r="WLM107"/>
      <c r="WLN107"/>
      <c r="WLO107"/>
      <c r="WLP107"/>
      <c r="WLQ107"/>
      <c r="WLR107"/>
      <c r="WLS107"/>
      <c r="WLT107"/>
      <c r="WLU107"/>
      <c r="WLV107"/>
      <c r="WLW107"/>
      <c r="WLX107"/>
      <c r="WLY107"/>
      <c r="WLZ107"/>
      <c r="WMA107"/>
      <c r="WMB107"/>
      <c r="WMC107"/>
      <c r="WMD107"/>
      <c r="WME107"/>
      <c r="WMF107"/>
      <c r="WMG107"/>
      <c r="WMH107"/>
      <c r="WMI107"/>
      <c r="WMJ107"/>
      <c r="WMK107"/>
      <c r="WML107"/>
      <c r="WMM107"/>
      <c r="WMN107"/>
      <c r="WMO107"/>
      <c r="WMP107"/>
      <c r="WMQ107"/>
      <c r="WMR107"/>
      <c r="WMS107"/>
      <c r="WMT107"/>
      <c r="WMU107"/>
      <c r="WMV107"/>
      <c r="WMW107"/>
      <c r="WMX107"/>
      <c r="WMY107"/>
      <c r="WMZ107"/>
      <c r="WNA107"/>
      <c r="WNB107"/>
      <c r="WNC107"/>
      <c r="WND107"/>
      <c r="WNE107"/>
      <c r="WNF107"/>
      <c r="WNG107"/>
      <c r="WNH107"/>
      <c r="WNI107"/>
      <c r="WNJ107"/>
      <c r="WNK107"/>
      <c r="WNL107"/>
      <c r="WNM107"/>
      <c r="WNN107"/>
      <c r="WNO107"/>
      <c r="WNP107"/>
      <c r="WNQ107"/>
      <c r="WNR107"/>
      <c r="WNS107"/>
      <c r="WNT107"/>
      <c r="WNU107"/>
      <c r="WNV107"/>
      <c r="WNW107"/>
      <c r="WNX107"/>
      <c r="WNY107"/>
      <c r="WNZ107"/>
      <c r="WOA107"/>
      <c r="WOB107"/>
      <c r="WOC107"/>
      <c r="WOD107"/>
      <c r="WOE107"/>
      <c r="WOF107"/>
      <c r="WOG107"/>
      <c r="WOH107"/>
      <c r="WOI107"/>
      <c r="WOJ107"/>
      <c r="WOK107"/>
      <c r="WOL107"/>
      <c r="WOM107"/>
      <c r="WON107"/>
      <c r="WOO107"/>
      <c r="WOP107"/>
      <c r="WOQ107"/>
      <c r="WOR107"/>
      <c r="WOS107"/>
      <c r="WOT107"/>
      <c r="WOU107"/>
      <c r="WOV107"/>
      <c r="WOW107"/>
      <c r="WOX107"/>
      <c r="WOY107"/>
      <c r="WOZ107"/>
      <c r="WPA107"/>
      <c r="WPB107"/>
      <c r="WPC107"/>
      <c r="WPD107"/>
      <c r="WPE107"/>
      <c r="WPF107"/>
      <c r="WPG107"/>
      <c r="WPH107"/>
      <c r="WPI107"/>
      <c r="WPJ107"/>
      <c r="WPK107"/>
      <c r="WPL107"/>
      <c r="WPM107"/>
      <c r="WPN107"/>
      <c r="WPO107"/>
      <c r="WPP107"/>
      <c r="WPQ107"/>
      <c r="WPR107"/>
      <c r="WPS107"/>
      <c r="WPT107"/>
      <c r="WPU107"/>
      <c r="WPV107"/>
      <c r="WPW107"/>
      <c r="WPX107"/>
      <c r="WPY107"/>
      <c r="WPZ107"/>
      <c r="WQA107"/>
      <c r="WQB107"/>
      <c r="WQC107"/>
      <c r="WQD107"/>
      <c r="WQE107"/>
      <c r="WQF107"/>
      <c r="WQG107"/>
      <c r="WQH107"/>
      <c r="WQI107"/>
      <c r="WQJ107"/>
      <c r="WQK107"/>
      <c r="WQL107"/>
      <c r="WQM107"/>
      <c r="WQN107"/>
      <c r="WQO107"/>
      <c r="WQP107"/>
      <c r="WQQ107"/>
      <c r="WQR107"/>
      <c r="WQS107"/>
      <c r="WQT107"/>
      <c r="WQU107"/>
      <c r="WQV107"/>
      <c r="WQW107"/>
      <c r="WQX107"/>
      <c r="WQY107"/>
      <c r="WQZ107"/>
      <c r="WRA107"/>
      <c r="WRB107"/>
      <c r="WRC107"/>
      <c r="WRD107"/>
      <c r="WRE107"/>
      <c r="WRF107"/>
      <c r="WRG107"/>
      <c r="WRH107"/>
      <c r="WRI107"/>
      <c r="WRJ107"/>
      <c r="WRK107"/>
      <c r="WRL107"/>
      <c r="WRM107"/>
      <c r="WRN107"/>
      <c r="WRO107"/>
      <c r="WRP107"/>
      <c r="WRQ107"/>
      <c r="WRR107"/>
      <c r="WRS107"/>
      <c r="WRT107"/>
      <c r="WRU107"/>
      <c r="WRV107"/>
      <c r="WRW107"/>
      <c r="WRX107"/>
      <c r="WRY107"/>
      <c r="WRZ107"/>
      <c r="WSA107"/>
      <c r="WSB107"/>
      <c r="WSC107"/>
      <c r="WSD107"/>
      <c r="WSE107"/>
      <c r="WSF107"/>
      <c r="WSG107"/>
      <c r="WSH107"/>
      <c r="WSI107"/>
      <c r="WSJ107"/>
      <c r="WSK107"/>
      <c r="WSL107"/>
      <c r="WSM107"/>
      <c r="WSN107"/>
      <c r="WSO107"/>
      <c r="WSP107"/>
      <c r="WSQ107"/>
      <c r="WSR107"/>
      <c r="WSS107"/>
      <c r="WST107"/>
      <c r="WSU107"/>
      <c r="WSV107"/>
      <c r="WSW107"/>
      <c r="WSX107"/>
      <c r="WSY107"/>
      <c r="WSZ107"/>
      <c r="WTA107"/>
      <c r="WTB107"/>
      <c r="WTC107"/>
      <c r="WTD107"/>
      <c r="WTE107"/>
      <c r="WTF107"/>
      <c r="WTG107"/>
      <c r="WTH107"/>
      <c r="WTI107"/>
      <c r="WTJ107"/>
      <c r="WTK107"/>
      <c r="WTL107"/>
      <c r="WTM107"/>
      <c r="WTN107"/>
      <c r="WTO107"/>
      <c r="WTP107"/>
      <c r="WTQ107"/>
      <c r="WTR107"/>
      <c r="WTS107"/>
      <c r="WTT107"/>
      <c r="WTU107"/>
      <c r="WTV107"/>
      <c r="WTW107"/>
      <c r="WTX107"/>
      <c r="WTY107"/>
      <c r="WTZ107"/>
      <c r="WUA107"/>
      <c r="WUB107"/>
      <c r="WUC107"/>
      <c r="WUD107"/>
      <c r="WUE107"/>
      <c r="WUF107"/>
      <c r="WUG107"/>
      <c r="WUH107"/>
      <c r="WUI107"/>
      <c r="WUJ107"/>
      <c r="WUK107"/>
      <c r="WUL107"/>
      <c r="WUM107"/>
      <c r="WUN107"/>
      <c r="WUO107"/>
      <c r="WUP107"/>
      <c r="WUQ107"/>
      <c r="WUR107"/>
      <c r="WUS107"/>
      <c r="WUT107"/>
      <c r="WUU107"/>
      <c r="WUV107"/>
      <c r="WUW107"/>
      <c r="WUX107"/>
      <c r="WUY107"/>
      <c r="WUZ107"/>
      <c r="WVA107"/>
      <c r="WVB107"/>
      <c r="WVC107"/>
      <c r="WVD107"/>
      <c r="WVE107"/>
      <c r="WVF107"/>
      <c r="WVG107"/>
      <c r="WVH107"/>
      <c r="WVI107"/>
      <c r="WVJ107"/>
      <c r="WVK107"/>
      <c r="WVL107"/>
      <c r="WVM107"/>
      <c r="WVN107"/>
      <c r="WVO107"/>
      <c r="WVP107"/>
      <c r="WVQ107"/>
      <c r="WVR107"/>
      <c r="WVS107"/>
      <c r="WVT107"/>
      <c r="WVU107"/>
      <c r="WVV107"/>
      <c r="WVW107"/>
      <c r="WVX107"/>
      <c r="WVY107"/>
      <c r="WVZ107"/>
      <c r="WWA107"/>
      <c r="WWB107"/>
      <c r="WWC107"/>
      <c r="WWD107"/>
      <c r="WWE107"/>
      <c r="WWF107"/>
      <c r="WWG107"/>
      <c r="WWH107"/>
      <c r="WWI107"/>
      <c r="WWJ107"/>
      <c r="WWK107"/>
      <c r="WWL107"/>
      <c r="WWM107"/>
      <c r="WWN107"/>
      <c r="WWO107"/>
      <c r="WWP107"/>
      <c r="WWQ107"/>
      <c r="WWR107"/>
      <c r="WWS107"/>
      <c r="WWT107"/>
      <c r="WWU107"/>
      <c r="WWV107"/>
      <c r="WWW107"/>
      <c r="WWX107"/>
      <c r="WWY107"/>
      <c r="WWZ107"/>
      <c r="WXA107"/>
      <c r="WXB107"/>
      <c r="WXC107"/>
      <c r="WXD107"/>
      <c r="WXE107"/>
      <c r="WXF107"/>
      <c r="WXG107"/>
      <c r="WXH107"/>
      <c r="WXI107"/>
      <c r="WXJ107"/>
      <c r="WXK107"/>
      <c r="WXL107"/>
      <c r="WXM107"/>
      <c r="WXN107"/>
      <c r="WXO107"/>
      <c r="WXP107"/>
      <c r="WXQ107"/>
      <c r="WXR107"/>
      <c r="WXS107"/>
      <c r="WXT107"/>
      <c r="WXU107"/>
      <c r="WXV107"/>
      <c r="WXW107"/>
      <c r="WXX107"/>
      <c r="WXY107"/>
      <c r="WXZ107"/>
      <c r="WYA107"/>
      <c r="WYB107"/>
      <c r="WYC107"/>
      <c r="WYD107"/>
      <c r="WYE107"/>
      <c r="WYF107"/>
      <c r="WYG107"/>
      <c r="WYH107"/>
      <c r="WYI107"/>
      <c r="WYJ107"/>
      <c r="WYK107"/>
      <c r="WYL107"/>
      <c r="WYM107"/>
      <c r="WYN107"/>
      <c r="WYO107"/>
      <c r="WYP107"/>
      <c r="WYQ107"/>
      <c r="WYR107"/>
      <c r="WYS107"/>
      <c r="WYT107"/>
      <c r="WYU107"/>
      <c r="WYV107"/>
      <c r="WYW107"/>
      <c r="WYX107"/>
      <c r="WYY107"/>
      <c r="WYZ107"/>
      <c r="WZA107"/>
      <c r="WZB107"/>
      <c r="WZC107"/>
      <c r="WZD107"/>
      <c r="WZE107"/>
      <c r="WZF107"/>
      <c r="WZG107"/>
      <c r="WZH107"/>
      <c r="WZI107"/>
      <c r="WZJ107"/>
      <c r="WZK107"/>
      <c r="WZL107"/>
      <c r="WZM107"/>
      <c r="WZN107"/>
      <c r="WZO107"/>
      <c r="WZP107"/>
      <c r="WZQ107"/>
      <c r="WZR107"/>
      <c r="WZS107"/>
      <c r="WZT107"/>
      <c r="WZU107"/>
      <c r="WZV107"/>
      <c r="WZW107"/>
      <c r="WZX107"/>
      <c r="WZY107"/>
      <c r="WZZ107"/>
      <c r="XAA107"/>
      <c r="XAB107"/>
      <c r="XAC107"/>
      <c r="XAD107"/>
      <c r="XAE107"/>
      <c r="XAF107"/>
      <c r="XAG107"/>
      <c r="XAH107"/>
      <c r="XAI107"/>
      <c r="XAJ107"/>
      <c r="XAK107"/>
      <c r="XAL107"/>
      <c r="XAM107"/>
      <c r="XAN107"/>
      <c r="XAO107"/>
      <c r="XAP107"/>
      <c r="XAQ107"/>
      <c r="XAR107"/>
      <c r="XAS107"/>
      <c r="XAT107"/>
      <c r="XAU107"/>
      <c r="XAV107"/>
      <c r="XAW107"/>
      <c r="XAX107"/>
      <c r="XAY107"/>
      <c r="XAZ107"/>
      <c r="XBA107"/>
      <c r="XBB107"/>
      <c r="XBC107"/>
      <c r="XBD107"/>
      <c r="XBE107"/>
      <c r="XBF107"/>
      <c r="XBG107"/>
      <c r="XBH107"/>
      <c r="XBI107"/>
      <c r="XBJ107"/>
      <c r="XBK107"/>
      <c r="XBL107"/>
      <c r="XBM107"/>
      <c r="XBN107"/>
      <c r="XBO107"/>
      <c r="XBP107"/>
      <c r="XBQ107"/>
      <c r="XBR107"/>
      <c r="XBS107"/>
      <c r="XBT107"/>
      <c r="XBU107"/>
      <c r="XBV107"/>
      <c r="XBW107"/>
      <c r="XBX107"/>
      <c r="XBY107"/>
      <c r="XBZ107"/>
      <c r="XCA107"/>
      <c r="XCB107"/>
      <c r="XCC107"/>
      <c r="XCD107"/>
      <c r="XCE107"/>
      <c r="XCF107"/>
      <c r="XCG107"/>
      <c r="XCH107"/>
      <c r="XCI107"/>
      <c r="XCJ107"/>
      <c r="XCK107"/>
      <c r="XCL107"/>
      <c r="XCM107"/>
      <c r="XCN107"/>
      <c r="XCO107"/>
      <c r="XCP107"/>
      <c r="XCQ107"/>
      <c r="XCR107"/>
      <c r="XCS107"/>
      <c r="XCT107"/>
      <c r="XCU107"/>
      <c r="XCV107"/>
      <c r="XCW107"/>
      <c r="XCX107"/>
      <c r="XCY107"/>
      <c r="XCZ107"/>
      <c r="XDA107"/>
      <c r="XDB107"/>
      <c r="XDC107"/>
      <c r="XDD107"/>
      <c r="XDE107"/>
      <c r="XDF107"/>
      <c r="XDG107"/>
      <c r="XDH107"/>
      <c r="XDI107"/>
      <c r="XDJ107"/>
      <c r="XDK107"/>
      <c r="XDL107"/>
      <c r="XDM107"/>
      <c r="XDN107"/>
      <c r="XDO107"/>
      <c r="XDP107"/>
      <c r="XDQ107"/>
      <c r="XDR107"/>
      <c r="XDS107"/>
      <c r="XDT107"/>
      <c r="XDU107"/>
      <c r="XDV107"/>
      <c r="XDW107"/>
      <c r="XDX107"/>
      <c r="XDY107"/>
      <c r="XDZ107"/>
      <c r="XEA107"/>
      <c r="XEB107"/>
      <c r="XEC107"/>
      <c r="XED107"/>
      <c r="XEE107"/>
      <c r="XEF107"/>
      <c r="XEG107"/>
      <c r="XEH107"/>
      <c r="XEI107"/>
      <c r="XEJ107"/>
      <c r="XEK107"/>
      <c r="XEL107"/>
      <c r="XEM107"/>
      <c r="XEN107"/>
      <c r="XEO107"/>
      <c r="XEP107"/>
      <c r="XEQ107"/>
      <c r="XER107"/>
      <c r="XES107"/>
      <c r="XET107"/>
      <c r="XEU107"/>
      <c r="XEV107"/>
      <c r="XEW107"/>
      <c r="XEX107"/>
      <c r="XEY107"/>
      <c r="XEZ107"/>
      <c r="XFA107"/>
      <c r="XFB107"/>
      <c r="XFC107"/>
      <c r="XFD107"/>
    </row>
    <row r="108" spans="1:16384" outlineLevel="1" x14ac:dyDescent="0.2">
      <c r="C108" s="11" t="s">
        <v>294</v>
      </c>
    </row>
    <row r="109" spans="1:16384" outlineLevel="1" x14ac:dyDescent="0.2">
      <c r="D109" t="str">
        <f>D100</f>
        <v>sélectionnés</v>
      </c>
      <c r="G109" s="29" t="str">
        <f>field_selected</f>
        <v>Moho</v>
      </c>
      <c r="I109" s="30">
        <f ca="1">SUM($L109:$BS109)</f>
        <v>14.577534254192001</v>
      </c>
      <c r="J109" s="26" t="s">
        <v>42</v>
      </c>
      <c r="K109" s="7" t="s">
        <v>733</v>
      </c>
      <c r="L109" s="18">
        <f t="shared" ref="L109:S109" ca="1" si="21">OFFSET(L109,MATCH(field_selected,list_FieldName,0)+1,0)</f>
        <v>7.3730599633022349</v>
      </c>
      <c r="M109" s="18">
        <f t="shared" ca="1" si="21"/>
        <v>7.2044742908897659</v>
      </c>
      <c r="N109" s="18">
        <f t="shared" ca="1" si="21"/>
        <v>0</v>
      </c>
      <c r="O109" s="18">
        <f t="shared" ca="1" si="21"/>
        <v>0</v>
      </c>
      <c r="P109" s="18">
        <f t="shared" ca="1" si="21"/>
        <v>0</v>
      </c>
      <c r="Q109" s="18">
        <f t="shared" ca="1" si="21"/>
        <v>0</v>
      </c>
      <c r="R109" s="18">
        <f t="shared" ca="1" si="21"/>
        <v>0</v>
      </c>
      <c r="S109" s="18">
        <f t="shared" ca="1" si="21"/>
        <v>0</v>
      </c>
    </row>
    <row r="110" spans="1:16384" outlineLevel="1" x14ac:dyDescent="0.2">
      <c r="J110" s="26"/>
    </row>
    <row r="111" spans="1:16384" outlineLevel="1" x14ac:dyDescent="0.2">
      <c r="C111" s="27">
        <v>1</v>
      </c>
      <c r="D111" t="str">
        <f t="array" ref="D111:D115">list_FieldName</f>
        <v>Nkossa</v>
      </c>
      <c r="I111" s="30">
        <f>SUM($L111:$BS111)</f>
        <v>12.298572743801502</v>
      </c>
      <c r="J111" s="26" t="s">
        <v>42</v>
      </c>
      <c r="L111" s="28">
        <v>4.2998658438847253</v>
      </c>
      <c r="M111" s="28">
        <v>4.6111540964004361</v>
      </c>
      <c r="N111" s="28">
        <v>1.9849090672266285</v>
      </c>
      <c r="O111" s="28">
        <v>1.2237861974328132</v>
      </c>
      <c r="P111" s="28">
        <v>0</v>
      </c>
      <c r="Q111" s="28">
        <v>0.1756098325395363</v>
      </c>
      <c r="R111" s="28">
        <v>3.2477063173643656E-3</v>
      </c>
      <c r="S111" s="28">
        <v>0</v>
      </c>
    </row>
    <row r="112" spans="1:16384" outlineLevel="1" x14ac:dyDescent="0.2">
      <c r="C112" s="27">
        <f>C111+1</f>
        <v>2</v>
      </c>
      <c r="D112" t="str">
        <v>Nsoko</v>
      </c>
      <c r="I112" s="30">
        <f>SUM($L112:$BS112)</f>
        <v>1.7382149919076313</v>
      </c>
      <c r="J112" s="26" t="s">
        <v>42</v>
      </c>
      <c r="L112" s="28">
        <v>0.4941341042955954</v>
      </c>
      <c r="M112" s="28">
        <v>0.32484503721805136</v>
      </c>
      <c r="N112" s="28">
        <v>0.24958249060025753</v>
      </c>
      <c r="O112" s="28">
        <v>0.14457914637291752</v>
      </c>
      <c r="P112" s="28">
        <v>0.23037663590318044</v>
      </c>
      <c r="Q112" s="28">
        <v>0.22810382761076223</v>
      </c>
      <c r="R112" s="28">
        <v>4.9892755125502293E-2</v>
      </c>
      <c r="S112" s="28">
        <v>1.6700994781364231E-2</v>
      </c>
    </row>
    <row r="113" spans="3:19" outlineLevel="1" x14ac:dyDescent="0.2">
      <c r="C113" s="27">
        <f t="shared" ref="C113:C115" si="22">C112+1</f>
        <v>3</v>
      </c>
      <c r="D113" t="str">
        <v>Moho</v>
      </c>
      <c r="I113" s="30">
        <f>SUM($L113:$BS113)</f>
        <v>14.577534254192001</v>
      </c>
      <c r="J113" s="26" t="s">
        <v>42</v>
      </c>
      <c r="L113" s="28">
        <v>7.3730599633022349</v>
      </c>
      <c r="M113" s="28">
        <v>7.2044742908897659</v>
      </c>
      <c r="N113" s="28">
        <v>0</v>
      </c>
      <c r="O113" s="28">
        <v>0</v>
      </c>
      <c r="P113" s="28">
        <v>0</v>
      </c>
      <c r="Q113" s="28">
        <v>0</v>
      </c>
      <c r="R113" s="28">
        <v>0</v>
      </c>
      <c r="S113" s="28">
        <v>0</v>
      </c>
    </row>
    <row r="114" spans="3:19" outlineLevel="1" x14ac:dyDescent="0.2">
      <c r="C114" s="27">
        <f t="shared" si="22"/>
        <v>4</v>
      </c>
      <c r="D114" t="str">
        <v>KLL</v>
      </c>
      <c r="I114" s="30">
        <f>SUM($L114:$BS114)</f>
        <v>9.1295128759211934</v>
      </c>
      <c r="J114" s="26" t="s">
        <v>42</v>
      </c>
      <c r="L114" s="28">
        <v>2.0642144973733645</v>
      </c>
      <c r="M114" s="28">
        <v>2.0618270446061109</v>
      </c>
      <c r="N114" s="28">
        <v>0.81028356931700685</v>
      </c>
      <c r="O114" s="28">
        <v>0.32775396500116888</v>
      </c>
      <c r="P114" s="28">
        <v>0.85028586031190811</v>
      </c>
      <c r="Q114" s="28">
        <v>1.4902696848279176</v>
      </c>
      <c r="R114" s="28">
        <v>1.3441782544837162</v>
      </c>
      <c r="S114" s="28">
        <v>0.1807</v>
      </c>
    </row>
    <row r="115" spans="3:19" outlineLevel="1" x14ac:dyDescent="0.2">
      <c r="C115" s="27">
        <f t="shared" si="22"/>
        <v>5</v>
      </c>
      <c r="D115">
        <v>0</v>
      </c>
      <c r="I115" s="30">
        <f>SUM($L115:$BS115)</f>
        <v>0</v>
      </c>
      <c r="J115" s="26" t="s">
        <v>42</v>
      </c>
      <c r="L115" s="28">
        <v>0</v>
      </c>
      <c r="M115" s="28">
        <v>0</v>
      </c>
      <c r="N115" s="28">
        <v>0</v>
      </c>
      <c r="O115" s="28">
        <v>0</v>
      </c>
      <c r="P115" s="28">
        <v>0</v>
      </c>
      <c r="Q115" s="28">
        <v>0</v>
      </c>
      <c r="R115" s="28">
        <v>0</v>
      </c>
      <c r="S115" s="28">
        <v>0</v>
      </c>
    </row>
    <row r="116" spans="3:19" customFormat="1" outlineLevel="1" x14ac:dyDescent="0.2"/>
    <row r="117" spans="3:19" outlineLevel="1" x14ac:dyDescent="0.2">
      <c r="C117" s="11" t="s">
        <v>226</v>
      </c>
    </row>
    <row r="118" spans="3:19" outlineLevel="1" x14ac:dyDescent="0.2">
      <c r="D118" t="str">
        <f>D109</f>
        <v>sélectionnés</v>
      </c>
      <c r="G118" s="29" t="str">
        <f>field_selected</f>
        <v>Moho</v>
      </c>
      <c r="I118" s="30">
        <f ca="1">SUM($L118:$BS118)</f>
        <v>14.880334096314201</v>
      </c>
      <c r="J118" s="26" t="s">
        <v>42</v>
      </c>
      <c r="K118" s="7" t="s">
        <v>734</v>
      </c>
      <c r="L118" s="18">
        <f t="shared" ref="L118:S118" ca="1" si="23">OFFSET(L118,MATCH(field_selected,list_FieldName,0)+1,0)</f>
        <v>1.8456010749975718</v>
      </c>
      <c r="M118" s="18">
        <f t="shared" ca="1" si="23"/>
        <v>1.9196133672616253</v>
      </c>
      <c r="N118" s="18">
        <f t="shared" ca="1" si="23"/>
        <v>1.3827199999999999</v>
      </c>
      <c r="O118" s="18">
        <f t="shared" ca="1" si="23"/>
        <v>0.7632358825950003</v>
      </c>
      <c r="P118" s="18">
        <f t="shared" ca="1" si="23"/>
        <v>1.5873321117150005</v>
      </c>
      <c r="Q118" s="18">
        <f t="shared" ca="1" si="23"/>
        <v>2.5035575741100011</v>
      </c>
      <c r="R118" s="18">
        <f t="shared" ca="1" si="23"/>
        <v>2.536074085635001</v>
      </c>
      <c r="S118" s="18">
        <f t="shared" ca="1" si="23"/>
        <v>2.3422000000000001</v>
      </c>
    </row>
    <row r="119" spans="3:19" outlineLevel="1" x14ac:dyDescent="0.2">
      <c r="J119" s="26"/>
    </row>
    <row r="120" spans="3:19" outlineLevel="1" x14ac:dyDescent="0.2">
      <c r="C120" s="27">
        <v>1</v>
      </c>
      <c r="D120" t="str">
        <f t="array" ref="D120:D124">list_FieldName</f>
        <v>Nkossa</v>
      </c>
      <c r="I120" s="30">
        <f>SUM($L120:$BS120)</f>
        <v>4.8242454778218393</v>
      </c>
      <c r="J120" s="26" t="s">
        <v>42</v>
      </c>
      <c r="L120" s="28">
        <v>0.30706708984116576</v>
      </c>
      <c r="M120" s="28">
        <v>0.49798902339473888</v>
      </c>
      <c r="N120" s="28">
        <v>0.60175185366110728</v>
      </c>
      <c r="O120" s="28">
        <v>0.80085268772186191</v>
      </c>
      <c r="P120" s="28">
        <v>0.7982269322166875</v>
      </c>
      <c r="Q120" s="28">
        <v>0.62519240715688618</v>
      </c>
      <c r="R120" s="28">
        <v>0.74436548382939105</v>
      </c>
      <c r="S120" s="28">
        <v>0.44879999999999998</v>
      </c>
    </row>
    <row r="121" spans="3:19" outlineLevel="1" x14ac:dyDescent="0.2">
      <c r="C121" s="27">
        <f>C120+1</f>
        <v>2</v>
      </c>
      <c r="D121" t="str">
        <v>Nsoko</v>
      </c>
      <c r="I121" s="30">
        <f>SUM($L121:$BS121)</f>
        <v>0.45171699481022287</v>
      </c>
      <c r="J121" s="26" t="s">
        <v>42</v>
      </c>
      <c r="L121" s="28">
        <v>2.5038253138369854E-2</v>
      </c>
      <c r="M121" s="28">
        <v>2.383889680763986E-2</v>
      </c>
      <c r="N121" s="28">
        <v>5.3151750143333787E-2</v>
      </c>
      <c r="O121" s="28">
        <v>6.284501788088305E-2</v>
      </c>
      <c r="P121" s="28">
        <v>3.713187723040684E-2</v>
      </c>
      <c r="Q121" s="28">
        <v>2.2628453194404E-2</v>
      </c>
      <c r="R121" s="28">
        <v>0.13018274641518554</v>
      </c>
      <c r="S121" s="28">
        <v>9.69E-2</v>
      </c>
    </row>
    <row r="122" spans="3:19" outlineLevel="1" x14ac:dyDescent="0.2">
      <c r="C122" s="27">
        <f t="shared" ref="C122:C124" si="24">C121+1</f>
        <v>3</v>
      </c>
      <c r="D122" t="str">
        <v>Moho</v>
      </c>
      <c r="I122" s="30">
        <f>SUM($L122:$BS122)</f>
        <v>14.880334096314201</v>
      </c>
      <c r="J122" s="26" t="s">
        <v>42</v>
      </c>
      <c r="L122" s="28">
        <v>1.8456010749975718</v>
      </c>
      <c r="M122" s="28">
        <v>1.9196133672616253</v>
      </c>
      <c r="N122" s="28">
        <v>1.3827199999999999</v>
      </c>
      <c r="O122" s="28">
        <v>0.7632358825950003</v>
      </c>
      <c r="P122" s="28">
        <v>1.5873321117150005</v>
      </c>
      <c r="Q122" s="28">
        <v>2.5035575741100011</v>
      </c>
      <c r="R122" s="28">
        <v>2.536074085635001</v>
      </c>
      <c r="S122" s="28">
        <v>2.3422000000000001</v>
      </c>
    </row>
    <row r="123" spans="3:19" outlineLevel="1" x14ac:dyDescent="0.2">
      <c r="C123" s="27">
        <f t="shared" si="24"/>
        <v>4</v>
      </c>
      <c r="D123" t="str">
        <v>KLL</v>
      </c>
      <c r="I123" s="30">
        <f>SUM($L123:$BS123)</f>
        <v>2.9218269852317307</v>
      </c>
      <c r="J123" s="26" t="s">
        <v>42</v>
      </c>
      <c r="L123" s="28">
        <v>6.1959962542522194E-2</v>
      </c>
      <c r="M123" s="28">
        <v>0.16759516478258024</v>
      </c>
      <c r="N123" s="28">
        <v>0.5865918813775024</v>
      </c>
      <c r="O123" s="28">
        <v>0.23257020699013467</v>
      </c>
      <c r="P123" s="28">
        <v>0.30228765741947583</v>
      </c>
      <c r="Q123" s="28">
        <v>0.30844742486766602</v>
      </c>
      <c r="R123" s="28">
        <v>0.5009746872518489</v>
      </c>
      <c r="S123" s="28">
        <v>0.76139999999999997</v>
      </c>
    </row>
    <row r="124" spans="3:19" outlineLevel="1" x14ac:dyDescent="0.2">
      <c r="C124" s="27">
        <f t="shared" si="24"/>
        <v>5</v>
      </c>
      <c r="D124">
        <v>0</v>
      </c>
      <c r="I124" s="30">
        <f>SUM($L124:$BS124)</f>
        <v>2.8812470719643306</v>
      </c>
      <c r="J124" s="26" t="s">
        <v>42</v>
      </c>
      <c r="L124" s="28">
        <v>0</v>
      </c>
      <c r="M124" s="28">
        <v>1.4981934000000001E-4</v>
      </c>
      <c r="N124" s="28">
        <v>0.12588024095741507</v>
      </c>
      <c r="O124" s="28">
        <v>0.30583770500056096</v>
      </c>
      <c r="P124" s="28">
        <v>0.50726831644807935</v>
      </c>
      <c r="Q124" s="28">
        <v>0.6652217303941893</v>
      </c>
      <c r="R124" s="28">
        <v>0.71598925982408612</v>
      </c>
      <c r="S124" s="28">
        <v>0.56089999999999995</v>
      </c>
    </row>
    <row r="125" spans="3:19" customFormat="1" outlineLevel="1" x14ac:dyDescent="0.2"/>
    <row r="126" spans="3:19" outlineLevel="1" x14ac:dyDescent="0.2">
      <c r="C126" s="11" t="s">
        <v>200</v>
      </c>
    </row>
    <row r="127" spans="3:19" outlineLevel="1" x14ac:dyDescent="0.2">
      <c r="D127" t="str">
        <f>D118</f>
        <v>sélectionnés</v>
      </c>
      <c r="G127" s="29" t="str">
        <f>field_selected</f>
        <v>Moho</v>
      </c>
      <c r="I127" s="30">
        <f ca="1">SUM($L127:$BS127)</f>
        <v>168.39349426639529</v>
      </c>
      <c r="J127" s="26" t="s">
        <v>148</v>
      </c>
      <c r="K127" s="7" t="s">
        <v>735</v>
      </c>
      <c r="L127" s="18">
        <f t="shared" ref="L127:S127" ca="1" si="25">OFFSET(L127,MATCH(field_selected,list_FieldName,0)+1,0)</f>
        <v>20.534758022249697</v>
      </c>
      <c r="M127" s="18">
        <f t="shared" ca="1" si="25"/>
        <v>19.129832350994999</v>
      </c>
      <c r="N127" s="18">
        <f t="shared" ca="1" si="25"/>
        <v>7.3099130866430597</v>
      </c>
      <c r="O127" s="18">
        <f t="shared" ca="1" si="25"/>
        <v>6.8124576475457399</v>
      </c>
      <c r="P127" s="18">
        <f t="shared" ca="1" si="25"/>
        <v>19.100886826789498</v>
      </c>
      <c r="Q127" s="18">
        <f t="shared" ca="1" si="25"/>
        <v>38.231386150506104</v>
      </c>
      <c r="R127" s="18">
        <f t="shared" ca="1" si="25"/>
        <v>36.2742601816662</v>
      </c>
      <c r="S127" s="18">
        <f t="shared" ca="1" si="25"/>
        <v>21</v>
      </c>
    </row>
    <row r="128" spans="3:19" outlineLevel="1" x14ac:dyDescent="0.2">
      <c r="J128" s="26"/>
    </row>
    <row r="129" spans="3:19" outlineLevel="1" x14ac:dyDescent="0.2">
      <c r="C129" s="27">
        <v>1</v>
      </c>
      <c r="D129" t="str">
        <f t="array" ref="D129:D133">list_FieldName</f>
        <v>Nkossa</v>
      </c>
      <c r="I129" s="30">
        <f>SUM($L129:$BS129)</f>
        <v>40.626685753840384</v>
      </c>
      <c r="J129" s="26" t="s">
        <v>148</v>
      </c>
      <c r="L129" s="28">
        <v>8.97538431195699</v>
      </c>
      <c r="M129" s="28">
        <v>9.4050578087592811</v>
      </c>
      <c r="N129" s="28">
        <v>4.5015598037636204</v>
      </c>
      <c r="O129" s="28">
        <v>3.6230926561478398</v>
      </c>
      <c r="P129" s="28">
        <v>4.1480998873475601</v>
      </c>
      <c r="Q129" s="28">
        <v>4.1416744009450106</v>
      </c>
      <c r="R129" s="28">
        <v>3.7318168849200801</v>
      </c>
      <c r="S129" s="28">
        <v>2.1</v>
      </c>
    </row>
    <row r="130" spans="3:19" outlineLevel="1" x14ac:dyDescent="0.2">
      <c r="C130" s="27">
        <f>C129+1</f>
        <v>2</v>
      </c>
      <c r="D130" t="str">
        <v>Nsoko</v>
      </c>
      <c r="I130" s="30">
        <f>SUM($L130:$BS130)</f>
        <v>0.51093382198665993</v>
      </c>
      <c r="J130" s="26" t="s">
        <v>148</v>
      </c>
      <c r="L130" s="28">
        <v>0</v>
      </c>
      <c r="M130" s="28">
        <v>0</v>
      </c>
      <c r="N130" s="28">
        <v>0</v>
      </c>
      <c r="O130" s="28">
        <v>0</v>
      </c>
      <c r="P130" s="28">
        <v>0</v>
      </c>
      <c r="Q130" s="28">
        <v>0</v>
      </c>
      <c r="R130" s="28">
        <v>0.22697339491165999</v>
      </c>
      <c r="S130" s="28">
        <v>0.28396042707499997</v>
      </c>
    </row>
    <row r="131" spans="3:19" outlineLevel="1" x14ac:dyDescent="0.2">
      <c r="C131" s="27">
        <f t="shared" ref="C131:C133" si="26">C130+1</f>
        <v>3</v>
      </c>
      <c r="D131" t="str">
        <v>Moho</v>
      </c>
      <c r="I131" s="30">
        <f>SUM($L131:$BS131)</f>
        <v>168.39349426639529</v>
      </c>
      <c r="J131" s="26" t="s">
        <v>148</v>
      </c>
      <c r="L131" s="28">
        <v>20.534758022249697</v>
      </c>
      <c r="M131" s="28">
        <v>19.129832350994999</v>
      </c>
      <c r="N131" s="28">
        <v>7.3099130866430597</v>
      </c>
      <c r="O131" s="28">
        <v>6.8124576475457399</v>
      </c>
      <c r="P131" s="28">
        <v>19.100886826789498</v>
      </c>
      <c r="Q131" s="28">
        <v>38.231386150506104</v>
      </c>
      <c r="R131" s="28">
        <v>36.2742601816662</v>
      </c>
      <c r="S131" s="28">
        <v>21</v>
      </c>
    </row>
    <row r="132" spans="3:19" outlineLevel="1" x14ac:dyDescent="0.2">
      <c r="C132" s="27">
        <f t="shared" si="26"/>
        <v>4</v>
      </c>
      <c r="D132" t="str">
        <v>KLL</v>
      </c>
      <c r="I132" s="30">
        <f>SUM($L132:$BS132)</f>
        <v>31.553773157597401</v>
      </c>
      <c r="J132" s="26" t="s">
        <v>148</v>
      </c>
      <c r="L132" s="28">
        <v>5.9478342933652897</v>
      </c>
      <c r="M132" s="28">
        <v>5.8577253759279504</v>
      </c>
      <c r="N132" s="28">
        <v>3.3713410970322197</v>
      </c>
      <c r="O132" s="28">
        <v>2.4824655799188098</v>
      </c>
      <c r="P132" s="28">
        <v>3.0290627368944798</v>
      </c>
      <c r="Q132" s="28">
        <v>4.3899437300709492</v>
      </c>
      <c r="R132" s="28">
        <v>4.1754003443876995</v>
      </c>
      <c r="S132" s="28">
        <v>2.2999999999999998</v>
      </c>
    </row>
    <row r="133" spans="3:19" outlineLevel="1" x14ac:dyDescent="0.2">
      <c r="C133" s="27">
        <f t="shared" si="26"/>
        <v>5</v>
      </c>
      <c r="D133">
        <v>0</v>
      </c>
      <c r="I133" s="30">
        <f>SUM($L133:$BS133)</f>
        <v>25.045358486422074</v>
      </c>
      <c r="J133" s="26" t="s">
        <v>148</v>
      </c>
      <c r="L133" s="28"/>
      <c r="M133" s="28">
        <v>1.3805103084299998E-3</v>
      </c>
      <c r="N133" s="28">
        <v>0.65966830561237799</v>
      </c>
      <c r="O133" s="28">
        <v>1.7551180469503298</v>
      </c>
      <c r="P133" s="28">
        <v>3.8374469881493969</v>
      </c>
      <c r="Q133" s="28">
        <v>7.3502296789353396</v>
      </c>
      <c r="R133" s="28">
        <v>6.9415149564662002</v>
      </c>
      <c r="S133" s="28">
        <v>4.5</v>
      </c>
    </row>
    <row r="134" spans="3:19" customFormat="1" outlineLevel="1" x14ac:dyDescent="0.2"/>
    <row r="135" spans="3:19" outlineLevel="1" x14ac:dyDescent="0.2">
      <c r="C135" s="11" t="s">
        <v>931</v>
      </c>
    </row>
    <row r="136" spans="3:19" outlineLevel="1" x14ac:dyDescent="0.2">
      <c r="D136" t="str">
        <f>D127</f>
        <v>sélectionnés</v>
      </c>
      <c r="G136" s="29" t="str">
        <f>field_selected</f>
        <v>Moho</v>
      </c>
      <c r="I136" s="30">
        <f ca="1">SUM($L136:$BS136)</f>
        <v>0</v>
      </c>
      <c r="J136" s="26" t="s">
        <v>42</v>
      </c>
      <c r="K136" s="7" t="s">
        <v>933</v>
      </c>
      <c r="L136" s="18">
        <f t="shared" ref="L136:S136" ca="1" si="27">OFFSET(L136,MATCH(field_selected,list_FieldName,0)+1,0)</f>
        <v>0</v>
      </c>
      <c r="M136" s="18">
        <f t="shared" ca="1" si="27"/>
        <v>0</v>
      </c>
      <c r="N136" s="18">
        <f t="shared" ca="1" si="27"/>
        <v>0</v>
      </c>
      <c r="O136" s="18">
        <f t="shared" ca="1" si="27"/>
        <v>0</v>
      </c>
      <c r="P136" s="18">
        <f t="shared" ca="1" si="27"/>
        <v>0</v>
      </c>
      <c r="Q136" s="18">
        <f t="shared" ca="1" si="27"/>
        <v>0</v>
      </c>
      <c r="R136" s="18">
        <f t="shared" ca="1" si="27"/>
        <v>0</v>
      </c>
      <c r="S136" s="18">
        <f t="shared" ca="1" si="27"/>
        <v>0</v>
      </c>
    </row>
    <row r="137" spans="3:19" outlineLevel="1" x14ac:dyDescent="0.2">
      <c r="J137" s="26"/>
    </row>
    <row r="138" spans="3:19" outlineLevel="1" x14ac:dyDescent="0.2">
      <c r="C138" s="27">
        <v>1</v>
      </c>
      <c r="D138" t="str">
        <f t="array" ref="D138:D142">list_FieldName</f>
        <v>Nkossa</v>
      </c>
      <c r="I138" s="30">
        <f>SUM($L138:$BS138)</f>
        <v>0</v>
      </c>
      <c r="J138" s="26" t="s">
        <v>42</v>
      </c>
      <c r="L138" s="28"/>
      <c r="M138" s="28"/>
      <c r="N138" s="28"/>
      <c r="O138" s="28"/>
      <c r="P138" s="28"/>
      <c r="Q138" s="28"/>
      <c r="R138" s="28"/>
      <c r="S138" s="28"/>
    </row>
    <row r="139" spans="3:19" outlineLevel="1" x14ac:dyDescent="0.2">
      <c r="C139" s="27">
        <f>C138+1</f>
        <v>2</v>
      </c>
      <c r="D139" t="str">
        <v>Nsoko</v>
      </c>
      <c r="I139" s="30">
        <f>SUM($L139:$BS139)</f>
        <v>7.1900000000000006E-2</v>
      </c>
      <c r="J139" s="26" t="s">
        <v>42</v>
      </c>
      <c r="L139" s="28"/>
      <c r="M139" s="28"/>
      <c r="N139" s="28"/>
      <c r="O139" s="28"/>
      <c r="P139" s="28"/>
      <c r="Q139" s="28"/>
      <c r="R139" s="28"/>
      <c r="S139" s="28">
        <v>7.1900000000000006E-2</v>
      </c>
    </row>
    <row r="140" spans="3:19" outlineLevel="1" x14ac:dyDescent="0.2">
      <c r="C140" s="27">
        <f t="shared" ref="C140:C142" si="28">C139+1</f>
        <v>3</v>
      </c>
      <c r="D140" t="str">
        <v>Moho</v>
      </c>
      <c r="I140" s="30">
        <f>SUM($L140:$BS140)</f>
        <v>0</v>
      </c>
      <c r="J140" s="26" t="s">
        <v>42</v>
      </c>
      <c r="L140" s="28"/>
      <c r="M140" s="28"/>
      <c r="N140" s="28"/>
      <c r="O140" s="28"/>
      <c r="P140" s="28"/>
      <c r="Q140" s="28"/>
      <c r="R140" s="28"/>
      <c r="S140" s="28"/>
    </row>
    <row r="141" spans="3:19" outlineLevel="1" x14ac:dyDescent="0.2">
      <c r="C141" s="27">
        <f t="shared" si="28"/>
        <v>4</v>
      </c>
      <c r="D141" t="str">
        <v>KLL</v>
      </c>
      <c r="I141" s="30">
        <f>SUM($L141:$BS141)</f>
        <v>0.23749999999999999</v>
      </c>
      <c r="J141" s="26" t="s">
        <v>42</v>
      </c>
      <c r="L141" s="28"/>
      <c r="M141" s="28"/>
      <c r="N141" s="28"/>
      <c r="O141" s="28"/>
      <c r="P141" s="28"/>
      <c r="Q141" s="28"/>
      <c r="R141" s="28"/>
      <c r="S141" s="28">
        <v>0.23749999999999999</v>
      </c>
    </row>
    <row r="142" spans="3:19" outlineLevel="1" x14ac:dyDescent="0.2">
      <c r="C142" s="27">
        <f t="shared" si="28"/>
        <v>5</v>
      </c>
      <c r="D142">
        <v>0</v>
      </c>
      <c r="I142" s="30">
        <f>SUM($L142:$BS142)</f>
        <v>0</v>
      </c>
      <c r="J142" s="26" t="s">
        <v>42</v>
      </c>
      <c r="L142" s="28"/>
      <c r="M142" s="28"/>
      <c r="N142" s="28"/>
      <c r="O142" s="28"/>
      <c r="P142" s="28"/>
      <c r="Q142" s="28"/>
      <c r="R142" s="28"/>
      <c r="S142" s="28"/>
    </row>
    <row r="143" spans="3:19" customFormat="1" outlineLevel="1" x14ac:dyDescent="0.2"/>
    <row r="144" spans="3:19" customFormat="1" outlineLevel="1" x14ac:dyDescent="0.2"/>
  </sheetData>
  <mergeCells count="3">
    <mergeCell ref="B7:E7"/>
    <mergeCell ref="B39:E39"/>
    <mergeCell ref="B97:E97"/>
  </mergeCells>
  <pageMargins left="0.7" right="0.7" top="0.75" bottom="0.75" header="0.3" footer="0.3"/>
  <drawing r:id="rId1"/>
  <mc:AlternateContent xmlns:mc="http://schemas.openxmlformats.org/markup-compatibility/2006">
    <mc:Choice Requires="v">
      <legacyDrawing r:id="rId2"/>
    </mc:Choice>
  </mc:AlternateContent>
</worksheet>
</file>

<file path=xl/worksheets/sheet9.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294BC-4EBF-4F9F-80F2-1001A59D9431}">
  <sheetPr codeName="Sheet9"/>
  <dimension ref="A1:CP564"/>
  <sheetViews>
    <sheetView showGridLines="0" zoomScale="80" zoomScaleNormal="80" workbookViewId="0">
      <pane xSplit="11" ySplit="5" topLeftCell="L523" activePane="bottomRight" state="frozen"/>
      <selection pane="topRight" activeCell="L1" sqref="L1"/>
      <selection pane="bottomLeft" activeCell="A6" sqref="A6"/>
      <selection pane="bottomRight" activeCell="D487" sqref="D487"/>
    </sheetView>
  </sheetViews>
  <sheetFormatPr baseColWidth="10" defaultColWidth="0" defaultRowHeight="15" outlineLevelRow="1" x14ac:dyDescent="0.2"/>
  <cols>
    <col min="1" max="3" width="5.6640625" customWidth="1"/>
    <col min="4" max="10" width="14.6640625" customWidth="1"/>
    <col min="11" max="11" width="17.6640625" style="7" customWidth="1"/>
    <col min="12" max="93" width="9.1640625" customWidth="1"/>
    <col min="94" max="94" width="0" style="6" hidden="1" customWidth="1"/>
    <col min="95" max="16384" width="9.1640625" style="6" hidden="1"/>
  </cols>
  <sheetData>
    <row r="1" spans="1:93" s="5" customFormat="1" ht="20.25" customHeight="1" x14ac:dyDescent="0.2">
      <c r="A1" s="82" t="s">
        <v>666</v>
      </c>
      <c r="B1" s="82"/>
      <c r="C1" s="82"/>
      <c r="D1" s="82"/>
      <c r="E1" s="82"/>
      <c r="F1" s="82"/>
      <c r="G1" s="82"/>
      <c r="H1" s="82"/>
      <c r="I1" s="82"/>
      <c r="J1" s="82"/>
      <c r="K1" s="83"/>
      <c r="L1" s="82"/>
      <c r="M1" s="82"/>
      <c r="N1" s="82"/>
      <c r="O1" s="82"/>
      <c r="P1" s="82"/>
      <c r="Q1" s="82"/>
      <c r="R1" s="82"/>
      <c r="S1" s="82"/>
      <c r="T1" s="82"/>
      <c r="U1" s="82"/>
      <c r="V1" s="82"/>
      <c r="W1" s="82"/>
      <c r="X1" s="82"/>
      <c r="Y1" s="82"/>
      <c r="Z1" s="82"/>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row>
    <row r="2" spans="1:93" ht="9" customHeight="1" x14ac:dyDescent="0.2">
      <c r="A2" s="6"/>
      <c r="B2" s="6"/>
      <c r="C2" s="6"/>
      <c r="D2" s="6"/>
      <c r="E2" s="6"/>
      <c r="F2" s="6"/>
      <c r="G2" s="6"/>
      <c r="H2" s="6"/>
      <c r="I2" s="6"/>
      <c r="J2" s="6"/>
      <c r="K2" s="84"/>
      <c r="L2" s="6"/>
      <c r="M2" s="6"/>
      <c r="N2" s="6"/>
      <c r="O2" s="6"/>
      <c r="P2" s="6"/>
      <c r="Q2" s="6"/>
      <c r="R2" s="6"/>
      <c r="S2" s="6"/>
      <c r="T2" s="6"/>
      <c r="U2" s="6"/>
      <c r="V2" s="6"/>
      <c r="W2" s="6"/>
      <c r="X2" s="6"/>
      <c r="Y2" s="6"/>
      <c r="Z2" s="6"/>
    </row>
    <row r="3" spans="1:93" x14ac:dyDescent="0.2">
      <c r="L3" s="3">
        <f t="array" ref="L3:BS3">IA_Periods</f>
        <v>1</v>
      </c>
      <c r="M3" s="3">
        <v>2</v>
      </c>
      <c r="N3" s="3">
        <v>3</v>
      </c>
      <c r="O3" s="3">
        <v>4</v>
      </c>
      <c r="P3" s="3">
        <v>5</v>
      </c>
      <c r="Q3" s="3">
        <v>6</v>
      </c>
      <c r="R3" s="3">
        <v>7</v>
      </c>
      <c r="S3" s="3">
        <v>8</v>
      </c>
      <c r="T3" s="3">
        <v>9</v>
      </c>
      <c r="U3" s="3">
        <v>10</v>
      </c>
      <c r="V3" s="3">
        <v>11</v>
      </c>
      <c r="W3" s="3">
        <v>12</v>
      </c>
      <c r="X3" s="3">
        <v>13</v>
      </c>
      <c r="Y3" s="3">
        <v>14</v>
      </c>
      <c r="Z3" s="3">
        <v>15</v>
      </c>
      <c r="AA3" s="3">
        <v>16</v>
      </c>
      <c r="AB3" s="3">
        <v>17</v>
      </c>
      <c r="AC3" s="3">
        <v>18</v>
      </c>
      <c r="AD3" s="3">
        <v>19</v>
      </c>
      <c r="AE3" s="3">
        <v>20</v>
      </c>
      <c r="AF3" s="3">
        <v>21</v>
      </c>
      <c r="AG3" s="3">
        <v>22</v>
      </c>
      <c r="AH3" s="3">
        <v>23</v>
      </c>
      <c r="AI3" s="3">
        <v>24</v>
      </c>
      <c r="AJ3" s="3">
        <v>25</v>
      </c>
      <c r="AK3" s="3">
        <v>26</v>
      </c>
      <c r="AL3" s="3">
        <v>27</v>
      </c>
      <c r="AM3" s="3">
        <v>28</v>
      </c>
      <c r="AN3" s="3">
        <v>29</v>
      </c>
      <c r="AO3" s="3">
        <v>30</v>
      </c>
      <c r="AP3" s="3">
        <v>31</v>
      </c>
      <c r="AQ3" s="3">
        <v>32</v>
      </c>
      <c r="AR3" s="3">
        <v>33</v>
      </c>
      <c r="AS3" s="3">
        <v>34</v>
      </c>
      <c r="AT3" s="3">
        <v>35</v>
      </c>
      <c r="AU3" s="3">
        <v>36</v>
      </c>
      <c r="AV3" s="3">
        <v>37</v>
      </c>
      <c r="AW3" s="3">
        <v>38</v>
      </c>
      <c r="AX3" s="3">
        <v>39</v>
      </c>
      <c r="AY3" s="3">
        <v>40</v>
      </c>
      <c r="AZ3" s="3">
        <v>41</v>
      </c>
      <c r="BA3" s="3">
        <v>42</v>
      </c>
      <c r="BB3" s="3">
        <v>43</v>
      </c>
      <c r="BC3" s="3">
        <v>44</v>
      </c>
      <c r="BD3" s="3">
        <v>45</v>
      </c>
      <c r="BE3" s="3">
        <v>46</v>
      </c>
      <c r="BF3" s="3">
        <v>47</v>
      </c>
      <c r="BG3" s="3">
        <v>48</v>
      </c>
      <c r="BH3" s="3">
        <v>49</v>
      </c>
      <c r="BI3" s="3">
        <v>50</v>
      </c>
      <c r="BJ3" s="3">
        <v>51</v>
      </c>
      <c r="BK3" s="3">
        <v>52</v>
      </c>
      <c r="BL3" s="3">
        <v>53</v>
      </c>
      <c r="BM3" s="3">
        <v>54</v>
      </c>
      <c r="BN3" s="3">
        <v>55</v>
      </c>
      <c r="BO3" s="3">
        <v>56</v>
      </c>
      <c r="BP3" s="3">
        <v>57</v>
      </c>
      <c r="BQ3" s="3">
        <v>58</v>
      </c>
      <c r="BR3" s="3">
        <v>59</v>
      </c>
      <c r="BS3" s="3">
        <v>60</v>
      </c>
    </row>
    <row r="4" spans="1:93" x14ac:dyDescent="0.2">
      <c r="L4" s="4">
        <f t="array" ref="L4:BS4">IA_Years</f>
        <v>2013</v>
      </c>
      <c r="M4">
        <v>2014</v>
      </c>
      <c r="N4">
        <v>2015</v>
      </c>
      <c r="O4">
        <v>2016</v>
      </c>
      <c r="P4">
        <v>2017</v>
      </c>
      <c r="Q4">
        <v>2018</v>
      </c>
      <c r="R4">
        <v>2019</v>
      </c>
      <c r="S4">
        <v>2020</v>
      </c>
      <c r="T4" s="76">
        <v>2021</v>
      </c>
      <c r="U4">
        <v>2022</v>
      </c>
      <c r="V4">
        <v>2023</v>
      </c>
      <c r="W4">
        <v>2024</v>
      </c>
      <c r="X4">
        <v>2025</v>
      </c>
      <c r="Y4">
        <v>2026</v>
      </c>
      <c r="Z4">
        <v>2027</v>
      </c>
      <c r="AA4">
        <v>2028</v>
      </c>
      <c r="AB4">
        <v>2029</v>
      </c>
      <c r="AC4">
        <v>2030</v>
      </c>
      <c r="AD4">
        <v>2031</v>
      </c>
      <c r="AE4">
        <v>2032</v>
      </c>
      <c r="AF4">
        <v>2033</v>
      </c>
      <c r="AG4">
        <v>2034</v>
      </c>
      <c r="AH4">
        <v>2035</v>
      </c>
      <c r="AI4">
        <v>2036</v>
      </c>
      <c r="AJ4">
        <v>2037</v>
      </c>
      <c r="AK4">
        <v>2038</v>
      </c>
      <c r="AL4">
        <v>2039</v>
      </c>
      <c r="AM4">
        <v>2040</v>
      </c>
      <c r="AN4">
        <v>2041</v>
      </c>
      <c r="AO4">
        <v>2042</v>
      </c>
      <c r="AP4">
        <v>2043</v>
      </c>
      <c r="AQ4">
        <v>2044</v>
      </c>
      <c r="AR4">
        <v>2045</v>
      </c>
      <c r="AS4">
        <v>2046</v>
      </c>
      <c r="AT4">
        <v>2047</v>
      </c>
      <c r="AU4">
        <v>2048</v>
      </c>
      <c r="AV4">
        <v>2049</v>
      </c>
      <c r="AW4">
        <v>2050</v>
      </c>
      <c r="AX4">
        <v>2051</v>
      </c>
      <c r="AY4">
        <v>2052</v>
      </c>
      <c r="AZ4">
        <v>2053</v>
      </c>
      <c r="BA4">
        <v>2054</v>
      </c>
      <c r="BB4">
        <v>2055</v>
      </c>
      <c r="BC4">
        <v>2056</v>
      </c>
      <c r="BD4">
        <v>2057</v>
      </c>
      <c r="BE4">
        <v>2058</v>
      </c>
      <c r="BF4">
        <v>2059</v>
      </c>
      <c r="BG4">
        <v>2060</v>
      </c>
      <c r="BH4">
        <v>2061</v>
      </c>
      <c r="BI4">
        <v>2062</v>
      </c>
      <c r="BJ4">
        <v>2063</v>
      </c>
      <c r="BK4">
        <v>2064</v>
      </c>
      <c r="BL4">
        <v>2065</v>
      </c>
      <c r="BM4">
        <v>2066</v>
      </c>
      <c r="BN4">
        <v>2067</v>
      </c>
      <c r="BO4">
        <v>2068</v>
      </c>
      <c r="BP4">
        <v>2069</v>
      </c>
      <c r="BQ4">
        <v>2070</v>
      </c>
      <c r="BR4">
        <v>2071</v>
      </c>
      <c r="BS4">
        <v>2072</v>
      </c>
    </row>
    <row r="5" spans="1:93" x14ac:dyDescent="0.2">
      <c r="L5" s="3">
        <f t="array" ref="L5:BS5">+IA_Days</f>
        <v>365</v>
      </c>
      <c r="M5" s="3">
        <v>365</v>
      </c>
      <c r="N5" s="3">
        <v>365</v>
      </c>
      <c r="O5" s="3">
        <v>366</v>
      </c>
      <c r="P5" s="3">
        <v>365</v>
      </c>
      <c r="Q5" s="3">
        <v>365</v>
      </c>
      <c r="R5" s="3">
        <v>365</v>
      </c>
      <c r="S5" s="3">
        <v>366</v>
      </c>
      <c r="T5" s="3">
        <v>365</v>
      </c>
      <c r="U5" s="3">
        <v>365</v>
      </c>
      <c r="V5" s="3">
        <v>365</v>
      </c>
      <c r="W5" s="3">
        <v>366</v>
      </c>
      <c r="X5" s="3">
        <v>365</v>
      </c>
      <c r="Y5" s="3">
        <v>365</v>
      </c>
      <c r="Z5" s="3">
        <v>365</v>
      </c>
      <c r="AA5" s="3">
        <v>366</v>
      </c>
      <c r="AB5" s="3">
        <v>365</v>
      </c>
      <c r="AC5" s="3">
        <v>365</v>
      </c>
      <c r="AD5" s="3">
        <v>365</v>
      </c>
      <c r="AE5" s="3">
        <v>366</v>
      </c>
      <c r="AF5" s="3">
        <v>365</v>
      </c>
      <c r="AG5" s="3">
        <v>365</v>
      </c>
      <c r="AH5" s="3">
        <v>365</v>
      </c>
      <c r="AI5" s="3">
        <v>366</v>
      </c>
      <c r="AJ5" s="3">
        <v>365</v>
      </c>
      <c r="AK5" s="3">
        <v>365</v>
      </c>
      <c r="AL5" s="3">
        <v>365</v>
      </c>
      <c r="AM5" s="3">
        <v>366</v>
      </c>
      <c r="AN5" s="3">
        <v>365</v>
      </c>
      <c r="AO5" s="3">
        <v>365</v>
      </c>
      <c r="AP5" s="3">
        <v>365</v>
      </c>
      <c r="AQ5" s="3">
        <v>366</v>
      </c>
      <c r="AR5" s="3">
        <v>365</v>
      </c>
      <c r="AS5" s="3">
        <v>365</v>
      </c>
      <c r="AT5" s="3">
        <v>365</v>
      </c>
      <c r="AU5" s="3">
        <v>366</v>
      </c>
      <c r="AV5" s="3">
        <v>365</v>
      </c>
      <c r="AW5" s="3">
        <v>365</v>
      </c>
      <c r="AX5" s="3">
        <v>365</v>
      </c>
      <c r="AY5" s="3">
        <v>366</v>
      </c>
      <c r="AZ5" s="3">
        <v>365</v>
      </c>
      <c r="BA5" s="3">
        <v>365</v>
      </c>
      <c r="BB5" s="3">
        <v>365</v>
      </c>
      <c r="BC5" s="3">
        <v>366</v>
      </c>
      <c r="BD5" s="3">
        <v>365</v>
      </c>
      <c r="BE5" s="3">
        <v>365</v>
      </c>
      <c r="BF5" s="3">
        <v>365</v>
      </c>
      <c r="BG5" s="3">
        <v>366</v>
      </c>
      <c r="BH5" s="3">
        <v>365</v>
      </c>
      <c r="BI5" s="3">
        <v>365</v>
      </c>
      <c r="BJ5" s="3">
        <v>365</v>
      </c>
      <c r="BK5" s="3">
        <v>366</v>
      </c>
      <c r="BL5" s="3">
        <v>365</v>
      </c>
      <c r="BM5" s="3">
        <v>365</v>
      </c>
      <c r="BN5" s="3">
        <v>365</v>
      </c>
      <c r="BO5" s="3">
        <v>366</v>
      </c>
      <c r="BP5" s="3">
        <v>365</v>
      </c>
      <c r="BQ5" s="3">
        <v>365</v>
      </c>
      <c r="BR5" s="3">
        <v>365</v>
      </c>
      <c r="BS5" s="3">
        <v>366</v>
      </c>
    </row>
    <row r="6" spans="1:93" ht="16" thickBot="1" x14ac:dyDescent="0.25"/>
    <row r="7" spans="1:93" ht="22" thickBot="1" x14ac:dyDescent="0.25">
      <c r="A7" s="8"/>
      <c r="B7" s="221" t="str">
        <f>CHOOSE(db_ML_selected,'Liste Traduction'!B239,'Liste Traduction'!C239)</f>
        <v>Modalités fiscales</v>
      </c>
      <c r="C7" s="222"/>
      <c r="D7" s="222"/>
      <c r="E7" s="223"/>
      <c r="F7" s="9"/>
      <c r="G7" s="9"/>
      <c r="H7" s="9"/>
      <c r="I7" s="9"/>
      <c r="J7" s="48"/>
      <c r="K7" s="10"/>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row>
    <row r="8" spans="1:93" outlineLevel="1" x14ac:dyDescent="0.2">
      <c r="J8" s="26"/>
    </row>
    <row r="9" spans="1:93" outlineLevel="1" x14ac:dyDescent="0.2">
      <c r="C9" s="11" t="s">
        <v>6</v>
      </c>
      <c r="J9" s="26"/>
    </row>
    <row r="10" spans="1:93" outlineLevel="1" x14ac:dyDescent="0.2">
      <c r="D10" t="str">
        <f>CHOOSE(db_ML_selected,'Liste Traduction'!B240,'Liste Traduction'!C240)</f>
        <v>Date d'entrée en vigueur CPP HM 1994</v>
      </c>
      <c r="G10" s="36" t="d">
        <v>1994-01-01</v>
      </c>
      <c r="H10" s="16" t="s">
        <v>363</v>
      </c>
      <c r="J10" s="26"/>
    </row>
    <row r="11" spans="1:93" outlineLevel="1" x14ac:dyDescent="0.2">
      <c r="D11" t="str">
        <f>CHOOSE(db_ML_selected,'Liste Traduction'!B241,'Liste Traduction'!C241)</f>
        <v>Date d'entrée en vigueur AM 5 au CPP 2017</v>
      </c>
      <c r="G11" s="36" t="d">
        <v>2017-01-01</v>
      </c>
      <c r="H11" s="16" t="s">
        <v>603</v>
      </c>
      <c r="J11" s="26"/>
    </row>
    <row r="12" spans="1:93" outlineLevel="1" x14ac:dyDescent="0.2">
      <c r="D12" t="str">
        <f>CHOOSE(db_ML_selected,'Liste Traduction'!B242,'Liste Traduction'!C242)</f>
        <v>Décalage date</v>
      </c>
      <c r="G12" s="40">
        <f>L4-YEAR(HM_ZA_Nkossa!effective_date_HM1994)-19</f>
        <v>0</v>
      </c>
      <c r="H12" s="16" t="s">
        <v>364</v>
      </c>
      <c r="J12" s="26"/>
    </row>
    <row r="13" spans="1:93" outlineLevel="1" x14ac:dyDescent="0.2">
      <c r="J13" s="26"/>
    </row>
    <row r="14" spans="1:93" outlineLevel="1" x14ac:dyDescent="0.2">
      <c r="C14" s="11" t="str">
        <f>CHOOSE(db_ML_selected,'Liste Traduction'!B243,'Liste Traduction'!C243)</f>
        <v>Frais</v>
      </c>
      <c r="J14" s="26"/>
    </row>
    <row r="15" spans="1:93" outlineLevel="1" x14ac:dyDescent="0.2">
      <c r="D15" t="str">
        <f>CHOOSE(db_ML_selected,'Liste Traduction'!B244,'Liste Traduction'!C244)</f>
        <v>Coûts PID</v>
      </c>
      <c r="G15" s="21">
        <v>0.01</v>
      </c>
      <c r="H15" s="16" t="s">
        <v>68</v>
      </c>
      <c r="J15" s="26"/>
    </row>
    <row r="16" spans="1:93" outlineLevel="1" x14ac:dyDescent="0.2">
      <c r="J16" s="26"/>
    </row>
    <row r="17" spans="3:10" outlineLevel="1" x14ac:dyDescent="0.2">
      <c r="J17" s="26"/>
    </row>
    <row r="18" spans="3:10" outlineLevel="1" x14ac:dyDescent="0.2">
      <c r="C18" s="11" t="str">
        <f>CHOOSE(db_ML_selected,'Liste Traduction'!B245,'Liste Traduction'!C245)</f>
        <v>Redevance</v>
      </c>
      <c r="F18" s="47" t="s">
        <v>75</v>
      </c>
      <c r="G18" s="80" t="s">
        <v>693</v>
      </c>
      <c r="H18" s="80" t="s">
        <v>694</v>
      </c>
      <c r="J18" s="26"/>
    </row>
    <row r="19" spans="3:10" outlineLevel="1" x14ac:dyDescent="0.2">
      <c r="F19" s="81" t="s">
        <v>606</v>
      </c>
      <c r="G19" s="81" t="s">
        <v>90</v>
      </c>
      <c r="H19" s="81" t="s">
        <v>90</v>
      </c>
      <c r="J19" s="26"/>
    </row>
    <row r="20" spans="3:10" outlineLevel="1" x14ac:dyDescent="0.2">
      <c r="F20" s="68">
        <v>1994</v>
      </c>
      <c r="G20" s="37">
        <v>0.12</v>
      </c>
      <c r="H20" s="37">
        <v>0.12</v>
      </c>
      <c r="J20" s="26"/>
    </row>
    <row r="21" spans="3:10" outlineLevel="1" x14ac:dyDescent="0.2">
      <c r="F21" s="68">
        <v>2017</v>
      </c>
      <c r="G21" s="37">
        <v>0.15</v>
      </c>
      <c r="H21" s="37">
        <v>0.15</v>
      </c>
      <c r="J21" s="26"/>
    </row>
    <row r="22" spans="3:10" outlineLevel="1" x14ac:dyDescent="0.2">
      <c r="F22" s="6"/>
      <c r="G22" s="16" t="s">
        <v>695</v>
      </c>
      <c r="H22" s="16" t="s">
        <v>696</v>
      </c>
      <c r="J22" s="26"/>
    </row>
    <row r="23" spans="3:10" outlineLevel="1" x14ac:dyDescent="0.2">
      <c r="J23" s="26"/>
    </row>
    <row r="24" spans="3:10" outlineLevel="1" x14ac:dyDescent="0.2">
      <c r="C24" s="11" t="str">
        <f>CHOOSE(db_ML_selected,'Liste Traduction'!B57,'Liste Traduction'!C57)</f>
        <v>Récupération des coûts</v>
      </c>
      <c r="J24" s="26"/>
    </row>
    <row r="25" spans="3:10" outlineLevel="1" x14ac:dyDescent="0.2">
      <c r="J25" s="26"/>
    </row>
    <row r="26" spans="3:10" outlineLevel="1" x14ac:dyDescent="0.2">
      <c r="D26" t="s">
        <v>76</v>
      </c>
      <c r="F26" s="81" t="s">
        <v>365</v>
      </c>
      <c r="G26" s="81" t="s">
        <v>366</v>
      </c>
      <c r="J26" s="26"/>
    </row>
    <row r="27" spans="3:10" outlineLevel="1" x14ac:dyDescent="0.2">
      <c r="E27" s="16" t="s">
        <v>368</v>
      </c>
      <c r="F27" s="68">
        <v>10</v>
      </c>
      <c r="G27" s="70">
        <v>0.7</v>
      </c>
      <c r="H27" s="16" t="s">
        <v>370</v>
      </c>
      <c r="J27" s="26"/>
    </row>
    <row r="28" spans="3:10" outlineLevel="1" x14ac:dyDescent="0.2">
      <c r="D28" s="39"/>
      <c r="E28" s="16" t="s">
        <v>369</v>
      </c>
      <c r="F28" s="68">
        <v>14</v>
      </c>
      <c r="G28" s="69">
        <v>7</v>
      </c>
      <c r="H28" s="16" t="s">
        <v>371</v>
      </c>
      <c r="J28" s="26"/>
    </row>
    <row r="29" spans="3:10" outlineLevel="1" x14ac:dyDescent="0.2">
      <c r="F29" s="68" t="s">
        <v>367</v>
      </c>
      <c r="G29" s="37">
        <v>0.5</v>
      </c>
      <c r="H29" s="16" t="s">
        <v>372</v>
      </c>
      <c r="J29" s="26"/>
    </row>
    <row r="30" spans="3:10" outlineLevel="1" x14ac:dyDescent="0.2">
      <c r="J30" s="26"/>
    </row>
    <row r="31" spans="3:10" outlineLevel="1" x14ac:dyDescent="0.2">
      <c r="F31" s="68" t="s">
        <v>604</v>
      </c>
      <c r="G31" s="37">
        <v>0.55000000000000004</v>
      </c>
      <c r="H31" s="16" t="s">
        <v>605</v>
      </c>
      <c r="J31" s="26"/>
    </row>
    <row r="32" spans="3:10" outlineLevel="1" x14ac:dyDescent="0.2">
      <c r="J32" s="26"/>
    </row>
    <row r="33" spans="3:10" outlineLevel="1" x14ac:dyDescent="0.2">
      <c r="D33" t="str">
        <f>CHOOSE(db_ML_selected,'Liste Traduction'!B249,'Liste Traduction'!C249)</f>
        <v>Cost Oil garanti (COG)</v>
      </c>
      <c r="J33" s="26"/>
    </row>
    <row r="34" spans="3:10" outlineLevel="1" x14ac:dyDescent="0.2">
      <c r="D34" t="str">
        <f>CHOOSE(db_ML_selected,'Liste Traduction'!B250,'Liste Traduction'!C250)</f>
        <v>(% de la production brute @PF)</v>
      </c>
      <c r="F34" s="34" t="d">
        <f>effective_date_Nkossa2017</f>
        <v>2017-01-01</v>
      </c>
      <c r="G34" s="21">
        <v>0.4</v>
      </c>
      <c r="J34" s="26"/>
    </row>
    <row r="35" spans="3:10" outlineLevel="1" x14ac:dyDescent="0.2">
      <c r="F35" s="16" t="s">
        <v>83</v>
      </c>
      <c r="G35" s="16" t="s">
        <v>84</v>
      </c>
      <c r="J35" s="26"/>
    </row>
    <row r="36" spans="3:10" outlineLevel="1" x14ac:dyDescent="0.2">
      <c r="J36" s="26"/>
    </row>
    <row r="37" spans="3:10" outlineLevel="1" x14ac:dyDescent="0.2">
      <c r="J37" s="26"/>
    </row>
    <row r="38" spans="3:10" outlineLevel="1" x14ac:dyDescent="0.2">
      <c r="D38" t="str">
        <f>CHOOSE(db_ML_selected,'Liste Traduction'!B251,'Liste Traduction'!C251)</f>
        <v>Intérêts sur les coûts reportés</v>
      </c>
      <c r="G38" s="21">
        <v>0</v>
      </c>
      <c r="H38" s="16" t="s">
        <v>362</v>
      </c>
      <c r="J38" s="26"/>
    </row>
    <row r="39" spans="3:10" outlineLevel="1" x14ac:dyDescent="0.2">
      <c r="J39" s="26"/>
    </row>
    <row r="40" spans="3:10" outlineLevel="1" x14ac:dyDescent="0.2">
      <c r="J40" s="26"/>
    </row>
    <row r="41" spans="3:10" outlineLevel="1" x14ac:dyDescent="0.2">
      <c r="J41" s="26"/>
    </row>
    <row r="42" spans="3:10" outlineLevel="1" x14ac:dyDescent="0.2">
      <c r="C42" s="11" t="str">
        <f>CHOOSE(db_ML_selected,'Liste Traduction'!B43,'Liste Traduction'!C43)&amp;" (ECO)"</f>
        <v>Excess Cost Oil (ECO)</v>
      </c>
      <c r="F42" s="47" t="s">
        <v>75</v>
      </c>
      <c r="G42" s="80" t="s">
        <v>92</v>
      </c>
      <c r="H42" s="80" t="s">
        <v>93</v>
      </c>
      <c r="J42" s="26"/>
    </row>
    <row r="43" spans="3:10" outlineLevel="1" x14ac:dyDescent="0.2">
      <c r="F43" s="81" t="s">
        <v>606</v>
      </c>
      <c r="G43" s="81" t="s">
        <v>90</v>
      </c>
      <c r="H43" s="81" t="s">
        <v>90</v>
      </c>
      <c r="J43" s="26"/>
    </row>
    <row r="44" spans="3:10" outlineLevel="1" x14ac:dyDescent="0.2">
      <c r="F44" s="68">
        <v>1994</v>
      </c>
      <c r="G44" s="37">
        <v>0.63</v>
      </c>
      <c r="H44" s="41">
        <f>1-G44</f>
        <v>0.37</v>
      </c>
      <c r="J44" s="26"/>
    </row>
    <row r="45" spans="3:10" outlineLevel="1" x14ac:dyDescent="0.2">
      <c r="F45" s="68">
        <v>2017</v>
      </c>
      <c r="G45" s="37">
        <v>0.5</v>
      </c>
      <c r="H45" s="41">
        <f>1-G45</f>
        <v>0.5</v>
      </c>
      <c r="J45" s="26"/>
    </row>
    <row r="46" spans="3:10" outlineLevel="1" x14ac:dyDescent="0.2">
      <c r="F46" s="6"/>
      <c r="G46" s="16" t="s">
        <v>96</v>
      </c>
      <c r="H46" s="16" t="s">
        <v>97</v>
      </c>
      <c r="J46" s="26"/>
    </row>
    <row r="47" spans="3:10" outlineLevel="1" x14ac:dyDescent="0.2">
      <c r="J47" s="26"/>
    </row>
    <row r="48" spans="3:10" outlineLevel="1" x14ac:dyDescent="0.2">
      <c r="J48" s="26"/>
    </row>
    <row r="49" spans="3:10" outlineLevel="1" x14ac:dyDescent="0.2">
      <c r="C49" s="11" t="str">
        <f>CHOOSE(db_ML_selected,'Liste Traduction'!B253,'Liste Traduction'!C253)</f>
        <v>Super Profit Oil (SPO)</v>
      </c>
      <c r="F49" s="47" t="s">
        <v>75</v>
      </c>
      <c r="G49" s="80" t="s">
        <v>101</v>
      </c>
      <c r="H49" s="80" t="s">
        <v>102</v>
      </c>
      <c r="J49" s="26"/>
    </row>
    <row r="50" spans="3:10" outlineLevel="1" x14ac:dyDescent="0.2">
      <c r="D50" t="str">
        <f>CHOOSE(db_ML_selected,'Liste Traduction'!B254,'Liste Traduction'!C254)</f>
        <v>(applicable si PF&gt;PH)</v>
      </c>
      <c r="F50" s="81" t="s">
        <v>606</v>
      </c>
      <c r="G50" s="81" t="s">
        <v>90</v>
      </c>
      <c r="H50" s="81" t="s">
        <v>90</v>
      </c>
      <c r="J50" s="26"/>
    </row>
    <row r="51" spans="3:10" outlineLevel="1" x14ac:dyDescent="0.2">
      <c r="F51" s="68">
        <v>1994</v>
      </c>
      <c r="G51" s="37">
        <v>0.85</v>
      </c>
      <c r="H51" s="41">
        <f>1-G51</f>
        <v>0.15000000000000002</v>
      </c>
      <c r="J51" s="26"/>
    </row>
    <row r="52" spans="3:10" outlineLevel="1" x14ac:dyDescent="0.2">
      <c r="F52" s="68">
        <v>2017</v>
      </c>
      <c r="G52" s="37">
        <v>0.66</v>
      </c>
      <c r="H52" s="41">
        <f>1-G52</f>
        <v>0.33999999999999997</v>
      </c>
      <c r="J52" s="26"/>
    </row>
    <row r="53" spans="3:10" outlineLevel="1" x14ac:dyDescent="0.2">
      <c r="G53" s="16" t="s">
        <v>104</v>
      </c>
      <c r="H53" s="16" t="s">
        <v>105</v>
      </c>
      <c r="J53" s="26"/>
    </row>
    <row r="54" spans="3:10" outlineLevel="1" x14ac:dyDescent="0.2">
      <c r="J54" s="26"/>
    </row>
    <row r="55" spans="3:10" outlineLevel="1" x14ac:dyDescent="0.2">
      <c r="D55" t="str">
        <f>CHOOSE(db_ML_selected,'Liste Traduction'!B255,'Liste Traduction'!C255)</f>
        <v>Base SPO (2017)</v>
      </c>
      <c r="F55" t="s">
        <v>608</v>
      </c>
      <c r="J55" s="26"/>
    </row>
    <row r="56" spans="3:10" outlineLevel="1" x14ac:dyDescent="0.2">
      <c r="J56" s="26"/>
    </row>
    <row r="57" spans="3:10" outlineLevel="1" x14ac:dyDescent="0.2">
      <c r="J57" s="26"/>
    </row>
    <row r="58" spans="3:10" outlineLevel="1" x14ac:dyDescent="0.2">
      <c r="C58" s="11" t="str">
        <f>CHOOSE(db_ML_selected,'Liste Traduction'!B256,'Liste Traduction'!C256)</f>
        <v>Partage du profit</v>
      </c>
      <c r="F58" s="80" t="s">
        <v>377</v>
      </c>
      <c r="G58" s="80" t="s">
        <v>378</v>
      </c>
      <c r="J58" s="26"/>
    </row>
    <row r="59" spans="3:10" outlineLevel="1" x14ac:dyDescent="0.2">
      <c r="F59" s="81" t="s">
        <v>90</v>
      </c>
      <c r="G59" s="81" t="s">
        <v>90</v>
      </c>
      <c r="J59" s="26"/>
    </row>
    <row r="60" spans="3:10" outlineLevel="1" x14ac:dyDescent="0.2">
      <c r="F60" s="37">
        <v>0.5</v>
      </c>
      <c r="G60" s="41">
        <f>1-F60</f>
        <v>0.5</v>
      </c>
      <c r="J60" s="26"/>
    </row>
    <row r="61" spans="3:10" outlineLevel="1" x14ac:dyDescent="0.2">
      <c r="F61" s="16" t="s">
        <v>379</v>
      </c>
      <c r="G61" s="16" t="s">
        <v>380</v>
      </c>
      <c r="J61" s="26"/>
    </row>
    <row r="62" spans="3:10" outlineLevel="1" x14ac:dyDescent="0.2">
      <c r="J62" s="26"/>
    </row>
    <row r="63" spans="3:10" outlineLevel="1" x14ac:dyDescent="0.2">
      <c r="J63" s="26"/>
    </row>
    <row r="64" spans="3:10" outlineLevel="1" x14ac:dyDescent="0.2">
      <c r="J64" s="26"/>
    </row>
    <row r="65" spans="1:93" outlineLevel="1" x14ac:dyDescent="0.2">
      <c r="C65" s="11" t="str">
        <f>CHOOSE(db_ML_selected,'Liste Traduction'!B257,'Liste Traduction'!C257)</f>
        <v>Prix fiscal spécifique</v>
      </c>
      <c r="F65" s="38" t="s">
        <v>75</v>
      </c>
      <c r="G65" s="81" t="s">
        <v>46</v>
      </c>
      <c r="J65" s="26"/>
    </row>
    <row r="66" spans="1:93" outlineLevel="1" x14ac:dyDescent="0.2">
      <c r="D66" t="str">
        <f>CHOOSE(db_ML_selected,'Liste Traduction'!B258,'Liste Traduction'!C258)</f>
        <v>Prix Haut (PH)</v>
      </c>
      <c r="F66" s="36" t="d">
        <v>1994-01-01</v>
      </c>
      <c r="G66" s="43">
        <v>22</v>
      </c>
      <c r="J66" s="26"/>
    </row>
    <row r="67" spans="1:93" outlineLevel="1" x14ac:dyDescent="0.2">
      <c r="F67" s="36" t="d">
        <v>2015-01-01</v>
      </c>
      <c r="G67" s="43">
        <v>65</v>
      </c>
      <c r="J67" s="26"/>
    </row>
    <row r="68" spans="1:93" outlineLevel="1" x14ac:dyDescent="0.2">
      <c r="F68" s="16" t="s">
        <v>112</v>
      </c>
      <c r="G68" s="16" t="s">
        <v>113</v>
      </c>
      <c r="J68" s="26"/>
    </row>
    <row r="69" spans="1:93" outlineLevel="1" x14ac:dyDescent="0.2">
      <c r="J69" s="26"/>
    </row>
    <row r="70" spans="1:93" outlineLevel="1" x14ac:dyDescent="0.2">
      <c r="J70" s="26"/>
    </row>
    <row r="71" spans="1:93" ht="16" thickBot="1" x14ac:dyDescent="0.25">
      <c r="J71" s="26"/>
    </row>
    <row r="72" spans="1:93" ht="22" thickBot="1" x14ac:dyDescent="0.25">
      <c r="A72" s="8"/>
      <c r="B72" s="221" t="str">
        <f>CHOOSE(db_ML_selected,'Liste Traduction'!B259,'Liste Traduction'!C259)</f>
        <v>Détails propriété</v>
      </c>
      <c r="C72" s="222"/>
      <c r="D72" s="222"/>
      <c r="E72" s="223"/>
      <c r="F72" s="9"/>
      <c r="G72" s="9"/>
      <c r="H72" s="9"/>
      <c r="I72" s="9"/>
      <c r="J72" s="48"/>
      <c r="K72" s="10"/>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row>
    <row r="73" spans="1:93" outlineLevel="1" x14ac:dyDescent="0.2">
      <c r="J73" s="26"/>
    </row>
    <row r="74" spans="1:93" outlineLevel="1" x14ac:dyDescent="0.2">
      <c r="C74" s="11" t="str">
        <f>CHOOSE(db_ML_selected,'Liste Traduction'!B260,'Liste Traduction'!C260)</f>
        <v>Participation de l'État</v>
      </c>
      <c r="J74" s="26"/>
    </row>
    <row r="75" spans="1:93" outlineLevel="1" x14ac:dyDescent="0.2">
      <c r="D75" t="str">
        <f>CHOOSE(db_ML_selected,'Liste Traduction'!B261,'Liste Traduction'!C261)</f>
        <v>Participation de la compagnie nationale (SNPC)</v>
      </c>
      <c r="G75" s="37">
        <v>0.15</v>
      </c>
      <c r="H75" s="16" t="s">
        <v>118</v>
      </c>
      <c r="J75" s="26"/>
    </row>
    <row r="76" spans="1:93" outlineLevel="1" x14ac:dyDescent="0.2">
      <c r="D76" t="str">
        <f>CHOOSE(db_ML_selected,'Liste Traduction'!B262,'Liste Traduction'!C262)</f>
        <v>Consortium compagnie pétrolières internationales</v>
      </c>
      <c r="G76" s="37">
        <v>0.85</v>
      </c>
      <c r="H76" s="16" t="s">
        <v>120</v>
      </c>
      <c r="J76" s="26"/>
    </row>
    <row r="77" spans="1:93" outlineLevel="1" x14ac:dyDescent="0.2">
      <c r="J77" s="26"/>
    </row>
    <row r="78" spans="1:93" outlineLevel="1" x14ac:dyDescent="0.2">
      <c r="D78" t="str">
        <f>CHOOSE(db_ML_selected,'Liste Traduction'!B263,'Liste Traduction'!C263)</f>
        <v>La compagnie nationale fait-elle partie du groupe contracteur ?</v>
      </c>
      <c r="G78" s="44">
        <v>0</v>
      </c>
      <c r="H78" s="16" t="s">
        <v>119</v>
      </c>
      <c r="J78" s="26"/>
    </row>
    <row r="79" spans="1:93" outlineLevel="1" x14ac:dyDescent="0.2">
      <c r="J79" s="26"/>
    </row>
    <row r="80" spans="1:93" outlineLevel="1" x14ac:dyDescent="0.2">
      <c r="J80" s="26"/>
    </row>
    <row r="81" spans="3:10" outlineLevel="1" x14ac:dyDescent="0.2">
      <c r="C81" s="11" t="str">
        <f>CHOOSE(db_ML_selected,'Liste Traduction'!B264,'Liste Traduction'!C264)</f>
        <v>Intérêt porté</v>
      </c>
      <c r="H81" s="38" t="s">
        <v>323</v>
      </c>
      <c r="J81" s="26"/>
    </row>
    <row r="82" spans="3:10" outlineLevel="1" x14ac:dyDescent="0.2">
      <c r="D82" t="str">
        <f>CHOOSE(db_ML_selected,'Liste Traduction'!B265,'Liste Traduction'!C265)</f>
        <v>Intérêt porté compagnie nationale - Exploration et évaluation</v>
      </c>
      <c r="F82" s="41">
        <f>NOC_WI_perc</f>
        <v>0.15</v>
      </c>
      <c r="G82" s="16" t="s">
        <v>319</v>
      </c>
      <c r="H82" s="44">
        <v>0</v>
      </c>
      <c r="I82" s="16" t="s">
        <v>324</v>
      </c>
      <c r="J82" s="26"/>
    </row>
    <row r="83" spans="3:10" outlineLevel="1" x14ac:dyDescent="0.2">
      <c r="D83" t="str">
        <f>CHOOSE(db_ML_selected,'Liste Traduction'!B266,'Liste Traduction'!C266)</f>
        <v>Intérêt porté compagnie nationale  - Coûts développement</v>
      </c>
      <c r="F83" s="41">
        <f>NOC_WI_perc</f>
        <v>0.15</v>
      </c>
      <c r="G83" s="16" t="s">
        <v>320</v>
      </c>
      <c r="H83" s="44">
        <v>1</v>
      </c>
      <c r="I83" s="16" t="s">
        <v>325</v>
      </c>
      <c r="J83" s="26"/>
    </row>
    <row r="84" spans="3:10" outlineLevel="1" x14ac:dyDescent="0.2">
      <c r="D84" t="str">
        <f>CHOOSE(db_ML_selected,'Liste Traduction'!B267,'Liste Traduction'!C267)</f>
        <v>Intérêt porté compagnie nationale - Opex</v>
      </c>
      <c r="F84" s="41"/>
      <c r="G84" s="16" t="s">
        <v>322</v>
      </c>
      <c r="H84" s="44">
        <v>0</v>
      </c>
      <c r="I84" s="16" t="s">
        <v>326</v>
      </c>
      <c r="J84" s="26"/>
    </row>
    <row r="85" spans="3:10" outlineLevel="1" x14ac:dyDescent="0.2">
      <c r="J85" s="26"/>
    </row>
    <row r="86" spans="3:10" outlineLevel="1" x14ac:dyDescent="0.2">
      <c r="J86" s="26"/>
    </row>
    <row r="87" spans="3:10" outlineLevel="1" x14ac:dyDescent="0.2">
      <c r="C87" s="11" t="str">
        <f>CHOOSE(db_ML_selected,'Liste Traduction'!B268,'Liste Traduction'!C268)</f>
        <v>Remboursement du portage</v>
      </c>
      <c r="G87" s="37">
        <v>0.75</v>
      </c>
      <c r="H87" s="16" t="s">
        <v>329</v>
      </c>
      <c r="J87" s="26"/>
    </row>
    <row r="88" spans="3:10" outlineLevel="1" x14ac:dyDescent="0.2">
      <c r="C88" t="str">
        <f>CHOOSE(db_ML_selected,'Liste Traduction'!B269,'Liste Traduction'!C269)</f>
        <v>(% des droits de l'État disponible pour le remboursement)</v>
      </c>
      <c r="J88" s="26"/>
    </row>
    <row r="89" spans="3:10" outlineLevel="1" x14ac:dyDescent="0.2">
      <c r="J89" s="26"/>
    </row>
    <row r="90" spans="3:10" outlineLevel="1" x14ac:dyDescent="0.2">
      <c r="J90" s="26"/>
    </row>
    <row r="91" spans="3:10" outlineLevel="1" x14ac:dyDescent="0.2">
      <c r="J91" s="26"/>
    </row>
    <row r="92" spans="3:10" outlineLevel="1" x14ac:dyDescent="0.2">
      <c r="J92" s="26"/>
    </row>
    <row r="93" spans="3:10" outlineLevel="1" x14ac:dyDescent="0.2">
      <c r="J93" s="26"/>
    </row>
    <row r="94" spans="3:10" outlineLevel="1" x14ac:dyDescent="0.2">
      <c r="J94" s="26"/>
    </row>
    <row r="95" spans="3:10" outlineLevel="1" x14ac:dyDescent="0.2">
      <c r="J95" s="26"/>
    </row>
    <row r="96" spans="3:10" outlineLevel="1" x14ac:dyDescent="0.2">
      <c r="J96" s="26"/>
    </row>
    <row r="97" spans="1:93" outlineLevel="1" x14ac:dyDescent="0.2">
      <c r="J97" s="26"/>
    </row>
    <row r="98" spans="1:93" outlineLevel="1" x14ac:dyDescent="0.2">
      <c r="J98" s="26"/>
    </row>
    <row r="99" spans="1:93" outlineLevel="1" x14ac:dyDescent="0.2">
      <c r="J99" s="26"/>
    </row>
    <row r="100" spans="1:93" outlineLevel="1" x14ac:dyDescent="0.2">
      <c r="J100" s="26"/>
    </row>
    <row r="101" spans="1:93" outlineLevel="1" x14ac:dyDescent="0.2">
      <c r="J101" s="26"/>
    </row>
    <row r="102" spans="1:93" outlineLevel="1" x14ac:dyDescent="0.2">
      <c r="J102" s="26"/>
    </row>
    <row r="103" spans="1:93" outlineLevel="1" x14ac:dyDescent="0.2">
      <c r="J103" s="26"/>
    </row>
    <row r="104" spans="1:93" outlineLevel="1" x14ac:dyDescent="0.2">
      <c r="J104" s="26"/>
    </row>
    <row r="105" spans="1:93" outlineLevel="1" x14ac:dyDescent="0.2">
      <c r="J105" s="26"/>
    </row>
    <row r="106" spans="1:93" outlineLevel="1" x14ac:dyDescent="0.2">
      <c r="J106" s="26"/>
    </row>
    <row r="107" spans="1:93" outlineLevel="1" x14ac:dyDescent="0.2">
      <c r="J107" s="26"/>
    </row>
    <row r="108" spans="1:93" outlineLevel="1" x14ac:dyDescent="0.2">
      <c r="J108" s="26"/>
    </row>
    <row r="109" spans="1:93" x14ac:dyDescent="0.2">
      <c r="J109" s="26"/>
    </row>
    <row r="110" spans="1:93" ht="16" thickBot="1" x14ac:dyDescent="0.25">
      <c r="J110" s="26"/>
    </row>
    <row r="111" spans="1:93" ht="22" thickBot="1" x14ac:dyDescent="0.25">
      <c r="A111" s="8"/>
      <c r="B111" s="221" t="str">
        <f>CHOOSE(db_ML_selected,'Liste Traduction'!B270,'Liste Traduction'!C270)</f>
        <v>Calculs</v>
      </c>
      <c r="C111" s="222"/>
      <c r="D111" s="222"/>
      <c r="E111" s="223"/>
      <c r="F111" s="9"/>
      <c r="G111" s="9"/>
      <c r="H111" s="9"/>
      <c r="I111" s="9"/>
      <c r="J111" s="48"/>
      <c r="K111" s="10"/>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row>
    <row r="112" spans="1:93" outlineLevel="1" x14ac:dyDescent="0.2">
      <c r="J112" s="26"/>
    </row>
    <row r="113" spans="1:93" outlineLevel="1" x14ac:dyDescent="0.2">
      <c r="A113" s="45"/>
      <c r="B113" s="38" t="str">
        <f>CHOOSE(db_ML_selected,'Liste Traduction'!B271,'Liste Traduction'!C271)</f>
        <v>Production et volumes</v>
      </c>
      <c r="C113" s="45"/>
      <c r="D113" s="45"/>
      <c r="E113" s="45"/>
      <c r="J113" s="26"/>
    </row>
    <row r="114" spans="1:93" outlineLevel="1" x14ac:dyDescent="0.2">
      <c r="J114" s="26"/>
    </row>
    <row r="115" spans="1:93" outlineLevel="1" x14ac:dyDescent="0.2">
      <c r="C115" s="11" t="str">
        <f>CHOOSE(db_ML_selected,'Liste Traduction'!B272,'Liste Traduction'!C272)</f>
        <v>Volumes Production brute</v>
      </c>
      <c r="J115" s="26"/>
    </row>
    <row r="116" spans="1:93" outlineLevel="1" x14ac:dyDescent="0.2">
      <c r="D116" t="str">
        <f>CHOOSE(db_ML_selected,'Liste Traduction'!B16,'Liste Traduction'!C16)</f>
        <v>Pétrole</v>
      </c>
      <c r="I116" s="30">
        <f ca="1">SUM($L116:$BS116)</f>
        <v>68.124104999340148</v>
      </c>
      <c r="J116" s="26" t="s">
        <v>42</v>
      </c>
      <c r="K116" s="7" t="s">
        <v>131</v>
      </c>
      <c r="L116" s="49">
        <f t="shared" ref="L116:AQ116" ca="1" si="0">OFFSET(_xlfn.SINGLE(IA_prod_oil),2,)</f>
        <v>7.274601209000001</v>
      </c>
      <c r="M116" s="49">
        <f t="shared" ca="1" si="0"/>
        <v>8.4740681769999995</v>
      </c>
      <c r="N116" s="49">
        <f t="shared" ca="1" si="0"/>
        <v>7.8323114849999991</v>
      </c>
      <c r="O116" s="49">
        <f t="shared" ca="1" si="0"/>
        <v>7.2717980000000004</v>
      </c>
      <c r="P116" s="49">
        <f t="shared" ca="1" si="0"/>
        <v>6.7108840000000001</v>
      </c>
      <c r="Q116" s="49">
        <f t="shared" ca="1" si="0"/>
        <v>6.1973960000000003</v>
      </c>
      <c r="R116" s="49">
        <f t="shared" ca="1" si="0"/>
        <v>5.272779549</v>
      </c>
      <c r="S116" s="49">
        <f t="shared" ca="1" si="0"/>
        <v>3.7854999999999999</v>
      </c>
      <c r="T116" s="49">
        <f t="shared" ca="1" si="0"/>
        <v>3.5205149999999996</v>
      </c>
      <c r="U116" s="49">
        <f t="shared" ca="1" si="0"/>
        <v>3.2740789499999994</v>
      </c>
      <c r="V116" s="49">
        <f t="shared" ca="1" si="0"/>
        <v>3.0448934234999991</v>
      </c>
      <c r="W116" s="49">
        <f t="shared" ca="1" si="0"/>
        <v>2.831750883854999</v>
      </c>
      <c r="X116" s="49">
        <f t="shared" ca="1" si="0"/>
        <v>2.6335283219851489</v>
      </c>
      <c r="Y116" s="49">
        <f t="shared" ca="1" si="0"/>
        <v>0</v>
      </c>
      <c r="Z116" s="49">
        <f t="shared" ca="1" si="0"/>
        <v>0</v>
      </c>
      <c r="AA116" s="49">
        <f t="shared" ca="1" si="0"/>
        <v>0</v>
      </c>
      <c r="AB116" s="49">
        <f t="shared" ca="1" si="0"/>
        <v>0</v>
      </c>
      <c r="AC116" s="49">
        <f t="shared" ca="1" si="0"/>
        <v>0</v>
      </c>
      <c r="AD116" s="49">
        <f t="shared" ca="1" si="0"/>
        <v>0</v>
      </c>
      <c r="AE116" s="49">
        <f t="shared" ca="1" si="0"/>
        <v>0</v>
      </c>
      <c r="AF116" s="49">
        <f t="shared" ca="1" si="0"/>
        <v>0</v>
      </c>
      <c r="AG116" s="49">
        <f t="shared" ca="1" si="0"/>
        <v>0</v>
      </c>
      <c r="AH116" s="49">
        <f t="shared" ca="1" si="0"/>
        <v>0</v>
      </c>
      <c r="AI116" s="49">
        <f t="shared" ca="1" si="0"/>
        <v>0</v>
      </c>
      <c r="AJ116" s="49">
        <f t="shared" ca="1" si="0"/>
        <v>0</v>
      </c>
      <c r="AK116" s="49">
        <f t="shared" ca="1" si="0"/>
        <v>0</v>
      </c>
      <c r="AL116" s="49">
        <f t="shared" ca="1" si="0"/>
        <v>0</v>
      </c>
      <c r="AM116" s="49">
        <f t="shared" ca="1" si="0"/>
        <v>0</v>
      </c>
      <c r="AN116" s="49">
        <f t="shared" ca="1" si="0"/>
        <v>0</v>
      </c>
      <c r="AO116" s="49">
        <f t="shared" ca="1" si="0"/>
        <v>0</v>
      </c>
      <c r="AP116" s="49">
        <f t="shared" ca="1" si="0"/>
        <v>0</v>
      </c>
      <c r="AQ116" s="49">
        <f t="shared" ca="1" si="0"/>
        <v>0</v>
      </c>
      <c r="AR116" s="49">
        <f t="shared" ref="AR116:BS116" ca="1" si="1">OFFSET(_xlfn.SINGLE(IA_prod_oil),2,)</f>
        <v>0</v>
      </c>
      <c r="AS116" s="49">
        <f t="shared" ca="1" si="1"/>
        <v>0</v>
      </c>
      <c r="AT116" s="49">
        <f t="shared" ca="1" si="1"/>
        <v>0</v>
      </c>
      <c r="AU116" s="49">
        <f t="shared" ca="1" si="1"/>
        <v>0</v>
      </c>
      <c r="AV116" s="49">
        <f t="shared" ca="1" si="1"/>
        <v>0</v>
      </c>
      <c r="AW116" s="49">
        <f t="shared" ca="1" si="1"/>
        <v>0</v>
      </c>
      <c r="AX116" s="49">
        <f t="shared" ca="1" si="1"/>
        <v>0</v>
      </c>
      <c r="AY116" s="49">
        <f t="shared" ca="1" si="1"/>
        <v>0</v>
      </c>
      <c r="AZ116" s="49">
        <f t="shared" ca="1" si="1"/>
        <v>0</v>
      </c>
      <c r="BA116" s="49">
        <f t="shared" ca="1" si="1"/>
        <v>0</v>
      </c>
      <c r="BB116" s="49">
        <f t="shared" ca="1" si="1"/>
        <v>0</v>
      </c>
      <c r="BC116" s="49">
        <f t="shared" ca="1" si="1"/>
        <v>0</v>
      </c>
      <c r="BD116" s="49">
        <f t="shared" ca="1" si="1"/>
        <v>0</v>
      </c>
      <c r="BE116" s="49">
        <f t="shared" ca="1" si="1"/>
        <v>0</v>
      </c>
      <c r="BF116" s="49">
        <f t="shared" ca="1" si="1"/>
        <v>0</v>
      </c>
      <c r="BG116" s="49">
        <f t="shared" ca="1" si="1"/>
        <v>0</v>
      </c>
      <c r="BH116" s="49">
        <f t="shared" ca="1" si="1"/>
        <v>0</v>
      </c>
      <c r="BI116" s="49">
        <f t="shared" ca="1" si="1"/>
        <v>0</v>
      </c>
      <c r="BJ116" s="49">
        <f t="shared" ca="1" si="1"/>
        <v>0</v>
      </c>
      <c r="BK116" s="49">
        <f t="shared" ca="1" si="1"/>
        <v>0</v>
      </c>
      <c r="BL116" s="49">
        <f t="shared" ca="1" si="1"/>
        <v>0</v>
      </c>
      <c r="BM116" s="49">
        <f t="shared" ca="1" si="1"/>
        <v>0</v>
      </c>
      <c r="BN116" s="49">
        <f t="shared" ca="1" si="1"/>
        <v>0</v>
      </c>
      <c r="BO116" s="49">
        <f t="shared" ca="1" si="1"/>
        <v>0</v>
      </c>
      <c r="BP116" s="49">
        <f t="shared" ca="1" si="1"/>
        <v>0</v>
      </c>
      <c r="BQ116" s="49">
        <f t="shared" ca="1" si="1"/>
        <v>0</v>
      </c>
      <c r="BR116" s="49">
        <f t="shared" ca="1" si="1"/>
        <v>0</v>
      </c>
      <c r="BS116" s="49">
        <f t="shared" ca="1" si="1"/>
        <v>0</v>
      </c>
    </row>
    <row r="117" spans="1:93" outlineLevel="1" x14ac:dyDescent="0.2">
      <c r="D117" t="str">
        <f>CHOOSE(db_ML_selected,"LPG","GPL")</f>
        <v>GPL</v>
      </c>
      <c r="I117" s="30">
        <f ca="1">SUM($L117:$BS117)</f>
        <v>16.227623900042467</v>
      </c>
      <c r="J117" s="26" t="s">
        <v>42</v>
      </c>
      <c r="K117" s="7" t="s">
        <v>684</v>
      </c>
      <c r="L117" s="49">
        <f t="shared" ref="L117:AQ117" ca="1" si="2">OFFSET(_xlfn.SINGLE(IA_prod_lpg),2,)</f>
        <v>1.354833679</v>
      </c>
      <c r="M117" s="49">
        <f t="shared" ca="1" si="2"/>
        <v>1.6326633289999999</v>
      </c>
      <c r="N117" s="49">
        <f t="shared" ca="1" si="2"/>
        <v>1.7607394579999998</v>
      </c>
      <c r="O117" s="49">
        <f t="shared" ca="1" si="2"/>
        <v>1.778799</v>
      </c>
      <c r="P117" s="49">
        <f t="shared" ca="1" si="2"/>
        <v>1.3657919999999999</v>
      </c>
      <c r="Q117" s="49">
        <f t="shared" ca="1" si="2"/>
        <v>0.98260499999999995</v>
      </c>
      <c r="R117" s="49">
        <f t="shared" ca="1" si="2"/>
        <v>1.1598949520000001</v>
      </c>
      <c r="S117" s="49">
        <f t="shared" ca="1" si="2"/>
        <v>1.2279</v>
      </c>
      <c r="T117" s="49">
        <f t="shared" ca="1" si="2"/>
        <v>1.1419469999999998</v>
      </c>
      <c r="U117" s="49">
        <f t="shared" ca="1" si="2"/>
        <v>1.0620107099999998</v>
      </c>
      <c r="V117" s="49">
        <f t="shared" ca="1" si="2"/>
        <v>0.98766996029999976</v>
      </c>
      <c r="W117" s="49">
        <f t="shared" ca="1" si="2"/>
        <v>0.91853306307899973</v>
      </c>
      <c r="X117" s="49">
        <f t="shared" ca="1" si="2"/>
        <v>0.85423574866346974</v>
      </c>
      <c r="Y117" s="49">
        <f t="shared" ca="1" si="2"/>
        <v>0</v>
      </c>
      <c r="Z117" s="49">
        <f t="shared" ca="1" si="2"/>
        <v>0</v>
      </c>
      <c r="AA117" s="49">
        <f t="shared" ca="1" si="2"/>
        <v>0</v>
      </c>
      <c r="AB117" s="49">
        <f t="shared" ca="1" si="2"/>
        <v>0</v>
      </c>
      <c r="AC117" s="49">
        <f t="shared" ca="1" si="2"/>
        <v>0</v>
      </c>
      <c r="AD117" s="49">
        <f t="shared" ca="1" si="2"/>
        <v>0</v>
      </c>
      <c r="AE117" s="49">
        <f t="shared" ca="1" si="2"/>
        <v>0</v>
      </c>
      <c r="AF117" s="49">
        <f t="shared" ca="1" si="2"/>
        <v>0</v>
      </c>
      <c r="AG117" s="49">
        <f t="shared" ca="1" si="2"/>
        <v>0</v>
      </c>
      <c r="AH117" s="49">
        <f t="shared" ca="1" si="2"/>
        <v>0</v>
      </c>
      <c r="AI117" s="49">
        <f t="shared" ca="1" si="2"/>
        <v>0</v>
      </c>
      <c r="AJ117" s="49">
        <f t="shared" ca="1" si="2"/>
        <v>0</v>
      </c>
      <c r="AK117" s="49">
        <f t="shared" ca="1" si="2"/>
        <v>0</v>
      </c>
      <c r="AL117" s="49">
        <f t="shared" ca="1" si="2"/>
        <v>0</v>
      </c>
      <c r="AM117" s="49">
        <f t="shared" ca="1" si="2"/>
        <v>0</v>
      </c>
      <c r="AN117" s="49">
        <f t="shared" ca="1" si="2"/>
        <v>0</v>
      </c>
      <c r="AO117" s="49">
        <f t="shared" ca="1" si="2"/>
        <v>0</v>
      </c>
      <c r="AP117" s="49">
        <f t="shared" ca="1" si="2"/>
        <v>0</v>
      </c>
      <c r="AQ117" s="49">
        <f t="shared" ca="1" si="2"/>
        <v>0</v>
      </c>
      <c r="AR117" s="49">
        <f t="shared" ref="AR117:BS117" ca="1" si="3">OFFSET(_xlfn.SINGLE(IA_prod_lpg),2,)</f>
        <v>0</v>
      </c>
      <c r="AS117" s="49">
        <f t="shared" ca="1" si="3"/>
        <v>0</v>
      </c>
      <c r="AT117" s="49">
        <f t="shared" ca="1" si="3"/>
        <v>0</v>
      </c>
      <c r="AU117" s="49">
        <f t="shared" ca="1" si="3"/>
        <v>0</v>
      </c>
      <c r="AV117" s="49">
        <f t="shared" ca="1" si="3"/>
        <v>0</v>
      </c>
      <c r="AW117" s="49">
        <f t="shared" ca="1" si="3"/>
        <v>0</v>
      </c>
      <c r="AX117" s="49">
        <f t="shared" ca="1" si="3"/>
        <v>0</v>
      </c>
      <c r="AY117" s="49">
        <f t="shared" ca="1" si="3"/>
        <v>0</v>
      </c>
      <c r="AZ117" s="49">
        <f t="shared" ca="1" si="3"/>
        <v>0</v>
      </c>
      <c r="BA117" s="49">
        <f t="shared" ca="1" si="3"/>
        <v>0</v>
      </c>
      <c r="BB117" s="49">
        <f t="shared" ca="1" si="3"/>
        <v>0</v>
      </c>
      <c r="BC117" s="49">
        <f t="shared" ca="1" si="3"/>
        <v>0</v>
      </c>
      <c r="BD117" s="49">
        <f t="shared" ca="1" si="3"/>
        <v>0</v>
      </c>
      <c r="BE117" s="49">
        <f t="shared" ca="1" si="3"/>
        <v>0</v>
      </c>
      <c r="BF117" s="49">
        <f t="shared" ca="1" si="3"/>
        <v>0</v>
      </c>
      <c r="BG117" s="49">
        <f t="shared" ca="1" si="3"/>
        <v>0</v>
      </c>
      <c r="BH117" s="49">
        <f t="shared" ca="1" si="3"/>
        <v>0</v>
      </c>
      <c r="BI117" s="49">
        <f t="shared" ca="1" si="3"/>
        <v>0</v>
      </c>
      <c r="BJ117" s="49">
        <f t="shared" ca="1" si="3"/>
        <v>0</v>
      </c>
      <c r="BK117" s="49">
        <f t="shared" ca="1" si="3"/>
        <v>0</v>
      </c>
      <c r="BL117" s="49">
        <f t="shared" ca="1" si="3"/>
        <v>0</v>
      </c>
      <c r="BM117" s="49">
        <f t="shared" ca="1" si="3"/>
        <v>0</v>
      </c>
      <c r="BN117" s="49">
        <f t="shared" ca="1" si="3"/>
        <v>0</v>
      </c>
      <c r="BO117" s="49">
        <f t="shared" ca="1" si="3"/>
        <v>0</v>
      </c>
      <c r="BP117" s="49">
        <f t="shared" ca="1" si="3"/>
        <v>0</v>
      </c>
      <c r="BQ117" s="49">
        <f t="shared" ca="1" si="3"/>
        <v>0</v>
      </c>
      <c r="BR117" s="49">
        <f t="shared" ca="1" si="3"/>
        <v>0</v>
      </c>
      <c r="BS117" s="49">
        <f t="shared" ca="1" si="3"/>
        <v>0</v>
      </c>
    </row>
    <row r="118" spans="1:93" outlineLevel="1" x14ac:dyDescent="0.2">
      <c r="D118" t="str">
        <f>CHOOSE(db_ML_selected,'Liste Traduction'!B18,'Liste Traduction'!C18)</f>
        <v>Gaz</v>
      </c>
      <c r="I118" s="46">
        <f ca="1">SUM($L118:$BS118)</f>
        <v>0</v>
      </c>
      <c r="J118" s="26" t="s">
        <v>653</v>
      </c>
      <c r="K118" s="7" t="s">
        <v>132</v>
      </c>
      <c r="L118" s="54">
        <f t="shared" ref="L118:AQ118" ca="1" si="4">OFFSET(_xlfn.SINGLE(IA_prod_gas),2,)</f>
        <v>0</v>
      </c>
      <c r="M118" s="54">
        <f t="shared" ca="1" si="4"/>
        <v>0</v>
      </c>
      <c r="N118" s="54">
        <f t="shared" ca="1" si="4"/>
        <v>0</v>
      </c>
      <c r="O118" s="54">
        <f t="shared" ca="1" si="4"/>
        <v>0</v>
      </c>
      <c r="P118" s="54">
        <f t="shared" ca="1" si="4"/>
        <v>0</v>
      </c>
      <c r="Q118" s="54">
        <f t="shared" ca="1" si="4"/>
        <v>0</v>
      </c>
      <c r="R118" s="54">
        <f t="shared" ca="1" si="4"/>
        <v>0</v>
      </c>
      <c r="S118" s="54">
        <f t="shared" ca="1" si="4"/>
        <v>0</v>
      </c>
      <c r="T118" s="54">
        <f t="shared" ca="1" si="4"/>
        <v>0</v>
      </c>
      <c r="U118" s="54">
        <f t="shared" ca="1" si="4"/>
        <v>0</v>
      </c>
      <c r="V118" s="54">
        <f t="shared" ca="1" si="4"/>
        <v>0</v>
      </c>
      <c r="W118" s="54">
        <f t="shared" ca="1" si="4"/>
        <v>0</v>
      </c>
      <c r="X118" s="54">
        <f t="shared" ca="1" si="4"/>
        <v>0</v>
      </c>
      <c r="Y118" s="54">
        <f t="shared" ca="1" si="4"/>
        <v>0</v>
      </c>
      <c r="Z118" s="54">
        <f t="shared" ca="1" si="4"/>
        <v>0</v>
      </c>
      <c r="AA118" s="54">
        <f t="shared" ca="1" si="4"/>
        <v>0</v>
      </c>
      <c r="AB118" s="54">
        <f t="shared" ca="1" si="4"/>
        <v>0</v>
      </c>
      <c r="AC118" s="54">
        <f t="shared" ca="1" si="4"/>
        <v>0</v>
      </c>
      <c r="AD118" s="54">
        <f t="shared" ca="1" si="4"/>
        <v>0</v>
      </c>
      <c r="AE118" s="54">
        <f t="shared" ca="1" si="4"/>
        <v>0</v>
      </c>
      <c r="AF118" s="54">
        <f t="shared" ca="1" si="4"/>
        <v>0</v>
      </c>
      <c r="AG118" s="54">
        <f t="shared" ca="1" si="4"/>
        <v>0</v>
      </c>
      <c r="AH118" s="54">
        <f t="shared" ca="1" si="4"/>
        <v>0</v>
      </c>
      <c r="AI118" s="54">
        <f t="shared" ca="1" si="4"/>
        <v>0</v>
      </c>
      <c r="AJ118" s="54">
        <f t="shared" ca="1" si="4"/>
        <v>0</v>
      </c>
      <c r="AK118" s="54">
        <f t="shared" ca="1" si="4"/>
        <v>0</v>
      </c>
      <c r="AL118" s="54">
        <f t="shared" ca="1" si="4"/>
        <v>0</v>
      </c>
      <c r="AM118" s="54">
        <f t="shared" ca="1" si="4"/>
        <v>0</v>
      </c>
      <c r="AN118" s="54">
        <f t="shared" ca="1" si="4"/>
        <v>0</v>
      </c>
      <c r="AO118" s="54">
        <f t="shared" ca="1" si="4"/>
        <v>0</v>
      </c>
      <c r="AP118" s="54">
        <f t="shared" ca="1" si="4"/>
        <v>0</v>
      </c>
      <c r="AQ118" s="54">
        <f t="shared" ca="1" si="4"/>
        <v>0</v>
      </c>
      <c r="AR118" s="54">
        <f t="shared" ref="AR118:BS118" ca="1" si="5">OFFSET(_xlfn.SINGLE(IA_prod_gas),2,)</f>
        <v>0</v>
      </c>
      <c r="AS118" s="54">
        <f t="shared" ca="1" si="5"/>
        <v>0</v>
      </c>
      <c r="AT118" s="54">
        <f t="shared" ca="1" si="5"/>
        <v>0</v>
      </c>
      <c r="AU118" s="54">
        <f t="shared" ca="1" si="5"/>
        <v>0</v>
      </c>
      <c r="AV118" s="54">
        <f t="shared" ca="1" si="5"/>
        <v>0</v>
      </c>
      <c r="AW118" s="54">
        <f t="shared" ca="1" si="5"/>
        <v>0</v>
      </c>
      <c r="AX118" s="54">
        <f t="shared" ca="1" si="5"/>
        <v>0</v>
      </c>
      <c r="AY118" s="54">
        <f t="shared" ca="1" si="5"/>
        <v>0</v>
      </c>
      <c r="AZ118" s="54">
        <f t="shared" ca="1" si="5"/>
        <v>0</v>
      </c>
      <c r="BA118" s="54">
        <f t="shared" ca="1" si="5"/>
        <v>0</v>
      </c>
      <c r="BB118" s="54">
        <f t="shared" ca="1" si="5"/>
        <v>0</v>
      </c>
      <c r="BC118" s="54">
        <f t="shared" ca="1" si="5"/>
        <v>0</v>
      </c>
      <c r="BD118" s="54">
        <f t="shared" ca="1" si="5"/>
        <v>0</v>
      </c>
      <c r="BE118" s="54">
        <f t="shared" ca="1" si="5"/>
        <v>0</v>
      </c>
      <c r="BF118" s="54">
        <f t="shared" ca="1" si="5"/>
        <v>0</v>
      </c>
      <c r="BG118" s="54">
        <f t="shared" ca="1" si="5"/>
        <v>0</v>
      </c>
      <c r="BH118" s="54">
        <f t="shared" ca="1" si="5"/>
        <v>0</v>
      </c>
      <c r="BI118" s="54">
        <f t="shared" ca="1" si="5"/>
        <v>0</v>
      </c>
      <c r="BJ118" s="54">
        <f t="shared" ca="1" si="5"/>
        <v>0</v>
      </c>
      <c r="BK118" s="54">
        <f t="shared" ca="1" si="5"/>
        <v>0</v>
      </c>
      <c r="BL118" s="54">
        <f t="shared" ca="1" si="5"/>
        <v>0</v>
      </c>
      <c r="BM118" s="54">
        <f t="shared" ca="1" si="5"/>
        <v>0</v>
      </c>
      <c r="BN118" s="54">
        <f t="shared" ca="1" si="5"/>
        <v>0</v>
      </c>
      <c r="BO118" s="54">
        <f t="shared" ca="1" si="5"/>
        <v>0</v>
      </c>
      <c r="BP118" s="54">
        <f t="shared" ca="1" si="5"/>
        <v>0</v>
      </c>
      <c r="BQ118" s="54">
        <f t="shared" ca="1" si="5"/>
        <v>0</v>
      </c>
      <c r="BR118" s="54">
        <f t="shared" ca="1" si="5"/>
        <v>0</v>
      </c>
      <c r="BS118" s="54">
        <f t="shared" ca="1" si="5"/>
        <v>0</v>
      </c>
    </row>
    <row r="119" spans="1:93" outlineLevel="1" x14ac:dyDescent="0.2">
      <c r="A119" s="6"/>
      <c r="B119" s="6"/>
      <c r="C119" s="6"/>
      <c r="D119" s="47" t="s">
        <v>129</v>
      </c>
      <c r="E119" s="6"/>
      <c r="F119" s="6"/>
      <c r="G119" s="6"/>
      <c r="H119" s="6"/>
      <c r="I119" s="30">
        <f ca="1">SUM($L119:$BS119)</f>
        <v>84.351728899382621</v>
      </c>
      <c r="J119" s="26" t="s">
        <v>130</v>
      </c>
      <c r="K119" s="7" t="s">
        <v>133</v>
      </c>
      <c r="L119" s="49">
        <f t="shared" ref="L119:AQ119" ca="1" si="6">SUM(L116,L117,L118/conv_CMtoBbls)</f>
        <v>8.6294348880000005</v>
      </c>
      <c r="M119" s="49">
        <f t="shared" ca="1" si="6"/>
        <v>10.106731505999999</v>
      </c>
      <c r="N119" s="49">
        <f t="shared" ca="1" si="6"/>
        <v>9.5930509429999979</v>
      </c>
      <c r="O119" s="49">
        <f t="shared" ca="1" si="6"/>
        <v>9.0505969999999998</v>
      </c>
      <c r="P119" s="49">
        <f t="shared" ca="1" si="6"/>
        <v>8.0766759999999991</v>
      </c>
      <c r="Q119" s="49">
        <f t="shared" ca="1" si="6"/>
        <v>7.1800010000000007</v>
      </c>
      <c r="R119" s="49">
        <f t="shared" ca="1" si="6"/>
        <v>6.4326745010000002</v>
      </c>
      <c r="S119" s="49">
        <f t="shared" ca="1" si="6"/>
        <v>5.0133999999999999</v>
      </c>
      <c r="T119" s="49">
        <f t="shared" ca="1" si="6"/>
        <v>4.6624619999999997</v>
      </c>
      <c r="U119" s="49">
        <f t="shared" ca="1" si="6"/>
        <v>4.336089659999999</v>
      </c>
      <c r="V119" s="49">
        <f t="shared" ca="1" si="6"/>
        <v>4.0325633837999986</v>
      </c>
      <c r="W119" s="49">
        <f t="shared" ca="1" si="6"/>
        <v>3.7502839469339988</v>
      </c>
      <c r="X119" s="49">
        <f t="shared" ca="1" si="6"/>
        <v>3.4877640706486188</v>
      </c>
      <c r="Y119" s="49">
        <f t="shared" ca="1" si="6"/>
        <v>0</v>
      </c>
      <c r="Z119" s="49">
        <f t="shared" ca="1" si="6"/>
        <v>0</v>
      </c>
      <c r="AA119" s="49">
        <f t="shared" ca="1" si="6"/>
        <v>0</v>
      </c>
      <c r="AB119" s="49">
        <f t="shared" ca="1" si="6"/>
        <v>0</v>
      </c>
      <c r="AC119" s="49">
        <f t="shared" ca="1" si="6"/>
        <v>0</v>
      </c>
      <c r="AD119" s="49">
        <f t="shared" ca="1" si="6"/>
        <v>0</v>
      </c>
      <c r="AE119" s="49">
        <f t="shared" ca="1" si="6"/>
        <v>0</v>
      </c>
      <c r="AF119" s="49">
        <f t="shared" ca="1" si="6"/>
        <v>0</v>
      </c>
      <c r="AG119" s="49">
        <f t="shared" ca="1" si="6"/>
        <v>0</v>
      </c>
      <c r="AH119" s="49">
        <f t="shared" ca="1" si="6"/>
        <v>0</v>
      </c>
      <c r="AI119" s="49">
        <f t="shared" ca="1" si="6"/>
        <v>0</v>
      </c>
      <c r="AJ119" s="49">
        <f t="shared" ca="1" si="6"/>
        <v>0</v>
      </c>
      <c r="AK119" s="49">
        <f t="shared" ca="1" si="6"/>
        <v>0</v>
      </c>
      <c r="AL119" s="49">
        <f t="shared" ca="1" si="6"/>
        <v>0</v>
      </c>
      <c r="AM119" s="49">
        <f t="shared" ca="1" si="6"/>
        <v>0</v>
      </c>
      <c r="AN119" s="49">
        <f t="shared" ca="1" si="6"/>
        <v>0</v>
      </c>
      <c r="AO119" s="49">
        <f t="shared" ca="1" si="6"/>
        <v>0</v>
      </c>
      <c r="AP119" s="49">
        <f t="shared" ca="1" si="6"/>
        <v>0</v>
      </c>
      <c r="AQ119" s="49">
        <f t="shared" ca="1" si="6"/>
        <v>0</v>
      </c>
      <c r="AR119" s="49">
        <f t="shared" ref="AR119:BS119" ca="1" si="7">SUM(AR116,AR117,AR118/conv_CMtoBbls)</f>
        <v>0</v>
      </c>
      <c r="AS119" s="49">
        <f t="shared" ca="1" si="7"/>
        <v>0</v>
      </c>
      <c r="AT119" s="49">
        <f t="shared" ca="1" si="7"/>
        <v>0</v>
      </c>
      <c r="AU119" s="49">
        <f t="shared" ca="1" si="7"/>
        <v>0</v>
      </c>
      <c r="AV119" s="49">
        <f t="shared" ca="1" si="7"/>
        <v>0</v>
      </c>
      <c r="AW119" s="49">
        <f t="shared" ca="1" si="7"/>
        <v>0</v>
      </c>
      <c r="AX119" s="49">
        <f t="shared" ca="1" si="7"/>
        <v>0</v>
      </c>
      <c r="AY119" s="49">
        <f t="shared" ca="1" si="7"/>
        <v>0</v>
      </c>
      <c r="AZ119" s="49">
        <f t="shared" ca="1" si="7"/>
        <v>0</v>
      </c>
      <c r="BA119" s="49">
        <f t="shared" ca="1" si="7"/>
        <v>0</v>
      </c>
      <c r="BB119" s="49">
        <f t="shared" ca="1" si="7"/>
        <v>0</v>
      </c>
      <c r="BC119" s="49">
        <f t="shared" ca="1" si="7"/>
        <v>0</v>
      </c>
      <c r="BD119" s="49">
        <f t="shared" ca="1" si="7"/>
        <v>0</v>
      </c>
      <c r="BE119" s="49">
        <f t="shared" ca="1" si="7"/>
        <v>0</v>
      </c>
      <c r="BF119" s="49">
        <f t="shared" ca="1" si="7"/>
        <v>0</v>
      </c>
      <c r="BG119" s="49">
        <f t="shared" ca="1" si="7"/>
        <v>0</v>
      </c>
      <c r="BH119" s="49">
        <f t="shared" ca="1" si="7"/>
        <v>0</v>
      </c>
      <c r="BI119" s="49">
        <f t="shared" ca="1" si="7"/>
        <v>0</v>
      </c>
      <c r="BJ119" s="49">
        <f t="shared" ca="1" si="7"/>
        <v>0</v>
      </c>
      <c r="BK119" s="49">
        <f t="shared" ca="1" si="7"/>
        <v>0</v>
      </c>
      <c r="BL119" s="49">
        <f t="shared" ca="1" si="7"/>
        <v>0</v>
      </c>
      <c r="BM119" s="49">
        <f t="shared" ca="1" si="7"/>
        <v>0</v>
      </c>
      <c r="BN119" s="49">
        <f t="shared" ca="1" si="7"/>
        <v>0</v>
      </c>
      <c r="BO119" s="49">
        <f t="shared" ca="1" si="7"/>
        <v>0</v>
      </c>
      <c r="BP119" s="49">
        <f t="shared" ca="1" si="7"/>
        <v>0</v>
      </c>
      <c r="BQ119" s="49">
        <f t="shared" ca="1" si="7"/>
        <v>0</v>
      </c>
      <c r="BR119" s="49">
        <f t="shared" ca="1" si="7"/>
        <v>0</v>
      </c>
      <c r="BS119" s="49">
        <f t="shared" ca="1" si="7"/>
        <v>0</v>
      </c>
      <c r="BT119" s="6"/>
      <c r="BU119" s="6"/>
      <c r="BV119" s="6"/>
      <c r="BW119" s="6"/>
      <c r="BX119" s="6"/>
      <c r="BY119" s="6"/>
      <c r="BZ119" s="6"/>
      <c r="CA119" s="6"/>
      <c r="CB119" s="6"/>
      <c r="CC119" s="6"/>
      <c r="CD119" s="6"/>
      <c r="CE119" s="6"/>
      <c r="CF119" s="6"/>
      <c r="CG119" s="6"/>
      <c r="CH119" s="6"/>
      <c r="CI119" s="6"/>
      <c r="CJ119" s="6"/>
      <c r="CK119" s="6"/>
      <c r="CL119" s="6"/>
      <c r="CM119" s="6"/>
      <c r="CN119" s="6"/>
      <c r="CO119" s="6"/>
    </row>
    <row r="120" spans="1:93" outlineLevel="1" x14ac:dyDescent="0.2">
      <c r="J120" s="26"/>
      <c r="L120" s="55"/>
      <c r="M120" s="55"/>
      <c r="N120" s="55"/>
      <c r="O120" s="55"/>
      <c r="P120" s="55"/>
      <c r="Q120" s="55"/>
      <c r="R120" s="55"/>
      <c r="S120" s="55"/>
      <c r="T120" s="55"/>
      <c r="U120" s="55"/>
      <c r="V120" s="55"/>
      <c r="W120" s="55"/>
      <c r="X120" s="55"/>
      <c r="Y120" s="55"/>
      <c r="Z120" s="55"/>
      <c r="AA120" s="55"/>
      <c r="AB120" s="55"/>
      <c r="AC120" s="55"/>
      <c r="AD120" s="55"/>
      <c r="AE120" s="55"/>
      <c r="AF120" s="55"/>
      <c r="AG120" s="55"/>
      <c r="AH120" s="55"/>
      <c r="AI120" s="55"/>
      <c r="AJ120" s="55"/>
      <c r="AK120" s="55"/>
      <c r="AL120" s="55"/>
      <c r="AM120" s="55"/>
      <c r="AN120" s="55"/>
      <c r="AO120" s="55"/>
      <c r="AP120" s="55"/>
      <c r="AQ120" s="55"/>
      <c r="AR120" s="55"/>
      <c r="AS120" s="55"/>
      <c r="AT120" s="55"/>
      <c r="AU120" s="55"/>
      <c r="AV120" s="55"/>
      <c r="AW120" s="55"/>
      <c r="AX120" s="55"/>
      <c r="AY120" s="55"/>
      <c r="AZ120" s="55"/>
      <c r="BA120" s="55"/>
      <c r="BB120" s="55"/>
      <c r="BC120" s="55"/>
      <c r="BD120" s="55"/>
      <c r="BE120" s="55"/>
      <c r="BF120" s="55"/>
      <c r="BG120" s="55"/>
      <c r="BH120" s="55"/>
      <c r="BI120" s="55"/>
      <c r="BJ120" s="55"/>
      <c r="BK120" s="55"/>
      <c r="BL120" s="55"/>
      <c r="BM120" s="55"/>
      <c r="BN120" s="55"/>
      <c r="BO120" s="55"/>
      <c r="BP120" s="55"/>
      <c r="BQ120" s="55"/>
      <c r="BR120" s="55"/>
      <c r="BS120" s="55"/>
    </row>
    <row r="121" spans="1:93" outlineLevel="1" x14ac:dyDescent="0.2">
      <c r="C121" s="11" t="str">
        <f>CHOOSE(db_ML_selected,'Liste Traduction'!B274,'Liste Traduction'!C274)</f>
        <v>Volumes de production brute cumulés</v>
      </c>
      <c r="J121" s="26"/>
      <c r="L121" s="55"/>
      <c r="M121" s="55"/>
      <c r="N121" s="55"/>
      <c r="O121" s="55"/>
      <c r="P121" s="55"/>
      <c r="Q121" s="55"/>
      <c r="R121" s="55"/>
      <c r="S121" s="55"/>
      <c r="T121" s="55"/>
      <c r="U121" s="55"/>
      <c r="V121" s="55"/>
      <c r="W121" s="55"/>
      <c r="X121" s="55"/>
      <c r="Y121" s="55"/>
      <c r="Z121" s="55"/>
      <c r="AA121" s="55"/>
      <c r="AB121" s="55"/>
      <c r="AC121" s="55"/>
      <c r="AD121" s="55"/>
      <c r="AE121" s="55"/>
      <c r="AF121" s="55"/>
      <c r="AG121" s="55"/>
      <c r="AH121" s="55"/>
      <c r="AI121" s="55"/>
      <c r="AJ121" s="55"/>
      <c r="AK121" s="55"/>
      <c r="AL121" s="55"/>
      <c r="AM121" s="55"/>
      <c r="AN121" s="55"/>
      <c r="AO121" s="55"/>
      <c r="AP121" s="55"/>
      <c r="AQ121" s="55"/>
      <c r="AR121" s="55"/>
      <c r="AS121" s="55"/>
      <c r="AT121" s="55"/>
      <c r="AU121" s="55"/>
      <c r="AV121" s="55"/>
      <c r="AW121" s="55"/>
      <c r="AX121" s="55"/>
      <c r="AY121" s="55"/>
      <c r="AZ121" s="55"/>
      <c r="BA121" s="55"/>
      <c r="BB121" s="55"/>
      <c r="BC121" s="55"/>
      <c r="BD121" s="55"/>
      <c r="BE121" s="55"/>
      <c r="BF121" s="55"/>
      <c r="BG121" s="55"/>
      <c r="BH121" s="55"/>
      <c r="BI121" s="55"/>
      <c r="BJ121" s="55"/>
      <c r="BK121" s="55"/>
      <c r="BL121" s="55"/>
      <c r="BM121" s="55"/>
      <c r="BN121" s="55"/>
      <c r="BO121" s="55"/>
      <c r="BP121" s="55"/>
      <c r="BQ121" s="55"/>
      <c r="BR121" s="55"/>
      <c r="BS121" s="55"/>
    </row>
    <row r="122" spans="1:93" outlineLevel="1" x14ac:dyDescent="0.2">
      <c r="D122" t="str">
        <f>D116</f>
        <v>Pétrole</v>
      </c>
      <c r="K122" s="7" t="s">
        <v>135</v>
      </c>
      <c r="L122" s="49">
        <f ca="1">SUM(K122)+HM_ZA_Nkossa!CA_gross_prod_oil</f>
        <v>7.274601209000001</v>
      </c>
      <c r="M122" s="49">
        <f ca="1">SUM(L122)+HM_ZA_Nkossa!CA_gross_prod_oil</f>
        <v>15.748669386</v>
      </c>
      <c r="N122" s="49">
        <f ca="1">SUM(M122)+HM_ZA_Nkossa!CA_gross_prod_oil</f>
        <v>23.580980870999998</v>
      </c>
      <c r="O122" s="49">
        <f ca="1">SUM(N122)+HM_ZA_Nkossa!CA_gross_prod_oil</f>
        <v>30.852778870999998</v>
      </c>
      <c r="P122" s="49">
        <f ca="1">SUM(O122)+HM_ZA_Nkossa!CA_gross_prod_oil</f>
        <v>37.563662870999998</v>
      </c>
      <c r="Q122" s="49">
        <f ca="1">SUM(P122)+HM_ZA_Nkossa!CA_gross_prod_oil</f>
        <v>43.761058870999996</v>
      </c>
      <c r="R122" s="49">
        <f ca="1">SUM(Q122)+HM_ZA_Nkossa!CA_gross_prod_oil</f>
        <v>49.033838419999995</v>
      </c>
      <c r="S122" s="49">
        <f ca="1">SUM(R122)+HM_ZA_Nkossa!CA_gross_prod_oil</f>
        <v>52.819338419999994</v>
      </c>
      <c r="T122" s="49">
        <f ca="1">SUM(S122)+HM_ZA_Nkossa!CA_gross_prod_oil</f>
        <v>56.339853419999997</v>
      </c>
      <c r="U122" s="49">
        <f ca="1">SUM(T122)+HM_ZA_Nkossa!CA_gross_prod_oil</f>
        <v>59.613932369999993</v>
      </c>
      <c r="V122" s="49">
        <f ca="1">SUM(U122)+HM_ZA_Nkossa!CA_gross_prod_oil</f>
        <v>62.658825793499993</v>
      </c>
      <c r="W122" s="49">
        <f ca="1">SUM(V122)+HM_ZA_Nkossa!CA_gross_prod_oil</f>
        <v>65.490576677354994</v>
      </c>
      <c r="X122" s="49">
        <f ca="1">SUM(W122)+HM_ZA_Nkossa!CA_gross_prod_oil</f>
        <v>68.124104999340148</v>
      </c>
      <c r="Y122" s="49">
        <f ca="1">SUM(X122)+HM_ZA_Nkossa!CA_gross_prod_oil</f>
        <v>68.124104999340148</v>
      </c>
      <c r="Z122" s="49">
        <f ca="1">SUM(Y122)+HM_ZA_Nkossa!CA_gross_prod_oil</f>
        <v>68.124104999340148</v>
      </c>
      <c r="AA122" s="49">
        <f ca="1">SUM(Z122)+HM_ZA_Nkossa!CA_gross_prod_oil</f>
        <v>68.124104999340148</v>
      </c>
      <c r="AB122" s="49">
        <f ca="1">SUM(AA122)+HM_ZA_Nkossa!CA_gross_prod_oil</f>
        <v>68.124104999340148</v>
      </c>
      <c r="AC122" s="49">
        <f ca="1">SUM(AB122)+HM_ZA_Nkossa!CA_gross_prod_oil</f>
        <v>68.124104999340148</v>
      </c>
      <c r="AD122" s="49">
        <f ca="1">SUM(AC122)+HM_ZA_Nkossa!CA_gross_prod_oil</f>
        <v>68.124104999340148</v>
      </c>
      <c r="AE122" s="49">
        <f ca="1">SUM(AD122)+HM_ZA_Nkossa!CA_gross_prod_oil</f>
        <v>68.124104999340148</v>
      </c>
      <c r="AF122" s="49">
        <f ca="1">SUM(AE122)+HM_ZA_Nkossa!CA_gross_prod_oil</f>
        <v>68.124104999340148</v>
      </c>
      <c r="AG122" s="49">
        <f ca="1">SUM(AF122)+HM_ZA_Nkossa!CA_gross_prod_oil</f>
        <v>68.124104999340148</v>
      </c>
      <c r="AH122" s="49">
        <f ca="1">SUM(AG122)+HM_ZA_Nkossa!CA_gross_prod_oil</f>
        <v>68.124104999340148</v>
      </c>
      <c r="AI122" s="49">
        <f ca="1">SUM(AH122)+HM_ZA_Nkossa!CA_gross_prod_oil</f>
        <v>68.124104999340148</v>
      </c>
      <c r="AJ122" s="49">
        <f ca="1">SUM(AI122)+HM_ZA_Nkossa!CA_gross_prod_oil</f>
        <v>68.124104999340148</v>
      </c>
      <c r="AK122" s="49">
        <f ca="1">SUM(AJ122)+HM_ZA_Nkossa!CA_gross_prod_oil</f>
        <v>68.124104999340148</v>
      </c>
      <c r="AL122" s="49">
        <f ca="1">SUM(AK122)+HM_ZA_Nkossa!CA_gross_prod_oil</f>
        <v>68.124104999340148</v>
      </c>
      <c r="AM122" s="49">
        <f ca="1">SUM(AL122)+HM_ZA_Nkossa!CA_gross_prod_oil</f>
        <v>68.124104999340148</v>
      </c>
      <c r="AN122" s="49">
        <f ca="1">SUM(AM122)+HM_ZA_Nkossa!CA_gross_prod_oil</f>
        <v>68.124104999340148</v>
      </c>
      <c r="AO122" s="49">
        <f ca="1">SUM(AN122)+HM_ZA_Nkossa!CA_gross_prod_oil</f>
        <v>68.124104999340148</v>
      </c>
      <c r="AP122" s="49">
        <f ca="1">SUM(AO122)+HM_ZA_Nkossa!CA_gross_prod_oil</f>
        <v>68.124104999340148</v>
      </c>
      <c r="AQ122" s="49">
        <f ca="1">SUM(AP122)+HM_ZA_Nkossa!CA_gross_prod_oil</f>
        <v>68.124104999340148</v>
      </c>
      <c r="AR122" s="49">
        <f ca="1">SUM(AQ122)+HM_ZA_Nkossa!CA_gross_prod_oil</f>
        <v>68.124104999340148</v>
      </c>
      <c r="AS122" s="49">
        <f ca="1">SUM(AR122)+HM_ZA_Nkossa!CA_gross_prod_oil</f>
        <v>68.124104999340148</v>
      </c>
      <c r="AT122" s="49">
        <f ca="1">SUM(AS122)+HM_ZA_Nkossa!CA_gross_prod_oil</f>
        <v>68.124104999340148</v>
      </c>
      <c r="AU122" s="49">
        <f ca="1">SUM(AT122)+HM_ZA_Nkossa!CA_gross_prod_oil</f>
        <v>68.124104999340148</v>
      </c>
      <c r="AV122" s="49">
        <f ca="1">SUM(AU122)+HM_ZA_Nkossa!CA_gross_prod_oil</f>
        <v>68.124104999340148</v>
      </c>
      <c r="AW122" s="49">
        <f ca="1">SUM(AV122)+HM_ZA_Nkossa!CA_gross_prod_oil</f>
        <v>68.124104999340148</v>
      </c>
      <c r="AX122" s="49">
        <f ca="1">SUM(AW122)+HM_ZA_Nkossa!CA_gross_prod_oil</f>
        <v>68.124104999340148</v>
      </c>
      <c r="AY122" s="49">
        <f ca="1">SUM(AX122)+HM_ZA_Nkossa!CA_gross_prod_oil</f>
        <v>68.124104999340148</v>
      </c>
      <c r="AZ122" s="49">
        <f ca="1">SUM(AY122)+HM_ZA_Nkossa!CA_gross_prod_oil</f>
        <v>68.124104999340148</v>
      </c>
      <c r="BA122" s="49">
        <f ca="1">SUM(AZ122)+HM_ZA_Nkossa!CA_gross_prod_oil</f>
        <v>68.124104999340148</v>
      </c>
      <c r="BB122" s="49">
        <f ca="1">SUM(BA122)+HM_ZA_Nkossa!CA_gross_prod_oil</f>
        <v>68.124104999340148</v>
      </c>
      <c r="BC122" s="49">
        <f ca="1">SUM(BB122)+HM_ZA_Nkossa!CA_gross_prod_oil</f>
        <v>68.124104999340148</v>
      </c>
      <c r="BD122" s="49">
        <f ca="1">SUM(BC122)+HM_ZA_Nkossa!CA_gross_prod_oil</f>
        <v>68.124104999340148</v>
      </c>
      <c r="BE122" s="49">
        <f ca="1">SUM(BD122)+HM_ZA_Nkossa!CA_gross_prod_oil</f>
        <v>68.124104999340148</v>
      </c>
      <c r="BF122" s="49">
        <f ca="1">SUM(BE122)+HM_ZA_Nkossa!CA_gross_prod_oil</f>
        <v>68.124104999340148</v>
      </c>
      <c r="BG122" s="49">
        <f ca="1">SUM(BF122)+HM_ZA_Nkossa!CA_gross_prod_oil</f>
        <v>68.124104999340148</v>
      </c>
      <c r="BH122" s="49">
        <f ca="1">SUM(BG122)+HM_ZA_Nkossa!CA_gross_prod_oil</f>
        <v>68.124104999340148</v>
      </c>
      <c r="BI122" s="49">
        <f ca="1">SUM(BH122)+HM_ZA_Nkossa!CA_gross_prod_oil</f>
        <v>68.124104999340148</v>
      </c>
      <c r="BJ122" s="49">
        <f ca="1">SUM(BI122)+HM_ZA_Nkossa!CA_gross_prod_oil</f>
        <v>68.124104999340148</v>
      </c>
      <c r="BK122" s="49">
        <f ca="1">SUM(BJ122)+HM_ZA_Nkossa!CA_gross_prod_oil</f>
        <v>68.124104999340148</v>
      </c>
      <c r="BL122" s="49">
        <f ca="1">SUM(BK122)+HM_ZA_Nkossa!CA_gross_prod_oil</f>
        <v>68.124104999340148</v>
      </c>
      <c r="BM122" s="49">
        <f ca="1">SUM(BL122)+HM_ZA_Nkossa!CA_gross_prod_oil</f>
        <v>68.124104999340148</v>
      </c>
      <c r="BN122" s="49">
        <f ca="1">SUM(BM122)+HM_ZA_Nkossa!CA_gross_prod_oil</f>
        <v>68.124104999340148</v>
      </c>
      <c r="BO122" s="49">
        <f ca="1">SUM(BN122)+HM_ZA_Nkossa!CA_gross_prod_oil</f>
        <v>68.124104999340148</v>
      </c>
      <c r="BP122" s="49">
        <f ca="1">SUM(BO122)+HM_ZA_Nkossa!CA_gross_prod_oil</f>
        <v>68.124104999340148</v>
      </c>
      <c r="BQ122" s="49">
        <f ca="1">SUM(BP122)+HM_ZA_Nkossa!CA_gross_prod_oil</f>
        <v>68.124104999340148</v>
      </c>
      <c r="BR122" s="49">
        <f ca="1">SUM(BQ122)+HM_ZA_Nkossa!CA_gross_prod_oil</f>
        <v>68.124104999340148</v>
      </c>
      <c r="BS122" s="49">
        <f ca="1">SUM(BR122)+HM_ZA_Nkossa!CA_gross_prod_oil</f>
        <v>68.124104999340148</v>
      </c>
    </row>
    <row r="123" spans="1:93" outlineLevel="1" x14ac:dyDescent="0.2">
      <c r="D123" t="str">
        <f t="shared" ref="D123:D124" si="8">D117</f>
        <v>GPL</v>
      </c>
      <c r="K123" s="7" t="s">
        <v>686</v>
      </c>
      <c r="L123" s="49">
        <f t="shared" ref="L123:AQ123" ca="1" si="9">SUM(K123)+CA_gross_prod_lpg</f>
        <v>1.354833679</v>
      </c>
      <c r="M123" s="49">
        <f t="shared" ca="1" si="9"/>
        <v>2.9874970080000001</v>
      </c>
      <c r="N123" s="49">
        <f t="shared" ca="1" si="9"/>
        <v>4.7482364659999998</v>
      </c>
      <c r="O123" s="49">
        <f t="shared" ca="1" si="9"/>
        <v>6.5270354660000001</v>
      </c>
      <c r="P123" s="49">
        <f t="shared" ca="1" si="9"/>
        <v>7.892827466</v>
      </c>
      <c r="Q123" s="49">
        <f t="shared" ca="1" si="9"/>
        <v>8.8754324659999995</v>
      </c>
      <c r="R123" s="49">
        <f t="shared" ca="1" si="9"/>
        <v>10.035327418</v>
      </c>
      <c r="S123" s="49">
        <f t="shared" ca="1" si="9"/>
        <v>11.263227418</v>
      </c>
      <c r="T123" s="49">
        <f t="shared" ca="1" si="9"/>
        <v>12.405174418</v>
      </c>
      <c r="U123" s="49">
        <f t="shared" ca="1" si="9"/>
        <v>13.467185127999999</v>
      </c>
      <c r="V123" s="49">
        <f t="shared" ca="1" si="9"/>
        <v>14.454855088299999</v>
      </c>
      <c r="W123" s="49">
        <f t="shared" ca="1" si="9"/>
        <v>15.373388151378999</v>
      </c>
      <c r="X123" s="49">
        <f t="shared" ca="1" si="9"/>
        <v>16.227623900042467</v>
      </c>
      <c r="Y123" s="49">
        <f t="shared" ca="1" si="9"/>
        <v>16.227623900042467</v>
      </c>
      <c r="Z123" s="49">
        <f t="shared" ca="1" si="9"/>
        <v>16.227623900042467</v>
      </c>
      <c r="AA123" s="49">
        <f t="shared" ca="1" si="9"/>
        <v>16.227623900042467</v>
      </c>
      <c r="AB123" s="49">
        <f t="shared" ca="1" si="9"/>
        <v>16.227623900042467</v>
      </c>
      <c r="AC123" s="49">
        <f t="shared" ca="1" si="9"/>
        <v>16.227623900042467</v>
      </c>
      <c r="AD123" s="49">
        <f t="shared" ca="1" si="9"/>
        <v>16.227623900042467</v>
      </c>
      <c r="AE123" s="49">
        <f t="shared" ca="1" si="9"/>
        <v>16.227623900042467</v>
      </c>
      <c r="AF123" s="49">
        <f t="shared" ca="1" si="9"/>
        <v>16.227623900042467</v>
      </c>
      <c r="AG123" s="49">
        <f t="shared" ca="1" si="9"/>
        <v>16.227623900042467</v>
      </c>
      <c r="AH123" s="49">
        <f t="shared" ca="1" si="9"/>
        <v>16.227623900042467</v>
      </c>
      <c r="AI123" s="49">
        <f t="shared" ca="1" si="9"/>
        <v>16.227623900042467</v>
      </c>
      <c r="AJ123" s="49">
        <f t="shared" ca="1" si="9"/>
        <v>16.227623900042467</v>
      </c>
      <c r="AK123" s="49">
        <f t="shared" ca="1" si="9"/>
        <v>16.227623900042467</v>
      </c>
      <c r="AL123" s="49">
        <f t="shared" ca="1" si="9"/>
        <v>16.227623900042467</v>
      </c>
      <c r="AM123" s="49">
        <f t="shared" ca="1" si="9"/>
        <v>16.227623900042467</v>
      </c>
      <c r="AN123" s="49">
        <f t="shared" ca="1" si="9"/>
        <v>16.227623900042467</v>
      </c>
      <c r="AO123" s="49">
        <f t="shared" ca="1" si="9"/>
        <v>16.227623900042467</v>
      </c>
      <c r="AP123" s="49">
        <f t="shared" ca="1" si="9"/>
        <v>16.227623900042467</v>
      </c>
      <c r="AQ123" s="49">
        <f t="shared" ca="1" si="9"/>
        <v>16.227623900042467</v>
      </c>
      <c r="AR123" s="49">
        <f t="shared" ref="AR123:BS123" ca="1" si="10">SUM(AQ123)+CA_gross_prod_lpg</f>
        <v>16.227623900042467</v>
      </c>
      <c r="AS123" s="49">
        <f t="shared" ca="1" si="10"/>
        <v>16.227623900042467</v>
      </c>
      <c r="AT123" s="49">
        <f t="shared" ca="1" si="10"/>
        <v>16.227623900042467</v>
      </c>
      <c r="AU123" s="49">
        <f t="shared" ca="1" si="10"/>
        <v>16.227623900042467</v>
      </c>
      <c r="AV123" s="49">
        <f t="shared" ca="1" si="10"/>
        <v>16.227623900042467</v>
      </c>
      <c r="AW123" s="49">
        <f t="shared" ca="1" si="10"/>
        <v>16.227623900042467</v>
      </c>
      <c r="AX123" s="49">
        <f t="shared" ca="1" si="10"/>
        <v>16.227623900042467</v>
      </c>
      <c r="AY123" s="49">
        <f t="shared" ca="1" si="10"/>
        <v>16.227623900042467</v>
      </c>
      <c r="AZ123" s="49">
        <f t="shared" ca="1" si="10"/>
        <v>16.227623900042467</v>
      </c>
      <c r="BA123" s="49">
        <f t="shared" ca="1" si="10"/>
        <v>16.227623900042467</v>
      </c>
      <c r="BB123" s="49">
        <f t="shared" ca="1" si="10"/>
        <v>16.227623900042467</v>
      </c>
      <c r="BC123" s="49">
        <f t="shared" ca="1" si="10"/>
        <v>16.227623900042467</v>
      </c>
      <c r="BD123" s="49">
        <f t="shared" ca="1" si="10"/>
        <v>16.227623900042467</v>
      </c>
      <c r="BE123" s="49">
        <f t="shared" ca="1" si="10"/>
        <v>16.227623900042467</v>
      </c>
      <c r="BF123" s="49">
        <f t="shared" ca="1" si="10"/>
        <v>16.227623900042467</v>
      </c>
      <c r="BG123" s="49">
        <f t="shared" ca="1" si="10"/>
        <v>16.227623900042467</v>
      </c>
      <c r="BH123" s="49">
        <f t="shared" ca="1" si="10"/>
        <v>16.227623900042467</v>
      </c>
      <c r="BI123" s="49">
        <f t="shared" ca="1" si="10"/>
        <v>16.227623900042467</v>
      </c>
      <c r="BJ123" s="49">
        <f t="shared" ca="1" si="10"/>
        <v>16.227623900042467</v>
      </c>
      <c r="BK123" s="49">
        <f t="shared" ca="1" si="10"/>
        <v>16.227623900042467</v>
      </c>
      <c r="BL123" s="49">
        <f t="shared" ca="1" si="10"/>
        <v>16.227623900042467</v>
      </c>
      <c r="BM123" s="49">
        <f t="shared" ca="1" si="10"/>
        <v>16.227623900042467</v>
      </c>
      <c r="BN123" s="49">
        <f t="shared" ca="1" si="10"/>
        <v>16.227623900042467</v>
      </c>
      <c r="BO123" s="49">
        <f t="shared" ca="1" si="10"/>
        <v>16.227623900042467</v>
      </c>
      <c r="BP123" s="49">
        <f t="shared" ca="1" si="10"/>
        <v>16.227623900042467</v>
      </c>
      <c r="BQ123" s="49">
        <f t="shared" ca="1" si="10"/>
        <v>16.227623900042467</v>
      </c>
      <c r="BR123" s="49">
        <f t="shared" ca="1" si="10"/>
        <v>16.227623900042467</v>
      </c>
      <c r="BS123" s="49">
        <f t="shared" ca="1" si="10"/>
        <v>16.227623900042467</v>
      </c>
    </row>
    <row r="124" spans="1:93" outlineLevel="1" x14ac:dyDescent="0.2">
      <c r="D124" t="str">
        <f t="shared" si="8"/>
        <v>Gaz</v>
      </c>
      <c r="K124" s="7" t="s">
        <v>136</v>
      </c>
      <c r="L124" s="49">
        <f ca="1">SUM(K124)+HM_ZA_Nkossa!CA_gross_prod_gas</f>
        <v>0</v>
      </c>
      <c r="M124" s="49">
        <f ca="1">SUM(L124)+HM_ZA_Nkossa!CA_gross_prod_gas</f>
        <v>0</v>
      </c>
      <c r="N124" s="49">
        <f ca="1">SUM(M124)+HM_ZA_Nkossa!CA_gross_prod_gas</f>
        <v>0</v>
      </c>
      <c r="O124" s="49">
        <f ca="1">SUM(N124)+HM_ZA_Nkossa!CA_gross_prod_gas</f>
        <v>0</v>
      </c>
      <c r="P124" s="49">
        <f ca="1">SUM(O124)+HM_ZA_Nkossa!CA_gross_prod_gas</f>
        <v>0</v>
      </c>
      <c r="Q124" s="49">
        <f ca="1">SUM(P124)+HM_ZA_Nkossa!CA_gross_prod_gas</f>
        <v>0</v>
      </c>
      <c r="R124" s="49">
        <f ca="1">SUM(Q124)+HM_ZA_Nkossa!CA_gross_prod_gas</f>
        <v>0</v>
      </c>
      <c r="S124" s="49">
        <f ca="1">SUM(R124)+HM_ZA_Nkossa!CA_gross_prod_gas</f>
        <v>0</v>
      </c>
      <c r="T124" s="49">
        <f ca="1">SUM(S124)+HM_ZA_Nkossa!CA_gross_prod_gas</f>
        <v>0</v>
      </c>
      <c r="U124" s="49">
        <f ca="1">SUM(T124)+HM_ZA_Nkossa!CA_gross_prod_gas</f>
        <v>0</v>
      </c>
      <c r="V124" s="49">
        <f ca="1">SUM(U124)+HM_ZA_Nkossa!CA_gross_prod_gas</f>
        <v>0</v>
      </c>
      <c r="W124" s="49">
        <f ca="1">SUM(V124)+HM_ZA_Nkossa!CA_gross_prod_gas</f>
        <v>0</v>
      </c>
      <c r="X124" s="49">
        <f ca="1">SUM(W124)+HM_ZA_Nkossa!CA_gross_prod_gas</f>
        <v>0</v>
      </c>
      <c r="Y124" s="49">
        <f ca="1">SUM(X124)+HM_ZA_Nkossa!CA_gross_prod_gas</f>
        <v>0</v>
      </c>
      <c r="Z124" s="49">
        <f ca="1">SUM(Y124)+HM_ZA_Nkossa!CA_gross_prod_gas</f>
        <v>0</v>
      </c>
      <c r="AA124" s="49">
        <f ca="1">SUM(Z124)+HM_ZA_Nkossa!CA_gross_prod_gas</f>
        <v>0</v>
      </c>
      <c r="AB124" s="49">
        <f ca="1">SUM(AA124)+HM_ZA_Nkossa!CA_gross_prod_gas</f>
        <v>0</v>
      </c>
      <c r="AC124" s="49">
        <f ca="1">SUM(AB124)+HM_ZA_Nkossa!CA_gross_prod_gas</f>
        <v>0</v>
      </c>
      <c r="AD124" s="49">
        <f ca="1">SUM(AC124)+HM_ZA_Nkossa!CA_gross_prod_gas</f>
        <v>0</v>
      </c>
      <c r="AE124" s="49">
        <f ca="1">SUM(AD124)+HM_ZA_Nkossa!CA_gross_prod_gas</f>
        <v>0</v>
      </c>
      <c r="AF124" s="49">
        <f ca="1">SUM(AE124)+HM_ZA_Nkossa!CA_gross_prod_gas</f>
        <v>0</v>
      </c>
      <c r="AG124" s="49">
        <f ca="1">SUM(AF124)+HM_ZA_Nkossa!CA_gross_prod_gas</f>
        <v>0</v>
      </c>
      <c r="AH124" s="49">
        <f ca="1">SUM(AG124)+HM_ZA_Nkossa!CA_gross_prod_gas</f>
        <v>0</v>
      </c>
      <c r="AI124" s="49">
        <f ca="1">SUM(AH124)+HM_ZA_Nkossa!CA_gross_prod_gas</f>
        <v>0</v>
      </c>
      <c r="AJ124" s="49">
        <f ca="1">SUM(AI124)+HM_ZA_Nkossa!CA_gross_prod_gas</f>
        <v>0</v>
      </c>
      <c r="AK124" s="49">
        <f ca="1">SUM(AJ124)+HM_ZA_Nkossa!CA_gross_prod_gas</f>
        <v>0</v>
      </c>
      <c r="AL124" s="49">
        <f ca="1">SUM(AK124)+HM_ZA_Nkossa!CA_gross_prod_gas</f>
        <v>0</v>
      </c>
      <c r="AM124" s="49">
        <f ca="1">SUM(AL124)+HM_ZA_Nkossa!CA_gross_prod_gas</f>
        <v>0</v>
      </c>
      <c r="AN124" s="49">
        <f ca="1">SUM(AM124)+HM_ZA_Nkossa!CA_gross_prod_gas</f>
        <v>0</v>
      </c>
      <c r="AO124" s="49">
        <f ca="1">SUM(AN124)+HM_ZA_Nkossa!CA_gross_prod_gas</f>
        <v>0</v>
      </c>
      <c r="AP124" s="49">
        <f ca="1">SUM(AO124)+HM_ZA_Nkossa!CA_gross_prod_gas</f>
        <v>0</v>
      </c>
      <c r="AQ124" s="49">
        <f ca="1">SUM(AP124)+HM_ZA_Nkossa!CA_gross_prod_gas</f>
        <v>0</v>
      </c>
      <c r="AR124" s="49">
        <f ca="1">SUM(AQ124)+HM_ZA_Nkossa!CA_gross_prod_gas</f>
        <v>0</v>
      </c>
      <c r="AS124" s="49">
        <f ca="1">SUM(AR124)+HM_ZA_Nkossa!CA_gross_prod_gas</f>
        <v>0</v>
      </c>
      <c r="AT124" s="49">
        <f ca="1">SUM(AS124)+HM_ZA_Nkossa!CA_gross_prod_gas</f>
        <v>0</v>
      </c>
      <c r="AU124" s="49">
        <f ca="1">SUM(AT124)+HM_ZA_Nkossa!CA_gross_prod_gas</f>
        <v>0</v>
      </c>
      <c r="AV124" s="49">
        <f ca="1">SUM(AU124)+HM_ZA_Nkossa!CA_gross_prod_gas</f>
        <v>0</v>
      </c>
      <c r="AW124" s="49">
        <f ca="1">SUM(AV124)+HM_ZA_Nkossa!CA_gross_prod_gas</f>
        <v>0</v>
      </c>
      <c r="AX124" s="49">
        <f ca="1">SUM(AW124)+HM_ZA_Nkossa!CA_gross_prod_gas</f>
        <v>0</v>
      </c>
      <c r="AY124" s="49">
        <f ca="1">SUM(AX124)+HM_ZA_Nkossa!CA_gross_prod_gas</f>
        <v>0</v>
      </c>
      <c r="AZ124" s="49">
        <f ca="1">SUM(AY124)+HM_ZA_Nkossa!CA_gross_prod_gas</f>
        <v>0</v>
      </c>
      <c r="BA124" s="49">
        <f ca="1">SUM(AZ124)+HM_ZA_Nkossa!CA_gross_prod_gas</f>
        <v>0</v>
      </c>
      <c r="BB124" s="49">
        <f ca="1">SUM(BA124)+HM_ZA_Nkossa!CA_gross_prod_gas</f>
        <v>0</v>
      </c>
      <c r="BC124" s="49">
        <f ca="1">SUM(BB124)+HM_ZA_Nkossa!CA_gross_prod_gas</f>
        <v>0</v>
      </c>
      <c r="BD124" s="49">
        <f ca="1">SUM(BC124)+HM_ZA_Nkossa!CA_gross_prod_gas</f>
        <v>0</v>
      </c>
      <c r="BE124" s="49">
        <f ca="1">SUM(BD124)+HM_ZA_Nkossa!CA_gross_prod_gas</f>
        <v>0</v>
      </c>
      <c r="BF124" s="49">
        <f ca="1">SUM(BE124)+HM_ZA_Nkossa!CA_gross_prod_gas</f>
        <v>0</v>
      </c>
      <c r="BG124" s="49">
        <f ca="1">SUM(BF124)+HM_ZA_Nkossa!CA_gross_prod_gas</f>
        <v>0</v>
      </c>
      <c r="BH124" s="49">
        <f ca="1">SUM(BG124)+HM_ZA_Nkossa!CA_gross_prod_gas</f>
        <v>0</v>
      </c>
      <c r="BI124" s="49">
        <f ca="1">SUM(BH124)+HM_ZA_Nkossa!CA_gross_prod_gas</f>
        <v>0</v>
      </c>
      <c r="BJ124" s="49">
        <f ca="1">SUM(BI124)+HM_ZA_Nkossa!CA_gross_prod_gas</f>
        <v>0</v>
      </c>
      <c r="BK124" s="49">
        <f ca="1">SUM(BJ124)+HM_ZA_Nkossa!CA_gross_prod_gas</f>
        <v>0</v>
      </c>
      <c r="BL124" s="49">
        <f ca="1">SUM(BK124)+HM_ZA_Nkossa!CA_gross_prod_gas</f>
        <v>0</v>
      </c>
      <c r="BM124" s="49">
        <f ca="1">SUM(BL124)+HM_ZA_Nkossa!CA_gross_prod_gas</f>
        <v>0</v>
      </c>
      <c r="BN124" s="49">
        <f ca="1">SUM(BM124)+HM_ZA_Nkossa!CA_gross_prod_gas</f>
        <v>0</v>
      </c>
      <c r="BO124" s="49">
        <f ca="1">SUM(BN124)+HM_ZA_Nkossa!CA_gross_prod_gas</f>
        <v>0</v>
      </c>
      <c r="BP124" s="49">
        <f ca="1">SUM(BO124)+HM_ZA_Nkossa!CA_gross_prod_gas</f>
        <v>0</v>
      </c>
      <c r="BQ124" s="49">
        <f ca="1">SUM(BP124)+HM_ZA_Nkossa!CA_gross_prod_gas</f>
        <v>0</v>
      </c>
      <c r="BR124" s="49">
        <f ca="1">SUM(BQ124)+HM_ZA_Nkossa!CA_gross_prod_gas</f>
        <v>0</v>
      </c>
      <c r="BS124" s="49">
        <f ca="1">SUM(BR124)+HM_ZA_Nkossa!CA_gross_prod_gas</f>
        <v>0</v>
      </c>
    </row>
    <row r="125" spans="1:93" outlineLevel="1" x14ac:dyDescent="0.2">
      <c r="D125" s="47" t="str">
        <f>D119</f>
        <v>Total</v>
      </c>
      <c r="E125" s="6"/>
      <c r="F125" s="6"/>
      <c r="G125" s="6"/>
      <c r="H125" s="6"/>
      <c r="I125" s="6"/>
      <c r="J125" s="6"/>
      <c r="K125" s="7" t="s">
        <v>137</v>
      </c>
      <c r="L125" s="49">
        <f t="shared" ref="L125:AQ125" ca="1" si="11">SUM(L122,L123,L124/conv_CMtoBbls)</f>
        <v>8.6294348880000005</v>
      </c>
      <c r="M125" s="49">
        <f t="shared" ca="1" si="11"/>
        <v>18.736166394000001</v>
      </c>
      <c r="N125" s="49">
        <f t="shared" ca="1" si="11"/>
        <v>28.329217336999996</v>
      </c>
      <c r="O125" s="49">
        <f t="shared" ca="1" si="11"/>
        <v>37.379814336999999</v>
      </c>
      <c r="P125" s="49">
        <f t="shared" ca="1" si="11"/>
        <v>45.456490336999998</v>
      </c>
      <c r="Q125" s="49">
        <f t="shared" ca="1" si="11"/>
        <v>52.636491336999995</v>
      </c>
      <c r="R125" s="49">
        <f t="shared" ca="1" si="11"/>
        <v>59.069165837999996</v>
      </c>
      <c r="S125" s="49">
        <f t="shared" ca="1" si="11"/>
        <v>64.082565837999994</v>
      </c>
      <c r="T125" s="49">
        <f t="shared" ca="1" si="11"/>
        <v>68.745027837999999</v>
      </c>
      <c r="U125" s="49">
        <f t="shared" ca="1" si="11"/>
        <v>73.081117497999998</v>
      </c>
      <c r="V125" s="49">
        <f t="shared" ca="1" si="11"/>
        <v>77.113680881799993</v>
      </c>
      <c r="W125" s="49">
        <f t="shared" ca="1" si="11"/>
        <v>80.863964828733998</v>
      </c>
      <c r="X125" s="49">
        <f t="shared" ca="1" si="11"/>
        <v>84.351728899382607</v>
      </c>
      <c r="Y125" s="49">
        <f t="shared" ca="1" si="11"/>
        <v>84.351728899382607</v>
      </c>
      <c r="Z125" s="49">
        <f t="shared" ca="1" si="11"/>
        <v>84.351728899382607</v>
      </c>
      <c r="AA125" s="49">
        <f t="shared" ca="1" si="11"/>
        <v>84.351728899382607</v>
      </c>
      <c r="AB125" s="49">
        <f t="shared" ca="1" si="11"/>
        <v>84.351728899382607</v>
      </c>
      <c r="AC125" s="49">
        <f t="shared" ca="1" si="11"/>
        <v>84.351728899382607</v>
      </c>
      <c r="AD125" s="49">
        <f t="shared" ca="1" si="11"/>
        <v>84.351728899382607</v>
      </c>
      <c r="AE125" s="49">
        <f t="shared" ca="1" si="11"/>
        <v>84.351728899382607</v>
      </c>
      <c r="AF125" s="49">
        <f t="shared" ca="1" si="11"/>
        <v>84.351728899382607</v>
      </c>
      <c r="AG125" s="49">
        <f t="shared" ca="1" si="11"/>
        <v>84.351728899382607</v>
      </c>
      <c r="AH125" s="49">
        <f t="shared" ca="1" si="11"/>
        <v>84.351728899382607</v>
      </c>
      <c r="AI125" s="49">
        <f t="shared" ca="1" si="11"/>
        <v>84.351728899382607</v>
      </c>
      <c r="AJ125" s="49">
        <f t="shared" ca="1" si="11"/>
        <v>84.351728899382607</v>
      </c>
      <c r="AK125" s="49">
        <f t="shared" ca="1" si="11"/>
        <v>84.351728899382607</v>
      </c>
      <c r="AL125" s="49">
        <f t="shared" ca="1" si="11"/>
        <v>84.351728899382607</v>
      </c>
      <c r="AM125" s="49">
        <f t="shared" ca="1" si="11"/>
        <v>84.351728899382607</v>
      </c>
      <c r="AN125" s="49">
        <f t="shared" ca="1" si="11"/>
        <v>84.351728899382607</v>
      </c>
      <c r="AO125" s="49">
        <f t="shared" ca="1" si="11"/>
        <v>84.351728899382607</v>
      </c>
      <c r="AP125" s="49">
        <f t="shared" ca="1" si="11"/>
        <v>84.351728899382607</v>
      </c>
      <c r="AQ125" s="49">
        <f t="shared" ca="1" si="11"/>
        <v>84.351728899382607</v>
      </c>
      <c r="AR125" s="49">
        <f t="shared" ref="AR125:BS125" ca="1" si="12">SUM(AR122,AR123,AR124/conv_CMtoBbls)</f>
        <v>84.351728899382607</v>
      </c>
      <c r="AS125" s="49">
        <f t="shared" ca="1" si="12"/>
        <v>84.351728899382607</v>
      </c>
      <c r="AT125" s="49">
        <f t="shared" ca="1" si="12"/>
        <v>84.351728899382607</v>
      </c>
      <c r="AU125" s="49">
        <f t="shared" ca="1" si="12"/>
        <v>84.351728899382607</v>
      </c>
      <c r="AV125" s="49">
        <f t="shared" ca="1" si="12"/>
        <v>84.351728899382607</v>
      </c>
      <c r="AW125" s="49">
        <f t="shared" ca="1" si="12"/>
        <v>84.351728899382607</v>
      </c>
      <c r="AX125" s="49">
        <f t="shared" ca="1" si="12"/>
        <v>84.351728899382607</v>
      </c>
      <c r="AY125" s="49">
        <f t="shared" ca="1" si="12"/>
        <v>84.351728899382607</v>
      </c>
      <c r="AZ125" s="49">
        <f t="shared" ca="1" si="12"/>
        <v>84.351728899382607</v>
      </c>
      <c r="BA125" s="49">
        <f t="shared" ca="1" si="12"/>
        <v>84.351728899382607</v>
      </c>
      <c r="BB125" s="49">
        <f t="shared" ca="1" si="12"/>
        <v>84.351728899382607</v>
      </c>
      <c r="BC125" s="49">
        <f t="shared" ca="1" si="12"/>
        <v>84.351728899382607</v>
      </c>
      <c r="BD125" s="49">
        <f t="shared" ca="1" si="12"/>
        <v>84.351728899382607</v>
      </c>
      <c r="BE125" s="49">
        <f t="shared" ca="1" si="12"/>
        <v>84.351728899382607</v>
      </c>
      <c r="BF125" s="49">
        <f t="shared" ca="1" si="12"/>
        <v>84.351728899382607</v>
      </c>
      <c r="BG125" s="49">
        <f t="shared" ca="1" si="12"/>
        <v>84.351728899382607</v>
      </c>
      <c r="BH125" s="49">
        <f t="shared" ca="1" si="12"/>
        <v>84.351728899382607</v>
      </c>
      <c r="BI125" s="49">
        <f t="shared" ca="1" si="12"/>
        <v>84.351728899382607</v>
      </c>
      <c r="BJ125" s="49">
        <f t="shared" ca="1" si="12"/>
        <v>84.351728899382607</v>
      </c>
      <c r="BK125" s="49">
        <f t="shared" ca="1" si="12"/>
        <v>84.351728899382607</v>
      </c>
      <c r="BL125" s="49">
        <f t="shared" ca="1" si="12"/>
        <v>84.351728899382607</v>
      </c>
      <c r="BM125" s="49">
        <f t="shared" ca="1" si="12"/>
        <v>84.351728899382607</v>
      </c>
      <c r="BN125" s="49">
        <f t="shared" ca="1" si="12"/>
        <v>84.351728899382607</v>
      </c>
      <c r="BO125" s="49">
        <f t="shared" ca="1" si="12"/>
        <v>84.351728899382607</v>
      </c>
      <c r="BP125" s="49">
        <f t="shared" ca="1" si="12"/>
        <v>84.351728899382607</v>
      </c>
      <c r="BQ125" s="49">
        <f t="shared" ca="1" si="12"/>
        <v>84.351728899382607</v>
      </c>
      <c r="BR125" s="49">
        <f t="shared" ca="1" si="12"/>
        <v>84.351728899382607</v>
      </c>
      <c r="BS125" s="49">
        <f t="shared" ca="1" si="12"/>
        <v>84.351728899382607</v>
      </c>
    </row>
    <row r="126" spans="1:93" outlineLevel="1" x14ac:dyDescent="0.2">
      <c r="J126" s="26"/>
      <c r="L126" s="55"/>
      <c r="M126" s="55"/>
      <c r="N126" s="55"/>
      <c r="O126" s="55"/>
      <c r="P126" s="55"/>
      <c r="Q126" s="55"/>
      <c r="R126" s="55"/>
      <c r="S126" s="55"/>
      <c r="T126" s="55"/>
      <c r="U126" s="55"/>
      <c r="V126" s="55"/>
      <c r="W126" s="55"/>
      <c r="X126" s="55"/>
      <c r="Y126" s="55"/>
      <c r="Z126" s="55"/>
      <c r="AA126" s="55"/>
      <c r="AB126" s="55"/>
      <c r="AC126" s="55"/>
      <c r="AD126" s="55"/>
      <c r="AE126" s="55"/>
      <c r="AF126" s="55"/>
      <c r="AG126" s="55"/>
      <c r="AH126" s="55"/>
      <c r="AI126" s="55"/>
      <c r="AJ126" s="55"/>
      <c r="AK126" s="55"/>
      <c r="AL126" s="55"/>
      <c r="AM126" s="55"/>
      <c r="AN126" s="55"/>
      <c r="AO126" s="55"/>
      <c r="AP126" s="55"/>
      <c r="AQ126" s="55"/>
      <c r="AR126" s="55"/>
      <c r="AS126" s="55"/>
      <c r="AT126" s="55"/>
      <c r="AU126" s="55"/>
      <c r="AV126" s="55"/>
      <c r="AW126" s="55"/>
      <c r="AX126" s="55"/>
      <c r="AY126" s="55"/>
      <c r="AZ126" s="55"/>
      <c r="BA126" s="55"/>
      <c r="BB126" s="55"/>
      <c r="BC126" s="55"/>
      <c r="BD126" s="55"/>
      <c r="BE126" s="55"/>
      <c r="BF126" s="55"/>
      <c r="BG126" s="55"/>
      <c r="BH126" s="55"/>
      <c r="BI126" s="55"/>
      <c r="BJ126" s="55"/>
      <c r="BK126" s="55"/>
      <c r="BL126" s="55"/>
      <c r="BM126" s="55"/>
      <c r="BN126" s="55"/>
      <c r="BO126" s="55"/>
      <c r="BP126" s="55"/>
      <c r="BQ126" s="55"/>
      <c r="BR126" s="55"/>
      <c r="BS126" s="55"/>
    </row>
    <row r="127" spans="1:93" outlineLevel="1" x14ac:dyDescent="0.2">
      <c r="C127" s="11" t="str">
        <f>CHOOSE(db_ML_selected,'Liste Traduction'!B275,'Liste Traduction'!C275)</f>
        <v>Volumes de ventes brutes</v>
      </c>
      <c r="J127" s="26"/>
    </row>
    <row r="128" spans="1:93" outlineLevel="1" x14ac:dyDescent="0.2">
      <c r="D128" t="str">
        <f>D122</f>
        <v>Pétrole</v>
      </c>
      <c r="I128" s="30">
        <f ca="1">SUM($L128:$BS128)</f>
        <v>70.61990457934013</v>
      </c>
      <c r="J128" s="26" t="s">
        <v>42</v>
      </c>
      <c r="K128" s="7" t="s">
        <v>669</v>
      </c>
      <c r="L128" s="49">
        <f t="shared" ref="L128:AQ128" ca="1" si="13">OFFSET(_xlfn.SINGLE(IA_sales_oil),2,)</f>
        <v>7.47546</v>
      </c>
      <c r="M128" s="49">
        <f t="shared" ca="1" si="13"/>
        <v>8.8948470000000004</v>
      </c>
      <c r="N128" s="49">
        <f t="shared" ca="1" si="13"/>
        <v>7.7062299999999997</v>
      </c>
      <c r="O128" s="49">
        <f t="shared" ca="1" si="13"/>
        <v>7.9170199999999999</v>
      </c>
      <c r="P128" s="49">
        <f t="shared" ca="1" si="13"/>
        <v>7.3475190000000001</v>
      </c>
      <c r="Q128" s="49">
        <f t="shared" ca="1" si="13"/>
        <v>5.786556</v>
      </c>
      <c r="R128" s="49">
        <f t="shared" ca="1" si="13"/>
        <v>6.4020060000000001</v>
      </c>
      <c r="S128" s="49">
        <f t="shared" ca="1" si="13"/>
        <v>3.7854999999999999</v>
      </c>
      <c r="T128" s="49">
        <f t="shared" ca="1" si="13"/>
        <v>3.5205149999999996</v>
      </c>
      <c r="U128" s="49">
        <f t="shared" ca="1" si="13"/>
        <v>3.2740789499999994</v>
      </c>
      <c r="V128" s="49">
        <f t="shared" ca="1" si="13"/>
        <v>3.0448934234999991</v>
      </c>
      <c r="W128" s="49">
        <f t="shared" ca="1" si="13"/>
        <v>2.831750883854999</v>
      </c>
      <c r="X128" s="49">
        <f t="shared" ca="1" si="13"/>
        <v>2.6335283219851489</v>
      </c>
      <c r="Y128" s="49">
        <f t="shared" ca="1" si="13"/>
        <v>0</v>
      </c>
      <c r="Z128" s="49">
        <f t="shared" ca="1" si="13"/>
        <v>0</v>
      </c>
      <c r="AA128" s="49">
        <f t="shared" ca="1" si="13"/>
        <v>0</v>
      </c>
      <c r="AB128" s="49">
        <f t="shared" ca="1" si="13"/>
        <v>0</v>
      </c>
      <c r="AC128" s="49">
        <f t="shared" ca="1" si="13"/>
        <v>0</v>
      </c>
      <c r="AD128" s="49">
        <f t="shared" ca="1" si="13"/>
        <v>0</v>
      </c>
      <c r="AE128" s="49">
        <f t="shared" ca="1" si="13"/>
        <v>0</v>
      </c>
      <c r="AF128" s="49">
        <f t="shared" ca="1" si="13"/>
        <v>0</v>
      </c>
      <c r="AG128" s="49">
        <f t="shared" ca="1" si="13"/>
        <v>0</v>
      </c>
      <c r="AH128" s="49">
        <f t="shared" ca="1" si="13"/>
        <v>0</v>
      </c>
      <c r="AI128" s="49">
        <f t="shared" ca="1" si="13"/>
        <v>0</v>
      </c>
      <c r="AJ128" s="49">
        <f t="shared" ca="1" si="13"/>
        <v>0</v>
      </c>
      <c r="AK128" s="49">
        <f t="shared" ca="1" si="13"/>
        <v>0</v>
      </c>
      <c r="AL128" s="49">
        <f t="shared" ca="1" si="13"/>
        <v>0</v>
      </c>
      <c r="AM128" s="49">
        <f t="shared" ca="1" si="13"/>
        <v>0</v>
      </c>
      <c r="AN128" s="49">
        <f t="shared" ca="1" si="13"/>
        <v>0</v>
      </c>
      <c r="AO128" s="49">
        <f t="shared" ca="1" si="13"/>
        <v>0</v>
      </c>
      <c r="AP128" s="49">
        <f t="shared" ca="1" si="13"/>
        <v>0</v>
      </c>
      <c r="AQ128" s="49">
        <f t="shared" ca="1" si="13"/>
        <v>0</v>
      </c>
      <c r="AR128" s="49">
        <f t="shared" ref="AR128:BS128" ca="1" si="14">OFFSET(_xlfn.SINGLE(IA_sales_oil),2,)</f>
        <v>0</v>
      </c>
      <c r="AS128" s="49">
        <f t="shared" ca="1" si="14"/>
        <v>0</v>
      </c>
      <c r="AT128" s="49">
        <f t="shared" ca="1" si="14"/>
        <v>0</v>
      </c>
      <c r="AU128" s="49">
        <f t="shared" ca="1" si="14"/>
        <v>0</v>
      </c>
      <c r="AV128" s="49">
        <f t="shared" ca="1" si="14"/>
        <v>0</v>
      </c>
      <c r="AW128" s="49">
        <f t="shared" ca="1" si="14"/>
        <v>0</v>
      </c>
      <c r="AX128" s="49">
        <f t="shared" ca="1" si="14"/>
        <v>0</v>
      </c>
      <c r="AY128" s="49">
        <f t="shared" ca="1" si="14"/>
        <v>0</v>
      </c>
      <c r="AZ128" s="49">
        <f t="shared" ca="1" si="14"/>
        <v>0</v>
      </c>
      <c r="BA128" s="49">
        <f t="shared" ca="1" si="14"/>
        <v>0</v>
      </c>
      <c r="BB128" s="49">
        <f t="shared" ca="1" si="14"/>
        <v>0</v>
      </c>
      <c r="BC128" s="49">
        <f t="shared" ca="1" si="14"/>
        <v>0</v>
      </c>
      <c r="BD128" s="49">
        <f t="shared" ca="1" si="14"/>
        <v>0</v>
      </c>
      <c r="BE128" s="49">
        <f t="shared" ca="1" si="14"/>
        <v>0</v>
      </c>
      <c r="BF128" s="49">
        <f t="shared" ca="1" si="14"/>
        <v>0</v>
      </c>
      <c r="BG128" s="49">
        <f t="shared" ca="1" si="14"/>
        <v>0</v>
      </c>
      <c r="BH128" s="49">
        <f t="shared" ca="1" si="14"/>
        <v>0</v>
      </c>
      <c r="BI128" s="49">
        <f t="shared" ca="1" si="14"/>
        <v>0</v>
      </c>
      <c r="BJ128" s="49">
        <f t="shared" ca="1" si="14"/>
        <v>0</v>
      </c>
      <c r="BK128" s="49">
        <f t="shared" ca="1" si="14"/>
        <v>0</v>
      </c>
      <c r="BL128" s="49">
        <f t="shared" ca="1" si="14"/>
        <v>0</v>
      </c>
      <c r="BM128" s="49">
        <f t="shared" ca="1" si="14"/>
        <v>0</v>
      </c>
      <c r="BN128" s="49">
        <f t="shared" ca="1" si="14"/>
        <v>0</v>
      </c>
      <c r="BO128" s="49">
        <f t="shared" ca="1" si="14"/>
        <v>0</v>
      </c>
      <c r="BP128" s="49">
        <f t="shared" ca="1" si="14"/>
        <v>0</v>
      </c>
      <c r="BQ128" s="49">
        <f t="shared" ca="1" si="14"/>
        <v>0</v>
      </c>
      <c r="BR128" s="49">
        <f t="shared" ca="1" si="14"/>
        <v>0</v>
      </c>
      <c r="BS128" s="49">
        <f t="shared" ca="1" si="14"/>
        <v>0</v>
      </c>
    </row>
    <row r="129" spans="1:93" outlineLevel="1" x14ac:dyDescent="0.2">
      <c r="D129" t="str">
        <f>D123</f>
        <v>GPL</v>
      </c>
      <c r="I129" s="30">
        <f ca="1">SUM($L129:$BS129)</f>
        <v>16.17104648204247</v>
      </c>
      <c r="J129" s="26" t="s">
        <v>42</v>
      </c>
      <c r="K129" s="7" t="s">
        <v>685</v>
      </c>
      <c r="L129" s="49">
        <f t="shared" ref="L129:AQ129" ca="1" si="15">OFFSET(_xlfn.SINGLE(IA_sales_lpg),2,)</f>
        <v>1.269476</v>
      </c>
      <c r="M129" s="49">
        <f t="shared" ca="1" si="15"/>
        <v>1.825771</v>
      </c>
      <c r="N129" s="49">
        <f t="shared" ca="1" si="15"/>
        <v>1.4945170000000001</v>
      </c>
      <c r="O129" s="49">
        <f t="shared" ca="1" si="15"/>
        <v>2.006024</v>
      </c>
      <c r="P129" s="49">
        <f t="shared" ca="1" si="15"/>
        <v>1.2955760000000001</v>
      </c>
      <c r="Q129" s="49">
        <f t="shared" ca="1" si="15"/>
        <v>0.92556799999999995</v>
      </c>
      <c r="R129" s="49">
        <f t="shared" ca="1" si="15"/>
        <v>1.161818</v>
      </c>
      <c r="S129" s="49">
        <f t="shared" ca="1" si="15"/>
        <v>1.2279</v>
      </c>
      <c r="T129" s="49">
        <f t="shared" ca="1" si="15"/>
        <v>1.1419469999999998</v>
      </c>
      <c r="U129" s="49">
        <f t="shared" ca="1" si="15"/>
        <v>1.0620107099999998</v>
      </c>
      <c r="V129" s="49">
        <f t="shared" ca="1" si="15"/>
        <v>0.98766996029999976</v>
      </c>
      <c r="W129" s="49">
        <f t="shared" ca="1" si="15"/>
        <v>0.91853306307899973</v>
      </c>
      <c r="X129" s="49">
        <f t="shared" ca="1" si="15"/>
        <v>0.85423574866346974</v>
      </c>
      <c r="Y129" s="49">
        <f t="shared" ca="1" si="15"/>
        <v>0</v>
      </c>
      <c r="Z129" s="49">
        <f t="shared" ca="1" si="15"/>
        <v>0</v>
      </c>
      <c r="AA129" s="49">
        <f t="shared" ca="1" si="15"/>
        <v>0</v>
      </c>
      <c r="AB129" s="49">
        <f t="shared" ca="1" si="15"/>
        <v>0</v>
      </c>
      <c r="AC129" s="49">
        <f t="shared" ca="1" si="15"/>
        <v>0</v>
      </c>
      <c r="AD129" s="49">
        <f t="shared" ca="1" si="15"/>
        <v>0</v>
      </c>
      <c r="AE129" s="49">
        <f t="shared" ca="1" si="15"/>
        <v>0</v>
      </c>
      <c r="AF129" s="49">
        <f t="shared" ca="1" si="15"/>
        <v>0</v>
      </c>
      <c r="AG129" s="49">
        <f t="shared" ca="1" si="15"/>
        <v>0</v>
      </c>
      <c r="AH129" s="49">
        <f t="shared" ca="1" si="15"/>
        <v>0</v>
      </c>
      <c r="AI129" s="49">
        <f t="shared" ca="1" si="15"/>
        <v>0</v>
      </c>
      <c r="AJ129" s="49">
        <f t="shared" ca="1" si="15"/>
        <v>0</v>
      </c>
      <c r="AK129" s="49">
        <f t="shared" ca="1" si="15"/>
        <v>0</v>
      </c>
      <c r="AL129" s="49">
        <f t="shared" ca="1" si="15"/>
        <v>0</v>
      </c>
      <c r="AM129" s="49">
        <f t="shared" ca="1" si="15"/>
        <v>0</v>
      </c>
      <c r="AN129" s="49">
        <f t="shared" ca="1" si="15"/>
        <v>0</v>
      </c>
      <c r="AO129" s="49">
        <f t="shared" ca="1" si="15"/>
        <v>0</v>
      </c>
      <c r="AP129" s="49">
        <f t="shared" ca="1" si="15"/>
        <v>0</v>
      </c>
      <c r="AQ129" s="49">
        <f t="shared" ca="1" si="15"/>
        <v>0</v>
      </c>
      <c r="AR129" s="49">
        <f t="shared" ref="AR129:BS129" ca="1" si="16">OFFSET(_xlfn.SINGLE(IA_sales_lpg),2,)</f>
        <v>0</v>
      </c>
      <c r="AS129" s="49">
        <f t="shared" ca="1" si="16"/>
        <v>0</v>
      </c>
      <c r="AT129" s="49">
        <f t="shared" ca="1" si="16"/>
        <v>0</v>
      </c>
      <c r="AU129" s="49">
        <f t="shared" ca="1" si="16"/>
        <v>0</v>
      </c>
      <c r="AV129" s="49">
        <f t="shared" ca="1" si="16"/>
        <v>0</v>
      </c>
      <c r="AW129" s="49">
        <f t="shared" ca="1" si="16"/>
        <v>0</v>
      </c>
      <c r="AX129" s="49">
        <f t="shared" ca="1" si="16"/>
        <v>0</v>
      </c>
      <c r="AY129" s="49">
        <f t="shared" ca="1" si="16"/>
        <v>0</v>
      </c>
      <c r="AZ129" s="49">
        <f t="shared" ca="1" si="16"/>
        <v>0</v>
      </c>
      <c r="BA129" s="49">
        <f t="shared" ca="1" si="16"/>
        <v>0</v>
      </c>
      <c r="BB129" s="49">
        <f t="shared" ca="1" si="16"/>
        <v>0</v>
      </c>
      <c r="BC129" s="49">
        <f t="shared" ca="1" si="16"/>
        <v>0</v>
      </c>
      <c r="BD129" s="49">
        <f t="shared" ca="1" si="16"/>
        <v>0</v>
      </c>
      <c r="BE129" s="49">
        <f t="shared" ca="1" si="16"/>
        <v>0</v>
      </c>
      <c r="BF129" s="49">
        <f t="shared" ca="1" si="16"/>
        <v>0</v>
      </c>
      <c r="BG129" s="49">
        <f t="shared" ca="1" si="16"/>
        <v>0</v>
      </c>
      <c r="BH129" s="49">
        <f t="shared" ca="1" si="16"/>
        <v>0</v>
      </c>
      <c r="BI129" s="49">
        <f t="shared" ca="1" si="16"/>
        <v>0</v>
      </c>
      <c r="BJ129" s="49">
        <f t="shared" ca="1" si="16"/>
        <v>0</v>
      </c>
      <c r="BK129" s="49">
        <f t="shared" ca="1" si="16"/>
        <v>0</v>
      </c>
      <c r="BL129" s="49">
        <f t="shared" ca="1" si="16"/>
        <v>0</v>
      </c>
      <c r="BM129" s="49">
        <f t="shared" ca="1" si="16"/>
        <v>0</v>
      </c>
      <c r="BN129" s="49">
        <f t="shared" ca="1" si="16"/>
        <v>0</v>
      </c>
      <c r="BO129" s="49">
        <f t="shared" ca="1" si="16"/>
        <v>0</v>
      </c>
      <c r="BP129" s="49">
        <f t="shared" ca="1" si="16"/>
        <v>0</v>
      </c>
      <c r="BQ129" s="49">
        <f t="shared" ca="1" si="16"/>
        <v>0</v>
      </c>
      <c r="BR129" s="49">
        <f t="shared" ca="1" si="16"/>
        <v>0</v>
      </c>
      <c r="BS129" s="49">
        <f t="shared" ca="1" si="16"/>
        <v>0</v>
      </c>
    </row>
    <row r="130" spans="1:93" outlineLevel="1" x14ac:dyDescent="0.2">
      <c r="D130" t="str">
        <f>D124</f>
        <v>Gaz</v>
      </c>
      <c r="I130" s="46">
        <f ca="1">SUM($L130:$BS130)</f>
        <v>0</v>
      </c>
      <c r="J130" s="26" t="s">
        <v>653</v>
      </c>
      <c r="K130" s="7" t="s">
        <v>670</v>
      </c>
      <c r="L130" s="54">
        <f t="shared" ref="L130:AQ130" ca="1" si="17">OFFSET(_xlfn.SINGLE(IA_sales_gas),2,)</f>
        <v>0</v>
      </c>
      <c r="M130" s="54">
        <f t="shared" ca="1" si="17"/>
        <v>0</v>
      </c>
      <c r="N130" s="54">
        <f t="shared" ca="1" si="17"/>
        <v>0</v>
      </c>
      <c r="O130" s="54">
        <f t="shared" ca="1" si="17"/>
        <v>0</v>
      </c>
      <c r="P130" s="54">
        <f t="shared" ca="1" si="17"/>
        <v>0</v>
      </c>
      <c r="Q130" s="54">
        <f t="shared" ca="1" si="17"/>
        <v>0</v>
      </c>
      <c r="R130" s="54">
        <f t="shared" ca="1" si="17"/>
        <v>0</v>
      </c>
      <c r="S130" s="54">
        <f t="shared" ca="1" si="17"/>
        <v>0</v>
      </c>
      <c r="T130" s="54">
        <f t="shared" ca="1" si="17"/>
        <v>0</v>
      </c>
      <c r="U130" s="54">
        <f t="shared" ca="1" si="17"/>
        <v>0</v>
      </c>
      <c r="V130" s="54">
        <f t="shared" ca="1" si="17"/>
        <v>0</v>
      </c>
      <c r="W130" s="54">
        <f t="shared" ca="1" si="17"/>
        <v>0</v>
      </c>
      <c r="X130" s="54">
        <f t="shared" ca="1" si="17"/>
        <v>0</v>
      </c>
      <c r="Y130" s="54">
        <f t="shared" ca="1" si="17"/>
        <v>0</v>
      </c>
      <c r="Z130" s="54">
        <f t="shared" ca="1" si="17"/>
        <v>0</v>
      </c>
      <c r="AA130" s="54">
        <f t="shared" ca="1" si="17"/>
        <v>0</v>
      </c>
      <c r="AB130" s="54">
        <f t="shared" ca="1" si="17"/>
        <v>0</v>
      </c>
      <c r="AC130" s="54">
        <f t="shared" ca="1" si="17"/>
        <v>0</v>
      </c>
      <c r="AD130" s="54">
        <f t="shared" ca="1" si="17"/>
        <v>0</v>
      </c>
      <c r="AE130" s="54">
        <f t="shared" ca="1" si="17"/>
        <v>0</v>
      </c>
      <c r="AF130" s="54">
        <f t="shared" ca="1" si="17"/>
        <v>0</v>
      </c>
      <c r="AG130" s="54">
        <f t="shared" ca="1" si="17"/>
        <v>0</v>
      </c>
      <c r="AH130" s="54">
        <f t="shared" ca="1" si="17"/>
        <v>0</v>
      </c>
      <c r="AI130" s="54">
        <f t="shared" ca="1" si="17"/>
        <v>0</v>
      </c>
      <c r="AJ130" s="54">
        <f t="shared" ca="1" si="17"/>
        <v>0</v>
      </c>
      <c r="AK130" s="54">
        <f t="shared" ca="1" si="17"/>
        <v>0</v>
      </c>
      <c r="AL130" s="54">
        <f t="shared" ca="1" si="17"/>
        <v>0</v>
      </c>
      <c r="AM130" s="54">
        <f t="shared" ca="1" si="17"/>
        <v>0</v>
      </c>
      <c r="AN130" s="54">
        <f t="shared" ca="1" si="17"/>
        <v>0</v>
      </c>
      <c r="AO130" s="54">
        <f t="shared" ca="1" si="17"/>
        <v>0</v>
      </c>
      <c r="AP130" s="54">
        <f t="shared" ca="1" si="17"/>
        <v>0</v>
      </c>
      <c r="AQ130" s="54">
        <f t="shared" ca="1" si="17"/>
        <v>0</v>
      </c>
      <c r="AR130" s="54">
        <f t="shared" ref="AR130:BS130" ca="1" si="18">OFFSET(_xlfn.SINGLE(IA_sales_gas),2,)</f>
        <v>0</v>
      </c>
      <c r="AS130" s="54">
        <f t="shared" ca="1" si="18"/>
        <v>0</v>
      </c>
      <c r="AT130" s="54">
        <f t="shared" ca="1" si="18"/>
        <v>0</v>
      </c>
      <c r="AU130" s="54">
        <f t="shared" ca="1" si="18"/>
        <v>0</v>
      </c>
      <c r="AV130" s="54">
        <f t="shared" ca="1" si="18"/>
        <v>0</v>
      </c>
      <c r="AW130" s="54">
        <f t="shared" ca="1" si="18"/>
        <v>0</v>
      </c>
      <c r="AX130" s="54">
        <f t="shared" ca="1" si="18"/>
        <v>0</v>
      </c>
      <c r="AY130" s="54">
        <f t="shared" ca="1" si="18"/>
        <v>0</v>
      </c>
      <c r="AZ130" s="54">
        <f t="shared" ca="1" si="18"/>
        <v>0</v>
      </c>
      <c r="BA130" s="54">
        <f t="shared" ca="1" si="18"/>
        <v>0</v>
      </c>
      <c r="BB130" s="54">
        <f t="shared" ca="1" si="18"/>
        <v>0</v>
      </c>
      <c r="BC130" s="54">
        <f t="shared" ca="1" si="18"/>
        <v>0</v>
      </c>
      <c r="BD130" s="54">
        <f t="shared" ca="1" si="18"/>
        <v>0</v>
      </c>
      <c r="BE130" s="54">
        <f t="shared" ca="1" si="18"/>
        <v>0</v>
      </c>
      <c r="BF130" s="54">
        <f t="shared" ca="1" si="18"/>
        <v>0</v>
      </c>
      <c r="BG130" s="54">
        <f t="shared" ca="1" si="18"/>
        <v>0</v>
      </c>
      <c r="BH130" s="54">
        <f t="shared" ca="1" si="18"/>
        <v>0</v>
      </c>
      <c r="BI130" s="54">
        <f t="shared" ca="1" si="18"/>
        <v>0</v>
      </c>
      <c r="BJ130" s="54">
        <f t="shared" ca="1" si="18"/>
        <v>0</v>
      </c>
      <c r="BK130" s="54">
        <f t="shared" ca="1" si="18"/>
        <v>0</v>
      </c>
      <c r="BL130" s="54">
        <f t="shared" ca="1" si="18"/>
        <v>0</v>
      </c>
      <c r="BM130" s="54">
        <f t="shared" ca="1" si="18"/>
        <v>0</v>
      </c>
      <c r="BN130" s="54">
        <f t="shared" ca="1" si="18"/>
        <v>0</v>
      </c>
      <c r="BO130" s="54">
        <f t="shared" ca="1" si="18"/>
        <v>0</v>
      </c>
      <c r="BP130" s="54">
        <f t="shared" ca="1" si="18"/>
        <v>0</v>
      </c>
      <c r="BQ130" s="54">
        <f t="shared" ca="1" si="18"/>
        <v>0</v>
      </c>
      <c r="BR130" s="54">
        <f t="shared" ca="1" si="18"/>
        <v>0</v>
      </c>
      <c r="BS130" s="54">
        <f t="shared" ca="1" si="18"/>
        <v>0</v>
      </c>
    </row>
    <row r="131" spans="1:93" outlineLevel="1" x14ac:dyDescent="0.2">
      <c r="A131" s="6"/>
      <c r="B131" s="6"/>
      <c r="C131" s="6"/>
      <c r="D131" s="47" t="str">
        <f>D125</f>
        <v>Total</v>
      </c>
      <c r="E131" s="6"/>
      <c r="F131" s="6"/>
      <c r="G131" s="6"/>
      <c r="H131" s="6"/>
      <c r="I131" s="30">
        <f ca="1">SUM($L131:$BS131)</f>
        <v>86.790951061382628</v>
      </c>
      <c r="J131" s="26" t="s">
        <v>130</v>
      </c>
      <c r="K131" s="7" t="s">
        <v>671</v>
      </c>
      <c r="L131" s="49">
        <f t="shared" ref="L131:AQ131" ca="1" si="19">SUM(L128,L129,L130/conv_CMtoBbls)</f>
        <v>8.7449359999999992</v>
      </c>
      <c r="M131" s="49">
        <f t="shared" ca="1" si="19"/>
        <v>10.720618</v>
      </c>
      <c r="N131" s="49">
        <f t="shared" ca="1" si="19"/>
        <v>9.2007469999999998</v>
      </c>
      <c r="O131" s="49">
        <f t="shared" ca="1" si="19"/>
        <v>9.9230440000000009</v>
      </c>
      <c r="P131" s="49">
        <f t="shared" ca="1" si="19"/>
        <v>8.6430950000000006</v>
      </c>
      <c r="Q131" s="49">
        <f t="shared" ca="1" si="19"/>
        <v>6.7121240000000002</v>
      </c>
      <c r="R131" s="49">
        <f t="shared" ca="1" si="19"/>
        <v>7.5638240000000003</v>
      </c>
      <c r="S131" s="49">
        <f t="shared" ca="1" si="19"/>
        <v>5.0133999999999999</v>
      </c>
      <c r="T131" s="49">
        <f t="shared" ca="1" si="19"/>
        <v>4.6624619999999997</v>
      </c>
      <c r="U131" s="49">
        <f t="shared" ca="1" si="19"/>
        <v>4.336089659999999</v>
      </c>
      <c r="V131" s="49">
        <f t="shared" ca="1" si="19"/>
        <v>4.0325633837999986</v>
      </c>
      <c r="W131" s="49">
        <f t="shared" ca="1" si="19"/>
        <v>3.7502839469339988</v>
      </c>
      <c r="X131" s="49">
        <f t="shared" ca="1" si="19"/>
        <v>3.4877640706486188</v>
      </c>
      <c r="Y131" s="49">
        <f t="shared" ca="1" si="19"/>
        <v>0</v>
      </c>
      <c r="Z131" s="49">
        <f t="shared" ca="1" si="19"/>
        <v>0</v>
      </c>
      <c r="AA131" s="49">
        <f t="shared" ca="1" si="19"/>
        <v>0</v>
      </c>
      <c r="AB131" s="49">
        <f t="shared" ca="1" si="19"/>
        <v>0</v>
      </c>
      <c r="AC131" s="49">
        <f t="shared" ca="1" si="19"/>
        <v>0</v>
      </c>
      <c r="AD131" s="49">
        <f t="shared" ca="1" si="19"/>
        <v>0</v>
      </c>
      <c r="AE131" s="49">
        <f t="shared" ca="1" si="19"/>
        <v>0</v>
      </c>
      <c r="AF131" s="49">
        <f t="shared" ca="1" si="19"/>
        <v>0</v>
      </c>
      <c r="AG131" s="49">
        <f t="shared" ca="1" si="19"/>
        <v>0</v>
      </c>
      <c r="AH131" s="49">
        <f t="shared" ca="1" si="19"/>
        <v>0</v>
      </c>
      <c r="AI131" s="49">
        <f t="shared" ca="1" si="19"/>
        <v>0</v>
      </c>
      <c r="AJ131" s="49">
        <f t="shared" ca="1" si="19"/>
        <v>0</v>
      </c>
      <c r="AK131" s="49">
        <f t="shared" ca="1" si="19"/>
        <v>0</v>
      </c>
      <c r="AL131" s="49">
        <f t="shared" ca="1" si="19"/>
        <v>0</v>
      </c>
      <c r="AM131" s="49">
        <f t="shared" ca="1" si="19"/>
        <v>0</v>
      </c>
      <c r="AN131" s="49">
        <f t="shared" ca="1" si="19"/>
        <v>0</v>
      </c>
      <c r="AO131" s="49">
        <f t="shared" ca="1" si="19"/>
        <v>0</v>
      </c>
      <c r="AP131" s="49">
        <f t="shared" ca="1" si="19"/>
        <v>0</v>
      </c>
      <c r="AQ131" s="49">
        <f t="shared" ca="1" si="19"/>
        <v>0</v>
      </c>
      <c r="AR131" s="49">
        <f t="shared" ref="AR131:BS131" ca="1" si="20">SUM(AR128,AR129,AR130/conv_CMtoBbls)</f>
        <v>0</v>
      </c>
      <c r="AS131" s="49">
        <f t="shared" ca="1" si="20"/>
        <v>0</v>
      </c>
      <c r="AT131" s="49">
        <f t="shared" ca="1" si="20"/>
        <v>0</v>
      </c>
      <c r="AU131" s="49">
        <f t="shared" ca="1" si="20"/>
        <v>0</v>
      </c>
      <c r="AV131" s="49">
        <f t="shared" ca="1" si="20"/>
        <v>0</v>
      </c>
      <c r="AW131" s="49">
        <f t="shared" ca="1" si="20"/>
        <v>0</v>
      </c>
      <c r="AX131" s="49">
        <f t="shared" ca="1" si="20"/>
        <v>0</v>
      </c>
      <c r="AY131" s="49">
        <f t="shared" ca="1" si="20"/>
        <v>0</v>
      </c>
      <c r="AZ131" s="49">
        <f t="shared" ca="1" si="20"/>
        <v>0</v>
      </c>
      <c r="BA131" s="49">
        <f t="shared" ca="1" si="20"/>
        <v>0</v>
      </c>
      <c r="BB131" s="49">
        <f t="shared" ca="1" si="20"/>
        <v>0</v>
      </c>
      <c r="BC131" s="49">
        <f t="shared" ca="1" si="20"/>
        <v>0</v>
      </c>
      <c r="BD131" s="49">
        <f t="shared" ca="1" si="20"/>
        <v>0</v>
      </c>
      <c r="BE131" s="49">
        <f t="shared" ca="1" si="20"/>
        <v>0</v>
      </c>
      <c r="BF131" s="49">
        <f t="shared" ca="1" si="20"/>
        <v>0</v>
      </c>
      <c r="BG131" s="49">
        <f t="shared" ca="1" si="20"/>
        <v>0</v>
      </c>
      <c r="BH131" s="49">
        <f t="shared" ca="1" si="20"/>
        <v>0</v>
      </c>
      <c r="BI131" s="49">
        <f t="shared" ca="1" si="20"/>
        <v>0</v>
      </c>
      <c r="BJ131" s="49">
        <f t="shared" ca="1" si="20"/>
        <v>0</v>
      </c>
      <c r="BK131" s="49">
        <f t="shared" ca="1" si="20"/>
        <v>0</v>
      </c>
      <c r="BL131" s="49">
        <f t="shared" ca="1" si="20"/>
        <v>0</v>
      </c>
      <c r="BM131" s="49">
        <f t="shared" ca="1" si="20"/>
        <v>0</v>
      </c>
      <c r="BN131" s="49">
        <f t="shared" ca="1" si="20"/>
        <v>0</v>
      </c>
      <c r="BO131" s="49">
        <f t="shared" ca="1" si="20"/>
        <v>0</v>
      </c>
      <c r="BP131" s="49">
        <f t="shared" ca="1" si="20"/>
        <v>0</v>
      </c>
      <c r="BQ131" s="49">
        <f t="shared" ca="1" si="20"/>
        <v>0</v>
      </c>
      <c r="BR131" s="49">
        <f t="shared" ca="1" si="20"/>
        <v>0</v>
      </c>
      <c r="BS131" s="49">
        <f t="shared" ca="1" si="20"/>
        <v>0</v>
      </c>
      <c r="BT131" s="6"/>
      <c r="BU131" s="6"/>
      <c r="BV131" s="6"/>
      <c r="BW131" s="6"/>
      <c r="BX131" s="6"/>
      <c r="BY131" s="6"/>
      <c r="BZ131" s="6"/>
      <c r="CA131" s="6"/>
      <c r="CB131" s="6"/>
      <c r="CC131" s="6"/>
      <c r="CD131" s="6"/>
      <c r="CE131" s="6"/>
      <c r="CF131" s="6"/>
      <c r="CG131" s="6"/>
      <c r="CH131" s="6"/>
      <c r="CI131" s="6"/>
      <c r="CJ131" s="6"/>
      <c r="CK131" s="6"/>
      <c r="CL131" s="6"/>
      <c r="CM131" s="6"/>
      <c r="CN131" s="6"/>
      <c r="CO131" s="6"/>
    </row>
    <row r="132" spans="1:93" outlineLevel="1" x14ac:dyDescent="0.2">
      <c r="J132" s="26"/>
      <c r="L132" s="55"/>
      <c r="M132" s="55"/>
      <c r="N132" s="55"/>
      <c r="O132" s="55"/>
      <c r="P132" s="55"/>
      <c r="Q132" s="55"/>
      <c r="R132" s="55"/>
      <c r="S132" s="55"/>
      <c r="T132" s="55"/>
      <c r="U132" s="55"/>
      <c r="V132" s="55"/>
      <c r="W132" s="55"/>
      <c r="X132" s="55"/>
      <c r="Y132" s="55"/>
      <c r="Z132" s="55"/>
      <c r="AA132" s="55"/>
      <c r="AB132" s="55"/>
      <c r="AC132" s="55"/>
      <c r="AD132" s="55"/>
      <c r="AE132" s="55"/>
      <c r="AF132" s="55"/>
      <c r="AG132" s="55"/>
      <c r="AH132" s="55"/>
      <c r="AI132" s="55"/>
      <c r="AJ132" s="55"/>
      <c r="AK132" s="55"/>
      <c r="AL132" s="55"/>
      <c r="AM132" s="55"/>
      <c r="AN132" s="55"/>
      <c r="AO132" s="55"/>
      <c r="AP132" s="55"/>
      <c r="AQ132" s="55"/>
      <c r="AR132" s="55"/>
      <c r="AS132" s="55"/>
      <c r="AT132" s="55"/>
      <c r="AU132" s="55"/>
      <c r="AV132" s="55"/>
      <c r="AW132" s="55"/>
      <c r="AX132" s="55"/>
      <c r="AY132" s="55"/>
      <c r="AZ132" s="55"/>
      <c r="BA132" s="55"/>
      <c r="BB132" s="55"/>
      <c r="BC132" s="55"/>
      <c r="BD132" s="55"/>
      <c r="BE132" s="55"/>
      <c r="BF132" s="55"/>
      <c r="BG132" s="55"/>
      <c r="BH132" s="55"/>
      <c r="BI132" s="55"/>
      <c r="BJ132" s="55"/>
      <c r="BK132" s="55"/>
      <c r="BL132" s="55"/>
      <c r="BM132" s="55"/>
      <c r="BN132" s="55"/>
      <c r="BO132" s="55"/>
      <c r="BP132" s="55"/>
      <c r="BQ132" s="55"/>
      <c r="BR132" s="55"/>
      <c r="BS132" s="55"/>
    </row>
    <row r="133" spans="1:93" outlineLevel="1" x14ac:dyDescent="0.2">
      <c r="C133" s="11" t="str">
        <f>CHOOSE(db_ML_selected,'Liste Traduction'!B276,'Liste Traduction'!C276)</f>
        <v>Volumes de ventes brutes cumulées</v>
      </c>
      <c r="J133" s="26"/>
      <c r="L133" s="55"/>
      <c r="M133" s="55"/>
      <c r="N133" s="55"/>
      <c r="O133" s="55"/>
      <c r="P133" s="55"/>
      <c r="Q133" s="55"/>
      <c r="R133" s="55"/>
      <c r="S133" s="55"/>
      <c r="T133" s="55"/>
      <c r="U133" s="55"/>
      <c r="V133" s="55"/>
      <c r="W133" s="55"/>
      <c r="X133" s="55"/>
      <c r="Y133" s="55"/>
      <c r="Z133" s="55"/>
      <c r="AA133" s="55"/>
      <c r="AB133" s="55"/>
      <c r="AC133" s="55"/>
      <c r="AD133" s="55"/>
      <c r="AE133" s="55"/>
      <c r="AF133" s="55"/>
      <c r="AG133" s="55"/>
      <c r="AH133" s="55"/>
      <c r="AI133" s="55"/>
      <c r="AJ133" s="55"/>
      <c r="AK133" s="55"/>
      <c r="AL133" s="55"/>
      <c r="AM133" s="55"/>
      <c r="AN133" s="55"/>
      <c r="AO133" s="55"/>
      <c r="AP133" s="55"/>
      <c r="AQ133" s="55"/>
      <c r="AR133" s="55"/>
      <c r="AS133" s="55"/>
      <c r="AT133" s="55"/>
      <c r="AU133" s="55"/>
      <c r="AV133" s="55"/>
      <c r="AW133" s="55"/>
      <c r="AX133" s="55"/>
      <c r="AY133" s="55"/>
      <c r="AZ133" s="55"/>
      <c r="BA133" s="55"/>
      <c r="BB133" s="55"/>
      <c r="BC133" s="55"/>
      <c r="BD133" s="55"/>
      <c r="BE133" s="55"/>
      <c r="BF133" s="55"/>
      <c r="BG133" s="55"/>
      <c r="BH133" s="55"/>
      <c r="BI133" s="55"/>
      <c r="BJ133" s="55"/>
      <c r="BK133" s="55"/>
      <c r="BL133" s="55"/>
      <c r="BM133" s="55"/>
      <c r="BN133" s="55"/>
      <c r="BO133" s="55"/>
      <c r="BP133" s="55"/>
      <c r="BQ133" s="55"/>
      <c r="BR133" s="55"/>
      <c r="BS133" s="55"/>
    </row>
    <row r="134" spans="1:93" outlineLevel="1" x14ac:dyDescent="0.2">
      <c r="D134" t="str">
        <f>D128</f>
        <v>Pétrole</v>
      </c>
      <c r="K134" s="7" t="s">
        <v>672</v>
      </c>
      <c r="L134" s="49">
        <f t="shared" ref="L134:AQ134" ca="1" si="21">SUM(K134)+CA_gross_sales_oil</f>
        <v>7.47546</v>
      </c>
      <c r="M134" s="49">
        <f t="shared" ca="1" si="21"/>
        <v>16.370307</v>
      </c>
      <c r="N134" s="49">
        <f t="shared" ca="1" si="21"/>
        <v>24.076537000000002</v>
      </c>
      <c r="O134" s="49">
        <f t="shared" ca="1" si="21"/>
        <v>31.993557000000003</v>
      </c>
      <c r="P134" s="49">
        <f t="shared" ca="1" si="21"/>
        <v>39.341076000000001</v>
      </c>
      <c r="Q134" s="49">
        <f t="shared" ca="1" si="21"/>
        <v>45.127631999999998</v>
      </c>
      <c r="R134" s="49">
        <f t="shared" ca="1" si="21"/>
        <v>51.529637999999998</v>
      </c>
      <c r="S134" s="49">
        <f t="shared" ca="1" si="21"/>
        <v>55.315137999999997</v>
      </c>
      <c r="T134" s="49">
        <f t="shared" ca="1" si="21"/>
        <v>58.835652999999994</v>
      </c>
      <c r="U134" s="49">
        <f t="shared" ca="1" si="21"/>
        <v>62.10973194999999</v>
      </c>
      <c r="V134" s="49">
        <f t="shared" ca="1" si="21"/>
        <v>65.154625373499982</v>
      </c>
      <c r="W134" s="49">
        <f t="shared" ca="1" si="21"/>
        <v>67.986376257354976</v>
      </c>
      <c r="X134" s="49">
        <f t="shared" ca="1" si="21"/>
        <v>70.61990457934013</v>
      </c>
      <c r="Y134" s="49">
        <f t="shared" ca="1" si="21"/>
        <v>70.61990457934013</v>
      </c>
      <c r="Z134" s="49">
        <f t="shared" ca="1" si="21"/>
        <v>70.61990457934013</v>
      </c>
      <c r="AA134" s="49">
        <f t="shared" ca="1" si="21"/>
        <v>70.61990457934013</v>
      </c>
      <c r="AB134" s="49">
        <f t="shared" ca="1" si="21"/>
        <v>70.61990457934013</v>
      </c>
      <c r="AC134" s="49">
        <f t="shared" ca="1" si="21"/>
        <v>70.61990457934013</v>
      </c>
      <c r="AD134" s="49">
        <f t="shared" ca="1" si="21"/>
        <v>70.61990457934013</v>
      </c>
      <c r="AE134" s="49">
        <f t="shared" ca="1" si="21"/>
        <v>70.61990457934013</v>
      </c>
      <c r="AF134" s="49">
        <f t="shared" ca="1" si="21"/>
        <v>70.61990457934013</v>
      </c>
      <c r="AG134" s="49">
        <f t="shared" ca="1" si="21"/>
        <v>70.61990457934013</v>
      </c>
      <c r="AH134" s="49">
        <f t="shared" ca="1" si="21"/>
        <v>70.61990457934013</v>
      </c>
      <c r="AI134" s="49">
        <f t="shared" ca="1" si="21"/>
        <v>70.61990457934013</v>
      </c>
      <c r="AJ134" s="49">
        <f t="shared" ca="1" si="21"/>
        <v>70.61990457934013</v>
      </c>
      <c r="AK134" s="49">
        <f t="shared" ca="1" si="21"/>
        <v>70.61990457934013</v>
      </c>
      <c r="AL134" s="49">
        <f t="shared" ca="1" si="21"/>
        <v>70.61990457934013</v>
      </c>
      <c r="AM134" s="49">
        <f t="shared" ca="1" si="21"/>
        <v>70.61990457934013</v>
      </c>
      <c r="AN134" s="49">
        <f t="shared" ca="1" si="21"/>
        <v>70.61990457934013</v>
      </c>
      <c r="AO134" s="49">
        <f t="shared" ca="1" si="21"/>
        <v>70.61990457934013</v>
      </c>
      <c r="AP134" s="49">
        <f t="shared" ca="1" si="21"/>
        <v>70.61990457934013</v>
      </c>
      <c r="AQ134" s="49">
        <f t="shared" ca="1" si="21"/>
        <v>70.61990457934013</v>
      </c>
      <c r="AR134" s="49">
        <f t="shared" ref="AR134:BS134" ca="1" si="22">SUM(AQ134)+CA_gross_sales_oil</f>
        <v>70.61990457934013</v>
      </c>
      <c r="AS134" s="49">
        <f t="shared" ca="1" si="22"/>
        <v>70.61990457934013</v>
      </c>
      <c r="AT134" s="49">
        <f t="shared" ca="1" si="22"/>
        <v>70.61990457934013</v>
      </c>
      <c r="AU134" s="49">
        <f t="shared" ca="1" si="22"/>
        <v>70.61990457934013</v>
      </c>
      <c r="AV134" s="49">
        <f t="shared" ca="1" si="22"/>
        <v>70.61990457934013</v>
      </c>
      <c r="AW134" s="49">
        <f t="shared" ca="1" si="22"/>
        <v>70.61990457934013</v>
      </c>
      <c r="AX134" s="49">
        <f t="shared" ca="1" si="22"/>
        <v>70.61990457934013</v>
      </c>
      <c r="AY134" s="49">
        <f t="shared" ca="1" si="22"/>
        <v>70.61990457934013</v>
      </c>
      <c r="AZ134" s="49">
        <f t="shared" ca="1" si="22"/>
        <v>70.61990457934013</v>
      </c>
      <c r="BA134" s="49">
        <f t="shared" ca="1" si="22"/>
        <v>70.61990457934013</v>
      </c>
      <c r="BB134" s="49">
        <f t="shared" ca="1" si="22"/>
        <v>70.61990457934013</v>
      </c>
      <c r="BC134" s="49">
        <f t="shared" ca="1" si="22"/>
        <v>70.61990457934013</v>
      </c>
      <c r="BD134" s="49">
        <f t="shared" ca="1" si="22"/>
        <v>70.61990457934013</v>
      </c>
      <c r="BE134" s="49">
        <f t="shared" ca="1" si="22"/>
        <v>70.61990457934013</v>
      </c>
      <c r="BF134" s="49">
        <f t="shared" ca="1" si="22"/>
        <v>70.61990457934013</v>
      </c>
      <c r="BG134" s="49">
        <f t="shared" ca="1" si="22"/>
        <v>70.61990457934013</v>
      </c>
      <c r="BH134" s="49">
        <f t="shared" ca="1" si="22"/>
        <v>70.61990457934013</v>
      </c>
      <c r="BI134" s="49">
        <f t="shared" ca="1" si="22"/>
        <v>70.61990457934013</v>
      </c>
      <c r="BJ134" s="49">
        <f t="shared" ca="1" si="22"/>
        <v>70.61990457934013</v>
      </c>
      <c r="BK134" s="49">
        <f t="shared" ca="1" si="22"/>
        <v>70.61990457934013</v>
      </c>
      <c r="BL134" s="49">
        <f t="shared" ca="1" si="22"/>
        <v>70.61990457934013</v>
      </c>
      <c r="BM134" s="49">
        <f t="shared" ca="1" si="22"/>
        <v>70.61990457934013</v>
      </c>
      <c r="BN134" s="49">
        <f t="shared" ca="1" si="22"/>
        <v>70.61990457934013</v>
      </c>
      <c r="BO134" s="49">
        <f t="shared" ca="1" si="22"/>
        <v>70.61990457934013</v>
      </c>
      <c r="BP134" s="49">
        <f t="shared" ca="1" si="22"/>
        <v>70.61990457934013</v>
      </c>
      <c r="BQ134" s="49">
        <f t="shared" ca="1" si="22"/>
        <v>70.61990457934013</v>
      </c>
      <c r="BR134" s="49">
        <f t="shared" ca="1" si="22"/>
        <v>70.61990457934013</v>
      </c>
      <c r="BS134" s="49">
        <f t="shared" ca="1" si="22"/>
        <v>70.61990457934013</v>
      </c>
    </row>
    <row r="135" spans="1:93" outlineLevel="1" x14ac:dyDescent="0.2">
      <c r="D135" t="str">
        <f t="shared" ref="D135:D136" si="23">D129</f>
        <v>GPL</v>
      </c>
      <c r="K135" s="7" t="s">
        <v>687</v>
      </c>
      <c r="L135" s="49">
        <f t="shared" ref="L135:AQ135" ca="1" si="24">SUM(K135)+CA_gross_sales_lpg</f>
        <v>1.269476</v>
      </c>
      <c r="M135" s="49">
        <f t="shared" ca="1" si="24"/>
        <v>3.0952470000000001</v>
      </c>
      <c r="N135" s="49">
        <f t="shared" ca="1" si="24"/>
        <v>4.5897640000000006</v>
      </c>
      <c r="O135" s="49">
        <f t="shared" ca="1" si="24"/>
        <v>6.5957880000000007</v>
      </c>
      <c r="P135" s="49">
        <f t="shared" ca="1" si="24"/>
        <v>7.8913640000000012</v>
      </c>
      <c r="Q135" s="49">
        <f t="shared" ca="1" si="24"/>
        <v>8.8169320000000013</v>
      </c>
      <c r="R135" s="49">
        <f t="shared" ca="1" si="24"/>
        <v>9.9787500000000016</v>
      </c>
      <c r="S135" s="49">
        <f t="shared" ca="1" si="24"/>
        <v>11.206650000000002</v>
      </c>
      <c r="T135" s="49">
        <f t="shared" ca="1" si="24"/>
        <v>12.348597000000002</v>
      </c>
      <c r="U135" s="49">
        <f t="shared" ca="1" si="24"/>
        <v>13.410607710000001</v>
      </c>
      <c r="V135" s="49">
        <f t="shared" ca="1" si="24"/>
        <v>14.398277670300001</v>
      </c>
      <c r="W135" s="49">
        <f t="shared" ca="1" si="24"/>
        <v>15.316810733379</v>
      </c>
      <c r="X135" s="49">
        <f t="shared" ca="1" si="24"/>
        <v>16.17104648204247</v>
      </c>
      <c r="Y135" s="49">
        <f t="shared" ca="1" si="24"/>
        <v>16.17104648204247</v>
      </c>
      <c r="Z135" s="49">
        <f t="shared" ca="1" si="24"/>
        <v>16.17104648204247</v>
      </c>
      <c r="AA135" s="49">
        <f t="shared" ca="1" si="24"/>
        <v>16.17104648204247</v>
      </c>
      <c r="AB135" s="49">
        <f t="shared" ca="1" si="24"/>
        <v>16.17104648204247</v>
      </c>
      <c r="AC135" s="49">
        <f t="shared" ca="1" si="24"/>
        <v>16.17104648204247</v>
      </c>
      <c r="AD135" s="49">
        <f t="shared" ca="1" si="24"/>
        <v>16.17104648204247</v>
      </c>
      <c r="AE135" s="49">
        <f t="shared" ca="1" si="24"/>
        <v>16.17104648204247</v>
      </c>
      <c r="AF135" s="49">
        <f t="shared" ca="1" si="24"/>
        <v>16.17104648204247</v>
      </c>
      <c r="AG135" s="49">
        <f t="shared" ca="1" si="24"/>
        <v>16.17104648204247</v>
      </c>
      <c r="AH135" s="49">
        <f t="shared" ca="1" si="24"/>
        <v>16.17104648204247</v>
      </c>
      <c r="AI135" s="49">
        <f t="shared" ca="1" si="24"/>
        <v>16.17104648204247</v>
      </c>
      <c r="AJ135" s="49">
        <f t="shared" ca="1" si="24"/>
        <v>16.17104648204247</v>
      </c>
      <c r="AK135" s="49">
        <f t="shared" ca="1" si="24"/>
        <v>16.17104648204247</v>
      </c>
      <c r="AL135" s="49">
        <f t="shared" ca="1" si="24"/>
        <v>16.17104648204247</v>
      </c>
      <c r="AM135" s="49">
        <f t="shared" ca="1" si="24"/>
        <v>16.17104648204247</v>
      </c>
      <c r="AN135" s="49">
        <f t="shared" ca="1" si="24"/>
        <v>16.17104648204247</v>
      </c>
      <c r="AO135" s="49">
        <f t="shared" ca="1" si="24"/>
        <v>16.17104648204247</v>
      </c>
      <c r="AP135" s="49">
        <f t="shared" ca="1" si="24"/>
        <v>16.17104648204247</v>
      </c>
      <c r="AQ135" s="49">
        <f t="shared" ca="1" si="24"/>
        <v>16.17104648204247</v>
      </c>
      <c r="AR135" s="49">
        <f t="shared" ref="AR135:BS135" ca="1" si="25">SUM(AQ135)+CA_gross_sales_lpg</f>
        <v>16.17104648204247</v>
      </c>
      <c r="AS135" s="49">
        <f t="shared" ca="1" si="25"/>
        <v>16.17104648204247</v>
      </c>
      <c r="AT135" s="49">
        <f t="shared" ca="1" si="25"/>
        <v>16.17104648204247</v>
      </c>
      <c r="AU135" s="49">
        <f t="shared" ca="1" si="25"/>
        <v>16.17104648204247</v>
      </c>
      <c r="AV135" s="49">
        <f t="shared" ca="1" si="25"/>
        <v>16.17104648204247</v>
      </c>
      <c r="AW135" s="49">
        <f t="shared" ca="1" si="25"/>
        <v>16.17104648204247</v>
      </c>
      <c r="AX135" s="49">
        <f t="shared" ca="1" si="25"/>
        <v>16.17104648204247</v>
      </c>
      <c r="AY135" s="49">
        <f t="shared" ca="1" si="25"/>
        <v>16.17104648204247</v>
      </c>
      <c r="AZ135" s="49">
        <f t="shared" ca="1" si="25"/>
        <v>16.17104648204247</v>
      </c>
      <c r="BA135" s="49">
        <f t="shared" ca="1" si="25"/>
        <v>16.17104648204247</v>
      </c>
      <c r="BB135" s="49">
        <f t="shared" ca="1" si="25"/>
        <v>16.17104648204247</v>
      </c>
      <c r="BC135" s="49">
        <f t="shared" ca="1" si="25"/>
        <v>16.17104648204247</v>
      </c>
      <c r="BD135" s="49">
        <f t="shared" ca="1" si="25"/>
        <v>16.17104648204247</v>
      </c>
      <c r="BE135" s="49">
        <f t="shared" ca="1" si="25"/>
        <v>16.17104648204247</v>
      </c>
      <c r="BF135" s="49">
        <f t="shared" ca="1" si="25"/>
        <v>16.17104648204247</v>
      </c>
      <c r="BG135" s="49">
        <f t="shared" ca="1" si="25"/>
        <v>16.17104648204247</v>
      </c>
      <c r="BH135" s="49">
        <f t="shared" ca="1" si="25"/>
        <v>16.17104648204247</v>
      </c>
      <c r="BI135" s="49">
        <f t="shared" ca="1" si="25"/>
        <v>16.17104648204247</v>
      </c>
      <c r="BJ135" s="49">
        <f t="shared" ca="1" si="25"/>
        <v>16.17104648204247</v>
      </c>
      <c r="BK135" s="49">
        <f t="shared" ca="1" si="25"/>
        <v>16.17104648204247</v>
      </c>
      <c r="BL135" s="49">
        <f t="shared" ca="1" si="25"/>
        <v>16.17104648204247</v>
      </c>
      <c r="BM135" s="49">
        <f t="shared" ca="1" si="25"/>
        <v>16.17104648204247</v>
      </c>
      <c r="BN135" s="49">
        <f t="shared" ca="1" si="25"/>
        <v>16.17104648204247</v>
      </c>
      <c r="BO135" s="49">
        <f t="shared" ca="1" si="25"/>
        <v>16.17104648204247</v>
      </c>
      <c r="BP135" s="49">
        <f t="shared" ca="1" si="25"/>
        <v>16.17104648204247</v>
      </c>
      <c r="BQ135" s="49">
        <f t="shared" ca="1" si="25"/>
        <v>16.17104648204247</v>
      </c>
      <c r="BR135" s="49">
        <f t="shared" ca="1" si="25"/>
        <v>16.17104648204247</v>
      </c>
      <c r="BS135" s="49">
        <f t="shared" ca="1" si="25"/>
        <v>16.17104648204247</v>
      </c>
    </row>
    <row r="136" spans="1:93" outlineLevel="1" x14ac:dyDescent="0.2">
      <c r="D136" t="str">
        <f t="shared" si="23"/>
        <v>Gaz</v>
      </c>
      <c r="K136" s="7" t="s">
        <v>673</v>
      </c>
      <c r="L136" s="49">
        <f t="shared" ref="L136:AQ136" ca="1" si="26">SUM(K136)+CA_gross_sales_gas</f>
        <v>0</v>
      </c>
      <c r="M136" s="49">
        <f t="shared" ca="1" si="26"/>
        <v>0</v>
      </c>
      <c r="N136" s="49">
        <f t="shared" ca="1" si="26"/>
        <v>0</v>
      </c>
      <c r="O136" s="49">
        <f t="shared" ca="1" si="26"/>
        <v>0</v>
      </c>
      <c r="P136" s="49">
        <f t="shared" ca="1" si="26"/>
        <v>0</v>
      </c>
      <c r="Q136" s="49">
        <f t="shared" ca="1" si="26"/>
        <v>0</v>
      </c>
      <c r="R136" s="49">
        <f t="shared" ca="1" si="26"/>
        <v>0</v>
      </c>
      <c r="S136" s="49">
        <f t="shared" ca="1" si="26"/>
        <v>0</v>
      </c>
      <c r="T136" s="49">
        <f t="shared" ca="1" si="26"/>
        <v>0</v>
      </c>
      <c r="U136" s="49">
        <f t="shared" ca="1" si="26"/>
        <v>0</v>
      </c>
      <c r="V136" s="49">
        <f t="shared" ca="1" si="26"/>
        <v>0</v>
      </c>
      <c r="W136" s="49">
        <f t="shared" ca="1" si="26"/>
        <v>0</v>
      </c>
      <c r="X136" s="49">
        <f t="shared" ca="1" si="26"/>
        <v>0</v>
      </c>
      <c r="Y136" s="49">
        <f t="shared" ca="1" si="26"/>
        <v>0</v>
      </c>
      <c r="Z136" s="49">
        <f t="shared" ca="1" si="26"/>
        <v>0</v>
      </c>
      <c r="AA136" s="49">
        <f t="shared" ca="1" si="26"/>
        <v>0</v>
      </c>
      <c r="AB136" s="49">
        <f t="shared" ca="1" si="26"/>
        <v>0</v>
      </c>
      <c r="AC136" s="49">
        <f t="shared" ca="1" si="26"/>
        <v>0</v>
      </c>
      <c r="AD136" s="49">
        <f t="shared" ca="1" si="26"/>
        <v>0</v>
      </c>
      <c r="AE136" s="49">
        <f t="shared" ca="1" si="26"/>
        <v>0</v>
      </c>
      <c r="AF136" s="49">
        <f t="shared" ca="1" si="26"/>
        <v>0</v>
      </c>
      <c r="AG136" s="49">
        <f t="shared" ca="1" si="26"/>
        <v>0</v>
      </c>
      <c r="AH136" s="49">
        <f t="shared" ca="1" si="26"/>
        <v>0</v>
      </c>
      <c r="AI136" s="49">
        <f t="shared" ca="1" si="26"/>
        <v>0</v>
      </c>
      <c r="AJ136" s="49">
        <f t="shared" ca="1" si="26"/>
        <v>0</v>
      </c>
      <c r="AK136" s="49">
        <f t="shared" ca="1" si="26"/>
        <v>0</v>
      </c>
      <c r="AL136" s="49">
        <f t="shared" ca="1" si="26"/>
        <v>0</v>
      </c>
      <c r="AM136" s="49">
        <f t="shared" ca="1" si="26"/>
        <v>0</v>
      </c>
      <c r="AN136" s="49">
        <f t="shared" ca="1" si="26"/>
        <v>0</v>
      </c>
      <c r="AO136" s="49">
        <f t="shared" ca="1" si="26"/>
        <v>0</v>
      </c>
      <c r="AP136" s="49">
        <f t="shared" ca="1" si="26"/>
        <v>0</v>
      </c>
      <c r="AQ136" s="49">
        <f t="shared" ca="1" si="26"/>
        <v>0</v>
      </c>
      <c r="AR136" s="49">
        <f t="shared" ref="AR136:BS136" ca="1" si="27">SUM(AQ136)+CA_gross_sales_gas</f>
        <v>0</v>
      </c>
      <c r="AS136" s="49">
        <f t="shared" ca="1" si="27"/>
        <v>0</v>
      </c>
      <c r="AT136" s="49">
        <f t="shared" ca="1" si="27"/>
        <v>0</v>
      </c>
      <c r="AU136" s="49">
        <f t="shared" ca="1" si="27"/>
        <v>0</v>
      </c>
      <c r="AV136" s="49">
        <f t="shared" ca="1" si="27"/>
        <v>0</v>
      </c>
      <c r="AW136" s="49">
        <f t="shared" ca="1" si="27"/>
        <v>0</v>
      </c>
      <c r="AX136" s="49">
        <f t="shared" ca="1" si="27"/>
        <v>0</v>
      </c>
      <c r="AY136" s="49">
        <f t="shared" ca="1" si="27"/>
        <v>0</v>
      </c>
      <c r="AZ136" s="49">
        <f t="shared" ca="1" si="27"/>
        <v>0</v>
      </c>
      <c r="BA136" s="49">
        <f t="shared" ca="1" si="27"/>
        <v>0</v>
      </c>
      <c r="BB136" s="49">
        <f t="shared" ca="1" si="27"/>
        <v>0</v>
      </c>
      <c r="BC136" s="49">
        <f t="shared" ca="1" si="27"/>
        <v>0</v>
      </c>
      <c r="BD136" s="49">
        <f t="shared" ca="1" si="27"/>
        <v>0</v>
      </c>
      <c r="BE136" s="49">
        <f t="shared" ca="1" si="27"/>
        <v>0</v>
      </c>
      <c r="BF136" s="49">
        <f t="shared" ca="1" si="27"/>
        <v>0</v>
      </c>
      <c r="BG136" s="49">
        <f t="shared" ca="1" si="27"/>
        <v>0</v>
      </c>
      <c r="BH136" s="49">
        <f t="shared" ca="1" si="27"/>
        <v>0</v>
      </c>
      <c r="BI136" s="49">
        <f t="shared" ca="1" si="27"/>
        <v>0</v>
      </c>
      <c r="BJ136" s="49">
        <f t="shared" ca="1" si="27"/>
        <v>0</v>
      </c>
      <c r="BK136" s="49">
        <f t="shared" ca="1" si="27"/>
        <v>0</v>
      </c>
      <c r="BL136" s="49">
        <f t="shared" ca="1" si="27"/>
        <v>0</v>
      </c>
      <c r="BM136" s="49">
        <f t="shared" ca="1" si="27"/>
        <v>0</v>
      </c>
      <c r="BN136" s="49">
        <f t="shared" ca="1" si="27"/>
        <v>0</v>
      </c>
      <c r="BO136" s="49">
        <f t="shared" ca="1" si="27"/>
        <v>0</v>
      </c>
      <c r="BP136" s="49">
        <f t="shared" ca="1" si="27"/>
        <v>0</v>
      </c>
      <c r="BQ136" s="49">
        <f t="shared" ca="1" si="27"/>
        <v>0</v>
      </c>
      <c r="BR136" s="49">
        <f t="shared" ca="1" si="27"/>
        <v>0</v>
      </c>
      <c r="BS136" s="49">
        <f t="shared" ca="1" si="27"/>
        <v>0</v>
      </c>
    </row>
    <row r="137" spans="1:93" outlineLevel="1" x14ac:dyDescent="0.2">
      <c r="D137" s="47" t="str">
        <f>D131</f>
        <v>Total</v>
      </c>
      <c r="E137" s="6"/>
      <c r="F137" s="6"/>
      <c r="G137" s="6"/>
      <c r="H137" s="6"/>
      <c r="I137" s="6"/>
      <c r="J137" s="6"/>
      <c r="K137" s="7" t="s">
        <v>674</v>
      </c>
      <c r="L137" s="49">
        <f t="shared" ref="L137:AQ137" ca="1" si="28">SUM(L134,L135,L136/conv_CMtoBbls)</f>
        <v>8.7449359999999992</v>
      </c>
      <c r="M137" s="49">
        <f t="shared" ca="1" si="28"/>
        <v>19.465554000000001</v>
      </c>
      <c r="N137" s="49">
        <f t="shared" ca="1" si="28"/>
        <v>28.666301000000004</v>
      </c>
      <c r="O137" s="49">
        <f t="shared" ca="1" si="28"/>
        <v>38.589345000000002</v>
      </c>
      <c r="P137" s="49">
        <f t="shared" ca="1" si="28"/>
        <v>47.232440000000004</v>
      </c>
      <c r="Q137" s="49">
        <f t="shared" ca="1" si="28"/>
        <v>53.944564</v>
      </c>
      <c r="R137" s="49">
        <f t="shared" ca="1" si="28"/>
        <v>61.508387999999997</v>
      </c>
      <c r="S137" s="49">
        <f t="shared" ca="1" si="28"/>
        <v>66.521788000000001</v>
      </c>
      <c r="T137" s="49">
        <f t="shared" ca="1" si="28"/>
        <v>71.184249999999992</v>
      </c>
      <c r="U137" s="49">
        <f t="shared" ca="1" si="28"/>
        <v>75.520339659999991</v>
      </c>
      <c r="V137" s="49">
        <f t="shared" ca="1" si="28"/>
        <v>79.552903043799986</v>
      </c>
      <c r="W137" s="49">
        <f t="shared" ca="1" si="28"/>
        <v>83.303186990733977</v>
      </c>
      <c r="X137" s="49">
        <f t="shared" ca="1" si="28"/>
        <v>86.7909510613826</v>
      </c>
      <c r="Y137" s="49">
        <f t="shared" ca="1" si="28"/>
        <v>86.7909510613826</v>
      </c>
      <c r="Z137" s="49">
        <f t="shared" ca="1" si="28"/>
        <v>86.7909510613826</v>
      </c>
      <c r="AA137" s="49">
        <f t="shared" ca="1" si="28"/>
        <v>86.7909510613826</v>
      </c>
      <c r="AB137" s="49">
        <f t="shared" ca="1" si="28"/>
        <v>86.7909510613826</v>
      </c>
      <c r="AC137" s="49">
        <f t="shared" ca="1" si="28"/>
        <v>86.7909510613826</v>
      </c>
      <c r="AD137" s="49">
        <f t="shared" ca="1" si="28"/>
        <v>86.7909510613826</v>
      </c>
      <c r="AE137" s="49">
        <f t="shared" ca="1" si="28"/>
        <v>86.7909510613826</v>
      </c>
      <c r="AF137" s="49">
        <f t="shared" ca="1" si="28"/>
        <v>86.7909510613826</v>
      </c>
      <c r="AG137" s="49">
        <f t="shared" ca="1" si="28"/>
        <v>86.7909510613826</v>
      </c>
      <c r="AH137" s="49">
        <f t="shared" ca="1" si="28"/>
        <v>86.7909510613826</v>
      </c>
      <c r="AI137" s="49">
        <f t="shared" ca="1" si="28"/>
        <v>86.7909510613826</v>
      </c>
      <c r="AJ137" s="49">
        <f t="shared" ca="1" si="28"/>
        <v>86.7909510613826</v>
      </c>
      <c r="AK137" s="49">
        <f t="shared" ca="1" si="28"/>
        <v>86.7909510613826</v>
      </c>
      <c r="AL137" s="49">
        <f t="shared" ca="1" si="28"/>
        <v>86.7909510613826</v>
      </c>
      <c r="AM137" s="49">
        <f t="shared" ca="1" si="28"/>
        <v>86.7909510613826</v>
      </c>
      <c r="AN137" s="49">
        <f t="shared" ca="1" si="28"/>
        <v>86.7909510613826</v>
      </c>
      <c r="AO137" s="49">
        <f t="shared" ca="1" si="28"/>
        <v>86.7909510613826</v>
      </c>
      <c r="AP137" s="49">
        <f t="shared" ca="1" si="28"/>
        <v>86.7909510613826</v>
      </c>
      <c r="AQ137" s="49">
        <f t="shared" ca="1" si="28"/>
        <v>86.7909510613826</v>
      </c>
      <c r="AR137" s="49">
        <f t="shared" ref="AR137:BS137" ca="1" si="29">SUM(AR134,AR135,AR136/conv_CMtoBbls)</f>
        <v>86.7909510613826</v>
      </c>
      <c r="AS137" s="49">
        <f t="shared" ca="1" si="29"/>
        <v>86.7909510613826</v>
      </c>
      <c r="AT137" s="49">
        <f t="shared" ca="1" si="29"/>
        <v>86.7909510613826</v>
      </c>
      <c r="AU137" s="49">
        <f t="shared" ca="1" si="29"/>
        <v>86.7909510613826</v>
      </c>
      <c r="AV137" s="49">
        <f t="shared" ca="1" si="29"/>
        <v>86.7909510613826</v>
      </c>
      <c r="AW137" s="49">
        <f t="shared" ca="1" si="29"/>
        <v>86.7909510613826</v>
      </c>
      <c r="AX137" s="49">
        <f t="shared" ca="1" si="29"/>
        <v>86.7909510613826</v>
      </c>
      <c r="AY137" s="49">
        <f t="shared" ca="1" si="29"/>
        <v>86.7909510613826</v>
      </c>
      <c r="AZ137" s="49">
        <f t="shared" ca="1" si="29"/>
        <v>86.7909510613826</v>
      </c>
      <c r="BA137" s="49">
        <f t="shared" ca="1" si="29"/>
        <v>86.7909510613826</v>
      </c>
      <c r="BB137" s="49">
        <f t="shared" ca="1" si="29"/>
        <v>86.7909510613826</v>
      </c>
      <c r="BC137" s="49">
        <f t="shared" ca="1" si="29"/>
        <v>86.7909510613826</v>
      </c>
      <c r="BD137" s="49">
        <f t="shared" ca="1" si="29"/>
        <v>86.7909510613826</v>
      </c>
      <c r="BE137" s="49">
        <f t="shared" ca="1" si="29"/>
        <v>86.7909510613826</v>
      </c>
      <c r="BF137" s="49">
        <f t="shared" ca="1" si="29"/>
        <v>86.7909510613826</v>
      </c>
      <c r="BG137" s="49">
        <f t="shared" ca="1" si="29"/>
        <v>86.7909510613826</v>
      </c>
      <c r="BH137" s="49">
        <f t="shared" ca="1" si="29"/>
        <v>86.7909510613826</v>
      </c>
      <c r="BI137" s="49">
        <f t="shared" ca="1" si="29"/>
        <v>86.7909510613826</v>
      </c>
      <c r="BJ137" s="49">
        <f t="shared" ca="1" si="29"/>
        <v>86.7909510613826</v>
      </c>
      <c r="BK137" s="49">
        <f t="shared" ca="1" si="29"/>
        <v>86.7909510613826</v>
      </c>
      <c r="BL137" s="49">
        <f t="shared" ca="1" si="29"/>
        <v>86.7909510613826</v>
      </c>
      <c r="BM137" s="49">
        <f t="shared" ca="1" si="29"/>
        <v>86.7909510613826</v>
      </c>
      <c r="BN137" s="49">
        <f t="shared" ca="1" si="29"/>
        <v>86.7909510613826</v>
      </c>
      <c r="BO137" s="49">
        <f t="shared" ca="1" si="29"/>
        <v>86.7909510613826</v>
      </c>
      <c r="BP137" s="49">
        <f t="shared" ca="1" si="29"/>
        <v>86.7909510613826</v>
      </c>
      <c r="BQ137" s="49">
        <f t="shared" ca="1" si="29"/>
        <v>86.7909510613826</v>
      </c>
      <c r="BR137" s="49">
        <f t="shared" ca="1" si="29"/>
        <v>86.7909510613826</v>
      </c>
      <c r="BS137" s="49">
        <f t="shared" ca="1" si="29"/>
        <v>86.7909510613826</v>
      </c>
    </row>
    <row r="138" spans="1:93" outlineLevel="1" x14ac:dyDescent="0.2">
      <c r="J138" s="26"/>
      <c r="L138" s="55"/>
      <c r="M138" s="55"/>
      <c r="N138" s="55"/>
      <c r="O138" s="55"/>
      <c r="P138" s="55"/>
      <c r="Q138" s="55"/>
      <c r="R138" s="55"/>
      <c r="S138" s="55"/>
      <c r="T138" s="55"/>
      <c r="U138" s="55"/>
      <c r="V138" s="55"/>
      <c r="W138" s="55"/>
      <c r="X138" s="55"/>
      <c r="Y138" s="55"/>
      <c r="Z138" s="55"/>
      <c r="AA138" s="55"/>
      <c r="AB138" s="55"/>
      <c r="AC138" s="55"/>
      <c r="AD138" s="55"/>
      <c r="AE138" s="55"/>
      <c r="AF138" s="55"/>
      <c r="AG138" s="55"/>
      <c r="AH138" s="55"/>
      <c r="AI138" s="55"/>
      <c r="AJ138" s="55"/>
      <c r="AK138" s="55"/>
      <c r="AL138" s="55"/>
      <c r="AM138" s="55"/>
      <c r="AN138" s="55"/>
      <c r="AO138" s="55"/>
      <c r="AP138" s="55"/>
      <c r="AQ138" s="55"/>
      <c r="AR138" s="55"/>
      <c r="AS138" s="55"/>
      <c r="AT138" s="55"/>
      <c r="AU138" s="55"/>
      <c r="AV138" s="55"/>
      <c r="AW138" s="55"/>
      <c r="AX138" s="55"/>
      <c r="AY138" s="55"/>
      <c r="AZ138" s="55"/>
      <c r="BA138" s="55"/>
      <c r="BB138" s="55"/>
      <c r="BC138" s="55"/>
      <c r="BD138" s="55"/>
      <c r="BE138" s="55"/>
      <c r="BF138" s="55"/>
      <c r="BG138" s="55"/>
      <c r="BH138" s="55"/>
      <c r="BI138" s="55"/>
      <c r="BJ138" s="55"/>
      <c r="BK138" s="55"/>
      <c r="BL138" s="55"/>
      <c r="BM138" s="55"/>
      <c r="BN138" s="55"/>
      <c r="BO138" s="55"/>
      <c r="BP138" s="55"/>
      <c r="BQ138" s="55"/>
      <c r="BR138" s="55"/>
      <c r="BS138" s="55"/>
    </row>
    <row r="139" spans="1:93" outlineLevel="1" x14ac:dyDescent="0.2">
      <c r="J139" s="26"/>
      <c r="L139" s="55"/>
      <c r="M139" s="55"/>
      <c r="N139" s="55"/>
      <c r="O139" s="55"/>
      <c r="P139" s="55"/>
      <c r="Q139" s="55"/>
      <c r="R139" s="55"/>
      <c r="S139" s="55"/>
      <c r="T139" s="55"/>
      <c r="U139" s="55"/>
      <c r="V139" s="55"/>
      <c r="W139" s="55"/>
      <c r="X139" s="55"/>
      <c r="Y139" s="55"/>
      <c r="Z139" s="55"/>
      <c r="AA139" s="55"/>
      <c r="AB139" s="55"/>
      <c r="AC139" s="55"/>
      <c r="AD139" s="55"/>
      <c r="AE139" s="55"/>
      <c r="AF139" s="55"/>
      <c r="AG139" s="55"/>
      <c r="AH139" s="55"/>
      <c r="AI139" s="55"/>
      <c r="AJ139" s="55"/>
      <c r="AK139" s="55"/>
      <c r="AL139" s="55"/>
      <c r="AM139" s="55"/>
      <c r="AN139" s="55"/>
      <c r="AO139" s="55"/>
      <c r="AP139" s="55"/>
      <c r="AQ139" s="55"/>
      <c r="AR139" s="55"/>
      <c r="AS139" s="55"/>
      <c r="AT139" s="55"/>
      <c r="AU139" s="55"/>
      <c r="AV139" s="55"/>
      <c r="AW139" s="55"/>
      <c r="AX139" s="55"/>
      <c r="AY139" s="55"/>
      <c r="AZ139" s="55"/>
      <c r="BA139" s="55"/>
      <c r="BB139" s="55"/>
      <c r="BC139" s="55"/>
      <c r="BD139" s="55"/>
      <c r="BE139" s="55"/>
      <c r="BF139" s="55"/>
      <c r="BG139" s="55"/>
      <c r="BH139" s="55"/>
      <c r="BI139" s="55"/>
      <c r="BJ139" s="55"/>
      <c r="BK139" s="55"/>
      <c r="BL139" s="55"/>
      <c r="BM139" s="55"/>
      <c r="BN139" s="55"/>
      <c r="BO139" s="55"/>
      <c r="BP139" s="55"/>
      <c r="BQ139" s="55"/>
      <c r="BR139" s="55"/>
      <c r="BS139" s="55"/>
    </row>
    <row r="140" spans="1:93" outlineLevel="1" x14ac:dyDescent="0.2">
      <c r="A140" s="45"/>
      <c r="B140" s="38" t="str">
        <f>CHOOSE(db_ML_selected,'Liste Traduction'!B20,'Liste Traduction'!C20)</f>
        <v>Prix</v>
      </c>
      <c r="C140" s="45"/>
      <c r="D140" s="45"/>
      <c r="E140" s="45"/>
      <c r="J140" s="26"/>
      <c r="L140" s="55"/>
      <c r="M140" s="55"/>
      <c r="N140" s="55"/>
      <c r="O140" s="55"/>
      <c r="P140" s="55"/>
      <c r="Q140" s="55"/>
      <c r="R140" s="55"/>
      <c r="S140" s="55"/>
      <c r="T140" s="55"/>
      <c r="U140" s="55"/>
      <c r="V140" s="55"/>
      <c r="W140" s="55"/>
      <c r="X140" s="55"/>
      <c r="Y140" s="55"/>
      <c r="Z140" s="55"/>
      <c r="AA140" s="55"/>
      <c r="AB140" s="55"/>
      <c r="AC140" s="55"/>
      <c r="AD140" s="55"/>
      <c r="AE140" s="55"/>
      <c r="AF140" s="55"/>
      <c r="AG140" s="55"/>
      <c r="AH140" s="55"/>
      <c r="AI140" s="55"/>
      <c r="AJ140" s="55"/>
      <c r="AK140" s="55"/>
      <c r="AL140" s="55"/>
      <c r="AM140" s="55"/>
      <c r="AN140" s="55"/>
      <c r="AO140" s="55"/>
      <c r="AP140" s="55"/>
      <c r="AQ140" s="55"/>
      <c r="AR140" s="55"/>
      <c r="AS140" s="55"/>
      <c r="AT140" s="55"/>
      <c r="AU140" s="55"/>
      <c r="AV140" s="55"/>
      <c r="AW140" s="55"/>
      <c r="AX140" s="55"/>
      <c r="AY140" s="55"/>
      <c r="AZ140" s="55"/>
      <c r="BA140" s="55"/>
      <c r="BB140" s="55"/>
      <c r="BC140" s="55"/>
      <c r="BD140" s="55"/>
      <c r="BE140" s="55"/>
      <c r="BF140" s="55"/>
      <c r="BG140" s="55"/>
      <c r="BH140" s="55"/>
      <c r="BI140" s="55"/>
      <c r="BJ140" s="55"/>
      <c r="BK140" s="55"/>
      <c r="BL140" s="55"/>
      <c r="BM140" s="55"/>
      <c r="BN140" s="55"/>
      <c r="BO140" s="55"/>
      <c r="BP140" s="55"/>
      <c r="BQ140" s="55"/>
      <c r="BR140" s="55"/>
      <c r="BS140" s="55"/>
    </row>
    <row r="141" spans="1:93" outlineLevel="1" x14ac:dyDescent="0.2">
      <c r="J141" s="26"/>
      <c r="L141" s="55"/>
      <c r="M141" s="55"/>
      <c r="N141" s="55"/>
      <c r="O141" s="55"/>
      <c r="P141" s="55"/>
      <c r="Q141" s="55"/>
      <c r="R141" s="55"/>
      <c r="S141" s="55"/>
      <c r="T141" s="55"/>
      <c r="U141" s="55"/>
      <c r="V141" s="55"/>
      <c r="W141" s="55"/>
      <c r="X141" s="55"/>
      <c r="Y141" s="55"/>
      <c r="Z141" s="55"/>
      <c r="AA141" s="55"/>
      <c r="AB141" s="55"/>
      <c r="AC141" s="55"/>
      <c r="AD141" s="55"/>
      <c r="AE141" s="55"/>
      <c r="AF141" s="55"/>
      <c r="AG141" s="55"/>
      <c r="AH141" s="55"/>
      <c r="AI141" s="55"/>
      <c r="AJ141" s="55"/>
      <c r="AK141" s="55"/>
      <c r="AL141" s="55"/>
      <c r="AM141" s="55"/>
      <c r="AN141" s="55"/>
      <c r="AO141" s="55"/>
      <c r="AP141" s="55"/>
      <c r="AQ141" s="55"/>
      <c r="AR141" s="55"/>
      <c r="AS141" s="55"/>
      <c r="AT141" s="55"/>
      <c r="AU141" s="55"/>
      <c r="AV141" s="55"/>
      <c r="AW141" s="55"/>
      <c r="AX141" s="55"/>
      <c r="AY141" s="55"/>
      <c r="AZ141" s="55"/>
      <c r="BA141" s="55"/>
      <c r="BB141" s="55"/>
      <c r="BC141" s="55"/>
      <c r="BD141" s="55"/>
      <c r="BE141" s="55"/>
      <c r="BF141" s="55"/>
      <c r="BG141" s="55"/>
      <c r="BH141" s="55"/>
      <c r="BI141" s="55"/>
      <c r="BJ141" s="55"/>
      <c r="BK141" s="55"/>
      <c r="BL141" s="55"/>
      <c r="BM141" s="55"/>
      <c r="BN141" s="55"/>
      <c r="BO141" s="55"/>
      <c r="BP141" s="55"/>
      <c r="BQ141" s="55"/>
      <c r="BR141" s="55"/>
      <c r="BS141" s="55"/>
    </row>
    <row r="142" spans="1:93" outlineLevel="1" x14ac:dyDescent="0.2">
      <c r="C142" s="11" t="str">
        <f>CHOOSE(db_ML_selected,'Liste Traduction'!B277,'Liste Traduction'!C277)</f>
        <v>Prix du marché (PF)</v>
      </c>
      <c r="J142" s="26"/>
      <c r="L142" s="55"/>
      <c r="M142" s="55"/>
      <c r="N142" s="55"/>
      <c r="O142" s="55"/>
      <c r="P142" s="55"/>
      <c r="Q142" s="55"/>
      <c r="R142" s="55"/>
      <c r="S142" s="55"/>
      <c r="T142" s="55"/>
      <c r="U142" s="55"/>
      <c r="V142" s="55"/>
      <c r="W142" s="55"/>
      <c r="X142" s="55"/>
      <c r="Y142" s="55"/>
      <c r="Z142" s="55"/>
      <c r="AA142" s="55"/>
      <c r="AB142" s="55"/>
      <c r="AC142" s="55"/>
      <c r="AD142" s="55"/>
      <c r="AE142" s="55"/>
      <c r="AF142" s="55"/>
      <c r="AG142" s="55"/>
      <c r="AH142" s="55"/>
      <c r="AI142" s="55"/>
      <c r="AJ142" s="55"/>
      <c r="AK142" s="55"/>
      <c r="AL142" s="55"/>
      <c r="AM142" s="55"/>
      <c r="AN142" s="55"/>
      <c r="AO142" s="55"/>
      <c r="AP142" s="55"/>
      <c r="AQ142" s="55"/>
      <c r="AR142" s="55"/>
      <c r="AS142" s="55"/>
      <c r="AT142" s="55"/>
      <c r="AU142" s="55"/>
      <c r="AV142" s="55"/>
      <c r="AW142" s="55"/>
      <c r="AX142" s="55"/>
      <c r="AY142" s="55"/>
      <c r="AZ142" s="55"/>
      <c r="BA142" s="55"/>
      <c r="BB142" s="55"/>
      <c r="BC142" s="55"/>
      <c r="BD142" s="55"/>
      <c r="BE142" s="55"/>
      <c r="BF142" s="55"/>
      <c r="BG142" s="55"/>
      <c r="BH142" s="55"/>
      <c r="BI142" s="55"/>
      <c r="BJ142" s="55"/>
      <c r="BK142" s="55"/>
      <c r="BL142" s="55"/>
      <c r="BM142" s="55"/>
      <c r="BN142" s="55"/>
      <c r="BO142" s="55"/>
      <c r="BP142" s="55"/>
      <c r="BQ142" s="55"/>
      <c r="BR142" s="55"/>
      <c r="BS142" s="55"/>
    </row>
    <row r="143" spans="1:93" outlineLevel="1" x14ac:dyDescent="0.2">
      <c r="D143" t="str">
        <f>CHOOSE(db_ML_selected,'Liste Traduction'!B278,'Liste Traduction'!C278)</f>
        <v>Prix du pétrole (nominal)</v>
      </c>
      <c r="J143" s="26" t="s">
        <v>46</v>
      </c>
      <c r="K143" s="7" t="s">
        <v>141</v>
      </c>
      <c r="L143" s="49">
        <f t="shared" ref="L143:AQ143" ca="1" si="30">OFFSET(_xlfn.SINGLE(IA_oilprice_nominal),2,)</f>
        <v>110.47853731971006</v>
      </c>
      <c r="M143" s="49">
        <f t="shared" ca="1" si="30"/>
        <v>97.113585750154002</v>
      </c>
      <c r="N143" s="49">
        <f t="shared" ca="1" si="30"/>
        <v>50.419480057823343</v>
      </c>
      <c r="O143" s="49">
        <f t="shared" ca="1" si="30"/>
        <v>44.986673720793931</v>
      </c>
      <c r="P143" s="49">
        <f t="shared" ca="1" si="30"/>
        <v>52.79293074914132</v>
      </c>
      <c r="Q143" s="49">
        <f t="shared" ca="1" si="30"/>
        <v>73.033536931121034</v>
      </c>
      <c r="R143" s="49">
        <f t="shared" ca="1" si="30"/>
        <v>63.659895132869302</v>
      </c>
      <c r="S143" s="49">
        <f t="shared" ca="1" si="30"/>
        <v>41.00483333333333</v>
      </c>
      <c r="T143" s="49">
        <f t="shared" ca="1" si="30"/>
        <v>66.5184</v>
      </c>
      <c r="U143" s="49">
        <f t="shared" ca="1" si="30"/>
        <v>71.400000000000006</v>
      </c>
      <c r="V143" s="49">
        <f t="shared" ca="1" si="30"/>
        <v>72.828000000000003</v>
      </c>
      <c r="W143" s="49">
        <f t="shared" ca="1" si="30"/>
        <v>74.284559999999999</v>
      </c>
      <c r="X143" s="49">
        <f t="shared" ca="1" si="30"/>
        <v>75.770251200000004</v>
      </c>
      <c r="Y143" s="49">
        <f t="shared" ca="1" si="30"/>
        <v>0</v>
      </c>
      <c r="Z143" s="49">
        <f t="shared" ca="1" si="30"/>
        <v>0</v>
      </c>
      <c r="AA143" s="49">
        <f t="shared" ca="1" si="30"/>
        <v>0</v>
      </c>
      <c r="AB143" s="49">
        <f t="shared" ca="1" si="30"/>
        <v>0</v>
      </c>
      <c r="AC143" s="49">
        <f t="shared" ca="1" si="30"/>
        <v>0</v>
      </c>
      <c r="AD143" s="49">
        <f t="shared" ca="1" si="30"/>
        <v>0</v>
      </c>
      <c r="AE143" s="49">
        <f t="shared" ca="1" si="30"/>
        <v>0</v>
      </c>
      <c r="AF143" s="49">
        <f t="shared" ca="1" si="30"/>
        <v>0</v>
      </c>
      <c r="AG143" s="49">
        <f t="shared" ca="1" si="30"/>
        <v>0</v>
      </c>
      <c r="AH143" s="49">
        <f t="shared" ca="1" si="30"/>
        <v>0</v>
      </c>
      <c r="AI143" s="49">
        <f t="shared" ca="1" si="30"/>
        <v>0</v>
      </c>
      <c r="AJ143" s="49">
        <f t="shared" ca="1" si="30"/>
        <v>0</v>
      </c>
      <c r="AK143" s="49">
        <f t="shared" ca="1" si="30"/>
        <v>0</v>
      </c>
      <c r="AL143" s="49">
        <f t="shared" ca="1" si="30"/>
        <v>0</v>
      </c>
      <c r="AM143" s="49">
        <f t="shared" ca="1" si="30"/>
        <v>0</v>
      </c>
      <c r="AN143" s="49">
        <f t="shared" ca="1" si="30"/>
        <v>0</v>
      </c>
      <c r="AO143" s="49">
        <f t="shared" ca="1" si="30"/>
        <v>0</v>
      </c>
      <c r="AP143" s="49">
        <f t="shared" ca="1" si="30"/>
        <v>0</v>
      </c>
      <c r="AQ143" s="49">
        <f t="shared" ca="1" si="30"/>
        <v>0</v>
      </c>
      <c r="AR143" s="49">
        <f t="shared" ref="AR143:BS143" ca="1" si="31">OFFSET(_xlfn.SINGLE(IA_oilprice_nominal),2,)</f>
        <v>0</v>
      </c>
      <c r="AS143" s="49">
        <f t="shared" ca="1" si="31"/>
        <v>0</v>
      </c>
      <c r="AT143" s="49">
        <f t="shared" ca="1" si="31"/>
        <v>0</v>
      </c>
      <c r="AU143" s="49">
        <f t="shared" ca="1" si="31"/>
        <v>0</v>
      </c>
      <c r="AV143" s="49">
        <f t="shared" ca="1" si="31"/>
        <v>0</v>
      </c>
      <c r="AW143" s="49">
        <f t="shared" ca="1" si="31"/>
        <v>0</v>
      </c>
      <c r="AX143" s="49">
        <f t="shared" ca="1" si="31"/>
        <v>0</v>
      </c>
      <c r="AY143" s="49">
        <f t="shared" ca="1" si="31"/>
        <v>0</v>
      </c>
      <c r="AZ143" s="49">
        <f t="shared" ca="1" si="31"/>
        <v>0</v>
      </c>
      <c r="BA143" s="49">
        <f t="shared" ca="1" si="31"/>
        <v>0</v>
      </c>
      <c r="BB143" s="49">
        <f t="shared" ca="1" si="31"/>
        <v>0</v>
      </c>
      <c r="BC143" s="49">
        <f t="shared" ca="1" si="31"/>
        <v>0</v>
      </c>
      <c r="BD143" s="49">
        <f t="shared" ca="1" si="31"/>
        <v>0</v>
      </c>
      <c r="BE143" s="49">
        <f t="shared" ca="1" si="31"/>
        <v>0</v>
      </c>
      <c r="BF143" s="49">
        <f t="shared" ca="1" si="31"/>
        <v>0</v>
      </c>
      <c r="BG143" s="49">
        <f t="shared" ca="1" si="31"/>
        <v>0</v>
      </c>
      <c r="BH143" s="49">
        <f t="shared" ca="1" si="31"/>
        <v>0</v>
      </c>
      <c r="BI143" s="49">
        <f t="shared" ca="1" si="31"/>
        <v>0</v>
      </c>
      <c r="BJ143" s="49">
        <f t="shared" ca="1" si="31"/>
        <v>0</v>
      </c>
      <c r="BK143" s="49">
        <f t="shared" ca="1" si="31"/>
        <v>0</v>
      </c>
      <c r="BL143" s="49">
        <f t="shared" ca="1" si="31"/>
        <v>0</v>
      </c>
      <c r="BM143" s="49">
        <f t="shared" ca="1" si="31"/>
        <v>0</v>
      </c>
      <c r="BN143" s="49">
        <f t="shared" ca="1" si="31"/>
        <v>0</v>
      </c>
      <c r="BO143" s="49">
        <f t="shared" ca="1" si="31"/>
        <v>0</v>
      </c>
      <c r="BP143" s="49">
        <f t="shared" ca="1" si="31"/>
        <v>0</v>
      </c>
      <c r="BQ143" s="49">
        <f t="shared" ca="1" si="31"/>
        <v>0</v>
      </c>
      <c r="BR143" s="49">
        <f t="shared" ca="1" si="31"/>
        <v>0</v>
      </c>
      <c r="BS143" s="49">
        <f t="shared" ca="1" si="31"/>
        <v>0</v>
      </c>
    </row>
    <row r="144" spans="1:93" outlineLevel="1" x14ac:dyDescent="0.2">
      <c r="J144" s="26"/>
      <c r="L144" s="55"/>
      <c r="M144" s="55"/>
      <c r="N144" s="55"/>
      <c r="O144" s="55"/>
      <c r="P144" s="55"/>
      <c r="Q144" s="55"/>
      <c r="R144" s="55"/>
      <c r="S144" s="55"/>
      <c r="T144" s="55"/>
      <c r="U144" s="55"/>
      <c r="V144" s="55"/>
      <c r="W144" s="55"/>
      <c r="X144" s="55"/>
      <c r="Y144" s="55"/>
      <c r="Z144" s="55"/>
      <c r="AA144" s="55"/>
      <c r="AB144" s="55"/>
      <c r="AC144" s="55"/>
      <c r="AD144" s="55"/>
      <c r="AE144" s="55"/>
      <c r="AF144" s="55"/>
      <c r="AG144" s="55"/>
      <c r="AH144" s="55"/>
      <c r="AI144" s="55"/>
      <c r="AJ144" s="55"/>
      <c r="AK144" s="55"/>
      <c r="AL144" s="55"/>
      <c r="AM144" s="55"/>
      <c r="AN144" s="55"/>
      <c r="AO144" s="55"/>
      <c r="AP144" s="55"/>
      <c r="AQ144" s="55"/>
      <c r="AR144" s="55"/>
      <c r="AS144" s="55"/>
      <c r="AT144" s="55"/>
      <c r="AU144" s="55"/>
      <c r="AV144" s="55"/>
      <c r="AW144" s="55"/>
      <c r="AX144" s="55"/>
      <c r="AY144" s="55"/>
      <c r="AZ144" s="55"/>
      <c r="BA144" s="55"/>
      <c r="BB144" s="55"/>
      <c r="BC144" s="55"/>
      <c r="BD144" s="55"/>
      <c r="BE144" s="55"/>
      <c r="BF144" s="55"/>
      <c r="BG144" s="55"/>
      <c r="BH144" s="55"/>
      <c r="BI144" s="55"/>
      <c r="BJ144" s="55"/>
      <c r="BK144" s="55"/>
      <c r="BL144" s="55"/>
      <c r="BM144" s="55"/>
      <c r="BN144" s="55"/>
      <c r="BO144" s="55"/>
      <c r="BP144" s="55"/>
      <c r="BQ144" s="55"/>
      <c r="BR144" s="55"/>
      <c r="BS144" s="55"/>
    </row>
    <row r="145" spans="1:71" outlineLevel="1" x14ac:dyDescent="0.2">
      <c r="D145" t="str">
        <f>CHOOSE(db_ML_selected,'Liste Traduction'!B279,'Liste Traduction'!C279)</f>
        <v>Prix du GPL (Nominal)</v>
      </c>
      <c r="J145" s="26" t="s">
        <v>46</v>
      </c>
      <c r="K145" s="7" t="s">
        <v>689</v>
      </c>
      <c r="L145" s="49">
        <f t="shared" ref="L145:AQ145" ca="1" si="32">OFFSET(_xlfn.SINGLE(IA_lpgprice_nominal),2,)</f>
        <v>73.916836047314021</v>
      </c>
      <c r="M145" s="49">
        <f t="shared" ca="1" si="32"/>
        <v>62.353883560972321</v>
      </c>
      <c r="N145" s="49">
        <f t="shared" ca="1" si="32"/>
        <v>29.433815949902208</v>
      </c>
      <c r="O145" s="49">
        <f t="shared" ca="1" si="32"/>
        <v>24.231858673176394</v>
      </c>
      <c r="P145" s="49">
        <f t="shared" ca="1" si="32"/>
        <v>35.101419095444811</v>
      </c>
      <c r="Q145" s="49">
        <f t="shared" ca="1" si="32"/>
        <v>43.938929028445237</v>
      </c>
      <c r="R145" s="49">
        <f t="shared" ca="1" si="32"/>
        <v>31.072871993720188</v>
      </c>
      <c r="S145" s="49">
        <f t="shared" ca="1" si="32"/>
        <v>41.00483333333333</v>
      </c>
      <c r="T145" s="49">
        <f t="shared" ca="1" si="32"/>
        <v>39.91104</v>
      </c>
      <c r="U145" s="49">
        <f t="shared" ca="1" si="32"/>
        <v>42.84</v>
      </c>
      <c r="V145" s="49">
        <f t="shared" ca="1" si="32"/>
        <v>43.696800000000003</v>
      </c>
      <c r="W145" s="49">
        <f t="shared" ca="1" si="32"/>
        <v>44.570735999999997</v>
      </c>
      <c r="X145" s="49">
        <f t="shared" ca="1" si="32"/>
        <v>45.462150720000004</v>
      </c>
      <c r="Y145" s="49">
        <f t="shared" ca="1" si="32"/>
        <v>0</v>
      </c>
      <c r="Z145" s="49">
        <f t="shared" ca="1" si="32"/>
        <v>0</v>
      </c>
      <c r="AA145" s="49">
        <f t="shared" ca="1" si="32"/>
        <v>0</v>
      </c>
      <c r="AB145" s="49">
        <f t="shared" ca="1" si="32"/>
        <v>0</v>
      </c>
      <c r="AC145" s="49">
        <f t="shared" ca="1" si="32"/>
        <v>0</v>
      </c>
      <c r="AD145" s="49">
        <f t="shared" ca="1" si="32"/>
        <v>0</v>
      </c>
      <c r="AE145" s="49">
        <f t="shared" ca="1" si="32"/>
        <v>0</v>
      </c>
      <c r="AF145" s="49">
        <f t="shared" ca="1" si="32"/>
        <v>0</v>
      </c>
      <c r="AG145" s="49">
        <f t="shared" ca="1" si="32"/>
        <v>0</v>
      </c>
      <c r="AH145" s="49">
        <f t="shared" ca="1" si="32"/>
        <v>0</v>
      </c>
      <c r="AI145" s="49">
        <f t="shared" ca="1" si="32"/>
        <v>0</v>
      </c>
      <c r="AJ145" s="49">
        <f t="shared" ca="1" si="32"/>
        <v>0</v>
      </c>
      <c r="AK145" s="49">
        <f t="shared" ca="1" si="32"/>
        <v>0</v>
      </c>
      <c r="AL145" s="49">
        <f t="shared" ca="1" si="32"/>
        <v>0</v>
      </c>
      <c r="AM145" s="49">
        <f t="shared" ca="1" si="32"/>
        <v>0</v>
      </c>
      <c r="AN145" s="49">
        <f t="shared" ca="1" si="32"/>
        <v>0</v>
      </c>
      <c r="AO145" s="49">
        <f t="shared" ca="1" si="32"/>
        <v>0</v>
      </c>
      <c r="AP145" s="49">
        <f t="shared" ca="1" si="32"/>
        <v>0</v>
      </c>
      <c r="AQ145" s="49">
        <f t="shared" ca="1" si="32"/>
        <v>0</v>
      </c>
      <c r="AR145" s="49">
        <f t="shared" ref="AR145:BS145" ca="1" si="33">OFFSET(_xlfn.SINGLE(IA_lpgprice_nominal),2,)</f>
        <v>0</v>
      </c>
      <c r="AS145" s="49">
        <f t="shared" ca="1" si="33"/>
        <v>0</v>
      </c>
      <c r="AT145" s="49">
        <f t="shared" ca="1" si="33"/>
        <v>0</v>
      </c>
      <c r="AU145" s="49">
        <f t="shared" ca="1" si="33"/>
        <v>0</v>
      </c>
      <c r="AV145" s="49">
        <f t="shared" ca="1" si="33"/>
        <v>0</v>
      </c>
      <c r="AW145" s="49">
        <f t="shared" ca="1" si="33"/>
        <v>0</v>
      </c>
      <c r="AX145" s="49">
        <f t="shared" ca="1" si="33"/>
        <v>0</v>
      </c>
      <c r="AY145" s="49">
        <f t="shared" ca="1" si="33"/>
        <v>0</v>
      </c>
      <c r="AZ145" s="49">
        <f t="shared" ca="1" si="33"/>
        <v>0</v>
      </c>
      <c r="BA145" s="49">
        <f t="shared" ca="1" si="33"/>
        <v>0</v>
      </c>
      <c r="BB145" s="49">
        <f t="shared" ca="1" si="33"/>
        <v>0</v>
      </c>
      <c r="BC145" s="49">
        <f t="shared" ca="1" si="33"/>
        <v>0</v>
      </c>
      <c r="BD145" s="49">
        <f t="shared" ca="1" si="33"/>
        <v>0</v>
      </c>
      <c r="BE145" s="49">
        <f t="shared" ca="1" si="33"/>
        <v>0</v>
      </c>
      <c r="BF145" s="49">
        <f t="shared" ca="1" si="33"/>
        <v>0</v>
      </c>
      <c r="BG145" s="49">
        <f t="shared" ca="1" si="33"/>
        <v>0</v>
      </c>
      <c r="BH145" s="49">
        <f t="shared" ca="1" si="33"/>
        <v>0</v>
      </c>
      <c r="BI145" s="49">
        <f t="shared" ca="1" si="33"/>
        <v>0</v>
      </c>
      <c r="BJ145" s="49">
        <f t="shared" ca="1" si="33"/>
        <v>0</v>
      </c>
      <c r="BK145" s="49">
        <f t="shared" ca="1" si="33"/>
        <v>0</v>
      </c>
      <c r="BL145" s="49">
        <f t="shared" ca="1" si="33"/>
        <v>0</v>
      </c>
      <c r="BM145" s="49">
        <f t="shared" ca="1" si="33"/>
        <v>0</v>
      </c>
      <c r="BN145" s="49">
        <f t="shared" ca="1" si="33"/>
        <v>0</v>
      </c>
      <c r="BO145" s="49">
        <f t="shared" ca="1" si="33"/>
        <v>0</v>
      </c>
      <c r="BP145" s="49">
        <f t="shared" ca="1" si="33"/>
        <v>0</v>
      </c>
      <c r="BQ145" s="49">
        <f t="shared" ca="1" si="33"/>
        <v>0</v>
      </c>
      <c r="BR145" s="49">
        <f t="shared" ca="1" si="33"/>
        <v>0</v>
      </c>
      <c r="BS145" s="49">
        <f t="shared" ca="1" si="33"/>
        <v>0</v>
      </c>
    </row>
    <row r="146" spans="1:71" outlineLevel="1" x14ac:dyDescent="0.2">
      <c r="J146" s="26"/>
      <c r="L146" s="55"/>
      <c r="M146" s="55"/>
      <c r="N146" s="55"/>
      <c r="O146" s="55"/>
      <c r="P146" s="55"/>
      <c r="Q146" s="55"/>
      <c r="R146" s="55"/>
      <c r="S146" s="55"/>
      <c r="T146" s="55"/>
      <c r="U146" s="55"/>
      <c r="V146" s="55"/>
      <c r="W146" s="55"/>
      <c r="X146" s="55"/>
      <c r="Y146" s="55"/>
      <c r="Z146" s="55"/>
      <c r="AA146" s="55"/>
      <c r="AB146" s="55"/>
      <c r="AC146" s="55"/>
      <c r="AD146" s="55"/>
      <c r="AE146" s="55"/>
      <c r="AF146" s="55"/>
      <c r="AG146" s="55"/>
      <c r="AH146" s="55"/>
      <c r="AI146" s="55"/>
      <c r="AJ146" s="55"/>
      <c r="AK146" s="55"/>
      <c r="AL146" s="55"/>
      <c r="AM146" s="55"/>
      <c r="AN146" s="55"/>
      <c r="AO146" s="55"/>
      <c r="AP146" s="55"/>
      <c r="AQ146" s="55"/>
      <c r="AR146" s="55"/>
      <c r="AS146" s="55"/>
      <c r="AT146" s="55"/>
      <c r="AU146" s="55"/>
      <c r="AV146" s="55"/>
      <c r="AW146" s="55"/>
      <c r="AX146" s="55"/>
      <c r="AY146" s="55"/>
      <c r="AZ146" s="55"/>
      <c r="BA146" s="55"/>
      <c r="BB146" s="55"/>
      <c r="BC146" s="55"/>
      <c r="BD146" s="55"/>
      <c r="BE146" s="55"/>
      <c r="BF146" s="55"/>
      <c r="BG146" s="55"/>
      <c r="BH146" s="55"/>
      <c r="BI146" s="55"/>
      <c r="BJ146" s="55"/>
      <c r="BK146" s="55"/>
      <c r="BL146" s="55"/>
      <c r="BM146" s="55"/>
      <c r="BN146" s="55"/>
      <c r="BO146" s="55"/>
      <c r="BP146" s="55"/>
      <c r="BQ146" s="55"/>
      <c r="BR146" s="55"/>
      <c r="BS146" s="55"/>
    </row>
    <row r="147" spans="1:71" outlineLevel="1" x14ac:dyDescent="0.2">
      <c r="D147" t="str">
        <f>CHOOSE(db_ML_selected,'Liste Traduction'!B280,'Liste Traduction'!C280)</f>
        <v>Prix du gaz (Nominal)</v>
      </c>
      <c r="J147" s="26" t="s">
        <v>47</v>
      </c>
      <c r="K147" s="7" t="s">
        <v>142</v>
      </c>
      <c r="L147" s="49">
        <f t="shared" ref="L147:AQ147" ca="1" si="34">OFFSET(_xlfn.SINGLE(IA_gasprice_nominal),2,)</f>
        <v>0</v>
      </c>
      <c r="M147" s="49">
        <f t="shared" ca="1" si="34"/>
        <v>0</v>
      </c>
      <c r="N147" s="49">
        <f t="shared" ca="1" si="34"/>
        <v>0</v>
      </c>
      <c r="O147" s="49">
        <f t="shared" ca="1" si="34"/>
        <v>0</v>
      </c>
      <c r="P147" s="49">
        <f t="shared" ca="1" si="34"/>
        <v>0</v>
      </c>
      <c r="Q147" s="49">
        <f t="shared" ca="1" si="34"/>
        <v>0</v>
      </c>
      <c r="R147" s="49">
        <f t="shared" ca="1" si="34"/>
        <v>0</v>
      </c>
      <c r="S147" s="49">
        <f t="shared" ca="1" si="34"/>
        <v>0</v>
      </c>
      <c r="T147" s="49">
        <f t="shared" ca="1" si="34"/>
        <v>0</v>
      </c>
      <c r="U147" s="49">
        <f t="shared" ca="1" si="34"/>
        <v>0</v>
      </c>
      <c r="V147" s="49">
        <f t="shared" ca="1" si="34"/>
        <v>0</v>
      </c>
      <c r="W147" s="49">
        <f t="shared" ca="1" si="34"/>
        <v>0</v>
      </c>
      <c r="X147" s="49">
        <f t="shared" ca="1" si="34"/>
        <v>0</v>
      </c>
      <c r="Y147" s="49">
        <f t="shared" ca="1" si="34"/>
        <v>0</v>
      </c>
      <c r="Z147" s="49">
        <f t="shared" ca="1" si="34"/>
        <v>0</v>
      </c>
      <c r="AA147" s="49">
        <f t="shared" ca="1" si="34"/>
        <v>0</v>
      </c>
      <c r="AB147" s="49">
        <f t="shared" ca="1" si="34"/>
        <v>0</v>
      </c>
      <c r="AC147" s="49">
        <f t="shared" ca="1" si="34"/>
        <v>0</v>
      </c>
      <c r="AD147" s="49">
        <f t="shared" ca="1" si="34"/>
        <v>0</v>
      </c>
      <c r="AE147" s="49">
        <f t="shared" ca="1" si="34"/>
        <v>0</v>
      </c>
      <c r="AF147" s="49">
        <f t="shared" ca="1" si="34"/>
        <v>0</v>
      </c>
      <c r="AG147" s="49">
        <f t="shared" ca="1" si="34"/>
        <v>0</v>
      </c>
      <c r="AH147" s="49">
        <f t="shared" ca="1" si="34"/>
        <v>0</v>
      </c>
      <c r="AI147" s="49">
        <f t="shared" ca="1" si="34"/>
        <v>0</v>
      </c>
      <c r="AJ147" s="49">
        <f t="shared" ca="1" si="34"/>
        <v>0</v>
      </c>
      <c r="AK147" s="49">
        <f t="shared" ca="1" si="34"/>
        <v>0</v>
      </c>
      <c r="AL147" s="49">
        <f t="shared" ca="1" si="34"/>
        <v>0</v>
      </c>
      <c r="AM147" s="49">
        <f t="shared" ca="1" si="34"/>
        <v>0</v>
      </c>
      <c r="AN147" s="49">
        <f t="shared" ca="1" si="34"/>
        <v>0</v>
      </c>
      <c r="AO147" s="49">
        <f t="shared" ca="1" si="34"/>
        <v>0</v>
      </c>
      <c r="AP147" s="49">
        <f t="shared" ca="1" si="34"/>
        <v>0</v>
      </c>
      <c r="AQ147" s="49">
        <f t="shared" ca="1" si="34"/>
        <v>0</v>
      </c>
      <c r="AR147" s="49">
        <f t="shared" ref="AR147:BS147" ca="1" si="35">OFFSET(_xlfn.SINGLE(IA_gasprice_nominal),2,)</f>
        <v>0</v>
      </c>
      <c r="AS147" s="49">
        <f t="shared" ca="1" si="35"/>
        <v>0</v>
      </c>
      <c r="AT147" s="49">
        <f t="shared" ca="1" si="35"/>
        <v>0</v>
      </c>
      <c r="AU147" s="49">
        <f t="shared" ca="1" si="35"/>
        <v>0</v>
      </c>
      <c r="AV147" s="49">
        <f t="shared" ca="1" si="35"/>
        <v>0</v>
      </c>
      <c r="AW147" s="49">
        <f t="shared" ca="1" si="35"/>
        <v>0</v>
      </c>
      <c r="AX147" s="49">
        <f t="shared" ca="1" si="35"/>
        <v>0</v>
      </c>
      <c r="AY147" s="49">
        <f t="shared" ca="1" si="35"/>
        <v>0</v>
      </c>
      <c r="AZ147" s="49">
        <f t="shared" ca="1" si="35"/>
        <v>0</v>
      </c>
      <c r="BA147" s="49">
        <f t="shared" ca="1" si="35"/>
        <v>0</v>
      </c>
      <c r="BB147" s="49">
        <f t="shared" ca="1" si="35"/>
        <v>0</v>
      </c>
      <c r="BC147" s="49">
        <f t="shared" ca="1" si="35"/>
        <v>0</v>
      </c>
      <c r="BD147" s="49">
        <f t="shared" ca="1" si="35"/>
        <v>0</v>
      </c>
      <c r="BE147" s="49">
        <f t="shared" ca="1" si="35"/>
        <v>0</v>
      </c>
      <c r="BF147" s="49">
        <f t="shared" ca="1" si="35"/>
        <v>0</v>
      </c>
      <c r="BG147" s="49">
        <f t="shared" ca="1" si="35"/>
        <v>0</v>
      </c>
      <c r="BH147" s="49">
        <f t="shared" ca="1" si="35"/>
        <v>0</v>
      </c>
      <c r="BI147" s="49">
        <f t="shared" ca="1" si="35"/>
        <v>0</v>
      </c>
      <c r="BJ147" s="49">
        <f t="shared" ca="1" si="35"/>
        <v>0</v>
      </c>
      <c r="BK147" s="49">
        <f t="shared" ca="1" si="35"/>
        <v>0</v>
      </c>
      <c r="BL147" s="49">
        <f t="shared" ca="1" si="35"/>
        <v>0</v>
      </c>
      <c r="BM147" s="49">
        <f t="shared" ca="1" si="35"/>
        <v>0</v>
      </c>
      <c r="BN147" s="49">
        <f t="shared" ca="1" si="35"/>
        <v>0</v>
      </c>
      <c r="BO147" s="49">
        <f t="shared" ca="1" si="35"/>
        <v>0</v>
      </c>
      <c r="BP147" s="49">
        <f t="shared" ca="1" si="35"/>
        <v>0</v>
      </c>
      <c r="BQ147" s="49">
        <f t="shared" ca="1" si="35"/>
        <v>0</v>
      </c>
      <c r="BR147" s="49">
        <f t="shared" ca="1" si="35"/>
        <v>0</v>
      </c>
      <c r="BS147" s="49">
        <f t="shared" ca="1" si="35"/>
        <v>0</v>
      </c>
    </row>
    <row r="148" spans="1:71" outlineLevel="1" x14ac:dyDescent="0.2">
      <c r="J148" s="26"/>
      <c r="L148" s="55"/>
      <c r="M148" s="55"/>
      <c r="N148" s="55"/>
      <c r="O148" s="55"/>
      <c r="P148" s="55"/>
      <c r="Q148" s="55"/>
      <c r="R148" s="55"/>
      <c r="S148" s="55"/>
      <c r="T148" s="55"/>
      <c r="U148" s="55"/>
      <c r="V148" s="55"/>
      <c r="W148" s="55"/>
      <c r="X148" s="55"/>
      <c r="Y148" s="55"/>
      <c r="Z148" s="55"/>
      <c r="AA148" s="55"/>
      <c r="AB148" s="55"/>
      <c r="AC148" s="55"/>
      <c r="AD148" s="55"/>
      <c r="AE148" s="55"/>
      <c r="AF148" s="55"/>
      <c r="AG148" s="55"/>
      <c r="AH148" s="55"/>
      <c r="AI148" s="55"/>
      <c r="AJ148" s="55"/>
      <c r="AK148" s="55"/>
      <c r="AL148" s="55"/>
      <c r="AM148" s="55"/>
      <c r="AN148" s="55"/>
      <c r="AO148" s="55"/>
      <c r="AP148" s="55"/>
      <c r="AQ148" s="55"/>
      <c r="AR148" s="55"/>
      <c r="AS148" s="55"/>
      <c r="AT148" s="55"/>
      <c r="AU148" s="55"/>
      <c r="AV148" s="55"/>
      <c r="AW148" s="55"/>
      <c r="AX148" s="55"/>
      <c r="AY148" s="55"/>
      <c r="AZ148" s="55"/>
      <c r="BA148" s="55"/>
      <c r="BB148" s="55"/>
      <c r="BC148" s="55"/>
      <c r="BD148" s="55"/>
      <c r="BE148" s="55"/>
      <c r="BF148" s="55"/>
      <c r="BG148" s="55"/>
      <c r="BH148" s="55"/>
      <c r="BI148" s="55"/>
      <c r="BJ148" s="55"/>
      <c r="BK148" s="55"/>
      <c r="BL148" s="55"/>
      <c r="BM148" s="55"/>
      <c r="BN148" s="55"/>
      <c r="BO148" s="55"/>
      <c r="BP148" s="55"/>
      <c r="BQ148" s="55"/>
      <c r="BR148" s="55"/>
      <c r="BS148" s="55"/>
    </row>
    <row r="149" spans="1:71" outlineLevel="1" x14ac:dyDescent="0.2">
      <c r="C149" s="11" t="str">
        <f>CHOOSE(db_ML_selected,'Liste Traduction'!B258,'Liste Traduction'!C258)</f>
        <v>Prix Haut (PH)</v>
      </c>
      <c r="J149" s="26"/>
      <c r="L149" s="55"/>
      <c r="M149" s="55"/>
      <c r="N149" s="55"/>
      <c r="O149" s="55"/>
      <c r="P149" s="55"/>
      <c r="Q149" s="55"/>
      <c r="R149" s="55"/>
      <c r="S149" s="55"/>
      <c r="T149" s="55"/>
      <c r="U149" s="55"/>
      <c r="V149" s="55"/>
      <c r="W149" s="55"/>
      <c r="X149" s="55"/>
      <c r="Y149" s="55"/>
      <c r="Z149" s="55"/>
      <c r="AA149" s="55"/>
      <c r="AB149" s="55"/>
      <c r="AC149" s="55"/>
      <c r="AD149" s="55"/>
      <c r="AE149" s="55"/>
      <c r="AF149" s="55"/>
      <c r="AG149" s="55"/>
      <c r="AH149" s="55"/>
      <c r="AI149" s="55"/>
      <c r="AJ149" s="55"/>
      <c r="AK149" s="55"/>
      <c r="AL149" s="55"/>
      <c r="AM149" s="55"/>
      <c r="AN149" s="55"/>
      <c r="AO149" s="55"/>
      <c r="AP149" s="55"/>
      <c r="AQ149" s="55"/>
      <c r="AR149" s="55"/>
      <c r="AS149" s="55"/>
      <c r="AT149" s="55"/>
      <c r="AU149" s="55"/>
      <c r="AV149" s="55"/>
      <c r="AW149" s="55"/>
      <c r="AX149" s="55"/>
      <c r="AY149" s="55"/>
      <c r="AZ149" s="55"/>
      <c r="BA149" s="55"/>
      <c r="BB149" s="55"/>
      <c r="BC149" s="55"/>
      <c r="BD149" s="55"/>
      <c r="BE149" s="55"/>
      <c r="BF149" s="55"/>
      <c r="BG149" s="55"/>
      <c r="BH149" s="55"/>
      <c r="BI149" s="55"/>
      <c r="BJ149" s="55"/>
      <c r="BK149" s="55"/>
      <c r="BL149" s="55"/>
      <c r="BM149" s="55"/>
      <c r="BN149" s="55"/>
      <c r="BO149" s="55"/>
      <c r="BP149" s="55"/>
      <c r="BQ149" s="55"/>
      <c r="BR149" s="55"/>
      <c r="BS149" s="55"/>
    </row>
    <row r="150" spans="1:71" outlineLevel="1" x14ac:dyDescent="0.2">
      <c r="D150" t="str">
        <f>CHOOSE(db_ML_selected,'Liste Traduction'!B281,'Liste Traduction'!C281)</f>
        <v>Prix du pétrole PH1 (nominal)</v>
      </c>
      <c r="J150" s="26" t="s">
        <v>46</v>
      </c>
      <c r="K150" s="7" t="s">
        <v>609</v>
      </c>
      <c r="L150" s="49">
        <f ca="1">IF(L4&lt;YEAR(effective_date_Nkossa2017),OFFSET(_xlfn.SINGLE(IA_historic_HP),2,),INDEX(HM_ZA_Nkossa!FA_HP,1)*_xlfn.SINGLE(CA_infl_index_HP1))</f>
        <v>32.270000000000003</v>
      </c>
      <c r="M150" s="49">
        <f ca="1">IF(M4&lt;YEAR(effective_date_Nkossa2017),OFFSET(_xlfn.SINGLE(IA_historic_HP),2,),INDEX(HM_ZA_Nkossa!FA_HP,1)*_xlfn.SINGLE(CA_infl_index_HP1))</f>
        <v>32.519750000000002</v>
      </c>
      <c r="N150" s="49">
        <f ca="1">IF(N4&lt;YEAR(effective_date_Nkossa2017),OFFSET(_xlfn.SINGLE(IA_historic_HP),2,),INDEX(HM_ZA_Nkossa!FA_HP,1)*_xlfn.SINGLE(CA_infl_index_HP1))</f>
        <v>32.923999999999999</v>
      </c>
      <c r="O150" s="49">
        <f ca="1">IF(O4&lt;YEAR(effective_date_Nkossa2017),OFFSET(_xlfn.SINGLE(IA_historic_HP),2,),INDEX(HM_ZA_Nkossa!FA_HP,1)*_xlfn.SINGLE(CA_infl_index_HP1))</f>
        <v>33.427250000000001</v>
      </c>
      <c r="P150" s="49">
        <f ca="1">IF(P4&lt;YEAR(effective_date_Nkossa2017),OFFSET(_xlfn.SINGLE(IA_historic_HP),2,),INDEX(HM_ZA_Nkossa!FA_HP,1)*_xlfn.SINGLE(CA_infl_index_HP1))</f>
        <v>34.691783812210737</v>
      </c>
      <c r="Q150" s="49">
        <f ca="1">IF(Q4&lt;YEAR(effective_date_Nkossa2017),OFFSET(_xlfn.SINGLE(IA_historic_HP),2,),INDEX(HM_ZA_Nkossa!FA_HP,1)*_xlfn.SINGLE(CA_infl_index_HP1))</f>
        <v>35.38561948845495</v>
      </c>
      <c r="R150" s="49">
        <f ca="1">IF(R4&lt;YEAR(effective_date_Nkossa2017),OFFSET(_xlfn.SINGLE(IA_historic_HP),2,),INDEX(HM_ZA_Nkossa!FA_HP,1)*_xlfn.SINGLE(CA_infl_index_HP1))</f>
        <v>36.093331878224049</v>
      </c>
      <c r="S150" s="49">
        <f ca="1">IF(S4&lt;YEAR(effective_date_Nkossa2017),OFFSET(_xlfn.SINGLE(IA_historic_HP),2,),INDEX(HM_ZA_Nkossa!FA_HP,1)*_xlfn.SINGLE(CA_infl_index_HP1))</f>
        <v>36.815198515788538</v>
      </c>
      <c r="T150" s="49">
        <f ca="1">IF(T4&lt;YEAR(effective_date_Nkossa2017),OFFSET(_xlfn.SINGLE(IA_historic_HP),2,),INDEX(HM_ZA_Nkossa!FA_HP,1)*_xlfn.SINGLE(CA_infl_index_HP1))</f>
        <v>37.551502486104297</v>
      </c>
      <c r="U150" s="49">
        <f ca="1">IF(U4&lt;YEAR(effective_date_Nkossa2017),OFFSET(_xlfn.SINGLE(IA_historic_HP),2,),INDEX(HM_ZA_Nkossa!FA_HP,1)*_xlfn.SINGLE(CA_infl_index_HP1))</f>
        <v>38.302532535826394</v>
      </c>
      <c r="V150" s="49">
        <f ca="1">IF(V4&lt;YEAR(effective_date_Nkossa2017),OFFSET(_xlfn.SINGLE(IA_historic_HP),2,),INDEX(HM_ZA_Nkossa!FA_HP,1)*_xlfn.SINGLE(CA_infl_index_HP1))</f>
        <v>39.068583186542917</v>
      </c>
      <c r="W150" s="49">
        <f ca="1">IF(W4&lt;YEAR(effective_date_Nkossa2017),OFFSET(_xlfn.SINGLE(IA_historic_HP),2,),INDEX(HM_ZA_Nkossa!FA_HP,1)*_xlfn.SINGLE(CA_infl_index_HP1))</f>
        <v>39.849954850273775</v>
      </c>
      <c r="X150" s="49">
        <f ca="1">IF(X4&lt;YEAR(effective_date_Nkossa2017),OFFSET(_xlfn.SINGLE(IA_historic_HP),2,),INDEX(HM_ZA_Nkossa!FA_HP,1)*_xlfn.SINGLE(CA_infl_index_HP1))</f>
        <v>40.646953947279243</v>
      </c>
      <c r="Y150" s="49">
        <f ca="1">IF(Y4&lt;YEAR(effective_date_Nkossa2017),OFFSET(_xlfn.SINGLE(IA_historic_HP),2,),INDEX(HM_ZA_Nkossa!FA_HP,1)*_xlfn.SINGLE(CA_infl_index_HP1))</f>
        <v>41.459893026224833</v>
      </c>
      <c r="Z150" s="49">
        <f ca="1">IF(Z4&lt;YEAR(effective_date_Nkossa2017),OFFSET(_xlfn.SINGLE(IA_historic_HP),2,),INDEX(HM_ZA_Nkossa!FA_HP,1)*_xlfn.SINGLE(CA_infl_index_HP1))</f>
        <v>42.289090886749335</v>
      </c>
      <c r="AA150" s="49">
        <f ca="1">IF(AA4&lt;YEAR(effective_date_Nkossa2017),OFFSET(_xlfn.SINGLE(IA_historic_HP),2,),INDEX(HM_ZA_Nkossa!FA_HP,1)*_xlfn.SINGLE(CA_infl_index_HP1))</f>
        <v>43.134872704484316</v>
      </c>
      <c r="AB150" s="49">
        <f ca="1">IF(AB4&lt;YEAR(effective_date_Nkossa2017),OFFSET(_xlfn.SINGLE(IA_historic_HP),2,),INDEX(HM_ZA_Nkossa!FA_HP,1)*_xlfn.SINGLE(CA_infl_index_HP1))</f>
        <v>43.997570158574007</v>
      </c>
      <c r="AC150" s="49">
        <f ca="1">IF(AC4&lt;YEAR(effective_date_Nkossa2017),OFFSET(_xlfn.SINGLE(IA_historic_HP),2,),INDEX(HM_ZA_Nkossa!FA_HP,1)*_xlfn.SINGLE(CA_infl_index_HP1))</f>
        <v>44.877521561745482</v>
      </c>
      <c r="AD150" s="49">
        <f ca="1">IF(AD4&lt;YEAR(effective_date_Nkossa2017),OFFSET(_xlfn.SINGLE(IA_historic_HP),2,),INDEX(HM_ZA_Nkossa!FA_HP,1)*_xlfn.SINGLE(CA_infl_index_HP1))</f>
        <v>45.775071992980401</v>
      </c>
      <c r="AE150" s="49">
        <f ca="1">IF(AE4&lt;YEAR(effective_date_Nkossa2017),OFFSET(_xlfn.SINGLE(IA_historic_HP),2,),INDEX(HM_ZA_Nkossa!FA_HP,1)*_xlfn.SINGLE(CA_infl_index_HP1))</f>
        <v>46.690573432840011</v>
      </c>
      <c r="AF150" s="49">
        <f ca="1">IF(AF4&lt;YEAR(effective_date_Nkossa2017),OFFSET(_xlfn.SINGLE(IA_historic_HP),2,),INDEX(HM_ZA_Nkossa!FA_HP,1)*_xlfn.SINGLE(CA_infl_index_HP1))</f>
        <v>47.624384901496789</v>
      </c>
      <c r="AG150" s="49">
        <f ca="1">IF(AG4&lt;YEAR(effective_date_Nkossa2017),OFFSET(_xlfn.SINGLE(IA_historic_HP),2,),INDEX(HM_ZA_Nkossa!FA_HP,1)*_xlfn.SINGLE(CA_infl_index_HP1))</f>
        <v>48.576872599526737</v>
      </c>
      <c r="AH150" s="49">
        <f ca="1">IF(AH4&lt;YEAR(effective_date_Nkossa2017),OFFSET(_xlfn.SINGLE(IA_historic_HP),2,),INDEX(HM_ZA_Nkossa!FA_HP,1)*_xlfn.SINGLE(CA_infl_index_HP1))</f>
        <v>49.548410051517273</v>
      </c>
      <c r="AI150" s="49">
        <f ca="1">IF(AI4&lt;YEAR(effective_date_Nkossa2017),OFFSET(_xlfn.SINGLE(IA_historic_HP),2,),INDEX(HM_ZA_Nkossa!FA_HP,1)*_xlfn.SINGLE(CA_infl_index_HP1))</f>
        <v>50.539378252547614</v>
      </c>
      <c r="AJ150" s="49">
        <f ca="1">IF(AJ4&lt;YEAR(effective_date_Nkossa2017),OFFSET(_xlfn.SINGLE(IA_historic_HP),2,),INDEX(HM_ZA_Nkossa!FA_HP,1)*_xlfn.SINGLE(CA_infl_index_HP1))</f>
        <v>51.550165817598568</v>
      </c>
      <c r="AK150" s="49">
        <f ca="1">IF(AK4&lt;YEAR(effective_date_Nkossa2017),OFFSET(_xlfn.SINGLE(IA_historic_HP),2,),INDEX(HM_ZA_Nkossa!FA_HP,1)*_xlfn.SINGLE(CA_infl_index_HP1))</f>
        <v>52.581169133950546</v>
      </c>
      <c r="AL150" s="49">
        <f ca="1">IF(AL4&lt;YEAR(effective_date_Nkossa2017),OFFSET(_xlfn.SINGLE(IA_historic_HP),2,),INDEX(HM_ZA_Nkossa!FA_HP,1)*_xlfn.SINGLE(CA_infl_index_HP1))</f>
        <v>53.63279251662955</v>
      </c>
      <c r="AM150" s="49">
        <f ca="1">IF(AM4&lt;YEAR(effective_date_Nkossa2017),OFFSET(_xlfn.SINGLE(IA_historic_HP),2,),INDEX(HM_ZA_Nkossa!FA_HP,1)*_xlfn.SINGLE(CA_infl_index_HP1))</f>
        <v>54.705448366962152</v>
      </c>
      <c r="AN150" s="49">
        <f ca="1">IF(AN4&lt;YEAR(effective_date_Nkossa2017),OFFSET(_xlfn.SINGLE(IA_historic_HP),2,),INDEX(HM_ZA_Nkossa!FA_HP,1)*_xlfn.SINGLE(CA_infl_index_HP1))</f>
        <v>55.799557334301369</v>
      </c>
      <c r="AO150" s="49">
        <f ca="1">IF(AO4&lt;YEAR(effective_date_Nkossa2017),OFFSET(_xlfn.SINGLE(IA_historic_HP),2,),INDEX(HM_ZA_Nkossa!FA_HP,1)*_xlfn.SINGLE(CA_infl_index_HP1))</f>
        <v>56.915548480987411</v>
      </c>
      <c r="AP150" s="49">
        <f ca="1">IF(AP4&lt;YEAR(effective_date_Nkossa2017),OFFSET(_xlfn.SINGLE(IA_historic_HP),2,),INDEX(HM_ZA_Nkossa!FA_HP,1)*_xlfn.SINGLE(CA_infl_index_HP1))</f>
        <v>58.053859450607163</v>
      </c>
      <c r="AQ150" s="49">
        <f ca="1">IF(AQ4&lt;YEAR(effective_date_Nkossa2017),OFFSET(_xlfn.SINGLE(IA_historic_HP),2,),INDEX(HM_ZA_Nkossa!FA_HP,1)*_xlfn.SINGLE(CA_infl_index_HP1))</f>
        <v>59.214936639619303</v>
      </c>
      <c r="AR150" s="49">
        <f ca="1">IF(AR4&lt;YEAR(effective_date_Nkossa2017),OFFSET(_xlfn.SINGLE(IA_historic_HP),2,),INDEX(HM_ZA_Nkossa!FA_HP,1)*_xlfn.SINGLE(CA_infl_index_HP1))</f>
        <v>60.399235372411681</v>
      </c>
      <c r="AS150" s="49">
        <f ca="1">IF(AS4&lt;YEAR(effective_date_Nkossa2017),OFFSET(_xlfn.SINGLE(IA_historic_HP),2,),INDEX(HM_ZA_Nkossa!FA_HP,1)*_xlfn.SINGLE(CA_infl_index_HP1))</f>
        <v>61.607220079859928</v>
      </c>
      <c r="AT150" s="49">
        <f ca="1">IF(AT4&lt;YEAR(effective_date_Nkossa2017),OFFSET(_xlfn.SINGLE(IA_historic_HP),2,),INDEX(HM_ZA_Nkossa!FA_HP,1)*_xlfn.SINGLE(CA_infl_index_HP1))</f>
        <v>62.839364481457118</v>
      </c>
      <c r="AU150" s="49">
        <f ca="1">IF(AU4&lt;YEAR(effective_date_Nkossa2017),OFFSET(_xlfn.SINGLE(IA_historic_HP),2,),INDEX(HM_ZA_Nkossa!FA_HP,1)*_xlfn.SINGLE(CA_infl_index_HP1))</f>
        <v>64.096151771086269</v>
      </c>
      <c r="AV150" s="49">
        <f ca="1">IF(AV4&lt;YEAR(effective_date_Nkossa2017),OFFSET(_xlfn.SINGLE(IA_historic_HP),2,),INDEX(HM_ZA_Nkossa!FA_HP,1)*_xlfn.SINGLE(CA_infl_index_HP1))</f>
        <v>65.378074806507968</v>
      </c>
      <c r="AW150" s="49">
        <f ca="1">IF(AW4&lt;YEAR(effective_date_Nkossa2017),OFFSET(_xlfn.SINGLE(IA_historic_HP),2,),INDEX(HM_ZA_Nkossa!FA_HP,1)*_xlfn.SINGLE(CA_infl_index_HP1))</f>
        <v>66.68563630263813</v>
      </c>
      <c r="AX150" s="49">
        <f ca="1">IF(AX4&lt;YEAR(effective_date_Nkossa2017),OFFSET(_xlfn.SINGLE(IA_historic_HP),2,),INDEX(HM_ZA_Nkossa!FA_HP,1)*_xlfn.SINGLE(CA_infl_index_HP1))</f>
        <v>68.019349028690897</v>
      </c>
      <c r="AY150" s="49">
        <f ca="1">IF(AY4&lt;YEAR(effective_date_Nkossa2017),OFFSET(_xlfn.SINGLE(IA_historic_HP),2,),INDEX(HM_ZA_Nkossa!FA_HP,1)*_xlfn.SINGLE(CA_infl_index_HP1))</f>
        <v>69.379736009264718</v>
      </c>
      <c r="AZ150" s="49">
        <f ca="1">IF(AZ4&lt;YEAR(effective_date_Nkossa2017),OFFSET(_xlfn.SINGLE(IA_historic_HP),2,),INDEX(HM_ZA_Nkossa!FA_HP,1)*_xlfn.SINGLE(CA_infl_index_HP1))</f>
        <v>70.767330729450009</v>
      </c>
      <c r="BA150" s="49">
        <f ca="1">IF(BA4&lt;YEAR(effective_date_Nkossa2017),OFFSET(_xlfn.SINGLE(IA_historic_HP),2,),INDEX(HM_ZA_Nkossa!FA_HP,1)*_xlfn.SINGLE(CA_infl_index_HP1))</f>
        <v>72.182677344039021</v>
      </c>
      <c r="BB150" s="49">
        <f ca="1">IF(BB4&lt;YEAR(effective_date_Nkossa2017),OFFSET(_xlfn.SINGLE(IA_historic_HP),2,),INDEX(HM_ZA_Nkossa!FA_HP,1)*_xlfn.SINGLE(CA_infl_index_HP1))</f>
        <v>73.626330890919803</v>
      </c>
      <c r="BC150" s="49">
        <f ca="1">IF(BC4&lt;YEAR(effective_date_Nkossa2017),OFFSET(_xlfn.SINGLE(IA_historic_HP),2,),INDEX(HM_ZA_Nkossa!FA_HP,1)*_xlfn.SINGLE(CA_infl_index_HP1))</f>
        <v>75.098857508738192</v>
      </c>
      <c r="BD150" s="49">
        <f ca="1">IF(BD4&lt;YEAR(effective_date_Nkossa2017),OFFSET(_xlfn.SINGLE(IA_historic_HP),2,),INDEX(HM_ZA_Nkossa!FA_HP,1)*_xlfn.SINGLE(CA_infl_index_HP1))</f>
        <v>76.600834658912945</v>
      </c>
      <c r="BE150" s="49">
        <f ca="1">IF(BE4&lt;YEAR(effective_date_Nkossa2017),OFFSET(_xlfn.SINGLE(IA_historic_HP),2,),INDEX(HM_ZA_Nkossa!FA_HP,1)*_xlfn.SINGLE(CA_infl_index_HP1))</f>
        <v>78.132851352091222</v>
      </c>
      <c r="BF150" s="49">
        <f ca="1">IF(BF4&lt;YEAR(effective_date_Nkossa2017),OFFSET(_xlfn.SINGLE(IA_historic_HP),2,),INDEX(HM_ZA_Nkossa!FA_HP,1)*_xlfn.SINGLE(CA_infl_index_HP1))</f>
        <v>79.695508379133045</v>
      </c>
      <c r="BG150" s="49">
        <f ca="1">IF(BG4&lt;YEAR(effective_date_Nkossa2017),OFFSET(_xlfn.SINGLE(IA_historic_HP),2,),INDEX(HM_ZA_Nkossa!FA_HP,1)*_xlfn.SINGLE(CA_infl_index_HP1))</f>
        <v>81.289418546715694</v>
      </c>
      <c r="BH150" s="49">
        <f ca="1">IF(BH4&lt;YEAR(effective_date_Nkossa2017),OFFSET(_xlfn.SINGLE(IA_historic_HP),2,),INDEX(HM_ZA_Nkossa!FA_HP,1)*_xlfn.SINGLE(CA_infl_index_HP1))</f>
        <v>82.915206917650011</v>
      </c>
      <c r="BI150" s="49">
        <f ca="1">IF(BI4&lt;YEAR(effective_date_Nkossa2017),OFFSET(_xlfn.SINGLE(IA_historic_HP),2,),INDEX(HM_ZA_Nkossa!FA_HP,1)*_xlfn.SINGLE(CA_infl_index_HP1))</f>
        <v>84.573511056003014</v>
      </c>
      <c r="BJ150" s="49">
        <f ca="1">IF(BJ4&lt;YEAR(effective_date_Nkossa2017),OFFSET(_xlfn.SINGLE(IA_historic_HP),2,),INDEX(HM_ZA_Nkossa!FA_HP,1)*_xlfn.SINGLE(CA_infl_index_HP1))</f>
        <v>86.26498127712307</v>
      </c>
      <c r="BK150" s="49">
        <f ca="1">IF(BK4&lt;YEAR(effective_date_Nkossa2017),OFFSET(_xlfn.SINGLE(IA_historic_HP),2,),INDEX(HM_ZA_Nkossa!FA_HP,1)*_xlfn.SINGLE(CA_infl_index_HP1))</f>
        <v>87.990280902665546</v>
      </c>
      <c r="BL150" s="49">
        <f ca="1">IF(BL4&lt;YEAR(effective_date_Nkossa2017),OFFSET(_xlfn.SINGLE(IA_historic_HP),2,),INDEX(HM_ZA_Nkossa!FA_HP,1)*_xlfn.SINGLE(CA_infl_index_HP1))</f>
        <v>89.750086520718838</v>
      </c>
      <c r="BM150" s="49">
        <f ca="1">IF(BM4&lt;YEAR(effective_date_Nkossa2017),OFFSET(_xlfn.SINGLE(IA_historic_HP),2,),INDEX(HM_ZA_Nkossa!FA_HP,1)*_xlfn.SINGLE(CA_infl_index_HP1))</f>
        <v>91.545088251133222</v>
      </c>
      <c r="BN150" s="49">
        <f ca="1">IF(BN4&lt;YEAR(effective_date_Nkossa2017),OFFSET(_xlfn.SINGLE(IA_historic_HP),2,),INDEX(HM_ZA_Nkossa!FA_HP,1)*_xlfn.SINGLE(CA_infl_index_HP1))</f>
        <v>93.375990016155882</v>
      </c>
      <c r="BO150" s="49">
        <f ca="1">IF(BO4&lt;YEAR(effective_date_Nkossa2017),OFFSET(_xlfn.SINGLE(IA_historic_HP),2,),INDEX(HM_ZA_Nkossa!FA_HP,1)*_xlfn.SINGLE(CA_infl_index_HP1))</f>
        <v>95.243509816479019</v>
      </c>
      <c r="BP150" s="49">
        <f ca="1">IF(BP4&lt;YEAR(effective_date_Nkossa2017),OFFSET(_xlfn.SINGLE(IA_historic_HP),2,),INDEX(HM_ZA_Nkossa!FA_HP,1)*_xlfn.SINGLE(CA_infl_index_HP1))</f>
        <v>97.148380012808573</v>
      </c>
      <c r="BQ150" s="49">
        <f ca="1">IF(BQ4&lt;YEAR(effective_date_Nkossa2017),OFFSET(_xlfn.SINGLE(IA_historic_HP),2,),INDEX(HM_ZA_Nkossa!FA_HP,1)*_xlfn.SINGLE(CA_infl_index_HP1))</f>
        <v>99.091347613064755</v>
      </c>
      <c r="BR150" s="49">
        <f ca="1">IF(BR4&lt;YEAR(effective_date_Nkossa2017),OFFSET(_xlfn.SINGLE(IA_historic_HP),2,),INDEX(HM_ZA_Nkossa!FA_HP,1)*_xlfn.SINGLE(CA_infl_index_HP1))</f>
        <v>101.07317456532606</v>
      </c>
      <c r="BS150" s="49">
        <f ca="1">IF(BS4&lt;YEAR(effective_date_Nkossa2017),OFFSET(_xlfn.SINGLE(IA_historic_HP),2,),INDEX(HM_ZA_Nkossa!FA_HP,1)*_xlfn.SINGLE(CA_infl_index_HP1))</f>
        <v>103.09463805663258</v>
      </c>
    </row>
    <row r="151" spans="1:71" outlineLevel="1" x14ac:dyDescent="0.2">
      <c r="J151" s="26"/>
      <c r="L151" s="55"/>
      <c r="M151" s="55"/>
      <c r="N151" s="55"/>
      <c r="O151" s="55"/>
      <c r="P151" s="55"/>
      <c r="Q151" s="55"/>
      <c r="R151" s="55"/>
      <c r="S151" s="55"/>
      <c r="T151" s="55"/>
      <c r="U151" s="55"/>
      <c r="V151" s="55"/>
      <c r="W151" s="55"/>
      <c r="X151" s="55"/>
      <c r="Y151" s="55"/>
      <c r="Z151" s="55"/>
      <c r="AA151" s="55"/>
      <c r="AB151" s="55"/>
      <c r="AC151" s="55"/>
      <c r="AD151" s="55"/>
      <c r="AE151" s="55"/>
      <c r="AF151" s="55"/>
      <c r="AG151" s="55"/>
      <c r="AH151" s="55"/>
      <c r="AI151" s="55"/>
      <c r="AJ151" s="55"/>
      <c r="AK151" s="55"/>
      <c r="AL151" s="55"/>
      <c r="AM151" s="55"/>
      <c r="AN151" s="55"/>
      <c r="AO151" s="55"/>
      <c r="AP151" s="55"/>
      <c r="AQ151" s="55"/>
      <c r="AR151" s="55"/>
      <c r="AS151" s="55"/>
      <c r="AT151" s="55"/>
      <c r="AU151" s="55"/>
      <c r="AV151" s="55"/>
      <c r="AW151" s="55"/>
      <c r="AX151" s="55"/>
      <c r="AY151" s="55"/>
      <c r="AZ151" s="55"/>
      <c r="BA151" s="55"/>
      <c r="BB151" s="55"/>
      <c r="BC151" s="55"/>
      <c r="BD151" s="55"/>
      <c r="BE151" s="55"/>
      <c r="BF151" s="55"/>
      <c r="BG151" s="55"/>
      <c r="BH151" s="55"/>
      <c r="BI151" s="55"/>
      <c r="BJ151" s="55"/>
      <c r="BK151" s="55"/>
      <c r="BL151" s="55"/>
      <c r="BM151" s="55"/>
      <c r="BN151" s="55"/>
      <c r="BO151" s="55"/>
      <c r="BP151" s="55"/>
      <c r="BQ151" s="55"/>
      <c r="BR151" s="55"/>
      <c r="BS151" s="55"/>
    </row>
    <row r="152" spans="1:71" outlineLevel="1" x14ac:dyDescent="0.2">
      <c r="D152" t="str">
        <f>CHOOSE(db_ML_selected,'Liste Traduction'!B282,'Liste Traduction'!C282)</f>
        <v>Prix du pétrole PH2 (Nominal)</v>
      </c>
      <c r="J152" s="26" t="s">
        <v>46</v>
      </c>
      <c r="K152" s="7" t="s">
        <v>610</v>
      </c>
      <c r="L152" s="49">
        <f ca="1">IF(L4&lt;YEAR(effective_date_Nkossa2017),0,
IF(AND(L4&gt;=YEAR(effective_date_Nkossa2017),OFFSET(_xlfn.SINGLE(IA_historic_HP),2,)&lt;&gt;0),OFFSET(_xlfn.SINGLE(IA_historic_HP),2,),INDEX(HM_ZA_Nkossa!FA_HP,2)*_xlfn.SINGLE(CA_infl_index_HP2)))</f>
        <v>0</v>
      </c>
      <c r="M152" s="49">
        <f ca="1">IF(M4&lt;YEAR(effective_date_Nkossa2017),0,
IF(AND(M4&gt;=YEAR(effective_date_Nkossa2017),OFFSET(_xlfn.SINGLE(IA_historic_HP),2,)&lt;&gt;0),OFFSET(_xlfn.SINGLE(IA_historic_HP),2,),INDEX(HM_ZA_Nkossa!FA_HP,2)*_xlfn.SINGLE(CA_infl_index_HP2)))</f>
        <v>0</v>
      </c>
      <c r="N152" s="49">
        <f ca="1">IF(N4&lt;YEAR(effective_date_Nkossa2017),0,
IF(AND(N4&gt;=YEAR(effective_date_Nkossa2017),OFFSET(_xlfn.SINGLE(IA_historic_HP),2,)&lt;&gt;0),OFFSET(_xlfn.SINGLE(IA_historic_HP),2,),INDEX(HM_ZA_Nkossa!FA_HP,2)*_xlfn.SINGLE(CA_infl_index_HP2)))</f>
        <v>0</v>
      </c>
      <c r="O152" s="49">
        <f ca="1">IF(O4&lt;YEAR(effective_date_Nkossa2017),0,
IF(AND(O4&gt;=YEAR(effective_date_Nkossa2017),OFFSET(_xlfn.SINGLE(IA_historic_HP),2,)&lt;&gt;0),OFFSET(_xlfn.SINGLE(IA_historic_HP),2,),INDEX(HM_ZA_Nkossa!FA_HP,2)*_xlfn.SINGLE(CA_infl_index_HP2)))</f>
        <v>0</v>
      </c>
      <c r="P152" s="49">
        <f ca="1">IF(P4&lt;YEAR(effective_date_Nkossa2017),0,
IF(AND(P4&gt;=YEAR(effective_date_Nkossa2017),OFFSET(_xlfn.SINGLE(IA_historic_HP),2,)&lt;&gt;0),OFFSET(_xlfn.SINGLE(IA_historic_HP),2,),INDEX(HM_ZA_Nkossa!FA_HP,2)*_xlfn.SINGLE(CA_infl_index_HP2)))</f>
        <v>66.422750000000008</v>
      </c>
      <c r="Q152" s="49">
        <f ca="1">IF(Q4&lt;YEAR(effective_date_Nkossa2017),0,
IF(AND(Q4&gt;=YEAR(effective_date_Nkossa2017),OFFSET(_xlfn.SINGLE(IA_historic_HP),2,)&lt;&gt;0),OFFSET(_xlfn.SINGLE(IA_historic_HP),2,),INDEX(HM_ZA_Nkossa!FA_HP,2)*_xlfn.SINGLE(CA_infl_index_HP2)))</f>
        <v>68.897500000000008</v>
      </c>
      <c r="R152" s="49">
        <f ca="1">IF(R4&lt;YEAR(effective_date_Nkossa2017),0,
IF(AND(R4&gt;=YEAR(effective_date_Nkossa2017),OFFSET(_xlfn.SINGLE(IA_historic_HP),2,)&lt;&gt;0),OFFSET(_xlfn.SINGLE(IA_historic_HP),2,),INDEX(HM_ZA_Nkossa!FA_HP,2)*_xlfn.SINGLE(CA_infl_index_HP2)))</f>
        <v>69.747250000000008</v>
      </c>
      <c r="S152" s="49">
        <f ca="1">IF(S4&lt;YEAR(effective_date_Nkossa2017),0,
IF(AND(S4&gt;=YEAR(effective_date_Nkossa2017),OFFSET(_xlfn.SINGLE(IA_historic_HP),2,)&lt;&gt;0),OFFSET(_xlfn.SINGLE(IA_historic_HP),2,),INDEX(HM_ZA_Nkossa!FA_HP,2)*_xlfn.SINGLE(CA_infl_index_HP2)))</f>
        <v>71.400000000000006</v>
      </c>
      <c r="T152" s="49">
        <f ca="1">IF(T4&lt;YEAR(effective_date_Nkossa2017),0,
IF(AND(T4&gt;=YEAR(effective_date_Nkossa2017),OFFSET(_xlfn.SINGLE(IA_historic_HP),2,)&lt;&gt;0),OFFSET(_xlfn.SINGLE(IA_historic_HP),2,),INDEX(HM_ZA_Nkossa!FA_HP,2)*_xlfn.SINGLE(CA_infl_index_HP2)))</f>
        <v>70.358090399999995</v>
      </c>
      <c r="U152" s="49">
        <f ca="1">IF(U4&lt;YEAR(effective_date_Nkossa2017),0,
IF(AND(U4&gt;=YEAR(effective_date_Nkossa2017),OFFSET(_xlfn.SINGLE(IA_historic_HP),2,)&lt;&gt;0),OFFSET(_xlfn.SINGLE(IA_historic_HP),2,),INDEX(HM_ZA_Nkossa!FA_HP,2)*_xlfn.SINGLE(CA_infl_index_HP2)))</f>
        <v>71.765252208000007</v>
      </c>
      <c r="V152" s="49">
        <f ca="1">IF(V4&lt;YEAR(effective_date_Nkossa2017),0,
IF(AND(V4&gt;=YEAR(effective_date_Nkossa2017),OFFSET(_xlfn.SINGLE(IA_historic_HP),2,)&lt;&gt;0),OFFSET(_xlfn.SINGLE(IA_historic_HP),2,),INDEX(HM_ZA_Nkossa!FA_HP,2)*_xlfn.SINGLE(CA_infl_index_HP2)))</f>
        <v>73.20055725216001</v>
      </c>
      <c r="W152" s="49">
        <f ca="1">IF(W4&lt;YEAR(effective_date_Nkossa2017),0,
IF(AND(W4&gt;=YEAR(effective_date_Nkossa2017),OFFSET(_xlfn.SINGLE(IA_historic_HP),2,)&lt;&gt;0),OFFSET(_xlfn.SINGLE(IA_historic_HP),2,),INDEX(HM_ZA_Nkossa!FA_HP,2)*_xlfn.SINGLE(CA_infl_index_HP2)))</f>
        <v>74.664568397203183</v>
      </c>
      <c r="X152" s="49">
        <f ca="1">IF(X4&lt;YEAR(effective_date_Nkossa2017),0,
IF(AND(X4&gt;=YEAR(effective_date_Nkossa2017),OFFSET(_xlfn.SINGLE(IA_historic_HP),2,)&lt;&gt;0),OFFSET(_xlfn.SINGLE(IA_historic_HP),2,),INDEX(HM_ZA_Nkossa!FA_HP,2)*_xlfn.SINGLE(CA_infl_index_HP2)))</f>
        <v>76.157859765147265</v>
      </c>
      <c r="Y152" s="49">
        <f ca="1">IF(Y4&lt;YEAR(effective_date_Nkossa2017),0,
IF(AND(Y4&gt;=YEAR(effective_date_Nkossa2017),OFFSET(_xlfn.SINGLE(IA_historic_HP),2,)&lt;&gt;0),OFFSET(_xlfn.SINGLE(IA_historic_HP),2,),INDEX(HM_ZA_Nkossa!FA_HP,2)*_xlfn.SINGLE(CA_infl_index_HP2)))</f>
        <v>77.681016960450208</v>
      </c>
      <c r="Z152" s="49">
        <f ca="1">IF(Z4&lt;YEAR(effective_date_Nkossa2017),0,
IF(AND(Z4&gt;=YEAR(effective_date_Nkossa2017),OFFSET(_xlfn.SINGLE(IA_historic_HP),2,)&lt;&gt;0),OFFSET(_xlfn.SINGLE(IA_historic_HP),2,),INDEX(HM_ZA_Nkossa!FA_HP,2)*_xlfn.SINGLE(CA_infl_index_HP2)))</f>
        <v>79.234637299659212</v>
      </c>
      <c r="AA152" s="49">
        <f ca="1">IF(AA4&lt;YEAR(effective_date_Nkossa2017),0,
IF(AND(AA4&gt;=YEAR(effective_date_Nkossa2017),OFFSET(_xlfn.SINGLE(IA_historic_HP),2,)&lt;&gt;0),OFFSET(_xlfn.SINGLE(IA_historic_HP),2,),INDEX(HM_ZA_Nkossa!FA_HP,2)*_xlfn.SINGLE(CA_infl_index_HP2)))</f>
        <v>80.819330045652379</v>
      </c>
      <c r="AB152" s="49">
        <f ca="1">IF(AB4&lt;YEAR(effective_date_Nkossa2017),0,
IF(AND(AB4&gt;=YEAR(effective_date_Nkossa2017),OFFSET(_xlfn.SINGLE(IA_historic_HP),2,)&lt;&gt;0),OFFSET(_xlfn.SINGLE(IA_historic_HP),2,),INDEX(HM_ZA_Nkossa!FA_HP,2)*_xlfn.SINGLE(CA_infl_index_HP2)))</f>
        <v>82.435716646565439</v>
      </c>
      <c r="AC152" s="49">
        <f ca="1">IF(AC4&lt;YEAR(effective_date_Nkossa2017),0,
IF(AND(AC4&gt;=YEAR(effective_date_Nkossa2017),OFFSET(_xlfn.SINGLE(IA_historic_HP),2,)&lt;&gt;0),OFFSET(_xlfn.SINGLE(IA_historic_HP),2,),INDEX(HM_ZA_Nkossa!FA_HP,2)*_xlfn.SINGLE(CA_infl_index_HP2)))</f>
        <v>84.084430979496744</v>
      </c>
      <c r="AD152" s="49">
        <f ca="1">IF(AD4&lt;YEAR(effective_date_Nkossa2017),0,
IF(AND(AD4&gt;=YEAR(effective_date_Nkossa2017),OFFSET(_xlfn.SINGLE(IA_historic_HP),2,)&lt;&gt;0),OFFSET(_xlfn.SINGLE(IA_historic_HP),2,),INDEX(HM_ZA_Nkossa!FA_HP,2)*_xlfn.SINGLE(CA_infl_index_HP2)))</f>
        <v>85.766119599086693</v>
      </c>
      <c r="AE152" s="49">
        <f ca="1">IF(AE4&lt;YEAR(effective_date_Nkossa2017),0,
IF(AND(AE4&gt;=YEAR(effective_date_Nkossa2017),OFFSET(_xlfn.SINGLE(IA_historic_HP),2,)&lt;&gt;0),OFFSET(_xlfn.SINGLE(IA_historic_HP),2,),INDEX(HM_ZA_Nkossa!FA_HP,2)*_xlfn.SINGLE(CA_infl_index_HP2)))</f>
        <v>87.481441991068394</v>
      </c>
      <c r="AF152" s="49">
        <f ca="1">IF(AF4&lt;YEAR(effective_date_Nkossa2017),0,
IF(AND(AF4&gt;=YEAR(effective_date_Nkossa2017),OFFSET(_xlfn.SINGLE(IA_historic_HP),2,)&lt;&gt;0),OFFSET(_xlfn.SINGLE(IA_historic_HP),2,),INDEX(HM_ZA_Nkossa!FA_HP,2)*_xlfn.SINGLE(CA_infl_index_HP2)))</f>
        <v>89.231070830889777</v>
      </c>
      <c r="AG152" s="49">
        <f ca="1">IF(AG4&lt;YEAR(effective_date_Nkossa2017),0,
IF(AND(AG4&gt;=YEAR(effective_date_Nkossa2017),OFFSET(_xlfn.SINGLE(IA_historic_HP),2,)&lt;&gt;0),OFFSET(_xlfn.SINGLE(IA_historic_HP),2,),INDEX(HM_ZA_Nkossa!FA_HP,2)*_xlfn.SINGLE(CA_infl_index_HP2)))</f>
        <v>91.015692247507587</v>
      </c>
      <c r="AH152" s="49">
        <f ca="1">IF(AH4&lt;YEAR(effective_date_Nkossa2017),0,
IF(AND(AH4&gt;=YEAR(effective_date_Nkossa2017),OFFSET(_xlfn.SINGLE(IA_historic_HP),2,)&lt;&gt;0),OFFSET(_xlfn.SINGLE(IA_historic_HP),2,),INDEX(HM_ZA_Nkossa!FA_HP,2)*_xlfn.SINGLE(CA_infl_index_HP2)))</f>
        <v>92.836006092457723</v>
      </c>
      <c r="AI152" s="49">
        <f ca="1">IF(AI4&lt;YEAR(effective_date_Nkossa2017),0,
IF(AND(AI4&gt;=YEAR(effective_date_Nkossa2017),OFFSET(_xlfn.SINGLE(IA_historic_HP),2,)&lt;&gt;0),OFFSET(_xlfn.SINGLE(IA_historic_HP),2,),INDEX(HM_ZA_Nkossa!FA_HP,2)*_xlfn.SINGLE(CA_infl_index_HP2)))</f>
        <v>94.692726214306873</v>
      </c>
      <c r="AJ152" s="49">
        <f ca="1">IF(AJ4&lt;YEAR(effective_date_Nkossa2017),0,
IF(AND(AJ4&gt;=YEAR(effective_date_Nkossa2017),OFFSET(_xlfn.SINGLE(IA_historic_HP),2,)&lt;&gt;0),OFFSET(_xlfn.SINGLE(IA_historic_HP),2,),INDEX(HM_ZA_Nkossa!FA_HP,2)*_xlfn.SINGLE(CA_infl_index_HP2)))</f>
        <v>96.586580738593028</v>
      </c>
      <c r="AK152" s="49">
        <f ca="1">IF(AK4&lt;YEAR(effective_date_Nkossa2017),0,
IF(AND(AK4&gt;=YEAR(effective_date_Nkossa2017),OFFSET(_xlfn.SINGLE(IA_historic_HP),2,)&lt;&gt;0),OFFSET(_xlfn.SINGLE(IA_historic_HP),2,),INDEX(HM_ZA_Nkossa!FA_HP,2)*_xlfn.SINGLE(CA_infl_index_HP2)))</f>
        <v>98.518312353364877</v>
      </c>
      <c r="AL152" s="49">
        <f ca="1">IF(AL4&lt;YEAR(effective_date_Nkossa2017),0,
IF(AND(AL4&gt;=YEAR(effective_date_Nkossa2017),OFFSET(_xlfn.SINGLE(IA_historic_HP),2,)&lt;&gt;0),OFFSET(_xlfn.SINGLE(IA_historic_HP),2,),INDEX(HM_ZA_Nkossa!FA_HP,2)*_xlfn.SINGLE(CA_infl_index_HP2)))</f>
        <v>100.48867860043218</v>
      </c>
      <c r="AM152" s="49">
        <f ca="1">IF(AM4&lt;YEAR(effective_date_Nkossa2017),0,
IF(AND(AM4&gt;=YEAR(effective_date_Nkossa2017),OFFSET(_xlfn.SINGLE(IA_historic_HP),2,)&lt;&gt;0),OFFSET(_xlfn.SINGLE(IA_historic_HP),2,),INDEX(HM_ZA_Nkossa!FA_HP,2)*_xlfn.SINGLE(CA_infl_index_HP2)))</f>
        <v>102.49845217244081</v>
      </c>
      <c r="AN152" s="49">
        <f ca="1">IF(AN4&lt;YEAR(effective_date_Nkossa2017),0,
IF(AND(AN4&gt;=YEAR(effective_date_Nkossa2017),OFFSET(_xlfn.SINGLE(IA_historic_HP),2,)&lt;&gt;0),OFFSET(_xlfn.SINGLE(IA_historic_HP),2,),INDEX(HM_ZA_Nkossa!FA_HP,2)*_xlfn.SINGLE(CA_infl_index_HP2)))</f>
        <v>104.54842121588963</v>
      </c>
      <c r="AO152" s="49">
        <f ca="1">IF(AO4&lt;YEAR(effective_date_Nkossa2017),0,
IF(AND(AO4&gt;=YEAR(effective_date_Nkossa2017),OFFSET(_xlfn.SINGLE(IA_historic_HP),2,)&lt;&gt;0),OFFSET(_xlfn.SINGLE(IA_historic_HP),2,),INDEX(HM_ZA_Nkossa!FA_HP,2)*_xlfn.SINGLE(CA_infl_index_HP2)))</f>
        <v>106.63938964020743</v>
      </c>
      <c r="AP152" s="49">
        <f ca="1">IF(AP4&lt;YEAR(effective_date_Nkossa2017),0,
IF(AND(AP4&gt;=YEAR(effective_date_Nkossa2017),OFFSET(_xlfn.SINGLE(IA_historic_HP),2,)&lt;&gt;0),OFFSET(_xlfn.SINGLE(IA_historic_HP),2,),INDEX(HM_ZA_Nkossa!FA_HP,2)*_xlfn.SINGLE(CA_infl_index_HP2)))</f>
        <v>108.77217743301158</v>
      </c>
      <c r="AQ152" s="49">
        <f ca="1">IF(AQ4&lt;YEAR(effective_date_Nkossa2017),0,
IF(AND(AQ4&gt;=YEAR(effective_date_Nkossa2017),OFFSET(_xlfn.SINGLE(IA_historic_HP),2,)&lt;&gt;0),OFFSET(_xlfn.SINGLE(IA_historic_HP),2,),INDEX(HM_ZA_Nkossa!FA_HP,2)*_xlfn.SINGLE(CA_infl_index_HP2)))</f>
        <v>110.94762098167179</v>
      </c>
      <c r="AR152" s="49">
        <f ca="1">IF(AR4&lt;YEAR(effective_date_Nkossa2017),0,
IF(AND(AR4&gt;=YEAR(effective_date_Nkossa2017),OFFSET(_xlfn.SINGLE(IA_historic_HP),2,)&lt;&gt;0),OFFSET(_xlfn.SINGLE(IA_historic_HP),2,),INDEX(HM_ZA_Nkossa!FA_HP,2)*_xlfn.SINGLE(CA_infl_index_HP2)))</f>
        <v>113.16657340130526</v>
      </c>
      <c r="AS152" s="49">
        <f ca="1">IF(AS4&lt;YEAR(effective_date_Nkossa2017),0,
IF(AND(AS4&gt;=YEAR(effective_date_Nkossa2017),OFFSET(_xlfn.SINGLE(IA_historic_HP),2,)&lt;&gt;0),OFFSET(_xlfn.SINGLE(IA_historic_HP),2,),INDEX(HM_ZA_Nkossa!FA_HP,2)*_xlfn.SINGLE(CA_infl_index_HP2)))</f>
        <v>115.42990486933134</v>
      </c>
      <c r="AT152" s="49">
        <f ca="1">IF(AT4&lt;YEAR(effective_date_Nkossa2017),0,
IF(AND(AT4&gt;=YEAR(effective_date_Nkossa2017),OFFSET(_xlfn.SINGLE(IA_historic_HP),2,)&lt;&gt;0),OFFSET(_xlfn.SINGLE(IA_historic_HP),2,),INDEX(HM_ZA_Nkossa!FA_HP,2)*_xlfn.SINGLE(CA_infl_index_HP2)))</f>
        <v>117.73850296671797</v>
      </c>
      <c r="AU152" s="49">
        <f ca="1">IF(AU4&lt;YEAR(effective_date_Nkossa2017),0,
IF(AND(AU4&gt;=YEAR(effective_date_Nkossa2017),OFFSET(_xlfn.SINGLE(IA_historic_HP),2,)&lt;&gt;0),OFFSET(_xlfn.SINGLE(IA_historic_HP),2,),INDEX(HM_ZA_Nkossa!FA_HP,2)*_xlfn.SINGLE(CA_infl_index_HP2)))</f>
        <v>120.0932730260523</v>
      </c>
      <c r="AV152" s="49">
        <f ca="1">IF(AV4&lt;YEAR(effective_date_Nkossa2017),0,
IF(AND(AV4&gt;=YEAR(effective_date_Nkossa2017),OFFSET(_xlfn.SINGLE(IA_historic_HP),2,)&lt;&gt;0),OFFSET(_xlfn.SINGLE(IA_historic_HP),2,),INDEX(HM_ZA_Nkossa!FA_HP,2)*_xlfn.SINGLE(CA_infl_index_HP2)))</f>
        <v>122.49513848657338</v>
      </c>
      <c r="AW152" s="49">
        <f ca="1">IF(AW4&lt;YEAR(effective_date_Nkossa2017),0,
IF(AND(AW4&gt;=YEAR(effective_date_Nkossa2017),OFFSET(_xlfn.SINGLE(IA_historic_HP),2,)&lt;&gt;0),OFFSET(_xlfn.SINGLE(IA_historic_HP),2,),INDEX(HM_ZA_Nkossa!FA_HP,2)*_xlfn.SINGLE(CA_infl_index_HP2)))</f>
        <v>124.94504125630486</v>
      </c>
      <c r="AX152" s="49">
        <f ca="1">IF(AX4&lt;YEAR(effective_date_Nkossa2017),0,
IF(AND(AX4&gt;=YEAR(effective_date_Nkossa2017),OFFSET(_xlfn.SINGLE(IA_historic_HP),2,)&lt;&gt;0),OFFSET(_xlfn.SINGLE(IA_historic_HP),2,),INDEX(HM_ZA_Nkossa!FA_HP,2)*_xlfn.SINGLE(CA_infl_index_HP2)))</f>
        <v>127.44394208143093</v>
      </c>
      <c r="AY152" s="49">
        <f ca="1">IF(AY4&lt;YEAR(effective_date_Nkossa2017),0,
IF(AND(AY4&gt;=YEAR(effective_date_Nkossa2017),OFFSET(_xlfn.SINGLE(IA_historic_HP),2,)&lt;&gt;0),OFFSET(_xlfn.SINGLE(IA_historic_HP),2,),INDEX(HM_ZA_Nkossa!FA_HP,2)*_xlfn.SINGLE(CA_infl_index_HP2)))</f>
        <v>129.99282092305955</v>
      </c>
      <c r="AZ152" s="49">
        <f ca="1">IF(AZ4&lt;YEAR(effective_date_Nkossa2017),0,
IF(AND(AZ4&gt;=YEAR(effective_date_Nkossa2017),OFFSET(_xlfn.SINGLE(IA_historic_HP),2,)&lt;&gt;0),OFFSET(_xlfn.SINGLE(IA_historic_HP),2,),INDEX(HM_ZA_Nkossa!FA_HP,2)*_xlfn.SINGLE(CA_infl_index_HP2)))</f>
        <v>132.59267734152073</v>
      </c>
      <c r="BA152" s="49">
        <f ca="1">IF(BA4&lt;YEAR(effective_date_Nkossa2017),0,
IF(AND(BA4&gt;=YEAR(effective_date_Nkossa2017),OFFSET(_xlfn.SINGLE(IA_historic_HP),2,)&lt;&gt;0),OFFSET(_xlfn.SINGLE(IA_historic_HP),2,),INDEX(HM_ZA_Nkossa!FA_HP,2)*_xlfn.SINGLE(CA_infl_index_HP2)))</f>
        <v>135.24453088835116</v>
      </c>
      <c r="BB152" s="49">
        <f ca="1">IF(BB4&lt;YEAR(effective_date_Nkossa2017),0,
IF(AND(BB4&gt;=YEAR(effective_date_Nkossa2017),OFFSET(_xlfn.SINGLE(IA_historic_HP),2,)&lt;&gt;0),OFFSET(_xlfn.SINGLE(IA_historic_HP),2,),INDEX(HM_ZA_Nkossa!FA_HP,2)*_xlfn.SINGLE(CA_infl_index_HP2)))</f>
        <v>137.9494215061182</v>
      </c>
      <c r="BC152" s="49">
        <f ca="1">IF(BC4&lt;YEAR(effective_date_Nkossa2017),0,
IF(AND(BC4&gt;=YEAR(effective_date_Nkossa2017),OFFSET(_xlfn.SINGLE(IA_historic_HP),2,)&lt;&gt;0),OFFSET(_xlfn.SINGLE(IA_historic_HP),2,),INDEX(HM_ZA_Nkossa!FA_HP,2)*_xlfn.SINGLE(CA_infl_index_HP2)))</f>
        <v>140.70840993624051</v>
      </c>
      <c r="BD152" s="49">
        <f ca="1">IF(BD4&lt;YEAR(effective_date_Nkossa2017),0,
IF(AND(BD4&gt;=YEAR(effective_date_Nkossa2017),OFFSET(_xlfn.SINGLE(IA_historic_HP),2,)&lt;&gt;0),OFFSET(_xlfn.SINGLE(IA_historic_HP),2,),INDEX(HM_ZA_Nkossa!FA_HP,2)*_xlfn.SINGLE(CA_infl_index_HP2)))</f>
        <v>143.52257813496536</v>
      </c>
      <c r="BE152" s="49">
        <f ca="1">IF(BE4&lt;YEAR(effective_date_Nkossa2017),0,
IF(AND(BE4&gt;=YEAR(effective_date_Nkossa2017),OFFSET(_xlfn.SINGLE(IA_historic_HP),2,)&lt;&gt;0),OFFSET(_xlfn.SINGLE(IA_historic_HP),2,),INDEX(HM_ZA_Nkossa!FA_HP,2)*_xlfn.SINGLE(CA_infl_index_HP2)))</f>
        <v>146.39302969766467</v>
      </c>
      <c r="BF152" s="49">
        <f ca="1">IF(BF4&lt;YEAR(effective_date_Nkossa2017),0,
IF(AND(BF4&gt;=YEAR(effective_date_Nkossa2017),OFFSET(_xlfn.SINGLE(IA_historic_HP),2,)&lt;&gt;0),OFFSET(_xlfn.SINGLE(IA_historic_HP),2,),INDEX(HM_ZA_Nkossa!FA_HP,2)*_xlfn.SINGLE(CA_infl_index_HP2)))</f>
        <v>149.32089029161796</v>
      </c>
      <c r="BG152" s="49">
        <f ca="1">IF(BG4&lt;YEAR(effective_date_Nkossa2017),0,
IF(AND(BG4&gt;=YEAR(effective_date_Nkossa2017),OFFSET(_xlfn.SINGLE(IA_historic_HP),2,)&lt;&gt;0),OFFSET(_xlfn.SINGLE(IA_historic_HP),2,),INDEX(HM_ZA_Nkossa!FA_HP,2)*_xlfn.SINGLE(CA_infl_index_HP2)))</f>
        <v>152.30730809745032</v>
      </c>
      <c r="BH152" s="49">
        <f ca="1">IF(BH4&lt;YEAR(effective_date_Nkossa2017),0,
IF(AND(BH4&gt;=YEAR(effective_date_Nkossa2017),OFFSET(_xlfn.SINGLE(IA_historic_HP),2,)&lt;&gt;0),OFFSET(_xlfn.SINGLE(IA_historic_HP),2,),INDEX(HM_ZA_Nkossa!FA_HP,2)*_xlfn.SINGLE(CA_infl_index_HP2)))</f>
        <v>155.35345425939934</v>
      </c>
      <c r="BI152" s="49">
        <f ca="1">IF(BI4&lt;YEAR(effective_date_Nkossa2017),0,
IF(AND(BI4&gt;=YEAR(effective_date_Nkossa2017),OFFSET(_xlfn.SINGLE(IA_historic_HP),2,)&lt;&gt;0),OFFSET(_xlfn.SINGLE(IA_historic_HP),2,),INDEX(HM_ZA_Nkossa!FA_HP,2)*_xlfn.SINGLE(CA_infl_index_HP2)))</f>
        <v>158.4605233445873</v>
      </c>
      <c r="BJ152" s="49">
        <f ca="1">IF(BJ4&lt;YEAR(effective_date_Nkossa2017),0,
IF(AND(BJ4&gt;=YEAR(effective_date_Nkossa2017),OFFSET(_xlfn.SINGLE(IA_historic_HP),2,)&lt;&gt;0),OFFSET(_xlfn.SINGLE(IA_historic_HP),2,),INDEX(HM_ZA_Nkossa!FA_HP,2)*_xlfn.SINGLE(CA_infl_index_HP2)))</f>
        <v>161.62973381147907</v>
      </c>
      <c r="BK152" s="49">
        <f ca="1">IF(BK4&lt;YEAR(effective_date_Nkossa2017),0,
IF(AND(BK4&gt;=YEAR(effective_date_Nkossa2017),OFFSET(_xlfn.SINGLE(IA_historic_HP),2,)&lt;&gt;0),OFFSET(_xlfn.SINGLE(IA_historic_HP),2,),INDEX(HM_ZA_Nkossa!FA_HP,2)*_xlfn.SINGLE(CA_infl_index_HP2)))</f>
        <v>164.8623284877086</v>
      </c>
      <c r="BL152" s="49">
        <f ca="1">IF(BL4&lt;YEAR(effective_date_Nkossa2017),0,
IF(AND(BL4&gt;=YEAR(effective_date_Nkossa2017),OFFSET(_xlfn.SINGLE(IA_historic_HP),2,)&lt;&gt;0),OFFSET(_xlfn.SINGLE(IA_historic_HP),2,),INDEX(HM_ZA_Nkossa!FA_HP,2)*_xlfn.SINGLE(CA_infl_index_HP2)))</f>
        <v>168.1595750574628</v>
      </c>
      <c r="BM152" s="49">
        <f ca="1">IF(BM4&lt;YEAR(effective_date_Nkossa2017),0,
IF(AND(BM4&gt;=YEAR(effective_date_Nkossa2017),OFFSET(_xlfn.SINGLE(IA_historic_HP),2,)&lt;&gt;0),OFFSET(_xlfn.SINGLE(IA_historic_HP),2,),INDEX(HM_ZA_Nkossa!FA_HP,2)*_xlfn.SINGLE(CA_infl_index_HP2)))</f>
        <v>171.52276655861206</v>
      </c>
      <c r="BN152" s="49">
        <f ca="1">IF(BN4&lt;YEAR(effective_date_Nkossa2017),0,
IF(AND(BN4&gt;=YEAR(effective_date_Nkossa2017),OFFSET(_xlfn.SINGLE(IA_historic_HP),2,)&lt;&gt;0),OFFSET(_xlfn.SINGLE(IA_historic_HP),2,),INDEX(HM_ZA_Nkossa!FA_HP,2)*_xlfn.SINGLE(CA_infl_index_HP2)))</f>
        <v>174.95322188978432</v>
      </c>
      <c r="BO152" s="49">
        <f ca="1">IF(BO4&lt;YEAR(effective_date_Nkossa2017),0,
IF(AND(BO4&gt;=YEAR(effective_date_Nkossa2017),OFFSET(_xlfn.SINGLE(IA_historic_HP),2,)&lt;&gt;0),OFFSET(_xlfn.SINGLE(IA_historic_HP),2,),INDEX(HM_ZA_Nkossa!FA_HP,2)*_xlfn.SINGLE(CA_infl_index_HP2)))</f>
        <v>178.45228632757997</v>
      </c>
      <c r="BP152" s="49">
        <f ca="1">IF(BP4&lt;YEAR(effective_date_Nkossa2017),0,
IF(AND(BP4&gt;=YEAR(effective_date_Nkossa2017),OFFSET(_xlfn.SINGLE(IA_historic_HP),2,)&lt;&gt;0),OFFSET(_xlfn.SINGLE(IA_historic_HP),2,),INDEX(HM_ZA_Nkossa!FA_HP,2)*_xlfn.SINGLE(CA_infl_index_HP2)))</f>
        <v>182.02133205413159</v>
      </c>
      <c r="BQ152" s="49">
        <f ca="1">IF(BQ4&lt;YEAR(effective_date_Nkossa2017),0,
IF(AND(BQ4&gt;=YEAR(effective_date_Nkossa2017),OFFSET(_xlfn.SINGLE(IA_historic_HP),2,)&lt;&gt;0),OFFSET(_xlfn.SINGLE(IA_historic_HP),2,),INDEX(HM_ZA_Nkossa!FA_HP,2)*_xlfn.SINGLE(CA_infl_index_HP2)))</f>
        <v>185.66175869521419</v>
      </c>
      <c r="BR152" s="49">
        <f ca="1">IF(BR4&lt;YEAR(effective_date_Nkossa2017),0,
IF(AND(BR4&gt;=YEAR(effective_date_Nkossa2017),OFFSET(_xlfn.SINGLE(IA_historic_HP),2,)&lt;&gt;0),OFFSET(_xlfn.SINGLE(IA_historic_HP),2,),INDEX(HM_ZA_Nkossa!FA_HP,2)*_xlfn.SINGLE(CA_infl_index_HP2)))</f>
        <v>189.37499386911853</v>
      </c>
      <c r="BS152" s="49">
        <f ca="1">IF(BS4&lt;YEAR(effective_date_Nkossa2017),0,
IF(AND(BS4&gt;=YEAR(effective_date_Nkossa2017),OFFSET(_xlfn.SINGLE(IA_historic_HP),2,)&lt;&gt;0),OFFSET(_xlfn.SINGLE(IA_historic_HP),2,),INDEX(HM_ZA_Nkossa!FA_HP,2)*_xlfn.SINGLE(CA_infl_index_HP2)))</f>
        <v>193.16249374650084</v>
      </c>
    </row>
    <row r="153" spans="1:71" outlineLevel="1" x14ac:dyDescent="0.2">
      <c r="J153" s="26"/>
      <c r="L153" s="55"/>
      <c r="M153" s="55"/>
      <c r="N153" s="55"/>
      <c r="O153" s="55"/>
      <c r="P153" s="55"/>
      <c r="Q153" s="55"/>
      <c r="R153" s="55"/>
      <c r="S153" s="55"/>
      <c r="T153" s="55"/>
      <c r="U153" s="55"/>
      <c r="V153" s="55"/>
      <c r="W153" s="55"/>
      <c r="X153" s="55"/>
      <c r="Y153" s="55"/>
      <c r="Z153" s="55"/>
      <c r="AA153" s="55"/>
      <c r="AB153" s="55"/>
      <c r="AC153" s="55"/>
      <c r="AD153" s="55"/>
      <c r="AE153" s="55"/>
      <c r="AF153" s="55"/>
      <c r="AG153" s="55"/>
      <c r="AH153" s="55"/>
      <c r="AI153" s="55"/>
      <c r="AJ153" s="55"/>
      <c r="AK153" s="55"/>
      <c r="AL153" s="55"/>
      <c r="AM153" s="55"/>
      <c r="AN153" s="55"/>
      <c r="AO153" s="55"/>
      <c r="AP153" s="55"/>
      <c r="AQ153" s="55"/>
      <c r="AR153" s="55"/>
      <c r="AS153" s="55"/>
      <c r="AT153" s="55"/>
      <c r="AU153" s="55"/>
      <c r="AV153" s="55"/>
      <c r="AW153" s="55"/>
      <c r="AX153" s="55"/>
      <c r="AY153" s="55"/>
      <c r="AZ153" s="55"/>
      <c r="BA153" s="55"/>
      <c r="BB153" s="55"/>
      <c r="BC153" s="55"/>
      <c r="BD153" s="55"/>
      <c r="BE153" s="55"/>
      <c r="BF153" s="55"/>
      <c r="BG153" s="55"/>
      <c r="BH153" s="55"/>
      <c r="BI153" s="55"/>
      <c r="BJ153" s="55"/>
      <c r="BK153" s="55"/>
      <c r="BL153" s="55"/>
      <c r="BM153" s="55"/>
      <c r="BN153" s="55"/>
      <c r="BO153" s="55"/>
      <c r="BP153" s="55"/>
      <c r="BQ153" s="55"/>
      <c r="BR153" s="55"/>
      <c r="BS153" s="55"/>
    </row>
    <row r="154" spans="1:71" outlineLevel="1" x14ac:dyDescent="0.2">
      <c r="D154" t="str">
        <f>CHOOSE(db_ML_selected,'Liste Traduction'!B283,'Liste Traduction'!C283)</f>
        <v>Indice d'inflation pour PH1</v>
      </c>
      <c r="J154" s="26"/>
      <c r="K154" s="7" t="s">
        <v>615</v>
      </c>
      <c r="L154" s="49">
        <f>IF(L$4&lt;=YEAR(HM_ZA_Nkossa!effective_date_HM1994),1,(1+input_US_inflation_perc)^(L$4-YEAR(HM_ZA_Nkossa!effective_date_HM1994)))</f>
        <v>1.4568111725277981</v>
      </c>
      <c r="M154" s="49">
        <f>IF(M$4&lt;=YEAR(HM_ZA_Nkossa!effective_date_HM1994),1,(1+input_US_inflation_perc)^(M$4-YEAR(HM_ZA_Nkossa!effective_date_HM1994)))</f>
        <v>1.4859473959783542</v>
      </c>
      <c r="N154" s="49">
        <f>IF(N$4&lt;=YEAR(HM_ZA_Nkossa!effective_date_HM1994),1,(1+input_US_inflation_perc)^(N$4-YEAR(HM_ZA_Nkossa!effective_date_HM1994)))</f>
        <v>1.5156663438979212</v>
      </c>
      <c r="O154" s="49">
        <f>IF(O$4&lt;=YEAR(HM_ZA_Nkossa!effective_date_HM1994),1,(1+input_US_inflation_perc)^(O$4-YEAR(HM_ZA_Nkossa!effective_date_HM1994)))</f>
        <v>1.5459796707758797</v>
      </c>
      <c r="P154" s="49">
        <f>IF(P$4&lt;=YEAR(HM_ZA_Nkossa!effective_date_HM1994),1,(1+input_US_inflation_perc)^(P$4-YEAR(HM_ZA_Nkossa!effective_date_HM1994)))</f>
        <v>1.576899264191397</v>
      </c>
      <c r="Q154" s="49">
        <f>IF(Q$4&lt;=YEAR(HM_ZA_Nkossa!effective_date_HM1994),1,(1+input_US_inflation_perc)^(Q$4-YEAR(HM_ZA_Nkossa!effective_date_HM1994)))</f>
        <v>1.608437249475225</v>
      </c>
      <c r="R154" s="49">
        <f>IF(R$4&lt;=YEAR(HM_ZA_Nkossa!effective_date_HM1994),1,(1+input_US_inflation_perc)^(R$4-YEAR(HM_ZA_Nkossa!effective_date_HM1994)))</f>
        <v>1.6406059944647295</v>
      </c>
      <c r="S154" s="49">
        <f>IF(S$4&lt;=YEAR(HM_ZA_Nkossa!effective_date_HM1994),1,(1+input_US_inflation_perc)^(S$4-YEAR(HM_ZA_Nkossa!effective_date_HM1994)))</f>
        <v>1.6734181143540243</v>
      </c>
      <c r="T154" s="49">
        <f>IF(T$4&lt;=YEAR(HM_ZA_Nkossa!effective_date_HM1994),1,(1+input_US_inflation_perc)^(T$4-YEAR(HM_ZA_Nkossa!effective_date_HM1994)))</f>
        <v>1.7068864766411045</v>
      </c>
      <c r="U154" s="49">
        <f>IF(U$4&lt;=YEAR(HM_ZA_Nkossa!effective_date_HM1994),1,(1+input_US_inflation_perc)^(U$4-YEAR(HM_ZA_Nkossa!effective_date_HM1994)))</f>
        <v>1.7410242061739269</v>
      </c>
      <c r="V154" s="49">
        <f>IF(V$4&lt;=YEAR(HM_ZA_Nkossa!effective_date_HM1994),1,(1+input_US_inflation_perc)^(V$4-YEAR(HM_ZA_Nkossa!effective_date_HM1994)))</f>
        <v>1.7758446902974052</v>
      </c>
      <c r="W154" s="49">
        <f>IF(W$4&lt;=YEAR(HM_ZA_Nkossa!effective_date_HM1994),1,(1+input_US_inflation_perc)^(W$4-YEAR(HM_ZA_Nkossa!effective_date_HM1994)))</f>
        <v>1.8113615841033535</v>
      </c>
      <c r="X154" s="49">
        <f>IF(X$4&lt;=YEAR(HM_ZA_Nkossa!effective_date_HM1994),1,(1+input_US_inflation_perc)^(X$4-YEAR(HM_ZA_Nkossa!effective_date_HM1994)))</f>
        <v>1.8475888157854201</v>
      </c>
      <c r="Y154" s="49">
        <f>IF(Y$4&lt;=YEAR(HM_ZA_Nkossa!effective_date_HM1994),1,(1+input_US_inflation_perc)^(Y$4-YEAR(HM_ZA_Nkossa!effective_date_HM1994)))</f>
        <v>1.8845405921011289</v>
      </c>
      <c r="Z154" s="49">
        <f>IF(Z$4&lt;=YEAR(HM_ZA_Nkossa!effective_date_HM1994),1,(1+input_US_inflation_perc)^(Z$4-YEAR(HM_ZA_Nkossa!effective_date_HM1994)))</f>
        <v>1.9222314039431516</v>
      </c>
      <c r="AA154" s="49">
        <f>IF(AA$4&lt;=YEAR(HM_ZA_Nkossa!effective_date_HM1994),1,(1+input_US_inflation_perc)^(AA$4-YEAR(HM_ZA_Nkossa!effective_date_HM1994)))</f>
        <v>1.9606760320220145</v>
      </c>
      <c r="AB154" s="49">
        <f>IF(AB$4&lt;=YEAR(HM_ZA_Nkossa!effective_date_HM1994),1,(1+input_US_inflation_perc)^(AB$4-YEAR(HM_ZA_Nkossa!effective_date_HM1994)))</f>
        <v>1.9998895526624547</v>
      </c>
      <c r="AC154" s="49">
        <f>IF(AC$4&lt;=YEAR(HM_ZA_Nkossa!effective_date_HM1994),1,(1+input_US_inflation_perc)^(AC$4-YEAR(HM_ZA_Nkossa!effective_date_HM1994)))</f>
        <v>2.0398873437157037</v>
      </c>
      <c r="AD154" s="49">
        <f>IF(AD$4&lt;=YEAR(HM_ZA_Nkossa!effective_date_HM1994),1,(1+input_US_inflation_perc)^(AD$4-YEAR(HM_ZA_Nkossa!effective_date_HM1994)))</f>
        <v>2.080685090590018</v>
      </c>
      <c r="AE154" s="49">
        <f>IF(AE$4&lt;=YEAR(HM_ZA_Nkossa!effective_date_HM1994),1,(1+input_US_inflation_perc)^(AE$4-YEAR(HM_ZA_Nkossa!effective_date_HM1994)))</f>
        <v>2.1222987924018186</v>
      </c>
      <c r="AF154" s="49">
        <f>IF(AF$4&lt;=YEAR(HM_ZA_Nkossa!effective_date_HM1994),1,(1+input_US_inflation_perc)^(AF$4-YEAR(HM_ZA_Nkossa!effective_date_HM1994)))</f>
        <v>2.1647447682498542</v>
      </c>
      <c r="AG154" s="49">
        <f>IF(AG$4&lt;=YEAR(HM_ZA_Nkossa!effective_date_HM1994),1,(1+input_US_inflation_perc)^(AG$4-YEAR(HM_ZA_Nkossa!effective_date_HM1994)))</f>
        <v>2.2080396636148518</v>
      </c>
      <c r="AH154" s="49">
        <f>IF(AH$4&lt;=YEAR(HM_ZA_Nkossa!effective_date_HM1994),1,(1+input_US_inflation_perc)^(AH$4-YEAR(HM_ZA_Nkossa!effective_date_HM1994)))</f>
        <v>2.2522004568871488</v>
      </c>
      <c r="AI154" s="49">
        <f>IF(AI$4&lt;=YEAR(HM_ZA_Nkossa!effective_date_HM1994),1,(1+input_US_inflation_perc)^(AI$4-YEAR(HM_ZA_Nkossa!effective_date_HM1994)))</f>
        <v>2.2972444660248916</v>
      </c>
      <c r="AJ154" s="49">
        <f>IF(AJ$4&lt;=YEAR(HM_ZA_Nkossa!effective_date_HM1994),1,(1+input_US_inflation_perc)^(AJ$4-YEAR(HM_ZA_Nkossa!effective_date_HM1994)))</f>
        <v>2.3431893553453893</v>
      </c>
      <c r="AK154" s="49">
        <f>IF(AK$4&lt;=YEAR(HM_ZA_Nkossa!effective_date_HM1994),1,(1+input_US_inflation_perc)^(AK$4-YEAR(HM_ZA_Nkossa!effective_date_HM1994)))</f>
        <v>2.3900531424522975</v>
      </c>
      <c r="AL154" s="49">
        <f>IF(AL$4&lt;=YEAR(HM_ZA_Nkossa!effective_date_HM1994),1,(1+input_US_inflation_perc)^(AL$4-YEAR(HM_ZA_Nkossa!effective_date_HM1994)))</f>
        <v>2.4378542053013432</v>
      </c>
      <c r="AM154" s="49">
        <f>IF(AM$4&lt;=YEAR(HM_ZA_Nkossa!effective_date_HM1994),1,(1+input_US_inflation_perc)^(AM$4-YEAR(HM_ZA_Nkossa!effective_date_HM1994)))</f>
        <v>2.4866112894073704</v>
      </c>
      <c r="AN154" s="49">
        <f>IF(AN$4&lt;=YEAR(HM_ZA_Nkossa!effective_date_HM1994),1,(1+input_US_inflation_perc)^(AN$4-YEAR(HM_ZA_Nkossa!effective_date_HM1994)))</f>
        <v>2.5363435151955169</v>
      </c>
      <c r="AO154" s="49">
        <f>IF(AO$4&lt;=YEAR(HM_ZA_Nkossa!effective_date_HM1994),1,(1+input_US_inflation_perc)^(AO$4-YEAR(HM_ZA_Nkossa!effective_date_HM1994)))</f>
        <v>2.5870703854994277</v>
      </c>
      <c r="AP154" s="49">
        <f>IF(AP$4&lt;=YEAR(HM_ZA_Nkossa!effective_date_HM1994),1,(1+input_US_inflation_perc)^(AP$4-YEAR(HM_ZA_Nkossa!effective_date_HM1994)))</f>
        <v>2.6388117932094164</v>
      </c>
      <c r="AQ154" s="49">
        <f>IF(AQ$4&lt;=YEAR(HM_ZA_Nkossa!effective_date_HM1994),1,(1+input_US_inflation_perc)^(AQ$4-YEAR(HM_ZA_Nkossa!effective_date_HM1994)))</f>
        <v>2.6915880290736047</v>
      </c>
      <c r="AR154" s="49">
        <f>IF(AR$4&lt;=YEAR(HM_ZA_Nkossa!effective_date_HM1994),1,(1+input_US_inflation_perc)^(AR$4-YEAR(HM_ZA_Nkossa!effective_date_HM1994)))</f>
        <v>2.7454197896550765</v>
      </c>
      <c r="AS154" s="49">
        <f>IF(AS$4&lt;=YEAR(HM_ZA_Nkossa!effective_date_HM1994),1,(1+input_US_inflation_perc)^(AS$4-YEAR(HM_ZA_Nkossa!effective_date_HM1994)))</f>
        <v>2.8003281854481785</v>
      </c>
      <c r="AT154" s="49">
        <f>IF(AT$4&lt;=YEAR(HM_ZA_Nkossa!effective_date_HM1994),1,(1+input_US_inflation_perc)^(AT$4-YEAR(HM_ZA_Nkossa!effective_date_HM1994)))</f>
        <v>2.8563347491571416</v>
      </c>
      <c r="AU154" s="49">
        <f>IF(AU$4&lt;=YEAR(HM_ZA_Nkossa!effective_date_HM1994),1,(1+input_US_inflation_perc)^(AU$4-YEAR(HM_ZA_Nkossa!effective_date_HM1994)))</f>
        <v>2.9134614441402849</v>
      </c>
      <c r="AV154" s="49">
        <f>IF(AV$4&lt;=YEAR(HM_ZA_Nkossa!effective_date_HM1994),1,(1+input_US_inflation_perc)^(AV$4-YEAR(HM_ZA_Nkossa!effective_date_HM1994)))</f>
        <v>2.9717306730230897</v>
      </c>
      <c r="AW154" s="49">
        <f>IF(AW$4&lt;=YEAR(HM_ZA_Nkossa!effective_date_HM1994),1,(1+input_US_inflation_perc)^(AW$4-YEAR(HM_ZA_Nkossa!effective_date_HM1994)))</f>
        <v>3.0311652864835517</v>
      </c>
      <c r="AX154" s="49">
        <f>IF(AX$4&lt;=YEAR(HM_ZA_Nkossa!effective_date_HM1994),1,(1+input_US_inflation_perc)^(AX$4-YEAR(HM_ZA_Nkossa!effective_date_HM1994)))</f>
        <v>3.0917885922132227</v>
      </c>
      <c r="AY154" s="49">
        <f>IF(AY$4&lt;=YEAR(HM_ZA_Nkossa!effective_date_HM1994),1,(1+input_US_inflation_perc)^(AY$4-YEAR(HM_ZA_Nkossa!effective_date_HM1994)))</f>
        <v>3.1536243640574875</v>
      </c>
      <c r="AZ154" s="49">
        <f>IF(AZ$4&lt;=YEAR(HM_ZA_Nkossa!effective_date_HM1994),1,(1+input_US_inflation_perc)^(AZ$4-YEAR(HM_ZA_Nkossa!effective_date_HM1994)))</f>
        <v>3.2166968513386367</v>
      </c>
      <c r="BA154" s="49">
        <f>IF(BA$4&lt;=YEAR(HM_ZA_Nkossa!effective_date_HM1994),1,(1+input_US_inflation_perc)^(BA$4-YEAR(HM_ZA_Nkossa!effective_date_HM1994)))</f>
        <v>3.2810307883654102</v>
      </c>
      <c r="BB154" s="49">
        <f>IF(BB$4&lt;=YEAR(HM_ZA_Nkossa!effective_date_HM1994),1,(1+input_US_inflation_perc)^(BB$4-YEAR(HM_ZA_Nkossa!effective_date_HM1994)))</f>
        <v>3.346651404132718</v>
      </c>
      <c r="BC154" s="49">
        <f>IF(BC$4&lt;=YEAR(HM_ZA_Nkossa!effective_date_HM1994),1,(1+input_US_inflation_perc)^(BC$4-YEAR(HM_ZA_Nkossa!effective_date_HM1994)))</f>
        <v>3.4135844322153726</v>
      </c>
      <c r="BD154" s="49">
        <f>IF(BD$4&lt;=YEAR(HM_ZA_Nkossa!effective_date_HM1994),1,(1+input_US_inflation_perc)^(BD$4-YEAR(HM_ZA_Nkossa!effective_date_HM1994)))</f>
        <v>3.4818561208596792</v>
      </c>
      <c r="BE154" s="49">
        <f>IF(BE$4&lt;=YEAR(HM_ZA_Nkossa!effective_date_HM1994),1,(1+input_US_inflation_perc)^(BE$4-YEAR(HM_ZA_Nkossa!effective_date_HM1994)))</f>
        <v>3.5514932432768735</v>
      </c>
      <c r="BF154" s="49">
        <f>IF(BF$4&lt;=YEAR(HM_ZA_Nkossa!effective_date_HM1994),1,(1+input_US_inflation_perc)^(BF$4-YEAR(HM_ZA_Nkossa!effective_date_HM1994)))</f>
        <v>3.6225231081424112</v>
      </c>
      <c r="BG154" s="49">
        <f>IF(BG$4&lt;=YEAR(HM_ZA_Nkossa!effective_date_HM1994),1,(1+input_US_inflation_perc)^(BG$4-YEAR(HM_ZA_Nkossa!effective_date_HM1994)))</f>
        <v>3.6949735703052591</v>
      </c>
      <c r="BH154" s="49">
        <f>IF(BH$4&lt;=YEAR(HM_ZA_Nkossa!effective_date_HM1994),1,(1+input_US_inflation_perc)^(BH$4-YEAR(HM_ZA_Nkossa!effective_date_HM1994)))</f>
        <v>3.7688730417113643</v>
      </c>
      <c r="BI154" s="49">
        <f>IF(BI$4&lt;=YEAR(HM_ZA_Nkossa!effective_date_HM1994),1,(1+input_US_inflation_perc)^(BI$4-YEAR(HM_ZA_Nkossa!effective_date_HM1994)))</f>
        <v>3.8442505025455915</v>
      </c>
      <c r="BJ154" s="49">
        <f>IF(BJ$4&lt;=YEAR(HM_ZA_Nkossa!effective_date_HM1994),1,(1+input_US_inflation_perc)^(BJ$4-YEAR(HM_ZA_Nkossa!effective_date_HM1994)))</f>
        <v>3.9211355125965035</v>
      </c>
      <c r="BK154" s="49">
        <f>IF(BK$4&lt;=YEAR(HM_ZA_Nkossa!effective_date_HM1994),1,(1+input_US_inflation_perc)^(BK$4-YEAR(HM_ZA_Nkossa!effective_date_HM1994)))</f>
        <v>3.9995582228484339</v>
      </c>
      <c r="BL154" s="49">
        <f>IF(BL$4&lt;=YEAR(HM_ZA_Nkossa!effective_date_HM1994),1,(1+input_US_inflation_perc)^(BL$4-YEAR(HM_ZA_Nkossa!effective_date_HM1994)))</f>
        <v>4.0795493873054021</v>
      </c>
      <c r="BM154" s="49">
        <f>IF(BM$4&lt;=YEAR(HM_ZA_Nkossa!effective_date_HM1994),1,(1+input_US_inflation_perc)^(BM$4-YEAR(HM_ZA_Nkossa!effective_date_HM1994)))</f>
        <v>4.1611403750515104</v>
      </c>
      <c r="BN154" s="49">
        <f>IF(BN$4&lt;=YEAR(HM_ZA_Nkossa!effective_date_HM1994),1,(1+input_US_inflation_perc)^(BN$4-YEAR(HM_ZA_Nkossa!effective_date_HM1994)))</f>
        <v>4.2443631825525401</v>
      </c>
      <c r="BO154" s="49">
        <f>IF(BO$4&lt;=YEAR(HM_ZA_Nkossa!effective_date_HM1994),1,(1+input_US_inflation_perc)^(BO$4-YEAR(HM_ZA_Nkossa!effective_date_HM1994)))</f>
        <v>4.3292504462035915</v>
      </c>
      <c r="BP154" s="49">
        <f>IF(BP$4&lt;=YEAR(HM_ZA_Nkossa!effective_date_HM1994),1,(1+input_US_inflation_perc)^(BP$4-YEAR(HM_ZA_Nkossa!effective_date_HM1994)))</f>
        <v>4.4158354551276622</v>
      </c>
      <c r="BQ154" s="49">
        <f>IF(BQ$4&lt;=YEAR(HM_ZA_Nkossa!effective_date_HM1994),1,(1+input_US_inflation_perc)^(BQ$4-YEAR(HM_ZA_Nkossa!effective_date_HM1994)))</f>
        <v>4.5041521642302165</v>
      </c>
      <c r="BR154" s="49">
        <f>IF(BR$4&lt;=YEAR(HM_ZA_Nkossa!effective_date_HM1994),1,(1+input_US_inflation_perc)^(BR$4-YEAR(HM_ZA_Nkossa!effective_date_HM1994)))</f>
        <v>4.5942352075148207</v>
      </c>
      <c r="BS154" s="49">
        <f>IF(BS$4&lt;=YEAR(HM_ZA_Nkossa!effective_date_HM1994),1,(1+input_US_inflation_perc)^(BS$4-YEAR(HM_ZA_Nkossa!effective_date_HM1994)))</f>
        <v>4.6861199116651173</v>
      </c>
    </row>
    <row r="155" spans="1:71" outlineLevel="1" x14ac:dyDescent="0.2">
      <c r="J155" s="26"/>
      <c r="L155" s="55"/>
      <c r="M155" s="55"/>
      <c r="N155" s="55"/>
      <c r="O155" s="55"/>
      <c r="P155" s="55"/>
      <c r="Q155" s="55"/>
      <c r="R155" s="55"/>
      <c r="S155" s="55"/>
      <c r="T155" s="55"/>
      <c r="U155" s="55"/>
      <c r="V155" s="55"/>
      <c r="W155" s="55"/>
      <c r="X155" s="55"/>
      <c r="Y155" s="55"/>
      <c r="Z155" s="55"/>
      <c r="AA155" s="55"/>
      <c r="AB155" s="55"/>
      <c r="AC155" s="55"/>
      <c r="AD155" s="55"/>
      <c r="AE155" s="55"/>
      <c r="AF155" s="55"/>
      <c r="AG155" s="55"/>
      <c r="AH155" s="55"/>
      <c r="AI155" s="55"/>
      <c r="AJ155" s="55"/>
      <c r="AK155" s="55"/>
      <c r="AL155" s="55"/>
      <c r="AM155" s="55"/>
      <c r="AN155" s="55"/>
      <c r="AO155" s="55"/>
      <c r="AP155" s="55"/>
      <c r="AQ155" s="55"/>
      <c r="AR155" s="55"/>
      <c r="AS155" s="55"/>
      <c r="AT155" s="55"/>
      <c r="AU155" s="55"/>
      <c r="AV155" s="55"/>
      <c r="AW155" s="55"/>
      <c r="AX155" s="55"/>
      <c r="AY155" s="55"/>
      <c r="AZ155" s="55"/>
      <c r="BA155" s="55"/>
      <c r="BB155" s="55"/>
      <c r="BC155" s="55"/>
      <c r="BD155" s="55"/>
      <c r="BE155" s="55"/>
      <c r="BF155" s="55"/>
      <c r="BG155" s="55"/>
      <c r="BH155" s="55"/>
      <c r="BI155" s="55"/>
      <c r="BJ155" s="55"/>
      <c r="BK155" s="55"/>
      <c r="BL155" s="55"/>
      <c r="BM155" s="55"/>
      <c r="BN155" s="55"/>
      <c r="BO155" s="55"/>
      <c r="BP155" s="55"/>
      <c r="BQ155" s="55"/>
      <c r="BR155" s="55"/>
      <c r="BS155" s="55"/>
    </row>
    <row r="156" spans="1:71" outlineLevel="1" x14ac:dyDescent="0.2">
      <c r="D156" t="str">
        <f>CHOOSE(db_ML_selected,'Liste Traduction'!B284,'Liste Traduction'!C284)</f>
        <v>Indice d'inflation pour PH2</v>
      </c>
      <c r="J156" s="26"/>
      <c r="K156" s="7" t="s">
        <v>616</v>
      </c>
      <c r="L156" s="49">
        <f t="shared" ref="L156:AQ156" si="36">IF(L$4&lt;=YEAR(effective_date_Nkossa2017),1,(1+input_US_inflation_perc)^(L$4-YEAR(effective_date_Nkossa2017)))</f>
        <v>1</v>
      </c>
      <c r="M156" s="49">
        <f t="shared" si="36"/>
        <v>1</v>
      </c>
      <c r="N156" s="49">
        <f t="shared" si="36"/>
        <v>1</v>
      </c>
      <c r="O156" s="49">
        <f t="shared" si="36"/>
        <v>1</v>
      </c>
      <c r="P156" s="49">
        <f t="shared" si="36"/>
        <v>1</v>
      </c>
      <c r="Q156" s="49">
        <f t="shared" si="36"/>
        <v>1.02</v>
      </c>
      <c r="R156" s="49">
        <f t="shared" si="36"/>
        <v>1.0404</v>
      </c>
      <c r="S156" s="49">
        <f t="shared" si="36"/>
        <v>1.0612079999999999</v>
      </c>
      <c r="T156" s="49">
        <f t="shared" si="36"/>
        <v>1.08243216</v>
      </c>
      <c r="U156" s="49">
        <f t="shared" si="36"/>
        <v>1.1040808032</v>
      </c>
      <c r="V156" s="49">
        <f t="shared" si="36"/>
        <v>1.1261624192640001</v>
      </c>
      <c r="W156" s="49">
        <f t="shared" si="36"/>
        <v>1.1486856676492798</v>
      </c>
      <c r="X156" s="49">
        <f t="shared" si="36"/>
        <v>1.1716593810022655</v>
      </c>
      <c r="Y156" s="49">
        <f t="shared" si="36"/>
        <v>1.1950925686223108</v>
      </c>
      <c r="Z156" s="49">
        <f t="shared" si="36"/>
        <v>1.2189944199947571</v>
      </c>
      <c r="AA156" s="49">
        <f t="shared" si="36"/>
        <v>1.243374308394652</v>
      </c>
      <c r="AB156" s="49">
        <f t="shared" si="36"/>
        <v>1.2682417945625453</v>
      </c>
      <c r="AC156" s="49">
        <f t="shared" si="36"/>
        <v>1.2936066304537961</v>
      </c>
      <c r="AD156" s="49">
        <f t="shared" si="36"/>
        <v>1.3194787630628722</v>
      </c>
      <c r="AE156" s="49">
        <f t="shared" si="36"/>
        <v>1.3458683383241292</v>
      </c>
      <c r="AF156" s="49">
        <f t="shared" si="36"/>
        <v>1.372785705090612</v>
      </c>
      <c r="AG156" s="49">
        <f t="shared" si="36"/>
        <v>1.4002414191924244</v>
      </c>
      <c r="AH156" s="49">
        <f t="shared" si="36"/>
        <v>1.4282462475762727</v>
      </c>
      <c r="AI156" s="49">
        <f t="shared" si="36"/>
        <v>1.4568111725277981</v>
      </c>
      <c r="AJ156" s="49">
        <f t="shared" si="36"/>
        <v>1.4859473959783542</v>
      </c>
      <c r="AK156" s="49">
        <f t="shared" si="36"/>
        <v>1.5156663438979212</v>
      </c>
      <c r="AL156" s="49">
        <f t="shared" si="36"/>
        <v>1.5459796707758797</v>
      </c>
      <c r="AM156" s="49">
        <f t="shared" si="36"/>
        <v>1.576899264191397</v>
      </c>
      <c r="AN156" s="49">
        <f t="shared" si="36"/>
        <v>1.608437249475225</v>
      </c>
      <c r="AO156" s="49">
        <f t="shared" si="36"/>
        <v>1.6406059944647295</v>
      </c>
      <c r="AP156" s="49">
        <f t="shared" si="36"/>
        <v>1.6734181143540243</v>
      </c>
      <c r="AQ156" s="49">
        <f t="shared" si="36"/>
        <v>1.7068864766411045</v>
      </c>
      <c r="AR156" s="49">
        <f t="shared" ref="AR156:BS156" si="37">IF(AR$4&lt;=YEAR(effective_date_Nkossa2017),1,(1+input_US_inflation_perc)^(AR$4-YEAR(effective_date_Nkossa2017)))</f>
        <v>1.7410242061739269</v>
      </c>
      <c r="AS156" s="49">
        <f t="shared" si="37"/>
        <v>1.7758446902974052</v>
      </c>
      <c r="AT156" s="49">
        <f t="shared" si="37"/>
        <v>1.8113615841033535</v>
      </c>
      <c r="AU156" s="49">
        <f t="shared" si="37"/>
        <v>1.8475888157854201</v>
      </c>
      <c r="AV156" s="49">
        <f t="shared" si="37"/>
        <v>1.8845405921011289</v>
      </c>
      <c r="AW156" s="49">
        <f t="shared" si="37"/>
        <v>1.9222314039431516</v>
      </c>
      <c r="AX156" s="49">
        <f t="shared" si="37"/>
        <v>1.9606760320220145</v>
      </c>
      <c r="AY156" s="49">
        <f t="shared" si="37"/>
        <v>1.9998895526624547</v>
      </c>
      <c r="AZ156" s="49">
        <f t="shared" si="37"/>
        <v>2.0398873437157037</v>
      </c>
      <c r="BA156" s="49">
        <f t="shared" si="37"/>
        <v>2.080685090590018</v>
      </c>
      <c r="BB156" s="49">
        <f t="shared" si="37"/>
        <v>2.1222987924018186</v>
      </c>
      <c r="BC156" s="49">
        <f t="shared" si="37"/>
        <v>2.1647447682498542</v>
      </c>
      <c r="BD156" s="49">
        <f t="shared" si="37"/>
        <v>2.2080396636148518</v>
      </c>
      <c r="BE156" s="49">
        <f t="shared" si="37"/>
        <v>2.2522004568871488</v>
      </c>
      <c r="BF156" s="49">
        <f t="shared" si="37"/>
        <v>2.2972444660248916</v>
      </c>
      <c r="BG156" s="49">
        <f t="shared" si="37"/>
        <v>2.3431893553453893</v>
      </c>
      <c r="BH156" s="49">
        <f t="shared" si="37"/>
        <v>2.3900531424522975</v>
      </c>
      <c r="BI156" s="49">
        <f t="shared" si="37"/>
        <v>2.4378542053013432</v>
      </c>
      <c r="BJ156" s="49">
        <f t="shared" si="37"/>
        <v>2.4866112894073704</v>
      </c>
      <c r="BK156" s="49">
        <f t="shared" si="37"/>
        <v>2.5363435151955169</v>
      </c>
      <c r="BL156" s="49">
        <f t="shared" si="37"/>
        <v>2.5870703854994277</v>
      </c>
      <c r="BM156" s="49">
        <f t="shared" si="37"/>
        <v>2.6388117932094164</v>
      </c>
      <c r="BN156" s="49">
        <f t="shared" si="37"/>
        <v>2.6915880290736047</v>
      </c>
      <c r="BO156" s="49">
        <f t="shared" si="37"/>
        <v>2.7454197896550765</v>
      </c>
      <c r="BP156" s="49">
        <f t="shared" si="37"/>
        <v>2.8003281854481785</v>
      </c>
      <c r="BQ156" s="49">
        <f t="shared" si="37"/>
        <v>2.8563347491571416</v>
      </c>
      <c r="BR156" s="49">
        <f t="shared" si="37"/>
        <v>2.9134614441402849</v>
      </c>
      <c r="BS156" s="49">
        <f t="shared" si="37"/>
        <v>2.9717306730230897</v>
      </c>
    </row>
    <row r="157" spans="1:71" outlineLevel="1" x14ac:dyDescent="0.2">
      <c r="J157" s="26"/>
      <c r="L157" s="55"/>
      <c r="M157" s="55"/>
      <c r="N157" s="55"/>
      <c r="O157" s="55"/>
      <c r="P157" s="55"/>
      <c r="Q157" s="55"/>
      <c r="R157" s="55"/>
      <c r="S157" s="55"/>
      <c r="T157" s="55"/>
      <c r="U157" s="55"/>
      <c r="V157" s="55"/>
      <c r="W157" s="55"/>
      <c r="X157" s="55"/>
      <c r="Y157" s="55"/>
      <c r="Z157" s="55"/>
      <c r="AA157" s="55"/>
      <c r="AB157" s="55"/>
      <c r="AC157" s="55"/>
      <c r="AD157" s="55"/>
      <c r="AE157" s="55"/>
      <c r="AF157" s="55"/>
      <c r="AG157" s="55"/>
      <c r="AH157" s="55"/>
      <c r="AI157" s="55"/>
      <c r="AJ157" s="55"/>
      <c r="AK157" s="55"/>
      <c r="AL157" s="55"/>
      <c r="AM157" s="55"/>
      <c r="AN157" s="55"/>
      <c r="AO157" s="55"/>
      <c r="AP157" s="55"/>
      <c r="AQ157" s="55"/>
      <c r="AR157" s="55"/>
      <c r="AS157" s="55"/>
      <c r="AT157" s="55"/>
      <c r="AU157" s="55"/>
      <c r="AV157" s="55"/>
      <c r="AW157" s="55"/>
      <c r="AX157" s="55"/>
      <c r="AY157" s="55"/>
      <c r="AZ157" s="55"/>
      <c r="BA157" s="55"/>
      <c r="BB157" s="55"/>
      <c r="BC157" s="55"/>
      <c r="BD157" s="55"/>
      <c r="BE157" s="55"/>
      <c r="BF157" s="55"/>
      <c r="BG157" s="55"/>
      <c r="BH157" s="55"/>
      <c r="BI157" s="55"/>
      <c r="BJ157" s="55"/>
      <c r="BK157" s="55"/>
      <c r="BL157" s="55"/>
      <c r="BM157" s="55"/>
      <c r="BN157" s="55"/>
      <c r="BO157" s="55"/>
      <c r="BP157" s="55"/>
      <c r="BQ157" s="55"/>
      <c r="BR157" s="55"/>
      <c r="BS157" s="55"/>
    </row>
    <row r="158" spans="1:71" outlineLevel="1" x14ac:dyDescent="0.2">
      <c r="D158" t="str">
        <f>CHOOSE(db_ML_selected,'Liste Traduction'!B285,'Liste Traduction'!C285)</f>
        <v>PH effectif</v>
      </c>
      <c r="J158" s="26" t="s">
        <v>46</v>
      </c>
      <c r="K158" s="7" t="s">
        <v>722</v>
      </c>
      <c r="L158" s="49" cm="1">
        <f t="array" aca="1" ref="L158:BS158" ca="1">CA_HP1_oil_nom*(CA_PSC_switch_trig=0)+CA_HP2_oil_nom*(CA_PSC_switch_trig=1)</f>
        <v>32.270000000000003</v>
      </c>
      <c r="M158" s="49">
        <f ca="1"/>
        <v>32.519750000000002</v>
      </c>
      <c r="N158" s="49">
        <f ca="1"/>
        <v>32.923999999999999</v>
      </c>
      <c r="O158" s="49">
        <f ca="1"/>
        <v>33.427250000000001</v>
      </c>
      <c r="P158" s="49">
        <f ca="1"/>
        <v>66.422750000000008</v>
      </c>
      <c r="Q158" s="49">
        <f ca="1"/>
        <v>68.897500000000008</v>
      </c>
      <c r="R158" s="49">
        <f ca="1"/>
        <v>69.747250000000008</v>
      </c>
      <c r="S158" s="49">
        <f ca="1"/>
        <v>71.400000000000006</v>
      </c>
      <c r="T158" s="49">
        <f ca="1"/>
        <v>70.358090399999995</v>
      </c>
      <c r="U158" s="49">
        <f ca="1"/>
        <v>71.765252208000007</v>
      </c>
      <c r="V158" s="49">
        <f ca="1"/>
        <v>73.20055725216001</v>
      </c>
      <c r="W158" s="49">
        <f ca="1"/>
        <v>74.664568397203183</v>
      </c>
      <c r="X158" s="49">
        <f ca="1"/>
        <v>76.157859765147265</v>
      </c>
      <c r="Y158" s="49">
        <f ca="1"/>
        <v>77.681016960450208</v>
      </c>
      <c r="Z158" s="49">
        <f ca="1"/>
        <v>79.234637299659212</v>
      </c>
      <c r="AA158" s="49">
        <f ca="1"/>
        <v>80.819330045652379</v>
      </c>
      <c r="AB158" s="49">
        <f ca="1"/>
        <v>82.435716646565439</v>
      </c>
      <c r="AC158" s="49">
        <f ca="1"/>
        <v>84.084430979496744</v>
      </c>
      <c r="AD158" s="49">
        <f ca="1"/>
        <v>85.766119599086693</v>
      </c>
      <c r="AE158" s="49">
        <f ca="1"/>
        <v>87.481441991068394</v>
      </c>
      <c r="AF158" s="49">
        <f ca="1"/>
        <v>89.231070830889777</v>
      </c>
      <c r="AG158" s="49">
        <f ca="1"/>
        <v>91.015692247507587</v>
      </c>
      <c r="AH158" s="49">
        <f ca="1"/>
        <v>92.836006092457723</v>
      </c>
      <c r="AI158" s="49">
        <f ca="1"/>
        <v>94.692726214306873</v>
      </c>
      <c r="AJ158" s="49">
        <f ca="1"/>
        <v>96.586580738593028</v>
      </c>
      <c r="AK158" s="49">
        <f ca="1"/>
        <v>98.518312353364877</v>
      </c>
      <c r="AL158" s="49">
        <f ca="1"/>
        <v>100.48867860043218</v>
      </c>
      <c r="AM158" s="49">
        <f ca="1"/>
        <v>102.49845217244081</v>
      </c>
      <c r="AN158" s="49">
        <f ca="1"/>
        <v>104.54842121588963</v>
      </c>
      <c r="AO158" s="49">
        <f ca="1"/>
        <v>106.63938964020743</v>
      </c>
      <c r="AP158" s="49">
        <f ca="1"/>
        <v>108.77217743301158</v>
      </c>
      <c r="AQ158" s="49">
        <f ca="1"/>
        <v>110.94762098167179</v>
      </c>
      <c r="AR158" s="49">
        <f ca="1"/>
        <v>113.16657340130526</v>
      </c>
      <c r="AS158" s="49">
        <f ca="1"/>
        <v>115.42990486933134</v>
      </c>
      <c r="AT158" s="49">
        <f ca="1"/>
        <v>117.73850296671797</v>
      </c>
      <c r="AU158" s="49">
        <f ca="1"/>
        <v>120.0932730260523</v>
      </c>
      <c r="AV158" s="49">
        <f ca="1"/>
        <v>122.49513848657338</v>
      </c>
      <c r="AW158" s="49">
        <f ca="1"/>
        <v>124.94504125630486</v>
      </c>
      <c r="AX158" s="49">
        <f ca="1"/>
        <v>127.44394208143093</v>
      </c>
      <c r="AY158" s="49">
        <f ca="1"/>
        <v>129.99282092305955</v>
      </c>
      <c r="AZ158" s="49">
        <f ca="1"/>
        <v>132.59267734152073</v>
      </c>
      <c r="BA158" s="49">
        <f ca="1"/>
        <v>135.24453088835116</v>
      </c>
      <c r="BB158" s="49">
        <f ca="1"/>
        <v>137.9494215061182</v>
      </c>
      <c r="BC158" s="49">
        <f ca="1"/>
        <v>140.70840993624051</v>
      </c>
      <c r="BD158" s="49">
        <f ca="1"/>
        <v>143.52257813496536</v>
      </c>
      <c r="BE158" s="49">
        <f ca="1"/>
        <v>146.39302969766467</v>
      </c>
      <c r="BF158" s="49">
        <f ca="1"/>
        <v>149.32089029161796</v>
      </c>
      <c r="BG158" s="49">
        <f ca="1"/>
        <v>152.30730809745032</v>
      </c>
      <c r="BH158" s="49">
        <f ca="1"/>
        <v>155.35345425939934</v>
      </c>
      <c r="BI158" s="49">
        <f ca="1"/>
        <v>158.4605233445873</v>
      </c>
      <c r="BJ158" s="49">
        <f ca="1"/>
        <v>161.62973381147907</v>
      </c>
      <c r="BK158" s="49">
        <f ca="1"/>
        <v>164.8623284877086</v>
      </c>
      <c r="BL158" s="49">
        <f ca="1"/>
        <v>168.1595750574628</v>
      </c>
      <c r="BM158" s="49">
        <f ca="1"/>
        <v>171.52276655861206</v>
      </c>
      <c r="BN158" s="49">
        <f ca="1"/>
        <v>174.95322188978432</v>
      </c>
      <c r="BO158" s="49">
        <f ca="1"/>
        <v>178.45228632757997</v>
      </c>
      <c r="BP158" s="49">
        <f ca="1"/>
        <v>182.02133205413159</v>
      </c>
      <c r="BQ158" s="49">
        <f ca="1"/>
        <v>185.66175869521419</v>
      </c>
      <c r="BR158" s="49">
        <f ca="1"/>
        <v>189.37499386911853</v>
      </c>
      <c r="BS158" s="49">
        <f ca="1"/>
        <v>193.16249374650084</v>
      </c>
    </row>
    <row r="159" spans="1:71" outlineLevel="1" x14ac:dyDescent="0.2">
      <c r="J159" s="26"/>
      <c r="L159" s="55"/>
      <c r="M159" s="55"/>
      <c r="N159" s="55"/>
      <c r="O159" s="55"/>
      <c r="P159" s="55"/>
      <c r="Q159" s="55"/>
      <c r="R159" s="55"/>
      <c r="S159" s="55"/>
      <c r="T159" s="55"/>
      <c r="U159" s="55"/>
      <c r="V159" s="55"/>
      <c r="W159" s="55"/>
      <c r="X159" s="55"/>
      <c r="Y159" s="55"/>
      <c r="Z159" s="55"/>
      <c r="AA159" s="55"/>
      <c r="AB159" s="55"/>
      <c r="AC159" s="55"/>
      <c r="AD159" s="55"/>
      <c r="AE159" s="55"/>
      <c r="AF159" s="55"/>
      <c r="AG159" s="55"/>
      <c r="AH159" s="55"/>
      <c r="AI159" s="55"/>
      <c r="AJ159" s="55"/>
      <c r="AK159" s="55"/>
      <c r="AL159" s="55"/>
      <c r="AM159" s="55"/>
      <c r="AN159" s="55"/>
      <c r="AO159" s="55"/>
      <c r="AP159" s="55"/>
      <c r="AQ159" s="55"/>
      <c r="AR159" s="55"/>
      <c r="AS159" s="55"/>
      <c r="AT159" s="55"/>
      <c r="AU159" s="55"/>
      <c r="AV159" s="55"/>
      <c r="AW159" s="55"/>
      <c r="AX159" s="55"/>
      <c r="AY159" s="55"/>
      <c r="AZ159" s="55"/>
      <c r="BA159" s="55"/>
      <c r="BB159" s="55"/>
      <c r="BC159" s="55"/>
      <c r="BD159" s="55"/>
      <c r="BE159" s="55"/>
      <c r="BF159" s="55"/>
      <c r="BG159" s="55"/>
      <c r="BH159" s="55"/>
      <c r="BI159" s="55"/>
      <c r="BJ159" s="55"/>
      <c r="BK159" s="55"/>
      <c r="BL159" s="55"/>
      <c r="BM159" s="55"/>
      <c r="BN159" s="55"/>
      <c r="BO159" s="55"/>
      <c r="BP159" s="55"/>
      <c r="BQ159" s="55"/>
      <c r="BR159" s="55"/>
      <c r="BS159" s="55"/>
    </row>
    <row r="160" spans="1:71" outlineLevel="1" x14ac:dyDescent="0.2">
      <c r="A160" s="45"/>
      <c r="B160" s="38" t="str">
        <f>CHOOSE(db_ML_selected,'Liste Traduction'!B23,'Liste Traduction'!C23)</f>
        <v>Revenus</v>
      </c>
      <c r="C160" s="45"/>
      <c r="D160" s="45"/>
      <c r="E160" s="45"/>
      <c r="J160" s="26"/>
      <c r="L160" s="55"/>
      <c r="M160" s="55"/>
      <c r="N160" s="55"/>
      <c r="O160" s="55"/>
      <c r="P160" s="55"/>
      <c r="Q160" s="55"/>
      <c r="R160" s="55"/>
      <c r="S160" s="55"/>
      <c r="T160" s="55"/>
      <c r="U160" s="55"/>
      <c r="V160" s="55"/>
      <c r="W160" s="55"/>
      <c r="X160" s="55"/>
      <c r="Y160" s="55"/>
      <c r="Z160" s="55"/>
      <c r="AA160" s="55"/>
      <c r="AB160" s="55"/>
      <c r="AC160" s="55"/>
      <c r="AD160" s="55"/>
      <c r="AE160" s="55"/>
      <c r="AF160" s="55"/>
      <c r="AG160" s="55"/>
      <c r="AH160" s="55"/>
      <c r="AI160" s="55"/>
      <c r="AJ160" s="55"/>
      <c r="AK160" s="55"/>
      <c r="AL160" s="55"/>
      <c r="AM160" s="55"/>
      <c r="AN160" s="55"/>
      <c r="AO160" s="55"/>
      <c r="AP160" s="55"/>
      <c r="AQ160" s="55"/>
      <c r="AR160" s="55"/>
      <c r="AS160" s="55"/>
      <c r="AT160" s="55"/>
      <c r="AU160" s="55"/>
      <c r="AV160" s="55"/>
      <c r="AW160" s="55"/>
      <c r="AX160" s="55"/>
      <c r="AY160" s="55"/>
      <c r="AZ160" s="55"/>
      <c r="BA160" s="55"/>
      <c r="BB160" s="55"/>
      <c r="BC160" s="55"/>
      <c r="BD160" s="55"/>
      <c r="BE160" s="55"/>
      <c r="BF160" s="55"/>
      <c r="BG160" s="55"/>
      <c r="BH160" s="55"/>
      <c r="BI160" s="55"/>
      <c r="BJ160" s="55"/>
      <c r="BK160" s="55"/>
      <c r="BL160" s="55"/>
      <c r="BM160" s="55"/>
      <c r="BN160" s="55"/>
      <c r="BO160" s="55"/>
      <c r="BP160" s="55"/>
      <c r="BQ160" s="55"/>
      <c r="BR160" s="55"/>
      <c r="BS160" s="55"/>
    </row>
    <row r="161" spans="3:71" outlineLevel="1" x14ac:dyDescent="0.2">
      <c r="J161" s="26"/>
      <c r="L161" s="55"/>
      <c r="M161" s="55"/>
      <c r="N161" s="55"/>
      <c r="O161" s="55"/>
      <c r="P161" s="55"/>
      <c r="Q161" s="55"/>
      <c r="R161" s="55"/>
      <c r="S161" s="55"/>
      <c r="T161" s="55"/>
      <c r="U161" s="55"/>
      <c r="V161" s="55"/>
      <c r="W161" s="55"/>
      <c r="X161" s="55"/>
      <c r="Y161" s="55"/>
      <c r="Z161" s="55"/>
      <c r="AA161" s="55"/>
      <c r="AB161" s="55"/>
      <c r="AC161" s="55"/>
      <c r="AD161" s="55"/>
      <c r="AE161" s="55"/>
      <c r="AF161" s="55"/>
      <c r="AG161" s="55"/>
      <c r="AH161" s="55"/>
      <c r="AI161" s="55"/>
      <c r="AJ161" s="55"/>
      <c r="AK161" s="55"/>
      <c r="AL161" s="55"/>
      <c r="AM161" s="55"/>
      <c r="AN161" s="55"/>
      <c r="AO161" s="55"/>
      <c r="AP161" s="55"/>
      <c r="AQ161" s="55"/>
      <c r="AR161" s="55"/>
      <c r="AS161" s="55"/>
      <c r="AT161" s="55"/>
      <c r="AU161" s="55"/>
      <c r="AV161" s="55"/>
      <c r="AW161" s="55"/>
      <c r="AX161" s="55"/>
      <c r="AY161" s="55"/>
      <c r="AZ161" s="55"/>
      <c r="BA161" s="55"/>
      <c r="BB161" s="55"/>
      <c r="BC161" s="55"/>
      <c r="BD161" s="55"/>
      <c r="BE161" s="55"/>
      <c r="BF161" s="55"/>
      <c r="BG161" s="55"/>
      <c r="BH161" s="55"/>
      <c r="BI161" s="55"/>
      <c r="BJ161" s="55"/>
      <c r="BK161" s="55"/>
      <c r="BL161" s="55"/>
      <c r="BM161" s="55"/>
      <c r="BN161" s="55"/>
      <c r="BO161" s="55"/>
      <c r="BP161" s="55"/>
      <c r="BQ161" s="55"/>
      <c r="BR161" s="55"/>
      <c r="BS161" s="55"/>
    </row>
    <row r="162" spans="3:71" outlineLevel="1" x14ac:dyDescent="0.2">
      <c r="C162" s="11" t="str">
        <f>CHOOSE(db_ML_selected,'Liste Traduction'!B286,'Liste Traduction'!C286)</f>
        <v>Revenus bruts</v>
      </c>
      <c r="J162" s="26"/>
      <c r="L162" s="55"/>
      <c r="M162" s="55"/>
      <c r="N162" s="55"/>
      <c r="O162" s="55"/>
      <c r="P162" s="55"/>
      <c r="Q162" s="55"/>
      <c r="R162" s="55"/>
      <c r="S162" s="55"/>
      <c r="T162" s="55"/>
      <c r="U162" s="55"/>
      <c r="V162" s="55"/>
      <c r="W162" s="55"/>
      <c r="X162" s="55"/>
      <c r="Y162" s="55"/>
      <c r="Z162" s="55"/>
      <c r="AA162" s="55"/>
      <c r="AB162" s="55"/>
      <c r="AC162" s="55"/>
      <c r="AD162" s="55"/>
      <c r="AE162" s="55"/>
      <c r="AF162" s="55"/>
      <c r="AG162" s="55"/>
      <c r="AH162" s="55"/>
      <c r="AI162" s="55"/>
      <c r="AJ162" s="55"/>
      <c r="AK162" s="55"/>
      <c r="AL162" s="55"/>
      <c r="AM162" s="55"/>
      <c r="AN162" s="55"/>
      <c r="AO162" s="55"/>
      <c r="AP162" s="55"/>
      <c r="AQ162" s="55"/>
      <c r="AR162" s="55"/>
      <c r="AS162" s="55"/>
      <c r="AT162" s="55"/>
      <c r="AU162" s="55"/>
      <c r="AV162" s="55"/>
      <c r="AW162" s="55"/>
      <c r="AX162" s="55"/>
      <c r="AY162" s="55"/>
      <c r="AZ162" s="55"/>
      <c r="BA162" s="55"/>
      <c r="BB162" s="55"/>
      <c r="BC162" s="55"/>
      <c r="BD162" s="55"/>
      <c r="BE162" s="55"/>
      <c r="BF162" s="55"/>
      <c r="BG162" s="55"/>
      <c r="BH162" s="55"/>
      <c r="BI162" s="55"/>
      <c r="BJ162" s="55"/>
      <c r="BK162" s="55"/>
      <c r="BL162" s="55"/>
      <c r="BM162" s="55"/>
      <c r="BN162" s="55"/>
      <c r="BO162" s="55"/>
      <c r="BP162" s="55"/>
      <c r="BQ162" s="55"/>
      <c r="BR162" s="55"/>
      <c r="BS162" s="55"/>
    </row>
    <row r="163" spans="3:71" outlineLevel="1" x14ac:dyDescent="0.2">
      <c r="D163" t="str">
        <f>CHOOSE(db_ML_selected,'Liste Traduction'!B287,'Liste Traduction'!C287)</f>
        <v>Revenus pétroliers (@ PF)</v>
      </c>
      <c r="I163" s="30">
        <f ca="1">SUM($L163:$BS163)</f>
        <v>5594.1580569743337</v>
      </c>
      <c r="J163" s="26" t="s">
        <v>148</v>
      </c>
      <c r="K163" s="7" t="s">
        <v>151</v>
      </c>
      <c r="L163" s="49" cm="1">
        <f t="array" aca="1" ref="L163:BS163" ca="1">CA_gross_sales_oil*HM_ZA_Nkossa!CA_FP_oil_nom+CA_gross_sales_lpg*CA_FP_lpg_nom</f>
        <v>919.71353594999982</v>
      </c>
      <c r="M163" s="49">
        <f ca="1"/>
        <v>977.65439921200004</v>
      </c>
      <c r="N163" s="49">
        <f ca="1"/>
        <v>432.53344811799991</v>
      </c>
      <c r="O163" s="49">
        <f ca="1"/>
        <v>404.77008564400001</v>
      </c>
      <c r="P163" s="49">
        <f ca="1"/>
        <v>433.37361789100009</v>
      </c>
      <c r="Q163" s="49">
        <f ca="1"/>
        <v>463.28111799300001</v>
      </c>
      <c r="R163" s="49">
        <f ca="1"/>
        <v>443.65205259400005</v>
      </c>
      <c r="S163" s="49">
        <f ca="1"/>
        <v>205.57363143333333</v>
      </c>
      <c r="T163" s="49">
        <f ca="1"/>
        <v>279.75531737087994</v>
      </c>
      <c r="U163" s="49">
        <f ca="1"/>
        <v>279.26577584639995</v>
      </c>
      <c r="V163" s="49">
        <f ca="1"/>
        <v>264.91151496789496</v>
      </c>
      <c r="W163" s="49">
        <f ca="1"/>
        <v>251.29506309854514</v>
      </c>
      <c r="X163" s="49">
        <f ca="1"/>
        <v>238.37849685527993</v>
      </c>
      <c r="Y163" s="49">
        <f ca="1"/>
        <v>0</v>
      </c>
      <c r="Z163" s="49">
        <f ca="1"/>
        <v>0</v>
      </c>
      <c r="AA163" s="49">
        <f ca="1"/>
        <v>0</v>
      </c>
      <c r="AB163" s="49">
        <f ca="1"/>
        <v>0</v>
      </c>
      <c r="AC163" s="49">
        <f ca="1"/>
        <v>0</v>
      </c>
      <c r="AD163" s="49">
        <f ca="1"/>
        <v>0</v>
      </c>
      <c r="AE163" s="49">
        <f ca="1"/>
        <v>0</v>
      </c>
      <c r="AF163" s="49">
        <f ca="1"/>
        <v>0</v>
      </c>
      <c r="AG163" s="49">
        <f ca="1"/>
        <v>0</v>
      </c>
      <c r="AH163" s="49">
        <f ca="1"/>
        <v>0</v>
      </c>
      <c r="AI163" s="49">
        <f ca="1"/>
        <v>0</v>
      </c>
      <c r="AJ163" s="49">
        <f ca="1"/>
        <v>0</v>
      </c>
      <c r="AK163" s="49">
        <f ca="1"/>
        <v>0</v>
      </c>
      <c r="AL163" s="49">
        <f ca="1"/>
        <v>0</v>
      </c>
      <c r="AM163" s="49">
        <f ca="1"/>
        <v>0</v>
      </c>
      <c r="AN163" s="49">
        <f ca="1"/>
        <v>0</v>
      </c>
      <c r="AO163" s="49">
        <f ca="1"/>
        <v>0</v>
      </c>
      <c r="AP163" s="49">
        <f ca="1"/>
        <v>0</v>
      </c>
      <c r="AQ163" s="49">
        <f ca="1"/>
        <v>0</v>
      </c>
      <c r="AR163" s="49">
        <f ca="1"/>
        <v>0</v>
      </c>
      <c r="AS163" s="49">
        <f ca="1"/>
        <v>0</v>
      </c>
      <c r="AT163" s="49">
        <f ca="1"/>
        <v>0</v>
      </c>
      <c r="AU163" s="49">
        <f ca="1"/>
        <v>0</v>
      </c>
      <c r="AV163" s="49">
        <f ca="1"/>
        <v>0</v>
      </c>
      <c r="AW163" s="49">
        <f ca="1"/>
        <v>0</v>
      </c>
      <c r="AX163" s="49">
        <f ca="1"/>
        <v>0</v>
      </c>
      <c r="AY163" s="49">
        <f ca="1"/>
        <v>0</v>
      </c>
      <c r="AZ163" s="49">
        <f ca="1"/>
        <v>0</v>
      </c>
      <c r="BA163" s="49">
        <f ca="1"/>
        <v>0</v>
      </c>
      <c r="BB163" s="49">
        <f ca="1"/>
        <v>0</v>
      </c>
      <c r="BC163" s="49">
        <f ca="1"/>
        <v>0</v>
      </c>
      <c r="BD163" s="49">
        <f ca="1"/>
        <v>0</v>
      </c>
      <c r="BE163" s="49">
        <f ca="1"/>
        <v>0</v>
      </c>
      <c r="BF163" s="49">
        <f ca="1"/>
        <v>0</v>
      </c>
      <c r="BG163" s="49">
        <f ca="1"/>
        <v>0</v>
      </c>
      <c r="BH163" s="49">
        <f ca="1"/>
        <v>0</v>
      </c>
      <c r="BI163" s="49">
        <f ca="1"/>
        <v>0</v>
      </c>
      <c r="BJ163" s="49">
        <f ca="1"/>
        <v>0</v>
      </c>
      <c r="BK163" s="49">
        <f ca="1"/>
        <v>0</v>
      </c>
      <c r="BL163" s="49">
        <f ca="1"/>
        <v>0</v>
      </c>
      <c r="BM163" s="49">
        <f ca="1"/>
        <v>0</v>
      </c>
      <c r="BN163" s="49">
        <f ca="1"/>
        <v>0</v>
      </c>
      <c r="BO163" s="49">
        <f ca="1"/>
        <v>0</v>
      </c>
      <c r="BP163" s="49">
        <f ca="1"/>
        <v>0</v>
      </c>
      <c r="BQ163" s="49">
        <f ca="1"/>
        <v>0</v>
      </c>
      <c r="BR163" s="49">
        <f ca="1"/>
        <v>0</v>
      </c>
      <c r="BS163" s="49">
        <f ca="1"/>
        <v>0</v>
      </c>
    </row>
    <row r="164" spans="3:71" outlineLevel="1" x14ac:dyDescent="0.2">
      <c r="D164" t="str">
        <f>CHOOSE(db_ML_selected,'Liste Traduction'!B288,'Liste Traduction'!C288)</f>
        <v>Revenus gaziers (@ PF)</v>
      </c>
      <c r="I164" s="30">
        <f ca="1">SUM($L164:$BS164)</f>
        <v>0</v>
      </c>
      <c r="J164" s="26" t="s">
        <v>148</v>
      </c>
      <c r="K164" s="7" t="s">
        <v>152</v>
      </c>
      <c r="L164" s="49" cm="1">
        <f t="array" aca="1" ref="L164:BS164" ca="1">[0]!CA_gross_sales_gas*HM_ZA_Nkossa!CA_FP_gas_nom</f>
        <v>0</v>
      </c>
      <c r="M164" s="49">
        <f ca="1"/>
        <v>0</v>
      </c>
      <c r="N164" s="49">
        <f ca="1"/>
        <v>0</v>
      </c>
      <c r="O164" s="49">
        <f ca="1"/>
        <v>0</v>
      </c>
      <c r="P164" s="49">
        <f ca="1"/>
        <v>0</v>
      </c>
      <c r="Q164" s="49">
        <f ca="1"/>
        <v>0</v>
      </c>
      <c r="R164" s="49">
        <f ca="1"/>
        <v>0</v>
      </c>
      <c r="S164" s="49">
        <f ca="1"/>
        <v>0</v>
      </c>
      <c r="T164" s="49">
        <f ca="1"/>
        <v>0</v>
      </c>
      <c r="U164" s="49">
        <f ca="1"/>
        <v>0</v>
      </c>
      <c r="V164" s="49">
        <f ca="1"/>
        <v>0</v>
      </c>
      <c r="W164" s="49">
        <f ca="1"/>
        <v>0</v>
      </c>
      <c r="X164" s="49">
        <f ca="1"/>
        <v>0</v>
      </c>
      <c r="Y164" s="49">
        <f ca="1"/>
        <v>0</v>
      </c>
      <c r="Z164" s="49">
        <f ca="1"/>
        <v>0</v>
      </c>
      <c r="AA164" s="49">
        <f ca="1"/>
        <v>0</v>
      </c>
      <c r="AB164" s="49">
        <f ca="1"/>
        <v>0</v>
      </c>
      <c r="AC164" s="49">
        <f ca="1"/>
        <v>0</v>
      </c>
      <c r="AD164" s="49">
        <f ca="1"/>
        <v>0</v>
      </c>
      <c r="AE164" s="49">
        <f ca="1"/>
        <v>0</v>
      </c>
      <c r="AF164" s="49">
        <f ca="1"/>
        <v>0</v>
      </c>
      <c r="AG164" s="49">
        <f ca="1"/>
        <v>0</v>
      </c>
      <c r="AH164" s="49">
        <f ca="1"/>
        <v>0</v>
      </c>
      <c r="AI164" s="49">
        <f ca="1"/>
        <v>0</v>
      </c>
      <c r="AJ164" s="49">
        <f ca="1"/>
        <v>0</v>
      </c>
      <c r="AK164" s="49">
        <f ca="1"/>
        <v>0</v>
      </c>
      <c r="AL164" s="49">
        <f ca="1"/>
        <v>0</v>
      </c>
      <c r="AM164" s="49">
        <f ca="1"/>
        <v>0</v>
      </c>
      <c r="AN164" s="49">
        <f ca="1"/>
        <v>0</v>
      </c>
      <c r="AO164" s="49">
        <f ca="1"/>
        <v>0</v>
      </c>
      <c r="AP164" s="49">
        <f ca="1"/>
        <v>0</v>
      </c>
      <c r="AQ164" s="49">
        <f ca="1"/>
        <v>0</v>
      </c>
      <c r="AR164" s="49">
        <f ca="1"/>
        <v>0</v>
      </c>
      <c r="AS164" s="49">
        <f ca="1"/>
        <v>0</v>
      </c>
      <c r="AT164" s="49">
        <f ca="1"/>
        <v>0</v>
      </c>
      <c r="AU164" s="49">
        <f ca="1"/>
        <v>0</v>
      </c>
      <c r="AV164" s="49">
        <f ca="1"/>
        <v>0</v>
      </c>
      <c r="AW164" s="49">
        <f ca="1"/>
        <v>0</v>
      </c>
      <c r="AX164" s="49">
        <f ca="1"/>
        <v>0</v>
      </c>
      <c r="AY164" s="49">
        <f ca="1"/>
        <v>0</v>
      </c>
      <c r="AZ164" s="49">
        <f ca="1"/>
        <v>0</v>
      </c>
      <c r="BA164" s="49">
        <f ca="1"/>
        <v>0</v>
      </c>
      <c r="BB164" s="49">
        <f ca="1"/>
        <v>0</v>
      </c>
      <c r="BC164" s="49">
        <f ca="1"/>
        <v>0</v>
      </c>
      <c r="BD164" s="49">
        <f ca="1"/>
        <v>0</v>
      </c>
      <c r="BE164" s="49">
        <f ca="1"/>
        <v>0</v>
      </c>
      <c r="BF164" s="49">
        <f ca="1"/>
        <v>0</v>
      </c>
      <c r="BG164" s="49">
        <f ca="1"/>
        <v>0</v>
      </c>
      <c r="BH164" s="49">
        <f ca="1"/>
        <v>0</v>
      </c>
      <c r="BI164" s="49">
        <f ca="1"/>
        <v>0</v>
      </c>
      <c r="BJ164" s="49">
        <f ca="1"/>
        <v>0</v>
      </c>
      <c r="BK164" s="49">
        <f ca="1"/>
        <v>0</v>
      </c>
      <c r="BL164" s="49">
        <f ca="1"/>
        <v>0</v>
      </c>
      <c r="BM164" s="49">
        <f ca="1"/>
        <v>0</v>
      </c>
      <c r="BN164" s="49">
        <f ca="1"/>
        <v>0</v>
      </c>
      <c r="BO164" s="49">
        <f ca="1"/>
        <v>0</v>
      </c>
      <c r="BP164" s="49">
        <f ca="1"/>
        <v>0</v>
      </c>
      <c r="BQ164" s="49">
        <f ca="1"/>
        <v>0</v>
      </c>
      <c r="BR164" s="49">
        <f ca="1"/>
        <v>0</v>
      </c>
      <c r="BS164" s="49">
        <f ca="1"/>
        <v>0</v>
      </c>
    </row>
    <row r="165" spans="3:71" outlineLevel="1" x14ac:dyDescent="0.2">
      <c r="D165" s="11" t="str">
        <f>CHOOSE(db_ML_selected,'Liste Traduction'!B289,'Liste Traduction'!C289)</f>
        <v>Revenu brut total (@ PF)</v>
      </c>
      <c r="I165" s="30">
        <f ca="1">SUM($L165:$BS165)</f>
        <v>5594.1580569743337</v>
      </c>
      <c r="J165" s="26"/>
      <c r="K165" s="7" t="s">
        <v>153</v>
      </c>
      <c r="L165" s="49">
        <f ca="1">SUM(L163:L164)</f>
        <v>919.71353594999982</v>
      </c>
      <c r="M165" s="49">
        <f t="shared" ref="M165:BS165" ca="1" si="38">SUM(M163:M164)</f>
        <v>977.65439921200004</v>
      </c>
      <c r="N165" s="49">
        <f t="shared" ca="1" si="38"/>
        <v>432.53344811799991</v>
      </c>
      <c r="O165" s="49">
        <f t="shared" ca="1" si="38"/>
        <v>404.77008564400001</v>
      </c>
      <c r="P165" s="49">
        <f t="shared" ca="1" si="38"/>
        <v>433.37361789100009</v>
      </c>
      <c r="Q165" s="49">
        <f t="shared" ca="1" si="38"/>
        <v>463.28111799300001</v>
      </c>
      <c r="R165" s="49">
        <f t="shared" ca="1" si="38"/>
        <v>443.65205259400005</v>
      </c>
      <c r="S165" s="49">
        <f t="shared" ca="1" si="38"/>
        <v>205.57363143333333</v>
      </c>
      <c r="T165" s="49">
        <f t="shared" ca="1" si="38"/>
        <v>279.75531737087994</v>
      </c>
      <c r="U165" s="49">
        <f t="shared" ca="1" si="38"/>
        <v>279.26577584639995</v>
      </c>
      <c r="V165" s="49">
        <f t="shared" ca="1" si="38"/>
        <v>264.91151496789496</v>
      </c>
      <c r="W165" s="49">
        <f t="shared" ca="1" si="38"/>
        <v>251.29506309854514</v>
      </c>
      <c r="X165" s="49">
        <f t="shared" ca="1" si="38"/>
        <v>238.37849685527993</v>
      </c>
      <c r="Y165" s="49">
        <f t="shared" ca="1" si="38"/>
        <v>0</v>
      </c>
      <c r="Z165" s="49">
        <f t="shared" ca="1" si="38"/>
        <v>0</v>
      </c>
      <c r="AA165" s="49">
        <f t="shared" ca="1" si="38"/>
        <v>0</v>
      </c>
      <c r="AB165" s="49">
        <f t="shared" ca="1" si="38"/>
        <v>0</v>
      </c>
      <c r="AC165" s="49">
        <f t="shared" ca="1" si="38"/>
        <v>0</v>
      </c>
      <c r="AD165" s="49">
        <f t="shared" ca="1" si="38"/>
        <v>0</v>
      </c>
      <c r="AE165" s="49">
        <f t="shared" ca="1" si="38"/>
        <v>0</v>
      </c>
      <c r="AF165" s="49">
        <f t="shared" ca="1" si="38"/>
        <v>0</v>
      </c>
      <c r="AG165" s="49">
        <f t="shared" ca="1" si="38"/>
        <v>0</v>
      </c>
      <c r="AH165" s="49">
        <f t="shared" ca="1" si="38"/>
        <v>0</v>
      </c>
      <c r="AI165" s="49">
        <f t="shared" ca="1" si="38"/>
        <v>0</v>
      </c>
      <c r="AJ165" s="49">
        <f t="shared" ca="1" si="38"/>
        <v>0</v>
      </c>
      <c r="AK165" s="49">
        <f t="shared" ca="1" si="38"/>
        <v>0</v>
      </c>
      <c r="AL165" s="49">
        <f t="shared" ca="1" si="38"/>
        <v>0</v>
      </c>
      <c r="AM165" s="49">
        <f t="shared" ca="1" si="38"/>
        <v>0</v>
      </c>
      <c r="AN165" s="49">
        <f t="shared" ca="1" si="38"/>
        <v>0</v>
      </c>
      <c r="AO165" s="49">
        <f t="shared" ca="1" si="38"/>
        <v>0</v>
      </c>
      <c r="AP165" s="49">
        <f t="shared" ca="1" si="38"/>
        <v>0</v>
      </c>
      <c r="AQ165" s="49">
        <f t="shared" ca="1" si="38"/>
        <v>0</v>
      </c>
      <c r="AR165" s="49">
        <f t="shared" ca="1" si="38"/>
        <v>0</v>
      </c>
      <c r="AS165" s="49">
        <f t="shared" ca="1" si="38"/>
        <v>0</v>
      </c>
      <c r="AT165" s="49">
        <f t="shared" ca="1" si="38"/>
        <v>0</v>
      </c>
      <c r="AU165" s="49">
        <f t="shared" ca="1" si="38"/>
        <v>0</v>
      </c>
      <c r="AV165" s="49">
        <f t="shared" ca="1" si="38"/>
        <v>0</v>
      </c>
      <c r="AW165" s="49">
        <f t="shared" ca="1" si="38"/>
        <v>0</v>
      </c>
      <c r="AX165" s="49">
        <f t="shared" ca="1" si="38"/>
        <v>0</v>
      </c>
      <c r="AY165" s="49">
        <f t="shared" ca="1" si="38"/>
        <v>0</v>
      </c>
      <c r="AZ165" s="49">
        <f t="shared" ca="1" si="38"/>
        <v>0</v>
      </c>
      <c r="BA165" s="49">
        <f t="shared" ca="1" si="38"/>
        <v>0</v>
      </c>
      <c r="BB165" s="49">
        <f t="shared" ca="1" si="38"/>
        <v>0</v>
      </c>
      <c r="BC165" s="49">
        <f t="shared" ca="1" si="38"/>
        <v>0</v>
      </c>
      <c r="BD165" s="49">
        <f t="shared" ca="1" si="38"/>
        <v>0</v>
      </c>
      <c r="BE165" s="49">
        <f t="shared" ca="1" si="38"/>
        <v>0</v>
      </c>
      <c r="BF165" s="49">
        <f t="shared" ca="1" si="38"/>
        <v>0</v>
      </c>
      <c r="BG165" s="49">
        <f t="shared" ca="1" si="38"/>
        <v>0</v>
      </c>
      <c r="BH165" s="49">
        <f t="shared" ca="1" si="38"/>
        <v>0</v>
      </c>
      <c r="BI165" s="49">
        <f t="shared" ca="1" si="38"/>
        <v>0</v>
      </c>
      <c r="BJ165" s="49">
        <f t="shared" ca="1" si="38"/>
        <v>0</v>
      </c>
      <c r="BK165" s="49">
        <f t="shared" ca="1" si="38"/>
        <v>0</v>
      </c>
      <c r="BL165" s="49">
        <f t="shared" ca="1" si="38"/>
        <v>0</v>
      </c>
      <c r="BM165" s="49">
        <f t="shared" ca="1" si="38"/>
        <v>0</v>
      </c>
      <c r="BN165" s="49">
        <f t="shared" ca="1" si="38"/>
        <v>0</v>
      </c>
      <c r="BO165" s="49">
        <f t="shared" ca="1" si="38"/>
        <v>0</v>
      </c>
      <c r="BP165" s="49">
        <f t="shared" ca="1" si="38"/>
        <v>0</v>
      </c>
      <c r="BQ165" s="49">
        <f t="shared" ca="1" si="38"/>
        <v>0</v>
      </c>
      <c r="BR165" s="49">
        <f t="shared" ca="1" si="38"/>
        <v>0</v>
      </c>
      <c r="BS165" s="49">
        <f t="shared" ca="1" si="38"/>
        <v>0</v>
      </c>
    </row>
    <row r="166" spans="3:71" outlineLevel="1" x14ac:dyDescent="0.2">
      <c r="J166" s="26"/>
      <c r="L166" s="55"/>
      <c r="M166" s="55"/>
      <c r="N166" s="55"/>
      <c r="O166" s="55"/>
      <c r="P166" s="55"/>
      <c r="Q166" s="55"/>
      <c r="R166" s="55"/>
      <c r="S166" s="55"/>
      <c r="T166" s="55"/>
      <c r="U166" s="55"/>
      <c r="V166" s="55"/>
      <c r="W166" s="55"/>
      <c r="X166" s="55"/>
      <c r="Y166" s="55"/>
      <c r="Z166" s="55"/>
      <c r="AA166" s="55"/>
      <c r="AB166" s="55"/>
      <c r="AC166" s="55"/>
      <c r="AD166" s="55"/>
      <c r="AE166" s="55"/>
      <c r="AF166" s="55"/>
      <c r="AG166" s="55"/>
      <c r="AH166" s="55"/>
      <c r="AI166" s="55"/>
      <c r="AJ166" s="55"/>
      <c r="AK166" s="55"/>
      <c r="AL166" s="55"/>
      <c r="AM166" s="55"/>
      <c r="AN166" s="55"/>
      <c r="AO166" s="55"/>
      <c r="AP166" s="55"/>
      <c r="AQ166" s="55"/>
      <c r="AR166" s="55"/>
      <c r="AS166" s="55"/>
      <c r="AT166" s="55"/>
      <c r="AU166" s="55"/>
      <c r="AV166" s="55"/>
      <c r="AW166" s="55"/>
      <c r="AX166" s="55"/>
      <c r="AY166" s="55"/>
      <c r="AZ166" s="55"/>
      <c r="BA166" s="55"/>
      <c r="BB166" s="55"/>
      <c r="BC166" s="55"/>
      <c r="BD166" s="55"/>
      <c r="BE166" s="55"/>
      <c r="BF166" s="55"/>
      <c r="BG166" s="55"/>
      <c r="BH166" s="55"/>
      <c r="BI166" s="55"/>
      <c r="BJ166" s="55"/>
      <c r="BK166" s="55"/>
      <c r="BL166" s="55"/>
      <c r="BM166" s="55"/>
      <c r="BN166" s="55"/>
      <c r="BO166" s="55"/>
      <c r="BP166" s="55"/>
      <c r="BQ166" s="55"/>
      <c r="BR166" s="55"/>
      <c r="BS166" s="55"/>
    </row>
    <row r="167" spans="3:71" outlineLevel="1" x14ac:dyDescent="0.2">
      <c r="J167" s="26"/>
      <c r="L167" s="55"/>
      <c r="M167" s="55"/>
      <c r="N167" s="55"/>
      <c r="O167" s="55"/>
      <c r="P167" s="55"/>
      <c r="Q167" s="55"/>
      <c r="R167" s="55"/>
      <c r="S167" s="55"/>
      <c r="T167" s="55"/>
      <c r="U167" s="55"/>
      <c r="V167" s="55"/>
      <c r="W167" s="55"/>
      <c r="X167" s="55"/>
      <c r="Y167" s="55"/>
      <c r="Z167" s="55"/>
      <c r="AA167" s="55"/>
      <c r="AB167" s="55"/>
      <c r="AC167" s="55"/>
      <c r="AD167" s="55"/>
      <c r="AE167" s="55"/>
      <c r="AF167" s="55"/>
      <c r="AG167" s="55"/>
      <c r="AH167" s="55"/>
      <c r="AI167" s="55"/>
      <c r="AJ167" s="55"/>
      <c r="AK167" s="55"/>
      <c r="AL167" s="55"/>
      <c r="AM167" s="55"/>
      <c r="AN167" s="55"/>
      <c r="AO167" s="55"/>
      <c r="AP167" s="55"/>
      <c r="AQ167" s="55"/>
      <c r="AR167" s="55"/>
      <c r="AS167" s="55"/>
      <c r="AT167" s="55"/>
      <c r="AU167" s="55"/>
      <c r="AV167" s="55"/>
      <c r="AW167" s="55"/>
      <c r="AX167" s="55"/>
      <c r="AY167" s="55"/>
      <c r="AZ167" s="55"/>
      <c r="BA167" s="55"/>
      <c r="BB167" s="55"/>
      <c r="BC167" s="55"/>
      <c r="BD167" s="55"/>
      <c r="BE167" s="55"/>
      <c r="BF167" s="55"/>
      <c r="BG167" s="55"/>
      <c r="BH167" s="55"/>
      <c r="BI167" s="55"/>
      <c r="BJ167" s="55"/>
      <c r="BK167" s="55"/>
      <c r="BL167" s="55"/>
      <c r="BM167" s="55"/>
      <c r="BN167" s="55"/>
      <c r="BO167" s="55"/>
      <c r="BP167" s="55"/>
      <c r="BQ167" s="55"/>
      <c r="BR167" s="55"/>
      <c r="BS167" s="55"/>
    </row>
    <row r="168" spans="3:71" outlineLevel="1" x14ac:dyDescent="0.2">
      <c r="D168" t="str">
        <f>CHOOSE(db_ML_selected,'Liste Traduction'!B290,'Liste Traduction'!C290)</f>
        <v>Revenus pétroliers (@ PH1)</v>
      </c>
      <c r="I168" s="30">
        <f ca="1">SUM($L168:$BS168)</f>
        <v>3050.3141820731867</v>
      </c>
      <c r="J168" s="26" t="s">
        <v>148</v>
      </c>
      <c r="K168" s="7" t="s">
        <v>459</v>
      </c>
      <c r="L168" s="49" cm="1">
        <f t="array" aca="1" ref="L168:BS168" ca="1">(CA_gross_sales_oil+CA_gross_sales_lpg)*CA_HP1_oil_nom</f>
        <v>282.19908471999997</v>
      </c>
      <c r="M168" s="49">
        <f ca="1"/>
        <v>348.6318172055</v>
      </c>
      <c r="N168" s="49">
        <f ca="1"/>
        <v>302.92539422800002</v>
      </c>
      <c r="O168" s="49">
        <f ca="1"/>
        <v>331.70007254900003</v>
      </c>
      <c r="P168" s="49">
        <f ca="1"/>
        <v>299.84438320839956</v>
      </c>
      <c r="Q168" s="49">
        <f ca="1"/>
        <v>237.51266582332619</v>
      </c>
      <c r="R168" s="49">
        <f ca="1"/>
        <v>273.00360990047614</v>
      </c>
      <c r="S168" s="49">
        <f ca="1"/>
        <v>184.56931623905425</v>
      </c>
      <c r="T168" s="49">
        <f ca="1"/>
        <v>175.0824533843668</v>
      </c>
      <c r="U168" s="49">
        <f ca="1"/>
        <v>166.08321528041037</v>
      </c>
      <c r="V168" s="49">
        <f ca="1"/>
        <v>157.54653801499722</v>
      </c>
      <c r="W168" s="49">
        <f ca="1"/>
        <v>149.44864596102639</v>
      </c>
      <c r="X168" s="49">
        <f ca="1"/>
        <v>141.76698555862959</v>
      </c>
      <c r="Y168" s="49">
        <f ca="1"/>
        <v>0</v>
      </c>
      <c r="Z168" s="49">
        <f ca="1"/>
        <v>0</v>
      </c>
      <c r="AA168" s="49">
        <f ca="1"/>
        <v>0</v>
      </c>
      <c r="AB168" s="49">
        <f ca="1"/>
        <v>0</v>
      </c>
      <c r="AC168" s="49">
        <f ca="1"/>
        <v>0</v>
      </c>
      <c r="AD168" s="49">
        <f ca="1"/>
        <v>0</v>
      </c>
      <c r="AE168" s="49">
        <f ca="1"/>
        <v>0</v>
      </c>
      <c r="AF168" s="49">
        <f ca="1"/>
        <v>0</v>
      </c>
      <c r="AG168" s="49">
        <f ca="1"/>
        <v>0</v>
      </c>
      <c r="AH168" s="49">
        <f ca="1"/>
        <v>0</v>
      </c>
      <c r="AI168" s="49">
        <f ca="1"/>
        <v>0</v>
      </c>
      <c r="AJ168" s="49">
        <f ca="1"/>
        <v>0</v>
      </c>
      <c r="AK168" s="49">
        <f ca="1"/>
        <v>0</v>
      </c>
      <c r="AL168" s="49">
        <f ca="1"/>
        <v>0</v>
      </c>
      <c r="AM168" s="49">
        <f ca="1"/>
        <v>0</v>
      </c>
      <c r="AN168" s="49">
        <f ca="1"/>
        <v>0</v>
      </c>
      <c r="AO168" s="49">
        <f ca="1"/>
        <v>0</v>
      </c>
      <c r="AP168" s="49">
        <f ca="1"/>
        <v>0</v>
      </c>
      <c r="AQ168" s="49">
        <f ca="1"/>
        <v>0</v>
      </c>
      <c r="AR168" s="49">
        <f ca="1"/>
        <v>0</v>
      </c>
      <c r="AS168" s="49">
        <f ca="1"/>
        <v>0</v>
      </c>
      <c r="AT168" s="49">
        <f ca="1"/>
        <v>0</v>
      </c>
      <c r="AU168" s="49">
        <f ca="1"/>
        <v>0</v>
      </c>
      <c r="AV168" s="49">
        <f ca="1"/>
        <v>0</v>
      </c>
      <c r="AW168" s="49">
        <f ca="1"/>
        <v>0</v>
      </c>
      <c r="AX168" s="49">
        <f ca="1"/>
        <v>0</v>
      </c>
      <c r="AY168" s="49">
        <f ca="1"/>
        <v>0</v>
      </c>
      <c r="AZ168" s="49">
        <f ca="1"/>
        <v>0</v>
      </c>
      <c r="BA168" s="49">
        <f ca="1"/>
        <v>0</v>
      </c>
      <c r="BB168" s="49">
        <f ca="1"/>
        <v>0</v>
      </c>
      <c r="BC168" s="49">
        <f ca="1"/>
        <v>0</v>
      </c>
      <c r="BD168" s="49">
        <f ca="1"/>
        <v>0</v>
      </c>
      <c r="BE168" s="49">
        <f ca="1"/>
        <v>0</v>
      </c>
      <c r="BF168" s="49">
        <f ca="1"/>
        <v>0</v>
      </c>
      <c r="BG168" s="49">
        <f ca="1"/>
        <v>0</v>
      </c>
      <c r="BH168" s="49">
        <f ca="1"/>
        <v>0</v>
      </c>
      <c r="BI168" s="49">
        <f ca="1"/>
        <v>0</v>
      </c>
      <c r="BJ168" s="49">
        <f ca="1"/>
        <v>0</v>
      </c>
      <c r="BK168" s="49">
        <f ca="1"/>
        <v>0</v>
      </c>
      <c r="BL168" s="49">
        <f ca="1"/>
        <v>0</v>
      </c>
      <c r="BM168" s="49">
        <f ca="1"/>
        <v>0</v>
      </c>
      <c r="BN168" s="49">
        <f ca="1"/>
        <v>0</v>
      </c>
      <c r="BO168" s="49">
        <f ca="1"/>
        <v>0</v>
      </c>
      <c r="BP168" s="49">
        <f ca="1"/>
        <v>0</v>
      </c>
      <c r="BQ168" s="49">
        <f ca="1"/>
        <v>0</v>
      </c>
      <c r="BR168" s="49">
        <f ca="1"/>
        <v>0</v>
      </c>
      <c r="BS168" s="49">
        <f ca="1"/>
        <v>0</v>
      </c>
    </row>
    <row r="169" spans="3:71" outlineLevel="1" x14ac:dyDescent="0.2">
      <c r="J169" s="26"/>
      <c r="L169" s="55"/>
      <c r="M169" s="55"/>
      <c r="N169" s="55"/>
      <c r="O169" s="55"/>
      <c r="P169" s="55"/>
      <c r="Q169" s="55"/>
      <c r="R169" s="55"/>
      <c r="S169" s="55"/>
      <c r="T169" s="55"/>
      <c r="U169" s="55"/>
      <c r="V169" s="55"/>
      <c r="W169" s="55"/>
      <c r="X169" s="55"/>
      <c r="Y169" s="55"/>
      <c r="Z169" s="55"/>
      <c r="AA169" s="55"/>
      <c r="AB169" s="55"/>
      <c r="AC169" s="55"/>
      <c r="AD169" s="55"/>
      <c r="AE169" s="55"/>
      <c r="AF169" s="55"/>
      <c r="AG169" s="55"/>
      <c r="AH169" s="55"/>
      <c r="AI169" s="55"/>
      <c r="AJ169" s="55"/>
      <c r="AK169" s="55"/>
      <c r="AL169" s="55"/>
      <c r="AM169" s="55"/>
      <c r="AN169" s="55"/>
      <c r="AO169" s="55"/>
      <c r="AP169" s="55"/>
      <c r="AQ169" s="55"/>
      <c r="AR169" s="55"/>
      <c r="AS169" s="55"/>
      <c r="AT169" s="55"/>
      <c r="AU169" s="55"/>
      <c r="AV169" s="55"/>
      <c r="AW169" s="55"/>
      <c r="AX169" s="55"/>
      <c r="AY169" s="55"/>
      <c r="AZ169" s="55"/>
      <c r="BA169" s="55"/>
      <c r="BB169" s="55"/>
      <c r="BC169" s="55"/>
      <c r="BD169" s="55"/>
      <c r="BE169" s="55"/>
      <c r="BF169" s="55"/>
      <c r="BG169" s="55"/>
      <c r="BH169" s="55"/>
      <c r="BI169" s="55"/>
      <c r="BJ169" s="55"/>
      <c r="BK169" s="55"/>
      <c r="BL169" s="55"/>
      <c r="BM169" s="55"/>
      <c r="BN169" s="55"/>
      <c r="BO169" s="55"/>
      <c r="BP169" s="55"/>
      <c r="BQ169" s="55"/>
      <c r="BR169" s="55"/>
      <c r="BS169" s="55"/>
    </row>
    <row r="170" spans="3:71" outlineLevel="1" x14ac:dyDescent="0.2">
      <c r="D170" t="str">
        <f>CHOOSE(db_ML_selected,'Liste Traduction'!B291,'Liste Traduction'!C291)</f>
        <v>Revenus pétroliers (@ PH2)</v>
      </c>
      <c r="I170" s="30">
        <f ca="1">SUM($L170:$BS170)</f>
        <v>3402.1017422141954</v>
      </c>
      <c r="J170" s="26" t="s">
        <v>148</v>
      </c>
      <c r="K170" s="7" t="s">
        <v>460</v>
      </c>
      <c r="L170" s="49" cm="1">
        <f t="array" aca="1" ref="L170:BS170" ca="1">(CA_gross_sales_oil+CA_gross_sales_lpg)*CA_HP2_oil_nom</f>
        <v>0</v>
      </c>
      <c r="M170" s="49">
        <f ca="1"/>
        <v>0</v>
      </c>
      <c r="N170" s="49">
        <f ca="1"/>
        <v>0</v>
      </c>
      <c r="O170" s="49">
        <f ca="1"/>
        <v>0</v>
      </c>
      <c r="P170" s="49">
        <f ca="1"/>
        <v>574.09813841125015</v>
      </c>
      <c r="Q170" s="49">
        <f ca="1"/>
        <v>462.4485632900001</v>
      </c>
      <c r="R170" s="49">
        <f ca="1"/>
        <v>527.55592348400012</v>
      </c>
      <c r="S170" s="49">
        <f ca="1"/>
        <v>357.95676000000003</v>
      </c>
      <c r="T170" s="49">
        <f ca="1"/>
        <v>328.04192288256473</v>
      </c>
      <c r="U170" s="49">
        <f ca="1"/>
        <v>311.18056804640094</v>
      </c>
      <c r="V170" s="49">
        <f ca="1"/>
        <v>295.18588684881587</v>
      </c>
      <c r="W170" s="49">
        <f ca="1"/>
        <v>280.01333226478664</v>
      </c>
      <c r="X170" s="49">
        <f ca="1"/>
        <v>265.6206469863767</v>
      </c>
      <c r="Y170" s="49">
        <f ca="1"/>
        <v>0</v>
      </c>
      <c r="Z170" s="49">
        <f ca="1"/>
        <v>0</v>
      </c>
      <c r="AA170" s="49">
        <f ca="1"/>
        <v>0</v>
      </c>
      <c r="AB170" s="49">
        <f ca="1"/>
        <v>0</v>
      </c>
      <c r="AC170" s="49">
        <f ca="1"/>
        <v>0</v>
      </c>
      <c r="AD170" s="49">
        <f ca="1"/>
        <v>0</v>
      </c>
      <c r="AE170" s="49">
        <f ca="1"/>
        <v>0</v>
      </c>
      <c r="AF170" s="49">
        <f ca="1"/>
        <v>0</v>
      </c>
      <c r="AG170" s="49">
        <f ca="1"/>
        <v>0</v>
      </c>
      <c r="AH170" s="49">
        <f ca="1"/>
        <v>0</v>
      </c>
      <c r="AI170" s="49">
        <f ca="1"/>
        <v>0</v>
      </c>
      <c r="AJ170" s="49">
        <f ca="1"/>
        <v>0</v>
      </c>
      <c r="AK170" s="49">
        <f ca="1"/>
        <v>0</v>
      </c>
      <c r="AL170" s="49">
        <f ca="1"/>
        <v>0</v>
      </c>
      <c r="AM170" s="49">
        <f ca="1"/>
        <v>0</v>
      </c>
      <c r="AN170" s="49">
        <f ca="1"/>
        <v>0</v>
      </c>
      <c r="AO170" s="49">
        <f ca="1"/>
        <v>0</v>
      </c>
      <c r="AP170" s="49">
        <f ca="1"/>
        <v>0</v>
      </c>
      <c r="AQ170" s="49">
        <f ca="1"/>
        <v>0</v>
      </c>
      <c r="AR170" s="49">
        <f ca="1"/>
        <v>0</v>
      </c>
      <c r="AS170" s="49">
        <f ca="1"/>
        <v>0</v>
      </c>
      <c r="AT170" s="49">
        <f ca="1"/>
        <v>0</v>
      </c>
      <c r="AU170" s="49">
        <f ca="1"/>
        <v>0</v>
      </c>
      <c r="AV170" s="49">
        <f ca="1"/>
        <v>0</v>
      </c>
      <c r="AW170" s="49">
        <f ca="1"/>
        <v>0</v>
      </c>
      <c r="AX170" s="49">
        <f ca="1"/>
        <v>0</v>
      </c>
      <c r="AY170" s="49">
        <f ca="1"/>
        <v>0</v>
      </c>
      <c r="AZ170" s="49">
        <f ca="1"/>
        <v>0</v>
      </c>
      <c r="BA170" s="49">
        <f ca="1"/>
        <v>0</v>
      </c>
      <c r="BB170" s="49">
        <f ca="1"/>
        <v>0</v>
      </c>
      <c r="BC170" s="49">
        <f ca="1"/>
        <v>0</v>
      </c>
      <c r="BD170" s="49">
        <f ca="1"/>
        <v>0</v>
      </c>
      <c r="BE170" s="49">
        <f ca="1"/>
        <v>0</v>
      </c>
      <c r="BF170" s="49">
        <f ca="1"/>
        <v>0</v>
      </c>
      <c r="BG170" s="49">
        <f ca="1"/>
        <v>0</v>
      </c>
      <c r="BH170" s="49">
        <f ca="1"/>
        <v>0</v>
      </c>
      <c r="BI170" s="49">
        <f ca="1"/>
        <v>0</v>
      </c>
      <c r="BJ170" s="49">
        <f ca="1"/>
        <v>0</v>
      </c>
      <c r="BK170" s="49">
        <f ca="1"/>
        <v>0</v>
      </c>
      <c r="BL170" s="49">
        <f ca="1"/>
        <v>0</v>
      </c>
      <c r="BM170" s="49">
        <f ca="1"/>
        <v>0</v>
      </c>
      <c r="BN170" s="49">
        <f ca="1"/>
        <v>0</v>
      </c>
      <c r="BO170" s="49">
        <f ca="1"/>
        <v>0</v>
      </c>
      <c r="BP170" s="49">
        <f ca="1"/>
        <v>0</v>
      </c>
      <c r="BQ170" s="49">
        <f ca="1"/>
        <v>0</v>
      </c>
      <c r="BR170" s="49">
        <f ca="1"/>
        <v>0</v>
      </c>
      <c r="BS170" s="49">
        <f ca="1"/>
        <v>0</v>
      </c>
    </row>
    <row r="171" spans="3:71" outlineLevel="1" x14ac:dyDescent="0.2">
      <c r="J171" s="26"/>
      <c r="L171" s="55"/>
      <c r="M171" s="55"/>
      <c r="N171" s="55"/>
      <c r="O171" s="55"/>
      <c r="P171" s="55"/>
      <c r="Q171" s="55"/>
      <c r="R171" s="55"/>
      <c r="S171" s="55"/>
      <c r="T171" s="55"/>
      <c r="U171" s="55"/>
      <c r="V171" s="55"/>
      <c r="W171" s="55"/>
      <c r="X171" s="55"/>
      <c r="Y171" s="55"/>
      <c r="Z171" s="55"/>
      <c r="AA171" s="55"/>
      <c r="AB171" s="55"/>
      <c r="AC171" s="55"/>
      <c r="AD171" s="55"/>
      <c r="AE171" s="55"/>
      <c r="AF171" s="55"/>
      <c r="AG171" s="55"/>
      <c r="AH171" s="55"/>
      <c r="AI171" s="55"/>
      <c r="AJ171" s="55"/>
      <c r="AK171" s="55"/>
      <c r="AL171" s="55"/>
      <c r="AM171" s="55"/>
      <c r="AN171" s="55"/>
      <c r="AO171" s="55"/>
      <c r="AP171" s="55"/>
      <c r="AQ171" s="55"/>
      <c r="AR171" s="55"/>
      <c r="AS171" s="55"/>
      <c r="AT171" s="55"/>
      <c r="AU171" s="55"/>
      <c r="AV171" s="55"/>
      <c r="AW171" s="55"/>
      <c r="AX171" s="55"/>
      <c r="AY171" s="55"/>
      <c r="AZ171" s="55"/>
      <c r="BA171" s="55"/>
      <c r="BB171" s="55"/>
      <c r="BC171" s="55"/>
      <c r="BD171" s="55"/>
      <c r="BE171" s="55"/>
      <c r="BF171" s="55"/>
      <c r="BG171" s="55"/>
      <c r="BH171" s="55"/>
      <c r="BI171" s="55"/>
      <c r="BJ171" s="55"/>
      <c r="BK171" s="55"/>
      <c r="BL171" s="55"/>
      <c r="BM171" s="55"/>
      <c r="BN171" s="55"/>
      <c r="BO171" s="55"/>
      <c r="BP171" s="55"/>
      <c r="BQ171" s="55"/>
      <c r="BR171" s="55"/>
      <c r="BS171" s="55"/>
    </row>
    <row r="172" spans="3:71" outlineLevel="1" x14ac:dyDescent="0.2">
      <c r="D172" t="str">
        <f>CHOOSE(db_ML_selected,'Liste Traduction'!B292,'Liste Traduction'!C292)</f>
        <v>Différence de revenus pétroliers (PF-PH1)</v>
      </c>
      <c r="I172" s="30">
        <f ca="1">SUM($L172:$BS172)</f>
        <v>2543.843874901147</v>
      </c>
      <c r="J172" s="26" t="s">
        <v>148</v>
      </c>
      <c r="K172" s="7" t="s">
        <v>620</v>
      </c>
      <c r="L172" s="49" cm="1">
        <f t="array" aca="1" ref="L172:BS172" ca="1">HM_ZA_Nkossa!CA_gross_rev_oil_fp-HM_ZA_Nkossa!CA_gross_rev_oil_hp1</f>
        <v>637.51445122999985</v>
      </c>
      <c r="M172" s="49">
        <f ca="1"/>
        <v>629.02258200649999</v>
      </c>
      <c r="N172" s="49">
        <f ca="1"/>
        <v>129.60805388999989</v>
      </c>
      <c r="O172" s="49">
        <f ca="1"/>
        <v>73.070013094999979</v>
      </c>
      <c r="P172" s="49">
        <f ca="1"/>
        <v>133.52923468260053</v>
      </c>
      <c r="Q172" s="49">
        <f ca="1"/>
        <v>225.76845216967382</v>
      </c>
      <c r="R172" s="49">
        <f ca="1"/>
        <v>170.64844269352392</v>
      </c>
      <c r="S172" s="49">
        <f ca="1"/>
        <v>21.004315194279087</v>
      </c>
      <c r="T172" s="49">
        <f ca="1"/>
        <v>104.67286398651314</v>
      </c>
      <c r="U172" s="49">
        <f ca="1"/>
        <v>113.18256056598958</v>
      </c>
      <c r="V172" s="49">
        <f ca="1"/>
        <v>107.36497695289773</v>
      </c>
      <c r="W172" s="49">
        <f ca="1"/>
        <v>101.84641713751876</v>
      </c>
      <c r="X172" s="49">
        <f ca="1"/>
        <v>96.611511296650349</v>
      </c>
      <c r="Y172" s="49">
        <f ca="1"/>
        <v>0</v>
      </c>
      <c r="Z172" s="49">
        <f ca="1"/>
        <v>0</v>
      </c>
      <c r="AA172" s="49">
        <f ca="1"/>
        <v>0</v>
      </c>
      <c r="AB172" s="49">
        <f ca="1"/>
        <v>0</v>
      </c>
      <c r="AC172" s="49">
        <f ca="1"/>
        <v>0</v>
      </c>
      <c r="AD172" s="49">
        <f ca="1"/>
        <v>0</v>
      </c>
      <c r="AE172" s="49">
        <f ca="1"/>
        <v>0</v>
      </c>
      <c r="AF172" s="49">
        <f ca="1"/>
        <v>0</v>
      </c>
      <c r="AG172" s="49">
        <f ca="1"/>
        <v>0</v>
      </c>
      <c r="AH172" s="49">
        <f ca="1"/>
        <v>0</v>
      </c>
      <c r="AI172" s="49">
        <f ca="1"/>
        <v>0</v>
      </c>
      <c r="AJ172" s="49">
        <f ca="1"/>
        <v>0</v>
      </c>
      <c r="AK172" s="49">
        <f ca="1"/>
        <v>0</v>
      </c>
      <c r="AL172" s="49">
        <f ca="1"/>
        <v>0</v>
      </c>
      <c r="AM172" s="49">
        <f ca="1"/>
        <v>0</v>
      </c>
      <c r="AN172" s="49">
        <f ca="1"/>
        <v>0</v>
      </c>
      <c r="AO172" s="49">
        <f ca="1"/>
        <v>0</v>
      </c>
      <c r="AP172" s="49">
        <f ca="1"/>
        <v>0</v>
      </c>
      <c r="AQ172" s="49">
        <f ca="1"/>
        <v>0</v>
      </c>
      <c r="AR172" s="49">
        <f ca="1"/>
        <v>0</v>
      </c>
      <c r="AS172" s="49">
        <f ca="1"/>
        <v>0</v>
      </c>
      <c r="AT172" s="49">
        <f ca="1"/>
        <v>0</v>
      </c>
      <c r="AU172" s="49">
        <f ca="1"/>
        <v>0</v>
      </c>
      <c r="AV172" s="49">
        <f ca="1"/>
        <v>0</v>
      </c>
      <c r="AW172" s="49">
        <f ca="1"/>
        <v>0</v>
      </c>
      <c r="AX172" s="49">
        <f ca="1"/>
        <v>0</v>
      </c>
      <c r="AY172" s="49">
        <f ca="1"/>
        <v>0</v>
      </c>
      <c r="AZ172" s="49">
        <f ca="1"/>
        <v>0</v>
      </c>
      <c r="BA172" s="49">
        <f ca="1"/>
        <v>0</v>
      </c>
      <c r="BB172" s="49">
        <f ca="1"/>
        <v>0</v>
      </c>
      <c r="BC172" s="49">
        <f ca="1"/>
        <v>0</v>
      </c>
      <c r="BD172" s="49">
        <f ca="1"/>
        <v>0</v>
      </c>
      <c r="BE172" s="49">
        <f ca="1"/>
        <v>0</v>
      </c>
      <c r="BF172" s="49">
        <f ca="1"/>
        <v>0</v>
      </c>
      <c r="BG172" s="49">
        <f ca="1"/>
        <v>0</v>
      </c>
      <c r="BH172" s="49">
        <f ca="1"/>
        <v>0</v>
      </c>
      <c r="BI172" s="49">
        <f ca="1"/>
        <v>0</v>
      </c>
      <c r="BJ172" s="49">
        <f ca="1"/>
        <v>0</v>
      </c>
      <c r="BK172" s="49">
        <f ca="1"/>
        <v>0</v>
      </c>
      <c r="BL172" s="49">
        <f ca="1"/>
        <v>0</v>
      </c>
      <c r="BM172" s="49">
        <f ca="1"/>
        <v>0</v>
      </c>
      <c r="BN172" s="49">
        <f ca="1"/>
        <v>0</v>
      </c>
      <c r="BO172" s="49">
        <f ca="1"/>
        <v>0</v>
      </c>
      <c r="BP172" s="49">
        <f ca="1"/>
        <v>0</v>
      </c>
      <c r="BQ172" s="49">
        <f ca="1"/>
        <v>0</v>
      </c>
      <c r="BR172" s="49">
        <f ca="1"/>
        <v>0</v>
      </c>
      <c r="BS172" s="49">
        <f ca="1"/>
        <v>0</v>
      </c>
    </row>
    <row r="173" spans="3:71" outlineLevel="1" x14ac:dyDescent="0.2">
      <c r="J173" s="26"/>
      <c r="L173" s="55"/>
      <c r="M173" s="55"/>
      <c r="N173" s="55"/>
      <c r="O173" s="55"/>
      <c r="P173" s="55"/>
      <c r="Q173" s="55"/>
      <c r="R173" s="55"/>
      <c r="S173" s="55"/>
      <c r="T173" s="55"/>
      <c r="U173" s="55"/>
      <c r="V173" s="55"/>
      <c r="W173" s="55"/>
      <c r="X173" s="55"/>
      <c r="Y173" s="55"/>
      <c r="Z173" s="55"/>
      <c r="AA173" s="55"/>
      <c r="AB173" s="55"/>
      <c r="AC173" s="55"/>
      <c r="AD173" s="55"/>
      <c r="AE173" s="55"/>
      <c r="AF173" s="55"/>
      <c r="AG173" s="55"/>
      <c r="AH173" s="55"/>
      <c r="AI173" s="55"/>
      <c r="AJ173" s="55"/>
      <c r="AK173" s="55"/>
      <c r="AL173" s="55"/>
      <c r="AM173" s="55"/>
      <c r="AN173" s="55"/>
      <c r="AO173" s="55"/>
      <c r="AP173" s="55"/>
      <c r="AQ173" s="55"/>
      <c r="AR173" s="55"/>
      <c r="AS173" s="55"/>
      <c r="AT173" s="55"/>
      <c r="AU173" s="55"/>
      <c r="AV173" s="55"/>
      <c r="AW173" s="55"/>
      <c r="AX173" s="55"/>
      <c r="AY173" s="55"/>
      <c r="AZ173" s="55"/>
      <c r="BA173" s="55"/>
      <c r="BB173" s="55"/>
      <c r="BC173" s="55"/>
      <c r="BD173" s="55"/>
      <c r="BE173" s="55"/>
      <c r="BF173" s="55"/>
      <c r="BG173" s="55"/>
      <c r="BH173" s="55"/>
      <c r="BI173" s="55"/>
      <c r="BJ173" s="55"/>
      <c r="BK173" s="55"/>
      <c r="BL173" s="55"/>
      <c r="BM173" s="55"/>
      <c r="BN173" s="55"/>
      <c r="BO173" s="55"/>
      <c r="BP173" s="55"/>
      <c r="BQ173" s="55"/>
      <c r="BR173" s="55"/>
      <c r="BS173" s="55"/>
    </row>
    <row r="174" spans="3:71" outlineLevel="1" x14ac:dyDescent="0.2">
      <c r="D174" t="str">
        <f>CHOOSE(db_ML_selected,'Liste Traduction'!B293,'Liste Traduction'!C293)</f>
        <v>Différence de revenus pétroliers (PF-PH2)</v>
      </c>
      <c r="I174" s="30">
        <f ca="1">SUM($L174:$BS174)</f>
        <v>2735.5040236269997</v>
      </c>
      <c r="J174" s="26" t="s">
        <v>148</v>
      </c>
      <c r="K174" s="7" t="s">
        <v>622</v>
      </c>
      <c r="L174" s="49">
        <f ca="1">MAX(HM_ZA_Nkossa!CA_gross_rev_oil_fp-HM_ZA_Nkossa!CA_gross_rev_oil_hp2,0)</f>
        <v>919.71353594999982</v>
      </c>
      <c r="M174" s="49">
        <f ca="1">MAX(HM_ZA_Nkossa!CA_gross_rev_oil_fp-HM_ZA_Nkossa!CA_gross_rev_oil_hp2,0)</f>
        <v>977.65439921200004</v>
      </c>
      <c r="N174" s="49">
        <f ca="1">MAX(HM_ZA_Nkossa!CA_gross_rev_oil_fp-HM_ZA_Nkossa!CA_gross_rev_oil_hp2,0)</f>
        <v>432.53344811799991</v>
      </c>
      <c r="O174" s="49">
        <f ca="1">MAX(HM_ZA_Nkossa!CA_gross_rev_oil_fp-HM_ZA_Nkossa!CA_gross_rev_oil_hp2,0)</f>
        <v>404.77008564400001</v>
      </c>
      <c r="P174" s="49">
        <f ca="1">MAX(HM_ZA_Nkossa!CA_gross_rev_oil_fp-HM_ZA_Nkossa!CA_gross_rev_oil_hp2,0)</f>
        <v>0</v>
      </c>
      <c r="Q174" s="49">
        <f ca="1">MAX(HM_ZA_Nkossa!CA_gross_rev_oil_fp-HM_ZA_Nkossa!CA_gross_rev_oil_hp2,0)</f>
        <v>0.8325547029999143</v>
      </c>
      <c r="R174" s="49">
        <f ca="1">MAX(HM_ZA_Nkossa!CA_gross_rev_oil_fp-HM_ZA_Nkossa!CA_gross_rev_oil_hp2,0)</f>
        <v>0</v>
      </c>
      <c r="S174" s="49">
        <f ca="1">MAX(HM_ZA_Nkossa!CA_gross_rev_oil_fp-HM_ZA_Nkossa!CA_gross_rev_oil_hp2,0)</f>
        <v>0</v>
      </c>
      <c r="T174" s="49">
        <f ca="1">MAX(HM_ZA_Nkossa!CA_gross_rev_oil_fp-HM_ZA_Nkossa!CA_gross_rev_oil_hp2,0)</f>
        <v>0</v>
      </c>
      <c r="U174" s="49">
        <f ca="1">MAX(HM_ZA_Nkossa!CA_gross_rev_oil_fp-HM_ZA_Nkossa!CA_gross_rev_oil_hp2,0)</f>
        <v>0</v>
      </c>
      <c r="V174" s="49">
        <f ca="1">MAX(HM_ZA_Nkossa!CA_gross_rev_oil_fp-HM_ZA_Nkossa!CA_gross_rev_oil_hp2,0)</f>
        <v>0</v>
      </c>
      <c r="W174" s="49">
        <f ca="1">MAX(HM_ZA_Nkossa!CA_gross_rev_oil_fp-HM_ZA_Nkossa!CA_gross_rev_oil_hp2,0)</f>
        <v>0</v>
      </c>
      <c r="X174" s="49">
        <f ca="1">MAX(HM_ZA_Nkossa!CA_gross_rev_oil_fp-HM_ZA_Nkossa!CA_gross_rev_oil_hp2,0)</f>
        <v>0</v>
      </c>
      <c r="Y174" s="49">
        <f ca="1">MAX(HM_ZA_Nkossa!CA_gross_rev_oil_fp-HM_ZA_Nkossa!CA_gross_rev_oil_hp2,0)</f>
        <v>0</v>
      </c>
      <c r="Z174" s="49">
        <f ca="1">MAX(HM_ZA_Nkossa!CA_gross_rev_oil_fp-HM_ZA_Nkossa!CA_gross_rev_oil_hp2,0)</f>
        <v>0</v>
      </c>
      <c r="AA174" s="49">
        <f ca="1">MAX(HM_ZA_Nkossa!CA_gross_rev_oil_fp-HM_ZA_Nkossa!CA_gross_rev_oil_hp2,0)</f>
        <v>0</v>
      </c>
      <c r="AB174" s="49">
        <f ca="1">MAX(HM_ZA_Nkossa!CA_gross_rev_oil_fp-HM_ZA_Nkossa!CA_gross_rev_oil_hp2,0)</f>
        <v>0</v>
      </c>
      <c r="AC174" s="49">
        <f ca="1">MAX(HM_ZA_Nkossa!CA_gross_rev_oil_fp-HM_ZA_Nkossa!CA_gross_rev_oil_hp2,0)</f>
        <v>0</v>
      </c>
      <c r="AD174" s="49">
        <f ca="1">MAX(HM_ZA_Nkossa!CA_gross_rev_oil_fp-HM_ZA_Nkossa!CA_gross_rev_oil_hp2,0)</f>
        <v>0</v>
      </c>
      <c r="AE174" s="49">
        <f ca="1">MAX(HM_ZA_Nkossa!CA_gross_rev_oil_fp-HM_ZA_Nkossa!CA_gross_rev_oil_hp2,0)</f>
        <v>0</v>
      </c>
      <c r="AF174" s="49">
        <f ca="1">MAX(HM_ZA_Nkossa!CA_gross_rev_oil_fp-HM_ZA_Nkossa!CA_gross_rev_oil_hp2,0)</f>
        <v>0</v>
      </c>
      <c r="AG174" s="49">
        <f ca="1">MAX(HM_ZA_Nkossa!CA_gross_rev_oil_fp-HM_ZA_Nkossa!CA_gross_rev_oil_hp2,0)</f>
        <v>0</v>
      </c>
      <c r="AH174" s="49">
        <f ca="1">MAX(HM_ZA_Nkossa!CA_gross_rev_oil_fp-HM_ZA_Nkossa!CA_gross_rev_oil_hp2,0)</f>
        <v>0</v>
      </c>
      <c r="AI174" s="49">
        <f ca="1">MAX(HM_ZA_Nkossa!CA_gross_rev_oil_fp-HM_ZA_Nkossa!CA_gross_rev_oil_hp2,0)</f>
        <v>0</v>
      </c>
      <c r="AJ174" s="49">
        <f ca="1">MAX(HM_ZA_Nkossa!CA_gross_rev_oil_fp-HM_ZA_Nkossa!CA_gross_rev_oil_hp2,0)</f>
        <v>0</v>
      </c>
      <c r="AK174" s="49">
        <f ca="1">MAX(HM_ZA_Nkossa!CA_gross_rev_oil_fp-HM_ZA_Nkossa!CA_gross_rev_oil_hp2,0)</f>
        <v>0</v>
      </c>
      <c r="AL174" s="49">
        <f ca="1">MAX(HM_ZA_Nkossa!CA_gross_rev_oil_fp-HM_ZA_Nkossa!CA_gross_rev_oil_hp2,0)</f>
        <v>0</v>
      </c>
      <c r="AM174" s="49">
        <f ca="1">MAX(HM_ZA_Nkossa!CA_gross_rev_oil_fp-HM_ZA_Nkossa!CA_gross_rev_oil_hp2,0)</f>
        <v>0</v>
      </c>
      <c r="AN174" s="49">
        <f ca="1">MAX(HM_ZA_Nkossa!CA_gross_rev_oil_fp-HM_ZA_Nkossa!CA_gross_rev_oil_hp2,0)</f>
        <v>0</v>
      </c>
      <c r="AO174" s="49">
        <f ca="1">MAX(HM_ZA_Nkossa!CA_gross_rev_oil_fp-HM_ZA_Nkossa!CA_gross_rev_oil_hp2,0)</f>
        <v>0</v>
      </c>
      <c r="AP174" s="49">
        <f ca="1">MAX(HM_ZA_Nkossa!CA_gross_rev_oil_fp-HM_ZA_Nkossa!CA_gross_rev_oil_hp2,0)</f>
        <v>0</v>
      </c>
      <c r="AQ174" s="49">
        <f ca="1">MAX(HM_ZA_Nkossa!CA_gross_rev_oil_fp-HM_ZA_Nkossa!CA_gross_rev_oil_hp2,0)</f>
        <v>0</v>
      </c>
      <c r="AR174" s="49">
        <f ca="1">MAX(HM_ZA_Nkossa!CA_gross_rev_oil_fp-HM_ZA_Nkossa!CA_gross_rev_oil_hp2,0)</f>
        <v>0</v>
      </c>
      <c r="AS174" s="49">
        <f ca="1">MAX(HM_ZA_Nkossa!CA_gross_rev_oil_fp-HM_ZA_Nkossa!CA_gross_rev_oil_hp2,0)</f>
        <v>0</v>
      </c>
      <c r="AT174" s="49">
        <f ca="1">MAX(HM_ZA_Nkossa!CA_gross_rev_oil_fp-HM_ZA_Nkossa!CA_gross_rev_oil_hp2,0)</f>
        <v>0</v>
      </c>
      <c r="AU174" s="49">
        <f ca="1">MAX(HM_ZA_Nkossa!CA_gross_rev_oil_fp-HM_ZA_Nkossa!CA_gross_rev_oil_hp2,0)</f>
        <v>0</v>
      </c>
      <c r="AV174" s="49">
        <f ca="1">MAX(HM_ZA_Nkossa!CA_gross_rev_oil_fp-HM_ZA_Nkossa!CA_gross_rev_oil_hp2,0)</f>
        <v>0</v>
      </c>
      <c r="AW174" s="49">
        <f ca="1">MAX(HM_ZA_Nkossa!CA_gross_rev_oil_fp-HM_ZA_Nkossa!CA_gross_rev_oil_hp2,0)</f>
        <v>0</v>
      </c>
      <c r="AX174" s="49">
        <f ca="1">MAX(HM_ZA_Nkossa!CA_gross_rev_oil_fp-HM_ZA_Nkossa!CA_gross_rev_oil_hp2,0)</f>
        <v>0</v>
      </c>
      <c r="AY174" s="49">
        <f ca="1">MAX(HM_ZA_Nkossa!CA_gross_rev_oil_fp-HM_ZA_Nkossa!CA_gross_rev_oil_hp2,0)</f>
        <v>0</v>
      </c>
      <c r="AZ174" s="49">
        <f ca="1">MAX(HM_ZA_Nkossa!CA_gross_rev_oil_fp-HM_ZA_Nkossa!CA_gross_rev_oil_hp2,0)</f>
        <v>0</v>
      </c>
      <c r="BA174" s="49">
        <f ca="1">MAX(HM_ZA_Nkossa!CA_gross_rev_oil_fp-HM_ZA_Nkossa!CA_gross_rev_oil_hp2,0)</f>
        <v>0</v>
      </c>
      <c r="BB174" s="49">
        <f ca="1">MAX(HM_ZA_Nkossa!CA_gross_rev_oil_fp-HM_ZA_Nkossa!CA_gross_rev_oil_hp2,0)</f>
        <v>0</v>
      </c>
      <c r="BC174" s="49">
        <f ca="1">MAX(HM_ZA_Nkossa!CA_gross_rev_oil_fp-HM_ZA_Nkossa!CA_gross_rev_oil_hp2,0)</f>
        <v>0</v>
      </c>
      <c r="BD174" s="49">
        <f ca="1">MAX(HM_ZA_Nkossa!CA_gross_rev_oil_fp-HM_ZA_Nkossa!CA_gross_rev_oil_hp2,0)</f>
        <v>0</v>
      </c>
      <c r="BE174" s="49">
        <f ca="1">MAX(HM_ZA_Nkossa!CA_gross_rev_oil_fp-HM_ZA_Nkossa!CA_gross_rev_oil_hp2,0)</f>
        <v>0</v>
      </c>
      <c r="BF174" s="49">
        <f ca="1">MAX(HM_ZA_Nkossa!CA_gross_rev_oil_fp-HM_ZA_Nkossa!CA_gross_rev_oil_hp2,0)</f>
        <v>0</v>
      </c>
      <c r="BG174" s="49">
        <f ca="1">MAX(HM_ZA_Nkossa!CA_gross_rev_oil_fp-HM_ZA_Nkossa!CA_gross_rev_oil_hp2,0)</f>
        <v>0</v>
      </c>
      <c r="BH174" s="49">
        <f ca="1">MAX(HM_ZA_Nkossa!CA_gross_rev_oil_fp-HM_ZA_Nkossa!CA_gross_rev_oil_hp2,0)</f>
        <v>0</v>
      </c>
      <c r="BI174" s="49">
        <f ca="1">MAX(HM_ZA_Nkossa!CA_gross_rev_oil_fp-HM_ZA_Nkossa!CA_gross_rev_oil_hp2,0)</f>
        <v>0</v>
      </c>
      <c r="BJ174" s="49">
        <f ca="1">MAX(HM_ZA_Nkossa!CA_gross_rev_oil_fp-HM_ZA_Nkossa!CA_gross_rev_oil_hp2,0)</f>
        <v>0</v>
      </c>
      <c r="BK174" s="49">
        <f ca="1">MAX(HM_ZA_Nkossa!CA_gross_rev_oil_fp-HM_ZA_Nkossa!CA_gross_rev_oil_hp2,0)</f>
        <v>0</v>
      </c>
      <c r="BL174" s="49">
        <f ca="1">MAX(HM_ZA_Nkossa!CA_gross_rev_oil_fp-HM_ZA_Nkossa!CA_gross_rev_oil_hp2,0)</f>
        <v>0</v>
      </c>
      <c r="BM174" s="49">
        <f ca="1">MAX(HM_ZA_Nkossa!CA_gross_rev_oil_fp-HM_ZA_Nkossa!CA_gross_rev_oil_hp2,0)</f>
        <v>0</v>
      </c>
      <c r="BN174" s="49">
        <f ca="1">MAX(HM_ZA_Nkossa!CA_gross_rev_oil_fp-HM_ZA_Nkossa!CA_gross_rev_oil_hp2,0)</f>
        <v>0</v>
      </c>
      <c r="BO174" s="49">
        <f ca="1">MAX(HM_ZA_Nkossa!CA_gross_rev_oil_fp-HM_ZA_Nkossa!CA_gross_rev_oil_hp2,0)</f>
        <v>0</v>
      </c>
      <c r="BP174" s="49">
        <f ca="1">MAX(HM_ZA_Nkossa!CA_gross_rev_oil_fp-HM_ZA_Nkossa!CA_gross_rev_oil_hp2,0)</f>
        <v>0</v>
      </c>
      <c r="BQ174" s="49">
        <f ca="1">MAX(HM_ZA_Nkossa!CA_gross_rev_oil_fp-HM_ZA_Nkossa!CA_gross_rev_oil_hp2,0)</f>
        <v>0</v>
      </c>
      <c r="BR174" s="49">
        <f ca="1">MAX(HM_ZA_Nkossa!CA_gross_rev_oil_fp-HM_ZA_Nkossa!CA_gross_rev_oil_hp2,0)</f>
        <v>0</v>
      </c>
      <c r="BS174" s="49">
        <f ca="1">MAX(HM_ZA_Nkossa!CA_gross_rev_oil_fp-HM_ZA_Nkossa!CA_gross_rev_oil_hp2,0)</f>
        <v>0</v>
      </c>
    </row>
    <row r="175" spans="3:71" outlineLevel="1" x14ac:dyDescent="0.2">
      <c r="J175" s="26"/>
      <c r="L175" s="55"/>
      <c r="M175" s="55"/>
      <c r="N175" s="55"/>
      <c r="O175" s="55"/>
      <c r="P175" s="55"/>
      <c r="Q175" s="55"/>
      <c r="R175" s="55"/>
      <c r="S175" s="55"/>
      <c r="T175" s="55"/>
      <c r="U175" s="55"/>
      <c r="V175" s="55"/>
      <c r="W175" s="55"/>
      <c r="X175" s="55"/>
      <c r="Y175" s="55"/>
      <c r="Z175" s="55"/>
      <c r="AA175" s="55"/>
      <c r="AB175" s="55"/>
      <c r="AC175" s="55"/>
      <c r="AD175" s="55"/>
      <c r="AE175" s="55"/>
      <c r="AF175" s="55"/>
      <c r="AG175" s="55"/>
      <c r="AH175" s="55"/>
      <c r="AI175" s="55"/>
      <c r="AJ175" s="55"/>
      <c r="AK175" s="55"/>
      <c r="AL175" s="55"/>
      <c r="AM175" s="55"/>
      <c r="AN175" s="55"/>
      <c r="AO175" s="55"/>
      <c r="AP175" s="55"/>
      <c r="AQ175" s="55"/>
      <c r="AR175" s="55"/>
      <c r="AS175" s="55"/>
      <c r="AT175" s="55"/>
      <c r="AU175" s="55"/>
      <c r="AV175" s="55"/>
      <c r="AW175" s="55"/>
      <c r="AX175" s="55"/>
      <c r="AY175" s="55"/>
      <c r="AZ175" s="55"/>
      <c r="BA175" s="55"/>
      <c r="BB175" s="55"/>
      <c r="BC175" s="55"/>
      <c r="BD175" s="55"/>
      <c r="BE175" s="55"/>
      <c r="BF175" s="55"/>
      <c r="BG175" s="55"/>
      <c r="BH175" s="55"/>
      <c r="BI175" s="55"/>
      <c r="BJ175" s="55"/>
      <c r="BK175" s="55"/>
      <c r="BL175" s="55"/>
      <c r="BM175" s="55"/>
      <c r="BN175" s="55"/>
      <c r="BO175" s="55"/>
      <c r="BP175" s="55"/>
      <c r="BQ175" s="55"/>
      <c r="BR175" s="55"/>
      <c r="BS175" s="55"/>
    </row>
    <row r="176" spans="3:71" outlineLevel="1" x14ac:dyDescent="0.2">
      <c r="C176" s="11" t="str">
        <f>CHOOSE(db_ML_selected,'Liste Traduction'!B294,'Liste Traduction'!C294)</f>
        <v>Part du produit dans les revenus</v>
      </c>
      <c r="J176" s="26"/>
      <c r="L176" s="55"/>
      <c r="M176" s="55"/>
      <c r="N176" s="55"/>
      <c r="O176" s="55"/>
      <c r="P176" s="55"/>
      <c r="Q176" s="55"/>
      <c r="R176" s="55"/>
      <c r="S176" s="55"/>
      <c r="T176" s="55"/>
      <c r="U176" s="55"/>
      <c r="V176" s="55"/>
      <c r="W176" s="55"/>
      <c r="X176" s="55"/>
      <c r="Y176" s="55"/>
      <c r="Z176" s="55"/>
      <c r="AA176" s="55"/>
      <c r="AB176" s="55"/>
      <c r="AC176" s="55"/>
      <c r="AD176" s="55"/>
      <c r="AE176" s="55"/>
      <c r="AF176" s="55"/>
      <c r="AG176" s="55"/>
      <c r="AH176" s="55"/>
      <c r="AI176" s="55"/>
      <c r="AJ176" s="55"/>
      <c r="AK176" s="55"/>
      <c r="AL176" s="55"/>
      <c r="AM176" s="55"/>
      <c r="AN176" s="55"/>
      <c r="AO176" s="55"/>
      <c r="AP176" s="55"/>
      <c r="AQ176" s="55"/>
      <c r="AR176" s="55"/>
      <c r="AS176" s="55"/>
      <c r="AT176" s="55"/>
      <c r="AU176" s="55"/>
      <c r="AV176" s="55"/>
      <c r="AW176" s="55"/>
      <c r="AX176" s="55"/>
      <c r="AY176" s="55"/>
      <c r="AZ176" s="55"/>
      <c r="BA176" s="55"/>
      <c r="BB176" s="55"/>
      <c r="BC176" s="55"/>
      <c r="BD176" s="55"/>
      <c r="BE176" s="55"/>
      <c r="BF176" s="55"/>
      <c r="BG176" s="55"/>
      <c r="BH176" s="55"/>
      <c r="BI176" s="55"/>
      <c r="BJ176" s="55"/>
      <c r="BK176" s="55"/>
      <c r="BL176" s="55"/>
      <c r="BM176" s="55"/>
      <c r="BN176" s="55"/>
      <c r="BO176" s="55"/>
      <c r="BP176" s="55"/>
      <c r="BQ176" s="55"/>
      <c r="BR176" s="55"/>
      <c r="BS176" s="55"/>
    </row>
    <row r="177" spans="1:71" outlineLevel="1" x14ac:dyDescent="0.2">
      <c r="D177" t="str">
        <f>CHOOSE(db_ML_selected,'Liste Traduction'!B295,'Liste Traduction'!C295)</f>
        <v>Part du pétrole dans le revenu total</v>
      </c>
      <c r="I177" s="58">
        <f ca="1">IFERROR(I163/$I$165,0)</f>
        <v>1</v>
      </c>
      <c r="J177" s="26" t="s">
        <v>90</v>
      </c>
      <c r="K177" s="7" t="s">
        <v>231</v>
      </c>
      <c r="L177" s="53">
        <f ca="1">IFERROR(HM_ZA_Nkossa!CA_gross_rev_oil_fp/HM_ZA_Nkossa!CA_gross_rev_total_fp,0)</f>
        <v>1</v>
      </c>
      <c r="M177" s="53">
        <f ca="1">IFERROR(HM_ZA_Nkossa!CA_gross_rev_oil_fp/HM_ZA_Nkossa!CA_gross_rev_total_fp,0)</f>
        <v>1</v>
      </c>
      <c r="N177" s="53">
        <f ca="1">IFERROR(HM_ZA_Nkossa!CA_gross_rev_oil_fp/HM_ZA_Nkossa!CA_gross_rev_total_fp,0)</f>
        <v>1</v>
      </c>
      <c r="O177" s="53">
        <f ca="1">IFERROR(HM_ZA_Nkossa!CA_gross_rev_oil_fp/HM_ZA_Nkossa!CA_gross_rev_total_fp,0)</f>
        <v>1</v>
      </c>
      <c r="P177" s="53">
        <f ca="1">IFERROR(HM_ZA_Nkossa!CA_gross_rev_oil_fp/HM_ZA_Nkossa!CA_gross_rev_total_fp,0)</f>
        <v>1</v>
      </c>
      <c r="Q177" s="53">
        <f ca="1">IFERROR(HM_ZA_Nkossa!CA_gross_rev_oil_fp/HM_ZA_Nkossa!CA_gross_rev_total_fp,0)</f>
        <v>1</v>
      </c>
      <c r="R177" s="53">
        <f ca="1">IFERROR(HM_ZA_Nkossa!CA_gross_rev_oil_fp/HM_ZA_Nkossa!CA_gross_rev_total_fp,0)</f>
        <v>1</v>
      </c>
      <c r="S177" s="53">
        <f ca="1">IFERROR(HM_ZA_Nkossa!CA_gross_rev_oil_fp/HM_ZA_Nkossa!CA_gross_rev_total_fp,0)</f>
        <v>1</v>
      </c>
      <c r="T177" s="53">
        <f ca="1">IFERROR(HM_ZA_Nkossa!CA_gross_rev_oil_fp/HM_ZA_Nkossa!CA_gross_rev_total_fp,0)</f>
        <v>1</v>
      </c>
      <c r="U177" s="53">
        <f ca="1">IFERROR(HM_ZA_Nkossa!CA_gross_rev_oil_fp/HM_ZA_Nkossa!CA_gross_rev_total_fp,0)</f>
        <v>1</v>
      </c>
      <c r="V177" s="53">
        <f ca="1">IFERROR(HM_ZA_Nkossa!CA_gross_rev_oil_fp/HM_ZA_Nkossa!CA_gross_rev_total_fp,0)</f>
        <v>1</v>
      </c>
      <c r="W177" s="53">
        <f ca="1">IFERROR(HM_ZA_Nkossa!CA_gross_rev_oil_fp/HM_ZA_Nkossa!CA_gross_rev_total_fp,0)</f>
        <v>1</v>
      </c>
      <c r="X177" s="53">
        <f ca="1">IFERROR(HM_ZA_Nkossa!CA_gross_rev_oil_fp/HM_ZA_Nkossa!CA_gross_rev_total_fp,0)</f>
        <v>1</v>
      </c>
      <c r="Y177" s="53">
        <f ca="1">IFERROR(HM_ZA_Nkossa!CA_gross_rev_oil_fp/HM_ZA_Nkossa!CA_gross_rev_total_fp,0)</f>
        <v>0</v>
      </c>
      <c r="Z177" s="53">
        <f ca="1">IFERROR(HM_ZA_Nkossa!CA_gross_rev_oil_fp/HM_ZA_Nkossa!CA_gross_rev_total_fp,0)</f>
        <v>0</v>
      </c>
      <c r="AA177" s="53">
        <f ca="1">IFERROR(HM_ZA_Nkossa!CA_gross_rev_oil_fp/HM_ZA_Nkossa!CA_gross_rev_total_fp,0)</f>
        <v>0</v>
      </c>
      <c r="AB177" s="53">
        <f ca="1">IFERROR(HM_ZA_Nkossa!CA_gross_rev_oil_fp/HM_ZA_Nkossa!CA_gross_rev_total_fp,0)</f>
        <v>0</v>
      </c>
      <c r="AC177" s="53">
        <f ca="1">IFERROR(HM_ZA_Nkossa!CA_gross_rev_oil_fp/HM_ZA_Nkossa!CA_gross_rev_total_fp,0)</f>
        <v>0</v>
      </c>
      <c r="AD177" s="53">
        <f ca="1">IFERROR(HM_ZA_Nkossa!CA_gross_rev_oil_fp/HM_ZA_Nkossa!CA_gross_rev_total_fp,0)</f>
        <v>0</v>
      </c>
      <c r="AE177" s="53">
        <f ca="1">IFERROR(HM_ZA_Nkossa!CA_gross_rev_oil_fp/HM_ZA_Nkossa!CA_gross_rev_total_fp,0)</f>
        <v>0</v>
      </c>
      <c r="AF177" s="53">
        <f ca="1">IFERROR(HM_ZA_Nkossa!CA_gross_rev_oil_fp/HM_ZA_Nkossa!CA_gross_rev_total_fp,0)</f>
        <v>0</v>
      </c>
      <c r="AG177" s="53">
        <f ca="1">IFERROR(HM_ZA_Nkossa!CA_gross_rev_oil_fp/HM_ZA_Nkossa!CA_gross_rev_total_fp,0)</f>
        <v>0</v>
      </c>
      <c r="AH177" s="53">
        <f ca="1">IFERROR(HM_ZA_Nkossa!CA_gross_rev_oil_fp/HM_ZA_Nkossa!CA_gross_rev_total_fp,0)</f>
        <v>0</v>
      </c>
      <c r="AI177" s="53">
        <f ca="1">IFERROR(HM_ZA_Nkossa!CA_gross_rev_oil_fp/HM_ZA_Nkossa!CA_gross_rev_total_fp,0)</f>
        <v>0</v>
      </c>
      <c r="AJ177" s="53">
        <f ca="1">IFERROR(HM_ZA_Nkossa!CA_gross_rev_oil_fp/HM_ZA_Nkossa!CA_gross_rev_total_fp,0)</f>
        <v>0</v>
      </c>
      <c r="AK177" s="53">
        <f ca="1">IFERROR(HM_ZA_Nkossa!CA_gross_rev_oil_fp/HM_ZA_Nkossa!CA_gross_rev_total_fp,0)</f>
        <v>0</v>
      </c>
      <c r="AL177" s="53">
        <f ca="1">IFERROR(HM_ZA_Nkossa!CA_gross_rev_oil_fp/HM_ZA_Nkossa!CA_gross_rev_total_fp,0)</f>
        <v>0</v>
      </c>
      <c r="AM177" s="53">
        <f ca="1">IFERROR(HM_ZA_Nkossa!CA_gross_rev_oil_fp/HM_ZA_Nkossa!CA_gross_rev_total_fp,0)</f>
        <v>0</v>
      </c>
      <c r="AN177" s="53">
        <f ca="1">IFERROR(HM_ZA_Nkossa!CA_gross_rev_oil_fp/HM_ZA_Nkossa!CA_gross_rev_total_fp,0)</f>
        <v>0</v>
      </c>
      <c r="AO177" s="53">
        <f ca="1">IFERROR(HM_ZA_Nkossa!CA_gross_rev_oil_fp/HM_ZA_Nkossa!CA_gross_rev_total_fp,0)</f>
        <v>0</v>
      </c>
      <c r="AP177" s="53">
        <f ca="1">IFERROR(HM_ZA_Nkossa!CA_gross_rev_oil_fp/HM_ZA_Nkossa!CA_gross_rev_total_fp,0)</f>
        <v>0</v>
      </c>
      <c r="AQ177" s="53">
        <f ca="1">IFERROR(HM_ZA_Nkossa!CA_gross_rev_oil_fp/HM_ZA_Nkossa!CA_gross_rev_total_fp,0)</f>
        <v>0</v>
      </c>
      <c r="AR177" s="53">
        <f ca="1">IFERROR(HM_ZA_Nkossa!CA_gross_rev_oil_fp/HM_ZA_Nkossa!CA_gross_rev_total_fp,0)</f>
        <v>0</v>
      </c>
      <c r="AS177" s="53">
        <f ca="1">IFERROR(HM_ZA_Nkossa!CA_gross_rev_oil_fp/HM_ZA_Nkossa!CA_gross_rev_total_fp,0)</f>
        <v>0</v>
      </c>
      <c r="AT177" s="53">
        <f ca="1">IFERROR(HM_ZA_Nkossa!CA_gross_rev_oil_fp/HM_ZA_Nkossa!CA_gross_rev_total_fp,0)</f>
        <v>0</v>
      </c>
      <c r="AU177" s="53">
        <f ca="1">IFERROR(HM_ZA_Nkossa!CA_gross_rev_oil_fp/HM_ZA_Nkossa!CA_gross_rev_total_fp,0)</f>
        <v>0</v>
      </c>
      <c r="AV177" s="53">
        <f ca="1">IFERROR(HM_ZA_Nkossa!CA_gross_rev_oil_fp/HM_ZA_Nkossa!CA_gross_rev_total_fp,0)</f>
        <v>0</v>
      </c>
      <c r="AW177" s="53">
        <f ca="1">IFERROR(HM_ZA_Nkossa!CA_gross_rev_oil_fp/HM_ZA_Nkossa!CA_gross_rev_total_fp,0)</f>
        <v>0</v>
      </c>
      <c r="AX177" s="53">
        <f ca="1">IFERROR(HM_ZA_Nkossa!CA_gross_rev_oil_fp/HM_ZA_Nkossa!CA_gross_rev_total_fp,0)</f>
        <v>0</v>
      </c>
      <c r="AY177" s="53">
        <f ca="1">IFERROR(HM_ZA_Nkossa!CA_gross_rev_oil_fp/HM_ZA_Nkossa!CA_gross_rev_total_fp,0)</f>
        <v>0</v>
      </c>
      <c r="AZ177" s="53">
        <f ca="1">IFERROR(HM_ZA_Nkossa!CA_gross_rev_oil_fp/HM_ZA_Nkossa!CA_gross_rev_total_fp,0)</f>
        <v>0</v>
      </c>
      <c r="BA177" s="53">
        <f ca="1">IFERROR(HM_ZA_Nkossa!CA_gross_rev_oil_fp/HM_ZA_Nkossa!CA_gross_rev_total_fp,0)</f>
        <v>0</v>
      </c>
      <c r="BB177" s="53">
        <f ca="1">IFERROR(HM_ZA_Nkossa!CA_gross_rev_oil_fp/HM_ZA_Nkossa!CA_gross_rev_total_fp,0)</f>
        <v>0</v>
      </c>
      <c r="BC177" s="53">
        <f ca="1">IFERROR(HM_ZA_Nkossa!CA_gross_rev_oil_fp/HM_ZA_Nkossa!CA_gross_rev_total_fp,0)</f>
        <v>0</v>
      </c>
      <c r="BD177" s="53">
        <f ca="1">IFERROR(HM_ZA_Nkossa!CA_gross_rev_oil_fp/HM_ZA_Nkossa!CA_gross_rev_total_fp,0)</f>
        <v>0</v>
      </c>
      <c r="BE177" s="53">
        <f ca="1">IFERROR(HM_ZA_Nkossa!CA_gross_rev_oil_fp/HM_ZA_Nkossa!CA_gross_rev_total_fp,0)</f>
        <v>0</v>
      </c>
      <c r="BF177" s="53">
        <f ca="1">IFERROR(HM_ZA_Nkossa!CA_gross_rev_oil_fp/HM_ZA_Nkossa!CA_gross_rev_total_fp,0)</f>
        <v>0</v>
      </c>
      <c r="BG177" s="53">
        <f ca="1">IFERROR(HM_ZA_Nkossa!CA_gross_rev_oil_fp/HM_ZA_Nkossa!CA_gross_rev_total_fp,0)</f>
        <v>0</v>
      </c>
      <c r="BH177" s="53">
        <f ca="1">IFERROR(HM_ZA_Nkossa!CA_gross_rev_oil_fp/HM_ZA_Nkossa!CA_gross_rev_total_fp,0)</f>
        <v>0</v>
      </c>
      <c r="BI177" s="53">
        <f ca="1">IFERROR(HM_ZA_Nkossa!CA_gross_rev_oil_fp/HM_ZA_Nkossa!CA_gross_rev_total_fp,0)</f>
        <v>0</v>
      </c>
      <c r="BJ177" s="53">
        <f ca="1">IFERROR(HM_ZA_Nkossa!CA_gross_rev_oil_fp/HM_ZA_Nkossa!CA_gross_rev_total_fp,0)</f>
        <v>0</v>
      </c>
      <c r="BK177" s="53">
        <f ca="1">IFERROR(HM_ZA_Nkossa!CA_gross_rev_oil_fp/HM_ZA_Nkossa!CA_gross_rev_total_fp,0)</f>
        <v>0</v>
      </c>
      <c r="BL177" s="53">
        <f ca="1">IFERROR(HM_ZA_Nkossa!CA_gross_rev_oil_fp/HM_ZA_Nkossa!CA_gross_rev_total_fp,0)</f>
        <v>0</v>
      </c>
      <c r="BM177" s="53">
        <f ca="1">IFERROR(HM_ZA_Nkossa!CA_gross_rev_oil_fp/HM_ZA_Nkossa!CA_gross_rev_total_fp,0)</f>
        <v>0</v>
      </c>
      <c r="BN177" s="53">
        <f ca="1">IFERROR(HM_ZA_Nkossa!CA_gross_rev_oil_fp/HM_ZA_Nkossa!CA_gross_rev_total_fp,0)</f>
        <v>0</v>
      </c>
      <c r="BO177" s="53">
        <f ca="1">IFERROR(HM_ZA_Nkossa!CA_gross_rev_oil_fp/HM_ZA_Nkossa!CA_gross_rev_total_fp,0)</f>
        <v>0</v>
      </c>
      <c r="BP177" s="53">
        <f ca="1">IFERROR(HM_ZA_Nkossa!CA_gross_rev_oil_fp/HM_ZA_Nkossa!CA_gross_rev_total_fp,0)</f>
        <v>0</v>
      </c>
      <c r="BQ177" s="53">
        <f ca="1">IFERROR(HM_ZA_Nkossa!CA_gross_rev_oil_fp/HM_ZA_Nkossa!CA_gross_rev_total_fp,0)</f>
        <v>0</v>
      </c>
      <c r="BR177" s="53">
        <f ca="1">IFERROR(HM_ZA_Nkossa!CA_gross_rev_oil_fp/HM_ZA_Nkossa!CA_gross_rev_total_fp,0)</f>
        <v>0</v>
      </c>
      <c r="BS177" s="53">
        <f ca="1">IFERROR(HM_ZA_Nkossa!CA_gross_rev_oil_fp/HM_ZA_Nkossa!CA_gross_rev_total_fp,0)</f>
        <v>0</v>
      </c>
    </row>
    <row r="178" spans="1:71" outlineLevel="1" x14ac:dyDescent="0.2">
      <c r="D178" t="str">
        <f>CHOOSE(db_ML_selected,'Liste Traduction'!B296,'Liste Traduction'!C296)</f>
        <v>Part du gaz dans le revenu total</v>
      </c>
      <c r="I178" s="58">
        <f ca="1">IFERROR(I164/$I$165,0)</f>
        <v>0</v>
      </c>
      <c r="J178" s="26" t="s">
        <v>90</v>
      </c>
      <c r="K178" s="7" t="s">
        <v>232</v>
      </c>
      <c r="L178" s="53">
        <f ca="1">IFERROR(HM_ZA_Nkossa!CA_gross_rev_gas_fp/HM_ZA_Nkossa!CA_gross_rev_total_fp,0)</f>
        <v>0</v>
      </c>
      <c r="M178" s="53">
        <f ca="1">IFERROR(HM_ZA_Nkossa!CA_gross_rev_gas_fp/HM_ZA_Nkossa!CA_gross_rev_total_fp,0)</f>
        <v>0</v>
      </c>
      <c r="N178" s="53">
        <f ca="1">IFERROR(HM_ZA_Nkossa!CA_gross_rev_gas_fp/HM_ZA_Nkossa!CA_gross_rev_total_fp,0)</f>
        <v>0</v>
      </c>
      <c r="O178" s="53">
        <f ca="1">IFERROR(HM_ZA_Nkossa!CA_gross_rev_gas_fp/HM_ZA_Nkossa!CA_gross_rev_total_fp,0)</f>
        <v>0</v>
      </c>
      <c r="P178" s="53">
        <f ca="1">IFERROR(HM_ZA_Nkossa!CA_gross_rev_gas_fp/HM_ZA_Nkossa!CA_gross_rev_total_fp,0)</f>
        <v>0</v>
      </c>
      <c r="Q178" s="53">
        <f ca="1">IFERROR(HM_ZA_Nkossa!CA_gross_rev_gas_fp/HM_ZA_Nkossa!CA_gross_rev_total_fp,0)</f>
        <v>0</v>
      </c>
      <c r="R178" s="53">
        <f ca="1">IFERROR(HM_ZA_Nkossa!CA_gross_rev_gas_fp/HM_ZA_Nkossa!CA_gross_rev_total_fp,0)</f>
        <v>0</v>
      </c>
      <c r="S178" s="53">
        <f ca="1">IFERROR(HM_ZA_Nkossa!CA_gross_rev_gas_fp/HM_ZA_Nkossa!CA_gross_rev_total_fp,0)</f>
        <v>0</v>
      </c>
      <c r="T178" s="53">
        <f ca="1">IFERROR(HM_ZA_Nkossa!CA_gross_rev_gas_fp/HM_ZA_Nkossa!CA_gross_rev_total_fp,0)</f>
        <v>0</v>
      </c>
      <c r="U178" s="53">
        <f ca="1">IFERROR(HM_ZA_Nkossa!CA_gross_rev_gas_fp/HM_ZA_Nkossa!CA_gross_rev_total_fp,0)</f>
        <v>0</v>
      </c>
      <c r="V178" s="53">
        <f ca="1">IFERROR(HM_ZA_Nkossa!CA_gross_rev_gas_fp/HM_ZA_Nkossa!CA_gross_rev_total_fp,0)</f>
        <v>0</v>
      </c>
      <c r="W178" s="53">
        <f ca="1">IFERROR(HM_ZA_Nkossa!CA_gross_rev_gas_fp/HM_ZA_Nkossa!CA_gross_rev_total_fp,0)</f>
        <v>0</v>
      </c>
      <c r="X178" s="53">
        <f ca="1">IFERROR(HM_ZA_Nkossa!CA_gross_rev_gas_fp/HM_ZA_Nkossa!CA_gross_rev_total_fp,0)</f>
        <v>0</v>
      </c>
      <c r="Y178" s="53">
        <f ca="1">IFERROR(HM_ZA_Nkossa!CA_gross_rev_gas_fp/HM_ZA_Nkossa!CA_gross_rev_total_fp,0)</f>
        <v>0</v>
      </c>
      <c r="Z178" s="53">
        <f ca="1">IFERROR(HM_ZA_Nkossa!CA_gross_rev_gas_fp/HM_ZA_Nkossa!CA_gross_rev_total_fp,0)</f>
        <v>0</v>
      </c>
      <c r="AA178" s="53">
        <f ca="1">IFERROR(HM_ZA_Nkossa!CA_gross_rev_gas_fp/HM_ZA_Nkossa!CA_gross_rev_total_fp,0)</f>
        <v>0</v>
      </c>
      <c r="AB178" s="53">
        <f ca="1">IFERROR(HM_ZA_Nkossa!CA_gross_rev_gas_fp/HM_ZA_Nkossa!CA_gross_rev_total_fp,0)</f>
        <v>0</v>
      </c>
      <c r="AC178" s="53">
        <f ca="1">IFERROR(HM_ZA_Nkossa!CA_gross_rev_gas_fp/HM_ZA_Nkossa!CA_gross_rev_total_fp,0)</f>
        <v>0</v>
      </c>
      <c r="AD178" s="53">
        <f ca="1">IFERROR(HM_ZA_Nkossa!CA_gross_rev_gas_fp/HM_ZA_Nkossa!CA_gross_rev_total_fp,0)</f>
        <v>0</v>
      </c>
      <c r="AE178" s="53">
        <f ca="1">IFERROR(HM_ZA_Nkossa!CA_gross_rev_gas_fp/HM_ZA_Nkossa!CA_gross_rev_total_fp,0)</f>
        <v>0</v>
      </c>
      <c r="AF178" s="53">
        <f ca="1">IFERROR(HM_ZA_Nkossa!CA_gross_rev_gas_fp/HM_ZA_Nkossa!CA_gross_rev_total_fp,0)</f>
        <v>0</v>
      </c>
      <c r="AG178" s="53">
        <f ca="1">IFERROR(HM_ZA_Nkossa!CA_gross_rev_gas_fp/HM_ZA_Nkossa!CA_gross_rev_total_fp,0)</f>
        <v>0</v>
      </c>
      <c r="AH178" s="53">
        <f ca="1">IFERROR(HM_ZA_Nkossa!CA_gross_rev_gas_fp/HM_ZA_Nkossa!CA_gross_rev_total_fp,0)</f>
        <v>0</v>
      </c>
      <c r="AI178" s="53">
        <f ca="1">IFERROR(HM_ZA_Nkossa!CA_gross_rev_gas_fp/HM_ZA_Nkossa!CA_gross_rev_total_fp,0)</f>
        <v>0</v>
      </c>
      <c r="AJ178" s="53">
        <f ca="1">IFERROR(HM_ZA_Nkossa!CA_gross_rev_gas_fp/HM_ZA_Nkossa!CA_gross_rev_total_fp,0)</f>
        <v>0</v>
      </c>
      <c r="AK178" s="53">
        <f ca="1">IFERROR(HM_ZA_Nkossa!CA_gross_rev_gas_fp/HM_ZA_Nkossa!CA_gross_rev_total_fp,0)</f>
        <v>0</v>
      </c>
      <c r="AL178" s="53">
        <f ca="1">IFERROR(HM_ZA_Nkossa!CA_gross_rev_gas_fp/HM_ZA_Nkossa!CA_gross_rev_total_fp,0)</f>
        <v>0</v>
      </c>
      <c r="AM178" s="53">
        <f ca="1">IFERROR(HM_ZA_Nkossa!CA_gross_rev_gas_fp/HM_ZA_Nkossa!CA_gross_rev_total_fp,0)</f>
        <v>0</v>
      </c>
      <c r="AN178" s="53">
        <f ca="1">IFERROR(HM_ZA_Nkossa!CA_gross_rev_gas_fp/HM_ZA_Nkossa!CA_gross_rev_total_fp,0)</f>
        <v>0</v>
      </c>
      <c r="AO178" s="53">
        <f ca="1">IFERROR(HM_ZA_Nkossa!CA_gross_rev_gas_fp/HM_ZA_Nkossa!CA_gross_rev_total_fp,0)</f>
        <v>0</v>
      </c>
      <c r="AP178" s="53">
        <f ca="1">IFERROR(HM_ZA_Nkossa!CA_gross_rev_gas_fp/HM_ZA_Nkossa!CA_gross_rev_total_fp,0)</f>
        <v>0</v>
      </c>
      <c r="AQ178" s="53">
        <f ca="1">IFERROR(HM_ZA_Nkossa!CA_gross_rev_gas_fp/HM_ZA_Nkossa!CA_gross_rev_total_fp,0)</f>
        <v>0</v>
      </c>
      <c r="AR178" s="53">
        <f ca="1">IFERROR(HM_ZA_Nkossa!CA_gross_rev_gas_fp/HM_ZA_Nkossa!CA_gross_rev_total_fp,0)</f>
        <v>0</v>
      </c>
      <c r="AS178" s="53">
        <f ca="1">IFERROR(HM_ZA_Nkossa!CA_gross_rev_gas_fp/HM_ZA_Nkossa!CA_gross_rev_total_fp,0)</f>
        <v>0</v>
      </c>
      <c r="AT178" s="53">
        <f ca="1">IFERROR(HM_ZA_Nkossa!CA_gross_rev_gas_fp/HM_ZA_Nkossa!CA_gross_rev_total_fp,0)</f>
        <v>0</v>
      </c>
      <c r="AU178" s="53">
        <f ca="1">IFERROR(HM_ZA_Nkossa!CA_gross_rev_gas_fp/HM_ZA_Nkossa!CA_gross_rev_total_fp,0)</f>
        <v>0</v>
      </c>
      <c r="AV178" s="53">
        <f ca="1">IFERROR(HM_ZA_Nkossa!CA_gross_rev_gas_fp/HM_ZA_Nkossa!CA_gross_rev_total_fp,0)</f>
        <v>0</v>
      </c>
      <c r="AW178" s="53">
        <f ca="1">IFERROR(HM_ZA_Nkossa!CA_gross_rev_gas_fp/HM_ZA_Nkossa!CA_gross_rev_total_fp,0)</f>
        <v>0</v>
      </c>
      <c r="AX178" s="53">
        <f ca="1">IFERROR(HM_ZA_Nkossa!CA_gross_rev_gas_fp/HM_ZA_Nkossa!CA_gross_rev_total_fp,0)</f>
        <v>0</v>
      </c>
      <c r="AY178" s="53">
        <f ca="1">IFERROR(HM_ZA_Nkossa!CA_gross_rev_gas_fp/HM_ZA_Nkossa!CA_gross_rev_total_fp,0)</f>
        <v>0</v>
      </c>
      <c r="AZ178" s="53">
        <f ca="1">IFERROR(HM_ZA_Nkossa!CA_gross_rev_gas_fp/HM_ZA_Nkossa!CA_gross_rev_total_fp,0)</f>
        <v>0</v>
      </c>
      <c r="BA178" s="53">
        <f ca="1">IFERROR(HM_ZA_Nkossa!CA_gross_rev_gas_fp/HM_ZA_Nkossa!CA_gross_rev_total_fp,0)</f>
        <v>0</v>
      </c>
      <c r="BB178" s="53">
        <f ca="1">IFERROR(HM_ZA_Nkossa!CA_gross_rev_gas_fp/HM_ZA_Nkossa!CA_gross_rev_total_fp,0)</f>
        <v>0</v>
      </c>
      <c r="BC178" s="53">
        <f ca="1">IFERROR(HM_ZA_Nkossa!CA_gross_rev_gas_fp/HM_ZA_Nkossa!CA_gross_rev_total_fp,0)</f>
        <v>0</v>
      </c>
      <c r="BD178" s="53">
        <f ca="1">IFERROR(HM_ZA_Nkossa!CA_gross_rev_gas_fp/HM_ZA_Nkossa!CA_gross_rev_total_fp,0)</f>
        <v>0</v>
      </c>
      <c r="BE178" s="53">
        <f ca="1">IFERROR(HM_ZA_Nkossa!CA_gross_rev_gas_fp/HM_ZA_Nkossa!CA_gross_rev_total_fp,0)</f>
        <v>0</v>
      </c>
      <c r="BF178" s="53">
        <f ca="1">IFERROR(HM_ZA_Nkossa!CA_gross_rev_gas_fp/HM_ZA_Nkossa!CA_gross_rev_total_fp,0)</f>
        <v>0</v>
      </c>
      <c r="BG178" s="53">
        <f ca="1">IFERROR(HM_ZA_Nkossa!CA_gross_rev_gas_fp/HM_ZA_Nkossa!CA_gross_rev_total_fp,0)</f>
        <v>0</v>
      </c>
      <c r="BH178" s="53">
        <f ca="1">IFERROR(HM_ZA_Nkossa!CA_gross_rev_gas_fp/HM_ZA_Nkossa!CA_gross_rev_total_fp,0)</f>
        <v>0</v>
      </c>
      <c r="BI178" s="53">
        <f ca="1">IFERROR(HM_ZA_Nkossa!CA_gross_rev_gas_fp/HM_ZA_Nkossa!CA_gross_rev_total_fp,0)</f>
        <v>0</v>
      </c>
      <c r="BJ178" s="53">
        <f ca="1">IFERROR(HM_ZA_Nkossa!CA_gross_rev_gas_fp/HM_ZA_Nkossa!CA_gross_rev_total_fp,0)</f>
        <v>0</v>
      </c>
      <c r="BK178" s="53">
        <f ca="1">IFERROR(HM_ZA_Nkossa!CA_gross_rev_gas_fp/HM_ZA_Nkossa!CA_gross_rev_total_fp,0)</f>
        <v>0</v>
      </c>
      <c r="BL178" s="53">
        <f ca="1">IFERROR(HM_ZA_Nkossa!CA_gross_rev_gas_fp/HM_ZA_Nkossa!CA_gross_rev_total_fp,0)</f>
        <v>0</v>
      </c>
      <c r="BM178" s="53">
        <f ca="1">IFERROR(HM_ZA_Nkossa!CA_gross_rev_gas_fp/HM_ZA_Nkossa!CA_gross_rev_total_fp,0)</f>
        <v>0</v>
      </c>
      <c r="BN178" s="53">
        <f ca="1">IFERROR(HM_ZA_Nkossa!CA_gross_rev_gas_fp/HM_ZA_Nkossa!CA_gross_rev_total_fp,0)</f>
        <v>0</v>
      </c>
      <c r="BO178" s="53">
        <f ca="1">IFERROR(HM_ZA_Nkossa!CA_gross_rev_gas_fp/HM_ZA_Nkossa!CA_gross_rev_total_fp,0)</f>
        <v>0</v>
      </c>
      <c r="BP178" s="53">
        <f ca="1">IFERROR(HM_ZA_Nkossa!CA_gross_rev_gas_fp/HM_ZA_Nkossa!CA_gross_rev_total_fp,0)</f>
        <v>0</v>
      </c>
      <c r="BQ178" s="53">
        <f ca="1">IFERROR(HM_ZA_Nkossa!CA_gross_rev_gas_fp/HM_ZA_Nkossa!CA_gross_rev_total_fp,0)</f>
        <v>0</v>
      </c>
      <c r="BR178" s="53">
        <f ca="1">IFERROR(HM_ZA_Nkossa!CA_gross_rev_gas_fp/HM_ZA_Nkossa!CA_gross_rev_total_fp,0)</f>
        <v>0</v>
      </c>
      <c r="BS178" s="53">
        <f ca="1">IFERROR(HM_ZA_Nkossa!CA_gross_rev_gas_fp/HM_ZA_Nkossa!CA_gross_rev_total_fp,0)</f>
        <v>0</v>
      </c>
    </row>
    <row r="179" spans="1:71" outlineLevel="1" x14ac:dyDescent="0.2">
      <c r="J179" s="26"/>
      <c r="L179" s="55"/>
      <c r="M179" s="55"/>
      <c r="N179" s="55"/>
      <c r="O179" s="55"/>
      <c r="P179" s="55"/>
      <c r="Q179" s="55"/>
      <c r="R179" s="55"/>
      <c r="S179" s="55"/>
      <c r="T179" s="55"/>
      <c r="U179" s="55"/>
      <c r="V179" s="55"/>
      <c r="W179" s="55"/>
      <c r="X179" s="55"/>
      <c r="Y179" s="55"/>
      <c r="Z179" s="55"/>
      <c r="AA179" s="55"/>
      <c r="AB179" s="55"/>
      <c r="AC179" s="55"/>
      <c r="AD179" s="55"/>
      <c r="AE179" s="55"/>
      <c r="AF179" s="55"/>
      <c r="AG179" s="55"/>
      <c r="AH179" s="55"/>
      <c r="AI179" s="55"/>
      <c r="AJ179" s="55"/>
      <c r="AK179" s="55"/>
      <c r="AL179" s="55"/>
      <c r="AM179" s="55"/>
      <c r="AN179" s="55"/>
      <c r="AO179" s="55"/>
      <c r="AP179" s="55"/>
      <c r="AQ179" s="55"/>
      <c r="AR179" s="55"/>
      <c r="AS179" s="55"/>
      <c r="AT179" s="55"/>
      <c r="AU179" s="55"/>
      <c r="AV179" s="55"/>
      <c r="AW179" s="55"/>
      <c r="AX179" s="55"/>
      <c r="AY179" s="55"/>
      <c r="AZ179" s="55"/>
      <c r="BA179" s="55"/>
      <c r="BB179" s="55"/>
      <c r="BC179" s="55"/>
      <c r="BD179" s="55"/>
      <c r="BE179" s="55"/>
      <c r="BF179" s="55"/>
      <c r="BG179" s="55"/>
      <c r="BH179" s="55"/>
      <c r="BI179" s="55"/>
      <c r="BJ179" s="55"/>
      <c r="BK179" s="55"/>
      <c r="BL179" s="55"/>
      <c r="BM179" s="55"/>
      <c r="BN179" s="55"/>
      <c r="BO179" s="55"/>
      <c r="BP179" s="55"/>
      <c r="BQ179" s="55"/>
      <c r="BR179" s="55"/>
      <c r="BS179" s="55"/>
    </row>
    <row r="180" spans="1:71" outlineLevel="1" x14ac:dyDescent="0.2">
      <c r="J180" s="26"/>
      <c r="L180" s="55"/>
      <c r="M180" s="55"/>
      <c r="N180" s="55"/>
      <c r="O180" s="55"/>
      <c r="P180" s="55"/>
      <c r="Q180" s="55"/>
      <c r="R180" s="55"/>
      <c r="S180" s="55"/>
      <c r="T180" s="55"/>
      <c r="U180" s="55"/>
      <c r="V180" s="55"/>
      <c r="W180" s="55"/>
      <c r="X180" s="55"/>
      <c r="Y180" s="55"/>
      <c r="Z180" s="55"/>
      <c r="AA180" s="55"/>
      <c r="AB180" s="55"/>
      <c r="AC180" s="55"/>
      <c r="AD180" s="55"/>
      <c r="AE180" s="55"/>
      <c r="AF180" s="55"/>
      <c r="AG180" s="55"/>
      <c r="AH180" s="55"/>
      <c r="AI180" s="55"/>
      <c r="AJ180" s="55"/>
      <c r="AK180" s="55"/>
      <c r="AL180" s="55"/>
      <c r="AM180" s="55"/>
      <c r="AN180" s="55"/>
      <c r="AO180" s="55"/>
      <c r="AP180" s="55"/>
      <c r="AQ180" s="55"/>
      <c r="AR180" s="55"/>
      <c r="AS180" s="55"/>
      <c r="AT180" s="55"/>
      <c r="AU180" s="55"/>
      <c r="AV180" s="55"/>
      <c r="AW180" s="55"/>
      <c r="AX180" s="55"/>
      <c r="AY180" s="55"/>
      <c r="AZ180" s="55"/>
      <c r="BA180" s="55"/>
      <c r="BB180" s="55"/>
      <c r="BC180" s="55"/>
      <c r="BD180" s="55"/>
      <c r="BE180" s="55"/>
      <c r="BF180" s="55"/>
      <c r="BG180" s="55"/>
      <c r="BH180" s="55"/>
      <c r="BI180" s="55"/>
      <c r="BJ180" s="55"/>
      <c r="BK180" s="55"/>
      <c r="BL180" s="55"/>
      <c r="BM180" s="55"/>
      <c r="BN180" s="55"/>
      <c r="BO180" s="55"/>
      <c r="BP180" s="55"/>
      <c r="BQ180" s="55"/>
      <c r="BR180" s="55"/>
      <c r="BS180" s="55"/>
    </row>
    <row r="181" spans="1:71" outlineLevel="1" x14ac:dyDescent="0.2">
      <c r="J181" s="26"/>
      <c r="L181" s="55"/>
      <c r="M181" s="55"/>
      <c r="N181" s="55"/>
      <c r="O181" s="55"/>
      <c r="P181" s="55"/>
      <c r="Q181" s="55"/>
      <c r="R181" s="55"/>
      <c r="S181" s="55"/>
      <c r="T181" s="55"/>
      <c r="U181" s="55"/>
      <c r="V181" s="55"/>
      <c r="W181" s="55"/>
      <c r="X181" s="55"/>
      <c r="Y181" s="55"/>
      <c r="Z181" s="55"/>
      <c r="AA181" s="55"/>
      <c r="AB181" s="55"/>
      <c r="AC181" s="55"/>
      <c r="AD181" s="55"/>
      <c r="AE181" s="55"/>
      <c r="AF181" s="55"/>
      <c r="AG181" s="55"/>
      <c r="AH181" s="55"/>
      <c r="AI181" s="55"/>
      <c r="AJ181" s="55"/>
      <c r="AK181" s="55"/>
      <c r="AL181" s="55"/>
      <c r="AM181" s="55"/>
      <c r="AN181" s="55"/>
      <c r="AO181" s="55"/>
      <c r="AP181" s="55"/>
      <c r="AQ181" s="55"/>
      <c r="AR181" s="55"/>
      <c r="AS181" s="55"/>
      <c r="AT181" s="55"/>
      <c r="AU181" s="55"/>
      <c r="AV181" s="55"/>
      <c r="AW181" s="55"/>
      <c r="AX181" s="55"/>
      <c r="AY181" s="55"/>
      <c r="AZ181" s="55"/>
      <c r="BA181" s="55"/>
      <c r="BB181" s="55"/>
      <c r="BC181" s="55"/>
      <c r="BD181" s="55"/>
      <c r="BE181" s="55"/>
      <c r="BF181" s="55"/>
      <c r="BG181" s="55"/>
      <c r="BH181" s="55"/>
      <c r="BI181" s="55"/>
      <c r="BJ181" s="55"/>
      <c r="BK181" s="55"/>
      <c r="BL181" s="55"/>
      <c r="BM181" s="55"/>
      <c r="BN181" s="55"/>
      <c r="BO181" s="55"/>
      <c r="BP181" s="55"/>
      <c r="BQ181" s="55"/>
      <c r="BR181" s="55"/>
      <c r="BS181" s="55"/>
    </row>
    <row r="182" spans="1:71" outlineLevel="1" x14ac:dyDescent="0.2">
      <c r="A182" s="45"/>
      <c r="B182" s="38" t="str">
        <f>CHOOSE(db_ML_selected,'Liste Traduction'!B199,'Liste Traduction'!C199)</f>
        <v>Coûts d'exploitation</v>
      </c>
      <c r="C182" s="45"/>
      <c r="D182" s="45"/>
      <c r="E182" s="45"/>
      <c r="J182" s="26"/>
      <c r="L182" s="55"/>
      <c r="M182" s="55"/>
      <c r="N182" s="55"/>
      <c r="O182" s="55"/>
      <c r="P182" s="55"/>
      <c r="Q182" s="55"/>
      <c r="R182" s="55"/>
      <c r="S182" s="55"/>
      <c r="T182" s="55"/>
      <c r="U182" s="55"/>
      <c r="V182" s="55"/>
      <c r="W182" s="55"/>
      <c r="X182" s="55"/>
      <c r="Y182" s="55"/>
      <c r="Z182" s="55"/>
      <c r="AA182" s="55"/>
      <c r="AB182" s="55"/>
      <c r="AC182" s="55"/>
      <c r="AD182" s="55"/>
      <c r="AE182" s="55"/>
      <c r="AF182" s="55"/>
      <c r="AG182" s="55"/>
      <c r="AH182" s="55"/>
      <c r="AI182" s="55"/>
      <c r="AJ182" s="55"/>
      <c r="AK182" s="55"/>
      <c r="AL182" s="55"/>
      <c r="AM182" s="55"/>
      <c r="AN182" s="55"/>
      <c r="AO182" s="55"/>
      <c r="AP182" s="55"/>
      <c r="AQ182" s="55"/>
      <c r="AR182" s="55"/>
      <c r="AS182" s="55"/>
      <c r="AT182" s="55"/>
      <c r="AU182" s="55"/>
      <c r="AV182" s="55"/>
      <c r="AW182" s="55"/>
      <c r="AX182" s="55"/>
      <c r="AY182" s="55"/>
      <c r="AZ182" s="55"/>
      <c r="BA182" s="55"/>
      <c r="BB182" s="55"/>
      <c r="BC182" s="55"/>
      <c r="BD182" s="55"/>
      <c r="BE182" s="55"/>
      <c r="BF182" s="55"/>
      <c r="BG182" s="55"/>
      <c r="BH182" s="55"/>
      <c r="BI182" s="55"/>
      <c r="BJ182" s="55"/>
      <c r="BK182" s="55"/>
      <c r="BL182" s="55"/>
      <c r="BM182" s="55"/>
      <c r="BN182" s="55"/>
      <c r="BO182" s="55"/>
      <c r="BP182" s="55"/>
      <c r="BQ182" s="55"/>
      <c r="BR182" s="55"/>
      <c r="BS182" s="55"/>
    </row>
    <row r="183" spans="1:71" outlineLevel="1" x14ac:dyDescent="0.2">
      <c r="J183" s="26"/>
      <c r="L183" s="55"/>
      <c r="M183" s="55"/>
      <c r="N183" s="55"/>
      <c r="O183" s="55"/>
      <c r="P183" s="55"/>
      <c r="Q183" s="55"/>
      <c r="R183" s="55"/>
      <c r="S183" s="55"/>
      <c r="T183" s="55"/>
      <c r="U183" s="55"/>
      <c r="V183" s="55"/>
      <c r="W183" s="55"/>
      <c r="X183" s="55"/>
      <c r="Y183" s="55"/>
      <c r="Z183" s="55"/>
      <c r="AA183" s="55"/>
      <c r="AB183" s="55"/>
      <c r="AC183" s="55"/>
      <c r="AD183" s="55"/>
      <c r="AE183" s="55"/>
      <c r="AF183" s="55"/>
      <c r="AG183" s="55"/>
      <c r="AH183" s="55"/>
      <c r="AI183" s="55"/>
      <c r="AJ183" s="55"/>
      <c r="AK183" s="55"/>
      <c r="AL183" s="55"/>
      <c r="AM183" s="55"/>
      <c r="AN183" s="55"/>
      <c r="AO183" s="55"/>
      <c r="AP183" s="55"/>
      <c r="AQ183" s="55"/>
      <c r="AR183" s="55"/>
      <c r="AS183" s="55"/>
      <c r="AT183" s="55"/>
      <c r="AU183" s="55"/>
      <c r="AV183" s="55"/>
      <c r="AW183" s="55"/>
      <c r="AX183" s="55"/>
      <c r="AY183" s="55"/>
      <c r="AZ183" s="55"/>
      <c r="BA183" s="55"/>
      <c r="BB183" s="55"/>
      <c r="BC183" s="55"/>
      <c r="BD183" s="55"/>
      <c r="BE183" s="55"/>
      <c r="BF183" s="55"/>
      <c r="BG183" s="55"/>
      <c r="BH183" s="55"/>
      <c r="BI183" s="55"/>
      <c r="BJ183" s="55"/>
      <c r="BK183" s="55"/>
      <c r="BL183" s="55"/>
      <c r="BM183" s="55"/>
      <c r="BN183" s="55"/>
      <c r="BO183" s="55"/>
      <c r="BP183" s="55"/>
      <c r="BQ183" s="55"/>
      <c r="BR183" s="55"/>
      <c r="BS183" s="55"/>
    </row>
    <row r="184" spans="1:71" outlineLevel="1" x14ac:dyDescent="0.2">
      <c r="C184" s="11" t="str">
        <f>CHOOSE(db_ML_selected,'Liste Traduction'!B297,'Liste Traduction'!C297)</f>
        <v>Coûts variables</v>
      </c>
      <c r="J184" s="26"/>
      <c r="L184" s="55"/>
      <c r="M184" s="55"/>
      <c r="N184" s="55"/>
      <c r="O184" s="55"/>
      <c r="P184" s="55"/>
      <c r="Q184" s="55"/>
      <c r="R184" s="55"/>
      <c r="S184" s="55"/>
      <c r="T184" s="55"/>
      <c r="U184" s="55"/>
      <c r="V184" s="55"/>
      <c r="W184" s="55"/>
      <c r="X184" s="55"/>
      <c r="Y184" s="55"/>
      <c r="Z184" s="55"/>
      <c r="AA184" s="55"/>
      <c r="AB184" s="55"/>
      <c r="AC184" s="55"/>
      <c r="AD184" s="55"/>
      <c r="AE184" s="55"/>
      <c r="AF184" s="55"/>
      <c r="AG184" s="55"/>
      <c r="AH184" s="55"/>
      <c r="AI184" s="55"/>
      <c r="AJ184" s="55"/>
      <c r="AK184" s="55"/>
      <c r="AL184" s="55"/>
      <c r="AM184" s="55"/>
      <c r="AN184" s="55"/>
      <c r="AO184" s="55"/>
      <c r="AP184" s="55"/>
      <c r="AQ184" s="55"/>
      <c r="AR184" s="55"/>
      <c r="AS184" s="55"/>
      <c r="AT184" s="55"/>
      <c r="AU184" s="55"/>
      <c r="AV184" s="55"/>
      <c r="AW184" s="55"/>
      <c r="AX184" s="55"/>
      <c r="AY184" s="55"/>
      <c r="AZ184" s="55"/>
      <c r="BA184" s="55"/>
      <c r="BB184" s="55"/>
      <c r="BC184" s="55"/>
      <c r="BD184" s="55"/>
      <c r="BE184" s="55"/>
      <c r="BF184" s="55"/>
      <c r="BG184" s="55"/>
      <c r="BH184" s="55"/>
      <c r="BI184" s="55"/>
      <c r="BJ184" s="55"/>
      <c r="BK184" s="55"/>
      <c r="BL184" s="55"/>
      <c r="BM184" s="55"/>
      <c r="BN184" s="55"/>
      <c r="BO184" s="55"/>
      <c r="BP184" s="55"/>
      <c r="BQ184" s="55"/>
      <c r="BR184" s="55"/>
      <c r="BS184" s="55"/>
    </row>
    <row r="185" spans="1:71" outlineLevel="1" x14ac:dyDescent="0.2">
      <c r="D185" t="str">
        <f>CHOOSE(db_ML_selected,'Liste Traduction'!B298,'Liste Traduction'!C298)</f>
        <v>Opex variables (nominal)</v>
      </c>
      <c r="I185" s="30">
        <f ca="1">SUM($L185:$BS185)</f>
        <v>1434.5774916640003</v>
      </c>
      <c r="J185" s="26" t="s">
        <v>148</v>
      </c>
      <c r="K185" s="7" t="s">
        <v>159</v>
      </c>
      <c r="L185" s="49">
        <f ca="1">IF(L4&gt;=YEAR(HM_ZA_Nkossa!effective_date_HM1994),((OFFSET(_xlfn.SINGLE(IA_varopex_real),2,HM_ZA_Nkossa!date_offset_HM1994)+OFFSET(_xlfn.SINGLE(IA_othercosts_real),2,HM_ZA_Nkossa!date_offset_HM1994))*_xlfn.SINGLE(IA_esc_index)),0)</f>
        <v>212.22900000000001</v>
      </c>
      <c r="M185" s="49">
        <f ca="1">IF(M4&gt;=YEAR(HM_ZA_Nkossa!effective_date_HM1994),((OFFSET(_xlfn.SINGLE(IA_varopex_real),2,HM_ZA_Nkossa!date_offset_HM1994)+OFFSET(_xlfn.SINGLE(IA_othercosts_real),2,HM_ZA_Nkossa!date_offset_HM1994))*_xlfn.SINGLE(IA_esc_index)),0)</f>
        <v>176.756</v>
      </c>
      <c r="N185" s="49">
        <f ca="1">IF(N4&gt;=YEAR(HM_ZA_Nkossa!effective_date_HM1994),((OFFSET(_xlfn.SINGLE(IA_varopex_real),2,HM_ZA_Nkossa!date_offset_HM1994)+OFFSET(_xlfn.SINGLE(IA_othercosts_real),2,HM_ZA_Nkossa!date_offset_HM1994))*_xlfn.SINGLE(IA_esc_index)),0)</f>
        <v>125.261</v>
      </c>
      <c r="O185" s="49">
        <f ca="1">IF(O4&gt;=YEAR(HM_ZA_Nkossa!effective_date_HM1994),((OFFSET(_xlfn.SINGLE(IA_varopex_real),2,HM_ZA_Nkossa!date_offset_HM1994)+OFFSET(_xlfn.SINGLE(IA_othercosts_real),2,HM_ZA_Nkossa!date_offset_HM1994))*_xlfn.SINGLE(IA_esc_index)),0)</f>
        <v>157.50200000000001</v>
      </c>
      <c r="P185" s="49">
        <f ca="1">IF(P4&gt;=YEAR(HM_ZA_Nkossa!effective_date_HM1994),((OFFSET(_xlfn.SINGLE(IA_varopex_real),2,HM_ZA_Nkossa!date_offset_HM1994)+OFFSET(_xlfn.SINGLE(IA_othercosts_real),2,HM_ZA_Nkossa!date_offset_HM1994))*_xlfn.SINGLE(IA_esc_index)),0)</f>
        <v>196.16</v>
      </c>
      <c r="Q185" s="49">
        <f ca="1">IF(Q4&gt;=YEAR(HM_ZA_Nkossa!effective_date_HM1994),((OFFSET(_xlfn.SINGLE(IA_varopex_real),2,HM_ZA_Nkossa!date_offset_HM1994)+OFFSET(_xlfn.SINGLE(IA_othercosts_real),2,HM_ZA_Nkossa!date_offset_HM1994))*_xlfn.SINGLE(IA_esc_index)),0)</f>
        <v>89.2</v>
      </c>
      <c r="R185" s="49">
        <f ca="1">IF(R4&gt;=YEAR(HM_ZA_Nkossa!effective_date_HM1994),((OFFSET(_xlfn.SINGLE(IA_varopex_real),2,HM_ZA_Nkossa!date_offset_HM1994)+OFFSET(_xlfn.SINGLE(IA_othercosts_real),2,HM_ZA_Nkossa!date_offset_HM1994))*_xlfn.SINGLE(IA_esc_index)),0)</f>
        <v>77.2</v>
      </c>
      <c r="S185" s="49">
        <f ca="1">IF(S4&gt;=YEAR(HM_ZA_Nkossa!effective_date_HM1994),((OFFSET(_xlfn.SINGLE(IA_varopex_real),2,HM_ZA_Nkossa!date_offset_HM1994)+OFFSET(_xlfn.SINGLE(IA_othercosts_real),2,HM_ZA_Nkossa!date_offset_HM1994))*_xlfn.SINGLE(IA_esc_index)),0)</f>
        <v>66.2</v>
      </c>
      <c r="T185" s="49">
        <f ca="1">IF(T4&gt;=YEAR(HM_ZA_Nkossa!effective_date_HM1994),((OFFSET(_xlfn.SINGLE(IA_varopex_real),2,HM_ZA_Nkossa!date_offset_HM1994)+OFFSET(_xlfn.SINGLE(IA_othercosts_real),2,HM_ZA_Nkossa!date_offset_HM1994))*_xlfn.SINGLE(IA_esc_index)),0)*(1+df_opex_sens)</f>
        <v>65.5</v>
      </c>
      <c r="U185" s="49">
        <f ca="1">IF(U4&gt;=YEAR(HM_ZA_Nkossa!effective_date_HM1994),((OFFSET(_xlfn.SINGLE(IA_varopex_real),2,HM_ZA_Nkossa!date_offset_HM1994)+OFFSET(_xlfn.SINGLE(IA_othercosts_real),2,HM_ZA_Nkossa!date_offset_HM1994))*_xlfn.SINGLE(IA_esc_index)),0)*(1+df_opex_sens)</f>
        <v>66.198000000000008</v>
      </c>
      <c r="V185" s="49">
        <f ca="1">IF(V4&gt;=YEAR(HM_ZA_Nkossa!effective_date_HM1994),((OFFSET(_xlfn.SINGLE(IA_varopex_real),2,HM_ZA_Nkossa!date_offset_HM1994)+OFFSET(_xlfn.SINGLE(IA_othercosts_real),2,HM_ZA_Nkossa!date_offset_HM1994))*_xlfn.SINGLE(IA_esc_index)),0)*(1+df_opex_sens)</f>
        <v>66.793680000000009</v>
      </c>
      <c r="W185" s="49">
        <f ca="1">IF(W4&gt;=YEAR(HM_ZA_Nkossa!effective_date_HM1994),((OFFSET(_xlfn.SINGLE(IA_varopex_real),2,HM_ZA_Nkossa!date_offset_HM1994)+OFFSET(_xlfn.SINGLE(IA_othercosts_real),2,HM_ZA_Nkossa!date_offset_HM1994))*_xlfn.SINGLE(IA_esc_index)),0)*(1+df_opex_sens)</f>
        <v>67.492828799999998</v>
      </c>
      <c r="X185" s="49">
        <f ca="1">IF(X4&gt;=YEAR(HM_ZA_Nkossa!effective_date_HM1994),((OFFSET(_xlfn.SINGLE(IA_varopex_real),2,HM_ZA_Nkossa!date_offset_HM1994)+OFFSET(_xlfn.SINGLE(IA_othercosts_real),2,HM_ZA_Nkossa!date_offset_HM1994))*_xlfn.SINGLE(IA_esc_index)),0)*(1+df_opex_sens)</f>
        <v>68.084982863999997</v>
      </c>
      <c r="Y185" s="49">
        <f ca="1">IF(Y4&gt;=YEAR(HM_ZA_Nkossa!effective_date_HM1994),((OFFSET(_xlfn.SINGLE(IA_varopex_real),2,HM_ZA_Nkossa!date_offset_HM1994)+OFFSET(_xlfn.SINGLE(IA_othercosts_real),2,HM_ZA_Nkossa!date_offset_HM1994))*_xlfn.SINGLE(IA_esc_index)),0)*(1+df_opex_sens)</f>
        <v>0</v>
      </c>
      <c r="Z185" s="49">
        <f ca="1">IF(Z4&gt;=YEAR(HM_ZA_Nkossa!effective_date_HM1994),((OFFSET(_xlfn.SINGLE(IA_varopex_real),2,HM_ZA_Nkossa!date_offset_HM1994)+OFFSET(_xlfn.SINGLE(IA_othercosts_real),2,HM_ZA_Nkossa!date_offset_HM1994))*_xlfn.SINGLE(IA_esc_index)),0)*(1+df_opex_sens)</f>
        <v>0</v>
      </c>
      <c r="AA185" s="49">
        <f ca="1">IF(AA4&gt;=YEAR(HM_ZA_Nkossa!effective_date_HM1994),((OFFSET(_xlfn.SINGLE(IA_varopex_real),2,HM_ZA_Nkossa!date_offset_HM1994)+OFFSET(_xlfn.SINGLE(IA_othercosts_real),2,HM_ZA_Nkossa!date_offset_HM1994))*_xlfn.SINGLE(IA_esc_index)),0)*(1+df_opex_sens)</f>
        <v>0</v>
      </c>
      <c r="AB185" s="49">
        <f ca="1">IF(AB4&gt;=YEAR(HM_ZA_Nkossa!effective_date_HM1994),((OFFSET(_xlfn.SINGLE(IA_varopex_real),2,HM_ZA_Nkossa!date_offset_HM1994)+OFFSET(_xlfn.SINGLE(IA_othercosts_real),2,HM_ZA_Nkossa!date_offset_HM1994))*_xlfn.SINGLE(IA_esc_index)),0)*(1+df_opex_sens)</f>
        <v>0</v>
      </c>
      <c r="AC185" s="49">
        <f ca="1">IF(AC4&gt;=YEAR(HM_ZA_Nkossa!effective_date_HM1994),((OFFSET(_xlfn.SINGLE(IA_varopex_real),2,HM_ZA_Nkossa!date_offset_HM1994)+OFFSET(_xlfn.SINGLE(IA_othercosts_real),2,HM_ZA_Nkossa!date_offset_HM1994))*_xlfn.SINGLE(IA_esc_index)),0)*(1+df_opex_sens)</f>
        <v>0</v>
      </c>
      <c r="AD185" s="49">
        <f ca="1">IF(AD4&gt;=YEAR(HM_ZA_Nkossa!effective_date_HM1994),((OFFSET(_xlfn.SINGLE(IA_varopex_real),2,HM_ZA_Nkossa!date_offset_HM1994)+OFFSET(_xlfn.SINGLE(IA_othercosts_real),2,HM_ZA_Nkossa!date_offset_HM1994))*_xlfn.SINGLE(IA_esc_index)),0)*(1+df_opex_sens)</f>
        <v>0</v>
      </c>
      <c r="AE185" s="49">
        <f ca="1">IF(AE4&gt;=YEAR(HM_ZA_Nkossa!effective_date_HM1994),((OFFSET(_xlfn.SINGLE(IA_varopex_real),2,HM_ZA_Nkossa!date_offset_HM1994)+OFFSET(_xlfn.SINGLE(IA_othercosts_real),2,HM_ZA_Nkossa!date_offset_HM1994))*_xlfn.SINGLE(IA_esc_index)),0)*(1+df_opex_sens)</f>
        <v>0</v>
      </c>
      <c r="AF185" s="49">
        <f ca="1">IF(AF4&gt;=YEAR(HM_ZA_Nkossa!effective_date_HM1994),((OFFSET(_xlfn.SINGLE(IA_varopex_real),2,HM_ZA_Nkossa!date_offset_HM1994)+OFFSET(_xlfn.SINGLE(IA_othercosts_real),2,HM_ZA_Nkossa!date_offset_HM1994))*_xlfn.SINGLE(IA_esc_index)),0)*(1+df_opex_sens)</f>
        <v>0</v>
      </c>
      <c r="AG185" s="49">
        <f ca="1">IF(AG4&gt;=YEAR(HM_ZA_Nkossa!effective_date_HM1994),((OFFSET(_xlfn.SINGLE(IA_varopex_real),2,HM_ZA_Nkossa!date_offset_HM1994)+OFFSET(_xlfn.SINGLE(IA_othercosts_real),2,HM_ZA_Nkossa!date_offset_HM1994))*_xlfn.SINGLE(IA_esc_index)),0)*(1+df_opex_sens)</f>
        <v>0</v>
      </c>
      <c r="AH185" s="49">
        <f ca="1">IF(AH4&gt;=YEAR(HM_ZA_Nkossa!effective_date_HM1994),((OFFSET(_xlfn.SINGLE(IA_varopex_real),2,HM_ZA_Nkossa!date_offset_HM1994)+OFFSET(_xlfn.SINGLE(IA_othercosts_real),2,HM_ZA_Nkossa!date_offset_HM1994))*_xlfn.SINGLE(IA_esc_index)),0)*(1+df_opex_sens)</f>
        <v>0</v>
      </c>
      <c r="AI185" s="49">
        <f ca="1">IF(AI4&gt;=YEAR(HM_ZA_Nkossa!effective_date_HM1994),((OFFSET(_xlfn.SINGLE(IA_varopex_real),2,HM_ZA_Nkossa!date_offset_HM1994)+OFFSET(_xlfn.SINGLE(IA_othercosts_real),2,HM_ZA_Nkossa!date_offset_HM1994))*_xlfn.SINGLE(IA_esc_index)),0)*(1+df_opex_sens)</f>
        <v>0</v>
      </c>
      <c r="AJ185" s="49">
        <f ca="1">IF(AJ4&gt;=YEAR(HM_ZA_Nkossa!effective_date_HM1994),((OFFSET(_xlfn.SINGLE(IA_varopex_real),2,HM_ZA_Nkossa!date_offset_HM1994)+OFFSET(_xlfn.SINGLE(IA_othercosts_real),2,HM_ZA_Nkossa!date_offset_HM1994))*_xlfn.SINGLE(IA_esc_index)),0)*(1+df_opex_sens)</f>
        <v>0</v>
      </c>
      <c r="AK185" s="49">
        <f ca="1">IF(AK4&gt;=YEAR(HM_ZA_Nkossa!effective_date_HM1994),((OFFSET(_xlfn.SINGLE(IA_varopex_real),2,HM_ZA_Nkossa!date_offset_HM1994)+OFFSET(_xlfn.SINGLE(IA_othercosts_real),2,HM_ZA_Nkossa!date_offset_HM1994))*_xlfn.SINGLE(IA_esc_index)),0)*(1+df_opex_sens)</f>
        <v>0</v>
      </c>
      <c r="AL185" s="49">
        <f ca="1">IF(AL4&gt;=YEAR(HM_ZA_Nkossa!effective_date_HM1994),((OFFSET(_xlfn.SINGLE(IA_varopex_real),2,HM_ZA_Nkossa!date_offset_HM1994)+OFFSET(_xlfn.SINGLE(IA_othercosts_real),2,HM_ZA_Nkossa!date_offset_HM1994))*_xlfn.SINGLE(IA_esc_index)),0)*(1+df_opex_sens)</f>
        <v>0</v>
      </c>
      <c r="AM185" s="49">
        <f ca="1">IF(AM4&gt;=YEAR(HM_ZA_Nkossa!effective_date_HM1994),((OFFSET(_xlfn.SINGLE(IA_varopex_real),2,HM_ZA_Nkossa!date_offset_HM1994)+OFFSET(_xlfn.SINGLE(IA_othercosts_real),2,HM_ZA_Nkossa!date_offset_HM1994))*_xlfn.SINGLE(IA_esc_index)),0)*(1+df_opex_sens)</f>
        <v>0</v>
      </c>
      <c r="AN185" s="49">
        <f ca="1">IF(AN4&gt;=YEAR(HM_ZA_Nkossa!effective_date_HM1994),((OFFSET(_xlfn.SINGLE(IA_varopex_real),2,HM_ZA_Nkossa!date_offset_HM1994)+OFFSET(_xlfn.SINGLE(IA_othercosts_real),2,HM_ZA_Nkossa!date_offset_HM1994))*_xlfn.SINGLE(IA_esc_index)),0)*(1+df_opex_sens)</f>
        <v>0</v>
      </c>
      <c r="AO185" s="49">
        <f ca="1">IF(AO4&gt;=YEAR(HM_ZA_Nkossa!effective_date_HM1994),((OFFSET(_xlfn.SINGLE(IA_varopex_real),2,HM_ZA_Nkossa!date_offset_HM1994)+OFFSET(_xlfn.SINGLE(IA_othercosts_real),2,HM_ZA_Nkossa!date_offset_HM1994))*_xlfn.SINGLE(IA_esc_index)),0)*(1+df_opex_sens)</f>
        <v>0</v>
      </c>
      <c r="AP185" s="49">
        <f ca="1">IF(AP4&gt;=YEAR(HM_ZA_Nkossa!effective_date_HM1994),((OFFSET(_xlfn.SINGLE(IA_varopex_real),2,HM_ZA_Nkossa!date_offset_HM1994)+OFFSET(_xlfn.SINGLE(IA_othercosts_real),2,HM_ZA_Nkossa!date_offset_HM1994))*_xlfn.SINGLE(IA_esc_index)),0)*(1+df_opex_sens)</f>
        <v>0</v>
      </c>
      <c r="AQ185" s="49">
        <f ca="1">IF(AQ4&gt;=YEAR(HM_ZA_Nkossa!effective_date_HM1994),((OFFSET(_xlfn.SINGLE(IA_varopex_real),2,HM_ZA_Nkossa!date_offset_HM1994)+OFFSET(_xlfn.SINGLE(IA_othercosts_real),2,HM_ZA_Nkossa!date_offset_HM1994))*_xlfn.SINGLE(IA_esc_index)),0)*(1+df_opex_sens)</f>
        <v>0</v>
      </c>
      <c r="AR185" s="49">
        <f ca="1">IF(AR4&gt;=YEAR(HM_ZA_Nkossa!effective_date_HM1994),((OFFSET(_xlfn.SINGLE(IA_varopex_real),2,HM_ZA_Nkossa!date_offset_HM1994)+OFFSET(_xlfn.SINGLE(IA_othercosts_real),2,HM_ZA_Nkossa!date_offset_HM1994))*_xlfn.SINGLE(IA_esc_index)),0)*(1+df_opex_sens)</f>
        <v>0</v>
      </c>
      <c r="AS185" s="49">
        <f ca="1">IF(AS4&gt;=YEAR(HM_ZA_Nkossa!effective_date_HM1994),((OFFSET(_xlfn.SINGLE(IA_varopex_real),2,HM_ZA_Nkossa!date_offset_HM1994)+OFFSET(_xlfn.SINGLE(IA_othercosts_real),2,HM_ZA_Nkossa!date_offset_HM1994))*_xlfn.SINGLE(IA_esc_index)),0)*(1+df_opex_sens)</f>
        <v>0</v>
      </c>
      <c r="AT185" s="49">
        <f ca="1">IF(AT4&gt;=YEAR(HM_ZA_Nkossa!effective_date_HM1994),((OFFSET(_xlfn.SINGLE(IA_varopex_real),2,HM_ZA_Nkossa!date_offset_HM1994)+OFFSET(_xlfn.SINGLE(IA_othercosts_real),2,HM_ZA_Nkossa!date_offset_HM1994))*_xlfn.SINGLE(IA_esc_index)),0)*(1+df_opex_sens)</f>
        <v>0</v>
      </c>
      <c r="AU185" s="49">
        <f ca="1">IF(AU4&gt;=YEAR(HM_ZA_Nkossa!effective_date_HM1994),((OFFSET(_xlfn.SINGLE(IA_varopex_real),2,HM_ZA_Nkossa!date_offset_HM1994)+OFFSET(_xlfn.SINGLE(IA_othercosts_real),2,HM_ZA_Nkossa!date_offset_HM1994))*_xlfn.SINGLE(IA_esc_index)),0)*(1+df_opex_sens)</f>
        <v>0</v>
      </c>
      <c r="AV185" s="49">
        <f ca="1">IF(AV4&gt;=YEAR(HM_ZA_Nkossa!effective_date_HM1994),((OFFSET(_xlfn.SINGLE(IA_varopex_real),2,HM_ZA_Nkossa!date_offset_HM1994)+OFFSET(_xlfn.SINGLE(IA_othercosts_real),2,HM_ZA_Nkossa!date_offset_HM1994))*_xlfn.SINGLE(IA_esc_index)),0)*(1+df_opex_sens)</f>
        <v>0</v>
      </c>
      <c r="AW185" s="49">
        <f ca="1">IF(AW4&gt;=YEAR(HM_ZA_Nkossa!effective_date_HM1994),((OFFSET(_xlfn.SINGLE(IA_varopex_real),2,HM_ZA_Nkossa!date_offset_HM1994)+OFFSET(_xlfn.SINGLE(IA_othercosts_real),2,HM_ZA_Nkossa!date_offset_HM1994))*_xlfn.SINGLE(IA_esc_index)),0)*(1+df_opex_sens)</f>
        <v>0</v>
      </c>
      <c r="AX185" s="49">
        <f ca="1">IF(AX4&gt;=YEAR(HM_ZA_Nkossa!effective_date_HM1994),((OFFSET(_xlfn.SINGLE(IA_varopex_real),2,HM_ZA_Nkossa!date_offset_HM1994)+OFFSET(_xlfn.SINGLE(IA_othercosts_real),2,HM_ZA_Nkossa!date_offset_HM1994))*_xlfn.SINGLE(IA_esc_index)),0)*(1+df_opex_sens)</f>
        <v>0</v>
      </c>
      <c r="AY185" s="49">
        <f ca="1">IF(AY4&gt;=YEAR(HM_ZA_Nkossa!effective_date_HM1994),((OFFSET(_xlfn.SINGLE(IA_varopex_real),2,HM_ZA_Nkossa!date_offset_HM1994)+OFFSET(_xlfn.SINGLE(IA_othercosts_real),2,HM_ZA_Nkossa!date_offset_HM1994))*_xlfn.SINGLE(IA_esc_index)),0)*(1+df_opex_sens)</f>
        <v>0</v>
      </c>
      <c r="AZ185" s="49">
        <f ca="1">IF(AZ4&gt;=YEAR(HM_ZA_Nkossa!effective_date_HM1994),((OFFSET(_xlfn.SINGLE(IA_varopex_real),2,HM_ZA_Nkossa!date_offset_HM1994)+OFFSET(_xlfn.SINGLE(IA_othercosts_real),2,HM_ZA_Nkossa!date_offset_HM1994))*_xlfn.SINGLE(IA_esc_index)),0)*(1+df_opex_sens)</f>
        <v>0</v>
      </c>
      <c r="BA185" s="49">
        <f ca="1">IF(BA4&gt;=YEAR(HM_ZA_Nkossa!effective_date_HM1994),((OFFSET(_xlfn.SINGLE(IA_varopex_real),2,HM_ZA_Nkossa!date_offset_HM1994)+OFFSET(_xlfn.SINGLE(IA_othercosts_real),2,HM_ZA_Nkossa!date_offset_HM1994))*_xlfn.SINGLE(IA_esc_index)),0)*(1+df_opex_sens)</f>
        <v>0</v>
      </c>
      <c r="BB185" s="49">
        <f ca="1">IF(BB4&gt;=YEAR(HM_ZA_Nkossa!effective_date_HM1994),((OFFSET(_xlfn.SINGLE(IA_varopex_real),2,HM_ZA_Nkossa!date_offset_HM1994)+OFFSET(_xlfn.SINGLE(IA_othercosts_real),2,HM_ZA_Nkossa!date_offset_HM1994))*_xlfn.SINGLE(IA_esc_index)),0)*(1+df_opex_sens)</f>
        <v>0</v>
      </c>
      <c r="BC185" s="49">
        <f ca="1">IF(BC4&gt;=YEAR(HM_ZA_Nkossa!effective_date_HM1994),((OFFSET(_xlfn.SINGLE(IA_varopex_real),2,HM_ZA_Nkossa!date_offset_HM1994)+OFFSET(_xlfn.SINGLE(IA_othercosts_real),2,HM_ZA_Nkossa!date_offset_HM1994))*_xlfn.SINGLE(IA_esc_index)),0)*(1+df_opex_sens)</f>
        <v>0</v>
      </c>
      <c r="BD185" s="49">
        <f ca="1">IF(BD4&gt;=YEAR(HM_ZA_Nkossa!effective_date_HM1994),((OFFSET(_xlfn.SINGLE(IA_varopex_real),2,HM_ZA_Nkossa!date_offset_HM1994)+OFFSET(_xlfn.SINGLE(IA_othercosts_real),2,HM_ZA_Nkossa!date_offset_HM1994))*_xlfn.SINGLE(IA_esc_index)),0)*(1+df_opex_sens)</f>
        <v>0</v>
      </c>
      <c r="BE185" s="49">
        <f ca="1">IF(BE4&gt;=YEAR(HM_ZA_Nkossa!effective_date_HM1994),((OFFSET(_xlfn.SINGLE(IA_varopex_real),2,HM_ZA_Nkossa!date_offset_HM1994)+OFFSET(_xlfn.SINGLE(IA_othercosts_real),2,HM_ZA_Nkossa!date_offset_HM1994))*_xlfn.SINGLE(IA_esc_index)),0)*(1+df_opex_sens)</f>
        <v>0</v>
      </c>
      <c r="BF185" s="49">
        <f ca="1">IF(BF4&gt;=YEAR(HM_ZA_Nkossa!effective_date_HM1994),((OFFSET(_xlfn.SINGLE(IA_varopex_real),2,HM_ZA_Nkossa!date_offset_HM1994)+OFFSET(_xlfn.SINGLE(IA_othercosts_real),2,HM_ZA_Nkossa!date_offset_HM1994))*_xlfn.SINGLE(IA_esc_index)),0)*(1+df_opex_sens)</f>
        <v>0</v>
      </c>
      <c r="BG185" s="49">
        <f ca="1">IF(BG4&gt;=YEAR(HM_ZA_Nkossa!effective_date_HM1994),((OFFSET(_xlfn.SINGLE(IA_varopex_real),2,HM_ZA_Nkossa!date_offset_HM1994)+OFFSET(_xlfn.SINGLE(IA_othercosts_real),2,HM_ZA_Nkossa!date_offset_HM1994))*_xlfn.SINGLE(IA_esc_index)),0)*(1+df_opex_sens)</f>
        <v>0</v>
      </c>
      <c r="BH185" s="49">
        <f ca="1">IF(BH4&gt;=YEAR(HM_ZA_Nkossa!effective_date_HM1994),((OFFSET(_xlfn.SINGLE(IA_varopex_real),2,HM_ZA_Nkossa!date_offset_HM1994)+OFFSET(_xlfn.SINGLE(IA_othercosts_real),2,HM_ZA_Nkossa!date_offset_HM1994))*_xlfn.SINGLE(IA_esc_index)),0)*(1+df_opex_sens)</f>
        <v>0</v>
      </c>
      <c r="BI185" s="49">
        <f ca="1">IF(BI4&gt;=YEAR(HM_ZA_Nkossa!effective_date_HM1994),((OFFSET(_xlfn.SINGLE(IA_varopex_real),2,HM_ZA_Nkossa!date_offset_HM1994)+OFFSET(_xlfn.SINGLE(IA_othercosts_real),2,HM_ZA_Nkossa!date_offset_HM1994))*_xlfn.SINGLE(IA_esc_index)),0)*(1+df_opex_sens)</f>
        <v>0</v>
      </c>
      <c r="BJ185" s="49">
        <f ca="1">IF(BJ4&gt;=YEAR(HM_ZA_Nkossa!effective_date_HM1994),((OFFSET(_xlfn.SINGLE(IA_varopex_real),2,HM_ZA_Nkossa!date_offset_HM1994)+OFFSET(_xlfn.SINGLE(IA_othercosts_real),2,HM_ZA_Nkossa!date_offset_HM1994))*_xlfn.SINGLE(IA_esc_index)),0)*(1+df_opex_sens)</f>
        <v>0</v>
      </c>
      <c r="BK185" s="49">
        <f ca="1">IF(BK4&gt;=YEAR(HM_ZA_Nkossa!effective_date_HM1994),((OFFSET(_xlfn.SINGLE(IA_varopex_real),2,HM_ZA_Nkossa!date_offset_HM1994)+OFFSET(_xlfn.SINGLE(IA_othercosts_real),2,HM_ZA_Nkossa!date_offset_HM1994))*_xlfn.SINGLE(IA_esc_index)),0)*(1+df_opex_sens)</f>
        <v>0</v>
      </c>
      <c r="BL185" s="49">
        <f ca="1">IF(BL4&gt;=YEAR(HM_ZA_Nkossa!effective_date_HM1994),((OFFSET(_xlfn.SINGLE(IA_varopex_real),2,HM_ZA_Nkossa!date_offset_HM1994)+OFFSET(_xlfn.SINGLE(IA_othercosts_real),2,HM_ZA_Nkossa!date_offset_HM1994))*_xlfn.SINGLE(IA_esc_index)),0)*(1+df_opex_sens)</f>
        <v>0</v>
      </c>
      <c r="BM185" s="49">
        <f ca="1">IF(BM4&gt;=YEAR(HM_ZA_Nkossa!effective_date_HM1994),((OFFSET(_xlfn.SINGLE(IA_varopex_real),2,HM_ZA_Nkossa!date_offset_HM1994)+OFFSET(_xlfn.SINGLE(IA_othercosts_real),2,HM_ZA_Nkossa!date_offset_HM1994))*_xlfn.SINGLE(IA_esc_index)),0)*(1+df_opex_sens)</f>
        <v>0</v>
      </c>
      <c r="BN185" s="49">
        <f ca="1">IF(BN4&gt;=YEAR(HM_ZA_Nkossa!effective_date_HM1994),((OFFSET(_xlfn.SINGLE(IA_varopex_real),2,HM_ZA_Nkossa!date_offset_HM1994)+OFFSET(_xlfn.SINGLE(IA_othercosts_real),2,HM_ZA_Nkossa!date_offset_HM1994))*_xlfn.SINGLE(IA_esc_index)),0)*(1+df_opex_sens)</f>
        <v>0</v>
      </c>
      <c r="BO185" s="49">
        <f ca="1">IF(BO4&gt;=YEAR(HM_ZA_Nkossa!effective_date_HM1994),((OFFSET(_xlfn.SINGLE(IA_varopex_real),2,HM_ZA_Nkossa!date_offset_HM1994)+OFFSET(_xlfn.SINGLE(IA_othercosts_real),2,HM_ZA_Nkossa!date_offset_HM1994))*_xlfn.SINGLE(IA_esc_index)),0)*(1+df_opex_sens)</f>
        <v>0</v>
      </c>
      <c r="BP185" s="49">
        <f ca="1">IF(BP4&gt;=YEAR(HM_ZA_Nkossa!effective_date_HM1994),((OFFSET(_xlfn.SINGLE(IA_varopex_real),2,HM_ZA_Nkossa!date_offset_HM1994)+OFFSET(_xlfn.SINGLE(IA_othercosts_real),2,HM_ZA_Nkossa!date_offset_HM1994))*_xlfn.SINGLE(IA_esc_index)),0)*(1+df_opex_sens)</f>
        <v>0</v>
      </c>
      <c r="BQ185" s="49">
        <f ca="1">IF(BQ4&gt;=YEAR(HM_ZA_Nkossa!effective_date_HM1994),((OFFSET(_xlfn.SINGLE(IA_varopex_real),2,HM_ZA_Nkossa!date_offset_HM1994)+OFFSET(_xlfn.SINGLE(IA_othercosts_real),2,HM_ZA_Nkossa!date_offset_HM1994))*_xlfn.SINGLE(IA_esc_index)),0)*(1+df_opex_sens)</f>
        <v>0</v>
      </c>
      <c r="BR185" s="49">
        <f ca="1">IF(BR4&gt;=YEAR(HM_ZA_Nkossa!effective_date_HM1994),((OFFSET(_xlfn.SINGLE(IA_varopex_real),2,HM_ZA_Nkossa!date_offset_HM1994)+OFFSET(_xlfn.SINGLE(IA_othercosts_real),2,HM_ZA_Nkossa!date_offset_HM1994))*_xlfn.SINGLE(IA_esc_index)),0)*(1+df_opex_sens)</f>
        <v>0</v>
      </c>
      <c r="BS185" s="49">
        <f ca="1">IF(BS4&gt;=YEAR(HM_ZA_Nkossa!effective_date_HM1994),((OFFSET(_xlfn.SINGLE(IA_varopex_real),2,HM_ZA_Nkossa!date_offset_HM1994)+OFFSET(_xlfn.SINGLE(IA_othercosts_real),2,HM_ZA_Nkossa!date_offset_HM1994))*_xlfn.SINGLE(IA_esc_index)),0)*(1+df_opex_sens)</f>
        <v>0</v>
      </c>
    </row>
    <row r="186" spans="1:71" outlineLevel="1" x14ac:dyDescent="0.2">
      <c r="J186" s="26"/>
      <c r="L186" s="55"/>
      <c r="M186" s="55"/>
      <c r="N186" s="55"/>
      <c r="O186" s="55"/>
      <c r="P186" s="55"/>
      <c r="Q186" s="55"/>
      <c r="R186" s="55"/>
      <c r="S186" s="55"/>
      <c r="T186" s="55"/>
      <c r="U186" s="55"/>
      <c r="V186" s="55"/>
      <c r="W186" s="55"/>
      <c r="X186" s="55"/>
      <c r="Y186" s="55"/>
      <c r="Z186" s="55"/>
      <c r="AA186" s="55"/>
      <c r="AB186" s="55"/>
      <c r="AC186" s="55"/>
      <c r="AD186" s="55"/>
      <c r="AE186" s="55"/>
      <c r="AF186" s="55"/>
      <c r="AG186" s="55"/>
      <c r="AH186" s="55"/>
      <c r="AI186" s="55"/>
      <c r="AJ186" s="55"/>
      <c r="AK186" s="55"/>
      <c r="AL186" s="55"/>
      <c r="AM186" s="55"/>
      <c r="AN186" s="55"/>
      <c r="AO186" s="55"/>
      <c r="AP186" s="55"/>
      <c r="AQ186" s="55"/>
      <c r="AR186" s="55"/>
      <c r="AS186" s="55"/>
      <c r="AT186" s="55"/>
      <c r="AU186" s="55"/>
      <c r="AV186" s="55"/>
      <c r="AW186" s="55"/>
      <c r="AX186" s="55"/>
      <c r="AY186" s="55"/>
      <c r="AZ186" s="55"/>
      <c r="BA186" s="55"/>
      <c r="BB186" s="55"/>
      <c r="BC186" s="55"/>
      <c r="BD186" s="55"/>
      <c r="BE186" s="55"/>
      <c r="BF186" s="55"/>
      <c r="BG186" s="55"/>
      <c r="BH186" s="55"/>
      <c r="BI186" s="55"/>
      <c r="BJ186" s="55"/>
      <c r="BK186" s="55"/>
      <c r="BL186" s="55"/>
      <c r="BM186" s="55"/>
      <c r="BN186" s="55"/>
      <c r="BO186" s="55"/>
      <c r="BP186" s="55"/>
      <c r="BQ186" s="55"/>
      <c r="BR186" s="55"/>
      <c r="BS186" s="55"/>
    </row>
    <row r="187" spans="1:71" outlineLevel="1" x14ac:dyDescent="0.2">
      <c r="C187" s="11" t="str">
        <f>CHOOSE(db_ML_selected,'Liste Traduction'!B299,'Liste Traduction'!C299)</f>
        <v>Coûts fixes</v>
      </c>
      <c r="J187" s="26"/>
      <c r="L187" s="55"/>
      <c r="M187" s="55"/>
      <c r="N187" s="55"/>
      <c r="O187" s="55"/>
      <c r="P187" s="55"/>
      <c r="Q187" s="55"/>
      <c r="R187" s="55"/>
      <c r="S187" s="55"/>
      <c r="T187" s="55"/>
      <c r="U187" s="55"/>
      <c r="V187" s="55"/>
      <c r="W187" s="55"/>
      <c r="X187" s="55"/>
      <c r="Y187" s="55"/>
      <c r="Z187" s="55"/>
      <c r="AA187" s="55"/>
      <c r="AB187" s="55"/>
      <c r="AC187" s="55"/>
      <c r="AD187" s="55"/>
      <c r="AE187" s="55"/>
      <c r="AF187" s="55"/>
      <c r="AG187" s="55"/>
      <c r="AH187" s="55"/>
      <c r="AI187" s="55"/>
      <c r="AJ187" s="55"/>
      <c r="AK187" s="55"/>
      <c r="AL187" s="55"/>
      <c r="AM187" s="55"/>
      <c r="AN187" s="55"/>
      <c r="AO187" s="55"/>
      <c r="AP187" s="55"/>
      <c r="AQ187" s="55"/>
      <c r="AR187" s="55"/>
      <c r="AS187" s="55"/>
      <c r="AT187" s="55"/>
      <c r="AU187" s="55"/>
      <c r="AV187" s="55"/>
      <c r="AW187" s="55"/>
      <c r="AX187" s="55"/>
      <c r="AY187" s="55"/>
      <c r="AZ187" s="55"/>
      <c r="BA187" s="55"/>
      <c r="BB187" s="55"/>
      <c r="BC187" s="55"/>
      <c r="BD187" s="55"/>
      <c r="BE187" s="55"/>
      <c r="BF187" s="55"/>
      <c r="BG187" s="55"/>
      <c r="BH187" s="55"/>
      <c r="BI187" s="55"/>
      <c r="BJ187" s="55"/>
      <c r="BK187" s="55"/>
      <c r="BL187" s="55"/>
      <c r="BM187" s="55"/>
      <c r="BN187" s="55"/>
      <c r="BO187" s="55"/>
      <c r="BP187" s="55"/>
      <c r="BQ187" s="55"/>
      <c r="BR187" s="55"/>
      <c r="BS187" s="55"/>
    </row>
    <row r="188" spans="1:71" outlineLevel="1" x14ac:dyDescent="0.2">
      <c r="D188" t="str">
        <f>CHOOSE(db_ML_selected,'Liste Traduction'!B300,'Liste Traduction'!C300)</f>
        <v>Opex fixes (nominal)</v>
      </c>
      <c r="I188" s="30">
        <f ca="1">SUM($L188:$BS188)</f>
        <v>0</v>
      </c>
      <c r="J188" s="26" t="s">
        <v>148</v>
      </c>
      <c r="K188" s="7" t="s">
        <v>164</v>
      </c>
      <c r="L188" s="49">
        <f ca="1">IF(L4&gt;=YEAR(HM_ZA_Nkossa!effective_date_HM1994),(OFFSET(_xlfn.SINGLE(IA_fixedopex_real),2,HM_ZA_Nkossa!date_offset_HM1994)*_xlfn.SINGLE(IA_esc_index)),0)</f>
        <v>0</v>
      </c>
      <c r="M188" s="49">
        <f ca="1">IF(M4&gt;=YEAR(HM_ZA_Nkossa!effective_date_HM1994),(OFFSET(_xlfn.SINGLE(IA_fixedopex_real),2,HM_ZA_Nkossa!date_offset_HM1994)*_xlfn.SINGLE(IA_esc_index)),0)</f>
        <v>0</v>
      </c>
      <c r="N188" s="49">
        <f ca="1">IF(N4&gt;=YEAR(HM_ZA_Nkossa!effective_date_HM1994),(OFFSET(_xlfn.SINGLE(IA_fixedopex_real),2,HM_ZA_Nkossa!date_offset_HM1994)*_xlfn.SINGLE(IA_esc_index)),0)</f>
        <v>0</v>
      </c>
      <c r="O188" s="49">
        <f ca="1">IF(O4&gt;=YEAR(HM_ZA_Nkossa!effective_date_HM1994),(OFFSET(_xlfn.SINGLE(IA_fixedopex_real),2,HM_ZA_Nkossa!date_offset_HM1994)*_xlfn.SINGLE(IA_esc_index)),0)</f>
        <v>0</v>
      </c>
      <c r="P188" s="49">
        <f ca="1">IF(P4&gt;=YEAR(HM_ZA_Nkossa!effective_date_HM1994),(OFFSET(_xlfn.SINGLE(IA_fixedopex_real),2,HM_ZA_Nkossa!date_offset_HM1994)*_xlfn.SINGLE(IA_esc_index)),0)</f>
        <v>0</v>
      </c>
      <c r="Q188" s="49">
        <f ca="1">IF(Q4&gt;=YEAR(HM_ZA_Nkossa!effective_date_HM1994),(OFFSET(_xlfn.SINGLE(IA_fixedopex_real),2,HM_ZA_Nkossa!date_offset_HM1994)*_xlfn.SINGLE(IA_esc_index)),0)</f>
        <v>0</v>
      </c>
      <c r="R188" s="49">
        <f ca="1">IF(R4&gt;=YEAR(HM_ZA_Nkossa!effective_date_HM1994),(OFFSET(_xlfn.SINGLE(IA_fixedopex_real),2,HM_ZA_Nkossa!date_offset_HM1994)*_xlfn.SINGLE(IA_esc_index)),0)</f>
        <v>0</v>
      </c>
      <c r="S188" s="49">
        <f ca="1">IF(S4&gt;=YEAR(HM_ZA_Nkossa!effective_date_HM1994),(OFFSET(_xlfn.SINGLE(IA_fixedopex_real),2,HM_ZA_Nkossa!date_offset_HM1994)*_xlfn.SINGLE(IA_esc_index)),0)</f>
        <v>0</v>
      </c>
      <c r="T188" s="49">
        <f ca="1">IF(T4&gt;=YEAR(HM_ZA_Nkossa!effective_date_HM1994),(OFFSET(_xlfn.SINGLE(IA_fixedopex_real),2,HM_ZA_Nkossa!date_offset_HM1994)*_xlfn.SINGLE(IA_esc_index)),0)*(1+df_opex_sens)</f>
        <v>0</v>
      </c>
      <c r="U188" s="49">
        <f ca="1">IF(U4&gt;=YEAR(HM_ZA_Nkossa!effective_date_HM1994),(OFFSET(_xlfn.SINGLE(IA_fixedopex_real),2,HM_ZA_Nkossa!date_offset_HM1994)*_xlfn.SINGLE(IA_esc_index)),0)*(1+df_opex_sens)</f>
        <v>0</v>
      </c>
      <c r="V188" s="49">
        <f ca="1">IF(V4&gt;=YEAR(HM_ZA_Nkossa!effective_date_HM1994),(OFFSET(_xlfn.SINGLE(IA_fixedopex_real),2,HM_ZA_Nkossa!date_offset_HM1994)*_xlfn.SINGLE(IA_esc_index)),0)*(1+df_opex_sens)</f>
        <v>0</v>
      </c>
      <c r="W188" s="49">
        <f ca="1">IF(W4&gt;=YEAR(HM_ZA_Nkossa!effective_date_HM1994),(OFFSET(_xlfn.SINGLE(IA_fixedopex_real),2,HM_ZA_Nkossa!date_offset_HM1994)*_xlfn.SINGLE(IA_esc_index)),0)*(1+df_opex_sens)</f>
        <v>0</v>
      </c>
      <c r="X188" s="49">
        <f ca="1">IF(X4&gt;=YEAR(HM_ZA_Nkossa!effective_date_HM1994),(OFFSET(_xlfn.SINGLE(IA_fixedopex_real),2,HM_ZA_Nkossa!date_offset_HM1994)*_xlfn.SINGLE(IA_esc_index)),0)*(1+df_opex_sens)</f>
        <v>0</v>
      </c>
      <c r="Y188" s="49">
        <f ca="1">IF(Y4&gt;=YEAR(HM_ZA_Nkossa!effective_date_HM1994),(OFFSET(_xlfn.SINGLE(IA_fixedopex_real),2,HM_ZA_Nkossa!date_offset_HM1994)*_xlfn.SINGLE(IA_esc_index)),0)*(1+df_opex_sens)</f>
        <v>0</v>
      </c>
      <c r="Z188" s="49">
        <f ca="1">IF(Z4&gt;=YEAR(HM_ZA_Nkossa!effective_date_HM1994),(OFFSET(_xlfn.SINGLE(IA_fixedopex_real),2,HM_ZA_Nkossa!date_offset_HM1994)*_xlfn.SINGLE(IA_esc_index)),0)*(1+df_opex_sens)</f>
        <v>0</v>
      </c>
      <c r="AA188" s="49">
        <f ca="1">IF(AA4&gt;=YEAR(HM_ZA_Nkossa!effective_date_HM1994),(OFFSET(_xlfn.SINGLE(IA_fixedopex_real),2,HM_ZA_Nkossa!date_offset_HM1994)*_xlfn.SINGLE(IA_esc_index)),0)*(1+df_opex_sens)</f>
        <v>0</v>
      </c>
      <c r="AB188" s="49">
        <f ca="1">IF(AB4&gt;=YEAR(HM_ZA_Nkossa!effective_date_HM1994),(OFFSET(_xlfn.SINGLE(IA_fixedopex_real),2,HM_ZA_Nkossa!date_offset_HM1994)*_xlfn.SINGLE(IA_esc_index)),0)*(1+df_opex_sens)</f>
        <v>0</v>
      </c>
      <c r="AC188" s="49">
        <f ca="1">IF(AC4&gt;=YEAR(HM_ZA_Nkossa!effective_date_HM1994),(OFFSET(_xlfn.SINGLE(IA_fixedopex_real),2,HM_ZA_Nkossa!date_offset_HM1994)*_xlfn.SINGLE(IA_esc_index)),0)*(1+df_opex_sens)</f>
        <v>0</v>
      </c>
      <c r="AD188" s="49">
        <f ca="1">IF(AD4&gt;=YEAR(HM_ZA_Nkossa!effective_date_HM1994),(OFFSET(_xlfn.SINGLE(IA_fixedopex_real),2,HM_ZA_Nkossa!date_offset_HM1994)*_xlfn.SINGLE(IA_esc_index)),0)*(1+df_opex_sens)</f>
        <v>0</v>
      </c>
      <c r="AE188" s="49">
        <f ca="1">IF(AE4&gt;=YEAR(HM_ZA_Nkossa!effective_date_HM1994),(OFFSET(_xlfn.SINGLE(IA_fixedopex_real),2,HM_ZA_Nkossa!date_offset_HM1994)*_xlfn.SINGLE(IA_esc_index)),0)*(1+df_opex_sens)</f>
        <v>0</v>
      </c>
      <c r="AF188" s="49">
        <f ca="1">IF(AF4&gt;=YEAR(HM_ZA_Nkossa!effective_date_HM1994),(OFFSET(_xlfn.SINGLE(IA_fixedopex_real),2,HM_ZA_Nkossa!date_offset_HM1994)*_xlfn.SINGLE(IA_esc_index)),0)*(1+df_opex_sens)</f>
        <v>0</v>
      </c>
      <c r="AG188" s="49">
        <f ca="1">IF(AG4&gt;=YEAR(HM_ZA_Nkossa!effective_date_HM1994),(OFFSET(_xlfn.SINGLE(IA_fixedopex_real),2,HM_ZA_Nkossa!date_offset_HM1994)*_xlfn.SINGLE(IA_esc_index)),0)*(1+df_opex_sens)</f>
        <v>0</v>
      </c>
      <c r="AH188" s="49">
        <f ca="1">IF(AH4&gt;=YEAR(HM_ZA_Nkossa!effective_date_HM1994),(OFFSET(_xlfn.SINGLE(IA_fixedopex_real),2,HM_ZA_Nkossa!date_offset_HM1994)*_xlfn.SINGLE(IA_esc_index)),0)*(1+df_opex_sens)</f>
        <v>0</v>
      </c>
      <c r="AI188" s="49">
        <f ca="1">IF(AI4&gt;=YEAR(HM_ZA_Nkossa!effective_date_HM1994),(OFFSET(_xlfn.SINGLE(IA_fixedopex_real),2,HM_ZA_Nkossa!date_offset_HM1994)*_xlfn.SINGLE(IA_esc_index)),0)*(1+df_opex_sens)</f>
        <v>0</v>
      </c>
      <c r="AJ188" s="49">
        <f ca="1">IF(AJ4&gt;=YEAR(HM_ZA_Nkossa!effective_date_HM1994),(OFFSET(_xlfn.SINGLE(IA_fixedopex_real),2,HM_ZA_Nkossa!date_offset_HM1994)*_xlfn.SINGLE(IA_esc_index)),0)*(1+df_opex_sens)</f>
        <v>0</v>
      </c>
      <c r="AK188" s="49">
        <f ca="1">IF(AK4&gt;=YEAR(HM_ZA_Nkossa!effective_date_HM1994),(OFFSET(_xlfn.SINGLE(IA_fixedopex_real),2,HM_ZA_Nkossa!date_offset_HM1994)*_xlfn.SINGLE(IA_esc_index)),0)*(1+df_opex_sens)</f>
        <v>0</v>
      </c>
      <c r="AL188" s="49">
        <f ca="1">IF(AL4&gt;=YEAR(HM_ZA_Nkossa!effective_date_HM1994),(OFFSET(_xlfn.SINGLE(IA_fixedopex_real),2,HM_ZA_Nkossa!date_offset_HM1994)*_xlfn.SINGLE(IA_esc_index)),0)*(1+df_opex_sens)</f>
        <v>0</v>
      </c>
      <c r="AM188" s="49">
        <f ca="1">IF(AM4&gt;=YEAR(HM_ZA_Nkossa!effective_date_HM1994),(OFFSET(_xlfn.SINGLE(IA_fixedopex_real),2,HM_ZA_Nkossa!date_offset_HM1994)*_xlfn.SINGLE(IA_esc_index)),0)*(1+df_opex_sens)</f>
        <v>0</v>
      </c>
      <c r="AN188" s="49">
        <f ca="1">IF(AN4&gt;=YEAR(HM_ZA_Nkossa!effective_date_HM1994),(OFFSET(_xlfn.SINGLE(IA_fixedopex_real),2,HM_ZA_Nkossa!date_offset_HM1994)*_xlfn.SINGLE(IA_esc_index)),0)*(1+df_opex_sens)</f>
        <v>0</v>
      </c>
      <c r="AO188" s="49">
        <f ca="1">IF(AO4&gt;=YEAR(HM_ZA_Nkossa!effective_date_HM1994),(OFFSET(_xlfn.SINGLE(IA_fixedopex_real),2,HM_ZA_Nkossa!date_offset_HM1994)*_xlfn.SINGLE(IA_esc_index)),0)*(1+df_opex_sens)</f>
        <v>0</v>
      </c>
      <c r="AP188" s="49">
        <f ca="1">IF(AP4&gt;=YEAR(HM_ZA_Nkossa!effective_date_HM1994),(OFFSET(_xlfn.SINGLE(IA_fixedopex_real),2,HM_ZA_Nkossa!date_offset_HM1994)*_xlfn.SINGLE(IA_esc_index)),0)*(1+df_opex_sens)</f>
        <v>0</v>
      </c>
      <c r="AQ188" s="49">
        <f ca="1">IF(AQ4&gt;=YEAR(HM_ZA_Nkossa!effective_date_HM1994),(OFFSET(_xlfn.SINGLE(IA_fixedopex_real),2,HM_ZA_Nkossa!date_offset_HM1994)*_xlfn.SINGLE(IA_esc_index)),0)*(1+df_opex_sens)</f>
        <v>0</v>
      </c>
      <c r="AR188" s="49">
        <f ca="1">IF(AR4&gt;=YEAR(HM_ZA_Nkossa!effective_date_HM1994),(OFFSET(_xlfn.SINGLE(IA_fixedopex_real),2,HM_ZA_Nkossa!date_offset_HM1994)*_xlfn.SINGLE(IA_esc_index)),0)*(1+df_opex_sens)</f>
        <v>0</v>
      </c>
      <c r="AS188" s="49">
        <f ca="1">IF(AS4&gt;=YEAR(HM_ZA_Nkossa!effective_date_HM1994),(OFFSET(_xlfn.SINGLE(IA_fixedopex_real),2,HM_ZA_Nkossa!date_offset_HM1994)*_xlfn.SINGLE(IA_esc_index)),0)*(1+df_opex_sens)</f>
        <v>0</v>
      </c>
      <c r="AT188" s="49">
        <f ca="1">IF(AT4&gt;=YEAR(HM_ZA_Nkossa!effective_date_HM1994),(OFFSET(_xlfn.SINGLE(IA_fixedopex_real),2,HM_ZA_Nkossa!date_offset_HM1994)*_xlfn.SINGLE(IA_esc_index)),0)*(1+df_opex_sens)</f>
        <v>0</v>
      </c>
      <c r="AU188" s="49">
        <f ca="1">IF(AU4&gt;=YEAR(HM_ZA_Nkossa!effective_date_HM1994),(OFFSET(_xlfn.SINGLE(IA_fixedopex_real),2,HM_ZA_Nkossa!date_offset_HM1994)*_xlfn.SINGLE(IA_esc_index)),0)*(1+df_opex_sens)</f>
        <v>0</v>
      </c>
      <c r="AV188" s="49">
        <f ca="1">IF(AV4&gt;=YEAR(HM_ZA_Nkossa!effective_date_HM1994),(OFFSET(_xlfn.SINGLE(IA_fixedopex_real),2,HM_ZA_Nkossa!date_offset_HM1994)*_xlfn.SINGLE(IA_esc_index)),0)*(1+df_opex_sens)</f>
        <v>0</v>
      </c>
      <c r="AW188" s="49">
        <f ca="1">IF(AW4&gt;=YEAR(HM_ZA_Nkossa!effective_date_HM1994),(OFFSET(_xlfn.SINGLE(IA_fixedopex_real),2,HM_ZA_Nkossa!date_offset_HM1994)*_xlfn.SINGLE(IA_esc_index)),0)*(1+df_opex_sens)</f>
        <v>0</v>
      </c>
      <c r="AX188" s="49">
        <f ca="1">IF(AX4&gt;=YEAR(HM_ZA_Nkossa!effective_date_HM1994),(OFFSET(_xlfn.SINGLE(IA_fixedopex_real),2,HM_ZA_Nkossa!date_offset_HM1994)*_xlfn.SINGLE(IA_esc_index)),0)*(1+df_opex_sens)</f>
        <v>0</v>
      </c>
      <c r="AY188" s="49">
        <f ca="1">IF(AY4&gt;=YEAR(HM_ZA_Nkossa!effective_date_HM1994),(OFFSET(_xlfn.SINGLE(IA_fixedopex_real),2,HM_ZA_Nkossa!date_offset_HM1994)*_xlfn.SINGLE(IA_esc_index)),0)*(1+df_opex_sens)</f>
        <v>0</v>
      </c>
      <c r="AZ188" s="49">
        <f ca="1">IF(AZ4&gt;=YEAR(HM_ZA_Nkossa!effective_date_HM1994),(OFFSET(_xlfn.SINGLE(IA_fixedopex_real),2,HM_ZA_Nkossa!date_offset_HM1994)*_xlfn.SINGLE(IA_esc_index)),0)*(1+df_opex_sens)</f>
        <v>0</v>
      </c>
      <c r="BA188" s="49">
        <f ca="1">IF(BA4&gt;=YEAR(HM_ZA_Nkossa!effective_date_HM1994),(OFFSET(_xlfn.SINGLE(IA_fixedopex_real),2,HM_ZA_Nkossa!date_offset_HM1994)*_xlfn.SINGLE(IA_esc_index)),0)*(1+df_opex_sens)</f>
        <v>0</v>
      </c>
      <c r="BB188" s="49">
        <f ca="1">IF(BB4&gt;=YEAR(HM_ZA_Nkossa!effective_date_HM1994),(OFFSET(_xlfn.SINGLE(IA_fixedopex_real),2,HM_ZA_Nkossa!date_offset_HM1994)*_xlfn.SINGLE(IA_esc_index)),0)*(1+df_opex_sens)</f>
        <v>0</v>
      </c>
      <c r="BC188" s="49">
        <f ca="1">IF(BC4&gt;=YEAR(HM_ZA_Nkossa!effective_date_HM1994),(OFFSET(_xlfn.SINGLE(IA_fixedopex_real),2,HM_ZA_Nkossa!date_offset_HM1994)*_xlfn.SINGLE(IA_esc_index)),0)*(1+df_opex_sens)</f>
        <v>0</v>
      </c>
      <c r="BD188" s="49">
        <f ca="1">IF(BD4&gt;=YEAR(HM_ZA_Nkossa!effective_date_HM1994),(OFFSET(_xlfn.SINGLE(IA_fixedopex_real),2,HM_ZA_Nkossa!date_offset_HM1994)*_xlfn.SINGLE(IA_esc_index)),0)*(1+df_opex_sens)</f>
        <v>0</v>
      </c>
      <c r="BE188" s="49">
        <f ca="1">IF(BE4&gt;=YEAR(HM_ZA_Nkossa!effective_date_HM1994),(OFFSET(_xlfn.SINGLE(IA_fixedopex_real),2,HM_ZA_Nkossa!date_offset_HM1994)*_xlfn.SINGLE(IA_esc_index)),0)*(1+df_opex_sens)</f>
        <v>0</v>
      </c>
      <c r="BF188" s="49">
        <f ca="1">IF(BF4&gt;=YEAR(HM_ZA_Nkossa!effective_date_HM1994),(OFFSET(_xlfn.SINGLE(IA_fixedopex_real),2,HM_ZA_Nkossa!date_offset_HM1994)*_xlfn.SINGLE(IA_esc_index)),0)*(1+df_opex_sens)</f>
        <v>0</v>
      </c>
      <c r="BG188" s="49">
        <f ca="1">IF(BG4&gt;=YEAR(HM_ZA_Nkossa!effective_date_HM1994),(OFFSET(_xlfn.SINGLE(IA_fixedopex_real),2,HM_ZA_Nkossa!date_offset_HM1994)*_xlfn.SINGLE(IA_esc_index)),0)*(1+df_opex_sens)</f>
        <v>0</v>
      </c>
      <c r="BH188" s="49">
        <f ca="1">IF(BH4&gt;=YEAR(HM_ZA_Nkossa!effective_date_HM1994),(OFFSET(_xlfn.SINGLE(IA_fixedopex_real),2,HM_ZA_Nkossa!date_offset_HM1994)*_xlfn.SINGLE(IA_esc_index)),0)*(1+df_opex_sens)</f>
        <v>0</v>
      </c>
      <c r="BI188" s="49">
        <f ca="1">IF(BI4&gt;=YEAR(HM_ZA_Nkossa!effective_date_HM1994),(OFFSET(_xlfn.SINGLE(IA_fixedopex_real),2,HM_ZA_Nkossa!date_offset_HM1994)*_xlfn.SINGLE(IA_esc_index)),0)*(1+df_opex_sens)</f>
        <v>0</v>
      </c>
      <c r="BJ188" s="49">
        <f ca="1">IF(BJ4&gt;=YEAR(HM_ZA_Nkossa!effective_date_HM1994),(OFFSET(_xlfn.SINGLE(IA_fixedopex_real),2,HM_ZA_Nkossa!date_offset_HM1994)*_xlfn.SINGLE(IA_esc_index)),0)*(1+df_opex_sens)</f>
        <v>0</v>
      </c>
      <c r="BK188" s="49">
        <f ca="1">IF(BK4&gt;=YEAR(HM_ZA_Nkossa!effective_date_HM1994),(OFFSET(_xlfn.SINGLE(IA_fixedopex_real),2,HM_ZA_Nkossa!date_offset_HM1994)*_xlfn.SINGLE(IA_esc_index)),0)*(1+df_opex_sens)</f>
        <v>0</v>
      </c>
      <c r="BL188" s="49">
        <f ca="1">IF(BL4&gt;=YEAR(HM_ZA_Nkossa!effective_date_HM1994),(OFFSET(_xlfn.SINGLE(IA_fixedopex_real),2,HM_ZA_Nkossa!date_offset_HM1994)*_xlfn.SINGLE(IA_esc_index)),0)*(1+df_opex_sens)</f>
        <v>0</v>
      </c>
      <c r="BM188" s="49">
        <f ca="1">IF(BM4&gt;=YEAR(HM_ZA_Nkossa!effective_date_HM1994),(OFFSET(_xlfn.SINGLE(IA_fixedopex_real),2,HM_ZA_Nkossa!date_offset_HM1994)*_xlfn.SINGLE(IA_esc_index)),0)*(1+df_opex_sens)</f>
        <v>0</v>
      </c>
      <c r="BN188" s="49">
        <f ca="1">IF(BN4&gt;=YEAR(HM_ZA_Nkossa!effective_date_HM1994),(OFFSET(_xlfn.SINGLE(IA_fixedopex_real),2,HM_ZA_Nkossa!date_offset_HM1994)*_xlfn.SINGLE(IA_esc_index)),0)*(1+df_opex_sens)</f>
        <v>0</v>
      </c>
      <c r="BO188" s="49">
        <f ca="1">IF(BO4&gt;=YEAR(HM_ZA_Nkossa!effective_date_HM1994),(OFFSET(_xlfn.SINGLE(IA_fixedopex_real),2,HM_ZA_Nkossa!date_offset_HM1994)*_xlfn.SINGLE(IA_esc_index)),0)*(1+df_opex_sens)</f>
        <v>0</v>
      </c>
      <c r="BP188" s="49">
        <f ca="1">IF(BP4&gt;=YEAR(HM_ZA_Nkossa!effective_date_HM1994),(OFFSET(_xlfn.SINGLE(IA_fixedopex_real),2,HM_ZA_Nkossa!date_offset_HM1994)*_xlfn.SINGLE(IA_esc_index)),0)*(1+df_opex_sens)</f>
        <v>0</v>
      </c>
      <c r="BQ188" s="49">
        <f ca="1">IF(BQ4&gt;=YEAR(HM_ZA_Nkossa!effective_date_HM1994),(OFFSET(_xlfn.SINGLE(IA_fixedopex_real),2,HM_ZA_Nkossa!date_offset_HM1994)*_xlfn.SINGLE(IA_esc_index)),0)*(1+df_opex_sens)</f>
        <v>0</v>
      </c>
      <c r="BR188" s="49">
        <f ca="1">IF(BR4&gt;=YEAR(HM_ZA_Nkossa!effective_date_HM1994),(OFFSET(_xlfn.SINGLE(IA_fixedopex_real),2,HM_ZA_Nkossa!date_offset_HM1994)*_xlfn.SINGLE(IA_esc_index)),0)*(1+df_opex_sens)</f>
        <v>0</v>
      </c>
      <c r="BS188" s="49">
        <f ca="1">IF(BS4&gt;=YEAR(HM_ZA_Nkossa!effective_date_HM1994),(OFFSET(_xlfn.SINGLE(IA_fixedopex_real),2,HM_ZA_Nkossa!date_offset_HM1994)*_xlfn.SINGLE(IA_esc_index)),0)*(1+df_opex_sens)</f>
        <v>0</v>
      </c>
    </row>
    <row r="189" spans="1:71" outlineLevel="1" x14ac:dyDescent="0.2">
      <c r="J189" s="26"/>
      <c r="L189" s="55"/>
      <c r="M189" s="55"/>
      <c r="N189" s="55"/>
      <c r="O189" s="55"/>
      <c r="P189" s="55"/>
      <c r="Q189" s="55"/>
      <c r="R189" s="55"/>
      <c r="S189" s="55"/>
      <c r="T189" s="55"/>
      <c r="U189" s="55"/>
      <c r="V189" s="55"/>
      <c r="W189" s="55"/>
      <c r="X189" s="55"/>
      <c r="Y189" s="55"/>
      <c r="Z189" s="55"/>
      <c r="AA189" s="55"/>
      <c r="AB189" s="55"/>
      <c r="AC189" s="55"/>
      <c r="AD189" s="55"/>
      <c r="AE189" s="55"/>
      <c r="AF189" s="55"/>
      <c r="AG189" s="55"/>
      <c r="AH189" s="55"/>
      <c r="AI189" s="55"/>
      <c r="AJ189" s="55"/>
      <c r="AK189" s="55"/>
      <c r="AL189" s="55"/>
      <c r="AM189" s="55"/>
      <c r="AN189" s="55"/>
      <c r="AO189" s="55"/>
      <c r="AP189" s="55"/>
      <c r="AQ189" s="55"/>
      <c r="AR189" s="55"/>
      <c r="AS189" s="55"/>
      <c r="AT189" s="55"/>
      <c r="AU189" s="55"/>
      <c r="AV189" s="55"/>
      <c r="AW189" s="55"/>
      <c r="AX189" s="55"/>
      <c r="AY189" s="55"/>
      <c r="AZ189" s="55"/>
      <c r="BA189" s="55"/>
      <c r="BB189" s="55"/>
      <c r="BC189" s="55"/>
      <c r="BD189" s="55"/>
      <c r="BE189" s="55"/>
      <c r="BF189" s="55"/>
      <c r="BG189" s="55"/>
      <c r="BH189" s="55"/>
      <c r="BI189" s="55"/>
      <c r="BJ189" s="55"/>
      <c r="BK189" s="55"/>
      <c r="BL189" s="55"/>
      <c r="BM189" s="55"/>
      <c r="BN189" s="55"/>
      <c r="BO189" s="55"/>
      <c r="BP189" s="55"/>
      <c r="BQ189" s="55"/>
      <c r="BR189" s="55"/>
      <c r="BS189" s="55"/>
    </row>
    <row r="190" spans="1:71" outlineLevel="1" x14ac:dyDescent="0.2">
      <c r="J190" s="26"/>
      <c r="L190" s="55"/>
      <c r="M190" s="55"/>
      <c r="N190" s="55"/>
      <c r="O190" s="55"/>
      <c r="P190" s="55"/>
      <c r="Q190" s="55"/>
      <c r="R190" s="55"/>
      <c r="S190" s="55"/>
      <c r="T190" s="55"/>
      <c r="U190" s="55"/>
      <c r="V190" s="55"/>
      <c r="W190" s="55"/>
      <c r="X190" s="55"/>
      <c r="Y190" s="55"/>
      <c r="Z190" s="55"/>
      <c r="AA190" s="55"/>
      <c r="AB190" s="55"/>
      <c r="AC190" s="55"/>
      <c r="AD190" s="55"/>
      <c r="AE190" s="55"/>
      <c r="AF190" s="55"/>
      <c r="AG190" s="55"/>
      <c r="AH190" s="55"/>
      <c r="AI190" s="55"/>
      <c r="AJ190" s="55"/>
      <c r="AK190" s="55"/>
      <c r="AL190" s="55"/>
      <c r="AM190" s="55"/>
      <c r="AN190" s="55"/>
      <c r="AO190" s="55"/>
      <c r="AP190" s="55"/>
      <c r="AQ190" s="55"/>
      <c r="AR190" s="55"/>
      <c r="AS190" s="55"/>
      <c r="AT190" s="55"/>
      <c r="AU190" s="55"/>
      <c r="AV190" s="55"/>
      <c r="AW190" s="55"/>
      <c r="AX190" s="55"/>
      <c r="AY190" s="55"/>
      <c r="AZ190" s="55"/>
      <c r="BA190" s="55"/>
      <c r="BB190" s="55"/>
      <c r="BC190" s="55"/>
      <c r="BD190" s="55"/>
      <c r="BE190" s="55"/>
      <c r="BF190" s="55"/>
      <c r="BG190" s="55"/>
      <c r="BH190" s="55"/>
      <c r="BI190" s="55"/>
      <c r="BJ190" s="55"/>
      <c r="BK190" s="55"/>
      <c r="BL190" s="55"/>
      <c r="BM190" s="55"/>
      <c r="BN190" s="55"/>
      <c r="BO190" s="55"/>
      <c r="BP190" s="55"/>
      <c r="BQ190" s="55"/>
      <c r="BR190" s="55"/>
      <c r="BS190" s="55"/>
    </row>
    <row r="191" spans="1:71" outlineLevel="1" x14ac:dyDescent="0.2">
      <c r="D191" s="11" t="str">
        <f>CHOOSE(db_ML_selected,'Liste Traduction'!B201,'Liste Traduction'!C201)</f>
        <v>Total Opex</v>
      </c>
      <c r="I191" s="30">
        <f ca="1">SUM($L191:$BS191)</f>
        <v>1434.5774916640003</v>
      </c>
      <c r="J191" s="26" t="s">
        <v>148</v>
      </c>
      <c r="K191" s="7" t="s">
        <v>166</v>
      </c>
      <c r="L191" s="49">
        <f ca="1">SUM(L188,L185)</f>
        <v>212.22900000000001</v>
      </c>
      <c r="M191" s="49">
        <f t="shared" ref="M191:BS191" ca="1" si="39">SUM(M188,M185)</f>
        <v>176.756</v>
      </c>
      <c r="N191" s="49">
        <f t="shared" ca="1" si="39"/>
        <v>125.261</v>
      </c>
      <c r="O191" s="49">
        <f t="shared" ca="1" si="39"/>
        <v>157.50200000000001</v>
      </c>
      <c r="P191" s="49">
        <f t="shared" ca="1" si="39"/>
        <v>196.16</v>
      </c>
      <c r="Q191" s="49">
        <f t="shared" ca="1" si="39"/>
        <v>89.2</v>
      </c>
      <c r="R191" s="49">
        <f t="shared" ca="1" si="39"/>
        <v>77.2</v>
      </c>
      <c r="S191" s="49">
        <f t="shared" ca="1" si="39"/>
        <v>66.2</v>
      </c>
      <c r="T191" s="49">
        <f t="shared" ca="1" si="39"/>
        <v>65.5</v>
      </c>
      <c r="U191" s="49">
        <f t="shared" ca="1" si="39"/>
        <v>66.198000000000008</v>
      </c>
      <c r="V191" s="49">
        <f t="shared" ca="1" si="39"/>
        <v>66.793680000000009</v>
      </c>
      <c r="W191" s="49">
        <f t="shared" ca="1" si="39"/>
        <v>67.492828799999998</v>
      </c>
      <c r="X191" s="49">
        <f t="shared" ca="1" si="39"/>
        <v>68.084982863999997</v>
      </c>
      <c r="Y191" s="49">
        <f t="shared" ca="1" si="39"/>
        <v>0</v>
      </c>
      <c r="Z191" s="49">
        <f t="shared" ca="1" si="39"/>
        <v>0</v>
      </c>
      <c r="AA191" s="49">
        <f t="shared" ca="1" si="39"/>
        <v>0</v>
      </c>
      <c r="AB191" s="49">
        <f t="shared" ca="1" si="39"/>
        <v>0</v>
      </c>
      <c r="AC191" s="49">
        <f t="shared" ca="1" si="39"/>
        <v>0</v>
      </c>
      <c r="AD191" s="49">
        <f t="shared" ca="1" si="39"/>
        <v>0</v>
      </c>
      <c r="AE191" s="49">
        <f t="shared" ca="1" si="39"/>
        <v>0</v>
      </c>
      <c r="AF191" s="49">
        <f t="shared" ca="1" si="39"/>
        <v>0</v>
      </c>
      <c r="AG191" s="49">
        <f t="shared" ca="1" si="39"/>
        <v>0</v>
      </c>
      <c r="AH191" s="49">
        <f t="shared" ca="1" si="39"/>
        <v>0</v>
      </c>
      <c r="AI191" s="49">
        <f t="shared" ca="1" si="39"/>
        <v>0</v>
      </c>
      <c r="AJ191" s="49">
        <f t="shared" ca="1" si="39"/>
        <v>0</v>
      </c>
      <c r="AK191" s="49">
        <f t="shared" ca="1" si="39"/>
        <v>0</v>
      </c>
      <c r="AL191" s="49">
        <f t="shared" ca="1" si="39"/>
        <v>0</v>
      </c>
      <c r="AM191" s="49">
        <f t="shared" ca="1" si="39"/>
        <v>0</v>
      </c>
      <c r="AN191" s="49">
        <f t="shared" ca="1" si="39"/>
        <v>0</v>
      </c>
      <c r="AO191" s="49">
        <f t="shared" ca="1" si="39"/>
        <v>0</v>
      </c>
      <c r="AP191" s="49">
        <f t="shared" ca="1" si="39"/>
        <v>0</v>
      </c>
      <c r="AQ191" s="49">
        <f t="shared" ca="1" si="39"/>
        <v>0</v>
      </c>
      <c r="AR191" s="49">
        <f t="shared" ca="1" si="39"/>
        <v>0</v>
      </c>
      <c r="AS191" s="49">
        <f t="shared" ca="1" si="39"/>
        <v>0</v>
      </c>
      <c r="AT191" s="49">
        <f t="shared" ca="1" si="39"/>
        <v>0</v>
      </c>
      <c r="AU191" s="49">
        <f t="shared" ca="1" si="39"/>
        <v>0</v>
      </c>
      <c r="AV191" s="49">
        <f t="shared" ca="1" si="39"/>
        <v>0</v>
      </c>
      <c r="AW191" s="49">
        <f t="shared" ca="1" si="39"/>
        <v>0</v>
      </c>
      <c r="AX191" s="49">
        <f t="shared" ca="1" si="39"/>
        <v>0</v>
      </c>
      <c r="AY191" s="49">
        <f t="shared" ca="1" si="39"/>
        <v>0</v>
      </c>
      <c r="AZ191" s="49">
        <f t="shared" ca="1" si="39"/>
        <v>0</v>
      </c>
      <c r="BA191" s="49">
        <f t="shared" ca="1" si="39"/>
        <v>0</v>
      </c>
      <c r="BB191" s="49">
        <f t="shared" ca="1" si="39"/>
        <v>0</v>
      </c>
      <c r="BC191" s="49">
        <f t="shared" ca="1" si="39"/>
        <v>0</v>
      </c>
      <c r="BD191" s="49">
        <f t="shared" ca="1" si="39"/>
        <v>0</v>
      </c>
      <c r="BE191" s="49">
        <f t="shared" ca="1" si="39"/>
        <v>0</v>
      </c>
      <c r="BF191" s="49">
        <f t="shared" ca="1" si="39"/>
        <v>0</v>
      </c>
      <c r="BG191" s="49">
        <f t="shared" ca="1" si="39"/>
        <v>0</v>
      </c>
      <c r="BH191" s="49">
        <f t="shared" ca="1" si="39"/>
        <v>0</v>
      </c>
      <c r="BI191" s="49">
        <f t="shared" ca="1" si="39"/>
        <v>0</v>
      </c>
      <c r="BJ191" s="49">
        <f t="shared" ca="1" si="39"/>
        <v>0</v>
      </c>
      <c r="BK191" s="49">
        <f t="shared" ca="1" si="39"/>
        <v>0</v>
      </c>
      <c r="BL191" s="49">
        <f t="shared" ca="1" si="39"/>
        <v>0</v>
      </c>
      <c r="BM191" s="49">
        <f t="shared" ca="1" si="39"/>
        <v>0</v>
      </c>
      <c r="BN191" s="49">
        <f t="shared" ca="1" si="39"/>
        <v>0</v>
      </c>
      <c r="BO191" s="49">
        <f t="shared" ca="1" si="39"/>
        <v>0</v>
      </c>
      <c r="BP191" s="49">
        <f t="shared" ca="1" si="39"/>
        <v>0</v>
      </c>
      <c r="BQ191" s="49">
        <f t="shared" ca="1" si="39"/>
        <v>0</v>
      </c>
      <c r="BR191" s="49">
        <f t="shared" ca="1" si="39"/>
        <v>0</v>
      </c>
      <c r="BS191" s="49">
        <f t="shared" ca="1" si="39"/>
        <v>0</v>
      </c>
    </row>
    <row r="192" spans="1:71" outlineLevel="1" x14ac:dyDescent="0.2">
      <c r="J192" s="26"/>
      <c r="L192" s="55"/>
      <c r="M192" s="55"/>
      <c r="N192" s="55"/>
      <c r="O192" s="55"/>
      <c r="P192" s="55"/>
      <c r="Q192" s="55"/>
      <c r="R192" s="55"/>
      <c r="S192" s="55"/>
      <c r="T192" s="55"/>
      <c r="U192" s="55"/>
      <c r="V192" s="55"/>
      <c r="W192" s="55"/>
      <c r="X192" s="55"/>
      <c r="Y192" s="55"/>
      <c r="Z192" s="55"/>
      <c r="AA192" s="55"/>
      <c r="AB192" s="55"/>
      <c r="AC192" s="55"/>
      <c r="AD192" s="55"/>
      <c r="AE192" s="55"/>
      <c r="AF192" s="55"/>
      <c r="AG192" s="55"/>
      <c r="AH192" s="55"/>
      <c r="AI192" s="55"/>
      <c r="AJ192" s="55"/>
      <c r="AK192" s="55"/>
      <c r="AL192" s="55"/>
      <c r="AM192" s="55"/>
      <c r="AN192" s="55"/>
      <c r="AO192" s="55"/>
      <c r="AP192" s="55"/>
      <c r="AQ192" s="55"/>
      <c r="AR192" s="55"/>
      <c r="AS192" s="55"/>
      <c r="AT192" s="55"/>
      <c r="AU192" s="55"/>
      <c r="AV192" s="55"/>
      <c r="AW192" s="55"/>
      <c r="AX192" s="55"/>
      <c r="AY192" s="55"/>
      <c r="AZ192" s="55"/>
      <c r="BA192" s="55"/>
      <c r="BB192" s="55"/>
      <c r="BC192" s="55"/>
      <c r="BD192" s="55"/>
      <c r="BE192" s="55"/>
      <c r="BF192" s="55"/>
      <c r="BG192" s="55"/>
      <c r="BH192" s="55"/>
      <c r="BI192" s="55"/>
      <c r="BJ192" s="55"/>
      <c r="BK192" s="55"/>
      <c r="BL192" s="55"/>
      <c r="BM192" s="55"/>
      <c r="BN192" s="55"/>
      <c r="BO192" s="55"/>
      <c r="BP192" s="55"/>
      <c r="BQ192" s="55"/>
      <c r="BR192" s="55"/>
      <c r="BS192" s="55"/>
    </row>
    <row r="193" spans="1:71" outlineLevel="1" x14ac:dyDescent="0.2">
      <c r="J193" s="26"/>
      <c r="L193" s="55"/>
      <c r="M193" s="55"/>
      <c r="N193" s="55"/>
      <c r="O193" s="55"/>
      <c r="P193" s="55"/>
      <c r="Q193" s="55"/>
      <c r="R193" s="55"/>
      <c r="S193" s="55"/>
      <c r="T193" s="55"/>
      <c r="U193" s="55"/>
      <c r="V193" s="55"/>
      <c r="W193" s="55"/>
      <c r="X193" s="55"/>
      <c r="Y193" s="55"/>
      <c r="Z193" s="55"/>
      <c r="AA193" s="55"/>
      <c r="AB193" s="55"/>
      <c r="AC193" s="55"/>
      <c r="AD193" s="55"/>
      <c r="AE193" s="55"/>
      <c r="AF193" s="55"/>
      <c r="AG193" s="55"/>
      <c r="AH193" s="55"/>
      <c r="AI193" s="55"/>
      <c r="AJ193" s="55"/>
      <c r="AK193" s="55"/>
      <c r="AL193" s="55"/>
      <c r="AM193" s="55"/>
      <c r="AN193" s="55"/>
      <c r="AO193" s="55"/>
      <c r="AP193" s="55"/>
      <c r="AQ193" s="55"/>
      <c r="AR193" s="55"/>
      <c r="AS193" s="55"/>
      <c r="AT193" s="55"/>
      <c r="AU193" s="55"/>
      <c r="AV193" s="55"/>
      <c r="AW193" s="55"/>
      <c r="AX193" s="55"/>
      <c r="AY193" s="55"/>
      <c r="AZ193" s="55"/>
      <c r="BA193" s="55"/>
      <c r="BB193" s="55"/>
      <c r="BC193" s="55"/>
      <c r="BD193" s="55"/>
      <c r="BE193" s="55"/>
      <c r="BF193" s="55"/>
      <c r="BG193" s="55"/>
      <c r="BH193" s="55"/>
      <c r="BI193" s="55"/>
      <c r="BJ193" s="55"/>
      <c r="BK193" s="55"/>
      <c r="BL193" s="55"/>
      <c r="BM193" s="55"/>
      <c r="BN193" s="55"/>
      <c r="BO193" s="55"/>
      <c r="BP193" s="55"/>
      <c r="BQ193" s="55"/>
      <c r="BR193" s="55"/>
      <c r="BS193" s="55"/>
    </row>
    <row r="194" spans="1:71" outlineLevel="1" x14ac:dyDescent="0.2">
      <c r="A194" s="45"/>
      <c r="B194" s="38" t="str">
        <f>CHOOSE(db_ML_selected,'Liste Traduction'!B301,'Liste Traduction'!C301)</f>
        <v>Coûts de développement</v>
      </c>
      <c r="C194" s="45"/>
      <c r="D194" s="45"/>
      <c r="E194" s="45"/>
      <c r="J194" s="26"/>
      <c r="L194" s="55"/>
      <c r="M194" s="55"/>
      <c r="N194" s="55"/>
      <c r="O194" s="55"/>
      <c r="P194" s="55"/>
      <c r="Q194" s="55"/>
      <c r="R194" s="55"/>
      <c r="S194" s="55"/>
      <c r="T194" s="55"/>
      <c r="U194" s="55"/>
      <c r="V194" s="55"/>
      <c r="W194" s="55"/>
      <c r="X194" s="55"/>
      <c r="Y194" s="55"/>
      <c r="Z194" s="55"/>
      <c r="AA194" s="55"/>
      <c r="AB194" s="55"/>
      <c r="AC194" s="55"/>
      <c r="AD194" s="55"/>
      <c r="AE194" s="55"/>
      <c r="AF194" s="55"/>
      <c r="AG194" s="55"/>
      <c r="AH194" s="55"/>
      <c r="AI194" s="55"/>
      <c r="AJ194" s="55"/>
      <c r="AK194" s="55"/>
      <c r="AL194" s="55"/>
      <c r="AM194" s="55"/>
      <c r="AN194" s="55"/>
      <c r="AO194" s="55"/>
      <c r="AP194" s="55"/>
      <c r="AQ194" s="55"/>
      <c r="AR194" s="55"/>
      <c r="AS194" s="55"/>
      <c r="AT194" s="55"/>
      <c r="AU194" s="55"/>
      <c r="AV194" s="55"/>
      <c r="AW194" s="55"/>
      <c r="AX194" s="55"/>
      <c r="AY194" s="55"/>
      <c r="AZ194" s="55"/>
      <c r="BA194" s="55"/>
      <c r="BB194" s="55"/>
      <c r="BC194" s="55"/>
      <c r="BD194" s="55"/>
      <c r="BE194" s="55"/>
      <c r="BF194" s="55"/>
      <c r="BG194" s="55"/>
      <c r="BH194" s="55"/>
      <c r="BI194" s="55"/>
      <c r="BJ194" s="55"/>
      <c r="BK194" s="55"/>
      <c r="BL194" s="55"/>
      <c r="BM194" s="55"/>
      <c r="BN194" s="55"/>
      <c r="BO194" s="55"/>
      <c r="BP194" s="55"/>
      <c r="BQ194" s="55"/>
      <c r="BR194" s="55"/>
      <c r="BS194" s="55"/>
    </row>
    <row r="195" spans="1:71" outlineLevel="1" x14ac:dyDescent="0.2">
      <c r="J195" s="26"/>
      <c r="L195" s="55"/>
      <c r="M195" s="55"/>
      <c r="N195" s="55"/>
      <c r="O195" s="55"/>
      <c r="P195" s="55"/>
      <c r="Q195" s="55"/>
      <c r="R195" s="55"/>
      <c r="S195" s="55"/>
      <c r="T195" s="55"/>
      <c r="U195" s="55"/>
      <c r="V195" s="55"/>
      <c r="W195" s="55"/>
      <c r="X195" s="55"/>
      <c r="Y195" s="55"/>
      <c r="Z195" s="55"/>
      <c r="AA195" s="55"/>
      <c r="AB195" s="55"/>
      <c r="AC195" s="55"/>
      <c r="AD195" s="55"/>
      <c r="AE195" s="55"/>
      <c r="AF195" s="55"/>
      <c r="AG195" s="55"/>
      <c r="AH195" s="55"/>
      <c r="AI195" s="55"/>
      <c r="AJ195" s="55"/>
      <c r="AK195" s="55"/>
      <c r="AL195" s="55"/>
      <c r="AM195" s="55"/>
      <c r="AN195" s="55"/>
      <c r="AO195" s="55"/>
      <c r="AP195" s="55"/>
      <c r="AQ195" s="55"/>
      <c r="AR195" s="55"/>
      <c r="AS195" s="55"/>
      <c r="AT195" s="55"/>
      <c r="AU195" s="55"/>
      <c r="AV195" s="55"/>
      <c r="AW195" s="55"/>
      <c r="AX195" s="55"/>
      <c r="AY195" s="55"/>
      <c r="AZ195" s="55"/>
      <c r="BA195" s="55"/>
      <c r="BB195" s="55"/>
      <c r="BC195" s="55"/>
      <c r="BD195" s="55"/>
      <c r="BE195" s="55"/>
      <c r="BF195" s="55"/>
      <c r="BG195" s="55"/>
      <c r="BH195" s="55"/>
      <c r="BI195" s="55"/>
      <c r="BJ195" s="55"/>
      <c r="BK195" s="55"/>
      <c r="BL195" s="55"/>
      <c r="BM195" s="55"/>
      <c r="BN195" s="55"/>
      <c r="BO195" s="55"/>
      <c r="BP195" s="55"/>
      <c r="BQ195" s="55"/>
      <c r="BR195" s="55"/>
      <c r="BS195" s="55"/>
    </row>
    <row r="196" spans="1:71" outlineLevel="1" x14ac:dyDescent="0.2">
      <c r="C196" s="11" t="str">
        <f>CHOOSE(db_ML_selected,'Liste Traduction'!B302,'Liste Traduction'!C302)</f>
        <v>Coûts d'exploration et d'évaluation</v>
      </c>
      <c r="J196" s="26"/>
      <c r="L196" s="55"/>
      <c r="M196" s="55"/>
      <c r="N196" s="55"/>
      <c r="O196" s="55"/>
      <c r="P196" s="55"/>
      <c r="Q196" s="55"/>
      <c r="R196" s="55"/>
      <c r="S196" s="55"/>
      <c r="T196" s="55"/>
      <c r="U196" s="55"/>
      <c r="V196" s="55"/>
      <c r="W196" s="55"/>
      <c r="X196" s="55"/>
      <c r="Y196" s="55"/>
      <c r="Z196" s="55"/>
      <c r="AA196" s="55"/>
      <c r="AB196" s="55"/>
      <c r="AC196" s="55"/>
      <c r="AD196" s="55"/>
      <c r="AE196" s="55"/>
      <c r="AF196" s="55"/>
      <c r="AG196" s="55"/>
      <c r="AH196" s="55"/>
      <c r="AI196" s="55"/>
      <c r="AJ196" s="55"/>
      <c r="AK196" s="55"/>
      <c r="AL196" s="55"/>
      <c r="AM196" s="55"/>
      <c r="AN196" s="55"/>
      <c r="AO196" s="55"/>
      <c r="AP196" s="55"/>
      <c r="AQ196" s="55"/>
      <c r="AR196" s="55"/>
      <c r="AS196" s="55"/>
      <c r="AT196" s="55"/>
      <c r="AU196" s="55"/>
      <c r="AV196" s="55"/>
      <c r="AW196" s="55"/>
      <c r="AX196" s="55"/>
      <c r="AY196" s="55"/>
      <c r="AZ196" s="55"/>
      <c r="BA196" s="55"/>
      <c r="BB196" s="55"/>
      <c r="BC196" s="55"/>
      <c r="BD196" s="55"/>
      <c r="BE196" s="55"/>
      <c r="BF196" s="55"/>
      <c r="BG196" s="55"/>
      <c r="BH196" s="55"/>
      <c r="BI196" s="55"/>
      <c r="BJ196" s="55"/>
      <c r="BK196" s="55"/>
      <c r="BL196" s="55"/>
      <c r="BM196" s="55"/>
      <c r="BN196" s="55"/>
      <c r="BO196" s="55"/>
      <c r="BP196" s="55"/>
      <c r="BQ196" s="55"/>
      <c r="BR196" s="55"/>
      <c r="BS196" s="55"/>
    </row>
    <row r="197" spans="1:71" outlineLevel="1" x14ac:dyDescent="0.2">
      <c r="D197" t="str">
        <f>CHOOSE(db_ML_selected,'Liste Traduction'!B303,'Liste Traduction'!C303)</f>
        <v>Coûts Eploration récupérables (Nominal)</v>
      </c>
      <c r="I197" s="30">
        <f ca="1">SUM($L197:$BS197)</f>
        <v>0</v>
      </c>
      <c r="J197" s="26" t="s">
        <v>148</v>
      </c>
      <c r="K197" s="7" t="s">
        <v>171</v>
      </c>
      <c r="L197" s="49">
        <f ca="1">IF(L4&gt;=YEAR(HM_ZA_Nkossa!effective_date_HM1994),(OFFSET(_xlfn.SINGLE(IA_EandA_real),2,HM_ZA_Nkossa!date_offset_HM1994)*_xlfn.SINGLE(IA_esc_index)),0)</f>
        <v>0</v>
      </c>
      <c r="M197" s="49">
        <f ca="1">IF(M4&gt;=YEAR(HM_ZA_Nkossa!effective_date_HM1994),(OFFSET(_xlfn.SINGLE(IA_EandA_real),2,HM_ZA_Nkossa!date_offset_HM1994)*_xlfn.SINGLE(IA_esc_index)),0)</f>
        <v>0</v>
      </c>
      <c r="N197" s="49">
        <f ca="1">IF(N4&gt;=YEAR(HM_ZA_Nkossa!effective_date_HM1994),(OFFSET(_xlfn.SINGLE(IA_EandA_real),2,HM_ZA_Nkossa!date_offset_HM1994)*_xlfn.SINGLE(IA_esc_index)),0)</f>
        <v>0</v>
      </c>
      <c r="O197" s="49">
        <f ca="1">IF(O4&gt;=YEAR(HM_ZA_Nkossa!effective_date_HM1994),(OFFSET(_xlfn.SINGLE(IA_EandA_real),2,HM_ZA_Nkossa!date_offset_HM1994)*_xlfn.SINGLE(IA_esc_index)),0)</f>
        <v>0</v>
      </c>
      <c r="P197" s="49">
        <f ca="1">IF(P4&gt;=YEAR(HM_ZA_Nkossa!effective_date_HM1994),(OFFSET(_xlfn.SINGLE(IA_EandA_real),2,HM_ZA_Nkossa!date_offset_HM1994)*_xlfn.SINGLE(IA_esc_index)),0)</f>
        <v>0</v>
      </c>
      <c r="Q197" s="49">
        <f ca="1">IF(Q4&gt;=YEAR(HM_ZA_Nkossa!effective_date_HM1994),(OFFSET(_xlfn.SINGLE(IA_EandA_real),2,HM_ZA_Nkossa!date_offset_HM1994)*_xlfn.SINGLE(IA_esc_index)),0)</f>
        <v>0</v>
      </c>
      <c r="R197" s="49">
        <f ca="1">IF(R4&gt;=YEAR(HM_ZA_Nkossa!effective_date_HM1994),(OFFSET(_xlfn.SINGLE(IA_EandA_real),2,HM_ZA_Nkossa!date_offset_HM1994)*_xlfn.SINGLE(IA_esc_index)),0)</f>
        <v>0</v>
      </c>
      <c r="S197" s="49">
        <f ca="1">IF(S4&gt;=YEAR(HM_ZA_Nkossa!effective_date_HM1994),(OFFSET(_xlfn.SINGLE(IA_EandA_real),2,HM_ZA_Nkossa!date_offset_HM1994)*_xlfn.SINGLE(IA_esc_index)),0)</f>
        <v>0</v>
      </c>
      <c r="T197" s="49">
        <f ca="1">IF(T4&gt;=YEAR(HM_ZA_Nkossa!effective_date_HM1994),(OFFSET(_xlfn.SINGLE(IA_EandA_real),2,HM_ZA_Nkossa!date_offset_HM1994)*_xlfn.SINGLE(IA_esc_index)),0)*(1+df_capex_sens)</f>
        <v>0</v>
      </c>
      <c r="U197" s="49">
        <f ca="1">IF(U4&gt;=YEAR(HM_ZA_Nkossa!effective_date_HM1994),(OFFSET(_xlfn.SINGLE(IA_EandA_real),2,HM_ZA_Nkossa!date_offset_HM1994)*_xlfn.SINGLE(IA_esc_index)),0)*(1+df_capex_sens)</f>
        <v>0</v>
      </c>
      <c r="V197" s="49">
        <f ca="1">IF(V4&gt;=YEAR(HM_ZA_Nkossa!effective_date_HM1994),(OFFSET(_xlfn.SINGLE(IA_EandA_real),2,HM_ZA_Nkossa!date_offset_HM1994)*_xlfn.SINGLE(IA_esc_index)),0)*(1+df_capex_sens)</f>
        <v>0</v>
      </c>
      <c r="W197" s="49">
        <f ca="1">IF(W4&gt;=YEAR(HM_ZA_Nkossa!effective_date_HM1994),(OFFSET(_xlfn.SINGLE(IA_EandA_real),2,HM_ZA_Nkossa!date_offset_HM1994)*_xlfn.SINGLE(IA_esc_index)),0)*(1+df_capex_sens)</f>
        <v>0</v>
      </c>
      <c r="X197" s="49">
        <f ca="1">IF(X4&gt;=YEAR(HM_ZA_Nkossa!effective_date_HM1994),(OFFSET(_xlfn.SINGLE(IA_EandA_real),2,HM_ZA_Nkossa!date_offset_HM1994)*_xlfn.SINGLE(IA_esc_index)),0)*(1+df_capex_sens)</f>
        <v>0</v>
      </c>
      <c r="Y197" s="49">
        <f ca="1">IF(Y4&gt;=YEAR(HM_ZA_Nkossa!effective_date_HM1994),(OFFSET(_xlfn.SINGLE(IA_EandA_real),2,HM_ZA_Nkossa!date_offset_HM1994)*_xlfn.SINGLE(IA_esc_index)),0)*(1+df_capex_sens)</f>
        <v>0</v>
      </c>
      <c r="Z197" s="49">
        <f ca="1">IF(Z4&gt;=YEAR(HM_ZA_Nkossa!effective_date_HM1994),(OFFSET(_xlfn.SINGLE(IA_EandA_real),2,HM_ZA_Nkossa!date_offset_HM1994)*_xlfn.SINGLE(IA_esc_index)),0)*(1+df_capex_sens)</f>
        <v>0</v>
      </c>
      <c r="AA197" s="49">
        <f ca="1">IF(AA4&gt;=YEAR(HM_ZA_Nkossa!effective_date_HM1994),(OFFSET(_xlfn.SINGLE(IA_EandA_real),2,HM_ZA_Nkossa!date_offset_HM1994)*_xlfn.SINGLE(IA_esc_index)),0)*(1+df_capex_sens)</f>
        <v>0</v>
      </c>
      <c r="AB197" s="49">
        <f ca="1">IF(AB4&gt;=YEAR(HM_ZA_Nkossa!effective_date_HM1994),(OFFSET(_xlfn.SINGLE(IA_EandA_real),2,HM_ZA_Nkossa!date_offset_HM1994)*_xlfn.SINGLE(IA_esc_index)),0)*(1+df_capex_sens)</f>
        <v>0</v>
      </c>
      <c r="AC197" s="49">
        <f ca="1">IF(AC4&gt;=YEAR(HM_ZA_Nkossa!effective_date_HM1994),(OFFSET(_xlfn.SINGLE(IA_EandA_real),2,HM_ZA_Nkossa!date_offset_HM1994)*_xlfn.SINGLE(IA_esc_index)),0)*(1+df_capex_sens)</f>
        <v>0</v>
      </c>
      <c r="AD197" s="49">
        <f ca="1">IF(AD4&gt;=YEAR(HM_ZA_Nkossa!effective_date_HM1994),(OFFSET(_xlfn.SINGLE(IA_EandA_real),2,HM_ZA_Nkossa!date_offset_HM1994)*_xlfn.SINGLE(IA_esc_index)),0)*(1+df_capex_sens)</f>
        <v>0</v>
      </c>
      <c r="AE197" s="49">
        <f ca="1">IF(AE4&gt;=YEAR(HM_ZA_Nkossa!effective_date_HM1994),(OFFSET(_xlfn.SINGLE(IA_EandA_real),2,HM_ZA_Nkossa!date_offset_HM1994)*_xlfn.SINGLE(IA_esc_index)),0)*(1+df_capex_sens)</f>
        <v>0</v>
      </c>
      <c r="AF197" s="49">
        <f ca="1">IF(AF4&gt;=YEAR(HM_ZA_Nkossa!effective_date_HM1994),(OFFSET(_xlfn.SINGLE(IA_EandA_real),2,HM_ZA_Nkossa!date_offset_HM1994)*_xlfn.SINGLE(IA_esc_index)),0)*(1+df_capex_sens)</f>
        <v>0</v>
      </c>
      <c r="AG197" s="49">
        <f ca="1">IF(AG4&gt;=YEAR(HM_ZA_Nkossa!effective_date_HM1994),(OFFSET(_xlfn.SINGLE(IA_EandA_real),2,HM_ZA_Nkossa!date_offset_HM1994)*_xlfn.SINGLE(IA_esc_index)),0)*(1+df_capex_sens)</f>
        <v>0</v>
      </c>
      <c r="AH197" s="49">
        <f ca="1">IF(AH4&gt;=YEAR(HM_ZA_Nkossa!effective_date_HM1994),(OFFSET(_xlfn.SINGLE(IA_EandA_real),2,HM_ZA_Nkossa!date_offset_HM1994)*_xlfn.SINGLE(IA_esc_index)),0)*(1+df_capex_sens)</f>
        <v>0</v>
      </c>
      <c r="AI197" s="49">
        <f ca="1">IF(AI4&gt;=YEAR(HM_ZA_Nkossa!effective_date_HM1994),(OFFSET(_xlfn.SINGLE(IA_EandA_real),2,HM_ZA_Nkossa!date_offset_HM1994)*_xlfn.SINGLE(IA_esc_index)),0)*(1+df_capex_sens)</f>
        <v>0</v>
      </c>
      <c r="AJ197" s="49">
        <f ca="1">IF(AJ4&gt;=YEAR(HM_ZA_Nkossa!effective_date_HM1994),(OFFSET(_xlfn.SINGLE(IA_EandA_real),2,HM_ZA_Nkossa!date_offset_HM1994)*_xlfn.SINGLE(IA_esc_index)),0)*(1+df_capex_sens)</f>
        <v>0</v>
      </c>
      <c r="AK197" s="49">
        <f ca="1">IF(AK4&gt;=YEAR(HM_ZA_Nkossa!effective_date_HM1994),(OFFSET(_xlfn.SINGLE(IA_EandA_real),2,HM_ZA_Nkossa!date_offset_HM1994)*_xlfn.SINGLE(IA_esc_index)),0)*(1+df_capex_sens)</f>
        <v>0</v>
      </c>
      <c r="AL197" s="49">
        <f ca="1">IF(AL4&gt;=YEAR(HM_ZA_Nkossa!effective_date_HM1994),(OFFSET(_xlfn.SINGLE(IA_EandA_real),2,HM_ZA_Nkossa!date_offset_HM1994)*_xlfn.SINGLE(IA_esc_index)),0)*(1+df_capex_sens)</f>
        <v>0</v>
      </c>
      <c r="AM197" s="49">
        <f ca="1">IF(AM4&gt;=YEAR(HM_ZA_Nkossa!effective_date_HM1994),(OFFSET(_xlfn.SINGLE(IA_EandA_real),2,HM_ZA_Nkossa!date_offset_HM1994)*_xlfn.SINGLE(IA_esc_index)),0)*(1+df_capex_sens)</f>
        <v>0</v>
      </c>
      <c r="AN197" s="49">
        <f ca="1">IF(AN4&gt;=YEAR(HM_ZA_Nkossa!effective_date_HM1994),(OFFSET(_xlfn.SINGLE(IA_EandA_real),2,HM_ZA_Nkossa!date_offset_HM1994)*_xlfn.SINGLE(IA_esc_index)),0)*(1+df_capex_sens)</f>
        <v>0</v>
      </c>
      <c r="AO197" s="49">
        <f ca="1">IF(AO4&gt;=YEAR(HM_ZA_Nkossa!effective_date_HM1994),(OFFSET(_xlfn.SINGLE(IA_EandA_real),2,HM_ZA_Nkossa!date_offset_HM1994)*_xlfn.SINGLE(IA_esc_index)),0)*(1+df_capex_sens)</f>
        <v>0</v>
      </c>
      <c r="AP197" s="49">
        <f ca="1">IF(AP4&gt;=YEAR(HM_ZA_Nkossa!effective_date_HM1994),(OFFSET(_xlfn.SINGLE(IA_EandA_real),2,HM_ZA_Nkossa!date_offset_HM1994)*_xlfn.SINGLE(IA_esc_index)),0)*(1+df_capex_sens)</f>
        <v>0</v>
      </c>
      <c r="AQ197" s="49">
        <f ca="1">IF(AQ4&gt;=YEAR(HM_ZA_Nkossa!effective_date_HM1994),(OFFSET(_xlfn.SINGLE(IA_EandA_real),2,HM_ZA_Nkossa!date_offset_HM1994)*_xlfn.SINGLE(IA_esc_index)),0)*(1+df_capex_sens)</f>
        <v>0</v>
      </c>
      <c r="AR197" s="49">
        <f ca="1">IF(AR4&gt;=YEAR(HM_ZA_Nkossa!effective_date_HM1994),(OFFSET(_xlfn.SINGLE(IA_EandA_real),2,HM_ZA_Nkossa!date_offset_HM1994)*_xlfn.SINGLE(IA_esc_index)),0)*(1+df_capex_sens)</f>
        <v>0</v>
      </c>
      <c r="AS197" s="49">
        <f ca="1">IF(AS4&gt;=YEAR(HM_ZA_Nkossa!effective_date_HM1994),(OFFSET(_xlfn.SINGLE(IA_EandA_real),2,HM_ZA_Nkossa!date_offset_HM1994)*_xlfn.SINGLE(IA_esc_index)),0)*(1+df_capex_sens)</f>
        <v>0</v>
      </c>
      <c r="AT197" s="49">
        <f ca="1">IF(AT4&gt;=YEAR(HM_ZA_Nkossa!effective_date_HM1994),(OFFSET(_xlfn.SINGLE(IA_EandA_real),2,HM_ZA_Nkossa!date_offset_HM1994)*_xlfn.SINGLE(IA_esc_index)),0)*(1+df_capex_sens)</f>
        <v>0</v>
      </c>
      <c r="AU197" s="49">
        <f ca="1">IF(AU4&gt;=YEAR(HM_ZA_Nkossa!effective_date_HM1994),(OFFSET(_xlfn.SINGLE(IA_EandA_real),2,HM_ZA_Nkossa!date_offset_HM1994)*_xlfn.SINGLE(IA_esc_index)),0)*(1+df_capex_sens)</f>
        <v>0</v>
      </c>
      <c r="AV197" s="49">
        <f ca="1">IF(AV4&gt;=YEAR(HM_ZA_Nkossa!effective_date_HM1994),(OFFSET(_xlfn.SINGLE(IA_EandA_real),2,HM_ZA_Nkossa!date_offset_HM1994)*_xlfn.SINGLE(IA_esc_index)),0)*(1+df_capex_sens)</f>
        <v>0</v>
      </c>
      <c r="AW197" s="49">
        <f ca="1">IF(AW4&gt;=YEAR(HM_ZA_Nkossa!effective_date_HM1994),(OFFSET(_xlfn.SINGLE(IA_EandA_real),2,HM_ZA_Nkossa!date_offset_HM1994)*_xlfn.SINGLE(IA_esc_index)),0)*(1+df_capex_sens)</f>
        <v>0</v>
      </c>
      <c r="AX197" s="49">
        <f ca="1">IF(AX4&gt;=YEAR(HM_ZA_Nkossa!effective_date_HM1994),(OFFSET(_xlfn.SINGLE(IA_EandA_real),2,HM_ZA_Nkossa!date_offset_HM1994)*_xlfn.SINGLE(IA_esc_index)),0)*(1+df_capex_sens)</f>
        <v>0</v>
      </c>
      <c r="AY197" s="49">
        <f ca="1">IF(AY4&gt;=YEAR(HM_ZA_Nkossa!effective_date_HM1994),(OFFSET(_xlfn.SINGLE(IA_EandA_real),2,HM_ZA_Nkossa!date_offset_HM1994)*_xlfn.SINGLE(IA_esc_index)),0)*(1+df_capex_sens)</f>
        <v>0</v>
      </c>
      <c r="AZ197" s="49">
        <f ca="1">IF(AZ4&gt;=YEAR(HM_ZA_Nkossa!effective_date_HM1994),(OFFSET(_xlfn.SINGLE(IA_EandA_real),2,HM_ZA_Nkossa!date_offset_HM1994)*_xlfn.SINGLE(IA_esc_index)),0)*(1+df_capex_sens)</f>
        <v>0</v>
      </c>
      <c r="BA197" s="49">
        <f ca="1">IF(BA4&gt;=YEAR(HM_ZA_Nkossa!effective_date_HM1994),(OFFSET(_xlfn.SINGLE(IA_EandA_real),2,HM_ZA_Nkossa!date_offset_HM1994)*_xlfn.SINGLE(IA_esc_index)),0)*(1+df_capex_sens)</f>
        <v>0</v>
      </c>
      <c r="BB197" s="49">
        <f ca="1">IF(BB4&gt;=YEAR(HM_ZA_Nkossa!effective_date_HM1994),(OFFSET(_xlfn.SINGLE(IA_EandA_real),2,HM_ZA_Nkossa!date_offset_HM1994)*_xlfn.SINGLE(IA_esc_index)),0)*(1+df_capex_sens)</f>
        <v>0</v>
      </c>
      <c r="BC197" s="49">
        <f ca="1">IF(BC4&gt;=YEAR(HM_ZA_Nkossa!effective_date_HM1994),(OFFSET(_xlfn.SINGLE(IA_EandA_real),2,HM_ZA_Nkossa!date_offset_HM1994)*_xlfn.SINGLE(IA_esc_index)),0)*(1+df_capex_sens)</f>
        <v>0</v>
      </c>
      <c r="BD197" s="49">
        <f ca="1">IF(BD4&gt;=YEAR(HM_ZA_Nkossa!effective_date_HM1994),(OFFSET(_xlfn.SINGLE(IA_EandA_real),2,HM_ZA_Nkossa!date_offset_HM1994)*_xlfn.SINGLE(IA_esc_index)),0)*(1+df_capex_sens)</f>
        <v>0</v>
      </c>
      <c r="BE197" s="49">
        <f ca="1">IF(BE4&gt;=YEAR(HM_ZA_Nkossa!effective_date_HM1994),(OFFSET(_xlfn.SINGLE(IA_EandA_real),2,HM_ZA_Nkossa!date_offset_HM1994)*_xlfn.SINGLE(IA_esc_index)),0)*(1+df_capex_sens)</f>
        <v>0</v>
      </c>
      <c r="BF197" s="49">
        <f ca="1">IF(BF4&gt;=YEAR(HM_ZA_Nkossa!effective_date_HM1994),(OFFSET(_xlfn.SINGLE(IA_EandA_real),2,HM_ZA_Nkossa!date_offset_HM1994)*_xlfn.SINGLE(IA_esc_index)),0)*(1+df_capex_sens)</f>
        <v>0</v>
      </c>
      <c r="BG197" s="49">
        <f ca="1">IF(BG4&gt;=YEAR(HM_ZA_Nkossa!effective_date_HM1994),(OFFSET(_xlfn.SINGLE(IA_EandA_real),2,HM_ZA_Nkossa!date_offset_HM1994)*_xlfn.SINGLE(IA_esc_index)),0)*(1+df_capex_sens)</f>
        <v>0</v>
      </c>
      <c r="BH197" s="49">
        <f ca="1">IF(BH4&gt;=YEAR(HM_ZA_Nkossa!effective_date_HM1994),(OFFSET(_xlfn.SINGLE(IA_EandA_real),2,HM_ZA_Nkossa!date_offset_HM1994)*_xlfn.SINGLE(IA_esc_index)),0)*(1+df_capex_sens)</f>
        <v>0</v>
      </c>
      <c r="BI197" s="49">
        <f ca="1">IF(BI4&gt;=YEAR(HM_ZA_Nkossa!effective_date_HM1994),(OFFSET(_xlfn.SINGLE(IA_EandA_real),2,HM_ZA_Nkossa!date_offset_HM1994)*_xlfn.SINGLE(IA_esc_index)),0)*(1+df_capex_sens)</f>
        <v>0</v>
      </c>
      <c r="BJ197" s="49">
        <f ca="1">IF(BJ4&gt;=YEAR(HM_ZA_Nkossa!effective_date_HM1994),(OFFSET(_xlfn.SINGLE(IA_EandA_real),2,HM_ZA_Nkossa!date_offset_HM1994)*_xlfn.SINGLE(IA_esc_index)),0)*(1+df_capex_sens)</f>
        <v>0</v>
      </c>
      <c r="BK197" s="49">
        <f ca="1">IF(BK4&gt;=YEAR(HM_ZA_Nkossa!effective_date_HM1994),(OFFSET(_xlfn.SINGLE(IA_EandA_real),2,HM_ZA_Nkossa!date_offset_HM1994)*_xlfn.SINGLE(IA_esc_index)),0)*(1+df_capex_sens)</f>
        <v>0</v>
      </c>
      <c r="BL197" s="49">
        <f ca="1">IF(BL4&gt;=YEAR(HM_ZA_Nkossa!effective_date_HM1994),(OFFSET(_xlfn.SINGLE(IA_EandA_real),2,HM_ZA_Nkossa!date_offset_HM1994)*_xlfn.SINGLE(IA_esc_index)),0)*(1+df_capex_sens)</f>
        <v>0</v>
      </c>
      <c r="BM197" s="49">
        <f ca="1">IF(BM4&gt;=YEAR(HM_ZA_Nkossa!effective_date_HM1994),(OFFSET(_xlfn.SINGLE(IA_EandA_real),2,HM_ZA_Nkossa!date_offset_HM1994)*_xlfn.SINGLE(IA_esc_index)),0)*(1+df_capex_sens)</f>
        <v>0</v>
      </c>
      <c r="BN197" s="49">
        <f ca="1">IF(BN4&gt;=YEAR(HM_ZA_Nkossa!effective_date_HM1994),(OFFSET(_xlfn.SINGLE(IA_EandA_real),2,HM_ZA_Nkossa!date_offset_HM1994)*_xlfn.SINGLE(IA_esc_index)),0)*(1+df_capex_sens)</f>
        <v>0</v>
      </c>
      <c r="BO197" s="49">
        <f ca="1">IF(BO4&gt;=YEAR(HM_ZA_Nkossa!effective_date_HM1994),(OFFSET(_xlfn.SINGLE(IA_EandA_real),2,HM_ZA_Nkossa!date_offset_HM1994)*_xlfn.SINGLE(IA_esc_index)),0)*(1+df_capex_sens)</f>
        <v>0</v>
      </c>
      <c r="BP197" s="49">
        <f ca="1">IF(BP4&gt;=YEAR(HM_ZA_Nkossa!effective_date_HM1994),(OFFSET(_xlfn.SINGLE(IA_EandA_real),2,HM_ZA_Nkossa!date_offset_HM1994)*_xlfn.SINGLE(IA_esc_index)),0)*(1+df_capex_sens)</f>
        <v>0</v>
      </c>
      <c r="BQ197" s="49">
        <f ca="1">IF(BQ4&gt;=YEAR(HM_ZA_Nkossa!effective_date_HM1994),(OFFSET(_xlfn.SINGLE(IA_EandA_real),2,HM_ZA_Nkossa!date_offset_HM1994)*_xlfn.SINGLE(IA_esc_index)),0)*(1+df_capex_sens)</f>
        <v>0</v>
      </c>
      <c r="BR197" s="49">
        <f ca="1">IF(BR4&gt;=YEAR(HM_ZA_Nkossa!effective_date_HM1994),(OFFSET(_xlfn.SINGLE(IA_EandA_real),2,HM_ZA_Nkossa!date_offset_HM1994)*_xlfn.SINGLE(IA_esc_index)),0)*(1+df_capex_sens)</f>
        <v>0</v>
      </c>
      <c r="BS197" s="49">
        <f ca="1">IF(BS4&gt;=YEAR(HM_ZA_Nkossa!effective_date_HM1994),(OFFSET(_xlfn.SINGLE(IA_EandA_real),2,HM_ZA_Nkossa!date_offset_HM1994)*_xlfn.SINGLE(IA_esc_index)),0)*(1+df_capex_sens)</f>
        <v>0</v>
      </c>
    </row>
    <row r="198" spans="1:71" outlineLevel="1" x14ac:dyDescent="0.2">
      <c r="J198" s="26"/>
      <c r="L198" s="55"/>
      <c r="M198" s="55"/>
      <c r="N198" s="55"/>
      <c r="O198" s="55"/>
      <c r="P198" s="55"/>
      <c r="Q198" s="55"/>
      <c r="R198" s="55"/>
      <c r="S198" s="55"/>
      <c r="T198" s="55"/>
      <c r="U198" s="55"/>
      <c r="V198" s="55"/>
      <c r="W198" s="55"/>
      <c r="X198" s="55"/>
      <c r="Y198" s="55"/>
      <c r="Z198" s="55"/>
      <c r="AA198" s="55"/>
      <c r="AB198" s="55"/>
      <c r="AC198" s="55"/>
      <c r="AD198" s="55"/>
      <c r="AE198" s="55"/>
      <c r="AF198" s="55"/>
      <c r="AG198" s="55"/>
      <c r="AH198" s="55"/>
      <c r="AI198" s="55"/>
      <c r="AJ198" s="55"/>
      <c r="AK198" s="55"/>
      <c r="AL198" s="55"/>
      <c r="AM198" s="55"/>
      <c r="AN198" s="55"/>
      <c r="AO198" s="55"/>
      <c r="AP198" s="55"/>
      <c r="AQ198" s="55"/>
      <c r="AR198" s="55"/>
      <c r="AS198" s="55"/>
      <c r="AT198" s="55"/>
      <c r="AU198" s="55"/>
      <c r="AV198" s="55"/>
      <c r="AW198" s="55"/>
      <c r="AX198" s="55"/>
      <c r="AY198" s="55"/>
      <c r="AZ198" s="55"/>
      <c r="BA198" s="55"/>
      <c r="BB198" s="55"/>
      <c r="BC198" s="55"/>
      <c r="BD198" s="55"/>
      <c r="BE198" s="55"/>
      <c r="BF198" s="55"/>
      <c r="BG198" s="55"/>
      <c r="BH198" s="55"/>
      <c r="BI198" s="55"/>
      <c r="BJ198" s="55"/>
      <c r="BK198" s="55"/>
      <c r="BL198" s="55"/>
      <c r="BM198" s="55"/>
      <c r="BN198" s="55"/>
      <c r="BO198" s="55"/>
      <c r="BP198" s="55"/>
      <c r="BQ198" s="55"/>
      <c r="BR198" s="55"/>
      <c r="BS198" s="55"/>
    </row>
    <row r="199" spans="1:71" outlineLevel="1" x14ac:dyDescent="0.2">
      <c r="C199" s="11" t="str">
        <f>CHOOSE(db_ML_selected,'Liste Traduction'!B301,'Liste Traduction'!C301)</f>
        <v>Coûts de développement</v>
      </c>
      <c r="J199" s="26"/>
      <c r="L199" s="55"/>
      <c r="M199" s="55"/>
      <c r="N199" s="55"/>
      <c r="O199" s="55"/>
      <c r="P199" s="55"/>
      <c r="Q199" s="55"/>
      <c r="R199" s="55"/>
      <c r="S199" s="55"/>
      <c r="T199" s="55"/>
      <c r="U199" s="55"/>
      <c r="V199" s="55"/>
      <c r="W199" s="55"/>
      <c r="X199" s="55"/>
      <c r="Y199" s="55"/>
      <c r="Z199" s="55"/>
      <c r="AA199" s="55"/>
      <c r="AB199" s="55"/>
      <c r="AC199" s="55"/>
      <c r="AD199" s="55"/>
      <c r="AE199" s="55"/>
      <c r="AF199" s="55"/>
      <c r="AG199" s="55"/>
      <c r="AH199" s="55"/>
      <c r="AI199" s="55"/>
      <c r="AJ199" s="55"/>
      <c r="AK199" s="55"/>
      <c r="AL199" s="55"/>
      <c r="AM199" s="55"/>
      <c r="AN199" s="55"/>
      <c r="AO199" s="55"/>
      <c r="AP199" s="55"/>
      <c r="AQ199" s="55"/>
      <c r="AR199" s="55"/>
      <c r="AS199" s="55"/>
      <c r="AT199" s="55"/>
      <c r="AU199" s="55"/>
      <c r="AV199" s="55"/>
      <c r="AW199" s="55"/>
      <c r="AX199" s="55"/>
      <c r="AY199" s="55"/>
      <c r="AZ199" s="55"/>
      <c r="BA199" s="55"/>
      <c r="BB199" s="55"/>
      <c r="BC199" s="55"/>
      <c r="BD199" s="55"/>
      <c r="BE199" s="55"/>
      <c r="BF199" s="55"/>
      <c r="BG199" s="55"/>
      <c r="BH199" s="55"/>
      <c r="BI199" s="55"/>
      <c r="BJ199" s="55"/>
      <c r="BK199" s="55"/>
      <c r="BL199" s="55"/>
      <c r="BM199" s="55"/>
      <c r="BN199" s="55"/>
      <c r="BO199" s="55"/>
      <c r="BP199" s="55"/>
      <c r="BQ199" s="55"/>
      <c r="BR199" s="55"/>
      <c r="BS199" s="55"/>
    </row>
    <row r="200" spans="1:71" outlineLevel="1" x14ac:dyDescent="0.2">
      <c r="D200" t="str">
        <f>CHOOSE(db_ML_selected,'Liste Traduction'!B304,'Liste Traduction'!C304)</f>
        <v>Capex développement (nominal)</v>
      </c>
      <c r="I200" s="30">
        <f ca="1">SUM($L200:$BS200)</f>
        <v>818.52100000000007</v>
      </c>
      <c r="J200" s="26" t="s">
        <v>148</v>
      </c>
      <c r="K200" s="7" t="s">
        <v>170</v>
      </c>
      <c r="L200" s="49">
        <f ca="1">IF(L4&gt;=YEAR(HM_ZA_Nkossa!effective_date_HM1994),(OFFSET(_xlfn.SINGLE(IA_devcapex_real),2,HM_ZA_Nkossa!date_offset_HM1994)*_xlfn.SINGLE(IA_esc_index)),0)</f>
        <v>331.70699999999999</v>
      </c>
      <c r="M200" s="49">
        <f ca="1">IF(M4&gt;=YEAR(HM_ZA_Nkossa!effective_date_HM1994),(OFFSET(_xlfn.SINGLE(IA_devcapex_real),2,HM_ZA_Nkossa!date_offset_HM1994)*_xlfn.SINGLE(IA_esc_index)),0)</f>
        <v>170.95500000000001</v>
      </c>
      <c r="N200" s="49">
        <f ca="1">IF(N4&gt;=YEAR(HM_ZA_Nkossa!effective_date_HM1994),(OFFSET(_xlfn.SINGLE(IA_devcapex_real),2,HM_ZA_Nkossa!date_offset_HM1994)*_xlfn.SINGLE(IA_esc_index)),0)</f>
        <v>108.699</v>
      </c>
      <c r="O200" s="49">
        <f ca="1">IF(O4&gt;=YEAR(HM_ZA_Nkossa!effective_date_HM1994),(OFFSET(_xlfn.SINGLE(IA_devcapex_real),2,HM_ZA_Nkossa!date_offset_HM1994)*_xlfn.SINGLE(IA_esc_index)),0)</f>
        <v>38.56</v>
      </c>
      <c r="P200" s="49">
        <f ca="1">IF(P4&gt;=YEAR(HM_ZA_Nkossa!effective_date_HM1994),(OFFSET(_xlfn.SINGLE(IA_devcapex_real),2,HM_ZA_Nkossa!date_offset_HM1994)*_xlfn.SINGLE(IA_esc_index)),0)</f>
        <v>50.6</v>
      </c>
      <c r="Q200" s="49">
        <f ca="1">IF(Q4&gt;=YEAR(HM_ZA_Nkossa!effective_date_HM1994),(OFFSET(_xlfn.SINGLE(IA_devcapex_real),2,HM_ZA_Nkossa!date_offset_HM1994)*_xlfn.SINGLE(IA_esc_index)),0)</f>
        <v>118</v>
      </c>
      <c r="R200" s="49">
        <f ca="1">IF(R4&gt;=YEAR(HM_ZA_Nkossa!effective_date_HM1994),(OFFSET(_xlfn.SINGLE(IA_devcapex_real),2,HM_ZA_Nkossa!date_offset_HM1994)*_xlfn.SINGLE(IA_esc_index)),0)</f>
        <v>0</v>
      </c>
      <c r="S200" s="49">
        <f ca="1">IF(S4&gt;=YEAR(HM_ZA_Nkossa!effective_date_HM1994),(OFFSET(_xlfn.SINGLE(IA_devcapex_real),2,HM_ZA_Nkossa!date_offset_HM1994)*_xlfn.SINGLE(IA_esc_index)),0)</f>
        <v>0</v>
      </c>
      <c r="T200" s="49">
        <f ca="1">IF(T4&gt;=YEAR(HM_ZA_Nkossa!effective_date_HM1994),(OFFSET(_xlfn.SINGLE(IA_devcapex_real),2,HM_ZA_Nkossa!date_offset_HM1994)*_xlfn.SINGLE(IA_esc_index)),0)*(1+df_capex_sens)</f>
        <v>0</v>
      </c>
      <c r="U200" s="49">
        <f ca="1">IF(U4&gt;=YEAR(HM_ZA_Nkossa!effective_date_HM1994),(OFFSET(_xlfn.SINGLE(IA_devcapex_real),2,HM_ZA_Nkossa!date_offset_HM1994)*_xlfn.SINGLE(IA_esc_index)),0)*(1+df_capex_sens)</f>
        <v>0</v>
      </c>
      <c r="V200" s="49">
        <f ca="1">IF(V4&gt;=YEAR(HM_ZA_Nkossa!effective_date_HM1994),(OFFSET(_xlfn.SINGLE(IA_devcapex_real),2,HM_ZA_Nkossa!date_offset_HM1994)*_xlfn.SINGLE(IA_esc_index)),0)*(1+df_capex_sens)</f>
        <v>0</v>
      </c>
      <c r="W200" s="49">
        <f ca="1">IF(W4&gt;=YEAR(HM_ZA_Nkossa!effective_date_HM1994),(OFFSET(_xlfn.SINGLE(IA_devcapex_real),2,HM_ZA_Nkossa!date_offset_HM1994)*_xlfn.SINGLE(IA_esc_index)),0)*(1+df_capex_sens)</f>
        <v>0</v>
      </c>
      <c r="X200" s="49">
        <f ca="1">IF(X4&gt;=YEAR(HM_ZA_Nkossa!effective_date_HM1994),(OFFSET(_xlfn.SINGLE(IA_devcapex_real),2,HM_ZA_Nkossa!date_offset_HM1994)*_xlfn.SINGLE(IA_esc_index)),0)*(1+df_capex_sens)</f>
        <v>0</v>
      </c>
      <c r="Y200" s="49">
        <f ca="1">IF(Y4&gt;=YEAR(HM_ZA_Nkossa!effective_date_HM1994),(OFFSET(_xlfn.SINGLE(IA_devcapex_real),2,HM_ZA_Nkossa!date_offset_HM1994)*_xlfn.SINGLE(IA_esc_index)),0)*(1+df_capex_sens)</f>
        <v>0</v>
      </c>
      <c r="Z200" s="49">
        <f ca="1">IF(Z4&gt;=YEAR(HM_ZA_Nkossa!effective_date_HM1994),(OFFSET(_xlfn.SINGLE(IA_devcapex_real),2,HM_ZA_Nkossa!date_offset_HM1994)*_xlfn.SINGLE(IA_esc_index)),0)*(1+df_capex_sens)</f>
        <v>0</v>
      </c>
      <c r="AA200" s="49">
        <f ca="1">IF(AA4&gt;=YEAR(HM_ZA_Nkossa!effective_date_HM1994),(OFFSET(_xlfn.SINGLE(IA_devcapex_real),2,HM_ZA_Nkossa!date_offset_HM1994)*_xlfn.SINGLE(IA_esc_index)),0)*(1+df_capex_sens)</f>
        <v>0</v>
      </c>
      <c r="AB200" s="49">
        <f ca="1">IF(AB4&gt;=YEAR(HM_ZA_Nkossa!effective_date_HM1994),(OFFSET(_xlfn.SINGLE(IA_devcapex_real),2,HM_ZA_Nkossa!date_offset_HM1994)*_xlfn.SINGLE(IA_esc_index)),0)*(1+df_capex_sens)</f>
        <v>0</v>
      </c>
      <c r="AC200" s="49">
        <f ca="1">IF(AC4&gt;=YEAR(HM_ZA_Nkossa!effective_date_HM1994),(OFFSET(_xlfn.SINGLE(IA_devcapex_real),2,HM_ZA_Nkossa!date_offset_HM1994)*_xlfn.SINGLE(IA_esc_index)),0)*(1+df_capex_sens)</f>
        <v>0</v>
      </c>
      <c r="AD200" s="49">
        <f ca="1">IF(AD4&gt;=YEAR(HM_ZA_Nkossa!effective_date_HM1994),(OFFSET(_xlfn.SINGLE(IA_devcapex_real),2,HM_ZA_Nkossa!date_offset_HM1994)*_xlfn.SINGLE(IA_esc_index)),0)*(1+df_capex_sens)</f>
        <v>0</v>
      </c>
      <c r="AE200" s="49">
        <f ca="1">IF(AE4&gt;=YEAR(HM_ZA_Nkossa!effective_date_HM1994),(OFFSET(_xlfn.SINGLE(IA_devcapex_real),2,HM_ZA_Nkossa!date_offset_HM1994)*_xlfn.SINGLE(IA_esc_index)),0)*(1+df_capex_sens)</f>
        <v>0</v>
      </c>
      <c r="AF200" s="49">
        <f ca="1">IF(AF4&gt;=YEAR(HM_ZA_Nkossa!effective_date_HM1994),(OFFSET(_xlfn.SINGLE(IA_devcapex_real),2,HM_ZA_Nkossa!date_offset_HM1994)*_xlfn.SINGLE(IA_esc_index)),0)*(1+df_capex_sens)</f>
        <v>0</v>
      </c>
      <c r="AG200" s="49">
        <f ca="1">IF(AG4&gt;=YEAR(HM_ZA_Nkossa!effective_date_HM1994),(OFFSET(_xlfn.SINGLE(IA_devcapex_real),2,HM_ZA_Nkossa!date_offset_HM1994)*_xlfn.SINGLE(IA_esc_index)),0)*(1+df_capex_sens)</f>
        <v>0</v>
      </c>
      <c r="AH200" s="49">
        <f ca="1">IF(AH4&gt;=YEAR(HM_ZA_Nkossa!effective_date_HM1994),(OFFSET(_xlfn.SINGLE(IA_devcapex_real),2,HM_ZA_Nkossa!date_offset_HM1994)*_xlfn.SINGLE(IA_esc_index)),0)*(1+df_capex_sens)</f>
        <v>0</v>
      </c>
      <c r="AI200" s="49">
        <f ca="1">IF(AI4&gt;=YEAR(HM_ZA_Nkossa!effective_date_HM1994),(OFFSET(_xlfn.SINGLE(IA_devcapex_real),2,HM_ZA_Nkossa!date_offset_HM1994)*_xlfn.SINGLE(IA_esc_index)),0)*(1+df_capex_sens)</f>
        <v>0</v>
      </c>
      <c r="AJ200" s="49">
        <f ca="1">IF(AJ4&gt;=YEAR(HM_ZA_Nkossa!effective_date_HM1994),(OFFSET(_xlfn.SINGLE(IA_devcapex_real),2,HM_ZA_Nkossa!date_offset_HM1994)*_xlfn.SINGLE(IA_esc_index)),0)*(1+df_capex_sens)</f>
        <v>0</v>
      </c>
      <c r="AK200" s="49">
        <f ca="1">IF(AK4&gt;=YEAR(HM_ZA_Nkossa!effective_date_HM1994),(OFFSET(_xlfn.SINGLE(IA_devcapex_real),2,HM_ZA_Nkossa!date_offset_HM1994)*_xlfn.SINGLE(IA_esc_index)),0)*(1+df_capex_sens)</f>
        <v>0</v>
      </c>
      <c r="AL200" s="49">
        <f ca="1">IF(AL4&gt;=YEAR(HM_ZA_Nkossa!effective_date_HM1994),(OFFSET(_xlfn.SINGLE(IA_devcapex_real),2,HM_ZA_Nkossa!date_offset_HM1994)*_xlfn.SINGLE(IA_esc_index)),0)*(1+df_capex_sens)</f>
        <v>0</v>
      </c>
      <c r="AM200" s="49">
        <f ca="1">IF(AM4&gt;=YEAR(HM_ZA_Nkossa!effective_date_HM1994),(OFFSET(_xlfn.SINGLE(IA_devcapex_real),2,HM_ZA_Nkossa!date_offset_HM1994)*_xlfn.SINGLE(IA_esc_index)),0)*(1+df_capex_sens)</f>
        <v>0</v>
      </c>
      <c r="AN200" s="49">
        <f ca="1">IF(AN4&gt;=YEAR(HM_ZA_Nkossa!effective_date_HM1994),(OFFSET(_xlfn.SINGLE(IA_devcapex_real),2,HM_ZA_Nkossa!date_offset_HM1994)*_xlfn.SINGLE(IA_esc_index)),0)*(1+df_capex_sens)</f>
        <v>0</v>
      </c>
      <c r="AO200" s="49">
        <f ca="1">IF(AO4&gt;=YEAR(HM_ZA_Nkossa!effective_date_HM1994),(OFFSET(_xlfn.SINGLE(IA_devcapex_real),2,HM_ZA_Nkossa!date_offset_HM1994)*_xlfn.SINGLE(IA_esc_index)),0)*(1+df_capex_sens)</f>
        <v>0</v>
      </c>
      <c r="AP200" s="49">
        <f ca="1">IF(AP4&gt;=YEAR(HM_ZA_Nkossa!effective_date_HM1994),(OFFSET(_xlfn.SINGLE(IA_devcapex_real),2,HM_ZA_Nkossa!date_offset_HM1994)*_xlfn.SINGLE(IA_esc_index)),0)*(1+df_capex_sens)</f>
        <v>0</v>
      </c>
      <c r="AQ200" s="49">
        <f ca="1">IF(AQ4&gt;=YEAR(HM_ZA_Nkossa!effective_date_HM1994),(OFFSET(_xlfn.SINGLE(IA_devcapex_real),2,HM_ZA_Nkossa!date_offset_HM1994)*_xlfn.SINGLE(IA_esc_index)),0)*(1+df_capex_sens)</f>
        <v>0</v>
      </c>
      <c r="AR200" s="49">
        <f ca="1">IF(AR4&gt;=YEAR(HM_ZA_Nkossa!effective_date_HM1994),(OFFSET(_xlfn.SINGLE(IA_devcapex_real),2,HM_ZA_Nkossa!date_offset_HM1994)*_xlfn.SINGLE(IA_esc_index)),0)*(1+df_capex_sens)</f>
        <v>0</v>
      </c>
      <c r="AS200" s="49">
        <f ca="1">IF(AS4&gt;=YEAR(HM_ZA_Nkossa!effective_date_HM1994),(OFFSET(_xlfn.SINGLE(IA_devcapex_real),2,HM_ZA_Nkossa!date_offset_HM1994)*_xlfn.SINGLE(IA_esc_index)),0)*(1+df_capex_sens)</f>
        <v>0</v>
      </c>
      <c r="AT200" s="49">
        <f ca="1">IF(AT4&gt;=YEAR(HM_ZA_Nkossa!effective_date_HM1994),(OFFSET(_xlfn.SINGLE(IA_devcapex_real),2,HM_ZA_Nkossa!date_offset_HM1994)*_xlfn.SINGLE(IA_esc_index)),0)*(1+df_capex_sens)</f>
        <v>0</v>
      </c>
      <c r="AU200" s="49">
        <f ca="1">IF(AU4&gt;=YEAR(HM_ZA_Nkossa!effective_date_HM1994),(OFFSET(_xlfn.SINGLE(IA_devcapex_real),2,HM_ZA_Nkossa!date_offset_HM1994)*_xlfn.SINGLE(IA_esc_index)),0)*(1+df_capex_sens)</f>
        <v>0</v>
      </c>
      <c r="AV200" s="49">
        <f ca="1">IF(AV4&gt;=YEAR(HM_ZA_Nkossa!effective_date_HM1994),(OFFSET(_xlfn.SINGLE(IA_devcapex_real),2,HM_ZA_Nkossa!date_offset_HM1994)*_xlfn.SINGLE(IA_esc_index)),0)*(1+df_capex_sens)</f>
        <v>0</v>
      </c>
      <c r="AW200" s="49">
        <f ca="1">IF(AW4&gt;=YEAR(HM_ZA_Nkossa!effective_date_HM1994),(OFFSET(_xlfn.SINGLE(IA_devcapex_real),2,HM_ZA_Nkossa!date_offset_HM1994)*_xlfn.SINGLE(IA_esc_index)),0)*(1+df_capex_sens)</f>
        <v>0</v>
      </c>
      <c r="AX200" s="49">
        <f ca="1">IF(AX4&gt;=YEAR(HM_ZA_Nkossa!effective_date_HM1994),(OFFSET(_xlfn.SINGLE(IA_devcapex_real),2,HM_ZA_Nkossa!date_offset_HM1994)*_xlfn.SINGLE(IA_esc_index)),0)*(1+df_capex_sens)</f>
        <v>0</v>
      </c>
      <c r="AY200" s="49">
        <f ca="1">IF(AY4&gt;=YEAR(HM_ZA_Nkossa!effective_date_HM1994),(OFFSET(_xlfn.SINGLE(IA_devcapex_real),2,HM_ZA_Nkossa!date_offset_HM1994)*_xlfn.SINGLE(IA_esc_index)),0)*(1+df_capex_sens)</f>
        <v>0</v>
      </c>
      <c r="AZ200" s="49">
        <f ca="1">IF(AZ4&gt;=YEAR(HM_ZA_Nkossa!effective_date_HM1994),(OFFSET(_xlfn.SINGLE(IA_devcapex_real),2,HM_ZA_Nkossa!date_offset_HM1994)*_xlfn.SINGLE(IA_esc_index)),0)*(1+df_capex_sens)</f>
        <v>0</v>
      </c>
      <c r="BA200" s="49">
        <f ca="1">IF(BA4&gt;=YEAR(HM_ZA_Nkossa!effective_date_HM1994),(OFFSET(_xlfn.SINGLE(IA_devcapex_real),2,HM_ZA_Nkossa!date_offset_HM1994)*_xlfn.SINGLE(IA_esc_index)),0)*(1+df_capex_sens)</f>
        <v>0</v>
      </c>
      <c r="BB200" s="49">
        <f ca="1">IF(BB4&gt;=YEAR(HM_ZA_Nkossa!effective_date_HM1994),(OFFSET(_xlfn.SINGLE(IA_devcapex_real),2,HM_ZA_Nkossa!date_offset_HM1994)*_xlfn.SINGLE(IA_esc_index)),0)*(1+df_capex_sens)</f>
        <v>0</v>
      </c>
      <c r="BC200" s="49">
        <f ca="1">IF(BC4&gt;=YEAR(HM_ZA_Nkossa!effective_date_HM1994),(OFFSET(_xlfn.SINGLE(IA_devcapex_real),2,HM_ZA_Nkossa!date_offset_HM1994)*_xlfn.SINGLE(IA_esc_index)),0)*(1+df_capex_sens)</f>
        <v>0</v>
      </c>
      <c r="BD200" s="49">
        <f ca="1">IF(BD4&gt;=YEAR(HM_ZA_Nkossa!effective_date_HM1994),(OFFSET(_xlfn.SINGLE(IA_devcapex_real),2,HM_ZA_Nkossa!date_offset_HM1994)*_xlfn.SINGLE(IA_esc_index)),0)*(1+df_capex_sens)</f>
        <v>0</v>
      </c>
      <c r="BE200" s="49">
        <f ca="1">IF(BE4&gt;=YEAR(HM_ZA_Nkossa!effective_date_HM1994),(OFFSET(_xlfn.SINGLE(IA_devcapex_real),2,HM_ZA_Nkossa!date_offset_HM1994)*_xlfn.SINGLE(IA_esc_index)),0)*(1+df_capex_sens)</f>
        <v>0</v>
      </c>
      <c r="BF200" s="49">
        <f ca="1">IF(BF4&gt;=YEAR(HM_ZA_Nkossa!effective_date_HM1994),(OFFSET(_xlfn.SINGLE(IA_devcapex_real),2,HM_ZA_Nkossa!date_offset_HM1994)*_xlfn.SINGLE(IA_esc_index)),0)*(1+df_capex_sens)</f>
        <v>0</v>
      </c>
      <c r="BG200" s="49">
        <f ca="1">IF(BG4&gt;=YEAR(HM_ZA_Nkossa!effective_date_HM1994),(OFFSET(_xlfn.SINGLE(IA_devcapex_real),2,HM_ZA_Nkossa!date_offset_HM1994)*_xlfn.SINGLE(IA_esc_index)),0)*(1+df_capex_sens)</f>
        <v>0</v>
      </c>
      <c r="BH200" s="49">
        <f ca="1">IF(BH4&gt;=YEAR(HM_ZA_Nkossa!effective_date_HM1994),(OFFSET(_xlfn.SINGLE(IA_devcapex_real),2,HM_ZA_Nkossa!date_offset_HM1994)*_xlfn.SINGLE(IA_esc_index)),0)*(1+df_capex_sens)</f>
        <v>0</v>
      </c>
      <c r="BI200" s="49">
        <f ca="1">IF(BI4&gt;=YEAR(HM_ZA_Nkossa!effective_date_HM1994),(OFFSET(_xlfn.SINGLE(IA_devcapex_real),2,HM_ZA_Nkossa!date_offset_HM1994)*_xlfn.SINGLE(IA_esc_index)),0)*(1+df_capex_sens)</f>
        <v>0</v>
      </c>
      <c r="BJ200" s="49">
        <f ca="1">IF(BJ4&gt;=YEAR(HM_ZA_Nkossa!effective_date_HM1994),(OFFSET(_xlfn.SINGLE(IA_devcapex_real),2,HM_ZA_Nkossa!date_offset_HM1994)*_xlfn.SINGLE(IA_esc_index)),0)*(1+df_capex_sens)</f>
        <v>0</v>
      </c>
      <c r="BK200" s="49">
        <f ca="1">IF(BK4&gt;=YEAR(HM_ZA_Nkossa!effective_date_HM1994),(OFFSET(_xlfn.SINGLE(IA_devcapex_real),2,HM_ZA_Nkossa!date_offset_HM1994)*_xlfn.SINGLE(IA_esc_index)),0)*(1+df_capex_sens)</f>
        <v>0</v>
      </c>
      <c r="BL200" s="49">
        <f ca="1">IF(BL4&gt;=YEAR(HM_ZA_Nkossa!effective_date_HM1994),(OFFSET(_xlfn.SINGLE(IA_devcapex_real),2,HM_ZA_Nkossa!date_offset_HM1994)*_xlfn.SINGLE(IA_esc_index)),0)*(1+df_capex_sens)</f>
        <v>0</v>
      </c>
      <c r="BM200" s="49">
        <f ca="1">IF(BM4&gt;=YEAR(HM_ZA_Nkossa!effective_date_HM1994),(OFFSET(_xlfn.SINGLE(IA_devcapex_real),2,HM_ZA_Nkossa!date_offset_HM1994)*_xlfn.SINGLE(IA_esc_index)),0)*(1+df_capex_sens)</f>
        <v>0</v>
      </c>
      <c r="BN200" s="49">
        <f ca="1">IF(BN4&gt;=YEAR(HM_ZA_Nkossa!effective_date_HM1994),(OFFSET(_xlfn.SINGLE(IA_devcapex_real),2,HM_ZA_Nkossa!date_offset_HM1994)*_xlfn.SINGLE(IA_esc_index)),0)*(1+df_capex_sens)</f>
        <v>0</v>
      </c>
      <c r="BO200" s="49">
        <f ca="1">IF(BO4&gt;=YEAR(HM_ZA_Nkossa!effective_date_HM1994),(OFFSET(_xlfn.SINGLE(IA_devcapex_real),2,HM_ZA_Nkossa!date_offset_HM1994)*_xlfn.SINGLE(IA_esc_index)),0)*(1+df_capex_sens)</f>
        <v>0</v>
      </c>
      <c r="BP200" s="49">
        <f ca="1">IF(BP4&gt;=YEAR(HM_ZA_Nkossa!effective_date_HM1994),(OFFSET(_xlfn.SINGLE(IA_devcapex_real),2,HM_ZA_Nkossa!date_offset_HM1994)*_xlfn.SINGLE(IA_esc_index)),0)*(1+df_capex_sens)</f>
        <v>0</v>
      </c>
      <c r="BQ200" s="49">
        <f ca="1">IF(BQ4&gt;=YEAR(HM_ZA_Nkossa!effective_date_HM1994),(OFFSET(_xlfn.SINGLE(IA_devcapex_real),2,HM_ZA_Nkossa!date_offset_HM1994)*_xlfn.SINGLE(IA_esc_index)),0)*(1+df_capex_sens)</f>
        <v>0</v>
      </c>
      <c r="BR200" s="49">
        <f ca="1">IF(BR4&gt;=YEAR(HM_ZA_Nkossa!effective_date_HM1994),(OFFSET(_xlfn.SINGLE(IA_devcapex_real),2,HM_ZA_Nkossa!date_offset_HM1994)*_xlfn.SINGLE(IA_esc_index)),0)*(1+df_capex_sens)</f>
        <v>0</v>
      </c>
      <c r="BS200" s="49">
        <f ca="1">IF(BS4&gt;=YEAR(HM_ZA_Nkossa!effective_date_HM1994),(OFFSET(_xlfn.SINGLE(IA_devcapex_real),2,HM_ZA_Nkossa!date_offset_HM1994)*_xlfn.SINGLE(IA_esc_index)),0)*(1+df_capex_sens)</f>
        <v>0</v>
      </c>
    </row>
    <row r="201" spans="1:71" outlineLevel="1" x14ac:dyDescent="0.2">
      <c r="J201" s="26"/>
      <c r="L201" s="55"/>
      <c r="M201" s="55"/>
      <c r="N201" s="55"/>
      <c r="O201" s="55"/>
      <c r="P201" s="55"/>
      <c r="Q201" s="55"/>
      <c r="R201" s="55"/>
      <c r="S201" s="55"/>
      <c r="T201" s="55"/>
      <c r="U201" s="55"/>
      <c r="V201" s="55"/>
      <c r="W201" s="55"/>
      <c r="X201" s="55"/>
      <c r="Y201" s="55"/>
      <c r="Z201" s="55"/>
      <c r="AA201" s="55"/>
      <c r="AB201" s="55"/>
      <c r="AC201" s="55"/>
      <c r="AD201" s="55"/>
      <c r="AE201" s="55"/>
      <c r="AF201" s="55"/>
      <c r="AG201" s="55"/>
      <c r="AH201" s="55"/>
      <c r="AI201" s="55"/>
      <c r="AJ201" s="55"/>
      <c r="AK201" s="55"/>
      <c r="AL201" s="55"/>
      <c r="AM201" s="55"/>
      <c r="AN201" s="55"/>
      <c r="AO201" s="55"/>
      <c r="AP201" s="55"/>
      <c r="AQ201" s="55"/>
      <c r="AR201" s="55"/>
      <c r="AS201" s="55"/>
      <c r="AT201" s="55"/>
      <c r="AU201" s="55"/>
      <c r="AV201" s="55"/>
      <c r="AW201" s="55"/>
      <c r="AX201" s="55"/>
      <c r="AY201" s="55"/>
      <c r="AZ201" s="55"/>
      <c r="BA201" s="55"/>
      <c r="BB201" s="55"/>
      <c r="BC201" s="55"/>
      <c r="BD201" s="55"/>
      <c r="BE201" s="55"/>
      <c r="BF201" s="55"/>
      <c r="BG201" s="55"/>
      <c r="BH201" s="55"/>
      <c r="BI201" s="55"/>
      <c r="BJ201" s="55"/>
      <c r="BK201" s="55"/>
      <c r="BL201" s="55"/>
      <c r="BM201" s="55"/>
      <c r="BN201" s="55"/>
      <c r="BO201" s="55"/>
      <c r="BP201" s="55"/>
      <c r="BQ201" s="55"/>
      <c r="BR201" s="55"/>
      <c r="BS201" s="55"/>
    </row>
    <row r="202" spans="1:71" outlineLevel="1" x14ac:dyDescent="0.2">
      <c r="C202" s="11" t="str">
        <f>CHOOSE(db_ML_selected,'Liste Traduction'!B208,'Liste Traduction'!C208)</f>
        <v>Coûts d'abandon</v>
      </c>
      <c r="J202" s="26"/>
      <c r="L202" s="55"/>
      <c r="M202" s="55"/>
      <c r="N202" s="55"/>
      <c r="O202" s="55"/>
      <c r="P202" s="55"/>
      <c r="Q202" s="55"/>
      <c r="R202" s="55"/>
      <c r="S202" s="55"/>
      <c r="T202" s="55"/>
      <c r="U202" s="55"/>
      <c r="V202" s="55"/>
      <c r="W202" s="55"/>
      <c r="X202" s="55"/>
      <c r="Y202" s="55"/>
      <c r="Z202" s="55"/>
      <c r="AA202" s="55"/>
      <c r="AB202" s="55"/>
      <c r="AC202" s="55"/>
      <c r="AD202" s="55"/>
      <c r="AE202" s="55"/>
      <c r="AF202" s="55"/>
      <c r="AG202" s="55"/>
      <c r="AH202" s="55"/>
      <c r="AI202" s="55"/>
      <c r="AJ202" s="55"/>
      <c r="AK202" s="55"/>
      <c r="AL202" s="55"/>
      <c r="AM202" s="55"/>
      <c r="AN202" s="55"/>
      <c r="AO202" s="55"/>
      <c r="AP202" s="55"/>
      <c r="AQ202" s="55"/>
      <c r="AR202" s="55"/>
      <c r="AS202" s="55"/>
      <c r="AT202" s="55"/>
      <c r="AU202" s="55"/>
      <c r="AV202" s="55"/>
      <c r="AW202" s="55"/>
      <c r="AX202" s="55"/>
      <c r="AY202" s="55"/>
      <c r="AZ202" s="55"/>
      <c r="BA202" s="55"/>
      <c r="BB202" s="55"/>
      <c r="BC202" s="55"/>
      <c r="BD202" s="55"/>
      <c r="BE202" s="55"/>
      <c r="BF202" s="55"/>
      <c r="BG202" s="55"/>
      <c r="BH202" s="55"/>
      <c r="BI202" s="55"/>
      <c r="BJ202" s="55"/>
      <c r="BK202" s="55"/>
      <c r="BL202" s="55"/>
      <c r="BM202" s="55"/>
      <c r="BN202" s="55"/>
      <c r="BO202" s="55"/>
      <c r="BP202" s="55"/>
      <c r="BQ202" s="55"/>
      <c r="BR202" s="55"/>
      <c r="BS202" s="55"/>
    </row>
    <row r="203" spans="1:71" outlineLevel="1" x14ac:dyDescent="0.2">
      <c r="D203" t="str">
        <f>CHOOSE(db_ML_selected,'Liste Traduction'!B305,'Liste Traduction'!C305)</f>
        <v>Abandon (nominal)</v>
      </c>
      <c r="I203" s="30">
        <f ca="1">SUM($L203:$BS203)</f>
        <v>1158.403</v>
      </c>
      <c r="J203" s="26" t="s">
        <v>148</v>
      </c>
      <c r="K203" s="7" t="s">
        <v>172</v>
      </c>
      <c r="L203" s="49">
        <f ca="1">IF(L4&gt;=YEAR(HM_ZA_Nkossa!effective_date_HM1994),(OFFSET(_xlfn.SINGLE(IA_decom_real),2,HM_ZA_Nkossa!date_offset_HM1994)*_xlfn.SINGLE(IA_esc_index)),0)*decom_toggle</f>
        <v>31.151</v>
      </c>
      <c r="M203" s="49">
        <f ca="1">IF(M4&gt;=YEAR(HM_ZA_Nkossa!effective_date_HM1994),(OFFSET(_xlfn.SINGLE(IA_decom_real),2,HM_ZA_Nkossa!date_offset_HM1994)*_xlfn.SINGLE(IA_esc_index)),0)*decom_toggle</f>
        <v>68.504999999999995</v>
      </c>
      <c r="N203" s="49">
        <f ca="1">IF(N4&gt;=YEAR(HM_ZA_Nkossa!effective_date_HM1994),(OFFSET(_xlfn.SINGLE(IA_decom_real),2,HM_ZA_Nkossa!date_offset_HM1994)*_xlfn.SINGLE(IA_esc_index)),0)*decom_toggle</f>
        <v>126.03400000000001</v>
      </c>
      <c r="O203" s="49">
        <f ca="1">IF(O4&gt;=YEAR(HM_ZA_Nkossa!effective_date_HM1994),(OFFSET(_xlfn.SINGLE(IA_decom_real),2,HM_ZA_Nkossa!date_offset_HM1994)*_xlfn.SINGLE(IA_esc_index)),0)*decom_toggle</f>
        <v>177.893</v>
      </c>
      <c r="P203" s="49">
        <f ca="1">IF(P4&gt;=YEAR(HM_ZA_Nkossa!effective_date_HM1994),(OFFSET(_xlfn.SINGLE(IA_decom_real),2,HM_ZA_Nkossa!date_offset_HM1994)*_xlfn.SINGLE(IA_esc_index)),0)*decom_toggle</f>
        <v>221.03700000000001</v>
      </c>
      <c r="Q203" s="49">
        <f ca="1">IF(Q4&gt;=YEAR(HM_ZA_Nkossa!effective_date_HM1994),(OFFSET(_xlfn.SINGLE(IA_decom_real),2,HM_ZA_Nkossa!date_offset_HM1994)*_xlfn.SINGLE(IA_esc_index)),0)*decom_toggle</f>
        <v>254.56800000000001</v>
      </c>
      <c r="R203" s="49">
        <f ca="1">IF(R4&gt;=YEAR(HM_ZA_Nkossa!effective_date_HM1994),(OFFSET(_xlfn.SINGLE(IA_decom_real),2,HM_ZA_Nkossa!date_offset_HM1994)*_xlfn.SINGLE(IA_esc_index)),0)*decom_toggle</f>
        <v>279.21499999999997</v>
      </c>
      <c r="S203" s="49">
        <f ca="1">IF(S4&gt;=YEAR(HM_ZA_Nkossa!effective_date_HM1994),(OFFSET(_xlfn.SINGLE(IA_decom_real),2,HM_ZA_Nkossa!date_offset_HM1994)*_xlfn.SINGLE(IA_esc_index)),0)*decom_toggle</f>
        <v>0</v>
      </c>
      <c r="T203" s="49">
        <f ca="1">IF(T4&gt;=YEAR(HM_ZA_Nkossa!effective_date_HM1994),(OFFSET(_xlfn.SINGLE(IA_decom_real),2,HM_ZA_Nkossa!date_offset_HM1994)*_xlfn.SINGLE(IA_esc_index)),0)*(1*(df_decom_switch="Yes"))*(1+df_capex_sens)</f>
        <v>0</v>
      </c>
      <c r="U203" s="49">
        <f ca="1">IF(U4&gt;=YEAR(HM_ZA_Nkossa!effective_date_HM1994),(OFFSET(_xlfn.SINGLE(IA_decom_real),2,HM_ZA_Nkossa!date_offset_HM1994)*_xlfn.SINGLE(IA_esc_index)),0)*(1*(df_decom_switch="Yes"))*(1+df_capex_sens)</f>
        <v>0</v>
      </c>
      <c r="V203" s="49">
        <f ca="1">IF(V4&gt;=YEAR(HM_ZA_Nkossa!effective_date_HM1994),(OFFSET(_xlfn.SINGLE(IA_decom_real),2,HM_ZA_Nkossa!date_offset_HM1994)*_xlfn.SINGLE(IA_esc_index)),0)*(1*(df_decom_switch="Yes"))*(1+df_capex_sens)</f>
        <v>0</v>
      </c>
      <c r="W203" s="49">
        <f ca="1">IF(W4&gt;=YEAR(HM_ZA_Nkossa!effective_date_HM1994),(OFFSET(_xlfn.SINGLE(IA_decom_real),2,HM_ZA_Nkossa!date_offset_HM1994)*_xlfn.SINGLE(IA_esc_index)),0)*(1*(df_decom_switch="Yes"))*(1+df_capex_sens)</f>
        <v>0</v>
      </c>
      <c r="X203" s="49">
        <f ca="1">IF(X4&gt;=YEAR(HM_ZA_Nkossa!effective_date_HM1994),(OFFSET(_xlfn.SINGLE(IA_decom_real),2,HM_ZA_Nkossa!date_offset_HM1994)*_xlfn.SINGLE(IA_esc_index)),0)*(1*(df_decom_switch="Yes"))*(1+df_capex_sens)</f>
        <v>0</v>
      </c>
      <c r="Y203" s="49">
        <f ca="1">IF(Y4&gt;=YEAR(HM_ZA_Nkossa!effective_date_HM1994),(OFFSET(_xlfn.SINGLE(IA_decom_real),2,HM_ZA_Nkossa!date_offset_HM1994)*_xlfn.SINGLE(IA_esc_index)),0)*(1*(df_decom_switch="Yes"))*(1+df_capex_sens)</f>
        <v>0</v>
      </c>
      <c r="Z203" s="49">
        <f ca="1">IF(Z4&gt;=YEAR(HM_ZA_Nkossa!effective_date_HM1994),(OFFSET(_xlfn.SINGLE(IA_decom_real),2,HM_ZA_Nkossa!date_offset_HM1994)*_xlfn.SINGLE(IA_esc_index)),0)*(1*(df_decom_switch="Yes"))*(1+df_capex_sens)</f>
        <v>0</v>
      </c>
      <c r="AA203" s="49">
        <f ca="1">IF(AA4&gt;=YEAR(HM_ZA_Nkossa!effective_date_HM1994),(OFFSET(_xlfn.SINGLE(IA_decom_real),2,HM_ZA_Nkossa!date_offset_HM1994)*_xlfn.SINGLE(IA_esc_index)),0)*(1*(df_decom_switch="Yes"))*(1+df_capex_sens)</f>
        <v>0</v>
      </c>
      <c r="AB203" s="49">
        <f ca="1">IF(AB4&gt;=YEAR(HM_ZA_Nkossa!effective_date_HM1994),(OFFSET(_xlfn.SINGLE(IA_decom_real),2,HM_ZA_Nkossa!date_offset_HM1994)*_xlfn.SINGLE(IA_esc_index)),0)*(1*(df_decom_switch="Yes"))*(1+df_capex_sens)</f>
        <v>0</v>
      </c>
      <c r="AC203" s="49">
        <f ca="1">IF(AC4&gt;=YEAR(HM_ZA_Nkossa!effective_date_HM1994),(OFFSET(_xlfn.SINGLE(IA_decom_real),2,HM_ZA_Nkossa!date_offset_HM1994)*_xlfn.SINGLE(IA_esc_index)),0)*(1*(df_decom_switch="Yes"))*(1+df_capex_sens)</f>
        <v>0</v>
      </c>
      <c r="AD203" s="49">
        <f ca="1">IF(AD4&gt;=YEAR(HM_ZA_Nkossa!effective_date_HM1994),(OFFSET(_xlfn.SINGLE(IA_decom_real),2,HM_ZA_Nkossa!date_offset_HM1994)*_xlfn.SINGLE(IA_esc_index)),0)*(1*(df_decom_switch="Yes"))*(1+df_capex_sens)</f>
        <v>0</v>
      </c>
      <c r="AE203" s="49">
        <f ca="1">IF(AE4&gt;=YEAR(HM_ZA_Nkossa!effective_date_HM1994),(OFFSET(_xlfn.SINGLE(IA_decom_real),2,HM_ZA_Nkossa!date_offset_HM1994)*_xlfn.SINGLE(IA_esc_index)),0)*(1*(df_decom_switch="Yes"))*(1+df_capex_sens)</f>
        <v>0</v>
      </c>
      <c r="AF203" s="49">
        <f ca="1">IF(AF4&gt;=YEAR(HM_ZA_Nkossa!effective_date_HM1994),(OFFSET(_xlfn.SINGLE(IA_decom_real),2,HM_ZA_Nkossa!date_offset_HM1994)*_xlfn.SINGLE(IA_esc_index)),0)*(1*(df_decom_switch="Yes"))*(1+df_capex_sens)</f>
        <v>0</v>
      </c>
      <c r="AG203" s="49">
        <f ca="1">IF(AG4&gt;=YEAR(HM_ZA_Nkossa!effective_date_HM1994),(OFFSET(_xlfn.SINGLE(IA_decom_real),2,HM_ZA_Nkossa!date_offset_HM1994)*_xlfn.SINGLE(IA_esc_index)),0)*(1*(df_decom_switch="Yes"))*(1+df_capex_sens)</f>
        <v>0</v>
      </c>
      <c r="AH203" s="49">
        <f ca="1">IF(AH4&gt;=YEAR(HM_ZA_Nkossa!effective_date_HM1994),(OFFSET(_xlfn.SINGLE(IA_decom_real),2,HM_ZA_Nkossa!date_offset_HM1994)*_xlfn.SINGLE(IA_esc_index)),0)*(1*(df_decom_switch="Yes"))*(1+df_capex_sens)</f>
        <v>0</v>
      </c>
      <c r="AI203" s="49">
        <f ca="1">IF(AI4&gt;=YEAR(HM_ZA_Nkossa!effective_date_HM1994),(OFFSET(_xlfn.SINGLE(IA_decom_real),2,HM_ZA_Nkossa!date_offset_HM1994)*_xlfn.SINGLE(IA_esc_index)),0)*(1*(df_decom_switch="Yes"))*(1+df_capex_sens)</f>
        <v>0</v>
      </c>
      <c r="AJ203" s="49">
        <f ca="1">IF(AJ4&gt;=YEAR(HM_ZA_Nkossa!effective_date_HM1994),(OFFSET(_xlfn.SINGLE(IA_decom_real),2,HM_ZA_Nkossa!date_offset_HM1994)*_xlfn.SINGLE(IA_esc_index)),0)*(1*(df_decom_switch="Yes"))*(1+df_capex_sens)</f>
        <v>0</v>
      </c>
      <c r="AK203" s="49">
        <f ca="1">IF(AK4&gt;=YEAR(HM_ZA_Nkossa!effective_date_HM1994),(OFFSET(_xlfn.SINGLE(IA_decom_real),2,HM_ZA_Nkossa!date_offset_HM1994)*_xlfn.SINGLE(IA_esc_index)),0)*(1*(df_decom_switch="Yes"))*(1+df_capex_sens)</f>
        <v>0</v>
      </c>
      <c r="AL203" s="49">
        <f ca="1">IF(AL4&gt;=YEAR(HM_ZA_Nkossa!effective_date_HM1994),(OFFSET(_xlfn.SINGLE(IA_decom_real),2,HM_ZA_Nkossa!date_offset_HM1994)*_xlfn.SINGLE(IA_esc_index)),0)*(1*(df_decom_switch="Yes"))*(1+df_capex_sens)</f>
        <v>0</v>
      </c>
      <c r="AM203" s="49">
        <f ca="1">IF(AM4&gt;=YEAR(HM_ZA_Nkossa!effective_date_HM1994),(OFFSET(_xlfn.SINGLE(IA_decom_real),2,HM_ZA_Nkossa!date_offset_HM1994)*_xlfn.SINGLE(IA_esc_index)),0)*(1*(df_decom_switch="Yes"))*(1+df_capex_sens)</f>
        <v>0</v>
      </c>
      <c r="AN203" s="49">
        <f ca="1">IF(AN4&gt;=YEAR(HM_ZA_Nkossa!effective_date_HM1994),(OFFSET(_xlfn.SINGLE(IA_decom_real),2,HM_ZA_Nkossa!date_offset_HM1994)*_xlfn.SINGLE(IA_esc_index)),0)*(1*(df_decom_switch="Yes"))*(1+df_capex_sens)</f>
        <v>0</v>
      </c>
      <c r="AO203" s="49">
        <f ca="1">IF(AO4&gt;=YEAR(HM_ZA_Nkossa!effective_date_HM1994),(OFFSET(_xlfn.SINGLE(IA_decom_real),2,HM_ZA_Nkossa!date_offset_HM1994)*_xlfn.SINGLE(IA_esc_index)),0)*(1*(df_decom_switch="Yes"))*(1+df_capex_sens)</f>
        <v>0</v>
      </c>
      <c r="AP203" s="49">
        <f ca="1">IF(AP4&gt;=YEAR(HM_ZA_Nkossa!effective_date_HM1994),(OFFSET(_xlfn.SINGLE(IA_decom_real),2,HM_ZA_Nkossa!date_offset_HM1994)*_xlfn.SINGLE(IA_esc_index)),0)*(1*(df_decom_switch="Yes"))*(1+df_capex_sens)</f>
        <v>0</v>
      </c>
      <c r="AQ203" s="49">
        <f ca="1">IF(AQ4&gt;=YEAR(HM_ZA_Nkossa!effective_date_HM1994),(OFFSET(_xlfn.SINGLE(IA_decom_real),2,HM_ZA_Nkossa!date_offset_HM1994)*_xlfn.SINGLE(IA_esc_index)),0)*(1*(df_decom_switch="Yes"))*(1+df_capex_sens)</f>
        <v>0</v>
      </c>
      <c r="AR203" s="49">
        <f ca="1">IF(AR4&gt;=YEAR(HM_ZA_Nkossa!effective_date_HM1994),(OFFSET(_xlfn.SINGLE(IA_decom_real),2,HM_ZA_Nkossa!date_offset_HM1994)*_xlfn.SINGLE(IA_esc_index)),0)*(1*(df_decom_switch="Yes"))*(1+df_capex_sens)</f>
        <v>0</v>
      </c>
      <c r="AS203" s="49">
        <f ca="1">IF(AS4&gt;=YEAR(HM_ZA_Nkossa!effective_date_HM1994),(OFFSET(_xlfn.SINGLE(IA_decom_real),2,HM_ZA_Nkossa!date_offset_HM1994)*_xlfn.SINGLE(IA_esc_index)),0)*(1*(df_decom_switch="Yes"))*(1+df_capex_sens)</f>
        <v>0</v>
      </c>
      <c r="AT203" s="49">
        <f ca="1">IF(AT4&gt;=YEAR(HM_ZA_Nkossa!effective_date_HM1994),(OFFSET(_xlfn.SINGLE(IA_decom_real),2,HM_ZA_Nkossa!date_offset_HM1994)*_xlfn.SINGLE(IA_esc_index)),0)*(1*(df_decom_switch="Yes"))*(1+df_capex_sens)</f>
        <v>0</v>
      </c>
      <c r="AU203" s="49">
        <f ca="1">IF(AU4&gt;=YEAR(HM_ZA_Nkossa!effective_date_HM1994),(OFFSET(_xlfn.SINGLE(IA_decom_real),2,HM_ZA_Nkossa!date_offset_HM1994)*_xlfn.SINGLE(IA_esc_index)),0)*(1*(df_decom_switch="Yes"))*(1+df_capex_sens)</f>
        <v>0</v>
      </c>
      <c r="AV203" s="49">
        <f ca="1">IF(AV4&gt;=YEAR(HM_ZA_Nkossa!effective_date_HM1994),(OFFSET(_xlfn.SINGLE(IA_decom_real),2,HM_ZA_Nkossa!date_offset_HM1994)*_xlfn.SINGLE(IA_esc_index)),0)*(1*(df_decom_switch="Yes"))*(1+df_capex_sens)</f>
        <v>0</v>
      </c>
      <c r="AW203" s="49">
        <f ca="1">IF(AW4&gt;=YEAR(HM_ZA_Nkossa!effective_date_HM1994),(OFFSET(_xlfn.SINGLE(IA_decom_real),2,HM_ZA_Nkossa!date_offset_HM1994)*_xlfn.SINGLE(IA_esc_index)),0)*(1*(df_decom_switch="Yes"))*(1+df_capex_sens)</f>
        <v>0</v>
      </c>
      <c r="AX203" s="49">
        <f ca="1">IF(AX4&gt;=YEAR(HM_ZA_Nkossa!effective_date_HM1994),(OFFSET(_xlfn.SINGLE(IA_decom_real),2,HM_ZA_Nkossa!date_offset_HM1994)*_xlfn.SINGLE(IA_esc_index)),0)*(1*(df_decom_switch="Yes"))*(1+df_capex_sens)</f>
        <v>0</v>
      </c>
      <c r="AY203" s="49">
        <f ca="1">IF(AY4&gt;=YEAR(HM_ZA_Nkossa!effective_date_HM1994),(OFFSET(_xlfn.SINGLE(IA_decom_real),2,HM_ZA_Nkossa!date_offset_HM1994)*_xlfn.SINGLE(IA_esc_index)),0)*(1*(df_decom_switch="Yes"))*(1+df_capex_sens)</f>
        <v>0</v>
      </c>
      <c r="AZ203" s="49">
        <f ca="1">IF(AZ4&gt;=YEAR(HM_ZA_Nkossa!effective_date_HM1994),(OFFSET(_xlfn.SINGLE(IA_decom_real),2,HM_ZA_Nkossa!date_offset_HM1994)*_xlfn.SINGLE(IA_esc_index)),0)*(1*(df_decom_switch="Yes"))*(1+df_capex_sens)</f>
        <v>0</v>
      </c>
      <c r="BA203" s="49">
        <f ca="1">IF(BA4&gt;=YEAR(HM_ZA_Nkossa!effective_date_HM1994),(OFFSET(_xlfn.SINGLE(IA_decom_real),2,HM_ZA_Nkossa!date_offset_HM1994)*_xlfn.SINGLE(IA_esc_index)),0)*(1*(df_decom_switch="Yes"))*(1+df_capex_sens)</f>
        <v>0</v>
      </c>
      <c r="BB203" s="49">
        <f ca="1">IF(BB4&gt;=YEAR(HM_ZA_Nkossa!effective_date_HM1994),(OFFSET(_xlfn.SINGLE(IA_decom_real),2,HM_ZA_Nkossa!date_offset_HM1994)*_xlfn.SINGLE(IA_esc_index)),0)*(1*(df_decom_switch="Yes"))*(1+df_capex_sens)</f>
        <v>0</v>
      </c>
      <c r="BC203" s="49">
        <f ca="1">IF(BC4&gt;=YEAR(HM_ZA_Nkossa!effective_date_HM1994),(OFFSET(_xlfn.SINGLE(IA_decom_real),2,HM_ZA_Nkossa!date_offset_HM1994)*_xlfn.SINGLE(IA_esc_index)),0)*(1*(df_decom_switch="Yes"))*(1+df_capex_sens)</f>
        <v>0</v>
      </c>
      <c r="BD203" s="49">
        <f ca="1">IF(BD4&gt;=YEAR(HM_ZA_Nkossa!effective_date_HM1994),(OFFSET(_xlfn.SINGLE(IA_decom_real),2,HM_ZA_Nkossa!date_offset_HM1994)*_xlfn.SINGLE(IA_esc_index)),0)*(1*(df_decom_switch="Yes"))*(1+df_capex_sens)</f>
        <v>0</v>
      </c>
      <c r="BE203" s="49">
        <f ca="1">IF(BE4&gt;=YEAR(HM_ZA_Nkossa!effective_date_HM1994),(OFFSET(_xlfn.SINGLE(IA_decom_real),2,HM_ZA_Nkossa!date_offset_HM1994)*_xlfn.SINGLE(IA_esc_index)),0)*(1*(df_decom_switch="Yes"))*(1+df_capex_sens)</f>
        <v>0</v>
      </c>
      <c r="BF203" s="49">
        <f ca="1">IF(BF4&gt;=YEAR(HM_ZA_Nkossa!effective_date_HM1994),(OFFSET(_xlfn.SINGLE(IA_decom_real),2,HM_ZA_Nkossa!date_offset_HM1994)*_xlfn.SINGLE(IA_esc_index)),0)*(1*(df_decom_switch="Yes"))*(1+df_capex_sens)</f>
        <v>0</v>
      </c>
      <c r="BG203" s="49">
        <f ca="1">IF(BG4&gt;=YEAR(HM_ZA_Nkossa!effective_date_HM1994),(OFFSET(_xlfn.SINGLE(IA_decom_real),2,HM_ZA_Nkossa!date_offset_HM1994)*_xlfn.SINGLE(IA_esc_index)),0)*(1*(df_decom_switch="Yes"))*(1+df_capex_sens)</f>
        <v>0</v>
      </c>
      <c r="BH203" s="49">
        <f ca="1">IF(BH4&gt;=YEAR(HM_ZA_Nkossa!effective_date_HM1994),(OFFSET(_xlfn.SINGLE(IA_decom_real),2,HM_ZA_Nkossa!date_offset_HM1994)*_xlfn.SINGLE(IA_esc_index)),0)*(1*(df_decom_switch="Yes"))*(1+df_capex_sens)</f>
        <v>0</v>
      </c>
      <c r="BI203" s="49">
        <f ca="1">IF(BI4&gt;=YEAR(HM_ZA_Nkossa!effective_date_HM1994),(OFFSET(_xlfn.SINGLE(IA_decom_real),2,HM_ZA_Nkossa!date_offset_HM1994)*_xlfn.SINGLE(IA_esc_index)),0)*(1*(df_decom_switch="Yes"))*(1+df_capex_sens)</f>
        <v>0</v>
      </c>
      <c r="BJ203" s="49">
        <f ca="1">IF(BJ4&gt;=YEAR(HM_ZA_Nkossa!effective_date_HM1994),(OFFSET(_xlfn.SINGLE(IA_decom_real),2,HM_ZA_Nkossa!date_offset_HM1994)*_xlfn.SINGLE(IA_esc_index)),0)*(1*(df_decom_switch="Yes"))*(1+df_capex_sens)</f>
        <v>0</v>
      </c>
      <c r="BK203" s="49">
        <f ca="1">IF(BK4&gt;=YEAR(HM_ZA_Nkossa!effective_date_HM1994),(OFFSET(_xlfn.SINGLE(IA_decom_real),2,HM_ZA_Nkossa!date_offset_HM1994)*_xlfn.SINGLE(IA_esc_index)),0)*(1*(df_decom_switch="Yes"))*(1+df_capex_sens)</f>
        <v>0</v>
      </c>
      <c r="BL203" s="49">
        <f ca="1">IF(BL4&gt;=YEAR(HM_ZA_Nkossa!effective_date_HM1994),(OFFSET(_xlfn.SINGLE(IA_decom_real),2,HM_ZA_Nkossa!date_offset_HM1994)*_xlfn.SINGLE(IA_esc_index)),0)*(1*(df_decom_switch="Yes"))*(1+df_capex_sens)</f>
        <v>0</v>
      </c>
      <c r="BM203" s="49">
        <f ca="1">IF(BM4&gt;=YEAR(HM_ZA_Nkossa!effective_date_HM1994),(OFFSET(_xlfn.SINGLE(IA_decom_real),2,HM_ZA_Nkossa!date_offset_HM1994)*_xlfn.SINGLE(IA_esc_index)),0)*(1*(df_decom_switch="Yes"))*(1+df_capex_sens)</f>
        <v>0</v>
      </c>
      <c r="BN203" s="49">
        <f ca="1">IF(BN4&gt;=YEAR(HM_ZA_Nkossa!effective_date_HM1994),(OFFSET(_xlfn.SINGLE(IA_decom_real),2,HM_ZA_Nkossa!date_offset_HM1994)*_xlfn.SINGLE(IA_esc_index)),0)*(1*(df_decom_switch="Yes"))*(1+df_capex_sens)</f>
        <v>0</v>
      </c>
      <c r="BO203" s="49">
        <f ca="1">IF(BO4&gt;=YEAR(HM_ZA_Nkossa!effective_date_HM1994),(OFFSET(_xlfn.SINGLE(IA_decom_real),2,HM_ZA_Nkossa!date_offset_HM1994)*_xlfn.SINGLE(IA_esc_index)),0)*(1*(df_decom_switch="Yes"))*(1+df_capex_sens)</f>
        <v>0</v>
      </c>
      <c r="BP203" s="49">
        <f ca="1">IF(BP4&gt;=YEAR(HM_ZA_Nkossa!effective_date_HM1994),(OFFSET(_xlfn.SINGLE(IA_decom_real),2,HM_ZA_Nkossa!date_offset_HM1994)*_xlfn.SINGLE(IA_esc_index)),0)*(1*(df_decom_switch="Yes"))*(1+df_capex_sens)</f>
        <v>0</v>
      </c>
      <c r="BQ203" s="49">
        <f ca="1">IF(BQ4&gt;=YEAR(HM_ZA_Nkossa!effective_date_HM1994),(OFFSET(_xlfn.SINGLE(IA_decom_real),2,HM_ZA_Nkossa!date_offset_HM1994)*_xlfn.SINGLE(IA_esc_index)),0)*(1*(df_decom_switch="Yes"))*(1+df_capex_sens)</f>
        <v>0</v>
      </c>
      <c r="BR203" s="49">
        <f ca="1">IF(BR4&gt;=YEAR(HM_ZA_Nkossa!effective_date_HM1994),(OFFSET(_xlfn.SINGLE(IA_decom_real),2,HM_ZA_Nkossa!date_offset_HM1994)*_xlfn.SINGLE(IA_esc_index)),0)*(1*(df_decom_switch="Yes"))*(1+df_capex_sens)</f>
        <v>0</v>
      </c>
      <c r="BS203" s="49">
        <f ca="1">IF(BS4&gt;=YEAR(HM_ZA_Nkossa!effective_date_HM1994),(OFFSET(_xlfn.SINGLE(IA_decom_real),2,HM_ZA_Nkossa!date_offset_HM1994)*_xlfn.SINGLE(IA_esc_index)),0)*(1*(df_decom_switch="Yes"))*(1+df_capex_sens)</f>
        <v>0</v>
      </c>
    </row>
    <row r="204" spans="1:71" outlineLevel="1" x14ac:dyDescent="0.2">
      <c r="J204" s="26"/>
      <c r="L204" s="55"/>
      <c r="M204" s="55"/>
      <c r="N204" s="55"/>
      <c r="O204" s="55"/>
      <c r="P204" s="55"/>
      <c r="Q204" s="55"/>
      <c r="R204" s="55"/>
      <c r="S204" s="55"/>
      <c r="T204" s="55"/>
      <c r="U204" s="55"/>
      <c r="V204" s="55"/>
      <c r="W204" s="55"/>
      <c r="X204" s="55"/>
      <c r="Y204" s="55"/>
      <c r="Z204" s="55"/>
      <c r="AA204" s="55"/>
      <c r="AB204" s="55"/>
      <c r="AC204" s="55"/>
      <c r="AD204" s="55"/>
      <c r="AE204" s="55"/>
      <c r="AF204" s="55"/>
      <c r="AG204" s="55"/>
      <c r="AH204" s="55"/>
      <c r="AI204" s="55"/>
      <c r="AJ204" s="55"/>
      <c r="AK204" s="55"/>
      <c r="AL204" s="55"/>
      <c r="AM204" s="55"/>
      <c r="AN204" s="55"/>
      <c r="AO204" s="55"/>
      <c r="AP204" s="55"/>
      <c r="AQ204" s="55"/>
      <c r="AR204" s="55"/>
      <c r="AS204" s="55"/>
      <c r="AT204" s="55"/>
      <c r="AU204" s="55"/>
      <c r="AV204" s="55"/>
      <c r="AW204" s="55"/>
      <c r="AX204" s="55"/>
      <c r="AY204" s="55"/>
      <c r="AZ204" s="55"/>
      <c r="BA204" s="55"/>
      <c r="BB204" s="55"/>
      <c r="BC204" s="55"/>
      <c r="BD204" s="55"/>
      <c r="BE204" s="55"/>
      <c r="BF204" s="55"/>
      <c r="BG204" s="55"/>
      <c r="BH204" s="55"/>
      <c r="BI204" s="55"/>
      <c r="BJ204" s="55"/>
      <c r="BK204" s="55"/>
      <c r="BL204" s="55"/>
      <c r="BM204" s="55"/>
      <c r="BN204" s="55"/>
      <c r="BO204" s="55"/>
      <c r="BP204" s="55"/>
      <c r="BQ204" s="55"/>
      <c r="BR204" s="55"/>
      <c r="BS204" s="55"/>
    </row>
    <row r="205" spans="1:71" outlineLevel="1" x14ac:dyDescent="0.2">
      <c r="J205" s="26"/>
      <c r="L205" s="55"/>
      <c r="M205" s="55"/>
      <c r="N205" s="55"/>
      <c r="O205" s="55"/>
      <c r="P205" s="55"/>
      <c r="Q205" s="55"/>
      <c r="R205" s="55"/>
      <c r="S205" s="55"/>
      <c r="T205" s="55"/>
      <c r="U205" s="55"/>
      <c r="V205" s="55"/>
      <c r="W205" s="55"/>
      <c r="X205" s="55"/>
      <c r="Y205" s="55"/>
      <c r="Z205" s="55"/>
      <c r="AA205" s="55"/>
      <c r="AB205" s="55"/>
      <c r="AC205" s="55"/>
      <c r="AD205" s="55"/>
      <c r="AE205" s="55"/>
      <c r="AF205" s="55"/>
      <c r="AG205" s="55"/>
      <c r="AH205" s="55"/>
      <c r="AI205" s="55"/>
      <c r="AJ205" s="55"/>
      <c r="AK205" s="55"/>
      <c r="AL205" s="55"/>
      <c r="AM205" s="55"/>
      <c r="AN205" s="55"/>
      <c r="AO205" s="55"/>
      <c r="AP205" s="55"/>
      <c r="AQ205" s="55"/>
      <c r="AR205" s="55"/>
      <c r="AS205" s="55"/>
      <c r="AT205" s="55"/>
      <c r="AU205" s="55"/>
      <c r="AV205" s="55"/>
      <c r="AW205" s="55"/>
      <c r="AX205" s="55"/>
      <c r="AY205" s="55"/>
      <c r="AZ205" s="55"/>
      <c r="BA205" s="55"/>
      <c r="BB205" s="55"/>
      <c r="BC205" s="55"/>
      <c r="BD205" s="55"/>
      <c r="BE205" s="55"/>
      <c r="BF205" s="55"/>
      <c r="BG205" s="55"/>
      <c r="BH205" s="55"/>
      <c r="BI205" s="55"/>
      <c r="BJ205" s="55"/>
      <c r="BK205" s="55"/>
      <c r="BL205" s="55"/>
      <c r="BM205" s="55"/>
      <c r="BN205" s="55"/>
      <c r="BO205" s="55"/>
      <c r="BP205" s="55"/>
      <c r="BQ205" s="55"/>
      <c r="BR205" s="55"/>
      <c r="BS205" s="55"/>
    </row>
    <row r="206" spans="1:71" outlineLevel="1" x14ac:dyDescent="0.2">
      <c r="A206" s="45"/>
      <c r="B206" s="38" t="str">
        <f>CHOOSE(db_ML_selected,'Liste Traduction'!B306,'Liste Traduction'!C306)</f>
        <v>Calculs fiscaux</v>
      </c>
      <c r="C206" s="45"/>
      <c r="D206" s="45"/>
      <c r="E206" s="45"/>
      <c r="J206" s="26"/>
      <c r="L206" s="55"/>
      <c r="M206" s="55"/>
      <c r="N206" s="55"/>
      <c r="O206" s="55"/>
      <c r="P206" s="55"/>
      <c r="Q206" s="55"/>
      <c r="R206" s="55"/>
      <c r="S206" s="55"/>
      <c r="T206" s="55"/>
      <c r="U206" s="55"/>
      <c r="V206" s="55"/>
      <c r="W206" s="55"/>
      <c r="X206" s="55"/>
      <c r="Y206" s="55"/>
      <c r="Z206" s="55"/>
      <c r="AA206" s="55"/>
      <c r="AB206" s="55"/>
      <c r="AC206" s="55"/>
      <c r="AD206" s="55"/>
      <c r="AE206" s="55"/>
      <c r="AF206" s="55"/>
      <c r="AG206" s="55"/>
      <c r="AH206" s="55"/>
      <c r="AI206" s="55"/>
      <c r="AJ206" s="55"/>
      <c r="AK206" s="55"/>
      <c r="AL206" s="55"/>
      <c r="AM206" s="55"/>
      <c r="AN206" s="55"/>
      <c r="AO206" s="55"/>
      <c r="AP206" s="55"/>
      <c r="AQ206" s="55"/>
      <c r="AR206" s="55"/>
      <c r="AS206" s="55"/>
      <c r="AT206" s="55"/>
      <c r="AU206" s="55"/>
      <c r="AV206" s="55"/>
      <c r="AW206" s="55"/>
      <c r="AX206" s="55"/>
      <c r="AY206" s="55"/>
      <c r="AZ206" s="55"/>
      <c r="BA206" s="55"/>
      <c r="BB206" s="55"/>
      <c r="BC206" s="55"/>
      <c r="BD206" s="55"/>
      <c r="BE206" s="55"/>
      <c r="BF206" s="55"/>
      <c r="BG206" s="55"/>
      <c r="BH206" s="55"/>
      <c r="BI206" s="55"/>
      <c r="BJ206" s="55"/>
      <c r="BK206" s="55"/>
      <c r="BL206" s="55"/>
      <c r="BM206" s="55"/>
      <c r="BN206" s="55"/>
      <c r="BO206" s="55"/>
      <c r="BP206" s="55"/>
      <c r="BQ206" s="55"/>
      <c r="BR206" s="55"/>
      <c r="BS206" s="55"/>
    </row>
    <row r="207" spans="1:71" outlineLevel="1" x14ac:dyDescent="0.2">
      <c r="J207" s="26"/>
      <c r="L207" s="55"/>
      <c r="M207" s="55"/>
      <c r="N207" s="55"/>
      <c r="O207" s="55"/>
      <c r="P207" s="55"/>
      <c r="Q207" s="55"/>
      <c r="R207" s="55"/>
      <c r="S207" s="55"/>
      <c r="T207" s="55"/>
      <c r="U207" s="55"/>
      <c r="V207" s="55"/>
      <c r="W207" s="55"/>
      <c r="X207" s="55"/>
      <c r="Y207" s="55"/>
      <c r="Z207" s="55"/>
      <c r="AA207" s="55"/>
      <c r="AB207" s="55"/>
      <c r="AC207" s="55"/>
      <c r="AD207" s="55"/>
      <c r="AE207" s="55"/>
      <c r="AF207" s="55"/>
      <c r="AG207" s="55"/>
      <c r="AH207" s="55"/>
      <c r="AI207" s="55"/>
      <c r="AJ207" s="55"/>
      <c r="AK207" s="55"/>
      <c r="AL207" s="55"/>
      <c r="AM207" s="55"/>
      <c r="AN207" s="55"/>
      <c r="AO207" s="55"/>
      <c r="AP207" s="55"/>
      <c r="AQ207" s="55"/>
      <c r="AR207" s="55"/>
      <c r="AS207" s="55"/>
      <c r="AT207" s="55"/>
      <c r="AU207" s="55"/>
      <c r="AV207" s="55"/>
      <c r="AW207" s="55"/>
      <c r="AX207" s="55"/>
      <c r="AY207" s="55"/>
      <c r="AZ207" s="55"/>
      <c r="BA207" s="55"/>
      <c r="BB207" s="55"/>
      <c r="BC207" s="55"/>
      <c r="BD207" s="55"/>
      <c r="BE207" s="55"/>
      <c r="BF207" s="55"/>
      <c r="BG207" s="55"/>
      <c r="BH207" s="55"/>
      <c r="BI207" s="55"/>
      <c r="BJ207" s="55"/>
      <c r="BK207" s="55"/>
      <c r="BL207" s="55"/>
      <c r="BM207" s="55"/>
      <c r="BN207" s="55"/>
      <c r="BO207" s="55"/>
      <c r="BP207" s="55"/>
      <c r="BQ207" s="55"/>
      <c r="BR207" s="55"/>
      <c r="BS207" s="55"/>
    </row>
    <row r="208" spans="1:71" outlineLevel="1" x14ac:dyDescent="0.2">
      <c r="C208" s="11" t="str">
        <f>CHOOSE(db_ML_selected,'Liste Traduction'!B307,'Liste Traduction'!C307)</f>
        <v>Déclencheur exploitation</v>
      </c>
      <c r="J208" s="26"/>
      <c r="K208" s="7" t="s">
        <v>213</v>
      </c>
      <c r="L208" s="57">
        <f ca="1">1*(OR(HM_ZA_Nkossa!CA_opex_total_nom&gt;0,HM_ZA_Nkossa!CA_expex_nom&gt;0,HM_ZA_Nkossa!CA_devex_nom&gt;0,HM_ZA_Nkossa!CA_gross_prod_oil+HM_ZA_Nkossa!CA_gross_prod_gas&gt;0))</f>
        <v>1</v>
      </c>
      <c r="M208" s="57">
        <f ca="1">1*(OR(HM_ZA_Nkossa!CA_opex_total_nom&gt;0,HM_ZA_Nkossa!CA_expex_nom&gt;0,HM_ZA_Nkossa!CA_devex_nom&gt;0,HM_ZA_Nkossa!CA_gross_prod_oil+HM_ZA_Nkossa!CA_gross_prod_gas&gt;0))</f>
        <v>1</v>
      </c>
      <c r="N208" s="57">
        <f ca="1">1*(OR(HM_ZA_Nkossa!CA_opex_total_nom&gt;0,HM_ZA_Nkossa!CA_expex_nom&gt;0,HM_ZA_Nkossa!CA_devex_nom&gt;0,HM_ZA_Nkossa!CA_gross_prod_oil+HM_ZA_Nkossa!CA_gross_prod_gas&gt;0))</f>
        <v>1</v>
      </c>
      <c r="O208" s="57">
        <f ca="1">1*(OR(HM_ZA_Nkossa!CA_opex_total_nom&gt;0,HM_ZA_Nkossa!CA_expex_nom&gt;0,HM_ZA_Nkossa!CA_devex_nom&gt;0,HM_ZA_Nkossa!CA_gross_prod_oil+HM_ZA_Nkossa!CA_gross_prod_gas&gt;0))</f>
        <v>1</v>
      </c>
      <c r="P208" s="57">
        <f ca="1">1*(OR(HM_ZA_Nkossa!CA_opex_total_nom&gt;0,HM_ZA_Nkossa!CA_expex_nom&gt;0,HM_ZA_Nkossa!CA_devex_nom&gt;0,HM_ZA_Nkossa!CA_gross_prod_oil+HM_ZA_Nkossa!CA_gross_prod_gas&gt;0))</f>
        <v>1</v>
      </c>
      <c r="Q208" s="57">
        <f ca="1">1*(OR(HM_ZA_Nkossa!CA_opex_total_nom&gt;0,HM_ZA_Nkossa!CA_expex_nom&gt;0,HM_ZA_Nkossa!CA_devex_nom&gt;0,HM_ZA_Nkossa!CA_gross_prod_oil+HM_ZA_Nkossa!CA_gross_prod_gas&gt;0))</f>
        <v>1</v>
      </c>
      <c r="R208" s="57">
        <f ca="1">1*(OR(HM_ZA_Nkossa!CA_opex_total_nom&gt;0,HM_ZA_Nkossa!CA_expex_nom&gt;0,HM_ZA_Nkossa!CA_devex_nom&gt;0,HM_ZA_Nkossa!CA_gross_prod_oil+HM_ZA_Nkossa!CA_gross_prod_gas&gt;0))</f>
        <v>1</v>
      </c>
      <c r="S208" s="57">
        <f ca="1">1*(OR(HM_ZA_Nkossa!CA_opex_total_nom&gt;0,HM_ZA_Nkossa!CA_expex_nom&gt;0,HM_ZA_Nkossa!CA_devex_nom&gt;0,HM_ZA_Nkossa!CA_gross_prod_oil+HM_ZA_Nkossa!CA_gross_prod_gas&gt;0))</f>
        <v>1</v>
      </c>
      <c r="T208" s="57">
        <f ca="1">1*(OR(HM_ZA_Nkossa!CA_opex_total_nom&gt;0,HM_ZA_Nkossa!CA_expex_nom&gt;0,HM_ZA_Nkossa!CA_devex_nom&gt;0,HM_ZA_Nkossa!CA_gross_prod_oil+HM_ZA_Nkossa!CA_gross_prod_gas&gt;0))</f>
        <v>1</v>
      </c>
      <c r="U208" s="57">
        <f ca="1">1*(OR(HM_ZA_Nkossa!CA_opex_total_nom&gt;0,HM_ZA_Nkossa!CA_expex_nom&gt;0,HM_ZA_Nkossa!CA_devex_nom&gt;0,HM_ZA_Nkossa!CA_gross_prod_oil+HM_ZA_Nkossa!CA_gross_prod_gas&gt;0))</f>
        <v>1</v>
      </c>
      <c r="V208" s="57">
        <f ca="1">1*(OR(HM_ZA_Nkossa!CA_opex_total_nom&gt;0,HM_ZA_Nkossa!CA_expex_nom&gt;0,HM_ZA_Nkossa!CA_devex_nom&gt;0,HM_ZA_Nkossa!CA_gross_prod_oil+HM_ZA_Nkossa!CA_gross_prod_gas&gt;0))</f>
        <v>1</v>
      </c>
      <c r="W208" s="57">
        <f ca="1">1*(OR(HM_ZA_Nkossa!CA_opex_total_nom&gt;0,HM_ZA_Nkossa!CA_expex_nom&gt;0,HM_ZA_Nkossa!CA_devex_nom&gt;0,HM_ZA_Nkossa!CA_gross_prod_oil+HM_ZA_Nkossa!CA_gross_prod_gas&gt;0))</f>
        <v>1</v>
      </c>
      <c r="X208" s="57">
        <f ca="1">1*(OR(HM_ZA_Nkossa!CA_opex_total_nom&gt;0,HM_ZA_Nkossa!CA_expex_nom&gt;0,HM_ZA_Nkossa!CA_devex_nom&gt;0,HM_ZA_Nkossa!CA_gross_prod_oil+HM_ZA_Nkossa!CA_gross_prod_gas&gt;0))</f>
        <v>1</v>
      </c>
      <c r="Y208" s="57">
        <f ca="1">1*(OR(HM_ZA_Nkossa!CA_opex_total_nom&gt;0,HM_ZA_Nkossa!CA_expex_nom&gt;0,HM_ZA_Nkossa!CA_devex_nom&gt;0,HM_ZA_Nkossa!CA_gross_prod_oil+HM_ZA_Nkossa!CA_gross_prod_gas&gt;0))</f>
        <v>0</v>
      </c>
      <c r="Z208" s="57">
        <f ca="1">1*(OR(HM_ZA_Nkossa!CA_opex_total_nom&gt;0,HM_ZA_Nkossa!CA_expex_nom&gt;0,HM_ZA_Nkossa!CA_devex_nom&gt;0,HM_ZA_Nkossa!CA_gross_prod_oil+HM_ZA_Nkossa!CA_gross_prod_gas&gt;0))</f>
        <v>0</v>
      </c>
      <c r="AA208" s="57">
        <f ca="1">1*(OR(HM_ZA_Nkossa!CA_opex_total_nom&gt;0,HM_ZA_Nkossa!CA_expex_nom&gt;0,HM_ZA_Nkossa!CA_devex_nom&gt;0,HM_ZA_Nkossa!CA_gross_prod_oil+HM_ZA_Nkossa!CA_gross_prod_gas&gt;0))</f>
        <v>0</v>
      </c>
      <c r="AB208" s="57">
        <f ca="1">1*(OR(HM_ZA_Nkossa!CA_opex_total_nom&gt;0,HM_ZA_Nkossa!CA_expex_nom&gt;0,HM_ZA_Nkossa!CA_devex_nom&gt;0,HM_ZA_Nkossa!CA_gross_prod_oil+HM_ZA_Nkossa!CA_gross_prod_gas&gt;0))</f>
        <v>0</v>
      </c>
      <c r="AC208" s="57">
        <f ca="1">1*(OR(HM_ZA_Nkossa!CA_opex_total_nom&gt;0,HM_ZA_Nkossa!CA_expex_nom&gt;0,HM_ZA_Nkossa!CA_devex_nom&gt;0,HM_ZA_Nkossa!CA_gross_prod_oil+HM_ZA_Nkossa!CA_gross_prod_gas&gt;0))</f>
        <v>0</v>
      </c>
      <c r="AD208" s="57">
        <f ca="1">1*(OR(HM_ZA_Nkossa!CA_opex_total_nom&gt;0,HM_ZA_Nkossa!CA_expex_nom&gt;0,HM_ZA_Nkossa!CA_devex_nom&gt;0,HM_ZA_Nkossa!CA_gross_prod_oil+HM_ZA_Nkossa!CA_gross_prod_gas&gt;0))</f>
        <v>0</v>
      </c>
      <c r="AE208" s="57">
        <f ca="1">1*(OR(HM_ZA_Nkossa!CA_opex_total_nom&gt;0,HM_ZA_Nkossa!CA_expex_nom&gt;0,HM_ZA_Nkossa!CA_devex_nom&gt;0,HM_ZA_Nkossa!CA_gross_prod_oil+HM_ZA_Nkossa!CA_gross_prod_gas&gt;0))</f>
        <v>0</v>
      </c>
      <c r="AF208" s="57">
        <f ca="1">1*(OR(HM_ZA_Nkossa!CA_opex_total_nom&gt;0,HM_ZA_Nkossa!CA_expex_nom&gt;0,HM_ZA_Nkossa!CA_devex_nom&gt;0,HM_ZA_Nkossa!CA_gross_prod_oil+HM_ZA_Nkossa!CA_gross_prod_gas&gt;0))</f>
        <v>0</v>
      </c>
      <c r="AG208" s="57">
        <f ca="1">1*(OR(HM_ZA_Nkossa!CA_opex_total_nom&gt;0,HM_ZA_Nkossa!CA_expex_nom&gt;0,HM_ZA_Nkossa!CA_devex_nom&gt;0,HM_ZA_Nkossa!CA_gross_prod_oil+HM_ZA_Nkossa!CA_gross_prod_gas&gt;0))</f>
        <v>0</v>
      </c>
      <c r="AH208" s="57">
        <f ca="1">1*(OR(HM_ZA_Nkossa!CA_opex_total_nom&gt;0,HM_ZA_Nkossa!CA_expex_nom&gt;0,HM_ZA_Nkossa!CA_devex_nom&gt;0,HM_ZA_Nkossa!CA_gross_prod_oil+HM_ZA_Nkossa!CA_gross_prod_gas&gt;0))</f>
        <v>0</v>
      </c>
      <c r="AI208" s="57">
        <f ca="1">1*(OR(HM_ZA_Nkossa!CA_opex_total_nom&gt;0,HM_ZA_Nkossa!CA_expex_nom&gt;0,HM_ZA_Nkossa!CA_devex_nom&gt;0,HM_ZA_Nkossa!CA_gross_prod_oil+HM_ZA_Nkossa!CA_gross_prod_gas&gt;0))</f>
        <v>0</v>
      </c>
      <c r="AJ208" s="57">
        <f ca="1">1*(OR(HM_ZA_Nkossa!CA_opex_total_nom&gt;0,HM_ZA_Nkossa!CA_expex_nom&gt;0,HM_ZA_Nkossa!CA_devex_nom&gt;0,HM_ZA_Nkossa!CA_gross_prod_oil+HM_ZA_Nkossa!CA_gross_prod_gas&gt;0))</f>
        <v>0</v>
      </c>
      <c r="AK208" s="57">
        <f ca="1">1*(OR(HM_ZA_Nkossa!CA_opex_total_nom&gt;0,HM_ZA_Nkossa!CA_expex_nom&gt;0,HM_ZA_Nkossa!CA_devex_nom&gt;0,HM_ZA_Nkossa!CA_gross_prod_oil+HM_ZA_Nkossa!CA_gross_prod_gas&gt;0))</f>
        <v>0</v>
      </c>
      <c r="AL208" s="57">
        <f ca="1">1*(OR(HM_ZA_Nkossa!CA_opex_total_nom&gt;0,HM_ZA_Nkossa!CA_expex_nom&gt;0,HM_ZA_Nkossa!CA_devex_nom&gt;0,HM_ZA_Nkossa!CA_gross_prod_oil+HM_ZA_Nkossa!CA_gross_prod_gas&gt;0))</f>
        <v>0</v>
      </c>
      <c r="AM208" s="57">
        <f ca="1">1*(OR(HM_ZA_Nkossa!CA_opex_total_nom&gt;0,HM_ZA_Nkossa!CA_expex_nom&gt;0,HM_ZA_Nkossa!CA_devex_nom&gt;0,HM_ZA_Nkossa!CA_gross_prod_oil+HM_ZA_Nkossa!CA_gross_prod_gas&gt;0))</f>
        <v>0</v>
      </c>
      <c r="AN208" s="57">
        <f ca="1">1*(OR(HM_ZA_Nkossa!CA_opex_total_nom&gt;0,HM_ZA_Nkossa!CA_expex_nom&gt;0,HM_ZA_Nkossa!CA_devex_nom&gt;0,HM_ZA_Nkossa!CA_gross_prod_oil+HM_ZA_Nkossa!CA_gross_prod_gas&gt;0))</f>
        <v>0</v>
      </c>
      <c r="AO208" s="57">
        <f ca="1">1*(OR(HM_ZA_Nkossa!CA_opex_total_nom&gt;0,HM_ZA_Nkossa!CA_expex_nom&gt;0,HM_ZA_Nkossa!CA_devex_nom&gt;0,HM_ZA_Nkossa!CA_gross_prod_oil+HM_ZA_Nkossa!CA_gross_prod_gas&gt;0))</f>
        <v>0</v>
      </c>
      <c r="AP208" s="57">
        <f ca="1">1*(OR(HM_ZA_Nkossa!CA_opex_total_nom&gt;0,HM_ZA_Nkossa!CA_expex_nom&gt;0,HM_ZA_Nkossa!CA_devex_nom&gt;0,HM_ZA_Nkossa!CA_gross_prod_oil+HM_ZA_Nkossa!CA_gross_prod_gas&gt;0))</f>
        <v>0</v>
      </c>
      <c r="AQ208" s="57">
        <f ca="1">1*(OR(HM_ZA_Nkossa!CA_opex_total_nom&gt;0,HM_ZA_Nkossa!CA_expex_nom&gt;0,HM_ZA_Nkossa!CA_devex_nom&gt;0,HM_ZA_Nkossa!CA_gross_prod_oil+HM_ZA_Nkossa!CA_gross_prod_gas&gt;0))</f>
        <v>0</v>
      </c>
      <c r="AR208" s="57">
        <f ca="1">1*(OR(HM_ZA_Nkossa!CA_opex_total_nom&gt;0,HM_ZA_Nkossa!CA_expex_nom&gt;0,HM_ZA_Nkossa!CA_devex_nom&gt;0,HM_ZA_Nkossa!CA_gross_prod_oil+HM_ZA_Nkossa!CA_gross_prod_gas&gt;0))</f>
        <v>0</v>
      </c>
      <c r="AS208" s="57">
        <f ca="1">1*(OR(HM_ZA_Nkossa!CA_opex_total_nom&gt;0,HM_ZA_Nkossa!CA_expex_nom&gt;0,HM_ZA_Nkossa!CA_devex_nom&gt;0,HM_ZA_Nkossa!CA_gross_prod_oil+HM_ZA_Nkossa!CA_gross_prod_gas&gt;0))</f>
        <v>0</v>
      </c>
      <c r="AT208" s="57">
        <f ca="1">1*(OR(HM_ZA_Nkossa!CA_opex_total_nom&gt;0,HM_ZA_Nkossa!CA_expex_nom&gt;0,HM_ZA_Nkossa!CA_devex_nom&gt;0,HM_ZA_Nkossa!CA_gross_prod_oil+HM_ZA_Nkossa!CA_gross_prod_gas&gt;0))</f>
        <v>0</v>
      </c>
      <c r="AU208" s="57">
        <f ca="1">1*(OR(HM_ZA_Nkossa!CA_opex_total_nom&gt;0,HM_ZA_Nkossa!CA_expex_nom&gt;0,HM_ZA_Nkossa!CA_devex_nom&gt;0,HM_ZA_Nkossa!CA_gross_prod_oil+HM_ZA_Nkossa!CA_gross_prod_gas&gt;0))</f>
        <v>0</v>
      </c>
      <c r="AV208" s="57">
        <f ca="1">1*(OR(HM_ZA_Nkossa!CA_opex_total_nom&gt;0,HM_ZA_Nkossa!CA_expex_nom&gt;0,HM_ZA_Nkossa!CA_devex_nom&gt;0,HM_ZA_Nkossa!CA_gross_prod_oil+HM_ZA_Nkossa!CA_gross_prod_gas&gt;0))</f>
        <v>0</v>
      </c>
      <c r="AW208" s="57">
        <f ca="1">1*(OR(HM_ZA_Nkossa!CA_opex_total_nom&gt;0,HM_ZA_Nkossa!CA_expex_nom&gt;0,HM_ZA_Nkossa!CA_devex_nom&gt;0,HM_ZA_Nkossa!CA_gross_prod_oil+HM_ZA_Nkossa!CA_gross_prod_gas&gt;0))</f>
        <v>0</v>
      </c>
      <c r="AX208" s="57">
        <f ca="1">1*(OR(HM_ZA_Nkossa!CA_opex_total_nom&gt;0,HM_ZA_Nkossa!CA_expex_nom&gt;0,HM_ZA_Nkossa!CA_devex_nom&gt;0,HM_ZA_Nkossa!CA_gross_prod_oil+HM_ZA_Nkossa!CA_gross_prod_gas&gt;0))</f>
        <v>0</v>
      </c>
      <c r="AY208" s="57">
        <f ca="1">1*(OR(HM_ZA_Nkossa!CA_opex_total_nom&gt;0,HM_ZA_Nkossa!CA_expex_nom&gt;0,HM_ZA_Nkossa!CA_devex_nom&gt;0,HM_ZA_Nkossa!CA_gross_prod_oil+HM_ZA_Nkossa!CA_gross_prod_gas&gt;0))</f>
        <v>0</v>
      </c>
      <c r="AZ208" s="57">
        <f ca="1">1*(OR(HM_ZA_Nkossa!CA_opex_total_nom&gt;0,HM_ZA_Nkossa!CA_expex_nom&gt;0,HM_ZA_Nkossa!CA_devex_nom&gt;0,HM_ZA_Nkossa!CA_gross_prod_oil+HM_ZA_Nkossa!CA_gross_prod_gas&gt;0))</f>
        <v>0</v>
      </c>
      <c r="BA208" s="57">
        <f ca="1">1*(OR(HM_ZA_Nkossa!CA_opex_total_nom&gt;0,HM_ZA_Nkossa!CA_expex_nom&gt;0,HM_ZA_Nkossa!CA_devex_nom&gt;0,HM_ZA_Nkossa!CA_gross_prod_oil+HM_ZA_Nkossa!CA_gross_prod_gas&gt;0))</f>
        <v>0</v>
      </c>
      <c r="BB208" s="57">
        <f ca="1">1*(OR(HM_ZA_Nkossa!CA_opex_total_nom&gt;0,HM_ZA_Nkossa!CA_expex_nom&gt;0,HM_ZA_Nkossa!CA_devex_nom&gt;0,HM_ZA_Nkossa!CA_gross_prod_oil+HM_ZA_Nkossa!CA_gross_prod_gas&gt;0))</f>
        <v>0</v>
      </c>
      <c r="BC208" s="57">
        <f ca="1">1*(OR(HM_ZA_Nkossa!CA_opex_total_nom&gt;0,HM_ZA_Nkossa!CA_expex_nom&gt;0,HM_ZA_Nkossa!CA_devex_nom&gt;0,HM_ZA_Nkossa!CA_gross_prod_oil+HM_ZA_Nkossa!CA_gross_prod_gas&gt;0))</f>
        <v>0</v>
      </c>
      <c r="BD208" s="57">
        <f ca="1">1*(OR(HM_ZA_Nkossa!CA_opex_total_nom&gt;0,HM_ZA_Nkossa!CA_expex_nom&gt;0,HM_ZA_Nkossa!CA_devex_nom&gt;0,HM_ZA_Nkossa!CA_gross_prod_oil+HM_ZA_Nkossa!CA_gross_prod_gas&gt;0))</f>
        <v>0</v>
      </c>
      <c r="BE208" s="57">
        <f ca="1">1*(OR(HM_ZA_Nkossa!CA_opex_total_nom&gt;0,HM_ZA_Nkossa!CA_expex_nom&gt;0,HM_ZA_Nkossa!CA_devex_nom&gt;0,HM_ZA_Nkossa!CA_gross_prod_oil+HM_ZA_Nkossa!CA_gross_prod_gas&gt;0))</f>
        <v>0</v>
      </c>
      <c r="BF208" s="57">
        <f ca="1">1*(OR(HM_ZA_Nkossa!CA_opex_total_nom&gt;0,HM_ZA_Nkossa!CA_expex_nom&gt;0,HM_ZA_Nkossa!CA_devex_nom&gt;0,HM_ZA_Nkossa!CA_gross_prod_oil+HM_ZA_Nkossa!CA_gross_prod_gas&gt;0))</f>
        <v>0</v>
      </c>
      <c r="BG208" s="57">
        <f ca="1">1*(OR(HM_ZA_Nkossa!CA_opex_total_nom&gt;0,HM_ZA_Nkossa!CA_expex_nom&gt;0,HM_ZA_Nkossa!CA_devex_nom&gt;0,HM_ZA_Nkossa!CA_gross_prod_oil+HM_ZA_Nkossa!CA_gross_prod_gas&gt;0))</f>
        <v>0</v>
      </c>
      <c r="BH208" s="57">
        <f ca="1">1*(OR(HM_ZA_Nkossa!CA_opex_total_nom&gt;0,HM_ZA_Nkossa!CA_expex_nom&gt;0,HM_ZA_Nkossa!CA_devex_nom&gt;0,HM_ZA_Nkossa!CA_gross_prod_oil+HM_ZA_Nkossa!CA_gross_prod_gas&gt;0))</f>
        <v>0</v>
      </c>
      <c r="BI208" s="57">
        <f ca="1">1*(OR(HM_ZA_Nkossa!CA_opex_total_nom&gt;0,HM_ZA_Nkossa!CA_expex_nom&gt;0,HM_ZA_Nkossa!CA_devex_nom&gt;0,HM_ZA_Nkossa!CA_gross_prod_oil+HM_ZA_Nkossa!CA_gross_prod_gas&gt;0))</f>
        <v>0</v>
      </c>
      <c r="BJ208" s="57">
        <f ca="1">1*(OR(HM_ZA_Nkossa!CA_opex_total_nom&gt;0,HM_ZA_Nkossa!CA_expex_nom&gt;0,HM_ZA_Nkossa!CA_devex_nom&gt;0,HM_ZA_Nkossa!CA_gross_prod_oil+HM_ZA_Nkossa!CA_gross_prod_gas&gt;0))</f>
        <v>0</v>
      </c>
      <c r="BK208" s="57">
        <f ca="1">1*(OR(HM_ZA_Nkossa!CA_opex_total_nom&gt;0,HM_ZA_Nkossa!CA_expex_nom&gt;0,HM_ZA_Nkossa!CA_devex_nom&gt;0,HM_ZA_Nkossa!CA_gross_prod_oil+HM_ZA_Nkossa!CA_gross_prod_gas&gt;0))</f>
        <v>0</v>
      </c>
      <c r="BL208" s="57">
        <f ca="1">1*(OR(HM_ZA_Nkossa!CA_opex_total_nom&gt;0,HM_ZA_Nkossa!CA_expex_nom&gt;0,HM_ZA_Nkossa!CA_devex_nom&gt;0,HM_ZA_Nkossa!CA_gross_prod_oil+HM_ZA_Nkossa!CA_gross_prod_gas&gt;0))</f>
        <v>0</v>
      </c>
      <c r="BM208" s="57">
        <f ca="1">1*(OR(HM_ZA_Nkossa!CA_opex_total_nom&gt;0,HM_ZA_Nkossa!CA_expex_nom&gt;0,HM_ZA_Nkossa!CA_devex_nom&gt;0,HM_ZA_Nkossa!CA_gross_prod_oil+HM_ZA_Nkossa!CA_gross_prod_gas&gt;0))</f>
        <v>0</v>
      </c>
      <c r="BN208" s="57">
        <f ca="1">1*(OR(HM_ZA_Nkossa!CA_opex_total_nom&gt;0,HM_ZA_Nkossa!CA_expex_nom&gt;0,HM_ZA_Nkossa!CA_devex_nom&gt;0,HM_ZA_Nkossa!CA_gross_prod_oil+HM_ZA_Nkossa!CA_gross_prod_gas&gt;0))</f>
        <v>0</v>
      </c>
      <c r="BO208" s="57">
        <f ca="1">1*(OR(HM_ZA_Nkossa!CA_opex_total_nom&gt;0,HM_ZA_Nkossa!CA_expex_nom&gt;0,HM_ZA_Nkossa!CA_devex_nom&gt;0,HM_ZA_Nkossa!CA_gross_prod_oil+HM_ZA_Nkossa!CA_gross_prod_gas&gt;0))</f>
        <v>0</v>
      </c>
      <c r="BP208" s="57">
        <f ca="1">1*(OR(HM_ZA_Nkossa!CA_opex_total_nom&gt;0,HM_ZA_Nkossa!CA_expex_nom&gt;0,HM_ZA_Nkossa!CA_devex_nom&gt;0,HM_ZA_Nkossa!CA_gross_prod_oil+HM_ZA_Nkossa!CA_gross_prod_gas&gt;0))</f>
        <v>0</v>
      </c>
      <c r="BQ208" s="57">
        <f ca="1">1*(OR(HM_ZA_Nkossa!CA_opex_total_nom&gt;0,HM_ZA_Nkossa!CA_expex_nom&gt;0,HM_ZA_Nkossa!CA_devex_nom&gt;0,HM_ZA_Nkossa!CA_gross_prod_oil+HM_ZA_Nkossa!CA_gross_prod_gas&gt;0))</f>
        <v>0</v>
      </c>
      <c r="BR208" s="57">
        <f ca="1">1*(OR(HM_ZA_Nkossa!CA_opex_total_nom&gt;0,HM_ZA_Nkossa!CA_expex_nom&gt;0,HM_ZA_Nkossa!CA_devex_nom&gt;0,HM_ZA_Nkossa!CA_gross_prod_oil+HM_ZA_Nkossa!CA_gross_prod_gas&gt;0))</f>
        <v>0</v>
      </c>
      <c r="BS208" s="57">
        <f ca="1">1*(OR(HM_ZA_Nkossa!CA_opex_total_nom&gt;0,HM_ZA_Nkossa!CA_expex_nom&gt;0,HM_ZA_Nkossa!CA_devex_nom&gt;0,HM_ZA_Nkossa!CA_gross_prod_oil+HM_ZA_Nkossa!CA_gross_prod_gas&gt;0))</f>
        <v>0</v>
      </c>
    </row>
    <row r="209" spans="3:71" outlineLevel="1" x14ac:dyDescent="0.2">
      <c r="J209" s="26"/>
      <c r="L209" s="55"/>
      <c r="M209" s="55"/>
      <c r="N209" s="55"/>
      <c r="O209" s="55"/>
      <c r="P209" s="55"/>
      <c r="Q209" s="55"/>
      <c r="R209" s="55"/>
      <c r="S209" s="55"/>
      <c r="T209" s="55"/>
      <c r="U209" s="55"/>
      <c r="V209" s="55"/>
      <c r="W209" s="55"/>
      <c r="X209" s="55"/>
      <c r="Y209" s="55"/>
      <c r="Z209" s="55"/>
      <c r="AA209" s="55"/>
      <c r="AB209" s="55"/>
      <c r="AC209" s="55"/>
      <c r="AD209" s="55"/>
      <c r="AE209" s="55"/>
      <c r="AF209" s="55"/>
      <c r="AG209" s="55"/>
      <c r="AH209" s="55"/>
      <c r="AI209" s="55"/>
      <c r="AJ209" s="55"/>
      <c r="AK209" s="55"/>
      <c r="AL209" s="55"/>
      <c r="AM209" s="55"/>
      <c r="AN209" s="55"/>
      <c r="AO209" s="55"/>
      <c r="AP209" s="55"/>
      <c r="AQ209" s="55"/>
      <c r="AR209" s="55"/>
      <c r="AS209" s="55"/>
      <c r="AT209" s="55"/>
      <c r="AU209" s="55"/>
      <c r="AV209" s="55"/>
      <c r="AW209" s="55"/>
      <c r="AX209" s="55"/>
      <c r="AY209" s="55"/>
      <c r="AZ209" s="55"/>
      <c r="BA209" s="55"/>
      <c r="BB209" s="55"/>
      <c r="BC209" s="55"/>
      <c r="BD209" s="55"/>
      <c r="BE209" s="55"/>
      <c r="BF209" s="55"/>
      <c r="BG209" s="55"/>
      <c r="BH209" s="55"/>
      <c r="BI209" s="55"/>
      <c r="BJ209" s="55"/>
      <c r="BK209" s="55"/>
      <c r="BL209" s="55"/>
      <c r="BM209" s="55"/>
      <c r="BN209" s="55"/>
      <c r="BO209" s="55"/>
      <c r="BP209" s="55"/>
      <c r="BQ209" s="55"/>
      <c r="BR209" s="55"/>
      <c r="BS209" s="55"/>
    </row>
    <row r="210" spans="3:71" outlineLevel="1" x14ac:dyDescent="0.2">
      <c r="C210" s="11" t="str">
        <f>CHOOSE(db_ML_selected,'Liste Traduction'!B308,'Liste Traduction'!C308)</f>
        <v>Déclencheur changement CPP</v>
      </c>
      <c r="J210" s="26"/>
      <c r="K210" s="7" t="s">
        <v>624</v>
      </c>
      <c r="L210" s="57">
        <f t="shared" ref="L210:AQ210" si="40">1*(L$4&gt;=YEAR(effective_date_Nkossa2017))</f>
        <v>0</v>
      </c>
      <c r="M210" s="57">
        <f t="shared" si="40"/>
        <v>0</v>
      </c>
      <c r="N210" s="57">
        <f t="shared" si="40"/>
        <v>0</v>
      </c>
      <c r="O210" s="57">
        <f t="shared" si="40"/>
        <v>0</v>
      </c>
      <c r="P210" s="57">
        <f t="shared" si="40"/>
        <v>1</v>
      </c>
      <c r="Q210" s="57">
        <f t="shared" si="40"/>
        <v>1</v>
      </c>
      <c r="R210" s="57">
        <f t="shared" si="40"/>
        <v>1</v>
      </c>
      <c r="S210" s="57">
        <f t="shared" si="40"/>
        <v>1</v>
      </c>
      <c r="T210" s="57">
        <f t="shared" si="40"/>
        <v>1</v>
      </c>
      <c r="U210" s="57">
        <f t="shared" si="40"/>
        <v>1</v>
      </c>
      <c r="V210" s="57">
        <f t="shared" si="40"/>
        <v>1</v>
      </c>
      <c r="W210" s="57">
        <f t="shared" si="40"/>
        <v>1</v>
      </c>
      <c r="X210" s="57">
        <f t="shared" si="40"/>
        <v>1</v>
      </c>
      <c r="Y210" s="57">
        <f t="shared" si="40"/>
        <v>1</v>
      </c>
      <c r="Z210" s="57">
        <f t="shared" si="40"/>
        <v>1</v>
      </c>
      <c r="AA210" s="57">
        <f t="shared" si="40"/>
        <v>1</v>
      </c>
      <c r="AB210" s="57">
        <f t="shared" si="40"/>
        <v>1</v>
      </c>
      <c r="AC210" s="57">
        <f t="shared" si="40"/>
        <v>1</v>
      </c>
      <c r="AD210" s="57">
        <f t="shared" si="40"/>
        <v>1</v>
      </c>
      <c r="AE210" s="57">
        <f t="shared" si="40"/>
        <v>1</v>
      </c>
      <c r="AF210" s="57">
        <f t="shared" si="40"/>
        <v>1</v>
      </c>
      <c r="AG210" s="57">
        <f t="shared" si="40"/>
        <v>1</v>
      </c>
      <c r="AH210" s="57">
        <f t="shared" si="40"/>
        <v>1</v>
      </c>
      <c r="AI210" s="57">
        <f t="shared" si="40"/>
        <v>1</v>
      </c>
      <c r="AJ210" s="57">
        <f t="shared" si="40"/>
        <v>1</v>
      </c>
      <c r="AK210" s="57">
        <f t="shared" si="40"/>
        <v>1</v>
      </c>
      <c r="AL210" s="57">
        <f t="shared" si="40"/>
        <v>1</v>
      </c>
      <c r="AM210" s="57">
        <f t="shared" si="40"/>
        <v>1</v>
      </c>
      <c r="AN210" s="57">
        <f t="shared" si="40"/>
        <v>1</v>
      </c>
      <c r="AO210" s="57">
        <f t="shared" si="40"/>
        <v>1</v>
      </c>
      <c r="AP210" s="57">
        <f t="shared" si="40"/>
        <v>1</v>
      </c>
      <c r="AQ210" s="57">
        <f t="shared" si="40"/>
        <v>1</v>
      </c>
      <c r="AR210" s="57">
        <f t="shared" ref="AR210:BS210" si="41">1*(AR$4&gt;=YEAR(effective_date_Nkossa2017))</f>
        <v>1</v>
      </c>
      <c r="AS210" s="57">
        <f t="shared" si="41"/>
        <v>1</v>
      </c>
      <c r="AT210" s="57">
        <f t="shared" si="41"/>
        <v>1</v>
      </c>
      <c r="AU210" s="57">
        <f t="shared" si="41"/>
        <v>1</v>
      </c>
      <c r="AV210" s="57">
        <f t="shared" si="41"/>
        <v>1</v>
      </c>
      <c r="AW210" s="57">
        <f t="shared" si="41"/>
        <v>1</v>
      </c>
      <c r="AX210" s="57">
        <f t="shared" si="41"/>
        <v>1</v>
      </c>
      <c r="AY210" s="57">
        <f t="shared" si="41"/>
        <v>1</v>
      </c>
      <c r="AZ210" s="57">
        <f t="shared" si="41"/>
        <v>1</v>
      </c>
      <c r="BA210" s="57">
        <f t="shared" si="41"/>
        <v>1</v>
      </c>
      <c r="BB210" s="57">
        <f t="shared" si="41"/>
        <v>1</v>
      </c>
      <c r="BC210" s="57">
        <f t="shared" si="41"/>
        <v>1</v>
      </c>
      <c r="BD210" s="57">
        <f t="shared" si="41"/>
        <v>1</v>
      </c>
      <c r="BE210" s="57">
        <f t="shared" si="41"/>
        <v>1</v>
      </c>
      <c r="BF210" s="57">
        <f t="shared" si="41"/>
        <v>1</v>
      </c>
      <c r="BG210" s="57">
        <f t="shared" si="41"/>
        <v>1</v>
      </c>
      <c r="BH210" s="57">
        <f t="shared" si="41"/>
        <v>1</v>
      </c>
      <c r="BI210" s="57">
        <f t="shared" si="41"/>
        <v>1</v>
      </c>
      <c r="BJ210" s="57">
        <f t="shared" si="41"/>
        <v>1</v>
      </c>
      <c r="BK210" s="57">
        <f t="shared" si="41"/>
        <v>1</v>
      </c>
      <c r="BL210" s="57">
        <f t="shared" si="41"/>
        <v>1</v>
      </c>
      <c r="BM210" s="57">
        <f t="shared" si="41"/>
        <v>1</v>
      </c>
      <c r="BN210" s="57">
        <f t="shared" si="41"/>
        <v>1</v>
      </c>
      <c r="BO210" s="57">
        <f t="shared" si="41"/>
        <v>1</v>
      </c>
      <c r="BP210" s="57">
        <f t="shared" si="41"/>
        <v>1</v>
      </c>
      <c r="BQ210" s="57">
        <f t="shared" si="41"/>
        <v>1</v>
      </c>
      <c r="BR210" s="57">
        <f t="shared" si="41"/>
        <v>1</v>
      </c>
      <c r="BS210" s="57">
        <f t="shared" si="41"/>
        <v>1</v>
      </c>
    </row>
    <row r="211" spans="3:71" outlineLevel="1" x14ac:dyDescent="0.2">
      <c r="J211" s="26"/>
      <c r="L211" s="55"/>
      <c r="M211" s="55"/>
      <c r="N211" s="55"/>
      <c r="O211" s="55"/>
      <c r="P211" s="55"/>
      <c r="Q211" s="55"/>
      <c r="R211" s="55"/>
      <c r="S211" s="55"/>
      <c r="T211" s="55"/>
      <c r="U211" s="55"/>
      <c r="V211" s="55"/>
      <c r="W211" s="55"/>
      <c r="X211" s="55"/>
      <c r="Y211" s="55"/>
      <c r="Z211" s="55"/>
      <c r="AA211" s="55"/>
      <c r="AB211" s="55"/>
      <c r="AC211" s="55"/>
      <c r="AD211" s="55"/>
      <c r="AE211" s="55"/>
      <c r="AF211" s="55"/>
      <c r="AG211" s="55"/>
      <c r="AH211" s="55"/>
      <c r="AI211" s="55"/>
      <c r="AJ211" s="55"/>
      <c r="AK211" s="55"/>
      <c r="AL211" s="55"/>
      <c r="AM211" s="55"/>
      <c r="AN211" s="55"/>
      <c r="AO211" s="55"/>
      <c r="AP211" s="55"/>
      <c r="AQ211" s="55"/>
      <c r="AR211" s="55"/>
      <c r="AS211" s="55"/>
      <c r="AT211" s="55"/>
      <c r="AU211" s="55"/>
      <c r="AV211" s="55"/>
      <c r="AW211" s="55"/>
      <c r="AX211" s="55"/>
      <c r="AY211" s="55"/>
      <c r="AZ211" s="55"/>
      <c r="BA211" s="55"/>
      <c r="BB211" s="55"/>
      <c r="BC211" s="55"/>
      <c r="BD211" s="55"/>
      <c r="BE211" s="55"/>
      <c r="BF211" s="55"/>
      <c r="BG211" s="55"/>
      <c r="BH211" s="55"/>
      <c r="BI211" s="55"/>
      <c r="BJ211" s="55"/>
      <c r="BK211" s="55"/>
      <c r="BL211" s="55"/>
      <c r="BM211" s="55"/>
      <c r="BN211" s="55"/>
      <c r="BO211" s="55"/>
      <c r="BP211" s="55"/>
      <c r="BQ211" s="55"/>
      <c r="BR211" s="55"/>
      <c r="BS211" s="55"/>
    </row>
    <row r="212" spans="3:71" outlineLevel="1" x14ac:dyDescent="0.2">
      <c r="C212" s="11" t="str">
        <f>C14</f>
        <v>Frais</v>
      </c>
      <c r="J212" s="26"/>
      <c r="L212" s="55"/>
      <c r="M212" s="55"/>
      <c r="N212" s="55"/>
      <c r="O212" s="55"/>
      <c r="P212" s="55"/>
      <c r="Q212" s="55"/>
      <c r="R212" s="55"/>
      <c r="S212" s="55"/>
      <c r="T212" s="55"/>
      <c r="U212" s="55"/>
      <c r="V212" s="55"/>
      <c r="W212" s="55"/>
      <c r="X212" s="55"/>
      <c r="Y212" s="55"/>
      <c r="Z212" s="55"/>
      <c r="AA212" s="55"/>
      <c r="AB212" s="55"/>
      <c r="AC212" s="55"/>
      <c r="AD212" s="55"/>
      <c r="AE212" s="55"/>
      <c r="AF212" s="55"/>
      <c r="AG212" s="55"/>
      <c r="AH212" s="55"/>
      <c r="AI212" s="55"/>
      <c r="AJ212" s="55"/>
      <c r="AK212" s="55"/>
      <c r="AL212" s="55"/>
      <c r="AM212" s="55"/>
      <c r="AN212" s="55"/>
      <c r="AO212" s="55"/>
      <c r="AP212" s="55"/>
      <c r="AQ212" s="55"/>
      <c r="AR212" s="55"/>
      <c r="AS212" s="55"/>
      <c r="AT212" s="55"/>
      <c r="AU212" s="55"/>
      <c r="AV212" s="55"/>
      <c r="AW212" s="55"/>
      <c r="AX212" s="55"/>
      <c r="AY212" s="55"/>
      <c r="AZ212" s="55"/>
      <c r="BA212" s="55"/>
      <c r="BB212" s="55"/>
      <c r="BC212" s="55"/>
      <c r="BD212" s="55"/>
      <c r="BE212" s="55"/>
      <c r="BF212" s="55"/>
      <c r="BG212" s="55"/>
      <c r="BH212" s="55"/>
      <c r="BI212" s="55"/>
      <c r="BJ212" s="55"/>
      <c r="BK212" s="55"/>
      <c r="BL212" s="55"/>
      <c r="BM212" s="55"/>
      <c r="BN212" s="55"/>
      <c r="BO212" s="55"/>
      <c r="BP212" s="55"/>
      <c r="BQ212" s="55"/>
      <c r="BR212" s="55"/>
      <c r="BS212" s="55"/>
    </row>
    <row r="213" spans="3:71" outlineLevel="1" x14ac:dyDescent="0.2">
      <c r="D213" t="str">
        <f>D15</f>
        <v>Coûts PID</v>
      </c>
      <c r="I213" s="30">
        <f ca="1">SUM($L213:$BS213)</f>
        <v>55.941580569743323</v>
      </c>
      <c r="J213" s="26" t="s">
        <v>148</v>
      </c>
      <c r="K213" s="7" t="s">
        <v>174</v>
      </c>
      <c r="L213" s="49" cm="1">
        <f t="array" aca="1" ref="L213:BS213" ca="1">HM_ZA_Nkossa!CA_gross_rev_total_fp*HM_ZA_Nkossa!fees_PID_perc</f>
        <v>9.1971353594999989</v>
      </c>
      <c r="M213" s="49">
        <f ca="1"/>
        <v>9.7765439921200006</v>
      </c>
      <c r="N213" s="49">
        <f ca="1"/>
        <v>4.3253344811799996</v>
      </c>
      <c r="O213" s="49">
        <f ca="1"/>
        <v>4.0477008564400005</v>
      </c>
      <c r="P213" s="49">
        <f ca="1"/>
        <v>4.3337361789100006</v>
      </c>
      <c r="Q213" s="49">
        <f ca="1"/>
        <v>4.63281117993</v>
      </c>
      <c r="R213" s="49">
        <f ca="1"/>
        <v>4.4365205259400007</v>
      </c>
      <c r="S213" s="49">
        <f ca="1"/>
        <v>2.0557363143333331</v>
      </c>
      <c r="T213" s="49">
        <f ca="1"/>
        <v>2.7975531737087995</v>
      </c>
      <c r="U213" s="49">
        <f ca="1"/>
        <v>2.7926577584639993</v>
      </c>
      <c r="V213" s="49">
        <f ca="1"/>
        <v>2.6491151496789498</v>
      </c>
      <c r="W213" s="49">
        <f ca="1"/>
        <v>2.5129506309854515</v>
      </c>
      <c r="X213" s="49">
        <f ca="1"/>
        <v>2.3837849685527992</v>
      </c>
      <c r="Y213" s="49">
        <f ca="1"/>
        <v>0</v>
      </c>
      <c r="Z213" s="49">
        <f ca="1"/>
        <v>0</v>
      </c>
      <c r="AA213" s="49">
        <f ca="1"/>
        <v>0</v>
      </c>
      <c r="AB213" s="49">
        <f ca="1"/>
        <v>0</v>
      </c>
      <c r="AC213" s="49">
        <f ca="1"/>
        <v>0</v>
      </c>
      <c r="AD213" s="49">
        <f ca="1"/>
        <v>0</v>
      </c>
      <c r="AE213" s="49">
        <f ca="1"/>
        <v>0</v>
      </c>
      <c r="AF213" s="49">
        <f ca="1"/>
        <v>0</v>
      </c>
      <c r="AG213" s="49">
        <f ca="1"/>
        <v>0</v>
      </c>
      <c r="AH213" s="49">
        <f ca="1"/>
        <v>0</v>
      </c>
      <c r="AI213" s="49">
        <f ca="1"/>
        <v>0</v>
      </c>
      <c r="AJ213" s="49">
        <f ca="1"/>
        <v>0</v>
      </c>
      <c r="AK213" s="49">
        <f ca="1"/>
        <v>0</v>
      </c>
      <c r="AL213" s="49">
        <f ca="1"/>
        <v>0</v>
      </c>
      <c r="AM213" s="49">
        <f ca="1"/>
        <v>0</v>
      </c>
      <c r="AN213" s="49">
        <f ca="1"/>
        <v>0</v>
      </c>
      <c r="AO213" s="49">
        <f ca="1"/>
        <v>0</v>
      </c>
      <c r="AP213" s="49">
        <f ca="1"/>
        <v>0</v>
      </c>
      <c r="AQ213" s="49">
        <f ca="1"/>
        <v>0</v>
      </c>
      <c r="AR213" s="49">
        <f ca="1"/>
        <v>0</v>
      </c>
      <c r="AS213" s="49">
        <f ca="1"/>
        <v>0</v>
      </c>
      <c r="AT213" s="49">
        <f ca="1"/>
        <v>0</v>
      </c>
      <c r="AU213" s="49">
        <f ca="1"/>
        <v>0</v>
      </c>
      <c r="AV213" s="49">
        <f ca="1"/>
        <v>0</v>
      </c>
      <c r="AW213" s="49">
        <f ca="1"/>
        <v>0</v>
      </c>
      <c r="AX213" s="49">
        <f ca="1"/>
        <v>0</v>
      </c>
      <c r="AY213" s="49">
        <f ca="1"/>
        <v>0</v>
      </c>
      <c r="AZ213" s="49">
        <f ca="1"/>
        <v>0</v>
      </c>
      <c r="BA213" s="49">
        <f ca="1"/>
        <v>0</v>
      </c>
      <c r="BB213" s="49">
        <f ca="1"/>
        <v>0</v>
      </c>
      <c r="BC213" s="49">
        <f ca="1"/>
        <v>0</v>
      </c>
      <c r="BD213" s="49">
        <f ca="1"/>
        <v>0</v>
      </c>
      <c r="BE213" s="49">
        <f ca="1"/>
        <v>0</v>
      </c>
      <c r="BF213" s="49">
        <f ca="1"/>
        <v>0</v>
      </c>
      <c r="BG213" s="49">
        <f ca="1"/>
        <v>0</v>
      </c>
      <c r="BH213" s="49">
        <f ca="1"/>
        <v>0</v>
      </c>
      <c r="BI213" s="49">
        <f ca="1"/>
        <v>0</v>
      </c>
      <c r="BJ213" s="49">
        <f ca="1"/>
        <v>0</v>
      </c>
      <c r="BK213" s="49">
        <f ca="1"/>
        <v>0</v>
      </c>
      <c r="BL213" s="49">
        <f ca="1"/>
        <v>0</v>
      </c>
      <c r="BM213" s="49">
        <f ca="1"/>
        <v>0</v>
      </c>
      <c r="BN213" s="49">
        <f ca="1"/>
        <v>0</v>
      </c>
      <c r="BO213" s="49">
        <f ca="1"/>
        <v>0</v>
      </c>
      <c r="BP213" s="49">
        <f ca="1"/>
        <v>0</v>
      </c>
      <c r="BQ213" s="49">
        <f ca="1"/>
        <v>0</v>
      </c>
      <c r="BR213" s="49">
        <f ca="1"/>
        <v>0</v>
      </c>
      <c r="BS213" s="49">
        <f ca="1"/>
        <v>0</v>
      </c>
    </row>
    <row r="214" spans="3:71" outlineLevel="1" x14ac:dyDescent="0.2">
      <c r="J214" s="26"/>
      <c r="L214" s="55"/>
      <c r="M214" s="55"/>
      <c r="N214" s="55"/>
      <c r="O214" s="55"/>
      <c r="P214" s="55"/>
      <c r="Q214" s="55"/>
      <c r="R214" s="55"/>
      <c r="S214" s="55"/>
      <c r="T214" s="55"/>
      <c r="U214" s="55"/>
      <c r="V214" s="55"/>
      <c r="W214" s="55"/>
      <c r="X214" s="55"/>
      <c r="Y214" s="55"/>
      <c r="Z214" s="55"/>
      <c r="AA214" s="55"/>
      <c r="AB214" s="55"/>
      <c r="AC214" s="55"/>
      <c r="AD214" s="55"/>
      <c r="AE214" s="55"/>
      <c r="AF214" s="55"/>
      <c r="AG214" s="55"/>
      <c r="AH214" s="55"/>
      <c r="AI214" s="55"/>
      <c r="AJ214" s="55"/>
      <c r="AK214" s="55"/>
      <c r="AL214" s="55"/>
      <c r="AM214" s="55"/>
      <c r="AN214" s="55"/>
      <c r="AO214" s="55"/>
      <c r="AP214" s="55"/>
      <c r="AQ214" s="55"/>
      <c r="AR214" s="55"/>
      <c r="AS214" s="55"/>
      <c r="AT214" s="55"/>
      <c r="AU214" s="55"/>
      <c r="AV214" s="55"/>
      <c r="AW214" s="55"/>
      <c r="AX214" s="55"/>
      <c r="AY214" s="55"/>
      <c r="AZ214" s="55"/>
      <c r="BA214" s="55"/>
      <c r="BB214" s="55"/>
      <c r="BC214" s="55"/>
      <c r="BD214" s="55"/>
      <c r="BE214" s="55"/>
      <c r="BF214" s="55"/>
      <c r="BG214" s="55"/>
      <c r="BH214" s="55"/>
      <c r="BI214" s="55"/>
      <c r="BJ214" s="55"/>
      <c r="BK214" s="55"/>
      <c r="BL214" s="55"/>
      <c r="BM214" s="55"/>
      <c r="BN214" s="55"/>
      <c r="BO214" s="55"/>
      <c r="BP214" s="55"/>
      <c r="BQ214" s="55"/>
      <c r="BR214" s="55"/>
      <c r="BS214" s="55"/>
    </row>
    <row r="215" spans="3:71" outlineLevel="1" x14ac:dyDescent="0.2">
      <c r="C215" s="11" t="str">
        <f>C18</f>
        <v>Redevance</v>
      </c>
      <c r="J215" s="26"/>
      <c r="L215" s="55"/>
      <c r="M215" s="55"/>
      <c r="N215" s="55"/>
      <c r="O215" s="55"/>
      <c r="P215" s="55"/>
      <c r="Q215" s="55"/>
      <c r="R215" s="55"/>
      <c r="S215" s="55"/>
      <c r="T215" s="55"/>
      <c r="U215" s="55"/>
      <c r="V215" s="55"/>
      <c r="W215" s="55"/>
      <c r="X215" s="55"/>
      <c r="Y215" s="55"/>
      <c r="Z215" s="55"/>
      <c r="AA215" s="55"/>
      <c r="AB215" s="55"/>
      <c r="AC215" s="55"/>
      <c r="AD215" s="55"/>
      <c r="AE215" s="55"/>
      <c r="AF215" s="55"/>
      <c r="AG215" s="55"/>
      <c r="AH215" s="55"/>
      <c r="AI215" s="55"/>
      <c r="AJ215" s="55"/>
      <c r="AK215" s="55"/>
      <c r="AL215" s="55"/>
      <c r="AM215" s="55"/>
      <c r="AN215" s="55"/>
      <c r="AO215" s="55"/>
      <c r="AP215" s="55"/>
      <c r="AQ215" s="55"/>
      <c r="AR215" s="55"/>
      <c r="AS215" s="55"/>
      <c r="AT215" s="55"/>
      <c r="AU215" s="55"/>
      <c r="AV215" s="55"/>
      <c r="AW215" s="55"/>
      <c r="AX215" s="55"/>
      <c r="AY215" s="55"/>
      <c r="AZ215" s="55"/>
      <c r="BA215" s="55"/>
      <c r="BB215" s="55"/>
      <c r="BC215" s="55"/>
      <c r="BD215" s="55"/>
      <c r="BE215" s="55"/>
      <c r="BF215" s="55"/>
      <c r="BG215" s="55"/>
      <c r="BH215" s="55"/>
      <c r="BI215" s="55"/>
      <c r="BJ215" s="55"/>
      <c r="BK215" s="55"/>
      <c r="BL215" s="55"/>
      <c r="BM215" s="55"/>
      <c r="BN215" s="55"/>
      <c r="BO215" s="55"/>
      <c r="BP215" s="55"/>
      <c r="BQ215" s="55"/>
      <c r="BR215" s="55"/>
      <c r="BS215" s="55"/>
    </row>
    <row r="216" spans="3:71" outlineLevel="1" x14ac:dyDescent="0.2">
      <c r="D216" t="str">
        <f>CHOOSE(db_ML_selected,'Liste Traduction'!B309,'Liste Traduction'!C309)</f>
        <v>Redevance pétrolière</v>
      </c>
      <c r="I216" s="30">
        <f ca="1">SUM($L216:$BS216)</f>
        <v>757.08356447842982</v>
      </c>
      <c r="J216" s="26" t="s">
        <v>148</v>
      </c>
      <c r="K216" s="7" t="s">
        <v>177</v>
      </c>
      <c r="L216" s="49">
        <f ca="1">HM_ZA_Nkossa!CA_gross_rev_oil_fp*INDEX(FA_royalty_oil,1)*(CA_PSC_switch_trig=0)+HM_ZA_Nkossa!CA_gross_rev_oil_fp*INDEX(FA_royalty_oil,2)*(CA_PSC_switch_trig=1)</f>
        <v>110.36562431399997</v>
      </c>
      <c r="M216" s="49">
        <f ca="1">HM_ZA_Nkossa!CA_gross_rev_oil_fp*INDEX(FA_royalty_oil,1)*(CA_PSC_switch_trig=0)+HM_ZA_Nkossa!CA_gross_rev_oil_fp*INDEX(FA_royalty_oil,2)*(CA_PSC_switch_trig=1)</f>
        <v>117.31852790544001</v>
      </c>
      <c r="N216" s="49">
        <f ca="1">HM_ZA_Nkossa!CA_gross_rev_oil_fp*INDEX(FA_royalty_oil,1)*(CA_PSC_switch_trig=0)+HM_ZA_Nkossa!CA_gross_rev_oil_fp*INDEX(FA_royalty_oil,2)*(CA_PSC_switch_trig=1)</f>
        <v>51.904013774159985</v>
      </c>
      <c r="O216" s="49">
        <f ca="1">HM_ZA_Nkossa!CA_gross_rev_oil_fp*INDEX(FA_royalty_oil,1)*(CA_PSC_switch_trig=0)+HM_ZA_Nkossa!CA_gross_rev_oil_fp*INDEX(FA_royalty_oil,2)*(CA_PSC_switch_trig=1)</f>
        <v>48.572410277279999</v>
      </c>
      <c r="P216" s="49">
        <f ca="1">HM_ZA_Nkossa!CA_gross_rev_oil_fp*INDEX(FA_royalty_oil,1)*(CA_PSC_switch_trig=0)+HM_ZA_Nkossa!CA_gross_rev_oil_fp*INDEX(FA_royalty_oil,2)*(CA_PSC_switch_trig=1)</f>
        <v>65.006042683650008</v>
      </c>
      <c r="Q216" s="49">
        <f ca="1">HM_ZA_Nkossa!CA_gross_rev_oil_fp*INDEX(FA_royalty_oil,1)*(CA_PSC_switch_trig=0)+HM_ZA_Nkossa!CA_gross_rev_oil_fp*INDEX(FA_royalty_oil,2)*(CA_PSC_switch_trig=1)</f>
        <v>69.492167698949999</v>
      </c>
      <c r="R216" s="49">
        <f ca="1">HM_ZA_Nkossa!CA_gross_rev_oil_fp*INDEX(FA_royalty_oil,1)*(CA_PSC_switch_trig=0)+HM_ZA_Nkossa!CA_gross_rev_oil_fp*INDEX(FA_royalty_oil,2)*(CA_PSC_switch_trig=1)</f>
        <v>66.5478078891</v>
      </c>
      <c r="S216" s="49">
        <f ca="1">HM_ZA_Nkossa!CA_gross_rev_oil_fp*INDEX(FA_royalty_oil,1)*(CA_PSC_switch_trig=0)+HM_ZA_Nkossa!CA_gross_rev_oil_fp*INDEX(FA_royalty_oil,2)*(CA_PSC_switch_trig=1)</f>
        <v>30.836044715</v>
      </c>
      <c r="T216" s="49">
        <f ca="1">HM_ZA_Nkossa!CA_gross_rev_oil_fp*INDEX(FA_royalty_oil,1)*(CA_PSC_switch_trig=0)+HM_ZA_Nkossa!CA_gross_rev_oil_fp*INDEX(FA_royalty_oil,2)*(CA_PSC_switch_trig=1)</f>
        <v>41.963297605631986</v>
      </c>
      <c r="U216" s="49">
        <f ca="1">HM_ZA_Nkossa!CA_gross_rev_oil_fp*INDEX(FA_royalty_oil,1)*(CA_PSC_switch_trig=0)+HM_ZA_Nkossa!CA_gross_rev_oil_fp*INDEX(FA_royalty_oil,2)*(CA_PSC_switch_trig=1)</f>
        <v>41.889866376959993</v>
      </c>
      <c r="V216" s="49">
        <f ca="1">HM_ZA_Nkossa!CA_gross_rev_oil_fp*INDEX(FA_royalty_oil,1)*(CA_PSC_switch_trig=0)+HM_ZA_Nkossa!CA_gross_rev_oil_fp*INDEX(FA_royalty_oil,2)*(CA_PSC_switch_trig=1)</f>
        <v>39.736727245184241</v>
      </c>
      <c r="W216" s="49">
        <f ca="1">HM_ZA_Nkossa!CA_gross_rev_oil_fp*INDEX(FA_royalty_oil,1)*(CA_PSC_switch_trig=0)+HM_ZA_Nkossa!CA_gross_rev_oil_fp*INDEX(FA_royalty_oil,2)*(CA_PSC_switch_trig=1)</f>
        <v>37.694259464781773</v>
      </c>
      <c r="X216" s="49">
        <f ca="1">HM_ZA_Nkossa!CA_gross_rev_oil_fp*INDEX(FA_royalty_oil,1)*(CA_PSC_switch_trig=0)+HM_ZA_Nkossa!CA_gross_rev_oil_fp*INDEX(FA_royalty_oil,2)*(CA_PSC_switch_trig=1)</f>
        <v>35.756774528291992</v>
      </c>
      <c r="Y216" s="49">
        <f ca="1">HM_ZA_Nkossa!CA_gross_rev_oil_fp*INDEX(FA_royalty_oil,1)*(CA_PSC_switch_trig=0)+HM_ZA_Nkossa!CA_gross_rev_oil_fp*INDEX(FA_royalty_oil,2)*(CA_PSC_switch_trig=1)</f>
        <v>0</v>
      </c>
      <c r="Z216" s="49">
        <f ca="1">HM_ZA_Nkossa!CA_gross_rev_oil_fp*INDEX(FA_royalty_oil,1)*(CA_PSC_switch_trig=0)+HM_ZA_Nkossa!CA_gross_rev_oil_fp*INDEX(FA_royalty_oil,2)*(CA_PSC_switch_trig=1)</f>
        <v>0</v>
      </c>
      <c r="AA216" s="49">
        <f ca="1">HM_ZA_Nkossa!CA_gross_rev_oil_fp*INDEX(FA_royalty_oil,1)*(CA_PSC_switch_trig=0)+HM_ZA_Nkossa!CA_gross_rev_oil_fp*INDEX(FA_royalty_oil,2)*(CA_PSC_switch_trig=1)</f>
        <v>0</v>
      </c>
      <c r="AB216" s="49">
        <f ca="1">HM_ZA_Nkossa!CA_gross_rev_oil_fp*INDEX(FA_royalty_oil,1)*(CA_PSC_switch_trig=0)+HM_ZA_Nkossa!CA_gross_rev_oil_fp*INDEX(FA_royalty_oil,2)*(CA_PSC_switch_trig=1)</f>
        <v>0</v>
      </c>
      <c r="AC216" s="49">
        <f ca="1">HM_ZA_Nkossa!CA_gross_rev_oil_fp*INDEX(FA_royalty_oil,1)*(CA_PSC_switch_trig=0)+HM_ZA_Nkossa!CA_gross_rev_oil_fp*INDEX(FA_royalty_oil,2)*(CA_PSC_switch_trig=1)</f>
        <v>0</v>
      </c>
      <c r="AD216" s="49">
        <f ca="1">HM_ZA_Nkossa!CA_gross_rev_oil_fp*INDEX(FA_royalty_oil,1)*(CA_PSC_switch_trig=0)+HM_ZA_Nkossa!CA_gross_rev_oil_fp*INDEX(FA_royalty_oil,2)*(CA_PSC_switch_trig=1)</f>
        <v>0</v>
      </c>
      <c r="AE216" s="49">
        <f ca="1">HM_ZA_Nkossa!CA_gross_rev_oil_fp*INDEX(FA_royalty_oil,1)*(CA_PSC_switch_trig=0)+HM_ZA_Nkossa!CA_gross_rev_oil_fp*INDEX(FA_royalty_oil,2)*(CA_PSC_switch_trig=1)</f>
        <v>0</v>
      </c>
      <c r="AF216" s="49">
        <f ca="1">HM_ZA_Nkossa!CA_gross_rev_oil_fp*INDEX(FA_royalty_oil,1)*(CA_PSC_switch_trig=0)+HM_ZA_Nkossa!CA_gross_rev_oil_fp*INDEX(FA_royalty_oil,2)*(CA_PSC_switch_trig=1)</f>
        <v>0</v>
      </c>
      <c r="AG216" s="49">
        <f ca="1">HM_ZA_Nkossa!CA_gross_rev_oil_fp*INDEX(FA_royalty_oil,1)*(CA_PSC_switch_trig=0)+HM_ZA_Nkossa!CA_gross_rev_oil_fp*INDEX(FA_royalty_oil,2)*(CA_PSC_switch_trig=1)</f>
        <v>0</v>
      </c>
      <c r="AH216" s="49">
        <f ca="1">HM_ZA_Nkossa!CA_gross_rev_oil_fp*INDEX(FA_royalty_oil,1)*(CA_PSC_switch_trig=0)+HM_ZA_Nkossa!CA_gross_rev_oil_fp*INDEX(FA_royalty_oil,2)*(CA_PSC_switch_trig=1)</f>
        <v>0</v>
      </c>
      <c r="AI216" s="49">
        <f ca="1">HM_ZA_Nkossa!CA_gross_rev_oil_fp*INDEX(FA_royalty_oil,1)*(CA_PSC_switch_trig=0)+HM_ZA_Nkossa!CA_gross_rev_oil_fp*INDEX(FA_royalty_oil,2)*(CA_PSC_switch_trig=1)</f>
        <v>0</v>
      </c>
      <c r="AJ216" s="49">
        <f ca="1">HM_ZA_Nkossa!CA_gross_rev_oil_fp*INDEX(FA_royalty_oil,1)*(CA_PSC_switch_trig=0)+HM_ZA_Nkossa!CA_gross_rev_oil_fp*INDEX(FA_royalty_oil,2)*(CA_PSC_switch_trig=1)</f>
        <v>0</v>
      </c>
      <c r="AK216" s="49">
        <f ca="1">HM_ZA_Nkossa!CA_gross_rev_oil_fp*INDEX(FA_royalty_oil,1)*(CA_PSC_switch_trig=0)+HM_ZA_Nkossa!CA_gross_rev_oil_fp*INDEX(FA_royalty_oil,2)*(CA_PSC_switch_trig=1)</f>
        <v>0</v>
      </c>
      <c r="AL216" s="49">
        <f ca="1">HM_ZA_Nkossa!CA_gross_rev_oil_fp*INDEX(FA_royalty_oil,1)*(CA_PSC_switch_trig=0)+HM_ZA_Nkossa!CA_gross_rev_oil_fp*INDEX(FA_royalty_oil,2)*(CA_PSC_switch_trig=1)</f>
        <v>0</v>
      </c>
      <c r="AM216" s="49">
        <f ca="1">HM_ZA_Nkossa!CA_gross_rev_oil_fp*INDEX(FA_royalty_oil,1)*(CA_PSC_switch_trig=0)+HM_ZA_Nkossa!CA_gross_rev_oil_fp*INDEX(FA_royalty_oil,2)*(CA_PSC_switch_trig=1)</f>
        <v>0</v>
      </c>
      <c r="AN216" s="49">
        <f ca="1">HM_ZA_Nkossa!CA_gross_rev_oil_fp*INDEX(FA_royalty_oil,1)*(CA_PSC_switch_trig=0)+HM_ZA_Nkossa!CA_gross_rev_oil_fp*INDEX(FA_royalty_oil,2)*(CA_PSC_switch_trig=1)</f>
        <v>0</v>
      </c>
      <c r="AO216" s="49">
        <f ca="1">HM_ZA_Nkossa!CA_gross_rev_oil_fp*INDEX(FA_royalty_oil,1)*(CA_PSC_switch_trig=0)+HM_ZA_Nkossa!CA_gross_rev_oil_fp*INDEX(FA_royalty_oil,2)*(CA_PSC_switch_trig=1)</f>
        <v>0</v>
      </c>
      <c r="AP216" s="49">
        <f ca="1">HM_ZA_Nkossa!CA_gross_rev_oil_fp*INDEX(FA_royalty_oil,1)*(CA_PSC_switch_trig=0)+HM_ZA_Nkossa!CA_gross_rev_oil_fp*INDEX(FA_royalty_oil,2)*(CA_PSC_switch_trig=1)</f>
        <v>0</v>
      </c>
      <c r="AQ216" s="49">
        <f ca="1">HM_ZA_Nkossa!CA_gross_rev_oil_fp*INDEX(FA_royalty_oil,1)*(CA_PSC_switch_trig=0)+HM_ZA_Nkossa!CA_gross_rev_oil_fp*INDEX(FA_royalty_oil,2)*(CA_PSC_switch_trig=1)</f>
        <v>0</v>
      </c>
      <c r="AR216" s="49">
        <f ca="1">HM_ZA_Nkossa!CA_gross_rev_oil_fp*INDEX(FA_royalty_oil,1)*(CA_PSC_switch_trig=0)+HM_ZA_Nkossa!CA_gross_rev_oil_fp*INDEX(FA_royalty_oil,2)*(CA_PSC_switch_trig=1)</f>
        <v>0</v>
      </c>
      <c r="AS216" s="49">
        <f ca="1">HM_ZA_Nkossa!CA_gross_rev_oil_fp*INDEX(FA_royalty_oil,1)*(CA_PSC_switch_trig=0)+HM_ZA_Nkossa!CA_gross_rev_oil_fp*INDEX(FA_royalty_oil,2)*(CA_PSC_switch_trig=1)</f>
        <v>0</v>
      </c>
      <c r="AT216" s="49">
        <f ca="1">HM_ZA_Nkossa!CA_gross_rev_oil_fp*INDEX(FA_royalty_oil,1)*(CA_PSC_switch_trig=0)+HM_ZA_Nkossa!CA_gross_rev_oil_fp*INDEX(FA_royalty_oil,2)*(CA_PSC_switch_trig=1)</f>
        <v>0</v>
      </c>
      <c r="AU216" s="49">
        <f ca="1">HM_ZA_Nkossa!CA_gross_rev_oil_fp*INDEX(FA_royalty_oil,1)*(CA_PSC_switch_trig=0)+HM_ZA_Nkossa!CA_gross_rev_oil_fp*INDEX(FA_royalty_oil,2)*(CA_PSC_switch_trig=1)</f>
        <v>0</v>
      </c>
      <c r="AV216" s="49">
        <f ca="1">HM_ZA_Nkossa!CA_gross_rev_oil_fp*INDEX(FA_royalty_oil,1)*(CA_PSC_switch_trig=0)+HM_ZA_Nkossa!CA_gross_rev_oil_fp*INDEX(FA_royalty_oil,2)*(CA_PSC_switch_trig=1)</f>
        <v>0</v>
      </c>
      <c r="AW216" s="49">
        <f ca="1">HM_ZA_Nkossa!CA_gross_rev_oil_fp*INDEX(FA_royalty_oil,1)*(CA_PSC_switch_trig=0)+HM_ZA_Nkossa!CA_gross_rev_oil_fp*INDEX(FA_royalty_oil,2)*(CA_PSC_switch_trig=1)</f>
        <v>0</v>
      </c>
      <c r="AX216" s="49">
        <f ca="1">HM_ZA_Nkossa!CA_gross_rev_oil_fp*INDEX(FA_royalty_oil,1)*(CA_PSC_switch_trig=0)+HM_ZA_Nkossa!CA_gross_rev_oil_fp*INDEX(FA_royalty_oil,2)*(CA_PSC_switch_trig=1)</f>
        <v>0</v>
      </c>
      <c r="AY216" s="49">
        <f ca="1">HM_ZA_Nkossa!CA_gross_rev_oil_fp*INDEX(FA_royalty_oil,1)*(CA_PSC_switch_trig=0)+HM_ZA_Nkossa!CA_gross_rev_oil_fp*INDEX(FA_royalty_oil,2)*(CA_PSC_switch_trig=1)</f>
        <v>0</v>
      </c>
      <c r="AZ216" s="49">
        <f ca="1">HM_ZA_Nkossa!CA_gross_rev_oil_fp*INDEX(FA_royalty_oil,1)*(CA_PSC_switch_trig=0)+HM_ZA_Nkossa!CA_gross_rev_oil_fp*INDEX(FA_royalty_oil,2)*(CA_PSC_switch_trig=1)</f>
        <v>0</v>
      </c>
      <c r="BA216" s="49">
        <f ca="1">HM_ZA_Nkossa!CA_gross_rev_oil_fp*INDEX(FA_royalty_oil,1)*(CA_PSC_switch_trig=0)+HM_ZA_Nkossa!CA_gross_rev_oil_fp*INDEX(FA_royalty_oil,2)*(CA_PSC_switch_trig=1)</f>
        <v>0</v>
      </c>
      <c r="BB216" s="49">
        <f ca="1">HM_ZA_Nkossa!CA_gross_rev_oil_fp*INDEX(FA_royalty_oil,1)*(CA_PSC_switch_trig=0)+HM_ZA_Nkossa!CA_gross_rev_oil_fp*INDEX(FA_royalty_oil,2)*(CA_PSC_switch_trig=1)</f>
        <v>0</v>
      </c>
      <c r="BC216" s="49">
        <f ca="1">HM_ZA_Nkossa!CA_gross_rev_oil_fp*INDEX(FA_royalty_oil,1)*(CA_PSC_switch_trig=0)+HM_ZA_Nkossa!CA_gross_rev_oil_fp*INDEX(FA_royalty_oil,2)*(CA_PSC_switch_trig=1)</f>
        <v>0</v>
      </c>
      <c r="BD216" s="49">
        <f ca="1">HM_ZA_Nkossa!CA_gross_rev_oil_fp*INDEX(FA_royalty_oil,1)*(CA_PSC_switch_trig=0)+HM_ZA_Nkossa!CA_gross_rev_oil_fp*INDEX(FA_royalty_oil,2)*(CA_PSC_switch_trig=1)</f>
        <v>0</v>
      </c>
      <c r="BE216" s="49">
        <f ca="1">HM_ZA_Nkossa!CA_gross_rev_oil_fp*INDEX(FA_royalty_oil,1)*(CA_PSC_switch_trig=0)+HM_ZA_Nkossa!CA_gross_rev_oil_fp*INDEX(FA_royalty_oil,2)*(CA_PSC_switch_trig=1)</f>
        <v>0</v>
      </c>
      <c r="BF216" s="49">
        <f ca="1">HM_ZA_Nkossa!CA_gross_rev_oil_fp*INDEX(FA_royalty_oil,1)*(CA_PSC_switch_trig=0)+HM_ZA_Nkossa!CA_gross_rev_oil_fp*INDEX(FA_royalty_oil,2)*(CA_PSC_switch_trig=1)</f>
        <v>0</v>
      </c>
      <c r="BG216" s="49">
        <f ca="1">HM_ZA_Nkossa!CA_gross_rev_oil_fp*INDEX(FA_royalty_oil,1)*(CA_PSC_switch_trig=0)+HM_ZA_Nkossa!CA_gross_rev_oil_fp*INDEX(FA_royalty_oil,2)*(CA_PSC_switch_trig=1)</f>
        <v>0</v>
      </c>
      <c r="BH216" s="49">
        <f ca="1">HM_ZA_Nkossa!CA_gross_rev_oil_fp*INDEX(FA_royalty_oil,1)*(CA_PSC_switch_trig=0)+HM_ZA_Nkossa!CA_gross_rev_oil_fp*INDEX(FA_royalty_oil,2)*(CA_PSC_switch_trig=1)</f>
        <v>0</v>
      </c>
      <c r="BI216" s="49">
        <f ca="1">HM_ZA_Nkossa!CA_gross_rev_oil_fp*INDEX(FA_royalty_oil,1)*(CA_PSC_switch_trig=0)+HM_ZA_Nkossa!CA_gross_rev_oil_fp*INDEX(FA_royalty_oil,2)*(CA_PSC_switch_trig=1)</f>
        <v>0</v>
      </c>
      <c r="BJ216" s="49">
        <f ca="1">HM_ZA_Nkossa!CA_gross_rev_oil_fp*INDEX(FA_royalty_oil,1)*(CA_PSC_switch_trig=0)+HM_ZA_Nkossa!CA_gross_rev_oil_fp*INDEX(FA_royalty_oil,2)*(CA_PSC_switch_trig=1)</f>
        <v>0</v>
      </c>
      <c r="BK216" s="49">
        <f ca="1">HM_ZA_Nkossa!CA_gross_rev_oil_fp*INDEX(FA_royalty_oil,1)*(CA_PSC_switch_trig=0)+HM_ZA_Nkossa!CA_gross_rev_oil_fp*INDEX(FA_royalty_oil,2)*(CA_PSC_switch_trig=1)</f>
        <v>0</v>
      </c>
      <c r="BL216" s="49">
        <f ca="1">HM_ZA_Nkossa!CA_gross_rev_oil_fp*INDEX(FA_royalty_oil,1)*(CA_PSC_switch_trig=0)+HM_ZA_Nkossa!CA_gross_rev_oil_fp*INDEX(FA_royalty_oil,2)*(CA_PSC_switch_trig=1)</f>
        <v>0</v>
      </c>
      <c r="BM216" s="49">
        <f ca="1">HM_ZA_Nkossa!CA_gross_rev_oil_fp*INDEX(FA_royalty_oil,1)*(CA_PSC_switch_trig=0)+HM_ZA_Nkossa!CA_gross_rev_oil_fp*INDEX(FA_royalty_oil,2)*(CA_PSC_switch_trig=1)</f>
        <v>0</v>
      </c>
      <c r="BN216" s="49">
        <f ca="1">HM_ZA_Nkossa!CA_gross_rev_oil_fp*INDEX(FA_royalty_oil,1)*(CA_PSC_switch_trig=0)+HM_ZA_Nkossa!CA_gross_rev_oil_fp*INDEX(FA_royalty_oil,2)*(CA_PSC_switch_trig=1)</f>
        <v>0</v>
      </c>
      <c r="BO216" s="49">
        <f ca="1">HM_ZA_Nkossa!CA_gross_rev_oil_fp*INDEX(FA_royalty_oil,1)*(CA_PSC_switch_trig=0)+HM_ZA_Nkossa!CA_gross_rev_oil_fp*INDEX(FA_royalty_oil,2)*(CA_PSC_switch_trig=1)</f>
        <v>0</v>
      </c>
      <c r="BP216" s="49">
        <f ca="1">HM_ZA_Nkossa!CA_gross_rev_oil_fp*INDEX(FA_royalty_oil,1)*(CA_PSC_switch_trig=0)+HM_ZA_Nkossa!CA_gross_rev_oil_fp*INDEX(FA_royalty_oil,2)*(CA_PSC_switch_trig=1)</f>
        <v>0</v>
      </c>
      <c r="BQ216" s="49">
        <f ca="1">HM_ZA_Nkossa!CA_gross_rev_oil_fp*INDEX(FA_royalty_oil,1)*(CA_PSC_switch_trig=0)+HM_ZA_Nkossa!CA_gross_rev_oil_fp*INDEX(FA_royalty_oil,2)*(CA_PSC_switch_trig=1)</f>
        <v>0</v>
      </c>
      <c r="BR216" s="49">
        <f ca="1">HM_ZA_Nkossa!CA_gross_rev_oil_fp*INDEX(FA_royalty_oil,1)*(CA_PSC_switch_trig=0)+HM_ZA_Nkossa!CA_gross_rev_oil_fp*INDEX(FA_royalty_oil,2)*(CA_PSC_switch_trig=1)</f>
        <v>0</v>
      </c>
      <c r="BS216" s="49">
        <f ca="1">HM_ZA_Nkossa!CA_gross_rev_oil_fp*INDEX(FA_royalty_oil,1)*(CA_PSC_switch_trig=0)+HM_ZA_Nkossa!CA_gross_rev_oil_fp*INDEX(FA_royalty_oil,2)*(CA_PSC_switch_trig=1)</f>
        <v>0</v>
      </c>
    </row>
    <row r="217" spans="3:71" outlineLevel="1" x14ac:dyDescent="0.2">
      <c r="D217" t="str">
        <f>CHOOSE(db_ML_selected,'Liste Traduction'!B310,'Liste Traduction'!C310)</f>
        <v>Redevance gazière</v>
      </c>
      <c r="I217" s="30">
        <f ca="1">SUM($L217:$BS217)</f>
        <v>0</v>
      </c>
      <c r="J217" s="26" t="s">
        <v>148</v>
      </c>
      <c r="K217" s="7" t="s">
        <v>178</v>
      </c>
      <c r="L217" s="49">
        <f ca="1">HM_ZA_Nkossa!CA_gross_rev_gas_fp*INDEX(FA_royalty_gas,1)*(CA_PSC_switch_trig=0)+HM_ZA_Nkossa!CA_gross_rev_gas_fp*INDEX(FA_royalty_gas,2)*(CA_PSC_switch_trig=1)</f>
        <v>0</v>
      </c>
      <c r="M217" s="49">
        <f ca="1">HM_ZA_Nkossa!CA_gross_rev_gas_fp*INDEX(FA_royalty_gas,1)*(CA_PSC_switch_trig=0)+HM_ZA_Nkossa!CA_gross_rev_gas_fp*INDEX(FA_royalty_gas,2)*(CA_PSC_switch_trig=1)</f>
        <v>0</v>
      </c>
      <c r="N217" s="49">
        <f ca="1">HM_ZA_Nkossa!CA_gross_rev_gas_fp*INDEX(FA_royalty_gas,1)*(CA_PSC_switch_trig=0)+HM_ZA_Nkossa!CA_gross_rev_gas_fp*INDEX(FA_royalty_gas,2)*(CA_PSC_switch_trig=1)</f>
        <v>0</v>
      </c>
      <c r="O217" s="49">
        <f ca="1">HM_ZA_Nkossa!CA_gross_rev_gas_fp*INDEX(FA_royalty_gas,1)*(CA_PSC_switch_trig=0)+HM_ZA_Nkossa!CA_gross_rev_gas_fp*INDEX(FA_royalty_gas,2)*(CA_PSC_switch_trig=1)</f>
        <v>0</v>
      </c>
      <c r="P217" s="49">
        <f ca="1">HM_ZA_Nkossa!CA_gross_rev_gas_fp*INDEX(FA_royalty_gas,1)*(CA_PSC_switch_trig=0)+HM_ZA_Nkossa!CA_gross_rev_gas_fp*INDEX(FA_royalty_gas,2)*(CA_PSC_switch_trig=1)</f>
        <v>0</v>
      </c>
      <c r="Q217" s="49">
        <f ca="1">HM_ZA_Nkossa!CA_gross_rev_gas_fp*INDEX(FA_royalty_gas,1)*(CA_PSC_switch_trig=0)+HM_ZA_Nkossa!CA_gross_rev_gas_fp*INDEX(FA_royalty_gas,2)*(CA_PSC_switch_trig=1)</f>
        <v>0</v>
      </c>
      <c r="R217" s="49">
        <f ca="1">HM_ZA_Nkossa!CA_gross_rev_gas_fp*INDEX(FA_royalty_gas,1)*(CA_PSC_switch_trig=0)+HM_ZA_Nkossa!CA_gross_rev_gas_fp*INDEX(FA_royalty_gas,2)*(CA_PSC_switch_trig=1)</f>
        <v>0</v>
      </c>
      <c r="S217" s="49">
        <f ca="1">HM_ZA_Nkossa!CA_gross_rev_gas_fp*INDEX(FA_royalty_gas,1)*(CA_PSC_switch_trig=0)+HM_ZA_Nkossa!CA_gross_rev_gas_fp*INDEX(FA_royalty_gas,2)*(CA_PSC_switch_trig=1)</f>
        <v>0</v>
      </c>
      <c r="T217" s="49">
        <f ca="1">HM_ZA_Nkossa!CA_gross_rev_gas_fp*INDEX(FA_royalty_gas,1)*(CA_PSC_switch_trig=0)+HM_ZA_Nkossa!CA_gross_rev_gas_fp*INDEX(FA_royalty_gas,2)*(CA_PSC_switch_trig=1)</f>
        <v>0</v>
      </c>
      <c r="U217" s="49">
        <f ca="1">HM_ZA_Nkossa!CA_gross_rev_gas_fp*INDEX(FA_royalty_gas,1)*(CA_PSC_switch_trig=0)+HM_ZA_Nkossa!CA_gross_rev_gas_fp*INDEX(FA_royalty_gas,2)*(CA_PSC_switch_trig=1)</f>
        <v>0</v>
      </c>
      <c r="V217" s="49">
        <f ca="1">HM_ZA_Nkossa!CA_gross_rev_gas_fp*INDEX(FA_royalty_gas,1)*(CA_PSC_switch_trig=0)+HM_ZA_Nkossa!CA_gross_rev_gas_fp*INDEX(FA_royalty_gas,2)*(CA_PSC_switch_trig=1)</f>
        <v>0</v>
      </c>
      <c r="W217" s="49">
        <f ca="1">HM_ZA_Nkossa!CA_gross_rev_gas_fp*INDEX(FA_royalty_gas,1)*(CA_PSC_switch_trig=0)+HM_ZA_Nkossa!CA_gross_rev_gas_fp*INDEX(FA_royalty_gas,2)*(CA_PSC_switch_trig=1)</f>
        <v>0</v>
      </c>
      <c r="X217" s="49">
        <f ca="1">HM_ZA_Nkossa!CA_gross_rev_gas_fp*INDEX(FA_royalty_gas,1)*(CA_PSC_switch_trig=0)+HM_ZA_Nkossa!CA_gross_rev_gas_fp*INDEX(FA_royalty_gas,2)*(CA_PSC_switch_trig=1)</f>
        <v>0</v>
      </c>
      <c r="Y217" s="49">
        <f ca="1">HM_ZA_Nkossa!CA_gross_rev_gas_fp*INDEX(FA_royalty_gas,1)*(CA_PSC_switch_trig=0)+HM_ZA_Nkossa!CA_gross_rev_gas_fp*INDEX(FA_royalty_gas,2)*(CA_PSC_switch_trig=1)</f>
        <v>0</v>
      </c>
      <c r="Z217" s="49">
        <f ca="1">HM_ZA_Nkossa!CA_gross_rev_gas_fp*INDEX(FA_royalty_gas,1)*(CA_PSC_switch_trig=0)+HM_ZA_Nkossa!CA_gross_rev_gas_fp*INDEX(FA_royalty_gas,2)*(CA_PSC_switch_trig=1)</f>
        <v>0</v>
      </c>
      <c r="AA217" s="49">
        <f ca="1">HM_ZA_Nkossa!CA_gross_rev_gas_fp*INDEX(FA_royalty_gas,1)*(CA_PSC_switch_trig=0)+HM_ZA_Nkossa!CA_gross_rev_gas_fp*INDEX(FA_royalty_gas,2)*(CA_PSC_switch_trig=1)</f>
        <v>0</v>
      </c>
      <c r="AB217" s="49">
        <f ca="1">HM_ZA_Nkossa!CA_gross_rev_gas_fp*INDEX(FA_royalty_gas,1)*(CA_PSC_switch_trig=0)+HM_ZA_Nkossa!CA_gross_rev_gas_fp*INDEX(FA_royalty_gas,2)*(CA_PSC_switch_trig=1)</f>
        <v>0</v>
      </c>
      <c r="AC217" s="49">
        <f ca="1">HM_ZA_Nkossa!CA_gross_rev_gas_fp*INDEX(FA_royalty_gas,1)*(CA_PSC_switch_trig=0)+HM_ZA_Nkossa!CA_gross_rev_gas_fp*INDEX(FA_royalty_gas,2)*(CA_PSC_switch_trig=1)</f>
        <v>0</v>
      </c>
      <c r="AD217" s="49">
        <f ca="1">HM_ZA_Nkossa!CA_gross_rev_gas_fp*INDEX(FA_royalty_gas,1)*(CA_PSC_switch_trig=0)+HM_ZA_Nkossa!CA_gross_rev_gas_fp*INDEX(FA_royalty_gas,2)*(CA_PSC_switch_trig=1)</f>
        <v>0</v>
      </c>
      <c r="AE217" s="49">
        <f ca="1">HM_ZA_Nkossa!CA_gross_rev_gas_fp*INDEX(FA_royalty_gas,1)*(CA_PSC_switch_trig=0)+HM_ZA_Nkossa!CA_gross_rev_gas_fp*INDEX(FA_royalty_gas,2)*(CA_PSC_switch_trig=1)</f>
        <v>0</v>
      </c>
      <c r="AF217" s="49">
        <f ca="1">HM_ZA_Nkossa!CA_gross_rev_gas_fp*INDEX(FA_royalty_gas,1)*(CA_PSC_switch_trig=0)+HM_ZA_Nkossa!CA_gross_rev_gas_fp*INDEX(FA_royalty_gas,2)*(CA_PSC_switch_trig=1)</f>
        <v>0</v>
      </c>
      <c r="AG217" s="49">
        <f ca="1">HM_ZA_Nkossa!CA_gross_rev_gas_fp*INDEX(FA_royalty_gas,1)*(CA_PSC_switch_trig=0)+HM_ZA_Nkossa!CA_gross_rev_gas_fp*INDEX(FA_royalty_gas,2)*(CA_PSC_switch_trig=1)</f>
        <v>0</v>
      </c>
      <c r="AH217" s="49">
        <f ca="1">HM_ZA_Nkossa!CA_gross_rev_gas_fp*INDEX(FA_royalty_gas,1)*(CA_PSC_switch_trig=0)+HM_ZA_Nkossa!CA_gross_rev_gas_fp*INDEX(FA_royalty_gas,2)*(CA_PSC_switch_trig=1)</f>
        <v>0</v>
      </c>
      <c r="AI217" s="49">
        <f ca="1">HM_ZA_Nkossa!CA_gross_rev_gas_fp*INDEX(FA_royalty_gas,1)*(CA_PSC_switch_trig=0)+HM_ZA_Nkossa!CA_gross_rev_gas_fp*INDEX(FA_royalty_gas,2)*(CA_PSC_switch_trig=1)</f>
        <v>0</v>
      </c>
      <c r="AJ217" s="49">
        <f ca="1">HM_ZA_Nkossa!CA_gross_rev_gas_fp*INDEX(FA_royalty_gas,1)*(CA_PSC_switch_trig=0)+HM_ZA_Nkossa!CA_gross_rev_gas_fp*INDEX(FA_royalty_gas,2)*(CA_PSC_switch_trig=1)</f>
        <v>0</v>
      </c>
      <c r="AK217" s="49">
        <f ca="1">HM_ZA_Nkossa!CA_gross_rev_gas_fp*INDEX(FA_royalty_gas,1)*(CA_PSC_switch_trig=0)+HM_ZA_Nkossa!CA_gross_rev_gas_fp*INDEX(FA_royalty_gas,2)*(CA_PSC_switch_trig=1)</f>
        <v>0</v>
      </c>
      <c r="AL217" s="49">
        <f ca="1">HM_ZA_Nkossa!CA_gross_rev_gas_fp*INDEX(FA_royalty_gas,1)*(CA_PSC_switch_trig=0)+HM_ZA_Nkossa!CA_gross_rev_gas_fp*INDEX(FA_royalty_gas,2)*(CA_PSC_switch_trig=1)</f>
        <v>0</v>
      </c>
      <c r="AM217" s="49">
        <f ca="1">HM_ZA_Nkossa!CA_gross_rev_gas_fp*INDEX(FA_royalty_gas,1)*(CA_PSC_switch_trig=0)+HM_ZA_Nkossa!CA_gross_rev_gas_fp*INDEX(FA_royalty_gas,2)*(CA_PSC_switch_trig=1)</f>
        <v>0</v>
      </c>
      <c r="AN217" s="49">
        <f ca="1">HM_ZA_Nkossa!CA_gross_rev_gas_fp*INDEX(FA_royalty_gas,1)*(CA_PSC_switch_trig=0)+HM_ZA_Nkossa!CA_gross_rev_gas_fp*INDEX(FA_royalty_gas,2)*(CA_PSC_switch_trig=1)</f>
        <v>0</v>
      </c>
      <c r="AO217" s="49">
        <f ca="1">HM_ZA_Nkossa!CA_gross_rev_gas_fp*INDEX(FA_royalty_gas,1)*(CA_PSC_switch_trig=0)+HM_ZA_Nkossa!CA_gross_rev_gas_fp*INDEX(FA_royalty_gas,2)*(CA_PSC_switch_trig=1)</f>
        <v>0</v>
      </c>
      <c r="AP217" s="49">
        <f ca="1">HM_ZA_Nkossa!CA_gross_rev_gas_fp*INDEX(FA_royalty_gas,1)*(CA_PSC_switch_trig=0)+HM_ZA_Nkossa!CA_gross_rev_gas_fp*INDEX(FA_royalty_gas,2)*(CA_PSC_switch_trig=1)</f>
        <v>0</v>
      </c>
      <c r="AQ217" s="49">
        <f ca="1">HM_ZA_Nkossa!CA_gross_rev_gas_fp*INDEX(FA_royalty_gas,1)*(CA_PSC_switch_trig=0)+HM_ZA_Nkossa!CA_gross_rev_gas_fp*INDEX(FA_royalty_gas,2)*(CA_PSC_switch_trig=1)</f>
        <v>0</v>
      </c>
      <c r="AR217" s="49">
        <f ca="1">HM_ZA_Nkossa!CA_gross_rev_gas_fp*INDEX(FA_royalty_gas,1)*(CA_PSC_switch_trig=0)+HM_ZA_Nkossa!CA_gross_rev_gas_fp*INDEX(FA_royalty_gas,2)*(CA_PSC_switch_trig=1)</f>
        <v>0</v>
      </c>
      <c r="AS217" s="49">
        <f ca="1">HM_ZA_Nkossa!CA_gross_rev_gas_fp*INDEX(FA_royalty_gas,1)*(CA_PSC_switch_trig=0)+HM_ZA_Nkossa!CA_gross_rev_gas_fp*INDEX(FA_royalty_gas,2)*(CA_PSC_switch_trig=1)</f>
        <v>0</v>
      </c>
      <c r="AT217" s="49">
        <f ca="1">HM_ZA_Nkossa!CA_gross_rev_gas_fp*INDEX(FA_royalty_gas,1)*(CA_PSC_switch_trig=0)+HM_ZA_Nkossa!CA_gross_rev_gas_fp*INDEX(FA_royalty_gas,2)*(CA_PSC_switch_trig=1)</f>
        <v>0</v>
      </c>
      <c r="AU217" s="49">
        <f ca="1">HM_ZA_Nkossa!CA_gross_rev_gas_fp*INDEX(FA_royalty_gas,1)*(CA_PSC_switch_trig=0)+HM_ZA_Nkossa!CA_gross_rev_gas_fp*INDEX(FA_royalty_gas,2)*(CA_PSC_switch_trig=1)</f>
        <v>0</v>
      </c>
      <c r="AV217" s="49">
        <f ca="1">HM_ZA_Nkossa!CA_gross_rev_gas_fp*INDEX(FA_royalty_gas,1)*(CA_PSC_switch_trig=0)+HM_ZA_Nkossa!CA_gross_rev_gas_fp*INDEX(FA_royalty_gas,2)*(CA_PSC_switch_trig=1)</f>
        <v>0</v>
      </c>
      <c r="AW217" s="49">
        <f ca="1">HM_ZA_Nkossa!CA_gross_rev_gas_fp*INDEX(FA_royalty_gas,1)*(CA_PSC_switch_trig=0)+HM_ZA_Nkossa!CA_gross_rev_gas_fp*INDEX(FA_royalty_gas,2)*(CA_PSC_switch_trig=1)</f>
        <v>0</v>
      </c>
      <c r="AX217" s="49">
        <f ca="1">HM_ZA_Nkossa!CA_gross_rev_gas_fp*INDEX(FA_royalty_gas,1)*(CA_PSC_switch_trig=0)+HM_ZA_Nkossa!CA_gross_rev_gas_fp*INDEX(FA_royalty_gas,2)*(CA_PSC_switch_trig=1)</f>
        <v>0</v>
      </c>
      <c r="AY217" s="49">
        <f ca="1">HM_ZA_Nkossa!CA_gross_rev_gas_fp*INDEX(FA_royalty_gas,1)*(CA_PSC_switch_trig=0)+HM_ZA_Nkossa!CA_gross_rev_gas_fp*INDEX(FA_royalty_gas,2)*(CA_PSC_switch_trig=1)</f>
        <v>0</v>
      </c>
      <c r="AZ217" s="49">
        <f ca="1">HM_ZA_Nkossa!CA_gross_rev_gas_fp*INDEX(FA_royalty_gas,1)*(CA_PSC_switch_trig=0)+HM_ZA_Nkossa!CA_gross_rev_gas_fp*INDEX(FA_royalty_gas,2)*(CA_PSC_switch_trig=1)</f>
        <v>0</v>
      </c>
      <c r="BA217" s="49">
        <f ca="1">HM_ZA_Nkossa!CA_gross_rev_gas_fp*INDEX(FA_royalty_gas,1)*(CA_PSC_switch_trig=0)+HM_ZA_Nkossa!CA_gross_rev_gas_fp*INDEX(FA_royalty_gas,2)*(CA_PSC_switch_trig=1)</f>
        <v>0</v>
      </c>
      <c r="BB217" s="49">
        <f ca="1">HM_ZA_Nkossa!CA_gross_rev_gas_fp*INDEX(FA_royalty_gas,1)*(CA_PSC_switch_trig=0)+HM_ZA_Nkossa!CA_gross_rev_gas_fp*INDEX(FA_royalty_gas,2)*(CA_PSC_switch_trig=1)</f>
        <v>0</v>
      </c>
      <c r="BC217" s="49">
        <f ca="1">HM_ZA_Nkossa!CA_gross_rev_gas_fp*INDEX(FA_royalty_gas,1)*(CA_PSC_switch_trig=0)+HM_ZA_Nkossa!CA_gross_rev_gas_fp*INDEX(FA_royalty_gas,2)*(CA_PSC_switch_trig=1)</f>
        <v>0</v>
      </c>
      <c r="BD217" s="49">
        <f ca="1">HM_ZA_Nkossa!CA_gross_rev_gas_fp*INDEX(FA_royalty_gas,1)*(CA_PSC_switch_trig=0)+HM_ZA_Nkossa!CA_gross_rev_gas_fp*INDEX(FA_royalty_gas,2)*(CA_PSC_switch_trig=1)</f>
        <v>0</v>
      </c>
      <c r="BE217" s="49">
        <f ca="1">HM_ZA_Nkossa!CA_gross_rev_gas_fp*INDEX(FA_royalty_gas,1)*(CA_PSC_switch_trig=0)+HM_ZA_Nkossa!CA_gross_rev_gas_fp*INDEX(FA_royalty_gas,2)*(CA_PSC_switch_trig=1)</f>
        <v>0</v>
      </c>
      <c r="BF217" s="49">
        <f ca="1">HM_ZA_Nkossa!CA_gross_rev_gas_fp*INDEX(FA_royalty_gas,1)*(CA_PSC_switch_trig=0)+HM_ZA_Nkossa!CA_gross_rev_gas_fp*INDEX(FA_royalty_gas,2)*(CA_PSC_switch_trig=1)</f>
        <v>0</v>
      </c>
      <c r="BG217" s="49">
        <f ca="1">HM_ZA_Nkossa!CA_gross_rev_gas_fp*INDEX(FA_royalty_gas,1)*(CA_PSC_switch_trig=0)+HM_ZA_Nkossa!CA_gross_rev_gas_fp*INDEX(FA_royalty_gas,2)*(CA_PSC_switch_trig=1)</f>
        <v>0</v>
      </c>
      <c r="BH217" s="49">
        <f ca="1">HM_ZA_Nkossa!CA_gross_rev_gas_fp*INDEX(FA_royalty_gas,1)*(CA_PSC_switch_trig=0)+HM_ZA_Nkossa!CA_gross_rev_gas_fp*INDEX(FA_royalty_gas,2)*(CA_PSC_switch_trig=1)</f>
        <v>0</v>
      </c>
      <c r="BI217" s="49">
        <f ca="1">HM_ZA_Nkossa!CA_gross_rev_gas_fp*INDEX(FA_royalty_gas,1)*(CA_PSC_switch_trig=0)+HM_ZA_Nkossa!CA_gross_rev_gas_fp*INDEX(FA_royalty_gas,2)*(CA_PSC_switch_trig=1)</f>
        <v>0</v>
      </c>
      <c r="BJ217" s="49">
        <f ca="1">HM_ZA_Nkossa!CA_gross_rev_gas_fp*INDEX(FA_royalty_gas,1)*(CA_PSC_switch_trig=0)+HM_ZA_Nkossa!CA_gross_rev_gas_fp*INDEX(FA_royalty_gas,2)*(CA_PSC_switch_trig=1)</f>
        <v>0</v>
      </c>
      <c r="BK217" s="49">
        <f ca="1">HM_ZA_Nkossa!CA_gross_rev_gas_fp*INDEX(FA_royalty_gas,1)*(CA_PSC_switch_trig=0)+HM_ZA_Nkossa!CA_gross_rev_gas_fp*INDEX(FA_royalty_gas,2)*(CA_PSC_switch_trig=1)</f>
        <v>0</v>
      </c>
      <c r="BL217" s="49">
        <f ca="1">HM_ZA_Nkossa!CA_gross_rev_gas_fp*INDEX(FA_royalty_gas,1)*(CA_PSC_switch_trig=0)+HM_ZA_Nkossa!CA_gross_rev_gas_fp*INDEX(FA_royalty_gas,2)*(CA_PSC_switch_trig=1)</f>
        <v>0</v>
      </c>
      <c r="BM217" s="49">
        <f ca="1">HM_ZA_Nkossa!CA_gross_rev_gas_fp*INDEX(FA_royalty_gas,1)*(CA_PSC_switch_trig=0)+HM_ZA_Nkossa!CA_gross_rev_gas_fp*INDEX(FA_royalty_gas,2)*(CA_PSC_switch_trig=1)</f>
        <v>0</v>
      </c>
      <c r="BN217" s="49">
        <f ca="1">HM_ZA_Nkossa!CA_gross_rev_gas_fp*INDEX(FA_royalty_gas,1)*(CA_PSC_switch_trig=0)+HM_ZA_Nkossa!CA_gross_rev_gas_fp*INDEX(FA_royalty_gas,2)*(CA_PSC_switch_trig=1)</f>
        <v>0</v>
      </c>
      <c r="BO217" s="49">
        <f ca="1">HM_ZA_Nkossa!CA_gross_rev_gas_fp*INDEX(FA_royalty_gas,1)*(CA_PSC_switch_trig=0)+HM_ZA_Nkossa!CA_gross_rev_gas_fp*INDEX(FA_royalty_gas,2)*(CA_PSC_switch_trig=1)</f>
        <v>0</v>
      </c>
      <c r="BP217" s="49">
        <f ca="1">HM_ZA_Nkossa!CA_gross_rev_gas_fp*INDEX(FA_royalty_gas,1)*(CA_PSC_switch_trig=0)+HM_ZA_Nkossa!CA_gross_rev_gas_fp*INDEX(FA_royalty_gas,2)*(CA_PSC_switch_trig=1)</f>
        <v>0</v>
      </c>
      <c r="BQ217" s="49">
        <f ca="1">HM_ZA_Nkossa!CA_gross_rev_gas_fp*INDEX(FA_royalty_gas,1)*(CA_PSC_switch_trig=0)+HM_ZA_Nkossa!CA_gross_rev_gas_fp*INDEX(FA_royalty_gas,2)*(CA_PSC_switch_trig=1)</f>
        <v>0</v>
      </c>
      <c r="BR217" s="49">
        <f ca="1">HM_ZA_Nkossa!CA_gross_rev_gas_fp*INDEX(FA_royalty_gas,1)*(CA_PSC_switch_trig=0)+HM_ZA_Nkossa!CA_gross_rev_gas_fp*INDEX(FA_royalty_gas,2)*(CA_PSC_switch_trig=1)</f>
        <v>0</v>
      </c>
      <c r="BS217" s="49">
        <f ca="1">HM_ZA_Nkossa!CA_gross_rev_gas_fp*INDEX(FA_royalty_gas,1)*(CA_PSC_switch_trig=0)+HM_ZA_Nkossa!CA_gross_rev_gas_fp*INDEX(FA_royalty_gas,2)*(CA_PSC_switch_trig=1)</f>
        <v>0</v>
      </c>
    </row>
    <row r="218" spans="3:71" outlineLevel="1" x14ac:dyDescent="0.2">
      <c r="D218" s="11" t="str">
        <f>CHOOSE(db_ML_selected,'Liste Traduction'!B311,'Liste Traduction'!C311)</f>
        <v>Redevance totale</v>
      </c>
      <c r="I218" s="30">
        <f ca="1">SUM($L218:$BS218)</f>
        <v>757.08356447842982</v>
      </c>
      <c r="J218" s="26" t="s">
        <v>148</v>
      </c>
      <c r="K218" s="7" t="s">
        <v>180</v>
      </c>
      <c r="L218" s="49">
        <f ca="1">SUM(L216:L217)</f>
        <v>110.36562431399997</v>
      </c>
      <c r="M218" s="49">
        <f t="shared" ref="M218:BS218" ca="1" si="42">SUM(M216:M217)</f>
        <v>117.31852790544001</v>
      </c>
      <c r="N218" s="49">
        <f t="shared" ca="1" si="42"/>
        <v>51.904013774159985</v>
      </c>
      <c r="O218" s="49">
        <f t="shared" ca="1" si="42"/>
        <v>48.572410277279999</v>
      </c>
      <c r="P218" s="49">
        <f t="shared" ca="1" si="42"/>
        <v>65.006042683650008</v>
      </c>
      <c r="Q218" s="49">
        <f t="shared" ca="1" si="42"/>
        <v>69.492167698949999</v>
      </c>
      <c r="R218" s="49">
        <f t="shared" ca="1" si="42"/>
        <v>66.5478078891</v>
      </c>
      <c r="S218" s="49">
        <f t="shared" ca="1" si="42"/>
        <v>30.836044715</v>
      </c>
      <c r="T218" s="49">
        <f t="shared" ca="1" si="42"/>
        <v>41.963297605631986</v>
      </c>
      <c r="U218" s="49">
        <f t="shared" ca="1" si="42"/>
        <v>41.889866376959993</v>
      </c>
      <c r="V218" s="49">
        <f t="shared" ca="1" si="42"/>
        <v>39.736727245184241</v>
      </c>
      <c r="W218" s="49">
        <f t="shared" ca="1" si="42"/>
        <v>37.694259464781773</v>
      </c>
      <c r="X218" s="49">
        <f t="shared" ca="1" si="42"/>
        <v>35.756774528291992</v>
      </c>
      <c r="Y218" s="49">
        <f t="shared" ca="1" si="42"/>
        <v>0</v>
      </c>
      <c r="Z218" s="49">
        <f t="shared" ca="1" si="42"/>
        <v>0</v>
      </c>
      <c r="AA218" s="49">
        <f t="shared" ca="1" si="42"/>
        <v>0</v>
      </c>
      <c r="AB218" s="49">
        <f t="shared" ca="1" si="42"/>
        <v>0</v>
      </c>
      <c r="AC218" s="49">
        <f t="shared" ca="1" si="42"/>
        <v>0</v>
      </c>
      <c r="AD218" s="49">
        <f t="shared" ca="1" si="42"/>
        <v>0</v>
      </c>
      <c r="AE218" s="49">
        <f t="shared" ca="1" si="42"/>
        <v>0</v>
      </c>
      <c r="AF218" s="49">
        <f t="shared" ca="1" si="42"/>
        <v>0</v>
      </c>
      <c r="AG218" s="49">
        <f t="shared" ca="1" si="42"/>
        <v>0</v>
      </c>
      <c r="AH218" s="49">
        <f t="shared" ca="1" si="42"/>
        <v>0</v>
      </c>
      <c r="AI218" s="49">
        <f t="shared" ca="1" si="42"/>
        <v>0</v>
      </c>
      <c r="AJ218" s="49">
        <f t="shared" ca="1" si="42"/>
        <v>0</v>
      </c>
      <c r="AK218" s="49">
        <f t="shared" ca="1" si="42"/>
        <v>0</v>
      </c>
      <c r="AL218" s="49">
        <f t="shared" ca="1" si="42"/>
        <v>0</v>
      </c>
      <c r="AM218" s="49">
        <f t="shared" ca="1" si="42"/>
        <v>0</v>
      </c>
      <c r="AN218" s="49">
        <f t="shared" ca="1" si="42"/>
        <v>0</v>
      </c>
      <c r="AO218" s="49">
        <f t="shared" ca="1" si="42"/>
        <v>0</v>
      </c>
      <c r="AP218" s="49">
        <f t="shared" ca="1" si="42"/>
        <v>0</v>
      </c>
      <c r="AQ218" s="49">
        <f t="shared" ca="1" si="42"/>
        <v>0</v>
      </c>
      <c r="AR218" s="49">
        <f t="shared" ca="1" si="42"/>
        <v>0</v>
      </c>
      <c r="AS218" s="49">
        <f t="shared" ca="1" si="42"/>
        <v>0</v>
      </c>
      <c r="AT218" s="49">
        <f t="shared" ca="1" si="42"/>
        <v>0</v>
      </c>
      <c r="AU218" s="49">
        <f t="shared" ca="1" si="42"/>
        <v>0</v>
      </c>
      <c r="AV218" s="49">
        <f t="shared" ca="1" si="42"/>
        <v>0</v>
      </c>
      <c r="AW218" s="49">
        <f t="shared" ca="1" si="42"/>
        <v>0</v>
      </c>
      <c r="AX218" s="49">
        <f t="shared" ca="1" si="42"/>
        <v>0</v>
      </c>
      <c r="AY218" s="49">
        <f t="shared" ca="1" si="42"/>
        <v>0</v>
      </c>
      <c r="AZ218" s="49">
        <f t="shared" ca="1" si="42"/>
        <v>0</v>
      </c>
      <c r="BA218" s="49">
        <f t="shared" ca="1" si="42"/>
        <v>0</v>
      </c>
      <c r="BB218" s="49">
        <f t="shared" ca="1" si="42"/>
        <v>0</v>
      </c>
      <c r="BC218" s="49">
        <f t="shared" ca="1" si="42"/>
        <v>0</v>
      </c>
      <c r="BD218" s="49">
        <f t="shared" ca="1" si="42"/>
        <v>0</v>
      </c>
      <c r="BE218" s="49">
        <f t="shared" ca="1" si="42"/>
        <v>0</v>
      </c>
      <c r="BF218" s="49">
        <f t="shared" ca="1" si="42"/>
        <v>0</v>
      </c>
      <c r="BG218" s="49">
        <f t="shared" ca="1" si="42"/>
        <v>0</v>
      </c>
      <c r="BH218" s="49">
        <f t="shared" ca="1" si="42"/>
        <v>0</v>
      </c>
      <c r="BI218" s="49">
        <f t="shared" ca="1" si="42"/>
        <v>0</v>
      </c>
      <c r="BJ218" s="49">
        <f t="shared" ca="1" si="42"/>
        <v>0</v>
      </c>
      <c r="BK218" s="49">
        <f t="shared" ca="1" si="42"/>
        <v>0</v>
      </c>
      <c r="BL218" s="49">
        <f t="shared" ca="1" si="42"/>
        <v>0</v>
      </c>
      <c r="BM218" s="49">
        <f t="shared" ca="1" si="42"/>
        <v>0</v>
      </c>
      <c r="BN218" s="49">
        <f t="shared" ca="1" si="42"/>
        <v>0</v>
      </c>
      <c r="BO218" s="49">
        <f t="shared" ca="1" si="42"/>
        <v>0</v>
      </c>
      <c r="BP218" s="49">
        <f t="shared" ca="1" si="42"/>
        <v>0</v>
      </c>
      <c r="BQ218" s="49">
        <f t="shared" ca="1" si="42"/>
        <v>0</v>
      </c>
      <c r="BR218" s="49">
        <f t="shared" ca="1" si="42"/>
        <v>0</v>
      </c>
      <c r="BS218" s="49">
        <f t="shared" ca="1" si="42"/>
        <v>0</v>
      </c>
    </row>
    <row r="219" spans="3:71" outlineLevel="1" x14ac:dyDescent="0.2">
      <c r="J219" s="26"/>
      <c r="L219" s="55"/>
      <c r="M219" s="55"/>
      <c r="N219" s="55"/>
      <c r="O219" s="55"/>
      <c r="P219" s="55"/>
      <c r="Q219" s="55"/>
      <c r="R219" s="55"/>
      <c r="S219" s="55"/>
      <c r="T219" s="55"/>
      <c r="U219" s="55"/>
      <c r="V219" s="55"/>
      <c r="W219" s="55"/>
      <c r="X219" s="55"/>
      <c r="Y219" s="55"/>
      <c r="Z219" s="55"/>
      <c r="AA219" s="55"/>
      <c r="AB219" s="55"/>
      <c r="AC219" s="55"/>
      <c r="AD219" s="55"/>
      <c r="AE219" s="55"/>
      <c r="AF219" s="55"/>
      <c r="AG219" s="55"/>
      <c r="AH219" s="55"/>
      <c r="AI219" s="55"/>
      <c r="AJ219" s="55"/>
      <c r="AK219" s="55"/>
      <c r="AL219" s="55"/>
      <c r="AM219" s="55"/>
      <c r="AN219" s="55"/>
      <c r="AO219" s="55"/>
      <c r="AP219" s="55"/>
      <c r="AQ219" s="55"/>
      <c r="AR219" s="55"/>
      <c r="AS219" s="55"/>
      <c r="AT219" s="55"/>
      <c r="AU219" s="55"/>
      <c r="AV219" s="55"/>
      <c r="AW219" s="55"/>
      <c r="AX219" s="55"/>
      <c r="AY219" s="55"/>
      <c r="AZ219" s="55"/>
      <c r="BA219" s="55"/>
      <c r="BB219" s="55"/>
      <c r="BC219" s="55"/>
      <c r="BD219" s="55"/>
      <c r="BE219" s="55"/>
      <c r="BF219" s="55"/>
      <c r="BG219" s="55"/>
      <c r="BH219" s="55"/>
      <c r="BI219" s="55"/>
      <c r="BJ219" s="55"/>
      <c r="BK219" s="55"/>
      <c r="BL219" s="55"/>
      <c r="BM219" s="55"/>
      <c r="BN219" s="55"/>
      <c r="BO219" s="55"/>
      <c r="BP219" s="55"/>
      <c r="BQ219" s="55"/>
      <c r="BR219" s="55"/>
      <c r="BS219" s="55"/>
    </row>
    <row r="220" spans="3:71" outlineLevel="1" x14ac:dyDescent="0.2">
      <c r="J220" s="26"/>
      <c r="L220" s="55"/>
      <c r="M220" s="55"/>
      <c r="N220" s="55"/>
      <c r="O220" s="55"/>
      <c r="P220" s="55"/>
      <c r="Q220" s="55"/>
      <c r="R220" s="55"/>
      <c r="S220" s="55"/>
      <c r="T220" s="55"/>
      <c r="U220" s="55"/>
      <c r="V220" s="55"/>
      <c r="W220" s="55"/>
      <c r="X220" s="55"/>
      <c r="Y220" s="55"/>
      <c r="Z220" s="55"/>
      <c r="AA220" s="55"/>
      <c r="AB220" s="55"/>
      <c r="AC220" s="55"/>
      <c r="AD220" s="55"/>
      <c r="AE220" s="55"/>
      <c r="AF220" s="55"/>
      <c r="AG220" s="55"/>
      <c r="AH220" s="55"/>
      <c r="AI220" s="55"/>
      <c r="AJ220" s="55"/>
      <c r="AK220" s="55"/>
      <c r="AL220" s="55"/>
      <c r="AM220" s="55"/>
      <c r="AN220" s="55"/>
      <c r="AO220" s="55"/>
      <c r="AP220" s="55"/>
      <c r="AQ220" s="55"/>
      <c r="AR220" s="55"/>
      <c r="AS220" s="55"/>
      <c r="AT220" s="55"/>
      <c r="AU220" s="55"/>
      <c r="AV220" s="55"/>
      <c r="AW220" s="55"/>
      <c r="AX220" s="55"/>
      <c r="AY220" s="55"/>
      <c r="AZ220" s="55"/>
      <c r="BA220" s="55"/>
      <c r="BB220" s="55"/>
      <c r="BC220" s="55"/>
      <c r="BD220" s="55"/>
      <c r="BE220" s="55"/>
      <c r="BF220" s="55"/>
      <c r="BG220" s="55"/>
      <c r="BH220" s="55"/>
      <c r="BI220" s="55"/>
      <c r="BJ220" s="55"/>
      <c r="BK220" s="55"/>
      <c r="BL220" s="55"/>
      <c r="BM220" s="55"/>
      <c r="BN220" s="55"/>
      <c r="BO220" s="55"/>
      <c r="BP220" s="55"/>
      <c r="BQ220" s="55"/>
      <c r="BR220" s="55"/>
      <c r="BS220" s="55"/>
    </row>
    <row r="221" spans="3:71" outlineLevel="1" x14ac:dyDescent="0.2">
      <c r="C221" s="11" t="str">
        <f>CHOOSE(db_ML_selected,'Liste Traduction'!B57,'Liste Traduction'!C57)</f>
        <v>Récupération des coûts</v>
      </c>
      <c r="J221" s="26"/>
      <c r="L221" s="55"/>
      <c r="M221" s="55"/>
      <c r="N221" s="55"/>
      <c r="O221" s="55"/>
      <c r="P221" s="55"/>
      <c r="Q221" s="55"/>
      <c r="R221" s="55"/>
      <c r="S221" s="55"/>
      <c r="T221" s="55"/>
      <c r="U221" s="55"/>
      <c r="V221" s="55"/>
      <c r="W221" s="55"/>
      <c r="X221" s="55"/>
      <c r="Y221" s="55"/>
      <c r="Z221" s="55"/>
      <c r="AA221" s="55"/>
      <c r="AB221" s="55"/>
      <c r="AC221" s="55"/>
      <c r="AD221" s="55"/>
      <c r="AE221" s="55"/>
      <c r="AF221" s="55"/>
      <c r="AG221" s="55"/>
      <c r="AH221" s="55"/>
      <c r="AI221" s="55"/>
      <c r="AJ221" s="55"/>
      <c r="AK221" s="55"/>
      <c r="AL221" s="55"/>
      <c r="AM221" s="55"/>
      <c r="AN221" s="55"/>
      <c r="AO221" s="55"/>
      <c r="AP221" s="55"/>
      <c r="AQ221" s="55"/>
      <c r="AR221" s="55"/>
      <c r="AS221" s="55"/>
      <c r="AT221" s="55"/>
      <c r="AU221" s="55"/>
      <c r="AV221" s="55"/>
      <c r="AW221" s="55"/>
      <c r="AX221" s="55"/>
      <c r="AY221" s="55"/>
      <c r="AZ221" s="55"/>
      <c r="BA221" s="55"/>
      <c r="BB221" s="55"/>
      <c r="BC221" s="55"/>
      <c r="BD221" s="55"/>
      <c r="BE221" s="55"/>
      <c r="BF221" s="55"/>
      <c r="BG221" s="55"/>
      <c r="BH221" s="55"/>
      <c r="BI221" s="55"/>
      <c r="BJ221" s="55"/>
      <c r="BK221" s="55"/>
      <c r="BL221" s="55"/>
      <c r="BM221" s="55"/>
      <c r="BN221" s="55"/>
      <c r="BO221" s="55"/>
      <c r="BP221" s="55"/>
      <c r="BQ221" s="55"/>
      <c r="BR221" s="55"/>
      <c r="BS221" s="55"/>
    </row>
    <row r="222" spans="3:71" outlineLevel="1" x14ac:dyDescent="0.2">
      <c r="D222" s="11" t="str">
        <f>CHOOSE(db_ML_selected,'Liste Traduction'!B312,'Liste Traduction'!C312)</f>
        <v>Ensemble des coûts récupérables</v>
      </c>
      <c r="J222" s="26"/>
      <c r="L222" s="55"/>
      <c r="M222" s="55"/>
      <c r="N222" s="55"/>
      <c r="O222" s="55"/>
      <c r="P222" s="55"/>
      <c r="Q222" s="55"/>
      <c r="R222" s="55"/>
      <c r="S222" s="55"/>
      <c r="T222" s="55"/>
      <c r="U222" s="55"/>
      <c r="V222" s="55"/>
      <c r="W222" s="55"/>
      <c r="X222" s="55"/>
      <c r="Y222" s="55"/>
      <c r="Z222" s="55"/>
      <c r="AA222" s="55"/>
      <c r="AB222" s="55"/>
      <c r="AC222" s="55"/>
      <c r="AD222" s="55"/>
      <c r="AE222" s="55"/>
      <c r="AF222" s="55"/>
      <c r="AG222" s="55"/>
      <c r="AH222" s="55"/>
      <c r="AI222" s="55"/>
      <c r="AJ222" s="55"/>
      <c r="AK222" s="55"/>
      <c r="AL222" s="55"/>
      <c r="AM222" s="55"/>
      <c r="AN222" s="55"/>
      <c r="AO222" s="55"/>
      <c r="AP222" s="55"/>
      <c r="AQ222" s="55"/>
      <c r="AR222" s="55"/>
      <c r="AS222" s="55"/>
      <c r="AT222" s="55"/>
      <c r="AU222" s="55"/>
      <c r="AV222" s="55"/>
      <c r="AW222" s="55"/>
      <c r="AX222" s="55"/>
      <c r="AY222" s="55"/>
      <c r="AZ222" s="55"/>
      <c r="BA222" s="55"/>
      <c r="BB222" s="55"/>
      <c r="BC222" s="55"/>
      <c r="BD222" s="55"/>
      <c r="BE222" s="55"/>
      <c r="BF222" s="55"/>
      <c r="BG222" s="55"/>
      <c r="BH222" s="55"/>
      <c r="BI222" s="55"/>
      <c r="BJ222" s="55"/>
      <c r="BK222" s="55"/>
      <c r="BL222" s="55"/>
      <c r="BM222" s="55"/>
      <c r="BN222" s="55"/>
      <c r="BO222" s="55"/>
      <c r="BP222" s="55"/>
      <c r="BQ222" s="55"/>
      <c r="BR222" s="55"/>
      <c r="BS222" s="55"/>
    </row>
    <row r="223" spans="3:71" outlineLevel="1" x14ac:dyDescent="0.2">
      <c r="D223" s="50" t="str">
        <f>CHOOSE(db_ML_selected,'Liste Traduction'!B313,'Liste Traduction'!C313)</f>
        <v>Opex</v>
      </c>
      <c r="I223" s="30">
        <f ca="1">SUM($L223:$BS223)</f>
        <v>1434.5774916640003</v>
      </c>
      <c r="J223" s="26" t="s">
        <v>148</v>
      </c>
      <c r="K223" s="7" t="s">
        <v>196</v>
      </c>
      <c r="L223" s="49" cm="1">
        <f t="array" aca="1" ref="L223:BS223" ca="1">HM_ZA_Nkossa!CA_opex_total_nom</f>
        <v>212.22900000000001</v>
      </c>
      <c r="M223" s="49">
        <f ca="1"/>
        <v>176.756</v>
      </c>
      <c r="N223" s="49">
        <f ca="1"/>
        <v>125.261</v>
      </c>
      <c r="O223" s="49">
        <f ca="1"/>
        <v>157.50200000000001</v>
      </c>
      <c r="P223" s="49">
        <f ca="1"/>
        <v>196.16</v>
      </c>
      <c r="Q223" s="49">
        <f ca="1"/>
        <v>89.2</v>
      </c>
      <c r="R223" s="49">
        <f ca="1"/>
        <v>77.2</v>
      </c>
      <c r="S223" s="49">
        <f ca="1"/>
        <v>66.2</v>
      </c>
      <c r="T223" s="49">
        <f ca="1"/>
        <v>65.5</v>
      </c>
      <c r="U223" s="49">
        <f ca="1"/>
        <v>66.198000000000008</v>
      </c>
      <c r="V223" s="49">
        <f ca="1"/>
        <v>66.793680000000009</v>
      </c>
      <c r="W223" s="49">
        <f ca="1"/>
        <v>67.492828799999998</v>
      </c>
      <c r="X223" s="49">
        <f ca="1"/>
        <v>68.084982863999997</v>
      </c>
      <c r="Y223" s="49">
        <f ca="1"/>
        <v>0</v>
      </c>
      <c r="Z223" s="49">
        <f ca="1"/>
        <v>0</v>
      </c>
      <c r="AA223" s="49">
        <f ca="1"/>
        <v>0</v>
      </c>
      <c r="AB223" s="49">
        <f ca="1"/>
        <v>0</v>
      </c>
      <c r="AC223" s="49">
        <f ca="1"/>
        <v>0</v>
      </c>
      <c r="AD223" s="49">
        <f ca="1"/>
        <v>0</v>
      </c>
      <c r="AE223" s="49">
        <f ca="1"/>
        <v>0</v>
      </c>
      <c r="AF223" s="49">
        <f ca="1"/>
        <v>0</v>
      </c>
      <c r="AG223" s="49">
        <f ca="1"/>
        <v>0</v>
      </c>
      <c r="AH223" s="49">
        <f ca="1"/>
        <v>0</v>
      </c>
      <c r="AI223" s="49">
        <f ca="1"/>
        <v>0</v>
      </c>
      <c r="AJ223" s="49">
        <f ca="1"/>
        <v>0</v>
      </c>
      <c r="AK223" s="49">
        <f ca="1"/>
        <v>0</v>
      </c>
      <c r="AL223" s="49">
        <f ca="1"/>
        <v>0</v>
      </c>
      <c r="AM223" s="49">
        <f ca="1"/>
        <v>0</v>
      </c>
      <c r="AN223" s="49">
        <f ca="1"/>
        <v>0</v>
      </c>
      <c r="AO223" s="49">
        <f ca="1"/>
        <v>0</v>
      </c>
      <c r="AP223" s="49">
        <f ca="1"/>
        <v>0</v>
      </c>
      <c r="AQ223" s="49">
        <f ca="1"/>
        <v>0</v>
      </c>
      <c r="AR223" s="49">
        <f ca="1"/>
        <v>0</v>
      </c>
      <c r="AS223" s="49">
        <f ca="1"/>
        <v>0</v>
      </c>
      <c r="AT223" s="49">
        <f ca="1"/>
        <v>0</v>
      </c>
      <c r="AU223" s="49">
        <f ca="1"/>
        <v>0</v>
      </c>
      <c r="AV223" s="49">
        <f ca="1"/>
        <v>0</v>
      </c>
      <c r="AW223" s="49">
        <f ca="1"/>
        <v>0</v>
      </c>
      <c r="AX223" s="49">
        <f ca="1"/>
        <v>0</v>
      </c>
      <c r="AY223" s="49">
        <f ca="1"/>
        <v>0</v>
      </c>
      <c r="AZ223" s="49">
        <f ca="1"/>
        <v>0</v>
      </c>
      <c r="BA223" s="49">
        <f ca="1"/>
        <v>0</v>
      </c>
      <c r="BB223" s="49">
        <f ca="1"/>
        <v>0</v>
      </c>
      <c r="BC223" s="49">
        <f ca="1"/>
        <v>0</v>
      </c>
      <c r="BD223" s="49">
        <f ca="1"/>
        <v>0</v>
      </c>
      <c r="BE223" s="49">
        <f ca="1"/>
        <v>0</v>
      </c>
      <c r="BF223" s="49">
        <f ca="1"/>
        <v>0</v>
      </c>
      <c r="BG223" s="49">
        <f ca="1"/>
        <v>0</v>
      </c>
      <c r="BH223" s="49">
        <f ca="1"/>
        <v>0</v>
      </c>
      <c r="BI223" s="49">
        <f ca="1"/>
        <v>0</v>
      </c>
      <c r="BJ223" s="49">
        <f ca="1"/>
        <v>0</v>
      </c>
      <c r="BK223" s="49">
        <f ca="1"/>
        <v>0</v>
      </c>
      <c r="BL223" s="49">
        <f ca="1"/>
        <v>0</v>
      </c>
      <c r="BM223" s="49">
        <f ca="1"/>
        <v>0</v>
      </c>
      <c r="BN223" s="49">
        <f ca="1"/>
        <v>0</v>
      </c>
      <c r="BO223" s="49">
        <f ca="1"/>
        <v>0</v>
      </c>
      <c r="BP223" s="49">
        <f ca="1"/>
        <v>0</v>
      </c>
      <c r="BQ223" s="49">
        <f ca="1"/>
        <v>0</v>
      </c>
      <c r="BR223" s="49">
        <f ca="1"/>
        <v>0</v>
      </c>
      <c r="BS223" s="49">
        <f ca="1"/>
        <v>0</v>
      </c>
    </row>
    <row r="224" spans="3:71" outlineLevel="1" x14ac:dyDescent="0.2">
      <c r="D224" s="50" t="str">
        <f>D213</f>
        <v>Coûts PID</v>
      </c>
      <c r="I224" s="30">
        <f t="shared" ref="I224:I229" ca="1" si="43">SUM($L224:$BS224)</f>
        <v>55.941580569743323</v>
      </c>
      <c r="J224" s="26" t="s">
        <v>148</v>
      </c>
      <c r="K224" s="7" t="s">
        <v>197</v>
      </c>
      <c r="L224" s="49" cm="1">
        <f t="array" aca="1" ref="L224:BS224" ca="1">HM_ZA_Nkossa!CA_pid_fees</f>
        <v>9.1971353594999989</v>
      </c>
      <c r="M224" s="49">
        <f ca="1"/>
        <v>9.7765439921200006</v>
      </c>
      <c r="N224" s="49">
        <f ca="1"/>
        <v>4.3253344811799996</v>
      </c>
      <c r="O224" s="49">
        <f ca="1"/>
        <v>4.0477008564400005</v>
      </c>
      <c r="P224" s="49">
        <f ca="1"/>
        <v>4.3337361789100006</v>
      </c>
      <c r="Q224" s="49">
        <f ca="1"/>
        <v>4.63281117993</v>
      </c>
      <c r="R224" s="49">
        <f ca="1"/>
        <v>4.4365205259400007</v>
      </c>
      <c r="S224" s="49">
        <f ca="1"/>
        <v>2.0557363143333331</v>
      </c>
      <c r="T224" s="49">
        <f ca="1"/>
        <v>2.7975531737087995</v>
      </c>
      <c r="U224" s="49">
        <f ca="1"/>
        <v>2.7926577584639993</v>
      </c>
      <c r="V224" s="49">
        <f ca="1"/>
        <v>2.6491151496789498</v>
      </c>
      <c r="W224" s="49">
        <f ca="1"/>
        <v>2.5129506309854515</v>
      </c>
      <c r="X224" s="49">
        <f ca="1"/>
        <v>2.3837849685527992</v>
      </c>
      <c r="Y224" s="49">
        <f ca="1"/>
        <v>0</v>
      </c>
      <c r="Z224" s="49">
        <f ca="1"/>
        <v>0</v>
      </c>
      <c r="AA224" s="49">
        <f ca="1"/>
        <v>0</v>
      </c>
      <c r="AB224" s="49">
        <f ca="1"/>
        <v>0</v>
      </c>
      <c r="AC224" s="49">
        <f ca="1"/>
        <v>0</v>
      </c>
      <c r="AD224" s="49">
        <f ca="1"/>
        <v>0</v>
      </c>
      <c r="AE224" s="49">
        <f ca="1"/>
        <v>0</v>
      </c>
      <c r="AF224" s="49">
        <f ca="1"/>
        <v>0</v>
      </c>
      <c r="AG224" s="49">
        <f ca="1"/>
        <v>0</v>
      </c>
      <c r="AH224" s="49">
        <f ca="1"/>
        <v>0</v>
      </c>
      <c r="AI224" s="49">
        <f ca="1"/>
        <v>0</v>
      </c>
      <c r="AJ224" s="49">
        <f ca="1"/>
        <v>0</v>
      </c>
      <c r="AK224" s="49">
        <f ca="1"/>
        <v>0</v>
      </c>
      <c r="AL224" s="49">
        <f ca="1"/>
        <v>0</v>
      </c>
      <c r="AM224" s="49">
        <f ca="1"/>
        <v>0</v>
      </c>
      <c r="AN224" s="49">
        <f ca="1"/>
        <v>0</v>
      </c>
      <c r="AO224" s="49">
        <f ca="1"/>
        <v>0</v>
      </c>
      <c r="AP224" s="49">
        <f ca="1"/>
        <v>0</v>
      </c>
      <c r="AQ224" s="49">
        <f ca="1"/>
        <v>0</v>
      </c>
      <c r="AR224" s="49">
        <f ca="1"/>
        <v>0</v>
      </c>
      <c r="AS224" s="49">
        <f ca="1"/>
        <v>0</v>
      </c>
      <c r="AT224" s="49">
        <f ca="1"/>
        <v>0</v>
      </c>
      <c r="AU224" s="49">
        <f ca="1"/>
        <v>0</v>
      </c>
      <c r="AV224" s="49">
        <f ca="1"/>
        <v>0</v>
      </c>
      <c r="AW224" s="49">
        <f ca="1"/>
        <v>0</v>
      </c>
      <c r="AX224" s="49">
        <f ca="1"/>
        <v>0</v>
      </c>
      <c r="AY224" s="49">
        <f ca="1"/>
        <v>0</v>
      </c>
      <c r="AZ224" s="49">
        <f ca="1"/>
        <v>0</v>
      </c>
      <c r="BA224" s="49">
        <f ca="1"/>
        <v>0</v>
      </c>
      <c r="BB224" s="49">
        <f ca="1"/>
        <v>0</v>
      </c>
      <c r="BC224" s="49">
        <f ca="1"/>
        <v>0</v>
      </c>
      <c r="BD224" s="49">
        <f ca="1"/>
        <v>0</v>
      </c>
      <c r="BE224" s="49">
        <f ca="1"/>
        <v>0</v>
      </c>
      <c r="BF224" s="49">
        <f ca="1"/>
        <v>0</v>
      </c>
      <c r="BG224" s="49">
        <f ca="1"/>
        <v>0</v>
      </c>
      <c r="BH224" s="49">
        <f ca="1"/>
        <v>0</v>
      </c>
      <c r="BI224" s="49">
        <f ca="1"/>
        <v>0</v>
      </c>
      <c r="BJ224" s="49">
        <f ca="1"/>
        <v>0</v>
      </c>
      <c r="BK224" s="49">
        <f ca="1"/>
        <v>0</v>
      </c>
      <c r="BL224" s="49">
        <f ca="1"/>
        <v>0</v>
      </c>
      <c r="BM224" s="49">
        <f ca="1"/>
        <v>0</v>
      </c>
      <c r="BN224" s="49">
        <f ca="1"/>
        <v>0</v>
      </c>
      <c r="BO224" s="49">
        <f ca="1"/>
        <v>0</v>
      </c>
      <c r="BP224" s="49">
        <f ca="1"/>
        <v>0</v>
      </c>
      <c r="BQ224" s="49">
        <f ca="1"/>
        <v>0</v>
      </c>
      <c r="BR224" s="49">
        <f ca="1"/>
        <v>0</v>
      </c>
      <c r="BS224" s="49">
        <f ca="1"/>
        <v>0</v>
      </c>
    </row>
    <row r="225" spans="4:71" outlineLevel="1" x14ac:dyDescent="0.2">
      <c r="D225" s="50" t="str">
        <f>CHOOSE(db_ML_selected,'Liste Traduction'!B314,'Liste Traduction'!C314)</f>
        <v>Investissement-Développement</v>
      </c>
      <c r="I225" s="30">
        <f t="shared" ca="1" si="43"/>
        <v>818.52100000000007</v>
      </c>
      <c r="J225" s="26" t="s">
        <v>148</v>
      </c>
      <c r="K225" s="7" t="s">
        <v>198</v>
      </c>
      <c r="L225" s="49" cm="1">
        <f t="array" aca="1" ref="L225:BS225" ca="1">HM_ZA_Nkossa!CA_devex_nom</f>
        <v>331.70699999999999</v>
      </c>
      <c r="M225" s="49">
        <f ca="1"/>
        <v>170.95500000000001</v>
      </c>
      <c r="N225" s="49">
        <f ca="1"/>
        <v>108.699</v>
      </c>
      <c r="O225" s="49">
        <f ca="1"/>
        <v>38.56</v>
      </c>
      <c r="P225" s="49">
        <f ca="1"/>
        <v>50.6</v>
      </c>
      <c r="Q225" s="49">
        <f ca="1"/>
        <v>118</v>
      </c>
      <c r="R225" s="49">
        <f ca="1"/>
        <v>0</v>
      </c>
      <c r="S225" s="49">
        <f ca="1"/>
        <v>0</v>
      </c>
      <c r="T225" s="49">
        <f ca="1"/>
        <v>0</v>
      </c>
      <c r="U225" s="49">
        <f ca="1"/>
        <v>0</v>
      </c>
      <c r="V225" s="49">
        <f ca="1"/>
        <v>0</v>
      </c>
      <c r="W225" s="49">
        <f ca="1"/>
        <v>0</v>
      </c>
      <c r="X225" s="49">
        <f ca="1"/>
        <v>0</v>
      </c>
      <c r="Y225" s="49">
        <f ca="1"/>
        <v>0</v>
      </c>
      <c r="Z225" s="49">
        <f ca="1"/>
        <v>0</v>
      </c>
      <c r="AA225" s="49">
        <f ca="1"/>
        <v>0</v>
      </c>
      <c r="AB225" s="49">
        <f ca="1"/>
        <v>0</v>
      </c>
      <c r="AC225" s="49">
        <f ca="1"/>
        <v>0</v>
      </c>
      <c r="AD225" s="49">
        <f ca="1"/>
        <v>0</v>
      </c>
      <c r="AE225" s="49">
        <f ca="1"/>
        <v>0</v>
      </c>
      <c r="AF225" s="49">
        <f ca="1"/>
        <v>0</v>
      </c>
      <c r="AG225" s="49">
        <f ca="1"/>
        <v>0</v>
      </c>
      <c r="AH225" s="49">
        <f ca="1"/>
        <v>0</v>
      </c>
      <c r="AI225" s="49">
        <f ca="1"/>
        <v>0</v>
      </c>
      <c r="AJ225" s="49">
        <f ca="1"/>
        <v>0</v>
      </c>
      <c r="AK225" s="49">
        <f ca="1"/>
        <v>0</v>
      </c>
      <c r="AL225" s="49">
        <f ca="1"/>
        <v>0</v>
      </c>
      <c r="AM225" s="49">
        <f ca="1"/>
        <v>0</v>
      </c>
      <c r="AN225" s="49">
        <f ca="1"/>
        <v>0</v>
      </c>
      <c r="AO225" s="49">
        <f ca="1"/>
        <v>0</v>
      </c>
      <c r="AP225" s="49">
        <f ca="1"/>
        <v>0</v>
      </c>
      <c r="AQ225" s="49">
        <f ca="1"/>
        <v>0</v>
      </c>
      <c r="AR225" s="49">
        <f ca="1"/>
        <v>0</v>
      </c>
      <c r="AS225" s="49">
        <f ca="1"/>
        <v>0</v>
      </c>
      <c r="AT225" s="49">
        <f ca="1"/>
        <v>0</v>
      </c>
      <c r="AU225" s="49">
        <f ca="1"/>
        <v>0</v>
      </c>
      <c r="AV225" s="49">
        <f ca="1"/>
        <v>0</v>
      </c>
      <c r="AW225" s="49">
        <f ca="1"/>
        <v>0</v>
      </c>
      <c r="AX225" s="49">
        <f ca="1"/>
        <v>0</v>
      </c>
      <c r="AY225" s="49">
        <f ca="1"/>
        <v>0</v>
      </c>
      <c r="AZ225" s="49">
        <f ca="1"/>
        <v>0</v>
      </c>
      <c r="BA225" s="49">
        <f ca="1"/>
        <v>0</v>
      </c>
      <c r="BB225" s="49">
        <f ca="1"/>
        <v>0</v>
      </c>
      <c r="BC225" s="49">
        <f ca="1"/>
        <v>0</v>
      </c>
      <c r="BD225" s="49">
        <f ca="1"/>
        <v>0</v>
      </c>
      <c r="BE225" s="49">
        <f ca="1"/>
        <v>0</v>
      </c>
      <c r="BF225" s="49">
        <f ca="1"/>
        <v>0</v>
      </c>
      <c r="BG225" s="49">
        <f ca="1"/>
        <v>0</v>
      </c>
      <c r="BH225" s="49">
        <f ca="1"/>
        <v>0</v>
      </c>
      <c r="BI225" s="49">
        <f ca="1"/>
        <v>0</v>
      </c>
      <c r="BJ225" s="49">
        <f ca="1"/>
        <v>0</v>
      </c>
      <c r="BK225" s="49">
        <f ca="1"/>
        <v>0</v>
      </c>
      <c r="BL225" s="49">
        <f ca="1"/>
        <v>0</v>
      </c>
      <c r="BM225" s="49">
        <f ca="1"/>
        <v>0</v>
      </c>
      <c r="BN225" s="49">
        <f ca="1"/>
        <v>0</v>
      </c>
      <c r="BO225" s="49">
        <f ca="1"/>
        <v>0</v>
      </c>
      <c r="BP225" s="49">
        <f ca="1"/>
        <v>0</v>
      </c>
      <c r="BQ225" s="49">
        <f ca="1"/>
        <v>0</v>
      </c>
      <c r="BR225" s="49">
        <f ca="1"/>
        <v>0</v>
      </c>
      <c r="BS225" s="49">
        <f ca="1"/>
        <v>0</v>
      </c>
    </row>
    <row r="226" spans="4:71" outlineLevel="1" x14ac:dyDescent="0.2">
      <c r="D226" s="50" t="str">
        <f>CHOOSE(db_ML_selected,'Liste Traduction'!B315,'Liste Traduction'!C315)</f>
        <v>Investissement -Dépenses d'exploration</v>
      </c>
      <c r="I226" s="30">
        <f t="shared" ca="1" si="43"/>
        <v>0</v>
      </c>
      <c r="J226" s="26" t="s">
        <v>148</v>
      </c>
      <c r="K226" s="7" t="s">
        <v>199</v>
      </c>
      <c r="L226" s="49" cm="1">
        <f t="array" aca="1" ref="L226:BS226" ca="1">HM_ZA_Nkossa!CA_expex_nom*recov_EandA_toggle</f>
        <v>0</v>
      </c>
      <c r="M226" s="49">
        <f ca="1"/>
        <v>0</v>
      </c>
      <c r="N226" s="49">
        <f ca="1"/>
        <v>0</v>
      </c>
      <c r="O226" s="49">
        <f ca="1"/>
        <v>0</v>
      </c>
      <c r="P226" s="49">
        <f ca="1"/>
        <v>0</v>
      </c>
      <c r="Q226" s="49">
        <f ca="1"/>
        <v>0</v>
      </c>
      <c r="R226" s="49">
        <f ca="1"/>
        <v>0</v>
      </c>
      <c r="S226" s="49">
        <f ca="1"/>
        <v>0</v>
      </c>
      <c r="T226" s="49">
        <f ca="1"/>
        <v>0</v>
      </c>
      <c r="U226" s="49">
        <f ca="1"/>
        <v>0</v>
      </c>
      <c r="V226" s="49">
        <f ca="1"/>
        <v>0</v>
      </c>
      <c r="W226" s="49">
        <f ca="1"/>
        <v>0</v>
      </c>
      <c r="X226" s="49">
        <f ca="1"/>
        <v>0</v>
      </c>
      <c r="Y226" s="49">
        <f ca="1"/>
        <v>0</v>
      </c>
      <c r="Z226" s="49">
        <f ca="1"/>
        <v>0</v>
      </c>
      <c r="AA226" s="49">
        <f ca="1"/>
        <v>0</v>
      </c>
      <c r="AB226" s="49">
        <f ca="1"/>
        <v>0</v>
      </c>
      <c r="AC226" s="49">
        <f ca="1"/>
        <v>0</v>
      </c>
      <c r="AD226" s="49">
        <f ca="1"/>
        <v>0</v>
      </c>
      <c r="AE226" s="49">
        <f ca="1"/>
        <v>0</v>
      </c>
      <c r="AF226" s="49">
        <f ca="1"/>
        <v>0</v>
      </c>
      <c r="AG226" s="49">
        <f ca="1"/>
        <v>0</v>
      </c>
      <c r="AH226" s="49">
        <f ca="1"/>
        <v>0</v>
      </c>
      <c r="AI226" s="49">
        <f ca="1"/>
        <v>0</v>
      </c>
      <c r="AJ226" s="49">
        <f ca="1"/>
        <v>0</v>
      </c>
      <c r="AK226" s="49">
        <f ca="1"/>
        <v>0</v>
      </c>
      <c r="AL226" s="49">
        <f ca="1"/>
        <v>0</v>
      </c>
      <c r="AM226" s="49">
        <f ca="1"/>
        <v>0</v>
      </c>
      <c r="AN226" s="49">
        <f ca="1"/>
        <v>0</v>
      </c>
      <c r="AO226" s="49">
        <f ca="1"/>
        <v>0</v>
      </c>
      <c r="AP226" s="49">
        <f ca="1"/>
        <v>0</v>
      </c>
      <c r="AQ226" s="49">
        <f ca="1"/>
        <v>0</v>
      </c>
      <c r="AR226" s="49">
        <f ca="1"/>
        <v>0</v>
      </c>
      <c r="AS226" s="49">
        <f ca="1"/>
        <v>0</v>
      </c>
      <c r="AT226" s="49">
        <f ca="1"/>
        <v>0</v>
      </c>
      <c r="AU226" s="49">
        <f ca="1"/>
        <v>0</v>
      </c>
      <c r="AV226" s="49">
        <f ca="1"/>
        <v>0</v>
      </c>
      <c r="AW226" s="49">
        <f ca="1"/>
        <v>0</v>
      </c>
      <c r="AX226" s="49">
        <f ca="1"/>
        <v>0</v>
      </c>
      <c r="AY226" s="49">
        <f ca="1"/>
        <v>0</v>
      </c>
      <c r="AZ226" s="49">
        <f ca="1"/>
        <v>0</v>
      </c>
      <c r="BA226" s="49">
        <f ca="1"/>
        <v>0</v>
      </c>
      <c r="BB226" s="49">
        <f ca="1"/>
        <v>0</v>
      </c>
      <c r="BC226" s="49">
        <f ca="1"/>
        <v>0</v>
      </c>
      <c r="BD226" s="49">
        <f ca="1"/>
        <v>0</v>
      </c>
      <c r="BE226" s="49">
        <f ca="1"/>
        <v>0</v>
      </c>
      <c r="BF226" s="49">
        <f ca="1"/>
        <v>0</v>
      </c>
      <c r="BG226" s="49">
        <f ca="1"/>
        <v>0</v>
      </c>
      <c r="BH226" s="49">
        <f ca="1"/>
        <v>0</v>
      </c>
      <c r="BI226" s="49">
        <f ca="1"/>
        <v>0</v>
      </c>
      <c r="BJ226" s="49">
        <f ca="1"/>
        <v>0</v>
      </c>
      <c r="BK226" s="49">
        <f ca="1"/>
        <v>0</v>
      </c>
      <c r="BL226" s="49">
        <f ca="1"/>
        <v>0</v>
      </c>
      <c r="BM226" s="49">
        <f ca="1"/>
        <v>0</v>
      </c>
      <c r="BN226" s="49">
        <f ca="1"/>
        <v>0</v>
      </c>
      <c r="BO226" s="49">
        <f ca="1"/>
        <v>0</v>
      </c>
      <c r="BP226" s="49">
        <f ca="1"/>
        <v>0</v>
      </c>
      <c r="BQ226" s="49">
        <f ca="1"/>
        <v>0</v>
      </c>
      <c r="BR226" s="49">
        <f ca="1"/>
        <v>0</v>
      </c>
      <c r="BS226" s="49">
        <f ca="1"/>
        <v>0</v>
      </c>
    </row>
    <row r="227" spans="4:71" outlineLevel="1" x14ac:dyDescent="0.2">
      <c r="D227" s="50" t="str">
        <f>CHOOSE(db_ML_selected,'Liste Traduction'!B316,'Liste Traduction'!C316)</f>
        <v>Coûts d'abandon</v>
      </c>
      <c r="I227" s="30">
        <f t="shared" ca="1" si="43"/>
        <v>1158.403</v>
      </c>
      <c r="J227" s="26" t="s">
        <v>148</v>
      </c>
      <c r="K227" s="7" t="s">
        <v>679</v>
      </c>
      <c r="L227" s="49">
        <f ca="1">HM_ZA_Nkossa!CA_decom_nom</f>
        <v>31.151</v>
      </c>
      <c r="M227" s="49">
        <f ca="1">HM_ZA_Nkossa!CA_decom_nom</f>
        <v>68.504999999999995</v>
      </c>
      <c r="N227" s="49">
        <f ca="1">HM_ZA_Nkossa!CA_decom_nom</f>
        <v>126.03400000000001</v>
      </c>
      <c r="O227" s="49">
        <f ca="1">HM_ZA_Nkossa!CA_decom_nom</f>
        <v>177.893</v>
      </c>
      <c r="P227" s="49">
        <f ca="1">HM_ZA_Nkossa!CA_decom_nom</f>
        <v>221.03700000000001</v>
      </c>
      <c r="Q227" s="49">
        <f ca="1">HM_ZA_Nkossa!CA_decom_nom</f>
        <v>254.56800000000001</v>
      </c>
      <c r="R227" s="49">
        <f ca="1">HM_ZA_Nkossa!CA_decom_nom</f>
        <v>279.21499999999997</v>
      </c>
      <c r="S227" s="49">
        <f ca="1">HM_ZA_Nkossa!CA_decom_nom</f>
        <v>0</v>
      </c>
      <c r="T227" s="49">
        <f ca="1">HM_ZA_Nkossa!CA_decom_nom</f>
        <v>0</v>
      </c>
      <c r="U227" s="49">
        <f ca="1">HM_ZA_Nkossa!CA_decom_nom</f>
        <v>0</v>
      </c>
      <c r="V227" s="49">
        <f ca="1">HM_ZA_Nkossa!CA_decom_nom</f>
        <v>0</v>
      </c>
      <c r="W227" s="49">
        <f ca="1">HM_ZA_Nkossa!CA_decom_nom</f>
        <v>0</v>
      </c>
      <c r="X227" s="49">
        <f ca="1">HM_ZA_Nkossa!CA_decom_nom</f>
        <v>0</v>
      </c>
      <c r="Y227" s="49">
        <f ca="1">HM_ZA_Nkossa!CA_decom_nom</f>
        <v>0</v>
      </c>
      <c r="Z227" s="49">
        <f ca="1">HM_ZA_Nkossa!CA_decom_nom</f>
        <v>0</v>
      </c>
      <c r="AA227" s="49">
        <f ca="1">HM_ZA_Nkossa!CA_decom_nom</f>
        <v>0</v>
      </c>
      <c r="AB227" s="49">
        <f ca="1">HM_ZA_Nkossa!CA_decom_nom</f>
        <v>0</v>
      </c>
      <c r="AC227" s="49">
        <f ca="1">HM_ZA_Nkossa!CA_decom_nom</f>
        <v>0</v>
      </c>
      <c r="AD227" s="49">
        <f ca="1">HM_ZA_Nkossa!CA_decom_nom</f>
        <v>0</v>
      </c>
      <c r="AE227" s="49">
        <f ca="1">HM_ZA_Nkossa!CA_decom_nom</f>
        <v>0</v>
      </c>
      <c r="AF227" s="49">
        <f ca="1">HM_ZA_Nkossa!CA_decom_nom</f>
        <v>0</v>
      </c>
      <c r="AG227" s="49">
        <f ca="1">HM_ZA_Nkossa!CA_decom_nom</f>
        <v>0</v>
      </c>
      <c r="AH227" s="49">
        <f ca="1">HM_ZA_Nkossa!CA_decom_nom</f>
        <v>0</v>
      </c>
      <c r="AI227" s="49">
        <f ca="1">HM_ZA_Nkossa!CA_decom_nom</f>
        <v>0</v>
      </c>
      <c r="AJ227" s="49">
        <f ca="1">HM_ZA_Nkossa!CA_decom_nom</f>
        <v>0</v>
      </c>
      <c r="AK227" s="49">
        <f ca="1">HM_ZA_Nkossa!CA_decom_nom</f>
        <v>0</v>
      </c>
      <c r="AL227" s="49">
        <f ca="1">HM_ZA_Nkossa!CA_decom_nom</f>
        <v>0</v>
      </c>
      <c r="AM227" s="49">
        <f ca="1">HM_ZA_Nkossa!CA_decom_nom</f>
        <v>0</v>
      </c>
      <c r="AN227" s="49">
        <f ca="1">HM_ZA_Nkossa!CA_decom_nom</f>
        <v>0</v>
      </c>
      <c r="AO227" s="49">
        <f ca="1">HM_ZA_Nkossa!CA_decom_nom</f>
        <v>0</v>
      </c>
      <c r="AP227" s="49">
        <f ca="1">HM_ZA_Nkossa!CA_decom_nom</f>
        <v>0</v>
      </c>
      <c r="AQ227" s="49">
        <f ca="1">HM_ZA_Nkossa!CA_decom_nom</f>
        <v>0</v>
      </c>
      <c r="AR227" s="49">
        <f ca="1">HM_ZA_Nkossa!CA_decom_nom</f>
        <v>0</v>
      </c>
      <c r="AS227" s="49">
        <f ca="1">HM_ZA_Nkossa!CA_decom_nom</f>
        <v>0</v>
      </c>
      <c r="AT227" s="49">
        <f ca="1">HM_ZA_Nkossa!CA_decom_nom</f>
        <v>0</v>
      </c>
      <c r="AU227" s="49">
        <f ca="1">HM_ZA_Nkossa!CA_decom_nom</f>
        <v>0</v>
      </c>
      <c r="AV227" s="49">
        <f ca="1">HM_ZA_Nkossa!CA_decom_nom</f>
        <v>0</v>
      </c>
      <c r="AW227" s="49">
        <f ca="1">HM_ZA_Nkossa!CA_decom_nom</f>
        <v>0</v>
      </c>
      <c r="AX227" s="49">
        <f ca="1">HM_ZA_Nkossa!CA_decom_nom</f>
        <v>0</v>
      </c>
      <c r="AY227" s="49">
        <f ca="1">HM_ZA_Nkossa!CA_decom_nom</f>
        <v>0</v>
      </c>
      <c r="AZ227" s="49">
        <f ca="1">HM_ZA_Nkossa!CA_decom_nom</f>
        <v>0</v>
      </c>
      <c r="BA227" s="49">
        <f ca="1">HM_ZA_Nkossa!CA_decom_nom</f>
        <v>0</v>
      </c>
      <c r="BB227" s="49">
        <f ca="1">HM_ZA_Nkossa!CA_decom_nom</f>
        <v>0</v>
      </c>
      <c r="BC227" s="49">
        <f ca="1">HM_ZA_Nkossa!CA_decom_nom</f>
        <v>0</v>
      </c>
      <c r="BD227" s="49">
        <f ca="1">HM_ZA_Nkossa!CA_decom_nom</f>
        <v>0</v>
      </c>
      <c r="BE227" s="49">
        <f ca="1">HM_ZA_Nkossa!CA_decom_nom</f>
        <v>0</v>
      </c>
      <c r="BF227" s="49">
        <f ca="1">HM_ZA_Nkossa!CA_decom_nom</f>
        <v>0</v>
      </c>
      <c r="BG227" s="49">
        <f ca="1">HM_ZA_Nkossa!CA_decom_nom</f>
        <v>0</v>
      </c>
      <c r="BH227" s="49">
        <f ca="1">HM_ZA_Nkossa!CA_decom_nom</f>
        <v>0</v>
      </c>
      <c r="BI227" s="49">
        <f ca="1">HM_ZA_Nkossa!CA_decom_nom</f>
        <v>0</v>
      </c>
      <c r="BJ227" s="49">
        <f ca="1">HM_ZA_Nkossa!CA_decom_nom</f>
        <v>0</v>
      </c>
      <c r="BK227" s="49">
        <f ca="1">HM_ZA_Nkossa!CA_decom_nom</f>
        <v>0</v>
      </c>
      <c r="BL227" s="49">
        <f ca="1">HM_ZA_Nkossa!CA_decom_nom</f>
        <v>0</v>
      </c>
      <c r="BM227" s="49">
        <f ca="1">HM_ZA_Nkossa!CA_decom_nom</f>
        <v>0</v>
      </c>
      <c r="BN227" s="49">
        <f ca="1">HM_ZA_Nkossa!CA_decom_nom</f>
        <v>0</v>
      </c>
      <c r="BO227" s="49">
        <f ca="1">HM_ZA_Nkossa!CA_decom_nom</f>
        <v>0</v>
      </c>
      <c r="BP227" s="49">
        <f ca="1">HM_ZA_Nkossa!CA_decom_nom</f>
        <v>0</v>
      </c>
      <c r="BQ227" s="49">
        <f ca="1">HM_ZA_Nkossa!CA_decom_nom</f>
        <v>0</v>
      </c>
      <c r="BR227" s="49">
        <f ca="1">HM_ZA_Nkossa!CA_decom_nom</f>
        <v>0</v>
      </c>
      <c r="BS227" s="49">
        <f ca="1">HM_ZA_Nkossa!CA_decom_nom</f>
        <v>0</v>
      </c>
    </row>
    <row r="228" spans="4:71" outlineLevel="1" x14ac:dyDescent="0.2">
      <c r="D228" s="50" t="str">
        <f>CHOOSE(db_ML_selected,'Liste Traduction'!B317,'Liste Traduction'!C317)</f>
        <v>Solde des coûts non récupérés</v>
      </c>
      <c r="I228" s="30">
        <f t="shared" ca="1" si="43"/>
        <v>3718.4774372900001</v>
      </c>
      <c r="J228" s="26" t="s">
        <v>148</v>
      </c>
      <c r="K228" s="7" t="s">
        <v>676</v>
      </c>
      <c r="L228" s="49">
        <f ca="1">OFFSET(_xlfn.SINGLE(IA_unrec_cost_bal_real),2,)</f>
        <v>3718.4774372900001</v>
      </c>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c r="AL228" s="49"/>
      <c r="AM228" s="49"/>
      <c r="AN228" s="49"/>
      <c r="AO228" s="49"/>
      <c r="AP228" s="49"/>
      <c r="AQ228" s="49"/>
      <c r="AR228" s="49"/>
      <c r="AS228" s="49"/>
      <c r="AT228" s="49"/>
      <c r="AU228" s="49"/>
      <c r="AV228" s="49"/>
      <c r="AW228" s="49"/>
      <c r="AX228" s="49"/>
      <c r="AY228" s="49"/>
      <c r="AZ228" s="49"/>
      <c r="BA228" s="49"/>
      <c r="BB228" s="49"/>
      <c r="BC228" s="49"/>
      <c r="BD228" s="49"/>
      <c r="BE228" s="49"/>
      <c r="BF228" s="49"/>
      <c r="BG228" s="49"/>
      <c r="BH228" s="49"/>
      <c r="BI228" s="49"/>
      <c r="BJ228" s="49"/>
      <c r="BK228" s="49"/>
      <c r="BL228" s="49"/>
      <c r="BM228" s="49"/>
      <c r="BN228" s="49"/>
      <c r="BO228" s="49"/>
      <c r="BP228" s="49"/>
      <c r="BQ228" s="49"/>
      <c r="BR228" s="49"/>
      <c r="BS228" s="49"/>
    </row>
    <row r="229" spans="4:71" outlineLevel="1" x14ac:dyDescent="0.2">
      <c r="D229" s="51" t="str">
        <f>CHOOSE(db_ML_selected,'Liste Traduction'!B318,'Liste Traduction'!C318)</f>
        <v>Total des coûts récupérables</v>
      </c>
      <c r="I229" s="30">
        <f t="shared" ca="1" si="43"/>
        <v>7185.9205095237439</v>
      </c>
      <c r="J229" s="26" t="s">
        <v>148</v>
      </c>
      <c r="L229" s="49">
        <f ca="1">SUM(L223:L228)</f>
        <v>4302.7615726495005</v>
      </c>
      <c r="M229" s="49">
        <f t="shared" ref="M229:BS229" ca="1" si="44">SUM(M223:M228)</f>
        <v>425.99254399211998</v>
      </c>
      <c r="N229" s="49">
        <f t="shared" ca="1" si="44"/>
        <v>364.31933448117996</v>
      </c>
      <c r="O229" s="49">
        <f t="shared" ca="1" si="44"/>
        <v>378.00270085644001</v>
      </c>
      <c r="P229" s="49">
        <f t="shared" ca="1" si="44"/>
        <v>472.13073617890996</v>
      </c>
      <c r="Q229" s="49">
        <f t="shared" ca="1" si="44"/>
        <v>466.40081117992997</v>
      </c>
      <c r="R229" s="49">
        <f t="shared" ca="1" si="44"/>
        <v>360.85152052593997</v>
      </c>
      <c r="S229" s="49">
        <f t="shared" ca="1" si="44"/>
        <v>68.255736314333333</v>
      </c>
      <c r="T229" s="49">
        <f t="shared" ca="1" si="44"/>
        <v>68.297553173708806</v>
      </c>
      <c r="U229" s="49">
        <f t="shared" ca="1" si="44"/>
        <v>68.99065775846401</v>
      </c>
      <c r="V229" s="49">
        <f t="shared" ca="1" si="44"/>
        <v>69.442795149678958</v>
      </c>
      <c r="W229" s="49">
        <f t="shared" ca="1" si="44"/>
        <v>70.005779430985456</v>
      </c>
      <c r="X229" s="49">
        <f t="shared" ca="1" si="44"/>
        <v>70.4687678325528</v>
      </c>
      <c r="Y229" s="49">
        <f t="shared" ca="1" si="44"/>
        <v>0</v>
      </c>
      <c r="Z229" s="49">
        <f t="shared" ca="1" si="44"/>
        <v>0</v>
      </c>
      <c r="AA229" s="49">
        <f t="shared" ca="1" si="44"/>
        <v>0</v>
      </c>
      <c r="AB229" s="49">
        <f t="shared" ca="1" si="44"/>
        <v>0</v>
      </c>
      <c r="AC229" s="49">
        <f t="shared" ca="1" si="44"/>
        <v>0</v>
      </c>
      <c r="AD229" s="49">
        <f t="shared" ca="1" si="44"/>
        <v>0</v>
      </c>
      <c r="AE229" s="49">
        <f t="shared" ca="1" si="44"/>
        <v>0</v>
      </c>
      <c r="AF229" s="49">
        <f t="shared" ca="1" si="44"/>
        <v>0</v>
      </c>
      <c r="AG229" s="49">
        <f t="shared" ca="1" si="44"/>
        <v>0</v>
      </c>
      <c r="AH229" s="49">
        <f t="shared" ca="1" si="44"/>
        <v>0</v>
      </c>
      <c r="AI229" s="49">
        <f t="shared" ca="1" si="44"/>
        <v>0</v>
      </c>
      <c r="AJ229" s="49">
        <f t="shared" ca="1" si="44"/>
        <v>0</v>
      </c>
      <c r="AK229" s="49">
        <f t="shared" ca="1" si="44"/>
        <v>0</v>
      </c>
      <c r="AL229" s="49">
        <f t="shared" ca="1" si="44"/>
        <v>0</v>
      </c>
      <c r="AM229" s="49">
        <f t="shared" ca="1" si="44"/>
        <v>0</v>
      </c>
      <c r="AN229" s="49">
        <f t="shared" ca="1" si="44"/>
        <v>0</v>
      </c>
      <c r="AO229" s="49">
        <f t="shared" ca="1" si="44"/>
        <v>0</v>
      </c>
      <c r="AP229" s="49">
        <f t="shared" ca="1" si="44"/>
        <v>0</v>
      </c>
      <c r="AQ229" s="49">
        <f t="shared" ca="1" si="44"/>
        <v>0</v>
      </c>
      <c r="AR229" s="49">
        <f t="shared" ca="1" si="44"/>
        <v>0</v>
      </c>
      <c r="AS229" s="49">
        <f t="shared" ca="1" si="44"/>
        <v>0</v>
      </c>
      <c r="AT229" s="49">
        <f t="shared" ca="1" si="44"/>
        <v>0</v>
      </c>
      <c r="AU229" s="49">
        <f t="shared" ca="1" si="44"/>
        <v>0</v>
      </c>
      <c r="AV229" s="49">
        <f t="shared" ca="1" si="44"/>
        <v>0</v>
      </c>
      <c r="AW229" s="49">
        <f t="shared" ca="1" si="44"/>
        <v>0</v>
      </c>
      <c r="AX229" s="49">
        <f t="shared" ca="1" si="44"/>
        <v>0</v>
      </c>
      <c r="AY229" s="49">
        <f t="shared" ca="1" si="44"/>
        <v>0</v>
      </c>
      <c r="AZ229" s="49">
        <f t="shared" ca="1" si="44"/>
        <v>0</v>
      </c>
      <c r="BA229" s="49">
        <f t="shared" ca="1" si="44"/>
        <v>0</v>
      </c>
      <c r="BB229" s="49">
        <f t="shared" ca="1" si="44"/>
        <v>0</v>
      </c>
      <c r="BC229" s="49">
        <f t="shared" ca="1" si="44"/>
        <v>0</v>
      </c>
      <c r="BD229" s="49">
        <f t="shared" ca="1" si="44"/>
        <v>0</v>
      </c>
      <c r="BE229" s="49">
        <f t="shared" ca="1" si="44"/>
        <v>0</v>
      </c>
      <c r="BF229" s="49">
        <f t="shared" ca="1" si="44"/>
        <v>0</v>
      </c>
      <c r="BG229" s="49">
        <f t="shared" ca="1" si="44"/>
        <v>0</v>
      </c>
      <c r="BH229" s="49">
        <f t="shared" ca="1" si="44"/>
        <v>0</v>
      </c>
      <c r="BI229" s="49">
        <f t="shared" ca="1" si="44"/>
        <v>0</v>
      </c>
      <c r="BJ229" s="49">
        <f t="shared" ca="1" si="44"/>
        <v>0</v>
      </c>
      <c r="BK229" s="49">
        <f t="shared" ca="1" si="44"/>
        <v>0</v>
      </c>
      <c r="BL229" s="49">
        <f t="shared" ca="1" si="44"/>
        <v>0</v>
      </c>
      <c r="BM229" s="49">
        <f t="shared" ca="1" si="44"/>
        <v>0</v>
      </c>
      <c r="BN229" s="49">
        <f t="shared" ca="1" si="44"/>
        <v>0</v>
      </c>
      <c r="BO229" s="49">
        <f t="shared" ca="1" si="44"/>
        <v>0</v>
      </c>
      <c r="BP229" s="49">
        <f t="shared" ca="1" si="44"/>
        <v>0</v>
      </c>
      <c r="BQ229" s="49">
        <f t="shared" ca="1" si="44"/>
        <v>0</v>
      </c>
      <c r="BR229" s="49">
        <f t="shared" ca="1" si="44"/>
        <v>0</v>
      </c>
      <c r="BS229" s="49">
        <f t="shared" ca="1" si="44"/>
        <v>0</v>
      </c>
    </row>
    <row r="230" spans="4:71" outlineLevel="1" x14ac:dyDescent="0.2">
      <c r="J230" s="26"/>
      <c r="L230" s="55"/>
      <c r="M230" s="55"/>
      <c r="N230" s="55"/>
      <c r="O230" s="55"/>
      <c r="P230" s="55"/>
      <c r="Q230" s="55"/>
      <c r="R230" s="55"/>
      <c r="S230" s="55"/>
      <c r="T230" s="55"/>
      <c r="U230" s="55"/>
      <c r="V230" s="55"/>
      <c r="W230" s="55"/>
      <c r="X230" s="55"/>
      <c r="Y230" s="55"/>
      <c r="Z230" s="55"/>
      <c r="AA230" s="55"/>
      <c r="AB230" s="55"/>
      <c r="AC230" s="55"/>
      <c r="AD230" s="55"/>
      <c r="AE230" s="55"/>
      <c r="AF230" s="55"/>
      <c r="AG230" s="55"/>
      <c r="AH230" s="55"/>
      <c r="AI230" s="55"/>
      <c r="AJ230" s="55"/>
      <c r="AK230" s="55"/>
      <c r="AL230" s="55"/>
      <c r="AM230" s="55"/>
      <c r="AN230" s="55"/>
      <c r="AO230" s="55"/>
      <c r="AP230" s="55"/>
      <c r="AQ230" s="55"/>
      <c r="AR230" s="55"/>
      <c r="AS230" s="55"/>
      <c r="AT230" s="55"/>
      <c r="AU230" s="55"/>
      <c r="AV230" s="55"/>
      <c r="AW230" s="55"/>
      <c r="AX230" s="55"/>
      <c r="AY230" s="55"/>
      <c r="AZ230" s="55"/>
      <c r="BA230" s="55"/>
      <c r="BB230" s="55"/>
      <c r="BC230" s="55"/>
      <c r="BD230" s="55"/>
      <c r="BE230" s="55"/>
      <c r="BF230" s="55"/>
      <c r="BG230" s="55"/>
      <c r="BH230" s="55"/>
      <c r="BI230" s="55"/>
      <c r="BJ230" s="55"/>
      <c r="BK230" s="55"/>
      <c r="BL230" s="55"/>
      <c r="BM230" s="55"/>
      <c r="BN230" s="55"/>
      <c r="BO230" s="55"/>
      <c r="BP230" s="55"/>
      <c r="BQ230" s="55"/>
      <c r="BR230" s="55"/>
      <c r="BS230" s="55"/>
    </row>
    <row r="231" spans="4:71" outlineLevel="1" x14ac:dyDescent="0.2">
      <c r="D231" s="52" t="str">
        <f>CHOOSE(db_ML_selected,'Liste Traduction'!B319,'Liste Traduction'!C319)</f>
        <v>Cost Oil garanti</v>
      </c>
      <c r="I231" s="30">
        <f t="shared" ref="I231" ca="1" si="45">SUM($L231:$BS231)</f>
        <v>1143.7946352201334</v>
      </c>
      <c r="J231" s="26" t="s">
        <v>148</v>
      </c>
      <c r="K231" s="7" t="s">
        <v>190</v>
      </c>
      <c r="L231" s="49">
        <f ca="1">(HM_ZA_Nkossa!CA_gross_rev_total_fp*HM_ZA_Nkossa!GCO_perc)*(CA_PSC_switch_trig=1)</f>
        <v>0</v>
      </c>
      <c r="M231" s="49">
        <f ca="1">(HM_ZA_Nkossa!CA_gross_rev_total_fp*HM_ZA_Nkossa!GCO_perc)*(CA_PSC_switch_trig=1)</f>
        <v>0</v>
      </c>
      <c r="N231" s="49">
        <f ca="1">(HM_ZA_Nkossa!CA_gross_rev_total_fp*HM_ZA_Nkossa!GCO_perc)*(CA_PSC_switch_trig=1)</f>
        <v>0</v>
      </c>
      <c r="O231" s="49">
        <f ca="1">(HM_ZA_Nkossa!CA_gross_rev_total_fp*HM_ZA_Nkossa!GCO_perc)*(CA_PSC_switch_trig=1)</f>
        <v>0</v>
      </c>
      <c r="P231" s="49">
        <f ca="1">(HM_ZA_Nkossa!CA_gross_rev_total_fp*HM_ZA_Nkossa!GCO_perc)*(CA_PSC_switch_trig=1)</f>
        <v>173.34944715640006</v>
      </c>
      <c r="Q231" s="49">
        <f ca="1">(HM_ZA_Nkossa!CA_gross_rev_total_fp*HM_ZA_Nkossa!GCO_perc)*(CA_PSC_switch_trig=1)</f>
        <v>185.31244719720002</v>
      </c>
      <c r="R231" s="49">
        <f ca="1">(HM_ZA_Nkossa!CA_gross_rev_total_fp*HM_ZA_Nkossa!GCO_perc)*(CA_PSC_switch_trig=1)</f>
        <v>177.46082103760003</v>
      </c>
      <c r="S231" s="49">
        <f ca="1">(HM_ZA_Nkossa!CA_gross_rev_total_fp*HM_ZA_Nkossa!GCO_perc)*(CA_PSC_switch_trig=1)</f>
        <v>82.229452573333333</v>
      </c>
      <c r="T231" s="49">
        <f ca="1">(HM_ZA_Nkossa!CA_gross_rev_total_fp*HM_ZA_Nkossa!GCO_perc)*(CA_PSC_switch_trig=1)</f>
        <v>111.90212694835198</v>
      </c>
      <c r="U231" s="49">
        <f ca="1">(HM_ZA_Nkossa!CA_gross_rev_total_fp*HM_ZA_Nkossa!GCO_perc)*(CA_PSC_switch_trig=1)</f>
        <v>111.70631033855999</v>
      </c>
      <c r="V231" s="49">
        <f ca="1">(HM_ZA_Nkossa!CA_gross_rev_total_fp*HM_ZA_Nkossa!GCO_perc)*(CA_PSC_switch_trig=1)</f>
        <v>105.964605987158</v>
      </c>
      <c r="W231" s="49">
        <f ca="1">(HM_ZA_Nkossa!CA_gross_rev_total_fp*HM_ZA_Nkossa!GCO_perc)*(CA_PSC_switch_trig=1)</f>
        <v>100.51802523941807</v>
      </c>
      <c r="X231" s="49">
        <f ca="1">(HM_ZA_Nkossa!CA_gross_rev_total_fp*HM_ZA_Nkossa!GCO_perc)*(CA_PSC_switch_trig=1)</f>
        <v>95.351398742111982</v>
      </c>
      <c r="Y231" s="49">
        <f ca="1">(HM_ZA_Nkossa!CA_gross_rev_total_fp*HM_ZA_Nkossa!GCO_perc)*(CA_PSC_switch_trig=1)</f>
        <v>0</v>
      </c>
      <c r="Z231" s="49">
        <f ca="1">(HM_ZA_Nkossa!CA_gross_rev_total_fp*HM_ZA_Nkossa!GCO_perc)*(CA_PSC_switch_trig=1)</f>
        <v>0</v>
      </c>
      <c r="AA231" s="49">
        <f ca="1">(HM_ZA_Nkossa!CA_gross_rev_total_fp*HM_ZA_Nkossa!GCO_perc)*(CA_PSC_switch_trig=1)</f>
        <v>0</v>
      </c>
      <c r="AB231" s="49">
        <f ca="1">(HM_ZA_Nkossa!CA_gross_rev_total_fp*HM_ZA_Nkossa!GCO_perc)*(CA_PSC_switch_trig=1)</f>
        <v>0</v>
      </c>
      <c r="AC231" s="49">
        <f ca="1">(HM_ZA_Nkossa!CA_gross_rev_total_fp*HM_ZA_Nkossa!GCO_perc)*(CA_PSC_switch_trig=1)</f>
        <v>0</v>
      </c>
      <c r="AD231" s="49">
        <f ca="1">(HM_ZA_Nkossa!CA_gross_rev_total_fp*HM_ZA_Nkossa!GCO_perc)*(CA_PSC_switch_trig=1)</f>
        <v>0</v>
      </c>
      <c r="AE231" s="49">
        <f ca="1">(HM_ZA_Nkossa!CA_gross_rev_total_fp*HM_ZA_Nkossa!GCO_perc)*(CA_PSC_switch_trig=1)</f>
        <v>0</v>
      </c>
      <c r="AF231" s="49">
        <f ca="1">(HM_ZA_Nkossa!CA_gross_rev_total_fp*HM_ZA_Nkossa!GCO_perc)*(CA_PSC_switch_trig=1)</f>
        <v>0</v>
      </c>
      <c r="AG231" s="49">
        <f ca="1">(HM_ZA_Nkossa!CA_gross_rev_total_fp*HM_ZA_Nkossa!GCO_perc)*(CA_PSC_switch_trig=1)</f>
        <v>0</v>
      </c>
      <c r="AH231" s="49">
        <f ca="1">(HM_ZA_Nkossa!CA_gross_rev_total_fp*HM_ZA_Nkossa!GCO_perc)*(CA_PSC_switch_trig=1)</f>
        <v>0</v>
      </c>
      <c r="AI231" s="49">
        <f ca="1">(HM_ZA_Nkossa!CA_gross_rev_total_fp*HM_ZA_Nkossa!GCO_perc)*(CA_PSC_switch_trig=1)</f>
        <v>0</v>
      </c>
      <c r="AJ231" s="49">
        <f ca="1">(HM_ZA_Nkossa!CA_gross_rev_total_fp*HM_ZA_Nkossa!GCO_perc)*(CA_PSC_switch_trig=1)</f>
        <v>0</v>
      </c>
      <c r="AK231" s="49">
        <f ca="1">(HM_ZA_Nkossa!CA_gross_rev_total_fp*HM_ZA_Nkossa!GCO_perc)*(CA_PSC_switch_trig=1)</f>
        <v>0</v>
      </c>
      <c r="AL231" s="49">
        <f ca="1">(HM_ZA_Nkossa!CA_gross_rev_total_fp*HM_ZA_Nkossa!GCO_perc)*(CA_PSC_switch_trig=1)</f>
        <v>0</v>
      </c>
      <c r="AM231" s="49">
        <f ca="1">(HM_ZA_Nkossa!CA_gross_rev_total_fp*HM_ZA_Nkossa!GCO_perc)*(CA_PSC_switch_trig=1)</f>
        <v>0</v>
      </c>
      <c r="AN231" s="49">
        <f ca="1">(HM_ZA_Nkossa!CA_gross_rev_total_fp*HM_ZA_Nkossa!GCO_perc)*(CA_PSC_switch_trig=1)</f>
        <v>0</v>
      </c>
      <c r="AO231" s="49">
        <f ca="1">(HM_ZA_Nkossa!CA_gross_rev_total_fp*HM_ZA_Nkossa!GCO_perc)*(CA_PSC_switch_trig=1)</f>
        <v>0</v>
      </c>
      <c r="AP231" s="49">
        <f ca="1">(HM_ZA_Nkossa!CA_gross_rev_total_fp*HM_ZA_Nkossa!GCO_perc)*(CA_PSC_switch_trig=1)</f>
        <v>0</v>
      </c>
      <c r="AQ231" s="49">
        <f ca="1">(HM_ZA_Nkossa!CA_gross_rev_total_fp*HM_ZA_Nkossa!GCO_perc)*(CA_PSC_switch_trig=1)</f>
        <v>0</v>
      </c>
      <c r="AR231" s="49">
        <f ca="1">(HM_ZA_Nkossa!CA_gross_rev_total_fp*HM_ZA_Nkossa!GCO_perc)*(CA_PSC_switch_trig=1)</f>
        <v>0</v>
      </c>
      <c r="AS231" s="49">
        <f ca="1">(HM_ZA_Nkossa!CA_gross_rev_total_fp*HM_ZA_Nkossa!GCO_perc)*(CA_PSC_switch_trig=1)</f>
        <v>0</v>
      </c>
      <c r="AT231" s="49">
        <f ca="1">(HM_ZA_Nkossa!CA_gross_rev_total_fp*HM_ZA_Nkossa!GCO_perc)*(CA_PSC_switch_trig=1)</f>
        <v>0</v>
      </c>
      <c r="AU231" s="49">
        <f ca="1">(HM_ZA_Nkossa!CA_gross_rev_total_fp*HM_ZA_Nkossa!GCO_perc)*(CA_PSC_switch_trig=1)</f>
        <v>0</v>
      </c>
      <c r="AV231" s="49">
        <f ca="1">(HM_ZA_Nkossa!CA_gross_rev_total_fp*HM_ZA_Nkossa!GCO_perc)*(CA_PSC_switch_trig=1)</f>
        <v>0</v>
      </c>
      <c r="AW231" s="49">
        <f ca="1">(HM_ZA_Nkossa!CA_gross_rev_total_fp*HM_ZA_Nkossa!GCO_perc)*(CA_PSC_switch_trig=1)</f>
        <v>0</v>
      </c>
      <c r="AX231" s="49">
        <f ca="1">(HM_ZA_Nkossa!CA_gross_rev_total_fp*HM_ZA_Nkossa!GCO_perc)*(CA_PSC_switch_trig=1)</f>
        <v>0</v>
      </c>
      <c r="AY231" s="49">
        <f ca="1">(HM_ZA_Nkossa!CA_gross_rev_total_fp*HM_ZA_Nkossa!GCO_perc)*(CA_PSC_switch_trig=1)</f>
        <v>0</v>
      </c>
      <c r="AZ231" s="49">
        <f ca="1">(HM_ZA_Nkossa!CA_gross_rev_total_fp*HM_ZA_Nkossa!GCO_perc)*(CA_PSC_switch_trig=1)</f>
        <v>0</v>
      </c>
      <c r="BA231" s="49">
        <f ca="1">(HM_ZA_Nkossa!CA_gross_rev_total_fp*HM_ZA_Nkossa!GCO_perc)*(CA_PSC_switch_trig=1)</f>
        <v>0</v>
      </c>
      <c r="BB231" s="49">
        <f ca="1">(HM_ZA_Nkossa!CA_gross_rev_total_fp*HM_ZA_Nkossa!GCO_perc)*(CA_PSC_switch_trig=1)</f>
        <v>0</v>
      </c>
      <c r="BC231" s="49">
        <f ca="1">(HM_ZA_Nkossa!CA_gross_rev_total_fp*HM_ZA_Nkossa!GCO_perc)*(CA_PSC_switch_trig=1)</f>
        <v>0</v>
      </c>
      <c r="BD231" s="49">
        <f ca="1">(HM_ZA_Nkossa!CA_gross_rev_total_fp*HM_ZA_Nkossa!GCO_perc)*(CA_PSC_switch_trig=1)</f>
        <v>0</v>
      </c>
      <c r="BE231" s="49">
        <f ca="1">(HM_ZA_Nkossa!CA_gross_rev_total_fp*HM_ZA_Nkossa!GCO_perc)*(CA_PSC_switch_trig=1)</f>
        <v>0</v>
      </c>
      <c r="BF231" s="49">
        <f ca="1">(HM_ZA_Nkossa!CA_gross_rev_total_fp*HM_ZA_Nkossa!GCO_perc)*(CA_PSC_switch_trig=1)</f>
        <v>0</v>
      </c>
      <c r="BG231" s="49">
        <f ca="1">(HM_ZA_Nkossa!CA_gross_rev_total_fp*HM_ZA_Nkossa!GCO_perc)*(CA_PSC_switch_trig=1)</f>
        <v>0</v>
      </c>
      <c r="BH231" s="49">
        <f ca="1">(HM_ZA_Nkossa!CA_gross_rev_total_fp*HM_ZA_Nkossa!GCO_perc)*(CA_PSC_switch_trig=1)</f>
        <v>0</v>
      </c>
      <c r="BI231" s="49">
        <f ca="1">(HM_ZA_Nkossa!CA_gross_rev_total_fp*HM_ZA_Nkossa!GCO_perc)*(CA_PSC_switch_trig=1)</f>
        <v>0</v>
      </c>
      <c r="BJ231" s="49">
        <f ca="1">(HM_ZA_Nkossa!CA_gross_rev_total_fp*HM_ZA_Nkossa!GCO_perc)*(CA_PSC_switch_trig=1)</f>
        <v>0</v>
      </c>
      <c r="BK231" s="49">
        <f ca="1">(HM_ZA_Nkossa!CA_gross_rev_total_fp*HM_ZA_Nkossa!GCO_perc)*(CA_PSC_switch_trig=1)</f>
        <v>0</v>
      </c>
      <c r="BL231" s="49">
        <f ca="1">(HM_ZA_Nkossa!CA_gross_rev_total_fp*HM_ZA_Nkossa!GCO_perc)*(CA_PSC_switch_trig=1)</f>
        <v>0</v>
      </c>
      <c r="BM231" s="49">
        <f ca="1">(HM_ZA_Nkossa!CA_gross_rev_total_fp*HM_ZA_Nkossa!GCO_perc)*(CA_PSC_switch_trig=1)</f>
        <v>0</v>
      </c>
      <c r="BN231" s="49">
        <f ca="1">(HM_ZA_Nkossa!CA_gross_rev_total_fp*HM_ZA_Nkossa!GCO_perc)*(CA_PSC_switch_trig=1)</f>
        <v>0</v>
      </c>
      <c r="BO231" s="49">
        <f ca="1">(HM_ZA_Nkossa!CA_gross_rev_total_fp*HM_ZA_Nkossa!GCO_perc)*(CA_PSC_switch_trig=1)</f>
        <v>0</v>
      </c>
      <c r="BP231" s="49">
        <f ca="1">(HM_ZA_Nkossa!CA_gross_rev_total_fp*HM_ZA_Nkossa!GCO_perc)*(CA_PSC_switch_trig=1)</f>
        <v>0</v>
      </c>
      <c r="BQ231" s="49">
        <f ca="1">(HM_ZA_Nkossa!CA_gross_rev_total_fp*HM_ZA_Nkossa!GCO_perc)*(CA_PSC_switch_trig=1)</f>
        <v>0</v>
      </c>
      <c r="BR231" s="49">
        <f ca="1">(HM_ZA_Nkossa!CA_gross_rev_total_fp*HM_ZA_Nkossa!GCO_perc)*(CA_PSC_switch_trig=1)</f>
        <v>0</v>
      </c>
      <c r="BS231" s="49">
        <f ca="1">(HM_ZA_Nkossa!CA_gross_rev_total_fp*HM_ZA_Nkossa!GCO_perc)*(CA_PSC_switch_trig=1)</f>
        <v>0</v>
      </c>
    </row>
    <row r="232" spans="4:71" outlineLevel="1" x14ac:dyDescent="0.2">
      <c r="J232" s="26"/>
      <c r="L232" s="55"/>
      <c r="M232" s="55"/>
      <c r="N232" s="55"/>
      <c r="O232" s="55"/>
      <c r="P232" s="55"/>
      <c r="Q232" s="55"/>
      <c r="R232" s="55"/>
      <c r="S232" s="55"/>
      <c r="T232" s="55"/>
      <c r="U232" s="55"/>
      <c r="V232" s="55"/>
      <c r="W232" s="55"/>
      <c r="X232" s="55"/>
      <c r="Y232" s="55"/>
      <c r="Z232" s="55"/>
      <c r="AA232" s="55"/>
      <c r="AB232" s="55"/>
      <c r="AC232" s="55"/>
      <c r="AD232" s="55"/>
      <c r="AE232" s="55"/>
      <c r="AF232" s="55"/>
      <c r="AG232" s="55"/>
      <c r="AH232" s="55"/>
      <c r="AI232" s="55"/>
      <c r="AJ232" s="55"/>
      <c r="AK232" s="55"/>
      <c r="AL232" s="55"/>
      <c r="AM232" s="55"/>
      <c r="AN232" s="55"/>
      <c r="AO232" s="55"/>
      <c r="AP232" s="55"/>
      <c r="AQ232" s="55"/>
      <c r="AR232" s="55"/>
      <c r="AS232" s="55"/>
      <c r="AT232" s="55"/>
      <c r="AU232" s="55"/>
      <c r="AV232" s="55"/>
      <c r="AW232" s="55"/>
      <c r="AX232" s="55"/>
      <c r="AY232" s="55"/>
      <c r="AZ232" s="55"/>
      <c r="BA232" s="55"/>
      <c r="BB232" s="55"/>
      <c r="BC232" s="55"/>
      <c r="BD232" s="55"/>
      <c r="BE232" s="55"/>
      <c r="BF232" s="55"/>
      <c r="BG232" s="55"/>
      <c r="BH232" s="55"/>
      <c r="BI232" s="55"/>
      <c r="BJ232" s="55"/>
      <c r="BK232" s="55"/>
      <c r="BL232" s="55"/>
      <c r="BM232" s="55"/>
      <c r="BN232" s="55"/>
      <c r="BO232" s="55"/>
      <c r="BP232" s="55"/>
      <c r="BQ232" s="55"/>
      <c r="BR232" s="55"/>
      <c r="BS232" s="55"/>
    </row>
    <row r="233" spans="4:71" outlineLevel="1" x14ac:dyDescent="0.2">
      <c r="D233" t="str">
        <f>CHOOSE(db_ML_selected,'Liste Traduction'!B320,'Liste Traduction'!C320)</f>
        <v>% Cost stop</v>
      </c>
      <c r="J233" s="26"/>
      <c r="L233" s="49">
        <f ca="1">IF(AND(_xlfn.SINGLE(HM_ZA_Nkossa!CA_FP_oil_nom)&gt;0,_xlfn.SINGLE(HM_ZA_Nkossa!CA_FP_oil_nom)&lt;=_xlfn.SINGLE(HM_ZA_Nkossa!cost_stop_p1)),HM_ZA_Nkossa!cost_stop_perbbl1,
IF(AND(_xlfn.SINGLE(HM_ZA_Nkossa!CA_FP_oil_nom)&gt;HM_ZA_Nkossa!cost_stop_p1,_xlfn.SINGLE(HM_ZA_Nkossa!CA_FP_oil_nom)&lt;=HM_ZA_Nkossa!cost_stop_p2),HM_ZA_Nkossa!cost_stop_perbbl2,
HM_ZA_Nkossa!cost_stop_perc))*(_xlfn.SINGLE(CA_PSC_switch_trig)=0)+
((cost_stop_perc_Nkossa2017))*(_xlfn.SINGLE(CA_PSC_switch_trig)=1)</f>
        <v>0.5</v>
      </c>
      <c r="M233" s="49">
        <f ca="1">IF(AND(_xlfn.SINGLE(HM_ZA_Nkossa!CA_FP_oil_nom)&gt;0,_xlfn.SINGLE(HM_ZA_Nkossa!CA_FP_oil_nom)&lt;=_xlfn.SINGLE(HM_ZA_Nkossa!cost_stop_p1)),HM_ZA_Nkossa!cost_stop_perbbl1,
IF(AND(_xlfn.SINGLE(HM_ZA_Nkossa!CA_FP_oil_nom)&gt;HM_ZA_Nkossa!cost_stop_p1,_xlfn.SINGLE(HM_ZA_Nkossa!CA_FP_oil_nom)&lt;=HM_ZA_Nkossa!cost_stop_p2),HM_ZA_Nkossa!cost_stop_perbbl2,
HM_ZA_Nkossa!cost_stop_perc))*(_xlfn.SINGLE(CA_PSC_switch_trig)=0)+
((cost_stop_perc_Nkossa2017))*(_xlfn.SINGLE(CA_PSC_switch_trig)=1)</f>
        <v>0.5</v>
      </c>
      <c r="N233" s="49">
        <f ca="1">IF(AND(_xlfn.SINGLE(HM_ZA_Nkossa!CA_FP_oil_nom)&gt;0,_xlfn.SINGLE(HM_ZA_Nkossa!CA_FP_oil_nom)&lt;=_xlfn.SINGLE(HM_ZA_Nkossa!cost_stop_p1)),HM_ZA_Nkossa!cost_stop_perbbl1,
IF(AND(_xlfn.SINGLE(HM_ZA_Nkossa!CA_FP_oil_nom)&gt;HM_ZA_Nkossa!cost_stop_p1,_xlfn.SINGLE(HM_ZA_Nkossa!CA_FP_oil_nom)&lt;=HM_ZA_Nkossa!cost_stop_p2),HM_ZA_Nkossa!cost_stop_perbbl2,
HM_ZA_Nkossa!cost_stop_perc))*(_xlfn.SINGLE(CA_PSC_switch_trig)=0)+
((cost_stop_perc_Nkossa2017))*(_xlfn.SINGLE(CA_PSC_switch_trig)=1)</f>
        <v>0.5</v>
      </c>
      <c r="O233" s="49">
        <f ca="1">IF(AND(_xlfn.SINGLE(HM_ZA_Nkossa!CA_FP_oil_nom)&gt;0,_xlfn.SINGLE(HM_ZA_Nkossa!CA_FP_oil_nom)&lt;=_xlfn.SINGLE(HM_ZA_Nkossa!cost_stop_p1)),HM_ZA_Nkossa!cost_stop_perbbl1,
IF(AND(_xlfn.SINGLE(HM_ZA_Nkossa!CA_FP_oil_nom)&gt;HM_ZA_Nkossa!cost_stop_p1,_xlfn.SINGLE(HM_ZA_Nkossa!CA_FP_oil_nom)&lt;=HM_ZA_Nkossa!cost_stop_p2),HM_ZA_Nkossa!cost_stop_perbbl2,
HM_ZA_Nkossa!cost_stop_perc))*(_xlfn.SINGLE(CA_PSC_switch_trig)=0)+
((cost_stop_perc_Nkossa2017))*(_xlfn.SINGLE(CA_PSC_switch_trig)=1)</f>
        <v>0.5</v>
      </c>
      <c r="P233" s="49">
        <f ca="1">IF(AND(_xlfn.SINGLE(HM_ZA_Nkossa!CA_FP_oil_nom)&gt;0,_xlfn.SINGLE(HM_ZA_Nkossa!CA_FP_oil_nom)&lt;=_xlfn.SINGLE(HM_ZA_Nkossa!cost_stop_p1)),HM_ZA_Nkossa!cost_stop_perbbl1,
IF(AND(_xlfn.SINGLE(HM_ZA_Nkossa!CA_FP_oil_nom)&gt;HM_ZA_Nkossa!cost_stop_p1,_xlfn.SINGLE(HM_ZA_Nkossa!CA_FP_oil_nom)&lt;=HM_ZA_Nkossa!cost_stop_p2),HM_ZA_Nkossa!cost_stop_perbbl2,
HM_ZA_Nkossa!cost_stop_perc))*(_xlfn.SINGLE(CA_PSC_switch_trig)=0)+
((cost_stop_perc_Nkossa2017))*(_xlfn.SINGLE(CA_PSC_switch_trig)=1)</f>
        <v>0.55000000000000004</v>
      </c>
      <c r="Q233" s="49">
        <f ca="1">IF(AND(_xlfn.SINGLE(HM_ZA_Nkossa!CA_FP_oil_nom)&gt;0,_xlfn.SINGLE(HM_ZA_Nkossa!CA_FP_oil_nom)&lt;=_xlfn.SINGLE(HM_ZA_Nkossa!cost_stop_p1)),HM_ZA_Nkossa!cost_stop_perbbl1,
IF(AND(_xlfn.SINGLE(HM_ZA_Nkossa!CA_FP_oil_nom)&gt;HM_ZA_Nkossa!cost_stop_p1,_xlfn.SINGLE(HM_ZA_Nkossa!CA_FP_oil_nom)&lt;=HM_ZA_Nkossa!cost_stop_p2),HM_ZA_Nkossa!cost_stop_perbbl2,
HM_ZA_Nkossa!cost_stop_perc))*(_xlfn.SINGLE(CA_PSC_switch_trig)=0)+
((cost_stop_perc_Nkossa2017))*(_xlfn.SINGLE(CA_PSC_switch_trig)=1)</f>
        <v>0.55000000000000004</v>
      </c>
      <c r="R233" s="49">
        <f ca="1">IF(AND(_xlfn.SINGLE(HM_ZA_Nkossa!CA_FP_oil_nom)&gt;0,_xlfn.SINGLE(HM_ZA_Nkossa!CA_FP_oil_nom)&lt;=_xlfn.SINGLE(HM_ZA_Nkossa!cost_stop_p1)),HM_ZA_Nkossa!cost_stop_perbbl1,
IF(AND(_xlfn.SINGLE(HM_ZA_Nkossa!CA_FP_oil_nom)&gt;HM_ZA_Nkossa!cost_stop_p1,_xlfn.SINGLE(HM_ZA_Nkossa!CA_FP_oil_nom)&lt;=HM_ZA_Nkossa!cost_stop_p2),HM_ZA_Nkossa!cost_stop_perbbl2,
HM_ZA_Nkossa!cost_stop_perc))*(_xlfn.SINGLE(CA_PSC_switch_trig)=0)+
((cost_stop_perc_Nkossa2017))*(_xlfn.SINGLE(CA_PSC_switch_trig)=1)</f>
        <v>0.55000000000000004</v>
      </c>
      <c r="S233" s="49">
        <f ca="1">IF(AND(_xlfn.SINGLE(HM_ZA_Nkossa!CA_FP_oil_nom)&gt;0,_xlfn.SINGLE(HM_ZA_Nkossa!CA_FP_oil_nom)&lt;=_xlfn.SINGLE(HM_ZA_Nkossa!cost_stop_p1)),HM_ZA_Nkossa!cost_stop_perbbl1,
IF(AND(_xlfn.SINGLE(HM_ZA_Nkossa!CA_FP_oil_nom)&gt;HM_ZA_Nkossa!cost_stop_p1,_xlfn.SINGLE(HM_ZA_Nkossa!CA_FP_oil_nom)&lt;=HM_ZA_Nkossa!cost_stop_p2),HM_ZA_Nkossa!cost_stop_perbbl2,
HM_ZA_Nkossa!cost_stop_perc))*(_xlfn.SINGLE(CA_PSC_switch_trig)=0)+
((cost_stop_perc_Nkossa2017))*(_xlfn.SINGLE(CA_PSC_switch_trig)=1)</f>
        <v>0.55000000000000004</v>
      </c>
      <c r="T233" s="49">
        <f ca="1">IF(AND(_xlfn.SINGLE(HM_ZA_Nkossa!CA_FP_oil_nom)&gt;0,_xlfn.SINGLE(HM_ZA_Nkossa!CA_FP_oil_nom)&lt;=_xlfn.SINGLE(HM_ZA_Nkossa!cost_stop_p1)),HM_ZA_Nkossa!cost_stop_perbbl1,
IF(AND(_xlfn.SINGLE(HM_ZA_Nkossa!CA_FP_oil_nom)&gt;HM_ZA_Nkossa!cost_stop_p1,_xlfn.SINGLE(HM_ZA_Nkossa!CA_FP_oil_nom)&lt;=HM_ZA_Nkossa!cost_stop_p2),HM_ZA_Nkossa!cost_stop_perbbl2,
HM_ZA_Nkossa!cost_stop_perc))*(_xlfn.SINGLE(CA_PSC_switch_trig)=0)+
((cost_stop_perc_Nkossa2017))*(_xlfn.SINGLE(CA_PSC_switch_trig)=1)</f>
        <v>0.55000000000000004</v>
      </c>
      <c r="U233" s="49">
        <f ca="1">IF(AND(_xlfn.SINGLE(HM_ZA_Nkossa!CA_FP_oil_nom)&gt;0,_xlfn.SINGLE(HM_ZA_Nkossa!CA_FP_oil_nom)&lt;=_xlfn.SINGLE(HM_ZA_Nkossa!cost_stop_p1)),HM_ZA_Nkossa!cost_stop_perbbl1,
IF(AND(_xlfn.SINGLE(HM_ZA_Nkossa!CA_FP_oil_nom)&gt;HM_ZA_Nkossa!cost_stop_p1,_xlfn.SINGLE(HM_ZA_Nkossa!CA_FP_oil_nom)&lt;=HM_ZA_Nkossa!cost_stop_p2),HM_ZA_Nkossa!cost_stop_perbbl2,
HM_ZA_Nkossa!cost_stop_perc))*(_xlfn.SINGLE(CA_PSC_switch_trig)=0)+
((cost_stop_perc_Nkossa2017))*(_xlfn.SINGLE(CA_PSC_switch_trig)=1)</f>
        <v>0.55000000000000004</v>
      </c>
      <c r="V233" s="49">
        <f ca="1">IF(AND(_xlfn.SINGLE(HM_ZA_Nkossa!CA_FP_oil_nom)&gt;0,_xlfn.SINGLE(HM_ZA_Nkossa!CA_FP_oil_nom)&lt;=_xlfn.SINGLE(HM_ZA_Nkossa!cost_stop_p1)),HM_ZA_Nkossa!cost_stop_perbbl1,
IF(AND(_xlfn.SINGLE(HM_ZA_Nkossa!CA_FP_oil_nom)&gt;HM_ZA_Nkossa!cost_stop_p1,_xlfn.SINGLE(HM_ZA_Nkossa!CA_FP_oil_nom)&lt;=HM_ZA_Nkossa!cost_stop_p2),HM_ZA_Nkossa!cost_stop_perbbl2,
HM_ZA_Nkossa!cost_stop_perc))*(_xlfn.SINGLE(CA_PSC_switch_trig)=0)+
((cost_stop_perc_Nkossa2017))*(_xlfn.SINGLE(CA_PSC_switch_trig)=1)</f>
        <v>0.55000000000000004</v>
      </c>
      <c r="W233" s="49">
        <f ca="1">IF(AND(_xlfn.SINGLE(HM_ZA_Nkossa!CA_FP_oil_nom)&gt;0,_xlfn.SINGLE(HM_ZA_Nkossa!CA_FP_oil_nom)&lt;=_xlfn.SINGLE(HM_ZA_Nkossa!cost_stop_p1)),HM_ZA_Nkossa!cost_stop_perbbl1,
IF(AND(_xlfn.SINGLE(HM_ZA_Nkossa!CA_FP_oil_nom)&gt;HM_ZA_Nkossa!cost_stop_p1,_xlfn.SINGLE(HM_ZA_Nkossa!CA_FP_oil_nom)&lt;=HM_ZA_Nkossa!cost_stop_p2),HM_ZA_Nkossa!cost_stop_perbbl2,
HM_ZA_Nkossa!cost_stop_perc))*(_xlfn.SINGLE(CA_PSC_switch_trig)=0)+
((cost_stop_perc_Nkossa2017))*(_xlfn.SINGLE(CA_PSC_switch_trig)=1)</f>
        <v>0.55000000000000004</v>
      </c>
      <c r="X233" s="49">
        <f ca="1">IF(AND(_xlfn.SINGLE(HM_ZA_Nkossa!CA_FP_oil_nom)&gt;0,_xlfn.SINGLE(HM_ZA_Nkossa!CA_FP_oil_nom)&lt;=_xlfn.SINGLE(HM_ZA_Nkossa!cost_stop_p1)),HM_ZA_Nkossa!cost_stop_perbbl1,
IF(AND(_xlfn.SINGLE(HM_ZA_Nkossa!CA_FP_oil_nom)&gt;HM_ZA_Nkossa!cost_stop_p1,_xlfn.SINGLE(HM_ZA_Nkossa!CA_FP_oil_nom)&lt;=HM_ZA_Nkossa!cost_stop_p2),HM_ZA_Nkossa!cost_stop_perbbl2,
HM_ZA_Nkossa!cost_stop_perc))*(_xlfn.SINGLE(CA_PSC_switch_trig)=0)+
((cost_stop_perc_Nkossa2017))*(_xlfn.SINGLE(CA_PSC_switch_trig)=1)</f>
        <v>0.55000000000000004</v>
      </c>
      <c r="Y233" s="49">
        <f ca="1">IF(AND(_xlfn.SINGLE(HM_ZA_Nkossa!CA_FP_oil_nom)&gt;0,_xlfn.SINGLE(HM_ZA_Nkossa!CA_FP_oil_nom)&lt;=_xlfn.SINGLE(HM_ZA_Nkossa!cost_stop_p1)),HM_ZA_Nkossa!cost_stop_perbbl1,
IF(AND(_xlfn.SINGLE(HM_ZA_Nkossa!CA_FP_oil_nom)&gt;HM_ZA_Nkossa!cost_stop_p1,_xlfn.SINGLE(HM_ZA_Nkossa!CA_FP_oil_nom)&lt;=HM_ZA_Nkossa!cost_stop_p2),HM_ZA_Nkossa!cost_stop_perbbl2,
HM_ZA_Nkossa!cost_stop_perc))*(_xlfn.SINGLE(CA_PSC_switch_trig)=0)+
((cost_stop_perc_Nkossa2017))*(_xlfn.SINGLE(CA_PSC_switch_trig)=1)</f>
        <v>0.55000000000000004</v>
      </c>
      <c r="Z233" s="49">
        <f ca="1">IF(AND(_xlfn.SINGLE(HM_ZA_Nkossa!CA_FP_oil_nom)&gt;0,_xlfn.SINGLE(HM_ZA_Nkossa!CA_FP_oil_nom)&lt;=_xlfn.SINGLE(HM_ZA_Nkossa!cost_stop_p1)),HM_ZA_Nkossa!cost_stop_perbbl1,
IF(AND(_xlfn.SINGLE(HM_ZA_Nkossa!CA_FP_oil_nom)&gt;HM_ZA_Nkossa!cost_stop_p1,_xlfn.SINGLE(HM_ZA_Nkossa!CA_FP_oil_nom)&lt;=HM_ZA_Nkossa!cost_stop_p2),HM_ZA_Nkossa!cost_stop_perbbl2,
HM_ZA_Nkossa!cost_stop_perc))*(_xlfn.SINGLE(CA_PSC_switch_trig)=0)+
((cost_stop_perc_Nkossa2017))*(_xlfn.SINGLE(CA_PSC_switch_trig)=1)</f>
        <v>0.55000000000000004</v>
      </c>
      <c r="AA233" s="49">
        <f ca="1">IF(AND(_xlfn.SINGLE(HM_ZA_Nkossa!CA_FP_oil_nom)&gt;0,_xlfn.SINGLE(HM_ZA_Nkossa!CA_FP_oil_nom)&lt;=_xlfn.SINGLE(HM_ZA_Nkossa!cost_stop_p1)),HM_ZA_Nkossa!cost_stop_perbbl1,
IF(AND(_xlfn.SINGLE(HM_ZA_Nkossa!CA_FP_oil_nom)&gt;HM_ZA_Nkossa!cost_stop_p1,_xlfn.SINGLE(HM_ZA_Nkossa!CA_FP_oil_nom)&lt;=HM_ZA_Nkossa!cost_stop_p2),HM_ZA_Nkossa!cost_stop_perbbl2,
HM_ZA_Nkossa!cost_stop_perc))*(_xlfn.SINGLE(CA_PSC_switch_trig)=0)+
((cost_stop_perc_Nkossa2017))*(_xlfn.SINGLE(CA_PSC_switch_trig)=1)</f>
        <v>0.55000000000000004</v>
      </c>
      <c r="AB233" s="49">
        <f ca="1">IF(AND(_xlfn.SINGLE(HM_ZA_Nkossa!CA_FP_oil_nom)&gt;0,_xlfn.SINGLE(HM_ZA_Nkossa!CA_FP_oil_nom)&lt;=_xlfn.SINGLE(HM_ZA_Nkossa!cost_stop_p1)),HM_ZA_Nkossa!cost_stop_perbbl1,
IF(AND(_xlfn.SINGLE(HM_ZA_Nkossa!CA_FP_oil_nom)&gt;HM_ZA_Nkossa!cost_stop_p1,_xlfn.SINGLE(HM_ZA_Nkossa!CA_FP_oil_nom)&lt;=HM_ZA_Nkossa!cost_stop_p2),HM_ZA_Nkossa!cost_stop_perbbl2,
HM_ZA_Nkossa!cost_stop_perc))*(_xlfn.SINGLE(CA_PSC_switch_trig)=0)+
((cost_stop_perc_Nkossa2017))*(_xlfn.SINGLE(CA_PSC_switch_trig)=1)</f>
        <v>0.55000000000000004</v>
      </c>
      <c r="AC233" s="49">
        <f ca="1">IF(AND(_xlfn.SINGLE(HM_ZA_Nkossa!CA_FP_oil_nom)&gt;0,_xlfn.SINGLE(HM_ZA_Nkossa!CA_FP_oil_nom)&lt;=_xlfn.SINGLE(HM_ZA_Nkossa!cost_stop_p1)),HM_ZA_Nkossa!cost_stop_perbbl1,
IF(AND(_xlfn.SINGLE(HM_ZA_Nkossa!CA_FP_oil_nom)&gt;HM_ZA_Nkossa!cost_stop_p1,_xlfn.SINGLE(HM_ZA_Nkossa!CA_FP_oil_nom)&lt;=HM_ZA_Nkossa!cost_stop_p2),HM_ZA_Nkossa!cost_stop_perbbl2,
HM_ZA_Nkossa!cost_stop_perc))*(_xlfn.SINGLE(CA_PSC_switch_trig)=0)+
((cost_stop_perc_Nkossa2017))*(_xlfn.SINGLE(CA_PSC_switch_trig)=1)</f>
        <v>0.55000000000000004</v>
      </c>
      <c r="AD233" s="49">
        <f ca="1">IF(AND(_xlfn.SINGLE(HM_ZA_Nkossa!CA_FP_oil_nom)&gt;0,_xlfn.SINGLE(HM_ZA_Nkossa!CA_FP_oil_nom)&lt;=_xlfn.SINGLE(HM_ZA_Nkossa!cost_stop_p1)),HM_ZA_Nkossa!cost_stop_perbbl1,
IF(AND(_xlfn.SINGLE(HM_ZA_Nkossa!CA_FP_oil_nom)&gt;HM_ZA_Nkossa!cost_stop_p1,_xlfn.SINGLE(HM_ZA_Nkossa!CA_FP_oil_nom)&lt;=HM_ZA_Nkossa!cost_stop_p2),HM_ZA_Nkossa!cost_stop_perbbl2,
HM_ZA_Nkossa!cost_stop_perc))*(_xlfn.SINGLE(CA_PSC_switch_trig)=0)+
((cost_stop_perc_Nkossa2017))*(_xlfn.SINGLE(CA_PSC_switch_trig)=1)</f>
        <v>0.55000000000000004</v>
      </c>
      <c r="AE233" s="49">
        <f ca="1">IF(AND(_xlfn.SINGLE(HM_ZA_Nkossa!CA_FP_oil_nom)&gt;0,_xlfn.SINGLE(HM_ZA_Nkossa!CA_FP_oil_nom)&lt;=_xlfn.SINGLE(HM_ZA_Nkossa!cost_stop_p1)),HM_ZA_Nkossa!cost_stop_perbbl1,
IF(AND(_xlfn.SINGLE(HM_ZA_Nkossa!CA_FP_oil_nom)&gt;HM_ZA_Nkossa!cost_stop_p1,_xlfn.SINGLE(HM_ZA_Nkossa!CA_FP_oil_nom)&lt;=HM_ZA_Nkossa!cost_stop_p2),HM_ZA_Nkossa!cost_stop_perbbl2,
HM_ZA_Nkossa!cost_stop_perc))*(_xlfn.SINGLE(CA_PSC_switch_trig)=0)+
((cost_stop_perc_Nkossa2017))*(_xlfn.SINGLE(CA_PSC_switch_trig)=1)</f>
        <v>0.55000000000000004</v>
      </c>
      <c r="AF233" s="49">
        <f ca="1">IF(AND(_xlfn.SINGLE(HM_ZA_Nkossa!CA_FP_oil_nom)&gt;0,_xlfn.SINGLE(HM_ZA_Nkossa!CA_FP_oil_nom)&lt;=_xlfn.SINGLE(HM_ZA_Nkossa!cost_stop_p1)),HM_ZA_Nkossa!cost_stop_perbbl1,
IF(AND(_xlfn.SINGLE(HM_ZA_Nkossa!CA_FP_oil_nom)&gt;HM_ZA_Nkossa!cost_stop_p1,_xlfn.SINGLE(HM_ZA_Nkossa!CA_FP_oil_nom)&lt;=HM_ZA_Nkossa!cost_stop_p2),HM_ZA_Nkossa!cost_stop_perbbl2,
HM_ZA_Nkossa!cost_stop_perc))*(_xlfn.SINGLE(CA_PSC_switch_trig)=0)+
((cost_stop_perc_Nkossa2017))*(_xlfn.SINGLE(CA_PSC_switch_trig)=1)</f>
        <v>0.55000000000000004</v>
      </c>
      <c r="AG233" s="49">
        <f ca="1">IF(AND(_xlfn.SINGLE(HM_ZA_Nkossa!CA_FP_oil_nom)&gt;0,_xlfn.SINGLE(HM_ZA_Nkossa!CA_FP_oil_nom)&lt;=_xlfn.SINGLE(HM_ZA_Nkossa!cost_stop_p1)),HM_ZA_Nkossa!cost_stop_perbbl1,
IF(AND(_xlfn.SINGLE(HM_ZA_Nkossa!CA_FP_oil_nom)&gt;HM_ZA_Nkossa!cost_stop_p1,_xlfn.SINGLE(HM_ZA_Nkossa!CA_FP_oil_nom)&lt;=HM_ZA_Nkossa!cost_stop_p2),HM_ZA_Nkossa!cost_stop_perbbl2,
HM_ZA_Nkossa!cost_stop_perc))*(_xlfn.SINGLE(CA_PSC_switch_trig)=0)+
((cost_stop_perc_Nkossa2017))*(_xlfn.SINGLE(CA_PSC_switch_trig)=1)</f>
        <v>0.55000000000000004</v>
      </c>
      <c r="AH233" s="49">
        <f ca="1">IF(AND(_xlfn.SINGLE(HM_ZA_Nkossa!CA_FP_oil_nom)&gt;0,_xlfn.SINGLE(HM_ZA_Nkossa!CA_FP_oil_nom)&lt;=_xlfn.SINGLE(HM_ZA_Nkossa!cost_stop_p1)),HM_ZA_Nkossa!cost_stop_perbbl1,
IF(AND(_xlfn.SINGLE(HM_ZA_Nkossa!CA_FP_oil_nom)&gt;HM_ZA_Nkossa!cost_stop_p1,_xlfn.SINGLE(HM_ZA_Nkossa!CA_FP_oil_nom)&lt;=HM_ZA_Nkossa!cost_stop_p2),HM_ZA_Nkossa!cost_stop_perbbl2,
HM_ZA_Nkossa!cost_stop_perc))*(_xlfn.SINGLE(CA_PSC_switch_trig)=0)+
((cost_stop_perc_Nkossa2017))*(_xlfn.SINGLE(CA_PSC_switch_trig)=1)</f>
        <v>0.55000000000000004</v>
      </c>
      <c r="AI233" s="49">
        <f ca="1">IF(AND(_xlfn.SINGLE(HM_ZA_Nkossa!CA_FP_oil_nom)&gt;0,_xlfn.SINGLE(HM_ZA_Nkossa!CA_FP_oil_nom)&lt;=_xlfn.SINGLE(HM_ZA_Nkossa!cost_stop_p1)),HM_ZA_Nkossa!cost_stop_perbbl1,
IF(AND(_xlfn.SINGLE(HM_ZA_Nkossa!CA_FP_oil_nom)&gt;HM_ZA_Nkossa!cost_stop_p1,_xlfn.SINGLE(HM_ZA_Nkossa!CA_FP_oil_nom)&lt;=HM_ZA_Nkossa!cost_stop_p2),HM_ZA_Nkossa!cost_stop_perbbl2,
HM_ZA_Nkossa!cost_stop_perc))*(_xlfn.SINGLE(CA_PSC_switch_trig)=0)+
((cost_stop_perc_Nkossa2017))*(_xlfn.SINGLE(CA_PSC_switch_trig)=1)</f>
        <v>0.55000000000000004</v>
      </c>
      <c r="AJ233" s="49">
        <f ca="1">IF(AND(_xlfn.SINGLE(HM_ZA_Nkossa!CA_FP_oil_nom)&gt;0,_xlfn.SINGLE(HM_ZA_Nkossa!CA_FP_oil_nom)&lt;=_xlfn.SINGLE(HM_ZA_Nkossa!cost_stop_p1)),HM_ZA_Nkossa!cost_stop_perbbl1,
IF(AND(_xlfn.SINGLE(HM_ZA_Nkossa!CA_FP_oil_nom)&gt;HM_ZA_Nkossa!cost_stop_p1,_xlfn.SINGLE(HM_ZA_Nkossa!CA_FP_oil_nom)&lt;=HM_ZA_Nkossa!cost_stop_p2),HM_ZA_Nkossa!cost_stop_perbbl2,
HM_ZA_Nkossa!cost_stop_perc))*(_xlfn.SINGLE(CA_PSC_switch_trig)=0)+
((cost_stop_perc_Nkossa2017))*(_xlfn.SINGLE(CA_PSC_switch_trig)=1)</f>
        <v>0.55000000000000004</v>
      </c>
      <c r="AK233" s="49">
        <f ca="1">IF(AND(_xlfn.SINGLE(HM_ZA_Nkossa!CA_FP_oil_nom)&gt;0,_xlfn.SINGLE(HM_ZA_Nkossa!CA_FP_oil_nom)&lt;=_xlfn.SINGLE(HM_ZA_Nkossa!cost_stop_p1)),HM_ZA_Nkossa!cost_stop_perbbl1,
IF(AND(_xlfn.SINGLE(HM_ZA_Nkossa!CA_FP_oil_nom)&gt;HM_ZA_Nkossa!cost_stop_p1,_xlfn.SINGLE(HM_ZA_Nkossa!CA_FP_oil_nom)&lt;=HM_ZA_Nkossa!cost_stop_p2),HM_ZA_Nkossa!cost_stop_perbbl2,
HM_ZA_Nkossa!cost_stop_perc))*(_xlfn.SINGLE(CA_PSC_switch_trig)=0)+
((cost_stop_perc_Nkossa2017))*(_xlfn.SINGLE(CA_PSC_switch_trig)=1)</f>
        <v>0.55000000000000004</v>
      </c>
      <c r="AL233" s="49">
        <f ca="1">IF(AND(_xlfn.SINGLE(HM_ZA_Nkossa!CA_FP_oil_nom)&gt;0,_xlfn.SINGLE(HM_ZA_Nkossa!CA_FP_oil_nom)&lt;=_xlfn.SINGLE(HM_ZA_Nkossa!cost_stop_p1)),HM_ZA_Nkossa!cost_stop_perbbl1,
IF(AND(_xlfn.SINGLE(HM_ZA_Nkossa!CA_FP_oil_nom)&gt;HM_ZA_Nkossa!cost_stop_p1,_xlfn.SINGLE(HM_ZA_Nkossa!CA_FP_oil_nom)&lt;=HM_ZA_Nkossa!cost_stop_p2),HM_ZA_Nkossa!cost_stop_perbbl2,
HM_ZA_Nkossa!cost_stop_perc))*(_xlfn.SINGLE(CA_PSC_switch_trig)=0)+
((cost_stop_perc_Nkossa2017))*(_xlfn.SINGLE(CA_PSC_switch_trig)=1)</f>
        <v>0.55000000000000004</v>
      </c>
      <c r="AM233" s="49">
        <f ca="1">IF(AND(_xlfn.SINGLE(HM_ZA_Nkossa!CA_FP_oil_nom)&gt;0,_xlfn.SINGLE(HM_ZA_Nkossa!CA_FP_oil_nom)&lt;=_xlfn.SINGLE(HM_ZA_Nkossa!cost_stop_p1)),HM_ZA_Nkossa!cost_stop_perbbl1,
IF(AND(_xlfn.SINGLE(HM_ZA_Nkossa!CA_FP_oil_nom)&gt;HM_ZA_Nkossa!cost_stop_p1,_xlfn.SINGLE(HM_ZA_Nkossa!CA_FP_oil_nom)&lt;=HM_ZA_Nkossa!cost_stop_p2),HM_ZA_Nkossa!cost_stop_perbbl2,
HM_ZA_Nkossa!cost_stop_perc))*(_xlfn.SINGLE(CA_PSC_switch_trig)=0)+
((cost_stop_perc_Nkossa2017))*(_xlfn.SINGLE(CA_PSC_switch_trig)=1)</f>
        <v>0.55000000000000004</v>
      </c>
      <c r="AN233" s="49">
        <f ca="1">IF(AND(_xlfn.SINGLE(HM_ZA_Nkossa!CA_FP_oil_nom)&gt;0,_xlfn.SINGLE(HM_ZA_Nkossa!CA_FP_oil_nom)&lt;=_xlfn.SINGLE(HM_ZA_Nkossa!cost_stop_p1)),HM_ZA_Nkossa!cost_stop_perbbl1,
IF(AND(_xlfn.SINGLE(HM_ZA_Nkossa!CA_FP_oil_nom)&gt;HM_ZA_Nkossa!cost_stop_p1,_xlfn.SINGLE(HM_ZA_Nkossa!CA_FP_oil_nom)&lt;=HM_ZA_Nkossa!cost_stop_p2),HM_ZA_Nkossa!cost_stop_perbbl2,
HM_ZA_Nkossa!cost_stop_perc))*(_xlfn.SINGLE(CA_PSC_switch_trig)=0)+
((cost_stop_perc_Nkossa2017))*(_xlfn.SINGLE(CA_PSC_switch_trig)=1)</f>
        <v>0.55000000000000004</v>
      </c>
      <c r="AO233" s="49">
        <f ca="1">IF(AND(_xlfn.SINGLE(HM_ZA_Nkossa!CA_FP_oil_nom)&gt;0,_xlfn.SINGLE(HM_ZA_Nkossa!CA_FP_oil_nom)&lt;=_xlfn.SINGLE(HM_ZA_Nkossa!cost_stop_p1)),HM_ZA_Nkossa!cost_stop_perbbl1,
IF(AND(_xlfn.SINGLE(HM_ZA_Nkossa!CA_FP_oil_nom)&gt;HM_ZA_Nkossa!cost_stop_p1,_xlfn.SINGLE(HM_ZA_Nkossa!CA_FP_oil_nom)&lt;=HM_ZA_Nkossa!cost_stop_p2),HM_ZA_Nkossa!cost_stop_perbbl2,
HM_ZA_Nkossa!cost_stop_perc))*(_xlfn.SINGLE(CA_PSC_switch_trig)=0)+
((cost_stop_perc_Nkossa2017))*(_xlfn.SINGLE(CA_PSC_switch_trig)=1)</f>
        <v>0.55000000000000004</v>
      </c>
      <c r="AP233" s="49">
        <f ca="1">IF(AND(_xlfn.SINGLE(HM_ZA_Nkossa!CA_FP_oil_nom)&gt;0,_xlfn.SINGLE(HM_ZA_Nkossa!CA_FP_oil_nom)&lt;=_xlfn.SINGLE(HM_ZA_Nkossa!cost_stop_p1)),HM_ZA_Nkossa!cost_stop_perbbl1,
IF(AND(_xlfn.SINGLE(HM_ZA_Nkossa!CA_FP_oil_nom)&gt;HM_ZA_Nkossa!cost_stop_p1,_xlfn.SINGLE(HM_ZA_Nkossa!CA_FP_oil_nom)&lt;=HM_ZA_Nkossa!cost_stop_p2),HM_ZA_Nkossa!cost_stop_perbbl2,
HM_ZA_Nkossa!cost_stop_perc))*(_xlfn.SINGLE(CA_PSC_switch_trig)=0)+
((cost_stop_perc_Nkossa2017))*(_xlfn.SINGLE(CA_PSC_switch_trig)=1)</f>
        <v>0.55000000000000004</v>
      </c>
      <c r="AQ233" s="49">
        <f ca="1">IF(AND(_xlfn.SINGLE(HM_ZA_Nkossa!CA_FP_oil_nom)&gt;0,_xlfn.SINGLE(HM_ZA_Nkossa!CA_FP_oil_nom)&lt;=_xlfn.SINGLE(HM_ZA_Nkossa!cost_stop_p1)),HM_ZA_Nkossa!cost_stop_perbbl1,
IF(AND(_xlfn.SINGLE(HM_ZA_Nkossa!CA_FP_oil_nom)&gt;HM_ZA_Nkossa!cost_stop_p1,_xlfn.SINGLE(HM_ZA_Nkossa!CA_FP_oil_nom)&lt;=HM_ZA_Nkossa!cost_stop_p2),HM_ZA_Nkossa!cost_stop_perbbl2,
HM_ZA_Nkossa!cost_stop_perc))*(_xlfn.SINGLE(CA_PSC_switch_trig)=0)+
((cost_stop_perc_Nkossa2017))*(_xlfn.SINGLE(CA_PSC_switch_trig)=1)</f>
        <v>0.55000000000000004</v>
      </c>
      <c r="AR233" s="49">
        <f ca="1">IF(AND(_xlfn.SINGLE(HM_ZA_Nkossa!CA_FP_oil_nom)&gt;0,_xlfn.SINGLE(HM_ZA_Nkossa!CA_FP_oil_nom)&lt;=_xlfn.SINGLE(HM_ZA_Nkossa!cost_stop_p1)),HM_ZA_Nkossa!cost_stop_perbbl1,
IF(AND(_xlfn.SINGLE(HM_ZA_Nkossa!CA_FP_oil_nom)&gt;HM_ZA_Nkossa!cost_stop_p1,_xlfn.SINGLE(HM_ZA_Nkossa!CA_FP_oil_nom)&lt;=HM_ZA_Nkossa!cost_stop_p2),HM_ZA_Nkossa!cost_stop_perbbl2,
HM_ZA_Nkossa!cost_stop_perc))*(_xlfn.SINGLE(CA_PSC_switch_trig)=0)+
((cost_stop_perc_Nkossa2017))*(_xlfn.SINGLE(CA_PSC_switch_trig)=1)</f>
        <v>0.55000000000000004</v>
      </c>
      <c r="AS233" s="49">
        <f ca="1">IF(AND(_xlfn.SINGLE(HM_ZA_Nkossa!CA_FP_oil_nom)&gt;0,_xlfn.SINGLE(HM_ZA_Nkossa!CA_FP_oil_nom)&lt;=_xlfn.SINGLE(HM_ZA_Nkossa!cost_stop_p1)),HM_ZA_Nkossa!cost_stop_perbbl1,
IF(AND(_xlfn.SINGLE(HM_ZA_Nkossa!CA_FP_oil_nom)&gt;HM_ZA_Nkossa!cost_stop_p1,_xlfn.SINGLE(HM_ZA_Nkossa!CA_FP_oil_nom)&lt;=HM_ZA_Nkossa!cost_stop_p2),HM_ZA_Nkossa!cost_stop_perbbl2,
HM_ZA_Nkossa!cost_stop_perc))*(_xlfn.SINGLE(CA_PSC_switch_trig)=0)+
((cost_stop_perc_Nkossa2017))*(_xlfn.SINGLE(CA_PSC_switch_trig)=1)</f>
        <v>0.55000000000000004</v>
      </c>
      <c r="AT233" s="49">
        <f ca="1">IF(AND(_xlfn.SINGLE(HM_ZA_Nkossa!CA_FP_oil_nom)&gt;0,_xlfn.SINGLE(HM_ZA_Nkossa!CA_FP_oil_nom)&lt;=_xlfn.SINGLE(HM_ZA_Nkossa!cost_stop_p1)),HM_ZA_Nkossa!cost_stop_perbbl1,
IF(AND(_xlfn.SINGLE(HM_ZA_Nkossa!CA_FP_oil_nom)&gt;HM_ZA_Nkossa!cost_stop_p1,_xlfn.SINGLE(HM_ZA_Nkossa!CA_FP_oil_nom)&lt;=HM_ZA_Nkossa!cost_stop_p2),HM_ZA_Nkossa!cost_stop_perbbl2,
HM_ZA_Nkossa!cost_stop_perc))*(_xlfn.SINGLE(CA_PSC_switch_trig)=0)+
((cost_stop_perc_Nkossa2017))*(_xlfn.SINGLE(CA_PSC_switch_trig)=1)</f>
        <v>0.55000000000000004</v>
      </c>
      <c r="AU233" s="49">
        <f ca="1">IF(AND(_xlfn.SINGLE(HM_ZA_Nkossa!CA_FP_oil_nom)&gt;0,_xlfn.SINGLE(HM_ZA_Nkossa!CA_FP_oil_nom)&lt;=_xlfn.SINGLE(HM_ZA_Nkossa!cost_stop_p1)),HM_ZA_Nkossa!cost_stop_perbbl1,
IF(AND(_xlfn.SINGLE(HM_ZA_Nkossa!CA_FP_oil_nom)&gt;HM_ZA_Nkossa!cost_stop_p1,_xlfn.SINGLE(HM_ZA_Nkossa!CA_FP_oil_nom)&lt;=HM_ZA_Nkossa!cost_stop_p2),HM_ZA_Nkossa!cost_stop_perbbl2,
HM_ZA_Nkossa!cost_stop_perc))*(_xlfn.SINGLE(CA_PSC_switch_trig)=0)+
((cost_stop_perc_Nkossa2017))*(_xlfn.SINGLE(CA_PSC_switch_trig)=1)</f>
        <v>0.55000000000000004</v>
      </c>
      <c r="AV233" s="49">
        <f ca="1">IF(AND(_xlfn.SINGLE(HM_ZA_Nkossa!CA_FP_oil_nom)&gt;0,_xlfn.SINGLE(HM_ZA_Nkossa!CA_FP_oil_nom)&lt;=_xlfn.SINGLE(HM_ZA_Nkossa!cost_stop_p1)),HM_ZA_Nkossa!cost_stop_perbbl1,
IF(AND(_xlfn.SINGLE(HM_ZA_Nkossa!CA_FP_oil_nom)&gt;HM_ZA_Nkossa!cost_stop_p1,_xlfn.SINGLE(HM_ZA_Nkossa!CA_FP_oil_nom)&lt;=HM_ZA_Nkossa!cost_stop_p2),HM_ZA_Nkossa!cost_stop_perbbl2,
HM_ZA_Nkossa!cost_stop_perc))*(_xlfn.SINGLE(CA_PSC_switch_trig)=0)+
((cost_stop_perc_Nkossa2017))*(_xlfn.SINGLE(CA_PSC_switch_trig)=1)</f>
        <v>0.55000000000000004</v>
      </c>
      <c r="AW233" s="49">
        <f ca="1">IF(AND(_xlfn.SINGLE(HM_ZA_Nkossa!CA_FP_oil_nom)&gt;0,_xlfn.SINGLE(HM_ZA_Nkossa!CA_FP_oil_nom)&lt;=_xlfn.SINGLE(HM_ZA_Nkossa!cost_stop_p1)),HM_ZA_Nkossa!cost_stop_perbbl1,
IF(AND(_xlfn.SINGLE(HM_ZA_Nkossa!CA_FP_oil_nom)&gt;HM_ZA_Nkossa!cost_stop_p1,_xlfn.SINGLE(HM_ZA_Nkossa!CA_FP_oil_nom)&lt;=HM_ZA_Nkossa!cost_stop_p2),HM_ZA_Nkossa!cost_stop_perbbl2,
HM_ZA_Nkossa!cost_stop_perc))*(_xlfn.SINGLE(CA_PSC_switch_trig)=0)+
((cost_stop_perc_Nkossa2017))*(_xlfn.SINGLE(CA_PSC_switch_trig)=1)</f>
        <v>0.55000000000000004</v>
      </c>
      <c r="AX233" s="49">
        <f ca="1">IF(AND(_xlfn.SINGLE(HM_ZA_Nkossa!CA_FP_oil_nom)&gt;0,_xlfn.SINGLE(HM_ZA_Nkossa!CA_FP_oil_nom)&lt;=_xlfn.SINGLE(HM_ZA_Nkossa!cost_stop_p1)),HM_ZA_Nkossa!cost_stop_perbbl1,
IF(AND(_xlfn.SINGLE(HM_ZA_Nkossa!CA_FP_oil_nom)&gt;HM_ZA_Nkossa!cost_stop_p1,_xlfn.SINGLE(HM_ZA_Nkossa!CA_FP_oil_nom)&lt;=HM_ZA_Nkossa!cost_stop_p2),HM_ZA_Nkossa!cost_stop_perbbl2,
HM_ZA_Nkossa!cost_stop_perc))*(_xlfn.SINGLE(CA_PSC_switch_trig)=0)+
((cost_stop_perc_Nkossa2017))*(_xlfn.SINGLE(CA_PSC_switch_trig)=1)</f>
        <v>0.55000000000000004</v>
      </c>
      <c r="AY233" s="49">
        <f ca="1">IF(AND(_xlfn.SINGLE(HM_ZA_Nkossa!CA_FP_oil_nom)&gt;0,_xlfn.SINGLE(HM_ZA_Nkossa!CA_FP_oil_nom)&lt;=_xlfn.SINGLE(HM_ZA_Nkossa!cost_stop_p1)),HM_ZA_Nkossa!cost_stop_perbbl1,
IF(AND(_xlfn.SINGLE(HM_ZA_Nkossa!CA_FP_oil_nom)&gt;HM_ZA_Nkossa!cost_stop_p1,_xlfn.SINGLE(HM_ZA_Nkossa!CA_FP_oil_nom)&lt;=HM_ZA_Nkossa!cost_stop_p2),HM_ZA_Nkossa!cost_stop_perbbl2,
HM_ZA_Nkossa!cost_stop_perc))*(_xlfn.SINGLE(CA_PSC_switch_trig)=0)+
((cost_stop_perc_Nkossa2017))*(_xlfn.SINGLE(CA_PSC_switch_trig)=1)</f>
        <v>0.55000000000000004</v>
      </c>
      <c r="AZ233" s="49">
        <f ca="1">IF(AND(_xlfn.SINGLE(HM_ZA_Nkossa!CA_FP_oil_nom)&gt;0,_xlfn.SINGLE(HM_ZA_Nkossa!CA_FP_oil_nom)&lt;=_xlfn.SINGLE(HM_ZA_Nkossa!cost_stop_p1)),HM_ZA_Nkossa!cost_stop_perbbl1,
IF(AND(_xlfn.SINGLE(HM_ZA_Nkossa!CA_FP_oil_nom)&gt;HM_ZA_Nkossa!cost_stop_p1,_xlfn.SINGLE(HM_ZA_Nkossa!CA_FP_oil_nom)&lt;=HM_ZA_Nkossa!cost_stop_p2),HM_ZA_Nkossa!cost_stop_perbbl2,
HM_ZA_Nkossa!cost_stop_perc))*(_xlfn.SINGLE(CA_PSC_switch_trig)=0)+
((cost_stop_perc_Nkossa2017))*(_xlfn.SINGLE(CA_PSC_switch_trig)=1)</f>
        <v>0.55000000000000004</v>
      </c>
      <c r="BA233" s="49">
        <f ca="1">IF(AND(_xlfn.SINGLE(HM_ZA_Nkossa!CA_FP_oil_nom)&gt;0,_xlfn.SINGLE(HM_ZA_Nkossa!CA_FP_oil_nom)&lt;=_xlfn.SINGLE(HM_ZA_Nkossa!cost_stop_p1)),HM_ZA_Nkossa!cost_stop_perbbl1,
IF(AND(_xlfn.SINGLE(HM_ZA_Nkossa!CA_FP_oil_nom)&gt;HM_ZA_Nkossa!cost_stop_p1,_xlfn.SINGLE(HM_ZA_Nkossa!CA_FP_oil_nom)&lt;=HM_ZA_Nkossa!cost_stop_p2),HM_ZA_Nkossa!cost_stop_perbbl2,
HM_ZA_Nkossa!cost_stop_perc))*(_xlfn.SINGLE(CA_PSC_switch_trig)=0)+
((cost_stop_perc_Nkossa2017))*(_xlfn.SINGLE(CA_PSC_switch_trig)=1)</f>
        <v>0.55000000000000004</v>
      </c>
      <c r="BB233" s="49">
        <f ca="1">IF(AND(_xlfn.SINGLE(HM_ZA_Nkossa!CA_FP_oil_nom)&gt;0,_xlfn.SINGLE(HM_ZA_Nkossa!CA_FP_oil_nom)&lt;=_xlfn.SINGLE(HM_ZA_Nkossa!cost_stop_p1)),HM_ZA_Nkossa!cost_stop_perbbl1,
IF(AND(_xlfn.SINGLE(HM_ZA_Nkossa!CA_FP_oil_nom)&gt;HM_ZA_Nkossa!cost_stop_p1,_xlfn.SINGLE(HM_ZA_Nkossa!CA_FP_oil_nom)&lt;=HM_ZA_Nkossa!cost_stop_p2),HM_ZA_Nkossa!cost_stop_perbbl2,
HM_ZA_Nkossa!cost_stop_perc))*(_xlfn.SINGLE(CA_PSC_switch_trig)=0)+
((cost_stop_perc_Nkossa2017))*(_xlfn.SINGLE(CA_PSC_switch_trig)=1)</f>
        <v>0.55000000000000004</v>
      </c>
      <c r="BC233" s="49">
        <f ca="1">IF(AND(_xlfn.SINGLE(HM_ZA_Nkossa!CA_FP_oil_nom)&gt;0,_xlfn.SINGLE(HM_ZA_Nkossa!CA_FP_oil_nom)&lt;=_xlfn.SINGLE(HM_ZA_Nkossa!cost_stop_p1)),HM_ZA_Nkossa!cost_stop_perbbl1,
IF(AND(_xlfn.SINGLE(HM_ZA_Nkossa!CA_FP_oil_nom)&gt;HM_ZA_Nkossa!cost_stop_p1,_xlfn.SINGLE(HM_ZA_Nkossa!CA_FP_oil_nom)&lt;=HM_ZA_Nkossa!cost_stop_p2),HM_ZA_Nkossa!cost_stop_perbbl2,
HM_ZA_Nkossa!cost_stop_perc))*(_xlfn.SINGLE(CA_PSC_switch_trig)=0)+
((cost_stop_perc_Nkossa2017))*(_xlfn.SINGLE(CA_PSC_switch_trig)=1)</f>
        <v>0.55000000000000004</v>
      </c>
      <c r="BD233" s="49">
        <f ca="1">IF(AND(_xlfn.SINGLE(HM_ZA_Nkossa!CA_FP_oil_nom)&gt;0,_xlfn.SINGLE(HM_ZA_Nkossa!CA_FP_oil_nom)&lt;=_xlfn.SINGLE(HM_ZA_Nkossa!cost_stop_p1)),HM_ZA_Nkossa!cost_stop_perbbl1,
IF(AND(_xlfn.SINGLE(HM_ZA_Nkossa!CA_FP_oil_nom)&gt;HM_ZA_Nkossa!cost_stop_p1,_xlfn.SINGLE(HM_ZA_Nkossa!CA_FP_oil_nom)&lt;=HM_ZA_Nkossa!cost_stop_p2),HM_ZA_Nkossa!cost_stop_perbbl2,
HM_ZA_Nkossa!cost_stop_perc))*(_xlfn.SINGLE(CA_PSC_switch_trig)=0)+
((cost_stop_perc_Nkossa2017))*(_xlfn.SINGLE(CA_PSC_switch_trig)=1)</f>
        <v>0.55000000000000004</v>
      </c>
      <c r="BE233" s="49">
        <f ca="1">IF(AND(_xlfn.SINGLE(HM_ZA_Nkossa!CA_FP_oil_nom)&gt;0,_xlfn.SINGLE(HM_ZA_Nkossa!CA_FP_oil_nom)&lt;=_xlfn.SINGLE(HM_ZA_Nkossa!cost_stop_p1)),HM_ZA_Nkossa!cost_stop_perbbl1,
IF(AND(_xlfn.SINGLE(HM_ZA_Nkossa!CA_FP_oil_nom)&gt;HM_ZA_Nkossa!cost_stop_p1,_xlfn.SINGLE(HM_ZA_Nkossa!CA_FP_oil_nom)&lt;=HM_ZA_Nkossa!cost_stop_p2),HM_ZA_Nkossa!cost_stop_perbbl2,
HM_ZA_Nkossa!cost_stop_perc))*(_xlfn.SINGLE(CA_PSC_switch_trig)=0)+
((cost_stop_perc_Nkossa2017))*(_xlfn.SINGLE(CA_PSC_switch_trig)=1)</f>
        <v>0.55000000000000004</v>
      </c>
      <c r="BF233" s="49">
        <f ca="1">IF(AND(_xlfn.SINGLE(HM_ZA_Nkossa!CA_FP_oil_nom)&gt;0,_xlfn.SINGLE(HM_ZA_Nkossa!CA_FP_oil_nom)&lt;=_xlfn.SINGLE(HM_ZA_Nkossa!cost_stop_p1)),HM_ZA_Nkossa!cost_stop_perbbl1,
IF(AND(_xlfn.SINGLE(HM_ZA_Nkossa!CA_FP_oil_nom)&gt;HM_ZA_Nkossa!cost_stop_p1,_xlfn.SINGLE(HM_ZA_Nkossa!CA_FP_oil_nom)&lt;=HM_ZA_Nkossa!cost_stop_p2),HM_ZA_Nkossa!cost_stop_perbbl2,
HM_ZA_Nkossa!cost_stop_perc))*(_xlfn.SINGLE(CA_PSC_switch_trig)=0)+
((cost_stop_perc_Nkossa2017))*(_xlfn.SINGLE(CA_PSC_switch_trig)=1)</f>
        <v>0.55000000000000004</v>
      </c>
      <c r="BG233" s="49">
        <f ca="1">IF(AND(_xlfn.SINGLE(HM_ZA_Nkossa!CA_FP_oil_nom)&gt;0,_xlfn.SINGLE(HM_ZA_Nkossa!CA_FP_oil_nom)&lt;=_xlfn.SINGLE(HM_ZA_Nkossa!cost_stop_p1)),HM_ZA_Nkossa!cost_stop_perbbl1,
IF(AND(_xlfn.SINGLE(HM_ZA_Nkossa!CA_FP_oil_nom)&gt;HM_ZA_Nkossa!cost_stop_p1,_xlfn.SINGLE(HM_ZA_Nkossa!CA_FP_oil_nom)&lt;=HM_ZA_Nkossa!cost_stop_p2),HM_ZA_Nkossa!cost_stop_perbbl2,
HM_ZA_Nkossa!cost_stop_perc))*(_xlfn.SINGLE(CA_PSC_switch_trig)=0)+
((cost_stop_perc_Nkossa2017))*(_xlfn.SINGLE(CA_PSC_switch_trig)=1)</f>
        <v>0.55000000000000004</v>
      </c>
      <c r="BH233" s="49">
        <f ca="1">IF(AND(_xlfn.SINGLE(HM_ZA_Nkossa!CA_FP_oil_nom)&gt;0,_xlfn.SINGLE(HM_ZA_Nkossa!CA_FP_oil_nom)&lt;=_xlfn.SINGLE(HM_ZA_Nkossa!cost_stop_p1)),HM_ZA_Nkossa!cost_stop_perbbl1,
IF(AND(_xlfn.SINGLE(HM_ZA_Nkossa!CA_FP_oil_nom)&gt;HM_ZA_Nkossa!cost_stop_p1,_xlfn.SINGLE(HM_ZA_Nkossa!CA_FP_oil_nom)&lt;=HM_ZA_Nkossa!cost_stop_p2),HM_ZA_Nkossa!cost_stop_perbbl2,
HM_ZA_Nkossa!cost_stop_perc))*(_xlfn.SINGLE(CA_PSC_switch_trig)=0)+
((cost_stop_perc_Nkossa2017))*(_xlfn.SINGLE(CA_PSC_switch_trig)=1)</f>
        <v>0.55000000000000004</v>
      </c>
      <c r="BI233" s="49">
        <f ca="1">IF(AND(_xlfn.SINGLE(HM_ZA_Nkossa!CA_FP_oil_nom)&gt;0,_xlfn.SINGLE(HM_ZA_Nkossa!CA_FP_oil_nom)&lt;=_xlfn.SINGLE(HM_ZA_Nkossa!cost_stop_p1)),HM_ZA_Nkossa!cost_stop_perbbl1,
IF(AND(_xlfn.SINGLE(HM_ZA_Nkossa!CA_FP_oil_nom)&gt;HM_ZA_Nkossa!cost_stop_p1,_xlfn.SINGLE(HM_ZA_Nkossa!CA_FP_oil_nom)&lt;=HM_ZA_Nkossa!cost_stop_p2),HM_ZA_Nkossa!cost_stop_perbbl2,
HM_ZA_Nkossa!cost_stop_perc))*(_xlfn.SINGLE(CA_PSC_switch_trig)=0)+
((cost_stop_perc_Nkossa2017))*(_xlfn.SINGLE(CA_PSC_switch_trig)=1)</f>
        <v>0.55000000000000004</v>
      </c>
      <c r="BJ233" s="49">
        <f ca="1">IF(AND(_xlfn.SINGLE(HM_ZA_Nkossa!CA_FP_oil_nom)&gt;0,_xlfn.SINGLE(HM_ZA_Nkossa!CA_FP_oil_nom)&lt;=_xlfn.SINGLE(HM_ZA_Nkossa!cost_stop_p1)),HM_ZA_Nkossa!cost_stop_perbbl1,
IF(AND(_xlfn.SINGLE(HM_ZA_Nkossa!CA_FP_oil_nom)&gt;HM_ZA_Nkossa!cost_stop_p1,_xlfn.SINGLE(HM_ZA_Nkossa!CA_FP_oil_nom)&lt;=HM_ZA_Nkossa!cost_stop_p2),HM_ZA_Nkossa!cost_stop_perbbl2,
HM_ZA_Nkossa!cost_stop_perc))*(_xlfn.SINGLE(CA_PSC_switch_trig)=0)+
((cost_stop_perc_Nkossa2017))*(_xlfn.SINGLE(CA_PSC_switch_trig)=1)</f>
        <v>0.55000000000000004</v>
      </c>
      <c r="BK233" s="49">
        <f ca="1">IF(AND(_xlfn.SINGLE(HM_ZA_Nkossa!CA_FP_oil_nom)&gt;0,_xlfn.SINGLE(HM_ZA_Nkossa!CA_FP_oil_nom)&lt;=_xlfn.SINGLE(HM_ZA_Nkossa!cost_stop_p1)),HM_ZA_Nkossa!cost_stop_perbbl1,
IF(AND(_xlfn.SINGLE(HM_ZA_Nkossa!CA_FP_oil_nom)&gt;HM_ZA_Nkossa!cost_stop_p1,_xlfn.SINGLE(HM_ZA_Nkossa!CA_FP_oil_nom)&lt;=HM_ZA_Nkossa!cost_stop_p2),HM_ZA_Nkossa!cost_stop_perbbl2,
HM_ZA_Nkossa!cost_stop_perc))*(_xlfn.SINGLE(CA_PSC_switch_trig)=0)+
((cost_stop_perc_Nkossa2017))*(_xlfn.SINGLE(CA_PSC_switch_trig)=1)</f>
        <v>0.55000000000000004</v>
      </c>
      <c r="BL233" s="49">
        <f ca="1">IF(AND(_xlfn.SINGLE(HM_ZA_Nkossa!CA_FP_oil_nom)&gt;0,_xlfn.SINGLE(HM_ZA_Nkossa!CA_FP_oil_nom)&lt;=_xlfn.SINGLE(HM_ZA_Nkossa!cost_stop_p1)),HM_ZA_Nkossa!cost_stop_perbbl1,
IF(AND(_xlfn.SINGLE(HM_ZA_Nkossa!CA_FP_oil_nom)&gt;HM_ZA_Nkossa!cost_stop_p1,_xlfn.SINGLE(HM_ZA_Nkossa!CA_FP_oil_nom)&lt;=HM_ZA_Nkossa!cost_stop_p2),HM_ZA_Nkossa!cost_stop_perbbl2,
HM_ZA_Nkossa!cost_stop_perc))*(_xlfn.SINGLE(CA_PSC_switch_trig)=0)+
((cost_stop_perc_Nkossa2017))*(_xlfn.SINGLE(CA_PSC_switch_trig)=1)</f>
        <v>0.55000000000000004</v>
      </c>
      <c r="BM233" s="49">
        <f ca="1">IF(AND(_xlfn.SINGLE(HM_ZA_Nkossa!CA_FP_oil_nom)&gt;0,_xlfn.SINGLE(HM_ZA_Nkossa!CA_FP_oil_nom)&lt;=_xlfn.SINGLE(HM_ZA_Nkossa!cost_stop_p1)),HM_ZA_Nkossa!cost_stop_perbbl1,
IF(AND(_xlfn.SINGLE(HM_ZA_Nkossa!CA_FP_oil_nom)&gt;HM_ZA_Nkossa!cost_stop_p1,_xlfn.SINGLE(HM_ZA_Nkossa!CA_FP_oil_nom)&lt;=HM_ZA_Nkossa!cost_stop_p2),HM_ZA_Nkossa!cost_stop_perbbl2,
HM_ZA_Nkossa!cost_stop_perc))*(_xlfn.SINGLE(CA_PSC_switch_trig)=0)+
((cost_stop_perc_Nkossa2017))*(_xlfn.SINGLE(CA_PSC_switch_trig)=1)</f>
        <v>0.55000000000000004</v>
      </c>
      <c r="BN233" s="49">
        <f ca="1">IF(AND(_xlfn.SINGLE(HM_ZA_Nkossa!CA_FP_oil_nom)&gt;0,_xlfn.SINGLE(HM_ZA_Nkossa!CA_FP_oil_nom)&lt;=_xlfn.SINGLE(HM_ZA_Nkossa!cost_stop_p1)),HM_ZA_Nkossa!cost_stop_perbbl1,
IF(AND(_xlfn.SINGLE(HM_ZA_Nkossa!CA_FP_oil_nom)&gt;HM_ZA_Nkossa!cost_stop_p1,_xlfn.SINGLE(HM_ZA_Nkossa!CA_FP_oil_nom)&lt;=HM_ZA_Nkossa!cost_stop_p2),HM_ZA_Nkossa!cost_stop_perbbl2,
HM_ZA_Nkossa!cost_stop_perc))*(_xlfn.SINGLE(CA_PSC_switch_trig)=0)+
((cost_stop_perc_Nkossa2017))*(_xlfn.SINGLE(CA_PSC_switch_trig)=1)</f>
        <v>0.55000000000000004</v>
      </c>
      <c r="BO233" s="49">
        <f ca="1">IF(AND(_xlfn.SINGLE(HM_ZA_Nkossa!CA_FP_oil_nom)&gt;0,_xlfn.SINGLE(HM_ZA_Nkossa!CA_FP_oil_nom)&lt;=_xlfn.SINGLE(HM_ZA_Nkossa!cost_stop_p1)),HM_ZA_Nkossa!cost_stop_perbbl1,
IF(AND(_xlfn.SINGLE(HM_ZA_Nkossa!CA_FP_oil_nom)&gt;HM_ZA_Nkossa!cost_stop_p1,_xlfn.SINGLE(HM_ZA_Nkossa!CA_FP_oil_nom)&lt;=HM_ZA_Nkossa!cost_stop_p2),HM_ZA_Nkossa!cost_stop_perbbl2,
HM_ZA_Nkossa!cost_stop_perc))*(_xlfn.SINGLE(CA_PSC_switch_trig)=0)+
((cost_stop_perc_Nkossa2017))*(_xlfn.SINGLE(CA_PSC_switch_trig)=1)</f>
        <v>0.55000000000000004</v>
      </c>
      <c r="BP233" s="49">
        <f ca="1">IF(AND(_xlfn.SINGLE(HM_ZA_Nkossa!CA_FP_oil_nom)&gt;0,_xlfn.SINGLE(HM_ZA_Nkossa!CA_FP_oil_nom)&lt;=_xlfn.SINGLE(HM_ZA_Nkossa!cost_stop_p1)),HM_ZA_Nkossa!cost_stop_perbbl1,
IF(AND(_xlfn.SINGLE(HM_ZA_Nkossa!CA_FP_oil_nom)&gt;HM_ZA_Nkossa!cost_stop_p1,_xlfn.SINGLE(HM_ZA_Nkossa!CA_FP_oil_nom)&lt;=HM_ZA_Nkossa!cost_stop_p2),HM_ZA_Nkossa!cost_stop_perbbl2,
HM_ZA_Nkossa!cost_stop_perc))*(_xlfn.SINGLE(CA_PSC_switch_trig)=0)+
((cost_stop_perc_Nkossa2017))*(_xlfn.SINGLE(CA_PSC_switch_trig)=1)</f>
        <v>0.55000000000000004</v>
      </c>
      <c r="BQ233" s="49">
        <f ca="1">IF(AND(_xlfn.SINGLE(HM_ZA_Nkossa!CA_FP_oil_nom)&gt;0,_xlfn.SINGLE(HM_ZA_Nkossa!CA_FP_oil_nom)&lt;=_xlfn.SINGLE(HM_ZA_Nkossa!cost_stop_p1)),HM_ZA_Nkossa!cost_stop_perbbl1,
IF(AND(_xlfn.SINGLE(HM_ZA_Nkossa!CA_FP_oil_nom)&gt;HM_ZA_Nkossa!cost_stop_p1,_xlfn.SINGLE(HM_ZA_Nkossa!CA_FP_oil_nom)&lt;=HM_ZA_Nkossa!cost_stop_p2),HM_ZA_Nkossa!cost_stop_perbbl2,
HM_ZA_Nkossa!cost_stop_perc))*(_xlfn.SINGLE(CA_PSC_switch_trig)=0)+
((cost_stop_perc_Nkossa2017))*(_xlfn.SINGLE(CA_PSC_switch_trig)=1)</f>
        <v>0.55000000000000004</v>
      </c>
      <c r="BR233" s="49">
        <f ca="1">IF(AND(_xlfn.SINGLE(HM_ZA_Nkossa!CA_FP_oil_nom)&gt;0,_xlfn.SINGLE(HM_ZA_Nkossa!CA_FP_oil_nom)&lt;=_xlfn.SINGLE(HM_ZA_Nkossa!cost_stop_p1)),HM_ZA_Nkossa!cost_stop_perbbl1,
IF(AND(_xlfn.SINGLE(HM_ZA_Nkossa!CA_FP_oil_nom)&gt;HM_ZA_Nkossa!cost_stop_p1,_xlfn.SINGLE(HM_ZA_Nkossa!CA_FP_oil_nom)&lt;=HM_ZA_Nkossa!cost_stop_p2),HM_ZA_Nkossa!cost_stop_perbbl2,
HM_ZA_Nkossa!cost_stop_perc))*(_xlfn.SINGLE(CA_PSC_switch_trig)=0)+
((cost_stop_perc_Nkossa2017))*(_xlfn.SINGLE(CA_PSC_switch_trig)=1)</f>
        <v>0.55000000000000004</v>
      </c>
      <c r="BS233" s="49">
        <f ca="1">IF(AND(_xlfn.SINGLE(HM_ZA_Nkossa!CA_FP_oil_nom)&gt;0,_xlfn.SINGLE(HM_ZA_Nkossa!CA_FP_oil_nom)&lt;=_xlfn.SINGLE(HM_ZA_Nkossa!cost_stop_p1)),HM_ZA_Nkossa!cost_stop_perbbl1,
IF(AND(_xlfn.SINGLE(HM_ZA_Nkossa!CA_FP_oil_nom)&gt;HM_ZA_Nkossa!cost_stop_p1,_xlfn.SINGLE(HM_ZA_Nkossa!CA_FP_oil_nom)&lt;=HM_ZA_Nkossa!cost_stop_p2),HM_ZA_Nkossa!cost_stop_perbbl2,
HM_ZA_Nkossa!cost_stop_perc))*(_xlfn.SINGLE(CA_PSC_switch_trig)=0)+
((cost_stop_perc_Nkossa2017))*(_xlfn.SINGLE(CA_PSC_switch_trig)=1)</f>
        <v>0.55000000000000004</v>
      </c>
    </row>
    <row r="234" spans="4:71" outlineLevel="1" x14ac:dyDescent="0.2">
      <c r="J234" s="26"/>
      <c r="L234" s="55"/>
      <c r="M234" s="55"/>
      <c r="N234" s="55"/>
      <c r="O234" s="55"/>
      <c r="P234" s="55"/>
      <c r="Q234" s="55"/>
      <c r="R234" s="55"/>
      <c r="S234" s="55"/>
      <c r="T234" s="55"/>
      <c r="U234" s="55"/>
      <c r="V234" s="55"/>
      <c r="W234" s="55"/>
      <c r="X234" s="55"/>
      <c r="Y234" s="55"/>
      <c r="Z234" s="55"/>
      <c r="AA234" s="55"/>
      <c r="AB234" s="55"/>
      <c r="AC234" s="55"/>
      <c r="AD234" s="55"/>
      <c r="AE234" s="55"/>
      <c r="AF234" s="55"/>
      <c r="AG234" s="55"/>
      <c r="AH234" s="55"/>
      <c r="AI234" s="55"/>
      <c r="AJ234" s="55"/>
      <c r="AK234" s="55"/>
      <c r="AL234" s="55"/>
      <c r="AM234" s="55"/>
      <c r="AN234" s="55"/>
      <c r="AO234" s="55"/>
      <c r="AP234" s="55"/>
      <c r="AQ234" s="55"/>
      <c r="AR234" s="55"/>
      <c r="AS234" s="55"/>
      <c r="AT234" s="55"/>
      <c r="AU234" s="55"/>
      <c r="AV234" s="55"/>
      <c r="AW234" s="55"/>
      <c r="AX234" s="55"/>
      <c r="AY234" s="55"/>
      <c r="AZ234" s="55"/>
      <c r="BA234" s="55"/>
      <c r="BB234" s="55"/>
      <c r="BC234" s="55"/>
      <c r="BD234" s="55"/>
      <c r="BE234" s="55"/>
      <c r="BF234" s="55"/>
      <c r="BG234" s="55"/>
      <c r="BH234" s="55"/>
      <c r="BI234" s="55"/>
      <c r="BJ234" s="55"/>
      <c r="BK234" s="55"/>
      <c r="BL234" s="55"/>
      <c r="BM234" s="55"/>
      <c r="BN234" s="55"/>
      <c r="BO234" s="55"/>
      <c r="BP234" s="55"/>
      <c r="BQ234" s="55"/>
      <c r="BR234" s="55"/>
      <c r="BS234" s="55"/>
    </row>
    <row r="235" spans="4:71" outlineLevel="1" x14ac:dyDescent="0.2">
      <c r="D235" s="11" t="str">
        <f>CHOOSE(db_ML_selected,'Liste Traduction'!B246,'Liste Traduction'!C246)</f>
        <v>Cost Stop</v>
      </c>
      <c r="I235" s="30">
        <f t="shared" ref="I235" ca="1" si="46">SUM($L235:$BS235)</f>
        <v>2204.9879026922831</v>
      </c>
      <c r="J235" s="26" t="s">
        <v>148</v>
      </c>
      <c r="K235" s="7" t="s">
        <v>189</v>
      </c>
      <c r="L235" s="49">
        <f ca="1">IF(AND(_xlfn.SINGLE(HM_ZA_Nkossa!CA_FP_oil_nom)&gt;0,_xlfn.SINGLE(HM_ZA_Nkossa!CA_FP_oil_nom)&lt;=_xlfn.SINGLE(HM_ZA_Nkossa!cost_stop_p1)),HM_ZA_Nkossa!cost_stop_perbbl1*_xlfn.SINGLE(CA_gross_sales_Total),
IF(AND(_xlfn.SINGLE(HM_ZA_Nkossa!CA_FP_oil_nom)&gt;HM_ZA_Nkossa!cost_stop_p1,_xlfn.SINGLE(HM_ZA_Nkossa!CA_FP_oil_nom)&lt;=HM_ZA_Nkossa!cost_stop_p2),HM_ZA_Nkossa!cost_stop_perbbl2*_xlfn.SINGLE(CA_gross_sales_Total),
HM_ZA_Nkossa!cost_stop_perc*(_xlfn.SINGLE(HM_ZA_Nkossa!CA_gross_rev_oil_hp1))))*(_xlfn.SINGLE(CA_PSC_switch_trig)=0)+
(MIN(_xlfn.SINGLE(HM_ZA_Nkossa!CA_gross_rev_total_fp),_xlfn.SINGLE(HM_ZA_Nkossa!CA_gross_rev_oil_hp2))*(cost_stop_perc_Nkossa2017))*(_xlfn.SINGLE(CA_PSC_switch_trig)=1)</f>
        <v>141.09954235999999</v>
      </c>
      <c r="M235" s="49">
        <f ca="1">IF(AND(_xlfn.SINGLE(HM_ZA_Nkossa!CA_FP_oil_nom)&gt;0,_xlfn.SINGLE(HM_ZA_Nkossa!CA_FP_oil_nom)&lt;=_xlfn.SINGLE(HM_ZA_Nkossa!cost_stop_p1)),HM_ZA_Nkossa!cost_stop_perbbl1*_xlfn.SINGLE(CA_gross_sales_Total),
IF(AND(_xlfn.SINGLE(HM_ZA_Nkossa!CA_FP_oil_nom)&gt;HM_ZA_Nkossa!cost_stop_p1,_xlfn.SINGLE(HM_ZA_Nkossa!CA_FP_oil_nom)&lt;=HM_ZA_Nkossa!cost_stop_p2),HM_ZA_Nkossa!cost_stop_perbbl2*_xlfn.SINGLE(CA_gross_sales_Total),
HM_ZA_Nkossa!cost_stop_perc*(_xlfn.SINGLE(HM_ZA_Nkossa!CA_gross_rev_oil_hp1))))*(_xlfn.SINGLE(CA_PSC_switch_trig)=0)+
(MIN(_xlfn.SINGLE(HM_ZA_Nkossa!CA_gross_rev_total_fp),_xlfn.SINGLE(HM_ZA_Nkossa!CA_gross_rev_oil_hp2))*(cost_stop_perc_Nkossa2017))*(_xlfn.SINGLE(CA_PSC_switch_trig)=1)</f>
        <v>174.31590860275</v>
      </c>
      <c r="N235" s="49">
        <f ca="1">IF(AND(_xlfn.SINGLE(HM_ZA_Nkossa!CA_FP_oil_nom)&gt;0,_xlfn.SINGLE(HM_ZA_Nkossa!CA_FP_oil_nom)&lt;=_xlfn.SINGLE(HM_ZA_Nkossa!cost_stop_p1)),HM_ZA_Nkossa!cost_stop_perbbl1*_xlfn.SINGLE(CA_gross_sales_Total),
IF(AND(_xlfn.SINGLE(HM_ZA_Nkossa!CA_FP_oil_nom)&gt;HM_ZA_Nkossa!cost_stop_p1,_xlfn.SINGLE(HM_ZA_Nkossa!CA_FP_oil_nom)&lt;=HM_ZA_Nkossa!cost_stop_p2),HM_ZA_Nkossa!cost_stop_perbbl2*_xlfn.SINGLE(CA_gross_sales_Total),
HM_ZA_Nkossa!cost_stop_perc*(_xlfn.SINGLE(HM_ZA_Nkossa!CA_gross_rev_oil_hp1))))*(_xlfn.SINGLE(CA_PSC_switch_trig)=0)+
(MIN(_xlfn.SINGLE(HM_ZA_Nkossa!CA_gross_rev_total_fp),_xlfn.SINGLE(HM_ZA_Nkossa!CA_gross_rev_oil_hp2))*(cost_stop_perc_Nkossa2017))*(_xlfn.SINGLE(CA_PSC_switch_trig)=1)</f>
        <v>151.46269711400001</v>
      </c>
      <c r="O235" s="49">
        <f ca="1">IF(AND(_xlfn.SINGLE(HM_ZA_Nkossa!CA_FP_oil_nom)&gt;0,_xlfn.SINGLE(HM_ZA_Nkossa!CA_FP_oil_nom)&lt;=_xlfn.SINGLE(HM_ZA_Nkossa!cost_stop_p1)),HM_ZA_Nkossa!cost_stop_perbbl1*_xlfn.SINGLE(CA_gross_sales_Total),
IF(AND(_xlfn.SINGLE(HM_ZA_Nkossa!CA_FP_oil_nom)&gt;HM_ZA_Nkossa!cost_stop_p1,_xlfn.SINGLE(HM_ZA_Nkossa!CA_FP_oil_nom)&lt;=HM_ZA_Nkossa!cost_stop_p2),HM_ZA_Nkossa!cost_stop_perbbl2*_xlfn.SINGLE(CA_gross_sales_Total),
HM_ZA_Nkossa!cost_stop_perc*(_xlfn.SINGLE(HM_ZA_Nkossa!CA_gross_rev_oil_hp1))))*(_xlfn.SINGLE(CA_PSC_switch_trig)=0)+
(MIN(_xlfn.SINGLE(HM_ZA_Nkossa!CA_gross_rev_total_fp),_xlfn.SINGLE(HM_ZA_Nkossa!CA_gross_rev_oil_hp2))*(cost_stop_perc_Nkossa2017))*(_xlfn.SINGLE(CA_PSC_switch_trig)=1)</f>
        <v>165.85003627450001</v>
      </c>
      <c r="P235" s="49">
        <f ca="1">IF(AND(_xlfn.SINGLE(HM_ZA_Nkossa!CA_FP_oil_nom)&gt;0,_xlfn.SINGLE(HM_ZA_Nkossa!CA_FP_oil_nom)&lt;=_xlfn.SINGLE(HM_ZA_Nkossa!cost_stop_p1)),HM_ZA_Nkossa!cost_stop_perbbl1*_xlfn.SINGLE(CA_gross_sales_Total),
IF(AND(_xlfn.SINGLE(HM_ZA_Nkossa!CA_FP_oil_nom)&gt;HM_ZA_Nkossa!cost_stop_p1,_xlfn.SINGLE(HM_ZA_Nkossa!CA_FP_oil_nom)&lt;=HM_ZA_Nkossa!cost_stop_p2),HM_ZA_Nkossa!cost_stop_perbbl2*_xlfn.SINGLE(CA_gross_sales_Total),
HM_ZA_Nkossa!cost_stop_perc*(_xlfn.SINGLE(HM_ZA_Nkossa!CA_gross_rev_oil_hp1))))*(_xlfn.SINGLE(CA_PSC_switch_trig)=0)+
(MIN(_xlfn.SINGLE(HM_ZA_Nkossa!CA_gross_rev_total_fp),_xlfn.SINGLE(HM_ZA_Nkossa!CA_gross_rev_oil_hp2))*(cost_stop_perc_Nkossa2017))*(_xlfn.SINGLE(CA_PSC_switch_trig)=1)</f>
        <v>238.35548984005007</v>
      </c>
      <c r="Q235" s="49">
        <f ca="1">IF(AND(_xlfn.SINGLE(HM_ZA_Nkossa!CA_FP_oil_nom)&gt;0,_xlfn.SINGLE(HM_ZA_Nkossa!CA_FP_oil_nom)&lt;=_xlfn.SINGLE(HM_ZA_Nkossa!cost_stop_p1)),HM_ZA_Nkossa!cost_stop_perbbl1*_xlfn.SINGLE(CA_gross_sales_Total),
IF(AND(_xlfn.SINGLE(HM_ZA_Nkossa!CA_FP_oil_nom)&gt;HM_ZA_Nkossa!cost_stop_p1,_xlfn.SINGLE(HM_ZA_Nkossa!CA_FP_oil_nom)&lt;=HM_ZA_Nkossa!cost_stop_p2),HM_ZA_Nkossa!cost_stop_perbbl2*_xlfn.SINGLE(CA_gross_sales_Total),
HM_ZA_Nkossa!cost_stop_perc*(_xlfn.SINGLE(HM_ZA_Nkossa!CA_gross_rev_oil_hp1))))*(_xlfn.SINGLE(CA_PSC_switch_trig)=0)+
(MIN(_xlfn.SINGLE(HM_ZA_Nkossa!CA_gross_rev_total_fp),_xlfn.SINGLE(HM_ZA_Nkossa!CA_gross_rev_oil_hp2))*(cost_stop_perc_Nkossa2017))*(_xlfn.SINGLE(CA_PSC_switch_trig)=1)</f>
        <v>254.34670980950008</v>
      </c>
      <c r="R235" s="49">
        <f ca="1">IF(AND(_xlfn.SINGLE(HM_ZA_Nkossa!CA_FP_oil_nom)&gt;0,_xlfn.SINGLE(HM_ZA_Nkossa!CA_FP_oil_nom)&lt;=_xlfn.SINGLE(HM_ZA_Nkossa!cost_stop_p1)),HM_ZA_Nkossa!cost_stop_perbbl1*_xlfn.SINGLE(CA_gross_sales_Total),
IF(AND(_xlfn.SINGLE(HM_ZA_Nkossa!CA_FP_oil_nom)&gt;HM_ZA_Nkossa!cost_stop_p1,_xlfn.SINGLE(HM_ZA_Nkossa!CA_FP_oil_nom)&lt;=HM_ZA_Nkossa!cost_stop_p2),HM_ZA_Nkossa!cost_stop_perbbl2*_xlfn.SINGLE(CA_gross_sales_Total),
HM_ZA_Nkossa!cost_stop_perc*(_xlfn.SINGLE(HM_ZA_Nkossa!CA_gross_rev_oil_hp1))))*(_xlfn.SINGLE(CA_PSC_switch_trig)=0)+
(MIN(_xlfn.SINGLE(HM_ZA_Nkossa!CA_gross_rev_total_fp),_xlfn.SINGLE(HM_ZA_Nkossa!CA_gross_rev_oil_hp2))*(cost_stop_perc_Nkossa2017))*(_xlfn.SINGLE(CA_PSC_switch_trig)=1)</f>
        <v>244.00862892670006</v>
      </c>
      <c r="S235" s="49">
        <f ca="1">IF(AND(_xlfn.SINGLE(HM_ZA_Nkossa!CA_FP_oil_nom)&gt;0,_xlfn.SINGLE(HM_ZA_Nkossa!CA_FP_oil_nom)&lt;=_xlfn.SINGLE(HM_ZA_Nkossa!cost_stop_p1)),HM_ZA_Nkossa!cost_stop_perbbl1*_xlfn.SINGLE(CA_gross_sales_Total),
IF(AND(_xlfn.SINGLE(HM_ZA_Nkossa!CA_FP_oil_nom)&gt;HM_ZA_Nkossa!cost_stop_p1,_xlfn.SINGLE(HM_ZA_Nkossa!CA_FP_oil_nom)&lt;=HM_ZA_Nkossa!cost_stop_p2),HM_ZA_Nkossa!cost_stop_perbbl2*_xlfn.SINGLE(CA_gross_sales_Total),
HM_ZA_Nkossa!cost_stop_perc*(_xlfn.SINGLE(HM_ZA_Nkossa!CA_gross_rev_oil_hp1))))*(_xlfn.SINGLE(CA_PSC_switch_trig)=0)+
(MIN(_xlfn.SINGLE(HM_ZA_Nkossa!CA_gross_rev_total_fp),_xlfn.SINGLE(HM_ZA_Nkossa!CA_gross_rev_oil_hp2))*(cost_stop_perc_Nkossa2017))*(_xlfn.SINGLE(CA_PSC_switch_trig)=1)</f>
        <v>113.06549728833335</v>
      </c>
      <c r="T235" s="49">
        <f ca="1">IF(AND(_xlfn.SINGLE(HM_ZA_Nkossa!CA_FP_oil_nom)&gt;0,_xlfn.SINGLE(HM_ZA_Nkossa!CA_FP_oil_nom)&lt;=_xlfn.SINGLE(HM_ZA_Nkossa!cost_stop_p1)),HM_ZA_Nkossa!cost_stop_perbbl1*_xlfn.SINGLE(CA_gross_sales_Total),
IF(AND(_xlfn.SINGLE(HM_ZA_Nkossa!CA_FP_oil_nom)&gt;HM_ZA_Nkossa!cost_stop_p1,_xlfn.SINGLE(HM_ZA_Nkossa!CA_FP_oil_nom)&lt;=HM_ZA_Nkossa!cost_stop_p2),HM_ZA_Nkossa!cost_stop_perbbl2*_xlfn.SINGLE(CA_gross_sales_Total),
HM_ZA_Nkossa!cost_stop_perc*(_xlfn.SINGLE(HM_ZA_Nkossa!CA_gross_rev_oil_hp1))))*(_xlfn.SINGLE(CA_PSC_switch_trig)=0)+
(MIN(_xlfn.SINGLE(HM_ZA_Nkossa!CA_gross_rev_total_fp),_xlfn.SINGLE(HM_ZA_Nkossa!CA_gross_rev_oil_hp2))*(cost_stop_perc_Nkossa2017))*(_xlfn.SINGLE(CA_PSC_switch_trig)=1)</f>
        <v>153.86542455398398</v>
      </c>
      <c r="U235" s="49">
        <f ca="1">IF(AND(_xlfn.SINGLE(HM_ZA_Nkossa!CA_FP_oil_nom)&gt;0,_xlfn.SINGLE(HM_ZA_Nkossa!CA_FP_oil_nom)&lt;=_xlfn.SINGLE(HM_ZA_Nkossa!cost_stop_p1)),HM_ZA_Nkossa!cost_stop_perbbl1*_xlfn.SINGLE(CA_gross_sales_Total),
IF(AND(_xlfn.SINGLE(HM_ZA_Nkossa!CA_FP_oil_nom)&gt;HM_ZA_Nkossa!cost_stop_p1,_xlfn.SINGLE(HM_ZA_Nkossa!CA_FP_oil_nom)&lt;=HM_ZA_Nkossa!cost_stop_p2),HM_ZA_Nkossa!cost_stop_perbbl2*_xlfn.SINGLE(CA_gross_sales_Total),
HM_ZA_Nkossa!cost_stop_perc*(_xlfn.SINGLE(HM_ZA_Nkossa!CA_gross_rev_oil_hp1))))*(_xlfn.SINGLE(CA_PSC_switch_trig)=0)+
(MIN(_xlfn.SINGLE(HM_ZA_Nkossa!CA_gross_rev_total_fp),_xlfn.SINGLE(HM_ZA_Nkossa!CA_gross_rev_oil_hp2))*(cost_stop_perc_Nkossa2017))*(_xlfn.SINGLE(CA_PSC_switch_trig)=1)</f>
        <v>153.59617671551999</v>
      </c>
      <c r="V235" s="49">
        <f ca="1">IF(AND(_xlfn.SINGLE(HM_ZA_Nkossa!CA_FP_oil_nom)&gt;0,_xlfn.SINGLE(HM_ZA_Nkossa!CA_FP_oil_nom)&lt;=_xlfn.SINGLE(HM_ZA_Nkossa!cost_stop_p1)),HM_ZA_Nkossa!cost_stop_perbbl1*_xlfn.SINGLE(CA_gross_sales_Total),
IF(AND(_xlfn.SINGLE(HM_ZA_Nkossa!CA_FP_oil_nom)&gt;HM_ZA_Nkossa!cost_stop_p1,_xlfn.SINGLE(HM_ZA_Nkossa!CA_FP_oil_nom)&lt;=HM_ZA_Nkossa!cost_stop_p2),HM_ZA_Nkossa!cost_stop_perbbl2*_xlfn.SINGLE(CA_gross_sales_Total),
HM_ZA_Nkossa!cost_stop_perc*(_xlfn.SINGLE(HM_ZA_Nkossa!CA_gross_rev_oil_hp1))))*(_xlfn.SINGLE(CA_PSC_switch_trig)=0)+
(MIN(_xlfn.SINGLE(HM_ZA_Nkossa!CA_gross_rev_total_fp),_xlfn.SINGLE(HM_ZA_Nkossa!CA_gross_rev_oil_hp2))*(cost_stop_perc_Nkossa2017))*(_xlfn.SINGLE(CA_PSC_switch_trig)=1)</f>
        <v>145.70133323234225</v>
      </c>
      <c r="W235" s="49">
        <f ca="1">IF(AND(_xlfn.SINGLE(HM_ZA_Nkossa!CA_FP_oil_nom)&gt;0,_xlfn.SINGLE(HM_ZA_Nkossa!CA_FP_oil_nom)&lt;=_xlfn.SINGLE(HM_ZA_Nkossa!cost_stop_p1)),HM_ZA_Nkossa!cost_stop_perbbl1*_xlfn.SINGLE(CA_gross_sales_Total),
IF(AND(_xlfn.SINGLE(HM_ZA_Nkossa!CA_FP_oil_nom)&gt;HM_ZA_Nkossa!cost_stop_p1,_xlfn.SINGLE(HM_ZA_Nkossa!CA_FP_oil_nom)&lt;=HM_ZA_Nkossa!cost_stop_p2),HM_ZA_Nkossa!cost_stop_perbbl2*_xlfn.SINGLE(CA_gross_sales_Total),
HM_ZA_Nkossa!cost_stop_perc*(_xlfn.SINGLE(HM_ZA_Nkossa!CA_gross_rev_oil_hp1))))*(_xlfn.SINGLE(CA_PSC_switch_trig)=0)+
(MIN(_xlfn.SINGLE(HM_ZA_Nkossa!CA_gross_rev_total_fp),_xlfn.SINGLE(HM_ZA_Nkossa!CA_gross_rev_oil_hp2))*(cost_stop_perc_Nkossa2017))*(_xlfn.SINGLE(CA_PSC_switch_trig)=1)</f>
        <v>138.21228470419985</v>
      </c>
      <c r="X235" s="49">
        <f ca="1">IF(AND(_xlfn.SINGLE(HM_ZA_Nkossa!CA_FP_oil_nom)&gt;0,_xlfn.SINGLE(HM_ZA_Nkossa!CA_FP_oil_nom)&lt;=_xlfn.SINGLE(HM_ZA_Nkossa!cost_stop_p1)),HM_ZA_Nkossa!cost_stop_perbbl1*_xlfn.SINGLE(CA_gross_sales_Total),
IF(AND(_xlfn.SINGLE(HM_ZA_Nkossa!CA_FP_oil_nom)&gt;HM_ZA_Nkossa!cost_stop_p1,_xlfn.SINGLE(HM_ZA_Nkossa!CA_FP_oil_nom)&lt;=HM_ZA_Nkossa!cost_stop_p2),HM_ZA_Nkossa!cost_stop_perbbl2*_xlfn.SINGLE(CA_gross_sales_Total),
HM_ZA_Nkossa!cost_stop_perc*(_xlfn.SINGLE(HM_ZA_Nkossa!CA_gross_rev_oil_hp1))))*(_xlfn.SINGLE(CA_PSC_switch_trig)=0)+
(MIN(_xlfn.SINGLE(HM_ZA_Nkossa!CA_gross_rev_total_fp),_xlfn.SINGLE(HM_ZA_Nkossa!CA_gross_rev_oil_hp2))*(cost_stop_perc_Nkossa2017))*(_xlfn.SINGLE(CA_PSC_switch_trig)=1)</f>
        <v>131.10817327040397</v>
      </c>
      <c r="Y235" s="49">
        <f ca="1">IF(AND(_xlfn.SINGLE(HM_ZA_Nkossa!CA_FP_oil_nom)&gt;0,_xlfn.SINGLE(HM_ZA_Nkossa!CA_FP_oil_nom)&lt;=_xlfn.SINGLE(HM_ZA_Nkossa!cost_stop_p1)),HM_ZA_Nkossa!cost_stop_perbbl1*_xlfn.SINGLE(CA_gross_sales_Total),
IF(AND(_xlfn.SINGLE(HM_ZA_Nkossa!CA_FP_oil_nom)&gt;HM_ZA_Nkossa!cost_stop_p1,_xlfn.SINGLE(HM_ZA_Nkossa!CA_FP_oil_nom)&lt;=HM_ZA_Nkossa!cost_stop_p2),HM_ZA_Nkossa!cost_stop_perbbl2*_xlfn.SINGLE(CA_gross_sales_Total),
HM_ZA_Nkossa!cost_stop_perc*(_xlfn.SINGLE(HM_ZA_Nkossa!CA_gross_rev_oil_hp1))))*(_xlfn.SINGLE(CA_PSC_switch_trig)=0)+
(MIN(_xlfn.SINGLE(HM_ZA_Nkossa!CA_gross_rev_total_fp),_xlfn.SINGLE(HM_ZA_Nkossa!CA_gross_rev_oil_hp2))*(cost_stop_perc_Nkossa2017))*(_xlfn.SINGLE(CA_PSC_switch_trig)=1)</f>
        <v>0</v>
      </c>
      <c r="Z235" s="49">
        <f ca="1">IF(AND(_xlfn.SINGLE(HM_ZA_Nkossa!CA_FP_oil_nom)&gt;0,_xlfn.SINGLE(HM_ZA_Nkossa!CA_FP_oil_nom)&lt;=_xlfn.SINGLE(HM_ZA_Nkossa!cost_stop_p1)),HM_ZA_Nkossa!cost_stop_perbbl1*_xlfn.SINGLE(CA_gross_sales_Total),
IF(AND(_xlfn.SINGLE(HM_ZA_Nkossa!CA_FP_oil_nom)&gt;HM_ZA_Nkossa!cost_stop_p1,_xlfn.SINGLE(HM_ZA_Nkossa!CA_FP_oil_nom)&lt;=HM_ZA_Nkossa!cost_stop_p2),HM_ZA_Nkossa!cost_stop_perbbl2*_xlfn.SINGLE(CA_gross_sales_Total),
HM_ZA_Nkossa!cost_stop_perc*(_xlfn.SINGLE(HM_ZA_Nkossa!CA_gross_rev_oil_hp1))))*(_xlfn.SINGLE(CA_PSC_switch_trig)=0)+
(MIN(_xlfn.SINGLE(HM_ZA_Nkossa!CA_gross_rev_total_fp),_xlfn.SINGLE(HM_ZA_Nkossa!CA_gross_rev_oil_hp2))*(cost_stop_perc_Nkossa2017))*(_xlfn.SINGLE(CA_PSC_switch_trig)=1)</f>
        <v>0</v>
      </c>
      <c r="AA235" s="49">
        <f ca="1">IF(AND(_xlfn.SINGLE(HM_ZA_Nkossa!CA_FP_oil_nom)&gt;0,_xlfn.SINGLE(HM_ZA_Nkossa!CA_FP_oil_nom)&lt;=_xlfn.SINGLE(HM_ZA_Nkossa!cost_stop_p1)),HM_ZA_Nkossa!cost_stop_perbbl1*_xlfn.SINGLE(CA_gross_sales_Total),
IF(AND(_xlfn.SINGLE(HM_ZA_Nkossa!CA_FP_oil_nom)&gt;HM_ZA_Nkossa!cost_stop_p1,_xlfn.SINGLE(HM_ZA_Nkossa!CA_FP_oil_nom)&lt;=HM_ZA_Nkossa!cost_stop_p2),HM_ZA_Nkossa!cost_stop_perbbl2*_xlfn.SINGLE(CA_gross_sales_Total),
HM_ZA_Nkossa!cost_stop_perc*(_xlfn.SINGLE(HM_ZA_Nkossa!CA_gross_rev_oil_hp1))))*(_xlfn.SINGLE(CA_PSC_switch_trig)=0)+
(MIN(_xlfn.SINGLE(HM_ZA_Nkossa!CA_gross_rev_total_fp),_xlfn.SINGLE(HM_ZA_Nkossa!CA_gross_rev_oil_hp2))*(cost_stop_perc_Nkossa2017))*(_xlfn.SINGLE(CA_PSC_switch_trig)=1)</f>
        <v>0</v>
      </c>
      <c r="AB235" s="49">
        <f ca="1">IF(AND(_xlfn.SINGLE(HM_ZA_Nkossa!CA_FP_oil_nom)&gt;0,_xlfn.SINGLE(HM_ZA_Nkossa!CA_FP_oil_nom)&lt;=_xlfn.SINGLE(HM_ZA_Nkossa!cost_stop_p1)),HM_ZA_Nkossa!cost_stop_perbbl1*_xlfn.SINGLE(CA_gross_sales_Total),
IF(AND(_xlfn.SINGLE(HM_ZA_Nkossa!CA_FP_oil_nom)&gt;HM_ZA_Nkossa!cost_stop_p1,_xlfn.SINGLE(HM_ZA_Nkossa!CA_FP_oil_nom)&lt;=HM_ZA_Nkossa!cost_stop_p2),HM_ZA_Nkossa!cost_stop_perbbl2*_xlfn.SINGLE(CA_gross_sales_Total),
HM_ZA_Nkossa!cost_stop_perc*(_xlfn.SINGLE(HM_ZA_Nkossa!CA_gross_rev_oil_hp1))))*(_xlfn.SINGLE(CA_PSC_switch_trig)=0)+
(MIN(_xlfn.SINGLE(HM_ZA_Nkossa!CA_gross_rev_total_fp),_xlfn.SINGLE(HM_ZA_Nkossa!CA_gross_rev_oil_hp2))*(cost_stop_perc_Nkossa2017))*(_xlfn.SINGLE(CA_PSC_switch_trig)=1)</f>
        <v>0</v>
      </c>
      <c r="AC235" s="49">
        <f ca="1">IF(AND(_xlfn.SINGLE(HM_ZA_Nkossa!CA_FP_oil_nom)&gt;0,_xlfn.SINGLE(HM_ZA_Nkossa!CA_FP_oil_nom)&lt;=_xlfn.SINGLE(HM_ZA_Nkossa!cost_stop_p1)),HM_ZA_Nkossa!cost_stop_perbbl1*_xlfn.SINGLE(CA_gross_sales_Total),
IF(AND(_xlfn.SINGLE(HM_ZA_Nkossa!CA_FP_oil_nom)&gt;HM_ZA_Nkossa!cost_stop_p1,_xlfn.SINGLE(HM_ZA_Nkossa!CA_FP_oil_nom)&lt;=HM_ZA_Nkossa!cost_stop_p2),HM_ZA_Nkossa!cost_stop_perbbl2*_xlfn.SINGLE(CA_gross_sales_Total),
HM_ZA_Nkossa!cost_stop_perc*(_xlfn.SINGLE(HM_ZA_Nkossa!CA_gross_rev_oil_hp1))))*(_xlfn.SINGLE(CA_PSC_switch_trig)=0)+
(MIN(_xlfn.SINGLE(HM_ZA_Nkossa!CA_gross_rev_total_fp),_xlfn.SINGLE(HM_ZA_Nkossa!CA_gross_rev_oil_hp2))*(cost_stop_perc_Nkossa2017))*(_xlfn.SINGLE(CA_PSC_switch_trig)=1)</f>
        <v>0</v>
      </c>
      <c r="AD235" s="49">
        <f ca="1">IF(AND(_xlfn.SINGLE(HM_ZA_Nkossa!CA_FP_oil_nom)&gt;0,_xlfn.SINGLE(HM_ZA_Nkossa!CA_FP_oil_nom)&lt;=_xlfn.SINGLE(HM_ZA_Nkossa!cost_stop_p1)),HM_ZA_Nkossa!cost_stop_perbbl1*_xlfn.SINGLE(CA_gross_sales_Total),
IF(AND(_xlfn.SINGLE(HM_ZA_Nkossa!CA_FP_oil_nom)&gt;HM_ZA_Nkossa!cost_stop_p1,_xlfn.SINGLE(HM_ZA_Nkossa!CA_FP_oil_nom)&lt;=HM_ZA_Nkossa!cost_stop_p2),HM_ZA_Nkossa!cost_stop_perbbl2*_xlfn.SINGLE(CA_gross_sales_Total),
HM_ZA_Nkossa!cost_stop_perc*(_xlfn.SINGLE(HM_ZA_Nkossa!CA_gross_rev_oil_hp1))))*(_xlfn.SINGLE(CA_PSC_switch_trig)=0)+
(MIN(_xlfn.SINGLE(HM_ZA_Nkossa!CA_gross_rev_total_fp),_xlfn.SINGLE(HM_ZA_Nkossa!CA_gross_rev_oil_hp2))*(cost_stop_perc_Nkossa2017))*(_xlfn.SINGLE(CA_PSC_switch_trig)=1)</f>
        <v>0</v>
      </c>
      <c r="AE235" s="49">
        <f ca="1">IF(AND(_xlfn.SINGLE(HM_ZA_Nkossa!CA_FP_oil_nom)&gt;0,_xlfn.SINGLE(HM_ZA_Nkossa!CA_FP_oil_nom)&lt;=_xlfn.SINGLE(HM_ZA_Nkossa!cost_stop_p1)),HM_ZA_Nkossa!cost_stop_perbbl1*_xlfn.SINGLE(CA_gross_sales_Total),
IF(AND(_xlfn.SINGLE(HM_ZA_Nkossa!CA_FP_oil_nom)&gt;HM_ZA_Nkossa!cost_stop_p1,_xlfn.SINGLE(HM_ZA_Nkossa!CA_FP_oil_nom)&lt;=HM_ZA_Nkossa!cost_stop_p2),HM_ZA_Nkossa!cost_stop_perbbl2*_xlfn.SINGLE(CA_gross_sales_Total),
HM_ZA_Nkossa!cost_stop_perc*(_xlfn.SINGLE(HM_ZA_Nkossa!CA_gross_rev_oil_hp1))))*(_xlfn.SINGLE(CA_PSC_switch_trig)=0)+
(MIN(_xlfn.SINGLE(HM_ZA_Nkossa!CA_gross_rev_total_fp),_xlfn.SINGLE(HM_ZA_Nkossa!CA_gross_rev_oil_hp2))*(cost_stop_perc_Nkossa2017))*(_xlfn.SINGLE(CA_PSC_switch_trig)=1)</f>
        <v>0</v>
      </c>
      <c r="AF235" s="49">
        <f ca="1">IF(AND(_xlfn.SINGLE(HM_ZA_Nkossa!CA_FP_oil_nom)&gt;0,_xlfn.SINGLE(HM_ZA_Nkossa!CA_FP_oil_nom)&lt;=_xlfn.SINGLE(HM_ZA_Nkossa!cost_stop_p1)),HM_ZA_Nkossa!cost_stop_perbbl1*_xlfn.SINGLE(CA_gross_sales_Total),
IF(AND(_xlfn.SINGLE(HM_ZA_Nkossa!CA_FP_oil_nom)&gt;HM_ZA_Nkossa!cost_stop_p1,_xlfn.SINGLE(HM_ZA_Nkossa!CA_FP_oil_nom)&lt;=HM_ZA_Nkossa!cost_stop_p2),HM_ZA_Nkossa!cost_stop_perbbl2*_xlfn.SINGLE(CA_gross_sales_Total),
HM_ZA_Nkossa!cost_stop_perc*(_xlfn.SINGLE(HM_ZA_Nkossa!CA_gross_rev_oil_hp1))))*(_xlfn.SINGLE(CA_PSC_switch_trig)=0)+
(MIN(_xlfn.SINGLE(HM_ZA_Nkossa!CA_gross_rev_total_fp),_xlfn.SINGLE(HM_ZA_Nkossa!CA_gross_rev_oil_hp2))*(cost_stop_perc_Nkossa2017))*(_xlfn.SINGLE(CA_PSC_switch_trig)=1)</f>
        <v>0</v>
      </c>
      <c r="AG235" s="49">
        <f ca="1">IF(AND(_xlfn.SINGLE(HM_ZA_Nkossa!CA_FP_oil_nom)&gt;0,_xlfn.SINGLE(HM_ZA_Nkossa!CA_FP_oil_nom)&lt;=_xlfn.SINGLE(HM_ZA_Nkossa!cost_stop_p1)),HM_ZA_Nkossa!cost_stop_perbbl1*_xlfn.SINGLE(CA_gross_sales_Total),
IF(AND(_xlfn.SINGLE(HM_ZA_Nkossa!CA_FP_oil_nom)&gt;HM_ZA_Nkossa!cost_stop_p1,_xlfn.SINGLE(HM_ZA_Nkossa!CA_FP_oil_nom)&lt;=HM_ZA_Nkossa!cost_stop_p2),HM_ZA_Nkossa!cost_stop_perbbl2*_xlfn.SINGLE(CA_gross_sales_Total),
HM_ZA_Nkossa!cost_stop_perc*(_xlfn.SINGLE(HM_ZA_Nkossa!CA_gross_rev_oil_hp1))))*(_xlfn.SINGLE(CA_PSC_switch_trig)=0)+
(MIN(_xlfn.SINGLE(HM_ZA_Nkossa!CA_gross_rev_total_fp),_xlfn.SINGLE(HM_ZA_Nkossa!CA_gross_rev_oil_hp2))*(cost_stop_perc_Nkossa2017))*(_xlfn.SINGLE(CA_PSC_switch_trig)=1)</f>
        <v>0</v>
      </c>
      <c r="AH235" s="49">
        <f ca="1">IF(AND(_xlfn.SINGLE(HM_ZA_Nkossa!CA_FP_oil_nom)&gt;0,_xlfn.SINGLE(HM_ZA_Nkossa!CA_FP_oil_nom)&lt;=_xlfn.SINGLE(HM_ZA_Nkossa!cost_stop_p1)),HM_ZA_Nkossa!cost_stop_perbbl1*_xlfn.SINGLE(CA_gross_sales_Total),
IF(AND(_xlfn.SINGLE(HM_ZA_Nkossa!CA_FP_oil_nom)&gt;HM_ZA_Nkossa!cost_stop_p1,_xlfn.SINGLE(HM_ZA_Nkossa!CA_FP_oil_nom)&lt;=HM_ZA_Nkossa!cost_stop_p2),HM_ZA_Nkossa!cost_stop_perbbl2*_xlfn.SINGLE(CA_gross_sales_Total),
HM_ZA_Nkossa!cost_stop_perc*(_xlfn.SINGLE(HM_ZA_Nkossa!CA_gross_rev_oil_hp1))))*(_xlfn.SINGLE(CA_PSC_switch_trig)=0)+
(MIN(_xlfn.SINGLE(HM_ZA_Nkossa!CA_gross_rev_total_fp),_xlfn.SINGLE(HM_ZA_Nkossa!CA_gross_rev_oil_hp2))*(cost_stop_perc_Nkossa2017))*(_xlfn.SINGLE(CA_PSC_switch_trig)=1)</f>
        <v>0</v>
      </c>
      <c r="AI235" s="49">
        <f ca="1">IF(AND(_xlfn.SINGLE(HM_ZA_Nkossa!CA_FP_oil_nom)&gt;0,_xlfn.SINGLE(HM_ZA_Nkossa!CA_FP_oil_nom)&lt;=_xlfn.SINGLE(HM_ZA_Nkossa!cost_stop_p1)),HM_ZA_Nkossa!cost_stop_perbbl1*_xlfn.SINGLE(CA_gross_sales_Total),
IF(AND(_xlfn.SINGLE(HM_ZA_Nkossa!CA_FP_oil_nom)&gt;HM_ZA_Nkossa!cost_stop_p1,_xlfn.SINGLE(HM_ZA_Nkossa!CA_FP_oil_nom)&lt;=HM_ZA_Nkossa!cost_stop_p2),HM_ZA_Nkossa!cost_stop_perbbl2*_xlfn.SINGLE(CA_gross_sales_Total),
HM_ZA_Nkossa!cost_stop_perc*(_xlfn.SINGLE(HM_ZA_Nkossa!CA_gross_rev_oil_hp1))))*(_xlfn.SINGLE(CA_PSC_switch_trig)=0)+
(MIN(_xlfn.SINGLE(HM_ZA_Nkossa!CA_gross_rev_total_fp),_xlfn.SINGLE(HM_ZA_Nkossa!CA_gross_rev_oil_hp2))*(cost_stop_perc_Nkossa2017))*(_xlfn.SINGLE(CA_PSC_switch_trig)=1)</f>
        <v>0</v>
      </c>
      <c r="AJ235" s="49">
        <f ca="1">IF(AND(_xlfn.SINGLE(HM_ZA_Nkossa!CA_FP_oil_nom)&gt;0,_xlfn.SINGLE(HM_ZA_Nkossa!CA_FP_oil_nom)&lt;=_xlfn.SINGLE(HM_ZA_Nkossa!cost_stop_p1)),HM_ZA_Nkossa!cost_stop_perbbl1*_xlfn.SINGLE(CA_gross_sales_Total),
IF(AND(_xlfn.SINGLE(HM_ZA_Nkossa!CA_FP_oil_nom)&gt;HM_ZA_Nkossa!cost_stop_p1,_xlfn.SINGLE(HM_ZA_Nkossa!CA_FP_oil_nom)&lt;=HM_ZA_Nkossa!cost_stop_p2),HM_ZA_Nkossa!cost_stop_perbbl2*_xlfn.SINGLE(CA_gross_sales_Total),
HM_ZA_Nkossa!cost_stop_perc*(_xlfn.SINGLE(HM_ZA_Nkossa!CA_gross_rev_oil_hp1))))*(_xlfn.SINGLE(CA_PSC_switch_trig)=0)+
(MIN(_xlfn.SINGLE(HM_ZA_Nkossa!CA_gross_rev_total_fp),_xlfn.SINGLE(HM_ZA_Nkossa!CA_gross_rev_oil_hp2))*(cost_stop_perc_Nkossa2017))*(_xlfn.SINGLE(CA_PSC_switch_trig)=1)</f>
        <v>0</v>
      </c>
      <c r="AK235" s="49">
        <f ca="1">IF(AND(_xlfn.SINGLE(HM_ZA_Nkossa!CA_FP_oil_nom)&gt;0,_xlfn.SINGLE(HM_ZA_Nkossa!CA_FP_oil_nom)&lt;=_xlfn.SINGLE(HM_ZA_Nkossa!cost_stop_p1)),HM_ZA_Nkossa!cost_stop_perbbl1*_xlfn.SINGLE(CA_gross_sales_Total),
IF(AND(_xlfn.SINGLE(HM_ZA_Nkossa!CA_FP_oil_nom)&gt;HM_ZA_Nkossa!cost_stop_p1,_xlfn.SINGLE(HM_ZA_Nkossa!CA_FP_oil_nom)&lt;=HM_ZA_Nkossa!cost_stop_p2),HM_ZA_Nkossa!cost_stop_perbbl2*_xlfn.SINGLE(CA_gross_sales_Total),
HM_ZA_Nkossa!cost_stop_perc*(_xlfn.SINGLE(HM_ZA_Nkossa!CA_gross_rev_oil_hp1))))*(_xlfn.SINGLE(CA_PSC_switch_trig)=0)+
(MIN(_xlfn.SINGLE(HM_ZA_Nkossa!CA_gross_rev_total_fp),_xlfn.SINGLE(HM_ZA_Nkossa!CA_gross_rev_oil_hp2))*(cost_stop_perc_Nkossa2017))*(_xlfn.SINGLE(CA_PSC_switch_trig)=1)</f>
        <v>0</v>
      </c>
      <c r="AL235" s="49">
        <f ca="1">IF(AND(_xlfn.SINGLE(HM_ZA_Nkossa!CA_FP_oil_nom)&gt;0,_xlfn.SINGLE(HM_ZA_Nkossa!CA_FP_oil_nom)&lt;=_xlfn.SINGLE(HM_ZA_Nkossa!cost_stop_p1)),HM_ZA_Nkossa!cost_stop_perbbl1*_xlfn.SINGLE(CA_gross_sales_Total),
IF(AND(_xlfn.SINGLE(HM_ZA_Nkossa!CA_FP_oil_nom)&gt;HM_ZA_Nkossa!cost_stop_p1,_xlfn.SINGLE(HM_ZA_Nkossa!CA_FP_oil_nom)&lt;=HM_ZA_Nkossa!cost_stop_p2),HM_ZA_Nkossa!cost_stop_perbbl2*_xlfn.SINGLE(CA_gross_sales_Total),
HM_ZA_Nkossa!cost_stop_perc*(_xlfn.SINGLE(HM_ZA_Nkossa!CA_gross_rev_oil_hp1))))*(_xlfn.SINGLE(CA_PSC_switch_trig)=0)+
(MIN(_xlfn.SINGLE(HM_ZA_Nkossa!CA_gross_rev_total_fp),_xlfn.SINGLE(HM_ZA_Nkossa!CA_gross_rev_oil_hp2))*(cost_stop_perc_Nkossa2017))*(_xlfn.SINGLE(CA_PSC_switch_trig)=1)</f>
        <v>0</v>
      </c>
      <c r="AM235" s="49">
        <f ca="1">IF(AND(_xlfn.SINGLE(HM_ZA_Nkossa!CA_FP_oil_nom)&gt;0,_xlfn.SINGLE(HM_ZA_Nkossa!CA_FP_oil_nom)&lt;=_xlfn.SINGLE(HM_ZA_Nkossa!cost_stop_p1)),HM_ZA_Nkossa!cost_stop_perbbl1*_xlfn.SINGLE(CA_gross_sales_Total),
IF(AND(_xlfn.SINGLE(HM_ZA_Nkossa!CA_FP_oil_nom)&gt;HM_ZA_Nkossa!cost_stop_p1,_xlfn.SINGLE(HM_ZA_Nkossa!CA_FP_oil_nom)&lt;=HM_ZA_Nkossa!cost_stop_p2),HM_ZA_Nkossa!cost_stop_perbbl2*_xlfn.SINGLE(CA_gross_sales_Total),
HM_ZA_Nkossa!cost_stop_perc*(_xlfn.SINGLE(HM_ZA_Nkossa!CA_gross_rev_oil_hp1))))*(_xlfn.SINGLE(CA_PSC_switch_trig)=0)+
(MIN(_xlfn.SINGLE(HM_ZA_Nkossa!CA_gross_rev_total_fp),_xlfn.SINGLE(HM_ZA_Nkossa!CA_gross_rev_oil_hp2))*(cost_stop_perc_Nkossa2017))*(_xlfn.SINGLE(CA_PSC_switch_trig)=1)</f>
        <v>0</v>
      </c>
      <c r="AN235" s="49">
        <f ca="1">IF(AND(_xlfn.SINGLE(HM_ZA_Nkossa!CA_FP_oil_nom)&gt;0,_xlfn.SINGLE(HM_ZA_Nkossa!CA_FP_oil_nom)&lt;=_xlfn.SINGLE(HM_ZA_Nkossa!cost_stop_p1)),HM_ZA_Nkossa!cost_stop_perbbl1*_xlfn.SINGLE(CA_gross_sales_Total),
IF(AND(_xlfn.SINGLE(HM_ZA_Nkossa!CA_FP_oil_nom)&gt;HM_ZA_Nkossa!cost_stop_p1,_xlfn.SINGLE(HM_ZA_Nkossa!CA_FP_oil_nom)&lt;=HM_ZA_Nkossa!cost_stop_p2),HM_ZA_Nkossa!cost_stop_perbbl2*_xlfn.SINGLE(CA_gross_sales_Total),
HM_ZA_Nkossa!cost_stop_perc*(_xlfn.SINGLE(HM_ZA_Nkossa!CA_gross_rev_oil_hp1))))*(_xlfn.SINGLE(CA_PSC_switch_trig)=0)+
(MIN(_xlfn.SINGLE(HM_ZA_Nkossa!CA_gross_rev_total_fp),_xlfn.SINGLE(HM_ZA_Nkossa!CA_gross_rev_oil_hp2))*(cost_stop_perc_Nkossa2017))*(_xlfn.SINGLE(CA_PSC_switch_trig)=1)</f>
        <v>0</v>
      </c>
      <c r="AO235" s="49">
        <f ca="1">IF(AND(_xlfn.SINGLE(HM_ZA_Nkossa!CA_FP_oil_nom)&gt;0,_xlfn.SINGLE(HM_ZA_Nkossa!CA_FP_oil_nom)&lt;=_xlfn.SINGLE(HM_ZA_Nkossa!cost_stop_p1)),HM_ZA_Nkossa!cost_stop_perbbl1*_xlfn.SINGLE(CA_gross_sales_Total),
IF(AND(_xlfn.SINGLE(HM_ZA_Nkossa!CA_FP_oil_nom)&gt;HM_ZA_Nkossa!cost_stop_p1,_xlfn.SINGLE(HM_ZA_Nkossa!CA_FP_oil_nom)&lt;=HM_ZA_Nkossa!cost_stop_p2),HM_ZA_Nkossa!cost_stop_perbbl2*_xlfn.SINGLE(CA_gross_sales_Total),
HM_ZA_Nkossa!cost_stop_perc*(_xlfn.SINGLE(HM_ZA_Nkossa!CA_gross_rev_oil_hp1))))*(_xlfn.SINGLE(CA_PSC_switch_trig)=0)+
(MIN(_xlfn.SINGLE(HM_ZA_Nkossa!CA_gross_rev_total_fp),_xlfn.SINGLE(HM_ZA_Nkossa!CA_gross_rev_oil_hp2))*(cost_stop_perc_Nkossa2017))*(_xlfn.SINGLE(CA_PSC_switch_trig)=1)</f>
        <v>0</v>
      </c>
      <c r="AP235" s="49">
        <f ca="1">IF(AND(_xlfn.SINGLE(HM_ZA_Nkossa!CA_FP_oil_nom)&gt;0,_xlfn.SINGLE(HM_ZA_Nkossa!CA_FP_oil_nom)&lt;=_xlfn.SINGLE(HM_ZA_Nkossa!cost_stop_p1)),HM_ZA_Nkossa!cost_stop_perbbl1*_xlfn.SINGLE(CA_gross_sales_Total),
IF(AND(_xlfn.SINGLE(HM_ZA_Nkossa!CA_FP_oil_nom)&gt;HM_ZA_Nkossa!cost_stop_p1,_xlfn.SINGLE(HM_ZA_Nkossa!CA_FP_oil_nom)&lt;=HM_ZA_Nkossa!cost_stop_p2),HM_ZA_Nkossa!cost_stop_perbbl2*_xlfn.SINGLE(CA_gross_sales_Total),
HM_ZA_Nkossa!cost_stop_perc*(_xlfn.SINGLE(HM_ZA_Nkossa!CA_gross_rev_oil_hp1))))*(_xlfn.SINGLE(CA_PSC_switch_trig)=0)+
(MIN(_xlfn.SINGLE(HM_ZA_Nkossa!CA_gross_rev_total_fp),_xlfn.SINGLE(HM_ZA_Nkossa!CA_gross_rev_oil_hp2))*(cost_stop_perc_Nkossa2017))*(_xlfn.SINGLE(CA_PSC_switch_trig)=1)</f>
        <v>0</v>
      </c>
      <c r="AQ235" s="49">
        <f ca="1">IF(AND(_xlfn.SINGLE(HM_ZA_Nkossa!CA_FP_oil_nom)&gt;0,_xlfn.SINGLE(HM_ZA_Nkossa!CA_FP_oil_nom)&lt;=_xlfn.SINGLE(HM_ZA_Nkossa!cost_stop_p1)),HM_ZA_Nkossa!cost_stop_perbbl1*_xlfn.SINGLE(CA_gross_sales_Total),
IF(AND(_xlfn.SINGLE(HM_ZA_Nkossa!CA_FP_oil_nom)&gt;HM_ZA_Nkossa!cost_stop_p1,_xlfn.SINGLE(HM_ZA_Nkossa!CA_FP_oil_nom)&lt;=HM_ZA_Nkossa!cost_stop_p2),HM_ZA_Nkossa!cost_stop_perbbl2*_xlfn.SINGLE(CA_gross_sales_Total),
HM_ZA_Nkossa!cost_stop_perc*(_xlfn.SINGLE(HM_ZA_Nkossa!CA_gross_rev_oil_hp1))))*(_xlfn.SINGLE(CA_PSC_switch_trig)=0)+
(MIN(_xlfn.SINGLE(HM_ZA_Nkossa!CA_gross_rev_total_fp),_xlfn.SINGLE(HM_ZA_Nkossa!CA_gross_rev_oil_hp2))*(cost_stop_perc_Nkossa2017))*(_xlfn.SINGLE(CA_PSC_switch_trig)=1)</f>
        <v>0</v>
      </c>
      <c r="AR235" s="49">
        <f ca="1">IF(AND(_xlfn.SINGLE(HM_ZA_Nkossa!CA_FP_oil_nom)&gt;0,_xlfn.SINGLE(HM_ZA_Nkossa!CA_FP_oil_nom)&lt;=_xlfn.SINGLE(HM_ZA_Nkossa!cost_stop_p1)),HM_ZA_Nkossa!cost_stop_perbbl1*_xlfn.SINGLE(CA_gross_sales_Total),
IF(AND(_xlfn.SINGLE(HM_ZA_Nkossa!CA_FP_oil_nom)&gt;HM_ZA_Nkossa!cost_stop_p1,_xlfn.SINGLE(HM_ZA_Nkossa!CA_FP_oil_nom)&lt;=HM_ZA_Nkossa!cost_stop_p2),HM_ZA_Nkossa!cost_stop_perbbl2*_xlfn.SINGLE(CA_gross_sales_Total),
HM_ZA_Nkossa!cost_stop_perc*(_xlfn.SINGLE(HM_ZA_Nkossa!CA_gross_rev_oil_hp1))))*(_xlfn.SINGLE(CA_PSC_switch_trig)=0)+
(MIN(_xlfn.SINGLE(HM_ZA_Nkossa!CA_gross_rev_total_fp),_xlfn.SINGLE(HM_ZA_Nkossa!CA_gross_rev_oil_hp2))*(cost_stop_perc_Nkossa2017))*(_xlfn.SINGLE(CA_PSC_switch_trig)=1)</f>
        <v>0</v>
      </c>
      <c r="AS235" s="49">
        <f ca="1">IF(AND(_xlfn.SINGLE(HM_ZA_Nkossa!CA_FP_oil_nom)&gt;0,_xlfn.SINGLE(HM_ZA_Nkossa!CA_FP_oil_nom)&lt;=_xlfn.SINGLE(HM_ZA_Nkossa!cost_stop_p1)),HM_ZA_Nkossa!cost_stop_perbbl1*_xlfn.SINGLE(CA_gross_sales_Total),
IF(AND(_xlfn.SINGLE(HM_ZA_Nkossa!CA_FP_oil_nom)&gt;HM_ZA_Nkossa!cost_stop_p1,_xlfn.SINGLE(HM_ZA_Nkossa!CA_FP_oil_nom)&lt;=HM_ZA_Nkossa!cost_stop_p2),HM_ZA_Nkossa!cost_stop_perbbl2*_xlfn.SINGLE(CA_gross_sales_Total),
HM_ZA_Nkossa!cost_stop_perc*(_xlfn.SINGLE(HM_ZA_Nkossa!CA_gross_rev_oil_hp1))))*(_xlfn.SINGLE(CA_PSC_switch_trig)=0)+
(MIN(_xlfn.SINGLE(HM_ZA_Nkossa!CA_gross_rev_total_fp),_xlfn.SINGLE(HM_ZA_Nkossa!CA_gross_rev_oil_hp2))*(cost_stop_perc_Nkossa2017))*(_xlfn.SINGLE(CA_PSC_switch_trig)=1)</f>
        <v>0</v>
      </c>
      <c r="AT235" s="49">
        <f ca="1">IF(AND(_xlfn.SINGLE(HM_ZA_Nkossa!CA_FP_oil_nom)&gt;0,_xlfn.SINGLE(HM_ZA_Nkossa!CA_FP_oil_nom)&lt;=_xlfn.SINGLE(HM_ZA_Nkossa!cost_stop_p1)),HM_ZA_Nkossa!cost_stop_perbbl1*_xlfn.SINGLE(CA_gross_sales_Total),
IF(AND(_xlfn.SINGLE(HM_ZA_Nkossa!CA_FP_oil_nom)&gt;HM_ZA_Nkossa!cost_stop_p1,_xlfn.SINGLE(HM_ZA_Nkossa!CA_FP_oil_nom)&lt;=HM_ZA_Nkossa!cost_stop_p2),HM_ZA_Nkossa!cost_stop_perbbl2*_xlfn.SINGLE(CA_gross_sales_Total),
HM_ZA_Nkossa!cost_stop_perc*(_xlfn.SINGLE(HM_ZA_Nkossa!CA_gross_rev_oil_hp1))))*(_xlfn.SINGLE(CA_PSC_switch_trig)=0)+
(MIN(_xlfn.SINGLE(HM_ZA_Nkossa!CA_gross_rev_total_fp),_xlfn.SINGLE(HM_ZA_Nkossa!CA_gross_rev_oil_hp2))*(cost_stop_perc_Nkossa2017))*(_xlfn.SINGLE(CA_PSC_switch_trig)=1)</f>
        <v>0</v>
      </c>
      <c r="AU235" s="49">
        <f ca="1">IF(AND(_xlfn.SINGLE(HM_ZA_Nkossa!CA_FP_oil_nom)&gt;0,_xlfn.SINGLE(HM_ZA_Nkossa!CA_FP_oil_nom)&lt;=_xlfn.SINGLE(HM_ZA_Nkossa!cost_stop_p1)),HM_ZA_Nkossa!cost_stop_perbbl1*_xlfn.SINGLE(CA_gross_sales_Total),
IF(AND(_xlfn.SINGLE(HM_ZA_Nkossa!CA_FP_oil_nom)&gt;HM_ZA_Nkossa!cost_stop_p1,_xlfn.SINGLE(HM_ZA_Nkossa!CA_FP_oil_nom)&lt;=HM_ZA_Nkossa!cost_stop_p2),HM_ZA_Nkossa!cost_stop_perbbl2*_xlfn.SINGLE(CA_gross_sales_Total),
HM_ZA_Nkossa!cost_stop_perc*(_xlfn.SINGLE(HM_ZA_Nkossa!CA_gross_rev_oil_hp1))))*(_xlfn.SINGLE(CA_PSC_switch_trig)=0)+
(MIN(_xlfn.SINGLE(HM_ZA_Nkossa!CA_gross_rev_total_fp),_xlfn.SINGLE(HM_ZA_Nkossa!CA_gross_rev_oil_hp2))*(cost_stop_perc_Nkossa2017))*(_xlfn.SINGLE(CA_PSC_switch_trig)=1)</f>
        <v>0</v>
      </c>
      <c r="AV235" s="49">
        <f ca="1">IF(AND(_xlfn.SINGLE(HM_ZA_Nkossa!CA_FP_oil_nom)&gt;0,_xlfn.SINGLE(HM_ZA_Nkossa!CA_FP_oil_nom)&lt;=_xlfn.SINGLE(HM_ZA_Nkossa!cost_stop_p1)),HM_ZA_Nkossa!cost_stop_perbbl1*_xlfn.SINGLE(CA_gross_sales_Total),
IF(AND(_xlfn.SINGLE(HM_ZA_Nkossa!CA_FP_oil_nom)&gt;HM_ZA_Nkossa!cost_stop_p1,_xlfn.SINGLE(HM_ZA_Nkossa!CA_FP_oil_nom)&lt;=HM_ZA_Nkossa!cost_stop_p2),HM_ZA_Nkossa!cost_stop_perbbl2*_xlfn.SINGLE(CA_gross_sales_Total),
HM_ZA_Nkossa!cost_stop_perc*(_xlfn.SINGLE(HM_ZA_Nkossa!CA_gross_rev_oil_hp1))))*(_xlfn.SINGLE(CA_PSC_switch_trig)=0)+
(MIN(_xlfn.SINGLE(HM_ZA_Nkossa!CA_gross_rev_total_fp),_xlfn.SINGLE(HM_ZA_Nkossa!CA_gross_rev_oil_hp2))*(cost_stop_perc_Nkossa2017))*(_xlfn.SINGLE(CA_PSC_switch_trig)=1)</f>
        <v>0</v>
      </c>
      <c r="AW235" s="49">
        <f ca="1">IF(AND(_xlfn.SINGLE(HM_ZA_Nkossa!CA_FP_oil_nom)&gt;0,_xlfn.SINGLE(HM_ZA_Nkossa!CA_FP_oil_nom)&lt;=_xlfn.SINGLE(HM_ZA_Nkossa!cost_stop_p1)),HM_ZA_Nkossa!cost_stop_perbbl1*_xlfn.SINGLE(CA_gross_sales_Total),
IF(AND(_xlfn.SINGLE(HM_ZA_Nkossa!CA_FP_oil_nom)&gt;HM_ZA_Nkossa!cost_stop_p1,_xlfn.SINGLE(HM_ZA_Nkossa!CA_FP_oil_nom)&lt;=HM_ZA_Nkossa!cost_stop_p2),HM_ZA_Nkossa!cost_stop_perbbl2*_xlfn.SINGLE(CA_gross_sales_Total),
HM_ZA_Nkossa!cost_stop_perc*(_xlfn.SINGLE(HM_ZA_Nkossa!CA_gross_rev_oil_hp1))))*(_xlfn.SINGLE(CA_PSC_switch_trig)=0)+
(MIN(_xlfn.SINGLE(HM_ZA_Nkossa!CA_gross_rev_total_fp),_xlfn.SINGLE(HM_ZA_Nkossa!CA_gross_rev_oil_hp2))*(cost_stop_perc_Nkossa2017))*(_xlfn.SINGLE(CA_PSC_switch_trig)=1)</f>
        <v>0</v>
      </c>
      <c r="AX235" s="49">
        <f ca="1">IF(AND(_xlfn.SINGLE(HM_ZA_Nkossa!CA_FP_oil_nom)&gt;0,_xlfn.SINGLE(HM_ZA_Nkossa!CA_FP_oil_nom)&lt;=_xlfn.SINGLE(HM_ZA_Nkossa!cost_stop_p1)),HM_ZA_Nkossa!cost_stop_perbbl1*_xlfn.SINGLE(CA_gross_sales_Total),
IF(AND(_xlfn.SINGLE(HM_ZA_Nkossa!CA_FP_oil_nom)&gt;HM_ZA_Nkossa!cost_stop_p1,_xlfn.SINGLE(HM_ZA_Nkossa!CA_FP_oil_nom)&lt;=HM_ZA_Nkossa!cost_stop_p2),HM_ZA_Nkossa!cost_stop_perbbl2*_xlfn.SINGLE(CA_gross_sales_Total),
HM_ZA_Nkossa!cost_stop_perc*(_xlfn.SINGLE(HM_ZA_Nkossa!CA_gross_rev_oil_hp1))))*(_xlfn.SINGLE(CA_PSC_switch_trig)=0)+
(MIN(_xlfn.SINGLE(HM_ZA_Nkossa!CA_gross_rev_total_fp),_xlfn.SINGLE(HM_ZA_Nkossa!CA_gross_rev_oil_hp2))*(cost_stop_perc_Nkossa2017))*(_xlfn.SINGLE(CA_PSC_switch_trig)=1)</f>
        <v>0</v>
      </c>
      <c r="AY235" s="49">
        <f ca="1">IF(AND(_xlfn.SINGLE(HM_ZA_Nkossa!CA_FP_oil_nom)&gt;0,_xlfn.SINGLE(HM_ZA_Nkossa!CA_FP_oil_nom)&lt;=_xlfn.SINGLE(HM_ZA_Nkossa!cost_stop_p1)),HM_ZA_Nkossa!cost_stop_perbbl1*_xlfn.SINGLE(CA_gross_sales_Total),
IF(AND(_xlfn.SINGLE(HM_ZA_Nkossa!CA_FP_oil_nom)&gt;HM_ZA_Nkossa!cost_stop_p1,_xlfn.SINGLE(HM_ZA_Nkossa!CA_FP_oil_nom)&lt;=HM_ZA_Nkossa!cost_stop_p2),HM_ZA_Nkossa!cost_stop_perbbl2*_xlfn.SINGLE(CA_gross_sales_Total),
HM_ZA_Nkossa!cost_stop_perc*(_xlfn.SINGLE(HM_ZA_Nkossa!CA_gross_rev_oil_hp1))))*(_xlfn.SINGLE(CA_PSC_switch_trig)=0)+
(MIN(_xlfn.SINGLE(HM_ZA_Nkossa!CA_gross_rev_total_fp),_xlfn.SINGLE(HM_ZA_Nkossa!CA_gross_rev_oil_hp2))*(cost_stop_perc_Nkossa2017))*(_xlfn.SINGLE(CA_PSC_switch_trig)=1)</f>
        <v>0</v>
      </c>
      <c r="AZ235" s="49">
        <f ca="1">IF(AND(_xlfn.SINGLE(HM_ZA_Nkossa!CA_FP_oil_nom)&gt;0,_xlfn.SINGLE(HM_ZA_Nkossa!CA_FP_oil_nom)&lt;=_xlfn.SINGLE(HM_ZA_Nkossa!cost_stop_p1)),HM_ZA_Nkossa!cost_stop_perbbl1*_xlfn.SINGLE(CA_gross_sales_Total),
IF(AND(_xlfn.SINGLE(HM_ZA_Nkossa!CA_FP_oil_nom)&gt;HM_ZA_Nkossa!cost_stop_p1,_xlfn.SINGLE(HM_ZA_Nkossa!CA_FP_oil_nom)&lt;=HM_ZA_Nkossa!cost_stop_p2),HM_ZA_Nkossa!cost_stop_perbbl2*_xlfn.SINGLE(CA_gross_sales_Total),
HM_ZA_Nkossa!cost_stop_perc*(_xlfn.SINGLE(HM_ZA_Nkossa!CA_gross_rev_oil_hp1))))*(_xlfn.SINGLE(CA_PSC_switch_trig)=0)+
(MIN(_xlfn.SINGLE(HM_ZA_Nkossa!CA_gross_rev_total_fp),_xlfn.SINGLE(HM_ZA_Nkossa!CA_gross_rev_oil_hp2))*(cost_stop_perc_Nkossa2017))*(_xlfn.SINGLE(CA_PSC_switch_trig)=1)</f>
        <v>0</v>
      </c>
      <c r="BA235" s="49">
        <f ca="1">IF(AND(_xlfn.SINGLE(HM_ZA_Nkossa!CA_FP_oil_nom)&gt;0,_xlfn.SINGLE(HM_ZA_Nkossa!CA_FP_oil_nom)&lt;=_xlfn.SINGLE(HM_ZA_Nkossa!cost_stop_p1)),HM_ZA_Nkossa!cost_stop_perbbl1*_xlfn.SINGLE(CA_gross_sales_Total),
IF(AND(_xlfn.SINGLE(HM_ZA_Nkossa!CA_FP_oil_nom)&gt;HM_ZA_Nkossa!cost_stop_p1,_xlfn.SINGLE(HM_ZA_Nkossa!CA_FP_oil_nom)&lt;=HM_ZA_Nkossa!cost_stop_p2),HM_ZA_Nkossa!cost_stop_perbbl2*_xlfn.SINGLE(CA_gross_sales_Total),
HM_ZA_Nkossa!cost_stop_perc*(_xlfn.SINGLE(HM_ZA_Nkossa!CA_gross_rev_oil_hp1))))*(_xlfn.SINGLE(CA_PSC_switch_trig)=0)+
(MIN(_xlfn.SINGLE(HM_ZA_Nkossa!CA_gross_rev_total_fp),_xlfn.SINGLE(HM_ZA_Nkossa!CA_gross_rev_oil_hp2))*(cost_stop_perc_Nkossa2017))*(_xlfn.SINGLE(CA_PSC_switch_trig)=1)</f>
        <v>0</v>
      </c>
      <c r="BB235" s="49">
        <f ca="1">IF(AND(_xlfn.SINGLE(HM_ZA_Nkossa!CA_FP_oil_nom)&gt;0,_xlfn.SINGLE(HM_ZA_Nkossa!CA_FP_oil_nom)&lt;=_xlfn.SINGLE(HM_ZA_Nkossa!cost_stop_p1)),HM_ZA_Nkossa!cost_stop_perbbl1*_xlfn.SINGLE(CA_gross_sales_Total),
IF(AND(_xlfn.SINGLE(HM_ZA_Nkossa!CA_FP_oil_nom)&gt;HM_ZA_Nkossa!cost_stop_p1,_xlfn.SINGLE(HM_ZA_Nkossa!CA_FP_oil_nom)&lt;=HM_ZA_Nkossa!cost_stop_p2),HM_ZA_Nkossa!cost_stop_perbbl2*_xlfn.SINGLE(CA_gross_sales_Total),
HM_ZA_Nkossa!cost_stop_perc*(_xlfn.SINGLE(HM_ZA_Nkossa!CA_gross_rev_oil_hp1))))*(_xlfn.SINGLE(CA_PSC_switch_trig)=0)+
(MIN(_xlfn.SINGLE(HM_ZA_Nkossa!CA_gross_rev_total_fp),_xlfn.SINGLE(HM_ZA_Nkossa!CA_gross_rev_oil_hp2))*(cost_stop_perc_Nkossa2017))*(_xlfn.SINGLE(CA_PSC_switch_trig)=1)</f>
        <v>0</v>
      </c>
      <c r="BC235" s="49">
        <f ca="1">IF(AND(_xlfn.SINGLE(HM_ZA_Nkossa!CA_FP_oil_nom)&gt;0,_xlfn.SINGLE(HM_ZA_Nkossa!CA_FP_oil_nom)&lt;=_xlfn.SINGLE(HM_ZA_Nkossa!cost_stop_p1)),HM_ZA_Nkossa!cost_stop_perbbl1*_xlfn.SINGLE(CA_gross_sales_Total),
IF(AND(_xlfn.SINGLE(HM_ZA_Nkossa!CA_FP_oil_nom)&gt;HM_ZA_Nkossa!cost_stop_p1,_xlfn.SINGLE(HM_ZA_Nkossa!CA_FP_oil_nom)&lt;=HM_ZA_Nkossa!cost_stop_p2),HM_ZA_Nkossa!cost_stop_perbbl2*_xlfn.SINGLE(CA_gross_sales_Total),
HM_ZA_Nkossa!cost_stop_perc*(_xlfn.SINGLE(HM_ZA_Nkossa!CA_gross_rev_oil_hp1))))*(_xlfn.SINGLE(CA_PSC_switch_trig)=0)+
(MIN(_xlfn.SINGLE(HM_ZA_Nkossa!CA_gross_rev_total_fp),_xlfn.SINGLE(HM_ZA_Nkossa!CA_gross_rev_oil_hp2))*(cost_stop_perc_Nkossa2017))*(_xlfn.SINGLE(CA_PSC_switch_trig)=1)</f>
        <v>0</v>
      </c>
      <c r="BD235" s="49">
        <f ca="1">IF(AND(_xlfn.SINGLE(HM_ZA_Nkossa!CA_FP_oil_nom)&gt;0,_xlfn.SINGLE(HM_ZA_Nkossa!CA_FP_oil_nom)&lt;=_xlfn.SINGLE(HM_ZA_Nkossa!cost_stop_p1)),HM_ZA_Nkossa!cost_stop_perbbl1*_xlfn.SINGLE(CA_gross_sales_Total),
IF(AND(_xlfn.SINGLE(HM_ZA_Nkossa!CA_FP_oil_nom)&gt;HM_ZA_Nkossa!cost_stop_p1,_xlfn.SINGLE(HM_ZA_Nkossa!CA_FP_oil_nom)&lt;=HM_ZA_Nkossa!cost_stop_p2),HM_ZA_Nkossa!cost_stop_perbbl2*_xlfn.SINGLE(CA_gross_sales_Total),
HM_ZA_Nkossa!cost_stop_perc*(_xlfn.SINGLE(HM_ZA_Nkossa!CA_gross_rev_oil_hp1))))*(_xlfn.SINGLE(CA_PSC_switch_trig)=0)+
(MIN(_xlfn.SINGLE(HM_ZA_Nkossa!CA_gross_rev_total_fp),_xlfn.SINGLE(HM_ZA_Nkossa!CA_gross_rev_oil_hp2))*(cost_stop_perc_Nkossa2017))*(_xlfn.SINGLE(CA_PSC_switch_trig)=1)</f>
        <v>0</v>
      </c>
      <c r="BE235" s="49">
        <f ca="1">IF(AND(_xlfn.SINGLE(HM_ZA_Nkossa!CA_FP_oil_nom)&gt;0,_xlfn.SINGLE(HM_ZA_Nkossa!CA_FP_oil_nom)&lt;=_xlfn.SINGLE(HM_ZA_Nkossa!cost_stop_p1)),HM_ZA_Nkossa!cost_stop_perbbl1*_xlfn.SINGLE(CA_gross_sales_Total),
IF(AND(_xlfn.SINGLE(HM_ZA_Nkossa!CA_FP_oil_nom)&gt;HM_ZA_Nkossa!cost_stop_p1,_xlfn.SINGLE(HM_ZA_Nkossa!CA_FP_oil_nom)&lt;=HM_ZA_Nkossa!cost_stop_p2),HM_ZA_Nkossa!cost_stop_perbbl2*_xlfn.SINGLE(CA_gross_sales_Total),
HM_ZA_Nkossa!cost_stop_perc*(_xlfn.SINGLE(HM_ZA_Nkossa!CA_gross_rev_oil_hp1))))*(_xlfn.SINGLE(CA_PSC_switch_trig)=0)+
(MIN(_xlfn.SINGLE(HM_ZA_Nkossa!CA_gross_rev_total_fp),_xlfn.SINGLE(HM_ZA_Nkossa!CA_gross_rev_oil_hp2))*(cost_stop_perc_Nkossa2017))*(_xlfn.SINGLE(CA_PSC_switch_trig)=1)</f>
        <v>0</v>
      </c>
      <c r="BF235" s="49">
        <f ca="1">IF(AND(_xlfn.SINGLE(HM_ZA_Nkossa!CA_FP_oil_nom)&gt;0,_xlfn.SINGLE(HM_ZA_Nkossa!CA_FP_oil_nom)&lt;=_xlfn.SINGLE(HM_ZA_Nkossa!cost_stop_p1)),HM_ZA_Nkossa!cost_stop_perbbl1*_xlfn.SINGLE(CA_gross_sales_Total),
IF(AND(_xlfn.SINGLE(HM_ZA_Nkossa!CA_FP_oil_nom)&gt;HM_ZA_Nkossa!cost_stop_p1,_xlfn.SINGLE(HM_ZA_Nkossa!CA_FP_oil_nom)&lt;=HM_ZA_Nkossa!cost_stop_p2),HM_ZA_Nkossa!cost_stop_perbbl2*_xlfn.SINGLE(CA_gross_sales_Total),
HM_ZA_Nkossa!cost_stop_perc*(_xlfn.SINGLE(HM_ZA_Nkossa!CA_gross_rev_oil_hp1))))*(_xlfn.SINGLE(CA_PSC_switch_trig)=0)+
(MIN(_xlfn.SINGLE(HM_ZA_Nkossa!CA_gross_rev_total_fp),_xlfn.SINGLE(HM_ZA_Nkossa!CA_gross_rev_oil_hp2))*(cost_stop_perc_Nkossa2017))*(_xlfn.SINGLE(CA_PSC_switch_trig)=1)</f>
        <v>0</v>
      </c>
      <c r="BG235" s="49">
        <f ca="1">IF(AND(_xlfn.SINGLE(HM_ZA_Nkossa!CA_FP_oil_nom)&gt;0,_xlfn.SINGLE(HM_ZA_Nkossa!CA_FP_oil_nom)&lt;=_xlfn.SINGLE(HM_ZA_Nkossa!cost_stop_p1)),HM_ZA_Nkossa!cost_stop_perbbl1*_xlfn.SINGLE(CA_gross_sales_Total),
IF(AND(_xlfn.SINGLE(HM_ZA_Nkossa!CA_FP_oil_nom)&gt;HM_ZA_Nkossa!cost_stop_p1,_xlfn.SINGLE(HM_ZA_Nkossa!CA_FP_oil_nom)&lt;=HM_ZA_Nkossa!cost_stop_p2),HM_ZA_Nkossa!cost_stop_perbbl2*_xlfn.SINGLE(CA_gross_sales_Total),
HM_ZA_Nkossa!cost_stop_perc*(_xlfn.SINGLE(HM_ZA_Nkossa!CA_gross_rev_oil_hp1))))*(_xlfn.SINGLE(CA_PSC_switch_trig)=0)+
(MIN(_xlfn.SINGLE(HM_ZA_Nkossa!CA_gross_rev_total_fp),_xlfn.SINGLE(HM_ZA_Nkossa!CA_gross_rev_oil_hp2))*(cost_stop_perc_Nkossa2017))*(_xlfn.SINGLE(CA_PSC_switch_trig)=1)</f>
        <v>0</v>
      </c>
      <c r="BH235" s="49">
        <f ca="1">IF(AND(_xlfn.SINGLE(HM_ZA_Nkossa!CA_FP_oil_nom)&gt;0,_xlfn.SINGLE(HM_ZA_Nkossa!CA_FP_oil_nom)&lt;=_xlfn.SINGLE(HM_ZA_Nkossa!cost_stop_p1)),HM_ZA_Nkossa!cost_stop_perbbl1*_xlfn.SINGLE(CA_gross_sales_Total),
IF(AND(_xlfn.SINGLE(HM_ZA_Nkossa!CA_FP_oil_nom)&gt;HM_ZA_Nkossa!cost_stop_p1,_xlfn.SINGLE(HM_ZA_Nkossa!CA_FP_oil_nom)&lt;=HM_ZA_Nkossa!cost_stop_p2),HM_ZA_Nkossa!cost_stop_perbbl2*_xlfn.SINGLE(CA_gross_sales_Total),
HM_ZA_Nkossa!cost_stop_perc*(_xlfn.SINGLE(HM_ZA_Nkossa!CA_gross_rev_oil_hp1))))*(_xlfn.SINGLE(CA_PSC_switch_trig)=0)+
(MIN(_xlfn.SINGLE(HM_ZA_Nkossa!CA_gross_rev_total_fp),_xlfn.SINGLE(HM_ZA_Nkossa!CA_gross_rev_oil_hp2))*(cost_stop_perc_Nkossa2017))*(_xlfn.SINGLE(CA_PSC_switch_trig)=1)</f>
        <v>0</v>
      </c>
      <c r="BI235" s="49">
        <f ca="1">IF(AND(_xlfn.SINGLE(HM_ZA_Nkossa!CA_FP_oil_nom)&gt;0,_xlfn.SINGLE(HM_ZA_Nkossa!CA_FP_oil_nom)&lt;=_xlfn.SINGLE(HM_ZA_Nkossa!cost_stop_p1)),HM_ZA_Nkossa!cost_stop_perbbl1*_xlfn.SINGLE(CA_gross_sales_Total),
IF(AND(_xlfn.SINGLE(HM_ZA_Nkossa!CA_FP_oil_nom)&gt;HM_ZA_Nkossa!cost_stop_p1,_xlfn.SINGLE(HM_ZA_Nkossa!CA_FP_oil_nom)&lt;=HM_ZA_Nkossa!cost_stop_p2),HM_ZA_Nkossa!cost_stop_perbbl2*_xlfn.SINGLE(CA_gross_sales_Total),
HM_ZA_Nkossa!cost_stop_perc*(_xlfn.SINGLE(HM_ZA_Nkossa!CA_gross_rev_oil_hp1))))*(_xlfn.SINGLE(CA_PSC_switch_trig)=0)+
(MIN(_xlfn.SINGLE(HM_ZA_Nkossa!CA_gross_rev_total_fp),_xlfn.SINGLE(HM_ZA_Nkossa!CA_gross_rev_oil_hp2))*(cost_stop_perc_Nkossa2017))*(_xlfn.SINGLE(CA_PSC_switch_trig)=1)</f>
        <v>0</v>
      </c>
      <c r="BJ235" s="49">
        <f ca="1">IF(AND(_xlfn.SINGLE(HM_ZA_Nkossa!CA_FP_oil_nom)&gt;0,_xlfn.SINGLE(HM_ZA_Nkossa!CA_FP_oil_nom)&lt;=_xlfn.SINGLE(HM_ZA_Nkossa!cost_stop_p1)),HM_ZA_Nkossa!cost_stop_perbbl1*_xlfn.SINGLE(CA_gross_sales_Total),
IF(AND(_xlfn.SINGLE(HM_ZA_Nkossa!CA_FP_oil_nom)&gt;HM_ZA_Nkossa!cost_stop_p1,_xlfn.SINGLE(HM_ZA_Nkossa!CA_FP_oil_nom)&lt;=HM_ZA_Nkossa!cost_stop_p2),HM_ZA_Nkossa!cost_stop_perbbl2*_xlfn.SINGLE(CA_gross_sales_Total),
HM_ZA_Nkossa!cost_stop_perc*(_xlfn.SINGLE(HM_ZA_Nkossa!CA_gross_rev_oil_hp1))))*(_xlfn.SINGLE(CA_PSC_switch_trig)=0)+
(MIN(_xlfn.SINGLE(HM_ZA_Nkossa!CA_gross_rev_total_fp),_xlfn.SINGLE(HM_ZA_Nkossa!CA_gross_rev_oil_hp2))*(cost_stop_perc_Nkossa2017))*(_xlfn.SINGLE(CA_PSC_switch_trig)=1)</f>
        <v>0</v>
      </c>
      <c r="BK235" s="49">
        <f ca="1">IF(AND(_xlfn.SINGLE(HM_ZA_Nkossa!CA_FP_oil_nom)&gt;0,_xlfn.SINGLE(HM_ZA_Nkossa!CA_FP_oil_nom)&lt;=_xlfn.SINGLE(HM_ZA_Nkossa!cost_stop_p1)),HM_ZA_Nkossa!cost_stop_perbbl1*_xlfn.SINGLE(CA_gross_sales_Total),
IF(AND(_xlfn.SINGLE(HM_ZA_Nkossa!CA_FP_oil_nom)&gt;HM_ZA_Nkossa!cost_stop_p1,_xlfn.SINGLE(HM_ZA_Nkossa!CA_FP_oil_nom)&lt;=HM_ZA_Nkossa!cost_stop_p2),HM_ZA_Nkossa!cost_stop_perbbl2*_xlfn.SINGLE(CA_gross_sales_Total),
HM_ZA_Nkossa!cost_stop_perc*(_xlfn.SINGLE(HM_ZA_Nkossa!CA_gross_rev_oil_hp1))))*(_xlfn.SINGLE(CA_PSC_switch_trig)=0)+
(MIN(_xlfn.SINGLE(HM_ZA_Nkossa!CA_gross_rev_total_fp),_xlfn.SINGLE(HM_ZA_Nkossa!CA_gross_rev_oil_hp2))*(cost_stop_perc_Nkossa2017))*(_xlfn.SINGLE(CA_PSC_switch_trig)=1)</f>
        <v>0</v>
      </c>
      <c r="BL235" s="49">
        <f ca="1">IF(AND(_xlfn.SINGLE(HM_ZA_Nkossa!CA_FP_oil_nom)&gt;0,_xlfn.SINGLE(HM_ZA_Nkossa!CA_FP_oil_nom)&lt;=_xlfn.SINGLE(HM_ZA_Nkossa!cost_stop_p1)),HM_ZA_Nkossa!cost_stop_perbbl1*_xlfn.SINGLE(CA_gross_sales_Total),
IF(AND(_xlfn.SINGLE(HM_ZA_Nkossa!CA_FP_oil_nom)&gt;HM_ZA_Nkossa!cost_stop_p1,_xlfn.SINGLE(HM_ZA_Nkossa!CA_FP_oil_nom)&lt;=HM_ZA_Nkossa!cost_stop_p2),HM_ZA_Nkossa!cost_stop_perbbl2*_xlfn.SINGLE(CA_gross_sales_Total),
HM_ZA_Nkossa!cost_stop_perc*(_xlfn.SINGLE(HM_ZA_Nkossa!CA_gross_rev_oil_hp1))))*(_xlfn.SINGLE(CA_PSC_switch_trig)=0)+
(MIN(_xlfn.SINGLE(HM_ZA_Nkossa!CA_gross_rev_total_fp),_xlfn.SINGLE(HM_ZA_Nkossa!CA_gross_rev_oil_hp2))*(cost_stop_perc_Nkossa2017))*(_xlfn.SINGLE(CA_PSC_switch_trig)=1)</f>
        <v>0</v>
      </c>
      <c r="BM235" s="49">
        <f ca="1">IF(AND(_xlfn.SINGLE(HM_ZA_Nkossa!CA_FP_oil_nom)&gt;0,_xlfn.SINGLE(HM_ZA_Nkossa!CA_FP_oil_nom)&lt;=_xlfn.SINGLE(HM_ZA_Nkossa!cost_stop_p1)),HM_ZA_Nkossa!cost_stop_perbbl1*_xlfn.SINGLE(CA_gross_sales_Total),
IF(AND(_xlfn.SINGLE(HM_ZA_Nkossa!CA_FP_oil_nom)&gt;HM_ZA_Nkossa!cost_stop_p1,_xlfn.SINGLE(HM_ZA_Nkossa!CA_FP_oil_nom)&lt;=HM_ZA_Nkossa!cost_stop_p2),HM_ZA_Nkossa!cost_stop_perbbl2*_xlfn.SINGLE(CA_gross_sales_Total),
HM_ZA_Nkossa!cost_stop_perc*(_xlfn.SINGLE(HM_ZA_Nkossa!CA_gross_rev_oil_hp1))))*(_xlfn.SINGLE(CA_PSC_switch_trig)=0)+
(MIN(_xlfn.SINGLE(HM_ZA_Nkossa!CA_gross_rev_total_fp),_xlfn.SINGLE(HM_ZA_Nkossa!CA_gross_rev_oil_hp2))*(cost_stop_perc_Nkossa2017))*(_xlfn.SINGLE(CA_PSC_switch_trig)=1)</f>
        <v>0</v>
      </c>
      <c r="BN235" s="49">
        <f ca="1">IF(AND(_xlfn.SINGLE(HM_ZA_Nkossa!CA_FP_oil_nom)&gt;0,_xlfn.SINGLE(HM_ZA_Nkossa!CA_FP_oil_nom)&lt;=_xlfn.SINGLE(HM_ZA_Nkossa!cost_stop_p1)),HM_ZA_Nkossa!cost_stop_perbbl1*_xlfn.SINGLE(CA_gross_sales_Total),
IF(AND(_xlfn.SINGLE(HM_ZA_Nkossa!CA_FP_oil_nom)&gt;HM_ZA_Nkossa!cost_stop_p1,_xlfn.SINGLE(HM_ZA_Nkossa!CA_FP_oil_nom)&lt;=HM_ZA_Nkossa!cost_stop_p2),HM_ZA_Nkossa!cost_stop_perbbl2*_xlfn.SINGLE(CA_gross_sales_Total),
HM_ZA_Nkossa!cost_stop_perc*(_xlfn.SINGLE(HM_ZA_Nkossa!CA_gross_rev_oil_hp1))))*(_xlfn.SINGLE(CA_PSC_switch_trig)=0)+
(MIN(_xlfn.SINGLE(HM_ZA_Nkossa!CA_gross_rev_total_fp),_xlfn.SINGLE(HM_ZA_Nkossa!CA_gross_rev_oil_hp2))*(cost_stop_perc_Nkossa2017))*(_xlfn.SINGLE(CA_PSC_switch_trig)=1)</f>
        <v>0</v>
      </c>
      <c r="BO235" s="49">
        <f ca="1">IF(AND(_xlfn.SINGLE(HM_ZA_Nkossa!CA_FP_oil_nom)&gt;0,_xlfn.SINGLE(HM_ZA_Nkossa!CA_FP_oil_nom)&lt;=_xlfn.SINGLE(HM_ZA_Nkossa!cost_stop_p1)),HM_ZA_Nkossa!cost_stop_perbbl1*_xlfn.SINGLE(CA_gross_sales_Total),
IF(AND(_xlfn.SINGLE(HM_ZA_Nkossa!CA_FP_oil_nom)&gt;HM_ZA_Nkossa!cost_stop_p1,_xlfn.SINGLE(HM_ZA_Nkossa!CA_FP_oil_nom)&lt;=HM_ZA_Nkossa!cost_stop_p2),HM_ZA_Nkossa!cost_stop_perbbl2*_xlfn.SINGLE(CA_gross_sales_Total),
HM_ZA_Nkossa!cost_stop_perc*(_xlfn.SINGLE(HM_ZA_Nkossa!CA_gross_rev_oil_hp1))))*(_xlfn.SINGLE(CA_PSC_switch_trig)=0)+
(MIN(_xlfn.SINGLE(HM_ZA_Nkossa!CA_gross_rev_total_fp),_xlfn.SINGLE(HM_ZA_Nkossa!CA_gross_rev_oil_hp2))*(cost_stop_perc_Nkossa2017))*(_xlfn.SINGLE(CA_PSC_switch_trig)=1)</f>
        <v>0</v>
      </c>
      <c r="BP235" s="49">
        <f ca="1">IF(AND(_xlfn.SINGLE(HM_ZA_Nkossa!CA_FP_oil_nom)&gt;0,_xlfn.SINGLE(HM_ZA_Nkossa!CA_FP_oil_nom)&lt;=_xlfn.SINGLE(HM_ZA_Nkossa!cost_stop_p1)),HM_ZA_Nkossa!cost_stop_perbbl1*_xlfn.SINGLE(CA_gross_sales_Total),
IF(AND(_xlfn.SINGLE(HM_ZA_Nkossa!CA_FP_oil_nom)&gt;HM_ZA_Nkossa!cost_stop_p1,_xlfn.SINGLE(HM_ZA_Nkossa!CA_FP_oil_nom)&lt;=HM_ZA_Nkossa!cost_stop_p2),HM_ZA_Nkossa!cost_stop_perbbl2*_xlfn.SINGLE(CA_gross_sales_Total),
HM_ZA_Nkossa!cost_stop_perc*(_xlfn.SINGLE(HM_ZA_Nkossa!CA_gross_rev_oil_hp1))))*(_xlfn.SINGLE(CA_PSC_switch_trig)=0)+
(MIN(_xlfn.SINGLE(HM_ZA_Nkossa!CA_gross_rev_total_fp),_xlfn.SINGLE(HM_ZA_Nkossa!CA_gross_rev_oil_hp2))*(cost_stop_perc_Nkossa2017))*(_xlfn.SINGLE(CA_PSC_switch_trig)=1)</f>
        <v>0</v>
      </c>
      <c r="BQ235" s="49">
        <f ca="1">IF(AND(_xlfn.SINGLE(HM_ZA_Nkossa!CA_FP_oil_nom)&gt;0,_xlfn.SINGLE(HM_ZA_Nkossa!CA_FP_oil_nom)&lt;=_xlfn.SINGLE(HM_ZA_Nkossa!cost_stop_p1)),HM_ZA_Nkossa!cost_stop_perbbl1*_xlfn.SINGLE(CA_gross_sales_Total),
IF(AND(_xlfn.SINGLE(HM_ZA_Nkossa!CA_FP_oil_nom)&gt;HM_ZA_Nkossa!cost_stop_p1,_xlfn.SINGLE(HM_ZA_Nkossa!CA_FP_oil_nom)&lt;=HM_ZA_Nkossa!cost_stop_p2),HM_ZA_Nkossa!cost_stop_perbbl2*_xlfn.SINGLE(CA_gross_sales_Total),
HM_ZA_Nkossa!cost_stop_perc*(_xlfn.SINGLE(HM_ZA_Nkossa!CA_gross_rev_oil_hp1))))*(_xlfn.SINGLE(CA_PSC_switch_trig)=0)+
(MIN(_xlfn.SINGLE(HM_ZA_Nkossa!CA_gross_rev_total_fp),_xlfn.SINGLE(HM_ZA_Nkossa!CA_gross_rev_oil_hp2))*(cost_stop_perc_Nkossa2017))*(_xlfn.SINGLE(CA_PSC_switch_trig)=1)</f>
        <v>0</v>
      </c>
      <c r="BR235" s="49">
        <f ca="1">IF(AND(_xlfn.SINGLE(HM_ZA_Nkossa!CA_FP_oil_nom)&gt;0,_xlfn.SINGLE(HM_ZA_Nkossa!CA_FP_oil_nom)&lt;=_xlfn.SINGLE(HM_ZA_Nkossa!cost_stop_p1)),HM_ZA_Nkossa!cost_stop_perbbl1*_xlfn.SINGLE(CA_gross_sales_Total),
IF(AND(_xlfn.SINGLE(HM_ZA_Nkossa!CA_FP_oil_nom)&gt;HM_ZA_Nkossa!cost_stop_p1,_xlfn.SINGLE(HM_ZA_Nkossa!CA_FP_oil_nom)&lt;=HM_ZA_Nkossa!cost_stop_p2),HM_ZA_Nkossa!cost_stop_perbbl2*_xlfn.SINGLE(CA_gross_sales_Total),
HM_ZA_Nkossa!cost_stop_perc*(_xlfn.SINGLE(HM_ZA_Nkossa!CA_gross_rev_oil_hp1))))*(_xlfn.SINGLE(CA_PSC_switch_trig)=0)+
(MIN(_xlfn.SINGLE(HM_ZA_Nkossa!CA_gross_rev_total_fp),_xlfn.SINGLE(HM_ZA_Nkossa!CA_gross_rev_oil_hp2))*(cost_stop_perc_Nkossa2017))*(_xlfn.SINGLE(CA_PSC_switch_trig)=1)</f>
        <v>0</v>
      </c>
      <c r="BS235" s="49">
        <f ca="1">IF(AND(_xlfn.SINGLE(HM_ZA_Nkossa!CA_FP_oil_nom)&gt;0,_xlfn.SINGLE(HM_ZA_Nkossa!CA_FP_oil_nom)&lt;=_xlfn.SINGLE(HM_ZA_Nkossa!cost_stop_p1)),HM_ZA_Nkossa!cost_stop_perbbl1*_xlfn.SINGLE(CA_gross_sales_Total),
IF(AND(_xlfn.SINGLE(HM_ZA_Nkossa!CA_FP_oil_nom)&gt;HM_ZA_Nkossa!cost_stop_p1,_xlfn.SINGLE(HM_ZA_Nkossa!CA_FP_oil_nom)&lt;=HM_ZA_Nkossa!cost_stop_p2),HM_ZA_Nkossa!cost_stop_perbbl2*_xlfn.SINGLE(CA_gross_sales_Total),
HM_ZA_Nkossa!cost_stop_perc*(_xlfn.SINGLE(HM_ZA_Nkossa!CA_gross_rev_oil_hp1))))*(_xlfn.SINGLE(CA_PSC_switch_trig)=0)+
(MIN(_xlfn.SINGLE(HM_ZA_Nkossa!CA_gross_rev_total_fp),_xlfn.SINGLE(HM_ZA_Nkossa!CA_gross_rev_oil_hp2))*(cost_stop_perc_Nkossa2017))*(_xlfn.SINGLE(CA_PSC_switch_trig)=1)</f>
        <v>0</v>
      </c>
    </row>
    <row r="236" spans="4:71" outlineLevel="1" x14ac:dyDescent="0.2">
      <c r="J236" s="26"/>
      <c r="L236" s="55"/>
      <c r="M236" s="55"/>
      <c r="N236" s="55"/>
      <c r="O236" s="55"/>
      <c r="P236" s="55"/>
      <c r="Q236" s="55"/>
      <c r="R236" s="55"/>
      <c r="S236" s="55"/>
      <c r="T236" s="55"/>
      <c r="U236" s="55"/>
      <c r="V236" s="55"/>
      <c r="W236" s="55"/>
      <c r="X236" s="55"/>
      <c r="Y236" s="55"/>
      <c r="Z236" s="55"/>
      <c r="AA236" s="55"/>
      <c r="AB236" s="55"/>
      <c r="AC236" s="55"/>
      <c r="AD236" s="55"/>
      <c r="AE236" s="55"/>
      <c r="AF236" s="55"/>
      <c r="AG236" s="55"/>
      <c r="AH236" s="55"/>
      <c r="AI236" s="55"/>
      <c r="AJ236" s="55"/>
      <c r="AK236" s="55"/>
      <c r="AL236" s="55"/>
      <c r="AM236" s="55"/>
      <c r="AN236" s="55"/>
      <c r="AO236" s="55"/>
      <c r="AP236" s="55"/>
      <c r="AQ236" s="55"/>
      <c r="AR236" s="55"/>
      <c r="AS236" s="55"/>
      <c r="AT236" s="55"/>
      <c r="AU236" s="55"/>
      <c r="AV236" s="55"/>
      <c r="AW236" s="55"/>
      <c r="AX236" s="55"/>
      <c r="AY236" s="55"/>
      <c r="AZ236" s="55"/>
      <c r="BA236" s="55"/>
      <c r="BB236" s="55"/>
      <c r="BC236" s="55"/>
      <c r="BD236" s="55"/>
      <c r="BE236" s="55"/>
      <c r="BF236" s="55"/>
      <c r="BG236" s="55"/>
      <c r="BH236" s="55"/>
      <c r="BI236" s="55"/>
      <c r="BJ236" s="55"/>
      <c r="BK236" s="55"/>
      <c r="BL236" s="55"/>
      <c r="BM236" s="55"/>
      <c r="BN236" s="55"/>
      <c r="BO236" s="55"/>
      <c r="BP236" s="55"/>
      <c r="BQ236" s="55"/>
      <c r="BR236" s="55"/>
      <c r="BS236" s="55"/>
    </row>
    <row r="237" spans="4:71" outlineLevel="1" x14ac:dyDescent="0.2">
      <c r="D237" s="11" t="str">
        <f>CHOOSE(db_ML_selected,'Liste Traduction'!B321,'Liste Traduction'!C321)</f>
        <v>Calendrier de récupération des coûts</v>
      </c>
      <c r="J237" s="26"/>
      <c r="L237" s="55"/>
      <c r="M237" s="55"/>
      <c r="N237" s="55"/>
      <c r="O237" s="55"/>
      <c r="P237" s="55"/>
      <c r="Q237" s="55"/>
      <c r="R237" s="55"/>
      <c r="S237" s="55"/>
      <c r="T237" s="55"/>
      <c r="U237" s="55"/>
      <c r="V237" s="55"/>
      <c r="W237" s="55"/>
      <c r="X237" s="55"/>
      <c r="Y237" s="55"/>
      <c r="Z237" s="55"/>
      <c r="AA237" s="55"/>
      <c r="AB237" s="55"/>
      <c r="AC237" s="55"/>
      <c r="AD237" s="55"/>
      <c r="AE237" s="55"/>
      <c r="AF237" s="55"/>
      <c r="AG237" s="55"/>
      <c r="AH237" s="55"/>
      <c r="AI237" s="55"/>
      <c r="AJ237" s="55"/>
      <c r="AK237" s="55"/>
      <c r="AL237" s="55"/>
      <c r="AM237" s="55"/>
      <c r="AN237" s="55"/>
      <c r="AO237" s="55"/>
      <c r="AP237" s="55"/>
      <c r="AQ237" s="55"/>
      <c r="AR237" s="55"/>
      <c r="AS237" s="55"/>
      <c r="AT237" s="55"/>
      <c r="AU237" s="55"/>
      <c r="AV237" s="55"/>
      <c r="AW237" s="55"/>
      <c r="AX237" s="55"/>
      <c r="AY237" s="55"/>
      <c r="AZ237" s="55"/>
      <c r="BA237" s="55"/>
      <c r="BB237" s="55"/>
      <c r="BC237" s="55"/>
      <c r="BD237" s="55"/>
      <c r="BE237" s="55"/>
      <c r="BF237" s="55"/>
      <c r="BG237" s="55"/>
      <c r="BH237" s="55"/>
      <c r="BI237" s="55"/>
      <c r="BJ237" s="55"/>
      <c r="BK237" s="55"/>
      <c r="BL237" s="55"/>
      <c r="BM237" s="55"/>
      <c r="BN237" s="55"/>
      <c r="BO237" s="55"/>
      <c r="BP237" s="55"/>
      <c r="BQ237" s="55"/>
      <c r="BR237" s="55"/>
      <c r="BS237" s="55"/>
    </row>
    <row r="238" spans="4:71" outlineLevel="1" x14ac:dyDescent="0.2">
      <c r="D238" s="51" t="str">
        <f>D223</f>
        <v>Opex</v>
      </c>
      <c r="J238" s="26"/>
      <c r="L238" s="55"/>
      <c r="M238" s="55"/>
      <c r="N238" s="55"/>
      <c r="O238" s="55"/>
      <c r="P238" s="55"/>
      <c r="Q238" s="55"/>
      <c r="R238" s="55"/>
      <c r="S238" s="55"/>
      <c r="T238" s="55"/>
      <c r="U238" s="55"/>
      <c r="V238" s="55"/>
      <c r="W238" s="55"/>
      <c r="X238" s="55"/>
      <c r="Y238" s="55"/>
      <c r="Z238" s="55"/>
      <c r="AA238" s="55"/>
      <c r="AB238" s="55"/>
      <c r="AC238" s="55"/>
      <c r="AD238" s="55"/>
      <c r="AE238" s="55"/>
      <c r="AF238" s="55"/>
      <c r="AG238" s="55"/>
      <c r="AH238" s="55"/>
      <c r="AI238" s="55"/>
      <c r="AJ238" s="55"/>
      <c r="AK238" s="55"/>
      <c r="AL238" s="55"/>
      <c r="AM238" s="55"/>
      <c r="AN238" s="55"/>
      <c r="AO238" s="55"/>
      <c r="AP238" s="55"/>
      <c r="AQ238" s="55"/>
      <c r="AR238" s="55"/>
      <c r="AS238" s="55"/>
      <c r="AT238" s="55"/>
      <c r="AU238" s="55"/>
      <c r="AV238" s="55"/>
      <c r="AW238" s="55"/>
      <c r="AX238" s="55"/>
      <c r="AY238" s="55"/>
      <c r="AZ238" s="55"/>
      <c r="BA238" s="55"/>
      <c r="BB238" s="55"/>
      <c r="BC238" s="55"/>
      <c r="BD238" s="55"/>
      <c r="BE238" s="55"/>
      <c r="BF238" s="55"/>
      <c r="BG238" s="55"/>
      <c r="BH238" s="55"/>
      <c r="BI238" s="55"/>
      <c r="BJ238" s="55"/>
      <c r="BK238" s="55"/>
      <c r="BL238" s="55"/>
      <c r="BM238" s="55"/>
      <c r="BN238" s="55"/>
      <c r="BO238" s="55"/>
      <c r="BP238" s="55"/>
      <c r="BQ238" s="55"/>
      <c r="BR238" s="55"/>
      <c r="BS238" s="55"/>
    </row>
    <row r="239" spans="4:71" outlineLevel="1" x14ac:dyDescent="0.2">
      <c r="E239" t="str">
        <f>CHOOSE(db_ML_selected,'Liste Traduction'!B322,'Liste Traduction'!C322)</f>
        <v>Revenus disponibles pour la récupération</v>
      </c>
      <c r="I239" s="30">
        <f t="shared" ref="I239:I241" ca="1" si="47">SUM($L239:$BS239)</f>
        <v>2204.9879026922831</v>
      </c>
      <c r="J239" s="26" t="s">
        <v>148</v>
      </c>
      <c r="L239" s="49">
        <f ca="1">_xlfn.SINGLE(HM_ZA_Nkossa!CA_cost_stop)*(_xlfn.SINGLE(CA_PSC_switch_trig)=0)+IF(AND((_xlfn.SINGLE(HM_ZA_Nkossa!CA_cost_stop))&lt;K240,_xlfn.SINGLE(HM_ZA_Nkossa!CA_gco)&gt;0),_xlfn.SINGLE(HM_ZA_Nkossa!CA_gco),_xlfn.SINGLE(HM_ZA_Nkossa!CA_cost_stop))*(_xlfn.SINGLE(CA_PSC_switch_trig)=1)</f>
        <v>141.09954235999999</v>
      </c>
      <c r="M239" s="49">
        <f ca="1">_xlfn.SINGLE(HM_ZA_Nkossa!CA_cost_stop)*(_xlfn.SINGLE(CA_PSC_switch_trig)=0)+IF(AND((_xlfn.SINGLE(HM_ZA_Nkossa!CA_cost_stop))&lt;L240,_xlfn.SINGLE(HM_ZA_Nkossa!CA_gco)&gt;0),_xlfn.SINGLE(HM_ZA_Nkossa!CA_gco),_xlfn.SINGLE(HM_ZA_Nkossa!CA_cost_stop))*(_xlfn.SINGLE(CA_PSC_switch_trig)=1)</f>
        <v>174.31590860275</v>
      </c>
      <c r="N239" s="49">
        <f ca="1">_xlfn.SINGLE(HM_ZA_Nkossa!CA_cost_stop)*(_xlfn.SINGLE(CA_PSC_switch_trig)=0)+IF(AND((_xlfn.SINGLE(HM_ZA_Nkossa!CA_cost_stop))&lt;M240,_xlfn.SINGLE(HM_ZA_Nkossa!CA_gco)&gt;0),_xlfn.SINGLE(HM_ZA_Nkossa!CA_gco),_xlfn.SINGLE(HM_ZA_Nkossa!CA_cost_stop))*(_xlfn.SINGLE(CA_PSC_switch_trig)=1)</f>
        <v>151.46269711400001</v>
      </c>
      <c r="O239" s="49">
        <f ca="1">_xlfn.SINGLE(HM_ZA_Nkossa!CA_cost_stop)*(_xlfn.SINGLE(CA_PSC_switch_trig)=0)+IF(AND((_xlfn.SINGLE(HM_ZA_Nkossa!CA_cost_stop))&lt;N240,_xlfn.SINGLE(HM_ZA_Nkossa!CA_gco)&gt;0),_xlfn.SINGLE(HM_ZA_Nkossa!CA_gco),_xlfn.SINGLE(HM_ZA_Nkossa!CA_cost_stop))*(_xlfn.SINGLE(CA_PSC_switch_trig)=1)</f>
        <v>165.85003627450001</v>
      </c>
      <c r="P239" s="49">
        <f ca="1">_xlfn.SINGLE(HM_ZA_Nkossa!CA_cost_stop)*(_xlfn.SINGLE(CA_PSC_switch_trig)=0)+IF(AND((_xlfn.SINGLE(HM_ZA_Nkossa!CA_cost_stop))&lt;O240,_xlfn.SINGLE(HM_ZA_Nkossa!CA_gco)&gt;0),_xlfn.SINGLE(HM_ZA_Nkossa!CA_gco),_xlfn.SINGLE(HM_ZA_Nkossa!CA_cost_stop))*(_xlfn.SINGLE(CA_PSC_switch_trig)=1)</f>
        <v>238.35548984005007</v>
      </c>
      <c r="Q239" s="49">
        <f ca="1">_xlfn.SINGLE(HM_ZA_Nkossa!CA_cost_stop)*(_xlfn.SINGLE(CA_PSC_switch_trig)=0)+IF(AND((_xlfn.SINGLE(HM_ZA_Nkossa!CA_cost_stop))&lt;P240,_xlfn.SINGLE(HM_ZA_Nkossa!CA_gco)&gt;0),_xlfn.SINGLE(HM_ZA_Nkossa!CA_gco),_xlfn.SINGLE(HM_ZA_Nkossa!CA_cost_stop))*(_xlfn.SINGLE(CA_PSC_switch_trig)=1)</f>
        <v>254.34670980950008</v>
      </c>
      <c r="R239" s="49">
        <f ca="1">_xlfn.SINGLE(HM_ZA_Nkossa!CA_cost_stop)*(_xlfn.SINGLE(CA_PSC_switch_trig)=0)+IF(AND((_xlfn.SINGLE(HM_ZA_Nkossa!CA_cost_stop))&lt;Q240,_xlfn.SINGLE(HM_ZA_Nkossa!CA_gco)&gt;0),_xlfn.SINGLE(HM_ZA_Nkossa!CA_gco),_xlfn.SINGLE(HM_ZA_Nkossa!CA_cost_stop))*(_xlfn.SINGLE(CA_PSC_switch_trig)=1)</f>
        <v>244.00862892670006</v>
      </c>
      <c r="S239" s="49">
        <f ca="1">_xlfn.SINGLE(HM_ZA_Nkossa!CA_cost_stop)*(_xlfn.SINGLE(CA_PSC_switch_trig)=0)+IF(AND((_xlfn.SINGLE(HM_ZA_Nkossa!CA_cost_stop))&lt;R240,_xlfn.SINGLE(HM_ZA_Nkossa!CA_gco)&gt;0),_xlfn.SINGLE(HM_ZA_Nkossa!CA_gco),_xlfn.SINGLE(HM_ZA_Nkossa!CA_cost_stop))*(_xlfn.SINGLE(CA_PSC_switch_trig)=1)</f>
        <v>113.06549728833335</v>
      </c>
      <c r="T239" s="49">
        <f ca="1">_xlfn.SINGLE(HM_ZA_Nkossa!CA_cost_stop)*(_xlfn.SINGLE(CA_PSC_switch_trig)=0)+IF(AND((_xlfn.SINGLE(HM_ZA_Nkossa!CA_cost_stop))&lt;S240,_xlfn.SINGLE(HM_ZA_Nkossa!CA_gco)&gt;0),_xlfn.SINGLE(HM_ZA_Nkossa!CA_gco),_xlfn.SINGLE(HM_ZA_Nkossa!CA_cost_stop))*(_xlfn.SINGLE(CA_PSC_switch_trig)=1)</f>
        <v>153.86542455398398</v>
      </c>
      <c r="U239" s="49">
        <f ca="1">_xlfn.SINGLE(HM_ZA_Nkossa!CA_cost_stop)*(_xlfn.SINGLE(CA_PSC_switch_trig)=0)+IF(AND((_xlfn.SINGLE(HM_ZA_Nkossa!CA_cost_stop))&lt;T240,_xlfn.SINGLE(HM_ZA_Nkossa!CA_gco)&gt;0),_xlfn.SINGLE(HM_ZA_Nkossa!CA_gco),_xlfn.SINGLE(HM_ZA_Nkossa!CA_cost_stop))*(_xlfn.SINGLE(CA_PSC_switch_trig)=1)</f>
        <v>153.59617671551999</v>
      </c>
      <c r="V239" s="49">
        <f ca="1">_xlfn.SINGLE(HM_ZA_Nkossa!CA_cost_stop)*(_xlfn.SINGLE(CA_PSC_switch_trig)=0)+IF(AND((_xlfn.SINGLE(HM_ZA_Nkossa!CA_cost_stop))&lt;U240,_xlfn.SINGLE(HM_ZA_Nkossa!CA_gco)&gt;0),_xlfn.SINGLE(HM_ZA_Nkossa!CA_gco),_xlfn.SINGLE(HM_ZA_Nkossa!CA_cost_stop))*(_xlfn.SINGLE(CA_PSC_switch_trig)=1)</f>
        <v>145.70133323234225</v>
      </c>
      <c r="W239" s="49">
        <f ca="1">_xlfn.SINGLE(HM_ZA_Nkossa!CA_cost_stop)*(_xlfn.SINGLE(CA_PSC_switch_trig)=0)+IF(AND((_xlfn.SINGLE(HM_ZA_Nkossa!CA_cost_stop))&lt;V240,_xlfn.SINGLE(HM_ZA_Nkossa!CA_gco)&gt;0),_xlfn.SINGLE(HM_ZA_Nkossa!CA_gco),_xlfn.SINGLE(HM_ZA_Nkossa!CA_cost_stop))*(_xlfn.SINGLE(CA_PSC_switch_trig)=1)</f>
        <v>138.21228470419985</v>
      </c>
      <c r="X239" s="49">
        <f ca="1">_xlfn.SINGLE(HM_ZA_Nkossa!CA_cost_stop)*(_xlfn.SINGLE(CA_PSC_switch_trig)=0)+IF(AND((_xlfn.SINGLE(HM_ZA_Nkossa!CA_cost_stop))&lt;W240,_xlfn.SINGLE(HM_ZA_Nkossa!CA_gco)&gt;0),_xlfn.SINGLE(HM_ZA_Nkossa!CA_gco),_xlfn.SINGLE(HM_ZA_Nkossa!CA_cost_stop))*(_xlfn.SINGLE(CA_PSC_switch_trig)=1)</f>
        <v>131.10817327040397</v>
      </c>
      <c r="Y239" s="49">
        <f ca="1">_xlfn.SINGLE(HM_ZA_Nkossa!CA_cost_stop)*(_xlfn.SINGLE(CA_PSC_switch_trig)=0)+IF(AND((_xlfn.SINGLE(HM_ZA_Nkossa!CA_cost_stop))&lt;X240,_xlfn.SINGLE(HM_ZA_Nkossa!CA_gco)&gt;0),_xlfn.SINGLE(HM_ZA_Nkossa!CA_gco),_xlfn.SINGLE(HM_ZA_Nkossa!CA_cost_stop))*(_xlfn.SINGLE(CA_PSC_switch_trig)=1)</f>
        <v>0</v>
      </c>
      <c r="Z239" s="49">
        <f ca="1">_xlfn.SINGLE(HM_ZA_Nkossa!CA_cost_stop)*(_xlfn.SINGLE(CA_PSC_switch_trig)=0)+IF(AND((_xlfn.SINGLE(HM_ZA_Nkossa!CA_cost_stop))&lt;Y240,_xlfn.SINGLE(HM_ZA_Nkossa!CA_gco)&gt;0),_xlfn.SINGLE(HM_ZA_Nkossa!CA_gco),_xlfn.SINGLE(HM_ZA_Nkossa!CA_cost_stop))*(_xlfn.SINGLE(CA_PSC_switch_trig)=1)</f>
        <v>0</v>
      </c>
      <c r="AA239" s="49">
        <f ca="1">_xlfn.SINGLE(HM_ZA_Nkossa!CA_cost_stop)*(_xlfn.SINGLE(CA_PSC_switch_trig)=0)+IF(AND((_xlfn.SINGLE(HM_ZA_Nkossa!CA_cost_stop))&lt;Z240,_xlfn.SINGLE(HM_ZA_Nkossa!CA_gco)&gt;0),_xlfn.SINGLE(HM_ZA_Nkossa!CA_gco),_xlfn.SINGLE(HM_ZA_Nkossa!CA_cost_stop))*(_xlfn.SINGLE(CA_PSC_switch_trig)=1)</f>
        <v>0</v>
      </c>
      <c r="AB239" s="49">
        <f ca="1">_xlfn.SINGLE(HM_ZA_Nkossa!CA_cost_stop)*(_xlfn.SINGLE(CA_PSC_switch_trig)=0)+IF(AND((_xlfn.SINGLE(HM_ZA_Nkossa!CA_cost_stop))&lt;AA240,_xlfn.SINGLE(HM_ZA_Nkossa!CA_gco)&gt;0),_xlfn.SINGLE(HM_ZA_Nkossa!CA_gco),_xlfn.SINGLE(HM_ZA_Nkossa!CA_cost_stop))*(_xlfn.SINGLE(CA_PSC_switch_trig)=1)</f>
        <v>0</v>
      </c>
      <c r="AC239" s="49">
        <f ca="1">_xlfn.SINGLE(HM_ZA_Nkossa!CA_cost_stop)*(_xlfn.SINGLE(CA_PSC_switch_trig)=0)+IF(AND((_xlfn.SINGLE(HM_ZA_Nkossa!CA_cost_stop))&lt;AB240,_xlfn.SINGLE(HM_ZA_Nkossa!CA_gco)&gt;0),_xlfn.SINGLE(HM_ZA_Nkossa!CA_gco),_xlfn.SINGLE(HM_ZA_Nkossa!CA_cost_stop))*(_xlfn.SINGLE(CA_PSC_switch_trig)=1)</f>
        <v>0</v>
      </c>
      <c r="AD239" s="49">
        <f ca="1">_xlfn.SINGLE(HM_ZA_Nkossa!CA_cost_stop)*(_xlfn.SINGLE(CA_PSC_switch_trig)=0)+IF(AND((_xlfn.SINGLE(HM_ZA_Nkossa!CA_cost_stop))&lt;AC240,_xlfn.SINGLE(HM_ZA_Nkossa!CA_gco)&gt;0),_xlfn.SINGLE(HM_ZA_Nkossa!CA_gco),_xlfn.SINGLE(HM_ZA_Nkossa!CA_cost_stop))*(_xlfn.SINGLE(CA_PSC_switch_trig)=1)</f>
        <v>0</v>
      </c>
      <c r="AE239" s="49">
        <f ca="1">_xlfn.SINGLE(HM_ZA_Nkossa!CA_cost_stop)*(_xlfn.SINGLE(CA_PSC_switch_trig)=0)+IF(AND((_xlfn.SINGLE(HM_ZA_Nkossa!CA_cost_stop))&lt;AD240,_xlfn.SINGLE(HM_ZA_Nkossa!CA_gco)&gt;0),_xlfn.SINGLE(HM_ZA_Nkossa!CA_gco),_xlfn.SINGLE(HM_ZA_Nkossa!CA_cost_stop))*(_xlfn.SINGLE(CA_PSC_switch_trig)=1)</f>
        <v>0</v>
      </c>
      <c r="AF239" s="49">
        <f ca="1">_xlfn.SINGLE(HM_ZA_Nkossa!CA_cost_stop)*(_xlfn.SINGLE(CA_PSC_switch_trig)=0)+IF(AND((_xlfn.SINGLE(HM_ZA_Nkossa!CA_cost_stop))&lt;AE240,_xlfn.SINGLE(HM_ZA_Nkossa!CA_gco)&gt;0),_xlfn.SINGLE(HM_ZA_Nkossa!CA_gco),_xlfn.SINGLE(HM_ZA_Nkossa!CA_cost_stop))*(_xlfn.SINGLE(CA_PSC_switch_trig)=1)</f>
        <v>0</v>
      </c>
      <c r="AG239" s="49">
        <f ca="1">_xlfn.SINGLE(HM_ZA_Nkossa!CA_cost_stop)*(_xlfn.SINGLE(CA_PSC_switch_trig)=0)+IF(AND((_xlfn.SINGLE(HM_ZA_Nkossa!CA_cost_stop))&lt;AF240,_xlfn.SINGLE(HM_ZA_Nkossa!CA_gco)&gt;0),_xlfn.SINGLE(HM_ZA_Nkossa!CA_gco),_xlfn.SINGLE(HM_ZA_Nkossa!CA_cost_stop))*(_xlfn.SINGLE(CA_PSC_switch_trig)=1)</f>
        <v>0</v>
      </c>
      <c r="AH239" s="49">
        <f ca="1">_xlfn.SINGLE(HM_ZA_Nkossa!CA_cost_stop)*(_xlfn.SINGLE(CA_PSC_switch_trig)=0)+IF(AND((_xlfn.SINGLE(HM_ZA_Nkossa!CA_cost_stop))&lt;AG240,_xlfn.SINGLE(HM_ZA_Nkossa!CA_gco)&gt;0),_xlfn.SINGLE(HM_ZA_Nkossa!CA_gco),_xlfn.SINGLE(HM_ZA_Nkossa!CA_cost_stop))*(_xlfn.SINGLE(CA_PSC_switch_trig)=1)</f>
        <v>0</v>
      </c>
      <c r="AI239" s="49">
        <f ca="1">_xlfn.SINGLE(HM_ZA_Nkossa!CA_cost_stop)*(_xlfn.SINGLE(CA_PSC_switch_trig)=0)+IF(AND((_xlfn.SINGLE(HM_ZA_Nkossa!CA_cost_stop))&lt;AH240,_xlfn.SINGLE(HM_ZA_Nkossa!CA_gco)&gt;0),_xlfn.SINGLE(HM_ZA_Nkossa!CA_gco),_xlfn.SINGLE(HM_ZA_Nkossa!CA_cost_stop))*(_xlfn.SINGLE(CA_PSC_switch_trig)=1)</f>
        <v>0</v>
      </c>
      <c r="AJ239" s="49">
        <f ca="1">_xlfn.SINGLE(HM_ZA_Nkossa!CA_cost_stop)*(_xlfn.SINGLE(CA_PSC_switch_trig)=0)+IF(AND((_xlfn.SINGLE(HM_ZA_Nkossa!CA_cost_stop))&lt;AI240,_xlfn.SINGLE(HM_ZA_Nkossa!CA_gco)&gt;0),_xlfn.SINGLE(HM_ZA_Nkossa!CA_gco),_xlfn.SINGLE(HM_ZA_Nkossa!CA_cost_stop))*(_xlfn.SINGLE(CA_PSC_switch_trig)=1)</f>
        <v>0</v>
      </c>
      <c r="AK239" s="49">
        <f ca="1">_xlfn.SINGLE(HM_ZA_Nkossa!CA_cost_stop)*(_xlfn.SINGLE(CA_PSC_switch_trig)=0)+IF(AND((_xlfn.SINGLE(HM_ZA_Nkossa!CA_cost_stop))&lt;AJ240,_xlfn.SINGLE(HM_ZA_Nkossa!CA_gco)&gt;0),_xlfn.SINGLE(HM_ZA_Nkossa!CA_gco),_xlfn.SINGLE(HM_ZA_Nkossa!CA_cost_stop))*(_xlfn.SINGLE(CA_PSC_switch_trig)=1)</f>
        <v>0</v>
      </c>
      <c r="AL239" s="49">
        <f ca="1">_xlfn.SINGLE(HM_ZA_Nkossa!CA_cost_stop)*(_xlfn.SINGLE(CA_PSC_switch_trig)=0)+IF(AND((_xlfn.SINGLE(HM_ZA_Nkossa!CA_cost_stop))&lt;AK240,_xlfn.SINGLE(HM_ZA_Nkossa!CA_gco)&gt;0),_xlfn.SINGLE(HM_ZA_Nkossa!CA_gco),_xlfn.SINGLE(HM_ZA_Nkossa!CA_cost_stop))*(_xlfn.SINGLE(CA_PSC_switch_trig)=1)</f>
        <v>0</v>
      </c>
      <c r="AM239" s="49">
        <f ca="1">_xlfn.SINGLE(HM_ZA_Nkossa!CA_cost_stop)*(_xlfn.SINGLE(CA_PSC_switch_trig)=0)+IF(AND((_xlfn.SINGLE(HM_ZA_Nkossa!CA_cost_stop))&lt;AL240,_xlfn.SINGLE(HM_ZA_Nkossa!CA_gco)&gt;0),_xlfn.SINGLE(HM_ZA_Nkossa!CA_gco),_xlfn.SINGLE(HM_ZA_Nkossa!CA_cost_stop))*(_xlfn.SINGLE(CA_PSC_switch_trig)=1)</f>
        <v>0</v>
      </c>
      <c r="AN239" s="49">
        <f ca="1">_xlfn.SINGLE(HM_ZA_Nkossa!CA_cost_stop)*(_xlfn.SINGLE(CA_PSC_switch_trig)=0)+IF(AND((_xlfn.SINGLE(HM_ZA_Nkossa!CA_cost_stop))&lt;AM240,_xlfn.SINGLE(HM_ZA_Nkossa!CA_gco)&gt;0),_xlfn.SINGLE(HM_ZA_Nkossa!CA_gco),_xlfn.SINGLE(HM_ZA_Nkossa!CA_cost_stop))*(_xlfn.SINGLE(CA_PSC_switch_trig)=1)</f>
        <v>0</v>
      </c>
      <c r="AO239" s="49">
        <f ca="1">_xlfn.SINGLE(HM_ZA_Nkossa!CA_cost_stop)*(_xlfn.SINGLE(CA_PSC_switch_trig)=0)+IF(AND((_xlfn.SINGLE(HM_ZA_Nkossa!CA_cost_stop))&lt;AN240,_xlfn.SINGLE(HM_ZA_Nkossa!CA_gco)&gt;0),_xlfn.SINGLE(HM_ZA_Nkossa!CA_gco),_xlfn.SINGLE(HM_ZA_Nkossa!CA_cost_stop))*(_xlfn.SINGLE(CA_PSC_switch_trig)=1)</f>
        <v>0</v>
      </c>
      <c r="AP239" s="49">
        <f ca="1">_xlfn.SINGLE(HM_ZA_Nkossa!CA_cost_stop)*(_xlfn.SINGLE(CA_PSC_switch_trig)=0)+IF(AND((_xlfn.SINGLE(HM_ZA_Nkossa!CA_cost_stop))&lt;AO240,_xlfn.SINGLE(HM_ZA_Nkossa!CA_gco)&gt;0),_xlfn.SINGLE(HM_ZA_Nkossa!CA_gco),_xlfn.SINGLE(HM_ZA_Nkossa!CA_cost_stop))*(_xlfn.SINGLE(CA_PSC_switch_trig)=1)</f>
        <v>0</v>
      </c>
      <c r="AQ239" s="49">
        <f ca="1">_xlfn.SINGLE(HM_ZA_Nkossa!CA_cost_stop)*(_xlfn.SINGLE(CA_PSC_switch_trig)=0)+IF(AND((_xlfn.SINGLE(HM_ZA_Nkossa!CA_cost_stop))&lt;AP240,_xlfn.SINGLE(HM_ZA_Nkossa!CA_gco)&gt;0),_xlfn.SINGLE(HM_ZA_Nkossa!CA_gco),_xlfn.SINGLE(HM_ZA_Nkossa!CA_cost_stop))*(_xlfn.SINGLE(CA_PSC_switch_trig)=1)</f>
        <v>0</v>
      </c>
      <c r="AR239" s="49">
        <f ca="1">_xlfn.SINGLE(HM_ZA_Nkossa!CA_cost_stop)*(_xlfn.SINGLE(CA_PSC_switch_trig)=0)+IF(AND((_xlfn.SINGLE(HM_ZA_Nkossa!CA_cost_stop))&lt;AQ240,_xlfn.SINGLE(HM_ZA_Nkossa!CA_gco)&gt;0),_xlfn.SINGLE(HM_ZA_Nkossa!CA_gco),_xlfn.SINGLE(HM_ZA_Nkossa!CA_cost_stop))*(_xlfn.SINGLE(CA_PSC_switch_trig)=1)</f>
        <v>0</v>
      </c>
      <c r="AS239" s="49">
        <f ca="1">_xlfn.SINGLE(HM_ZA_Nkossa!CA_cost_stop)*(_xlfn.SINGLE(CA_PSC_switch_trig)=0)+IF(AND((_xlfn.SINGLE(HM_ZA_Nkossa!CA_cost_stop))&lt;AR240,_xlfn.SINGLE(HM_ZA_Nkossa!CA_gco)&gt;0),_xlfn.SINGLE(HM_ZA_Nkossa!CA_gco),_xlfn.SINGLE(HM_ZA_Nkossa!CA_cost_stop))*(_xlfn.SINGLE(CA_PSC_switch_trig)=1)</f>
        <v>0</v>
      </c>
      <c r="AT239" s="49">
        <f ca="1">_xlfn.SINGLE(HM_ZA_Nkossa!CA_cost_stop)*(_xlfn.SINGLE(CA_PSC_switch_trig)=0)+IF(AND((_xlfn.SINGLE(HM_ZA_Nkossa!CA_cost_stop))&lt;AS240,_xlfn.SINGLE(HM_ZA_Nkossa!CA_gco)&gt;0),_xlfn.SINGLE(HM_ZA_Nkossa!CA_gco),_xlfn.SINGLE(HM_ZA_Nkossa!CA_cost_stop))*(_xlfn.SINGLE(CA_PSC_switch_trig)=1)</f>
        <v>0</v>
      </c>
      <c r="AU239" s="49">
        <f ca="1">_xlfn.SINGLE(HM_ZA_Nkossa!CA_cost_stop)*(_xlfn.SINGLE(CA_PSC_switch_trig)=0)+IF(AND((_xlfn.SINGLE(HM_ZA_Nkossa!CA_cost_stop))&lt;AT240,_xlfn.SINGLE(HM_ZA_Nkossa!CA_gco)&gt;0),_xlfn.SINGLE(HM_ZA_Nkossa!CA_gco),_xlfn.SINGLE(HM_ZA_Nkossa!CA_cost_stop))*(_xlfn.SINGLE(CA_PSC_switch_trig)=1)</f>
        <v>0</v>
      </c>
      <c r="AV239" s="49">
        <f ca="1">_xlfn.SINGLE(HM_ZA_Nkossa!CA_cost_stop)*(_xlfn.SINGLE(CA_PSC_switch_trig)=0)+IF(AND((_xlfn.SINGLE(HM_ZA_Nkossa!CA_cost_stop))&lt;AU240,_xlfn.SINGLE(HM_ZA_Nkossa!CA_gco)&gt;0),_xlfn.SINGLE(HM_ZA_Nkossa!CA_gco),_xlfn.SINGLE(HM_ZA_Nkossa!CA_cost_stop))*(_xlfn.SINGLE(CA_PSC_switch_trig)=1)</f>
        <v>0</v>
      </c>
      <c r="AW239" s="49">
        <f ca="1">_xlfn.SINGLE(HM_ZA_Nkossa!CA_cost_stop)*(_xlfn.SINGLE(CA_PSC_switch_trig)=0)+IF(AND((_xlfn.SINGLE(HM_ZA_Nkossa!CA_cost_stop))&lt;AV240,_xlfn.SINGLE(HM_ZA_Nkossa!CA_gco)&gt;0),_xlfn.SINGLE(HM_ZA_Nkossa!CA_gco),_xlfn.SINGLE(HM_ZA_Nkossa!CA_cost_stop))*(_xlfn.SINGLE(CA_PSC_switch_trig)=1)</f>
        <v>0</v>
      </c>
      <c r="AX239" s="49">
        <f ca="1">_xlfn.SINGLE(HM_ZA_Nkossa!CA_cost_stop)*(_xlfn.SINGLE(CA_PSC_switch_trig)=0)+IF(AND((_xlfn.SINGLE(HM_ZA_Nkossa!CA_cost_stop))&lt;AW240,_xlfn.SINGLE(HM_ZA_Nkossa!CA_gco)&gt;0),_xlfn.SINGLE(HM_ZA_Nkossa!CA_gco),_xlfn.SINGLE(HM_ZA_Nkossa!CA_cost_stop))*(_xlfn.SINGLE(CA_PSC_switch_trig)=1)</f>
        <v>0</v>
      </c>
      <c r="AY239" s="49">
        <f ca="1">_xlfn.SINGLE(HM_ZA_Nkossa!CA_cost_stop)*(_xlfn.SINGLE(CA_PSC_switch_trig)=0)+IF(AND((_xlfn.SINGLE(HM_ZA_Nkossa!CA_cost_stop))&lt;AX240,_xlfn.SINGLE(HM_ZA_Nkossa!CA_gco)&gt;0),_xlfn.SINGLE(HM_ZA_Nkossa!CA_gco),_xlfn.SINGLE(HM_ZA_Nkossa!CA_cost_stop))*(_xlfn.SINGLE(CA_PSC_switch_trig)=1)</f>
        <v>0</v>
      </c>
      <c r="AZ239" s="49">
        <f ca="1">_xlfn.SINGLE(HM_ZA_Nkossa!CA_cost_stop)*(_xlfn.SINGLE(CA_PSC_switch_trig)=0)+IF(AND((_xlfn.SINGLE(HM_ZA_Nkossa!CA_cost_stop))&lt;AY240,_xlfn.SINGLE(HM_ZA_Nkossa!CA_gco)&gt;0),_xlfn.SINGLE(HM_ZA_Nkossa!CA_gco),_xlfn.SINGLE(HM_ZA_Nkossa!CA_cost_stop))*(_xlfn.SINGLE(CA_PSC_switch_trig)=1)</f>
        <v>0</v>
      </c>
      <c r="BA239" s="49">
        <f ca="1">_xlfn.SINGLE(HM_ZA_Nkossa!CA_cost_stop)*(_xlfn.SINGLE(CA_PSC_switch_trig)=0)+IF(AND((_xlfn.SINGLE(HM_ZA_Nkossa!CA_cost_stop))&lt;AZ240,_xlfn.SINGLE(HM_ZA_Nkossa!CA_gco)&gt;0),_xlfn.SINGLE(HM_ZA_Nkossa!CA_gco),_xlfn.SINGLE(HM_ZA_Nkossa!CA_cost_stop))*(_xlfn.SINGLE(CA_PSC_switch_trig)=1)</f>
        <v>0</v>
      </c>
      <c r="BB239" s="49">
        <f ca="1">_xlfn.SINGLE(HM_ZA_Nkossa!CA_cost_stop)*(_xlfn.SINGLE(CA_PSC_switch_trig)=0)+IF(AND((_xlfn.SINGLE(HM_ZA_Nkossa!CA_cost_stop))&lt;BA240,_xlfn.SINGLE(HM_ZA_Nkossa!CA_gco)&gt;0),_xlfn.SINGLE(HM_ZA_Nkossa!CA_gco),_xlfn.SINGLE(HM_ZA_Nkossa!CA_cost_stop))*(_xlfn.SINGLE(CA_PSC_switch_trig)=1)</f>
        <v>0</v>
      </c>
      <c r="BC239" s="49">
        <f ca="1">_xlfn.SINGLE(HM_ZA_Nkossa!CA_cost_stop)*(_xlfn.SINGLE(CA_PSC_switch_trig)=0)+IF(AND((_xlfn.SINGLE(HM_ZA_Nkossa!CA_cost_stop))&lt;BB240,_xlfn.SINGLE(HM_ZA_Nkossa!CA_gco)&gt;0),_xlfn.SINGLE(HM_ZA_Nkossa!CA_gco),_xlfn.SINGLE(HM_ZA_Nkossa!CA_cost_stop))*(_xlfn.SINGLE(CA_PSC_switch_trig)=1)</f>
        <v>0</v>
      </c>
      <c r="BD239" s="49">
        <f ca="1">_xlfn.SINGLE(HM_ZA_Nkossa!CA_cost_stop)*(_xlfn.SINGLE(CA_PSC_switch_trig)=0)+IF(AND((_xlfn.SINGLE(HM_ZA_Nkossa!CA_cost_stop))&lt;BC240,_xlfn.SINGLE(HM_ZA_Nkossa!CA_gco)&gt;0),_xlfn.SINGLE(HM_ZA_Nkossa!CA_gco),_xlfn.SINGLE(HM_ZA_Nkossa!CA_cost_stop))*(_xlfn.SINGLE(CA_PSC_switch_trig)=1)</f>
        <v>0</v>
      </c>
      <c r="BE239" s="49">
        <f ca="1">_xlfn.SINGLE(HM_ZA_Nkossa!CA_cost_stop)*(_xlfn.SINGLE(CA_PSC_switch_trig)=0)+IF(AND((_xlfn.SINGLE(HM_ZA_Nkossa!CA_cost_stop))&lt;BD240,_xlfn.SINGLE(HM_ZA_Nkossa!CA_gco)&gt;0),_xlfn.SINGLE(HM_ZA_Nkossa!CA_gco),_xlfn.SINGLE(HM_ZA_Nkossa!CA_cost_stop))*(_xlfn.SINGLE(CA_PSC_switch_trig)=1)</f>
        <v>0</v>
      </c>
      <c r="BF239" s="49">
        <f ca="1">_xlfn.SINGLE(HM_ZA_Nkossa!CA_cost_stop)*(_xlfn.SINGLE(CA_PSC_switch_trig)=0)+IF(AND((_xlfn.SINGLE(HM_ZA_Nkossa!CA_cost_stop))&lt;BE240,_xlfn.SINGLE(HM_ZA_Nkossa!CA_gco)&gt;0),_xlfn.SINGLE(HM_ZA_Nkossa!CA_gco),_xlfn.SINGLE(HM_ZA_Nkossa!CA_cost_stop))*(_xlfn.SINGLE(CA_PSC_switch_trig)=1)</f>
        <v>0</v>
      </c>
      <c r="BG239" s="49">
        <f ca="1">_xlfn.SINGLE(HM_ZA_Nkossa!CA_cost_stop)*(_xlfn.SINGLE(CA_PSC_switch_trig)=0)+IF(AND((_xlfn.SINGLE(HM_ZA_Nkossa!CA_cost_stop))&lt;BF240,_xlfn.SINGLE(HM_ZA_Nkossa!CA_gco)&gt;0),_xlfn.SINGLE(HM_ZA_Nkossa!CA_gco),_xlfn.SINGLE(HM_ZA_Nkossa!CA_cost_stop))*(_xlfn.SINGLE(CA_PSC_switch_trig)=1)</f>
        <v>0</v>
      </c>
      <c r="BH239" s="49">
        <f ca="1">_xlfn.SINGLE(HM_ZA_Nkossa!CA_cost_stop)*(_xlfn.SINGLE(CA_PSC_switch_trig)=0)+IF(AND((_xlfn.SINGLE(HM_ZA_Nkossa!CA_cost_stop))&lt;BG240,_xlfn.SINGLE(HM_ZA_Nkossa!CA_gco)&gt;0),_xlfn.SINGLE(HM_ZA_Nkossa!CA_gco),_xlfn.SINGLE(HM_ZA_Nkossa!CA_cost_stop))*(_xlfn.SINGLE(CA_PSC_switch_trig)=1)</f>
        <v>0</v>
      </c>
      <c r="BI239" s="49">
        <f ca="1">_xlfn.SINGLE(HM_ZA_Nkossa!CA_cost_stop)*(_xlfn.SINGLE(CA_PSC_switch_trig)=0)+IF(AND((_xlfn.SINGLE(HM_ZA_Nkossa!CA_cost_stop))&lt;BH240,_xlfn.SINGLE(HM_ZA_Nkossa!CA_gco)&gt;0),_xlfn.SINGLE(HM_ZA_Nkossa!CA_gco),_xlfn.SINGLE(HM_ZA_Nkossa!CA_cost_stop))*(_xlfn.SINGLE(CA_PSC_switch_trig)=1)</f>
        <v>0</v>
      </c>
      <c r="BJ239" s="49">
        <f ca="1">_xlfn.SINGLE(HM_ZA_Nkossa!CA_cost_stop)*(_xlfn.SINGLE(CA_PSC_switch_trig)=0)+IF(AND((_xlfn.SINGLE(HM_ZA_Nkossa!CA_cost_stop))&lt;BI240,_xlfn.SINGLE(HM_ZA_Nkossa!CA_gco)&gt;0),_xlfn.SINGLE(HM_ZA_Nkossa!CA_gco),_xlfn.SINGLE(HM_ZA_Nkossa!CA_cost_stop))*(_xlfn.SINGLE(CA_PSC_switch_trig)=1)</f>
        <v>0</v>
      </c>
      <c r="BK239" s="49">
        <f ca="1">_xlfn.SINGLE(HM_ZA_Nkossa!CA_cost_stop)*(_xlfn.SINGLE(CA_PSC_switch_trig)=0)+IF(AND((_xlfn.SINGLE(HM_ZA_Nkossa!CA_cost_stop))&lt;BJ240,_xlfn.SINGLE(HM_ZA_Nkossa!CA_gco)&gt;0),_xlfn.SINGLE(HM_ZA_Nkossa!CA_gco),_xlfn.SINGLE(HM_ZA_Nkossa!CA_cost_stop))*(_xlfn.SINGLE(CA_PSC_switch_trig)=1)</f>
        <v>0</v>
      </c>
      <c r="BL239" s="49">
        <f ca="1">_xlfn.SINGLE(HM_ZA_Nkossa!CA_cost_stop)*(_xlfn.SINGLE(CA_PSC_switch_trig)=0)+IF(AND((_xlfn.SINGLE(HM_ZA_Nkossa!CA_cost_stop))&lt;BK240,_xlfn.SINGLE(HM_ZA_Nkossa!CA_gco)&gt;0),_xlfn.SINGLE(HM_ZA_Nkossa!CA_gco),_xlfn.SINGLE(HM_ZA_Nkossa!CA_cost_stop))*(_xlfn.SINGLE(CA_PSC_switch_trig)=1)</f>
        <v>0</v>
      </c>
      <c r="BM239" s="49">
        <f ca="1">_xlfn.SINGLE(HM_ZA_Nkossa!CA_cost_stop)*(_xlfn.SINGLE(CA_PSC_switch_trig)=0)+IF(AND((_xlfn.SINGLE(HM_ZA_Nkossa!CA_cost_stop))&lt;BL240,_xlfn.SINGLE(HM_ZA_Nkossa!CA_gco)&gt;0),_xlfn.SINGLE(HM_ZA_Nkossa!CA_gco),_xlfn.SINGLE(HM_ZA_Nkossa!CA_cost_stop))*(_xlfn.SINGLE(CA_PSC_switch_trig)=1)</f>
        <v>0</v>
      </c>
      <c r="BN239" s="49">
        <f ca="1">_xlfn.SINGLE(HM_ZA_Nkossa!CA_cost_stop)*(_xlfn.SINGLE(CA_PSC_switch_trig)=0)+IF(AND((_xlfn.SINGLE(HM_ZA_Nkossa!CA_cost_stop))&lt;BM240,_xlfn.SINGLE(HM_ZA_Nkossa!CA_gco)&gt;0),_xlfn.SINGLE(HM_ZA_Nkossa!CA_gco),_xlfn.SINGLE(HM_ZA_Nkossa!CA_cost_stop))*(_xlfn.SINGLE(CA_PSC_switch_trig)=1)</f>
        <v>0</v>
      </c>
      <c r="BO239" s="49">
        <f ca="1">_xlfn.SINGLE(HM_ZA_Nkossa!CA_cost_stop)*(_xlfn.SINGLE(CA_PSC_switch_trig)=0)+IF(AND((_xlfn.SINGLE(HM_ZA_Nkossa!CA_cost_stop))&lt;BN240,_xlfn.SINGLE(HM_ZA_Nkossa!CA_gco)&gt;0),_xlfn.SINGLE(HM_ZA_Nkossa!CA_gco),_xlfn.SINGLE(HM_ZA_Nkossa!CA_cost_stop))*(_xlfn.SINGLE(CA_PSC_switch_trig)=1)</f>
        <v>0</v>
      </c>
      <c r="BP239" s="49">
        <f ca="1">_xlfn.SINGLE(HM_ZA_Nkossa!CA_cost_stop)*(_xlfn.SINGLE(CA_PSC_switch_trig)=0)+IF(AND((_xlfn.SINGLE(HM_ZA_Nkossa!CA_cost_stop))&lt;BO240,_xlfn.SINGLE(HM_ZA_Nkossa!CA_gco)&gt;0),_xlfn.SINGLE(HM_ZA_Nkossa!CA_gco),_xlfn.SINGLE(HM_ZA_Nkossa!CA_cost_stop))*(_xlfn.SINGLE(CA_PSC_switch_trig)=1)</f>
        <v>0</v>
      </c>
      <c r="BQ239" s="49">
        <f ca="1">_xlfn.SINGLE(HM_ZA_Nkossa!CA_cost_stop)*(_xlfn.SINGLE(CA_PSC_switch_trig)=0)+IF(AND((_xlfn.SINGLE(HM_ZA_Nkossa!CA_cost_stop))&lt;BP240,_xlfn.SINGLE(HM_ZA_Nkossa!CA_gco)&gt;0),_xlfn.SINGLE(HM_ZA_Nkossa!CA_gco),_xlfn.SINGLE(HM_ZA_Nkossa!CA_cost_stop))*(_xlfn.SINGLE(CA_PSC_switch_trig)=1)</f>
        <v>0</v>
      </c>
      <c r="BR239" s="49">
        <f ca="1">_xlfn.SINGLE(HM_ZA_Nkossa!CA_cost_stop)*(_xlfn.SINGLE(CA_PSC_switch_trig)=0)+IF(AND((_xlfn.SINGLE(HM_ZA_Nkossa!CA_cost_stop))&lt;BQ240,_xlfn.SINGLE(HM_ZA_Nkossa!CA_gco)&gt;0),_xlfn.SINGLE(HM_ZA_Nkossa!CA_gco),_xlfn.SINGLE(HM_ZA_Nkossa!CA_cost_stop))*(_xlfn.SINGLE(CA_PSC_switch_trig)=1)</f>
        <v>0</v>
      </c>
      <c r="BS239" s="49">
        <f ca="1">_xlfn.SINGLE(HM_ZA_Nkossa!CA_cost_stop)*(_xlfn.SINGLE(CA_PSC_switch_trig)=0)+IF(AND((_xlfn.SINGLE(HM_ZA_Nkossa!CA_cost_stop))&lt;BR240,_xlfn.SINGLE(HM_ZA_Nkossa!CA_gco)&gt;0),_xlfn.SINGLE(HM_ZA_Nkossa!CA_gco),_xlfn.SINGLE(HM_ZA_Nkossa!CA_cost_stop))*(_xlfn.SINGLE(CA_PSC_switch_trig)=1)</f>
        <v>0</v>
      </c>
    </row>
    <row r="240" spans="4:71" outlineLevel="1" x14ac:dyDescent="0.2">
      <c r="E240" t="str">
        <f>CHOOSE(db_ML_selected,'Liste Traduction'!B323,'Liste Traduction'!C323)</f>
        <v>Opex cumulés à récupérer</v>
      </c>
      <c r="I240" s="30">
        <f ca="1">I223</f>
        <v>1434.5774916640003</v>
      </c>
      <c r="J240" s="26" t="s">
        <v>148</v>
      </c>
      <c r="L240" s="49">
        <f t="shared" ref="L240:AQ240" ca="1" si="48">CA_opex_to_recover+(K242*(1+int_rate_cf_costs))</f>
        <v>212.22900000000001</v>
      </c>
      <c r="M240" s="49">
        <f t="shared" ca="1" si="48"/>
        <v>247.88545764000003</v>
      </c>
      <c r="N240" s="49">
        <f t="shared" ca="1" si="48"/>
        <v>198.83054903725002</v>
      </c>
      <c r="O240" s="49">
        <f t="shared" ca="1" si="48"/>
        <v>204.86985192325002</v>
      </c>
      <c r="P240" s="49">
        <f t="shared" ca="1" si="48"/>
        <v>235.17981564875001</v>
      </c>
      <c r="Q240" s="49">
        <f t="shared" ca="1" si="48"/>
        <v>89.2</v>
      </c>
      <c r="R240" s="49">
        <f t="shared" ca="1" si="48"/>
        <v>77.2</v>
      </c>
      <c r="S240" s="49">
        <f t="shared" ca="1" si="48"/>
        <v>66.2</v>
      </c>
      <c r="T240" s="49">
        <f t="shared" ca="1" si="48"/>
        <v>65.5</v>
      </c>
      <c r="U240" s="49">
        <f t="shared" ca="1" si="48"/>
        <v>66.198000000000008</v>
      </c>
      <c r="V240" s="49">
        <f t="shared" ca="1" si="48"/>
        <v>66.793680000000009</v>
      </c>
      <c r="W240" s="49">
        <f t="shared" ca="1" si="48"/>
        <v>67.492828799999998</v>
      </c>
      <c r="X240" s="49">
        <f t="shared" ca="1" si="48"/>
        <v>68.084982863999997</v>
      </c>
      <c r="Y240" s="49">
        <f t="shared" ca="1" si="48"/>
        <v>0</v>
      </c>
      <c r="Z240" s="49">
        <f t="shared" ca="1" si="48"/>
        <v>0</v>
      </c>
      <c r="AA240" s="49">
        <f t="shared" ca="1" si="48"/>
        <v>0</v>
      </c>
      <c r="AB240" s="49">
        <f t="shared" ca="1" si="48"/>
        <v>0</v>
      </c>
      <c r="AC240" s="49">
        <f t="shared" ca="1" si="48"/>
        <v>0</v>
      </c>
      <c r="AD240" s="49">
        <f t="shared" ca="1" si="48"/>
        <v>0</v>
      </c>
      <c r="AE240" s="49">
        <f t="shared" ca="1" si="48"/>
        <v>0</v>
      </c>
      <c r="AF240" s="49">
        <f t="shared" ca="1" si="48"/>
        <v>0</v>
      </c>
      <c r="AG240" s="49">
        <f t="shared" ca="1" si="48"/>
        <v>0</v>
      </c>
      <c r="AH240" s="49">
        <f t="shared" ca="1" si="48"/>
        <v>0</v>
      </c>
      <c r="AI240" s="49">
        <f t="shared" ca="1" si="48"/>
        <v>0</v>
      </c>
      <c r="AJ240" s="49">
        <f t="shared" ca="1" si="48"/>
        <v>0</v>
      </c>
      <c r="AK240" s="49">
        <f t="shared" ca="1" si="48"/>
        <v>0</v>
      </c>
      <c r="AL240" s="49">
        <f t="shared" ca="1" si="48"/>
        <v>0</v>
      </c>
      <c r="AM240" s="49">
        <f t="shared" ca="1" si="48"/>
        <v>0</v>
      </c>
      <c r="AN240" s="49">
        <f t="shared" ca="1" si="48"/>
        <v>0</v>
      </c>
      <c r="AO240" s="49">
        <f t="shared" ca="1" si="48"/>
        <v>0</v>
      </c>
      <c r="AP240" s="49">
        <f t="shared" ca="1" si="48"/>
        <v>0</v>
      </c>
      <c r="AQ240" s="49">
        <f t="shared" ca="1" si="48"/>
        <v>0</v>
      </c>
      <c r="AR240" s="49">
        <f t="shared" ref="AR240:BS240" ca="1" si="49">CA_opex_to_recover+(AQ242*(1+int_rate_cf_costs))</f>
        <v>0</v>
      </c>
      <c r="AS240" s="49">
        <f t="shared" ca="1" si="49"/>
        <v>0</v>
      </c>
      <c r="AT240" s="49">
        <f t="shared" ca="1" si="49"/>
        <v>0</v>
      </c>
      <c r="AU240" s="49">
        <f t="shared" ca="1" si="49"/>
        <v>0</v>
      </c>
      <c r="AV240" s="49">
        <f t="shared" ca="1" si="49"/>
        <v>0</v>
      </c>
      <c r="AW240" s="49">
        <f t="shared" ca="1" si="49"/>
        <v>0</v>
      </c>
      <c r="AX240" s="49">
        <f t="shared" ca="1" si="49"/>
        <v>0</v>
      </c>
      <c r="AY240" s="49">
        <f t="shared" ca="1" si="49"/>
        <v>0</v>
      </c>
      <c r="AZ240" s="49">
        <f t="shared" ca="1" si="49"/>
        <v>0</v>
      </c>
      <c r="BA240" s="49">
        <f t="shared" ca="1" si="49"/>
        <v>0</v>
      </c>
      <c r="BB240" s="49">
        <f t="shared" ca="1" si="49"/>
        <v>0</v>
      </c>
      <c r="BC240" s="49">
        <f t="shared" ca="1" si="49"/>
        <v>0</v>
      </c>
      <c r="BD240" s="49">
        <f t="shared" ca="1" si="49"/>
        <v>0</v>
      </c>
      <c r="BE240" s="49">
        <f t="shared" ca="1" si="49"/>
        <v>0</v>
      </c>
      <c r="BF240" s="49">
        <f t="shared" ca="1" si="49"/>
        <v>0</v>
      </c>
      <c r="BG240" s="49">
        <f t="shared" ca="1" si="49"/>
        <v>0</v>
      </c>
      <c r="BH240" s="49">
        <f t="shared" ca="1" si="49"/>
        <v>0</v>
      </c>
      <c r="BI240" s="49">
        <f t="shared" ca="1" si="49"/>
        <v>0</v>
      </c>
      <c r="BJ240" s="49">
        <f t="shared" ca="1" si="49"/>
        <v>0</v>
      </c>
      <c r="BK240" s="49">
        <f t="shared" ca="1" si="49"/>
        <v>0</v>
      </c>
      <c r="BL240" s="49">
        <f t="shared" ca="1" si="49"/>
        <v>0</v>
      </c>
      <c r="BM240" s="49">
        <f t="shared" ca="1" si="49"/>
        <v>0</v>
      </c>
      <c r="BN240" s="49">
        <f t="shared" ca="1" si="49"/>
        <v>0</v>
      </c>
      <c r="BO240" s="49">
        <f t="shared" ca="1" si="49"/>
        <v>0</v>
      </c>
      <c r="BP240" s="49">
        <f t="shared" ca="1" si="49"/>
        <v>0</v>
      </c>
      <c r="BQ240" s="49">
        <f t="shared" ca="1" si="49"/>
        <v>0</v>
      </c>
      <c r="BR240" s="49">
        <f t="shared" ca="1" si="49"/>
        <v>0</v>
      </c>
      <c r="BS240" s="49">
        <f t="shared" ca="1" si="49"/>
        <v>0</v>
      </c>
    </row>
    <row r="241" spans="4:71" outlineLevel="1" x14ac:dyDescent="0.2">
      <c r="E241" t="str">
        <f>CHOOSE(db_ML_selected,'Liste Traduction'!B324,'Liste Traduction'!C324)</f>
        <v>Opex récupérés</v>
      </c>
      <c r="H241" s="56" t="b">
        <f ca="1">ROUND(I241,2)=-ROUND(I240,2)</f>
        <v>1</v>
      </c>
      <c r="I241" s="30">
        <f t="shared" ca="1" si="47"/>
        <v>-1434.5774916640003</v>
      </c>
      <c r="J241" s="26" t="s">
        <v>148</v>
      </c>
      <c r="L241" s="49">
        <f ca="1">-MIN(L240,L239)</f>
        <v>-141.09954235999999</v>
      </c>
      <c r="M241" s="49">
        <f t="shared" ref="M241:BS241" ca="1" si="50">-MIN(M240,M239)</f>
        <v>-174.31590860275</v>
      </c>
      <c r="N241" s="49">
        <f t="shared" ca="1" si="50"/>
        <v>-151.46269711400001</v>
      </c>
      <c r="O241" s="49">
        <f t="shared" ca="1" si="50"/>
        <v>-165.85003627450001</v>
      </c>
      <c r="P241" s="49">
        <f t="shared" ca="1" si="50"/>
        <v>-235.17981564875001</v>
      </c>
      <c r="Q241" s="49">
        <f t="shared" ca="1" si="50"/>
        <v>-89.2</v>
      </c>
      <c r="R241" s="49">
        <f t="shared" ca="1" si="50"/>
        <v>-77.2</v>
      </c>
      <c r="S241" s="49">
        <f t="shared" ca="1" si="50"/>
        <v>-66.2</v>
      </c>
      <c r="T241" s="49">
        <f t="shared" ca="1" si="50"/>
        <v>-65.5</v>
      </c>
      <c r="U241" s="49">
        <f t="shared" ca="1" si="50"/>
        <v>-66.198000000000008</v>
      </c>
      <c r="V241" s="49">
        <f t="shared" ca="1" si="50"/>
        <v>-66.793680000000009</v>
      </c>
      <c r="W241" s="49">
        <f t="shared" ca="1" si="50"/>
        <v>-67.492828799999998</v>
      </c>
      <c r="X241" s="49">
        <f t="shared" ca="1" si="50"/>
        <v>-68.084982863999997</v>
      </c>
      <c r="Y241" s="49">
        <f t="shared" ca="1" si="50"/>
        <v>0</v>
      </c>
      <c r="Z241" s="49">
        <f t="shared" ca="1" si="50"/>
        <v>0</v>
      </c>
      <c r="AA241" s="49">
        <f t="shared" ca="1" si="50"/>
        <v>0</v>
      </c>
      <c r="AB241" s="49">
        <f t="shared" ca="1" si="50"/>
        <v>0</v>
      </c>
      <c r="AC241" s="49">
        <f t="shared" ca="1" si="50"/>
        <v>0</v>
      </c>
      <c r="AD241" s="49">
        <f t="shared" ca="1" si="50"/>
        <v>0</v>
      </c>
      <c r="AE241" s="49">
        <f t="shared" ca="1" si="50"/>
        <v>0</v>
      </c>
      <c r="AF241" s="49">
        <f t="shared" ca="1" si="50"/>
        <v>0</v>
      </c>
      <c r="AG241" s="49">
        <f t="shared" ca="1" si="50"/>
        <v>0</v>
      </c>
      <c r="AH241" s="49">
        <f t="shared" ca="1" si="50"/>
        <v>0</v>
      </c>
      <c r="AI241" s="49">
        <f t="shared" ca="1" si="50"/>
        <v>0</v>
      </c>
      <c r="AJ241" s="49">
        <f t="shared" ca="1" si="50"/>
        <v>0</v>
      </c>
      <c r="AK241" s="49">
        <f t="shared" ca="1" si="50"/>
        <v>0</v>
      </c>
      <c r="AL241" s="49">
        <f t="shared" ca="1" si="50"/>
        <v>0</v>
      </c>
      <c r="AM241" s="49">
        <f t="shared" ca="1" si="50"/>
        <v>0</v>
      </c>
      <c r="AN241" s="49">
        <f t="shared" ca="1" si="50"/>
        <v>0</v>
      </c>
      <c r="AO241" s="49">
        <f t="shared" ca="1" si="50"/>
        <v>0</v>
      </c>
      <c r="AP241" s="49">
        <f t="shared" ca="1" si="50"/>
        <v>0</v>
      </c>
      <c r="AQ241" s="49">
        <f t="shared" ca="1" si="50"/>
        <v>0</v>
      </c>
      <c r="AR241" s="49">
        <f t="shared" ca="1" si="50"/>
        <v>0</v>
      </c>
      <c r="AS241" s="49">
        <f t="shared" ca="1" si="50"/>
        <v>0</v>
      </c>
      <c r="AT241" s="49">
        <f t="shared" ca="1" si="50"/>
        <v>0</v>
      </c>
      <c r="AU241" s="49">
        <f t="shared" ca="1" si="50"/>
        <v>0</v>
      </c>
      <c r="AV241" s="49">
        <f t="shared" ca="1" si="50"/>
        <v>0</v>
      </c>
      <c r="AW241" s="49">
        <f t="shared" ca="1" si="50"/>
        <v>0</v>
      </c>
      <c r="AX241" s="49">
        <f t="shared" ca="1" si="50"/>
        <v>0</v>
      </c>
      <c r="AY241" s="49">
        <f t="shared" ca="1" si="50"/>
        <v>0</v>
      </c>
      <c r="AZ241" s="49">
        <f t="shared" ca="1" si="50"/>
        <v>0</v>
      </c>
      <c r="BA241" s="49">
        <f t="shared" ca="1" si="50"/>
        <v>0</v>
      </c>
      <c r="BB241" s="49">
        <f t="shared" ca="1" si="50"/>
        <v>0</v>
      </c>
      <c r="BC241" s="49">
        <f t="shared" ca="1" si="50"/>
        <v>0</v>
      </c>
      <c r="BD241" s="49">
        <f t="shared" ca="1" si="50"/>
        <v>0</v>
      </c>
      <c r="BE241" s="49">
        <f t="shared" ca="1" si="50"/>
        <v>0</v>
      </c>
      <c r="BF241" s="49">
        <f t="shared" ca="1" si="50"/>
        <v>0</v>
      </c>
      <c r="BG241" s="49">
        <f t="shared" ca="1" si="50"/>
        <v>0</v>
      </c>
      <c r="BH241" s="49">
        <f t="shared" ca="1" si="50"/>
        <v>0</v>
      </c>
      <c r="BI241" s="49">
        <f t="shared" ca="1" si="50"/>
        <v>0</v>
      </c>
      <c r="BJ241" s="49">
        <f t="shared" ca="1" si="50"/>
        <v>0</v>
      </c>
      <c r="BK241" s="49">
        <f t="shared" ca="1" si="50"/>
        <v>0</v>
      </c>
      <c r="BL241" s="49">
        <f t="shared" ca="1" si="50"/>
        <v>0</v>
      </c>
      <c r="BM241" s="49">
        <f t="shared" ca="1" si="50"/>
        <v>0</v>
      </c>
      <c r="BN241" s="49">
        <f t="shared" ca="1" si="50"/>
        <v>0</v>
      </c>
      <c r="BO241" s="49">
        <f t="shared" ca="1" si="50"/>
        <v>0</v>
      </c>
      <c r="BP241" s="49">
        <f t="shared" ca="1" si="50"/>
        <v>0</v>
      </c>
      <c r="BQ241" s="49">
        <f t="shared" ca="1" si="50"/>
        <v>0</v>
      </c>
      <c r="BR241" s="49">
        <f t="shared" ca="1" si="50"/>
        <v>0</v>
      </c>
      <c r="BS241" s="49">
        <f t="shared" ca="1" si="50"/>
        <v>0</v>
      </c>
    </row>
    <row r="242" spans="4:71" outlineLevel="1" x14ac:dyDescent="0.2">
      <c r="E242" t="str">
        <f>CHOOSE(db_ML_selected,'Liste Traduction'!B325,'Liste Traduction'!C325)</f>
        <v xml:space="preserve">Sous/(Sur)récupération </v>
      </c>
      <c r="J242" s="26"/>
      <c r="L242" s="49">
        <f ca="1">L240+L241</f>
        <v>71.129457640000027</v>
      </c>
      <c r="M242" s="49">
        <f t="shared" ref="M242:BS242" ca="1" si="51">M240+M241</f>
        <v>73.569549037250027</v>
      </c>
      <c r="N242" s="49">
        <f t="shared" ca="1" si="51"/>
        <v>47.367851923250015</v>
      </c>
      <c r="O242" s="49">
        <f t="shared" ca="1" si="51"/>
        <v>39.019815648750011</v>
      </c>
      <c r="P242" s="49">
        <f t="shared" ca="1" si="51"/>
        <v>0</v>
      </c>
      <c r="Q242" s="49">
        <f t="shared" ca="1" si="51"/>
        <v>0</v>
      </c>
      <c r="R242" s="49">
        <f t="shared" ca="1" si="51"/>
        <v>0</v>
      </c>
      <c r="S242" s="49">
        <f t="shared" ca="1" si="51"/>
        <v>0</v>
      </c>
      <c r="T242" s="49">
        <f t="shared" ca="1" si="51"/>
        <v>0</v>
      </c>
      <c r="U242" s="49">
        <f t="shared" ca="1" si="51"/>
        <v>0</v>
      </c>
      <c r="V242" s="49">
        <f t="shared" ca="1" si="51"/>
        <v>0</v>
      </c>
      <c r="W242" s="49">
        <f t="shared" ca="1" si="51"/>
        <v>0</v>
      </c>
      <c r="X242" s="49">
        <f t="shared" ca="1" si="51"/>
        <v>0</v>
      </c>
      <c r="Y242" s="49">
        <f t="shared" ca="1" si="51"/>
        <v>0</v>
      </c>
      <c r="Z242" s="49">
        <f t="shared" ca="1" si="51"/>
        <v>0</v>
      </c>
      <c r="AA242" s="49">
        <f t="shared" ca="1" si="51"/>
        <v>0</v>
      </c>
      <c r="AB242" s="49">
        <f t="shared" ca="1" si="51"/>
        <v>0</v>
      </c>
      <c r="AC242" s="49">
        <f t="shared" ca="1" si="51"/>
        <v>0</v>
      </c>
      <c r="AD242" s="49">
        <f t="shared" ca="1" si="51"/>
        <v>0</v>
      </c>
      <c r="AE242" s="49">
        <f t="shared" ca="1" si="51"/>
        <v>0</v>
      </c>
      <c r="AF242" s="49">
        <f t="shared" ca="1" si="51"/>
        <v>0</v>
      </c>
      <c r="AG242" s="49">
        <f t="shared" ca="1" si="51"/>
        <v>0</v>
      </c>
      <c r="AH242" s="49">
        <f t="shared" ca="1" si="51"/>
        <v>0</v>
      </c>
      <c r="AI242" s="49">
        <f t="shared" ca="1" si="51"/>
        <v>0</v>
      </c>
      <c r="AJ242" s="49">
        <f t="shared" ca="1" si="51"/>
        <v>0</v>
      </c>
      <c r="AK242" s="49">
        <f t="shared" ca="1" si="51"/>
        <v>0</v>
      </c>
      <c r="AL242" s="49">
        <f t="shared" ca="1" si="51"/>
        <v>0</v>
      </c>
      <c r="AM242" s="49">
        <f t="shared" ca="1" si="51"/>
        <v>0</v>
      </c>
      <c r="AN242" s="49">
        <f t="shared" ca="1" si="51"/>
        <v>0</v>
      </c>
      <c r="AO242" s="49">
        <f t="shared" ca="1" si="51"/>
        <v>0</v>
      </c>
      <c r="AP242" s="49">
        <f t="shared" ca="1" si="51"/>
        <v>0</v>
      </c>
      <c r="AQ242" s="49">
        <f t="shared" ca="1" si="51"/>
        <v>0</v>
      </c>
      <c r="AR242" s="49">
        <f t="shared" ca="1" si="51"/>
        <v>0</v>
      </c>
      <c r="AS242" s="49">
        <f t="shared" ca="1" si="51"/>
        <v>0</v>
      </c>
      <c r="AT242" s="49">
        <f t="shared" ca="1" si="51"/>
        <v>0</v>
      </c>
      <c r="AU242" s="49">
        <f t="shared" ca="1" si="51"/>
        <v>0</v>
      </c>
      <c r="AV242" s="49">
        <f t="shared" ca="1" si="51"/>
        <v>0</v>
      </c>
      <c r="AW242" s="49">
        <f t="shared" ca="1" si="51"/>
        <v>0</v>
      </c>
      <c r="AX242" s="49">
        <f t="shared" ca="1" si="51"/>
        <v>0</v>
      </c>
      <c r="AY242" s="49">
        <f t="shared" ca="1" si="51"/>
        <v>0</v>
      </c>
      <c r="AZ242" s="49">
        <f t="shared" ca="1" si="51"/>
        <v>0</v>
      </c>
      <c r="BA242" s="49">
        <f t="shared" ca="1" si="51"/>
        <v>0</v>
      </c>
      <c r="BB242" s="49">
        <f t="shared" ca="1" si="51"/>
        <v>0</v>
      </c>
      <c r="BC242" s="49">
        <f t="shared" ca="1" si="51"/>
        <v>0</v>
      </c>
      <c r="BD242" s="49">
        <f t="shared" ca="1" si="51"/>
        <v>0</v>
      </c>
      <c r="BE242" s="49">
        <f t="shared" ca="1" si="51"/>
        <v>0</v>
      </c>
      <c r="BF242" s="49">
        <f t="shared" ca="1" si="51"/>
        <v>0</v>
      </c>
      <c r="BG242" s="49">
        <f t="shared" ca="1" si="51"/>
        <v>0</v>
      </c>
      <c r="BH242" s="49">
        <f t="shared" ca="1" si="51"/>
        <v>0</v>
      </c>
      <c r="BI242" s="49">
        <f t="shared" ca="1" si="51"/>
        <v>0</v>
      </c>
      <c r="BJ242" s="49">
        <f t="shared" ca="1" si="51"/>
        <v>0</v>
      </c>
      <c r="BK242" s="49">
        <f t="shared" ca="1" si="51"/>
        <v>0</v>
      </c>
      <c r="BL242" s="49">
        <f t="shared" ca="1" si="51"/>
        <v>0</v>
      </c>
      <c r="BM242" s="49">
        <f t="shared" ca="1" si="51"/>
        <v>0</v>
      </c>
      <c r="BN242" s="49">
        <f t="shared" ca="1" si="51"/>
        <v>0</v>
      </c>
      <c r="BO242" s="49">
        <f t="shared" ca="1" si="51"/>
        <v>0</v>
      </c>
      <c r="BP242" s="49">
        <f t="shared" ca="1" si="51"/>
        <v>0</v>
      </c>
      <c r="BQ242" s="49">
        <f t="shared" ca="1" si="51"/>
        <v>0</v>
      </c>
      <c r="BR242" s="49">
        <f t="shared" ca="1" si="51"/>
        <v>0</v>
      </c>
      <c r="BS242" s="49">
        <f t="shared" ca="1" si="51"/>
        <v>0</v>
      </c>
    </row>
    <row r="243" spans="4:71" outlineLevel="1" x14ac:dyDescent="0.2">
      <c r="J243" s="26"/>
      <c r="L243" s="55"/>
      <c r="M243" s="55"/>
      <c r="N243" s="55"/>
      <c r="O243" s="55"/>
      <c r="P243" s="55"/>
      <c r="Q243" s="55"/>
      <c r="R243" s="55"/>
      <c r="S243" s="55"/>
      <c r="T243" s="55"/>
      <c r="U243" s="55"/>
      <c r="V243" s="55"/>
      <c r="W243" s="55"/>
      <c r="X243" s="55"/>
      <c r="Y243" s="55"/>
      <c r="Z243" s="55"/>
      <c r="AA243" s="55"/>
      <c r="AB243" s="55"/>
      <c r="AC243" s="55"/>
      <c r="AD243" s="55"/>
      <c r="AE243" s="55"/>
      <c r="AF243" s="55"/>
      <c r="AG243" s="55"/>
      <c r="AH243" s="55"/>
      <c r="AI243" s="55"/>
      <c r="AJ243" s="55"/>
      <c r="AK243" s="55"/>
      <c r="AL243" s="55"/>
      <c r="AM243" s="55"/>
      <c r="AN243" s="55"/>
      <c r="AO243" s="55"/>
      <c r="AP243" s="55"/>
      <c r="AQ243" s="55"/>
      <c r="AR243" s="55"/>
      <c r="AS243" s="55"/>
      <c r="AT243" s="55"/>
      <c r="AU243" s="55"/>
      <c r="AV243" s="55"/>
      <c r="AW243" s="55"/>
      <c r="AX243" s="55"/>
      <c r="AY243" s="55"/>
      <c r="AZ243" s="55"/>
      <c r="BA243" s="55"/>
      <c r="BB243" s="55"/>
      <c r="BC243" s="55"/>
      <c r="BD243" s="55"/>
      <c r="BE243" s="55"/>
      <c r="BF243" s="55"/>
      <c r="BG243" s="55"/>
      <c r="BH243" s="55"/>
      <c r="BI243" s="55"/>
      <c r="BJ243" s="55"/>
      <c r="BK243" s="55"/>
      <c r="BL243" s="55"/>
      <c r="BM243" s="55"/>
      <c r="BN243" s="55"/>
      <c r="BO243" s="55"/>
      <c r="BP243" s="55"/>
      <c r="BQ243" s="55"/>
      <c r="BR243" s="55"/>
      <c r="BS243" s="55"/>
    </row>
    <row r="244" spans="4:71" outlineLevel="1" x14ac:dyDescent="0.2">
      <c r="D244" s="51" t="str">
        <f>D224</f>
        <v>Coûts PID</v>
      </c>
      <c r="J244" s="26"/>
      <c r="L244" s="55"/>
      <c r="M244" s="55"/>
      <c r="N244" s="55"/>
      <c r="O244" s="55"/>
      <c r="P244" s="55"/>
      <c r="Q244" s="55"/>
      <c r="R244" s="55"/>
      <c r="S244" s="55"/>
      <c r="T244" s="55"/>
      <c r="U244" s="55"/>
      <c r="V244" s="55"/>
      <c r="W244" s="55"/>
      <c r="X244" s="55"/>
      <c r="Y244" s="55"/>
      <c r="Z244" s="55"/>
      <c r="AA244" s="55"/>
      <c r="AB244" s="55"/>
      <c r="AC244" s="55"/>
      <c r="AD244" s="55"/>
      <c r="AE244" s="55"/>
      <c r="AF244" s="55"/>
      <c r="AG244" s="55"/>
      <c r="AH244" s="55"/>
      <c r="AI244" s="55"/>
      <c r="AJ244" s="55"/>
      <c r="AK244" s="55"/>
      <c r="AL244" s="55"/>
      <c r="AM244" s="55"/>
      <c r="AN244" s="55"/>
      <c r="AO244" s="55"/>
      <c r="AP244" s="55"/>
      <c r="AQ244" s="55"/>
      <c r="AR244" s="55"/>
      <c r="AS244" s="55"/>
      <c r="AT244" s="55"/>
      <c r="AU244" s="55"/>
      <c r="AV244" s="55"/>
      <c r="AW244" s="55"/>
      <c r="AX244" s="55"/>
      <c r="AY244" s="55"/>
      <c r="AZ244" s="55"/>
      <c r="BA244" s="55"/>
      <c r="BB244" s="55"/>
      <c r="BC244" s="55"/>
      <c r="BD244" s="55"/>
      <c r="BE244" s="55"/>
      <c r="BF244" s="55"/>
      <c r="BG244" s="55"/>
      <c r="BH244" s="55"/>
      <c r="BI244" s="55"/>
      <c r="BJ244" s="55"/>
      <c r="BK244" s="55"/>
      <c r="BL244" s="55"/>
      <c r="BM244" s="55"/>
      <c r="BN244" s="55"/>
      <c r="BO244" s="55"/>
      <c r="BP244" s="55"/>
      <c r="BQ244" s="55"/>
      <c r="BR244" s="55"/>
      <c r="BS244" s="55"/>
    </row>
    <row r="245" spans="4:71" outlineLevel="1" x14ac:dyDescent="0.2">
      <c r="E245" t="str">
        <f>E239</f>
        <v>Revenus disponibles pour la récupération</v>
      </c>
      <c r="I245" s="30">
        <f t="shared" ref="I245:I247" ca="1" si="52">SUM($L245:$BS245)</f>
        <v>770.41041102828365</v>
      </c>
      <c r="J245" s="26" t="s">
        <v>148</v>
      </c>
      <c r="L245" s="49">
        <f ca="1">(HM_ZA_Nkossa!CA_cost_stop+L241)*(CA_PSC_switch_trig=0)+IF(AND((HM_ZA_Nkossa!CA_cost_stop+L241)&lt;=0,HM_ZA_Nkossa!CA_gco+L241&gt;0),HM_ZA_Nkossa!CA_gco+L241,HM_ZA_Nkossa!CA_cost_stop+L241)*(CA_PSC_switch_trig=1)</f>
        <v>0</v>
      </c>
      <c r="M245" s="49">
        <f ca="1">(HM_ZA_Nkossa!CA_cost_stop+M241)*(CA_PSC_switch_trig=0)+IF(AND((HM_ZA_Nkossa!CA_cost_stop+M241)&lt;=0,HM_ZA_Nkossa!CA_gco+M241&gt;0),HM_ZA_Nkossa!CA_gco+M241,HM_ZA_Nkossa!CA_cost_stop+M241)*(CA_PSC_switch_trig=1)</f>
        <v>0</v>
      </c>
      <c r="N245" s="49">
        <f ca="1">(HM_ZA_Nkossa!CA_cost_stop+N241)*(CA_PSC_switch_trig=0)+IF(AND((HM_ZA_Nkossa!CA_cost_stop+N241)&lt;=0,HM_ZA_Nkossa!CA_gco+N241&gt;0),HM_ZA_Nkossa!CA_gco+N241,HM_ZA_Nkossa!CA_cost_stop+N241)*(CA_PSC_switch_trig=1)</f>
        <v>0</v>
      </c>
      <c r="O245" s="49">
        <f ca="1">(HM_ZA_Nkossa!CA_cost_stop+O241)*(CA_PSC_switch_trig=0)+IF(AND((HM_ZA_Nkossa!CA_cost_stop+O241)&lt;=0,HM_ZA_Nkossa!CA_gco+O241&gt;0),HM_ZA_Nkossa!CA_gco+O241,HM_ZA_Nkossa!CA_cost_stop+O241)*(CA_PSC_switch_trig=1)</f>
        <v>0</v>
      </c>
      <c r="P245" s="49">
        <f ca="1">(HM_ZA_Nkossa!CA_cost_stop+P241)*(CA_PSC_switch_trig=0)+IF(AND((HM_ZA_Nkossa!CA_cost_stop+P241)&lt;=0,HM_ZA_Nkossa!CA_gco+P241&gt;0),HM_ZA_Nkossa!CA_gco+P241,HM_ZA_Nkossa!CA_cost_stop+P241)*(CA_PSC_switch_trig=1)</f>
        <v>3.175674191300061</v>
      </c>
      <c r="Q245" s="49">
        <f ca="1">(HM_ZA_Nkossa!CA_cost_stop+Q241)*(CA_PSC_switch_trig=0)+IF(AND((HM_ZA_Nkossa!CA_cost_stop+Q241)&lt;=0,HM_ZA_Nkossa!CA_gco+Q241&gt;0),HM_ZA_Nkossa!CA_gco+Q241,HM_ZA_Nkossa!CA_cost_stop+Q241)*(CA_PSC_switch_trig=1)</f>
        <v>165.14670980950007</v>
      </c>
      <c r="R245" s="49">
        <f ca="1">(HM_ZA_Nkossa!CA_cost_stop+R241)*(CA_PSC_switch_trig=0)+IF(AND((HM_ZA_Nkossa!CA_cost_stop+R241)&lt;=0,HM_ZA_Nkossa!CA_gco+R241&gt;0),HM_ZA_Nkossa!CA_gco+R241,HM_ZA_Nkossa!CA_cost_stop+R241)*(CA_PSC_switch_trig=1)</f>
        <v>166.80862892670007</v>
      </c>
      <c r="S245" s="49">
        <f ca="1">(HM_ZA_Nkossa!CA_cost_stop+S241)*(CA_PSC_switch_trig=0)+IF(AND((HM_ZA_Nkossa!CA_cost_stop+S241)&lt;=0,HM_ZA_Nkossa!CA_gco+S241&gt;0),HM_ZA_Nkossa!CA_gco+S241,HM_ZA_Nkossa!CA_cost_stop+S241)*(CA_PSC_switch_trig=1)</f>
        <v>46.865497288333344</v>
      </c>
      <c r="T245" s="49">
        <f ca="1">(HM_ZA_Nkossa!CA_cost_stop+T241)*(CA_PSC_switch_trig=0)+IF(AND((HM_ZA_Nkossa!CA_cost_stop+T241)&lt;=0,HM_ZA_Nkossa!CA_gco+T241&gt;0),HM_ZA_Nkossa!CA_gco+T241,HM_ZA_Nkossa!CA_cost_stop+T241)*(CA_PSC_switch_trig=1)</f>
        <v>88.365424553983985</v>
      </c>
      <c r="U245" s="49">
        <f ca="1">(HM_ZA_Nkossa!CA_cost_stop+U241)*(CA_PSC_switch_trig=0)+IF(AND((HM_ZA_Nkossa!CA_cost_stop+U241)&lt;=0,HM_ZA_Nkossa!CA_gco+U241&gt;0),HM_ZA_Nkossa!CA_gco+U241,HM_ZA_Nkossa!CA_cost_stop+U241)*(CA_PSC_switch_trig=1)</f>
        <v>87.39817671551998</v>
      </c>
      <c r="V245" s="49">
        <f ca="1">(HM_ZA_Nkossa!CA_cost_stop+V241)*(CA_PSC_switch_trig=0)+IF(AND((HM_ZA_Nkossa!CA_cost_stop+V241)&lt;=0,HM_ZA_Nkossa!CA_gco+V241&gt;0),HM_ZA_Nkossa!CA_gco+V241,HM_ZA_Nkossa!CA_cost_stop+V241)*(CA_PSC_switch_trig=1)</f>
        <v>78.907653232342241</v>
      </c>
      <c r="W245" s="49">
        <f ca="1">(HM_ZA_Nkossa!CA_cost_stop+W241)*(CA_PSC_switch_trig=0)+IF(AND((HM_ZA_Nkossa!CA_cost_stop+W241)&lt;=0,HM_ZA_Nkossa!CA_gco+W241&gt;0),HM_ZA_Nkossa!CA_gco+W241,HM_ZA_Nkossa!CA_cost_stop+W241)*(CA_PSC_switch_trig=1)</f>
        <v>70.719455904199847</v>
      </c>
      <c r="X245" s="49">
        <f ca="1">(HM_ZA_Nkossa!CA_cost_stop+X241)*(CA_PSC_switch_trig=0)+IF(AND((HM_ZA_Nkossa!CA_cost_stop+X241)&lt;=0,HM_ZA_Nkossa!CA_gco+X241&gt;0),HM_ZA_Nkossa!CA_gco+X241,HM_ZA_Nkossa!CA_cost_stop+X241)*(CA_PSC_switch_trig=1)</f>
        <v>63.02319040640397</v>
      </c>
      <c r="Y245" s="49">
        <f ca="1">(HM_ZA_Nkossa!CA_cost_stop+Y241)*(CA_PSC_switch_trig=0)+IF(AND((HM_ZA_Nkossa!CA_cost_stop+Y241)&lt;=0,HM_ZA_Nkossa!CA_gco+Y241&gt;0),HM_ZA_Nkossa!CA_gco+Y241,HM_ZA_Nkossa!CA_cost_stop+Y241)*(CA_PSC_switch_trig=1)</f>
        <v>0</v>
      </c>
      <c r="Z245" s="49">
        <f ca="1">(HM_ZA_Nkossa!CA_cost_stop+Z241)*(CA_PSC_switch_trig=0)+IF(AND((HM_ZA_Nkossa!CA_cost_stop+Z241)&lt;=0,HM_ZA_Nkossa!CA_gco+Z241&gt;0),HM_ZA_Nkossa!CA_gco+Z241,HM_ZA_Nkossa!CA_cost_stop+Z241)*(CA_PSC_switch_trig=1)</f>
        <v>0</v>
      </c>
      <c r="AA245" s="49">
        <f ca="1">(HM_ZA_Nkossa!CA_cost_stop+AA241)*(CA_PSC_switch_trig=0)+IF(AND((HM_ZA_Nkossa!CA_cost_stop+AA241)&lt;=0,HM_ZA_Nkossa!CA_gco+AA241&gt;0),HM_ZA_Nkossa!CA_gco+AA241,HM_ZA_Nkossa!CA_cost_stop+AA241)*(CA_PSC_switch_trig=1)</f>
        <v>0</v>
      </c>
      <c r="AB245" s="49">
        <f ca="1">(HM_ZA_Nkossa!CA_cost_stop+AB241)*(CA_PSC_switch_trig=0)+IF(AND((HM_ZA_Nkossa!CA_cost_stop+AB241)&lt;=0,HM_ZA_Nkossa!CA_gco+AB241&gt;0),HM_ZA_Nkossa!CA_gco+AB241,HM_ZA_Nkossa!CA_cost_stop+AB241)*(CA_PSC_switch_trig=1)</f>
        <v>0</v>
      </c>
      <c r="AC245" s="49">
        <f ca="1">(HM_ZA_Nkossa!CA_cost_stop+AC241)*(CA_PSC_switch_trig=0)+IF(AND((HM_ZA_Nkossa!CA_cost_stop+AC241)&lt;=0,HM_ZA_Nkossa!CA_gco+AC241&gt;0),HM_ZA_Nkossa!CA_gco+AC241,HM_ZA_Nkossa!CA_cost_stop+AC241)*(CA_PSC_switch_trig=1)</f>
        <v>0</v>
      </c>
      <c r="AD245" s="49">
        <f ca="1">(HM_ZA_Nkossa!CA_cost_stop+AD241)*(CA_PSC_switch_trig=0)+IF(AND((HM_ZA_Nkossa!CA_cost_stop+AD241)&lt;=0,HM_ZA_Nkossa!CA_gco+AD241&gt;0),HM_ZA_Nkossa!CA_gco+AD241,HM_ZA_Nkossa!CA_cost_stop+AD241)*(CA_PSC_switch_trig=1)</f>
        <v>0</v>
      </c>
      <c r="AE245" s="49">
        <f ca="1">(HM_ZA_Nkossa!CA_cost_stop+AE241)*(CA_PSC_switch_trig=0)+IF(AND((HM_ZA_Nkossa!CA_cost_stop+AE241)&lt;=0,HM_ZA_Nkossa!CA_gco+AE241&gt;0),HM_ZA_Nkossa!CA_gco+AE241,HM_ZA_Nkossa!CA_cost_stop+AE241)*(CA_PSC_switch_trig=1)</f>
        <v>0</v>
      </c>
      <c r="AF245" s="49">
        <f ca="1">(HM_ZA_Nkossa!CA_cost_stop+AF241)*(CA_PSC_switch_trig=0)+IF(AND((HM_ZA_Nkossa!CA_cost_stop+AF241)&lt;=0,HM_ZA_Nkossa!CA_gco+AF241&gt;0),HM_ZA_Nkossa!CA_gco+AF241,HM_ZA_Nkossa!CA_cost_stop+AF241)*(CA_PSC_switch_trig=1)</f>
        <v>0</v>
      </c>
      <c r="AG245" s="49">
        <f ca="1">(HM_ZA_Nkossa!CA_cost_stop+AG241)*(CA_PSC_switch_trig=0)+IF(AND((HM_ZA_Nkossa!CA_cost_stop+AG241)&lt;=0,HM_ZA_Nkossa!CA_gco+AG241&gt;0),HM_ZA_Nkossa!CA_gco+AG241,HM_ZA_Nkossa!CA_cost_stop+AG241)*(CA_PSC_switch_trig=1)</f>
        <v>0</v>
      </c>
      <c r="AH245" s="49">
        <f ca="1">(HM_ZA_Nkossa!CA_cost_stop+AH241)*(CA_PSC_switch_trig=0)+IF(AND((HM_ZA_Nkossa!CA_cost_stop+AH241)&lt;=0,HM_ZA_Nkossa!CA_gco+AH241&gt;0),HM_ZA_Nkossa!CA_gco+AH241,HM_ZA_Nkossa!CA_cost_stop+AH241)*(CA_PSC_switch_trig=1)</f>
        <v>0</v>
      </c>
      <c r="AI245" s="49">
        <f ca="1">(HM_ZA_Nkossa!CA_cost_stop+AI241)*(CA_PSC_switch_trig=0)+IF(AND((HM_ZA_Nkossa!CA_cost_stop+AI241)&lt;=0,HM_ZA_Nkossa!CA_gco+AI241&gt;0),HM_ZA_Nkossa!CA_gco+AI241,HM_ZA_Nkossa!CA_cost_stop+AI241)*(CA_PSC_switch_trig=1)</f>
        <v>0</v>
      </c>
      <c r="AJ245" s="49">
        <f ca="1">(HM_ZA_Nkossa!CA_cost_stop+AJ241)*(CA_PSC_switch_trig=0)+IF(AND((HM_ZA_Nkossa!CA_cost_stop+AJ241)&lt;=0,HM_ZA_Nkossa!CA_gco+AJ241&gt;0),HM_ZA_Nkossa!CA_gco+AJ241,HM_ZA_Nkossa!CA_cost_stop+AJ241)*(CA_PSC_switch_trig=1)</f>
        <v>0</v>
      </c>
      <c r="AK245" s="49">
        <f ca="1">(HM_ZA_Nkossa!CA_cost_stop+AK241)*(CA_PSC_switch_trig=0)+IF(AND((HM_ZA_Nkossa!CA_cost_stop+AK241)&lt;=0,HM_ZA_Nkossa!CA_gco+AK241&gt;0),HM_ZA_Nkossa!CA_gco+AK241,HM_ZA_Nkossa!CA_cost_stop+AK241)*(CA_PSC_switch_trig=1)</f>
        <v>0</v>
      </c>
      <c r="AL245" s="49">
        <f ca="1">(HM_ZA_Nkossa!CA_cost_stop+AL241)*(CA_PSC_switch_trig=0)+IF(AND((HM_ZA_Nkossa!CA_cost_stop+AL241)&lt;=0,HM_ZA_Nkossa!CA_gco+AL241&gt;0),HM_ZA_Nkossa!CA_gco+AL241,HM_ZA_Nkossa!CA_cost_stop+AL241)*(CA_PSC_switch_trig=1)</f>
        <v>0</v>
      </c>
      <c r="AM245" s="49">
        <f ca="1">(HM_ZA_Nkossa!CA_cost_stop+AM241)*(CA_PSC_switch_trig=0)+IF(AND((HM_ZA_Nkossa!CA_cost_stop+AM241)&lt;=0,HM_ZA_Nkossa!CA_gco+AM241&gt;0),HM_ZA_Nkossa!CA_gco+AM241,HM_ZA_Nkossa!CA_cost_stop+AM241)*(CA_PSC_switch_trig=1)</f>
        <v>0</v>
      </c>
      <c r="AN245" s="49">
        <f ca="1">(HM_ZA_Nkossa!CA_cost_stop+AN241)*(CA_PSC_switch_trig=0)+IF(AND((HM_ZA_Nkossa!CA_cost_stop+AN241)&lt;=0,HM_ZA_Nkossa!CA_gco+AN241&gt;0),HM_ZA_Nkossa!CA_gco+AN241,HM_ZA_Nkossa!CA_cost_stop+AN241)*(CA_PSC_switch_trig=1)</f>
        <v>0</v>
      </c>
      <c r="AO245" s="49">
        <f ca="1">(HM_ZA_Nkossa!CA_cost_stop+AO241)*(CA_PSC_switch_trig=0)+IF(AND((HM_ZA_Nkossa!CA_cost_stop+AO241)&lt;=0,HM_ZA_Nkossa!CA_gco+AO241&gt;0),HM_ZA_Nkossa!CA_gco+AO241,HM_ZA_Nkossa!CA_cost_stop+AO241)*(CA_PSC_switch_trig=1)</f>
        <v>0</v>
      </c>
      <c r="AP245" s="49">
        <f ca="1">(HM_ZA_Nkossa!CA_cost_stop+AP241)*(CA_PSC_switch_trig=0)+IF(AND((HM_ZA_Nkossa!CA_cost_stop+AP241)&lt;=0,HM_ZA_Nkossa!CA_gco+AP241&gt;0),HM_ZA_Nkossa!CA_gco+AP241,HM_ZA_Nkossa!CA_cost_stop+AP241)*(CA_PSC_switch_trig=1)</f>
        <v>0</v>
      </c>
      <c r="AQ245" s="49">
        <f ca="1">(HM_ZA_Nkossa!CA_cost_stop+AQ241)*(CA_PSC_switch_trig=0)+IF(AND((HM_ZA_Nkossa!CA_cost_stop+AQ241)&lt;=0,HM_ZA_Nkossa!CA_gco+AQ241&gt;0),HM_ZA_Nkossa!CA_gco+AQ241,HM_ZA_Nkossa!CA_cost_stop+AQ241)*(CA_PSC_switch_trig=1)</f>
        <v>0</v>
      </c>
      <c r="AR245" s="49">
        <f ca="1">(HM_ZA_Nkossa!CA_cost_stop+AR241)*(CA_PSC_switch_trig=0)+IF(AND((HM_ZA_Nkossa!CA_cost_stop+AR241)&lt;=0,HM_ZA_Nkossa!CA_gco+AR241&gt;0),HM_ZA_Nkossa!CA_gco+AR241,HM_ZA_Nkossa!CA_cost_stop+AR241)*(CA_PSC_switch_trig=1)</f>
        <v>0</v>
      </c>
      <c r="AS245" s="49">
        <f ca="1">(HM_ZA_Nkossa!CA_cost_stop+AS241)*(CA_PSC_switch_trig=0)+IF(AND((HM_ZA_Nkossa!CA_cost_stop+AS241)&lt;=0,HM_ZA_Nkossa!CA_gco+AS241&gt;0),HM_ZA_Nkossa!CA_gco+AS241,HM_ZA_Nkossa!CA_cost_stop+AS241)*(CA_PSC_switch_trig=1)</f>
        <v>0</v>
      </c>
      <c r="AT245" s="49">
        <f ca="1">(HM_ZA_Nkossa!CA_cost_stop+AT241)*(CA_PSC_switch_trig=0)+IF(AND((HM_ZA_Nkossa!CA_cost_stop+AT241)&lt;=0,HM_ZA_Nkossa!CA_gco+AT241&gt;0),HM_ZA_Nkossa!CA_gco+AT241,HM_ZA_Nkossa!CA_cost_stop+AT241)*(CA_PSC_switch_trig=1)</f>
        <v>0</v>
      </c>
      <c r="AU245" s="49">
        <f ca="1">(HM_ZA_Nkossa!CA_cost_stop+AU241)*(CA_PSC_switch_trig=0)+IF(AND((HM_ZA_Nkossa!CA_cost_stop+AU241)&lt;=0,HM_ZA_Nkossa!CA_gco+AU241&gt;0),HM_ZA_Nkossa!CA_gco+AU241,HM_ZA_Nkossa!CA_cost_stop+AU241)*(CA_PSC_switch_trig=1)</f>
        <v>0</v>
      </c>
      <c r="AV245" s="49">
        <f ca="1">(HM_ZA_Nkossa!CA_cost_stop+AV241)*(CA_PSC_switch_trig=0)+IF(AND((HM_ZA_Nkossa!CA_cost_stop+AV241)&lt;=0,HM_ZA_Nkossa!CA_gco+AV241&gt;0),HM_ZA_Nkossa!CA_gco+AV241,HM_ZA_Nkossa!CA_cost_stop+AV241)*(CA_PSC_switch_trig=1)</f>
        <v>0</v>
      </c>
      <c r="AW245" s="49">
        <f ca="1">(HM_ZA_Nkossa!CA_cost_stop+AW241)*(CA_PSC_switch_trig=0)+IF(AND((HM_ZA_Nkossa!CA_cost_stop+AW241)&lt;=0,HM_ZA_Nkossa!CA_gco+AW241&gt;0),HM_ZA_Nkossa!CA_gco+AW241,HM_ZA_Nkossa!CA_cost_stop+AW241)*(CA_PSC_switch_trig=1)</f>
        <v>0</v>
      </c>
      <c r="AX245" s="49">
        <f ca="1">(HM_ZA_Nkossa!CA_cost_stop+AX241)*(CA_PSC_switch_trig=0)+IF(AND((HM_ZA_Nkossa!CA_cost_stop+AX241)&lt;=0,HM_ZA_Nkossa!CA_gco+AX241&gt;0),HM_ZA_Nkossa!CA_gco+AX241,HM_ZA_Nkossa!CA_cost_stop+AX241)*(CA_PSC_switch_trig=1)</f>
        <v>0</v>
      </c>
      <c r="AY245" s="49">
        <f ca="1">(HM_ZA_Nkossa!CA_cost_stop+AY241)*(CA_PSC_switch_trig=0)+IF(AND((HM_ZA_Nkossa!CA_cost_stop+AY241)&lt;=0,HM_ZA_Nkossa!CA_gco+AY241&gt;0),HM_ZA_Nkossa!CA_gco+AY241,HM_ZA_Nkossa!CA_cost_stop+AY241)*(CA_PSC_switch_trig=1)</f>
        <v>0</v>
      </c>
      <c r="AZ245" s="49">
        <f ca="1">(HM_ZA_Nkossa!CA_cost_stop+AZ241)*(CA_PSC_switch_trig=0)+IF(AND((HM_ZA_Nkossa!CA_cost_stop+AZ241)&lt;=0,HM_ZA_Nkossa!CA_gco+AZ241&gt;0),HM_ZA_Nkossa!CA_gco+AZ241,HM_ZA_Nkossa!CA_cost_stop+AZ241)*(CA_PSC_switch_trig=1)</f>
        <v>0</v>
      </c>
      <c r="BA245" s="49">
        <f ca="1">(HM_ZA_Nkossa!CA_cost_stop+BA241)*(CA_PSC_switch_trig=0)+IF(AND((HM_ZA_Nkossa!CA_cost_stop+BA241)&lt;=0,HM_ZA_Nkossa!CA_gco+BA241&gt;0),HM_ZA_Nkossa!CA_gco+BA241,HM_ZA_Nkossa!CA_cost_stop+BA241)*(CA_PSC_switch_trig=1)</f>
        <v>0</v>
      </c>
      <c r="BB245" s="49">
        <f ca="1">(HM_ZA_Nkossa!CA_cost_stop+BB241)*(CA_PSC_switch_trig=0)+IF(AND((HM_ZA_Nkossa!CA_cost_stop+BB241)&lt;=0,HM_ZA_Nkossa!CA_gco+BB241&gt;0),HM_ZA_Nkossa!CA_gco+BB241,HM_ZA_Nkossa!CA_cost_stop+BB241)*(CA_PSC_switch_trig=1)</f>
        <v>0</v>
      </c>
      <c r="BC245" s="49">
        <f ca="1">(HM_ZA_Nkossa!CA_cost_stop+BC241)*(CA_PSC_switch_trig=0)+IF(AND((HM_ZA_Nkossa!CA_cost_stop+BC241)&lt;=0,HM_ZA_Nkossa!CA_gco+BC241&gt;0),HM_ZA_Nkossa!CA_gco+BC241,HM_ZA_Nkossa!CA_cost_stop+BC241)*(CA_PSC_switch_trig=1)</f>
        <v>0</v>
      </c>
      <c r="BD245" s="49">
        <f ca="1">(HM_ZA_Nkossa!CA_cost_stop+BD241)*(CA_PSC_switch_trig=0)+IF(AND((HM_ZA_Nkossa!CA_cost_stop+BD241)&lt;=0,HM_ZA_Nkossa!CA_gco+BD241&gt;0),HM_ZA_Nkossa!CA_gco+BD241,HM_ZA_Nkossa!CA_cost_stop+BD241)*(CA_PSC_switch_trig=1)</f>
        <v>0</v>
      </c>
      <c r="BE245" s="49">
        <f ca="1">(HM_ZA_Nkossa!CA_cost_stop+BE241)*(CA_PSC_switch_trig=0)+IF(AND((HM_ZA_Nkossa!CA_cost_stop+BE241)&lt;=0,HM_ZA_Nkossa!CA_gco+BE241&gt;0),HM_ZA_Nkossa!CA_gco+BE241,HM_ZA_Nkossa!CA_cost_stop+BE241)*(CA_PSC_switch_trig=1)</f>
        <v>0</v>
      </c>
      <c r="BF245" s="49">
        <f ca="1">(HM_ZA_Nkossa!CA_cost_stop+BF241)*(CA_PSC_switch_trig=0)+IF(AND((HM_ZA_Nkossa!CA_cost_stop+BF241)&lt;=0,HM_ZA_Nkossa!CA_gco+BF241&gt;0),HM_ZA_Nkossa!CA_gco+BF241,HM_ZA_Nkossa!CA_cost_stop+BF241)*(CA_PSC_switch_trig=1)</f>
        <v>0</v>
      </c>
      <c r="BG245" s="49">
        <f ca="1">(HM_ZA_Nkossa!CA_cost_stop+BG241)*(CA_PSC_switch_trig=0)+IF(AND((HM_ZA_Nkossa!CA_cost_stop+BG241)&lt;=0,HM_ZA_Nkossa!CA_gco+BG241&gt;0),HM_ZA_Nkossa!CA_gco+BG241,HM_ZA_Nkossa!CA_cost_stop+BG241)*(CA_PSC_switch_trig=1)</f>
        <v>0</v>
      </c>
      <c r="BH245" s="49">
        <f ca="1">(HM_ZA_Nkossa!CA_cost_stop+BH241)*(CA_PSC_switch_trig=0)+IF(AND((HM_ZA_Nkossa!CA_cost_stop+BH241)&lt;=0,HM_ZA_Nkossa!CA_gco+BH241&gt;0),HM_ZA_Nkossa!CA_gco+BH241,HM_ZA_Nkossa!CA_cost_stop+BH241)*(CA_PSC_switch_trig=1)</f>
        <v>0</v>
      </c>
      <c r="BI245" s="49">
        <f ca="1">(HM_ZA_Nkossa!CA_cost_stop+BI241)*(CA_PSC_switch_trig=0)+IF(AND((HM_ZA_Nkossa!CA_cost_stop+BI241)&lt;=0,HM_ZA_Nkossa!CA_gco+BI241&gt;0),HM_ZA_Nkossa!CA_gco+BI241,HM_ZA_Nkossa!CA_cost_stop+BI241)*(CA_PSC_switch_trig=1)</f>
        <v>0</v>
      </c>
      <c r="BJ245" s="49">
        <f ca="1">(HM_ZA_Nkossa!CA_cost_stop+BJ241)*(CA_PSC_switch_trig=0)+IF(AND((HM_ZA_Nkossa!CA_cost_stop+BJ241)&lt;=0,HM_ZA_Nkossa!CA_gco+BJ241&gt;0),HM_ZA_Nkossa!CA_gco+BJ241,HM_ZA_Nkossa!CA_cost_stop+BJ241)*(CA_PSC_switch_trig=1)</f>
        <v>0</v>
      </c>
      <c r="BK245" s="49">
        <f ca="1">(HM_ZA_Nkossa!CA_cost_stop+BK241)*(CA_PSC_switch_trig=0)+IF(AND((HM_ZA_Nkossa!CA_cost_stop+BK241)&lt;=0,HM_ZA_Nkossa!CA_gco+BK241&gt;0),HM_ZA_Nkossa!CA_gco+BK241,HM_ZA_Nkossa!CA_cost_stop+BK241)*(CA_PSC_switch_trig=1)</f>
        <v>0</v>
      </c>
      <c r="BL245" s="49">
        <f ca="1">(HM_ZA_Nkossa!CA_cost_stop+BL241)*(CA_PSC_switch_trig=0)+IF(AND((HM_ZA_Nkossa!CA_cost_stop+BL241)&lt;=0,HM_ZA_Nkossa!CA_gco+BL241&gt;0),HM_ZA_Nkossa!CA_gco+BL241,HM_ZA_Nkossa!CA_cost_stop+BL241)*(CA_PSC_switch_trig=1)</f>
        <v>0</v>
      </c>
      <c r="BM245" s="49">
        <f ca="1">(HM_ZA_Nkossa!CA_cost_stop+BM241)*(CA_PSC_switch_trig=0)+IF(AND((HM_ZA_Nkossa!CA_cost_stop+BM241)&lt;=0,HM_ZA_Nkossa!CA_gco+BM241&gt;0),HM_ZA_Nkossa!CA_gco+BM241,HM_ZA_Nkossa!CA_cost_stop+BM241)*(CA_PSC_switch_trig=1)</f>
        <v>0</v>
      </c>
      <c r="BN245" s="49">
        <f ca="1">(HM_ZA_Nkossa!CA_cost_stop+BN241)*(CA_PSC_switch_trig=0)+IF(AND((HM_ZA_Nkossa!CA_cost_stop+BN241)&lt;=0,HM_ZA_Nkossa!CA_gco+BN241&gt;0),HM_ZA_Nkossa!CA_gco+BN241,HM_ZA_Nkossa!CA_cost_stop+BN241)*(CA_PSC_switch_trig=1)</f>
        <v>0</v>
      </c>
      <c r="BO245" s="49">
        <f ca="1">(HM_ZA_Nkossa!CA_cost_stop+BO241)*(CA_PSC_switch_trig=0)+IF(AND((HM_ZA_Nkossa!CA_cost_stop+BO241)&lt;=0,HM_ZA_Nkossa!CA_gco+BO241&gt;0),HM_ZA_Nkossa!CA_gco+BO241,HM_ZA_Nkossa!CA_cost_stop+BO241)*(CA_PSC_switch_trig=1)</f>
        <v>0</v>
      </c>
      <c r="BP245" s="49">
        <f ca="1">(HM_ZA_Nkossa!CA_cost_stop+BP241)*(CA_PSC_switch_trig=0)+IF(AND((HM_ZA_Nkossa!CA_cost_stop+BP241)&lt;=0,HM_ZA_Nkossa!CA_gco+BP241&gt;0),HM_ZA_Nkossa!CA_gco+BP241,HM_ZA_Nkossa!CA_cost_stop+BP241)*(CA_PSC_switch_trig=1)</f>
        <v>0</v>
      </c>
      <c r="BQ245" s="49">
        <f ca="1">(HM_ZA_Nkossa!CA_cost_stop+BQ241)*(CA_PSC_switch_trig=0)+IF(AND((HM_ZA_Nkossa!CA_cost_stop+BQ241)&lt;=0,HM_ZA_Nkossa!CA_gco+BQ241&gt;0),HM_ZA_Nkossa!CA_gco+BQ241,HM_ZA_Nkossa!CA_cost_stop+BQ241)*(CA_PSC_switch_trig=1)</f>
        <v>0</v>
      </c>
      <c r="BR245" s="49">
        <f ca="1">(HM_ZA_Nkossa!CA_cost_stop+BR241)*(CA_PSC_switch_trig=0)+IF(AND((HM_ZA_Nkossa!CA_cost_stop+BR241)&lt;=0,HM_ZA_Nkossa!CA_gco+BR241&gt;0),HM_ZA_Nkossa!CA_gco+BR241,HM_ZA_Nkossa!CA_cost_stop+BR241)*(CA_PSC_switch_trig=1)</f>
        <v>0</v>
      </c>
      <c r="BS245" s="49">
        <f ca="1">(HM_ZA_Nkossa!CA_cost_stop+BS241)*(CA_PSC_switch_trig=0)+IF(AND((HM_ZA_Nkossa!CA_cost_stop+BS241)&lt;=0,HM_ZA_Nkossa!CA_gco+BS241&gt;0),HM_ZA_Nkossa!CA_gco+BS241,HM_ZA_Nkossa!CA_cost_stop+BS241)*(CA_PSC_switch_trig=1)</f>
        <v>0</v>
      </c>
    </row>
    <row r="246" spans="4:71" outlineLevel="1" x14ac:dyDescent="0.2">
      <c r="E246" t="str">
        <f>CHOOSE(db_ML_selected,'Liste Traduction'!B326,'Liste Traduction'!C326)</f>
        <v>PID cumulée à récupérer</v>
      </c>
      <c r="I246" s="30">
        <f ca="1">I224</f>
        <v>55.941580569743323</v>
      </c>
      <c r="J246" s="26" t="s">
        <v>148</v>
      </c>
      <c r="L246" s="49">
        <f t="shared" ref="L246:AQ246" ca="1" si="53">CA_pid_to_recover+(K248*(1+int_rate_cf_costs))</f>
        <v>9.1971353594999989</v>
      </c>
      <c r="M246" s="49">
        <f t="shared" ca="1" si="53"/>
        <v>18.97367935162</v>
      </c>
      <c r="N246" s="49">
        <f t="shared" ca="1" si="53"/>
        <v>23.2990138328</v>
      </c>
      <c r="O246" s="49">
        <f t="shared" ca="1" si="53"/>
        <v>27.346714689240002</v>
      </c>
      <c r="P246" s="49">
        <f t="shared" ca="1" si="53"/>
        <v>31.680450868150004</v>
      </c>
      <c r="Q246" s="49">
        <f t="shared" ca="1" si="53"/>
        <v>33.137587856779945</v>
      </c>
      <c r="R246" s="49">
        <f t="shared" ca="1" si="53"/>
        <v>4.4365205259400007</v>
      </c>
      <c r="S246" s="49">
        <f t="shared" ca="1" si="53"/>
        <v>2.0557363143333331</v>
      </c>
      <c r="T246" s="49">
        <f t="shared" ca="1" si="53"/>
        <v>2.7975531737087995</v>
      </c>
      <c r="U246" s="49">
        <f t="shared" ca="1" si="53"/>
        <v>2.7926577584639993</v>
      </c>
      <c r="V246" s="49">
        <f t="shared" ca="1" si="53"/>
        <v>2.6491151496789498</v>
      </c>
      <c r="W246" s="49">
        <f t="shared" ca="1" si="53"/>
        <v>2.5129506309854515</v>
      </c>
      <c r="X246" s="49">
        <f t="shared" ca="1" si="53"/>
        <v>2.3837849685527992</v>
      </c>
      <c r="Y246" s="49">
        <f t="shared" ca="1" si="53"/>
        <v>0</v>
      </c>
      <c r="Z246" s="49">
        <f t="shared" ca="1" si="53"/>
        <v>0</v>
      </c>
      <c r="AA246" s="49">
        <f t="shared" ca="1" si="53"/>
        <v>0</v>
      </c>
      <c r="AB246" s="49">
        <f t="shared" ca="1" si="53"/>
        <v>0</v>
      </c>
      <c r="AC246" s="49">
        <f t="shared" ca="1" si="53"/>
        <v>0</v>
      </c>
      <c r="AD246" s="49">
        <f t="shared" ca="1" si="53"/>
        <v>0</v>
      </c>
      <c r="AE246" s="49">
        <f t="shared" ca="1" si="53"/>
        <v>0</v>
      </c>
      <c r="AF246" s="49">
        <f t="shared" ca="1" si="53"/>
        <v>0</v>
      </c>
      <c r="AG246" s="49">
        <f t="shared" ca="1" si="53"/>
        <v>0</v>
      </c>
      <c r="AH246" s="49">
        <f t="shared" ca="1" si="53"/>
        <v>0</v>
      </c>
      <c r="AI246" s="49">
        <f t="shared" ca="1" si="53"/>
        <v>0</v>
      </c>
      <c r="AJ246" s="49">
        <f t="shared" ca="1" si="53"/>
        <v>0</v>
      </c>
      <c r="AK246" s="49">
        <f t="shared" ca="1" si="53"/>
        <v>0</v>
      </c>
      <c r="AL246" s="49">
        <f t="shared" ca="1" si="53"/>
        <v>0</v>
      </c>
      <c r="AM246" s="49">
        <f t="shared" ca="1" si="53"/>
        <v>0</v>
      </c>
      <c r="AN246" s="49">
        <f t="shared" ca="1" si="53"/>
        <v>0</v>
      </c>
      <c r="AO246" s="49">
        <f t="shared" ca="1" si="53"/>
        <v>0</v>
      </c>
      <c r="AP246" s="49">
        <f t="shared" ca="1" si="53"/>
        <v>0</v>
      </c>
      <c r="AQ246" s="49">
        <f t="shared" ca="1" si="53"/>
        <v>0</v>
      </c>
      <c r="AR246" s="49">
        <f t="shared" ref="AR246:BS246" ca="1" si="54">CA_pid_to_recover+(AQ248*(1+int_rate_cf_costs))</f>
        <v>0</v>
      </c>
      <c r="AS246" s="49">
        <f t="shared" ca="1" si="54"/>
        <v>0</v>
      </c>
      <c r="AT246" s="49">
        <f t="shared" ca="1" si="54"/>
        <v>0</v>
      </c>
      <c r="AU246" s="49">
        <f t="shared" ca="1" si="54"/>
        <v>0</v>
      </c>
      <c r="AV246" s="49">
        <f t="shared" ca="1" si="54"/>
        <v>0</v>
      </c>
      <c r="AW246" s="49">
        <f t="shared" ca="1" si="54"/>
        <v>0</v>
      </c>
      <c r="AX246" s="49">
        <f t="shared" ca="1" si="54"/>
        <v>0</v>
      </c>
      <c r="AY246" s="49">
        <f t="shared" ca="1" si="54"/>
        <v>0</v>
      </c>
      <c r="AZ246" s="49">
        <f t="shared" ca="1" si="54"/>
        <v>0</v>
      </c>
      <c r="BA246" s="49">
        <f t="shared" ca="1" si="54"/>
        <v>0</v>
      </c>
      <c r="BB246" s="49">
        <f t="shared" ca="1" si="54"/>
        <v>0</v>
      </c>
      <c r="BC246" s="49">
        <f t="shared" ca="1" si="54"/>
        <v>0</v>
      </c>
      <c r="BD246" s="49">
        <f t="shared" ca="1" si="54"/>
        <v>0</v>
      </c>
      <c r="BE246" s="49">
        <f t="shared" ca="1" si="54"/>
        <v>0</v>
      </c>
      <c r="BF246" s="49">
        <f t="shared" ca="1" si="54"/>
        <v>0</v>
      </c>
      <c r="BG246" s="49">
        <f t="shared" ca="1" si="54"/>
        <v>0</v>
      </c>
      <c r="BH246" s="49">
        <f t="shared" ca="1" si="54"/>
        <v>0</v>
      </c>
      <c r="BI246" s="49">
        <f t="shared" ca="1" si="54"/>
        <v>0</v>
      </c>
      <c r="BJ246" s="49">
        <f t="shared" ca="1" si="54"/>
        <v>0</v>
      </c>
      <c r="BK246" s="49">
        <f t="shared" ca="1" si="54"/>
        <v>0</v>
      </c>
      <c r="BL246" s="49">
        <f t="shared" ca="1" si="54"/>
        <v>0</v>
      </c>
      <c r="BM246" s="49">
        <f t="shared" ca="1" si="54"/>
        <v>0</v>
      </c>
      <c r="BN246" s="49">
        <f t="shared" ca="1" si="54"/>
        <v>0</v>
      </c>
      <c r="BO246" s="49">
        <f t="shared" ca="1" si="54"/>
        <v>0</v>
      </c>
      <c r="BP246" s="49">
        <f t="shared" ca="1" si="54"/>
        <v>0</v>
      </c>
      <c r="BQ246" s="49">
        <f t="shared" ca="1" si="54"/>
        <v>0</v>
      </c>
      <c r="BR246" s="49">
        <f t="shared" ca="1" si="54"/>
        <v>0</v>
      </c>
      <c r="BS246" s="49">
        <f t="shared" ca="1" si="54"/>
        <v>0</v>
      </c>
    </row>
    <row r="247" spans="4:71" outlineLevel="1" x14ac:dyDescent="0.2">
      <c r="E247" t="str">
        <f>CHOOSE(db_ML_selected,'Liste Traduction'!B327,'Liste Traduction'!C327)</f>
        <v>PID récupérée</v>
      </c>
      <c r="H247" s="56" t="b">
        <f ca="1">ROUND(I247,2)=-ROUND(I246,2)</f>
        <v>1</v>
      </c>
      <c r="I247" s="30">
        <f t="shared" ca="1" si="52"/>
        <v>-55.941580569743323</v>
      </c>
      <c r="J247" s="26" t="s">
        <v>148</v>
      </c>
      <c r="L247" s="49">
        <f ca="1">-MIN(L246,L245)</f>
        <v>0</v>
      </c>
      <c r="M247" s="49">
        <f t="shared" ref="M247:BS247" ca="1" si="55">-MIN(M246,M245)</f>
        <v>0</v>
      </c>
      <c r="N247" s="49">
        <f t="shared" ca="1" si="55"/>
        <v>0</v>
      </c>
      <c r="O247" s="49">
        <f t="shared" ca="1" si="55"/>
        <v>0</v>
      </c>
      <c r="P247" s="49">
        <f t="shared" ca="1" si="55"/>
        <v>-3.175674191300061</v>
      </c>
      <c r="Q247" s="49">
        <f t="shared" ca="1" si="55"/>
        <v>-33.137587856779945</v>
      </c>
      <c r="R247" s="49">
        <f t="shared" ca="1" si="55"/>
        <v>-4.4365205259400007</v>
      </c>
      <c r="S247" s="49">
        <f t="shared" ca="1" si="55"/>
        <v>-2.0557363143333331</v>
      </c>
      <c r="T247" s="49">
        <f t="shared" ca="1" si="55"/>
        <v>-2.7975531737087995</v>
      </c>
      <c r="U247" s="49">
        <f t="shared" ca="1" si="55"/>
        <v>-2.7926577584639993</v>
      </c>
      <c r="V247" s="49">
        <f t="shared" ca="1" si="55"/>
        <v>-2.6491151496789498</v>
      </c>
      <c r="W247" s="49">
        <f t="shared" ca="1" si="55"/>
        <v>-2.5129506309854515</v>
      </c>
      <c r="X247" s="49">
        <f t="shared" ca="1" si="55"/>
        <v>-2.3837849685527992</v>
      </c>
      <c r="Y247" s="49">
        <f t="shared" ca="1" si="55"/>
        <v>0</v>
      </c>
      <c r="Z247" s="49">
        <f t="shared" ca="1" si="55"/>
        <v>0</v>
      </c>
      <c r="AA247" s="49">
        <f t="shared" ca="1" si="55"/>
        <v>0</v>
      </c>
      <c r="AB247" s="49">
        <f t="shared" ca="1" si="55"/>
        <v>0</v>
      </c>
      <c r="AC247" s="49">
        <f t="shared" ca="1" si="55"/>
        <v>0</v>
      </c>
      <c r="AD247" s="49">
        <f t="shared" ca="1" si="55"/>
        <v>0</v>
      </c>
      <c r="AE247" s="49">
        <f t="shared" ca="1" si="55"/>
        <v>0</v>
      </c>
      <c r="AF247" s="49">
        <f t="shared" ca="1" si="55"/>
        <v>0</v>
      </c>
      <c r="AG247" s="49">
        <f t="shared" ca="1" si="55"/>
        <v>0</v>
      </c>
      <c r="AH247" s="49">
        <f t="shared" ca="1" si="55"/>
        <v>0</v>
      </c>
      <c r="AI247" s="49">
        <f t="shared" ca="1" si="55"/>
        <v>0</v>
      </c>
      <c r="AJ247" s="49">
        <f t="shared" ca="1" si="55"/>
        <v>0</v>
      </c>
      <c r="AK247" s="49">
        <f t="shared" ca="1" si="55"/>
        <v>0</v>
      </c>
      <c r="AL247" s="49">
        <f t="shared" ca="1" si="55"/>
        <v>0</v>
      </c>
      <c r="AM247" s="49">
        <f t="shared" ca="1" si="55"/>
        <v>0</v>
      </c>
      <c r="AN247" s="49">
        <f t="shared" ca="1" si="55"/>
        <v>0</v>
      </c>
      <c r="AO247" s="49">
        <f t="shared" ca="1" si="55"/>
        <v>0</v>
      </c>
      <c r="AP247" s="49">
        <f t="shared" ca="1" si="55"/>
        <v>0</v>
      </c>
      <c r="AQ247" s="49">
        <f t="shared" ca="1" si="55"/>
        <v>0</v>
      </c>
      <c r="AR247" s="49">
        <f t="shared" ca="1" si="55"/>
        <v>0</v>
      </c>
      <c r="AS247" s="49">
        <f t="shared" ca="1" si="55"/>
        <v>0</v>
      </c>
      <c r="AT247" s="49">
        <f t="shared" ca="1" si="55"/>
        <v>0</v>
      </c>
      <c r="AU247" s="49">
        <f t="shared" ca="1" si="55"/>
        <v>0</v>
      </c>
      <c r="AV247" s="49">
        <f t="shared" ca="1" si="55"/>
        <v>0</v>
      </c>
      <c r="AW247" s="49">
        <f t="shared" ca="1" si="55"/>
        <v>0</v>
      </c>
      <c r="AX247" s="49">
        <f t="shared" ca="1" si="55"/>
        <v>0</v>
      </c>
      <c r="AY247" s="49">
        <f t="shared" ca="1" si="55"/>
        <v>0</v>
      </c>
      <c r="AZ247" s="49">
        <f t="shared" ca="1" si="55"/>
        <v>0</v>
      </c>
      <c r="BA247" s="49">
        <f t="shared" ca="1" si="55"/>
        <v>0</v>
      </c>
      <c r="BB247" s="49">
        <f t="shared" ca="1" si="55"/>
        <v>0</v>
      </c>
      <c r="BC247" s="49">
        <f t="shared" ca="1" si="55"/>
        <v>0</v>
      </c>
      <c r="BD247" s="49">
        <f t="shared" ca="1" si="55"/>
        <v>0</v>
      </c>
      <c r="BE247" s="49">
        <f t="shared" ca="1" si="55"/>
        <v>0</v>
      </c>
      <c r="BF247" s="49">
        <f t="shared" ca="1" si="55"/>
        <v>0</v>
      </c>
      <c r="BG247" s="49">
        <f t="shared" ca="1" si="55"/>
        <v>0</v>
      </c>
      <c r="BH247" s="49">
        <f t="shared" ca="1" si="55"/>
        <v>0</v>
      </c>
      <c r="BI247" s="49">
        <f t="shared" ca="1" si="55"/>
        <v>0</v>
      </c>
      <c r="BJ247" s="49">
        <f t="shared" ca="1" si="55"/>
        <v>0</v>
      </c>
      <c r="BK247" s="49">
        <f t="shared" ca="1" si="55"/>
        <v>0</v>
      </c>
      <c r="BL247" s="49">
        <f t="shared" ca="1" si="55"/>
        <v>0</v>
      </c>
      <c r="BM247" s="49">
        <f t="shared" ca="1" si="55"/>
        <v>0</v>
      </c>
      <c r="BN247" s="49">
        <f t="shared" ca="1" si="55"/>
        <v>0</v>
      </c>
      <c r="BO247" s="49">
        <f t="shared" ca="1" si="55"/>
        <v>0</v>
      </c>
      <c r="BP247" s="49">
        <f t="shared" ca="1" si="55"/>
        <v>0</v>
      </c>
      <c r="BQ247" s="49">
        <f t="shared" ca="1" si="55"/>
        <v>0</v>
      </c>
      <c r="BR247" s="49">
        <f t="shared" ca="1" si="55"/>
        <v>0</v>
      </c>
      <c r="BS247" s="49">
        <f t="shared" ca="1" si="55"/>
        <v>0</v>
      </c>
    </row>
    <row r="248" spans="4:71" outlineLevel="1" x14ac:dyDescent="0.2">
      <c r="E248" t="str">
        <f>E242</f>
        <v xml:space="preserve">Sous/(Sur)récupération </v>
      </c>
      <c r="J248" s="26"/>
      <c r="L248" s="49">
        <f ca="1">L246+L247</f>
        <v>9.1971353594999989</v>
      </c>
      <c r="M248" s="49">
        <f t="shared" ref="M248:BS248" ca="1" si="56">M246+M247</f>
        <v>18.97367935162</v>
      </c>
      <c r="N248" s="49">
        <f t="shared" ca="1" si="56"/>
        <v>23.2990138328</v>
      </c>
      <c r="O248" s="49">
        <f t="shared" ca="1" si="56"/>
        <v>27.346714689240002</v>
      </c>
      <c r="P248" s="49">
        <f t="shared" ca="1" si="56"/>
        <v>28.504776676849943</v>
      </c>
      <c r="Q248" s="49">
        <f t="shared" ca="1" si="56"/>
        <v>0</v>
      </c>
      <c r="R248" s="49">
        <f t="shared" ca="1" si="56"/>
        <v>0</v>
      </c>
      <c r="S248" s="49">
        <f t="shared" ca="1" si="56"/>
        <v>0</v>
      </c>
      <c r="T248" s="49">
        <f t="shared" ca="1" si="56"/>
        <v>0</v>
      </c>
      <c r="U248" s="49">
        <f t="shared" ca="1" si="56"/>
        <v>0</v>
      </c>
      <c r="V248" s="49">
        <f t="shared" ca="1" si="56"/>
        <v>0</v>
      </c>
      <c r="W248" s="49">
        <f t="shared" ca="1" si="56"/>
        <v>0</v>
      </c>
      <c r="X248" s="49">
        <f t="shared" ca="1" si="56"/>
        <v>0</v>
      </c>
      <c r="Y248" s="49">
        <f t="shared" ca="1" si="56"/>
        <v>0</v>
      </c>
      <c r="Z248" s="49">
        <f t="shared" ca="1" si="56"/>
        <v>0</v>
      </c>
      <c r="AA248" s="49">
        <f t="shared" ca="1" si="56"/>
        <v>0</v>
      </c>
      <c r="AB248" s="49">
        <f t="shared" ca="1" si="56"/>
        <v>0</v>
      </c>
      <c r="AC248" s="49">
        <f t="shared" ca="1" si="56"/>
        <v>0</v>
      </c>
      <c r="AD248" s="49">
        <f t="shared" ca="1" si="56"/>
        <v>0</v>
      </c>
      <c r="AE248" s="49">
        <f t="shared" ca="1" si="56"/>
        <v>0</v>
      </c>
      <c r="AF248" s="49">
        <f t="shared" ca="1" si="56"/>
        <v>0</v>
      </c>
      <c r="AG248" s="49">
        <f t="shared" ca="1" si="56"/>
        <v>0</v>
      </c>
      <c r="AH248" s="49">
        <f t="shared" ca="1" si="56"/>
        <v>0</v>
      </c>
      <c r="AI248" s="49">
        <f t="shared" ca="1" si="56"/>
        <v>0</v>
      </c>
      <c r="AJ248" s="49">
        <f t="shared" ca="1" si="56"/>
        <v>0</v>
      </c>
      <c r="AK248" s="49">
        <f t="shared" ca="1" si="56"/>
        <v>0</v>
      </c>
      <c r="AL248" s="49">
        <f t="shared" ca="1" si="56"/>
        <v>0</v>
      </c>
      <c r="AM248" s="49">
        <f t="shared" ca="1" si="56"/>
        <v>0</v>
      </c>
      <c r="AN248" s="49">
        <f t="shared" ca="1" si="56"/>
        <v>0</v>
      </c>
      <c r="AO248" s="49">
        <f t="shared" ca="1" si="56"/>
        <v>0</v>
      </c>
      <c r="AP248" s="49">
        <f t="shared" ca="1" si="56"/>
        <v>0</v>
      </c>
      <c r="AQ248" s="49">
        <f t="shared" ca="1" si="56"/>
        <v>0</v>
      </c>
      <c r="AR248" s="49">
        <f t="shared" ca="1" si="56"/>
        <v>0</v>
      </c>
      <c r="AS248" s="49">
        <f t="shared" ca="1" si="56"/>
        <v>0</v>
      </c>
      <c r="AT248" s="49">
        <f t="shared" ca="1" si="56"/>
        <v>0</v>
      </c>
      <c r="AU248" s="49">
        <f t="shared" ca="1" si="56"/>
        <v>0</v>
      </c>
      <c r="AV248" s="49">
        <f t="shared" ca="1" si="56"/>
        <v>0</v>
      </c>
      <c r="AW248" s="49">
        <f t="shared" ca="1" si="56"/>
        <v>0</v>
      </c>
      <c r="AX248" s="49">
        <f t="shared" ca="1" si="56"/>
        <v>0</v>
      </c>
      <c r="AY248" s="49">
        <f t="shared" ca="1" si="56"/>
        <v>0</v>
      </c>
      <c r="AZ248" s="49">
        <f t="shared" ca="1" si="56"/>
        <v>0</v>
      </c>
      <c r="BA248" s="49">
        <f t="shared" ca="1" si="56"/>
        <v>0</v>
      </c>
      <c r="BB248" s="49">
        <f t="shared" ca="1" si="56"/>
        <v>0</v>
      </c>
      <c r="BC248" s="49">
        <f t="shared" ca="1" si="56"/>
        <v>0</v>
      </c>
      <c r="BD248" s="49">
        <f t="shared" ca="1" si="56"/>
        <v>0</v>
      </c>
      <c r="BE248" s="49">
        <f t="shared" ca="1" si="56"/>
        <v>0</v>
      </c>
      <c r="BF248" s="49">
        <f t="shared" ca="1" si="56"/>
        <v>0</v>
      </c>
      <c r="BG248" s="49">
        <f t="shared" ca="1" si="56"/>
        <v>0</v>
      </c>
      <c r="BH248" s="49">
        <f t="shared" ca="1" si="56"/>
        <v>0</v>
      </c>
      <c r="BI248" s="49">
        <f t="shared" ca="1" si="56"/>
        <v>0</v>
      </c>
      <c r="BJ248" s="49">
        <f t="shared" ca="1" si="56"/>
        <v>0</v>
      </c>
      <c r="BK248" s="49">
        <f t="shared" ca="1" si="56"/>
        <v>0</v>
      </c>
      <c r="BL248" s="49">
        <f t="shared" ca="1" si="56"/>
        <v>0</v>
      </c>
      <c r="BM248" s="49">
        <f t="shared" ca="1" si="56"/>
        <v>0</v>
      </c>
      <c r="BN248" s="49">
        <f t="shared" ca="1" si="56"/>
        <v>0</v>
      </c>
      <c r="BO248" s="49">
        <f t="shared" ca="1" si="56"/>
        <v>0</v>
      </c>
      <c r="BP248" s="49">
        <f t="shared" ca="1" si="56"/>
        <v>0</v>
      </c>
      <c r="BQ248" s="49">
        <f t="shared" ca="1" si="56"/>
        <v>0</v>
      </c>
      <c r="BR248" s="49">
        <f t="shared" ca="1" si="56"/>
        <v>0</v>
      </c>
      <c r="BS248" s="49">
        <f t="shared" ca="1" si="56"/>
        <v>0</v>
      </c>
    </row>
    <row r="249" spans="4:71" outlineLevel="1" x14ac:dyDescent="0.2">
      <c r="J249" s="26"/>
      <c r="L249" s="55"/>
      <c r="M249" s="55"/>
      <c r="N249" s="55"/>
      <c r="O249" s="55"/>
      <c r="P249" s="55"/>
      <c r="Q249" s="55"/>
      <c r="R249" s="55"/>
      <c r="S249" s="55"/>
      <c r="T249" s="55"/>
      <c r="U249" s="55"/>
      <c r="V249" s="55"/>
      <c r="W249" s="55"/>
      <c r="X249" s="55"/>
      <c r="Y249" s="55"/>
      <c r="Z249" s="55"/>
      <c r="AA249" s="55"/>
      <c r="AB249" s="55"/>
      <c r="AC249" s="55"/>
      <c r="AD249" s="55"/>
      <c r="AE249" s="55"/>
      <c r="AF249" s="55"/>
      <c r="AG249" s="55"/>
      <c r="AH249" s="55"/>
      <c r="AI249" s="55"/>
      <c r="AJ249" s="55"/>
      <c r="AK249" s="55"/>
      <c r="AL249" s="55"/>
      <c r="AM249" s="55"/>
      <c r="AN249" s="55"/>
      <c r="AO249" s="55"/>
      <c r="AP249" s="55"/>
      <c r="AQ249" s="55"/>
      <c r="AR249" s="55"/>
      <c r="AS249" s="55"/>
      <c r="AT249" s="55"/>
      <c r="AU249" s="55"/>
      <c r="AV249" s="55"/>
      <c r="AW249" s="55"/>
      <c r="AX249" s="55"/>
      <c r="AY249" s="55"/>
      <c r="AZ249" s="55"/>
      <c r="BA249" s="55"/>
      <c r="BB249" s="55"/>
      <c r="BC249" s="55"/>
      <c r="BD249" s="55"/>
      <c r="BE249" s="55"/>
      <c r="BF249" s="55"/>
      <c r="BG249" s="55"/>
      <c r="BH249" s="55"/>
      <c r="BI249" s="55"/>
      <c r="BJ249" s="55"/>
      <c r="BK249" s="55"/>
      <c r="BL249" s="55"/>
      <c r="BM249" s="55"/>
      <c r="BN249" s="55"/>
      <c r="BO249" s="55"/>
      <c r="BP249" s="55"/>
      <c r="BQ249" s="55"/>
      <c r="BR249" s="55"/>
      <c r="BS249" s="55"/>
    </row>
    <row r="250" spans="4:71" outlineLevel="1" x14ac:dyDescent="0.2">
      <c r="D250" s="51" t="str">
        <f>D225</f>
        <v>Investissement-Développement</v>
      </c>
      <c r="J250" s="26"/>
      <c r="L250" s="55"/>
      <c r="M250" s="55"/>
      <c r="N250" s="55"/>
      <c r="O250" s="55"/>
      <c r="P250" s="55"/>
      <c r="Q250" s="55"/>
      <c r="R250" s="55"/>
      <c r="S250" s="55"/>
      <c r="T250" s="55"/>
      <c r="U250" s="55"/>
      <c r="V250" s="55"/>
      <c r="W250" s="55"/>
      <c r="X250" s="55"/>
      <c r="Y250" s="55"/>
      <c r="Z250" s="55"/>
      <c r="AA250" s="55"/>
      <c r="AB250" s="55"/>
      <c r="AC250" s="55"/>
      <c r="AD250" s="55"/>
      <c r="AE250" s="55"/>
      <c r="AF250" s="55"/>
      <c r="AG250" s="55"/>
      <c r="AH250" s="55"/>
      <c r="AI250" s="55"/>
      <c r="AJ250" s="55"/>
      <c r="AK250" s="55"/>
      <c r="AL250" s="55"/>
      <c r="AM250" s="55"/>
      <c r="AN250" s="55"/>
      <c r="AO250" s="55"/>
      <c r="AP250" s="55"/>
      <c r="AQ250" s="55"/>
      <c r="AR250" s="55"/>
      <c r="AS250" s="55"/>
      <c r="AT250" s="55"/>
      <c r="AU250" s="55"/>
      <c r="AV250" s="55"/>
      <c r="AW250" s="55"/>
      <c r="AX250" s="55"/>
      <c r="AY250" s="55"/>
      <c r="AZ250" s="55"/>
      <c r="BA250" s="55"/>
      <c r="BB250" s="55"/>
      <c r="BC250" s="55"/>
      <c r="BD250" s="55"/>
      <c r="BE250" s="55"/>
      <c r="BF250" s="55"/>
      <c r="BG250" s="55"/>
      <c r="BH250" s="55"/>
      <c r="BI250" s="55"/>
      <c r="BJ250" s="55"/>
      <c r="BK250" s="55"/>
      <c r="BL250" s="55"/>
      <c r="BM250" s="55"/>
      <c r="BN250" s="55"/>
      <c r="BO250" s="55"/>
      <c r="BP250" s="55"/>
      <c r="BQ250" s="55"/>
      <c r="BR250" s="55"/>
      <c r="BS250" s="55"/>
    </row>
    <row r="251" spans="4:71" outlineLevel="1" x14ac:dyDescent="0.2">
      <c r="E251" t="str">
        <f>E245</f>
        <v>Revenus disponibles pour la récupération</v>
      </c>
      <c r="I251" s="30">
        <f t="shared" ref="I251:I253" ca="1" si="57">SUM($L251:$BS251)</f>
        <v>714.4688304585402</v>
      </c>
      <c r="J251" s="26" t="s">
        <v>148</v>
      </c>
      <c r="L251" s="49">
        <f ca="1">(HM_ZA_Nkossa!CA_cost_stop+L241+L247)*(CA_PSC_switch_trig=0)+IF(AND((HM_ZA_Nkossa!CA_cost_stop+L241+L247)&lt;=0,HM_ZA_Nkossa!CA_gco+L241+L247&gt;0),HM_ZA_Nkossa!CA_gco+L241+L247,HM_ZA_Nkossa!CA_cost_stop+L241+L247)*(CA_PSC_switch_trig=1)</f>
        <v>0</v>
      </c>
      <c r="M251" s="49">
        <f ca="1">(HM_ZA_Nkossa!CA_cost_stop+M241+M247)*(CA_PSC_switch_trig=0)+IF(AND((HM_ZA_Nkossa!CA_cost_stop+M241+M247)&lt;=0,HM_ZA_Nkossa!CA_gco+M241+M247&gt;0),HM_ZA_Nkossa!CA_gco+M241+M247,HM_ZA_Nkossa!CA_cost_stop+M241+M247)*(CA_PSC_switch_trig=1)</f>
        <v>0</v>
      </c>
      <c r="N251" s="49">
        <f ca="1">(HM_ZA_Nkossa!CA_cost_stop+N241+N247)*(CA_PSC_switch_trig=0)+IF(AND((HM_ZA_Nkossa!CA_cost_stop+N241+N247)&lt;=0,HM_ZA_Nkossa!CA_gco+N241+N247&gt;0),HM_ZA_Nkossa!CA_gco+N241+N247,HM_ZA_Nkossa!CA_cost_stop+N241+N247)*(CA_PSC_switch_trig=1)</f>
        <v>0</v>
      </c>
      <c r="O251" s="49">
        <f ca="1">(HM_ZA_Nkossa!CA_cost_stop+O241+O247)*(CA_PSC_switch_trig=0)+IF(AND((HM_ZA_Nkossa!CA_cost_stop+O241+O247)&lt;=0,HM_ZA_Nkossa!CA_gco+O241+O247&gt;0),HM_ZA_Nkossa!CA_gco+O241+O247,HM_ZA_Nkossa!CA_cost_stop+O241+O247)*(CA_PSC_switch_trig=1)</f>
        <v>0</v>
      </c>
      <c r="P251" s="49">
        <f ca="1">(HM_ZA_Nkossa!CA_cost_stop+P241+P247)*(CA_PSC_switch_trig=0)+IF(AND((HM_ZA_Nkossa!CA_cost_stop+P241+P247)&lt;=0,HM_ZA_Nkossa!CA_gco+P241+P247&gt;0),HM_ZA_Nkossa!CA_gco+P241+P247,HM_ZA_Nkossa!CA_cost_stop+P241+P247)*(CA_PSC_switch_trig=1)</f>
        <v>0</v>
      </c>
      <c r="Q251" s="49">
        <f ca="1">(HM_ZA_Nkossa!CA_cost_stop+Q241+Q247)*(CA_PSC_switch_trig=0)+IF(AND((HM_ZA_Nkossa!CA_cost_stop+Q241+Q247)&lt;=0,HM_ZA_Nkossa!CA_gco+Q241+Q247&gt;0),HM_ZA_Nkossa!CA_gco+Q241+Q247,HM_ZA_Nkossa!CA_cost_stop+Q241+Q247)*(CA_PSC_switch_trig=1)</f>
        <v>132.00912195272014</v>
      </c>
      <c r="R251" s="49">
        <f ca="1">(HM_ZA_Nkossa!CA_cost_stop+R241+R247)*(CA_PSC_switch_trig=0)+IF(AND((HM_ZA_Nkossa!CA_cost_stop+R241+R247)&lt;=0,HM_ZA_Nkossa!CA_gco+R241+R247&gt;0),HM_ZA_Nkossa!CA_gco+R241+R247,HM_ZA_Nkossa!CA_cost_stop+R241+R247)*(CA_PSC_switch_trig=1)</f>
        <v>162.37210840076006</v>
      </c>
      <c r="S251" s="49">
        <f ca="1">(HM_ZA_Nkossa!CA_cost_stop+S241+S247)*(CA_PSC_switch_trig=0)+IF(AND((HM_ZA_Nkossa!CA_cost_stop+S241+S247)&lt;=0,HM_ZA_Nkossa!CA_gco+S241+S247&gt;0),HM_ZA_Nkossa!CA_gco+S241+S247,HM_ZA_Nkossa!CA_cost_stop+S241+S247)*(CA_PSC_switch_trig=1)</f>
        <v>44.809760974000014</v>
      </c>
      <c r="T251" s="49">
        <f ca="1">(HM_ZA_Nkossa!CA_cost_stop+T241+T247)*(CA_PSC_switch_trig=0)+IF(AND((HM_ZA_Nkossa!CA_cost_stop+T241+T247)&lt;=0,HM_ZA_Nkossa!CA_gco+T241+T247&gt;0),HM_ZA_Nkossa!CA_gco+T241+T247,HM_ZA_Nkossa!CA_cost_stop+T241+T247)*(CA_PSC_switch_trig=1)</f>
        <v>85.567871380275179</v>
      </c>
      <c r="U251" s="49">
        <f ca="1">(HM_ZA_Nkossa!CA_cost_stop+U241+U247)*(CA_PSC_switch_trig=0)+IF(AND((HM_ZA_Nkossa!CA_cost_stop+U241+U247)&lt;=0,HM_ZA_Nkossa!CA_gco+U241+U247&gt;0),HM_ZA_Nkossa!CA_gco+U241+U247,HM_ZA_Nkossa!CA_cost_stop+U241+U247)*(CA_PSC_switch_trig=1)</f>
        <v>84.605518957055978</v>
      </c>
      <c r="V251" s="49">
        <f ca="1">(HM_ZA_Nkossa!CA_cost_stop+V241+V247)*(CA_PSC_switch_trig=0)+IF(AND((HM_ZA_Nkossa!CA_cost_stop+V241+V247)&lt;=0,HM_ZA_Nkossa!CA_gco+V241+V247&gt;0),HM_ZA_Nkossa!CA_gco+V241+V247,HM_ZA_Nkossa!CA_cost_stop+V241+V247)*(CA_PSC_switch_trig=1)</f>
        <v>76.258538082663293</v>
      </c>
      <c r="W251" s="49">
        <f ca="1">(HM_ZA_Nkossa!CA_cost_stop+W241+W247)*(CA_PSC_switch_trig=0)+IF(AND((HM_ZA_Nkossa!CA_cost_stop+W241+W247)&lt;=0,HM_ZA_Nkossa!CA_gco+W241+W247&gt;0),HM_ZA_Nkossa!CA_gco+W241+W247,HM_ZA_Nkossa!CA_cost_stop+W241+W247)*(CA_PSC_switch_trig=1)</f>
        <v>68.20650527321439</v>
      </c>
      <c r="X251" s="49">
        <f ca="1">(HM_ZA_Nkossa!CA_cost_stop+X241+X247)*(CA_PSC_switch_trig=0)+IF(AND((HM_ZA_Nkossa!CA_cost_stop+X241+X247)&lt;=0,HM_ZA_Nkossa!CA_gco+X241+X247&gt;0),HM_ZA_Nkossa!CA_gco+X241+X247,HM_ZA_Nkossa!CA_cost_stop+X241+X247)*(CA_PSC_switch_trig=1)</f>
        <v>60.639405437851167</v>
      </c>
      <c r="Y251" s="49">
        <f ca="1">(HM_ZA_Nkossa!CA_cost_stop+Y241+Y247)*(CA_PSC_switch_trig=0)+IF(AND((HM_ZA_Nkossa!CA_cost_stop+Y241+Y247)&lt;=0,HM_ZA_Nkossa!CA_gco+Y241+Y247&gt;0),HM_ZA_Nkossa!CA_gco+Y241+Y247,HM_ZA_Nkossa!CA_cost_stop+Y241+Y247)*(CA_PSC_switch_trig=1)</f>
        <v>0</v>
      </c>
      <c r="Z251" s="49">
        <f ca="1">(HM_ZA_Nkossa!CA_cost_stop+Z241+Z247)*(CA_PSC_switch_trig=0)+IF(AND((HM_ZA_Nkossa!CA_cost_stop+Z241+Z247)&lt;=0,HM_ZA_Nkossa!CA_gco+Z241+Z247&gt;0),HM_ZA_Nkossa!CA_gco+Z241+Z247,HM_ZA_Nkossa!CA_cost_stop+Z241+Z247)*(CA_PSC_switch_trig=1)</f>
        <v>0</v>
      </c>
      <c r="AA251" s="49">
        <f ca="1">(HM_ZA_Nkossa!CA_cost_stop+AA241+AA247)*(CA_PSC_switch_trig=0)+IF(AND((HM_ZA_Nkossa!CA_cost_stop+AA241+AA247)&lt;=0,HM_ZA_Nkossa!CA_gco+AA241+AA247&gt;0),HM_ZA_Nkossa!CA_gco+AA241+AA247,HM_ZA_Nkossa!CA_cost_stop+AA241+AA247)*(CA_PSC_switch_trig=1)</f>
        <v>0</v>
      </c>
      <c r="AB251" s="49">
        <f ca="1">(HM_ZA_Nkossa!CA_cost_stop+AB241+AB247)*(CA_PSC_switch_trig=0)+IF(AND((HM_ZA_Nkossa!CA_cost_stop+AB241+AB247)&lt;=0,HM_ZA_Nkossa!CA_gco+AB241+AB247&gt;0),HM_ZA_Nkossa!CA_gco+AB241+AB247,HM_ZA_Nkossa!CA_cost_stop+AB241+AB247)*(CA_PSC_switch_trig=1)</f>
        <v>0</v>
      </c>
      <c r="AC251" s="49">
        <f ca="1">(HM_ZA_Nkossa!CA_cost_stop+AC241+AC247)*(CA_PSC_switch_trig=0)+IF(AND((HM_ZA_Nkossa!CA_cost_stop+AC241+AC247)&lt;=0,HM_ZA_Nkossa!CA_gco+AC241+AC247&gt;0),HM_ZA_Nkossa!CA_gco+AC241+AC247,HM_ZA_Nkossa!CA_cost_stop+AC241+AC247)*(CA_PSC_switch_trig=1)</f>
        <v>0</v>
      </c>
      <c r="AD251" s="49">
        <f ca="1">(HM_ZA_Nkossa!CA_cost_stop+AD241+AD247)*(CA_PSC_switch_trig=0)+IF(AND((HM_ZA_Nkossa!CA_cost_stop+AD241+AD247)&lt;=0,HM_ZA_Nkossa!CA_gco+AD241+AD247&gt;0),HM_ZA_Nkossa!CA_gco+AD241+AD247,HM_ZA_Nkossa!CA_cost_stop+AD241+AD247)*(CA_PSC_switch_trig=1)</f>
        <v>0</v>
      </c>
      <c r="AE251" s="49">
        <f ca="1">(HM_ZA_Nkossa!CA_cost_stop+AE241+AE247)*(CA_PSC_switch_trig=0)+IF(AND((HM_ZA_Nkossa!CA_cost_stop+AE241+AE247)&lt;=0,HM_ZA_Nkossa!CA_gco+AE241+AE247&gt;0),HM_ZA_Nkossa!CA_gco+AE241+AE247,HM_ZA_Nkossa!CA_cost_stop+AE241+AE247)*(CA_PSC_switch_trig=1)</f>
        <v>0</v>
      </c>
      <c r="AF251" s="49">
        <f ca="1">(HM_ZA_Nkossa!CA_cost_stop+AF241+AF247)*(CA_PSC_switch_trig=0)+IF(AND((HM_ZA_Nkossa!CA_cost_stop+AF241+AF247)&lt;=0,HM_ZA_Nkossa!CA_gco+AF241+AF247&gt;0),HM_ZA_Nkossa!CA_gco+AF241+AF247,HM_ZA_Nkossa!CA_cost_stop+AF241+AF247)*(CA_PSC_switch_trig=1)</f>
        <v>0</v>
      </c>
      <c r="AG251" s="49">
        <f ca="1">(HM_ZA_Nkossa!CA_cost_stop+AG241+AG247)*(CA_PSC_switch_trig=0)+IF(AND((HM_ZA_Nkossa!CA_cost_stop+AG241+AG247)&lt;=0,HM_ZA_Nkossa!CA_gco+AG241+AG247&gt;0),HM_ZA_Nkossa!CA_gco+AG241+AG247,HM_ZA_Nkossa!CA_cost_stop+AG241+AG247)*(CA_PSC_switch_trig=1)</f>
        <v>0</v>
      </c>
      <c r="AH251" s="49">
        <f ca="1">(HM_ZA_Nkossa!CA_cost_stop+AH241+AH247)*(CA_PSC_switch_trig=0)+IF(AND((HM_ZA_Nkossa!CA_cost_stop+AH241+AH247)&lt;=0,HM_ZA_Nkossa!CA_gco+AH241+AH247&gt;0),HM_ZA_Nkossa!CA_gco+AH241+AH247,HM_ZA_Nkossa!CA_cost_stop+AH241+AH247)*(CA_PSC_switch_trig=1)</f>
        <v>0</v>
      </c>
      <c r="AI251" s="49">
        <f ca="1">(HM_ZA_Nkossa!CA_cost_stop+AI241+AI247)*(CA_PSC_switch_trig=0)+IF(AND((HM_ZA_Nkossa!CA_cost_stop+AI241+AI247)&lt;=0,HM_ZA_Nkossa!CA_gco+AI241+AI247&gt;0),HM_ZA_Nkossa!CA_gco+AI241+AI247,HM_ZA_Nkossa!CA_cost_stop+AI241+AI247)*(CA_PSC_switch_trig=1)</f>
        <v>0</v>
      </c>
      <c r="AJ251" s="49">
        <f ca="1">(HM_ZA_Nkossa!CA_cost_stop+AJ241+AJ247)*(CA_PSC_switch_trig=0)+IF(AND((HM_ZA_Nkossa!CA_cost_stop+AJ241+AJ247)&lt;=0,HM_ZA_Nkossa!CA_gco+AJ241+AJ247&gt;0),HM_ZA_Nkossa!CA_gco+AJ241+AJ247,HM_ZA_Nkossa!CA_cost_stop+AJ241+AJ247)*(CA_PSC_switch_trig=1)</f>
        <v>0</v>
      </c>
      <c r="AK251" s="49">
        <f ca="1">(HM_ZA_Nkossa!CA_cost_stop+AK241+AK247)*(CA_PSC_switch_trig=0)+IF(AND((HM_ZA_Nkossa!CA_cost_stop+AK241+AK247)&lt;=0,HM_ZA_Nkossa!CA_gco+AK241+AK247&gt;0),HM_ZA_Nkossa!CA_gco+AK241+AK247,HM_ZA_Nkossa!CA_cost_stop+AK241+AK247)*(CA_PSC_switch_trig=1)</f>
        <v>0</v>
      </c>
      <c r="AL251" s="49">
        <f ca="1">(HM_ZA_Nkossa!CA_cost_stop+AL241+AL247)*(CA_PSC_switch_trig=0)+IF(AND((HM_ZA_Nkossa!CA_cost_stop+AL241+AL247)&lt;=0,HM_ZA_Nkossa!CA_gco+AL241+AL247&gt;0),HM_ZA_Nkossa!CA_gco+AL241+AL247,HM_ZA_Nkossa!CA_cost_stop+AL241+AL247)*(CA_PSC_switch_trig=1)</f>
        <v>0</v>
      </c>
      <c r="AM251" s="49">
        <f ca="1">(HM_ZA_Nkossa!CA_cost_stop+AM241+AM247)*(CA_PSC_switch_trig=0)+IF(AND((HM_ZA_Nkossa!CA_cost_stop+AM241+AM247)&lt;=0,HM_ZA_Nkossa!CA_gco+AM241+AM247&gt;0),HM_ZA_Nkossa!CA_gco+AM241+AM247,HM_ZA_Nkossa!CA_cost_stop+AM241+AM247)*(CA_PSC_switch_trig=1)</f>
        <v>0</v>
      </c>
      <c r="AN251" s="49">
        <f ca="1">(HM_ZA_Nkossa!CA_cost_stop+AN241+AN247)*(CA_PSC_switch_trig=0)+IF(AND((HM_ZA_Nkossa!CA_cost_stop+AN241+AN247)&lt;=0,HM_ZA_Nkossa!CA_gco+AN241+AN247&gt;0),HM_ZA_Nkossa!CA_gco+AN241+AN247,HM_ZA_Nkossa!CA_cost_stop+AN241+AN247)*(CA_PSC_switch_trig=1)</f>
        <v>0</v>
      </c>
      <c r="AO251" s="49">
        <f ca="1">(HM_ZA_Nkossa!CA_cost_stop+AO241+AO247)*(CA_PSC_switch_trig=0)+IF(AND((HM_ZA_Nkossa!CA_cost_stop+AO241+AO247)&lt;=0,HM_ZA_Nkossa!CA_gco+AO241+AO247&gt;0),HM_ZA_Nkossa!CA_gco+AO241+AO247,HM_ZA_Nkossa!CA_cost_stop+AO241+AO247)*(CA_PSC_switch_trig=1)</f>
        <v>0</v>
      </c>
      <c r="AP251" s="49">
        <f ca="1">(HM_ZA_Nkossa!CA_cost_stop+AP241+AP247)*(CA_PSC_switch_trig=0)+IF(AND((HM_ZA_Nkossa!CA_cost_stop+AP241+AP247)&lt;=0,HM_ZA_Nkossa!CA_gco+AP241+AP247&gt;0),HM_ZA_Nkossa!CA_gco+AP241+AP247,HM_ZA_Nkossa!CA_cost_stop+AP241+AP247)*(CA_PSC_switch_trig=1)</f>
        <v>0</v>
      </c>
      <c r="AQ251" s="49">
        <f ca="1">(HM_ZA_Nkossa!CA_cost_stop+AQ241+AQ247)*(CA_PSC_switch_trig=0)+IF(AND((HM_ZA_Nkossa!CA_cost_stop+AQ241+AQ247)&lt;=0,HM_ZA_Nkossa!CA_gco+AQ241+AQ247&gt;0),HM_ZA_Nkossa!CA_gco+AQ241+AQ247,HM_ZA_Nkossa!CA_cost_stop+AQ241+AQ247)*(CA_PSC_switch_trig=1)</f>
        <v>0</v>
      </c>
      <c r="AR251" s="49">
        <f ca="1">(HM_ZA_Nkossa!CA_cost_stop+AR241+AR247)*(CA_PSC_switch_trig=0)+IF(AND((HM_ZA_Nkossa!CA_cost_stop+AR241+AR247)&lt;=0,HM_ZA_Nkossa!CA_gco+AR241+AR247&gt;0),HM_ZA_Nkossa!CA_gco+AR241+AR247,HM_ZA_Nkossa!CA_cost_stop+AR241+AR247)*(CA_PSC_switch_trig=1)</f>
        <v>0</v>
      </c>
      <c r="AS251" s="49">
        <f ca="1">(HM_ZA_Nkossa!CA_cost_stop+AS241+AS247)*(CA_PSC_switch_trig=0)+IF(AND((HM_ZA_Nkossa!CA_cost_stop+AS241+AS247)&lt;=0,HM_ZA_Nkossa!CA_gco+AS241+AS247&gt;0),HM_ZA_Nkossa!CA_gco+AS241+AS247,HM_ZA_Nkossa!CA_cost_stop+AS241+AS247)*(CA_PSC_switch_trig=1)</f>
        <v>0</v>
      </c>
      <c r="AT251" s="49">
        <f ca="1">(HM_ZA_Nkossa!CA_cost_stop+AT241+AT247)*(CA_PSC_switch_trig=0)+IF(AND((HM_ZA_Nkossa!CA_cost_stop+AT241+AT247)&lt;=0,HM_ZA_Nkossa!CA_gco+AT241+AT247&gt;0),HM_ZA_Nkossa!CA_gco+AT241+AT247,HM_ZA_Nkossa!CA_cost_stop+AT241+AT247)*(CA_PSC_switch_trig=1)</f>
        <v>0</v>
      </c>
      <c r="AU251" s="49">
        <f ca="1">(HM_ZA_Nkossa!CA_cost_stop+AU241+AU247)*(CA_PSC_switch_trig=0)+IF(AND((HM_ZA_Nkossa!CA_cost_stop+AU241+AU247)&lt;=0,HM_ZA_Nkossa!CA_gco+AU241+AU247&gt;0),HM_ZA_Nkossa!CA_gco+AU241+AU247,HM_ZA_Nkossa!CA_cost_stop+AU241+AU247)*(CA_PSC_switch_trig=1)</f>
        <v>0</v>
      </c>
      <c r="AV251" s="49">
        <f ca="1">(HM_ZA_Nkossa!CA_cost_stop+AV241+AV247)*(CA_PSC_switch_trig=0)+IF(AND((HM_ZA_Nkossa!CA_cost_stop+AV241+AV247)&lt;=0,HM_ZA_Nkossa!CA_gco+AV241+AV247&gt;0),HM_ZA_Nkossa!CA_gco+AV241+AV247,HM_ZA_Nkossa!CA_cost_stop+AV241+AV247)*(CA_PSC_switch_trig=1)</f>
        <v>0</v>
      </c>
      <c r="AW251" s="49">
        <f ca="1">(HM_ZA_Nkossa!CA_cost_stop+AW241+AW247)*(CA_PSC_switch_trig=0)+IF(AND((HM_ZA_Nkossa!CA_cost_stop+AW241+AW247)&lt;=0,HM_ZA_Nkossa!CA_gco+AW241+AW247&gt;0),HM_ZA_Nkossa!CA_gco+AW241+AW247,HM_ZA_Nkossa!CA_cost_stop+AW241+AW247)*(CA_PSC_switch_trig=1)</f>
        <v>0</v>
      </c>
      <c r="AX251" s="49">
        <f ca="1">(HM_ZA_Nkossa!CA_cost_stop+AX241+AX247)*(CA_PSC_switch_trig=0)+IF(AND((HM_ZA_Nkossa!CA_cost_stop+AX241+AX247)&lt;=0,HM_ZA_Nkossa!CA_gco+AX241+AX247&gt;0),HM_ZA_Nkossa!CA_gco+AX241+AX247,HM_ZA_Nkossa!CA_cost_stop+AX241+AX247)*(CA_PSC_switch_trig=1)</f>
        <v>0</v>
      </c>
      <c r="AY251" s="49">
        <f ca="1">(HM_ZA_Nkossa!CA_cost_stop+AY241+AY247)*(CA_PSC_switch_trig=0)+IF(AND((HM_ZA_Nkossa!CA_cost_stop+AY241+AY247)&lt;=0,HM_ZA_Nkossa!CA_gco+AY241+AY247&gt;0),HM_ZA_Nkossa!CA_gco+AY241+AY247,HM_ZA_Nkossa!CA_cost_stop+AY241+AY247)*(CA_PSC_switch_trig=1)</f>
        <v>0</v>
      </c>
      <c r="AZ251" s="49">
        <f ca="1">(HM_ZA_Nkossa!CA_cost_stop+AZ241+AZ247)*(CA_PSC_switch_trig=0)+IF(AND((HM_ZA_Nkossa!CA_cost_stop+AZ241+AZ247)&lt;=0,HM_ZA_Nkossa!CA_gco+AZ241+AZ247&gt;0),HM_ZA_Nkossa!CA_gco+AZ241+AZ247,HM_ZA_Nkossa!CA_cost_stop+AZ241+AZ247)*(CA_PSC_switch_trig=1)</f>
        <v>0</v>
      </c>
      <c r="BA251" s="49">
        <f ca="1">(HM_ZA_Nkossa!CA_cost_stop+BA241+BA247)*(CA_PSC_switch_trig=0)+IF(AND((HM_ZA_Nkossa!CA_cost_stop+BA241+BA247)&lt;=0,HM_ZA_Nkossa!CA_gco+BA241+BA247&gt;0),HM_ZA_Nkossa!CA_gco+BA241+BA247,HM_ZA_Nkossa!CA_cost_stop+BA241+BA247)*(CA_PSC_switch_trig=1)</f>
        <v>0</v>
      </c>
      <c r="BB251" s="49">
        <f ca="1">(HM_ZA_Nkossa!CA_cost_stop+BB241+BB247)*(CA_PSC_switch_trig=0)+IF(AND((HM_ZA_Nkossa!CA_cost_stop+BB241+BB247)&lt;=0,HM_ZA_Nkossa!CA_gco+BB241+BB247&gt;0),HM_ZA_Nkossa!CA_gco+BB241+BB247,HM_ZA_Nkossa!CA_cost_stop+BB241+BB247)*(CA_PSC_switch_trig=1)</f>
        <v>0</v>
      </c>
      <c r="BC251" s="49">
        <f ca="1">(HM_ZA_Nkossa!CA_cost_stop+BC241+BC247)*(CA_PSC_switch_trig=0)+IF(AND((HM_ZA_Nkossa!CA_cost_stop+BC241+BC247)&lt;=0,HM_ZA_Nkossa!CA_gco+BC241+BC247&gt;0),HM_ZA_Nkossa!CA_gco+BC241+BC247,HM_ZA_Nkossa!CA_cost_stop+BC241+BC247)*(CA_PSC_switch_trig=1)</f>
        <v>0</v>
      </c>
      <c r="BD251" s="49">
        <f ca="1">(HM_ZA_Nkossa!CA_cost_stop+BD241+BD247)*(CA_PSC_switch_trig=0)+IF(AND((HM_ZA_Nkossa!CA_cost_stop+BD241+BD247)&lt;=0,HM_ZA_Nkossa!CA_gco+BD241+BD247&gt;0),HM_ZA_Nkossa!CA_gco+BD241+BD247,HM_ZA_Nkossa!CA_cost_stop+BD241+BD247)*(CA_PSC_switch_trig=1)</f>
        <v>0</v>
      </c>
      <c r="BE251" s="49">
        <f ca="1">(HM_ZA_Nkossa!CA_cost_stop+BE241+BE247)*(CA_PSC_switch_trig=0)+IF(AND((HM_ZA_Nkossa!CA_cost_stop+BE241+BE247)&lt;=0,HM_ZA_Nkossa!CA_gco+BE241+BE247&gt;0),HM_ZA_Nkossa!CA_gco+BE241+BE247,HM_ZA_Nkossa!CA_cost_stop+BE241+BE247)*(CA_PSC_switch_trig=1)</f>
        <v>0</v>
      </c>
      <c r="BF251" s="49">
        <f ca="1">(HM_ZA_Nkossa!CA_cost_stop+BF241+BF247)*(CA_PSC_switch_trig=0)+IF(AND((HM_ZA_Nkossa!CA_cost_stop+BF241+BF247)&lt;=0,HM_ZA_Nkossa!CA_gco+BF241+BF247&gt;0),HM_ZA_Nkossa!CA_gco+BF241+BF247,HM_ZA_Nkossa!CA_cost_stop+BF241+BF247)*(CA_PSC_switch_trig=1)</f>
        <v>0</v>
      </c>
      <c r="BG251" s="49">
        <f ca="1">(HM_ZA_Nkossa!CA_cost_stop+BG241+BG247)*(CA_PSC_switch_trig=0)+IF(AND((HM_ZA_Nkossa!CA_cost_stop+BG241+BG247)&lt;=0,HM_ZA_Nkossa!CA_gco+BG241+BG247&gt;0),HM_ZA_Nkossa!CA_gco+BG241+BG247,HM_ZA_Nkossa!CA_cost_stop+BG241+BG247)*(CA_PSC_switch_trig=1)</f>
        <v>0</v>
      </c>
      <c r="BH251" s="49">
        <f ca="1">(HM_ZA_Nkossa!CA_cost_stop+BH241+BH247)*(CA_PSC_switch_trig=0)+IF(AND((HM_ZA_Nkossa!CA_cost_stop+BH241+BH247)&lt;=0,HM_ZA_Nkossa!CA_gco+BH241+BH247&gt;0),HM_ZA_Nkossa!CA_gco+BH241+BH247,HM_ZA_Nkossa!CA_cost_stop+BH241+BH247)*(CA_PSC_switch_trig=1)</f>
        <v>0</v>
      </c>
      <c r="BI251" s="49">
        <f ca="1">(HM_ZA_Nkossa!CA_cost_stop+BI241+BI247)*(CA_PSC_switch_trig=0)+IF(AND((HM_ZA_Nkossa!CA_cost_stop+BI241+BI247)&lt;=0,HM_ZA_Nkossa!CA_gco+BI241+BI247&gt;0),HM_ZA_Nkossa!CA_gco+BI241+BI247,HM_ZA_Nkossa!CA_cost_stop+BI241+BI247)*(CA_PSC_switch_trig=1)</f>
        <v>0</v>
      </c>
      <c r="BJ251" s="49">
        <f ca="1">(HM_ZA_Nkossa!CA_cost_stop+BJ241+BJ247)*(CA_PSC_switch_trig=0)+IF(AND((HM_ZA_Nkossa!CA_cost_stop+BJ241+BJ247)&lt;=0,HM_ZA_Nkossa!CA_gco+BJ241+BJ247&gt;0),HM_ZA_Nkossa!CA_gco+BJ241+BJ247,HM_ZA_Nkossa!CA_cost_stop+BJ241+BJ247)*(CA_PSC_switch_trig=1)</f>
        <v>0</v>
      </c>
      <c r="BK251" s="49">
        <f ca="1">(HM_ZA_Nkossa!CA_cost_stop+BK241+BK247)*(CA_PSC_switch_trig=0)+IF(AND((HM_ZA_Nkossa!CA_cost_stop+BK241+BK247)&lt;=0,HM_ZA_Nkossa!CA_gco+BK241+BK247&gt;0),HM_ZA_Nkossa!CA_gco+BK241+BK247,HM_ZA_Nkossa!CA_cost_stop+BK241+BK247)*(CA_PSC_switch_trig=1)</f>
        <v>0</v>
      </c>
      <c r="BL251" s="49">
        <f ca="1">(HM_ZA_Nkossa!CA_cost_stop+BL241+BL247)*(CA_PSC_switch_trig=0)+IF(AND((HM_ZA_Nkossa!CA_cost_stop+BL241+BL247)&lt;=0,HM_ZA_Nkossa!CA_gco+BL241+BL247&gt;0),HM_ZA_Nkossa!CA_gco+BL241+BL247,HM_ZA_Nkossa!CA_cost_stop+BL241+BL247)*(CA_PSC_switch_trig=1)</f>
        <v>0</v>
      </c>
      <c r="BM251" s="49">
        <f ca="1">(HM_ZA_Nkossa!CA_cost_stop+BM241+BM247)*(CA_PSC_switch_trig=0)+IF(AND((HM_ZA_Nkossa!CA_cost_stop+BM241+BM247)&lt;=0,HM_ZA_Nkossa!CA_gco+BM241+BM247&gt;0),HM_ZA_Nkossa!CA_gco+BM241+BM247,HM_ZA_Nkossa!CA_cost_stop+BM241+BM247)*(CA_PSC_switch_trig=1)</f>
        <v>0</v>
      </c>
      <c r="BN251" s="49">
        <f ca="1">(HM_ZA_Nkossa!CA_cost_stop+BN241+BN247)*(CA_PSC_switch_trig=0)+IF(AND((HM_ZA_Nkossa!CA_cost_stop+BN241+BN247)&lt;=0,HM_ZA_Nkossa!CA_gco+BN241+BN247&gt;0),HM_ZA_Nkossa!CA_gco+BN241+BN247,HM_ZA_Nkossa!CA_cost_stop+BN241+BN247)*(CA_PSC_switch_trig=1)</f>
        <v>0</v>
      </c>
      <c r="BO251" s="49">
        <f ca="1">(HM_ZA_Nkossa!CA_cost_stop+BO241+BO247)*(CA_PSC_switch_trig=0)+IF(AND((HM_ZA_Nkossa!CA_cost_stop+BO241+BO247)&lt;=0,HM_ZA_Nkossa!CA_gco+BO241+BO247&gt;0),HM_ZA_Nkossa!CA_gco+BO241+BO247,HM_ZA_Nkossa!CA_cost_stop+BO241+BO247)*(CA_PSC_switch_trig=1)</f>
        <v>0</v>
      </c>
      <c r="BP251" s="49">
        <f ca="1">(HM_ZA_Nkossa!CA_cost_stop+BP241+BP247)*(CA_PSC_switch_trig=0)+IF(AND((HM_ZA_Nkossa!CA_cost_stop+BP241+BP247)&lt;=0,HM_ZA_Nkossa!CA_gco+BP241+BP247&gt;0),HM_ZA_Nkossa!CA_gco+BP241+BP247,HM_ZA_Nkossa!CA_cost_stop+BP241+BP247)*(CA_PSC_switch_trig=1)</f>
        <v>0</v>
      </c>
      <c r="BQ251" s="49">
        <f ca="1">(HM_ZA_Nkossa!CA_cost_stop+BQ241+BQ247)*(CA_PSC_switch_trig=0)+IF(AND((HM_ZA_Nkossa!CA_cost_stop+BQ241+BQ247)&lt;=0,HM_ZA_Nkossa!CA_gco+BQ241+BQ247&gt;0),HM_ZA_Nkossa!CA_gco+BQ241+BQ247,HM_ZA_Nkossa!CA_cost_stop+BQ241+BQ247)*(CA_PSC_switch_trig=1)</f>
        <v>0</v>
      </c>
      <c r="BR251" s="49">
        <f ca="1">(HM_ZA_Nkossa!CA_cost_stop+BR241+BR247)*(CA_PSC_switch_trig=0)+IF(AND((HM_ZA_Nkossa!CA_cost_stop+BR241+BR247)&lt;=0,HM_ZA_Nkossa!CA_gco+BR241+BR247&gt;0),HM_ZA_Nkossa!CA_gco+BR241+BR247,HM_ZA_Nkossa!CA_cost_stop+BR241+BR247)*(CA_PSC_switch_trig=1)</f>
        <v>0</v>
      </c>
      <c r="BS251" s="49">
        <f ca="1">(HM_ZA_Nkossa!CA_cost_stop+BS241+BS247)*(CA_PSC_switch_trig=0)+IF(AND((HM_ZA_Nkossa!CA_cost_stop+BS241+BS247)&lt;=0,HM_ZA_Nkossa!CA_gco+BS241+BS247&gt;0),HM_ZA_Nkossa!CA_gco+BS241+BS247,HM_ZA_Nkossa!CA_cost_stop+BS241+BS247)*(CA_PSC_switch_trig=1)</f>
        <v>0</v>
      </c>
    </row>
    <row r="252" spans="4:71" outlineLevel="1" x14ac:dyDescent="0.2">
      <c r="E252" t="str">
        <f>CHOOSE(db_ML_selected,'Liste Traduction'!B328,'Liste Traduction'!C328)</f>
        <v>Capex cumulés à récupérer</v>
      </c>
      <c r="I252" s="30">
        <f ca="1">I225+I228</f>
        <v>4536.9984372899999</v>
      </c>
      <c r="J252" s="26" t="s">
        <v>148</v>
      </c>
      <c r="L252" s="49">
        <f t="shared" ref="L252:AQ252" ca="1" si="58">(CA_capex_to_recover+CA_unrecov_costs_to_recover)+(K254*(1+int_rate_cf_costs))</f>
        <v>4050.18443729</v>
      </c>
      <c r="M252" s="49">
        <f t="shared" ca="1" si="58"/>
        <v>4221.1394372900004</v>
      </c>
      <c r="N252" s="49">
        <f t="shared" ca="1" si="58"/>
        <v>4329.83843729</v>
      </c>
      <c r="O252" s="49">
        <f t="shared" ca="1" si="58"/>
        <v>4368.3984372900004</v>
      </c>
      <c r="P252" s="49">
        <f t="shared" ca="1" si="58"/>
        <v>4418.9984372900008</v>
      </c>
      <c r="Q252" s="49">
        <f t="shared" ca="1" si="58"/>
        <v>4536.9984372900008</v>
      </c>
      <c r="R252" s="49">
        <f t="shared" ca="1" si="58"/>
        <v>4404.9893153372805</v>
      </c>
      <c r="S252" s="49">
        <f t="shared" ca="1" si="58"/>
        <v>4242.6172069365202</v>
      </c>
      <c r="T252" s="49">
        <f t="shared" ca="1" si="58"/>
        <v>4197.8074459625204</v>
      </c>
      <c r="U252" s="49">
        <f t="shared" ca="1" si="58"/>
        <v>4112.239574582245</v>
      </c>
      <c r="V252" s="49">
        <f t="shared" ca="1" si="58"/>
        <v>4027.6340556251889</v>
      </c>
      <c r="W252" s="49">
        <f t="shared" ca="1" si="58"/>
        <v>3951.3755175425258</v>
      </c>
      <c r="X252" s="49">
        <f t="shared" ca="1" si="58"/>
        <v>3883.1690122693112</v>
      </c>
      <c r="Y252" s="49">
        <f t="shared" ca="1" si="58"/>
        <v>3822.5296068314601</v>
      </c>
      <c r="Z252" s="49">
        <f t="shared" ca="1" si="58"/>
        <v>3822.5296068314601</v>
      </c>
      <c r="AA252" s="49">
        <f t="shared" ca="1" si="58"/>
        <v>3822.5296068314601</v>
      </c>
      <c r="AB252" s="49">
        <f t="shared" ca="1" si="58"/>
        <v>3822.5296068314601</v>
      </c>
      <c r="AC252" s="49">
        <f t="shared" ca="1" si="58"/>
        <v>3822.5296068314601</v>
      </c>
      <c r="AD252" s="49">
        <f t="shared" ca="1" si="58"/>
        <v>3822.5296068314601</v>
      </c>
      <c r="AE252" s="49">
        <f t="shared" ca="1" si="58"/>
        <v>3822.5296068314601</v>
      </c>
      <c r="AF252" s="49">
        <f t="shared" ca="1" si="58"/>
        <v>3822.5296068314601</v>
      </c>
      <c r="AG252" s="49">
        <f t="shared" ca="1" si="58"/>
        <v>3822.5296068314601</v>
      </c>
      <c r="AH252" s="49">
        <f t="shared" ca="1" si="58"/>
        <v>3822.5296068314601</v>
      </c>
      <c r="AI252" s="49">
        <f t="shared" ca="1" si="58"/>
        <v>3822.5296068314601</v>
      </c>
      <c r="AJ252" s="49">
        <f t="shared" ca="1" si="58"/>
        <v>3822.5296068314601</v>
      </c>
      <c r="AK252" s="49">
        <f t="shared" ca="1" si="58"/>
        <v>3822.5296068314601</v>
      </c>
      <c r="AL252" s="49">
        <f t="shared" ca="1" si="58"/>
        <v>3822.5296068314601</v>
      </c>
      <c r="AM252" s="49">
        <f t="shared" ca="1" si="58"/>
        <v>3822.5296068314601</v>
      </c>
      <c r="AN252" s="49">
        <f t="shared" ca="1" si="58"/>
        <v>3822.5296068314601</v>
      </c>
      <c r="AO252" s="49">
        <f t="shared" ca="1" si="58"/>
        <v>3822.5296068314601</v>
      </c>
      <c r="AP252" s="49">
        <f t="shared" ca="1" si="58"/>
        <v>3822.5296068314601</v>
      </c>
      <c r="AQ252" s="49">
        <f t="shared" ca="1" si="58"/>
        <v>3822.5296068314601</v>
      </c>
      <c r="AR252" s="49">
        <f t="shared" ref="AR252:BS252" ca="1" si="59">(CA_capex_to_recover+CA_unrecov_costs_to_recover)+(AQ254*(1+int_rate_cf_costs))</f>
        <v>3822.5296068314601</v>
      </c>
      <c r="AS252" s="49">
        <f t="shared" ca="1" si="59"/>
        <v>3822.5296068314601</v>
      </c>
      <c r="AT252" s="49">
        <f t="shared" ca="1" si="59"/>
        <v>3822.5296068314601</v>
      </c>
      <c r="AU252" s="49">
        <f t="shared" ca="1" si="59"/>
        <v>3822.5296068314601</v>
      </c>
      <c r="AV252" s="49">
        <f t="shared" ca="1" si="59"/>
        <v>3822.5296068314601</v>
      </c>
      <c r="AW252" s="49">
        <f t="shared" ca="1" si="59"/>
        <v>3822.5296068314601</v>
      </c>
      <c r="AX252" s="49">
        <f t="shared" ca="1" si="59"/>
        <v>3822.5296068314601</v>
      </c>
      <c r="AY252" s="49">
        <f t="shared" ca="1" si="59"/>
        <v>3822.5296068314601</v>
      </c>
      <c r="AZ252" s="49">
        <f t="shared" ca="1" si="59"/>
        <v>3822.5296068314601</v>
      </c>
      <c r="BA252" s="49">
        <f t="shared" ca="1" si="59"/>
        <v>3822.5296068314601</v>
      </c>
      <c r="BB252" s="49">
        <f t="shared" ca="1" si="59"/>
        <v>3822.5296068314601</v>
      </c>
      <c r="BC252" s="49">
        <f t="shared" ca="1" si="59"/>
        <v>3822.5296068314601</v>
      </c>
      <c r="BD252" s="49">
        <f t="shared" ca="1" si="59"/>
        <v>3822.5296068314601</v>
      </c>
      <c r="BE252" s="49">
        <f t="shared" ca="1" si="59"/>
        <v>3822.5296068314601</v>
      </c>
      <c r="BF252" s="49">
        <f t="shared" ca="1" si="59"/>
        <v>3822.5296068314601</v>
      </c>
      <c r="BG252" s="49">
        <f t="shared" ca="1" si="59"/>
        <v>3822.5296068314601</v>
      </c>
      <c r="BH252" s="49">
        <f t="shared" ca="1" si="59"/>
        <v>3822.5296068314601</v>
      </c>
      <c r="BI252" s="49">
        <f t="shared" ca="1" si="59"/>
        <v>3822.5296068314601</v>
      </c>
      <c r="BJ252" s="49">
        <f t="shared" ca="1" si="59"/>
        <v>3822.5296068314601</v>
      </c>
      <c r="BK252" s="49">
        <f t="shared" ca="1" si="59"/>
        <v>3822.5296068314601</v>
      </c>
      <c r="BL252" s="49">
        <f t="shared" ca="1" si="59"/>
        <v>3822.5296068314601</v>
      </c>
      <c r="BM252" s="49">
        <f t="shared" ca="1" si="59"/>
        <v>3822.5296068314601</v>
      </c>
      <c r="BN252" s="49">
        <f t="shared" ca="1" si="59"/>
        <v>3822.5296068314601</v>
      </c>
      <c r="BO252" s="49">
        <f t="shared" ca="1" si="59"/>
        <v>3822.5296068314601</v>
      </c>
      <c r="BP252" s="49">
        <f t="shared" ca="1" si="59"/>
        <v>3822.5296068314601</v>
      </c>
      <c r="BQ252" s="49">
        <f t="shared" ca="1" si="59"/>
        <v>3822.5296068314601</v>
      </c>
      <c r="BR252" s="49">
        <f t="shared" ca="1" si="59"/>
        <v>3822.5296068314601</v>
      </c>
      <c r="BS252" s="49">
        <f t="shared" ca="1" si="59"/>
        <v>3822.5296068314601</v>
      </c>
    </row>
    <row r="253" spans="4:71" outlineLevel="1" x14ac:dyDescent="0.2">
      <c r="E253" t="str">
        <f>CHOOSE(db_ML_selected,'Liste Traduction'!B329,'Liste Traduction'!C329)</f>
        <v>Capex récupérés</v>
      </c>
      <c r="H253" s="56" t="b">
        <f ca="1">ROUND(I253,2)=-ROUND(I252,2)</f>
        <v>0</v>
      </c>
      <c r="I253" s="30">
        <f t="shared" ca="1" si="57"/>
        <v>-714.4688304585402</v>
      </c>
      <c r="J253" s="26" t="s">
        <v>148</v>
      </c>
      <c r="L253" s="49">
        <f ca="1">-MIN(L252,L251)</f>
        <v>0</v>
      </c>
      <c r="M253" s="49">
        <f t="shared" ref="M253:BS253" ca="1" si="60">-MIN(M252,M251)</f>
        <v>0</v>
      </c>
      <c r="N253" s="49">
        <f t="shared" ca="1" si="60"/>
        <v>0</v>
      </c>
      <c r="O253" s="49">
        <f t="shared" ca="1" si="60"/>
        <v>0</v>
      </c>
      <c r="P253" s="49">
        <f t="shared" ca="1" si="60"/>
        <v>0</v>
      </c>
      <c r="Q253" s="49">
        <f t="shared" ca="1" si="60"/>
        <v>-132.00912195272014</v>
      </c>
      <c r="R253" s="49">
        <f t="shared" ca="1" si="60"/>
        <v>-162.37210840076006</v>
      </c>
      <c r="S253" s="49">
        <f t="shared" ca="1" si="60"/>
        <v>-44.809760974000014</v>
      </c>
      <c r="T253" s="49">
        <f t="shared" ca="1" si="60"/>
        <v>-85.567871380275179</v>
      </c>
      <c r="U253" s="49">
        <f t="shared" ca="1" si="60"/>
        <v>-84.605518957055978</v>
      </c>
      <c r="V253" s="49">
        <f t="shared" ca="1" si="60"/>
        <v>-76.258538082663293</v>
      </c>
      <c r="W253" s="49">
        <f t="shared" ca="1" si="60"/>
        <v>-68.20650527321439</v>
      </c>
      <c r="X253" s="49">
        <f t="shared" ca="1" si="60"/>
        <v>-60.639405437851167</v>
      </c>
      <c r="Y253" s="49">
        <f t="shared" ca="1" si="60"/>
        <v>0</v>
      </c>
      <c r="Z253" s="49">
        <f t="shared" ca="1" si="60"/>
        <v>0</v>
      </c>
      <c r="AA253" s="49">
        <f t="shared" ca="1" si="60"/>
        <v>0</v>
      </c>
      <c r="AB253" s="49">
        <f t="shared" ca="1" si="60"/>
        <v>0</v>
      </c>
      <c r="AC253" s="49">
        <f t="shared" ca="1" si="60"/>
        <v>0</v>
      </c>
      <c r="AD253" s="49">
        <f t="shared" ca="1" si="60"/>
        <v>0</v>
      </c>
      <c r="AE253" s="49">
        <f t="shared" ca="1" si="60"/>
        <v>0</v>
      </c>
      <c r="AF253" s="49">
        <f t="shared" ca="1" si="60"/>
        <v>0</v>
      </c>
      <c r="AG253" s="49">
        <f t="shared" ca="1" si="60"/>
        <v>0</v>
      </c>
      <c r="AH253" s="49">
        <f t="shared" ca="1" si="60"/>
        <v>0</v>
      </c>
      <c r="AI253" s="49">
        <f t="shared" ca="1" si="60"/>
        <v>0</v>
      </c>
      <c r="AJ253" s="49">
        <f t="shared" ca="1" si="60"/>
        <v>0</v>
      </c>
      <c r="AK253" s="49">
        <f t="shared" ca="1" si="60"/>
        <v>0</v>
      </c>
      <c r="AL253" s="49">
        <f t="shared" ca="1" si="60"/>
        <v>0</v>
      </c>
      <c r="AM253" s="49">
        <f t="shared" ca="1" si="60"/>
        <v>0</v>
      </c>
      <c r="AN253" s="49">
        <f t="shared" ca="1" si="60"/>
        <v>0</v>
      </c>
      <c r="AO253" s="49">
        <f t="shared" ca="1" si="60"/>
        <v>0</v>
      </c>
      <c r="AP253" s="49">
        <f t="shared" ca="1" si="60"/>
        <v>0</v>
      </c>
      <c r="AQ253" s="49">
        <f t="shared" ca="1" si="60"/>
        <v>0</v>
      </c>
      <c r="AR253" s="49">
        <f t="shared" ca="1" si="60"/>
        <v>0</v>
      </c>
      <c r="AS253" s="49">
        <f t="shared" ca="1" si="60"/>
        <v>0</v>
      </c>
      <c r="AT253" s="49">
        <f t="shared" ca="1" si="60"/>
        <v>0</v>
      </c>
      <c r="AU253" s="49">
        <f t="shared" ca="1" si="60"/>
        <v>0</v>
      </c>
      <c r="AV253" s="49">
        <f t="shared" ca="1" si="60"/>
        <v>0</v>
      </c>
      <c r="AW253" s="49">
        <f t="shared" ca="1" si="60"/>
        <v>0</v>
      </c>
      <c r="AX253" s="49">
        <f t="shared" ca="1" si="60"/>
        <v>0</v>
      </c>
      <c r="AY253" s="49">
        <f t="shared" ca="1" si="60"/>
        <v>0</v>
      </c>
      <c r="AZ253" s="49">
        <f t="shared" ca="1" si="60"/>
        <v>0</v>
      </c>
      <c r="BA253" s="49">
        <f t="shared" ca="1" si="60"/>
        <v>0</v>
      </c>
      <c r="BB253" s="49">
        <f t="shared" ca="1" si="60"/>
        <v>0</v>
      </c>
      <c r="BC253" s="49">
        <f t="shared" ca="1" si="60"/>
        <v>0</v>
      </c>
      <c r="BD253" s="49">
        <f t="shared" ca="1" si="60"/>
        <v>0</v>
      </c>
      <c r="BE253" s="49">
        <f t="shared" ca="1" si="60"/>
        <v>0</v>
      </c>
      <c r="BF253" s="49">
        <f t="shared" ca="1" si="60"/>
        <v>0</v>
      </c>
      <c r="BG253" s="49">
        <f t="shared" ca="1" si="60"/>
        <v>0</v>
      </c>
      <c r="BH253" s="49">
        <f t="shared" ca="1" si="60"/>
        <v>0</v>
      </c>
      <c r="BI253" s="49">
        <f t="shared" ca="1" si="60"/>
        <v>0</v>
      </c>
      <c r="BJ253" s="49">
        <f t="shared" ca="1" si="60"/>
        <v>0</v>
      </c>
      <c r="BK253" s="49">
        <f t="shared" ca="1" si="60"/>
        <v>0</v>
      </c>
      <c r="BL253" s="49">
        <f t="shared" ca="1" si="60"/>
        <v>0</v>
      </c>
      <c r="BM253" s="49">
        <f t="shared" ca="1" si="60"/>
        <v>0</v>
      </c>
      <c r="BN253" s="49">
        <f t="shared" ca="1" si="60"/>
        <v>0</v>
      </c>
      <c r="BO253" s="49">
        <f t="shared" ca="1" si="60"/>
        <v>0</v>
      </c>
      <c r="BP253" s="49">
        <f t="shared" ca="1" si="60"/>
        <v>0</v>
      </c>
      <c r="BQ253" s="49">
        <f t="shared" ca="1" si="60"/>
        <v>0</v>
      </c>
      <c r="BR253" s="49">
        <f t="shared" ca="1" si="60"/>
        <v>0</v>
      </c>
      <c r="BS253" s="49">
        <f t="shared" ca="1" si="60"/>
        <v>0</v>
      </c>
    </row>
    <row r="254" spans="4:71" outlineLevel="1" x14ac:dyDescent="0.2">
      <c r="E254" t="str">
        <f>E248</f>
        <v xml:space="preserve">Sous/(Sur)récupération </v>
      </c>
      <c r="J254" s="26"/>
      <c r="L254" s="49">
        <f ca="1">L252+L253</f>
        <v>4050.18443729</v>
      </c>
      <c r="M254" s="49">
        <f t="shared" ref="M254:BS254" ca="1" si="61">M252+M253</f>
        <v>4221.1394372900004</v>
      </c>
      <c r="N254" s="49">
        <f t="shared" ca="1" si="61"/>
        <v>4329.83843729</v>
      </c>
      <c r="O254" s="49">
        <f t="shared" ca="1" si="61"/>
        <v>4368.3984372900004</v>
      </c>
      <c r="P254" s="49">
        <f t="shared" ca="1" si="61"/>
        <v>4418.9984372900008</v>
      </c>
      <c r="Q254" s="49">
        <f t="shared" ca="1" si="61"/>
        <v>4404.9893153372805</v>
      </c>
      <c r="R254" s="49">
        <f t="shared" ca="1" si="61"/>
        <v>4242.6172069365202</v>
      </c>
      <c r="S254" s="49">
        <f t="shared" ca="1" si="61"/>
        <v>4197.8074459625204</v>
      </c>
      <c r="T254" s="49">
        <f t="shared" ca="1" si="61"/>
        <v>4112.239574582245</v>
      </c>
      <c r="U254" s="49">
        <f t="shared" ca="1" si="61"/>
        <v>4027.6340556251889</v>
      </c>
      <c r="V254" s="49">
        <f t="shared" ca="1" si="61"/>
        <v>3951.3755175425258</v>
      </c>
      <c r="W254" s="49">
        <f t="shared" ca="1" si="61"/>
        <v>3883.1690122693112</v>
      </c>
      <c r="X254" s="49">
        <f t="shared" ca="1" si="61"/>
        <v>3822.5296068314601</v>
      </c>
      <c r="Y254" s="49">
        <f t="shared" ca="1" si="61"/>
        <v>3822.5296068314601</v>
      </c>
      <c r="Z254" s="49">
        <f t="shared" ca="1" si="61"/>
        <v>3822.5296068314601</v>
      </c>
      <c r="AA254" s="49">
        <f t="shared" ca="1" si="61"/>
        <v>3822.5296068314601</v>
      </c>
      <c r="AB254" s="49">
        <f t="shared" ca="1" si="61"/>
        <v>3822.5296068314601</v>
      </c>
      <c r="AC254" s="49">
        <f t="shared" ca="1" si="61"/>
        <v>3822.5296068314601</v>
      </c>
      <c r="AD254" s="49">
        <f t="shared" ca="1" si="61"/>
        <v>3822.5296068314601</v>
      </c>
      <c r="AE254" s="49">
        <f t="shared" ca="1" si="61"/>
        <v>3822.5296068314601</v>
      </c>
      <c r="AF254" s="49">
        <f t="shared" ca="1" si="61"/>
        <v>3822.5296068314601</v>
      </c>
      <c r="AG254" s="49">
        <f t="shared" ca="1" si="61"/>
        <v>3822.5296068314601</v>
      </c>
      <c r="AH254" s="49">
        <f t="shared" ca="1" si="61"/>
        <v>3822.5296068314601</v>
      </c>
      <c r="AI254" s="49">
        <f t="shared" ca="1" si="61"/>
        <v>3822.5296068314601</v>
      </c>
      <c r="AJ254" s="49">
        <f t="shared" ca="1" si="61"/>
        <v>3822.5296068314601</v>
      </c>
      <c r="AK254" s="49">
        <f t="shared" ca="1" si="61"/>
        <v>3822.5296068314601</v>
      </c>
      <c r="AL254" s="49">
        <f t="shared" ca="1" si="61"/>
        <v>3822.5296068314601</v>
      </c>
      <c r="AM254" s="49">
        <f t="shared" ca="1" si="61"/>
        <v>3822.5296068314601</v>
      </c>
      <c r="AN254" s="49">
        <f t="shared" ca="1" si="61"/>
        <v>3822.5296068314601</v>
      </c>
      <c r="AO254" s="49">
        <f t="shared" ca="1" si="61"/>
        <v>3822.5296068314601</v>
      </c>
      <c r="AP254" s="49">
        <f t="shared" ca="1" si="61"/>
        <v>3822.5296068314601</v>
      </c>
      <c r="AQ254" s="49">
        <f t="shared" ca="1" si="61"/>
        <v>3822.5296068314601</v>
      </c>
      <c r="AR254" s="49">
        <f t="shared" ca="1" si="61"/>
        <v>3822.5296068314601</v>
      </c>
      <c r="AS254" s="49">
        <f t="shared" ca="1" si="61"/>
        <v>3822.5296068314601</v>
      </c>
      <c r="AT254" s="49">
        <f t="shared" ca="1" si="61"/>
        <v>3822.5296068314601</v>
      </c>
      <c r="AU254" s="49">
        <f t="shared" ca="1" si="61"/>
        <v>3822.5296068314601</v>
      </c>
      <c r="AV254" s="49">
        <f t="shared" ca="1" si="61"/>
        <v>3822.5296068314601</v>
      </c>
      <c r="AW254" s="49">
        <f t="shared" ca="1" si="61"/>
        <v>3822.5296068314601</v>
      </c>
      <c r="AX254" s="49">
        <f t="shared" ca="1" si="61"/>
        <v>3822.5296068314601</v>
      </c>
      <c r="AY254" s="49">
        <f t="shared" ca="1" si="61"/>
        <v>3822.5296068314601</v>
      </c>
      <c r="AZ254" s="49">
        <f t="shared" ca="1" si="61"/>
        <v>3822.5296068314601</v>
      </c>
      <c r="BA254" s="49">
        <f t="shared" ca="1" si="61"/>
        <v>3822.5296068314601</v>
      </c>
      <c r="BB254" s="49">
        <f t="shared" ca="1" si="61"/>
        <v>3822.5296068314601</v>
      </c>
      <c r="BC254" s="49">
        <f t="shared" ca="1" si="61"/>
        <v>3822.5296068314601</v>
      </c>
      <c r="BD254" s="49">
        <f t="shared" ca="1" si="61"/>
        <v>3822.5296068314601</v>
      </c>
      <c r="BE254" s="49">
        <f t="shared" ca="1" si="61"/>
        <v>3822.5296068314601</v>
      </c>
      <c r="BF254" s="49">
        <f t="shared" ca="1" si="61"/>
        <v>3822.5296068314601</v>
      </c>
      <c r="BG254" s="49">
        <f t="shared" ca="1" si="61"/>
        <v>3822.5296068314601</v>
      </c>
      <c r="BH254" s="49">
        <f t="shared" ca="1" si="61"/>
        <v>3822.5296068314601</v>
      </c>
      <c r="BI254" s="49">
        <f t="shared" ca="1" si="61"/>
        <v>3822.5296068314601</v>
      </c>
      <c r="BJ254" s="49">
        <f t="shared" ca="1" si="61"/>
        <v>3822.5296068314601</v>
      </c>
      <c r="BK254" s="49">
        <f t="shared" ca="1" si="61"/>
        <v>3822.5296068314601</v>
      </c>
      <c r="BL254" s="49">
        <f t="shared" ca="1" si="61"/>
        <v>3822.5296068314601</v>
      </c>
      <c r="BM254" s="49">
        <f t="shared" ca="1" si="61"/>
        <v>3822.5296068314601</v>
      </c>
      <c r="BN254" s="49">
        <f t="shared" ca="1" si="61"/>
        <v>3822.5296068314601</v>
      </c>
      <c r="BO254" s="49">
        <f t="shared" ca="1" si="61"/>
        <v>3822.5296068314601</v>
      </c>
      <c r="BP254" s="49">
        <f t="shared" ca="1" si="61"/>
        <v>3822.5296068314601</v>
      </c>
      <c r="BQ254" s="49">
        <f t="shared" ca="1" si="61"/>
        <v>3822.5296068314601</v>
      </c>
      <c r="BR254" s="49">
        <f t="shared" ca="1" si="61"/>
        <v>3822.5296068314601</v>
      </c>
      <c r="BS254" s="49">
        <f t="shared" ca="1" si="61"/>
        <v>3822.5296068314601</v>
      </c>
    </row>
    <row r="255" spans="4:71" outlineLevel="1" x14ac:dyDescent="0.2">
      <c r="J255" s="26"/>
      <c r="L255" s="55"/>
      <c r="M255" s="55"/>
      <c r="N255" s="55"/>
      <c r="O255" s="55"/>
      <c r="P255" s="55"/>
      <c r="Q255" s="55"/>
      <c r="R255" s="55"/>
      <c r="S255" s="55"/>
      <c r="T255" s="55"/>
      <c r="U255" s="55"/>
      <c r="V255" s="55"/>
      <c r="W255" s="55"/>
      <c r="X255" s="55"/>
      <c r="Y255" s="55"/>
      <c r="Z255" s="55"/>
      <c r="AA255" s="55"/>
      <c r="AB255" s="55"/>
      <c r="AC255" s="55"/>
      <c r="AD255" s="55"/>
      <c r="AE255" s="55"/>
      <c r="AF255" s="55"/>
      <c r="AG255" s="55"/>
      <c r="AH255" s="55"/>
      <c r="AI255" s="55"/>
      <c r="AJ255" s="55"/>
      <c r="AK255" s="55"/>
      <c r="AL255" s="55"/>
      <c r="AM255" s="55"/>
      <c r="AN255" s="55"/>
      <c r="AO255" s="55"/>
      <c r="AP255" s="55"/>
      <c r="AQ255" s="55"/>
      <c r="AR255" s="55"/>
      <c r="AS255" s="55"/>
      <c r="AT255" s="55"/>
      <c r="AU255" s="55"/>
      <c r="AV255" s="55"/>
      <c r="AW255" s="55"/>
      <c r="AX255" s="55"/>
      <c r="AY255" s="55"/>
      <c r="AZ255" s="55"/>
      <c r="BA255" s="55"/>
      <c r="BB255" s="55"/>
      <c r="BC255" s="55"/>
      <c r="BD255" s="55"/>
      <c r="BE255" s="55"/>
      <c r="BF255" s="55"/>
      <c r="BG255" s="55"/>
      <c r="BH255" s="55"/>
      <c r="BI255" s="55"/>
      <c r="BJ255" s="55"/>
      <c r="BK255" s="55"/>
      <c r="BL255" s="55"/>
      <c r="BM255" s="55"/>
      <c r="BN255" s="55"/>
      <c r="BO255" s="55"/>
      <c r="BP255" s="55"/>
      <c r="BQ255" s="55"/>
      <c r="BR255" s="55"/>
      <c r="BS255" s="55"/>
    </row>
    <row r="256" spans="4:71" outlineLevel="1" x14ac:dyDescent="0.2">
      <c r="D256" s="51" t="str">
        <f>D226</f>
        <v>Investissement -Dépenses d'exploration</v>
      </c>
      <c r="J256" s="26"/>
      <c r="L256" s="55"/>
      <c r="M256" s="55"/>
      <c r="N256" s="55"/>
      <c r="O256" s="55"/>
      <c r="P256" s="55"/>
      <c r="Q256" s="55"/>
      <c r="R256" s="55"/>
      <c r="S256" s="55"/>
      <c r="T256" s="55"/>
      <c r="U256" s="55"/>
      <c r="V256" s="55"/>
      <c r="W256" s="55"/>
      <c r="X256" s="55"/>
      <c r="Y256" s="55"/>
      <c r="Z256" s="55"/>
      <c r="AA256" s="55"/>
      <c r="AB256" s="55"/>
      <c r="AC256" s="55"/>
      <c r="AD256" s="55"/>
      <c r="AE256" s="55"/>
      <c r="AF256" s="55"/>
      <c r="AG256" s="55"/>
      <c r="AH256" s="55"/>
      <c r="AI256" s="55"/>
      <c r="AJ256" s="55"/>
      <c r="AK256" s="55"/>
      <c r="AL256" s="55"/>
      <c r="AM256" s="55"/>
      <c r="AN256" s="55"/>
      <c r="AO256" s="55"/>
      <c r="AP256" s="55"/>
      <c r="AQ256" s="55"/>
      <c r="AR256" s="55"/>
      <c r="AS256" s="55"/>
      <c r="AT256" s="55"/>
      <c r="AU256" s="55"/>
      <c r="AV256" s="55"/>
      <c r="AW256" s="55"/>
      <c r="AX256" s="55"/>
      <c r="AY256" s="55"/>
      <c r="AZ256" s="55"/>
      <c r="BA256" s="55"/>
      <c r="BB256" s="55"/>
      <c r="BC256" s="55"/>
      <c r="BD256" s="55"/>
      <c r="BE256" s="55"/>
      <c r="BF256" s="55"/>
      <c r="BG256" s="55"/>
      <c r="BH256" s="55"/>
      <c r="BI256" s="55"/>
      <c r="BJ256" s="55"/>
      <c r="BK256" s="55"/>
      <c r="BL256" s="55"/>
      <c r="BM256" s="55"/>
      <c r="BN256" s="55"/>
      <c r="BO256" s="55"/>
      <c r="BP256" s="55"/>
      <c r="BQ256" s="55"/>
      <c r="BR256" s="55"/>
      <c r="BS256" s="55"/>
    </row>
    <row r="257" spans="3:71" outlineLevel="1" x14ac:dyDescent="0.2">
      <c r="E257" t="str">
        <f>E251</f>
        <v>Revenus disponibles pour la récupération</v>
      </c>
      <c r="I257" s="30">
        <f t="shared" ref="I257:I269" ca="1" si="62">SUM($L257:$BS257)</f>
        <v>0</v>
      </c>
      <c r="J257" s="26" t="s">
        <v>148</v>
      </c>
      <c r="L257" s="49">
        <f ca="1">(HM_ZA_Nkossa!CA_cost_stop+L241+L247+L253)*(CA_PSC_switch_trig=0)+IF(AND((HM_ZA_Nkossa!CA_cost_stop+L241+L247+L253)&lt;=0,HM_ZA_Nkossa!CA_gco+L241+L247+L253&gt;0),HM_ZA_Nkossa!CA_gco+L241+L247+L253,HM_ZA_Nkossa!CA_cost_stop+L241+L247+L253)*(CA_PSC_switch_trig=1)</f>
        <v>0</v>
      </c>
      <c r="M257" s="49">
        <f ca="1">(HM_ZA_Nkossa!CA_cost_stop+M241+M247+M253)*(CA_PSC_switch_trig=0)+IF(AND((HM_ZA_Nkossa!CA_cost_stop+M241+M247+M253)&lt;=0,HM_ZA_Nkossa!CA_gco+M241+M247+M253&gt;0),HM_ZA_Nkossa!CA_gco+M241+M247+M253,HM_ZA_Nkossa!CA_cost_stop+M241+M247+M253)*(CA_PSC_switch_trig=1)</f>
        <v>0</v>
      </c>
      <c r="N257" s="49">
        <f ca="1">(HM_ZA_Nkossa!CA_cost_stop+N241+N247+N253)*(CA_PSC_switch_trig=0)+IF(AND((HM_ZA_Nkossa!CA_cost_stop+N241+N247+N253)&lt;=0,HM_ZA_Nkossa!CA_gco+N241+N247+N253&gt;0),HM_ZA_Nkossa!CA_gco+N241+N247+N253,HM_ZA_Nkossa!CA_cost_stop+N241+N247+N253)*(CA_PSC_switch_trig=1)</f>
        <v>0</v>
      </c>
      <c r="O257" s="49">
        <f ca="1">(HM_ZA_Nkossa!CA_cost_stop+O241+O247+O253)*(CA_PSC_switch_trig=0)+IF(AND((HM_ZA_Nkossa!CA_cost_stop+O241+O247+O253)&lt;=0,HM_ZA_Nkossa!CA_gco+O241+O247+O253&gt;0),HM_ZA_Nkossa!CA_gco+O241+O247+O253,HM_ZA_Nkossa!CA_cost_stop+O241+O247+O253)*(CA_PSC_switch_trig=1)</f>
        <v>0</v>
      </c>
      <c r="P257" s="49">
        <f ca="1">(HM_ZA_Nkossa!CA_cost_stop+P241+P247+P253)*(CA_PSC_switch_trig=0)+IF(AND((HM_ZA_Nkossa!CA_cost_stop+P241+P247+P253)&lt;=0,HM_ZA_Nkossa!CA_gco+P241+P247+P253&gt;0),HM_ZA_Nkossa!CA_gco+P241+P247+P253,HM_ZA_Nkossa!CA_cost_stop+P241+P247+P253)*(CA_PSC_switch_trig=1)</f>
        <v>0</v>
      </c>
      <c r="Q257" s="49">
        <f ca="1">(HM_ZA_Nkossa!CA_cost_stop+Q241+Q247+Q253)*(CA_PSC_switch_trig=0)+IF(AND((HM_ZA_Nkossa!CA_cost_stop+Q241+Q247+Q253)&lt;=0,HM_ZA_Nkossa!CA_gco+Q241+Q247+Q253&gt;0),HM_ZA_Nkossa!CA_gco+Q241+Q247+Q253,HM_ZA_Nkossa!CA_cost_stop+Q241+Q247+Q253)*(CA_PSC_switch_trig=1)</f>
        <v>0</v>
      </c>
      <c r="R257" s="49">
        <f ca="1">(HM_ZA_Nkossa!CA_cost_stop+R241+R247+R253)*(CA_PSC_switch_trig=0)+IF(AND((HM_ZA_Nkossa!CA_cost_stop+R241+R247+R253)&lt;=0,HM_ZA_Nkossa!CA_gco+R241+R247+R253&gt;0),HM_ZA_Nkossa!CA_gco+R241+R247+R253,HM_ZA_Nkossa!CA_cost_stop+R241+R247+R253)*(CA_PSC_switch_trig=1)</f>
        <v>0</v>
      </c>
      <c r="S257" s="49">
        <f ca="1">(HM_ZA_Nkossa!CA_cost_stop+S241+S247+S253)*(CA_PSC_switch_trig=0)+IF(AND((HM_ZA_Nkossa!CA_cost_stop+S241+S247+S253)&lt;=0,HM_ZA_Nkossa!CA_gco+S241+S247+S253&gt;0),HM_ZA_Nkossa!CA_gco+S241+S247+S253,HM_ZA_Nkossa!CA_cost_stop+S241+S247+S253)*(CA_PSC_switch_trig=1)</f>
        <v>0</v>
      </c>
      <c r="T257" s="49">
        <f ca="1">(HM_ZA_Nkossa!CA_cost_stop+T241+T247+T253)*(CA_PSC_switch_trig=0)+IF(AND((HM_ZA_Nkossa!CA_cost_stop+T241+T247+T253)&lt;=0,HM_ZA_Nkossa!CA_gco+T241+T247+T253&gt;0),HM_ZA_Nkossa!CA_gco+T241+T247+T253,HM_ZA_Nkossa!CA_cost_stop+T241+T247+T253)*(CA_PSC_switch_trig=1)</f>
        <v>0</v>
      </c>
      <c r="U257" s="49">
        <f ca="1">(HM_ZA_Nkossa!CA_cost_stop+U241+U247+U253)*(CA_PSC_switch_trig=0)+IF(AND((HM_ZA_Nkossa!CA_cost_stop+U241+U247+U253)&lt;=0,HM_ZA_Nkossa!CA_gco+U241+U247+U253&gt;0),HM_ZA_Nkossa!CA_gco+U241+U247+U253,HM_ZA_Nkossa!CA_cost_stop+U241+U247+U253)*(CA_PSC_switch_trig=1)</f>
        <v>0</v>
      </c>
      <c r="V257" s="49">
        <f ca="1">(HM_ZA_Nkossa!CA_cost_stop+V241+V247+V253)*(CA_PSC_switch_trig=0)+IF(AND((HM_ZA_Nkossa!CA_cost_stop+V241+V247+V253)&lt;=0,HM_ZA_Nkossa!CA_gco+V241+V247+V253&gt;0),HM_ZA_Nkossa!CA_gco+V241+V247+V253,HM_ZA_Nkossa!CA_cost_stop+V241+V247+V253)*(CA_PSC_switch_trig=1)</f>
        <v>0</v>
      </c>
      <c r="W257" s="49">
        <f ca="1">(HM_ZA_Nkossa!CA_cost_stop+W241+W247+W253)*(CA_PSC_switch_trig=0)+IF(AND((HM_ZA_Nkossa!CA_cost_stop+W241+W247+W253)&lt;=0,HM_ZA_Nkossa!CA_gco+W241+W247+W253&gt;0),HM_ZA_Nkossa!CA_gco+W241+W247+W253,HM_ZA_Nkossa!CA_cost_stop+W241+W247+W253)*(CA_PSC_switch_trig=1)</f>
        <v>0</v>
      </c>
      <c r="X257" s="49">
        <f ca="1">(HM_ZA_Nkossa!CA_cost_stop+X241+X247+X253)*(CA_PSC_switch_trig=0)+IF(AND((HM_ZA_Nkossa!CA_cost_stop+X241+X247+X253)&lt;=0,HM_ZA_Nkossa!CA_gco+X241+X247+X253&gt;0),HM_ZA_Nkossa!CA_gco+X241+X247+X253,HM_ZA_Nkossa!CA_cost_stop+X241+X247+X253)*(CA_PSC_switch_trig=1)</f>
        <v>0</v>
      </c>
      <c r="Y257" s="49">
        <f ca="1">(HM_ZA_Nkossa!CA_cost_stop+Y241+Y247+Y253)*(CA_PSC_switch_trig=0)+IF(AND((HM_ZA_Nkossa!CA_cost_stop+Y241+Y247+Y253)&lt;=0,HM_ZA_Nkossa!CA_gco+Y241+Y247+Y253&gt;0),HM_ZA_Nkossa!CA_gco+Y241+Y247+Y253,HM_ZA_Nkossa!CA_cost_stop+Y241+Y247+Y253)*(CA_PSC_switch_trig=1)</f>
        <v>0</v>
      </c>
      <c r="Z257" s="49">
        <f ca="1">(HM_ZA_Nkossa!CA_cost_stop+Z241+Z247+Z253)*(CA_PSC_switch_trig=0)+IF(AND((HM_ZA_Nkossa!CA_cost_stop+Z241+Z247+Z253)&lt;=0,HM_ZA_Nkossa!CA_gco+Z241+Z247+Z253&gt;0),HM_ZA_Nkossa!CA_gco+Z241+Z247+Z253,HM_ZA_Nkossa!CA_cost_stop+Z241+Z247+Z253)*(CA_PSC_switch_trig=1)</f>
        <v>0</v>
      </c>
      <c r="AA257" s="49">
        <f ca="1">(HM_ZA_Nkossa!CA_cost_stop+AA241+AA247+AA253)*(CA_PSC_switch_trig=0)+IF(AND((HM_ZA_Nkossa!CA_cost_stop+AA241+AA247+AA253)&lt;=0,HM_ZA_Nkossa!CA_gco+AA241+AA247+AA253&gt;0),HM_ZA_Nkossa!CA_gco+AA241+AA247+AA253,HM_ZA_Nkossa!CA_cost_stop+AA241+AA247+AA253)*(CA_PSC_switch_trig=1)</f>
        <v>0</v>
      </c>
      <c r="AB257" s="49">
        <f ca="1">(HM_ZA_Nkossa!CA_cost_stop+AB241+AB247+AB253)*(CA_PSC_switch_trig=0)+IF(AND((HM_ZA_Nkossa!CA_cost_stop+AB241+AB247+AB253)&lt;=0,HM_ZA_Nkossa!CA_gco+AB241+AB247+AB253&gt;0),HM_ZA_Nkossa!CA_gco+AB241+AB247+AB253,HM_ZA_Nkossa!CA_cost_stop+AB241+AB247+AB253)*(CA_PSC_switch_trig=1)</f>
        <v>0</v>
      </c>
      <c r="AC257" s="49">
        <f ca="1">(HM_ZA_Nkossa!CA_cost_stop+AC241+AC247+AC253)*(CA_PSC_switch_trig=0)+IF(AND((HM_ZA_Nkossa!CA_cost_stop+AC241+AC247+AC253)&lt;=0,HM_ZA_Nkossa!CA_gco+AC241+AC247+AC253&gt;0),HM_ZA_Nkossa!CA_gco+AC241+AC247+AC253,HM_ZA_Nkossa!CA_cost_stop+AC241+AC247+AC253)*(CA_PSC_switch_trig=1)</f>
        <v>0</v>
      </c>
      <c r="AD257" s="49">
        <f ca="1">(HM_ZA_Nkossa!CA_cost_stop+AD241+AD247+AD253)*(CA_PSC_switch_trig=0)+IF(AND((HM_ZA_Nkossa!CA_cost_stop+AD241+AD247+AD253)&lt;=0,HM_ZA_Nkossa!CA_gco+AD241+AD247+AD253&gt;0),HM_ZA_Nkossa!CA_gco+AD241+AD247+AD253,HM_ZA_Nkossa!CA_cost_stop+AD241+AD247+AD253)*(CA_PSC_switch_trig=1)</f>
        <v>0</v>
      </c>
      <c r="AE257" s="49">
        <f ca="1">(HM_ZA_Nkossa!CA_cost_stop+AE241+AE247+AE253)*(CA_PSC_switch_trig=0)+IF(AND((HM_ZA_Nkossa!CA_cost_stop+AE241+AE247+AE253)&lt;=0,HM_ZA_Nkossa!CA_gco+AE241+AE247+AE253&gt;0),HM_ZA_Nkossa!CA_gco+AE241+AE247+AE253,HM_ZA_Nkossa!CA_cost_stop+AE241+AE247+AE253)*(CA_PSC_switch_trig=1)</f>
        <v>0</v>
      </c>
      <c r="AF257" s="49">
        <f ca="1">(HM_ZA_Nkossa!CA_cost_stop+AF241+AF247+AF253)*(CA_PSC_switch_trig=0)+IF(AND((HM_ZA_Nkossa!CA_cost_stop+AF241+AF247+AF253)&lt;=0,HM_ZA_Nkossa!CA_gco+AF241+AF247+AF253&gt;0),HM_ZA_Nkossa!CA_gco+AF241+AF247+AF253,HM_ZA_Nkossa!CA_cost_stop+AF241+AF247+AF253)*(CA_PSC_switch_trig=1)</f>
        <v>0</v>
      </c>
      <c r="AG257" s="49">
        <f ca="1">(HM_ZA_Nkossa!CA_cost_stop+AG241+AG247+AG253)*(CA_PSC_switch_trig=0)+IF(AND((HM_ZA_Nkossa!CA_cost_stop+AG241+AG247+AG253)&lt;=0,HM_ZA_Nkossa!CA_gco+AG241+AG247+AG253&gt;0),HM_ZA_Nkossa!CA_gco+AG241+AG247+AG253,HM_ZA_Nkossa!CA_cost_stop+AG241+AG247+AG253)*(CA_PSC_switch_trig=1)</f>
        <v>0</v>
      </c>
      <c r="AH257" s="49">
        <f ca="1">(HM_ZA_Nkossa!CA_cost_stop+AH241+AH247+AH253)*(CA_PSC_switch_trig=0)+IF(AND((HM_ZA_Nkossa!CA_cost_stop+AH241+AH247+AH253)&lt;=0,HM_ZA_Nkossa!CA_gco+AH241+AH247+AH253&gt;0),HM_ZA_Nkossa!CA_gco+AH241+AH247+AH253,HM_ZA_Nkossa!CA_cost_stop+AH241+AH247+AH253)*(CA_PSC_switch_trig=1)</f>
        <v>0</v>
      </c>
      <c r="AI257" s="49">
        <f ca="1">(HM_ZA_Nkossa!CA_cost_stop+AI241+AI247+AI253)*(CA_PSC_switch_trig=0)+IF(AND((HM_ZA_Nkossa!CA_cost_stop+AI241+AI247+AI253)&lt;=0,HM_ZA_Nkossa!CA_gco+AI241+AI247+AI253&gt;0),HM_ZA_Nkossa!CA_gco+AI241+AI247+AI253,HM_ZA_Nkossa!CA_cost_stop+AI241+AI247+AI253)*(CA_PSC_switch_trig=1)</f>
        <v>0</v>
      </c>
      <c r="AJ257" s="49">
        <f ca="1">(HM_ZA_Nkossa!CA_cost_stop+AJ241+AJ247+AJ253)*(CA_PSC_switch_trig=0)+IF(AND((HM_ZA_Nkossa!CA_cost_stop+AJ241+AJ247+AJ253)&lt;=0,HM_ZA_Nkossa!CA_gco+AJ241+AJ247+AJ253&gt;0),HM_ZA_Nkossa!CA_gco+AJ241+AJ247+AJ253,HM_ZA_Nkossa!CA_cost_stop+AJ241+AJ247+AJ253)*(CA_PSC_switch_trig=1)</f>
        <v>0</v>
      </c>
      <c r="AK257" s="49">
        <f ca="1">(HM_ZA_Nkossa!CA_cost_stop+AK241+AK247+AK253)*(CA_PSC_switch_trig=0)+IF(AND((HM_ZA_Nkossa!CA_cost_stop+AK241+AK247+AK253)&lt;=0,HM_ZA_Nkossa!CA_gco+AK241+AK247+AK253&gt;0),HM_ZA_Nkossa!CA_gco+AK241+AK247+AK253,HM_ZA_Nkossa!CA_cost_stop+AK241+AK247+AK253)*(CA_PSC_switch_trig=1)</f>
        <v>0</v>
      </c>
      <c r="AL257" s="49">
        <f ca="1">(HM_ZA_Nkossa!CA_cost_stop+AL241+AL247+AL253)*(CA_PSC_switch_trig=0)+IF(AND((HM_ZA_Nkossa!CA_cost_stop+AL241+AL247+AL253)&lt;=0,HM_ZA_Nkossa!CA_gco+AL241+AL247+AL253&gt;0),HM_ZA_Nkossa!CA_gco+AL241+AL247+AL253,HM_ZA_Nkossa!CA_cost_stop+AL241+AL247+AL253)*(CA_PSC_switch_trig=1)</f>
        <v>0</v>
      </c>
      <c r="AM257" s="49">
        <f ca="1">(HM_ZA_Nkossa!CA_cost_stop+AM241+AM247+AM253)*(CA_PSC_switch_trig=0)+IF(AND((HM_ZA_Nkossa!CA_cost_stop+AM241+AM247+AM253)&lt;=0,HM_ZA_Nkossa!CA_gco+AM241+AM247+AM253&gt;0),HM_ZA_Nkossa!CA_gco+AM241+AM247+AM253,HM_ZA_Nkossa!CA_cost_stop+AM241+AM247+AM253)*(CA_PSC_switch_trig=1)</f>
        <v>0</v>
      </c>
      <c r="AN257" s="49">
        <f ca="1">(HM_ZA_Nkossa!CA_cost_stop+AN241+AN247+AN253)*(CA_PSC_switch_trig=0)+IF(AND((HM_ZA_Nkossa!CA_cost_stop+AN241+AN247+AN253)&lt;=0,HM_ZA_Nkossa!CA_gco+AN241+AN247+AN253&gt;0),HM_ZA_Nkossa!CA_gco+AN241+AN247+AN253,HM_ZA_Nkossa!CA_cost_stop+AN241+AN247+AN253)*(CA_PSC_switch_trig=1)</f>
        <v>0</v>
      </c>
      <c r="AO257" s="49">
        <f ca="1">(HM_ZA_Nkossa!CA_cost_stop+AO241+AO247+AO253)*(CA_PSC_switch_trig=0)+IF(AND((HM_ZA_Nkossa!CA_cost_stop+AO241+AO247+AO253)&lt;=0,HM_ZA_Nkossa!CA_gco+AO241+AO247+AO253&gt;0),HM_ZA_Nkossa!CA_gco+AO241+AO247+AO253,HM_ZA_Nkossa!CA_cost_stop+AO241+AO247+AO253)*(CA_PSC_switch_trig=1)</f>
        <v>0</v>
      </c>
      <c r="AP257" s="49">
        <f ca="1">(HM_ZA_Nkossa!CA_cost_stop+AP241+AP247+AP253)*(CA_PSC_switch_trig=0)+IF(AND((HM_ZA_Nkossa!CA_cost_stop+AP241+AP247+AP253)&lt;=0,HM_ZA_Nkossa!CA_gco+AP241+AP247+AP253&gt;0),HM_ZA_Nkossa!CA_gco+AP241+AP247+AP253,HM_ZA_Nkossa!CA_cost_stop+AP241+AP247+AP253)*(CA_PSC_switch_trig=1)</f>
        <v>0</v>
      </c>
      <c r="AQ257" s="49">
        <f ca="1">(HM_ZA_Nkossa!CA_cost_stop+AQ241+AQ247+AQ253)*(CA_PSC_switch_trig=0)+IF(AND((HM_ZA_Nkossa!CA_cost_stop+AQ241+AQ247+AQ253)&lt;=0,HM_ZA_Nkossa!CA_gco+AQ241+AQ247+AQ253&gt;0),HM_ZA_Nkossa!CA_gco+AQ241+AQ247+AQ253,HM_ZA_Nkossa!CA_cost_stop+AQ241+AQ247+AQ253)*(CA_PSC_switch_trig=1)</f>
        <v>0</v>
      </c>
      <c r="AR257" s="49">
        <f ca="1">(HM_ZA_Nkossa!CA_cost_stop+AR241+AR247+AR253)*(CA_PSC_switch_trig=0)+IF(AND((HM_ZA_Nkossa!CA_cost_stop+AR241+AR247+AR253)&lt;=0,HM_ZA_Nkossa!CA_gco+AR241+AR247+AR253&gt;0),HM_ZA_Nkossa!CA_gco+AR241+AR247+AR253,HM_ZA_Nkossa!CA_cost_stop+AR241+AR247+AR253)*(CA_PSC_switch_trig=1)</f>
        <v>0</v>
      </c>
      <c r="AS257" s="49">
        <f ca="1">(HM_ZA_Nkossa!CA_cost_stop+AS241+AS247+AS253)*(CA_PSC_switch_trig=0)+IF(AND((HM_ZA_Nkossa!CA_cost_stop+AS241+AS247+AS253)&lt;=0,HM_ZA_Nkossa!CA_gco+AS241+AS247+AS253&gt;0),HM_ZA_Nkossa!CA_gco+AS241+AS247+AS253,HM_ZA_Nkossa!CA_cost_stop+AS241+AS247+AS253)*(CA_PSC_switch_trig=1)</f>
        <v>0</v>
      </c>
      <c r="AT257" s="49">
        <f ca="1">(HM_ZA_Nkossa!CA_cost_stop+AT241+AT247+AT253)*(CA_PSC_switch_trig=0)+IF(AND((HM_ZA_Nkossa!CA_cost_stop+AT241+AT247+AT253)&lt;=0,HM_ZA_Nkossa!CA_gco+AT241+AT247+AT253&gt;0),HM_ZA_Nkossa!CA_gco+AT241+AT247+AT253,HM_ZA_Nkossa!CA_cost_stop+AT241+AT247+AT253)*(CA_PSC_switch_trig=1)</f>
        <v>0</v>
      </c>
      <c r="AU257" s="49">
        <f ca="1">(HM_ZA_Nkossa!CA_cost_stop+AU241+AU247+AU253)*(CA_PSC_switch_trig=0)+IF(AND((HM_ZA_Nkossa!CA_cost_stop+AU241+AU247+AU253)&lt;=0,HM_ZA_Nkossa!CA_gco+AU241+AU247+AU253&gt;0),HM_ZA_Nkossa!CA_gco+AU241+AU247+AU253,HM_ZA_Nkossa!CA_cost_stop+AU241+AU247+AU253)*(CA_PSC_switch_trig=1)</f>
        <v>0</v>
      </c>
      <c r="AV257" s="49">
        <f ca="1">(HM_ZA_Nkossa!CA_cost_stop+AV241+AV247+AV253)*(CA_PSC_switch_trig=0)+IF(AND((HM_ZA_Nkossa!CA_cost_stop+AV241+AV247+AV253)&lt;=0,HM_ZA_Nkossa!CA_gco+AV241+AV247+AV253&gt;0),HM_ZA_Nkossa!CA_gco+AV241+AV247+AV253,HM_ZA_Nkossa!CA_cost_stop+AV241+AV247+AV253)*(CA_PSC_switch_trig=1)</f>
        <v>0</v>
      </c>
      <c r="AW257" s="49">
        <f ca="1">(HM_ZA_Nkossa!CA_cost_stop+AW241+AW247+AW253)*(CA_PSC_switch_trig=0)+IF(AND((HM_ZA_Nkossa!CA_cost_stop+AW241+AW247+AW253)&lt;=0,HM_ZA_Nkossa!CA_gco+AW241+AW247+AW253&gt;0),HM_ZA_Nkossa!CA_gco+AW241+AW247+AW253,HM_ZA_Nkossa!CA_cost_stop+AW241+AW247+AW253)*(CA_PSC_switch_trig=1)</f>
        <v>0</v>
      </c>
      <c r="AX257" s="49">
        <f ca="1">(HM_ZA_Nkossa!CA_cost_stop+AX241+AX247+AX253)*(CA_PSC_switch_trig=0)+IF(AND((HM_ZA_Nkossa!CA_cost_stop+AX241+AX247+AX253)&lt;=0,HM_ZA_Nkossa!CA_gco+AX241+AX247+AX253&gt;0),HM_ZA_Nkossa!CA_gco+AX241+AX247+AX253,HM_ZA_Nkossa!CA_cost_stop+AX241+AX247+AX253)*(CA_PSC_switch_trig=1)</f>
        <v>0</v>
      </c>
      <c r="AY257" s="49">
        <f ca="1">(HM_ZA_Nkossa!CA_cost_stop+AY241+AY247+AY253)*(CA_PSC_switch_trig=0)+IF(AND((HM_ZA_Nkossa!CA_cost_stop+AY241+AY247+AY253)&lt;=0,HM_ZA_Nkossa!CA_gco+AY241+AY247+AY253&gt;0),HM_ZA_Nkossa!CA_gco+AY241+AY247+AY253,HM_ZA_Nkossa!CA_cost_stop+AY241+AY247+AY253)*(CA_PSC_switch_trig=1)</f>
        <v>0</v>
      </c>
      <c r="AZ257" s="49">
        <f ca="1">(HM_ZA_Nkossa!CA_cost_stop+AZ241+AZ247+AZ253)*(CA_PSC_switch_trig=0)+IF(AND((HM_ZA_Nkossa!CA_cost_stop+AZ241+AZ247+AZ253)&lt;=0,HM_ZA_Nkossa!CA_gco+AZ241+AZ247+AZ253&gt;0),HM_ZA_Nkossa!CA_gco+AZ241+AZ247+AZ253,HM_ZA_Nkossa!CA_cost_stop+AZ241+AZ247+AZ253)*(CA_PSC_switch_trig=1)</f>
        <v>0</v>
      </c>
      <c r="BA257" s="49">
        <f ca="1">(HM_ZA_Nkossa!CA_cost_stop+BA241+BA247+BA253)*(CA_PSC_switch_trig=0)+IF(AND((HM_ZA_Nkossa!CA_cost_stop+BA241+BA247+BA253)&lt;=0,HM_ZA_Nkossa!CA_gco+BA241+BA247+BA253&gt;0),HM_ZA_Nkossa!CA_gco+BA241+BA247+BA253,HM_ZA_Nkossa!CA_cost_stop+BA241+BA247+BA253)*(CA_PSC_switch_trig=1)</f>
        <v>0</v>
      </c>
      <c r="BB257" s="49">
        <f ca="1">(HM_ZA_Nkossa!CA_cost_stop+BB241+BB247+BB253)*(CA_PSC_switch_trig=0)+IF(AND((HM_ZA_Nkossa!CA_cost_stop+BB241+BB247+BB253)&lt;=0,HM_ZA_Nkossa!CA_gco+BB241+BB247+BB253&gt;0),HM_ZA_Nkossa!CA_gco+BB241+BB247+BB253,HM_ZA_Nkossa!CA_cost_stop+BB241+BB247+BB253)*(CA_PSC_switch_trig=1)</f>
        <v>0</v>
      </c>
      <c r="BC257" s="49">
        <f ca="1">(HM_ZA_Nkossa!CA_cost_stop+BC241+BC247+BC253)*(CA_PSC_switch_trig=0)+IF(AND((HM_ZA_Nkossa!CA_cost_stop+BC241+BC247+BC253)&lt;=0,HM_ZA_Nkossa!CA_gco+BC241+BC247+BC253&gt;0),HM_ZA_Nkossa!CA_gco+BC241+BC247+BC253,HM_ZA_Nkossa!CA_cost_stop+BC241+BC247+BC253)*(CA_PSC_switch_trig=1)</f>
        <v>0</v>
      </c>
      <c r="BD257" s="49">
        <f ca="1">(HM_ZA_Nkossa!CA_cost_stop+BD241+BD247+BD253)*(CA_PSC_switch_trig=0)+IF(AND((HM_ZA_Nkossa!CA_cost_stop+BD241+BD247+BD253)&lt;=0,HM_ZA_Nkossa!CA_gco+BD241+BD247+BD253&gt;0),HM_ZA_Nkossa!CA_gco+BD241+BD247+BD253,HM_ZA_Nkossa!CA_cost_stop+BD241+BD247+BD253)*(CA_PSC_switch_trig=1)</f>
        <v>0</v>
      </c>
      <c r="BE257" s="49">
        <f ca="1">(HM_ZA_Nkossa!CA_cost_stop+BE241+BE247+BE253)*(CA_PSC_switch_trig=0)+IF(AND((HM_ZA_Nkossa!CA_cost_stop+BE241+BE247+BE253)&lt;=0,HM_ZA_Nkossa!CA_gco+BE241+BE247+BE253&gt;0),HM_ZA_Nkossa!CA_gco+BE241+BE247+BE253,HM_ZA_Nkossa!CA_cost_stop+BE241+BE247+BE253)*(CA_PSC_switch_trig=1)</f>
        <v>0</v>
      </c>
      <c r="BF257" s="49">
        <f ca="1">(HM_ZA_Nkossa!CA_cost_stop+BF241+BF247+BF253)*(CA_PSC_switch_trig=0)+IF(AND((HM_ZA_Nkossa!CA_cost_stop+BF241+BF247+BF253)&lt;=0,HM_ZA_Nkossa!CA_gco+BF241+BF247+BF253&gt;0),HM_ZA_Nkossa!CA_gco+BF241+BF247+BF253,HM_ZA_Nkossa!CA_cost_stop+BF241+BF247+BF253)*(CA_PSC_switch_trig=1)</f>
        <v>0</v>
      </c>
      <c r="BG257" s="49">
        <f ca="1">(HM_ZA_Nkossa!CA_cost_stop+BG241+BG247+BG253)*(CA_PSC_switch_trig=0)+IF(AND((HM_ZA_Nkossa!CA_cost_stop+BG241+BG247+BG253)&lt;=0,HM_ZA_Nkossa!CA_gco+BG241+BG247+BG253&gt;0),HM_ZA_Nkossa!CA_gco+BG241+BG247+BG253,HM_ZA_Nkossa!CA_cost_stop+BG241+BG247+BG253)*(CA_PSC_switch_trig=1)</f>
        <v>0</v>
      </c>
      <c r="BH257" s="49">
        <f ca="1">(HM_ZA_Nkossa!CA_cost_stop+BH241+BH247+BH253)*(CA_PSC_switch_trig=0)+IF(AND((HM_ZA_Nkossa!CA_cost_stop+BH241+BH247+BH253)&lt;=0,HM_ZA_Nkossa!CA_gco+BH241+BH247+BH253&gt;0),HM_ZA_Nkossa!CA_gco+BH241+BH247+BH253,HM_ZA_Nkossa!CA_cost_stop+BH241+BH247+BH253)*(CA_PSC_switch_trig=1)</f>
        <v>0</v>
      </c>
      <c r="BI257" s="49">
        <f ca="1">(HM_ZA_Nkossa!CA_cost_stop+BI241+BI247+BI253)*(CA_PSC_switch_trig=0)+IF(AND((HM_ZA_Nkossa!CA_cost_stop+BI241+BI247+BI253)&lt;=0,HM_ZA_Nkossa!CA_gco+BI241+BI247+BI253&gt;0),HM_ZA_Nkossa!CA_gco+BI241+BI247+BI253,HM_ZA_Nkossa!CA_cost_stop+BI241+BI247+BI253)*(CA_PSC_switch_trig=1)</f>
        <v>0</v>
      </c>
      <c r="BJ257" s="49">
        <f ca="1">(HM_ZA_Nkossa!CA_cost_stop+BJ241+BJ247+BJ253)*(CA_PSC_switch_trig=0)+IF(AND((HM_ZA_Nkossa!CA_cost_stop+BJ241+BJ247+BJ253)&lt;=0,HM_ZA_Nkossa!CA_gco+BJ241+BJ247+BJ253&gt;0),HM_ZA_Nkossa!CA_gco+BJ241+BJ247+BJ253,HM_ZA_Nkossa!CA_cost_stop+BJ241+BJ247+BJ253)*(CA_PSC_switch_trig=1)</f>
        <v>0</v>
      </c>
      <c r="BK257" s="49">
        <f ca="1">(HM_ZA_Nkossa!CA_cost_stop+BK241+BK247+BK253)*(CA_PSC_switch_trig=0)+IF(AND((HM_ZA_Nkossa!CA_cost_stop+BK241+BK247+BK253)&lt;=0,HM_ZA_Nkossa!CA_gco+BK241+BK247+BK253&gt;0),HM_ZA_Nkossa!CA_gco+BK241+BK247+BK253,HM_ZA_Nkossa!CA_cost_stop+BK241+BK247+BK253)*(CA_PSC_switch_trig=1)</f>
        <v>0</v>
      </c>
      <c r="BL257" s="49">
        <f ca="1">(HM_ZA_Nkossa!CA_cost_stop+BL241+BL247+BL253)*(CA_PSC_switch_trig=0)+IF(AND((HM_ZA_Nkossa!CA_cost_stop+BL241+BL247+BL253)&lt;=0,HM_ZA_Nkossa!CA_gco+BL241+BL247+BL253&gt;0),HM_ZA_Nkossa!CA_gco+BL241+BL247+BL253,HM_ZA_Nkossa!CA_cost_stop+BL241+BL247+BL253)*(CA_PSC_switch_trig=1)</f>
        <v>0</v>
      </c>
      <c r="BM257" s="49">
        <f ca="1">(HM_ZA_Nkossa!CA_cost_stop+BM241+BM247+BM253)*(CA_PSC_switch_trig=0)+IF(AND((HM_ZA_Nkossa!CA_cost_stop+BM241+BM247+BM253)&lt;=0,HM_ZA_Nkossa!CA_gco+BM241+BM247+BM253&gt;0),HM_ZA_Nkossa!CA_gco+BM241+BM247+BM253,HM_ZA_Nkossa!CA_cost_stop+BM241+BM247+BM253)*(CA_PSC_switch_trig=1)</f>
        <v>0</v>
      </c>
      <c r="BN257" s="49">
        <f ca="1">(HM_ZA_Nkossa!CA_cost_stop+BN241+BN247+BN253)*(CA_PSC_switch_trig=0)+IF(AND((HM_ZA_Nkossa!CA_cost_stop+BN241+BN247+BN253)&lt;=0,HM_ZA_Nkossa!CA_gco+BN241+BN247+BN253&gt;0),HM_ZA_Nkossa!CA_gco+BN241+BN247+BN253,HM_ZA_Nkossa!CA_cost_stop+BN241+BN247+BN253)*(CA_PSC_switch_trig=1)</f>
        <v>0</v>
      </c>
      <c r="BO257" s="49">
        <f ca="1">(HM_ZA_Nkossa!CA_cost_stop+BO241+BO247+BO253)*(CA_PSC_switch_trig=0)+IF(AND((HM_ZA_Nkossa!CA_cost_stop+BO241+BO247+BO253)&lt;=0,HM_ZA_Nkossa!CA_gco+BO241+BO247+BO253&gt;0),HM_ZA_Nkossa!CA_gco+BO241+BO247+BO253,HM_ZA_Nkossa!CA_cost_stop+BO241+BO247+BO253)*(CA_PSC_switch_trig=1)</f>
        <v>0</v>
      </c>
      <c r="BP257" s="49">
        <f ca="1">(HM_ZA_Nkossa!CA_cost_stop+BP241+BP247+BP253)*(CA_PSC_switch_trig=0)+IF(AND((HM_ZA_Nkossa!CA_cost_stop+BP241+BP247+BP253)&lt;=0,HM_ZA_Nkossa!CA_gco+BP241+BP247+BP253&gt;0),HM_ZA_Nkossa!CA_gco+BP241+BP247+BP253,HM_ZA_Nkossa!CA_cost_stop+BP241+BP247+BP253)*(CA_PSC_switch_trig=1)</f>
        <v>0</v>
      </c>
      <c r="BQ257" s="49">
        <f ca="1">(HM_ZA_Nkossa!CA_cost_stop+BQ241+BQ247+BQ253)*(CA_PSC_switch_trig=0)+IF(AND((HM_ZA_Nkossa!CA_cost_stop+BQ241+BQ247+BQ253)&lt;=0,HM_ZA_Nkossa!CA_gco+BQ241+BQ247+BQ253&gt;0),HM_ZA_Nkossa!CA_gco+BQ241+BQ247+BQ253,HM_ZA_Nkossa!CA_cost_stop+BQ241+BQ247+BQ253)*(CA_PSC_switch_trig=1)</f>
        <v>0</v>
      </c>
      <c r="BR257" s="49">
        <f ca="1">(HM_ZA_Nkossa!CA_cost_stop+BR241+BR247+BR253)*(CA_PSC_switch_trig=0)+IF(AND((HM_ZA_Nkossa!CA_cost_stop+BR241+BR247+BR253)&lt;=0,HM_ZA_Nkossa!CA_gco+BR241+BR247+BR253&gt;0),HM_ZA_Nkossa!CA_gco+BR241+BR247+BR253,HM_ZA_Nkossa!CA_cost_stop+BR241+BR247+BR253)*(CA_PSC_switch_trig=1)</f>
        <v>0</v>
      </c>
      <c r="BS257" s="49">
        <f ca="1">(HM_ZA_Nkossa!CA_cost_stop+BS241+BS247+BS253)*(CA_PSC_switch_trig=0)+IF(AND((HM_ZA_Nkossa!CA_cost_stop+BS241+BS247+BS253)&lt;=0,HM_ZA_Nkossa!CA_gco+BS241+BS247+BS253&gt;0),HM_ZA_Nkossa!CA_gco+BS241+BS247+BS253,HM_ZA_Nkossa!CA_cost_stop+BS241+BS247+BS253)*(CA_PSC_switch_trig=1)</f>
        <v>0</v>
      </c>
    </row>
    <row r="258" spans="3:71" outlineLevel="1" x14ac:dyDescent="0.2">
      <c r="E258" t="str">
        <f>CHOOSE(db_ML_selected,'Liste Traduction'!B330,'Liste Traduction'!C330)</f>
        <v>Coûts exploration cumulés à récupérer</v>
      </c>
      <c r="I258" s="30">
        <f ca="1">I226</f>
        <v>0</v>
      </c>
      <c r="J258" s="26" t="s">
        <v>148</v>
      </c>
      <c r="L258" s="49">
        <f t="shared" ref="L258:AQ258" ca="1" si="63">CA_expex_to_recover+(K260*(1+int_rate_cf_costs))</f>
        <v>0</v>
      </c>
      <c r="M258" s="49">
        <f t="shared" ca="1" si="63"/>
        <v>0</v>
      </c>
      <c r="N258" s="49">
        <f t="shared" ca="1" si="63"/>
        <v>0</v>
      </c>
      <c r="O258" s="49">
        <f t="shared" ca="1" si="63"/>
        <v>0</v>
      </c>
      <c r="P258" s="49">
        <f t="shared" ca="1" si="63"/>
        <v>0</v>
      </c>
      <c r="Q258" s="49">
        <f t="shared" ca="1" si="63"/>
        <v>0</v>
      </c>
      <c r="R258" s="49">
        <f t="shared" ca="1" si="63"/>
        <v>0</v>
      </c>
      <c r="S258" s="49">
        <f t="shared" ca="1" si="63"/>
        <v>0</v>
      </c>
      <c r="T258" s="49">
        <f t="shared" ca="1" si="63"/>
        <v>0</v>
      </c>
      <c r="U258" s="49">
        <f t="shared" ca="1" si="63"/>
        <v>0</v>
      </c>
      <c r="V258" s="49">
        <f t="shared" ca="1" si="63"/>
        <v>0</v>
      </c>
      <c r="W258" s="49">
        <f t="shared" ca="1" si="63"/>
        <v>0</v>
      </c>
      <c r="X258" s="49">
        <f t="shared" ca="1" si="63"/>
        <v>0</v>
      </c>
      <c r="Y258" s="49">
        <f t="shared" ca="1" si="63"/>
        <v>0</v>
      </c>
      <c r="Z258" s="49">
        <f t="shared" ca="1" si="63"/>
        <v>0</v>
      </c>
      <c r="AA258" s="49">
        <f t="shared" ca="1" si="63"/>
        <v>0</v>
      </c>
      <c r="AB258" s="49">
        <f t="shared" ca="1" si="63"/>
        <v>0</v>
      </c>
      <c r="AC258" s="49">
        <f t="shared" ca="1" si="63"/>
        <v>0</v>
      </c>
      <c r="AD258" s="49">
        <f t="shared" ca="1" si="63"/>
        <v>0</v>
      </c>
      <c r="AE258" s="49">
        <f t="shared" ca="1" si="63"/>
        <v>0</v>
      </c>
      <c r="AF258" s="49">
        <f t="shared" ca="1" si="63"/>
        <v>0</v>
      </c>
      <c r="AG258" s="49">
        <f t="shared" ca="1" si="63"/>
        <v>0</v>
      </c>
      <c r="AH258" s="49">
        <f t="shared" ca="1" si="63"/>
        <v>0</v>
      </c>
      <c r="AI258" s="49">
        <f t="shared" ca="1" si="63"/>
        <v>0</v>
      </c>
      <c r="AJ258" s="49">
        <f t="shared" ca="1" si="63"/>
        <v>0</v>
      </c>
      <c r="AK258" s="49">
        <f t="shared" ca="1" si="63"/>
        <v>0</v>
      </c>
      <c r="AL258" s="49">
        <f t="shared" ca="1" si="63"/>
        <v>0</v>
      </c>
      <c r="AM258" s="49">
        <f t="shared" ca="1" si="63"/>
        <v>0</v>
      </c>
      <c r="AN258" s="49">
        <f t="shared" ca="1" si="63"/>
        <v>0</v>
      </c>
      <c r="AO258" s="49">
        <f t="shared" ca="1" si="63"/>
        <v>0</v>
      </c>
      <c r="AP258" s="49">
        <f t="shared" ca="1" si="63"/>
        <v>0</v>
      </c>
      <c r="AQ258" s="49">
        <f t="shared" ca="1" si="63"/>
        <v>0</v>
      </c>
      <c r="AR258" s="49">
        <f t="shared" ref="AR258:BS258" ca="1" si="64">CA_expex_to_recover+(AQ260*(1+int_rate_cf_costs))</f>
        <v>0</v>
      </c>
      <c r="AS258" s="49">
        <f t="shared" ca="1" si="64"/>
        <v>0</v>
      </c>
      <c r="AT258" s="49">
        <f t="shared" ca="1" si="64"/>
        <v>0</v>
      </c>
      <c r="AU258" s="49">
        <f t="shared" ca="1" si="64"/>
        <v>0</v>
      </c>
      <c r="AV258" s="49">
        <f t="shared" ca="1" si="64"/>
        <v>0</v>
      </c>
      <c r="AW258" s="49">
        <f t="shared" ca="1" si="64"/>
        <v>0</v>
      </c>
      <c r="AX258" s="49">
        <f t="shared" ca="1" si="64"/>
        <v>0</v>
      </c>
      <c r="AY258" s="49">
        <f t="shared" ca="1" si="64"/>
        <v>0</v>
      </c>
      <c r="AZ258" s="49">
        <f t="shared" ca="1" si="64"/>
        <v>0</v>
      </c>
      <c r="BA258" s="49">
        <f t="shared" ca="1" si="64"/>
        <v>0</v>
      </c>
      <c r="BB258" s="49">
        <f t="shared" ca="1" si="64"/>
        <v>0</v>
      </c>
      <c r="BC258" s="49">
        <f t="shared" ca="1" si="64"/>
        <v>0</v>
      </c>
      <c r="BD258" s="49">
        <f t="shared" ca="1" si="64"/>
        <v>0</v>
      </c>
      <c r="BE258" s="49">
        <f t="shared" ca="1" si="64"/>
        <v>0</v>
      </c>
      <c r="BF258" s="49">
        <f t="shared" ca="1" si="64"/>
        <v>0</v>
      </c>
      <c r="BG258" s="49">
        <f t="shared" ca="1" si="64"/>
        <v>0</v>
      </c>
      <c r="BH258" s="49">
        <f t="shared" ca="1" si="64"/>
        <v>0</v>
      </c>
      <c r="BI258" s="49">
        <f t="shared" ca="1" si="64"/>
        <v>0</v>
      </c>
      <c r="BJ258" s="49">
        <f t="shared" ca="1" si="64"/>
        <v>0</v>
      </c>
      <c r="BK258" s="49">
        <f t="shared" ca="1" si="64"/>
        <v>0</v>
      </c>
      <c r="BL258" s="49">
        <f t="shared" ca="1" si="64"/>
        <v>0</v>
      </c>
      <c r="BM258" s="49">
        <f t="shared" ca="1" si="64"/>
        <v>0</v>
      </c>
      <c r="BN258" s="49">
        <f t="shared" ca="1" si="64"/>
        <v>0</v>
      </c>
      <c r="BO258" s="49">
        <f t="shared" ca="1" si="64"/>
        <v>0</v>
      </c>
      <c r="BP258" s="49">
        <f t="shared" ca="1" si="64"/>
        <v>0</v>
      </c>
      <c r="BQ258" s="49">
        <f t="shared" ca="1" si="64"/>
        <v>0</v>
      </c>
      <c r="BR258" s="49">
        <f t="shared" ca="1" si="64"/>
        <v>0</v>
      </c>
      <c r="BS258" s="49">
        <f t="shared" ca="1" si="64"/>
        <v>0</v>
      </c>
    </row>
    <row r="259" spans="3:71" outlineLevel="1" x14ac:dyDescent="0.2">
      <c r="E259" t="str">
        <f>CHOOSE(db_ML_selected,'Liste Traduction'!B331,'Liste Traduction'!C331)</f>
        <v>Coûts exploration récupérés</v>
      </c>
      <c r="H259" s="56" t="b">
        <f ca="1">ROUND(I259,2)=-ROUND(I258,2)</f>
        <v>1</v>
      </c>
      <c r="I259" s="30">
        <f t="shared" ca="1" si="62"/>
        <v>0</v>
      </c>
      <c r="J259" s="26" t="s">
        <v>148</v>
      </c>
      <c r="L259" s="49">
        <f ca="1">-MIN(L258,L257)</f>
        <v>0</v>
      </c>
      <c r="M259" s="49">
        <f t="shared" ref="M259:BS259" ca="1" si="65">-MIN(M258,M257)</f>
        <v>0</v>
      </c>
      <c r="N259" s="49">
        <f t="shared" ca="1" si="65"/>
        <v>0</v>
      </c>
      <c r="O259" s="49">
        <f t="shared" ca="1" si="65"/>
        <v>0</v>
      </c>
      <c r="P259" s="49">
        <f t="shared" ca="1" si="65"/>
        <v>0</v>
      </c>
      <c r="Q259" s="49">
        <f t="shared" ca="1" si="65"/>
        <v>0</v>
      </c>
      <c r="R259" s="49">
        <f t="shared" ca="1" si="65"/>
        <v>0</v>
      </c>
      <c r="S259" s="49">
        <f t="shared" ca="1" si="65"/>
        <v>0</v>
      </c>
      <c r="T259" s="49">
        <f t="shared" ca="1" si="65"/>
        <v>0</v>
      </c>
      <c r="U259" s="49">
        <f t="shared" ca="1" si="65"/>
        <v>0</v>
      </c>
      <c r="V259" s="49">
        <f t="shared" ca="1" si="65"/>
        <v>0</v>
      </c>
      <c r="W259" s="49">
        <f t="shared" ca="1" si="65"/>
        <v>0</v>
      </c>
      <c r="X259" s="49">
        <f t="shared" ca="1" si="65"/>
        <v>0</v>
      </c>
      <c r="Y259" s="49">
        <f t="shared" ca="1" si="65"/>
        <v>0</v>
      </c>
      <c r="Z259" s="49">
        <f t="shared" ca="1" si="65"/>
        <v>0</v>
      </c>
      <c r="AA259" s="49">
        <f t="shared" ca="1" si="65"/>
        <v>0</v>
      </c>
      <c r="AB259" s="49">
        <f t="shared" ca="1" si="65"/>
        <v>0</v>
      </c>
      <c r="AC259" s="49">
        <f t="shared" ca="1" si="65"/>
        <v>0</v>
      </c>
      <c r="AD259" s="49">
        <f t="shared" ca="1" si="65"/>
        <v>0</v>
      </c>
      <c r="AE259" s="49">
        <f t="shared" ca="1" si="65"/>
        <v>0</v>
      </c>
      <c r="AF259" s="49">
        <f t="shared" ca="1" si="65"/>
        <v>0</v>
      </c>
      <c r="AG259" s="49">
        <f t="shared" ca="1" si="65"/>
        <v>0</v>
      </c>
      <c r="AH259" s="49">
        <f t="shared" ca="1" si="65"/>
        <v>0</v>
      </c>
      <c r="AI259" s="49">
        <f t="shared" ca="1" si="65"/>
        <v>0</v>
      </c>
      <c r="AJ259" s="49">
        <f t="shared" ca="1" si="65"/>
        <v>0</v>
      </c>
      <c r="AK259" s="49">
        <f t="shared" ca="1" si="65"/>
        <v>0</v>
      </c>
      <c r="AL259" s="49">
        <f t="shared" ca="1" si="65"/>
        <v>0</v>
      </c>
      <c r="AM259" s="49">
        <f t="shared" ca="1" si="65"/>
        <v>0</v>
      </c>
      <c r="AN259" s="49">
        <f t="shared" ca="1" si="65"/>
        <v>0</v>
      </c>
      <c r="AO259" s="49">
        <f t="shared" ca="1" si="65"/>
        <v>0</v>
      </c>
      <c r="AP259" s="49">
        <f t="shared" ca="1" si="65"/>
        <v>0</v>
      </c>
      <c r="AQ259" s="49">
        <f t="shared" ca="1" si="65"/>
        <v>0</v>
      </c>
      <c r="AR259" s="49">
        <f t="shared" ca="1" si="65"/>
        <v>0</v>
      </c>
      <c r="AS259" s="49">
        <f t="shared" ca="1" si="65"/>
        <v>0</v>
      </c>
      <c r="AT259" s="49">
        <f t="shared" ca="1" si="65"/>
        <v>0</v>
      </c>
      <c r="AU259" s="49">
        <f t="shared" ca="1" si="65"/>
        <v>0</v>
      </c>
      <c r="AV259" s="49">
        <f t="shared" ca="1" si="65"/>
        <v>0</v>
      </c>
      <c r="AW259" s="49">
        <f t="shared" ca="1" si="65"/>
        <v>0</v>
      </c>
      <c r="AX259" s="49">
        <f t="shared" ca="1" si="65"/>
        <v>0</v>
      </c>
      <c r="AY259" s="49">
        <f t="shared" ca="1" si="65"/>
        <v>0</v>
      </c>
      <c r="AZ259" s="49">
        <f t="shared" ca="1" si="65"/>
        <v>0</v>
      </c>
      <c r="BA259" s="49">
        <f t="shared" ca="1" si="65"/>
        <v>0</v>
      </c>
      <c r="BB259" s="49">
        <f t="shared" ca="1" si="65"/>
        <v>0</v>
      </c>
      <c r="BC259" s="49">
        <f t="shared" ca="1" si="65"/>
        <v>0</v>
      </c>
      <c r="BD259" s="49">
        <f t="shared" ca="1" si="65"/>
        <v>0</v>
      </c>
      <c r="BE259" s="49">
        <f t="shared" ca="1" si="65"/>
        <v>0</v>
      </c>
      <c r="BF259" s="49">
        <f t="shared" ca="1" si="65"/>
        <v>0</v>
      </c>
      <c r="BG259" s="49">
        <f t="shared" ca="1" si="65"/>
        <v>0</v>
      </c>
      <c r="BH259" s="49">
        <f t="shared" ca="1" si="65"/>
        <v>0</v>
      </c>
      <c r="BI259" s="49">
        <f t="shared" ca="1" si="65"/>
        <v>0</v>
      </c>
      <c r="BJ259" s="49">
        <f t="shared" ca="1" si="65"/>
        <v>0</v>
      </c>
      <c r="BK259" s="49">
        <f t="shared" ca="1" si="65"/>
        <v>0</v>
      </c>
      <c r="BL259" s="49">
        <f t="shared" ca="1" si="65"/>
        <v>0</v>
      </c>
      <c r="BM259" s="49">
        <f t="shared" ca="1" si="65"/>
        <v>0</v>
      </c>
      <c r="BN259" s="49">
        <f t="shared" ca="1" si="65"/>
        <v>0</v>
      </c>
      <c r="BO259" s="49">
        <f t="shared" ca="1" si="65"/>
        <v>0</v>
      </c>
      <c r="BP259" s="49">
        <f t="shared" ca="1" si="65"/>
        <v>0</v>
      </c>
      <c r="BQ259" s="49">
        <f t="shared" ca="1" si="65"/>
        <v>0</v>
      </c>
      <c r="BR259" s="49">
        <f t="shared" ca="1" si="65"/>
        <v>0</v>
      </c>
      <c r="BS259" s="49">
        <f t="shared" ca="1" si="65"/>
        <v>0</v>
      </c>
    </row>
    <row r="260" spans="3:71" outlineLevel="1" x14ac:dyDescent="0.2">
      <c r="E260" t="str">
        <f>E254</f>
        <v xml:space="preserve">Sous/(Sur)récupération </v>
      </c>
      <c r="J260" s="26"/>
      <c r="L260" s="49">
        <f ca="1">L258+L259</f>
        <v>0</v>
      </c>
      <c r="M260" s="49">
        <f t="shared" ref="M260:BS260" ca="1" si="66">M258+M259</f>
        <v>0</v>
      </c>
      <c r="N260" s="49">
        <f t="shared" ca="1" si="66"/>
        <v>0</v>
      </c>
      <c r="O260" s="49">
        <f t="shared" ca="1" si="66"/>
        <v>0</v>
      </c>
      <c r="P260" s="49">
        <f t="shared" ca="1" si="66"/>
        <v>0</v>
      </c>
      <c r="Q260" s="49">
        <f t="shared" ca="1" si="66"/>
        <v>0</v>
      </c>
      <c r="R260" s="49">
        <f t="shared" ca="1" si="66"/>
        <v>0</v>
      </c>
      <c r="S260" s="49">
        <f t="shared" ca="1" si="66"/>
        <v>0</v>
      </c>
      <c r="T260" s="49">
        <f t="shared" ca="1" si="66"/>
        <v>0</v>
      </c>
      <c r="U260" s="49">
        <f t="shared" ca="1" si="66"/>
        <v>0</v>
      </c>
      <c r="V260" s="49">
        <f t="shared" ca="1" si="66"/>
        <v>0</v>
      </c>
      <c r="W260" s="49">
        <f t="shared" ca="1" si="66"/>
        <v>0</v>
      </c>
      <c r="X260" s="49">
        <f t="shared" ca="1" si="66"/>
        <v>0</v>
      </c>
      <c r="Y260" s="49">
        <f t="shared" ca="1" si="66"/>
        <v>0</v>
      </c>
      <c r="Z260" s="49">
        <f t="shared" ca="1" si="66"/>
        <v>0</v>
      </c>
      <c r="AA260" s="49">
        <f t="shared" ca="1" si="66"/>
        <v>0</v>
      </c>
      <c r="AB260" s="49">
        <f t="shared" ca="1" si="66"/>
        <v>0</v>
      </c>
      <c r="AC260" s="49">
        <f t="shared" ca="1" si="66"/>
        <v>0</v>
      </c>
      <c r="AD260" s="49">
        <f t="shared" ca="1" si="66"/>
        <v>0</v>
      </c>
      <c r="AE260" s="49">
        <f t="shared" ca="1" si="66"/>
        <v>0</v>
      </c>
      <c r="AF260" s="49">
        <f t="shared" ca="1" si="66"/>
        <v>0</v>
      </c>
      <c r="AG260" s="49">
        <f t="shared" ca="1" si="66"/>
        <v>0</v>
      </c>
      <c r="AH260" s="49">
        <f t="shared" ca="1" si="66"/>
        <v>0</v>
      </c>
      <c r="AI260" s="49">
        <f t="shared" ca="1" si="66"/>
        <v>0</v>
      </c>
      <c r="AJ260" s="49">
        <f t="shared" ca="1" si="66"/>
        <v>0</v>
      </c>
      <c r="AK260" s="49">
        <f t="shared" ca="1" si="66"/>
        <v>0</v>
      </c>
      <c r="AL260" s="49">
        <f t="shared" ca="1" si="66"/>
        <v>0</v>
      </c>
      <c r="AM260" s="49">
        <f t="shared" ca="1" si="66"/>
        <v>0</v>
      </c>
      <c r="AN260" s="49">
        <f t="shared" ca="1" si="66"/>
        <v>0</v>
      </c>
      <c r="AO260" s="49">
        <f t="shared" ca="1" si="66"/>
        <v>0</v>
      </c>
      <c r="AP260" s="49">
        <f t="shared" ca="1" si="66"/>
        <v>0</v>
      </c>
      <c r="AQ260" s="49">
        <f t="shared" ca="1" si="66"/>
        <v>0</v>
      </c>
      <c r="AR260" s="49">
        <f t="shared" ca="1" si="66"/>
        <v>0</v>
      </c>
      <c r="AS260" s="49">
        <f t="shared" ca="1" si="66"/>
        <v>0</v>
      </c>
      <c r="AT260" s="49">
        <f t="shared" ca="1" si="66"/>
        <v>0</v>
      </c>
      <c r="AU260" s="49">
        <f t="shared" ca="1" si="66"/>
        <v>0</v>
      </c>
      <c r="AV260" s="49">
        <f t="shared" ca="1" si="66"/>
        <v>0</v>
      </c>
      <c r="AW260" s="49">
        <f t="shared" ca="1" si="66"/>
        <v>0</v>
      </c>
      <c r="AX260" s="49">
        <f t="shared" ca="1" si="66"/>
        <v>0</v>
      </c>
      <c r="AY260" s="49">
        <f t="shared" ca="1" si="66"/>
        <v>0</v>
      </c>
      <c r="AZ260" s="49">
        <f t="shared" ca="1" si="66"/>
        <v>0</v>
      </c>
      <c r="BA260" s="49">
        <f t="shared" ca="1" si="66"/>
        <v>0</v>
      </c>
      <c r="BB260" s="49">
        <f t="shared" ca="1" si="66"/>
        <v>0</v>
      </c>
      <c r="BC260" s="49">
        <f t="shared" ca="1" si="66"/>
        <v>0</v>
      </c>
      <c r="BD260" s="49">
        <f t="shared" ca="1" si="66"/>
        <v>0</v>
      </c>
      <c r="BE260" s="49">
        <f t="shared" ca="1" si="66"/>
        <v>0</v>
      </c>
      <c r="BF260" s="49">
        <f t="shared" ca="1" si="66"/>
        <v>0</v>
      </c>
      <c r="BG260" s="49">
        <f t="shared" ca="1" si="66"/>
        <v>0</v>
      </c>
      <c r="BH260" s="49">
        <f t="shared" ca="1" si="66"/>
        <v>0</v>
      </c>
      <c r="BI260" s="49">
        <f t="shared" ca="1" si="66"/>
        <v>0</v>
      </c>
      <c r="BJ260" s="49">
        <f t="shared" ca="1" si="66"/>
        <v>0</v>
      </c>
      <c r="BK260" s="49">
        <f t="shared" ca="1" si="66"/>
        <v>0</v>
      </c>
      <c r="BL260" s="49">
        <f t="shared" ca="1" si="66"/>
        <v>0</v>
      </c>
      <c r="BM260" s="49">
        <f t="shared" ca="1" si="66"/>
        <v>0</v>
      </c>
      <c r="BN260" s="49">
        <f t="shared" ca="1" si="66"/>
        <v>0</v>
      </c>
      <c r="BO260" s="49">
        <f t="shared" ca="1" si="66"/>
        <v>0</v>
      </c>
      <c r="BP260" s="49">
        <f t="shared" ca="1" si="66"/>
        <v>0</v>
      </c>
      <c r="BQ260" s="49">
        <f t="shared" ca="1" si="66"/>
        <v>0</v>
      </c>
      <c r="BR260" s="49">
        <f t="shared" ca="1" si="66"/>
        <v>0</v>
      </c>
      <c r="BS260" s="49">
        <f t="shared" ca="1" si="66"/>
        <v>0</v>
      </c>
    </row>
    <row r="261" spans="3:71" outlineLevel="1" x14ac:dyDescent="0.2">
      <c r="J261" s="26"/>
      <c r="L261" s="55"/>
      <c r="M261" s="55"/>
      <c r="N261" s="55"/>
      <c r="O261" s="55"/>
      <c r="P261" s="55"/>
      <c r="Q261" s="55"/>
      <c r="R261" s="55"/>
      <c r="S261" s="55"/>
      <c r="T261" s="55"/>
      <c r="U261" s="55"/>
      <c r="V261" s="55"/>
      <c r="W261" s="55"/>
      <c r="X261" s="55"/>
      <c r="Y261" s="55"/>
      <c r="Z261" s="55"/>
      <c r="AA261" s="55"/>
      <c r="AB261" s="55"/>
      <c r="AC261" s="55"/>
      <c r="AD261" s="55"/>
      <c r="AE261" s="55"/>
      <c r="AF261" s="55"/>
      <c r="AG261" s="55"/>
      <c r="AH261" s="55"/>
      <c r="AI261" s="55"/>
      <c r="AJ261" s="55"/>
      <c r="AK261" s="55"/>
      <c r="AL261" s="55"/>
      <c r="AM261" s="55"/>
      <c r="AN261" s="55"/>
      <c r="AO261" s="55"/>
      <c r="AP261" s="55"/>
      <c r="AQ261" s="55"/>
      <c r="AR261" s="55"/>
      <c r="AS261" s="55"/>
      <c r="AT261" s="55"/>
      <c r="AU261" s="55"/>
      <c r="AV261" s="55"/>
      <c r="AW261" s="55"/>
      <c r="AX261" s="55"/>
      <c r="AY261" s="55"/>
      <c r="AZ261" s="55"/>
      <c r="BA261" s="55"/>
      <c r="BB261" s="55"/>
      <c r="BC261" s="55"/>
      <c r="BD261" s="55"/>
      <c r="BE261" s="55"/>
      <c r="BF261" s="55"/>
      <c r="BG261" s="55"/>
      <c r="BH261" s="55"/>
      <c r="BI261" s="55"/>
      <c r="BJ261" s="55"/>
      <c r="BK261" s="55"/>
      <c r="BL261" s="55"/>
      <c r="BM261" s="55"/>
      <c r="BN261" s="55"/>
      <c r="BO261" s="55"/>
      <c r="BP261" s="55"/>
      <c r="BQ261" s="55"/>
      <c r="BR261" s="55"/>
      <c r="BS261" s="55"/>
    </row>
    <row r="262" spans="3:71" outlineLevel="1" x14ac:dyDescent="0.2">
      <c r="D262" s="51" t="str">
        <f>D227</f>
        <v>Coûts d'abandon</v>
      </c>
      <c r="J262" s="26"/>
      <c r="L262" s="55"/>
      <c r="M262" s="55"/>
      <c r="N262" s="55"/>
      <c r="O262" s="55"/>
      <c r="P262" s="55"/>
      <c r="Q262" s="55"/>
      <c r="R262" s="55"/>
      <c r="S262" s="55"/>
      <c r="T262" s="55"/>
      <c r="U262" s="55"/>
      <c r="V262" s="55"/>
      <c r="W262" s="55"/>
      <c r="X262" s="55"/>
      <c r="Y262" s="55"/>
      <c r="Z262" s="55"/>
      <c r="AA262" s="55"/>
      <c r="AB262" s="55"/>
      <c r="AC262" s="55"/>
      <c r="AD262" s="55"/>
      <c r="AE262" s="55"/>
      <c r="AF262" s="55"/>
      <c r="AG262" s="55"/>
      <c r="AH262" s="55"/>
      <c r="AI262" s="55"/>
      <c r="AJ262" s="55"/>
      <c r="AK262" s="55"/>
      <c r="AL262" s="55"/>
      <c r="AM262" s="55"/>
      <c r="AN262" s="55"/>
      <c r="AO262" s="55"/>
      <c r="AP262" s="55"/>
      <c r="AQ262" s="55"/>
      <c r="AR262" s="55"/>
      <c r="AS262" s="55"/>
      <c r="AT262" s="55"/>
      <c r="AU262" s="55"/>
      <c r="AV262" s="55"/>
      <c r="AW262" s="55"/>
      <c r="AX262" s="55"/>
      <c r="AY262" s="55"/>
      <c r="AZ262" s="55"/>
      <c r="BA262" s="55"/>
      <c r="BB262" s="55"/>
      <c r="BC262" s="55"/>
      <c r="BD262" s="55"/>
      <c r="BE262" s="55"/>
      <c r="BF262" s="55"/>
      <c r="BG262" s="55"/>
      <c r="BH262" s="55"/>
      <c r="BI262" s="55"/>
      <c r="BJ262" s="55"/>
      <c r="BK262" s="55"/>
      <c r="BL262" s="55"/>
      <c r="BM262" s="55"/>
      <c r="BN262" s="55"/>
      <c r="BO262" s="55"/>
      <c r="BP262" s="55"/>
      <c r="BQ262" s="55"/>
      <c r="BR262" s="55"/>
      <c r="BS262" s="55"/>
    </row>
    <row r="263" spans="3:71" outlineLevel="1" x14ac:dyDescent="0.2">
      <c r="E263" t="str">
        <f>E257</f>
        <v>Revenus disponibles pour la récupération</v>
      </c>
      <c r="I263" s="30">
        <f t="shared" ca="1" si="62"/>
        <v>0</v>
      </c>
      <c r="J263" s="26" t="s">
        <v>148</v>
      </c>
      <c r="L263" s="49">
        <f ca="1">(HM_ZA_Nkossa!CA_cost_stop+L241+L247+L253+L259)*(CA_PSC_switch_trig=0)+IF(AND((HM_ZA_Nkossa!CA_cost_stop+L241+L247+L253+L259)&lt;=0,HM_ZA_Nkossa!CA_gco+L241+L247+L253+L259&gt;0),HM_ZA_Nkossa!CA_gco+L32+L247+L253+L259,HM_ZA_Nkossa!CA_cost_stop+L241+L247+L253+L259)*(CA_PSC_switch_trig=1)</f>
        <v>0</v>
      </c>
      <c r="M263" s="49">
        <f ca="1">(HM_ZA_Nkossa!CA_cost_stop+M241+M247+M253+M259)*(CA_PSC_switch_trig=0)+IF(AND((HM_ZA_Nkossa!CA_cost_stop+M241+M247+M253+M259)&lt;=0,HM_ZA_Nkossa!CA_gco+M241+M247+M253+M259&gt;0),HM_ZA_Nkossa!CA_gco+M32+M247+M253+M259,HM_ZA_Nkossa!CA_cost_stop+M241+M247+M253+M259)*(CA_PSC_switch_trig=1)</f>
        <v>0</v>
      </c>
      <c r="N263" s="49">
        <f ca="1">(HM_ZA_Nkossa!CA_cost_stop+N241+N247+N253+N259)*(CA_PSC_switch_trig=0)+IF(AND((HM_ZA_Nkossa!CA_cost_stop+N241+N247+N253+N259)&lt;=0,HM_ZA_Nkossa!CA_gco+N241+N247+N253+N259&gt;0),HM_ZA_Nkossa!CA_gco+N32+N247+N253+N259,HM_ZA_Nkossa!CA_cost_stop+N241+N247+N253+N259)*(CA_PSC_switch_trig=1)</f>
        <v>0</v>
      </c>
      <c r="O263" s="49">
        <f ca="1">(HM_ZA_Nkossa!CA_cost_stop+O241+O247+O253+O259)*(CA_PSC_switch_trig=0)+IF(AND((HM_ZA_Nkossa!CA_cost_stop+O241+O247+O253+O259)&lt;=0,HM_ZA_Nkossa!CA_gco+O241+O247+O253+O259&gt;0),HM_ZA_Nkossa!CA_gco+O32+O247+O253+O259,HM_ZA_Nkossa!CA_cost_stop+O241+O247+O253+O259)*(CA_PSC_switch_trig=1)</f>
        <v>0</v>
      </c>
      <c r="P263" s="49">
        <f ca="1">(HM_ZA_Nkossa!CA_cost_stop+P241+P247+P253+P259)*(CA_PSC_switch_trig=0)+IF(AND((HM_ZA_Nkossa!CA_cost_stop+P241+P247+P253+P259)&lt;=0,HM_ZA_Nkossa!CA_gco+P241+P247+P253+P259&gt;0),HM_ZA_Nkossa!CA_gco+P32+P247+P253+P259,HM_ZA_Nkossa!CA_cost_stop+P241+P247+P253+P259)*(CA_PSC_switch_trig=1)</f>
        <v>0</v>
      </c>
      <c r="Q263" s="49">
        <f ca="1">(HM_ZA_Nkossa!CA_cost_stop+Q241+Q247+Q253+Q259)*(CA_PSC_switch_trig=0)+IF(AND((HM_ZA_Nkossa!CA_cost_stop+Q241+Q247+Q253+Q259)&lt;=0,HM_ZA_Nkossa!CA_gco+Q241+Q247+Q253+Q259&gt;0),HM_ZA_Nkossa!CA_gco+Q32+Q247+Q253+Q259,HM_ZA_Nkossa!CA_cost_stop+Q241+Q247+Q253+Q259)*(CA_PSC_switch_trig=1)</f>
        <v>0</v>
      </c>
      <c r="R263" s="49">
        <f ca="1">(HM_ZA_Nkossa!CA_cost_stop+R241+R247+R253+R259)*(CA_PSC_switch_trig=0)+IF(AND((HM_ZA_Nkossa!CA_cost_stop+R241+R247+R253+R259)&lt;=0,HM_ZA_Nkossa!CA_gco+R241+R247+R253+R259&gt;0),HM_ZA_Nkossa!CA_gco+R32+R247+R253+R259,HM_ZA_Nkossa!CA_cost_stop+R241+R247+R253+R259)*(CA_PSC_switch_trig=1)</f>
        <v>0</v>
      </c>
      <c r="S263" s="49">
        <f ca="1">(HM_ZA_Nkossa!CA_cost_stop+S241+S247+S253+S259)*(CA_PSC_switch_trig=0)+IF(AND((HM_ZA_Nkossa!CA_cost_stop+S241+S247+S253+S259)&lt;=0,HM_ZA_Nkossa!CA_gco+S241+S247+S253+S259&gt;0),HM_ZA_Nkossa!CA_gco+S32+S247+S253+S259,HM_ZA_Nkossa!CA_cost_stop+S241+S247+S253+S259)*(CA_PSC_switch_trig=1)</f>
        <v>0</v>
      </c>
      <c r="T263" s="49">
        <f ca="1">(HM_ZA_Nkossa!CA_cost_stop+T241+T247+T253+T259)*(CA_PSC_switch_trig=0)+IF(AND((HM_ZA_Nkossa!CA_cost_stop+T241+T247+T253+T259)&lt;=0,HM_ZA_Nkossa!CA_gco+T241+T247+T253+T259&gt;0),HM_ZA_Nkossa!CA_gco+T32+T247+T253+T259,HM_ZA_Nkossa!CA_cost_stop+T241+T247+T253+T259)*(CA_PSC_switch_trig=1)</f>
        <v>0</v>
      </c>
      <c r="U263" s="49">
        <f ca="1">(HM_ZA_Nkossa!CA_cost_stop+U241+U247+U253+U259)*(CA_PSC_switch_trig=0)+IF(AND((HM_ZA_Nkossa!CA_cost_stop+U241+U247+U253+U259)&lt;=0,HM_ZA_Nkossa!CA_gco+U241+U247+U253+U259&gt;0),HM_ZA_Nkossa!CA_gco+U32+U247+U253+U259,HM_ZA_Nkossa!CA_cost_stop+U241+U247+U253+U259)*(CA_PSC_switch_trig=1)</f>
        <v>0</v>
      </c>
      <c r="V263" s="49">
        <f ca="1">(HM_ZA_Nkossa!CA_cost_stop+V241+V247+V253+V259)*(CA_PSC_switch_trig=0)+IF(AND((HM_ZA_Nkossa!CA_cost_stop+V241+V247+V253+V259)&lt;=0,HM_ZA_Nkossa!CA_gco+V241+V247+V253+V259&gt;0),HM_ZA_Nkossa!CA_gco+V32+V247+V253+V259,HM_ZA_Nkossa!CA_cost_stop+V241+V247+V253+V259)*(CA_PSC_switch_trig=1)</f>
        <v>0</v>
      </c>
      <c r="W263" s="49">
        <f ca="1">(HM_ZA_Nkossa!CA_cost_stop+W241+W247+W253+W259)*(CA_PSC_switch_trig=0)+IF(AND((HM_ZA_Nkossa!CA_cost_stop+W241+W247+W253+W259)&lt;=0,HM_ZA_Nkossa!CA_gco+W241+W247+W253+W259&gt;0),HM_ZA_Nkossa!CA_gco+W32+W247+W253+W259,HM_ZA_Nkossa!CA_cost_stop+W241+W247+W253+W259)*(CA_PSC_switch_trig=1)</f>
        <v>0</v>
      </c>
      <c r="X263" s="49">
        <f ca="1">(HM_ZA_Nkossa!CA_cost_stop+X241+X247+X253+X259)*(CA_PSC_switch_trig=0)+IF(AND((HM_ZA_Nkossa!CA_cost_stop+X241+X247+X253+X259)&lt;=0,HM_ZA_Nkossa!CA_gco+X241+X247+X253+X259&gt;0),HM_ZA_Nkossa!CA_gco+X32+X247+X253+X259,HM_ZA_Nkossa!CA_cost_stop+X241+X247+X253+X259)*(CA_PSC_switch_trig=1)</f>
        <v>0</v>
      </c>
      <c r="Y263" s="49">
        <f ca="1">(HM_ZA_Nkossa!CA_cost_stop+Y241+Y247+Y253+Y259)*(CA_PSC_switch_trig=0)+IF(AND((HM_ZA_Nkossa!CA_cost_stop+Y241+Y247+Y253+Y259)&lt;=0,HM_ZA_Nkossa!CA_gco+Y241+Y247+Y253+Y259&gt;0),HM_ZA_Nkossa!CA_gco+Y32+Y247+Y253+Y259,HM_ZA_Nkossa!CA_cost_stop+Y241+Y247+Y253+Y259)*(CA_PSC_switch_trig=1)</f>
        <v>0</v>
      </c>
      <c r="Z263" s="49">
        <f ca="1">(HM_ZA_Nkossa!CA_cost_stop+Z241+Z247+Z253+Z259)*(CA_PSC_switch_trig=0)+IF(AND((HM_ZA_Nkossa!CA_cost_stop+Z241+Z247+Z253+Z259)&lt;=0,HM_ZA_Nkossa!CA_gco+Z241+Z247+Z253+Z259&gt;0),HM_ZA_Nkossa!CA_gco+Z32+Z247+Z253+Z259,HM_ZA_Nkossa!CA_cost_stop+Z241+Z247+Z253+Z259)*(CA_PSC_switch_trig=1)</f>
        <v>0</v>
      </c>
      <c r="AA263" s="49">
        <f ca="1">(HM_ZA_Nkossa!CA_cost_stop+AA241+AA247+AA253+AA259)*(CA_PSC_switch_trig=0)+IF(AND((HM_ZA_Nkossa!CA_cost_stop+AA241+AA247+AA253+AA259)&lt;=0,HM_ZA_Nkossa!CA_gco+AA241+AA247+AA253+AA259&gt;0),HM_ZA_Nkossa!CA_gco+AA32+AA247+AA253+AA259,HM_ZA_Nkossa!CA_cost_stop+AA241+AA247+AA253+AA259)*(CA_PSC_switch_trig=1)</f>
        <v>0</v>
      </c>
      <c r="AB263" s="49">
        <f ca="1">(HM_ZA_Nkossa!CA_cost_stop+AB241+AB247+AB253+AB259)*(CA_PSC_switch_trig=0)+IF(AND((HM_ZA_Nkossa!CA_cost_stop+AB241+AB247+AB253+AB259)&lt;=0,HM_ZA_Nkossa!CA_gco+AB241+AB247+AB253+AB259&gt;0),HM_ZA_Nkossa!CA_gco+AB32+AB247+AB253+AB259,HM_ZA_Nkossa!CA_cost_stop+AB241+AB247+AB253+AB259)*(CA_PSC_switch_trig=1)</f>
        <v>0</v>
      </c>
      <c r="AC263" s="49">
        <f ca="1">(HM_ZA_Nkossa!CA_cost_stop+AC241+AC247+AC253+AC259)*(CA_PSC_switch_trig=0)+IF(AND((HM_ZA_Nkossa!CA_cost_stop+AC241+AC247+AC253+AC259)&lt;=0,HM_ZA_Nkossa!CA_gco+AC241+AC247+AC253+AC259&gt;0),HM_ZA_Nkossa!CA_gco+AC32+AC247+AC253+AC259,HM_ZA_Nkossa!CA_cost_stop+AC241+AC247+AC253+AC259)*(CA_PSC_switch_trig=1)</f>
        <v>0</v>
      </c>
      <c r="AD263" s="49">
        <f ca="1">(HM_ZA_Nkossa!CA_cost_stop+AD241+AD247+AD253+AD259)*(CA_PSC_switch_trig=0)+IF(AND((HM_ZA_Nkossa!CA_cost_stop+AD241+AD247+AD253+AD259)&lt;=0,HM_ZA_Nkossa!CA_gco+AD241+AD247+AD253+AD259&gt;0),HM_ZA_Nkossa!CA_gco+AD32+AD247+AD253+AD259,HM_ZA_Nkossa!CA_cost_stop+AD241+AD247+AD253+AD259)*(CA_PSC_switch_trig=1)</f>
        <v>0</v>
      </c>
      <c r="AE263" s="49">
        <f ca="1">(HM_ZA_Nkossa!CA_cost_stop+AE241+AE247+AE253+AE259)*(CA_PSC_switch_trig=0)+IF(AND((HM_ZA_Nkossa!CA_cost_stop+AE241+AE247+AE253+AE259)&lt;=0,HM_ZA_Nkossa!CA_gco+AE241+AE247+AE253+AE259&gt;0),HM_ZA_Nkossa!CA_gco+AE32+AE247+AE253+AE259,HM_ZA_Nkossa!CA_cost_stop+AE241+AE247+AE253+AE259)*(CA_PSC_switch_trig=1)</f>
        <v>0</v>
      </c>
      <c r="AF263" s="49">
        <f ca="1">(HM_ZA_Nkossa!CA_cost_stop+AF241+AF247+AF253+AF259)*(CA_PSC_switch_trig=0)+IF(AND((HM_ZA_Nkossa!CA_cost_stop+AF241+AF247+AF253+AF259)&lt;=0,HM_ZA_Nkossa!CA_gco+AF241+AF247+AF253+AF259&gt;0),HM_ZA_Nkossa!CA_gco+AF32+AF247+AF253+AF259,HM_ZA_Nkossa!CA_cost_stop+AF241+AF247+AF253+AF259)*(CA_PSC_switch_trig=1)</f>
        <v>0</v>
      </c>
      <c r="AG263" s="49">
        <f ca="1">(HM_ZA_Nkossa!CA_cost_stop+AG241+AG247+AG253+AG259)*(CA_PSC_switch_trig=0)+IF(AND((HM_ZA_Nkossa!CA_cost_stop+AG241+AG247+AG253+AG259)&lt;=0,HM_ZA_Nkossa!CA_gco+AG241+AG247+AG253+AG259&gt;0),HM_ZA_Nkossa!CA_gco+AG32+AG247+AG253+AG259,HM_ZA_Nkossa!CA_cost_stop+AG241+AG247+AG253+AG259)*(CA_PSC_switch_trig=1)</f>
        <v>0</v>
      </c>
      <c r="AH263" s="49">
        <f ca="1">(HM_ZA_Nkossa!CA_cost_stop+AH241+AH247+AH253+AH259)*(CA_PSC_switch_trig=0)+IF(AND((HM_ZA_Nkossa!CA_cost_stop+AH241+AH247+AH253+AH259)&lt;=0,HM_ZA_Nkossa!CA_gco+AH241+AH247+AH253+AH259&gt;0),HM_ZA_Nkossa!CA_gco+AH32+AH247+AH253+AH259,HM_ZA_Nkossa!CA_cost_stop+AH241+AH247+AH253+AH259)*(CA_PSC_switch_trig=1)</f>
        <v>0</v>
      </c>
      <c r="AI263" s="49">
        <f ca="1">(HM_ZA_Nkossa!CA_cost_stop+AI241+AI247+AI253+AI259)*(CA_PSC_switch_trig=0)+IF(AND((HM_ZA_Nkossa!CA_cost_stop+AI241+AI247+AI253+AI259)&lt;=0,HM_ZA_Nkossa!CA_gco+AI241+AI247+AI253+AI259&gt;0),HM_ZA_Nkossa!CA_gco+AI32+AI247+AI253+AI259,HM_ZA_Nkossa!CA_cost_stop+AI241+AI247+AI253+AI259)*(CA_PSC_switch_trig=1)</f>
        <v>0</v>
      </c>
      <c r="AJ263" s="49">
        <f ca="1">(HM_ZA_Nkossa!CA_cost_stop+AJ241+AJ247+AJ253+AJ259)*(CA_PSC_switch_trig=0)+IF(AND((HM_ZA_Nkossa!CA_cost_stop+AJ241+AJ247+AJ253+AJ259)&lt;=0,HM_ZA_Nkossa!CA_gco+AJ241+AJ247+AJ253+AJ259&gt;0),HM_ZA_Nkossa!CA_gco+AJ32+AJ247+AJ253+AJ259,HM_ZA_Nkossa!CA_cost_stop+AJ241+AJ247+AJ253+AJ259)*(CA_PSC_switch_trig=1)</f>
        <v>0</v>
      </c>
      <c r="AK263" s="49">
        <f ca="1">(HM_ZA_Nkossa!CA_cost_stop+AK241+AK247+AK253+AK259)*(CA_PSC_switch_trig=0)+IF(AND((HM_ZA_Nkossa!CA_cost_stop+AK241+AK247+AK253+AK259)&lt;=0,HM_ZA_Nkossa!CA_gco+AK241+AK247+AK253+AK259&gt;0),HM_ZA_Nkossa!CA_gco+AK32+AK247+AK253+AK259,HM_ZA_Nkossa!CA_cost_stop+AK241+AK247+AK253+AK259)*(CA_PSC_switch_trig=1)</f>
        <v>0</v>
      </c>
      <c r="AL263" s="49">
        <f ca="1">(HM_ZA_Nkossa!CA_cost_stop+AL241+AL247+AL253+AL259)*(CA_PSC_switch_trig=0)+IF(AND((HM_ZA_Nkossa!CA_cost_stop+AL241+AL247+AL253+AL259)&lt;=0,HM_ZA_Nkossa!CA_gco+AL241+AL247+AL253+AL259&gt;0),HM_ZA_Nkossa!CA_gco+AL32+AL247+AL253+AL259,HM_ZA_Nkossa!CA_cost_stop+AL241+AL247+AL253+AL259)*(CA_PSC_switch_trig=1)</f>
        <v>0</v>
      </c>
      <c r="AM263" s="49">
        <f ca="1">(HM_ZA_Nkossa!CA_cost_stop+AM241+AM247+AM253+AM259)*(CA_PSC_switch_trig=0)+IF(AND((HM_ZA_Nkossa!CA_cost_stop+AM241+AM247+AM253+AM259)&lt;=0,HM_ZA_Nkossa!CA_gco+AM241+AM247+AM253+AM259&gt;0),HM_ZA_Nkossa!CA_gco+AM32+AM247+AM253+AM259,HM_ZA_Nkossa!CA_cost_stop+AM241+AM247+AM253+AM259)*(CA_PSC_switch_trig=1)</f>
        <v>0</v>
      </c>
      <c r="AN263" s="49">
        <f ca="1">(HM_ZA_Nkossa!CA_cost_stop+AN241+AN247+AN253+AN259)*(CA_PSC_switch_trig=0)+IF(AND((HM_ZA_Nkossa!CA_cost_stop+AN241+AN247+AN253+AN259)&lt;=0,HM_ZA_Nkossa!CA_gco+AN241+AN247+AN253+AN259&gt;0),HM_ZA_Nkossa!CA_gco+AN32+AN247+AN253+AN259,HM_ZA_Nkossa!CA_cost_stop+AN241+AN247+AN253+AN259)*(CA_PSC_switch_trig=1)</f>
        <v>0</v>
      </c>
      <c r="AO263" s="49">
        <f ca="1">(HM_ZA_Nkossa!CA_cost_stop+AO241+AO247+AO253+AO259)*(CA_PSC_switch_trig=0)+IF(AND((HM_ZA_Nkossa!CA_cost_stop+AO241+AO247+AO253+AO259)&lt;=0,HM_ZA_Nkossa!CA_gco+AO241+AO247+AO253+AO259&gt;0),HM_ZA_Nkossa!CA_gco+AO32+AO247+AO253+AO259,HM_ZA_Nkossa!CA_cost_stop+AO241+AO247+AO253+AO259)*(CA_PSC_switch_trig=1)</f>
        <v>0</v>
      </c>
      <c r="AP263" s="49">
        <f ca="1">(HM_ZA_Nkossa!CA_cost_stop+AP241+AP247+AP253+AP259)*(CA_PSC_switch_trig=0)+IF(AND((HM_ZA_Nkossa!CA_cost_stop+AP241+AP247+AP253+AP259)&lt;=0,HM_ZA_Nkossa!CA_gco+AP241+AP247+AP253+AP259&gt;0),HM_ZA_Nkossa!CA_gco+AP32+AP247+AP253+AP259,HM_ZA_Nkossa!CA_cost_stop+AP241+AP247+AP253+AP259)*(CA_PSC_switch_trig=1)</f>
        <v>0</v>
      </c>
      <c r="AQ263" s="49">
        <f ca="1">(HM_ZA_Nkossa!CA_cost_stop+AQ241+AQ247+AQ253+AQ259)*(CA_PSC_switch_trig=0)+IF(AND((HM_ZA_Nkossa!CA_cost_stop+AQ241+AQ247+AQ253+AQ259)&lt;=0,HM_ZA_Nkossa!CA_gco+AQ241+AQ247+AQ253+AQ259&gt;0),HM_ZA_Nkossa!CA_gco+AQ32+AQ247+AQ253+AQ259,HM_ZA_Nkossa!CA_cost_stop+AQ241+AQ247+AQ253+AQ259)*(CA_PSC_switch_trig=1)</f>
        <v>0</v>
      </c>
      <c r="AR263" s="49">
        <f ca="1">(HM_ZA_Nkossa!CA_cost_stop+AR241+AR247+AR253+AR259)*(CA_PSC_switch_trig=0)+IF(AND((HM_ZA_Nkossa!CA_cost_stop+AR241+AR247+AR253+AR259)&lt;=0,HM_ZA_Nkossa!CA_gco+AR241+AR247+AR253+AR259&gt;0),HM_ZA_Nkossa!CA_gco+AR32+AR247+AR253+AR259,HM_ZA_Nkossa!CA_cost_stop+AR241+AR247+AR253+AR259)*(CA_PSC_switch_trig=1)</f>
        <v>0</v>
      </c>
      <c r="AS263" s="49">
        <f ca="1">(HM_ZA_Nkossa!CA_cost_stop+AS241+AS247+AS253+AS259)*(CA_PSC_switch_trig=0)+IF(AND((HM_ZA_Nkossa!CA_cost_stop+AS241+AS247+AS253+AS259)&lt;=0,HM_ZA_Nkossa!CA_gco+AS241+AS247+AS253+AS259&gt;0),HM_ZA_Nkossa!CA_gco+AS32+AS247+AS253+AS259,HM_ZA_Nkossa!CA_cost_stop+AS241+AS247+AS253+AS259)*(CA_PSC_switch_trig=1)</f>
        <v>0</v>
      </c>
      <c r="AT263" s="49">
        <f ca="1">(HM_ZA_Nkossa!CA_cost_stop+AT241+AT247+AT253+AT259)*(CA_PSC_switch_trig=0)+IF(AND((HM_ZA_Nkossa!CA_cost_stop+AT241+AT247+AT253+AT259)&lt;=0,HM_ZA_Nkossa!CA_gco+AT241+AT247+AT253+AT259&gt;0),HM_ZA_Nkossa!CA_gco+AT32+AT247+AT253+AT259,HM_ZA_Nkossa!CA_cost_stop+AT241+AT247+AT253+AT259)*(CA_PSC_switch_trig=1)</f>
        <v>0</v>
      </c>
      <c r="AU263" s="49">
        <f ca="1">(HM_ZA_Nkossa!CA_cost_stop+AU241+AU247+AU253+AU259)*(CA_PSC_switch_trig=0)+IF(AND((HM_ZA_Nkossa!CA_cost_stop+AU241+AU247+AU253+AU259)&lt;=0,HM_ZA_Nkossa!CA_gco+AU241+AU247+AU253+AU259&gt;0),HM_ZA_Nkossa!CA_gco+AU32+AU247+AU253+AU259,HM_ZA_Nkossa!CA_cost_stop+AU241+AU247+AU253+AU259)*(CA_PSC_switch_trig=1)</f>
        <v>0</v>
      </c>
      <c r="AV263" s="49">
        <f ca="1">(HM_ZA_Nkossa!CA_cost_stop+AV241+AV247+AV253+AV259)*(CA_PSC_switch_trig=0)+IF(AND((HM_ZA_Nkossa!CA_cost_stop+AV241+AV247+AV253+AV259)&lt;=0,HM_ZA_Nkossa!CA_gco+AV241+AV247+AV253+AV259&gt;0),HM_ZA_Nkossa!CA_gco+AV32+AV247+AV253+AV259,HM_ZA_Nkossa!CA_cost_stop+AV241+AV247+AV253+AV259)*(CA_PSC_switch_trig=1)</f>
        <v>0</v>
      </c>
      <c r="AW263" s="49">
        <f ca="1">(HM_ZA_Nkossa!CA_cost_stop+AW241+AW247+AW253+AW259)*(CA_PSC_switch_trig=0)+IF(AND((HM_ZA_Nkossa!CA_cost_stop+AW241+AW247+AW253+AW259)&lt;=0,HM_ZA_Nkossa!CA_gco+AW241+AW247+AW253+AW259&gt;0),HM_ZA_Nkossa!CA_gco+AW32+AW247+AW253+AW259,HM_ZA_Nkossa!CA_cost_stop+AW241+AW247+AW253+AW259)*(CA_PSC_switch_trig=1)</f>
        <v>0</v>
      </c>
      <c r="AX263" s="49">
        <f ca="1">(HM_ZA_Nkossa!CA_cost_stop+AX241+AX247+AX253+AX259)*(CA_PSC_switch_trig=0)+IF(AND((HM_ZA_Nkossa!CA_cost_stop+AX241+AX247+AX253+AX259)&lt;=0,HM_ZA_Nkossa!CA_gco+AX241+AX247+AX253+AX259&gt;0),HM_ZA_Nkossa!CA_gco+AX32+AX247+AX253+AX259,HM_ZA_Nkossa!CA_cost_stop+AX241+AX247+AX253+AX259)*(CA_PSC_switch_trig=1)</f>
        <v>0</v>
      </c>
      <c r="AY263" s="49">
        <f ca="1">(HM_ZA_Nkossa!CA_cost_stop+AY241+AY247+AY253+AY259)*(CA_PSC_switch_trig=0)+IF(AND((HM_ZA_Nkossa!CA_cost_stop+AY241+AY247+AY253+AY259)&lt;=0,HM_ZA_Nkossa!CA_gco+AY241+AY247+AY253+AY259&gt;0),HM_ZA_Nkossa!CA_gco+AY32+AY247+AY253+AY259,HM_ZA_Nkossa!CA_cost_stop+AY241+AY247+AY253+AY259)*(CA_PSC_switch_trig=1)</f>
        <v>0</v>
      </c>
      <c r="AZ263" s="49">
        <f ca="1">(HM_ZA_Nkossa!CA_cost_stop+AZ241+AZ247+AZ253+AZ259)*(CA_PSC_switch_trig=0)+IF(AND((HM_ZA_Nkossa!CA_cost_stop+AZ241+AZ247+AZ253+AZ259)&lt;=0,HM_ZA_Nkossa!CA_gco+AZ241+AZ247+AZ253+AZ259&gt;0),HM_ZA_Nkossa!CA_gco+AZ32+AZ247+AZ253+AZ259,HM_ZA_Nkossa!CA_cost_stop+AZ241+AZ247+AZ253+AZ259)*(CA_PSC_switch_trig=1)</f>
        <v>0</v>
      </c>
      <c r="BA263" s="49">
        <f ca="1">(HM_ZA_Nkossa!CA_cost_stop+BA241+BA247+BA253+BA259)*(CA_PSC_switch_trig=0)+IF(AND((HM_ZA_Nkossa!CA_cost_stop+BA241+BA247+BA253+BA259)&lt;=0,HM_ZA_Nkossa!CA_gco+BA241+BA247+BA253+BA259&gt;0),HM_ZA_Nkossa!CA_gco+BA32+BA247+BA253+BA259,HM_ZA_Nkossa!CA_cost_stop+BA241+BA247+BA253+BA259)*(CA_PSC_switch_trig=1)</f>
        <v>0</v>
      </c>
      <c r="BB263" s="49">
        <f ca="1">(HM_ZA_Nkossa!CA_cost_stop+BB241+BB247+BB253+BB259)*(CA_PSC_switch_trig=0)+IF(AND((HM_ZA_Nkossa!CA_cost_stop+BB241+BB247+BB253+BB259)&lt;=0,HM_ZA_Nkossa!CA_gco+BB241+BB247+BB253+BB259&gt;0),HM_ZA_Nkossa!CA_gco+BB32+BB247+BB253+BB259,HM_ZA_Nkossa!CA_cost_stop+BB241+BB247+BB253+BB259)*(CA_PSC_switch_trig=1)</f>
        <v>0</v>
      </c>
      <c r="BC263" s="49">
        <f ca="1">(HM_ZA_Nkossa!CA_cost_stop+BC241+BC247+BC253+BC259)*(CA_PSC_switch_trig=0)+IF(AND((HM_ZA_Nkossa!CA_cost_stop+BC241+BC247+BC253+BC259)&lt;=0,HM_ZA_Nkossa!CA_gco+BC241+BC247+BC253+BC259&gt;0),HM_ZA_Nkossa!CA_gco+BC32+BC247+BC253+BC259,HM_ZA_Nkossa!CA_cost_stop+BC241+BC247+BC253+BC259)*(CA_PSC_switch_trig=1)</f>
        <v>0</v>
      </c>
      <c r="BD263" s="49">
        <f ca="1">(HM_ZA_Nkossa!CA_cost_stop+BD241+BD247+BD253+BD259)*(CA_PSC_switch_trig=0)+IF(AND((HM_ZA_Nkossa!CA_cost_stop+BD241+BD247+BD253+BD259)&lt;=0,HM_ZA_Nkossa!CA_gco+BD241+BD247+BD253+BD259&gt;0),HM_ZA_Nkossa!CA_gco+BD32+BD247+BD253+BD259,HM_ZA_Nkossa!CA_cost_stop+BD241+BD247+BD253+BD259)*(CA_PSC_switch_trig=1)</f>
        <v>0</v>
      </c>
      <c r="BE263" s="49">
        <f ca="1">(HM_ZA_Nkossa!CA_cost_stop+BE241+BE247+BE253+BE259)*(CA_PSC_switch_trig=0)+IF(AND((HM_ZA_Nkossa!CA_cost_stop+BE241+BE247+BE253+BE259)&lt;=0,HM_ZA_Nkossa!CA_gco+BE241+BE247+BE253+BE259&gt;0),HM_ZA_Nkossa!CA_gco+BE32+BE247+BE253+BE259,HM_ZA_Nkossa!CA_cost_stop+BE241+BE247+BE253+BE259)*(CA_PSC_switch_trig=1)</f>
        <v>0</v>
      </c>
      <c r="BF263" s="49">
        <f ca="1">(HM_ZA_Nkossa!CA_cost_stop+BF241+BF247+BF253+BF259)*(CA_PSC_switch_trig=0)+IF(AND((HM_ZA_Nkossa!CA_cost_stop+BF241+BF247+BF253+BF259)&lt;=0,HM_ZA_Nkossa!CA_gco+BF241+BF247+BF253+BF259&gt;0),HM_ZA_Nkossa!CA_gco+BF32+BF247+BF253+BF259,HM_ZA_Nkossa!CA_cost_stop+BF241+BF247+BF253+BF259)*(CA_PSC_switch_trig=1)</f>
        <v>0</v>
      </c>
      <c r="BG263" s="49">
        <f ca="1">(HM_ZA_Nkossa!CA_cost_stop+BG241+BG247+BG253+BG259)*(CA_PSC_switch_trig=0)+IF(AND((HM_ZA_Nkossa!CA_cost_stop+BG241+BG247+BG253+BG259)&lt;=0,HM_ZA_Nkossa!CA_gco+BG241+BG247+BG253+BG259&gt;0),HM_ZA_Nkossa!CA_gco+BG32+BG247+BG253+BG259,HM_ZA_Nkossa!CA_cost_stop+BG241+BG247+BG253+BG259)*(CA_PSC_switch_trig=1)</f>
        <v>0</v>
      </c>
      <c r="BH263" s="49">
        <f ca="1">(HM_ZA_Nkossa!CA_cost_stop+BH241+BH247+BH253+BH259)*(CA_PSC_switch_trig=0)+IF(AND((HM_ZA_Nkossa!CA_cost_stop+BH241+BH247+BH253+BH259)&lt;=0,HM_ZA_Nkossa!CA_gco+BH241+BH247+BH253+BH259&gt;0),HM_ZA_Nkossa!CA_gco+BH32+BH247+BH253+BH259,HM_ZA_Nkossa!CA_cost_stop+BH241+BH247+BH253+BH259)*(CA_PSC_switch_trig=1)</f>
        <v>0</v>
      </c>
      <c r="BI263" s="49">
        <f ca="1">(HM_ZA_Nkossa!CA_cost_stop+BI241+BI247+BI253+BI259)*(CA_PSC_switch_trig=0)+IF(AND((HM_ZA_Nkossa!CA_cost_stop+BI241+BI247+BI253+BI259)&lt;=0,HM_ZA_Nkossa!CA_gco+BI241+BI247+BI253+BI259&gt;0),HM_ZA_Nkossa!CA_gco+BI32+BI247+BI253+BI259,HM_ZA_Nkossa!CA_cost_stop+BI241+BI247+BI253+BI259)*(CA_PSC_switch_trig=1)</f>
        <v>0</v>
      </c>
      <c r="BJ263" s="49">
        <f ca="1">(HM_ZA_Nkossa!CA_cost_stop+BJ241+BJ247+BJ253+BJ259)*(CA_PSC_switch_trig=0)+IF(AND((HM_ZA_Nkossa!CA_cost_stop+BJ241+BJ247+BJ253+BJ259)&lt;=0,HM_ZA_Nkossa!CA_gco+BJ241+BJ247+BJ253+BJ259&gt;0),HM_ZA_Nkossa!CA_gco+BJ32+BJ247+BJ253+BJ259,HM_ZA_Nkossa!CA_cost_stop+BJ241+BJ247+BJ253+BJ259)*(CA_PSC_switch_trig=1)</f>
        <v>0</v>
      </c>
      <c r="BK263" s="49">
        <f ca="1">(HM_ZA_Nkossa!CA_cost_stop+BK241+BK247+BK253+BK259)*(CA_PSC_switch_trig=0)+IF(AND((HM_ZA_Nkossa!CA_cost_stop+BK241+BK247+BK253+BK259)&lt;=0,HM_ZA_Nkossa!CA_gco+BK241+BK247+BK253+BK259&gt;0),HM_ZA_Nkossa!CA_gco+BK32+BK247+BK253+BK259,HM_ZA_Nkossa!CA_cost_stop+BK241+BK247+BK253+BK259)*(CA_PSC_switch_trig=1)</f>
        <v>0</v>
      </c>
      <c r="BL263" s="49">
        <f ca="1">(HM_ZA_Nkossa!CA_cost_stop+BL241+BL247+BL253+BL259)*(CA_PSC_switch_trig=0)+IF(AND((HM_ZA_Nkossa!CA_cost_stop+BL241+BL247+BL253+BL259)&lt;=0,HM_ZA_Nkossa!CA_gco+BL241+BL247+BL253+BL259&gt;0),HM_ZA_Nkossa!CA_gco+BL32+BL247+BL253+BL259,HM_ZA_Nkossa!CA_cost_stop+BL241+BL247+BL253+BL259)*(CA_PSC_switch_trig=1)</f>
        <v>0</v>
      </c>
      <c r="BM263" s="49">
        <f ca="1">(HM_ZA_Nkossa!CA_cost_stop+BM241+BM247+BM253+BM259)*(CA_PSC_switch_trig=0)+IF(AND((HM_ZA_Nkossa!CA_cost_stop+BM241+BM247+BM253+BM259)&lt;=0,HM_ZA_Nkossa!CA_gco+BM241+BM247+BM253+BM259&gt;0),HM_ZA_Nkossa!CA_gco+BM32+BM247+BM253+BM259,HM_ZA_Nkossa!CA_cost_stop+BM241+BM247+BM253+BM259)*(CA_PSC_switch_trig=1)</f>
        <v>0</v>
      </c>
      <c r="BN263" s="49">
        <f ca="1">(HM_ZA_Nkossa!CA_cost_stop+BN241+BN247+BN253+BN259)*(CA_PSC_switch_trig=0)+IF(AND((HM_ZA_Nkossa!CA_cost_stop+BN241+BN247+BN253+BN259)&lt;=0,HM_ZA_Nkossa!CA_gco+BN241+BN247+BN253+BN259&gt;0),HM_ZA_Nkossa!CA_gco+BN32+BN247+BN253+BN259,HM_ZA_Nkossa!CA_cost_stop+BN241+BN247+BN253+BN259)*(CA_PSC_switch_trig=1)</f>
        <v>0</v>
      </c>
      <c r="BO263" s="49">
        <f ca="1">(HM_ZA_Nkossa!CA_cost_stop+BO241+BO247+BO253+BO259)*(CA_PSC_switch_trig=0)+IF(AND((HM_ZA_Nkossa!CA_cost_stop+BO241+BO247+BO253+BO259)&lt;=0,HM_ZA_Nkossa!CA_gco+BO241+BO247+BO253+BO259&gt;0),HM_ZA_Nkossa!CA_gco+BO32+BO247+BO253+BO259,HM_ZA_Nkossa!CA_cost_stop+BO241+BO247+BO253+BO259)*(CA_PSC_switch_trig=1)</f>
        <v>0</v>
      </c>
      <c r="BP263" s="49">
        <f ca="1">(HM_ZA_Nkossa!CA_cost_stop+BP241+BP247+BP253+BP259)*(CA_PSC_switch_trig=0)+IF(AND((HM_ZA_Nkossa!CA_cost_stop+BP241+BP247+BP253+BP259)&lt;=0,HM_ZA_Nkossa!CA_gco+BP241+BP247+BP253+BP259&gt;0),HM_ZA_Nkossa!CA_gco+BP32+BP247+BP253+BP259,HM_ZA_Nkossa!CA_cost_stop+BP241+BP247+BP253+BP259)*(CA_PSC_switch_trig=1)</f>
        <v>0</v>
      </c>
      <c r="BQ263" s="49">
        <f ca="1">(HM_ZA_Nkossa!CA_cost_stop+BQ241+BQ247+BQ253+BQ259)*(CA_PSC_switch_trig=0)+IF(AND((HM_ZA_Nkossa!CA_cost_stop+BQ241+BQ247+BQ253+BQ259)&lt;=0,HM_ZA_Nkossa!CA_gco+BQ241+BQ247+BQ253+BQ259&gt;0),HM_ZA_Nkossa!CA_gco+BQ32+BQ247+BQ253+BQ259,HM_ZA_Nkossa!CA_cost_stop+BQ241+BQ247+BQ253+BQ259)*(CA_PSC_switch_trig=1)</f>
        <v>0</v>
      </c>
      <c r="BR263" s="49">
        <f ca="1">(HM_ZA_Nkossa!CA_cost_stop+BR241+BR247+BR253+BR259)*(CA_PSC_switch_trig=0)+IF(AND((HM_ZA_Nkossa!CA_cost_stop+BR241+BR247+BR253+BR259)&lt;=0,HM_ZA_Nkossa!CA_gco+BR241+BR247+BR253+BR259&gt;0),HM_ZA_Nkossa!CA_gco+BR32+BR247+BR253+BR259,HM_ZA_Nkossa!CA_cost_stop+BR241+BR247+BR253+BR259)*(CA_PSC_switch_trig=1)</f>
        <v>0</v>
      </c>
      <c r="BS263" s="49">
        <f ca="1">(HM_ZA_Nkossa!CA_cost_stop+BS241+BS247+BS253+BS259)*(CA_PSC_switch_trig=0)+IF(AND((HM_ZA_Nkossa!CA_cost_stop+BS241+BS247+BS253+BS259)&lt;=0,HM_ZA_Nkossa!CA_gco+BS241+BS247+BS253+BS259&gt;0),HM_ZA_Nkossa!CA_gco+BS32+BS247+BS253+BS259,HM_ZA_Nkossa!CA_cost_stop+BS241+BS247+BS253+BS259)*(CA_PSC_switch_trig=1)</f>
        <v>0</v>
      </c>
    </row>
    <row r="264" spans="3:71" outlineLevel="1" x14ac:dyDescent="0.2">
      <c r="E264" t="str">
        <f>CHOOSE(db_ML_selected,'Liste Traduction'!B332,'Liste Traduction'!C332)</f>
        <v>Abandon cumulées à récupérer</v>
      </c>
      <c r="I264" s="30">
        <f>I232</f>
        <v>0</v>
      </c>
      <c r="J264" s="26" t="s">
        <v>148</v>
      </c>
      <c r="L264" s="49">
        <f t="shared" ref="L264:AQ264" ca="1" si="67">CA_decom_to_recover+(K266*(1+int_rate_cf_costs))</f>
        <v>31.151</v>
      </c>
      <c r="M264" s="49">
        <f t="shared" ca="1" si="67"/>
        <v>99.655999999999992</v>
      </c>
      <c r="N264" s="49">
        <f t="shared" ca="1" si="67"/>
        <v>225.69</v>
      </c>
      <c r="O264" s="49">
        <f t="shared" ca="1" si="67"/>
        <v>403.58299999999997</v>
      </c>
      <c r="P264" s="49">
        <f t="shared" ca="1" si="67"/>
        <v>624.62</v>
      </c>
      <c r="Q264" s="49">
        <f t="shared" ca="1" si="67"/>
        <v>879.18799999999999</v>
      </c>
      <c r="R264" s="49">
        <f t="shared" ca="1" si="67"/>
        <v>1158.403</v>
      </c>
      <c r="S264" s="49">
        <f t="shared" ca="1" si="67"/>
        <v>1158.403</v>
      </c>
      <c r="T264" s="49">
        <f t="shared" ca="1" si="67"/>
        <v>1158.403</v>
      </c>
      <c r="U264" s="49">
        <f t="shared" ca="1" si="67"/>
        <v>1158.403</v>
      </c>
      <c r="V264" s="49">
        <f t="shared" ca="1" si="67"/>
        <v>1158.403</v>
      </c>
      <c r="W264" s="49">
        <f t="shared" ca="1" si="67"/>
        <v>1158.403</v>
      </c>
      <c r="X264" s="49">
        <f t="shared" ca="1" si="67"/>
        <v>1158.403</v>
      </c>
      <c r="Y264" s="49">
        <f t="shared" ca="1" si="67"/>
        <v>1158.403</v>
      </c>
      <c r="Z264" s="49">
        <f t="shared" ca="1" si="67"/>
        <v>1158.403</v>
      </c>
      <c r="AA264" s="49">
        <f t="shared" ca="1" si="67"/>
        <v>1158.403</v>
      </c>
      <c r="AB264" s="49">
        <f t="shared" ca="1" si="67"/>
        <v>1158.403</v>
      </c>
      <c r="AC264" s="49">
        <f t="shared" ca="1" si="67"/>
        <v>1158.403</v>
      </c>
      <c r="AD264" s="49">
        <f t="shared" ca="1" si="67"/>
        <v>1158.403</v>
      </c>
      <c r="AE264" s="49">
        <f t="shared" ca="1" si="67"/>
        <v>1158.403</v>
      </c>
      <c r="AF264" s="49">
        <f t="shared" ca="1" si="67"/>
        <v>1158.403</v>
      </c>
      <c r="AG264" s="49">
        <f t="shared" ca="1" si="67"/>
        <v>1158.403</v>
      </c>
      <c r="AH264" s="49">
        <f t="shared" ca="1" si="67"/>
        <v>1158.403</v>
      </c>
      <c r="AI264" s="49">
        <f t="shared" ca="1" si="67"/>
        <v>1158.403</v>
      </c>
      <c r="AJ264" s="49">
        <f t="shared" ca="1" si="67"/>
        <v>1158.403</v>
      </c>
      <c r="AK264" s="49">
        <f t="shared" ca="1" si="67"/>
        <v>1158.403</v>
      </c>
      <c r="AL264" s="49">
        <f t="shared" ca="1" si="67"/>
        <v>1158.403</v>
      </c>
      <c r="AM264" s="49">
        <f t="shared" ca="1" si="67"/>
        <v>1158.403</v>
      </c>
      <c r="AN264" s="49">
        <f t="shared" ca="1" si="67"/>
        <v>1158.403</v>
      </c>
      <c r="AO264" s="49">
        <f t="shared" ca="1" si="67"/>
        <v>1158.403</v>
      </c>
      <c r="AP264" s="49">
        <f t="shared" ca="1" si="67"/>
        <v>1158.403</v>
      </c>
      <c r="AQ264" s="49">
        <f t="shared" ca="1" si="67"/>
        <v>1158.403</v>
      </c>
      <c r="AR264" s="49">
        <f t="shared" ref="AR264:BS264" ca="1" si="68">CA_decom_to_recover+(AQ266*(1+int_rate_cf_costs))</f>
        <v>1158.403</v>
      </c>
      <c r="AS264" s="49">
        <f t="shared" ca="1" si="68"/>
        <v>1158.403</v>
      </c>
      <c r="AT264" s="49">
        <f t="shared" ca="1" si="68"/>
        <v>1158.403</v>
      </c>
      <c r="AU264" s="49">
        <f t="shared" ca="1" si="68"/>
        <v>1158.403</v>
      </c>
      <c r="AV264" s="49">
        <f t="shared" ca="1" si="68"/>
        <v>1158.403</v>
      </c>
      <c r="AW264" s="49">
        <f t="shared" ca="1" si="68"/>
        <v>1158.403</v>
      </c>
      <c r="AX264" s="49">
        <f t="shared" ca="1" si="68"/>
        <v>1158.403</v>
      </c>
      <c r="AY264" s="49">
        <f t="shared" ca="1" si="68"/>
        <v>1158.403</v>
      </c>
      <c r="AZ264" s="49">
        <f t="shared" ca="1" si="68"/>
        <v>1158.403</v>
      </c>
      <c r="BA264" s="49">
        <f t="shared" ca="1" si="68"/>
        <v>1158.403</v>
      </c>
      <c r="BB264" s="49">
        <f t="shared" ca="1" si="68"/>
        <v>1158.403</v>
      </c>
      <c r="BC264" s="49">
        <f t="shared" ca="1" si="68"/>
        <v>1158.403</v>
      </c>
      <c r="BD264" s="49">
        <f t="shared" ca="1" si="68"/>
        <v>1158.403</v>
      </c>
      <c r="BE264" s="49">
        <f t="shared" ca="1" si="68"/>
        <v>1158.403</v>
      </c>
      <c r="BF264" s="49">
        <f t="shared" ca="1" si="68"/>
        <v>1158.403</v>
      </c>
      <c r="BG264" s="49">
        <f t="shared" ca="1" si="68"/>
        <v>1158.403</v>
      </c>
      <c r="BH264" s="49">
        <f t="shared" ca="1" si="68"/>
        <v>1158.403</v>
      </c>
      <c r="BI264" s="49">
        <f t="shared" ca="1" si="68"/>
        <v>1158.403</v>
      </c>
      <c r="BJ264" s="49">
        <f t="shared" ca="1" si="68"/>
        <v>1158.403</v>
      </c>
      <c r="BK264" s="49">
        <f t="shared" ca="1" si="68"/>
        <v>1158.403</v>
      </c>
      <c r="BL264" s="49">
        <f t="shared" ca="1" si="68"/>
        <v>1158.403</v>
      </c>
      <c r="BM264" s="49">
        <f t="shared" ca="1" si="68"/>
        <v>1158.403</v>
      </c>
      <c r="BN264" s="49">
        <f t="shared" ca="1" si="68"/>
        <v>1158.403</v>
      </c>
      <c r="BO264" s="49">
        <f t="shared" ca="1" si="68"/>
        <v>1158.403</v>
      </c>
      <c r="BP264" s="49">
        <f t="shared" ca="1" si="68"/>
        <v>1158.403</v>
      </c>
      <c r="BQ264" s="49">
        <f t="shared" ca="1" si="68"/>
        <v>1158.403</v>
      </c>
      <c r="BR264" s="49">
        <f t="shared" ca="1" si="68"/>
        <v>1158.403</v>
      </c>
      <c r="BS264" s="49">
        <f t="shared" ca="1" si="68"/>
        <v>1158.403</v>
      </c>
    </row>
    <row r="265" spans="3:71" outlineLevel="1" x14ac:dyDescent="0.2">
      <c r="E265" t="str">
        <f>CHOOSE(db_ML_selected,'Liste Traduction'!B333,'Liste Traduction'!C333)</f>
        <v>Abandon récupérées</v>
      </c>
      <c r="H265" s="56" t="b">
        <f ca="1">ROUND(I265,2)=-ROUND(I264,2)</f>
        <v>1</v>
      </c>
      <c r="I265" s="30">
        <f t="shared" ca="1" si="62"/>
        <v>0</v>
      </c>
      <c r="J265" s="26" t="s">
        <v>148</v>
      </c>
      <c r="L265" s="49">
        <f ca="1">-MIN(L264,L263)</f>
        <v>0</v>
      </c>
      <c r="M265" s="49">
        <f t="shared" ref="M265:BS265" ca="1" si="69">-MIN(M264,M263)</f>
        <v>0</v>
      </c>
      <c r="N265" s="49">
        <f t="shared" ca="1" si="69"/>
        <v>0</v>
      </c>
      <c r="O265" s="49">
        <f t="shared" ca="1" si="69"/>
        <v>0</v>
      </c>
      <c r="P265" s="49">
        <f t="shared" ca="1" si="69"/>
        <v>0</v>
      </c>
      <c r="Q265" s="49">
        <f t="shared" ca="1" si="69"/>
        <v>0</v>
      </c>
      <c r="R265" s="49">
        <f t="shared" ca="1" si="69"/>
        <v>0</v>
      </c>
      <c r="S265" s="49">
        <f t="shared" ca="1" si="69"/>
        <v>0</v>
      </c>
      <c r="T265" s="49">
        <f t="shared" ca="1" si="69"/>
        <v>0</v>
      </c>
      <c r="U265" s="49">
        <f t="shared" ca="1" si="69"/>
        <v>0</v>
      </c>
      <c r="V265" s="49">
        <f t="shared" ca="1" si="69"/>
        <v>0</v>
      </c>
      <c r="W265" s="49">
        <f t="shared" ca="1" si="69"/>
        <v>0</v>
      </c>
      <c r="X265" s="49">
        <f t="shared" ca="1" si="69"/>
        <v>0</v>
      </c>
      <c r="Y265" s="49">
        <f t="shared" ca="1" si="69"/>
        <v>0</v>
      </c>
      <c r="Z265" s="49">
        <f t="shared" ca="1" si="69"/>
        <v>0</v>
      </c>
      <c r="AA265" s="49">
        <f t="shared" ca="1" si="69"/>
        <v>0</v>
      </c>
      <c r="AB265" s="49">
        <f t="shared" ca="1" si="69"/>
        <v>0</v>
      </c>
      <c r="AC265" s="49">
        <f t="shared" ca="1" si="69"/>
        <v>0</v>
      </c>
      <c r="AD265" s="49">
        <f t="shared" ca="1" si="69"/>
        <v>0</v>
      </c>
      <c r="AE265" s="49">
        <f t="shared" ca="1" si="69"/>
        <v>0</v>
      </c>
      <c r="AF265" s="49">
        <f t="shared" ca="1" si="69"/>
        <v>0</v>
      </c>
      <c r="AG265" s="49">
        <f t="shared" ca="1" si="69"/>
        <v>0</v>
      </c>
      <c r="AH265" s="49">
        <f t="shared" ca="1" si="69"/>
        <v>0</v>
      </c>
      <c r="AI265" s="49">
        <f t="shared" ca="1" si="69"/>
        <v>0</v>
      </c>
      <c r="AJ265" s="49">
        <f t="shared" ca="1" si="69"/>
        <v>0</v>
      </c>
      <c r="AK265" s="49">
        <f t="shared" ca="1" si="69"/>
        <v>0</v>
      </c>
      <c r="AL265" s="49">
        <f t="shared" ca="1" si="69"/>
        <v>0</v>
      </c>
      <c r="AM265" s="49">
        <f t="shared" ca="1" si="69"/>
        <v>0</v>
      </c>
      <c r="AN265" s="49">
        <f t="shared" ca="1" si="69"/>
        <v>0</v>
      </c>
      <c r="AO265" s="49">
        <f t="shared" ca="1" si="69"/>
        <v>0</v>
      </c>
      <c r="AP265" s="49">
        <f t="shared" ca="1" si="69"/>
        <v>0</v>
      </c>
      <c r="AQ265" s="49">
        <f t="shared" ca="1" si="69"/>
        <v>0</v>
      </c>
      <c r="AR265" s="49">
        <f t="shared" ca="1" si="69"/>
        <v>0</v>
      </c>
      <c r="AS265" s="49">
        <f t="shared" ca="1" si="69"/>
        <v>0</v>
      </c>
      <c r="AT265" s="49">
        <f t="shared" ca="1" si="69"/>
        <v>0</v>
      </c>
      <c r="AU265" s="49">
        <f t="shared" ca="1" si="69"/>
        <v>0</v>
      </c>
      <c r="AV265" s="49">
        <f t="shared" ca="1" si="69"/>
        <v>0</v>
      </c>
      <c r="AW265" s="49">
        <f t="shared" ca="1" si="69"/>
        <v>0</v>
      </c>
      <c r="AX265" s="49">
        <f t="shared" ca="1" si="69"/>
        <v>0</v>
      </c>
      <c r="AY265" s="49">
        <f t="shared" ca="1" si="69"/>
        <v>0</v>
      </c>
      <c r="AZ265" s="49">
        <f t="shared" ca="1" si="69"/>
        <v>0</v>
      </c>
      <c r="BA265" s="49">
        <f t="shared" ca="1" si="69"/>
        <v>0</v>
      </c>
      <c r="BB265" s="49">
        <f t="shared" ca="1" si="69"/>
        <v>0</v>
      </c>
      <c r="BC265" s="49">
        <f t="shared" ca="1" si="69"/>
        <v>0</v>
      </c>
      <c r="BD265" s="49">
        <f t="shared" ca="1" si="69"/>
        <v>0</v>
      </c>
      <c r="BE265" s="49">
        <f t="shared" ca="1" si="69"/>
        <v>0</v>
      </c>
      <c r="BF265" s="49">
        <f t="shared" ca="1" si="69"/>
        <v>0</v>
      </c>
      <c r="BG265" s="49">
        <f t="shared" ca="1" si="69"/>
        <v>0</v>
      </c>
      <c r="BH265" s="49">
        <f t="shared" ca="1" si="69"/>
        <v>0</v>
      </c>
      <c r="BI265" s="49">
        <f t="shared" ca="1" si="69"/>
        <v>0</v>
      </c>
      <c r="BJ265" s="49">
        <f t="shared" ca="1" si="69"/>
        <v>0</v>
      </c>
      <c r="BK265" s="49">
        <f t="shared" ca="1" si="69"/>
        <v>0</v>
      </c>
      <c r="BL265" s="49">
        <f t="shared" ca="1" si="69"/>
        <v>0</v>
      </c>
      <c r="BM265" s="49">
        <f t="shared" ca="1" si="69"/>
        <v>0</v>
      </c>
      <c r="BN265" s="49">
        <f t="shared" ca="1" si="69"/>
        <v>0</v>
      </c>
      <c r="BO265" s="49">
        <f t="shared" ca="1" si="69"/>
        <v>0</v>
      </c>
      <c r="BP265" s="49">
        <f t="shared" ca="1" si="69"/>
        <v>0</v>
      </c>
      <c r="BQ265" s="49">
        <f t="shared" ca="1" si="69"/>
        <v>0</v>
      </c>
      <c r="BR265" s="49">
        <f t="shared" ca="1" si="69"/>
        <v>0</v>
      </c>
      <c r="BS265" s="49">
        <f t="shared" ca="1" si="69"/>
        <v>0</v>
      </c>
    </row>
    <row r="266" spans="3:71" outlineLevel="1" x14ac:dyDescent="0.2">
      <c r="E266" t="str">
        <f>E260</f>
        <v xml:space="preserve">Sous/(Sur)récupération </v>
      </c>
      <c r="J266" s="26"/>
      <c r="L266" s="49">
        <f ca="1">L264+L265</f>
        <v>31.151</v>
      </c>
      <c r="M266" s="49">
        <f t="shared" ref="M266:BS266" ca="1" si="70">M264+M265</f>
        <v>99.655999999999992</v>
      </c>
      <c r="N266" s="49">
        <f t="shared" ca="1" si="70"/>
        <v>225.69</v>
      </c>
      <c r="O266" s="49">
        <f t="shared" ca="1" si="70"/>
        <v>403.58299999999997</v>
      </c>
      <c r="P266" s="49">
        <f t="shared" ca="1" si="70"/>
        <v>624.62</v>
      </c>
      <c r="Q266" s="49">
        <f t="shared" ca="1" si="70"/>
        <v>879.18799999999999</v>
      </c>
      <c r="R266" s="49">
        <f t="shared" ca="1" si="70"/>
        <v>1158.403</v>
      </c>
      <c r="S266" s="49">
        <f t="shared" ca="1" si="70"/>
        <v>1158.403</v>
      </c>
      <c r="T266" s="49">
        <f t="shared" ca="1" si="70"/>
        <v>1158.403</v>
      </c>
      <c r="U266" s="49">
        <f t="shared" ca="1" si="70"/>
        <v>1158.403</v>
      </c>
      <c r="V266" s="49">
        <f t="shared" ca="1" si="70"/>
        <v>1158.403</v>
      </c>
      <c r="W266" s="49">
        <f t="shared" ca="1" si="70"/>
        <v>1158.403</v>
      </c>
      <c r="X266" s="49">
        <f t="shared" ca="1" si="70"/>
        <v>1158.403</v>
      </c>
      <c r="Y266" s="49">
        <f t="shared" ca="1" si="70"/>
        <v>1158.403</v>
      </c>
      <c r="Z266" s="49">
        <f t="shared" ca="1" si="70"/>
        <v>1158.403</v>
      </c>
      <c r="AA266" s="49">
        <f t="shared" ca="1" si="70"/>
        <v>1158.403</v>
      </c>
      <c r="AB266" s="49">
        <f t="shared" ca="1" si="70"/>
        <v>1158.403</v>
      </c>
      <c r="AC266" s="49">
        <f t="shared" ca="1" si="70"/>
        <v>1158.403</v>
      </c>
      <c r="AD266" s="49">
        <f t="shared" ca="1" si="70"/>
        <v>1158.403</v>
      </c>
      <c r="AE266" s="49">
        <f t="shared" ca="1" si="70"/>
        <v>1158.403</v>
      </c>
      <c r="AF266" s="49">
        <f t="shared" ca="1" si="70"/>
        <v>1158.403</v>
      </c>
      <c r="AG266" s="49">
        <f t="shared" ca="1" si="70"/>
        <v>1158.403</v>
      </c>
      <c r="AH266" s="49">
        <f t="shared" ca="1" si="70"/>
        <v>1158.403</v>
      </c>
      <c r="AI266" s="49">
        <f t="shared" ca="1" si="70"/>
        <v>1158.403</v>
      </c>
      <c r="AJ266" s="49">
        <f t="shared" ca="1" si="70"/>
        <v>1158.403</v>
      </c>
      <c r="AK266" s="49">
        <f t="shared" ca="1" si="70"/>
        <v>1158.403</v>
      </c>
      <c r="AL266" s="49">
        <f t="shared" ca="1" si="70"/>
        <v>1158.403</v>
      </c>
      <c r="AM266" s="49">
        <f t="shared" ca="1" si="70"/>
        <v>1158.403</v>
      </c>
      <c r="AN266" s="49">
        <f t="shared" ca="1" si="70"/>
        <v>1158.403</v>
      </c>
      <c r="AO266" s="49">
        <f t="shared" ca="1" si="70"/>
        <v>1158.403</v>
      </c>
      <c r="AP266" s="49">
        <f t="shared" ca="1" si="70"/>
        <v>1158.403</v>
      </c>
      <c r="AQ266" s="49">
        <f t="shared" ca="1" si="70"/>
        <v>1158.403</v>
      </c>
      <c r="AR266" s="49">
        <f t="shared" ca="1" si="70"/>
        <v>1158.403</v>
      </c>
      <c r="AS266" s="49">
        <f t="shared" ca="1" si="70"/>
        <v>1158.403</v>
      </c>
      <c r="AT266" s="49">
        <f t="shared" ca="1" si="70"/>
        <v>1158.403</v>
      </c>
      <c r="AU266" s="49">
        <f t="shared" ca="1" si="70"/>
        <v>1158.403</v>
      </c>
      <c r="AV266" s="49">
        <f t="shared" ca="1" si="70"/>
        <v>1158.403</v>
      </c>
      <c r="AW266" s="49">
        <f t="shared" ca="1" si="70"/>
        <v>1158.403</v>
      </c>
      <c r="AX266" s="49">
        <f t="shared" ca="1" si="70"/>
        <v>1158.403</v>
      </c>
      <c r="AY266" s="49">
        <f t="shared" ca="1" si="70"/>
        <v>1158.403</v>
      </c>
      <c r="AZ266" s="49">
        <f t="shared" ca="1" si="70"/>
        <v>1158.403</v>
      </c>
      <c r="BA266" s="49">
        <f t="shared" ca="1" si="70"/>
        <v>1158.403</v>
      </c>
      <c r="BB266" s="49">
        <f t="shared" ca="1" si="70"/>
        <v>1158.403</v>
      </c>
      <c r="BC266" s="49">
        <f t="shared" ca="1" si="70"/>
        <v>1158.403</v>
      </c>
      <c r="BD266" s="49">
        <f t="shared" ca="1" si="70"/>
        <v>1158.403</v>
      </c>
      <c r="BE266" s="49">
        <f t="shared" ca="1" si="70"/>
        <v>1158.403</v>
      </c>
      <c r="BF266" s="49">
        <f t="shared" ca="1" si="70"/>
        <v>1158.403</v>
      </c>
      <c r="BG266" s="49">
        <f t="shared" ca="1" si="70"/>
        <v>1158.403</v>
      </c>
      <c r="BH266" s="49">
        <f t="shared" ca="1" si="70"/>
        <v>1158.403</v>
      </c>
      <c r="BI266" s="49">
        <f t="shared" ca="1" si="70"/>
        <v>1158.403</v>
      </c>
      <c r="BJ266" s="49">
        <f t="shared" ca="1" si="70"/>
        <v>1158.403</v>
      </c>
      <c r="BK266" s="49">
        <f t="shared" ca="1" si="70"/>
        <v>1158.403</v>
      </c>
      <c r="BL266" s="49">
        <f t="shared" ca="1" si="70"/>
        <v>1158.403</v>
      </c>
      <c r="BM266" s="49">
        <f t="shared" ca="1" si="70"/>
        <v>1158.403</v>
      </c>
      <c r="BN266" s="49">
        <f t="shared" ca="1" si="70"/>
        <v>1158.403</v>
      </c>
      <c r="BO266" s="49">
        <f t="shared" ca="1" si="70"/>
        <v>1158.403</v>
      </c>
      <c r="BP266" s="49">
        <f t="shared" ca="1" si="70"/>
        <v>1158.403</v>
      </c>
      <c r="BQ266" s="49">
        <f t="shared" ca="1" si="70"/>
        <v>1158.403</v>
      </c>
      <c r="BR266" s="49">
        <f t="shared" ca="1" si="70"/>
        <v>1158.403</v>
      </c>
      <c r="BS266" s="49">
        <f t="shared" ca="1" si="70"/>
        <v>1158.403</v>
      </c>
    </row>
    <row r="267" spans="3:71" outlineLevel="1" x14ac:dyDescent="0.2">
      <c r="J267" s="26"/>
      <c r="L267" s="55"/>
      <c r="M267" s="55"/>
      <c r="N267" s="55"/>
      <c r="O267" s="55"/>
      <c r="P267" s="55"/>
      <c r="Q267" s="55"/>
      <c r="R267" s="55"/>
      <c r="S267" s="55"/>
      <c r="T267" s="55"/>
      <c r="U267" s="55"/>
      <c r="V267" s="55"/>
      <c r="W267" s="55"/>
      <c r="X267" s="55"/>
      <c r="Y267" s="55"/>
      <c r="Z267" s="55"/>
      <c r="AA267" s="55"/>
      <c r="AB267" s="55"/>
      <c r="AC267" s="55"/>
      <c r="AD267" s="55"/>
      <c r="AE267" s="55"/>
      <c r="AF267" s="55"/>
      <c r="AG267" s="55"/>
      <c r="AH267" s="55"/>
      <c r="AI267" s="55"/>
      <c r="AJ267" s="55"/>
      <c r="AK267" s="55"/>
      <c r="AL267" s="55"/>
      <c r="AM267" s="55"/>
      <c r="AN267" s="55"/>
      <c r="AO267" s="55"/>
      <c r="AP267" s="55"/>
      <c r="AQ267" s="55"/>
      <c r="AR267" s="55"/>
      <c r="AS267" s="55"/>
      <c r="AT267" s="55"/>
      <c r="AU267" s="55"/>
      <c r="AV267" s="55"/>
      <c r="AW267" s="55"/>
      <c r="AX267" s="55"/>
      <c r="AY267" s="55"/>
      <c r="AZ267" s="55"/>
      <c r="BA267" s="55"/>
      <c r="BB267" s="55"/>
      <c r="BC267" s="55"/>
      <c r="BD267" s="55"/>
      <c r="BE267" s="55"/>
      <c r="BF267" s="55"/>
      <c r="BG267" s="55"/>
      <c r="BH267" s="55"/>
      <c r="BI267" s="55"/>
      <c r="BJ267" s="55"/>
      <c r="BK267" s="55"/>
      <c r="BL267" s="55"/>
      <c r="BM267" s="55"/>
      <c r="BN267" s="55"/>
      <c r="BO267" s="55"/>
      <c r="BP267" s="55"/>
      <c r="BQ267" s="55"/>
      <c r="BR267" s="55"/>
      <c r="BS267" s="55"/>
    </row>
    <row r="268" spans="3:71" outlineLevel="1" x14ac:dyDescent="0.2">
      <c r="J268" s="26"/>
      <c r="L268" s="55"/>
      <c r="M268" s="55"/>
      <c r="N268" s="55"/>
      <c r="O268" s="55"/>
      <c r="P268" s="55"/>
      <c r="Q268" s="55"/>
      <c r="R268" s="55"/>
      <c r="S268" s="55"/>
      <c r="T268" s="55"/>
      <c r="U268" s="55"/>
      <c r="V268" s="55"/>
      <c r="W268" s="55"/>
      <c r="X268" s="55"/>
      <c r="Y268" s="55"/>
      <c r="Z268" s="55"/>
      <c r="AA268" s="55"/>
      <c r="AB268" s="55"/>
      <c r="AC268" s="55"/>
      <c r="AD268" s="55"/>
      <c r="AE268" s="55"/>
      <c r="AF268" s="55"/>
      <c r="AG268" s="55"/>
      <c r="AH268" s="55"/>
      <c r="AI268" s="55"/>
      <c r="AJ268" s="55"/>
      <c r="AK268" s="55"/>
      <c r="AL268" s="55"/>
      <c r="AM268" s="55"/>
      <c r="AN268" s="55"/>
      <c r="AO268" s="55"/>
      <c r="AP268" s="55"/>
      <c r="AQ268" s="55"/>
      <c r="AR268" s="55"/>
      <c r="AS268" s="55"/>
      <c r="AT268" s="55"/>
      <c r="AU268" s="55"/>
      <c r="AV268" s="55"/>
      <c r="AW268" s="55"/>
      <c r="AX268" s="55"/>
      <c r="AY268" s="55"/>
      <c r="AZ268" s="55"/>
      <c r="BA268" s="55"/>
      <c r="BB268" s="55"/>
      <c r="BC268" s="55"/>
      <c r="BD268" s="55"/>
      <c r="BE268" s="55"/>
      <c r="BF268" s="55"/>
      <c r="BG268" s="55"/>
      <c r="BH268" s="55"/>
      <c r="BI268" s="55"/>
      <c r="BJ268" s="55"/>
      <c r="BK268" s="55"/>
      <c r="BL268" s="55"/>
      <c r="BM268" s="55"/>
      <c r="BN268" s="55"/>
      <c r="BO268" s="55"/>
      <c r="BP268" s="55"/>
      <c r="BQ268" s="55"/>
      <c r="BR268" s="55"/>
      <c r="BS268" s="55"/>
    </row>
    <row r="269" spans="3:71" outlineLevel="1" x14ac:dyDescent="0.2">
      <c r="D269" s="11" t="str">
        <f>CHOOSE(db_ML_selected,'Liste Traduction'!B335,'Liste Traduction'!C335)</f>
        <v>Coût total récupéré</v>
      </c>
      <c r="H269" s="56" t="b">
        <f ca="1">ROUND(I269,2)=ROUND(I229,2)</f>
        <v>0</v>
      </c>
      <c r="I269" s="30">
        <f t="shared" ca="1" si="62"/>
        <v>2204.9879026922831</v>
      </c>
      <c r="J269" s="26" t="s">
        <v>148</v>
      </c>
      <c r="K269" s="7" t="s">
        <v>208</v>
      </c>
      <c r="L269" s="49">
        <f ca="1">-SUM(L259,L253,L247,L241)</f>
        <v>141.09954235999999</v>
      </c>
      <c r="M269" s="49">
        <f t="shared" ref="M269:BS269" ca="1" si="71">-SUM(M259,M253,M247,M241)</f>
        <v>174.31590860275</v>
      </c>
      <c r="N269" s="49">
        <f t="shared" ca="1" si="71"/>
        <v>151.46269711400001</v>
      </c>
      <c r="O269" s="49">
        <f t="shared" ca="1" si="71"/>
        <v>165.85003627450001</v>
      </c>
      <c r="P269" s="49">
        <f t="shared" ca="1" si="71"/>
        <v>238.35548984005007</v>
      </c>
      <c r="Q269" s="49">
        <f t="shared" ca="1" si="71"/>
        <v>254.34670980950006</v>
      </c>
      <c r="R269" s="49">
        <f t="shared" ca="1" si="71"/>
        <v>244.00862892670006</v>
      </c>
      <c r="S269" s="49">
        <f t="shared" ca="1" si="71"/>
        <v>113.06549728833335</v>
      </c>
      <c r="T269" s="49">
        <f t="shared" ca="1" si="71"/>
        <v>153.86542455398398</v>
      </c>
      <c r="U269" s="49">
        <f t="shared" ca="1" si="71"/>
        <v>153.59617671551999</v>
      </c>
      <c r="V269" s="49">
        <f t="shared" ca="1" si="71"/>
        <v>145.70133323234225</v>
      </c>
      <c r="W269" s="49">
        <f t="shared" ca="1" si="71"/>
        <v>138.21228470419985</v>
      </c>
      <c r="X269" s="49">
        <f t="shared" ca="1" si="71"/>
        <v>131.10817327040397</v>
      </c>
      <c r="Y269" s="49">
        <f t="shared" ca="1" si="71"/>
        <v>0</v>
      </c>
      <c r="Z269" s="49">
        <f t="shared" ca="1" si="71"/>
        <v>0</v>
      </c>
      <c r="AA269" s="49">
        <f t="shared" ca="1" si="71"/>
        <v>0</v>
      </c>
      <c r="AB269" s="49">
        <f t="shared" ca="1" si="71"/>
        <v>0</v>
      </c>
      <c r="AC269" s="49">
        <f t="shared" ca="1" si="71"/>
        <v>0</v>
      </c>
      <c r="AD269" s="49">
        <f t="shared" ca="1" si="71"/>
        <v>0</v>
      </c>
      <c r="AE269" s="49">
        <f t="shared" ca="1" si="71"/>
        <v>0</v>
      </c>
      <c r="AF269" s="49">
        <f t="shared" ca="1" si="71"/>
        <v>0</v>
      </c>
      <c r="AG269" s="49">
        <f t="shared" ca="1" si="71"/>
        <v>0</v>
      </c>
      <c r="AH269" s="49">
        <f t="shared" ca="1" si="71"/>
        <v>0</v>
      </c>
      <c r="AI269" s="49">
        <f t="shared" ca="1" si="71"/>
        <v>0</v>
      </c>
      <c r="AJ269" s="49">
        <f t="shared" ca="1" si="71"/>
        <v>0</v>
      </c>
      <c r="AK269" s="49">
        <f t="shared" ca="1" si="71"/>
        <v>0</v>
      </c>
      <c r="AL269" s="49">
        <f t="shared" ca="1" si="71"/>
        <v>0</v>
      </c>
      <c r="AM269" s="49">
        <f t="shared" ca="1" si="71"/>
        <v>0</v>
      </c>
      <c r="AN269" s="49">
        <f t="shared" ca="1" si="71"/>
        <v>0</v>
      </c>
      <c r="AO269" s="49">
        <f t="shared" ca="1" si="71"/>
        <v>0</v>
      </c>
      <c r="AP269" s="49">
        <f t="shared" ca="1" si="71"/>
        <v>0</v>
      </c>
      <c r="AQ269" s="49">
        <f t="shared" ca="1" si="71"/>
        <v>0</v>
      </c>
      <c r="AR269" s="49">
        <f t="shared" ca="1" si="71"/>
        <v>0</v>
      </c>
      <c r="AS269" s="49">
        <f t="shared" ca="1" si="71"/>
        <v>0</v>
      </c>
      <c r="AT269" s="49">
        <f t="shared" ca="1" si="71"/>
        <v>0</v>
      </c>
      <c r="AU269" s="49">
        <f t="shared" ca="1" si="71"/>
        <v>0</v>
      </c>
      <c r="AV269" s="49">
        <f t="shared" ca="1" si="71"/>
        <v>0</v>
      </c>
      <c r="AW269" s="49">
        <f t="shared" ca="1" si="71"/>
        <v>0</v>
      </c>
      <c r="AX269" s="49">
        <f t="shared" ca="1" si="71"/>
        <v>0</v>
      </c>
      <c r="AY269" s="49">
        <f t="shared" ca="1" si="71"/>
        <v>0</v>
      </c>
      <c r="AZ269" s="49">
        <f t="shared" ca="1" si="71"/>
        <v>0</v>
      </c>
      <c r="BA269" s="49">
        <f t="shared" ca="1" si="71"/>
        <v>0</v>
      </c>
      <c r="BB269" s="49">
        <f t="shared" ca="1" si="71"/>
        <v>0</v>
      </c>
      <c r="BC269" s="49">
        <f t="shared" ca="1" si="71"/>
        <v>0</v>
      </c>
      <c r="BD269" s="49">
        <f t="shared" ca="1" si="71"/>
        <v>0</v>
      </c>
      <c r="BE269" s="49">
        <f t="shared" ca="1" si="71"/>
        <v>0</v>
      </c>
      <c r="BF269" s="49">
        <f t="shared" ca="1" si="71"/>
        <v>0</v>
      </c>
      <c r="BG269" s="49">
        <f t="shared" ca="1" si="71"/>
        <v>0</v>
      </c>
      <c r="BH269" s="49">
        <f t="shared" ca="1" si="71"/>
        <v>0</v>
      </c>
      <c r="BI269" s="49">
        <f t="shared" ca="1" si="71"/>
        <v>0</v>
      </c>
      <c r="BJ269" s="49">
        <f t="shared" ca="1" si="71"/>
        <v>0</v>
      </c>
      <c r="BK269" s="49">
        <f t="shared" ca="1" si="71"/>
        <v>0</v>
      </c>
      <c r="BL269" s="49">
        <f t="shared" ca="1" si="71"/>
        <v>0</v>
      </c>
      <c r="BM269" s="49">
        <f t="shared" ca="1" si="71"/>
        <v>0</v>
      </c>
      <c r="BN269" s="49">
        <f t="shared" ca="1" si="71"/>
        <v>0</v>
      </c>
      <c r="BO269" s="49">
        <f t="shared" ca="1" si="71"/>
        <v>0</v>
      </c>
      <c r="BP269" s="49">
        <f t="shared" ca="1" si="71"/>
        <v>0</v>
      </c>
      <c r="BQ269" s="49">
        <f t="shared" ca="1" si="71"/>
        <v>0</v>
      </c>
      <c r="BR269" s="49">
        <f t="shared" ca="1" si="71"/>
        <v>0</v>
      </c>
      <c r="BS269" s="49">
        <f t="shared" ca="1" si="71"/>
        <v>0</v>
      </c>
    </row>
    <row r="270" spans="3:71" outlineLevel="1" x14ac:dyDescent="0.2">
      <c r="J270" s="26"/>
      <c r="L270" s="55"/>
      <c r="M270" s="55"/>
      <c r="N270" s="55"/>
      <c r="O270" s="55"/>
      <c r="P270" s="55"/>
      <c r="Q270" s="55"/>
      <c r="R270" s="55"/>
      <c r="S270" s="55"/>
      <c r="T270" s="55"/>
      <c r="U270" s="55"/>
      <c r="V270" s="55"/>
      <c r="W270" s="55"/>
      <c r="X270" s="55"/>
      <c r="Y270" s="55"/>
      <c r="Z270" s="55"/>
      <c r="AA270" s="55"/>
      <c r="AB270" s="55"/>
      <c r="AC270" s="55"/>
      <c r="AD270" s="55"/>
      <c r="AE270" s="55"/>
      <c r="AF270" s="55"/>
      <c r="AG270" s="55"/>
      <c r="AH270" s="55"/>
      <c r="AI270" s="55"/>
      <c r="AJ270" s="55"/>
      <c r="AK270" s="55"/>
      <c r="AL270" s="55"/>
      <c r="AM270" s="55"/>
      <c r="AN270" s="55"/>
      <c r="AO270" s="55"/>
      <c r="AP270" s="55"/>
      <c r="AQ270" s="55"/>
      <c r="AR270" s="55"/>
      <c r="AS270" s="55"/>
      <c r="AT270" s="55"/>
      <c r="AU270" s="55"/>
      <c r="AV270" s="55"/>
      <c r="AW270" s="55"/>
      <c r="AX270" s="55"/>
      <c r="AY270" s="55"/>
      <c r="AZ270" s="55"/>
      <c r="BA270" s="55"/>
      <c r="BB270" s="55"/>
      <c r="BC270" s="55"/>
      <c r="BD270" s="55"/>
      <c r="BE270" s="55"/>
      <c r="BF270" s="55"/>
      <c r="BG270" s="55"/>
      <c r="BH270" s="55"/>
      <c r="BI270" s="55"/>
      <c r="BJ270" s="55"/>
      <c r="BK270" s="55"/>
      <c r="BL270" s="55"/>
      <c r="BM270" s="55"/>
      <c r="BN270" s="55"/>
      <c r="BO270" s="55"/>
      <c r="BP270" s="55"/>
      <c r="BQ270" s="55"/>
      <c r="BR270" s="55"/>
      <c r="BS270" s="55"/>
    </row>
    <row r="271" spans="3:71" outlineLevel="1" x14ac:dyDescent="0.2">
      <c r="C271" s="11" t="str">
        <f>C42</f>
        <v>Excess Cost Oil (ECO)</v>
      </c>
      <c r="J271" s="26"/>
      <c r="L271" s="55"/>
      <c r="M271" s="55"/>
      <c r="N271" s="55"/>
      <c r="O271" s="55"/>
      <c r="P271" s="55"/>
      <c r="Q271" s="55"/>
      <c r="R271" s="55"/>
      <c r="S271" s="55"/>
      <c r="T271" s="55"/>
      <c r="U271" s="55"/>
      <c r="V271" s="55"/>
      <c r="W271" s="55"/>
      <c r="X271" s="55"/>
      <c r="Y271" s="55"/>
      <c r="Z271" s="55"/>
      <c r="AA271" s="55"/>
      <c r="AB271" s="55"/>
      <c r="AC271" s="55"/>
      <c r="AD271" s="55"/>
      <c r="AE271" s="55"/>
      <c r="AF271" s="55"/>
      <c r="AG271" s="55"/>
      <c r="AH271" s="55"/>
      <c r="AI271" s="55"/>
      <c r="AJ271" s="55"/>
      <c r="AK271" s="55"/>
      <c r="AL271" s="55"/>
      <c r="AM271" s="55"/>
      <c r="AN271" s="55"/>
      <c r="AO271" s="55"/>
      <c r="AP271" s="55"/>
      <c r="AQ271" s="55"/>
      <c r="AR271" s="55"/>
      <c r="AS271" s="55"/>
      <c r="AT271" s="55"/>
      <c r="AU271" s="55"/>
      <c r="AV271" s="55"/>
      <c r="AW271" s="55"/>
      <c r="AX271" s="55"/>
      <c r="AY271" s="55"/>
      <c r="AZ271" s="55"/>
      <c r="BA271" s="55"/>
      <c r="BB271" s="55"/>
      <c r="BC271" s="55"/>
      <c r="BD271" s="55"/>
      <c r="BE271" s="55"/>
      <c r="BF271" s="55"/>
      <c r="BG271" s="55"/>
      <c r="BH271" s="55"/>
      <c r="BI271" s="55"/>
      <c r="BJ271" s="55"/>
      <c r="BK271" s="55"/>
      <c r="BL271" s="55"/>
      <c r="BM271" s="55"/>
      <c r="BN271" s="55"/>
      <c r="BO271" s="55"/>
      <c r="BP271" s="55"/>
      <c r="BQ271" s="55"/>
      <c r="BR271" s="55"/>
      <c r="BS271" s="55"/>
    </row>
    <row r="272" spans="3:71" outlineLevel="1" x14ac:dyDescent="0.2">
      <c r="D272" t="str">
        <f>CHOOSE(db_ML_selected,'Liste Traduction'!B336,'Liste Traduction'!C336)</f>
        <v>Revenus disponibles pour le partage de l'Excess Cost oil</v>
      </c>
      <c r="I272" s="30">
        <f t="shared" ref="I272:I275" ca="1" si="72">SUM($L272:$BS272)</f>
        <v>2.8421709430404007E-14</v>
      </c>
      <c r="J272" s="26" t="s">
        <v>148</v>
      </c>
      <c r="K272" s="7" t="s">
        <v>210</v>
      </c>
      <c r="L272" s="49">
        <f ca="1">IF(HM_ZA_Nkossa!CA_cost_stop-HM_ZA_Nkossa!CA_cost_recovered_total&lt;0,0,HM_ZA_Nkossa!CA_cost_stop-HM_ZA_Nkossa!CA_cost_recovered_total)</f>
        <v>0</v>
      </c>
      <c r="M272" s="49">
        <f ca="1">IF(HM_ZA_Nkossa!CA_cost_stop-HM_ZA_Nkossa!CA_cost_recovered_total&lt;0,0,HM_ZA_Nkossa!CA_cost_stop-HM_ZA_Nkossa!CA_cost_recovered_total)</f>
        <v>0</v>
      </c>
      <c r="N272" s="49">
        <f ca="1">IF(HM_ZA_Nkossa!CA_cost_stop-HM_ZA_Nkossa!CA_cost_recovered_total&lt;0,0,HM_ZA_Nkossa!CA_cost_stop-HM_ZA_Nkossa!CA_cost_recovered_total)</f>
        <v>0</v>
      </c>
      <c r="O272" s="49">
        <f ca="1">IF(HM_ZA_Nkossa!CA_cost_stop-HM_ZA_Nkossa!CA_cost_recovered_total&lt;0,0,HM_ZA_Nkossa!CA_cost_stop-HM_ZA_Nkossa!CA_cost_recovered_total)</f>
        <v>0</v>
      </c>
      <c r="P272" s="49">
        <f ca="1">IF(HM_ZA_Nkossa!CA_cost_stop-HM_ZA_Nkossa!CA_cost_recovered_total&lt;0,0,HM_ZA_Nkossa!CA_cost_stop-HM_ZA_Nkossa!CA_cost_recovered_total)</f>
        <v>0</v>
      </c>
      <c r="Q272" s="49">
        <f ca="1">IF(HM_ZA_Nkossa!CA_cost_stop-HM_ZA_Nkossa!CA_cost_recovered_total&lt;0,0,HM_ZA_Nkossa!CA_cost_stop-HM_ZA_Nkossa!CA_cost_recovered_total)</f>
        <v>2.8421709430404007E-14</v>
      </c>
      <c r="R272" s="49">
        <f ca="1">IF(HM_ZA_Nkossa!CA_cost_stop-HM_ZA_Nkossa!CA_cost_recovered_total&lt;0,0,HM_ZA_Nkossa!CA_cost_stop-HM_ZA_Nkossa!CA_cost_recovered_total)</f>
        <v>0</v>
      </c>
      <c r="S272" s="49">
        <f ca="1">IF(HM_ZA_Nkossa!CA_cost_stop-HM_ZA_Nkossa!CA_cost_recovered_total&lt;0,0,HM_ZA_Nkossa!CA_cost_stop-HM_ZA_Nkossa!CA_cost_recovered_total)</f>
        <v>0</v>
      </c>
      <c r="T272" s="49">
        <f ca="1">IF(HM_ZA_Nkossa!CA_cost_stop-HM_ZA_Nkossa!CA_cost_recovered_total&lt;0,0,HM_ZA_Nkossa!CA_cost_stop-HM_ZA_Nkossa!CA_cost_recovered_total)</f>
        <v>0</v>
      </c>
      <c r="U272" s="49">
        <f ca="1">IF(HM_ZA_Nkossa!CA_cost_stop-HM_ZA_Nkossa!CA_cost_recovered_total&lt;0,0,HM_ZA_Nkossa!CA_cost_stop-HM_ZA_Nkossa!CA_cost_recovered_total)</f>
        <v>0</v>
      </c>
      <c r="V272" s="49">
        <f ca="1">IF(HM_ZA_Nkossa!CA_cost_stop-HM_ZA_Nkossa!CA_cost_recovered_total&lt;0,0,HM_ZA_Nkossa!CA_cost_stop-HM_ZA_Nkossa!CA_cost_recovered_total)</f>
        <v>0</v>
      </c>
      <c r="W272" s="49">
        <f ca="1">IF(HM_ZA_Nkossa!CA_cost_stop-HM_ZA_Nkossa!CA_cost_recovered_total&lt;0,0,HM_ZA_Nkossa!CA_cost_stop-HM_ZA_Nkossa!CA_cost_recovered_total)</f>
        <v>0</v>
      </c>
      <c r="X272" s="49">
        <f ca="1">IF(HM_ZA_Nkossa!CA_cost_stop-HM_ZA_Nkossa!CA_cost_recovered_total&lt;0,0,HM_ZA_Nkossa!CA_cost_stop-HM_ZA_Nkossa!CA_cost_recovered_total)</f>
        <v>0</v>
      </c>
      <c r="Y272" s="49">
        <f ca="1">IF(HM_ZA_Nkossa!CA_cost_stop-HM_ZA_Nkossa!CA_cost_recovered_total&lt;0,0,HM_ZA_Nkossa!CA_cost_stop-HM_ZA_Nkossa!CA_cost_recovered_total)</f>
        <v>0</v>
      </c>
      <c r="Z272" s="49">
        <f ca="1">IF(HM_ZA_Nkossa!CA_cost_stop-HM_ZA_Nkossa!CA_cost_recovered_total&lt;0,0,HM_ZA_Nkossa!CA_cost_stop-HM_ZA_Nkossa!CA_cost_recovered_total)</f>
        <v>0</v>
      </c>
      <c r="AA272" s="49">
        <f ca="1">IF(HM_ZA_Nkossa!CA_cost_stop-HM_ZA_Nkossa!CA_cost_recovered_total&lt;0,0,HM_ZA_Nkossa!CA_cost_stop-HM_ZA_Nkossa!CA_cost_recovered_total)</f>
        <v>0</v>
      </c>
      <c r="AB272" s="49">
        <f ca="1">IF(HM_ZA_Nkossa!CA_cost_stop-HM_ZA_Nkossa!CA_cost_recovered_total&lt;0,0,HM_ZA_Nkossa!CA_cost_stop-HM_ZA_Nkossa!CA_cost_recovered_total)</f>
        <v>0</v>
      </c>
      <c r="AC272" s="49">
        <f ca="1">IF(HM_ZA_Nkossa!CA_cost_stop-HM_ZA_Nkossa!CA_cost_recovered_total&lt;0,0,HM_ZA_Nkossa!CA_cost_stop-HM_ZA_Nkossa!CA_cost_recovered_total)</f>
        <v>0</v>
      </c>
      <c r="AD272" s="49">
        <f ca="1">IF(HM_ZA_Nkossa!CA_cost_stop-HM_ZA_Nkossa!CA_cost_recovered_total&lt;0,0,HM_ZA_Nkossa!CA_cost_stop-HM_ZA_Nkossa!CA_cost_recovered_total)</f>
        <v>0</v>
      </c>
      <c r="AE272" s="49">
        <f ca="1">IF(HM_ZA_Nkossa!CA_cost_stop-HM_ZA_Nkossa!CA_cost_recovered_total&lt;0,0,HM_ZA_Nkossa!CA_cost_stop-HM_ZA_Nkossa!CA_cost_recovered_total)</f>
        <v>0</v>
      </c>
      <c r="AF272" s="49">
        <f ca="1">IF(HM_ZA_Nkossa!CA_cost_stop-HM_ZA_Nkossa!CA_cost_recovered_total&lt;0,0,HM_ZA_Nkossa!CA_cost_stop-HM_ZA_Nkossa!CA_cost_recovered_total)</f>
        <v>0</v>
      </c>
      <c r="AG272" s="49">
        <f ca="1">IF(HM_ZA_Nkossa!CA_cost_stop-HM_ZA_Nkossa!CA_cost_recovered_total&lt;0,0,HM_ZA_Nkossa!CA_cost_stop-HM_ZA_Nkossa!CA_cost_recovered_total)</f>
        <v>0</v>
      </c>
      <c r="AH272" s="49">
        <f ca="1">IF(HM_ZA_Nkossa!CA_cost_stop-HM_ZA_Nkossa!CA_cost_recovered_total&lt;0,0,HM_ZA_Nkossa!CA_cost_stop-HM_ZA_Nkossa!CA_cost_recovered_total)</f>
        <v>0</v>
      </c>
      <c r="AI272" s="49">
        <f ca="1">IF(HM_ZA_Nkossa!CA_cost_stop-HM_ZA_Nkossa!CA_cost_recovered_total&lt;0,0,HM_ZA_Nkossa!CA_cost_stop-HM_ZA_Nkossa!CA_cost_recovered_total)</f>
        <v>0</v>
      </c>
      <c r="AJ272" s="49">
        <f ca="1">IF(HM_ZA_Nkossa!CA_cost_stop-HM_ZA_Nkossa!CA_cost_recovered_total&lt;0,0,HM_ZA_Nkossa!CA_cost_stop-HM_ZA_Nkossa!CA_cost_recovered_total)</f>
        <v>0</v>
      </c>
      <c r="AK272" s="49">
        <f ca="1">IF(HM_ZA_Nkossa!CA_cost_stop-HM_ZA_Nkossa!CA_cost_recovered_total&lt;0,0,HM_ZA_Nkossa!CA_cost_stop-HM_ZA_Nkossa!CA_cost_recovered_total)</f>
        <v>0</v>
      </c>
      <c r="AL272" s="49">
        <f ca="1">IF(HM_ZA_Nkossa!CA_cost_stop-HM_ZA_Nkossa!CA_cost_recovered_total&lt;0,0,HM_ZA_Nkossa!CA_cost_stop-HM_ZA_Nkossa!CA_cost_recovered_total)</f>
        <v>0</v>
      </c>
      <c r="AM272" s="49">
        <f ca="1">IF(HM_ZA_Nkossa!CA_cost_stop-HM_ZA_Nkossa!CA_cost_recovered_total&lt;0,0,HM_ZA_Nkossa!CA_cost_stop-HM_ZA_Nkossa!CA_cost_recovered_total)</f>
        <v>0</v>
      </c>
      <c r="AN272" s="49">
        <f ca="1">IF(HM_ZA_Nkossa!CA_cost_stop-HM_ZA_Nkossa!CA_cost_recovered_total&lt;0,0,HM_ZA_Nkossa!CA_cost_stop-HM_ZA_Nkossa!CA_cost_recovered_total)</f>
        <v>0</v>
      </c>
      <c r="AO272" s="49">
        <f ca="1">IF(HM_ZA_Nkossa!CA_cost_stop-HM_ZA_Nkossa!CA_cost_recovered_total&lt;0,0,HM_ZA_Nkossa!CA_cost_stop-HM_ZA_Nkossa!CA_cost_recovered_total)</f>
        <v>0</v>
      </c>
      <c r="AP272" s="49">
        <f ca="1">IF(HM_ZA_Nkossa!CA_cost_stop-HM_ZA_Nkossa!CA_cost_recovered_total&lt;0,0,HM_ZA_Nkossa!CA_cost_stop-HM_ZA_Nkossa!CA_cost_recovered_total)</f>
        <v>0</v>
      </c>
      <c r="AQ272" s="49">
        <f ca="1">IF(HM_ZA_Nkossa!CA_cost_stop-HM_ZA_Nkossa!CA_cost_recovered_total&lt;0,0,HM_ZA_Nkossa!CA_cost_stop-HM_ZA_Nkossa!CA_cost_recovered_total)</f>
        <v>0</v>
      </c>
      <c r="AR272" s="49">
        <f ca="1">IF(HM_ZA_Nkossa!CA_cost_stop-HM_ZA_Nkossa!CA_cost_recovered_total&lt;0,0,HM_ZA_Nkossa!CA_cost_stop-HM_ZA_Nkossa!CA_cost_recovered_total)</f>
        <v>0</v>
      </c>
      <c r="AS272" s="49">
        <f ca="1">IF(HM_ZA_Nkossa!CA_cost_stop-HM_ZA_Nkossa!CA_cost_recovered_total&lt;0,0,HM_ZA_Nkossa!CA_cost_stop-HM_ZA_Nkossa!CA_cost_recovered_total)</f>
        <v>0</v>
      </c>
      <c r="AT272" s="49">
        <f ca="1">IF(HM_ZA_Nkossa!CA_cost_stop-HM_ZA_Nkossa!CA_cost_recovered_total&lt;0,0,HM_ZA_Nkossa!CA_cost_stop-HM_ZA_Nkossa!CA_cost_recovered_total)</f>
        <v>0</v>
      </c>
      <c r="AU272" s="49">
        <f ca="1">IF(HM_ZA_Nkossa!CA_cost_stop-HM_ZA_Nkossa!CA_cost_recovered_total&lt;0,0,HM_ZA_Nkossa!CA_cost_stop-HM_ZA_Nkossa!CA_cost_recovered_total)</f>
        <v>0</v>
      </c>
      <c r="AV272" s="49">
        <f ca="1">IF(HM_ZA_Nkossa!CA_cost_stop-HM_ZA_Nkossa!CA_cost_recovered_total&lt;0,0,HM_ZA_Nkossa!CA_cost_stop-HM_ZA_Nkossa!CA_cost_recovered_total)</f>
        <v>0</v>
      </c>
      <c r="AW272" s="49">
        <f ca="1">IF(HM_ZA_Nkossa!CA_cost_stop-HM_ZA_Nkossa!CA_cost_recovered_total&lt;0,0,HM_ZA_Nkossa!CA_cost_stop-HM_ZA_Nkossa!CA_cost_recovered_total)</f>
        <v>0</v>
      </c>
      <c r="AX272" s="49">
        <f ca="1">IF(HM_ZA_Nkossa!CA_cost_stop-HM_ZA_Nkossa!CA_cost_recovered_total&lt;0,0,HM_ZA_Nkossa!CA_cost_stop-HM_ZA_Nkossa!CA_cost_recovered_total)</f>
        <v>0</v>
      </c>
      <c r="AY272" s="49">
        <f ca="1">IF(HM_ZA_Nkossa!CA_cost_stop-HM_ZA_Nkossa!CA_cost_recovered_total&lt;0,0,HM_ZA_Nkossa!CA_cost_stop-HM_ZA_Nkossa!CA_cost_recovered_total)</f>
        <v>0</v>
      </c>
      <c r="AZ272" s="49">
        <f ca="1">IF(HM_ZA_Nkossa!CA_cost_stop-HM_ZA_Nkossa!CA_cost_recovered_total&lt;0,0,HM_ZA_Nkossa!CA_cost_stop-HM_ZA_Nkossa!CA_cost_recovered_total)</f>
        <v>0</v>
      </c>
      <c r="BA272" s="49">
        <f ca="1">IF(HM_ZA_Nkossa!CA_cost_stop-HM_ZA_Nkossa!CA_cost_recovered_total&lt;0,0,HM_ZA_Nkossa!CA_cost_stop-HM_ZA_Nkossa!CA_cost_recovered_total)</f>
        <v>0</v>
      </c>
      <c r="BB272" s="49">
        <f ca="1">IF(HM_ZA_Nkossa!CA_cost_stop-HM_ZA_Nkossa!CA_cost_recovered_total&lt;0,0,HM_ZA_Nkossa!CA_cost_stop-HM_ZA_Nkossa!CA_cost_recovered_total)</f>
        <v>0</v>
      </c>
      <c r="BC272" s="49">
        <f ca="1">IF(HM_ZA_Nkossa!CA_cost_stop-HM_ZA_Nkossa!CA_cost_recovered_total&lt;0,0,HM_ZA_Nkossa!CA_cost_stop-HM_ZA_Nkossa!CA_cost_recovered_total)</f>
        <v>0</v>
      </c>
      <c r="BD272" s="49">
        <f ca="1">IF(HM_ZA_Nkossa!CA_cost_stop-HM_ZA_Nkossa!CA_cost_recovered_total&lt;0,0,HM_ZA_Nkossa!CA_cost_stop-HM_ZA_Nkossa!CA_cost_recovered_total)</f>
        <v>0</v>
      </c>
      <c r="BE272" s="49">
        <f ca="1">IF(HM_ZA_Nkossa!CA_cost_stop-HM_ZA_Nkossa!CA_cost_recovered_total&lt;0,0,HM_ZA_Nkossa!CA_cost_stop-HM_ZA_Nkossa!CA_cost_recovered_total)</f>
        <v>0</v>
      </c>
      <c r="BF272" s="49">
        <f ca="1">IF(HM_ZA_Nkossa!CA_cost_stop-HM_ZA_Nkossa!CA_cost_recovered_total&lt;0,0,HM_ZA_Nkossa!CA_cost_stop-HM_ZA_Nkossa!CA_cost_recovered_total)</f>
        <v>0</v>
      </c>
      <c r="BG272" s="49">
        <f ca="1">IF(HM_ZA_Nkossa!CA_cost_stop-HM_ZA_Nkossa!CA_cost_recovered_total&lt;0,0,HM_ZA_Nkossa!CA_cost_stop-HM_ZA_Nkossa!CA_cost_recovered_total)</f>
        <v>0</v>
      </c>
      <c r="BH272" s="49">
        <f ca="1">IF(HM_ZA_Nkossa!CA_cost_stop-HM_ZA_Nkossa!CA_cost_recovered_total&lt;0,0,HM_ZA_Nkossa!CA_cost_stop-HM_ZA_Nkossa!CA_cost_recovered_total)</f>
        <v>0</v>
      </c>
      <c r="BI272" s="49">
        <f ca="1">IF(HM_ZA_Nkossa!CA_cost_stop-HM_ZA_Nkossa!CA_cost_recovered_total&lt;0,0,HM_ZA_Nkossa!CA_cost_stop-HM_ZA_Nkossa!CA_cost_recovered_total)</f>
        <v>0</v>
      </c>
      <c r="BJ272" s="49">
        <f ca="1">IF(HM_ZA_Nkossa!CA_cost_stop-HM_ZA_Nkossa!CA_cost_recovered_total&lt;0,0,HM_ZA_Nkossa!CA_cost_stop-HM_ZA_Nkossa!CA_cost_recovered_total)</f>
        <v>0</v>
      </c>
      <c r="BK272" s="49">
        <f ca="1">IF(HM_ZA_Nkossa!CA_cost_stop-HM_ZA_Nkossa!CA_cost_recovered_total&lt;0,0,HM_ZA_Nkossa!CA_cost_stop-HM_ZA_Nkossa!CA_cost_recovered_total)</f>
        <v>0</v>
      </c>
      <c r="BL272" s="49">
        <f ca="1">IF(HM_ZA_Nkossa!CA_cost_stop-HM_ZA_Nkossa!CA_cost_recovered_total&lt;0,0,HM_ZA_Nkossa!CA_cost_stop-HM_ZA_Nkossa!CA_cost_recovered_total)</f>
        <v>0</v>
      </c>
      <c r="BM272" s="49">
        <f ca="1">IF(HM_ZA_Nkossa!CA_cost_stop-HM_ZA_Nkossa!CA_cost_recovered_total&lt;0,0,HM_ZA_Nkossa!CA_cost_stop-HM_ZA_Nkossa!CA_cost_recovered_total)</f>
        <v>0</v>
      </c>
      <c r="BN272" s="49">
        <f ca="1">IF(HM_ZA_Nkossa!CA_cost_stop-HM_ZA_Nkossa!CA_cost_recovered_total&lt;0,0,HM_ZA_Nkossa!CA_cost_stop-HM_ZA_Nkossa!CA_cost_recovered_total)</f>
        <v>0</v>
      </c>
      <c r="BO272" s="49">
        <f ca="1">IF(HM_ZA_Nkossa!CA_cost_stop-HM_ZA_Nkossa!CA_cost_recovered_total&lt;0,0,HM_ZA_Nkossa!CA_cost_stop-HM_ZA_Nkossa!CA_cost_recovered_total)</f>
        <v>0</v>
      </c>
      <c r="BP272" s="49">
        <f ca="1">IF(HM_ZA_Nkossa!CA_cost_stop-HM_ZA_Nkossa!CA_cost_recovered_total&lt;0,0,HM_ZA_Nkossa!CA_cost_stop-HM_ZA_Nkossa!CA_cost_recovered_total)</f>
        <v>0</v>
      </c>
      <c r="BQ272" s="49">
        <f ca="1">IF(HM_ZA_Nkossa!CA_cost_stop-HM_ZA_Nkossa!CA_cost_recovered_total&lt;0,0,HM_ZA_Nkossa!CA_cost_stop-HM_ZA_Nkossa!CA_cost_recovered_total)</f>
        <v>0</v>
      </c>
      <c r="BR272" s="49">
        <f ca="1">IF(HM_ZA_Nkossa!CA_cost_stop-HM_ZA_Nkossa!CA_cost_recovered_total&lt;0,0,HM_ZA_Nkossa!CA_cost_stop-HM_ZA_Nkossa!CA_cost_recovered_total)</f>
        <v>0</v>
      </c>
      <c r="BS272" s="49">
        <f ca="1">IF(HM_ZA_Nkossa!CA_cost_stop-HM_ZA_Nkossa!CA_cost_recovered_total&lt;0,0,HM_ZA_Nkossa!CA_cost_stop-HM_ZA_Nkossa!CA_cost_recovered_total)</f>
        <v>0</v>
      </c>
    </row>
    <row r="273" spans="3:71" outlineLevel="1" x14ac:dyDescent="0.2">
      <c r="J273" s="26"/>
      <c r="L273" s="55"/>
      <c r="M273" s="55"/>
      <c r="N273" s="55"/>
      <c r="O273" s="55"/>
      <c r="P273" s="55"/>
      <c r="Q273" s="55"/>
      <c r="R273" s="55"/>
      <c r="S273" s="55"/>
      <c r="T273" s="55"/>
      <c r="U273" s="55"/>
      <c r="V273" s="55"/>
      <c r="W273" s="55"/>
      <c r="X273" s="55"/>
      <c r="Y273" s="55"/>
      <c r="Z273" s="55"/>
      <c r="AA273" s="55"/>
      <c r="AB273" s="55"/>
      <c r="AC273" s="55"/>
      <c r="AD273" s="55"/>
      <c r="AE273" s="55"/>
      <c r="AF273" s="55"/>
      <c r="AG273" s="55"/>
      <c r="AH273" s="55"/>
      <c r="AI273" s="55"/>
      <c r="AJ273" s="55"/>
      <c r="AK273" s="55"/>
      <c r="AL273" s="55"/>
      <c r="AM273" s="55"/>
      <c r="AN273" s="55"/>
      <c r="AO273" s="55"/>
      <c r="AP273" s="55"/>
      <c r="AQ273" s="55"/>
      <c r="AR273" s="55"/>
      <c r="AS273" s="55"/>
      <c r="AT273" s="55"/>
      <c r="AU273" s="55"/>
      <c r="AV273" s="55"/>
      <c r="AW273" s="55"/>
      <c r="AX273" s="55"/>
      <c r="AY273" s="55"/>
      <c r="AZ273" s="55"/>
      <c r="BA273" s="55"/>
      <c r="BB273" s="55"/>
      <c r="BC273" s="55"/>
      <c r="BD273" s="55"/>
      <c r="BE273" s="55"/>
      <c r="BF273" s="55"/>
      <c r="BG273" s="55"/>
      <c r="BH273" s="55"/>
      <c r="BI273" s="55"/>
      <c r="BJ273" s="55"/>
      <c r="BK273" s="55"/>
      <c r="BL273" s="55"/>
      <c r="BM273" s="55"/>
      <c r="BN273" s="55"/>
      <c r="BO273" s="55"/>
      <c r="BP273" s="55"/>
      <c r="BQ273" s="55"/>
      <c r="BR273" s="55"/>
      <c r="BS273" s="55"/>
    </row>
    <row r="274" spans="3:71" outlineLevel="1" x14ac:dyDescent="0.2">
      <c r="D274" t="str">
        <f>CHOOSE(db_ML_selected,'Liste Traduction'!B337,'Liste Traduction'!C337)</f>
        <v>Part du Contracteur dans l'Excess Cost oil</v>
      </c>
      <c r="I274" s="30">
        <f t="shared" ca="1" si="72"/>
        <v>1.4210854715202004E-14</v>
      </c>
      <c r="J274" s="26" t="s">
        <v>148</v>
      </c>
      <c r="K274" s="7" t="s">
        <v>214</v>
      </c>
      <c r="L274" s="49">
        <f ca="1">(INDEX(HM_ZA_Nkossa!FA_ECR_cont_rate,1)*HM_ZA_Nkossa!CA_excess_cost_recovery)*(CA_PSC_switch_trig=0)+
(INDEX(HM_ZA_Nkossa!FA_ECR_cont_rate,2)*HM_ZA_Nkossa!CA_excess_cost_recovery)*(CA_PSC_switch_trig=1)</f>
        <v>0</v>
      </c>
      <c r="M274" s="49">
        <f ca="1">(INDEX(HM_ZA_Nkossa!FA_ECR_cont_rate,1)*HM_ZA_Nkossa!CA_excess_cost_recovery)*(CA_PSC_switch_trig=0)+
(INDEX(HM_ZA_Nkossa!FA_ECR_cont_rate,2)*HM_ZA_Nkossa!CA_excess_cost_recovery)*(CA_PSC_switch_trig=1)</f>
        <v>0</v>
      </c>
      <c r="N274" s="49">
        <f ca="1">(INDEX(HM_ZA_Nkossa!FA_ECR_cont_rate,1)*HM_ZA_Nkossa!CA_excess_cost_recovery)*(CA_PSC_switch_trig=0)+
(INDEX(HM_ZA_Nkossa!FA_ECR_cont_rate,2)*HM_ZA_Nkossa!CA_excess_cost_recovery)*(CA_PSC_switch_trig=1)</f>
        <v>0</v>
      </c>
      <c r="O274" s="49">
        <f ca="1">(INDEX(HM_ZA_Nkossa!FA_ECR_cont_rate,1)*HM_ZA_Nkossa!CA_excess_cost_recovery)*(CA_PSC_switch_trig=0)+
(INDEX(HM_ZA_Nkossa!FA_ECR_cont_rate,2)*HM_ZA_Nkossa!CA_excess_cost_recovery)*(CA_PSC_switch_trig=1)</f>
        <v>0</v>
      </c>
      <c r="P274" s="49">
        <f ca="1">(INDEX(HM_ZA_Nkossa!FA_ECR_cont_rate,1)*HM_ZA_Nkossa!CA_excess_cost_recovery)*(CA_PSC_switch_trig=0)+
(INDEX(HM_ZA_Nkossa!FA_ECR_cont_rate,2)*HM_ZA_Nkossa!CA_excess_cost_recovery)*(CA_PSC_switch_trig=1)</f>
        <v>0</v>
      </c>
      <c r="Q274" s="49">
        <f ca="1">(INDEX(HM_ZA_Nkossa!FA_ECR_cont_rate,1)*HM_ZA_Nkossa!CA_excess_cost_recovery)*(CA_PSC_switch_trig=0)+
(INDEX(HM_ZA_Nkossa!FA_ECR_cont_rate,2)*HM_ZA_Nkossa!CA_excess_cost_recovery)*(CA_PSC_switch_trig=1)</f>
        <v>1.4210854715202004E-14</v>
      </c>
      <c r="R274" s="49">
        <f ca="1">(INDEX(HM_ZA_Nkossa!FA_ECR_cont_rate,1)*HM_ZA_Nkossa!CA_excess_cost_recovery)*(CA_PSC_switch_trig=0)+
(INDEX(HM_ZA_Nkossa!FA_ECR_cont_rate,2)*HM_ZA_Nkossa!CA_excess_cost_recovery)*(CA_PSC_switch_trig=1)</f>
        <v>0</v>
      </c>
      <c r="S274" s="49">
        <f ca="1">(INDEX(HM_ZA_Nkossa!FA_ECR_cont_rate,1)*HM_ZA_Nkossa!CA_excess_cost_recovery)*(CA_PSC_switch_trig=0)+
(INDEX(HM_ZA_Nkossa!FA_ECR_cont_rate,2)*HM_ZA_Nkossa!CA_excess_cost_recovery)*(CA_PSC_switch_trig=1)</f>
        <v>0</v>
      </c>
      <c r="T274" s="49">
        <f ca="1">(INDEX(HM_ZA_Nkossa!FA_ECR_cont_rate,1)*HM_ZA_Nkossa!CA_excess_cost_recovery)*(CA_PSC_switch_trig=0)+
(INDEX(HM_ZA_Nkossa!FA_ECR_cont_rate,2)*HM_ZA_Nkossa!CA_excess_cost_recovery)*(CA_PSC_switch_trig=1)</f>
        <v>0</v>
      </c>
      <c r="U274" s="49">
        <f ca="1">(INDEX(HM_ZA_Nkossa!FA_ECR_cont_rate,1)*HM_ZA_Nkossa!CA_excess_cost_recovery)*(CA_PSC_switch_trig=0)+
(INDEX(HM_ZA_Nkossa!FA_ECR_cont_rate,2)*HM_ZA_Nkossa!CA_excess_cost_recovery)*(CA_PSC_switch_trig=1)</f>
        <v>0</v>
      </c>
      <c r="V274" s="49">
        <f ca="1">(INDEX(HM_ZA_Nkossa!FA_ECR_cont_rate,1)*HM_ZA_Nkossa!CA_excess_cost_recovery)*(CA_PSC_switch_trig=0)+
(INDEX(HM_ZA_Nkossa!FA_ECR_cont_rate,2)*HM_ZA_Nkossa!CA_excess_cost_recovery)*(CA_PSC_switch_trig=1)</f>
        <v>0</v>
      </c>
      <c r="W274" s="49">
        <f ca="1">(INDEX(HM_ZA_Nkossa!FA_ECR_cont_rate,1)*HM_ZA_Nkossa!CA_excess_cost_recovery)*(CA_PSC_switch_trig=0)+
(INDEX(HM_ZA_Nkossa!FA_ECR_cont_rate,2)*HM_ZA_Nkossa!CA_excess_cost_recovery)*(CA_PSC_switch_trig=1)</f>
        <v>0</v>
      </c>
      <c r="X274" s="49">
        <f ca="1">(INDEX(HM_ZA_Nkossa!FA_ECR_cont_rate,1)*HM_ZA_Nkossa!CA_excess_cost_recovery)*(CA_PSC_switch_trig=0)+
(INDEX(HM_ZA_Nkossa!FA_ECR_cont_rate,2)*HM_ZA_Nkossa!CA_excess_cost_recovery)*(CA_PSC_switch_trig=1)</f>
        <v>0</v>
      </c>
      <c r="Y274" s="49">
        <f ca="1">(INDEX(HM_ZA_Nkossa!FA_ECR_cont_rate,1)*HM_ZA_Nkossa!CA_excess_cost_recovery)*(CA_PSC_switch_trig=0)+
(INDEX(HM_ZA_Nkossa!FA_ECR_cont_rate,2)*HM_ZA_Nkossa!CA_excess_cost_recovery)*(CA_PSC_switch_trig=1)</f>
        <v>0</v>
      </c>
      <c r="Z274" s="49">
        <f ca="1">(INDEX(HM_ZA_Nkossa!FA_ECR_cont_rate,1)*HM_ZA_Nkossa!CA_excess_cost_recovery)*(CA_PSC_switch_trig=0)+
(INDEX(HM_ZA_Nkossa!FA_ECR_cont_rate,2)*HM_ZA_Nkossa!CA_excess_cost_recovery)*(CA_PSC_switch_trig=1)</f>
        <v>0</v>
      </c>
      <c r="AA274" s="49">
        <f ca="1">(INDEX(HM_ZA_Nkossa!FA_ECR_cont_rate,1)*HM_ZA_Nkossa!CA_excess_cost_recovery)*(CA_PSC_switch_trig=0)+
(INDEX(HM_ZA_Nkossa!FA_ECR_cont_rate,2)*HM_ZA_Nkossa!CA_excess_cost_recovery)*(CA_PSC_switch_trig=1)</f>
        <v>0</v>
      </c>
      <c r="AB274" s="49">
        <f ca="1">(INDEX(HM_ZA_Nkossa!FA_ECR_cont_rate,1)*HM_ZA_Nkossa!CA_excess_cost_recovery)*(CA_PSC_switch_trig=0)+
(INDEX(HM_ZA_Nkossa!FA_ECR_cont_rate,2)*HM_ZA_Nkossa!CA_excess_cost_recovery)*(CA_PSC_switch_trig=1)</f>
        <v>0</v>
      </c>
      <c r="AC274" s="49">
        <f ca="1">(INDEX(HM_ZA_Nkossa!FA_ECR_cont_rate,1)*HM_ZA_Nkossa!CA_excess_cost_recovery)*(CA_PSC_switch_trig=0)+
(INDEX(HM_ZA_Nkossa!FA_ECR_cont_rate,2)*HM_ZA_Nkossa!CA_excess_cost_recovery)*(CA_PSC_switch_trig=1)</f>
        <v>0</v>
      </c>
      <c r="AD274" s="49">
        <f ca="1">(INDEX(HM_ZA_Nkossa!FA_ECR_cont_rate,1)*HM_ZA_Nkossa!CA_excess_cost_recovery)*(CA_PSC_switch_trig=0)+
(INDEX(HM_ZA_Nkossa!FA_ECR_cont_rate,2)*HM_ZA_Nkossa!CA_excess_cost_recovery)*(CA_PSC_switch_trig=1)</f>
        <v>0</v>
      </c>
      <c r="AE274" s="49">
        <f ca="1">(INDEX(HM_ZA_Nkossa!FA_ECR_cont_rate,1)*HM_ZA_Nkossa!CA_excess_cost_recovery)*(CA_PSC_switch_trig=0)+
(INDEX(HM_ZA_Nkossa!FA_ECR_cont_rate,2)*HM_ZA_Nkossa!CA_excess_cost_recovery)*(CA_PSC_switch_trig=1)</f>
        <v>0</v>
      </c>
      <c r="AF274" s="49">
        <f ca="1">(INDEX(HM_ZA_Nkossa!FA_ECR_cont_rate,1)*HM_ZA_Nkossa!CA_excess_cost_recovery)*(CA_PSC_switch_trig=0)+
(INDEX(HM_ZA_Nkossa!FA_ECR_cont_rate,2)*HM_ZA_Nkossa!CA_excess_cost_recovery)*(CA_PSC_switch_trig=1)</f>
        <v>0</v>
      </c>
      <c r="AG274" s="49">
        <f ca="1">(INDEX(HM_ZA_Nkossa!FA_ECR_cont_rate,1)*HM_ZA_Nkossa!CA_excess_cost_recovery)*(CA_PSC_switch_trig=0)+
(INDEX(HM_ZA_Nkossa!FA_ECR_cont_rate,2)*HM_ZA_Nkossa!CA_excess_cost_recovery)*(CA_PSC_switch_trig=1)</f>
        <v>0</v>
      </c>
      <c r="AH274" s="49">
        <f ca="1">(INDEX(HM_ZA_Nkossa!FA_ECR_cont_rate,1)*HM_ZA_Nkossa!CA_excess_cost_recovery)*(CA_PSC_switch_trig=0)+
(INDEX(HM_ZA_Nkossa!FA_ECR_cont_rate,2)*HM_ZA_Nkossa!CA_excess_cost_recovery)*(CA_PSC_switch_trig=1)</f>
        <v>0</v>
      </c>
      <c r="AI274" s="49">
        <f ca="1">(INDEX(HM_ZA_Nkossa!FA_ECR_cont_rate,1)*HM_ZA_Nkossa!CA_excess_cost_recovery)*(CA_PSC_switch_trig=0)+
(INDEX(HM_ZA_Nkossa!FA_ECR_cont_rate,2)*HM_ZA_Nkossa!CA_excess_cost_recovery)*(CA_PSC_switch_trig=1)</f>
        <v>0</v>
      </c>
      <c r="AJ274" s="49">
        <f ca="1">(INDEX(HM_ZA_Nkossa!FA_ECR_cont_rate,1)*HM_ZA_Nkossa!CA_excess_cost_recovery)*(CA_PSC_switch_trig=0)+
(INDEX(HM_ZA_Nkossa!FA_ECR_cont_rate,2)*HM_ZA_Nkossa!CA_excess_cost_recovery)*(CA_PSC_switch_trig=1)</f>
        <v>0</v>
      </c>
      <c r="AK274" s="49">
        <f ca="1">(INDEX(HM_ZA_Nkossa!FA_ECR_cont_rate,1)*HM_ZA_Nkossa!CA_excess_cost_recovery)*(CA_PSC_switch_trig=0)+
(INDEX(HM_ZA_Nkossa!FA_ECR_cont_rate,2)*HM_ZA_Nkossa!CA_excess_cost_recovery)*(CA_PSC_switch_trig=1)</f>
        <v>0</v>
      </c>
      <c r="AL274" s="49">
        <f ca="1">(INDEX(HM_ZA_Nkossa!FA_ECR_cont_rate,1)*HM_ZA_Nkossa!CA_excess_cost_recovery)*(CA_PSC_switch_trig=0)+
(INDEX(HM_ZA_Nkossa!FA_ECR_cont_rate,2)*HM_ZA_Nkossa!CA_excess_cost_recovery)*(CA_PSC_switch_trig=1)</f>
        <v>0</v>
      </c>
      <c r="AM274" s="49">
        <f ca="1">(INDEX(HM_ZA_Nkossa!FA_ECR_cont_rate,1)*HM_ZA_Nkossa!CA_excess_cost_recovery)*(CA_PSC_switch_trig=0)+
(INDEX(HM_ZA_Nkossa!FA_ECR_cont_rate,2)*HM_ZA_Nkossa!CA_excess_cost_recovery)*(CA_PSC_switch_trig=1)</f>
        <v>0</v>
      </c>
      <c r="AN274" s="49">
        <f ca="1">(INDEX(HM_ZA_Nkossa!FA_ECR_cont_rate,1)*HM_ZA_Nkossa!CA_excess_cost_recovery)*(CA_PSC_switch_trig=0)+
(INDEX(HM_ZA_Nkossa!FA_ECR_cont_rate,2)*HM_ZA_Nkossa!CA_excess_cost_recovery)*(CA_PSC_switch_trig=1)</f>
        <v>0</v>
      </c>
      <c r="AO274" s="49">
        <f ca="1">(INDEX(HM_ZA_Nkossa!FA_ECR_cont_rate,1)*HM_ZA_Nkossa!CA_excess_cost_recovery)*(CA_PSC_switch_trig=0)+
(INDEX(HM_ZA_Nkossa!FA_ECR_cont_rate,2)*HM_ZA_Nkossa!CA_excess_cost_recovery)*(CA_PSC_switch_trig=1)</f>
        <v>0</v>
      </c>
      <c r="AP274" s="49">
        <f ca="1">(INDEX(HM_ZA_Nkossa!FA_ECR_cont_rate,1)*HM_ZA_Nkossa!CA_excess_cost_recovery)*(CA_PSC_switch_trig=0)+
(INDEX(HM_ZA_Nkossa!FA_ECR_cont_rate,2)*HM_ZA_Nkossa!CA_excess_cost_recovery)*(CA_PSC_switch_trig=1)</f>
        <v>0</v>
      </c>
      <c r="AQ274" s="49">
        <f ca="1">(INDEX(HM_ZA_Nkossa!FA_ECR_cont_rate,1)*HM_ZA_Nkossa!CA_excess_cost_recovery)*(CA_PSC_switch_trig=0)+
(INDEX(HM_ZA_Nkossa!FA_ECR_cont_rate,2)*HM_ZA_Nkossa!CA_excess_cost_recovery)*(CA_PSC_switch_trig=1)</f>
        <v>0</v>
      </c>
      <c r="AR274" s="49">
        <f ca="1">(INDEX(HM_ZA_Nkossa!FA_ECR_cont_rate,1)*HM_ZA_Nkossa!CA_excess_cost_recovery)*(CA_PSC_switch_trig=0)+
(INDEX(HM_ZA_Nkossa!FA_ECR_cont_rate,2)*HM_ZA_Nkossa!CA_excess_cost_recovery)*(CA_PSC_switch_trig=1)</f>
        <v>0</v>
      </c>
      <c r="AS274" s="49">
        <f ca="1">(INDEX(HM_ZA_Nkossa!FA_ECR_cont_rate,1)*HM_ZA_Nkossa!CA_excess_cost_recovery)*(CA_PSC_switch_trig=0)+
(INDEX(HM_ZA_Nkossa!FA_ECR_cont_rate,2)*HM_ZA_Nkossa!CA_excess_cost_recovery)*(CA_PSC_switch_trig=1)</f>
        <v>0</v>
      </c>
      <c r="AT274" s="49">
        <f ca="1">(INDEX(HM_ZA_Nkossa!FA_ECR_cont_rate,1)*HM_ZA_Nkossa!CA_excess_cost_recovery)*(CA_PSC_switch_trig=0)+
(INDEX(HM_ZA_Nkossa!FA_ECR_cont_rate,2)*HM_ZA_Nkossa!CA_excess_cost_recovery)*(CA_PSC_switch_trig=1)</f>
        <v>0</v>
      </c>
      <c r="AU274" s="49">
        <f ca="1">(INDEX(HM_ZA_Nkossa!FA_ECR_cont_rate,1)*HM_ZA_Nkossa!CA_excess_cost_recovery)*(CA_PSC_switch_trig=0)+
(INDEX(HM_ZA_Nkossa!FA_ECR_cont_rate,2)*HM_ZA_Nkossa!CA_excess_cost_recovery)*(CA_PSC_switch_trig=1)</f>
        <v>0</v>
      </c>
      <c r="AV274" s="49">
        <f ca="1">(INDEX(HM_ZA_Nkossa!FA_ECR_cont_rate,1)*HM_ZA_Nkossa!CA_excess_cost_recovery)*(CA_PSC_switch_trig=0)+
(INDEX(HM_ZA_Nkossa!FA_ECR_cont_rate,2)*HM_ZA_Nkossa!CA_excess_cost_recovery)*(CA_PSC_switch_trig=1)</f>
        <v>0</v>
      </c>
      <c r="AW274" s="49">
        <f ca="1">(INDEX(HM_ZA_Nkossa!FA_ECR_cont_rate,1)*HM_ZA_Nkossa!CA_excess_cost_recovery)*(CA_PSC_switch_trig=0)+
(INDEX(HM_ZA_Nkossa!FA_ECR_cont_rate,2)*HM_ZA_Nkossa!CA_excess_cost_recovery)*(CA_PSC_switch_trig=1)</f>
        <v>0</v>
      </c>
      <c r="AX274" s="49">
        <f ca="1">(INDEX(HM_ZA_Nkossa!FA_ECR_cont_rate,1)*HM_ZA_Nkossa!CA_excess_cost_recovery)*(CA_PSC_switch_trig=0)+
(INDEX(HM_ZA_Nkossa!FA_ECR_cont_rate,2)*HM_ZA_Nkossa!CA_excess_cost_recovery)*(CA_PSC_switch_trig=1)</f>
        <v>0</v>
      </c>
      <c r="AY274" s="49">
        <f ca="1">(INDEX(HM_ZA_Nkossa!FA_ECR_cont_rate,1)*HM_ZA_Nkossa!CA_excess_cost_recovery)*(CA_PSC_switch_trig=0)+
(INDEX(HM_ZA_Nkossa!FA_ECR_cont_rate,2)*HM_ZA_Nkossa!CA_excess_cost_recovery)*(CA_PSC_switch_trig=1)</f>
        <v>0</v>
      </c>
      <c r="AZ274" s="49">
        <f ca="1">(INDEX(HM_ZA_Nkossa!FA_ECR_cont_rate,1)*HM_ZA_Nkossa!CA_excess_cost_recovery)*(CA_PSC_switch_trig=0)+
(INDEX(HM_ZA_Nkossa!FA_ECR_cont_rate,2)*HM_ZA_Nkossa!CA_excess_cost_recovery)*(CA_PSC_switch_trig=1)</f>
        <v>0</v>
      </c>
      <c r="BA274" s="49">
        <f ca="1">(INDEX(HM_ZA_Nkossa!FA_ECR_cont_rate,1)*HM_ZA_Nkossa!CA_excess_cost_recovery)*(CA_PSC_switch_trig=0)+
(INDEX(HM_ZA_Nkossa!FA_ECR_cont_rate,2)*HM_ZA_Nkossa!CA_excess_cost_recovery)*(CA_PSC_switch_trig=1)</f>
        <v>0</v>
      </c>
      <c r="BB274" s="49">
        <f ca="1">(INDEX(HM_ZA_Nkossa!FA_ECR_cont_rate,1)*HM_ZA_Nkossa!CA_excess_cost_recovery)*(CA_PSC_switch_trig=0)+
(INDEX(HM_ZA_Nkossa!FA_ECR_cont_rate,2)*HM_ZA_Nkossa!CA_excess_cost_recovery)*(CA_PSC_switch_trig=1)</f>
        <v>0</v>
      </c>
      <c r="BC274" s="49">
        <f ca="1">(INDEX(HM_ZA_Nkossa!FA_ECR_cont_rate,1)*HM_ZA_Nkossa!CA_excess_cost_recovery)*(CA_PSC_switch_trig=0)+
(INDEX(HM_ZA_Nkossa!FA_ECR_cont_rate,2)*HM_ZA_Nkossa!CA_excess_cost_recovery)*(CA_PSC_switch_trig=1)</f>
        <v>0</v>
      </c>
      <c r="BD274" s="49">
        <f ca="1">(INDEX(HM_ZA_Nkossa!FA_ECR_cont_rate,1)*HM_ZA_Nkossa!CA_excess_cost_recovery)*(CA_PSC_switch_trig=0)+
(INDEX(HM_ZA_Nkossa!FA_ECR_cont_rate,2)*HM_ZA_Nkossa!CA_excess_cost_recovery)*(CA_PSC_switch_trig=1)</f>
        <v>0</v>
      </c>
      <c r="BE274" s="49">
        <f ca="1">(INDEX(HM_ZA_Nkossa!FA_ECR_cont_rate,1)*HM_ZA_Nkossa!CA_excess_cost_recovery)*(CA_PSC_switch_trig=0)+
(INDEX(HM_ZA_Nkossa!FA_ECR_cont_rate,2)*HM_ZA_Nkossa!CA_excess_cost_recovery)*(CA_PSC_switch_trig=1)</f>
        <v>0</v>
      </c>
      <c r="BF274" s="49">
        <f ca="1">(INDEX(HM_ZA_Nkossa!FA_ECR_cont_rate,1)*HM_ZA_Nkossa!CA_excess_cost_recovery)*(CA_PSC_switch_trig=0)+
(INDEX(HM_ZA_Nkossa!FA_ECR_cont_rate,2)*HM_ZA_Nkossa!CA_excess_cost_recovery)*(CA_PSC_switch_trig=1)</f>
        <v>0</v>
      </c>
      <c r="BG274" s="49">
        <f ca="1">(INDEX(HM_ZA_Nkossa!FA_ECR_cont_rate,1)*HM_ZA_Nkossa!CA_excess_cost_recovery)*(CA_PSC_switch_trig=0)+
(INDEX(HM_ZA_Nkossa!FA_ECR_cont_rate,2)*HM_ZA_Nkossa!CA_excess_cost_recovery)*(CA_PSC_switch_trig=1)</f>
        <v>0</v>
      </c>
      <c r="BH274" s="49">
        <f ca="1">(INDEX(HM_ZA_Nkossa!FA_ECR_cont_rate,1)*HM_ZA_Nkossa!CA_excess_cost_recovery)*(CA_PSC_switch_trig=0)+
(INDEX(HM_ZA_Nkossa!FA_ECR_cont_rate,2)*HM_ZA_Nkossa!CA_excess_cost_recovery)*(CA_PSC_switch_trig=1)</f>
        <v>0</v>
      </c>
      <c r="BI274" s="49">
        <f ca="1">(INDEX(HM_ZA_Nkossa!FA_ECR_cont_rate,1)*HM_ZA_Nkossa!CA_excess_cost_recovery)*(CA_PSC_switch_trig=0)+
(INDEX(HM_ZA_Nkossa!FA_ECR_cont_rate,2)*HM_ZA_Nkossa!CA_excess_cost_recovery)*(CA_PSC_switch_trig=1)</f>
        <v>0</v>
      </c>
      <c r="BJ274" s="49">
        <f ca="1">(INDEX(HM_ZA_Nkossa!FA_ECR_cont_rate,1)*HM_ZA_Nkossa!CA_excess_cost_recovery)*(CA_PSC_switch_trig=0)+
(INDEX(HM_ZA_Nkossa!FA_ECR_cont_rate,2)*HM_ZA_Nkossa!CA_excess_cost_recovery)*(CA_PSC_switch_trig=1)</f>
        <v>0</v>
      </c>
      <c r="BK274" s="49">
        <f ca="1">(INDEX(HM_ZA_Nkossa!FA_ECR_cont_rate,1)*HM_ZA_Nkossa!CA_excess_cost_recovery)*(CA_PSC_switch_trig=0)+
(INDEX(HM_ZA_Nkossa!FA_ECR_cont_rate,2)*HM_ZA_Nkossa!CA_excess_cost_recovery)*(CA_PSC_switch_trig=1)</f>
        <v>0</v>
      </c>
      <c r="BL274" s="49">
        <f ca="1">(INDEX(HM_ZA_Nkossa!FA_ECR_cont_rate,1)*HM_ZA_Nkossa!CA_excess_cost_recovery)*(CA_PSC_switch_trig=0)+
(INDEX(HM_ZA_Nkossa!FA_ECR_cont_rate,2)*HM_ZA_Nkossa!CA_excess_cost_recovery)*(CA_PSC_switch_trig=1)</f>
        <v>0</v>
      </c>
      <c r="BM274" s="49">
        <f ca="1">(INDEX(HM_ZA_Nkossa!FA_ECR_cont_rate,1)*HM_ZA_Nkossa!CA_excess_cost_recovery)*(CA_PSC_switch_trig=0)+
(INDEX(HM_ZA_Nkossa!FA_ECR_cont_rate,2)*HM_ZA_Nkossa!CA_excess_cost_recovery)*(CA_PSC_switch_trig=1)</f>
        <v>0</v>
      </c>
      <c r="BN274" s="49">
        <f ca="1">(INDEX(HM_ZA_Nkossa!FA_ECR_cont_rate,1)*HM_ZA_Nkossa!CA_excess_cost_recovery)*(CA_PSC_switch_trig=0)+
(INDEX(HM_ZA_Nkossa!FA_ECR_cont_rate,2)*HM_ZA_Nkossa!CA_excess_cost_recovery)*(CA_PSC_switch_trig=1)</f>
        <v>0</v>
      </c>
      <c r="BO274" s="49">
        <f ca="1">(INDEX(HM_ZA_Nkossa!FA_ECR_cont_rate,1)*HM_ZA_Nkossa!CA_excess_cost_recovery)*(CA_PSC_switch_trig=0)+
(INDEX(HM_ZA_Nkossa!FA_ECR_cont_rate,2)*HM_ZA_Nkossa!CA_excess_cost_recovery)*(CA_PSC_switch_trig=1)</f>
        <v>0</v>
      </c>
      <c r="BP274" s="49">
        <f ca="1">(INDEX(HM_ZA_Nkossa!FA_ECR_cont_rate,1)*HM_ZA_Nkossa!CA_excess_cost_recovery)*(CA_PSC_switch_trig=0)+
(INDEX(HM_ZA_Nkossa!FA_ECR_cont_rate,2)*HM_ZA_Nkossa!CA_excess_cost_recovery)*(CA_PSC_switch_trig=1)</f>
        <v>0</v>
      </c>
      <c r="BQ274" s="49">
        <f ca="1">(INDEX(HM_ZA_Nkossa!FA_ECR_cont_rate,1)*HM_ZA_Nkossa!CA_excess_cost_recovery)*(CA_PSC_switch_trig=0)+
(INDEX(HM_ZA_Nkossa!FA_ECR_cont_rate,2)*HM_ZA_Nkossa!CA_excess_cost_recovery)*(CA_PSC_switch_trig=1)</f>
        <v>0</v>
      </c>
      <c r="BR274" s="49">
        <f ca="1">(INDEX(HM_ZA_Nkossa!FA_ECR_cont_rate,1)*HM_ZA_Nkossa!CA_excess_cost_recovery)*(CA_PSC_switch_trig=0)+
(INDEX(HM_ZA_Nkossa!FA_ECR_cont_rate,2)*HM_ZA_Nkossa!CA_excess_cost_recovery)*(CA_PSC_switch_trig=1)</f>
        <v>0</v>
      </c>
      <c r="BS274" s="49">
        <f ca="1">(INDEX(HM_ZA_Nkossa!FA_ECR_cont_rate,1)*HM_ZA_Nkossa!CA_excess_cost_recovery)*(CA_PSC_switch_trig=0)+
(INDEX(HM_ZA_Nkossa!FA_ECR_cont_rate,2)*HM_ZA_Nkossa!CA_excess_cost_recovery)*(CA_PSC_switch_trig=1)</f>
        <v>0</v>
      </c>
    </row>
    <row r="275" spans="3:71" outlineLevel="1" x14ac:dyDescent="0.2">
      <c r="D275" t="str">
        <f>CHOOSE(db_ML_selected,'Liste Traduction'!B338,'Liste Traduction'!C338)</f>
        <v>Part du Gouv. dans l'Excess Cost oil</v>
      </c>
      <c r="I275" s="30">
        <f t="shared" ca="1" si="72"/>
        <v>1.4210854715202004E-14</v>
      </c>
      <c r="J275" s="26" t="s">
        <v>148</v>
      </c>
      <c r="K275" s="7" t="s">
        <v>216</v>
      </c>
      <c r="L275" s="49">
        <f ca="1">HM_ZA_Nkossa!CA_excess_cost_recovery-HM_ZA_Nkossa!CA_excess_CR_cont</f>
        <v>0</v>
      </c>
      <c r="M275" s="49">
        <f ca="1">HM_ZA_Nkossa!CA_excess_cost_recovery-HM_ZA_Nkossa!CA_excess_CR_cont</f>
        <v>0</v>
      </c>
      <c r="N275" s="49">
        <f ca="1">HM_ZA_Nkossa!CA_excess_cost_recovery-HM_ZA_Nkossa!CA_excess_CR_cont</f>
        <v>0</v>
      </c>
      <c r="O275" s="49">
        <f ca="1">HM_ZA_Nkossa!CA_excess_cost_recovery-HM_ZA_Nkossa!CA_excess_CR_cont</f>
        <v>0</v>
      </c>
      <c r="P275" s="49">
        <f ca="1">HM_ZA_Nkossa!CA_excess_cost_recovery-HM_ZA_Nkossa!CA_excess_CR_cont</f>
        <v>0</v>
      </c>
      <c r="Q275" s="49">
        <f ca="1">HM_ZA_Nkossa!CA_excess_cost_recovery-HM_ZA_Nkossa!CA_excess_CR_cont</f>
        <v>1.4210854715202004E-14</v>
      </c>
      <c r="R275" s="49">
        <f ca="1">HM_ZA_Nkossa!CA_excess_cost_recovery-HM_ZA_Nkossa!CA_excess_CR_cont</f>
        <v>0</v>
      </c>
      <c r="S275" s="49">
        <f ca="1">HM_ZA_Nkossa!CA_excess_cost_recovery-HM_ZA_Nkossa!CA_excess_CR_cont</f>
        <v>0</v>
      </c>
      <c r="T275" s="49">
        <f ca="1">HM_ZA_Nkossa!CA_excess_cost_recovery-HM_ZA_Nkossa!CA_excess_CR_cont</f>
        <v>0</v>
      </c>
      <c r="U275" s="49">
        <f ca="1">HM_ZA_Nkossa!CA_excess_cost_recovery-HM_ZA_Nkossa!CA_excess_CR_cont</f>
        <v>0</v>
      </c>
      <c r="V275" s="49">
        <f ca="1">HM_ZA_Nkossa!CA_excess_cost_recovery-HM_ZA_Nkossa!CA_excess_CR_cont</f>
        <v>0</v>
      </c>
      <c r="W275" s="49">
        <f ca="1">HM_ZA_Nkossa!CA_excess_cost_recovery-HM_ZA_Nkossa!CA_excess_CR_cont</f>
        <v>0</v>
      </c>
      <c r="X275" s="49">
        <f ca="1">HM_ZA_Nkossa!CA_excess_cost_recovery-HM_ZA_Nkossa!CA_excess_CR_cont</f>
        <v>0</v>
      </c>
      <c r="Y275" s="49">
        <f ca="1">HM_ZA_Nkossa!CA_excess_cost_recovery-HM_ZA_Nkossa!CA_excess_CR_cont</f>
        <v>0</v>
      </c>
      <c r="Z275" s="49">
        <f ca="1">HM_ZA_Nkossa!CA_excess_cost_recovery-HM_ZA_Nkossa!CA_excess_CR_cont</f>
        <v>0</v>
      </c>
      <c r="AA275" s="49">
        <f ca="1">HM_ZA_Nkossa!CA_excess_cost_recovery-HM_ZA_Nkossa!CA_excess_CR_cont</f>
        <v>0</v>
      </c>
      <c r="AB275" s="49">
        <f ca="1">HM_ZA_Nkossa!CA_excess_cost_recovery-HM_ZA_Nkossa!CA_excess_CR_cont</f>
        <v>0</v>
      </c>
      <c r="AC275" s="49">
        <f ca="1">HM_ZA_Nkossa!CA_excess_cost_recovery-HM_ZA_Nkossa!CA_excess_CR_cont</f>
        <v>0</v>
      </c>
      <c r="AD275" s="49">
        <f ca="1">HM_ZA_Nkossa!CA_excess_cost_recovery-HM_ZA_Nkossa!CA_excess_CR_cont</f>
        <v>0</v>
      </c>
      <c r="AE275" s="49">
        <f ca="1">HM_ZA_Nkossa!CA_excess_cost_recovery-HM_ZA_Nkossa!CA_excess_CR_cont</f>
        <v>0</v>
      </c>
      <c r="AF275" s="49">
        <f ca="1">HM_ZA_Nkossa!CA_excess_cost_recovery-HM_ZA_Nkossa!CA_excess_CR_cont</f>
        <v>0</v>
      </c>
      <c r="AG275" s="49">
        <f ca="1">HM_ZA_Nkossa!CA_excess_cost_recovery-HM_ZA_Nkossa!CA_excess_CR_cont</f>
        <v>0</v>
      </c>
      <c r="AH275" s="49">
        <f ca="1">HM_ZA_Nkossa!CA_excess_cost_recovery-HM_ZA_Nkossa!CA_excess_CR_cont</f>
        <v>0</v>
      </c>
      <c r="AI275" s="49">
        <f ca="1">HM_ZA_Nkossa!CA_excess_cost_recovery-HM_ZA_Nkossa!CA_excess_CR_cont</f>
        <v>0</v>
      </c>
      <c r="AJ275" s="49">
        <f ca="1">HM_ZA_Nkossa!CA_excess_cost_recovery-HM_ZA_Nkossa!CA_excess_CR_cont</f>
        <v>0</v>
      </c>
      <c r="AK275" s="49">
        <f ca="1">HM_ZA_Nkossa!CA_excess_cost_recovery-HM_ZA_Nkossa!CA_excess_CR_cont</f>
        <v>0</v>
      </c>
      <c r="AL275" s="49">
        <f ca="1">HM_ZA_Nkossa!CA_excess_cost_recovery-HM_ZA_Nkossa!CA_excess_CR_cont</f>
        <v>0</v>
      </c>
      <c r="AM275" s="49">
        <f ca="1">HM_ZA_Nkossa!CA_excess_cost_recovery-HM_ZA_Nkossa!CA_excess_CR_cont</f>
        <v>0</v>
      </c>
      <c r="AN275" s="49">
        <f ca="1">HM_ZA_Nkossa!CA_excess_cost_recovery-HM_ZA_Nkossa!CA_excess_CR_cont</f>
        <v>0</v>
      </c>
      <c r="AO275" s="49">
        <f ca="1">HM_ZA_Nkossa!CA_excess_cost_recovery-HM_ZA_Nkossa!CA_excess_CR_cont</f>
        <v>0</v>
      </c>
      <c r="AP275" s="49">
        <f ca="1">HM_ZA_Nkossa!CA_excess_cost_recovery-HM_ZA_Nkossa!CA_excess_CR_cont</f>
        <v>0</v>
      </c>
      <c r="AQ275" s="49">
        <f ca="1">HM_ZA_Nkossa!CA_excess_cost_recovery-HM_ZA_Nkossa!CA_excess_CR_cont</f>
        <v>0</v>
      </c>
      <c r="AR275" s="49">
        <f ca="1">HM_ZA_Nkossa!CA_excess_cost_recovery-HM_ZA_Nkossa!CA_excess_CR_cont</f>
        <v>0</v>
      </c>
      <c r="AS275" s="49">
        <f ca="1">HM_ZA_Nkossa!CA_excess_cost_recovery-HM_ZA_Nkossa!CA_excess_CR_cont</f>
        <v>0</v>
      </c>
      <c r="AT275" s="49">
        <f ca="1">HM_ZA_Nkossa!CA_excess_cost_recovery-HM_ZA_Nkossa!CA_excess_CR_cont</f>
        <v>0</v>
      </c>
      <c r="AU275" s="49">
        <f ca="1">HM_ZA_Nkossa!CA_excess_cost_recovery-HM_ZA_Nkossa!CA_excess_CR_cont</f>
        <v>0</v>
      </c>
      <c r="AV275" s="49">
        <f ca="1">HM_ZA_Nkossa!CA_excess_cost_recovery-HM_ZA_Nkossa!CA_excess_CR_cont</f>
        <v>0</v>
      </c>
      <c r="AW275" s="49">
        <f ca="1">HM_ZA_Nkossa!CA_excess_cost_recovery-HM_ZA_Nkossa!CA_excess_CR_cont</f>
        <v>0</v>
      </c>
      <c r="AX275" s="49">
        <f ca="1">HM_ZA_Nkossa!CA_excess_cost_recovery-HM_ZA_Nkossa!CA_excess_CR_cont</f>
        <v>0</v>
      </c>
      <c r="AY275" s="49">
        <f ca="1">HM_ZA_Nkossa!CA_excess_cost_recovery-HM_ZA_Nkossa!CA_excess_CR_cont</f>
        <v>0</v>
      </c>
      <c r="AZ275" s="49">
        <f ca="1">HM_ZA_Nkossa!CA_excess_cost_recovery-HM_ZA_Nkossa!CA_excess_CR_cont</f>
        <v>0</v>
      </c>
      <c r="BA275" s="49">
        <f ca="1">HM_ZA_Nkossa!CA_excess_cost_recovery-HM_ZA_Nkossa!CA_excess_CR_cont</f>
        <v>0</v>
      </c>
      <c r="BB275" s="49">
        <f ca="1">HM_ZA_Nkossa!CA_excess_cost_recovery-HM_ZA_Nkossa!CA_excess_CR_cont</f>
        <v>0</v>
      </c>
      <c r="BC275" s="49">
        <f ca="1">HM_ZA_Nkossa!CA_excess_cost_recovery-HM_ZA_Nkossa!CA_excess_CR_cont</f>
        <v>0</v>
      </c>
      <c r="BD275" s="49">
        <f ca="1">HM_ZA_Nkossa!CA_excess_cost_recovery-HM_ZA_Nkossa!CA_excess_CR_cont</f>
        <v>0</v>
      </c>
      <c r="BE275" s="49">
        <f ca="1">HM_ZA_Nkossa!CA_excess_cost_recovery-HM_ZA_Nkossa!CA_excess_CR_cont</f>
        <v>0</v>
      </c>
      <c r="BF275" s="49">
        <f ca="1">HM_ZA_Nkossa!CA_excess_cost_recovery-HM_ZA_Nkossa!CA_excess_CR_cont</f>
        <v>0</v>
      </c>
      <c r="BG275" s="49">
        <f ca="1">HM_ZA_Nkossa!CA_excess_cost_recovery-HM_ZA_Nkossa!CA_excess_CR_cont</f>
        <v>0</v>
      </c>
      <c r="BH275" s="49">
        <f ca="1">HM_ZA_Nkossa!CA_excess_cost_recovery-HM_ZA_Nkossa!CA_excess_CR_cont</f>
        <v>0</v>
      </c>
      <c r="BI275" s="49">
        <f ca="1">HM_ZA_Nkossa!CA_excess_cost_recovery-HM_ZA_Nkossa!CA_excess_CR_cont</f>
        <v>0</v>
      </c>
      <c r="BJ275" s="49">
        <f ca="1">HM_ZA_Nkossa!CA_excess_cost_recovery-HM_ZA_Nkossa!CA_excess_CR_cont</f>
        <v>0</v>
      </c>
      <c r="BK275" s="49">
        <f ca="1">HM_ZA_Nkossa!CA_excess_cost_recovery-HM_ZA_Nkossa!CA_excess_CR_cont</f>
        <v>0</v>
      </c>
      <c r="BL275" s="49">
        <f ca="1">HM_ZA_Nkossa!CA_excess_cost_recovery-HM_ZA_Nkossa!CA_excess_CR_cont</f>
        <v>0</v>
      </c>
      <c r="BM275" s="49">
        <f ca="1">HM_ZA_Nkossa!CA_excess_cost_recovery-HM_ZA_Nkossa!CA_excess_CR_cont</f>
        <v>0</v>
      </c>
      <c r="BN275" s="49">
        <f ca="1">HM_ZA_Nkossa!CA_excess_cost_recovery-HM_ZA_Nkossa!CA_excess_CR_cont</f>
        <v>0</v>
      </c>
      <c r="BO275" s="49">
        <f ca="1">HM_ZA_Nkossa!CA_excess_cost_recovery-HM_ZA_Nkossa!CA_excess_CR_cont</f>
        <v>0</v>
      </c>
      <c r="BP275" s="49">
        <f ca="1">HM_ZA_Nkossa!CA_excess_cost_recovery-HM_ZA_Nkossa!CA_excess_CR_cont</f>
        <v>0</v>
      </c>
      <c r="BQ275" s="49">
        <f ca="1">HM_ZA_Nkossa!CA_excess_cost_recovery-HM_ZA_Nkossa!CA_excess_CR_cont</f>
        <v>0</v>
      </c>
      <c r="BR275" s="49">
        <f ca="1">HM_ZA_Nkossa!CA_excess_cost_recovery-HM_ZA_Nkossa!CA_excess_CR_cont</f>
        <v>0</v>
      </c>
      <c r="BS275" s="49">
        <f ca="1">HM_ZA_Nkossa!CA_excess_cost_recovery-HM_ZA_Nkossa!CA_excess_CR_cont</f>
        <v>0</v>
      </c>
    </row>
    <row r="276" spans="3:71" outlineLevel="1" x14ac:dyDescent="0.2">
      <c r="J276" s="26"/>
      <c r="L276" s="55"/>
      <c r="M276" s="55"/>
      <c r="N276" s="55"/>
      <c r="O276" s="55"/>
      <c r="P276" s="55"/>
      <c r="Q276" s="55"/>
      <c r="R276" s="55"/>
      <c r="S276" s="55"/>
      <c r="T276" s="55"/>
      <c r="U276" s="55"/>
      <c r="V276" s="55"/>
      <c r="W276" s="55"/>
      <c r="X276" s="55"/>
      <c r="Y276" s="55"/>
      <c r="Z276" s="55"/>
      <c r="AA276" s="55"/>
      <c r="AB276" s="55"/>
      <c r="AC276" s="55"/>
      <c r="AD276" s="55"/>
      <c r="AE276" s="55"/>
      <c r="AF276" s="55"/>
      <c r="AG276" s="55"/>
      <c r="AH276" s="55"/>
      <c r="AI276" s="55"/>
      <c r="AJ276" s="55"/>
      <c r="AK276" s="55"/>
      <c r="AL276" s="55"/>
      <c r="AM276" s="55"/>
      <c r="AN276" s="55"/>
      <c r="AO276" s="55"/>
      <c r="AP276" s="55"/>
      <c r="AQ276" s="55"/>
      <c r="AR276" s="55"/>
      <c r="AS276" s="55"/>
      <c r="AT276" s="55"/>
      <c r="AU276" s="55"/>
      <c r="AV276" s="55"/>
      <c r="AW276" s="55"/>
      <c r="AX276" s="55"/>
      <c r="AY276" s="55"/>
      <c r="AZ276" s="55"/>
      <c r="BA276" s="55"/>
      <c r="BB276" s="55"/>
      <c r="BC276" s="55"/>
      <c r="BD276" s="55"/>
      <c r="BE276" s="55"/>
      <c r="BF276" s="55"/>
      <c r="BG276" s="55"/>
      <c r="BH276" s="55"/>
      <c r="BI276" s="55"/>
      <c r="BJ276" s="55"/>
      <c r="BK276" s="55"/>
      <c r="BL276" s="55"/>
      <c r="BM276" s="55"/>
      <c r="BN276" s="55"/>
      <c r="BO276" s="55"/>
      <c r="BP276" s="55"/>
      <c r="BQ276" s="55"/>
      <c r="BR276" s="55"/>
      <c r="BS276" s="55"/>
    </row>
    <row r="277" spans="3:71" outlineLevel="1" x14ac:dyDescent="0.2">
      <c r="J277" s="26"/>
      <c r="L277" s="55"/>
      <c r="M277" s="55"/>
      <c r="N277" s="55"/>
      <c r="O277" s="55"/>
      <c r="P277" s="55"/>
      <c r="Q277" s="55"/>
      <c r="R277" s="55"/>
      <c r="S277" s="55"/>
      <c r="T277" s="55"/>
      <c r="U277" s="55"/>
      <c r="V277" s="55"/>
      <c r="W277" s="55"/>
      <c r="X277" s="55"/>
      <c r="Y277" s="55"/>
      <c r="Z277" s="55"/>
      <c r="AA277" s="55"/>
      <c r="AB277" s="55"/>
      <c r="AC277" s="55"/>
      <c r="AD277" s="55"/>
      <c r="AE277" s="55"/>
      <c r="AF277" s="55"/>
      <c r="AG277" s="55"/>
      <c r="AH277" s="55"/>
      <c r="AI277" s="55"/>
      <c r="AJ277" s="55"/>
      <c r="AK277" s="55"/>
      <c r="AL277" s="55"/>
      <c r="AM277" s="55"/>
      <c r="AN277" s="55"/>
      <c r="AO277" s="55"/>
      <c r="AP277" s="55"/>
      <c r="AQ277" s="55"/>
      <c r="AR277" s="55"/>
      <c r="AS277" s="55"/>
      <c r="AT277" s="55"/>
      <c r="AU277" s="55"/>
      <c r="AV277" s="55"/>
      <c r="AW277" s="55"/>
      <c r="AX277" s="55"/>
      <c r="AY277" s="55"/>
      <c r="AZ277" s="55"/>
      <c r="BA277" s="55"/>
      <c r="BB277" s="55"/>
      <c r="BC277" s="55"/>
      <c r="BD277" s="55"/>
      <c r="BE277" s="55"/>
      <c r="BF277" s="55"/>
      <c r="BG277" s="55"/>
      <c r="BH277" s="55"/>
      <c r="BI277" s="55"/>
      <c r="BJ277" s="55"/>
      <c r="BK277" s="55"/>
      <c r="BL277" s="55"/>
      <c r="BM277" s="55"/>
      <c r="BN277" s="55"/>
      <c r="BO277" s="55"/>
      <c r="BP277" s="55"/>
      <c r="BQ277" s="55"/>
      <c r="BR277" s="55"/>
      <c r="BS277" s="55"/>
    </row>
    <row r="278" spans="3:71" outlineLevel="1" x14ac:dyDescent="0.2">
      <c r="C278" s="11" t="str">
        <f>C49</f>
        <v>Super Profit Oil (SPO)</v>
      </c>
      <c r="J278" s="26"/>
      <c r="L278" s="55"/>
      <c r="M278" s="55"/>
      <c r="N278" s="55"/>
      <c r="O278" s="55"/>
      <c r="P278" s="55"/>
      <c r="Q278" s="55"/>
      <c r="R278" s="55"/>
      <c r="S278" s="55"/>
      <c r="T278" s="55"/>
      <c r="U278" s="55"/>
      <c r="V278" s="55"/>
      <c r="W278" s="5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55"/>
      <c r="BR278" s="55"/>
      <c r="BS278" s="55"/>
    </row>
    <row r="279" spans="3:71" outlineLevel="1" x14ac:dyDescent="0.2">
      <c r="J279" s="26"/>
      <c r="L279" s="55"/>
      <c r="M279" s="55"/>
      <c r="N279" s="55"/>
      <c r="O279" s="55"/>
      <c r="P279" s="55"/>
      <c r="Q279" s="55"/>
      <c r="R279" s="55"/>
      <c r="S279" s="55"/>
      <c r="T279" s="55"/>
      <c r="U279" s="55"/>
      <c r="V279" s="55"/>
      <c r="W279" s="55"/>
      <c r="X279" s="55"/>
      <c r="Y279" s="55"/>
      <c r="Z279" s="55"/>
      <c r="AA279" s="55"/>
      <c r="AB279" s="55"/>
      <c r="AC279" s="55"/>
      <c r="AD279" s="55"/>
      <c r="AE279" s="55"/>
      <c r="AF279" s="55"/>
      <c r="AG279" s="55"/>
      <c r="AH279" s="55"/>
      <c r="AI279" s="55"/>
      <c r="AJ279" s="55"/>
      <c r="AK279" s="55"/>
      <c r="AL279" s="55"/>
      <c r="AM279" s="55"/>
      <c r="AN279" s="55"/>
      <c r="AO279" s="55"/>
      <c r="AP279" s="55"/>
      <c r="AQ279" s="55"/>
      <c r="AR279" s="55"/>
      <c r="AS279" s="55"/>
      <c r="AT279" s="55"/>
      <c r="AU279" s="55"/>
      <c r="AV279" s="55"/>
      <c r="AW279" s="55"/>
      <c r="AX279" s="55"/>
      <c r="AY279" s="55"/>
      <c r="AZ279" s="55"/>
      <c r="BA279" s="55"/>
      <c r="BB279" s="55"/>
      <c r="BC279" s="55"/>
      <c r="BD279" s="55"/>
      <c r="BE279" s="55"/>
      <c r="BF279" s="55"/>
      <c r="BG279" s="55"/>
      <c r="BH279" s="55"/>
      <c r="BI279" s="55"/>
      <c r="BJ279" s="55"/>
      <c r="BK279" s="55"/>
      <c r="BL279" s="55"/>
      <c r="BM279" s="55"/>
      <c r="BN279" s="55"/>
      <c r="BO279" s="55"/>
      <c r="BP279" s="55"/>
      <c r="BQ279" s="55"/>
      <c r="BR279" s="55"/>
      <c r="BS279" s="55"/>
    </row>
    <row r="280" spans="3:71" outlineLevel="1" x14ac:dyDescent="0.2">
      <c r="D280" s="35" t="str">
        <f>CHOOSE(db_ML_selected,'Liste Traduction'!B340,'Liste Traduction'!C340)</f>
        <v>Déclencheur SPO</v>
      </c>
      <c r="J280" s="26"/>
      <c r="K280" s="7" t="s">
        <v>219</v>
      </c>
      <c r="L280" s="49">
        <f ca="1">1*OR(AND(HM_ZA_Nkossa!CA_gross_rev_total_fp&gt;HM_ZA_Nkossa!CA_gross_rev_oil_hp1,HM_ZA_Nkossa!CA_op_trig=1,CA_PSC_switch_trig=0),
AND(HM_ZA_Nkossa!CA_gross_rev_total_fp&gt;HM_ZA_Nkossa!CA_gross_rev_oil_hp2,HM_ZA_Nkossa!CA_op_trig=1,CA_PSC_switch_trig=1))</f>
        <v>1</v>
      </c>
      <c r="M280" s="49">
        <f ca="1">1*OR(AND(HM_ZA_Nkossa!CA_gross_rev_total_fp&gt;HM_ZA_Nkossa!CA_gross_rev_oil_hp1,HM_ZA_Nkossa!CA_op_trig=1,CA_PSC_switch_trig=0),
AND(HM_ZA_Nkossa!CA_gross_rev_total_fp&gt;HM_ZA_Nkossa!CA_gross_rev_oil_hp2,HM_ZA_Nkossa!CA_op_trig=1,CA_PSC_switch_trig=1))</f>
        <v>1</v>
      </c>
      <c r="N280" s="49">
        <f ca="1">1*OR(AND(HM_ZA_Nkossa!CA_gross_rev_total_fp&gt;HM_ZA_Nkossa!CA_gross_rev_oil_hp1,HM_ZA_Nkossa!CA_op_trig=1,CA_PSC_switch_trig=0),
AND(HM_ZA_Nkossa!CA_gross_rev_total_fp&gt;HM_ZA_Nkossa!CA_gross_rev_oil_hp2,HM_ZA_Nkossa!CA_op_trig=1,CA_PSC_switch_trig=1))</f>
        <v>1</v>
      </c>
      <c r="O280" s="49">
        <f ca="1">1*OR(AND(HM_ZA_Nkossa!CA_gross_rev_total_fp&gt;HM_ZA_Nkossa!CA_gross_rev_oil_hp1,HM_ZA_Nkossa!CA_op_trig=1,CA_PSC_switch_trig=0),
AND(HM_ZA_Nkossa!CA_gross_rev_total_fp&gt;HM_ZA_Nkossa!CA_gross_rev_oil_hp2,HM_ZA_Nkossa!CA_op_trig=1,CA_PSC_switch_trig=1))</f>
        <v>1</v>
      </c>
      <c r="P280" s="49">
        <f ca="1">1*OR(AND(HM_ZA_Nkossa!CA_gross_rev_total_fp&gt;HM_ZA_Nkossa!CA_gross_rev_oil_hp1,HM_ZA_Nkossa!CA_op_trig=1,CA_PSC_switch_trig=0),
AND(HM_ZA_Nkossa!CA_gross_rev_total_fp&gt;HM_ZA_Nkossa!CA_gross_rev_oil_hp2,HM_ZA_Nkossa!CA_op_trig=1,CA_PSC_switch_trig=1))</f>
        <v>0</v>
      </c>
      <c r="Q280" s="49">
        <f ca="1">1*OR(AND(HM_ZA_Nkossa!CA_gross_rev_total_fp&gt;HM_ZA_Nkossa!CA_gross_rev_oil_hp1,HM_ZA_Nkossa!CA_op_trig=1,CA_PSC_switch_trig=0),
AND(HM_ZA_Nkossa!CA_gross_rev_total_fp&gt;HM_ZA_Nkossa!CA_gross_rev_oil_hp2,HM_ZA_Nkossa!CA_op_trig=1,CA_PSC_switch_trig=1))</f>
        <v>1</v>
      </c>
      <c r="R280" s="49">
        <f ca="1">1*OR(AND(HM_ZA_Nkossa!CA_gross_rev_total_fp&gt;HM_ZA_Nkossa!CA_gross_rev_oil_hp1,HM_ZA_Nkossa!CA_op_trig=1,CA_PSC_switch_trig=0),
AND(HM_ZA_Nkossa!CA_gross_rev_total_fp&gt;HM_ZA_Nkossa!CA_gross_rev_oil_hp2,HM_ZA_Nkossa!CA_op_trig=1,CA_PSC_switch_trig=1))</f>
        <v>0</v>
      </c>
      <c r="S280" s="49">
        <f ca="1">1*OR(AND(HM_ZA_Nkossa!CA_gross_rev_total_fp&gt;HM_ZA_Nkossa!CA_gross_rev_oil_hp1,HM_ZA_Nkossa!CA_op_trig=1,CA_PSC_switch_trig=0),
AND(HM_ZA_Nkossa!CA_gross_rev_total_fp&gt;HM_ZA_Nkossa!CA_gross_rev_oil_hp2,HM_ZA_Nkossa!CA_op_trig=1,CA_PSC_switch_trig=1))</f>
        <v>0</v>
      </c>
      <c r="T280" s="49">
        <f ca="1">1*OR(AND(HM_ZA_Nkossa!CA_gross_rev_total_fp&gt;HM_ZA_Nkossa!CA_gross_rev_oil_hp1,HM_ZA_Nkossa!CA_op_trig=1,CA_PSC_switch_trig=0),
AND(HM_ZA_Nkossa!CA_gross_rev_total_fp&gt;HM_ZA_Nkossa!CA_gross_rev_oil_hp2,HM_ZA_Nkossa!CA_op_trig=1,CA_PSC_switch_trig=1))</f>
        <v>0</v>
      </c>
      <c r="U280" s="49">
        <f ca="1">1*OR(AND(HM_ZA_Nkossa!CA_gross_rev_total_fp&gt;HM_ZA_Nkossa!CA_gross_rev_oil_hp1,HM_ZA_Nkossa!CA_op_trig=1,CA_PSC_switch_trig=0),
AND(HM_ZA_Nkossa!CA_gross_rev_total_fp&gt;HM_ZA_Nkossa!CA_gross_rev_oil_hp2,HM_ZA_Nkossa!CA_op_trig=1,CA_PSC_switch_trig=1))</f>
        <v>0</v>
      </c>
      <c r="V280" s="49">
        <f ca="1">1*OR(AND(HM_ZA_Nkossa!CA_gross_rev_total_fp&gt;HM_ZA_Nkossa!CA_gross_rev_oil_hp1,HM_ZA_Nkossa!CA_op_trig=1,CA_PSC_switch_trig=0),
AND(HM_ZA_Nkossa!CA_gross_rev_total_fp&gt;HM_ZA_Nkossa!CA_gross_rev_oil_hp2,HM_ZA_Nkossa!CA_op_trig=1,CA_PSC_switch_trig=1))</f>
        <v>0</v>
      </c>
      <c r="W280" s="49">
        <f ca="1">1*OR(AND(HM_ZA_Nkossa!CA_gross_rev_total_fp&gt;HM_ZA_Nkossa!CA_gross_rev_oil_hp1,HM_ZA_Nkossa!CA_op_trig=1,CA_PSC_switch_trig=0),
AND(HM_ZA_Nkossa!CA_gross_rev_total_fp&gt;HM_ZA_Nkossa!CA_gross_rev_oil_hp2,HM_ZA_Nkossa!CA_op_trig=1,CA_PSC_switch_trig=1))</f>
        <v>0</v>
      </c>
      <c r="X280" s="49">
        <f ca="1">1*OR(AND(HM_ZA_Nkossa!CA_gross_rev_total_fp&gt;HM_ZA_Nkossa!CA_gross_rev_oil_hp1,HM_ZA_Nkossa!CA_op_trig=1,CA_PSC_switch_trig=0),
AND(HM_ZA_Nkossa!CA_gross_rev_total_fp&gt;HM_ZA_Nkossa!CA_gross_rev_oil_hp2,HM_ZA_Nkossa!CA_op_trig=1,CA_PSC_switch_trig=1))</f>
        <v>0</v>
      </c>
      <c r="Y280" s="49">
        <f ca="1">1*OR(AND(HM_ZA_Nkossa!CA_gross_rev_total_fp&gt;HM_ZA_Nkossa!CA_gross_rev_oil_hp1,HM_ZA_Nkossa!CA_op_trig=1,CA_PSC_switch_trig=0),
AND(HM_ZA_Nkossa!CA_gross_rev_total_fp&gt;HM_ZA_Nkossa!CA_gross_rev_oil_hp2,HM_ZA_Nkossa!CA_op_trig=1,CA_PSC_switch_trig=1))</f>
        <v>0</v>
      </c>
      <c r="Z280" s="49">
        <f ca="1">1*OR(AND(HM_ZA_Nkossa!CA_gross_rev_total_fp&gt;HM_ZA_Nkossa!CA_gross_rev_oil_hp1,HM_ZA_Nkossa!CA_op_trig=1,CA_PSC_switch_trig=0),
AND(HM_ZA_Nkossa!CA_gross_rev_total_fp&gt;HM_ZA_Nkossa!CA_gross_rev_oil_hp2,HM_ZA_Nkossa!CA_op_trig=1,CA_PSC_switch_trig=1))</f>
        <v>0</v>
      </c>
      <c r="AA280" s="49">
        <f ca="1">1*OR(AND(HM_ZA_Nkossa!CA_gross_rev_total_fp&gt;HM_ZA_Nkossa!CA_gross_rev_oil_hp1,HM_ZA_Nkossa!CA_op_trig=1,CA_PSC_switch_trig=0),
AND(HM_ZA_Nkossa!CA_gross_rev_total_fp&gt;HM_ZA_Nkossa!CA_gross_rev_oil_hp2,HM_ZA_Nkossa!CA_op_trig=1,CA_PSC_switch_trig=1))</f>
        <v>0</v>
      </c>
      <c r="AB280" s="49">
        <f ca="1">1*OR(AND(HM_ZA_Nkossa!CA_gross_rev_total_fp&gt;HM_ZA_Nkossa!CA_gross_rev_oil_hp1,HM_ZA_Nkossa!CA_op_trig=1,CA_PSC_switch_trig=0),
AND(HM_ZA_Nkossa!CA_gross_rev_total_fp&gt;HM_ZA_Nkossa!CA_gross_rev_oil_hp2,HM_ZA_Nkossa!CA_op_trig=1,CA_PSC_switch_trig=1))</f>
        <v>0</v>
      </c>
      <c r="AC280" s="49">
        <f ca="1">1*OR(AND(HM_ZA_Nkossa!CA_gross_rev_total_fp&gt;HM_ZA_Nkossa!CA_gross_rev_oil_hp1,HM_ZA_Nkossa!CA_op_trig=1,CA_PSC_switch_trig=0),
AND(HM_ZA_Nkossa!CA_gross_rev_total_fp&gt;HM_ZA_Nkossa!CA_gross_rev_oil_hp2,HM_ZA_Nkossa!CA_op_trig=1,CA_PSC_switch_trig=1))</f>
        <v>0</v>
      </c>
      <c r="AD280" s="49">
        <f ca="1">1*OR(AND(HM_ZA_Nkossa!CA_gross_rev_total_fp&gt;HM_ZA_Nkossa!CA_gross_rev_oil_hp1,HM_ZA_Nkossa!CA_op_trig=1,CA_PSC_switch_trig=0),
AND(HM_ZA_Nkossa!CA_gross_rev_total_fp&gt;HM_ZA_Nkossa!CA_gross_rev_oil_hp2,HM_ZA_Nkossa!CA_op_trig=1,CA_PSC_switch_trig=1))</f>
        <v>0</v>
      </c>
      <c r="AE280" s="49">
        <f ca="1">1*OR(AND(HM_ZA_Nkossa!CA_gross_rev_total_fp&gt;HM_ZA_Nkossa!CA_gross_rev_oil_hp1,HM_ZA_Nkossa!CA_op_trig=1,CA_PSC_switch_trig=0),
AND(HM_ZA_Nkossa!CA_gross_rev_total_fp&gt;HM_ZA_Nkossa!CA_gross_rev_oil_hp2,HM_ZA_Nkossa!CA_op_trig=1,CA_PSC_switch_trig=1))</f>
        <v>0</v>
      </c>
      <c r="AF280" s="49">
        <f ca="1">1*OR(AND(HM_ZA_Nkossa!CA_gross_rev_total_fp&gt;HM_ZA_Nkossa!CA_gross_rev_oil_hp1,HM_ZA_Nkossa!CA_op_trig=1,CA_PSC_switch_trig=0),
AND(HM_ZA_Nkossa!CA_gross_rev_total_fp&gt;HM_ZA_Nkossa!CA_gross_rev_oil_hp2,HM_ZA_Nkossa!CA_op_trig=1,CA_PSC_switch_trig=1))</f>
        <v>0</v>
      </c>
      <c r="AG280" s="49">
        <f ca="1">1*OR(AND(HM_ZA_Nkossa!CA_gross_rev_total_fp&gt;HM_ZA_Nkossa!CA_gross_rev_oil_hp1,HM_ZA_Nkossa!CA_op_trig=1,CA_PSC_switch_trig=0),
AND(HM_ZA_Nkossa!CA_gross_rev_total_fp&gt;HM_ZA_Nkossa!CA_gross_rev_oil_hp2,HM_ZA_Nkossa!CA_op_trig=1,CA_PSC_switch_trig=1))</f>
        <v>0</v>
      </c>
      <c r="AH280" s="49">
        <f ca="1">1*OR(AND(HM_ZA_Nkossa!CA_gross_rev_total_fp&gt;HM_ZA_Nkossa!CA_gross_rev_oil_hp1,HM_ZA_Nkossa!CA_op_trig=1,CA_PSC_switch_trig=0),
AND(HM_ZA_Nkossa!CA_gross_rev_total_fp&gt;HM_ZA_Nkossa!CA_gross_rev_oil_hp2,HM_ZA_Nkossa!CA_op_trig=1,CA_PSC_switch_trig=1))</f>
        <v>0</v>
      </c>
      <c r="AI280" s="49">
        <f ca="1">1*OR(AND(HM_ZA_Nkossa!CA_gross_rev_total_fp&gt;HM_ZA_Nkossa!CA_gross_rev_oil_hp1,HM_ZA_Nkossa!CA_op_trig=1,CA_PSC_switch_trig=0),
AND(HM_ZA_Nkossa!CA_gross_rev_total_fp&gt;HM_ZA_Nkossa!CA_gross_rev_oil_hp2,HM_ZA_Nkossa!CA_op_trig=1,CA_PSC_switch_trig=1))</f>
        <v>0</v>
      </c>
      <c r="AJ280" s="49">
        <f ca="1">1*OR(AND(HM_ZA_Nkossa!CA_gross_rev_total_fp&gt;HM_ZA_Nkossa!CA_gross_rev_oil_hp1,HM_ZA_Nkossa!CA_op_trig=1,CA_PSC_switch_trig=0),
AND(HM_ZA_Nkossa!CA_gross_rev_total_fp&gt;HM_ZA_Nkossa!CA_gross_rev_oil_hp2,HM_ZA_Nkossa!CA_op_trig=1,CA_PSC_switch_trig=1))</f>
        <v>0</v>
      </c>
      <c r="AK280" s="49">
        <f ca="1">1*OR(AND(HM_ZA_Nkossa!CA_gross_rev_total_fp&gt;HM_ZA_Nkossa!CA_gross_rev_oil_hp1,HM_ZA_Nkossa!CA_op_trig=1,CA_PSC_switch_trig=0),
AND(HM_ZA_Nkossa!CA_gross_rev_total_fp&gt;HM_ZA_Nkossa!CA_gross_rev_oil_hp2,HM_ZA_Nkossa!CA_op_trig=1,CA_PSC_switch_trig=1))</f>
        <v>0</v>
      </c>
      <c r="AL280" s="49">
        <f ca="1">1*OR(AND(HM_ZA_Nkossa!CA_gross_rev_total_fp&gt;HM_ZA_Nkossa!CA_gross_rev_oil_hp1,HM_ZA_Nkossa!CA_op_trig=1,CA_PSC_switch_trig=0),
AND(HM_ZA_Nkossa!CA_gross_rev_total_fp&gt;HM_ZA_Nkossa!CA_gross_rev_oil_hp2,HM_ZA_Nkossa!CA_op_trig=1,CA_PSC_switch_trig=1))</f>
        <v>0</v>
      </c>
      <c r="AM280" s="49">
        <f ca="1">1*OR(AND(HM_ZA_Nkossa!CA_gross_rev_total_fp&gt;HM_ZA_Nkossa!CA_gross_rev_oil_hp1,HM_ZA_Nkossa!CA_op_trig=1,CA_PSC_switch_trig=0),
AND(HM_ZA_Nkossa!CA_gross_rev_total_fp&gt;HM_ZA_Nkossa!CA_gross_rev_oil_hp2,HM_ZA_Nkossa!CA_op_trig=1,CA_PSC_switch_trig=1))</f>
        <v>0</v>
      </c>
      <c r="AN280" s="49">
        <f ca="1">1*OR(AND(HM_ZA_Nkossa!CA_gross_rev_total_fp&gt;HM_ZA_Nkossa!CA_gross_rev_oil_hp1,HM_ZA_Nkossa!CA_op_trig=1,CA_PSC_switch_trig=0),
AND(HM_ZA_Nkossa!CA_gross_rev_total_fp&gt;HM_ZA_Nkossa!CA_gross_rev_oil_hp2,HM_ZA_Nkossa!CA_op_trig=1,CA_PSC_switch_trig=1))</f>
        <v>0</v>
      </c>
      <c r="AO280" s="49">
        <f ca="1">1*OR(AND(HM_ZA_Nkossa!CA_gross_rev_total_fp&gt;HM_ZA_Nkossa!CA_gross_rev_oil_hp1,HM_ZA_Nkossa!CA_op_trig=1,CA_PSC_switch_trig=0),
AND(HM_ZA_Nkossa!CA_gross_rev_total_fp&gt;HM_ZA_Nkossa!CA_gross_rev_oil_hp2,HM_ZA_Nkossa!CA_op_trig=1,CA_PSC_switch_trig=1))</f>
        <v>0</v>
      </c>
      <c r="AP280" s="49">
        <f ca="1">1*OR(AND(HM_ZA_Nkossa!CA_gross_rev_total_fp&gt;HM_ZA_Nkossa!CA_gross_rev_oil_hp1,HM_ZA_Nkossa!CA_op_trig=1,CA_PSC_switch_trig=0),
AND(HM_ZA_Nkossa!CA_gross_rev_total_fp&gt;HM_ZA_Nkossa!CA_gross_rev_oil_hp2,HM_ZA_Nkossa!CA_op_trig=1,CA_PSC_switch_trig=1))</f>
        <v>0</v>
      </c>
      <c r="AQ280" s="49">
        <f ca="1">1*OR(AND(HM_ZA_Nkossa!CA_gross_rev_total_fp&gt;HM_ZA_Nkossa!CA_gross_rev_oil_hp1,HM_ZA_Nkossa!CA_op_trig=1,CA_PSC_switch_trig=0),
AND(HM_ZA_Nkossa!CA_gross_rev_total_fp&gt;HM_ZA_Nkossa!CA_gross_rev_oil_hp2,HM_ZA_Nkossa!CA_op_trig=1,CA_PSC_switch_trig=1))</f>
        <v>0</v>
      </c>
      <c r="AR280" s="49">
        <f ca="1">1*OR(AND(HM_ZA_Nkossa!CA_gross_rev_total_fp&gt;HM_ZA_Nkossa!CA_gross_rev_oil_hp1,HM_ZA_Nkossa!CA_op_trig=1,CA_PSC_switch_trig=0),
AND(HM_ZA_Nkossa!CA_gross_rev_total_fp&gt;HM_ZA_Nkossa!CA_gross_rev_oil_hp2,HM_ZA_Nkossa!CA_op_trig=1,CA_PSC_switch_trig=1))</f>
        <v>0</v>
      </c>
      <c r="AS280" s="49">
        <f ca="1">1*OR(AND(HM_ZA_Nkossa!CA_gross_rev_total_fp&gt;HM_ZA_Nkossa!CA_gross_rev_oil_hp1,HM_ZA_Nkossa!CA_op_trig=1,CA_PSC_switch_trig=0),
AND(HM_ZA_Nkossa!CA_gross_rev_total_fp&gt;HM_ZA_Nkossa!CA_gross_rev_oil_hp2,HM_ZA_Nkossa!CA_op_trig=1,CA_PSC_switch_trig=1))</f>
        <v>0</v>
      </c>
      <c r="AT280" s="49">
        <f ca="1">1*OR(AND(HM_ZA_Nkossa!CA_gross_rev_total_fp&gt;HM_ZA_Nkossa!CA_gross_rev_oil_hp1,HM_ZA_Nkossa!CA_op_trig=1,CA_PSC_switch_trig=0),
AND(HM_ZA_Nkossa!CA_gross_rev_total_fp&gt;HM_ZA_Nkossa!CA_gross_rev_oil_hp2,HM_ZA_Nkossa!CA_op_trig=1,CA_PSC_switch_trig=1))</f>
        <v>0</v>
      </c>
      <c r="AU280" s="49">
        <f ca="1">1*OR(AND(HM_ZA_Nkossa!CA_gross_rev_total_fp&gt;HM_ZA_Nkossa!CA_gross_rev_oil_hp1,HM_ZA_Nkossa!CA_op_trig=1,CA_PSC_switch_trig=0),
AND(HM_ZA_Nkossa!CA_gross_rev_total_fp&gt;HM_ZA_Nkossa!CA_gross_rev_oil_hp2,HM_ZA_Nkossa!CA_op_trig=1,CA_PSC_switch_trig=1))</f>
        <v>0</v>
      </c>
      <c r="AV280" s="49">
        <f ca="1">1*OR(AND(HM_ZA_Nkossa!CA_gross_rev_total_fp&gt;HM_ZA_Nkossa!CA_gross_rev_oil_hp1,HM_ZA_Nkossa!CA_op_trig=1,CA_PSC_switch_trig=0),
AND(HM_ZA_Nkossa!CA_gross_rev_total_fp&gt;HM_ZA_Nkossa!CA_gross_rev_oil_hp2,HM_ZA_Nkossa!CA_op_trig=1,CA_PSC_switch_trig=1))</f>
        <v>0</v>
      </c>
      <c r="AW280" s="49">
        <f ca="1">1*OR(AND(HM_ZA_Nkossa!CA_gross_rev_total_fp&gt;HM_ZA_Nkossa!CA_gross_rev_oil_hp1,HM_ZA_Nkossa!CA_op_trig=1,CA_PSC_switch_trig=0),
AND(HM_ZA_Nkossa!CA_gross_rev_total_fp&gt;HM_ZA_Nkossa!CA_gross_rev_oil_hp2,HM_ZA_Nkossa!CA_op_trig=1,CA_PSC_switch_trig=1))</f>
        <v>0</v>
      </c>
      <c r="AX280" s="49">
        <f ca="1">1*OR(AND(HM_ZA_Nkossa!CA_gross_rev_total_fp&gt;HM_ZA_Nkossa!CA_gross_rev_oil_hp1,HM_ZA_Nkossa!CA_op_trig=1,CA_PSC_switch_trig=0),
AND(HM_ZA_Nkossa!CA_gross_rev_total_fp&gt;HM_ZA_Nkossa!CA_gross_rev_oil_hp2,HM_ZA_Nkossa!CA_op_trig=1,CA_PSC_switch_trig=1))</f>
        <v>0</v>
      </c>
      <c r="AY280" s="49">
        <f ca="1">1*OR(AND(HM_ZA_Nkossa!CA_gross_rev_total_fp&gt;HM_ZA_Nkossa!CA_gross_rev_oil_hp1,HM_ZA_Nkossa!CA_op_trig=1,CA_PSC_switch_trig=0),
AND(HM_ZA_Nkossa!CA_gross_rev_total_fp&gt;HM_ZA_Nkossa!CA_gross_rev_oil_hp2,HM_ZA_Nkossa!CA_op_trig=1,CA_PSC_switch_trig=1))</f>
        <v>0</v>
      </c>
      <c r="AZ280" s="49">
        <f ca="1">1*OR(AND(HM_ZA_Nkossa!CA_gross_rev_total_fp&gt;HM_ZA_Nkossa!CA_gross_rev_oil_hp1,HM_ZA_Nkossa!CA_op_trig=1,CA_PSC_switch_trig=0),
AND(HM_ZA_Nkossa!CA_gross_rev_total_fp&gt;HM_ZA_Nkossa!CA_gross_rev_oil_hp2,HM_ZA_Nkossa!CA_op_trig=1,CA_PSC_switch_trig=1))</f>
        <v>0</v>
      </c>
      <c r="BA280" s="49">
        <f ca="1">1*OR(AND(HM_ZA_Nkossa!CA_gross_rev_total_fp&gt;HM_ZA_Nkossa!CA_gross_rev_oil_hp1,HM_ZA_Nkossa!CA_op_trig=1,CA_PSC_switch_trig=0),
AND(HM_ZA_Nkossa!CA_gross_rev_total_fp&gt;HM_ZA_Nkossa!CA_gross_rev_oil_hp2,HM_ZA_Nkossa!CA_op_trig=1,CA_PSC_switch_trig=1))</f>
        <v>0</v>
      </c>
      <c r="BB280" s="49">
        <f ca="1">1*OR(AND(HM_ZA_Nkossa!CA_gross_rev_total_fp&gt;HM_ZA_Nkossa!CA_gross_rev_oil_hp1,HM_ZA_Nkossa!CA_op_trig=1,CA_PSC_switch_trig=0),
AND(HM_ZA_Nkossa!CA_gross_rev_total_fp&gt;HM_ZA_Nkossa!CA_gross_rev_oil_hp2,HM_ZA_Nkossa!CA_op_trig=1,CA_PSC_switch_trig=1))</f>
        <v>0</v>
      </c>
      <c r="BC280" s="49">
        <f ca="1">1*OR(AND(HM_ZA_Nkossa!CA_gross_rev_total_fp&gt;HM_ZA_Nkossa!CA_gross_rev_oil_hp1,HM_ZA_Nkossa!CA_op_trig=1,CA_PSC_switch_trig=0),
AND(HM_ZA_Nkossa!CA_gross_rev_total_fp&gt;HM_ZA_Nkossa!CA_gross_rev_oil_hp2,HM_ZA_Nkossa!CA_op_trig=1,CA_PSC_switch_trig=1))</f>
        <v>0</v>
      </c>
      <c r="BD280" s="49">
        <f ca="1">1*OR(AND(HM_ZA_Nkossa!CA_gross_rev_total_fp&gt;HM_ZA_Nkossa!CA_gross_rev_oil_hp1,HM_ZA_Nkossa!CA_op_trig=1,CA_PSC_switch_trig=0),
AND(HM_ZA_Nkossa!CA_gross_rev_total_fp&gt;HM_ZA_Nkossa!CA_gross_rev_oil_hp2,HM_ZA_Nkossa!CA_op_trig=1,CA_PSC_switch_trig=1))</f>
        <v>0</v>
      </c>
      <c r="BE280" s="49">
        <f ca="1">1*OR(AND(HM_ZA_Nkossa!CA_gross_rev_total_fp&gt;HM_ZA_Nkossa!CA_gross_rev_oil_hp1,HM_ZA_Nkossa!CA_op_trig=1,CA_PSC_switch_trig=0),
AND(HM_ZA_Nkossa!CA_gross_rev_total_fp&gt;HM_ZA_Nkossa!CA_gross_rev_oil_hp2,HM_ZA_Nkossa!CA_op_trig=1,CA_PSC_switch_trig=1))</f>
        <v>0</v>
      </c>
      <c r="BF280" s="49">
        <f ca="1">1*OR(AND(HM_ZA_Nkossa!CA_gross_rev_total_fp&gt;HM_ZA_Nkossa!CA_gross_rev_oil_hp1,HM_ZA_Nkossa!CA_op_trig=1,CA_PSC_switch_trig=0),
AND(HM_ZA_Nkossa!CA_gross_rev_total_fp&gt;HM_ZA_Nkossa!CA_gross_rev_oil_hp2,HM_ZA_Nkossa!CA_op_trig=1,CA_PSC_switch_trig=1))</f>
        <v>0</v>
      </c>
      <c r="BG280" s="49">
        <f ca="1">1*OR(AND(HM_ZA_Nkossa!CA_gross_rev_total_fp&gt;HM_ZA_Nkossa!CA_gross_rev_oil_hp1,HM_ZA_Nkossa!CA_op_trig=1,CA_PSC_switch_trig=0),
AND(HM_ZA_Nkossa!CA_gross_rev_total_fp&gt;HM_ZA_Nkossa!CA_gross_rev_oil_hp2,HM_ZA_Nkossa!CA_op_trig=1,CA_PSC_switch_trig=1))</f>
        <v>0</v>
      </c>
      <c r="BH280" s="49">
        <f ca="1">1*OR(AND(HM_ZA_Nkossa!CA_gross_rev_total_fp&gt;HM_ZA_Nkossa!CA_gross_rev_oil_hp1,HM_ZA_Nkossa!CA_op_trig=1,CA_PSC_switch_trig=0),
AND(HM_ZA_Nkossa!CA_gross_rev_total_fp&gt;HM_ZA_Nkossa!CA_gross_rev_oil_hp2,HM_ZA_Nkossa!CA_op_trig=1,CA_PSC_switch_trig=1))</f>
        <v>0</v>
      </c>
      <c r="BI280" s="49">
        <f ca="1">1*OR(AND(HM_ZA_Nkossa!CA_gross_rev_total_fp&gt;HM_ZA_Nkossa!CA_gross_rev_oil_hp1,HM_ZA_Nkossa!CA_op_trig=1,CA_PSC_switch_trig=0),
AND(HM_ZA_Nkossa!CA_gross_rev_total_fp&gt;HM_ZA_Nkossa!CA_gross_rev_oil_hp2,HM_ZA_Nkossa!CA_op_trig=1,CA_PSC_switch_trig=1))</f>
        <v>0</v>
      </c>
      <c r="BJ280" s="49">
        <f ca="1">1*OR(AND(HM_ZA_Nkossa!CA_gross_rev_total_fp&gt;HM_ZA_Nkossa!CA_gross_rev_oil_hp1,HM_ZA_Nkossa!CA_op_trig=1,CA_PSC_switch_trig=0),
AND(HM_ZA_Nkossa!CA_gross_rev_total_fp&gt;HM_ZA_Nkossa!CA_gross_rev_oil_hp2,HM_ZA_Nkossa!CA_op_trig=1,CA_PSC_switch_trig=1))</f>
        <v>0</v>
      </c>
      <c r="BK280" s="49">
        <f ca="1">1*OR(AND(HM_ZA_Nkossa!CA_gross_rev_total_fp&gt;HM_ZA_Nkossa!CA_gross_rev_oil_hp1,HM_ZA_Nkossa!CA_op_trig=1,CA_PSC_switch_trig=0),
AND(HM_ZA_Nkossa!CA_gross_rev_total_fp&gt;HM_ZA_Nkossa!CA_gross_rev_oil_hp2,HM_ZA_Nkossa!CA_op_trig=1,CA_PSC_switch_trig=1))</f>
        <v>0</v>
      </c>
      <c r="BL280" s="49">
        <f ca="1">1*OR(AND(HM_ZA_Nkossa!CA_gross_rev_total_fp&gt;HM_ZA_Nkossa!CA_gross_rev_oil_hp1,HM_ZA_Nkossa!CA_op_trig=1,CA_PSC_switch_trig=0),
AND(HM_ZA_Nkossa!CA_gross_rev_total_fp&gt;HM_ZA_Nkossa!CA_gross_rev_oil_hp2,HM_ZA_Nkossa!CA_op_trig=1,CA_PSC_switch_trig=1))</f>
        <v>0</v>
      </c>
      <c r="BM280" s="49">
        <f ca="1">1*OR(AND(HM_ZA_Nkossa!CA_gross_rev_total_fp&gt;HM_ZA_Nkossa!CA_gross_rev_oil_hp1,HM_ZA_Nkossa!CA_op_trig=1,CA_PSC_switch_trig=0),
AND(HM_ZA_Nkossa!CA_gross_rev_total_fp&gt;HM_ZA_Nkossa!CA_gross_rev_oil_hp2,HM_ZA_Nkossa!CA_op_trig=1,CA_PSC_switch_trig=1))</f>
        <v>0</v>
      </c>
      <c r="BN280" s="49">
        <f ca="1">1*OR(AND(HM_ZA_Nkossa!CA_gross_rev_total_fp&gt;HM_ZA_Nkossa!CA_gross_rev_oil_hp1,HM_ZA_Nkossa!CA_op_trig=1,CA_PSC_switch_trig=0),
AND(HM_ZA_Nkossa!CA_gross_rev_total_fp&gt;HM_ZA_Nkossa!CA_gross_rev_oil_hp2,HM_ZA_Nkossa!CA_op_trig=1,CA_PSC_switch_trig=1))</f>
        <v>0</v>
      </c>
      <c r="BO280" s="49">
        <f ca="1">1*OR(AND(HM_ZA_Nkossa!CA_gross_rev_total_fp&gt;HM_ZA_Nkossa!CA_gross_rev_oil_hp1,HM_ZA_Nkossa!CA_op_trig=1,CA_PSC_switch_trig=0),
AND(HM_ZA_Nkossa!CA_gross_rev_total_fp&gt;HM_ZA_Nkossa!CA_gross_rev_oil_hp2,HM_ZA_Nkossa!CA_op_trig=1,CA_PSC_switch_trig=1))</f>
        <v>0</v>
      </c>
      <c r="BP280" s="49">
        <f ca="1">1*OR(AND(HM_ZA_Nkossa!CA_gross_rev_total_fp&gt;HM_ZA_Nkossa!CA_gross_rev_oil_hp1,HM_ZA_Nkossa!CA_op_trig=1,CA_PSC_switch_trig=0),
AND(HM_ZA_Nkossa!CA_gross_rev_total_fp&gt;HM_ZA_Nkossa!CA_gross_rev_oil_hp2,HM_ZA_Nkossa!CA_op_trig=1,CA_PSC_switch_trig=1))</f>
        <v>0</v>
      </c>
      <c r="BQ280" s="49">
        <f ca="1">1*OR(AND(HM_ZA_Nkossa!CA_gross_rev_total_fp&gt;HM_ZA_Nkossa!CA_gross_rev_oil_hp1,HM_ZA_Nkossa!CA_op_trig=1,CA_PSC_switch_trig=0),
AND(HM_ZA_Nkossa!CA_gross_rev_total_fp&gt;HM_ZA_Nkossa!CA_gross_rev_oil_hp2,HM_ZA_Nkossa!CA_op_trig=1,CA_PSC_switch_trig=1))</f>
        <v>0</v>
      </c>
      <c r="BR280" s="49">
        <f ca="1">1*OR(AND(HM_ZA_Nkossa!CA_gross_rev_total_fp&gt;HM_ZA_Nkossa!CA_gross_rev_oil_hp1,HM_ZA_Nkossa!CA_op_trig=1,CA_PSC_switch_trig=0),
AND(HM_ZA_Nkossa!CA_gross_rev_total_fp&gt;HM_ZA_Nkossa!CA_gross_rev_oil_hp2,HM_ZA_Nkossa!CA_op_trig=1,CA_PSC_switch_trig=1))</f>
        <v>0</v>
      </c>
      <c r="BS280" s="49">
        <f ca="1">1*OR(AND(HM_ZA_Nkossa!CA_gross_rev_total_fp&gt;HM_ZA_Nkossa!CA_gross_rev_oil_hp1,HM_ZA_Nkossa!CA_op_trig=1,CA_PSC_switch_trig=0),
AND(HM_ZA_Nkossa!CA_gross_rev_total_fp&gt;HM_ZA_Nkossa!CA_gross_rev_oil_hp2,HM_ZA_Nkossa!CA_op_trig=1,CA_PSC_switch_trig=1))</f>
        <v>0</v>
      </c>
    </row>
    <row r="281" spans="3:71" outlineLevel="1" x14ac:dyDescent="0.2">
      <c r="J281" s="26"/>
      <c r="L281" s="55"/>
      <c r="M281" s="55"/>
      <c r="N281" s="55"/>
      <c r="O281" s="55"/>
      <c r="P281" s="55"/>
      <c r="Q281" s="55"/>
      <c r="R281" s="55"/>
      <c r="S281" s="55"/>
      <c r="T281" s="55"/>
      <c r="U281" s="55"/>
      <c r="V281" s="55"/>
      <c r="W281" s="55"/>
      <c r="X281" s="55"/>
      <c r="Y281" s="55"/>
      <c r="Z281" s="55"/>
      <c r="AA281" s="55"/>
      <c r="AB281" s="55"/>
      <c r="AC281" s="55"/>
      <c r="AD281" s="55"/>
      <c r="AE281" s="55"/>
      <c r="AF281" s="55"/>
      <c r="AG281" s="55"/>
      <c r="AH281" s="55"/>
      <c r="AI281" s="55"/>
      <c r="AJ281" s="55"/>
      <c r="AK281" s="55"/>
      <c r="AL281" s="55"/>
      <c r="AM281" s="55"/>
      <c r="AN281" s="55"/>
      <c r="AO281" s="55"/>
      <c r="AP281" s="55"/>
      <c r="AQ281" s="55"/>
      <c r="AR281" s="55"/>
      <c r="AS281" s="55"/>
      <c r="AT281" s="55"/>
      <c r="AU281" s="55"/>
      <c r="AV281" s="55"/>
      <c r="AW281" s="55"/>
      <c r="AX281" s="55"/>
      <c r="AY281" s="55"/>
      <c r="AZ281" s="55"/>
      <c r="BA281" s="55"/>
      <c r="BB281" s="55"/>
      <c r="BC281" s="55"/>
      <c r="BD281" s="55"/>
      <c r="BE281" s="55"/>
      <c r="BF281" s="55"/>
      <c r="BG281" s="55"/>
      <c r="BH281" s="55"/>
      <c r="BI281" s="55"/>
      <c r="BJ281" s="55"/>
      <c r="BK281" s="55"/>
      <c r="BL281" s="55"/>
      <c r="BM281" s="55"/>
      <c r="BN281" s="55"/>
      <c r="BO281" s="55"/>
      <c r="BP281" s="55"/>
      <c r="BQ281" s="55"/>
      <c r="BR281" s="55"/>
      <c r="BS281" s="55"/>
    </row>
    <row r="282" spans="3:71" outlineLevel="1" x14ac:dyDescent="0.2">
      <c r="D282" t="str">
        <f>CHOOSE(db_ML_selected,'Liste Traduction'!B341,'Liste Traduction'!C341)</f>
        <v>Revenu brut - SPO</v>
      </c>
      <c r="I282" s="30">
        <f t="shared" ref="I282" ca="1" si="73">SUM($L282:$BS282)</f>
        <v>1470.0476549244995</v>
      </c>
      <c r="J282" s="26" t="s">
        <v>148</v>
      </c>
      <c r="L282" s="49">
        <f t="shared" ref="L282:AQ282" ca="1" si="74">CA_gross_rev_oil_difference1*(CA_PSC_switch_trig=0)+CA_gross_rev_oil_difference2*(CA_PSC_switch_trig=1)</f>
        <v>637.51445122999985</v>
      </c>
      <c r="M282" s="49">
        <f t="shared" ca="1" si="74"/>
        <v>629.02258200649999</v>
      </c>
      <c r="N282" s="49">
        <f t="shared" ca="1" si="74"/>
        <v>129.60805388999989</v>
      </c>
      <c r="O282" s="49">
        <f t="shared" ca="1" si="74"/>
        <v>73.070013094999979</v>
      </c>
      <c r="P282" s="49">
        <f t="shared" ca="1" si="74"/>
        <v>0</v>
      </c>
      <c r="Q282" s="49">
        <f t="shared" ca="1" si="74"/>
        <v>0.8325547029999143</v>
      </c>
      <c r="R282" s="49">
        <f t="shared" ca="1" si="74"/>
        <v>0</v>
      </c>
      <c r="S282" s="49">
        <f t="shared" ca="1" si="74"/>
        <v>0</v>
      </c>
      <c r="T282" s="49">
        <f t="shared" ca="1" si="74"/>
        <v>0</v>
      </c>
      <c r="U282" s="49">
        <f t="shared" ca="1" si="74"/>
        <v>0</v>
      </c>
      <c r="V282" s="49">
        <f t="shared" ca="1" si="74"/>
        <v>0</v>
      </c>
      <c r="W282" s="49">
        <f t="shared" ca="1" si="74"/>
        <v>0</v>
      </c>
      <c r="X282" s="49">
        <f t="shared" ca="1" si="74"/>
        <v>0</v>
      </c>
      <c r="Y282" s="49">
        <f t="shared" ca="1" si="74"/>
        <v>0</v>
      </c>
      <c r="Z282" s="49">
        <f t="shared" ca="1" si="74"/>
        <v>0</v>
      </c>
      <c r="AA282" s="49">
        <f t="shared" ca="1" si="74"/>
        <v>0</v>
      </c>
      <c r="AB282" s="49">
        <f t="shared" ca="1" si="74"/>
        <v>0</v>
      </c>
      <c r="AC282" s="49">
        <f t="shared" ca="1" si="74"/>
        <v>0</v>
      </c>
      <c r="AD282" s="49">
        <f t="shared" ca="1" si="74"/>
        <v>0</v>
      </c>
      <c r="AE282" s="49">
        <f t="shared" ca="1" si="74"/>
        <v>0</v>
      </c>
      <c r="AF282" s="49">
        <f t="shared" ca="1" si="74"/>
        <v>0</v>
      </c>
      <c r="AG282" s="49">
        <f t="shared" ca="1" si="74"/>
        <v>0</v>
      </c>
      <c r="AH282" s="49">
        <f t="shared" ca="1" si="74"/>
        <v>0</v>
      </c>
      <c r="AI282" s="49">
        <f t="shared" ca="1" si="74"/>
        <v>0</v>
      </c>
      <c r="AJ282" s="49">
        <f t="shared" ca="1" si="74"/>
        <v>0</v>
      </c>
      <c r="AK282" s="49">
        <f t="shared" ca="1" si="74"/>
        <v>0</v>
      </c>
      <c r="AL282" s="49">
        <f t="shared" ca="1" si="74"/>
        <v>0</v>
      </c>
      <c r="AM282" s="49">
        <f t="shared" ca="1" si="74"/>
        <v>0</v>
      </c>
      <c r="AN282" s="49">
        <f t="shared" ca="1" si="74"/>
        <v>0</v>
      </c>
      <c r="AO282" s="49">
        <f t="shared" ca="1" si="74"/>
        <v>0</v>
      </c>
      <c r="AP282" s="49">
        <f t="shared" ca="1" si="74"/>
        <v>0</v>
      </c>
      <c r="AQ282" s="49">
        <f t="shared" ca="1" si="74"/>
        <v>0</v>
      </c>
      <c r="AR282" s="49">
        <f t="shared" ref="AR282:BS282" ca="1" si="75">CA_gross_rev_oil_difference1*(CA_PSC_switch_trig=0)+CA_gross_rev_oil_difference2*(CA_PSC_switch_trig=1)</f>
        <v>0</v>
      </c>
      <c r="AS282" s="49">
        <f t="shared" ca="1" si="75"/>
        <v>0</v>
      </c>
      <c r="AT282" s="49">
        <f t="shared" ca="1" si="75"/>
        <v>0</v>
      </c>
      <c r="AU282" s="49">
        <f t="shared" ca="1" si="75"/>
        <v>0</v>
      </c>
      <c r="AV282" s="49">
        <f t="shared" ca="1" si="75"/>
        <v>0</v>
      </c>
      <c r="AW282" s="49">
        <f t="shared" ca="1" si="75"/>
        <v>0</v>
      </c>
      <c r="AX282" s="49">
        <f t="shared" ca="1" si="75"/>
        <v>0</v>
      </c>
      <c r="AY282" s="49">
        <f t="shared" ca="1" si="75"/>
        <v>0</v>
      </c>
      <c r="AZ282" s="49">
        <f t="shared" ca="1" si="75"/>
        <v>0</v>
      </c>
      <c r="BA282" s="49">
        <f t="shared" ca="1" si="75"/>
        <v>0</v>
      </c>
      <c r="BB282" s="49">
        <f t="shared" ca="1" si="75"/>
        <v>0</v>
      </c>
      <c r="BC282" s="49">
        <f t="shared" ca="1" si="75"/>
        <v>0</v>
      </c>
      <c r="BD282" s="49">
        <f t="shared" ca="1" si="75"/>
        <v>0</v>
      </c>
      <c r="BE282" s="49">
        <f t="shared" ca="1" si="75"/>
        <v>0</v>
      </c>
      <c r="BF282" s="49">
        <f t="shared" ca="1" si="75"/>
        <v>0</v>
      </c>
      <c r="BG282" s="49">
        <f t="shared" ca="1" si="75"/>
        <v>0</v>
      </c>
      <c r="BH282" s="49">
        <f t="shared" ca="1" si="75"/>
        <v>0</v>
      </c>
      <c r="BI282" s="49">
        <f t="shared" ca="1" si="75"/>
        <v>0</v>
      </c>
      <c r="BJ282" s="49">
        <f t="shared" ca="1" si="75"/>
        <v>0</v>
      </c>
      <c r="BK282" s="49">
        <f t="shared" ca="1" si="75"/>
        <v>0</v>
      </c>
      <c r="BL282" s="49">
        <f t="shared" ca="1" si="75"/>
        <v>0</v>
      </c>
      <c r="BM282" s="49">
        <f t="shared" ca="1" si="75"/>
        <v>0</v>
      </c>
      <c r="BN282" s="49">
        <f t="shared" ca="1" si="75"/>
        <v>0</v>
      </c>
      <c r="BO282" s="49">
        <f t="shared" ca="1" si="75"/>
        <v>0</v>
      </c>
      <c r="BP282" s="49">
        <f t="shared" ca="1" si="75"/>
        <v>0</v>
      </c>
      <c r="BQ282" s="49">
        <f t="shared" ca="1" si="75"/>
        <v>0</v>
      </c>
      <c r="BR282" s="49">
        <f t="shared" ca="1" si="75"/>
        <v>0</v>
      </c>
      <c r="BS282" s="49">
        <f t="shared" ca="1" si="75"/>
        <v>0</v>
      </c>
    </row>
    <row r="283" spans="3:71" outlineLevel="1" x14ac:dyDescent="0.2">
      <c r="J283" s="26"/>
      <c r="L283" s="55"/>
      <c r="M283" s="55"/>
      <c r="N283" s="55"/>
      <c r="O283" s="55"/>
      <c r="P283" s="55"/>
      <c r="Q283" s="55"/>
      <c r="R283" s="55"/>
      <c r="S283" s="55"/>
      <c r="T283" s="55"/>
      <c r="U283" s="55"/>
      <c r="V283" s="55"/>
      <c r="W283" s="55"/>
      <c r="X283" s="55"/>
      <c r="Y283" s="55"/>
      <c r="Z283" s="55"/>
      <c r="AA283" s="55"/>
      <c r="AB283" s="55"/>
      <c r="AC283" s="55"/>
      <c r="AD283" s="55"/>
      <c r="AE283" s="55"/>
      <c r="AF283" s="55"/>
      <c r="AG283" s="55"/>
      <c r="AH283" s="55"/>
      <c r="AI283" s="55"/>
      <c r="AJ283" s="55"/>
      <c r="AK283" s="55"/>
      <c r="AL283" s="55"/>
      <c r="AM283" s="55"/>
      <c r="AN283" s="55"/>
      <c r="AO283" s="55"/>
      <c r="AP283" s="55"/>
      <c r="AQ283" s="55"/>
      <c r="AR283" s="55"/>
      <c r="AS283" s="55"/>
      <c r="AT283" s="55"/>
      <c r="AU283" s="55"/>
      <c r="AV283" s="55"/>
      <c r="AW283" s="55"/>
      <c r="AX283" s="55"/>
      <c r="AY283" s="55"/>
      <c r="AZ283" s="55"/>
      <c r="BA283" s="55"/>
      <c r="BB283" s="55"/>
      <c r="BC283" s="55"/>
      <c r="BD283" s="55"/>
      <c r="BE283" s="55"/>
      <c r="BF283" s="55"/>
      <c r="BG283" s="55"/>
      <c r="BH283" s="55"/>
      <c r="BI283" s="55"/>
      <c r="BJ283" s="55"/>
      <c r="BK283" s="55"/>
      <c r="BL283" s="55"/>
      <c r="BM283" s="55"/>
      <c r="BN283" s="55"/>
      <c r="BO283" s="55"/>
      <c r="BP283" s="55"/>
      <c r="BQ283" s="55"/>
      <c r="BR283" s="55"/>
      <c r="BS283" s="55"/>
    </row>
    <row r="284" spans="3:71" outlineLevel="1" x14ac:dyDescent="0.2">
      <c r="D284" t="str">
        <f>CHOOSE(db_ML_selected,'Liste Traduction'!B342,'Liste Traduction'!C342)</f>
        <v>Redevance pétrolière - SPO</v>
      </c>
      <c r="I284" s="30">
        <f t="shared" ref="I284:I286" ca="1" si="76">SUM($L284:$BS284)</f>
        <v>176.43069523202993</v>
      </c>
      <c r="J284" s="26" t="s">
        <v>148</v>
      </c>
      <c r="L284" s="49">
        <f t="shared" ref="L284:AQ284" ca="1" si="77">(CA_gross_rev_oil_difference1*INDEX(FA_royalty_oil,1))*CA_SPO_trig*(CA_PSC_switch_trig=0)+
(CA_gross_rev_oil_difference2*INDEX(FA_royalty_oil,2))*CA_SPO_trig*(CA_PSC_switch_trig=1)</f>
        <v>76.501734147599976</v>
      </c>
      <c r="M284" s="49">
        <f t="shared" ca="1" si="77"/>
        <v>75.482709840779989</v>
      </c>
      <c r="N284" s="49">
        <f t="shared" ca="1" si="77"/>
        <v>15.552966466799987</v>
      </c>
      <c r="O284" s="49">
        <f t="shared" ca="1" si="77"/>
        <v>8.7684015713999965</v>
      </c>
      <c r="P284" s="49">
        <f t="shared" ca="1" si="77"/>
        <v>0</v>
      </c>
      <c r="Q284" s="49">
        <f t="shared" ca="1" si="77"/>
        <v>0.12488320544998714</v>
      </c>
      <c r="R284" s="49">
        <f t="shared" ca="1" si="77"/>
        <v>0</v>
      </c>
      <c r="S284" s="49">
        <f t="shared" ca="1" si="77"/>
        <v>0</v>
      </c>
      <c r="T284" s="49">
        <f t="shared" ca="1" si="77"/>
        <v>0</v>
      </c>
      <c r="U284" s="49">
        <f t="shared" ca="1" si="77"/>
        <v>0</v>
      </c>
      <c r="V284" s="49">
        <f t="shared" ca="1" si="77"/>
        <v>0</v>
      </c>
      <c r="W284" s="49">
        <f t="shared" ca="1" si="77"/>
        <v>0</v>
      </c>
      <c r="X284" s="49">
        <f t="shared" ca="1" si="77"/>
        <v>0</v>
      </c>
      <c r="Y284" s="49">
        <f t="shared" ca="1" si="77"/>
        <v>0</v>
      </c>
      <c r="Z284" s="49">
        <f t="shared" ca="1" si="77"/>
        <v>0</v>
      </c>
      <c r="AA284" s="49">
        <f t="shared" ca="1" si="77"/>
        <v>0</v>
      </c>
      <c r="AB284" s="49">
        <f t="shared" ca="1" si="77"/>
        <v>0</v>
      </c>
      <c r="AC284" s="49">
        <f t="shared" ca="1" si="77"/>
        <v>0</v>
      </c>
      <c r="AD284" s="49">
        <f t="shared" ca="1" si="77"/>
        <v>0</v>
      </c>
      <c r="AE284" s="49">
        <f t="shared" ca="1" si="77"/>
        <v>0</v>
      </c>
      <c r="AF284" s="49">
        <f t="shared" ca="1" si="77"/>
        <v>0</v>
      </c>
      <c r="AG284" s="49">
        <f t="shared" ca="1" si="77"/>
        <v>0</v>
      </c>
      <c r="AH284" s="49">
        <f t="shared" ca="1" si="77"/>
        <v>0</v>
      </c>
      <c r="AI284" s="49">
        <f t="shared" ca="1" si="77"/>
        <v>0</v>
      </c>
      <c r="AJ284" s="49">
        <f t="shared" ca="1" si="77"/>
        <v>0</v>
      </c>
      <c r="AK284" s="49">
        <f t="shared" ca="1" si="77"/>
        <v>0</v>
      </c>
      <c r="AL284" s="49">
        <f t="shared" ca="1" si="77"/>
        <v>0</v>
      </c>
      <c r="AM284" s="49">
        <f t="shared" ca="1" si="77"/>
        <v>0</v>
      </c>
      <c r="AN284" s="49">
        <f t="shared" ca="1" si="77"/>
        <v>0</v>
      </c>
      <c r="AO284" s="49">
        <f t="shared" ca="1" si="77"/>
        <v>0</v>
      </c>
      <c r="AP284" s="49">
        <f t="shared" ca="1" si="77"/>
        <v>0</v>
      </c>
      <c r="AQ284" s="49">
        <f t="shared" ca="1" si="77"/>
        <v>0</v>
      </c>
      <c r="AR284" s="49">
        <f t="shared" ref="AR284:BS284" ca="1" si="78">(CA_gross_rev_oil_difference1*INDEX(FA_royalty_oil,1))*CA_SPO_trig*(CA_PSC_switch_trig=0)+
(CA_gross_rev_oil_difference2*INDEX(FA_royalty_oil,2))*CA_SPO_trig*(CA_PSC_switch_trig=1)</f>
        <v>0</v>
      </c>
      <c r="AS284" s="49">
        <f t="shared" ca="1" si="78"/>
        <v>0</v>
      </c>
      <c r="AT284" s="49">
        <f t="shared" ca="1" si="78"/>
        <v>0</v>
      </c>
      <c r="AU284" s="49">
        <f t="shared" ca="1" si="78"/>
        <v>0</v>
      </c>
      <c r="AV284" s="49">
        <f t="shared" ca="1" si="78"/>
        <v>0</v>
      </c>
      <c r="AW284" s="49">
        <f t="shared" ca="1" si="78"/>
        <v>0</v>
      </c>
      <c r="AX284" s="49">
        <f t="shared" ca="1" si="78"/>
        <v>0</v>
      </c>
      <c r="AY284" s="49">
        <f t="shared" ca="1" si="78"/>
        <v>0</v>
      </c>
      <c r="AZ284" s="49">
        <f t="shared" ca="1" si="78"/>
        <v>0</v>
      </c>
      <c r="BA284" s="49">
        <f t="shared" ca="1" si="78"/>
        <v>0</v>
      </c>
      <c r="BB284" s="49">
        <f t="shared" ca="1" si="78"/>
        <v>0</v>
      </c>
      <c r="BC284" s="49">
        <f t="shared" ca="1" si="78"/>
        <v>0</v>
      </c>
      <c r="BD284" s="49">
        <f t="shared" ca="1" si="78"/>
        <v>0</v>
      </c>
      <c r="BE284" s="49">
        <f t="shared" ca="1" si="78"/>
        <v>0</v>
      </c>
      <c r="BF284" s="49">
        <f t="shared" ca="1" si="78"/>
        <v>0</v>
      </c>
      <c r="BG284" s="49">
        <f t="shared" ca="1" si="78"/>
        <v>0</v>
      </c>
      <c r="BH284" s="49">
        <f t="shared" ca="1" si="78"/>
        <v>0</v>
      </c>
      <c r="BI284" s="49">
        <f t="shared" ca="1" si="78"/>
        <v>0</v>
      </c>
      <c r="BJ284" s="49">
        <f t="shared" ca="1" si="78"/>
        <v>0</v>
      </c>
      <c r="BK284" s="49">
        <f t="shared" ca="1" si="78"/>
        <v>0</v>
      </c>
      <c r="BL284" s="49">
        <f t="shared" ca="1" si="78"/>
        <v>0</v>
      </c>
      <c r="BM284" s="49">
        <f t="shared" ca="1" si="78"/>
        <v>0</v>
      </c>
      <c r="BN284" s="49">
        <f t="shared" ca="1" si="78"/>
        <v>0</v>
      </c>
      <c r="BO284" s="49">
        <f t="shared" ca="1" si="78"/>
        <v>0</v>
      </c>
      <c r="BP284" s="49">
        <f t="shared" ca="1" si="78"/>
        <v>0</v>
      </c>
      <c r="BQ284" s="49">
        <f t="shared" ca="1" si="78"/>
        <v>0</v>
      </c>
      <c r="BR284" s="49">
        <f t="shared" ca="1" si="78"/>
        <v>0</v>
      </c>
      <c r="BS284" s="49">
        <f t="shared" ca="1" si="78"/>
        <v>0</v>
      </c>
    </row>
    <row r="285" spans="3:71" outlineLevel="1" x14ac:dyDescent="0.2">
      <c r="J285" s="26"/>
      <c r="L285" s="55"/>
      <c r="M285" s="55"/>
      <c r="N285" s="55"/>
      <c r="O285" s="55"/>
      <c r="P285" s="55"/>
      <c r="Q285" s="55"/>
      <c r="R285" s="55"/>
      <c r="S285" s="55"/>
      <c r="T285" s="55"/>
      <c r="U285" s="55"/>
      <c r="V285" s="55"/>
      <c r="W285" s="55"/>
      <c r="X285" s="55"/>
      <c r="Y285" s="55"/>
      <c r="Z285" s="55"/>
      <c r="AA285" s="55"/>
      <c r="AB285" s="55"/>
      <c r="AC285" s="55"/>
      <c r="AD285" s="55"/>
      <c r="AE285" s="55"/>
      <c r="AF285" s="55"/>
      <c r="AG285" s="55"/>
      <c r="AH285" s="55"/>
      <c r="AI285" s="55"/>
      <c r="AJ285" s="55"/>
      <c r="AK285" s="55"/>
      <c r="AL285" s="55"/>
      <c r="AM285" s="55"/>
      <c r="AN285" s="55"/>
      <c r="AO285" s="55"/>
      <c r="AP285" s="55"/>
      <c r="AQ285" s="55"/>
      <c r="AR285" s="55"/>
      <c r="AS285" s="55"/>
      <c r="AT285" s="55"/>
      <c r="AU285" s="55"/>
      <c r="AV285" s="55"/>
      <c r="AW285" s="55"/>
      <c r="AX285" s="55"/>
      <c r="AY285" s="55"/>
      <c r="AZ285" s="55"/>
      <c r="BA285" s="55"/>
      <c r="BB285" s="55"/>
      <c r="BC285" s="55"/>
      <c r="BD285" s="55"/>
      <c r="BE285" s="55"/>
      <c r="BF285" s="55"/>
      <c r="BG285" s="55"/>
      <c r="BH285" s="55"/>
      <c r="BI285" s="55"/>
      <c r="BJ285" s="55"/>
      <c r="BK285" s="55"/>
      <c r="BL285" s="55"/>
      <c r="BM285" s="55"/>
      <c r="BN285" s="55"/>
      <c r="BO285" s="55"/>
      <c r="BP285" s="55"/>
      <c r="BQ285" s="55"/>
      <c r="BR285" s="55"/>
      <c r="BS285" s="55"/>
    </row>
    <row r="286" spans="3:71" outlineLevel="1" x14ac:dyDescent="0.2">
      <c r="D286" t="str">
        <f>CHOOSE(db_ML_selected,'Liste Traduction'!B343,'Liste Traduction'!C343)</f>
        <v>Coûts réels récupérés</v>
      </c>
      <c r="I286" s="30">
        <f t="shared" ca="1" si="76"/>
        <v>2204.9879026922831</v>
      </c>
      <c r="J286" s="26" t="s">
        <v>148</v>
      </c>
      <c r="L286" s="49" cm="1">
        <f t="array" aca="1" ref="L286:BS286" ca="1">HM_ZA_Nkossa!CA_cost_recovered_total</f>
        <v>141.09954235999999</v>
      </c>
      <c r="M286" s="49">
        <f ca="1"/>
        <v>174.31590860275</v>
      </c>
      <c r="N286" s="49">
        <f ca="1"/>
        <v>151.46269711400001</v>
      </c>
      <c r="O286" s="49">
        <f ca="1"/>
        <v>165.85003627450001</v>
      </c>
      <c r="P286" s="49">
        <f ca="1"/>
        <v>238.35548984005007</v>
      </c>
      <c r="Q286" s="49">
        <f ca="1"/>
        <v>254.34670980950006</v>
      </c>
      <c r="R286" s="49">
        <f ca="1"/>
        <v>244.00862892670006</v>
      </c>
      <c r="S286" s="49">
        <f ca="1"/>
        <v>113.06549728833335</v>
      </c>
      <c r="T286" s="49">
        <f ca="1"/>
        <v>153.86542455398398</v>
      </c>
      <c r="U286" s="49">
        <f ca="1"/>
        <v>153.59617671551999</v>
      </c>
      <c r="V286" s="49">
        <f ca="1"/>
        <v>145.70133323234225</v>
      </c>
      <c r="W286" s="49">
        <f ca="1"/>
        <v>138.21228470419985</v>
      </c>
      <c r="X286" s="49">
        <f ca="1"/>
        <v>131.10817327040397</v>
      </c>
      <c r="Y286" s="49">
        <f ca="1"/>
        <v>0</v>
      </c>
      <c r="Z286" s="49">
        <f ca="1"/>
        <v>0</v>
      </c>
      <c r="AA286" s="49">
        <f ca="1"/>
        <v>0</v>
      </c>
      <c r="AB286" s="49">
        <f ca="1"/>
        <v>0</v>
      </c>
      <c r="AC286" s="49">
        <f ca="1"/>
        <v>0</v>
      </c>
      <c r="AD286" s="49">
        <f ca="1"/>
        <v>0</v>
      </c>
      <c r="AE286" s="49">
        <f ca="1"/>
        <v>0</v>
      </c>
      <c r="AF286" s="49">
        <f ca="1"/>
        <v>0</v>
      </c>
      <c r="AG286" s="49">
        <f ca="1"/>
        <v>0</v>
      </c>
      <c r="AH286" s="49">
        <f ca="1"/>
        <v>0</v>
      </c>
      <c r="AI286" s="49">
        <f ca="1"/>
        <v>0</v>
      </c>
      <c r="AJ286" s="49">
        <f ca="1"/>
        <v>0</v>
      </c>
      <c r="AK286" s="49">
        <f ca="1"/>
        <v>0</v>
      </c>
      <c r="AL286" s="49">
        <f ca="1"/>
        <v>0</v>
      </c>
      <c r="AM286" s="49">
        <f ca="1"/>
        <v>0</v>
      </c>
      <c r="AN286" s="49">
        <f ca="1"/>
        <v>0</v>
      </c>
      <c r="AO286" s="49">
        <f ca="1"/>
        <v>0</v>
      </c>
      <c r="AP286" s="49">
        <f ca="1"/>
        <v>0</v>
      </c>
      <c r="AQ286" s="49">
        <f ca="1"/>
        <v>0</v>
      </c>
      <c r="AR286" s="49">
        <f ca="1"/>
        <v>0</v>
      </c>
      <c r="AS286" s="49">
        <f ca="1"/>
        <v>0</v>
      </c>
      <c r="AT286" s="49">
        <f ca="1"/>
        <v>0</v>
      </c>
      <c r="AU286" s="49">
        <f ca="1"/>
        <v>0</v>
      </c>
      <c r="AV286" s="49">
        <f ca="1"/>
        <v>0</v>
      </c>
      <c r="AW286" s="49">
        <f ca="1"/>
        <v>0</v>
      </c>
      <c r="AX286" s="49">
        <f ca="1"/>
        <v>0</v>
      </c>
      <c r="AY286" s="49">
        <f ca="1"/>
        <v>0</v>
      </c>
      <c r="AZ286" s="49">
        <f ca="1"/>
        <v>0</v>
      </c>
      <c r="BA286" s="49">
        <f ca="1"/>
        <v>0</v>
      </c>
      <c r="BB286" s="49">
        <f ca="1"/>
        <v>0</v>
      </c>
      <c r="BC286" s="49">
        <f ca="1"/>
        <v>0</v>
      </c>
      <c r="BD286" s="49">
        <f ca="1"/>
        <v>0</v>
      </c>
      <c r="BE286" s="49">
        <f ca="1"/>
        <v>0</v>
      </c>
      <c r="BF286" s="49">
        <f ca="1"/>
        <v>0</v>
      </c>
      <c r="BG286" s="49">
        <f ca="1"/>
        <v>0</v>
      </c>
      <c r="BH286" s="49">
        <f ca="1"/>
        <v>0</v>
      </c>
      <c r="BI286" s="49">
        <f ca="1"/>
        <v>0</v>
      </c>
      <c r="BJ286" s="49">
        <f ca="1"/>
        <v>0</v>
      </c>
      <c r="BK286" s="49">
        <f ca="1"/>
        <v>0</v>
      </c>
      <c r="BL286" s="49">
        <f ca="1"/>
        <v>0</v>
      </c>
      <c r="BM286" s="49">
        <f ca="1"/>
        <v>0</v>
      </c>
      <c r="BN286" s="49">
        <f ca="1"/>
        <v>0</v>
      </c>
      <c r="BO286" s="49">
        <f ca="1"/>
        <v>0</v>
      </c>
      <c r="BP286" s="49">
        <f ca="1"/>
        <v>0</v>
      </c>
      <c r="BQ286" s="49">
        <f ca="1"/>
        <v>0</v>
      </c>
      <c r="BR286" s="49">
        <f ca="1"/>
        <v>0</v>
      </c>
      <c r="BS286" s="49">
        <f ca="1"/>
        <v>0</v>
      </c>
    </row>
    <row r="287" spans="3:71" outlineLevel="1" x14ac:dyDescent="0.2">
      <c r="J287" s="26"/>
      <c r="L287" s="55"/>
      <c r="M287" s="55"/>
      <c r="N287" s="55"/>
      <c r="O287" s="55"/>
      <c r="P287" s="55"/>
      <c r="Q287" s="55"/>
      <c r="R287" s="55"/>
      <c r="S287" s="55"/>
      <c r="T287" s="55"/>
      <c r="U287" s="55"/>
      <c r="V287" s="55"/>
      <c r="W287" s="55"/>
      <c r="X287" s="55"/>
      <c r="Y287" s="55"/>
      <c r="Z287" s="55"/>
      <c r="AA287" s="55"/>
      <c r="AB287" s="55"/>
      <c r="AC287" s="55"/>
      <c r="AD287" s="55"/>
      <c r="AE287" s="55"/>
      <c r="AF287" s="55"/>
      <c r="AG287" s="55"/>
      <c r="AH287" s="55"/>
      <c r="AI287" s="55"/>
      <c r="AJ287" s="55"/>
      <c r="AK287" s="55"/>
      <c r="AL287" s="55"/>
      <c r="AM287" s="55"/>
      <c r="AN287" s="55"/>
      <c r="AO287" s="55"/>
      <c r="AP287" s="55"/>
      <c r="AQ287" s="55"/>
      <c r="AR287" s="55"/>
      <c r="AS287" s="55"/>
      <c r="AT287" s="55"/>
      <c r="AU287" s="55"/>
      <c r="AV287" s="55"/>
      <c r="AW287" s="55"/>
      <c r="AX287" s="55"/>
      <c r="AY287" s="55"/>
      <c r="AZ287" s="55"/>
      <c r="BA287" s="55"/>
      <c r="BB287" s="55"/>
      <c r="BC287" s="55"/>
      <c r="BD287" s="55"/>
      <c r="BE287" s="55"/>
      <c r="BF287" s="55"/>
      <c r="BG287" s="55"/>
      <c r="BH287" s="55"/>
      <c r="BI287" s="55"/>
      <c r="BJ287" s="55"/>
      <c r="BK287" s="55"/>
      <c r="BL287" s="55"/>
      <c r="BM287" s="55"/>
      <c r="BN287" s="55"/>
      <c r="BO287" s="55"/>
      <c r="BP287" s="55"/>
      <c r="BQ287" s="55"/>
      <c r="BR287" s="55"/>
      <c r="BS287" s="55"/>
    </row>
    <row r="288" spans="3:71" outlineLevel="1" x14ac:dyDescent="0.2">
      <c r="D288" t="str">
        <f>CHOOSE(db_ML_selected,'Liste Traduction'!B344,'Liste Traduction'!C344)</f>
        <v>Revenus disponibles pour le SPO</v>
      </c>
      <c r="I288" s="30">
        <f t="shared" ref="I288:I291" ca="1" si="79">SUM($L288:$BS288)</f>
        <v>1293.6169596924697</v>
      </c>
      <c r="J288" s="26" t="s">
        <v>148</v>
      </c>
      <c r="K288" s="7" t="s">
        <v>221</v>
      </c>
      <c r="L288" s="49">
        <f ca="1">MAX(L282-L284,0)*(CA_PSC_switch_trig=0)+
MAX(L282-L284-MAX((HM_ZA_Nkossa!CA_cost_recovered_total-(cost_stop_perc_Nkossa2017*HM_ZA_Nkossa!CA_gross_rev_oil_hp2)),0),0)*(CA_PSC_switch_trig=1)</f>
        <v>561.01271708239983</v>
      </c>
      <c r="M288" s="49">
        <f ca="1">MAX(M282-M284,0)*(CA_PSC_switch_trig=0)+
MAX(M282-M284-MAX((HM_ZA_Nkossa!CA_cost_recovered_total-(cost_stop_perc_Nkossa2017*HM_ZA_Nkossa!CA_gross_rev_oil_hp2)),0),0)*(CA_PSC_switch_trig=1)</f>
        <v>553.53987216572</v>
      </c>
      <c r="N288" s="49">
        <f ca="1">MAX(N282-N284,0)*(CA_PSC_switch_trig=0)+
MAX(N282-N284-MAX((HM_ZA_Nkossa!CA_cost_recovered_total-(cost_stop_perc_Nkossa2017*HM_ZA_Nkossa!CA_gross_rev_oil_hp2)),0),0)*(CA_PSC_switch_trig=1)</f>
        <v>114.05508742319991</v>
      </c>
      <c r="O288" s="49">
        <f ca="1">MAX(O282-O284,0)*(CA_PSC_switch_trig=0)+
MAX(O282-O284-MAX((HM_ZA_Nkossa!CA_cost_recovered_total-(cost_stop_perc_Nkossa2017*HM_ZA_Nkossa!CA_gross_rev_oil_hp2)),0),0)*(CA_PSC_switch_trig=1)</f>
        <v>64.301611523599988</v>
      </c>
      <c r="P288" s="49">
        <f ca="1">MAX(P282-P284,0)*(CA_PSC_switch_trig=0)+
MAX(P282-P284-MAX((HM_ZA_Nkossa!CA_cost_recovered_total-(cost_stop_perc_Nkossa2017*HM_ZA_Nkossa!CA_gross_rev_oil_hp2)),0),0)*(CA_PSC_switch_trig=1)</f>
        <v>0</v>
      </c>
      <c r="Q288" s="49">
        <f ca="1">MAX(Q282-Q284,0)*(CA_PSC_switch_trig=0)+
MAX(Q282-Q284-MAX((HM_ZA_Nkossa!CA_cost_recovered_total-(cost_stop_perc_Nkossa2017*HM_ZA_Nkossa!CA_gross_rev_oil_hp2)),0),0)*(CA_PSC_switch_trig=1)</f>
        <v>0.7076714975499272</v>
      </c>
      <c r="R288" s="49">
        <f ca="1">MAX(R282-R284,0)*(CA_PSC_switch_trig=0)+
MAX(R282-R284-MAX((HM_ZA_Nkossa!CA_cost_recovered_total-(cost_stop_perc_Nkossa2017*HM_ZA_Nkossa!CA_gross_rev_oil_hp2)),0),0)*(CA_PSC_switch_trig=1)</f>
        <v>0</v>
      </c>
      <c r="S288" s="49">
        <f ca="1">MAX(S282-S284,0)*(CA_PSC_switch_trig=0)+
MAX(S282-S284-MAX((HM_ZA_Nkossa!CA_cost_recovered_total-(cost_stop_perc_Nkossa2017*HM_ZA_Nkossa!CA_gross_rev_oil_hp2)),0),0)*(CA_PSC_switch_trig=1)</f>
        <v>0</v>
      </c>
      <c r="T288" s="49">
        <f ca="1">MAX(T282-T284,0)*(CA_PSC_switch_trig=0)+
MAX(T282-T284-MAX((HM_ZA_Nkossa!CA_cost_recovered_total-(cost_stop_perc_Nkossa2017*HM_ZA_Nkossa!CA_gross_rev_oil_hp2)),0),0)*(CA_PSC_switch_trig=1)</f>
        <v>0</v>
      </c>
      <c r="U288" s="49">
        <f ca="1">MAX(U282-U284,0)*(CA_PSC_switch_trig=0)+
MAX(U282-U284-MAX((HM_ZA_Nkossa!CA_cost_recovered_total-(cost_stop_perc_Nkossa2017*HM_ZA_Nkossa!CA_gross_rev_oil_hp2)),0),0)*(CA_PSC_switch_trig=1)</f>
        <v>0</v>
      </c>
      <c r="V288" s="49">
        <f ca="1">MAX(V282-V284,0)*(CA_PSC_switch_trig=0)+
MAX(V282-V284-MAX((HM_ZA_Nkossa!CA_cost_recovered_total-(cost_stop_perc_Nkossa2017*HM_ZA_Nkossa!CA_gross_rev_oil_hp2)),0),0)*(CA_PSC_switch_trig=1)</f>
        <v>0</v>
      </c>
      <c r="W288" s="49">
        <f ca="1">MAX(W282-W284,0)*(CA_PSC_switch_trig=0)+
MAX(W282-W284-MAX((HM_ZA_Nkossa!CA_cost_recovered_total-(cost_stop_perc_Nkossa2017*HM_ZA_Nkossa!CA_gross_rev_oil_hp2)),0),0)*(CA_PSC_switch_trig=1)</f>
        <v>0</v>
      </c>
      <c r="X288" s="49">
        <f ca="1">MAX(X282-X284,0)*(CA_PSC_switch_trig=0)+
MAX(X282-X284-MAX((HM_ZA_Nkossa!CA_cost_recovered_total-(cost_stop_perc_Nkossa2017*HM_ZA_Nkossa!CA_gross_rev_oil_hp2)),0),0)*(CA_PSC_switch_trig=1)</f>
        <v>0</v>
      </c>
      <c r="Y288" s="49">
        <f ca="1">MAX(Y282-Y284,0)*(CA_PSC_switch_trig=0)+
MAX(Y282-Y284-MAX((HM_ZA_Nkossa!CA_cost_recovered_total-(cost_stop_perc_Nkossa2017*HM_ZA_Nkossa!CA_gross_rev_oil_hp2)),0),0)*(CA_PSC_switch_trig=1)</f>
        <v>0</v>
      </c>
      <c r="Z288" s="49">
        <f ca="1">MAX(Z282-Z284,0)*(CA_PSC_switch_trig=0)+
MAX(Z282-Z284-MAX((HM_ZA_Nkossa!CA_cost_recovered_total-(cost_stop_perc_Nkossa2017*HM_ZA_Nkossa!CA_gross_rev_oil_hp2)),0),0)*(CA_PSC_switch_trig=1)</f>
        <v>0</v>
      </c>
      <c r="AA288" s="49">
        <f ca="1">MAX(AA282-AA284,0)*(CA_PSC_switch_trig=0)+
MAX(AA282-AA284-MAX((HM_ZA_Nkossa!CA_cost_recovered_total-(cost_stop_perc_Nkossa2017*HM_ZA_Nkossa!CA_gross_rev_oil_hp2)),0),0)*(CA_PSC_switch_trig=1)</f>
        <v>0</v>
      </c>
      <c r="AB288" s="49">
        <f ca="1">MAX(AB282-AB284,0)*(CA_PSC_switch_trig=0)+
MAX(AB282-AB284-MAX((HM_ZA_Nkossa!CA_cost_recovered_total-(cost_stop_perc_Nkossa2017*HM_ZA_Nkossa!CA_gross_rev_oil_hp2)),0),0)*(CA_PSC_switch_trig=1)</f>
        <v>0</v>
      </c>
      <c r="AC288" s="49">
        <f ca="1">MAX(AC282-AC284,0)*(CA_PSC_switch_trig=0)+
MAX(AC282-AC284-MAX((HM_ZA_Nkossa!CA_cost_recovered_total-(cost_stop_perc_Nkossa2017*HM_ZA_Nkossa!CA_gross_rev_oil_hp2)),0),0)*(CA_PSC_switch_trig=1)</f>
        <v>0</v>
      </c>
      <c r="AD288" s="49">
        <f ca="1">MAX(AD282-AD284,0)*(CA_PSC_switch_trig=0)+
MAX(AD282-AD284-MAX((HM_ZA_Nkossa!CA_cost_recovered_total-(cost_stop_perc_Nkossa2017*HM_ZA_Nkossa!CA_gross_rev_oil_hp2)),0),0)*(CA_PSC_switch_trig=1)</f>
        <v>0</v>
      </c>
      <c r="AE288" s="49">
        <f ca="1">MAX(AE282-AE284,0)*(CA_PSC_switch_trig=0)+
MAX(AE282-AE284-MAX((HM_ZA_Nkossa!CA_cost_recovered_total-(cost_stop_perc_Nkossa2017*HM_ZA_Nkossa!CA_gross_rev_oil_hp2)),0),0)*(CA_PSC_switch_trig=1)</f>
        <v>0</v>
      </c>
      <c r="AF288" s="49">
        <f ca="1">MAX(AF282-AF284,0)*(CA_PSC_switch_trig=0)+
MAX(AF282-AF284-MAX((HM_ZA_Nkossa!CA_cost_recovered_total-(cost_stop_perc_Nkossa2017*HM_ZA_Nkossa!CA_gross_rev_oil_hp2)),0),0)*(CA_PSC_switch_trig=1)</f>
        <v>0</v>
      </c>
      <c r="AG288" s="49">
        <f ca="1">MAX(AG282-AG284,0)*(CA_PSC_switch_trig=0)+
MAX(AG282-AG284-MAX((HM_ZA_Nkossa!CA_cost_recovered_total-(cost_stop_perc_Nkossa2017*HM_ZA_Nkossa!CA_gross_rev_oil_hp2)),0),0)*(CA_PSC_switch_trig=1)</f>
        <v>0</v>
      </c>
      <c r="AH288" s="49">
        <f ca="1">MAX(AH282-AH284,0)*(CA_PSC_switch_trig=0)+
MAX(AH282-AH284-MAX((HM_ZA_Nkossa!CA_cost_recovered_total-(cost_stop_perc_Nkossa2017*HM_ZA_Nkossa!CA_gross_rev_oil_hp2)),0),0)*(CA_PSC_switch_trig=1)</f>
        <v>0</v>
      </c>
      <c r="AI288" s="49">
        <f ca="1">MAX(AI282-AI284,0)*(CA_PSC_switch_trig=0)+
MAX(AI282-AI284-MAX((HM_ZA_Nkossa!CA_cost_recovered_total-(cost_stop_perc_Nkossa2017*HM_ZA_Nkossa!CA_gross_rev_oil_hp2)),0),0)*(CA_PSC_switch_trig=1)</f>
        <v>0</v>
      </c>
      <c r="AJ288" s="49">
        <f ca="1">MAX(AJ282-AJ284,0)*(CA_PSC_switch_trig=0)+
MAX(AJ282-AJ284-MAX((HM_ZA_Nkossa!CA_cost_recovered_total-(cost_stop_perc_Nkossa2017*HM_ZA_Nkossa!CA_gross_rev_oil_hp2)),0),0)*(CA_PSC_switch_trig=1)</f>
        <v>0</v>
      </c>
      <c r="AK288" s="49">
        <f ca="1">MAX(AK282-AK284,0)*(CA_PSC_switch_trig=0)+
MAX(AK282-AK284-MAX((HM_ZA_Nkossa!CA_cost_recovered_total-(cost_stop_perc_Nkossa2017*HM_ZA_Nkossa!CA_gross_rev_oil_hp2)),0),0)*(CA_PSC_switch_trig=1)</f>
        <v>0</v>
      </c>
      <c r="AL288" s="49">
        <f ca="1">MAX(AL282-AL284,0)*(CA_PSC_switch_trig=0)+
MAX(AL282-AL284-MAX((HM_ZA_Nkossa!CA_cost_recovered_total-(cost_stop_perc_Nkossa2017*HM_ZA_Nkossa!CA_gross_rev_oil_hp2)),0),0)*(CA_PSC_switch_trig=1)</f>
        <v>0</v>
      </c>
      <c r="AM288" s="49">
        <f ca="1">MAX(AM282-AM284,0)*(CA_PSC_switch_trig=0)+
MAX(AM282-AM284-MAX((HM_ZA_Nkossa!CA_cost_recovered_total-(cost_stop_perc_Nkossa2017*HM_ZA_Nkossa!CA_gross_rev_oil_hp2)),0),0)*(CA_PSC_switch_trig=1)</f>
        <v>0</v>
      </c>
      <c r="AN288" s="49">
        <f ca="1">MAX(AN282-AN284,0)*(CA_PSC_switch_trig=0)+
MAX(AN282-AN284-MAX((HM_ZA_Nkossa!CA_cost_recovered_total-(cost_stop_perc_Nkossa2017*HM_ZA_Nkossa!CA_gross_rev_oil_hp2)),0),0)*(CA_PSC_switch_trig=1)</f>
        <v>0</v>
      </c>
      <c r="AO288" s="49">
        <f ca="1">MAX(AO282-AO284,0)*(CA_PSC_switch_trig=0)+
MAX(AO282-AO284-MAX((HM_ZA_Nkossa!CA_cost_recovered_total-(cost_stop_perc_Nkossa2017*HM_ZA_Nkossa!CA_gross_rev_oil_hp2)),0),0)*(CA_PSC_switch_trig=1)</f>
        <v>0</v>
      </c>
      <c r="AP288" s="49">
        <f ca="1">MAX(AP282-AP284,0)*(CA_PSC_switch_trig=0)+
MAX(AP282-AP284-MAX((HM_ZA_Nkossa!CA_cost_recovered_total-(cost_stop_perc_Nkossa2017*HM_ZA_Nkossa!CA_gross_rev_oil_hp2)),0),0)*(CA_PSC_switch_trig=1)</f>
        <v>0</v>
      </c>
      <c r="AQ288" s="49">
        <f ca="1">MAX(AQ282-AQ284,0)*(CA_PSC_switch_trig=0)+
MAX(AQ282-AQ284-MAX((HM_ZA_Nkossa!CA_cost_recovered_total-(cost_stop_perc_Nkossa2017*HM_ZA_Nkossa!CA_gross_rev_oil_hp2)),0),0)*(CA_PSC_switch_trig=1)</f>
        <v>0</v>
      </c>
      <c r="AR288" s="49">
        <f ca="1">MAX(AR282-AR284,0)*(CA_PSC_switch_trig=0)+
MAX(AR282-AR284-MAX((HM_ZA_Nkossa!CA_cost_recovered_total-(cost_stop_perc_Nkossa2017*HM_ZA_Nkossa!CA_gross_rev_oil_hp2)),0),0)*(CA_PSC_switch_trig=1)</f>
        <v>0</v>
      </c>
      <c r="AS288" s="49">
        <f ca="1">MAX(AS282-AS284,0)*(CA_PSC_switch_trig=0)+
MAX(AS282-AS284-MAX((HM_ZA_Nkossa!CA_cost_recovered_total-(cost_stop_perc_Nkossa2017*HM_ZA_Nkossa!CA_gross_rev_oil_hp2)),0),0)*(CA_PSC_switch_trig=1)</f>
        <v>0</v>
      </c>
      <c r="AT288" s="49">
        <f ca="1">MAX(AT282-AT284,0)*(CA_PSC_switch_trig=0)+
MAX(AT282-AT284-MAX((HM_ZA_Nkossa!CA_cost_recovered_total-(cost_stop_perc_Nkossa2017*HM_ZA_Nkossa!CA_gross_rev_oil_hp2)),0),0)*(CA_PSC_switch_trig=1)</f>
        <v>0</v>
      </c>
      <c r="AU288" s="49">
        <f ca="1">MAX(AU282-AU284,0)*(CA_PSC_switch_trig=0)+
MAX(AU282-AU284-MAX((HM_ZA_Nkossa!CA_cost_recovered_total-(cost_stop_perc_Nkossa2017*HM_ZA_Nkossa!CA_gross_rev_oil_hp2)),0),0)*(CA_PSC_switch_trig=1)</f>
        <v>0</v>
      </c>
      <c r="AV288" s="49">
        <f ca="1">MAX(AV282-AV284,0)*(CA_PSC_switch_trig=0)+
MAX(AV282-AV284-MAX((HM_ZA_Nkossa!CA_cost_recovered_total-(cost_stop_perc_Nkossa2017*HM_ZA_Nkossa!CA_gross_rev_oil_hp2)),0),0)*(CA_PSC_switch_trig=1)</f>
        <v>0</v>
      </c>
      <c r="AW288" s="49">
        <f ca="1">MAX(AW282-AW284,0)*(CA_PSC_switch_trig=0)+
MAX(AW282-AW284-MAX((HM_ZA_Nkossa!CA_cost_recovered_total-(cost_stop_perc_Nkossa2017*HM_ZA_Nkossa!CA_gross_rev_oil_hp2)),0),0)*(CA_PSC_switch_trig=1)</f>
        <v>0</v>
      </c>
      <c r="AX288" s="49">
        <f ca="1">MAX(AX282-AX284,0)*(CA_PSC_switch_trig=0)+
MAX(AX282-AX284-MAX((HM_ZA_Nkossa!CA_cost_recovered_total-(cost_stop_perc_Nkossa2017*HM_ZA_Nkossa!CA_gross_rev_oil_hp2)),0),0)*(CA_PSC_switch_trig=1)</f>
        <v>0</v>
      </c>
      <c r="AY288" s="49">
        <f ca="1">MAX(AY282-AY284,0)*(CA_PSC_switch_trig=0)+
MAX(AY282-AY284-MAX((HM_ZA_Nkossa!CA_cost_recovered_total-(cost_stop_perc_Nkossa2017*HM_ZA_Nkossa!CA_gross_rev_oil_hp2)),0),0)*(CA_PSC_switch_trig=1)</f>
        <v>0</v>
      </c>
      <c r="AZ288" s="49">
        <f ca="1">MAX(AZ282-AZ284,0)*(CA_PSC_switch_trig=0)+
MAX(AZ282-AZ284-MAX((HM_ZA_Nkossa!CA_cost_recovered_total-(cost_stop_perc_Nkossa2017*HM_ZA_Nkossa!CA_gross_rev_oil_hp2)),0),0)*(CA_PSC_switch_trig=1)</f>
        <v>0</v>
      </c>
      <c r="BA288" s="49">
        <f ca="1">MAX(BA282-BA284,0)*(CA_PSC_switch_trig=0)+
MAX(BA282-BA284-MAX((HM_ZA_Nkossa!CA_cost_recovered_total-(cost_stop_perc_Nkossa2017*HM_ZA_Nkossa!CA_gross_rev_oil_hp2)),0),0)*(CA_PSC_switch_trig=1)</f>
        <v>0</v>
      </c>
      <c r="BB288" s="49">
        <f ca="1">MAX(BB282-BB284,0)*(CA_PSC_switch_trig=0)+
MAX(BB282-BB284-MAX((HM_ZA_Nkossa!CA_cost_recovered_total-(cost_stop_perc_Nkossa2017*HM_ZA_Nkossa!CA_gross_rev_oil_hp2)),0),0)*(CA_PSC_switch_trig=1)</f>
        <v>0</v>
      </c>
      <c r="BC288" s="49">
        <f ca="1">MAX(BC282-BC284,0)*(CA_PSC_switch_trig=0)+
MAX(BC282-BC284-MAX((HM_ZA_Nkossa!CA_cost_recovered_total-(cost_stop_perc_Nkossa2017*HM_ZA_Nkossa!CA_gross_rev_oil_hp2)),0),0)*(CA_PSC_switch_trig=1)</f>
        <v>0</v>
      </c>
      <c r="BD288" s="49">
        <f ca="1">MAX(BD282-BD284,0)*(CA_PSC_switch_trig=0)+
MAX(BD282-BD284-MAX((HM_ZA_Nkossa!CA_cost_recovered_total-(cost_stop_perc_Nkossa2017*HM_ZA_Nkossa!CA_gross_rev_oil_hp2)),0),0)*(CA_PSC_switch_trig=1)</f>
        <v>0</v>
      </c>
      <c r="BE288" s="49">
        <f ca="1">MAX(BE282-BE284,0)*(CA_PSC_switch_trig=0)+
MAX(BE282-BE284-MAX((HM_ZA_Nkossa!CA_cost_recovered_total-(cost_stop_perc_Nkossa2017*HM_ZA_Nkossa!CA_gross_rev_oil_hp2)),0),0)*(CA_PSC_switch_trig=1)</f>
        <v>0</v>
      </c>
      <c r="BF288" s="49">
        <f ca="1">MAX(BF282-BF284,0)*(CA_PSC_switch_trig=0)+
MAX(BF282-BF284-MAX((HM_ZA_Nkossa!CA_cost_recovered_total-(cost_stop_perc_Nkossa2017*HM_ZA_Nkossa!CA_gross_rev_oil_hp2)),0),0)*(CA_PSC_switch_trig=1)</f>
        <v>0</v>
      </c>
      <c r="BG288" s="49">
        <f ca="1">MAX(BG282-BG284,0)*(CA_PSC_switch_trig=0)+
MAX(BG282-BG284-MAX((HM_ZA_Nkossa!CA_cost_recovered_total-(cost_stop_perc_Nkossa2017*HM_ZA_Nkossa!CA_gross_rev_oil_hp2)),0),0)*(CA_PSC_switch_trig=1)</f>
        <v>0</v>
      </c>
      <c r="BH288" s="49">
        <f ca="1">MAX(BH282-BH284,0)*(CA_PSC_switch_trig=0)+
MAX(BH282-BH284-MAX((HM_ZA_Nkossa!CA_cost_recovered_total-(cost_stop_perc_Nkossa2017*HM_ZA_Nkossa!CA_gross_rev_oil_hp2)),0),0)*(CA_PSC_switch_trig=1)</f>
        <v>0</v>
      </c>
      <c r="BI288" s="49">
        <f ca="1">MAX(BI282-BI284,0)*(CA_PSC_switch_trig=0)+
MAX(BI282-BI284-MAX((HM_ZA_Nkossa!CA_cost_recovered_total-(cost_stop_perc_Nkossa2017*HM_ZA_Nkossa!CA_gross_rev_oil_hp2)),0),0)*(CA_PSC_switch_trig=1)</f>
        <v>0</v>
      </c>
      <c r="BJ288" s="49">
        <f ca="1">MAX(BJ282-BJ284,0)*(CA_PSC_switch_trig=0)+
MAX(BJ282-BJ284-MAX((HM_ZA_Nkossa!CA_cost_recovered_total-(cost_stop_perc_Nkossa2017*HM_ZA_Nkossa!CA_gross_rev_oil_hp2)),0),0)*(CA_PSC_switch_trig=1)</f>
        <v>0</v>
      </c>
      <c r="BK288" s="49">
        <f ca="1">MAX(BK282-BK284,0)*(CA_PSC_switch_trig=0)+
MAX(BK282-BK284-MAX((HM_ZA_Nkossa!CA_cost_recovered_total-(cost_stop_perc_Nkossa2017*HM_ZA_Nkossa!CA_gross_rev_oil_hp2)),0),0)*(CA_PSC_switch_trig=1)</f>
        <v>0</v>
      </c>
      <c r="BL288" s="49">
        <f ca="1">MAX(BL282-BL284,0)*(CA_PSC_switch_trig=0)+
MAX(BL282-BL284-MAX((HM_ZA_Nkossa!CA_cost_recovered_total-(cost_stop_perc_Nkossa2017*HM_ZA_Nkossa!CA_gross_rev_oil_hp2)),0),0)*(CA_PSC_switch_trig=1)</f>
        <v>0</v>
      </c>
      <c r="BM288" s="49">
        <f ca="1">MAX(BM282-BM284,0)*(CA_PSC_switch_trig=0)+
MAX(BM282-BM284-MAX((HM_ZA_Nkossa!CA_cost_recovered_total-(cost_stop_perc_Nkossa2017*HM_ZA_Nkossa!CA_gross_rev_oil_hp2)),0),0)*(CA_PSC_switch_trig=1)</f>
        <v>0</v>
      </c>
      <c r="BN288" s="49">
        <f ca="1">MAX(BN282-BN284,0)*(CA_PSC_switch_trig=0)+
MAX(BN282-BN284-MAX((HM_ZA_Nkossa!CA_cost_recovered_total-(cost_stop_perc_Nkossa2017*HM_ZA_Nkossa!CA_gross_rev_oil_hp2)),0),0)*(CA_PSC_switch_trig=1)</f>
        <v>0</v>
      </c>
      <c r="BO288" s="49">
        <f ca="1">MAX(BO282-BO284,0)*(CA_PSC_switch_trig=0)+
MAX(BO282-BO284-MAX((HM_ZA_Nkossa!CA_cost_recovered_total-(cost_stop_perc_Nkossa2017*HM_ZA_Nkossa!CA_gross_rev_oil_hp2)),0),0)*(CA_PSC_switch_trig=1)</f>
        <v>0</v>
      </c>
      <c r="BP288" s="49">
        <f ca="1">MAX(BP282-BP284,0)*(CA_PSC_switch_trig=0)+
MAX(BP282-BP284-MAX((HM_ZA_Nkossa!CA_cost_recovered_total-(cost_stop_perc_Nkossa2017*HM_ZA_Nkossa!CA_gross_rev_oil_hp2)),0),0)*(CA_PSC_switch_trig=1)</f>
        <v>0</v>
      </c>
      <c r="BQ288" s="49">
        <f ca="1">MAX(BQ282-BQ284,0)*(CA_PSC_switch_trig=0)+
MAX(BQ282-BQ284-MAX((HM_ZA_Nkossa!CA_cost_recovered_total-(cost_stop_perc_Nkossa2017*HM_ZA_Nkossa!CA_gross_rev_oil_hp2)),0),0)*(CA_PSC_switch_trig=1)</f>
        <v>0</v>
      </c>
      <c r="BR288" s="49">
        <f ca="1">MAX(BR282-BR284,0)*(CA_PSC_switch_trig=0)+
MAX(BR282-BR284-MAX((HM_ZA_Nkossa!CA_cost_recovered_total-(cost_stop_perc_Nkossa2017*HM_ZA_Nkossa!CA_gross_rev_oil_hp2)),0),0)*(CA_PSC_switch_trig=1)</f>
        <v>0</v>
      </c>
      <c r="BS288" s="49">
        <f ca="1">MAX(BS282-BS284,0)*(CA_PSC_switch_trig=0)+
MAX(BS282-BS284-MAX((HM_ZA_Nkossa!CA_cost_recovered_total-(cost_stop_perc_Nkossa2017*HM_ZA_Nkossa!CA_gross_rev_oil_hp2)),0),0)*(CA_PSC_switch_trig=1)</f>
        <v>0</v>
      </c>
    </row>
    <row r="289" spans="3:71" outlineLevel="1" x14ac:dyDescent="0.2">
      <c r="J289" s="26"/>
      <c r="L289" s="55"/>
      <c r="M289" s="55"/>
      <c r="N289" s="55"/>
      <c r="O289" s="55"/>
      <c r="P289" s="55"/>
      <c r="Q289" s="55"/>
      <c r="R289" s="55"/>
      <c r="S289" s="55"/>
      <c r="T289" s="55"/>
      <c r="U289" s="55"/>
      <c r="V289" s="55"/>
      <c r="W289" s="55"/>
      <c r="X289" s="55"/>
      <c r="Y289" s="55"/>
      <c r="Z289" s="55"/>
      <c r="AA289" s="55"/>
      <c r="AB289" s="55"/>
      <c r="AC289" s="55"/>
      <c r="AD289" s="55"/>
      <c r="AE289" s="55"/>
      <c r="AF289" s="55"/>
      <c r="AG289" s="55"/>
      <c r="AH289" s="55"/>
      <c r="AI289" s="55"/>
      <c r="AJ289" s="55"/>
      <c r="AK289" s="55"/>
      <c r="AL289" s="55"/>
      <c r="AM289" s="55"/>
      <c r="AN289" s="55"/>
      <c r="AO289" s="55"/>
      <c r="AP289" s="55"/>
      <c r="AQ289" s="55"/>
      <c r="AR289" s="55"/>
      <c r="AS289" s="55"/>
      <c r="AT289" s="55"/>
      <c r="AU289" s="55"/>
      <c r="AV289" s="55"/>
      <c r="AW289" s="55"/>
      <c r="AX289" s="55"/>
      <c r="AY289" s="55"/>
      <c r="AZ289" s="55"/>
      <c r="BA289" s="55"/>
      <c r="BB289" s="55"/>
      <c r="BC289" s="55"/>
      <c r="BD289" s="55"/>
      <c r="BE289" s="55"/>
      <c r="BF289" s="55"/>
      <c r="BG289" s="55"/>
      <c r="BH289" s="55"/>
      <c r="BI289" s="55"/>
      <c r="BJ289" s="55"/>
      <c r="BK289" s="55"/>
      <c r="BL289" s="55"/>
      <c r="BM289" s="55"/>
      <c r="BN289" s="55"/>
      <c r="BO289" s="55"/>
      <c r="BP289" s="55"/>
      <c r="BQ289" s="55"/>
      <c r="BR289" s="55"/>
      <c r="BS289" s="55"/>
    </row>
    <row r="290" spans="3:71" outlineLevel="1" x14ac:dyDescent="0.2">
      <c r="D290" s="11" t="str">
        <f>CHOOSE(db_ML_selected,'Liste Traduction'!B345,'Liste Traduction'!C345)</f>
        <v>Part du Contracteur dans le SPO</v>
      </c>
      <c r="I290" s="30">
        <f t="shared" ca="1" si="79"/>
        <v>220.62287334239193</v>
      </c>
      <c r="J290" s="26" t="s">
        <v>148</v>
      </c>
      <c r="K290" s="7" t="s">
        <v>224</v>
      </c>
      <c r="L290" s="49">
        <f ca="1">L288-L291</f>
        <v>95.627167684499966</v>
      </c>
      <c r="M290" s="49">
        <f t="shared" ref="M290:BS290" ca="1" si="80">M288-M291</f>
        <v>94.353387300974987</v>
      </c>
      <c r="N290" s="49">
        <f t="shared" ca="1" si="80"/>
        <v>19.441208083499987</v>
      </c>
      <c r="O290" s="49">
        <f t="shared" ca="1" si="80"/>
        <v>10.960501964250007</v>
      </c>
      <c r="P290" s="49">
        <f t="shared" ca="1" si="80"/>
        <v>0</v>
      </c>
      <c r="Q290" s="49">
        <f t="shared" ca="1" si="80"/>
        <v>0.24060830916697523</v>
      </c>
      <c r="R290" s="49">
        <f t="shared" ca="1" si="80"/>
        <v>0</v>
      </c>
      <c r="S290" s="49">
        <f t="shared" ca="1" si="80"/>
        <v>0</v>
      </c>
      <c r="T290" s="49">
        <f t="shared" ca="1" si="80"/>
        <v>0</v>
      </c>
      <c r="U290" s="49">
        <f t="shared" ca="1" si="80"/>
        <v>0</v>
      </c>
      <c r="V290" s="49">
        <f t="shared" ca="1" si="80"/>
        <v>0</v>
      </c>
      <c r="W290" s="49">
        <f t="shared" ca="1" si="80"/>
        <v>0</v>
      </c>
      <c r="X290" s="49">
        <f t="shared" ca="1" si="80"/>
        <v>0</v>
      </c>
      <c r="Y290" s="49">
        <f t="shared" ca="1" si="80"/>
        <v>0</v>
      </c>
      <c r="Z290" s="49">
        <f t="shared" ca="1" si="80"/>
        <v>0</v>
      </c>
      <c r="AA290" s="49">
        <f t="shared" ca="1" si="80"/>
        <v>0</v>
      </c>
      <c r="AB290" s="49">
        <f t="shared" ca="1" si="80"/>
        <v>0</v>
      </c>
      <c r="AC290" s="49">
        <f t="shared" ca="1" si="80"/>
        <v>0</v>
      </c>
      <c r="AD290" s="49">
        <f t="shared" ca="1" si="80"/>
        <v>0</v>
      </c>
      <c r="AE290" s="49">
        <f t="shared" ca="1" si="80"/>
        <v>0</v>
      </c>
      <c r="AF290" s="49">
        <f t="shared" ca="1" si="80"/>
        <v>0</v>
      </c>
      <c r="AG290" s="49">
        <f t="shared" ca="1" si="80"/>
        <v>0</v>
      </c>
      <c r="AH290" s="49">
        <f t="shared" ca="1" si="80"/>
        <v>0</v>
      </c>
      <c r="AI290" s="49">
        <f t="shared" ca="1" si="80"/>
        <v>0</v>
      </c>
      <c r="AJ290" s="49">
        <f t="shared" ca="1" si="80"/>
        <v>0</v>
      </c>
      <c r="AK290" s="49">
        <f t="shared" ca="1" si="80"/>
        <v>0</v>
      </c>
      <c r="AL290" s="49">
        <f t="shared" ca="1" si="80"/>
        <v>0</v>
      </c>
      <c r="AM290" s="49">
        <f t="shared" ca="1" si="80"/>
        <v>0</v>
      </c>
      <c r="AN290" s="49">
        <f t="shared" ca="1" si="80"/>
        <v>0</v>
      </c>
      <c r="AO290" s="49">
        <f t="shared" ca="1" si="80"/>
        <v>0</v>
      </c>
      <c r="AP290" s="49">
        <f t="shared" ca="1" si="80"/>
        <v>0</v>
      </c>
      <c r="AQ290" s="49">
        <f t="shared" ca="1" si="80"/>
        <v>0</v>
      </c>
      <c r="AR290" s="49">
        <f t="shared" ca="1" si="80"/>
        <v>0</v>
      </c>
      <c r="AS290" s="49">
        <f t="shared" ca="1" si="80"/>
        <v>0</v>
      </c>
      <c r="AT290" s="49">
        <f t="shared" ca="1" si="80"/>
        <v>0</v>
      </c>
      <c r="AU290" s="49">
        <f t="shared" ca="1" si="80"/>
        <v>0</v>
      </c>
      <c r="AV290" s="49">
        <f t="shared" ca="1" si="80"/>
        <v>0</v>
      </c>
      <c r="AW290" s="49">
        <f t="shared" ca="1" si="80"/>
        <v>0</v>
      </c>
      <c r="AX290" s="49">
        <f t="shared" ca="1" si="80"/>
        <v>0</v>
      </c>
      <c r="AY290" s="49">
        <f t="shared" ca="1" si="80"/>
        <v>0</v>
      </c>
      <c r="AZ290" s="49">
        <f t="shared" ca="1" si="80"/>
        <v>0</v>
      </c>
      <c r="BA290" s="49">
        <f t="shared" ca="1" si="80"/>
        <v>0</v>
      </c>
      <c r="BB290" s="49">
        <f t="shared" ca="1" si="80"/>
        <v>0</v>
      </c>
      <c r="BC290" s="49">
        <f t="shared" ca="1" si="80"/>
        <v>0</v>
      </c>
      <c r="BD290" s="49">
        <f t="shared" ca="1" si="80"/>
        <v>0</v>
      </c>
      <c r="BE290" s="49">
        <f t="shared" ca="1" si="80"/>
        <v>0</v>
      </c>
      <c r="BF290" s="49">
        <f t="shared" ca="1" si="80"/>
        <v>0</v>
      </c>
      <c r="BG290" s="49">
        <f t="shared" ca="1" si="80"/>
        <v>0</v>
      </c>
      <c r="BH290" s="49">
        <f t="shared" ca="1" si="80"/>
        <v>0</v>
      </c>
      <c r="BI290" s="49">
        <f t="shared" ca="1" si="80"/>
        <v>0</v>
      </c>
      <c r="BJ290" s="49">
        <f t="shared" ca="1" si="80"/>
        <v>0</v>
      </c>
      <c r="BK290" s="49">
        <f t="shared" ca="1" si="80"/>
        <v>0</v>
      </c>
      <c r="BL290" s="49">
        <f t="shared" ca="1" si="80"/>
        <v>0</v>
      </c>
      <c r="BM290" s="49">
        <f t="shared" ca="1" si="80"/>
        <v>0</v>
      </c>
      <c r="BN290" s="49">
        <f t="shared" ca="1" si="80"/>
        <v>0</v>
      </c>
      <c r="BO290" s="49">
        <f t="shared" ca="1" si="80"/>
        <v>0</v>
      </c>
      <c r="BP290" s="49">
        <f t="shared" ca="1" si="80"/>
        <v>0</v>
      </c>
      <c r="BQ290" s="49">
        <f t="shared" ca="1" si="80"/>
        <v>0</v>
      </c>
      <c r="BR290" s="49">
        <f t="shared" ca="1" si="80"/>
        <v>0</v>
      </c>
      <c r="BS290" s="49">
        <f t="shared" ca="1" si="80"/>
        <v>0</v>
      </c>
    </row>
    <row r="291" spans="3:71" outlineLevel="1" x14ac:dyDescent="0.2">
      <c r="D291" s="11" t="str">
        <f>CHOOSE(db_ML_selected,'Liste Traduction'!B346,'Liste Traduction'!C346)</f>
        <v>Part du Gouv. dans le SPO</v>
      </c>
      <c r="I291" s="30">
        <f t="shared" ca="1" si="79"/>
        <v>1072.9940863500776</v>
      </c>
      <c r="J291" s="26" t="s">
        <v>148</v>
      </c>
      <c r="K291" s="7" t="s">
        <v>225</v>
      </c>
      <c r="L291" s="66">
        <f ca="1">MAX((INDEX(FA_SPO_govt_rate,1)*L282-L284),0)*(CA_PSC_switch_trig=0)+
(INDEX(FA_SPO_govt_rate,2)*HM_ZA_Nkossa!CA_rev_for_SPO)*(CA_PSC_switch_trig=1)</f>
        <v>465.38554939789987</v>
      </c>
      <c r="M291" s="66">
        <f ca="1">MAX((INDEX(FA_SPO_govt_rate,1)*M282-M284),0)*(CA_PSC_switch_trig=0)+
(INDEX(FA_SPO_govt_rate,2)*HM_ZA_Nkossa!CA_rev_for_SPO)*(CA_PSC_switch_trig=1)</f>
        <v>459.18648486474501</v>
      </c>
      <c r="N291" s="66">
        <f ca="1">MAX((INDEX(FA_SPO_govt_rate,1)*N282-N284),0)*(CA_PSC_switch_trig=0)+
(INDEX(FA_SPO_govt_rate,2)*HM_ZA_Nkossa!CA_rev_for_SPO)*(CA_PSC_switch_trig=1)</f>
        <v>94.61387933969992</v>
      </c>
      <c r="O291" s="66">
        <f ca="1">MAX((INDEX(FA_SPO_govt_rate,1)*O282-O284),0)*(CA_PSC_switch_trig=0)+
(INDEX(FA_SPO_govt_rate,2)*HM_ZA_Nkossa!CA_rev_for_SPO)*(CA_PSC_switch_trig=1)</f>
        <v>53.341109559349981</v>
      </c>
      <c r="P291" s="66">
        <f ca="1">MAX((INDEX(FA_SPO_govt_rate,1)*P282-P284),0)*(CA_PSC_switch_trig=0)+
(INDEX(FA_SPO_govt_rate,2)*HM_ZA_Nkossa!CA_rev_for_SPO)*(CA_PSC_switch_trig=1)</f>
        <v>0</v>
      </c>
      <c r="Q291" s="66">
        <f ca="1">MAX((INDEX(FA_SPO_govt_rate,1)*Q282-Q284),0)*(CA_PSC_switch_trig=0)+
(INDEX(FA_SPO_govt_rate,2)*HM_ZA_Nkossa!CA_rev_for_SPO)*(CA_PSC_switch_trig=1)</f>
        <v>0.46706318838295197</v>
      </c>
      <c r="R291" s="66">
        <f ca="1">MAX((INDEX(FA_SPO_govt_rate,1)*R282-R284),0)*(CA_PSC_switch_trig=0)+
(INDEX(FA_SPO_govt_rate,2)*HM_ZA_Nkossa!CA_rev_for_SPO)*(CA_PSC_switch_trig=1)</f>
        <v>0</v>
      </c>
      <c r="S291" s="66">
        <f ca="1">MAX((INDEX(FA_SPO_govt_rate,1)*S282-S284),0)*(CA_PSC_switch_trig=0)+
(INDEX(FA_SPO_govt_rate,2)*HM_ZA_Nkossa!CA_rev_for_SPO)*(CA_PSC_switch_trig=1)</f>
        <v>0</v>
      </c>
      <c r="T291" s="66">
        <f ca="1">MAX((INDEX(FA_SPO_govt_rate,1)*T282-T284),0)*(CA_PSC_switch_trig=0)+
(INDEX(FA_SPO_govt_rate,2)*HM_ZA_Nkossa!CA_rev_for_SPO)*(CA_PSC_switch_trig=1)</f>
        <v>0</v>
      </c>
      <c r="U291" s="66">
        <f ca="1">MAX((INDEX(FA_SPO_govt_rate,1)*U282-U284),0)*(CA_PSC_switch_trig=0)+
(INDEX(FA_SPO_govt_rate,2)*HM_ZA_Nkossa!CA_rev_for_SPO)*(CA_PSC_switch_trig=1)</f>
        <v>0</v>
      </c>
      <c r="V291" s="66">
        <f ca="1">MAX((INDEX(FA_SPO_govt_rate,1)*V282-V284),0)*(CA_PSC_switch_trig=0)+
(INDEX(FA_SPO_govt_rate,2)*HM_ZA_Nkossa!CA_rev_for_SPO)*(CA_PSC_switch_trig=1)</f>
        <v>0</v>
      </c>
      <c r="W291" s="66">
        <f ca="1">MAX((INDEX(FA_SPO_govt_rate,1)*W282-W284),0)*(CA_PSC_switch_trig=0)+
(INDEX(FA_SPO_govt_rate,2)*HM_ZA_Nkossa!CA_rev_for_SPO)*(CA_PSC_switch_trig=1)</f>
        <v>0</v>
      </c>
      <c r="X291" s="66">
        <f ca="1">MAX((INDEX(FA_SPO_govt_rate,1)*X282-X284),0)*(CA_PSC_switch_trig=0)+
(INDEX(FA_SPO_govt_rate,2)*HM_ZA_Nkossa!CA_rev_for_SPO)*(CA_PSC_switch_trig=1)</f>
        <v>0</v>
      </c>
      <c r="Y291" s="66">
        <f ca="1">MAX((INDEX(FA_SPO_govt_rate,1)*Y282-Y284),0)*(CA_PSC_switch_trig=0)+
(INDEX(FA_SPO_govt_rate,2)*HM_ZA_Nkossa!CA_rev_for_SPO)*(CA_PSC_switch_trig=1)</f>
        <v>0</v>
      </c>
      <c r="Z291" s="66">
        <f ca="1">MAX((INDEX(FA_SPO_govt_rate,1)*Z282-Z284),0)*(CA_PSC_switch_trig=0)+
(INDEX(FA_SPO_govt_rate,2)*HM_ZA_Nkossa!CA_rev_for_SPO)*(CA_PSC_switch_trig=1)</f>
        <v>0</v>
      </c>
      <c r="AA291" s="66">
        <f ca="1">MAX((INDEX(FA_SPO_govt_rate,1)*AA282-AA284),0)*(CA_PSC_switch_trig=0)+
(INDEX(FA_SPO_govt_rate,2)*HM_ZA_Nkossa!CA_rev_for_SPO)*(CA_PSC_switch_trig=1)</f>
        <v>0</v>
      </c>
      <c r="AB291" s="66">
        <f ca="1">MAX((INDEX(FA_SPO_govt_rate,1)*AB282-AB284),0)*(CA_PSC_switch_trig=0)+
(INDEX(FA_SPO_govt_rate,2)*HM_ZA_Nkossa!CA_rev_for_SPO)*(CA_PSC_switch_trig=1)</f>
        <v>0</v>
      </c>
      <c r="AC291" s="66">
        <f ca="1">MAX((INDEX(FA_SPO_govt_rate,1)*AC282-AC284),0)*(CA_PSC_switch_trig=0)+
(INDEX(FA_SPO_govt_rate,2)*HM_ZA_Nkossa!CA_rev_for_SPO)*(CA_PSC_switch_trig=1)</f>
        <v>0</v>
      </c>
      <c r="AD291" s="66">
        <f ca="1">MAX((INDEX(FA_SPO_govt_rate,1)*AD282-AD284),0)*(CA_PSC_switch_trig=0)+
(INDEX(FA_SPO_govt_rate,2)*HM_ZA_Nkossa!CA_rev_for_SPO)*(CA_PSC_switch_trig=1)</f>
        <v>0</v>
      </c>
      <c r="AE291" s="66">
        <f ca="1">MAX((INDEX(FA_SPO_govt_rate,1)*AE282-AE284),0)*(CA_PSC_switch_trig=0)+
(INDEX(FA_SPO_govt_rate,2)*HM_ZA_Nkossa!CA_rev_for_SPO)*(CA_PSC_switch_trig=1)</f>
        <v>0</v>
      </c>
      <c r="AF291" s="66">
        <f ca="1">MAX((INDEX(FA_SPO_govt_rate,1)*AF282-AF284),0)*(CA_PSC_switch_trig=0)+
(INDEX(FA_SPO_govt_rate,2)*HM_ZA_Nkossa!CA_rev_for_SPO)*(CA_PSC_switch_trig=1)</f>
        <v>0</v>
      </c>
      <c r="AG291" s="66">
        <f ca="1">MAX((INDEX(FA_SPO_govt_rate,1)*AG282-AG284),0)*(CA_PSC_switch_trig=0)+
(INDEX(FA_SPO_govt_rate,2)*HM_ZA_Nkossa!CA_rev_for_SPO)*(CA_PSC_switch_trig=1)</f>
        <v>0</v>
      </c>
      <c r="AH291" s="66">
        <f ca="1">MAX((INDEX(FA_SPO_govt_rate,1)*AH282-AH284),0)*(CA_PSC_switch_trig=0)+
(INDEX(FA_SPO_govt_rate,2)*HM_ZA_Nkossa!CA_rev_for_SPO)*(CA_PSC_switch_trig=1)</f>
        <v>0</v>
      </c>
      <c r="AI291" s="66">
        <f ca="1">MAX((INDEX(FA_SPO_govt_rate,1)*AI282-AI284),0)*(CA_PSC_switch_trig=0)+
(INDEX(FA_SPO_govt_rate,2)*HM_ZA_Nkossa!CA_rev_for_SPO)*(CA_PSC_switch_trig=1)</f>
        <v>0</v>
      </c>
      <c r="AJ291" s="66">
        <f ca="1">MAX((INDEX(FA_SPO_govt_rate,1)*AJ282-AJ284),0)*(CA_PSC_switch_trig=0)+
(INDEX(FA_SPO_govt_rate,2)*HM_ZA_Nkossa!CA_rev_for_SPO)*(CA_PSC_switch_trig=1)</f>
        <v>0</v>
      </c>
      <c r="AK291" s="66">
        <f ca="1">MAX((INDEX(FA_SPO_govt_rate,1)*AK282-AK284),0)*(CA_PSC_switch_trig=0)+
(INDEX(FA_SPO_govt_rate,2)*HM_ZA_Nkossa!CA_rev_for_SPO)*(CA_PSC_switch_trig=1)</f>
        <v>0</v>
      </c>
      <c r="AL291" s="66">
        <f ca="1">MAX((INDEX(FA_SPO_govt_rate,1)*AL282-AL284),0)*(CA_PSC_switch_trig=0)+
(INDEX(FA_SPO_govt_rate,2)*HM_ZA_Nkossa!CA_rev_for_SPO)*(CA_PSC_switch_trig=1)</f>
        <v>0</v>
      </c>
      <c r="AM291" s="66">
        <f ca="1">MAX((INDEX(FA_SPO_govt_rate,1)*AM282-AM284),0)*(CA_PSC_switch_trig=0)+
(INDEX(FA_SPO_govt_rate,2)*HM_ZA_Nkossa!CA_rev_for_SPO)*(CA_PSC_switch_trig=1)</f>
        <v>0</v>
      </c>
      <c r="AN291" s="66">
        <f ca="1">MAX((INDEX(FA_SPO_govt_rate,1)*AN282-AN284),0)*(CA_PSC_switch_trig=0)+
(INDEX(FA_SPO_govt_rate,2)*HM_ZA_Nkossa!CA_rev_for_SPO)*(CA_PSC_switch_trig=1)</f>
        <v>0</v>
      </c>
      <c r="AO291" s="66">
        <f ca="1">MAX((INDEX(FA_SPO_govt_rate,1)*AO282-AO284),0)*(CA_PSC_switch_trig=0)+
(INDEX(FA_SPO_govt_rate,2)*HM_ZA_Nkossa!CA_rev_for_SPO)*(CA_PSC_switch_trig=1)</f>
        <v>0</v>
      </c>
      <c r="AP291" s="66">
        <f ca="1">MAX((INDEX(FA_SPO_govt_rate,1)*AP282-AP284),0)*(CA_PSC_switch_trig=0)+
(INDEX(FA_SPO_govt_rate,2)*HM_ZA_Nkossa!CA_rev_for_SPO)*(CA_PSC_switch_trig=1)</f>
        <v>0</v>
      </c>
      <c r="AQ291" s="66">
        <f ca="1">MAX((INDEX(FA_SPO_govt_rate,1)*AQ282-AQ284),0)*(CA_PSC_switch_trig=0)+
(INDEX(FA_SPO_govt_rate,2)*HM_ZA_Nkossa!CA_rev_for_SPO)*(CA_PSC_switch_trig=1)</f>
        <v>0</v>
      </c>
      <c r="AR291" s="66">
        <f ca="1">MAX((INDEX(FA_SPO_govt_rate,1)*AR282-AR284),0)*(CA_PSC_switch_trig=0)+
(INDEX(FA_SPO_govt_rate,2)*HM_ZA_Nkossa!CA_rev_for_SPO)*(CA_PSC_switch_trig=1)</f>
        <v>0</v>
      </c>
      <c r="AS291" s="66">
        <f ca="1">MAX((INDEX(FA_SPO_govt_rate,1)*AS282-AS284),0)*(CA_PSC_switch_trig=0)+
(INDEX(FA_SPO_govt_rate,2)*HM_ZA_Nkossa!CA_rev_for_SPO)*(CA_PSC_switch_trig=1)</f>
        <v>0</v>
      </c>
      <c r="AT291" s="66">
        <f ca="1">MAX((INDEX(FA_SPO_govt_rate,1)*AT282-AT284),0)*(CA_PSC_switch_trig=0)+
(INDEX(FA_SPO_govt_rate,2)*HM_ZA_Nkossa!CA_rev_for_SPO)*(CA_PSC_switch_trig=1)</f>
        <v>0</v>
      </c>
      <c r="AU291" s="66">
        <f ca="1">MAX((INDEX(FA_SPO_govt_rate,1)*AU282-AU284),0)*(CA_PSC_switch_trig=0)+
(INDEX(FA_SPO_govt_rate,2)*HM_ZA_Nkossa!CA_rev_for_SPO)*(CA_PSC_switch_trig=1)</f>
        <v>0</v>
      </c>
      <c r="AV291" s="66">
        <f ca="1">MAX((INDEX(FA_SPO_govt_rate,1)*AV282-AV284),0)*(CA_PSC_switch_trig=0)+
(INDEX(FA_SPO_govt_rate,2)*HM_ZA_Nkossa!CA_rev_for_SPO)*(CA_PSC_switch_trig=1)</f>
        <v>0</v>
      </c>
      <c r="AW291" s="66">
        <f ca="1">MAX((INDEX(FA_SPO_govt_rate,1)*AW282-AW284),0)*(CA_PSC_switch_trig=0)+
(INDEX(FA_SPO_govt_rate,2)*HM_ZA_Nkossa!CA_rev_for_SPO)*(CA_PSC_switch_trig=1)</f>
        <v>0</v>
      </c>
      <c r="AX291" s="66">
        <f ca="1">MAX((INDEX(FA_SPO_govt_rate,1)*AX282-AX284),0)*(CA_PSC_switch_trig=0)+
(INDEX(FA_SPO_govt_rate,2)*HM_ZA_Nkossa!CA_rev_for_SPO)*(CA_PSC_switch_trig=1)</f>
        <v>0</v>
      </c>
      <c r="AY291" s="66">
        <f ca="1">MAX((INDEX(FA_SPO_govt_rate,1)*AY282-AY284),0)*(CA_PSC_switch_trig=0)+
(INDEX(FA_SPO_govt_rate,2)*HM_ZA_Nkossa!CA_rev_for_SPO)*(CA_PSC_switch_trig=1)</f>
        <v>0</v>
      </c>
      <c r="AZ291" s="66">
        <f ca="1">MAX((INDEX(FA_SPO_govt_rate,1)*AZ282-AZ284),0)*(CA_PSC_switch_trig=0)+
(INDEX(FA_SPO_govt_rate,2)*HM_ZA_Nkossa!CA_rev_for_SPO)*(CA_PSC_switch_trig=1)</f>
        <v>0</v>
      </c>
      <c r="BA291" s="66">
        <f ca="1">MAX((INDEX(FA_SPO_govt_rate,1)*BA282-BA284),0)*(CA_PSC_switch_trig=0)+
(INDEX(FA_SPO_govt_rate,2)*HM_ZA_Nkossa!CA_rev_for_SPO)*(CA_PSC_switch_trig=1)</f>
        <v>0</v>
      </c>
      <c r="BB291" s="66">
        <f ca="1">MAX((INDEX(FA_SPO_govt_rate,1)*BB282-BB284),0)*(CA_PSC_switch_trig=0)+
(INDEX(FA_SPO_govt_rate,2)*HM_ZA_Nkossa!CA_rev_for_SPO)*(CA_PSC_switch_trig=1)</f>
        <v>0</v>
      </c>
      <c r="BC291" s="66">
        <f ca="1">MAX((INDEX(FA_SPO_govt_rate,1)*BC282-BC284),0)*(CA_PSC_switch_trig=0)+
(INDEX(FA_SPO_govt_rate,2)*HM_ZA_Nkossa!CA_rev_for_SPO)*(CA_PSC_switch_trig=1)</f>
        <v>0</v>
      </c>
      <c r="BD291" s="66">
        <f ca="1">MAX((INDEX(FA_SPO_govt_rate,1)*BD282-BD284),0)*(CA_PSC_switch_trig=0)+
(INDEX(FA_SPO_govt_rate,2)*HM_ZA_Nkossa!CA_rev_for_SPO)*(CA_PSC_switch_trig=1)</f>
        <v>0</v>
      </c>
      <c r="BE291" s="66">
        <f ca="1">MAX((INDEX(FA_SPO_govt_rate,1)*BE282-BE284),0)*(CA_PSC_switch_trig=0)+
(INDEX(FA_SPO_govt_rate,2)*HM_ZA_Nkossa!CA_rev_for_SPO)*(CA_PSC_switch_trig=1)</f>
        <v>0</v>
      </c>
      <c r="BF291" s="66">
        <f ca="1">MAX((INDEX(FA_SPO_govt_rate,1)*BF282-BF284),0)*(CA_PSC_switch_trig=0)+
(INDEX(FA_SPO_govt_rate,2)*HM_ZA_Nkossa!CA_rev_for_SPO)*(CA_PSC_switch_trig=1)</f>
        <v>0</v>
      </c>
      <c r="BG291" s="66">
        <f ca="1">MAX((INDEX(FA_SPO_govt_rate,1)*BG282-BG284),0)*(CA_PSC_switch_trig=0)+
(INDEX(FA_SPO_govt_rate,2)*HM_ZA_Nkossa!CA_rev_for_SPO)*(CA_PSC_switch_trig=1)</f>
        <v>0</v>
      </c>
      <c r="BH291" s="66">
        <f ca="1">MAX((INDEX(FA_SPO_govt_rate,1)*BH282-BH284),0)*(CA_PSC_switch_trig=0)+
(INDEX(FA_SPO_govt_rate,2)*HM_ZA_Nkossa!CA_rev_for_SPO)*(CA_PSC_switch_trig=1)</f>
        <v>0</v>
      </c>
      <c r="BI291" s="66">
        <f ca="1">MAX((INDEX(FA_SPO_govt_rate,1)*BI282-BI284),0)*(CA_PSC_switch_trig=0)+
(INDEX(FA_SPO_govt_rate,2)*HM_ZA_Nkossa!CA_rev_for_SPO)*(CA_PSC_switch_trig=1)</f>
        <v>0</v>
      </c>
      <c r="BJ291" s="66">
        <f ca="1">MAX((INDEX(FA_SPO_govt_rate,1)*BJ282-BJ284),0)*(CA_PSC_switch_trig=0)+
(INDEX(FA_SPO_govt_rate,2)*HM_ZA_Nkossa!CA_rev_for_SPO)*(CA_PSC_switch_trig=1)</f>
        <v>0</v>
      </c>
      <c r="BK291" s="66">
        <f ca="1">MAX((INDEX(FA_SPO_govt_rate,1)*BK282-BK284),0)*(CA_PSC_switch_trig=0)+
(INDEX(FA_SPO_govt_rate,2)*HM_ZA_Nkossa!CA_rev_for_SPO)*(CA_PSC_switch_trig=1)</f>
        <v>0</v>
      </c>
      <c r="BL291" s="66">
        <f ca="1">MAX((INDEX(FA_SPO_govt_rate,1)*BL282-BL284),0)*(CA_PSC_switch_trig=0)+
(INDEX(FA_SPO_govt_rate,2)*HM_ZA_Nkossa!CA_rev_for_SPO)*(CA_PSC_switch_trig=1)</f>
        <v>0</v>
      </c>
      <c r="BM291" s="66">
        <f ca="1">MAX((INDEX(FA_SPO_govt_rate,1)*BM282-BM284),0)*(CA_PSC_switch_trig=0)+
(INDEX(FA_SPO_govt_rate,2)*HM_ZA_Nkossa!CA_rev_for_SPO)*(CA_PSC_switch_trig=1)</f>
        <v>0</v>
      </c>
      <c r="BN291" s="66">
        <f ca="1">MAX((INDEX(FA_SPO_govt_rate,1)*BN282-BN284),0)*(CA_PSC_switch_trig=0)+
(INDEX(FA_SPO_govt_rate,2)*HM_ZA_Nkossa!CA_rev_for_SPO)*(CA_PSC_switch_trig=1)</f>
        <v>0</v>
      </c>
      <c r="BO291" s="66">
        <f ca="1">MAX((INDEX(FA_SPO_govt_rate,1)*BO282-BO284),0)*(CA_PSC_switch_trig=0)+
(INDEX(FA_SPO_govt_rate,2)*HM_ZA_Nkossa!CA_rev_for_SPO)*(CA_PSC_switch_trig=1)</f>
        <v>0</v>
      </c>
      <c r="BP291" s="66">
        <f ca="1">MAX((INDEX(FA_SPO_govt_rate,1)*BP282-BP284),0)*(CA_PSC_switch_trig=0)+
(INDEX(FA_SPO_govt_rate,2)*HM_ZA_Nkossa!CA_rev_for_SPO)*(CA_PSC_switch_trig=1)</f>
        <v>0</v>
      </c>
      <c r="BQ291" s="66">
        <f ca="1">MAX((INDEX(FA_SPO_govt_rate,1)*BQ282-BQ284),0)*(CA_PSC_switch_trig=0)+
(INDEX(FA_SPO_govt_rate,2)*HM_ZA_Nkossa!CA_rev_for_SPO)*(CA_PSC_switch_trig=1)</f>
        <v>0</v>
      </c>
      <c r="BR291" s="66">
        <f ca="1">MAX((INDEX(FA_SPO_govt_rate,1)*BR282-BR284),0)*(CA_PSC_switch_trig=0)+
(INDEX(FA_SPO_govt_rate,2)*HM_ZA_Nkossa!CA_rev_for_SPO)*(CA_PSC_switch_trig=1)</f>
        <v>0</v>
      </c>
      <c r="BS291" s="66">
        <f ca="1">MAX((INDEX(FA_SPO_govt_rate,1)*BS282-BS284),0)*(CA_PSC_switch_trig=0)+
(INDEX(FA_SPO_govt_rate,2)*HM_ZA_Nkossa!CA_rev_for_SPO)*(CA_PSC_switch_trig=1)</f>
        <v>0</v>
      </c>
    </row>
    <row r="292" spans="3:71" outlineLevel="1" x14ac:dyDescent="0.2">
      <c r="J292" s="26"/>
      <c r="L292" s="55"/>
      <c r="M292" s="55"/>
      <c r="N292" s="55"/>
      <c r="O292" s="55"/>
      <c r="P292" s="55"/>
      <c r="Q292" s="55"/>
      <c r="R292" s="55"/>
      <c r="S292" s="55"/>
      <c r="T292" s="55"/>
      <c r="U292" s="55"/>
      <c r="V292" s="55"/>
      <c r="W292" s="55"/>
      <c r="X292" s="55"/>
      <c r="Y292" s="55"/>
      <c r="Z292" s="55"/>
      <c r="AA292" s="55"/>
      <c r="AB292" s="55"/>
      <c r="AC292" s="55"/>
      <c r="AD292" s="55"/>
      <c r="AE292" s="55"/>
      <c r="AF292" s="55"/>
      <c r="AG292" s="55"/>
      <c r="AH292" s="55"/>
      <c r="AI292" s="55"/>
      <c r="AJ292" s="55"/>
      <c r="AK292" s="55"/>
      <c r="AL292" s="55"/>
      <c r="AM292" s="55"/>
      <c r="AN292" s="55"/>
      <c r="AO292" s="55"/>
      <c r="AP292" s="55"/>
      <c r="AQ292" s="55"/>
      <c r="AR292" s="55"/>
      <c r="AS292" s="55"/>
      <c r="AT292" s="55"/>
      <c r="AU292" s="55"/>
      <c r="AV292" s="55"/>
      <c r="AW292" s="55"/>
      <c r="AX292" s="55"/>
      <c r="AY292" s="55"/>
      <c r="AZ292" s="55"/>
      <c r="BA292" s="55"/>
      <c r="BB292" s="55"/>
      <c r="BC292" s="55"/>
      <c r="BD292" s="55"/>
      <c r="BE292" s="55"/>
      <c r="BF292" s="55"/>
      <c r="BG292" s="55"/>
      <c r="BH292" s="55"/>
      <c r="BI292" s="55"/>
      <c r="BJ292" s="55"/>
      <c r="BK292" s="55"/>
      <c r="BL292" s="55"/>
      <c r="BM292" s="55"/>
      <c r="BN292" s="55"/>
      <c r="BO292" s="55"/>
      <c r="BP292" s="55"/>
      <c r="BQ292" s="55"/>
      <c r="BR292" s="55"/>
      <c r="BS292" s="55"/>
    </row>
    <row r="293" spans="3:71" outlineLevel="1" x14ac:dyDescent="0.2">
      <c r="J293" s="26"/>
      <c r="L293" s="55"/>
      <c r="M293" s="55"/>
      <c r="N293" s="55"/>
      <c r="O293" s="55"/>
      <c r="P293" s="55"/>
      <c r="Q293" s="55"/>
      <c r="R293" s="55"/>
      <c r="S293" s="55"/>
      <c r="T293" s="55"/>
      <c r="U293" s="55"/>
      <c r="V293" s="55"/>
      <c r="W293" s="55"/>
      <c r="X293" s="55"/>
      <c r="Y293" s="55"/>
      <c r="Z293" s="55"/>
      <c r="AA293" s="55"/>
      <c r="AB293" s="55"/>
      <c r="AC293" s="55"/>
      <c r="AD293" s="55"/>
      <c r="AE293" s="55"/>
      <c r="AF293" s="55"/>
      <c r="AG293" s="55"/>
      <c r="AH293" s="55"/>
      <c r="AI293" s="55"/>
      <c r="AJ293" s="55"/>
      <c r="AK293" s="55"/>
      <c r="AL293" s="55"/>
      <c r="AM293" s="55"/>
      <c r="AN293" s="55"/>
      <c r="AO293" s="55"/>
      <c r="AP293" s="55"/>
      <c r="AQ293" s="55"/>
      <c r="AR293" s="55"/>
      <c r="AS293" s="55"/>
      <c r="AT293" s="55"/>
      <c r="AU293" s="55"/>
      <c r="AV293" s="55"/>
      <c r="AW293" s="55"/>
      <c r="AX293" s="55"/>
      <c r="AY293" s="55"/>
      <c r="AZ293" s="55"/>
      <c r="BA293" s="55"/>
      <c r="BB293" s="55"/>
      <c r="BC293" s="55"/>
      <c r="BD293" s="55"/>
      <c r="BE293" s="55"/>
      <c r="BF293" s="55"/>
      <c r="BG293" s="55"/>
      <c r="BH293" s="55"/>
      <c r="BI293" s="55"/>
      <c r="BJ293" s="55"/>
      <c r="BK293" s="55"/>
      <c r="BL293" s="55"/>
      <c r="BM293" s="55"/>
      <c r="BN293" s="55"/>
      <c r="BO293" s="55"/>
      <c r="BP293" s="55"/>
      <c r="BQ293" s="55"/>
      <c r="BR293" s="55"/>
      <c r="BS293" s="55"/>
    </row>
    <row r="294" spans="3:71" outlineLevel="1" x14ac:dyDescent="0.2">
      <c r="C294" s="11" t="str">
        <f>C58</f>
        <v>Partage du profit</v>
      </c>
      <c r="J294" s="26"/>
      <c r="L294" s="55"/>
      <c r="M294" s="55"/>
      <c r="N294" s="55"/>
      <c r="O294" s="55"/>
      <c r="P294" s="55"/>
      <c r="Q294" s="55"/>
      <c r="R294" s="55"/>
      <c r="S294" s="55"/>
      <c r="T294" s="55"/>
      <c r="U294" s="55"/>
      <c r="V294" s="55"/>
      <c r="W294" s="55"/>
      <c r="X294" s="55"/>
      <c r="Y294" s="55"/>
      <c r="Z294" s="55"/>
      <c r="AA294" s="55"/>
      <c r="AB294" s="55"/>
      <c r="AC294" s="55"/>
      <c r="AD294" s="55"/>
      <c r="AE294" s="55"/>
      <c r="AF294" s="55"/>
      <c r="AG294" s="55"/>
      <c r="AH294" s="55"/>
      <c r="AI294" s="55"/>
      <c r="AJ294" s="55"/>
      <c r="AK294" s="55"/>
      <c r="AL294" s="55"/>
      <c r="AM294" s="55"/>
      <c r="AN294" s="55"/>
      <c r="AO294" s="55"/>
      <c r="AP294" s="55"/>
      <c r="AQ294" s="55"/>
      <c r="AR294" s="55"/>
      <c r="AS294" s="55"/>
      <c r="AT294" s="55"/>
      <c r="AU294" s="55"/>
      <c r="AV294" s="55"/>
      <c r="AW294" s="55"/>
      <c r="AX294" s="55"/>
      <c r="AY294" s="55"/>
      <c r="AZ294" s="55"/>
      <c r="BA294" s="55"/>
      <c r="BB294" s="55"/>
      <c r="BC294" s="55"/>
      <c r="BD294" s="55"/>
      <c r="BE294" s="55"/>
      <c r="BF294" s="55"/>
      <c r="BG294" s="55"/>
      <c r="BH294" s="55"/>
      <c r="BI294" s="55"/>
      <c r="BJ294" s="55"/>
      <c r="BK294" s="55"/>
      <c r="BL294" s="55"/>
      <c r="BM294" s="55"/>
      <c r="BN294" s="55"/>
      <c r="BO294" s="55"/>
      <c r="BP294" s="55"/>
      <c r="BQ294" s="55"/>
      <c r="BR294" s="55"/>
      <c r="BS294" s="55"/>
    </row>
    <row r="295" spans="3:71" outlineLevel="1" x14ac:dyDescent="0.2">
      <c r="J295" s="26"/>
      <c r="L295" s="55"/>
      <c r="M295" s="55"/>
      <c r="N295" s="55"/>
      <c r="O295" s="55"/>
      <c r="P295" s="55"/>
      <c r="Q295" s="55"/>
      <c r="R295" s="55"/>
      <c r="S295" s="55"/>
      <c r="T295" s="55"/>
      <c r="U295" s="55"/>
      <c r="V295" s="55"/>
      <c r="W295" s="55"/>
      <c r="X295" s="55"/>
      <c r="Y295" s="55"/>
      <c r="Z295" s="55"/>
      <c r="AA295" s="55"/>
      <c r="AB295" s="55"/>
      <c r="AC295" s="55"/>
      <c r="AD295" s="55"/>
      <c r="AE295" s="55"/>
      <c r="AF295" s="55"/>
      <c r="AG295" s="55"/>
      <c r="AH295" s="55"/>
      <c r="AI295" s="55"/>
      <c r="AJ295" s="55"/>
      <c r="AK295" s="55"/>
      <c r="AL295" s="55"/>
      <c r="AM295" s="55"/>
      <c r="AN295" s="55"/>
      <c r="AO295" s="55"/>
      <c r="AP295" s="55"/>
      <c r="AQ295" s="55"/>
      <c r="AR295" s="55"/>
      <c r="AS295" s="55"/>
      <c r="AT295" s="55"/>
      <c r="AU295" s="55"/>
      <c r="AV295" s="55"/>
      <c r="AW295" s="55"/>
      <c r="AX295" s="55"/>
      <c r="AY295" s="55"/>
      <c r="AZ295" s="55"/>
      <c r="BA295" s="55"/>
      <c r="BB295" s="55"/>
      <c r="BC295" s="55"/>
      <c r="BD295" s="55"/>
      <c r="BE295" s="55"/>
      <c r="BF295" s="55"/>
      <c r="BG295" s="55"/>
      <c r="BH295" s="55"/>
      <c r="BI295" s="55"/>
      <c r="BJ295" s="55"/>
      <c r="BK295" s="55"/>
      <c r="BL295" s="55"/>
      <c r="BM295" s="55"/>
      <c r="BN295" s="55"/>
      <c r="BO295" s="55"/>
      <c r="BP295" s="55"/>
      <c r="BQ295" s="55"/>
      <c r="BR295" s="55"/>
      <c r="BS295" s="55"/>
    </row>
    <row r="296" spans="3:71" outlineLevel="1" x14ac:dyDescent="0.2">
      <c r="D296" s="11" t="str">
        <f>CHOOSE(db_ML_selected,'Liste Traduction'!B347,'Liste Traduction'!C347)</f>
        <v>Profit Oil</v>
      </c>
      <c r="J296" s="26"/>
      <c r="L296" s="55"/>
      <c r="M296" s="55"/>
      <c r="N296" s="55"/>
      <c r="O296" s="55"/>
      <c r="P296" s="55"/>
      <c r="Q296" s="55"/>
      <c r="R296" s="55"/>
      <c r="S296" s="55"/>
      <c r="T296" s="55"/>
      <c r="U296" s="55"/>
      <c r="V296" s="55"/>
      <c r="W296" s="55"/>
      <c r="X296" s="55"/>
      <c r="Y296" s="55"/>
      <c r="Z296" s="55"/>
      <c r="AA296" s="55"/>
      <c r="AB296" s="55"/>
      <c r="AC296" s="55"/>
      <c r="AD296" s="55"/>
      <c r="AE296" s="55"/>
      <c r="AF296" s="55"/>
      <c r="AG296" s="55"/>
      <c r="AH296" s="55"/>
      <c r="AI296" s="55"/>
      <c r="AJ296" s="55"/>
      <c r="AK296" s="55"/>
      <c r="AL296" s="55"/>
      <c r="AM296" s="55"/>
      <c r="AN296" s="55"/>
      <c r="AO296" s="55"/>
      <c r="AP296" s="55"/>
      <c r="AQ296" s="55"/>
      <c r="AR296" s="55"/>
      <c r="AS296" s="55"/>
      <c r="AT296" s="55"/>
      <c r="AU296" s="55"/>
      <c r="AV296" s="55"/>
      <c r="AW296" s="55"/>
      <c r="AX296" s="55"/>
      <c r="AY296" s="55"/>
      <c r="AZ296" s="55"/>
      <c r="BA296" s="55"/>
      <c r="BB296" s="55"/>
      <c r="BC296" s="55"/>
      <c r="BD296" s="55"/>
      <c r="BE296" s="55"/>
      <c r="BF296" s="55"/>
      <c r="BG296" s="55"/>
      <c r="BH296" s="55"/>
      <c r="BI296" s="55"/>
      <c r="BJ296" s="55"/>
      <c r="BK296" s="55"/>
      <c r="BL296" s="55"/>
      <c r="BM296" s="55"/>
      <c r="BN296" s="55"/>
      <c r="BO296" s="55"/>
      <c r="BP296" s="55"/>
      <c r="BQ296" s="55"/>
      <c r="BR296" s="55"/>
      <c r="BS296" s="55"/>
    </row>
    <row r="297" spans="3:71" outlineLevel="1" x14ac:dyDescent="0.2">
      <c r="D297" s="50" t="str">
        <f>CHOOSE(db_ML_selected,'Liste Traduction'!B348,'Liste Traduction'!C348)</f>
        <v>Revenus pétroliers pour le Partage du Profit</v>
      </c>
      <c r="I297" s="30">
        <f t="shared" ref="I297:I300" ca="1" si="81">SUM($L297:$BS297)</f>
        <v>1338.4696301111501</v>
      </c>
      <c r="J297" s="26" t="s">
        <v>148</v>
      </c>
      <c r="L297" s="49">
        <f ca="1">MAX(HM_ZA_Nkossa!CA_gross_rev_oil_fp-HM_ZA_Nkossa!CA_roy_oil_fp-(HM_ZA_Nkossa!CA_cost_recovered_total*HM_ZA_Nkossa!CA_rev_oil_perc)-(HM_ZA_Nkossa!CA_excess_cost_recovery*HM_ZA_Nkossa!CA_rev_oil_perc)-HM_ZA_Nkossa!CA_rev_for_SPO,0)</f>
        <v>107.2356521936</v>
      </c>
      <c r="M297" s="49">
        <f ca="1">MAX(HM_ZA_Nkossa!CA_gross_rev_oil_fp-HM_ZA_Nkossa!CA_roy_oil_fp-(HM_ZA_Nkossa!CA_cost_recovered_total*HM_ZA_Nkossa!CA_rev_oil_perc)-(HM_ZA_Nkossa!CA_excess_cost_recovery*HM_ZA_Nkossa!CA_rev_oil_perc)-HM_ZA_Nkossa!CA_rev_for_SPO,0)</f>
        <v>132.48009053809005</v>
      </c>
      <c r="N297" s="49">
        <f ca="1">MAX(HM_ZA_Nkossa!CA_gross_rev_oil_fp-HM_ZA_Nkossa!CA_roy_oil_fp-(HM_ZA_Nkossa!CA_cost_recovered_total*HM_ZA_Nkossa!CA_rev_oil_perc)-(HM_ZA_Nkossa!CA_excess_cost_recovery*HM_ZA_Nkossa!CA_rev_oil_perc)-HM_ZA_Nkossa!CA_rev_for_SPO,0)</f>
        <v>115.11164980664002</v>
      </c>
      <c r="O297" s="49">
        <f ca="1">MAX(HM_ZA_Nkossa!CA_gross_rev_oil_fp-HM_ZA_Nkossa!CA_roy_oil_fp-(HM_ZA_Nkossa!CA_cost_recovered_total*HM_ZA_Nkossa!CA_rev_oil_perc)-(HM_ZA_Nkossa!CA_excess_cost_recovery*HM_ZA_Nkossa!CA_rev_oil_perc)-HM_ZA_Nkossa!CA_rev_for_SPO,0)</f>
        <v>126.04602756861998</v>
      </c>
      <c r="P297" s="49">
        <f ca="1">MAX(HM_ZA_Nkossa!CA_gross_rev_oil_fp-HM_ZA_Nkossa!CA_roy_oil_fp-(HM_ZA_Nkossa!CA_cost_recovered_total*HM_ZA_Nkossa!CA_rev_oil_perc)-(HM_ZA_Nkossa!CA_excess_cost_recovery*HM_ZA_Nkossa!CA_rev_oil_perc)-HM_ZA_Nkossa!CA_rev_for_SPO,0)</f>
        <v>130.01208536730005</v>
      </c>
      <c r="Q297" s="49">
        <f ca="1">MAX(HM_ZA_Nkossa!CA_gross_rev_oil_fp-HM_ZA_Nkossa!CA_roy_oil_fp-(HM_ZA_Nkossa!CA_cost_recovered_total*HM_ZA_Nkossa!CA_rev_oil_perc)-(HM_ZA_Nkossa!CA_excess_cost_recovery*HM_ZA_Nkossa!CA_rev_oil_perc)-HM_ZA_Nkossa!CA_rev_for_SPO,0)</f>
        <v>138.73456898699996</v>
      </c>
      <c r="R297" s="49">
        <f ca="1">MAX(HM_ZA_Nkossa!CA_gross_rev_oil_fp-HM_ZA_Nkossa!CA_roy_oil_fp-(HM_ZA_Nkossa!CA_cost_recovered_total*HM_ZA_Nkossa!CA_rev_oil_perc)-(HM_ZA_Nkossa!CA_excess_cost_recovery*HM_ZA_Nkossa!CA_rev_oil_perc)-HM_ZA_Nkossa!CA_rev_for_SPO,0)</f>
        <v>133.0956157782</v>
      </c>
      <c r="S297" s="49">
        <f ca="1">MAX(HM_ZA_Nkossa!CA_gross_rev_oil_fp-HM_ZA_Nkossa!CA_roy_oil_fp-(HM_ZA_Nkossa!CA_cost_recovered_total*HM_ZA_Nkossa!CA_rev_oil_perc)-(HM_ZA_Nkossa!CA_excess_cost_recovery*HM_ZA_Nkossa!CA_rev_oil_perc)-HM_ZA_Nkossa!CA_rev_for_SPO,0)</f>
        <v>61.672089429999971</v>
      </c>
      <c r="T297" s="49">
        <f ca="1">MAX(HM_ZA_Nkossa!CA_gross_rev_oil_fp-HM_ZA_Nkossa!CA_roy_oil_fp-(HM_ZA_Nkossa!CA_cost_recovered_total*HM_ZA_Nkossa!CA_rev_oil_perc)-(HM_ZA_Nkossa!CA_excess_cost_recovery*HM_ZA_Nkossa!CA_rev_oil_perc)-HM_ZA_Nkossa!CA_rev_for_SPO,0)</f>
        <v>83.926595211263958</v>
      </c>
      <c r="U297" s="49">
        <f ca="1">MAX(HM_ZA_Nkossa!CA_gross_rev_oil_fp-HM_ZA_Nkossa!CA_roy_oil_fp-(HM_ZA_Nkossa!CA_cost_recovered_total*HM_ZA_Nkossa!CA_rev_oil_perc)-(HM_ZA_Nkossa!CA_excess_cost_recovery*HM_ZA_Nkossa!CA_rev_oil_perc)-HM_ZA_Nkossa!CA_rev_for_SPO,0)</f>
        <v>83.779732753919973</v>
      </c>
      <c r="V297" s="49">
        <f ca="1">MAX(HM_ZA_Nkossa!CA_gross_rev_oil_fp-HM_ZA_Nkossa!CA_roy_oil_fp-(HM_ZA_Nkossa!CA_cost_recovered_total*HM_ZA_Nkossa!CA_rev_oil_perc)-(HM_ZA_Nkossa!CA_excess_cost_recovery*HM_ZA_Nkossa!CA_rev_oil_perc)-HM_ZA_Nkossa!CA_rev_for_SPO,0)</f>
        <v>79.473454490368482</v>
      </c>
      <c r="W297" s="49">
        <f ca="1">MAX(HM_ZA_Nkossa!CA_gross_rev_oil_fp-HM_ZA_Nkossa!CA_roy_oil_fp-(HM_ZA_Nkossa!CA_cost_recovered_total*HM_ZA_Nkossa!CA_rev_oil_perc)-(HM_ZA_Nkossa!CA_excess_cost_recovery*HM_ZA_Nkossa!CA_rev_oil_perc)-HM_ZA_Nkossa!CA_rev_for_SPO,0)</f>
        <v>75.388518929563531</v>
      </c>
      <c r="X297" s="49">
        <f ca="1">MAX(HM_ZA_Nkossa!CA_gross_rev_oil_fp-HM_ZA_Nkossa!CA_roy_oil_fp-(HM_ZA_Nkossa!CA_cost_recovered_total*HM_ZA_Nkossa!CA_rev_oil_perc)-(HM_ZA_Nkossa!CA_excess_cost_recovery*HM_ZA_Nkossa!CA_rev_oil_perc)-HM_ZA_Nkossa!CA_rev_for_SPO,0)</f>
        <v>71.513549056583969</v>
      </c>
      <c r="Y297" s="49">
        <f ca="1">MAX(HM_ZA_Nkossa!CA_gross_rev_oil_fp-HM_ZA_Nkossa!CA_roy_oil_fp-(HM_ZA_Nkossa!CA_cost_recovered_total*HM_ZA_Nkossa!CA_rev_oil_perc)-(HM_ZA_Nkossa!CA_excess_cost_recovery*HM_ZA_Nkossa!CA_rev_oil_perc)-HM_ZA_Nkossa!CA_rev_for_SPO,0)</f>
        <v>0</v>
      </c>
      <c r="Z297" s="49">
        <f ca="1">MAX(HM_ZA_Nkossa!CA_gross_rev_oil_fp-HM_ZA_Nkossa!CA_roy_oil_fp-(HM_ZA_Nkossa!CA_cost_recovered_total*HM_ZA_Nkossa!CA_rev_oil_perc)-(HM_ZA_Nkossa!CA_excess_cost_recovery*HM_ZA_Nkossa!CA_rev_oil_perc)-HM_ZA_Nkossa!CA_rev_for_SPO,0)</f>
        <v>0</v>
      </c>
      <c r="AA297" s="49">
        <f ca="1">MAX(HM_ZA_Nkossa!CA_gross_rev_oil_fp-HM_ZA_Nkossa!CA_roy_oil_fp-(HM_ZA_Nkossa!CA_cost_recovered_total*HM_ZA_Nkossa!CA_rev_oil_perc)-(HM_ZA_Nkossa!CA_excess_cost_recovery*HM_ZA_Nkossa!CA_rev_oil_perc)-HM_ZA_Nkossa!CA_rev_for_SPO,0)</f>
        <v>0</v>
      </c>
      <c r="AB297" s="49">
        <f ca="1">MAX(HM_ZA_Nkossa!CA_gross_rev_oil_fp-HM_ZA_Nkossa!CA_roy_oil_fp-(HM_ZA_Nkossa!CA_cost_recovered_total*HM_ZA_Nkossa!CA_rev_oil_perc)-(HM_ZA_Nkossa!CA_excess_cost_recovery*HM_ZA_Nkossa!CA_rev_oil_perc)-HM_ZA_Nkossa!CA_rev_for_SPO,0)</f>
        <v>0</v>
      </c>
      <c r="AC297" s="49">
        <f ca="1">MAX(HM_ZA_Nkossa!CA_gross_rev_oil_fp-HM_ZA_Nkossa!CA_roy_oil_fp-(HM_ZA_Nkossa!CA_cost_recovered_total*HM_ZA_Nkossa!CA_rev_oil_perc)-(HM_ZA_Nkossa!CA_excess_cost_recovery*HM_ZA_Nkossa!CA_rev_oil_perc)-HM_ZA_Nkossa!CA_rev_for_SPO,0)</f>
        <v>0</v>
      </c>
      <c r="AD297" s="49">
        <f ca="1">MAX(HM_ZA_Nkossa!CA_gross_rev_oil_fp-HM_ZA_Nkossa!CA_roy_oil_fp-(HM_ZA_Nkossa!CA_cost_recovered_total*HM_ZA_Nkossa!CA_rev_oil_perc)-(HM_ZA_Nkossa!CA_excess_cost_recovery*HM_ZA_Nkossa!CA_rev_oil_perc)-HM_ZA_Nkossa!CA_rev_for_SPO,0)</f>
        <v>0</v>
      </c>
      <c r="AE297" s="49">
        <f ca="1">MAX(HM_ZA_Nkossa!CA_gross_rev_oil_fp-HM_ZA_Nkossa!CA_roy_oil_fp-(HM_ZA_Nkossa!CA_cost_recovered_total*HM_ZA_Nkossa!CA_rev_oil_perc)-(HM_ZA_Nkossa!CA_excess_cost_recovery*HM_ZA_Nkossa!CA_rev_oil_perc)-HM_ZA_Nkossa!CA_rev_for_SPO,0)</f>
        <v>0</v>
      </c>
      <c r="AF297" s="49">
        <f ca="1">MAX(HM_ZA_Nkossa!CA_gross_rev_oil_fp-HM_ZA_Nkossa!CA_roy_oil_fp-(HM_ZA_Nkossa!CA_cost_recovered_total*HM_ZA_Nkossa!CA_rev_oil_perc)-(HM_ZA_Nkossa!CA_excess_cost_recovery*HM_ZA_Nkossa!CA_rev_oil_perc)-HM_ZA_Nkossa!CA_rev_for_SPO,0)</f>
        <v>0</v>
      </c>
      <c r="AG297" s="49">
        <f ca="1">MAX(HM_ZA_Nkossa!CA_gross_rev_oil_fp-HM_ZA_Nkossa!CA_roy_oil_fp-(HM_ZA_Nkossa!CA_cost_recovered_total*HM_ZA_Nkossa!CA_rev_oil_perc)-(HM_ZA_Nkossa!CA_excess_cost_recovery*HM_ZA_Nkossa!CA_rev_oil_perc)-HM_ZA_Nkossa!CA_rev_for_SPO,0)</f>
        <v>0</v>
      </c>
      <c r="AH297" s="49">
        <f ca="1">MAX(HM_ZA_Nkossa!CA_gross_rev_oil_fp-HM_ZA_Nkossa!CA_roy_oil_fp-(HM_ZA_Nkossa!CA_cost_recovered_total*HM_ZA_Nkossa!CA_rev_oil_perc)-(HM_ZA_Nkossa!CA_excess_cost_recovery*HM_ZA_Nkossa!CA_rev_oil_perc)-HM_ZA_Nkossa!CA_rev_for_SPO,0)</f>
        <v>0</v>
      </c>
      <c r="AI297" s="49">
        <f ca="1">MAX(HM_ZA_Nkossa!CA_gross_rev_oil_fp-HM_ZA_Nkossa!CA_roy_oil_fp-(HM_ZA_Nkossa!CA_cost_recovered_total*HM_ZA_Nkossa!CA_rev_oil_perc)-(HM_ZA_Nkossa!CA_excess_cost_recovery*HM_ZA_Nkossa!CA_rev_oil_perc)-HM_ZA_Nkossa!CA_rev_for_SPO,0)</f>
        <v>0</v>
      </c>
      <c r="AJ297" s="49">
        <f ca="1">MAX(HM_ZA_Nkossa!CA_gross_rev_oil_fp-HM_ZA_Nkossa!CA_roy_oil_fp-(HM_ZA_Nkossa!CA_cost_recovered_total*HM_ZA_Nkossa!CA_rev_oil_perc)-(HM_ZA_Nkossa!CA_excess_cost_recovery*HM_ZA_Nkossa!CA_rev_oil_perc)-HM_ZA_Nkossa!CA_rev_for_SPO,0)</f>
        <v>0</v>
      </c>
      <c r="AK297" s="49">
        <f ca="1">MAX(HM_ZA_Nkossa!CA_gross_rev_oil_fp-HM_ZA_Nkossa!CA_roy_oil_fp-(HM_ZA_Nkossa!CA_cost_recovered_total*HM_ZA_Nkossa!CA_rev_oil_perc)-(HM_ZA_Nkossa!CA_excess_cost_recovery*HM_ZA_Nkossa!CA_rev_oil_perc)-HM_ZA_Nkossa!CA_rev_for_SPO,0)</f>
        <v>0</v>
      </c>
      <c r="AL297" s="49">
        <f ca="1">MAX(HM_ZA_Nkossa!CA_gross_rev_oil_fp-HM_ZA_Nkossa!CA_roy_oil_fp-(HM_ZA_Nkossa!CA_cost_recovered_total*HM_ZA_Nkossa!CA_rev_oil_perc)-(HM_ZA_Nkossa!CA_excess_cost_recovery*HM_ZA_Nkossa!CA_rev_oil_perc)-HM_ZA_Nkossa!CA_rev_for_SPO,0)</f>
        <v>0</v>
      </c>
      <c r="AM297" s="49">
        <f ca="1">MAX(HM_ZA_Nkossa!CA_gross_rev_oil_fp-HM_ZA_Nkossa!CA_roy_oil_fp-(HM_ZA_Nkossa!CA_cost_recovered_total*HM_ZA_Nkossa!CA_rev_oil_perc)-(HM_ZA_Nkossa!CA_excess_cost_recovery*HM_ZA_Nkossa!CA_rev_oil_perc)-HM_ZA_Nkossa!CA_rev_for_SPO,0)</f>
        <v>0</v>
      </c>
      <c r="AN297" s="49">
        <f ca="1">MAX(HM_ZA_Nkossa!CA_gross_rev_oil_fp-HM_ZA_Nkossa!CA_roy_oil_fp-(HM_ZA_Nkossa!CA_cost_recovered_total*HM_ZA_Nkossa!CA_rev_oil_perc)-(HM_ZA_Nkossa!CA_excess_cost_recovery*HM_ZA_Nkossa!CA_rev_oil_perc)-HM_ZA_Nkossa!CA_rev_for_SPO,0)</f>
        <v>0</v>
      </c>
      <c r="AO297" s="49">
        <f ca="1">MAX(HM_ZA_Nkossa!CA_gross_rev_oil_fp-HM_ZA_Nkossa!CA_roy_oil_fp-(HM_ZA_Nkossa!CA_cost_recovered_total*HM_ZA_Nkossa!CA_rev_oil_perc)-(HM_ZA_Nkossa!CA_excess_cost_recovery*HM_ZA_Nkossa!CA_rev_oil_perc)-HM_ZA_Nkossa!CA_rev_for_SPO,0)</f>
        <v>0</v>
      </c>
      <c r="AP297" s="49">
        <f ca="1">MAX(HM_ZA_Nkossa!CA_gross_rev_oil_fp-HM_ZA_Nkossa!CA_roy_oil_fp-(HM_ZA_Nkossa!CA_cost_recovered_total*HM_ZA_Nkossa!CA_rev_oil_perc)-(HM_ZA_Nkossa!CA_excess_cost_recovery*HM_ZA_Nkossa!CA_rev_oil_perc)-HM_ZA_Nkossa!CA_rev_for_SPO,0)</f>
        <v>0</v>
      </c>
      <c r="AQ297" s="49">
        <f ca="1">MAX(HM_ZA_Nkossa!CA_gross_rev_oil_fp-HM_ZA_Nkossa!CA_roy_oil_fp-(HM_ZA_Nkossa!CA_cost_recovered_total*HM_ZA_Nkossa!CA_rev_oil_perc)-(HM_ZA_Nkossa!CA_excess_cost_recovery*HM_ZA_Nkossa!CA_rev_oil_perc)-HM_ZA_Nkossa!CA_rev_for_SPO,0)</f>
        <v>0</v>
      </c>
      <c r="AR297" s="49">
        <f ca="1">MAX(HM_ZA_Nkossa!CA_gross_rev_oil_fp-HM_ZA_Nkossa!CA_roy_oil_fp-(HM_ZA_Nkossa!CA_cost_recovered_total*HM_ZA_Nkossa!CA_rev_oil_perc)-(HM_ZA_Nkossa!CA_excess_cost_recovery*HM_ZA_Nkossa!CA_rev_oil_perc)-HM_ZA_Nkossa!CA_rev_for_SPO,0)</f>
        <v>0</v>
      </c>
      <c r="AS297" s="49">
        <f ca="1">MAX(HM_ZA_Nkossa!CA_gross_rev_oil_fp-HM_ZA_Nkossa!CA_roy_oil_fp-(HM_ZA_Nkossa!CA_cost_recovered_total*HM_ZA_Nkossa!CA_rev_oil_perc)-(HM_ZA_Nkossa!CA_excess_cost_recovery*HM_ZA_Nkossa!CA_rev_oil_perc)-HM_ZA_Nkossa!CA_rev_for_SPO,0)</f>
        <v>0</v>
      </c>
      <c r="AT297" s="49">
        <f ca="1">MAX(HM_ZA_Nkossa!CA_gross_rev_oil_fp-HM_ZA_Nkossa!CA_roy_oil_fp-(HM_ZA_Nkossa!CA_cost_recovered_total*HM_ZA_Nkossa!CA_rev_oil_perc)-(HM_ZA_Nkossa!CA_excess_cost_recovery*HM_ZA_Nkossa!CA_rev_oil_perc)-HM_ZA_Nkossa!CA_rev_for_SPO,0)</f>
        <v>0</v>
      </c>
      <c r="AU297" s="49">
        <f ca="1">MAX(HM_ZA_Nkossa!CA_gross_rev_oil_fp-HM_ZA_Nkossa!CA_roy_oil_fp-(HM_ZA_Nkossa!CA_cost_recovered_total*HM_ZA_Nkossa!CA_rev_oil_perc)-(HM_ZA_Nkossa!CA_excess_cost_recovery*HM_ZA_Nkossa!CA_rev_oil_perc)-HM_ZA_Nkossa!CA_rev_for_SPO,0)</f>
        <v>0</v>
      </c>
      <c r="AV297" s="49">
        <f ca="1">MAX(HM_ZA_Nkossa!CA_gross_rev_oil_fp-HM_ZA_Nkossa!CA_roy_oil_fp-(HM_ZA_Nkossa!CA_cost_recovered_total*HM_ZA_Nkossa!CA_rev_oil_perc)-(HM_ZA_Nkossa!CA_excess_cost_recovery*HM_ZA_Nkossa!CA_rev_oil_perc)-HM_ZA_Nkossa!CA_rev_for_SPO,0)</f>
        <v>0</v>
      </c>
      <c r="AW297" s="49">
        <f ca="1">MAX(HM_ZA_Nkossa!CA_gross_rev_oil_fp-HM_ZA_Nkossa!CA_roy_oil_fp-(HM_ZA_Nkossa!CA_cost_recovered_total*HM_ZA_Nkossa!CA_rev_oil_perc)-(HM_ZA_Nkossa!CA_excess_cost_recovery*HM_ZA_Nkossa!CA_rev_oil_perc)-HM_ZA_Nkossa!CA_rev_for_SPO,0)</f>
        <v>0</v>
      </c>
      <c r="AX297" s="49">
        <f ca="1">MAX(HM_ZA_Nkossa!CA_gross_rev_oil_fp-HM_ZA_Nkossa!CA_roy_oil_fp-(HM_ZA_Nkossa!CA_cost_recovered_total*HM_ZA_Nkossa!CA_rev_oil_perc)-(HM_ZA_Nkossa!CA_excess_cost_recovery*HM_ZA_Nkossa!CA_rev_oil_perc)-HM_ZA_Nkossa!CA_rev_for_SPO,0)</f>
        <v>0</v>
      </c>
      <c r="AY297" s="49">
        <f ca="1">MAX(HM_ZA_Nkossa!CA_gross_rev_oil_fp-HM_ZA_Nkossa!CA_roy_oil_fp-(HM_ZA_Nkossa!CA_cost_recovered_total*HM_ZA_Nkossa!CA_rev_oil_perc)-(HM_ZA_Nkossa!CA_excess_cost_recovery*HM_ZA_Nkossa!CA_rev_oil_perc)-HM_ZA_Nkossa!CA_rev_for_SPO,0)</f>
        <v>0</v>
      </c>
      <c r="AZ297" s="49">
        <f ca="1">MAX(HM_ZA_Nkossa!CA_gross_rev_oil_fp-HM_ZA_Nkossa!CA_roy_oil_fp-(HM_ZA_Nkossa!CA_cost_recovered_total*HM_ZA_Nkossa!CA_rev_oil_perc)-(HM_ZA_Nkossa!CA_excess_cost_recovery*HM_ZA_Nkossa!CA_rev_oil_perc)-HM_ZA_Nkossa!CA_rev_for_SPO,0)</f>
        <v>0</v>
      </c>
      <c r="BA297" s="49">
        <f ca="1">MAX(HM_ZA_Nkossa!CA_gross_rev_oil_fp-HM_ZA_Nkossa!CA_roy_oil_fp-(HM_ZA_Nkossa!CA_cost_recovered_total*HM_ZA_Nkossa!CA_rev_oil_perc)-(HM_ZA_Nkossa!CA_excess_cost_recovery*HM_ZA_Nkossa!CA_rev_oil_perc)-HM_ZA_Nkossa!CA_rev_for_SPO,0)</f>
        <v>0</v>
      </c>
      <c r="BB297" s="49">
        <f ca="1">MAX(HM_ZA_Nkossa!CA_gross_rev_oil_fp-HM_ZA_Nkossa!CA_roy_oil_fp-(HM_ZA_Nkossa!CA_cost_recovered_total*HM_ZA_Nkossa!CA_rev_oil_perc)-(HM_ZA_Nkossa!CA_excess_cost_recovery*HM_ZA_Nkossa!CA_rev_oil_perc)-HM_ZA_Nkossa!CA_rev_for_SPO,0)</f>
        <v>0</v>
      </c>
      <c r="BC297" s="49">
        <f ca="1">MAX(HM_ZA_Nkossa!CA_gross_rev_oil_fp-HM_ZA_Nkossa!CA_roy_oil_fp-(HM_ZA_Nkossa!CA_cost_recovered_total*HM_ZA_Nkossa!CA_rev_oil_perc)-(HM_ZA_Nkossa!CA_excess_cost_recovery*HM_ZA_Nkossa!CA_rev_oil_perc)-HM_ZA_Nkossa!CA_rev_for_SPO,0)</f>
        <v>0</v>
      </c>
      <c r="BD297" s="49">
        <f ca="1">MAX(HM_ZA_Nkossa!CA_gross_rev_oil_fp-HM_ZA_Nkossa!CA_roy_oil_fp-(HM_ZA_Nkossa!CA_cost_recovered_total*HM_ZA_Nkossa!CA_rev_oil_perc)-(HM_ZA_Nkossa!CA_excess_cost_recovery*HM_ZA_Nkossa!CA_rev_oil_perc)-HM_ZA_Nkossa!CA_rev_for_SPO,0)</f>
        <v>0</v>
      </c>
      <c r="BE297" s="49">
        <f ca="1">MAX(HM_ZA_Nkossa!CA_gross_rev_oil_fp-HM_ZA_Nkossa!CA_roy_oil_fp-(HM_ZA_Nkossa!CA_cost_recovered_total*HM_ZA_Nkossa!CA_rev_oil_perc)-(HM_ZA_Nkossa!CA_excess_cost_recovery*HM_ZA_Nkossa!CA_rev_oil_perc)-HM_ZA_Nkossa!CA_rev_for_SPO,0)</f>
        <v>0</v>
      </c>
      <c r="BF297" s="49">
        <f ca="1">MAX(HM_ZA_Nkossa!CA_gross_rev_oil_fp-HM_ZA_Nkossa!CA_roy_oil_fp-(HM_ZA_Nkossa!CA_cost_recovered_total*HM_ZA_Nkossa!CA_rev_oil_perc)-(HM_ZA_Nkossa!CA_excess_cost_recovery*HM_ZA_Nkossa!CA_rev_oil_perc)-HM_ZA_Nkossa!CA_rev_for_SPO,0)</f>
        <v>0</v>
      </c>
      <c r="BG297" s="49">
        <f ca="1">MAX(HM_ZA_Nkossa!CA_gross_rev_oil_fp-HM_ZA_Nkossa!CA_roy_oil_fp-(HM_ZA_Nkossa!CA_cost_recovered_total*HM_ZA_Nkossa!CA_rev_oil_perc)-(HM_ZA_Nkossa!CA_excess_cost_recovery*HM_ZA_Nkossa!CA_rev_oil_perc)-HM_ZA_Nkossa!CA_rev_for_SPO,0)</f>
        <v>0</v>
      </c>
      <c r="BH297" s="49">
        <f ca="1">MAX(HM_ZA_Nkossa!CA_gross_rev_oil_fp-HM_ZA_Nkossa!CA_roy_oil_fp-(HM_ZA_Nkossa!CA_cost_recovered_total*HM_ZA_Nkossa!CA_rev_oil_perc)-(HM_ZA_Nkossa!CA_excess_cost_recovery*HM_ZA_Nkossa!CA_rev_oil_perc)-HM_ZA_Nkossa!CA_rev_for_SPO,0)</f>
        <v>0</v>
      </c>
      <c r="BI297" s="49">
        <f ca="1">MAX(HM_ZA_Nkossa!CA_gross_rev_oil_fp-HM_ZA_Nkossa!CA_roy_oil_fp-(HM_ZA_Nkossa!CA_cost_recovered_total*HM_ZA_Nkossa!CA_rev_oil_perc)-(HM_ZA_Nkossa!CA_excess_cost_recovery*HM_ZA_Nkossa!CA_rev_oil_perc)-HM_ZA_Nkossa!CA_rev_for_SPO,0)</f>
        <v>0</v>
      </c>
      <c r="BJ297" s="49">
        <f ca="1">MAX(HM_ZA_Nkossa!CA_gross_rev_oil_fp-HM_ZA_Nkossa!CA_roy_oil_fp-(HM_ZA_Nkossa!CA_cost_recovered_total*HM_ZA_Nkossa!CA_rev_oil_perc)-(HM_ZA_Nkossa!CA_excess_cost_recovery*HM_ZA_Nkossa!CA_rev_oil_perc)-HM_ZA_Nkossa!CA_rev_for_SPO,0)</f>
        <v>0</v>
      </c>
      <c r="BK297" s="49">
        <f ca="1">MAX(HM_ZA_Nkossa!CA_gross_rev_oil_fp-HM_ZA_Nkossa!CA_roy_oil_fp-(HM_ZA_Nkossa!CA_cost_recovered_total*HM_ZA_Nkossa!CA_rev_oil_perc)-(HM_ZA_Nkossa!CA_excess_cost_recovery*HM_ZA_Nkossa!CA_rev_oil_perc)-HM_ZA_Nkossa!CA_rev_for_SPO,0)</f>
        <v>0</v>
      </c>
      <c r="BL297" s="49">
        <f ca="1">MAX(HM_ZA_Nkossa!CA_gross_rev_oil_fp-HM_ZA_Nkossa!CA_roy_oil_fp-(HM_ZA_Nkossa!CA_cost_recovered_total*HM_ZA_Nkossa!CA_rev_oil_perc)-(HM_ZA_Nkossa!CA_excess_cost_recovery*HM_ZA_Nkossa!CA_rev_oil_perc)-HM_ZA_Nkossa!CA_rev_for_SPO,0)</f>
        <v>0</v>
      </c>
      <c r="BM297" s="49">
        <f ca="1">MAX(HM_ZA_Nkossa!CA_gross_rev_oil_fp-HM_ZA_Nkossa!CA_roy_oil_fp-(HM_ZA_Nkossa!CA_cost_recovered_total*HM_ZA_Nkossa!CA_rev_oil_perc)-(HM_ZA_Nkossa!CA_excess_cost_recovery*HM_ZA_Nkossa!CA_rev_oil_perc)-HM_ZA_Nkossa!CA_rev_for_SPO,0)</f>
        <v>0</v>
      </c>
      <c r="BN297" s="49">
        <f ca="1">MAX(HM_ZA_Nkossa!CA_gross_rev_oil_fp-HM_ZA_Nkossa!CA_roy_oil_fp-(HM_ZA_Nkossa!CA_cost_recovered_total*HM_ZA_Nkossa!CA_rev_oil_perc)-(HM_ZA_Nkossa!CA_excess_cost_recovery*HM_ZA_Nkossa!CA_rev_oil_perc)-HM_ZA_Nkossa!CA_rev_for_SPO,0)</f>
        <v>0</v>
      </c>
      <c r="BO297" s="49">
        <f ca="1">MAX(HM_ZA_Nkossa!CA_gross_rev_oil_fp-HM_ZA_Nkossa!CA_roy_oil_fp-(HM_ZA_Nkossa!CA_cost_recovered_total*HM_ZA_Nkossa!CA_rev_oil_perc)-(HM_ZA_Nkossa!CA_excess_cost_recovery*HM_ZA_Nkossa!CA_rev_oil_perc)-HM_ZA_Nkossa!CA_rev_for_SPO,0)</f>
        <v>0</v>
      </c>
      <c r="BP297" s="49">
        <f ca="1">MAX(HM_ZA_Nkossa!CA_gross_rev_oil_fp-HM_ZA_Nkossa!CA_roy_oil_fp-(HM_ZA_Nkossa!CA_cost_recovered_total*HM_ZA_Nkossa!CA_rev_oil_perc)-(HM_ZA_Nkossa!CA_excess_cost_recovery*HM_ZA_Nkossa!CA_rev_oil_perc)-HM_ZA_Nkossa!CA_rev_for_SPO,0)</f>
        <v>0</v>
      </c>
      <c r="BQ297" s="49">
        <f ca="1">MAX(HM_ZA_Nkossa!CA_gross_rev_oil_fp-HM_ZA_Nkossa!CA_roy_oil_fp-(HM_ZA_Nkossa!CA_cost_recovered_total*HM_ZA_Nkossa!CA_rev_oil_perc)-(HM_ZA_Nkossa!CA_excess_cost_recovery*HM_ZA_Nkossa!CA_rev_oil_perc)-HM_ZA_Nkossa!CA_rev_for_SPO,0)</f>
        <v>0</v>
      </c>
      <c r="BR297" s="49">
        <f ca="1">MAX(HM_ZA_Nkossa!CA_gross_rev_oil_fp-HM_ZA_Nkossa!CA_roy_oil_fp-(HM_ZA_Nkossa!CA_cost_recovered_total*HM_ZA_Nkossa!CA_rev_oil_perc)-(HM_ZA_Nkossa!CA_excess_cost_recovery*HM_ZA_Nkossa!CA_rev_oil_perc)-HM_ZA_Nkossa!CA_rev_for_SPO,0)</f>
        <v>0</v>
      </c>
      <c r="BS297" s="49">
        <f ca="1">MAX(HM_ZA_Nkossa!CA_gross_rev_oil_fp-HM_ZA_Nkossa!CA_roy_oil_fp-(HM_ZA_Nkossa!CA_cost_recovered_total*HM_ZA_Nkossa!CA_rev_oil_perc)-(HM_ZA_Nkossa!CA_excess_cost_recovery*HM_ZA_Nkossa!CA_rev_oil_perc)-HM_ZA_Nkossa!CA_rev_for_SPO,0)</f>
        <v>0</v>
      </c>
    </row>
    <row r="298" spans="3:71" outlineLevel="1" x14ac:dyDescent="0.2">
      <c r="D298" s="50" t="str">
        <f>CHOOSE(db_ML_selected,'Liste Traduction'!B349,'Liste Traduction'!C349)</f>
        <v>Partage du profit %</v>
      </c>
      <c r="J298" s="26"/>
      <c r="L298" s="53">
        <f ca="1">HM_ZA_Nkossa!PS_cont_rate*HM_ZA_Nkossa!CA_op_trig</f>
        <v>0.5</v>
      </c>
      <c r="M298" s="53">
        <f ca="1">HM_ZA_Nkossa!PS_cont_rate*HM_ZA_Nkossa!CA_op_trig</f>
        <v>0.5</v>
      </c>
      <c r="N298" s="53">
        <f ca="1">HM_ZA_Nkossa!PS_cont_rate*HM_ZA_Nkossa!CA_op_trig</f>
        <v>0.5</v>
      </c>
      <c r="O298" s="53">
        <f ca="1">HM_ZA_Nkossa!PS_cont_rate*HM_ZA_Nkossa!CA_op_trig</f>
        <v>0.5</v>
      </c>
      <c r="P298" s="53">
        <f ca="1">HM_ZA_Nkossa!PS_cont_rate*HM_ZA_Nkossa!CA_op_trig</f>
        <v>0.5</v>
      </c>
      <c r="Q298" s="53">
        <f ca="1">HM_ZA_Nkossa!PS_cont_rate*HM_ZA_Nkossa!CA_op_trig</f>
        <v>0.5</v>
      </c>
      <c r="R298" s="53">
        <f ca="1">HM_ZA_Nkossa!PS_cont_rate*HM_ZA_Nkossa!CA_op_trig</f>
        <v>0.5</v>
      </c>
      <c r="S298" s="53">
        <f ca="1">HM_ZA_Nkossa!PS_cont_rate*HM_ZA_Nkossa!CA_op_trig</f>
        <v>0.5</v>
      </c>
      <c r="T298" s="53">
        <f ca="1">HM_ZA_Nkossa!PS_cont_rate*HM_ZA_Nkossa!CA_op_trig</f>
        <v>0.5</v>
      </c>
      <c r="U298" s="53">
        <f ca="1">HM_ZA_Nkossa!PS_cont_rate*HM_ZA_Nkossa!CA_op_trig</f>
        <v>0.5</v>
      </c>
      <c r="V298" s="53">
        <f ca="1">HM_ZA_Nkossa!PS_cont_rate*HM_ZA_Nkossa!CA_op_trig</f>
        <v>0.5</v>
      </c>
      <c r="W298" s="53">
        <f ca="1">HM_ZA_Nkossa!PS_cont_rate*HM_ZA_Nkossa!CA_op_trig</f>
        <v>0.5</v>
      </c>
      <c r="X298" s="53">
        <f ca="1">HM_ZA_Nkossa!PS_cont_rate*HM_ZA_Nkossa!CA_op_trig</f>
        <v>0.5</v>
      </c>
      <c r="Y298" s="53">
        <f ca="1">HM_ZA_Nkossa!PS_cont_rate*HM_ZA_Nkossa!CA_op_trig</f>
        <v>0</v>
      </c>
      <c r="Z298" s="53">
        <f ca="1">HM_ZA_Nkossa!PS_cont_rate*HM_ZA_Nkossa!CA_op_trig</f>
        <v>0</v>
      </c>
      <c r="AA298" s="53">
        <f ca="1">HM_ZA_Nkossa!PS_cont_rate*HM_ZA_Nkossa!CA_op_trig</f>
        <v>0</v>
      </c>
      <c r="AB298" s="53">
        <f ca="1">HM_ZA_Nkossa!PS_cont_rate*HM_ZA_Nkossa!CA_op_trig</f>
        <v>0</v>
      </c>
      <c r="AC298" s="53">
        <f ca="1">HM_ZA_Nkossa!PS_cont_rate*HM_ZA_Nkossa!CA_op_trig</f>
        <v>0</v>
      </c>
      <c r="AD298" s="53">
        <f ca="1">HM_ZA_Nkossa!PS_cont_rate*HM_ZA_Nkossa!CA_op_trig</f>
        <v>0</v>
      </c>
      <c r="AE298" s="53">
        <f ca="1">HM_ZA_Nkossa!PS_cont_rate*HM_ZA_Nkossa!CA_op_trig</f>
        <v>0</v>
      </c>
      <c r="AF298" s="53">
        <f ca="1">HM_ZA_Nkossa!PS_cont_rate*HM_ZA_Nkossa!CA_op_trig</f>
        <v>0</v>
      </c>
      <c r="AG298" s="53">
        <f ca="1">HM_ZA_Nkossa!PS_cont_rate*HM_ZA_Nkossa!CA_op_trig</f>
        <v>0</v>
      </c>
      <c r="AH298" s="53">
        <f ca="1">HM_ZA_Nkossa!PS_cont_rate*HM_ZA_Nkossa!CA_op_trig</f>
        <v>0</v>
      </c>
      <c r="AI298" s="53">
        <f ca="1">HM_ZA_Nkossa!PS_cont_rate*HM_ZA_Nkossa!CA_op_trig</f>
        <v>0</v>
      </c>
      <c r="AJ298" s="53">
        <f ca="1">HM_ZA_Nkossa!PS_cont_rate*HM_ZA_Nkossa!CA_op_trig</f>
        <v>0</v>
      </c>
      <c r="AK298" s="53">
        <f ca="1">HM_ZA_Nkossa!PS_cont_rate*HM_ZA_Nkossa!CA_op_trig</f>
        <v>0</v>
      </c>
      <c r="AL298" s="53">
        <f ca="1">HM_ZA_Nkossa!PS_cont_rate*HM_ZA_Nkossa!CA_op_trig</f>
        <v>0</v>
      </c>
      <c r="AM298" s="53">
        <f ca="1">HM_ZA_Nkossa!PS_cont_rate*HM_ZA_Nkossa!CA_op_trig</f>
        <v>0</v>
      </c>
      <c r="AN298" s="53">
        <f ca="1">HM_ZA_Nkossa!PS_cont_rate*HM_ZA_Nkossa!CA_op_trig</f>
        <v>0</v>
      </c>
      <c r="AO298" s="53">
        <f ca="1">HM_ZA_Nkossa!PS_cont_rate*HM_ZA_Nkossa!CA_op_trig</f>
        <v>0</v>
      </c>
      <c r="AP298" s="53">
        <f ca="1">HM_ZA_Nkossa!PS_cont_rate*HM_ZA_Nkossa!CA_op_trig</f>
        <v>0</v>
      </c>
      <c r="AQ298" s="53">
        <f ca="1">HM_ZA_Nkossa!PS_cont_rate*HM_ZA_Nkossa!CA_op_trig</f>
        <v>0</v>
      </c>
      <c r="AR298" s="53">
        <f ca="1">HM_ZA_Nkossa!PS_cont_rate*HM_ZA_Nkossa!CA_op_trig</f>
        <v>0</v>
      </c>
      <c r="AS298" s="53">
        <f ca="1">HM_ZA_Nkossa!PS_cont_rate*HM_ZA_Nkossa!CA_op_trig</f>
        <v>0</v>
      </c>
      <c r="AT298" s="53">
        <f ca="1">HM_ZA_Nkossa!PS_cont_rate*HM_ZA_Nkossa!CA_op_trig</f>
        <v>0</v>
      </c>
      <c r="AU298" s="53">
        <f ca="1">HM_ZA_Nkossa!PS_cont_rate*HM_ZA_Nkossa!CA_op_trig</f>
        <v>0</v>
      </c>
      <c r="AV298" s="53">
        <f ca="1">HM_ZA_Nkossa!PS_cont_rate*HM_ZA_Nkossa!CA_op_trig</f>
        <v>0</v>
      </c>
      <c r="AW298" s="53">
        <f ca="1">HM_ZA_Nkossa!PS_cont_rate*HM_ZA_Nkossa!CA_op_trig</f>
        <v>0</v>
      </c>
      <c r="AX298" s="53">
        <f ca="1">HM_ZA_Nkossa!PS_cont_rate*HM_ZA_Nkossa!CA_op_trig</f>
        <v>0</v>
      </c>
      <c r="AY298" s="53">
        <f ca="1">HM_ZA_Nkossa!PS_cont_rate*HM_ZA_Nkossa!CA_op_trig</f>
        <v>0</v>
      </c>
      <c r="AZ298" s="53">
        <f ca="1">HM_ZA_Nkossa!PS_cont_rate*HM_ZA_Nkossa!CA_op_trig</f>
        <v>0</v>
      </c>
      <c r="BA298" s="53">
        <f ca="1">HM_ZA_Nkossa!PS_cont_rate*HM_ZA_Nkossa!CA_op_trig</f>
        <v>0</v>
      </c>
      <c r="BB298" s="53">
        <f ca="1">HM_ZA_Nkossa!PS_cont_rate*HM_ZA_Nkossa!CA_op_trig</f>
        <v>0</v>
      </c>
      <c r="BC298" s="53">
        <f ca="1">HM_ZA_Nkossa!PS_cont_rate*HM_ZA_Nkossa!CA_op_trig</f>
        <v>0</v>
      </c>
      <c r="BD298" s="53">
        <f ca="1">HM_ZA_Nkossa!PS_cont_rate*HM_ZA_Nkossa!CA_op_trig</f>
        <v>0</v>
      </c>
      <c r="BE298" s="53">
        <f ca="1">HM_ZA_Nkossa!PS_cont_rate*HM_ZA_Nkossa!CA_op_trig</f>
        <v>0</v>
      </c>
      <c r="BF298" s="53">
        <f ca="1">HM_ZA_Nkossa!PS_cont_rate*HM_ZA_Nkossa!CA_op_trig</f>
        <v>0</v>
      </c>
      <c r="BG298" s="53">
        <f ca="1">HM_ZA_Nkossa!PS_cont_rate*HM_ZA_Nkossa!CA_op_trig</f>
        <v>0</v>
      </c>
      <c r="BH298" s="53">
        <f ca="1">HM_ZA_Nkossa!PS_cont_rate*HM_ZA_Nkossa!CA_op_trig</f>
        <v>0</v>
      </c>
      <c r="BI298" s="53">
        <f ca="1">HM_ZA_Nkossa!PS_cont_rate*HM_ZA_Nkossa!CA_op_trig</f>
        <v>0</v>
      </c>
      <c r="BJ298" s="53">
        <f ca="1">HM_ZA_Nkossa!PS_cont_rate*HM_ZA_Nkossa!CA_op_trig</f>
        <v>0</v>
      </c>
      <c r="BK298" s="53">
        <f ca="1">HM_ZA_Nkossa!PS_cont_rate*HM_ZA_Nkossa!CA_op_trig</f>
        <v>0</v>
      </c>
      <c r="BL298" s="53">
        <f ca="1">HM_ZA_Nkossa!PS_cont_rate*HM_ZA_Nkossa!CA_op_trig</f>
        <v>0</v>
      </c>
      <c r="BM298" s="53">
        <f ca="1">HM_ZA_Nkossa!PS_cont_rate*HM_ZA_Nkossa!CA_op_trig</f>
        <v>0</v>
      </c>
      <c r="BN298" s="53">
        <f ca="1">HM_ZA_Nkossa!PS_cont_rate*HM_ZA_Nkossa!CA_op_trig</f>
        <v>0</v>
      </c>
      <c r="BO298" s="53">
        <f ca="1">HM_ZA_Nkossa!PS_cont_rate*HM_ZA_Nkossa!CA_op_trig</f>
        <v>0</v>
      </c>
      <c r="BP298" s="53">
        <f ca="1">HM_ZA_Nkossa!PS_cont_rate*HM_ZA_Nkossa!CA_op_trig</f>
        <v>0</v>
      </c>
      <c r="BQ298" s="53">
        <f ca="1">HM_ZA_Nkossa!PS_cont_rate*HM_ZA_Nkossa!CA_op_trig</f>
        <v>0</v>
      </c>
      <c r="BR298" s="53">
        <f ca="1">HM_ZA_Nkossa!PS_cont_rate*HM_ZA_Nkossa!CA_op_trig</f>
        <v>0</v>
      </c>
      <c r="BS298" s="53">
        <f ca="1">HM_ZA_Nkossa!PS_cont_rate*HM_ZA_Nkossa!CA_op_trig</f>
        <v>0</v>
      </c>
    </row>
    <row r="299" spans="3:71" outlineLevel="1" x14ac:dyDescent="0.2">
      <c r="D299" t="str">
        <f>CHOOSE(db_ML_selected,'Liste Traduction'!B350,'Liste Traduction'!C350)</f>
        <v>Part du Contracteur dans le Profit Oil</v>
      </c>
      <c r="I299" s="30">
        <f t="shared" ca="1" si="81"/>
        <v>669.23481505557504</v>
      </c>
      <c r="J299" s="26" t="s">
        <v>148</v>
      </c>
      <c r="L299" s="49">
        <f ca="1">L297*L298</f>
        <v>53.617826096800002</v>
      </c>
      <c r="M299" s="49">
        <f t="shared" ref="M299:BS299" ca="1" si="82">M297*M298</f>
        <v>66.240045269045027</v>
      </c>
      <c r="N299" s="49">
        <f t="shared" ca="1" si="82"/>
        <v>57.555824903320008</v>
      </c>
      <c r="O299" s="49">
        <f t="shared" ca="1" si="82"/>
        <v>63.023013784309988</v>
      </c>
      <c r="P299" s="49">
        <f t="shared" ca="1" si="82"/>
        <v>65.006042683650023</v>
      </c>
      <c r="Q299" s="49">
        <f t="shared" ca="1" si="82"/>
        <v>69.36728449349998</v>
      </c>
      <c r="R299" s="49">
        <f t="shared" ca="1" si="82"/>
        <v>66.5478078891</v>
      </c>
      <c r="S299" s="49">
        <f t="shared" ca="1" si="82"/>
        <v>30.836044714999986</v>
      </c>
      <c r="T299" s="49">
        <f t="shared" ca="1" si="82"/>
        <v>41.963297605631979</v>
      </c>
      <c r="U299" s="49">
        <f t="shared" ca="1" si="82"/>
        <v>41.889866376959986</v>
      </c>
      <c r="V299" s="49">
        <f t="shared" ca="1" si="82"/>
        <v>39.736727245184241</v>
      </c>
      <c r="W299" s="49">
        <f t="shared" ca="1" si="82"/>
        <v>37.694259464781766</v>
      </c>
      <c r="X299" s="49">
        <f t="shared" ca="1" si="82"/>
        <v>35.756774528291984</v>
      </c>
      <c r="Y299" s="49">
        <f t="shared" ca="1" si="82"/>
        <v>0</v>
      </c>
      <c r="Z299" s="49">
        <f t="shared" ca="1" si="82"/>
        <v>0</v>
      </c>
      <c r="AA299" s="49">
        <f t="shared" ca="1" si="82"/>
        <v>0</v>
      </c>
      <c r="AB299" s="49">
        <f t="shared" ca="1" si="82"/>
        <v>0</v>
      </c>
      <c r="AC299" s="49">
        <f t="shared" ca="1" si="82"/>
        <v>0</v>
      </c>
      <c r="AD299" s="49">
        <f t="shared" ca="1" si="82"/>
        <v>0</v>
      </c>
      <c r="AE299" s="49">
        <f t="shared" ca="1" si="82"/>
        <v>0</v>
      </c>
      <c r="AF299" s="49">
        <f t="shared" ca="1" si="82"/>
        <v>0</v>
      </c>
      <c r="AG299" s="49">
        <f t="shared" ca="1" si="82"/>
        <v>0</v>
      </c>
      <c r="AH299" s="49">
        <f t="shared" ca="1" si="82"/>
        <v>0</v>
      </c>
      <c r="AI299" s="49">
        <f t="shared" ca="1" si="82"/>
        <v>0</v>
      </c>
      <c r="AJ299" s="49">
        <f t="shared" ca="1" si="82"/>
        <v>0</v>
      </c>
      <c r="AK299" s="49">
        <f t="shared" ca="1" si="82"/>
        <v>0</v>
      </c>
      <c r="AL299" s="49">
        <f t="shared" ca="1" si="82"/>
        <v>0</v>
      </c>
      <c r="AM299" s="49">
        <f t="shared" ca="1" si="82"/>
        <v>0</v>
      </c>
      <c r="AN299" s="49">
        <f t="shared" ca="1" si="82"/>
        <v>0</v>
      </c>
      <c r="AO299" s="49">
        <f t="shared" ca="1" si="82"/>
        <v>0</v>
      </c>
      <c r="AP299" s="49">
        <f t="shared" ca="1" si="82"/>
        <v>0</v>
      </c>
      <c r="AQ299" s="49">
        <f t="shared" ca="1" si="82"/>
        <v>0</v>
      </c>
      <c r="AR299" s="49">
        <f t="shared" ca="1" si="82"/>
        <v>0</v>
      </c>
      <c r="AS299" s="49">
        <f t="shared" ca="1" si="82"/>
        <v>0</v>
      </c>
      <c r="AT299" s="49">
        <f t="shared" ca="1" si="82"/>
        <v>0</v>
      </c>
      <c r="AU299" s="49">
        <f t="shared" ca="1" si="82"/>
        <v>0</v>
      </c>
      <c r="AV299" s="49">
        <f t="shared" ca="1" si="82"/>
        <v>0</v>
      </c>
      <c r="AW299" s="49">
        <f t="shared" ca="1" si="82"/>
        <v>0</v>
      </c>
      <c r="AX299" s="49">
        <f t="shared" ca="1" si="82"/>
        <v>0</v>
      </c>
      <c r="AY299" s="49">
        <f t="shared" ca="1" si="82"/>
        <v>0</v>
      </c>
      <c r="AZ299" s="49">
        <f t="shared" ca="1" si="82"/>
        <v>0</v>
      </c>
      <c r="BA299" s="49">
        <f t="shared" ca="1" si="82"/>
        <v>0</v>
      </c>
      <c r="BB299" s="49">
        <f t="shared" ca="1" si="82"/>
        <v>0</v>
      </c>
      <c r="BC299" s="49">
        <f t="shared" ca="1" si="82"/>
        <v>0</v>
      </c>
      <c r="BD299" s="49">
        <f t="shared" ca="1" si="82"/>
        <v>0</v>
      </c>
      <c r="BE299" s="49">
        <f t="shared" ca="1" si="82"/>
        <v>0</v>
      </c>
      <c r="BF299" s="49">
        <f t="shared" ca="1" si="82"/>
        <v>0</v>
      </c>
      <c r="BG299" s="49">
        <f t="shared" ca="1" si="82"/>
        <v>0</v>
      </c>
      <c r="BH299" s="49">
        <f t="shared" ca="1" si="82"/>
        <v>0</v>
      </c>
      <c r="BI299" s="49">
        <f t="shared" ca="1" si="82"/>
        <v>0</v>
      </c>
      <c r="BJ299" s="49">
        <f t="shared" ca="1" si="82"/>
        <v>0</v>
      </c>
      <c r="BK299" s="49">
        <f t="shared" ca="1" si="82"/>
        <v>0</v>
      </c>
      <c r="BL299" s="49">
        <f t="shared" ca="1" si="82"/>
        <v>0</v>
      </c>
      <c r="BM299" s="49">
        <f t="shared" ca="1" si="82"/>
        <v>0</v>
      </c>
      <c r="BN299" s="49">
        <f t="shared" ca="1" si="82"/>
        <v>0</v>
      </c>
      <c r="BO299" s="49">
        <f t="shared" ca="1" si="82"/>
        <v>0</v>
      </c>
      <c r="BP299" s="49">
        <f t="shared" ca="1" si="82"/>
        <v>0</v>
      </c>
      <c r="BQ299" s="49">
        <f t="shared" ca="1" si="82"/>
        <v>0</v>
      </c>
      <c r="BR299" s="49">
        <f t="shared" ca="1" si="82"/>
        <v>0</v>
      </c>
      <c r="BS299" s="49">
        <f t="shared" ca="1" si="82"/>
        <v>0</v>
      </c>
    </row>
    <row r="300" spans="3:71" outlineLevel="1" x14ac:dyDescent="0.2">
      <c r="D300" t="str">
        <f>CHOOSE(db_ML_selected,'Liste Traduction'!B351,'Liste Traduction'!C351)</f>
        <v>Part du Gouv. dans le Profit Oil</v>
      </c>
      <c r="I300" s="30">
        <f t="shared" ca="1" si="81"/>
        <v>669.23481505557504</v>
      </c>
      <c r="J300" s="26" t="s">
        <v>148</v>
      </c>
      <c r="L300" s="49">
        <f ca="1">L297-L299</f>
        <v>53.617826096800002</v>
      </c>
      <c r="M300" s="49">
        <f t="shared" ref="M300:BS300" ca="1" si="83">M297-M299</f>
        <v>66.240045269045027</v>
      </c>
      <c r="N300" s="49">
        <f t="shared" ca="1" si="83"/>
        <v>57.555824903320008</v>
      </c>
      <c r="O300" s="49">
        <f t="shared" ca="1" si="83"/>
        <v>63.023013784309988</v>
      </c>
      <c r="P300" s="49">
        <f t="shared" ca="1" si="83"/>
        <v>65.006042683650023</v>
      </c>
      <c r="Q300" s="49">
        <f t="shared" ca="1" si="83"/>
        <v>69.36728449349998</v>
      </c>
      <c r="R300" s="49">
        <f t="shared" ca="1" si="83"/>
        <v>66.5478078891</v>
      </c>
      <c r="S300" s="49">
        <f t="shared" ca="1" si="83"/>
        <v>30.836044714999986</v>
      </c>
      <c r="T300" s="49">
        <f t="shared" ca="1" si="83"/>
        <v>41.963297605631979</v>
      </c>
      <c r="U300" s="49">
        <f t="shared" ca="1" si="83"/>
        <v>41.889866376959986</v>
      </c>
      <c r="V300" s="49">
        <f t="shared" ca="1" si="83"/>
        <v>39.736727245184241</v>
      </c>
      <c r="W300" s="49">
        <f t="shared" ca="1" si="83"/>
        <v>37.694259464781766</v>
      </c>
      <c r="X300" s="49">
        <f t="shared" ca="1" si="83"/>
        <v>35.756774528291984</v>
      </c>
      <c r="Y300" s="49">
        <f t="shared" ca="1" si="83"/>
        <v>0</v>
      </c>
      <c r="Z300" s="49">
        <f t="shared" ca="1" si="83"/>
        <v>0</v>
      </c>
      <c r="AA300" s="49">
        <f t="shared" ca="1" si="83"/>
        <v>0</v>
      </c>
      <c r="AB300" s="49">
        <f t="shared" ca="1" si="83"/>
        <v>0</v>
      </c>
      <c r="AC300" s="49">
        <f t="shared" ca="1" si="83"/>
        <v>0</v>
      </c>
      <c r="AD300" s="49">
        <f t="shared" ca="1" si="83"/>
        <v>0</v>
      </c>
      <c r="AE300" s="49">
        <f t="shared" ca="1" si="83"/>
        <v>0</v>
      </c>
      <c r="AF300" s="49">
        <f t="shared" ca="1" si="83"/>
        <v>0</v>
      </c>
      <c r="AG300" s="49">
        <f t="shared" ca="1" si="83"/>
        <v>0</v>
      </c>
      <c r="AH300" s="49">
        <f t="shared" ca="1" si="83"/>
        <v>0</v>
      </c>
      <c r="AI300" s="49">
        <f t="shared" ca="1" si="83"/>
        <v>0</v>
      </c>
      <c r="AJ300" s="49">
        <f t="shared" ca="1" si="83"/>
        <v>0</v>
      </c>
      <c r="AK300" s="49">
        <f t="shared" ca="1" si="83"/>
        <v>0</v>
      </c>
      <c r="AL300" s="49">
        <f t="shared" ca="1" si="83"/>
        <v>0</v>
      </c>
      <c r="AM300" s="49">
        <f t="shared" ca="1" si="83"/>
        <v>0</v>
      </c>
      <c r="AN300" s="49">
        <f t="shared" ca="1" si="83"/>
        <v>0</v>
      </c>
      <c r="AO300" s="49">
        <f t="shared" ca="1" si="83"/>
        <v>0</v>
      </c>
      <c r="AP300" s="49">
        <f t="shared" ca="1" si="83"/>
        <v>0</v>
      </c>
      <c r="AQ300" s="49">
        <f t="shared" ca="1" si="83"/>
        <v>0</v>
      </c>
      <c r="AR300" s="49">
        <f t="shared" ca="1" si="83"/>
        <v>0</v>
      </c>
      <c r="AS300" s="49">
        <f t="shared" ca="1" si="83"/>
        <v>0</v>
      </c>
      <c r="AT300" s="49">
        <f t="shared" ca="1" si="83"/>
        <v>0</v>
      </c>
      <c r="AU300" s="49">
        <f t="shared" ca="1" si="83"/>
        <v>0</v>
      </c>
      <c r="AV300" s="49">
        <f t="shared" ca="1" si="83"/>
        <v>0</v>
      </c>
      <c r="AW300" s="49">
        <f t="shared" ca="1" si="83"/>
        <v>0</v>
      </c>
      <c r="AX300" s="49">
        <f t="shared" ca="1" si="83"/>
        <v>0</v>
      </c>
      <c r="AY300" s="49">
        <f t="shared" ca="1" si="83"/>
        <v>0</v>
      </c>
      <c r="AZ300" s="49">
        <f t="shared" ca="1" si="83"/>
        <v>0</v>
      </c>
      <c r="BA300" s="49">
        <f t="shared" ca="1" si="83"/>
        <v>0</v>
      </c>
      <c r="BB300" s="49">
        <f t="shared" ca="1" si="83"/>
        <v>0</v>
      </c>
      <c r="BC300" s="49">
        <f t="shared" ca="1" si="83"/>
        <v>0</v>
      </c>
      <c r="BD300" s="49">
        <f t="shared" ca="1" si="83"/>
        <v>0</v>
      </c>
      <c r="BE300" s="49">
        <f t="shared" ca="1" si="83"/>
        <v>0</v>
      </c>
      <c r="BF300" s="49">
        <f t="shared" ca="1" si="83"/>
        <v>0</v>
      </c>
      <c r="BG300" s="49">
        <f t="shared" ca="1" si="83"/>
        <v>0</v>
      </c>
      <c r="BH300" s="49">
        <f t="shared" ca="1" si="83"/>
        <v>0</v>
      </c>
      <c r="BI300" s="49">
        <f t="shared" ca="1" si="83"/>
        <v>0</v>
      </c>
      <c r="BJ300" s="49">
        <f t="shared" ca="1" si="83"/>
        <v>0</v>
      </c>
      <c r="BK300" s="49">
        <f t="shared" ca="1" si="83"/>
        <v>0</v>
      </c>
      <c r="BL300" s="49">
        <f t="shared" ca="1" si="83"/>
        <v>0</v>
      </c>
      <c r="BM300" s="49">
        <f t="shared" ca="1" si="83"/>
        <v>0</v>
      </c>
      <c r="BN300" s="49">
        <f t="shared" ca="1" si="83"/>
        <v>0</v>
      </c>
      <c r="BO300" s="49">
        <f t="shared" ca="1" si="83"/>
        <v>0</v>
      </c>
      <c r="BP300" s="49">
        <f t="shared" ca="1" si="83"/>
        <v>0</v>
      </c>
      <c r="BQ300" s="49">
        <f t="shared" ca="1" si="83"/>
        <v>0</v>
      </c>
      <c r="BR300" s="49">
        <f t="shared" ca="1" si="83"/>
        <v>0</v>
      </c>
      <c r="BS300" s="49">
        <f t="shared" ca="1" si="83"/>
        <v>0</v>
      </c>
    </row>
    <row r="301" spans="3:71" outlineLevel="1" x14ac:dyDescent="0.2">
      <c r="J301" s="26"/>
      <c r="L301" s="55"/>
      <c r="M301" s="55"/>
      <c r="N301" s="55"/>
      <c r="O301" s="55"/>
      <c r="P301" s="55"/>
      <c r="Q301" s="55"/>
      <c r="R301" s="55"/>
      <c r="S301" s="55"/>
      <c r="T301" s="55"/>
      <c r="U301" s="55"/>
      <c r="V301" s="55"/>
      <c r="W301" s="55"/>
      <c r="X301" s="55"/>
      <c r="Y301" s="55"/>
      <c r="Z301" s="55"/>
      <c r="AA301" s="55"/>
      <c r="AB301" s="55"/>
      <c r="AC301" s="55"/>
      <c r="AD301" s="55"/>
      <c r="AE301" s="55"/>
      <c r="AF301" s="55"/>
      <c r="AG301" s="55"/>
      <c r="AH301" s="55"/>
      <c r="AI301" s="55"/>
      <c r="AJ301" s="55"/>
      <c r="AK301" s="55"/>
      <c r="AL301" s="55"/>
      <c r="AM301" s="55"/>
      <c r="AN301" s="55"/>
      <c r="AO301" s="55"/>
      <c r="AP301" s="55"/>
      <c r="AQ301" s="55"/>
      <c r="AR301" s="55"/>
      <c r="AS301" s="55"/>
      <c r="AT301" s="55"/>
      <c r="AU301" s="55"/>
      <c r="AV301" s="55"/>
      <c r="AW301" s="55"/>
      <c r="AX301" s="55"/>
      <c r="AY301" s="55"/>
      <c r="AZ301" s="55"/>
      <c r="BA301" s="55"/>
      <c r="BB301" s="55"/>
      <c r="BC301" s="55"/>
      <c r="BD301" s="55"/>
      <c r="BE301" s="55"/>
      <c r="BF301" s="55"/>
      <c r="BG301" s="55"/>
      <c r="BH301" s="55"/>
      <c r="BI301" s="55"/>
      <c r="BJ301" s="55"/>
      <c r="BK301" s="55"/>
      <c r="BL301" s="55"/>
      <c r="BM301" s="55"/>
      <c r="BN301" s="55"/>
      <c r="BO301" s="55"/>
      <c r="BP301" s="55"/>
      <c r="BQ301" s="55"/>
      <c r="BR301" s="55"/>
      <c r="BS301" s="55"/>
    </row>
    <row r="302" spans="3:71" outlineLevel="1" x14ac:dyDescent="0.2">
      <c r="D302" s="11" t="str">
        <f>CHOOSE(db_ML_selected,'Liste Traduction'!B352,'Liste Traduction'!C352)</f>
        <v>Profit Gaz</v>
      </c>
      <c r="J302" s="26"/>
      <c r="L302" s="55"/>
      <c r="M302" s="55"/>
      <c r="N302" s="55"/>
      <c r="O302" s="55"/>
      <c r="P302" s="55"/>
      <c r="Q302" s="55"/>
      <c r="R302" s="55"/>
      <c r="S302" s="55"/>
      <c r="T302" s="55"/>
      <c r="U302" s="55"/>
      <c r="V302" s="55"/>
      <c r="W302" s="55"/>
      <c r="X302" s="55"/>
      <c r="Y302" s="55"/>
      <c r="Z302" s="55"/>
      <c r="AA302" s="55"/>
      <c r="AB302" s="55"/>
      <c r="AC302" s="55"/>
      <c r="AD302" s="55"/>
      <c r="AE302" s="55"/>
      <c r="AF302" s="55"/>
      <c r="AG302" s="55"/>
      <c r="AH302" s="55"/>
      <c r="AI302" s="55"/>
      <c r="AJ302" s="55"/>
      <c r="AK302" s="55"/>
      <c r="AL302" s="55"/>
      <c r="AM302" s="55"/>
      <c r="AN302" s="55"/>
      <c r="AO302" s="55"/>
      <c r="AP302" s="55"/>
      <c r="AQ302" s="55"/>
      <c r="AR302" s="55"/>
      <c r="AS302" s="55"/>
      <c r="AT302" s="55"/>
      <c r="AU302" s="55"/>
      <c r="AV302" s="55"/>
      <c r="AW302" s="55"/>
      <c r="AX302" s="55"/>
      <c r="AY302" s="55"/>
      <c r="AZ302" s="55"/>
      <c r="BA302" s="55"/>
      <c r="BB302" s="55"/>
      <c r="BC302" s="55"/>
      <c r="BD302" s="55"/>
      <c r="BE302" s="55"/>
      <c r="BF302" s="55"/>
      <c r="BG302" s="55"/>
      <c r="BH302" s="55"/>
      <c r="BI302" s="55"/>
      <c r="BJ302" s="55"/>
      <c r="BK302" s="55"/>
      <c r="BL302" s="55"/>
      <c r="BM302" s="55"/>
      <c r="BN302" s="55"/>
      <c r="BO302" s="55"/>
      <c r="BP302" s="55"/>
      <c r="BQ302" s="55"/>
      <c r="BR302" s="55"/>
      <c r="BS302" s="55"/>
    </row>
    <row r="303" spans="3:71" outlineLevel="1" x14ac:dyDescent="0.2">
      <c r="D303" s="50" t="str">
        <f>CHOOSE(db_ML_selected,'Liste Traduction'!B353,'Liste Traduction'!C353)</f>
        <v>Revenus gaziers pour le Partage du Profit</v>
      </c>
      <c r="I303" s="30">
        <f t="shared" ref="I303:I309" ca="1" si="84">SUM($L303:$BS303)</f>
        <v>0</v>
      </c>
      <c r="J303" s="26" t="s">
        <v>148</v>
      </c>
      <c r="L303" s="49">
        <f ca="1">MAX(HM_ZA_Nkossa!CA_gross_rev_gas_fp-HM_ZA_Nkossa!CA_roy_gas_fp-(HM_ZA_Nkossa!CA_cost_recovered_total*HM_ZA_Nkossa!CA_rev_gas_perc)-(HM_ZA_Nkossa!CA_excess_cost_recovery*HM_ZA_Nkossa!CA_rev_gas_perc),0)</f>
        <v>0</v>
      </c>
      <c r="M303" s="49">
        <f ca="1">MAX(HM_ZA_Nkossa!CA_gross_rev_gas_fp-HM_ZA_Nkossa!CA_roy_gas_fp-(HM_ZA_Nkossa!CA_cost_recovered_total*HM_ZA_Nkossa!CA_rev_gas_perc)-(HM_ZA_Nkossa!CA_excess_cost_recovery*HM_ZA_Nkossa!CA_rev_gas_perc),0)</f>
        <v>0</v>
      </c>
      <c r="N303" s="49">
        <f ca="1">MAX(HM_ZA_Nkossa!CA_gross_rev_gas_fp-HM_ZA_Nkossa!CA_roy_gas_fp-(HM_ZA_Nkossa!CA_cost_recovered_total*HM_ZA_Nkossa!CA_rev_gas_perc)-(HM_ZA_Nkossa!CA_excess_cost_recovery*HM_ZA_Nkossa!CA_rev_gas_perc),0)</f>
        <v>0</v>
      </c>
      <c r="O303" s="49">
        <f ca="1">MAX(HM_ZA_Nkossa!CA_gross_rev_gas_fp-HM_ZA_Nkossa!CA_roy_gas_fp-(HM_ZA_Nkossa!CA_cost_recovered_total*HM_ZA_Nkossa!CA_rev_gas_perc)-(HM_ZA_Nkossa!CA_excess_cost_recovery*HM_ZA_Nkossa!CA_rev_gas_perc),0)</f>
        <v>0</v>
      </c>
      <c r="P303" s="49">
        <f ca="1">MAX(HM_ZA_Nkossa!CA_gross_rev_gas_fp-HM_ZA_Nkossa!CA_roy_gas_fp-(HM_ZA_Nkossa!CA_cost_recovered_total*HM_ZA_Nkossa!CA_rev_gas_perc)-(HM_ZA_Nkossa!CA_excess_cost_recovery*HM_ZA_Nkossa!CA_rev_gas_perc),0)</f>
        <v>0</v>
      </c>
      <c r="Q303" s="49">
        <f ca="1">MAX(HM_ZA_Nkossa!CA_gross_rev_gas_fp-HM_ZA_Nkossa!CA_roy_gas_fp-(HM_ZA_Nkossa!CA_cost_recovered_total*HM_ZA_Nkossa!CA_rev_gas_perc)-(HM_ZA_Nkossa!CA_excess_cost_recovery*HM_ZA_Nkossa!CA_rev_gas_perc),0)</f>
        <v>0</v>
      </c>
      <c r="R303" s="49">
        <f ca="1">MAX(HM_ZA_Nkossa!CA_gross_rev_gas_fp-HM_ZA_Nkossa!CA_roy_gas_fp-(HM_ZA_Nkossa!CA_cost_recovered_total*HM_ZA_Nkossa!CA_rev_gas_perc)-(HM_ZA_Nkossa!CA_excess_cost_recovery*HM_ZA_Nkossa!CA_rev_gas_perc),0)</f>
        <v>0</v>
      </c>
      <c r="S303" s="49">
        <f ca="1">MAX(HM_ZA_Nkossa!CA_gross_rev_gas_fp-HM_ZA_Nkossa!CA_roy_gas_fp-(HM_ZA_Nkossa!CA_cost_recovered_total*HM_ZA_Nkossa!CA_rev_gas_perc)-(HM_ZA_Nkossa!CA_excess_cost_recovery*HM_ZA_Nkossa!CA_rev_gas_perc),0)</f>
        <v>0</v>
      </c>
      <c r="T303" s="49">
        <f ca="1">MAX(HM_ZA_Nkossa!CA_gross_rev_gas_fp-HM_ZA_Nkossa!CA_roy_gas_fp-(HM_ZA_Nkossa!CA_cost_recovered_total*HM_ZA_Nkossa!CA_rev_gas_perc)-(HM_ZA_Nkossa!CA_excess_cost_recovery*HM_ZA_Nkossa!CA_rev_gas_perc),0)</f>
        <v>0</v>
      </c>
      <c r="U303" s="49">
        <f ca="1">MAX(HM_ZA_Nkossa!CA_gross_rev_gas_fp-HM_ZA_Nkossa!CA_roy_gas_fp-(HM_ZA_Nkossa!CA_cost_recovered_total*HM_ZA_Nkossa!CA_rev_gas_perc)-(HM_ZA_Nkossa!CA_excess_cost_recovery*HM_ZA_Nkossa!CA_rev_gas_perc),0)</f>
        <v>0</v>
      </c>
      <c r="V303" s="49">
        <f ca="1">MAX(HM_ZA_Nkossa!CA_gross_rev_gas_fp-HM_ZA_Nkossa!CA_roy_gas_fp-(HM_ZA_Nkossa!CA_cost_recovered_total*HM_ZA_Nkossa!CA_rev_gas_perc)-(HM_ZA_Nkossa!CA_excess_cost_recovery*HM_ZA_Nkossa!CA_rev_gas_perc),0)</f>
        <v>0</v>
      </c>
      <c r="W303" s="49">
        <f ca="1">MAX(HM_ZA_Nkossa!CA_gross_rev_gas_fp-HM_ZA_Nkossa!CA_roy_gas_fp-(HM_ZA_Nkossa!CA_cost_recovered_total*HM_ZA_Nkossa!CA_rev_gas_perc)-(HM_ZA_Nkossa!CA_excess_cost_recovery*HM_ZA_Nkossa!CA_rev_gas_perc),0)</f>
        <v>0</v>
      </c>
      <c r="X303" s="49">
        <f ca="1">MAX(HM_ZA_Nkossa!CA_gross_rev_gas_fp-HM_ZA_Nkossa!CA_roy_gas_fp-(HM_ZA_Nkossa!CA_cost_recovered_total*HM_ZA_Nkossa!CA_rev_gas_perc)-(HM_ZA_Nkossa!CA_excess_cost_recovery*HM_ZA_Nkossa!CA_rev_gas_perc),0)</f>
        <v>0</v>
      </c>
      <c r="Y303" s="49">
        <f ca="1">MAX(HM_ZA_Nkossa!CA_gross_rev_gas_fp-HM_ZA_Nkossa!CA_roy_gas_fp-(HM_ZA_Nkossa!CA_cost_recovered_total*HM_ZA_Nkossa!CA_rev_gas_perc)-(HM_ZA_Nkossa!CA_excess_cost_recovery*HM_ZA_Nkossa!CA_rev_gas_perc),0)</f>
        <v>0</v>
      </c>
      <c r="Z303" s="49">
        <f ca="1">MAX(HM_ZA_Nkossa!CA_gross_rev_gas_fp-HM_ZA_Nkossa!CA_roy_gas_fp-(HM_ZA_Nkossa!CA_cost_recovered_total*HM_ZA_Nkossa!CA_rev_gas_perc)-(HM_ZA_Nkossa!CA_excess_cost_recovery*HM_ZA_Nkossa!CA_rev_gas_perc),0)</f>
        <v>0</v>
      </c>
      <c r="AA303" s="49">
        <f ca="1">MAX(HM_ZA_Nkossa!CA_gross_rev_gas_fp-HM_ZA_Nkossa!CA_roy_gas_fp-(HM_ZA_Nkossa!CA_cost_recovered_total*HM_ZA_Nkossa!CA_rev_gas_perc)-(HM_ZA_Nkossa!CA_excess_cost_recovery*HM_ZA_Nkossa!CA_rev_gas_perc),0)</f>
        <v>0</v>
      </c>
      <c r="AB303" s="49">
        <f ca="1">MAX(HM_ZA_Nkossa!CA_gross_rev_gas_fp-HM_ZA_Nkossa!CA_roy_gas_fp-(HM_ZA_Nkossa!CA_cost_recovered_total*HM_ZA_Nkossa!CA_rev_gas_perc)-(HM_ZA_Nkossa!CA_excess_cost_recovery*HM_ZA_Nkossa!CA_rev_gas_perc),0)</f>
        <v>0</v>
      </c>
      <c r="AC303" s="49">
        <f ca="1">MAX(HM_ZA_Nkossa!CA_gross_rev_gas_fp-HM_ZA_Nkossa!CA_roy_gas_fp-(HM_ZA_Nkossa!CA_cost_recovered_total*HM_ZA_Nkossa!CA_rev_gas_perc)-(HM_ZA_Nkossa!CA_excess_cost_recovery*HM_ZA_Nkossa!CA_rev_gas_perc),0)</f>
        <v>0</v>
      </c>
      <c r="AD303" s="49">
        <f ca="1">MAX(HM_ZA_Nkossa!CA_gross_rev_gas_fp-HM_ZA_Nkossa!CA_roy_gas_fp-(HM_ZA_Nkossa!CA_cost_recovered_total*HM_ZA_Nkossa!CA_rev_gas_perc)-(HM_ZA_Nkossa!CA_excess_cost_recovery*HM_ZA_Nkossa!CA_rev_gas_perc),0)</f>
        <v>0</v>
      </c>
      <c r="AE303" s="49">
        <f ca="1">MAX(HM_ZA_Nkossa!CA_gross_rev_gas_fp-HM_ZA_Nkossa!CA_roy_gas_fp-(HM_ZA_Nkossa!CA_cost_recovered_total*HM_ZA_Nkossa!CA_rev_gas_perc)-(HM_ZA_Nkossa!CA_excess_cost_recovery*HM_ZA_Nkossa!CA_rev_gas_perc),0)</f>
        <v>0</v>
      </c>
      <c r="AF303" s="49">
        <f ca="1">MAX(HM_ZA_Nkossa!CA_gross_rev_gas_fp-HM_ZA_Nkossa!CA_roy_gas_fp-(HM_ZA_Nkossa!CA_cost_recovered_total*HM_ZA_Nkossa!CA_rev_gas_perc)-(HM_ZA_Nkossa!CA_excess_cost_recovery*HM_ZA_Nkossa!CA_rev_gas_perc),0)</f>
        <v>0</v>
      </c>
      <c r="AG303" s="49">
        <f ca="1">MAX(HM_ZA_Nkossa!CA_gross_rev_gas_fp-HM_ZA_Nkossa!CA_roy_gas_fp-(HM_ZA_Nkossa!CA_cost_recovered_total*HM_ZA_Nkossa!CA_rev_gas_perc)-(HM_ZA_Nkossa!CA_excess_cost_recovery*HM_ZA_Nkossa!CA_rev_gas_perc),0)</f>
        <v>0</v>
      </c>
      <c r="AH303" s="49">
        <f ca="1">MAX(HM_ZA_Nkossa!CA_gross_rev_gas_fp-HM_ZA_Nkossa!CA_roy_gas_fp-(HM_ZA_Nkossa!CA_cost_recovered_total*HM_ZA_Nkossa!CA_rev_gas_perc)-(HM_ZA_Nkossa!CA_excess_cost_recovery*HM_ZA_Nkossa!CA_rev_gas_perc),0)</f>
        <v>0</v>
      </c>
      <c r="AI303" s="49">
        <f ca="1">MAX(HM_ZA_Nkossa!CA_gross_rev_gas_fp-HM_ZA_Nkossa!CA_roy_gas_fp-(HM_ZA_Nkossa!CA_cost_recovered_total*HM_ZA_Nkossa!CA_rev_gas_perc)-(HM_ZA_Nkossa!CA_excess_cost_recovery*HM_ZA_Nkossa!CA_rev_gas_perc),0)</f>
        <v>0</v>
      </c>
      <c r="AJ303" s="49">
        <f ca="1">MAX(HM_ZA_Nkossa!CA_gross_rev_gas_fp-HM_ZA_Nkossa!CA_roy_gas_fp-(HM_ZA_Nkossa!CA_cost_recovered_total*HM_ZA_Nkossa!CA_rev_gas_perc)-(HM_ZA_Nkossa!CA_excess_cost_recovery*HM_ZA_Nkossa!CA_rev_gas_perc),0)</f>
        <v>0</v>
      </c>
      <c r="AK303" s="49">
        <f ca="1">MAX(HM_ZA_Nkossa!CA_gross_rev_gas_fp-HM_ZA_Nkossa!CA_roy_gas_fp-(HM_ZA_Nkossa!CA_cost_recovered_total*HM_ZA_Nkossa!CA_rev_gas_perc)-(HM_ZA_Nkossa!CA_excess_cost_recovery*HM_ZA_Nkossa!CA_rev_gas_perc),0)</f>
        <v>0</v>
      </c>
      <c r="AL303" s="49">
        <f ca="1">MAX(HM_ZA_Nkossa!CA_gross_rev_gas_fp-HM_ZA_Nkossa!CA_roy_gas_fp-(HM_ZA_Nkossa!CA_cost_recovered_total*HM_ZA_Nkossa!CA_rev_gas_perc)-(HM_ZA_Nkossa!CA_excess_cost_recovery*HM_ZA_Nkossa!CA_rev_gas_perc),0)</f>
        <v>0</v>
      </c>
      <c r="AM303" s="49">
        <f ca="1">MAX(HM_ZA_Nkossa!CA_gross_rev_gas_fp-HM_ZA_Nkossa!CA_roy_gas_fp-(HM_ZA_Nkossa!CA_cost_recovered_total*HM_ZA_Nkossa!CA_rev_gas_perc)-(HM_ZA_Nkossa!CA_excess_cost_recovery*HM_ZA_Nkossa!CA_rev_gas_perc),0)</f>
        <v>0</v>
      </c>
      <c r="AN303" s="49">
        <f ca="1">MAX(HM_ZA_Nkossa!CA_gross_rev_gas_fp-HM_ZA_Nkossa!CA_roy_gas_fp-(HM_ZA_Nkossa!CA_cost_recovered_total*HM_ZA_Nkossa!CA_rev_gas_perc)-(HM_ZA_Nkossa!CA_excess_cost_recovery*HM_ZA_Nkossa!CA_rev_gas_perc),0)</f>
        <v>0</v>
      </c>
      <c r="AO303" s="49">
        <f ca="1">MAX(HM_ZA_Nkossa!CA_gross_rev_gas_fp-HM_ZA_Nkossa!CA_roy_gas_fp-(HM_ZA_Nkossa!CA_cost_recovered_total*HM_ZA_Nkossa!CA_rev_gas_perc)-(HM_ZA_Nkossa!CA_excess_cost_recovery*HM_ZA_Nkossa!CA_rev_gas_perc),0)</f>
        <v>0</v>
      </c>
      <c r="AP303" s="49">
        <f ca="1">MAX(HM_ZA_Nkossa!CA_gross_rev_gas_fp-HM_ZA_Nkossa!CA_roy_gas_fp-(HM_ZA_Nkossa!CA_cost_recovered_total*HM_ZA_Nkossa!CA_rev_gas_perc)-(HM_ZA_Nkossa!CA_excess_cost_recovery*HM_ZA_Nkossa!CA_rev_gas_perc),0)</f>
        <v>0</v>
      </c>
      <c r="AQ303" s="49">
        <f ca="1">MAX(HM_ZA_Nkossa!CA_gross_rev_gas_fp-HM_ZA_Nkossa!CA_roy_gas_fp-(HM_ZA_Nkossa!CA_cost_recovered_total*HM_ZA_Nkossa!CA_rev_gas_perc)-(HM_ZA_Nkossa!CA_excess_cost_recovery*HM_ZA_Nkossa!CA_rev_gas_perc),0)</f>
        <v>0</v>
      </c>
      <c r="AR303" s="49">
        <f ca="1">MAX(HM_ZA_Nkossa!CA_gross_rev_gas_fp-HM_ZA_Nkossa!CA_roy_gas_fp-(HM_ZA_Nkossa!CA_cost_recovered_total*HM_ZA_Nkossa!CA_rev_gas_perc)-(HM_ZA_Nkossa!CA_excess_cost_recovery*HM_ZA_Nkossa!CA_rev_gas_perc),0)</f>
        <v>0</v>
      </c>
      <c r="AS303" s="49">
        <f ca="1">MAX(HM_ZA_Nkossa!CA_gross_rev_gas_fp-HM_ZA_Nkossa!CA_roy_gas_fp-(HM_ZA_Nkossa!CA_cost_recovered_total*HM_ZA_Nkossa!CA_rev_gas_perc)-(HM_ZA_Nkossa!CA_excess_cost_recovery*HM_ZA_Nkossa!CA_rev_gas_perc),0)</f>
        <v>0</v>
      </c>
      <c r="AT303" s="49">
        <f ca="1">MAX(HM_ZA_Nkossa!CA_gross_rev_gas_fp-HM_ZA_Nkossa!CA_roy_gas_fp-(HM_ZA_Nkossa!CA_cost_recovered_total*HM_ZA_Nkossa!CA_rev_gas_perc)-(HM_ZA_Nkossa!CA_excess_cost_recovery*HM_ZA_Nkossa!CA_rev_gas_perc),0)</f>
        <v>0</v>
      </c>
      <c r="AU303" s="49">
        <f ca="1">MAX(HM_ZA_Nkossa!CA_gross_rev_gas_fp-HM_ZA_Nkossa!CA_roy_gas_fp-(HM_ZA_Nkossa!CA_cost_recovered_total*HM_ZA_Nkossa!CA_rev_gas_perc)-(HM_ZA_Nkossa!CA_excess_cost_recovery*HM_ZA_Nkossa!CA_rev_gas_perc),0)</f>
        <v>0</v>
      </c>
      <c r="AV303" s="49">
        <f ca="1">MAX(HM_ZA_Nkossa!CA_gross_rev_gas_fp-HM_ZA_Nkossa!CA_roy_gas_fp-(HM_ZA_Nkossa!CA_cost_recovered_total*HM_ZA_Nkossa!CA_rev_gas_perc)-(HM_ZA_Nkossa!CA_excess_cost_recovery*HM_ZA_Nkossa!CA_rev_gas_perc),0)</f>
        <v>0</v>
      </c>
      <c r="AW303" s="49">
        <f ca="1">MAX(HM_ZA_Nkossa!CA_gross_rev_gas_fp-HM_ZA_Nkossa!CA_roy_gas_fp-(HM_ZA_Nkossa!CA_cost_recovered_total*HM_ZA_Nkossa!CA_rev_gas_perc)-(HM_ZA_Nkossa!CA_excess_cost_recovery*HM_ZA_Nkossa!CA_rev_gas_perc),0)</f>
        <v>0</v>
      </c>
      <c r="AX303" s="49">
        <f ca="1">MAX(HM_ZA_Nkossa!CA_gross_rev_gas_fp-HM_ZA_Nkossa!CA_roy_gas_fp-(HM_ZA_Nkossa!CA_cost_recovered_total*HM_ZA_Nkossa!CA_rev_gas_perc)-(HM_ZA_Nkossa!CA_excess_cost_recovery*HM_ZA_Nkossa!CA_rev_gas_perc),0)</f>
        <v>0</v>
      </c>
      <c r="AY303" s="49">
        <f ca="1">MAX(HM_ZA_Nkossa!CA_gross_rev_gas_fp-HM_ZA_Nkossa!CA_roy_gas_fp-(HM_ZA_Nkossa!CA_cost_recovered_total*HM_ZA_Nkossa!CA_rev_gas_perc)-(HM_ZA_Nkossa!CA_excess_cost_recovery*HM_ZA_Nkossa!CA_rev_gas_perc),0)</f>
        <v>0</v>
      </c>
      <c r="AZ303" s="49">
        <f ca="1">MAX(HM_ZA_Nkossa!CA_gross_rev_gas_fp-HM_ZA_Nkossa!CA_roy_gas_fp-(HM_ZA_Nkossa!CA_cost_recovered_total*HM_ZA_Nkossa!CA_rev_gas_perc)-(HM_ZA_Nkossa!CA_excess_cost_recovery*HM_ZA_Nkossa!CA_rev_gas_perc),0)</f>
        <v>0</v>
      </c>
      <c r="BA303" s="49">
        <f ca="1">MAX(HM_ZA_Nkossa!CA_gross_rev_gas_fp-HM_ZA_Nkossa!CA_roy_gas_fp-(HM_ZA_Nkossa!CA_cost_recovered_total*HM_ZA_Nkossa!CA_rev_gas_perc)-(HM_ZA_Nkossa!CA_excess_cost_recovery*HM_ZA_Nkossa!CA_rev_gas_perc),0)</f>
        <v>0</v>
      </c>
      <c r="BB303" s="49">
        <f ca="1">MAX(HM_ZA_Nkossa!CA_gross_rev_gas_fp-HM_ZA_Nkossa!CA_roy_gas_fp-(HM_ZA_Nkossa!CA_cost_recovered_total*HM_ZA_Nkossa!CA_rev_gas_perc)-(HM_ZA_Nkossa!CA_excess_cost_recovery*HM_ZA_Nkossa!CA_rev_gas_perc),0)</f>
        <v>0</v>
      </c>
      <c r="BC303" s="49">
        <f ca="1">MAX(HM_ZA_Nkossa!CA_gross_rev_gas_fp-HM_ZA_Nkossa!CA_roy_gas_fp-(HM_ZA_Nkossa!CA_cost_recovered_total*HM_ZA_Nkossa!CA_rev_gas_perc)-(HM_ZA_Nkossa!CA_excess_cost_recovery*HM_ZA_Nkossa!CA_rev_gas_perc),0)</f>
        <v>0</v>
      </c>
      <c r="BD303" s="49">
        <f ca="1">MAX(HM_ZA_Nkossa!CA_gross_rev_gas_fp-HM_ZA_Nkossa!CA_roy_gas_fp-(HM_ZA_Nkossa!CA_cost_recovered_total*HM_ZA_Nkossa!CA_rev_gas_perc)-(HM_ZA_Nkossa!CA_excess_cost_recovery*HM_ZA_Nkossa!CA_rev_gas_perc),0)</f>
        <v>0</v>
      </c>
      <c r="BE303" s="49">
        <f ca="1">MAX(HM_ZA_Nkossa!CA_gross_rev_gas_fp-HM_ZA_Nkossa!CA_roy_gas_fp-(HM_ZA_Nkossa!CA_cost_recovered_total*HM_ZA_Nkossa!CA_rev_gas_perc)-(HM_ZA_Nkossa!CA_excess_cost_recovery*HM_ZA_Nkossa!CA_rev_gas_perc),0)</f>
        <v>0</v>
      </c>
      <c r="BF303" s="49">
        <f ca="1">MAX(HM_ZA_Nkossa!CA_gross_rev_gas_fp-HM_ZA_Nkossa!CA_roy_gas_fp-(HM_ZA_Nkossa!CA_cost_recovered_total*HM_ZA_Nkossa!CA_rev_gas_perc)-(HM_ZA_Nkossa!CA_excess_cost_recovery*HM_ZA_Nkossa!CA_rev_gas_perc),0)</f>
        <v>0</v>
      </c>
      <c r="BG303" s="49">
        <f ca="1">MAX(HM_ZA_Nkossa!CA_gross_rev_gas_fp-HM_ZA_Nkossa!CA_roy_gas_fp-(HM_ZA_Nkossa!CA_cost_recovered_total*HM_ZA_Nkossa!CA_rev_gas_perc)-(HM_ZA_Nkossa!CA_excess_cost_recovery*HM_ZA_Nkossa!CA_rev_gas_perc),0)</f>
        <v>0</v>
      </c>
      <c r="BH303" s="49">
        <f ca="1">MAX(HM_ZA_Nkossa!CA_gross_rev_gas_fp-HM_ZA_Nkossa!CA_roy_gas_fp-(HM_ZA_Nkossa!CA_cost_recovered_total*HM_ZA_Nkossa!CA_rev_gas_perc)-(HM_ZA_Nkossa!CA_excess_cost_recovery*HM_ZA_Nkossa!CA_rev_gas_perc),0)</f>
        <v>0</v>
      </c>
      <c r="BI303" s="49">
        <f ca="1">MAX(HM_ZA_Nkossa!CA_gross_rev_gas_fp-HM_ZA_Nkossa!CA_roy_gas_fp-(HM_ZA_Nkossa!CA_cost_recovered_total*HM_ZA_Nkossa!CA_rev_gas_perc)-(HM_ZA_Nkossa!CA_excess_cost_recovery*HM_ZA_Nkossa!CA_rev_gas_perc),0)</f>
        <v>0</v>
      </c>
      <c r="BJ303" s="49">
        <f ca="1">MAX(HM_ZA_Nkossa!CA_gross_rev_gas_fp-HM_ZA_Nkossa!CA_roy_gas_fp-(HM_ZA_Nkossa!CA_cost_recovered_total*HM_ZA_Nkossa!CA_rev_gas_perc)-(HM_ZA_Nkossa!CA_excess_cost_recovery*HM_ZA_Nkossa!CA_rev_gas_perc),0)</f>
        <v>0</v>
      </c>
      <c r="BK303" s="49">
        <f ca="1">MAX(HM_ZA_Nkossa!CA_gross_rev_gas_fp-HM_ZA_Nkossa!CA_roy_gas_fp-(HM_ZA_Nkossa!CA_cost_recovered_total*HM_ZA_Nkossa!CA_rev_gas_perc)-(HM_ZA_Nkossa!CA_excess_cost_recovery*HM_ZA_Nkossa!CA_rev_gas_perc),0)</f>
        <v>0</v>
      </c>
      <c r="BL303" s="49">
        <f ca="1">MAX(HM_ZA_Nkossa!CA_gross_rev_gas_fp-HM_ZA_Nkossa!CA_roy_gas_fp-(HM_ZA_Nkossa!CA_cost_recovered_total*HM_ZA_Nkossa!CA_rev_gas_perc)-(HM_ZA_Nkossa!CA_excess_cost_recovery*HM_ZA_Nkossa!CA_rev_gas_perc),0)</f>
        <v>0</v>
      </c>
      <c r="BM303" s="49">
        <f ca="1">MAX(HM_ZA_Nkossa!CA_gross_rev_gas_fp-HM_ZA_Nkossa!CA_roy_gas_fp-(HM_ZA_Nkossa!CA_cost_recovered_total*HM_ZA_Nkossa!CA_rev_gas_perc)-(HM_ZA_Nkossa!CA_excess_cost_recovery*HM_ZA_Nkossa!CA_rev_gas_perc),0)</f>
        <v>0</v>
      </c>
      <c r="BN303" s="49">
        <f ca="1">MAX(HM_ZA_Nkossa!CA_gross_rev_gas_fp-HM_ZA_Nkossa!CA_roy_gas_fp-(HM_ZA_Nkossa!CA_cost_recovered_total*HM_ZA_Nkossa!CA_rev_gas_perc)-(HM_ZA_Nkossa!CA_excess_cost_recovery*HM_ZA_Nkossa!CA_rev_gas_perc),0)</f>
        <v>0</v>
      </c>
      <c r="BO303" s="49">
        <f ca="1">MAX(HM_ZA_Nkossa!CA_gross_rev_gas_fp-HM_ZA_Nkossa!CA_roy_gas_fp-(HM_ZA_Nkossa!CA_cost_recovered_total*HM_ZA_Nkossa!CA_rev_gas_perc)-(HM_ZA_Nkossa!CA_excess_cost_recovery*HM_ZA_Nkossa!CA_rev_gas_perc),0)</f>
        <v>0</v>
      </c>
      <c r="BP303" s="49">
        <f ca="1">MAX(HM_ZA_Nkossa!CA_gross_rev_gas_fp-HM_ZA_Nkossa!CA_roy_gas_fp-(HM_ZA_Nkossa!CA_cost_recovered_total*HM_ZA_Nkossa!CA_rev_gas_perc)-(HM_ZA_Nkossa!CA_excess_cost_recovery*HM_ZA_Nkossa!CA_rev_gas_perc),0)</f>
        <v>0</v>
      </c>
      <c r="BQ303" s="49">
        <f ca="1">MAX(HM_ZA_Nkossa!CA_gross_rev_gas_fp-HM_ZA_Nkossa!CA_roy_gas_fp-(HM_ZA_Nkossa!CA_cost_recovered_total*HM_ZA_Nkossa!CA_rev_gas_perc)-(HM_ZA_Nkossa!CA_excess_cost_recovery*HM_ZA_Nkossa!CA_rev_gas_perc),0)</f>
        <v>0</v>
      </c>
      <c r="BR303" s="49">
        <f ca="1">MAX(HM_ZA_Nkossa!CA_gross_rev_gas_fp-HM_ZA_Nkossa!CA_roy_gas_fp-(HM_ZA_Nkossa!CA_cost_recovered_total*HM_ZA_Nkossa!CA_rev_gas_perc)-(HM_ZA_Nkossa!CA_excess_cost_recovery*HM_ZA_Nkossa!CA_rev_gas_perc),0)</f>
        <v>0</v>
      </c>
      <c r="BS303" s="49">
        <f ca="1">MAX(HM_ZA_Nkossa!CA_gross_rev_gas_fp-HM_ZA_Nkossa!CA_roy_gas_fp-(HM_ZA_Nkossa!CA_cost_recovered_total*HM_ZA_Nkossa!CA_rev_gas_perc)-(HM_ZA_Nkossa!CA_excess_cost_recovery*HM_ZA_Nkossa!CA_rev_gas_perc),0)</f>
        <v>0</v>
      </c>
    </row>
    <row r="304" spans="3:71" outlineLevel="1" x14ac:dyDescent="0.2">
      <c r="D304" s="50" t="str">
        <f>D298</f>
        <v>Partage du profit %</v>
      </c>
      <c r="J304" s="26"/>
      <c r="L304" s="53">
        <f ca="1">HM_ZA_Nkossa!PS_cont_rate*HM_ZA_Nkossa!CA_op_trig</f>
        <v>0.5</v>
      </c>
      <c r="M304" s="53">
        <f ca="1">HM_ZA_Nkossa!PS_cont_rate*HM_ZA_Nkossa!CA_op_trig</f>
        <v>0.5</v>
      </c>
      <c r="N304" s="53">
        <f ca="1">HM_ZA_Nkossa!PS_cont_rate*HM_ZA_Nkossa!CA_op_trig</f>
        <v>0.5</v>
      </c>
      <c r="O304" s="53">
        <f ca="1">HM_ZA_Nkossa!PS_cont_rate*HM_ZA_Nkossa!CA_op_trig</f>
        <v>0.5</v>
      </c>
      <c r="P304" s="53">
        <f ca="1">HM_ZA_Nkossa!PS_cont_rate*HM_ZA_Nkossa!CA_op_trig</f>
        <v>0.5</v>
      </c>
      <c r="Q304" s="53">
        <f ca="1">HM_ZA_Nkossa!PS_cont_rate*HM_ZA_Nkossa!CA_op_trig</f>
        <v>0.5</v>
      </c>
      <c r="R304" s="53">
        <f ca="1">HM_ZA_Nkossa!PS_cont_rate*HM_ZA_Nkossa!CA_op_trig</f>
        <v>0.5</v>
      </c>
      <c r="S304" s="53">
        <f ca="1">HM_ZA_Nkossa!PS_cont_rate*HM_ZA_Nkossa!CA_op_trig</f>
        <v>0.5</v>
      </c>
      <c r="T304" s="53">
        <f ca="1">HM_ZA_Nkossa!PS_cont_rate*HM_ZA_Nkossa!CA_op_trig</f>
        <v>0.5</v>
      </c>
      <c r="U304" s="53">
        <f ca="1">HM_ZA_Nkossa!PS_cont_rate*HM_ZA_Nkossa!CA_op_trig</f>
        <v>0.5</v>
      </c>
      <c r="V304" s="53">
        <f ca="1">HM_ZA_Nkossa!PS_cont_rate*HM_ZA_Nkossa!CA_op_trig</f>
        <v>0.5</v>
      </c>
      <c r="W304" s="53">
        <f ca="1">HM_ZA_Nkossa!PS_cont_rate*HM_ZA_Nkossa!CA_op_trig</f>
        <v>0.5</v>
      </c>
      <c r="X304" s="53">
        <f ca="1">HM_ZA_Nkossa!PS_cont_rate*HM_ZA_Nkossa!CA_op_trig</f>
        <v>0.5</v>
      </c>
      <c r="Y304" s="53">
        <f ca="1">HM_ZA_Nkossa!PS_cont_rate*HM_ZA_Nkossa!CA_op_trig</f>
        <v>0</v>
      </c>
      <c r="Z304" s="53">
        <f ca="1">HM_ZA_Nkossa!PS_cont_rate*HM_ZA_Nkossa!CA_op_trig</f>
        <v>0</v>
      </c>
      <c r="AA304" s="53">
        <f ca="1">HM_ZA_Nkossa!PS_cont_rate*HM_ZA_Nkossa!CA_op_trig</f>
        <v>0</v>
      </c>
      <c r="AB304" s="53">
        <f ca="1">HM_ZA_Nkossa!PS_cont_rate*HM_ZA_Nkossa!CA_op_trig</f>
        <v>0</v>
      </c>
      <c r="AC304" s="53">
        <f ca="1">HM_ZA_Nkossa!PS_cont_rate*HM_ZA_Nkossa!CA_op_trig</f>
        <v>0</v>
      </c>
      <c r="AD304" s="53">
        <f ca="1">HM_ZA_Nkossa!PS_cont_rate*HM_ZA_Nkossa!CA_op_trig</f>
        <v>0</v>
      </c>
      <c r="AE304" s="53">
        <f ca="1">HM_ZA_Nkossa!PS_cont_rate*HM_ZA_Nkossa!CA_op_trig</f>
        <v>0</v>
      </c>
      <c r="AF304" s="53">
        <f ca="1">HM_ZA_Nkossa!PS_cont_rate*HM_ZA_Nkossa!CA_op_trig</f>
        <v>0</v>
      </c>
      <c r="AG304" s="53">
        <f ca="1">HM_ZA_Nkossa!PS_cont_rate*HM_ZA_Nkossa!CA_op_trig</f>
        <v>0</v>
      </c>
      <c r="AH304" s="53">
        <f ca="1">HM_ZA_Nkossa!PS_cont_rate*HM_ZA_Nkossa!CA_op_trig</f>
        <v>0</v>
      </c>
      <c r="AI304" s="53">
        <f ca="1">HM_ZA_Nkossa!PS_cont_rate*HM_ZA_Nkossa!CA_op_trig</f>
        <v>0</v>
      </c>
      <c r="AJ304" s="53">
        <f ca="1">HM_ZA_Nkossa!PS_cont_rate*HM_ZA_Nkossa!CA_op_trig</f>
        <v>0</v>
      </c>
      <c r="AK304" s="53">
        <f ca="1">HM_ZA_Nkossa!PS_cont_rate*HM_ZA_Nkossa!CA_op_trig</f>
        <v>0</v>
      </c>
      <c r="AL304" s="53">
        <f ca="1">HM_ZA_Nkossa!PS_cont_rate*HM_ZA_Nkossa!CA_op_trig</f>
        <v>0</v>
      </c>
      <c r="AM304" s="53">
        <f ca="1">HM_ZA_Nkossa!PS_cont_rate*HM_ZA_Nkossa!CA_op_trig</f>
        <v>0</v>
      </c>
      <c r="AN304" s="53">
        <f ca="1">HM_ZA_Nkossa!PS_cont_rate*HM_ZA_Nkossa!CA_op_trig</f>
        <v>0</v>
      </c>
      <c r="AO304" s="53">
        <f ca="1">HM_ZA_Nkossa!PS_cont_rate*HM_ZA_Nkossa!CA_op_trig</f>
        <v>0</v>
      </c>
      <c r="AP304" s="53">
        <f ca="1">HM_ZA_Nkossa!PS_cont_rate*HM_ZA_Nkossa!CA_op_trig</f>
        <v>0</v>
      </c>
      <c r="AQ304" s="53">
        <f ca="1">HM_ZA_Nkossa!PS_cont_rate*HM_ZA_Nkossa!CA_op_trig</f>
        <v>0</v>
      </c>
      <c r="AR304" s="53">
        <f ca="1">HM_ZA_Nkossa!PS_cont_rate*HM_ZA_Nkossa!CA_op_trig</f>
        <v>0</v>
      </c>
      <c r="AS304" s="53">
        <f ca="1">HM_ZA_Nkossa!PS_cont_rate*HM_ZA_Nkossa!CA_op_trig</f>
        <v>0</v>
      </c>
      <c r="AT304" s="53">
        <f ca="1">HM_ZA_Nkossa!PS_cont_rate*HM_ZA_Nkossa!CA_op_trig</f>
        <v>0</v>
      </c>
      <c r="AU304" s="53">
        <f ca="1">HM_ZA_Nkossa!PS_cont_rate*HM_ZA_Nkossa!CA_op_trig</f>
        <v>0</v>
      </c>
      <c r="AV304" s="53">
        <f ca="1">HM_ZA_Nkossa!PS_cont_rate*HM_ZA_Nkossa!CA_op_trig</f>
        <v>0</v>
      </c>
      <c r="AW304" s="53">
        <f ca="1">HM_ZA_Nkossa!PS_cont_rate*HM_ZA_Nkossa!CA_op_trig</f>
        <v>0</v>
      </c>
      <c r="AX304" s="53">
        <f ca="1">HM_ZA_Nkossa!PS_cont_rate*HM_ZA_Nkossa!CA_op_trig</f>
        <v>0</v>
      </c>
      <c r="AY304" s="53">
        <f ca="1">HM_ZA_Nkossa!PS_cont_rate*HM_ZA_Nkossa!CA_op_trig</f>
        <v>0</v>
      </c>
      <c r="AZ304" s="53">
        <f ca="1">HM_ZA_Nkossa!PS_cont_rate*HM_ZA_Nkossa!CA_op_trig</f>
        <v>0</v>
      </c>
      <c r="BA304" s="53">
        <f ca="1">HM_ZA_Nkossa!PS_cont_rate*HM_ZA_Nkossa!CA_op_trig</f>
        <v>0</v>
      </c>
      <c r="BB304" s="53">
        <f ca="1">HM_ZA_Nkossa!PS_cont_rate*HM_ZA_Nkossa!CA_op_trig</f>
        <v>0</v>
      </c>
      <c r="BC304" s="53">
        <f ca="1">HM_ZA_Nkossa!PS_cont_rate*HM_ZA_Nkossa!CA_op_trig</f>
        <v>0</v>
      </c>
      <c r="BD304" s="53">
        <f ca="1">HM_ZA_Nkossa!PS_cont_rate*HM_ZA_Nkossa!CA_op_trig</f>
        <v>0</v>
      </c>
      <c r="BE304" s="53">
        <f ca="1">HM_ZA_Nkossa!PS_cont_rate*HM_ZA_Nkossa!CA_op_trig</f>
        <v>0</v>
      </c>
      <c r="BF304" s="53">
        <f ca="1">HM_ZA_Nkossa!PS_cont_rate*HM_ZA_Nkossa!CA_op_trig</f>
        <v>0</v>
      </c>
      <c r="BG304" s="53">
        <f ca="1">HM_ZA_Nkossa!PS_cont_rate*HM_ZA_Nkossa!CA_op_trig</f>
        <v>0</v>
      </c>
      <c r="BH304" s="53">
        <f ca="1">HM_ZA_Nkossa!PS_cont_rate*HM_ZA_Nkossa!CA_op_trig</f>
        <v>0</v>
      </c>
      <c r="BI304" s="53">
        <f ca="1">HM_ZA_Nkossa!PS_cont_rate*HM_ZA_Nkossa!CA_op_trig</f>
        <v>0</v>
      </c>
      <c r="BJ304" s="53">
        <f ca="1">HM_ZA_Nkossa!PS_cont_rate*HM_ZA_Nkossa!CA_op_trig</f>
        <v>0</v>
      </c>
      <c r="BK304" s="53">
        <f ca="1">HM_ZA_Nkossa!PS_cont_rate*HM_ZA_Nkossa!CA_op_trig</f>
        <v>0</v>
      </c>
      <c r="BL304" s="53">
        <f ca="1">HM_ZA_Nkossa!PS_cont_rate*HM_ZA_Nkossa!CA_op_trig</f>
        <v>0</v>
      </c>
      <c r="BM304" s="53">
        <f ca="1">HM_ZA_Nkossa!PS_cont_rate*HM_ZA_Nkossa!CA_op_trig</f>
        <v>0</v>
      </c>
      <c r="BN304" s="53">
        <f ca="1">HM_ZA_Nkossa!PS_cont_rate*HM_ZA_Nkossa!CA_op_trig</f>
        <v>0</v>
      </c>
      <c r="BO304" s="53">
        <f ca="1">HM_ZA_Nkossa!PS_cont_rate*HM_ZA_Nkossa!CA_op_trig</f>
        <v>0</v>
      </c>
      <c r="BP304" s="53">
        <f ca="1">HM_ZA_Nkossa!PS_cont_rate*HM_ZA_Nkossa!CA_op_trig</f>
        <v>0</v>
      </c>
      <c r="BQ304" s="53">
        <f ca="1">HM_ZA_Nkossa!PS_cont_rate*HM_ZA_Nkossa!CA_op_trig</f>
        <v>0</v>
      </c>
      <c r="BR304" s="53">
        <f ca="1">HM_ZA_Nkossa!PS_cont_rate*HM_ZA_Nkossa!CA_op_trig</f>
        <v>0</v>
      </c>
      <c r="BS304" s="53">
        <f ca="1">HM_ZA_Nkossa!PS_cont_rate*HM_ZA_Nkossa!CA_op_trig</f>
        <v>0</v>
      </c>
    </row>
    <row r="305" spans="1:71" outlineLevel="1" x14ac:dyDescent="0.2">
      <c r="D305" t="str">
        <f>CHOOSE(db_ML_selected,"Contractor Share of Profit Gas",D299)</f>
        <v>Part du Contracteur dans le Profit Oil</v>
      </c>
      <c r="I305" s="30">
        <f t="shared" ca="1" si="84"/>
        <v>0</v>
      </c>
      <c r="J305" s="26" t="s">
        <v>148</v>
      </c>
      <c r="L305" s="49">
        <f ca="1">L303*L304</f>
        <v>0</v>
      </c>
      <c r="M305" s="49">
        <f t="shared" ref="M305:BS305" ca="1" si="85">M303*M304</f>
        <v>0</v>
      </c>
      <c r="N305" s="49">
        <f t="shared" ca="1" si="85"/>
        <v>0</v>
      </c>
      <c r="O305" s="49">
        <f t="shared" ca="1" si="85"/>
        <v>0</v>
      </c>
      <c r="P305" s="49">
        <f t="shared" ca="1" si="85"/>
        <v>0</v>
      </c>
      <c r="Q305" s="49">
        <f t="shared" ca="1" si="85"/>
        <v>0</v>
      </c>
      <c r="R305" s="49">
        <f t="shared" ca="1" si="85"/>
        <v>0</v>
      </c>
      <c r="S305" s="49">
        <f t="shared" ca="1" si="85"/>
        <v>0</v>
      </c>
      <c r="T305" s="49">
        <f t="shared" ca="1" si="85"/>
        <v>0</v>
      </c>
      <c r="U305" s="49">
        <f t="shared" ca="1" si="85"/>
        <v>0</v>
      </c>
      <c r="V305" s="49">
        <f t="shared" ca="1" si="85"/>
        <v>0</v>
      </c>
      <c r="W305" s="49">
        <f t="shared" ca="1" si="85"/>
        <v>0</v>
      </c>
      <c r="X305" s="49">
        <f t="shared" ca="1" si="85"/>
        <v>0</v>
      </c>
      <c r="Y305" s="49">
        <f t="shared" ca="1" si="85"/>
        <v>0</v>
      </c>
      <c r="Z305" s="49">
        <f t="shared" ca="1" si="85"/>
        <v>0</v>
      </c>
      <c r="AA305" s="49">
        <f t="shared" ca="1" si="85"/>
        <v>0</v>
      </c>
      <c r="AB305" s="49">
        <f t="shared" ca="1" si="85"/>
        <v>0</v>
      </c>
      <c r="AC305" s="49">
        <f t="shared" ca="1" si="85"/>
        <v>0</v>
      </c>
      <c r="AD305" s="49">
        <f t="shared" ca="1" si="85"/>
        <v>0</v>
      </c>
      <c r="AE305" s="49">
        <f t="shared" ca="1" si="85"/>
        <v>0</v>
      </c>
      <c r="AF305" s="49">
        <f t="shared" ca="1" si="85"/>
        <v>0</v>
      </c>
      <c r="AG305" s="49">
        <f t="shared" ca="1" si="85"/>
        <v>0</v>
      </c>
      <c r="AH305" s="49">
        <f t="shared" ca="1" si="85"/>
        <v>0</v>
      </c>
      <c r="AI305" s="49">
        <f t="shared" ca="1" si="85"/>
        <v>0</v>
      </c>
      <c r="AJ305" s="49">
        <f t="shared" ca="1" si="85"/>
        <v>0</v>
      </c>
      <c r="AK305" s="49">
        <f t="shared" ca="1" si="85"/>
        <v>0</v>
      </c>
      <c r="AL305" s="49">
        <f t="shared" ca="1" si="85"/>
        <v>0</v>
      </c>
      <c r="AM305" s="49">
        <f t="shared" ca="1" si="85"/>
        <v>0</v>
      </c>
      <c r="AN305" s="49">
        <f t="shared" ca="1" si="85"/>
        <v>0</v>
      </c>
      <c r="AO305" s="49">
        <f t="shared" ca="1" si="85"/>
        <v>0</v>
      </c>
      <c r="AP305" s="49">
        <f t="shared" ca="1" si="85"/>
        <v>0</v>
      </c>
      <c r="AQ305" s="49">
        <f t="shared" ca="1" si="85"/>
        <v>0</v>
      </c>
      <c r="AR305" s="49">
        <f t="shared" ca="1" si="85"/>
        <v>0</v>
      </c>
      <c r="AS305" s="49">
        <f t="shared" ca="1" si="85"/>
        <v>0</v>
      </c>
      <c r="AT305" s="49">
        <f t="shared" ca="1" si="85"/>
        <v>0</v>
      </c>
      <c r="AU305" s="49">
        <f t="shared" ca="1" si="85"/>
        <v>0</v>
      </c>
      <c r="AV305" s="49">
        <f t="shared" ca="1" si="85"/>
        <v>0</v>
      </c>
      <c r="AW305" s="49">
        <f t="shared" ca="1" si="85"/>
        <v>0</v>
      </c>
      <c r="AX305" s="49">
        <f t="shared" ca="1" si="85"/>
        <v>0</v>
      </c>
      <c r="AY305" s="49">
        <f t="shared" ca="1" si="85"/>
        <v>0</v>
      </c>
      <c r="AZ305" s="49">
        <f t="shared" ca="1" si="85"/>
        <v>0</v>
      </c>
      <c r="BA305" s="49">
        <f t="shared" ca="1" si="85"/>
        <v>0</v>
      </c>
      <c r="BB305" s="49">
        <f t="shared" ca="1" si="85"/>
        <v>0</v>
      </c>
      <c r="BC305" s="49">
        <f t="shared" ca="1" si="85"/>
        <v>0</v>
      </c>
      <c r="BD305" s="49">
        <f t="shared" ca="1" si="85"/>
        <v>0</v>
      </c>
      <c r="BE305" s="49">
        <f t="shared" ca="1" si="85"/>
        <v>0</v>
      </c>
      <c r="BF305" s="49">
        <f t="shared" ca="1" si="85"/>
        <v>0</v>
      </c>
      <c r="BG305" s="49">
        <f t="shared" ca="1" si="85"/>
        <v>0</v>
      </c>
      <c r="BH305" s="49">
        <f t="shared" ca="1" si="85"/>
        <v>0</v>
      </c>
      <c r="BI305" s="49">
        <f t="shared" ca="1" si="85"/>
        <v>0</v>
      </c>
      <c r="BJ305" s="49">
        <f t="shared" ca="1" si="85"/>
        <v>0</v>
      </c>
      <c r="BK305" s="49">
        <f t="shared" ca="1" si="85"/>
        <v>0</v>
      </c>
      <c r="BL305" s="49">
        <f t="shared" ca="1" si="85"/>
        <v>0</v>
      </c>
      <c r="BM305" s="49">
        <f t="shared" ca="1" si="85"/>
        <v>0</v>
      </c>
      <c r="BN305" s="49">
        <f t="shared" ca="1" si="85"/>
        <v>0</v>
      </c>
      <c r="BO305" s="49">
        <f t="shared" ca="1" si="85"/>
        <v>0</v>
      </c>
      <c r="BP305" s="49">
        <f t="shared" ca="1" si="85"/>
        <v>0</v>
      </c>
      <c r="BQ305" s="49">
        <f t="shared" ca="1" si="85"/>
        <v>0</v>
      </c>
      <c r="BR305" s="49">
        <f t="shared" ca="1" si="85"/>
        <v>0</v>
      </c>
      <c r="BS305" s="49">
        <f t="shared" ca="1" si="85"/>
        <v>0</v>
      </c>
    </row>
    <row r="306" spans="1:71" outlineLevel="1" x14ac:dyDescent="0.2">
      <c r="D306" t="str">
        <f>CHOOSE(db_ML_selected,"Govt. Share of Profit Gas",D300)</f>
        <v>Part du Gouv. dans le Profit Oil</v>
      </c>
      <c r="I306" s="30">
        <f t="shared" ca="1" si="84"/>
        <v>0</v>
      </c>
      <c r="J306" s="26" t="s">
        <v>148</v>
      </c>
      <c r="L306" s="49">
        <f ca="1">L303-L305</f>
        <v>0</v>
      </c>
      <c r="M306" s="49">
        <f t="shared" ref="M306:BS306" ca="1" si="86">M303-M305</f>
        <v>0</v>
      </c>
      <c r="N306" s="49">
        <f t="shared" ca="1" si="86"/>
        <v>0</v>
      </c>
      <c r="O306" s="49">
        <f t="shared" ca="1" si="86"/>
        <v>0</v>
      </c>
      <c r="P306" s="49">
        <f t="shared" ca="1" si="86"/>
        <v>0</v>
      </c>
      <c r="Q306" s="49">
        <f t="shared" ca="1" si="86"/>
        <v>0</v>
      </c>
      <c r="R306" s="49">
        <f t="shared" ca="1" si="86"/>
        <v>0</v>
      </c>
      <c r="S306" s="49">
        <f t="shared" ca="1" si="86"/>
        <v>0</v>
      </c>
      <c r="T306" s="49">
        <f t="shared" ca="1" si="86"/>
        <v>0</v>
      </c>
      <c r="U306" s="49">
        <f t="shared" ca="1" si="86"/>
        <v>0</v>
      </c>
      <c r="V306" s="49">
        <f t="shared" ca="1" si="86"/>
        <v>0</v>
      </c>
      <c r="W306" s="49">
        <f t="shared" ca="1" si="86"/>
        <v>0</v>
      </c>
      <c r="X306" s="49">
        <f t="shared" ca="1" si="86"/>
        <v>0</v>
      </c>
      <c r="Y306" s="49">
        <f t="shared" ca="1" si="86"/>
        <v>0</v>
      </c>
      <c r="Z306" s="49">
        <f t="shared" ca="1" si="86"/>
        <v>0</v>
      </c>
      <c r="AA306" s="49">
        <f t="shared" ca="1" si="86"/>
        <v>0</v>
      </c>
      <c r="AB306" s="49">
        <f t="shared" ca="1" si="86"/>
        <v>0</v>
      </c>
      <c r="AC306" s="49">
        <f t="shared" ca="1" si="86"/>
        <v>0</v>
      </c>
      <c r="AD306" s="49">
        <f t="shared" ca="1" si="86"/>
        <v>0</v>
      </c>
      <c r="AE306" s="49">
        <f t="shared" ca="1" si="86"/>
        <v>0</v>
      </c>
      <c r="AF306" s="49">
        <f t="shared" ca="1" si="86"/>
        <v>0</v>
      </c>
      <c r="AG306" s="49">
        <f t="shared" ca="1" si="86"/>
        <v>0</v>
      </c>
      <c r="AH306" s="49">
        <f t="shared" ca="1" si="86"/>
        <v>0</v>
      </c>
      <c r="AI306" s="49">
        <f t="shared" ca="1" si="86"/>
        <v>0</v>
      </c>
      <c r="AJ306" s="49">
        <f t="shared" ca="1" si="86"/>
        <v>0</v>
      </c>
      <c r="AK306" s="49">
        <f t="shared" ca="1" si="86"/>
        <v>0</v>
      </c>
      <c r="AL306" s="49">
        <f t="shared" ca="1" si="86"/>
        <v>0</v>
      </c>
      <c r="AM306" s="49">
        <f t="shared" ca="1" si="86"/>
        <v>0</v>
      </c>
      <c r="AN306" s="49">
        <f t="shared" ca="1" si="86"/>
        <v>0</v>
      </c>
      <c r="AO306" s="49">
        <f t="shared" ca="1" si="86"/>
        <v>0</v>
      </c>
      <c r="AP306" s="49">
        <f t="shared" ca="1" si="86"/>
        <v>0</v>
      </c>
      <c r="AQ306" s="49">
        <f t="shared" ca="1" si="86"/>
        <v>0</v>
      </c>
      <c r="AR306" s="49">
        <f t="shared" ca="1" si="86"/>
        <v>0</v>
      </c>
      <c r="AS306" s="49">
        <f t="shared" ca="1" si="86"/>
        <v>0</v>
      </c>
      <c r="AT306" s="49">
        <f t="shared" ca="1" si="86"/>
        <v>0</v>
      </c>
      <c r="AU306" s="49">
        <f t="shared" ca="1" si="86"/>
        <v>0</v>
      </c>
      <c r="AV306" s="49">
        <f t="shared" ca="1" si="86"/>
        <v>0</v>
      </c>
      <c r="AW306" s="49">
        <f t="shared" ca="1" si="86"/>
        <v>0</v>
      </c>
      <c r="AX306" s="49">
        <f t="shared" ca="1" si="86"/>
        <v>0</v>
      </c>
      <c r="AY306" s="49">
        <f t="shared" ca="1" si="86"/>
        <v>0</v>
      </c>
      <c r="AZ306" s="49">
        <f t="shared" ca="1" si="86"/>
        <v>0</v>
      </c>
      <c r="BA306" s="49">
        <f t="shared" ca="1" si="86"/>
        <v>0</v>
      </c>
      <c r="BB306" s="49">
        <f t="shared" ca="1" si="86"/>
        <v>0</v>
      </c>
      <c r="BC306" s="49">
        <f t="shared" ca="1" si="86"/>
        <v>0</v>
      </c>
      <c r="BD306" s="49">
        <f t="shared" ca="1" si="86"/>
        <v>0</v>
      </c>
      <c r="BE306" s="49">
        <f t="shared" ca="1" si="86"/>
        <v>0</v>
      </c>
      <c r="BF306" s="49">
        <f t="shared" ca="1" si="86"/>
        <v>0</v>
      </c>
      <c r="BG306" s="49">
        <f t="shared" ca="1" si="86"/>
        <v>0</v>
      </c>
      <c r="BH306" s="49">
        <f t="shared" ca="1" si="86"/>
        <v>0</v>
      </c>
      <c r="BI306" s="49">
        <f t="shared" ca="1" si="86"/>
        <v>0</v>
      </c>
      <c r="BJ306" s="49">
        <f t="shared" ca="1" si="86"/>
        <v>0</v>
      </c>
      <c r="BK306" s="49">
        <f t="shared" ca="1" si="86"/>
        <v>0</v>
      </c>
      <c r="BL306" s="49">
        <f t="shared" ca="1" si="86"/>
        <v>0</v>
      </c>
      <c r="BM306" s="49">
        <f t="shared" ca="1" si="86"/>
        <v>0</v>
      </c>
      <c r="BN306" s="49">
        <f t="shared" ca="1" si="86"/>
        <v>0</v>
      </c>
      <c r="BO306" s="49">
        <f t="shared" ca="1" si="86"/>
        <v>0</v>
      </c>
      <c r="BP306" s="49">
        <f t="shared" ca="1" si="86"/>
        <v>0</v>
      </c>
      <c r="BQ306" s="49">
        <f t="shared" ca="1" si="86"/>
        <v>0</v>
      </c>
      <c r="BR306" s="49">
        <f t="shared" ca="1" si="86"/>
        <v>0</v>
      </c>
      <c r="BS306" s="49">
        <f t="shared" ca="1" si="86"/>
        <v>0</v>
      </c>
    </row>
    <row r="307" spans="1:71" outlineLevel="1" x14ac:dyDescent="0.2">
      <c r="J307" s="26"/>
      <c r="L307" s="55"/>
      <c r="M307" s="55"/>
      <c r="N307" s="55"/>
      <c r="O307" s="55"/>
      <c r="P307" s="55"/>
      <c r="Q307" s="55"/>
      <c r="R307" s="55"/>
      <c r="S307" s="55"/>
      <c r="T307" s="55"/>
      <c r="U307" s="55"/>
      <c r="V307" s="55"/>
      <c r="W307" s="55"/>
      <c r="X307" s="55"/>
      <c r="Y307" s="55"/>
      <c r="Z307" s="55"/>
      <c r="AA307" s="55"/>
      <c r="AB307" s="55"/>
      <c r="AC307" s="55"/>
      <c r="AD307" s="55"/>
      <c r="AE307" s="55"/>
      <c r="AF307" s="55"/>
      <c r="AG307" s="55"/>
      <c r="AH307" s="55"/>
      <c r="AI307" s="55"/>
      <c r="AJ307" s="55"/>
      <c r="AK307" s="55"/>
      <c r="AL307" s="55"/>
      <c r="AM307" s="55"/>
      <c r="AN307" s="55"/>
      <c r="AO307" s="55"/>
      <c r="AP307" s="55"/>
      <c r="AQ307" s="55"/>
      <c r="AR307" s="55"/>
      <c r="AS307" s="55"/>
      <c r="AT307" s="55"/>
      <c r="AU307" s="55"/>
      <c r="AV307" s="55"/>
      <c r="AW307" s="55"/>
      <c r="AX307" s="55"/>
      <c r="AY307" s="55"/>
      <c r="AZ307" s="55"/>
      <c r="BA307" s="55"/>
      <c r="BB307" s="55"/>
      <c r="BC307" s="55"/>
      <c r="BD307" s="55"/>
      <c r="BE307" s="55"/>
      <c r="BF307" s="55"/>
      <c r="BG307" s="55"/>
      <c r="BH307" s="55"/>
      <c r="BI307" s="55"/>
      <c r="BJ307" s="55"/>
      <c r="BK307" s="55"/>
      <c r="BL307" s="55"/>
      <c r="BM307" s="55"/>
      <c r="BN307" s="55"/>
      <c r="BO307" s="55"/>
      <c r="BP307" s="55"/>
      <c r="BQ307" s="55"/>
      <c r="BR307" s="55"/>
      <c r="BS307" s="55"/>
    </row>
    <row r="308" spans="1:71" outlineLevel="1" x14ac:dyDescent="0.2">
      <c r="D308" s="11" t="str">
        <f>CHOOSE(db_ML_selected,'Liste Traduction'!B354,'Liste Traduction'!C354)</f>
        <v>Total Part du Profit Contracteur</v>
      </c>
      <c r="I308" s="30">
        <f t="shared" ca="1" si="84"/>
        <v>669.23481505557504</v>
      </c>
      <c r="J308" s="26" t="s">
        <v>148</v>
      </c>
      <c r="K308" s="7" t="s">
        <v>241</v>
      </c>
      <c r="L308" s="49">
        <f ca="1">SUM(L299,L305)</f>
        <v>53.617826096800002</v>
      </c>
      <c r="M308" s="49">
        <f t="shared" ref="M308:BS309" ca="1" si="87">SUM(M299,M305)</f>
        <v>66.240045269045027</v>
      </c>
      <c r="N308" s="49">
        <f t="shared" ca="1" si="87"/>
        <v>57.555824903320008</v>
      </c>
      <c r="O308" s="49">
        <f t="shared" ca="1" si="87"/>
        <v>63.023013784309988</v>
      </c>
      <c r="P308" s="49">
        <f t="shared" ca="1" si="87"/>
        <v>65.006042683650023</v>
      </c>
      <c r="Q308" s="49">
        <f t="shared" ca="1" si="87"/>
        <v>69.36728449349998</v>
      </c>
      <c r="R308" s="49">
        <f t="shared" ca="1" si="87"/>
        <v>66.5478078891</v>
      </c>
      <c r="S308" s="49">
        <f t="shared" ca="1" si="87"/>
        <v>30.836044714999986</v>
      </c>
      <c r="T308" s="49">
        <f t="shared" ca="1" si="87"/>
        <v>41.963297605631979</v>
      </c>
      <c r="U308" s="49">
        <f t="shared" ca="1" si="87"/>
        <v>41.889866376959986</v>
      </c>
      <c r="V308" s="49">
        <f t="shared" ca="1" si="87"/>
        <v>39.736727245184241</v>
      </c>
      <c r="W308" s="49">
        <f t="shared" ca="1" si="87"/>
        <v>37.694259464781766</v>
      </c>
      <c r="X308" s="49">
        <f t="shared" ca="1" si="87"/>
        <v>35.756774528291984</v>
      </c>
      <c r="Y308" s="49">
        <f t="shared" ca="1" si="87"/>
        <v>0</v>
      </c>
      <c r="Z308" s="49">
        <f t="shared" ca="1" si="87"/>
        <v>0</v>
      </c>
      <c r="AA308" s="49">
        <f t="shared" ca="1" si="87"/>
        <v>0</v>
      </c>
      <c r="AB308" s="49">
        <f t="shared" ca="1" si="87"/>
        <v>0</v>
      </c>
      <c r="AC308" s="49">
        <f t="shared" ca="1" si="87"/>
        <v>0</v>
      </c>
      <c r="AD308" s="49">
        <f t="shared" ca="1" si="87"/>
        <v>0</v>
      </c>
      <c r="AE308" s="49">
        <f t="shared" ca="1" si="87"/>
        <v>0</v>
      </c>
      <c r="AF308" s="49">
        <f t="shared" ca="1" si="87"/>
        <v>0</v>
      </c>
      <c r="AG308" s="49">
        <f t="shared" ca="1" si="87"/>
        <v>0</v>
      </c>
      <c r="AH308" s="49">
        <f t="shared" ca="1" si="87"/>
        <v>0</v>
      </c>
      <c r="AI308" s="49">
        <f t="shared" ca="1" si="87"/>
        <v>0</v>
      </c>
      <c r="AJ308" s="49">
        <f t="shared" ca="1" si="87"/>
        <v>0</v>
      </c>
      <c r="AK308" s="49">
        <f t="shared" ca="1" si="87"/>
        <v>0</v>
      </c>
      <c r="AL308" s="49">
        <f t="shared" ca="1" si="87"/>
        <v>0</v>
      </c>
      <c r="AM308" s="49">
        <f t="shared" ca="1" si="87"/>
        <v>0</v>
      </c>
      <c r="AN308" s="49">
        <f t="shared" ca="1" si="87"/>
        <v>0</v>
      </c>
      <c r="AO308" s="49">
        <f t="shared" ca="1" si="87"/>
        <v>0</v>
      </c>
      <c r="AP308" s="49">
        <f t="shared" ca="1" si="87"/>
        <v>0</v>
      </c>
      <c r="AQ308" s="49">
        <f t="shared" ca="1" si="87"/>
        <v>0</v>
      </c>
      <c r="AR308" s="49">
        <f t="shared" ca="1" si="87"/>
        <v>0</v>
      </c>
      <c r="AS308" s="49">
        <f t="shared" ca="1" si="87"/>
        <v>0</v>
      </c>
      <c r="AT308" s="49">
        <f t="shared" ca="1" si="87"/>
        <v>0</v>
      </c>
      <c r="AU308" s="49">
        <f t="shared" ca="1" si="87"/>
        <v>0</v>
      </c>
      <c r="AV308" s="49">
        <f t="shared" ca="1" si="87"/>
        <v>0</v>
      </c>
      <c r="AW308" s="49">
        <f t="shared" ca="1" si="87"/>
        <v>0</v>
      </c>
      <c r="AX308" s="49">
        <f t="shared" ca="1" si="87"/>
        <v>0</v>
      </c>
      <c r="AY308" s="49">
        <f t="shared" ca="1" si="87"/>
        <v>0</v>
      </c>
      <c r="AZ308" s="49">
        <f t="shared" ca="1" si="87"/>
        <v>0</v>
      </c>
      <c r="BA308" s="49">
        <f t="shared" ca="1" si="87"/>
        <v>0</v>
      </c>
      <c r="BB308" s="49">
        <f t="shared" ca="1" si="87"/>
        <v>0</v>
      </c>
      <c r="BC308" s="49">
        <f t="shared" ca="1" si="87"/>
        <v>0</v>
      </c>
      <c r="BD308" s="49">
        <f t="shared" ca="1" si="87"/>
        <v>0</v>
      </c>
      <c r="BE308" s="49">
        <f t="shared" ca="1" si="87"/>
        <v>0</v>
      </c>
      <c r="BF308" s="49">
        <f t="shared" ca="1" si="87"/>
        <v>0</v>
      </c>
      <c r="BG308" s="49">
        <f t="shared" ca="1" si="87"/>
        <v>0</v>
      </c>
      <c r="BH308" s="49">
        <f t="shared" ca="1" si="87"/>
        <v>0</v>
      </c>
      <c r="BI308" s="49">
        <f t="shared" ca="1" si="87"/>
        <v>0</v>
      </c>
      <c r="BJ308" s="49">
        <f t="shared" ca="1" si="87"/>
        <v>0</v>
      </c>
      <c r="BK308" s="49">
        <f t="shared" ca="1" si="87"/>
        <v>0</v>
      </c>
      <c r="BL308" s="49">
        <f t="shared" ca="1" si="87"/>
        <v>0</v>
      </c>
      <c r="BM308" s="49">
        <f t="shared" ca="1" si="87"/>
        <v>0</v>
      </c>
      <c r="BN308" s="49">
        <f t="shared" ca="1" si="87"/>
        <v>0</v>
      </c>
      <c r="BO308" s="49">
        <f t="shared" ca="1" si="87"/>
        <v>0</v>
      </c>
      <c r="BP308" s="49">
        <f t="shared" ca="1" si="87"/>
        <v>0</v>
      </c>
      <c r="BQ308" s="49">
        <f t="shared" ca="1" si="87"/>
        <v>0</v>
      </c>
      <c r="BR308" s="49">
        <f t="shared" ca="1" si="87"/>
        <v>0</v>
      </c>
      <c r="BS308" s="49">
        <f t="shared" ca="1" si="87"/>
        <v>0</v>
      </c>
    </row>
    <row r="309" spans="1:71" outlineLevel="1" x14ac:dyDescent="0.2">
      <c r="D309" s="11" t="str">
        <f>CHOOSE(db_ML_selected,'Liste Traduction'!B355,'Liste Traduction'!C355)</f>
        <v>Total Part du Profit Gouv.</v>
      </c>
      <c r="I309" s="30">
        <f t="shared" ca="1" si="84"/>
        <v>669.23481505557504</v>
      </c>
      <c r="J309" s="26" t="s">
        <v>148</v>
      </c>
      <c r="K309" s="7" t="s">
        <v>242</v>
      </c>
      <c r="L309" s="49">
        <f ca="1">SUM(L300,L306)</f>
        <v>53.617826096800002</v>
      </c>
      <c r="M309" s="49">
        <f t="shared" ca="1" si="87"/>
        <v>66.240045269045027</v>
      </c>
      <c r="N309" s="49">
        <f t="shared" ca="1" si="87"/>
        <v>57.555824903320008</v>
      </c>
      <c r="O309" s="49">
        <f t="shared" ca="1" si="87"/>
        <v>63.023013784309988</v>
      </c>
      <c r="P309" s="49">
        <f t="shared" ca="1" si="87"/>
        <v>65.006042683650023</v>
      </c>
      <c r="Q309" s="49">
        <f t="shared" ca="1" si="87"/>
        <v>69.36728449349998</v>
      </c>
      <c r="R309" s="49">
        <f t="shared" ca="1" si="87"/>
        <v>66.5478078891</v>
      </c>
      <c r="S309" s="49">
        <f t="shared" ca="1" si="87"/>
        <v>30.836044714999986</v>
      </c>
      <c r="T309" s="49">
        <f t="shared" ca="1" si="87"/>
        <v>41.963297605631979</v>
      </c>
      <c r="U309" s="49">
        <f t="shared" ca="1" si="87"/>
        <v>41.889866376959986</v>
      </c>
      <c r="V309" s="49">
        <f t="shared" ca="1" si="87"/>
        <v>39.736727245184241</v>
      </c>
      <c r="W309" s="49">
        <f t="shared" ca="1" si="87"/>
        <v>37.694259464781766</v>
      </c>
      <c r="X309" s="49">
        <f t="shared" ca="1" si="87"/>
        <v>35.756774528291984</v>
      </c>
      <c r="Y309" s="49">
        <f t="shared" ca="1" si="87"/>
        <v>0</v>
      </c>
      <c r="Z309" s="49">
        <f t="shared" ca="1" si="87"/>
        <v>0</v>
      </c>
      <c r="AA309" s="49">
        <f t="shared" ca="1" si="87"/>
        <v>0</v>
      </c>
      <c r="AB309" s="49">
        <f t="shared" ca="1" si="87"/>
        <v>0</v>
      </c>
      <c r="AC309" s="49">
        <f t="shared" ca="1" si="87"/>
        <v>0</v>
      </c>
      <c r="AD309" s="49">
        <f t="shared" ca="1" si="87"/>
        <v>0</v>
      </c>
      <c r="AE309" s="49">
        <f t="shared" ca="1" si="87"/>
        <v>0</v>
      </c>
      <c r="AF309" s="49">
        <f t="shared" ca="1" si="87"/>
        <v>0</v>
      </c>
      <c r="AG309" s="49">
        <f t="shared" ca="1" si="87"/>
        <v>0</v>
      </c>
      <c r="AH309" s="49">
        <f t="shared" ca="1" si="87"/>
        <v>0</v>
      </c>
      <c r="AI309" s="49">
        <f t="shared" ca="1" si="87"/>
        <v>0</v>
      </c>
      <c r="AJ309" s="49">
        <f t="shared" ca="1" si="87"/>
        <v>0</v>
      </c>
      <c r="AK309" s="49">
        <f t="shared" ca="1" si="87"/>
        <v>0</v>
      </c>
      <c r="AL309" s="49">
        <f t="shared" ca="1" si="87"/>
        <v>0</v>
      </c>
      <c r="AM309" s="49">
        <f t="shared" ca="1" si="87"/>
        <v>0</v>
      </c>
      <c r="AN309" s="49">
        <f t="shared" ca="1" si="87"/>
        <v>0</v>
      </c>
      <c r="AO309" s="49">
        <f t="shared" ca="1" si="87"/>
        <v>0</v>
      </c>
      <c r="AP309" s="49">
        <f t="shared" ca="1" si="87"/>
        <v>0</v>
      </c>
      <c r="AQ309" s="49">
        <f t="shared" ca="1" si="87"/>
        <v>0</v>
      </c>
      <c r="AR309" s="49">
        <f t="shared" ca="1" si="87"/>
        <v>0</v>
      </c>
      <c r="AS309" s="49">
        <f t="shared" ca="1" si="87"/>
        <v>0</v>
      </c>
      <c r="AT309" s="49">
        <f t="shared" ca="1" si="87"/>
        <v>0</v>
      </c>
      <c r="AU309" s="49">
        <f t="shared" ca="1" si="87"/>
        <v>0</v>
      </c>
      <c r="AV309" s="49">
        <f t="shared" ca="1" si="87"/>
        <v>0</v>
      </c>
      <c r="AW309" s="49">
        <f t="shared" ca="1" si="87"/>
        <v>0</v>
      </c>
      <c r="AX309" s="49">
        <f t="shared" ca="1" si="87"/>
        <v>0</v>
      </c>
      <c r="AY309" s="49">
        <f t="shared" ca="1" si="87"/>
        <v>0</v>
      </c>
      <c r="AZ309" s="49">
        <f t="shared" ca="1" si="87"/>
        <v>0</v>
      </c>
      <c r="BA309" s="49">
        <f t="shared" ca="1" si="87"/>
        <v>0</v>
      </c>
      <c r="BB309" s="49">
        <f t="shared" ca="1" si="87"/>
        <v>0</v>
      </c>
      <c r="BC309" s="49">
        <f t="shared" ca="1" si="87"/>
        <v>0</v>
      </c>
      <c r="BD309" s="49">
        <f t="shared" ca="1" si="87"/>
        <v>0</v>
      </c>
      <c r="BE309" s="49">
        <f t="shared" ca="1" si="87"/>
        <v>0</v>
      </c>
      <c r="BF309" s="49">
        <f t="shared" ca="1" si="87"/>
        <v>0</v>
      </c>
      <c r="BG309" s="49">
        <f t="shared" ca="1" si="87"/>
        <v>0</v>
      </c>
      <c r="BH309" s="49">
        <f t="shared" ca="1" si="87"/>
        <v>0</v>
      </c>
      <c r="BI309" s="49">
        <f t="shared" ca="1" si="87"/>
        <v>0</v>
      </c>
      <c r="BJ309" s="49">
        <f t="shared" ca="1" si="87"/>
        <v>0</v>
      </c>
      <c r="BK309" s="49">
        <f t="shared" ca="1" si="87"/>
        <v>0</v>
      </c>
      <c r="BL309" s="49">
        <f t="shared" ca="1" si="87"/>
        <v>0</v>
      </c>
      <c r="BM309" s="49">
        <f t="shared" ca="1" si="87"/>
        <v>0</v>
      </c>
      <c r="BN309" s="49">
        <f t="shared" ca="1" si="87"/>
        <v>0</v>
      </c>
      <c r="BO309" s="49">
        <f t="shared" ca="1" si="87"/>
        <v>0</v>
      </c>
      <c r="BP309" s="49">
        <f t="shared" ca="1" si="87"/>
        <v>0</v>
      </c>
      <c r="BQ309" s="49">
        <f t="shared" ca="1" si="87"/>
        <v>0</v>
      </c>
      <c r="BR309" s="49">
        <f t="shared" ca="1" si="87"/>
        <v>0</v>
      </c>
      <c r="BS309" s="49">
        <f t="shared" ca="1" si="87"/>
        <v>0</v>
      </c>
    </row>
    <row r="310" spans="1:71" outlineLevel="1" x14ac:dyDescent="0.2">
      <c r="J310" s="26"/>
      <c r="L310" s="55"/>
      <c r="M310" s="55"/>
      <c r="N310" s="55"/>
      <c r="O310" s="55"/>
      <c r="P310" s="55"/>
      <c r="Q310" s="55"/>
      <c r="R310" s="55"/>
      <c r="S310" s="55"/>
      <c r="T310" s="55"/>
      <c r="U310" s="55"/>
      <c r="V310" s="55"/>
      <c r="W310" s="55"/>
      <c r="X310" s="55"/>
      <c r="Y310" s="55"/>
      <c r="Z310" s="55"/>
      <c r="AA310" s="55"/>
      <c r="AB310" s="55"/>
      <c r="AC310" s="55"/>
      <c r="AD310" s="55"/>
      <c r="AE310" s="55"/>
      <c r="AF310" s="55"/>
      <c r="AG310" s="55"/>
      <c r="AH310" s="55"/>
      <c r="AI310" s="55"/>
      <c r="AJ310" s="55"/>
      <c r="AK310" s="55"/>
      <c r="AL310" s="55"/>
      <c r="AM310" s="55"/>
      <c r="AN310" s="55"/>
      <c r="AO310" s="55"/>
      <c r="AP310" s="55"/>
      <c r="AQ310" s="55"/>
      <c r="AR310" s="55"/>
      <c r="AS310" s="55"/>
      <c r="AT310" s="55"/>
      <c r="AU310" s="55"/>
      <c r="AV310" s="55"/>
      <c r="AW310" s="55"/>
      <c r="AX310" s="55"/>
      <c r="AY310" s="55"/>
      <c r="AZ310" s="55"/>
      <c r="BA310" s="55"/>
      <c r="BB310" s="55"/>
      <c r="BC310" s="55"/>
      <c r="BD310" s="55"/>
      <c r="BE310" s="55"/>
      <c r="BF310" s="55"/>
      <c r="BG310" s="55"/>
      <c r="BH310" s="55"/>
      <c r="BI310" s="55"/>
      <c r="BJ310" s="55"/>
      <c r="BK310" s="55"/>
      <c r="BL310" s="55"/>
      <c r="BM310" s="55"/>
      <c r="BN310" s="55"/>
      <c r="BO310" s="55"/>
      <c r="BP310" s="55"/>
      <c r="BQ310" s="55"/>
      <c r="BR310" s="55"/>
      <c r="BS310" s="55"/>
    </row>
    <row r="311" spans="1:71" outlineLevel="1" x14ac:dyDescent="0.2">
      <c r="J311" s="26"/>
      <c r="L311" s="55"/>
      <c r="M311" s="55"/>
      <c r="N311" s="55"/>
      <c r="O311" s="55"/>
      <c r="P311" s="55"/>
      <c r="Q311" s="55"/>
      <c r="R311" s="55"/>
      <c r="S311" s="55"/>
      <c r="T311" s="55"/>
      <c r="U311" s="55"/>
      <c r="V311" s="55"/>
      <c r="W311" s="55"/>
      <c r="X311" s="55"/>
      <c r="Y311" s="55"/>
      <c r="Z311" s="55"/>
      <c r="AA311" s="55"/>
      <c r="AB311" s="55"/>
      <c r="AC311" s="55"/>
      <c r="AD311" s="55"/>
      <c r="AE311" s="55"/>
      <c r="AF311" s="55"/>
      <c r="AG311" s="55"/>
      <c r="AH311" s="55"/>
      <c r="AI311" s="55"/>
      <c r="AJ311" s="55"/>
      <c r="AK311" s="55"/>
      <c r="AL311" s="55"/>
      <c r="AM311" s="55"/>
      <c r="AN311" s="55"/>
      <c r="AO311" s="55"/>
      <c r="AP311" s="55"/>
      <c r="AQ311" s="55"/>
      <c r="AR311" s="55"/>
      <c r="AS311" s="55"/>
      <c r="AT311" s="55"/>
      <c r="AU311" s="55"/>
      <c r="AV311" s="55"/>
      <c r="AW311" s="55"/>
      <c r="AX311" s="55"/>
      <c r="AY311" s="55"/>
      <c r="AZ311" s="55"/>
      <c r="BA311" s="55"/>
      <c r="BB311" s="55"/>
      <c r="BC311" s="55"/>
      <c r="BD311" s="55"/>
      <c r="BE311" s="55"/>
      <c r="BF311" s="55"/>
      <c r="BG311" s="55"/>
      <c r="BH311" s="55"/>
      <c r="BI311" s="55"/>
      <c r="BJ311" s="55"/>
      <c r="BK311" s="55"/>
      <c r="BL311" s="55"/>
      <c r="BM311" s="55"/>
      <c r="BN311" s="55"/>
      <c r="BO311" s="55"/>
      <c r="BP311" s="55"/>
      <c r="BQ311" s="55"/>
      <c r="BR311" s="55"/>
      <c r="BS311" s="55"/>
    </row>
    <row r="312" spans="1:71" outlineLevel="1" x14ac:dyDescent="0.2">
      <c r="J312" s="26"/>
      <c r="L312" s="55"/>
      <c r="M312" s="55"/>
      <c r="N312" s="55"/>
      <c r="O312" s="55"/>
      <c r="P312" s="55"/>
      <c r="Q312" s="55"/>
      <c r="R312" s="55"/>
      <c r="S312" s="55"/>
      <c r="T312" s="55"/>
      <c r="U312" s="55"/>
      <c r="V312" s="55"/>
      <c r="W312" s="55"/>
      <c r="X312" s="55"/>
      <c r="Y312" s="55"/>
      <c r="Z312" s="55"/>
      <c r="AA312" s="55"/>
      <c r="AB312" s="55"/>
      <c r="AC312" s="55"/>
      <c r="AD312" s="55"/>
      <c r="AE312" s="55"/>
      <c r="AF312" s="55"/>
      <c r="AG312" s="55"/>
      <c r="AH312" s="55"/>
      <c r="AI312" s="55"/>
      <c r="AJ312" s="55"/>
      <c r="AK312" s="55"/>
      <c r="AL312" s="55"/>
      <c r="AM312" s="55"/>
      <c r="AN312" s="55"/>
      <c r="AO312" s="55"/>
      <c r="AP312" s="55"/>
      <c r="AQ312" s="55"/>
      <c r="AR312" s="55"/>
      <c r="AS312" s="55"/>
      <c r="AT312" s="55"/>
      <c r="AU312" s="55"/>
      <c r="AV312" s="55"/>
      <c r="AW312" s="55"/>
      <c r="AX312" s="55"/>
      <c r="AY312" s="55"/>
      <c r="AZ312" s="55"/>
      <c r="BA312" s="55"/>
      <c r="BB312" s="55"/>
      <c r="BC312" s="55"/>
      <c r="BD312" s="55"/>
      <c r="BE312" s="55"/>
      <c r="BF312" s="55"/>
      <c r="BG312" s="55"/>
      <c r="BH312" s="55"/>
      <c r="BI312" s="55"/>
      <c r="BJ312" s="55"/>
      <c r="BK312" s="55"/>
      <c r="BL312" s="55"/>
      <c r="BM312" s="55"/>
      <c r="BN312" s="55"/>
      <c r="BO312" s="55"/>
      <c r="BP312" s="55"/>
      <c r="BQ312" s="55"/>
      <c r="BR312" s="55"/>
      <c r="BS312" s="55"/>
    </row>
    <row r="313" spans="1:71" outlineLevel="1" x14ac:dyDescent="0.2">
      <c r="A313" s="45"/>
      <c r="B313" s="38" t="str">
        <f>CHOOSE(db_ML_selected,'Liste Traduction'!B356,'Liste Traduction'!C356)</f>
        <v>Calculs des droits</v>
      </c>
      <c r="C313" s="45"/>
      <c r="D313" s="45"/>
      <c r="E313" s="45"/>
      <c r="J313" s="26"/>
      <c r="L313" s="55"/>
      <c r="M313" s="55"/>
      <c r="N313" s="55"/>
      <c r="O313" s="55"/>
      <c r="P313" s="55"/>
      <c r="Q313" s="55"/>
      <c r="R313" s="55"/>
      <c r="S313" s="55"/>
      <c r="T313" s="55"/>
      <c r="U313" s="55"/>
      <c r="V313" s="55"/>
      <c r="W313" s="55"/>
      <c r="X313" s="55"/>
      <c r="Y313" s="55"/>
      <c r="Z313" s="55"/>
      <c r="AA313" s="55"/>
      <c r="AB313" s="55"/>
      <c r="AC313" s="55"/>
      <c r="AD313" s="55"/>
      <c r="AE313" s="55"/>
      <c r="AF313" s="55"/>
      <c r="AG313" s="55"/>
      <c r="AH313" s="55"/>
      <c r="AI313" s="55"/>
      <c r="AJ313" s="55"/>
      <c r="AK313" s="55"/>
      <c r="AL313" s="55"/>
      <c r="AM313" s="55"/>
      <c r="AN313" s="55"/>
      <c r="AO313" s="55"/>
      <c r="AP313" s="55"/>
      <c r="AQ313" s="55"/>
      <c r="AR313" s="55"/>
      <c r="AS313" s="55"/>
      <c r="AT313" s="55"/>
      <c r="AU313" s="55"/>
      <c r="AV313" s="55"/>
      <c r="AW313" s="55"/>
      <c r="AX313" s="55"/>
      <c r="AY313" s="55"/>
      <c r="AZ313" s="55"/>
      <c r="BA313" s="55"/>
      <c r="BB313" s="55"/>
      <c r="BC313" s="55"/>
      <c r="BD313" s="55"/>
      <c r="BE313" s="55"/>
      <c r="BF313" s="55"/>
      <c r="BG313" s="55"/>
      <c r="BH313" s="55"/>
      <c r="BI313" s="55"/>
      <c r="BJ313" s="55"/>
      <c r="BK313" s="55"/>
      <c r="BL313" s="55"/>
      <c r="BM313" s="55"/>
      <c r="BN313" s="55"/>
      <c r="BO313" s="55"/>
      <c r="BP313" s="55"/>
      <c r="BQ313" s="55"/>
      <c r="BR313" s="55"/>
      <c r="BS313" s="55"/>
    </row>
    <row r="314" spans="1:71" outlineLevel="1" x14ac:dyDescent="0.2">
      <c r="J314" s="26"/>
      <c r="L314" s="55"/>
      <c r="M314" s="55"/>
      <c r="N314" s="55"/>
      <c r="O314" s="55"/>
      <c r="P314" s="55"/>
      <c r="Q314" s="55"/>
      <c r="R314" s="55"/>
      <c r="S314" s="55"/>
      <c r="T314" s="55"/>
      <c r="U314" s="55"/>
      <c r="V314" s="55"/>
      <c r="W314" s="55"/>
      <c r="X314" s="55"/>
      <c r="Y314" s="55"/>
      <c r="Z314" s="55"/>
      <c r="AA314" s="55"/>
      <c r="AB314" s="55"/>
      <c r="AC314" s="55"/>
      <c r="AD314" s="55"/>
      <c r="AE314" s="55"/>
      <c r="AF314" s="55"/>
      <c r="AG314" s="55"/>
      <c r="AH314" s="55"/>
      <c r="AI314" s="55"/>
      <c r="AJ314" s="55"/>
      <c r="AK314" s="55"/>
      <c r="AL314" s="55"/>
      <c r="AM314" s="55"/>
      <c r="AN314" s="55"/>
      <c r="AO314" s="55"/>
      <c r="AP314" s="55"/>
      <c r="AQ314" s="55"/>
      <c r="AR314" s="55"/>
      <c r="AS314" s="55"/>
      <c r="AT314" s="55"/>
      <c r="AU314" s="55"/>
      <c r="AV314" s="55"/>
      <c r="AW314" s="55"/>
      <c r="AX314" s="55"/>
      <c r="AY314" s="55"/>
      <c r="AZ314" s="55"/>
      <c r="BA314" s="55"/>
      <c r="BB314" s="55"/>
      <c r="BC314" s="55"/>
      <c r="BD314" s="55"/>
      <c r="BE314" s="55"/>
      <c r="BF314" s="55"/>
      <c r="BG314" s="55"/>
      <c r="BH314" s="55"/>
      <c r="BI314" s="55"/>
      <c r="BJ314" s="55"/>
      <c r="BK314" s="55"/>
      <c r="BL314" s="55"/>
      <c r="BM314" s="55"/>
      <c r="BN314" s="55"/>
      <c r="BO314" s="55"/>
      <c r="BP314" s="55"/>
      <c r="BQ314" s="55"/>
      <c r="BR314" s="55"/>
      <c r="BS314" s="55"/>
    </row>
    <row r="315" spans="1:71" outlineLevel="1" x14ac:dyDescent="0.2">
      <c r="C315" s="11" t="str">
        <f>CHOOSE(db_ML_selected,'Liste Traduction'!B357,'Liste Traduction'!C357)</f>
        <v>Revenus des droits  - Pétrole</v>
      </c>
      <c r="J315" s="26"/>
      <c r="L315" s="55"/>
      <c r="M315" s="55"/>
      <c r="N315" s="55"/>
      <c r="O315" s="55"/>
      <c r="P315" s="55"/>
      <c r="Q315" s="55"/>
      <c r="R315" s="55"/>
      <c r="S315" s="55"/>
      <c r="T315" s="55"/>
      <c r="U315" s="55"/>
      <c r="V315" s="55"/>
      <c r="W315" s="55"/>
      <c r="X315" s="55"/>
      <c r="Y315" s="55"/>
      <c r="Z315" s="55"/>
      <c r="AA315" s="55"/>
      <c r="AB315" s="55"/>
      <c r="AC315" s="55"/>
      <c r="AD315" s="55"/>
      <c r="AE315" s="55"/>
      <c r="AF315" s="55"/>
      <c r="AG315" s="55"/>
      <c r="AH315" s="55"/>
      <c r="AI315" s="55"/>
      <c r="AJ315" s="55"/>
      <c r="AK315" s="55"/>
      <c r="AL315" s="55"/>
      <c r="AM315" s="55"/>
      <c r="AN315" s="55"/>
      <c r="AO315" s="55"/>
      <c r="AP315" s="55"/>
      <c r="AQ315" s="55"/>
      <c r="AR315" s="55"/>
      <c r="AS315" s="55"/>
      <c r="AT315" s="55"/>
      <c r="AU315" s="55"/>
      <c r="AV315" s="55"/>
      <c r="AW315" s="55"/>
      <c r="AX315" s="55"/>
      <c r="AY315" s="55"/>
      <c r="AZ315" s="55"/>
      <c r="BA315" s="55"/>
      <c r="BB315" s="55"/>
      <c r="BC315" s="55"/>
      <c r="BD315" s="55"/>
      <c r="BE315" s="55"/>
      <c r="BF315" s="55"/>
      <c r="BG315" s="55"/>
      <c r="BH315" s="55"/>
      <c r="BI315" s="55"/>
      <c r="BJ315" s="55"/>
      <c r="BK315" s="55"/>
      <c r="BL315" s="55"/>
      <c r="BM315" s="55"/>
      <c r="BN315" s="55"/>
      <c r="BO315" s="55"/>
      <c r="BP315" s="55"/>
      <c r="BQ315" s="55"/>
      <c r="BR315" s="55"/>
      <c r="BS315" s="55"/>
    </row>
    <row r="316" spans="1:71" outlineLevel="1" x14ac:dyDescent="0.2">
      <c r="D316" t="str">
        <f>CHOOSE(db_ML_selected,'Liste Traduction'!B358,'Liste Traduction'!C358)</f>
        <v>Cost Oil</v>
      </c>
      <c r="I316" s="30">
        <f t="shared" ref="I316:I320" ca="1" si="88">SUM($L316:$BS316)</f>
        <v>2204.9879026922831</v>
      </c>
      <c r="J316" s="26" t="s">
        <v>148</v>
      </c>
      <c r="L316" s="49" cm="1">
        <f t="array" aca="1" ref="L316:BS316" ca="1">HM_ZA_Nkossa!CA_cost_recovered_total*HM_ZA_Nkossa!CA_rev_oil_perc</f>
        <v>141.09954235999999</v>
      </c>
      <c r="M316" s="49">
        <f ca="1"/>
        <v>174.31590860275</v>
      </c>
      <c r="N316" s="49">
        <f ca="1"/>
        <v>151.46269711400001</v>
      </c>
      <c r="O316" s="49">
        <f ca="1"/>
        <v>165.85003627450001</v>
      </c>
      <c r="P316" s="49">
        <f ca="1"/>
        <v>238.35548984005007</v>
      </c>
      <c r="Q316" s="49">
        <f ca="1"/>
        <v>254.34670980950006</v>
      </c>
      <c r="R316" s="49">
        <f ca="1"/>
        <v>244.00862892670006</v>
      </c>
      <c r="S316" s="49">
        <f ca="1"/>
        <v>113.06549728833335</v>
      </c>
      <c r="T316" s="49">
        <f ca="1"/>
        <v>153.86542455398398</v>
      </c>
      <c r="U316" s="49">
        <f ca="1"/>
        <v>153.59617671551999</v>
      </c>
      <c r="V316" s="49">
        <f ca="1"/>
        <v>145.70133323234225</v>
      </c>
      <c r="W316" s="49">
        <f ca="1"/>
        <v>138.21228470419985</v>
      </c>
      <c r="X316" s="49">
        <f ca="1"/>
        <v>131.10817327040397</v>
      </c>
      <c r="Y316" s="49">
        <f ca="1"/>
        <v>0</v>
      </c>
      <c r="Z316" s="49">
        <f ca="1"/>
        <v>0</v>
      </c>
      <c r="AA316" s="49">
        <f ca="1"/>
        <v>0</v>
      </c>
      <c r="AB316" s="49">
        <f ca="1"/>
        <v>0</v>
      </c>
      <c r="AC316" s="49">
        <f ca="1"/>
        <v>0</v>
      </c>
      <c r="AD316" s="49">
        <f ca="1"/>
        <v>0</v>
      </c>
      <c r="AE316" s="49">
        <f ca="1"/>
        <v>0</v>
      </c>
      <c r="AF316" s="49">
        <f ca="1"/>
        <v>0</v>
      </c>
      <c r="AG316" s="49">
        <f ca="1"/>
        <v>0</v>
      </c>
      <c r="AH316" s="49">
        <f ca="1"/>
        <v>0</v>
      </c>
      <c r="AI316" s="49">
        <f ca="1"/>
        <v>0</v>
      </c>
      <c r="AJ316" s="49">
        <f ca="1"/>
        <v>0</v>
      </c>
      <c r="AK316" s="49">
        <f ca="1"/>
        <v>0</v>
      </c>
      <c r="AL316" s="49">
        <f ca="1"/>
        <v>0</v>
      </c>
      <c r="AM316" s="49">
        <f ca="1"/>
        <v>0</v>
      </c>
      <c r="AN316" s="49">
        <f ca="1"/>
        <v>0</v>
      </c>
      <c r="AO316" s="49">
        <f ca="1"/>
        <v>0</v>
      </c>
      <c r="AP316" s="49">
        <f ca="1"/>
        <v>0</v>
      </c>
      <c r="AQ316" s="49">
        <f ca="1"/>
        <v>0</v>
      </c>
      <c r="AR316" s="49">
        <f ca="1"/>
        <v>0</v>
      </c>
      <c r="AS316" s="49">
        <f ca="1"/>
        <v>0</v>
      </c>
      <c r="AT316" s="49">
        <f ca="1"/>
        <v>0</v>
      </c>
      <c r="AU316" s="49">
        <f ca="1"/>
        <v>0</v>
      </c>
      <c r="AV316" s="49">
        <f ca="1"/>
        <v>0</v>
      </c>
      <c r="AW316" s="49">
        <f ca="1"/>
        <v>0</v>
      </c>
      <c r="AX316" s="49">
        <f ca="1"/>
        <v>0</v>
      </c>
      <c r="AY316" s="49">
        <f ca="1"/>
        <v>0</v>
      </c>
      <c r="AZ316" s="49">
        <f ca="1"/>
        <v>0</v>
      </c>
      <c r="BA316" s="49">
        <f ca="1"/>
        <v>0</v>
      </c>
      <c r="BB316" s="49">
        <f ca="1"/>
        <v>0</v>
      </c>
      <c r="BC316" s="49">
        <f ca="1"/>
        <v>0</v>
      </c>
      <c r="BD316" s="49">
        <f ca="1"/>
        <v>0</v>
      </c>
      <c r="BE316" s="49">
        <f ca="1"/>
        <v>0</v>
      </c>
      <c r="BF316" s="49">
        <f ca="1"/>
        <v>0</v>
      </c>
      <c r="BG316" s="49">
        <f ca="1"/>
        <v>0</v>
      </c>
      <c r="BH316" s="49">
        <f ca="1"/>
        <v>0</v>
      </c>
      <c r="BI316" s="49">
        <f ca="1"/>
        <v>0</v>
      </c>
      <c r="BJ316" s="49">
        <f ca="1"/>
        <v>0</v>
      </c>
      <c r="BK316" s="49">
        <f ca="1"/>
        <v>0</v>
      </c>
      <c r="BL316" s="49">
        <f ca="1"/>
        <v>0</v>
      </c>
      <c r="BM316" s="49">
        <f ca="1"/>
        <v>0</v>
      </c>
      <c r="BN316" s="49">
        <f ca="1"/>
        <v>0</v>
      </c>
      <c r="BO316" s="49">
        <f ca="1"/>
        <v>0</v>
      </c>
      <c r="BP316" s="49">
        <f ca="1"/>
        <v>0</v>
      </c>
      <c r="BQ316" s="49">
        <f ca="1"/>
        <v>0</v>
      </c>
      <c r="BR316" s="49">
        <f ca="1"/>
        <v>0</v>
      </c>
      <c r="BS316" s="49">
        <f ca="1"/>
        <v>0</v>
      </c>
    </row>
    <row r="317" spans="1:71" outlineLevel="1" x14ac:dyDescent="0.2">
      <c r="D317" t="str">
        <f>CHOOSE(db_ML_selected,'Liste Traduction'!B359,'Liste Traduction'!C359)</f>
        <v>Excess Cost Oil</v>
      </c>
      <c r="I317" s="30">
        <f t="shared" ca="1" si="88"/>
        <v>1.4210854715202004E-14</v>
      </c>
      <c r="J317" s="26" t="s">
        <v>148</v>
      </c>
      <c r="L317" s="49" cm="1">
        <f t="array" aca="1" ref="L317:BS317" ca="1">HM_ZA_Nkossa!CA_excess_CR_cont*HM_ZA_Nkossa!CA_rev_oil_perc</f>
        <v>0</v>
      </c>
      <c r="M317" s="49">
        <f ca="1"/>
        <v>0</v>
      </c>
      <c r="N317" s="49">
        <f ca="1"/>
        <v>0</v>
      </c>
      <c r="O317" s="49">
        <f ca="1"/>
        <v>0</v>
      </c>
      <c r="P317" s="49">
        <f ca="1"/>
        <v>0</v>
      </c>
      <c r="Q317" s="49">
        <f ca="1"/>
        <v>1.4210854715202004E-14</v>
      </c>
      <c r="R317" s="49">
        <f ca="1"/>
        <v>0</v>
      </c>
      <c r="S317" s="49">
        <f ca="1"/>
        <v>0</v>
      </c>
      <c r="T317" s="49">
        <f ca="1"/>
        <v>0</v>
      </c>
      <c r="U317" s="49">
        <f ca="1"/>
        <v>0</v>
      </c>
      <c r="V317" s="49">
        <f ca="1"/>
        <v>0</v>
      </c>
      <c r="W317" s="49">
        <f ca="1"/>
        <v>0</v>
      </c>
      <c r="X317" s="49">
        <f ca="1"/>
        <v>0</v>
      </c>
      <c r="Y317" s="49">
        <f ca="1"/>
        <v>0</v>
      </c>
      <c r="Z317" s="49">
        <f ca="1"/>
        <v>0</v>
      </c>
      <c r="AA317" s="49">
        <f ca="1"/>
        <v>0</v>
      </c>
      <c r="AB317" s="49">
        <f ca="1"/>
        <v>0</v>
      </c>
      <c r="AC317" s="49">
        <f ca="1"/>
        <v>0</v>
      </c>
      <c r="AD317" s="49">
        <f ca="1"/>
        <v>0</v>
      </c>
      <c r="AE317" s="49">
        <f ca="1"/>
        <v>0</v>
      </c>
      <c r="AF317" s="49">
        <f ca="1"/>
        <v>0</v>
      </c>
      <c r="AG317" s="49">
        <f ca="1"/>
        <v>0</v>
      </c>
      <c r="AH317" s="49">
        <f ca="1"/>
        <v>0</v>
      </c>
      <c r="AI317" s="49">
        <f ca="1"/>
        <v>0</v>
      </c>
      <c r="AJ317" s="49">
        <f ca="1"/>
        <v>0</v>
      </c>
      <c r="AK317" s="49">
        <f ca="1"/>
        <v>0</v>
      </c>
      <c r="AL317" s="49">
        <f ca="1"/>
        <v>0</v>
      </c>
      <c r="AM317" s="49">
        <f ca="1"/>
        <v>0</v>
      </c>
      <c r="AN317" s="49">
        <f ca="1"/>
        <v>0</v>
      </c>
      <c r="AO317" s="49">
        <f ca="1"/>
        <v>0</v>
      </c>
      <c r="AP317" s="49">
        <f ca="1"/>
        <v>0</v>
      </c>
      <c r="AQ317" s="49">
        <f ca="1"/>
        <v>0</v>
      </c>
      <c r="AR317" s="49">
        <f ca="1"/>
        <v>0</v>
      </c>
      <c r="AS317" s="49">
        <f ca="1"/>
        <v>0</v>
      </c>
      <c r="AT317" s="49">
        <f ca="1"/>
        <v>0</v>
      </c>
      <c r="AU317" s="49">
        <f ca="1"/>
        <v>0</v>
      </c>
      <c r="AV317" s="49">
        <f ca="1"/>
        <v>0</v>
      </c>
      <c r="AW317" s="49">
        <f ca="1"/>
        <v>0</v>
      </c>
      <c r="AX317" s="49">
        <f ca="1"/>
        <v>0</v>
      </c>
      <c r="AY317" s="49">
        <f ca="1"/>
        <v>0</v>
      </c>
      <c r="AZ317" s="49">
        <f ca="1"/>
        <v>0</v>
      </c>
      <c r="BA317" s="49">
        <f ca="1"/>
        <v>0</v>
      </c>
      <c r="BB317" s="49">
        <f ca="1"/>
        <v>0</v>
      </c>
      <c r="BC317" s="49">
        <f ca="1"/>
        <v>0</v>
      </c>
      <c r="BD317" s="49">
        <f ca="1"/>
        <v>0</v>
      </c>
      <c r="BE317" s="49">
        <f ca="1"/>
        <v>0</v>
      </c>
      <c r="BF317" s="49">
        <f ca="1"/>
        <v>0</v>
      </c>
      <c r="BG317" s="49">
        <f ca="1"/>
        <v>0</v>
      </c>
      <c r="BH317" s="49">
        <f ca="1"/>
        <v>0</v>
      </c>
      <c r="BI317" s="49">
        <f ca="1"/>
        <v>0</v>
      </c>
      <c r="BJ317" s="49">
        <f ca="1"/>
        <v>0</v>
      </c>
      <c r="BK317" s="49">
        <f ca="1"/>
        <v>0</v>
      </c>
      <c r="BL317" s="49">
        <f ca="1"/>
        <v>0</v>
      </c>
      <c r="BM317" s="49">
        <f ca="1"/>
        <v>0</v>
      </c>
      <c r="BN317" s="49">
        <f ca="1"/>
        <v>0</v>
      </c>
      <c r="BO317" s="49">
        <f ca="1"/>
        <v>0</v>
      </c>
      <c r="BP317" s="49">
        <f ca="1"/>
        <v>0</v>
      </c>
      <c r="BQ317" s="49">
        <f ca="1"/>
        <v>0</v>
      </c>
      <c r="BR317" s="49">
        <f ca="1"/>
        <v>0</v>
      </c>
      <c r="BS317" s="49">
        <f ca="1"/>
        <v>0</v>
      </c>
    </row>
    <row r="318" spans="1:71" outlineLevel="1" x14ac:dyDescent="0.2">
      <c r="D318" t="str">
        <f>CHOOSE(db_ML_selected,'Liste Traduction'!B339,'Liste Traduction'!C339)</f>
        <v>Super Profit Oil</v>
      </c>
      <c r="I318" s="30">
        <f t="shared" ca="1" si="88"/>
        <v>220.62287334239193</v>
      </c>
      <c r="J318" s="26" t="s">
        <v>148</v>
      </c>
      <c r="L318" s="49" cm="1">
        <f t="array" aca="1" ref="L318:BS318" ca="1">HM_ZA_Nkossa!CA_SPO_cont</f>
        <v>95.627167684499966</v>
      </c>
      <c r="M318" s="49">
        <f ca="1"/>
        <v>94.353387300974987</v>
      </c>
      <c r="N318" s="49">
        <f ca="1"/>
        <v>19.441208083499987</v>
      </c>
      <c r="O318" s="49">
        <f ca="1"/>
        <v>10.960501964250007</v>
      </c>
      <c r="P318" s="49">
        <f ca="1"/>
        <v>0</v>
      </c>
      <c r="Q318" s="49">
        <f ca="1"/>
        <v>0.24060830916697523</v>
      </c>
      <c r="R318" s="49">
        <f ca="1"/>
        <v>0</v>
      </c>
      <c r="S318" s="49">
        <f ca="1"/>
        <v>0</v>
      </c>
      <c r="T318" s="49">
        <f ca="1"/>
        <v>0</v>
      </c>
      <c r="U318" s="49">
        <f ca="1"/>
        <v>0</v>
      </c>
      <c r="V318" s="49">
        <f ca="1"/>
        <v>0</v>
      </c>
      <c r="W318" s="49">
        <f ca="1"/>
        <v>0</v>
      </c>
      <c r="X318" s="49">
        <f ca="1"/>
        <v>0</v>
      </c>
      <c r="Y318" s="49">
        <f ca="1"/>
        <v>0</v>
      </c>
      <c r="Z318" s="49">
        <f ca="1"/>
        <v>0</v>
      </c>
      <c r="AA318" s="49">
        <f ca="1"/>
        <v>0</v>
      </c>
      <c r="AB318" s="49">
        <f ca="1"/>
        <v>0</v>
      </c>
      <c r="AC318" s="49">
        <f ca="1"/>
        <v>0</v>
      </c>
      <c r="AD318" s="49">
        <f ca="1"/>
        <v>0</v>
      </c>
      <c r="AE318" s="49">
        <f ca="1"/>
        <v>0</v>
      </c>
      <c r="AF318" s="49">
        <f ca="1"/>
        <v>0</v>
      </c>
      <c r="AG318" s="49">
        <f ca="1"/>
        <v>0</v>
      </c>
      <c r="AH318" s="49">
        <f ca="1"/>
        <v>0</v>
      </c>
      <c r="AI318" s="49">
        <f ca="1"/>
        <v>0</v>
      </c>
      <c r="AJ318" s="49">
        <f ca="1"/>
        <v>0</v>
      </c>
      <c r="AK318" s="49">
        <f ca="1"/>
        <v>0</v>
      </c>
      <c r="AL318" s="49">
        <f ca="1"/>
        <v>0</v>
      </c>
      <c r="AM318" s="49">
        <f ca="1"/>
        <v>0</v>
      </c>
      <c r="AN318" s="49">
        <f ca="1"/>
        <v>0</v>
      </c>
      <c r="AO318" s="49">
        <f ca="1"/>
        <v>0</v>
      </c>
      <c r="AP318" s="49">
        <f ca="1"/>
        <v>0</v>
      </c>
      <c r="AQ318" s="49">
        <f ca="1"/>
        <v>0</v>
      </c>
      <c r="AR318" s="49">
        <f ca="1"/>
        <v>0</v>
      </c>
      <c r="AS318" s="49">
        <f ca="1"/>
        <v>0</v>
      </c>
      <c r="AT318" s="49">
        <f ca="1"/>
        <v>0</v>
      </c>
      <c r="AU318" s="49">
        <f ca="1"/>
        <v>0</v>
      </c>
      <c r="AV318" s="49">
        <f ca="1"/>
        <v>0</v>
      </c>
      <c r="AW318" s="49">
        <f ca="1"/>
        <v>0</v>
      </c>
      <c r="AX318" s="49">
        <f ca="1"/>
        <v>0</v>
      </c>
      <c r="AY318" s="49">
        <f ca="1"/>
        <v>0</v>
      </c>
      <c r="AZ318" s="49">
        <f ca="1"/>
        <v>0</v>
      </c>
      <c r="BA318" s="49">
        <f ca="1"/>
        <v>0</v>
      </c>
      <c r="BB318" s="49">
        <f ca="1"/>
        <v>0</v>
      </c>
      <c r="BC318" s="49">
        <f ca="1"/>
        <v>0</v>
      </c>
      <c r="BD318" s="49">
        <f ca="1"/>
        <v>0</v>
      </c>
      <c r="BE318" s="49">
        <f ca="1"/>
        <v>0</v>
      </c>
      <c r="BF318" s="49">
        <f ca="1"/>
        <v>0</v>
      </c>
      <c r="BG318" s="49">
        <f ca="1"/>
        <v>0</v>
      </c>
      <c r="BH318" s="49">
        <f ca="1"/>
        <v>0</v>
      </c>
      <c r="BI318" s="49">
        <f ca="1"/>
        <v>0</v>
      </c>
      <c r="BJ318" s="49">
        <f ca="1"/>
        <v>0</v>
      </c>
      <c r="BK318" s="49">
        <f ca="1"/>
        <v>0</v>
      </c>
      <c r="BL318" s="49">
        <f ca="1"/>
        <v>0</v>
      </c>
      <c r="BM318" s="49">
        <f ca="1"/>
        <v>0</v>
      </c>
      <c r="BN318" s="49">
        <f ca="1"/>
        <v>0</v>
      </c>
      <c r="BO318" s="49">
        <f ca="1"/>
        <v>0</v>
      </c>
      <c r="BP318" s="49">
        <f ca="1"/>
        <v>0</v>
      </c>
      <c r="BQ318" s="49">
        <f ca="1"/>
        <v>0</v>
      </c>
      <c r="BR318" s="49">
        <f ca="1"/>
        <v>0</v>
      </c>
      <c r="BS318" s="49">
        <f ca="1"/>
        <v>0</v>
      </c>
    </row>
    <row r="319" spans="1:71" outlineLevel="1" x14ac:dyDescent="0.2">
      <c r="D319" t="str">
        <f>CHOOSE(db_ML_selected,'Liste Traduction'!B347,'Liste Traduction'!C347)</f>
        <v>Profit Oil</v>
      </c>
      <c r="I319" s="30">
        <f t="shared" ca="1" si="88"/>
        <v>669.23481505557504</v>
      </c>
      <c r="J319" s="26" t="s">
        <v>148</v>
      </c>
      <c r="L319" s="49" cm="1">
        <f t="array" aca="1" ref="L319:BS319" ca="1">HM_ZA_Nkossa!CA_PS_cont*HM_ZA_Nkossa!CA_rev_oil_perc</f>
        <v>53.617826096800002</v>
      </c>
      <c r="M319" s="49">
        <f ca="1"/>
        <v>66.240045269045027</v>
      </c>
      <c r="N319" s="49">
        <f ca="1"/>
        <v>57.555824903320008</v>
      </c>
      <c r="O319" s="49">
        <f ca="1"/>
        <v>63.023013784309988</v>
      </c>
      <c r="P319" s="49">
        <f ca="1"/>
        <v>65.006042683650023</v>
      </c>
      <c r="Q319" s="49">
        <f ca="1"/>
        <v>69.36728449349998</v>
      </c>
      <c r="R319" s="49">
        <f ca="1"/>
        <v>66.5478078891</v>
      </c>
      <c r="S319" s="49">
        <f ca="1"/>
        <v>30.836044714999986</v>
      </c>
      <c r="T319" s="49">
        <f ca="1"/>
        <v>41.963297605631979</v>
      </c>
      <c r="U319" s="49">
        <f ca="1"/>
        <v>41.889866376959986</v>
      </c>
      <c r="V319" s="49">
        <f ca="1"/>
        <v>39.736727245184241</v>
      </c>
      <c r="W319" s="49">
        <f ca="1"/>
        <v>37.694259464781766</v>
      </c>
      <c r="X319" s="49">
        <f ca="1"/>
        <v>35.756774528291984</v>
      </c>
      <c r="Y319" s="49">
        <f ca="1"/>
        <v>0</v>
      </c>
      <c r="Z319" s="49">
        <f ca="1"/>
        <v>0</v>
      </c>
      <c r="AA319" s="49">
        <f ca="1"/>
        <v>0</v>
      </c>
      <c r="AB319" s="49">
        <f ca="1"/>
        <v>0</v>
      </c>
      <c r="AC319" s="49">
        <f ca="1"/>
        <v>0</v>
      </c>
      <c r="AD319" s="49">
        <f ca="1"/>
        <v>0</v>
      </c>
      <c r="AE319" s="49">
        <f ca="1"/>
        <v>0</v>
      </c>
      <c r="AF319" s="49">
        <f ca="1"/>
        <v>0</v>
      </c>
      <c r="AG319" s="49">
        <f ca="1"/>
        <v>0</v>
      </c>
      <c r="AH319" s="49">
        <f ca="1"/>
        <v>0</v>
      </c>
      <c r="AI319" s="49">
        <f ca="1"/>
        <v>0</v>
      </c>
      <c r="AJ319" s="49">
        <f ca="1"/>
        <v>0</v>
      </c>
      <c r="AK319" s="49">
        <f ca="1"/>
        <v>0</v>
      </c>
      <c r="AL319" s="49">
        <f ca="1"/>
        <v>0</v>
      </c>
      <c r="AM319" s="49">
        <f ca="1"/>
        <v>0</v>
      </c>
      <c r="AN319" s="49">
        <f ca="1"/>
        <v>0</v>
      </c>
      <c r="AO319" s="49">
        <f ca="1"/>
        <v>0</v>
      </c>
      <c r="AP319" s="49">
        <f ca="1"/>
        <v>0</v>
      </c>
      <c r="AQ319" s="49">
        <f ca="1"/>
        <v>0</v>
      </c>
      <c r="AR319" s="49">
        <f ca="1"/>
        <v>0</v>
      </c>
      <c r="AS319" s="49">
        <f ca="1"/>
        <v>0</v>
      </c>
      <c r="AT319" s="49">
        <f ca="1"/>
        <v>0</v>
      </c>
      <c r="AU319" s="49">
        <f ca="1"/>
        <v>0</v>
      </c>
      <c r="AV319" s="49">
        <f ca="1"/>
        <v>0</v>
      </c>
      <c r="AW319" s="49">
        <f ca="1"/>
        <v>0</v>
      </c>
      <c r="AX319" s="49">
        <f ca="1"/>
        <v>0</v>
      </c>
      <c r="AY319" s="49">
        <f ca="1"/>
        <v>0</v>
      </c>
      <c r="AZ319" s="49">
        <f ca="1"/>
        <v>0</v>
      </c>
      <c r="BA319" s="49">
        <f ca="1"/>
        <v>0</v>
      </c>
      <c r="BB319" s="49">
        <f ca="1"/>
        <v>0</v>
      </c>
      <c r="BC319" s="49">
        <f ca="1"/>
        <v>0</v>
      </c>
      <c r="BD319" s="49">
        <f ca="1"/>
        <v>0</v>
      </c>
      <c r="BE319" s="49">
        <f ca="1"/>
        <v>0</v>
      </c>
      <c r="BF319" s="49">
        <f ca="1"/>
        <v>0</v>
      </c>
      <c r="BG319" s="49">
        <f ca="1"/>
        <v>0</v>
      </c>
      <c r="BH319" s="49">
        <f ca="1"/>
        <v>0</v>
      </c>
      <c r="BI319" s="49">
        <f ca="1"/>
        <v>0</v>
      </c>
      <c r="BJ319" s="49">
        <f ca="1"/>
        <v>0</v>
      </c>
      <c r="BK319" s="49">
        <f ca="1"/>
        <v>0</v>
      </c>
      <c r="BL319" s="49">
        <f ca="1"/>
        <v>0</v>
      </c>
      <c r="BM319" s="49">
        <f ca="1"/>
        <v>0</v>
      </c>
      <c r="BN319" s="49">
        <f ca="1"/>
        <v>0</v>
      </c>
      <c r="BO319" s="49">
        <f ca="1"/>
        <v>0</v>
      </c>
      <c r="BP319" s="49">
        <f ca="1"/>
        <v>0</v>
      </c>
      <c r="BQ319" s="49">
        <f ca="1"/>
        <v>0</v>
      </c>
      <c r="BR319" s="49">
        <f ca="1"/>
        <v>0</v>
      </c>
      <c r="BS319" s="49">
        <f ca="1"/>
        <v>0</v>
      </c>
    </row>
    <row r="320" spans="1:71" outlineLevel="1" x14ac:dyDescent="0.2">
      <c r="D320" s="11" t="s">
        <v>129</v>
      </c>
      <c r="I320" s="30">
        <f t="shared" ca="1" si="88"/>
        <v>3094.8455910902508</v>
      </c>
      <c r="J320" s="26" t="s">
        <v>148</v>
      </c>
      <c r="K320" s="7" t="s">
        <v>247</v>
      </c>
      <c r="L320" s="49">
        <f ca="1">SUM(L316:L319)</f>
        <v>290.34453614129995</v>
      </c>
      <c r="M320" s="49">
        <f t="shared" ref="M320:BS320" ca="1" si="89">SUM(M316:M319)</f>
        <v>334.90934117277004</v>
      </c>
      <c r="N320" s="49">
        <f t="shared" ca="1" si="89"/>
        <v>228.45973010082</v>
      </c>
      <c r="O320" s="49">
        <f t="shared" ca="1" si="89"/>
        <v>239.83355202306001</v>
      </c>
      <c r="P320" s="49">
        <f t="shared" ca="1" si="89"/>
        <v>303.36153252370008</v>
      </c>
      <c r="Q320" s="49">
        <f t="shared" ca="1" si="89"/>
        <v>323.95460261216704</v>
      </c>
      <c r="R320" s="49">
        <f t="shared" ca="1" si="89"/>
        <v>310.55643681580005</v>
      </c>
      <c r="S320" s="49">
        <f t="shared" ca="1" si="89"/>
        <v>143.90154200333333</v>
      </c>
      <c r="T320" s="49">
        <f t="shared" ca="1" si="89"/>
        <v>195.82872215961595</v>
      </c>
      <c r="U320" s="49">
        <f t="shared" ca="1" si="89"/>
        <v>195.48604309247997</v>
      </c>
      <c r="V320" s="49">
        <f t="shared" ca="1" si="89"/>
        <v>185.43806047752651</v>
      </c>
      <c r="W320" s="49">
        <f t="shared" ca="1" si="89"/>
        <v>175.90654416898161</v>
      </c>
      <c r="X320" s="49">
        <f t="shared" ca="1" si="89"/>
        <v>166.86494779869594</v>
      </c>
      <c r="Y320" s="49">
        <f t="shared" ca="1" si="89"/>
        <v>0</v>
      </c>
      <c r="Z320" s="49">
        <f t="shared" ca="1" si="89"/>
        <v>0</v>
      </c>
      <c r="AA320" s="49">
        <f t="shared" ca="1" si="89"/>
        <v>0</v>
      </c>
      <c r="AB320" s="49">
        <f t="shared" ca="1" si="89"/>
        <v>0</v>
      </c>
      <c r="AC320" s="49">
        <f t="shared" ca="1" si="89"/>
        <v>0</v>
      </c>
      <c r="AD320" s="49">
        <f t="shared" ca="1" si="89"/>
        <v>0</v>
      </c>
      <c r="AE320" s="49">
        <f t="shared" ca="1" si="89"/>
        <v>0</v>
      </c>
      <c r="AF320" s="49">
        <f t="shared" ca="1" si="89"/>
        <v>0</v>
      </c>
      <c r="AG320" s="49">
        <f t="shared" ca="1" si="89"/>
        <v>0</v>
      </c>
      <c r="AH320" s="49">
        <f t="shared" ca="1" si="89"/>
        <v>0</v>
      </c>
      <c r="AI320" s="49">
        <f t="shared" ca="1" si="89"/>
        <v>0</v>
      </c>
      <c r="AJ320" s="49">
        <f t="shared" ca="1" si="89"/>
        <v>0</v>
      </c>
      <c r="AK320" s="49">
        <f t="shared" ca="1" si="89"/>
        <v>0</v>
      </c>
      <c r="AL320" s="49">
        <f t="shared" ca="1" si="89"/>
        <v>0</v>
      </c>
      <c r="AM320" s="49">
        <f t="shared" ca="1" si="89"/>
        <v>0</v>
      </c>
      <c r="AN320" s="49">
        <f t="shared" ca="1" si="89"/>
        <v>0</v>
      </c>
      <c r="AO320" s="49">
        <f t="shared" ca="1" si="89"/>
        <v>0</v>
      </c>
      <c r="AP320" s="49">
        <f t="shared" ca="1" si="89"/>
        <v>0</v>
      </c>
      <c r="AQ320" s="49">
        <f t="shared" ca="1" si="89"/>
        <v>0</v>
      </c>
      <c r="AR320" s="49">
        <f t="shared" ca="1" si="89"/>
        <v>0</v>
      </c>
      <c r="AS320" s="49">
        <f t="shared" ca="1" si="89"/>
        <v>0</v>
      </c>
      <c r="AT320" s="49">
        <f t="shared" ca="1" si="89"/>
        <v>0</v>
      </c>
      <c r="AU320" s="49">
        <f t="shared" ca="1" si="89"/>
        <v>0</v>
      </c>
      <c r="AV320" s="49">
        <f t="shared" ca="1" si="89"/>
        <v>0</v>
      </c>
      <c r="AW320" s="49">
        <f t="shared" ca="1" si="89"/>
        <v>0</v>
      </c>
      <c r="AX320" s="49">
        <f t="shared" ca="1" si="89"/>
        <v>0</v>
      </c>
      <c r="AY320" s="49">
        <f t="shared" ca="1" si="89"/>
        <v>0</v>
      </c>
      <c r="AZ320" s="49">
        <f t="shared" ca="1" si="89"/>
        <v>0</v>
      </c>
      <c r="BA320" s="49">
        <f t="shared" ca="1" si="89"/>
        <v>0</v>
      </c>
      <c r="BB320" s="49">
        <f t="shared" ca="1" si="89"/>
        <v>0</v>
      </c>
      <c r="BC320" s="49">
        <f t="shared" ca="1" si="89"/>
        <v>0</v>
      </c>
      <c r="BD320" s="49">
        <f t="shared" ca="1" si="89"/>
        <v>0</v>
      </c>
      <c r="BE320" s="49">
        <f t="shared" ca="1" si="89"/>
        <v>0</v>
      </c>
      <c r="BF320" s="49">
        <f t="shared" ca="1" si="89"/>
        <v>0</v>
      </c>
      <c r="BG320" s="49">
        <f t="shared" ca="1" si="89"/>
        <v>0</v>
      </c>
      <c r="BH320" s="49">
        <f t="shared" ca="1" si="89"/>
        <v>0</v>
      </c>
      <c r="BI320" s="49">
        <f t="shared" ca="1" si="89"/>
        <v>0</v>
      </c>
      <c r="BJ320" s="49">
        <f t="shared" ca="1" si="89"/>
        <v>0</v>
      </c>
      <c r="BK320" s="49">
        <f t="shared" ca="1" si="89"/>
        <v>0</v>
      </c>
      <c r="BL320" s="49">
        <f t="shared" ca="1" si="89"/>
        <v>0</v>
      </c>
      <c r="BM320" s="49">
        <f t="shared" ca="1" si="89"/>
        <v>0</v>
      </c>
      <c r="BN320" s="49">
        <f t="shared" ca="1" si="89"/>
        <v>0</v>
      </c>
      <c r="BO320" s="49">
        <f t="shared" ca="1" si="89"/>
        <v>0</v>
      </c>
      <c r="BP320" s="49">
        <f t="shared" ca="1" si="89"/>
        <v>0</v>
      </c>
      <c r="BQ320" s="49">
        <f t="shared" ca="1" si="89"/>
        <v>0</v>
      </c>
      <c r="BR320" s="49">
        <f t="shared" ca="1" si="89"/>
        <v>0</v>
      </c>
      <c r="BS320" s="49">
        <f t="shared" ca="1" si="89"/>
        <v>0</v>
      </c>
    </row>
    <row r="321" spans="3:71" outlineLevel="1" x14ac:dyDescent="0.2">
      <c r="J321" s="26"/>
      <c r="L321" s="55"/>
      <c r="M321" s="55"/>
      <c r="N321" s="55"/>
      <c r="O321" s="55"/>
      <c r="P321" s="55"/>
      <c r="Q321" s="55"/>
      <c r="R321" s="55"/>
      <c r="S321" s="55"/>
      <c r="T321" s="55"/>
      <c r="U321" s="55"/>
      <c r="V321" s="55"/>
      <c r="W321" s="55"/>
      <c r="X321" s="55"/>
      <c r="Y321" s="55"/>
      <c r="Z321" s="55"/>
      <c r="AA321" s="55"/>
      <c r="AB321" s="55"/>
      <c r="AC321" s="55"/>
      <c r="AD321" s="55"/>
      <c r="AE321" s="55"/>
      <c r="AF321" s="55"/>
      <c r="AG321" s="55"/>
      <c r="AH321" s="55"/>
      <c r="AI321" s="55"/>
      <c r="AJ321" s="55"/>
      <c r="AK321" s="55"/>
      <c r="AL321" s="55"/>
      <c r="AM321" s="55"/>
      <c r="AN321" s="55"/>
      <c r="AO321" s="55"/>
      <c r="AP321" s="55"/>
      <c r="AQ321" s="55"/>
      <c r="AR321" s="55"/>
      <c r="AS321" s="55"/>
      <c r="AT321" s="55"/>
      <c r="AU321" s="55"/>
      <c r="AV321" s="55"/>
      <c r="AW321" s="55"/>
      <c r="AX321" s="55"/>
      <c r="AY321" s="55"/>
      <c r="AZ321" s="55"/>
      <c r="BA321" s="55"/>
      <c r="BB321" s="55"/>
      <c r="BC321" s="55"/>
      <c r="BD321" s="55"/>
      <c r="BE321" s="55"/>
      <c r="BF321" s="55"/>
      <c r="BG321" s="55"/>
      <c r="BH321" s="55"/>
      <c r="BI321" s="55"/>
      <c r="BJ321" s="55"/>
      <c r="BK321" s="55"/>
      <c r="BL321" s="55"/>
      <c r="BM321" s="55"/>
      <c r="BN321" s="55"/>
      <c r="BO321" s="55"/>
      <c r="BP321" s="55"/>
      <c r="BQ321" s="55"/>
      <c r="BR321" s="55"/>
      <c r="BS321" s="55"/>
    </row>
    <row r="322" spans="3:71" outlineLevel="1" x14ac:dyDescent="0.2">
      <c r="C322" s="11" t="str">
        <f>CHOOSE(db_ML_selected,'Liste Traduction'!B360,'Liste Traduction'!C360)</f>
        <v>Revenus des droits - Gaz</v>
      </c>
      <c r="J322" s="26"/>
      <c r="L322" s="55"/>
      <c r="M322" s="55"/>
      <c r="N322" s="55"/>
      <c r="O322" s="55"/>
      <c r="P322" s="55"/>
      <c r="Q322" s="55"/>
      <c r="R322" s="55"/>
      <c r="S322" s="55"/>
      <c r="T322" s="55"/>
      <c r="U322" s="55"/>
      <c r="V322" s="55"/>
      <c r="W322" s="55"/>
      <c r="X322" s="55"/>
      <c r="Y322" s="55"/>
      <c r="Z322" s="55"/>
      <c r="AA322" s="55"/>
      <c r="AB322" s="55"/>
      <c r="AC322" s="55"/>
      <c r="AD322" s="55"/>
      <c r="AE322" s="55"/>
      <c r="AF322" s="55"/>
      <c r="AG322" s="55"/>
      <c r="AH322" s="55"/>
      <c r="AI322" s="55"/>
      <c r="AJ322" s="55"/>
      <c r="AK322" s="55"/>
      <c r="AL322" s="55"/>
      <c r="AM322" s="55"/>
      <c r="AN322" s="55"/>
      <c r="AO322" s="55"/>
      <c r="AP322" s="55"/>
      <c r="AQ322" s="55"/>
      <c r="AR322" s="55"/>
      <c r="AS322" s="55"/>
      <c r="AT322" s="55"/>
      <c r="AU322" s="55"/>
      <c r="AV322" s="55"/>
      <c r="AW322" s="55"/>
      <c r="AX322" s="55"/>
      <c r="AY322" s="55"/>
      <c r="AZ322" s="55"/>
      <c r="BA322" s="55"/>
      <c r="BB322" s="55"/>
      <c r="BC322" s="55"/>
      <c r="BD322" s="55"/>
      <c r="BE322" s="55"/>
      <c r="BF322" s="55"/>
      <c r="BG322" s="55"/>
      <c r="BH322" s="55"/>
      <c r="BI322" s="55"/>
      <c r="BJ322" s="55"/>
      <c r="BK322" s="55"/>
      <c r="BL322" s="55"/>
      <c r="BM322" s="55"/>
      <c r="BN322" s="55"/>
      <c r="BO322" s="55"/>
      <c r="BP322" s="55"/>
      <c r="BQ322" s="55"/>
      <c r="BR322" s="55"/>
      <c r="BS322" s="55"/>
    </row>
    <row r="323" spans="3:71" outlineLevel="1" x14ac:dyDescent="0.2">
      <c r="D323" t="str">
        <f>CHOOSE(db_ML_selected,'Liste Traduction'!B361,'Liste Traduction'!C361)</f>
        <v>Cost Gaz</v>
      </c>
      <c r="I323" s="30">
        <f t="shared" ref="I323:I326" ca="1" si="90">SUM($L323:$BS323)</f>
        <v>0</v>
      </c>
      <c r="J323" s="26" t="s">
        <v>148</v>
      </c>
      <c r="L323" s="49" cm="1">
        <f t="array" aca="1" ref="L323:BS323" ca="1">HM_ZA_Nkossa!CA_cost_recovered_total*HM_ZA_Nkossa!CA_rev_gas_perc</f>
        <v>0</v>
      </c>
      <c r="M323" s="49">
        <f ca="1"/>
        <v>0</v>
      </c>
      <c r="N323" s="49">
        <f ca="1"/>
        <v>0</v>
      </c>
      <c r="O323" s="49">
        <f ca="1"/>
        <v>0</v>
      </c>
      <c r="P323" s="49">
        <f ca="1"/>
        <v>0</v>
      </c>
      <c r="Q323" s="49">
        <f ca="1"/>
        <v>0</v>
      </c>
      <c r="R323" s="49">
        <f ca="1"/>
        <v>0</v>
      </c>
      <c r="S323" s="49">
        <f ca="1"/>
        <v>0</v>
      </c>
      <c r="T323" s="49">
        <f ca="1"/>
        <v>0</v>
      </c>
      <c r="U323" s="49">
        <f ca="1"/>
        <v>0</v>
      </c>
      <c r="V323" s="49">
        <f ca="1"/>
        <v>0</v>
      </c>
      <c r="W323" s="49">
        <f ca="1"/>
        <v>0</v>
      </c>
      <c r="X323" s="49">
        <f ca="1"/>
        <v>0</v>
      </c>
      <c r="Y323" s="49">
        <f ca="1"/>
        <v>0</v>
      </c>
      <c r="Z323" s="49">
        <f ca="1"/>
        <v>0</v>
      </c>
      <c r="AA323" s="49">
        <f ca="1"/>
        <v>0</v>
      </c>
      <c r="AB323" s="49">
        <f ca="1"/>
        <v>0</v>
      </c>
      <c r="AC323" s="49">
        <f ca="1"/>
        <v>0</v>
      </c>
      <c r="AD323" s="49">
        <f ca="1"/>
        <v>0</v>
      </c>
      <c r="AE323" s="49">
        <f ca="1"/>
        <v>0</v>
      </c>
      <c r="AF323" s="49">
        <f ca="1"/>
        <v>0</v>
      </c>
      <c r="AG323" s="49">
        <f ca="1"/>
        <v>0</v>
      </c>
      <c r="AH323" s="49">
        <f ca="1"/>
        <v>0</v>
      </c>
      <c r="AI323" s="49">
        <f ca="1"/>
        <v>0</v>
      </c>
      <c r="AJ323" s="49">
        <f ca="1"/>
        <v>0</v>
      </c>
      <c r="AK323" s="49">
        <f ca="1"/>
        <v>0</v>
      </c>
      <c r="AL323" s="49">
        <f ca="1"/>
        <v>0</v>
      </c>
      <c r="AM323" s="49">
        <f ca="1"/>
        <v>0</v>
      </c>
      <c r="AN323" s="49">
        <f ca="1"/>
        <v>0</v>
      </c>
      <c r="AO323" s="49">
        <f ca="1"/>
        <v>0</v>
      </c>
      <c r="AP323" s="49">
        <f ca="1"/>
        <v>0</v>
      </c>
      <c r="AQ323" s="49">
        <f ca="1"/>
        <v>0</v>
      </c>
      <c r="AR323" s="49">
        <f ca="1"/>
        <v>0</v>
      </c>
      <c r="AS323" s="49">
        <f ca="1"/>
        <v>0</v>
      </c>
      <c r="AT323" s="49">
        <f ca="1"/>
        <v>0</v>
      </c>
      <c r="AU323" s="49">
        <f ca="1"/>
        <v>0</v>
      </c>
      <c r="AV323" s="49">
        <f ca="1"/>
        <v>0</v>
      </c>
      <c r="AW323" s="49">
        <f ca="1"/>
        <v>0</v>
      </c>
      <c r="AX323" s="49">
        <f ca="1"/>
        <v>0</v>
      </c>
      <c r="AY323" s="49">
        <f ca="1"/>
        <v>0</v>
      </c>
      <c r="AZ323" s="49">
        <f ca="1"/>
        <v>0</v>
      </c>
      <c r="BA323" s="49">
        <f ca="1"/>
        <v>0</v>
      </c>
      <c r="BB323" s="49">
        <f ca="1"/>
        <v>0</v>
      </c>
      <c r="BC323" s="49">
        <f ca="1"/>
        <v>0</v>
      </c>
      <c r="BD323" s="49">
        <f ca="1"/>
        <v>0</v>
      </c>
      <c r="BE323" s="49">
        <f ca="1"/>
        <v>0</v>
      </c>
      <c r="BF323" s="49">
        <f ca="1"/>
        <v>0</v>
      </c>
      <c r="BG323" s="49">
        <f ca="1"/>
        <v>0</v>
      </c>
      <c r="BH323" s="49">
        <f ca="1"/>
        <v>0</v>
      </c>
      <c r="BI323" s="49">
        <f ca="1"/>
        <v>0</v>
      </c>
      <c r="BJ323" s="49">
        <f ca="1"/>
        <v>0</v>
      </c>
      <c r="BK323" s="49">
        <f ca="1"/>
        <v>0</v>
      </c>
      <c r="BL323" s="49">
        <f ca="1"/>
        <v>0</v>
      </c>
      <c r="BM323" s="49">
        <f ca="1"/>
        <v>0</v>
      </c>
      <c r="BN323" s="49">
        <f ca="1"/>
        <v>0</v>
      </c>
      <c r="BO323" s="49">
        <f ca="1"/>
        <v>0</v>
      </c>
      <c r="BP323" s="49">
        <f ca="1"/>
        <v>0</v>
      </c>
      <c r="BQ323" s="49">
        <f ca="1"/>
        <v>0</v>
      </c>
      <c r="BR323" s="49">
        <f ca="1"/>
        <v>0</v>
      </c>
      <c r="BS323" s="49">
        <f ca="1"/>
        <v>0</v>
      </c>
    </row>
    <row r="324" spans="3:71" outlineLevel="1" x14ac:dyDescent="0.2">
      <c r="D324" t="str">
        <f>CHOOSE(db_ML_selected,'Liste Traduction'!B362,'Liste Traduction'!C362)</f>
        <v>Excess Cost Gaz</v>
      </c>
      <c r="I324" s="30">
        <f t="shared" ca="1" si="90"/>
        <v>0</v>
      </c>
      <c r="J324" s="26" t="s">
        <v>148</v>
      </c>
      <c r="L324" s="49" cm="1">
        <f t="array" aca="1" ref="L324:BS324" ca="1">HM_ZA_Nkossa!CA_excess_CR_cont*HM_ZA_Nkossa!CA_rev_gas_perc</f>
        <v>0</v>
      </c>
      <c r="M324" s="49">
        <f ca="1"/>
        <v>0</v>
      </c>
      <c r="N324" s="49">
        <f ca="1"/>
        <v>0</v>
      </c>
      <c r="O324" s="49">
        <f ca="1"/>
        <v>0</v>
      </c>
      <c r="P324" s="49">
        <f ca="1"/>
        <v>0</v>
      </c>
      <c r="Q324" s="49">
        <f ca="1"/>
        <v>0</v>
      </c>
      <c r="R324" s="49">
        <f ca="1"/>
        <v>0</v>
      </c>
      <c r="S324" s="49">
        <f ca="1"/>
        <v>0</v>
      </c>
      <c r="T324" s="49">
        <f ca="1"/>
        <v>0</v>
      </c>
      <c r="U324" s="49">
        <f ca="1"/>
        <v>0</v>
      </c>
      <c r="V324" s="49">
        <f ca="1"/>
        <v>0</v>
      </c>
      <c r="W324" s="49">
        <f ca="1"/>
        <v>0</v>
      </c>
      <c r="X324" s="49">
        <f ca="1"/>
        <v>0</v>
      </c>
      <c r="Y324" s="49">
        <f ca="1"/>
        <v>0</v>
      </c>
      <c r="Z324" s="49">
        <f ca="1"/>
        <v>0</v>
      </c>
      <c r="AA324" s="49">
        <f ca="1"/>
        <v>0</v>
      </c>
      <c r="AB324" s="49">
        <f ca="1"/>
        <v>0</v>
      </c>
      <c r="AC324" s="49">
        <f ca="1"/>
        <v>0</v>
      </c>
      <c r="AD324" s="49">
        <f ca="1"/>
        <v>0</v>
      </c>
      <c r="AE324" s="49">
        <f ca="1"/>
        <v>0</v>
      </c>
      <c r="AF324" s="49">
        <f ca="1"/>
        <v>0</v>
      </c>
      <c r="AG324" s="49">
        <f ca="1"/>
        <v>0</v>
      </c>
      <c r="AH324" s="49">
        <f ca="1"/>
        <v>0</v>
      </c>
      <c r="AI324" s="49">
        <f ca="1"/>
        <v>0</v>
      </c>
      <c r="AJ324" s="49">
        <f ca="1"/>
        <v>0</v>
      </c>
      <c r="AK324" s="49">
        <f ca="1"/>
        <v>0</v>
      </c>
      <c r="AL324" s="49">
        <f ca="1"/>
        <v>0</v>
      </c>
      <c r="AM324" s="49">
        <f ca="1"/>
        <v>0</v>
      </c>
      <c r="AN324" s="49">
        <f ca="1"/>
        <v>0</v>
      </c>
      <c r="AO324" s="49">
        <f ca="1"/>
        <v>0</v>
      </c>
      <c r="AP324" s="49">
        <f ca="1"/>
        <v>0</v>
      </c>
      <c r="AQ324" s="49">
        <f ca="1"/>
        <v>0</v>
      </c>
      <c r="AR324" s="49">
        <f ca="1"/>
        <v>0</v>
      </c>
      <c r="AS324" s="49">
        <f ca="1"/>
        <v>0</v>
      </c>
      <c r="AT324" s="49">
        <f ca="1"/>
        <v>0</v>
      </c>
      <c r="AU324" s="49">
        <f ca="1"/>
        <v>0</v>
      </c>
      <c r="AV324" s="49">
        <f ca="1"/>
        <v>0</v>
      </c>
      <c r="AW324" s="49">
        <f ca="1"/>
        <v>0</v>
      </c>
      <c r="AX324" s="49">
        <f ca="1"/>
        <v>0</v>
      </c>
      <c r="AY324" s="49">
        <f ca="1"/>
        <v>0</v>
      </c>
      <c r="AZ324" s="49">
        <f ca="1"/>
        <v>0</v>
      </c>
      <c r="BA324" s="49">
        <f ca="1"/>
        <v>0</v>
      </c>
      <c r="BB324" s="49">
        <f ca="1"/>
        <v>0</v>
      </c>
      <c r="BC324" s="49">
        <f ca="1"/>
        <v>0</v>
      </c>
      <c r="BD324" s="49">
        <f ca="1"/>
        <v>0</v>
      </c>
      <c r="BE324" s="49">
        <f ca="1"/>
        <v>0</v>
      </c>
      <c r="BF324" s="49">
        <f ca="1"/>
        <v>0</v>
      </c>
      <c r="BG324" s="49">
        <f ca="1"/>
        <v>0</v>
      </c>
      <c r="BH324" s="49">
        <f ca="1"/>
        <v>0</v>
      </c>
      <c r="BI324" s="49">
        <f ca="1"/>
        <v>0</v>
      </c>
      <c r="BJ324" s="49">
        <f ca="1"/>
        <v>0</v>
      </c>
      <c r="BK324" s="49">
        <f ca="1"/>
        <v>0</v>
      </c>
      <c r="BL324" s="49">
        <f ca="1"/>
        <v>0</v>
      </c>
      <c r="BM324" s="49">
        <f ca="1"/>
        <v>0</v>
      </c>
      <c r="BN324" s="49">
        <f ca="1"/>
        <v>0</v>
      </c>
      <c r="BO324" s="49">
        <f ca="1"/>
        <v>0</v>
      </c>
      <c r="BP324" s="49">
        <f ca="1"/>
        <v>0</v>
      </c>
      <c r="BQ324" s="49">
        <f ca="1"/>
        <v>0</v>
      </c>
      <c r="BR324" s="49">
        <f ca="1"/>
        <v>0</v>
      </c>
      <c r="BS324" s="49">
        <f ca="1"/>
        <v>0</v>
      </c>
    </row>
    <row r="325" spans="3:71" outlineLevel="1" x14ac:dyDescent="0.2">
      <c r="D325" t="str">
        <f>CHOOSE(db_ML_selected,'Liste Traduction'!B352,'Liste Traduction'!C352)</f>
        <v>Profit Gaz</v>
      </c>
      <c r="I325" s="30">
        <f t="shared" ca="1" si="90"/>
        <v>0</v>
      </c>
      <c r="J325" s="26" t="s">
        <v>148</v>
      </c>
      <c r="L325" s="49" cm="1">
        <f t="array" aca="1" ref="L325:BS325" ca="1">HM_ZA_Nkossa!CA_PS_cont*HM_ZA_Nkossa!CA_rev_gas_perc</f>
        <v>0</v>
      </c>
      <c r="M325" s="49">
        <f ca="1"/>
        <v>0</v>
      </c>
      <c r="N325" s="49">
        <f ca="1"/>
        <v>0</v>
      </c>
      <c r="O325" s="49">
        <f ca="1"/>
        <v>0</v>
      </c>
      <c r="P325" s="49">
        <f ca="1"/>
        <v>0</v>
      </c>
      <c r="Q325" s="49">
        <f ca="1"/>
        <v>0</v>
      </c>
      <c r="R325" s="49">
        <f ca="1"/>
        <v>0</v>
      </c>
      <c r="S325" s="49">
        <f ca="1"/>
        <v>0</v>
      </c>
      <c r="T325" s="49">
        <f ca="1"/>
        <v>0</v>
      </c>
      <c r="U325" s="49">
        <f ca="1"/>
        <v>0</v>
      </c>
      <c r="V325" s="49">
        <f ca="1"/>
        <v>0</v>
      </c>
      <c r="W325" s="49">
        <f ca="1"/>
        <v>0</v>
      </c>
      <c r="X325" s="49">
        <f ca="1"/>
        <v>0</v>
      </c>
      <c r="Y325" s="49">
        <f ca="1"/>
        <v>0</v>
      </c>
      <c r="Z325" s="49">
        <f ca="1"/>
        <v>0</v>
      </c>
      <c r="AA325" s="49">
        <f ca="1"/>
        <v>0</v>
      </c>
      <c r="AB325" s="49">
        <f ca="1"/>
        <v>0</v>
      </c>
      <c r="AC325" s="49">
        <f ca="1"/>
        <v>0</v>
      </c>
      <c r="AD325" s="49">
        <f ca="1"/>
        <v>0</v>
      </c>
      <c r="AE325" s="49">
        <f ca="1"/>
        <v>0</v>
      </c>
      <c r="AF325" s="49">
        <f ca="1"/>
        <v>0</v>
      </c>
      <c r="AG325" s="49">
        <f ca="1"/>
        <v>0</v>
      </c>
      <c r="AH325" s="49">
        <f ca="1"/>
        <v>0</v>
      </c>
      <c r="AI325" s="49">
        <f ca="1"/>
        <v>0</v>
      </c>
      <c r="AJ325" s="49">
        <f ca="1"/>
        <v>0</v>
      </c>
      <c r="AK325" s="49">
        <f ca="1"/>
        <v>0</v>
      </c>
      <c r="AL325" s="49">
        <f ca="1"/>
        <v>0</v>
      </c>
      <c r="AM325" s="49">
        <f ca="1"/>
        <v>0</v>
      </c>
      <c r="AN325" s="49">
        <f ca="1"/>
        <v>0</v>
      </c>
      <c r="AO325" s="49">
        <f ca="1"/>
        <v>0</v>
      </c>
      <c r="AP325" s="49">
        <f ca="1"/>
        <v>0</v>
      </c>
      <c r="AQ325" s="49">
        <f ca="1"/>
        <v>0</v>
      </c>
      <c r="AR325" s="49">
        <f ca="1"/>
        <v>0</v>
      </c>
      <c r="AS325" s="49">
        <f ca="1"/>
        <v>0</v>
      </c>
      <c r="AT325" s="49">
        <f ca="1"/>
        <v>0</v>
      </c>
      <c r="AU325" s="49">
        <f ca="1"/>
        <v>0</v>
      </c>
      <c r="AV325" s="49">
        <f ca="1"/>
        <v>0</v>
      </c>
      <c r="AW325" s="49">
        <f ca="1"/>
        <v>0</v>
      </c>
      <c r="AX325" s="49">
        <f ca="1"/>
        <v>0</v>
      </c>
      <c r="AY325" s="49">
        <f ca="1"/>
        <v>0</v>
      </c>
      <c r="AZ325" s="49">
        <f ca="1"/>
        <v>0</v>
      </c>
      <c r="BA325" s="49">
        <f ca="1"/>
        <v>0</v>
      </c>
      <c r="BB325" s="49">
        <f ca="1"/>
        <v>0</v>
      </c>
      <c r="BC325" s="49">
        <f ca="1"/>
        <v>0</v>
      </c>
      <c r="BD325" s="49">
        <f ca="1"/>
        <v>0</v>
      </c>
      <c r="BE325" s="49">
        <f ca="1"/>
        <v>0</v>
      </c>
      <c r="BF325" s="49">
        <f ca="1"/>
        <v>0</v>
      </c>
      <c r="BG325" s="49">
        <f ca="1"/>
        <v>0</v>
      </c>
      <c r="BH325" s="49">
        <f ca="1"/>
        <v>0</v>
      </c>
      <c r="BI325" s="49">
        <f ca="1"/>
        <v>0</v>
      </c>
      <c r="BJ325" s="49">
        <f ca="1"/>
        <v>0</v>
      </c>
      <c r="BK325" s="49">
        <f ca="1"/>
        <v>0</v>
      </c>
      <c r="BL325" s="49">
        <f ca="1"/>
        <v>0</v>
      </c>
      <c r="BM325" s="49">
        <f ca="1"/>
        <v>0</v>
      </c>
      <c r="BN325" s="49">
        <f ca="1"/>
        <v>0</v>
      </c>
      <c r="BO325" s="49">
        <f ca="1"/>
        <v>0</v>
      </c>
      <c r="BP325" s="49">
        <f ca="1"/>
        <v>0</v>
      </c>
      <c r="BQ325" s="49">
        <f ca="1"/>
        <v>0</v>
      </c>
      <c r="BR325" s="49">
        <f ca="1"/>
        <v>0</v>
      </c>
      <c r="BS325" s="49">
        <f ca="1"/>
        <v>0</v>
      </c>
    </row>
    <row r="326" spans="3:71" outlineLevel="1" x14ac:dyDescent="0.2">
      <c r="D326" s="11" t="s">
        <v>129</v>
      </c>
      <c r="I326" s="30">
        <f t="shared" ca="1" si="90"/>
        <v>0</v>
      </c>
      <c r="J326" s="26" t="s">
        <v>148</v>
      </c>
      <c r="K326" s="7" t="s">
        <v>251</v>
      </c>
      <c r="L326" s="49">
        <f t="shared" ref="L326:AQ326" ca="1" si="91">SUM(L323:L325)</f>
        <v>0</v>
      </c>
      <c r="M326" s="49">
        <f t="shared" ca="1" si="91"/>
        <v>0</v>
      </c>
      <c r="N326" s="49">
        <f t="shared" ca="1" si="91"/>
        <v>0</v>
      </c>
      <c r="O326" s="49">
        <f t="shared" ca="1" si="91"/>
        <v>0</v>
      </c>
      <c r="P326" s="49">
        <f t="shared" ca="1" si="91"/>
        <v>0</v>
      </c>
      <c r="Q326" s="49">
        <f t="shared" ca="1" si="91"/>
        <v>0</v>
      </c>
      <c r="R326" s="49">
        <f t="shared" ca="1" si="91"/>
        <v>0</v>
      </c>
      <c r="S326" s="49">
        <f t="shared" ca="1" si="91"/>
        <v>0</v>
      </c>
      <c r="T326" s="49">
        <f t="shared" ca="1" si="91"/>
        <v>0</v>
      </c>
      <c r="U326" s="49">
        <f t="shared" ca="1" si="91"/>
        <v>0</v>
      </c>
      <c r="V326" s="49">
        <f t="shared" ca="1" si="91"/>
        <v>0</v>
      </c>
      <c r="W326" s="49">
        <f t="shared" ca="1" si="91"/>
        <v>0</v>
      </c>
      <c r="X326" s="49">
        <f t="shared" ca="1" si="91"/>
        <v>0</v>
      </c>
      <c r="Y326" s="49">
        <f t="shared" ca="1" si="91"/>
        <v>0</v>
      </c>
      <c r="Z326" s="49">
        <f t="shared" ca="1" si="91"/>
        <v>0</v>
      </c>
      <c r="AA326" s="49">
        <f t="shared" ca="1" si="91"/>
        <v>0</v>
      </c>
      <c r="AB326" s="49">
        <f t="shared" ca="1" si="91"/>
        <v>0</v>
      </c>
      <c r="AC326" s="49">
        <f t="shared" ca="1" si="91"/>
        <v>0</v>
      </c>
      <c r="AD326" s="49">
        <f t="shared" ca="1" si="91"/>
        <v>0</v>
      </c>
      <c r="AE326" s="49">
        <f t="shared" ca="1" si="91"/>
        <v>0</v>
      </c>
      <c r="AF326" s="49">
        <f t="shared" ca="1" si="91"/>
        <v>0</v>
      </c>
      <c r="AG326" s="49">
        <f t="shared" ca="1" si="91"/>
        <v>0</v>
      </c>
      <c r="AH326" s="49">
        <f t="shared" ca="1" si="91"/>
        <v>0</v>
      </c>
      <c r="AI326" s="49">
        <f t="shared" ca="1" si="91"/>
        <v>0</v>
      </c>
      <c r="AJ326" s="49">
        <f t="shared" ca="1" si="91"/>
        <v>0</v>
      </c>
      <c r="AK326" s="49">
        <f t="shared" ca="1" si="91"/>
        <v>0</v>
      </c>
      <c r="AL326" s="49">
        <f t="shared" ca="1" si="91"/>
        <v>0</v>
      </c>
      <c r="AM326" s="49">
        <f t="shared" ca="1" si="91"/>
        <v>0</v>
      </c>
      <c r="AN326" s="49">
        <f t="shared" ca="1" si="91"/>
        <v>0</v>
      </c>
      <c r="AO326" s="49">
        <f t="shared" ca="1" si="91"/>
        <v>0</v>
      </c>
      <c r="AP326" s="49">
        <f t="shared" ca="1" si="91"/>
        <v>0</v>
      </c>
      <c r="AQ326" s="49">
        <f t="shared" ca="1" si="91"/>
        <v>0</v>
      </c>
      <c r="AR326" s="49">
        <f t="shared" ref="AR326:BS326" ca="1" si="92">SUM(AR323:AR325)</f>
        <v>0</v>
      </c>
      <c r="AS326" s="49">
        <f t="shared" ca="1" si="92"/>
        <v>0</v>
      </c>
      <c r="AT326" s="49">
        <f t="shared" ca="1" si="92"/>
        <v>0</v>
      </c>
      <c r="AU326" s="49">
        <f t="shared" ca="1" si="92"/>
        <v>0</v>
      </c>
      <c r="AV326" s="49">
        <f t="shared" ca="1" si="92"/>
        <v>0</v>
      </c>
      <c r="AW326" s="49">
        <f t="shared" ca="1" si="92"/>
        <v>0</v>
      </c>
      <c r="AX326" s="49">
        <f t="shared" ca="1" si="92"/>
        <v>0</v>
      </c>
      <c r="AY326" s="49">
        <f t="shared" ca="1" si="92"/>
        <v>0</v>
      </c>
      <c r="AZ326" s="49">
        <f t="shared" ca="1" si="92"/>
        <v>0</v>
      </c>
      <c r="BA326" s="49">
        <f t="shared" ca="1" si="92"/>
        <v>0</v>
      </c>
      <c r="BB326" s="49">
        <f t="shared" ca="1" si="92"/>
        <v>0</v>
      </c>
      <c r="BC326" s="49">
        <f t="shared" ca="1" si="92"/>
        <v>0</v>
      </c>
      <c r="BD326" s="49">
        <f t="shared" ca="1" si="92"/>
        <v>0</v>
      </c>
      <c r="BE326" s="49">
        <f t="shared" ca="1" si="92"/>
        <v>0</v>
      </c>
      <c r="BF326" s="49">
        <f t="shared" ca="1" si="92"/>
        <v>0</v>
      </c>
      <c r="BG326" s="49">
        <f t="shared" ca="1" si="92"/>
        <v>0</v>
      </c>
      <c r="BH326" s="49">
        <f t="shared" ca="1" si="92"/>
        <v>0</v>
      </c>
      <c r="BI326" s="49">
        <f t="shared" ca="1" si="92"/>
        <v>0</v>
      </c>
      <c r="BJ326" s="49">
        <f t="shared" ca="1" si="92"/>
        <v>0</v>
      </c>
      <c r="BK326" s="49">
        <f t="shared" ca="1" si="92"/>
        <v>0</v>
      </c>
      <c r="BL326" s="49">
        <f t="shared" ca="1" si="92"/>
        <v>0</v>
      </c>
      <c r="BM326" s="49">
        <f t="shared" ca="1" si="92"/>
        <v>0</v>
      </c>
      <c r="BN326" s="49">
        <f t="shared" ca="1" si="92"/>
        <v>0</v>
      </c>
      <c r="BO326" s="49">
        <f t="shared" ca="1" si="92"/>
        <v>0</v>
      </c>
      <c r="BP326" s="49">
        <f t="shared" ca="1" si="92"/>
        <v>0</v>
      </c>
      <c r="BQ326" s="49">
        <f t="shared" ca="1" si="92"/>
        <v>0</v>
      </c>
      <c r="BR326" s="49">
        <f t="shared" ca="1" si="92"/>
        <v>0</v>
      </c>
      <c r="BS326" s="49">
        <f t="shared" ca="1" si="92"/>
        <v>0</v>
      </c>
    </row>
    <row r="327" spans="3:71" outlineLevel="1" x14ac:dyDescent="0.2">
      <c r="J327" s="26"/>
      <c r="L327" s="55"/>
      <c r="M327" s="55"/>
      <c r="N327" s="55"/>
      <c r="O327" s="55"/>
      <c r="P327" s="55"/>
      <c r="Q327" s="55"/>
      <c r="R327" s="55"/>
      <c r="S327" s="55"/>
      <c r="T327" s="55"/>
      <c r="U327" s="55"/>
      <c r="V327" s="55"/>
      <c r="W327" s="55"/>
      <c r="X327" s="55"/>
      <c r="Y327" s="55"/>
      <c r="Z327" s="55"/>
      <c r="AA327" s="55"/>
      <c r="AB327" s="55"/>
      <c r="AC327" s="55"/>
      <c r="AD327" s="55"/>
      <c r="AE327" s="55"/>
      <c r="AF327" s="55"/>
      <c r="AG327" s="55"/>
      <c r="AH327" s="55"/>
      <c r="AI327" s="55"/>
      <c r="AJ327" s="55"/>
      <c r="AK327" s="55"/>
      <c r="AL327" s="55"/>
      <c r="AM327" s="55"/>
      <c r="AN327" s="55"/>
      <c r="AO327" s="55"/>
      <c r="AP327" s="55"/>
      <c r="AQ327" s="55"/>
      <c r="AR327" s="55"/>
      <c r="AS327" s="55"/>
      <c r="AT327" s="55"/>
      <c r="AU327" s="55"/>
      <c r="AV327" s="55"/>
      <c r="AW327" s="55"/>
      <c r="AX327" s="55"/>
      <c r="AY327" s="55"/>
      <c r="AZ327" s="55"/>
      <c r="BA327" s="55"/>
      <c r="BB327" s="55"/>
      <c r="BC327" s="55"/>
      <c r="BD327" s="55"/>
      <c r="BE327" s="55"/>
      <c r="BF327" s="55"/>
      <c r="BG327" s="55"/>
      <c r="BH327" s="55"/>
      <c r="BI327" s="55"/>
      <c r="BJ327" s="55"/>
      <c r="BK327" s="55"/>
      <c r="BL327" s="55"/>
      <c r="BM327" s="55"/>
      <c r="BN327" s="55"/>
      <c r="BO327" s="55"/>
      <c r="BP327" s="55"/>
      <c r="BQ327" s="55"/>
      <c r="BR327" s="55"/>
      <c r="BS327" s="55"/>
    </row>
    <row r="328" spans="3:71" outlineLevel="1" x14ac:dyDescent="0.2">
      <c r="C328" s="11" t="str">
        <f>CHOOSE(db_ML_selected,'Liste Traduction'!B363,'Liste Traduction'!C363)</f>
        <v>Volumes de droits</v>
      </c>
      <c r="J328" s="26"/>
      <c r="L328" s="55"/>
      <c r="M328" s="55"/>
      <c r="N328" s="55"/>
      <c r="O328" s="55"/>
      <c r="P328" s="55"/>
      <c r="Q328" s="55"/>
      <c r="R328" s="55"/>
      <c r="S328" s="55"/>
      <c r="T328" s="55"/>
      <c r="U328" s="55"/>
      <c r="V328" s="55"/>
      <c r="W328" s="55"/>
      <c r="X328" s="55"/>
      <c r="Y328" s="55"/>
      <c r="Z328" s="55"/>
      <c r="AA328" s="55"/>
      <c r="AB328" s="55"/>
      <c r="AC328" s="55"/>
      <c r="AD328" s="55"/>
      <c r="AE328" s="55"/>
      <c r="AF328" s="55"/>
      <c r="AG328" s="55"/>
      <c r="AH328" s="55"/>
      <c r="AI328" s="55"/>
      <c r="AJ328" s="55"/>
      <c r="AK328" s="55"/>
      <c r="AL328" s="55"/>
      <c r="AM328" s="55"/>
      <c r="AN328" s="55"/>
      <c r="AO328" s="55"/>
      <c r="AP328" s="55"/>
      <c r="AQ328" s="55"/>
      <c r="AR328" s="55"/>
      <c r="AS328" s="55"/>
      <c r="AT328" s="55"/>
      <c r="AU328" s="55"/>
      <c r="AV328" s="55"/>
      <c r="AW328" s="55"/>
      <c r="AX328" s="55"/>
      <c r="AY328" s="55"/>
      <c r="AZ328" s="55"/>
      <c r="BA328" s="55"/>
      <c r="BB328" s="55"/>
      <c r="BC328" s="55"/>
      <c r="BD328" s="55"/>
      <c r="BE328" s="55"/>
      <c r="BF328" s="55"/>
      <c r="BG328" s="55"/>
      <c r="BH328" s="55"/>
      <c r="BI328" s="55"/>
      <c r="BJ328" s="55"/>
      <c r="BK328" s="55"/>
      <c r="BL328" s="55"/>
      <c r="BM328" s="55"/>
      <c r="BN328" s="55"/>
      <c r="BO328" s="55"/>
      <c r="BP328" s="55"/>
      <c r="BQ328" s="55"/>
      <c r="BR328" s="55"/>
      <c r="BS328" s="55"/>
    </row>
    <row r="329" spans="3:71" outlineLevel="1" x14ac:dyDescent="0.2">
      <c r="D329" t="str">
        <f>D116</f>
        <v>Pétrole</v>
      </c>
      <c r="I329" s="30">
        <f t="shared" ref="I329:I331" ca="1" si="93">SUM($L329:$BS329)</f>
        <v>47.307172394207569</v>
      </c>
      <c r="J329" s="26" t="s">
        <v>88</v>
      </c>
      <c r="L329" s="49">
        <f ca="1">IFERROR(HM_ZA_Nkossa!CA_ent_rev_oil/HM_ZA_Nkossa!CA_FP_oil_nom,0)</f>
        <v>2.6280628182203558</v>
      </c>
      <c r="M329" s="49">
        <f ca="1">IFERROR(HM_ZA_Nkossa!CA_ent_rev_oil/HM_ZA_Nkossa!CA_FP_oil_nom,0)</f>
        <v>3.4486353128222222</v>
      </c>
      <c r="N329" s="49">
        <f ca="1">IFERROR(HM_ZA_Nkossa!CA_ent_rev_oil/HM_ZA_Nkossa!CA_FP_oil_nom,0)</f>
        <v>4.531179810636921</v>
      </c>
      <c r="O329" s="49">
        <f ca="1">IFERROR(HM_ZA_Nkossa!CA_ent_rev_oil/HM_ZA_Nkossa!CA_FP_oil_nom,0)</f>
        <v>5.3312132724363464</v>
      </c>
      <c r="P329" s="49">
        <f ca="1">IFERROR(HM_ZA_Nkossa!CA_ent_rev_oil/HM_ZA_Nkossa!CA_FP_oil_nom,0)</f>
        <v>5.7462529209677236</v>
      </c>
      <c r="Q329" s="49">
        <f ca="1">IFERROR(HM_ZA_Nkossa!CA_ent_rev_oil/HM_ZA_Nkossa!CA_FP_oil_nom,0)</f>
        <v>4.4356964789709314</v>
      </c>
      <c r="R329" s="49">
        <f ca="1">IFERROR(HM_ZA_Nkossa!CA_ent_rev_oil/HM_ZA_Nkossa!CA_FP_oil_nom,0)</f>
        <v>4.8783686521571328</v>
      </c>
      <c r="S329" s="49">
        <f ca="1">IFERROR(HM_ZA_Nkossa!CA_ent_rev_oil/HM_ZA_Nkossa!CA_FP_oil_nom,0)</f>
        <v>3.5093800000000002</v>
      </c>
      <c r="T329" s="49">
        <f ca="1">IFERROR(HM_ZA_Nkossa!CA_ent_rev_oil/HM_ZA_Nkossa!CA_FP_oil_nom,0)</f>
        <v>2.9439782399999994</v>
      </c>
      <c r="U329" s="49">
        <f ca="1">IFERROR(HM_ZA_Nkossa!CA_ent_rev_oil/HM_ZA_Nkossa!CA_FP_oil_nom,0)</f>
        <v>2.7378997631999993</v>
      </c>
      <c r="V329" s="49">
        <f ca="1">IFERROR(HM_ZA_Nkossa!CA_ent_rev_oil/HM_ZA_Nkossa!CA_FP_oil_nom,0)</f>
        <v>2.5462467797759998</v>
      </c>
      <c r="W329" s="49">
        <f ca="1">IFERROR(HM_ZA_Nkossa!CA_ent_rev_oil/HM_ZA_Nkossa!CA_FP_oil_nom,0)</f>
        <v>2.3680095051916794</v>
      </c>
      <c r="X329" s="49">
        <f ca="1">IFERROR(HM_ZA_Nkossa!CA_ent_rev_oil/HM_ZA_Nkossa!CA_FP_oil_nom,0)</f>
        <v>2.2022488398282611</v>
      </c>
      <c r="Y329" s="49">
        <f ca="1">IFERROR(HM_ZA_Nkossa!CA_ent_rev_oil/HM_ZA_Nkossa!CA_FP_oil_nom,0)</f>
        <v>0</v>
      </c>
      <c r="Z329" s="49">
        <f ca="1">IFERROR(HM_ZA_Nkossa!CA_ent_rev_oil/HM_ZA_Nkossa!CA_FP_oil_nom,0)</f>
        <v>0</v>
      </c>
      <c r="AA329" s="49">
        <f ca="1">IFERROR(HM_ZA_Nkossa!CA_ent_rev_oil/HM_ZA_Nkossa!CA_FP_oil_nom,0)</f>
        <v>0</v>
      </c>
      <c r="AB329" s="49">
        <f ca="1">IFERROR(HM_ZA_Nkossa!CA_ent_rev_oil/HM_ZA_Nkossa!CA_FP_oil_nom,0)</f>
        <v>0</v>
      </c>
      <c r="AC329" s="49">
        <f ca="1">IFERROR(HM_ZA_Nkossa!CA_ent_rev_oil/HM_ZA_Nkossa!CA_FP_oil_nom,0)</f>
        <v>0</v>
      </c>
      <c r="AD329" s="49">
        <f ca="1">IFERROR(HM_ZA_Nkossa!CA_ent_rev_oil/HM_ZA_Nkossa!CA_FP_oil_nom,0)</f>
        <v>0</v>
      </c>
      <c r="AE329" s="49">
        <f ca="1">IFERROR(HM_ZA_Nkossa!CA_ent_rev_oil/HM_ZA_Nkossa!CA_FP_oil_nom,0)</f>
        <v>0</v>
      </c>
      <c r="AF329" s="49">
        <f ca="1">IFERROR(HM_ZA_Nkossa!CA_ent_rev_oil/HM_ZA_Nkossa!CA_FP_oil_nom,0)</f>
        <v>0</v>
      </c>
      <c r="AG329" s="49">
        <f ca="1">IFERROR(HM_ZA_Nkossa!CA_ent_rev_oil/HM_ZA_Nkossa!CA_FP_oil_nom,0)</f>
        <v>0</v>
      </c>
      <c r="AH329" s="49">
        <f ca="1">IFERROR(HM_ZA_Nkossa!CA_ent_rev_oil/HM_ZA_Nkossa!CA_FP_oil_nom,0)</f>
        <v>0</v>
      </c>
      <c r="AI329" s="49">
        <f ca="1">IFERROR(HM_ZA_Nkossa!CA_ent_rev_oil/HM_ZA_Nkossa!CA_FP_oil_nom,0)</f>
        <v>0</v>
      </c>
      <c r="AJ329" s="49">
        <f ca="1">IFERROR(HM_ZA_Nkossa!CA_ent_rev_oil/HM_ZA_Nkossa!CA_FP_oil_nom,0)</f>
        <v>0</v>
      </c>
      <c r="AK329" s="49">
        <f ca="1">IFERROR(HM_ZA_Nkossa!CA_ent_rev_oil/HM_ZA_Nkossa!CA_FP_oil_nom,0)</f>
        <v>0</v>
      </c>
      <c r="AL329" s="49">
        <f ca="1">IFERROR(HM_ZA_Nkossa!CA_ent_rev_oil/HM_ZA_Nkossa!CA_FP_oil_nom,0)</f>
        <v>0</v>
      </c>
      <c r="AM329" s="49">
        <f ca="1">IFERROR(HM_ZA_Nkossa!CA_ent_rev_oil/HM_ZA_Nkossa!CA_FP_oil_nom,0)</f>
        <v>0</v>
      </c>
      <c r="AN329" s="49">
        <f ca="1">IFERROR(HM_ZA_Nkossa!CA_ent_rev_oil/HM_ZA_Nkossa!CA_FP_oil_nom,0)</f>
        <v>0</v>
      </c>
      <c r="AO329" s="49">
        <f ca="1">IFERROR(HM_ZA_Nkossa!CA_ent_rev_oil/HM_ZA_Nkossa!CA_FP_oil_nom,0)</f>
        <v>0</v>
      </c>
      <c r="AP329" s="49">
        <f ca="1">IFERROR(HM_ZA_Nkossa!CA_ent_rev_oil/HM_ZA_Nkossa!CA_FP_oil_nom,0)</f>
        <v>0</v>
      </c>
      <c r="AQ329" s="49">
        <f ca="1">IFERROR(HM_ZA_Nkossa!CA_ent_rev_oil/HM_ZA_Nkossa!CA_FP_oil_nom,0)</f>
        <v>0</v>
      </c>
      <c r="AR329" s="49">
        <f ca="1">IFERROR(HM_ZA_Nkossa!CA_ent_rev_oil/HM_ZA_Nkossa!CA_FP_oil_nom,0)</f>
        <v>0</v>
      </c>
      <c r="AS329" s="49">
        <f ca="1">IFERROR(HM_ZA_Nkossa!CA_ent_rev_oil/HM_ZA_Nkossa!CA_FP_oil_nom,0)</f>
        <v>0</v>
      </c>
      <c r="AT329" s="49">
        <f ca="1">IFERROR(HM_ZA_Nkossa!CA_ent_rev_oil/HM_ZA_Nkossa!CA_FP_oil_nom,0)</f>
        <v>0</v>
      </c>
      <c r="AU329" s="49">
        <f ca="1">IFERROR(HM_ZA_Nkossa!CA_ent_rev_oil/HM_ZA_Nkossa!CA_FP_oil_nom,0)</f>
        <v>0</v>
      </c>
      <c r="AV329" s="49">
        <f ca="1">IFERROR(HM_ZA_Nkossa!CA_ent_rev_oil/HM_ZA_Nkossa!CA_FP_oil_nom,0)</f>
        <v>0</v>
      </c>
      <c r="AW329" s="49">
        <f ca="1">IFERROR(HM_ZA_Nkossa!CA_ent_rev_oil/HM_ZA_Nkossa!CA_FP_oil_nom,0)</f>
        <v>0</v>
      </c>
      <c r="AX329" s="49">
        <f ca="1">IFERROR(HM_ZA_Nkossa!CA_ent_rev_oil/HM_ZA_Nkossa!CA_FP_oil_nom,0)</f>
        <v>0</v>
      </c>
      <c r="AY329" s="49">
        <f ca="1">IFERROR(HM_ZA_Nkossa!CA_ent_rev_oil/HM_ZA_Nkossa!CA_FP_oil_nom,0)</f>
        <v>0</v>
      </c>
      <c r="AZ329" s="49">
        <f ca="1">IFERROR(HM_ZA_Nkossa!CA_ent_rev_oil/HM_ZA_Nkossa!CA_FP_oil_nom,0)</f>
        <v>0</v>
      </c>
      <c r="BA329" s="49">
        <f ca="1">IFERROR(HM_ZA_Nkossa!CA_ent_rev_oil/HM_ZA_Nkossa!CA_FP_oil_nom,0)</f>
        <v>0</v>
      </c>
      <c r="BB329" s="49">
        <f ca="1">IFERROR(HM_ZA_Nkossa!CA_ent_rev_oil/HM_ZA_Nkossa!CA_FP_oil_nom,0)</f>
        <v>0</v>
      </c>
      <c r="BC329" s="49">
        <f ca="1">IFERROR(HM_ZA_Nkossa!CA_ent_rev_oil/HM_ZA_Nkossa!CA_FP_oil_nom,0)</f>
        <v>0</v>
      </c>
      <c r="BD329" s="49">
        <f ca="1">IFERROR(HM_ZA_Nkossa!CA_ent_rev_oil/HM_ZA_Nkossa!CA_FP_oil_nom,0)</f>
        <v>0</v>
      </c>
      <c r="BE329" s="49">
        <f ca="1">IFERROR(HM_ZA_Nkossa!CA_ent_rev_oil/HM_ZA_Nkossa!CA_FP_oil_nom,0)</f>
        <v>0</v>
      </c>
      <c r="BF329" s="49">
        <f ca="1">IFERROR(HM_ZA_Nkossa!CA_ent_rev_oil/HM_ZA_Nkossa!CA_FP_oil_nom,0)</f>
        <v>0</v>
      </c>
      <c r="BG329" s="49">
        <f ca="1">IFERROR(HM_ZA_Nkossa!CA_ent_rev_oil/HM_ZA_Nkossa!CA_FP_oil_nom,0)</f>
        <v>0</v>
      </c>
      <c r="BH329" s="49">
        <f ca="1">IFERROR(HM_ZA_Nkossa!CA_ent_rev_oil/HM_ZA_Nkossa!CA_FP_oil_nom,0)</f>
        <v>0</v>
      </c>
      <c r="BI329" s="49">
        <f ca="1">IFERROR(HM_ZA_Nkossa!CA_ent_rev_oil/HM_ZA_Nkossa!CA_FP_oil_nom,0)</f>
        <v>0</v>
      </c>
      <c r="BJ329" s="49">
        <f ca="1">IFERROR(HM_ZA_Nkossa!CA_ent_rev_oil/HM_ZA_Nkossa!CA_FP_oil_nom,0)</f>
        <v>0</v>
      </c>
      <c r="BK329" s="49">
        <f ca="1">IFERROR(HM_ZA_Nkossa!CA_ent_rev_oil/HM_ZA_Nkossa!CA_FP_oil_nom,0)</f>
        <v>0</v>
      </c>
      <c r="BL329" s="49">
        <f ca="1">IFERROR(HM_ZA_Nkossa!CA_ent_rev_oil/HM_ZA_Nkossa!CA_FP_oil_nom,0)</f>
        <v>0</v>
      </c>
      <c r="BM329" s="49">
        <f ca="1">IFERROR(HM_ZA_Nkossa!CA_ent_rev_oil/HM_ZA_Nkossa!CA_FP_oil_nom,0)</f>
        <v>0</v>
      </c>
      <c r="BN329" s="49">
        <f ca="1">IFERROR(HM_ZA_Nkossa!CA_ent_rev_oil/HM_ZA_Nkossa!CA_FP_oil_nom,0)</f>
        <v>0</v>
      </c>
      <c r="BO329" s="49">
        <f ca="1">IFERROR(HM_ZA_Nkossa!CA_ent_rev_oil/HM_ZA_Nkossa!CA_FP_oil_nom,0)</f>
        <v>0</v>
      </c>
      <c r="BP329" s="49">
        <f ca="1">IFERROR(HM_ZA_Nkossa!CA_ent_rev_oil/HM_ZA_Nkossa!CA_FP_oil_nom,0)</f>
        <v>0</v>
      </c>
      <c r="BQ329" s="49">
        <f ca="1">IFERROR(HM_ZA_Nkossa!CA_ent_rev_oil/HM_ZA_Nkossa!CA_FP_oil_nom,0)</f>
        <v>0</v>
      </c>
      <c r="BR329" s="49">
        <f ca="1">IFERROR(HM_ZA_Nkossa!CA_ent_rev_oil/HM_ZA_Nkossa!CA_FP_oil_nom,0)</f>
        <v>0</v>
      </c>
      <c r="BS329" s="49">
        <f ca="1">IFERROR(HM_ZA_Nkossa!CA_ent_rev_oil/HM_ZA_Nkossa!CA_FP_oil_nom,0)</f>
        <v>0</v>
      </c>
    </row>
    <row r="330" spans="3:71" outlineLevel="1" x14ac:dyDescent="0.2">
      <c r="D330" t="str">
        <f>D118</f>
        <v>Gaz</v>
      </c>
      <c r="I330" s="30">
        <f t="shared" ca="1" si="93"/>
        <v>0</v>
      </c>
      <c r="J330" s="26" t="s">
        <v>89</v>
      </c>
      <c r="L330" s="49">
        <f ca="1">IFERROR(HM_ZA_Nkossa!CA_ent_rev_gas/HM_ZA_Nkossa!CA_FP_gas_nom,0)</f>
        <v>0</v>
      </c>
      <c r="M330" s="49">
        <f ca="1">IFERROR(HM_ZA_Nkossa!CA_ent_rev_gas/HM_ZA_Nkossa!CA_FP_gas_nom,0)</f>
        <v>0</v>
      </c>
      <c r="N330" s="49">
        <f ca="1">IFERROR(HM_ZA_Nkossa!CA_ent_rev_gas/HM_ZA_Nkossa!CA_FP_gas_nom,0)</f>
        <v>0</v>
      </c>
      <c r="O330" s="49">
        <f ca="1">IFERROR(HM_ZA_Nkossa!CA_ent_rev_gas/HM_ZA_Nkossa!CA_FP_gas_nom,0)</f>
        <v>0</v>
      </c>
      <c r="P330" s="49">
        <f ca="1">IFERROR(HM_ZA_Nkossa!CA_ent_rev_gas/HM_ZA_Nkossa!CA_FP_gas_nom,0)</f>
        <v>0</v>
      </c>
      <c r="Q330" s="49">
        <f ca="1">IFERROR(HM_ZA_Nkossa!CA_ent_rev_gas/HM_ZA_Nkossa!CA_FP_gas_nom,0)</f>
        <v>0</v>
      </c>
      <c r="R330" s="49">
        <f ca="1">IFERROR(HM_ZA_Nkossa!CA_ent_rev_gas/HM_ZA_Nkossa!CA_FP_gas_nom,0)</f>
        <v>0</v>
      </c>
      <c r="S330" s="49">
        <f ca="1">IFERROR(HM_ZA_Nkossa!CA_ent_rev_gas/HM_ZA_Nkossa!CA_FP_gas_nom,0)</f>
        <v>0</v>
      </c>
      <c r="T330" s="49">
        <f ca="1">IFERROR(HM_ZA_Nkossa!CA_ent_rev_gas/HM_ZA_Nkossa!CA_FP_gas_nom,0)</f>
        <v>0</v>
      </c>
      <c r="U330" s="49">
        <f ca="1">IFERROR(HM_ZA_Nkossa!CA_ent_rev_gas/HM_ZA_Nkossa!CA_FP_gas_nom,0)</f>
        <v>0</v>
      </c>
      <c r="V330" s="49">
        <f ca="1">IFERROR(HM_ZA_Nkossa!CA_ent_rev_gas/HM_ZA_Nkossa!CA_FP_gas_nom,0)</f>
        <v>0</v>
      </c>
      <c r="W330" s="49">
        <f ca="1">IFERROR(HM_ZA_Nkossa!CA_ent_rev_gas/HM_ZA_Nkossa!CA_FP_gas_nom,0)</f>
        <v>0</v>
      </c>
      <c r="X330" s="49">
        <f ca="1">IFERROR(HM_ZA_Nkossa!CA_ent_rev_gas/HM_ZA_Nkossa!CA_FP_gas_nom,0)</f>
        <v>0</v>
      </c>
      <c r="Y330" s="49">
        <f ca="1">IFERROR(HM_ZA_Nkossa!CA_ent_rev_gas/HM_ZA_Nkossa!CA_FP_gas_nom,0)</f>
        <v>0</v>
      </c>
      <c r="Z330" s="49">
        <f ca="1">IFERROR(HM_ZA_Nkossa!CA_ent_rev_gas/HM_ZA_Nkossa!CA_FP_gas_nom,0)</f>
        <v>0</v>
      </c>
      <c r="AA330" s="49">
        <f ca="1">IFERROR(HM_ZA_Nkossa!CA_ent_rev_gas/HM_ZA_Nkossa!CA_FP_gas_nom,0)</f>
        <v>0</v>
      </c>
      <c r="AB330" s="49">
        <f ca="1">IFERROR(HM_ZA_Nkossa!CA_ent_rev_gas/HM_ZA_Nkossa!CA_FP_gas_nom,0)</f>
        <v>0</v>
      </c>
      <c r="AC330" s="49">
        <f ca="1">IFERROR(HM_ZA_Nkossa!CA_ent_rev_gas/HM_ZA_Nkossa!CA_FP_gas_nom,0)</f>
        <v>0</v>
      </c>
      <c r="AD330" s="49">
        <f ca="1">IFERROR(HM_ZA_Nkossa!CA_ent_rev_gas/HM_ZA_Nkossa!CA_FP_gas_nom,0)</f>
        <v>0</v>
      </c>
      <c r="AE330" s="49">
        <f ca="1">IFERROR(HM_ZA_Nkossa!CA_ent_rev_gas/HM_ZA_Nkossa!CA_FP_gas_nom,0)</f>
        <v>0</v>
      </c>
      <c r="AF330" s="49">
        <f ca="1">IFERROR(HM_ZA_Nkossa!CA_ent_rev_gas/HM_ZA_Nkossa!CA_FP_gas_nom,0)</f>
        <v>0</v>
      </c>
      <c r="AG330" s="49">
        <f ca="1">IFERROR(HM_ZA_Nkossa!CA_ent_rev_gas/HM_ZA_Nkossa!CA_FP_gas_nom,0)</f>
        <v>0</v>
      </c>
      <c r="AH330" s="49">
        <f ca="1">IFERROR(HM_ZA_Nkossa!CA_ent_rev_gas/HM_ZA_Nkossa!CA_FP_gas_nom,0)</f>
        <v>0</v>
      </c>
      <c r="AI330" s="49">
        <f ca="1">IFERROR(HM_ZA_Nkossa!CA_ent_rev_gas/HM_ZA_Nkossa!CA_FP_gas_nom,0)</f>
        <v>0</v>
      </c>
      <c r="AJ330" s="49">
        <f ca="1">IFERROR(HM_ZA_Nkossa!CA_ent_rev_gas/HM_ZA_Nkossa!CA_FP_gas_nom,0)</f>
        <v>0</v>
      </c>
      <c r="AK330" s="49">
        <f ca="1">IFERROR(HM_ZA_Nkossa!CA_ent_rev_gas/HM_ZA_Nkossa!CA_FP_gas_nom,0)</f>
        <v>0</v>
      </c>
      <c r="AL330" s="49">
        <f ca="1">IFERROR(HM_ZA_Nkossa!CA_ent_rev_gas/HM_ZA_Nkossa!CA_FP_gas_nom,0)</f>
        <v>0</v>
      </c>
      <c r="AM330" s="49">
        <f ca="1">IFERROR(HM_ZA_Nkossa!CA_ent_rev_gas/HM_ZA_Nkossa!CA_FP_gas_nom,0)</f>
        <v>0</v>
      </c>
      <c r="AN330" s="49">
        <f ca="1">IFERROR(HM_ZA_Nkossa!CA_ent_rev_gas/HM_ZA_Nkossa!CA_FP_gas_nom,0)</f>
        <v>0</v>
      </c>
      <c r="AO330" s="49">
        <f ca="1">IFERROR(HM_ZA_Nkossa!CA_ent_rev_gas/HM_ZA_Nkossa!CA_FP_gas_nom,0)</f>
        <v>0</v>
      </c>
      <c r="AP330" s="49">
        <f ca="1">IFERROR(HM_ZA_Nkossa!CA_ent_rev_gas/HM_ZA_Nkossa!CA_FP_gas_nom,0)</f>
        <v>0</v>
      </c>
      <c r="AQ330" s="49">
        <f ca="1">IFERROR(HM_ZA_Nkossa!CA_ent_rev_gas/HM_ZA_Nkossa!CA_FP_gas_nom,0)</f>
        <v>0</v>
      </c>
      <c r="AR330" s="49">
        <f ca="1">IFERROR(HM_ZA_Nkossa!CA_ent_rev_gas/HM_ZA_Nkossa!CA_FP_gas_nom,0)</f>
        <v>0</v>
      </c>
      <c r="AS330" s="49">
        <f ca="1">IFERROR(HM_ZA_Nkossa!CA_ent_rev_gas/HM_ZA_Nkossa!CA_FP_gas_nom,0)</f>
        <v>0</v>
      </c>
      <c r="AT330" s="49">
        <f ca="1">IFERROR(HM_ZA_Nkossa!CA_ent_rev_gas/HM_ZA_Nkossa!CA_FP_gas_nom,0)</f>
        <v>0</v>
      </c>
      <c r="AU330" s="49">
        <f ca="1">IFERROR(HM_ZA_Nkossa!CA_ent_rev_gas/HM_ZA_Nkossa!CA_FP_gas_nom,0)</f>
        <v>0</v>
      </c>
      <c r="AV330" s="49">
        <f ca="1">IFERROR(HM_ZA_Nkossa!CA_ent_rev_gas/HM_ZA_Nkossa!CA_FP_gas_nom,0)</f>
        <v>0</v>
      </c>
      <c r="AW330" s="49">
        <f ca="1">IFERROR(HM_ZA_Nkossa!CA_ent_rev_gas/HM_ZA_Nkossa!CA_FP_gas_nom,0)</f>
        <v>0</v>
      </c>
      <c r="AX330" s="49">
        <f ca="1">IFERROR(HM_ZA_Nkossa!CA_ent_rev_gas/HM_ZA_Nkossa!CA_FP_gas_nom,0)</f>
        <v>0</v>
      </c>
      <c r="AY330" s="49">
        <f ca="1">IFERROR(HM_ZA_Nkossa!CA_ent_rev_gas/HM_ZA_Nkossa!CA_FP_gas_nom,0)</f>
        <v>0</v>
      </c>
      <c r="AZ330" s="49">
        <f ca="1">IFERROR(HM_ZA_Nkossa!CA_ent_rev_gas/HM_ZA_Nkossa!CA_FP_gas_nom,0)</f>
        <v>0</v>
      </c>
      <c r="BA330" s="49">
        <f ca="1">IFERROR(HM_ZA_Nkossa!CA_ent_rev_gas/HM_ZA_Nkossa!CA_FP_gas_nom,0)</f>
        <v>0</v>
      </c>
      <c r="BB330" s="49">
        <f ca="1">IFERROR(HM_ZA_Nkossa!CA_ent_rev_gas/HM_ZA_Nkossa!CA_FP_gas_nom,0)</f>
        <v>0</v>
      </c>
      <c r="BC330" s="49">
        <f ca="1">IFERROR(HM_ZA_Nkossa!CA_ent_rev_gas/HM_ZA_Nkossa!CA_FP_gas_nom,0)</f>
        <v>0</v>
      </c>
      <c r="BD330" s="49">
        <f ca="1">IFERROR(HM_ZA_Nkossa!CA_ent_rev_gas/HM_ZA_Nkossa!CA_FP_gas_nom,0)</f>
        <v>0</v>
      </c>
      <c r="BE330" s="49">
        <f ca="1">IFERROR(HM_ZA_Nkossa!CA_ent_rev_gas/HM_ZA_Nkossa!CA_FP_gas_nom,0)</f>
        <v>0</v>
      </c>
      <c r="BF330" s="49">
        <f ca="1">IFERROR(HM_ZA_Nkossa!CA_ent_rev_gas/HM_ZA_Nkossa!CA_FP_gas_nom,0)</f>
        <v>0</v>
      </c>
      <c r="BG330" s="49">
        <f ca="1">IFERROR(HM_ZA_Nkossa!CA_ent_rev_gas/HM_ZA_Nkossa!CA_FP_gas_nom,0)</f>
        <v>0</v>
      </c>
      <c r="BH330" s="49">
        <f ca="1">IFERROR(HM_ZA_Nkossa!CA_ent_rev_gas/HM_ZA_Nkossa!CA_FP_gas_nom,0)</f>
        <v>0</v>
      </c>
      <c r="BI330" s="49">
        <f ca="1">IFERROR(HM_ZA_Nkossa!CA_ent_rev_gas/HM_ZA_Nkossa!CA_FP_gas_nom,0)</f>
        <v>0</v>
      </c>
      <c r="BJ330" s="49">
        <f ca="1">IFERROR(HM_ZA_Nkossa!CA_ent_rev_gas/HM_ZA_Nkossa!CA_FP_gas_nom,0)</f>
        <v>0</v>
      </c>
      <c r="BK330" s="49">
        <f ca="1">IFERROR(HM_ZA_Nkossa!CA_ent_rev_gas/HM_ZA_Nkossa!CA_FP_gas_nom,0)</f>
        <v>0</v>
      </c>
      <c r="BL330" s="49">
        <f ca="1">IFERROR(HM_ZA_Nkossa!CA_ent_rev_gas/HM_ZA_Nkossa!CA_FP_gas_nom,0)</f>
        <v>0</v>
      </c>
      <c r="BM330" s="49">
        <f ca="1">IFERROR(HM_ZA_Nkossa!CA_ent_rev_gas/HM_ZA_Nkossa!CA_FP_gas_nom,0)</f>
        <v>0</v>
      </c>
      <c r="BN330" s="49">
        <f ca="1">IFERROR(HM_ZA_Nkossa!CA_ent_rev_gas/HM_ZA_Nkossa!CA_FP_gas_nom,0)</f>
        <v>0</v>
      </c>
      <c r="BO330" s="49">
        <f ca="1">IFERROR(HM_ZA_Nkossa!CA_ent_rev_gas/HM_ZA_Nkossa!CA_FP_gas_nom,0)</f>
        <v>0</v>
      </c>
      <c r="BP330" s="49">
        <f ca="1">IFERROR(HM_ZA_Nkossa!CA_ent_rev_gas/HM_ZA_Nkossa!CA_FP_gas_nom,0)</f>
        <v>0</v>
      </c>
      <c r="BQ330" s="49">
        <f ca="1">IFERROR(HM_ZA_Nkossa!CA_ent_rev_gas/HM_ZA_Nkossa!CA_FP_gas_nom,0)</f>
        <v>0</v>
      </c>
      <c r="BR330" s="49">
        <f ca="1">IFERROR(HM_ZA_Nkossa!CA_ent_rev_gas/HM_ZA_Nkossa!CA_FP_gas_nom,0)</f>
        <v>0</v>
      </c>
      <c r="BS330" s="49">
        <f ca="1">IFERROR(HM_ZA_Nkossa!CA_ent_rev_gas/HM_ZA_Nkossa!CA_FP_gas_nom,0)</f>
        <v>0</v>
      </c>
    </row>
    <row r="331" spans="3:71" outlineLevel="1" x14ac:dyDescent="0.2">
      <c r="D331" s="11" t="s">
        <v>129</v>
      </c>
      <c r="I331" s="30">
        <f t="shared" ca="1" si="93"/>
        <v>47.307172394207569</v>
      </c>
      <c r="J331" s="26" t="s">
        <v>130</v>
      </c>
      <c r="K331" s="7" t="s">
        <v>253</v>
      </c>
      <c r="L331" s="49">
        <f t="shared" ref="L331:BS331" ca="1" si="94">L329+L330*conv_BbltoMcf</f>
        <v>2.6280628182203558</v>
      </c>
      <c r="M331" s="49">
        <f t="shared" ca="1" si="94"/>
        <v>3.4486353128222222</v>
      </c>
      <c r="N331" s="49">
        <f t="shared" ca="1" si="94"/>
        <v>4.531179810636921</v>
      </c>
      <c r="O331" s="49">
        <f t="shared" ca="1" si="94"/>
        <v>5.3312132724363464</v>
      </c>
      <c r="P331" s="49">
        <f t="shared" ca="1" si="94"/>
        <v>5.7462529209677236</v>
      </c>
      <c r="Q331" s="49">
        <f t="shared" ca="1" si="94"/>
        <v>4.4356964789709314</v>
      </c>
      <c r="R331" s="49">
        <f t="shared" ca="1" si="94"/>
        <v>4.8783686521571328</v>
      </c>
      <c r="S331" s="49">
        <f t="shared" ca="1" si="94"/>
        <v>3.5093800000000002</v>
      </c>
      <c r="T331" s="49">
        <f t="shared" ca="1" si="94"/>
        <v>2.9439782399999994</v>
      </c>
      <c r="U331" s="49">
        <f t="shared" ca="1" si="94"/>
        <v>2.7378997631999993</v>
      </c>
      <c r="V331" s="49">
        <f t="shared" ca="1" si="94"/>
        <v>2.5462467797759998</v>
      </c>
      <c r="W331" s="49">
        <f t="shared" ca="1" si="94"/>
        <v>2.3680095051916794</v>
      </c>
      <c r="X331" s="49">
        <f t="shared" ca="1" si="94"/>
        <v>2.2022488398282611</v>
      </c>
      <c r="Y331" s="49">
        <f t="shared" ca="1" si="94"/>
        <v>0</v>
      </c>
      <c r="Z331" s="49">
        <f t="shared" ca="1" si="94"/>
        <v>0</v>
      </c>
      <c r="AA331" s="49">
        <f t="shared" ca="1" si="94"/>
        <v>0</v>
      </c>
      <c r="AB331" s="49">
        <f t="shared" ca="1" si="94"/>
        <v>0</v>
      </c>
      <c r="AC331" s="49">
        <f t="shared" ca="1" si="94"/>
        <v>0</v>
      </c>
      <c r="AD331" s="49">
        <f t="shared" ca="1" si="94"/>
        <v>0</v>
      </c>
      <c r="AE331" s="49">
        <f t="shared" ca="1" si="94"/>
        <v>0</v>
      </c>
      <c r="AF331" s="49">
        <f t="shared" ca="1" si="94"/>
        <v>0</v>
      </c>
      <c r="AG331" s="49">
        <f t="shared" ca="1" si="94"/>
        <v>0</v>
      </c>
      <c r="AH331" s="49">
        <f t="shared" ca="1" si="94"/>
        <v>0</v>
      </c>
      <c r="AI331" s="49">
        <f t="shared" ca="1" si="94"/>
        <v>0</v>
      </c>
      <c r="AJ331" s="49">
        <f t="shared" ca="1" si="94"/>
        <v>0</v>
      </c>
      <c r="AK331" s="49">
        <f t="shared" ca="1" si="94"/>
        <v>0</v>
      </c>
      <c r="AL331" s="49">
        <f t="shared" ca="1" si="94"/>
        <v>0</v>
      </c>
      <c r="AM331" s="49">
        <f t="shared" ca="1" si="94"/>
        <v>0</v>
      </c>
      <c r="AN331" s="49">
        <f t="shared" ca="1" si="94"/>
        <v>0</v>
      </c>
      <c r="AO331" s="49">
        <f t="shared" ca="1" si="94"/>
        <v>0</v>
      </c>
      <c r="AP331" s="49">
        <f t="shared" ca="1" si="94"/>
        <v>0</v>
      </c>
      <c r="AQ331" s="49">
        <f t="shared" ca="1" si="94"/>
        <v>0</v>
      </c>
      <c r="AR331" s="49">
        <f t="shared" ca="1" si="94"/>
        <v>0</v>
      </c>
      <c r="AS331" s="49">
        <f t="shared" ca="1" si="94"/>
        <v>0</v>
      </c>
      <c r="AT331" s="49">
        <f t="shared" ca="1" si="94"/>
        <v>0</v>
      </c>
      <c r="AU331" s="49">
        <f t="shared" ca="1" si="94"/>
        <v>0</v>
      </c>
      <c r="AV331" s="49">
        <f t="shared" ca="1" si="94"/>
        <v>0</v>
      </c>
      <c r="AW331" s="49">
        <f t="shared" ca="1" si="94"/>
        <v>0</v>
      </c>
      <c r="AX331" s="49">
        <f t="shared" ca="1" si="94"/>
        <v>0</v>
      </c>
      <c r="AY331" s="49">
        <f t="shared" ca="1" si="94"/>
        <v>0</v>
      </c>
      <c r="AZ331" s="49">
        <f t="shared" ca="1" si="94"/>
        <v>0</v>
      </c>
      <c r="BA331" s="49">
        <f t="shared" ca="1" si="94"/>
        <v>0</v>
      </c>
      <c r="BB331" s="49">
        <f t="shared" ca="1" si="94"/>
        <v>0</v>
      </c>
      <c r="BC331" s="49">
        <f t="shared" ca="1" si="94"/>
        <v>0</v>
      </c>
      <c r="BD331" s="49">
        <f t="shared" ca="1" si="94"/>
        <v>0</v>
      </c>
      <c r="BE331" s="49">
        <f t="shared" ca="1" si="94"/>
        <v>0</v>
      </c>
      <c r="BF331" s="49">
        <f t="shared" ca="1" si="94"/>
        <v>0</v>
      </c>
      <c r="BG331" s="49">
        <f t="shared" ca="1" si="94"/>
        <v>0</v>
      </c>
      <c r="BH331" s="49">
        <f t="shared" ca="1" si="94"/>
        <v>0</v>
      </c>
      <c r="BI331" s="49">
        <f t="shared" ca="1" si="94"/>
        <v>0</v>
      </c>
      <c r="BJ331" s="49">
        <f t="shared" ca="1" si="94"/>
        <v>0</v>
      </c>
      <c r="BK331" s="49">
        <f t="shared" ca="1" si="94"/>
        <v>0</v>
      </c>
      <c r="BL331" s="49">
        <f t="shared" ca="1" si="94"/>
        <v>0</v>
      </c>
      <c r="BM331" s="49">
        <f t="shared" ca="1" si="94"/>
        <v>0</v>
      </c>
      <c r="BN331" s="49">
        <f t="shared" ca="1" si="94"/>
        <v>0</v>
      </c>
      <c r="BO331" s="49">
        <f t="shared" ca="1" si="94"/>
        <v>0</v>
      </c>
      <c r="BP331" s="49">
        <f t="shared" ca="1" si="94"/>
        <v>0</v>
      </c>
      <c r="BQ331" s="49">
        <f t="shared" ca="1" si="94"/>
        <v>0</v>
      </c>
      <c r="BR331" s="49">
        <f t="shared" ca="1" si="94"/>
        <v>0</v>
      </c>
      <c r="BS331" s="49">
        <f t="shared" ca="1" si="94"/>
        <v>0</v>
      </c>
    </row>
    <row r="332" spans="3:71" outlineLevel="1" x14ac:dyDescent="0.2">
      <c r="J332" s="26"/>
      <c r="L332" s="55"/>
      <c r="M332" s="55"/>
      <c r="N332" s="55"/>
      <c r="O332" s="55"/>
      <c r="P332" s="55"/>
      <c r="Q332" s="55"/>
      <c r="R332" s="55"/>
      <c r="S332" s="55"/>
      <c r="T332" s="55"/>
      <c r="U332" s="55"/>
      <c r="V332" s="55"/>
      <c r="W332" s="55"/>
      <c r="X332" s="55"/>
      <c r="Y332" s="55"/>
      <c r="Z332" s="55"/>
      <c r="AA332" s="55"/>
      <c r="AB332" s="55"/>
      <c r="AC332" s="55"/>
      <c r="AD332" s="55"/>
      <c r="AE332" s="55"/>
      <c r="AF332" s="55"/>
      <c r="AG332" s="55"/>
      <c r="AH332" s="55"/>
      <c r="AI332" s="55"/>
      <c r="AJ332" s="55"/>
      <c r="AK332" s="55"/>
      <c r="AL332" s="55"/>
      <c r="AM332" s="55"/>
      <c r="AN332" s="55"/>
      <c r="AO332" s="55"/>
      <c r="AP332" s="55"/>
      <c r="AQ332" s="55"/>
      <c r="AR332" s="55"/>
      <c r="AS332" s="55"/>
      <c r="AT332" s="55"/>
      <c r="AU332" s="55"/>
      <c r="AV332" s="55"/>
      <c r="AW332" s="55"/>
      <c r="AX332" s="55"/>
      <c r="AY332" s="55"/>
      <c r="AZ332" s="55"/>
      <c r="BA332" s="55"/>
      <c r="BB332" s="55"/>
      <c r="BC332" s="55"/>
      <c r="BD332" s="55"/>
      <c r="BE332" s="55"/>
      <c r="BF332" s="55"/>
      <c r="BG332" s="55"/>
      <c r="BH332" s="55"/>
      <c r="BI332" s="55"/>
      <c r="BJ332" s="55"/>
      <c r="BK332" s="55"/>
      <c r="BL332" s="55"/>
      <c r="BM332" s="55"/>
      <c r="BN332" s="55"/>
      <c r="BO332" s="55"/>
      <c r="BP332" s="55"/>
      <c r="BQ332" s="55"/>
      <c r="BR332" s="55"/>
      <c r="BS332" s="55"/>
    </row>
    <row r="333" spans="3:71" outlineLevel="1" x14ac:dyDescent="0.2">
      <c r="C333" s="11" t="str">
        <f>CHOOSE(db_ML_selected,'Liste Traduction'!B364,'Liste Traduction'!C364)</f>
        <v>Participation</v>
      </c>
      <c r="J333" s="26"/>
      <c r="L333" s="55"/>
      <c r="M333" s="55"/>
      <c r="N333" s="55"/>
      <c r="O333" s="55"/>
      <c r="P333" s="55"/>
      <c r="Q333" s="55"/>
      <c r="R333" s="55"/>
      <c r="S333" s="55"/>
      <c r="T333" s="55"/>
      <c r="U333" s="55"/>
      <c r="V333" s="55"/>
      <c r="W333" s="55"/>
      <c r="X333" s="55"/>
      <c r="Y333" s="55"/>
      <c r="Z333" s="55"/>
      <c r="AA333" s="55"/>
      <c r="AB333" s="55"/>
      <c r="AC333" s="55"/>
      <c r="AD333" s="55"/>
      <c r="AE333" s="55"/>
      <c r="AF333" s="55"/>
      <c r="AG333" s="55"/>
      <c r="AH333" s="55"/>
      <c r="AI333" s="55"/>
      <c r="AJ333" s="55"/>
      <c r="AK333" s="55"/>
      <c r="AL333" s="55"/>
      <c r="AM333" s="55"/>
      <c r="AN333" s="55"/>
      <c r="AO333" s="55"/>
      <c r="AP333" s="55"/>
      <c r="AQ333" s="55"/>
      <c r="AR333" s="55"/>
      <c r="AS333" s="55"/>
      <c r="AT333" s="55"/>
      <c r="AU333" s="55"/>
      <c r="AV333" s="55"/>
      <c r="AW333" s="55"/>
      <c r="AX333" s="55"/>
      <c r="AY333" s="55"/>
      <c r="AZ333" s="55"/>
      <c r="BA333" s="55"/>
      <c r="BB333" s="55"/>
      <c r="BC333" s="55"/>
      <c r="BD333" s="55"/>
      <c r="BE333" s="55"/>
      <c r="BF333" s="55"/>
      <c r="BG333" s="55"/>
      <c r="BH333" s="55"/>
      <c r="BI333" s="55"/>
      <c r="BJ333" s="55"/>
      <c r="BK333" s="55"/>
      <c r="BL333" s="55"/>
      <c r="BM333" s="55"/>
      <c r="BN333" s="55"/>
      <c r="BO333" s="55"/>
      <c r="BP333" s="55"/>
      <c r="BQ333" s="55"/>
      <c r="BR333" s="55"/>
      <c r="BS333" s="55"/>
    </row>
    <row r="334" spans="3:71" outlineLevel="1" x14ac:dyDescent="0.2">
      <c r="D334" t="str">
        <f>CHOOSE(db_ML_selected,'Liste Traduction'!B262,'Liste Traduction'!C262)</f>
        <v>Consortium compagnie pétrolières internationales</v>
      </c>
      <c r="J334" s="26" t="s">
        <v>90</v>
      </c>
      <c r="K334" s="7" t="s">
        <v>340</v>
      </c>
      <c r="L334" s="53">
        <f ca="1">HM_ZA_Nkossa!IOC_WI_perc*HM_ZA_Nkossa!CA_op_trig</f>
        <v>0.85</v>
      </c>
      <c r="M334" s="53">
        <f ca="1">HM_ZA_Nkossa!IOC_WI_perc*HM_ZA_Nkossa!CA_op_trig</f>
        <v>0.85</v>
      </c>
      <c r="N334" s="53">
        <f ca="1">HM_ZA_Nkossa!IOC_WI_perc*HM_ZA_Nkossa!CA_op_trig</f>
        <v>0.85</v>
      </c>
      <c r="O334" s="53">
        <f ca="1">HM_ZA_Nkossa!IOC_WI_perc*HM_ZA_Nkossa!CA_op_trig</f>
        <v>0.85</v>
      </c>
      <c r="P334" s="53">
        <f ca="1">HM_ZA_Nkossa!IOC_WI_perc*HM_ZA_Nkossa!CA_op_trig</f>
        <v>0.85</v>
      </c>
      <c r="Q334" s="53">
        <f ca="1">HM_ZA_Nkossa!IOC_WI_perc*HM_ZA_Nkossa!CA_op_trig</f>
        <v>0.85</v>
      </c>
      <c r="R334" s="53">
        <f ca="1">HM_ZA_Nkossa!IOC_WI_perc*HM_ZA_Nkossa!CA_op_trig</f>
        <v>0.85</v>
      </c>
      <c r="S334" s="53">
        <f ca="1">HM_ZA_Nkossa!IOC_WI_perc*HM_ZA_Nkossa!CA_op_trig</f>
        <v>0.85</v>
      </c>
      <c r="T334" s="53">
        <f ca="1">HM_ZA_Nkossa!IOC_WI_perc*HM_ZA_Nkossa!CA_op_trig</f>
        <v>0.85</v>
      </c>
      <c r="U334" s="53">
        <f ca="1">HM_ZA_Nkossa!IOC_WI_perc*HM_ZA_Nkossa!CA_op_trig</f>
        <v>0.85</v>
      </c>
      <c r="V334" s="53">
        <f ca="1">HM_ZA_Nkossa!IOC_WI_perc*HM_ZA_Nkossa!CA_op_trig</f>
        <v>0.85</v>
      </c>
      <c r="W334" s="53">
        <f ca="1">HM_ZA_Nkossa!IOC_WI_perc*HM_ZA_Nkossa!CA_op_trig</f>
        <v>0.85</v>
      </c>
      <c r="X334" s="53">
        <f ca="1">HM_ZA_Nkossa!IOC_WI_perc*HM_ZA_Nkossa!CA_op_trig</f>
        <v>0.85</v>
      </c>
      <c r="Y334" s="53">
        <f ca="1">HM_ZA_Nkossa!IOC_WI_perc*HM_ZA_Nkossa!CA_op_trig</f>
        <v>0</v>
      </c>
      <c r="Z334" s="53">
        <f ca="1">HM_ZA_Nkossa!IOC_WI_perc*HM_ZA_Nkossa!CA_op_trig</f>
        <v>0</v>
      </c>
      <c r="AA334" s="53">
        <f ca="1">HM_ZA_Nkossa!IOC_WI_perc*HM_ZA_Nkossa!CA_op_trig</f>
        <v>0</v>
      </c>
      <c r="AB334" s="53">
        <f ca="1">HM_ZA_Nkossa!IOC_WI_perc*HM_ZA_Nkossa!CA_op_trig</f>
        <v>0</v>
      </c>
      <c r="AC334" s="53">
        <f ca="1">HM_ZA_Nkossa!IOC_WI_perc*HM_ZA_Nkossa!CA_op_trig</f>
        <v>0</v>
      </c>
      <c r="AD334" s="53">
        <f ca="1">HM_ZA_Nkossa!IOC_WI_perc*HM_ZA_Nkossa!CA_op_trig</f>
        <v>0</v>
      </c>
      <c r="AE334" s="53">
        <f ca="1">HM_ZA_Nkossa!IOC_WI_perc*HM_ZA_Nkossa!CA_op_trig</f>
        <v>0</v>
      </c>
      <c r="AF334" s="53">
        <f ca="1">HM_ZA_Nkossa!IOC_WI_perc*HM_ZA_Nkossa!CA_op_trig</f>
        <v>0</v>
      </c>
      <c r="AG334" s="53">
        <f ca="1">HM_ZA_Nkossa!IOC_WI_perc*HM_ZA_Nkossa!CA_op_trig</f>
        <v>0</v>
      </c>
      <c r="AH334" s="53">
        <f ca="1">HM_ZA_Nkossa!IOC_WI_perc*HM_ZA_Nkossa!CA_op_trig</f>
        <v>0</v>
      </c>
      <c r="AI334" s="53">
        <f ca="1">HM_ZA_Nkossa!IOC_WI_perc*HM_ZA_Nkossa!CA_op_trig</f>
        <v>0</v>
      </c>
      <c r="AJ334" s="53">
        <f ca="1">HM_ZA_Nkossa!IOC_WI_perc*HM_ZA_Nkossa!CA_op_trig</f>
        <v>0</v>
      </c>
      <c r="AK334" s="53">
        <f ca="1">HM_ZA_Nkossa!IOC_WI_perc*HM_ZA_Nkossa!CA_op_trig</f>
        <v>0</v>
      </c>
      <c r="AL334" s="53">
        <f ca="1">HM_ZA_Nkossa!IOC_WI_perc*HM_ZA_Nkossa!CA_op_trig</f>
        <v>0</v>
      </c>
      <c r="AM334" s="53">
        <f ca="1">HM_ZA_Nkossa!IOC_WI_perc*HM_ZA_Nkossa!CA_op_trig</f>
        <v>0</v>
      </c>
      <c r="AN334" s="53">
        <f ca="1">HM_ZA_Nkossa!IOC_WI_perc*HM_ZA_Nkossa!CA_op_trig</f>
        <v>0</v>
      </c>
      <c r="AO334" s="53">
        <f ca="1">HM_ZA_Nkossa!IOC_WI_perc*HM_ZA_Nkossa!CA_op_trig</f>
        <v>0</v>
      </c>
      <c r="AP334" s="53">
        <f ca="1">HM_ZA_Nkossa!IOC_WI_perc*HM_ZA_Nkossa!CA_op_trig</f>
        <v>0</v>
      </c>
      <c r="AQ334" s="53">
        <f ca="1">HM_ZA_Nkossa!IOC_WI_perc*HM_ZA_Nkossa!CA_op_trig</f>
        <v>0</v>
      </c>
      <c r="AR334" s="53">
        <f ca="1">HM_ZA_Nkossa!IOC_WI_perc*HM_ZA_Nkossa!CA_op_trig</f>
        <v>0</v>
      </c>
      <c r="AS334" s="53">
        <f ca="1">HM_ZA_Nkossa!IOC_WI_perc*HM_ZA_Nkossa!CA_op_trig</f>
        <v>0</v>
      </c>
      <c r="AT334" s="53">
        <f ca="1">HM_ZA_Nkossa!IOC_WI_perc*HM_ZA_Nkossa!CA_op_trig</f>
        <v>0</v>
      </c>
      <c r="AU334" s="53">
        <f ca="1">HM_ZA_Nkossa!IOC_WI_perc*HM_ZA_Nkossa!CA_op_trig</f>
        <v>0</v>
      </c>
      <c r="AV334" s="53">
        <f ca="1">HM_ZA_Nkossa!IOC_WI_perc*HM_ZA_Nkossa!CA_op_trig</f>
        <v>0</v>
      </c>
      <c r="AW334" s="53">
        <f ca="1">HM_ZA_Nkossa!IOC_WI_perc*HM_ZA_Nkossa!CA_op_trig</f>
        <v>0</v>
      </c>
      <c r="AX334" s="53">
        <f ca="1">HM_ZA_Nkossa!IOC_WI_perc*HM_ZA_Nkossa!CA_op_trig</f>
        <v>0</v>
      </c>
      <c r="AY334" s="53">
        <f ca="1">HM_ZA_Nkossa!IOC_WI_perc*HM_ZA_Nkossa!CA_op_trig</f>
        <v>0</v>
      </c>
      <c r="AZ334" s="53">
        <f ca="1">HM_ZA_Nkossa!IOC_WI_perc*HM_ZA_Nkossa!CA_op_trig</f>
        <v>0</v>
      </c>
      <c r="BA334" s="53">
        <f ca="1">HM_ZA_Nkossa!IOC_WI_perc*HM_ZA_Nkossa!CA_op_trig</f>
        <v>0</v>
      </c>
      <c r="BB334" s="53">
        <f ca="1">HM_ZA_Nkossa!IOC_WI_perc*HM_ZA_Nkossa!CA_op_trig</f>
        <v>0</v>
      </c>
      <c r="BC334" s="53">
        <f ca="1">HM_ZA_Nkossa!IOC_WI_perc*HM_ZA_Nkossa!CA_op_trig</f>
        <v>0</v>
      </c>
      <c r="BD334" s="53">
        <f ca="1">HM_ZA_Nkossa!IOC_WI_perc*HM_ZA_Nkossa!CA_op_trig</f>
        <v>0</v>
      </c>
      <c r="BE334" s="53">
        <f ca="1">HM_ZA_Nkossa!IOC_WI_perc*HM_ZA_Nkossa!CA_op_trig</f>
        <v>0</v>
      </c>
      <c r="BF334" s="53">
        <f ca="1">HM_ZA_Nkossa!IOC_WI_perc*HM_ZA_Nkossa!CA_op_trig</f>
        <v>0</v>
      </c>
      <c r="BG334" s="53">
        <f ca="1">HM_ZA_Nkossa!IOC_WI_perc*HM_ZA_Nkossa!CA_op_trig</f>
        <v>0</v>
      </c>
      <c r="BH334" s="53">
        <f ca="1">HM_ZA_Nkossa!IOC_WI_perc*HM_ZA_Nkossa!CA_op_trig</f>
        <v>0</v>
      </c>
      <c r="BI334" s="53">
        <f ca="1">HM_ZA_Nkossa!IOC_WI_perc*HM_ZA_Nkossa!CA_op_trig</f>
        <v>0</v>
      </c>
      <c r="BJ334" s="53">
        <f ca="1">HM_ZA_Nkossa!IOC_WI_perc*HM_ZA_Nkossa!CA_op_trig</f>
        <v>0</v>
      </c>
      <c r="BK334" s="53">
        <f ca="1">HM_ZA_Nkossa!IOC_WI_perc*HM_ZA_Nkossa!CA_op_trig</f>
        <v>0</v>
      </c>
      <c r="BL334" s="53">
        <f ca="1">HM_ZA_Nkossa!IOC_WI_perc*HM_ZA_Nkossa!CA_op_trig</f>
        <v>0</v>
      </c>
      <c r="BM334" s="53">
        <f ca="1">HM_ZA_Nkossa!IOC_WI_perc*HM_ZA_Nkossa!CA_op_trig</f>
        <v>0</v>
      </c>
      <c r="BN334" s="53">
        <f ca="1">HM_ZA_Nkossa!IOC_WI_perc*HM_ZA_Nkossa!CA_op_trig</f>
        <v>0</v>
      </c>
      <c r="BO334" s="53">
        <f ca="1">HM_ZA_Nkossa!IOC_WI_perc*HM_ZA_Nkossa!CA_op_trig</f>
        <v>0</v>
      </c>
      <c r="BP334" s="53">
        <f ca="1">HM_ZA_Nkossa!IOC_WI_perc*HM_ZA_Nkossa!CA_op_trig</f>
        <v>0</v>
      </c>
      <c r="BQ334" s="53">
        <f ca="1">HM_ZA_Nkossa!IOC_WI_perc*HM_ZA_Nkossa!CA_op_trig</f>
        <v>0</v>
      </c>
      <c r="BR334" s="53">
        <f ca="1">HM_ZA_Nkossa!IOC_WI_perc*HM_ZA_Nkossa!CA_op_trig</f>
        <v>0</v>
      </c>
      <c r="BS334" s="53">
        <f ca="1">HM_ZA_Nkossa!IOC_WI_perc*HM_ZA_Nkossa!CA_op_trig</f>
        <v>0</v>
      </c>
    </row>
    <row r="335" spans="3:71" outlineLevel="1" x14ac:dyDescent="0.2">
      <c r="D335" t="str">
        <f>CHOOSE(db_ML_selected,'Liste Traduction'!B365,'Liste Traduction'!C365)</f>
        <v>Participation compagnie nationale/État</v>
      </c>
      <c r="J335" s="26" t="s">
        <v>90</v>
      </c>
      <c r="K335" s="7" t="s">
        <v>341</v>
      </c>
      <c r="L335" s="53">
        <f ca="1">HM_ZA_Nkossa!NOC_WI_perc*HM_ZA_Nkossa!CA_op_trig</f>
        <v>0.15</v>
      </c>
      <c r="M335" s="53">
        <f ca="1">HM_ZA_Nkossa!NOC_WI_perc*HM_ZA_Nkossa!CA_op_trig</f>
        <v>0.15</v>
      </c>
      <c r="N335" s="53">
        <f ca="1">HM_ZA_Nkossa!NOC_WI_perc*HM_ZA_Nkossa!CA_op_trig</f>
        <v>0.15</v>
      </c>
      <c r="O335" s="53">
        <f ca="1">HM_ZA_Nkossa!NOC_WI_perc*HM_ZA_Nkossa!CA_op_trig</f>
        <v>0.15</v>
      </c>
      <c r="P335" s="53">
        <f ca="1">HM_ZA_Nkossa!NOC_WI_perc*HM_ZA_Nkossa!CA_op_trig</f>
        <v>0.15</v>
      </c>
      <c r="Q335" s="53">
        <f ca="1">HM_ZA_Nkossa!NOC_WI_perc*HM_ZA_Nkossa!CA_op_trig</f>
        <v>0.15</v>
      </c>
      <c r="R335" s="53">
        <f ca="1">HM_ZA_Nkossa!NOC_WI_perc*HM_ZA_Nkossa!CA_op_trig</f>
        <v>0.15</v>
      </c>
      <c r="S335" s="53">
        <f ca="1">HM_ZA_Nkossa!NOC_WI_perc*HM_ZA_Nkossa!CA_op_trig</f>
        <v>0.15</v>
      </c>
      <c r="T335" s="53">
        <f ca="1">HM_ZA_Nkossa!NOC_WI_perc*HM_ZA_Nkossa!CA_op_trig</f>
        <v>0.15</v>
      </c>
      <c r="U335" s="53">
        <f ca="1">HM_ZA_Nkossa!NOC_WI_perc*HM_ZA_Nkossa!CA_op_trig</f>
        <v>0.15</v>
      </c>
      <c r="V335" s="53">
        <f ca="1">HM_ZA_Nkossa!NOC_WI_perc*HM_ZA_Nkossa!CA_op_trig</f>
        <v>0.15</v>
      </c>
      <c r="W335" s="53">
        <f ca="1">HM_ZA_Nkossa!NOC_WI_perc*HM_ZA_Nkossa!CA_op_trig</f>
        <v>0.15</v>
      </c>
      <c r="X335" s="53">
        <f ca="1">HM_ZA_Nkossa!NOC_WI_perc*HM_ZA_Nkossa!CA_op_trig</f>
        <v>0.15</v>
      </c>
      <c r="Y335" s="53">
        <f ca="1">HM_ZA_Nkossa!NOC_WI_perc*HM_ZA_Nkossa!CA_op_trig</f>
        <v>0</v>
      </c>
      <c r="Z335" s="53">
        <f ca="1">HM_ZA_Nkossa!NOC_WI_perc*HM_ZA_Nkossa!CA_op_trig</f>
        <v>0</v>
      </c>
      <c r="AA335" s="53">
        <f ca="1">HM_ZA_Nkossa!NOC_WI_perc*HM_ZA_Nkossa!CA_op_trig</f>
        <v>0</v>
      </c>
      <c r="AB335" s="53">
        <f ca="1">HM_ZA_Nkossa!NOC_WI_perc*HM_ZA_Nkossa!CA_op_trig</f>
        <v>0</v>
      </c>
      <c r="AC335" s="53">
        <f ca="1">HM_ZA_Nkossa!NOC_WI_perc*HM_ZA_Nkossa!CA_op_trig</f>
        <v>0</v>
      </c>
      <c r="AD335" s="53">
        <f ca="1">HM_ZA_Nkossa!NOC_WI_perc*HM_ZA_Nkossa!CA_op_trig</f>
        <v>0</v>
      </c>
      <c r="AE335" s="53">
        <f ca="1">HM_ZA_Nkossa!NOC_WI_perc*HM_ZA_Nkossa!CA_op_trig</f>
        <v>0</v>
      </c>
      <c r="AF335" s="53">
        <f ca="1">HM_ZA_Nkossa!NOC_WI_perc*HM_ZA_Nkossa!CA_op_trig</f>
        <v>0</v>
      </c>
      <c r="AG335" s="53">
        <f ca="1">HM_ZA_Nkossa!NOC_WI_perc*HM_ZA_Nkossa!CA_op_trig</f>
        <v>0</v>
      </c>
      <c r="AH335" s="53">
        <f ca="1">HM_ZA_Nkossa!NOC_WI_perc*HM_ZA_Nkossa!CA_op_trig</f>
        <v>0</v>
      </c>
      <c r="AI335" s="53">
        <f ca="1">HM_ZA_Nkossa!NOC_WI_perc*HM_ZA_Nkossa!CA_op_trig</f>
        <v>0</v>
      </c>
      <c r="AJ335" s="53">
        <f ca="1">HM_ZA_Nkossa!NOC_WI_perc*HM_ZA_Nkossa!CA_op_trig</f>
        <v>0</v>
      </c>
      <c r="AK335" s="53">
        <f ca="1">HM_ZA_Nkossa!NOC_WI_perc*HM_ZA_Nkossa!CA_op_trig</f>
        <v>0</v>
      </c>
      <c r="AL335" s="53">
        <f ca="1">HM_ZA_Nkossa!NOC_WI_perc*HM_ZA_Nkossa!CA_op_trig</f>
        <v>0</v>
      </c>
      <c r="AM335" s="53">
        <f ca="1">HM_ZA_Nkossa!NOC_WI_perc*HM_ZA_Nkossa!CA_op_trig</f>
        <v>0</v>
      </c>
      <c r="AN335" s="53">
        <f ca="1">HM_ZA_Nkossa!NOC_WI_perc*HM_ZA_Nkossa!CA_op_trig</f>
        <v>0</v>
      </c>
      <c r="AO335" s="53">
        <f ca="1">HM_ZA_Nkossa!NOC_WI_perc*HM_ZA_Nkossa!CA_op_trig</f>
        <v>0</v>
      </c>
      <c r="AP335" s="53">
        <f ca="1">HM_ZA_Nkossa!NOC_WI_perc*HM_ZA_Nkossa!CA_op_trig</f>
        <v>0</v>
      </c>
      <c r="AQ335" s="53">
        <f ca="1">HM_ZA_Nkossa!NOC_WI_perc*HM_ZA_Nkossa!CA_op_trig</f>
        <v>0</v>
      </c>
      <c r="AR335" s="53">
        <f ca="1">HM_ZA_Nkossa!NOC_WI_perc*HM_ZA_Nkossa!CA_op_trig</f>
        <v>0</v>
      </c>
      <c r="AS335" s="53">
        <f ca="1">HM_ZA_Nkossa!NOC_WI_perc*HM_ZA_Nkossa!CA_op_trig</f>
        <v>0</v>
      </c>
      <c r="AT335" s="53">
        <f ca="1">HM_ZA_Nkossa!NOC_WI_perc*HM_ZA_Nkossa!CA_op_trig</f>
        <v>0</v>
      </c>
      <c r="AU335" s="53">
        <f ca="1">HM_ZA_Nkossa!NOC_WI_perc*HM_ZA_Nkossa!CA_op_trig</f>
        <v>0</v>
      </c>
      <c r="AV335" s="53">
        <f ca="1">HM_ZA_Nkossa!NOC_WI_perc*HM_ZA_Nkossa!CA_op_trig</f>
        <v>0</v>
      </c>
      <c r="AW335" s="53">
        <f ca="1">HM_ZA_Nkossa!NOC_WI_perc*HM_ZA_Nkossa!CA_op_trig</f>
        <v>0</v>
      </c>
      <c r="AX335" s="53">
        <f ca="1">HM_ZA_Nkossa!NOC_WI_perc*HM_ZA_Nkossa!CA_op_trig</f>
        <v>0</v>
      </c>
      <c r="AY335" s="53">
        <f ca="1">HM_ZA_Nkossa!NOC_WI_perc*HM_ZA_Nkossa!CA_op_trig</f>
        <v>0</v>
      </c>
      <c r="AZ335" s="53">
        <f ca="1">HM_ZA_Nkossa!NOC_WI_perc*HM_ZA_Nkossa!CA_op_trig</f>
        <v>0</v>
      </c>
      <c r="BA335" s="53">
        <f ca="1">HM_ZA_Nkossa!NOC_WI_perc*HM_ZA_Nkossa!CA_op_trig</f>
        <v>0</v>
      </c>
      <c r="BB335" s="53">
        <f ca="1">HM_ZA_Nkossa!NOC_WI_perc*HM_ZA_Nkossa!CA_op_trig</f>
        <v>0</v>
      </c>
      <c r="BC335" s="53">
        <f ca="1">HM_ZA_Nkossa!NOC_WI_perc*HM_ZA_Nkossa!CA_op_trig</f>
        <v>0</v>
      </c>
      <c r="BD335" s="53">
        <f ca="1">HM_ZA_Nkossa!NOC_WI_perc*HM_ZA_Nkossa!CA_op_trig</f>
        <v>0</v>
      </c>
      <c r="BE335" s="53">
        <f ca="1">HM_ZA_Nkossa!NOC_WI_perc*HM_ZA_Nkossa!CA_op_trig</f>
        <v>0</v>
      </c>
      <c r="BF335" s="53">
        <f ca="1">HM_ZA_Nkossa!NOC_WI_perc*HM_ZA_Nkossa!CA_op_trig</f>
        <v>0</v>
      </c>
      <c r="BG335" s="53">
        <f ca="1">HM_ZA_Nkossa!NOC_WI_perc*HM_ZA_Nkossa!CA_op_trig</f>
        <v>0</v>
      </c>
      <c r="BH335" s="53">
        <f ca="1">HM_ZA_Nkossa!NOC_WI_perc*HM_ZA_Nkossa!CA_op_trig</f>
        <v>0</v>
      </c>
      <c r="BI335" s="53">
        <f ca="1">HM_ZA_Nkossa!NOC_WI_perc*HM_ZA_Nkossa!CA_op_trig</f>
        <v>0</v>
      </c>
      <c r="BJ335" s="53">
        <f ca="1">HM_ZA_Nkossa!NOC_WI_perc*HM_ZA_Nkossa!CA_op_trig</f>
        <v>0</v>
      </c>
      <c r="BK335" s="53">
        <f ca="1">HM_ZA_Nkossa!NOC_WI_perc*HM_ZA_Nkossa!CA_op_trig</f>
        <v>0</v>
      </c>
      <c r="BL335" s="53">
        <f ca="1">HM_ZA_Nkossa!NOC_WI_perc*HM_ZA_Nkossa!CA_op_trig</f>
        <v>0</v>
      </c>
      <c r="BM335" s="53">
        <f ca="1">HM_ZA_Nkossa!NOC_WI_perc*HM_ZA_Nkossa!CA_op_trig</f>
        <v>0</v>
      </c>
      <c r="BN335" s="53">
        <f ca="1">HM_ZA_Nkossa!NOC_WI_perc*HM_ZA_Nkossa!CA_op_trig</f>
        <v>0</v>
      </c>
      <c r="BO335" s="53">
        <f ca="1">HM_ZA_Nkossa!NOC_WI_perc*HM_ZA_Nkossa!CA_op_trig</f>
        <v>0</v>
      </c>
      <c r="BP335" s="53">
        <f ca="1">HM_ZA_Nkossa!NOC_WI_perc*HM_ZA_Nkossa!CA_op_trig</f>
        <v>0</v>
      </c>
      <c r="BQ335" s="53">
        <f ca="1">HM_ZA_Nkossa!NOC_WI_perc*HM_ZA_Nkossa!CA_op_trig</f>
        <v>0</v>
      </c>
      <c r="BR335" s="53">
        <f ca="1">HM_ZA_Nkossa!NOC_WI_perc*HM_ZA_Nkossa!CA_op_trig</f>
        <v>0</v>
      </c>
      <c r="BS335" s="53">
        <f ca="1">HM_ZA_Nkossa!NOC_WI_perc*HM_ZA_Nkossa!CA_op_trig</f>
        <v>0</v>
      </c>
    </row>
    <row r="336" spans="3:71" outlineLevel="1" x14ac:dyDescent="0.2">
      <c r="J336" s="26"/>
      <c r="L336" s="55"/>
      <c r="M336" s="55"/>
      <c r="N336" s="55"/>
      <c r="O336" s="55"/>
      <c r="P336" s="55"/>
      <c r="Q336" s="55"/>
      <c r="R336" s="55"/>
      <c r="S336" s="55"/>
      <c r="T336" s="55"/>
      <c r="U336" s="55"/>
      <c r="V336" s="55"/>
      <c r="W336" s="55"/>
      <c r="X336" s="55"/>
      <c r="Y336" s="55"/>
      <c r="Z336" s="55"/>
      <c r="AA336" s="55"/>
      <c r="AB336" s="55"/>
      <c r="AC336" s="55"/>
      <c r="AD336" s="55"/>
      <c r="AE336" s="55"/>
      <c r="AF336" s="55"/>
      <c r="AG336" s="55"/>
      <c r="AH336" s="55"/>
      <c r="AI336" s="55"/>
      <c r="AJ336" s="55"/>
      <c r="AK336" s="55"/>
      <c r="AL336" s="55"/>
      <c r="AM336" s="55"/>
      <c r="AN336" s="55"/>
      <c r="AO336" s="55"/>
      <c r="AP336" s="55"/>
      <c r="AQ336" s="55"/>
      <c r="AR336" s="55"/>
      <c r="AS336" s="55"/>
      <c r="AT336" s="55"/>
      <c r="AU336" s="55"/>
      <c r="AV336" s="55"/>
      <c r="AW336" s="55"/>
      <c r="AX336" s="55"/>
      <c r="AY336" s="55"/>
      <c r="AZ336" s="55"/>
      <c r="BA336" s="55"/>
      <c r="BB336" s="55"/>
      <c r="BC336" s="55"/>
      <c r="BD336" s="55"/>
      <c r="BE336" s="55"/>
      <c r="BF336" s="55"/>
      <c r="BG336" s="55"/>
      <c r="BH336" s="55"/>
      <c r="BI336" s="55"/>
      <c r="BJ336" s="55"/>
      <c r="BK336" s="55"/>
      <c r="BL336" s="55"/>
      <c r="BM336" s="55"/>
      <c r="BN336" s="55"/>
      <c r="BO336" s="55"/>
      <c r="BP336" s="55"/>
      <c r="BQ336" s="55"/>
      <c r="BR336" s="55"/>
      <c r="BS336" s="55"/>
    </row>
    <row r="337" spans="3:71" outlineLevel="1" x14ac:dyDescent="0.2">
      <c r="C337" s="11" t="str">
        <f>CHOOSE(db_ML_selected,'Liste Traduction'!B366,'Liste Traduction'!C366)</f>
        <v>Revenus des droits selon participation -pétrole</v>
      </c>
      <c r="J337" s="26"/>
      <c r="L337" s="55"/>
      <c r="M337" s="55"/>
      <c r="N337" s="55"/>
      <c r="O337" s="55"/>
      <c r="P337" s="55"/>
      <c r="Q337" s="55"/>
      <c r="R337" s="55"/>
      <c r="S337" s="55"/>
      <c r="T337" s="55"/>
      <c r="U337" s="55"/>
      <c r="V337" s="55"/>
      <c r="W337" s="55"/>
      <c r="X337" s="55"/>
      <c r="Y337" s="55"/>
      <c r="Z337" s="55"/>
      <c r="AA337" s="55"/>
      <c r="AB337" s="55"/>
      <c r="AC337" s="55"/>
      <c r="AD337" s="55"/>
      <c r="AE337" s="55"/>
      <c r="AF337" s="55"/>
      <c r="AG337" s="55"/>
      <c r="AH337" s="55"/>
      <c r="AI337" s="55"/>
      <c r="AJ337" s="55"/>
      <c r="AK337" s="55"/>
      <c r="AL337" s="55"/>
      <c r="AM337" s="55"/>
      <c r="AN337" s="55"/>
      <c r="AO337" s="55"/>
      <c r="AP337" s="55"/>
      <c r="AQ337" s="55"/>
      <c r="AR337" s="55"/>
      <c r="AS337" s="55"/>
      <c r="AT337" s="55"/>
      <c r="AU337" s="55"/>
      <c r="AV337" s="55"/>
      <c r="AW337" s="55"/>
      <c r="AX337" s="55"/>
      <c r="AY337" s="55"/>
      <c r="AZ337" s="55"/>
      <c r="BA337" s="55"/>
      <c r="BB337" s="55"/>
      <c r="BC337" s="55"/>
      <c r="BD337" s="55"/>
      <c r="BE337" s="55"/>
      <c r="BF337" s="55"/>
      <c r="BG337" s="55"/>
      <c r="BH337" s="55"/>
      <c r="BI337" s="55"/>
      <c r="BJ337" s="55"/>
      <c r="BK337" s="55"/>
      <c r="BL337" s="55"/>
      <c r="BM337" s="55"/>
      <c r="BN337" s="55"/>
      <c r="BO337" s="55"/>
      <c r="BP337" s="55"/>
      <c r="BQ337" s="55"/>
      <c r="BR337" s="55"/>
      <c r="BS337" s="55"/>
    </row>
    <row r="338" spans="3:71" outlineLevel="1" x14ac:dyDescent="0.2">
      <c r="D338" t="str">
        <f>D334</f>
        <v>Consortium compagnie pétrolières internationales</v>
      </c>
      <c r="I338" s="30">
        <f t="shared" ref="I338:I340" ca="1" si="95">SUM($L338:$BS338)</f>
        <v>2630.6187524267125</v>
      </c>
      <c r="J338" s="26" t="s">
        <v>148</v>
      </c>
      <c r="L338" s="49">
        <f ca="1">HM_ZA_Nkossa!CA_ent_rev_oil*HM_ZA_Nkossa!CA_IOC_WI</f>
        <v>246.79285572010497</v>
      </c>
      <c r="M338" s="49">
        <f ca="1">HM_ZA_Nkossa!CA_ent_rev_oil*HM_ZA_Nkossa!CA_IOC_WI</f>
        <v>284.67293999685455</v>
      </c>
      <c r="N338" s="49">
        <f ca="1">HM_ZA_Nkossa!CA_ent_rev_oil*HM_ZA_Nkossa!CA_IOC_WI</f>
        <v>194.19077058569698</v>
      </c>
      <c r="O338" s="49">
        <f ca="1">HM_ZA_Nkossa!CA_ent_rev_oil*HM_ZA_Nkossa!CA_IOC_WI</f>
        <v>203.85851921960099</v>
      </c>
      <c r="P338" s="49">
        <f ca="1">HM_ZA_Nkossa!CA_ent_rev_oil*HM_ZA_Nkossa!CA_IOC_WI</f>
        <v>257.85730264514507</v>
      </c>
      <c r="Q338" s="49">
        <f ca="1">HM_ZA_Nkossa!CA_ent_rev_oil*HM_ZA_Nkossa!CA_IOC_WI</f>
        <v>275.36141222034195</v>
      </c>
      <c r="R338" s="49">
        <f ca="1">HM_ZA_Nkossa!CA_ent_rev_oil*HM_ZA_Nkossa!CA_IOC_WI</f>
        <v>263.97297129343002</v>
      </c>
      <c r="S338" s="49">
        <f ca="1">HM_ZA_Nkossa!CA_ent_rev_oil*HM_ZA_Nkossa!CA_IOC_WI</f>
        <v>122.31631070283333</v>
      </c>
      <c r="T338" s="49">
        <f ca="1">HM_ZA_Nkossa!CA_ent_rev_oil*HM_ZA_Nkossa!CA_IOC_WI</f>
        <v>166.45441383567356</v>
      </c>
      <c r="U338" s="49">
        <f ca="1">HM_ZA_Nkossa!CA_ent_rev_oil*HM_ZA_Nkossa!CA_IOC_WI</f>
        <v>166.16313662860799</v>
      </c>
      <c r="V338" s="49">
        <f ca="1">HM_ZA_Nkossa!CA_ent_rev_oil*HM_ZA_Nkossa!CA_IOC_WI</f>
        <v>157.62235140589752</v>
      </c>
      <c r="W338" s="49">
        <f ca="1">HM_ZA_Nkossa!CA_ent_rev_oil*HM_ZA_Nkossa!CA_IOC_WI</f>
        <v>149.52056254363436</v>
      </c>
      <c r="X338" s="49">
        <f ca="1">HM_ZA_Nkossa!CA_ent_rev_oil*HM_ZA_Nkossa!CA_IOC_WI</f>
        <v>141.83520562889154</v>
      </c>
      <c r="Y338" s="49">
        <f ca="1">HM_ZA_Nkossa!CA_ent_rev_oil*HM_ZA_Nkossa!CA_IOC_WI</f>
        <v>0</v>
      </c>
      <c r="Z338" s="49">
        <f ca="1">HM_ZA_Nkossa!CA_ent_rev_oil*HM_ZA_Nkossa!CA_IOC_WI</f>
        <v>0</v>
      </c>
      <c r="AA338" s="49">
        <f ca="1">HM_ZA_Nkossa!CA_ent_rev_oil*HM_ZA_Nkossa!CA_IOC_WI</f>
        <v>0</v>
      </c>
      <c r="AB338" s="49">
        <f ca="1">HM_ZA_Nkossa!CA_ent_rev_oil*HM_ZA_Nkossa!CA_IOC_WI</f>
        <v>0</v>
      </c>
      <c r="AC338" s="49">
        <f ca="1">HM_ZA_Nkossa!CA_ent_rev_oil*HM_ZA_Nkossa!CA_IOC_WI</f>
        <v>0</v>
      </c>
      <c r="AD338" s="49">
        <f ca="1">HM_ZA_Nkossa!CA_ent_rev_oil*HM_ZA_Nkossa!CA_IOC_WI</f>
        <v>0</v>
      </c>
      <c r="AE338" s="49">
        <f ca="1">HM_ZA_Nkossa!CA_ent_rev_oil*HM_ZA_Nkossa!CA_IOC_WI</f>
        <v>0</v>
      </c>
      <c r="AF338" s="49">
        <f ca="1">HM_ZA_Nkossa!CA_ent_rev_oil*HM_ZA_Nkossa!CA_IOC_WI</f>
        <v>0</v>
      </c>
      <c r="AG338" s="49">
        <f ca="1">HM_ZA_Nkossa!CA_ent_rev_oil*HM_ZA_Nkossa!CA_IOC_WI</f>
        <v>0</v>
      </c>
      <c r="AH338" s="49">
        <f ca="1">HM_ZA_Nkossa!CA_ent_rev_oil*HM_ZA_Nkossa!CA_IOC_WI</f>
        <v>0</v>
      </c>
      <c r="AI338" s="49">
        <f ca="1">HM_ZA_Nkossa!CA_ent_rev_oil*HM_ZA_Nkossa!CA_IOC_WI</f>
        <v>0</v>
      </c>
      <c r="AJ338" s="49">
        <f ca="1">HM_ZA_Nkossa!CA_ent_rev_oil*HM_ZA_Nkossa!CA_IOC_WI</f>
        <v>0</v>
      </c>
      <c r="AK338" s="49">
        <f ca="1">HM_ZA_Nkossa!CA_ent_rev_oil*HM_ZA_Nkossa!CA_IOC_WI</f>
        <v>0</v>
      </c>
      <c r="AL338" s="49">
        <f ca="1">HM_ZA_Nkossa!CA_ent_rev_oil*HM_ZA_Nkossa!CA_IOC_WI</f>
        <v>0</v>
      </c>
      <c r="AM338" s="49">
        <f ca="1">HM_ZA_Nkossa!CA_ent_rev_oil*HM_ZA_Nkossa!CA_IOC_WI</f>
        <v>0</v>
      </c>
      <c r="AN338" s="49">
        <f ca="1">HM_ZA_Nkossa!CA_ent_rev_oil*HM_ZA_Nkossa!CA_IOC_WI</f>
        <v>0</v>
      </c>
      <c r="AO338" s="49">
        <f ca="1">HM_ZA_Nkossa!CA_ent_rev_oil*HM_ZA_Nkossa!CA_IOC_WI</f>
        <v>0</v>
      </c>
      <c r="AP338" s="49">
        <f ca="1">HM_ZA_Nkossa!CA_ent_rev_oil*HM_ZA_Nkossa!CA_IOC_WI</f>
        <v>0</v>
      </c>
      <c r="AQ338" s="49">
        <f ca="1">HM_ZA_Nkossa!CA_ent_rev_oil*HM_ZA_Nkossa!CA_IOC_WI</f>
        <v>0</v>
      </c>
      <c r="AR338" s="49">
        <f ca="1">HM_ZA_Nkossa!CA_ent_rev_oil*HM_ZA_Nkossa!CA_IOC_WI</f>
        <v>0</v>
      </c>
      <c r="AS338" s="49">
        <f ca="1">HM_ZA_Nkossa!CA_ent_rev_oil*HM_ZA_Nkossa!CA_IOC_WI</f>
        <v>0</v>
      </c>
      <c r="AT338" s="49">
        <f ca="1">HM_ZA_Nkossa!CA_ent_rev_oil*HM_ZA_Nkossa!CA_IOC_WI</f>
        <v>0</v>
      </c>
      <c r="AU338" s="49">
        <f ca="1">HM_ZA_Nkossa!CA_ent_rev_oil*HM_ZA_Nkossa!CA_IOC_WI</f>
        <v>0</v>
      </c>
      <c r="AV338" s="49">
        <f ca="1">HM_ZA_Nkossa!CA_ent_rev_oil*HM_ZA_Nkossa!CA_IOC_WI</f>
        <v>0</v>
      </c>
      <c r="AW338" s="49">
        <f ca="1">HM_ZA_Nkossa!CA_ent_rev_oil*HM_ZA_Nkossa!CA_IOC_WI</f>
        <v>0</v>
      </c>
      <c r="AX338" s="49">
        <f ca="1">HM_ZA_Nkossa!CA_ent_rev_oil*HM_ZA_Nkossa!CA_IOC_WI</f>
        <v>0</v>
      </c>
      <c r="AY338" s="49">
        <f ca="1">HM_ZA_Nkossa!CA_ent_rev_oil*HM_ZA_Nkossa!CA_IOC_WI</f>
        <v>0</v>
      </c>
      <c r="AZ338" s="49">
        <f ca="1">HM_ZA_Nkossa!CA_ent_rev_oil*HM_ZA_Nkossa!CA_IOC_WI</f>
        <v>0</v>
      </c>
      <c r="BA338" s="49">
        <f ca="1">HM_ZA_Nkossa!CA_ent_rev_oil*HM_ZA_Nkossa!CA_IOC_WI</f>
        <v>0</v>
      </c>
      <c r="BB338" s="49">
        <f ca="1">HM_ZA_Nkossa!CA_ent_rev_oil*HM_ZA_Nkossa!CA_IOC_WI</f>
        <v>0</v>
      </c>
      <c r="BC338" s="49">
        <f ca="1">HM_ZA_Nkossa!CA_ent_rev_oil*HM_ZA_Nkossa!CA_IOC_WI</f>
        <v>0</v>
      </c>
      <c r="BD338" s="49">
        <f ca="1">HM_ZA_Nkossa!CA_ent_rev_oil*HM_ZA_Nkossa!CA_IOC_WI</f>
        <v>0</v>
      </c>
      <c r="BE338" s="49">
        <f ca="1">HM_ZA_Nkossa!CA_ent_rev_oil*HM_ZA_Nkossa!CA_IOC_WI</f>
        <v>0</v>
      </c>
      <c r="BF338" s="49">
        <f ca="1">HM_ZA_Nkossa!CA_ent_rev_oil*HM_ZA_Nkossa!CA_IOC_WI</f>
        <v>0</v>
      </c>
      <c r="BG338" s="49">
        <f ca="1">HM_ZA_Nkossa!CA_ent_rev_oil*HM_ZA_Nkossa!CA_IOC_WI</f>
        <v>0</v>
      </c>
      <c r="BH338" s="49">
        <f ca="1">HM_ZA_Nkossa!CA_ent_rev_oil*HM_ZA_Nkossa!CA_IOC_WI</f>
        <v>0</v>
      </c>
      <c r="BI338" s="49">
        <f ca="1">HM_ZA_Nkossa!CA_ent_rev_oil*HM_ZA_Nkossa!CA_IOC_WI</f>
        <v>0</v>
      </c>
      <c r="BJ338" s="49">
        <f ca="1">HM_ZA_Nkossa!CA_ent_rev_oil*HM_ZA_Nkossa!CA_IOC_WI</f>
        <v>0</v>
      </c>
      <c r="BK338" s="49">
        <f ca="1">HM_ZA_Nkossa!CA_ent_rev_oil*HM_ZA_Nkossa!CA_IOC_WI</f>
        <v>0</v>
      </c>
      <c r="BL338" s="49">
        <f ca="1">HM_ZA_Nkossa!CA_ent_rev_oil*HM_ZA_Nkossa!CA_IOC_WI</f>
        <v>0</v>
      </c>
      <c r="BM338" s="49">
        <f ca="1">HM_ZA_Nkossa!CA_ent_rev_oil*HM_ZA_Nkossa!CA_IOC_WI</f>
        <v>0</v>
      </c>
      <c r="BN338" s="49">
        <f ca="1">HM_ZA_Nkossa!CA_ent_rev_oil*HM_ZA_Nkossa!CA_IOC_WI</f>
        <v>0</v>
      </c>
      <c r="BO338" s="49">
        <f ca="1">HM_ZA_Nkossa!CA_ent_rev_oil*HM_ZA_Nkossa!CA_IOC_WI</f>
        <v>0</v>
      </c>
      <c r="BP338" s="49">
        <f ca="1">HM_ZA_Nkossa!CA_ent_rev_oil*HM_ZA_Nkossa!CA_IOC_WI</f>
        <v>0</v>
      </c>
      <c r="BQ338" s="49">
        <f ca="1">HM_ZA_Nkossa!CA_ent_rev_oil*HM_ZA_Nkossa!CA_IOC_WI</f>
        <v>0</v>
      </c>
      <c r="BR338" s="49">
        <f ca="1">HM_ZA_Nkossa!CA_ent_rev_oil*HM_ZA_Nkossa!CA_IOC_WI</f>
        <v>0</v>
      </c>
      <c r="BS338" s="49">
        <f ca="1">HM_ZA_Nkossa!CA_ent_rev_oil*HM_ZA_Nkossa!CA_IOC_WI</f>
        <v>0</v>
      </c>
    </row>
    <row r="339" spans="3:71" outlineLevel="1" x14ac:dyDescent="0.2">
      <c r="D339" t="str">
        <f>D335</f>
        <v>Participation compagnie nationale/État</v>
      </c>
      <c r="I339" s="30">
        <f t="shared" ca="1" si="95"/>
        <v>464.22683866353759</v>
      </c>
      <c r="J339" s="26" t="s">
        <v>148</v>
      </c>
      <c r="L339" s="49">
        <f ca="1">HM_ZA_Nkossa!CA_ent_rev_oil*HM_ZA_Nkossa!CA_NOC_WI</f>
        <v>43.551680421194995</v>
      </c>
      <c r="M339" s="49">
        <f ca="1">HM_ZA_Nkossa!CA_ent_rev_oil*HM_ZA_Nkossa!CA_NOC_WI</f>
        <v>50.236401175915503</v>
      </c>
      <c r="N339" s="49">
        <f ca="1">HM_ZA_Nkossa!CA_ent_rev_oil*HM_ZA_Nkossa!CA_NOC_WI</f>
        <v>34.268959515123001</v>
      </c>
      <c r="O339" s="49">
        <f ca="1">HM_ZA_Nkossa!CA_ent_rev_oil*HM_ZA_Nkossa!CA_NOC_WI</f>
        <v>35.975032803459001</v>
      </c>
      <c r="P339" s="49">
        <f ca="1">HM_ZA_Nkossa!CA_ent_rev_oil*HM_ZA_Nkossa!CA_NOC_WI</f>
        <v>45.504229878555009</v>
      </c>
      <c r="Q339" s="49">
        <f ca="1">HM_ZA_Nkossa!CA_ent_rev_oil*HM_ZA_Nkossa!CA_NOC_WI</f>
        <v>48.593190391825054</v>
      </c>
      <c r="R339" s="49">
        <f ca="1">HM_ZA_Nkossa!CA_ent_rev_oil*HM_ZA_Nkossa!CA_NOC_WI</f>
        <v>46.583465522370005</v>
      </c>
      <c r="S339" s="49">
        <f ca="1">HM_ZA_Nkossa!CA_ent_rev_oil*HM_ZA_Nkossa!CA_NOC_WI</f>
        <v>21.585231300499998</v>
      </c>
      <c r="T339" s="49">
        <f ca="1">HM_ZA_Nkossa!CA_ent_rev_oil*HM_ZA_Nkossa!CA_NOC_WI</f>
        <v>29.37430832394239</v>
      </c>
      <c r="U339" s="49">
        <f ca="1">HM_ZA_Nkossa!CA_ent_rev_oil*HM_ZA_Nkossa!CA_NOC_WI</f>
        <v>29.322906463871995</v>
      </c>
      <c r="V339" s="49">
        <f ca="1">HM_ZA_Nkossa!CA_ent_rev_oil*HM_ZA_Nkossa!CA_NOC_WI</f>
        <v>27.815709071628977</v>
      </c>
      <c r="W339" s="49">
        <f ca="1">HM_ZA_Nkossa!CA_ent_rev_oil*HM_ZA_Nkossa!CA_NOC_WI</f>
        <v>26.385981625347242</v>
      </c>
      <c r="X339" s="49">
        <f ca="1">HM_ZA_Nkossa!CA_ent_rev_oil*HM_ZA_Nkossa!CA_NOC_WI</f>
        <v>25.02974216980439</v>
      </c>
      <c r="Y339" s="49">
        <f ca="1">HM_ZA_Nkossa!CA_ent_rev_oil*HM_ZA_Nkossa!CA_NOC_WI</f>
        <v>0</v>
      </c>
      <c r="Z339" s="49">
        <f ca="1">HM_ZA_Nkossa!CA_ent_rev_oil*HM_ZA_Nkossa!CA_NOC_WI</f>
        <v>0</v>
      </c>
      <c r="AA339" s="49">
        <f ca="1">HM_ZA_Nkossa!CA_ent_rev_oil*HM_ZA_Nkossa!CA_NOC_WI</f>
        <v>0</v>
      </c>
      <c r="AB339" s="49">
        <f ca="1">HM_ZA_Nkossa!CA_ent_rev_oil*HM_ZA_Nkossa!CA_NOC_WI</f>
        <v>0</v>
      </c>
      <c r="AC339" s="49">
        <f ca="1">HM_ZA_Nkossa!CA_ent_rev_oil*HM_ZA_Nkossa!CA_NOC_WI</f>
        <v>0</v>
      </c>
      <c r="AD339" s="49">
        <f ca="1">HM_ZA_Nkossa!CA_ent_rev_oil*HM_ZA_Nkossa!CA_NOC_WI</f>
        <v>0</v>
      </c>
      <c r="AE339" s="49">
        <f ca="1">HM_ZA_Nkossa!CA_ent_rev_oil*HM_ZA_Nkossa!CA_NOC_WI</f>
        <v>0</v>
      </c>
      <c r="AF339" s="49">
        <f ca="1">HM_ZA_Nkossa!CA_ent_rev_oil*HM_ZA_Nkossa!CA_NOC_WI</f>
        <v>0</v>
      </c>
      <c r="AG339" s="49">
        <f ca="1">HM_ZA_Nkossa!CA_ent_rev_oil*HM_ZA_Nkossa!CA_NOC_WI</f>
        <v>0</v>
      </c>
      <c r="AH339" s="49">
        <f ca="1">HM_ZA_Nkossa!CA_ent_rev_oil*HM_ZA_Nkossa!CA_NOC_WI</f>
        <v>0</v>
      </c>
      <c r="AI339" s="49">
        <f ca="1">HM_ZA_Nkossa!CA_ent_rev_oil*HM_ZA_Nkossa!CA_NOC_WI</f>
        <v>0</v>
      </c>
      <c r="AJ339" s="49">
        <f ca="1">HM_ZA_Nkossa!CA_ent_rev_oil*HM_ZA_Nkossa!CA_NOC_WI</f>
        <v>0</v>
      </c>
      <c r="AK339" s="49">
        <f ca="1">HM_ZA_Nkossa!CA_ent_rev_oil*HM_ZA_Nkossa!CA_NOC_WI</f>
        <v>0</v>
      </c>
      <c r="AL339" s="49">
        <f ca="1">HM_ZA_Nkossa!CA_ent_rev_oil*HM_ZA_Nkossa!CA_NOC_WI</f>
        <v>0</v>
      </c>
      <c r="AM339" s="49">
        <f ca="1">HM_ZA_Nkossa!CA_ent_rev_oil*HM_ZA_Nkossa!CA_NOC_WI</f>
        <v>0</v>
      </c>
      <c r="AN339" s="49">
        <f ca="1">HM_ZA_Nkossa!CA_ent_rev_oil*HM_ZA_Nkossa!CA_NOC_WI</f>
        <v>0</v>
      </c>
      <c r="AO339" s="49">
        <f ca="1">HM_ZA_Nkossa!CA_ent_rev_oil*HM_ZA_Nkossa!CA_NOC_WI</f>
        <v>0</v>
      </c>
      <c r="AP339" s="49">
        <f ca="1">HM_ZA_Nkossa!CA_ent_rev_oil*HM_ZA_Nkossa!CA_NOC_WI</f>
        <v>0</v>
      </c>
      <c r="AQ339" s="49">
        <f ca="1">HM_ZA_Nkossa!CA_ent_rev_oil*HM_ZA_Nkossa!CA_NOC_WI</f>
        <v>0</v>
      </c>
      <c r="AR339" s="49">
        <f ca="1">HM_ZA_Nkossa!CA_ent_rev_oil*HM_ZA_Nkossa!CA_NOC_WI</f>
        <v>0</v>
      </c>
      <c r="AS339" s="49">
        <f ca="1">HM_ZA_Nkossa!CA_ent_rev_oil*HM_ZA_Nkossa!CA_NOC_WI</f>
        <v>0</v>
      </c>
      <c r="AT339" s="49">
        <f ca="1">HM_ZA_Nkossa!CA_ent_rev_oil*HM_ZA_Nkossa!CA_NOC_WI</f>
        <v>0</v>
      </c>
      <c r="AU339" s="49">
        <f ca="1">HM_ZA_Nkossa!CA_ent_rev_oil*HM_ZA_Nkossa!CA_NOC_WI</f>
        <v>0</v>
      </c>
      <c r="AV339" s="49">
        <f ca="1">HM_ZA_Nkossa!CA_ent_rev_oil*HM_ZA_Nkossa!CA_NOC_WI</f>
        <v>0</v>
      </c>
      <c r="AW339" s="49">
        <f ca="1">HM_ZA_Nkossa!CA_ent_rev_oil*HM_ZA_Nkossa!CA_NOC_WI</f>
        <v>0</v>
      </c>
      <c r="AX339" s="49">
        <f ca="1">HM_ZA_Nkossa!CA_ent_rev_oil*HM_ZA_Nkossa!CA_NOC_WI</f>
        <v>0</v>
      </c>
      <c r="AY339" s="49">
        <f ca="1">HM_ZA_Nkossa!CA_ent_rev_oil*HM_ZA_Nkossa!CA_NOC_WI</f>
        <v>0</v>
      </c>
      <c r="AZ339" s="49">
        <f ca="1">HM_ZA_Nkossa!CA_ent_rev_oil*HM_ZA_Nkossa!CA_NOC_WI</f>
        <v>0</v>
      </c>
      <c r="BA339" s="49">
        <f ca="1">HM_ZA_Nkossa!CA_ent_rev_oil*HM_ZA_Nkossa!CA_NOC_WI</f>
        <v>0</v>
      </c>
      <c r="BB339" s="49">
        <f ca="1">HM_ZA_Nkossa!CA_ent_rev_oil*HM_ZA_Nkossa!CA_NOC_WI</f>
        <v>0</v>
      </c>
      <c r="BC339" s="49">
        <f ca="1">HM_ZA_Nkossa!CA_ent_rev_oil*HM_ZA_Nkossa!CA_NOC_WI</f>
        <v>0</v>
      </c>
      <c r="BD339" s="49">
        <f ca="1">HM_ZA_Nkossa!CA_ent_rev_oil*HM_ZA_Nkossa!CA_NOC_WI</f>
        <v>0</v>
      </c>
      <c r="BE339" s="49">
        <f ca="1">HM_ZA_Nkossa!CA_ent_rev_oil*HM_ZA_Nkossa!CA_NOC_WI</f>
        <v>0</v>
      </c>
      <c r="BF339" s="49">
        <f ca="1">HM_ZA_Nkossa!CA_ent_rev_oil*HM_ZA_Nkossa!CA_NOC_WI</f>
        <v>0</v>
      </c>
      <c r="BG339" s="49">
        <f ca="1">HM_ZA_Nkossa!CA_ent_rev_oil*HM_ZA_Nkossa!CA_NOC_WI</f>
        <v>0</v>
      </c>
      <c r="BH339" s="49">
        <f ca="1">HM_ZA_Nkossa!CA_ent_rev_oil*HM_ZA_Nkossa!CA_NOC_WI</f>
        <v>0</v>
      </c>
      <c r="BI339" s="49">
        <f ca="1">HM_ZA_Nkossa!CA_ent_rev_oil*HM_ZA_Nkossa!CA_NOC_WI</f>
        <v>0</v>
      </c>
      <c r="BJ339" s="49">
        <f ca="1">HM_ZA_Nkossa!CA_ent_rev_oil*HM_ZA_Nkossa!CA_NOC_WI</f>
        <v>0</v>
      </c>
      <c r="BK339" s="49">
        <f ca="1">HM_ZA_Nkossa!CA_ent_rev_oil*HM_ZA_Nkossa!CA_NOC_WI</f>
        <v>0</v>
      </c>
      <c r="BL339" s="49">
        <f ca="1">HM_ZA_Nkossa!CA_ent_rev_oil*HM_ZA_Nkossa!CA_NOC_WI</f>
        <v>0</v>
      </c>
      <c r="BM339" s="49">
        <f ca="1">HM_ZA_Nkossa!CA_ent_rev_oil*HM_ZA_Nkossa!CA_NOC_WI</f>
        <v>0</v>
      </c>
      <c r="BN339" s="49">
        <f ca="1">HM_ZA_Nkossa!CA_ent_rev_oil*HM_ZA_Nkossa!CA_NOC_WI</f>
        <v>0</v>
      </c>
      <c r="BO339" s="49">
        <f ca="1">HM_ZA_Nkossa!CA_ent_rev_oil*HM_ZA_Nkossa!CA_NOC_WI</f>
        <v>0</v>
      </c>
      <c r="BP339" s="49">
        <f ca="1">HM_ZA_Nkossa!CA_ent_rev_oil*HM_ZA_Nkossa!CA_NOC_WI</f>
        <v>0</v>
      </c>
      <c r="BQ339" s="49">
        <f ca="1">HM_ZA_Nkossa!CA_ent_rev_oil*HM_ZA_Nkossa!CA_NOC_WI</f>
        <v>0</v>
      </c>
      <c r="BR339" s="49">
        <f ca="1">HM_ZA_Nkossa!CA_ent_rev_oil*HM_ZA_Nkossa!CA_NOC_WI</f>
        <v>0</v>
      </c>
      <c r="BS339" s="49">
        <f ca="1">HM_ZA_Nkossa!CA_ent_rev_oil*HM_ZA_Nkossa!CA_NOC_WI</f>
        <v>0</v>
      </c>
    </row>
    <row r="340" spans="3:71" outlineLevel="1" x14ac:dyDescent="0.2">
      <c r="D340" s="11" t="s">
        <v>129</v>
      </c>
      <c r="I340" s="30">
        <f t="shared" ca="1" si="95"/>
        <v>3094.8455910902508</v>
      </c>
      <c r="J340" s="26" t="s">
        <v>148</v>
      </c>
      <c r="L340" s="49">
        <f ca="1">SUM(L338:L339)</f>
        <v>290.34453614129995</v>
      </c>
      <c r="M340" s="49">
        <f t="shared" ref="M340:BS340" ca="1" si="96">SUM(M338:M339)</f>
        <v>334.90934117277004</v>
      </c>
      <c r="N340" s="49">
        <f t="shared" ca="1" si="96"/>
        <v>228.45973010081997</v>
      </c>
      <c r="O340" s="49">
        <f t="shared" ca="1" si="96"/>
        <v>239.83355202306001</v>
      </c>
      <c r="P340" s="49">
        <f t="shared" ca="1" si="96"/>
        <v>303.36153252370008</v>
      </c>
      <c r="Q340" s="49">
        <f t="shared" ca="1" si="96"/>
        <v>323.95460261216698</v>
      </c>
      <c r="R340" s="49">
        <f t="shared" ca="1" si="96"/>
        <v>310.5564368158</v>
      </c>
      <c r="S340" s="49">
        <f t="shared" ca="1" si="96"/>
        <v>143.90154200333333</v>
      </c>
      <c r="T340" s="49">
        <f t="shared" ca="1" si="96"/>
        <v>195.82872215961595</v>
      </c>
      <c r="U340" s="49">
        <f t="shared" ca="1" si="96"/>
        <v>195.48604309247997</v>
      </c>
      <c r="V340" s="49">
        <f t="shared" ca="1" si="96"/>
        <v>185.43806047752651</v>
      </c>
      <c r="W340" s="49">
        <f t="shared" ca="1" si="96"/>
        <v>175.90654416898161</v>
      </c>
      <c r="X340" s="49">
        <f t="shared" ca="1" si="96"/>
        <v>166.86494779869594</v>
      </c>
      <c r="Y340" s="49">
        <f t="shared" ca="1" si="96"/>
        <v>0</v>
      </c>
      <c r="Z340" s="49">
        <f t="shared" ca="1" si="96"/>
        <v>0</v>
      </c>
      <c r="AA340" s="49">
        <f t="shared" ca="1" si="96"/>
        <v>0</v>
      </c>
      <c r="AB340" s="49">
        <f t="shared" ca="1" si="96"/>
        <v>0</v>
      </c>
      <c r="AC340" s="49">
        <f t="shared" ca="1" si="96"/>
        <v>0</v>
      </c>
      <c r="AD340" s="49">
        <f t="shared" ca="1" si="96"/>
        <v>0</v>
      </c>
      <c r="AE340" s="49">
        <f t="shared" ca="1" si="96"/>
        <v>0</v>
      </c>
      <c r="AF340" s="49">
        <f t="shared" ca="1" si="96"/>
        <v>0</v>
      </c>
      <c r="AG340" s="49">
        <f t="shared" ca="1" si="96"/>
        <v>0</v>
      </c>
      <c r="AH340" s="49">
        <f t="shared" ca="1" si="96"/>
        <v>0</v>
      </c>
      <c r="AI340" s="49">
        <f t="shared" ca="1" si="96"/>
        <v>0</v>
      </c>
      <c r="AJ340" s="49">
        <f t="shared" ca="1" si="96"/>
        <v>0</v>
      </c>
      <c r="AK340" s="49">
        <f t="shared" ca="1" si="96"/>
        <v>0</v>
      </c>
      <c r="AL340" s="49">
        <f t="shared" ca="1" si="96"/>
        <v>0</v>
      </c>
      <c r="AM340" s="49">
        <f t="shared" ca="1" si="96"/>
        <v>0</v>
      </c>
      <c r="AN340" s="49">
        <f t="shared" ca="1" si="96"/>
        <v>0</v>
      </c>
      <c r="AO340" s="49">
        <f t="shared" ca="1" si="96"/>
        <v>0</v>
      </c>
      <c r="AP340" s="49">
        <f t="shared" ca="1" si="96"/>
        <v>0</v>
      </c>
      <c r="AQ340" s="49">
        <f t="shared" ca="1" si="96"/>
        <v>0</v>
      </c>
      <c r="AR340" s="49">
        <f t="shared" ca="1" si="96"/>
        <v>0</v>
      </c>
      <c r="AS340" s="49">
        <f t="shared" ca="1" si="96"/>
        <v>0</v>
      </c>
      <c r="AT340" s="49">
        <f t="shared" ca="1" si="96"/>
        <v>0</v>
      </c>
      <c r="AU340" s="49">
        <f t="shared" ca="1" si="96"/>
        <v>0</v>
      </c>
      <c r="AV340" s="49">
        <f t="shared" ca="1" si="96"/>
        <v>0</v>
      </c>
      <c r="AW340" s="49">
        <f t="shared" ca="1" si="96"/>
        <v>0</v>
      </c>
      <c r="AX340" s="49">
        <f t="shared" ca="1" si="96"/>
        <v>0</v>
      </c>
      <c r="AY340" s="49">
        <f t="shared" ca="1" si="96"/>
        <v>0</v>
      </c>
      <c r="AZ340" s="49">
        <f t="shared" ca="1" si="96"/>
        <v>0</v>
      </c>
      <c r="BA340" s="49">
        <f t="shared" ca="1" si="96"/>
        <v>0</v>
      </c>
      <c r="BB340" s="49">
        <f t="shared" ca="1" si="96"/>
        <v>0</v>
      </c>
      <c r="BC340" s="49">
        <f t="shared" ca="1" si="96"/>
        <v>0</v>
      </c>
      <c r="BD340" s="49">
        <f t="shared" ca="1" si="96"/>
        <v>0</v>
      </c>
      <c r="BE340" s="49">
        <f t="shared" ca="1" si="96"/>
        <v>0</v>
      </c>
      <c r="BF340" s="49">
        <f t="shared" ca="1" si="96"/>
        <v>0</v>
      </c>
      <c r="BG340" s="49">
        <f t="shared" ca="1" si="96"/>
        <v>0</v>
      </c>
      <c r="BH340" s="49">
        <f t="shared" ca="1" si="96"/>
        <v>0</v>
      </c>
      <c r="BI340" s="49">
        <f t="shared" ca="1" si="96"/>
        <v>0</v>
      </c>
      <c r="BJ340" s="49">
        <f t="shared" ca="1" si="96"/>
        <v>0</v>
      </c>
      <c r="BK340" s="49">
        <f t="shared" ca="1" si="96"/>
        <v>0</v>
      </c>
      <c r="BL340" s="49">
        <f t="shared" ca="1" si="96"/>
        <v>0</v>
      </c>
      <c r="BM340" s="49">
        <f t="shared" ca="1" si="96"/>
        <v>0</v>
      </c>
      <c r="BN340" s="49">
        <f t="shared" ca="1" si="96"/>
        <v>0</v>
      </c>
      <c r="BO340" s="49">
        <f t="shared" ca="1" si="96"/>
        <v>0</v>
      </c>
      <c r="BP340" s="49">
        <f t="shared" ca="1" si="96"/>
        <v>0</v>
      </c>
      <c r="BQ340" s="49">
        <f t="shared" ca="1" si="96"/>
        <v>0</v>
      </c>
      <c r="BR340" s="49">
        <f t="shared" ca="1" si="96"/>
        <v>0</v>
      </c>
      <c r="BS340" s="49">
        <f t="shared" ca="1" si="96"/>
        <v>0</v>
      </c>
    </row>
    <row r="341" spans="3:71" outlineLevel="1" x14ac:dyDescent="0.2">
      <c r="J341" s="26"/>
      <c r="L341" s="55"/>
      <c r="M341" s="55"/>
      <c r="N341" s="55"/>
      <c r="O341" s="55"/>
      <c r="P341" s="55"/>
      <c r="Q341" s="55"/>
      <c r="R341" s="55"/>
      <c r="S341" s="55"/>
      <c r="T341" s="55"/>
      <c r="U341" s="55"/>
      <c r="V341" s="55"/>
      <c r="W341" s="55"/>
      <c r="X341" s="55"/>
      <c r="Y341" s="55"/>
      <c r="Z341" s="55"/>
      <c r="AA341" s="55"/>
      <c r="AB341" s="55"/>
      <c r="AC341" s="55"/>
      <c r="AD341" s="55"/>
      <c r="AE341" s="55"/>
      <c r="AF341" s="55"/>
      <c r="AG341" s="55"/>
      <c r="AH341" s="55"/>
      <c r="AI341" s="55"/>
      <c r="AJ341" s="55"/>
      <c r="AK341" s="55"/>
      <c r="AL341" s="55"/>
      <c r="AM341" s="55"/>
      <c r="AN341" s="55"/>
      <c r="AO341" s="55"/>
      <c r="AP341" s="55"/>
      <c r="AQ341" s="55"/>
      <c r="AR341" s="55"/>
      <c r="AS341" s="55"/>
      <c r="AT341" s="55"/>
      <c r="AU341" s="55"/>
      <c r="AV341" s="55"/>
      <c r="AW341" s="55"/>
      <c r="AX341" s="55"/>
      <c r="AY341" s="55"/>
      <c r="AZ341" s="55"/>
      <c r="BA341" s="55"/>
      <c r="BB341" s="55"/>
      <c r="BC341" s="55"/>
      <c r="BD341" s="55"/>
      <c r="BE341" s="55"/>
      <c r="BF341" s="55"/>
      <c r="BG341" s="55"/>
      <c r="BH341" s="55"/>
      <c r="BI341" s="55"/>
      <c r="BJ341" s="55"/>
      <c r="BK341" s="55"/>
      <c r="BL341" s="55"/>
      <c r="BM341" s="55"/>
      <c r="BN341" s="55"/>
      <c r="BO341" s="55"/>
      <c r="BP341" s="55"/>
      <c r="BQ341" s="55"/>
      <c r="BR341" s="55"/>
      <c r="BS341" s="55"/>
    </row>
    <row r="342" spans="3:71" outlineLevel="1" x14ac:dyDescent="0.2">
      <c r="C342" s="11" t="str">
        <f>CHOOSE(db_ML_selected,'Liste Traduction'!B367,'Liste Traduction'!C367)</f>
        <v>Revenus des droits selon participation -gaz</v>
      </c>
      <c r="J342" s="26"/>
      <c r="L342" s="55"/>
      <c r="M342" s="55"/>
      <c r="N342" s="55"/>
      <c r="O342" s="55"/>
      <c r="P342" s="55"/>
      <c r="Q342" s="55"/>
      <c r="R342" s="55"/>
      <c r="S342" s="55"/>
      <c r="T342" s="55"/>
      <c r="U342" s="55"/>
      <c r="V342" s="55"/>
      <c r="W342" s="55"/>
      <c r="X342" s="55"/>
      <c r="Y342" s="55"/>
      <c r="Z342" s="55"/>
      <c r="AA342" s="55"/>
      <c r="AB342" s="55"/>
      <c r="AC342" s="55"/>
      <c r="AD342" s="55"/>
      <c r="AE342" s="55"/>
      <c r="AF342" s="55"/>
      <c r="AG342" s="55"/>
      <c r="AH342" s="55"/>
      <c r="AI342" s="55"/>
      <c r="AJ342" s="55"/>
      <c r="AK342" s="55"/>
      <c r="AL342" s="55"/>
      <c r="AM342" s="55"/>
      <c r="AN342" s="55"/>
      <c r="AO342" s="55"/>
      <c r="AP342" s="55"/>
      <c r="AQ342" s="55"/>
      <c r="AR342" s="55"/>
      <c r="AS342" s="55"/>
      <c r="AT342" s="55"/>
      <c r="AU342" s="55"/>
      <c r="AV342" s="55"/>
      <c r="AW342" s="55"/>
      <c r="AX342" s="55"/>
      <c r="AY342" s="55"/>
      <c r="AZ342" s="55"/>
      <c r="BA342" s="55"/>
      <c r="BB342" s="55"/>
      <c r="BC342" s="55"/>
      <c r="BD342" s="55"/>
      <c r="BE342" s="55"/>
      <c r="BF342" s="55"/>
      <c r="BG342" s="55"/>
      <c r="BH342" s="55"/>
      <c r="BI342" s="55"/>
      <c r="BJ342" s="55"/>
      <c r="BK342" s="55"/>
      <c r="BL342" s="55"/>
      <c r="BM342" s="55"/>
      <c r="BN342" s="55"/>
      <c r="BO342" s="55"/>
      <c r="BP342" s="55"/>
      <c r="BQ342" s="55"/>
      <c r="BR342" s="55"/>
      <c r="BS342" s="55"/>
    </row>
    <row r="343" spans="3:71" outlineLevel="1" x14ac:dyDescent="0.2">
      <c r="D343" t="str">
        <f>D338</f>
        <v>Consortium compagnie pétrolières internationales</v>
      </c>
      <c r="I343" s="30">
        <f t="shared" ref="I343:I345" ca="1" si="97">SUM($L343:$BS343)</f>
        <v>0</v>
      </c>
      <c r="J343" s="26" t="s">
        <v>148</v>
      </c>
      <c r="L343" s="49">
        <f ca="1">HM_ZA_Nkossa!CA_ent_rev_gas*HM_ZA_Nkossa!CA_IOC_WI</f>
        <v>0</v>
      </c>
      <c r="M343" s="49">
        <f ca="1">HM_ZA_Nkossa!CA_ent_rev_gas*HM_ZA_Nkossa!CA_IOC_WI</f>
        <v>0</v>
      </c>
      <c r="N343" s="49">
        <f ca="1">HM_ZA_Nkossa!CA_ent_rev_gas*HM_ZA_Nkossa!CA_IOC_WI</f>
        <v>0</v>
      </c>
      <c r="O343" s="49">
        <f ca="1">HM_ZA_Nkossa!CA_ent_rev_gas*HM_ZA_Nkossa!CA_IOC_WI</f>
        <v>0</v>
      </c>
      <c r="P343" s="49">
        <f ca="1">HM_ZA_Nkossa!CA_ent_rev_gas*HM_ZA_Nkossa!CA_IOC_WI</f>
        <v>0</v>
      </c>
      <c r="Q343" s="49">
        <f ca="1">HM_ZA_Nkossa!CA_ent_rev_gas*HM_ZA_Nkossa!CA_IOC_WI</f>
        <v>0</v>
      </c>
      <c r="R343" s="49">
        <f ca="1">HM_ZA_Nkossa!CA_ent_rev_gas*HM_ZA_Nkossa!CA_IOC_WI</f>
        <v>0</v>
      </c>
      <c r="S343" s="49">
        <f ca="1">HM_ZA_Nkossa!CA_ent_rev_gas*HM_ZA_Nkossa!CA_IOC_WI</f>
        <v>0</v>
      </c>
      <c r="T343" s="49">
        <f ca="1">HM_ZA_Nkossa!CA_ent_rev_gas*HM_ZA_Nkossa!CA_IOC_WI</f>
        <v>0</v>
      </c>
      <c r="U343" s="49">
        <f ca="1">HM_ZA_Nkossa!CA_ent_rev_gas*HM_ZA_Nkossa!CA_IOC_WI</f>
        <v>0</v>
      </c>
      <c r="V343" s="49">
        <f ca="1">HM_ZA_Nkossa!CA_ent_rev_gas*HM_ZA_Nkossa!CA_IOC_WI</f>
        <v>0</v>
      </c>
      <c r="W343" s="49">
        <f ca="1">HM_ZA_Nkossa!CA_ent_rev_gas*HM_ZA_Nkossa!CA_IOC_WI</f>
        <v>0</v>
      </c>
      <c r="X343" s="49">
        <f ca="1">HM_ZA_Nkossa!CA_ent_rev_gas*HM_ZA_Nkossa!CA_IOC_WI</f>
        <v>0</v>
      </c>
      <c r="Y343" s="49">
        <f ca="1">HM_ZA_Nkossa!CA_ent_rev_gas*HM_ZA_Nkossa!CA_IOC_WI</f>
        <v>0</v>
      </c>
      <c r="Z343" s="49">
        <f ca="1">HM_ZA_Nkossa!CA_ent_rev_gas*HM_ZA_Nkossa!CA_IOC_WI</f>
        <v>0</v>
      </c>
      <c r="AA343" s="49">
        <f ca="1">HM_ZA_Nkossa!CA_ent_rev_gas*HM_ZA_Nkossa!CA_IOC_WI</f>
        <v>0</v>
      </c>
      <c r="AB343" s="49">
        <f ca="1">HM_ZA_Nkossa!CA_ent_rev_gas*HM_ZA_Nkossa!CA_IOC_WI</f>
        <v>0</v>
      </c>
      <c r="AC343" s="49">
        <f ca="1">HM_ZA_Nkossa!CA_ent_rev_gas*HM_ZA_Nkossa!CA_IOC_WI</f>
        <v>0</v>
      </c>
      <c r="AD343" s="49">
        <f ca="1">HM_ZA_Nkossa!CA_ent_rev_gas*HM_ZA_Nkossa!CA_IOC_WI</f>
        <v>0</v>
      </c>
      <c r="AE343" s="49">
        <f ca="1">HM_ZA_Nkossa!CA_ent_rev_gas*HM_ZA_Nkossa!CA_IOC_WI</f>
        <v>0</v>
      </c>
      <c r="AF343" s="49">
        <f ca="1">HM_ZA_Nkossa!CA_ent_rev_gas*HM_ZA_Nkossa!CA_IOC_WI</f>
        <v>0</v>
      </c>
      <c r="AG343" s="49">
        <f ca="1">HM_ZA_Nkossa!CA_ent_rev_gas*HM_ZA_Nkossa!CA_IOC_WI</f>
        <v>0</v>
      </c>
      <c r="AH343" s="49">
        <f ca="1">HM_ZA_Nkossa!CA_ent_rev_gas*HM_ZA_Nkossa!CA_IOC_WI</f>
        <v>0</v>
      </c>
      <c r="AI343" s="49">
        <f ca="1">HM_ZA_Nkossa!CA_ent_rev_gas*HM_ZA_Nkossa!CA_IOC_WI</f>
        <v>0</v>
      </c>
      <c r="AJ343" s="49">
        <f ca="1">HM_ZA_Nkossa!CA_ent_rev_gas*HM_ZA_Nkossa!CA_IOC_WI</f>
        <v>0</v>
      </c>
      <c r="AK343" s="49">
        <f ca="1">HM_ZA_Nkossa!CA_ent_rev_gas*HM_ZA_Nkossa!CA_IOC_WI</f>
        <v>0</v>
      </c>
      <c r="AL343" s="49">
        <f ca="1">HM_ZA_Nkossa!CA_ent_rev_gas*HM_ZA_Nkossa!CA_IOC_WI</f>
        <v>0</v>
      </c>
      <c r="AM343" s="49">
        <f ca="1">HM_ZA_Nkossa!CA_ent_rev_gas*HM_ZA_Nkossa!CA_IOC_WI</f>
        <v>0</v>
      </c>
      <c r="AN343" s="49">
        <f ca="1">HM_ZA_Nkossa!CA_ent_rev_gas*HM_ZA_Nkossa!CA_IOC_WI</f>
        <v>0</v>
      </c>
      <c r="AO343" s="49">
        <f ca="1">HM_ZA_Nkossa!CA_ent_rev_gas*HM_ZA_Nkossa!CA_IOC_WI</f>
        <v>0</v>
      </c>
      <c r="AP343" s="49">
        <f ca="1">HM_ZA_Nkossa!CA_ent_rev_gas*HM_ZA_Nkossa!CA_IOC_WI</f>
        <v>0</v>
      </c>
      <c r="AQ343" s="49">
        <f ca="1">HM_ZA_Nkossa!CA_ent_rev_gas*HM_ZA_Nkossa!CA_IOC_WI</f>
        <v>0</v>
      </c>
      <c r="AR343" s="49">
        <f ca="1">HM_ZA_Nkossa!CA_ent_rev_gas*HM_ZA_Nkossa!CA_IOC_WI</f>
        <v>0</v>
      </c>
      <c r="AS343" s="49">
        <f ca="1">HM_ZA_Nkossa!CA_ent_rev_gas*HM_ZA_Nkossa!CA_IOC_WI</f>
        <v>0</v>
      </c>
      <c r="AT343" s="49">
        <f ca="1">HM_ZA_Nkossa!CA_ent_rev_gas*HM_ZA_Nkossa!CA_IOC_WI</f>
        <v>0</v>
      </c>
      <c r="AU343" s="49">
        <f ca="1">HM_ZA_Nkossa!CA_ent_rev_gas*HM_ZA_Nkossa!CA_IOC_WI</f>
        <v>0</v>
      </c>
      <c r="AV343" s="49">
        <f ca="1">HM_ZA_Nkossa!CA_ent_rev_gas*HM_ZA_Nkossa!CA_IOC_WI</f>
        <v>0</v>
      </c>
      <c r="AW343" s="49">
        <f ca="1">HM_ZA_Nkossa!CA_ent_rev_gas*HM_ZA_Nkossa!CA_IOC_WI</f>
        <v>0</v>
      </c>
      <c r="AX343" s="49">
        <f ca="1">HM_ZA_Nkossa!CA_ent_rev_gas*HM_ZA_Nkossa!CA_IOC_WI</f>
        <v>0</v>
      </c>
      <c r="AY343" s="49">
        <f ca="1">HM_ZA_Nkossa!CA_ent_rev_gas*HM_ZA_Nkossa!CA_IOC_WI</f>
        <v>0</v>
      </c>
      <c r="AZ343" s="49">
        <f ca="1">HM_ZA_Nkossa!CA_ent_rev_gas*HM_ZA_Nkossa!CA_IOC_WI</f>
        <v>0</v>
      </c>
      <c r="BA343" s="49">
        <f ca="1">HM_ZA_Nkossa!CA_ent_rev_gas*HM_ZA_Nkossa!CA_IOC_WI</f>
        <v>0</v>
      </c>
      <c r="BB343" s="49">
        <f ca="1">HM_ZA_Nkossa!CA_ent_rev_gas*HM_ZA_Nkossa!CA_IOC_WI</f>
        <v>0</v>
      </c>
      <c r="BC343" s="49">
        <f ca="1">HM_ZA_Nkossa!CA_ent_rev_gas*HM_ZA_Nkossa!CA_IOC_WI</f>
        <v>0</v>
      </c>
      <c r="BD343" s="49">
        <f ca="1">HM_ZA_Nkossa!CA_ent_rev_gas*HM_ZA_Nkossa!CA_IOC_WI</f>
        <v>0</v>
      </c>
      <c r="BE343" s="49">
        <f ca="1">HM_ZA_Nkossa!CA_ent_rev_gas*HM_ZA_Nkossa!CA_IOC_WI</f>
        <v>0</v>
      </c>
      <c r="BF343" s="49">
        <f ca="1">HM_ZA_Nkossa!CA_ent_rev_gas*HM_ZA_Nkossa!CA_IOC_WI</f>
        <v>0</v>
      </c>
      <c r="BG343" s="49">
        <f ca="1">HM_ZA_Nkossa!CA_ent_rev_gas*HM_ZA_Nkossa!CA_IOC_WI</f>
        <v>0</v>
      </c>
      <c r="BH343" s="49">
        <f ca="1">HM_ZA_Nkossa!CA_ent_rev_gas*HM_ZA_Nkossa!CA_IOC_WI</f>
        <v>0</v>
      </c>
      <c r="BI343" s="49">
        <f ca="1">HM_ZA_Nkossa!CA_ent_rev_gas*HM_ZA_Nkossa!CA_IOC_WI</f>
        <v>0</v>
      </c>
      <c r="BJ343" s="49">
        <f ca="1">HM_ZA_Nkossa!CA_ent_rev_gas*HM_ZA_Nkossa!CA_IOC_WI</f>
        <v>0</v>
      </c>
      <c r="BK343" s="49">
        <f ca="1">HM_ZA_Nkossa!CA_ent_rev_gas*HM_ZA_Nkossa!CA_IOC_WI</f>
        <v>0</v>
      </c>
      <c r="BL343" s="49">
        <f ca="1">HM_ZA_Nkossa!CA_ent_rev_gas*HM_ZA_Nkossa!CA_IOC_WI</f>
        <v>0</v>
      </c>
      <c r="BM343" s="49">
        <f ca="1">HM_ZA_Nkossa!CA_ent_rev_gas*HM_ZA_Nkossa!CA_IOC_WI</f>
        <v>0</v>
      </c>
      <c r="BN343" s="49">
        <f ca="1">HM_ZA_Nkossa!CA_ent_rev_gas*HM_ZA_Nkossa!CA_IOC_WI</f>
        <v>0</v>
      </c>
      <c r="BO343" s="49">
        <f ca="1">HM_ZA_Nkossa!CA_ent_rev_gas*HM_ZA_Nkossa!CA_IOC_WI</f>
        <v>0</v>
      </c>
      <c r="BP343" s="49">
        <f ca="1">HM_ZA_Nkossa!CA_ent_rev_gas*HM_ZA_Nkossa!CA_IOC_WI</f>
        <v>0</v>
      </c>
      <c r="BQ343" s="49">
        <f ca="1">HM_ZA_Nkossa!CA_ent_rev_gas*HM_ZA_Nkossa!CA_IOC_WI</f>
        <v>0</v>
      </c>
      <c r="BR343" s="49">
        <f ca="1">HM_ZA_Nkossa!CA_ent_rev_gas*HM_ZA_Nkossa!CA_IOC_WI</f>
        <v>0</v>
      </c>
      <c r="BS343" s="49">
        <f ca="1">HM_ZA_Nkossa!CA_ent_rev_gas*HM_ZA_Nkossa!CA_IOC_WI</f>
        <v>0</v>
      </c>
    </row>
    <row r="344" spans="3:71" outlineLevel="1" x14ac:dyDescent="0.2">
      <c r="D344" t="str">
        <f>D339</f>
        <v>Participation compagnie nationale/État</v>
      </c>
      <c r="I344" s="30">
        <f t="shared" ca="1" si="97"/>
        <v>0</v>
      </c>
      <c r="J344" s="26" t="s">
        <v>148</v>
      </c>
      <c r="L344" s="49">
        <f ca="1">HM_ZA_Nkossa!CA_ent_rev_gas*HM_ZA_Nkossa!CA_NOC_WI</f>
        <v>0</v>
      </c>
      <c r="M344" s="49">
        <f ca="1">HM_ZA_Nkossa!CA_ent_rev_gas*HM_ZA_Nkossa!CA_NOC_WI</f>
        <v>0</v>
      </c>
      <c r="N344" s="49">
        <f ca="1">HM_ZA_Nkossa!CA_ent_rev_gas*HM_ZA_Nkossa!CA_NOC_WI</f>
        <v>0</v>
      </c>
      <c r="O344" s="49">
        <f ca="1">HM_ZA_Nkossa!CA_ent_rev_gas*HM_ZA_Nkossa!CA_NOC_WI</f>
        <v>0</v>
      </c>
      <c r="P344" s="49">
        <f ca="1">HM_ZA_Nkossa!CA_ent_rev_gas*HM_ZA_Nkossa!CA_NOC_WI</f>
        <v>0</v>
      </c>
      <c r="Q344" s="49">
        <f ca="1">HM_ZA_Nkossa!CA_ent_rev_gas*HM_ZA_Nkossa!CA_NOC_WI</f>
        <v>0</v>
      </c>
      <c r="R344" s="49">
        <f ca="1">HM_ZA_Nkossa!CA_ent_rev_gas*HM_ZA_Nkossa!CA_NOC_WI</f>
        <v>0</v>
      </c>
      <c r="S344" s="49">
        <f ca="1">HM_ZA_Nkossa!CA_ent_rev_gas*HM_ZA_Nkossa!CA_NOC_WI</f>
        <v>0</v>
      </c>
      <c r="T344" s="49">
        <f ca="1">HM_ZA_Nkossa!CA_ent_rev_gas*HM_ZA_Nkossa!CA_NOC_WI</f>
        <v>0</v>
      </c>
      <c r="U344" s="49">
        <f ca="1">HM_ZA_Nkossa!CA_ent_rev_gas*HM_ZA_Nkossa!CA_NOC_WI</f>
        <v>0</v>
      </c>
      <c r="V344" s="49">
        <f ca="1">HM_ZA_Nkossa!CA_ent_rev_gas*HM_ZA_Nkossa!CA_NOC_WI</f>
        <v>0</v>
      </c>
      <c r="W344" s="49">
        <f ca="1">HM_ZA_Nkossa!CA_ent_rev_gas*HM_ZA_Nkossa!CA_NOC_WI</f>
        <v>0</v>
      </c>
      <c r="X344" s="49">
        <f ca="1">HM_ZA_Nkossa!CA_ent_rev_gas*HM_ZA_Nkossa!CA_NOC_WI</f>
        <v>0</v>
      </c>
      <c r="Y344" s="49">
        <f ca="1">HM_ZA_Nkossa!CA_ent_rev_gas*HM_ZA_Nkossa!CA_NOC_WI</f>
        <v>0</v>
      </c>
      <c r="Z344" s="49">
        <f ca="1">HM_ZA_Nkossa!CA_ent_rev_gas*HM_ZA_Nkossa!CA_NOC_WI</f>
        <v>0</v>
      </c>
      <c r="AA344" s="49">
        <f ca="1">HM_ZA_Nkossa!CA_ent_rev_gas*HM_ZA_Nkossa!CA_NOC_WI</f>
        <v>0</v>
      </c>
      <c r="AB344" s="49">
        <f ca="1">HM_ZA_Nkossa!CA_ent_rev_gas*HM_ZA_Nkossa!CA_NOC_WI</f>
        <v>0</v>
      </c>
      <c r="AC344" s="49">
        <f ca="1">HM_ZA_Nkossa!CA_ent_rev_gas*HM_ZA_Nkossa!CA_NOC_WI</f>
        <v>0</v>
      </c>
      <c r="AD344" s="49">
        <f ca="1">HM_ZA_Nkossa!CA_ent_rev_gas*HM_ZA_Nkossa!CA_NOC_WI</f>
        <v>0</v>
      </c>
      <c r="AE344" s="49">
        <f ca="1">HM_ZA_Nkossa!CA_ent_rev_gas*HM_ZA_Nkossa!CA_NOC_WI</f>
        <v>0</v>
      </c>
      <c r="AF344" s="49">
        <f ca="1">HM_ZA_Nkossa!CA_ent_rev_gas*HM_ZA_Nkossa!CA_NOC_WI</f>
        <v>0</v>
      </c>
      <c r="AG344" s="49">
        <f ca="1">HM_ZA_Nkossa!CA_ent_rev_gas*HM_ZA_Nkossa!CA_NOC_WI</f>
        <v>0</v>
      </c>
      <c r="AH344" s="49">
        <f ca="1">HM_ZA_Nkossa!CA_ent_rev_gas*HM_ZA_Nkossa!CA_NOC_WI</f>
        <v>0</v>
      </c>
      <c r="AI344" s="49">
        <f ca="1">HM_ZA_Nkossa!CA_ent_rev_gas*HM_ZA_Nkossa!CA_NOC_WI</f>
        <v>0</v>
      </c>
      <c r="AJ344" s="49">
        <f ca="1">HM_ZA_Nkossa!CA_ent_rev_gas*HM_ZA_Nkossa!CA_NOC_WI</f>
        <v>0</v>
      </c>
      <c r="AK344" s="49">
        <f ca="1">HM_ZA_Nkossa!CA_ent_rev_gas*HM_ZA_Nkossa!CA_NOC_WI</f>
        <v>0</v>
      </c>
      <c r="AL344" s="49">
        <f ca="1">HM_ZA_Nkossa!CA_ent_rev_gas*HM_ZA_Nkossa!CA_NOC_WI</f>
        <v>0</v>
      </c>
      <c r="AM344" s="49">
        <f ca="1">HM_ZA_Nkossa!CA_ent_rev_gas*HM_ZA_Nkossa!CA_NOC_WI</f>
        <v>0</v>
      </c>
      <c r="AN344" s="49">
        <f ca="1">HM_ZA_Nkossa!CA_ent_rev_gas*HM_ZA_Nkossa!CA_NOC_WI</f>
        <v>0</v>
      </c>
      <c r="AO344" s="49">
        <f ca="1">HM_ZA_Nkossa!CA_ent_rev_gas*HM_ZA_Nkossa!CA_NOC_WI</f>
        <v>0</v>
      </c>
      <c r="AP344" s="49">
        <f ca="1">HM_ZA_Nkossa!CA_ent_rev_gas*HM_ZA_Nkossa!CA_NOC_WI</f>
        <v>0</v>
      </c>
      <c r="AQ344" s="49">
        <f ca="1">HM_ZA_Nkossa!CA_ent_rev_gas*HM_ZA_Nkossa!CA_NOC_WI</f>
        <v>0</v>
      </c>
      <c r="AR344" s="49">
        <f ca="1">HM_ZA_Nkossa!CA_ent_rev_gas*HM_ZA_Nkossa!CA_NOC_WI</f>
        <v>0</v>
      </c>
      <c r="AS344" s="49">
        <f ca="1">HM_ZA_Nkossa!CA_ent_rev_gas*HM_ZA_Nkossa!CA_NOC_WI</f>
        <v>0</v>
      </c>
      <c r="AT344" s="49">
        <f ca="1">HM_ZA_Nkossa!CA_ent_rev_gas*HM_ZA_Nkossa!CA_NOC_WI</f>
        <v>0</v>
      </c>
      <c r="AU344" s="49">
        <f ca="1">HM_ZA_Nkossa!CA_ent_rev_gas*HM_ZA_Nkossa!CA_NOC_WI</f>
        <v>0</v>
      </c>
      <c r="AV344" s="49">
        <f ca="1">HM_ZA_Nkossa!CA_ent_rev_gas*HM_ZA_Nkossa!CA_NOC_WI</f>
        <v>0</v>
      </c>
      <c r="AW344" s="49">
        <f ca="1">HM_ZA_Nkossa!CA_ent_rev_gas*HM_ZA_Nkossa!CA_NOC_WI</f>
        <v>0</v>
      </c>
      <c r="AX344" s="49">
        <f ca="1">HM_ZA_Nkossa!CA_ent_rev_gas*HM_ZA_Nkossa!CA_NOC_WI</f>
        <v>0</v>
      </c>
      <c r="AY344" s="49">
        <f ca="1">HM_ZA_Nkossa!CA_ent_rev_gas*HM_ZA_Nkossa!CA_NOC_WI</f>
        <v>0</v>
      </c>
      <c r="AZ344" s="49">
        <f ca="1">HM_ZA_Nkossa!CA_ent_rev_gas*HM_ZA_Nkossa!CA_NOC_WI</f>
        <v>0</v>
      </c>
      <c r="BA344" s="49">
        <f ca="1">HM_ZA_Nkossa!CA_ent_rev_gas*HM_ZA_Nkossa!CA_NOC_WI</f>
        <v>0</v>
      </c>
      <c r="BB344" s="49">
        <f ca="1">HM_ZA_Nkossa!CA_ent_rev_gas*HM_ZA_Nkossa!CA_NOC_WI</f>
        <v>0</v>
      </c>
      <c r="BC344" s="49">
        <f ca="1">HM_ZA_Nkossa!CA_ent_rev_gas*HM_ZA_Nkossa!CA_NOC_WI</f>
        <v>0</v>
      </c>
      <c r="BD344" s="49">
        <f ca="1">HM_ZA_Nkossa!CA_ent_rev_gas*HM_ZA_Nkossa!CA_NOC_WI</f>
        <v>0</v>
      </c>
      <c r="BE344" s="49">
        <f ca="1">HM_ZA_Nkossa!CA_ent_rev_gas*HM_ZA_Nkossa!CA_NOC_WI</f>
        <v>0</v>
      </c>
      <c r="BF344" s="49">
        <f ca="1">HM_ZA_Nkossa!CA_ent_rev_gas*HM_ZA_Nkossa!CA_NOC_WI</f>
        <v>0</v>
      </c>
      <c r="BG344" s="49">
        <f ca="1">HM_ZA_Nkossa!CA_ent_rev_gas*HM_ZA_Nkossa!CA_NOC_WI</f>
        <v>0</v>
      </c>
      <c r="BH344" s="49">
        <f ca="1">HM_ZA_Nkossa!CA_ent_rev_gas*HM_ZA_Nkossa!CA_NOC_WI</f>
        <v>0</v>
      </c>
      <c r="BI344" s="49">
        <f ca="1">HM_ZA_Nkossa!CA_ent_rev_gas*HM_ZA_Nkossa!CA_NOC_WI</f>
        <v>0</v>
      </c>
      <c r="BJ344" s="49">
        <f ca="1">HM_ZA_Nkossa!CA_ent_rev_gas*HM_ZA_Nkossa!CA_NOC_WI</f>
        <v>0</v>
      </c>
      <c r="BK344" s="49">
        <f ca="1">HM_ZA_Nkossa!CA_ent_rev_gas*HM_ZA_Nkossa!CA_NOC_WI</f>
        <v>0</v>
      </c>
      <c r="BL344" s="49">
        <f ca="1">HM_ZA_Nkossa!CA_ent_rev_gas*HM_ZA_Nkossa!CA_NOC_WI</f>
        <v>0</v>
      </c>
      <c r="BM344" s="49">
        <f ca="1">HM_ZA_Nkossa!CA_ent_rev_gas*HM_ZA_Nkossa!CA_NOC_WI</f>
        <v>0</v>
      </c>
      <c r="BN344" s="49">
        <f ca="1">HM_ZA_Nkossa!CA_ent_rev_gas*HM_ZA_Nkossa!CA_NOC_WI</f>
        <v>0</v>
      </c>
      <c r="BO344" s="49">
        <f ca="1">HM_ZA_Nkossa!CA_ent_rev_gas*HM_ZA_Nkossa!CA_NOC_WI</f>
        <v>0</v>
      </c>
      <c r="BP344" s="49">
        <f ca="1">HM_ZA_Nkossa!CA_ent_rev_gas*HM_ZA_Nkossa!CA_NOC_WI</f>
        <v>0</v>
      </c>
      <c r="BQ344" s="49">
        <f ca="1">HM_ZA_Nkossa!CA_ent_rev_gas*HM_ZA_Nkossa!CA_NOC_WI</f>
        <v>0</v>
      </c>
      <c r="BR344" s="49">
        <f ca="1">HM_ZA_Nkossa!CA_ent_rev_gas*HM_ZA_Nkossa!CA_NOC_WI</f>
        <v>0</v>
      </c>
      <c r="BS344" s="49">
        <f ca="1">HM_ZA_Nkossa!CA_ent_rev_gas*HM_ZA_Nkossa!CA_NOC_WI</f>
        <v>0</v>
      </c>
    </row>
    <row r="345" spans="3:71" outlineLevel="1" x14ac:dyDescent="0.2">
      <c r="D345" s="11" t="s">
        <v>129</v>
      </c>
      <c r="I345" s="30">
        <f t="shared" ca="1" si="97"/>
        <v>0</v>
      </c>
      <c r="J345" s="26" t="s">
        <v>148</v>
      </c>
      <c r="L345" s="49">
        <f ca="1">SUM(L343:L344)</f>
        <v>0</v>
      </c>
      <c r="M345" s="49">
        <f t="shared" ref="M345:BS345" ca="1" si="98">SUM(M343:M344)</f>
        <v>0</v>
      </c>
      <c r="N345" s="49">
        <f t="shared" ca="1" si="98"/>
        <v>0</v>
      </c>
      <c r="O345" s="49">
        <f t="shared" ca="1" si="98"/>
        <v>0</v>
      </c>
      <c r="P345" s="49">
        <f t="shared" ca="1" si="98"/>
        <v>0</v>
      </c>
      <c r="Q345" s="49">
        <f t="shared" ca="1" si="98"/>
        <v>0</v>
      </c>
      <c r="R345" s="49">
        <f t="shared" ca="1" si="98"/>
        <v>0</v>
      </c>
      <c r="S345" s="49">
        <f t="shared" ca="1" si="98"/>
        <v>0</v>
      </c>
      <c r="T345" s="49">
        <f t="shared" ca="1" si="98"/>
        <v>0</v>
      </c>
      <c r="U345" s="49">
        <f t="shared" ca="1" si="98"/>
        <v>0</v>
      </c>
      <c r="V345" s="49">
        <f t="shared" ca="1" si="98"/>
        <v>0</v>
      </c>
      <c r="W345" s="49">
        <f t="shared" ca="1" si="98"/>
        <v>0</v>
      </c>
      <c r="X345" s="49">
        <f t="shared" ca="1" si="98"/>
        <v>0</v>
      </c>
      <c r="Y345" s="49">
        <f t="shared" ca="1" si="98"/>
        <v>0</v>
      </c>
      <c r="Z345" s="49">
        <f t="shared" ca="1" si="98"/>
        <v>0</v>
      </c>
      <c r="AA345" s="49">
        <f t="shared" ca="1" si="98"/>
        <v>0</v>
      </c>
      <c r="AB345" s="49">
        <f t="shared" ca="1" si="98"/>
        <v>0</v>
      </c>
      <c r="AC345" s="49">
        <f t="shared" ca="1" si="98"/>
        <v>0</v>
      </c>
      <c r="AD345" s="49">
        <f t="shared" ca="1" si="98"/>
        <v>0</v>
      </c>
      <c r="AE345" s="49">
        <f t="shared" ca="1" si="98"/>
        <v>0</v>
      </c>
      <c r="AF345" s="49">
        <f t="shared" ca="1" si="98"/>
        <v>0</v>
      </c>
      <c r="AG345" s="49">
        <f t="shared" ca="1" si="98"/>
        <v>0</v>
      </c>
      <c r="AH345" s="49">
        <f t="shared" ca="1" si="98"/>
        <v>0</v>
      </c>
      <c r="AI345" s="49">
        <f t="shared" ca="1" si="98"/>
        <v>0</v>
      </c>
      <c r="AJ345" s="49">
        <f t="shared" ca="1" si="98"/>
        <v>0</v>
      </c>
      <c r="AK345" s="49">
        <f t="shared" ca="1" si="98"/>
        <v>0</v>
      </c>
      <c r="AL345" s="49">
        <f t="shared" ca="1" si="98"/>
        <v>0</v>
      </c>
      <c r="AM345" s="49">
        <f t="shared" ca="1" si="98"/>
        <v>0</v>
      </c>
      <c r="AN345" s="49">
        <f t="shared" ca="1" si="98"/>
        <v>0</v>
      </c>
      <c r="AO345" s="49">
        <f t="shared" ca="1" si="98"/>
        <v>0</v>
      </c>
      <c r="AP345" s="49">
        <f t="shared" ca="1" si="98"/>
        <v>0</v>
      </c>
      <c r="AQ345" s="49">
        <f t="shared" ca="1" si="98"/>
        <v>0</v>
      </c>
      <c r="AR345" s="49">
        <f t="shared" ca="1" si="98"/>
        <v>0</v>
      </c>
      <c r="AS345" s="49">
        <f t="shared" ca="1" si="98"/>
        <v>0</v>
      </c>
      <c r="AT345" s="49">
        <f t="shared" ca="1" si="98"/>
        <v>0</v>
      </c>
      <c r="AU345" s="49">
        <f t="shared" ca="1" si="98"/>
        <v>0</v>
      </c>
      <c r="AV345" s="49">
        <f t="shared" ca="1" si="98"/>
        <v>0</v>
      </c>
      <c r="AW345" s="49">
        <f t="shared" ca="1" si="98"/>
        <v>0</v>
      </c>
      <c r="AX345" s="49">
        <f t="shared" ca="1" si="98"/>
        <v>0</v>
      </c>
      <c r="AY345" s="49">
        <f t="shared" ca="1" si="98"/>
        <v>0</v>
      </c>
      <c r="AZ345" s="49">
        <f t="shared" ca="1" si="98"/>
        <v>0</v>
      </c>
      <c r="BA345" s="49">
        <f t="shared" ca="1" si="98"/>
        <v>0</v>
      </c>
      <c r="BB345" s="49">
        <f t="shared" ca="1" si="98"/>
        <v>0</v>
      </c>
      <c r="BC345" s="49">
        <f t="shared" ca="1" si="98"/>
        <v>0</v>
      </c>
      <c r="BD345" s="49">
        <f t="shared" ca="1" si="98"/>
        <v>0</v>
      </c>
      <c r="BE345" s="49">
        <f t="shared" ca="1" si="98"/>
        <v>0</v>
      </c>
      <c r="BF345" s="49">
        <f t="shared" ca="1" si="98"/>
        <v>0</v>
      </c>
      <c r="BG345" s="49">
        <f t="shared" ca="1" si="98"/>
        <v>0</v>
      </c>
      <c r="BH345" s="49">
        <f t="shared" ca="1" si="98"/>
        <v>0</v>
      </c>
      <c r="BI345" s="49">
        <f t="shared" ca="1" si="98"/>
        <v>0</v>
      </c>
      <c r="BJ345" s="49">
        <f t="shared" ca="1" si="98"/>
        <v>0</v>
      </c>
      <c r="BK345" s="49">
        <f t="shared" ca="1" si="98"/>
        <v>0</v>
      </c>
      <c r="BL345" s="49">
        <f t="shared" ca="1" si="98"/>
        <v>0</v>
      </c>
      <c r="BM345" s="49">
        <f t="shared" ca="1" si="98"/>
        <v>0</v>
      </c>
      <c r="BN345" s="49">
        <f t="shared" ca="1" si="98"/>
        <v>0</v>
      </c>
      <c r="BO345" s="49">
        <f t="shared" ca="1" si="98"/>
        <v>0</v>
      </c>
      <c r="BP345" s="49">
        <f t="shared" ca="1" si="98"/>
        <v>0</v>
      </c>
      <c r="BQ345" s="49">
        <f t="shared" ca="1" si="98"/>
        <v>0</v>
      </c>
      <c r="BR345" s="49">
        <f t="shared" ca="1" si="98"/>
        <v>0</v>
      </c>
      <c r="BS345" s="49">
        <f t="shared" ca="1" si="98"/>
        <v>0</v>
      </c>
    </row>
    <row r="346" spans="3:71" outlineLevel="1" x14ac:dyDescent="0.2">
      <c r="J346" s="26"/>
      <c r="L346" s="55"/>
      <c r="M346" s="55"/>
      <c r="N346" s="55"/>
      <c r="O346" s="55"/>
      <c r="P346" s="55"/>
      <c r="Q346" s="55"/>
      <c r="R346" s="55"/>
      <c r="S346" s="55"/>
      <c r="T346" s="55"/>
      <c r="U346" s="55"/>
      <c r="V346" s="55"/>
      <c r="W346" s="55"/>
      <c r="X346" s="55"/>
      <c r="Y346" s="55"/>
      <c r="Z346" s="55"/>
      <c r="AA346" s="55"/>
      <c r="AB346" s="55"/>
      <c r="AC346" s="55"/>
      <c r="AD346" s="55"/>
      <c r="AE346" s="55"/>
      <c r="AF346" s="55"/>
      <c r="AG346" s="55"/>
      <c r="AH346" s="55"/>
      <c r="AI346" s="55"/>
      <c r="AJ346" s="55"/>
      <c r="AK346" s="55"/>
      <c r="AL346" s="55"/>
      <c r="AM346" s="55"/>
      <c r="AN346" s="55"/>
      <c r="AO346" s="55"/>
      <c r="AP346" s="55"/>
      <c r="AQ346" s="55"/>
      <c r="AR346" s="55"/>
      <c r="AS346" s="55"/>
      <c r="AT346" s="55"/>
      <c r="AU346" s="55"/>
      <c r="AV346" s="55"/>
      <c r="AW346" s="55"/>
      <c r="AX346" s="55"/>
      <c r="AY346" s="55"/>
      <c r="AZ346" s="55"/>
      <c r="BA346" s="55"/>
      <c r="BB346" s="55"/>
      <c r="BC346" s="55"/>
      <c r="BD346" s="55"/>
      <c r="BE346" s="55"/>
      <c r="BF346" s="55"/>
      <c r="BG346" s="55"/>
      <c r="BH346" s="55"/>
      <c r="BI346" s="55"/>
      <c r="BJ346" s="55"/>
      <c r="BK346" s="55"/>
      <c r="BL346" s="55"/>
      <c r="BM346" s="55"/>
      <c r="BN346" s="55"/>
      <c r="BO346" s="55"/>
      <c r="BP346" s="55"/>
      <c r="BQ346" s="55"/>
      <c r="BR346" s="55"/>
      <c r="BS346" s="55"/>
    </row>
    <row r="347" spans="3:71" outlineLevel="1" x14ac:dyDescent="0.2">
      <c r="C347" s="11" t="str">
        <f>CHOOSE(db_ML_selected,'Liste Traduction'!B368,'Liste Traduction'!C368)</f>
        <v>Volumes de droits selon participation - Pétrole</v>
      </c>
      <c r="J347" s="26"/>
      <c r="L347" s="55"/>
      <c r="M347" s="55"/>
      <c r="N347" s="55"/>
      <c r="O347" s="55"/>
      <c r="P347" s="55"/>
      <c r="Q347" s="55"/>
      <c r="R347" s="55"/>
      <c r="S347" s="55"/>
      <c r="T347" s="55"/>
      <c r="U347" s="55"/>
      <c r="V347" s="55"/>
      <c r="W347" s="55"/>
      <c r="X347" s="55"/>
      <c r="Y347" s="55"/>
      <c r="Z347" s="55"/>
      <c r="AA347" s="55"/>
      <c r="AB347" s="55"/>
      <c r="AC347" s="55"/>
      <c r="AD347" s="55"/>
      <c r="AE347" s="55"/>
      <c r="AF347" s="55"/>
      <c r="AG347" s="55"/>
      <c r="AH347" s="55"/>
      <c r="AI347" s="55"/>
      <c r="AJ347" s="55"/>
      <c r="AK347" s="55"/>
      <c r="AL347" s="55"/>
      <c r="AM347" s="55"/>
      <c r="AN347" s="55"/>
      <c r="AO347" s="55"/>
      <c r="AP347" s="55"/>
      <c r="AQ347" s="55"/>
      <c r="AR347" s="55"/>
      <c r="AS347" s="55"/>
      <c r="AT347" s="55"/>
      <c r="AU347" s="55"/>
      <c r="AV347" s="55"/>
      <c r="AW347" s="55"/>
      <c r="AX347" s="55"/>
      <c r="AY347" s="55"/>
      <c r="AZ347" s="55"/>
      <c r="BA347" s="55"/>
      <c r="BB347" s="55"/>
      <c r="BC347" s="55"/>
      <c r="BD347" s="55"/>
      <c r="BE347" s="55"/>
      <c r="BF347" s="55"/>
      <c r="BG347" s="55"/>
      <c r="BH347" s="55"/>
      <c r="BI347" s="55"/>
      <c r="BJ347" s="55"/>
      <c r="BK347" s="55"/>
      <c r="BL347" s="55"/>
      <c r="BM347" s="55"/>
      <c r="BN347" s="55"/>
      <c r="BO347" s="55"/>
      <c r="BP347" s="55"/>
      <c r="BQ347" s="55"/>
      <c r="BR347" s="55"/>
      <c r="BS347" s="55"/>
    </row>
    <row r="348" spans="3:71" outlineLevel="1" x14ac:dyDescent="0.2">
      <c r="D348" t="str">
        <f>D343</f>
        <v>Consortium compagnie pétrolières internationales</v>
      </c>
      <c r="I348" s="30">
        <f t="shared" ref="I348:I350" ca="1" si="99">SUM($L348:$BS348)</f>
        <v>40.211096535076436</v>
      </c>
      <c r="J348" s="26" t="s">
        <v>88</v>
      </c>
      <c r="L348" s="49">
        <f ca="1">L329*HM_ZA_Nkossa!CA_IOC_WI</f>
        <v>2.2338533954873023</v>
      </c>
      <c r="M348" s="49">
        <f ca="1">M329*HM_ZA_Nkossa!CA_IOC_WI</f>
        <v>2.9313400158988889</v>
      </c>
      <c r="N348" s="49">
        <f ca="1">N329*HM_ZA_Nkossa!CA_IOC_WI</f>
        <v>3.8515028390413826</v>
      </c>
      <c r="O348" s="49">
        <f ca="1">O329*HM_ZA_Nkossa!CA_IOC_WI</f>
        <v>4.5315312815708939</v>
      </c>
      <c r="P348" s="49">
        <f ca="1">P329*HM_ZA_Nkossa!CA_IOC_WI</f>
        <v>4.8843149828225645</v>
      </c>
      <c r="Q348" s="49">
        <f ca="1">Q329*HM_ZA_Nkossa!CA_IOC_WI</f>
        <v>3.7703420071252918</v>
      </c>
      <c r="R348" s="49">
        <f ca="1">R329*HM_ZA_Nkossa!CA_IOC_WI</f>
        <v>4.1466133543335628</v>
      </c>
      <c r="S348" s="49">
        <f ca="1">S329*HM_ZA_Nkossa!CA_IOC_WI</f>
        <v>2.9829729999999999</v>
      </c>
      <c r="T348" s="49">
        <f ca="1">T329*HM_ZA_Nkossa!CA_IOC_WI</f>
        <v>2.5023815039999993</v>
      </c>
      <c r="U348" s="49">
        <f ca="1">U329*HM_ZA_Nkossa!CA_IOC_WI</f>
        <v>2.3272147987199991</v>
      </c>
      <c r="V348" s="49">
        <f ca="1">V329*HM_ZA_Nkossa!CA_IOC_WI</f>
        <v>2.1643097628095997</v>
      </c>
      <c r="W348" s="49">
        <f ca="1">W329*HM_ZA_Nkossa!CA_IOC_WI</f>
        <v>2.0128080794129275</v>
      </c>
      <c r="X348" s="49">
        <f ca="1">X329*HM_ZA_Nkossa!CA_IOC_WI</f>
        <v>1.8719115138540219</v>
      </c>
      <c r="Y348" s="49">
        <f ca="1">Y329*HM_ZA_Nkossa!CA_IOC_WI</f>
        <v>0</v>
      </c>
      <c r="Z348" s="49">
        <f ca="1">Z329*HM_ZA_Nkossa!CA_IOC_WI</f>
        <v>0</v>
      </c>
      <c r="AA348" s="49">
        <f ca="1">AA329*HM_ZA_Nkossa!CA_IOC_WI</f>
        <v>0</v>
      </c>
      <c r="AB348" s="49">
        <f ca="1">AB329*HM_ZA_Nkossa!CA_IOC_WI</f>
        <v>0</v>
      </c>
      <c r="AC348" s="49">
        <f ca="1">AC329*HM_ZA_Nkossa!CA_IOC_WI</f>
        <v>0</v>
      </c>
      <c r="AD348" s="49">
        <f ca="1">AD329*HM_ZA_Nkossa!CA_IOC_WI</f>
        <v>0</v>
      </c>
      <c r="AE348" s="49">
        <f ca="1">AE329*HM_ZA_Nkossa!CA_IOC_WI</f>
        <v>0</v>
      </c>
      <c r="AF348" s="49">
        <f ca="1">AF329*HM_ZA_Nkossa!CA_IOC_WI</f>
        <v>0</v>
      </c>
      <c r="AG348" s="49">
        <f ca="1">AG329*HM_ZA_Nkossa!CA_IOC_WI</f>
        <v>0</v>
      </c>
      <c r="AH348" s="49">
        <f ca="1">AH329*HM_ZA_Nkossa!CA_IOC_WI</f>
        <v>0</v>
      </c>
      <c r="AI348" s="49">
        <f ca="1">AI329*HM_ZA_Nkossa!CA_IOC_WI</f>
        <v>0</v>
      </c>
      <c r="AJ348" s="49">
        <f ca="1">AJ329*HM_ZA_Nkossa!CA_IOC_WI</f>
        <v>0</v>
      </c>
      <c r="AK348" s="49">
        <f ca="1">AK329*HM_ZA_Nkossa!CA_IOC_WI</f>
        <v>0</v>
      </c>
      <c r="AL348" s="49">
        <f ca="1">AL329*HM_ZA_Nkossa!CA_IOC_WI</f>
        <v>0</v>
      </c>
      <c r="AM348" s="49">
        <f ca="1">AM329*HM_ZA_Nkossa!CA_IOC_WI</f>
        <v>0</v>
      </c>
      <c r="AN348" s="49">
        <f ca="1">AN329*HM_ZA_Nkossa!CA_IOC_WI</f>
        <v>0</v>
      </c>
      <c r="AO348" s="49">
        <f ca="1">AO329*HM_ZA_Nkossa!CA_IOC_WI</f>
        <v>0</v>
      </c>
      <c r="AP348" s="49">
        <f ca="1">AP329*HM_ZA_Nkossa!CA_IOC_WI</f>
        <v>0</v>
      </c>
      <c r="AQ348" s="49">
        <f ca="1">AQ329*HM_ZA_Nkossa!CA_IOC_WI</f>
        <v>0</v>
      </c>
      <c r="AR348" s="49">
        <f ca="1">AR329*HM_ZA_Nkossa!CA_IOC_WI</f>
        <v>0</v>
      </c>
      <c r="AS348" s="49">
        <f ca="1">AS329*HM_ZA_Nkossa!CA_IOC_WI</f>
        <v>0</v>
      </c>
      <c r="AT348" s="49">
        <f ca="1">AT329*HM_ZA_Nkossa!CA_IOC_WI</f>
        <v>0</v>
      </c>
      <c r="AU348" s="49">
        <f ca="1">AU329*HM_ZA_Nkossa!CA_IOC_WI</f>
        <v>0</v>
      </c>
      <c r="AV348" s="49">
        <f ca="1">AV329*HM_ZA_Nkossa!CA_IOC_WI</f>
        <v>0</v>
      </c>
      <c r="AW348" s="49">
        <f ca="1">AW329*HM_ZA_Nkossa!CA_IOC_WI</f>
        <v>0</v>
      </c>
      <c r="AX348" s="49">
        <f ca="1">AX329*HM_ZA_Nkossa!CA_IOC_WI</f>
        <v>0</v>
      </c>
      <c r="AY348" s="49">
        <f ca="1">AY329*HM_ZA_Nkossa!CA_IOC_WI</f>
        <v>0</v>
      </c>
      <c r="AZ348" s="49">
        <f ca="1">AZ329*HM_ZA_Nkossa!CA_IOC_WI</f>
        <v>0</v>
      </c>
      <c r="BA348" s="49">
        <f ca="1">BA329*HM_ZA_Nkossa!CA_IOC_WI</f>
        <v>0</v>
      </c>
      <c r="BB348" s="49">
        <f ca="1">BB329*HM_ZA_Nkossa!CA_IOC_WI</f>
        <v>0</v>
      </c>
      <c r="BC348" s="49">
        <f ca="1">BC329*HM_ZA_Nkossa!CA_IOC_WI</f>
        <v>0</v>
      </c>
      <c r="BD348" s="49">
        <f ca="1">BD329*HM_ZA_Nkossa!CA_IOC_WI</f>
        <v>0</v>
      </c>
      <c r="BE348" s="49">
        <f ca="1">BE329*HM_ZA_Nkossa!CA_IOC_WI</f>
        <v>0</v>
      </c>
      <c r="BF348" s="49">
        <f ca="1">BF329*HM_ZA_Nkossa!CA_IOC_WI</f>
        <v>0</v>
      </c>
      <c r="BG348" s="49">
        <f ca="1">BG329*HM_ZA_Nkossa!CA_IOC_WI</f>
        <v>0</v>
      </c>
      <c r="BH348" s="49">
        <f ca="1">BH329*HM_ZA_Nkossa!CA_IOC_WI</f>
        <v>0</v>
      </c>
      <c r="BI348" s="49">
        <f ca="1">BI329*HM_ZA_Nkossa!CA_IOC_WI</f>
        <v>0</v>
      </c>
      <c r="BJ348" s="49">
        <f ca="1">BJ329*HM_ZA_Nkossa!CA_IOC_WI</f>
        <v>0</v>
      </c>
      <c r="BK348" s="49">
        <f ca="1">BK329*HM_ZA_Nkossa!CA_IOC_WI</f>
        <v>0</v>
      </c>
      <c r="BL348" s="49">
        <f ca="1">BL329*HM_ZA_Nkossa!CA_IOC_WI</f>
        <v>0</v>
      </c>
      <c r="BM348" s="49">
        <f ca="1">BM329*HM_ZA_Nkossa!CA_IOC_WI</f>
        <v>0</v>
      </c>
      <c r="BN348" s="49">
        <f ca="1">BN329*HM_ZA_Nkossa!CA_IOC_WI</f>
        <v>0</v>
      </c>
      <c r="BO348" s="49">
        <f ca="1">BO329*HM_ZA_Nkossa!CA_IOC_WI</f>
        <v>0</v>
      </c>
      <c r="BP348" s="49">
        <f ca="1">BP329*HM_ZA_Nkossa!CA_IOC_WI</f>
        <v>0</v>
      </c>
      <c r="BQ348" s="49">
        <f ca="1">BQ329*HM_ZA_Nkossa!CA_IOC_WI</f>
        <v>0</v>
      </c>
      <c r="BR348" s="49">
        <f ca="1">BR329*HM_ZA_Nkossa!CA_IOC_WI</f>
        <v>0</v>
      </c>
      <c r="BS348" s="49">
        <f ca="1">BS329*HM_ZA_Nkossa!CA_IOC_WI</f>
        <v>0</v>
      </c>
    </row>
    <row r="349" spans="3:71" outlineLevel="1" x14ac:dyDescent="0.2">
      <c r="D349" t="str">
        <f>D344</f>
        <v>Participation compagnie nationale/État</v>
      </c>
      <c r="I349" s="30">
        <f t="shared" ca="1" si="99"/>
        <v>7.096075859131135</v>
      </c>
      <c r="J349" s="26" t="s">
        <v>88</v>
      </c>
      <c r="L349" s="49">
        <f ca="1">L329*HM_ZA_Nkossa!CA_NOC_WI</f>
        <v>0.39420942273305337</v>
      </c>
      <c r="M349" s="49">
        <f ca="1">M329*HM_ZA_Nkossa!CA_NOC_WI</f>
        <v>0.51729529692333331</v>
      </c>
      <c r="N349" s="49">
        <f ca="1">N329*HM_ZA_Nkossa!CA_NOC_WI</f>
        <v>0.67967697159553808</v>
      </c>
      <c r="O349" s="49">
        <f ca="1">O329*HM_ZA_Nkossa!CA_NOC_WI</f>
        <v>0.79968199086545189</v>
      </c>
      <c r="P349" s="49">
        <f ca="1">P329*HM_ZA_Nkossa!CA_NOC_WI</f>
        <v>0.86193793814515851</v>
      </c>
      <c r="Q349" s="49">
        <f ca="1">Q329*HM_ZA_Nkossa!CA_NOC_WI</f>
        <v>0.66535447184563967</v>
      </c>
      <c r="R349" s="49">
        <f ca="1">R329*HM_ZA_Nkossa!CA_NOC_WI</f>
        <v>0.73175529782356985</v>
      </c>
      <c r="S349" s="49">
        <f ca="1">S329*HM_ZA_Nkossa!CA_NOC_WI</f>
        <v>0.52640699999999996</v>
      </c>
      <c r="T349" s="49">
        <f ca="1">T329*HM_ZA_Nkossa!CA_NOC_WI</f>
        <v>0.44159673599999988</v>
      </c>
      <c r="U349" s="49">
        <f ca="1">U329*HM_ZA_Nkossa!CA_NOC_WI</f>
        <v>0.41068496447999986</v>
      </c>
      <c r="V349" s="49">
        <f ca="1">V329*HM_ZA_Nkossa!CA_NOC_WI</f>
        <v>0.38193701696639998</v>
      </c>
      <c r="W349" s="49">
        <f ca="1">W329*HM_ZA_Nkossa!CA_NOC_WI</f>
        <v>0.35520142577875191</v>
      </c>
      <c r="X349" s="49">
        <f ca="1">X329*HM_ZA_Nkossa!CA_NOC_WI</f>
        <v>0.33033732597423915</v>
      </c>
      <c r="Y349" s="49">
        <f ca="1">Y329*HM_ZA_Nkossa!CA_NOC_WI</f>
        <v>0</v>
      </c>
      <c r="Z349" s="49">
        <f ca="1">Z329*HM_ZA_Nkossa!CA_NOC_WI</f>
        <v>0</v>
      </c>
      <c r="AA349" s="49">
        <f ca="1">AA329*HM_ZA_Nkossa!CA_NOC_WI</f>
        <v>0</v>
      </c>
      <c r="AB349" s="49">
        <f ca="1">AB329*HM_ZA_Nkossa!CA_NOC_WI</f>
        <v>0</v>
      </c>
      <c r="AC349" s="49">
        <f ca="1">AC329*HM_ZA_Nkossa!CA_NOC_WI</f>
        <v>0</v>
      </c>
      <c r="AD349" s="49">
        <f ca="1">AD329*HM_ZA_Nkossa!CA_NOC_WI</f>
        <v>0</v>
      </c>
      <c r="AE349" s="49">
        <f ca="1">AE329*HM_ZA_Nkossa!CA_NOC_WI</f>
        <v>0</v>
      </c>
      <c r="AF349" s="49">
        <f ca="1">AF329*HM_ZA_Nkossa!CA_NOC_WI</f>
        <v>0</v>
      </c>
      <c r="AG349" s="49">
        <f ca="1">AG329*HM_ZA_Nkossa!CA_NOC_WI</f>
        <v>0</v>
      </c>
      <c r="AH349" s="49">
        <f ca="1">AH329*HM_ZA_Nkossa!CA_NOC_WI</f>
        <v>0</v>
      </c>
      <c r="AI349" s="49">
        <f ca="1">AI329*HM_ZA_Nkossa!CA_NOC_WI</f>
        <v>0</v>
      </c>
      <c r="AJ349" s="49">
        <f ca="1">AJ329*HM_ZA_Nkossa!CA_NOC_WI</f>
        <v>0</v>
      </c>
      <c r="AK349" s="49">
        <f ca="1">AK329*HM_ZA_Nkossa!CA_NOC_WI</f>
        <v>0</v>
      </c>
      <c r="AL349" s="49">
        <f ca="1">AL329*HM_ZA_Nkossa!CA_NOC_WI</f>
        <v>0</v>
      </c>
      <c r="AM349" s="49">
        <f ca="1">AM329*HM_ZA_Nkossa!CA_NOC_WI</f>
        <v>0</v>
      </c>
      <c r="AN349" s="49">
        <f ca="1">AN329*HM_ZA_Nkossa!CA_NOC_WI</f>
        <v>0</v>
      </c>
      <c r="AO349" s="49">
        <f ca="1">AO329*HM_ZA_Nkossa!CA_NOC_WI</f>
        <v>0</v>
      </c>
      <c r="AP349" s="49">
        <f ca="1">AP329*HM_ZA_Nkossa!CA_NOC_WI</f>
        <v>0</v>
      </c>
      <c r="AQ349" s="49">
        <f ca="1">AQ329*HM_ZA_Nkossa!CA_NOC_WI</f>
        <v>0</v>
      </c>
      <c r="AR349" s="49">
        <f ca="1">AR329*HM_ZA_Nkossa!CA_NOC_WI</f>
        <v>0</v>
      </c>
      <c r="AS349" s="49">
        <f ca="1">AS329*HM_ZA_Nkossa!CA_NOC_WI</f>
        <v>0</v>
      </c>
      <c r="AT349" s="49">
        <f ca="1">AT329*HM_ZA_Nkossa!CA_NOC_WI</f>
        <v>0</v>
      </c>
      <c r="AU349" s="49">
        <f ca="1">AU329*HM_ZA_Nkossa!CA_NOC_WI</f>
        <v>0</v>
      </c>
      <c r="AV349" s="49">
        <f ca="1">AV329*HM_ZA_Nkossa!CA_NOC_WI</f>
        <v>0</v>
      </c>
      <c r="AW349" s="49">
        <f ca="1">AW329*HM_ZA_Nkossa!CA_NOC_WI</f>
        <v>0</v>
      </c>
      <c r="AX349" s="49">
        <f ca="1">AX329*HM_ZA_Nkossa!CA_NOC_WI</f>
        <v>0</v>
      </c>
      <c r="AY349" s="49">
        <f ca="1">AY329*HM_ZA_Nkossa!CA_NOC_WI</f>
        <v>0</v>
      </c>
      <c r="AZ349" s="49">
        <f ca="1">AZ329*HM_ZA_Nkossa!CA_NOC_WI</f>
        <v>0</v>
      </c>
      <c r="BA349" s="49">
        <f ca="1">BA329*HM_ZA_Nkossa!CA_NOC_WI</f>
        <v>0</v>
      </c>
      <c r="BB349" s="49">
        <f ca="1">BB329*HM_ZA_Nkossa!CA_NOC_WI</f>
        <v>0</v>
      </c>
      <c r="BC349" s="49">
        <f ca="1">BC329*HM_ZA_Nkossa!CA_NOC_WI</f>
        <v>0</v>
      </c>
      <c r="BD349" s="49">
        <f ca="1">BD329*HM_ZA_Nkossa!CA_NOC_WI</f>
        <v>0</v>
      </c>
      <c r="BE349" s="49">
        <f ca="1">BE329*HM_ZA_Nkossa!CA_NOC_WI</f>
        <v>0</v>
      </c>
      <c r="BF349" s="49">
        <f ca="1">BF329*HM_ZA_Nkossa!CA_NOC_WI</f>
        <v>0</v>
      </c>
      <c r="BG349" s="49">
        <f ca="1">BG329*HM_ZA_Nkossa!CA_NOC_WI</f>
        <v>0</v>
      </c>
      <c r="BH349" s="49">
        <f ca="1">BH329*HM_ZA_Nkossa!CA_NOC_WI</f>
        <v>0</v>
      </c>
      <c r="BI349" s="49">
        <f ca="1">BI329*HM_ZA_Nkossa!CA_NOC_WI</f>
        <v>0</v>
      </c>
      <c r="BJ349" s="49">
        <f ca="1">BJ329*HM_ZA_Nkossa!CA_NOC_WI</f>
        <v>0</v>
      </c>
      <c r="BK349" s="49">
        <f ca="1">BK329*HM_ZA_Nkossa!CA_NOC_WI</f>
        <v>0</v>
      </c>
      <c r="BL349" s="49">
        <f ca="1">BL329*HM_ZA_Nkossa!CA_NOC_WI</f>
        <v>0</v>
      </c>
      <c r="BM349" s="49">
        <f ca="1">BM329*HM_ZA_Nkossa!CA_NOC_WI</f>
        <v>0</v>
      </c>
      <c r="BN349" s="49">
        <f ca="1">BN329*HM_ZA_Nkossa!CA_NOC_WI</f>
        <v>0</v>
      </c>
      <c r="BO349" s="49">
        <f ca="1">BO329*HM_ZA_Nkossa!CA_NOC_WI</f>
        <v>0</v>
      </c>
      <c r="BP349" s="49">
        <f ca="1">BP329*HM_ZA_Nkossa!CA_NOC_WI</f>
        <v>0</v>
      </c>
      <c r="BQ349" s="49">
        <f ca="1">BQ329*HM_ZA_Nkossa!CA_NOC_WI</f>
        <v>0</v>
      </c>
      <c r="BR349" s="49">
        <f ca="1">BR329*HM_ZA_Nkossa!CA_NOC_WI</f>
        <v>0</v>
      </c>
      <c r="BS349" s="49">
        <f ca="1">BS329*HM_ZA_Nkossa!CA_NOC_WI</f>
        <v>0</v>
      </c>
    </row>
    <row r="350" spans="3:71" outlineLevel="1" x14ac:dyDescent="0.2">
      <c r="D350" s="11" t="s">
        <v>129</v>
      </c>
      <c r="I350" s="30">
        <f t="shared" ca="1" si="99"/>
        <v>47.307172394207569</v>
      </c>
      <c r="J350" s="26" t="s">
        <v>88</v>
      </c>
      <c r="L350" s="49">
        <f ca="1">SUM(L348:L349)</f>
        <v>2.6280628182203558</v>
      </c>
      <c r="M350" s="49">
        <f t="shared" ref="M350:BS350" ca="1" si="100">SUM(M348:M349)</f>
        <v>3.4486353128222222</v>
      </c>
      <c r="N350" s="49">
        <f t="shared" ca="1" si="100"/>
        <v>4.531179810636921</v>
      </c>
      <c r="O350" s="49">
        <f t="shared" ca="1" si="100"/>
        <v>5.3312132724363455</v>
      </c>
      <c r="P350" s="49">
        <f t="shared" ca="1" si="100"/>
        <v>5.7462529209677227</v>
      </c>
      <c r="Q350" s="49">
        <f t="shared" ca="1" si="100"/>
        <v>4.4356964789709314</v>
      </c>
      <c r="R350" s="49">
        <f t="shared" ca="1" si="100"/>
        <v>4.8783686521571328</v>
      </c>
      <c r="S350" s="49">
        <f t="shared" ca="1" si="100"/>
        <v>3.5093799999999997</v>
      </c>
      <c r="T350" s="49">
        <f t="shared" ca="1" si="100"/>
        <v>2.943978239999999</v>
      </c>
      <c r="U350" s="49">
        <f t="shared" ca="1" si="100"/>
        <v>2.7378997631999988</v>
      </c>
      <c r="V350" s="49">
        <f t="shared" ca="1" si="100"/>
        <v>2.5462467797759998</v>
      </c>
      <c r="W350" s="49">
        <f t="shared" ca="1" si="100"/>
        <v>2.3680095051916794</v>
      </c>
      <c r="X350" s="49">
        <f t="shared" ca="1" si="100"/>
        <v>2.2022488398282611</v>
      </c>
      <c r="Y350" s="49">
        <f t="shared" ca="1" si="100"/>
        <v>0</v>
      </c>
      <c r="Z350" s="49">
        <f t="shared" ca="1" si="100"/>
        <v>0</v>
      </c>
      <c r="AA350" s="49">
        <f t="shared" ca="1" si="100"/>
        <v>0</v>
      </c>
      <c r="AB350" s="49">
        <f t="shared" ca="1" si="100"/>
        <v>0</v>
      </c>
      <c r="AC350" s="49">
        <f t="shared" ca="1" si="100"/>
        <v>0</v>
      </c>
      <c r="AD350" s="49">
        <f t="shared" ca="1" si="100"/>
        <v>0</v>
      </c>
      <c r="AE350" s="49">
        <f t="shared" ca="1" si="100"/>
        <v>0</v>
      </c>
      <c r="AF350" s="49">
        <f t="shared" ca="1" si="100"/>
        <v>0</v>
      </c>
      <c r="AG350" s="49">
        <f t="shared" ca="1" si="100"/>
        <v>0</v>
      </c>
      <c r="AH350" s="49">
        <f t="shared" ca="1" si="100"/>
        <v>0</v>
      </c>
      <c r="AI350" s="49">
        <f t="shared" ca="1" si="100"/>
        <v>0</v>
      </c>
      <c r="AJ350" s="49">
        <f t="shared" ca="1" si="100"/>
        <v>0</v>
      </c>
      <c r="AK350" s="49">
        <f t="shared" ca="1" si="100"/>
        <v>0</v>
      </c>
      <c r="AL350" s="49">
        <f t="shared" ca="1" si="100"/>
        <v>0</v>
      </c>
      <c r="AM350" s="49">
        <f t="shared" ca="1" si="100"/>
        <v>0</v>
      </c>
      <c r="AN350" s="49">
        <f t="shared" ca="1" si="100"/>
        <v>0</v>
      </c>
      <c r="AO350" s="49">
        <f t="shared" ca="1" si="100"/>
        <v>0</v>
      </c>
      <c r="AP350" s="49">
        <f t="shared" ca="1" si="100"/>
        <v>0</v>
      </c>
      <c r="AQ350" s="49">
        <f t="shared" ca="1" si="100"/>
        <v>0</v>
      </c>
      <c r="AR350" s="49">
        <f t="shared" ca="1" si="100"/>
        <v>0</v>
      </c>
      <c r="AS350" s="49">
        <f t="shared" ca="1" si="100"/>
        <v>0</v>
      </c>
      <c r="AT350" s="49">
        <f t="shared" ca="1" si="100"/>
        <v>0</v>
      </c>
      <c r="AU350" s="49">
        <f t="shared" ca="1" si="100"/>
        <v>0</v>
      </c>
      <c r="AV350" s="49">
        <f t="shared" ca="1" si="100"/>
        <v>0</v>
      </c>
      <c r="AW350" s="49">
        <f t="shared" ca="1" si="100"/>
        <v>0</v>
      </c>
      <c r="AX350" s="49">
        <f t="shared" ca="1" si="100"/>
        <v>0</v>
      </c>
      <c r="AY350" s="49">
        <f t="shared" ca="1" si="100"/>
        <v>0</v>
      </c>
      <c r="AZ350" s="49">
        <f t="shared" ca="1" si="100"/>
        <v>0</v>
      </c>
      <c r="BA350" s="49">
        <f t="shared" ca="1" si="100"/>
        <v>0</v>
      </c>
      <c r="BB350" s="49">
        <f t="shared" ca="1" si="100"/>
        <v>0</v>
      </c>
      <c r="BC350" s="49">
        <f t="shared" ca="1" si="100"/>
        <v>0</v>
      </c>
      <c r="BD350" s="49">
        <f t="shared" ca="1" si="100"/>
        <v>0</v>
      </c>
      <c r="BE350" s="49">
        <f t="shared" ca="1" si="100"/>
        <v>0</v>
      </c>
      <c r="BF350" s="49">
        <f t="shared" ca="1" si="100"/>
        <v>0</v>
      </c>
      <c r="BG350" s="49">
        <f t="shared" ca="1" si="100"/>
        <v>0</v>
      </c>
      <c r="BH350" s="49">
        <f t="shared" ca="1" si="100"/>
        <v>0</v>
      </c>
      <c r="BI350" s="49">
        <f t="shared" ca="1" si="100"/>
        <v>0</v>
      </c>
      <c r="BJ350" s="49">
        <f t="shared" ca="1" si="100"/>
        <v>0</v>
      </c>
      <c r="BK350" s="49">
        <f t="shared" ca="1" si="100"/>
        <v>0</v>
      </c>
      <c r="BL350" s="49">
        <f t="shared" ca="1" si="100"/>
        <v>0</v>
      </c>
      <c r="BM350" s="49">
        <f t="shared" ca="1" si="100"/>
        <v>0</v>
      </c>
      <c r="BN350" s="49">
        <f t="shared" ca="1" si="100"/>
        <v>0</v>
      </c>
      <c r="BO350" s="49">
        <f t="shared" ca="1" si="100"/>
        <v>0</v>
      </c>
      <c r="BP350" s="49">
        <f t="shared" ca="1" si="100"/>
        <v>0</v>
      </c>
      <c r="BQ350" s="49">
        <f t="shared" ca="1" si="100"/>
        <v>0</v>
      </c>
      <c r="BR350" s="49">
        <f t="shared" ca="1" si="100"/>
        <v>0</v>
      </c>
      <c r="BS350" s="49">
        <f t="shared" ca="1" si="100"/>
        <v>0</v>
      </c>
    </row>
    <row r="351" spans="3:71" outlineLevel="1" x14ac:dyDescent="0.2">
      <c r="J351" s="26"/>
      <c r="L351" s="55"/>
      <c r="M351" s="55"/>
      <c r="N351" s="55"/>
      <c r="O351" s="55"/>
      <c r="P351" s="55"/>
      <c r="Q351" s="55"/>
      <c r="R351" s="55"/>
      <c r="S351" s="55"/>
      <c r="T351" s="55"/>
      <c r="U351" s="55"/>
      <c r="V351" s="55"/>
      <c r="W351" s="55"/>
      <c r="X351" s="55"/>
      <c r="Y351" s="55"/>
      <c r="Z351" s="55"/>
      <c r="AA351" s="55"/>
      <c r="AB351" s="55"/>
      <c r="AC351" s="55"/>
      <c r="AD351" s="55"/>
      <c r="AE351" s="55"/>
      <c r="AF351" s="55"/>
      <c r="AG351" s="55"/>
      <c r="AH351" s="55"/>
      <c r="AI351" s="55"/>
      <c r="AJ351" s="55"/>
      <c r="AK351" s="55"/>
      <c r="AL351" s="55"/>
      <c r="AM351" s="55"/>
      <c r="AN351" s="55"/>
      <c r="AO351" s="55"/>
      <c r="AP351" s="55"/>
      <c r="AQ351" s="55"/>
      <c r="AR351" s="55"/>
      <c r="AS351" s="55"/>
      <c r="AT351" s="55"/>
      <c r="AU351" s="55"/>
      <c r="AV351" s="55"/>
      <c r="AW351" s="55"/>
      <c r="AX351" s="55"/>
      <c r="AY351" s="55"/>
      <c r="AZ351" s="55"/>
      <c r="BA351" s="55"/>
      <c r="BB351" s="55"/>
      <c r="BC351" s="55"/>
      <c r="BD351" s="55"/>
      <c r="BE351" s="55"/>
      <c r="BF351" s="55"/>
      <c r="BG351" s="55"/>
      <c r="BH351" s="55"/>
      <c r="BI351" s="55"/>
      <c r="BJ351" s="55"/>
      <c r="BK351" s="55"/>
      <c r="BL351" s="55"/>
      <c r="BM351" s="55"/>
      <c r="BN351" s="55"/>
      <c r="BO351" s="55"/>
      <c r="BP351" s="55"/>
      <c r="BQ351" s="55"/>
      <c r="BR351" s="55"/>
      <c r="BS351" s="55"/>
    </row>
    <row r="352" spans="3:71" outlineLevel="1" x14ac:dyDescent="0.2">
      <c r="C352" s="11" t="str">
        <f>CHOOSE(db_ML_selected,'Liste Traduction'!B369,'Liste Traduction'!C369)</f>
        <v>Volumes de droits selon participation - Gaz</v>
      </c>
      <c r="J352" s="26"/>
      <c r="L352" s="55"/>
      <c r="M352" s="55"/>
      <c r="N352" s="55"/>
      <c r="O352" s="55"/>
      <c r="P352" s="55"/>
      <c r="Q352" s="55"/>
      <c r="R352" s="55"/>
      <c r="S352" s="55"/>
      <c r="T352" s="55"/>
      <c r="U352" s="55"/>
      <c r="V352" s="55"/>
      <c r="W352" s="55"/>
      <c r="X352" s="55"/>
      <c r="Y352" s="55"/>
      <c r="Z352" s="55"/>
      <c r="AA352" s="55"/>
      <c r="AB352" s="55"/>
      <c r="AC352" s="55"/>
      <c r="AD352" s="55"/>
      <c r="AE352" s="55"/>
      <c r="AF352" s="55"/>
      <c r="AG352" s="55"/>
      <c r="AH352" s="55"/>
      <c r="AI352" s="55"/>
      <c r="AJ352" s="55"/>
      <c r="AK352" s="55"/>
      <c r="AL352" s="55"/>
      <c r="AM352" s="55"/>
      <c r="AN352" s="55"/>
      <c r="AO352" s="55"/>
      <c r="AP352" s="55"/>
      <c r="AQ352" s="55"/>
      <c r="AR352" s="55"/>
      <c r="AS352" s="55"/>
      <c r="AT352" s="55"/>
      <c r="AU352" s="55"/>
      <c r="AV352" s="55"/>
      <c r="AW352" s="55"/>
      <c r="AX352" s="55"/>
      <c r="AY352" s="55"/>
      <c r="AZ352" s="55"/>
      <c r="BA352" s="55"/>
      <c r="BB352" s="55"/>
      <c r="BC352" s="55"/>
      <c r="BD352" s="55"/>
      <c r="BE352" s="55"/>
      <c r="BF352" s="55"/>
      <c r="BG352" s="55"/>
      <c r="BH352" s="55"/>
      <c r="BI352" s="55"/>
      <c r="BJ352" s="55"/>
      <c r="BK352" s="55"/>
      <c r="BL352" s="55"/>
      <c r="BM352" s="55"/>
      <c r="BN352" s="55"/>
      <c r="BO352" s="55"/>
      <c r="BP352" s="55"/>
      <c r="BQ352" s="55"/>
      <c r="BR352" s="55"/>
      <c r="BS352" s="55"/>
    </row>
    <row r="353" spans="1:71" outlineLevel="1" x14ac:dyDescent="0.2">
      <c r="D353" t="str">
        <f>D348</f>
        <v>Consortium compagnie pétrolières internationales</v>
      </c>
      <c r="I353" s="30">
        <f t="shared" ref="I353:I355" ca="1" si="101">SUM($L353:$BS353)</f>
        <v>0</v>
      </c>
      <c r="J353" s="26" t="s">
        <v>148</v>
      </c>
      <c r="L353" s="49">
        <f ca="1">L330*HM_ZA_Nkossa!CA_IOC_WI</f>
        <v>0</v>
      </c>
      <c r="M353" s="49">
        <f ca="1">M330*HM_ZA_Nkossa!CA_IOC_WI</f>
        <v>0</v>
      </c>
      <c r="N353" s="49">
        <f ca="1">N330*HM_ZA_Nkossa!CA_IOC_WI</f>
        <v>0</v>
      </c>
      <c r="O353" s="49">
        <f ca="1">O330*HM_ZA_Nkossa!CA_IOC_WI</f>
        <v>0</v>
      </c>
      <c r="P353" s="49">
        <f ca="1">P330*HM_ZA_Nkossa!CA_IOC_WI</f>
        <v>0</v>
      </c>
      <c r="Q353" s="49">
        <f ca="1">Q330*HM_ZA_Nkossa!CA_IOC_WI</f>
        <v>0</v>
      </c>
      <c r="R353" s="49">
        <f ca="1">R330*HM_ZA_Nkossa!CA_IOC_WI</f>
        <v>0</v>
      </c>
      <c r="S353" s="49">
        <f ca="1">S330*HM_ZA_Nkossa!CA_IOC_WI</f>
        <v>0</v>
      </c>
      <c r="T353" s="49">
        <f ca="1">T330*HM_ZA_Nkossa!CA_IOC_WI</f>
        <v>0</v>
      </c>
      <c r="U353" s="49">
        <f ca="1">U330*HM_ZA_Nkossa!CA_IOC_WI</f>
        <v>0</v>
      </c>
      <c r="V353" s="49">
        <f ca="1">V330*HM_ZA_Nkossa!CA_IOC_WI</f>
        <v>0</v>
      </c>
      <c r="W353" s="49">
        <f ca="1">W330*HM_ZA_Nkossa!CA_IOC_WI</f>
        <v>0</v>
      </c>
      <c r="X353" s="49">
        <f ca="1">X330*HM_ZA_Nkossa!CA_IOC_WI</f>
        <v>0</v>
      </c>
      <c r="Y353" s="49">
        <f ca="1">Y330*HM_ZA_Nkossa!CA_IOC_WI</f>
        <v>0</v>
      </c>
      <c r="Z353" s="49">
        <f ca="1">Z330*HM_ZA_Nkossa!CA_IOC_WI</f>
        <v>0</v>
      </c>
      <c r="AA353" s="49">
        <f ca="1">AA330*HM_ZA_Nkossa!CA_IOC_WI</f>
        <v>0</v>
      </c>
      <c r="AB353" s="49">
        <f ca="1">AB330*HM_ZA_Nkossa!CA_IOC_WI</f>
        <v>0</v>
      </c>
      <c r="AC353" s="49">
        <f ca="1">AC330*HM_ZA_Nkossa!CA_IOC_WI</f>
        <v>0</v>
      </c>
      <c r="AD353" s="49">
        <f ca="1">AD330*HM_ZA_Nkossa!CA_IOC_WI</f>
        <v>0</v>
      </c>
      <c r="AE353" s="49">
        <f ca="1">AE330*HM_ZA_Nkossa!CA_IOC_WI</f>
        <v>0</v>
      </c>
      <c r="AF353" s="49">
        <f ca="1">AF330*HM_ZA_Nkossa!CA_IOC_WI</f>
        <v>0</v>
      </c>
      <c r="AG353" s="49">
        <f ca="1">AG330*HM_ZA_Nkossa!CA_IOC_WI</f>
        <v>0</v>
      </c>
      <c r="AH353" s="49">
        <f ca="1">AH330*HM_ZA_Nkossa!CA_IOC_WI</f>
        <v>0</v>
      </c>
      <c r="AI353" s="49">
        <f ca="1">AI330*HM_ZA_Nkossa!CA_IOC_WI</f>
        <v>0</v>
      </c>
      <c r="AJ353" s="49">
        <f ca="1">AJ330*HM_ZA_Nkossa!CA_IOC_WI</f>
        <v>0</v>
      </c>
      <c r="AK353" s="49">
        <f ca="1">AK330*HM_ZA_Nkossa!CA_IOC_WI</f>
        <v>0</v>
      </c>
      <c r="AL353" s="49">
        <f ca="1">AL330*HM_ZA_Nkossa!CA_IOC_WI</f>
        <v>0</v>
      </c>
      <c r="AM353" s="49">
        <f ca="1">AM330*HM_ZA_Nkossa!CA_IOC_WI</f>
        <v>0</v>
      </c>
      <c r="AN353" s="49">
        <f ca="1">AN330*HM_ZA_Nkossa!CA_IOC_WI</f>
        <v>0</v>
      </c>
      <c r="AO353" s="49">
        <f ca="1">AO330*HM_ZA_Nkossa!CA_IOC_WI</f>
        <v>0</v>
      </c>
      <c r="AP353" s="49">
        <f ca="1">AP330*HM_ZA_Nkossa!CA_IOC_WI</f>
        <v>0</v>
      </c>
      <c r="AQ353" s="49">
        <f ca="1">AQ330*HM_ZA_Nkossa!CA_IOC_WI</f>
        <v>0</v>
      </c>
      <c r="AR353" s="49">
        <f ca="1">AR330*HM_ZA_Nkossa!CA_IOC_WI</f>
        <v>0</v>
      </c>
      <c r="AS353" s="49">
        <f ca="1">AS330*HM_ZA_Nkossa!CA_IOC_WI</f>
        <v>0</v>
      </c>
      <c r="AT353" s="49">
        <f ca="1">AT330*HM_ZA_Nkossa!CA_IOC_WI</f>
        <v>0</v>
      </c>
      <c r="AU353" s="49">
        <f ca="1">AU330*HM_ZA_Nkossa!CA_IOC_WI</f>
        <v>0</v>
      </c>
      <c r="AV353" s="49">
        <f ca="1">AV330*HM_ZA_Nkossa!CA_IOC_WI</f>
        <v>0</v>
      </c>
      <c r="AW353" s="49">
        <f ca="1">AW330*HM_ZA_Nkossa!CA_IOC_WI</f>
        <v>0</v>
      </c>
      <c r="AX353" s="49">
        <f ca="1">AX330*HM_ZA_Nkossa!CA_IOC_WI</f>
        <v>0</v>
      </c>
      <c r="AY353" s="49">
        <f ca="1">AY330*HM_ZA_Nkossa!CA_IOC_WI</f>
        <v>0</v>
      </c>
      <c r="AZ353" s="49">
        <f ca="1">AZ330*HM_ZA_Nkossa!CA_IOC_WI</f>
        <v>0</v>
      </c>
      <c r="BA353" s="49">
        <f ca="1">BA330*HM_ZA_Nkossa!CA_IOC_WI</f>
        <v>0</v>
      </c>
      <c r="BB353" s="49">
        <f ca="1">BB330*HM_ZA_Nkossa!CA_IOC_WI</f>
        <v>0</v>
      </c>
      <c r="BC353" s="49">
        <f ca="1">BC330*HM_ZA_Nkossa!CA_IOC_WI</f>
        <v>0</v>
      </c>
      <c r="BD353" s="49">
        <f ca="1">BD330*HM_ZA_Nkossa!CA_IOC_WI</f>
        <v>0</v>
      </c>
      <c r="BE353" s="49">
        <f ca="1">BE330*HM_ZA_Nkossa!CA_IOC_WI</f>
        <v>0</v>
      </c>
      <c r="BF353" s="49">
        <f ca="1">BF330*HM_ZA_Nkossa!CA_IOC_WI</f>
        <v>0</v>
      </c>
      <c r="BG353" s="49">
        <f ca="1">BG330*HM_ZA_Nkossa!CA_IOC_WI</f>
        <v>0</v>
      </c>
      <c r="BH353" s="49">
        <f ca="1">BH330*HM_ZA_Nkossa!CA_IOC_WI</f>
        <v>0</v>
      </c>
      <c r="BI353" s="49">
        <f ca="1">BI330*HM_ZA_Nkossa!CA_IOC_WI</f>
        <v>0</v>
      </c>
      <c r="BJ353" s="49">
        <f ca="1">BJ330*HM_ZA_Nkossa!CA_IOC_WI</f>
        <v>0</v>
      </c>
      <c r="BK353" s="49">
        <f ca="1">BK330*HM_ZA_Nkossa!CA_IOC_WI</f>
        <v>0</v>
      </c>
      <c r="BL353" s="49">
        <f ca="1">BL330*HM_ZA_Nkossa!CA_IOC_WI</f>
        <v>0</v>
      </c>
      <c r="BM353" s="49">
        <f ca="1">BM330*HM_ZA_Nkossa!CA_IOC_WI</f>
        <v>0</v>
      </c>
      <c r="BN353" s="49">
        <f ca="1">BN330*HM_ZA_Nkossa!CA_IOC_WI</f>
        <v>0</v>
      </c>
      <c r="BO353" s="49">
        <f ca="1">BO330*HM_ZA_Nkossa!CA_IOC_WI</f>
        <v>0</v>
      </c>
      <c r="BP353" s="49">
        <f ca="1">BP330*HM_ZA_Nkossa!CA_IOC_WI</f>
        <v>0</v>
      </c>
      <c r="BQ353" s="49">
        <f ca="1">BQ330*HM_ZA_Nkossa!CA_IOC_WI</f>
        <v>0</v>
      </c>
      <c r="BR353" s="49">
        <f ca="1">BR330*HM_ZA_Nkossa!CA_IOC_WI</f>
        <v>0</v>
      </c>
      <c r="BS353" s="49">
        <f ca="1">BS330*HM_ZA_Nkossa!CA_IOC_WI</f>
        <v>0</v>
      </c>
    </row>
    <row r="354" spans="1:71" outlineLevel="1" x14ac:dyDescent="0.2">
      <c r="D354" t="str">
        <f>D349</f>
        <v>Participation compagnie nationale/État</v>
      </c>
      <c r="I354" s="30">
        <f t="shared" ca="1" si="101"/>
        <v>0</v>
      </c>
      <c r="J354" s="26" t="s">
        <v>148</v>
      </c>
      <c r="L354" s="49">
        <f ca="1">L330*HM_ZA_Nkossa!CA_NOC_WI</f>
        <v>0</v>
      </c>
      <c r="M354" s="49">
        <f ca="1">M330*HM_ZA_Nkossa!CA_NOC_WI</f>
        <v>0</v>
      </c>
      <c r="N354" s="49">
        <f ca="1">N330*HM_ZA_Nkossa!CA_NOC_WI</f>
        <v>0</v>
      </c>
      <c r="O354" s="49">
        <f ca="1">O330*HM_ZA_Nkossa!CA_NOC_WI</f>
        <v>0</v>
      </c>
      <c r="P354" s="49">
        <f ca="1">P330*HM_ZA_Nkossa!CA_NOC_WI</f>
        <v>0</v>
      </c>
      <c r="Q354" s="49">
        <f ca="1">Q330*HM_ZA_Nkossa!CA_NOC_WI</f>
        <v>0</v>
      </c>
      <c r="R354" s="49">
        <f ca="1">R330*HM_ZA_Nkossa!CA_NOC_WI</f>
        <v>0</v>
      </c>
      <c r="S354" s="49">
        <f ca="1">S330*HM_ZA_Nkossa!CA_NOC_WI</f>
        <v>0</v>
      </c>
      <c r="T354" s="49">
        <f ca="1">T330*HM_ZA_Nkossa!CA_NOC_WI</f>
        <v>0</v>
      </c>
      <c r="U354" s="49">
        <f ca="1">U330*HM_ZA_Nkossa!CA_NOC_WI</f>
        <v>0</v>
      </c>
      <c r="V354" s="49">
        <f ca="1">V330*HM_ZA_Nkossa!CA_NOC_WI</f>
        <v>0</v>
      </c>
      <c r="W354" s="49">
        <f ca="1">W330*HM_ZA_Nkossa!CA_NOC_WI</f>
        <v>0</v>
      </c>
      <c r="X354" s="49">
        <f ca="1">X330*HM_ZA_Nkossa!CA_NOC_WI</f>
        <v>0</v>
      </c>
      <c r="Y354" s="49">
        <f ca="1">Y330*HM_ZA_Nkossa!CA_NOC_WI</f>
        <v>0</v>
      </c>
      <c r="Z354" s="49">
        <f ca="1">Z330*HM_ZA_Nkossa!CA_NOC_WI</f>
        <v>0</v>
      </c>
      <c r="AA354" s="49">
        <f ca="1">AA330*HM_ZA_Nkossa!CA_NOC_WI</f>
        <v>0</v>
      </c>
      <c r="AB354" s="49">
        <f ca="1">AB330*HM_ZA_Nkossa!CA_NOC_WI</f>
        <v>0</v>
      </c>
      <c r="AC354" s="49">
        <f ca="1">AC330*HM_ZA_Nkossa!CA_NOC_WI</f>
        <v>0</v>
      </c>
      <c r="AD354" s="49">
        <f ca="1">AD330*HM_ZA_Nkossa!CA_NOC_WI</f>
        <v>0</v>
      </c>
      <c r="AE354" s="49">
        <f ca="1">AE330*HM_ZA_Nkossa!CA_NOC_WI</f>
        <v>0</v>
      </c>
      <c r="AF354" s="49">
        <f ca="1">AF330*HM_ZA_Nkossa!CA_NOC_WI</f>
        <v>0</v>
      </c>
      <c r="AG354" s="49">
        <f ca="1">AG330*HM_ZA_Nkossa!CA_NOC_WI</f>
        <v>0</v>
      </c>
      <c r="AH354" s="49">
        <f ca="1">AH330*HM_ZA_Nkossa!CA_NOC_WI</f>
        <v>0</v>
      </c>
      <c r="AI354" s="49">
        <f ca="1">AI330*HM_ZA_Nkossa!CA_NOC_WI</f>
        <v>0</v>
      </c>
      <c r="AJ354" s="49">
        <f ca="1">AJ330*HM_ZA_Nkossa!CA_NOC_WI</f>
        <v>0</v>
      </c>
      <c r="AK354" s="49">
        <f ca="1">AK330*HM_ZA_Nkossa!CA_NOC_WI</f>
        <v>0</v>
      </c>
      <c r="AL354" s="49">
        <f ca="1">AL330*HM_ZA_Nkossa!CA_NOC_WI</f>
        <v>0</v>
      </c>
      <c r="AM354" s="49">
        <f ca="1">AM330*HM_ZA_Nkossa!CA_NOC_WI</f>
        <v>0</v>
      </c>
      <c r="AN354" s="49">
        <f ca="1">AN330*HM_ZA_Nkossa!CA_NOC_WI</f>
        <v>0</v>
      </c>
      <c r="AO354" s="49">
        <f ca="1">AO330*HM_ZA_Nkossa!CA_NOC_WI</f>
        <v>0</v>
      </c>
      <c r="AP354" s="49">
        <f ca="1">AP330*HM_ZA_Nkossa!CA_NOC_WI</f>
        <v>0</v>
      </c>
      <c r="AQ354" s="49">
        <f ca="1">AQ330*HM_ZA_Nkossa!CA_NOC_WI</f>
        <v>0</v>
      </c>
      <c r="AR354" s="49">
        <f ca="1">AR330*HM_ZA_Nkossa!CA_NOC_WI</f>
        <v>0</v>
      </c>
      <c r="AS354" s="49">
        <f ca="1">AS330*HM_ZA_Nkossa!CA_NOC_WI</f>
        <v>0</v>
      </c>
      <c r="AT354" s="49">
        <f ca="1">AT330*HM_ZA_Nkossa!CA_NOC_WI</f>
        <v>0</v>
      </c>
      <c r="AU354" s="49">
        <f ca="1">AU330*HM_ZA_Nkossa!CA_NOC_WI</f>
        <v>0</v>
      </c>
      <c r="AV354" s="49">
        <f ca="1">AV330*HM_ZA_Nkossa!CA_NOC_WI</f>
        <v>0</v>
      </c>
      <c r="AW354" s="49">
        <f ca="1">AW330*HM_ZA_Nkossa!CA_NOC_WI</f>
        <v>0</v>
      </c>
      <c r="AX354" s="49">
        <f ca="1">AX330*HM_ZA_Nkossa!CA_NOC_WI</f>
        <v>0</v>
      </c>
      <c r="AY354" s="49">
        <f ca="1">AY330*HM_ZA_Nkossa!CA_NOC_WI</f>
        <v>0</v>
      </c>
      <c r="AZ354" s="49">
        <f ca="1">AZ330*HM_ZA_Nkossa!CA_NOC_WI</f>
        <v>0</v>
      </c>
      <c r="BA354" s="49">
        <f ca="1">BA330*HM_ZA_Nkossa!CA_NOC_WI</f>
        <v>0</v>
      </c>
      <c r="BB354" s="49">
        <f ca="1">BB330*HM_ZA_Nkossa!CA_NOC_WI</f>
        <v>0</v>
      </c>
      <c r="BC354" s="49">
        <f ca="1">BC330*HM_ZA_Nkossa!CA_NOC_WI</f>
        <v>0</v>
      </c>
      <c r="BD354" s="49">
        <f ca="1">BD330*HM_ZA_Nkossa!CA_NOC_WI</f>
        <v>0</v>
      </c>
      <c r="BE354" s="49">
        <f ca="1">BE330*HM_ZA_Nkossa!CA_NOC_WI</f>
        <v>0</v>
      </c>
      <c r="BF354" s="49">
        <f ca="1">BF330*HM_ZA_Nkossa!CA_NOC_WI</f>
        <v>0</v>
      </c>
      <c r="BG354" s="49">
        <f ca="1">BG330*HM_ZA_Nkossa!CA_NOC_WI</f>
        <v>0</v>
      </c>
      <c r="BH354" s="49">
        <f ca="1">BH330*HM_ZA_Nkossa!CA_NOC_WI</f>
        <v>0</v>
      </c>
      <c r="BI354" s="49">
        <f ca="1">BI330*HM_ZA_Nkossa!CA_NOC_WI</f>
        <v>0</v>
      </c>
      <c r="BJ354" s="49">
        <f ca="1">BJ330*HM_ZA_Nkossa!CA_NOC_WI</f>
        <v>0</v>
      </c>
      <c r="BK354" s="49">
        <f ca="1">BK330*HM_ZA_Nkossa!CA_NOC_WI</f>
        <v>0</v>
      </c>
      <c r="BL354" s="49">
        <f ca="1">BL330*HM_ZA_Nkossa!CA_NOC_WI</f>
        <v>0</v>
      </c>
      <c r="BM354" s="49">
        <f ca="1">BM330*HM_ZA_Nkossa!CA_NOC_WI</f>
        <v>0</v>
      </c>
      <c r="BN354" s="49">
        <f ca="1">BN330*HM_ZA_Nkossa!CA_NOC_WI</f>
        <v>0</v>
      </c>
      <c r="BO354" s="49">
        <f ca="1">BO330*HM_ZA_Nkossa!CA_NOC_WI</f>
        <v>0</v>
      </c>
      <c r="BP354" s="49">
        <f ca="1">BP330*HM_ZA_Nkossa!CA_NOC_WI</f>
        <v>0</v>
      </c>
      <c r="BQ354" s="49">
        <f ca="1">BQ330*HM_ZA_Nkossa!CA_NOC_WI</f>
        <v>0</v>
      </c>
      <c r="BR354" s="49">
        <f ca="1">BR330*HM_ZA_Nkossa!CA_NOC_WI</f>
        <v>0</v>
      </c>
      <c r="BS354" s="49">
        <f ca="1">BS330*HM_ZA_Nkossa!CA_NOC_WI</f>
        <v>0</v>
      </c>
    </row>
    <row r="355" spans="1:71" outlineLevel="1" x14ac:dyDescent="0.2">
      <c r="D355" s="11" t="s">
        <v>129</v>
      </c>
      <c r="I355" s="30">
        <f t="shared" ca="1" si="101"/>
        <v>0</v>
      </c>
      <c r="J355" s="26" t="s">
        <v>148</v>
      </c>
      <c r="L355" s="49">
        <f ca="1">SUM(L353:L354)</f>
        <v>0</v>
      </c>
      <c r="M355" s="49">
        <f t="shared" ref="M355:BS355" ca="1" si="102">SUM(M353:M354)</f>
        <v>0</v>
      </c>
      <c r="N355" s="49">
        <f t="shared" ca="1" si="102"/>
        <v>0</v>
      </c>
      <c r="O355" s="49">
        <f t="shared" ca="1" si="102"/>
        <v>0</v>
      </c>
      <c r="P355" s="49">
        <f t="shared" ca="1" si="102"/>
        <v>0</v>
      </c>
      <c r="Q355" s="49">
        <f t="shared" ca="1" si="102"/>
        <v>0</v>
      </c>
      <c r="R355" s="49">
        <f t="shared" ca="1" si="102"/>
        <v>0</v>
      </c>
      <c r="S355" s="49">
        <f t="shared" ca="1" si="102"/>
        <v>0</v>
      </c>
      <c r="T355" s="49">
        <f t="shared" ca="1" si="102"/>
        <v>0</v>
      </c>
      <c r="U355" s="49">
        <f t="shared" ca="1" si="102"/>
        <v>0</v>
      </c>
      <c r="V355" s="49">
        <f t="shared" ca="1" si="102"/>
        <v>0</v>
      </c>
      <c r="W355" s="49">
        <f t="shared" ca="1" si="102"/>
        <v>0</v>
      </c>
      <c r="X355" s="49">
        <f t="shared" ca="1" si="102"/>
        <v>0</v>
      </c>
      <c r="Y355" s="49">
        <f t="shared" ca="1" si="102"/>
        <v>0</v>
      </c>
      <c r="Z355" s="49">
        <f t="shared" ca="1" si="102"/>
        <v>0</v>
      </c>
      <c r="AA355" s="49">
        <f t="shared" ca="1" si="102"/>
        <v>0</v>
      </c>
      <c r="AB355" s="49">
        <f t="shared" ca="1" si="102"/>
        <v>0</v>
      </c>
      <c r="AC355" s="49">
        <f t="shared" ca="1" si="102"/>
        <v>0</v>
      </c>
      <c r="AD355" s="49">
        <f t="shared" ca="1" si="102"/>
        <v>0</v>
      </c>
      <c r="AE355" s="49">
        <f t="shared" ca="1" si="102"/>
        <v>0</v>
      </c>
      <c r="AF355" s="49">
        <f t="shared" ca="1" si="102"/>
        <v>0</v>
      </c>
      <c r="AG355" s="49">
        <f t="shared" ca="1" si="102"/>
        <v>0</v>
      </c>
      <c r="AH355" s="49">
        <f t="shared" ca="1" si="102"/>
        <v>0</v>
      </c>
      <c r="AI355" s="49">
        <f t="shared" ca="1" si="102"/>
        <v>0</v>
      </c>
      <c r="AJ355" s="49">
        <f t="shared" ca="1" si="102"/>
        <v>0</v>
      </c>
      <c r="AK355" s="49">
        <f t="shared" ca="1" si="102"/>
        <v>0</v>
      </c>
      <c r="AL355" s="49">
        <f t="shared" ca="1" si="102"/>
        <v>0</v>
      </c>
      <c r="AM355" s="49">
        <f t="shared" ca="1" si="102"/>
        <v>0</v>
      </c>
      <c r="AN355" s="49">
        <f t="shared" ca="1" si="102"/>
        <v>0</v>
      </c>
      <c r="AO355" s="49">
        <f t="shared" ca="1" si="102"/>
        <v>0</v>
      </c>
      <c r="AP355" s="49">
        <f t="shared" ca="1" si="102"/>
        <v>0</v>
      </c>
      <c r="AQ355" s="49">
        <f t="shared" ca="1" si="102"/>
        <v>0</v>
      </c>
      <c r="AR355" s="49">
        <f t="shared" ca="1" si="102"/>
        <v>0</v>
      </c>
      <c r="AS355" s="49">
        <f t="shared" ca="1" si="102"/>
        <v>0</v>
      </c>
      <c r="AT355" s="49">
        <f t="shared" ca="1" si="102"/>
        <v>0</v>
      </c>
      <c r="AU355" s="49">
        <f t="shared" ca="1" si="102"/>
        <v>0</v>
      </c>
      <c r="AV355" s="49">
        <f t="shared" ca="1" si="102"/>
        <v>0</v>
      </c>
      <c r="AW355" s="49">
        <f t="shared" ca="1" si="102"/>
        <v>0</v>
      </c>
      <c r="AX355" s="49">
        <f t="shared" ca="1" si="102"/>
        <v>0</v>
      </c>
      <c r="AY355" s="49">
        <f t="shared" ca="1" si="102"/>
        <v>0</v>
      </c>
      <c r="AZ355" s="49">
        <f t="shared" ca="1" si="102"/>
        <v>0</v>
      </c>
      <c r="BA355" s="49">
        <f t="shared" ca="1" si="102"/>
        <v>0</v>
      </c>
      <c r="BB355" s="49">
        <f t="shared" ca="1" si="102"/>
        <v>0</v>
      </c>
      <c r="BC355" s="49">
        <f t="shared" ca="1" si="102"/>
        <v>0</v>
      </c>
      <c r="BD355" s="49">
        <f t="shared" ca="1" si="102"/>
        <v>0</v>
      </c>
      <c r="BE355" s="49">
        <f t="shared" ca="1" si="102"/>
        <v>0</v>
      </c>
      <c r="BF355" s="49">
        <f t="shared" ca="1" si="102"/>
        <v>0</v>
      </c>
      <c r="BG355" s="49">
        <f t="shared" ca="1" si="102"/>
        <v>0</v>
      </c>
      <c r="BH355" s="49">
        <f t="shared" ca="1" si="102"/>
        <v>0</v>
      </c>
      <c r="BI355" s="49">
        <f t="shared" ca="1" si="102"/>
        <v>0</v>
      </c>
      <c r="BJ355" s="49">
        <f t="shared" ca="1" si="102"/>
        <v>0</v>
      </c>
      <c r="BK355" s="49">
        <f t="shared" ca="1" si="102"/>
        <v>0</v>
      </c>
      <c r="BL355" s="49">
        <f t="shared" ca="1" si="102"/>
        <v>0</v>
      </c>
      <c r="BM355" s="49">
        <f t="shared" ca="1" si="102"/>
        <v>0</v>
      </c>
      <c r="BN355" s="49">
        <f t="shared" ca="1" si="102"/>
        <v>0</v>
      </c>
      <c r="BO355" s="49">
        <f t="shared" ca="1" si="102"/>
        <v>0</v>
      </c>
      <c r="BP355" s="49">
        <f t="shared" ca="1" si="102"/>
        <v>0</v>
      </c>
      <c r="BQ355" s="49">
        <f t="shared" ca="1" si="102"/>
        <v>0</v>
      </c>
      <c r="BR355" s="49">
        <f t="shared" ca="1" si="102"/>
        <v>0</v>
      </c>
      <c r="BS355" s="49">
        <f t="shared" ca="1" si="102"/>
        <v>0</v>
      </c>
    </row>
    <row r="356" spans="1:71" outlineLevel="1" x14ac:dyDescent="0.2">
      <c r="J356" s="26"/>
      <c r="L356" s="55"/>
      <c r="M356" s="55"/>
      <c r="N356" s="55"/>
      <c r="O356" s="55"/>
      <c r="P356" s="55"/>
      <c r="Q356" s="55"/>
      <c r="R356" s="55"/>
      <c r="S356" s="55"/>
      <c r="T356" s="55"/>
      <c r="U356" s="55"/>
      <c r="V356" s="55"/>
      <c r="W356" s="55"/>
      <c r="X356" s="55"/>
      <c r="Y356" s="55"/>
      <c r="Z356" s="55"/>
      <c r="AA356" s="55"/>
      <c r="AB356" s="55"/>
      <c r="AC356" s="55"/>
      <c r="AD356" s="55"/>
      <c r="AE356" s="55"/>
      <c r="AF356" s="55"/>
      <c r="AG356" s="55"/>
      <c r="AH356" s="55"/>
      <c r="AI356" s="55"/>
      <c r="AJ356" s="55"/>
      <c r="AK356" s="55"/>
      <c r="AL356" s="55"/>
      <c r="AM356" s="55"/>
      <c r="AN356" s="55"/>
      <c r="AO356" s="55"/>
      <c r="AP356" s="55"/>
      <c r="AQ356" s="55"/>
      <c r="AR356" s="55"/>
      <c r="AS356" s="55"/>
      <c r="AT356" s="55"/>
      <c r="AU356" s="55"/>
      <c r="AV356" s="55"/>
      <c r="AW356" s="55"/>
      <c r="AX356" s="55"/>
      <c r="AY356" s="55"/>
      <c r="AZ356" s="55"/>
      <c r="BA356" s="55"/>
      <c r="BB356" s="55"/>
      <c r="BC356" s="55"/>
      <c r="BD356" s="55"/>
      <c r="BE356" s="55"/>
      <c r="BF356" s="55"/>
      <c r="BG356" s="55"/>
      <c r="BH356" s="55"/>
      <c r="BI356" s="55"/>
      <c r="BJ356" s="55"/>
      <c r="BK356" s="55"/>
      <c r="BL356" s="55"/>
      <c r="BM356" s="55"/>
      <c r="BN356" s="55"/>
      <c r="BO356" s="55"/>
      <c r="BP356" s="55"/>
      <c r="BQ356" s="55"/>
      <c r="BR356" s="55"/>
      <c r="BS356" s="55"/>
    </row>
    <row r="357" spans="1:71" outlineLevel="1" x14ac:dyDescent="0.2">
      <c r="J357" s="26"/>
      <c r="L357" s="55"/>
      <c r="M357" s="55"/>
      <c r="N357" s="55"/>
      <c r="O357" s="55"/>
      <c r="P357" s="55"/>
      <c r="Q357" s="55"/>
      <c r="R357" s="55"/>
      <c r="S357" s="55"/>
      <c r="T357" s="55"/>
      <c r="U357" s="55"/>
      <c r="V357" s="55"/>
      <c r="W357" s="55"/>
      <c r="X357" s="55"/>
      <c r="Y357" s="55"/>
      <c r="Z357" s="55"/>
      <c r="AA357" s="55"/>
      <c r="AB357" s="55"/>
      <c r="AC357" s="55"/>
      <c r="AD357" s="55"/>
      <c r="AE357" s="55"/>
      <c r="AF357" s="55"/>
      <c r="AG357" s="55"/>
      <c r="AH357" s="55"/>
      <c r="AI357" s="55"/>
      <c r="AJ357" s="55"/>
      <c r="AK357" s="55"/>
      <c r="AL357" s="55"/>
      <c r="AM357" s="55"/>
      <c r="AN357" s="55"/>
      <c r="AO357" s="55"/>
      <c r="AP357" s="55"/>
      <c r="AQ357" s="55"/>
      <c r="AR357" s="55"/>
      <c r="AS357" s="55"/>
      <c r="AT357" s="55"/>
      <c r="AU357" s="55"/>
      <c r="AV357" s="55"/>
      <c r="AW357" s="55"/>
      <c r="AX357" s="55"/>
      <c r="AY357" s="55"/>
      <c r="AZ357" s="55"/>
      <c r="BA357" s="55"/>
      <c r="BB357" s="55"/>
      <c r="BC357" s="55"/>
      <c r="BD357" s="55"/>
      <c r="BE357" s="55"/>
      <c r="BF357" s="55"/>
      <c r="BG357" s="55"/>
      <c r="BH357" s="55"/>
      <c r="BI357" s="55"/>
      <c r="BJ357" s="55"/>
      <c r="BK357" s="55"/>
      <c r="BL357" s="55"/>
      <c r="BM357" s="55"/>
      <c r="BN357" s="55"/>
      <c r="BO357" s="55"/>
      <c r="BP357" s="55"/>
      <c r="BQ357" s="55"/>
      <c r="BR357" s="55"/>
      <c r="BS357" s="55"/>
    </row>
    <row r="358" spans="1:71" outlineLevel="1" x14ac:dyDescent="0.2">
      <c r="J358" s="26"/>
      <c r="L358" s="55"/>
      <c r="M358" s="55"/>
      <c r="N358" s="55"/>
      <c r="O358" s="55"/>
      <c r="P358" s="55"/>
      <c r="Q358" s="55"/>
      <c r="R358" s="55"/>
      <c r="S358" s="55"/>
      <c r="T358" s="55"/>
      <c r="U358" s="55"/>
      <c r="V358" s="55"/>
      <c r="W358" s="55"/>
      <c r="X358" s="55"/>
      <c r="Y358" s="55"/>
      <c r="Z358" s="55"/>
      <c r="AA358" s="55"/>
      <c r="AB358" s="55"/>
      <c r="AC358" s="55"/>
      <c r="AD358" s="55"/>
      <c r="AE358" s="55"/>
      <c r="AF358" s="55"/>
      <c r="AG358" s="55"/>
      <c r="AH358" s="55"/>
      <c r="AI358" s="55"/>
      <c r="AJ358" s="55"/>
      <c r="AK358" s="55"/>
      <c r="AL358" s="55"/>
      <c r="AM358" s="55"/>
      <c r="AN358" s="55"/>
      <c r="AO358" s="55"/>
      <c r="AP358" s="55"/>
      <c r="AQ358" s="55"/>
      <c r="AR358" s="55"/>
      <c r="AS358" s="55"/>
      <c r="AT358" s="55"/>
      <c r="AU358" s="55"/>
      <c r="AV358" s="55"/>
      <c r="AW358" s="55"/>
      <c r="AX358" s="55"/>
      <c r="AY358" s="55"/>
      <c r="AZ358" s="55"/>
      <c r="BA358" s="55"/>
      <c r="BB358" s="55"/>
      <c r="BC358" s="55"/>
      <c r="BD358" s="55"/>
      <c r="BE358" s="55"/>
      <c r="BF358" s="55"/>
      <c r="BG358" s="55"/>
      <c r="BH358" s="55"/>
      <c r="BI358" s="55"/>
      <c r="BJ358" s="55"/>
      <c r="BK358" s="55"/>
      <c r="BL358" s="55"/>
      <c r="BM358" s="55"/>
      <c r="BN358" s="55"/>
      <c r="BO358" s="55"/>
      <c r="BP358" s="55"/>
      <c r="BQ358" s="55"/>
      <c r="BR358" s="55"/>
      <c r="BS358" s="55"/>
    </row>
    <row r="359" spans="1:71" outlineLevel="1" x14ac:dyDescent="0.2">
      <c r="J359" s="26"/>
      <c r="L359" s="55"/>
      <c r="M359" s="55"/>
      <c r="N359" s="55"/>
      <c r="O359" s="55"/>
      <c r="P359" s="55"/>
      <c r="Q359" s="55"/>
      <c r="R359" s="55"/>
      <c r="S359" s="55"/>
      <c r="T359" s="55"/>
      <c r="U359" s="55"/>
      <c r="V359" s="55"/>
      <c r="W359" s="55"/>
      <c r="X359" s="55"/>
      <c r="Y359" s="55"/>
      <c r="Z359" s="55"/>
      <c r="AA359" s="55"/>
      <c r="AB359" s="55"/>
      <c r="AC359" s="55"/>
      <c r="AD359" s="55"/>
      <c r="AE359" s="55"/>
      <c r="AF359" s="55"/>
      <c r="AG359" s="55"/>
      <c r="AH359" s="55"/>
      <c r="AI359" s="55"/>
      <c r="AJ359" s="55"/>
      <c r="AK359" s="55"/>
      <c r="AL359" s="55"/>
      <c r="AM359" s="55"/>
      <c r="AN359" s="55"/>
      <c r="AO359" s="55"/>
      <c r="AP359" s="55"/>
      <c r="AQ359" s="55"/>
      <c r="AR359" s="55"/>
      <c r="AS359" s="55"/>
      <c r="AT359" s="55"/>
      <c r="AU359" s="55"/>
      <c r="AV359" s="55"/>
      <c r="AW359" s="55"/>
      <c r="AX359" s="55"/>
      <c r="AY359" s="55"/>
      <c r="AZ359" s="55"/>
      <c r="BA359" s="55"/>
      <c r="BB359" s="55"/>
      <c r="BC359" s="55"/>
      <c r="BD359" s="55"/>
      <c r="BE359" s="55"/>
      <c r="BF359" s="55"/>
      <c r="BG359" s="55"/>
      <c r="BH359" s="55"/>
      <c r="BI359" s="55"/>
      <c r="BJ359" s="55"/>
      <c r="BK359" s="55"/>
      <c r="BL359" s="55"/>
      <c r="BM359" s="55"/>
      <c r="BN359" s="55"/>
      <c r="BO359" s="55"/>
      <c r="BP359" s="55"/>
      <c r="BQ359" s="55"/>
      <c r="BR359" s="55"/>
      <c r="BS359" s="55"/>
    </row>
    <row r="360" spans="1:71" outlineLevel="1" x14ac:dyDescent="0.2">
      <c r="J360" s="26"/>
      <c r="L360" s="55"/>
      <c r="M360" s="55"/>
      <c r="N360" s="55"/>
      <c r="O360" s="55"/>
      <c r="P360" s="55"/>
      <c r="Q360" s="55"/>
      <c r="R360" s="55"/>
      <c r="S360" s="55"/>
      <c r="T360" s="55"/>
      <c r="U360" s="55"/>
      <c r="V360" s="55"/>
      <c r="W360" s="55"/>
      <c r="X360" s="55"/>
      <c r="Y360" s="55"/>
      <c r="Z360" s="55"/>
      <c r="AA360" s="55"/>
      <c r="AB360" s="55"/>
      <c r="AC360" s="55"/>
      <c r="AD360" s="55"/>
      <c r="AE360" s="55"/>
      <c r="AF360" s="55"/>
      <c r="AG360" s="55"/>
      <c r="AH360" s="55"/>
      <c r="AI360" s="55"/>
      <c r="AJ360" s="55"/>
      <c r="AK360" s="55"/>
      <c r="AL360" s="55"/>
      <c r="AM360" s="55"/>
      <c r="AN360" s="55"/>
      <c r="AO360" s="55"/>
      <c r="AP360" s="55"/>
      <c r="AQ360" s="55"/>
      <c r="AR360" s="55"/>
      <c r="AS360" s="55"/>
      <c r="AT360" s="55"/>
      <c r="AU360" s="55"/>
      <c r="AV360" s="55"/>
      <c r="AW360" s="55"/>
      <c r="AX360" s="55"/>
      <c r="AY360" s="55"/>
      <c r="AZ360" s="55"/>
      <c r="BA360" s="55"/>
      <c r="BB360" s="55"/>
      <c r="BC360" s="55"/>
      <c r="BD360" s="55"/>
      <c r="BE360" s="55"/>
      <c r="BF360" s="55"/>
      <c r="BG360" s="55"/>
      <c r="BH360" s="55"/>
      <c r="BI360" s="55"/>
      <c r="BJ360" s="55"/>
      <c r="BK360" s="55"/>
      <c r="BL360" s="55"/>
      <c r="BM360" s="55"/>
      <c r="BN360" s="55"/>
      <c r="BO360" s="55"/>
      <c r="BP360" s="55"/>
      <c r="BQ360" s="55"/>
      <c r="BR360" s="55"/>
      <c r="BS360" s="55"/>
    </row>
    <row r="361" spans="1:71" outlineLevel="1" x14ac:dyDescent="0.2">
      <c r="J361" s="26"/>
      <c r="L361" s="55"/>
      <c r="M361" s="55"/>
      <c r="N361" s="55"/>
      <c r="O361" s="55"/>
      <c r="P361" s="55"/>
      <c r="Q361" s="55"/>
      <c r="R361" s="55"/>
      <c r="S361" s="55"/>
      <c r="T361" s="55"/>
      <c r="U361" s="55"/>
      <c r="V361" s="55"/>
      <c r="W361" s="55"/>
      <c r="X361" s="55"/>
      <c r="Y361" s="55"/>
      <c r="Z361" s="55"/>
      <c r="AA361" s="55"/>
      <c r="AB361" s="55"/>
      <c r="AC361" s="55"/>
      <c r="AD361" s="55"/>
      <c r="AE361" s="55"/>
      <c r="AF361" s="55"/>
      <c r="AG361" s="55"/>
      <c r="AH361" s="55"/>
      <c r="AI361" s="55"/>
      <c r="AJ361" s="55"/>
      <c r="AK361" s="55"/>
      <c r="AL361" s="55"/>
      <c r="AM361" s="55"/>
      <c r="AN361" s="55"/>
      <c r="AO361" s="55"/>
      <c r="AP361" s="55"/>
      <c r="AQ361" s="55"/>
      <c r="AR361" s="55"/>
      <c r="AS361" s="55"/>
      <c r="AT361" s="55"/>
      <c r="AU361" s="55"/>
      <c r="AV361" s="55"/>
      <c r="AW361" s="55"/>
      <c r="AX361" s="55"/>
      <c r="AY361" s="55"/>
      <c r="AZ361" s="55"/>
      <c r="BA361" s="55"/>
      <c r="BB361" s="55"/>
      <c r="BC361" s="55"/>
      <c r="BD361" s="55"/>
      <c r="BE361" s="55"/>
      <c r="BF361" s="55"/>
      <c r="BG361" s="55"/>
      <c r="BH361" s="55"/>
      <c r="BI361" s="55"/>
      <c r="BJ361" s="55"/>
      <c r="BK361" s="55"/>
      <c r="BL361" s="55"/>
      <c r="BM361" s="55"/>
      <c r="BN361" s="55"/>
      <c r="BO361" s="55"/>
      <c r="BP361" s="55"/>
      <c r="BQ361" s="55"/>
      <c r="BR361" s="55"/>
      <c r="BS361" s="55"/>
    </row>
    <row r="362" spans="1:71" outlineLevel="1" x14ac:dyDescent="0.2">
      <c r="A362" s="45"/>
      <c r="B362" s="38" t="str">
        <f>CHOOSE(db_ML_selected,'Liste Traduction'!B370,'Liste Traduction'!C370)</f>
        <v>Calculs des intérêts portés</v>
      </c>
      <c r="C362" s="45"/>
      <c r="D362" s="45"/>
      <c r="E362" s="45"/>
      <c r="J362" s="26"/>
      <c r="L362" s="55"/>
      <c r="M362" s="55"/>
      <c r="N362" s="55"/>
      <c r="O362" s="55"/>
      <c r="P362" s="55"/>
      <c r="Q362" s="55"/>
      <c r="R362" s="55"/>
      <c r="S362" s="55"/>
      <c r="T362" s="55"/>
      <c r="U362" s="55"/>
      <c r="V362" s="55"/>
      <c r="W362" s="55"/>
      <c r="X362" s="55"/>
      <c r="Y362" s="55"/>
      <c r="Z362" s="55"/>
      <c r="AA362" s="55"/>
      <c r="AB362" s="55"/>
      <c r="AC362" s="55"/>
      <c r="AD362" s="55"/>
      <c r="AE362" s="55"/>
      <c r="AF362" s="55"/>
      <c r="AG362" s="55"/>
      <c r="AH362" s="55"/>
      <c r="AI362" s="55"/>
      <c r="AJ362" s="55"/>
      <c r="AK362" s="55"/>
      <c r="AL362" s="55"/>
      <c r="AM362" s="55"/>
      <c r="AN362" s="55"/>
      <c r="AO362" s="55"/>
      <c r="AP362" s="55"/>
      <c r="AQ362" s="55"/>
      <c r="AR362" s="55"/>
      <c r="AS362" s="55"/>
      <c r="AT362" s="55"/>
      <c r="AU362" s="55"/>
      <c r="AV362" s="55"/>
      <c r="AW362" s="55"/>
      <c r="AX362" s="55"/>
      <c r="AY362" s="55"/>
      <c r="AZ362" s="55"/>
      <c r="BA362" s="55"/>
      <c r="BB362" s="55"/>
      <c r="BC362" s="55"/>
      <c r="BD362" s="55"/>
      <c r="BE362" s="55"/>
      <c r="BF362" s="55"/>
      <c r="BG362" s="55"/>
      <c r="BH362" s="55"/>
      <c r="BI362" s="55"/>
      <c r="BJ362" s="55"/>
      <c r="BK362" s="55"/>
      <c r="BL362" s="55"/>
      <c r="BM362" s="55"/>
      <c r="BN362" s="55"/>
      <c r="BO362" s="55"/>
      <c r="BP362" s="55"/>
      <c r="BQ362" s="55"/>
      <c r="BR362" s="55"/>
      <c r="BS362" s="55"/>
    </row>
    <row r="363" spans="1:71" outlineLevel="1" x14ac:dyDescent="0.2">
      <c r="J363" s="26"/>
      <c r="L363" s="55"/>
      <c r="M363" s="55"/>
      <c r="N363" s="55"/>
      <c r="O363" s="55"/>
      <c r="P363" s="55"/>
      <c r="Q363" s="55"/>
      <c r="R363" s="55"/>
      <c r="S363" s="55"/>
      <c r="T363" s="55"/>
      <c r="U363" s="55"/>
      <c r="V363" s="55"/>
      <c r="W363" s="55"/>
      <c r="X363" s="55"/>
      <c r="Y363" s="55"/>
      <c r="Z363" s="55"/>
      <c r="AA363" s="55"/>
      <c r="AB363" s="55"/>
      <c r="AC363" s="55"/>
      <c r="AD363" s="55"/>
      <c r="AE363" s="55"/>
      <c r="AF363" s="55"/>
      <c r="AG363" s="55"/>
      <c r="AH363" s="55"/>
      <c r="AI363" s="55"/>
      <c r="AJ363" s="55"/>
      <c r="AK363" s="55"/>
      <c r="AL363" s="55"/>
      <c r="AM363" s="55"/>
      <c r="AN363" s="55"/>
      <c r="AO363" s="55"/>
      <c r="AP363" s="55"/>
      <c r="AQ363" s="55"/>
      <c r="AR363" s="55"/>
      <c r="AS363" s="55"/>
      <c r="AT363" s="55"/>
      <c r="AU363" s="55"/>
      <c r="AV363" s="55"/>
      <c r="AW363" s="55"/>
      <c r="AX363" s="55"/>
      <c r="AY363" s="55"/>
      <c r="AZ363" s="55"/>
      <c r="BA363" s="55"/>
      <c r="BB363" s="55"/>
      <c r="BC363" s="55"/>
      <c r="BD363" s="55"/>
      <c r="BE363" s="55"/>
      <c r="BF363" s="55"/>
      <c r="BG363" s="55"/>
      <c r="BH363" s="55"/>
      <c r="BI363" s="55"/>
      <c r="BJ363" s="55"/>
      <c r="BK363" s="55"/>
      <c r="BL363" s="55"/>
      <c r="BM363" s="55"/>
      <c r="BN363" s="55"/>
      <c r="BO363" s="55"/>
      <c r="BP363" s="55"/>
      <c r="BQ363" s="55"/>
      <c r="BR363" s="55"/>
      <c r="BS363" s="55"/>
    </row>
    <row r="364" spans="1:71" outlineLevel="1" x14ac:dyDescent="0.2">
      <c r="C364" s="11" t="str">
        <f>CHOOSE(db_ML_selected,'Liste Traduction'!B371,'Liste Traduction'!C371)</f>
        <v>Coûts portés compagnie nationale</v>
      </c>
      <c r="J364" s="26"/>
      <c r="L364" s="55"/>
      <c r="M364" s="55"/>
      <c r="N364" s="55"/>
      <c r="O364" s="55"/>
      <c r="P364" s="55"/>
      <c r="Q364" s="55"/>
      <c r="R364" s="55"/>
      <c r="S364" s="55"/>
      <c r="T364" s="55"/>
      <c r="U364" s="55"/>
      <c r="V364" s="55"/>
      <c r="W364" s="55"/>
      <c r="X364" s="55"/>
      <c r="Y364" s="55"/>
      <c r="Z364" s="55"/>
      <c r="AA364" s="55"/>
      <c r="AB364" s="55"/>
      <c r="AC364" s="55"/>
      <c r="AD364" s="55"/>
      <c r="AE364" s="55"/>
      <c r="AF364" s="55"/>
      <c r="AG364" s="55"/>
      <c r="AH364" s="55"/>
      <c r="AI364" s="55"/>
      <c r="AJ364" s="55"/>
      <c r="AK364" s="55"/>
      <c r="AL364" s="55"/>
      <c r="AM364" s="55"/>
      <c r="AN364" s="55"/>
      <c r="AO364" s="55"/>
      <c r="AP364" s="55"/>
      <c r="AQ364" s="55"/>
      <c r="AR364" s="55"/>
      <c r="AS364" s="55"/>
      <c r="AT364" s="55"/>
      <c r="AU364" s="55"/>
      <c r="AV364" s="55"/>
      <c r="AW364" s="55"/>
      <c r="AX364" s="55"/>
      <c r="AY364" s="55"/>
      <c r="AZ364" s="55"/>
      <c r="BA364" s="55"/>
      <c r="BB364" s="55"/>
      <c r="BC364" s="55"/>
      <c r="BD364" s="55"/>
      <c r="BE364" s="55"/>
      <c r="BF364" s="55"/>
      <c r="BG364" s="55"/>
      <c r="BH364" s="55"/>
      <c r="BI364" s="55"/>
      <c r="BJ364" s="55"/>
      <c r="BK364" s="55"/>
      <c r="BL364" s="55"/>
      <c r="BM364" s="55"/>
      <c r="BN364" s="55"/>
      <c r="BO364" s="55"/>
      <c r="BP364" s="55"/>
      <c r="BQ364" s="55"/>
      <c r="BR364" s="55"/>
      <c r="BS364" s="55"/>
    </row>
    <row r="365" spans="1:71" outlineLevel="1" x14ac:dyDescent="0.2">
      <c r="D365" t="str">
        <f>CHOOSE(db_ML_selected,'Liste Traduction'!B372,'Liste Traduction'!C372)</f>
        <v>Intérêt porté compagnie nationale - coûts exploration</v>
      </c>
      <c r="I365" s="30">
        <f t="shared" ref="I365:I368" ca="1" si="103">SUM($L365:$BS365)</f>
        <v>0</v>
      </c>
      <c r="J365" s="26" t="s">
        <v>148</v>
      </c>
      <c r="K365" s="7" t="s">
        <v>358</v>
      </c>
      <c r="L365" s="49">
        <f ca="1">(HM_ZA_Nkossa!CA_expex_nom*HM_ZA_Nkossa!NOC_CI_expex)*HM_ZA_Nkossa!CA_op_trig</f>
        <v>0</v>
      </c>
      <c r="M365" s="49">
        <f ca="1">(HM_ZA_Nkossa!CA_expex_nom*HM_ZA_Nkossa!NOC_CI_expex)*HM_ZA_Nkossa!CA_op_trig</f>
        <v>0</v>
      </c>
      <c r="N365" s="49">
        <f ca="1">(HM_ZA_Nkossa!CA_expex_nom*HM_ZA_Nkossa!NOC_CI_expex)*HM_ZA_Nkossa!CA_op_trig</f>
        <v>0</v>
      </c>
      <c r="O365" s="49">
        <f ca="1">(HM_ZA_Nkossa!CA_expex_nom*HM_ZA_Nkossa!NOC_CI_expex)*HM_ZA_Nkossa!CA_op_trig</f>
        <v>0</v>
      </c>
      <c r="P365" s="49">
        <f ca="1">(HM_ZA_Nkossa!CA_expex_nom*HM_ZA_Nkossa!NOC_CI_expex)*HM_ZA_Nkossa!CA_op_trig</f>
        <v>0</v>
      </c>
      <c r="Q365" s="49">
        <f ca="1">(HM_ZA_Nkossa!CA_expex_nom*HM_ZA_Nkossa!NOC_CI_expex)*HM_ZA_Nkossa!CA_op_trig</f>
        <v>0</v>
      </c>
      <c r="R365" s="49">
        <f ca="1">(HM_ZA_Nkossa!CA_expex_nom*HM_ZA_Nkossa!NOC_CI_expex)*HM_ZA_Nkossa!CA_op_trig</f>
        <v>0</v>
      </c>
      <c r="S365" s="49">
        <f ca="1">(HM_ZA_Nkossa!CA_expex_nom*HM_ZA_Nkossa!NOC_CI_expex)*HM_ZA_Nkossa!CA_op_trig</f>
        <v>0</v>
      </c>
      <c r="T365" s="49">
        <f ca="1">(HM_ZA_Nkossa!CA_expex_nom*HM_ZA_Nkossa!NOC_CI_expex)*HM_ZA_Nkossa!CA_op_trig</f>
        <v>0</v>
      </c>
      <c r="U365" s="49">
        <f ca="1">(HM_ZA_Nkossa!CA_expex_nom*HM_ZA_Nkossa!NOC_CI_expex)*HM_ZA_Nkossa!CA_op_trig</f>
        <v>0</v>
      </c>
      <c r="V365" s="49">
        <f ca="1">(HM_ZA_Nkossa!CA_expex_nom*HM_ZA_Nkossa!NOC_CI_expex)*HM_ZA_Nkossa!CA_op_trig</f>
        <v>0</v>
      </c>
      <c r="W365" s="49">
        <f ca="1">(HM_ZA_Nkossa!CA_expex_nom*HM_ZA_Nkossa!NOC_CI_expex)*HM_ZA_Nkossa!CA_op_trig</f>
        <v>0</v>
      </c>
      <c r="X365" s="49">
        <f ca="1">(HM_ZA_Nkossa!CA_expex_nom*HM_ZA_Nkossa!NOC_CI_expex)*HM_ZA_Nkossa!CA_op_trig</f>
        <v>0</v>
      </c>
      <c r="Y365" s="49">
        <f ca="1">(HM_ZA_Nkossa!CA_expex_nom*HM_ZA_Nkossa!NOC_CI_expex)*HM_ZA_Nkossa!CA_op_trig</f>
        <v>0</v>
      </c>
      <c r="Z365" s="49">
        <f ca="1">(HM_ZA_Nkossa!CA_expex_nom*HM_ZA_Nkossa!NOC_CI_expex)*HM_ZA_Nkossa!CA_op_trig</f>
        <v>0</v>
      </c>
      <c r="AA365" s="49">
        <f ca="1">(HM_ZA_Nkossa!CA_expex_nom*HM_ZA_Nkossa!NOC_CI_expex)*HM_ZA_Nkossa!CA_op_trig</f>
        <v>0</v>
      </c>
      <c r="AB365" s="49">
        <f ca="1">(HM_ZA_Nkossa!CA_expex_nom*HM_ZA_Nkossa!NOC_CI_expex)*HM_ZA_Nkossa!CA_op_trig</f>
        <v>0</v>
      </c>
      <c r="AC365" s="49">
        <f ca="1">(HM_ZA_Nkossa!CA_expex_nom*HM_ZA_Nkossa!NOC_CI_expex)*HM_ZA_Nkossa!CA_op_trig</f>
        <v>0</v>
      </c>
      <c r="AD365" s="49">
        <f ca="1">(HM_ZA_Nkossa!CA_expex_nom*HM_ZA_Nkossa!NOC_CI_expex)*HM_ZA_Nkossa!CA_op_trig</f>
        <v>0</v>
      </c>
      <c r="AE365" s="49">
        <f ca="1">(HM_ZA_Nkossa!CA_expex_nom*HM_ZA_Nkossa!NOC_CI_expex)*HM_ZA_Nkossa!CA_op_trig</f>
        <v>0</v>
      </c>
      <c r="AF365" s="49">
        <f ca="1">(HM_ZA_Nkossa!CA_expex_nom*HM_ZA_Nkossa!NOC_CI_expex)*HM_ZA_Nkossa!CA_op_trig</f>
        <v>0</v>
      </c>
      <c r="AG365" s="49">
        <f ca="1">(HM_ZA_Nkossa!CA_expex_nom*HM_ZA_Nkossa!NOC_CI_expex)*HM_ZA_Nkossa!CA_op_trig</f>
        <v>0</v>
      </c>
      <c r="AH365" s="49">
        <f ca="1">(HM_ZA_Nkossa!CA_expex_nom*HM_ZA_Nkossa!NOC_CI_expex)*HM_ZA_Nkossa!CA_op_trig</f>
        <v>0</v>
      </c>
      <c r="AI365" s="49">
        <f ca="1">(HM_ZA_Nkossa!CA_expex_nom*HM_ZA_Nkossa!NOC_CI_expex)*HM_ZA_Nkossa!CA_op_trig</f>
        <v>0</v>
      </c>
      <c r="AJ365" s="49">
        <f ca="1">(HM_ZA_Nkossa!CA_expex_nom*HM_ZA_Nkossa!NOC_CI_expex)*HM_ZA_Nkossa!CA_op_trig</f>
        <v>0</v>
      </c>
      <c r="AK365" s="49">
        <f ca="1">(HM_ZA_Nkossa!CA_expex_nom*HM_ZA_Nkossa!NOC_CI_expex)*HM_ZA_Nkossa!CA_op_trig</f>
        <v>0</v>
      </c>
      <c r="AL365" s="49">
        <f ca="1">(HM_ZA_Nkossa!CA_expex_nom*HM_ZA_Nkossa!NOC_CI_expex)*HM_ZA_Nkossa!CA_op_trig</f>
        <v>0</v>
      </c>
      <c r="AM365" s="49">
        <f ca="1">(HM_ZA_Nkossa!CA_expex_nom*HM_ZA_Nkossa!NOC_CI_expex)*HM_ZA_Nkossa!CA_op_trig</f>
        <v>0</v>
      </c>
      <c r="AN365" s="49">
        <f ca="1">(HM_ZA_Nkossa!CA_expex_nom*HM_ZA_Nkossa!NOC_CI_expex)*HM_ZA_Nkossa!CA_op_trig</f>
        <v>0</v>
      </c>
      <c r="AO365" s="49">
        <f ca="1">(HM_ZA_Nkossa!CA_expex_nom*HM_ZA_Nkossa!NOC_CI_expex)*HM_ZA_Nkossa!CA_op_trig</f>
        <v>0</v>
      </c>
      <c r="AP365" s="49">
        <f ca="1">(HM_ZA_Nkossa!CA_expex_nom*HM_ZA_Nkossa!NOC_CI_expex)*HM_ZA_Nkossa!CA_op_trig</f>
        <v>0</v>
      </c>
      <c r="AQ365" s="49">
        <f ca="1">(HM_ZA_Nkossa!CA_expex_nom*HM_ZA_Nkossa!NOC_CI_expex)*HM_ZA_Nkossa!CA_op_trig</f>
        <v>0</v>
      </c>
      <c r="AR365" s="49">
        <f ca="1">(HM_ZA_Nkossa!CA_expex_nom*HM_ZA_Nkossa!NOC_CI_expex)*HM_ZA_Nkossa!CA_op_trig</f>
        <v>0</v>
      </c>
      <c r="AS365" s="49">
        <f ca="1">(HM_ZA_Nkossa!CA_expex_nom*HM_ZA_Nkossa!NOC_CI_expex)*HM_ZA_Nkossa!CA_op_trig</f>
        <v>0</v>
      </c>
      <c r="AT365" s="49">
        <f ca="1">(HM_ZA_Nkossa!CA_expex_nom*HM_ZA_Nkossa!NOC_CI_expex)*HM_ZA_Nkossa!CA_op_trig</f>
        <v>0</v>
      </c>
      <c r="AU365" s="49">
        <f ca="1">(HM_ZA_Nkossa!CA_expex_nom*HM_ZA_Nkossa!NOC_CI_expex)*HM_ZA_Nkossa!CA_op_trig</f>
        <v>0</v>
      </c>
      <c r="AV365" s="49">
        <f ca="1">(HM_ZA_Nkossa!CA_expex_nom*HM_ZA_Nkossa!NOC_CI_expex)*HM_ZA_Nkossa!CA_op_trig</f>
        <v>0</v>
      </c>
      <c r="AW365" s="49">
        <f ca="1">(HM_ZA_Nkossa!CA_expex_nom*HM_ZA_Nkossa!NOC_CI_expex)*HM_ZA_Nkossa!CA_op_trig</f>
        <v>0</v>
      </c>
      <c r="AX365" s="49">
        <f ca="1">(HM_ZA_Nkossa!CA_expex_nom*HM_ZA_Nkossa!NOC_CI_expex)*HM_ZA_Nkossa!CA_op_trig</f>
        <v>0</v>
      </c>
      <c r="AY365" s="49">
        <f ca="1">(HM_ZA_Nkossa!CA_expex_nom*HM_ZA_Nkossa!NOC_CI_expex)*HM_ZA_Nkossa!CA_op_trig</f>
        <v>0</v>
      </c>
      <c r="AZ365" s="49">
        <f ca="1">(HM_ZA_Nkossa!CA_expex_nom*HM_ZA_Nkossa!NOC_CI_expex)*HM_ZA_Nkossa!CA_op_trig</f>
        <v>0</v>
      </c>
      <c r="BA365" s="49">
        <f ca="1">(HM_ZA_Nkossa!CA_expex_nom*HM_ZA_Nkossa!NOC_CI_expex)*HM_ZA_Nkossa!CA_op_trig</f>
        <v>0</v>
      </c>
      <c r="BB365" s="49">
        <f ca="1">(HM_ZA_Nkossa!CA_expex_nom*HM_ZA_Nkossa!NOC_CI_expex)*HM_ZA_Nkossa!CA_op_trig</f>
        <v>0</v>
      </c>
      <c r="BC365" s="49">
        <f ca="1">(HM_ZA_Nkossa!CA_expex_nom*HM_ZA_Nkossa!NOC_CI_expex)*HM_ZA_Nkossa!CA_op_trig</f>
        <v>0</v>
      </c>
      <c r="BD365" s="49">
        <f ca="1">(HM_ZA_Nkossa!CA_expex_nom*HM_ZA_Nkossa!NOC_CI_expex)*HM_ZA_Nkossa!CA_op_trig</f>
        <v>0</v>
      </c>
      <c r="BE365" s="49">
        <f ca="1">(HM_ZA_Nkossa!CA_expex_nom*HM_ZA_Nkossa!NOC_CI_expex)*HM_ZA_Nkossa!CA_op_trig</f>
        <v>0</v>
      </c>
      <c r="BF365" s="49">
        <f ca="1">(HM_ZA_Nkossa!CA_expex_nom*HM_ZA_Nkossa!NOC_CI_expex)*HM_ZA_Nkossa!CA_op_trig</f>
        <v>0</v>
      </c>
      <c r="BG365" s="49">
        <f ca="1">(HM_ZA_Nkossa!CA_expex_nom*HM_ZA_Nkossa!NOC_CI_expex)*HM_ZA_Nkossa!CA_op_trig</f>
        <v>0</v>
      </c>
      <c r="BH365" s="49">
        <f ca="1">(HM_ZA_Nkossa!CA_expex_nom*HM_ZA_Nkossa!NOC_CI_expex)*HM_ZA_Nkossa!CA_op_trig</f>
        <v>0</v>
      </c>
      <c r="BI365" s="49">
        <f ca="1">(HM_ZA_Nkossa!CA_expex_nom*HM_ZA_Nkossa!NOC_CI_expex)*HM_ZA_Nkossa!CA_op_trig</f>
        <v>0</v>
      </c>
      <c r="BJ365" s="49">
        <f ca="1">(HM_ZA_Nkossa!CA_expex_nom*HM_ZA_Nkossa!NOC_CI_expex)*HM_ZA_Nkossa!CA_op_trig</f>
        <v>0</v>
      </c>
      <c r="BK365" s="49">
        <f ca="1">(HM_ZA_Nkossa!CA_expex_nom*HM_ZA_Nkossa!NOC_CI_expex)*HM_ZA_Nkossa!CA_op_trig</f>
        <v>0</v>
      </c>
      <c r="BL365" s="49">
        <f ca="1">(HM_ZA_Nkossa!CA_expex_nom*HM_ZA_Nkossa!NOC_CI_expex)*HM_ZA_Nkossa!CA_op_trig</f>
        <v>0</v>
      </c>
      <c r="BM365" s="49">
        <f ca="1">(HM_ZA_Nkossa!CA_expex_nom*HM_ZA_Nkossa!NOC_CI_expex)*HM_ZA_Nkossa!CA_op_trig</f>
        <v>0</v>
      </c>
      <c r="BN365" s="49">
        <f ca="1">(HM_ZA_Nkossa!CA_expex_nom*HM_ZA_Nkossa!NOC_CI_expex)*HM_ZA_Nkossa!CA_op_trig</f>
        <v>0</v>
      </c>
      <c r="BO365" s="49">
        <f ca="1">(HM_ZA_Nkossa!CA_expex_nom*HM_ZA_Nkossa!NOC_CI_expex)*HM_ZA_Nkossa!CA_op_trig</f>
        <v>0</v>
      </c>
      <c r="BP365" s="49">
        <f ca="1">(HM_ZA_Nkossa!CA_expex_nom*HM_ZA_Nkossa!NOC_CI_expex)*HM_ZA_Nkossa!CA_op_trig</f>
        <v>0</v>
      </c>
      <c r="BQ365" s="49">
        <f ca="1">(HM_ZA_Nkossa!CA_expex_nom*HM_ZA_Nkossa!NOC_CI_expex)*HM_ZA_Nkossa!CA_op_trig</f>
        <v>0</v>
      </c>
      <c r="BR365" s="49">
        <f ca="1">(HM_ZA_Nkossa!CA_expex_nom*HM_ZA_Nkossa!NOC_CI_expex)*HM_ZA_Nkossa!CA_op_trig</f>
        <v>0</v>
      </c>
      <c r="BS365" s="49">
        <f ca="1">(HM_ZA_Nkossa!CA_expex_nom*HM_ZA_Nkossa!NOC_CI_expex)*HM_ZA_Nkossa!CA_op_trig</f>
        <v>0</v>
      </c>
    </row>
    <row r="366" spans="1:71" outlineLevel="1" x14ac:dyDescent="0.2">
      <c r="D366" t="str">
        <f>CHOOSE(db_ML_selected,'Liste Traduction'!B373,'Liste Traduction'!C373)</f>
        <v>Intérêt porté - Capex</v>
      </c>
      <c r="I366" s="30">
        <f t="shared" ca="1" si="103"/>
        <v>122.77815000000001</v>
      </c>
      <c r="J366" s="26" t="s">
        <v>148</v>
      </c>
      <c r="K366" s="7" t="s">
        <v>359</v>
      </c>
      <c r="L366" s="49">
        <f ca="1">(HM_ZA_Nkossa!CA_devex_nom*HM_ZA_Nkossa!NOC_CI_devex)*(HM_ZA_Nkossa!CA_op_trig)</f>
        <v>49.756049999999995</v>
      </c>
      <c r="M366" s="49">
        <f ca="1">(HM_ZA_Nkossa!CA_devex_nom*HM_ZA_Nkossa!NOC_CI_devex)*(HM_ZA_Nkossa!CA_op_trig)</f>
        <v>25.643250000000002</v>
      </c>
      <c r="N366" s="49">
        <f ca="1">(HM_ZA_Nkossa!CA_devex_nom*HM_ZA_Nkossa!NOC_CI_devex)*(HM_ZA_Nkossa!CA_op_trig)</f>
        <v>16.304849999999998</v>
      </c>
      <c r="O366" s="49">
        <f ca="1">(HM_ZA_Nkossa!CA_devex_nom*HM_ZA_Nkossa!NOC_CI_devex)*(HM_ZA_Nkossa!CA_op_trig)</f>
        <v>5.7839999999999998</v>
      </c>
      <c r="P366" s="49">
        <f ca="1">(HM_ZA_Nkossa!CA_devex_nom*HM_ZA_Nkossa!NOC_CI_devex)*(HM_ZA_Nkossa!CA_op_trig)</f>
        <v>7.59</v>
      </c>
      <c r="Q366" s="49">
        <f ca="1">(HM_ZA_Nkossa!CA_devex_nom*HM_ZA_Nkossa!NOC_CI_devex)*(HM_ZA_Nkossa!CA_op_trig)</f>
        <v>17.7</v>
      </c>
      <c r="R366" s="49">
        <f ca="1">(HM_ZA_Nkossa!CA_devex_nom*HM_ZA_Nkossa!NOC_CI_devex)*(HM_ZA_Nkossa!CA_op_trig)</f>
        <v>0</v>
      </c>
      <c r="S366" s="49">
        <f ca="1">(HM_ZA_Nkossa!CA_devex_nom*HM_ZA_Nkossa!NOC_CI_devex)*(HM_ZA_Nkossa!CA_op_trig)</f>
        <v>0</v>
      </c>
      <c r="T366" s="49">
        <f ca="1">(HM_ZA_Nkossa!CA_devex_nom*HM_ZA_Nkossa!NOC_CI_devex)*(HM_ZA_Nkossa!CA_op_trig)</f>
        <v>0</v>
      </c>
      <c r="U366" s="49">
        <f ca="1">(HM_ZA_Nkossa!CA_devex_nom*HM_ZA_Nkossa!NOC_CI_devex)*(HM_ZA_Nkossa!CA_op_trig)</f>
        <v>0</v>
      </c>
      <c r="V366" s="49">
        <f ca="1">(HM_ZA_Nkossa!CA_devex_nom*HM_ZA_Nkossa!NOC_CI_devex)*(HM_ZA_Nkossa!CA_op_trig)</f>
        <v>0</v>
      </c>
      <c r="W366" s="49">
        <f ca="1">(HM_ZA_Nkossa!CA_devex_nom*HM_ZA_Nkossa!NOC_CI_devex)*(HM_ZA_Nkossa!CA_op_trig)</f>
        <v>0</v>
      </c>
      <c r="X366" s="49">
        <f ca="1">(HM_ZA_Nkossa!CA_devex_nom*HM_ZA_Nkossa!NOC_CI_devex)*(HM_ZA_Nkossa!CA_op_trig)</f>
        <v>0</v>
      </c>
      <c r="Y366" s="49">
        <f ca="1">(HM_ZA_Nkossa!CA_devex_nom*HM_ZA_Nkossa!NOC_CI_devex)*(HM_ZA_Nkossa!CA_op_trig)</f>
        <v>0</v>
      </c>
      <c r="Z366" s="49">
        <f ca="1">(HM_ZA_Nkossa!CA_devex_nom*HM_ZA_Nkossa!NOC_CI_devex)*(HM_ZA_Nkossa!CA_op_trig)</f>
        <v>0</v>
      </c>
      <c r="AA366" s="49">
        <f ca="1">(HM_ZA_Nkossa!CA_devex_nom*HM_ZA_Nkossa!NOC_CI_devex)*(HM_ZA_Nkossa!CA_op_trig)</f>
        <v>0</v>
      </c>
      <c r="AB366" s="49">
        <f ca="1">(HM_ZA_Nkossa!CA_devex_nom*HM_ZA_Nkossa!NOC_CI_devex)*(HM_ZA_Nkossa!CA_op_trig)</f>
        <v>0</v>
      </c>
      <c r="AC366" s="49">
        <f ca="1">(HM_ZA_Nkossa!CA_devex_nom*HM_ZA_Nkossa!NOC_CI_devex)*(HM_ZA_Nkossa!CA_op_trig)</f>
        <v>0</v>
      </c>
      <c r="AD366" s="49">
        <f ca="1">(HM_ZA_Nkossa!CA_devex_nom*HM_ZA_Nkossa!NOC_CI_devex)*(HM_ZA_Nkossa!CA_op_trig)</f>
        <v>0</v>
      </c>
      <c r="AE366" s="49">
        <f ca="1">(HM_ZA_Nkossa!CA_devex_nom*HM_ZA_Nkossa!NOC_CI_devex)*(HM_ZA_Nkossa!CA_op_trig)</f>
        <v>0</v>
      </c>
      <c r="AF366" s="49">
        <f ca="1">(HM_ZA_Nkossa!CA_devex_nom*HM_ZA_Nkossa!NOC_CI_devex)*(HM_ZA_Nkossa!CA_op_trig)</f>
        <v>0</v>
      </c>
      <c r="AG366" s="49">
        <f ca="1">(HM_ZA_Nkossa!CA_devex_nom*HM_ZA_Nkossa!NOC_CI_devex)*(HM_ZA_Nkossa!CA_op_trig)</f>
        <v>0</v>
      </c>
      <c r="AH366" s="49">
        <f ca="1">(HM_ZA_Nkossa!CA_devex_nom*HM_ZA_Nkossa!NOC_CI_devex)*(HM_ZA_Nkossa!CA_op_trig)</f>
        <v>0</v>
      </c>
      <c r="AI366" s="49">
        <f ca="1">(HM_ZA_Nkossa!CA_devex_nom*HM_ZA_Nkossa!NOC_CI_devex)*(HM_ZA_Nkossa!CA_op_trig)</f>
        <v>0</v>
      </c>
      <c r="AJ366" s="49">
        <f ca="1">(HM_ZA_Nkossa!CA_devex_nom*HM_ZA_Nkossa!NOC_CI_devex)*(HM_ZA_Nkossa!CA_op_trig)</f>
        <v>0</v>
      </c>
      <c r="AK366" s="49">
        <f ca="1">(HM_ZA_Nkossa!CA_devex_nom*HM_ZA_Nkossa!NOC_CI_devex)*(HM_ZA_Nkossa!CA_op_trig)</f>
        <v>0</v>
      </c>
      <c r="AL366" s="49">
        <f ca="1">(HM_ZA_Nkossa!CA_devex_nom*HM_ZA_Nkossa!NOC_CI_devex)*(HM_ZA_Nkossa!CA_op_trig)</f>
        <v>0</v>
      </c>
      <c r="AM366" s="49">
        <f ca="1">(HM_ZA_Nkossa!CA_devex_nom*HM_ZA_Nkossa!NOC_CI_devex)*(HM_ZA_Nkossa!CA_op_trig)</f>
        <v>0</v>
      </c>
      <c r="AN366" s="49">
        <f ca="1">(HM_ZA_Nkossa!CA_devex_nom*HM_ZA_Nkossa!NOC_CI_devex)*(HM_ZA_Nkossa!CA_op_trig)</f>
        <v>0</v>
      </c>
      <c r="AO366" s="49">
        <f ca="1">(HM_ZA_Nkossa!CA_devex_nom*HM_ZA_Nkossa!NOC_CI_devex)*(HM_ZA_Nkossa!CA_op_trig)</f>
        <v>0</v>
      </c>
      <c r="AP366" s="49">
        <f ca="1">(HM_ZA_Nkossa!CA_devex_nom*HM_ZA_Nkossa!NOC_CI_devex)*(HM_ZA_Nkossa!CA_op_trig)</f>
        <v>0</v>
      </c>
      <c r="AQ366" s="49">
        <f ca="1">(HM_ZA_Nkossa!CA_devex_nom*HM_ZA_Nkossa!NOC_CI_devex)*(HM_ZA_Nkossa!CA_op_trig)</f>
        <v>0</v>
      </c>
      <c r="AR366" s="49">
        <f ca="1">(HM_ZA_Nkossa!CA_devex_nom*HM_ZA_Nkossa!NOC_CI_devex)*(HM_ZA_Nkossa!CA_op_trig)</f>
        <v>0</v>
      </c>
      <c r="AS366" s="49">
        <f ca="1">(HM_ZA_Nkossa!CA_devex_nom*HM_ZA_Nkossa!NOC_CI_devex)*(HM_ZA_Nkossa!CA_op_trig)</f>
        <v>0</v>
      </c>
      <c r="AT366" s="49">
        <f ca="1">(HM_ZA_Nkossa!CA_devex_nom*HM_ZA_Nkossa!NOC_CI_devex)*(HM_ZA_Nkossa!CA_op_trig)</f>
        <v>0</v>
      </c>
      <c r="AU366" s="49">
        <f ca="1">(HM_ZA_Nkossa!CA_devex_nom*HM_ZA_Nkossa!NOC_CI_devex)*(HM_ZA_Nkossa!CA_op_trig)</f>
        <v>0</v>
      </c>
      <c r="AV366" s="49">
        <f ca="1">(HM_ZA_Nkossa!CA_devex_nom*HM_ZA_Nkossa!NOC_CI_devex)*(HM_ZA_Nkossa!CA_op_trig)</f>
        <v>0</v>
      </c>
      <c r="AW366" s="49">
        <f ca="1">(HM_ZA_Nkossa!CA_devex_nom*HM_ZA_Nkossa!NOC_CI_devex)*(HM_ZA_Nkossa!CA_op_trig)</f>
        <v>0</v>
      </c>
      <c r="AX366" s="49">
        <f ca="1">(HM_ZA_Nkossa!CA_devex_nom*HM_ZA_Nkossa!NOC_CI_devex)*(HM_ZA_Nkossa!CA_op_trig)</f>
        <v>0</v>
      </c>
      <c r="AY366" s="49">
        <f ca="1">(HM_ZA_Nkossa!CA_devex_nom*HM_ZA_Nkossa!NOC_CI_devex)*(HM_ZA_Nkossa!CA_op_trig)</f>
        <v>0</v>
      </c>
      <c r="AZ366" s="49">
        <f ca="1">(HM_ZA_Nkossa!CA_devex_nom*HM_ZA_Nkossa!NOC_CI_devex)*(HM_ZA_Nkossa!CA_op_trig)</f>
        <v>0</v>
      </c>
      <c r="BA366" s="49">
        <f ca="1">(HM_ZA_Nkossa!CA_devex_nom*HM_ZA_Nkossa!NOC_CI_devex)*(HM_ZA_Nkossa!CA_op_trig)</f>
        <v>0</v>
      </c>
      <c r="BB366" s="49">
        <f ca="1">(HM_ZA_Nkossa!CA_devex_nom*HM_ZA_Nkossa!NOC_CI_devex)*(HM_ZA_Nkossa!CA_op_trig)</f>
        <v>0</v>
      </c>
      <c r="BC366" s="49">
        <f ca="1">(HM_ZA_Nkossa!CA_devex_nom*HM_ZA_Nkossa!NOC_CI_devex)*(HM_ZA_Nkossa!CA_op_trig)</f>
        <v>0</v>
      </c>
      <c r="BD366" s="49">
        <f ca="1">(HM_ZA_Nkossa!CA_devex_nom*HM_ZA_Nkossa!NOC_CI_devex)*(HM_ZA_Nkossa!CA_op_trig)</f>
        <v>0</v>
      </c>
      <c r="BE366" s="49">
        <f ca="1">(HM_ZA_Nkossa!CA_devex_nom*HM_ZA_Nkossa!NOC_CI_devex)*(HM_ZA_Nkossa!CA_op_trig)</f>
        <v>0</v>
      </c>
      <c r="BF366" s="49">
        <f ca="1">(HM_ZA_Nkossa!CA_devex_nom*HM_ZA_Nkossa!NOC_CI_devex)*(HM_ZA_Nkossa!CA_op_trig)</f>
        <v>0</v>
      </c>
      <c r="BG366" s="49">
        <f ca="1">(HM_ZA_Nkossa!CA_devex_nom*HM_ZA_Nkossa!NOC_CI_devex)*(HM_ZA_Nkossa!CA_op_trig)</f>
        <v>0</v>
      </c>
      <c r="BH366" s="49">
        <f ca="1">(HM_ZA_Nkossa!CA_devex_nom*HM_ZA_Nkossa!NOC_CI_devex)*(HM_ZA_Nkossa!CA_op_trig)</f>
        <v>0</v>
      </c>
      <c r="BI366" s="49">
        <f ca="1">(HM_ZA_Nkossa!CA_devex_nom*HM_ZA_Nkossa!NOC_CI_devex)*(HM_ZA_Nkossa!CA_op_trig)</f>
        <v>0</v>
      </c>
      <c r="BJ366" s="49">
        <f ca="1">(HM_ZA_Nkossa!CA_devex_nom*HM_ZA_Nkossa!NOC_CI_devex)*(HM_ZA_Nkossa!CA_op_trig)</f>
        <v>0</v>
      </c>
      <c r="BK366" s="49">
        <f ca="1">(HM_ZA_Nkossa!CA_devex_nom*HM_ZA_Nkossa!NOC_CI_devex)*(HM_ZA_Nkossa!CA_op_trig)</f>
        <v>0</v>
      </c>
      <c r="BL366" s="49">
        <f ca="1">(HM_ZA_Nkossa!CA_devex_nom*HM_ZA_Nkossa!NOC_CI_devex)*(HM_ZA_Nkossa!CA_op_trig)</f>
        <v>0</v>
      </c>
      <c r="BM366" s="49">
        <f ca="1">(HM_ZA_Nkossa!CA_devex_nom*HM_ZA_Nkossa!NOC_CI_devex)*(HM_ZA_Nkossa!CA_op_trig)</f>
        <v>0</v>
      </c>
      <c r="BN366" s="49">
        <f ca="1">(HM_ZA_Nkossa!CA_devex_nom*HM_ZA_Nkossa!NOC_CI_devex)*(HM_ZA_Nkossa!CA_op_trig)</f>
        <v>0</v>
      </c>
      <c r="BO366" s="49">
        <f ca="1">(HM_ZA_Nkossa!CA_devex_nom*HM_ZA_Nkossa!NOC_CI_devex)*(HM_ZA_Nkossa!CA_op_trig)</f>
        <v>0</v>
      </c>
      <c r="BP366" s="49">
        <f ca="1">(HM_ZA_Nkossa!CA_devex_nom*HM_ZA_Nkossa!NOC_CI_devex)*(HM_ZA_Nkossa!CA_op_trig)</f>
        <v>0</v>
      </c>
      <c r="BQ366" s="49">
        <f ca="1">(HM_ZA_Nkossa!CA_devex_nom*HM_ZA_Nkossa!NOC_CI_devex)*(HM_ZA_Nkossa!CA_op_trig)</f>
        <v>0</v>
      </c>
      <c r="BR366" s="49">
        <f ca="1">(HM_ZA_Nkossa!CA_devex_nom*HM_ZA_Nkossa!NOC_CI_devex)*(HM_ZA_Nkossa!CA_op_trig)</f>
        <v>0</v>
      </c>
      <c r="BS366" s="49">
        <f ca="1">(HM_ZA_Nkossa!CA_devex_nom*HM_ZA_Nkossa!NOC_CI_devex)*(HM_ZA_Nkossa!CA_op_trig)</f>
        <v>0</v>
      </c>
    </row>
    <row r="367" spans="1:71" outlineLevel="1" x14ac:dyDescent="0.2">
      <c r="D367" t="str">
        <f>CHOOSE(db_ML_selected,'Liste Traduction'!B267,'Liste Traduction'!C267)</f>
        <v>Intérêt porté compagnie nationale - Opex</v>
      </c>
      <c r="I367" s="30">
        <f t="shared" ca="1" si="103"/>
        <v>0</v>
      </c>
      <c r="J367" s="26" t="s">
        <v>148</v>
      </c>
      <c r="K367" s="7" t="s">
        <v>360</v>
      </c>
      <c r="L367" s="49">
        <f ca="1">((HM_ZA_Nkossa!CA_varopex_nom+HM_ZA_Nkossa!CA_fixedopex_nom)*(HM_ZA_Nkossa!NOC_CI_opex))*(HM_ZA_Nkossa!CA_op_trig)</f>
        <v>0</v>
      </c>
      <c r="M367" s="49">
        <f ca="1">((HM_ZA_Nkossa!CA_varopex_nom+HM_ZA_Nkossa!CA_fixedopex_nom)*(HM_ZA_Nkossa!NOC_CI_opex))*(HM_ZA_Nkossa!CA_op_trig)</f>
        <v>0</v>
      </c>
      <c r="N367" s="49">
        <f ca="1">((HM_ZA_Nkossa!CA_varopex_nom+HM_ZA_Nkossa!CA_fixedopex_nom)*(HM_ZA_Nkossa!NOC_CI_opex))*(HM_ZA_Nkossa!CA_op_trig)</f>
        <v>0</v>
      </c>
      <c r="O367" s="49">
        <f ca="1">((HM_ZA_Nkossa!CA_varopex_nom+HM_ZA_Nkossa!CA_fixedopex_nom)*(HM_ZA_Nkossa!NOC_CI_opex))*(HM_ZA_Nkossa!CA_op_trig)</f>
        <v>0</v>
      </c>
      <c r="P367" s="49">
        <f ca="1">((HM_ZA_Nkossa!CA_varopex_nom+HM_ZA_Nkossa!CA_fixedopex_nom)*(HM_ZA_Nkossa!NOC_CI_opex))*(HM_ZA_Nkossa!CA_op_trig)</f>
        <v>0</v>
      </c>
      <c r="Q367" s="49">
        <f ca="1">((HM_ZA_Nkossa!CA_varopex_nom+HM_ZA_Nkossa!CA_fixedopex_nom)*(HM_ZA_Nkossa!NOC_CI_opex))*(HM_ZA_Nkossa!CA_op_trig)</f>
        <v>0</v>
      </c>
      <c r="R367" s="49">
        <f ca="1">((HM_ZA_Nkossa!CA_varopex_nom+HM_ZA_Nkossa!CA_fixedopex_nom)*(HM_ZA_Nkossa!NOC_CI_opex))*(HM_ZA_Nkossa!CA_op_trig)</f>
        <v>0</v>
      </c>
      <c r="S367" s="49">
        <f ca="1">((HM_ZA_Nkossa!CA_varopex_nom+HM_ZA_Nkossa!CA_fixedopex_nom)*(HM_ZA_Nkossa!NOC_CI_opex))*(HM_ZA_Nkossa!CA_op_trig)</f>
        <v>0</v>
      </c>
      <c r="T367" s="49">
        <f ca="1">((HM_ZA_Nkossa!CA_varopex_nom+HM_ZA_Nkossa!CA_fixedopex_nom)*(HM_ZA_Nkossa!NOC_CI_opex))*(HM_ZA_Nkossa!CA_op_trig)</f>
        <v>0</v>
      </c>
      <c r="U367" s="49">
        <f ca="1">((HM_ZA_Nkossa!CA_varopex_nom+HM_ZA_Nkossa!CA_fixedopex_nom)*(HM_ZA_Nkossa!NOC_CI_opex))*(HM_ZA_Nkossa!CA_op_trig)</f>
        <v>0</v>
      </c>
      <c r="V367" s="49">
        <f ca="1">((HM_ZA_Nkossa!CA_varopex_nom+HM_ZA_Nkossa!CA_fixedopex_nom)*(HM_ZA_Nkossa!NOC_CI_opex))*(HM_ZA_Nkossa!CA_op_trig)</f>
        <v>0</v>
      </c>
      <c r="W367" s="49">
        <f ca="1">((HM_ZA_Nkossa!CA_varopex_nom+HM_ZA_Nkossa!CA_fixedopex_nom)*(HM_ZA_Nkossa!NOC_CI_opex))*(HM_ZA_Nkossa!CA_op_trig)</f>
        <v>0</v>
      </c>
      <c r="X367" s="49">
        <f ca="1">((HM_ZA_Nkossa!CA_varopex_nom+HM_ZA_Nkossa!CA_fixedopex_nom)*(HM_ZA_Nkossa!NOC_CI_opex))*(HM_ZA_Nkossa!CA_op_trig)</f>
        <v>0</v>
      </c>
      <c r="Y367" s="49">
        <f ca="1">((HM_ZA_Nkossa!CA_varopex_nom+HM_ZA_Nkossa!CA_fixedopex_nom)*(HM_ZA_Nkossa!NOC_CI_opex))*(HM_ZA_Nkossa!CA_op_trig)</f>
        <v>0</v>
      </c>
      <c r="Z367" s="49">
        <f ca="1">((HM_ZA_Nkossa!CA_varopex_nom+HM_ZA_Nkossa!CA_fixedopex_nom)*(HM_ZA_Nkossa!NOC_CI_opex))*(HM_ZA_Nkossa!CA_op_trig)</f>
        <v>0</v>
      </c>
      <c r="AA367" s="49">
        <f ca="1">((HM_ZA_Nkossa!CA_varopex_nom+HM_ZA_Nkossa!CA_fixedopex_nom)*(HM_ZA_Nkossa!NOC_CI_opex))*(HM_ZA_Nkossa!CA_op_trig)</f>
        <v>0</v>
      </c>
      <c r="AB367" s="49">
        <f ca="1">((HM_ZA_Nkossa!CA_varopex_nom+HM_ZA_Nkossa!CA_fixedopex_nom)*(HM_ZA_Nkossa!NOC_CI_opex))*(HM_ZA_Nkossa!CA_op_trig)</f>
        <v>0</v>
      </c>
      <c r="AC367" s="49">
        <f ca="1">((HM_ZA_Nkossa!CA_varopex_nom+HM_ZA_Nkossa!CA_fixedopex_nom)*(HM_ZA_Nkossa!NOC_CI_opex))*(HM_ZA_Nkossa!CA_op_trig)</f>
        <v>0</v>
      </c>
      <c r="AD367" s="49">
        <f ca="1">((HM_ZA_Nkossa!CA_varopex_nom+HM_ZA_Nkossa!CA_fixedopex_nom)*(HM_ZA_Nkossa!NOC_CI_opex))*(HM_ZA_Nkossa!CA_op_trig)</f>
        <v>0</v>
      </c>
      <c r="AE367" s="49">
        <f ca="1">((HM_ZA_Nkossa!CA_varopex_nom+HM_ZA_Nkossa!CA_fixedopex_nom)*(HM_ZA_Nkossa!NOC_CI_opex))*(HM_ZA_Nkossa!CA_op_trig)</f>
        <v>0</v>
      </c>
      <c r="AF367" s="49">
        <f ca="1">((HM_ZA_Nkossa!CA_varopex_nom+HM_ZA_Nkossa!CA_fixedopex_nom)*(HM_ZA_Nkossa!NOC_CI_opex))*(HM_ZA_Nkossa!CA_op_trig)</f>
        <v>0</v>
      </c>
      <c r="AG367" s="49">
        <f ca="1">((HM_ZA_Nkossa!CA_varopex_nom+HM_ZA_Nkossa!CA_fixedopex_nom)*(HM_ZA_Nkossa!NOC_CI_opex))*(HM_ZA_Nkossa!CA_op_trig)</f>
        <v>0</v>
      </c>
      <c r="AH367" s="49">
        <f ca="1">((HM_ZA_Nkossa!CA_varopex_nom+HM_ZA_Nkossa!CA_fixedopex_nom)*(HM_ZA_Nkossa!NOC_CI_opex))*(HM_ZA_Nkossa!CA_op_trig)</f>
        <v>0</v>
      </c>
      <c r="AI367" s="49">
        <f ca="1">((HM_ZA_Nkossa!CA_varopex_nom+HM_ZA_Nkossa!CA_fixedopex_nom)*(HM_ZA_Nkossa!NOC_CI_opex))*(HM_ZA_Nkossa!CA_op_trig)</f>
        <v>0</v>
      </c>
      <c r="AJ367" s="49">
        <f ca="1">((HM_ZA_Nkossa!CA_varopex_nom+HM_ZA_Nkossa!CA_fixedopex_nom)*(HM_ZA_Nkossa!NOC_CI_opex))*(HM_ZA_Nkossa!CA_op_trig)</f>
        <v>0</v>
      </c>
      <c r="AK367" s="49">
        <f ca="1">((HM_ZA_Nkossa!CA_varopex_nom+HM_ZA_Nkossa!CA_fixedopex_nom)*(HM_ZA_Nkossa!NOC_CI_opex))*(HM_ZA_Nkossa!CA_op_trig)</f>
        <v>0</v>
      </c>
      <c r="AL367" s="49">
        <f ca="1">((HM_ZA_Nkossa!CA_varopex_nom+HM_ZA_Nkossa!CA_fixedopex_nom)*(HM_ZA_Nkossa!NOC_CI_opex))*(HM_ZA_Nkossa!CA_op_trig)</f>
        <v>0</v>
      </c>
      <c r="AM367" s="49">
        <f ca="1">((HM_ZA_Nkossa!CA_varopex_nom+HM_ZA_Nkossa!CA_fixedopex_nom)*(HM_ZA_Nkossa!NOC_CI_opex))*(HM_ZA_Nkossa!CA_op_trig)</f>
        <v>0</v>
      </c>
      <c r="AN367" s="49">
        <f ca="1">((HM_ZA_Nkossa!CA_varopex_nom+HM_ZA_Nkossa!CA_fixedopex_nom)*(HM_ZA_Nkossa!NOC_CI_opex))*(HM_ZA_Nkossa!CA_op_trig)</f>
        <v>0</v>
      </c>
      <c r="AO367" s="49">
        <f ca="1">((HM_ZA_Nkossa!CA_varopex_nom+HM_ZA_Nkossa!CA_fixedopex_nom)*(HM_ZA_Nkossa!NOC_CI_opex))*(HM_ZA_Nkossa!CA_op_trig)</f>
        <v>0</v>
      </c>
      <c r="AP367" s="49">
        <f ca="1">((HM_ZA_Nkossa!CA_varopex_nom+HM_ZA_Nkossa!CA_fixedopex_nom)*(HM_ZA_Nkossa!NOC_CI_opex))*(HM_ZA_Nkossa!CA_op_trig)</f>
        <v>0</v>
      </c>
      <c r="AQ367" s="49">
        <f ca="1">((HM_ZA_Nkossa!CA_varopex_nom+HM_ZA_Nkossa!CA_fixedopex_nom)*(HM_ZA_Nkossa!NOC_CI_opex))*(HM_ZA_Nkossa!CA_op_trig)</f>
        <v>0</v>
      </c>
      <c r="AR367" s="49">
        <f ca="1">((HM_ZA_Nkossa!CA_varopex_nom+HM_ZA_Nkossa!CA_fixedopex_nom)*(HM_ZA_Nkossa!NOC_CI_opex))*(HM_ZA_Nkossa!CA_op_trig)</f>
        <v>0</v>
      </c>
      <c r="AS367" s="49">
        <f ca="1">((HM_ZA_Nkossa!CA_varopex_nom+HM_ZA_Nkossa!CA_fixedopex_nom)*(HM_ZA_Nkossa!NOC_CI_opex))*(HM_ZA_Nkossa!CA_op_trig)</f>
        <v>0</v>
      </c>
      <c r="AT367" s="49">
        <f ca="1">((HM_ZA_Nkossa!CA_varopex_nom+HM_ZA_Nkossa!CA_fixedopex_nom)*(HM_ZA_Nkossa!NOC_CI_opex))*(HM_ZA_Nkossa!CA_op_trig)</f>
        <v>0</v>
      </c>
      <c r="AU367" s="49">
        <f ca="1">((HM_ZA_Nkossa!CA_varopex_nom+HM_ZA_Nkossa!CA_fixedopex_nom)*(HM_ZA_Nkossa!NOC_CI_opex))*(HM_ZA_Nkossa!CA_op_trig)</f>
        <v>0</v>
      </c>
      <c r="AV367" s="49">
        <f ca="1">((HM_ZA_Nkossa!CA_varopex_nom+HM_ZA_Nkossa!CA_fixedopex_nom)*(HM_ZA_Nkossa!NOC_CI_opex))*(HM_ZA_Nkossa!CA_op_trig)</f>
        <v>0</v>
      </c>
      <c r="AW367" s="49">
        <f ca="1">((HM_ZA_Nkossa!CA_varopex_nom+HM_ZA_Nkossa!CA_fixedopex_nom)*(HM_ZA_Nkossa!NOC_CI_opex))*(HM_ZA_Nkossa!CA_op_trig)</f>
        <v>0</v>
      </c>
      <c r="AX367" s="49">
        <f ca="1">((HM_ZA_Nkossa!CA_varopex_nom+HM_ZA_Nkossa!CA_fixedopex_nom)*(HM_ZA_Nkossa!NOC_CI_opex))*(HM_ZA_Nkossa!CA_op_trig)</f>
        <v>0</v>
      </c>
      <c r="AY367" s="49">
        <f ca="1">((HM_ZA_Nkossa!CA_varopex_nom+HM_ZA_Nkossa!CA_fixedopex_nom)*(HM_ZA_Nkossa!NOC_CI_opex))*(HM_ZA_Nkossa!CA_op_trig)</f>
        <v>0</v>
      </c>
      <c r="AZ367" s="49">
        <f ca="1">((HM_ZA_Nkossa!CA_varopex_nom+HM_ZA_Nkossa!CA_fixedopex_nom)*(HM_ZA_Nkossa!NOC_CI_opex))*(HM_ZA_Nkossa!CA_op_trig)</f>
        <v>0</v>
      </c>
      <c r="BA367" s="49">
        <f ca="1">((HM_ZA_Nkossa!CA_varopex_nom+HM_ZA_Nkossa!CA_fixedopex_nom)*(HM_ZA_Nkossa!NOC_CI_opex))*(HM_ZA_Nkossa!CA_op_trig)</f>
        <v>0</v>
      </c>
      <c r="BB367" s="49">
        <f ca="1">((HM_ZA_Nkossa!CA_varopex_nom+HM_ZA_Nkossa!CA_fixedopex_nom)*(HM_ZA_Nkossa!NOC_CI_opex))*(HM_ZA_Nkossa!CA_op_trig)</f>
        <v>0</v>
      </c>
      <c r="BC367" s="49">
        <f ca="1">((HM_ZA_Nkossa!CA_varopex_nom+HM_ZA_Nkossa!CA_fixedopex_nom)*(HM_ZA_Nkossa!NOC_CI_opex))*(HM_ZA_Nkossa!CA_op_trig)</f>
        <v>0</v>
      </c>
      <c r="BD367" s="49">
        <f ca="1">((HM_ZA_Nkossa!CA_varopex_nom+HM_ZA_Nkossa!CA_fixedopex_nom)*(HM_ZA_Nkossa!NOC_CI_opex))*(HM_ZA_Nkossa!CA_op_trig)</f>
        <v>0</v>
      </c>
      <c r="BE367" s="49">
        <f ca="1">((HM_ZA_Nkossa!CA_varopex_nom+HM_ZA_Nkossa!CA_fixedopex_nom)*(HM_ZA_Nkossa!NOC_CI_opex))*(HM_ZA_Nkossa!CA_op_trig)</f>
        <v>0</v>
      </c>
      <c r="BF367" s="49">
        <f ca="1">((HM_ZA_Nkossa!CA_varopex_nom+HM_ZA_Nkossa!CA_fixedopex_nom)*(HM_ZA_Nkossa!NOC_CI_opex))*(HM_ZA_Nkossa!CA_op_trig)</f>
        <v>0</v>
      </c>
      <c r="BG367" s="49">
        <f ca="1">((HM_ZA_Nkossa!CA_varopex_nom+HM_ZA_Nkossa!CA_fixedopex_nom)*(HM_ZA_Nkossa!NOC_CI_opex))*(HM_ZA_Nkossa!CA_op_trig)</f>
        <v>0</v>
      </c>
      <c r="BH367" s="49">
        <f ca="1">((HM_ZA_Nkossa!CA_varopex_nom+HM_ZA_Nkossa!CA_fixedopex_nom)*(HM_ZA_Nkossa!NOC_CI_opex))*(HM_ZA_Nkossa!CA_op_trig)</f>
        <v>0</v>
      </c>
      <c r="BI367" s="49">
        <f ca="1">((HM_ZA_Nkossa!CA_varopex_nom+HM_ZA_Nkossa!CA_fixedopex_nom)*(HM_ZA_Nkossa!NOC_CI_opex))*(HM_ZA_Nkossa!CA_op_trig)</f>
        <v>0</v>
      </c>
      <c r="BJ367" s="49">
        <f ca="1">((HM_ZA_Nkossa!CA_varopex_nom+HM_ZA_Nkossa!CA_fixedopex_nom)*(HM_ZA_Nkossa!NOC_CI_opex))*(HM_ZA_Nkossa!CA_op_trig)</f>
        <v>0</v>
      </c>
      <c r="BK367" s="49">
        <f ca="1">((HM_ZA_Nkossa!CA_varopex_nom+HM_ZA_Nkossa!CA_fixedopex_nom)*(HM_ZA_Nkossa!NOC_CI_opex))*(HM_ZA_Nkossa!CA_op_trig)</f>
        <v>0</v>
      </c>
      <c r="BL367" s="49">
        <f ca="1">((HM_ZA_Nkossa!CA_varopex_nom+HM_ZA_Nkossa!CA_fixedopex_nom)*(HM_ZA_Nkossa!NOC_CI_opex))*(HM_ZA_Nkossa!CA_op_trig)</f>
        <v>0</v>
      </c>
      <c r="BM367" s="49">
        <f ca="1">((HM_ZA_Nkossa!CA_varopex_nom+HM_ZA_Nkossa!CA_fixedopex_nom)*(HM_ZA_Nkossa!NOC_CI_opex))*(HM_ZA_Nkossa!CA_op_trig)</f>
        <v>0</v>
      </c>
      <c r="BN367" s="49">
        <f ca="1">((HM_ZA_Nkossa!CA_varopex_nom+HM_ZA_Nkossa!CA_fixedopex_nom)*(HM_ZA_Nkossa!NOC_CI_opex))*(HM_ZA_Nkossa!CA_op_trig)</f>
        <v>0</v>
      </c>
      <c r="BO367" s="49">
        <f ca="1">((HM_ZA_Nkossa!CA_varopex_nom+HM_ZA_Nkossa!CA_fixedopex_nom)*(HM_ZA_Nkossa!NOC_CI_opex))*(HM_ZA_Nkossa!CA_op_trig)</f>
        <v>0</v>
      </c>
      <c r="BP367" s="49">
        <f ca="1">((HM_ZA_Nkossa!CA_varopex_nom+HM_ZA_Nkossa!CA_fixedopex_nom)*(HM_ZA_Nkossa!NOC_CI_opex))*(HM_ZA_Nkossa!CA_op_trig)</f>
        <v>0</v>
      </c>
      <c r="BQ367" s="49">
        <f ca="1">((HM_ZA_Nkossa!CA_varopex_nom+HM_ZA_Nkossa!CA_fixedopex_nom)*(HM_ZA_Nkossa!NOC_CI_opex))*(HM_ZA_Nkossa!CA_op_trig)</f>
        <v>0</v>
      </c>
      <c r="BR367" s="49">
        <f ca="1">((HM_ZA_Nkossa!CA_varopex_nom+HM_ZA_Nkossa!CA_fixedopex_nom)*(HM_ZA_Nkossa!NOC_CI_opex))*(HM_ZA_Nkossa!CA_op_trig)</f>
        <v>0</v>
      </c>
      <c r="BS367" s="49">
        <f ca="1">((HM_ZA_Nkossa!CA_varopex_nom+HM_ZA_Nkossa!CA_fixedopex_nom)*(HM_ZA_Nkossa!NOC_CI_opex))*(HM_ZA_Nkossa!CA_op_trig)</f>
        <v>0</v>
      </c>
    </row>
    <row r="368" spans="1:71" outlineLevel="1" x14ac:dyDescent="0.2">
      <c r="D368" s="11" t="s">
        <v>129</v>
      </c>
      <c r="I368" s="30">
        <f t="shared" ca="1" si="103"/>
        <v>122.77815000000001</v>
      </c>
      <c r="J368" s="26" t="s">
        <v>148</v>
      </c>
      <c r="L368" s="49">
        <f ca="1">SUM(L365:L367)</f>
        <v>49.756049999999995</v>
      </c>
      <c r="M368" s="49">
        <f t="shared" ref="M368:BS368" ca="1" si="104">SUM(M365:M367)</f>
        <v>25.643250000000002</v>
      </c>
      <c r="N368" s="49">
        <f t="shared" ca="1" si="104"/>
        <v>16.304849999999998</v>
      </c>
      <c r="O368" s="49">
        <f t="shared" ca="1" si="104"/>
        <v>5.7839999999999998</v>
      </c>
      <c r="P368" s="49">
        <f t="shared" ca="1" si="104"/>
        <v>7.59</v>
      </c>
      <c r="Q368" s="49">
        <f t="shared" ca="1" si="104"/>
        <v>17.7</v>
      </c>
      <c r="R368" s="49">
        <f t="shared" ca="1" si="104"/>
        <v>0</v>
      </c>
      <c r="S368" s="49">
        <f t="shared" ca="1" si="104"/>
        <v>0</v>
      </c>
      <c r="T368" s="49">
        <f t="shared" ca="1" si="104"/>
        <v>0</v>
      </c>
      <c r="U368" s="49">
        <f t="shared" ca="1" si="104"/>
        <v>0</v>
      </c>
      <c r="V368" s="49">
        <f t="shared" ca="1" si="104"/>
        <v>0</v>
      </c>
      <c r="W368" s="49">
        <f t="shared" ca="1" si="104"/>
        <v>0</v>
      </c>
      <c r="X368" s="49">
        <f t="shared" ca="1" si="104"/>
        <v>0</v>
      </c>
      <c r="Y368" s="49">
        <f t="shared" ca="1" si="104"/>
        <v>0</v>
      </c>
      <c r="Z368" s="49">
        <f t="shared" ca="1" si="104"/>
        <v>0</v>
      </c>
      <c r="AA368" s="49">
        <f t="shared" ca="1" si="104"/>
        <v>0</v>
      </c>
      <c r="AB368" s="49">
        <f t="shared" ca="1" si="104"/>
        <v>0</v>
      </c>
      <c r="AC368" s="49">
        <f t="shared" ca="1" si="104"/>
        <v>0</v>
      </c>
      <c r="AD368" s="49">
        <f t="shared" ca="1" si="104"/>
        <v>0</v>
      </c>
      <c r="AE368" s="49">
        <f t="shared" ca="1" si="104"/>
        <v>0</v>
      </c>
      <c r="AF368" s="49">
        <f t="shared" ca="1" si="104"/>
        <v>0</v>
      </c>
      <c r="AG368" s="49">
        <f t="shared" ca="1" si="104"/>
        <v>0</v>
      </c>
      <c r="AH368" s="49">
        <f t="shared" ca="1" si="104"/>
        <v>0</v>
      </c>
      <c r="AI368" s="49">
        <f t="shared" ca="1" si="104"/>
        <v>0</v>
      </c>
      <c r="AJ368" s="49">
        <f t="shared" ca="1" si="104"/>
        <v>0</v>
      </c>
      <c r="AK368" s="49">
        <f t="shared" ca="1" si="104"/>
        <v>0</v>
      </c>
      <c r="AL368" s="49">
        <f t="shared" ca="1" si="104"/>
        <v>0</v>
      </c>
      <c r="AM368" s="49">
        <f t="shared" ca="1" si="104"/>
        <v>0</v>
      </c>
      <c r="AN368" s="49">
        <f t="shared" ca="1" si="104"/>
        <v>0</v>
      </c>
      <c r="AO368" s="49">
        <f t="shared" ca="1" si="104"/>
        <v>0</v>
      </c>
      <c r="AP368" s="49">
        <f t="shared" ca="1" si="104"/>
        <v>0</v>
      </c>
      <c r="AQ368" s="49">
        <f t="shared" ca="1" si="104"/>
        <v>0</v>
      </c>
      <c r="AR368" s="49">
        <f t="shared" ca="1" si="104"/>
        <v>0</v>
      </c>
      <c r="AS368" s="49">
        <f t="shared" ca="1" si="104"/>
        <v>0</v>
      </c>
      <c r="AT368" s="49">
        <f t="shared" ca="1" si="104"/>
        <v>0</v>
      </c>
      <c r="AU368" s="49">
        <f t="shared" ca="1" si="104"/>
        <v>0</v>
      </c>
      <c r="AV368" s="49">
        <f t="shared" ca="1" si="104"/>
        <v>0</v>
      </c>
      <c r="AW368" s="49">
        <f t="shared" ca="1" si="104"/>
        <v>0</v>
      </c>
      <c r="AX368" s="49">
        <f t="shared" ca="1" si="104"/>
        <v>0</v>
      </c>
      <c r="AY368" s="49">
        <f t="shared" ca="1" si="104"/>
        <v>0</v>
      </c>
      <c r="AZ368" s="49">
        <f t="shared" ca="1" si="104"/>
        <v>0</v>
      </c>
      <c r="BA368" s="49">
        <f t="shared" ca="1" si="104"/>
        <v>0</v>
      </c>
      <c r="BB368" s="49">
        <f t="shared" ca="1" si="104"/>
        <v>0</v>
      </c>
      <c r="BC368" s="49">
        <f t="shared" ca="1" si="104"/>
        <v>0</v>
      </c>
      <c r="BD368" s="49">
        <f t="shared" ca="1" si="104"/>
        <v>0</v>
      </c>
      <c r="BE368" s="49">
        <f t="shared" ca="1" si="104"/>
        <v>0</v>
      </c>
      <c r="BF368" s="49">
        <f t="shared" ca="1" si="104"/>
        <v>0</v>
      </c>
      <c r="BG368" s="49">
        <f t="shared" ca="1" si="104"/>
        <v>0</v>
      </c>
      <c r="BH368" s="49">
        <f t="shared" ca="1" si="104"/>
        <v>0</v>
      </c>
      <c r="BI368" s="49">
        <f t="shared" ca="1" si="104"/>
        <v>0</v>
      </c>
      <c r="BJ368" s="49">
        <f t="shared" ca="1" si="104"/>
        <v>0</v>
      </c>
      <c r="BK368" s="49">
        <f t="shared" ca="1" si="104"/>
        <v>0</v>
      </c>
      <c r="BL368" s="49">
        <f t="shared" ca="1" si="104"/>
        <v>0</v>
      </c>
      <c r="BM368" s="49">
        <f t="shared" ca="1" si="104"/>
        <v>0</v>
      </c>
      <c r="BN368" s="49">
        <f t="shared" ca="1" si="104"/>
        <v>0</v>
      </c>
      <c r="BO368" s="49">
        <f t="shared" ca="1" si="104"/>
        <v>0</v>
      </c>
      <c r="BP368" s="49">
        <f t="shared" ca="1" si="104"/>
        <v>0</v>
      </c>
      <c r="BQ368" s="49">
        <f t="shared" ca="1" si="104"/>
        <v>0</v>
      </c>
      <c r="BR368" s="49">
        <f t="shared" ca="1" si="104"/>
        <v>0</v>
      </c>
      <c r="BS368" s="49">
        <f t="shared" ca="1" si="104"/>
        <v>0</v>
      </c>
    </row>
    <row r="369" spans="3:71" outlineLevel="1" x14ac:dyDescent="0.2">
      <c r="J369" s="26"/>
      <c r="L369" s="55"/>
      <c r="M369" s="55"/>
      <c r="N369" s="55"/>
      <c r="O369" s="55"/>
      <c r="P369" s="55"/>
      <c r="Q369" s="55"/>
      <c r="R369" s="55"/>
      <c r="S369" s="55"/>
      <c r="T369" s="55"/>
      <c r="U369" s="55"/>
      <c r="V369" s="55"/>
      <c r="W369" s="55"/>
      <c r="X369" s="55"/>
      <c r="Y369" s="55"/>
      <c r="Z369" s="55"/>
      <c r="AA369" s="55"/>
      <c r="AB369" s="55"/>
      <c r="AC369" s="55"/>
      <c r="AD369" s="55"/>
      <c r="AE369" s="55"/>
      <c r="AF369" s="55"/>
      <c r="AG369" s="55"/>
      <c r="AH369" s="55"/>
      <c r="AI369" s="55"/>
      <c r="AJ369" s="55"/>
      <c r="AK369" s="55"/>
      <c r="AL369" s="55"/>
      <c r="AM369" s="55"/>
      <c r="AN369" s="55"/>
      <c r="AO369" s="55"/>
      <c r="AP369" s="55"/>
      <c r="AQ369" s="55"/>
      <c r="AR369" s="55"/>
      <c r="AS369" s="55"/>
      <c r="AT369" s="55"/>
      <c r="AU369" s="55"/>
      <c r="AV369" s="55"/>
      <c r="AW369" s="55"/>
      <c r="AX369" s="55"/>
      <c r="AY369" s="55"/>
      <c r="AZ369" s="55"/>
      <c r="BA369" s="55"/>
      <c r="BB369" s="55"/>
      <c r="BC369" s="55"/>
      <c r="BD369" s="55"/>
      <c r="BE369" s="55"/>
      <c r="BF369" s="55"/>
      <c r="BG369" s="55"/>
      <c r="BH369" s="55"/>
      <c r="BI369" s="55"/>
      <c r="BJ369" s="55"/>
      <c r="BK369" s="55"/>
      <c r="BL369" s="55"/>
      <c r="BM369" s="55"/>
      <c r="BN369" s="55"/>
      <c r="BO369" s="55"/>
      <c r="BP369" s="55"/>
      <c r="BQ369" s="55"/>
      <c r="BR369" s="55"/>
      <c r="BS369" s="55"/>
    </row>
    <row r="370" spans="3:71" outlineLevel="1" x14ac:dyDescent="0.2">
      <c r="C370" s="11" t="str">
        <f>CHOOSE(db_ML_selected,'Liste Traduction'!B374,'Liste Traduction'!C374)</f>
        <v>Remboursement du portage compagnie nationale - Coûts exploration</v>
      </c>
      <c r="J370" s="26"/>
      <c r="L370" s="55"/>
      <c r="M370" s="55"/>
      <c r="N370" s="55"/>
      <c r="O370" s="55"/>
      <c r="P370" s="55"/>
      <c r="Q370" s="55"/>
      <c r="R370" s="55"/>
      <c r="S370" s="55"/>
      <c r="T370" s="55"/>
      <c r="U370" s="55"/>
      <c r="V370" s="55"/>
      <c r="W370" s="55"/>
      <c r="X370" s="55"/>
      <c r="Y370" s="55"/>
      <c r="Z370" s="55"/>
      <c r="AA370" s="55"/>
      <c r="AB370" s="55"/>
      <c r="AC370" s="55"/>
      <c r="AD370" s="55"/>
      <c r="AE370" s="55"/>
      <c r="AF370" s="55"/>
      <c r="AG370" s="55"/>
      <c r="AH370" s="55"/>
      <c r="AI370" s="55"/>
      <c r="AJ370" s="55"/>
      <c r="AK370" s="55"/>
      <c r="AL370" s="55"/>
      <c r="AM370" s="55"/>
      <c r="AN370" s="55"/>
      <c r="AO370" s="55"/>
      <c r="AP370" s="55"/>
      <c r="AQ370" s="55"/>
      <c r="AR370" s="55"/>
      <c r="AS370" s="55"/>
      <c r="AT370" s="55"/>
      <c r="AU370" s="55"/>
      <c r="AV370" s="55"/>
      <c r="AW370" s="55"/>
      <c r="AX370" s="55"/>
      <c r="AY370" s="55"/>
      <c r="AZ370" s="55"/>
      <c r="BA370" s="55"/>
      <c r="BB370" s="55"/>
      <c r="BC370" s="55"/>
      <c r="BD370" s="55"/>
      <c r="BE370" s="55"/>
      <c r="BF370" s="55"/>
      <c r="BG370" s="55"/>
      <c r="BH370" s="55"/>
      <c r="BI370" s="55"/>
      <c r="BJ370" s="55"/>
      <c r="BK370" s="55"/>
      <c r="BL370" s="55"/>
      <c r="BM370" s="55"/>
      <c r="BN370" s="55"/>
      <c r="BO370" s="55"/>
      <c r="BP370" s="55"/>
      <c r="BQ370" s="55"/>
      <c r="BR370" s="55"/>
      <c r="BS370" s="55"/>
    </row>
    <row r="371" spans="3:71" outlineLevel="1" x14ac:dyDescent="0.2">
      <c r="D371" t="str">
        <f>CHOOSE(db_ML_selected,'Liste Traduction'!B375,'Liste Traduction'!C375)</f>
        <v>Coûts portés Solde d'ouverture</v>
      </c>
      <c r="J371" s="26"/>
      <c r="L371" s="49">
        <f>K374</f>
        <v>0</v>
      </c>
      <c r="M371" s="49">
        <f t="shared" ref="M371:BS371" ca="1" si="105">L374</f>
        <v>0</v>
      </c>
      <c r="N371" s="49">
        <f t="shared" ca="1" si="105"/>
        <v>0</v>
      </c>
      <c r="O371" s="49">
        <f t="shared" ca="1" si="105"/>
        <v>0</v>
      </c>
      <c r="P371" s="49">
        <f t="shared" ca="1" si="105"/>
        <v>0</v>
      </c>
      <c r="Q371" s="49">
        <f t="shared" ca="1" si="105"/>
        <v>0</v>
      </c>
      <c r="R371" s="49">
        <f t="shared" ca="1" si="105"/>
        <v>0</v>
      </c>
      <c r="S371" s="49">
        <f t="shared" ca="1" si="105"/>
        <v>0</v>
      </c>
      <c r="T371" s="49">
        <f t="shared" ca="1" si="105"/>
        <v>0</v>
      </c>
      <c r="U371" s="49">
        <f t="shared" ca="1" si="105"/>
        <v>0</v>
      </c>
      <c r="V371" s="49">
        <f t="shared" ca="1" si="105"/>
        <v>0</v>
      </c>
      <c r="W371" s="49">
        <f t="shared" ca="1" si="105"/>
        <v>0</v>
      </c>
      <c r="X371" s="49">
        <f t="shared" ca="1" si="105"/>
        <v>0</v>
      </c>
      <c r="Y371" s="49">
        <f t="shared" ca="1" si="105"/>
        <v>0</v>
      </c>
      <c r="Z371" s="49">
        <f t="shared" ca="1" si="105"/>
        <v>0</v>
      </c>
      <c r="AA371" s="49">
        <f t="shared" ca="1" si="105"/>
        <v>0</v>
      </c>
      <c r="AB371" s="49">
        <f t="shared" ca="1" si="105"/>
        <v>0</v>
      </c>
      <c r="AC371" s="49">
        <f t="shared" ca="1" si="105"/>
        <v>0</v>
      </c>
      <c r="AD371" s="49">
        <f t="shared" ca="1" si="105"/>
        <v>0</v>
      </c>
      <c r="AE371" s="49">
        <f t="shared" ca="1" si="105"/>
        <v>0</v>
      </c>
      <c r="AF371" s="49">
        <f t="shared" ca="1" si="105"/>
        <v>0</v>
      </c>
      <c r="AG371" s="49">
        <f t="shared" ca="1" si="105"/>
        <v>0</v>
      </c>
      <c r="AH371" s="49">
        <f t="shared" ca="1" si="105"/>
        <v>0</v>
      </c>
      <c r="AI371" s="49">
        <f t="shared" ca="1" si="105"/>
        <v>0</v>
      </c>
      <c r="AJ371" s="49">
        <f t="shared" ca="1" si="105"/>
        <v>0</v>
      </c>
      <c r="AK371" s="49">
        <f t="shared" ca="1" si="105"/>
        <v>0</v>
      </c>
      <c r="AL371" s="49">
        <f t="shared" ca="1" si="105"/>
        <v>0</v>
      </c>
      <c r="AM371" s="49">
        <f t="shared" ca="1" si="105"/>
        <v>0</v>
      </c>
      <c r="AN371" s="49">
        <f t="shared" ca="1" si="105"/>
        <v>0</v>
      </c>
      <c r="AO371" s="49">
        <f t="shared" ca="1" si="105"/>
        <v>0</v>
      </c>
      <c r="AP371" s="49">
        <f t="shared" ca="1" si="105"/>
        <v>0</v>
      </c>
      <c r="AQ371" s="49">
        <f t="shared" ca="1" si="105"/>
        <v>0</v>
      </c>
      <c r="AR371" s="49">
        <f t="shared" ca="1" si="105"/>
        <v>0</v>
      </c>
      <c r="AS371" s="49">
        <f t="shared" ca="1" si="105"/>
        <v>0</v>
      </c>
      <c r="AT371" s="49">
        <f t="shared" ca="1" si="105"/>
        <v>0</v>
      </c>
      <c r="AU371" s="49">
        <f t="shared" ca="1" si="105"/>
        <v>0</v>
      </c>
      <c r="AV371" s="49">
        <f t="shared" ca="1" si="105"/>
        <v>0</v>
      </c>
      <c r="AW371" s="49">
        <f t="shared" ca="1" si="105"/>
        <v>0</v>
      </c>
      <c r="AX371" s="49">
        <f t="shared" ca="1" si="105"/>
        <v>0</v>
      </c>
      <c r="AY371" s="49">
        <f t="shared" ca="1" si="105"/>
        <v>0</v>
      </c>
      <c r="AZ371" s="49">
        <f t="shared" ca="1" si="105"/>
        <v>0</v>
      </c>
      <c r="BA371" s="49">
        <f t="shared" ca="1" si="105"/>
        <v>0</v>
      </c>
      <c r="BB371" s="49">
        <f t="shared" ca="1" si="105"/>
        <v>0</v>
      </c>
      <c r="BC371" s="49">
        <f t="shared" ca="1" si="105"/>
        <v>0</v>
      </c>
      <c r="BD371" s="49">
        <f t="shared" ca="1" si="105"/>
        <v>0</v>
      </c>
      <c r="BE371" s="49">
        <f t="shared" ca="1" si="105"/>
        <v>0</v>
      </c>
      <c r="BF371" s="49">
        <f t="shared" ca="1" si="105"/>
        <v>0</v>
      </c>
      <c r="BG371" s="49">
        <f t="shared" ca="1" si="105"/>
        <v>0</v>
      </c>
      <c r="BH371" s="49">
        <f t="shared" ca="1" si="105"/>
        <v>0</v>
      </c>
      <c r="BI371" s="49">
        <f t="shared" ca="1" si="105"/>
        <v>0</v>
      </c>
      <c r="BJ371" s="49">
        <f t="shared" ca="1" si="105"/>
        <v>0</v>
      </c>
      <c r="BK371" s="49">
        <f t="shared" ca="1" si="105"/>
        <v>0</v>
      </c>
      <c r="BL371" s="49">
        <f t="shared" ca="1" si="105"/>
        <v>0</v>
      </c>
      <c r="BM371" s="49">
        <f t="shared" ca="1" si="105"/>
        <v>0</v>
      </c>
      <c r="BN371" s="49">
        <f t="shared" ca="1" si="105"/>
        <v>0</v>
      </c>
      <c r="BO371" s="49">
        <f t="shared" ca="1" si="105"/>
        <v>0</v>
      </c>
      <c r="BP371" s="49">
        <f t="shared" ca="1" si="105"/>
        <v>0</v>
      </c>
      <c r="BQ371" s="49">
        <f t="shared" ca="1" si="105"/>
        <v>0</v>
      </c>
      <c r="BR371" s="49">
        <f t="shared" ca="1" si="105"/>
        <v>0</v>
      </c>
      <c r="BS371" s="49">
        <f t="shared" ca="1" si="105"/>
        <v>0</v>
      </c>
    </row>
    <row r="372" spans="3:71" outlineLevel="1" x14ac:dyDescent="0.2">
      <c r="D372" s="50" t="str">
        <f>CHOOSE(db_ML_selected,'Liste Traduction'!B376,'Liste Traduction'!C376)</f>
        <v>Coûts portés pour la période</v>
      </c>
      <c r="I372" s="30">
        <f t="shared" ref="I372:I373" ca="1" si="106">SUM($L372:$BS372)</f>
        <v>0</v>
      </c>
      <c r="J372" s="26" t="s">
        <v>148</v>
      </c>
      <c r="L372" s="49">
        <f ca="1">L365</f>
        <v>0</v>
      </c>
      <c r="M372" s="49">
        <f t="shared" ref="M372:BS372" ca="1" si="107">M365</f>
        <v>0</v>
      </c>
      <c r="N372" s="49">
        <f t="shared" ca="1" si="107"/>
        <v>0</v>
      </c>
      <c r="O372" s="49">
        <f t="shared" ca="1" si="107"/>
        <v>0</v>
      </c>
      <c r="P372" s="49">
        <f t="shared" ca="1" si="107"/>
        <v>0</v>
      </c>
      <c r="Q372" s="49">
        <f t="shared" ca="1" si="107"/>
        <v>0</v>
      </c>
      <c r="R372" s="49">
        <f t="shared" ca="1" si="107"/>
        <v>0</v>
      </c>
      <c r="S372" s="49">
        <f t="shared" ca="1" si="107"/>
        <v>0</v>
      </c>
      <c r="T372" s="49">
        <f t="shared" ca="1" si="107"/>
        <v>0</v>
      </c>
      <c r="U372" s="49">
        <f t="shared" ca="1" si="107"/>
        <v>0</v>
      </c>
      <c r="V372" s="49">
        <f t="shared" ca="1" si="107"/>
        <v>0</v>
      </c>
      <c r="W372" s="49">
        <f t="shared" ca="1" si="107"/>
        <v>0</v>
      </c>
      <c r="X372" s="49">
        <f t="shared" ca="1" si="107"/>
        <v>0</v>
      </c>
      <c r="Y372" s="49">
        <f t="shared" ca="1" si="107"/>
        <v>0</v>
      </c>
      <c r="Z372" s="49">
        <f t="shared" ca="1" si="107"/>
        <v>0</v>
      </c>
      <c r="AA372" s="49">
        <f t="shared" ca="1" si="107"/>
        <v>0</v>
      </c>
      <c r="AB372" s="49">
        <f t="shared" ca="1" si="107"/>
        <v>0</v>
      </c>
      <c r="AC372" s="49">
        <f t="shared" ca="1" si="107"/>
        <v>0</v>
      </c>
      <c r="AD372" s="49">
        <f t="shared" ca="1" si="107"/>
        <v>0</v>
      </c>
      <c r="AE372" s="49">
        <f t="shared" ca="1" si="107"/>
        <v>0</v>
      </c>
      <c r="AF372" s="49">
        <f t="shared" ca="1" si="107"/>
        <v>0</v>
      </c>
      <c r="AG372" s="49">
        <f t="shared" ca="1" si="107"/>
        <v>0</v>
      </c>
      <c r="AH372" s="49">
        <f t="shared" ca="1" si="107"/>
        <v>0</v>
      </c>
      <c r="AI372" s="49">
        <f t="shared" ca="1" si="107"/>
        <v>0</v>
      </c>
      <c r="AJ372" s="49">
        <f t="shared" ca="1" si="107"/>
        <v>0</v>
      </c>
      <c r="AK372" s="49">
        <f t="shared" ca="1" si="107"/>
        <v>0</v>
      </c>
      <c r="AL372" s="49">
        <f t="shared" ca="1" si="107"/>
        <v>0</v>
      </c>
      <c r="AM372" s="49">
        <f t="shared" ca="1" si="107"/>
        <v>0</v>
      </c>
      <c r="AN372" s="49">
        <f t="shared" ca="1" si="107"/>
        <v>0</v>
      </c>
      <c r="AO372" s="49">
        <f t="shared" ca="1" si="107"/>
        <v>0</v>
      </c>
      <c r="AP372" s="49">
        <f t="shared" ca="1" si="107"/>
        <v>0</v>
      </c>
      <c r="AQ372" s="49">
        <f t="shared" ca="1" si="107"/>
        <v>0</v>
      </c>
      <c r="AR372" s="49">
        <f t="shared" ca="1" si="107"/>
        <v>0</v>
      </c>
      <c r="AS372" s="49">
        <f t="shared" ca="1" si="107"/>
        <v>0</v>
      </c>
      <c r="AT372" s="49">
        <f t="shared" ca="1" si="107"/>
        <v>0</v>
      </c>
      <c r="AU372" s="49">
        <f t="shared" ca="1" si="107"/>
        <v>0</v>
      </c>
      <c r="AV372" s="49">
        <f t="shared" ca="1" si="107"/>
        <v>0</v>
      </c>
      <c r="AW372" s="49">
        <f t="shared" ca="1" si="107"/>
        <v>0</v>
      </c>
      <c r="AX372" s="49">
        <f t="shared" ca="1" si="107"/>
        <v>0</v>
      </c>
      <c r="AY372" s="49">
        <f t="shared" ca="1" si="107"/>
        <v>0</v>
      </c>
      <c r="AZ372" s="49">
        <f t="shared" ca="1" si="107"/>
        <v>0</v>
      </c>
      <c r="BA372" s="49">
        <f t="shared" ca="1" si="107"/>
        <v>0</v>
      </c>
      <c r="BB372" s="49">
        <f t="shared" ca="1" si="107"/>
        <v>0</v>
      </c>
      <c r="BC372" s="49">
        <f t="shared" ca="1" si="107"/>
        <v>0</v>
      </c>
      <c r="BD372" s="49">
        <f t="shared" ca="1" si="107"/>
        <v>0</v>
      </c>
      <c r="BE372" s="49">
        <f t="shared" ca="1" si="107"/>
        <v>0</v>
      </c>
      <c r="BF372" s="49">
        <f t="shared" ca="1" si="107"/>
        <v>0</v>
      </c>
      <c r="BG372" s="49">
        <f t="shared" ca="1" si="107"/>
        <v>0</v>
      </c>
      <c r="BH372" s="49">
        <f t="shared" ca="1" si="107"/>
        <v>0</v>
      </c>
      <c r="BI372" s="49">
        <f t="shared" ca="1" si="107"/>
        <v>0</v>
      </c>
      <c r="BJ372" s="49">
        <f t="shared" ca="1" si="107"/>
        <v>0</v>
      </c>
      <c r="BK372" s="49">
        <f t="shared" ca="1" si="107"/>
        <v>0</v>
      </c>
      <c r="BL372" s="49">
        <f t="shared" ca="1" si="107"/>
        <v>0</v>
      </c>
      <c r="BM372" s="49">
        <f t="shared" ca="1" si="107"/>
        <v>0</v>
      </c>
      <c r="BN372" s="49">
        <f t="shared" ca="1" si="107"/>
        <v>0</v>
      </c>
      <c r="BO372" s="49">
        <f t="shared" ca="1" si="107"/>
        <v>0</v>
      </c>
      <c r="BP372" s="49">
        <f t="shared" ca="1" si="107"/>
        <v>0</v>
      </c>
      <c r="BQ372" s="49">
        <f t="shared" ca="1" si="107"/>
        <v>0</v>
      </c>
      <c r="BR372" s="49">
        <f t="shared" ca="1" si="107"/>
        <v>0</v>
      </c>
      <c r="BS372" s="49">
        <f t="shared" ca="1" si="107"/>
        <v>0</v>
      </c>
    </row>
    <row r="373" spans="3:71" outlineLevel="1" x14ac:dyDescent="0.2">
      <c r="D373" s="50" t="str">
        <f>CHOOSE(db_ML_selected,'Liste Traduction'!B377,'Liste Traduction'!C377)</f>
        <v>Remboursement du portage</v>
      </c>
      <c r="I373" s="30">
        <f t="shared" ca="1" si="106"/>
        <v>0</v>
      </c>
      <c r="J373" s="26" t="s">
        <v>148</v>
      </c>
      <c r="L373" s="49">
        <f ca="1">-MIN(SUM(L371:L372),SUM(L$339,L$344)*HM_ZA_Nkossa!NOC_rpmt_max_perc)*HM_ZA_Nkossa!NOC_CI_expex_rpmt</f>
        <v>0</v>
      </c>
      <c r="M373" s="49">
        <f ca="1">-MIN(SUM(M371:M372),SUM(M$339,M$344)*HM_ZA_Nkossa!NOC_rpmt_max_perc)*HM_ZA_Nkossa!NOC_CI_expex_rpmt</f>
        <v>0</v>
      </c>
      <c r="N373" s="49">
        <f ca="1">-MIN(SUM(N371:N372),SUM(N$339,N$344)*HM_ZA_Nkossa!NOC_rpmt_max_perc)*HM_ZA_Nkossa!NOC_CI_expex_rpmt</f>
        <v>0</v>
      </c>
      <c r="O373" s="49">
        <f ca="1">-MIN(SUM(O371:O372),SUM(O$339,O$344)*HM_ZA_Nkossa!NOC_rpmt_max_perc)*HM_ZA_Nkossa!NOC_CI_expex_rpmt</f>
        <v>0</v>
      </c>
      <c r="P373" s="49">
        <f ca="1">-MIN(SUM(P371:P372),SUM(P$339,P$344)*HM_ZA_Nkossa!NOC_rpmt_max_perc)*HM_ZA_Nkossa!NOC_CI_expex_rpmt</f>
        <v>0</v>
      </c>
      <c r="Q373" s="49">
        <f ca="1">-MIN(SUM(Q371:Q372),SUM(Q$339,Q$344)*HM_ZA_Nkossa!NOC_rpmt_max_perc)*HM_ZA_Nkossa!NOC_CI_expex_rpmt</f>
        <v>0</v>
      </c>
      <c r="R373" s="49">
        <f ca="1">-MIN(SUM(R371:R372),SUM(R$339,R$344)*HM_ZA_Nkossa!NOC_rpmt_max_perc)*HM_ZA_Nkossa!NOC_CI_expex_rpmt</f>
        <v>0</v>
      </c>
      <c r="S373" s="49">
        <f ca="1">-MIN(SUM(S371:S372),SUM(S$339,S$344)*HM_ZA_Nkossa!NOC_rpmt_max_perc)*HM_ZA_Nkossa!NOC_CI_expex_rpmt</f>
        <v>0</v>
      </c>
      <c r="T373" s="49">
        <f ca="1">-MIN(SUM(T371:T372),SUM(T$339,T$344)*HM_ZA_Nkossa!NOC_rpmt_max_perc)*HM_ZA_Nkossa!NOC_CI_expex_rpmt</f>
        <v>0</v>
      </c>
      <c r="U373" s="49">
        <f ca="1">-MIN(SUM(U371:U372),SUM(U$339,U$344)*HM_ZA_Nkossa!NOC_rpmt_max_perc)*HM_ZA_Nkossa!NOC_CI_expex_rpmt</f>
        <v>0</v>
      </c>
      <c r="V373" s="49">
        <f ca="1">-MIN(SUM(V371:V372),SUM(V$339,V$344)*HM_ZA_Nkossa!NOC_rpmt_max_perc)*HM_ZA_Nkossa!NOC_CI_expex_rpmt</f>
        <v>0</v>
      </c>
      <c r="W373" s="49">
        <f ca="1">-MIN(SUM(W371:W372),SUM(W$339,W$344)*HM_ZA_Nkossa!NOC_rpmt_max_perc)*HM_ZA_Nkossa!NOC_CI_expex_rpmt</f>
        <v>0</v>
      </c>
      <c r="X373" s="49">
        <f ca="1">-MIN(SUM(X371:X372),SUM(X$339,X$344)*HM_ZA_Nkossa!NOC_rpmt_max_perc)*HM_ZA_Nkossa!NOC_CI_expex_rpmt</f>
        <v>0</v>
      </c>
      <c r="Y373" s="49">
        <f ca="1">-MIN(SUM(Y371:Y372),SUM(Y$339,Y$344)*HM_ZA_Nkossa!NOC_rpmt_max_perc)*HM_ZA_Nkossa!NOC_CI_expex_rpmt</f>
        <v>0</v>
      </c>
      <c r="Z373" s="49">
        <f ca="1">-MIN(SUM(Z371:Z372),SUM(Z$339,Z$344)*HM_ZA_Nkossa!NOC_rpmt_max_perc)*HM_ZA_Nkossa!NOC_CI_expex_rpmt</f>
        <v>0</v>
      </c>
      <c r="AA373" s="49">
        <f ca="1">-MIN(SUM(AA371:AA372),SUM(AA$339,AA$344)*HM_ZA_Nkossa!NOC_rpmt_max_perc)*HM_ZA_Nkossa!NOC_CI_expex_rpmt</f>
        <v>0</v>
      </c>
      <c r="AB373" s="49">
        <f ca="1">-MIN(SUM(AB371:AB372),SUM(AB$339,AB$344)*HM_ZA_Nkossa!NOC_rpmt_max_perc)*HM_ZA_Nkossa!NOC_CI_expex_rpmt</f>
        <v>0</v>
      </c>
      <c r="AC373" s="49">
        <f ca="1">-MIN(SUM(AC371:AC372),SUM(AC$339,AC$344)*HM_ZA_Nkossa!NOC_rpmt_max_perc)*HM_ZA_Nkossa!NOC_CI_expex_rpmt</f>
        <v>0</v>
      </c>
      <c r="AD373" s="49">
        <f ca="1">-MIN(SUM(AD371:AD372),SUM(AD$339,AD$344)*HM_ZA_Nkossa!NOC_rpmt_max_perc)*HM_ZA_Nkossa!NOC_CI_expex_rpmt</f>
        <v>0</v>
      </c>
      <c r="AE373" s="49">
        <f ca="1">-MIN(SUM(AE371:AE372),SUM(AE$339,AE$344)*HM_ZA_Nkossa!NOC_rpmt_max_perc)*HM_ZA_Nkossa!NOC_CI_expex_rpmt</f>
        <v>0</v>
      </c>
      <c r="AF373" s="49">
        <f ca="1">-MIN(SUM(AF371:AF372),SUM(AF$339,AF$344)*HM_ZA_Nkossa!NOC_rpmt_max_perc)*HM_ZA_Nkossa!NOC_CI_expex_rpmt</f>
        <v>0</v>
      </c>
      <c r="AG373" s="49">
        <f ca="1">-MIN(SUM(AG371:AG372),SUM(AG$339,AG$344)*HM_ZA_Nkossa!NOC_rpmt_max_perc)*HM_ZA_Nkossa!NOC_CI_expex_rpmt</f>
        <v>0</v>
      </c>
      <c r="AH373" s="49">
        <f ca="1">-MIN(SUM(AH371:AH372),SUM(AH$339,AH$344)*HM_ZA_Nkossa!NOC_rpmt_max_perc)*HM_ZA_Nkossa!NOC_CI_expex_rpmt</f>
        <v>0</v>
      </c>
      <c r="AI373" s="49">
        <f ca="1">-MIN(SUM(AI371:AI372),SUM(AI$339,AI$344)*HM_ZA_Nkossa!NOC_rpmt_max_perc)*HM_ZA_Nkossa!NOC_CI_expex_rpmt</f>
        <v>0</v>
      </c>
      <c r="AJ373" s="49">
        <f ca="1">-MIN(SUM(AJ371:AJ372),SUM(AJ$339,AJ$344)*HM_ZA_Nkossa!NOC_rpmt_max_perc)*HM_ZA_Nkossa!NOC_CI_expex_rpmt</f>
        <v>0</v>
      </c>
      <c r="AK373" s="49">
        <f ca="1">-MIN(SUM(AK371:AK372),SUM(AK$339,AK$344)*HM_ZA_Nkossa!NOC_rpmt_max_perc)*HM_ZA_Nkossa!NOC_CI_expex_rpmt</f>
        <v>0</v>
      </c>
      <c r="AL373" s="49">
        <f ca="1">-MIN(SUM(AL371:AL372),SUM(AL$339,AL$344)*HM_ZA_Nkossa!NOC_rpmt_max_perc)*HM_ZA_Nkossa!NOC_CI_expex_rpmt</f>
        <v>0</v>
      </c>
      <c r="AM373" s="49">
        <f ca="1">-MIN(SUM(AM371:AM372),SUM(AM$339,AM$344)*HM_ZA_Nkossa!NOC_rpmt_max_perc)*HM_ZA_Nkossa!NOC_CI_expex_rpmt</f>
        <v>0</v>
      </c>
      <c r="AN373" s="49">
        <f ca="1">-MIN(SUM(AN371:AN372),SUM(AN$339,AN$344)*HM_ZA_Nkossa!NOC_rpmt_max_perc)*HM_ZA_Nkossa!NOC_CI_expex_rpmt</f>
        <v>0</v>
      </c>
      <c r="AO373" s="49">
        <f ca="1">-MIN(SUM(AO371:AO372),SUM(AO$339,AO$344)*HM_ZA_Nkossa!NOC_rpmt_max_perc)*HM_ZA_Nkossa!NOC_CI_expex_rpmt</f>
        <v>0</v>
      </c>
      <c r="AP373" s="49">
        <f ca="1">-MIN(SUM(AP371:AP372),SUM(AP$339,AP$344)*HM_ZA_Nkossa!NOC_rpmt_max_perc)*HM_ZA_Nkossa!NOC_CI_expex_rpmt</f>
        <v>0</v>
      </c>
      <c r="AQ373" s="49">
        <f ca="1">-MIN(SUM(AQ371:AQ372),SUM(AQ$339,AQ$344)*HM_ZA_Nkossa!NOC_rpmt_max_perc)*HM_ZA_Nkossa!NOC_CI_expex_rpmt</f>
        <v>0</v>
      </c>
      <c r="AR373" s="49">
        <f ca="1">-MIN(SUM(AR371:AR372),SUM(AR$339,AR$344)*HM_ZA_Nkossa!NOC_rpmt_max_perc)*HM_ZA_Nkossa!NOC_CI_expex_rpmt</f>
        <v>0</v>
      </c>
      <c r="AS373" s="49">
        <f ca="1">-MIN(SUM(AS371:AS372),SUM(AS$339,AS$344)*HM_ZA_Nkossa!NOC_rpmt_max_perc)*HM_ZA_Nkossa!NOC_CI_expex_rpmt</f>
        <v>0</v>
      </c>
      <c r="AT373" s="49">
        <f ca="1">-MIN(SUM(AT371:AT372),SUM(AT$339,AT$344)*HM_ZA_Nkossa!NOC_rpmt_max_perc)*HM_ZA_Nkossa!NOC_CI_expex_rpmt</f>
        <v>0</v>
      </c>
      <c r="AU373" s="49">
        <f ca="1">-MIN(SUM(AU371:AU372),SUM(AU$339,AU$344)*HM_ZA_Nkossa!NOC_rpmt_max_perc)*HM_ZA_Nkossa!NOC_CI_expex_rpmt</f>
        <v>0</v>
      </c>
      <c r="AV373" s="49">
        <f ca="1">-MIN(SUM(AV371:AV372),SUM(AV$339,AV$344)*HM_ZA_Nkossa!NOC_rpmt_max_perc)*HM_ZA_Nkossa!NOC_CI_expex_rpmt</f>
        <v>0</v>
      </c>
      <c r="AW373" s="49">
        <f ca="1">-MIN(SUM(AW371:AW372),SUM(AW$339,AW$344)*HM_ZA_Nkossa!NOC_rpmt_max_perc)*HM_ZA_Nkossa!NOC_CI_expex_rpmt</f>
        <v>0</v>
      </c>
      <c r="AX373" s="49">
        <f ca="1">-MIN(SUM(AX371:AX372),SUM(AX$339,AX$344)*HM_ZA_Nkossa!NOC_rpmt_max_perc)*HM_ZA_Nkossa!NOC_CI_expex_rpmt</f>
        <v>0</v>
      </c>
      <c r="AY373" s="49">
        <f ca="1">-MIN(SUM(AY371:AY372),SUM(AY$339,AY$344)*HM_ZA_Nkossa!NOC_rpmt_max_perc)*HM_ZA_Nkossa!NOC_CI_expex_rpmt</f>
        <v>0</v>
      </c>
      <c r="AZ373" s="49">
        <f ca="1">-MIN(SUM(AZ371:AZ372),SUM(AZ$339,AZ$344)*HM_ZA_Nkossa!NOC_rpmt_max_perc)*HM_ZA_Nkossa!NOC_CI_expex_rpmt</f>
        <v>0</v>
      </c>
      <c r="BA373" s="49">
        <f ca="1">-MIN(SUM(BA371:BA372),SUM(BA$339,BA$344)*HM_ZA_Nkossa!NOC_rpmt_max_perc)*HM_ZA_Nkossa!NOC_CI_expex_rpmt</f>
        <v>0</v>
      </c>
      <c r="BB373" s="49">
        <f ca="1">-MIN(SUM(BB371:BB372),SUM(BB$339,BB$344)*HM_ZA_Nkossa!NOC_rpmt_max_perc)*HM_ZA_Nkossa!NOC_CI_expex_rpmt</f>
        <v>0</v>
      </c>
      <c r="BC373" s="49">
        <f ca="1">-MIN(SUM(BC371:BC372),SUM(BC$339,BC$344)*HM_ZA_Nkossa!NOC_rpmt_max_perc)*HM_ZA_Nkossa!NOC_CI_expex_rpmt</f>
        <v>0</v>
      </c>
      <c r="BD373" s="49">
        <f ca="1">-MIN(SUM(BD371:BD372),SUM(BD$339,BD$344)*HM_ZA_Nkossa!NOC_rpmt_max_perc)*HM_ZA_Nkossa!NOC_CI_expex_rpmt</f>
        <v>0</v>
      </c>
      <c r="BE373" s="49">
        <f ca="1">-MIN(SUM(BE371:BE372),SUM(BE$339,BE$344)*HM_ZA_Nkossa!NOC_rpmt_max_perc)*HM_ZA_Nkossa!NOC_CI_expex_rpmt</f>
        <v>0</v>
      </c>
      <c r="BF373" s="49">
        <f ca="1">-MIN(SUM(BF371:BF372),SUM(BF$339,BF$344)*HM_ZA_Nkossa!NOC_rpmt_max_perc)*HM_ZA_Nkossa!NOC_CI_expex_rpmt</f>
        <v>0</v>
      </c>
      <c r="BG373" s="49">
        <f ca="1">-MIN(SUM(BG371:BG372),SUM(BG$339,BG$344)*HM_ZA_Nkossa!NOC_rpmt_max_perc)*HM_ZA_Nkossa!NOC_CI_expex_rpmt</f>
        <v>0</v>
      </c>
      <c r="BH373" s="49">
        <f ca="1">-MIN(SUM(BH371:BH372),SUM(BH$339,BH$344)*HM_ZA_Nkossa!NOC_rpmt_max_perc)*HM_ZA_Nkossa!NOC_CI_expex_rpmt</f>
        <v>0</v>
      </c>
      <c r="BI373" s="49">
        <f ca="1">-MIN(SUM(BI371:BI372),SUM(BI$339,BI$344)*HM_ZA_Nkossa!NOC_rpmt_max_perc)*HM_ZA_Nkossa!NOC_CI_expex_rpmt</f>
        <v>0</v>
      </c>
      <c r="BJ373" s="49">
        <f ca="1">-MIN(SUM(BJ371:BJ372),SUM(BJ$339,BJ$344)*HM_ZA_Nkossa!NOC_rpmt_max_perc)*HM_ZA_Nkossa!NOC_CI_expex_rpmt</f>
        <v>0</v>
      </c>
      <c r="BK373" s="49">
        <f ca="1">-MIN(SUM(BK371:BK372),SUM(BK$339,BK$344)*HM_ZA_Nkossa!NOC_rpmt_max_perc)*HM_ZA_Nkossa!NOC_CI_expex_rpmt</f>
        <v>0</v>
      </c>
      <c r="BL373" s="49">
        <f ca="1">-MIN(SUM(BL371:BL372),SUM(BL$339,BL$344)*HM_ZA_Nkossa!NOC_rpmt_max_perc)*HM_ZA_Nkossa!NOC_CI_expex_rpmt</f>
        <v>0</v>
      </c>
      <c r="BM373" s="49">
        <f ca="1">-MIN(SUM(BM371:BM372),SUM(BM$339,BM$344)*HM_ZA_Nkossa!NOC_rpmt_max_perc)*HM_ZA_Nkossa!NOC_CI_expex_rpmt</f>
        <v>0</v>
      </c>
      <c r="BN373" s="49">
        <f ca="1">-MIN(SUM(BN371:BN372),SUM(BN$339,BN$344)*HM_ZA_Nkossa!NOC_rpmt_max_perc)*HM_ZA_Nkossa!NOC_CI_expex_rpmt</f>
        <v>0</v>
      </c>
      <c r="BO373" s="49">
        <f ca="1">-MIN(SUM(BO371:BO372),SUM(BO$339,BO$344)*HM_ZA_Nkossa!NOC_rpmt_max_perc)*HM_ZA_Nkossa!NOC_CI_expex_rpmt</f>
        <v>0</v>
      </c>
      <c r="BP373" s="49">
        <f ca="1">-MIN(SUM(BP371:BP372),SUM(BP$339,BP$344)*HM_ZA_Nkossa!NOC_rpmt_max_perc)*HM_ZA_Nkossa!NOC_CI_expex_rpmt</f>
        <v>0</v>
      </c>
      <c r="BQ373" s="49">
        <f ca="1">-MIN(SUM(BQ371:BQ372),SUM(BQ$339,BQ$344)*HM_ZA_Nkossa!NOC_rpmt_max_perc)*HM_ZA_Nkossa!NOC_CI_expex_rpmt</f>
        <v>0</v>
      </c>
      <c r="BR373" s="49">
        <f ca="1">-MIN(SUM(BR371:BR372),SUM(BR$339,BR$344)*HM_ZA_Nkossa!NOC_rpmt_max_perc)*HM_ZA_Nkossa!NOC_CI_expex_rpmt</f>
        <v>0</v>
      </c>
      <c r="BS373" s="49">
        <f ca="1">-MIN(SUM(BS371:BS372),SUM(BS$339,BS$344)*HM_ZA_Nkossa!NOC_rpmt_max_perc)*HM_ZA_Nkossa!NOC_CI_expex_rpmt</f>
        <v>0</v>
      </c>
    </row>
    <row r="374" spans="3:71" outlineLevel="1" x14ac:dyDescent="0.2">
      <c r="D374" t="str">
        <f>CHOOSE(db_ML_selected,'Liste Traduction'!B378,'Liste Traduction'!C378)</f>
        <v>Coûts de portage Solde de clôture</v>
      </c>
      <c r="J374" s="26"/>
      <c r="L374" s="49">
        <f ca="1">SUM(L371:L373)</f>
        <v>0</v>
      </c>
      <c r="M374" s="49">
        <f t="shared" ref="M374:BS374" ca="1" si="108">SUM(M371:M373)</f>
        <v>0</v>
      </c>
      <c r="N374" s="49">
        <f t="shared" ca="1" si="108"/>
        <v>0</v>
      </c>
      <c r="O374" s="49">
        <f t="shared" ca="1" si="108"/>
        <v>0</v>
      </c>
      <c r="P374" s="49">
        <f t="shared" ca="1" si="108"/>
        <v>0</v>
      </c>
      <c r="Q374" s="49">
        <f t="shared" ca="1" si="108"/>
        <v>0</v>
      </c>
      <c r="R374" s="49">
        <f t="shared" ca="1" si="108"/>
        <v>0</v>
      </c>
      <c r="S374" s="49">
        <f t="shared" ca="1" si="108"/>
        <v>0</v>
      </c>
      <c r="T374" s="49">
        <f t="shared" ca="1" si="108"/>
        <v>0</v>
      </c>
      <c r="U374" s="49">
        <f t="shared" ca="1" si="108"/>
        <v>0</v>
      </c>
      <c r="V374" s="49">
        <f t="shared" ca="1" si="108"/>
        <v>0</v>
      </c>
      <c r="W374" s="49">
        <f t="shared" ca="1" si="108"/>
        <v>0</v>
      </c>
      <c r="X374" s="49">
        <f t="shared" ca="1" si="108"/>
        <v>0</v>
      </c>
      <c r="Y374" s="49">
        <f t="shared" ca="1" si="108"/>
        <v>0</v>
      </c>
      <c r="Z374" s="49">
        <f t="shared" ca="1" si="108"/>
        <v>0</v>
      </c>
      <c r="AA374" s="49">
        <f t="shared" ca="1" si="108"/>
        <v>0</v>
      </c>
      <c r="AB374" s="49">
        <f t="shared" ca="1" si="108"/>
        <v>0</v>
      </c>
      <c r="AC374" s="49">
        <f t="shared" ca="1" si="108"/>
        <v>0</v>
      </c>
      <c r="AD374" s="49">
        <f t="shared" ca="1" si="108"/>
        <v>0</v>
      </c>
      <c r="AE374" s="49">
        <f t="shared" ca="1" si="108"/>
        <v>0</v>
      </c>
      <c r="AF374" s="49">
        <f t="shared" ca="1" si="108"/>
        <v>0</v>
      </c>
      <c r="AG374" s="49">
        <f t="shared" ca="1" si="108"/>
        <v>0</v>
      </c>
      <c r="AH374" s="49">
        <f t="shared" ca="1" si="108"/>
        <v>0</v>
      </c>
      <c r="AI374" s="49">
        <f t="shared" ca="1" si="108"/>
        <v>0</v>
      </c>
      <c r="AJ374" s="49">
        <f t="shared" ca="1" si="108"/>
        <v>0</v>
      </c>
      <c r="AK374" s="49">
        <f t="shared" ca="1" si="108"/>
        <v>0</v>
      </c>
      <c r="AL374" s="49">
        <f t="shared" ca="1" si="108"/>
        <v>0</v>
      </c>
      <c r="AM374" s="49">
        <f t="shared" ca="1" si="108"/>
        <v>0</v>
      </c>
      <c r="AN374" s="49">
        <f t="shared" ca="1" si="108"/>
        <v>0</v>
      </c>
      <c r="AO374" s="49">
        <f t="shared" ca="1" si="108"/>
        <v>0</v>
      </c>
      <c r="AP374" s="49">
        <f t="shared" ca="1" si="108"/>
        <v>0</v>
      </c>
      <c r="AQ374" s="49">
        <f t="shared" ca="1" si="108"/>
        <v>0</v>
      </c>
      <c r="AR374" s="49">
        <f t="shared" ca="1" si="108"/>
        <v>0</v>
      </c>
      <c r="AS374" s="49">
        <f t="shared" ca="1" si="108"/>
        <v>0</v>
      </c>
      <c r="AT374" s="49">
        <f t="shared" ca="1" si="108"/>
        <v>0</v>
      </c>
      <c r="AU374" s="49">
        <f t="shared" ca="1" si="108"/>
        <v>0</v>
      </c>
      <c r="AV374" s="49">
        <f t="shared" ca="1" si="108"/>
        <v>0</v>
      </c>
      <c r="AW374" s="49">
        <f t="shared" ca="1" si="108"/>
        <v>0</v>
      </c>
      <c r="AX374" s="49">
        <f t="shared" ca="1" si="108"/>
        <v>0</v>
      </c>
      <c r="AY374" s="49">
        <f t="shared" ca="1" si="108"/>
        <v>0</v>
      </c>
      <c r="AZ374" s="49">
        <f t="shared" ca="1" si="108"/>
        <v>0</v>
      </c>
      <c r="BA374" s="49">
        <f t="shared" ca="1" si="108"/>
        <v>0</v>
      </c>
      <c r="BB374" s="49">
        <f t="shared" ca="1" si="108"/>
        <v>0</v>
      </c>
      <c r="BC374" s="49">
        <f t="shared" ca="1" si="108"/>
        <v>0</v>
      </c>
      <c r="BD374" s="49">
        <f t="shared" ca="1" si="108"/>
        <v>0</v>
      </c>
      <c r="BE374" s="49">
        <f t="shared" ca="1" si="108"/>
        <v>0</v>
      </c>
      <c r="BF374" s="49">
        <f t="shared" ca="1" si="108"/>
        <v>0</v>
      </c>
      <c r="BG374" s="49">
        <f t="shared" ca="1" si="108"/>
        <v>0</v>
      </c>
      <c r="BH374" s="49">
        <f t="shared" ca="1" si="108"/>
        <v>0</v>
      </c>
      <c r="BI374" s="49">
        <f t="shared" ca="1" si="108"/>
        <v>0</v>
      </c>
      <c r="BJ374" s="49">
        <f t="shared" ca="1" si="108"/>
        <v>0</v>
      </c>
      <c r="BK374" s="49">
        <f t="shared" ca="1" si="108"/>
        <v>0</v>
      </c>
      <c r="BL374" s="49">
        <f t="shared" ca="1" si="108"/>
        <v>0</v>
      </c>
      <c r="BM374" s="49">
        <f t="shared" ca="1" si="108"/>
        <v>0</v>
      </c>
      <c r="BN374" s="49">
        <f t="shared" ca="1" si="108"/>
        <v>0</v>
      </c>
      <c r="BO374" s="49">
        <f t="shared" ca="1" si="108"/>
        <v>0</v>
      </c>
      <c r="BP374" s="49">
        <f t="shared" ca="1" si="108"/>
        <v>0</v>
      </c>
      <c r="BQ374" s="49">
        <f t="shared" ca="1" si="108"/>
        <v>0</v>
      </c>
      <c r="BR374" s="49">
        <f t="shared" ca="1" si="108"/>
        <v>0</v>
      </c>
      <c r="BS374" s="49">
        <f t="shared" ca="1" si="108"/>
        <v>0</v>
      </c>
    </row>
    <row r="375" spans="3:71" outlineLevel="1" x14ac:dyDescent="0.2">
      <c r="J375" s="26"/>
      <c r="L375" s="55"/>
      <c r="M375" s="55"/>
      <c r="N375" s="55"/>
      <c r="O375" s="55"/>
      <c r="P375" s="55"/>
      <c r="Q375" s="55"/>
      <c r="R375" s="55"/>
      <c r="S375" s="55"/>
      <c r="T375" s="55"/>
      <c r="U375" s="55"/>
      <c r="V375" s="55"/>
      <c r="W375" s="55"/>
      <c r="X375" s="55"/>
      <c r="Y375" s="55"/>
      <c r="Z375" s="55"/>
      <c r="AA375" s="55"/>
      <c r="AB375" s="55"/>
      <c r="AC375" s="55"/>
      <c r="AD375" s="55"/>
      <c r="AE375" s="55"/>
      <c r="AF375" s="55"/>
      <c r="AG375" s="55"/>
      <c r="AH375" s="55"/>
      <c r="AI375" s="55"/>
      <c r="AJ375" s="55"/>
      <c r="AK375" s="55"/>
      <c r="AL375" s="55"/>
      <c r="AM375" s="55"/>
      <c r="AN375" s="55"/>
      <c r="AO375" s="55"/>
      <c r="AP375" s="55"/>
      <c r="AQ375" s="55"/>
      <c r="AR375" s="55"/>
      <c r="AS375" s="55"/>
      <c r="AT375" s="55"/>
      <c r="AU375" s="55"/>
      <c r="AV375" s="55"/>
      <c r="AW375" s="55"/>
      <c r="AX375" s="55"/>
      <c r="AY375" s="55"/>
      <c r="AZ375" s="55"/>
      <c r="BA375" s="55"/>
      <c r="BB375" s="55"/>
      <c r="BC375" s="55"/>
      <c r="BD375" s="55"/>
      <c r="BE375" s="55"/>
      <c r="BF375" s="55"/>
      <c r="BG375" s="55"/>
      <c r="BH375" s="55"/>
      <c r="BI375" s="55"/>
      <c r="BJ375" s="55"/>
      <c r="BK375" s="55"/>
      <c r="BL375" s="55"/>
      <c r="BM375" s="55"/>
      <c r="BN375" s="55"/>
      <c r="BO375" s="55"/>
      <c r="BP375" s="55"/>
      <c r="BQ375" s="55"/>
      <c r="BR375" s="55"/>
      <c r="BS375" s="55"/>
    </row>
    <row r="376" spans="3:71" outlineLevel="1" x14ac:dyDescent="0.2">
      <c r="C376" s="11" t="str">
        <f>CHOOSE(db_ML_selected,'Liste Traduction'!B379,'Liste Traduction'!C379)</f>
        <v>Remboursement du portage Compagnie nationale - Capex</v>
      </c>
      <c r="J376" s="26"/>
      <c r="L376" s="55"/>
      <c r="M376" s="55"/>
      <c r="N376" s="55"/>
      <c r="O376" s="55"/>
      <c r="P376" s="55"/>
      <c r="Q376" s="55"/>
      <c r="R376" s="55"/>
      <c r="S376" s="55"/>
      <c r="T376" s="55"/>
      <c r="U376" s="55"/>
      <c r="V376" s="55"/>
      <c r="W376" s="55"/>
      <c r="X376" s="55"/>
      <c r="Y376" s="55"/>
      <c r="Z376" s="55"/>
      <c r="AA376" s="55"/>
      <c r="AB376" s="55"/>
      <c r="AC376" s="55"/>
      <c r="AD376" s="55"/>
      <c r="AE376" s="55"/>
      <c r="AF376" s="55"/>
      <c r="AG376" s="55"/>
      <c r="AH376" s="55"/>
      <c r="AI376" s="55"/>
      <c r="AJ376" s="55"/>
      <c r="AK376" s="55"/>
      <c r="AL376" s="55"/>
      <c r="AM376" s="55"/>
      <c r="AN376" s="55"/>
      <c r="AO376" s="55"/>
      <c r="AP376" s="55"/>
      <c r="AQ376" s="55"/>
      <c r="AR376" s="55"/>
      <c r="AS376" s="55"/>
      <c r="AT376" s="55"/>
      <c r="AU376" s="55"/>
      <c r="AV376" s="55"/>
      <c r="AW376" s="55"/>
      <c r="AX376" s="55"/>
      <c r="AY376" s="55"/>
      <c r="AZ376" s="55"/>
      <c r="BA376" s="55"/>
      <c r="BB376" s="55"/>
      <c r="BC376" s="55"/>
      <c r="BD376" s="55"/>
      <c r="BE376" s="55"/>
      <c r="BF376" s="55"/>
      <c r="BG376" s="55"/>
      <c r="BH376" s="55"/>
      <c r="BI376" s="55"/>
      <c r="BJ376" s="55"/>
      <c r="BK376" s="55"/>
      <c r="BL376" s="55"/>
      <c r="BM376" s="55"/>
      <c r="BN376" s="55"/>
      <c r="BO376" s="55"/>
      <c r="BP376" s="55"/>
      <c r="BQ376" s="55"/>
      <c r="BR376" s="55"/>
      <c r="BS376" s="55"/>
    </row>
    <row r="377" spans="3:71" outlineLevel="1" x14ac:dyDescent="0.2">
      <c r="D377" t="str">
        <f>D371</f>
        <v>Coûts portés Solde d'ouverture</v>
      </c>
      <c r="J377" s="26"/>
      <c r="L377" s="49">
        <f>K380</f>
        <v>0</v>
      </c>
      <c r="M377" s="49">
        <f t="shared" ref="M377:BS377" ca="1" si="109">L380</f>
        <v>17.092289684103747</v>
      </c>
      <c r="N377" s="49">
        <f t="shared" ca="1" si="109"/>
        <v>5.0582388021671179</v>
      </c>
      <c r="O377" s="49">
        <f t="shared" ca="1" si="109"/>
        <v>0</v>
      </c>
      <c r="P377" s="49">
        <f t="shared" ca="1" si="109"/>
        <v>0</v>
      </c>
      <c r="Q377" s="49">
        <f t="shared" ca="1" si="109"/>
        <v>0</v>
      </c>
      <c r="R377" s="49">
        <f t="shared" ca="1" si="109"/>
        <v>0</v>
      </c>
      <c r="S377" s="49">
        <f t="shared" ca="1" si="109"/>
        <v>0</v>
      </c>
      <c r="T377" s="49">
        <f t="shared" ca="1" si="109"/>
        <v>0</v>
      </c>
      <c r="U377" s="49">
        <f t="shared" ca="1" si="109"/>
        <v>0</v>
      </c>
      <c r="V377" s="49">
        <f t="shared" ca="1" si="109"/>
        <v>0</v>
      </c>
      <c r="W377" s="49">
        <f t="shared" ca="1" si="109"/>
        <v>0</v>
      </c>
      <c r="X377" s="49">
        <f t="shared" ca="1" si="109"/>
        <v>0</v>
      </c>
      <c r="Y377" s="49">
        <f t="shared" ca="1" si="109"/>
        <v>0</v>
      </c>
      <c r="Z377" s="49">
        <f t="shared" ca="1" si="109"/>
        <v>0</v>
      </c>
      <c r="AA377" s="49">
        <f t="shared" ca="1" si="109"/>
        <v>0</v>
      </c>
      <c r="AB377" s="49">
        <f t="shared" ca="1" si="109"/>
        <v>0</v>
      </c>
      <c r="AC377" s="49">
        <f t="shared" ca="1" si="109"/>
        <v>0</v>
      </c>
      <c r="AD377" s="49">
        <f t="shared" ca="1" si="109"/>
        <v>0</v>
      </c>
      <c r="AE377" s="49">
        <f t="shared" ca="1" si="109"/>
        <v>0</v>
      </c>
      <c r="AF377" s="49">
        <f t="shared" ca="1" si="109"/>
        <v>0</v>
      </c>
      <c r="AG377" s="49">
        <f t="shared" ca="1" si="109"/>
        <v>0</v>
      </c>
      <c r="AH377" s="49">
        <f t="shared" ca="1" si="109"/>
        <v>0</v>
      </c>
      <c r="AI377" s="49">
        <f t="shared" ca="1" si="109"/>
        <v>0</v>
      </c>
      <c r="AJ377" s="49">
        <f t="shared" ca="1" si="109"/>
        <v>0</v>
      </c>
      <c r="AK377" s="49">
        <f t="shared" ca="1" si="109"/>
        <v>0</v>
      </c>
      <c r="AL377" s="49">
        <f t="shared" ca="1" si="109"/>
        <v>0</v>
      </c>
      <c r="AM377" s="49">
        <f t="shared" ca="1" si="109"/>
        <v>0</v>
      </c>
      <c r="AN377" s="49">
        <f t="shared" ca="1" si="109"/>
        <v>0</v>
      </c>
      <c r="AO377" s="49">
        <f t="shared" ca="1" si="109"/>
        <v>0</v>
      </c>
      <c r="AP377" s="49">
        <f t="shared" ca="1" si="109"/>
        <v>0</v>
      </c>
      <c r="AQ377" s="49">
        <f t="shared" ca="1" si="109"/>
        <v>0</v>
      </c>
      <c r="AR377" s="49">
        <f t="shared" ca="1" si="109"/>
        <v>0</v>
      </c>
      <c r="AS377" s="49">
        <f t="shared" ca="1" si="109"/>
        <v>0</v>
      </c>
      <c r="AT377" s="49">
        <f t="shared" ca="1" si="109"/>
        <v>0</v>
      </c>
      <c r="AU377" s="49">
        <f t="shared" ca="1" si="109"/>
        <v>0</v>
      </c>
      <c r="AV377" s="49">
        <f t="shared" ca="1" si="109"/>
        <v>0</v>
      </c>
      <c r="AW377" s="49">
        <f t="shared" ca="1" si="109"/>
        <v>0</v>
      </c>
      <c r="AX377" s="49">
        <f t="shared" ca="1" si="109"/>
        <v>0</v>
      </c>
      <c r="AY377" s="49">
        <f t="shared" ca="1" si="109"/>
        <v>0</v>
      </c>
      <c r="AZ377" s="49">
        <f t="shared" ca="1" si="109"/>
        <v>0</v>
      </c>
      <c r="BA377" s="49">
        <f t="shared" ca="1" si="109"/>
        <v>0</v>
      </c>
      <c r="BB377" s="49">
        <f t="shared" ca="1" si="109"/>
        <v>0</v>
      </c>
      <c r="BC377" s="49">
        <f t="shared" ca="1" si="109"/>
        <v>0</v>
      </c>
      <c r="BD377" s="49">
        <f t="shared" ca="1" si="109"/>
        <v>0</v>
      </c>
      <c r="BE377" s="49">
        <f t="shared" ca="1" si="109"/>
        <v>0</v>
      </c>
      <c r="BF377" s="49">
        <f t="shared" ca="1" si="109"/>
        <v>0</v>
      </c>
      <c r="BG377" s="49">
        <f t="shared" ca="1" si="109"/>
        <v>0</v>
      </c>
      <c r="BH377" s="49">
        <f t="shared" ca="1" si="109"/>
        <v>0</v>
      </c>
      <c r="BI377" s="49">
        <f t="shared" ca="1" si="109"/>
        <v>0</v>
      </c>
      <c r="BJ377" s="49">
        <f t="shared" ca="1" si="109"/>
        <v>0</v>
      </c>
      <c r="BK377" s="49">
        <f t="shared" ca="1" si="109"/>
        <v>0</v>
      </c>
      <c r="BL377" s="49">
        <f t="shared" ca="1" si="109"/>
        <v>0</v>
      </c>
      <c r="BM377" s="49">
        <f t="shared" ca="1" si="109"/>
        <v>0</v>
      </c>
      <c r="BN377" s="49">
        <f t="shared" ca="1" si="109"/>
        <v>0</v>
      </c>
      <c r="BO377" s="49">
        <f t="shared" ca="1" si="109"/>
        <v>0</v>
      </c>
      <c r="BP377" s="49">
        <f t="shared" ca="1" si="109"/>
        <v>0</v>
      </c>
      <c r="BQ377" s="49">
        <f t="shared" ca="1" si="109"/>
        <v>0</v>
      </c>
      <c r="BR377" s="49">
        <f t="shared" ca="1" si="109"/>
        <v>0</v>
      </c>
      <c r="BS377" s="49">
        <f t="shared" ca="1" si="109"/>
        <v>0</v>
      </c>
    </row>
    <row r="378" spans="3:71" outlineLevel="1" x14ac:dyDescent="0.2">
      <c r="D378" s="50" t="str">
        <f t="shared" ref="D378:D380" si="110">D372</f>
        <v>Coûts portés pour la période</v>
      </c>
      <c r="I378" s="30">
        <f t="shared" ref="I378:I379" ca="1" si="111">SUM($L378:$BS378)</f>
        <v>122.77815000000001</v>
      </c>
      <c r="J378" s="26" t="s">
        <v>148</v>
      </c>
      <c r="L378" s="49">
        <f ca="1">L366</f>
        <v>49.756049999999995</v>
      </c>
      <c r="M378" s="49">
        <f t="shared" ref="M378:BS378" ca="1" si="112">M366</f>
        <v>25.643250000000002</v>
      </c>
      <c r="N378" s="49">
        <f t="shared" ca="1" si="112"/>
        <v>16.304849999999998</v>
      </c>
      <c r="O378" s="49">
        <f t="shared" ca="1" si="112"/>
        <v>5.7839999999999998</v>
      </c>
      <c r="P378" s="49">
        <f t="shared" ca="1" si="112"/>
        <v>7.59</v>
      </c>
      <c r="Q378" s="49">
        <f t="shared" ca="1" si="112"/>
        <v>17.7</v>
      </c>
      <c r="R378" s="49">
        <f t="shared" ca="1" si="112"/>
        <v>0</v>
      </c>
      <c r="S378" s="49">
        <f t="shared" ca="1" si="112"/>
        <v>0</v>
      </c>
      <c r="T378" s="49">
        <f t="shared" ca="1" si="112"/>
        <v>0</v>
      </c>
      <c r="U378" s="49">
        <f t="shared" ca="1" si="112"/>
        <v>0</v>
      </c>
      <c r="V378" s="49">
        <f t="shared" ca="1" si="112"/>
        <v>0</v>
      </c>
      <c r="W378" s="49">
        <f t="shared" ca="1" si="112"/>
        <v>0</v>
      </c>
      <c r="X378" s="49">
        <f t="shared" ca="1" si="112"/>
        <v>0</v>
      </c>
      <c r="Y378" s="49">
        <f t="shared" ca="1" si="112"/>
        <v>0</v>
      </c>
      <c r="Z378" s="49">
        <f t="shared" ca="1" si="112"/>
        <v>0</v>
      </c>
      <c r="AA378" s="49">
        <f t="shared" ca="1" si="112"/>
        <v>0</v>
      </c>
      <c r="AB378" s="49">
        <f t="shared" ca="1" si="112"/>
        <v>0</v>
      </c>
      <c r="AC378" s="49">
        <f t="shared" ca="1" si="112"/>
        <v>0</v>
      </c>
      <c r="AD378" s="49">
        <f t="shared" ca="1" si="112"/>
        <v>0</v>
      </c>
      <c r="AE378" s="49">
        <f t="shared" ca="1" si="112"/>
        <v>0</v>
      </c>
      <c r="AF378" s="49">
        <f t="shared" ca="1" si="112"/>
        <v>0</v>
      </c>
      <c r="AG378" s="49">
        <f t="shared" ca="1" si="112"/>
        <v>0</v>
      </c>
      <c r="AH378" s="49">
        <f t="shared" ca="1" si="112"/>
        <v>0</v>
      </c>
      <c r="AI378" s="49">
        <f t="shared" ca="1" si="112"/>
        <v>0</v>
      </c>
      <c r="AJ378" s="49">
        <f t="shared" ca="1" si="112"/>
        <v>0</v>
      </c>
      <c r="AK378" s="49">
        <f t="shared" ca="1" si="112"/>
        <v>0</v>
      </c>
      <c r="AL378" s="49">
        <f t="shared" ca="1" si="112"/>
        <v>0</v>
      </c>
      <c r="AM378" s="49">
        <f t="shared" ca="1" si="112"/>
        <v>0</v>
      </c>
      <c r="AN378" s="49">
        <f t="shared" ca="1" si="112"/>
        <v>0</v>
      </c>
      <c r="AO378" s="49">
        <f t="shared" ca="1" si="112"/>
        <v>0</v>
      </c>
      <c r="AP378" s="49">
        <f t="shared" ca="1" si="112"/>
        <v>0</v>
      </c>
      <c r="AQ378" s="49">
        <f t="shared" ca="1" si="112"/>
        <v>0</v>
      </c>
      <c r="AR378" s="49">
        <f t="shared" ca="1" si="112"/>
        <v>0</v>
      </c>
      <c r="AS378" s="49">
        <f t="shared" ca="1" si="112"/>
        <v>0</v>
      </c>
      <c r="AT378" s="49">
        <f t="shared" ca="1" si="112"/>
        <v>0</v>
      </c>
      <c r="AU378" s="49">
        <f t="shared" ca="1" si="112"/>
        <v>0</v>
      </c>
      <c r="AV378" s="49">
        <f t="shared" ca="1" si="112"/>
        <v>0</v>
      </c>
      <c r="AW378" s="49">
        <f t="shared" ca="1" si="112"/>
        <v>0</v>
      </c>
      <c r="AX378" s="49">
        <f t="shared" ca="1" si="112"/>
        <v>0</v>
      </c>
      <c r="AY378" s="49">
        <f t="shared" ca="1" si="112"/>
        <v>0</v>
      </c>
      <c r="AZ378" s="49">
        <f t="shared" ca="1" si="112"/>
        <v>0</v>
      </c>
      <c r="BA378" s="49">
        <f t="shared" ca="1" si="112"/>
        <v>0</v>
      </c>
      <c r="BB378" s="49">
        <f t="shared" ca="1" si="112"/>
        <v>0</v>
      </c>
      <c r="BC378" s="49">
        <f t="shared" ca="1" si="112"/>
        <v>0</v>
      </c>
      <c r="BD378" s="49">
        <f t="shared" ca="1" si="112"/>
        <v>0</v>
      </c>
      <c r="BE378" s="49">
        <f t="shared" ca="1" si="112"/>
        <v>0</v>
      </c>
      <c r="BF378" s="49">
        <f t="shared" ca="1" si="112"/>
        <v>0</v>
      </c>
      <c r="BG378" s="49">
        <f t="shared" ca="1" si="112"/>
        <v>0</v>
      </c>
      <c r="BH378" s="49">
        <f t="shared" ca="1" si="112"/>
        <v>0</v>
      </c>
      <c r="BI378" s="49">
        <f t="shared" ca="1" si="112"/>
        <v>0</v>
      </c>
      <c r="BJ378" s="49">
        <f t="shared" ca="1" si="112"/>
        <v>0</v>
      </c>
      <c r="BK378" s="49">
        <f t="shared" ca="1" si="112"/>
        <v>0</v>
      </c>
      <c r="BL378" s="49">
        <f t="shared" ca="1" si="112"/>
        <v>0</v>
      </c>
      <c r="BM378" s="49">
        <f t="shared" ca="1" si="112"/>
        <v>0</v>
      </c>
      <c r="BN378" s="49">
        <f t="shared" ca="1" si="112"/>
        <v>0</v>
      </c>
      <c r="BO378" s="49">
        <f t="shared" ca="1" si="112"/>
        <v>0</v>
      </c>
      <c r="BP378" s="49">
        <f t="shared" ca="1" si="112"/>
        <v>0</v>
      </c>
      <c r="BQ378" s="49">
        <f t="shared" ca="1" si="112"/>
        <v>0</v>
      </c>
      <c r="BR378" s="49">
        <f t="shared" ca="1" si="112"/>
        <v>0</v>
      </c>
      <c r="BS378" s="49">
        <f t="shared" ca="1" si="112"/>
        <v>0</v>
      </c>
    </row>
    <row r="379" spans="3:71" outlineLevel="1" x14ac:dyDescent="0.2">
      <c r="D379" s="50" t="str">
        <f t="shared" si="110"/>
        <v>Remboursement du portage</v>
      </c>
      <c r="I379" s="30">
        <f t="shared" ca="1" si="111"/>
        <v>-122.77815000000001</v>
      </c>
      <c r="J379" s="26" t="s">
        <v>148</v>
      </c>
      <c r="L379" s="49">
        <f ca="1">-MIN(SUM(L377:L378),SUM(L$339,L$344)*HM_ZA_Nkossa!NOC_rpmt_max_perc)*HM_ZA_Nkossa!NOC_CI_devex_rpmt</f>
        <v>-32.663760315896248</v>
      </c>
      <c r="M379" s="49">
        <f ca="1">-MIN(SUM(M377:M378),SUM(M$339,M$344)*HM_ZA_Nkossa!NOC_rpmt_max_perc)*HM_ZA_Nkossa!NOC_CI_devex_rpmt</f>
        <v>-37.677300881936631</v>
      </c>
      <c r="N379" s="49">
        <f ca="1">-MIN(SUM(N377:N378),SUM(N$339,N$344)*HM_ZA_Nkossa!NOC_rpmt_max_perc)*HM_ZA_Nkossa!NOC_CI_devex_rpmt</f>
        <v>-21.363088802167116</v>
      </c>
      <c r="O379" s="49">
        <f ca="1">-MIN(SUM(O377:O378),SUM(O$339,O$344)*HM_ZA_Nkossa!NOC_rpmt_max_perc)*HM_ZA_Nkossa!NOC_CI_devex_rpmt</f>
        <v>-5.7839999999999998</v>
      </c>
      <c r="P379" s="49">
        <f ca="1">-MIN(SUM(P377:P378),SUM(P$339,P$344)*HM_ZA_Nkossa!NOC_rpmt_max_perc)*HM_ZA_Nkossa!NOC_CI_devex_rpmt</f>
        <v>-7.59</v>
      </c>
      <c r="Q379" s="49">
        <f ca="1">-MIN(SUM(Q377:Q378),SUM(Q$339,Q$344)*HM_ZA_Nkossa!NOC_rpmt_max_perc)*HM_ZA_Nkossa!NOC_CI_devex_rpmt</f>
        <v>-17.7</v>
      </c>
      <c r="R379" s="49">
        <f ca="1">-MIN(SUM(R377:R378),SUM(R$339,R$344)*HM_ZA_Nkossa!NOC_rpmt_max_perc)*HM_ZA_Nkossa!NOC_CI_devex_rpmt</f>
        <v>0</v>
      </c>
      <c r="S379" s="49">
        <f ca="1">-MIN(SUM(S377:S378),SUM(S$339,S$344)*HM_ZA_Nkossa!NOC_rpmt_max_perc)*HM_ZA_Nkossa!NOC_CI_devex_rpmt</f>
        <v>0</v>
      </c>
      <c r="T379" s="49">
        <f ca="1">-MIN(SUM(T377:T378),SUM(T$339,T$344)*HM_ZA_Nkossa!NOC_rpmt_max_perc)*HM_ZA_Nkossa!NOC_CI_devex_rpmt</f>
        <v>0</v>
      </c>
      <c r="U379" s="49">
        <f ca="1">-MIN(SUM(U377:U378),SUM(U$339,U$344)*HM_ZA_Nkossa!NOC_rpmt_max_perc)*HM_ZA_Nkossa!NOC_CI_devex_rpmt</f>
        <v>0</v>
      </c>
      <c r="V379" s="49">
        <f ca="1">-MIN(SUM(V377:V378),SUM(V$339,V$344)*HM_ZA_Nkossa!NOC_rpmt_max_perc)*HM_ZA_Nkossa!NOC_CI_devex_rpmt</f>
        <v>0</v>
      </c>
      <c r="W379" s="49">
        <f ca="1">-MIN(SUM(W377:W378),SUM(W$339,W$344)*HM_ZA_Nkossa!NOC_rpmt_max_perc)*HM_ZA_Nkossa!NOC_CI_devex_rpmt</f>
        <v>0</v>
      </c>
      <c r="X379" s="49">
        <f ca="1">-MIN(SUM(X377:X378),SUM(X$339,X$344)*HM_ZA_Nkossa!NOC_rpmt_max_perc)*HM_ZA_Nkossa!NOC_CI_devex_rpmt</f>
        <v>0</v>
      </c>
      <c r="Y379" s="49">
        <f ca="1">-MIN(SUM(Y377:Y378),SUM(Y$339,Y$344)*HM_ZA_Nkossa!NOC_rpmt_max_perc)*HM_ZA_Nkossa!NOC_CI_devex_rpmt</f>
        <v>0</v>
      </c>
      <c r="Z379" s="49">
        <f ca="1">-MIN(SUM(Z377:Z378),SUM(Z$339,Z$344)*HM_ZA_Nkossa!NOC_rpmt_max_perc)*HM_ZA_Nkossa!NOC_CI_devex_rpmt</f>
        <v>0</v>
      </c>
      <c r="AA379" s="49">
        <f ca="1">-MIN(SUM(AA377:AA378),SUM(AA$339,AA$344)*HM_ZA_Nkossa!NOC_rpmt_max_perc)*HM_ZA_Nkossa!NOC_CI_devex_rpmt</f>
        <v>0</v>
      </c>
      <c r="AB379" s="49">
        <f ca="1">-MIN(SUM(AB377:AB378),SUM(AB$339,AB$344)*HM_ZA_Nkossa!NOC_rpmt_max_perc)*HM_ZA_Nkossa!NOC_CI_devex_rpmt</f>
        <v>0</v>
      </c>
      <c r="AC379" s="49">
        <f ca="1">-MIN(SUM(AC377:AC378),SUM(AC$339,AC$344)*HM_ZA_Nkossa!NOC_rpmt_max_perc)*HM_ZA_Nkossa!NOC_CI_devex_rpmt</f>
        <v>0</v>
      </c>
      <c r="AD379" s="49">
        <f ca="1">-MIN(SUM(AD377:AD378),SUM(AD$339,AD$344)*HM_ZA_Nkossa!NOC_rpmt_max_perc)*HM_ZA_Nkossa!NOC_CI_devex_rpmt</f>
        <v>0</v>
      </c>
      <c r="AE379" s="49">
        <f ca="1">-MIN(SUM(AE377:AE378),SUM(AE$339,AE$344)*HM_ZA_Nkossa!NOC_rpmt_max_perc)*HM_ZA_Nkossa!NOC_CI_devex_rpmt</f>
        <v>0</v>
      </c>
      <c r="AF379" s="49">
        <f ca="1">-MIN(SUM(AF377:AF378),SUM(AF$339,AF$344)*HM_ZA_Nkossa!NOC_rpmt_max_perc)*HM_ZA_Nkossa!NOC_CI_devex_rpmt</f>
        <v>0</v>
      </c>
      <c r="AG379" s="49">
        <f ca="1">-MIN(SUM(AG377:AG378),SUM(AG$339,AG$344)*HM_ZA_Nkossa!NOC_rpmt_max_perc)*HM_ZA_Nkossa!NOC_CI_devex_rpmt</f>
        <v>0</v>
      </c>
      <c r="AH379" s="49">
        <f ca="1">-MIN(SUM(AH377:AH378),SUM(AH$339,AH$344)*HM_ZA_Nkossa!NOC_rpmt_max_perc)*HM_ZA_Nkossa!NOC_CI_devex_rpmt</f>
        <v>0</v>
      </c>
      <c r="AI379" s="49">
        <f ca="1">-MIN(SUM(AI377:AI378),SUM(AI$339,AI$344)*HM_ZA_Nkossa!NOC_rpmt_max_perc)*HM_ZA_Nkossa!NOC_CI_devex_rpmt</f>
        <v>0</v>
      </c>
      <c r="AJ379" s="49">
        <f ca="1">-MIN(SUM(AJ377:AJ378),SUM(AJ$339,AJ$344)*HM_ZA_Nkossa!NOC_rpmt_max_perc)*HM_ZA_Nkossa!NOC_CI_devex_rpmt</f>
        <v>0</v>
      </c>
      <c r="AK379" s="49">
        <f ca="1">-MIN(SUM(AK377:AK378),SUM(AK$339,AK$344)*HM_ZA_Nkossa!NOC_rpmt_max_perc)*HM_ZA_Nkossa!NOC_CI_devex_rpmt</f>
        <v>0</v>
      </c>
      <c r="AL379" s="49">
        <f ca="1">-MIN(SUM(AL377:AL378),SUM(AL$339,AL$344)*HM_ZA_Nkossa!NOC_rpmt_max_perc)*HM_ZA_Nkossa!NOC_CI_devex_rpmt</f>
        <v>0</v>
      </c>
      <c r="AM379" s="49">
        <f ca="1">-MIN(SUM(AM377:AM378),SUM(AM$339,AM$344)*HM_ZA_Nkossa!NOC_rpmt_max_perc)*HM_ZA_Nkossa!NOC_CI_devex_rpmt</f>
        <v>0</v>
      </c>
      <c r="AN379" s="49">
        <f ca="1">-MIN(SUM(AN377:AN378),SUM(AN$339,AN$344)*HM_ZA_Nkossa!NOC_rpmt_max_perc)*HM_ZA_Nkossa!NOC_CI_devex_rpmt</f>
        <v>0</v>
      </c>
      <c r="AO379" s="49">
        <f ca="1">-MIN(SUM(AO377:AO378),SUM(AO$339,AO$344)*HM_ZA_Nkossa!NOC_rpmt_max_perc)*HM_ZA_Nkossa!NOC_CI_devex_rpmt</f>
        <v>0</v>
      </c>
      <c r="AP379" s="49">
        <f ca="1">-MIN(SUM(AP377:AP378),SUM(AP$339,AP$344)*HM_ZA_Nkossa!NOC_rpmt_max_perc)*HM_ZA_Nkossa!NOC_CI_devex_rpmt</f>
        <v>0</v>
      </c>
      <c r="AQ379" s="49">
        <f ca="1">-MIN(SUM(AQ377:AQ378),SUM(AQ$339,AQ$344)*HM_ZA_Nkossa!NOC_rpmt_max_perc)*HM_ZA_Nkossa!NOC_CI_devex_rpmt</f>
        <v>0</v>
      </c>
      <c r="AR379" s="49">
        <f ca="1">-MIN(SUM(AR377:AR378),SUM(AR$339,AR$344)*HM_ZA_Nkossa!NOC_rpmt_max_perc)*HM_ZA_Nkossa!NOC_CI_devex_rpmt</f>
        <v>0</v>
      </c>
      <c r="AS379" s="49">
        <f ca="1">-MIN(SUM(AS377:AS378),SUM(AS$339,AS$344)*HM_ZA_Nkossa!NOC_rpmt_max_perc)*HM_ZA_Nkossa!NOC_CI_devex_rpmt</f>
        <v>0</v>
      </c>
      <c r="AT379" s="49">
        <f ca="1">-MIN(SUM(AT377:AT378),SUM(AT$339,AT$344)*HM_ZA_Nkossa!NOC_rpmt_max_perc)*HM_ZA_Nkossa!NOC_CI_devex_rpmt</f>
        <v>0</v>
      </c>
      <c r="AU379" s="49">
        <f ca="1">-MIN(SUM(AU377:AU378),SUM(AU$339,AU$344)*HM_ZA_Nkossa!NOC_rpmt_max_perc)*HM_ZA_Nkossa!NOC_CI_devex_rpmt</f>
        <v>0</v>
      </c>
      <c r="AV379" s="49">
        <f ca="1">-MIN(SUM(AV377:AV378),SUM(AV$339,AV$344)*HM_ZA_Nkossa!NOC_rpmt_max_perc)*HM_ZA_Nkossa!NOC_CI_devex_rpmt</f>
        <v>0</v>
      </c>
      <c r="AW379" s="49">
        <f ca="1">-MIN(SUM(AW377:AW378),SUM(AW$339,AW$344)*HM_ZA_Nkossa!NOC_rpmt_max_perc)*HM_ZA_Nkossa!NOC_CI_devex_rpmt</f>
        <v>0</v>
      </c>
      <c r="AX379" s="49">
        <f ca="1">-MIN(SUM(AX377:AX378),SUM(AX$339,AX$344)*HM_ZA_Nkossa!NOC_rpmt_max_perc)*HM_ZA_Nkossa!NOC_CI_devex_rpmt</f>
        <v>0</v>
      </c>
      <c r="AY379" s="49">
        <f ca="1">-MIN(SUM(AY377:AY378),SUM(AY$339,AY$344)*HM_ZA_Nkossa!NOC_rpmt_max_perc)*HM_ZA_Nkossa!NOC_CI_devex_rpmt</f>
        <v>0</v>
      </c>
      <c r="AZ379" s="49">
        <f ca="1">-MIN(SUM(AZ377:AZ378),SUM(AZ$339,AZ$344)*HM_ZA_Nkossa!NOC_rpmt_max_perc)*HM_ZA_Nkossa!NOC_CI_devex_rpmt</f>
        <v>0</v>
      </c>
      <c r="BA379" s="49">
        <f ca="1">-MIN(SUM(BA377:BA378),SUM(BA$339,BA$344)*HM_ZA_Nkossa!NOC_rpmt_max_perc)*HM_ZA_Nkossa!NOC_CI_devex_rpmt</f>
        <v>0</v>
      </c>
      <c r="BB379" s="49">
        <f ca="1">-MIN(SUM(BB377:BB378),SUM(BB$339,BB$344)*HM_ZA_Nkossa!NOC_rpmt_max_perc)*HM_ZA_Nkossa!NOC_CI_devex_rpmt</f>
        <v>0</v>
      </c>
      <c r="BC379" s="49">
        <f ca="1">-MIN(SUM(BC377:BC378),SUM(BC$339,BC$344)*HM_ZA_Nkossa!NOC_rpmt_max_perc)*HM_ZA_Nkossa!NOC_CI_devex_rpmt</f>
        <v>0</v>
      </c>
      <c r="BD379" s="49">
        <f ca="1">-MIN(SUM(BD377:BD378),SUM(BD$339,BD$344)*HM_ZA_Nkossa!NOC_rpmt_max_perc)*HM_ZA_Nkossa!NOC_CI_devex_rpmt</f>
        <v>0</v>
      </c>
      <c r="BE379" s="49">
        <f ca="1">-MIN(SUM(BE377:BE378),SUM(BE$339,BE$344)*HM_ZA_Nkossa!NOC_rpmt_max_perc)*HM_ZA_Nkossa!NOC_CI_devex_rpmt</f>
        <v>0</v>
      </c>
      <c r="BF379" s="49">
        <f ca="1">-MIN(SUM(BF377:BF378),SUM(BF$339,BF$344)*HM_ZA_Nkossa!NOC_rpmt_max_perc)*HM_ZA_Nkossa!NOC_CI_devex_rpmt</f>
        <v>0</v>
      </c>
      <c r="BG379" s="49">
        <f ca="1">-MIN(SUM(BG377:BG378),SUM(BG$339,BG$344)*HM_ZA_Nkossa!NOC_rpmt_max_perc)*HM_ZA_Nkossa!NOC_CI_devex_rpmt</f>
        <v>0</v>
      </c>
      <c r="BH379" s="49">
        <f ca="1">-MIN(SUM(BH377:BH378),SUM(BH$339,BH$344)*HM_ZA_Nkossa!NOC_rpmt_max_perc)*HM_ZA_Nkossa!NOC_CI_devex_rpmt</f>
        <v>0</v>
      </c>
      <c r="BI379" s="49">
        <f ca="1">-MIN(SUM(BI377:BI378),SUM(BI$339,BI$344)*HM_ZA_Nkossa!NOC_rpmt_max_perc)*HM_ZA_Nkossa!NOC_CI_devex_rpmt</f>
        <v>0</v>
      </c>
      <c r="BJ379" s="49">
        <f ca="1">-MIN(SUM(BJ377:BJ378),SUM(BJ$339,BJ$344)*HM_ZA_Nkossa!NOC_rpmt_max_perc)*HM_ZA_Nkossa!NOC_CI_devex_rpmt</f>
        <v>0</v>
      </c>
      <c r="BK379" s="49">
        <f ca="1">-MIN(SUM(BK377:BK378),SUM(BK$339,BK$344)*HM_ZA_Nkossa!NOC_rpmt_max_perc)*HM_ZA_Nkossa!NOC_CI_devex_rpmt</f>
        <v>0</v>
      </c>
      <c r="BL379" s="49">
        <f ca="1">-MIN(SUM(BL377:BL378),SUM(BL$339,BL$344)*HM_ZA_Nkossa!NOC_rpmt_max_perc)*HM_ZA_Nkossa!NOC_CI_devex_rpmt</f>
        <v>0</v>
      </c>
      <c r="BM379" s="49">
        <f ca="1">-MIN(SUM(BM377:BM378),SUM(BM$339,BM$344)*HM_ZA_Nkossa!NOC_rpmt_max_perc)*HM_ZA_Nkossa!NOC_CI_devex_rpmt</f>
        <v>0</v>
      </c>
      <c r="BN379" s="49">
        <f ca="1">-MIN(SUM(BN377:BN378),SUM(BN$339,BN$344)*HM_ZA_Nkossa!NOC_rpmt_max_perc)*HM_ZA_Nkossa!NOC_CI_devex_rpmt</f>
        <v>0</v>
      </c>
      <c r="BO379" s="49">
        <f ca="1">-MIN(SUM(BO377:BO378),SUM(BO$339,BO$344)*HM_ZA_Nkossa!NOC_rpmt_max_perc)*HM_ZA_Nkossa!NOC_CI_devex_rpmt</f>
        <v>0</v>
      </c>
      <c r="BP379" s="49">
        <f ca="1">-MIN(SUM(BP377:BP378),SUM(BP$339,BP$344)*HM_ZA_Nkossa!NOC_rpmt_max_perc)*HM_ZA_Nkossa!NOC_CI_devex_rpmt</f>
        <v>0</v>
      </c>
      <c r="BQ379" s="49">
        <f ca="1">-MIN(SUM(BQ377:BQ378),SUM(BQ$339,BQ$344)*HM_ZA_Nkossa!NOC_rpmt_max_perc)*HM_ZA_Nkossa!NOC_CI_devex_rpmt</f>
        <v>0</v>
      </c>
      <c r="BR379" s="49">
        <f ca="1">-MIN(SUM(BR377:BR378),SUM(BR$339,BR$344)*HM_ZA_Nkossa!NOC_rpmt_max_perc)*HM_ZA_Nkossa!NOC_CI_devex_rpmt</f>
        <v>0</v>
      </c>
      <c r="BS379" s="49">
        <f ca="1">-MIN(SUM(BS377:BS378),SUM(BS$339,BS$344)*HM_ZA_Nkossa!NOC_rpmt_max_perc)*HM_ZA_Nkossa!NOC_CI_devex_rpmt</f>
        <v>0</v>
      </c>
    </row>
    <row r="380" spans="3:71" outlineLevel="1" x14ac:dyDescent="0.2">
      <c r="D380" t="str">
        <f t="shared" si="110"/>
        <v>Coûts de portage Solde de clôture</v>
      </c>
      <c r="J380" s="26"/>
      <c r="L380" s="49">
        <f ca="1">SUM(L377:L379)</f>
        <v>17.092289684103747</v>
      </c>
      <c r="M380" s="49">
        <f t="shared" ref="M380:BS380" ca="1" si="113">SUM(M377:M379)</f>
        <v>5.0582388021671179</v>
      </c>
      <c r="N380" s="49">
        <f t="shared" ca="1" si="113"/>
        <v>0</v>
      </c>
      <c r="O380" s="49">
        <f t="shared" ca="1" si="113"/>
        <v>0</v>
      </c>
      <c r="P380" s="49">
        <f t="shared" ca="1" si="113"/>
        <v>0</v>
      </c>
      <c r="Q380" s="49">
        <f t="shared" ca="1" si="113"/>
        <v>0</v>
      </c>
      <c r="R380" s="49">
        <f t="shared" ca="1" si="113"/>
        <v>0</v>
      </c>
      <c r="S380" s="49">
        <f t="shared" ca="1" si="113"/>
        <v>0</v>
      </c>
      <c r="T380" s="49">
        <f t="shared" ca="1" si="113"/>
        <v>0</v>
      </c>
      <c r="U380" s="49">
        <f t="shared" ca="1" si="113"/>
        <v>0</v>
      </c>
      <c r="V380" s="49">
        <f t="shared" ca="1" si="113"/>
        <v>0</v>
      </c>
      <c r="W380" s="49">
        <f t="shared" ca="1" si="113"/>
        <v>0</v>
      </c>
      <c r="X380" s="49">
        <f t="shared" ca="1" si="113"/>
        <v>0</v>
      </c>
      <c r="Y380" s="49">
        <f t="shared" ca="1" si="113"/>
        <v>0</v>
      </c>
      <c r="Z380" s="49">
        <f t="shared" ca="1" si="113"/>
        <v>0</v>
      </c>
      <c r="AA380" s="49">
        <f t="shared" ca="1" si="113"/>
        <v>0</v>
      </c>
      <c r="AB380" s="49">
        <f t="shared" ca="1" si="113"/>
        <v>0</v>
      </c>
      <c r="AC380" s="49">
        <f t="shared" ca="1" si="113"/>
        <v>0</v>
      </c>
      <c r="AD380" s="49">
        <f t="shared" ca="1" si="113"/>
        <v>0</v>
      </c>
      <c r="AE380" s="49">
        <f t="shared" ca="1" si="113"/>
        <v>0</v>
      </c>
      <c r="AF380" s="49">
        <f t="shared" ca="1" si="113"/>
        <v>0</v>
      </c>
      <c r="AG380" s="49">
        <f t="shared" ca="1" si="113"/>
        <v>0</v>
      </c>
      <c r="AH380" s="49">
        <f t="shared" ca="1" si="113"/>
        <v>0</v>
      </c>
      <c r="AI380" s="49">
        <f t="shared" ca="1" si="113"/>
        <v>0</v>
      </c>
      <c r="AJ380" s="49">
        <f t="shared" ca="1" si="113"/>
        <v>0</v>
      </c>
      <c r="AK380" s="49">
        <f t="shared" ca="1" si="113"/>
        <v>0</v>
      </c>
      <c r="AL380" s="49">
        <f t="shared" ca="1" si="113"/>
        <v>0</v>
      </c>
      <c r="AM380" s="49">
        <f t="shared" ca="1" si="113"/>
        <v>0</v>
      </c>
      <c r="AN380" s="49">
        <f t="shared" ca="1" si="113"/>
        <v>0</v>
      </c>
      <c r="AO380" s="49">
        <f t="shared" ca="1" si="113"/>
        <v>0</v>
      </c>
      <c r="AP380" s="49">
        <f t="shared" ca="1" si="113"/>
        <v>0</v>
      </c>
      <c r="AQ380" s="49">
        <f t="shared" ca="1" si="113"/>
        <v>0</v>
      </c>
      <c r="AR380" s="49">
        <f t="shared" ca="1" si="113"/>
        <v>0</v>
      </c>
      <c r="AS380" s="49">
        <f t="shared" ca="1" si="113"/>
        <v>0</v>
      </c>
      <c r="AT380" s="49">
        <f t="shared" ca="1" si="113"/>
        <v>0</v>
      </c>
      <c r="AU380" s="49">
        <f t="shared" ca="1" si="113"/>
        <v>0</v>
      </c>
      <c r="AV380" s="49">
        <f t="shared" ca="1" si="113"/>
        <v>0</v>
      </c>
      <c r="AW380" s="49">
        <f t="shared" ca="1" si="113"/>
        <v>0</v>
      </c>
      <c r="AX380" s="49">
        <f t="shared" ca="1" si="113"/>
        <v>0</v>
      </c>
      <c r="AY380" s="49">
        <f t="shared" ca="1" si="113"/>
        <v>0</v>
      </c>
      <c r="AZ380" s="49">
        <f t="shared" ca="1" si="113"/>
        <v>0</v>
      </c>
      <c r="BA380" s="49">
        <f t="shared" ca="1" si="113"/>
        <v>0</v>
      </c>
      <c r="BB380" s="49">
        <f t="shared" ca="1" si="113"/>
        <v>0</v>
      </c>
      <c r="BC380" s="49">
        <f t="shared" ca="1" si="113"/>
        <v>0</v>
      </c>
      <c r="BD380" s="49">
        <f t="shared" ca="1" si="113"/>
        <v>0</v>
      </c>
      <c r="BE380" s="49">
        <f t="shared" ca="1" si="113"/>
        <v>0</v>
      </c>
      <c r="BF380" s="49">
        <f t="shared" ca="1" si="113"/>
        <v>0</v>
      </c>
      <c r="BG380" s="49">
        <f t="shared" ca="1" si="113"/>
        <v>0</v>
      </c>
      <c r="BH380" s="49">
        <f t="shared" ca="1" si="113"/>
        <v>0</v>
      </c>
      <c r="BI380" s="49">
        <f t="shared" ca="1" si="113"/>
        <v>0</v>
      </c>
      <c r="BJ380" s="49">
        <f t="shared" ca="1" si="113"/>
        <v>0</v>
      </c>
      <c r="BK380" s="49">
        <f t="shared" ca="1" si="113"/>
        <v>0</v>
      </c>
      <c r="BL380" s="49">
        <f t="shared" ca="1" si="113"/>
        <v>0</v>
      </c>
      <c r="BM380" s="49">
        <f t="shared" ca="1" si="113"/>
        <v>0</v>
      </c>
      <c r="BN380" s="49">
        <f t="shared" ca="1" si="113"/>
        <v>0</v>
      </c>
      <c r="BO380" s="49">
        <f t="shared" ca="1" si="113"/>
        <v>0</v>
      </c>
      <c r="BP380" s="49">
        <f t="shared" ca="1" si="113"/>
        <v>0</v>
      </c>
      <c r="BQ380" s="49">
        <f t="shared" ca="1" si="113"/>
        <v>0</v>
      </c>
      <c r="BR380" s="49">
        <f t="shared" ca="1" si="113"/>
        <v>0</v>
      </c>
      <c r="BS380" s="49">
        <f t="shared" ca="1" si="113"/>
        <v>0</v>
      </c>
    </row>
    <row r="381" spans="3:71" outlineLevel="1" x14ac:dyDescent="0.2">
      <c r="J381" s="26"/>
      <c r="L381" s="55"/>
      <c r="M381" s="55"/>
      <c r="N381" s="55"/>
      <c r="O381" s="55"/>
      <c r="P381" s="55"/>
      <c r="Q381" s="55"/>
      <c r="R381" s="55"/>
      <c r="S381" s="55"/>
      <c r="T381" s="55"/>
      <c r="U381" s="55"/>
      <c r="V381" s="55"/>
      <c r="W381" s="55"/>
      <c r="X381" s="55"/>
      <c r="Y381" s="55"/>
      <c r="Z381" s="55"/>
      <c r="AA381" s="55"/>
      <c r="AB381" s="55"/>
      <c r="AC381" s="55"/>
      <c r="AD381" s="55"/>
      <c r="AE381" s="55"/>
      <c r="AF381" s="55"/>
      <c r="AG381" s="55"/>
      <c r="AH381" s="55"/>
      <c r="AI381" s="55"/>
      <c r="AJ381" s="55"/>
      <c r="AK381" s="55"/>
      <c r="AL381" s="55"/>
      <c r="AM381" s="55"/>
      <c r="AN381" s="55"/>
      <c r="AO381" s="55"/>
      <c r="AP381" s="55"/>
      <c r="AQ381" s="55"/>
      <c r="AR381" s="55"/>
      <c r="AS381" s="55"/>
      <c r="AT381" s="55"/>
      <c r="AU381" s="55"/>
      <c r="AV381" s="55"/>
      <c r="AW381" s="55"/>
      <c r="AX381" s="55"/>
      <c r="AY381" s="55"/>
      <c r="AZ381" s="55"/>
      <c r="BA381" s="55"/>
      <c r="BB381" s="55"/>
      <c r="BC381" s="55"/>
      <c r="BD381" s="55"/>
      <c r="BE381" s="55"/>
      <c r="BF381" s="55"/>
      <c r="BG381" s="55"/>
      <c r="BH381" s="55"/>
      <c r="BI381" s="55"/>
      <c r="BJ381" s="55"/>
      <c r="BK381" s="55"/>
      <c r="BL381" s="55"/>
      <c r="BM381" s="55"/>
      <c r="BN381" s="55"/>
      <c r="BO381" s="55"/>
      <c r="BP381" s="55"/>
      <c r="BQ381" s="55"/>
      <c r="BR381" s="55"/>
      <c r="BS381" s="55"/>
    </row>
    <row r="382" spans="3:71" outlineLevel="1" x14ac:dyDescent="0.2">
      <c r="C382" s="11" t="str">
        <f>CHOOSE(db_ML_selected,'Liste Traduction'!B380,'Liste Traduction'!C380)</f>
        <v>Remboursement du portage Compagnie nationale - Opex</v>
      </c>
      <c r="J382" s="26"/>
      <c r="L382" s="55"/>
      <c r="M382" s="55"/>
      <c r="N382" s="55"/>
      <c r="O382" s="55"/>
      <c r="P382" s="55"/>
      <c r="Q382" s="55"/>
      <c r="R382" s="55"/>
      <c r="S382" s="55"/>
      <c r="T382" s="55"/>
      <c r="U382" s="55"/>
      <c r="V382" s="55"/>
      <c r="W382" s="55"/>
      <c r="X382" s="55"/>
      <c r="Y382" s="55"/>
      <c r="Z382" s="55"/>
      <c r="AA382" s="55"/>
      <c r="AB382" s="55"/>
      <c r="AC382" s="55"/>
      <c r="AD382" s="55"/>
      <c r="AE382" s="55"/>
      <c r="AF382" s="55"/>
      <c r="AG382" s="55"/>
      <c r="AH382" s="55"/>
      <c r="AI382" s="55"/>
      <c r="AJ382" s="55"/>
      <c r="AK382" s="55"/>
      <c r="AL382" s="55"/>
      <c r="AM382" s="55"/>
      <c r="AN382" s="55"/>
      <c r="AO382" s="55"/>
      <c r="AP382" s="55"/>
      <c r="AQ382" s="55"/>
      <c r="AR382" s="55"/>
      <c r="AS382" s="55"/>
      <c r="AT382" s="55"/>
      <c r="AU382" s="55"/>
      <c r="AV382" s="55"/>
      <c r="AW382" s="55"/>
      <c r="AX382" s="55"/>
      <c r="AY382" s="55"/>
      <c r="AZ382" s="55"/>
      <c r="BA382" s="55"/>
      <c r="BB382" s="55"/>
      <c r="BC382" s="55"/>
      <c r="BD382" s="55"/>
      <c r="BE382" s="55"/>
      <c r="BF382" s="55"/>
      <c r="BG382" s="55"/>
      <c r="BH382" s="55"/>
      <c r="BI382" s="55"/>
      <c r="BJ382" s="55"/>
      <c r="BK382" s="55"/>
      <c r="BL382" s="55"/>
      <c r="BM382" s="55"/>
      <c r="BN382" s="55"/>
      <c r="BO382" s="55"/>
      <c r="BP382" s="55"/>
      <c r="BQ382" s="55"/>
      <c r="BR382" s="55"/>
      <c r="BS382" s="55"/>
    </row>
    <row r="383" spans="3:71" outlineLevel="1" x14ac:dyDescent="0.2">
      <c r="D383" t="str">
        <f>D377</f>
        <v>Coûts portés Solde d'ouverture</v>
      </c>
      <c r="J383" s="26"/>
      <c r="L383" s="49">
        <f>K386</f>
        <v>0</v>
      </c>
      <c r="M383" s="49">
        <f t="shared" ref="M383:BS383" ca="1" si="114">L386</f>
        <v>0</v>
      </c>
      <c r="N383" s="49">
        <f t="shared" ca="1" si="114"/>
        <v>0</v>
      </c>
      <c r="O383" s="49">
        <f t="shared" ca="1" si="114"/>
        <v>0</v>
      </c>
      <c r="P383" s="49">
        <f t="shared" ca="1" si="114"/>
        <v>0</v>
      </c>
      <c r="Q383" s="49">
        <f t="shared" ca="1" si="114"/>
        <v>0</v>
      </c>
      <c r="R383" s="49">
        <f t="shared" ca="1" si="114"/>
        <v>0</v>
      </c>
      <c r="S383" s="49">
        <f t="shared" ca="1" si="114"/>
        <v>0</v>
      </c>
      <c r="T383" s="49">
        <f t="shared" ca="1" si="114"/>
        <v>0</v>
      </c>
      <c r="U383" s="49">
        <f t="shared" ca="1" si="114"/>
        <v>0</v>
      </c>
      <c r="V383" s="49">
        <f t="shared" ca="1" si="114"/>
        <v>0</v>
      </c>
      <c r="W383" s="49">
        <f t="shared" ca="1" si="114"/>
        <v>0</v>
      </c>
      <c r="X383" s="49">
        <f t="shared" ca="1" si="114"/>
        <v>0</v>
      </c>
      <c r="Y383" s="49">
        <f t="shared" ca="1" si="114"/>
        <v>0</v>
      </c>
      <c r="Z383" s="49">
        <f t="shared" ca="1" si="114"/>
        <v>0</v>
      </c>
      <c r="AA383" s="49">
        <f t="shared" ca="1" si="114"/>
        <v>0</v>
      </c>
      <c r="AB383" s="49">
        <f t="shared" ca="1" si="114"/>
        <v>0</v>
      </c>
      <c r="AC383" s="49">
        <f t="shared" ca="1" si="114"/>
        <v>0</v>
      </c>
      <c r="AD383" s="49">
        <f t="shared" ca="1" si="114"/>
        <v>0</v>
      </c>
      <c r="AE383" s="49">
        <f t="shared" ca="1" si="114"/>
        <v>0</v>
      </c>
      <c r="AF383" s="49">
        <f t="shared" ca="1" si="114"/>
        <v>0</v>
      </c>
      <c r="AG383" s="49">
        <f t="shared" ca="1" si="114"/>
        <v>0</v>
      </c>
      <c r="AH383" s="49">
        <f t="shared" ca="1" si="114"/>
        <v>0</v>
      </c>
      <c r="AI383" s="49">
        <f t="shared" ca="1" si="114"/>
        <v>0</v>
      </c>
      <c r="AJ383" s="49">
        <f t="shared" ca="1" si="114"/>
        <v>0</v>
      </c>
      <c r="AK383" s="49">
        <f t="shared" ca="1" si="114"/>
        <v>0</v>
      </c>
      <c r="AL383" s="49">
        <f t="shared" ca="1" si="114"/>
        <v>0</v>
      </c>
      <c r="AM383" s="49">
        <f t="shared" ca="1" si="114"/>
        <v>0</v>
      </c>
      <c r="AN383" s="49">
        <f t="shared" ca="1" si="114"/>
        <v>0</v>
      </c>
      <c r="AO383" s="49">
        <f t="shared" ca="1" si="114"/>
        <v>0</v>
      </c>
      <c r="AP383" s="49">
        <f t="shared" ca="1" si="114"/>
        <v>0</v>
      </c>
      <c r="AQ383" s="49">
        <f t="shared" ca="1" si="114"/>
        <v>0</v>
      </c>
      <c r="AR383" s="49">
        <f t="shared" ca="1" si="114"/>
        <v>0</v>
      </c>
      <c r="AS383" s="49">
        <f t="shared" ca="1" si="114"/>
        <v>0</v>
      </c>
      <c r="AT383" s="49">
        <f t="shared" ca="1" si="114"/>
        <v>0</v>
      </c>
      <c r="AU383" s="49">
        <f t="shared" ca="1" si="114"/>
        <v>0</v>
      </c>
      <c r="AV383" s="49">
        <f t="shared" ca="1" si="114"/>
        <v>0</v>
      </c>
      <c r="AW383" s="49">
        <f t="shared" ca="1" si="114"/>
        <v>0</v>
      </c>
      <c r="AX383" s="49">
        <f t="shared" ca="1" si="114"/>
        <v>0</v>
      </c>
      <c r="AY383" s="49">
        <f t="shared" ca="1" si="114"/>
        <v>0</v>
      </c>
      <c r="AZ383" s="49">
        <f t="shared" ca="1" si="114"/>
        <v>0</v>
      </c>
      <c r="BA383" s="49">
        <f t="shared" ca="1" si="114"/>
        <v>0</v>
      </c>
      <c r="BB383" s="49">
        <f t="shared" ca="1" si="114"/>
        <v>0</v>
      </c>
      <c r="BC383" s="49">
        <f t="shared" ca="1" si="114"/>
        <v>0</v>
      </c>
      <c r="BD383" s="49">
        <f t="shared" ca="1" si="114"/>
        <v>0</v>
      </c>
      <c r="BE383" s="49">
        <f t="shared" ca="1" si="114"/>
        <v>0</v>
      </c>
      <c r="BF383" s="49">
        <f t="shared" ca="1" si="114"/>
        <v>0</v>
      </c>
      <c r="BG383" s="49">
        <f t="shared" ca="1" si="114"/>
        <v>0</v>
      </c>
      <c r="BH383" s="49">
        <f t="shared" ca="1" si="114"/>
        <v>0</v>
      </c>
      <c r="BI383" s="49">
        <f t="shared" ca="1" si="114"/>
        <v>0</v>
      </c>
      <c r="BJ383" s="49">
        <f t="shared" ca="1" si="114"/>
        <v>0</v>
      </c>
      <c r="BK383" s="49">
        <f t="shared" ca="1" si="114"/>
        <v>0</v>
      </c>
      <c r="BL383" s="49">
        <f t="shared" ca="1" si="114"/>
        <v>0</v>
      </c>
      <c r="BM383" s="49">
        <f t="shared" ca="1" si="114"/>
        <v>0</v>
      </c>
      <c r="BN383" s="49">
        <f t="shared" ca="1" si="114"/>
        <v>0</v>
      </c>
      <c r="BO383" s="49">
        <f t="shared" ca="1" si="114"/>
        <v>0</v>
      </c>
      <c r="BP383" s="49">
        <f t="shared" ca="1" si="114"/>
        <v>0</v>
      </c>
      <c r="BQ383" s="49">
        <f t="shared" ca="1" si="114"/>
        <v>0</v>
      </c>
      <c r="BR383" s="49">
        <f t="shared" ca="1" si="114"/>
        <v>0</v>
      </c>
      <c r="BS383" s="49">
        <f t="shared" ca="1" si="114"/>
        <v>0</v>
      </c>
    </row>
    <row r="384" spans="3:71" outlineLevel="1" x14ac:dyDescent="0.2">
      <c r="D384" s="50" t="str">
        <f t="shared" ref="D384:D386" si="115">D378</f>
        <v>Coûts portés pour la période</v>
      </c>
      <c r="I384" s="30">
        <f t="shared" ref="I384:I385" ca="1" si="116">SUM($L384:$BS384)</f>
        <v>0</v>
      </c>
      <c r="J384" s="26" t="s">
        <v>148</v>
      </c>
      <c r="L384" s="49">
        <f ca="1">L367</f>
        <v>0</v>
      </c>
      <c r="M384" s="49">
        <f t="shared" ref="M384:BS384" ca="1" si="117">M367</f>
        <v>0</v>
      </c>
      <c r="N384" s="49">
        <f t="shared" ca="1" si="117"/>
        <v>0</v>
      </c>
      <c r="O384" s="49">
        <f t="shared" ca="1" si="117"/>
        <v>0</v>
      </c>
      <c r="P384" s="49">
        <f t="shared" ca="1" si="117"/>
        <v>0</v>
      </c>
      <c r="Q384" s="49">
        <f t="shared" ca="1" si="117"/>
        <v>0</v>
      </c>
      <c r="R384" s="49">
        <f t="shared" ca="1" si="117"/>
        <v>0</v>
      </c>
      <c r="S384" s="49">
        <f t="shared" ca="1" si="117"/>
        <v>0</v>
      </c>
      <c r="T384" s="49">
        <f t="shared" ca="1" si="117"/>
        <v>0</v>
      </c>
      <c r="U384" s="49">
        <f t="shared" ca="1" si="117"/>
        <v>0</v>
      </c>
      <c r="V384" s="49">
        <f t="shared" ca="1" si="117"/>
        <v>0</v>
      </c>
      <c r="W384" s="49">
        <f t="shared" ca="1" si="117"/>
        <v>0</v>
      </c>
      <c r="X384" s="49">
        <f t="shared" ca="1" si="117"/>
        <v>0</v>
      </c>
      <c r="Y384" s="49">
        <f t="shared" ca="1" si="117"/>
        <v>0</v>
      </c>
      <c r="Z384" s="49">
        <f t="shared" ca="1" si="117"/>
        <v>0</v>
      </c>
      <c r="AA384" s="49">
        <f t="shared" ca="1" si="117"/>
        <v>0</v>
      </c>
      <c r="AB384" s="49">
        <f t="shared" ca="1" si="117"/>
        <v>0</v>
      </c>
      <c r="AC384" s="49">
        <f t="shared" ca="1" si="117"/>
        <v>0</v>
      </c>
      <c r="AD384" s="49">
        <f t="shared" ca="1" si="117"/>
        <v>0</v>
      </c>
      <c r="AE384" s="49">
        <f t="shared" ca="1" si="117"/>
        <v>0</v>
      </c>
      <c r="AF384" s="49">
        <f t="shared" ca="1" si="117"/>
        <v>0</v>
      </c>
      <c r="AG384" s="49">
        <f t="shared" ca="1" si="117"/>
        <v>0</v>
      </c>
      <c r="AH384" s="49">
        <f t="shared" ca="1" si="117"/>
        <v>0</v>
      </c>
      <c r="AI384" s="49">
        <f t="shared" ca="1" si="117"/>
        <v>0</v>
      </c>
      <c r="AJ384" s="49">
        <f t="shared" ca="1" si="117"/>
        <v>0</v>
      </c>
      <c r="AK384" s="49">
        <f t="shared" ca="1" si="117"/>
        <v>0</v>
      </c>
      <c r="AL384" s="49">
        <f t="shared" ca="1" si="117"/>
        <v>0</v>
      </c>
      <c r="AM384" s="49">
        <f t="shared" ca="1" si="117"/>
        <v>0</v>
      </c>
      <c r="AN384" s="49">
        <f t="shared" ca="1" si="117"/>
        <v>0</v>
      </c>
      <c r="AO384" s="49">
        <f t="shared" ca="1" si="117"/>
        <v>0</v>
      </c>
      <c r="AP384" s="49">
        <f t="shared" ca="1" si="117"/>
        <v>0</v>
      </c>
      <c r="AQ384" s="49">
        <f t="shared" ca="1" si="117"/>
        <v>0</v>
      </c>
      <c r="AR384" s="49">
        <f t="shared" ca="1" si="117"/>
        <v>0</v>
      </c>
      <c r="AS384" s="49">
        <f t="shared" ca="1" si="117"/>
        <v>0</v>
      </c>
      <c r="AT384" s="49">
        <f t="shared" ca="1" si="117"/>
        <v>0</v>
      </c>
      <c r="AU384" s="49">
        <f t="shared" ca="1" si="117"/>
        <v>0</v>
      </c>
      <c r="AV384" s="49">
        <f t="shared" ca="1" si="117"/>
        <v>0</v>
      </c>
      <c r="AW384" s="49">
        <f t="shared" ca="1" si="117"/>
        <v>0</v>
      </c>
      <c r="AX384" s="49">
        <f t="shared" ca="1" si="117"/>
        <v>0</v>
      </c>
      <c r="AY384" s="49">
        <f t="shared" ca="1" si="117"/>
        <v>0</v>
      </c>
      <c r="AZ384" s="49">
        <f t="shared" ca="1" si="117"/>
        <v>0</v>
      </c>
      <c r="BA384" s="49">
        <f t="shared" ca="1" si="117"/>
        <v>0</v>
      </c>
      <c r="BB384" s="49">
        <f t="shared" ca="1" si="117"/>
        <v>0</v>
      </c>
      <c r="BC384" s="49">
        <f t="shared" ca="1" si="117"/>
        <v>0</v>
      </c>
      <c r="BD384" s="49">
        <f t="shared" ca="1" si="117"/>
        <v>0</v>
      </c>
      <c r="BE384" s="49">
        <f t="shared" ca="1" si="117"/>
        <v>0</v>
      </c>
      <c r="BF384" s="49">
        <f t="shared" ca="1" si="117"/>
        <v>0</v>
      </c>
      <c r="BG384" s="49">
        <f t="shared" ca="1" si="117"/>
        <v>0</v>
      </c>
      <c r="BH384" s="49">
        <f t="shared" ca="1" si="117"/>
        <v>0</v>
      </c>
      <c r="BI384" s="49">
        <f t="shared" ca="1" si="117"/>
        <v>0</v>
      </c>
      <c r="BJ384" s="49">
        <f t="shared" ca="1" si="117"/>
        <v>0</v>
      </c>
      <c r="BK384" s="49">
        <f t="shared" ca="1" si="117"/>
        <v>0</v>
      </c>
      <c r="BL384" s="49">
        <f t="shared" ca="1" si="117"/>
        <v>0</v>
      </c>
      <c r="BM384" s="49">
        <f t="shared" ca="1" si="117"/>
        <v>0</v>
      </c>
      <c r="BN384" s="49">
        <f t="shared" ca="1" si="117"/>
        <v>0</v>
      </c>
      <c r="BO384" s="49">
        <f t="shared" ca="1" si="117"/>
        <v>0</v>
      </c>
      <c r="BP384" s="49">
        <f t="shared" ca="1" si="117"/>
        <v>0</v>
      </c>
      <c r="BQ384" s="49">
        <f t="shared" ca="1" si="117"/>
        <v>0</v>
      </c>
      <c r="BR384" s="49">
        <f t="shared" ca="1" si="117"/>
        <v>0</v>
      </c>
      <c r="BS384" s="49">
        <f t="shared" ca="1" si="117"/>
        <v>0</v>
      </c>
    </row>
    <row r="385" spans="1:93" outlineLevel="1" x14ac:dyDescent="0.2">
      <c r="D385" s="50" t="str">
        <f t="shared" si="115"/>
        <v>Remboursement du portage</v>
      </c>
      <c r="I385" s="30">
        <f t="shared" ca="1" si="116"/>
        <v>0</v>
      </c>
      <c r="J385" s="26" t="s">
        <v>148</v>
      </c>
      <c r="L385" s="49">
        <f ca="1">-MIN(SUM(L383:L384),SUM(L$339,L$344)*HM_ZA_Nkossa!NOC_rpmt_max_perc)*HM_ZA_Nkossa!NOC_CI_opex_rpmt</f>
        <v>0</v>
      </c>
      <c r="M385" s="49">
        <f ca="1">-MIN(SUM(M383:M384),SUM(M$339,M$344)*HM_ZA_Nkossa!NOC_rpmt_max_perc)*HM_ZA_Nkossa!NOC_CI_opex_rpmt</f>
        <v>0</v>
      </c>
      <c r="N385" s="49">
        <f ca="1">-MIN(SUM(N383:N384),SUM(N$339,N$344)*HM_ZA_Nkossa!NOC_rpmt_max_perc)*HM_ZA_Nkossa!NOC_CI_opex_rpmt</f>
        <v>0</v>
      </c>
      <c r="O385" s="49">
        <f ca="1">-MIN(SUM(O383:O384),SUM(O$339,O$344)*HM_ZA_Nkossa!NOC_rpmt_max_perc)*HM_ZA_Nkossa!NOC_CI_opex_rpmt</f>
        <v>0</v>
      </c>
      <c r="P385" s="49">
        <f ca="1">-MIN(SUM(P383:P384),SUM(P$339,P$344)*HM_ZA_Nkossa!NOC_rpmt_max_perc)*HM_ZA_Nkossa!NOC_CI_opex_rpmt</f>
        <v>0</v>
      </c>
      <c r="Q385" s="49">
        <f ca="1">-MIN(SUM(Q383:Q384),SUM(Q$339,Q$344)*HM_ZA_Nkossa!NOC_rpmt_max_perc)*HM_ZA_Nkossa!NOC_CI_opex_rpmt</f>
        <v>0</v>
      </c>
      <c r="R385" s="49">
        <f ca="1">-MIN(SUM(R383:R384),SUM(R$339,R$344)*HM_ZA_Nkossa!NOC_rpmt_max_perc)*HM_ZA_Nkossa!NOC_CI_opex_rpmt</f>
        <v>0</v>
      </c>
      <c r="S385" s="49">
        <f ca="1">-MIN(SUM(S383:S384),SUM(S$339,S$344)*HM_ZA_Nkossa!NOC_rpmt_max_perc)*HM_ZA_Nkossa!NOC_CI_opex_rpmt</f>
        <v>0</v>
      </c>
      <c r="T385" s="49">
        <f ca="1">-MIN(SUM(T383:T384),SUM(T$339,T$344)*HM_ZA_Nkossa!NOC_rpmt_max_perc)*HM_ZA_Nkossa!NOC_CI_opex_rpmt</f>
        <v>0</v>
      </c>
      <c r="U385" s="49">
        <f ca="1">-MIN(SUM(U383:U384),SUM(U$339,U$344)*HM_ZA_Nkossa!NOC_rpmt_max_perc)*HM_ZA_Nkossa!NOC_CI_opex_rpmt</f>
        <v>0</v>
      </c>
      <c r="V385" s="49">
        <f ca="1">-MIN(SUM(V383:V384),SUM(V$339,V$344)*HM_ZA_Nkossa!NOC_rpmt_max_perc)*HM_ZA_Nkossa!NOC_CI_opex_rpmt</f>
        <v>0</v>
      </c>
      <c r="W385" s="49">
        <f ca="1">-MIN(SUM(W383:W384),SUM(W$339,W$344)*HM_ZA_Nkossa!NOC_rpmt_max_perc)*HM_ZA_Nkossa!NOC_CI_opex_rpmt</f>
        <v>0</v>
      </c>
      <c r="X385" s="49">
        <f ca="1">-MIN(SUM(X383:X384),SUM(X$339,X$344)*HM_ZA_Nkossa!NOC_rpmt_max_perc)*HM_ZA_Nkossa!NOC_CI_opex_rpmt</f>
        <v>0</v>
      </c>
      <c r="Y385" s="49">
        <f ca="1">-MIN(SUM(Y383:Y384),SUM(Y$339,Y$344)*HM_ZA_Nkossa!NOC_rpmt_max_perc)*HM_ZA_Nkossa!NOC_CI_opex_rpmt</f>
        <v>0</v>
      </c>
      <c r="Z385" s="49">
        <f ca="1">-MIN(SUM(Z383:Z384),SUM(Z$339,Z$344)*HM_ZA_Nkossa!NOC_rpmt_max_perc)*HM_ZA_Nkossa!NOC_CI_opex_rpmt</f>
        <v>0</v>
      </c>
      <c r="AA385" s="49">
        <f ca="1">-MIN(SUM(AA383:AA384),SUM(AA$339,AA$344)*HM_ZA_Nkossa!NOC_rpmt_max_perc)*HM_ZA_Nkossa!NOC_CI_opex_rpmt</f>
        <v>0</v>
      </c>
      <c r="AB385" s="49">
        <f ca="1">-MIN(SUM(AB383:AB384),SUM(AB$339,AB$344)*HM_ZA_Nkossa!NOC_rpmt_max_perc)*HM_ZA_Nkossa!NOC_CI_opex_rpmt</f>
        <v>0</v>
      </c>
      <c r="AC385" s="49">
        <f ca="1">-MIN(SUM(AC383:AC384),SUM(AC$339,AC$344)*HM_ZA_Nkossa!NOC_rpmt_max_perc)*HM_ZA_Nkossa!NOC_CI_opex_rpmt</f>
        <v>0</v>
      </c>
      <c r="AD385" s="49">
        <f ca="1">-MIN(SUM(AD383:AD384),SUM(AD$339,AD$344)*HM_ZA_Nkossa!NOC_rpmt_max_perc)*HM_ZA_Nkossa!NOC_CI_opex_rpmt</f>
        <v>0</v>
      </c>
      <c r="AE385" s="49">
        <f ca="1">-MIN(SUM(AE383:AE384),SUM(AE$339,AE$344)*HM_ZA_Nkossa!NOC_rpmt_max_perc)*HM_ZA_Nkossa!NOC_CI_opex_rpmt</f>
        <v>0</v>
      </c>
      <c r="AF385" s="49">
        <f ca="1">-MIN(SUM(AF383:AF384),SUM(AF$339,AF$344)*HM_ZA_Nkossa!NOC_rpmt_max_perc)*HM_ZA_Nkossa!NOC_CI_opex_rpmt</f>
        <v>0</v>
      </c>
      <c r="AG385" s="49">
        <f ca="1">-MIN(SUM(AG383:AG384),SUM(AG$339,AG$344)*HM_ZA_Nkossa!NOC_rpmt_max_perc)*HM_ZA_Nkossa!NOC_CI_opex_rpmt</f>
        <v>0</v>
      </c>
      <c r="AH385" s="49">
        <f ca="1">-MIN(SUM(AH383:AH384),SUM(AH$339,AH$344)*HM_ZA_Nkossa!NOC_rpmt_max_perc)*HM_ZA_Nkossa!NOC_CI_opex_rpmt</f>
        <v>0</v>
      </c>
      <c r="AI385" s="49">
        <f ca="1">-MIN(SUM(AI383:AI384),SUM(AI$339,AI$344)*HM_ZA_Nkossa!NOC_rpmt_max_perc)*HM_ZA_Nkossa!NOC_CI_opex_rpmt</f>
        <v>0</v>
      </c>
      <c r="AJ385" s="49">
        <f ca="1">-MIN(SUM(AJ383:AJ384),SUM(AJ$339,AJ$344)*HM_ZA_Nkossa!NOC_rpmt_max_perc)*HM_ZA_Nkossa!NOC_CI_opex_rpmt</f>
        <v>0</v>
      </c>
      <c r="AK385" s="49">
        <f ca="1">-MIN(SUM(AK383:AK384),SUM(AK$339,AK$344)*HM_ZA_Nkossa!NOC_rpmt_max_perc)*HM_ZA_Nkossa!NOC_CI_opex_rpmt</f>
        <v>0</v>
      </c>
      <c r="AL385" s="49">
        <f ca="1">-MIN(SUM(AL383:AL384),SUM(AL$339,AL$344)*HM_ZA_Nkossa!NOC_rpmt_max_perc)*HM_ZA_Nkossa!NOC_CI_opex_rpmt</f>
        <v>0</v>
      </c>
      <c r="AM385" s="49">
        <f ca="1">-MIN(SUM(AM383:AM384),SUM(AM$339,AM$344)*HM_ZA_Nkossa!NOC_rpmt_max_perc)*HM_ZA_Nkossa!NOC_CI_opex_rpmt</f>
        <v>0</v>
      </c>
      <c r="AN385" s="49">
        <f ca="1">-MIN(SUM(AN383:AN384),SUM(AN$339,AN$344)*HM_ZA_Nkossa!NOC_rpmt_max_perc)*HM_ZA_Nkossa!NOC_CI_opex_rpmt</f>
        <v>0</v>
      </c>
      <c r="AO385" s="49">
        <f ca="1">-MIN(SUM(AO383:AO384),SUM(AO$339,AO$344)*HM_ZA_Nkossa!NOC_rpmt_max_perc)*HM_ZA_Nkossa!NOC_CI_opex_rpmt</f>
        <v>0</v>
      </c>
      <c r="AP385" s="49">
        <f ca="1">-MIN(SUM(AP383:AP384),SUM(AP$339,AP$344)*HM_ZA_Nkossa!NOC_rpmt_max_perc)*HM_ZA_Nkossa!NOC_CI_opex_rpmt</f>
        <v>0</v>
      </c>
      <c r="AQ385" s="49">
        <f ca="1">-MIN(SUM(AQ383:AQ384),SUM(AQ$339,AQ$344)*HM_ZA_Nkossa!NOC_rpmt_max_perc)*HM_ZA_Nkossa!NOC_CI_opex_rpmt</f>
        <v>0</v>
      </c>
      <c r="AR385" s="49">
        <f ca="1">-MIN(SUM(AR383:AR384),SUM(AR$339,AR$344)*HM_ZA_Nkossa!NOC_rpmt_max_perc)*HM_ZA_Nkossa!NOC_CI_opex_rpmt</f>
        <v>0</v>
      </c>
      <c r="AS385" s="49">
        <f ca="1">-MIN(SUM(AS383:AS384),SUM(AS$339,AS$344)*HM_ZA_Nkossa!NOC_rpmt_max_perc)*HM_ZA_Nkossa!NOC_CI_opex_rpmt</f>
        <v>0</v>
      </c>
      <c r="AT385" s="49">
        <f ca="1">-MIN(SUM(AT383:AT384),SUM(AT$339,AT$344)*HM_ZA_Nkossa!NOC_rpmt_max_perc)*HM_ZA_Nkossa!NOC_CI_opex_rpmt</f>
        <v>0</v>
      </c>
      <c r="AU385" s="49">
        <f ca="1">-MIN(SUM(AU383:AU384),SUM(AU$339,AU$344)*HM_ZA_Nkossa!NOC_rpmt_max_perc)*HM_ZA_Nkossa!NOC_CI_opex_rpmt</f>
        <v>0</v>
      </c>
      <c r="AV385" s="49">
        <f ca="1">-MIN(SUM(AV383:AV384),SUM(AV$339,AV$344)*HM_ZA_Nkossa!NOC_rpmt_max_perc)*HM_ZA_Nkossa!NOC_CI_opex_rpmt</f>
        <v>0</v>
      </c>
      <c r="AW385" s="49">
        <f ca="1">-MIN(SUM(AW383:AW384),SUM(AW$339,AW$344)*HM_ZA_Nkossa!NOC_rpmt_max_perc)*HM_ZA_Nkossa!NOC_CI_opex_rpmt</f>
        <v>0</v>
      </c>
      <c r="AX385" s="49">
        <f ca="1">-MIN(SUM(AX383:AX384),SUM(AX$339,AX$344)*HM_ZA_Nkossa!NOC_rpmt_max_perc)*HM_ZA_Nkossa!NOC_CI_opex_rpmt</f>
        <v>0</v>
      </c>
      <c r="AY385" s="49">
        <f ca="1">-MIN(SUM(AY383:AY384),SUM(AY$339,AY$344)*HM_ZA_Nkossa!NOC_rpmt_max_perc)*HM_ZA_Nkossa!NOC_CI_opex_rpmt</f>
        <v>0</v>
      </c>
      <c r="AZ385" s="49">
        <f ca="1">-MIN(SUM(AZ383:AZ384),SUM(AZ$339,AZ$344)*HM_ZA_Nkossa!NOC_rpmt_max_perc)*HM_ZA_Nkossa!NOC_CI_opex_rpmt</f>
        <v>0</v>
      </c>
      <c r="BA385" s="49">
        <f ca="1">-MIN(SUM(BA383:BA384),SUM(BA$339,BA$344)*HM_ZA_Nkossa!NOC_rpmt_max_perc)*HM_ZA_Nkossa!NOC_CI_opex_rpmt</f>
        <v>0</v>
      </c>
      <c r="BB385" s="49">
        <f ca="1">-MIN(SUM(BB383:BB384),SUM(BB$339,BB$344)*HM_ZA_Nkossa!NOC_rpmt_max_perc)*HM_ZA_Nkossa!NOC_CI_opex_rpmt</f>
        <v>0</v>
      </c>
      <c r="BC385" s="49">
        <f ca="1">-MIN(SUM(BC383:BC384),SUM(BC$339,BC$344)*HM_ZA_Nkossa!NOC_rpmt_max_perc)*HM_ZA_Nkossa!NOC_CI_opex_rpmt</f>
        <v>0</v>
      </c>
      <c r="BD385" s="49">
        <f ca="1">-MIN(SUM(BD383:BD384),SUM(BD$339,BD$344)*HM_ZA_Nkossa!NOC_rpmt_max_perc)*HM_ZA_Nkossa!NOC_CI_opex_rpmt</f>
        <v>0</v>
      </c>
      <c r="BE385" s="49">
        <f ca="1">-MIN(SUM(BE383:BE384),SUM(BE$339,BE$344)*HM_ZA_Nkossa!NOC_rpmt_max_perc)*HM_ZA_Nkossa!NOC_CI_opex_rpmt</f>
        <v>0</v>
      </c>
      <c r="BF385" s="49">
        <f ca="1">-MIN(SUM(BF383:BF384),SUM(BF$339,BF$344)*HM_ZA_Nkossa!NOC_rpmt_max_perc)*HM_ZA_Nkossa!NOC_CI_opex_rpmt</f>
        <v>0</v>
      </c>
      <c r="BG385" s="49">
        <f ca="1">-MIN(SUM(BG383:BG384),SUM(BG$339,BG$344)*HM_ZA_Nkossa!NOC_rpmt_max_perc)*HM_ZA_Nkossa!NOC_CI_opex_rpmt</f>
        <v>0</v>
      </c>
      <c r="BH385" s="49">
        <f ca="1">-MIN(SUM(BH383:BH384),SUM(BH$339,BH$344)*HM_ZA_Nkossa!NOC_rpmt_max_perc)*HM_ZA_Nkossa!NOC_CI_opex_rpmt</f>
        <v>0</v>
      </c>
      <c r="BI385" s="49">
        <f ca="1">-MIN(SUM(BI383:BI384),SUM(BI$339,BI$344)*HM_ZA_Nkossa!NOC_rpmt_max_perc)*HM_ZA_Nkossa!NOC_CI_opex_rpmt</f>
        <v>0</v>
      </c>
      <c r="BJ385" s="49">
        <f ca="1">-MIN(SUM(BJ383:BJ384),SUM(BJ$339,BJ$344)*HM_ZA_Nkossa!NOC_rpmt_max_perc)*HM_ZA_Nkossa!NOC_CI_opex_rpmt</f>
        <v>0</v>
      </c>
      <c r="BK385" s="49">
        <f ca="1">-MIN(SUM(BK383:BK384),SUM(BK$339,BK$344)*HM_ZA_Nkossa!NOC_rpmt_max_perc)*HM_ZA_Nkossa!NOC_CI_opex_rpmt</f>
        <v>0</v>
      </c>
      <c r="BL385" s="49">
        <f ca="1">-MIN(SUM(BL383:BL384),SUM(BL$339,BL$344)*HM_ZA_Nkossa!NOC_rpmt_max_perc)*HM_ZA_Nkossa!NOC_CI_opex_rpmt</f>
        <v>0</v>
      </c>
      <c r="BM385" s="49">
        <f ca="1">-MIN(SUM(BM383:BM384),SUM(BM$339,BM$344)*HM_ZA_Nkossa!NOC_rpmt_max_perc)*HM_ZA_Nkossa!NOC_CI_opex_rpmt</f>
        <v>0</v>
      </c>
      <c r="BN385" s="49">
        <f ca="1">-MIN(SUM(BN383:BN384),SUM(BN$339,BN$344)*HM_ZA_Nkossa!NOC_rpmt_max_perc)*HM_ZA_Nkossa!NOC_CI_opex_rpmt</f>
        <v>0</v>
      </c>
      <c r="BO385" s="49">
        <f ca="1">-MIN(SUM(BO383:BO384),SUM(BO$339,BO$344)*HM_ZA_Nkossa!NOC_rpmt_max_perc)*HM_ZA_Nkossa!NOC_CI_opex_rpmt</f>
        <v>0</v>
      </c>
      <c r="BP385" s="49">
        <f ca="1">-MIN(SUM(BP383:BP384),SUM(BP$339,BP$344)*HM_ZA_Nkossa!NOC_rpmt_max_perc)*HM_ZA_Nkossa!NOC_CI_opex_rpmt</f>
        <v>0</v>
      </c>
      <c r="BQ385" s="49">
        <f ca="1">-MIN(SUM(BQ383:BQ384),SUM(BQ$339,BQ$344)*HM_ZA_Nkossa!NOC_rpmt_max_perc)*HM_ZA_Nkossa!NOC_CI_opex_rpmt</f>
        <v>0</v>
      </c>
      <c r="BR385" s="49">
        <f ca="1">-MIN(SUM(BR383:BR384),SUM(BR$339,BR$344)*HM_ZA_Nkossa!NOC_rpmt_max_perc)*HM_ZA_Nkossa!NOC_CI_opex_rpmt</f>
        <v>0</v>
      </c>
      <c r="BS385" s="49">
        <f ca="1">-MIN(SUM(BS383:BS384),SUM(BS$339,BS$344)*HM_ZA_Nkossa!NOC_rpmt_max_perc)*HM_ZA_Nkossa!NOC_CI_opex_rpmt</f>
        <v>0</v>
      </c>
    </row>
    <row r="386" spans="1:93" outlineLevel="1" x14ac:dyDescent="0.2">
      <c r="D386" t="str">
        <f t="shared" si="115"/>
        <v>Coûts de portage Solde de clôture</v>
      </c>
      <c r="J386" s="26"/>
      <c r="L386" s="49">
        <f ca="1">SUM(L383:L385)</f>
        <v>0</v>
      </c>
      <c r="M386" s="49">
        <f t="shared" ref="M386:BS386" ca="1" si="118">SUM(M383:M385)</f>
        <v>0</v>
      </c>
      <c r="N386" s="49">
        <f t="shared" ca="1" si="118"/>
        <v>0</v>
      </c>
      <c r="O386" s="49">
        <f t="shared" ca="1" si="118"/>
        <v>0</v>
      </c>
      <c r="P386" s="49">
        <f t="shared" ca="1" si="118"/>
        <v>0</v>
      </c>
      <c r="Q386" s="49">
        <f t="shared" ca="1" si="118"/>
        <v>0</v>
      </c>
      <c r="R386" s="49">
        <f t="shared" ca="1" si="118"/>
        <v>0</v>
      </c>
      <c r="S386" s="49">
        <f t="shared" ca="1" si="118"/>
        <v>0</v>
      </c>
      <c r="T386" s="49">
        <f t="shared" ca="1" si="118"/>
        <v>0</v>
      </c>
      <c r="U386" s="49">
        <f t="shared" ca="1" si="118"/>
        <v>0</v>
      </c>
      <c r="V386" s="49">
        <f t="shared" ca="1" si="118"/>
        <v>0</v>
      </c>
      <c r="W386" s="49">
        <f t="shared" ca="1" si="118"/>
        <v>0</v>
      </c>
      <c r="X386" s="49">
        <f t="shared" ca="1" si="118"/>
        <v>0</v>
      </c>
      <c r="Y386" s="49">
        <f t="shared" ca="1" si="118"/>
        <v>0</v>
      </c>
      <c r="Z386" s="49">
        <f t="shared" ca="1" si="118"/>
        <v>0</v>
      </c>
      <c r="AA386" s="49">
        <f t="shared" ca="1" si="118"/>
        <v>0</v>
      </c>
      <c r="AB386" s="49">
        <f t="shared" ca="1" si="118"/>
        <v>0</v>
      </c>
      <c r="AC386" s="49">
        <f t="shared" ca="1" si="118"/>
        <v>0</v>
      </c>
      <c r="AD386" s="49">
        <f t="shared" ca="1" si="118"/>
        <v>0</v>
      </c>
      <c r="AE386" s="49">
        <f t="shared" ca="1" si="118"/>
        <v>0</v>
      </c>
      <c r="AF386" s="49">
        <f t="shared" ca="1" si="118"/>
        <v>0</v>
      </c>
      <c r="AG386" s="49">
        <f t="shared" ca="1" si="118"/>
        <v>0</v>
      </c>
      <c r="AH386" s="49">
        <f t="shared" ca="1" si="118"/>
        <v>0</v>
      </c>
      <c r="AI386" s="49">
        <f t="shared" ca="1" si="118"/>
        <v>0</v>
      </c>
      <c r="AJ386" s="49">
        <f t="shared" ca="1" si="118"/>
        <v>0</v>
      </c>
      <c r="AK386" s="49">
        <f t="shared" ca="1" si="118"/>
        <v>0</v>
      </c>
      <c r="AL386" s="49">
        <f t="shared" ca="1" si="118"/>
        <v>0</v>
      </c>
      <c r="AM386" s="49">
        <f t="shared" ca="1" si="118"/>
        <v>0</v>
      </c>
      <c r="AN386" s="49">
        <f t="shared" ca="1" si="118"/>
        <v>0</v>
      </c>
      <c r="AO386" s="49">
        <f t="shared" ca="1" si="118"/>
        <v>0</v>
      </c>
      <c r="AP386" s="49">
        <f t="shared" ca="1" si="118"/>
        <v>0</v>
      </c>
      <c r="AQ386" s="49">
        <f t="shared" ca="1" si="118"/>
        <v>0</v>
      </c>
      <c r="AR386" s="49">
        <f t="shared" ca="1" si="118"/>
        <v>0</v>
      </c>
      <c r="AS386" s="49">
        <f t="shared" ca="1" si="118"/>
        <v>0</v>
      </c>
      <c r="AT386" s="49">
        <f t="shared" ca="1" si="118"/>
        <v>0</v>
      </c>
      <c r="AU386" s="49">
        <f t="shared" ca="1" si="118"/>
        <v>0</v>
      </c>
      <c r="AV386" s="49">
        <f t="shared" ca="1" si="118"/>
        <v>0</v>
      </c>
      <c r="AW386" s="49">
        <f t="shared" ca="1" si="118"/>
        <v>0</v>
      </c>
      <c r="AX386" s="49">
        <f t="shared" ca="1" si="118"/>
        <v>0</v>
      </c>
      <c r="AY386" s="49">
        <f t="shared" ca="1" si="118"/>
        <v>0</v>
      </c>
      <c r="AZ386" s="49">
        <f t="shared" ca="1" si="118"/>
        <v>0</v>
      </c>
      <c r="BA386" s="49">
        <f t="shared" ca="1" si="118"/>
        <v>0</v>
      </c>
      <c r="BB386" s="49">
        <f t="shared" ca="1" si="118"/>
        <v>0</v>
      </c>
      <c r="BC386" s="49">
        <f t="shared" ca="1" si="118"/>
        <v>0</v>
      </c>
      <c r="BD386" s="49">
        <f t="shared" ca="1" si="118"/>
        <v>0</v>
      </c>
      <c r="BE386" s="49">
        <f t="shared" ca="1" si="118"/>
        <v>0</v>
      </c>
      <c r="BF386" s="49">
        <f t="shared" ca="1" si="118"/>
        <v>0</v>
      </c>
      <c r="BG386" s="49">
        <f t="shared" ca="1" si="118"/>
        <v>0</v>
      </c>
      <c r="BH386" s="49">
        <f t="shared" ca="1" si="118"/>
        <v>0</v>
      </c>
      <c r="BI386" s="49">
        <f t="shared" ca="1" si="118"/>
        <v>0</v>
      </c>
      <c r="BJ386" s="49">
        <f t="shared" ca="1" si="118"/>
        <v>0</v>
      </c>
      <c r="BK386" s="49">
        <f t="shared" ca="1" si="118"/>
        <v>0</v>
      </c>
      <c r="BL386" s="49">
        <f t="shared" ca="1" si="118"/>
        <v>0</v>
      </c>
      <c r="BM386" s="49">
        <f t="shared" ca="1" si="118"/>
        <v>0</v>
      </c>
      <c r="BN386" s="49">
        <f t="shared" ca="1" si="118"/>
        <v>0</v>
      </c>
      <c r="BO386" s="49">
        <f t="shared" ca="1" si="118"/>
        <v>0</v>
      </c>
      <c r="BP386" s="49">
        <f t="shared" ca="1" si="118"/>
        <v>0</v>
      </c>
      <c r="BQ386" s="49">
        <f t="shared" ca="1" si="118"/>
        <v>0</v>
      </c>
      <c r="BR386" s="49">
        <f t="shared" ca="1" si="118"/>
        <v>0</v>
      </c>
      <c r="BS386" s="49">
        <f t="shared" ca="1" si="118"/>
        <v>0</v>
      </c>
    </row>
    <row r="387" spans="1:93" outlineLevel="1" x14ac:dyDescent="0.2">
      <c r="J387" s="26"/>
      <c r="L387" s="55"/>
      <c r="M387" s="55"/>
      <c r="N387" s="55"/>
      <c r="O387" s="55"/>
      <c r="P387" s="55"/>
      <c r="Q387" s="55"/>
      <c r="R387" s="55"/>
      <c r="S387" s="55"/>
      <c r="T387" s="55"/>
      <c r="U387" s="55"/>
      <c r="V387" s="55"/>
      <c r="W387" s="55"/>
      <c r="X387" s="55"/>
      <c r="Y387" s="55"/>
      <c r="Z387" s="55"/>
      <c r="AA387" s="55"/>
      <c r="AB387" s="55"/>
      <c r="AC387" s="55"/>
      <c r="AD387" s="55"/>
      <c r="AE387" s="55"/>
      <c r="AF387" s="55"/>
      <c r="AG387" s="55"/>
      <c r="AH387" s="55"/>
      <c r="AI387" s="55"/>
      <c r="AJ387" s="55"/>
      <c r="AK387" s="55"/>
      <c r="AL387" s="55"/>
      <c r="AM387" s="55"/>
      <c r="AN387" s="55"/>
      <c r="AO387" s="55"/>
      <c r="AP387" s="55"/>
      <c r="AQ387" s="55"/>
      <c r="AR387" s="55"/>
      <c r="AS387" s="55"/>
      <c r="AT387" s="55"/>
      <c r="AU387" s="55"/>
      <c r="AV387" s="55"/>
      <c r="AW387" s="55"/>
      <c r="AX387" s="55"/>
      <c r="AY387" s="55"/>
      <c r="AZ387" s="55"/>
      <c r="BA387" s="55"/>
      <c r="BB387" s="55"/>
      <c r="BC387" s="55"/>
      <c r="BD387" s="55"/>
      <c r="BE387" s="55"/>
      <c r="BF387" s="55"/>
      <c r="BG387" s="55"/>
      <c r="BH387" s="55"/>
      <c r="BI387" s="55"/>
      <c r="BJ387" s="55"/>
      <c r="BK387" s="55"/>
      <c r="BL387" s="55"/>
      <c r="BM387" s="55"/>
      <c r="BN387" s="55"/>
      <c r="BO387" s="55"/>
      <c r="BP387" s="55"/>
      <c r="BQ387" s="55"/>
      <c r="BR387" s="55"/>
      <c r="BS387" s="55"/>
    </row>
    <row r="388" spans="1:93" outlineLevel="1" x14ac:dyDescent="0.2">
      <c r="C388" t="str">
        <f>CHOOSE(db_ML_selected,'Liste Traduction'!B381,'Liste Traduction'!C381)</f>
        <v>Total coûts portés compagnie nationale</v>
      </c>
      <c r="I388" s="30">
        <f t="shared" ref="I388:I389" ca="1" si="119">SUM($L388:$BS388)</f>
        <v>122.77815000000001</v>
      </c>
      <c r="J388" s="26" t="s">
        <v>148</v>
      </c>
      <c r="K388" s="7" t="s">
        <v>351</v>
      </c>
      <c r="L388" s="49">
        <f ca="1">L368</f>
        <v>49.756049999999995</v>
      </c>
      <c r="M388" s="49">
        <f t="shared" ref="M388:BS388" ca="1" si="120">M368</f>
        <v>25.643250000000002</v>
      </c>
      <c r="N388" s="49">
        <f t="shared" ca="1" si="120"/>
        <v>16.304849999999998</v>
      </c>
      <c r="O388" s="49">
        <f t="shared" ca="1" si="120"/>
        <v>5.7839999999999998</v>
      </c>
      <c r="P388" s="49">
        <f t="shared" ca="1" si="120"/>
        <v>7.59</v>
      </c>
      <c r="Q388" s="49">
        <f t="shared" ca="1" si="120"/>
        <v>17.7</v>
      </c>
      <c r="R388" s="49">
        <f t="shared" ca="1" si="120"/>
        <v>0</v>
      </c>
      <c r="S388" s="49">
        <f t="shared" ca="1" si="120"/>
        <v>0</v>
      </c>
      <c r="T388" s="49">
        <f t="shared" ca="1" si="120"/>
        <v>0</v>
      </c>
      <c r="U388" s="49">
        <f t="shared" ca="1" si="120"/>
        <v>0</v>
      </c>
      <c r="V388" s="49">
        <f t="shared" ca="1" si="120"/>
        <v>0</v>
      </c>
      <c r="W388" s="49">
        <f t="shared" ca="1" si="120"/>
        <v>0</v>
      </c>
      <c r="X388" s="49">
        <f t="shared" ca="1" si="120"/>
        <v>0</v>
      </c>
      <c r="Y388" s="49">
        <f t="shared" ca="1" si="120"/>
        <v>0</v>
      </c>
      <c r="Z388" s="49">
        <f t="shared" ca="1" si="120"/>
        <v>0</v>
      </c>
      <c r="AA388" s="49">
        <f t="shared" ca="1" si="120"/>
        <v>0</v>
      </c>
      <c r="AB388" s="49">
        <f t="shared" ca="1" si="120"/>
        <v>0</v>
      </c>
      <c r="AC388" s="49">
        <f t="shared" ca="1" si="120"/>
        <v>0</v>
      </c>
      <c r="AD388" s="49">
        <f t="shared" ca="1" si="120"/>
        <v>0</v>
      </c>
      <c r="AE388" s="49">
        <f t="shared" ca="1" si="120"/>
        <v>0</v>
      </c>
      <c r="AF388" s="49">
        <f t="shared" ca="1" si="120"/>
        <v>0</v>
      </c>
      <c r="AG388" s="49">
        <f t="shared" ca="1" si="120"/>
        <v>0</v>
      </c>
      <c r="AH388" s="49">
        <f t="shared" ca="1" si="120"/>
        <v>0</v>
      </c>
      <c r="AI388" s="49">
        <f t="shared" ca="1" si="120"/>
        <v>0</v>
      </c>
      <c r="AJ388" s="49">
        <f t="shared" ca="1" si="120"/>
        <v>0</v>
      </c>
      <c r="AK388" s="49">
        <f t="shared" ca="1" si="120"/>
        <v>0</v>
      </c>
      <c r="AL388" s="49">
        <f t="shared" ca="1" si="120"/>
        <v>0</v>
      </c>
      <c r="AM388" s="49">
        <f t="shared" ca="1" si="120"/>
        <v>0</v>
      </c>
      <c r="AN388" s="49">
        <f t="shared" ca="1" si="120"/>
        <v>0</v>
      </c>
      <c r="AO388" s="49">
        <f t="shared" ca="1" si="120"/>
        <v>0</v>
      </c>
      <c r="AP388" s="49">
        <f t="shared" ca="1" si="120"/>
        <v>0</v>
      </c>
      <c r="AQ388" s="49">
        <f t="shared" ca="1" si="120"/>
        <v>0</v>
      </c>
      <c r="AR388" s="49">
        <f t="shared" ca="1" si="120"/>
        <v>0</v>
      </c>
      <c r="AS388" s="49">
        <f t="shared" ca="1" si="120"/>
        <v>0</v>
      </c>
      <c r="AT388" s="49">
        <f t="shared" ca="1" si="120"/>
        <v>0</v>
      </c>
      <c r="AU388" s="49">
        <f t="shared" ca="1" si="120"/>
        <v>0</v>
      </c>
      <c r="AV388" s="49">
        <f t="shared" ca="1" si="120"/>
        <v>0</v>
      </c>
      <c r="AW388" s="49">
        <f t="shared" ca="1" si="120"/>
        <v>0</v>
      </c>
      <c r="AX388" s="49">
        <f t="shared" ca="1" si="120"/>
        <v>0</v>
      </c>
      <c r="AY388" s="49">
        <f t="shared" ca="1" si="120"/>
        <v>0</v>
      </c>
      <c r="AZ388" s="49">
        <f t="shared" ca="1" si="120"/>
        <v>0</v>
      </c>
      <c r="BA388" s="49">
        <f t="shared" ca="1" si="120"/>
        <v>0</v>
      </c>
      <c r="BB388" s="49">
        <f t="shared" ca="1" si="120"/>
        <v>0</v>
      </c>
      <c r="BC388" s="49">
        <f t="shared" ca="1" si="120"/>
        <v>0</v>
      </c>
      <c r="BD388" s="49">
        <f t="shared" ca="1" si="120"/>
        <v>0</v>
      </c>
      <c r="BE388" s="49">
        <f t="shared" ca="1" si="120"/>
        <v>0</v>
      </c>
      <c r="BF388" s="49">
        <f t="shared" ca="1" si="120"/>
        <v>0</v>
      </c>
      <c r="BG388" s="49">
        <f t="shared" ca="1" si="120"/>
        <v>0</v>
      </c>
      <c r="BH388" s="49">
        <f t="shared" ca="1" si="120"/>
        <v>0</v>
      </c>
      <c r="BI388" s="49">
        <f t="shared" ca="1" si="120"/>
        <v>0</v>
      </c>
      <c r="BJ388" s="49">
        <f t="shared" ca="1" si="120"/>
        <v>0</v>
      </c>
      <c r="BK388" s="49">
        <f t="shared" ca="1" si="120"/>
        <v>0</v>
      </c>
      <c r="BL388" s="49">
        <f t="shared" ca="1" si="120"/>
        <v>0</v>
      </c>
      <c r="BM388" s="49">
        <f t="shared" ca="1" si="120"/>
        <v>0</v>
      </c>
      <c r="BN388" s="49">
        <f t="shared" ca="1" si="120"/>
        <v>0</v>
      </c>
      <c r="BO388" s="49">
        <f t="shared" ca="1" si="120"/>
        <v>0</v>
      </c>
      <c r="BP388" s="49">
        <f t="shared" ca="1" si="120"/>
        <v>0</v>
      </c>
      <c r="BQ388" s="49">
        <f t="shared" ca="1" si="120"/>
        <v>0</v>
      </c>
      <c r="BR388" s="49">
        <f t="shared" ca="1" si="120"/>
        <v>0</v>
      </c>
      <c r="BS388" s="49">
        <f t="shared" ca="1" si="120"/>
        <v>0</v>
      </c>
    </row>
    <row r="389" spans="1:93" outlineLevel="1" x14ac:dyDescent="0.2">
      <c r="C389" t="str">
        <f>CHOOSE(db_ML_selected,'Liste Traduction'!B382,'Liste Traduction'!C382)</f>
        <v>Total Remboursement du portage</v>
      </c>
      <c r="I389" s="30">
        <f t="shared" ca="1" si="119"/>
        <v>-122.77815000000001</v>
      </c>
      <c r="J389" s="26" t="s">
        <v>148</v>
      </c>
      <c r="K389" s="7" t="s">
        <v>352</v>
      </c>
      <c r="L389" s="49">
        <f ca="1">SUM(L373,L379,L385)</f>
        <v>-32.663760315896248</v>
      </c>
      <c r="M389" s="49">
        <f t="shared" ref="M389:BS389" ca="1" si="121">SUM(M373,M379,M385)</f>
        <v>-37.677300881936631</v>
      </c>
      <c r="N389" s="49">
        <f t="shared" ca="1" si="121"/>
        <v>-21.363088802167116</v>
      </c>
      <c r="O389" s="49">
        <f t="shared" ca="1" si="121"/>
        <v>-5.7839999999999998</v>
      </c>
      <c r="P389" s="49">
        <f t="shared" ca="1" si="121"/>
        <v>-7.59</v>
      </c>
      <c r="Q389" s="49">
        <f t="shared" ca="1" si="121"/>
        <v>-17.7</v>
      </c>
      <c r="R389" s="49">
        <f t="shared" ca="1" si="121"/>
        <v>0</v>
      </c>
      <c r="S389" s="49">
        <f t="shared" ca="1" si="121"/>
        <v>0</v>
      </c>
      <c r="T389" s="49">
        <f t="shared" ca="1" si="121"/>
        <v>0</v>
      </c>
      <c r="U389" s="49">
        <f t="shared" ca="1" si="121"/>
        <v>0</v>
      </c>
      <c r="V389" s="49">
        <f t="shared" ca="1" si="121"/>
        <v>0</v>
      </c>
      <c r="W389" s="49">
        <f t="shared" ca="1" si="121"/>
        <v>0</v>
      </c>
      <c r="X389" s="49">
        <f t="shared" ca="1" si="121"/>
        <v>0</v>
      </c>
      <c r="Y389" s="49">
        <f t="shared" ca="1" si="121"/>
        <v>0</v>
      </c>
      <c r="Z389" s="49">
        <f t="shared" ca="1" si="121"/>
        <v>0</v>
      </c>
      <c r="AA389" s="49">
        <f t="shared" ca="1" si="121"/>
        <v>0</v>
      </c>
      <c r="AB389" s="49">
        <f t="shared" ca="1" si="121"/>
        <v>0</v>
      </c>
      <c r="AC389" s="49">
        <f t="shared" ca="1" si="121"/>
        <v>0</v>
      </c>
      <c r="AD389" s="49">
        <f t="shared" ca="1" si="121"/>
        <v>0</v>
      </c>
      <c r="AE389" s="49">
        <f t="shared" ca="1" si="121"/>
        <v>0</v>
      </c>
      <c r="AF389" s="49">
        <f t="shared" ca="1" si="121"/>
        <v>0</v>
      </c>
      <c r="AG389" s="49">
        <f t="shared" ca="1" si="121"/>
        <v>0</v>
      </c>
      <c r="AH389" s="49">
        <f t="shared" ca="1" si="121"/>
        <v>0</v>
      </c>
      <c r="AI389" s="49">
        <f t="shared" ca="1" si="121"/>
        <v>0</v>
      </c>
      <c r="AJ389" s="49">
        <f t="shared" ca="1" si="121"/>
        <v>0</v>
      </c>
      <c r="AK389" s="49">
        <f t="shared" ca="1" si="121"/>
        <v>0</v>
      </c>
      <c r="AL389" s="49">
        <f t="shared" ca="1" si="121"/>
        <v>0</v>
      </c>
      <c r="AM389" s="49">
        <f t="shared" ca="1" si="121"/>
        <v>0</v>
      </c>
      <c r="AN389" s="49">
        <f t="shared" ca="1" si="121"/>
        <v>0</v>
      </c>
      <c r="AO389" s="49">
        <f t="shared" ca="1" si="121"/>
        <v>0</v>
      </c>
      <c r="AP389" s="49">
        <f t="shared" ca="1" si="121"/>
        <v>0</v>
      </c>
      <c r="AQ389" s="49">
        <f t="shared" ca="1" si="121"/>
        <v>0</v>
      </c>
      <c r="AR389" s="49">
        <f t="shared" ca="1" si="121"/>
        <v>0</v>
      </c>
      <c r="AS389" s="49">
        <f t="shared" ca="1" si="121"/>
        <v>0</v>
      </c>
      <c r="AT389" s="49">
        <f t="shared" ca="1" si="121"/>
        <v>0</v>
      </c>
      <c r="AU389" s="49">
        <f t="shared" ca="1" si="121"/>
        <v>0</v>
      </c>
      <c r="AV389" s="49">
        <f t="shared" ca="1" si="121"/>
        <v>0</v>
      </c>
      <c r="AW389" s="49">
        <f t="shared" ca="1" si="121"/>
        <v>0</v>
      </c>
      <c r="AX389" s="49">
        <f t="shared" ca="1" si="121"/>
        <v>0</v>
      </c>
      <c r="AY389" s="49">
        <f t="shared" ca="1" si="121"/>
        <v>0</v>
      </c>
      <c r="AZ389" s="49">
        <f t="shared" ca="1" si="121"/>
        <v>0</v>
      </c>
      <c r="BA389" s="49">
        <f t="shared" ca="1" si="121"/>
        <v>0</v>
      </c>
      <c r="BB389" s="49">
        <f t="shared" ca="1" si="121"/>
        <v>0</v>
      </c>
      <c r="BC389" s="49">
        <f t="shared" ca="1" si="121"/>
        <v>0</v>
      </c>
      <c r="BD389" s="49">
        <f t="shared" ca="1" si="121"/>
        <v>0</v>
      </c>
      <c r="BE389" s="49">
        <f t="shared" ca="1" si="121"/>
        <v>0</v>
      </c>
      <c r="BF389" s="49">
        <f t="shared" ca="1" si="121"/>
        <v>0</v>
      </c>
      <c r="BG389" s="49">
        <f t="shared" ca="1" si="121"/>
        <v>0</v>
      </c>
      <c r="BH389" s="49">
        <f t="shared" ca="1" si="121"/>
        <v>0</v>
      </c>
      <c r="BI389" s="49">
        <f t="shared" ca="1" si="121"/>
        <v>0</v>
      </c>
      <c r="BJ389" s="49">
        <f t="shared" ca="1" si="121"/>
        <v>0</v>
      </c>
      <c r="BK389" s="49">
        <f t="shared" ca="1" si="121"/>
        <v>0</v>
      </c>
      <c r="BL389" s="49">
        <f t="shared" ca="1" si="121"/>
        <v>0</v>
      </c>
      <c r="BM389" s="49">
        <f t="shared" ca="1" si="121"/>
        <v>0</v>
      </c>
      <c r="BN389" s="49">
        <f t="shared" ca="1" si="121"/>
        <v>0</v>
      </c>
      <c r="BO389" s="49">
        <f t="shared" ca="1" si="121"/>
        <v>0</v>
      </c>
      <c r="BP389" s="49">
        <f t="shared" ca="1" si="121"/>
        <v>0</v>
      </c>
      <c r="BQ389" s="49">
        <f t="shared" ca="1" si="121"/>
        <v>0</v>
      </c>
      <c r="BR389" s="49">
        <f t="shared" ca="1" si="121"/>
        <v>0</v>
      </c>
      <c r="BS389" s="49">
        <f t="shared" ca="1" si="121"/>
        <v>0</v>
      </c>
    </row>
    <row r="390" spans="1:93" outlineLevel="1" x14ac:dyDescent="0.2">
      <c r="J390" s="26"/>
      <c r="L390" s="55"/>
      <c r="M390" s="55"/>
      <c r="N390" s="55"/>
      <c r="O390" s="55"/>
      <c r="P390" s="55"/>
      <c r="Q390" s="55"/>
      <c r="R390" s="55"/>
      <c r="S390" s="55"/>
      <c r="T390" s="55"/>
      <c r="U390" s="55"/>
      <c r="V390" s="55"/>
      <c r="W390" s="55"/>
      <c r="X390" s="55"/>
      <c r="Y390" s="55"/>
      <c r="Z390" s="55"/>
      <c r="AA390" s="55"/>
      <c r="AB390" s="55"/>
      <c r="AC390" s="55"/>
      <c r="AD390" s="55"/>
      <c r="AE390" s="55"/>
      <c r="AF390" s="55"/>
      <c r="AG390" s="55"/>
      <c r="AH390" s="55"/>
      <c r="AI390" s="55"/>
      <c r="AJ390" s="55"/>
      <c r="AK390" s="55"/>
      <c r="AL390" s="55"/>
      <c r="AM390" s="55"/>
      <c r="AN390" s="55"/>
      <c r="AO390" s="55"/>
      <c r="AP390" s="55"/>
      <c r="AQ390" s="55"/>
      <c r="AR390" s="55"/>
      <c r="AS390" s="55"/>
      <c r="AT390" s="55"/>
      <c r="AU390" s="55"/>
      <c r="AV390" s="55"/>
      <c r="AW390" s="55"/>
      <c r="AX390" s="55"/>
      <c r="AY390" s="55"/>
      <c r="AZ390" s="55"/>
      <c r="BA390" s="55"/>
      <c r="BB390" s="55"/>
      <c r="BC390" s="55"/>
      <c r="BD390" s="55"/>
      <c r="BE390" s="55"/>
      <c r="BF390" s="55"/>
      <c r="BG390" s="55"/>
      <c r="BH390" s="55"/>
      <c r="BI390" s="55"/>
      <c r="BJ390" s="55"/>
      <c r="BK390" s="55"/>
      <c r="BL390" s="55"/>
      <c r="BM390" s="55"/>
      <c r="BN390" s="55"/>
      <c r="BO390" s="55"/>
      <c r="BP390" s="55"/>
      <c r="BQ390" s="55"/>
      <c r="BR390" s="55"/>
      <c r="BS390" s="55"/>
    </row>
    <row r="391" spans="1:93" outlineLevel="1" x14ac:dyDescent="0.2">
      <c r="J391" s="26"/>
      <c r="L391" s="55"/>
      <c r="M391" s="55"/>
      <c r="N391" s="55"/>
      <c r="O391" s="55"/>
      <c r="P391" s="55"/>
      <c r="Q391" s="55"/>
      <c r="R391" s="55"/>
      <c r="S391" s="55"/>
      <c r="T391" s="55"/>
      <c r="U391" s="55"/>
      <c r="V391" s="55"/>
      <c r="W391" s="55"/>
      <c r="X391" s="55"/>
      <c r="Y391" s="55"/>
      <c r="Z391" s="55"/>
      <c r="AA391" s="55"/>
      <c r="AB391" s="55"/>
      <c r="AC391" s="55"/>
      <c r="AD391" s="55"/>
      <c r="AE391" s="55"/>
      <c r="AF391" s="55"/>
      <c r="AG391" s="55"/>
      <c r="AH391" s="55"/>
      <c r="AI391" s="55"/>
      <c r="AJ391" s="55"/>
      <c r="AK391" s="55"/>
      <c r="AL391" s="55"/>
      <c r="AM391" s="55"/>
      <c r="AN391" s="55"/>
      <c r="AO391" s="55"/>
      <c r="AP391" s="55"/>
      <c r="AQ391" s="55"/>
      <c r="AR391" s="55"/>
      <c r="AS391" s="55"/>
      <c r="AT391" s="55"/>
      <c r="AU391" s="55"/>
      <c r="AV391" s="55"/>
      <c r="AW391" s="55"/>
      <c r="AX391" s="55"/>
      <c r="AY391" s="55"/>
      <c r="AZ391" s="55"/>
      <c r="BA391" s="55"/>
      <c r="BB391" s="55"/>
      <c r="BC391" s="55"/>
      <c r="BD391" s="55"/>
      <c r="BE391" s="55"/>
      <c r="BF391" s="55"/>
      <c r="BG391" s="55"/>
      <c r="BH391" s="55"/>
      <c r="BI391" s="55"/>
      <c r="BJ391" s="55"/>
      <c r="BK391" s="55"/>
      <c r="BL391" s="55"/>
      <c r="BM391" s="55"/>
      <c r="BN391" s="55"/>
      <c r="BO391" s="55"/>
      <c r="BP391" s="55"/>
      <c r="BQ391" s="55"/>
      <c r="BR391" s="55"/>
      <c r="BS391" s="55"/>
    </row>
    <row r="392" spans="1:93" outlineLevel="1" x14ac:dyDescent="0.2">
      <c r="J392" s="26"/>
      <c r="L392" s="55"/>
      <c r="M392" s="55"/>
      <c r="N392" s="55"/>
      <c r="O392" s="55"/>
      <c r="P392" s="55"/>
      <c r="Q392" s="55"/>
      <c r="R392" s="55"/>
      <c r="S392" s="55"/>
      <c r="T392" s="55"/>
      <c r="U392" s="55"/>
      <c r="V392" s="55"/>
      <c r="W392" s="55"/>
      <c r="X392" s="55"/>
      <c r="Y392" s="55"/>
      <c r="Z392" s="55"/>
      <c r="AA392" s="55"/>
      <c r="AB392" s="55"/>
      <c r="AC392" s="55"/>
      <c r="AD392" s="55"/>
      <c r="AE392" s="55"/>
      <c r="AF392" s="55"/>
      <c r="AG392" s="55"/>
      <c r="AH392" s="55"/>
      <c r="AI392" s="55"/>
      <c r="AJ392" s="55"/>
      <c r="AK392" s="55"/>
      <c r="AL392" s="55"/>
      <c r="AM392" s="55"/>
      <c r="AN392" s="55"/>
      <c r="AO392" s="55"/>
      <c r="AP392" s="55"/>
      <c r="AQ392" s="55"/>
      <c r="AR392" s="55"/>
      <c r="AS392" s="55"/>
      <c r="AT392" s="55"/>
      <c r="AU392" s="55"/>
      <c r="AV392" s="55"/>
      <c r="AW392" s="55"/>
      <c r="AX392" s="55"/>
      <c r="AY392" s="55"/>
      <c r="AZ392" s="55"/>
      <c r="BA392" s="55"/>
      <c r="BB392" s="55"/>
      <c r="BC392" s="55"/>
      <c r="BD392" s="55"/>
      <c r="BE392" s="55"/>
      <c r="BF392" s="55"/>
      <c r="BG392" s="55"/>
      <c r="BH392" s="55"/>
      <c r="BI392" s="55"/>
      <c r="BJ392" s="55"/>
      <c r="BK392" s="55"/>
      <c r="BL392" s="55"/>
      <c r="BM392" s="55"/>
      <c r="BN392" s="55"/>
      <c r="BO392" s="55"/>
      <c r="BP392" s="55"/>
      <c r="BQ392" s="55"/>
      <c r="BR392" s="55"/>
      <c r="BS392" s="55"/>
    </row>
    <row r="393" spans="1:93" x14ac:dyDescent="0.2">
      <c r="J393" s="26"/>
      <c r="L393" s="55"/>
      <c r="M393" s="55"/>
      <c r="N393" s="55"/>
      <c r="O393" s="55"/>
      <c r="P393" s="55"/>
      <c r="Q393" s="55"/>
      <c r="R393" s="55"/>
      <c r="S393" s="55"/>
      <c r="T393" s="55"/>
      <c r="U393" s="55"/>
      <c r="V393" s="55"/>
      <c r="W393" s="55"/>
      <c r="X393" s="55"/>
      <c r="Y393" s="55"/>
      <c r="Z393" s="55"/>
      <c r="AA393" s="55"/>
      <c r="AB393" s="55"/>
      <c r="AC393" s="55"/>
      <c r="AD393" s="55"/>
      <c r="AE393" s="55"/>
      <c r="AF393" s="55"/>
      <c r="AG393" s="55"/>
      <c r="AH393" s="55"/>
      <c r="AI393" s="55"/>
      <c r="AJ393" s="55"/>
      <c r="AK393" s="55"/>
      <c r="AL393" s="55"/>
      <c r="AM393" s="55"/>
      <c r="AN393" s="55"/>
      <c r="AO393" s="55"/>
      <c r="AP393" s="55"/>
      <c r="AQ393" s="55"/>
      <c r="AR393" s="55"/>
      <c r="AS393" s="55"/>
      <c r="AT393" s="55"/>
      <c r="AU393" s="55"/>
      <c r="AV393" s="55"/>
      <c r="AW393" s="55"/>
      <c r="AX393" s="55"/>
      <c r="AY393" s="55"/>
      <c r="AZ393" s="55"/>
      <c r="BA393" s="55"/>
      <c r="BB393" s="55"/>
      <c r="BC393" s="55"/>
      <c r="BD393" s="55"/>
      <c r="BE393" s="55"/>
      <c r="BF393" s="55"/>
      <c r="BG393" s="55"/>
      <c r="BH393" s="55"/>
      <c r="BI393" s="55"/>
      <c r="BJ393" s="55"/>
      <c r="BK393" s="55"/>
      <c r="BL393" s="55"/>
      <c r="BM393" s="55"/>
      <c r="BN393" s="55"/>
      <c r="BO393" s="55"/>
      <c r="BP393" s="55"/>
      <c r="BQ393" s="55"/>
      <c r="BR393" s="55"/>
      <c r="BS393" s="55"/>
    </row>
    <row r="394" spans="1:93" ht="16" thickBot="1" x14ac:dyDescent="0.25">
      <c r="J394" s="26"/>
      <c r="L394" s="55"/>
      <c r="M394" s="55"/>
      <c r="N394" s="55"/>
      <c r="O394" s="55"/>
      <c r="P394" s="55"/>
      <c r="Q394" s="55"/>
      <c r="R394" s="55"/>
      <c r="S394" s="55"/>
      <c r="T394" s="55"/>
      <c r="U394" s="55"/>
      <c r="V394" s="55"/>
      <c r="W394" s="55"/>
      <c r="X394" s="55"/>
      <c r="Y394" s="55"/>
      <c r="Z394" s="55"/>
      <c r="AA394" s="55"/>
      <c r="AB394" s="55"/>
      <c r="AC394" s="55"/>
      <c r="AD394" s="55"/>
      <c r="AE394" s="55"/>
      <c r="AF394" s="55"/>
      <c r="AG394" s="55"/>
      <c r="AH394" s="55"/>
      <c r="AI394" s="55"/>
      <c r="AJ394" s="55"/>
      <c r="AK394" s="55"/>
      <c r="AL394" s="55"/>
      <c r="AM394" s="55"/>
      <c r="AN394" s="55"/>
      <c r="AO394" s="55"/>
      <c r="AP394" s="55"/>
      <c r="AQ394" s="55"/>
      <c r="AR394" s="55"/>
      <c r="AS394" s="55"/>
      <c r="AT394" s="55"/>
      <c r="AU394" s="55"/>
      <c r="AV394" s="55"/>
      <c r="AW394" s="55"/>
      <c r="AX394" s="55"/>
      <c r="AY394" s="55"/>
      <c r="AZ394" s="55"/>
      <c r="BA394" s="55"/>
      <c r="BB394" s="55"/>
      <c r="BC394" s="55"/>
      <c r="BD394" s="55"/>
      <c r="BE394" s="55"/>
      <c r="BF394" s="55"/>
      <c r="BG394" s="55"/>
      <c r="BH394" s="55"/>
      <c r="BI394" s="55"/>
      <c r="BJ394" s="55"/>
      <c r="BK394" s="55"/>
      <c r="BL394" s="55"/>
      <c r="BM394" s="55"/>
      <c r="BN394" s="55"/>
      <c r="BO394" s="55"/>
      <c r="BP394" s="55"/>
      <c r="BQ394" s="55"/>
      <c r="BR394" s="55"/>
      <c r="BS394" s="55"/>
    </row>
    <row r="395" spans="1:93" ht="22" thickBot="1" x14ac:dyDescent="0.25">
      <c r="A395" s="8"/>
      <c r="B395" s="221" t="str">
        <f>CHOOSE(db_ML_selected,'Liste Traduction'!B383,'Liste Traduction'!C383)</f>
        <v>Flux de trésorerie</v>
      </c>
      <c r="C395" s="222"/>
      <c r="D395" s="222"/>
      <c r="E395" s="223"/>
      <c r="F395" s="9"/>
      <c r="G395" s="9"/>
      <c r="H395" s="9"/>
      <c r="I395" s="9"/>
      <c r="J395" s="48"/>
      <c r="K395" s="10"/>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c r="BY395" s="9"/>
      <c r="BZ395" s="9"/>
      <c r="CA395" s="9"/>
      <c r="CB395" s="9"/>
      <c r="CC395" s="9"/>
      <c r="CD395" s="9"/>
      <c r="CE395" s="9"/>
      <c r="CF395" s="9"/>
      <c r="CG395" s="9"/>
      <c r="CH395" s="9"/>
      <c r="CI395" s="9"/>
      <c r="CJ395" s="9"/>
      <c r="CK395" s="9"/>
      <c r="CL395" s="9"/>
      <c r="CM395" s="9"/>
      <c r="CN395" s="9"/>
      <c r="CO395" s="9"/>
    </row>
    <row r="396" spans="1:93" outlineLevel="1" x14ac:dyDescent="0.2">
      <c r="J396" s="26"/>
      <c r="L396" s="55"/>
      <c r="M396" s="55"/>
      <c r="N396" s="55"/>
      <c r="O396" s="55"/>
      <c r="P396" s="55"/>
      <c r="Q396" s="55"/>
      <c r="R396" s="55"/>
      <c r="S396" s="55"/>
      <c r="T396" s="55"/>
      <c r="U396" s="55"/>
      <c r="V396" s="55"/>
      <c r="W396" s="55"/>
      <c r="X396" s="55"/>
      <c r="Y396" s="55"/>
      <c r="Z396" s="55"/>
      <c r="AA396" s="55"/>
      <c r="AB396" s="55"/>
      <c r="AC396" s="55"/>
      <c r="AD396" s="55"/>
      <c r="AE396" s="55"/>
      <c r="AF396" s="55"/>
      <c r="AG396" s="55"/>
      <c r="AH396" s="55"/>
      <c r="AI396" s="55"/>
      <c r="AJ396" s="55"/>
      <c r="AK396" s="55"/>
      <c r="AL396" s="55"/>
      <c r="AM396" s="55"/>
      <c r="AN396" s="55"/>
      <c r="AO396" s="55"/>
      <c r="AP396" s="55"/>
      <c r="AQ396" s="55"/>
      <c r="AR396" s="55"/>
      <c r="AS396" s="55"/>
      <c r="AT396" s="55"/>
      <c r="AU396" s="55"/>
      <c r="AV396" s="55"/>
      <c r="AW396" s="55"/>
      <c r="AX396" s="55"/>
      <c r="AY396" s="55"/>
      <c r="AZ396" s="55"/>
      <c r="BA396" s="55"/>
      <c r="BB396" s="55"/>
      <c r="BC396" s="55"/>
      <c r="BD396" s="55"/>
      <c r="BE396" s="55"/>
      <c r="BF396" s="55"/>
      <c r="BG396" s="55"/>
      <c r="BH396" s="55"/>
      <c r="BI396" s="55"/>
      <c r="BJ396" s="55"/>
      <c r="BK396" s="55"/>
      <c r="BL396" s="55"/>
      <c r="BM396" s="55"/>
      <c r="BN396" s="55"/>
      <c r="BO396" s="55"/>
      <c r="BP396" s="55"/>
      <c r="BQ396" s="55"/>
      <c r="BR396" s="55"/>
      <c r="BS396" s="55"/>
    </row>
    <row r="397" spans="1:93" outlineLevel="1" x14ac:dyDescent="0.2">
      <c r="A397" s="45"/>
      <c r="B397" s="38" t="str">
        <f>CHOOSE(db_ML_selected,'Liste Traduction'!B384,'Liste Traduction'!C384)</f>
        <v>Calculs de la période d'actualisation</v>
      </c>
      <c r="C397" s="45"/>
      <c r="D397" s="45"/>
      <c r="E397" s="45"/>
      <c r="J397" s="26"/>
      <c r="L397" s="55"/>
      <c r="M397" s="55"/>
      <c r="N397" s="55"/>
      <c r="O397" s="55"/>
      <c r="P397" s="55"/>
      <c r="Q397" s="55"/>
      <c r="R397" s="55"/>
      <c r="S397" s="55"/>
      <c r="T397" s="55"/>
      <c r="U397" s="55"/>
      <c r="V397" s="55"/>
      <c r="W397" s="55"/>
      <c r="X397" s="55"/>
      <c r="Y397" s="55"/>
      <c r="Z397" s="55"/>
      <c r="AA397" s="55"/>
      <c r="AB397" s="55"/>
      <c r="AC397" s="55"/>
      <c r="AD397" s="55"/>
      <c r="AE397" s="55"/>
      <c r="AF397" s="55"/>
      <c r="AG397" s="55"/>
      <c r="AH397" s="55"/>
      <c r="AI397" s="55"/>
      <c r="AJ397" s="55"/>
      <c r="AK397" s="55"/>
      <c r="AL397" s="55"/>
      <c r="AM397" s="55"/>
      <c r="AN397" s="55"/>
      <c r="AO397" s="55"/>
      <c r="AP397" s="55"/>
      <c r="AQ397" s="55"/>
      <c r="AR397" s="55"/>
      <c r="AS397" s="55"/>
      <c r="AT397" s="55"/>
      <c r="AU397" s="55"/>
      <c r="AV397" s="55"/>
      <c r="AW397" s="55"/>
      <c r="AX397" s="55"/>
      <c r="AY397" s="55"/>
      <c r="AZ397" s="55"/>
      <c r="BA397" s="55"/>
      <c r="BB397" s="55"/>
      <c r="BC397" s="55"/>
      <c r="BD397" s="55"/>
      <c r="BE397" s="55"/>
      <c r="BF397" s="55"/>
      <c r="BG397" s="55"/>
      <c r="BH397" s="55"/>
      <c r="BI397" s="55"/>
      <c r="BJ397" s="55"/>
      <c r="BK397" s="55"/>
      <c r="BL397" s="55"/>
      <c r="BM397" s="55"/>
      <c r="BN397" s="55"/>
      <c r="BO397" s="55"/>
      <c r="BP397" s="55"/>
      <c r="BQ397" s="55"/>
      <c r="BR397" s="55"/>
      <c r="BS397" s="55"/>
    </row>
    <row r="398" spans="1:93" outlineLevel="1" x14ac:dyDescent="0.2">
      <c r="J398" s="26"/>
      <c r="L398" s="55"/>
      <c r="M398" s="55"/>
      <c r="N398" s="55"/>
      <c r="O398" s="55"/>
      <c r="P398" s="55"/>
      <c r="Q398" s="55"/>
      <c r="R398" s="55"/>
      <c r="S398" s="55"/>
      <c r="T398" s="55"/>
      <c r="U398" s="55"/>
      <c r="V398" s="55"/>
      <c r="W398" s="55"/>
      <c r="X398" s="55"/>
      <c r="Y398" s="55"/>
      <c r="Z398" s="55"/>
      <c r="AA398" s="55"/>
      <c r="AB398" s="55"/>
      <c r="AC398" s="55"/>
      <c r="AD398" s="55"/>
      <c r="AE398" s="55"/>
      <c r="AF398" s="55"/>
      <c r="AG398" s="55"/>
      <c r="AH398" s="55"/>
      <c r="AI398" s="55"/>
      <c r="AJ398" s="55"/>
      <c r="AK398" s="55"/>
      <c r="AL398" s="55"/>
      <c r="AM398" s="55"/>
      <c r="AN398" s="55"/>
      <c r="AO398" s="55"/>
      <c r="AP398" s="55"/>
      <c r="AQ398" s="55"/>
      <c r="AR398" s="55"/>
      <c r="AS398" s="55"/>
      <c r="AT398" s="55"/>
      <c r="AU398" s="55"/>
      <c r="AV398" s="55"/>
      <c r="AW398" s="55"/>
      <c r="AX398" s="55"/>
      <c r="AY398" s="55"/>
      <c r="AZ398" s="55"/>
      <c r="BA398" s="55"/>
      <c r="BB398" s="55"/>
      <c r="BC398" s="55"/>
      <c r="BD398" s="55"/>
      <c r="BE398" s="55"/>
      <c r="BF398" s="55"/>
      <c r="BG398" s="55"/>
      <c r="BH398" s="55"/>
      <c r="BI398" s="55"/>
      <c r="BJ398" s="55"/>
      <c r="BK398" s="55"/>
      <c r="BL398" s="55"/>
      <c r="BM398" s="55"/>
      <c r="BN398" s="55"/>
      <c r="BO398" s="55"/>
      <c r="BP398" s="55"/>
      <c r="BQ398" s="55"/>
      <c r="BR398" s="55"/>
      <c r="BS398" s="55"/>
    </row>
    <row r="399" spans="1:93" outlineLevel="1" x14ac:dyDescent="0.2">
      <c r="C399" t="str">
        <f>CHOOSE(db_ML_selected,'Liste Traduction'!B385,'Liste Traduction'!C385)</f>
        <v>Période d'actualisation</v>
      </c>
      <c r="J399" s="26"/>
      <c r="L399" s="55"/>
      <c r="M399" s="55"/>
      <c r="N399" s="55"/>
      <c r="O399" s="55"/>
      <c r="P399" s="55"/>
      <c r="Q399" s="55"/>
      <c r="R399" s="55"/>
      <c r="S399" s="55"/>
      <c r="T399" s="55"/>
      <c r="U399" s="55"/>
      <c r="V399" s="55"/>
      <c r="W399" s="55"/>
      <c r="X399" s="55"/>
      <c r="Y399" s="55"/>
      <c r="Z399" s="55"/>
      <c r="AA399" s="55"/>
      <c r="AB399" s="55"/>
      <c r="AC399" s="55"/>
      <c r="AD399" s="55"/>
      <c r="AE399" s="55"/>
      <c r="AF399" s="55"/>
      <c r="AG399" s="55"/>
      <c r="AH399" s="55"/>
      <c r="AI399" s="55"/>
      <c r="AJ399" s="55"/>
      <c r="AK399" s="55"/>
      <c r="AL399" s="55"/>
      <c r="AM399" s="55"/>
      <c r="AN399" s="55"/>
      <c r="AO399" s="55"/>
      <c r="AP399" s="55"/>
      <c r="AQ399" s="55"/>
      <c r="AR399" s="55"/>
      <c r="AS399" s="55"/>
      <c r="AT399" s="55"/>
      <c r="AU399" s="55"/>
      <c r="AV399" s="55"/>
      <c r="AW399" s="55"/>
      <c r="AX399" s="55"/>
      <c r="AY399" s="55"/>
      <c r="AZ399" s="55"/>
      <c r="BA399" s="55"/>
      <c r="BB399" s="55"/>
      <c r="BC399" s="55"/>
      <c r="BD399" s="55"/>
      <c r="BE399" s="55"/>
      <c r="BF399" s="55"/>
      <c r="BG399" s="55"/>
      <c r="BH399" s="55"/>
      <c r="BI399" s="55"/>
      <c r="BJ399" s="55"/>
      <c r="BK399" s="55"/>
      <c r="BL399" s="55"/>
      <c r="BM399" s="55"/>
      <c r="BN399" s="55"/>
      <c r="BO399" s="55"/>
      <c r="BP399" s="55"/>
      <c r="BQ399" s="55"/>
      <c r="BR399" s="55"/>
      <c r="BS399" s="55"/>
    </row>
    <row r="400" spans="1:93" outlineLevel="1" x14ac:dyDescent="0.2">
      <c r="D400" t="str">
        <f>CHOOSE(db_ML_selected,'Liste Traduction'!B386,'Liste Traduction'!C386)</f>
        <v>Cycle complet</v>
      </c>
      <c r="G400" s="29">
        <f>YEAR(HM_ZA_Nkossa!effective_date_HM1994)</f>
        <v>1994</v>
      </c>
      <c r="J400" s="26"/>
      <c r="L400" s="49">
        <f t="shared" ref="L400:AQ400" si="122">MAX(L4-$G400+1-0.5,0)</f>
        <v>19.5</v>
      </c>
      <c r="M400" s="49">
        <f t="shared" si="122"/>
        <v>20.5</v>
      </c>
      <c r="N400" s="49">
        <f t="shared" si="122"/>
        <v>21.5</v>
      </c>
      <c r="O400" s="49">
        <f t="shared" si="122"/>
        <v>22.5</v>
      </c>
      <c r="P400" s="49">
        <f t="shared" si="122"/>
        <v>23.5</v>
      </c>
      <c r="Q400" s="49">
        <f t="shared" si="122"/>
        <v>24.5</v>
      </c>
      <c r="R400" s="49">
        <f t="shared" si="122"/>
        <v>25.5</v>
      </c>
      <c r="S400" s="49">
        <f t="shared" si="122"/>
        <v>26.5</v>
      </c>
      <c r="T400" s="49">
        <f t="shared" si="122"/>
        <v>27.5</v>
      </c>
      <c r="U400" s="49">
        <f t="shared" si="122"/>
        <v>28.5</v>
      </c>
      <c r="V400" s="49">
        <f t="shared" si="122"/>
        <v>29.5</v>
      </c>
      <c r="W400" s="49">
        <f t="shared" si="122"/>
        <v>30.5</v>
      </c>
      <c r="X400" s="49">
        <f t="shared" si="122"/>
        <v>31.5</v>
      </c>
      <c r="Y400" s="49">
        <f t="shared" si="122"/>
        <v>32.5</v>
      </c>
      <c r="Z400" s="49">
        <f t="shared" si="122"/>
        <v>33.5</v>
      </c>
      <c r="AA400" s="49">
        <f t="shared" si="122"/>
        <v>34.5</v>
      </c>
      <c r="AB400" s="49">
        <f t="shared" si="122"/>
        <v>35.5</v>
      </c>
      <c r="AC400" s="49">
        <f t="shared" si="122"/>
        <v>36.5</v>
      </c>
      <c r="AD400" s="49">
        <f t="shared" si="122"/>
        <v>37.5</v>
      </c>
      <c r="AE400" s="49">
        <f t="shared" si="122"/>
        <v>38.5</v>
      </c>
      <c r="AF400" s="49">
        <f t="shared" si="122"/>
        <v>39.5</v>
      </c>
      <c r="AG400" s="49">
        <f t="shared" si="122"/>
        <v>40.5</v>
      </c>
      <c r="AH400" s="49">
        <f t="shared" si="122"/>
        <v>41.5</v>
      </c>
      <c r="AI400" s="49">
        <f t="shared" si="122"/>
        <v>42.5</v>
      </c>
      <c r="AJ400" s="49">
        <f t="shared" si="122"/>
        <v>43.5</v>
      </c>
      <c r="AK400" s="49">
        <f t="shared" si="122"/>
        <v>44.5</v>
      </c>
      <c r="AL400" s="49">
        <f t="shared" si="122"/>
        <v>45.5</v>
      </c>
      <c r="AM400" s="49">
        <f t="shared" si="122"/>
        <v>46.5</v>
      </c>
      <c r="AN400" s="49">
        <f t="shared" si="122"/>
        <v>47.5</v>
      </c>
      <c r="AO400" s="49">
        <f t="shared" si="122"/>
        <v>48.5</v>
      </c>
      <c r="AP400" s="49">
        <f t="shared" si="122"/>
        <v>49.5</v>
      </c>
      <c r="AQ400" s="49">
        <f t="shared" si="122"/>
        <v>50.5</v>
      </c>
      <c r="AR400" s="49">
        <f t="shared" ref="AR400:BS400" si="123">MAX(AR4-$G400+1-0.5,0)</f>
        <v>51.5</v>
      </c>
      <c r="AS400" s="49">
        <f t="shared" si="123"/>
        <v>52.5</v>
      </c>
      <c r="AT400" s="49">
        <f t="shared" si="123"/>
        <v>53.5</v>
      </c>
      <c r="AU400" s="49">
        <f t="shared" si="123"/>
        <v>54.5</v>
      </c>
      <c r="AV400" s="49">
        <f t="shared" si="123"/>
        <v>55.5</v>
      </c>
      <c r="AW400" s="49">
        <f t="shared" si="123"/>
        <v>56.5</v>
      </c>
      <c r="AX400" s="49">
        <f t="shared" si="123"/>
        <v>57.5</v>
      </c>
      <c r="AY400" s="49">
        <f t="shared" si="123"/>
        <v>58.5</v>
      </c>
      <c r="AZ400" s="49">
        <f t="shared" si="123"/>
        <v>59.5</v>
      </c>
      <c r="BA400" s="49">
        <f t="shared" si="123"/>
        <v>60.5</v>
      </c>
      <c r="BB400" s="49">
        <f t="shared" si="123"/>
        <v>61.5</v>
      </c>
      <c r="BC400" s="49">
        <f t="shared" si="123"/>
        <v>62.5</v>
      </c>
      <c r="BD400" s="49">
        <f t="shared" si="123"/>
        <v>63.5</v>
      </c>
      <c r="BE400" s="49">
        <f t="shared" si="123"/>
        <v>64.5</v>
      </c>
      <c r="BF400" s="49">
        <f t="shared" si="123"/>
        <v>65.5</v>
      </c>
      <c r="BG400" s="49">
        <f t="shared" si="123"/>
        <v>66.5</v>
      </c>
      <c r="BH400" s="49">
        <f t="shared" si="123"/>
        <v>67.5</v>
      </c>
      <c r="BI400" s="49">
        <f t="shared" si="123"/>
        <v>68.5</v>
      </c>
      <c r="BJ400" s="49">
        <f t="shared" si="123"/>
        <v>69.5</v>
      </c>
      <c r="BK400" s="49">
        <f t="shared" si="123"/>
        <v>70.5</v>
      </c>
      <c r="BL400" s="49">
        <f t="shared" si="123"/>
        <v>71.5</v>
      </c>
      <c r="BM400" s="49">
        <f t="shared" si="123"/>
        <v>72.5</v>
      </c>
      <c r="BN400" s="49">
        <f t="shared" si="123"/>
        <v>73.5</v>
      </c>
      <c r="BO400" s="49">
        <f t="shared" si="123"/>
        <v>74.5</v>
      </c>
      <c r="BP400" s="49">
        <f t="shared" si="123"/>
        <v>75.5</v>
      </c>
      <c r="BQ400" s="49">
        <f t="shared" si="123"/>
        <v>76.5</v>
      </c>
      <c r="BR400" s="49">
        <f t="shared" si="123"/>
        <v>77.5</v>
      </c>
      <c r="BS400" s="49">
        <f t="shared" si="123"/>
        <v>78.5</v>
      </c>
    </row>
    <row r="401" spans="1:71" outlineLevel="1" x14ac:dyDescent="0.2">
      <c r="D401" t="str">
        <f>CHOOSE(db_ML_selected,'Liste Traduction'!B387,'Liste Traduction'!C387)</f>
        <v>Terme</v>
      </c>
      <c r="G401" s="29">
        <f>Current_year</f>
        <v>2021</v>
      </c>
      <c r="J401" s="26"/>
      <c r="L401" s="49">
        <f t="shared" ref="L401:AQ401" si="124">MAX(L4-$G401+1-0.5,0)</f>
        <v>0</v>
      </c>
      <c r="M401" s="49">
        <f t="shared" si="124"/>
        <v>0</v>
      </c>
      <c r="N401" s="49">
        <f t="shared" si="124"/>
        <v>0</v>
      </c>
      <c r="O401" s="49">
        <f t="shared" si="124"/>
        <v>0</v>
      </c>
      <c r="P401" s="49">
        <f t="shared" si="124"/>
        <v>0</v>
      </c>
      <c r="Q401" s="49">
        <f t="shared" si="124"/>
        <v>0</v>
      </c>
      <c r="R401" s="49">
        <f t="shared" si="124"/>
        <v>0</v>
      </c>
      <c r="S401" s="49">
        <f t="shared" si="124"/>
        <v>0</v>
      </c>
      <c r="T401" s="49">
        <f t="shared" si="124"/>
        <v>0.5</v>
      </c>
      <c r="U401" s="49">
        <f t="shared" si="124"/>
        <v>1.5</v>
      </c>
      <c r="V401" s="49">
        <f t="shared" si="124"/>
        <v>2.5</v>
      </c>
      <c r="W401" s="49">
        <f t="shared" si="124"/>
        <v>3.5</v>
      </c>
      <c r="X401" s="49">
        <f t="shared" si="124"/>
        <v>4.5</v>
      </c>
      <c r="Y401" s="49">
        <f t="shared" si="124"/>
        <v>5.5</v>
      </c>
      <c r="Z401" s="49">
        <f t="shared" si="124"/>
        <v>6.5</v>
      </c>
      <c r="AA401" s="49">
        <f t="shared" si="124"/>
        <v>7.5</v>
      </c>
      <c r="AB401" s="49">
        <f t="shared" si="124"/>
        <v>8.5</v>
      </c>
      <c r="AC401" s="49">
        <f t="shared" si="124"/>
        <v>9.5</v>
      </c>
      <c r="AD401" s="49">
        <f t="shared" si="124"/>
        <v>10.5</v>
      </c>
      <c r="AE401" s="49">
        <f t="shared" si="124"/>
        <v>11.5</v>
      </c>
      <c r="AF401" s="49">
        <f t="shared" si="124"/>
        <v>12.5</v>
      </c>
      <c r="AG401" s="49">
        <f t="shared" si="124"/>
        <v>13.5</v>
      </c>
      <c r="AH401" s="49">
        <f t="shared" si="124"/>
        <v>14.5</v>
      </c>
      <c r="AI401" s="49">
        <f t="shared" si="124"/>
        <v>15.5</v>
      </c>
      <c r="AJ401" s="49">
        <f t="shared" si="124"/>
        <v>16.5</v>
      </c>
      <c r="AK401" s="49">
        <f t="shared" si="124"/>
        <v>17.5</v>
      </c>
      <c r="AL401" s="49">
        <f t="shared" si="124"/>
        <v>18.5</v>
      </c>
      <c r="AM401" s="49">
        <f t="shared" si="124"/>
        <v>19.5</v>
      </c>
      <c r="AN401" s="49">
        <f t="shared" si="124"/>
        <v>20.5</v>
      </c>
      <c r="AO401" s="49">
        <f t="shared" si="124"/>
        <v>21.5</v>
      </c>
      <c r="AP401" s="49">
        <f t="shared" si="124"/>
        <v>22.5</v>
      </c>
      <c r="AQ401" s="49">
        <f t="shared" si="124"/>
        <v>23.5</v>
      </c>
      <c r="AR401" s="49">
        <f t="shared" ref="AR401:BS401" si="125">MAX(AR4-$G401+1-0.5,0)</f>
        <v>24.5</v>
      </c>
      <c r="AS401" s="49">
        <f t="shared" si="125"/>
        <v>25.5</v>
      </c>
      <c r="AT401" s="49">
        <f t="shared" si="125"/>
        <v>26.5</v>
      </c>
      <c r="AU401" s="49">
        <f t="shared" si="125"/>
        <v>27.5</v>
      </c>
      <c r="AV401" s="49">
        <f t="shared" si="125"/>
        <v>28.5</v>
      </c>
      <c r="AW401" s="49">
        <f t="shared" si="125"/>
        <v>29.5</v>
      </c>
      <c r="AX401" s="49">
        <f t="shared" si="125"/>
        <v>30.5</v>
      </c>
      <c r="AY401" s="49">
        <f t="shared" si="125"/>
        <v>31.5</v>
      </c>
      <c r="AZ401" s="49">
        <f t="shared" si="125"/>
        <v>32.5</v>
      </c>
      <c r="BA401" s="49">
        <f t="shared" si="125"/>
        <v>33.5</v>
      </c>
      <c r="BB401" s="49">
        <f t="shared" si="125"/>
        <v>34.5</v>
      </c>
      <c r="BC401" s="49">
        <f t="shared" si="125"/>
        <v>35.5</v>
      </c>
      <c r="BD401" s="49">
        <f t="shared" si="125"/>
        <v>36.5</v>
      </c>
      <c r="BE401" s="49">
        <f t="shared" si="125"/>
        <v>37.5</v>
      </c>
      <c r="BF401" s="49">
        <f t="shared" si="125"/>
        <v>38.5</v>
      </c>
      <c r="BG401" s="49">
        <f t="shared" si="125"/>
        <v>39.5</v>
      </c>
      <c r="BH401" s="49">
        <f t="shared" si="125"/>
        <v>40.5</v>
      </c>
      <c r="BI401" s="49">
        <f t="shared" si="125"/>
        <v>41.5</v>
      </c>
      <c r="BJ401" s="49">
        <f t="shared" si="125"/>
        <v>42.5</v>
      </c>
      <c r="BK401" s="49">
        <f t="shared" si="125"/>
        <v>43.5</v>
      </c>
      <c r="BL401" s="49">
        <f t="shared" si="125"/>
        <v>44.5</v>
      </c>
      <c r="BM401" s="49">
        <f t="shared" si="125"/>
        <v>45.5</v>
      </c>
      <c r="BN401" s="49">
        <f t="shared" si="125"/>
        <v>46.5</v>
      </c>
      <c r="BO401" s="49">
        <f t="shared" si="125"/>
        <v>47.5</v>
      </c>
      <c r="BP401" s="49">
        <f t="shared" si="125"/>
        <v>48.5</v>
      </c>
      <c r="BQ401" s="49">
        <f t="shared" si="125"/>
        <v>49.5</v>
      </c>
      <c r="BR401" s="49">
        <f t="shared" si="125"/>
        <v>50.5</v>
      </c>
      <c r="BS401" s="49">
        <f t="shared" si="125"/>
        <v>51.5</v>
      </c>
    </row>
    <row r="402" spans="1:71" outlineLevel="1" x14ac:dyDescent="0.2">
      <c r="C402" t="str">
        <f>CHOOSE(db_ML_selected,'Liste Traduction'!B388,'Liste Traduction'!C388)</f>
        <v>Facteur d'actualisation</v>
      </c>
      <c r="E402" s="59">
        <f>input_DiscRate_nom</f>
        <v>0.1</v>
      </c>
      <c r="J402" s="26"/>
      <c r="L402" s="55"/>
      <c r="M402" s="55"/>
      <c r="N402" s="55"/>
      <c r="O402" s="55"/>
      <c r="P402" s="55"/>
      <c r="Q402" s="55"/>
      <c r="R402" s="55"/>
      <c r="S402" s="55"/>
      <c r="T402" s="55"/>
      <c r="U402" s="55"/>
      <c r="V402" s="55"/>
      <c r="W402" s="55"/>
      <c r="X402" s="55"/>
      <c r="Y402" s="55"/>
      <c r="Z402" s="55"/>
      <c r="AA402" s="55"/>
      <c r="AB402" s="55"/>
      <c r="AC402" s="55"/>
      <c r="AD402" s="55"/>
      <c r="AE402" s="55"/>
      <c r="AF402" s="55"/>
      <c r="AG402" s="55"/>
      <c r="AH402" s="55"/>
      <c r="AI402" s="55"/>
      <c r="AJ402" s="55"/>
      <c r="AK402" s="55"/>
      <c r="AL402" s="55"/>
      <c r="AM402" s="55"/>
      <c r="AN402" s="55"/>
      <c r="AO402" s="55"/>
      <c r="AP402" s="55"/>
      <c r="AQ402" s="55"/>
      <c r="AR402" s="55"/>
      <c r="AS402" s="55"/>
      <c r="AT402" s="55"/>
      <c r="AU402" s="55"/>
      <c r="AV402" s="55"/>
      <c r="AW402" s="55"/>
      <c r="AX402" s="55"/>
      <c r="AY402" s="55"/>
      <c r="AZ402" s="55"/>
      <c r="BA402" s="55"/>
      <c r="BB402" s="55"/>
      <c r="BC402" s="55"/>
      <c r="BD402" s="55"/>
      <c r="BE402" s="55"/>
      <c r="BF402" s="55"/>
      <c r="BG402" s="55"/>
      <c r="BH402" s="55"/>
      <c r="BI402" s="55"/>
      <c r="BJ402" s="55"/>
      <c r="BK402" s="55"/>
      <c r="BL402" s="55"/>
      <c r="BM402" s="55"/>
      <c r="BN402" s="55"/>
      <c r="BO402" s="55"/>
      <c r="BP402" s="55"/>
      <c r="BQ402" s="55"/>
      <c r="BR402" s="55"/>
      <c r="BS402" s="55"/>
    </row>
    <row r="403" spans="1:71" outlineLevel="1" x14ac:dyDescent="0.2">
      <c r="D403" t="str">
        <f>D400</f>
        <v>Cycle complet</v>
      </c>
      <c r="J403" s="26"/>
      <c r="K403" s="7" t="s">
        <v>282</v>
      </c>
      <c r="L403" s="49">
        <f t="shared" ref="L403:BS404" si="126">IF(L400=0,0,(1+input_DiscRate_nom)^-L400)</f>
        <v>0.15589875229583436</v>
      </c>
      <c r="M403" s="49">
        <f t="shared" si="126"/>
        <v>0.14172613845075852</v>
      </c>
      <c r="N403" s="49">
        <f t="shared" si="126"/>
        <v>0.1288419440461441</v>
      </c>
      <c r="O403" s="49">
        <f t="shared" si="126"/>
        <v>0.11712904004194918</v>
      </c>
      <c r="P403" s="49">
        <f t="shared" si="126"/>
        <v>0.10648094549268106</v>
      </c>
      <c r="Q403" s="49">
        <f t="shared" si="126"/>
        <v>9.6800859538800965E-2</v>
      </c>
      <c r="R403" s="49">
        <f t="shared" si="126"/>
        <v>8.8000781398909919E-2</v>
      </c>
      <c r="S403" s="49">
        <f t="shared" si="126"/>
        <v>8.0000710362645402E-2</v>
      </c>
      <c r="T403" s="49">
        <f t="shared" si="126"/>
        <v>7.272791851149582E-2</v>
      </c>
      <c r="U403" s="49">
        <f t="shared" si="126"/>
        <v>6.6116289555905275E-2</v>
      </c>
      <c r="V403" s="49">
        <f t="shared" si="126"/>
        <v>6.0105717778095702E-2</v>
      </c>
      <c r="W403" s="49">
        <f t="shared" si="126"/>
        <v>5.4641561616450646E-2</v>
      </c>
      <c r="X403" s="49">
        <f t="shared" si="126"/>
        <v>4.967414692404603E-2</v>
      </c>
      <c r="Y403" s="49">
        <f t="shared" si="126"/>
        <v>4.5158315385496389E-2</v>
      </c>
      <c r="Z403" s="49">
        <f t="shared" si="126"/>
        <v>4.1053013986814886E-2</v>
      </c>
      <c r="AA403" s="49">
        <f t="shared" si="126"/>
        <v>3.7320921806195353E-2</v>
      </c>
      <c r="AB403" s="49">
        <f t="shared" si="126"/>
        <v>3.3928110732904866E-2</v>
      </c>
      <c r="AC403" s="49">
        <f t="shared" si="126"/>
        <v>3.0843737029913505E-2</v>
      </c>
      <c r="AD403" s="49">
        <f t="shared" si="126"/>
        <v>2.8039760936285012E-2</v>
      </c>
      <c r="AE403" s="49">
        <f t="shared" si="126"/>
        <v>2.5490691760259102E-2</v>
      </c>
      <c r="AF403" s="49">
        <f t="shared" si="126"/>
        <v>2.3173356145690084E-2</v>
      </c>
      <c r="AG403" s="49">
        <f t="shared" si="126"/>
        <v>2.1066687405172806E-2</v>
      </c>
      <c r="AH403" s="49">
        <f t="shared" si="126"/>
        <v>1.9151534004702545E-2</v>
      </c>
      <c r="AI403" s="49">
        <f t="shared" si="126"/>
        <v>1.7410485458820502E-2</v>
      </c>
      <c r="AJ403" s="49">
        <f t="shared" si="126"/>
        <v>1.5827714053473173E-2</v>
      </c>
      <c r="AK403" s="49">
        <f t="shared" si="126"/>
        <v>1.4388830957702884E-2</v>
      </c>
      <c r="AL403" s="49">
        <f t="shared" si="126"/>
        <v>1.3080755416093532E-2</v>
      </c>
      <c r="AM403" s="49">
        <f t="shared" si="126"/>
        <v>1.1891595832812305E-2</v>
      </c>
      <c r="AN403" s="49">
        <f t="shared" si="126"/>
        <v>1.0810541666193005E-2</v>
      </c>
      <c r="AO403" s="49">
        <f t="shared" si="126"/>
        <v>9.8277651510845412E-3</v>
      </c>
      <c r="AP403" s="49">
        <f t="shared" si="126"/>
        <v>8.9343319555314025E-3</v>
      </c>
      <c r="AQ403" s="49">
        <f t="shared" si="126"/>
        <v>8.1221199595740041E-3</v>
      </c>
      <c r="AR403" s="49">
        <f t="shared" si="126"/>
        <v>7.3837454177945487E-3</v>
      </c>
      <c r="AS403" s="49">
        <f t="shared" si="126"/>
        <v>6.7124958343586817E-3</v>
      </c>
      <c r="AT403" s="49">
        <f t="shared" si="126"/>
        <v>6.1022689403260697E-3</v>
      </c>
      <c r="AU403" s="49">
        <f t="shared" si="126"/>
        <v>5.5475172184782451E-3</v>
      </c>
      <c r="AV403" s="49">
        <f t="shared" si="126"/>
        <v>5.0431974713438599E-3</v>
      </c>
      <c r="AW403" s="49">
        <f t="shared" si="126"/>
        <v>4.5847249739489641E-3</v>
      </c>
      <c r="AX403" s="49">
        <f t="shared" si="126"/>
        <v>4.1679317944990591E-3</v>
      </c>
      <c r="AY403" s="49">
        <f t="shared" si="126"/>
        <v>3.7890289040900535E-3</v>
      </c>
      <c r="AZ403" s="49">
        <f t="shared" si="126"/>
        <v>3.4445717309909553E-3</v>
      </c>
      <c r="BA403" s="49">
        <f t="shared" si="126"/>
        <v>3.1314288463554136E-3</v>
      </c>
      <c r="BB403" s="49">
        <f t="shared" si="126"/>
        <v>2.8467534966867404E-3</v>
      </c>
      <c r="BC403" s="49">
        <f t="shared" si="126"/>
        <v>2.5879577242606732E-3</v>
      </c>
      <c r="BD403" s="49">
        <f t="shared" si="126"/>
        <v>2.3526888402369758E-3</v>
      </c>
      <c r="BE403" s="49">
        <f t="shared" si="126"/>
        <v>2.1388080365790673E-3</v>
      </c>
      <c r="BF403" s="49">
        <f t="shared" si="126"/>
        <v>1.9443709423446068E-3</v>
      </c>
      <c r="BG403" s="49">
        <f t="shared" si="126"/>
        <v>1.7676099475860063E-3</v>
      </c>
      <c r="BH403" s="49">
        <f t="shared" si="126"/>
        <v>1.6069181341690968E-3</v>
      </c>
      <c r="BI403" s="49">
        <f t="shared" si="126"/>
        <v>1.4608346674264518E-3</v>
      </c>
      <c r="BJ403" s="49">
        <f t="shared" si="126"/>
        <v>1.3280315158422278E-3</v>
      </c>
      <c r="BK403" s="49">
        <f t="shared" si="126"/>
        <v>1.207301378038389E-3</v>
      </c>
      <c r="BL403" s="49">
        <f t="shared" si="126"/>
        <v>1.0975467073076266E-3</v>
      </c>
      <c r="BM403" s="49">
        <f t="shared" si="126"/>
        <v>9.9776973391602422E-4</v>
      </c>
      <c r="BN403" s="49">
        <f t="shared" si="126"/>
        <v>9.0706339446911303E-4</v>
      </c>
      <c r="BO403" s="49">
        <f t="shared" si="126"/>
        <v>8.2460308588101197E-4</v>
      </c>
      <c r="BP403" s="49">
        <f t="shared" si="126"/>
        <v>7.4963916898273739E-4</v>
      </c>
      <c r="BQ403" s="49">
        <f t="shared" si="126"/>
        <v>6.8149015362067053E-4</v>
      </c>
      <c r="BR403" s="49">
        <f t="shared" si="126"/>
        <v>6.1953650329151866E-4</v>
      </c>
      <c r="BS403" s="49">
        <f t="shared" si="126"/>
        <v>5.6321500299228973E-4</v>
      </c>
    </row>
    <row r="404" spans="1:71" outlineLevel="1" x14ac:dyDescent="0.2">
      <c r="D404" t="str">
        <f>D401</f>
        <v>Terme</v>
      </c>
      <c r="J404" s="26"/>
      <c r="K404" s="7" t="s">
        <v>281</v>
      </c>
      <c r="L404" s="49">
        <f t="shared" si="126"/>
        <v>0</v>
      </c>
      <c r="M404" s="49">
        <f t="shared" si="126"/>
        <v>0</v>
      </c>
      <c r="N404" s="49">
        <f t="shared" si="126"/>
        <v>0</v>
      </c>
      <c r="O404" s="49">
        <f t="shared" si="126"/>
        <v>0</v>
      </c>
      <c r="P404" s="49">
        <f t="shared" si="126"/>
        <v>0</v>
      </c>
      <c r="Q404" s="49">
        <f t="shared" si="126"/>
        <v>0</v>
      </c>
      <c r="R404" s="49">
        <f t="shared" si="126"/>
        <v>0</v>
      </c>
      <c r="S404" s="49">
        <f t="shared" si="126"/>
        <v>0</v>
      </c>
      <c r="T404" s="49">
        <f t="shared" si="126"/>
        <v>0.95346258924559224</v>
      </c>
      <c r="U404" s="49">
        <f t="shared" si="126"/>
        <v>0.86678417204144742</v>
      </c>
      <c r="V404" s="49">
        <f t="shared" si="126"/>
        <v>0.78798561094677033</v>
      </c>
      <c r="W404" s="49">
        <f t="shared" si="126"/>
        <v>0.71635055540615489</v>
      </c>
      <c r="X404" s="49">
        <f t="shared" si="126"/>
        <v>0.65122777764195883</v>
      </c>
      <c r="Y404" s="49">
        <f t="shared" si="126"/>
        <v>0.59202525240178083</v>
      </c>
      <c r="Z404" s="49">
        <f t="shared" si="126"/>
        <v>0.53820477491070973</v>
      </c>
      <c r="AA404" s="49">
        <f t="shared" si="126"/>
        <v>0.48927706810064514</v>
      </c>
      <c r="AB404" s="49">
        <f t="shared" si="126"/>
        <v>0.44479733463695009</v>
      </c>
      <c r="AC404" s="49">
        <f t="shared" si="126"/>
        <v>0.4043612133063183</v>
      </c>
      <c r="AD404" s="49">
        <f t="shared" si="126"/>
        <v>0.36760110300574383</v>
      </c>
      <c r="AE404" s="49">
        <f t="shared" si="126"/>
        <v>0.33418282091431251</v>
      </c>
      <c r="AF404" s="49">
        <f t="shared" si="126"/>
        <v>0.30380256446755688</v>
      </c>
      <c r="AG404" s="49">
        <f t="shared" si="126"/>
        <v>0.27618414951596076</v>
      </c>
      <c r="AH404" s="49">
        <f t="shared" si="126"/>
        <v>0.25107649955996431</v>
      </c>
      <c r="AI404" s="49">
        <f t="shared" si="126"/>
        <v>0.22825136323633116</v>
      </c>
      <c r="AJ404" s="49">
        <f t="shared" si="126"/>
        <v>0.20750123930575562</v>
      </c>
      <c r="AK404" s="49">
        <f t="shared" si="126"/>
        <v>0.18863749027795962</v>
      </c>
      <c r="AL404" s="49">
        <f t="shared" si="126"/>
        <v>0.17148862752541782</v>
      </c>
      <c r="AM404" s="49">
        <f t="shared" si="126"/>
        <v>0.15589875229583436</v>
      </c>
      <c r="AN404" s="49">
        <f t="shared" si="126"/>
        <v>0.14172613845075852</v>
      </c>
      <c r="AO404" s="49">
        <f t="shared" si="126"/>
        <v>0.1288419440461441</v>
      </c>
      <c r="AP404" s="49">
        <f t="shared" si="126"/>
        <v>0.11712904004194918</v>
      </c>
      <c r="AQ404" s="49">
        <f t="shared" si="126"/>
        <v>0.10648094549268106</v>
      </c>
      <c r="AR404" s="49">
        <f t="shared" si="126"/>
        <v>9.6800859538800965E-2</v>
      </c>
      <c r="AS404" s="49">
        <f t="shared" si="126"/>
        <v>8.8000781398909919E-2</v>
      </c>
      <c r="AT404" s="49">
        <f t="shared" si="126"/>
        <v>8.0000710362645402E-2</v>
      </c>
      <c r="AU404" s="49">
        <f t="shared" si="126"/>
        <v>7.272791851149582E-2</v>
      </c>
      <c r="AV404" s="49">
        <f t="shared" si="126"/>
        <v>6.6116289555905275E-2</v>
      </c>
      <c r="AW404" s="49">
        <f t="shared" si="126"/>
        <v>6.0105717778095702E-2</v>
      </c>
      <c r="AX404" s="49">
        <f t="shared" si="126"/>
        <v>5.4641561616450646E-2</v>
      </c>
      <c r="AY404" s="49">
        <f t="shared" si="126"/>
        <v>4.967414692404603E-2</v>
      </c>
      <c r="AZ404" s="49">
        <f t="shared" si="126"/>
        <v>4.5158315385496389E-2</v>
      </c>
      <c r="BA404" s="49">
        <f t="shared" si="126"/>
        <v>4.1053013986814886E-2</v>
      </c>
      <c r="BB404" s="49">
        <f t="shared" si="126"/>
        <v>3.7320921806195353E-2</v>
      </c>
      <c r="BC404" s="49">
        <f t="shared" si="126"/>
        <v>3.3928110732904866E-2</v>
      </c>
      <c r="BD404" s="49">
        <f t="shared" si="126"/>
        <v>3.0843737029913505E-2</v>
      </c>
      <c r="BE404" s="49">
        <f t="shared" si="126"/>
        <v>2.8039760936285012E-2</v>
      </c>
      <c r="BF404" s="49">
        <f t="shared" si="126"/>
        <v>2.5490691760259102E-2</v>
      </c>
      <c r="BG404" s="49">
        <f t="shared" si="126"/>
        <v>2.3173356145690084E-2</v>
      </c>
      <c r="BH404" s="49">
        <f t="shared" si="126"/>
        <v>2.1066687405172806E-2</v>
      </c>
      <c r="BI404" s="49">
        <f t="shared" si="126"/>
        <v>1.9151534004702545E-2</v>
      </c>
      <c r="BJ404" s="49">
        <f t="shared" si="126"/>
        <v>1.7410485458820502E-2</v>
      </c>
      <c r="BK404" s="49">
        <f t="shared" si="126"/>
        <v>1.5827714053473173E-2</v>
      </c>
      <c r="BL404" s="49">
        <f t="shared" si="126"/>
        <v>1.4388830957702884E-2</v>
      </c>
      <c r="BM404" s="49">
        <f t="shared" si="126"/>
        <v>1.3080755416093532E-2</v>
      </c>
      <c r="BN404" s="49">
        <f t="shared" si="126"/>
        <v>1.1891595832812305E-2</v>
      </c>
      <c r="BO404" s="49">
        <f t="shared" si="126"/>
        <v>1.0810541666193005E-2</v>
      </c>
      <c r="BP404" s="49">
        <f t="shared" si="126"/>
        <v>9.8277651510845412E-3</v>
      </c>
      <c r="BQ404" s="49">
        <f t="shared" si="126"/>
        <v>8.9343319555314025E-3</v>
      </c>
      <c r="BR404" s="49">
        <f t="shared" si="126"/>
        <v>8.1221199595740041E-3</v>
      </c>
      <c r="BS404" s="49">
        <f t="shared" si="126"/>
        <v>7.3837454177945487E-3</v>
      </c>
    </row>
    <row r="405" spans="1:71" outlineLevel="1" x14ac:dyDescent="0.2">
      <c r="J405" s="26"/>
      <c r="L405" s="55"/>
      <c r="M405" s="55"/>
      <c r="N405" s="55"/>
      <c r="O405" s="55"/>
      <c r="P405" s="55"/>
      <c r="Q405" s="55"/>
      <c r="R405" s="55"/>
      <c r="S405" s="55"/>
      <c r="T405" s="55"/>
      <c r="U405" s="55"/>
      <c r="V405" s="55"/>
      <c r="W405" s="55"/>
      <c r="X405" s="55"/>
      <c r="Y405" s="55"/>
      <c r="Z405" s="55"/>
      <c r="AA405" s="55"/>
      <c r="AB405" s="55"/>
      <c r="AC405" s="55"/>
      <c r="AD405" s="55"/>
      <c r="AE405" s="55"/>
      <c r="AF405" s="55"/>
      <c r="AG405" s="55"/>
      <c r="AH405" s="55"/>
      <c r="AI405" s="55"/>
      <c r="AJ405" s="55"/>
      <c r="AK405" s="55"/>
      <c r="AL405" s="55"/>
      <c r="AM405" s="55"/>
      <c r="AN405" s="55"/>
      <c r="AO405" s="55"/>
      <c r="AP405" s="55"/>
      <c r="AQ405" s="55"/>
      <c r="AR405" s="55"/>
      <c r="AS405" s="55"/>
      <c r="AT405" s="55"/>
      <c r="AU405" s="55"/>
      <c r="AV405" s="55"/>
      <c r="AW405" s="55"/>
      <c r="AX405" s="55"/>
      <c r="AY405" s="55"/>
      <c r="AZ405" s="55"/>
      <c r="BA405" s="55"/>
      <c r="BB405" s="55"/>
      <c r="BC405" s="55"/>
      <c r="BD405" s="55"/>
      <c r="BE405" s="55"/>
      <c r="BF405" s="55"/>
      <c r="BG405" s="55"/>
      <c r="BH405" s="55"/>
      <c r="BI405" s="55"/>
      <c r="BJ405" s="55"/>
      <c r="BK405" s="55"/>
      <c r="BL405" s="55"/>
      <c r="BM405" s="55"/>
      <c r="BN405" s="55"/>
      <c r="BO405" s="55"/>
      <c r="BP405" s="55"/>
      <c r="BQ405" s="55"/>
      <c r="BR405" s="55"/>
      <c r="BS405" s="55"/>
    </row>
    <row r="406" spans="1:71" outlineLevel="1" x14ac:dyDescent="0.2">
      <c r="J406" s="26"/>
      <c r="L406" s="55"/>
      <c r="M406" s="55"/>
      <c r="N406" s="55"/>
      <c r="O406" s="55"/>
      <c r="P406" s="55"/>
      <c r="Q406" s="55"/>
      <c r="R406" s="55"/>
      <c r="S406" s="55"/>
      <c r="T406" s="55"/>
      <c r="U406" s="55"/>
      <c r="V406" s="55"/>
      <c r="W406" s="55"/>
      <c r="X406" s="55"/>
      <c r="Y406" s="55"/>
      <c r="Z406" s="55"/>
      <c r="AA406" s="55"/>
      <c r="AB406" s="55"/>
      <c r="AC406" s="55"/>
      <c r="AD406" s="55"/>
      <c r="AE406" s="55"/>
      <c r="AF406" s="55"/>
      <c r="AG406" s="55"/>
      <c r="AH406" s="55"/>
      <c r="AI406" s="55"/>
      <c r="AJ406" s="55"/>
      <c r="AK406" s="55"/>
      <c r="AL406" s="55"/>
      <c r="AM406" s="55"/>
      <c r="AN406" s="55"/>
      <c r="AO406" s="55"/>
      <c r="AP406" s="55"/>
      <c r="AQ406" s="55"/>
      <c r="AR406" s="55"/>
      <c r="AS406" s="55"/>
      <c r="AT406" s="55"/>
      <c r="AU406" s="55"/>
      <c r="AV406" s="55"/>
      <c r="AW406" s="55"/>
      <c r="AX406" s="55"/>
      <c r="AY406" s="55"/>
      <c r="AZ406" s="55"/>
      <c r="BA406" s="55"/>
      <c r="BB406" s="55"/>
      <c r="BC406" s="55"/>
      <c r="BD406" s="55"/>
      <c r="BE406" s="55"/>
      <c r="BF406" s="55"/>
      <c r="BG406" s="55"/>
      <c r="BH406" s="55"/>
      <c r="BI406" s="55"/>
      <c r="BJ406" s="55"/>
      <c r="BK406" s="55"/>
      <c r="BL406" s="55"/>
      <c r="BM406" s="55"/>
      <c r="BN406" s="55"/>
      <c r="BO406" s="55"/>
      <c r="BP406" s="55"/>
      <c r="BQ406" s="55"/>
      <c r="BR406" s="55"/>
      <c r="BS406" s="55"/>
    </row>
    <row r="407" spans="1:71" outlineLevel="1" x14ac:dyDescent="0.2">
      <c r="A407" s="45"/>
      <c r="B407" s="38" t="str">
        <f>CHOOSE(db_ML_selected,'Liste Traduction'!B33,'Liste Traduction'!C33)</f>
        <v>Revenu divisible</v>
      </c>
      <c r="C407" s="45"/>
      <c r="D407" s="45"/>
      <c r="E407" s="45"/>
      <c r="J407" s="26"/>
      <c r="L407" s="55"/>
      <c r="M407" s="55"/>
      <c r="N407" s="55"/>
      <c r="O407" s="55"/>
      <c r="P407" s="55"/>
      <c r="Q407" s="55"/>
      <c r="R407" s="55"/>
      <c r="S407" s="55"/>
      <c r="T407" s="55"/>
      <c r="U407" s="55"/>
      <c r="V407" s="55"/>
      <c r="W407" s="55"/>
      <c r="X407" s="55"/>
      <c r="Y407" s="55"/>
      <c r="Z407" s="55"/>
      <c r="AA407" s="55"/>
      <c r="AB407" s="55"/>
      <c r="AC407" s="55"/>
      <c r="AD407" s="55"/>
      <c r="AE407" s="55"/>
      <c r="AF407" s="55"/>
      <c r="AG407" s="55"/>
      <c r="AH407" s="55"/>
      <c r="AI407" s="55"/>
      <c r="AJ407" s="55"/>
      <c r="AK407" s="55"/>
      <c r="AL407" s="55"/>
      <c r="AM407" s="55"/>
      <c r="AN407" s="55"/>
      <c r="AO407" s="55"/>
      <c r="AP407" s="55"/>
      <c r="AQ407" s="55"/>
      <c r="AR407" s="55"/>
      <c r="AS407" s="55"/>
      <c r="AT407" s="55"/>
      <c r="AU407" s="55"/>
      <c r="AV407" s="55"/>
      <c r="AW407" s="55"/>
      <c r="AX407" s="55"/>
      <c r="AY407" s="55"/>
      <c r="AZ407" s="55"/>
      <c r="BA407" s="55"/>
      <c r="BB407" s="55"/>
      <c r="BC407" s="55"/>
      <c r="BD407" s="55"/>
      <c r="BE407" s="55"/>
      <c r="BF407" s="55"/>
      <c r="BG407" s="55"/>
      <c r="BH407" s="55"/>
      <c r="BI407" s="55"/>
      <c r="BJ407" s="55"/>
      <c r="BK407" s="55"/>
      <c r="BL407" s="55"/>
      <c r="BM407" s="55"/>
      <c r="BN407" s="55"/>
      <c r="BO407" s="55"/>
      <c r="BP407" s="55"/>
      <c r="BQ407" s="55"/>
      <c r="BR407" s="55"/>
      <c r="BS407" s="55"/>
    </row>
    <row r="408" spans="1:71" outlineLevel="1" x14ac:dyDescent="0.2">
      <c r="J408" s="26"/>
      <c r="L408" s="55"/>
      <c r="M408" s="55"/>
      <c r="N408" s="55"/>
      <c r="O408" s="55"/>
      <c r="P408" s="55"/>
      <c r="Q408" s="55"/>
      <c r="R408" s="55"/>
      <c r="S408" s="55"/>
      <c r="T408" s="55"/>
      <c r="U408" s="55"/>
      <c r="V408" s="55"/>
      <c r="W408" s="55"/>
      <c r="X408" s="55"/>
      <c r="Y408" s="55"/>
      <c r="Z408" s="55"/>
      <c r="AA408" s="55"/>
      <c r="AB408" s="55"/>
      <c r="AC408" s="55"/>
      <c r="AD408" s="55"/>
      <c r="AE408" s="55"/>
      <c r="AF408" s="55"/>
      <c r="AG408" s="55"/>
      <c r="AH408" s="55"/>
      <c r="AI408" s="55"/>
      <c r="AJ408" s="55"/>
      <c r="AK408" s="55"/>
      <c r="AL408" s="55"/>
      <c r="AM408" s="55"/>
      <c r="AN408" s="55"/>
      <c r="AO408" s="55"/>
      <c r="AP408" s="55"/>
      <c r="AQ408" s="55"/>
      <c r="AR408" s="55"/>
      <c r="AS408" s="55"/>
      <c r="AT408" s="55"/>
      <c r="AU408" s="55"/>
      <c r="AV408" s="55"/>
      <c r="AW408" s="55"/>
      <c r="AX408" s="55"/>
      <c r="AY408" s="55"/>
      <c r="AZ408" s="55"/>
      <c r="BA408" s="55"/>
      <c r="BB408" s="55"/>
      <c r="BC408" s="55"/>
      <c r="BD408" s="55"/>
      <c r="BE408" s="55"/>
      <c r="BF408" s="55"/>
      <c r="BG408" s="55"/>
      <c r="BH408" s="55"/>
      <c r="BI408" s="55"/>
      <c r="BJ408" s="55"/>
      <c r="BK408" s="55"/>
      <c r="BL408" s="55"/>
      <c r="BM408" s="55"/>
      <c r="BN408" s="55"/>
      <c r="BO408" s="55"/>
      <c r="BP408" s="55"/>
      <c r="BQ408" s="55"/>
      <c r="BR408" s="55"/>
      <c r="BS408" s="55"/>
    </row>
    <row r="409" spans="1:71" outlineLevel="1" x14ac:dyDescent="0.2">
      <c r="C409" t="str">
        <f>B160</f>
        <v>Revenus</v>
      </c>
      <c r="J409" s="26"/>
      <c r="L409" s="55"/>
      <c r="M409" s="55"/>
      <c r="N409" s="55"/>
      <c r="O409" s="55"/>
      <c r="P409" s="55"/>
      <c r="Q409" s="55"/>
      <c r="R409" s="55"/>
      <c r="S409" s="55"/>
      <c r="T409" s="55"/>
      <c r="U409" s="55"/>
      <c r="V409" s="55"/>
      <c r="W409" s="55"/>
      <c r="X409" s="55"/>
      <c r="Y409" s="55"/>
      <c r="Z409" s="55"/>
      <c r="AA409" s="55"/>
      <c r="AB409" s="55"/>
      <c r="AC409" s="55"/>
      <c r="AD409" s="55"/>
      <c r="AE409" s="55"/>
      <c r="AF409" s="55"/>
      <c r="AG409" s="55"/>
      <c r="AH409" s="55"/>
      <c r="AI409" s="55"/>
      <c r="AJ409" s="55"/>
      <c r="AK409" s="55"/>
      <c r="AL409" s="55"/>
      <c r="AM409" s="55"/>
      <c r="AN409" s="55"/>
      <c r="AO409" s="55"/>
      <c r="AP409" s="55"/>
      <c r="AQ409" s="55"/>
      <c r="AR409" s="55"/>
      <c r="AS409" s="55"/>
      <c r="AT409" s="55"/>
      <c r="AU409" s="55"/>
      <c r="AV409" s="55"/>
      <c r="AW409" s="55"/>
      <c r="AX409" s="55"/>
      <c r="AY409" s="55"/>
      <c r="AZ409" s="55"/>
      <c r="BA409" s="55"/>
      <c r="BB409" s="55"/>
      <c r="BC409" s="55"/>
      <c r="BD409" s="55"/>
      <c r="BE409" s="55"/>
      <c r="BF409" s="55"/>
      <c r="BG409" s="55"/>
      <c r="BH409" s="55"/>
      <c r="BI409" s="55"/>
      <c r="BJ409" s="55"/>
      <c r="BK409" s="55"/>
      <c r="BL409" s="55"/>
      <c r="BM409" s="55"/>
      <c r="BN409" s="55"/>
      <c r="BO409" s="55"/>
      <c r="BP409" s="55"/>
      <c r="BQ409" s="55"/>
      <c r="BR409" s="55"/>
      <c r="BS409" s="55"/>
    </row>
    <row r="410" spans="1:71" outlineLevel="1" x14ac:dyDescent="0.2">
      <c r="D410" t="str">
        <f>CHOOSE(db_ML_selected,'Liste Traduction'!B389,'Liste Traduction'!C389)</f>
        <v>Revenus pétroliers</v>
      </c>
      <c r="I410" s="30">
        <f t="shared" ref="I410:I412" ca="1" si="127">SUM($L410:$BS410)</f>
        <v>5594.1580569743337</v>
      </c>
      <c r="J410" s="26" t="s">
        <v>148</v>
      </c>
      <c r="L410" s="49" cm="1">
        <f t="array" aca="1" ref="L410:BS410" ca="1">HM_ZA_Nkossa!CA_gross_rev_oil_fp</f>
        <v>919.71353594999982</v>
      </c>
      <c r="M410" s="49">
        <f ca="1"/>
        <v>977.65439921200004</v>
      </c>
      <c r="N410" s="49">
        <f ca="1"/>
        <v>432.53344811799991</v>
      </c>
      <c r="O410" s="49">
        <f ca="1"/>
        <v>404.77008564400001</v>
      </c>
      <c r="P410" s="49">
        <f ca="1"/>
        <v>433.37361789100009</v>
      </c>
      <c r="Q410" s="49">
        <f ca="1"/>
        <v>463.28111799300001</v>
      </c>
      <c r="R410" s="49">
        <f ca="1"/>
        <v>443.65205259400005</v>
      </c>
      <c r="S410" s="49">
        <f ca="1"/>
        <v>205.57363143333333</v>
      </c>
      <c r="T410" s="49">
        <f ca="1"/>
        <v>279.75531737087994</v>
      </c>
      <c r="U410" s="49">
        <f ca="1"/>
        <v>279.26577584639995</v>
      </c>
      <c r="V410" s="49">
        <f ca="1"/>
        <v>264.91151496789496</v>
      </c>
      <c r="W410" s="49">
        <f ca="1"/>
        <v>251.29506309854514</v>
      </c>
      <c r="X410" s="49">
        <f ca="1"/>
        <v>238.37849685527993</v>
      </c>
      <c r="Y410" s="49">
        <f ca="1"/>
        <v>0</v>
      </c>
      <c r="Z410" s="49">
        <f ca="1"/>
        <v>0</v>
      </c>
      <c r="AA410" s="49">
        <f ca="1"/>
        <v>0</v>
      </c>
      <c r="AB410" s="49">
        <f ca="1"/>
        <v>0</v>
      </c>
      <c r="AC410" s="49">
        <f ca="1"/>
        <v>0</v>
      </c>
      <c r="AD410" s="49">
        <f ca="1"/>
        <v>0</v>
      </c>
      <c r="AE410" s="49">
        <f ca="1"/>
        <v>0</v>
      </c>
      <c r="AF410" s="49">
        <f ca="1"/>
        <v>0</v>
      </c>
      <c r="AG410" s="49">
        <f ca="1"/>
        <v>0</v>
      </c>
      <c r="AH410" s="49">
        <f ca="1"/>
        <v>0</v>
      </c>
      <c r="AI410" s="49">
        <f ca="1"/>
        <v>0</v>
      </c>
      <c r="AJ410" s="49">
        <f ca="1"/>
        <v>0</v>
      </c>
      <c r="AK410" s="49">
        <f ca="1"/>
        <v>0</v>
      </c>
      <c r="AL410" s="49">
        <f ca="1"/>
        <v>0</v>
      </c>
      <c r="AM410" s="49">
        <f ca="1"/>
        <v>0</v>
      </c>
      <c r="AN410" s="49">
        <f ca="1"/>
        <v>0</v>
      </c>
      <c r="AO410" s="49">
        <f ca="1"/>
        <v>0</v>
      </c>
      <c r="AP410" s="49">
        <f ca="1"/>
        <v>0</v>
      </c>
      <c r="AQ410" s="49">
        <f ca="1"/>
        <v>0</v>
      </c>
      <c r="AR410" s="49">
        <f ca="1"/>
        <v>0</v>
      </c>
      <c r="AS410" s="49">
        <f ca="1"/>
        <v>0</v>
      </c>
      <c r="AT410" s="49">
        <f ca="1"/>
        <v>0</v>
      </c>
      <c r="AU410" s="49">
        <f ca="1"/>
        <v>0</v>
      </c>
      <c r="AV410" s="49">
        <f ca="1"/>
        <v>0</v>
      </c>
      <c r="AW410" s="49">
        <f ca="1"/>
        <v>0</v>
      </c>
      <c r="AX410" s="49">
        <f ca="1"/>
        <v>0</v>
      </c>
      <c r="AY410" s="49">
        <f ca="1"/>
        <v>0</v>
      </c>
      <c r="AZ410" s="49">
        <f ca="1"/>
        <v>0</v>
      </c>
      <c r="BA410" s="49">
        <f ca="1"/>
        <v>0</v>
      </c>
      <c r="BB410" s="49">
        <f ca="1"/>
        <v>0</v>
      </c>
      <c r="BC410" s="49">
        <f ca="1"/>
        <v>0</v>
      </c>
      <c r="BD410" s="49">
        <f ca="1"/>
        <v>0</v>
      </c>
      <c r="BE410" s="49">
        <f ca="1"/>
        <v>0</v>
      </c>
      <c r="BF410" s="49">
        <f ca="1"/>
        <v>0</v>
      </c>
      <c r="BG410" s="49">
        <f ca="1"/>
        <v>0</v>
      </c>
      <c r="BH410" s="49">
        <f ca="1"/>
        <v>0</v>
      </c>
      <c r="BI410" s="49">
        <f ca="1"/>
        <v>0</v>
      </c>
      <c r="BJ410" s="49">
        <f ca="1"/>
        <v>0</v>
      </c>
      <c r="BK410" s="49">
        <f ca="1"/>
        <v>0</v>
      </c>
      <c r="BL410" s="49">
        <f ca="1"/>
        <v>0</v>
      </c>
      <c r="BM410" s="49">
        <f ca="1"/>
        <v>0</v>
      </c>
      <c r="BN410" s="49">
        <f ca="1"/>
        <v>0</v>
      </c>
      <c r="BO410" s="49">
        <f ca="1"/>
        <v>0</v>
      </c>
      <c r="BP410" s="49">
        <f ca="1"/>
        <v>0</v>
      </c>
      <c r="BQ410" s="49">
        <f ca="1"/>
        <v>0</v>
      </c>
      <c r="BR410" s="49">
        <f ca="1"/>
        <v>0</v>
      </c>
      <c r="BS410" s="49">
        <f ca="1"/>
        <v>0</v>
      </c>
    </row>
    <row r="411" spans="1:71" outlineLevel="1" x14ac:dyDescent="0.2">
      <c r="D411" t="str">
        <f>CHOOSE(db_ML_selected,'Liste Traduction'!B390,'Liste Traduction'!C390)</f>
        <v>Revenus gaziers</v>
      </c>
      <c r="I411" s="30">
        <f t="shared" ca="1" si="127"/>
        <v>0</v>
      </c>
      <c r="J411" s="26" t="s">
        <v>148</v>
      </c>
      <c r="L411" s="49" cm="1">
        <f t="array" aca="1" ref="L411:BS411" ca="1">HM_ZA_Nkossa!CA_gross_rev_gas_fp</f>
        <v>0</v>
      </c>
      <c r="M411" s="49">
        <f ca="1"/>
        <v>0</v>
      </c>
      <c r="N411" s="49">
        <f ca="1"/>
        <v>0</v>
      </c>
      <c r="O411" s="49">
        <f ca="1"/>
        <v>0</v>
      </c>
      <c r="P411" s="49">
        <f ca="1"/>
        <v>0</v>
      </c>
      <c r="Q411" s="49">
        <f ca="1"/>
        <v>0</v>
      </c>
      <c r="R411" s="49">
        <f ca="1"/>
        <v>0</v>
      </c>
      <c r="S411" s="49">
        <f ca="1"/>
        <v>0</v>
      </c>
      <c r="T411" s="49">
        <f ca="1"/>
        <v>0</v>
      </c>
      <c r="U411" s="49">
        <f ca="1"/>
        <v>0</v>
      </c>
      <c r="V411" s="49">
        <f ca="1"/>
        <v>0</v>
      </c>
      <c r="W411" s="49">
        <f ca="1"/>
        <v>0</v>
      </c>
      <c r="X411" s="49">
        <f ca="1"/>
        <v>0</v>
      </c>
      <c r="Y411" s="49">
        <f ca="1"/>
        <v>0</v>
      </c>
      <c r="Z411" s="49">
        <f ca="1"/>
        <v>0</v>
      </c>
      <c r="AA411" s="49">
        <f ca="1"/>
        <v>0</v>
      </c>
      <c r="AB411" s="49">
        <f ca="1"/>
        <v>0</v>
      </c>
      <c r="AC411" s="49">
        <f ca="1"/>
        <v>0</v>
      </c>
      <c r="AD411" s="49">
        <f ca="1"/>
        <v>0</v>
      </c>
      <c r="AE411" s="49">
        <f ca="1"/>
        <v>0</v>
      </c>
      <c r="AF411" s="49">
        <f ca="1"/>
        <v>0</v>
      </c>
      <c r="AG411" s="49">
        <f ca="1"/>
        <v>0</v>
      </c>
      <c r="AH411" s="49">
        <f ca="1"/>
        <v>0</v>
      </c>
      <c r="AI411" s="49">
        <f ca="1"/>
        <v>0</v>
      </c>
      <c r="AJ411" s="49">
        <f ca="1"/>
        <v>0</v>
      </c>
      <c r="AK411" s="49">
        <f ca="1"/>
        <v>0</v>
      </c>
      <c r="AL411" s="49">
        <f ca="1"/>
        <v>0</v>
      </c>
      <c r="AM411" s="49">
        <f ca="1"/>
        <v>0</v>
      </c>
      <c r="AN411" s="49">
        <f ca="1"/>
        <v>0</v>
      </c>
      <c r="AO411" s="49">
        <f ca="1"/>
        <v>0</v>
      </c>
      <c r="AP411" s="49">
        <f ca="1"/>
        <v>0</v>
      </c>
      <c r="AQ411" s="49">
        <f ca="1"/>
        <v>0</v>
      </c>
      <c r="AR411" s="49">
        <f ca="1"/>
        <v>0</v>
      </c>
      <c r="AS411" s="49">
        <f ca="1"/>
        <v>0</v>
      </c>
      <c r="AT411" s="49">
        <f ca="1"/>
        <v>0</v>
      </c>
      <c r="AU411" s="49">
        <f ca="1"/>
        <v>0</v>
      </c>
      <c r="AV411" s="49">
        <f ca="1"/>
        <v>0</v>
      </c>
      <c r="AW411" s="49">
        <f ca="1"/>
        <v>0</v>
      </c>
      <c r="AX411" s="49">
        <f ca="1"/>
        <v>0</v>
      </c>
      <c r="AY411" s="49">
        <f ca="1"/>
        <v>0</v>
      </c>
      <c r="AZ411" s="49">
        <f ca="1"/>
        <v>0</v>
      </c>
      <c r="BA411" s="49">
        <f ca="1"/>
        <v>0</v>
      </c>
      <c r="BB411" s="49">
        <f ca="1"/>
        <v>0</v>
      </c>
      <c r="BC411" s="49">
        <f ca="1"/>
        <v>0</v>
      </c>
      <c r="BD411" s="49">
        <f ca="1"/>
        <v>0</v>
      </c>
      <c r="BE411" s="49">
        <f ca="1"/>
        <v>0</v>
      </c>
      <c r="BF411" s="49">
        <f ca="1"/>
        <v>0</v>
      </c>
      <c r="BG411" s="49">
        <f ca="1"/>
        <v>0</v>
      </c>
      <c r="BH411" s="49">
        <f ca="1"/>
        <v>0</v>
      </c>
      <c r="BI411" s="49">
        <f ca="1"/>
        <v>0</v>
      </c>
      <c r="BJ411" s="49">
        <f ca="1"/>
        <v>0</v>
      </c>
      <c r="BK411" s="49">
        <f ca="1"/>
        <v>0</v>
      </c>
      <c r="BL411" s="49">
        <f ca="1"/>
        <v>0</v>
      </c>
      <c r="BM411" s="49">
        <f ca="1"/>
        <v>0</v>
      </c>
      <c r="BN411" s="49">
        <f ca="1"/>
        <v>0</v>
      </c>
      <c r="BO411" s="49">
        <f ca="1"/>
        <v>0</v>
      </c>
      <c r="BP411" s="49">
        <f ca="1"/>
        <v>0</v>
      </c>
      <c r="BQ411" s="49">
        <f ca="1"/>
        <v>0</v>
      </c>
      <c r="BR411" s="49">
        <f ca="1"/>
        <v>0</v>
      </c>
      <c r="BS411" s="49">
        <f ca="1"/>
        <v>0</v>
      </c>
    </row>
    <row r="412" spans="1:71" outlineLevel="1" x14ac:dyDescent="0.2">
      <c r="D412" s="11" t="str">
        <f>CHOOSE(db_ML_selected,'Liste Traduction'!B391,'Liste Traduction'!C391)</f>
        <v>Total revenus bruts</v>
      </c>
      <c r="I412" s="30">
        <f t="shared" ca="1" si="127"/>
        <v>5594.1580569743337</v>
      </c>
      <c r="J412" s="26" t="s">
        <v>148</v>
      </c>
      <c r="L412" s="49">
        <f ca="1">SUM(L410:L411)</f>
        <v>919.71353594999982</v>
      </c>
      <c r="M412" s="49">
        <f t="shared" ref="M412:BS412" ca="1" si="128">SUM(M410:M411)</f>
        <v>977.65439921200004</v>
      </c>
      <c r="N412" s="49">
        <f t="shared" ca="1" si="128"/>
        <v>432.53344811799991</v>
      </c>
      <c r="O412" s="49">
        <f t="shared" ca="1" si="128"/>
        <v>404.77008564400001</v>
      </c>
      <c r="P412" s="49">
        <f t="shared" ca="1" si="128"/>
        <v>433.37361789100009</v>
      </c>
      <c r="Q412" s="49">
        <f t="shared" ca="1" si="128"/>
        <v>463.28111799300001</v>
      </c>
      <c r="R412" s="49">
        <f t="shared" ca="1" si="128"/>
        <v>443.65205259400005</v>
      </c>
      <c r="S412" s="49">
        <f t="shared" ca="1" si="128"/>
        <v>205.57363143333333</v>
      </c>
      <c r="T412" s="49">
        <f t="shared" ca="1" si="128"/>
        <v>279.75531737087994</v>
      </c>
      <c r="U412" s="49">
        <f t="shared" ca="1" si="128"/>
        <v>279.26577584639995</v>
      </c>
      <c r="V412" s="49">
        <f t="shared" ca="1" si="128"/>
        <v>264.91151496789496</v>
      </c>
      <c r="W412" s="49">
        <f t="shared" ca="1" si="128"/>
        <v>251.29506309854514</v>
      </c>
      <c r="X412" s="49">
        <f t="shared" ca="1" si="128"/>
        <v>238.37849685527993</v>
      </c>
      <c r="Y412" s="49">
        <f t="shared" ca="1" si="128"/>
        <v>0</v>
      </c>
      <c r="Z412" s="49">
        <f t="shared" ca="1" si="128"/>
        <v>0</v>
      </c>
      <c r="AA412" s="49">
        <f t="shared" ca="1" si="128"/>
        <v>0</v>
      </c>
      <c r="AB412" s="49">
        <f t="shared" ca="1" si="128"/>
        <v>0</v>
      </c>
      <c r="AC412" s="49">
        <f t="shared" ca="1" si="128"/>
        <v>0</v>
      </c>
      <c r="AD412" s="49">
        <f t="shared" ca="1" si="128"/>
        <v>0</v>
      </c>
      <c r="AE412" s="49">
        <f t="shared" ca="1" si="128"/>
        <v>0</v>
      </c>
      <c r="AF412" s="49">
        <f t="shared" ca="1" si="128"/>
        <v>0</v>
      </c>
      <c r="AG412" s="49">
        <f t="shared" ca="1" si="128"/>
        <v>0</v>
      </c>
      <c r="AH412" s="49">
        <f t="shared" ca="1" si="128"/>
        <v>0</v>
      </c>
      <c r="AI412" s="49">
        <f t="shared" ca="1" si="128"/>
        <v>0</v>
      </c>
      <c r="AJ412" s="49">
        <f t="shared" ca="1" si="128"/>
        <v>0</v>
      </c>
      <c r="AK412" s="49">
        <f t="shared" ca="1" si="128"/>
        <v>0</v>
      </c>
      <c r="AL412" s="49">
        <f t="shared" ca="1" si="128"/>
        <v>0</v>
      </c>
      <c r="AM412" s="49">
        <f t="shared" ca="1" si="128"/>
        <v>0</v>
      </c>
      <c r="AN412" s="49">
        <f t="shared" ca="1" si="128"/>
        <v>0</v>
      </c>
      <c r="AO412" s="49">
        <f t="shared" ca="1" si="128"/>
        <v>0</v>
      </c>
      <c r="AP412" s="49">
        <f t="shared" ca="1" si="128"/>
        <v>0</v>
      </c>
      <c r="AQ412" s="49">
        <f t="shared" ca="1" si="128"/>
        <v>0</v>
      </c>
      <c r="AR412" s="49">
        <f t="shared" ca="1" si="128"/>
        <v>0</v>
      </c>
      <c r="AS412" s="49">
        <f t="shared" ca="1" si="128"/>
        <v>0</v>
      </c>
      <c r="AT412" s="49">
        <f t="shared" ca="1" si="128"/>
        <v>0</v>
      </c>
      <c r="AU412" s="49">
        <f t="shared" ca="1" si="128"/>
        <v>0</v>
      </c>
      <c r="AV412" s="49">
        <f t="shared" ca="1" si="128"/>
        <v>0</v>
      </c>
      <c r="AW412" s="49">
        <f t="shared" ca="1" si="128"/>
        <v>0</v>
      </c>
      <c r="AX412" s="49">
        <f t="shared" ca="1" si="128"/>
        <v>0</v>
      </c>
      <c r="AY412" s="49">
        <f t="shared" ca="1" si="128"/>
        <v>0</v>
      </c>
      <c r="AZ412" s="49">
        <f t="shared" ca="1" si="128"/>
        <v>0</v>
      </c>
      <c r="BA412" s="49">
        <f t="shared" ca="1" si="128"/>
        <v>0</v>
      </c>
      <c r="BB412" s="49">
        <f t="shared" ca="1" si="128"/>
        <v>0</v>
      </c>
      <c r="BC412" s="49">
        <f t="shared" ca="1" si="128"/>
        <v>0</v>
      </c>
      <c r="BD412" s="49">
        <f t="shared" ca="1" si="128"/>
        <v>0</v>
      </c>
      <c r="BE412" s="49">
        <f t="shared" ca="1" si="128"/>
        <v>0</v>
      </c>
      <c r="BF412" s="49">
        <f t="shared" ca="1" si="128"/>
        <v>0</v>
      </c>
      <c r="BG412" s="49">
        <f t="shared" ca="1" si="128"/>
        <v>0</v>
      </c>
      <c r="BH412" s="49">
        <f t="shared" ca="1" si="128"/>
        <v>0</v>
      </c>
      <c r="BI412" s="49">
        <f t="shared" ca="1" si="128"/>
        <v>0</v>
      </c>
      <c r="BJ412" s="49">
        <f t="shared" ca="1" si="128"/>
        <v>0</v>
      </c>
      <c r="BK412" s="49">
        <f t="shared" ca="1" si="128"/>
        <v>0</v>
      </c>
      <c r="BL412" s="49">
        <f t="shared" ca="1" si="128"/>
        <v>0</v>
      </c>
      <c r="BM412" s="49">
        <f t="shared" ca="1" si="128"/>
        <v>0</v>
      </c>
      <c r="BN412" s="49">
        <f t="shared" ca="1" si="128"/>
        <v>0</v>
      </c>
      <c r="BO412" s="49">
        <f t="shared" ca="1" si="128"/>
        <v>0</v>
      </c>
      <c r="BP412" s="49">
        <f t="shared" ca="1" si="128"/>
        <v>0</v>
      </c>
      <c r="BQ412" s="49">
        <f t="shared" ca="1" si="128"/>
        <v>0</v>
      </c>
      <c r="BR412" s="49">
        <f t="shared" ca="1" si="128"/>
        <v>0</v>
      </c>
      <c r="BS412" s="49">
        <f t="shared" ca="1" si="128"/>
        <v>0</v>
      </c>
    </row>
    <row r="413" spans="1:71" outlineLevel="1" x14ac:dyDescent="0.2">
      <c r="J413" s="26"/>
      <c r="L413" s="55"/>
      <c r="M413" s="55"/>
      <c r="N413" s="55"/>
      <c r="O413" s="55"/>
      <c r="P413" s="55"/>
      <c r="Q413" s="55"/>
      <c r="R413" s="55"/>
      <c r="S413" s="55"/>
      <c r="T413" s="55"/>
      <c r="U413" s="55"/>
      <c r="V413" s="55"/>
      <c r="W413" s="55"/>
      <c r="X413" s="55"/>
      <c r="Y413" s="55"/>
      <c r="Z413" s="55"/>
      <c r="AA413" s="55"/>
      <c r="AB413" s="55"/>
      <c r="AC413" s="55"/>
      <c r="AD413" s="55"/>
      <c r="AE413" s="55"/>
      <c r="AF413" s="55"/>
      <c r="AG413" s="55"/>
      <c r="AH413" s="55"/>
      <c r="AI413" s="55"/>
      <c r="AJ413" s="55"/>
      <c r="AK413" s="55"/>
      <c r="AL413" s="55"/>
      <c r="AM413" s="55"/>
      <c r="AN413" s="55"/>
      <c r="AO413" s="55"/>
      <c r="AP413" s="55"/>
      <c r="AQ413" s="55"/>
      <c r="AR413" s="55"/>
      <c r="AS413" s="55"/>
      <c r="AT413" s="55"/>
      <c r="AU413" s="55"/>
      <c r="AV413" s="55"/>
      <c r="AW413" s="55"/>
      <c r="AX413" s="55"/>
      <c r="AY413" s="55"/>
      <c r="AZ413" s="55"/>
      <c r="BA413" s="55"/>
      <c r="BB413" s="55"/>
      <c r="BC413" s="55"/>
      <c r="BD413" s="55"/>
      <c r="BE413" s="55"/>
      <c r="BF413" s="55"/>
      <c r="BG413" s="55"/>
      <c r="BH413" s="55"/>
      <c r="BI413" s="55"/>
      <c r="BJ413" s="55"/>
      <c r="BK413" s="55"/>
      <c r="BL413" s="55"/>
      <c r="BM413" s="55"/>
      <c r="BN413" s="55"/>
      <c r="BO413" s="55"/>
      <c r="BP413" s="55"/>
      <c r="BQ413" s="55"/>
      <c r="BR413" s="55"/>
      <c r="BS413" s="55"/>
    </row>
    <row r="414" spans="1:71" outlineLevel="1" x14ac:dyDescent="0.2">
      <c r="C414" t="str">
        <f>B182</f>
        <v>Coûts d'exploitation</v>
      </c>
      <c r="J414" s="26"/>
      <c r="L414" s="55"/>
      <c r="M414" s="55"/>
      <c r="N414" s="55"/>
      <c r="O414" s="55"/>
      <c r="P414" s="55"/>
      <c r="Q414" s="55"/>
      <c r="R414" s="55"/>
      <c r="S414" s="55"/>
      <c r="T414" s="55"/>
      <c r="U414" s="55"/>
      <c r="V414" s="55"/>
      <c r="W414" s="55"/>
      <c r="X414" s="55"/>
      <c r="Y414" s="55"/>
      <c r="Z414" s="55"/>
      <c r="AA414" s="55"/>
      <c r="AB414" s="55"/>
      <c r="AC414" s="55"/>
      <c r="AD414" s="55"/>
      <c r="AE414" s="55"/>
      <c r="AF414" s="55"/>
      <c r="AG414" s="55"/>
      <c r="AH414" s="55"/>
      <c r="AI414" s="55"/>
      <c r="AJ414" s="55"/>
      <c r="AK414" s="55"/>
      <c r="AL414" s="55"/>
      <c r="AM414" s="55"/>
      <c r="AN414" s="55"/>
      <c r="AO414" s="55"/>
      <c r="AP414" s="55"/>
      <c r="AQ414" s="55"/>
      <c r="AR414" s="55"/>
      <c r="AS414" s="55"/>
      <c r="AT414" s="55"/>
      <c r="AU414" s="55"/>
      <c r="AV414" s="55"/>
      <c r="AW414" s="55"/>
      <c r="AX414" s="55"/>
      <c r="AY414" s="55"/>
      <c r="AZ414" s="55"/>
      <c r="BA414" s="55"/>
      <c r="BB414" s="55"/>
      <c r="BC414" s="55"/>
      <c r="BD414" s="55"/>
      <c r="BE414" s="55"/>
      <c r="BF414" s="55"/>
      <c r="BG414" s="55"/>
      <c r="BH414" s="55"/>
      <c r="BI414" s="55"/>
      <c r="BJ414" s="55"/>
      <c r="BK414" s="55"/>
      <c r="BL414" s="55"/>
      <c r="BM414" s="55"/>
      <c r="BN414" s="55"/>
      <c r="BO414" s="55"/>
      <c r="BP414" s="55"/>
      <c r="BQ414" s="55"/>
      <c r="BR414" s="55"/>
      <c r="BS414" s="55"/>
    </row>
    <row r="415" spans="1:71" outlineLevel="1" x14ac:dyDescent="0.2">
      <c r="D415" t="str">
        <f>CHOOSE(db_ML_selected,'Liste Traduction'!B392,'Liste Traduction'!C392)</f>
        <v>Opex fixes</v>
      </c>
      <c r="I415" s="30">
        <f t="shared" ref="I415:I417" ca="1" si="129">SUM($L415:$BS415)</f>
        <v>0</v>
      </c>
      <c r="J415" s="26" t="s">
        <v>148</v>
      </c>
      <c r="L415" s="49" cm="1">
        <f t="array" aca="1" ref="L415:BS415" ca="1">HM_ZA_Nkossa!CA_fixedopex_nom</f>
        <v>0</v>
      </c>
      <c r="M415" s="49">
        <f ca="1"/>
        <v>0</v>
      </c>
      <c r="N415" s="49">
        <f ca="1"/>
        <v>0</v>
      </c>
      <c r="O415" s="49">
        <f ca="1"/>
        <v>0</v>
      </c>
      <c r="P415" s="49">
        <f ca="1"/>
        <v>0</v>
      </c>
      <c r="Q415" s="49">
        <f ca="1"/>
        <v>0</v>
      </c>
      <c r="R415" s="49">
        <f ca="1"/>
        <v>0</v>
      </c>
      <c r="S415" s="49">
        <f ca="1"/>
        <v>0</v>
      </c>
      <c r="T415" s="49">
        <f ca="1"/>
        <v>0</v>
      </c>
      <c r="U415" s="49">
        <f ca="1"/>
        <v>0</v>
      </c>
      <c r="V415" s="49">
        <f ca="1"/>
        <v>0</v>
      </c>
      <c r="W415" s="49">
        <f ca="1"/>
        <v>0</v>
      </c>
      <c r="X415" s="49">
        <f ca="1"/>
        <v>0</v>
      </c>
      <c r="Y415" s="49">
        <f ca="1"/>
        <v>0</v>
      </c>
      <c r="Z415" s="49">
        <f ca="1"/>
        <v>0</v>
      </c>
      <c r="AA415" s="49">
        <f ca="1"/>
        <v>0</v>
      </c>
      <c r="AB415" s="49">
        <f ca="1"/>
        <v>0</v>
      </c>
      <c r="AC415" s="49">
        <f ca="1"/>
        <v>0</v>
      </c>
      <c r="AD415" s="49">
        <f ca="1"/>
        <v>0</v>
      </c>
      <c r="AE415" s="49">
        <f ca="1"/>
        <v>0</v>
      </c>
      <c r="AF415" s="49">
        <f ca="1"/>
        <v>0</v>
      </c>
      <c r="AG415" s="49">
        <f ca="1"/>
        <v>0</v>
      </c>
      <c r="AH415" s="49">
        <f ca="1"/>
        <v>0</v>
      </c>
      <c r="AI415" s="49">
        <f ca="1"/>
        <v>0</v>
      </c>
      <c r="AJ415" s="49">
        <f ca="1"/>
        <v>0</v>
      </c>
      <c r="AK415" s="49">
        <f ca="1"/>
        <v>0</v>
      </c>
      <c r="AL415" s="49">
        <f ca="1"/>
        <v>0</v>
      </c>
      <c r="AM415" s="49">
        <f ca="1"/>
        <v>0</v>
      </c>
      <c r="AN415" s="49">
        <f ca="1"/>
        <v>0</v>
      </c>
      <c r="AO415" s="49">
        <f ca="1"/>
        <v>0</v>
      </c>
      <c r="AP415" s="49">
        <f ca="1"/>
        <v>0</v>
      </c>
      <c r="AQ415" s="49">
        <f ca="1"/>
        <v>0</v>
      </c>
      <c r="AR415" s="49">
        <f ca="1"/>
        <v>0</v>
      </c>
      <c r="AS415" s="49">
        <f ca="1"/>
        <v>0</v>
      </c>
      <c r="AT415" s="49">
        <f ca="1"/>
        <v>0</v>
      </c>
      <c r="AU415" s="49">
        <f ca="1"/>
        <v>0</v>
      </c>
      <c r="AV415" s="49">
        <f ca="1"/>
        <v>0</v>
      </c>
      <c r="AW415" s="49">
        <f ca="1"/>
        <v>0</v>
      </c>
      <c r="AX415" s="49">
        <f ca="1"/>
        <v>0</v>
      </c>
      <c r="AY415" s="49">
        <f ca="1"/>
        <v>0</v>
      </c>
      <c r="AZ415" s="49">
        <f ca="1"/>
        <v>0</v>
      </c>
      <c r="BA415" s="49">
        <f ca="1"/>
        <v>0</v>
      </c>
      <c r="BB415" s="49">
        <f ca="1"/>
        <v>0</v>
      </c>
      <c r="BC415" s="49">
        <f ca="1"/>
        <v>0</v>
      </c>
      <c r="BD415" s="49">
        <f ca="1"/>
        <v>0</v>
      </c>
      <c r="BE415" s="49">
        <f ca="1"/>
        <v>0</v>
      </c>
      <c r="BF415" s="49">
        <f ca="1"/>
        <v>0</v>
      </c>
      <c r="BG415" s="49">
        <f ca="1"/>
        <v>0</v>
      </c>
      <c r="BH415" s="49">
        <f ca="1"/>
        <v>0</v>
      </c>
      <c r="BI415" s="49">
        <f ca="1"/>
        <v>0</v>
      </c>
      <c r="BJ415" s="49">
        <f ca="1"/>
        <v>0</v>
      </c>
      <c r="BK415" s="49">
        <f ca="1"/>
        <v>0</v>
      </c>
      <c r="BL415" s="49">
        <f ca="1"/>
        <v>0</v>
      </c>
      <c r="BM415" s="49">
        <f ca="1"/>
        <v>0</v>
      </c>
      <c r="BN415" s="49">
        <f ca="1"/>
        <v>0</v>
      </c>
      <c r="BO415" s="49">
        <f ca="1"/>
        <v>0</v>
      </c>
      <c r="BP415" s="49">
        <f ca="1"/>
        <v>0</v>
      </c>
      <c r="BQ415" s="49">
        <f ca="1"/>
        <v>0</v>
      </c>
      <c r="BR415" s="49">
        <f ca="1"/>
        <v>0</v>
      </c>
      <c r="BS415" s="49">
        <f ca="1"/>
        <v>0</v>
      </c>
    </row>
    <row r="416" spans="1:71" outlineLevel="1" x14ac:dyDescent="0.2">
      <c r="D416" t="str">
        <f>CHOOSE(db_ML_selected,'Liste Traduction'!B393,'Liste Traduction'!C393)</f>
        <v>Opex variables</v>
      </c>
      <c r="I416" s="30">
        <f t="shared" ca="1" si="129"/>
        <v>1434.5774916640003</v>
      </c>
      <c r="J416" s="26" t="s">
        <v>148</v>
      </c>
      <c r="L416" s="49" cm="1">
        <f t="array" aca="1" ref="L416:BS416" ca="1">HM_ZA_Nkossa!CA_varopex_nom</f>
        <v>212.22900000000001</v>
      </c>
      <c r="M416" s="49">
        <f ca="1"/>
        <v>176.756</v>
      </c>
      <c r="N416" s="49">
        <f ca="1"/>
        <v>125.261</v>
      </c>
      <c r="O416" s="49">
        <f ca="1"/>
        <v>157.50200000000001</v>
      </c>
      <c r="P416" s="49">
        <f ca="1"/>
        <v>196.16</v>
      </c>
      <c r="Q416" s="49">
        <f ca="1"/>
        <v>89.2</v>
      </c>
      <c r="R416" s="49">
        <f ca="1"/>
        <v>77.2</v>
      </c>
      <c r="S416" s="49">
        <f ca="1"/>
        <v>66.2</v>
      </c>
      <c r="T416" s="49">
        <f ca="1"/>
        <v>65.5</v>
      </c>
      <c r="U416" s="49">
        <f ca="1"/>
        <v>66.198000000000008</v>
      </c>
      <c r="V416" s="49">
        <f ca="1"/>
        <v>66.793680000000009</v>
      </c>
      <c r="W416" s="49">
        <f ca="1"/>
        <v>67.492828799999998</v>
      </c>
      <c r="X416" s="49">
        <f ca="1"/>
        <v>68.084982863999997</v>
      </c>
      <c r="Y416" s="49">
        <f ca="1"/>
        <v>0</v>
      </c>
      <c r="Z416" s="49">
        <f ca="1"/>
        <v>0</v>
      </c>
      <c r="AA416" s="49">
        <f ca="1"/>
        <v>0</v>
      </c>
      <c r="AB416" s="49">
        <f ca="1"/>
        <v>0</v>
      </c>
      <c r="AC416" s="49">
        <f ca="1"/>
        <v>0</v>
      </c>
      <c r="AD416" s="49">
        <f ca="1"/>
        <v>0</v>
      </c>
      <c r="AE416" s="49">
        <f ca="1"/>
        <v>0</v>
      </c>
      <c r="AF416" s="49">
        <f ca="1"/>
        <v>0</v>
      </c>
      <c r="AG416" s="49">
        <f ca="1"/>
        <v>0</v>
      </c>
      <c r="AH416" s="49">
        <f ca="1"/>
        <v>0</v>
      </c>
      <c r="AI416" s="49">
        <f ca="1"/>
        <v>0</v>
      </c>
      <c r="AJ416" s="49">
        <f ca="1"/>
        <v>0</v>
      </c>
      <c r="AK416" s="49">
        <f ca="1"/>
        <v>0</v>
      </c>
      <c r="AL416" s="49">
        <f ca="1"/>
        <v>0</v>
      </c>
      <c r="AM416" s="49">
        <f ca="1"/>
        <v>0</v>
      </c>
      <c r="AN416" s="49">
        <f ca="1"/>
        <v>0</v>
      </c>
      <c r="AO416" s="49">
        <f ca="1"/>
        <v>0</v>
      </c>
      <c r="AP416" s="49">
        <f ca="1"/>
        <v>0</v>
      </c>
      <c r="AQ416" s="49">
        <f ca="1"/>
        <v>0</v>
      </c>
      <c r="AR416" s="49">
        <f ca="1"/>
        <v>0</v>
      </c>
      <c r="AS416" s="49">
        <f ca="1"/>
        <v>0</v>
      </c>
      <c r="AT416" s="49">
        <f ca="1"/>
        <v>0</v>
      </c>
      <c r="AU416" s="49">
        <f ca="1"/>
        <v>0</v>
      </c>
      <c r="AV416" s="49">
        <f ca="1"/>
        <v>0</v>
      </c>
      <c r="AW416" s="49">
        <f ca="1"/>
        <v>0</v>
      </c>
      <c r="AX416" s="49">
        <f ca="1"/>
        <v>0</v>
      </c>
      <c r="AY416" s="49">
        <f ca="1"/>
        <v>0</v>
      </c>
      <c r="AZ416" s="49">
        <f ca="1"/>
        <v>0</v>
      </c>
      <c r="BA416" s="49">
        <f ca="1"/>
        <v>0</v>
      </c>
      <c r="BB416" s="49">
        <f ca="1"/>
        <v>0</v>
      </c>
      <c r="BC416" s="49">
        <f ca="1"/>
        <v>0</v>
      </c>
      <c r="BD416" s="49">
        <f ca="1"/>
        <v>0</v>
      </c>
      <c r="BE416" s="49">
        <f ca="1"/>
        <v>0</v>
      </c>
      <c r="BF416" s="49">
        <f ca="1"/>
        <v>0</v>
      </c>
      <c r="BG416" s="49">
        <f ca="1"/>
        <v>0</v>
      </c>
      <c r="BH416" s="49">
        <f ca="1"/>
        <v>0</v>
      </c>
      <c r="BI416" s="49">
        <f ca="1"/>
        <v>0</v>
      </c>
      <c r="BJ416" s="49">
        <f ca="1"/>
        <v>0</v>
      </c>
      <c r="BK416" s="49">
        <f ca="1"/>
        <v>0</v>
      </c>
      <c r="BL416" s="49">
        <f ca="1"/>
        <v>0</v>
      </c>
      <c r="BM416" s="49">
        <f ca="1"/>
        <v>0</v>
      </c>
      <c r="BN416" s="49">
        <f ca="1"/>
        <v>0</v>
      </c>
      <c r="BO416" s="49">
        <f ca="1"/>
        <v>0</v>
      </c>
      <c r="BP416" s="49">
        <f ca="1"/>
        <v>0</v>
      </c>
      <c r="BQ416" s="49">
        <f ca="1"/>
        <v>0</v>
      </c>
      <c r="BR416" s="49">
        <f ca="1"/>
        <v>0</v>
      </c>
      <c r="BS416" s="49">
        <f ca="1"/>
        <v>0</v>
      </c>
    </row>
    <row r="417" spans="1:71" outlineLevel="1" x14ac:dyDescent="0.2">
      <c r="D417" s="11" t="str">
        <f>D191</f>
        <v>Total Opex</v>
      </c>
      <c r="I417" s="30">
        <f t="shared" ca="1" si="129"/>
        <v>1434.5774916640003</v>
      </c>
      <c r="J417" s="26" t="s">
        <v>148</v>
      </c>
      <c r="L417" s="49">
        <f ca="1">SUM(L415:L416)</f>
        <v>212.22900000000001</v>
      </c>
      <c r="M417" s="49">
        <f t="shared" ref="M417:BS417" ca="1" si="130">SUM(M415:M416)</f>
        <v>176.756</v>
      </c>
      <c r="N417" s="49">
        <f t="shared" ca="1" si="130"/>
        <v>125.261</v>
      </c>
      <c r="O417" s="49">
        <f t="shared" ca="1" si="130"/>
        <v>157.50200000000001</v>
      </c>
      <c r="P417" s="49">
        <f t="shared" ca="1" si="130"/>
        <v>196.16</v>
      </c>
      <c r="Q417" s="49">
        <f t="shared" ca="1" si="130"/>
        <v>89.2</v>
      </c>
      <c r="R417" s="49">
        <f t="shared" ca="1" si="130"/>
        <v>77.2</v>
      </c>
      <c r="S417" s="49">
        <f t="shared" ca="1" si="130"/>
        <v>66.2</v>
      </c>
      <c r="T417" s="49">
        <f t="shared" ca="1" si="130"/>
        <v>65.5</v>
      </c>
      <c r="U417" s="49">
        <f t="shared" ca="1" si="130"/>
        <v>66.198000000000008</v>
      </c>
      <c r="V417" s="49">
        <f t="shared" ca="1" si="130"/>
        <v>66.793680000000009</v>
      </c>
      <c r="W417" s="49">
        <f t="shared" ca="1" si="130"/>
        <v>67.492828799999998</v>
      </c>
      <c r="X417" s="49">
        <f t="shared" ca="1" si="130"/>
        <v>68.084982863999997</v>
      </c>
      <c r="Y417" s="49">
        <f t="shared" ca="1" si="130"/>
        <v>0</v>
      </c>
      <c r="Z417" s="49">
        <f t="shared" ca="1" si="130"/>
        <v>0</v>
      </c>
      <c r="AA417" s="49">
        <f t="shared" ca="1" si="130"/>
        <v>0</v>
      </c>
      <c r="AB417" s="49">
        <f t="shared" ca="1" si="130"/>
        <v>0</v>
      </c>
      <c r="AC417" s="49">
        <f t="shared" ca="1" si="130"/>
        <v>0</v>
      </c>
      <c r="AD417" s="49">
        <f t="shared" ca="1" si="130"/>
        <v>0</v>
      </c>
      <c r="AE417" s="49">
        <f t="shared" ca="1" si="130"/>
        <v>0</v>
      </c>
      <c r="AF417" s="49">
        <f t="shared" ca="1" si="130"/>
        <v>0</v>
      </c>
      <c r="AG417" s="49">
        <f t="shared" ca="1" si="130"/>
        <v>0</v>
      </c>
      <c r="AH417" s="49">
        <f t="shared" ca="1" si="130"/>
        <v>0</v>
      </c>
      <c r="AI417" s="49">
        <f t="shared" ca="1" si="130"/>
        <v>0</v>
      </c>
      <c r="AJ417" s="49">
        <f t="shared" ca="1" si="130"/>
        <v>0</v>
      </c>
      <c r="AK417" s="49">
        <f t="shared" ca="1" si="130"/>
        <v>0</v>
      </c>
      <c r="AL417" s="49">
        <f t="shared" ca="1" si="130"/>
        <v>0</v>
      </c>
      <c r="AM417" s="49">
        <f t="shared" ca="1" si="130"/>
        <v>0</v>
      </c>
      <c r="AN417" s="49">
        <f t="shared" ca="1" si="130"/>
        <v>0</v>
      </c>
      <c r="AO417" s="49">
        <f t="shared" ca="1" si="130"/>
        <v>0</v>
      </c>
      <c r="AP417" s="49">
        <f t="shared" ca="1" si="130"/>
        <v>0</v>
      </c>
      <c r="AQ417" s="49">
        <f t="shared" ca="1" si="130"/>
        <v>0</v>
      </c>
      <c r="AR417" s="49">
        <f t="shared" ca="1" si="130"/>
        <v>0</v>
      </c>
      <c r="AS417" s="49">
        <f t="shared" ca="1" si="130"/>
        <v>0</v>
      </c>
      <c r="AT417" s="49">
        <f t="shared" ca="1" si="130"/>
        <v>0</v>
      </c>
      <c r="AU417" s="49">
        <f t="shared" ca="1" si="130"/>
        <v>0</v>
      </c>
      <c r="AV417" s="49">
        <f t="shared" ca="1" si="130"/>
        <v>0</v>
      </c>
      <c r="AW417" s="49">
        <f t="shared" ca="1" si="130"/>
        <v>0</v>
      </c>
      <c r="AX417" s="49">
        <f t="shared" ca="1" si="130"/>
        <v>0</v>
      </c>
      <c r="AY417" s="49">
        <f t="shared" ca="1" si="130"/>
        <v>0</v>
      </c>
      <c r="AZ417" s="49">
        <f t="shared" ca="1" si="130"/>
        <v>0</v>
      </c>
      <c r="BA417" s="49">
        <f t="shared" ca="1" si="130"/>
        <v>0</v>
      </c>
      <c r="BB417" s="49">
        <f t="shared" ca="1" si="130"/>
        <v>0</v>
      </c>
      <c r="BC417" s="49">
        <f t="shared" ca="1" si="130"/>
        <v>0</v>
      </c>
      <c r="BD417" s="49">
        <f t="shared" ca="1" si="130"/>
        <v>0</v>
      </c>
      <c r="BE417" s="49">
        <f t="shared" ca="1" si="130"/>
        <v>0</v>
      </c>
      <c r="BF417" s="49">
        <f t="shared" ca="1" si="130"/>
        <v>0</v>
      </c>
      <c r="BG417" s="49">
        <f t="shared" ca="1" si="130"/>
        <v>0</v>
      </c>
      <c r="BH417" s="49">
        <f t="shared" ca="1" si="130"/>
        <v>0</v>
      </c>
      <c r="BI417" s="49">
        <f t="shared" ca="1" si="130"/>
        <v>0</v>
      </c>
      <c r="BJ417" s="49">
        <f t="shared" ca="1" si="130"/>
        <v>0</v>
      </c>
      <c r="BK417" s="49">
        <f t="shared" ca="1" si="130"/>
        <v>0</v>
      </c>
      <c r="BL417" s="49">
        <f t="shared" ca="1" si="130"/>
        <v>0</v>
      </c>
      <c r="BM417" s="49">
        <f t="shared" ca="1" si="130"/>
        <v>0</v>
      </c>
      <c r="BN417" s="49">
        <f t="shared" ca="1" si="130"/>
        <v>0</v>
      </c>
      <c r="BO417" s="49">
        <f t="shared" ca="1" si="130"/>
        <v>0</v>
      </c>
      <c r="BP417" s="49">
        <f t="shared" ca="1" si="130"/>
        <v>0</v>
      </c>
      <c r="BQ417" s="49">
        <f t="shared" ca="1" si="130"/>
        <v>0</v>
      </c>
      <c r="BR417" s="49">
        <f t="shared" ca="1" si="130"/>
        <v>0</v>
      </c>
      <c r="BS417" s="49">
        <f t="shared" ca="1" si="130"/>
        <v>0</v>
      </c>
    </row>
    <row r="418" spans="1:71" outlineLevel="1" x14ac:dyDescent="0.2">
      <c r="J418" s="26"/>
      <c r="L418" s="55"/>
      <c r="M418" s="55"/>
      <c r="N418" s="55"/>
      <c r="O418" s="55"/>
      <c r="P418" s="55"/>
      <c r="Q418" s="55"/>
      <c r="R418" s="55"/>
      <c r="S418" s="55"/>
      <c r="T418" s="55"/>
      <c r="U418" s="55"/>
      <c r="V418" s="55"/>
      <c r="W418" s="55"/>
      <c r="X418" s="55"/>
      <c r="Y418" s="55"/>
      <c r="Z418" s="55"/>
      <c r="AA418" s="55"/>
      <c r="AB418" s="55"/>
      <c r="AC418" s="55"/>
      <c r="AD418" s="55"/>
      <c r="AE418" s="55"/>
      <c r="AF418" s="55"/>
      <c r="AG418" s="55"/>
      <c r="AH418" s="55"/>
      <c r="AI418" s="55"/>
      <c r="AJ418" s="55"/>
      <c r="AK418" s="55"/>
      <c r="AL418" s="55"/>
      <c r="AM418" s="55"/>
      <c r="AN418" s="55"/>
      <c r="AO418" s="55"/>
      <c r="AP418" s="55"/>
      <c r="AQ418" s="55"/>
      <c r="AR418" s="55"/>
      <c r="AS418" s="55"/>
      <c r="AT418" s="55"/>
      <c r="AU418" s="55"/>
      <c r="AV418" s="55"/>
      <c r="AW418" s="55"/>
      <c r="AX418" s="55"/>
      <c r="AY418" s="55"/>
      <c r="AZ418" s="55"/>
      <c r="BA418" s="55"/>
      <c r="BB418" s="55"/>
      <c r="BC418" s="55"/>
      <c r="BD418" s="55"/>
      <c r="BE418" s="55"/>
      <c r="BF418" s="55"/>
      <c r="BG418" s="55"/>
      <c r="BH418" s="55"/>
      <c r="BI418" s="55"/>
      <c r="BJ418" s="55"/>
      <c r="BK418" s="55"/>
      <c r="BL418" s="55"/>
      <c r="BM418" s="55"/>
      <c r="BN418" s="55"/>
      <c r="BO418" s="55"/>
      <c r="BP418" s="55"/>
      <c r="BQ418" s="55"/>
      <c r="BR418" s="55"/>
      <c r="BS418" s="55"/>
    </row>
    <row r="419" spans="1:71" outlineLevel="1" x14ac:dyDescent="0.2">
      <c r="C419" t="str">
        <f>CHOOSE(db_ML_selected,'Liste Traduction'!B394,'Liste Traduction'!C394)</f>
        <v>Dépenses d'investissement</v>
      </c>
      <c r="J419" s="26"/>
      <c r="L419" s="55"/>
      <c r="M419" s="55"/>
      <c r="N419" s="55"/>
      <c r="O419" s="55"/>
      <c r="P419" s="55"/>
      <c r="Q419" s="55"/>
      <c r="R419" s="55"/>
      <c r="S419" s="55"/>
      <c r="T419" s="55"/>
      <c r="U419" s="55"/>
      <c r="V419" s="55"/>
      <c r="W419" s="55"/>
      <c r="X419" s="55"/>
      <c r="Y419" s="55"/>
      <c r="Z419" s="55"/>
      <c r="AA419" s="55"/>
      <c r="AB419" s="55"/>
      <c r="AC419" s="55"/>
      <c r="AD419" s="55"/>
      <c r="AE419" s="55"/>
      <c r="AF419" s="55"/>
      <c r="AG419" s="55"/>
      <c r="AH419" s="55"/>
      <c r="AI419" s="55"/>
      <c r="AJ419" s="55"/>
      <c r="AK419" s="55"/>
      <c r="AL419" s="55"/>
      <c r="AM419" s="55"/>
      <c r="AN419" s="55"/>
      <c r="AO419" s="55"/>
      <c r="AP419" s="55"/>
      <c r="AQ419" s="55"/>
      <c r="AR419" s="55"/>
      <c r="AS419" s="55"/>
      <c r="AT419" s="55"/>
      <c r="AU419" s="55"/>
      <c r="AV419" s="55"/>
      <c r="AW419" s="55"/>
      <c r="AX419" s="55"/>
      <c r="AY419" s="55"/>
      <c r="AZ419" s="55"/>
      <c r="BA419" s="55"/>
      <c r="BB419" s="55"/>
      <c r="BC419" s="55"/>
      <c r="BD419" s="55"/>
      <c r="BE419" s="55"/>
      <c r="BF419" s="55"/>
      <c r="BG419" s="55"/>
      <c r="BH419" s="55"/>
      <c r="BI419" s="55"/>
      <c r="BJ419" s="55"/>
      <c r="BK419" s="55"/>
      <c r="BL419" s="55"/>
      <c r="BM419" s="55"/>
      <c r="BN419" s="55"/>
      <c r="BO419" s="55"/>
      <c r="BP419" s="55"/>
      <c r="BQ419" s="55"/>
      <c r="BR419" s="55"/>
      <c r="BS419" s="55"/>
    </row>
    <row r="420" spans="1:71" outlineLevel="1" x14ac:dyDescent="0.2">
      <c r="D420" t="str">
        <f>CHOOSE(db_ML_selected,'Liste Traduction'!B395,'Liste Traduction'!C395)</f>
        <v>Exploration et évaluation</v>
      </c>
      <c r="I420" s="30">
        <f t="shared" ref="I420:I425" ca="1" si="131">SUM($L420:$BS420)</f>
        <v>0</v>
      </c>
      <c r="J420" s="26" t="s">
        <v>148</v>
      </c>
      <c r="L420" s="49" cm="1">
        <f t="array" aca="1" ref="L420:BS420" ca="1">HM_ZA_Nkossa!CA_expex_nom</f>
        <v>0</v>
      </c>
      <c r="M420" s="49">
        <f ca="1"/>
        <v>0</v>
      </c>
      <c r="N420" s="49">
        <f ca="1"/>
        <v>0</v>
      </c>
      <c r="O420" s="49">
        <f ca="1"/>
        <v>0</v>
      </c>
      <c r="P420" s="49">
        <f ca="1"/>
        <v>0</v>
      </c>
      <c r="Q420" s="49">
        <f ca="1"/>
        <v>0</v>
      </c>
      <c r="R420" s="49">
        <f ca="1"/>
        <v>0</v>
      </c>
      <c r="S420" s="49">
        <f ca="1"/>
        <v>0</v>
      </c>
      <c r="T420" s="49">
        <f ca="1"/>
        <v>0</v>
      </c>
      <c r="U420" s="49">
        <f ca="1"/>
        <v>0</v>
      </c>
      <c r="V420" s="49">
        <f ca="1"/>
        <v>0</v>
      </c>
      <c r="W420" s="49">
        <f ca="1"/>
        <v>0</v>
      </c>
      <c r="X420" s="49">
        <f ca="1"/>
        <v>0</v>
      </c>
      <c r="Y420" s="49">
        <f ca="1"/>
        <v>0</v>
      </c>
      <c r="Z420" s="49">
        <f ca="1"/>
        <v>0</v>
      </c>
      <c r="AA420" s="49">
        <f ca="1"/>
        <v>0</v>
      </c>
      <c r="AB420" s="49">
        <f ca="1"/>
        <v>0</v>
      </c>
      <c r="AC420" s="49">
        <f ca="1"/>
        <v>0</v>
      </c>
      <c r="AD420" s="49">
        <f ca="1"/>
        <v>0</v>
      </c>
      <c r="AE420" s="49">
        <f ca="1"/>
        <v>0</v>
      </c>
      <c r="AF420" s="49">
        <f ca="1"/>
        <v>0</v>
      </c>
      <c r="AG420" s="49">
        <f ca="1"/>
        <v>0</v>
      </c>
      <c r="AH420" s="49">
        <f ca="1"/>
        <v>0</v>
      </c>
      <c r="AI420" s="49">
        <f ca="1"/>
        <v>0</v>
      </c>
      <c r="AJ420" s="49">
        <f ca="1"/>
        <v>0</v>
      </c>
      <c r="AK420" s="49">
        <f ca="1"/>
        <v>0</v>
      </c>
      <c r="AL420" s="49">
        <f ca="1"/>
        <v>0</v>
      </c>
      <c r="AM420" s="49">
        <f ca="1"/>
        <v>0</v>
      </c>
      <c r="AN420" s="49">
        <f ca="1"/>
        <v>0</v>
      </c>
      <c r="AO420" s="49">
        <f ca="1"/>
        <v>0</v>
      </c>
      <c r="AP420" s="49">
        <f ca="1"/>
        <v>0</v>
      </c>
      <c r="AQ420" s="49">
        <f ca="1"/>
        <v>0</v>
      </c>
      <c r="AR420" s="49">
        <f ca="1"/>
        <v>0</v>
      </c>
      <c r="AS420" s="49">
        <f ca="1"/>
        <v>0</v>
      </c>
      <c r="AT420" s="49">
        <f ca="1"/>
        <v>0</v>
      </c>
      <c r="AU420" s="49">
        <f ca="1"/>
        <v>0</v>
      </c>
      <c r="AV420" s="49">
        <f ca="1"/>
        <v>0</v>
      </c>
      <c r="AW420" s="49">
        <f ca="1"/>
        <v>0</v>
      </c>
      <c r="AX420" s="49">
        <f ca="1"/>
        <v>0</v>
      </c>
      <c r="AY420" s="49">
        <f ca="1"/>
        <v>0</v>
      </c>
      <c r="AZ420" s="49">
        <f ca="1"/>
        <v>0</v>
      </c>
      <c r="BA420" s="49">
        <f ca="1"/>
        <v>0</v>
      </c>
      <c r="BB420" s="49">
        <f ca="1"/>
        <v>0</v>
      </c>
      <c r="BC420" s="49">
        <f ca="1"/>
        <v>0</v>
      </c>
      <c r="BD420" s="49">
        <f ca="1"/>
        <v>0</v>
      </c>
      <c r="BE420" s="49">
        <f ca="1"/>
        <v>0</v>
      </c>
      <c r="BF420" s="49">
        <f ca="1"/>
        <v>0</v>
      </c>
      <c r="BG420" s="49">
        <f ca="1"/>
        <v>0</v>
      </c>
      <c r="BH420" s="49">
        <f ca="1"/>
        <v>0</v>
      </c>
      <c r="BI420" s="49">
        <f ca="1"/>
        <v>0</v>
      </c>
      <c r="BJ420" s="49">
        <f ca="1"/>
        <v>0</v>
      </c>
      <c r="BK420" s="49">
        <f ca="1"/>
        <v>0</v>
      </c>
      <c r="BL420" s="49">
        <f ca="1"/>
        <v>0</v>
      </c>
      <c r="BM420" s="49">
        <f ca="1"/>
        <v>0</v>
      </c>
      <c r="BN420" s="49">
        <f ca="1"/>
        <v>0</v>
      </c>
      <c r="BO420" s="49">
        <f ca="1"/>
        <v>0</v>
      </c>
      <c r="BP420" s="49">
        <f ca="1"/>
        <v>0</v>
      </c>
      <c r="BQ420" s="49">
        <f ca="1"/>
        <v>0</v>
      </c>
      <c r="BR420" s="49">
        <f ca="1"/>
        <v>0</v>
      </c>
      <c r="BS420" s="49">
        <f ca="1"/>
        <v>0</v>
      </c>
    </row>
    <row r="421" spans="1:71" outlineLevel="1" x14ac:dyDescent="0.2">
      <c r="D421" t="str">
        <f>C199</f>
        <v>Coûts de développement</v>
      </c>
      <c r="I421" s="30">
        <f t="shared" ca="1" si="131"/>
        <v>818.52100000000007</v>
      </c>
      <c r="J421" s="26" t="s">
        <v>148</v>
      </c>
      <c r="L421" s="49" cm="1">
        <f t="array" aca="1" ref="L421:BS421" ca="1">HM_ZA_Nkossa!CA_devex_nom</f>
        <v>331.70699999999999</v>
      </c>
      <c r="M421" s="49">
        <f ca="1"/>
        <v>170.95500000000001</v>
      </c>
      <c r="N421" s="49">
        <f ca="1"/>
        <v>108.699</v>
      </c>
      <c r="O421" s="49">
        <f ca="1"/>
        <v>38.56</v>
      </c>
      <c r="P421" s="49">
        <f ca="1"/>
        <v>50.6</v>
      </c>
      <c r="Q421" s="49">
        <f ca="1"/>
        <v>118</v>
      </c>
      <c r="R421" s="49">
        <f ca="1"/>
        <v>0</v>
      </c>
      <c r="S421" s="49">
        <f ca="1"/>
        <v>0</v>
      </c>
      <c r="T421" s="49">
        <f ca="1"/>
        <v>0</v>
      </c>
      <c r="U421" s="49">
        <f ca="1"/>
        <v>0</v>
      </c>
      <c r="V421" s="49">
        <f ca="1"/>
        <v>0</v>
      </c>
      <c r="W421" s="49">
        <f ca="1"/>
        <v>0</v>
      </c>
      <c r="X421" s="49">
        <f ca="1"/>
        <v>0</v>
      </c>
      <c r="Y421" s="49">
        <f ca="1"/>
        <v>0</v>
      </c>
      <c r="Z421" s="49">
        <f ca="1"/>
        <v>0</v>
      </c>
      <c r="AA421" s="49">
        <f ca="1"/>
        <v>0</v>
      </c>
      <c r="AB421" s="49">
        <f ca="1"/>
        <v>0</v>
      </c>
      <c r="AC421" s="49">
        <f ca="1"/>
        <v>0</v>
      </c>
      <c r="AD421" s="49">
        <f ca="1"/>
        <v>0</v>
      </c>
      <c r="AE421" s="49">
        <f ca="1"/>
        <v>0</v>
      </c>
      <c r="AF421" s="49">
        <f ca="1"/>
        <v>0</v>
      </c>
      <c r="AG421" s="49">
        <f ca="1"/>
        <v>0</v>
      </c>
      <c r="AH421" s="49">
        <f ca="1"/>
        <v>0</v>
      </c>
      <c r="AI421" s="49">
        <f ca="1"/>
        <v>0</v>
      </c>
      <c r="AJ421" s="49">
        <f ca="1"/>
        <v>0</v>
      </c>
      <c r="AK421" s="49">
        <f ca="1"/>
        <v>0</v>
      </c>
      <c r="AL421" s="49">
        <f ca="1"/>
        <v>0</v>
      </c>
      <c r="AM421" s="49">
        <f ca="1"/>
        <v>0</v>
      </c>
      <c r="AN421" s="49">
        <f ca="1"/>
        <v>0</v>
      </c>
      <c r="AO421" s="49">
        <f ca="1"/>
        <v>0</v>
      </c>
      <c r="AP421" s="49">
        <f ca="1"/>
        <v>0</v>
      </c>
      <c r="AQ421" s="49">
        <f ca="1"/>
        <v>0</v>
      </c>
      <c r="AR421" s="49">
        <f ca="1"/>
        <v>0</v>
      </c>
      <c r="AS421" s="49">
        <f ca="1"/>
        <v>0</v>
      </c>
      <c r="AT421" s="49">
        <f ca="1"/>
        <v>0</v>
      </c>
      <c r="AU421" s="49">
        <f ca="1"/>
        <v>0</v>
      </c>
      <c r="AV421" s="49">
        <f ca="1"/>
        <v>0</v>
      </c>
      <c r="AW421" s="49">
        <f ca="1"/>
        <v>0</v>
      </c>
      <c r="AX421" s="49">
        <f ca="1"/>
        <v>0</v>
      </c>
      <c r="AY421" s="49">
        <f ca="1"/>
        <v>0</v>
      </c>
      <c r="AZ421" s="49">
        <f ca="1"/>
        <v>0</v>
      </c>
      <c r="BA421" s="49">
        <f ca="1"/>
        <v>0</v>
      </c>
      <c r="BB421" s="49">
        <f ca="1"/>
        <v>0</v>
      </c>
      <c r="BC421" s="49">
        <f ca="1"/>
        <v>0</v>
      </c>
      <c r="BD421" s="49">
        <f ca="1"/>
        <v>0</v>
      </c>
      <c r="BE421" s="49">
        <f ca="1"/>
        <v>0</v>
      </c>
      <c r="BF421" s="49">
        <f ca="1"/>
        <v>0</v>
      </c>
      <c r="BG421" s="49">
        <f ca="1"/>
        <v>0</v>
      </c>
      <c r="BH421" s="49">
        <f ca="1"/>
        <v>0</v>
      </c>
      <c r="BI421" s="49">
        <f ca="1"/>
        <v>0</v>
      </c>
      <c r="BJ421" s="49">
        <f ca="1"/>
        <v>0</v>
      </c>
      <c r="BK421" s="49">
        <f ca="1"/>
        <v>0</v>
      </c>
      <c r="BL421" s="49">
        <f ca="1"/>
        <v>0</v>
      </c>
      <c r="BM421" s="49">
        <f ca="1"/>
        <v>0</v>
      </c>
      <c r="BN421" s="49">
        <f ca="1"/>
        <v>0</v>
      </c>
      <c r="BO421" s="49">
        <f ca="1"/>
        <v>0</v>
      </c>
      <c r="BP421" s="49">
        <f ca="1"/>
        <v>0</v>
      </c>
      <c r="BQ421" s="49">
        <f ca="1"/>
        <v>0</v>
      </c>
      <c r="BR421" s="49">
        <f ca="1"/>
        <v>0</v>
      </c>
      <c r="BS421" s="49">
        <f ca="1"/>
        <v>0</v>
      </c>
    </row>
    <row r="422" spans="1:71" outlineLevel="1" x14ac:dyDescent="0.2">
      <c r="D422" t="str">
        <f>CHOOSE(db_ML_selected,'Liste Traduction'!B396,'Liste Traduction'!C396)</f>
        <v>Abandon</v>
      </c>
      <c r="I422" s="30">
        <f t="shared" ca="1" si="131"/>
        <v>1158.403</v>
      </c>
      <c r="J422" s="26" t="s">
        <v>148</v>
      </c>
      <c r="L422" s="49" cm="1">
        <f t="array" aca="1" ref="L422:BS422" ca="1">HM_ZA_Nkossa!CA_decom_nom</f>
        <v>31.151</v>
      </c>
      <c r="M422" s="49">
        <f ca="1"/>
        <v>68.504999999999995</v>
      </c>
      <c r="N422" s="49">
        <f ca="1"/>
        <v>126.03400000000001</v>
      </c>
      <c r="O422" s="49">
        <f ca="1"/>
        <v>177.893</v>
      </c>
      <c r="P422" s="49">
        <f ca="1"/>
        <v>221.03700000000001</v>
      </c>
      <c r="Q422" s="49">
        <f ca="1"/>
        <v>254.56800000000001</v>
      </c>
      <c r="R422" s="49">
        <f ca="1"/>
        <v>279.21499999999997</v>
      </c>
      <c r="S422" s="49">
        <f ca="1"/>
        <v>0</v>
      </c>
      <c r="T422" s="49">
        <f ca="1"/>
        <v>0</v>
      </c>
      <c r="U422" s="49">
        <f ca="1"/>
        <v>0</v>
      </c>
      <c r="V422" s="49">
        <f ca="1"/>
        <v>0</v>
      </c>
      <c r="W422" s="49">
        <f ca="1"/>
        <v>0</v>
      </c>
      <c r="X422" s="49">
        <f ca="1"/>
        <v>0</v>
      </c>
      <c r="Y422" s="49">
        <f ca="1"/>
        <v>0</v>
      </c>
      <c r="Z422" s="49">
        <f ca="1"/>
        <v>0</v>
      </c>
      <c r="AA422" s="49">
        <f ca="1"/>
        <v>0</v>
      </c>
      <c r="AB422" s="49">
        <f ca="1"/>
        <v>0</v>
      </c>
      <c r="AC422" s="49">
        <f ca="1"/>
        <v>0</v>
      </c>
      <c r="AD422" s="49">
        <f ca="1"/>
        <v>0</v>
      </c>
      <c r="AE422" s="49">
        <f ca="1"/>
        <v>0</v>
      </c>
      <c r="AF422" s="49">
        <f ca="1"/>
        <v>0</v>
      </c>
      <c r="AG422" s="49">
        <f ca="1"/>
        <v>0</v>
      </c>
      <c r="AH422" s="49">
        <f ca="1"/>
        <v>0</v>
      </c>
      <c r="AI422" s="49">
        <f ca="1"/>
        <v>0</v>
      </c>
      <c r="AJ422" s="49">
        <f ca="1"/>
        <v>0</v>
      </c>
      <c r="AK422" s="49">
        <f ca="1"/>
        <v>0</v>
      </c>
      <c r="AL422" s="49">
        <f ca="1"/>
        <v>0</v>
      </c>
      <c r="AM422" s="49">
        <f ca="1"/>
        <v>0</v>
      </c>
      <c r="AN422" s="49">
        <f ca="1"/>
        <v>0</v>
      </c>
      <c r="AO422" s="49">
        <f ca="1"/>
        <v>0</v>
      </c>
      <c r="AP422" s="49">
        <f ca="1"/>
        <v>0</v>
      </c>
      <c r="AQ422" s="49">
        <f ca="1"/>
        <v>0</v>
      </c>
      <c r="AR422" s="49">
        <f ca="1"/>
        <v>0</v>
      </c>
      <c r="AS422" s="49">
        <f ca="1"/>
        <v>0</v>
      </c>
      <c r="AT422" s="49">
        <f ca="1"/>
        <v>0</v>
      </c>
      <c r="AU422" s="49">
        <f ca="1"/>
        <v>0</v>
      </c>
      <c r="AV422" s="49">
        <f ca="1"/>
        <v>0</v>
      </c>
      <c r="AW422" s="49">
        <f ca="1"/>
        <v>0</v>
      </c>
      <c r="AX422" s="49">
        <f ca="1"/>
        <v>0</v>
      </c>
      <c r="AY422" s="49">
        <f ca="1"/>
        <v>0</v>
      </c>
      <c r="AZ422" s="49">
        <f ca="1"/>
        <v>0</v>
      </c>
      <c r="BA422" s="49">
        <f ca="1"/>
        <v>0</v>
      </c>
      <c r="BB422" s="49">
        <f ca="1"/>
        <v>0</v>
      </c>
      <c r="BC422" s="49">
        <f ca="1"/>
        <v>0</v>
      </c>
      <c r="BD422" s="49">
        <f ca="1"/>
        <v>0</v>
      </c>
      <c r="BE422" s="49">
        <f ca="1"/>
        <v>0</v>
      </c>
      <c r="BF422" s="49">
        <f ca="1"/>
        <v>0</v>
      </c>
      <c r="BG422" s="49">
        <f ca="1"/>
        <v>0</v>
      </c>
      <c r="BH422" s="49">
        <f ca="1"/>
        <v>0</v>
      </c>
      <c r="BI422" s="49">
        <f ca="1"/>
        <v>0</v>
      </c>
      <c r="BJ422" s="49">
        <f ca="1"/>
        <v>0</v>
      </c>
      <c r="BK422" s="49">
        <f ca="1"/>
        <v>0</v>
      </c>
      <c r="BL422" s="49">
        <f ca="1"/>
        <v>0</v>
      </c>
      <c r="BM422" s="49">
        <f ca="1"/>
        <v>0</v>
      </c>
      <c r="BN422" s="49">
        <f ca="1"/>
        <v>0</v>
      </c>
      <c r="BO422" s="49">
        <f ca="1"/>
        <v>0</v>
      </c>
      <c r="BP422" s="49">
        <f ca="1"/>
        <v>0</v>
      </c>
      <c r="BQ422" s="49">
        <f ca="1"/>
        <v>0</v>
      </c>
      <c r="BR422" s="49">
        <f ca="1"/>
        <v>0</v>
      </c>
      <c r="BS422" s="49">
        <f ca="1"/>
        <v>0</v>
      </c>
    </row>
    <row r="423" spans="1:71" outlineLevel="1" x14ac:dyDescent="0.2">
      <c r="D423" s="11" t="str">
        <f>CHOOSE(db_ML_selected,'Liste Traduction'!B397,'Liste Traduction'!C397)</f>
        <v>Total Capex</v>
      </c>
      <c r="I423" s="30">
        <f t="shared" ca="1" si="131"/>
        <v>1976.9239999999998</v>
      </c>
      <c r="J423" s="26" t="s">
        <v>148</v>
      </c>
      <c r="L423" s="49">
        <f ca="1">SUM(L420:L422)</f>
        <v>362.858</v>
      </c>
      <c r="M423" s="49">
        <f t="shared" ref="M423:BS423" ca="1" si="132">SUM(M420:M422)</f>
        <v>239.46</v>
      </c>
      <c r="N423" s="49">
        <f t="shared" ca="1" si="132"/>
        <v>234.733</v>
      </c>
      <c r="O423" s="49">
        <f t="shared" ca="1" si="132"/>
        <v>216.453</v>
      </c>
      <c r="P423" s="49">
        <f t="shared" ca="1" si="132"/>
        <v>271.637</v>
      </c>
      <c r="Q423" s="49">
        <f t="shared" ca="1" si="132"/>
        <v>372.56799999999998</v>
      </c>
      <c r="R423" s="49">
        <f t="shared" ca="1" si="132"/>
        <v>279.21499999999997</v>
      </c>
      <c r="S423" s="49">
        <f t="shared" ca="1" si="132"/>
        <v>0</v>
      </c>
      <c r="T423" s="49">
        <f t="shared" ca="1" si="132"/>
        <v>0</v>
      </c>
      <c r="U423" s="49">
        <f t="shared" ca="1" si="132"/>
        <v>0</v>
      </c>
      <c r="V423" s="49">
        <f t="shared" ca="1" si="132"/>
        <v>0</v>
      </c>
      <c r="W423" s="49">
        <f t="shared" ca="1" si="132"/>
        <v>0</v>
      </c>
      <c r="X423" s="49">
        <f t="shared" ca="1" si="132"/>
        <v>0</v>
      </c>
      <c r="Y423" s="49">
        <f t="shared" ca="1" si="132"/>
        <v>0</v>
      </c>
      <c r="Z423" s="49">
        <f t="shared" ca="1" si="132"/>
        <v>0</v>
      </c>
      <c r="AA423" s="49">
        <f t="shared" ca="1" si="132"/>
        <v>0</v>
      </c>
      <c r="AB423" s="49">
        <f t="shared" ca="1" si="132"/>
        <v>0</v>
      </c>
      <c r="AC423" s="49">
        <f t="shared" ca="1" si="132"/>
        <v>0</v>
      </c>
      <c r="AD423" s="49">
        <f t="shared" ca="1" si="132"/>
        <v>0</v>
      </c>
      <c r="AE423" s="49">
        <f t="shared" ca="1" si="132"/>
        <v>0</v>
      </c>
      <c r="AF423" s="49">
        <f t="shared" ca="1" si="132"/>
        <v>0</v>
      </c>
      <c r="AG423" s="49">
        <f t="shared" ca="1" si="132"/>
        <v>0</v>
      </c>
      <c r="AH423" s="49">
        <f t="shared" ca="1" si="132"/>
        <v>0</v>
      </c>
      <c r="AI423" s="49">
        <f t="shared" ca="1" si="132"/>
        <v>0</v>
      </c>
      <c r="AJ423" s="49">
        <f t="shared" ca="1" si="132"/>
        <v>0</v>
      </c>
      <c r="AK423" s="49">
        <f t="shared" ca="1" si="132"/>
        <v>0</v>
      </c>
      <c r="AL423" s="49">
        <f t="shared" ca="1" si="132"/>
        <v>0</v>
      </c>
      <c r="AM423" s="49">
        <f t="shared" ca="1" si="132"/>
        <v>0</v>
      </c>
      <c r="AN423" s="49">
        <f t="shared" ca="1" si="132"/>
        <v>0</v>
      </c>
      <c r="AO423" s="49">
        <f t="shared" ca="1" si="132"/>
        <v>0</v>
      </c>
      <c r="AP423" s="49">
        <f t="shared" ca="1" si="132"/>
        <v>0</v>
      </c>
      <c r="AQ423" s="49">
        <f t="shared" ca="1" si="132"/>
        <v>0</v>
      </c>
      <c r="AR423" s="49">
        <f t="shared" ca="1" si="132"/>
        <v>0</v>
      </c>
      <c r="AS423" s="49">
        <f t="shared" ca="1" si="132"/>
        <v>0</v>
      </c>
      <c r="AT423" s="49">
        <f t="shared" ca="1" si="132"/>
        <v>0</v>
      </c>
      <c r="AU423" s="49">
        <f t="shared" ca="1" si="132"/>
        <v>0</v>
      </c>
      <c r="AV423" s="49">
        <f t="shared" ca="1" si="132"/>
        <v>0</v>
      </c>
      <c r="AW423" s="49">
        <f t="shared" ca="1" si="132"/>
        <v>0</v>
      </c>
      <c r="AX423" s="49">
        <f t="shared" ca="1" si="132"/>
        <v>0</v>
      </c>
      <c r="AY423" s="49">
        <f t="shared" ca="1" si="132"/>
        <v>0</v>
      </c>
      <c r="AZ423" s="49">
        <f t="shared" ca="1" si="132"/>
        <v>0</v>
      </c>
      <c r="BA423" s="49">
        <f t="shared" ca="1" si="132"/>
        <v>0</v>
      </c>
      <c r="BB423" s="49">
        <f t="shared" ca="1" si="132"/>
        <v>0</v>
      </c>
      <c r="BC423" s="49">
        <f t="shared" ca="1" si="132"/>
        <v>0</v>
      </c>
      <c r="BD423" s="49">
        <f t="shared" ca="1" si="132"/>
        <v>0</v>
      </c>
      <c r="BE423" s="49">
        <f t="shared" ca="1" si="132"/>
        <v>0</v>
      </c>
      <c r="BF423" s="49">
        <f t="shared" ca="1" si="132"/>
        <v>0</v>
      </c>
      <c r="BG423" s="49">
        <f t="shared" ca="1" si="132"/>
        <v>0</v>
      </c>
      <c r="BH423" s="49">
        <f t="shared" ca="1" si="132"/>
        <v>0</v>
      </c>
      <c r="BI423" s="49">
        <f t="shared" ca="1" si="132"/>
        <v>0</v>
      </c>
      <c r="BJ423" s="49">
        <f t="shared" ca="1" si="132"/>
        <v>0</v>
      </c>
      <c r="BK423" s="49">
        <f t="shared" ca="1" si="132"/>
        <v>0</v>
      </c>
      <c r="BL423" s="49">
        <f t="shared" ca="1" si="132"/>
        <v>0</v>
      </c>
      <c r="BM423" s="49">
        <f t="shared" ca="1" si="132"/>
        <v>0</v>
      </c>
      <c r="BN423" s="49">
        <f t="shared" ca="1" si="132"/>
        <v>0</v>
      </c>
      <c r="BO423" s="49">
        <f t="shared" ca="1" si="132"/>
        <v>0</v>
      </c>
      <c r="BP423" s="49">
        <f t="shared" ca="1" si="132"/>
        <v>0</v>
      </c>
      <c r="BQ423" s="49">
        <f t="shared" ca="1" si="132"/>
        <v>0</v>
      </c>
      <c r="BR423" s="49">
        <f t="shared" ca="1" si="132"/>
        <v>0</v>
      </c>
      <c r="BS423" s="49">
        <f t="shared" ca="1" si="132"/>
        <v>0</v>
      </c>
    </row>
    <row r="424" spans="1:71" outlineLevel="1" x14ac:dyDescent="0.2">
      <c r="J424" s="26"/>
      <c r="L424" s="55"/>
      <c r="M424" s="55"/>
      <c r="N424" s="55"/>
      <c r="O424" s="55"/>
      <c r="P424" s="55"/>
      <c r="Q424" s="55"/>
      <c r="R424" s="55"/>
      <c r="S424" s="55"/>
      <c r="T424" s="55"/>
      <c r="U424" s="55"/>
      <c r="V424" s="55"/>
      <c r="W424" s="55"/>
      <c r="X424" s="55"/>
      <c r="Y424" s="55"/>
      <c r="Z424" s="55"/>
      <c r="AA424" s="55"/>
      <c r="AB424" s="55"/>
      <c r="AC424" s="55"/>
      <c r="AD424" s="55"/>
      <c r="AE424" s="55"/>
      <c r="AF424" s="55"/>
      <c r="AG424" s="55"/>
      <c r="AH424" s="55"/>
      <c r="AI424" s="55"/>
      <c r="AJ424" s="55"/>
      <c r="AK424" s="55"/>
      <c r="AL424" s="55"/>
      <c r="AM424" s="55"/>
      <c r="AN424" s="55"/>
      <c r="AO424" s="55"/>
      <c r="AP424" s="55"/>
      <c r="AQ424" s="55"/>
      <c r="AR424" s="55"/>
      <c r="AS424" s="55"/>
      <c r="AT424" s="55"/>
      <c r="AU424" s="55"/>
      <c r="AV424" s="55"/>
      <c r="AW424" s="55"/>
      <c r="AX424" s="55"/>
      <c r="AY424" s="55"/>
      <c r="AZ424" s="55"/>
      <c r="BA424" s="55"/>
      <c r="BB424" s="55"/>
      <c r="BC424" s="55"/>
      <c r="BD424" s="55"/>
      <c r="BE424" s="55"/>
      <c r="BF424" s="55"/>
      <c r="BG424" s="55"/>
      <c r="BH424" s="55"/>
      <c r="BI424" s="55"/>
      <c r="BJ424" s="55"/>
      <c r="BK424" s="55"/>
      <c r="BL424" s="55"/>
      <c r="BM424" s="55"/>
      <c r="BN424" s="55"/>
      <c r="BO424" s="55"/>
      <c r="BP424" s="55"/>
      <c r="BQ424" s="55"/>
      <c r="BR424" s="55"/>
      <c r="BS424" s="55"/>
    </row>
    <row r="425" spans="1:71" outlineLevel="1" x14ac:dyDescent="0.2">
      <c r="C425" s="11" t="str">
        <f>B407</f>
        <v>Revenu divisible</v>
      </c>
      <c r="H425" s="71"/>
      <c r="I425" s="30">
        <f t="shared" ca="1" si="131"/>
        <v>2182.6565653103335</v>
      </c>
      <c r="J425" s="26" t="s">
        <v>148</v>
      </c>
      <c r="L425" s="49">
        <f ca="1">L412-L417-L423</f>
        <v>344.62653594999978</v>
      </c>
      <c r="M425" s="49">
        <f t="shared" ref="M425:BS425" ca="1" si="133">M412-M417-M423</f>
        <v>561.43839921200004</v>
      </c>
      <c r="N425" s="49">
        <f t="shared" ca="1" si="133"/>
        <v>72.539448117999939</v>
      </c>
      <c r="O425" s="49">
        <f t="shared" ca="1" si="133"/>
        <v>30.815085643999993</v>
      </c>
      <c r="P425" s="49">
        <f t="shared" ca="1" si="133"/>
        <v>-34.423382108999903</v>
      </c>
      <c r="Q425" s="49">
        <f t="shared" ca="1" si="133"/>
        <v>1.5131179930000371</v>
      </c>
      <c r="R425" s="49">
        <f t="shared" ca="1" si="133"/>
        <v>87.23705259400009</v>
      </c>
      <c r="S425" s="49">
        <f t="shared" ca="1" si="133"/>
        <v>139.37363143333334</v>
      </c>
      <c r="T425" s="49">
        <f t="shared" ca="1" si="133"/>
        <v>214.25531737087994</v>
      </c>
      <c r="U425" s="49">
        <f t="shared" ca="1" si="133"/>
        <v>213.06777584639994</v>
      </c>
      <c r="V425" s="49">
        <f t="shared" ca="1" si="133"/>
        <v>198.11783496789496</v>
      </c>
      <c r="W425" s="49">
        <f t="shared" ca="1" si="133"/>
        <v>183.80223429854516</v>
      </c>
      <c r="X425" s="49">
        <f t="shared" ca="1" si="133"/>
        <v>170.29351399127995</v>
      </c>
      <c r="Y425" s="49">
        <f t="shared" ca="1" si="133"/>
        <v>0</v>
      </c>
      <c r="Z425" s="49">
        <f t="shared" ca="1" si="133"/>
        <v>0</v>
      </c>
      <c r="AA425" s="49">
        <f t="shared" ca="1" si="133"/>
        <v>0</v>
      </c>
      <c r="AB425" s="49">
        <f t="shared" ca="1" si="133"/>
        <v>0</v>
      </c>
      <c r="AC425" s="49">
        <f t="shared" ca="1" si="133"/>
        <v>0</v>
      </c>
      <c r="AD425" s="49">
        <f t="shared" ca="1" si="133"/>
        <v>0</v>
      </c>
      <c r="AE425" s="49">
        <f t="shared" ca="1" si="133"/>
        <v>0</v>
      </c>
      <c r="AF425" s="49">
        <f t="shared" ca="1" si="133"/>
        <v>0</v>
      </c>
      <c r="AG425" s="49">
        <f t="shared" ca="1" si="133"/>
        <v>0</v>
      </c>
      <c r="AH425" s="49">
        <f t="shared" ca="1" si="133"/>
        <v>0</v>
      </c>
      <c r="AI425" s="49">
        <f t="shared" ca="1" si="133"/>
        <v>0</v>
      </c>
      <c r="AJ425" s="49">
        <f t="shared" ca="1" si="133"/>
        <v>0</v>
      </c>
      <c r="AK425" s="49">
        <f t="shared" ca="1" si="133"/>
        <v>0</v>
      </c>
      <c r="AL425" s="49">
        <f t="shared" ca="1" si="133"/>
        <v>0</v>
      </c>
      <c r="AM425" s="49">
        <f t="shared" ca="1" si="133"/>
        <v>0</v>
      </c>
      <c r="AN425" s="49">
        <f t="shared" ca="1" si="133"/>
        <v>0</v>
      </c>
      <c r="AO425" s="49">
        <f t="shared" ca="1" si="133"/>
        <v>0</v>
      </c>
      <c r="AP425" s="49">
        <f t="shared" ca="1" si="133"/>
        <v>0</v>
      </c>
      <c r="AQ425" s="49">
        <f t="shared" ca="1" si="133"/>
        <v>0</v>
      </c>
      <c r="AR425" s="49">
        <f t="shared" ca="1" si="133"/>
        <v>0</v>
      </c>
      <c r="AS425" s="49">
        <f t="shared" ca="1" si="133"/>
        <v>0</v>
      </c>
      <c r="AT425" s="49">
        <f t="shared" ca="1" si="133"/>
        <v>0</v>
      </c>
      <c r="AU425" s="49">
        <f t="shared" ca="1" si="133"/>
        <v>0</v>
      </c>
      <c r="AV425" s="49">
        <f t="shared" ca="1" si="133"/>
        <v>0</v>
      </c>
      <c r="AW425" s="49">
        <f t="shared" ca="1" si="133"/>
        <v>0</v>
      </c>
      <c r="AX425" s="49">
        <f t="shared" ca="1" si="133"/>
        <v>0</v>
      </c>
      <c r="AY425" s="49">
        <f t="shared" ca="1" si="133"/>
        <v>0</v>
      </c>
      <c r="AZ425" s="49">
        <f t="shared" ca="1" si="133"/>
        <v>0</v>
      </c>
      <c r="BA425" s="49">
        <f t="shared" ca="1" si="133"/>
        <v>0</v>
      </c>
      <c r="BB425" s="49">
        <f t="shared" ca="1" si="133"/>
        <v>0</v>
      </c>
      <c r="BC425" s="49">
        <f t="shared" ca="1" si="133"/>
        <v>0</v>
      </c>
      <c r="BD425" s="49">
        <f t="shared" ca="1" si="133"/>
        <v>0</v>
      </c>
      <c r="BE425" s="49">
        <f t="shared" ca="1" si="133"/>
        <v>0</v>
      </c>
      <c r="BF425" s="49">
        <f t="shared" ca="1" si="133"/>
        <v>0</v>
      </c>
      <c r="BG425" s="49">
        <f t="shared" ca="1" si="133"/>
        <v>0</v>
      </c>
      <c r="BH425" s="49">
        <f t="shared" ca="1" si="133"/>
        <v>0</v>
      </c>
      <c r="BI425" s="49">
        <f t="shared" ca="1" si="133"/>
        <v>0</v>
      </c>
      <c r="BJ425" s="49">
        <f t="shared" ca="1" si="133"/>
        <v>0</v>
      </c>
      <c r="BK425" s="49">
        <f t="shared" ca="1" si="133"/>
        <v>0</v>
      </c>
      <c r="BL425" s="49">
        <f t="shared" ca="1" si="133"/>
        <v>0</v>
      </c>
      <c r="BM425" s="49">
        <f t="shared" ca="1" si="133"/>
        <v>0</v>
      </c>
      <c r="BN425" s="49">
        <f t="shared" ca="1" si="133"/>
        <v>0</v>
      </c>
      <c r="BO425" s="49">
        <f t="shared" ca="1" si="133"/>
        <v>0</v>
      </c>
      <c r="BP425" s="49">
        <f t="shared" ca="1" si="133"/>
        <v>0</v>
      </c>
      <c r="BQ425" s="49">
        <f t="shared" ca="1" si="133"/>
        <v>0</v>
      </c>
      <c r="BR425" s="49">
        <f t="shared" ca="1" si="133"/>
        <v>0</v>
      </c>
      <c r="BS425" s="49">
        <f t="shared" ca="1" si="133"/>
        <v>0</v>
      </c>
    </row>
    <row r="426" spans="1:71" outlineLevel="1" x14ac:dyDescent="0.2">
      <c r="H426" s="71"/>
      <c r="J426" s="26"/>
      <c r="L426" s="55"/>
      <c r="M426" s="55"/>
      <c r="N426" s="55"/>
      <c r="O426" s="55"/>
      <c r="P426" s="55"/>
      <c r="Q426" s="55"/>
      <c r="R426" s="55"/>
      <c r="S426" s="55"/>
      <c r="T426" s="55"/>
      <c r="U426" s="55"/>
      <c r="V426" s="55"/>
      <c r="W426" s="55"/>
      <c r="X426" s="55"/>
      <c r="Y426" s="55"/>
      <c r="Z426" s="55"/>
      <c r="AA426" s="55"/>
      <c r="AB426" s="55"/>
      <c r="AC426" s="55"/>
      <c r="AD426" s="55"/>
      <c r="AE426" s="55"/>
      <c r="AF426" s="55"/>
      <c r="AG426" s="55"/>
      <c r="AH426" s="55"/>
      <c r="AI426" s="55"/>
      <c r="AJ426" s="55"/>
      <c r="AK426" s="55"/>
      <c r="AL426" s="55"/>
      <c r="AM426" s="55"/>
      <c r="AN426" s="55"/>
      <c r="AO426" s="55"/>
      <c r="AP426" s="55"/>
      <c r="AQ426" s="55"/>
      <c r="AR426" s="55"/>
      <c r="AS426" s="55"/>
      <c r="AT426" s="55"/>
      <c r="AU426" s="55"/>
      <c r="AV426" s="55"/>
      <c r="AW426" s="55"/>
      <c r="AX426" s="55"/>
      <c r="AY426" s="55"/>
      <c r="AZ426" s="55"/>
      <c r="BA426" s="55"/>
      <c r="BB426" s="55"/>
      <c r="BC426" s="55"/>
      <c r="BD426" s="55"/>
      <c r="BE426" s="55"/>
      <c r="BF426" s="55"/>
      <c r="BG426" s="55"/>
      <c r="BH426" s="55"/>
      <c r="BI426" s="55"/>
      <c r="BJ426" s="55"/>
      <c r="BK426" s="55"/>
      <c r="BL426" s="55"/>
      <c r="BM426" s="55"/>
      <c r="BN426" s="55"/>
      <c r="BO426" s="55"/>
      <c r="BP426" s="55"/>
      <c r="BQ426" s="55"/>
      <c r="BR426" s="55"/>
      <c r="BS426" s="55"/>
    </row>
    <row r="427" spans="1:71" outlineLevel="1" x14ac:dyDescent="0.2">
      <c r="J427" s="26"/>
      <c r="L427" s="55"/>
      <c r="M427" s="55"/>
      <c r="N427" s="55"/>
      <c r="O427" s="55"/>
      <c r="P427" s="55"/>
      <c r="Q427" s="55"/>
      <c r="R427" s="55"/>
      <c r="S427" s="55"/>
      <c r="T427" s="55"/>
      <c r="U427" s="55"/>
      <c r="V427" s="55"/>
      <c r="W427" s="55"/>
      <c r="X427" s="55"/>
      <c r="Y427" s="55"/>
      <c r="Z427" s="55"/>
      <c r="AA427" s="55"/>
      <c r="AB427" s="55"/>
      <c r="AC427" s="55"/>
      <c r="AD427" s="55"/>
      <c r="AE427" s="55"/>
      <c r="AF427" s="55"/>
      <c r="AG427" s="55"/>
      <c r="AH427" s="55"/>
      <c r="AI427" s="55"/>
      <c r="AJ427" s="55"/>
      <c r="AK427" s="55"/>
      <c r="AL427" s="55"/>
      <c r="AM427" s="55"/>
      <c r="AN427" s="55"/>
      <c r="AO427" s="55"/>
      <c r="AP427" s="55"/>
      <c r="AQ427" s="55"/>
      <c r="AR427" s="55"/>
      <c r="AS427" s="55"/>
      <c r="AT427" s="55"/>
      <c r="AU427" s="55"/>
      <c r="AV427" s="55"/>
      <c r="AW427" s="55"/>
      <c r="AX427" s="55"/>
      <c r="AY427" s="55"/>
      <c r="AZ427" s="55"/>
      <c r="BA427" s="55"/>
      <c r="BB427" s="55"/>
      <c r="BC427" s="55"/>
      <c r="BD427" s="55"/>
      <c r="BE427" s="55"/>
      <c r="BF427" s="55"/>
      <c r="BG427" s="55"/>
      <c r="BH427" s="55"/>
      <c r="BI427" s="55"/>
      <c r="BJ427" s="55"/>
      <c r="BK427" s="55"/>
      <c r="BL427" s="55"/>
      <c r="BM427" s="55"/>
      <c r="BN427" s="55"/>
      <c r="BO427" s="55"/>
      <c r="BP427" s="55"/>
      <c r="BQ427" s="55"/>
      <c r="BR427" s="55"/>
      <c r="BS427" s="55"/>
    </row>
    <row r="428" spans="1:71" outlineLevel="1" x14ac:dyDescent="0.2">
      <c r="J428" s="26"/>
      <c r="L428" s="55"/>
      <c r="M428" s="55"/>
      <c r="N428" s="55"/>
      <c r="O428" s="55"/>
      <c r="P428" s="55"/>
      <c r="Q428" s="55"/>
      <c r="R428" s="55"/>
      <c r="S428" s="55"/>
      <c r="T428" s="55"/>
      <c r="U428" s="55"/>
      <c r="V428" s="55"/>
      <c r="W428" s="55"/>
      <c r="X428" s="55"/>
      <c r="Y428" s="55"/>
      <c r="Z428" s="55"/>
      <c r="AA428" s="55"/>
      <c r="AB428" s="55"/>
      <c r="AC428" s="55"/>
      <c r="AD428" s="55"/>
      <c r="AE428" s="55"/>
      <c r="AF428" s="55"/>
      <c r="AG428" s="55"/>
      <c r="AH428" s="55"/>
      <c r="AI428" s="55"/>
      <c r="AJ428" s="55"/>
      <c r="AK428" s="55"/>
      <c r="AL428" s="55"/>
      <c r="AM428" s="55"/>
      <c r="AN428" s="55"/>
      <c r="AO428" s="55"/>
      <c r="AP428" s="55"/>
      <c r="AQ428" s="55"/>
      <c r="AR428" s="55"/>
      <c r="AS428" s="55"/>
      <c r="AT428" s="55"/>
      <c r="AU428" s="55"/>
      <c r="AV428" s="55"/>
      <c r="AW428" s="55"/>
      <c r="AX428" s="55"/>
      <c r="AY428" s="55"/>
      <c r="AZ428" s="55"/>
      <c r="BA428" s="55"/>
      <c r="BB428" s="55"/>
      <c r="BC428" s="55"/>
      <c r="BD428" s="55"/>
      <c r="BE428" s="55"/>
      <c r="BF428" s="55"/>
      <c r="BG428" s="55"/>
      <c r="BH428" s="55"/>
      <c r="BI428" s="55"/>
      <c r="BJ428" s="55"/>
      <c r="BK428" s="55"/>
      <c r="BL428" s="55"/>
      <c r="BM428" s="55"/>
      <c r="BN428" s="55"/>
      <c r="BO428" s="55"/>
      <c r="BP428" s="55"/>
      <c r="BQ428" s="55"/>
      <c r="BR428" s="55"/>
      <c r="BS428" s="55"/>
    </row>
    <row r="429" spans="1:71" outlineLevel="1" x14ac:dyDescent="0.2">
      <c r="J429" s="26"/>
      <c r="L429" s="55"/>
      <c r="M429" s="55"/>
      <c r="N429" s="55"/>
      <c r="O429" s="55"/>
      <c r="P429" s="55"/>
      <c r="Q429" s="55"/>
      <c r="R429" s="55"/>
      <c r="S429" s="55"/>
      <c r="T429" s="55"/>
      <c r="U429" s="55"/>
      <c r="V429" s="55"/>
      <c r="W429" s="55"/>
      <c r="X429" s="55"/>
      <c r="Y429" s="55"/>
      <c r="Z429" s="55"/>
      <c r="AA429" s="55"/>
      <c r="AB429" s="55"/>
      <c r="AC429" s="55"/>
      <c r="AD429" s="55"/>
      <c r="AE429" s="55"/>
      <c r="AF429" s="55"/>
      <c r="AG429" s="55"/>
      <c r="AH429" s="55"/>
      <c r="AI429" s="55"/>
      <c r="AJ429" s="55"/>
      <c r="AK429" s="55"/>
      <c r="AL429" s="55"/>
      <c r="AM429" s="55"/>
      <c r="AN429" s="55"/>
      <c r="AO429" s="55"/>
      <c r="AP429" s="55"/>
      <c r="AQ429" s="55"/>
      <c r="AR429" s="55"/>
      <c r="AS429" s="55"/>
      <c r="AT429" s="55"/>
      <c r="AU429" s="55"/>
      <c r="AV429" s="55"/>
      <c r="AW429" s="55"/>
      <c r="AX429" s="55"/>
      <c r="AY429" s="55"/>
      <c r="AZ429" s="55"/>
      <c r="BA429" s="55"/>
      <c r="BB429" s="55"/>
      <c r="BC429" s="55"/>
      <c r="BD429" s="55"/>
      <c r="BE429" s="55"/>
      <c r="BF429" s="55"/>
      <c r="BG429" s="55"/>
      <c r="BH429" s="55"/>
      <c r="BI429" s="55"/>
      <c r="BJ429" s="55"/>
      <c r="BK429" s="55"/>
      <c r="BL429" s="55"/>
      <c r="BM429" s="55"/>
      <c r="BN429" s="55"/>
      <c r="BO429" s="55"/>
      <c r="BP429" s="55"/>
      <c r="BQ429" s="55"/>
      <c r="BR429" s="55"/>
      <c r="BS429" s="55"/>
    </row>
    <row r="430" spans="1:71" outlineLevel="1" x14ac:dyDescent="0.2">
      <c r="A430" s="45"/>
      <c r="B430" s="38" t="str">
        <f>CHOOSE(db_ML_selected,'Liste Traduction'!B149,'Liste Traduction'!C149)</f>
        <v>Flux de trésorerie Contracteur</v>
      </c>
      <c r="C430" s="45"/>
      <c r="D430" s="45"/>
      <c r="E430" s="45"/>
      <c r="J430" s="26"/>
      <c r="L430" s="55"/>
      <c r="M430" s="55"/>
      <c r="N430" s="55"/>
      <c r="O430" s="55"/>
      <c r="P430" s="55"/>
      <c r="Q430" s="55"/>
      <c r="R430" s="55"/>
      <c r="S430" s="55"/>
      <c r="T430" s="55"/>
      <c r="U430" s="55"/>
      <c r="V430" s="55"/>
      <c r="W430" s="55"/>
      <c r="X430" s="55"/>
      <c r="Y430" s="55"/>
      <c r="Z430" s="55"/>
      <c r="AA430" s="55"/>
      <c r="AB430" s="55"/>
      <c r="AC430" s="55"/>
      <c r="AD430" s="55"/>
      <c r="AE430" s="55"/>
      <c r="AF430" s="55"/>
      <c r="AG430" s="55"/>
      <c r="AH430" s="55"/>
      <c r="AI430" s="55"/>
      <c r="AJ430" s="55"/>
      <c r="AK430" s="55"/>
      <c r="AL430" s="55"/>
      <c r="AM430" s="55"/>
      <c r="AN430" s="55"/>
      <c r="AO430" s="55"/>
      <c r="AP430" s="55"/>
      <c r="AQ430" s="55"/>
      <c r="AR430" s="55"/>
      <c r="AS430" s="55"/>
      <c r="AT430" s="55"/>
      <c r="AU430" s="55"/>
      <c r="AV430" s="55"/>
      <c r="AW430" s="55"/>
      <c r="AX430" s="55"/>
      <c r="AY430" s="55"/>
      <c r="AZ430" s="55"/>
      <c r="BA430" s="55"/>
      <c r="BB430" s="55"/>
      <c r="BC430" s="55"/>
      <c r="BD430" s="55"/>
      <c r="BE430" s="55"/>
      <c r="BF430" s="55"/>
      <c r="BG430" s="55"/>
      <c r="BH430" s="55"/>
      <c r="BI430" s="55"/>
      <c r="BJ430" s="55"/>
      <c r="BK430" s="55"/>
      <c r="BL430" s="55"/>
      <c r="BM430" s="55"/>
      <c r="BN430" s="55"/>
      <c r="BO430" s="55"/>
      <c r="BP430" s="55"/>
      <c r="BQ430" s="55"/>
      <c r="BR430" s="55"/>
      <c r="BS430" s="55"/>
    </row>
    <row r="431" spans="1:71" outlineLevel="1" x14ac:dyDescent="0.2">
      <c r="J431" s="26"/>
      <c r="L431" s="55"/>
      <c r="M431" s="55"/>
      <c r="N431" s="55"/>
      <c r="O431" s="55"/>
      <c r="P431" s="55"/>
      <c r="Q431" s="55"/>
      <c r="R431" s="55"/>
      <c r="S431" s="55"/>
      <c r="T431" s="55"/>
      <c r="U431" s="55"/>
      <c r="V431" s="55"/>
      <c r="W431" s="55"/>
      <c r="X431" s="55"/>
      <c r="Y431" s="55"/>
      <c r="Z431" s="55"/>
      <c r="AA431" s="55"/>
      <c r="AB431" s="55"/>
      <c r="AC431" s="55"/>
      <c r="AD431" s="55"/>
      <c r="AE431" s="55"/>
      <c r="AF431" s="55"/>
      <c r="AG431" s="55"/>
      <c r="AH431" s="55"/>
      <c r="AI431" s="55"/>
      <c r="AJ431" s="55"/>
      <c r="AK431" s="55"/>
      <c r="AL431" s="55"/>
      <c r="AM431" s="55"/>
      <c r="AN431" s="55"/>
      <c r="AO431" s="55"/>
      <c r="AP431" s="55"/>
      <c r="AQ431" s="55"/>
      <c r="AR431" s="55"/>
      <c r="AS431" s="55"/>
      <c r="AT431" s="55"/>
      <c r="AU431" s="55"/>
      <c r="AV431" s="55"/>
      <c r="AW431" s="55"/>
      <c r="AX431" s="55"/>
      <c r="AY431" s="55"/>
      <c r="AZ431" s="55"/>
      <c r="BA431" s="55"/>
      <c r="BB431" s="55"/>
      <c r="BC431" s="55"/>
      <c r="BD431" s="55"/>
      <c r="BE431" s="55"/>
      <c r="BF431" s="55"/>
      <c r="BG431" s="55"/>
      <c r="BH431" s="55"/>
      <c r="BI431" s="55"/>
      <c r="BJ431" s="55"/>
      <c r="BK431" s="55"/>
      <c r="BL431" s="55"/>
      <c r="BM431" s="55"/>
      <c r="BN431" s="55"/>
      <c r="BO431" s="55"/>
      <c r="BP431" s="55"/>
      <c r="BQ431" s="55"/>
      <c r="BR431" s="55"/>
      <c r="BS431" s="55"/>
    </row>
    <row r="432" spans="1:71" outlineLevel="1" x14ac:dyDescent="0.2">
      <c r="C432" s="11" t="str">
        <f>CHOOSE(db_ML_selected,'Liste Traduction'!B58,'Liste Traduction'!C58)</f>
        <v>Revenus des droits</v>
      </c>
      <c r="J432" s="26"/>
      <c r="L432" s="55"/>
      <c r="M432" s="55"/>
      <c r="N432" s="55"/>
      <c r="O432" s="55"/>
      <c r="P432" s="55"/>
      <c r="Q432" s="55"/>
      <c r="R432" s="55"/>
      <c r="S432" s="55"/>
      <c r="T432" s="55"/>
      <c r="U432" s="55"/>
      <c r="V432" s="55"/>
      <c r="W432" s="55"/>
      <c r="X432" s="55"/>
      <c r="Y432" s="55"/>
      <c r="Z432" s="55"/>
      <c r="AA432" s="55"/>
      <c r="AB432" s="55"/>
      <c r="AC432" s="55"/>
      <c r="AD432" s="55"/>
      <c r="AE432" s="55"/>
      <c r="AF432" s="55"/>
      <c r="AG432" s="55"/>
      <c r="AH432" s="55"/>
      <c r="AI432" s="55"/>
      <c r="AJ432" s="55"/>
      <c r="AK432" s="55"/>
      <c r="AL432" s="55"/>
      <c r="AM432" s="55"/>
      <c r="AN432" s="55"/>
      <c r="AO432" s="55"/>
      <c r="AP432" s="55"/>
      <c r="AQ432" s="55"/>
      <c r="AR432" s="55"/>
      <c r="AS432" s="55"/>
      <c r="AT432" s="55"/>
      <c r="AU432" s="55"/>
      <c r="AV432" s="55"/>
      <c r="AW432" s="55"/>
      <c r="AX432" s="55"/>
      <c r="AY432" s="55"/>
      <c r="AZ432" s="55"/>
      <c r="BA432" s="55"/>
      <c r="BB432" s="55"/>
      <c r="BC432" s="55"/>
      <c r="BD432" s="55"/>
      <c r="BE432" s="55"/>
      <c r="BF432" s="55"/>
      <c r="BG432" s="55"/>
      <c r="BH432" s="55"/>
      <c r="BI432" s="55"/>
      <c r="BJ432" s="55"/>
      <c r="BK432" s="55"/>
      <c r="BL432" s="55"/>
      <c r="BM432" s="55"/>
      <c r="BN432" s="55"/>
      <c r="BO432" s="55"/>
      <c r="BP432" s="55"/>
      <c r="BQ432" s="55"/>
      <c r="BR432" s="55"/>
      <c r="BS432" s="55"/>
    </row>
    <row r="433" spans="3:71" outlineLevel="1" x14ac:dyDescent="0.2">
      <c r="D433" t="str">
        <f>CHOOSE(db_ML_selected,'Liste Traduction'!B398,'Liste Traduction'!C398)</f>
        <v>Revenus de droits pétroliers</v>
      </c>
      <c r="I433" s="30">
        <f t="shared" ref="I433:I439" ca="1" si="134">SUM($L433:$BS433)</f>
        <v>3094.8455910902508</v>
      </c>
      <c r="J433" s="26" t="s">
        <v>148</v>
      </c>
      <c r="L433" s="49" cm="1">
        <f t="array" aca="1" ref="L433:BS433" ca="1">HM_ZA_Nkossa!CA_ent_rev_oil</f>
        <v>290.34453614129995</v>
      </c>
      <c r="M433" s="49">
        <f ca="1"/>
        <v>334.90934117277004</v>
      </c>
      <c r="N433" s="49">
        <f ca="1"/>
        <v>228.45973010082</v>
      </c>
      <c r="O433" s="49">
        <f ca="1"/>
        <v>239.83355202306001</v>
      </c>
      <c r="P433" s="49">
        <f ca="1"/>
        <v>303.36153252370008</v>
      </c>
      <c r="Q433" s="49">
        <f ca="1"/>
        <v>323.95460261216704</v>
      </c>
      <c r="R433" s="49">
        <f ca="1"/>
        <v>310.55643681580005</v>
      </c>
      <c r="S433" s="49">
        <f ca="1"/>
        <v>143.90154200333333</v>
      </c>
      <c r="T433" s="49">
        <f ca="1"/>
        <v>195.82872215961595</v>
      </c>
      <c r="U433" s="49">
        <f ca="1"/>
        <v>195.48604309247997</v>
      </c>
      <c r="V433" s="49">
        <f ca="1"/>
        <v>185.43806047752651</v>
      </c>
      <c r="W433" s="49">
        <f ca="1"/>
        <v>175.90654416898161</v>
      </c>
      <c r="X433" s="49">
        <f ca="1"/>
        <v>166.86494779869594</v>
      </c>
      <c r="Y433" s="49">
        <f ca="1"/>
        <v>0</v>
      </c>
      <c r="Z433" s="49">
        <f ca="1"/>
        <v>0</v>
      </c>
      <c r="AA433" s="49">
        <f ca="1"/>
        <v>0</v>
      </c>
      <c r="AB433" s="49">
        <f ca="1"/>
        <v>0</v>
      </c>
      <c r="AC433" s="49">
        <f ca="1"/>
        <v>0</v>
      </c>
      <c r="AD433" s="49">
        <f ca="1"/>
        <v>0</v>
      </c>
      <c r="AE433" s="49">
        <f ca="1"/>
        <v>0</v>
      </c>
      <c r="AF433" s="49">
        <f ca="1"/>
        <v>0</v>
      </c>
      <c r="AG433" s="49">
        <f ca="1"/>
        <v>0</v>
      </c>
      <c r="AH433" s="49">
        <f ca="1"/>
        <v>0</v>
      </c>
      <c r="AI433" s="49">
        <f ca="1"/>
        <v>0</v>
      </c>
      <c r="AJ433" s="49">
        <f ca="1"/>
        <v>0</v>
      </c>
      <c r="AK433" s="49">
        <f ca="1"/>
        <v>0</v>
      </c>
      <c r="AL433" s="49">
        <f ca="1"/>
        <v>0</v>
      </c>
      <c r="AM433" s="49">
        <f ca="1"/>
        <v>0</v>
      </c>
      <c r="AN433" s="49">
        <f ca="1"/>
        <v>0</v>
      </c>
      <c r="AO433" s="49">
        <f ca="1"/>
        <v>0</v>
      </c>
      <c r="AP433" s="49">
        <f ca="1"/>
        <v>0</v>
      </c>
      <c r="AQ433" s="49">
        <f ca="1"/>
        <v>0</v>
      </c>
      <c r="AR433" s="49">
        <f ca="1"/>
        <v>0</v>
      </c>
      <c r="AS433" s="49">
        <f ca="1"/>
        <v>0</v>
      </c>
      <c r="AT433" s="49">
        <f ca="1"/>
        <v>0</v>
      </c>
      <c r="AU433" s="49">
        <f ca="1"/>
        <v>0</v>
      </c>
      <c r="AV433" s="49">
        <f ca="1"/>
        <v>0</v>
      </c>
      <c r="AW433" s="49">
        <f ca="1"/>
        <v>0</v>
      </c>
      <c r="AX433" s="49">
        <f ca="1"/>
        <v>0</v>
      </c>
      <c r="AY433" s="49">
        <f ca="1"/>
        <v>0</v>
      </c>
      <c r="AZ433" s="49">
        <f ca="1"/>
        <v>0</v>
      </c>
      <c r="BA433" s="49">
        <f ca="1"/>
        <v>0</v>
      </c>
      <c r="BB433" s="49">
        <f ca="1"/>
        <v>0</v>
      </c>
      <c r="BC433" s="49">
        <f ca="1"/>
        <v>0</v>
      </c>
      <c r="BD433" s="49">
        <f ca="1"/>
        <v>0</v>
      </c>
      <c r="BE433" s="49">
        <f ca="1"/>
        <v>0</v>
      </c>
      <c r="BF433" s="49">
        <f ca="1"/>
        <v>0</v>
      </c>
      <c r="BG433" s="49">
        <f ca="1"/>
        <v>0</v>
      </c>
      <c r="BH433" s="49">
        <f ca="1"/>
        <v>0</v>
      </c>
      <c r="BI433" s="49">
        <f ca="1"/>
        <v>0</v>
      </c>
      <c r="BJ433" s="49">
        <f ca="1"/>
        <v>0</v>
      </c>
      <c r="BK433" s="49">
        <f ca="1"/>
        <v>0</v>
      </c>
      <c r="BL433" s="49">
        <f ca="1"/>
        <v>0</v>
      </c>
      <c r="BM433" s="49">
        <f ca="1"/>
        <v>0</v>
      </c>
      <c r="BN433" s="49">
        <f ca="1"/>
        <v>0</v>
      </c>
      <c r="BO433" s="49">
        <f ca="1"/>
        <v>0</v>
      </c>
      <c r="BP433" s="49">
        <f ca="1"/>
        <v>0</v>
      </c>
      <c r="BQ433" s="49">
        <f ca="1"/>
        <v>0</v>
      </c>
      <c r="BR433" s="49">
        <f ca="1"/>
        <v>0</v>
      </c>
      <c r="BS433" s="49">
        <f ca="1"/>
        <v>0</v>
      </c>
    </row>
    <row r="434" spans="3:71" outlineLevel="1" x14ac:dyDescent="0.2">
      <c r="D434" t="str">
        <f>CHOOSE(db_ML_selected,'Liste Traduction'!B399,'Liste Traduction'!C399)</f>
        <v>Revenus de droits gaziers</v>
      </c>
      <c r="I434" s="30">
        <f t="shared" ca="1" si="134"/>
        <v>0</v>
      </c>
      <c r="J434" s="26" t="s">
        <v>148</v>
      </c>
      <c r="L434" s="49" cm="1">
        <f t="array" aca="1" ref="L434:BS434" ca="1">HM_ZA_Nkossa!CA_ent_rev_gas</f>
        <v>0</v>
      </c>
      <c r="M434" s="49">
        <f ca="1"/>
        <v>0</v>
      </c>
      <c r="N434" s="49">
        <f ca="1"/>
        <v>0</v>
      </c>
      <c r="O434" s="49">
        <f ca="1"/>
        <v>0</v>
      </c>
      <c r="P434" s="49">
        <f ca="1"/>
        <v>0</v>
      </c>
      <c r="Q434" s="49">
        <f ca="1"/>
        <v>0</v>
      </c>
      <c r="R434" s="49">
        <f ca="1"/>
        <v>0</v>
      </c>
      <c r="S434" s="49">
        <f ca="1"/>
        <v>0</v>
      </c>
      <c r="T434" s="49">
        <f ca="1"/>
        <v>0</v>
      </c>
      <c r="U434" s="49">
        <f ca="1"/>
        <v>0</v>
      </c>
      <c r="V434" s="49">
        <f ca="1"/>
        <v>0</v>
      </c>
      <c r="W434" s="49">
        <f ca="1"/>
        <v>0</v>
      </c>
      <c r="X434" s="49">
        <f ca="1"/>
        <v>0</v>
      </c>
      <c r="Y434" s="49">
        <f ca="1"/>
        <v>0</v>
      </c>
      <c r="Z434" s="49">
        <f ca="1"/>
        <v>0</v>
      </c>
      <c r="AA434" s="49">
        <f ca="1"/>
        <v>0</v>
      </c>
      <c r="AB434" s="49">
        <f ca="1"/>
        <v>0</v>
      </c>
      <c r="AC434" s="49">
        <f ca="1"/>
        <v>0</v>
      </c>
      <c r="AD434" s="49">
        <f ca="1"/>
        <v>0</v>
      </c>
      <c r="AE434" s="49">
        <f ca="1"/>
        <v>0</v>
      </c>
      <c r="AF434" s="49">
        <f ca="1"/>
        <v>0</v>
      </c>
      <c r="AG434" s="49">
        <f ca="1"/>
        <v>0</v>
      </c>
      <c r="AH434" s="49">
        <f ca="1"/>
        <v>0</v>
      </c>
      <c r="AI434" s="49">
        <f ca="1"/>
        <v>0</v>
      </c>
      <c r="AJ434" s="49">
        <f ca="1"/>
        <v>0</v>
      </c>
      <c r="AK434" s="49">
        <f ca="1"/>
        <v>0</v>
      </c>
      <c r="AL434" s="49">
        <f ca="1"/>
        <v>0</v>
      </c>
      <c r="AM434" s="49">
        <f ca="1"/>
        <v>0</v>
      </c>
      <c r="AN434" s="49">
        <f ca="1"/>
        <v>0</v>
      </c>
      <c r="AO434" s="49">
        <f ca="1"/>
        <v>0</v>
      </c>
      <c r="AP434" s="49">
        <f ca="1"/>
        <v>0</v>
      </c>
      <c r="AQ434" s="49">
        <f ca="1"/>
        <v>0</v>
      </c>
      <c r="AR434" s="49">
        <f ca="1"/>
        <v>0</v>
      </c>
      <c r="AS434" s="49">
        <f ca="1"/>
        <v>0</v>
      </c>
      <c r="AT434" s="49">
        <f ca="1"/>
        <v>0</v>
      </c>
      <c r="AU434" s="49">
        <f ca="1"/>
        <v>0</v>
      </c>
      <c r="AV434" s="49">
        <f ca="1"/>
        <v>0</v>
      </c>
      <c r="AW434" s="49">
        <f ca="1"/>
        <v>0</v>
      </c>
      <c r="AX434" s="49">
        <f ca="1"/>
        <v>0</v>
      </c>
      <c r="AY434" s="49">
        <f ca="1"/>
        <v>0</v>
      </c>
      <c r="AZ434" s="49">
        <f ca="1"/>
        <v>0</v>
      </c>
      <c r="BA434" s="49">
        <f ca="1"/>
        <v>0</v>
      </c>
      <c r="BB434" s="49">
        <f ca="1"/>
        <v>0</v>
      </c>
      <c r="BC434" s="49">
        <f ca="1"/>
        <v>0</v>
      </c>
      <c r="BD434" s="49">
        <f ca="1"/>
        <v>0</v>
      </c>
      <c r="BE434" s="49">
        <f ca="1"/>
        <v>0</v>
      </c>
      <c r="BF434" s="49">
        <f ca="1"/>
        <v>0</v>
      </c>
      <c r="BG434" s="49">
        <f ca="1"/>
        <v>0</v>
      </c>
      <c r="BH434" s="49">
        <f ca="1"/>
        <v>0</v>
      </c>
      <c r="BI434" s="49">
        <f ca="1"/>
        <v>0</v>
      </c>
      <c r="BJ434" s="49">
        <f ca="1"/>
        <v>0</v>
      </c>
      <c r="BK434" s="49">
        <f ca="1"/>
        <v>0</v>
      </c>
      <c r="BL434" s="49">
        <f ca="1"/>
        <v>0</v>
      </c>
      <c r="BM434" s="49">
        <f ca="1"/>
        <v>0</v>
      </c>
      <c r="BN434" s="49">
        <f ca="1"/>
        <v>0</v>
      </c>
      <c r="BO434" s="49">
        <f ca="1"/>
        <v>0</v>
      </c>
      <c r="BP434" s="49">
        <f ca="1"/>
        <v>0</v>
      </c>
      <c r="BQ434" s="49">
        <f ca="1"/>
        <v>0</v>
      </c>
      <c r="BR434" s="49">
        <f ca="1"/>
        <v>0</v>
      </c>
      <c r="BS434" s="49">
        <f ca="1"/>
        <v>0</v>
      </c>
    </row>
    <row r="435" spans="3:71" outlineLevel="1" x14ac:dyDescent="0.2">
      <c r="D435" s="11" t="str">
        <f>CHOOSE(db_ML_selected,'Liste Traduction'!B400,'Liste Traduction'!C400)</f>
        <v>Total revenus des droits</v>
      </c>
      <c r="I435" s="30">
        <f t="shared" ca="1" si="134"/>
        <v>3094.8455910902508</v>
      </c>
      <c r="J435" s="26" t="s">
        <v>148</v>
      </c>
      <c r="L435" s="49">
        <f ca="1">SUM(L433:L434)</f>
        <v>290.34453614129995</v>
      </c>
      <c r="M435" s="49">
        <f t="shared" ref="M435:BS435" ca="1" si="135">SUM(M433:M434)</f>
        <v>334.90934117277004</v>
      </c>
      <c r="N435" s="49">
        <f t="shared" ca="1" si="135"/>
        <v>228.45973010082</v>
      </c>
      <c r="O435" s="49">
        <f t="shared" ca="1" si="135"/>
        <v>239.83355202306001</v>
      </c>
      <c r="P435" s="49">
        <f t="shared" ca="1" si="135"/>
        <v>303.36153252370008</v>
      </c>
      <c r="Q435" s="49">
        <f t="shared" ca="1" si="135"/>
        <v>323.95460261216704</v>
      </c>
      <c r="R435" s="49">
        <f t="shared" ca="1" si="135"/>
        <v>310.55643681580005</v>
      </c>
      <c r="S435" s="49">
        <f t="shared" ca="1" si="135"/>
        <v>143.90154200333333</v>
      </c>
      <c r="T435" s="49">
        <f t="shared" ca="1" si="135"/>
        <v>195.82872215961595</v>
      </c>
      <c r="U435" s="49">
        <f t="shared" ca="1" si="135"/>
        <v>195.48604309247997</v>
      </c>
      <c r="V435" s="49">
        <f t="shared" ca="1" si="135"/>
        <v>185.43806047752651</v>
      </c>
      <c r="W435" s="49">
        <f t="shared" ca="1" si="135"/>
        <v>175.90654416898161</v>
      </c>
      <c r="X435" s="49">
        <f t="shared" ca="1" si="135"/>
        <v>166.86494779869594</v>
      </c>
      <c r="Y435" s="49">
        <f t="shared" ca="1" si="135"/>
        <v>0</v>
      </c>
      <c r="Z435" s="49">
        <f t="shared" ca="1" si="135"/>
        <v>0</v>
      </c>
      <c r="AA435" s="49">
        <f t="shared" ca="1" si="135"/>
        <v>0</v>
      </c>
      <c r="AB435" s="49">
        <f t="shared" ca="1" si="135"/>
        <v>0</v>
      </c>
      <c r="AC435" s="49">
        <f t="shared" ca="1" si="135"/>
        <v>0</v>
      </c>
      <c r="AD435" s="49">
        <f t="shared" ca="1" si="135"/>
        <v>0</v>
      </c>
      <c r="AE435" s="49">
        <f t="shared" ca="1" si="135"/>
        <v>0</v>
      </c>
      <c r="AF435" s="49">
        <f t="shared" ca="1" si="135"/>
        <v>0</v>
      </c>
      <c r="AG435" s="49">
        <f t="shared" ca="1" si="135"/>
        <v>0</v>
      </c>
      <c r="AH435" s="49">
        <f t="shared" ca="1" si="135"/>
        <v>0</v>
      </c>
      <c r="AI435" s="49">
        <f t="shared" ca="1" si="135"/>
        <v>0</v>
      </c>
      <c r="AJ435" s="49">
        <f t="shared" ca="1" si="135"/>
        <v>0</v>
      </c>
      <c r="AK435" s="49">
        <f t="shared" ca="1" si="135"/>
        <v>0</v>
      </c>
      <c r="AL435" s="49">
        <f t="shared" ca="1" si="135"/>
        <v>0</v>
      </c>
      <c r="AM435" s="49">
        <f t="shared" ca="1" si="135"/>
        <v>0</v>
      </c>
      <c r="AN435" s="49">
        <f t="shared" ca="1" si="135"/>
        <v>0</v>
      </c>
      <c r="AO435" s="49">
        <f t="shared" ca="1" si="135"/>
        <v>0</v>
      </c>
      <c r="AP435" s="49">
        <f t="shared" ca="1" si="135"/>
        <v>0</v>
      </c>
      <c r="AQ435" s="49">
        <f t="shared" ca="1" si="135"/>
        <v>0</v>
      </c>
      <c r="AR435" s="49">
        <f t="shared" ca="1" si="135"/>
        <v>0</v>
      </c>
      <c r="AS435" s="49">
        <f t="shared" ca="1" si="135"/>
        <v>0</v>
      </c>
      <c r="AT435" s="49">
        <f t="shared" ca="1" si="135"/>
        <v>0</v>
      </c>
      <c r="AU435" s="49">
        <f t="shared" ca="1" si="135"/>
        <v>0</v>
      </c>
      <c r="AV435" s="49">
        <f t="shared" ca="1" si="135"/>
        <v>0</v>
      </c>
      <c r="AW435" s="49">
        <f t="shared" ca="1" si="135"/>
        <v>0</v>
      </c>
      <c r="AX435" s="49">
        <f t="shared" ca="1" si="135"/>
        <v>0</v>
      </c>
      <c r="AY435" s="49">
        <f t="shared" ca="1" si="135"/>
        <v>0</v>
      </c>
      <c r="AZ435" s="49">
        <f t="shared" ca="1" si="135"/>
        <v>0</v>
      </c>
      <c r="BA435" s="49">
        <f t="shared" ca="1" si="135"/>
        <v>0</v>
      </c>
      <c r="BB435" s="49">
        <f t="shared" ca="1" si="135"/>
        <v>0</v>
      </c>
      <c r="BC435" s="49">
        <f t="shared" ca="1" si="135"/>
        <v>0</v>
      </c>
      <c r="BD435" s="49">
        <f t="shared" ca="1" si="135"/>
        <v>0</v>
      </c>
      <c r="BE435" s="49">
        <f t="shared" ca="1" si="135"/>
        <v>0</v>
      </c>
      <c r="BF435" s="49">
        <f t="shared" ca="1" si="135"/>
        <v>0</v>
      </c>
      <c r="BG435" s="49">
        <f t="shared" ca="1" si="135"/>
        <v>0</v>
      </c>
      <c r="BH435" s="49">
        <f t="shared" ca="1" si="135"/>
        <v>0</v>
      </c>
      <c r="BI435" s="49">
        <f t="shared" ca="1" si="135"/>
        <v>0</v>
      </c>
      <c r="BJ435" s="49">
        <f t="shared" ca="1" si="135"/>
        <v>0</v>
      </c>
      <c r="BK435" s="49">
        <f t="shared" ca="1" si="135"/>
        <v>0</v>
      </c>
      <c r="BL435" s="49">
        <f t="shared" ca="1" si="135"/>
        <v>0</v>
      </c>
      <c r="BM435" s="49">
        <f t="shared" ca="1" si="135"/>
        <v>0</v>
      </c>
      <c r="BN435" s="49">
        <f t="shared" ca="1" si="135"/>
        <v>0</v>
      </c>
      <c r="BO435" s="49">
        <f t="shared" ca="1" si="135"/>
        <v>0</v>
      </c>
      <c r="BP435" s="49">
        <f t="shared" ca="1" si="135"/>
        <v>0</v>
      </c>
      <c r="BQ435" s="49">
        <f t="shared" ca="1" si="135"/>
        <v>0</v>
      </c>
      <c r="BR435" s="49">
        <f t="shared" ca="1" si="135"/>
        <v>0</v>
      </c>
      <c r="BS435" s="49">
        <f t="shared" ca="1" si="135"/>
        <v>0</v>
      </c>
    </row>
    <row r="436" spans="3:71" outlineLevel="1" x14ac:dyDescent="0.2">
      <c r="J436" s="26"/>
      <c r="L436" s="55"/>
      <c r="M436" s="55"/>
      <c r="N436" s="55"/>
      <c r="O436" s="55"/>
      <c r="P436" s="55"/>
      <c r="Q436" s="55"/>
      <c r="R436" s="55"/>
      <c r="S436" s="55"/>
      <c r="T436" s="55"/>
      <c r="U436" s="55"/>
      <c r="V436" s="55"/>
      <c r="W436" s="55"/>
      <c r="X436" s="55"/>
      <c r="Y436" s="55"/>
      <c r="Z436" s="55"/>
      <c r="AA436" s="55"/>
      <c r="AB436" s="55"/>
      <c r="AC436" s="55"/>
      <c r="AD436" s="55"/>
      <c r="AE436" s="55"/>
      <c r="AF436" s="55"/>
      <c r="AG436" s="55"/>
      <c r="AH436" s="55"/>
      <c r="AI436" s="55"/>
      <c r="AJ436" s="55"/>
      <c r="AK436" s="55"/>
      <c r="AL436" s="55"/>
      <c r="AM436" s="55"/>
      <c r="AN436" s="55"/>
      <c r="AO436" s="55"/>
      <c r="AP436" s="55"/>
      <c r="AQ436" s="55"/>
      <c r="AR436" s="55"/>
      <c r="AS436" s="55"/>
      <c r="AT436" s="55"/>
      <c r="AU436" s="55"/>
      <c r="AV436" s="55"/>
      <c r="AW436" s="55"/>
      <c r="AX436" s="55"/>
      <c r="AY436" s="55"/>
      <c r="AZ436" s="55"/>
      <c r="BA436" s="55"/>
      <c r="BB436" s="55"/>
      <c r="BC436" s="55"/>
      <c r="BD436" s="55"/>
      <c r="BE436" s="55"/>
      <c r="BF436" s="55"/>
      <c r="BG436" s="55"/>
      <c r="BH436" s="55"/>
      <c r="BI436" s="55"/>
      <c r="BJ436" s="55"/>
      <c r="BK436" s="55"/>
      <c r="BL436" s="55"/>
      <c r="BM436" s="55"/>
      <c r="BN436" s="55"/>
      <c r="BO436" s="55"/>
      <c r="BP436" s="55"/>
      <c r="BQ436" s="55"/>
      <c r="BR436" s="55"/>
      <c r="BS436" s="55"/>
    </row>
    <row r="437" spans="3:71" outlineLevel="1" x14ac:dyDescent="0.2">
      <c r="C437" s="11" t="str">
        <f>C414</f>
        <v>Coûts d'exploitation</v>
      </c>
      <c r="I437" s="30">
        <f t="shared" ca="1" si="134"/>
        <v>1434.5774916640003</v>
      </c>
      <c r="J437" s="26" t="s">
        <v>148</v>
      </c>
      <c r="L437" s="49">
        <f ca="1">L417</f>
        <v>212.22900000000001</v>
      </c>
      <c r="M437" s="49">
        <f t="shared" ref="M437:BS437" ca="1" si="136">M417</f>
        <v>176.756</v>
      </c>
      <c r="N437" s="49">
        <f t="shared" ca="1" si="136"/>
        <v>125.261</v>
      </c>
      <c r="O437" s="49">
        <f t="shared" ca="1" si="136"/>
        <v>157.50200000000001</v>
      </c>
      <c r="P437" s="49">
        <f t="shared" ca="1" si="136"/>
        <v>196.16</v>
      </c>
      <c r="Q437" s="49">
        <f t="shared" ca="1" si="136"/>
        <v>89.2</v>
      </c>
      <c r="R437" s="49">
        <f t="shared" ca="1" si="136"/>
        <v>77.2</v>
      </c>
      <c r="S437" s="49">
        <f t="shared" ca="1" si="136"/>
        <v>66.2</v>
      </c>
      <c r="T437" s="49">
        <f t="shared" ca="1" si="136"/>
        <v>65.5</v>
      </c>
      <c r="U437" s="49">
        <f t="shared" ca="1" si="136"/>
        <v>66.198000000000008</v>
      </c>
      <c r="V437" s="49">
        <f t="shared" ca="1" si="136"/>
        <v>66.793680000000009</v>
      </c>
      <c r="W437" s="49">
        <f t="shared" ca="1" si="136"/>
        <v>67.492828799999998</v>
      </c>
      <c r="X437" s="49">
        <f t="shared" ca="1" si="136"/>
        <v>68.084982863999997</v>
      </c>
      <c r="Y437" s="49">
        <f t="shared" ca="1" si="136"/>
        <v>0</v>
      </c>
      <c r="Z437" s="49">
        <f t="shared" ca="1" si="136"/>
        <v>0</v>
      </c>
      <c r="AA437" s="49">
        <f t="shared" ca="1" si="136"/>
        <v>0</v>
      </c>
      <c r="AB437" s="49">
        <f t="shared" ca="1" si="136"/>
        <v>0</v>
      </c>
      <c r="AC437" s="49">
        <f t="shared" ca="1" si="136"/>
        <v>0</v>
      </c>
      <c r="AD437" s="49">
        <f t="shared" ca="1" si="136"/>
        <v>0</v>
      </c>
      <c r="AE437" s="49">
        <f t="shared" ca="1" si="136"/>
        <v>0</v>
      </c>
      <c r="AF437" s="49">
        <f t="shared" ca="1" si="136"/>
        <v>0</v>
      </c>
      <c r="AG437" s="49">
        <f t="shared" ca="1" si="136"/>
        <v>0</v>
      </c>
      <c r="AH437" s="49">
        <f t="shared" ca="1" si="136"/>
        <v>0</v>
      </c>
      <c r="AI437" s="49">
        <f t="shared" ca="1" si="136"/>
        <v>0</v>
      </c>
      <c r="AJ437" s="49">
        <f t="shared" ca="1" si="136"/>
        <v>0</v>
      </c>
      <c r="AK437" s="49">
        <f t="shared" ca="1" si="136"/>
        <v>0</v>
      </c>
      <c r="AL437" s="49">
        <f t="shared" ca="1" si="136"/>
        <v>0</v>
      </c>
      <c r="AM437" s="49">
        <f t="shared" ca="1" si="136"/>
        <v>0</v>
      </c>
      <c r="AN437" s="49">
        <f t="shared" ca="1" si="136"/>
        <v>0</v>
      </c>
      <c r="AO437" s="49">
        <f t="shared" ca="1" si="136"/>
        <v>0</v>
      </c>
      <c r="AP437" s="49">
        <f t="shared" ca="1" si="136"/>
        <v>0</v>
      </c>
      <c r="AQ437" s="49">
        <f t="shared" ca="1" si="136"/>
        <v>0</v>
      </c>
      <c r="AR437" s="49">
        <f t="shared" ca="1" si="136"/>
        <v>0</v>
      </c>
      <c r="AS437" s="49">
        <f t="shared" ca="1" si="136"/>
        <v>0</v>
      </c>
      <c r="AT437" s="49">
        <f t="shared" ca="1" si="136"/>
        <v>0</v>
      </c>
      <c r="AU437" s="49">
        <f t="shared" ca="1" si="136"/>
        <v>0</v>
      </c>
      <c r="AV437" s="49">
        <f t="shared" ca="1" si="136"/>
        <v>0</v>
      </c>
      <c r="AW437" s="49">
        <f t="shared" ca="1" si="136"/>
        <v>0</v>
      </c>
      <c r="AX437" s="49">
        <f t="shared" ca="1" si="136"/>
        <v>0</v>
      </c>
      <c r="AY437" s="49">
        <f t="shared" ca="1" si="136"/>
        <v>0</v>
      </c>
      <c r="AZ437" s="49">
        <f t="shared" ca="1" si="136"/>
        <v>0</v>
      </c>
      <c r="BA437" s="49">
        <f t="shared" ca="1" si="136"/>
        <v>0</v>
      </c>
      <c r="BB437" s="49">
        <f t="shared" ca="1" si="136"/>
        <v>0</v>
      </c>
      <c r="BC437" s="49">
        <f t="shared" ca="1" si="136"/>
        <v>0</v>
      </c>
      <c r="BD437" s="49">
        <f t="shared" ca="1" si="136"/>
        <v>0</v>
      </c>
      <c r="BE437" s="49">
        <f t="shared" ca="1" si="136"/>
        <v>0</v>
      </c>
      <c r="BF437" s="49">
        <f t="shared" ca="1" si="136"/>
        <v>0</v>
      </c>
      <c r="BG437" s="49">
        <f t="shared" ca="1" si="136"/>
        <v>0</v>
      </c>
      <c r="BH437" s="49">
        <f t="shared" ca="1" si="136"/>
        <v>0</v>
      </c>
      <c r="BI437" s="49">
        <f t="shared" ca="1" si="136"/>
        <v>0</v>
      </c>
      <c r="BJ437" s="49">
        <f t="shared" ca="1" si="136"/>
        <v>0</v>
      </c>
      <c r="BK437" s="49">
        <f t="shared" ca="1" si="136"/>
        <v>0</v>
      </c>
      <c r="BL437" s="49">
        <f t="shared" ca="1" si="136"/>
        <v>0</v>
      </c>
      <c r="BM437" s="49">
        <f t="shared" ca="1" si="136"/>
        <v>0</v>
      </c>
      <c r="BN437" s="49">
        <f t="shared" ca="1" si="136"/>
        <v>0</v>
      </c>
      <c r="BO437" s="49">
        <f t="shared" ca="1" si="136"/>
        <v>0</v>
      </c>
      <c r="BP437" s="49">
        <f t="shared" ca="1" si="136"/>
        <v>0</v>
      </c>
      <c r="BQ437" s="49">
        <f t="shared" ca="1" si="136"/>
        <v>0</v>
      </c>
      <c r="BR437" s="49">
        <f t="shared" ca="1" si="136"/>
        <v>0</v>
      </c>
      <c r="BS437" s="49">
        <f t="shared" ca="1" si="136"/>
        <v>0</v>
      </c>
    </row>
    <row r="438" spans="3:71" outlineLevel="1" x14ac:dyDescent="0.2">
      <c r="J438" s="26"/>
      <c r="L438" s="55"/>
      <c r="M438" s="55"/>
      <c r="N438" s="55"/>
      <c r="O438" s="55"/>
      <c r="P438" s="55"/>
      <c r="Q438" s="55"/>
      <c r="R438" s="55"/>
      <c r="S438" s="55"/>
      <c r="T438" s="55"/>
      <c r="U438" s="55"/>
      <c r="V438" s="55"/>
      <c r="W438" s="55"/>
      <c r="X438" s="55"/>
      <c r="Y438" s="55"/>
      <c r="Z438" s="55"/>
      <c r="AA438" s="55"/>
      <c r="AB438" s="55"/>
      <c r="AC438" s="55"/>
      <c r="AD438" s="55"/>
      <c r="AE438" s="55"/>
      <c r="AF438" s="55"/>
      <c r="AG438" s="55"/>
      <c r="AH438" s="55"/>
      <c r="AI438" s="55"/>
      <c r="AJ438" s="55"/>
      <c r="AK438" s="55"/>
      <c r="AL438" s="55"/>
      <c r="AM438" s="55"/>
      <c r="AN438" s="55"/>
      <c r="AO438" s="55"/>
      <c r="AP438" s="55"/>
      <c r="AQ438" s="55"/>
      <c r="AR438" s="55"/>
      <c r="AS438" s="55"/>
      <c r="AT438" s="55"/>
      <c r="AU438" s="55"/>
      <c r="AV438" s="55"/>
      <c r="AW438" s="55"/>
      <c r="AX438" s="55"/>
      <c r="AY438" s="55"/>
      <c r="AZ438" s="55"/>
      <c r="BA438" s="55"/>
      <c r="BB438" s="55"/>
      <c r="BC438" s="55"/>
      <c r="BD438" s="55"/>
      <c r="BE438" s="55"/>
      <c r="BF438" s="55"/>
      <c r="BG438" s="55"/>
      <c r="BH438" s="55"/>
      <c r="BI438" s="55"/>
      <c r="BJ438" s="55"/>
      <c r="BK438" s="55"/>
      <c r="BL438" s="55"/>
      <c r="BM438" s="55"/>
      <c r="BN438" s="55"/>
      <c r="BO438" s="55"/>
      <c r="BP438" s="55"/>
      <c r="BQ438" s="55"/>
      <c r="BR438" s="55"/>
      <c r="BS438" s="55"/>
    </row>
    <row r="439" spans="3:71" outlineLevel="1" x14ac:dyDescent="0.2">
      <c r="C439" s="11" t="str">
        <f>CHOOSE(db_ML_selected,'Liste Traduction'!B401,'Liste Traduction'!C401)</f>
        <v>Bonus et frais</v>
      </c>
      <c r="I439" s="30">
        <f t="shared" ca="1" si="134"/>
        <v>55.941580569743323</v>
      </c>
      <c r="J439" s="26" t="s">
        <v>148</v>
      </c>
      <c r="L439" s="49" cm="1">
        <f t="array" aca="1" ref="L439:BS439" ca="1">HM_ZA_Nkossa!CA_pid_fees</f>
        <v>9.1971353594999989</v>
      </c>
      <c r="M439" s="49">
        <f ca="1"/>
        <v>9.7765439921200006</v>
      </c>
      <c r="N439" s="49">
        <f ca="1"/>
        <v>4.3253344811799996</v>
      </c>
      <c r="O439" s="49">
        <f ca="1"/>
        <v>4.0477008564400005</v>
      </c>
      <c r="P439" s="49">
        <f ca="1"/>
        <v>4.3337361789100006</v>
      </c>
      <c r="Q439" s="49">
        <f ca="1"/>
        <v>4.63281117993</v>
      </c>
      <c r="R439" s="49">
        <f ca="1"/>
        <v>4.4365205259400007</v>
      </c>
      <c r="S439" s="49">
        <f ca="1"/>
        <v>2.0557363143333331</v>
      </c>
      <c r="T439" s="49">
        <f ca="1"/>
        <v>2.7975531737087995</v>
      </c>
      <c r="U439" s="49">
        <f ca="1"/>
        <v>2.7926577584639993</v>
      </c>
      <c r="V439" s="49">
        <f ca="1"/>
        <v>2.6491151496789498</v>
      </c>
      <c r="W439" s="49">
        <f ca="1"/>
        <v>2.5129506309854515</v>
      </c>
      <c r="X439" s="49">
        <f ca="1"/>
        <v>2.3837849685527992</v>
      </c>
      <c r="Y439" s="49">
        <f ca="1"/>
        <v>0</v>
      </c>
      <c r="Z439" s="49">
        <f ca="1"/>
        <v>0</v>
      </c>
      <c r="AA439" s="49">
        <f ca="1"/>
        <v>0</v>
      </c>
      <c r="AB439" s="49">
        <f ca="1"/>
        <v>0</v>
      </c>
      <c r="AC439" s="49">
        <f ca="1"/>
        <v>0</v>
      </c>
      <c r="AD439" s="49">
        <f ca="1"/>
        <v>0</v>
      </c>
      <c r="AE439" s="49">
        <f ca="1"/>
        <v>0</v>
      </c>
      <c r="AF439" s="49">
        <f ca="1"/>
        <v>0</v>
      </c>
      <c r="AG439" s="49">
        <f ca="1"/>
        <v>0</v>
      </c>
      <c r="AH439" s="49">
        <f ca="1"/>
        <v>0</v>
      </c>
      <c r="AI439" s="49">
        <f ca="1"/>
        <v>0</v>
      </c>
      <c r="AJ439" s="49">
        <f ca="1"/>
        <v>0</v>
      </c>
      <c r="AK439" s="49">
        <f ca="1"/>
        <v>0</v>
      </c>
      <c r="AL439" s="49">
        <f ca="1"/>
        <v>0</v>
      </c>
      <c r="AM439" s="49">
        <f ca="1"/>
        <v>0</v>
      </c>
      <c r="AN439" s="49">
        <f ca="1"/>
        <v>0</v>
      </c>
      <c r="AO439" s="49">
        <f ca="1"/>
        <v>0</v>
      </c>
      <c r="AP439" s="49">
        <f ca="1"/>
        <v>0</v>
      </c>
      <c r="AQ439" s="49">
        <f ca="1"/>
        <v>0</v>
      </c>
      <c r="AR439" s="49">
        <f ca="1"/>
        <v>0</v>
      </c>
      <c r="AS439" s="49">
        <f ca="1"/>
        <v>0</v>
      </c>
      <c r="AT439" s="49">
        <f ca="1"/>
        <v>0</v>
      </c>
      <c r="AU439" s="49">
        <f ca="1"/>
        <v>0</v>
      </c>
      <c r="AV439" s="49">
        <f ca="1"/>
        <v>0</v>
      </c>
      <c r="AW439" s="49">
        <f ca="1"/>
        <v>0</v>
      </c>
      <c r="AX439" s="49">
        <f ca="1"/>
        <v>0</v>
      </c>
      <c r="AY439" s="49">
        <f ca="1"/>
        <v>0</v>
      </c>
      <c r="AZ439" s="49">
        <f ca="1"/>
        <v>0</v>
      </c>
      <c r="BA439" s="49">
        <f ca="1"/>
        <v>0</v>
      </c>
      <c r="BB439" s="49">
        <f ca="1"/>
        <v>0</v>
      </c>
      <c r="BC439" s="49">
        <f ca="1"/>
        <v>0</v>
      </c>
      <c r="BD439" s="49">
        <f ca="1"/>
        <v>0</v>
      </c>
      <c r="BE439" s="49">
        <f ca="1"/>
        <v>0</v>
      </c>
      <c r="BF439" s="49">
        <f ca="1"/>
        <v>0</v>
      </c>
      <c r="BG439" s="49">
        <f ca="1"/>
        <v>0</v>
      </c>
      <c r="BH439" s="49">
        <f ca="1"/>
        <v>0</v>
      </c>
      <c r="BI439" s="49">
        <f ca="1"/>
        <v>0</v>
      </c>
      <c r="BJ439" s="49">
        <f ca="1"/>
        <v>0</v>
      </c>
      <c r="BK439" s="49">
        <f ca="1"/>
        <v>0</v>
      </c>
      <c r="BL439" s="49">
        <f ca="1"/>
        <v>0</v>
      </c>
      <c r="BM439" s="49">
        <f ca="1"/>
        <v>0</v>
      </c>
      <c r="BN439" s="49">
        <f ca="1"/>
        <v>0</v>
      </c>
      <c r="BO439" s="49">
        <f ca="1"/>
        <v>0</v>
      </c>
      <c r="BP439" s="49">
        <f ca="1"/>
        <v>0</v>
      </c>
      <c r="BQ439" s="49">
        <f ca="1"/>
        <v>0</v>
      </c>
      <c r="BR439" s="49">
        <f ca="1"/>
        <v>0</v>
      </c>
      <c r="BS439" s="49">
        <f ca="1"/>
        <v>0</v>
      </c>
    </row>
    <row r="440" spans="3:71" outlineLevel="1" x14ac:dyDescent="0.2">
      <c r="J440" s="26"/>
      <c r="L440" s="55"/>
      <c r="M440" s="55"/>
      <c r="N440" s="55"/>
      <c r="O440" s="55"/>
      <c r="P440" s="55"/>
      <c r="Q440" s="55"/>
      <c r="R440" s="55"/>
      <c r="S440" s="55"/>
      <c r="T440" s="55"/>
      <c r="U440" s="55"/>
      <c r="V440" s="55"/>
      <c r="W440" s="55"/>
      <c r="X440" s="55"/>
      <c r="Y440" s="55"/>
      <c r="Z440" s="55"/>
      <c r="AA440" s="55"/>
      <c r="AB440" s="55"/>
      <c r="AC440" s="55"/>
      <c r="AD440" s="55"/>
      <c r="AE440" s="55"/>
      <c r="AF440" s="55"/>
      <c r="AG440" s="55"/>
      <c r="AH440" s="55"/>
      <c r="AI440" s="55"/>
      <c r="AJ440" s="55"/>
      <c r="AK440" s="55"/>
      <c r="AL440" s="55"/>
      <c r="AM440" s="55"/>
      <c r="AN440" s="55"/>
      <c r="AO440" s="55"/>
      <c r="AP440" s="55"/>
      <c r="AQ440" s="55"/>
      <c r="AR440" s="55"/>
      <c r="AS440" s="55"/>
      <c r="AT440" s="55"/>
      <c r="AU440" s="55"/>
      <c r="AV440" s="55"/>
      <c r="AW440" s="55"/>
      <c r="AX440" s="55"/>
      <c r="AY440" s="55"/>
      <c r="AZ440" s="55"/>
      <c r="BA440" s="55"/>
      <c r="BB440" s="55"/>
      <c r="BC440" s="55"/>
      <c r="BD440" s="55"/>
      <c r="BE440" s="55"/>
      <c r="BF440" s="55"/>
      <c r="BG440" s="55"/>
      <c r="BH440" s="55"/>
      <c r="BI440" s="55"/>
      <c r="BJ440" s="55"/>
      <c r="BK440" s="55"/>
      <c r="BL440" s="55"/>
      <c r="BM440" s="55"/>
      <c r="BN440" s="55"/>
      <c r="BO440" s="55"/>
      <c r="BP440" s="55"/>
      <c r="BQ440" s="55"/>
      <c r="BR440" s="55"/>
      <c r="BS440" s="55"/>
    </row>
    <row r="441" spans="3:71" outlineLevel="1" x14ac:dyDescent="0.2">
      <c r="C441" s="11" t="str">
        <f>CHOOSE(db_ML_selected,'Liste Traduction'!B402,'Liste Traduction'!C402)</f>
        <v>Production et autres taxes</v>
      </c>
      <c r="I441" s="30">
        <f t="shared" ref="I441:I451" si="137">SUM($L441:$BS441)</f>
        <v>0</v>
      </c>
      <c r="J441" s="26" t="s">
        <v>148</v>
      </c>
      <c r="L441" s="49">
        <v>0</v>
      </c>
      <c r="M441" s="49">
        <v>0</v>
      </c>
      <c r="N441" s="49">
        <v>0</v>
      </c>
      <c r="O441" s="49">
        <v>0</v>
      </c>
      <c r="P441" s="49">
        <v>0</v>
      </c>
      <c r="Q441" s="49">
        <v>0</v>
      </c>
      <c r="R441" s="49">
        <v>0</v>
      </c>
      <c r="S441" s="49">
        <v>0</v>
      </c>
      <c r="T441" s="49">
        <v>0</v>
      </c>
      <c r="U441" s="49">
        <v>0</v>
      </c>
      <c r="V441" s="49">
        <v>0</v>
      </c>
      <c r="W441" s="49">
        <v>0</v>
      </c>
      <c r="X441" s="49">
        <v>0</v>
      </c>
      <c r="Y441" s="49">
        <v>0</v>
      </c>
      <c r="Z441" s="49">
        <v>0</v>
      </c>
      <c r="AA441" s="49">
        <v>0</v>
      </c>
      <c r="AB441" s="49">
        <v>0</v>
      </c>
      <c r="AC441" s="49">
        <v>0</v>
      </c>
      <c r="AD441" s="49">
        <v>0</v>
      </c>
      <c r="AE441" s="49">
        <v>0</v>
      </c>
      <c r="AF441" s="49">
        <v>0</v>
      </c>
      <c r="AG441" s="49">
        <v>0</v>
      </c>
      <c r="AH441" s="49">
        <v>0</v>
      </c>
      <c r="AI441" s="49">
        <v>0</v>
      </c>
      <c r="AJ441" s="49">
        <v>0</v>
      </c>
      <c r="AK441" s="49">
        <v>0</v>
      </c>
      <c r="AL441" s="49">
        <v>0</v>
      </c>
      <c r="AM441" s="49">
        <v>0</v>
      </c>
      <c r="AN441" s="49">
        <v>0</v>
      </c>
      <c r="AO441" s="49">
        <v>0</v>
      </c>
      <c r="AP441" s="49">
        <v>0</v>
      </c>
      <c r="AQ441" s="49">
        <v>0</v>
      </c>
      <c r="AR441" s="49">
        <v>0</v>
      </c>
      <c r="AS441" s="49">
        <v>0</v>
      </c>
      <c r="AT441" s="49">
        <v>0</v>
      </c>
      <c r="AU441" s="49">
        <v>0</v>
      </c>
      <c r="AV441" s="49">
        <v>0</v>
      </c>
      <c r="AW441" s="49">
        <v>0</v>
      </c>
      <c r="AX441" s="49">
        <v>0</v>
      </c>
      <c r="AY441" s="49">
        <v>0</v>
      </c>
      <c r="AZ441" s="49">
        <v>0</v>
      </c>
      <c r="BA441" s="49">
        <v>0</v>
      </c>
      <c r="BB441" s="49">
        <v>0</v>
      </c>
      <c r="BC441" s="49">
        <v>0</v>
      </c>
      <c r="BD441" s="49">
        <v>0</v>
      </c>
      <c r="BE441" s="49">
        <v>0</v>
      </c>
      <c r="BF441" s="49">
        <v>0</v>
      </c>
      <c r="BG441" s="49">
        <v>0</v>
      </c>
      <c r="BH441" s="49">
        <v>0</v>
      </c>
      <c r="BI441" s="49">
        <v>0</v>
      </c>
      <c r="BJ441" s="49">
        <v>0</v>
      </c>
      <c r="BK441" s="49">
        <v>0</v>
      </c>
      <c r="BL441" s="49">
        <v>0</v>
      </c>
      <c r="BM441" s="49">
        <v>0</v>
      </c>
      <c r="BN441" s="49">
        <v>0</v>
      </c>
      <c r="BO441" s="49">
        <v>0</v>
      </c>
      <c r="BP441" s="49">
        <v>0</v>
      </c>
      <c r="BQ441" s="49">
        <v>0</v>
      </c>
      <c r="BR441" s="49">
        <v>0</v>
      </c>
      <c r="BS441" s="49">
        <v>0</v>
      </c>
    </row>
    <row r="442" spans="3:71" outlineLevel="1" x14ac:dyDescent="0.2">
      <c r="J442" s="26"/>
      <c r="L442" s="55"/>
      <c r="M442" s="55"/>
      <c r="N442" s="55"/>
      <c r="O442" s="55"/>
      <c r="P442" s="55"/>
      <c r="Q442" s="55"/>
      <c r="R442" s="55"/>
      <c r="S442" s="55"/>
      <c r="T442" s="55"/>
      <c r="U442" s="55"/>
      <c r="V442" s="55"/>
      <c r="W442" s="55"/>
      <c r="X442" s="55"/>
      <c r="Y442" s="55"/>
      <c r="Z442" s="55"/>
      <c r="AA442" s="55"/>
      <c r="AB442" s="55"/>
      <c r="AC442" s="55"/>
      <c r="AD442" s="55"/>
      <c r="AE442" s="55"/>
      <c r="AF442" s="55"/>
      <c r="AG442" s="55"/>
      <c r="AH442" s="55"/>
      <c r="AI442" s="55"/>
      <c r="AJ442" s="55"/>
      <c r="AK442" s="55"/>
      <c r="AL442" s="55"/>
      <c r="AM442" s="55"/>
      <c r="AN442" s="55"/>
      <c r="AO442" s="55"/>
      <c r="AP442" s="55"/>
      <c r="AQ442" s="55"/>
      <c r="AR442" s="55"/>
      <c r="AS442" s="55"/>
      <c r="AT442" s="55"/>
      <c r="AU442" s="55"/>
      <c r="AV442" s="55"/>
      <c r="AW442" s="55"/>
      <c r="AX442" s="55"/>
      <c r="AY442" s="55"/>
      <c r="AZ442" s="55"/>
      <c r="BA442" s="55"/>
      <c r="BB442" s="55"/>
      <c r="BC442" s="55"/>
      <c r="BD442" s="55"/>
      <c r="BE442" s="55"/>
      <c r="BF442" s="55"/>
      <c r="BG442" s="55"/>
      <c r="BH442" s="55"/>
      <c r="BI442" s="55"/>
      <c r="BJ442" s="55"/>
      <c r="BK442" s="55"/>
      <c r="BL442" s="55"/>
      <c r="BM442" s="55"/>
      <c r="BN442" s="55"/>
      <c r="BO442" s="55"/>
      <c r="BP442" s="55"/>
      <c r="BQ442" s="55"/>
      <c r="BR442" s="55"/>
      <c r="BS442" s="55"/>
    </row>
    <row r="443" spans="3:71" outlineLevel="1" x14ac:dyDescent="0.2">
      <c r="C443" s="11" t="str">
        <f>CHOOSE(db_ML_selected,'Liste Traduction'!B403,'Liste Traduction'!C403)</f>
        <v>Capex hors abandon</v>
      </c>
      <c r="I443" s="30">
        <f t="shared" ca="1" si="137"/>
        <v>818.52100000000007</v>
      </c>
      <c r="J443" s="26" t="s">
        <v>148</v>
      </c>
      <c r="L443" s="49">
        <f ca="1">SUM(L420:L421)</f>
        <v>331.70699999999999</v>
      </c>
      <c r="M443" s="49">
        <f t="shared" ref="M443:BS443" ca="1" si="138">SUM(M420:M421)</f>
        <v>170.95500000000001</v>
      </c>
      <c r="N443" s="49">
        <f t="shared" ca="1" si="138"/>
        <v>108.699</v>
      </c>
      <c r="O443" s="49">
        <f t="shared" ca="1" si="138"/>
        <v>38.56</v>
      </c>
      <c r="P443" s="49">
        <f t="shared" ca="1" si="138"/>
        <v>50.6</v>
      </c>
      <c r="Q443" s="49">
        <f t="shared" ca="1" si="138"/>
        <v>118</v>
      </c>
      <c r="R443" s="49">
        <f t="shared" ca="1" si="138"/>
        <v>0</v>
      </c>
      <c r="S443" s="49">
        <f t="shared" ca="1" si="138"/>
        <v>0</v>
      </c>
      <c r="T443" s="49">
        <f t="shared" ca="1" si="138"/>
        <v>0</v>
      </c>
      <c r="U443" s="49">
        <f t="shared" ca="1" si="138"/>
        <v>0</v>
      </c>
      <c r="V443" s="49">
        <f t="shared" ca="1" si="138"/>
        <v>0</v>
      </c>
      <c r="W443" s="49">
        <f t="shared" ca="1" si="138"/>
        <v>0</v>
      </c>
      <c r="X443" s="49">
        <f t="shared" ca="1" si="138"/>
        <v>0</v>
      </c>
      <c r="Y443" s="49">
        <f t="shared" ca="1" si="138"/>
        <v>0</v>
      </c>
      <c r="Z443" s="49">
        <f t="shared" ca="1" si="138"/>
        <v>0</v>
      </c>
      <c r="AA443" s="49">
        <f t="shared" ca="1" si="138"/>
        <v>0</v>
      </c>
      <c r="AB443" s="49">
        <f t="shared" ca="1" si="138"/>
        <v>0</v>
      </c>
      <c r="AC443" s="49">
        <f t="shared" ca="1" si="138"/>
        <v>0</v>
      </c>
      <c r="AD443" s="49">
        <f t="shared" ca="1" si="138"/>
        <v>0</v>
      </c>
      <c r="AE443" s="49">
        <f t="shared" ca="1" si="138"/>
        <v>0</v>
      </c>
      <c r="AF443" s="49">
        <f t="shared" ca="1" si="138"/>
        <v>0</v>
      </c>
      <c r="AG443" s="49">
        <f t="shared" ca="1" si="138"/>
        <v>0</v>
      </c>
      <c r="AH443" s="49">
        <f t="shared" ca="1" si="138"/>
        <v>0</v>
      </c>
      <c r="AI443" s="49">
        <f t="shared" ca="1" si="138"/>
        <v>0</v>
      </c>
      <c r="AJ443" s="49">
        <f t="shared" ca="1" si="138"/>
        <v>0</v>
      </c>
      <c r="AK443" s="49">
        <f t="shared" ca="1" si="138"/>
        <v>0</v>
      </c>
      <c r="AL443" s="49">
        <f t="shared" ca="1" si="138"/>
        <v>0</v>
      </c>
      <c r="AM443" s="49">
        <f t="shared" ca="1" si="138"/>
        <v>0</v>
      </c>
      <c r="AN443" s="49">
        <f t="shared" ca="1" si="138"/>
        <v>0</v>
      </c>
      <c r="AO443" s="49">
        <f t="shared" ca="1" si="138"/>
        <v>0</v>
      </c>
      <c r="AP443" s="49">
        <f t="shared" ca="1" si="138"/>
        <v>0</v>
      </c>
      <c r="AQ443" s="49">
        <f t="shared" ca="1" si="138"/>
        <v>0</v>
      </c>
      <c r="AR443" s="49">
        <f t="shared" ca="1" si="138"/>
        <v>0</v>
      </c>
      <c r="AS443" s="49">
        <f t="shared" ca="1" si="138"/>
        <v>0</v>
      </c>
      <c r="AT443" s="49">
        <f t="shared" ca="1" si="138"/>
        <v>0</v>
      </c>
      <c r="AU443" s="49">
        <f t="shared" ca="1" si="138"/>
        <v>0</v>
      </c>
      <c r="AV443" s="49">
        <f t="shared" ca="1" si="138"/>
        <v>0</v>
      </c>
      <c r="AW443" s="49">
        <f t="shared" ca="1" si="138"/>
        <v>0</v>
      </c>
      <c r="AX443" s="49">
        <f t="shared" ca="1" si="138"/>
        <v>0</v>
      </c>
      <c r="AY443" s="49">
        <f t="shared" ca="1" si="138"/>
        <v>0</v>
      </c>
      <c r="AZ443" s="49">
        <f t="shared" ca="1" si="138"/>
        <v>0</v>
      </c>
      <c r="BA443" s="49">
        <f t="shared" ca="1" si="138"/>
        <v>0</v>
      </c>
      <c r="BB443" s="49">
        <f t="shared" ca="1" si="138"/>
        <v>0</v>
      </c>
      <c r="BC443" s="49">
        <f t="shared" ca="1" si="138"/>
        <v>0</v>
      </c>
      <c r="BD443" s="49">
        <f t="shared" ca="1" si="138"/>
        <v>0</v>
      </c>
      <c r="BE443" s="49">
        <f t="shared" ca="1" si="138"/>
        <v>0</v>
      </c>
      <c r="BF443" s="49">
        <f t="shared" ca="1" si="138"/>
        <v>0</v>
      </c>
      <c r="BG443" s="49">
        <f t="shared" ca="1" si="138"/>
        <v>0</v>
      </c>
      <c r="BH443" s="49">
        <f t="shared" ca="1" si="138"/>
        <v>0</v>
      </c>
      <c r="BI443" s="49">
        <f t="shared" ca="1" si="138"/>
        <v>0</v>
      </c>
      <c r="BJ443" s="49">
        <f t="shared" ca="1" si="138"/>
        <v>0</v>
      </c>
      <c r="BK443" s="49">
        <f t="shared" ca="1" si="138"/>
        <v>0</v>
      </c>
      <c r="BL443" s="49">
        <f t="shared" ca="1" si="138"/>
        <v>0</v>
      </c>
      <c r="BM443" s="49">
        <f t="shared" ca="1" si="138"/>
        <v>0</v>
      </c>
      <c r="BN443" s="49">
        <f t="shared" ca="1" si="138"/>
        <v>0</v>
      </c>
      <c r="BO443" s="49">
        <f t="shared" ca="1" si="138"/>
        <v>0</v>
      </c>
      <c r="BP443" s="49">
        <f t="shared" ca="1" si="138"/>
        <v>0</v>
      </c>
      <c r="BQ443" s="49">
        <f t="shared" ca="1" si="138"/>
        <v>0</v>
      </c>
      <c r="BR443" s="49">
        <f t="shared" ca="1" si="138"/>
        <v>0</v>
      </c>
      <c r="BS443" s="49">
        <f t="shared" ca="1" si="138"/>
        <v>0</v>
      </c>
    </row>
    <row r="444" spans="3:71" outlineLevel="1" x14ac:dyDescent="0.2">
      <c r="J444" s="26"/>
      <c r="L444" s="55"/>
      <c r="M444" s="55"/>
      <c r="N444" s="55"/>
      <c r="O444" s="55"/>
      <c r="P444" s="55"/>
      <c r="Q444" s="55"/>
      <c r="R444" s="55"/>
      <c r="S444" s="55"/>
      <c r="T444" s="55"/>
      <c r="U444" s="55"/>
      <c r="V444" s="55"/>
      <c r="W444" s="55"/>
      <c r="X444" s="55"/>
      <c r="Y444" s="55"/>
      <c r="Z444" s="55"/>
      <c r="AA444" s="55"/>
      <c r="AB444" s="55"/>
      <c r="AC444" s="55"/>
      <c r="AD444" s="55"/>
      <c r="AE444" s="55"/>
      <c r="AF444" s="55"/>
      <c r="AG444" s="55"/>
      <c r="AH444" s="55"/>
      <c r="AI444" s="55"/>
      <c r="AJ444" s="55"/>
      <c r="AK444" s="55"/>
      <c r="AL444" s="55"/>
      <c r="AM444" s="55"/>
      <c r="AN444" s="55"/>
      <c r="AO444" s="55"/>
      <c r="AP444" s="55"/>
      <c r="AQ444" s="55"/>
      <c r="AR444" s="55"/>
      <c r="AS444" s="55"/>
      <c r="AT444" s="55"/>
      <c r="AU444" s="55"/>
      <c r="AV444" s="55"/>
      <c r="AW444" s="55"/>
      <c r="AX444" s="55"/>
      <c r="AY444" s="55"/>
      <c r="AZ444" s="55"/>
      <c r="BA444" s="55"/>
      <c r="BB444" s="55"/>
      <c r="BC444" s="55"/>
      <c r="BD444" s="55"/>
      <c r="BE444" s="55"/>
      <c r="BF444" s="55"/>
      <c r="BG444" s="55"/>
      <c r="BH444" s="55"/>
      <c r="BI444" s="55"/>
      <c r="BJ444" s="55"/>
      <c r="BK444" s="55"/>
      <c r="BL444" s="55"/>
      <c r="BM444" s="55"/>
      <c r="BN444" s="55"/>
      <c r="BO444" s="55"/>
      <c r="BP444" s="55"/>
      <c r="BQ444" s="55"/>
      <c r="BR444" s="55"/>
      <c r="BS444" s="55"/>
    </row>
    <row r="445" spans="3:71" outlineLevel="1" x14ac:dyDescent="0.2">
      <c r="C445" s="11" t="str">
        <f>D422</f>
        <v>Abandon</v>
      </c>
      <c r="I445" s="30">
        <f t="shared" ca="1" si="137"/>
        <v>1158.403</v>
      </c>
      <c r="J445" s="26" t="s">
        <v>148</v>
      </c>
      <c r="L445" s="49">
        <f ca="1">L422</f>
        <v>31.151</v>
      </c>
      <c r="M445" s="49">
        <f t="shared" ref="M445:BS445" ca="1" si="139">M422</f>
        <v>68.504999999999995</v>
      </c>
      <c r="N445" s="49">
        <f t="shared" ca="1" si="139"/>
        <v>126.03400000000001</v>
      </c>
      <c r="O445" s="49">
        <f t="shared" ca="1" si="139"/>
        <v>177.893</v>
      </c>
      <c r="P445" s="49">
        <f t="shared" ca="1" si="139"/>
        <v>221.03700000000001</v>
      </c>
      <c r="Q445" s="49">
        <f t="shared" ca="1" si="139"/>
        <v>254.56800000000001</v>
      </c>
      <c r="R445" s="49">
        <f t="shared" ca="1" si="139"/>
        <v>279.21499999999997</v>
      </c>
      <c r="S445" s="49">
        <f t="shared" ca="1" si="139"/>
        <v>0</v>
      </c>
      <c r="T445" s="49">
        <f t="shared" ca="1" si="139"/>
        <v>0</v>
      </c>
      <c r="U445" s="49">
        <f t="shared" ca="1" si="139"/>
        <v>0</v>
      </c>
      <c r="V445" s="49">
        <f t="shared" ca="1" si="139"/>
        <v>0</v>
      </c>
      <c r="W445" s="49">
        <f t="shared" ca="1" si="139"/>
        <v>0</v>
      </c>
      <c r="X445" s="49">
        <f t="shared" ca="1" si="139"/>
        <v>0</v>
      </c>
      <c r="Y445" s="49">
        <f t="shared" ca="1" si="139"/>
        <v>0</v>
      </c>
      <c r="Z445" s="49">
        <f t="shared" ca="1" si="139"/>
        <v>0</v>
      </c>
      <c r="AA445" s="49">
        <f t="shared" ca="1" si="139"/>
        <v>0</v>
      </c>
      <c r="AB445" s="49">
        <f t="shared" ca="1" si="139"/>
        <v>0</v>
      </c>
      <c r="AC445" s="49">
        <f t="shared" ca="1" si="139"/>
        <v>0</v>
      </c>
      <c r="AD445" s="49">
        <f t="shared" ca="1" si="139"/>
        <v>0</v>
      </c>
      <c r="AE445" s="49">
        <f t="shared" ca="1" si="139"/>
        <v>0</v>
      </c>
      <c r="AF445" s="49">
        <f t="shared" ca="1" si="139"/>
        <v>0</v>
      </c>
      <c r="AG445" s="49">
        <f t="shared" ca="1" si="139"/>
        <v>0</v>
      </c>
      <c r="AH445" s="49">
        <f t="shared" ca="1" si="139"/>
        <v>0</v>
      </c>
      <c r="AI445" s="49">
        <f t="shared" ca="1" si="139"/>
        <v>0</v>
      </c>
      <c r="AJ445" s="49">
        <f t="shared" ca="1" si="139"/>
        <v>0</v>
      </c>
      <c r="AK445" s="49">
        <f t="shared" ca="1" si="139"/>
        <v>0</v>
      </c>
      <c r="AL445" s="49">
        <f t="shared" ca="1" si="139"/>
        <v>0</v>
      </c>
      <c r="AM445" s="49">
        <f t="shared" ca="1" si="139"/>
        <v>0</v>
      </c>
      <c r="AN445" s="49">
        <f t="shared" ca="1" si="139"/>
        <v>0</v>
      </c>
      <c r="AO445" s="49">
        <f t="shared" ca="1" si="139"/>
        <v>0</v>
      </c>
      <c r="AP445" s="49">
        <f t="shared" ca="1" si="139"/>
        <v>0</v>
      </c>
      <c r="AQ445" s="49">
        <f t="shared" ca="1" si="139"/>
        <v>0</v>
      </c>
      <c r="AR445" s="49">
        <f t="shared" ca="1" si="139"/>
        <v>0</v>
      </c>
      <c r="AS445" s="49">
        <f t="shared" ca="1" si="139"/>
        <v>0</v>
      </c>
      <c r="AT445" s="49">
        <f t="shared" ca="1" si="139"/>
        <v>0</v>
      </c>
      <c r="AU445" s="49">
        <f t="shared" ca="1" si="139"/>
        <v>0</v>
      </c>
      <c r="AV445" s="49">
        <f t="shared" ca="1" si="139"/>
        <v>0</v>
      </c>
      <c r="AW445" s="49">
        <f t="shared" ca="1" si="139"/>
        <v>0</v>
      </c>
      <c r="AX445" s="49">
        <f t="shared" ca="1" si="139"/>
        <v>0</v>
      </c>
      <c r="AY445" s="49">
        <f t="shared" ca="1" si="139"/>
        <v>0</v>
      </c>
      <c r="AZ445" s="49">
        <f t="shared" ca="1" si="139"/>
        <v>0</v>
      </c>
      <c r="BA445" s="49">
        <f t="shared" ca="1" si="139"/>
        <v>0</v>
      </c>
      <c r="BB445" s="49">
        <f t="shared" ca="1" si="139"/>
        <v>0</v>
      </c>
      <c r="BC445" s="49">
        <f t="shared" ca="1" si="139"/>
        <v>0</v>
      </c>
      <c r="BD445" s="49">
        <f t="shared" ca="1" si="139"/>
        <v>0</v>
      </c>
      <c r="BE445" s="49">
        <f t="shared" ca="1" si="139"/>
        <v>0</v>
      </c>
      <c r="BF445" s="49">
        <f t="shared" ca="1" si="139"/>
        <v>0</v>
      </c>
      <c r="BG445" s="49">
        <f t="shared" ca="1" si="139"/>
        <v>0</v>
      </c>
      <c r="BH445" s="49">
        <f t="shared" ca="1" si="139"/>
        <v>0</v>
      </c>
      <c r="BI445" s="49">
        <f t="shared" ca="1" si="139"/>
        <v>0</v>
      </c>
      <c r="BJ445" s="49">
        <f t="shared" ca="1" si="139"/>
        <v>0</v>
      </c>
      <c r="BK445" s="49">
        <f t="shared" ca="1" si="139"/>
        <v>0</v>
      </c>
      <c r="BL445" s="49">
        <f t="shared" ca="1" si="139"/>
        <v>0</v>
      </c>
      <c r="BM445" s="49">
        <f t="shared" ca="1" si="139"/>
        <v>0</v>
      </c>
      <c r="BN445" s="49">
        <f t="shared" ca="1" si="139"/>
        <v>0</v>
      </c>
      <c r="BO445" s="49">
        <f t="shared" ca="1" si="139"/>
        <v>0</v>
      </c>
      <c r="BP445" s="49">
        <f t="shared" ca="1" si="139"/>
        <v>0</v>
      </c>
      <c r="BQ445" s="49">
        <f t="shared" ca="1" si="139"/>
        <v>0</v>
      </c>
      <c r="BR445" s="49">
        <f t="shared" ca="1" si="139"/>
        <v>0</v>
      </c>
      <c r="BS445" s="49">
        <f t="shared" ca="1" si="139"/>
        <v>0</v>
      </c>
    </row>
    <row r="446" spans="3:71" outlineLevel="1" x14ac:dyDescent="0.2">
      <c r="J446" s="26"/>
      <c r="L446" s="55"/>
      <c r="M446" s="55"/>
      <c r="N446" s="55"/>
      <c r="O446" s="55"/>
      <c r="P446" s="55"/>
      <c r="Q446" s="55"/>
      <c r="R446" s="55"/>
      <c r="S446" s="55"/>
      <c r="T446" s="55"/>
      <c r="U446" s="55"/>
      <c r="V446" s="55"/>
      <c r="W446" s="55"/>
      <c r="X446" s="55"/>
      <c r="Y446" s="55"/>
      <c r="Z446" s="55"/>
      <c r="AA446" s="55"/>
      <c r="AB446" s="55"/>
      <c r="AC446" s="55"/>
      <c r="AD446" s="55"/>
      <c r="AE446" s="55"/>
      <c r="AF446" s="55"/>
      <c r="AG446" s="55"/>
      <c r="AH446" s="55"/>
      <c r="AI446" s="55"/>
      <c r="AJ446" s="55"/>
      <c r="AK446" s="55"/>
      <c r="AL446" s="55"/>
      <c r="AM446" s="55"/>
      <c r="AN446" s="55"/>
      <c r="AO446" s="55"/>
      <c r="AP446" s="55"/>
      <c r="AQ446" s="55"/>
      <c r="AR446" s="55"/>
      <c r="AS446" s="55"/>
      <c r="AT446" s="55"/>
      <c r="AU446" s="55"/>
      <c r="AV446" s="55"/>
      <c r="AW446" s="55"/>
      <c r="AX446" s="55"/>
      <c r="AY446" s="55"/>
      <c r="AZ446" s="55"/>
      <c r="BA446" s="55"/>
      <c r="BB446" s="55"/>
      <c r="BC446" s="55"/>
      <c r="BD446" s="55"/>
      <c r="BE446" s="55"/>
      <c r="BF446" s="55"/>
      <c r="BG446" s="55"/>
      <c r="BH446" s="55"/>
      <c r="BI446" s="55"/>
      <c r="BJ446" s="55"/>
      <c r="BK446" s="55"/>
      <c r="BL446" s="55"/>
      <c r="BM446" s="55"/>
      <c r="BN446" s="55"/>
      <c r="BO446" s="55"/>
      <c r="BP446" s="55"/>
      <c r="BQ446" s="55"/>
      <c r="BR446" s="55"/>
      <c r="BS446" s="55"/>
    </row>
    <row r="447" spans="3:71" outlineLevel="1" x14ac:dyDescent="0.2">
      <c r="C447" s="11" t="str">
        <f>CHOOSE(db_ML_selected,'Liste Traduction'!B404,'Liste Traduction'!C404)</f>
        <v>Impôt sur le revenu</v>
      </c>
      <c r="I447" s="30">
        <f t="shared" si="137"/>
        <v>0</v>
      </c>
      <c r="J447" s="26" t="s">
        <v>148</v>
      </c>
      <c r="L447" s="49">
        <v>0</v>
      </c>
      <c r="M447" s="49">
        <v>0</v>
      </c>
      <c r="N447" s="49">
        <v>0</v>
      </c>
      <c r="O447" s="49">
        <v>0</v>
      </c>
      <c r="P447" s="49">
        <v>0</v>
      </c>
      <c r="Q447" s="49">
        <v>0</v>
      </c>
      <c r="R447" s="49">
        <v>0</v>
      </c>
      <c r="S447" s="49">
        <v>0</v>
      </c>
      <c r="T447" s="49">
        <v>0</v>
      </c>
      <c r="U447" s="49">
        <v>0</v>
      </c>
      <c r="V447" s="49">
        <v>0</v>
      </c>
      <c r="W447" s="49">
        <v>0</v>
      </c>
      <c r="X447" s="49">
        <v>0</v>
      </c>
      <c r="Y447" s="49">
        <v>0</v>
      </c>
      <c r="Z447" s="49">
        <v>0</v>
      </c>
      <c r="AA447" s="49">
        <v>0</v>
      </c>
      <c r="AB447" s="49">
        <v>0</v>
      </c>
      <c r="AC447" s="49">
        <v>0</v>
      </c>
      <c r="AD447" s="49">
        <v>0</v>
      </c>
      <c r="AE447" s="49">
        <v>0</v>
      </c>
      <c r="AF447" s="49">
        <v>0</v>
      </c>
      <c r="AG447" s="49">
        <v>0</v>
      </c>
      <c r="AH447" s="49">
        <v>0</v>
      </c>
      <c r="AI447" s="49">
        <v>0</v>
      </c>
      <c r="AJ447" s="49">
        <v>0</v>
      </c>
      <c r="AK447" s="49">
        <v>0</v>
      </c>
      <c r="AL447" s="49">
        <v>0</v>
      </c>
      <c r="AM447" s="49">
        <v>0</v>
      </c>
      <c r="AN447" s="49">
        <v>0</v>
      </c>
      <c r="AO447" s="49">
        <v>0</v>
      </c>
      <c r="AP447" s="49">
        <v>0</v>
      </c>
      <c r="AQ447" s="49">
        <v>0</v>
      </c>
      <c r="AR447" s="49">
        <v>0</v>
      </c>
      <c r="AS447" s="49">
        <v>0</v>
      </c>
      <c r="AT447" s="49">
        <v>0</v>
      </c>
      <c r="AU447" s="49">
        <v>0</v>
      </c>
      <c r="AV447" s="49">
        <v>0</v>
      </c>
      <c r="AW447" s="49">
        <v>0</v>
      </c>
      <c r="AX447" s="49">
        <v>0</v>
      </c>
      <c r="AY447" s="49">
        <v>0</v>
      </c>
      <c r="AZ447" s="49">
        <v>0</v>
      </c>
      <c r="BA447" s="49">
        <v>0</v>
      </c>
      <c r="BB447" s="49">
        <v>0</v>
      </c>
      <c r="BC447" s="49">
        <v>0</v>
      </c>
      <c r="BD447" s="49">
        <v>0</v>
      </c>
      <c r="BE447" s="49">
        <v>0</v>
      </c>
      <c r="BF447" s="49">
        <v>0</v>
      </c>
      <c r="BG447" s="49">
        <v>0</v>
      </c>
      <c r="BH447" s="49">
        <v>0</v>
      </c>
      <c r="BI447" s="49">
        <v>0</v>
      </c>
      <c r="BJ447" s="49">
        <v>0</v>
      </c>
      <c r="BK447" s="49">
        <v>0</v>
      </c>
      <c r="BL447" s="49">
        <v>0</v>
      </c>
      <c r="BM447" s="49">
        <v>0</v>
      </c>
      <c r="BN447" s="49">
        <v>0</v>
      </c>
      <c r="BO447" s="49">
        <v>0</v>
      </c>
      <c r="BP447" s="49">
        <v>0</v>
      </c>
      <c r="BQ447" s="49">
        <v>0</v>
      </c>
      <c r="BR447" s="49">
        <v>0</v>
      </c>
      <c r="BS447" s="49">
        <v>0</v>
      </c>
    </row>
    <row r="448" spans="3:71" outlineLevel="1" x14ac:dyDescent="0.2">
      <c r="J448" s="26"/>
      <c r="L448" s="55"/>
      <c r="M448" s="55"/>
      <c r="N448" s="55"/>
      <c r="O448" s="55"/>
      <c r="P448" s="55"/>
      <c r="Q448" s="55"/>
      <c r="R448" s="55"/>
      <c r="S448" s="55"/>
      <c r="T448" s="55"/>
      <c r="U448" s="55"/>
      <c r="V448" s="55"/>
      <c r="W448" s="55"/>
      <c r="X448" s="55"/>
      <c r="Y448" s="55"/>
      <c r="Z448" s="55"/>
      <c r="AA448" s="55"/>
      <c r="AB448" s="55"/>
      <c r="AC448" s="55"/>
      <c r="AD448" s="55"/>
      <c r="AE448" s="55"/>
      <c r="AF448" s="55"/>
      <c r="AG448" s="55"/>
      <c r="AH448" s="55"/>
      <c r="AI448" s="55"/>
      <c r="AJ448" s="55"/>
      <c r="AK448" s="55"/>
      <c r="AL448" s="55"/>
      <c r="AM448" s="55"/>
      <c r="AN448" s="55"/>
      <c r="AO448" s="55"/>
      <c r="AP448" s="55"/>
      <c r="AQ448" s="55"/>
      <c r="AR448" s="55"/>
      <c r="AS448" s="55"/>
      <c r="AT448" s="55"/>
      <c r="AU448" s="55"/>
      <c r="AV448" s="55"/>
      <c r="AW448" s="55"/>
      <c r="AX448" s="55"/>
      <c r="AY448" s="55"/>
      <c r="AZ448" s="55"/>
      <c r="BA448" s="55"/>
      <c r="BB448" s="55"/>
      <c r="BC448" s="55"/>
      <c r="BD448" s="55"/>
      <c r="BE448" s="55"/>
      <c r="BF448" s="55"/>
      <c r="BG448" s="55"/>
      <c r="BH448" s="55"/>
      <c r="BI448" s="55"/>
      <c r="BJ448" s="55"/>
      <c r="BK448" s="55"/>
      <c r="BL448" s="55"/>
      <c r="BM448" s="55"/>
      <c r="BN448" s="55"/>
      <c r="BO448" s="55"/>
      <c r="BP448" s="55"/>
      <c r="BQ448" s="55"/>
      <c r="BR448" s="55"/>
      <c r="BS448" s="55"/>
    </row>
    <row r="449" spans="3:71" outlineLevel="1" x14ac:dyDescent="0.2">
      <c r="C449" s="11" t="str">
        <f>CHOOSE(db_ML_selected,'Liste Traduction'!B405,'Liste Traduction'!C405)</f>
        <v>Impôts supplémentaires</v>
      </c>
      <c r="I449" s="30">
        <f t="shared" si="137"/>
        <v>0</v>
      </c>
      <c r="J449" s="26" t="s">
        <v>148</v>
      </c>
      <c r="L449" s="49">
        <v>0</v>
      </c>
      <c r="M449" s="49">
        <v>0</v>
      </c>
      <c r="N449" s="49">
        <v>0</v>
      </c>
      <c r="O449" s="49">
        <v>0</v>
      </c>
      <c r="P449" s="49">
        <v>0</v>
      </c>
      <c r="Q449" s="49">
        <v>0</v>
      </c>
      <c r="R449" s="49">
        <v>0</v>
      </c>
      <c r="S449" s="49">
        <v>0</v>
      </c>
      <c r="T449" s="49">
        <v>0</v>
      </c>
      <c r="U449" s="49">
        <v>0</v>
      </c>
      <c r="V449" s="49">
        <v>0</v>
      </c>
      <c r="W449" s="49">
        <v>0</v>
      </c>
      <c r="X449" s="49">
        <v>0</v>
      </c>
      <c r="Y449" s="49">
        <v>0</v>
      </c>
      <c r="Z449" s="49">
        <v>0</v>
      </c>
      <c r="AA449" s="49">
        <v>0</v>
      </c>
      <c r="AB449" s="49">
        <v>0</v>
      </c>
      <c r="AC449" s="49">
        <v>0</v>
      </c>
      <c r="AD449" s="49">
        <v>0</v>
      </c>
      <c r="AE449" s="49">
        <v>0</v>
      </c>
      <c r="AF449" s="49">
        <v>0</v>
      </c>
      <c r="AG449" s="49">
        <v>0</v>
      </c>
      <c r="AH449" s="49">
        <v>0</v>
      </c>
      <c r="AI449" s="49">
        <v>0</v>
      </c>
      <c r="AJ449" s="49">
        <v>0</v>
      </c>
      <c r="AK449" s="49">
        <v>0</v>
      </c>
      <c r="AL449" s="49">
        <v>0</v>
      </c>
      <c r="AM449" s="49">
        <v>0</v>
      </c>
      <c r="AN449" s="49">
        <v>0</v>
      </c>
      <c r="AO449" s="49">
        <v>0</v>
      </c>
      <c r="AP449" s="49">
        <v>0</v>
      </c>
      <c r="AQ449" s="49">
        <v>0</v>
      </c>
      <c r="AR449" s="49">
        <v>0</v>
      </c>
      <c r="AS449" s="49">
        <v>0</v>
      </c>
      <c r="AT449" s="49">
        <v>0</v>
      </c>
      <c r="AU449" s="49">
        <v>0</v>
      </c>
      <c r="AV449" s="49">
        <v>0</v>
      </c>
      <c r="AW449" s="49">
        <v>0</v>
      </c>
      <c r="AX449" s="49">
        <v>0</v>
      </c>
      <c r="AY449" s="49">
        <v>0</v>
      </c>
      <c r="AZ449" s="49">
        <v>0</v>
      </c>
      <c r="BA449" s="49">
        <v>0</v>
      </c>
      <c r="BB449" s="49">
        <v>0</v>
      </c>
      <c r="BC449" s="49">
        <v>0</v>
      </c>
      <c r="BD449" s="49">
        <v>0</v>
      </c>
      <c r="BE449" s="49">
        <v>0</v>
      </c>
      <c r="BF449" s="49">
        <v>0</v>
      </c>
      <c r="BG449" s="49">
        <v>0</v>
      </c>
      <c r="BH449" s="49">
        <v>0</v>
      </c>
      <c r="BI449" s="49">
        <v>0</v>
      </c>
      <c r="BJ449" s="49">
        <v>0</v>
      </c>
      <c r="BK449" s="49">
        <v>0</v>
      </c>
      <c r="BL449" s="49">
        <v>0</v>
      </c>
      <c r="BM449" s="49">
        <v>0</v>
      </c>
      <c r="BN449" s="49">
        <v>0</v>
      </c>
      <c r="BO449" s="49">
        <v>0</v>
      </c>
      <c r="BP449" s="49">
        <v>0</v>
      </c>
      <c r="BQ449" s="49">
        <v>0</v>
      </c>
      <c r="BR449" s="49">
        <v>0</v>
      </c>
      <c r="BS449" s="49">
        <v>0</v>
      </c>
    </row>
    <row r="450" spans="3:71" outlineLevel="1" x14ac:dyDescent="0.2">
      <c r="J450" s="26"/>
      <c r="L450" s="55"/>
      <c r="M450" s="55"/>
      <c r="N450" s="55"/>
      <c r="O450" s="55"/>
      <c r="P450" s="55"/>
      <c r="Q450" s="55"/>
      <c r="R450" s="55"/>
      <c r="S450" s="55"/>
      <c r="T450" s="55"/>
      <c r="U450" s="55"/>
      <c r="V450" s="55"/>
      <c r="W450" s="55"/>
      <c r="X450" s="55"/>
      <c r="Y450" s="55"/>
      <c r="Z450" s="55"/>
      <c r="AA450" s="55"/>
      <c r="AB450" s="55"/>
      <c r="AC450" s="55"/>
      <c r="AD450" s="55"/>
      <c r="AE450" s="55"/>
      <c r="AF450" s="55"/>
      <c r="AG450" s="55"/>
      <c r="AH450" s="55"/>
      <c r="AI450" s="55"/>
      <c r="AJ450" s="55"/>
      <c r="AK450" s="55"/>
      <c r="AL450" s="55"/>
      <c r="AM450" s="55"/>
      <c r="AN450" s="55"/>
      <c r="AO450" s="55"/>
      <c r="AP450" s="55"/>
      <c r="AQ450" s="55"/>
      <c r="AR450" s="55"/>
      <c r="AS450" s="55"/>
      <c r="AT450" s="55"/>
      <c r="AU450" s="55"/>
      <c r="AV450" s="55"/>
      <c r="AW450" s="55"/>
      <c r="AX450" s="55"/>
      <c r="AY450" s="55"/>
      <c r="AZ450" s="55"/>
      <c r="BA450" s="55"/>
      <c r="BB450" s="55"/>
      <c r="BC450" s="55"/>
      <c r="BD450" s="55"/>
      <c r="BE450" s="55"/>
      <c r="BF450" s="55"/>
      <c r="BG450" s="55"/>
      <c r="BH450" s="55"/>
      <c r="BI450" s="55"/>
      <c r="BJ450" s="55"/>
      <c r="BK450" s="55"/>
      <c r="BL450" s="55"/>
      <c r="BM450" s="55"/>
      <c r="BN450" s="55"/>
      <c r="BO450" s="55"/>
      <c r="BP450" s="55"/>
      <c r="BQ450" s="55"/>
      <c r="BR450" s="55"/>
      <c r="BS450" s="55"/>
    </row>
    <row r="451" spans="3:71" outlineLevel="1" x14ac:dyDescent="0.2">
      <c r="C451" s="11" t="str">
        <f>CHOOSE(db_ML_selected,'Liste Traduction'!B406,'Liste Traduction'!C406)</f>
        <v>Flux de trésorerie après impôts</v>
      </c>
      <c r="H451" s="71"/>
      <c r="I451" s="30">
        <f t="shared" ca="1" si="137"/>
        <v>-372.59748114349293</v>
      </c>
      <c r="J451" s="26" t="s">
        <v>148</v>
      </c>
      <c r="K451" s="7" t="s">
        <v>625</v>
      </c>
      <c r="L451" s="49">
        <f ca="1">L435-L437-L439-L441-L443-L445-L447-L449</f>
        <v>-293.93959921820004</v>
      </c>
      <c r="M451" s="49">
        <f t="shared" ref="M451:BS451" ca="1" si="140">M435-M437-M439-M441-M443-M445-M447-M449</f>
        <v>-91.083202819349964</v>
      </c>
      <c r="N451" s="49">
        <f t="shared" ca="1" si="140"/>
        <v>-135.85960438036</v>
      </c>
      <c r="O451" s="49">
        <f t="shared" ca="1" si="140"/>
        <v>-138.16914883338001</v>
      </c>
      <c r="P451" s="49">
        <f t="shared" ca="1" si="140"/>
        <v>-168.76920365520994</v>
      </c>
      <c r="Q451" s="49">
        <f t="shared" ca="1" si="140"/>
        <v>-142.44620856776297</v>
      </c>
      <c r="R451" s="49">
        <f t="shared" ca="1" si="140"/>
        <v>-50.29508371013992</v>
      </c>
      <c r="S451" s="49">
        <f t="shared" ca="1" si="140"/>
        <v>75.645805688999999</v>
      </c>
      <c r="T451" s="49">
        <f t="shared" ca="1" si="140"/>
        <v>127.53116898590714</v>
      </c>
      <c r="U451" s="49">
        <f t="shared" ca="1" si="140"/>
        <v>126.49538533401596</v>
      </c>
      <c r="V451" s="49">
        <f t="shared" ca="1" si="140"/>
        <v>115.99526532784755</v>
      </c>
      <c r="W451" s="49">
        <f t="shared" ca="1" si="140"/>
        <v>105.90076473799616</v>
      </c>
      <c r="X451" s="49">
        <f t="shared" ca="1" si="140"/>
        <v>96.396179966143137</v>
      </c>
      <c r="Y451" s="49">
        <f t="shared" ca="1" si="140"/>
        <v>0</v>
      </c>
      <c r="Z451" s="49">
        <f t="shared" ca="1" si="140"/>
        <v>0</v>
      </c>
      <c r="AA451" s="49">
        <f t="shared" ca="1" si="140"/>
        <v>0</v>
      </c>
      <c r="AB451" s="49">
        <f t="shared" ca="1" si="140"/>
        <v>0</v>
      </c>
      <c r="AC451" s="49">
        <f t="shared" ca="1" si="140"/>
        <v>0</v>
      </c>
      <c r="AD451" s="49">
        <f t="shared" ca="1" si="140"/>
        <v>0</v>
      </c>
      <c r="AE451" s="49">
        <f t="shared" ca="1" si="140"/>
        <v>0</v>
      </c>
      <c r="AF451" s="49">
        <f t="shared" ca="1" si="140"/>
        <v>0</v>
      </c>
      <c r="AG451" s="49">
        <f t="shared" ca="1" si="140"/>
        <v>0</v>
      </c>
      <c r="AH451" s="49">
        <f t="shared" ca="1" si="140"/>
        <v>0</v>
      </c>
      <c r="AI451" s="49">
        <f t="shared" ca="1" si="140"/>
        <v>0</v>
      </c>
      <c r="AJ451" s="49">
        <f t="shared" ca="1" si="140"/>
        <v>0</v>
      </c>
      <c r="AK451" s="49">
        <f t="shared" ca="1" si="140"/>
        <v>0</v>
      </c>
      <c r="AL451" s="49">
        <f t="shared" ca="1" si="140"/>
        <v>0</v>
      </c>
      <c r="AM451" s="49">
        <f t="shared" ca="1" si="140"/>
        <v>0</v>
      </c>
      <c r="AN451" s="49">
        <f t="shared" ca="1" si="140"/>
        <v>0</v>
      </c>
      <c r="AO451" s="49">
        <f t="shared" ca="1" si="140"/>
        <v>0</v>
      </c>
      <c r="AP451" s="49">
        <f t="shared" ca="1" si="140"/>
        <v>0</v>
      </c>
      <c r="AQ451" s="49">
        <f t="shared" ca="1" si="140"/>
        <v>0</v>
      </c>
      <c r="AR451" s="49">
        <f t="shared" ca="1" si="140"/>
        <v>0</v>
      </c>
      <c r="AS451" s="49">
        <f t="shared" ca="1" si="140"/>
        <v>0</v>
      </c>
      <c r="AT451" s="49">
        <f t="shared" ca="1" si="140"/>
        <v>0</v>
      </c>
      <c r="AU451" s="49">
        <f t="shared" ca="1" si="140"/>
        <v>0</v>
      </c>
      <c r="AV451" s="49">
        <f t="shared" ca="1" si="140"/>
        <v>0</v>
      </c>
      <c r="AW451" s="49">
        <f t="shared" ca="1" si="140"/>
        <v>0</v>
      </c>
      <c r="AX451" s="49">
        <f t="shared" ca="1" si="140"/>
        <v>0</v>
      </c>
      <c r="AY451" s="49">
        <f t="shared" ca="1" si="140"/>
        <v>0</v>
      </c>
      <c r="AZ451" s="49">
        <f t="shared" ca="1" si="140"/>
        <v>0</v>
      </c>
      <c r="BA451" s="49">
        <f t="shared" ca="1" si="140"/>
        <v>0</v>
      </c>
      <c r="BB451" s="49">
        <f t="shared" ca="1" si="140"/>
        <v>0</v>
      </c>
      <c r="BC451" s="49">
        <f t="shared" ca="1" si="140"/>
        <v>0</v>
      </c>
      <c r="BD451" s="49">
        <f t="shared" ca="1" si="140"/>
        <v>0</v>
      </c>
      <c r="BE451" s="49">
        <f t="shared" ca="1" si="140"/>
        <v>0</v>
      </c>
      <c r="BF451" s="49">
        <f t="shared" ca="1" si="140"/>
        <v>0</v>
      </c>
      <c r="BG451" s="49">
        <f t="shared" ca="1" si="140"/>
        <v>0</v>
      </c>
      <c r="BH451" s="49">
        <f t="shared" ca="1" si="140"/>
        <v>0</v>
      </c>
      <c r="BI451" s="49">
        <f t="shared" ca="1" si="140"/>
        <v>0</v>
      </c>
      <c r="BJ451" s="49">
        <f t="shared" ca="1" si="140"/>
        <v>0</v>
      </c>
      <c r="BK451" s="49">
        <f t="shared" ca="1" si="140"/>
        <v>0</v>
      </c>
      <c r="BL451" s="49">
        <f t="shared" ca="1" si="140"/>
        <v>0</v>
      </c>
      <c r="BM451" s="49">
        <f t="shared" ca="1" si="140"/>
        <v>0</v>
      </c>
      <c r="BN451" s="49">
        <f t="shared" ca="1" si="140"/>
        <v>0</v>
      </c>
      <c r="BO451" s="49">
        <f t="shared" ca="1" si="140"/>
        <v>0</v>
      </c>
      <c r="BP451" s="49">
        <f t="shared" ca="1" si="140"/>
        <v>0</v>
      </c>
      <c r="BQ451" s="49">
        <f t="shared" ca="1" si="140"/>
        <v>0</v>
      </c>
      <c r="BR451" s="49">
        <f t="shared" ca="1" si="140"/>
        <v>0</v>
      </c>
      <c r="BS451" s="49">
        <f t="shared" ca="1" si="140"/>
        <v>0</v>
      </c>
    </row>
    <row r="452" spans="3:71" outlineLevel="1" x14ac:dyDescent="0.2">
      <c r="J452" s="26"/>
      <c r="L452" s="55"/>
      <c r="M452" s="55"/>
      <c r="N452" s="55"/>
      <c r="O452" s="55"/>
      <c r="P452" s="55"/>
      <c r="Q452" s="55"/>
      <c r="R452" s="55"/>
      <c r="S452" s="55"/>
      <c r="T452" s="55"/>
      <c r="U452" s="55"/>
      <c r="V452" s="55"/>
      <c r="W452" s="55"/>
      <c r="X452" s="55"/>
      <c r="Y452" s="55"/>
      <c r="Z452" s="55"/>
      <c r="AA452" s="55"/>
      <c r="AB452" s="55"/>
      <c r="AC452" s="55"/>
      <c r="AD452" s="55"/>
      <c r="AE452" s="55"/>
      <c r="AF452" s="55"/>
      <c r="AG452" s="55"/>
      <c r="AH452" s="55"/>
      <c r="AI452" s="55"/>
      <c r="AJ452" s="55"/>
      <c r="AK452" s="55"/>
      <c r="AL452" s="55"/>
      <c r="AM452" s="55"/>
      <c r="AN452" s="55"/>
      <c r="AO452" s="55"/>
      <c r="AP452" s="55"/>
      <c r="AQ452" s="55"/>
      <c r="AR452" s="55"/>
      <c r="AS452" s="55"/>
      <c r="AT452" s="55"/>
      <c r="AU452" s="55"/>
      <c r="AV452" s="55"/>
      <c r="AW452" s="55"/>
      <c r="AX452" s="55"/>
      <c r="AY452" s="55"/>
      <c r="AZ452" s="55"/>
      <c r="BA452" s="55"/>
      <c r="BB452" s="55"/>
      <c r="BC452" s="55"/>
      <c r="BD452" s="55"/>
      <c r="BE452" s="55"/>
      <c r="BF452" s="55"/>
      <c r="BG452" s="55"/>
      <c r="BH452" s="55"/>
      <c r="BI452" s="55"/>
      <c r="BJ452" s="55"/>
      <c r="BK452" s="55"/>
      <c r="BL452" s="55"/>
      <c r="BM452" s="55"/>
      <c r="BN452" s="55"/>
      <c r="BO452" s="55"/>
      <c r="BP452" s="55"/>
      <c r="BQ452" s="55"/>
      <c r="BR452" s="55"/>
      <c r="BS452" s="55"/>
    </row>
    <row r="453" spans="3:71" outlineLevel="1" x14ac:dyDescent="0.2">
      <c r="C453" s="11" t="str">
        <f>CHOOSE(db_ML_selected,'Liste Traduction'!B407,'Liste Traduction'!C407)</f>
        <v>Flux de trésorerie après impôts cumulé</v>
      </c>
      <c r="J453" s="26"/>
      <c r="L453" s="66">
        <f ca="1">(K453+L451)*HM_ZA_Nkossa!CA_op_trig</f>
        <v>-293.93959921820004</v>
      </c>
      <c r="M453" s="66">
        <f ca="1">(L453+M451)*HM_ZA_Nkossa!CA_op_trig</f>
        <v>-385.02280203755004</v>
      </c>
      <c r="N453" s="66">
        <f ca="1">(M453+N451)*HM_ZA_Nkossa!CA_op_trig</f>
        <v>-520.88240641791003</v>
      </c>
      <c r="O453" s="66">
        <f ca="1">(N453+O451)*HM_ZA_Nkossa!CA_op_trig</f>
        <v>-659.05155525128998</v>
      </c>
      <c r="P453" s="66">
        <f ca="1">(O453+P451)*HM_ZA_Nkossa!CA_op_trig</f>
        <v>-827.82075890649992</v>
      </c>
      <c r="Q453" s="66">
        <f ca="1">(P453+Q451)*HM_ZA_Nkossa!CA_op_trig</f>
        <v>-970.26696747426286</v>
      </c>
      <c r="R453" s="66">
        <f ca="1">(Q453+R451)*HM_ZA_Nkossa!CA_op_trig</f>
        <v>-1020.5620511844028</v>
      </c>
      <c r="S453" s="66">
        <f ca="1">(R453+S451)*HM_ZA_Nkossa!CA_op_trig</f>
        <v>-944.91624549540279</v>
      </c>
      <c r="T453" s="66">
        <f ca="1">(S453+T451)*HM_ZA_Nkossa!CA_op_trig</f>
        <v>-817.38507650949566</v>
      </c>
      <c r="U453" s="66">
        <f ca="1">(T453+U451)*HM_ZA_Nkossa!CA_op_trig</f>
        <v>-690.8896911754797</v>
      </c>
      <c r="V453" s="66">
        <f ca="1">(U453+V451)*HM_ZA_Nkossa!CA_op_trig</f>
        <v>-574.89442584763219</v>
      </c>
      <c r="W453" s="66">
        <f ca="1">(V453+W451)*HM_ZA_Nkossa!CA_op_trig</f>
        <v>-468.99366110963604</v>
      </c>
      <c r="X453" s="66">
        <f ca="1">(W453+X451)*HM_ZA_Nkossa!CA_op_trig</f>
        <v>-372.59748114349293</v>
      </c>
      <c r="Y453" s="66">
        <f ca="1">(X453+Y451)*HM_ZA_Nkossa!CA_op_trig</f>
        <v>0</v>
      </c>
      <c r="Z453" s="66">
        <f ca="1">(Y453+Z451)*HM_ZA_Nkossa!CA_op_trig</f>
        <v>0</v>
      </c>
      <c r="AA453" s="66">
        <f ca="1">(Z453+AA451)*HM_ZA_Nkossa!CA_op_trig</f>
        <v>0</v>
      </c>
      <c r="AB453" s="66">
        <f ca="1">(AA453+AB451)*HM_ZA_Nkossa!CA_op_trig</f>
        <v>0</v>
      </c>
      <c r="AC453" s="66">
        <f ca="1">(AB453+AC451)*HM_ZA_Nkossa!CA_op_trig</f>
        <v>0</v>
      </c>
      <c r="AD453" s="66">
        <f ca="1">(AC453+AD451)*HM_ZA_Nkossa!CA_op_trig</f>
        <v>0</v>
      </c>
      <c r="AE453" s="66">
        <f ca="1">(AD453+AE451)*HM_ZA_Nkossa!CA_op_trig</f>
        <v>0</v>
      </c>
      <c r="AF453" s="66">
        <f ca="1">(AE453+AF451)*HM_ZA_Nkossa!CA_op_trig</f>
        <v>0</v>
      </c>
      <c r="AG453" s="66">
        <f ca="1">(AF453+AG451)*HM_ZA_Nkossa!CA_op_trig</f>
        <v>0</v>
      </c>
      <c r="AH453" s="66">
        <f ca="1">(AG453+AH451)*HM_ZA_Nkossa!CA_op_trig</f>
        <v>0</v>
      </c>
      <c r="AI453" s="66">
        <f ca="1">(AH453+AI451)*HM_ZA_Nkossa!CA_op_trig</f>
        <v>0</v>
      </c>
      <c r="AJ453" s="66">
        <f ca="1">(AI453+AJ451)*HM_ZA_Nkossa!CA_op_trig</f>
        <v>0</v>
      </c>
      <c r="AK453" s="66">
        <f ca="1">(AJ453+AK451)*HM_ZA_Nkossa!CA_op_trig</f>
        <v>0</v>
      </c>
      <c r="AL453" s="66">
        <f ca="1">(AK453+AL451)*HM_ZA_Nkossa!CA_op_trig</f>
        <v>0</v>
      </c>
      <c r="AM453" s="66">
        <f ca="1">(AL453+AM451)*HM_ZA_Nkossa!CA_op_trig</f>
        <v>0</v>
      </c>
      <c r="AN453" s="66">
        <f ca="1">(AM453+AN451)*HM_ZA_Nkossa!CA_op_trig</f>
        <v>0</v>
      </c>
      <c r="AO453" s="66">
        <f ca="1">(AN453+AO451)*HM_ZA_Nkossa!CA_op_trig</f>
        <v>0</v>
      </c>
      <c r="AP453" s="66">
        <f ca="1">(AO453+AP451)*HM_ZA_Nkossa!CA_op_trig</f>
        <v>0</v>
      </c>
      <c r="AQ453" s="66">
        <f ca="1">(AP453+AQ451)*HM_ZA_Nkossa!CA_op_trig</f>
        <v>0</v>
      </c>
      <c r="AR453" s="66">
        <f ca="1">(AQ453+AR451)*HM_ZA_Nkossa!CA_op_trig</f>
        <v>0</v>
      </c>
      <c r="AS453" s="66">
        <f ca="1">(AR453+AS451)*HM_ZA_Nkossa!CA_op_trig</f>
        <v>0</v>
      </c>
      <c r="AT453" s="66">
        <f ca="1">(AS453+AT451)*HM_ZA_Nkossa!CA_op_trig</f>
        <v>0</v>
      </c>
      <c r="AU453" s="66">
        <f ca="1">(AT453+AU451)*HM_ZA_Nkossa!CA_op_trig</f>
        <v>0</v>
      </c>
      <c r="AV453" s="66">
        <f ca="1">(AU453+AV451)*HM_ZA_Nkossa!CA_op_trig</f>
        <v>0</v>
      </c>
      <c r="AW453" s="66">
        <f ca="1">(AV453+AW451)*HM_ZA_Nkossa!CA_op_trig</f>
        <v>0</v>
      </c>
      <c r="AX453" s="66">
        <f ca="1">(AW453+AX451)*HM_ZA_Nkossa!CA_op_trig</f>
        <v>0</v>
      </c>
      <c r="AY453" s="66">
        <f ca="1">(AX453+AY451)*HM_ZA_Nkossa!CA_op_trig</f>
        <v>0</v>
      </c>
      <c r="AZ453" s="66">
        <f ca="1">(AY453+AZ451)*HM_ZA_Nkossa!CA_op_trig</f>
        <v>0</v>
      </c>
      <c r="BA453" s="66">
        <f ca="1">(AZ453+BA451)*HM_ZA_Nkossa!CA_op_trig</f>
        <v>0</v>
      </c>
      <c r="BB453" s="66">
        <f ca="1">(BA453+BB451)*HM_ZA_Nkossa!CA_op_trig</f>
        <v>0</v>
      </c>
      <c r="BC453" s="66">
        <f ca="1">(BB453+BC451)*HM_ZA_Nkossa!CA_op_trig</f>
        <v>0</v>
      </c>
      <c r="BD453" s="66">
        <f ca="1">(BC453+BD451)*HM_ZA_Nkossa!CA_op_trig</f>
        <v>0</v>
      </c>
      <c r="BE453" s="66">
        <f ca="1">(BD453+BE451)*HM_ZA_Nkossa!CA_op_trig</f>
        <v>0</v>
      </c>
      <c r="BF453" s="66">
        <f ca="1">(BE453+BF451)*HM_ZA_Nkossa!CA_op_trig</f>
        <v>0</v>
      </c>
      <c r="BG453" s="66">
        <f ca="1">(BF453+BG451)*HM_ZA_Nkossa!CA_op_trig</f>
        <v>0</v>
      </c>
      <c r="BH453" s="66">
        <f ca="1">(BG453+BH451)*HM_ZA_Nkossa!CA_op_trig</f>
        <v>0</v>
      </c>
      <c r="BI453" s="66">
        <f ca="1">(BH453+BI451)*HM_ZA_Nkossa!CA_op_trig</f>
        <v>0</v>
      </c>
      <c r="BJ453" s="66">
        <f ca="1">(BI453+BJ451)*HM_ZA_Nkossa!CA_op_trig</f>
        <v>0</v>
      </c>
      <c r="BK453" s="66">
        <f ca="1">(BJ453+BK451)*HM_ZA_Nkossa!CA_op_trig</f>
        <v>0</v>
      </c>
      <c r="BL453" s="66">
        <f ca="1">(BK453+BL451)*HM_ZA_Nkossa!CA_op_trig</f>
        <v>0</v>
      </c>
      <c r="BM453" s="66">
        <f ca="1">(BL453+BM451)*HM_ZA_Nkossa!CA_op_trig</f>
        <v>0</v>
      </c>
      <c r="BN453" s="66">
        <f ca="1">(BM453+BN451)*HM_ZA_Nkossa!CA_op_trig</f>
        <v>0</v>
      </c>
      <c r="BO453" s="66">
        <f ca="1">(BN453+BO451)*HM_ZA_Nkossa!CA_op_trig</f>
        <v>0</v>
      </c>
      <c r="BP453" s="66">
        <f ca="1">(BO453+BP451)*HM_ZA_Nkossa!CA_op_trig</f>
        <v>0</v>
      </c>
      <c r="BQ453" s="66">
        <f ca="1">(BP453+BQ451)*HM_ZA_Nkossa!CA_op_trig</f>
        <v>0</v>
      </c>
      <c r="BR453" s="66">
        <f ca="1">(BQ453+BR451)*HM_ZA_Nkossa!CA_op_trig</f>
        <v>0</v>
      </c>
      <c r="BS453" s="66">
        <f ca="1">(BR453+BS451)*HM_ZA_Nkossa!CA_op_trig</f>
        <v>0</v>
      </c>
    </row>
    <row r="454" spans="3:71" outlineLevel="1" x14ac:dyDescent="0.2">
      <c r="J454" s="26"/>
      <c r="L454" s="55"/>
      <c r="M454" s="55"/>
      <c r="N454" s="55"/>
      <c r="O454" s="55"/>
      <c r="P454" s="55"/>
      <c r="Q454" s="55"/>
      <c r="R454" s="55"/>
      <c r="S454" s="55"/>
      <c r="T454" s="55"/>
      <c r="U454" s="55"/>
      <c r="V454" s="55"/>
      <c r="W454" s="55"/>
      <c r="X454" s="55"/>
      <c r="Y454" s="55"/>
      <c r="Z454" s="55"/>
      <c r="AA454" s="55"/>
      <c r="AB454" s="55"/>
      <c r="AC454" s="55"/>
      <c r="AD454" s="55"/>
      <c r="AE454" s="55"/>
      <c r="AF454" s="55"/>
      <c r="AG454" s="55"/>
      <c r="AH454" s="55"/>
      <c r="AI454" s="55"/>
      <c r="AJ454" s="55"/>
      <c r="AK454" s="55"/>
      <c r="AL454" s="55"/>
      <c r="AM454" s="55"/>
      <c r="AN454" s="55"/>
      <c r="AO454" s="55"/>
      <c r="AP454" s="55"/>
      <c r="AQ454" s="55"/>
      <c r="AR454" s="55"/>
      <c r="AS454" s="55"/>
      <c r="AT454" s="55"/>
      <c r="AU454" s="55"/>
      <c r="AV454" s="55"/>
      <c r="AW454" s="55"/>
      <c r="AX454" s="55"/>
      <c r="AY454" s="55"/>
      <c r="AZ454" s="55"/>
      <c r="BA454" s="55"/>
      <c r="BB454" s="55"/>
      <c r="BC454" s="55"/>
      <c r="BD454" s="55"/>
      <c r="BE454" s="55"/>
      <c r="BF454" s="55"/>
      <c r="BG454" s="55"/>
      <c r="BH454" s="55"/>
      <c r="BI454" s="55"/>
      <c r="BJ454" s="55"/>
      <c r="BK454" s="55"/>
      <c r="BL454" s="55"/>
      <c r="BM454" s="55"/>
      <c r="BN454" s="55"/>
      <c r="BO454" s="55"/>
      <c r="BP454" s="55"/>
      <c r="BQ454" s="55"/>
      <c r="BR454" s="55"/>
      <c r="BS454" s="55"/>
    </row>
    <row r="455" spans="3:71" outlineLevel="1" x14ac:dyDescent="0.2">
      <c r="C455" s="11" t="str">
        <f>CHOOSE(db_ML_selected,'Liste Traduction'!B408,'Liste Traduction'!C408)</f>
        <v>VAN cycle complet</v>
      </c>
      <c r="G455" s="60"/>
      <c r="I455" s="63">
        <f ca="1">SUMPRODUCT(OA_cont_ATCF_Nkossa2017,HM_ZA_Nkossa!CA_disc_factor_fc)</f>
        <v>-87.370189132820116</v>
      </c>
      <c r="J455" s="26" t="s">
        <v>148</v>
      </c>
      <c r="L455" s="55"/>
      <c r="M455" s="55"/>
      <c r="N455" s="55"/>
      <c r="O455" s="55"/>
      <c r="P455" s="55"/>
      <c r="Q455" s="55"/>
      <c r="R455" s="55"/>
      <c r="S455" s="55"/>
      <c r="T455" s="55"/>
      <c r="U455" s="55"/>
      <c r="V455" s="55"/>
      <c r="W455" s="55"/>
      <c r="X455" s="55"/>
      <c r="Y455" s="55"/>
      <c r="Z455" s="55"/>
      <c r="AA455" s="55"/>
      <c r="AB455" s="55"/>
      <c r="AC455" s="55"/>
      <c r="AD455" s="55"/>
      <c r="AE455" s="55"/>
      <c r="AF455" s="55"/>
      <c r="AG455" s="55"/>
      <c r="AH455" s="55"/>
      <c r="AI455" s="55"/>
      <c r="AJ455" s="55"/>
      <c r="AK455" s="55"/>
      <c r="AL455" s="55"/>
      <c r="AM455" s="55"/>
      <c r="AN455" s="55"/>
      <c r="AO455" s="55"/>
      <c r="AP455" s="55"/>
      <c r="AQ455" s="55"/>
      <c r="AR455" s="55"/>
      <c r="AS455" s="55"/>
      <c r="AT455" s="55"/>
      <c r="AU455" s="55"/>
      <c r="AV455" s="55"/>
      <c r="AW455" s="55"/>
      <c r="AX455" s="55"/>
      <c r="AY455" s="55"/>
      <c r="AZ455" s="55"/>
      <c r="BA455" s="55"/>
      <c r="BB455" s="55"/>
      <c r="BC455" s="55"/>
      <c r="BD455" s="55"/>
      <c r="BE455" s="55"/>
      <c r="BF455" s="55"/>
      <c r="BG455" s="55"/>
      <c r="BH455" s="55"/>
      <c r="BI455" s="55"/>
      <c r="BJ455" s="55"/>
      <c r="BK455" s="55"/>
      <c r="BL455" s="55"/>
      <c r="BM455" s="55"/>
      <c r="BN455" s="55"/>
      <c r="BO455" s="55"/>
      <c r="BP455" s="55"/>
      <c r="BQ455" s="55"/>
      <c r="BR455" s="55"/>
      <c r="BS455" s="55"/>
    </row>
    <row r="456" spans="3:71" outlineLevel="1" x14ac:dyDescent="0.2">
      <c r="C456" s="11" t="str">
        <f>CHOOSE(db_ML_selected,'Liste Traduction'!B409,'Liste Traduction'!C409)</f>
        <v>VAN à terme</v>
      </c>
      <c r="I456" s="63">
        <f ca="1">SUMPRODUCT(OA_cont_ATCF_Nkossa2017,HM_ZA_Nkossa!CA_disc_factor_pf)</f>
        <v>461.28093814145154</v>
      </c>
      <c r="J456" s="26" t="s">
        <v>148</v>
      </c>
      <c r="L456" s="55"/>
      <c r="M456" s="55"/>
      <c r="N456" s="55"/>
      <c r="O456" s="55"/>
      <c r="P456" s="55"/>
      <c r="Q456" s="55"/>
      <c r="R456" s="55"/>
      <c r="S456" s="55"/>
      <c r="T456" s="55"/>
      <c r="U456" s="55"/>
      <c r="V456" s="55"/>
      <c r="W456" s="55"/>
      <c r="X456" s="55"/>
      <c r="Y456" s="55"/>
      <c r="Z456" s="55"/>
      <c r="AA456" s="55"/>
      <c r="AB456" s="55"/>
      <c r="AC456" s="55"/>
      <c r="AD456" s="55"/>
      <c r="AE456" s="55"/>
      <c r="AF456" s="55"/>
      <c r="AG456" s="55"/>
      <c r="AH456" s="55"/>
      <c r="AI456" s="55"/>
      <c r="AJ456" s="55"/>
      <c r="AK456" s="55"/>
      <c r="AL456" s="55"/>
      <c r="AM456" s="55"/>
      <c r="AN456" s="55"/>
      <c r="AO456" s="55"/>
      <c r="AP456" s="55"/>
      <c r="AQ456" s="55"/>
      <c r="AR456" s="55"/>
      <c r="AS456" s="55"/>
      <c r="AT456" s="55"/>
      <c r="AU456" s="55"/>
      <c r="AV456" s="55"/>
      <c r="AW456" s="55"/>
      <c r="AX456" s="55"/>
      <c r="AY456" s="55"/>
      <c r="AZ456" s="55"/>
      <c r="BA456" s="55"/>
      <c r="BB456" s="55"/>
      <c r="BC456" s="55"/>
      <c r="BD456" s="55"/>
      <c r="BE456" s="55"/>
      <c r="BF456" s="55"/>
      <c r="BG456" s="55"/>
      <c r="BH456" s="55"/>
      <c r="BI456" s="55"/>
      <c r="BJ456" s="55"/>
      <c r="BK456" s="55"/>
      <c r="BL456" s="55"/>
      <c r="BM456" s="55"/>
      <c r="BN456" s="55"/>
      <c r="BO456" s="55"/>
      <c r="BP456" s="55"/>
      <c r="BQ456" s="55"/>
      <c r="BR456" s="55"/>
      <c r="BS456" s="55"/>
    </row>
    <row r="457" spans="3:71" outlineLevel="1" x14ac:dyDescent="0.2">
      <c r="I457" s="61"/>
      <c r="J457" s="26"/>
      <c r="L457" s="55"/>
      <c r="M457" s="55"/>
      <c r="N457" s="55"/>
      <c r="O457" s="55"/>
      <c r="P457" s="55"/>
      <c r="Q457" s="55"/>
      <c r="R457" s="55"/>
      <c r="S457" s="55"/>
      <c r="T457" s="55"/>
      <c r="U457" s="55"/>
      <c r="V457" s="55"/>
      <c r="W457" s="55"/>
      <c r="X457" s="55"/>
      <c r="Y457" s="55"/>
      <c r="Z457" s="55"/>
      <c r="AA457" s="55"/>
      <c r="AB457" s="55"/>
      <c r="AC457" s="55"/>
      <c r="AD457" s="55"/>
      <c r="AE457" s="55"/>
      <c r="AF457" s="55"/>
      <c r="AG457" s="55"/>
      <c r="AH457" s="55"/>
      <c r="AI457" s="55"/>
      <c r="AJ457" s="55"/>
      <c r="AK457" s="55"/>
      <c r="AL457" s="55"/>
      <c r="AM457" s="55"/>
      <c r="AN457" s="55"/>
      <c r="AO457" s="55"/>
      <c r="AP457" s="55"/>
      <c r="AQ457" s="55"/>
      <c r="AR457" s="55"/>
      <c r="AS457" s="55"/>
      <c r="AT457" s="55"/>
      <c r="AU457" s="55"/>
      <c r="AV457" s="55"/>
      <c r="AW457" s="55"/>
      <c r="AX457" s="55"/>
      <c r="AY457" s="55"/>
      <c r="AZ457" s="55"/>
      <c r="BA457" s="55"/>
      <c r="BB457" s="55"/>
      <c r="BC457" s="55"/>
      <c r="BD457" s="55"/>
      <c r="BE457" s="55"/>
      <c r="BF457" s="55"/>
      <c r="BG457" s="55"/>
      <c r="BH457" s="55"/>
      <c r="BI457" s="55"/>
      <c r="BJ457" s="55"/>
      <c r="BK457" s="55"/>
      <c r="BL457" s="55"/>
      <c r="BM457" s="55"/>
      <c r="BN457" s="55"/>
      <c r="BO457" s="55"/>
      <c r="BP457" s="55"/>
      <c r="BQ457" s="55"/>
      <c r="BR457" s="55"/>
      <c r="BS457" s="55"/>
    </row>
    <row r="458" spans="3:71" outlineLevel="1" x14ac:dyDescent="0.2">
      <c r="C458" s="11" t="str">
        <f>CHOOSE(db_ML_selected,'Liste Traduction'!B410,'Liste Traduction'!C410)</f>
        <v>TRI cycle complet</v>
      </c>
      <c r="I458" s="62">
        <f ca="1">IFERROR(IRR(INDEX(OA_cont_ATCF_Nkossa2017,1,MAX(1,$G$400-L4+1)):INDEX(OA_cont_ATCF_Nkossa2017,1,last_model_year)),"na")</f>
        <v>-6.2305586015214298E-2</v>
      </c>
      <c r="J458" s="26" t="s">
        <v>90</v>
      </c>
      <c r="L458" s="55"/>
      <c r="M458" s="55"/>
      <c r="N458" s="55"/>
      <c r="O458" s="55"/>
      <c r="P458" s="55"/>
      <c r="Q458" s="55"/>
      <c r="R458" s="55"/>
      <c r="S458" s="55"/>
      <c r="T458" s="55"/>
      <c r="U458" s="55"/>
      <c r="V458" s="55"/>
      <c r="W458" s="55"/>
      <c r="X458" s="55"/>
      <c r="Y458" s="55"/>
      <c r="Z458" s="55"/>
      <c r="AA458" s="55"/>
      <c r="AB458" s="55"/>
      <c r="AC458" s="55"/>
      <c r="AD458" s="55"/>
      <c r="AE458" s="55"/>
      <c r="AF458" s="55"/>
      <c r="AG458" s="55"/>
      <c r="AH458" s="55"/>
      <c r="AI458" s="55"/>
      <c r="AJ458" s="55"/>
      <c r="AK458" s="55"/>
      <c r="AL458" s="55"/>
      <c r="AM458" s="55"/>
      <c r="AN458" s="55"/>
      <c r="AO458" s="55"/>
      <c r="AP458" s="55"/>
      <c r="AQ458" s="55"/>
      <c r="AR458" s="55"/>
      <c r="AS458" s="55"/>
      <c r="AT458" s="55"/>
      <c r="AU458" s="55"/>
      <c r="AV458" s="55"/>
      <c r="AW458" s="55"/>
      <c r="AX458" s="55"/>
      <c r="AY458" s="55"/>
      <c r="AZ458" s="55"/>
      <c r="BA458" s="55"/>
      <c r="BB458" s="55"/>
      <c r="BC458" s="55"/>
      <c r="BD458" s="55"/>
      <c r="BE458" s="55"/>
      <c r="BF458" s="55"/>
      <c r="BG458" s="55"/>
      <c r="BH458" s="55"/>
      <c r="BI458" s="55"/>
      <c r="BJ458" s="55"/>
      <c r="BK458" s="55"/>
      <c r="BL458" s="55"/>
      <c r="BM458" s="55"/>
      <c r="BN458" s="55"/>
      <c r="BO458" s="55"/>
      <c r="BP458" s="55"/>
      <c r="BQ458" s="55"/>
      <c r="BR458" s="55"/>
      <c r="BS458" s="55"/>
    </row>
    <row r="459" spans="3:71" outlineLevel="1" x14ac:dyDescent="0.2">
      <c r="C459" s="11" t="str">
        <f>CHOOSE(db_ML_selected,'Liste Traduction'!B411,'Liste Traduction'!C411)</f>
        <v>TRI à terme</v>
      </c>
      <c r="I459" s="62" t="str">
        <f ca="1">IFERROR(IRR(INDEX(OA_cont_ATCF_Nkossa2017,1,MAX(1,$G$401-L4+1)):INDEX(OA_cont_ATCF_Nkossa2017,1,last_model_year)),"na")</f>
        <v>na</v>
      </c>
      <c r="J459" s="26" t="s">
        <v>90</v>
      </c>
      <c r="L459" s="55"/>
      <c r="M459" s="55"/>
      <c r="N459" s="55"/>
      <c r="O459" s="55"/>
      <c r="P459" s="55"/>
      <c r="Q459" s="55"/>
      <c r="R459" s="55"/>
      <c r="S459" s="55"/>
      <c r="T459" s="55"/>
      <c r="U459" s="55"/>
      <c r="V459" s="55"/>
      <c r="W459" s="55"/>
      <c r="X459" s="55"/>
      <c r="Y459" s="55"/>
      <c r="Z459" s="55"/>
      <c r="AA459" s="55"/>
      <c r="AB459" s="55"/>
      <c r="AC459" s="55"/>
      <c r="AD459" s="55"/>
      <c r="AE459" s="55"/>
      <c r="AF459" s="55"/>
      <c r="AG459" s="55"/>
      <c r="AH459" s="55"/>
      <c r="AI459" s="55"/>
      <c r="AJ459" s="55"/>
      <c r="AK459" s="55"/>
      <c r="AL459" s="55"/>
      <c r="AM459" s="55"/>
      <c r="AN459" s="55"/>
      <c r="AO459" s="55"/>
      <c r="AP459" s="55"/>
      <c r="AQ459" s="55"/>
      <c r="AR459" s="55"/>
      <c r="AS459" s="55"/>
      <c r="AT459" s="55"/>
      <c r="AU459" s="55"/>
      <c r="AV459" s="55"/>
      <c r="AW459" s="55"/>
      <c r="AX459" s="55"/>
      <c r="AY459" s="55"/>
      <c r="AZ459" s="55"/>
      <c r="BA459" s="55"/>
      <c r="BB459" s="55"/>
      <c r="BC459" s="55"/>
      <c r="BD459" s="55"/>
      <c r="BE459" s="55"/>
      <c r="BF459" s="55"/>
      <c r="BG459" s="55"/>
      <c r="BH459" s="55"/>
      <c r="BI459" s="55"/>
      <c r="BJ459" s="55"/>
      <c r="BK459" s="55"/>
      <c r="BL459" s="55"/>
      <c r="BM459" s="55"/>
      <c r="BN459" s="55"/>
      <c r="BO459" s="55"/>
      <c r="BP459" s="55"/>
      <c r="BQ459" s="55"/>
      <c r="BR459" s="55"/>
      <c r="BS459" s="55"/>
    </row>
    <row r="460" spans="3:71" outlineLevel="1" x14ac:dyDescent="0.2">
      <c r="J460" s="26"/>
      <c r="L460" s="55"/>
      <c r="M460" s="55"/>
      <c r="N460" s="55"/>
      <c r="O460" s="55"/>
      <c r="P460" s="55"/>
      <c r="Q460" s="55"/>
      <c r="R460" s="55"/>
      <c r="S460" s="55"/>
      <c r="T460" s="55"/>
      <c r="U460" s="55"/>
      <c r="V460" s="55"/>
      <c r="W460" s="55"/>
      <c r="X460" s="55"/>
      <c r="Y460" s="55"/>
      <c r="Z460" s="55"/>
      <c r="AA460" s="55"/>
      <c r="AB460" s="55"/>
      <c r="AC460" s="55"/>
      <c r="AD460" s="55"/>
      <c r="AE460" s="55"/>
      <c r="AF460" s="55"/>
      <c r="AG460" s="55"/>
      <c r="AH460" s="55"/>
      <c r="AI460" s="55"/>
      <c r="AJ460" s="55"/>
      <c r="AK460" s="55"/>
      <c r="AL460" s="55"/>
      <c r="AM460" s="55"/>
      <c r="AN460" s="55"/>
      <c r="AO460" s="55"/>
      <c r="AP460" s="55"/>
      <c r="AQ460" s="55"/>
      <c r="AR460" s="55"/>
      <c r="AS460" s="55"/>
      <c r="AT460" s="55"/>
      <c r="AU460" s="55"/>
      <c r="AV460" s="55"/>
      <c r="AW460" s="55"/>
      <c r="AX460" s="55"/>
      <c r="AY460" s="55"/>
      <c r="AZ460" s="55"/>
      <c r="BA460" s="55"/>
      <c r="BB460" s="55"/>
      <c r="BC460" s="55"/>
      <c r="BD460" s="55"/>
      <c r="BE460" s="55"/>
      <c r="BF460" s="55"/>
      <c r="BG460" s="55"/>
      <c r="BH460" s="55"/>
      <c r="BI460" s="55"/>
      <c r="BJ460" s="55"/>
      <c r="BK460" s="55"/>
      <c r="BL460" s="55"/>
      <c r="BM460" s="55"/>
      <c r="BN460" s="55"/>
      <c r="BO460" s="55"/>
      <c r="BP460" s="55"/>
      <c r="BQ460" s="55"/>
      <c r="BR460" s="55"/>
      <c r="BS460" s="55"/>
    </row>
    <row r="461" spans="3:71" outlineLevel="1" x14ac:dyDescent="0.2">
      <c r="C461" s="11" t="str">
        <f>CHOOSE(db_ML_selected,'Liste Traduction'!B412,'Liste Traduction'!C412)</f>
        <v>Période de remboursement</v>
      </c>
      <c r="I461" s="67">
        <f ca="1">COUNTIF(L453:BS453,"&lt;0")+1</f>
        <v>14</v>
      </c>
      <c r="J461" s="26"/>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c r="BF461" s="7"/>
      <c r="BG461" s="7"/>
      <c r="BH461" s="7"/>
      <c r="BI461" s="7"/>
      <c r="BJ461" s="7"/>
      <c r="BK461" s="7"/>
      <c r="BL461" s="7"/>
      <c r="BM461" s="7"/>
      <c r="BN461" s="7"/>
      <c r="BO461" s="7"/>
      <c r="BP461" s="7"/>
      <c r="BQ461" s="7"/>
      <c r="BR461" s="7"/>
      <c r="BS461" s="7"/>
    </row>
    <row r="462" spans="3:71" outlineLevel="1" x14ac:dyDescent="0.2">
      <c r="J462" s="26"/>
      <c r="L462" s="55"/>
      <c r="M462" s="55"/>
      <c r="N462" s="55"/>
      <c r="O462" s="55"/>
      <c r="P462" s="55"/>
      <c r="Q462" s="55"/>
      <c r="R462" s="55"/>
      <c r="S462" s="55"/>
      <c r="T462" s="55"/>
      <c r="U462" s="55"/>
      <c r="V462" s="55"/>
      <c r="W462" s="55"/>
      <c r="X462" s="55"/>
      <c r="Y462" s="55"/>
      <c r="Z462" s="55"/>
      <c r="AA462" s="55"/>
      <c r="AB462" s="55"/>
      <c r="AC462" s="55"/>
      <c r="AD462" s="55"/>
      <c r="AE462" s="55"/>
      <c r="AF462" s="55"/>
      <c r="AG462" s="55"/>
      <c r="AH462" s="55"/>
      <c r="AI462" s="55"/>
      <c r="AJ462" s="55"/>
      <c r="AK462" s="55"/>
      <c r="AL462" s="55"/>
      <c r="AM462" s="55"/>
      <c r="AN462" s="55"/>
      <c r="AO462" s="55"/>
      <c r="AP462" s="55"/>
      <c r="AQ462" s="55"/>
      <c r="AR462" s="55"/>
      <c r="AS462" s="55"/>
      <c r="AT462" s="55"/>
      <c r="AU462" s="55"/>
      <c r="AV462" s="55"/>
      <c r="AW462" s="55"/>
      <c r="AX462" s="55"/>
      <c r="AY462" s="55"/>
      <c r="AZ462" s="55"/>
      <c r="BA462" s="55"/>
      <c r="BB462" s="55"/>
      <c r="BC462" s="55"/>
      <c r="BD462" s="55"/>
      <c r="BE462" s="55"/>
      <c r="BF462" s="55"/>
      <c r="BG462" s="55"/>
      <c r="BH462" s="55"/>
      <c r="BI462" s="55"/>
      <c r="BJ462" s="55"/>
      <c r="BK462" s="55"/>
      <c r="BL462" s="55"/>
      <c r="BM462" s="55"/>
      <c r="BN462" s="55"/>
      <c r="BO462" s="55"/>
      <c r="BP462" s="55"/>
      <c r="BQ462" s="55"/>
      <c r="BR462" s="55"/>
      <c r="BS462" s="55"/>
    </row>
    <row r="463" spans="3:71" outlineLevel="1" x14ac:dyDescent="0.2">
      <c r="J463" s="26"/>
      <c r="L463" s="55"/>
      <c r="M463" s="55"/>
      <c r="N463" s="55"/>
      <c r="O463" s="55"/>
      <c r="P463" s="55"/>
      <c r="Q463" s="55"/>
      <c r="R463" s="55"/>
      <c r="S463" s="55"/>
      <c r="T463" s="55"/>
      <c r="U463" s="55"/>
      <c r="V463" s="55"/>
      <c r="W463" s="55"/>
      <c r="X463" s="55"/>
      <c r="Y463" s="55"/>
      <c r="Z463" s="55"/>
      <c r="AA463" s="55"/>
      <c r="AB463" s="55"/>
      <c r="AC463" s="55"/>
      <c r="AD463" s="55"/>
      <c r="AE463" s="55"/>
      <c r="AF463" s="55"/>
      <c r="AG463" s="55"/>
      <c r="AH463" s="55"/>
      <c r="AI463" s="55"/>
      <c r="AJ463" s="55"/>
      <c r="AK463" s="55"/>
      <c r="AL463" s="55"/>
      <c r="AM463" s="55"/>
      <c r="AN463" s="55"/>
      <c r="AO463" s="55"/>
      <c r="AP463" s="55"/>
      <c r="AQ463" s="55"/>
      <c r="AR463" s="55"/>
      <c r="AS463" s="55"/>
      <c r="AT463" s="55"/>
      <c r="AU463" s="55"/>
      <c r="AV463" s="55"/>
      <c r="AW463" s="55"/>
      <c r="AX463" s="55"/>
      <c r="AY463" s="55"/>
      <c r="AZ463" s="55"/>
      <c r="BA463" s="55"/>
      <c r="BB463" s="55"/>
      <c r="BC463" s="55"/>
      <c r="BD463" s="55"/>
      <c r="BE463" s="55"/>
      <c r="BF463" s="55"/>
      <c r="BG463" s="55"/>
      <c r="BH463" s="55"/>
      <c r="BI463" s="55"/>
      <c r="BJ463" s="55"/>
      <c r="BK463" s="55"/>
      <c r="BL463" s="55"/>
      <c r="BM463" s="55"/>
      <c r="BN463" s="55"/>
      <c r="BO463" s="55"/>
      <c r="BP463" s="55"/>
      <c r="BQ463" s="55"/>
      <c r="BR463" s="55"/>
      <c r="BS463" s="55"/>
    </row>
    <row r="464" spans="3:71" outlineLevel="1" x14ac:dyDescent="0.2">
      <c r="J464" s="26"/>
      <c r="L464" s="55"/>
      <c r="M464" s="55"/>
      <c r="N464" s="55"/>
      <c r="O464" s="55"/>
      <c r="P464" s="55"/>
      <c r="Q464" s="55"/>
      <c r="R464" s="55"/>
      <c r="S464" s="55"/>
      <c r="T464" s="55"/>
      <c r="U464" s="55"/>
      <c r="V464" s="55"/>
      <c r="W464" s="55"/>
      <c r="X464" s="55"/>
      <c r="Y464" s="55"/>
      <c r="Z464" s="55"/>
      <c r="AA464" s="55"/>
      <c r="AB464" s="55"/>
      <c r="AC464" s="55"/>
      <c r="AD464" s="55"/>
      <c r="AE464" s="55"/>
      <c r="AF464" s="55"/>
      <c r="AG464" s="55"/>
      <c r="AH464" s="55"/>
      <c r="AI464" s="55"/>
      <c r="AJ464" s="55"/>
      <c r="AK464" s="55"/>
      <c r="AL464" s="55"/>
      <c r="AM464" s="55"/>
      <c r="AN464" s="55"/>
      <c r="AO464" s="55"/>
      <c r="AP464" s="55"/>
      <c r="AQ464" s="55"/>
      <c r="AR464" s="55"/>
      <c r="AS464" s="55"/>
      <c r="AT464" s="55"/>
      <c r="AU464" s="55"/>
      <c r="AV464" s="55"/>
      <c r="AW464" s="55"/>
      <c r="AX464" s="55"/>
      <c r="AY464" s="55"/>
      <c r="AZ464" s="55"/>
      <c r="BA464" s="55"/>
      <c r="BB464" s="55"/>
      <c r="BC464" s="55"/>
      <c r="BD464" s="55"/>
      <c r="BE464" s="55"/>
      <c r="BF464" s="55"/>
      <c r="BG464" s="55"/>
      <c r="BH464" s="55"/>
      <c r="BI464" s="55"/>
      <c r="BJ464" s="55"/>
      <c r="BK464" s="55"/>
      <c r="BL464" s="55"/>
      <c r="BM464" s="55"/>
      <c r="BN464" s="55"/>
      <c r="BO464" s="55"/>
      <c r="BP464" s="55"/>
      <c r="BQ464" s="55"/>
      <c r="BR464" s="55"/>
      <c r="BS464" s="55"/>
    </row>
    <row r="465" spans="1:71" outlineLevel="1" x14ac:dyDescent="0.2">
      <c r="A465" s="45"/>
      <c r="B465" s="38" t="str">
        <f>CHOOSE(db_ML_selected,'Liste Traduction'!B413,'Liste Traduction'!C413)</f>
        <v>Flux de trésorerie consortium compagnies pétrolières internationales</v>
      </c>
      <c r="C465" s="45"/>
      <c r="D465" s="45"/>
      <c r="E465" s="45"/>
      <c r="J465" s="26"/>
      <c r="L465" s="55"/>
      <c r="M465" s="55"/>
      <c r="N465" s="55"/>
      <c r="O465" s="55"/>
      <c r="P465" s="55"/>
      <c r="Q465" s="55"/>
      <c r="R465" s="55"/>
      <c r="S465" s="55"/>
      <c r="T465" s="55"/>
      <c r="U465" s="55"/>
      <c r="V465" s="55"/>
      <c r="W465" s="55"/>
      <c r="X465" s="55"/>
      <c r="Y465" s="55"/>
      <c r="Z465" s="55"/>
      <c r="AA465" s="55"/>
      <c r="AB465" s="55"/>
      <c r="AC465" s="55"/>
      <c r="AD465" s="55"/>
      <c r="AE465" s="55"/>
      <c r="AF465" s="55"/>
      <c r="AG465" s="55"/>
      <c r="AH465" s="55"/>
      <c r="AI465" s="55"/>
      <c r="AJ465" s="55"/>
      <c r="AK465" s="55"/>
      <c r="AL465" s="55"/>
      <c r="AM465" s="55"/>
      <c r="AN465" s="55"/>
      <c r="AO465" s="55"/>
      <c r="AP465" s="55"/>
      <c r="AQ465" s="55"/>
      <c r="AR465" s="55"/>
      <c r="AS465" s="55"/>
      <c r="AT465" s="55"/>
      <c r="AU465" s="55"/>
      <c r="AV465" s="55"/>
      <c r="AW465" s="55"/>
      <c r="AX465" s="55"/>
      <c r="AY465" s="55"/>
      <c r="AZ465" s="55"/>
      <c r="BA465" s="55"/>
      <c r="BB465" s="55"/>
      <c r="BC465" s="55"/>
      <c r="BD465" s="55"/>
      <c r="BE465" s="55"/>
      <c r="BF465" s="55"/>
      <c r="BG465" s="55"/>
      <c r="BH465" s="55"/>
      <c r="BI465" s="55"/>
      <c r="BJ465" s="55"/>
      <c r="BK465" s="55"/>
      <c r="BL465" s="55"/>
      <c r="BM465" s="55"/>
      <c r="BN465" s="55"/>
      <c r="BO465" s="55"/>
      <c r="BP465" s="55"/>
      <c r="BQ465" s="55"/>
      <c r="BR465" s="55"/>
      <c r="BS465" s="55"/>
    </row>
    <row r="466" spans="1:71" outlineLevel="1" x14ac:dyDescent="0.2">
      <c r="J466" s="26"/>
      <c r="L466" s="55"/>
      <c r="M466" s="55"/>
      <c r="N466" s="55"/>
      <c r="O466" s="55"/>
      <c r="P466" s="55"/>
      <c r="Q466" s="55"/>
      <c r="R466" s="55"/>
      <c r="S466" s="55"/>
      <c r="T466" s="55"/>
      <c r="U466" s="55"/>
      <c r="V466" s="55"/>
      <c r="W466" s="55"/>
      <c r="X466" s="55"/>
      <c r="Y466" s="55"/>
      <c r="Z466" s="55"/>
      <c r="AA466" s="55"/>
      <c r="AB466" s="55"/>
      <c r="AC466" s="55"/>
      <c r="AD466" s="55"/>
      <c r="AE466" s="55"/>
      <c r="AF466" s="55"/>
      <c r="AG466" s="55"/>
      <c r="AH466" s="55"/>
      <c r="AI466" s="55"/>
      <c r="AJ466" s="55"/>
      <c r="AK466" s="55"/>
      <c r="AL466" s="55"/>
      <c r="AM466" s="55"/>
      <c r="AN466" s="55"/>
      <c r="AO466" s="55"/>
      <c r="AP466" s="55"/>
      <c r="AQ466" s="55"/>
      <c r="AR466" s="55"/>
      <c r="AS466" s="55"/>
      <c r="AT466" s="55"/>
      <c r="AU466" s="55"/>
      <c r="AV466" s="55"/>
      <c r="AW466" s="55"/>
      <c r="AX466" s="55"/>
      <c r="AY466" s="55"/>
      <c r="AZ466" s="55"/>
      <c r="BA466" s="55"/>
      <c r="BB466" s="55"/>
      <c r="BC466" s="55"/>
      <c r="BD466" s="55"/>
      <c r="BE466" s="55"/>
      <c r="BF466" s="55"/>
      <c r="BG466" s="55"/>
      <c r="BH466" s="55"/>
      <c r="BI466" s="55"/>
      <c r="BJ466" s="55"/>
      <c r="BK466" s="55"/>
      <c r="BL466" s="55"/>
      <c r="BM466" s="55"/>
      <c r="BN466" s="55"/>
      <c r="BO466" s="55"/>
      <c r="BP466" s="55"/>
      <c r="BQ466" s="55"/>
      <c r="BR466" s="55"/>
      <c r="BS466" s="55"/>
    </row>
    <row r="467" spans="1:71" outlineLevel="1" x14ac:dyDescent="0.2">
      <c r="C467" s="11" t="str">
        <f>CHOOSE(db_ML_selected,'Liste Traduction'!B414,'Liste Traduction'!C414)</f>
        <v>Part Flux de trésorerie après impôts des compagnies pétrolières internationales</v>
      </c>
      <c r="I467" s="30">
        <f t="shared" ref="I467:I470" ca="1" si="141">SUM($L467:$BS467)</f>
        <v>-316.70785897196902</v>
      </c>
      <c r="J467" s="26" t="s">
        <v>148</v>
      </c>
      <c r="L467" s="49" cm="1">
        <f t="array" aca="1" ref="L467:BS467" ca="1">OA_cont_ATCF_Nkossa2017*HM_ZA_Nkossa!CA_IOC_WI</f>
        <v>-249.84865933547002</v>
      </c>
      <c r="M467" s="49">
        <f ca="1"/>
        <v>-77.420722396447474</v>
      </c>
      <c r="N467" s="49">
        <f ca="1"/>
        <v>-115.48066372330599</v>
      </c>
      <c r="O467" s="49">
        <f ca="1"/>
        <v>-117.44377650837301</v>
      </c>
      <c r="P467" s="49">
        <f ca="1"/>
        <v>-143.45382310692844</v>
      </c>
      <c r="Q467" s="49">
        <f ca="1"/>
        <v>-121.07927728259851</v>
      </c>
      <c r="R467" s="49">
        <f ca="1"/>
        <v>-42.750821153618929</v>
      </c>
      <c r="S467" s="49">
        <f ca="1"/>
        <v>64.298934835650002</v>
      </c>
      <c r="T467" s="49">
        <f ca="1"/>
        <v>108.40149363802107</v>
      </c>
      <c r="U467" s="49">
        <f ca="1"/>
        <v>107.52107753391357</v>
      </c>
      <c r="V467" s="49">
        <f ca="1"/>
        <v>98.595975528670408</v>
      </c>
      <c r="W467" s="49">
        <f ca="1"/>
        <v>90.015650027296729</v>
      </c>
      <c r="X467" s="49">
        <f ca="1"/>
        <v>81.936752971221665</v>
      </c>
      <c r="Y467" s="49">
        <f ca="1"/>
        <v>0</v>
      </c>
      <c r="Z467" s="49">
        <f ca="1"/>
        <v>0</v>
      </c>
      <c r="AA467" s="49">
        <f ca="1"/>
        <v>0</v>
      </c>
      <c r="AB467" s="49">
        <f ca="1"/>
        <v>0</v>
      </c>
      <c r="AC467" s="49">
        <f ca="1"/>
        <v>0</v>
      </c>
      <c r="AD467" s="49">
        <f ca="1"/>
        <v>0</v>
      </c>
      <c r="AE467" s="49">
        <f ca="1"/>
        <v>0</v>
      </c>
      <c r="AF467" s="49">
        <f ca="1"/>
        <v>0</v>
      </c>
      <c r="AG467" s="49">
        <f ca="1"/>
        <v>0</v>
      </c>
      <c r="AH467" s="49">
        <f ca="1"/>
        <v>0</v>
      </c>
      <c r="AI467" s="49">
        <f ca="1"/>
        <v>0</v>
      </c>
      <c r="AJ467" s="49">
        <f ca="1"/>
        <v>0</v>
      </c>
      <c r="AK467" s="49">
        <f ca="1"/>
        <v>0</v>
      </c>
      <c r="AL467" s="49">
        <f ca="1"/>
        <v>0</v>
      </c>
      <c r="AM467" s="49">
        <f ca="1"/>
        <v>0</v>
      </c>
      <c r="AN467" s="49">
        <f ca="1"/>
        <v>0</v>
      </c>
      <c r="AO467" s="49">
        <f ca="1"/>
        <v>0</v>
      </c>
      <c r="AP467" s="49">
        <f ca="1"/>
        <v>0</v>
      </c>
      <c r="AQ467" s="49">
        <f ca="1"/>
        <v>0</v>
      </c>
      <c r="AR467" s="49">
        <f ca="1"/>
        <v>0</v>
      </c>
      <c r="AS467" s="49">
        <f ca="1"/>
        <v>0</v>
      </c>
      <c r="AT467" s="49">
        <f ca="1"/>
        <v>0</v>
      </c>
      <c r="AU467" s="49">
        <f ca="1"/>
        <v>0</v>
      </c>
      <c r="AV467" s="49">
        <f ca="1"/>
        <v>0</v>
      </c>
      <c r="AW467" s="49">
        <f ca="1"/>
        <v>0</v>
      </c>
      <c r="AX467" s="49">
        <f ca="1"/>
        <v>0</v>
      </c>
      <c r="AY467" s="49">
        <f ca="1"/>
        <v>0</v>
      </c>
      <c r="AZ467" s="49">
        <f ca="1"/>
        <v>0</v>
      </c>
      <c r="BA467" s="49">
        <f ca="1"/>
        <v>0</v>
      </c>
      <c r="BB467" s="49">
        <f ca="1"/>
        <v>0</v>
      </c>
      <c r="BC467" s="49">
        <f ca="1"/>
        <v>0</v>
      </c>
      <c r="BD467" s="49">
        <f ca="1"/>
        <v>0</v>
      </c>
      <c r="BE467" s="49">
        <f ca="1"/>
        <v>0</v>
      </c>
      <c r="BF467" s="49">
        <f ca="1"/>
        <v>0</v>
      </c>
      <c r="BG467" s="49">
        <f ca="1"/>
        <v>0</v>
      </c>
      <c r="BH467" s="49">
        <f ca="1"/>
        <v>0</v>
      </c>
      <c r="BI467" s="49">
        <f ca="1"/>
        <v>0</v>
      </c>
      <c r="BJ467" s="49">
        <f ca="1"/>
        <v>0</v>
      </c>
      <c r="BK467" s="49">
        <f ca="1"/>
        <v>0</v>
      </c>
      <c r="BL467" s="49">
        <f ca="1"/>
        <v>0</v>
      </c>
      <c r="BM467" s="49">
        <f ca="1"/>
        <v>0</v>
      </c>
      <c r="BN467" s="49">
        <f ca="1"/>
        <v>0</v>
      </c>
      <c r="BO467" s="49">
        <f ca="1"/>
        <v>0</v>
      </c>
      <c r="BP467" s="49">
        <f ca="1"/>
        <v>0</v>
      </c>
      <c r="BQ467" s="49">
        <f ca="1"/>
        <v>0</v>
      </c>
      <c r="BR467" s="49">
        <f ca="1"/>
        <v>0</v>
      </c>
      <c r="BS467" s="49">
        <f ca="1"/>
        <v>0</v>
      </c>
    </row>
    <row r="468" spans="1:71" outlineLevel="1" x14ac:dyDescent="0.2">
      <c r="C468" s="11" t="str">
        <f>CHOOSE(db_ML_selected,'Liste Traduction'!B415,'Liste Traduction'!C415)</f>
        <v>Coûts portés</v>
      </c>
      <c r="I468" s="30">
        <f t="shared" ca="1" si="141"/>
        <v>-122.77815000000001</v>
      </c>
      <c r="J468" s="26" t="s">
        <v>148</v>
      </c>
      <c r="L468" s="49" cm="1">
        <f t="array" aca="1" ref="L468:BS468" ca="1">-HM_ZA_Nkossa!CA_NOC_carried_costs</f>
        <v>-49.756049999999995</v>
      </c>
      <c r="M468" s="49">
        <f ca="1"/>
        <v>-25.643250000000002</v>
      </c>
      <c r="N468" s="49">
        <f ca="1"/>
        <v>-16.304849999999998</v>
      </c>
      <c r="O468" s="49">
        <f ca="1"/>
        <v>-5.7839999999999998</v>
      </c>
      <c r="P468" s="49">
        <f ca="1"/>
        <v>-7.59</v>
      </c>
      <c r="Q468" s="49">
        <f ca="1"/>
        <v>-17.7</v>
      </c>
      <c r="R468" s="49">
        <f ca="1"/>
        <v>0</v>
      </c>
      <c r="S468" s="49">
        <f ca="1"/>
        <v>0</v>
      </c>
      <c r="T468" s="49">
        <f ca="1"/>
        <v>0</v>
      </c>
      <c r="U468" s="49">
        <f ca="1"/>
        <v>0</v>
      </c>
      <c r="V468" s="49">
        <f ca="1"/>
        <v>0</v>
      </c>
      <c r="W468" s="49">
        <f ca="1"/>
        <v>0</v>
      </c>
      <c r="X468" s="49">
        <f ca="1"/>
        <v>0</v>
      </c>
      <c r="Y468" s="49">
        <f ca="1"/>
        <v>0</v>
      </c>
      <c r="Z468" s="49">
        <f ca="1"/>
        <v>0</v>
      </c>
      <c r="AA468" s="49">
        <f ca="1"/>
        <v>0</v>
      </c>
      <c r="AB468" s="49">
        <f ca="1"/>
        <v>0</v>
      </c>
      <c r="AC468" s="49">
        <f ca="1"/>
        <v>0</v>
      </c>
      <c r="AD468" s="49">
        <f ca="1"/>
        <v>0</v>
      </c>
      <c r="AE468" s="49">
        <f ca="1"/>
        <v>0</v>
      </c>
      <c r="AF468" s="49">
        <f ca="1"/>
        <v>0</v>
      </c>
      <c r="AG468" s="49">
        <f ca="1"/>
        <v>0</v>
      </c>
      <c r="AH468" s="49">
        <f ca="1"/>
        <v>0</v>
      </c>
      <c r="AI468" s="49">
        <f ca="1"/>
        <v>0</v>
      </c>
      <c r="AJ468" s="49">
        <f ca="1"/>
        <v>0</v>
      </c>
      <c r="AK468" s="49">
        <f ca="1"/>
        <v>0</v>
      </c>
      <c r="AL468" s="49">
        <f ca="1"/>
        <v>0</v>
      </c>
      <c r="AM468" s="49">
        <f ca="1"/>
        <v>0</v>
      </c>
      <c r="AN468" s="49">
        <f ca="1"/>
        <v>0</v>
      </c>
      <c r="AO468" s="49">
        <f ca="1"/>
        <v>0</v>
      </c>
      <c r="AP468" s="49">
        <f ca="1"/>
        <v>0</v>
      </c>
      <c r="AQ468" s="49">
        <f ca="1"/>
        <v>0</v>
      </c>
      <c r="AR468" s="49">
        <f ca="1"/>
        <v>0</v>
      </c>
      <c r="AS468" s="49">
        <f ca="1"/>
        <v>0</v>
      </c>
      <c r="AT468" s="49">
        <f ca="1"/>
        <v>0</v>
      </c>
      <c r="AU468" s="49">
        <f ca="1"/>
        <v>0</v>
      </c>
      <c r="AV468" s="49">
        <f ca="1"/>
        <v>0</v>
      </c>
      <c r="AW468" s="49">
        <f ca="1"/>
        <v>0</v>
      </c>
      <c r="AX468" s="49">
        <f ca="1"/>
        <v>0</v>
      </c>
      <c r="AY468" s="49">
        <f ca="1"/>
        <v>0</v>
      </c>
      <c r="AZ468" s="49">
        <f ca="1"/>
        <v>0</v>
      </c>
      <c r="BA468" s="49">
        <f ca="1"/>
        <v>0</v>
      </c>
      <c r="BB468" s="49">
        <f ca="1"/>
        <v>0</v>
      </c>
      <c r="BC468" s="49">
        <f ca="1"/>
        <v>0</v>
      </c>
      <c r="BD468" s="49">
        <f ca="1"/>
        <v>0</v>
      </c>
      <c r="BE468" s="49">
        <f ca="1"/>
        <v>0</v>
      </c>
      <c r="BF468" s="49">
        <f ca="1"/>
        <v>0</v>
      </c>
      <c r="BG468" s="49">
        <f ca="1"/>
        <v>0</v>
      </c>
      <c r="BH468" s="49">
        <f ca="1"/>
        <v>0</v>
      </c>
      <c r="BI468" s="49">
        <f ca="1"/>
        <v>0</v>
      </c>
      <c r="BJ468" s="49">
        <f ca="1"/>
        <v>0</v>
      </c>
      <c r="BK468" s="49">
        <f ca="1"/>
        <v>0</v>
      </c>
      <c r="BL468" s="49">
        <f ca="1"/>
        <v>0</v>
      </c>
      <c r="BM468" s="49">
        <f ca="1"/>
        <v>0</v>
      </c>
      <c r="BN468" s="49">
        <f ca="1"/>
        <v>0</v>
      </c>
      <c r="BO468" s="49">
        <f ca="1"/>
        <v>0</v>
      </c>
      <c r="BP468" s="49">
        <f ca="1"/>
        <v>0</v>
      </c>
      <c r="BQ468" s="49">
        <f ca="1"/>
        <v>0</v>
      </c>
      <c r="BR468" s="49">
        <f ca="1"/>
        <v>0</v>
      </c>
      <c r="BS468" s="49">
        <f ca="1"/>
        <v>0</v>
      </c>
    </row>
    <row r="469" spans="1:71" outlineLevel="1" x14ac:dyDescent="0.2">
      <c r="C469" s="11" t="str">
        <f>CHOOSE(db_ML_selected,'Liste Traduction'!B268,'Liste Traduction'!C268)</f>
        <v>Remboursement du portage</v>
      </c>
      <c r="I469" s="30">
        <f t="shared" ca="1" si="141"/>
        <v>122.77815000000001</v>
      </c>
      <c r="J469" s="26" t="s">
        <v>148</v>
      </c>
      <c r="L469" s="49" cm="1">
        <f t="array" aca="1" ref="L469:BS469" ca="1">-HM_ZA_Nkossa!CA_NOC_carry_payback</f>
        <v>32.663760315896248</v>
      </c>
      <c r="M469" s="49">
        <f ca="1"/>
        <v>37.677300881936631</v>
      </c>
      <c r="N469" s="49">
        <f ca="1"/>
        <v>21.363088802167116</v>
      </c>
      <c r="O469" s="49">
        <f ca="1"/>
        <v>5.7839999999999998</v>
      </c>
      <c r="P469" s="49">
        <f ca="1"/>
        <v>7.59</v>
      </c>
      <c r="Q469" s="49">
        <f ca="1"/>
        <v>17.7</v>
      </c>
      <c r="R469" s="49">
        <f ca="1"/>
        <v>0</v>
      </c>
      <c r="S469" s="49">
        <f ca="1"/>
        <v>0</v>
      </c>
      <c r="T469" s="49">
        <f ca="1"/>
        <v>0</v>
      </c>
      <c r="U469" s="49">
        <f ca="1"/>
        <v>0</v>
      </c>
      <c r="V469" s="49">
        <f ca="1"/>
        <v>0</v>
      </c>
      <c r="W469" s="49">
        <f ca="1"/>
        <v>0</v>
      </c>
      <c r="X469" s="49">
        <f ca="1"/>
        <v>0</v>
      </c>
      <c r="Y469" s="49">
        <f ca="1"/>
        <v>0</v>
      </c>
      <c r="Z469" s="49">
        <f ca="1"/>
        <v>0</v>
      </c>
      <c r="AA469" s="49">
        <f ca="1"/>
        <v>0</v>
      </c>
      <c r="AB469" s="49">
        <f ca="1"/>
        <v>0</v>
      </c>
      <c r="AC469" s="49">
        <f ca="1"/>
        <v>0</v>
      </c>
      <c r="AD469" s="49">
        <f ca="1"/>
        <v>0</v>
      </c>
      <c r="AE469" s="49">
        <f ca="1"/>
        <v>0</v>
      </c>
      <c r="AF469" s="49">
        <f ca="1"/>
        <v>0</v>
      </c>
      <c r="AG469" s="49">
        <f ca="1"/>
        <v>0</v>
      </c>
      <c r="AH469" s="49">
        <f ca="1"/>
        <v>0</v>
      </c>
      <c r="AI469" s="49">
        <f ca="1"/>
        <v>0</v>
      </c>
      <c r="AJ469" s="49">
        <f ca="1"/>
        <v>0</v>
      </c>
      <c r="AK469" s="49">
        <f ca="1"/>
        <v>0</v>
      </c>
      <c r="AL469" s="49">
        <f ca="1"/>
        <v>0</v>
      </c>
      <c r="AM469" s="49">
        <f ca="1"/>
        <v>0</v>
      </c>
      <c r="AN469" s="49">
        <f ca="1"/>
        <v>0</v>
      </c>
      <c r="AO469" s="49">
        <f ca="1"/>
        <v>0</v>
      </c>
      <c r="AP469" s="49">
        <f ca="1"/>
        <v>0</v>
      </c>
      <c r="AQ469" s="49">
        <f ca="1"/>
        <v>0</v>
      </c>
      <c r="AR469" s="49">
        <f ca="1"/>
        <v>0</v>
      </c>
      <c r="AS469" s="49">
        <f ca="1"/>
        <v>0</v>
      </c>
      <c r="AT469" s="49">
        <f ca="1"/>
        <v>0</v>
      </c>
      <c r="AU469" s="49">
        <f ca="1"/>
        <v>0</v>
      </c>
      <c r="AV469" s="49">
        <f ca="1"/>
        <v>0</v>
      </c>
      <c r="AW469" s="49">
        <f ca="1"/>
        <v>0</v>
      </c>
      <c r="AX469" s="49">
        <f ca="1"/>
        <v>0</v>
      </c>
      <c r="AY469" s="49">
        <f ca="1"/>
        <v>0</v>
      </c>
      <c r="AZ469" s="49">
        <f ca="1"/>
        <v>0</v>
      </c>
      <c r="BA469" s="49">
        <f ca="1"/>
        <v>0</v>
      </c>
      <c r="BB469" s="49">
        <f ca="1"/>
        <v>0</v>
      </c>
      <c r="BC469" s="49">
        <f ca="1"/>
        <v>0</v>
      </c>
      <c r="BD469" s="49">
        <f ca="1"/>
        <v>0</v>
      </c>
      <c r="BE469" s="49">
        <f ca="1"/>
        <v>0</v>
      </c>
      <c r="BF469" s="49">
        <f ca="1"/>
        <v>0</v>
      </c>
      <c r="BG469" s="49">
        <f ca="1"/>
        <v>0</v>
      </c>
      <c r="BH469" s="49">
        <f ca="1"/>
        <v>0</v>
      </c>
      <c r="BI469" s="49">
        <f ca="1"/>
        <v>0</v>
      </c>
      <c r="BJ469" s="49">
        <f ca="1"/>
        <v>0</v>
      </c>
      <c r="BK469" s="49">
        <f ca="1"/>
        <v>0</v>
      </c>
      <c r="BL469" s="49">
        <f ca="1"/>
        <v>0</v>
      </c>
      <c r="BM469" s="49">
        <f ca="1"/>
        <v>0</v>
      </c>
      <c r="BN469" s="49">
        <f ca="1"/>
        <v>0</v>
      </c>
      <c r="BO469" s="49">
        <f ca="1"/>
        <v>0</v>
      </c>
      <c r="BP469" s="49">
        <f ca="1"/>
        <v>0</v>
      </c>
      <c r="BQ469" s="49">
        <f ca="1"/>
        <v>0</v>
      </c>
      <c r="BR469" s="49">
        <f ca="1"/>
        <v>0</v>
      </c>
      <c r="BS469" s="49">
        <f ca="1"/>
        <v>0</v>
      </c>
    </row>
    <row r="470" spans="1:71" outlineLevel="1" x14ac:dyDescent="0.2">
      <c r="C470" s="11" t="str">
        <f>CHOOSE(db_ML_selected,'Liste Traduction'!B416,'Liste Traduction'!C416)</f>
        <v>Flux de trésorerie après impôts des compagnies pétrolières internationales</v>
      </c>
      <c r="H470" s="7" t="s">
        <v>627</v>
      </c>
      <c r="I470" s="30">
        <f t="shared" ca="1" si="141"/>
        <v>-316.70785897196902</v>
      </c>
      <c r="J470" s="26" t="s">
        <v>148</v>
      </c>
      <c r="K470" s="7" t="s">
        <v>626</v>
      </c>
      <c r="L470" s="49">
        <f ca="1">SUM(L467:L469)</f>
        <v>-266.94094901957379</v>
      </c>
      <c r="M470" s="49">
        <f t="shared" ref="M470:BS470" ca="1" si="142">SUM(M467:M469)</f>
        <v>-65.386671514510837</v>
      </c>
      <c r="N470" s="49">
        <f t="shared" ca="1" si="142"/>
        <v>-110.42242492113888</v>
      </c>
      <c r="O470" s="49">
        <f t="shared" ca="1" si="142"/>
        <v>-117.44377650837301</v>
      </c>
      <c r="P470" s="49">
        <f t="shared" ca="1" si="142"/>
        <v>-143.45382310692844</v>
      </c>
      <c r="Q470" s="49">
        <f t="shared" ca="1" si="142"/>
        <v>-121.07927728259851</v>
      </c>
      <c r="R470" s="49">
        <f t="shared" ca="1" si="142"/>
        <v>-42.750821153618929</v>
      </c>
      <c r="S470" s="49">
        <f t="shared" ca="1" si="142"/>
        <v>64.298934835650002</v>
      </c>
      <c r="T470" s="49">
        <f t="shared" ca="1" si="142"/>
        <v>108.40149363802107</v>
      </c>
      <c r="U470" s="49">
        <f t="shared" ca="1" si="142"/>
        <v>107.52107753391357</v>
      </c>
      <c r="V470" s="49">
        <f t="shared" ca="1" si="142"/>
        <v>98.595975528670408</v>
      </c>
      <c r="W470" s="49">
        <f t="shared" ca="1" si="142"/>
        <v>90.015650027296729</v>
      </c>
      <c r="X470" s="49">
        <f t="shared" ca="1" si="142"/>
        <v>81.936752971221665</v>
      </c>
      <c r="Y470" s="49">
        <f t="shared" ca="1" si="142"/>
        <v>0</v>
      </c>
      <c r="Z470" s="49">
        <f t="shared" ca="1" si="142"/>
        <v>0</v>
      </c>
      <c r="AA470" s="49">
        <f t="shared" ca="1" si="142"/>
        <v>0</v>
      </c>
      <c r="AB470" s="49">
        <f t="shared" ca="1" si="142"/>
        <v>0</v>
      </c>
      <c r="AC470" s="49">
        <f t="shared" ca="1" si="142"/>
        <v>0</v>
      </c>
      <c r="AD470" s="49">
        <f t="shared" ca="1" si="142"/>
        <v>0</v>
      </c>
      <c r="AE470" s="49">
        <f t="shared" ca="1" si="142"/>
        <v>0</v>
      </c>
      <c r="AF470" s="49">
        <f t="shared" ca="1" si="142"/>
        <v>0</v>
      </c>
      <c r="AG470" s="49">
        <f t="shared" ca="1" si="142"/>
        <v>0</v>
      </c>
      <c r="AH470" s="49">
        <f t="shared" ca="1" si="142"/>
        <v>0</v>
      </c>
      <c r="AI470" s="49">
        <f t="shared" ca="1" si="142"/>
        <v>0</v>
      </c>
      <c r="AJ470" s="49">
        <f t="shared" ca="1" si="142"/>
        <v>0</v>
      </c>
      <c r="AK470" s="49">
        <f t="shared" ca="1" si="142"/>
        <v>0</v>
      </c>
      <c r="AL470" s="49">
        <f t="shared" ca="1" si="142"/>
        <v>0</v>
      </c>
      <c r="AM470" s="49">
        <f t="shared" ca="1" si="142"/>
        <v>0</v>
      </c>
      <c r="AN470" s="49">
        <f t="shared" ca="1" si="142"/>
        <v>0</v>
      </c>
      <c r="AO470" s="49">
        <f t="shared" ca="1" si="142"/>
        <v>0</v>
      </c>
      <c r="AP470" s="49">
        <f t="shared" ca="1" si="142"/>
        <v>0</v>
      </c>
      <c r="AQ470" s="49">
        <f t="shared" ca="1" si="142"/>
        <v>0</v>
      </c>
      <c r="AR470" s="49">
        <f t="shared" ca="1" si="142"/>
        <v>0</v>
      </c>
      <c r="AS470" s="49">
        <f t="shared" ca="1" si="142"/>
        <v>0</v>
      </c>
      <c r="AT470" s="49">
        <f t="shared" ca="1" si="142"/>
        <v>0</v>
      </c>
      <c r="AU470" s="49">
        <f t="shared" ca="1" si="142"/>
        <v>0</v>
      </c>
      <c r="AV470" s="49">
        <f t="shared" ca="1" si="142"/>
        <v>0</v>
      </c>
      <c r="AW470" s="49">
        <f t="shared" ca="1" si="142"/>
        <v>0</v>
      </c>
      <c r="AX470" s="49">
        <f t="shared" ca="1" si="142"/>
        <v>0</v>
      </c>
      <c r="AY470" s="49">
        <f t="shared" ca="1" si="142"/>
        <v>0</v>
      </c>
      <c r="AZ470" s="49">
        <f t="shared" ca="1" si="142"/>
        <v>0</v>
      </c>
      <c r="BA470" s="49">
        <f t="shared" ca="1" si="142"/>
        <v>0</v>
      </c>
      <c r="BB470" s="49">
        <f t="shared" ca="1" si="142"/>
        <v>0</v>
      </c>
      <c r="BC470" s="49">
        <f t="shared" ca="1" si="142"/>
        <v>0</v>
      </c>
      <c r="BD470" s="49">
        <f t="shared" ca="1" si="142"/>
        <v>0</v>
      </c>
      <c r="BE470" s="49">
        <f t="shared" ca="1" si="142"/>
        <v>0</v>
      </c>
      <c r="BF470" s="49">
        <f t="shared" ca="1" si="142"/>
        <v>0</v>
      </c>
      <c r="BG470" s="49">
        <f t="shared" ca="1" si="142"/>
        <v>0</v>
      </c>
      <c r="BH470" s="49">
        <f t="shared" ca="1" si="142"/>
        <v>0</v>
      </c>
      <c r="BI470" s="49">
        <f t="shared" ca="1" si="142"/>
        <v>0</v>
      </c>
      <c r="BJ470" s="49">
        <f t="shared" ca="1" si="142"/>
        <v>0</v>
      </c>
      <c r="BK470" s="49">
        <f t="shared" ca="1" si="142"/>
        <v>0</v>
      </c>
      <c r="BL470" s="49">
        <f t="shared" ca="1" si="142"/>
        <v>0</v>
      </c>
      <c r="BM470" s="49">
        <f t="shared" ca="1" si="142"/>
        <v>0</v>
      </c>
      <c r="BN470" s="49">
        <f t="shared" ca="1" si="142"/>
        <v>0</v>
      </c>
      <c r="BO470" s="49">
        <f t="shared" ca="1" si="142"/>
        <v>0</v>
      </c>
      <c r="BP470" s="49">
        <f t="shared" ca="1" si="142"/>
        <v>0</v>
      </c>
      <c r="BQ470" s="49">
        <f t="shared" ca="1" si="142"/>
        <v>0</v>
      </c>
      <c r="BR470" s="49">
        <f t="shared" ca="1" si="142"/>
        <v>0</v>
      </c>
      <c r="BS470" s="49">
        <f t="shared" ca="1" si="142"/>
        <v>0</v>
      </c>
    </row>
    <row r="471" spans="1:71" outlineLevel="1" x14ac:dyDescent="0.2">
      <c r="J471" s="26"/>
      <c r="L471" s="55"/>
      <c r="M471" s="55"/>
      <c r="N471" s="55"/>
      <c r="O471" s="55"/>
      <c r="P471" s="55"/>
      <c r="Q471" s="55"/>
      <c r="R471" s="55"/>
      <c r="S471" s="55"/>
      <c r="T471" s="55"/>
      <c r="U471" s="55"/>
      <c r="V471" s="55"/>
      <c r="W471" s="55"/>
      <c r="X471" s="55"/>
      <c r="Y471" s="55"/>
      <c r="Z471" s="55"/>
      <c r="AA471" s="55"/>
      <c r="AB471" s="55"/>
      <c r="AC471" s="55"/>
      <c r="AD471" s="55"/>
      <c r="AE471" s="55"/>
      <c r="AF471" s="55"/>
      <c r="AG471" s="55"/>
      <c r="AH471" s="55"/>
      <c r="AI471" s="55"/>
      <c r="AJ471" s="55"/>
      <c r="AK471" s="55"/>
      <c r="AL471" s="55"/>
      <c r="AM471" s="55"/>
      <c r="AN471" s="55"/>
      <c r="AO471" s="55"/>
      <c r="AP471" s="55"/>
      <c r="AQ471" s="55"/>
      <c r="AR471" s="55"/>
      <c r="AS471" s="55"/>
      <c r="AT471" s="55"/>
      <c r="AU471" s="55"/>
      <c r="AV471" s="55"/>
      <c r="AW471" s="55"/>
      <c r="AX471" s="55"/>
      <c r="AY471" s="55"/>
      <c r="AZ471" s="55"/>
      <c r="BA471" s="55"/>
      <c r="BB471" s="55"/>
      <c r="BC471" s="55"/>
      <c r="BD471" s="55"/>
      <c r="BE471" s="55"/>
      <c r="BF471" s="55"/>
      <c r="BG471" s="55"/>
      <c r="BH471" s="55"/>
      <c r="BI471" s="55"/>
      <c r="BJ471" s="55"/>
      <c r="BK471" s="55"/>
      <c r="BL471" s="55"/>
      <c r="BM471" s="55"/>
      <c r="BN471" s="55"/>
      <c r="BO471" s="55"/>
      <c r="BP471" s="55"/>
      <c r="BQ471" s="55"/>
      <c r="BR471" s="55"/>
      <c r="BS471" s="55"/>
    </row>
    <row r="472" spans="1:71" outlineLevel="1" x14ac:dyDescent="0.2">
      <c r="C472" s="11" t="str">
        <f>C453</f>
        <v>Flux de trésorerie après impôts cumulé</v>
      </c>
      <c r="J472" s="26"/>
      <c r="L472" s="66">
        <f t="shared" ref="L472:BS472" ca="1" si="143">(K472+L470)*CA_op_trig</f>
        <v>-266.94094901957379</v>
      </c>
      <c r="M472" s="66">
        <f t="shared" ca="1" si="143"/>
        <v>-332.32762053408464</v>
      </c>
      <c r="N472" s="66">
        <f t="shared" ca="1" si="143"/>
        <v>-442.75004545522353</v>
      </c>
      <c r="O472" s="66">
        <f t="shared" ca="1" si="143"/>
        <v>-560.19382196359652</v>
      </c>
      <c r="P472" s="66">
        <f t="shared" ca="1" si="143"/>
        <v>-703.64764507052496</v>
      </c>
      <c r="Q472" s="66">
        <f t="shared" ca="1" si="143"/>
        <v>-824.72692235312343</v>
      </c>
      <c r="R472" s="66">
        <f t="shared" ca="1" si="143"/>
        <v>-867.4777435067424</v>
      </c>
      <c r="S472" s="66">
        <f t="shared" ca="1" si="143"/>
        <v>-803.17880867109238</v>
      </c>
      <c r="T472" s="66">
        <f t="shared" ca="1" si="143"/>
        <v>-694.77731503307132</v>
      </c>
      <c r="U472" s="66">
        <f t="shared" ca="1" si="143"/>
        <v>-587.25623749915781</v>
      </c>
      <c r="V472" s="66">
        <f t="shared" ca="1" si="143"/>
        <v>-488.6602619704874</v>
      </c>
      <c r="W472" s="66">
        <f t="shared" ca="1" si="143"/>
        <v>-398.64461194319068</v>
      </c>
      <c r="X472" s="66">
        <f t="shared" ca="1" si="143"/>
        <v>-316.70785897196902</v>
      </c>
      <c r="Y472" s="66">
        <f t="shared" ca="1" si="143"/>
        <v>0</v>
      </c>
      <c r="Z472" s="66">
        <f t="shared" ca="1" si="143"/>
        <v>0</v>
      </c>
      <c r="AA472" s="66">
        <f t="shared" ca="1" si="143"/>
        <v>0</v>
      </c>
      <c r="AB472" s="66">
        <f t="shared" ca="1" si="143"/>
        <v>0</v>
      </c>
      <c r="AC472" s="66">
        <f t="shared" ca="1" si="143"/>
        <v>0</v>
      </c>
      <c r="AD472" s="66">
        <f t="shared" ca="1" si="143"/>
        <v>0</v>
      </c>
      <c r="AE472" s="66">
        <f t="shared" ca="1" si="143"/>
        <v>0</v>
      </c>
      <c r="AF472" s="66">
        <f t="shared" ca="1" si="143"/>
        <v>0</v>
      </c>
      <c r="AG472" s="66">
        <f t="shared" ca="1" si="143"/>
        <v>0</v>
      </c>
      <c r="AH472" s="66">
        <f t="shared" ca="1" si="143"/>
        <v>0</v>
      </c>
      <c r="AI472" s="66">
        <f t="shared" ca="1" si="143"/>
        <v>0</v>
      </c>
      <c r="AJ472" s="66">
        <f t="shared" ca="1" si="143"/>
        <v>0</v>
      </c>
      <c r="AK472" s="66">
        <f t="shared" ca="1" si="143"/>
        <v>0</v>
      </c>
      <c r="AL472" s="66">
        <f t="shared" ca="1" si="143"/>
        <v>0</v>
      </c>
      <c r="AM472" s="66">
        <f t="shared" ca="1" si="143"/>
        <v>0</v>
      </c>
      <c r="AN472" s="66">
        <f t="shared" ca="1" si="143"/>
        <v>0</v>
      </c>
      <c r="AO472" s="66">
        <f t="shared" ca="1" si="143"/>
        <v>0</v>
      </c>
      <c r="AP472" s="66">
        <f t="shared" ca="1" si="143"/>
        <v>0</v>
      </c>
      <c r="AQ472" s="66">
        <f t="shared" ca="1" si="143"/>
        <v>0</v>
      </c>
      <c r="AR472" s="66">
        <f t="shared" ca="1" si="143"/>
        <v>0</v>
      </c>
      <c r="AS472" s="66">
        <f t="shared" ca="1" si="143"/>
        <v>0</v>
      </c>
      <c r="AT472" s="66">
        <f t="shared" ca="1" si="143"/>
        <v>0</v>
      </c>
      <c r="AU472" s="66">
        <f t="shared" ca="1" si="143"/>
        <v>0</v>
      </c>
      <c r="AV472" s="66">
        <f t="shared" ca="1" si="143"/>
        <v>0</v>
      </c>
      <c r="AW472" s="66">
        <f t="shared" ca="1" si="143"/>
        <v>0</v>
      </c>
      <c r="AX472" s="66">
        <f t="shared" ca="1" si="143"/>
        <v>0</v>
      </c>
      <c r="AY472" s="66">
        <f t="shared" ca="1" si="143"/>
        <v>0</v>
      </c>
      <c r="AZ472" s="66">
        <f t="shared" ca="1" si="143"/>
        <v>0</v>
      </c>
      <c r="BA472" s="66">
        <f t="shared" ca="1" si="143"/>
        <v>0</v>
      </c>
      <c r="BB472" s="66">
        <f t="shared" ca="1" si="143"/>
        <v>0</v>
      </c>
      <c r="BC472" s="66">
        <f t="shared" ca="1" si="143"/>
        <v>0</v>
      </c>
      <c r="BD472" s="66">
        <f t="shared" ca="1" si="143"/>
        <v>0</v>
      </c>
      <c r="BE472" s="66">
        <f t="shared" ca="1" si="143"/>
        <v>0</v>
      </c>
      <c r="BF472" s="66">
        <f t="shared" ca="1" si="143"/>
        <v>0</v>
      </c>
      <c r="BG472" s="66">
        <f t="shared" ca="1" si="143"/>
        <v>0</v>
      </c>
      <c r="BH472" s="66">
        <f t="shared" ca="1" si="143"/>
        <v>0</v>
      </c>
      <c r="BI472" s="66">
        <f t="shared" ca="1" si="143"/>
        <v>0</v>
      </c>
      <c r="BJ472" s="66">
        <f t="shared" ca="1" si="143"/>
        <v>0</v>
      </c>
      <c r="BK472" s="66">
        <f t="shared" ca="1" si="143"/>
        <v>0</v>
      </c>
      <c r="BL472" s="66">
        <f t="shared" ca="1" si="143"/>
        <v>0</v>
      </c>
      <c r="BM472" s="66">
        <f t="shared" ca="1" si="143"/>
        <v>0</v>
      </c>
      <c r="BN472" s="66">
        <f t="shared" ca="1" si="143"/>
        <v>0</v>
      </c>
      <c r="BO472" s="66">
        <f t="shared" ca="1" si="143"/>
        <v>0</v>
      </c>
      <c r="BP472" s="66">
        <f t="shared" ca="1" si="143"/>
        <v>0</v>
      </c>
      <c r="BQ472" s="66">
        <f t="shared" ca="1" si="143"/>
        <v>0</v>
      </c>
      <c r="BR472" s="66">
        <f t="shared" ca="1" si="143"/>
        <v>0</v>
      </c>
      <c r="BS472" s="66">
        <f t="shared" ca="1" si="143"/>
        <v>0</v>
      </c>
    </row>
    <row r="473" spans="1:71" outlineLevel="1" x14ac:dyDescent="0.2">
      <c r="J473" s="26"/>
      <c r="L473" s="55"/>
      <c r="M473" s="55"/>
      <c r="N473" s="55"/>
      <c r="O473" s="55"/>
      <c r="P473" s="55"/>
      <c r="Q473" s="55"/>
      <c r="R473" s="55"/>
      <c r="S473" s="55"/>
      <c r="T473" s="55"/>
      <c r="U473" s="55"/>
      <c r="V473" s="55"/>
      <c r="W473" s="55"/>
      <c r="X473" s="55"/>
      <c r="Y473" s="55"/>
      <c r="Z473" s="55"/>
      <c r="AA473" s="55"/>
      <c r="AB473" s="55"/>
      <c r="AC473" s="55"/>
      <c r="AD473" s="55"/>
      <c r="AE473" s="55"/>
      <c r="AF473" s="55"/>
      <c r="AG473" s="55"/>
      <c r="AH473" s="55"/>
      <c r="AI473" s="55"/>
      <c r="AJ473" s="55"/>
      <c r="AK473" s="55"/>
      <c r="AL473" s="55"/>
      <c r="AM473" s="55"/>
      <c r="AN473" s="55"/>
      <c r="AO473" s="55"/>
      <c r="AP473" s="55"/>
      <c r="AQ473" s="55"/>
      <c r="AR473" s="55"/>
      <c r="AS473" s="55"/>
      <c r="AT473" s="55"/>
      <c r="AU473" s="55"/>
      <c r="AV473" s="55"/>
      <c r="AW473" s="55"/>
      <c r="AX473" s="55"/>
      <c r="AY473" s="55"/>
      <c r="AZ473" s="55"/>
      <c r="BA473" s="55"/>
      <c r="BB473" s="55"/>
      <c r="BC473" s="55"/>
      <c r="BD473" s="55"/>
      <c r="BE473" s="55"/>
      <c r="BF473" s="55"/>
      <c r="BG473" s="55"/>
      <c r="BH473" s="55"/>
      <c r="BI473" s="55"/>
      <c r="BJ473" s="55"/>
      <c r="BK473" s="55"/>
      <c r="BL473" s="55"/>
      <c r="BM473" s="55"/>
      <c r="BN473" s="55"/>
      <c r="BO473" s="55"/>
      <c r="BP473" s="55"/>
      <c r="BQ473" s="55"/>
      <c r="BR473" s="55"/>
      <c r="BS473" s="55"/>
    </row>
    <row r="474" spans="1:71" outlineLevel="1" x14ac:dyDescent="0.2">
      <c r="C474" s="11" t="str">
        <f>C455</f>
        <v>VAN cycle complet</v>
      </c>
      <c r="G474" s="60"/>
      <c r="H474" s="7" t="s">
        <v>628</v>
      </c>
      <c r="I474" s="63">
        <f ca="1">SUMPRODUCT(OA_IOC_ATCF_Nkossa2017,HM_ZA_Nkossa!CA_disc_factor_fc)</f>
        <v>-74.572074516390131</v>
      </c>
      <c r="J474" s="26" t="s">
        <v>148</v>
      </c>
      <c r="L474" s="55"/>
      <c r="M474" s="55"/>
      <c r="N474" s="55"/>
      <c r="O474" s="55"/>
      <c r="P474" s="55"/>
      <c r="Q474" s="55"/>
      <c r="R474" s="55"/>
      <c r="S474" s="55"/>
      <c r="T474" s="55"/>
      <c r="U474" s="55"/>
      <c r="V474" s="55"/>
      <c r="W474" s="55"/>
      <c r="X474" s="55"/>
      <c r="Y474" s="55"/>
      <c r="Z474" s="55"/>
      <c r="AA474" s="55"/>
      <c r="AB474" s="55"/>
      <c r="AC474" s="55"/>
      <c r="AD474" s="55"/>
      <c r="AE474" s="55"/>
      <c r="AF474" s="55"/>
      <c r="AG474" s="55"/>
      <c r="AH474" s="55"/>
      <c r="AI474" s="55"/>
      <c r="AJ474" s="55"/>
      <c r="AK474" s="55"/>
      <c r="AL474" s="55"/>
      <c r="AM474" s="55"/>
      <c r="AN474" s="55"/>
      <c r="AO474" s="55"/>
      <c r="AP474" s="55"/>
      <c r="AQ474" s="55"/>
      <c r="AR474" s="55"/>
      <c r="AS474" s="55"/>
      <c r="AT474" s="55"/>
      <c r="AU474" s="55"/>
      <c r="AV474" s="55"/>
      <c r="AW474" s="55"/>
      <c r="AX474" s="55"/>
      <c r="AY474" s="55"/>
      <c r="AZ474" s="55"/>
      <c r="BA474" s="55"/>
      <c r="BB474" s="55"/>
      <c r="BC474" s="55"/>
      <c r="BD474" s="55"/>
      <c r="BE474" s="55"/>
      <c r="BF474" s="55"/>
      <c r="BG474" s="55"/>
      <c r="BH474" s="55"/>
      <c r="BI474" s="55"/>
      <c r="BJ474" s="55"/>
      <c r="BK474" s="55"/>
      <c r="BL474" s="55"/>
      <c r="BM474" s="55"/>
      <c r="BN474" s="55"/>
      <c r="BO474" s="55"/>
      <c r="BP474" s="55"/>
      <c r="BQ474" s="55"/>
      <c r="BR474" s="55"/>
      <c r="BS474" s="55"/>
    </row>
    <row r="475" spans="1:71" outlineLevel="1" x14ac:dyDescent="0.2">
      <c r="C475" s="11" t="str">
        <f>C456</f>
        <v>VAN à terme</v>
      </c>
      <c r="I475" s="63">
        <f ca="1">SUMPRODUCT(OA_IOC_ATCF_Nkossa2017,HM_ZA_Nkossa!CA_disc_factor_pf)</f>
        <v>392.08879742023379</v>
      </c>
      <c r="J475" s="26" t="s">
        <v>148</v>
      </c>
      <c r="L475" s="55"/>
      <c r="M475" s="55"/>
      <c r="N475" s="55"/>
      <c r="O475" s="55"/>
      <c r="P475" s="55"/>
      <c r="Q475" s="55"/>
      <c r="R475" s="55"/>
      <c r="S475" s="55"/>
      <c r="T475" s="55"/>
      <c r="U475" s="55"/>
      <c r="V475" s="55"/>
      <c r="W475" s="55"/>
      <c r="X475" s="55"/>
      <c r="Y475" s="55"/>
      <c r="Z475" s="55"/>
      <c r="AA475" s="55"/>
      <c r="AB475" s="55"/>
      <c r="AC475" s="55"/>
      <c r="AD475" s="55"/>
      <c r="AE475" s="55"/>
      <c r="AF475" s="55"/>
      <c r="AG475" s="55"/>
      <c r="AH475" s="55"/>
      <c r="AI475" s="55"/>
      <c r="AJ475" s="55"/>
      <c r="AK475" s="55"/>
      <c r="AL475" s="55"/>
      <c r="AM475" s="55"/>
      <c r="AN475" s="55"/>
      <c r="AO475" s="55"/>
      <c r="AP475" s="55"/>
      <c r="AQ475" s="55"/>
      <c r="AR475" s="55"/>
      <c r="AS475" s="55"/>
      <c r="AT475" s="55"/>
      <c r="AU475" s="55"/>
      <c r="AV475" s="55"/>
      <c r="AW475" s="55"/>
      <c r="AX475" s="55"/>
      <c r="AY475" s="55"/>
      <c r="AZ475" s="55"/>
      <c r="BA475" s="55"/>
      <c r="BB475" s="55"/>
      <c r="BC475" s="55"/>
      <c r="BD475" s="55"/>
      <c r="BE475" s="55"/>
      <c r="BF475" s="55"/>
      <c r="BG475" s="55"/>
      <c r="BH475" s="55"/>
      <c r="BI475" s="55"/>
      <c r="BJ475" s="55"/>
      <c r="BK475" s="55"/>
      <c r="BL475" s="55"/>
      <c r="BM475" s="55"/>
      <c r="BN475" s="55"/>
      <c r="BO475" s="55"/>
      <c r="BP475" s="55"/>
      <c r="BQ475" s="55"/>
      <c r="BR475" s="55"/>
      <c r="BS475" s="55"/>
    </row>
    <row r="476" spans="1:71" outlineLevel="1" x14ac:dyDescent="0.2">
      <c r="I476" s="61"/>
      <c r="J476" s="26"/>
      <c r="L476" s="55"/>
      <c r="M476" s="55"/>
      <c r="N476" s="55"/>
      <c r="O476" s="55"/>
      <c r="P476" s="55"/>
      <c r="Q476" s="55"/>
      <c r="R476" s="55"/>
      <c r="S476" s="55"/>
      <c r="T476" s="55"/>
      <c r="U476" s="55"/>
      <c r="V476" s="55"/>
      <c r="W476" s="55"/>
      <c r="X476" s="55"/>
      <c r="Y476" s="55"/>
      <c r="Z476" s="55"/>
      <c r="AA476" s="55"/>
      <c r="AB476" s="55"/>
      <c r="AC476" s="55"/>
      <c r="AD476" s="55"/>
      <c r="AE476" s="55"/>
      <c r="AF476" s="55"/>
      <c r="AG476" s="55"/>
      <c r="AH476" s="55"/>
      <c r="AI476" s="55"/>
      <c r="AJ476" s="55"/>
      <c r="AK476" s="55"/>
      <c r="AL476" s="55"/>
      <c r="AM476" s="55"/>
      <c r="AN476" s="55"/>
      <c r="AO476" s="55"/>
      <c r="AP476" s="55"/>
      <c r="AQ476" s="55"/>
      <c r="AR476" s="55"/>
      <c r="AS476" s="55"/>
      <c r="AT476" s="55"/>
      <c r="AU476" s="55"/>
      <c r="AV476" s="55"/>
      <c r="AW476" s="55"/>
      <c r="AX476" s="55"/>
      <c r="AY476" s="55"/>
      <c r="AZ476" s="55"/>
      <c r="BA476" s="55"/>
      <c r="BB476" s="55"/>
      <c r="BC476" s="55"/>
      <c r="BD476" s="55"/>
      <c r="BE476" s="55"/>
      <c r="BF476" s="55"/>
      <c r="BG476" s="55"/>
      <c r="BH476" s="55"/>
      <c r="BI476" s="55"/>
      <c r="BJ476" s="55"/>
      <c r="BK476" s="55"/>
      <c r="BL476" s="55"/>
      <c r="BM476" s="55"/>
      <c r="BN476" s="55"/>
      <c r="BO476" s="55"/>
      <c r="BP476" s="55"/>
      <c r="BQ476" s="55"/>
      <c r="BR476" s="55"/>
      <c r="BS476" s="55"/>
    </row>
    <row r="477" spans="1:71" outlineLevel="1" x14ac:dyDescent="0.2">
      <c r="C477" s="11" t="str">
        <f>C458</f>
        <v>TRI cycle complet</v>
      </c>
      <c r="H477" s="7" t="s">
        <v>560</v>
      </c>
      <c r="I477" s="62">
        <f ca="1">IFERROR(IRR(INDEX(OA_IOC_ATCF_Nkossa2017,1,MAX(1,$G$400-L4+1)):INDEX(OA_IOC_ATCF_Nkossa2017,1,last_model_year)),"na")</f>
        <v>-6.2110562744262965E-2</v>
      </c>
      <c r="J477" s="26" t="s">
        <v>90</v>
      </c>
      <c r="L477" s="55"/>
      <c r="M477" s="55"/>
      <c r="N477" s="55"/>
      <c r="O477" s="55"/>
      <c r="P477" s="55"/>
      <c r="Q477" s="55"/>
      <c r="R477" s="55"/>
      <c r="S477" s="55"/>
      <c r="T477" s="55"/>
      <c r="U477" s="55"/>
      <c r="V477" s="55"/>
      <c r="W477" s="55"/>
      <c r="X477" s="55"/>
      <c r="Y477" s="55"/>
      <c r="Z477" s="55"/>
      <c r="AA477" s="55"/>
      <c r="AB477" s="55"/>
      <c r="AC477" s="55"/>
      <c r="AD477" s="55"/>
      <c r="AE477" s="55"/>
      <c r="AF477" s="55"/>
      <c r="AG477" s="55"/>
      <c r="AH477" s="55"/>
      <c r="AI477" s="55"/>
      <c r="AJ477" s="55"/>
      <c r="AK477" s="55"/>
      <c r="AL477" s="55"/>
      <c r="AM477" s="55"/>
      <c r="AN477" s="55"/>
      <c r="AO477" s="55"/>
      <c r="AP477" s="55"/>
      <c r="AQ477" s="55"/>
      <c r="AR477" s="55"/>
      <c r="AS477" s="55"/>
      <c r="AT477" s="55"/>
      <c r="AU477" s="55"/>
      <c r="AV477" s="55"/>
      <c r="AW477" s="55"/>
      <c r="AX477" s="55"/>
      <c r="AY477" s="55"/>
      <c r="AZ477" s="55"/>
      <c r="BA477" s="55"/>
      <c r="BB477" s="55"/>
      <c r="BC477" s="55"/>
      <c r="BD477" s="55"/>
      <c r="BE477" s="55"/>
      <c r="BF477" s="55"/>
      <c r="BG477" s="55"/>
      <c r="BH477" s="55"/>
      <c r="BI477" s="55"/>
      <c r="BJ477" s="55"/>
      <c r="BK477" s="55"/>
      <c r="BL477" s="55"/>
      <c r="BM477" s="55"/>
      <c r="BN477" s="55"/>
      <c r="BO477" s="55"/>
      <c r="BP477" s="55"/>
      <c r="BQ477" s="55"/>
      <c r="BR477" s="55"/>
      <c r="BS477" s="55"/>
    </row>
    <row r="478" spans="1:71" outlineLevel="1" x14ac:dyDescent="0.2">
      <c r="C478" s="11" t="str">
        <f>C459</f>
        <v>TRI à terme</v>
      </c>
      <c r="I478" s="62" t="str">
        <f ca="1">IFERROR(IRR(INDEX(OA_IOC_ATCF_Nkossa2017,1,MAX(1,$G$401-L4+1)):INDEX(OA_IOC_ATCF_Nkossa2017,1,last_model_year)),"na")</f>
        <v>na</v>
      </c>
      <c r="J478" s="26" t="s">
        <v>90</v>
      </c>
      <c r="L478" s="55"/>
      <c r="M478" s="55"/>
      <c r="N478" s="55"/>
      <c r="O478" s="55"/>
      <c r="P478" s="55"/>
      <c r="Q478" s="55"/>
      <c r="R478" s="55"/>
      <c r="S478" s="55"/>
      <c r="T478" s="55"/>
      <c r="U478" s="55"/>
      <c r="V478" s="55"/>
      <c r="W478" s="55"/>
      <c r="X478" s="55"/>
      <c r="Y478" s="55"/>
      <c r="Z478" s="55"/>
      <c r="AA478" s="55"/>
      <c r="AB478" s="55"/>
      <c r="AC478" s="55"/>
      <c r="AD478" s="55"/>
      <c r="AE478" s="55"/>
      <c r="AF478" s="55"/>
      <c r="AG478" s="55"/>
      <c r="AH478" s="55"/>
      <c r="AI478" s="55"/>
      <c r="AJ478" s="55"/>
      <c r="AK478" s="55"/>
      <c r="AL478" s="55"/>
      <c r="AM478" s="55"/>
      <c r="AN478" s="55"/>
      <c r="AO478" s="55"/>
      <c r="AP478" s="55"/>
      <c r="AQ478" s="55"/>
      <c r="AR478" s="55"/>
      <c r="AS478" s="55"/>
      <c r="AT478" s="55"/>
      <c r="AU478" s="55"/>
      <c r="AV478" s="55"/>
      <c r="AW478" s="55"/>
      <c r="AX478" s="55"/>
      <c r="AY478" s="55"/>
      <c r="AZ478" s="55"/>
      <c r="BA478" s="55"/>
      <c r="BB478" s="55"/>
      <c r="BC478" s="55"/>
      <c r="BD478" s="55"/>
      <c r="BE478" s="55"/>
      <c r="BF478" s="55"/>
      <c r="BG478" s="55"/>
      <c r="BH478" s="55"/>
      <c r="BI478" s="55"/>
      <c r="BJ478" s="55"/>
      <c r="BK478" s="55"/>
      <c r="BL478" s="55"/>
      <c r="BM478" s="55"/>
      <c r="BN478" s="55"/>
      <c r="BO478" s="55"/>
      <c r="BP478" s="55"/>
      <c r="BQ478" s="55"/>
      <c r="BR478" s="55"/>
      <c r="BS478" s="55"/>
    </row>
    <row r="479" spans="1:71" outlineLevel="1" x14ac:dyDescent="0.2">
      <c r="J479" s="26"/>
      <c r="L479" s="55"/>
      <c r="M479" s="55"/>
      <c r="N479" s="55"/>
      <c r="O479" s="55"/>
      <c r="P479" s="55"/>
      <c r="Q479" s="55"/>
      <c r="R479" s="55"/>
      <c r="S479" s="55"/>
      <c r="T479" s="55"/>
      <c r="U479" s="55"/>
      <c r="V479" s="55"/>
      <c r="W479" s="55"/>
      <c r="X479" s="55"/>
      <c r="Y479" s="55"/>
      <c r="Z479" s="55"/>
      <c r="AA479" s="55"/>
      <c r="AB479" s="55"/>
      <c r="AC479" s="55"/>
      <c r="AD479" s="55"/>
      <c r="AE479" s="55"/>
      <c r="AF479" s="55"/>
      <c r="AG479" s="55"/>
      <c r="AH479" s="55"/>
      <c r="AI479" s="55"/>
      <c r="AJ479" s="55"/>
      <c r="AK479" s="55"/>
      <c r="AL479" s="55"/>
      <c r="AM479" s="55"/>
      <c r="AN479" s="55"/>
      <c r="AO479" s="55"/>
      <c r="AP479" s="55"/>
      <c r="AQ479" s="55"/>
      <c r="AR479" s="55"/>
      <c r="AS479" s="55"/>
      <c r="AT479" s="55"/>
      <c r="AU479" s="55"/>
      <c r="AV479" s="55"/>
      <c r="AW479" s="55"/>
      <c r="AX479" s="55"/>
      <c r="AY479" s="55"/>
      <c r="AZ479" s="55"/>
      <c r="BA479" s="55"/>
      <c r="BB479" s="55"/>
      <c r="BC479" s="55"/>
      <c r="BD479" s="55"/>
      <c r="BE479" s="55"/>
      <c r="BF479" s="55"/>
      <c r="BG479" s="55"/>
      <c r="BH479" s="55"/>
      <c r="BI479" s="55"/>
      <c r="BJ479" s="55"/>
      <c r="BK479" s="55"/>
      <c r="BL479" s="55"/>
      <c r="BM479" s="55"/>
      <c r="BN479" s="55"/>
      <c r="BO479" s="55"/>
      <c r="BP479" s="55"/>
      <c r="BQ479" s="55"/>
      <c r="BR479" s="55"/>
      <c r="BS479" s="55"/>
    </row>
    <row r="480" spans="1:71" outlineLevel="1" x14ac:dyDescent="0.2">
      <c r="C480" s="11" t="str">
        <f>C461</f>
        <v>Période de remboursement</v>
      </c>
      <c r="H480" s="7" t="s">
        <v>561</v>
      </c>
      <c r="I480" s="67">
        <f ca="1">COUNTIF(L472:BS472,"&lt;0")+1</f>
        <v>14</v>
      </c>
      <c r="J480" s="26"/>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c r="BF480" s="7"/>
      <c r="BG480" s="7"/>
      <c r="BH480" s="7"/>
      <c r="BI480" s="7"/>
      <c r="BJ480" s="7"/>
      <c r="BK480" s="7"/>
      <c r="BL480" s="7"/>
      <c r="BM480" s="7"/>
      <c r="BN480" s="7"/>
      <c r="BO480" s="7"/>
      <c r="BP480" s="7"/>
      <c r="BQ480" s="7"/>
      <c r="BR480" s="7"/>
      <c r="BS480" s="7"/>
    </row>
    <row r="481" spans="1:71" outlineLevel="1" x14ac:dyDescent="0.2">
      <c r="J481" s="26"/>
      <c r="L481" s="55"/>
      <c r="M481" s="55"/>
      <c r="N481" s="55"/>
      <c r="O481" s="55"/>
      <c r="P481" s="55"/>
      <c r="Q481" s="55"/>
      <c r="R481" s="55"/>
      <c r="S481" s="55"/>
      <c r="T481" s="55"/>
      <c r="U481" s="55"/>
      <c r="V481" s="55"/>
      <c r="W481" s="55"/>
      <c r="X481" s="55"/>
      <c r="Y481" s="55"/>
      <c r="Z481" s="55"/>
      <c r="AA481" s="55"/>
      <c r="AB481" s="55"/>
      <c r="AC481" s="55"/>
      <c r="AD481" s="55"/>
      <c r="AE481" s="55"/>
      <c r="AF481" s="55"/>
      <c r="AG481" s="55"/>
      <c r="AH481" s="55"/>
      <c r="AI481" s="55"/>
      <c r="AJ481" s="55"/>
      <c r="AK481" s="55"/>
      <c r="AL481" s="55"/>
      <c r="AM481" s="55"/>
      <c r="AN481" s="55"/>
      <c r="AO481" s="55"/>
      <c r="AP481" s="55"/>
      <c r="AQ481" s="55"/>
      <c r="AR481" s="55"/>
      <c r="AS481" s="55"/>
      <c r="AT481" s="55"/>
      <c r="AU481" s="55"/>
      <c r="AV481" s="55"/>
      <c r="AW481" s="55"/>
      <c r="AX481" s="55"/>
      <c r="AY481" s="55"/>
      <c r="AZ481" s="55"/>
      <c r="BA481" s="55"/>
      <c r="BB481" s="55"/>
      <c r="BC481" s="55"/>
      <c r="BD481" s="55"/>
      <c r="BE481" s="55"/>
      <c r="BF481" s="55"/>
      <c r="BG481" s="55"/>
      <c r="BH481" s="55"/>
      <c r="BI481" s="55"/>
      <c r="BJ481" s="55"/>
      <c r="BK481" s="55"/>
      <c r="BL481" s="55"/>
      <c r="BM481" s="55"/>
      <c r="BN481" s="55"/>
      <c r="BO481" s="55"/>
      <c r="BP481" s="55"/>
      <c r="BQ481" s="55"/>
      <c r="BR481" s="55"/>
      <c r="BS481" s="55"/>
    </row>
    <row r="482" spans="1:71" outlineLevel="1" x14ac:dyDescent="0.2">
      <c r="J482" s="26"/>
      <c r="L482" s="55"/>
      <c r="M482" s="55"/>
      <c r="N482" s="55"/>
      <c r="O482" s="55"/>
      <c r="P482" s="55"/>
      <c r="Q482" s="55"/>
      <c r="R482" s="55"/>
      <c r="S482" s="55"/>
      <c r="T482" s="55"/>
      <c r="U482" s="55"/>
      <c r="V482" s="55"/>
      <c r="W482" s="55"/>
      <c r="X482" s="55"/>
      <c r="Y482" s="55"/>
      <c r="Z482" s="55"/>
      <c r="AA482" s="55"/>
      <c r="AB482" s="55"/>
      <c r="AC482" s="55"/>
      <c r="AD482" s="55"/>
      <c r="AE482" s="55"/>
      <c r="AF482" s="55"/>
      <c r="AG482" s="55"/>
      <c r="AH482" s="55"/>
      <c r="AI482" s="55"/>
      <c r="AJ482" s="55"/>
      <c r="AK482" s="55"/>
      <c r="AL482" s="55"/>
      <c r="AM482" s="55"/>
      <c r="AN482" s="55"/>
      <c r="AO482" s="55"/>
      <c r="AP482" s="55"/>
      <c r="AQ482" s="55"/>
      <c r="AR482" s="55"/>
      <c r="AS482" s="55"/>
      <c r="AT482" s="55"/>
      <c r="AU482" s="55"/>
      <c r="AV482" s="55"/>
      <c r="AW482" s="55"/>
      <c r="AX482" s="55"/>
      <c r="AY482" s="55"/>
      <c r="AZ482" s="55"/>
      <c r="BA482" s="55"/>
      <c r="BB482" s="55"/>
      <c r="BC482" s="55"/>
      <c r="BD482" s="55"/>
      <c r="BE482" s="55"/>
      <c r="BF482" s="55"/>
      <c r="BG482" s="55"/>
      <c r="BH482" s="55"/>
      <c r="BI482" s="55"/>
      <c r="BJ482" s="55"/>
      <c r="BK482" s="55"/>
      <c r="BL482" s="55"/>
      <c r="BM482" s="55"/>
      <c r="BN482" s="55"/>
      <c r="BO482" s="55"/>
      <c r="BP482" s="55"/>
      <c r="BQ482" s="55"/>
      <c r="BR482" s="55"/>
      <c r="BS482" s="55"/>
    </row>
    <row r="483" spans="1:71" outlineLevel="1" x14ac:dyDescent="0.2">
      <c r="A483" s="45"/>
      <c r="B483" s="38" t="str">
        <f>CHOOSE(db_ML_selected,'Liste Traduction'!B417,'Liste Traduction'!C417)</f>
        <v>Flux de trésorerie compagnie nationale</v>
      </c>
      <c r="C483" s="45"/>
      <c r="D483" s="45"/>
      <c r="E483" s="45"/>
      <c r="J483" s="26"/>
      <c r="L483" s="55"/>
      <c r="M483" s="55"/>
      <c r="N483" s="55"/>
      <c r="O483" s="55"/>
      <c r="P483" s="55"/>
      <c r="Q483" s="55"/>
      <c r="R483" s="55"/>
      <c r="S483" s="55"/>
      <c r="T483" s="55"/>
      <c r="U483" s="55"/>
      <c r="V483" s="55"/>
      <c r="W483" s="55"/>
      <c r="X483" s="55"/>
      <c r="Y483" s="55"/>
      <c r="Z483" s="55"/>
      <c r="AA483" s="55"/>
      <c r="AB483" s="55"/>
      <c r="AC483" s="55"/>
      <c r="AD483" s="55"/>
      <c r="AE483" s="55"/>
      <c r="AF483" s="55"/>
      <c r="AG483" s="55"/>
      <c r="AH483" s="55"/>
      <c r="AI483" s="55"/>
      <c r="AJ483" s="55"/>
      <c r="AK483" s="55"/>
      <c r="AL483" s="55"/>
      <c r="AM483" s="55"/>
      <c r="AN483" s="55"/>
      <c r="AO483" s="55"/>
      <c r="AP483" s="55"/>
      <c r="AQ483" s="55"/>
      <c r="AR483" s="55"/>
      <c r="AS483" s="55"/>
      <c r="AT483" s="55"/>
      <c r="AU483" s="55"/>
      <c r="AV483" s="55"/>
      <c r="AW483" s="55"/>
      <c r="AX483" s="55"/>
      <c r="AY483" s="55"/>
      <c r="AZ483" s="55"/>
      <c r="BA483" s="55"/>
      <c r="BB483" s="55"/>
      <c r="BC483" s="55"/>
      <c r="BD483" s="55"/>
      <c r="BE483" s="55"/>
      <c r="BF483" s="55"/>
      <c r="BG483" s="55"/>
      <c r="BH483" s="55"/>
      <c r="BI483" s="55"/>
      <c r="BJ483" s="55"/>
      <c r="BK483" s="55"/>
      <c r="BL483" s="55"/>
      <c r="BM483" s="55"/>
      <c r="BN483" s="55"/>
      <c r="BO483" s="55"/>
      <c r="BP483" s="55"/>
      <c r="BQ483" s="55"/>
      <c r="BR483" s="55"/>
      <c r="BS483" s="55"/>
    </row>
    <row r="484" spans="1:71" outlineLevel="1" x14ac:dyDescent="0.2">
      <c r="J484" s="26"/>
      <c r="L484" s="55"/>
      <c r="M484" s="55"/>
      <c r="N484" s="55"/>
      <c r="O484" s="55"/>
      <c r="P484" s="55"/>
      <c r="Q484" s="55"/>
      <c r="R484" s="55"/>
      <c r="S484" s="55"/>
      <c r="T484" s="55"/>
      <c r="U484" s="55"/>
      <c r="V484" s="55"/>
      <c r="W484" s="55"/>
      <c r="X484" s="55"/>
      <c r="Y484" s="55"/>
      <c r="Z484" s="55"/>
      <c r="AA484" s="55"/>
      <c r="AB484" s="55"/>
      <c r="AC484" s="55"/>
      <c r="AD484" s="55"/>
      <c r="AE484" s="55"/>
      <c r="AF484" s="55"/>
      <c r="AG484" s="55"/>
      <c r="AH484" s="55"/>
      <c r="AI484" s="55"/>
      <c r="AJ484" s="55"/>
      <c r="AK484" s="55"/>
      <c r="AL484" s="55"/>
      <c r="AM484" s="55"/>
      <c r="AN484" s="55"/>
      <c r="AO484" s="55"/>
      <c r="AP484" s="55"/>
      <c r="AQ484" s="55"/>
      <c r="AR484" s="55"/>
      <c r="AS484" s="55"/>
      <c r="AT484" s="55"/>
      <c r="AU484" s="55"/>
      <c r="AV484" s="55"/>
      <c r="AW484" s="55"/>
      <c r="AX484" s="55"/>
      <c r="AY484" s="55"/>
      <c r="AZ484" s="55"/>
      <c r="BA484" s="55"/>
      <c r="BB484" s="55"/>
      <c r="BC484" s="55"/>
      <c r="BD484" s="55"/>
      <c r="BE484" s="55"/>
      <c r="BF484" s="55"/>
      <c r="BG484" s="55"/>
      <c r="BH484" s="55"/>
      <c r="BI484" s="55"/>
      <c r="BJ484" s="55"/>
      <c r="BK484" s="55"/>
      <c r="BL484" s="55"/>
      <c r="BM484" s="55"/>
      <c r="BN484" s="55"/>
      <c r="BO484" s="55"/>
      <c r="BP484" s="55"/>
      <c r="BQ484" s="55"/>
      <c r="BR484" s="55"/>
      <c r="BS484" s="55"/>
    </row>
    <row r="485" spans="1:71" outlineLevel="1" x14ac:dyDescent="0.2">
      <c r="C485" s="11" t="str">
        <f t="shared" ref="C485:D514" si="144">C432</f>
        <v>Revenus des droits</v>
      </c>
      <c r="J485" s="26"/>
      <c r="L485" s="55"/>
      <c r="M485" s="55"/>
      <c r="N485" s="55"/>
      <c r="O485" s="55"/>
      <c r="P485" s="55"/>
      <c r="Q485" s="55"/>
      <c r="R485" s="55"/>
      <c r="S485" s="55"/>
      <c r="T485" s="55"/>
      <c r="U485" s="55"/>
      <c r="V485" s="55"/>
      <c r="W485" s="55"/>
      <c r="X485" s="55"/>
      <c r="Y485" s="55"/>
      <c r="Z485" s="55"/>
      <c r="AA485" s="55"/>
      <c r="AB485" s="55"/>
      <c r="AC485" s="55"/>
      <c r="AD485" s="55"/>
      <c r="AE485" s="55"/>
      <c r="AF485" s="55"/>
      <c r="AG485" s="55"/>
      <c r="AH485" s="55"/>
      <c r="AI485" s="55"/>
      <c r="AJ485" s="55"/>
      <c r="AK485" s="55"/>
      <c r="AL485" s="55"/>
      <c r="AM485" s="55"/>
      <c r="AN485" s="55"/>
      <c r="AO485" s="55"/>
      <c r="AP485" s="55"/>
      <c r="AQ485" s="55"/>
      <c r="AR485" s="55"/>
      <c r="AS485" s="55"/>
      <c r="AT485" s="55"/>
      <c r="AU485" s="55"/>
      <c r="AV485" s="55"/>
      <c r="AW485" s="55"/>
      <c r="AX485" s="55"/>
      <c r="AY485" s="55"/>
      <c r="AZ485" s="55"/>
      <c r="BA485" s="55"/>
      <c r="BB485" s="55"/>
      <c r="BC485" s="55"/>
      <c r="BD485" s="55"/>
      <c r="BE485" s="55"/>
      <c r="BF485" s="55"/>
      <c r="BG485" s="55"/>
      <c r="BH485" s="55"/>
      <c r="BI485" s="55"/>
      <c r="BJ485" s="55"/>
      <c r="BK485" s="55"/>
      <c r="BL485" s="55"/>
      <c r="BM485" s="55"/>
      <c r="BN485" s="55"/>
      <c r="BO485" s="55"/>
      <c r="BP485" s="55"/>
      <c r="BQ485" s="55"/>
      <c r="BR485" s="55"/>
      <c r="BS485" s="55"/>
    </row>
    <row r="486" spans="1:71" outlineLevel="1" x14ac:dyDescent="0.2">
      <c r="D486" t="str">
        <f>CHOOSE(db_ML_selected,'Liste Traduction'!B58,'Liste Traduction'!C58)</f>
        <v>Revenus des droits</v>
      </c>
      <c r="I486" s="30">
        <f t="shared" ref="I486:I492" ca="1" si="145">SUM($L486:$BS486)</f>
        <v>464.22683866353759</v>
      </c>
      <c r="J486" s="26" t="s">
        <v>148</v>
      </c>
      <c r="L486" s="49" cm="1">
        <f t="array" aca="1" ref="L486:BS486" ca="1">(HM_ZA_Nkossa!CA_ent_rev_gas+HM_ZA_Nkossa!CA_ent_rev_oil)*HM_ZA_Nkossa!CA_NOC_WI</f>
        <v>43.551680421194995</v>
      </c>
      <c r="M486" s="49">
        <f ca="1"/>
        <v>50.236401175915503</v>
      </c>
      <c r="N486" s="49">
        <f ca="1"/>
        <v>34.268959515123001</v>
      </c>
      <c r="O486" s="49">
        <f ca="1"/>
        <v>35.975032803459001</v>
      </c>
      <c r="P486" s="49">
        <f ca="1"/>
        <v>45.504229878555009</v>
      </c>
      <c r="Q486" s="49">
        <f ca="1"/>
        <v>48.593190391825054</v>
      </c>
      <c r="R486" s="49">
        <f ca="1"/>
        <v>46.583465522370005</v>
      </c>
      <c r="S486" s="49">
        <f ca="1"/>
        <v>21.585231300499998</v>
      </c>
      <c r="T486" s="49">
        <f ca="1"/>
        <v>29.37430832394239</v>
      </c>
      <c r="U486" s="49">
        <f ca="1"/>
        <v>29.322906463871995</v>
      </c>
      <c r="V486" s="49">
        <f ca="1"/>
        <v>27.815709071628977</v>
      </c>
      <c r="W486" s="49">
        <f ca="1"/>
        <v>26.385981625347242</v>
      </c>
      <c r="X486" s="49">
        <f ca="1"/>
        <v>25.02974216980439</v>
      </c>
      <c r="Y486" s="49">
        <f ca="1"/>
        <v>0</v>
      </c>
      <c r="Z486" s="49">
        <f ca="1"/>
        <v>0</v>
      </c>
      <c r="AA486" s="49">
        <f ca="1"/>
        <v>0</v>
      </c>
      <c r="AB486" s="49">
        <f ca="1"/>
        <v>0</v>
      </c>
      <c r="AC486" s="49">
        <f ca="1"/>
        <v>0</v>
      </c>
      <c r="AD486" s="49">
        <f ca="1"/>
        <v>0</v>
      </c>
      <c r="AE486" s="49">
        <f ca="1"/>
        <v>0</v>
      </c>
      <c r="AF486" s="49">
        <f ca="1"/>
        <v>0</v>
      </c>
      <c r="AG486" s="49">
        <f ca="1"/>
        <v>0</v>
      </c>
      <c r="AH486" s="49">
        <f ca="1"/>
        <v>0</v>
      </c>
      <c r="AI486" s="49">
        <f ca="1"/>
        <v>0</v>
      </c>
      <c r="AJ486" s="49">
        <f ca="1"/>
        <v>0</v>
      </c>
      <c r="AK486" s="49">
        <f ca="1"/>
        <v>0</v>
      </c>
      <c r="AL486" s="49">
        <f ca="1"/>
        <v>0</v>
      </c>
      <c r="AM486" s="49">
        <f ca="1"/>
        <v>0</v>
      </c>
      <c r="AN486" s="49">
        <f ca="1"/>
        <v>0</v>
      </c>
      <c r="AO486" s="49">
        <f ca="1"/>
        <v>0</v>
      </c>
      <c r="AP486" s="49">
        <f ca="1"/>
        <v>0</v>
      </c>
      <c r="AQ486" s="49">
        <f ca="1"/>
        <v>0</v>
      </c>
      <c r="AR486" s="49">
        <f ca="1"/>
        <v>0</v>
      </c>
      <c r="AS486" s="49">
        <f ca="1"/>
        <v>0</v>
      </c>
      <c r="AT486" s="49">
        <f ca="1"/>
        <v>0</v>
      </c>
      <c r="AU486" s="49">
        <f ca="1"/>
        <v>0</v>
      </c>
      <c r="AV486" s="49">
        <f ca="1"/>
        <v>0</v>
      </c>
      <c r="AW486" s="49">
        <f ca="1"/>
        <v>0</v>
      </c>
      <c r="AX486" s="49">
        <f ca="1"/>
        <v>0</v>
      </c>
      <c r="AY486" s="49">
        <f ca="1"/>
        <v>0</v>
      </c>
      <c r="AZ486" s="49">
        <f ca="1"/>
        <v>0</v>
      </c>
      <c r="BA486" s="49">
        <f ca="1"/>
        <v>0</v>
      </c>
      <c r="BB486" s="49">
        <f ca="1"/>
        <v>0</v>
      </c>
      <c r="BC486" s="49">
        <f ca="1"/>
        <v>0</v>
      </c>
      <c r="BD486" s="49">
        <f ca="1"/>
        <v>0</v>
      </c>
      <c r="BE486" s="49">
        <f ca="1"/>
        <v>0</v>
      </c>
      <c r="BF486" s="49">
        <f ca="1"/>
        <v>0</v>
      </c>
      <c r="BG486" s="49">
        <f ca="1"/>
        <v>0</v>
      </c>
      <c r="BH486" s="49">
        <f ca="1"/>
        <v>0</v>
      </c>
      <c r="BI486" s="49">
        <f ca="1"/>
        <v>0</v>
      </c>
      <c r="BJ486" s="49">
        <f ca="1"/>
        <v>0</v>
      </c>
      <c r="BK486" s="49">
        <f ca="1"/>
        <v>0</v>
      </c>
      <c r="BL486" s="49">
        <f ca="1"/>
        <v>0</v>
      </c>
      <c r="BM486" s="49">
        <f ca="1"/>
        <v>0</v>
      </c>
      <c r="BN486" s="49">
        <f ca="1"/>
        <v>0</v>
      </c>
      <c r="BO486" s="49">
        <f ca="1"/>
        <v>0</v>
      </c>
      <c r="BP486" s="49">
        <f ca="1"/>
        <v>0</v>
      </c>
      <c r="BQ486" s="49">
        <f ca="1"/>
        <v>0</v>
      </c>
      <c r="BR486" s="49">
        <f ca="1"/>
        <v>0</v>
      </c>
      <c r="BS486" s="49">
        <f ca="1"/>
        <v>0</v>
      </c>
    </row>
    <row r="487" spans="1:71" outlineLevel="1" x14ac:dyDescent="0.2">
      <c r="D487" t="str">
        <f>C469</f>
        <v>Remboursement du portage</v>
      </c>
      <c r="I487" s="30">
        <f t="shared" ca="1" si="145"/>
        <v>-122.77815000000001</v>
      </c>
      <c r="J487" s="26" t="s">
        <v>148</v>
      </c>
      <c r="L487" s="49" cm="1">
        <f t="array" aca="1" ref="L487:BS487" ca="1">HM_ZA_Nkossa!CA_NOC_carry_payback</f>
        <v>-32.663760315896248</v>
      </c>
      <c r="M487" s="49">
        <f ca="1"/>
        <v>-37.677300881936631</v>
      </c>
      <c r="N487" s="49">
        <f ca="1"/>
        <v>-21.363088802167116</v>
      </c>
      <c r="O487" s="49">
        <f ca="1"/>
        <v>-5.7839999999999998</v>
      </c>
      <c r="P487" s="49">
        <f ca="1"/>
        <v>-7.59</v>
      </c>
      <c r="Q487" s="49">
        <f ca="1"/>
        <v>-17.7</v>
      </c>
      <c r="R487" s="49">
        <f ca="1"/>
        <v>0</v>
      </c>
      <c r="S487" s="49">
        <f ca="1"/>
        <v>0</v>
      </c>
      <c r="T487" s="49">
        <f ca="1"/>
        <v>0</v>
      </c>
      <c r="U487" s="49">
        <f ca="1"/>
        <v>0</v>
      </c>
      <c r="V487" s="49">
        <f ca="1"/>
        <v>0</v>
      </c>
      <c r="W487" s="49">
        <f ca="1"/>
        <v>0</v>
      </c>
      <c r="X487" s="49">
        <f ca="1"/>
        <v>0</v>
      </c>
      <c r="Y487" s="49">
        <f ca="1"/>
        <v>0</v>
      </c>
      <c r="Z487" s="49">
        <f ca="1"/>
        <v>0</v>
      </c>
      <c r="AA487" s="49">
        <f ca="1"/>
        <v>0</v>
      </c>
      <c r="AB487" s="49">
        <f ca="1"/>
        <v>0</v>
      </c>
      <c r="AC487" s="49">
        <f ca="1"/>
        <v>0</v>
      </c>
      <c r="AD487" s="49">
        <f ca="1"/>
        <v>0</v>
      </c>
      <c r="AE487" s="49">
        <f ca="1"/>
        <v>0</v>
      </c>
      <c r="AF487" s="49">
        <f ca="1"/>
        <v>0</v>
      </c>
      <c r="AG487" s="49">
        <f ca="1"/>
        <v>0</v>
      </c>
      <c r="AH487" s="49">
        <f ca="1"/>
        <v>0</v>
      </c>
      <c r="AI487" s="49">
        <f ca="1"/>
        <v>0</v>
      </c>
      <c r="AJ487" s="49">
        <f ca="1"/>
        <v>0</v>
      </c>
      <c r="AK487" s="49">
        <f ca="1"/>
        <v>0</v>
      </c>
      <c r="AL487" s="49">
        <f ca="1"/>
        <v>0</v>
      </c>
      <c r="AM487" s="49">
        <f ca="1"/>
        <v>0</v>
      </c>
      <c r="AN487" s="49">
        <f ca="1"/>
        <v>0</v>
      </c>
      <c r="AO487" s="49">
        <f ca="1"/>
        <v>0</v>
      </c>
      <c r="AP487" s="49">
        <f ca="1"/>
        <v>0</v>
      </c>
      <c r="AQ487" s="49">
        <f ca="1"/>
        <v>0</v>
      </c>
      <c r="AR487" s="49">
        <f ca="1"/>
        <v>0</v>
      </c>
      <c r="AS487" s="49">
        <f ca="1"/>
        <v>0</v>
      </c>
      <c r="AT487" s="49">
        <f ca="1"/>
        <v>0</v>
      </c>
      <c r="AU487" s="49">
        <f ca="1"/>
        <v>0</v>
      </c>
      <c r="AV487" s="49">
        <f ca="1"/>
        <v>0</v>
      </c>
      <c r="AW487" s="49">
        <f ca="1"/>
        <v>0</v>
      </c>
      <c r="AX487" s="49">
        <f ca="1"/>
        <v>0</v>
      </c>
      <c r="AY487" s="49">
        <f ca="1"/>
        <v>0</v>
      </c>
      <c r="AZ487" s="49">
        <f ca="1"/>
        <v>0</v>
      </c>
      <c r="BA487" s="49">
        <f ca="1"/>
        <v>0</v>
      </c>
      <c r="BB487" s="49">
        <f ca="1"/>
        <v>0</v>
      </c>
      <c r="BC487" s="49">
        <f ca="1"/>
        <v>0</v>
      </c>
      <c r="BD487" s="49">
        <f ca="1"/>
        <v>0</v>
      </c>
      <c r="BE487" s="49">
        <f ca="1"/>
        <v>0</v>
      </c>
      <c r="BF487" s="49">
        <f ca="1"/>
        <v>0</v>
      </c>
      <c r="BG487" s="49">
        <f ca="1"/>
        <v>0</v>
      </c>
      <c r="BH487" s="49">
        <f ca="1"/>
        <v>0</v>
      </c>
      <c r="BI487" s="49">
        <f ca="1"/>
        <v>0</v>
      </c>
      <c r="BJ487" s="49">
        <f ca="1"/>
        <v>0</v>
      </c>
      <c r="BK487" s="49">
        <f ca="1"/>
        <v>0</v>
      </c>
      <c r="BL487" s="49">
        <f ca="1"/>
        <v>0</v>
      </c>
      <c r="BM487" s="49">
        <f ca="1"/>
        <v>0</v>
      </c>
      <c r="BN487" s="49">
        <f ca="1"/>
        <v>0</v>
      </c>
      <c r="BO487" s="49">
        <f ca="1"/>
        <v>0</v>
      </c>
      <c r="BP487" s="49">
        <f ca="1"/>
        <v>0</v>
      </c>
      <c r="BQ487" s="49">
        <f ca="1"/>
        <v>0</v>
      </c>
      <c r="BR487" s="49">
        <f ca="1"/>
        <v>0</v>
      </c>
      <c r="BS487" s="49">
        <f ca="1"/>
        <v>0</v>
      </c>
    </row>
    <row r="488" spans="1:71" outlineLevel="1" x14ac:dyDescent="0.2">
      <c r="D488" s="11" t="str">
        <f t="shared" si="144"/>
        <v>Total revenus des droits</v>
      </c>
      <c r="I488" s="30">
        <f t="shared" ca="1" si="145"/>
        <v>341.44868866353755</v>
      </c>
      <c r="J488" s="26" t="s">
        <v>148</v>
      </c>
      <c r="L488" s="49">
        <f ca="1">SUM(L486:L487)</f>
        <v>10.887920105298747</v>
      </c>
      <c r="M488" s="49">
        <f t="shared" ref="M488:BS488" ca="1" si="146">SUM(M486:M487)</f>
        <v>12.559100293978872</v>
      </c>
      <c r="N488" s="49">
        <f t="shared" ca="1" si="146"/>
        <v>12.905870712955885</v>
      </c>
      <c r="O488" s="49">
        <f t="shared" ca="1" si="146"/>
        <v>30.191032803459002</v>
      </c>
      <c r="P488" s="49">
        <f t="shared" ca="1" si="146"/>
        <v>37.914229878555005</v>
      </c>
      <c r="Q488" s="49">
        <f t="shared" ca="1" si="146"/>
        <v>30.893190391825055</v>
      </c>
      <c r="R488" s="49">
        <f t="shared" ca="1" si="146"/>
        <v>46.583465522370005</v>
      </c>
      <c r="S488" s="49">
        <f t="shared" ca="1" si="146"/>
        <v>21.585231300499998</v>
      </c>
      <c r="T488" s="49">
        <f t="shared" ca="1" si="146"/>
        <v>29.37430832394239</v>
      </c>
      <c r="U488" s="49">
        <f t="shared" ca="1" si="146"/>
        <v>29.322906463871995</v>
      </c>
      <c r="V488" s="49">
        <f t="shared" ca="1" si="146"/>
        <v>27.815709071628977</v>
      </c>
      <c r="W488" s="49">
        <f t="shared" ca="1" si="146"/>
        <v>26.385981625347242</v>
      </c>
      <c r="X488" s="49">
        <f t="shared" ca="1" si="146"/>
        <v>25.02974216980439</v>
      </c>
      <c r="Y488" s="49">
        <f t="shared" ca="1" si="146"/>
        <v>0</v>
      </c>
      <c r="Z488" s="49">
        <f t="shared" ca="1" si="146"/>
        <v>0</v>
      </c>
      <c r="AA488" s="49">
        <f t="shared" ca="1" si="146"/>
        <v>0</v>
      </c>
      <c r="AB488" s="49">
        <f t="shared" ca="1" si="146"/>
        <v>0</v>
      </c>
      <c r="AC488" s="49">
        <f t="shared" ca="1" si="146"/>
        <v>0</v>
      </c>
      <c r="AD488" s="49">
        <f t="shared" ca="1" si="146"/>
        <v>0</v>
      </c>
      <c r="AE488" s="49">
        <f t="shared" ca="1" si="146"/>
        <v>0</v>
      </c>
      <c r="AF488" s="49">
        <f t="shared" ca="1" si="146"/>
        <v>0</v>
      </c>
      <c r="AG488" s="49">
        <f t="shared" ca="1" si="146"/>
        <v>0</v>
      </c>
      <c r="AH488" s="49">
        <f t="shared" ca="1" si="146"/>
        <v>0</v>
      </c>
      <c r="AI488" s="49">
        <f t="shared" ca="1" si="146"/>
        <v>0</v>
      </c>
      <c r="AJ488" s="49">
        <f t="shared" ca="1" si="146"/>
        <v>0</v>
      </c>
      <c r="AK488" s="49">
        <f t="shared" ca="1" si="146"/>
        <v>0</v>
      </c>
      <c r="AL488" s="49">
        <f t="shared" ca="1" si="146"/>
        <v>0</v>
      </c>
      <c r="AM488" s="49">
        <f t="shared" ca="1" si="146"/>
        <v>0</v>
      </c>
      <c r="AN488" s="49">
        <f t="shared" ca="1" si="146"/>
        <v>0</v>
      </c>
      <c r="AO488" s="49">
        <f t="shared" ca="1" si="146"/>
        <v>0</v>
      </c>
      <c r="AP488" s="49">
        <f t="shared" ca="1" si="146"/>
        <v>0</v>
      </c>
      <c r="AQ488" s="49">
        <f t="shared" ca="1" si="146"/>
        <v>0</v>
      </c>
      <c r="AR488" s="49">
        <f t="shared" ca="1" si="146"/>
        <v>0</v>
      </c>
      <c r="AS488" s="49">
        <f t="shared" ca="1" si="146"/>
        <v>0</v>
      </c>
      <c r="AT488" s="49">
        <f t="shared" ca="1" si="146"/>
        <v>0</v>
      </c>
      <c r="AU488" s="49">
        <f t="shared" ca="1" si="146"/>
        <v>0</v>
      </c>
      <c r="AV488" s="49">
        <f t="shared" ca="1" si="146"/>
        <v>0</v>
      </c>
      <c r="AW488" s="49">
        <f t="shared" ca="1" si="146"/>
        <v>0</v>
      </c>
      <c r="AX488" s="49">
        <f t="shared" ca="1" si="146"/>
        <v>0</v>
      </c>
      <c r="AY488" s="49">
        <f t="shared" ca="1" si="146"/>
        <v>0</v>
      </c>
      <c r="AZ488" s="49">
        <f t="shared" ca="1" si="146"/>
        <v>0</v>
      </c>
      <c r="BA488" s="49">
        <f t="shared" ca="1" si="146"/>
        <v>0</v>
      </c>
      <c r="BB488" s="49">
        <f t="shared" ca="1" si="146"/>
        <v>0</v>
      </c>
      <c r="BC488" s="49">
        <f t="shared" ca="1" si="146"/>
        <v>0</v>
      </c>
      <c r="BD488" s="49">
        <f t="shared" ca="1" si="146"/>
        <v>0</v>
      </c>
      <c r="BE488" s="49">
        <f t="shared" ca="1" si="146"/>
        <v>0</v>
      </c>
      <c r="BF488" s="49">
        <f t="shared" ca="1" si="146"/>
        <v>0</v>
      </c>
      <c r="BG488" s="49">
        <f t="shared" ca="1" si="146"/>
        <v>0</v>
      </c>
      <c r="BH488" s="49">
        <f t="shared" ca="1" si="146"/>
        <v>0</v>
      </c>
      <c r="BI488" s="49">
        <f t="shared" ca="1" si="146"/>
        <v>0</v>
      </c>
      <c r="BJ488" s="49">
        <f t="shared" ca="1" si="146"/>
        <v>0</v>
      </c>
      <c r="BK488" s="49">
        <f t="shared" ca="1" si="146"/>
        <v>0</v>
      </c>
      <c r="BL488" s="49">
        <f t="shared" ca="1" si="146"/>
        <v>0</v>
      </c>
      <c r="BM488" s="49">
        <f t="shared" ca="1" si="146"/>
        <v>0</v>
      </c>
      <c r="BN488" s="49">
        <f t="shared" ca="1" si="146"/>
        <v>0</v>
      </c>
      <c r="BO488" s="49">
        <f t="shared" ca="1" si="146"/>
        <v>0</v>
      </c>
      <c r="BP488" s="49">
        <f t="shared" ca="1" si="146"/>
        <v>0</v>
      </c>
      <c r="BQ488" s="49">
        <f t="shared" ca="1" si="146"/>
        <v>0</v>
      </c>
      <c r="BR488" s="49">
        <f t="shared" ca="1" si="146"/>
        <v>0</v>
      </c>
      <c r="BS488" s="49">
        <f t="shared" ca="1" si="146"/>
        <v>0</v>
      </c>
    </row>
    <row r="489" spans="1:71" outlineLevel="1" x14ac:dyDescent="0.2">
      <c r="J489" s="26"/>
      <c r="L489" s="55"/>
      <c r="M489" s="55"/>
      <c r="N489" s="55"/>
      <c r="O489" s="55"/>
      <c r="P489" s="55"/>
      <c r="Q489" s="55"/>
      <c r="R489" s="55"/>
      <c r="S489" s="55"/>
      <c r="T489" s="55"/>
      <c r="U489" s="55"/>
      <c r="V489" s="55"/>
      <c r="W489" s="55"/>
      <c r="X489" s="55"/>
      <c r="Y489" s="55"/>
      <c r="Z489" s="55"/>
      <c r="AA489" s="55"/>
      <c r="AB489" s="55"/>
      <c r="AC489" s="55"/>
      <c r="AD489" s="55"/>
      <c r="AE489" s="55"/>
      <c r="AF489" s="55"/>
      <c r="AG489" s="55"/>
      <c r="AH489" s="55"/>
      <c r="AI489" s="55"/>
      <c r="AJ489" s="55"/>
      <c r="AK489" s="55"/>
      <c r="AL489" s="55"/>
      <c r="AM489" s="55"/>
      <c r="AN489" s="55"/>
      <c r="AO489" s="55"/>
      <c r="AP489" s="55"/>
      <c r="AQ489" s="55"/>
      <c r="AR489" s="55"/>
      <c r="AS489" s="55"/>
      <c r="AT489" s="55"/>
      <c r="AU489" s="55"/>
      <c r="AV489" s="55"/>
      <c r="AW489" s="55"/>
      <c r="AX489" s="55"/>
      <c r="AY489" s="55"/>
      <c r="AZ489" s="55"/>
      <c r="BA489" s="55"/>
      <c r="BB489" s="55"/>
      <c r="BC489" s="55"/>
      <c r="BD489" s="55"/>
      <c r="BE489" s="55"/>
      <c r="BF489" s="55"/>
      <c r="BG489" s="55"/>
      <c r="BH489" s="55"/>
      <c r="BI489" s="55"/>
      <c r="BJ489" s="55"/>
      <c r="BK489" s="55"/>
      <c r="BL489" s="55"/>
      <c r="BM489" s="55"/>
      <c r="BN489" s="55"/>
      <c r="BO489" s="55"/>
      <c r="BP489" s="55"/>
      <c r="BQ489" s="55"/>
      <c r="BR489" s="55"/>
      <c r="BS489" s="55"/>
    </row>
    <row r="490" spans="1:71" outlineLevel="1" x14ac:dyDescent="0.2">
      <c r="C490" s="11" t="str">
        <f t="shared" si="144"/>
        <v>Coûts d'exploitation</v>
      </c>
      <c r="I490" s="30">
        <f t="shared" ca="1" si="145"/>
        <v>215.18662374959996</v>
      </c>
      <c r="J490" s="26" t="s">
        <v>148</v>
      </c>
      <c r="L490" s="49">
        <f ca="1">(L437*HM_ZA_Nkossa!CA_NOC_WI)-HM_ZA_Nkossa!CA_NOC_CI_opex</f>
        <v>31.834350000000001</v>
      </c>
      <c r="M490" s="49">
        <f ca="1">(M437*HM_ZA_Nkossa!CA_NOC_WI)-HM_ZA_Nkossa!CA_NOC_CI_opex</f>
        <v>26.513400000000001</v>
      </c>
      <c r="N490" s="49">
        <f ca="1">(N437*HM_ZA_Nkossa!CA_NOC_WI)-HM_ZA_Nkossa!CA_NOC_CI_opex</f>
        <v>18.789149999999999</v>
      </c>
      <c r="O490" s="49">
        <f ca="1">(O437*HM_ZA_Nkossa!CA_NOC_WI)-HM_ZA_Nkossa!CA_NOC_CI_opex</f>
        <v>23.625299999999999</v>
      </c>
      <c r="P490" s="49">
        <f ca="1">(P437*HM_ZA_Nkossa!CA_NOC_WI)-HM_ZA_Nkossa!CA_NOC_CI_opex</f>
        <v>29.423999999999999</v>
      </c>
      <c r="Q490" s="49">
        <f ca="1">(Q437*HM_ZA_Nkossa!CA_NOC_WI)-HM_ZA_Nkossa!CA_NOC_CI_opex</f>
        <v>13.38</v>
      </c>
      <c r="R490" s="49">
        <f ca="1">(R437*HM_ZA_Nkossa!CA_NOC_WI)-HM_ZA_Nkossa!CA_NOC_CI_opex</f>
        <v>11.58</v>
      </c>
      <c r="S490" s="49">
        <f ca="1">(S437*HM_ZA_Nkossa!CA_NOC_WI)-HM_ZA_Nkossa!CA_NOC_CI_opex</f>
        <v>9.93</v>
      </c>
      <c r="T490" s="49">
        <f ca="1">(T437*HM_ZA_Nkossa!CA_NOC_WI)-HM_ZA_Nkossa!CA_NOC_CI_opex</f>
        <v>9.8249999999999993</v>
      </c>
      <c r="U490" s="49">
        <f ca="1">(U437*HM_ZA_Nkossa!CA_NOC_WI)-HM_ZA_Nkossa!CA_NOC_CI_opex</f>
        <v>9.9297000000000004</v>
      </c>
      <c r="V490" s="49">
        <f ca="1">(V437*HM_ZA_Nkossa!CA_NOC_WI)-HM_ZA_Nkossa!CA_NOC_CI_opex</f>
        <v>10.019052</v>
      </c>
      <c r="W490" s="49">
        <f ca="1">(W437*HM_ZA_Nkossa!CA_NOC_WI)-HM_ZA_Nkossa!CA_NOC_CI_opex</f>
        <v>10.123924319999999</v>
      </c>
      <c r="X490" s="49">
        <f ca="1">(X437*HM_ZA_Nkossa!CA_NOC_WI)-HM_ZA_Nkossa!CA_NOC_CI_opex</f>
        <v>10.212747429599998</v>
      </c>
      <c r="Y490" s="49">
        <f ca="1">(Y437*HM_ZA_Nkossa!CA_NOC_WI)-HM_ZA_Nkossa!CA_NOC_CI_opex</f>
        <v>0</v>
      </c>
      <c r="Z490" s="49">
        <f ca="1">(Z437*HM_ZA_Nkossa!CA_NOC_WI)-HM_ZA_Nkossa!CA_NOC_CI_opex</f>
        <v>0</v>
      </c>
      <c r="AA490" s="49">
        <f ca="1">(AA437*HM_ZA_Nkossa!CA_NOC_WI)-HM_ZA_Nkossa!CA_NOC_CI_opex</f>
        <v>0</v>
      </c>
      <c r="AB490" s="49">
        <f ca="1">(AB437*HM_ZA_Nkossa!CA_NOC_WI)-HM_ZA_Nkossa!CA_NOC_CI_opex</f>
        <v>0</v>
      </c>
      <c r="AC490" s="49">
        <f ca="1">(AC437*HM_ZA_Nkossa!CA_NOC_WI)-HM_ZA_Nkossa!CA_NOC_CI_opex</f>
        <v>0</v>
      </c>
      <c r="AD490" s="49">
        <f ca="1">(AD437*HM_ZA_Nkossa!CA_NOC_WI)-HM_ZA_Nkossa!CA_NOC_CI_opex</f>
        <v>0</v>
      </c>
      <c r="AE490" s="49">
        <f ca="1">(AE437*HM_ZA_Nkossa!CA_NOC_WI)-HM_ZA_Nkossa!CA_NOC_CI_opex</f>
        <v>0</v>
      </c>
      <c r="AF490" s="49">
        <f ca="1">(AF437*HM_ZA_Nkossa!CA_NOC_WI)-HM_ZA_Nkossa!CA_NOC_CI_opex</f>
        <v>0</v>
      </c>
      <c r="AG490" s="49">
        <f ca="1">(AG437*HM_ZA_Nkossa!CA_NOC_WI)-HM_ZA_Nkossa!CA_NOC_CI_opex</f>
        <v>0</v>
      </c>
      <c r="AH490" s="49">
        <f ca="1">(AH437*HM_ZA_Nkossa!CA_NOC_WI)-HM_ZA_Nkossa!CA_NOC_CI_opex</f>
        <v>0</v>
      </c>
      <c r="AI490" s="49">
        <f ca="1">(AI437*HM_ZA_Nkossa!CA_NOC_WI)-HM_ZA_Nkossa!CA_NOC_CI_opex</f>
        <v>0</v>
      </c>
      <c r="AJ490" s="49">
        <f ca="1">(AJ437*HM_ZA_Nkossa!CA_NOC_WI)-HM_ZA_Nkossa!CA_NOC_CI_opex</f>
        <v>0</v>
      </c>
      <c r="AK490" s="49">
        <f ca="1">(AK437*HM_ZA_Nkossa!CA_NOC_WI)-HM_ZA_Nkossa!CA_NOC_CI_opex</f>
        <v>0</v>
      </c>
      <c r="AL490" s="49">
        <f ca="1">(AL437*HM_ZA_Nkossa!CA_NOC_WI)-HM_ZA_Nkossa!CA_NOC_CI_opex</f>
        <v>0</v>
      </c>
      <c r="AM490" s="49">
        <f ca="1">(AM437*HM_ZA_Nkossa!CA_NOC_WI)-HM_ZA_Nkossa!CA_NOC_CI_opex</f>
        <v>0</v>
      </c>
      <c r="AN490" s="49">
        <f ca="1">(AN437*HM_ZA_Nkossa!CA_NOC_WI)-HM_ZA_Nkossa!CA_NOC_CI_opex</f>
        <v>0</v>
      </c>
      <c r="AO490" s="49">
        <f ca="1">(AO437*HM_ZA_Nkossa!CA_NOC_WI)-HM_ZA_Nkossa!CA_NOC_CI_opex</f>
        <v>0</v>
      </c>
      <c r="AP490" s="49">
        <f ca="1">(AP437*HM_ZA_Nkossa!CA_NOC_WI)-HM_ZA_Nkossa!CA_NOC_CI_opex</f>
        <v>0</v>
      </c>
      <c r="AQ490" s="49">
        <f ca="1">(AQ437*HM_ZA_Nkossa!CA_NOC_WI)-HM_ZA_Nkossa!CA_NOC_CI_opex</f>
        <v>0</v>
      </c>
      <c r="AR490" s="49">
        <f ca="1">(AR437*HM_ZA_Nkossa!CA_NOC_WI)-HM_ZA_Nkossa!CA_NOC_CI_opex</f>
        <v>0</v>
      </c>
      <c r="AS490" s="49">
        <f ca="1">(AS437*HM_ZA_Nkossa!CA_NOC_WI)-HM_ZA_Nkossa!CA_NOC_CI_opex</f>
        <v>0</v>
      </c>
      <c r="AT490" s="49">
        <f ca="1">(AT437*HM_ZA_Nkossa!CA_NOC_WI)-HM_ZA_Nkossa!CA_NOC_CI_opex</f>
        <v>0</v>
      </c>
      <c r="AU490" s="49">
        <f ca="1">(AU437*HM_ZA_Nkossa!CA_NOC_WI)-HM_ZA_Nkossa!CA_NOC_CI_opex</f>
        <v>0</v>
      </c>
      <c r="AV490" s="49">
        <f ca="1">(AV437*HM_ZA_Nkossa!CA_NOC_WI)-HM_ZA_Nkossa!CA_NOC_CI_opex</f>
        <v>0</v>
      </c>
      <c r="AW490" s="49">
        <f ca="1">(AW437*HM_ZA_Nkossa!CA_NOC_WI)-HM_ZA_Nkossa!CA_NOC_CI_opex</f>
        <v>0</v>
      </c>
      <c r="AX490" s="49">
        <f ca="1">(AX437*HM_ZA_Nkossa!CA_NOC_WI)-HM_ZA_Nkossa!CA_NOC_CI_opex</f>
        <v>0</v>
      </c>
      <c r="AY490" s="49">
        <f ca="1">(AY437*HM_ZA_Nkossa!CA_NOC_WI)-HM_ZA_Nkossa!CA_NOC_CI_opex</f>
        <v>0</v>
      </c>
      <c r="AZ490" s="49">
        <f ca="1">(AZ437*HM_ZA_Nkossa!CA_NOC_WI)-HM_ZA_Nkossa!CA_NOC_CI_opex</f>
        <v>0</v>
      </c>
      <c r="BA490" s="49">
        <f ca="1">(BA437*HM_ZA_Nkossa!CA_NOC_WI)-HM_ZA_Nkossa!CA_NOC_CI_opex</f>
        <v>0</v>
      </c>
      <c r="BB490" s="49">
        <f ca="1">(BB437*HM_ZA_Nkossa!CA_NOC_WI)-HM_ZA_Nkossa!CA_NOC_CI_opex</f>
        <v>0</v>
      </c>
      <c r="BC490" s="49">
        <f ca="1">(BC437*HM_ZA_Nkossa!CA_NOC_WI)-HM_ZA_Nkossa!CA_NOC_CI_opex</f>
        <v>0</v>
      </c>
      <c r="BD490" s="49">
        <f ca="1">(BD437*HM_ZA_Nkossa!CA_NOC_WI)-HM_ZA_Nkossa!CA_NOC_CI_opex</f>
        <v>0</v>
      </c>
      <c r="BE490" s="49">
        <f ca="1">(BE437*HM_ZA_Nkossa!CA_NOC_WI)-HM_ZA_Nkossa!CA_NOC_CI_opex</f>
        <v>0</v>
      </c>
      <c r="BF490" s="49">
        <f ca="1">(BF437*HM_ZA_Nkossa!CA_NOC_WI)-HM_ZA_Nkossa!CA_NOC_CI_opex</f>
        <v>0</v>
      </c>
      <c r="BG490" s="49">
        <f ca="1">(BG437*HM_ZA_Nkossa!CA_NOC_WI)-HM_ZA_Nkossa!CA_NOC_CI_opex</f>
        <v>0</v>
      </c>
      <c r="BH490" s="49">
        <f ca="1">(BH437*HM_ZA_Nkossa!CA_NOC_WI)-HM_ZA_Nkossa!CA_NOC_CI_opex</f>
        <v>0</v>
      </c>
      <c r="BI490" s="49">
        <f ca="1">(BI437*HM_ZA_Nkossa!CA_NOC_WI)-HM_ZA_Nkossa!CA_NOC_CI_opex</f>
        <v>0</v>
      </c>
      <c r="BJ490" s="49">
        <f ca="1">(BJ437*HM_ZA_Nkossa!CA_NOC_WI)-HM_ZA_Nkossa!CA_NOC_CI_opex</f>
        <v>0</v>
      </c>
      <c r="BK490" s="49">
        <f ca="1">(BK437*HM_ZA_Nkossa!CA_NOC_WI)-HM_ZA_Nkossa!CA_NOC_CI_opex</f>
        <v>0</v>
      </c>
      <c r="BL490" s="49">
        <f ca="1">(BL437*HM_ZA_Nkossa!CA_NOC_WI)-HM_ZA_Nkossa!CA_NOC_CI_opex</f>
        <v>0</v>
      </c>
      <c r="BM490" s="49">
        <f ca="1">(BM437*HM_ZA_Nkossa!CA_NOC_WI)-HM_ZA_Nkossa!CA_NOC_CI_opex</f>
        <v>0</v>
      </c>
      <c r="BN490" s="49">
        <f ca="1">(BN437*HM_ZA_Nkossa!CA_NOC_WI)-HM_ZA_Nkossa!CA_NOC_CI_opex</f>
        <v>0</v>
      </c>
      <c r="BO490" s="49">
        <f ca="1">(BO437*HM_ZA_Nkossa!CA_NOC_WI)-HM_ZA_Nkossa!CA_NOC_CI_opex</f>
        <v>0</v>
      </c>
      <c r="BP490" s="49">
        <f ca="1">(BP437*HM_ZA_Nkossa!CA_NOC_WI)-HM_ZA_Nkossa!CA_NOC_CI_opex</f>
        <v>0</v>
      </c>
      <c r="BQ490" s="49">
        <f ca="1">(BQ437*HM_ZA_Nkossa!CA_NOC_WI)-HM_ZA_Nkossa!CA_NOC_CI_opex</f>
        <v>0</v>
      </c>
      <c r="BR490" s="49">
        <f ca="1">(BR437*HM_ZA_Nkossa!CA_NOC_WI)-HM_ZA_Nkossa!CA_NOC_CI_opex</f>
        <v>0</v>
      </c>
      <c r="BS490" s="49">
        <f ca="1">(BS437*HM_ZA_Nkossa!CA_NOC_WI)-HM_ZA_Nkossa!CA_NOC_CI_opex</f>
        <v>0</v>
      </c>
    </row>
    <row r="491" spans="1:71" outlineLevel="1" x14ac:dyDescent="0.2">
      <c r="J491" s="26"/>
      <c r="L491" s="55"/>
      <c r="M491" s="55"/>
      <c r="N491" s="55"/>
      <c r="O491" s="55"/>
      <c r="P491" s="55"/>
      <c r="Q491" s="55"/>
      <c r="R491" s="55"/>
      <c r="S491" s="55"/>
      <c r="T491" s="55"/>
      <c r="U491" s="55"/>
      <c r="V491" s="55"/>
      <c r="W491" s="55"/>
      <c r="X491" s="55"/>
      <c r="Y491" s="55"/>
      <c r="Z491" s="55"/>
      <c r="AA491" s="55"/>
      <c r="AB491" s="55"/>
      <c r="AC491" s="55"/>
      <c r="AD491" s="55"/>
      <c r="AE491" s="55"/>
      <c r="AF491" s="55"/>
      <c r="AG491" s="55"/>
      <c r="AH491" s="55"/>
      <c r="AI491" s="55"/>
      <c r="AJ491" s="55"/>
      <c r="AK491" s="55"/>
      <c r="AL491" s="55"/>
      <c r="AM491" s="55"/>
      <c r="AN491" s="55"/>
      <c r="AO491" s="55"/>
      <c r="AP491" s="55"/>
      <c r="AQ491" s="55"/>
      <c r="AR491" s="55"/>
      <c r="AS491" s="55"/>
      <c r="AT491" s="55"/>
      <c r="AU491" s="55"/>
      <c r="AV491" s="55"/>
      <c r="AW491" s="55"/>
      <c r="AX491" s="55"/>
      <c r="AY491" s="55"/>
      <c r="AZ491" s="55"/>
      <c r="BA491" s="55"/>
      <c r="BB491" s="55"/>
      <c r="BC491" s="55"/>
      <c r="BD491" s="55"/>
      <c r="BE491" s="55"/>
      <c r="BF491" s="55"/>
      <c r="BG491" s="55"/>
      <c r="BH491" s="55"/>
      <c r="BI491" s="55"/>
      <c r="BJ491" s="55"/>
      <c r="BK491" s="55"/>
      <c r="BL491" s="55"/>
      <c r="BM491" s="55"/>
      <c r="BN491" s="55"/>
      <c r="BO491" s="55"/>
      <c r="BP491" s="55"/>
      <c r="BQ491" s="55"/>
      <c r="BR491" s="55"/>
      <c r="BS491" s="55"/>
    </row>
    <row r="492" spans="1:71" outlineLevel="1" x14ac:dyDescent="0.2">
      <c r="C492" s="11" t="str">
        <f t="shared" si="144"/>
        <v>Bonus et frais</v>
      </c>
      <c r="I492" s="30">
        <f t="shared" ca="1" si="145"/>
        <v>8.3912370854614977</v>
      </c>
      <c r="J492" s="26" t="s">
        <v>148</v>
      </c>
      <c r="L492" s="49">
        <f ca="1">L439*HM_ZA_Nkossa!CA_NOC_WI</f>
        <v>1.3795703039249998</v>
      </c>
      <c r="M492" s="49">
        <f ca="1">M439*HM_ZA_Nkossa!CA_NOC_WI</f>
        <v>1.466481598818</v>
      </c>
      <c r="N492" s="49">
        <f ca="1">N439*HM_ZA_Nkossa!CA_NOC_WI</f>
        <v>0.64880017217699992</v>
      </c>
      <c r="O492" s="49">
        <f ca="1">O439*HM_ZA_Nkossa!CA_NOC_WI</f>
        <v>0.60715512846600006</v>
      </c>
      <c r="P492" s="49">
        <f ca="1">P439*HM_ZA_Nkossa!CA_NOC_WI</f>
        <v>0.65006042683650012</v>
      </c>
      <c r="Q492" s="49">
        <f ca="1">Q439*HM_ZA_Nkossa!CA_NOC_WI</f>
        <v>0.69492167698950003</v>
      </c>
      <c r="R492" s="49">
        <f ca="1">R439*HM_ZA_Nkossa!CA_NOC_WI</f>
        <v>0.66547807889100008</v>
      </c>
      <c r="S492" s="49">
        <f ca="1">S439*HM_ZA_Nkossa!CA_NOC_WI</f>
        <v>0.30836044714999994</v>
      </c>
      <c r="T492" s="49">
        <f ca="1">T439*HM_ZA_Nkossa!CA_NOC_WI</f>
        <v>0.41963297605631994</v>
      </c>
      <c r="U492" s="49">
        <f ca="1">U439*HM_ZA_Nkossa!CA_NOC_WI</f>
        <v>0.41889866376959989</v>
      </c>
      <c r="V492" s="49">
        <f ca="1">V439*HM_ZA_Nkossa!CA_NOC_WI</f>
        <v>0.39736727245184245</v>
      </c>
      <c r="W492" s="49">
        <f ca="1">W439*HM_ZA_Nkossa!CA_NOC_WI</f>
        <v>0.37694259464781771</v>
      </c>
      <c r="X492" s="49">
        <f ca="1">X439*HM_ZA_Nkossa!CA_NOC_WI</f>
        <v>0.35756774528291985</v>
      </c>
      <c r="Y492" s="49">
        <f ca="1">Y439*HM_ZA_Nkossa!CA_NOC_WI</f>
        <v>0</v>
      </c>
      <c r="Z492" s="49">
        <f ca="1">Z439*HM_ZA_Nkossa!CA_NOC_WI</f>
        <v>0</v>
      </c>
      <c r="AA492" s="49">
        <f ca="1">AA439*HM_ZA_Nkossa!CA_NOC_WI</f>
        <v>0</v>
      </c>
      <c r="AB492" s="49">
        <f ca="1">AB439*HM_ZA_Nkossa!CA_NOC_WI</f>
        <v>0</v>
      </c>
      <c r="AC492" s="49">
        <f ca="1">AC439*HM_ZA_Nkossa!CA_NOC_WI</f>
        <v>0</v>
      </c>
      <c r="AD492" s="49">
        <f ca="1">AD439*HM_ZA_Nkossa!CA_NOC_WI</f>
        <v>0</v>
      </c>
      <c r="AE492" s="49">
        <f ca="1">AE439*HM_ZA_Nkossa!CA_NOC_WI</f>
        <v>0</v>
      </c>
      <c r="AF492" s="49">
        <f ca="1">AF439*HM_ZA_Nkossa!CA_NOC_WI</f>
        <v>0</v>
      </c>
      <c r="AG492" s="49">
        <f ca="1">AG439*HM_ZA_Nkossa!CA_NOC_WI</f>
        <v>0</v>
      </c>
      <c r="AH492" s="49">
        <f ca="1">AH439*HM_ZA_Nkossa!CA_NOC_WI</f>
        <v>0</v>
      </c>
      <c r="AI492" s="49">
        <f ca="1">AI439*HM_ZA_Nkossa!CA_NOC_WI</f>
        <v>0</v>
      </c>
      <c r="AJ492" s="49">
        <f ca="1">AJ439*HM_ZA_Nkossa!CA_NOC_WI</f>
        <v>0</v>
      </c>
      <c r="AK492" s="49">
        <f ca="1">AK439*HM_ZA_Nkossa!CA_NOC_WI</f>
        <v>0</v>
      </c>
      <c r="AL492" s="49">
        <f ca="1">AL439*HM_ZA_Nkossa!CA_NOC_WI</f>
        <v>0</v>
      </c>
      <c r="AM492" s="49">
        <f ca="1">AM439*HM_ZA_Nkossa!CA_NOC_WI</f>
        <v>0</v>
      </c>
      <c r="AN492" s="49">
        <f ca="1">AN439*HM_ZA_Nkossa!CA_NOC_WI</f>
        <v>0</v>
      </c>
      <c r="AO492" s="49">
        <f ca="1">AO439*HM_ZA_Nkossa!CA_NOC_WI</f>
        <v>0</v>
      </c>
      <c r="AP492" s="49">
        <f ca="1">AP439*HM_ZA_Nkossa!CA_NOC_WI</f>
        <v>0</v>
      </c>
      <c r="AQ492" s="49">
        <f ca="1">AQ439*HM_ZA_Nkossa!CA_NOC_WI</f>
        <v>0</v>
      </c>
      <c r="AR492" s="49">
        <f ca="1">AR439*HM_ZA_Nkossa!CA_NOC_WI</f>
        <v>0</v>
      </c>
      <c r="AS492" s="49">
        <f ca="1">AS439*HM_ZA_Nkossa!CA_NOC_WI</f>
        <v>0</v>
      </c>
      <c r="AT492" s="49">
        <f ca="1">AT439*HM_ZA_Nkossa!CA_NOC_WI</f>
        <v>0</v>
      </c>
      <c r="AU492" s="49">
        <f ca="1">AU439*HM_ZA_Nkossa!CA_NOC_WI</f>
        <v>0</v>
      </c>
      <c r="AV492" s="49">
        <f ca="1">AV439*HM_ZA_Nkossa!CA_NOC_WI</f>
        <v>0</v>
      </c>
      <c r="AW492" s="49">
        <f ca="1">AW439*HM_ZA_Nkossa!CA_NOC_WI</f>
        <v>0</v>
      </c>
      <c r="AX492" s="49">
        <f ca="1">AX439*HM_ZA_Nkossa!CA_NOC_WI</f>
        <v>0</v>
      </c>
      <c r="AY492" s="49">
        <f ca="1">AY439*HM_ZA_Nkossa!CA_NOC_WI</f>
        <v>0</v>
      </c>
      <c r="AZ492" s="49">
        <f ca="1">AZ439*HM_ZA_Nkossa!CA_NOC_WI</f>
        <v>0</v>
      </c>
      <c r="BA492" s="49">
        <f ca="1">BA439*HM_ZA_Nkossa!CA_NOC_WI</f>
        <v>0</v>
      </c>
      <c r="BB492" s="49">
        <f ca="1">BB439*HM_ZA_Nkossa!CA_NOC_WI</f>
        <v>0</v>
      </c>
      <c r="BC492" s="49">
        <f ca="1">BC439*HM_ZA_Nkossa!CA_NOC_WI</f>
        <v>0</v>
      </c>
      <c r="BD492" s="49">
        <f ca="1">BD439*HM_ZA_Nkossa!CA_NOC_WI</f>
        <v>0</v>
      </c>
      <c r="BE492" s="49">
        <f ca="1">BE439*HM_ZA_Nkossa!CA_NOC_WI</f>
        <v>0</v>
      </c>
      <c r="BF492" s="49">
        <f ca="1">BF439*HM_ZA_Nkossa!CA_NOC_WI</f>
        <v>0</v>
      </c>
      <c r="BG492" s="49">
        <f ca="1">BG439*HM_ZA_Nkossa!CA_NOC_WI</f>
        <v>0</v>
      </c>
      <c r="BH492" s="49">
        <f ca="1">BH439*HM_ZA_Nkossa!CA_NOC_WI</f>
        <v>0</v>
      </c>
      <c r="BI492" s="49">
        <f ca="1">BI439*HM_ZA_Nkossa!CA_NOC_WI</f>
        <v>0</v>
      </c>
      <c r="BJ492" s="49">
        <f ca="1">BJ439*HM_ZA_Nkossa!CA_NOC_WI</f>
        <v>0</v>
      </c>
      <c r="BK492" s="49">
        <f ca="1">BK439*HM_ZA_Nkossa!CA_NOC_WI</f>
        <v>0</v>
      </c>
      <c r="BL492" s="49">
        <f ca="1">BL439*HM_ZA_Nkossa!CA_NOC_WI</f>
        <v>0</v>
      </c>
      <c r="BM492" s="49">
        <f ca="1">BM439*HM_ZA_Nkossa!CA_NOC_WI</f>
        <v>0</v>
      </c>
      <c r="BN492" s="49">
        <f ca="1">BN439*HM_ZA_Nkossa!CA_NOC_WI</f>
        <v>0</v>
      </c>
      <c r="BO492" s="49">
        <f ca="1">BO439*HM_ZA_Nkossa!CA_NOC_WI</f>
        <v>0</v>
      </c>
      <c r="BP492" s="49">
        <f ca="1">BP439*HM_ZA_Nkossa!CA_NOC_WI</f>
        <v>0</v>
      </c>
      <c r="BQ492" s="49">
        <f ca="1">BQ439*HM_ZA_Nkossa!CA_NOC_WI</f>
        <v>0</v>
      </c>
      <c r="BR492" s="49">
        <f ca="1">BR439*HM_ZA_Nkossa!CA_NOC_WI</f>
        <v>0</v>
      </c>
      <c r="BS492" s="49">
        <f ca="1">BS439*HM_ZA_Nkossa!CA_NOC_WI</f>
        <v>0</v>
      </c>
    </row>
    <row r="493" spans="1:71" outlineLevel="1" x14ac:dyDescent="0.2">
      <c r="J493" s="26"/>
      <c r="L493" s="55"/>
      <c r="M493" s="55"/>
      <c r="N493" s="55"/>
      <c r="O493" s="55"/>
      <c r="P493" s="55"/>
      <c r="Q493" s="55"/>
      <c r="R493" s="55"/>
      <c r="S493" s="55"/>
      <c r="T493" s="55"/>
      <c r="U493" s="55"/>
      <c r="V493" s="55"/>
      <c r="W493" s="55"/>
      <c r="X493" s="55"/>
      <c r="Y493" s="55"/>
      <c r="Z493" s="55"/>
      <c r="AA493" s="55"/>
      <c r="AB493" s="55"/>
      <c r="AC493" s="55"/>
      <c r="AD493" s="55"/>
      <c r="AE493" s="55"/>
      <c r="AF493" s="55"/>
      <c r="AG493" s="55"/>
      <c r="AH493" s="55"/>
      <c r="AI493" s="55"/>
      <c r="AJ493" s="55"/>
      <c r="AK493" s="55"/>
      <c r="AL493" s="55"/>
      <c r="AM493" s="55"/>
      <c r="AN493" s="55"/>
      <c r="AO493" s="55"/>
      <c r="AP493" s="55"/>
      <c r="AQ493" s="55"/>
      <c r="AR493" s="55"/>
      <c r="AS493" s="55"/>
      <c r="AT493" s="55"/>
      <c r="AU493" s="55"/>
      <c r="AV493" s="55"/>
      <c r="AW493" s="55"/>
      <c r="AX493" s="55"/>
      <c r="AY493" s="55"/>
      <c r="AZ493" s="55"/>
      <c r="BA493" s="55"/>
      <c r="BB493" s="55"/>
      <c r="BC493" s="55"/>
      <c r="BD493" s="55"/>
      <c r="BE493" s="55"/>
      <c r="BF493" s="55"/>
      <c r="BG493" s="55"/>
      <c r="BH493" s="55"/>
      <c r="BI493" s="55"/>
      <c r="BJ493" s="55"/>
      <c r="BK493" s="55"/>
      <c r="BL493" s="55"/>
      <c r="BM493" s="55"/>
      <c r="BN493" s="55"/>
      <c r="BO493" s="55"/>
      <c r="BP493" s="55"/>
      <c r="BQ493" s="55"/>
      <c r="BR493" s="55"/>
      <c r="BS493" s="55"/>
    </row>
    <row r="494" spans="1:71" outlineLevel="1" x14ac:dyDescent="0.2">
      <c r="C494" s="11" t="str">
        <f t="shared" si="144"/>
        <v>Production et autres taxes</v>
      </c>
      <c r="I494" s="30">
        <f t="shared" ref="I494:I502" ca="1" si="147">SUM($L494:$BS494)</f>
        <v>0</v>
      </c>
      <c r="J494" s="26" t="s">
        <v>148</v>
      </c>
      <c r="L494" s="49">
        <f ca="1">L441*HM_ZA_Nkossa!CA_NOC_WI</f>
        <v>0</v>
      </c>
      <c r="M494" s="49">
        <f ca="1">M441*HM_ZA_Nkossa!CA_NOC_WI</f>
        <v>0</v>
      </c>
      <c r="N494" s="49">
        <f ca="1">N441*HM_ZA_Nkossa!CA_NOC_WI</f>
        <v>0</v>
      </c>
      <c r="O494" s="49">
        <f ca="1">O441*HM_ZA_Nkossa!CA_NOC_WI</f>
        <v>0</v>
      </c>
      <c r="P494" s="49">
        <f ca="1">P441*HM_ZA_Nkossa!CA_NOC_WI</f>
        <v>0</v>
      </c>
      <c r="Q494" s="49">
        <f ca="1">Q441*HM_ZA_Nkossa!CA_NOC_WI</f>
        <v>0</v>
      </c>
      <c r="R494" s="49">
        <f ca="1">R441*HM_ZA_Nkossa!CA_NOC_WI</f>
        <v>0</v>
      </c>
      <c r="S494" s="49">
        <f ca="1">S441*HM_ZA_Nkossa!CA_NOC_WI</f>
        <v>0</v>
      </c>
      <c r="T494" s="49">
        <f ca="1">T441*HM_ZA_Nkossa!CA_NOC_WI</f>
        <v>0</v>
      </c>
      <c r="U494" s="49">
        <f ca="1">U441*HM_ZA_Nkossa!CA_NOC_WI</f>
        <v>0</v>
      </c>
      <c r="V494" s="49">
        <f ca="1">V441*HM_ZA_Nkossa!CA_NOC_WI</f>
        <v>0</v>
      </c>
      <c r="W494" s="49">
        <f ca="1">W441*HM_ZA_Nkossa!CA_NOC_WI</f>
        <v>0</v>
      </c>
      <c r="X494" s="49">
        <f ca="1">X441*HM_ZA_Nkossa!CA_NOC_WI</f>
        <v>0</v>
      </c>
      <c r="Y494" s="49">
        <f ca="1">Y441*HM_ZA_Nkossa!CA_NOC_WI</f>
        <v>0</v>
      </c>
      <c r="Z494" s="49">
        <f ca="1">Z441*HM_ZA_Nkossa!CA_NOC_WI</f>
        <v>0</v>
      </c>
      <c r="AA494" s="49">
        <f ca="1">AA441*HM_ZA_Nkossa!CA_NOC_WI</f>
        <v>0</v>
      </c>
      <c r="AB494" s="49">
        <f ca="1">AB441*HM_ZA_Nkossa!CA_NOC_WI</f>
        <v>0</v>
      </c>
      <c r="AC494" s="49">
        <f ca="1">AC441*HM_ZA_Nkossa!CA_NOC_WI</f>
        <v>0</v>
      </c>
      <c r="AD494" s="49">
        <f ca="1">AD441*HM_ZA_Nkossa!CA_NOC_WI</f>
        <v>0</v>
      </c>
      <c r="AE494" s="49">
        <f ca="1">AE441*HM_ZA_Nkossa!CA_NOC_WI</f>
        <v>0</v>
      </c>
      <c r="AF494" s="49">
        <f ca="1">AF441*HM_ZA_Nkossa!CA_NOC_WI</f>
        <v>0</v>
      </c>
      <c r="AG494" s="49">
        <f ca="1">AG441*HM_ZA_Nkossa!CA_NOC_WI</f>
        <v>0</v>
      </c>
      <c r="AH494" s="49">
        <f ca="1">AH441*HM_ZA_Nkossa!CA_NOC_WI</f>
        <v>0</v>
      </c>
      <c r="AI494" s="49">
        <f ca="1">AI441*HM_ZA_Nkossa!CA_NOC_WI</f>
        <v>0</v>
      </c>
      <c r="AJ494" s="49">
        <f ca="1">AJ441*HM_ZA_Nkossa!CA_NOC_WI</f>
        <v>0</v>
      </c>
      <c r="AK494" s="49">
        <f ca="1">AK441*HM_ZA_Nkossa!CA_NOC_WI</f>
        <v>0</v>
      </c>
      <c r="AL494" s="49">
        <f ca="1">AL441*HM_ZA_Nkossa!CA_NOC_WI</f>
        <v>0</v>
      </c>
      <c r="AM494" s="49">
        <f ca="1">AM441*HM_ZA_Nkossa!CA_NOC_WI</f>
        <v>0</v>
      </c>
      <c r="AN494" s="49">
        <f ca="1">AN441*HM_ZA_Nkossa!CA_NOC_WI</f>
        <v>0</v>
      </c>
      <c r="AO494" s="49">
        <f ca="1">AO441*HM_ZA_Nkossa!CA_NOC_WI</f>
        <v>0</v>
      </c>
      <c r="AP494" s="49">
        <f ca="1">AP441*HM_ZA_Nkossa!CA_NOC_WI</f>
        <v>0</v>
      </c>
      <c r="AQ494" s="49">
        <f ca="1">AQ441*HM_ZA_Nkossa!CA_NOC_WI</f>
        <v>0</v>
      </c>
      <c r="AR494" s="49">
        <f ca="1">AR441*HM_ZA_Nkossa!CA_NOC_WI</f>
        <v>0</v>
      </c>
      <c r="AS494" s="49">
        <f ca="1">AS441*HM_ZA_Nkossa!CA_NOC_WI</f>
        <v>0</v>
      </c>
      <c r="AT494" s="49">
        <f ca="1">AT441*HM_ZA_Nkossa!CA_NOC_WI</f>
        <v>0</v>
      </c>
      <c r="AU494" s="49">
        <f ca="1">AU441*HM_ZA_Nkossa!CA_NOC_WI</f>
        <v>0</v>
      </c>
      <c r="AV494" s="49">
        <f ca="1">AV441*HM_ZA_Nkossa!CA_NOC_WI</f>
        <v>0</v>
      </c>
      <c r="AW494" s="49">
        <f ca="1">AW441*HM_ZA_Nkossa!CA_NOC_WI</f>
        <v>0</v>
      </c>
      <c r="AX494" s="49">
        <f ca="1">AX441*HM_ZA_Nkossa!CA_NOC_WI</f>
        <v>0</v>
      </c>
      <c r="AY494" s="49">
        <f ca="1">AY441*HM_ZA_Nkossa!CA_NOC_WI</f>
        <v>0</v>
      </c>
      <c r="AZ494" s="49">
        <f ca="1">AZ441*HM_ZA_Nkossa!CA_NOC_WI</f>
        <v>0</v>
      </c>
      <c r="BA494" s="49">
        <f ca="1">BA441*HM_ZA_Nkossa!CA_NOC_WI</f>
        <v>0</v>
      </c>
      <c r="BB494" s="49">
        <f ca="1">BB441*HM_ZA_Nkossa!CA_NOC_WI</f>
        <v>0</v>
      </c>
      <c r="BC494" s="49">
        <f ca="1">BC441*HM_ZA_Nkossa!CA_NOC_WI</f>
        <v>0</v>
      </c>
      <c r="BD494" s="49">
        <f ca="1">BD441*HM_ZA_Nkossa!CA_NOC_WI</f>
        <v>0</v>
      </c>
      <c r="BE494" s="49">
        <f ca="1">BE441*HM_ZA_Nkossa!CA_NOC_WI</f>
        <v>0</v>
      </c>
      <c r="BF494" s="49">
        <f ca="1">BF441*HM_ZA_Nkossa!CA_NOC_WI</f>
        <v>0</v>
      </c>
      <c r="BG494" s="49">
        <f ca="1">BG441*HM_ZA_Nkossa!CA_NOC_WI</f>
        <v>0</v>
      </c>
      <c r="BH494" s="49">
        <f ca="1">BH441*HM_ZA_Nkossa!CA_NOC_WI</f>
        <v>0</v>
      </c>
      <c r="BI494" s="49">
        <f ca="1">BI441*HM_ZA_Nkossa!CA_NOC_WI</f>
        <v>0</v>
      </c>
      <c r="BJ494" s="49">
        <f ca="1">BJ441*HM_ZA_Nkossa!CA_NOC_WI</f>
        <v>0</v>
      </c>
      <c r="BK494" s="49">
        <f ca="1">BK441*HM_ZA_Nkossa!CA_NOC_WI</f>
        <v>0</v>
      </c>
      <c r="BL494" s="49">
        <f ca="1">BL441*HM_ZA_Nkossa!CA_NOC_WI</f>
        <v>0</v>
      </c>
      <c r="BM494" s="49">
        <f ca="1">BM441*HM_ZA_Nkossa!CA_NOC_WI</f>
        <v>0</v>
      </c>
      <c r="BN494" s="49">
        <f ca="1">BN441*HM_ZA_Nkossa!CA_NOC_WI</f>
        <v>0</v>
      </c>
      <c r="BO494" s="49">
        <f ca="1">BO441*HM_ZA_Nkossa!CA_NOC_WI</f>
        <v>0</v>
      </c>
      <c r="BP494" s="49">
        <f ca="1">BP441*HM_ZA_Nkossa!CA_NOC_WI</f>
        <v>0</v>
      </c>
      <c r="BQ494" s="49">
        <f ca="1">BQ441*HM_ZA_Nkossa!CA_NOC_WI</f>
        <v>0</v>
      </c>
      <c r="BR494" s="49">
        <f ca="1">BR441*HM_ZA_Nkossa!CA_NOC_WI</f>
        <v>0</v>
      </c>
      <c r="BS494" s="49">
        <f ca="1">BS441*HM_ZA_Nkossa!CA_NOC_WI</f>
        <v>0</v>
      </c>
    </row>
    <row r="495" spans="1:71" outlineLevel="1" x14ac:dyDescent="0.2">
      <c r="J495" s="26"/>
      <c r="L495" s="55"/>
      <c r="M495" s="55"/>
      <c r="N495" s="55"/>
      <c r="O495" s="55"/>
      <c r="P495" s="55"/>
      <c r="Q495" s="55"/>
      <c r="R495" s="55"/>
      <c r="S495" s="55"/>
      <c r="T495" s="55"/>
      <c r="U495" s="55"/>
      <c r="V495" s="55"/>
      <c r="W495" s="55"/>
      <c r="X495" s="55"/>
      <c r="Y495" s="55"/>
      <c r="Z495" s="55"/>
      <c r="AA495" s="55"/>
      <c r="AB495" s="55"/>
      <c r="AC495" s="55"/>
      <c r="AD495" s="55"/>
      <c r="AE495" s="55"/>
      <c r="AF495" s="55"/>
      <c r="AG495" s="55"/>
      <c r="AH495" s="55"/>
      <c r="AI495" s="55"/>
      <c r="AJ495" s="55"/>
      <c r="AK495" s="55"/>
      <c r="AL495" s="55"/>
      <c r="AM495" s="55"/>
      <c r="AN495" s="55"/>
      <c r="AO495" s="55"/>
      <c r="AP495" s="55"/>
      <c r="AQ495" s="55"/>
      <c r="AR495" s="55"/>
      <c r="AS495" s="55"/>
      <c r="AT495" s="55"/>
      <c r="AU495" s="55"/>
      <c r="AV495" s="55"/>
      <c r="AW495" s="55"/>
      <c r="AX495" s="55"/>
      <c r="AY495" s="55"/>
      <c r="AZ495" s="55"/>
      <c r="BA495" s="55"/>
      <c r="BB495" s="55"/>
      <c r="BC495" s="55"/>
      <c r="BD495" s="55"/>
      <c r="BE495" s="55"/>
      <c r="BF495" s="55"/>
      <c r="BG495" s="55"/>
      <c r="BH495" s="55"/>
      <c r="BI495" s="55"/>
      <c r="BJ495" s="55"/>
      <c r="BK495" s="55"/>
      <c r="BL495" s="55"/>
      <c r="BM495" s="55"/>
      <c r="BN495" s="55"/>
      <c r="BO495" s="55"/>
      <c r="BP495" s="55"/>
      <c r="BQ495" s="55"/>
      <c r="BR495" s="55"/>
      <c r="BS495" s="55"/>
    </row>
    <row r="496" spans="1:71" outlineLevel="1" x14ac:dyDescent="0.2">
      <c r="C496" s="11" t="str">
        <f t="shared" si="144"/>
        <v>Capex hors abandon</v>
      </c>
      <c r="I496" s="30">
        <f t="shared" ca="1" si="147"/>
        <v>0</v>
      </c>
      <c r="J496" s="26" t="s">
        <v>148</v>
      </c>
      <c r="L496" s="49">
        <f ca="1">L443*(HM_ZA_Nkossa!CA_NOC_WI)-(HM_ZA_Nkossa!CA_NOC_CI_devex+HM_ZA_Nkossa!CA_NOC_CI_expex)</f>
        <v>0</v>
      </c>
      <c r="M496" s="49">
        <f ca="1">M443*(HM_ZA_Nkossa!CA_NOC_WI)-(HM_ZA_Nkossa!CA_NOC_CI_devex+HM_ZA_Nkossa!CA_NOC_CI_expex)</f>
        <v>0</v>
      </c>
      <c r="N496" s="49">
        <f ca="1">N443*(HM_ZA_Nkossa!CA_NOC_WI)-(HM_ZA_Nkossa!CA_NOC_CI_devex+HM_ZA_Nkossa!CA_NOC_CI_expex)</f>
        <v>0</v>
      </c>
      <c r="O496" s="49">
        <f ca="1">O443*(HM_ZA_Nkossa!CA_NOC_WI)-(HM_ZA_Nkossa!CA_NOC_CI_devex+HM_ZA_Nkossa!CA_NOC_CI_expex)</f>
        <v>0</v>
      </c>
      <c r="P496" s="49">
        <f ca="1">P443*(HM_ZA_Nkossa!CA_NOC_WI)-(HM_ZA_Nkossa!CA_NOC_CI_devex+HM_ZA_Nkossa!CA_NOC_CI_expex)</f>
        <v>0</v>
      </c>
      <c r="Q496" s="49">
        <f ca="1">Q443*(HM_ZA_Nkossa!CA_NOC_WI)-(HM_ZA_Nkossa!CA_NOC_CI_devex+HM_ZA_Nkossa!CA_NOC_CI_expex)</f>
        <v>0</v>
      </c>
      <c r="R496" s="49">
        <f ca="1">R443*(HM_ZA_Nkossa!CA_NOC_WI)-(HM_ZA_Nkossa!CA_NOC_CI_devex+HM_ZA_Nkossa!CA_NOC_CI_expex)</f>
        <v>0</v>
      </c>
      <c r="S496" s="49">
        <f ca="1">S443*(HM_ZA_Nkossa!CA_NOC_WI)-(HM_ZA_Nkossa!CA_NOC_CI_devex+HM_ZA_Nkossa!CA_NOC_CI_expex)</f>
        <v>0</v>
      </c>
      <c r="T496" s="49">
        <f ca="1">T443*(HM_ZA_Nkossa!CA_NOC_WI)-(HM_ZA_Nkossa!CA_NOC_CI_devex+HM_ZA_Nkossa!CA_NOC_CI_expex)</f>
        <v>0</v>
      </c>
      <c r="U496" s="49">
        <f ca="1">U443*(HM_ZA_Nkossa!CA_NOC_WI)-(HM_ZA_Nkossa!CA_NOC_CI_devex+HM_ZA_Nkossa!CA_NOC_CI_expex)</f>
        <v>0</v>
      </c>
      <c r="V496" s="49">
        <f ca="1">V443*(HM_ZA_Nkossa!CA_NOC_WI)-(HM_ZA_Nkossa!CA_NOC_CI_devex+HM_ZA_Nkossa!CA_NOC_CI_expex)</f>
        <v>0</v>
      </c>
      <c r="W496" s="49">
        <f ca="1">W443*(HM_ZA_Nkossa!CA_NOC_WI)-(HM_ZA_Nkossa!CA_NOC_CI_devex+HM_ZA_Nkossa!CA_NOC_CI_expex)</f>
        <v>0</v>
      </c>
      <c r="X496" s="49">
        <f ca="1">X443*(HM_ZA_Nkossa!CA_NOC_WI)-(HM_ZA_Nkossa!CA_NOC_CI_devex+HM_ZA_Nkossa!CA_NOC_CI_expex)</f>
        <v>0</v>
      </c>
      <c r="Y496" s="49">
        <f ca="1">Y443*(HM_ZA_Nkossa!CA_NOC_WI)-(HM_ZA_Nkossa!CA_NOC_CI_devex+HM_ZA_Nkossa!CA_NOC_CI_expex)</f>
        <v>0</v>
      </c>
      <c r="Z496" s="49">
        <f ca="1">Z443*(HM_ZA_Nkossa!CA_NOC_WI)-(HM_ZA_Nkossa!CA_NOC_CI_devex+HM_ZA_Nkossa!CA_NOC_CI_expex)</f>
        <v>0</v>
      </c>
      <c r="AA496" s="49">
        <f ca="1">AA443*(HM_ZA_Nkossa!CA_NOC_WI)-(HM_ZA_Nkossa!CA_NOC_CI_devex+HM_ZA_Nkossa!CA_NOC_CI_expex)</f>
        <v>0</v>
      </c>
      <c r="AB496" s="49">
        <f ca="1">AB443*(HM_ZA_Nkossa!CA_NOC_WI)-(HM_ZA_Nkossa!CA_NOC_CI_devex+HM_ZA_Nkossa!CA_NOC_CI_expex)</f>
        <v>0</v>
      </c>
      <c r="AC496" s="49">
        <f ca="1">AC443*(HM_ZA_Nkossa!CA_NOC_WI)-(HM_ZA_Nkossa!CA_NOC_CI_devex+HM_ZA_Nkossa!CA_NOC_CI_expex)</f>
        <v>0</v>
      </c>
      <c r="AD496" s="49">
        <f ca="1">AD443*(HM_ZA_Nkossa!CA_NOC_WI)-(HM_ZA_Nkossa!CA_NOC_CI_devex+HM_ZA_Nkossa!CA_NOC_CI_expex)</f>
        <v>0</v>
      </c>
      <c r="AE496" s="49">
        <f ca="1">AE443*(HM_ZA_Nkossa!CA_NOC_WI)-(HM_ZA_Nkossa!CA_NOC_CI_devex+HM_ZA_Nkossa!CA_NOC_CI_expex)</f>
        <v>0</v>
      </c>
      <c r="AF496" s="49">
        <f ca="1">AF443*(HM_ZA_Nkossa!CA_NOC_WI)-(HM_ZA_Nkossa!CA_NOC_CI_devex+HM_ZA_Nkossa!CA_NOC_CI_expex)</f>
        <v>0</v>
      </c>
      <c r="AG496" s="49">
        <f ca="1">AG443*(HM_ZA_Nkossa!CA_NOC_WI)-(HM_ZA_Nkossa!CA_NOC_CI_devex+HM_ZA_Nkossa!CA_NOC_CI_expex)</f>
        <v>0</v>
      </c>
      <c r="AH496" s="49">
        <f ca="1">AH443*(HM_ZA_Nkossa!CA_NOC_WI)-(HM_ZA_Nkossa!CA_NOC_CI_devex+HM_ZA_Nkossa!CA_NOC_CI_expex)</f>
        <v>0</v>
      </c>
      <c r="AI496" s="49">
        <f ca="1">AI443*(HM_ZA_Nkossa!CA_NOC_WI)-(HM_ZA_Nkossa!CA_NOC_CI_devex+HM_ZA_Nkossa!CA_NOC_CI_expex)</f>
        <v>0</v>
      </c>
      <c r="AJ496" s="49">
        <f ca="1">AJ443*(HM_ZA_Nkossa!CA_NOC_WI)-(HM_ZA_Nkossa!CA_NOC_CI_devex+HM_ZA_Nkossa!CA_NOC_CI_expex)</f>
        <v>0</v>
      </c>
      <c r="AK496" s="49">
        <f ca="1">AK443*(HM_ZA_Nkossa!CA_NOC_WI)-(HM_ZA_Nkossa!CA_NOC_CI_devex+HM_ZA_Nkossa!CA_NOC_CI_expex)</f>
        <v>0</v>
      </c>
      <c r="AL496" s="49">
        <f ca="1">AL443*(HM_ZA_Nkossa!CA_NOC_WI)-(HM_ZA_Nkossa!CA_NOC_CI_devex+HM_ZA_Nkossa!CA_NOC_CI_expex)</f>
        <v>0</v>
      </c>
      <c r="AM496" s="49">
        <f ca="1">AM443*(HM_ZA_Nkossa!CA_NOC_WI)-(HM_ZA_Nkossa!CA_NOC_CI_devex+HM_ZA_Nkossa!CA_NOC_CI_expex)</f>
        <v>0</v>
      </c>
      <c r="AN496" s="49">
        <f ca="1">AN443*(HM_ZA_Nkossa!CA_NOC_WI)-(HM_ZA_Nkossa!CA_NOC_CI_devex+HM_ZA_Nkossa!CA_NOC_CI_expex)</f>
        <v>0</v>
      </c>
      <c r="AO496" s="49">
        <f ca="1">AO443*(HM_ZA_Nkossa!CA_NOC_WI)-(HM_ZA_Nkossa!CA_NOC_CI_devex+HM_ZA_Nkossa!CA_NOC_CI_expex)</f>
        <v>0</v>
      </c>
      <c r="AP496" s="49">
        <f ca="1">AP443*(HM_ZA_Nkossa!CA_NOC_WI)-(HM_ZA_Nkossa!CA_NOC_CI_devex+HM_ZA_Nkossa!CA_NOC_CI_expex)</f>
        <v>0</v>
      </c>
      <c r="AQ496" s="49">
        <f ca="1">AQ443*(HM_ZA_Nkossa!CA_NOC_WI)-(HM_ZA_Nkossa!CA_NOC_CI_devex+HM_ZA_Nkossa!CA_NOC_CI_expex)</f>
        <v>0</v>
      </c>
      <c r="AR496" s="49">
        <f ca="1">AR443*(HM_ZA_Nkossa!CA_NOC_WI)-(HM_ZA_Nkossa!CA_NOC_CI_devex+HM_ZA_Nkossa!CA_NOC_CI_expex)</f>
        <v>0</v>
      </c>
      <c r="AS496" s="49">
        <f ca="1">AS443*(HM_ZA_Nkossa!CA_NOC_WI)-(HM_ZA_Nkossa!CA_NOC_CI_devex+HM_ZA_Nkossa!CA_NOC_CI_expex)</f>
        <v>0</v>
      </c>
      <c r="AT496" s="49">
        <f ca="1">AT443*(HM_ZA_Nkossa!CA_NOC_WI)-(HM_ZA_Nkossa!CA_NOC_CI_devex+HM_ZA_Nkossa!CA_NOC_CI_expex)</f>
        <v>0</v>
      </c>
      <c r="AU496" s="49">
        <f ca="1">AU443*(HM_ZA_Nkossa!CA_NOC_WI)-(HM_ZA_Nkossa!CA_NOC_CI_devex+HM_ZA_Nkossa!CA_NOC_CI_expex)</f>
        <v>0</v>
      </c>
      <c r="AV496" s="49">
        <f ca="1">AV443*(HM_ZA_Nkossa!CA_NOC_WI)-(HM_ZA_Nkossa!CA_NOC_CI_devex+HM_ZA_Nkossa!CA_NOC_CI_expex)</f>
        <v>0</v>
      </c>
      <c r="AW496" s="49">
        <f ca="1">AW443*(HM_ZA_Nkossa!CA_NOC_WI)-(HM_ZA_Nkossa!CA_NOC_CI_devex+HM_ZA_Nkossa!CA_NOC_CI_expex)</f>
        <v>0</v>
      </c>
      <c r="AX496" s="49">
        <f ca="1">AX443*(HM_ZA_Nkossa!CA_NOC_WI)-(HM_ZA_Nkossa!CA_NOC_CI_devex+HM_ZA_Nkossa!CA_NOC_CI_expex)</f>
        <v>0</v>
      </c>
      <c r="AY496" s="49">
        <f ca="1">AY443*(HM_ZA_Nkossa!CA_NOC_WI)-(HM_ZA_Nkossa!CA_NOC_CI_devex+HM_ZA_Nkossa!CA_NOC_CI_expex)</f>
        <v>0</v>
      </c>
      <c r="AZ496" s="49">
        <f ca="1">AZ443*(HM_ZA_Nkossa!CA_NOC_WI)-(HM_ZA_Nkossa!CA_NOC_CI_devex+HM_ZA_Nkossa!CA_NOC_CI_expex)</f>
        <v>0</v>
      </c>
      <c r="BA496" s="49">
        <f ca="1">BA443*(HM_ZA_Nkossa!CA_NOC_WI)-(HM_ZA_Nkossa!CA_NOC_CI_devex+HM_ZA_Nkossa!CA_NOC_CI_expex)</f>
        <v>0</v>
      </c>
      <c r="BB496" s="49">
        <f ca="1">BB443*(HM_ZA_Nkossa!CA_NOC_WI)-(HM_ZA_Nkossa!CA_NOC_CI_devex+HM_ZA_Nkossa!CA_NOC_CI_expex)</f>
        <v>0</v>
      </c>
      <c r="BC496" s="49">
        <f ca="1">BC443*(HM_ZA_Nkossa!CA_NOC_WI)-(HM_ZA_Nkossa!CA_NOC_CI_devex+HM_ZA_Nkossa!CA_NOC_CI_expex)</f>
        <v>0</v>
      </c>
      <c r="BD496" s="49">
        <f ca="1">BD443*(HM_ZA_Nkossa!CA_NOC_WI)-(HM_ZA_Nkossa!CA_NOC_CI_devex+HM_ZA_Nkossa!CA_NOC_CI_expex)</f>
        <v>0</v>
      </c>
      <c r="BE496" s="49">
        <f ca="1">BE443*(HM_ZA_Nkossa!CA_NOC_WI)-(HM_ZA_Nkossa!CA_NOC_CI_devex+HM_ZA_Nkossa!CA_NOC_CI_expex)</f>
        <v>0</v>
      </c>
      <c r="BF496" s="49">
        <f ca="1">BF443*(HM_ZA_Nkossa!CA_NOC_WI)-(HM_ZA_Nkossa!CA_NOC_CI_devex+HM_ZA_Nkossa!CA_NOC_CI_expex)</f>
        <v>0</v>
      </c>
      <c r="BG496" s="49">
        <f ca="1">BG443*(HM_ZA_Nkossa!CA_NOC_WI)-(HM_ZA_Nkossa!CA_NOC_CI_devex+HM_ZA_Nkossa!CA_NOC_CI_expex)</f>
        <v>0</v>
      </c>
      <c r="BH496" s="49">
        <f ca="1">BH443*(HM_ZA_Nkossa!CA_NOC_WI)-(HM_ZA_Nkossa!CA_NOC_CI_devex+HM_ZA_Nkossa!CA_NOC_CI_expex)</f>
        <v>0</v>
      </c>
      <c r="BI496" s="49">
        <f ca="1">BI443*(HM_ZA_Nkossa!CA_NOC_WI)-(HM_ZA_Nkossa!CA_NOC_CI_devex+HM_ZA_Nkossa!CA_NOC_CI_expex)</f>
        <v>0</v>
      </c>
      <c r="BJ496" s="49">
        <f ca="1">BJ443*(HM_ZA_Nkossa!CA_NOC_WI)-(HM_ZA_Nkossa!CA_NOC_CI_devex+HM_ZA_Nkossa!CA_NOC_CI_expex)</f>
        <v>0</v>
      </c>
      <c r="BK496" s="49">
        <f ca="1">BK443*(HM_ZA_Nkossa!CA_NOC_WI)-(HM_ZA_Nkossa!CA_NOC_CI_devex+HM_ZA_Nkossa!CA_NOC_CI_expex)</f>
        <v>0</v>
      </c>
      <c r="BL496" s="49">
        <f ca="1">BL443*(HM_ZA_Nkossa!CA_NOC_WI)-(HM_ZA_Nkossa!CA_NOC_CI_devex+HM_ZA_Nkossa!CA_NOC_CI_expex)</f>
        <v>0</v>
      </c>
      <c r="BM496" s="49">
        <f ca="1">BM443*(HM_ZA_Nkossa!CA_NOC_WI)-(HM_ZA_Nkossa!CA_NOC_CI_devex+HM_ZA_Nkossa!CA_NOC_CI_expex)</f>
        <v>0</v>
      </c>
      <c r="BN496" s="49">
        <f ca="1">BN443*(HM_ZA_Nkossa!CA_NOC_WI)-(HM_ZA_Nkossa!CA_NOC_CI_devex+HM_ZA_Nkossa!CA_NOC_CI_expex)</f>
        <v>0</v>
      </c>
      <c r="BO496" s="49">
        <f ca="1">BO443*(HM_ZA_Nkossa!CA_NOC_WI)-(HM_ZA_Nkossa!CA_NOC_CI_devex+HM_ZA_Nkossa!CA_NOC_CI_expex)</f>
        <v>0</v>
      </c>
      <c r="BP496" s="49">
        <f ca="1">BP443*(HM_ZA_Nkossa!CA_NOC_WI)-(HM_ZA_Nkossa!CA_NOC_CI_devex+HM_ZA_Nkossa!CA_NOC_CI_expex)</f>
        <v>0</v>
      </c>
      <c r="BQ496" s="49">
        <f ca="1">BQ443*(HM_ZA_Nkossa!CA_NOC_WI)-(HM_ZA_Nkossa!CA_NOC_CI_devex+HM_ZA_Nkossa!CA_NOC_CI_expex)</f>
        <v>0</v>
      </c>
      <c r="BR496" s="49">
        <f ca="1">BR443*(HM_ZA_Nkossa!CA_NOC_WI)-(HM_ZA_Nkossa!CA_NOC_CI_devex+HM_ZA_Nkossa!CA_NOC_CI_expex)</f>
        <v>0</v>
      </c>
      <c r="BS496" s="49">
        <f ca="1">BS443*(HM_ZA_Nkossa!CA_NOC_WI)-(HM_ZA_Nkossa!CA_NOC_CI_devex+HM_ZA_Nkossa!CA_NOC_CI_expex)</f>
        <v>0</v>
      </c>
    </row>
    <row r="497" spans="3:71" outlineLevel="1" x14ac:dyDescent="0.2">
      <c r="J497" s="26"/>
      <c r="L497" s="55"/>
      <c r="M497" s="55"/>
      <c r="N497" s="55"/>
      <c r="O497" s="55"/>
      <c r="P497" s="55"/>
      <c r="Q497" s="55"/>
      <c r="R497" s="55"/>
      <c r="S497" s="55"/>
      <c r="T497" s="55"/>
      <c r="U497" s="55"/>
      <c r="V497" s="55"/>
      <c r="W497" s="55"/>
      <c r="X497" s="55"/>
      <c r="Y497" s="55"/>
      <c r="Z497" s="55"/>
      <c r="AA497" s="55"/>
      <c r="AB497" s="55"/>
      <c r="AC497" s="55"/>
      <c r="AD497" s="55"/>
      <c r="AE497" s="55"/>
      <c r="AF497" s="55"/>
      <c r="AG497" s="55"/>
      <c r="AH497" s="55"/>
      <c r="AI497" s="55"/>
      <c r="AJ497" s="55"/>
      <c r="AK497" s="55"/>
      <c r="AL497" s="55"/>
      <c r="AM497" s="55"/>
      <c r="AN497" s="55"/>
      <c r="AO497" s="55"/>
      <c r="AP497" s="55"/>
      <c r="AQ497" s="55"/>
      <c r="AR497" s="55"/>
      <c r="AS497" s="55"/>
      <c r="AT497" s="55"/>
      <c r="AU497" s="55"/>
      <c r="AV497" s="55"/>
      <c r="AW497" s="55"/>
      <c r="AX497" s="55"/>
      <c r="AY497" s="55"/>
      <c r="AZ497" s="55"/>
      <c r="BA497" s="55"/>
      <c r="BB497" s="55"/>
      <c r="BC497" s="55"/>
      <c r="BD497" s="55"/>
      <c r="BE497" s="55"/>
      <c r="BF497" s="55"/>
      <c r="BG497" s="55"/>
      <c r="BH497" s="55"/>
      <c r="BI497" s="55"/>
      <c r="BJ497" s="55"/>
      <c r="BK497" s="55"/>
      <c r="BL497" s="55"/>
      <c r="BM497" s="55"/>
      <c r="BN497" s="55"/>
      <c r="BO497" s="55"/>
      <c r="BP497" s="55"/>
      <c r="BQ497" s="55"/>
      <c r="BR497" s="55"/>
      <c r="BS497" s="55"/>
    </row>
    <row r="498" spans="3:71" outlineLevel="1" x14ac:dyDescent="0.2">
      <c r="C498" s="11" t="str">
        <f t="shared" si="144"/>
        <v>Abandon</v>
      </c>
      <c r="I498" s="30">
        <f t="shared" ca="1" si="147"/>
        <v>173.76044999999999</v>
      </c>
      <c r="J498" s="26" t="s">
        <v>148</v>
      </c>
      <c r="L498" s="49">
        <f ca="1">L445*HM_ZA_Nkossa!CA_NOC_WI</f>
        <v>4.67265</v>
      </c>
      <c r="M498" s="49">
        <f ca="1">M445*HM_ZA_Nkossa!CA_NOC_WI</f>
        <v>10.275749999999999</v>
      </c>
      <c r="N498" s="49">
        <f ca="1">N445*HM_ZA_Nkossa!CA_NOC_WI</f>
        <v>18.905100000000001</v>
      </c>
      <c r="O498" s="49">
        <f ca="1">O445*HM_ZA_Nkossa!CA_NOC_WI</f>
        <v>26.683949999999999</v>
      </c>
      <c r="P498" s="49">
        <f ca="1">P445*HM_ZA_Nkossa!CA_NOC_WI</f>
        <v>33.155549999999998</v>
      </c>
      <c r="Q498" s="49">
        <f ca="1">Q445*HM_ZA_Nkossa!CA_NOC_WI</f>
        <v>38.185200000000002</v>
      </c>
      <c r="R498" s="49">
        <f ca="1">R445*HM_ZA_Nkossa!CA_NOC_WI</f>
        <v>41.882249999999992</v>
      </c>
      <c r="S498" s="49">
        <f ca="1">S445*HM_ZA_Nkossa!CA_NOC_WI</f>
        <v>0</v>
      </c>
      <c r="T498" s="49">
        <f ca="1">T445*HM_ZA_Nkossa!CA_NOC_WI</f>
        <v>0</v>
      </c>
      <c r="U498" s="49">
        <f ca="1">U445*HM_ZA_Nkossa!CA_NOC_WI</f>
        <v>0</v>
      </c>
      <c r="V498" s="49">
        <f ca="1">V445*HM_ZA_Nkossa!CA_NOC_WI</f>
        <v>0</v>
      </c>
      <c r="W498" s="49">
        <f ca="1">W445*HM_ZA_Nkossa!CA_NOC_WI</f>
        <v>0</v>
      </c>
      <c r="X498" s="49">
        <f ca="1">X445*HM_ZA_Nkossa!CA_NOC_WI</f>
        <v>0</v>
      </c>
      <c r="Y498" s="49">
        <f ca="1">Y445*HM_ZA_Nkossa!CA_NOC_WI</f>
        <v>0</v>
      </c>
      <c r="Z498" s="49">
        <f ca="1">Z445*HM_ZA_Nkossa!CA_NOC_WI</f>
        <v>0</v>
      </c>
      <c r="AA498" s="49">
        <f ca="1">AA445*HM_ZA_Nkossa!CA_NOC_WI</f>
        <v>0</v>
      </c>
      <c r="AB498" s="49">
        <f ca="1">AB445*HM_ZA_Nkossa!CA_NOC_WI</f>
        <v>0</v>
      </c>
      <c r="AC498" s="49">
        <f ca="1">AC445*HM_ZA_Nkossa!CA_NOC_WI</f>
        <v>0</v>
      </c>
      <c r="AD498" s="49">
        <f ca="1">AD445*HM_ZA_Nkossa!CA_NOC_WI</f>
        <v>0</v>
      </c>
      <c r="AE498" s="49">
        <f ca="1">AE445*HM_ZA_Nkossa!CA_NOC_WI</f>
        <v>0</v>
      </c>
      <c r="AF498" s="49">
        <f ca="1">AF445*HM_ZA_Nkossa!CA_NOC_WI</f>
        <v>0</v>
      </c>
      <c r="AG498" s="49">
        <f ca="1">AG445*HM_ZA_Nkossa!CA_NOC_WI</f>
        <v>0</v>
      </c>
      <c r="AH498" s="49">
        <f ca="1">AH445*HM_ZA_Nkossa!CA_NOC_WI</f>
        <v>0</v>
      </c>
      <c r="AI498" s="49">
        <f ca="1">AI445*HM_ZA_Nkossa!CA_NOC_WI</f>
        <v>0</v>
      </c>
      <c r="AJ498" s="49">
        <f ca="1">AJ445*HM_ZA_Nkossa!CA_NOC_WI</f>
        <v>0</v>
      </c>
      <c r="AK498" s="49">
        <f ca="1">AK445*HM_ZA_Nkossa!CA_NOC_WI</f>
        <v>0</v>
      </c>
      <c r="AL498" s="49">
        <f ca="1">AL445*HM_ZA_Nkossa!CA_NOC_WI</f>
        <v>0</v>
      </c>
      <c r="AM498" s="49">
        <f ca="1">AM445*HM_ZA_Nkossa!CA_NOC_WI</f>
        <v>0</v>
      </c>
      <c r="AN498" s="49">
        <f ca="1">AN445*HM_ZA_Nkossa!CA_NOC_WI</f>
        <v>0</v>
      </c>
      <c r="AO498" s="49">
        <f ca="1">AO445*HM_ZA_Nkossa!CA_NOC_WI</f>
        <v>0</v>
      </c>
      <c r="AP498" s="49">
        <f ca="1">AP445*HM_ZA_Nkossa!CA_NOC_WI</f>
        <v>0</v>
      </c>
      <c r="AQ498" s="49">
        <f ca="1">AQ445*HM_ZA_Nkossa!CA_NOC_WI</f>
        <v>0</v>
      </c>
      <c r="AR498" s="49">
        <f ca="1">AR445*HM_ZA_Nkossa!CA_NOC_WI</f>
        <v>0</v>
      </c>
      <c r="AS498" s="49">
        <f ca="1">AS445*HM_ZA_Nkossa!CA_NOC_WI</f>
        <v>0</v>
      </c>
      <c r="AT498" s="49">
        <f ca="1">AT445*HM_ZA_Nkossa!CA_NOC_WI</f>
        <v>0</v>
      </c>
      <c r="AU498" s="49">
        <f ca="1">AU445*HM_ZA_Nkossa!CA_NOC_WI</f>
        <v>0</v>
      </c>
      <c r="AV498" s="49">
        <f ca="1">AV445*HM_ZA_Nkossa!CA_NOC_WI</f>
        <v>0</v>
      </c>
      <c r="AW498" s="49">
        <f ca="1">AW445*HM_ZA_Nkossa!CA_NOC_WI</f>
        <v>0</v>
      </c>
      <c r="AX498" s="49">
        <f ca="1">AX445*HM_ZA_Nkossa!CA_NOC_WI</f>
        <v>0</v>
      </c>
      <c r="AY498" s="49">
        <f ca="1">AY445*HM_ZA_Nkossa!CA_NOC_WI</f>
        <v>0</v>
      </c>
      <c r="AZ498" s="49">
        <f ca="1">AZ445*HM_ZA_Nkossa!CA_NOC_WI</f>
        <v>0</v>
      </c>
      <c r="BA498" s="49">
        <f ca="1">BA445*HM_ZA_Nkossa!CA_NOC_WI</f>
        <v>0</v>
      </c>
      <c r="BB498" s="49">
        <f ca="1">BB445*HM_ZA_Nkossa!CA_NOC_WI</f>
        <v>0</v>
      </c>
      <c r="BC498" s="49">
        <f ca="1">BC445*HM_ZA_Nkossa!CA_NOC_WI</f>
        <v>0</v>
      </c>
      <c r="BD498" s="49">
        <f ca="1">BD445*HM_ZA_Nkossa!CA_NOC_WI</f>
        <v>0</v>
      </c>
      <c r="BE498" s="49">
        <f ca="1">BE445*HM_ZA_Nkossa!CA_NOC_WI</f>
        <v>0</v>
      </c>
      <c r="BF498" s="49">
        <f ca="1">BF445*HM_ZA_Nkossa!CA_NOC_WI</f>
        <v>0</v>
      </c>
      <c r="BG498" s="49">
        <f ca="1">BG445*HM_ZA_Nkossa!CA_NOC_WI</f>
        <v>0</v>
      </c>
      <c r="BH498" s="49">
        <f ca="1">BH445*HM_ZA_Nkossa!CA_NOC_WI</f>
        <v>0</v>
      </c>
      <c r="BI498" s="49">
        <f ca="1">BI445*HM_ZA_Nkossa!CA_NOC_WI</f>
        <v>0</v>
      </c>
      <c r="BJ498" s="49">
        <f ca="1">BJ445*HM_ZA_Nkossa!CA_NOC_WI</f>
        <v>0</v>
      </c>
      <c r="BK498" s="49">
        <f ca="1">BK445*HM_ZA_Nkossa!CA_NOC_WI</f>
        <v>0</v>
      </c>
      <c r="BL498" s="49">
        <f ca="1">BL445*HM_ZA_Nkossa!CA_NOC_WI</f>
        <v>0</v>
      </c>
      <c r="BM498" s="49">
        <f ca="1">BM445*HM_ZA_Nkossa!CA_NOC_WI</f>
        <v>0</v>
      </c>
      <c r="BN498" s="49">
        <f ca="1">BN445*HM_ZA_Nkossa!CA_NOC_WI</f>
        <v>0</v>
      </c>
      <c r="BO498" s="49">
        <f ca="1">BO445*HM_ZA_Nkossa!CA_NOC_WI</f>
        <v>0</v>
      </c>
      <c r="BP498" s="49">
        <f ca="1">BP445*HM_ZA_Nkossa!CA_NOC_WI</f>
        <v>0</v>
      </c>
      <c r="BQ498" s="49">
        <f ca="1">BQ445*HM_ZA_Nkossa!CA_NOC_WI</f>
        <v>0</v>
      </c>
      <c r="BR498" s="49">
        <f ca="1">BR445*HM_ZA_Nkossa!CA_NOC_WI</f>
        <v>0</v>
      </c>
      <c r="BS498" s="49">
        <f ca="1">BS445*HM_ZA_Nkossa!CA_NOC_WI</f>
        <v>0</v>
      </c>
    </row>
    <row r="499" spans="3:71" outlineLevel="1" x14ac:dyDescent="0.2">
      <c r="J499" s="26"/>
      <c r="L499" s="55"/>
      <c r="M499" s="55"/>
      <c r="N499" s="55"/>
      <c r="O499" s="55"/>
      <c r="P499" s="55"/>
      <c r="Q499" s="55"/>
      <c r="R499" s="55"/>
      <c r="S499" s="55"/>
      <c r="T499" s="55"/>
      <c r="U499" s="55"/>
      <c r="V499" s="55"/>
      <c r="W499" s="55"/>
      <c r="X499" s="55"/>
      <c r="Y499" s="55"/>
      <c r="Z499" s="55"/>
      <c r="AA499" s="55"/>
      <c r="AB499" s="55"/>
      <c r="AC499" s="55"/>
      <c r="AD499" s="55"/>
      <c r="AE499" s="55"/>
      <c r="AF499" s="55"/>
      <c r="AG499" s="55"/>
      <c r="AH499" s="55"/>
      <c r="AI499" s="55"/>
      <c r="AJ499" s="55"/>
      <c r="AK499" s="55"/>
      <c r="AL499" s="55"/>
      <c r="AM499" s="55"/>
      <c r="AN499" s="55"/>
      <c r="AO499" s="55"/>
      <c r="AP499" s="55"/>
      <c r="AQ499" s="55"/>
      <c r="AR499" s="55"/>
      <c r="AS499" s="55"/>
      <c r="AT499" s="55"/>
      <c r="AU499" s="55"/>
      <c r="AV499" s="55"/>
      <c r="AW499" s="55"/>
      <c r="AX499" s="55"/>
      <c r="AY499" s="55"/>
      <c r="AZ499" s="55"/>
      <c r="BA499" s="55"/>
      <c r="BB499" s="55"/>
      <c r="BC499" s="55"/>
      <c r="BD499" s="55"/>
      <c r="BE499" s="55"/>
      <c r="BF499" s="55"/>
      <c r="BG499" s="55"/>
      <c r="BH499" s="55"/>
      <c r="BI499" s="55"/>
      <c r="BJ499" s="55"/>
      <c r="BK499" s="55"/>
      <c r="BL499" s="55"/>
      <c r="BM499" s="55"/>
      <c r="BN499" s="55"/>
      <c r="BO499" s="55"/>
      <c r="BP499" s="55"/>
      <c r="BQ499" s="55"/>
      <c r="BR499" s="55"/>
      <c r="BS499" s="55"/>
    </row>
    <row r="500" spans="3:71" outlineLevel="1" x14ac:dyDescent="0.2">
      <c r="C500" s="11" t="str">
        <f t="shared" si="144"/>
        <v>Impôt sur le revenu</v>
      </c>
      <c r="I500" s="30">
        <f t="shared" ca="1" si="147"/>
        <v>0</v>
      </c>
      <c r="J500" s="26" t="s">
        <v>148</v>
      </c>
      <c r="L500" s="49">
        <f ca="1">L447*HM_ZA_Nkossa!CA_NOC_WI</f>
        <v>0</v>
      </c>
      <c r="M500" s="49">
        <f ca="1">M447*HM_ZA_Nkossa!CA_NOC_WI</f>
        <v>0</v>
      </c>
      <c r="N500" s="49">
        <f ca="1">N447*HM_ZA_Nkossa!CA_NOC_WI</f>
        <v>0</v>
      </c>
      <c r="O500" s="49">
        <f ca="1">O447*HM_ZA_Nkossa!CA_NOC_WI</f>
        <v>0</v>
      </c>
      <c r="P500" s="49">
        <f ca="1">P447*HM_ZA_Nkossa!CA_NOC_WI</f>
        <v>0</v>
      </c>
      <c r="Q500" s="49">
        <f ca="1">Q447*HM_ZA_Nkossa!CA_NOC_WI</f>
        <v>0</v>
      </c>
      <c r="R500" s="49">
        <f ca="1">R447*HM_ZA_Nkossa!CA_NOC_WI</f>
        <v>0</v>
      </c>
      <c r="S500" s="49">
        <f ca="1">S447*HM_ZA_Nkossa!CA_NOC_WI</f>
        <v>0</v>
      </c>
      <c r="T500" s="49">
        <f ca="1">T447*HM_ZA_Nkossa!CA_NOC_WI</f>
        <v>0</v>
      </c>
      <c r="U500" s="49">
        <f ca="1">U447*HM_ZA_Nkossa!CA_NOC_WI</f>
        <v>0</v>
      </c>
      <c r="V500" s="49">
        <f ca="1">V447*HM_ZA_Nkossa!CA_NOC_WI</f>
        <v>0</v>
      </c>
      <c r="W500" s="49">
        <f ca="1">W447*HM_ZA_Nkossa!CA_NOC_WI</f>
        <v>0</v>
      </c>
      <c r="X500" s="49">
        <f ca="1">X447*HM_ZA_Nkossa!CA_NOC_WI</f>
        <v>0</v>
      </c>
      <c r="Y500" s="49">
        <f ca="1">Y447*HM_ZA_Nkossa!CA_NOC_WI</f>
        <v>0</v>
      </c>
      <c r="Z500" s="49">
        <f ca="1">Z447*HM_ZA_Nkossa!CA_NOC_WI</f>
        <v>0</v>
      </c>
      <c r="AA500" s="49">
        <f ca="1">AA447*HM_ZA_Nkossa!CA_NOC_WI</f>
        <v>0</v>
      </c>
      <c r="AB500" s="49">
        <f ca="1">AB447*HM_ZA_Nkossa!CA_NOC_WI</f>
        <v>0</v>
      </c>
      <c r="AC500" s="49">
        <f ca="1">AC447*HM_ZA_Nkossa!CA_NOC_WI</f>
        <v>0</v>
      </c>
      <c r="AD500" s="49">
        <f ca="1">AD447*HM_ZA_Nkossa!CA_NOC_WI</f>
        <v>0</v>
      </c>
      <c r="AE500" s="49">
        <f ca="1">AE447*HM_ZA_Nkossa!CA_NOC_WI</f>
        <v>0</v>
      </c>
      <c r="AF500" s="49">
        <f ca="1">AF447*HM_ZA_Nkossa!CA_NOC_WI</f>
        <v>0</v>
      </c>
      <c r="AG500" s="49">
        <f ca="1">AG447*HM_ZA_Nkossa!CA_NOC_WI</f>
        <v>0</v>
      </c>
      <c r="AH500" s="49">
        <f ca="1">AH447*HM_ZA_Nkossa!CA_NOC_WI</f>
        <v>0</v>
      </c>
      <c r="AI500" s="49">
        <f ca="1">AI447*HM_ZA_Nkossa!CA_NOC_WI</f>
        <v>0</v>
      </c>
      <c r="AJ500" s="49">
        <f ca="1">AJ447*HM_ZA_Nkossa!CA_NOC_WI</f>
        <v>0</v>
      </c>
      <c r="AK500" s="49">
        <f ca="1">AK447*HM_ZA_Nkossa!CA_NOC_WI</f>
        <v>0</v>
      </c>
      <c r="AL500" s="49">
        <f ca="1">AL447*HM_ZA_Nkossa!CA_NOC_WI</f>
        <v>0</v>
      </c>
      <c r="AM500" s="49">
        <f ca="1">AM447*HM_ZA_Nkossa!CA_NOC_WI</f>
        <v>0</v>
      </c>
      <c r="AN500" s="49">
        <f ca="1">AN447*HM_ZA_Nkossa!CA_NOC_WI</f>
        <v>0</v>
      </c>
      <c r="AO500" s="49">
        <f ca="1">AO447*HM_ZA_Nkossa!CA_NOC_WI</f>
        <v>0</v>
      </c>
      <c r="AP500" s="49">
        <f ca="1">AP447*HM_ZA_Nkossa!CA_NOC_WI</f>
        <v>0</v>
      </c>
      <c r="AQ500" s="49">
        <f ca="1">AQ447*HM_ZA_Nkossa!CA_NOC_WI</f>
        <v>0</v>
      </c>
      <c r="AR500" s="49">
        <f ca="1">AR447*HM_ZA_Nkossa!CA_NOC_WI</f>
        <v>0</v>
      </c>
      <c r="AS500" s="49">
        <f ca="1">AS447*HM_ZA_Nkossa!CA_NOC_WI</f>
        <v>0</v>
      </c>
      <c r="AT500" s="49">
        <f ca="1">AT447*HM_ZA_Nkossa!CA_NOC_WI</f>
        <v>0</v>
      </c>
      <c r="AU500" s="49">
        <f ca="1">AU447*HM_ZA_Nkossa!CA_NOC_WI</f>
        <v>0</v>
      </c>
      <c r="AV500" s="49">
        <f ca="1">AV447*HM_ZA_Nkossa!CA_NOC_WI</f>
        <v>0</v>
      </c>
      <c r="AW500" s="49">
        <f ca="1">AW447*HM_ZA_Nkossa!CA_NOC_WI</f>
        <v>0</v>
      </c>
      <c r="AX500" s="49">
        <f ca="1">AX447*HM_ZA_Nkossa!CA_NOC_WI</f>
        <v>0</v>
      </c>
      <c r="AY500" s="49">
        <f ca="1">AY447*HM_ZA_Nkossa!CA_NOC_WI</f>
        <v>0</v>
      </c>
      <c r="AZ500" s="49">
        <f ca="1">AZ447*HM_ZA_Nkossa!CA_NOC_WI</f>
        <v>0</v>
      </c>
      <c r="BA500" s="49">
        <f ca="1">BA447*HM_ZA_Nkossa!CA_NOC_WI</f>
        <v>0</v>
      </c>
      <c r="BB500" s="49">
        <f ca="1">BB447*HM_ZA_Nkossa!CA_NOC_WI</f>
        <v>0</v>
      </c>
      <c r="BC500" s="49">
        <f ca="1">BC447*HM_ZA_Nkossa!CA_NOC_WI</f>
        <v>0</v>
      </c>
      <c r="BD500" s="49">
        <f ca="1">BD447*HM_ZA_Nkossa!CA_NOC_WI</f>
        <v>0</v>
      </c>
      <c r="BE500" s="49">
        <f ca="1">BE447*HM_ZA_Nkossa!CA_NOC_WI</f>
        <v>0</v>
      </c>
      <c r="BF500" s="49">
        <f ca="1">BF447*HM_ZA_Nkossa!CA_NOC_WI</f>
        <v>0</v>
      </c>
      <c r="BG500" s="49">
        <f ca="1">BG447*HM_ZA_Nkossa!CA_NOC_WI</f>
        <v>0</v>
      </c>
      <c r="BH500" s="49">
        <f ca="1">BH447*HM_ZA_Nkossa!CA_NOC_WI</f>
        <v>0</v>
      </c>
      <c r="BI500" s="49">
        <f ca="1">BI447*HM_ZA_Nkossa!CA_NOC_WI</f>
        <v>0</v>
      </c>
      <c r="BJ500" s="49">
        <f ca="1">BJ447*HM_ZA_Nkossa!CA_NOC_WI</f>
        <v>0</v>
      </c>
      <c r="BK500" s="49">
        <f ca="1">BK447*HM_ZA_Nkossa!CA_NOC_WI</f>
        <v>0</v>
      </c>
      <c r="BL500" s="49">
        <f ca="1">BL447*HM_ZA_Nkossa!CA_NOC_WI</f>
        <v>0</v>
      </c>
      <c r="BM500" s="49">
        <f ca="1">BM447*HM_ZA_Nkossa!CA_NOC_WI</f>
        <v>0</v>
      </c>
      <c r="BN500" s="49">
        <f ca="1">BN447*HM_ZA_Nkossa!CA_NOC_WI</f>
        <v>0</v>
      </c>
      <c r="BO500" s="49">
        <f ca="1">BO447*HM_ZA_Nkossa!CA_NOC_WI</f>
        <v>0</v>
      </c>
      <c r="BP500" s="49">
        <f ca="1">BP447*HM_ZA_Nkossa!CA_NOC_WI</f>
        <v>0</v>
      </c>
      <c r="BQ500" s="49">
        <f ca="1">BQ447*HM_ZA_Nkossa!CA_NOC_WI</f>
        <v>0</v>
      </c>
      <c r="BR500" s="49">
        <f ca="1">BR447*HM_ZA_Nkossa!CA_NOC_WI</f>
        <v>0</v>
      </c>
      <c r="BS500" s="49">
        <f ca="1">BS447*HM_ZA_Nkossa!CA_NOC_WI</f>
        <v>0</v>
      </c>
    </row>
    <row r="501" spans="3:71" outlineLevel="1" x14ac:dyDescent="0.2">
      <c r="J501" s="26"/>
      <c r="L501" s="55"/>
      <c r="M501" s="55"/>
      <c r="N501" s="55"/>
      <c r="O501" s="55"/>
      <c r="P501" s="55"/>
      <c r="Q501" s="55"/>
      <c r="R501" s="55"/>
      <c r="S501" s="55"/>
      <c r="T501" s="55"/>
      <c r="U501" s="55"/>
      <c r="V501" s="55"/>
      <c r="W501" s="55"/>
      <c r="X501" s="55"/>
      <c r="Y501" s="55"/>
      <c r="Z501" s="55"/>
      <c r="AA501" s="55"/>
      <c r="AB501" s="55"/>
      <c r="AC501" s="55"/>
      <c r="AD501" s="55"/>
      <c r="AE501" s="55"/>
      <c r="AF501" s="55"/>
      <c r="AG501" s="55"/>
      <c r="AH501" s="55"/>
      <c r="AI501" s="55"/>
      <c r="AJ501" s="55"/>
      <c r="AK501" s="55"/>
      <c r="AL501" s="55"/>
      <c r="AM501" s="55"/>
      <c r="AN501" s="55"/>
      <c r="AO501" s="55"/>
      <c r="AP501" s="55"/>
      <c r="AQ501" s="55"/>
      <c r="AR501" s="55"/>
      <c r="AS501" s="55"/>
      <c r="AT501" s="55"/>
      <c r="AU501" s="55"/>
      <c r="AV501" s="55"/>
      <c r="AW501" s="55"/>
      <c r="AX501" s="55"/>
      <c r="AY501" s="55"/>
      <c r="AZ501" s="55"/>
      <c r="BA501" s="55"/>
      <c r="BB501" s="55"/>
      <c r="BC501" s="55"/>
      <c r="BD501" s="55"/>
      <c r="BE501" s="55"/>
      <c r="BF501" s="55"/>
      <c r="BG501" s="55"/>
      <c r="BH501" s="55"/>
      <c r="BI501" s="55"/>
      <c r="BJ501" s="55"/>
      <c r="BK501" s="55"/>
      <c r="BL501" s="55"/>
      <c r="BM501" s="55"/>
      <c r="BN501" s="55"/>
      <c r="BO501" s="55"/>
      <c r="BP501" s="55"/>
      <c r="BQ501" s="55"/>
      <c r="BR501" s="55"/>
      <c r="BS501" s="55"/>
    </row>
    <row r="502" spans="3:71" outlineLevel="1" x14ac:dyDescent="0.2">
      <c r="C502" s="11" t="str">
        <f t="shared" si="144"/>
        <v>Impôts supplémentaires</v>
      </c>
      <c r="I502" s="30">
        <f t="shared" ca="1" si="147"/>
        <v>0</v>
      </c>
      <c r="J502" s="26" t="s">
        <v>148</v>
      </c>
      <c r="L502" s="49">
        <f ca="1">L449*HM_ZA_Nkossa!CA_NOC_WI</f>
        <v>0</v>
      </c>
      <c r="M502" s="49">
        <f ca="1">M449*HM_ZA_Nkossa!CA_NOC_WI</f>
        <v>0</v>
      </c>
      <c r="N502" s="49">
        <f ca="1">N449*HM_ZA_Nkossa!CA_NOC_WI</f>
        <v>0</v>
      </c>
      <c r="O502" s="49">
        <f ca="1">O449*HM_ZA_Nkossa!CA_NOC_WI</f>
        <v>0</v>
      </c>
      <c r="P502" s="49">
        <f ca="1">P449*HM_ZA_Nkossa!CA_NOC_WI</f>
        <v>0</v>
      </c>
      <c r="Q502" s="49">
        <f ca="1">Q449*HM_ZA_Nkossa!CA_NOC_WI</f>
        <v>0</v>
      </c>
      <c r="R502" s="49">
        <f ca="1">R449*HM_ZA_Nkossa!CA_NOC_WI</f>
        <v>0</v>
      </c>
      <c r="S502" s="49">
        <f ca="1">S449*HM_ZA_Nkossa!CA_NOC_WI</f>
        <v>0</v>
      </c>
      <c r="T502" s="49">
        <f ca="1">T449*HM_ZA_Nkossa!CA_NOC_WI</f>
        <v>0</v>
      </c>
      <c r="U502" s="49">
        <f ca="1">U449*HM_ZA_Nkossa!CA_NOC_WI</f>
        <v>0</v>
      </c>
      <c r="V502" s="49">
        <f ca="1">V449*HM_ZA_Nkossa!CA_NOC_WI</f>
        <v>0</v>
      </c>
      <c r="W502" s="49">
        <f ca="1">W449*HM_ZA_Nkossa!CA_NOC_WI</f>
        <v>0</v>
      </c>
      <c r="X502" s="49">
        <f ca="1">X449*HM_ZA_Nkossa!CA_NOC_WI</f>
        <v>0</v>
      </c>
      <c r="Y502" s="49">
        <f ca="1">Y449*HM_ZA_Nkossa!CA_NOC_WI</f>
        <v>0</v>
      </c>
      <c r="Z502" s="49">
        <f ca="1">Z449*HM_ZA_Nkossa!CA_NOC_WI</f>
        <v>0</v>
      </c>
      <c r="AA502" s="49">
        <f ca="1">AA449*HM_ZA_Nkossa!CA_NOC_WI</f>
        <v>0</v>
      </c>
      <c r="AB502" s="49">
        <f ca="1">AB449*HM_ZA_Nkossa!CA_NOC_WI</f>
        <v>0</v>
      </c>
      <c r="AC502" s="49">
        <f ca="1">AC449*HM_ZA_Nkossa!CA_NOC_WI</f>
        <v>0</v>
      </c>
      <c r="AD502" s="49">
        <f ca="1">AD449*HM_ZA_Nkossa!CA_NOC_WI</f>
        <v>0</v>
      </c>
      <c r="AE502" s="49">
        <f ca="1">AE449*HM_ZA_Nkossa!CA_NOC_WI</f>
        <v>0</v>
      </c>
      <c r="AF502" s="49">
        <f ca="1">AF449*HM_ZA_Nkossa!CA_NOC_WI</f>
        <v>0</v>
      </c>
      <c r="AG502" s="49">
        <f ca="1">AG449*HM_ZA_Nkossa!CA_NOC_WI</f>
        <v>0</v>
      </c>
      <c r="AH502" s="49">
        <f ca="1">AH449*HM_ZA_Nkossa!CA_NOC_WI</f>
        <v>0</v>
      </c>
      <c r="AI502" s="49">
        <f ca="1">AI449*HM_ZA_Nkossa!CA_NOC_WI</f>
        <v>0</v>
      </c>
      <c r="AJ502" s="49">
        <f ca="1">AJ449*HM_ZA_Nkossa!CA_NOC_WI</f>
        <v>0</v>
      </c>
      <c r="AK502" s="49">
        <f ca="1">AK449*HM_ZA_Nkossa!CA_NOC_WI</f>
        <v>0</v>
      </c>
      <c r="AL502" s="49">
        <f ca="1">AL449*HM_ZA_Nkossa!CA_NOC_WI</f>
        <v>0</v>
      </c>
      <c r="AM502" s="49">
        <f ca="1">AM449*HM_ZA_Nkossa!CA_NOC_WI</f>
        <v>0</v>
      </c>
      <c r="AN502" s="49">
        <f ca="1">AN449*HM_ZA_Nkossa!CA_NOC_WI</f>
        <v>0</v>
      </c>
      <c r="AO502" s="49">
        <f ca="1">AO449*HM_ZA_Nkossa!CA_NOC_WI</f>
        <v>0</v>
      </c>
      <c r="AP502" s="49">
        <f ca="1">AP449*HM_ZA_Nkossa!CA_NOC_WI</f>
        <v>0</v>
      </c>
      <c r="AQ502" s="49">
        <f ca="1">AQ449*HM_ZA_Nkossa!CA_NOC_WI</f>
        <v>0</v>
      </c>
      <c r="AR502" s="49">
        <f ca="1">AR449*HM_ZA_Nkossa!CA_NOC_WI</f>
        <v>0</v>
      </c>
      <c r="AS502" s="49">
        <f ca="1">AS449*HM_ZA_Nkossa!CA_NOC_WI</f>
        <v>0</v>
      </c>
      <c r="AT502" s="49">
        <f ca="1">AT449*HM_ZA_Nkossa!CA_NOC_WI</f>
        <v>0</v>
      </c>
      <c r="AU502" s="49">
        <f ca="1">AU449*HM_ZA_Nkossa!CA_NOC_WI</f>
        <v>0</v>
      </c>
      <c r="AV502" s="49">
        <f ca="1">AV449*HM_ZA_Nkossa!CA_NOC_WI</f>
        <v>0</v>
      </c>
      <c r="AW502" s="49">
        <f ca="1">AW449*HM_ZA_Nkossa!CA_NOC_WI</f>
        <v>0</v>
      </c>
      <c r="AX502" s="49">
        <f ca="1">AX449*HM_ZA_Nkossa!CA_NOC_WI</f>
        <v>0</v>
      </c>
      <c r="AY502" s="49">
        <f ca="1">AY449*HM_ZA_Nkossa!CA_NOC_WI</f>
        <v>0</v>
      </c>
      <c r="AZ502" s="49">
        <f ca="1">AZ449*HM_ZA_Nkossa!CA_NOC_WI</f>
        <v>0</v>
      </c>
      <c r="BA502" s="49">
        <f ca="1">BA449*HM_ZA_Nkossa!CA_NOC_WI</f>
        <v>0</v>
      </c>
      <c r="BB502" s="49">
        <f ca="1">BB449*HM_ZA_Nkossa!CA_NOC_WI</f>
        <v>0</v>
      </c>
      <c r="BC502" s="49">
        <f ca="1">BC449*HM_ZA_Nkossa!CA_NOC_WI</f>
        <v>0</v>
      </c>
      <c r="BD502" s="49">
        <f ca="1">BD449*HM_ZA_Nkossa!CA_NOC_WI</f>
        <v>0</v>
      </c>
      <c r="BE502" s="49">
        <f ca="1">BE449*HM_ZA_Nkossa!CA_NOC_WI</f>
        <v>0</v>
      </c>
      <c r="BF502" s="49">
        <f ca="1">BF449*HM_ZA_Nkossa!CA_NOC_WI</f>
        <v>0</v>
      </c>
      <c r="BG502" s="49">
        <f ca="1">BG449*HM_ZA_Nkossa!CA_NOC_WI</f>
        <v>0</v>
      </c>
      <c r="BH502" s="49">
        <f ca="1">BH449*HM_ZA_Nkossa!CA_NOC_WI</f>
        <v>0</v>
      </c>
      <c r="BI502" s="49">
        <f ca="1">BI449*HM_ZA_Nkossa!CA_NOC_WI</f>
        <v>0</v>
      </c>
      <c r="BJ502" s="49">
        <f ca="1">BJ449*HM_ZA_Nkossa!CA_NOC_WI</f>
        <v>0</v>
      </c>
      <c r="BK502" s="49">
        <f ca="1">BK449*HM_ZA_Nkossa!CA_NOC_WI</f>
        <v>0</v>
      </c>
      <c r="BL502" s="49">
        <f ca="1">BL449*HM_ZA_Nkossa!CA_NOC_WI</f>
        <v>0</v>
      </c>
      <c r="BM502" s="49">
        <f ca="1">BM449*HM_ZA_Nkossa!CA_NOC_WI</f>
        <v>0</v>
      </c>
      <c r="BN502" s="49">
        <f ca="1">BN449*HM_ZA_Nkossa!CA_NOC_WI</f>
        <v>0</v>
      </c>
      <c r="BO502" s="49">
        <f ca="1">BO449*HM_ZA_Nkossa!CA_NOC_WI</f>
        <v>0</v>
      </c>
      <c r="BP502" s="49">
        <f ca="1">BP449*HM_ZA_Nkossa!CA_NOC_WI</f>
        <v>0</v>
      </c>
      <c r="BQ502" s="49">
        <f ca="1">BQ449*HM_ZA_Nkossa!CA_NOC_WI</f>
        <v>0</v>
      </c>
      <c r="BR502" s="49">
        <f ca="1">BR449*HM_ZA_Nkossa!CA_NOC_WI</f>
        <v>0</v>
      </c>
      <c r="BS502" s="49">
        <f ca="1">BS449*HM_ZA_Nkossa!CA_NOC_WI</f>
        <v>0</v>
      </c>
    </row>
    <row r="503" spans="3:71" outlineLevel="1" x14ac:dyDescent="0.2">
      <c r="J503" s="26"/>
      <c r="L503" s="55"/>
      <c r="M503" s="55"/>
      <c r="N503" s="55"/>
      <c r="O503" s="55"/>
      <c r="P503" s="55"/>
      <c r="Q503" s="55"/>
      <c r="R503" s="55"/>
      <c r="S503" s="55"/>
      <c r="T503" s="55"/>
      <c r="U503" s="55"/>
      <c r="V503" s="55"/>
      <c r="W503" s="55"/>
      <c r="X503" s="55"/>
      <c r="Y503" s="55"/>
      <c r="Z503" s="55"/>
      <c r="AA503" s="55"/>
      <c r="AB503" s="55"/>
      <c r="AC503" s="55"/>
      <c r="AD503" s="55"/>
      <c r="AE503" s="55"/>
      <c r="AF503" s="55"/>
      <c r="AG503" s="55"/>
      <c r="AH503" s="55"/>
      <c r="AI503" s="55"/>
      <c r="AJ503" s="55"/>
      <c r="AK503" s="55"/>
      <c r="AL503" s="55"/>
      <c r="AM503" s="55"/>
      <c r="AN503" s="55"/>
      <c r="AO503" s="55"/>
      <c r="AP503" s="55"/>
      <c r="AQ503" s="55"/>
      <c r="AR503" s="55"/>
      <c r="AS503" s="55"/>
      <c r="AT503" s="55"/>
      <c r="AU503" s="55"/>
      <c r="AV503" s="55"/>
      <c r="AW503" s="55"/>
      <c r="AX503" s="55"/>
      <c r="AY503" s="55"/>
      <c r="AZ503" s="55"/>
      <c r="BA503" s="55"/>
      <c r="BB503" s="55"/>
      <c r="BC503" s="55"/>
      <c r="BD503" s="55"/>
      <c r="BE503" s="55"/>
      <c r="BF503" s="55"/>
      <c r="BG503" s="55"/>
      <c r="BH503" s="55"/>
      <c r="BI503" s="55"/>
      <c r="BJ503" s="55"/>
      <c r="BK503" s="55"/>
      <c r="BL503" s="55"/>
      <c r="BM503" s="55"/>
      <c r="BN503" s="55"/>
      <c r="BO503" s="55"/>
      <c r="BP503" s="55"/>
      <c r="BQ503" s="55"/>
      <c r="BR503" s="55"/>
      <c r="BS503" s="55"/>
    </row>
    <row r="504" spans="3:71" outlineLevel="1" x14ac:dyDescent="0.2">
      <c r="C504" s="11" t="str">
        <f t="shared" si="144"/>
        <v>Flux de trésorerie après impôts</v>
      </c>
      <c r="F504" s="64" t="b">
        <f ca="1">ROUND(I504+I470-I451,2)=0</f>
        <v>1</v>
      </c>
      <c r="H504" s="7" t="s">
        <v>630</v>
      </c>
      <c r="I504" s="30">
        <f ca="1">SUM($L504:$BS504)</f>
        <v>-55.889622171523911</v>
      </c>
      <c r="J504" s="26" t="s">
        <v>148</v>
      </c>
      <c r="K504" s="7" t="s">
        <v>629</v>
      </c>
      <c r="L504" s="49">
        <f ca="1">L488-L490-L492-L494-L496-L498-L500-L502</f>
        <v>-26.998650198626255</v>
      </c>
      <c r="M504" s="49">
        <f t="shared" ref="M504:BS504" ca="1" si="148">M488-M490-M492-M494-M496-M498-M500-M502</f>
        <v>-25.696531304839127</v>
      </c>
      <c r="N504" s="49">
        <f t="shared" ca="1" si="148"/>
        <v>-25.437179459221117</v>
      </c>
      <c r="O504" s="49">
        <f t="shared" ca="1" si="148"/>
        <v>-20.725372325006997</v>
      </c>
      <c r="P504" s="49">
        <f t="shared" ca="1" si="148"/>
        <v>-25.315380548281492</v>
      </c>
      <c r="Q504" s="49">
        <f t="shared" ca="1" si="148"/>
        <v>-21.366931285164448</v>
      </c>
      <c r="R504" s="49">
        <f t="shared" ca="1" si="148"/>
        <v>-7.5442625565209838</v>
      </c>
      <c r="S504" s="49">
        <f t="shared" ca="1" si="148"/>
        <v>11.34687085335</v>
      </c>
      <c r="T504" s="49">
        <f t="shared" ca="1" si="148"/>
        <v>19.129675347886071</v>
      </c>
      <c r="U504" s="49">
        <f t="shared" ca="1" si="148"/>
        <v>18.974307800102395</v>
      </c>
      <c r="V504" s="49">
        <f t="shared" ca="1" si="148"/>
        <v>17.399289799177136</v>
      </c>
      <c r="W504" s="49">
        <f t="shared" ca="1" si="148"/>
        <v>15.885114710699424</v>
      </c>
      <c r="X504" s="49">
        <f t="shared" ca="1" si="148"/>
        <v>14.459426994921472</v>
      </c>
      <c r="Y504" s="49">
        <f t="shared" ca="1" si="148"/>
        <v>0</v>
      </c>
      <c r="Z504" s="49">
        <f t="shared" ca="1" si="148"/>
        <v>0</v>
      </c>
      <c r="AA504" s="49">
        <f t="shared" ca="1" si="148"/>
        <v>0</v>
      </c>
      <c r="AB504" s="49">
        <f t="shared" ca="1" si="148"/>
        <v>0</v>
      </c>
      <c r="AC504" s="49">
        <f t="shared" ca="1" si="148"/>
        <v>0</v>
      </c>
      <c r="AD504" s="49">
        <f t="shared" ca="1" si="148"/>
        <v>0</v>
      </c>
      <c r="AE504" s="49">
        <f t="shared" ca="1" si="148"/>
        <v>0</v>
      </c>
      <c r="AF504" s="49">
        <f t="shared" ca="1" si="148"/>
        <v>0</v>
      </c>
      <c r="AG504" s="49">
        <f t="shared" ca="1" si="148"/>
        <v>0</v>
      </c>
      <c r="AH504" s="49">
        <f t="shared" ca="1" si="148"/>
        <v>0</v>
      </c>
      <c r="AI504" s="49">
        <f t="shared" ca="1" si="148"/>
        <v>0</v>
      </c>
      <c r="AJ504" s="49">
        <f t="shared" ca="1" si="148"/>
        <v>0</v>
      </c>
      <c r="AK504" s="49">
        <f t="shared" ca="1" si="148"/>
        <v>0</v>
      </c>
      <c r="AL504" s="49">
        <f t="shared" ca="1" si="148"/>
        <v>0</v>
      </c>
      <c r="AM504" s="49">
        <f t="shared" ca="1" si="148"/>
        <v>0</v>
      </c>
      <c r="AN504" s="49">
        <f t="shared" ca="1" si="148"/>
        <v>0</v>
      </c>
      <c r="AO504" s="49">
        <f t="shared" ca="1" si="148"/>
        <v>0</v>
      </c>
      <c r="AP504" s="49">
        <f t="shared" ca="1" si="148"/>
        <v>0</v>
      </c>
      <c r="AQ504" s="49">
        <f t="shared" ca="1" si="148"/>
        <v>0</v>
      </c>
      <c r="AR504" s="49">
        <f t="shared" ca="1" si="148"/>
        <v>0</v>
      </c>
      <c r="AS504" s="49">
        <f t="shared" ca="1" si="148"/>
        <v>0</v>
      </c>
      <c r="AT504" s="49">
        <f t="shared" ca="1" si="148"/>
        <v>0</v>
      </c>
      <c r="AU504" s="49">
        <f t="shared" ca="1" si="148"/>
        <v>0</v>
      </c>
      <c r="AV504" s="49">
        <f t="shared" ca="1" si="148"/>
        <v>0</v>
      </c>
      <c r="AW504" s="49">
        <f t="shared" ca="1" si="148"/>
        <v>0</v>
      </c>
      <c r="AX504" s="49">
        <f t="shared" ca="1" si="148"/>
        <v>0</v>
      </c>
      <c r="AY504" s="49">
        <f t="shared" ca="1" si="148"/>
        <v>0</v>
      </c>
      <c r="AZ504" s="49">
        <f t="shared" ca="1" si="148"/>
        <v>0</v>
      </c>
      <c r="BA504" s="49">
        <f t="shared" ca="1" si="148"/>
        <v>0</v>
      </c>
      <c r="BB504" s="49">
        <f t="shared" ca="1" si="148"/>
        <v>0</v>
      </c>
      <c r="BC504" s="49">
        <f t="shared" ca="1" si="148"/>
        <v>0</v>
      </c>
      <c r="BD504" s="49">
        <f t="shared" ca="1" si="148"/>
        <v>0</v>
      </c>
      <c r="BE504" s="49">
        <f t="shared" ca="1" si="148"/>
        <v>0</v>
      </c>
      <c r="BF504" s="49">
        <f t="shared" ca="1" si="148"/>
        <v>0</v>
      </c>
      <c r="BG504" s="49">
        <f t="shared" ca="1" si="148"/>
        <v>0</v>
      </c>
      <c r="BH504" s="49">
        <f t="shared" ca="1" si="148"/>
        <v>0</v>
      </c>
      <c r="BI504" s="49">
        <f t="shared" ca="1" si="148"/>
        <v>0</v>
      </c>
      <c r="BJ504" s="49">
        <f t="shared" ca="1" si="148"/>
        <v>0</v>
      </c>
      <c r="BK504" s="49">
        <f t="shared" ca="1" si="148"/>
        <v>0</v>
      </c>
      <c r="BL504" s="49">
        <f t="shared" ca="1" si="148"/>
        <v>0</v>
      </c>
      <c r="BM504" s="49">
        <f t="shared" ca="1" si="148"/>
        <v>0</v>
      </c>
      <c r="BN504" s="49">
        <f t="shared" ca="1" si="148"/>
        <v>0</v>
      </c>
      <c r="BO504" s="49">
        <f t="shared" ca="1" si="148"/>
        <v>0</v>
      </c>
      <c r="BP504" s="49">
        <f t="shared" ca="1" si="148"/>
        <v>0</v>
      </c>
      <c r="BQ504" s="49">
        <f t="shared" ca="1" si="148"/>
        <v>0</v>
      </c>
      <c r="BR504" s="49">
        <f t="shared" ca="1" si="148"/>
        <v>0</v>
      </c>
      <c r="BS504" s="49">
        <f t="shared" ca="1" si="148"/>
        <v>0</v>
      </c>
    </row>
    <row r="505" spans="3:71" outlineLevel="1" x14ac:dyDescent="0.2">
      <c r="J505" s="26"/>
      <c r="L505" s="55"/>
      <c r="M505" s="55"/>
      <c r="N505" s="55"/>
      <c r="O505" s="55"/>
      <c r="P505" s="55"/>
      <c r="Q505" s="55"/>
      <c r="R505" s="55"/>
      <c r="S505" s="55"/>
      <c r="T505" s="55"/>
      <c r="U505" s="55"/>
      <c r="V505" s="55"/>
      <c r="W505" s="55"/>
      <c r="X505" s="55"/>
      <c r="Y505" s="55"/>
      <c r="Z505" s="55"/>
      <c r="AA505" s="55"/>
      <c r="AB505" s="55"/>
      <c r="AC505" s="55"/>
      <c r="AD505" s="55"/>
      <c r="AE505" s="55"/>
      <c r="AF505" s="55"/>
      <c r="AG505" s="55"/>
      <c r="AH505" s="55"/>
      <c r="AI505" s="55"/>
      <c r="AJ505" s="55"/>
      <c r="AK505" s="55"/>
      <c r="AL505" s="55"/>
      <c r="AM505" s="55"/>
      <c r="AN505" s="55"/>
      <c r="AO505" s="55"/>
      <c r="AP505" s="55"/>
      <c r="AQ505" s="55"/>
      <c r="AR505" s="55"/>
      <c r="AS505" s="55"/>
      <c r="AT505" s="55"/>
      <c r="AU505" s="55"/>
      <c r="AV505" s="55"/>
      <c r="AW505" s="55"/>
      <c r="AX505" s="55"/>
      <c r="AY505" s="55"/>
      <c r="AZ505" s="55"/>
      <c r="BA505" s="55"/>
      <c r="BB505" s="55"/>
      <c r="BC505" s="55"/>
      <c r="BD505" s="55"/>
      <c r="BE505" s="55"/>
      <c r="BF505" s="55"/>
      <c r="BG505" s="55"/>
      <c r="BH505" s="55"/>
      <c r="BI505" s="55"/>
      <c r="BJ505" s="55"/>
      <c r="BK505" s="55"/>
      <c r="BL505" s="55"/>
      <c r="BM505" s="55"/>
      <c r="BN505" s="55"/>
      <c r="BO505" s="55"/>
      <c r="BP505" s="55"/>
      <c r="BQ505" s="55"/>
      <c r="BR505" s="55"/>
      <c r="BS505" s="55"/>
    </row>
    <row r="506" spans="3:71" outlineLevel="1" x14ac:dyDescent="0.2">
      <c r="C506" s="11" t="str">
        <f t="shared" si="144"/>
        <v>Flux de trésorerie après impôts cumulé</v>
      </c>
      <c r="J506" s="26"/>
      <c r="L506" s="66">
        <f ca="1">(K506+L504)*HM_ZA_Nkossa!CA_op_trig</f>
        <v>-26.998650198626255</v>
      </c>
      <c r="M506" s="66">
        <f ca="1">(L506+M504)*HM_ZA_Nkossa!CA_op_trig</f>
        <v>-52.695181503465378</v>
      </c>
      <c r="N506" s="66">
        <f ca="1">(M506+N504)*HM_ZA_Nkossa!CA_op_trig</f>
        <v>-78.132360962686491</v>
      </c>
      <c r="O506" s="66">
        <f ca="1">(N506+O504)*HM_ZA_Nkossa!CA_op_trig</f>
        <v>-98.857733287693492</v>
      </c>
      <c r="P506" s="66">
        <f ca="1">(O506+P504)*HM_ZA_Nkossa!CA_op_trig</f>
        <v>-124.17311383597499</v>
      </c>
      <c r="Q506" s="66">
        <f ca="1">(P506+Q504)*HM_ZA_Nkossa!CA_op_trig</f>
        <v>-145.54004512113943</v>
      </c>
      <c r="R506" s="66">
        <f ca="1">(Q506+R504)*HM_ZA_Nkossa!CA_op_trig</f>
        <v>-153.08430767766041</v>
      </c>
      <c r="S506" s="66">
        <f ca="1">(R506+S504)*HM_ZA_Nkossa!CA_op_trig</f>
        <v>-141.73743682431041</v>
      </c>
      <c r="T506" s="66">
        <f ca="1">(S506+T504)*HM_ZA_Nkossa!CA_op_trig</f>
        <v>-122.60776147642434</v>
      </c>
      <c r="U506" s="66">
        <f ca="1">(T506+U504)*HM_ZA_Nkossa!CA_op_trig</f>
        <v>-103.63345367632195</v>
      </c>
      <c r="V506" s="66">
        <f ca="1">(U506+V504)*HM_ZA_Nkossa!CA_op_trig</f>
        <v>-86.234163877144809</v>
      </c>
      <c r="W506" s="66">
        <f ca="1">(V506+W504)*HM_ZA_Nkossa!CA_op_trig</f>
        <v>-70.349049166445383</v>
      </c>
      <c r="X506" s="66">
        <f ca="1">(W506+X504)*HM_ZA_Nkossa!CA_op_trig</f>
        <v>-55.889622171523911</v>
      </c>
      <c r="Y506" s="66">
        <f ca="1">(X506+Y504)*HM_ZA_Nkossa!CA_op_trig</f>
        <v>0</v>
      </c>
      <c r="Z506" s="66">
        <f ca="1">(Y506+Z504)*HM_ZA_Nkossa!CA_op_trig</f>
        <v>0</v>
      </c>
      <c r="AA506" s="66">
        <f ca="1">(Z506+AA504)*HM_ZA_Nkossa!CA_op_trig</f>
        <v>0</v>
      </c>
      <c r="AB506" s="66">
        <f ca="1">(AA506+AB504)*HM_ZA_Nkossa!CA_op_trig</f>
        <v>0</v>
      </c>
      <c r="AC506" s="66">
        <f ca="1">(AB506+AC504)*HM_ZA_Nkossa!CA_op_trig</f>
        <v>0</v>
      </c>
      <c r="AD506" s="66">
        <f ca="1">(AC506+AD504)*HM_ZA_Nkossa!CA_op_trig</f>
        <v>0</v>
      </c>
      <c r="AE506" s="66">
        <f ca="1">(AD506+AE504)*HM_ZA_Nkossa!CA_op_trig</f>
        <v>0</v>
      </c>
      <c r="AF506" s="66">
        <f ca="1">(AE506+AF504)*HM_ZA_Nkossa!CA_op_trig</f>
        <v>0</v>
      </c>
      <c r="AG506" s="66">
        <f ca="1">(AF506+AG504)*HM_ZA_Nkossa!CA_op_trig</f>
        <v>0</v>
      </c>
      <c r="AH506" s="66">
        <f ca="1">(AG506+AH504)*HM_ZA_Nkossa!CA_op_trig</f>
        <v>0</v>
      </c>
      <c r="AI506" s="66">
        <f ca="1">(AH506+AI504)*HM_ZA_Nkossa!CA_op_trig</f>
        <v>0</v>
      </c>
      <c r="AJ506" s="66">
        <f ca="1">(AI506+AJ504)*HM_ZA_Nkossa!CA_op_trig</f>
        <v>0</v>
      </c>
      <c r="AK506" s="66">
        <f ca="1">(AJ506+AK504)*HM_ZA_Nkossa!CA_op_trig</f>
        <v>0</v>
      </c>
      <c r="AL506" s="66">
        <f ca="1">(AK506+AL504)*HM_ZA_Nkossa!CA_op_trig</f>
        <v>0</v>
      </c>
      <c r="AM506" s="66">
        <f ca="1">(AL506+AM504)*HM_ZA_Nkossa!CA_op_trig</f>
        <v>0</v>
      </c>
      <c r="AN506" s="66">
        <f ca="1">(AM506+AN504)*HM_ZA_Nkossa!CA_op_trig</f>
        <v>0</v>
      </c>
      <c r="AO506" s="66">
        <f ca="1">(AN506+AO504)*HM_ZA_Nkossa!CA_op_trig</f>
        <v>0</v>
      </c>
      <c r="AP506" s="66">
        <f ca="1">(AO506+AP504)*HM_ZA_Nkossa!CA_op_trig</f>
        <v>0</v>
      </c>
      <c r="AQ506" s="66">
        <f ca="1">(AP506+AQ504)*HM_ZA_Nkossa!CA_op_trig</f>
        <v>0</v>
      </c>
      <c r="AR506" s="66">
        <f ca="1">(AQ506+AR504)*HM_ZA_Nkossa!CA_op_trig</f>
        <v>0</v>
      </c>
      <c r="AS506" s="66">
        <f ca="1">(AR506+AS504)*HM_ZA_Nkossa!CA_op_trig</f>
        <v>0</v>
      </c>
      <c r="AT506" s="66">
        <f ca="1">(AS506+AT504)*HM_ZA_Nkossa!CA_op_trig</f>
        <v>0</v>
      </c>
      <c r="AU506" s="66">
        <f ca="1">(AT506+AU504)*HM_ZA_Nkossa!CA_op_trig</f>
        <v>0</v>
      </c>
      <c r="AV506" s="66">
        <f ca="1">(AU506+AV504)*HM_ZA_Nkossa!CA_op_trig</f>
        <v>0</v>
      </c>
      <c r="AW506" s="66">
        <f ca="1">(AV506+AW504)*HM_ZA_Nkossa!CA_op_trig</f>
        <v>0</v>
      </c>
      <c r="AX506" s="66">
        <f ca="1">(AW506+AX504)*HM_ZA_Nkossa!CA_op_trig</f>
        <v>0</v>
      </c>
      <c r="AY506" s="66">
        <f ca="1">(AX506+AY504)*HM_ZA_Nkossa!CA_op_trig</f>
        <v>0</v>
      </c>
      <c r="AZ506" s="66">
        <f ca="1">(AY506+AZ504)*HM_ZA_Nkossa!CA_op_trig</f>
        <v>0</v>
      </c>
      <c r="BA506" s="66">
        <f ca="1">(AZ506+BA504)*HM_ZA_Nkossa!CA_op_trig</f>
        <v>0</v>
      </c>
      <c r="BB506" s="66">
        <f ca="1">(BA506+BB504)*HM_ZA_Nkossa!CA_op_trig</f>
        <v>0</v>
      </c>
      <c r="BC506" s="66">
        <f ca="1">(BB506+BC504)*HM_ZA_Nkossa!CA_op_trig</f>
        <v>0</v>
      </c>
      <c r="BD506" s="66">
        <f ca="1">(BC506+BD504)*HM_ZA_Nkossa!CA_op_trig</f>
        <v>0</v>
      </c>
      <c r="BE506" s="66">
        <f ca="1">(BD506+BE504)*HM_ZA_Nkossa!CA_op_trig</f>
        <v>0</v>
      </c>
      <c r="BF506" s="66">
        <f ca="1">(BE506+BF504)*HM_ZA_Nkossa!CA_op_trig</f>
        <v>0</v>
      </c>
      <c r="BG506" s="66">
        <f ca="1">(BF506+BG504)*HM_ZA_Nkossa!CA_op_trig</f>
        <v>0</v>
      </c>
      <c r="BH506" s="66">
        <f ca="1">(BG506+BH504)*HM_ZA_Nkossa!CA_op_trig</f>
        <v>0</v>
      </c>
      <c r="BI506" s="66">
        <f ca="1">(BH506+BI504)*HM_ZA_Nkossa!CA_op_trig</f>
        <v>0</v>
      </c>
      <c r="BJ506" s="66">
        <f ca="1">(BI506+BJ504)*HM_ZA_Nkossa!CA_op_trig</f>
        <v>0</v>
      </c>
      <c r="BK506" s="66">
        <f ca="1">(BJ506+BK504)*HM_ZA_Nkossa!CA_op_trig</f>
        <v>0</v>
      </c>
      <c r="BL506" s="66">
        <f ca="1">(BK506+BL504)*HM_ZA_Nkossa!CA_op_trig</f>
        <v>0</v>
      </c>
      <c r="BM506" s="66">
        <f ca="1">(BL506+BM504)*HM_ZA_Nkossa!CA_op_trig</f>
        <v>0</v>
      </c>
      <c r="BN506" s="66">
        <f ca="1">(BM506+BN504)*HM_ZA_Nkossa!CA_op_trig</f>
        <v>0</v>
      </c>
      <c r="BO506" s="66">
        <f ca="1">(BN506+BO504)*HM_ZA_Nkossa!CA_op_trig</f>
        <v>0</v>
      </c>
      <c r="BP506" s="66">
        <f ca="1">(BO506+BP504)*HM_ZA_Nkossa!CA_op_trig</f>
        <v>0</v>
      </c>
      <c r="BQ506" s="66">
        <f ca="1">(BP506+BQ504)*HM_ZA_Nkossa!CA_op_trig</f>
        <v>0</v>
      </c>
      <c r="BR506" s="66">
        <f ca="1">(BQ506+BR504)*HM_ZA_Nkossa!CA_op_trig</f>
        <v>0</v>
      </c>
      <c r="BS506" s="66">
        <f ca="1">(BR506+BS504)*HM_ZA_Nkossa!CA_op_trig</f>
        <v>0</v>
      </c>
    </row>
    <row r="507" spans="3:71" outlineLevel="1" x14ac:dyDescent="0.2">
      <c r="J507" s="26"/>
      <c r="L507" s="55"/>
      <c r="M507" s="55"/>
      <c r="N507" s="55"/>
      <c r="O507" s="55"/>
      <c r="P507" s="55"/>
      <c r="Q507" s="55"/>
      <c r="R507" s="55"/>
      <c r="S507" s="55"/>
      <c r="T507" s="55"/>
      <c r="U507" s="55"/>
      <c r="V507" s="55"/>
      <c r="W507" s="55"/>
      <c r="X507" s="55"/>
      <c r="Y507" s="55"/>
      <c r="Z507" s="55"/>
      <c r="AA507" s="55"/>
      <c r="AB507" s="55"/>
      <c r="AC507" s="55"/>
      <c r="AD507" s="55"/>
      <c r="AE507" s="55"/>
      <c r="AF507" s="55"/>
      <c r="AG507" s="55"/>
      <c r="AH507" s="55"/>
      <c r="AI507" s="55"/>
      <c r="AJ507" s="55"/>
      <c r="AK507" s="55"/>
      <c r="AL507" s="55"/>
      <c r="AM507" s="55"/>
      <c r="AN507" s="55"/>
      <c r="AO507" s="55"/>
      <c r="AP507" s="55"/>
      <c r="AQ507" s="55"/>
      <c r="AR507" s="55"/>
      <c r="AS507" s="55"/>
      <c r="AT507" s="55"/>
      <c r="AU507" s="55"/>
      <c r="AV507" s="55"/>
      <c r="AW507" s="55"/>
      <c r="AX507" s="55"/>
      <c r="AY507" s="55"/>
      <c r="AZ507" s="55"/>
      <c r="BA507" s="55"/>
      <c r="BB507" s="55"/>
      <c r="BC507" s="55"/>
      <c r="BD507" s="55"/>
      <c r="BE507" s="55"/>
      <c r="BF507" s="55"/>
      <c r="BG507" s="55"/>
      <c r="BH507" s="55"/>
      <c r="BI507" s="55"/>
      <c r="BJ507" s="55"/>
      <c r="BK507" s="55"/>
      <c r="BL507" s="55"/>
      <c r="BM507" s="55"/>
      <c r="BN507" s="55"/>
      <c r="BO507" s="55"/>
      <c r="BP507" s="55"/>
      <c r="BQ507" s="55"/>
      <c r="BR507" s="55"/>
      <c r="BS507" s="55"/>
    </row>
    <row r="508" spans="3:71" outlineLevel="1" x14ac:dyDescent="0.2">
      <c r="C508" s="11" t="str">
        <f t="shared" si="144"/>
        <v>VAN cycle complet</v>
      </c>
      <c r="G508" s="60"/>
      <c r="H508" s="7" t="s">
        <v>631</v>
      </c>
      <c r="I508" s="63">
        <f ca="1">SUMPRODUCT(OA_noc_ATCF_Nkossa2017,HM_ZA_Nkossa!CA_disc_factor_fc)</f>
        <v>-12.798114616429956</v>
      </c>
      <c r="J508" s="26" t="s">
        <v>148</v>
      </c>
      <c r="L508" s="55"/>
      <c r="M508" s="55"/>
      <c r="N508" s="55"/>
      <c r="O508" s="55"/>
      <c r="P508" s="55"/>
      <c r="Q508" s="55"/>
      <c r="R508" s="55"/>
      <c r="S508" s="55"/>
      <c r="T508" s="55"/>
      <c r="U508" s="55"/>
      <c r="V508" s="55"/>
      <c r="W508" s="55"/>
      <c r="X508" s="55"/>
      <c r="Y508" s="55"/>
      <c r="Z508" s="55"/>
      <c r="AA508" s="55"/>
      <c r="AB508" s="55"/>
      <c r="AC508" s="55"/>
      <c r="AD508" s="55"/>
      <c r="AE508" s="55"/>
      <c r="AF508" s="55"/>
      <c r="AG508" s="55"/>
      <c r="AH508" s="55"/>
      <c r="AI508" s="55"/>
      <c r="AJ508" s="55"/>
      <c r="AK508" s="55"/>
      <c r="AL508" s="55"/>
      <c r="AM508" s="55"/>
      <c r="AN508" s="55"/>
      <c r="AO508" s="55"/>
      <c r="AP508" s="55"/>
      <c r="AQ508" s="55"/>
      <c r="AR508" s="55"/>
      <c r="AS508" s="55"/>
      <c r="AT508" s="55"/>
      <c r="AU508" s="55"/>
      <c r="AV508" s="55"/>
      <c r="AW508" s="55"/>
      <c r="AX508" s="55"/>
      <c r="AY508" s="55"/>
      <c r="AZ508" s="55"/>
      <c r="BA508" s="55"/>
      <c r="BB508" s="55"/>
      <c r="BC508" s="55"/>
      <c r="BD508" s="55"/>
      <c r="BE508" s="55"/>
      <c r="BF508" s="55"/>
      <c r="BG508" s="55"/>
      <c r="BH508" s="55"/>
      <c r="BI508" s="55"/>
      <c r="BJ508" s="55"/>
      <c r="BK508" s="55"/>
      <c r="BL508" s="55"/>
      <c r="BM508" s="55"/>
      <c r="BN508" s="55"/>
      <c r="BO508" s="55"/>
      <c r="BP508" s="55"/>
      <c r="BQ508" s="55"/>
      <c r="BR508" s="55"/>
      <c r="BS508" s="55"/>
    </row>
    <row r="509" spans="3:71" outlineLevel="1" x14ac:dyDescent="0.2">
      <c r="C509" s="11" t="str">
        <f t="shared" si="144"/>
        <v>VAN à terme</v>
      </c>
      <c r="I509" s="63">
        <f ca="1">SUMPRODUCT(OA_noc_ATCF_Nkossa2017,HM_ZA_Nkossa!CA_disc_factor_pf)</f>
        <v>69.19214072121774</v>
      </c>
      <c r="J509" s="26" t="s">
        <v>148</v>
      </c>
      <c r="L509" s="55"/>
      <c r="M509" s="55"/>
      <c r="N509" s="55"/>
      <c r="O509" s="55"/>
      <c r="P509" s="55"/>
      <c r="Q509" s="55"/>
      <c r="R509" s="55"/>
      <c r="S509" s="55"/>
      <c r="T509" s="55"/>
      <c r="U509" s="55"/>
      <c r="V509" s="55"/>
      <c r="W509" s="55"/>
      <c r="X509" s="55"/>
      <c r="Y509" s="55"/>
      <c r="Z509" s="55"/>
      <c r="AA509" s="55"/>
      <c r="AB509" s="55"/>
      <c r="AC509" s="55"/>
      <c r="AD509" s="55"/>
      <c r="AE509" s="55"/>
      <c r="AF509" s="55"/>
      <c r="AG509" s="55"/>
      <c r="AH509" s="55"/>
      <c r="AI509" s="55"/>
      <c r="AJ509" s="55"/>
      <c r="AK509" s="55"/>
      <c r="AL509" s="55"/>
      <c r="AM509" s="55"/>
      <c r="AN509" s="55"/>
      <c r="AO509" s="55"/>
      <c r="AP509" s="55"/>
      <c r="AQ509" s="55"/>
      <c r="AR509" s="55"/>
      <c r="AS509" s="55"/>
      <c r="AT509" s="55"/>
      <c r="AU509" s="55"/>
      <c r="AV509" s="55"/>
      <c r="AW509" s="55"/>
      <c r="AX509" s="55"/>
      <c r="AY509" s="55"/>
      <c r="AZ509" s="55"/>
      <c r="BA509" s="55"/>
      <c r="BB509" s="55"/>
      <c r="BC509" s="55"/>
      <c r="BD509" s="55"/>
      <c r="BE509" s="55"/>
      <c r="BF509" s="55"/>
      <c r="BG509" s="55"/>
      <c r="BH509" s="55"/>
      <c r="BI509" s="55"/>
      <c r="BJ509" s="55"/>
      <c r="BK509" s="55"/>
      <c r="BL509" s="55"/>
      <c r="BM509" s="55"/>
      <c r="BN509" s="55"/>
      <c r="BO509" s="55"/>
      <c r="BP509" s="55"/>
      <c r="BQ509" s="55"/>
      <c r="BR509" s="55"/>
      <c r="BS509" s="55"/>
    </row>
    <row r="510" spans="3:71" outlineLevel="1" x14ac:dyDescent="0.2">
      <c r="I510" s="61"/>
      <c r="J510" s="26"/>
      <c r="L510" s="55"/>
      <c r="M510" s="55"/>
      <c r="N510" s="55"/>
      <c r="O510" s="55"/>
      <c r="P510" s="55"/>
      <c r="Q510" s="55"/>
      <c r="R510" s="55"/>
      <c r="S510" s="55"/>
      <c r="T510" s="55"/>
      <c r="U510" s="55"/>
      <c r="V510" s="55"/>
      <c r="W510" s="55"/>
      <c r="X510" s="55"/>
      <c r="Y510" s="55"/>
      <c r="Z510" s="55"/>
      <c r="AA510" s="55"/>
      <c r="AB510" s="55"/>
      <c r="AC510" s="55"/>
      <c r="AD510" s="55"/>
      <c r="AE510" s="55"/>
      <c r="AF510" s="55"/>
      <c r="AG510" s="55"/>
      <c r="AH510" s="55"/>
      <c r="AI510" s="55"/>
      <c r="AJ510" s="55"/>
      <c r="AK510" s="55"/>
      <c r="AL510" s="55"/>
      <c r="AM510" s="55"/>
      <c r="AN510" s="55"/>
      <c r="AO510" s="55"/>
      <c r="AP510" s="55"/>
      <c r="AQ510" s="55"/>
      <c r="AR510" s="55"/>
      <c r="AS510" s="55"/>
      <c r="AT510" s="55"/>
      <c r="AU510" s="55"/>
      <c r="AV510" s="55"/>
      <c r="AW510" s="55"/>
      <c r="AX510" s="55"/>
      <c r="AY510" s="55"/>
      <c r="AZ510" s="55"/>
      <c r="BA510" s="55"/>
      <c r="BB510" s="55"/>
      <c r="BC510" s="55"/>
      <c r="BD510" s="55"/>
      <c r="BE510" s="55"/>
      <c r="BF510" s="55"/>
      <c r="BG510" s="55"/>
      <c r="BH510" s="55"/>
      <c r="BI510" s="55"/>
      <c r="BJ510" s="55"/>
      <c r="BK510" s="55"/>
      <c r="BL510" s="55"/>
      <c r="BM510" s="55"/>
      <c r="BN510" s="55"/>
      <c r="BO510" s="55"/>
      <c r="BP510" s="55"/>
      <c r="BQ510" s="55"/>
      <c r="BR510" s="55"/>
      <c r="BS510" s="55"/>
    </row>
    <row r="511" spans="3:71" outlineLevel="1" x14ac:dyDescent="0.2">
      <c r="C511" s="11" t="str">
        <f t="shared" si="144"/>
        <v>TRI cycle complet</v>
      </c>
      <c r="I511" s="62">
        <f ca="1">IFERROR(IRR(INDEX(OA_noc_ATCF_Nkossa2017,1,MAX(1,$G$400-L4+1)):INDEX(OA_noc_ATCF_Nkossa2017,1,last_model_year)),"na")</f>
        <v>-6.3425686958786476E-2</v>
      </c>
      <c r="J511" s="26" t="s">
        <v>90</v>
      </c>
      <c r="L511" s="55"/>
      <c r="M511" s="55"/>
      <c r="N511" s="55"/>
      <c r="O511" s="55"/>
      <c r="P511" s="55"/>
      <c r="Q511" s="55"/>
      <c r="R511" s="55"/>
      <c r="S511" s="55"/>
      <c r="T511" s="55"/>
      <c r="U511" s="55"/>
      <c r="V511" s="55"/>
      <c r="W511" s="55"/>
      <c r="X511" s="55"/>
      <c r="Y511" s="55"/>
      <c r="Z511" s="55"/>
      <c r="AA511" s="55"/>
      <c r="AB511" s="55"/>
      <c r="AC511" s="55"/>
      <c r="AD511" s="55"/>
      <c r="AE511" s="55"/>
      <c r="AF511" s="55"/>
      <c r="AG511" s="55"/>
      <c r="AH511" s="55"/>
      <c r="AI511" s="55"/>
      <c r="AJ511" s="55"/>
      <c r="AK511" s="55"/>
      <c r="AL511" s="55"/>
      <c r="AM511" s="55"/>
      <c r="AN511" s="55"/>
      <c r="AO511" s="55"/>
      <c r="AP511" s="55"/>
      <c r="AQ511" s="55"/>
      <c r="AR511" s="55"/>
      <c r="AS511" s="55"/>
      <c r="AT511" s="55"/>
      <c r="AU511" s="55"/>
      <c r="AV511" s="55"/>
      <c r="AW511" s="55"/>
      <c r="AX511" s="55"/>
      <c r="AY511" s="55"/>
      <c r="AZ511" s="55"/>
      <c r="BA511" s="55"/>
      <c r="BB511" s="55"/>
      <c r="BC511" s="55"/>
      <c r="BD511" s="55"/>
      <c r="BE511" s="55"/>
      <c r="BF511" s="55"/>
      <c r="BG511" s="55"/>
      <c r="BH511" s="55"/>
      <c r="BI511" s="55"/>
      <c r="BJ511" s="55"/>
      <c r="BK511" s="55"/>
      <c r="BL511" s="55"/>
      <c r="BM511" s="55"/>
      <c r="BN511" s="55"/>
      <c r="BO511" s="55"/>
      <c r="BP511" s="55"/>
      <c r="BQ511" s="55"/>
      <c r="BR511" s="55"/>
      <c r="BS511" s="55"/>
    </row>
    <row r="512" spans="3:71" outlineLevel="1" x14ac:dyDescent="0.2">
      <c r="C512" s="11" t="str">
        <f t="shared" si="144"/>
        <v>TRI à terme</v>
      </c>
      <c r="I512" s="62" t="str">
        <f ca="1">IFERROR(IRR(INDEX(OA_noc_ATCF_Nkossa2017,1,MAX(1,$G$401-L4+1)):INDEX(OA_noc_ATCF_Nkossa2017,1,last_model_year)),"na")</f>
        <v>na</v>
      </c>
      <c r="J512" s="26" t="s">
        <v>90</v>
      </c>
      <c r="L512" s="55"/>
      <c r="M512" s="55"/>
      <c r="N512" s="55"/>
      <c r="O512" s="55"/>
      <c r="P512" s="55"/>
      <c r="Q512" s="55"/>
      <c r="R512" s="55"/>
      <c r="S512" s="55"/>
      <c r="T512" s="55"/>
      <c r="U512" s="55"/>
      <c r="V512" s="55"/>
      <c r="W512" s="55"/>
      <c r="X512" s="55"/>
      <c r="Y512" s="55"/>
      <c r="Z512" s="55"/>
      <c r="AA512" s="55"/>
      <c r="AB512" s="55"/>
      <c r="AC512" s="55"/>
      <c r="AD512" s="55"/>
      <c r="AE512" s="55"/>
      <c r="AF512" s="55"/>
      <c r="AG512" s="55"/>
      <c r="AH512" s="55"/>
      <c r="AI512" s="55"/>
      <c r="AJ512" s="55"/>
      <c r="AK512" s="55"/>
      <c r="AL512" s="55"/>
      <c r="AM512" s="55"/>
      <c r="AN512" s="55"/>
      <c r="AO512" s="55"/>
      <c r="AP512" s="55"/>
      <c r="AQ512" s="55"/>
      <c r="AR512" s="55"/>
      <c r="AS512" s="55"/>
      <c r="AT512" s="55"/>
      <c r="AU512" s="55"/>
      <c r="AV512" s="55"/>
      <c r="AW512" s="55"/>
      <c r="AX512" s="55"/>
      <c r="AY512" s="55"/>
      <c r="AZ512" s="55"/>
      <c r="BA512" s="55"/>
      <c r="BB512" s="55"/>
      <c r="BC512" s="55"/>
      <c r="BD512" s="55"/>
      <c r="BE512" s="55"/>
      <c r="BF512" s="55"/>
      <c r="BG512" s="55"/>
      <c r="BH512" s="55"/>
      <c r="BI512" s="55"/>
      <c r="BJ512" s="55"/>
      <c r="BK512" s="55"/>
      <c r="BL512" s="55"/>
      <c r="BM512" s="55"/>
      <c r="BN512" s="55"/>
      <c r="BO512" s="55"/>
      <c r="BP512" s="55"/>
      <c r="BQ512" s="55"/>
      <c r="BR512" s="55"/>
      <c r="BS512" s="55"/>
    </row>
    <row r="513" spans="1:71" outlineLevel="1" x14ac:dyDescent="0.2">
      <c r="J513" s="26"/>
      <c r="L513" s="55"/>
      <c r="M513" s="55"/>
      <c r="N513" s="55"/>
      <c r="O513" s="55"/>
      <c r="P513" s="55"/>
      <c r="Q513" s="55"/>
      <c r="R513" s="55"/>
      <c r="S513" s="55"/>
      <c r="T513" s="55"/>
      <c r="U513" s="55"/>
      <c r="V513" s="55"/>
      <c r="W513" s="55"/>
      <c r="X513" s="55"/>
      <c r="Y513" s="55"/>
      <c r="Z513" s="55"/>
      <c r="AA513" s="55"/>
      <c r="AB513" s="55"/>
      <c r="AC513" s="55"/>
      <c r="AD513" s="55"/>
      <c r="AE513" s="55"/>
      <c r="AF513" s="55"/>
      <c r="AG513" s="55"/>
      <c r="AH513" s="55"/>
      <c r="AI513" s="55"/>
      <c r="AJ513" s="55"/>
      <c r="AK513" s="55"/>
      <c r="AL513" s="55"/>
      <c r="AM513" s="55"/>
      <c r="AN513" s="55"/>
      <c r="AO513" s="55"/>
      <c r="AP513" s="55"/>
      <c r="AQ513" s="55"/>
      <c r="AR513" s="55"/>
      <c r="AS513" s="55"/>
      <c r="AT513" s="55"/>
      <c r="AU513" s="55"/>
      <c r="AV513" s="55"/>
      <c r="AW513" s="55"/>
      <c r="AX513" s="55"/>
      <c r="AY513" s="55"/>
      <c r="AZ513" s="55"/>
      <c r="BA513" s="55"/>
      <c r="BB513" s="55"/>
      <c r="BC513" s="55"/>
      <c r="BD513" s="55"/>
      <c r="BE513" s="55"/>
      <c r="BF513" s="55"/>
      <c r="BG513" s="55"/>
      <c r="BH513" s="55"/>
      <c r="BI513" s="55"/>
      <c r="BJ513" s="55"/>
      <c r="BK513" s="55"/>
      <c r="BL513" s="55"/>
      <c r="BM513" s="55"/>
      <c r="BN513" s="55"/>
      <c r="BO513" s="55"/>
      <c r="BP513" s="55"/>
      <c r="BQ513" s="55"/>
      <c r="BR513" s="55"/>
      <c r="BS513" s="55"/>
    </row>
    <row r="514" spans="1:71" outlineLevel="1" x14ac:dyDescent="0.2">
      <c r="C514" s="11" t="str">
        <f t="shared" si="144"/>
        <v>Période de remboursement</v>
      </c>
      <c r="I514" s="67">
        <f ca="1">COUNTIF(L506:BS506,"&lt;0")+1</f>
        <v>14</v>
      </c>
      <c r="J514" s="26"/>
      <c r="L514" s="55"/>
      <c r="M514" s="55"/>
      <c r="N514" s="55"/>
      <c r="O514" s="55"/>
      <c r="P514" s="55"/>
      <c r="Q514" s="55"/>
      <c r="R514" s="55"/>
      <c r="S514" s="55"/>
      <c r="T514" s="55"/>
      <c r="U514" s="55"/>
      <c r="V514" s="55"/>
      <c r="W514" s="55"/>
      <c r="X514" s="55"/>
      <c r="Y514" s="55"/>
      <c r="Z514" s="55"/>
      <c r="AA514" s="55"/>
      <c r="AB514" s="55"/>
      <c r="AC514" s="55"/>
      <c r="AD514" s="55"/>
      <c r="AE514" s="55"/>
      <c r="AF514" s="55"/>
      <c r="AG514" s="55"/>
      <c r="AH514" s="55"/>
      <c r="AI514" s="55"/>
      <c r="AJ514" s="55"/>
      <c r="AK514" s="55"/>
      <c r="AL514" s="55"/>
      <c r="AM514" s="55"/>
      <c r="AN514" s="55"/>
      <c r="AO514" s="55"/>
      <c r="AP514" s="55"/>
      <c r="AQ514" s="55"/>
      <c r="AR514" s="55"/>
      <c r="AS514" s="55"/>
      <c r="AT514" s="55"/>
      <c r="AU514" s="55"/>
      <c r="AV514" s="55"/>
      <c r="AW514" s="55"/>
      <c r="AX514" s="55"/>
      <c r="AY514" s="55"/>
      <c r="AZ514" s="55"/>
      <c r="BA514" s="55"/>
      <c r="BB514" s="55"/>
      <c r="BC514" s="55"/>
      <c r="BD514" s="55"/>
      <c r="BE514" s="55"/>
      <c r="BF514" s="55"/>
      <c r="BG514" s="55"/>
      <c r="BH514" s="55"/>
      <c r="BI514" s="55"/>
      <c r="BJ514" s="55"/>
      <c r="BK514" s="55"/>
      <c r="BL514" s="55"/>
      <c r="BM514" s="55"/>
      <c r="BN514" s="55"/>
      <c r="BO514" s="55"/>
      <c r="BP514" s="55"/>
      <c r="BQ514" s="55"/>
      <c r="BR514" s="55"/>
      <c r="BS514" s="55"/>
    </row>
    <row r="515" spans="1:71" outlineLevel="1" x14ac:dyDescent="0.2">
      <c r="J515" s="26"/>
      <c r="L515" s="55"/>
      <c r="M515" s="55"/>
      <c r="N515" s="55"/>
      <c r="O515" s="55"/>
      <c r="P515" s="55"/>
      <c r="Q515" s="55"/>
      <c r="R515" s="55"/>
      <c r="S515" s="55"/>
      <c r="T515" s="55"/>
      <c r="U515" s="55"/>
      <c r="V515" s="55"/>
      <c r="W515" s="55"/>
      <c r="X515" s="55"/>
      <c r="Y515" s="55"/>
      <c r="Z515" s="55"/>
      <c r="AA515" s="55"/>
      <c r="AB515" s="55"/>
      <c r="AC515" s="55"/>
      <c r="AD515" s="55"/>
      <c r="AE515" s="55"/>
      <c r="AF515" s="55"/>
      <c r="AG515" s="55"/>
      <c r="AH515" s="55"/>
      <c r="AI515" s="55"/>
      <c r="AJ515" s="55"/>
      <c r="AK515" s="55"/>
      <c r="AL515" s="55"/>
      <c r="AM515" s="55"/>
      <c r="AN515" s="55"/>
      <c r="AO515" s="55"/>
      <c r="AP515" s="55"/>
      <c r="AQ515" s="55"/>
      <c r="AR515" s="55"/>
      <c r="AS515" s="55"/>
      <c r="AT515" s="55"/>
      <c r="AU515" s="55"/>
      <c r="AV515" s="55"/>
      <c r="AW515" s="55"/>
      <c r="AX515" s="55"/>
      <c r="AY515" s="55"/>
      <c r="AZ515" s="55"/>
      <c r="BA515" s="55"/>
      <c r="BB515" s="55"/>
      <c r="BC515" s="55"/>
      <c r="BD515" s="55"/>
      <c r="BE515" s="55"/>
      <c r="BF515" s="55"/>
      <c r="BG515" s="55"/>
      <c r="BH515" s="55"/>
      <c r="BI515" s="55"/>
      <c r="BJ515" s="55"/>
      <c r="BK515" s="55"/>
      <c r="BL515" s="55"/>
      <c r="BM515" s="55"/>
      <c r="BN515" s="55"/>
      <c r="BO515" s="55"/>
      <c r="BP515" s="55"/>
      <c r="BQ515" s="55"/>
      <c r="BR515" s="55"/>
      <c r="BS515" s="55"/>
    </row>
    <row r="516" spans="1:71" outlineLevel="1" x14ac:dyDescent="0.2">
      <c r="J516" s="26"/>
      <c r="L516" s="55"/>
      <c r="M516" s="55"/>
      <c r="N516" s="55"/>
      <c r="O516" s="55"/>
      <c r="P516" s="55"/>
      <c r="Q516" s="55"/>
      <c r="R516" s="55"/>
      <c r="S516" s="55"/>
      <c r="T516" s="55"/>
      <c r="U516" s="55"/>
      <c r="V516" s="55"/>
      <c r="W516" s="55"/>
      <c r="X516" s="55"/>
      <c r="Y516" s="55"/>
      <c r="Z516" s="55"/>
      <c r="AA516" s="55"/>
      <c r="AB516" s="55"/>
      <c r="AC516" s="55"/>
      <c r="AD516" s="55"/>
      <c r="AE516" s="55"/>
      <c r="AF516" s="55"/>
      <c r="AG516" s="55"/>
      <c r="AH516" s="55"/>
      <c r="AI516" s="55"/>
      <c r="AJ516" s="55"/>
      <c r="AK516" s="55"/>
      <c r="AL516" s="55"/>
      <c r="AM516" s="55"/>
      <c r="AN516" s="55"/>
      <c r="AO516" s="55"/>
      <c r="AP516" s="55"/>
      <c r="AQ516" s="55"/>
      <c r="AR516" s="55"/>
      <c r="AS516" s="55"/>
      <c r="AT516" s="55"/>
      <c r="AU516" s="55"/>
      <c r="AV516" s="55"/>
      <c r="AW516" s="55"/>
      <c r="AX516" s="55"/>
      <c r="AY516" s="55"/>
      <c r="AZ516" s="55"/>
      <c r="BA516" s="55"/>
      <c r="BB516" s="55"/>
      <c r="BC516" s="55"/>
      <c r="BD516" s="55"/>
      <c r="BE516" s="55"/>
      <c r="BF516" s="55"/>
      <c r="BG516" s="55"/>
      <c r="BH516" s="55"/>
      <c r="BI516" s="55"/>
      <c r="BJ516" s="55"/>
      <c r="BK516" s="55"/>
      <c r="BL516" s="55"/>
      <c r="BM516" s="55"/>
      <c r="BN516" s="55"/>
      <c r="BO516" s="55"/>
      <c r="BP516" s="55"/>
      <c r="BQ516" s="55"/>
      <c r="BR516" s="55"/>
      <c r="BS516" s="55"/>
    </row>
    <row r="517" spans="1:71" outlineLevel="1" x14ac:dyDescent="0.2">
      <c r="J517" s="26"/>
      <c r="L517" s="55"/>
      <c r="M517" s="55"/>
      <c r="N517" s="55"/>
      <c r="O517" s="55"/>
      <c r="P517" s="55"/>
      <c r="Q517" s="55"/>
      <c r="R517" s="55"/>
      <c r="S517" s="55"/>
      <c r="T517" s="55"/>
      <c r="U517" s="55"/>
      <c r="V517" s="55"/>
      <c r="W517" s="55"/>
      <c r="X517" s="55"/>
      <c r="Y517" s="55"/>
      <c r="Z517" s="55"/>
      <c r="AA517" s="55"/>
      <c r="AB517" s="55"/>
      <c r="AC517" s="55"/>
      <c r="AD517" s="55"/>
      <c r="AE517" s="55"/>
      <c r="AF517" s="55"/>
      <c r="AG517" s="55"/>
      <c r="AH517" s="55"/>
      <c r="AI517" s="55"/>
      <c r="AJ517" s="55"/>
      <c r="AK517" s="55"/>
      <c r="AL517" s="55"/>
      <c r="AM517" s="55"/>
      <c r="AN517" s="55"/>
      <c r="AO517" s="55"/>
      <c r="AP517" s="55"/>
      <c r="AQ517" s="55"/>
      <c r="AR517" s="55"/>
      <c r="AS517" s="55"/>
      <c r="AT517" s="55"/>
      <c r="AU517" s="55"/>
      <c r="AV517" s="55"/>
      <c r="AW517" s="55"/>
      <c r="AX517" s="55"/>
      <c r="AY517" s="55"/>
      <c r="AZ517" s="55"/>
      <c r="BA517" s="55"/>
      <c r="BB517" s="55"/>
      <c r="BC517" s="55"/>
      <c r="BD517" s="55"/>
      <c r="BE517" s="55"/>
      <c r="BF517" s="55"/>
      <c r="BG517" s="55"/>
      <c r="BH517" s="55"/>
      <c r="BI517" s="55"/>
      <c r="BJ517" s="55"/>
      <c r="BK517" s="55"/>
      <c r="BL517" s="55"/>
      <c r="BM517" s="55"/>
      <c r="BN517" s="55"/>
      <c r="BO517" s="55"/>
      <c r="BP517" s="55"/>
      <c r="BQ517" s="55"/>
      <c r="BR517" s="55"/>
      <c r="BS517" s="55"/>
    </row>
    <row r="518" spans="1:71" outlineLevel="1" x14ac:dyDescent="0.2">
      <c r="J518" s="26"/>
      <c r="L518" s="55"/>
      <c r="M518" s="55"/>
      <c r="N518" s="55"/>
      <c r="O518" s="55"/>
      <c r="P518" s="55"/>
      <c r="Q518" s="55"/>
      <c r="R518" s="55"/>
      <c r="S518" s="55"/>
      <c r="T518" s="55"/>
      <c r="U518" s="55"/>
      <c r="V518" s="55"/>
      <c r="W518" s="55"/>
      <c r="X518" s="55"/>
      <c r="Y518" s="55"/>
      <c r="Z518" s="55"/>
      <c r="AA518" s="55"/>
      <c r="AB518" s="55"/>
      <c r="AC518" s="55"/>
      <c r="AD518" s="55"/>
      <c r="AE518" s="55"/>
      <c r="AF518" s="55"/>
      <c r="AG518" s="55"/>
      <c r="AH518" s="55"/>
      <c r="AI518" s="55"/>
      <c r="AJ518" s="55"/>
      <c r="AK518" s="55"/>
      <c r="AL518" s="55"/>
      <c r="AM518" s="55"/>
      <c r="AN518" s="55"/>
      <c r="AO518" s="55"/>
      <c r="AP518" s="55"/>
      <c r="AQ518" s="55"/>
      <c r="AR518" s="55"/>
      <c r="AS518" s="55"/>
      <c r="AT518" s="55"/>
      <c r="AU518" s="55"/>
      <c r="AV518" s="55"/>
      <c r="AW518" s="55"/>
      <c r="AX518" s="55"/>
      <c r="AY518" s="55"/>
      <c r="AZ518" s="55"/>
      <c r="BA518" s="55"/>
      <c r="BB518" s="55"/>
      <c r="BC518" s="55"/>
      <c r="BD518" s="55"/>
      <c r="BE518" s="55"/>
      <c r="BF518" s="55"/>
      <c r="BG518" s="55"/>
      <c r="BH518" s="55"/>
      <c r="BI518" s="55"/>
      <c r="BJ518" s="55"/>
      <c r="BK518" s="55"/>
      <c r="BL518" s="55"/>
      <c r="BM518" s="55"/>
      <c r="BN518" s="55"/>
      <c r="BO518" s="55"/>
      <c r="BP518" s="55"/>
      <c r="BQ518" s="55"/>
      <c r="BR518" s="55"/>
      <c r="BS518" s="55"/>
    </row>
    <row r="519" spans="1:71" outlineLevel="1" x14ac:dyDescent="0.2">
      <c r="J519" s="26"/>
      <c r="L519" s="55"/>
      <c r="M519" s="55"/>
      <c r="N519" s="55"/>
      <c r="O519" s="55"/>
      <c r="P519" s="55"/>
      <c r="Q519" s="55"/>
      <c r="R519" s="55"/>
      <c r="S519" s="55"/>
      <c r="T519" s="55"/>
      <c r="U519" s="55"/>
      <c r="V519" s="55"/>
      <c r="W519" s="55"/>
      <c r="X519" s="55"/>
      <c r="Y519" s="55"/>
      <c r="Z519" s="55"/>
      <c r="AA519" s="55"/>
      <c r="AB519" s="55"/>
      <c r="AC519" s="55"/>
      <c r="AD519" s="55"/>
      <c r="AE519" s="55"/>
      <c r="AF519" s="55"/>
      <c r="AG519" s="55"/>
      <c r="AH519" s="55"/>
      <c r="AI519" s="55"/>
      <c r="AJ519" s="55"/>
      <c r="AK519" s="55"/>
      <c r="AL519" s="55"/>
      <c r="AM519" s="55"/>
      <c r="AN519" s="55"/>
      <c r="AO519" s="55"/>
      <c r="AP519" s="55"/>
      <c r="AQ519" s="55"/>
      <c r="AR519" s="55"/>
      <c r="AS519" s="55"/>
      <c r="AT519" s="55"/>
      <c r="AU519" s="55"/>
      <c r="AV519" s="55"/>
      <c r="AW519" s="55"/>
      <c r="AX519" s="55"/>
      <c r="AY519" s="55"/>
      <c r="AZ519" s="55"/>
      <c r="BA519" s="55"/>
      <c r="BB519" s="55"/>
      <c r="BC519" s="55"/>
      <c r="BD519" s="55"/>
      <c r="BE519" s="55"/>
      <c r="BF519" s="55"/>
      <c r="BG519" s="55"/>
      <c r="BH519" s="55"/>
      <c r="BI519" s="55"/>
      <c r="BJ519" s="55"/>
      <c r="BK519" s="55"/>
      <c r="BL519" s="55"/>
      <c r="BM519" s="55"/>
      <c r="BN519" s="55"/>
      <c r="BO519" s="55"/>
      <c r="BP519" s="55"/>
      <c r="BQ519" s="55"/>
      <c r="BR519" s="55"/>
      <c r="BS519" s="55"/>
    </row>
    <row r="520" spans="1:71" outlineLevel="1" x14ac:dyDescent="0.2">
      <c r="A520" s="45"/>
      <c r="B520" s="38" t="str">
        <f>CHOOSE(db_ML_selected,'Liste Traduction'!B144,'Liste Traduction'!C144)</f>
        <v>Flux de trésorerie du Gouv.</v>
      </c>
      <c r="C520" s="45"/>
      <c r="D520" s="45"/>
      <c r="E520" s="45"/>
      <c r="J520" s="26"/>
      <c r="L520" s="55"/>
      <c r="M520" s="55"/>
      <c r="N520" s="55"/>
      <c r="O520" s="55"/>
      <c r="P520" s="55"/>
      <c r="Q520" s="55"/>
      <c r="R520" s="55"/>
      <c r="S520" s="55"/>
      <c r="T520" s="55"/>
      <c r="U520" s="55"/>
      <c r="V520" s="55"/>
      <c r="W520" s="55"/>
      <c r="X520" s="55"/>
      <c r="Y520" s="55"/>
      <c r="Z520" s="55"/>
      <c r="AA520" s="55"/>
      <c r="AB520" s="55"/>
      <c r="AC520" s="55"/>
      <c r="AD520" s="55"/>
      <c r="AE520" s="55"/>
      <c r="AF520" s="55"/>
      <c r="AG520" s="55"/>
      <c r="AH520" s="55"/>
      <c r="AI520" s="55"/>
      <c r="AJ520" s="55"/>
      <c r="AK520" s="55"/>
      <c r="AL520" s="55"/>
      <c r="AM520" s="55"/>
      <c r="AN520" s="55"/>
      <c r="AO520" s="55"/>
      <c r="AP520" s="55"/>
      <c r="AQ520" s="55"/>
      <c r="AR520" s="55"/>
      <c r="AS520" s="55"/>
      <c r="AT520" s="55"/>
      <c r="AU520" s="55"/>
      <c r="AV520" s="55"/>
      <c r="AW520" s="55"/>
      <c r="AX520" s="55"/>
      <c r="AY520" s="55"/>
      <c r="AZ520" s="55"/>
      <c r="BA520" s="55"/>
      <c r="BB520" s="55"/>
      <c r="BC520" s="55"/>
      <c r="BD520" s="55"/>
      <c r="BE520" s="55"/>
      <c r="BF520" s="55"/>
      <c r="BG520" s="55"/>
      <c r="BH520" s="55"/>
      <c r="BI520" s="55"/>
      <c r="BJ520" s="55"/>
      <c r="BK520" s="55"/>
      <c r="BL520" s="55"/>
      <c r="BM520" s="55"/>
      <c r="BN520" s="55"/>
      <c r="BO520" s="55"/>
      <c r="BP520" s="55"/>
      <c r="BQ520" s="55"/>
      <c r="BR520" s="55"/>
      <c r="BS520" s="55"/>
    </row>
    <row r="521" spans="1:71" outlineLevel="1" x14ac:dyDescent="0.2">
      <c r="J521" s="26"/>
      <c r="L521" s="55"/>
      <c r="M521" s="55"/>
      <c r="N521" s="55"/>
      <c r="O521" s="55"/>
      <c r="P521" s="55"/>
      <c r="Q521" s="55"/>
      <c r="R521" s="55"/>
      <c r="S521" s="55"/>
      <c r="T521" s="55"/>
      <c r="U521" s="55"/>
      <c r="V521" s="55"/>
      <c r="W521" s="55"/>
      <c r="X521" s="55"/>
      <c r="Y521" s="55"/>
      <c r="Z521" s="55"/>
      <c r="AA521" s="55"/>
      <c r="AB521" s="55"/>
      <c r="AC521" s="55"/>
      <c r="AD521" s="55"/>
      <c r="AE521" s="55"/>
      <c r="AF521" s="55"/>
      <c r="AG521" s="55"/>
      <c r="AH521" s="55"/>
      <c r="AI521" s="55"/>
      <c r="AJ521" s="55"/>
      <c r="AK521" s="55"/>
      <c r="AL521" s="55"/>
      <c r="AM521" s="55"/>
      <c r="AN521" s="55"/>
      <c r="AO521" s="55"/>
      <c r="AP521" s="55"/>
      <c r="AQ521" s="55"/>
      <c r="AR521" s="55"/>
      <c r="AS521" s="55"/>
      <c r="AT521" s="55"/>
      <c r="AU521" s="55"/>
      <c r="AV521" s="55"/>
      <c r="AW521" s="55"/>
      <c r="AX521" s="55"/>
      <c r="AY521" s="55"/>
      <c r="AZ521" s="55"/>
      <c r="BA521" s="55"/>
      <c r="BB521" s="55"/>
      <c r="BC521" s="55"/>
      <c r="BD521" s="55"/>
      <c r="BE521" s="55"/>
      <c r="BF521" s="55"/>
      <c r="BG521" s="55"/>
      <c r="BH521" s="55"/>
      <c r="BI521" s="55"/>
      <c r="BJ521" s="55"/>
      <c r="BK521" s="55"/>
      <c r="BL521" s="55"/>
      <c r="BM521" s="55"/>
      <c r="BN521" s="55"/>
      <c r="BO521" s="55"/>
      <c r="BP521" s="55"/>
      <c r="BQ521" s="55"/>
      <c r="BR521" s="55"/>
      <c r="BS521" s="55"/>
    </row>
    <row r="522" spans="1:71" outlineLevel="1" x14ac:dyDescent="0.2">
      <c r="C522" s="11" t="str">
        <f>C409</f>
        <v>Revenus</v>
      </c>
      <c r="J522" s="26"/>
      <c r="L522" s="55"/>
      <c r="M522" s="55"/>
      <c r="N522" s="55"/>
      <c r="O522" s="55"/>
      <c r="P522" s="55"/>
      <c r="Q522" s="55"/>
      <c r="R522" s="55"/>
      <c r="S522" s="55"/>
      <c r="T522" s="55"/>
      <c r="U522" s="55"/>
      <c r="V522" s="55"/>
      <c r="W522" s="55"/>
      <c r="X522" s="55"/>
      <c r="Y522" s="55"/>
      <c r="Z522" s="55"/>
      <c r="AA522" s="55"/>
      <c r="AB522" s="55"/>
      <c r="AC522" s="55"/>
      <c r="AD522" s="55"/>
      <c r="AE522" s="55"/>
      <c r="AF522" s="55"/>
      <c r="AG522" s="55"/>
      <c r="AH522" s="55"/>
      <c r="AI522" s="55"/>
      <c r="AJ522" s="55"/>
      <c r="AK522" s="55"/>
      <c r="AL522" s="55"/>
      <c r="AM522" s="55"/>
      <c r="AN522" s="55"/>
      <c r="AO522" s="55"/>
      <c r="AP522" s="55"/>
      <c r="AQ522" s="55"/>
      <c r="AR522" s="55"/>
      <c r="AS522" s="55"/>
      <c r="AT522" s="55"/>
      <c r="AU522" s="55"/>
      <c r="AV522" s="55"/>
      <c r="AW522" s="55"/>
      <c r="AX522" s="55"/>
      <c r="AY522" s="55"/>
      <c r="AZ522" s="55"/>
      <c r="BA522" s="55"/>
      <c r="BB522" s="55"/>
      <c r="BC522" s="55"/>
      <c r="BD522" s="55"/>
      <c r="BE522" s="55"/>
      <c r="BF522" s="55"/>
      <c r="BG522" s="55"/>
      <c r="BH522" s="55"/>
      <c r="BI522" s="55"/>
      <c r="BJ522" s="55"/>
      <c r="BK522" s="55"/>
      <c r="BL522" s="55"/>
      <c r="BM522" s="55"/>
      <c r="BN522" s="55"/>
      <c r="BO522" s="55"/>
      <c r="BP522" s="55"/>
      <c r="BQ522" s="55"/>
      <c r="BR522" s="55"/>
      <c r="BS522" s="55"/>
    </row>
    <row r="523" spans="1:71" outlineLevel="1" x14ac:dyDescent="0.2">
      <c r="D523" t="str">
        <f>C215</f>
        <v>Redevance</v>
      </c>
      <c r="H523" s="7" t="s">
        <v>632</v>
      </c>
      <c r="I523" s="30">
        <f t="shared" ref="I523:I538" ca="1" si="149">SUM($L523:$BS523)</f>
        <v>757.08356447842982</v>
      </c>
      <c r="J523" s="26" t="s">
        <v>148</v>
      </c>
      <c r="L523" s="49" cm="1">
        <f t="array" aca="1" ref="L523:BS523" ca="1">HM_ZA_Nkossa!CA_roy_total_fp</f>
        <v>110.36562431399997</v>
      </c>
      <c r="M523" s="49">
        <f ca="1"/>
        <v>117.31852790544001</v>
      </c>
      <c r="N523" s="49">
        <f ca="1"/>
        <v>51.904013774159985</v>
      </c>
      <c r="O523" s="49">
        <f ca="1"/>
        <v>48.572410277279999</v>
      </c>
      <c r="P523" s="49">
        <f ca="1"/>
        <v>65.006042683650008</v>
      </c>
      <c r="Q523" s="49">
        <f ca="1"/>
        <v>69.492167698949999</v>
      </c>
      <c r="R523" s="49">
        <f ca="1"/>
        <v>66.5478078891</v>
      </c>
      <c r="S523" s="49">
        <f ca="1"/>
        <v>30.836044715</v>
      </c>
      <c r="T523" s="49">
        <f ca="1"/>
        <v>41.963297605631986</v>
      </c>
      <c r="U523" s="49">
        <f ca="1"/>
        <v>41.889866376959993</v>
      </c>
      <c r="V523" s="49">
        <f ca="1"/>
        <v>39.736727245184241</v>
      </c>
      <c r="W523" s="49">
        <f ca="1"/>
        <v>37.694259464781773</v>
      </c>
      <c r="X523" s="49">
        <f ca="1"/>
        <v>35.756774528291992</v>
      </c>
      <c r="Y523" s="49">
        <f ca="1"/>
        <v>0</v>
      </c>
      <c r="Z523" s="49">
        <f ca="1"/>
        <v>0</v>
      </c>
      <c r="AA523" s="49">
        <f ca="1"/>
        <v>0</v>
      </c>
      <c r="AB523" s="49">
        <f ca="1"/>
        <v>0</v>
      </c>
      <c r="AC523" s="49">
        <f ca="1"/>
        <v>0</v>
      </c>
      <c r="AD523" s="49">
        <f ca="1"/>
        <v>0</v>
      </c>
      <c r="AE523" s="49">
        <f ca="1"/>
        <v>0</v>
      </c>
      <c r="AF523" s="49">
        <f ca="1"/>
        <v>0</v>
      </c>
      <c r="AG523" s="49">
        <f ca="1"/>
        <v>0</v>
      </c>
      <c r="AH523" s="49">
        <f ca="1"/>
        <v>0</v>
      </c>
      <c r="AI523" s="49">
        <f ca="1"/>
        <v>0</v>
      </c>
      <c r="AJ523" s="49">
        <f ca="1"/>
        <v>0</v>
      </c>
      <c r="AK523" s="49">
        <f ca="1"/>
        <v>0</v>
      </c>
      <c r="AL523" s="49">
        <f ca="1"/>
        <v>0</v>
      </c>
      <c r="AM523" s="49">
        <f ca="1"/>
        <v>0</v>
      </c>
      <c r="AN523" s="49">
        <f ca="1"/>
        <v>0</v>
      </c>
      <c r="AO523" s="49">
        <f ca="1"/>
        <v>0</v>
      </c>
      <c r="AP523" s="49">
        <f ca="1"/>
        <v>0</v>
      </c>
      <c r="AQ523" s="49">
        <f ca="1"/>
        <v>0</v>
      </c>
      <c r="AR523" s="49">
        <f ca="1"/>
        <v>0</v>
      </c>
      <c r="AS523" s="49">
        <f ca="1"/>
        <v>0</v>
      </c>
      <c r="AT523" s="49">
        <f ca="1"/>
        <v>0</v>
      </c>
      <c r="AU523" s="49">
        <f ca="1"/>
        <v>0</v>
      </c>
      <c r="AV523" s="49">
        <f ca="1"/>
        <v>0</v>
      </c>
      <c r="AW523" s="49">
        <f ca="1"/>
        <v>0</v>
      </c>
      <c r="AX523" s="49">
        <f ca="1"/>
        <v>0</v>
      </c>
      <c r="AY523" s="49">
        <f ca="1"/>
        <v>0</v>
      </c>
      <c r="AZ523" s="49">
        <f ca="1"/>
        <v>0</v>
      </c>
      <c r="BA523" s="49">
        <f ca="1"/>
        <v>0</v>
      </c>
      <c r="BB523" s="49">
        <f ca="1"/>
        <v>0</v>
      </c>
      <c r="BC523" s="49">
        <f ca="1"/>
        <v>0</v>
      </c>
      <c r="BD523" s="49">
        <f ca="1"/>
        <v>0</v>
      </c>
      <c r="BE523" s="49">
        <f ca="1"/>
        <v>0</v>
      </c>
      <c r="BF523" s="49">
        <f ca="1"/>
        <v>0</v>
      </c>
      <c r="BG523" s="49">
        <f ca="1"/>
        <v>0</v>
      </c>
      <c r="BH523" s="49">
        <f ca="1"/>
        <v>0</v>
      </c>
      <c r="BI523" s="49">
        <f ca="1"/>
        <v>0</v>
      </c>
      <c r="BJ523" s="49">
        <f ca="1"/>
        <v>0</v>
      </c>
      <c r="BK523" s="49">
        <f ca="1"/>
        <v>0</v>
      </c>
      <c r="BL523" s="49">
        <f ca="1"/>
        <v>0</v>
      </c>
      <c r="BM523" s="49">
        <f ca="1"/>
        <v>0</v>
      </c>
      <c r="BN523" s="49">
        <f ca="1"/>
        <v>0</v>
      </c>
      <c r="BO523" s="49">
        <f ca="1"/>
        <v>0</v>
      </c>
      <c r="BP523" s="49">
        <f ca="1"/>
        <v>0</v>
      </c>
      <c r="BQ523" s="49">
        <f ca="1"/>
        <v>0</v>
      </c>
      <c r="BR523" s="49">
        <f ca="1"/>
        <v>0</v>
      </c>
      <c r="BS523" s="49">
        <f ca="1"/>
        <v>0</v>
      </c>
    </row>
    <row r="524" spans="1:71" outlineLevel="1" x14ac:dyDescent="0.2">
      <c r="D524" t="str">
        <f>D213</f>
        <v>Coûts PID</v>
      </c>
      <c r="H524" s="7" t="s">
        <v>633</v>
      </c>
      <c r="I524" s="30">
        <f t="shared" ca="1" si="149"/>
        <v>55.941580569743323</v>
      </c>
      <c r="J524" s="26" t="s">
        <v>148</v>
      </c>
      <c r="L524" s="49" cm="1">
        <f t="array" aca="1" ref="L524:BS524" ca="1">HM_ZA_Nkossa!CA_pid_fees</f>
        <v>9.1971353594999989</v>
      </c>
      <c r="M524" s="49">
        <f ca="1"/>
        <v>9.7765439921200006</v>
      </c>
      <c r="N524" s="49">
        <f ca="1"/>
        <v>4.3253344811799996</v>
      </c>
      <c r="O524" s="49">
        <f ca="1"/>
        <v>4.0477008564400005</v>
      </c>
      <c r="P524" s="49">
        <f ca="1"/>
        <v>4.3337361789100006</v>
      </c>
      <c r="Q524" s="49">
        <f ca="1"/>
        <v>4.63281117993</v>
      </c>
      <c r="R524" s="49">
        <f ca="1"/>
        <v>4.4365205259400007</v>
      </c>
      <c r="S524" s="49">
        <f ca="1"/>
        <v>2.0557363143333331</v>
      </c>
      <c r="T524" s="49">
        <f ca="1"/>
        <v>2.7975531737087995</v>
      </c>
      <c r="U524" s="49">
        <f ca="1"/>
        <v>2.7926577584639993</v>
      </c>
      <c r="V524" s="49">
        <f ca="1"/>
        <v>2.6491151496789498</v>
      </c>
      <c r="W524" s="49">
        <f ca="1"/>
        <v>2.5129506309854515</v>
      </c>
      <c r="X524" s="49">
        <f ca="1"/>
        <v>2.3837849685527992</v>
      </c>
      <c r="Y524" s="49">
        <f ca="1"/>
        <v>0</v>
      </c>
      <c r="Z524" s="49">
        <f ca="1"/>
        <v>0</v>
      </c>
      <c r="AA524" s="49">
        <f ca="1"/>
        <v>0</v>
      </c>
      <c r="AB524" s="49">
        <f ca="1"/>
        <v>0</v>
      </c>
      <c r="AC524" s="49">
        <f ca="1"/>
        <v>0</v>
      </c>
      <c r="AD524" s="49">
        <f ca="1"/>
        <v>0</v>
      </c>
      <c r="AE524" s="49">
        <f ca="1"/>
        <v>0</v>
      </c>
      <c r="AF524" s="49">
        <f ca="1"/>
        <v>0</v>
      </c>
      <c r="AG524" s="49">
        <f ca="1"/>
        <v>0</v>
      </c>
      <c r="AH524" s="49">
        <f ca="1"/>
        <v>0</v>
      </c>
      <c r="AI524" s="49">
        <f ca="1"/>
        <v>0</v>
      </c>
      <c r="AJ524" s="49">
        <f ca="1"/>
        <v>0</v>
      </c>
      <c r="AK524" s="49">
        <f ca="1"/>
        <v>0</v>
      </c>
      <c r="AL524" s="49">
        <f ca="1"/>
        <v>0</v>
      </c>
      <c r="AM524" s="49">
        <f ca="1"/>
        <v>0</v>
      </c>
      <c r="AN524" s="49">
        <f ca="1"/>
        <v>0</v>
      </c>
      <c r="AO524" s="49">
        <f ca="1"/>
        <v>0</v>
      </c>
      <c r="AP524" s="49">
        <f ca="1"/>
        <v>0</v>
      </c>
      <c r="AQ524" s="49">
        <f ca="1"/>
        <v>0</v>
      </c>
      <c r="AR524" s="49">
        <f ca="1"/>
        <v>0</v>
      </c>
      <c r="AS524" s="49">
        <f ca="1"/>
        <v>0</v>
      </c>
      <c r="AT524" s="49">
        <f ca="1"/>
        <v>0</v>
      </c>
      <c r="AU524" s="49">
        <f ca="1"/>
        <v>0</v>
      </c>
      <c r="AV524" s="49">
        <f ca="1"/>
        <v>0</v>
      </c>
      <c r="AW524" s="49">
        <f ca="1"/>
        <v>0</v>
      </c>
      <c r="AX524" s="49">
        <f ca="1"/>
        <v>0</v>
      </c>
      <c r="AY524" s="49">
        <f ca="1"/>
        <v>0</v>
      </c>
      <c r="AZ524" s="49">
        <f ca="1"/>
        <v>0</v>
      </c>
      <c r="BA524" s="49">
        <f ca="1"/>
        <v>0</v>
      </c>
      <c r="BB524" s="49">
        <f ca="1"/>
        <v>0</v>
      </c>
      <c r="BC524" s="49">
        <f ca="1"/>
        <v>0</v>
      </c>
      <c r="BD524" s="49">
        <f ca="1"/>
        <v>0</v>
      </c>
      <c r="BE524" s="49">
        <f ca="1"/>
        <v>0</v>
      </c>
      <c r="BF524" s="49">
        <f ca="1"/>
        <v>0</v>
      </c>
      <c r="BG524" s="49">
        <f ca="1"/>
        <v>0</v>
      </c>
      <c r="BH524" s="49">
        <f ca="1"/>
        <v>0</v>
      </c>
      <c r="BI524" s="49">
        <f ca="1"/>
        <v>0</v>
      </c>
      <c r="BJ524" s="49">
        <f ca="1"/>
        <v>0</v>
      </c>
      <c r="BK524" s="49">
        <f ca="1"/>
        <v>0</v>
      </c>
      <c r="BL524" s="49">
        <f ca="1"/>
        <v>0</v>
      </c>
      <c r="BM524" s="49">
        <f ca="1"/>
        <v>0</v>
      </c>
      <c r="BN524" s="49">
        <f ca="1"/>
        <v>0</v>
      </c>
      <c r="BO524" s="49">
        <f ca="1"/>
        <v>0</v>
      </c>
      <c r="BP524" s="49">
        <f ca="1"/>
        <v>0</v>
      </c>
      <c r="BQ524" s="49">
        <f ca="1"/>
        <v>0</v>
      </c>
      <c r="BR524" s="49">
        <f ca="1"/>
        <v>0</v>
      </c>
      <c r="BS524" s="49">
        <f ca="1"/>
        <v>0</v>
      </c>
    </row>
    <row r="525" spans="1:71" outlineLevel="1" x14ac:dyDescent="0.2">
      <c r="D525" t="str">
        <f>D317</f>
        <v>Excess Cost Oil</v>
      </c>
      <c r="H525" s="7" t="s">
        <v>634</v>
      </c>
      <c r="I525" s="30">
        <f t="shared" ca="1" si="149"/>
        <v>1.4210854715202004E-14</v>
      </c>
      <c r="J525" s="26" t="s">
        <v>148</v>
      </c>
      <c r="L525" s="49" cm="1">
        <f t="array" aca="1" ref="L525:BS525" ca="1">HM_ZA_Nkossa!CA_excess_CR_gov</f>
        <v>0</v>
      </c>
      <c r="M525" s="49">
        <f ca="1"/>
        <v>0</v>
      </c>
      <c r="N525" s="49">
        <f ca="1"/>
        <v>0</v>
      </c>
      <c r="O525" s="49">
        <f ca="1"/>
        <v>0</v>
      </c>
      <c r="P525" s="49">
        <f ca="1"/>
        <v>0</v>
      </c>
      <c r="Q525" s="49">
        <f ca="1"/>
        <v>1.4210854715202004E-14</v>
      </c>
      <c r="R525" s="49">
        <f ca="1"/>
        <v>0</v>
      </c>
      <c r="S525" s="49">
        <f ca="1"/>
        <v>0</v>
      </c>
      <c r="T525" s="49">
        <f ca="1"/>
        <v>0</v>
      </c>
      <c r="U525" s="49">
        <f ca="1"/>
        <v>0</v>
      </c>
      <c r="V525" s="49">
        <f ca="1"/>
        <v>0</v>
      </c>
      <c r="W525" s="49">
        <f ca="1"/>
        <v>0</v>
      </c>
      <c r="X525" s="49">
        <f ca="1"/>
        <v>0</v>
      </c>
      <c r="Y525" s="49">
        <f ca="1"/>
        <v>0</v>
      </c>
      <c r="Z525" s="49">
        <f ca="1"/>
        <v>0</v>
      </c>
      <c r="AA525" s="49">
        <f ca="1"/>
        <v>0</v>
      </c>
      <c r="AB525" s="49">
        <f ca="1"/>
        <v>0</v>
      </c>
      <c r="AC525" s="49">
        <f ca="1"/>
        <v>0</v>
      </c>
      <c r="AD525" s="49">
        <f ca="1"/>
        <v>0</v>
      </c>
      <c r="AE525" s="49">
        <f ca="1"/>
        <v>0</v>
      </c>
      <c r="AF525" s="49">
        <f ca="1"/>
        <v>0</v>
      </c>
      <c r="AG525" s="49">
        <f ca="1"/>
        <v>0</v>
      </c>
      <c r="AH525" s="49">
        <f ca="1"/>
        <v>0</v>
      </c>
      <c r="AI525" s="49">
        <f ca="1"/>
        <v>0</v>
      </c>
      <c r="AJ525" s="49">
        <f ca="1"/>
        <v>0</v>
      </c>
      <c r="AK525" s="49">
        <f ca="1"/>
        <v>0</v>
      </c>
      <c r="AL525" s="49">
        <f ca="1"/>
        <v>0</v>
      </c>
      <c r="AM525" s="49">
        <f ca="1"/>
        <v>0</v>
      </c>
      <c r="AN525" s="49">
        <f ca="1"/>
        <v>0</v>
      </c>
      <c r="AO525" s="49">
        <f ca="1"/>
        <v>0</v>
      </c>
      <c r="AP525" s="49">
        <f ca="1"/>
        <v>0</v>
      </c>
      <c r="AQ525" s="49">
        <f ca="1"/>
        <v>0</v>
      </c>
      <c r="AR525" s="49">
        <f ca="1"/>
        <v>0</v>
      </c>
      <c r="AS525" s="49">
        <f ca="1"/>
        <v>0</v>
      </c>
      <c r="AT525" s="49">
        <f ca="1"/>
        <v>0</v>
      </c>
      <c r="AU525" s="49">
        <f ca="1"/>
        <v>0</v>
      </c>
      <c r="AV525" s="49">
        <f ca="1"/>
        <v>0</v>
      </c>
      <c r="AW525" s="49">
        <f ca="1"/>
        <v>0</v>
      </c>
      <c r="AX525" s="49">
        <f ca="1"/>
        <v>0</v>
      </c>
      <c r="AY525" s="49">
        <f ca="1"/>
        <v>0</v>
      </c>
      <c r="AZ525" s="49">
        <f ca="1"/>
        <v>0</v>
      </c>
      <c r="BA525" s="49">
        <f ca="1"/>
        <v>0</v>
      </c>
      <c r="BB525" s="49">
        <f ca="1"/>
        <v>0</v>
      </c>
      <c r="BC525" s="49">
        <f ca="1"/>
        <v>0</v>
      </c>
      <c r="BD525" s="49">
        <f ca="1"/>
        <v>0</v>
      </c>
      <c r="BE525" s="49">
        <f ca="1"/>
        <v>0</v>
      </c>
      <c r="BF525" s="49">
        <f ca="1"/>
        <v>0</v>
      </c>
      <c r="BG525" s="49">
        <f ca="1"/>
        <v>0</v>
      </c>
      <c r="BH525" s="49">
        <f ca="1"/>
        <v>0</v>
      </c>
      <c r="BI525" s="49">
        <f ca="1"/>
        <v>0</v>
      </c>
      <c r="BJ525" s="49">
        <f ca="1"/>
        <v>0</v>
      </c>
      <c r="BK525" s="49">
        <f ca="1"/>
        <v>0</v>
      </c>
      <c r="BL525" s="49">
        <f ca="1"/>
        <v>0</v>
      </c>
      <c r="BM525" s="49">
        <f ca="1"/>
        <v>0</v>
      </c>
      <c r="BN525" s="49">
        <f ca="1"/>
        <v>0</v>
      </c>
      <c r="BO525" s="49">
        <f ca="1"/>
        <v>0</v>
      </c>
      <c r="BP525" s="49">
        <f ca="1"/>
        <v>0</v>
      </c>
      <c r="BQ525" s="49">
        <f ca="1"/>
        <v>0</v>
      </c>
      <c r="BR525" s="49">
        <f ca="1"/>
        <v>0</v>
      </c>
      <c r="BS525" s="49">
        <f ca="1"/>
        <v>0</v>
      </c>
    </row>
    <row r="526" spans="1:71" outlineLevel="1" x14ac:dyDescent="0.2">
      <c r="D526" t="str">
        <f>D318</f>
        <v>Super Profit Oil</v>
      </c>
      <c r="H526" s="7" t="s">
        <v>635</v>
      </c>
      <c r="I526" s="30">
        <f t="shared" ca="1" si="149"/>
        <v>1072.9940863500776</v>
      </c>
      <c r="J526" s="26" t="s">
        <v>148</v>
      </c>
      <c r="L526" s="49" cm="1">
        <f t="array" aca="1" ref="L526:BS526" ca="1">HM_ZA_Nkossa!CA_Spo_gov</f>
        <v>465.38554939789987</v>
      </c>
      <c r="M526" s="49">
        <f ca="1"/>
        <v>459.18648486474501</v>
      </c>
      <c r="N526" s="49">
        <f ca="1"/>
        <v>94.61387933969992</v>
      </c>
      <c r="O526" s="49">
        <f ca="1"/>
        <v>53.341109559349981</v>
      </c>
      <c r="P526" s="49">
        <f ca="1"/>
        <v>0</v>
      </c>
      <c r="Q526" s="49">
        <f ca="1"/>
        <v>0.46706318838295197</v>
      </c>
      <c r="R526" s="49">
        <f ca="1"/>
        <v>0</v>
      </c>
      <c r="S526" s="49">
        <f ca="1"/>
        <v>0</v>
      </c>
      <c r="T526" s="49">
        <f ca="1"/>
        <v>0</v>
      </c>
      <c r="U526" s="49">
        <f ca="1"/>
        <v>0</v>
      </c>
      <c r="V526" s="49">
        <f ca="1"/>
        <v>0</v>
      </c>
      <c r="W526" s="49">
        <f ca="1"/>
        <v>0</v>
      </c>
      <c r="X526" s="49">
        <f ca="1"/>
        <v>0</v>
      </c>
      <c r="Y526" s="49">
        <f ca="1"/>
        <v>0</v>
      </c>
      <c r="Z526" s="49">
        <f ca="1"/>
        <v>0</v>
      </c>
      <c r="AA526" s="49">
        <f ca="1"/>
        <v>0</v>
      </c>
      <c r="AB526" s="49">
        <f ca="1"/>
        <v>0</v>
      </c>
      <c r="AC526" s="49">
        <f ca="1"/>
        <v>0</v>
      </c>
      <c r="AD526" s="49">
        <f ca="1"/>
        <v>0</v>
      </c>
      <c r="AE526" s="49">
        <f ca="1"/>
        <v>0</v>
      </c>
      <c r="AF526" s="49">
        <f ca="1"/>
        <v>0</v>
      </c>
      <c r="AG526" s="49">
        <f ca="1"/>
        <v>0</v>
      </c>
      <c r="AH526" s="49">
        <f ca="1"/>
        <v>0</v>
      </c>
      <c r="AI526" s="49">
        <f ca="1"/>
        <v>0</v>
      </c>
      <c r="AJ526" s="49">
        <f ca="1"/>
        <v>0</v>
      </c>
      <c r="AK526" s="49">
        <f ca="1"/>
        <v>0</v>
      </c>
      <c r="AL526" s="49">
        <f ca="1"/>
        <v>0</v>
      </c>
      <c r="AM526" s="49">
        <f ca="1"/>
        <v>0</v>
      </c>
      <c r="AN526" s="49">
        <f ca="1"/>
        <v>0</v>
      </c>
      <c r="AO526" s="49">
        <f ca="1"/>
        <v>0</v>
      </c>
      <c r="AP526" s="49">
        <f ca="1"/>
        <v>0</v>
      </c>
      <c r="AQ526" s="49">
        <f ca="1"/>
        <v>0</v>
      </c>
      <c r="AR526" s="49">
        <f ca="1"/>
        <v>0</v>
      </c>
      <c r="AS526" s="49">
        <f ca="1"/>
        <v>0</v>
      </c>
      <c r="AT526" s="49">
        <f ca="1"/>
        <v>0</v>
      </c>
      <c r="AU526" s="49">
        <f ca="1"/>
        <v>0</v>
      </c>
      <c r="AV526" s="49">
        <f ca="1"/>
        <v>0</v>
      </c>
      <c r="AW526" s="49">
        <f ca="1"/>
        <v>0</v>
      </c>
      <c r="AX526" s="49">
        <f ca="1"/>
        <v>0</v>
      </c>
      <c r="AY526" s="49">
        <f ca="1"/>
        <v>0</v>
      </c>
      <c r="AZ526" s="49">
        <f ca="1"/>
        <v>0</v>
      </c>
      <c r="BA526" s="49">
        <f ca="1"/>
        <v>0</v>
      </c>
      <c r="BB526" s="49">
        <f ca="1"/>
        <v>0</v>
      </c>
      <c r="BC526" s="49">
        <f ca="1"/>
        <v>0</v>
      </c>
      <c r="BD526" s="49">
        <f ca="1"/>
        <v>0</v>
      </c>
      <c r="BE526" s="49">
        <f ca="1"/>
        <v>0</v>
      </c>
      <c r="BF526" s="49">
        <f ca="1"/>
        <v>0</v>
      </c>
      <c r="BG526" s="49">
        <f ca="1"/>
        <v>0</v>
      </c>
      <c r="BH526" s="49">
        <f ca="1"/>
        <v>0</v>
      </c>
      <c r="BI526" s="49">
        <f ca="1"/>
        <v>0</v>
      </c>
      <c r="BJ526" s="49">
        <f ca="1"/>
        <v>0</v>
      </c>
      <c r="BK526" s="49">
        <f ca="1"/>
        <v>0</v>
      </c>
      <c r="BL526" s="49">
        <f ca="1"/>
        <v>0</v>
      </c>
      <c r="BM526" s="49">
        <f ca="1"/>
        <v>0</v>
      </c>
      <c r="BN526" s="49">
        <f ca="1"/>
        <v>0</v>
      </c>
      <c r="BO526" s="49">
        <f ca="1"/>
        <v>0</v>
      </c>
      <c r="BP526" s="49">
        <f ca="1"/>
        <v>0</v>
      </c>
      <c r="BQ526" s="49">
        <f ca="1"/>
        <v>0</v>
      </c>
      <c r="BR526" s="49">
        <f ca="1"/>
        <v>0</v>
      </c>
      <c r="BS526" s="49">
        <f ca="1"/>
        <v>0</v>
      </c>
    </row>
    <row r="527" spans="1:71" outlineLevel="1" x14ac:dyDescent="0.2">
      <c r="D527" t="str">
        <f>D319</f>
        <v>Profit Oil</v>
      </c>
      <c r="H527" s="7" t="s">
        <v>636</v>
      </c>
      <c r="I527" s="30">
        <f t="shared" ca="1" si="149"/>
        <v>669.23481505557504</v>
      </c>
      <c r="J527" s="26" t="s">
        <v>148</v>
      </c>
      <c r="L527" s="49" cm="1">
        <f t="array" aca="1" ref="L527:BS527" ca="1">HM_ZA_Nkossa!CA_PS_gov</f>
        <v>53.617826096800002</v>
      </c>
      <c r="M527" s="49">
        <f ca="1"/>
        <v>66.240045269045027</v>
      </c>
      <c r="N527" s="49">
        <f ca="1"/>
        <v>57.555824903320008</v>
      </c>
      <c r="O527" s="49">
        <f ca="1"/>
        <v>63.023013784309988</v>
      </c>
      <c r="P527" s="49">
        <f ca="1"/>
        <v>65.006042683650023</v>
      </c>
      <c r="Q527" s="49">
        <f ca="1"/>
        <v>69.36728449349998</v>
      </c>
      <c r="R527" s="49">
        <f ca="1"/>
        <v>66.5478078891</v>
      </c>
      <c r="S527" s="49">
        <f ca="1"/>
        <v>30.836044714999986</v>
      </c>
      <c r="T527" s="49">
        <f ca="1"/>
        <v>41.963297605631979</v>
      </c>
      <c r="U527" s="49">
        <f ca="1"/>
        <v>41.889866376959986</v>
      </c>
      <c r="V527" s="49">
        <f ca="1"/>
        <v>39.736727245184241</v>
      </c>
      <c r="W527" s="49">
        <f ca="1"/>
        <v>37.694259464781766</v>
      </c>
      <c r="X527" s="49">
        <f ca="1"/>
        <v>35.756774528291984</v>
      </c>
      <c r="Y527" s="49">
        <f ca="1"/>
        <v>0</v>
      </c>
      <c r="Z527" s="49">
        <f ca="1"/>
        <v>0</v>
      </c>
      <c r="AA527" s="49">
        <f ca="1"/>
        <v>0</v>
      </c>
      <c r="AB527" s="49">
        <f ca="1"/>
        <v>0</v>
      </c>
      <c r="AC527" s="49">
        <f ca="1"/>
        <v>0</v>
      </c>
      <c r="AD527" s="49">
        <f ca="1"/>
        <v>0</v>
      </c>
      <c r="AE527" s="49">
        <f ca="1"/>
        <v>0</v>
      </c>
      <c r="AF527" s="49">
        <f ca="1"/>
        <v>0</v>
      </c>
      <c r="AG527" s="49">
        <f ca="1"/>
        <v>0</v>
      </c>
      <c r="AH527" s="49">
        <f ca="1"/>
        <v>0</v>
      </c>
      <c r="AI527" s="49">
        <f ca="1"/>
        <v>0</v>
      </c>
      <c r="AJ527" s="49">
        <f ca="1"/>
        <v>0</v>
      </c>
      <c r="AK527" s="49">
        <f ca="1"/>
        <v>0</v>
      </c>
      <c r="AL527" s="49">
        <f ca="1"/>
        <v>0</v>
      </c>
      <c r="AM527" s="49">
        <f ca="1"/>
        <v>0</v>
      </c>
      <c r="AN527" s="49">
        <f ca="1"/>
        <v>0</v>
      </c>
      <c r="AO527" s="49">
        <f ca="1"/>
        <v>0</v>
      </c>
      <c r="AP527" s="49">
        <f ca="1"/>
        <v>0</v>
      </c>
      <c r="AQ527" s="49">
        <f ca="1"/>
        <v>0</v>
      </c>
      <c r="AR527" s="49">
        <f ca="1"/>
        <v>0</v>
      </c>
      <c r="AS527" s="49">
        <f ca="1"/>
        <v>0</v>
      </c>
      <c r="AT527" s="49">
        <f ca="1"/>
        <v>0</v>
      </c>
      <c r="AU527" s="49">
        <f ca="1"/>
        <v>0</v>
      </c>
      <c r="AV527" s="49">
        <f ca="1"/>
        <v>0</v>
      </c>
      <c r="AW527" s="49">
        <f ca="1"/>
        <v>0</v>
      </c>
      <c r="AX527" s="49">
        <f ca="1"/>
        <v>0</v>
      </c>
      <c r="AY527" s="49">
        <f ca="1"/>
        <v>0</v>
      </c>
      <c r="AZ527" s="49">
        <f ca="1"/>
        <v>0</v>
      </c>
      <c r="BA527" s="49">
        <f ca="1"/>
        <v>0</v>
      </c>
      <c r="BB527" s="49">
        <f ca="1"/>
        <v>0</v>
      </c>
      <c r="BC527" s="49">
        <f ca="1"/>
        <v>0</v>
      </c>
      <c r="BD527" s="49">
        <f ca="1"/>
        <v>0</v>
      </c>
      <c r="BE527" s="49">
        <f ca="1"/>
        <v>0</v>
      </c>
      <c r="BF527" s="49">
        <f ca="1"/>
        <v>0</v>
      </c>
      <c r="BG527" s="49">
        <f ca="1"/>
        <v>0</v>
      </c>
      <c r="BH527" s="49">
        <f ca="1"/>
        <v>0</v>
      </c>
      <c r="BI527" s="49">
        <f ca="1"/>
        <v>0</v>
      </c>
      <c r="BJ527" s="49">
        <f ca="1"/>
        <v>0</v>
      </c>
      <c r="BK527" s="49">
        <f ca="1"/>
        <v>0</v>
      </c>
      <c r="BL527" s="49">
        <f ca="1"/>
        <v>0</v>
      </c>
      <c r="BM527" s="49">
        <f ca="1"/>
        <v>0</v>
      </c>
      <c r="BN527" s="49">
        <f ca="1"/>
        <v>0</v>
      </c>
      <c r="BO527" s="49">
        <f ca="1"/>
        <v>0</v>
      </c>
      <c r="BP527" s="49">
        <f ca="1"/>
        <v>0</v>
      </c>
      <c r="BQ527" s="49">
        <f ca="1"/>
        <v>0</v>
      </c>
      <c r="BR527" s="49">
        <f ca="1"/>
        <v>0</v>
      </c>
      <c r="BS527" s="49">
        <f ca="1"/>
        <v>0</v>
      </c>
    </row>
    <row r="528" spans="1:71" outlineLevel="1" x14ac:dyDescent="0.2">
      <c r="D528" t="str">
        <f>C494</f>
        <v>Production et autres taxes</v>
      </c>
      <c r="I528" s="30">
        <f t="shared" si="149"/>
        <v>0</v>
      </c>
      <c r="J528" s="26" t="s">
        <v>148</v>
      </c>
      <c r="L528" s="49">
        <v>0</v>
      </c>
      <c r="M528" s="49">
        <v>0</v>
      </c>
      <c r="N528" s="49">
        <v>0</v>
      </c>
      <c r="O528" s="49">
        <v>0</v>
      </c>
      <c r="P528" s="49">
        <v>0</v>
      </c>
      <c r="Q528" s="49">
        <v>0</v>
      </c>
      <c r="R528" s="49">
        <v>0</v>
      </c>
      <c r="S528" s="49">
        <v>0</v>
      </c>
      <c r="T528" s="49">
        <v>0</v>
      </c>
      <c r="U528" s="49">
        <v>0</v>
      </c>
      <c r="V528" s="49">
        <v>0</v>
      </c>
      <c r="W528" s="49">
        <v>0</v>
      </c>
      <c r="X528" s="49">
        <v>0</v>
      </c>
      <c r="Y528" s="49">
        <v>0</v>
      </c>
      <c r="Z528" s="49">
        <v>0</v>
      </c>
      <c r="AA528" s="49">
        <v>0</v>
      </c>
      <c r="AB528" s="49">
        <v>0</v>
      </c>
      <c r="AC528" s="49">
        <v>0</v>
      </c>
      <c r="AD528" s="49">
        <v>0</v>
      </c>
      <c r="AE528" s="49">
        <v>0</v>
      </c>
      <c r="AF528" s="49">
        <v>0</v>
      </c>
      <c r="AG528" s="49">
        <v>0</v>
      </c>
      <c r="AH528" s="49">
        <v>0</v>
      </c>
      <c r="AI528" s="49">
        <v>0</v>
      </c>
      <c r="AJ528" s="49">
        <v>0</v>
      </c>
      <c r="AK528" s="49">
        <v>0</v>
      </c>
      <c r="AL528" s="49">
        <v>0</v>
      </c>
      <c r="AM528" s="49">
        <v>0</v>
      </c>
      <c r="AN528" s="49">
        <v>0</v>
      </c>
      <c r="AO528" s="49">
        <v>0</v>
      </c>
      <c r="AP528" s="49">
        <v>0</v>
      </c>
      <c r="AQ528" s="49">
        <v>0</v>
      </c>
      <c r="AR528" s="49">
        <v>0</v>
      </c>
      <c r="AS528" s="49">
        <v>0</v>
      </c>
      <c r="AT528" s="49">
        <v>0</v>
      </c>
      <c r="AU528" s="49">
        <v>0</v>
      </c>
      <c r="AV528" s="49">
        <v>0</v>
      </c>
      <c r="AW528" s="49">
        <v>0</v>
      </c>
      <c r="AX528" s="49">
        <v>0</v>
      </c>
      <c r="AY528" s="49">
        <v>0</v>
      </c>
      <c r="AZ528" s="49">
        <v>0</v>
      </c>
      <c r="BA528" s="49">
        <v>0</v>
      </c>
      <c r="BB528" s="49">
        <v>0</v>
      </c>
      <c r="BC528" s="49">
        <v>0</v>
      </c>
      <c r="BD528" s="49">
        <v>0</v>
      </c>
      <c r="BE528" s="49">
        <v>0</v>
      </c>
      <c r="BF528" s="49">
        <v>0</v>
      </c>
      <c r="BG528" s="49">
        <v>0</v>
      </c>
      <c r="BH528" s="49">
        <v>0</v>
      </c>
      <c r="BI528" s="49">
        <v>0</v>
      </c>
      <c r="BJ528" s="49">
        <v>0</v>
      </c>
      <c r="BK528" s="49">
        <v>0</v>
      </c>
      <c r="BL528" s="49">
        <v>0</v>
      </c>
      <c r="BM528" s="49">
        <v>0</v>
      </c>
      <c r="BN528" s="49">
        <v>0</v>
      </c>
      <c r="BO528" s="49">
        <v>0</v>
      </c>
      <c r="BP528" s="49">
        <v>0</v>
      </c>
      <c r="BQ528" s="49">
        <v>0</v>
      </c>
      <c r="BR528" s="49">
        <v>0</v>
      </c>
      <c r="BS528" s="49">
        <v>0</v>
      </c>
    </row>
    <row r="529" spans="3:71" outlineLevel="1" x14ac:dyDescent="0.2">
      <c r="D529" t="str">
        <f>C500</f>
        <v>Impôt sur le revenu</v>
      </c>
      <c r="I529" s="30">
        <f t="shared" si="149"/>
        <v>0</v>
      </c>
      <c r="J529" s="26" t="s">
        <v>148</v>
      </c>
      <c r="L529" s="49">
        <v>0</v>
      </c>
      <c r="M529" s="49">
        <v>0</v>
      </c>
      <c r="N529" s="49">
        <v>0</v>
      </c>
      <c r="O529" s="49">
        <v>0</v>
      </c>
      <c r="P529" s="49">
        <v>0</v>
      </c>
      <c r="Q529" s="49">
        <v>0</v>
      </c>
      <c r="R529" s="49">
        <v>0</v>
      </c>
      <c r="S529" s="49">
        <v>0</v>
      </c>
      <c r="T529" s="49">
        <v>0</v>
      </c>
      <c r="U529" s="49">
        <v>0</v>
      </c>
      <c r="V529" s="49">
        <v>0</v>
      </c>
      <c r="W529" s="49">
        <v>0</v>
      </c>
      <c r="X529" s="49">
        <v>0</v>
      </c>
      <c r="Y529" s="49">
        <v>0</v>
      </c>
      <c r="Z529" s="49">
        <v>0</v>
      </c>
      <c r="AA529" s="49">
        <v>0</v>
      </c>
      <c r="AB529" s="49">
        <v>0</v>
      </c>
      <c r="AC529" s="49">
        <v>0</v>
      </c>
      <c r="AD529" s="49">
        <v>0</v>
      </c>
      <c r="AE529" s="49">
        <v>0</v>
      </c>
      <c r="AF529" s="49">
        <v>0</v>
      </c>
      <c r="AG529" s="49">
        <v>0</v>
      </c>
      <c r="AH529" s="49">
        <v>0</v>
      </c>
      <c r="AI529" s="49">
        <v>0</v>
      </c>
      <c r="AJ529" s="49">
        <v>0</v>
      </c>
      <c r="AK529" s="49">
        <v>0</v>
      </c>
      <c r="AL529" s="49">
        <v>0</v>
      </c>
      <c r="AM529" s="49">
        <v>0</v>
      </c>
      <c r="AN529" s="49">
        <v>0</v>
      </c>
      <c r="AO529" s="49">
        <v>0</v>
      </c>
      <c r="AP529" s="49">
        <v>0</v>
      </c>
      <c r="AQ529" s="49">
        <v>0</v>
      </c>
      <c r="AR529" s="49">
        <v>0</v>
      </c>
      <c r="AS529" s="49">
        <v>0</v>
      </c>
      <c r="AT529" s="49">
        <v>0</v>
      </c>
      <c r="AU529" s="49">
        <v>0</v>
      </c>
      <c r="AV529" s="49">
        <v>0</v>
      </c>
      <c r="AW529" s="49">
        <v>0</v>
      </c>
      <c r="AX529" s="49">
        <v>0</v>
      </c>
      <c r="AY529" s="49">
        <v>0</v>
      </c>
      <c r="AZ529" s="49">
        <v>0</v>
      </c>
      <c r="BA529" s="49">
        <v>0</v>
      </c>
      <c r="BB529" s="49">
        <v>0</v>
      </c>
      <c r="BC529" s="49">
        <v>0</v>
      </c>
      <c r="BD529" s="49">
        <v>0</v>
      </c>
      <c r="BE529" s="49">
        <v>0</v>
      </c>
      <c r="BF529" s="49">
        <v>0</v>
      </c>
      <c r="BG529" s="49">
        <v>0</v>
      </c>
      <c r="BH529" s="49">
        <v>0</v>
      </c>
      <c r="BI529" s="49">
        <v>0</v>
      </c>
      <c r="BJ529" s="49">
        <v>0</v>
      </c>
      <c r="BK529" s="49">
        <v>0</v>
      </c>
      <c r="BL529" s="49">
        <v>0</v>
      </c>
      <c r="BM529" s="49">
        <v>0</v>
      </c>
      <c r="BN529" s="49">
        <v>0</v>
      </c>
      <c r="BO529" s="49">
        <v>0</v>
      </c>
      <c r="BP529" s="49">
        <v>0</v>
      </c>
      <c r="BQ529" s="49">
        <v>0</v>
      </c>
      <c r="BR529" s="49">
        <v>0</v>
      </c>
      <c r="BS529" s="49">
        <v>0</v>
      </c>
    </row>
    <row r="530" spans="3:71" outlineLevel="1" x14ac:dyDescent="0.2">
      <c r="D530" t="str">
        <f>C502</f>
        <v>Impôts supplémentaires</v>
      </c>
      <c r="I530" s="30">
        <f t="shared" si="149"/>
        <v>0</v>
      </c>
      <c r="J530" s="26" t="s">
        <v>148</v>
      </c>
      <c r="L530" s="49">
        <v>0</v>
      </c>
      <c r="M530" s="49">
        <v>0</v>
      </c>
      <c r="N530" s="49">
        <v>0</v>
      </c>
      <c r="O530" s="49">
        <v>0</v>
      </c>
      <c r="P530" s="49">
        <v>0</v>
      </c>
      <c r="Q530" s="49">
        <v>0</v>
      </c>
      <c r="R530" s="49">
        <v>0</v>
      </c>
      <c r="S530" s="49">
        <v>0</v>
      </c>
      <c r="T530" s="49">
        <v>0</v>
      </c>
      <c r="U530" s="49">
        <v>0</v>
      </c>
      <c r="V530" s="49">
        <v>0</v>
      </c>
      <c r="W530" s="49">
        <v>0</v>
      </c>
      <c r="X530" s="49">
        <v>0</v>
      </c>
      <c r="Y530" s="49">
        <v>0</v>
      </c>
      <c r="Z530" s="49">
        <v>0</v>
      </c>
      <c r="AA530" s="49">
        <v>0</v>
      </c>
      <c r="AB530" s="49">
        <v>0</v>
      </c>
      <c r="AC530" s="49">
        <v>0</v>
      </c>
      <c r="AD530" s="49">
        <v>0</v>
      </c>
      <c r="AE530" s="49">
        <v>0</v>
      </c>
      <c r="AF530" s="49">
        <v>0</v>
      </c>
      <c r="AG530" s="49">
        <v>0</v>
      </c>
      <c r="AH530" s="49">
        <v>0</v>
      </c>
      <c r="AI530" s="49">
        <v>0</v>
      </c>
      <c r="AJ530" s="49">
        <v>0</v>
      </c>
      <c r="AK530" s="49">
        <v>0</v>
      </c>
      <c r="AL530" s="49">
        <v>0</v>
      </c>
      <c r="AM530" s="49">
        <v>0</v>
      </c>
      <c r="AN530" s="49">
        <v>0</v>
      </c>
      <c r="AO530" s="49">
        <v>0</v>
      </c>
      <c r="AP530" s="49">
        <v>0</v>
      </c>
      <c r="AQ530" s="49">
        <v>0</v>
      </c>
      <c r="AR530" s="49">
        <v>0</v>
      </c>
      <c r="AS530" s="49">
        <v>0</v>
      </c>
      <c r="AT530" s="49">
        <v>0</v>
      </c>
      <c r="AU530" s="49">
        <v>0</v>
      </c>
      <c r="AV530" s="49">
        <v>0</v>
      </c>
      <c r="AW530" s="49">
        <v>0</v>
      </c>
      <c r="AX530" s="49">
        <v>0</v>
      </c>
      <c r="AY530" s="49">
        <v>0</v>
      </c>
      <c r="AZ530" s="49">
        <v>0</v>
      </c>
      <c r="BA530" s="49">
        <v>0</v>
      </c>
      <c r="BB530" s="49">
        <v>0</v>
      </c>
      <c r="BC530" s="49">
        <v>0</v>
      </c>
      <c r="BD530" s="49">
        <v>0</v>
      </c>
      <c r="BE530" s="49">
        <v>0</v>
      </c>
      <c r="BF530" s="49">
        <v>0</v>
      </c>
      <c r="BG530" s="49">
        <v>0</v>
      </c>
      <c r="BH530" s="49">
        <v>0</v>
      </c>
      <c r="BI530" s="49">
        <v>0</v>
      </c>
      <c r="BJ530" s="49">
        <v>0</v>
      </c>
      <c r="BK530" s="49">
        <v>0</v>
      </c>
      <c r="BL530" s="49">
        <v>0</v>
      </c>
      <c r="BM530" s="49">
        <v>0</v>
      </c>
      <c r="BN530" s="49">
        <v>0</v>
      </c>
      <c r="BO530" s="49">
        <v>0</v>
      </c>
      <c r="BP530" s="49">
        <v>0</v>
      </c>
      <c r="BQ530" s="49">
        <v>0</v>
      </c>
      <c r="BR530" s="49">
        <v>0</v>
      </c>
      <c r="BS530" s="49">
        <v>0</v>
      </c>
    </row>
    <row r="531" spans="3:71" outlineLevel="1" x14ac:dyDescent="0.2">
      <c r="C531" s="11" t="str">
        <f>CHOOSE(db_ML_selected,'Liste Traduction'!B27,'Liste Traduction'!C27)</f>
        <v>Coûts</v>
      </c>
      <c r="J531" s="26"/>
      <c r="L531" s="55"/>
      <c r="M531" s="55"/>
      <c r="N531" s="55"/>
      <c r="O531" s="55"/>
      <c r="P531" s="55"/>
      <c r="Q531" s="55"/>
      <c r="R531" s="55"/>
      <c r="S531" s="55"/>
      <c r="T531" s="55"/>
      <c r="U531" s="55"/>
      <c r="V531" s="55"/>
      <c r="W531" s="55"/>
      <c r="X531" s="55"/>
      <c r="Y531" s="55"/>
      <c r="Z531" s="55"/>
      <c r="AA531" s="55"/>
      <c r="AB531" s="55"/>
      <c r="AC531" s="55"/>
      <c r="AD531" s="55"/>
      <c r="AE531" s="55"/>
      <c r="AF531" s="55"/>
      <c r="AG531" s="55"/>
      <c r="AH531" s="55"/>
      <c r="AI531" s="55"/>
      <c r="AJ531" s="55"/>
      <c r="AK531" s="55"/>
      <c r="AL531" s="55"/>
      <c r="AM531" s="55"/>
      <c r="AN531" s="55"/>
      <c r="AO531" s="55"/>
      <c r="AP531" s="55"/>
      <c r="AQ531" s="55"/>
      <c r="AR531" s="55"/>
      <c r="AS531" s="55"/>
      <c r="AT531" s="55"/>
      <c r="AU531" s="55"/>
      <c r="AV531" s="55"/>
      <c r="AW531" s="55"/>
      <c r="AX531" s="55"/>
      <c r="AY531" s="55"/>
      <c r="AZ531" s="55"/>
      <c r="BA531" s="55"/>
      <c r="BB531" s="55"/>
      <c r="BC531" s="55"/>
      <c r="BD531" s="55"/>
      <c r="BE531" s="55"/>
      <c r="BF531" s="55"/>
      <c r="BG531" s="55"/>
      <c r="BH531" s="55"/>
      <c r="BI531" s="55"/>
      <c r="BJ531" s="55"/>
      <c r="BK531" s="55"/>
      <c r="BL531" s="55"/>
      <c r="BM531" s="55"/>
      <c r="BN531" s="55"/>
      <c r="BO531" s="55"/>
      <c r="BP531" s="55"/>
      <c r="BQ531" s="55"/>
      <c r="BR531" s="55"/>
      <c r="BS531" s="55"/>
    </row>
    <row r="532" spans="3:71" outlineLevel="1" x14ac:dyDescent="0.2">
      <c r="D532" t="str">
        <f>CHOOSE(db_ML_selected,'Liste Traduction'!B419,'Liste Traduction'!C419)</f>
        <v>Coûts de financement</v>
      </c>
      <c r="I532" s="30">
        <f t="shared" si="149"/>
        <v>0</v>
      </c>
      <c r="J532" s="26" t="s">
        <v>148</v>
      </c>
      <c r="L532" s="49">
        <v>0</v>
      </c>
      <c r="M532" s="49">
        <v>0</v>
      </c>
      <c r="N532" s="49">
        <v>0</v>
      </c>
      <c r="O532" s="49">
        <v>0</v>
      </c>
      <c r="P532" s="49">
        <v>0</v>
      </c>
      <c r="Q532" s="49">
        <v>0</v>
      </c>
      <c r="R532" s="49">
        <v>0</v>
      </c>
      <c r="S532" s="49">
        <v>0</v>
      </c>
      <c r="T532" s="49">
        <v>0</v>
      </c>
      <c r="U532" s="49">
        <v>0</v>
      </c>
      <c r="V532" s="49">
        <v>0</v>
      </c>
      <c r="W532" s="49">
        <v>0</v>
      </c>
      <c r="X532" s="49">
        <v>0</v>
      </c>
      <c r="Y532" s="49">
        <v>0</v>
      </c>
      <c r="Z532" s="49">
        <v>0</v>
      </c>
      <c r="AA532" s="49">
        <v>0</v>
      </c>
      <c r="AB532" s="49">
        <v>0</v>
      </c>
      <c r="AC532" s="49">
        <v>0</v>
      </c>
      <c r="AD532" s="49">
        <v>0</v>
      </c>
      <c r="AE532" s="49">
        <v>0</v>
      </c>
      <c r="AF532" s="49">
        <v>0</v>
      </c>
      <c r="AG532" s="49">
        <v>0</v>
      </c>
      <c r="AH532" s="49">
        <v>0</v>
      </c>
      <c r="AI532" s="49">
        <v>0</v>
      </c>
      <c r="AJ532" s="49">
        <v>0</v>
      </c>
      <c r="AK532" s="49">
        <v>0</v>
      </c>
      <c r="AL532" s="49">
        <v>0</v>
      </c>
      <c r="AM532" s="49">
        <v>0</v>
      </c>
      <c r="AN532" s="49">
        <v>0</v>
      </c>
      <c r="AO532" s="49">
        <v>0</v>
      </c>
      <c r="AP532" s="49">
        <v>0</v>
      </c>
      <c r="AQ532" s="49">
        <v>0</v>
      </c>
      <c r="AR532" s="49">
        <v>0</v>
      </c>
      <c r="AS532" s="49">
        <v>0</v>
      </c>
      <c r="AT532" s="49">
        <v>0</v>
      </c>
      <c r="AU532" s="49">
        <v>0</v>
      </c>
      <c r="AV532" s="49">
        <v>0</v>
      </c>
      <c r="AW532" s="49">
        <v>0</v>
      </c>
      <c r="AX532" s="49">
        <v>0</v>
      </c>
      <c r="AY532" s="49">
        <v>0</v>
      </c>
      <c r="AZ532" s="49">
        <v>0</v>
      </c>
      <c r="BA532" s="49">
        <v>0</v>
      </c>
      <c r="BB532" s="49">
        <v>0</v>
      </c>
      <c r="BC532" s="49">
        <v>0</v>
      </c>
      <c r="BD532" s="49">
        <v>0</v>
      </c>
      <c r="BE532" s="49">
        <v>0</v>
      </c>
      <c r="BF532" s="49">
        <v>0</v>
      </c>
      <c r="BG532" s="49">
        <v>0</v>
      </c>
      <c r="BH532" s="49">
        <v>0</v>
      </c>
      <c r="BI532" s="49">
        <v>0</v>
      </c>
      <c r="BJ532" s="49">
        <v>0</v>
      </c>
      <c r="BK532" s="49">
        <v>0</v>
      </c>
      <c r="BL532" s="49">
        <v>0</v>
      </c>
      <c r="BM532" s="49">
        <v>0</v>
      </c>
      <c r="BN532" s="49">
        <v>0</v>
      </c>
      <c r="BO532" s="49">
        <v>0</v>
      </c>
      <c r="BP532" s="49">
        <v>0</v>
      </c>
      <c r="BQ532" s="49">
        <v>0</v>
      </c>
      <c r="BR532" s="49">
        <v>0</v>
      </c>
      <c r="BS532" s="49">
        <v>0</v>
      </c>
    </row>
    <row r="533" spans="3:71" outlineLevel="1" x14ac:dyDescent="0.2">
      <c r="D533" t="str">
        <f>CHOOSE(db_ML_selected,'Liste Traduction'!B202,'Liste Traduction'!C202)</f>
        <v>Autres coûts</v>
      </c>
      <c r="I533" s="30">
        <f t="shared" si="149"/>
        <v>0</v>
      </c>
      <c r="J533" s="26" t="s">
        <v>148</v>
      </c>
      <c r="L533" s="49">
        <v>0</v>
      </c>
      <c r="M533" s="49">
        <v>0</v>
      </c>
      <c r="N533" s="49">
        <v>0</v>
      </c>
      <c r="O533" s="49">
        <v>0</v>
      </c>
      <c r="P533" s="49">
        <v>0</v>
      </c>
      <c r="Q533" s="49">
        <v>0</v>
      </c>
      <c r="R533" s="49">
        <v>0</v>
      </c>
      <c r="S533" s="49">
        <v>0</v>
      </c>
      <c r="T533" s="49">
        <v>0</v>
      </c>
      <c r="U533" s="49">
        <v>0</v>
      </c>
      <c r="V533" s="49">
        <v>0</v>
      </c>
      <c r="W533" s="49">
        <v>0</v>
      </c>
      <c r="X533" s="49">
        <v>0</v>
      </c>
      <c r="Y533" s="49">
        <v>0</v>
      </c>
      <c r="Z533" s="49">
        <v>0</v>
      </c>
      <c r="AA533" s="49">
        <v>0</v>
      </c>
      <c r="AB533" s="49">
        <v>0</v>
      </c>
      <c r="AC533" s="49">
        <v>0</v>
      </c>
      <c r="AD533" s="49">
        <v>0</v>
      </c>
      <c r="AE533" s="49">
        <v>0</v>
      </c>
      <c r="AF533" s="49">
        <v>0</v>
      </c>
      <c r="AG533" s="49">
        <v>0</v>
      </c>
      <c r="AH533" s="49">
        <v>0</v>
      </c>
      <c r="AI533" s="49">
        <v>0</v>
      </c>
      <c r="AJ533" s="49">
        <v>0</v>
      </c>
      <c r="AK533" s="49">
        <v>0</v>
      </c>
      <c r="AL533" s="49">
        <v>0</v>
      </c>
      <c r="AM533" s="49">
        <v>0</v>
      </c>
      <c r="AN533" s="49">
        <v>0</v>
      </c>
      <c r="AO533" s="49">
        <v>0</v>
      </c>
      <c r="AP533" s="49">
        <v>0</v>
      </c>
      <c r="AQ533" s="49">
        <v>0</v>
      </c>
      <c r="AR533" s="49">
        <v>0</v>
      </c>
      <c r="AS533" s="49">
        <v>0</v>
      </c>
      <c r="AT533" s="49">
        <v>0</v>
      </c>
      <c r="AU533" s="49">
        <v>0</v>
      </c>
      <c r="AV533" s="49">
        <v>0</v>
      </c>
      <c r="AW533" s="49">
        <v>0</v>
      </c>
      <c r="AX533" s="49">
        <v>0</v>
      </c>
      <c r="AY533" s="49">
        <v>0</v>
      </c>
      <c r="AZ533" s="49">
        <v>0</v>
      </c>
      <c r="BA533" s="49">
        <v>0</v>
      </c>
      <c r="BB533" s="49">
        <v>0</v>
      </c>
      <c r="BC533" s="49">
        <v>0</v>
      </c>
      <c r="BD533" s="49">
        <v>0</v>
      </c>
      <c r="BE533" s="49">
        <v>0</v>
      </c>
      <c r="BF533" s="49">
        <v>0</v>
      </c>
      <c r="BG533" s="49">
        <v>0</v>
      </c>
      <c r="BH533" s="49">
        <v>0</v>
      </c>
      <c r="BI533" s="49">
        <v>0</v>
      </c>
      <c r="BJ533" s="49">
        <v>0</v>
      </c>
      <c r="BK533" s="49">
        <v>0</v>
      </c>
      <c r="BL533" s="49">
        <v>0</v>
      </c>
      <c r="BM533" s="49">
        <v>0</v>
      </c>
      <c r="BN533" s="49">
        <v>0</v>
      </c>
      <c r="BO533" s="49">
        <v>0</v>
      </c>
      <c r="BP533" s="49">
        <v>0</v>
      </c>
      <c r="BQ533" s="49">
        <v>0</v>
      </c>
      <c r="BR533" s="49">
        <v>0</v>
      </c>
      <c r="BS533" s="49">
        <v>0</v>
      </c>
    </row>
    <row r="534" spans="3:71" outlineLevel="1" x14ac:dyDescent="0.2">
      <c r="J534" s="26"/>
      <c r="L534" s="55"/>
      <c r="M534" s="55"/>
      <c r="N534" s="55"/>
      <c r="O534" s="55"/>
      <c r="P534" s="55"/>
      <c r="Q534" s="55"/>
      <c r="R534" s="55"/>
      <c r="S534" s="55"/>
      <c r="T534" s="55"/>
      <c r="U534" s="55"/>
      <c r="V534" s="55"/>
      <c r="W534" s="55"/>
      <c r="X534" s="55"/>
      <c r="Y534" s="55"/>
      <c r="Z534" s="55"/>
      <c r="AA534" s="55"/>
      <c r="AB534" s="55"/>
      <c r="AC534" s="55"/>
      <c r="AD534" s="55"/>
      <c r="AE534" s="55"/>
      <c r="AF534" s="55"/>
      <c r="AG534" s="55"/>
      <c r="AH534" s="55"/>
      <c r="AI534" s="55"/>
      <c r="AJ534" s="55"/>
      <c r="AK534" s="55"/>
      <c r="AL534" s="55"/>
      <c r="AM534" s="55"/>
      <c r="AN534" s="55"/>
      <c r="AO534" s="55"/>
      <c r="AP534" s="55"/>
      <c r="AQ534" s="55"/>
      <c r="AR534" s="55"/>
      <c r="AS534" s="55"/>
      <c r="AT534" s="55"/>
      <c r="AU534" s="55"/>
      <c r="AV534" s="55"/>
      <c r="AW534" s="55"/>
      <c r="AX534" s="55"/>
      <c r="AY534" s="55"/>
      <c r="AZ534" s="55"/>
      <c r="BA534" s="55"/>
      <c r="BB534" s="55"/>
      <c r="BC534" s="55"/>
      <c r="BD534" s="55"/>
      <c r="BE534" s="55"/>
      <c r="BF534" s="55"/>
      <c r="BG534" s="55"/>
      <c r="BH534" s="55"/>
      <c r="BI534" s="55"/>
      <c r="BJ534" s="55"/>
      <c r="BK534" s="55"/>
      <c r="BL534" s="55"/>
      <c r="BM534" s="55"/>
      <c r="BN534" s="55"/>
      <c r="BO534" s="55"/>
      <c r="BP534" s="55"/>
      <c r="BQ534" s="55"/>
      <c r="BR534" s="55"/>
      <c r="BS534" s="55"/>
    </row>
    <row r="535" spans="3:71" outlineLevel="1" x14ac:dyDescent="0.2">
      <c r="C535" s="11" t="str">
        <f>CHOOSE(db_ML_selected,'Liste Traduction'!B420,'Liste Traduction'!C420)</f>
        <v>Total flux de trésorerie du Gouv.</v>
      </c>
      <c r="F535" s="64" t="b">
        <f ca="1">ROUND(SUM(I535,I451),2)=ROUND(I425,2)</f>
        <v>1</v>
      </c>
      <c r="H535" s="7" t="s">
        <v>637</v>
      </c>
      <c r="I535" s="30">
        <f t="shared" ca="1" si="149"/>
        <v>2555.254046453826</v>
      </c>
      <c r="J535" s="26" t="s">
        <v>148</v>
      </c>
      <c r="K535" s="7" t="s">
        <v>642</v>
      </c>
      <c r="L535" s="49">
        <f ca="1">SUM(L523:L530)-SUM(L532:L533)</f>
        <v>638.56613516819993</v>
      </c>
      <c r="M535" s="49">
        <f t="shared" ref="M535:BS535" ca="1" si="150">SUM(M523:M530)-SUM(M532:M533)</f>
        <v>652.52160203135008</v>
      </c>
      <c r="N535" s="49">
        <f t="shared" ca="1" si="150"/>
        <v>208.39905249835991</v>
      </c>
      <c r="O535" s="49">
        <f t="shared" ca="1" si="150"/>
        <v>168.98423447737997</v>
      </c>
      <c r="P535" s="49">
        <f t="shared" ca="1" si="150"/>
        <v>134.34582154621003</v>
      </c>
      <c r="Q535" s="49">
        <f t="shared" ca="1" si="150"/>
        <v>143.95932656076295</v>
      </c>
      <c r="R535" s="49">
        <f t="shared" ca="1" si="150"/>
        <v>137.53213630414001</v>
      </c>
      <c r="S535" s="49">
        <f t="shared" ca="1" si="150"/>
        <v>63.727825744333316</v>
      </c>
      <c r="T535" s="49">
        <f t="shared" ca="1" si="150"/>
        <v>86.724148384972764</v>
      </c>
      <c r="U535" s="49">
        <f t="shared" ca="1" si="150"/>
        <v>86.572390512383976</v>
      </c>
      <c r="V535" s="49">
        <f t="shared" ca="1" si="150"/>
        <v>82.122569640047431</v>
      </c>
      <c r="W535" s="49">
        <f t="shared" ca="1" si="150"/>
        <v>77.901469560548989</v>
      </c>
      <c r="X535" s="49">
        <f t="shared" ca="1" si="150"/>
        <v>73.897334025136772</v>
      </c>
      <c r="Y535" s="49">
        <f t="shared" ca="1" si="150"/>
        <v>0</v>
      </c>
      <c r="Z535" s="49">
        <f t="shared" ca="1" si="150"/>
        <v>0</v>
      </c>
      <c r="AA535" s="49">
        <f t="shared" ca="1" si="150"/>
        <v>0</v>
      </c>
      <c r="AB535" s="49">
        <f t="shared" ca="1" si="150"/>
        <v>0</v>
      </c>
      <c r="AC535" s="49">
        <f t="shared" ca="1" si="150"/>
        <v>0</v>
      </c>
      <c r="AD535" s="49">
        <f t="shared" ca="1" si="150"/>
        <v>0</v>
      </c>
      <c r="AE535" s="49">
        <f t="shared" ca="1" si="150"/>
        <v>0</v>
      </c>
      <c r="AF535" s="49">
        <f t="shared" ca="1" si="150"/>
        <v>0</v>
      </c>
      <c r="AG535" s="49">
        <f t="shared" ca="1" si="150"/>
        <v>0</v>
      </c>
      <c r="AH535" s="49">
        <f t="shared" ca="1" si="150"/>
        <v>0</v>
      </c>
      <c r="AI535" s="49">
        <f t="shared" ca="1" si="150"/>
        <v>0</v>
      </c>
      <c r="AJ535" s="49">
        <f t="shared" ca="1" si="150"/>
        <v>0</v>
      </c>
      <c r="AK535" s="49">
        <f t="shared" ca="1" si="150"/>
        <v>0</v>
      </c>
      <c r="AL535" s="49">
        <f t="shared" ca="1" si="150"/>
        <v>0</v>
      </c>
      <c r="AM535" s="49">
        <f t="shared" ca="1" si="150"/>
        <v>0</v>
      </c>
      <c r="AN535" s="49">
        <f t="shared" ca="1" si="150"/>
        <v>0</v>
      </c>
      <c r="AO535" s="49">
        <f t="shared" ca="1" si="150"/>
        <v>0</v>
      </c>
      <c r="AP535" s="49">
        <f t="shared" ca="1" si="150"/>
        <v>0</v>
      </c>
      <c r="AQ535" s="49">
        <f t="shared" ca="1" si="150"/>
        <v>0</v>
      </c>
      <c r="AR535" s="49">
        <f t="shared" ca="1" si="150"/>
        <v>0</v>
      </c>
      <c r="AS535" s="49">
        <f t="shared" ca="1" si="150"/>
        <v>0</v>
      </c>
      <c r="AT535" s="49">
        <f t="shared" ca="1" si="150"/>
        <v>0</v>
      </c>
      <c r="AU535" s="49">
        <f t="shared" ca="1" si="150"/>
        <v>0</v>
      </c>
      <c r="AV535" s="49">
        <f t="shared" ca="1" si="150"/>
        <v>0</v>
      </c>
      <c r="AW535" s="49">
        <f t="shared" ca="1" si="150"/>
        <v>0</v>
      </c>
      <c r="AX535" s="49">
        <f t="shared" ca="1" si="150"/>
        <v>0</v>
      </c>
      <c r="AY535" s="49">
        <f t="shared" ca="1" si="150"/>
        <v>0</v>
      </c>
      <c r="AZ535" s="49">
        <f t="shared" ca="1" si="150"/>
        <v>0</v>
      </c>
      <c r="BA535" s="49">
        <f t="shared" ca="1" si="150"/>
        <v>0</v>
      </c>
      <c r="BB535" s="49">
        <f t="shared" ca="1" si="150"/>
        <v>0</v>
      </c>
      <c r="BC535" s="49">
        <f t="shared" ca="1" si="150"/>
        <v>0</v>
      </c>
      <c r="BD535" s="49">
        <f t="shared" ca="1" si="150"/>
        <v>0</v>
      </c>
      <c r="BE535" s="49">
        <f t="shared" ca="1" si="150"/>
        <v>0</v>
      </c>
      <c r="BF535" s="49">
        <f t="shared" ca="1" si="150"/>
        <v>0</v>
      </c>
      <c r="BG535" s="49">
        <f t="shared" ca="1" si="150"/>
        <v>0</v>
      </c>
      <c r="BH535" s="49">
        <f t="shared" ca="1" si="150"/>
        <v>0</v>
      </c>
      <c r="BI535" s="49">
        <f t="shared" ca="1" si="150"/>
        <v>0</v>
      </c>
      <c r="BJ535" s="49">
        <f t="shared" ca="1" si="150"/>
        <v>0</v>
      </c>
      <c r="BK535" s="49">
        <f t="shared" ca="1" si="150"/>
        <v>0</v>
      </c>
      <c r="BL535" s="49">
        <f t="shared" ca="1" si="150"/>
        <v>0</v>
      </c>
      <c r="BM535" s="49">
        <f t="shared" ca="1" si="150"/>
        <v>0</v>
      </c>
      <c r="BN535" s="49">
        <f t="shared" ca="1" si="150"/>
        <v>0</v>
      </c>
      <c r="BO535" s="49">
        <f t="shared" ca="1" si="150"/>
        <v>0</v>
      </c>
      <c r="BP535" s="49">
        <f t="shared" ca="1" si="150"/>
        <v>0</v>
      </c>
      <c r="BQ535" s="49">
        <f t="shared" ca="1" si="150"/>
        <v>0</v>
      </c>
      <c r="BR535" s="49">
        <f t="shared" ca="1" si="150"/>
        <v>0</v>
      </c>
      <c r="BS535" s="49">
        <f t="shared" ca="1" si="150"/>
        <v>0</v>
      </c>
    </row>
    <row r="536" spans="3:71" outlineLevel="1" x14ac:dyDescent="0.2">
      <c r="J536" s="26"/>
      <c r="L536" s="55"/>
      <c r="M536" s="55"/>
      <c r="N536" s="55"/>
      <c r="O536" s="55"/>
      <c r="P536" s="55"/>
      <c r="Q536" s="55"/>
      <c r="R536" s="55"/>
      <c r="S536" s="55"/>
      <c r="T536" s="55"/>
      <c r="U536" s="55"/>
      <c r="V536" s="55"/>
      <c r="W536" s="55"/>
      <c r="X536" s="55"/>
      <c r="Y536" s="55"/>
      <c r="Z536" s="55"/>
      <c r="AA536" s="55"/>
      <c r="AB536" s="55"/>
      <c r="AC536" s="55"/>
      <c r="AD536" s="55"/>
      <c r="AE536" s="55"/>
      <c r="AF536" s="55"/>
      <c r="AG536" s="55"/>
      <c r="AH536" s="55"/>
      <c r="AI536" s="55"/>
      <c r="AJ536" s="55"/>
      <c r="AK536" s="55"/>
      <c r="AL536" s="55"/>
      <c r="AM536" s="55"/>
      <c r="AN536" s="55"/>
      <c r="AO536" s="55"/>
      <c r="AP536" s="55"/>
      <c r="AQ536" s="55"/>
      <c r="AR536" s="55"/>
      <c r="AS536" s="55"/>
      <c r="AT536" s="55"/>
      <c r="AU536" s="55"/>
      <c r="AV536" s="55"/>
      <c r="AW536" s="55"/>
      <c r="AX536" s="55"/>
      <c r="AY536" s="55"/>
      <c r="AZ536" s="55"/>
      <c r="BA536" s="55"/>
      <c r="BB536" s="55"/>
      <c r="BC536" s="55"/>
      <c r="BD536" s="55"/>
      <c r="BE536" s="55"/>
      <c r="BF536" s="55"/>
      <c r="BG536" s="55"/>
      <c r="BH536" s="55"/>
      <c r="BI536" s="55"/>
      <c r="BJ536" s="55"/>
      <c r="BK536" s="55"/>
      <c r="BL536" s="55"/>
      <c r="BM536" s="55"/>
      <c r="BN536" s="55"/>
      <c r="BO536" s="55"/>
      <c r="BP536" s="55"/>
      <c r="BQ536" s="55"/>
      <c r="BR536" s="55"/>
      <c r="BS536" s="55"/>
    </row>
    <row r="537" spans="3:71" outlineLevel="1" x14ac:dyDescent="0.2">
      <c r="C537" s="11" t="str">
        <f>C508</f>
        <v>VAN cycle complet</v>
      </c>
      <c r="G537" s="60"/>
      <c r="H537" s="7" t="s">
        <v>638</v>
      </c>
      <c r="I537" s="65">
        <f t="shared" ca="1" si="149"/>
        <v>309.01098731914954</v>
      </c>
      <c r="J537" s="26" t="s">
        <v>148</v>
      </c>
      <c r="L537" s="49">
        <f ca="1">OA_gov_CF_Nkossa2017*HM_ZA_Nkossa!CA_disc_factor_fc</f>
        <v>99.551663731095488</v>
      </c>
      <c r="M537" s="49">
        <f ca="1">OA_gov_CF_Nkossa2017*HM_ZA_Nkossa!CA_disc_factor_fc</f>
        <v>92.479366911605865</v>
      </c>
      <c r="N537" s="49">
        <f ca="1">OA_gov_CF_Nkossa2017*HM_ZA_Nkossa!CA_disc_factor_fc</f>
        <v>26.850539061263134</v>
      </c>
      <c r="O537" s="49">
        <f ca="1">OA_gov_CF_Nkossa2017*HM_ZA_Nkossa!CA_disc_factor_fc</f>
        <v>19.79296116655917</v>
      </c>
      <c r="P537" s="49">
        <f ca="1">OA_gov_CF_Nkossa2017*HM_ZA_Nkossa!CA_disc_factor_fc</f>
        <v>14.305270101231446</v>
      </c>
      <c r="Q537" s="49">
        <f ca="1">OA_gov_CF_Nkossa2017*HM_ZA_Nkossa!CA_disc_factor_fc</f>
        <v>13.935386549708793</v>
      </c>
      <c r="R537" s="49">
        <f ca="1">OA_gov_CF_Nkossa2017*HM_ZA_Nkossa!CA_disc_factor_fc</f>
        <v>12.102935462225707</v>
      </c>
      <c r="S537" s="49">
        <f ca="1">OA_gov_CF_Nkossa2017*HM_ZA_Nkossa!CA_disc_factor_fc</f>
        <v>5.0982713294135467</v>
      </c>
      <c r="T537" s="49">
        <f ca="1">OA_gov_CF_Nkossa2017*HM_ZA_Nkossa!CA_disc_factor_fc</f>
        <v>6.3072667967211711</v>
      </c>
      <c r="U537" s="49">
        <f ca="1">OA_gov_CF_Nkossa2017*HM_ZA_Nkossa!CA_disc_factor_fc</f>
        <v>5.723845238663686</v>
      </c>
      <c r="V537" s="49">
        <f ca="1">OA_gov_CF_Nkossa2017*HM_ZA_Nkossa!CA_disc_factor_fc</f>
        <v>4.9360359939967013</v>
      </c>
      <c r="W537" s="49">
        <f ca="1">OA_gov_CF_Nkossa2017*HM_ZA_Nkossa!CA_disc_factor_fc</f>
        <v>4.2566579490047918</v>
      </c>
      <c r="X537" s="49">
        <f ca="1">OA_gov_CF_Nkossa2017*HM_ZA_Nkossa!CA_disc_factor_fc</f>
        <v>3.6707870276599497</v>
      </c>
      <c r="Y537" s="49">
        <f ca="1">OA_gov_CF_Nkossa2017*HM_ZA_Nkossa!CA_disc_factor_fc</f>
        <v>0</v>
      </c>
      <c r="Z537" s="49">
        <f ca="1">OA_gov_CF_Nkossa2017*HM_ZA_Nkossa!CA_disc_factor_fc</f>
        <v>0</v>
      </c>
      <c r="AA537" s="49">
        <f ca="1">OA_gov_CF_Nkossa2017*HM_ZA_Nkossa!CA_disc_factor_fc</f>
        <v>0</v>
      </c>
      <c r="AB537" s="49">
        <f ca="1">OA_gov_CF_Nkossa2017*HM_ZA_Nkossa!CA_disc_factor_fc</f>
        <v>0</v>
      </c>
      <c r="AC537" s="49">
        <f ca="1">OA_gov_CF_Nkossa2017*HM_ZA_Nkossa!CA_disc_factor_fc</f>
        <v>0</v>
      </c>
      <c r="AD537" s="49">
        <f ca="1">OA_gov_CF_Nkossa2017*HM_ZA_Nkossa!CA_disc_factor_fc</f>
        <v>0</v>
      </c>
      <c r="AE537" s="49">
        <f ca="1">OA_gov_CF_Nkossa2017*HM_ZA_Nkossa!CA_disc_factor_fc</f>
        <v>0</v>
      </c>
      <c r="AF537" s="49">
        <f ca="1">OA_gov_CF_Nkossa2017*HM_ZA_Nkossa!CA_disc_factor_fc</f>
        <v>0</v>
      </c>
      <c r="AG537" s="49">
        <f ca="1">OA_gov_CF_Nkossa2017*HM_ZA_Nkossa!CA_disc_factor_fc</f>
        <v>0</v>
      </c>
      <c r="AH537" s="49">
        <f ca="1">OA_gov_CF_Nkossa2017*HM_ZA_Nkossa!CA_disc_factor_fc</f>
        <v>0</v>
      </c>
      <c r="AI537" s="49">
        <f ca="1">OA_gov_CF_Nkossa2017*HM_ZA_Nkossa!CA_disc_factor_fc</f>
        <v>0</v>
      </c>
      <c r="AJ537" s="49">
        <f ca="1">OA_gov_CF_Nkossa2017*HM_ZA_Nkossa!CA_disc_factor_fc</f>
        <v>0</v>
      </c>
      <c r="AK537" s="49">
        <f ca="1">OA_gov_CF_Nkossa2017*HM_ZA_Nkossa!CA_disc_factor_fc</f>
        <v>0</v>
      </c>
      <c r="AL537" s="49">
        <f ca="1">OA_gov_CF_Nkossa2017*HM_ZA_Nkossa!CA_disc_factor_fc</f>
        <v>0</v>
      </c>
      <c r="AM537" s="49">
        <f ca="1">OA_gov_CF_Nkossa2017*HM_ZA_Nkossa!CA_disc_factor_fc</f>
        <v>0</v>
      </c>
      <c r="AN537" s="49">
        <f ca="1">OA_gov_CF_Nkossa2017*HM_ZA_Nkossa!CA_disc_factor_fc</f>
        <v>0</v>
      </c>
      <c r="AO537" s="49">
        <f ca="1">OA_gov_CF_Nkossa2017*HM_ZA_Nkossa!CA_disc_factor_fc</f>
        <v>0</v>
      </c>
      <c r="AP537" s="49">
        <f ca="1">OA_gov_CF_Nkossa2017*HM_ZA_Nkossa!CA_disc_factor_fc</f>
        <v>0</v>
      </c>
      <c r="AQ537" s="49">
        <f ca="1">OA_gov_CF_Nkossa2017*HM_ZA_Nkossa!CA_disc_factor_fc</f>
        <v>0</v>
      </c>
      <c r="AR537" s="49">
        <f ca="1">OA_gov_CF_Nkossa2017*HM_ZA_Nkossa!CA_disc_factor_fc</f>
        <v>0</v>
      </c>
      <c r="AS537" s="49">
        <f ca="1">OA_gov_CF_Nkossa2017*HM_ZA_Nkossa!CA_disc_factor_fc</f>
        <v>0</v>
      </c>
      <c r="AT537" s="49">
        <f ca="1">OA_gov_CF_Nkossa2017*HM_ZA_Nkossa!CA_disc_factor_fc</f>
        <v>0</v>
      </c>
      <c r="AU537" s="49">
        <f ca="1">OA_gov_CF_Nkossa2017*HM_ZA_Nkossa!CA_disc_factor_fc</f>
        <v>0</v>
      </c>
      <c r="AV537" s="49">
        <f ca="1">OA_gov_CF_Nkossa2017*HM_ZA_Nkossa!CA_disc_factor_fc</f>
        <v>0</v>
      </c>
      <c r="AW537" s="49">
        <f ca="1">OA_gov_CF_Nkossa2017*HM_ZA_Nkossa!CA_disc_factor_fc</f>
        <v>0</v>
      </c>
      <c r="AX537" s="49">
        <f ca="1">OA_gov_CF_Nkossa2017*HM_ZA_Nkossa!CA_disc_factor_fc</f>
        <v>0</v>
      </c>
      <c r="AY537" s="49">
        <f ca="1">OA_gov_CF_Nkossa2017*HM_ZA_Nkossa!CA_disc_factor_fc</f>
        <v>0</v>
      </c>
      <c r="AZ537" s="49">
        <f ca="1">OA_gov_CF_Nkossa2017*HM_ZA_Nkossa!CA_disc_factor_fc</f>
        <v>0</v>
      </c>
      <c r="BA537" s="49">
        <f ca="1">OA_gov_CF_Nkossa2017*HM_ZA_Nkossa!CA_disc_factor_fc</f>
        <v>0</v>
      </c>
      <c r="BB537" s="49">
        <f ca="1">OA_gov_CF_Nkossa2017*HM_ZA_Nkossa!CA_disc_factor_fc</f>
        <v>0</v>
      </c>
      <c r="BC537" s="49">
        <f ca="1">OA_gov_CF_Nkossa2017*HM_ZA_Nkossa!CA_disc_factor_fc</f>
        <v>0</v>
      </c>
      <c r="BD537" s="49">
        <f ca="1">OA_gov_CF_Nkossa2017*HM_ZA_Nkossa!CA_disc_factor_fc</f>
        <v>0</v>
      </c>
      <c r="BE537" s="49">
        <f ca="1">OA_gov_CF_Nkossa2017*HM_ZA_Nkossa!CA_disc_factor_fc</f>
        <v>0</v>
      </c>
      <c r="BF537" s="49">
        <f ca="1">OA_gov_CF_Nkossa2017*HM_ZA_Nkossa!CA_disc_factor_fc</f>
        <v>0</v>
      </c>
      <c r="BG537" s="49">
        <f ca="1">OA_gov_CF_Nkossa2017*HM_ZA_Nkossa!CA_disc_factor_fc</f>
        <v>0</v>
      </c>
      <c r="BH537" s="49">
        <f ca="1">OA_gov_CF_Nkossa2017*HM_ZA_Nkossa!CA_disc_factor_fc</f>
        <v>0</v>
      </c>
      <c r="BI537" s="49">
        <f ca="1">OA_gov_CF_Nkossa2017*HM_ZA_Nkossa!CA_disc_factor_fc</f>
        <v>0</v>
      </c>
      <c r="BJ537" s="49">
        <f ca="1">OA_gov_CF_Nkossa2017*HM_ZA_Nkossa!CA_disc_factor_fc</f>
        <v>0</v>
      </c>
      <c r="BK537" s="49">
        <f ca="1">OA_gov_CF_Nkossa2017*HM_ZA_Nkossa!CA_disc_factor_fc</f>
        <v>0</v>
      </c>
      <c r="BL537" s="49">
        <f ca="1">OA_gov_CF_Nkossa2017*HM_ZA_Nkossa!CA_disc_factor_fc</f>
        <v>0</v>
      </c>
      <c r="BM537" s="49">
        <f ca="1">OA_gov_CF_Nkossa2017*HM_ZA_Nkossa!CA_disc_factor_fc</f>
        <v>0</v>
      </c>
      <c r="BN537" s="49">
        <f ca="1">OA_gov_CF_Nkossa2017*HM_ZA_Nkossa!CA_disc_factor_fc</f>
        <v>0</v>
      </c>
      <c r="BO537" s="49">
        <f ca="1">OA_gov_CF_Nkossa2017*HM_ZA_Nkossa!CA_disc_factor_fc</f>
        <v>0</v>
      </c>
      <c r="BP537" s="49">
        <f ca="1">OA_gov_CF_Nkossa2017*HM_ZA_Nkossa!CA_disc_factor_fc</f>
        <v>0</v>
      </c>
      <c r="BQ537" s="49">
        <f ca="1">OA_gov_CF_Nkossa2017*HM_ZA_Nkossa!CA_disc_factor_fc</f>
        <v>0</v>
      </c>
      <c r="BR537" s="49">
        <f ca="1">OA_gov_CF_Nkossa2017*HM_ZA_Nkossa!CA_disc_factor_fc</f>
        <v>0</v>
      </c>
      <c r="BS537" s="49">
        <f ca="1">OA_gov_CF_Nkossa2017*HM_ZA_Nkossa!CA_disc_factor_fc</f>
        <v>0</v>
      </c>
    </row>
    <row r="538" spans="3:71" outlineLevel="1" x14ac:dyDescent="0.2">
      <c r="C538" s="11" t="str">
        <f>C509</f>
        <v>VAN à terme</v>
      </c>
      <c r="I538" s="65">
        <f t="shared" ca="1" si="149"/>
        <v>326.36796970902242</v>
      </c>
      <c r="J538" s="26" t="s">
        <v>148</v>
      </c>
      <c r="L538" s="49">
        <f ca="1">OA_gov_CF_Nkossa2017*HM_ZA_Nkossa!CA_disc_factor_pf</f>
        <v>0</v>
      </c>
      <c r="M538" s="49">
        <f ca="1">OA_gov_CF_Nkossa2017*HM_ZA_Nkossa!CA_disc_factor_pf</f>
        <v>0</v>
      </c>
      <c r="N538" s="49">
        <f ca="1">OA_gov_CF_Nkossa2017*HM_ZA_Nkossa!CA_disc_factor_pf</f>
        <v>0</v>
      </c>
      <c r="O538" s="49">
        <f ca="1">OA_gov_CF_Nkossa2017*HM_ZA_Nkossa!CA_disc_factor_pf</f>
        <v>0</v>
      </c>
      <c r="P538" s="49">
        <f ca="1">OA_gov_CF_Nkossa2017*HM_ZA_Nkossa!CA_disc_factor_pf</f>
        <v>0</v>
      </c>
      <c r="Q538" s="49">
        <f ca="1">OA_gov_CF_Nkossa2017*HM_ZA_Nkossa!CA_disc_factor_pf</f>
        <v>0</v>
      </c>
      <c r="R538" s="49">
        <f ca="1">OA_gov_CF_Nkossa2017*HM_ZA_Nkossa!CA_disc_factor_pf</f>
        <v>0</v>
      </c>
      <c r="S538" s="49">
        <f ca="1">OA_gov_CF_Nkossa2017*HM_ZA_Nkossa!CA_disc_factor_pf</f>
        <v>0</v>
      </c>
      <c r="T538" s="49">
        <f ca="1">OA_gov_CF_Nkossa2017*HM_ZA_Nkossa!CA_disc_factor_pf</f>
        <v>82.688231069255082</v>
      </c>
      <c r="U538" s="49">
        <f ca="1">OA_gov_CF_Nkossa2017*HM_ZA_Nkossa!CA_disc_factor_pf</f>
        <v>75.039577831925598</v>
      </c>
      <c r="V538" s="49">
        <f ca="1">OA_gov_CF_Nkossa2017*HM_ZA_Nkossa!CA_disc_factor_pf</f>
        <v>64.711403210331468</v>
      </c>
      <c r="W538" s="49">
        <f ca="1">OA_gov_CF_Nkossa2017*HM_ZA_Nkossa!CA_disc_factor_pf</f>
        <v>55.804760986654934</v>
      </c>
      <c r="X538" s="49">
        <f ca="1">OA_gov_CF_Nkossa2017*HM_ZA_Nkossa!CA_disc_factor_pf</f>
        <v>48.123996610855329</v>
      </c>
      <c r="Y538" s="49">
        <f ca="1">OA_gov_CF_Nkossa2017*HM_ZA_Nkossa!CA_disc_factor_pf</f>
        <v>0</v>
      </c>
      <c r="Z538" s="49">
        <f ca="1">OA_gov_CF_Nkossa2017*HM_ZA_Nkossa!CA_disc_factor_pf</f>
        <v>0</v>
      </c>
      <c r="AA538" s="49">
        <f ca="1">OA_gov_CF_Nkossa2017*HM_ZA_Nkossa!CA_disc_factor_pf</f>
        <v>0</v>
      </c>
      <c r="AB538" s="49">
        <f ca="1">OA_gov_CF_Nkossa2017*HM_ZA_Nkossa!CA_disc_factor_pf</f>
        <v>0</v>
      </c>
      <c r="AC538" s="49">
        <f ca="1">OA_gov_CF_Nkossa2017*HM_ZA_Nkossa!CA_disc_factor_pf</f>
        <v>0</v>
      </c>
      <c r="AD538" s="49">
        <f ca="1">OA_gov_CF_Nkossa2017*HM_ZA_Nkossa!CA_disc_factor_pf</f>
        <v>0</v>
      </c>
      <c r="AE538" s="49">
        <f ca="1">OA_gov_CF_Nkossa2017*HM_ZA_Nkossa!CA_disc_factor_pf</f>
        <v>0</v>
      </c>
      <c r="AF538" s="49">
        <f ca="1">OA_gov_CF_Nkossa2017*HM_ZA_Nkossa!CA_disc_factor_pf</f>
        <v>0</v>
      </c>
      <c r="AG538" s="49">
        <f ca="1">OA_gov_CF_Nkossa2017*HM_ZA_Nkossa!CA_disc_factor_pf</f>
        <v>0</v>
      </c>
      <c r="AH538" s="49">
        <f ca="1">OA_gov_CF_Nkossa2017*HM_ZA_Nkossa!CA_disc_factor_pf</f>
        <v>0</v>
      </c>
      <c r="AI538" s="49">
        <f ca="1">OA_gov_CF_Nkossa2017*HM_ZA_Nkossa!CA_disc_factor_pf</f>
        <v>0</v>
      </c>
      <c r="AJ538" s="49">
        <f ca="1">OA_gov_CF_Nkossa2017*HM_ZA_Nkossa!CA_disc_factor_pf</f>
        <v>0</v>
      </c>
      <c r="AK538" s="49">
        <f ca="1">OA_gov_CF_Nkossa2017*HM_ZA_Nkossa!CA_disc_factor_pf</f>
        <v>0</v>
      </c>
      <c r="AL538" s="49">
        <f ca="1">OA_gov_CF_Nkossa2017*HM_ZA_Nkossa!CA_disc_factor_pf</f>
        <v>0</v>
      </c>
      <c r="AM538" s="49">
        <f ca="1">OA_gov_CF_Nkossa2017*HM_ZA_Nkossa!CA_disc_factor_pf</f>
        <v>0</v>
      </c>
      <c r="AN538" s="49">
        <f ca="1">OA_gov_CF_Nkossa2017*HM_ZA_Nkossa!CA_disc_factor_pf</f>
        <v>0</v>
      </c>
      <c r="AO538" s="49">
        <f ca="1">OA_gov_CF_Nkossa2017*HM_ZA_Nkossa!CA_disc_factor_pf</f>
        <v>0</v>
      </c>
      <c r="AP538" s="49">
        <f ca="1">OA_gov_CF_Nkossa2017*HM_ZA_Nkossa!CA_disc_factor_pf</f>
        <v>0</v>
      </c>
      <c r="AQ538" s="49">
        <f ca="1">OA_gov_CF_Nkossa2017*HM_ZA_Nkossa!CA_disc_factor_pf</f>
        <v>0</v>
      </c>
      <c r="AR538" s="49">
        <f ca="1">OA_gov_CF_Nkossa2017*HM_ZA_Nkossa!CA_disc_factor_pf</f>
        <v>0</v>
      </c>
      <c r="AS538" s="49">
        <f ca="1">OA_gov_CF_Nkossa2017*HM_ZA_Nkossa!CA_disc_factor_pf</f>
        <v>0</v>
      </c>
      <c r="AT538" s="49">
        <f ca="1">OA_gov_CF_Nkossa2017*HM_ZA_Nkossa!CA_disc_factor_pf</f>
        <v>0</v>
      </c>
      <c r="AU538" s="49">
        <f ca="1">OA_gov_CF_Nkossa2017*HM_ZA_Nkossa!CA_disc_factor_pf</f>
        <v>0</v>
      </c>
      <c r="AV538" s="49">
        <f ca="1">OA_gov_CF_Nkossa2017*HM_ZA_Nkossa!CA_disc_factor_pf</f>
        <v>0</v>
      </c>
      <c r="AW538" s="49">
        <f ca="1">OA_gov_CF_Nkossa2017*HM_ZA_Nkossa!CA_disc_factor_pf</f>
        <v>0</v>
      </c>
      <c r="AX538" s="49">
        <f ca="1">OA_gov_CF_Nkossa2017*HM_ZA_Nkossa!CA_disc_factor_pf</f>
        <v>0</v>
      </c>
      <c r="AY538" s="49">
        <f ca="1">OA_gov_CF_Nkossa2017*HM_ZA_Nkossa!CA_disc_factor_pf</f>
        <v>0</v>
      </c>
      <c r="AZ538" s="49">
        <f ca="1">OA_gov_CF_Nkossa2017*HM_ZA_Nkossa!CA_disc_factor_pf</f>
        <v>0</v>
      </c>
      <c r="BA538" s="49">
        <f ca="1">OA_gov_CF_Nkossa2017*HM_ZA_Nkossa!CA_disc_factor_pf</f>
        <v>0</v>
      </c>
      <c r="BB538" s="49">
        <f ca="1">OA_gov_CF_Nkossa2017*HM_ZA_Nkossa!CA_disc_factor_pf</f>
        <v>0</v>
      </c>
      <c r="BC538" s="49">
        <f ca="1">OA_gov_CF_Nkossa2017*HM_ZA_Nkossa!CA_disc_factor_pf</f>
        <v>0</v>
      </c>
      <c r="BD538" s="49">
        <f ca="1">OA_gov_CF_Nkossa2017*HM_ZA_Nkossa!CA_disc_factor_pf</f>
        <v>0</v>
      </c>
      <c r="BE538" s="49">
        <f ca="1">OA_gov_CF_Nkossa2017*HM_ZA_Nkossa!CA_disc_factor_pf</f>
        <v>0</v>
      </c>
      <c r="BF538" s="49">
        <f ca="1">OA_gov_CF_Nkossa2017*HM_ZA_Nkossa!CA_disc_factor_pf</f>
        <v>0</v>
      </c>
      <c r="BG538" s="49">
        <f ca="1">OA_gov_CF_Nkossa2017*HM_ZA_Nkossa!CA_disc_factor_pf</f>
        <v>0</v>
      </c>
      <c r="BH538" s="49">
        <f ca="1">OA_gov_CF_Nkossa2017*HM_ZA_Nkossa!CA_disc_factor_pf</f>
        <v>0</v>
      </c>
      <c r="BI538" s="49">
        <f ca="1">OA_gov_CF_Nkossa2017*HM_ZA_Nkossa!CA_disc_factor_pf</f>
        <v>0</v>
      </c>
      <c r="BJ538" s="49">
        <f ca="1">OA_gov_CF_Nkossa2017*HM_ZA_Nkossa!CA_disc_factor_pf</f>
        <v>0</v>
      </c>
      <c r="BK538" s="49">
        <f ca="1">OA_gov_CF_Nkossa2017*HM_ZA_Nkossa!CA_disc_factor_pf</f>
        <v>0</v>
      </c>
      <c r="BL538" s="49">
        <f ca="1">OA_gov_CF_Nkossa2017*HM_ZA_Nkossa!CA_disc_factor_pf</f>
        <v>0</v>
      </c>
      <c r="BM538" s="49">
        <f ca="1">OA_gov_CF_Nkossa2017*HM_ZA_Nkossa!CA_disc_factor_pf</f>
        <v>0</v>
      </c>
      <c r="BN538" s="49">
        <f ca="1">OA_gov_CF_Nkossa2017*HM_ZA_Nkossa!CA_disc_factor_pf</f>
        <v>0</v>
      </c>
      <c r="BO538" s="49">
        <f ca="1">OA_gov_CF_Nkossa2017*HM_ZA_Nkossa!CA_disc_factor_pf</f>
        <v>0</v>
      </c>
      <c r="BP538" s="49">
        <f ca="1">OA_gov_CF_Nkossa2017*HM_ZA_Nkossa!CA_disc_factor_pf</f>
        <v>0</v>
      </c>
      <c r="BQ538" s="49">
        <f ca="1">OA_gov_CF_Nkossa2017*HM_ZA_Nkossa!CA_disc_factor_pf</f>
        <v>0</v>
      </c>
      <c r="BR538" s="49">
        <f ca="1">OA_gov_CF_Nkossa2017*HM_ZA_Nkossa!CA_disc_factor_pf</f>
        <v>0</v>
      </c>
      <c r="BS538" s="49">
        <f ca="1">OA_gov_CF_Nkossa2017*HM_ZA_Nkossa!CA_disc_factor_pf</f>
        <v>0</v>
      </c>
    </row>
    <row r="539" spans="3:71" outlineLevel="1" x14ac:dyDescent="0.2">
      <c r="I539" s="61"/>
      <c r="J539" s="26"/>
      <c r="L539" s="55"/>
      <c r="M539" s="55"/>
      <c r="N539" s="55"/>
      <c r="O539" s="55"/>
      <c r="P539" s="55"/>
      <c r="Q539" s="55"/>
      <c r="R539" s="55"/>
      <c r="S539" s="55"/>
      <c r="T539" s="55"/>
      <c r="U539" s="55"/>
      <c r="V539" s="55"/>
      <c r="W539" s="55"/>
      <c r="X539" s="55"/>
      <c r="Y539" s="55"/>
      <c r="Z539" s="55"/>
      <c r="AA539" s="55"/>
      <c r="AB539" s="55"/>
      <c r="AC539" s="55"/>
      <c r="AD539" s="55"/>
      <c r="AE539" s="55"/>
      <c r="AF539" s="55"/>
      <c r="AG539" s="55"/>
      <c r="AH539" s="55"/>
      <c r="AI539" s="55"/>
      <c r="AJ539" s="55"/>
      <c r="AK539" s="55"/>
      <c r="AL539" s="55"/>
      <c r="AM539" s="55"/>
      <c r="AN539" s="55"/>
      <c r="AO539" s="55"/>
      <c r="AP539" s="55"/>
      <c r="AQ539" s="55"/>
      <c r="AR539" s="55"/>
      <c r="AS539" s="55"/>
      <c r="AT539" s="55"/>
      <c r="AU539" s="55"/>
      <c r="AV539" s="55"/>
      <c r="AW539" s="55"/>
      <c r="AX539" s="55"/>
      <c r="AY539" s="55"/>
      <c r="AZ539" s="55"/>
      <c r="BA539" s="55"/>
      <c r="BB539" s="55"/>
      <c r="BC539" s="55"/>
      <c r="BD539" s="55"/>
      <c r="BE539" s="55"/>
      <c r="BF539" s="55"/>
      <c r="BG539" s="55"/>
      <c r="BH539" s="55"/>
      <c r="BI539" s="55"/>
      <c r="BJ539" s="55"/>
      <c r="BK539" s="55"/>
      <c r="BL539" s="55"/>
      <c r="BM539" s="55"/>
      <c r="BN539" s="55"/>
      <c r="BO539" s="55"/>
      <c r="BP539" s="55"/>
      <c r="BQ539" s="55"/>
      <c r="BR539" s="55"/>
      <c r="BS539" s="55"/>
    </row>
    <row r="540" spans="3:71" outlineLevel="1" x14ac:dyDescent="0.2">
      <c r="C540" s="11" t="str">
        <f>C511</f>
        <v>TRI cycle complet</v>
      </c>
      <c r="I540" s="62" t="str">
        <f ca="1">IFERROR(IRR(INDEX(OA_gov_CF_Nkossa2017,1,MAX(1,$G$400-L4+1)):INDEX(OA_gov_CF_Nkossa2017,1,last_model_year)),"na")</f>
        <v>na</v>
      </c>
      <c r="J540" s="26" t="s">
        <v>90</v>
      </c>
      <c r="L540" s="55"/>
      <c r="M540" s="55"/>
      <c r="N540" s="55"/>
      <c r="O540" s="55"/>
      <c r="P540" s="55"/>
      <c r="Q540" s="55"/>
      <c r="R540" s="55"/>
      <c r="S540" s="55"/>
      <c r="T540" s="55"/>
      <c r="U540" s="55"/>
      <c r="V540" s="55"/>
      <c r="W540" s="55"/>
      <c r="X540" s="55"/>
      <c r="Y540" s="55"/>
      <c r="Z540" s="55"/>
      <c r="AA540" s="55"/>
      <c r="AB540" s="55"/>
      <c r="AC540" s="55"/>
      <c r="AD540" s="55"/>
      <c r="AE540" s="55"/>
      <c r="AF540" s="55"/>
      <c r="AG540" s="55"/>
      <c r="AH540" s="55"/>
      <c r="AI540" s="55"/>
      <c r="AJ540" s="55"/>
      <c r="AK540" s="55"/>
      <c r="AL540" s="55"/>
      <c r="AM540" s="55"/>
      <c r="AN540" s="55"/>
      <c r="AO540" s="55"/>
      <c r="AP540" s="55"/>
      <c r="AQ540" s="55"/>
      <c r="AR540" s="55"/>
      <c r="AS540" s="55"/>
      <c r="AT540" s="55"/>
      <c r="AU540" s="55"/>
      <c r="AV540" s="55"/>
      <c r="AW540" s="55"/>
      <c r="AX540" s="55"/>
      <c r="AY540" s="55"/>
      <c r="AZ540" s="55"/>
      <c r="BA540" s="55"/>
      <c r="BB540" s="55"/>
      <c r="BC540" s="55"/>
      <c r="BD540" s="55"/>
      <c r="BE540" s="55"/>
      <c r="BF540" s="55"/>
      <c r="BG540" s="55"/>
      <c r="BH540" s="55"/>
      <c r="BI540" s="55"/>
      <c r="BJ540" s="55"/>
      <c r="BK540" s="55"/>
      <c r="BL540" s="55"/>
      <c r="BM540" s="55"/>
      <c r="BN540" s="55"/>
      <c r="BO540" s="55"/>
      <c r="BP540" s="55"/>
      <c r="BQ540" s="55"/>
      <c r="BR540" s="55"/>
      <c r="BS540" s="55"/>
    </row>
    <row r="541" spans="3:71" outlineLevel="1" x14ac:dyDescent="0.2">
      <c r="C541" s="11" t="str">
        <f>C512</f>
        <v>TRI à terme</v>
      </c>
      <c r="I541" s="62" t="str">
        <f ca="1">IFERROR(IRR(INDEX(OA_gov_CF_Nkossa2017,1,MAX(1,$G$401-L4+1)):INDEX(OA_gov_CF_Nkossa2017,1,last_model_year)),"na")</f>
        <v>na</v>
      </c>
      <c r="J541" s="26" t="s">
        <v>90</v>
      </c>
      <c r="L541" s="55"/>
      <c r="M541" s="55"/>
      <c r="N541" s="55"/>
      <c r="O541" s="55"/>
      <c r="P541" s="55"/>
      <c r="Q541" s="55"/>
      <c r="R541" s="55"/>
      <c r="S541" s="55"/>
      <c r="T541" s="55"/>
      <c r="U541" s="55"/>
      <c r="V541" s="55"/>
      <c r="W541" s="55"/>
      <c r="X541" s="55"/>
      <c r="Y541" s="55"/>
      <c r="Z541" s="55"/>
      <c r="AA541" s="55"/>
      <c r="AB541" s="55"/>
      <c r="AC541" s="55"/>
      <c r="AD541" s="55"/>
      <c r="AE541" s="55"/>
      <c r="AF541" s="55"/>
      <c r="AG541" s="55"/>
      <c r="AH541" s="55"/>
      <c r="AI541" s="55"/>
      <c r="AJ541" s="55"/>
      <c r="AK541" s="55"/>
      <c r="AL541" s="55"/>
      <c r="AM541" s="55"/>
      <c r="AN541" s="55"/>
      <c r="AO541" s="55"/>
      <c r="AP541" s="55"/>
      <c r="AQ541" s="55"/>
      <c r="AR541" s="55"/>
      <c r="AS541" s="55"/>
      <c r="AT541" s="55"/>
      <c r="AU541" s="55"/>
      <c r="AV541" s="55"/>
      <c r="AW541" s="55"/>
      <c r="AX541" s="55"/>
      <c r="AY541" s="55"/>
      <c r="AZ541" s="55"/>
      <c r="BA541" s="55"/>
      <c r="BB541" s="55"/>
      <c r="BC541" s="55"/>
      <c r="BD541" s="55"/>
      <c r="BE541" s="55"/>
      <c r="BF541" s="55"/>
      <c r="BG541" s="55"/>
      <c r="BH541" s="55"/>
      <c r="BI541" s="55"/>
      <c r="BJ541" s="55"/>
      <c r="BK541" s="55"/>
      <c r="BL541" s="55"/>
      <c r="BM541" s="55"/>
      <c r="BN541" s="55"/>
      <c r="BO541" s="55"/>
      <c r="BP541" s="55"/>
      <c r="BQ541" s="55"/>
      <c r="BR541" s="55"/>
      <c r="BS541" s="55"/>
    </row>
    <row r="542" spans="3:71" outlineLevel="1" x14ac:dyDescent="0.2">
      <c r="J542" s="26"/>
      <c r="L542" s="55"/>
      <c r="M542" s="55"/>
      <c r="N542" s="55"/>
      <c r="O542" s="55"/>
      <c r="P542" s="55"/>
      <c r="Q542" s="55"/>
      <c r="R542" s="55"/>
      <c r="S542" s="55"/>
      <c r="T542" s="55"/>
      <c r="U542" s="55"/>
      <c r="V542" s="55"/>
      <c r="W542" s="55"/>
      <c r="X542" s="55"/>
      <c r="Y542" s="55"/>
      <c r="Z542" s="55"/>
      <c r="AA542" s="55"/>
      <c r="AB542" s="55"/>
      <c r="AC542" s="55"/>
      <c r="AD542" s="55"/>
      <c r="AE542" s="55"/>
      <c r="AF542" s="55"/>
      <c r="AG542" s="55"/>
      <c r="AH542" s="55"/>
      <c r="AI542" s="55"/>
      <c r="AJ542" s="55"/>
      <c r="AK542" s="55"/>
      <c r="AL542" s="55"/>
      <c r="AM542" s="55"/>
      <c r="AN542" s="55"/>
      <c r="AO542" s="55"/>
      <c r="AP542" s="55"/>
      <c r="AQ542" s="55"/>
      <c r="AR542" s="55"/>
      <c r="AS542" s="55"/>
      <c r="AT542" s="55"/>
      <c r="AU542" s="55"/>
      <c r="AV542" s="55"/>
      <c r="AW542" s="55"/>
      <c r="AX542" s="55"/>
      <c r="AY542" s="55"/>
      <c r="AZ542" s="55"/>
      <c r="BA542" s="55"/>
      <c r="BB542" s="55"/>
      <c r="BC542" s="55"/>
      <c r="BD542" s="55"/>
      <c r="BE542" s="55"/>
      <c r="BF542" s="55"/>
      <c r="BG542" s="55"/>
      <c r="BH542" s="55"/>
      <c r="BI542" s="55"/>
      <c r="BJ542" s="55"/>
      <c r="BK542" s="55"/>
      <c r="BL542" s="55"/>
      <c r="BM542" s="55"/>
      <c r="BN542" s="55"/>
      <c r="BO542" s="55"/>
      <c r="BP542" s="55"/>
      <c r="BQ542" s="55"/>
      <c r="BR542" s="55"/>
      <c r="BS542" s="55"/>
    </row>
    <row r="543" spans="3:71" outlineLevel="1" x14ac:dyDescent="0.2">
      <c r="C543" s="11" t="str">
        <f>CHOOSE(db_ML_selected,'Liste Traduction'!B421,'Liste Traduction'!C421)</f>
        <v>Part nominale du Gouv. (%)</v>
      </c>
      <c r="H543" s="7" t="s">
        <v>639</v>
      </c>
      <c r="I543" s="62">
        <f ca="1">IFERROR(I535/I425,0)</f>
        <v>1.170708249325755</v>
      </c>
      <c r="J543" s="26" t="s">
        <v>90</v>
      </c>
      <c r="L543" s="55"/>
      <c r="M543" s="55"/>
      <c r="N543" s="55"/>
      <c r="O543" s="55"/>
      <c r="P543" s="55"/>
      <c r="Q543" s="55"/>
      <c r="R543" s="55"/>
      <c r="S543" s="55"/>
      <c r="T543" s="55"/>
      <c r="U543" s="55"/>
      <c r="V543" s="55"/>
      <c r="W543" s="55"/>
      <c r="X543" s="55"/>
      <c r="Y543" s="55"/>
      <c r="Z543" s="55"/>
      <c r="AA543" s="55"/>
      <c r="AB543" s="55"/>
      <c r="AC543" s="55"/>
      <c r="AD543" s="55"/>
      <c r="AE543" s="55"/>
      <c r="AF543" s="55"/>
      <c r="AG543" s="55"/>
      <c r="AH543" s="55"/>
      <c r="AI543" s="55"/>
      <c r="AJ543" s="55"/>
      <c r="AK543" s="55"/>
      <c r="AL543" s="55"/>
      <c r="AM543" s="55"/>
      <c r="AN543" s="55"/>
      <c r="AO543" s="55"/>
      <c r="AP543" s="55"/>
      <c r="AQ543" s="55"/>
      <c r="AR543" s="55"/>
      <c r="AS543" s="55"/>
      <c r="AT543" s="55"/>
      <c r="AU543" s="55"/>
      <c r="AV543" s="55"/>
      <c r="AW543" s="55"/>
      <c r="AX543" s="55"/>
      <c r="AY543" s="55"/>
      <c r="AZ543" s="55"/>
      <c r="BA543" s="55"/>
      <c r="BB543" s="55"/>
      <c r="BC543" s="55"/>
      <c r="BD543" s="55"/>
      <c r="BE543" s="55"/>
      <c r="BF543" s="55"/>
      <c r="BG543" s="55"/>
      <c r="BH543" s="55"/>
      <c r="BI543" s="55"/>
      <c r="BJ543" s="55"/>
      <c r="BK543" s="55"/>
      <c r="BL543" s="55"/>
      <c r="BM543" s="55"/>
      <c r="BN543" s="55"/>
      <c r="BO543" s="55"/>
      <c r="BP543" s="55"/>
      <c r="BQ543" s="55"/>
      <c r="BR543" s="55"/>
      <c r="BS543" s="55"/>
    </row>
    <row r="544" spans="3:71" outlineLevel="1" x14ac:dyDescent="0.2">
      <c r="J544" s="26"/>
      <c r="L544" s="55"/>
      <c r="M544" s="55"/>
      <c r="N544" s="55"/>
      <c r="O544" s="55"/>
      <c r="P544" s="55"/>
      <c r="Q544" s="55"/>
      <c r="R544" s="55"/>
      <c r="S544" s="55"/>
      <c r="T544" s="55"/>
      <c r="U544" s="55"/>
      <c r="V544" s="55"/>
      <c r="W544" s="55"/>
      <c r="X544" s="55"/>
      <c r="Y544" s="55"/>
      <c r="Z544" s="55"/>
      <c r="AA544" s="55"/>
      <c r="AB544" s="55"/>
      <c r="AC544" s="55"/>
      <c r="AD544" s="55"/>
      <c r="AE544" s="55"/>
      <c r="AF544" s="55"/>
      <c r="AG544" s="55"/>
      <c r="AH544" s="55"/>
      <c r="AI544" s="55"/>
      <c r="AJ544" s="55"/>
      <c r="AK544" s="55"/>
      <c r="AL544" s="55"/>
      <c r="AM544" s="55"/>
      <c r="AN544" s="55"/>
      <c r="AO544" s="55"/>
      <c r="AP544" s="55"/>
      <c r="AQ544" s="55"/>
      <c r="AR544" s="55"/>
      <c r="AS544" s="55"/>
      <c r="AT544" s="55"/>
      <c r="AU544" s="55"/>
      <c r="AV544" s="55"/>
      <c r="AW544" s="55"/>
      <c r="AX544" s="55"/>
      <c r="AY544" s="55"/>
      <c r="AZ544" s="55"/>
      <c r="BA544" s="55"/>
      <c r="BB544" s="55"/>
      <c r="BC544" s="55"/>
      <c r="BD544" s="55"/>
      <c r="BE544" s="55"/>
      <c r="BF544" s="55"/>
      <c r="BG544" s="55"/>
      <c r="BH544" s="55"/>
      <c r="BI544" s="55"/>
      <c r="BJ544" s="55"/>
      <c r="BK544" s="55"/>
      <c r="BL544" s="55"/>
      <c r="BM544" s="55"/>
      <c r="BN544" s="55"/>
      <c r="BO544" s="55"/>
      <c r="BP544" s="55"/>
      <c r="BQ544" s="55"/>
      <c r="BR544" s="55"/>
      <c r="BS544" s="55"/>
    </row>
    <row r="545" spans="3:71" outlineLevel="1" x14ac:dyDescent="0.2">
      <c r="C545" s="11" t="str">
        <f>CHOOSE(db_ML_selected,'Liste Traduction'!B422,'Liste Traduction'!C422)</f>
        <v>Part nominale de l'État (%)</v>
      </c>
      <c r="H545" s="7" t="s">
        <v>640</v>
      </c>
      <c r="I545" s="62">
        <f ca="1">IFERROR(SUM(gov_CF_Nkossa2017,I504)/I425,0)</f>
        <v>1.1451020119268918</v>
      </c>
      <c r="J545" s="26" t="s">
        <v>90</v>
      </c>
      <c r="L545" s="55"/>
      <c r="M545" s="55"/>
      <c r="N545" s="55"/>
      <c r="O545" s="55"/>
      <c r="P545" s="55"/>
      <c r="Q545" s="55"/>
      <c r="R545" s="55"/>
      <c r="S545" s="55"/>
      <c r="T545" s="55"/>
      <c r="U545" s="55"/>
      <c r="V545" s="55"/>
      <c r="W545" s="55"/>
      <c r="X545" s="55"/>
      <c r="Y545" s="55"/>
      <c r="Z545" s="55"/>
      <c r="AA545" s="55"/>
      <c r="AB545" s="55"/>
      <c r="AC545" s="55"/>
      <c r="AD545" s="55"/>
      <c r="AE545" s="55"/>
      <c r="AF545" s="55"/>
      <c r="AG545" s="55"/>
      <c r="AH545" s="55"/>
      <c r="AI545" s="55"/>
      <c r="AJ545" s="55"/>
      <c r="AK545" s="55"/>
      <c r="AL545" s="55"/>
      <c r="AM545" s="55"/>
      <c r="AN545" s="55"/>
      <c r="AO545" s="55"/>
      <c r="AP545" s="55"/>
      <c r="AQ545" s="55"/>
      <c r="AR545" s="55"/>
      <c r="AS545" s="55"/>
      <c r="AT545" s="55"/>
      <c r="AU545" s="55"/>
      <c r="AV545" s="55"/>
      <c r="AW545" s="55"/>
      <c r="AX545" s="55"/>
      <c r="AY545" s="55"/>
      <c r="AZ545" s="55"/>
      <c r="BA545" s="55"/>
      <c r="BB545" s="55"/>
      <c r="BC545" s="55"/>
      <c r="BD545" s="55"/>
      <c r="BE545" s="55"/>
      <c r="BF545" s="55"/>
      <c r="BG545" s="55"/>
      <c r="BH545" s="55"/>
      <c r="BI545" s="55"/>
      <c r="BJ545" s="55"/>
      <c r="BK545" s="55"/>
      <c r="BL545" s="55"/>
      <c r="BM545" s="55"/>
      <c r="BN545" s="55"/>
      <c r="BO545" s="55"/>
      <c r="BP545" s="55"/>
      <c r="BQ545" s="55"/>
      <c r="BR545" s="55"/>
      <c r="BS545" s="55"/>
    </row>
    <row r="546" spans="3:71" outlineLevel="1" x14ac:dyDescent="0.2">
      <c r="J546" s="26"/>
      <c r="L546" s="55"/>
      <c r="M546" s="55"/>
      <c r="N546" s="55"/>
      <c r="O546" s="55"/>
      <c r="P546" s="55"/>
      <c r="Q546" s="55"/>
      <c r="R546" s="55"/>
      <c r="S546" s="55"/>
      <c r="T546" s="55"/>
      <c r="U546" s="55"/>
      <c r="V546" s="55"/>
      <c r="W546" s="55"/>
      <c r="X546" s="55"/>
      <c r="Y546" s="55"/>
      <c r="Z546" s="55"/>
      <c r="AA546" s="55"/>
      <c r="AB546" s="55"/>
      <c r="AC546" s="55"/>
      <c r="AD546" s="55"/>
      <c r="AE546" s="55"/>
      <c r="AF546" s="55"/>
      <c r="AG546" s="55"/>
      <c r="AH546" s="55"/>
      <c r="AI546" s="55"/>
      <c r="AJ546" s="55"/>
      <c r="AK546" s="55"/>
      <c r="AL546" s="55"/>
      <c r="AM546" s="55"/>
      <c r="AN546" s="55"/>
      <c r="AO546" s="55"/>
      <c r="AP546" s="55"/>
      <c r="AQ546" s="55"/>
      <c r="AR546" s="55"/>
      <c r="AS546" s="55"/>
      <c r="AT546" s="55"/>
      <c r="AU546" s="55"/>
      <c r="AV546" s="55"/>
      <c r="AW546" s="55"/>
      <c r="AX546" s="55"/>
      <c r="AY546" s="55"/>
      <c r="AZ546" s="55"/>
      <c r="BA546" s="55"/>
      <c r="BB546" s="55"/>
      <c r="BC546" s="55"/>
      <c r="BD546" s="55"/>
      <c r="BE546" s="55"/>
      <c r="BF546" s="55"/>
      <c r="BG546" s="55"/>
      <c r="BH546" s="55"/>
      <c r="BI546" s="55"/>
      <c r="BJ546" s="55"/>
      <c r="BK546" s="55"/>
      <c r="BL546" s="55"/>
      <c r="BM546" s="55"/>
      <c r="BN546" s="55"/>
      <c r="BO546" s="55"/>
      <c r="BP546" s="55"/>
      <c r="BQ546" s="55"/>
      <c r="BR546" s="55"/>
      <c r="BS546" s="55"/>
    </row>
    <row r="547" spans="3:71" outlineLevel="1" x14ac:dyDescent="0.2">
      <c r="C547" s="11" t="str">
        <f>CHOOSE(db_ML_selected,'Liste Traduction'!B423,'Liste Traduction'!C423)</f>
        <v>Annuité annuelle effective</v>
      </c>
      <c r="H547" s="7" t="s">
        <v>641</v>
      </c>
      <c r="I547" s="65">
        <f ca="1">(input_DiscRate_nom*$I$537)/(1-(1+input_DiscRate_nom)^-COUNTIF(HM_ZA_Nkossa!CA_op_trig,"&lt;&gt;0"))</f>
        <v>43.502110622666393</v>
      </c>
      <c r="J547" s="26" t="s">
        <v>314</v>
      </c>
      <c r="L547" s="55"/>
      <c r="M547" s="55"/>
      <c r="N547" s="55"/>
      <c r="O547" s="55"/>
      <c r="P547" s="55"/>
      <c r="Q547" s="55"/>
      <c r="R547" s="55"/>
      <c r="S547" s="55"/>
      <c r="T547" s="55"/>
      <c r="U547" s="55"/>
      <c r="V547" s="55"/>
      <c r="W547" s="55"/>
      <c r="X547" s="55"/>
      <c r="Y547" s="55"/>
      <c r="Z547" s="55"/>
      <c r="AA547" s="55"/>
      <c r="AB547" s="55"/>
      <c r="AC547" s="55"/>
      <c r="AD547" s="55"/>
      <c r="AE547" s="55"/>
      <c r="AF547" s="55"/>
      <c r="AG547" s="55"/>
      <c r="AH547" s="55"/>
      <c r="AI547" s="55"/>
      <c r="AJ547" s="55"/>
      <c r="AK547" s="55"/>
      <c r="AL547" s="55"/>
      <c r="AM547" s="55"/>
      <c r="AN547" s="55"/>
      <c r="AO547" s="55"/>
      <c r="AP547" s="55"/>
      <c r="AQ547" s="55"/>
      <c r="AR547" s="55"/>
      <c r="AS547" s="55"/>
      <c r="AT547" s="55"/>
      <c r="AU547" s="55"/>
      <c r="AV547" s="55"/>
      <c r="AW547" s="55"/>
      <c r="AX547" s="55"/>
      <c r="AY547" s="55"/>
      <c r="AZ547" s="55"/>
      <c r="BA547" s="55"/>
      <c r="BB547" s="55"/>
      <c r="BC547" s="55"/>
      <c r="BD547" s="55"/>
      <c r="BE547" s="55"/>
      <c r="BF547" s="55"/>
      <c r="BG547" s="55"/>
      <c r="BH547" s="55"/>
      <c r="BI547" s="55"/>
      <c r="BJ547" s="55"/>
      <c r="BK547" s="55"/>
      <c r="BL547" s="55"/>
      <c r="BM547" s="55"/>
      <c r="BN547" s="55"/>
      <c r="BO547" s="55"/>
      <c r="BP547" s="55"/>
      <c r="BQ547" s="55"/>
      <c r="BR547" s="55"/>
      <c r="BS547" s="55"/>
    </row>
    <row r="548" spans="3:71" outlineLevel="1" x14ac:dyDescent="0.2">
      <c r="J548" s="26"/>
      <c r="L548" s="55"/>
      <c r="M548" s="55"/>
      <c r="N548" s="55"/>
      <c r="O548" s="55"/>
      <c r="P548" s="55"/>
      <c r="Q548" s="55"/>
      <c r="R548" s="55"/>
      <c r="S548" s="55"/>
      <c r="T548" s="55"/>
      <c r="U548" s="55"/>
      <c r="V548" s="55"/>
      <c r="W548" s="55"/>
      <c r="X548" s="55"/>
      <c r="Y548" s="55"/>
      <c r="Z548" s="55"/>
      <c r="AA548" s="55"/>
      <c r="AB548" s="55"/>
      <c r="AC548" s="55"/>
      <c r="AD548" s="55"/>
      <c r="AE548" s="55"/>
      <c r="AF548" s="55"/>
      <c r="AG548" s="55"/>
      <c r="AH548" s="55"/>
      <c r="AI548" s="55"/>
      <c r="AJ548" s="55"/>
      <c r="AK548" s="55"/>
      <c r="AL548" s="55"/>
      <c r="AM548" s="55"/>
      <c r="AN548" s="55"/>
      <c r="AO548" s="55"/>
      <c r="AP548" s="55"/>
      <c r="AQ548" s="55"/>
      <c r="AR548" s="55"/>
      <c r="AS548" s="55"/>
      <c r="AT548" s="55"/>
      <c r="AU548" s="55"/>
      <c r="AV548" s="55"/>
      <c r="AW548" s="55"/>
      <c r="AX548" s="55"/>
      <c r="AY548" s="55"/>
      <c r="AZ548" s="55"/>
      <c r="BA548" s="55"/>
      <c r="BB548" s="55"/>
      <c r="BC548" s="55"/>
      <c r="BD548" s="55"/>
      <c r="BE548" s="55"/>
      <c r="BF548" s="55"/>
      <c r="BG548" s="55"/>
      <c r="BH548" s="55"/>
      <c r="BI548" s="55"/>
      <c r="BJ548" s="55"/>
      <c r="BK548" s="55"/>
      <c r="BL548" s="55"/>
      <c r="BM548" s="55"/>
      <c r="BN548" s="55"/>
      <c r="BO548" s="55"/>
      <c r="BP548" s="55"/>
      <c r="BQ548" s="55"/>
      <c r="BR548" s="55"/>
      <c r="BS548" s="55"/>
    </row>
    <row r="549" spans="3:71" outlineLevel="1" x14ac:dyDescent="0.2">
      <c r="J549" s="26"/>
      <c r="L549" s="55"/>
      <c r="M549" s="55"/>
      <c r="N549" s="55"/>
      <c r="O549" s="55"/>
      <c r="P549" s="55"/>
      <c r="Q549" s="55"/>
      <c r="R549" s="55"/>
      <c r="S549" s="55"/>
      <c r="T549" s="55"/>
      <c r="U549" s="55"/>
      <c r="V549" s="55"/>
      <c r="W549" s="55"/>
      <c r="X549" s="55"/>
      <c r="Y549" s="55"/>
      <c r="Z549" s="55"/>
      <c r="AA549" s="55"/>
      <c r="AB549" s="55"/>
      <c r="AC549" s="55"/>
      <c r="AD549" s="55"/>
      <c r="AE549" s="55"/>
      <c r="AF549" s="55"/>
      <c r="AG549" s="55"/>
      <c r="AH549" s="55"/>
      <c r="AI549" s="55"/>
      <c r="AJ549" s="55"/>
      <c r="AK549" s="55"/>
      <c r="AL549" s="55"/>
      <c r="AM549" s="55"/>
      <c r="AN549" s="55"/>
      <c r="AO549" s="55"/>
      <c r="AP549" s="55"/>
      <c r="AQ549" s="55"/>
      <c r="AR549" s="55"/>
      <c r="AS549" s="55"/>
      <c r="AT549" s="55"/>
      <c r="AU549" s="55"/>
      <c r="AV549" s="55"/>
      <c r="AW549" s="55"/>
      <c r="AX549" s="55"/>
      <c r="AY549" s="55"/>
      <c r="AZ549" s="55"/>
      <c r="BA549" s="55"/>
      <c r="BB549" s="55"/>
      <c r="BC549" s="55"/>
      <c r="BD549" s="55"/>
      <c r="BE549" s="55"/>
      <c r="BF549" s="55"/>
      <c r="BG549" s="55"/>
      <c r="BH549" s="55"/>
      <c r="BI549" s="55"/>
      <c r="BJ549" s="55"/>
      <c r="BK549" s="55"/>
      <c r="BL549" s="55"/>
      <c r="BM549" s="55"/>
      <c r="BN549" s="55"/>
      <c r="BO549" s="55"/>
      <c r="BP549" s="55"/>
      <c r="BQ549" s="55"/>
      <c r="BR549" s="55"/>
      <c r="BS549" s="55"/>
    </row>
    <row r="550" spans="3:71" outlineLevel="1" x14ac:dyDescent="0.2">
      <c r="C550" s="11" t="str">
        <f>CHOOSE(db_ML_selected,'Liste Traduction'!B424,'Liste Traduction'!C424)</f>
        <v>Volumes</v>
      </c>
      <c r="J550" s="26"/>
      <c r="L550" s="55"/>
      <c r="M550" s="55"/>
      <c r="N550" s="55"/>
      <c r="O550" s="55"/>
      <c r="P550" s="55"/>
      <c r="Q550" s="55"/>
      <c r="R550" s="55"/>
      <c r="S550" s="55"/>
      <c r="T550" s="55"/>
      <c r="U550" s="55"/>
      <c r="V550" s="55"/>
      <c r="W550" s="55"/>
      <c r="X550" s="55"/>
      <c r="Y550" s="55"/>
      <c r="Z550" s="55"/>
      <c r="AA550" s="55"/>
      <c r="AB550" s="55"/>
      <c r="AC550" s="55"/>
      <c r="AD550" s="55"/>
      <c r="AE550" s="55"/>
      <c r="AF550" s="55"/>
      <c r="AG550" s="55"/>
      <c r="AH550" s="55"/>
      <c r="AI550" s="55"/>
      <c r="AJ550" s="55"/>
      <c r="AK550" s="55"/>
      <c r="AL550" s="55"/>
      <c r="AM550" s="55"/>
      <c r="AN550" s="55"/>
      <c r="AO550" s="55"/>
      <c r="AP550" s="55"/>
      <c r="AQ550" s="55"/>
      <c r="AR550" s="55"/>
      <c r="AS550" s="55"/>
      <c r="AT550" s="55"/>
      <c r="AU550" s="55"/>
      <c r="AV550" s="55"/>
      <c r="AW550" s="55"/>
      <c r="AX550" s="55"/>
      <c r="AY550" s="55"/>
      <c r="AZ550" s="55"/>
      <c r="BA550" s="55"/>
      <c r="BB550" s="55"/>
      <c r="BC550" s="55"/>
      <c r="BD550" s="55"/>
      <c r="BE550" s="55"/>
      <c r="BF550" s="55"/>
      <c r="BG550" s="55"/>
      <c r="BH550" s="55"/>
      <c r="BI550" s="55"/>
      <c r="BJ550" s="55"/>
      <c r="BK550" s="55"/>
      <c r="BL550" s="55"/>
      <c r="BM550" s="55"/>
      <c r="BN550" s="55"/>
      <c r="BO550" s="55"/>
      <c r="BP550" s="55"/>
      <c r="BQ550" s="55"/>
      <c r="BR550" s="55"/>
      <c r="BS550" s="55"/>
    </row>
    <row r="551" spans="3:71" outlineLevel="1" x14ac:dyDescent="0.2">
      <c r="D551" t="str">
        <f>D523</f>
        <v>Redevance</v>
      </c>
      <c r="H551" s="7"/>
      <c r="I551" s="30">
        <f t="shared" ref="I551:I554" ca="1" si="151">SUM($L551:$BS551)</f>
        <v>11.893617654496994</v>
      </c>
      <c r="J551" s="26" t="s">
        <v>692</v>
      </c>
      <c r="L551" s="49">
        <f ca="1">IFERROR((L523)/((HM_ZA_Nkossa!CA_FP_oil_nom*HM_ZA_Nkossa!CA_gross_prod_oil+CA_FP_lpg_nom*CA_gross_prod_lpg+HM_ZA_Nkossa!CA_FP_gas_nom*HM_ZA_Nkossa!CA_gross_prod_gas)/HM_ZA_Nkossa!CA_gross_prod_Total),0)</f>
        <v>1.0537274976076132</v>
      </c>
      <c r="M551" s="49">
        <f ca="1">IFERROR((M523)/((HM_ZA_Nkossa!CA_FP_oil_nom*HM_ZA_Nkossa!CA_gross_prod_oil+CA_FP_lpg_nom*CA_gross_prod_lpg+HM_ZA_Nkossa!CA_FP_gas_nom*HM_ZA_Nkossa!CA_gross_prod_gas)/HM_ZA_Nkossa!CA_gross_prod_Total),0)</f>
        <v>1.2821917314529805</v>
      </c>
      <c r="N551" s="49">
        <f ca="1">IFERROR((N523)/((HM_ZA_Nkossa!CA_FP_oil_nom*HM_ZA_Nkossa!CA_gross_prod_oil+CA_FP_lpg_nom*CA_gross_prod_lpg+HM_ZA_Nkossa!CA_FP_gas_nom*HM_ZA_Nkossa!CA_gross_prod_gas)/HM_ZA_Nkossa!CA_gross_prod_Total),0)</f>
        <v>1.1145925105412442</v>
      </c>
      <c r="O551" s="49">
        <f ca="1">IFERROR((O523)/((HM_ZA_Nkossa!CA_FP_oil_nom*HM_ZA_Nkossa!CA_gross_prod_oil+CA_FP_lpg_nom*CA_gross_prod_lpg+HM_ZA_Nkossa!CA_FP_gas_nom*HM_ZA_Nkossa!CA_gross_prod_gas)/HM_ZA_Nkossa!CA_gross_prod_Total),0)</f>
        <v>1.187370755713534</v>
      </c>
      <c r="P551" s="49">
        <f ca="1">IFERROR((P523)/((HM_ZA_Nkossa!CA_FP_oil_nom*HM_ZA_Nkossa!CA_gross_prod_oil+CA_FP_lpg_nom*CA_gross_prod_lpg+HM_ZA_Nkossa!CA_FP_gas_nom*HM_ZA_Nkossa!CA_gross_prod_gas)/HM_ZA_Nkossa!CA_gross_prod_Total),0)</f>
        <v>1.3053097475233852</v>
      </c>
      <c r="Q551" s="49">
        <f ca="1">IFERROR((Q523)/((HM_ZA_Nkossa!CA_FP_oil_nom*HM_ZA_Nkossa!CA_gross_prod_oil+CA_FP_lpg_nom*CA_gross_prod_lpg+HM_ZA_Nkossa!CA_FP_gas_nom*HM_ZA_Nkossa!CA_gross_prod_gas)/HM_ZA_Nkossa!CA_gross_prod_Total),0)</f>
        <v>1.0063766060523198</v>
      </c>
      <c r="R551" s="49">
        <f ca="1">IFERROR((R523)/((HM_ZA_Nkossa!CA_FP_oil_nom*HM_ZA_Nkossa!CA_gross_prod_oil+CA_FP_lpg_nom*CA_gross_prod_lpg+HM_ZA_Nkossa!CA_FP_gas_nom*HM_ZA_Nkossa!CA_gross_prod_gas)/HM_ZA_Nkossa!CA_gross_prod_Total),0)</f>
        <v>1.1516643463985261</v>
      </c>
      <c r="S551" s="49">
        <f ca="1">IFERROR((S523)/((HM_ZA_Nkossa!CA_FP_oil_nom*HM_ZA_Nkossa!CA_gross_prod_oil+CA_FP_lpg_nom*CA_gross_prod_lpg+HM_ZA_Nkossa!CA_FP_gas_nom*HM_ZA_Nkossa!CA_gross_prod_gas)/HM_ZA_Nkossa!CA_gross_prod_Total),0)</f>
        <v>0.75200999999999996</v>
      </c>
      <c r="T551" s="49">
        <f ca="1">IFERROR((T523)/((HM_ZA_Nkossa!CA_FP_oil_nom*HM_ZA_Nkossa!CA_gross_prod_oil+CA_FP_lpg_nom*CA_gross_prod_lpg+HM_ZA_Nkossa!CA_FP_gas_nom*HM_ZA_Nkossa!CA_gross_prod_gas)/HM_ZA_Nkossa!CA_gross_prod_Total),0)</f>
        <v>0.69936929999999986</v>
      </c>
      <c r="U551" s="49">
        <f ca="1">IFERROR((U523)/((HM_ZA_Nkossa!CA_FP_oil_nom*HM_ZA_Nkossa!CA_gross_prod_oil+CA_FP_lpg_nom*CA_gross_prod_lpg+HM_ZA_Nkossa!CA_FP_gas_nom*HM_ZA_Nkossa!CA_gross_prod_gas)/HM_ZA_Nkossa!CA_gross_prod_Total),0)</f>
        <v>0.65041344899999987</v>
      </c>
      <c r="V551" s="49">
        <f ca="1">IFERROR((V523)/((HM_ZA_Nkossa!CA_FP_oil_nom*HM_ZA_Nkossa!CA_gross_prod_oil+CA_FP_lpg_nom*CA_gross_prod_lpg+HM_ZA_Nkossa!CA_FP_gas_nom*HM_ZA_Nkossa!CA_gross_prod_gas)/HM_ZA_Nkossa!CA_gross_prod_Total),0)</f>
        <v>0.60488450756999967</v>
      </c>
      <c r="W551" s="49">
        <f ca="1">IFERROR((W523)/((HM_ZA_Nkossa!CA_FP_oil_nom*HM_ZA_Nkossa!CA_gross_prod_oil+CA_FP_lpg_nom*CA_gross_prod_lpg+HM_ZA_Nkossa!CA_FP_gas_nom*HM_ZA_Nkossa!CA_gross_prod_gas)/HM_ZA_Nkossa!CA_gross_prod_Total),0)</f>
        <v>0.56254259204009982</v>
      </c>
      <c r="X551" s="49">
        <f ca="1">IFERROR((X523)/((HM_ZA_Nkossa!CA_FP_oil_nom*HM_ZA_Nkossa!CA_gross_prod_oil+CA_FP_lpg_nom*CA_gross_prod_lpg+HM_ZA_Nkossa!CA_FP_gas_nom*HM_ZA_Nkossa!CA_gross_prod_gas)/HM_ZA_Nkossa!CA_gross_prod_Total),0)</f>
        <v>0.52316461059729291</v>
      </c>
      <c r="Y551" s="49">
        <f ca="1">IFERROR((Y523)/((HM_ZA_Nkossa!CA_FP_oil_nom*HM_ZA_Nkossa!CA_gross_prod_oil+CA_FP_lpg_nom*CA_gross_prod_lpg+HM_ZA_Nkossa!CA_FP_gas_nom*HM_ZA_Nkossa!CA_gross_prod_gas)/HM_ZA_Nkossa!CA_gross_prod_Total),0)</f>
        <v>0</v>
      </c>
      <c r="Z551" s="49">
        <f ca="1">IFERROR((Z523)/((HM_ZA_Nkossa!CA_FP_oil_nom*HM_ZA_Nkossa!CA_gross_prod_oil+CA_FP_lpg_nom*CA_gross_prod_lpg+HM_ZA_Nkossa!CA_FP_gas_nom*HM_ZA_Nkossa!CA_gross_prod_gas)/HM_ZA_Nkossa!CA_gross_prod_Total),0)</f>
        <v>0</v>
      </c>
      <c r="AA551" s="49">
        <f ca="1">IFERROR((AA523)/((HM_ZA_Nkossa!CA_FP_oil_nom*HM_ZA_Nkossa!CA_gross_prod_oil+CA_FP_lpg_nom*CA_gross_prod_lpg+HM_ZA_Nkossa!CA_FP_gas_nom*HM_ZA_Nkossa!CA_gross_prod_gas)/HM_ZA_Nkossa!CA_gross_prod_Total),0)</f>
        <v>0</v>
      </c>
      <c r="AB551" s="49">
        <f ca="1">IFERROR((AB523)/((HM_ZA_Nkossa!CA_FP_oil_nom*HM_ZA_Nkossa!CA_gross_prod_oil+CA_FP_lpg_nom*CA_gross_prod_lpg+HM_ZA_Nkossa!CA_FP_gas_nom*HM_ZA_Nkossa!CA_gross_prod_gas)/HM_ZA_Nkossa!CA_gross_prod_Total),0)</f>
        <v>0</v>
      </c>
      <c r="AC551" s="49">
        <f ca="1">IFERROR((AC523)/((HM_ZA_Nkossa!CA_FP_oil_nom*HM_ZA_Nkossa!CA_gross_prod_oil+CA_FP_lpg_nom*CA_gross_prod_lpg+HM_ZA_Nkossa!CA_FP_gas_nom*HM_ZA_Nkossa!CA_gross_prod_gas)/HM_ZA_Nkossa!CA_gross_prod_Total),0)</f>
        <v>0</v>
      </c>
      <c r="AD551" s="49">
        <f ca="1">IFERROR((AD523)/((HM_ZA_Nkossa!CA_FP_oil_nom*HM_ZA_Nkossa!CA_gross_prod_oil+CA_FP_lpg_nom*CA_gross_prod_lpg+HM_ZA_Nkossa!CA_FP_gas_nom*HM_ZA_Nkossa!CA_gross_prod_gas)/HM_ZA_Nkossa!CA_gross_prod_Total),0)</f>
        <v>0</v>
      </c>
      <c r="AE551" s="49">
        <f ca="1">IFERROR((AE523)/((HM_ZA_Nkossa!CA_FP_oil_nom*HM_ZA_Nkossa!CA_gross_prod_oil+CA_FP_lpg_nom*CA_gross_prod_lpg+HM_ZA_Nkossa!CA_FP_gas_nom*HM_ZA_Nkossa!CA_gross_prod_gas)/HM_ZA_Nkossa!CA_gross_prod_Total),0)</f>
        <v>0</v>
      </c>
      <c r="AF551" s="49">
        <f ca="1">IFERROR((AF523)/((HM_ZA_Nkossa!CA_FP_oil_nom*HM_ZA_Nkossa!CA_gross_prod_oil+CA_FP_lpg_nom*CA_gross_prod_lpg+HM_ZA_Nkossa!CA_FP_gas_nom*HM_ZA_Nkossa!CA_gross_prod_gas)/HM_ZA_Nkossa!CA_gross_prod_Total),0)</f>
        <v>0</v>
      </c>
      <c r="AG551" s="49">
        <f ca="1">IFERROR((AG523)/((HM_ZA_Nkossa!CA_FP_oil_nom*HM_ZA_Nkossa!CA_gross_prod_oil+CA_FP_lpg_nom*CA_gross_prod_lpg+HM_ZA_Nkossa!CA_FP_gas_nom*HM_ZA_Nkossa!CA_gross_prod_gas)/HM_ZA_Nkossa!CA_gross_prod_Total),0)</f>
        <v>0</v>
      </c>
      <c r="AH551" s="49">
        <f ca="1">IFERROR((AH523)/((HM_ZA_Nkossa!CA_FP_oil_nom*HM_ZA_Nkossa!CA_gross_prod_oil+CA_FP_lpg_nom*CA_gross_prod_lpg+HM_ZA_Nkossa!CA_FP_gas_nom*HM_ZA_Nkossa!CA_gross_prod_gas)/HM_ZA_Nkossa!CA_gross_prod_Total),0)</f>
        <v>0</v>
      </c>
      <c r="AI551" s="49">
        <f ca="1">IFERROR((AI523)/((HM_ZA_Nkossa!CA_FP_oil_nom*HM_ZA_Nkossa!CA_gross_prod_oil+CA_FP_lpg_nom*CA_gross_prod_lpg+HM_ZA_Nkossa!CA_FP_gas_nom*HM_ZA_Nkossa!CA_gross_prod_gas)/HM_ZA_Nkossa!CA_gross_prod_Total),0)</f>
        <v>0</v>
      </c>
      <c r="AJ551" s="49">
        <f ca="1">IFERROR((AJ523)/((HM_ZA_Nkossa!CA_FP_oil_nom*HM_ZA_Nkossa!CA_gross_prod_oil+CA_FP_lpg_nom*CA_gross_prod_lpg+HM_ZA_Nkossa!CA_FP_gas_nom*HM_ZA_Nkossa!CA_gross_prod_gas)/HM_ZA_Nkossa!CA_gross_prod_Total),0)</f>
        <v>0</v>
      </c>
      <c r="AK551" s="49">
        <f ca="1">IFERROR((AK523)/((HM_ZA_Nkossa!CA_FP_oil_nom*HM_ZA_Nkossa!CA_gross_prod_oil+CA_FP_lpg_nom*CA_gross_prod_lpg+HM_ZA_Nkossa!CA_FP_gas_nom*HM_ZA_Nkossa!CA_gross_prod_gas)/HM_ZA_Nkossa!CA_gross_prod_Total),0)</f>
        <v>0</v>
      </c>
      <c r="AL551" s="49">
        <f ca="1">IFERROR((AL523)/((HM_ZA_Nkossa!CA_FP_oil_nom*HM_ZA_Nkossa!CA_gross_prod_oil+CA_FP_lpg_nom*CA_gross_prod_lpg+HM_ZA_Nkossa!CA_FP_gas_nom*HM_ZA_Nkossa!CA_gross_prod_gas)/HM_ZA_Nkossa!CA_gross_prod_Total),0)</f>
        <v>0</v>
      </c>
      <c r="AM551" s="49">
        <f ca="1">IFERROR((AM523)/((HM_ZA_Nkossa!CA_FP_oil_nom*HM_ZA_Nkossa!CA_gross_prod_oil+CA_FP_lpg_nom*CA_gross_prod_lpg+HM_ZA_Nkossa!CA_FP_gas_nom*HM_ZA_Nkossa!CA_gross_prod_gas)/HM_ZA_Nkossa!CA_gross_prod_Total),0)</f>
        <v>0</v>
      </c>
      <c r="AN551" s="49">
        <f ca="1">IFERROR((AN523)/((HM_ZA_Nkossa!CA_FP_oil_nom*HM_ZA_Nkossa!CA_gross_prod_oil+CA_FP_lpg_nom*CA_gross_prod_lpg+HM_ZA_Nkossa!CA_FP_gas_nom*HM_ZA_Nkossa!CA_gross_prod_gas)/HM_ZA_Nkossa!CA_gross_prod_Total),0)</f>
        <v>0</v>
      </c>
      <c r="AO551" s="49">
        <f ca="1">IFERROR((AO523)/((HM_ZA_Nkossa!CA_FP_oil_nom*HM_ZA_Nkossa!CA_gross_prod_oil+CA_FP_lpg_nom*CA_gross_prod_lpg+HM_ZA_Nkossa!CA_FP_gas_nom*HM_ZA_Nkossa!CA_gross_prod_gas)/HM_ZA_Nkossa!CA_gross_prod_Total),0)</f>
        <v>0</v>
      </c>
      <c r="AP551" s="49">
        <f ca="1">IFERROR((AP523)/((HM_ZA_Nkossa!CA_FP_oil_nom*HM_ZA_Nkossa!CA_gross_prod_oil+CA_FP_lpg_nom*CA_gross_prod_lpg+HM_ZA_Nkossa!CA_FP_gas_nom*HM_ZA_Nkossa!CA_gross_prod_gas)/HM_ZA_Nkossa!CA_gross_prod_Total),0)</f>
        <v>0</v>
      </c>
      <c r="AQ551" s="49">
        <f ca="1">IFERROR((AQ523)/((HM_ZA_Nkossa!CA_FP_oil_nom*HM_ZA_Nkossa!CA_gross_prod_oil+CA_FP_lpg_nom*CA_gross_prod_lpg+HM_ZA_Nkossa!CA_FP_gas_nom*HM_ZA_Nkossa!CA_gross_prod_gas)/HM_ZA_Nkossa!CA_gross_prod_Total),0)</f>
        <v>0</v>
      </c>
      <c r="AR551" s="49">
        <f ca="1">IFERROR((AR523)/((HM_ZA_Nkossa!CA_FP_oil_nom*HM_ZA_Nkossa!CA_gross_prod_oil+CA_FP_lpg_nom*CA_gross_prod_lpg+HM_ZA_Nkossa!CA_FP_gas_nom*HM_ZA_Nkossa!CA_gross_prod_gas)/HM_ZA_Nkossa!CA_gross_prod_Total),0)</f>
        <v>0</v>
      </c>
      <c r="AS551" s="49">
        <f ca="1">IFERROR((AS523)/((HM_ZA_Nkossa!CA_FP_oil_nom*HM_ZA_Nkossa!CA_gross_prod_oil+CA_FP_lpg_nom*CA_gross_prod_lpg+HM_ZA_Nkossa!CA_FP_gas_nom*HM_ZA_Nkossa!CA_gross_prod_gas)/HM_ZA_Nkossa!CA_gross_prod_Total),0)</f>
        <v>0</v>
      </c>
      <c r="AT551" s="49">
        <f ca="1">IFERROR((AT523)/((HM_ZA_Nkossa!CA_FP_oil_nom*HM_ZA_Nkossa!CA_gross_prod_oil+CA_FP_lpg_nom*CA_gross_prod_lpg+HM_ZA_Nkossa!CA_FP_gas_nom*HM_ZA_Nkossa!CA_gross_prod_gas)/HM_ZA_Nkossa!CA_gross_prod_Total),0)</f>
        <v>0</v>
      </c>
      <c r="AU551" s="49">
        <f ca="1">IFERROR((AU523)/((HM_ZA_Nkossa!CA_FP_oil_nom*HM_ZA_Nkossa!CA_gross_prod_oil+CA_FP_lpg_nom*CA_gross_prod_lpg+HM_ZA_Nkossa!CA_FP_gas_nom*HM_ZA_Nkossa!CA_gross_prod_gas)/HM_ZA_Nkossa!CA_gross_prod_Total),0)</f>
        <v>0</v>
      </c>
      <c r="AV551" s="49">
        <f ca="1">IFERROR((AV523)/((HM_ZA_Nkossa!CA_FP_oil_nom*HM_ZA_Nkossa!CA_gross_prod_oil+CA_FP_lpg_nom*CA_gross_prod_lpg+HM_ZA_Nkossa!CA_FP_gas_nom*HM_ZA_Nkossa!CA_gross_prod_gas)/HM_ZA_Nkossa!CA_gross_prod_Total),0)</f>
        <v>0</v>
      </c>
      <c r="AW551" s="49">
        <f ca="1">IFERROR((AW523)/((HM_ZA_Nkossa!CA_FP_oil_nom*HM_ZA_Nkossa!CA_gross_prod_oil+CA_FP_lpg_nom*CA_gross_prod_lpg+HM_ZA_Nkossa!CA_FP_gas_nom*HM_ZA_Nkossa!CA_gross_prod_gas)/HM_ZA_Nkossa!CA_gross_prod_Total),0)</f>
        <v>0</v>
      </c>
      <c r="AX551" s="49">
        <f ca="1">IFERROR((AX523)/((HM_ZA_Nkossa!CA_FP_oil_nom*HM_ZA_Nkossa!CA_gross_prod_oil+CA_FP_lpg_nom*CA_gross_prod_lpg+HM_ZA_Nkossa!CA_FP_gas_nom*HM_ZA_Nkossa!CA_gross_prod_gas)/HM_ZA_Nkossa!CA_gross_prod_Total),0)</f>
        <v>0</v>
      </c>
      <c r="AY551" s="49">
        <f ca="1">IFERROR((AY523)/((HM_ZA_Nkossa!CA_FP_oil_nom*HM_ZA_Nkossa!CA_gross_prod_oil+CA_FP_lpg_nom*CA_gross_prod_lpg+HM_ZA_Nkossa!CA_FP_gas_nom*HM_ZA_Nkossa!CA_gross_prod_gas)/HM_ZA_Nkossa!CA_gross_prod_Total),0)</f>
        <v>0</v>
      </c>
      <c r="AZ551" s="49">
        <f ca="1">IFERROR((AZ523)/((HM_ZA_Nkossa!CA_FP_oil_nom*HM_ZA_Nkossa!CA_gross_prod_oil+CA_FP_lpg_nom*CA_gross_prod_lpg+HM_ZA_Nkossa!CA_FP_gas_nom*HM_ZA_Nkossa!CA_gross_prod_gas)/HM_ZA_Nkossa!CA_gross_prod_Total),0)</f>
        <v>0</v>
      </c>
      <c r="BA551" s="49">
        <f ca="1">IFERROR((BA523)/((HM_ZA_Nkossa!CA_FP_oil_nom*HM_ZA_Nkossa!CA_gross_prod_oil+CA_FP_lpg_nom*CA_gross_prod_lpg+HM_ZA_Nkossa!CA_FP_gas_nom*HM_ZA_Nkossa!CA_gross_prod_gas)/HM_ZA_Nkossa!CA_gross_prod_Total),0)</f>
        <v>0</v>
      </c>
      <c r="BB551" s="49">
        <f ca="1">IFERROR((BB523)/((HM_ZA_Nkossa!CA_FP_oil_nom*HM_ZA_Nkossa!CA_gross_prod_oil+CA_FP_lpg_nom*CA_gross_prod_lpg+HM_ZA_Nkossa!CA_FP_gas_nom*HM_ZA_Nkossa!CA_gross_prod_gas)/HM_ZA_Nkossa!CA_gross_prod_Total),0)</f>
        <v>0</v>
      </c>
      <c r="BC551" s="49">
        <f ca="1">IFERROR((BC523)/((HM_ZA_Nkossa!CA_FP_oil_nom*HM_ZA_Nkossa!CA_gross_prod_oil+CA_FP_lpg_nom*CA_gross_prod_lpg+HM_ZA_Nkossa!CA_FP_gas_nom*HM_ZA_Nkossa!CA_gross_prod_gas)/HM_ZA_Nkossa!CA_gross_prod_Total),0)</f>
        <v>0</v>
      </c>
      <c r="BD551" s="49">
        <f ca="1">IFERROR((BD523)/((HM_ZA_Nkossa!CA_FP_oil_nom*HM_ZA_Nkossa!CA_gross_prod_oil+CA_FP_lpg_nom*CA_gross_prod_lpg+HM_ZA_Nkossa!CA_FP_gas_nom*HM_ZA_Nkossa!CA_gross_prod_gas)/HM_ZA_Nkossa!CA_gross_prod_Total),0)</f>
        <v>0</v>
      </c>
      <c r="BE551" s="49">
        <f ca="1">IFERROR((BE523)/((HM_ZA_Nkossa!CA_FP_oil_nom*HM_ZA_Nkossa!CA_gross_prod_oil+CA_FP_lpg_nom*CA_gross_prod_lpg+HM_ZA_Nkossa!CA_FP_gas_nom*HM_ZA_Nkossa!CA_gross_prod_gas)/HM_ZA_Nkossa!CA_gross_prod_Total),0)</f>
        <v>0</v>
      </c>
      <c r="BF551" s="49">
        <f ca="1">IFERROR((BF523)/((HM_ZA_Nkossa!CA_FP_oil_nom*HM_ZA_Nkossa!CA_gross_prod_oil+CA_FP_lpg_nom*CA_gross_prod_lpg+HM_ZA_Nkossa!CA_FP_gas_nom*HM_ZA_Nkossa!CA_gross_prod_gas)/HM_ZA_Nkossa!CA_gross_prod_Total),0)</f>
        <v>0</v>
      </c>
      <c r="BG551" s="49">
        <f ca="1">IFERROR((BG523)/((HM_ZA_Nkossa!CA_FP_oil_nom*HM_ZA_Nkossa!CA_gross_prod_oil+CA_FP_lpg_nom*CA_gross_prod_lpg+HM_ZA_Nkossa!CA_FP_gas_nom*HM_ZA_Nkossa!CA_gross_prod_gas)/HM_ZA_Nkossa!CA_gross_prod_Total),0)</f>
        <v>0</v>
      </c>
      <c r="BH551" s="49">
        <f ca="1">IFERROR((BH523)/((HM_ZA_Nkossa!CA_FP_oil_nom*HM_ZA_Nkossa!CA_gross_prod_oil+CA_FP_lpg_nom*CA_gross_prod_lpg+HM_ZA_Nkossa!CA_FP_gas_nom*HM_ZA_Nkossa!CA_gross_prod_gas)/HM_ZA_Nkossa!CA_gross_prod_Total),0)</f>
        <v>0</v>
      </c>
      <c r="BI551" s="49">
        <f ca="1">IFERROR((BI523)/((HM_ZA_Nkossa!CA_FP_oil_nom*HM_ZA_Nkossa!CA_gross_prod_oil+CA_FP_lpg_nom*CA_gross_prod_lpg+HM_ZA_Nkossa!CA_FP_gas_nom*HM_ZA_Nkossa!CA_gross_prod_gas)/HM_ZA_Nkossa!CA_gross_prod_Total),0)</f>
        <v>0</v>
      </c>
      <c r="BJ551" s="49">
        <f ca="1">IFERROR((BJ523)/((HM_ZA_Nkossa!CA_FP_oil_nom*HM_ZA_Nkossa!CA_gross_prod_oil+CA_FP_lpg_nom*CA_gross_prod_lpg+HM_ZA_Nkossa!CA_FP_gas_nom*HM_ZA_Nkossa!CA_gross_prod_gas)/HM_ZA_Nkossa!CA_gross_prod_Total),0)</f>
        <v>0</v>
      </c>
      <c r="BK551" s="49">
        <f ca="1">IFERROR((BK523)/((HM_ZA_Nkossa!CA_FP_oil_nom*HM_ZA_Nkossa!CA_gross_prod_oil+CA_FP_lpg_nom*CA_gross_prod_lpg+HM_ZA_Nkossa!CA_FP_gas_nom*HM_ZA_Nkossa!CA_gross_prod_gas)/HM_ZA_Nkossa!CA_gross_prod_Total),0)</f>
        <v>0</v>
      </c>
      <c r="BL551" s="49">
        <f ca="1">IFERROR((BL523)/((HM_ZA_Nkossa!CA_FP_oil_nom*HM_ZA_Nkossa!CA_gross_prod_oil+CA_FP_lpg_nom*CA_gross_prod_lpg+HM_ZA_Nkossa!CA_FP_gas_nom*HM_ZA_Nkossa!CA_gross_prod_gas)/HM_ZA_Nkossa!CA_gross_prod_Total),0)</f>
        <v>0</v>
      </c>
      <c r="BM551" s="49">
        <f ca="1">IFERROR((BM523)/((HM_ZA_Nkossa!CA_FP_oil_nom*HM_ZA_Nkossa!CA_gross_prod_oil+CA_FP_lpg_nom*CA_gross_prod_lpg+HM_ZA_Nkossa!CA_FP_gas_nom*HM_ZA_Nkossa!CA_gross_prod_gas)/HM_ZA_Nkossa!CA_gross_prod_Total),0)</f>
        <v>0</v>
      </c>
      <c r="BN551" s="49">
        <f ca="1">IFERROR((BN523)/((HM_ZA_Nkossa!CA_FP_oil_nom*HM_ZA_Nkossa!CA_gross_prod_oil+CA_FP_lpg_nom*CA_gross_prod_lpg+HM_ZA_Nkossa!CA_FP_gas_nom*HM_ZA_Nkossa!CA_gross_prod_gas)/HM_ZA_Nkossa!CA_gross_prod_Total),0)</f>
        <v>0</v>
      </c>
      <c r="BO551" s="49">
        <f ca="1">IFERROR((BO523)/((HM_ZA_Nkossa!CA_FP_oil_nom*HM_ZA_Nkossa!CA_gross_prod_oil+CA_FP_lpg_nom*CA_gross_prod_lpg+HM_ZA_Nkossa!CA_FP_gas_nom*HM_ZA_Nkossa!CA_gross_prod_gas)/HM_ZA_Nkossa!CA_gross_prod_Total),0)</f>
        <v>0</v>
      </c>
      <c r="BP551" s="49">
        <f ca="1">IFERROR((BP523)/((HM_ZA_Nkossa!CA_FP_oil_nom*HM_ZA_Nkossa!CA_gross_prod_oil+CA_FP_lpg_nom*CA_gross_prod_lpg+HM_ZA_Nkossa!CA_FP_gas_nom*HM_ZA_Nkossa!CA_gross_prod_gas)/HM_ZA_Nkossa!CA_gross_prod_Total),0)</f>
        <v>0</v>
      </c>
      <c r="BQ551" s="49">
        <f ca="1">IFERROR((BQ523)/((HM_ZA_Nkossa!CA_FP_oil_nom*HM_ZA_Nkossa!CA_gross_prod_oil+CA_FP_lpg_nom*CA_gross_prod_lpg+HM_ZA_Nkossa!CA_FP_gas_nom*HM_ZA_Nkossa!CA_gross_prod_gas)/HM_ZA_Nkossa!CA_gross_prod_Total),0)</f>
        <v>0</v>
      </c>
      <c r="BR551" s="49">
        <f ca="1">IFERROR((BR523)/((HM_ZA_Nkossa!CA_FP_oil_nom*HM_ZA_Nkossa!CA_gross_prod_oil+CA_FP_lpg_nom*CA_gross_prod_lpg+HM_ZA_Nkossa!CA_FP_gas_nom*HM_ZA_Nkossa!CA_gross_prod_gas)/HM_ZA_Nkossa!CA_gross_prod_Total),0)</f>
        <v>0</v>
      </c>
      <c r="BS551" s="49">
        <f ca="1">IFERROR((BS523)/((HM_ZA_Nkossa!CA_FP_oil_nom*HM_ZA_Nkossa!CA_gross_prod_oil+CA_FP_lpg_nom*CA_gross_prod_lpg+HM_ZA_Nkossa!CA_FP_gas_nom*HM_ZA_Nkossa!CA_gross_prod_gas)/HM_ZA_Nkossa!CA_gross_prod_Total),0)</f>
        <v>0</v>
      </c>
    </row>
    <row r="552" spans="3:71" outlineLevel="1" x14ac:dyDescent="0.2">
      <c r="D552" t="str">
        <f>D525</f>
        <v>Excess Cost Oil</v>
      </c>
      <c r="H552" s="7"/>
      <c r="I552" s="30">
        <f t="shared" ca="1" si="151"/>
        <v>2.0579976436112367E-16</v>
      </c>
      <c r="J552" s="26" t="s">
        <v>692</v>
      </c>
      <c r="L552" s="49">
        <f ca="1">IFERROR((L525)/((HM_ZA_Nkossa!CA_FP_oil_nom*HM_ZA_Nkossa!CA_gross_prod_oil+CA_FP_lpg_nom*CA_gross_prod_lpg+HM_ZA_Nkossa!CA_FP_gas_nom*HM_ZA_Nkossa!CA_gross_prod_gas)/HM_ZA_Nkossa!CA_gross_prod_Total),0)</f>
        <v>0</v>
      </c>
      <c r="M552" s="49">
        <f ca="1">IFERROR((M525)/((HM_ZA_Nkossa!CA_FP_oil_nom*HM_ZA_Nkossa!CA_gross_prod_oil+CA_FP_lpg_nom*CA_gross_prod_lpg+HM_ZA_Nkossa!CA_FP_gas_nom*HM_ZA_Nkossa!CA_gross_prod_gas)/HM_ZA_Nkossa!CA_gross_prod_Total),0)</f>
        <v>0</v>
      </c>
      <c r="N552" s="49">
        <f ca="1">IFERROR((N525)/((HM_ZA_Nkossa!CA_FP_oil_nom*HM_ZA_Nkossa!CA_gross_prod_oil+CA_FP_lpg_nom*CA_gross_prod_lpg+HM_ZA_Nkossa!CA_FP_gas_nom*HM_ZA_Nkossa!CA_gross_prod_gas)/HM_ZA_Nkossa!CA_gross_prod_Total),0)</f>
        <v>0</v>
      </c>
      <c r="O552" s="49">
        <f ca="1">IFERROR((O525)/((HM_ZA_Nkossa!CA_FP_oil_nom*HM_ZA_Nkossa!CA_gross_prod_oil+CA_FP_lpg_nom*CA_gross_prod_lpg+HM_ZA_Nkossa!CA_FP_gas_nom*HM_ZA_Nkossa!CA_gross_prod_gas)/HM_ZA_Nkossa!CA_gross_prod_Total),0)</f>
        <v>0</v>
      </c>
      <c r="P552" s="49">
        <f ca="1">IFERROR((P525)/((HM_ZA_Nkossa!CA_FP_oil_nom*HM_ZA_Nkossa!CA_gross_prod_oil+CA_FP_lpg_nom*CA_gross_prod_lpg+HM_ZA_Nkossa!CA_FP_gas_nom*HM_ZA_Nkossa!CA_gross_prod_gas)/HM_ZA_Nkossa!CA_gross_prod_Total),0)</f>
        <v>0</v>
      </c>
      <c r="Q552" s="49">
        <f ca="1">IFERROR((Q525)/((HM_ZA_Nkossa!CA_FP_oil_nom*HM_ZA_Nkossa!CA_gross_prod_oil+CA_FP_lpg_nom*CA_gross_prod_lpg+HM_ZA_Nkossa!CA_FP_gas_nom*HM_ZA_Nkossa!CA_gross_prod_gas)/HM_ZA_Nkossa!CA_gross_prod_Total),0)</f>
        <v>2.0579976436112367E-16</v>
      </c>
      <c r="R552" s="49">
        <f ca="1">IFERROR((R525)/((HM_ZA_Nkossa!CA_FP_oil_nom*HM_ZA_Nkossa!CA_gross_prod_oil+CA_FP_lpg_nom*CA_gross_prod_lpg+HM_ZA_Nkossa!CA_FP_gas_nom*HM_ZA_Nkossa!CA_gross_prod_gas)/HM_ZA_Nkossa!CA_gross_prod_Total),0)</f>
        <v>0</v>
      </c>
      <c r="S552" s="49">
        <f ca="1">IFERROR((S525)/((HM_ZA_Nkossa!CA_FP_oil_nom*HM_ZA_Nkossa!CA_gross_prod_oil+CA_FP_lpg_nom*CA_gross_prod_lpg+HM_ZA_Nkossa!CA_FP_gas_nom*HM_ZA_Nkossa!CA_gross_prod_gas)/HM_ZA_Nkossa!CA_gross_prod_Total),0)</f>
        <v>0</v>
      </c>
      <c r="T552" s="49">
        <f ca="1">IFERROR((T525)/((HM_ZA_Nkossa!CA_FP_oil_nom*HM_ZA_Nkossa!CA_gross_prod_oil+CA_FP_lpg_nom*CA_gross_prod_lpg+HM_ZA_Nkossa!CA_FP_gas_nom*HM_ZA_Nkossa!CA_gross_prod_gas)/HM_ZA_Nkossa!CA_gross_prod_Total),0)</f>
        <v>0</v>
      </c>
      <c r="U552" s="49">
        <f ca="1">IFERROR((U525)/((HM_ZA_Nkossa!CA_FP_oil_nom*HM_ZA_Nkossa!CA_gross_prod_oil+CA_FP_lpg_nom*CA_gross_prod_lpg+HM_ZA_Nkossa!CA_FP_gas_nom*HM_ZA_Nkossa!CA_gross_prod_gas)/HM_ZA_Nkossa!CA_gross_prod_Total),0)</f>
        <v>0</v>
      </c>
      <c r="V552" s="49">
        <f ca="1">IFERROR((V525)/((HM_ZA_Nkossa!CA_FP_oil_nom*HM_ZA_Nkossa!CA_gross_prod_oil+CA_FP_lpg_nom*CA_gross_prod_lpg+HM_ZA_Nkossa!CA_FP_gas_nom*HM_ZA_Nkossa!CA_gross_prod_gas)/HM_ZA_Nkossa!CA_gross_prod_Total),0)</f>
        <v>0</v>
      </c>
      <c r="W552" s="49">
        <f ca="1">IFERROR((W525)/((HM_ZA_Nkossa!CA_FP_oil_nom*HM_ZA_Nkossa!CA_gross_prod_oil+CA_FP_lpg_nom*CA_gross_prod_lpg+HM_ZA_Nkossa!CA_FP_gas_nom*HM_ZA_Nkossa!CA_gross_prod_gas)/HM_ZA_Nkossa!CA_gross_prod_Total),0)</f>
        <v>0</v>
      </c>
      <c r="X552" s="49">
        <f ca="1">IFERROR((X525)/((HM_ZA_Nkossa!CA_FP_oil_nom*HM_ZA_Nkossa!CA_gross_prod_oil+CA_FP_lpg_nom*CA_gross_prod_lpg+HM_ZA_Nkossa!CA_FP_gas_nom*HM_ZA_Nkossa!CA_gross_prod_gas)/HM_ZA_Nkossa!CA_gross_prod_Total),0)</f>
        <v>0</v>
      </c>
      <c r="Y552" s="49">
        <f ca="1">IFERROR((Y525)/((HM_ZA_Nkossa!CA_FP_oil_nom*HM_ZA_Nkossa!CA_gross_prod_oil+CA_FP_lpg_nom*CA_gross_prod_lpg+HM_ZA_Nkossa!CA_FP_gas_nom*HM_ZA_Nkossa!CA_gross_prod_gas)/HM_ZA_Nkossa!CA_gross_prod_Total),0)</f>
        <v>0</v>
      </c>
      <c r="Z552" s="49">
        <f ca="1">IFERROR((Z525)/((HM_ZA_Nkossa!CA_FP_oil_nom*HM_ZA_Nkossa!CA_gross_prod_oil+CA_FP_lpg_nom*CA_gross_prod_lpg+HM_ZA_Nkossa!CA_FP_gas_nom*HM_ZA_Nkossa!CA_gross_prod_gas)/HM_ZA_Nkossa!CA_gross_prod_Total),0)</f>
        <v>0</v>
      </c>
      <c r="AA552" s="49">
        <f ca="1">IFERROR((AA525)/((HM_ZA_Nkossa!CA_FP_oil_nom*HM_ZA_Nkossa!CA_gross_prod_oil+CA_FP_lpg_nom*CA_gross_prod_lpg+HM_ZA_Nkossa!CA_FP_gas_nom*HM_ZA_Nkossa!CA_gross_prod_gas)/HM_ZA_Nkossa!CA_gross_prod_Total),0)</f>
        <v>0</v>
      </c>
      <c r="AB552" s="49">
        <f ca="1">IFERROR((AB525)/((HM_ZA_Nkossa!CA_FP_oil_nom*HM_ZA_Nkossa!CA_gross_prod_oil+CA_FP_lpg_nom*CA_gross_prod_lpg+HM_ZA_Nkossa!CA_FP_gas_nom*HM_ZA_Nkossa!CA_gross_prod_gas)/HM_ZA_Nkossa!CA_gross_prod_Total),0)</f>
        <v>0</v>
      </c>
      <c r="AC552" s="49">
        <f ca="1">IFERROR((AC525)/((HM_ZA_Nkossa!CA_FP_oil_nom*HM_ZA_Nkossa!CA_gross_prod_oil+CA_FP_lpg_nom*CA_gross_prod_lpg+HM_ZA_Nkossa!CA_FP_gas_nom*HM_ZA_Nkossa!CA_gross_prod_gas)/HM_ZA_Nkossa!CA_gross_prod_Total),0)</f>
        <v>0</v>
      </c>
      <c r="AD552" s="49">
        <f ca="1">IFERROR((AD525)/((HM_ZA_Nkossa!CA_FP_oil_nom*HM_ZA_Nkossa!CA_gross_prod_oil+CA_FP_lpg_nom*CA_gross_prod_lpg+HM_ZA_Nkossa!CA_FP_gas_nom*HM_ZA_Nkossa!CA_gross_prod_gas)/HM_ZA_Nkossa!CA_gross_prod_Total),0)</f>
        <v>0</v>
      </c>
      <c r="AE552" s="49">
        <f ca="1">IFERROR((AE525)/((HM_ZA_Nkossa!CA_FP_oil_nom*HM_ZA_Nkossa!CA_gross_prod_oil+CA_FP_lpg_nom*CA_gross_prod_lpg+HM_ZA_Nkossa!CA_FP_gas_nom*HM_ZA_Nkossa!CA_gross_prod_gas)/HM_ZA_Nkossa!CA_gross_prod_Total),0)</f>
        <v>0</v>
      </c>
      <c r="AF552" s="49">
        <f ca="1">IFERROR((AF525)/((HM_ZA_Nkossa!CA_FP_oil_nom*HM_ZA_Nkossa!CA_gross_prod_oil+CA_FP_lpg_nom*CA_gross_prod_lpg+HM_ZA_Nkossa!CA_FP_gas_nom*HM_ZA_Nkossa!CA_gross_prod_gas)/HM_ZA_Nkossa!CA_gross_prod_Total),0)</f>
        <v>0</v>
      </c>
      <c r="AG552" s="49">
        <f ca="1">IFERROR((AG525)/((HM_ZA_Nkossa!CA_FP_oil_nom*HM_ZA_Nkossa!CA_gross_prod_oil+CA_FP_lpg_nom*CA_gross_prod_lpg+HM_ZA_Nkossa!CA_FP_gas_nom*HM_ZA_Nkossa!CA_gross_prod_gas)/HM_ZA_Nkossa!CA_gross_prod_Total),0)</f>
        <v>0</v>
      </c>
      <c r="AH552" s="49">
        <f ca="1">IFERROR((AH525)/((HM_ZA_Nkossa!CA_FP_oil_nom*HM_ZA_Nkossa!CA_gross_prod_oil+CA_FP_lpg_nom*CA_gross_prod_lpg+HM_ZA_Nkossa!CA_FP_gas_nom*HM_ZA_Nkossa!CA_gross_prod_gas)/HM_ZA_Nkossa!CA_gross_prod_Total),0)</f>
        <v>0</v>
      </c>
      <c r="AI552" s="49">
        <f ca="1">IFERROR((AI525)/((HM_ZA_Nkossa!CA_FP_oil_nom*HM_ZA_Nkossa!CA_gross_prod_oil+CA_FP_lpg_nom*CA_gross_prod_lpg+HM_ZA_Nkossa!CA_FP_gas_nom*HM_ZA_Nkossa!CA_gross_prod_gas)/HM_ZA_Nkossa!CA_gross_prod_Total),0)</f>
        <v>0</v>
      </c>
      <c r="AJ552" s="49">
        <f ca="1">IFERROR((AJ525)/((HM_ZA_Nkossa!CA_FP_oil_nom*HM_ZA_Nkossa!CA_gross_prod_oil+CA_FP_lpg_nom*CA_gross_prod_lpg+HM_ZA_Nkossa!CA_FP_gas_nom*HM_ZA_Nkossa!CA_gross_prod_gas)/HM_ZA_Nkossa!CA_gross_prod_Total),0)</f>
        <v>0</v>
      </c>
      <c r="AK552" s="49">
        <f ca="1">IFERROR((AK525)/((HM_ZA_Nkossa!CA_FP_oil_nom*HM_ZA_Nkossa!CA_gross_prod_oil+CA_FP_lpg_nom*CA_gross_prod_lpg+HM_ZA_Nkossa!CA_FP_gas_nom*HM_ZA_Nkossa!CA_gross_prod_gas)/HM_ZA_Nkossa!CA_gross_prod_Total),0)</f>
        <v>0</v>
      </c>
      <c r="AL552" s="49">
        <f ca="1">IFERROR((AL525)/((HM_ZA_Nkossa!CA_FP_oil_nom*HM_ZA_Nkossa!CA_gross_prod_oil+CA_FP_lpg_nom*CA_gross_prod_lpg+HM_ZA_Nkossa!CA_FP_gas_nom*HM_ZA_Nkossa!CA_gross_prod_gas)/HM_ZA_Nkossa!CA_gross_prod_Total),0)</f>
        <v>0</v>
      </c>
      <c r="AM552" s="49">
        <f ca="1">IFERROR((AM525)/((HM_ZA_Nkossa!CA_FP_oil_nom*HM_ZA_Nkossa!CA_gross_prod_oil+CA_FP_lpg_nom*CA_gross_prod_lpg+HM_ZA_Nkossa!CA_FP_gas_nom*HM_ZA_Nkossa!CA_gross_prod_gas)/HM_ZA_Nkossa!CA_gross_prod_Total),0)</f>
        <v>0</v>
      </c>
      <c r="AN552" s="49">
        <f ca="1">IFERROR((AN525)/((HM_ZA_Nkossa!CA_FP_oil_nom*HM_ZA_Nkossa!CA_gross_prod_oil+CA_FP_lpg_nom*CA_gross_prod_lpg+HM_ZA_Nkossa!CA_FP_gas_nom*HM_ZA_Nkossa!CA_gross_prod_gas)/HM_ZA_Nkossa!CA_gross_prod_Total),0)</f>
        <v>0</v>
      </c>
      <c r="AO552" s="49">
        <f ca="1">IFERROR((AO525)/((HM_ZA_Nkossa!CA_FP_oil_nom*HM_ZA_Nkossa!CA_gross_prod_oil+CA_FP_lpg_nom*CA_gross_prod_lpg+HM_ZA_Nkossa!CA_FP_gas_nom*HM_ZA_Nkossa!CA_gross_prod_gas)/HM_ZA_Nkossa!CA_gross_prod_Total),0)</f>
        <v>0</v>
      </c>
      <c r="AP552" s="49">
        <f ca="1">IFERROR((AP525)/((HM_ZA_Nkossa!CA_FP_oil_nom*HM_ZA_Nkossa!CA_gross_prod_oil+CA_FP_lpg_nom*CA_gross_prod_lpg+HM_ZA_Nkossa!CA_FP_gas_nom*HM_ZA_Nkossa!CA_gross_prod_gas)/HM_ZA_Nkossa!CA_gross_prod_Total),0)</f>
        <v>0</v>
      </c>
      <c r="AQ552" s="49">
        <f ca="1">IFERROR((AQ525)/((HM_ZA_Nkossa!CA_FP_oil_nom*HM_ZA_Nkossa!CA_gross_prod_oil+CA_FP_lpg_nom*CA_gross_prod_lpg+HM_ZA_Nkossa!CA_FP_gas_nom*HM_ZA_Nkossa!CA_gross_prod_gas)/HM_ZA_Nkossa!CA_gross_prod_Total),0)</f>
        <v>0</v>
      </c>
      <c r="AR552" s="49">
        <f ca="1">IFERROR((AR525)/((HM_ZA_Nkossa!CA_FP_oil_nom*HM_ZA_Nkossa!CA_gross_prod_oil+CA_FP_lpg_nom*CA_gross_prod_lpg+HM_ZA_Nkossa!CA_FP_gas_nom*HM_ZA_Nkossa!CA_gross_prod_gas)/HM_ZA_Nkossa!CA_gross_prod_Total),0)</f>
        <v>0</v>
      </c>
      <c r="AS552" s="49">
        <f ca="1">IFERROR((AS525)/((HM_ZA_Nkossa!CA_FP_oil_nom*HM_ZA_Nkossa!CA_gross_prod_oil+CA_FP_lpg_nom*CA_gross_prod_lpg+HM_ZA_Nkossa!CA_FP_gas_nom*HM_ZA_Nkossa!CA_gross_prod_gas)/HM_ZA_Nkossa!CA_gross_prod_Total),0)</f>
        <v>0</v>
      </c>
      <c r="AT552" s="49">
        <f ca="1">IFERROR((AT525)/((HM_ZA_Nkossa!CA_FP_oil_nom*HM_ZA_Nkossa!CA_gross_prod_oil+CA_FP_lpg_nom*CA_gross_prod_lpg+HM_ZA_Nkossa!CA_FP_gas_nom*HM_ZA_Nkossa!CA_gross_prod_gas)/HM_ZA_Nkossa!CA_gross_prod_Total),0)</f>
        <v>0</v>
      </c>
      <c r="AU552" s="49">
        <f ca="1">IFERROR((AU525)/((HM_ZA_Nkossa!CA_FP_oil_nom*HM_ZA_Nkossa!CA_gross_prod_oil+CA_FP_lpg_nom*CA_gross_prod_lpg+HM_ZA_Nkossa!CA_FP_gas_nom*HM_ZA_Nkossa!CA_gross_prod_gas)/HM_ZA_Nkossa!CA_gross_prod_Total),0)</f>
        <v>0</v>
      </c>
      <c r="AV552" s="49">
        <f ca="1">IFERROR((AV525)/((HM_ZA_Nkossa!CA_FP_oil_nom*HM_ZA_Nkossa!CA_gross_prod_oil+CA_FP_lpg_nom*CA_gross_prod_lpg+HM_ZA_Nkossa!CA_FP_gas_nom*HM_ZA_Nkossa!CA_gross_prod_gas)/HM_ZA_Nkossa!CA_gross_prod_Total),0)</f>
        <v>0</v>
      </c>
      <c r="AW552" s="49">
        <f ca="1">IFERROR((AW525)/((HM_ZA_Nkossa!CA_FP_oil_nom*HM_ZA_Nkossa!CA_gross_prod_oil+CA_FP_lpg_nom*CA_gross_prod_lpg+HM_ZA_Nkossa!CA_FP_gas_nom*HM_ZA_Nkossa!CA_gross_prod_gas)/HM_ZA_Nkossa!CA_gross_prod_Total),0)</f>
        <v>0</v>
      </c>
      <c r="AX552" s="49">
        <f ca="1">IFERROR((AX525)/((HM_ZA_Nkossa!CA_FP_oil_nom*HM_ZA_Nkossa!CA_gross_prod_oil+CA_FP_lpg_nom*CA_gross_prod_lpg+HM_ZA_Nkossa!CA_FP_gas_nom*HM_ZA_Nkossa!CA_gross_prod_gas)/HM_ZA_Nkossa!CA_gross_prod_Total),0)</f>
        <v>0</v>
      </c>
      <c r="AY552" s="49">
        <f ca="1">IFERROR((AY525)/((HM_ZA_Nkossa!CA_FP_oil_nom*HM_ZA_Nkossa!CA_gross_prod_oil+CA_FP_lpg_nom*CA_gross_prod_lpg+HM_ZA_Nkossa!CA_FP_gas_nom*HM_ZA_Nkossa!CA_gross_prod_gas)/HM_ZA_Nkossa!CA_gross_prod_Total),0)</f>
        <v>0</v>
      </c>
      <c r="AZ552" s="49">
        <f ca="1">IFERROR((AZ525)/((HM_ZA_Nkossa!CA_FP_oil_nom*HM_ZA_Nkossa!CA_gross_prod_oil+CA_FP_lpg_nom*CA_gross_prod_lpg+HM_ZA_Nkossa!CA_FP_gas_nom*HM_ZA_Nkossa!CA_gross_prod_gas)/HM_ZA_Nkossa!CA_gross_prod_Total),0)</f>
        <v>0</v>
      </c>
      <c r="BA552" s="49">
        <f ca="1">IFERROR((BA525)/((HM_ZA_Nkossa!CA_FP_oil_nom*HM_ZA_Nkossa!CA_gross_prod_oil+CA_FP_lpg_nom*CA_gross_prod_lpg+HM_ZA_Nkossa!CA_FP_gas_nom*HM_ZA_Nkossa!CA_gross_prod_gas)/HM_ZA_Nkossa!CA_gross_prod_Total),0)</f>
        <v>0</v>
      </c>
      <c r="BB552" s="49">
        <f ca="1">IFERROR((BB525)/((HM_ZA_Nkossa!CA_FP_oil_nom*HM_ZA_Nkossa!CA_gross_prod_oil+CA_FP_lpg_nom*CA_gross_prod_lpg+HM_ZA_Nkossa!CA_FP_gas_nom*HM_ZA_Nkossa!CA_gross_prod_gas)/HM_ZA_Nkossa!CA_gross_prod_Total),0)</f>
        <v>0</v>
      </c>
      <c r="BC552" s="49">
        <f ca="1">IFERROR((BC525)/((HM_ZA_Nkossa!CA_FP_oil_nom*HM_ZA_Nkossa!CA_gross_prod_oil+CA_FP_lpg_nom*CA_gross_prod_lpg+HM_ZA_Nkossa!CA_FP_gas_nom*HM_ZA_Nkossa!CA_gross_prod_gas)/HM_ZA_Nkossa!CA_gross_prod_Total),0)</f>
        <v>0</v>
      </c>
      <c r="BD552" s="49">
        <f ca="1">IFERROR((BD525)/((HM_ZA_Nkossa!CA_FP_oil_nom*HM_ZA_Nkossa!CA_gross_prod_oil+CA_FP_lpg_nom*CA_gross_prod_lpg+HM_ZA_Nkossa!CA_FP_gas_nom*HM_ZA_Nkossa!CA_gross_prod_gas)/HM_ZA_Nkossa!CA_gross_prod_Total),0)</f>
        <v>0</v>
      </c>
      <c r="BE552" s="49">
        <f ca="1">IFERROR((BE525)/((HM_ZA_Nkossa!CA_FP_oil_nom*HM_ZA_Nkossa!CA_gross_prod_oil+CA_FP_lpg_nom*CA_gross_prod_lpg+HM_ZA_Nkossa!CA_FP_gas_nom*HM_ZA_Nkossa!CA_gross_prod_gas)/HM_ZA_Nkossa!CA_gross_prod_Total),0)</f>
        <v>0</v>
      </c>
      <c r="BF552" s="49">
        <f ca="1">IFERROR((BF525)/((HM_ZA_Nkossa!CA_FP_oil_nom*HM_ZA_Nkossa!CA_gross_prod_oil+CA_FP_lpg_nom*CA_gross_prod_lpg+HM_ZA_Nkossa!CA_FP_gas_nom*HM_ZA_Nkossa!CA_gross_prod_gas)/HM_ZA_Nkossa!CA_gross_prod_Total),0)</f>
        <v>0</v>
      </c>
      <c r="BG552" s="49">
        <f ca="1">IFERROR((BG525)/((HM_ZA_Nkossa!CA_FP_oil_nom*HM_ZA_Nkossa!CA_gross_prod_oil+CA_FP_lpg_nom*CA_gross_prod_lpg+HM_ZA_Nkossa!CA_FP_gas_nom*HM_ZA_Nkossa!CA_gross_prod_gas)/HM_ZA_Nkossa!CA_gross_prod_Total),0)</f>
        <v>0</v>
      </c>
      <c r="BH552" s="49">
        <f ca="1">IFERROR((BH525)/((HM_ZA_Nkossa!CA_FP_oil_nom*HM_ZA_Nkossa!CA_gross_prod_oil+CA_FP_lpg_nom*CA_gross_prod_lpg+HM_ZA_Nkossa!CA_FP_gas_nom*HM_ZA_Nkossa!CA_gross_prod_gas)/HM_ZA_Nkossa!CA_gross_prod_Total),0)</f>
        <v>0</v>
      </c>
      <c r="BI552" s="49">
        <f ca="1">IFERROR((BI525)/((HM_ZA_Nkossa!CA_FP_oil_nom*HM_ZA_Nkossa!CA_gross_prod_oil+CA_FP_lpg_nom*CA_gross_prod_lpg+HM_ZA_Nkossa!CA_FP_gas_nom*HM_ZA_Nkossa!CA_gross_prod_gas)/HM_ZA_Nkossa!CA_gross_prod_Total),0)</f>
        <v>0</v>
      </c>
      <c r="BJ552" s="49">
        <f ca="1">IFERROR((BJ525)/((HM_ZA_Nkossa!CA_FP_oil_nom*HM_ZA_Nkossa!CA_gross_prod_oil+CA_FP_lpg_nom*CA_gross_prod_lpg+HM_ZA_Nkossa!CA_FP_gas_nom*HM_ZA_Nkossa!CA_gross_prod_gas)/HM_ZA_Nkossa!CA_gross_prod_Total),0)</f>
        <v>0</v>
      </c>
      <c r="BK552" s="49">
        <f ca="1">IFERROR((BK525)/((HM_ZA_Nkossa!CA_FP_oil_nom*HM_ZA_Nkossa!CA_gross_prod_oil+CA_FP_lpg_nom*CA_gross_prod_lpg+HM_ZA_Nkossa!CA_FP_gas_nom*HM_ZA_Nkossa!CA_gross_prod_gas)/HM_ZA_Nkossa!CA_gross_prod_Total),0)</f>
        <v>0</v>
      </c>
      <c r="BL552" s="49">
        <f ca="1">IFERROR((BL525)/((HM_ZA_Nkossa!CA_FP_oil_nom*HM_ZA_Nkossa!CA_gross_prod_oil+CA_FP_lpg_nom*CA_gross_prod_lpg+HM_ZA_Nkossa!CA_FP_gas_nom*HM_ZA_Nkossa!CA_gross_prod_gas)/HM_ZA_Nkossa!CA_gross_prod_Total),0)</f>
        <v>0</v>
      </c>
      <c r="BM552" s="49">
        <f ca="1">IFERROR((BM525)/((HM_ZA_Nkossa!CA_FP_oil_nom*HM_ZA_Nkossa!CA_gross_prod_oil+CA_FP_lpg_nom*CA_gross_prod_lpg+HM_ZA_Nkossa!CA_FP_gas_nom*HM_ZA_Nkossa!CA_gross_prod_gas)/HM_ZA_Nkossa!CA_gross_prod_Total),0)</f>
        <v>0</v>
      </c>
      <c r="BN552" s="49">
        <f ca="1">IFERROR((BN525)/((HM_ZA_Nkossa!CA_FP_oil_nom*HM_ZA_Nkossa!CA_gross_prod_oil+CA_FP_lpg_nom*CA_gross_prod_lpg+HM_ZA_Nkossa!CA_FP_gas_nom*HM_ZA_Nkossa!CA_gross_prod_gas)/HM_ZA_Nkossa!CA_gross_prod_Total),0)</f>
        <v>0</v>
      </c>
      <c r="BO552" s="49">
        <f ca="1">IFERROR((BO525)/((HM_ZA_Nkossa!CA_FP_oil_nom*HM_ZA_Nkossa!CA_gross_prod_oil+CA_FP_lpg_nom*CA_gross_prod_lpg+HM_ZA_Nkossa!CA_FP_gas_nom*HM_ZA_Nkossa!CA_gross_prod_gas)/HM_ZA_Nkossa!CA_gross_prod_Total),0)</f>
        <v>0</v>
      </c>
      <c r="BP552" s="49">
        <f ca="1">IFERROR((BP525)/((HM_ZA_Nkossa!CA_FP_oil_nom*HM_ZA_Nkossa!CA_gross_prod_oil+CA_FP_lpg_nom*CA_gross_prod_lpg+HM_ZA_Nkossa!CA_FP_gas_nom*HM_ZA_Nkossa!CA_gross_prod_gas)/HM_ZA_Nkossa!CA_gross_prod_Total),0)</f>
        <v>0</v>
      </c>
      <c r="BQ552" s="49">
        <f ca="1">IFERROR((BQ525)/((HM_ZA_Nkossa!CA_FP_oil_nom*HM_ZA_Nkossa!CA_gross_prod_oil+CA_FP_lpg_nom*CA_gross_prod_lpg+HM_ZA_Nkossa!CA_FP_gas_nom*HM_ZA_Nkossa!CA_gross_prod_gas)/HM_ZA_Nkossa!CA_gross_prod_Total),0)</f>
        <v>0</v>
      </c>
      <c r="BR552" s="49">
        <f ca="1">IFERROR((BR525)/((HM_ZA_Nkossa!CA_FP_oil_nom*HM_ZA_Nkossa!CA_gross_prod_oil+CA_FP_lpg_nom*CA_gross_prod_lpg+HM_ZA_Nkossa!CA_FP_gas_nom*HM_ZA_Nkossa!CA_gross_prod_gas)/HM_ZA_Nkossa!CA_gross_prod_Total),0)</f>
        <v>0</v>
      </c>
      <c r="BS552" s="49">
        <f ca="1">IFERROR((BS525)/((HM_ZA_Nkossa!CA_FP_oil_nom*HM_ZA_Nkossa!CA_gross_prod_oil+CA_FP_lpg_nom*CA_gross_prod_lpg+HM_ZA_Nkossa!CA_FP_gas_nom*HM_ZA_Nkossa!CA_gross_prod_gas)/HM_ZA_Nkossa!CA_gross_prod_Total),0)</f>
        <v>0</v>
      </c>
    </row>
    <row r="553" spans="3:71" outlineLevel="1" x14ac:dyDescent="0.2">
      <c r="D553" t="str">
        <f>D526</f>
        <v>Super Profit Oil</v>
      </c>
      <c r="H553" s="7"/>
      <c r="I553" s="30">
        <f t="shared" ca="1" si="151"/>
        <v>12.804291824998328</v>
      </c>
      <c r="J553" s="26" t="s">
        <v>692</v>
      </c>
      <c r="L553" s="49">
        <f ca="1">IFERROR((L526)/((HM_ZA_Nkossa!CA_FP_oil_nom*HM_ZA_Nkossa!CA_gross_prod_oil+CA_FP_lpg_nom*CA_gross_prod_lpg)/(HM_ZA_Nkossa!CA_gross_prod_oil+CA_gross_prod_lpg)),0)</f>
        <v>4.4433178667534339</v>
      </c>
      <c r="M553" s="49">
        <f ca="1">IFERROR((M526)/((HM_ZA_Nkossa!CA_FP_oil_nom*HM_ZA_Nkossa!CA_gross_prod_oil+CA_FP_lpg_nom*CA_gross_prod_lpg)/(HM_ZA_Nkossa!CA_gross_prod_oil+CA_gross_prod_lpg)),0)</f>
        <v>5.01851774481083</v>
      </c>
      <c r="N553" s="49">
        <f ca="1">IFERROR((N526)/((HM_ZA_Nkossa!CA_FP_oil_nom*HM_ZA_Nkossa!CA_gross_prod_oil+CA_FP_lpg_nom*CA_gross_prod_lpg)/(HM_ZA_Nkossa!CA_gross_prod_oil+CA_gross_prod_lpg)),0)</f>
        <v>2.0317488694445229</v>
      </c>
      <c r="O553" s="49">
        <f ca="1">IFERROR((O526)/((HM_ZA_Nkossa!CA_FP_oil_nom*HM_ZA_Nkossa!CA_gross_prod_oil+CA_FP_lpg_nom*CA_gross_prod_lpg)/(HM_ZA_Nkossa!CA_gross_prod_oil+CA_gross_prod_lpg)),0)</f>
        <v>1.3039433951604702</v>
      </c>
      <c r="P553" s="49">
        <f ca="1">IFERROR((P526)/((HM_ZA_Nkossa!CA_FP_oil_nom*HM_ZA_Nkossa!CA_gross_prod_oil+CA_FP_lpg_nom*CA_gross_prod_lpg)/(HM_ZA_Nkossa!CA_gross_prod_oil+CA_gross_prod_lpg)),0)</f>
        <v>0</v>
      </c>
      <c r="Q553" s="49">
        <f ca="1">IFERROR((Q526)/((HM_ZA_Nkossa!CA_FP_oil_nom*HM_ZA_Nkossa!CA_gross_prod_oil+CA_FP_lpg_nom*CA_gross_prod_lpg)/(HM_ZA_Nkossa!CA_gross_prod_oil+CA_gross_prod_lpg)),0)</f>
        <v>6.7639488290694473E-3</v>
      </c>
      <c r="R553" s="49">
        <f ca="1">IFERROR((R526)/((HM_ZA_Nkossa!CA_FP_oil_nom*HM_ZA_Nkossa!CA_gross_prod_oil+CA_FP_lpg_nom*CA_gross_prod_lpg)/(HM_ZA_Nkossa!CA_gross_prod_oil+CA_gross_prod_lpg)),0)</f>
        <v>0</v>
      </c>
      <c r="S553" s="49">
        <f ca="1">IFERROR((S526)/((HM_ZA_Nkossa!CA_FP_oil_nom*HM_ZA_Nkossa!CA_gross_prod_oil+CA_FP_lpg_nom*CA_gross_prod_lpg)/(HM_ZA_Nkossa!CA_gross_prod_oil+CA_gross_prod_lpg)),0)</f>
        <v>0</v>
      </c>
      <c r="T553" s="49">
        <f ca="1">IFERROR((T526)/((HM_ZA_Nkossa!CA_FP_oil_nom*HM_ZA_Nkossa!CA_gross_prod_oil+CA_FP_lpg_nom*CA_gross_prod_lpg)/(HM_ZA_Nkossa!CA_gross_prod_oil+CA_gross_prod_lpg)),0)</f>
        <v>0</v>
      </c>
      <c r="U553" s="49">
        <f ca="1">IFERROR((U526)/((HM_ZA_Nkossa!CA_FP_oil_nom*HM_ZA_Nkossa!CA_gross_prod_oil+CA_FP_lpg_nom*CA_gross_prod_lpg)/(HM_ZA_Nkossa!CA_gross_prod_oil+CA_gross_prod_lpg)),0)</f>
        <v>0</v>
      </c>
      <c r="V553" s="49">
        <f ca="1">IFERROR((V526)/((HM_ZA_Nkossa!CA_FP_oil_nom*HM_ZA_Nkossa!CA_gross_prod_oil+CA_FP_lpg_nom*CA_gross_prod_lpg)/(HM_ZA_Nkossa!CA_gross_prod_oil+CA_gross_prod_lpg)),0)</f>
        <v>0</v>
      </c>
      <c r="W553" s="49">
        <f ca="1">IFERROR((W526)/((HM_ZA_Nkossa!CA_FP_oil_nom*HM_ZA_Nkossa!CA_gross_prod_oil+CA_FP_lpg_nom*CA_gross_prod_lpg)/(HM_ZA_Nkossa!CA_gross_prod_oil+CA_gross_prod_lpg)),0)</f>
        <v>0</v>
      </c>
      <c r="X553" s="49">
        <f ca="1">IFERROR((X526)/((HM_ZA_Nkossa!CA_FP_oil_nom*HM_ZA_Nkossa!CA_gross_prod_oil+CA_FP_lpg_nom*CA_gross_prod_lpg)/(HM_ZA_Nkossa!CA_gross_prod_oil+CA_gross_prod_lpg)),0)</f>
        <v>0</v>
      </c>
      <c r="Y553" s="49">
        <f ca="1">IFERROR((Y526)/((HM_ZA_Nkossa!CA_FP_oil_nom*HM_ZA_Nkossa!CA_gross_prod_oil+CA_FP_lpg_nom*CA_gross_prod_lpg)/(HM_ZA_Nkossa!CA_gross_prod_oil+CA_gross_prod_lpg)),0)</f>
        <v>0</v>
      </c>
      <c r="Z553" s="49">
        <f ca="1">IFERROR((Z526)/((HM_ZA_Nkossa!CA_FP_oil_nom*HM_ZA_Nkossa!CA_gross_prod_oil+CA_FP_lpg_nom*CA_gross_prod_lpg)/(HM_ZA_Nkossa!CA_gross_prod_oil+CA_gross_prod_lpg)),0)</f>
        <v>0</v>
      </c>
      <c r="AA553" s="49">
        <f ca="1">IFERROR((AA526)/((HM_ZA_Nkossa!CA_FP_oil_nom*HM_ZA_Nkossa!CA_gross_prod_oil+CA_FP_lpg_nom*CA_gross_prod_lpg)/(HM_ZA_Nkossa!CA_gross_prod_oil+CA_gross_prod_lpg)),0)</f>
        <v>0</v>
      </c>
      <c r="AB553" s="49">
        <f ca="1">IFERROR((AB526)/((HM_ZA_Nkossa!CA_FP_oil_nom*HM_ZA_Nkossa!CA_gross_prod_oil+CA_FP_lpg_nom*CA_gross_prod_lpg)/(HM_ZA_Nkossa!CA_gross_prod_oil+CA_gross_prod_lpg)),0)</f>
        <v>0</v>
      </c>
      <c r="AC553" s="49">
        <f ca="1">IFERROR((AC526)/((HM_ZA_Nkossa!CA_FP_oil_nom*HM_ZA_Nkossa!CA_gross_prod_oil+CA_FP_lpg_nom*CA_gross_prod_lpg)/(HM_ZA_Nkossa!CA_gross_prod_oil+CA_gross_prod_lpg)),0)</f>
        <v>0</v>
      </c>
      <c r="AD553" s="49">
        <f ca="1">IFERROR((AD526)/((HM_ZA_Nkossa!CA_FP_oil_nom*HM_ZA_Nkossa!CA_gross_prod_oil+CA_FP_lpg_nom*CA_gross_prod_lpg)/(HM_ZA_Nkossa!CA_gross_prod_oil+CA_gross_prod_lpg)),0)</f>
        <v>0</v>
      </c>
      <c r="AE553" s="49">
        <f ca="1">IFERROR((AE526)/((HM_ZA_Nkossa!CA_FP_oil_nom*HM_ZA_Nkossa!CA_gross_prod_oil+CA_FP_lpg_nom*CA_gross_prod_lpg)/(HM_ZA_Nkossa!CA_gross_prod_oil+CA_gross_prod_lpg)),0)</f>
        <v>0</v>
      </c>
      <c r="AF553" s="49">
        <f ca="1">IFERROR((AF526)/((HM_ZA_Nkossa!CA_FP_oil_nom*HM_ZA_Nkossa!CA_gross_prod_oil+CA_FP_lpg_nom*CA_gross_prod_lpg)/(HM_ZA_Nkossa!CA_gross_prod_oil+CA_gross_prod_lpg)),0)</f>
        <v>0</v>
      </c>
      <c r="AG553" s="49">
        <f ca="1">IFERROR((AG526)/((HM_ZA_Nkossa!CA_FP_oil_nom*HM_ZA_Nkossa!CA_gross_prod_oil+CA_FP_lpg_nom*CA_gross_prod_lpg)/(HM_ZA_Nkossa!CA_gross_prod_oil+CA_gross_prod_lpg)),0)</f>
        <v>0</v>
      </c>
      <c r="AH553" s="49">
        <f ca="1">IFERROR((AH526)/((HM_ZA_Nkossa!CA_FP_oil_nom*HM_ZA_Nkossa!CA_gross_prod_oil+CA_FP_lpg_nom*CA_gross_prod_lpg)/(HM_ZA_Nkossa!CA_gross_prod_oil+CA_gross_prod_lpg)),0)</f>
        <v>0</v>
      </c>
      <c r="AI553" s="49">
        <f ca="1">IFERROR((AI526)/((HM_ZA_Nkossa!CA_FP_oil_nom*HM_ZA_Nkossa!CA_gross_prod_oil+CA_FP_lpg_nom*CA_gross_prod_lpg)/(HM_ZA_Nkossa!CA_gross_prod_oil+CA_gross_prod_lpg)),0)</f>
        <v>0</v>
      </c>
      <c r="AJ553" s="49">
        <f ca="1">IFERROR((AJ526)/((HM_ZA_Nkossa!CA_FP_oil_nom*HM_ZA_Nkossa!CA_gross_prod_oil+CA_FP_lpg_nom*CA_gross_prod_lpg)/(HM_ZA_Nkossa!CA_gross_prod_oil+CA_gross_prod_lpg)),0)</f>
        <v>0</v>
      </c>
      <c r="AK553" s="49">
        <f ca="1">IFERROR((AK526)/((HM_ZA_Nkossa!CA_FP_oil_nom*HM_ZA_Nkossa!CA_gross_prod_oil+CA_FP_lpg_nom*CA_gross_prod_lpg)/(HM_ZA_Nkossa!CA_gross_prod_oil+CA_gross_prod_lpg)),0)</f>
        <v>0</v>
      </c>
      <c r="AL553" s="49">
        <f ca="1">IFERROR((AL526)/((HM_ZA_Nkossa!CA_FP_oil_nom*HM_ZA_Nkossa!CA_gross_prod_oil+CA_FP_lpg_nom*CA_gross_prod_lpg)/(HM_ZA_Nkossa!CA_gross_prod_oil+CA_gross_prod_lpg)),0)</f>
        <v>0</v>
      </c>
      <c r="AM553" s="49">
        <f ca="1">IFERROR((AM526)/((HM_ZA_Nkossa!CA_FP_oil_nom*HM_ZA_Nkossa!CA_gross_prod_oil+CA_FP_lpg_nom*CA_gross_prod_lpg)/(HM_ZA_Nkossa!CA_gross_prod_oil+CA_gross_prod_lpg)),0)</f>
        <v>0</v>
      </c>
      <c r="AN553" s="49">
        <f ca="1">IFERROR((AN526)/((HM_ZA_Nkossa!CA_FP_oil_nom*HM_ZA_Nkossa!CA_gross_prod_oil+CA_FP_lpg_nom*CA_gross_prod_lpg)/(HM_ZA_Nkossa!CA_gross_prod_oil+CA_gross_prod_lpg)),0)</f>
        <v>0</v>
      </c>
      <c r="AO553" s="49">
        <f ca="1">IFERROR((AO526)/((HM_ZA_Nkossa!CA_FP_oil_nom*HM_ZA_Nkossa!CA_gross_prod_oil+CA_FP_lpg_nom*CA_gross_prod_lpg)/(HM_ZA_Nkossa!CA_gross_prod_oil+CA_gross_prod_lpg)),0)</f>
        <v>0</v>
      </c>
      <c r="AP553" s="49">
        <f ca="1">IFERROR((AP526)/((HM_ZA_Nkossa!CA_FP_oil_nom*HM_ZA_Nkossa!CA_gross_prod_oil+CA_FP_lpg_nom*CA_gross_prod_lpg)/(HM_ZA_Nkossa!CA_gross_prod_oil+CA_gross_prod_lpg)),0)</f>
        <v>0</v>
      </c>
      <c r="AQ553" s="49">
        <f ca="1">IFERROR((AQ526)/((HM_ZA_Nkossa!CA_FP_oil_nom*HM_ZA_Nkossa!CA_gross_prod_oil+CA_FP_lpg_nom*CA_gross_prod_lpg)/(HM_ZA_Nkossa!CA_gross_prod_oil+CA_gross_prod_lpg)),0)</f>
        <v>0</v>
      </c>
      <c r="AR553" s="49">
        <f ca="1">IFERROR((AR526)/((HM_ZA_Nkossa!CA_FP_oil_nom*HM_ZA_Nkossa!CA_gross_prod_oil+CA_FP_lpg_nom*CA_gross_prod_lpg)/(HM_ZA_Nkossa!CA_gross_prod_oil+CA_gross_prod_lpg)),0)</f>
        <v>0</v>
      </c>
      <c r="AS553" s="49">
        <f ca="1">IFERROR((AS526)/((HM_ZA_Nkossa!CA_FP_oil_nom*HM_ZA_Nkossa!CA_gross_prod_oil+CA_FP_lpg_nom*CA_gross_prod_lpg)/(HM_ZA_Nkossa!CA_gross_prod_oil+CA_gross_prod_lpg)),0)</f>
        <v>0</v>
      </c>
      <c r="AT553" s="49">
        <f ca="1">IFERROR((AT526)/((HM_ZA_Nkossa!CA_FP_oil_nom*HM_ZA_Nkossa!CA_gross_prod_oil+CA_FP_lpg_nom*CA_gross_prod_lpg)/(HM_ZA_Nkossa!CA_gross_prod_oil+CA_gross_prod_lpg)),0)</f>
        <v>0</v>
      </c>
      <c r="AU553" s="49">
        <f ca="1">IFERROR((AU526)/((HM_ZA_Nkossa!CA_FP_oil_nom*HM_ZA_Nkossa!CA_gross_prod_oil+CA_FP_lpg_nom*CA_gross_prod_lpg)/(HM_ZA_Nkossa!CA_gross_prod_oil+CA_gross_prod_lpg)),0)</f>
        <v>0</v>
      </c>
      <c r="AV553" s="49">
        <f ca="1">IFERROR((AV526)/((HM_ZA_Nkossa!CA_FP_oil_nom*HM_ZA_Nkossa!CA_gross_prod_oil+CA_FP_lpg_nom*CA_gross_prod_lpg)/(HM_ZA_Nkossa!CA_gross_prod_oil+CA_gross_prod_lpg)),0)</f>
        <v>0</v>
      </c>
      <c r="AW553" s="49">
        <f ca="1">IFERROR((AW526)/((HM_ZA_Nkossa!CA_FP_oil_nom*HM_ZA_Nkossa!CA_gross_prod_oil+CA_FP_lpg_nom*CA_gross_prod_lpg)/(HM_ZA_Nkossa!CA_gross_prod_oil+CA_gross_prod_lpg)),0)</f>
        <v>0</v>
      </c>
      <c r="AX553" s="49">
        <f ca="1">IFERROR((AX526)/((HM_ZA_Nkossa!CA_FP_oil_nom*HM_ZA_Nkossa!CA_gross_prod_oil+CA_FP_lpg_nom*CA_gross_prod_lpg)/(HM_ZA_Nkossa!CA_gross_prod_oil+CA_gross_prod_lpg)),0)</f>
        <v>0</v>
      </c>
      <c r="AY553" s="49">
        <f ca="1">IFERROR((AY526)/((HM_ZA_Nkossa!CA_FP_oil_nom*HM_ZA_Nkossa!CA_gross_prod_oil+CA_FP_lpg_nom*CA_gross_prod_lpg)/(HM_ZA_Nkossa!CA_gross_prod_oil+CA_gross_prod_lpg)),0)</f>
        <v>0</v>
      </c>
      <c r="AZ553" s="49">
        <f ca="1">IFERROR((AZ526)/((HM_ZA_Nkossa!CA_FP_oil_nom*HM_ZA_Nkossa!CA_gross_prod_oil+CA_FP_lpg_nom*CA_gross_prod_lpg)/(HM_ZA_Nkossa!CA_gross_prod_oil+CA_gross_prod_lpg)),0)</f>
        <v>0</v>
      </c>
      <c r="BA553" s="49">
        <f ca="1">IFERROR((BA526)/((HM_ZA_Nkossa!CA_FP_oil_nom*HM_ZA_Nkossa!CA_gross_prod_oil+CA_FP_lpg_nom*CA_gross_prod_lpg)/(HM_ZA_Nkossa!CA_gross_prod_oil+CA_gross_prod_lpg)),0)</f>
        <v>0</v>
      </c>
      <c r="BB553" s="49">
        <f ca="1">IFERROR((BB526)/((HM_ZA_Nkossa!CA_FP_oil_nom*HM_ZA_Nkossa!CA_gross_prod_oil+CA_FP_lpg_nom*CA_gross_prod_lpg)/(HM_ZA_Nkossa!CA_gross_prod_oil+CA_gross_prod_lpg)),0)</f>
        <v>0</v>
      </c>
      <c r="BC553" s="49">
        <f ca="1">IFERROR((BC526)/((HM_ZA_Nkossa!CA_FP_oil_nom*HM_ZA_Nkossa!CA_gross_prod_oil+CA_FP_lpg_nom*CA_gross_prod_lpg)/(HM_ZA_Nkossa!CA_gross_prod_oil+CA_gross_prod_lpg)),0)</f>
        <v>0</v>
      </c>
      <c r="BD553" s="49">
        <f ca="1">IFERROR((BD526)/((HM_ZA_Nkossa!CA_FP_oil_nom*HM_ZA_Nkossa!CA_gross_prod_oil+CA_FP_lpg_nom*CA_gross_prod_lpg)/(HM_ZA_Nkossa!CA_gross_prod_oil+CA_gross_prod_lpg)),0)</f>
        <v>0</v>
      </c>
      <c r="BE553" s="49">
        <f ca="1">IFERROR((BE526)/((HM_ZA_Nkossa!CA_FP_oil_nom*HM_ZA_Nkossa!CA_gross_prod_oil+CA_FP_lpg_nom*CA_gross_prod_lpg)/(HM_ZA_Nkossa!CA_gross_prod_oil+CA_gross_prod_lpg)),0)</f>
        <v>0</v>
      </c>
      <c r="BF553" s="49">
        <f ca="1">IFERROR((BF526)/((HM_ZA_Nkossa!CA_FP_oil_nom*HM_ZA_Nkossa!CA_gross_prod_oil+CA_FP_lpg_nom*CA_gross_prod_lpg)/(HM_ZA_Nkossa!CA_gross_prod_oil+CA_gross_prod_lpg)),0)</f>
        <v>0</v>
      </c>
      <c r="BG553" s="49">
        <f ca="1">IFERROR((BG526)/((HM_ZA_Nkossa!CA_FP_oil_nom*HM_ZA_Nkossa!CA_gross_prod_oil+CA_FP_lpg_nom*CA_gross_prod_lpg)/(HM_ZA_Nkossa!CA_gross_prod_oil+CA_gross_prod_lpg)),0)</f>
        <v>0</v>
      </c>
      <c r="BH553" s="49">
        <f ca="1">IFERROR((BH526)/((HM_ZA_Nkossa!CA_FP_oil_nom*HM_ZA_Nkossa!CA_gross_prod_oil+CA_FP_lpg_nom*CA_gross_prod_lpg)/(HM_ZA_Nkossa!CA_gross_prod_oil+CA_gross_prod_lpg)),0)</f>
        <v>0</v>
      </c>
      <c r="BI553" s="49">
        <f ca="1">IFERROR((BI526)/((HM_ZA_Nkossa!CA_FP_oil_nom*HM_ZA_Nkossa!CA_gross_prod_oil+CA_FP_lpg_nom*CA_gross_prod_lpg)/(HM_ZA_Nkossa!CA_gross_prod_oil+CA_gross_prod_lpg)),0)</f>
        <v>0</v>
      </c>
      <c r="BJ553" s="49">
        <f ca="1">IFERROR((BJ526)/((HM_ZA_Nkossa!CA_FP_oil_nom*HM_ZA_Nkossa!CA_gross_prod_oil+CA_FP_lpg_nom*CA_gross_prod_lpg)/(HM_ZA_Nkossa!CA_gross_prod_oil+CA_gross_prod_lpg)),0)</f>
        <v>0</v>
      </c>
      <c r="BK553" s="49">
        <f ca="1">IFERROR((BK526)/((HM_ZA_Nkossa!CA_FP_oil_nom*HM_ZA_Nkossa!CA_gross_prod_oil+CA_FP_lpg_nom*CA_gross_prod_lpg)/(HM_ZA_Nkossa!CA_gross_prod_oil+CA_gross_prod_lpg)),0)</f>
        <v>0</v>
      </c>
      <c r="BL553" s="49">
        <f ca="1">IFERROR((BL526)/((HM_ZA_Nkossa!CA_FP_oil_nom*HM_ZA_Nkossa!CA_gross_prod_oil+CA_FP_lpg_nom*CA_gross_prod_lpg)/(HM_ZA_Nkossa!CA_gross_prod_oil+CA_gross_prod_lpg)),0)</f>
        <v>0</v>
      </c>
      <c r="BM553" s="49">
        <f ca="1">IFERROR((BM526)/((HM_ZA_Nkossa!CA_FP_oil_nom*HM_ZA_Nkossa!CA_gross_prod_oil+CA_FP_lpg_nom*CA_gross_prod_lpg)/(HM_ZA_Nkossa!CA_gross_prod_oil+CA_gross_prod_lpg)),0)</f>
        <v>0</v>
      </c>
      <c r="BN553" s="49">
        <f ca="1">IFERROR((BN526)/((HM_ZA_Nkossa!CA_FP_oil_nom*HM_ZA_Nkossa!CA_gross_prod_oil+CA_FP_lpg_nom*CA_gross_prod_lpg)/(HM_ZA_Nkossa!CA_gross_prod_oil+CA_gross_prod_lpg)),0)</f>
        <v>0</v>
      </c>
      <c r="BO553" s="49">
        <f ca="1">IFERROR((BO526)/((HM_ZA_Nkossa!CA_FP_oil_nom*HM_ZA_Nkossa!CA_gross_prod_oil+CA_FP_lpg_nom*CA_gross_prod_lpg)/(HM_ZA_Nkossa!CA_gross_prod_oil+CA_gross_prod_lpg)),0)</f>
        <v>0</v>
      </c>
      <c r="BP553" s="49">
        <f ca="1">IFERROR((BP526)/((HM_ZA_Nkossa!CA_FP_oil_nom*HM_ZA_Nkossa!CA_gross_prod_oil+CA_FP_lpg_nom*CA_gross_prod_lpg)/(HM_ZA_Nkossa!CA_gross_prod_oil+CA_gross_prod_lpg)),0)</f>
        <v>0</v>
      </c>
      <c r="BQ553" s="49">
        <f ca="1">IFERROR((BQ526)/((HM_ZA_Nkossa!CA_FP_oil_nom*HM_ZA_Nkossa!CA_gross_prod_oil+CA_FP_lpg_nom*CA_gross_prod_lpg)/(HM_ZA_Nkossa!CA_gross_prod_oil+CA_gross_prod_lpg)),0)</f>
        <v>0</v>
      </c>
      <c r="BR553" s="49">
        <f ca="1">IFERROR((BR526)/((HM_ZA_Nkossa!CA_FP_oil_nom*HM_ZA_Nkossa!CA_gross_prod_oil+CA_FP_lpg_nom*CA_gross_prod_lpg)/(HM_ZA_Nkossa!CA_gross_prod_oil+CA_gross_prod_lpg)),0)</f>
        <v>0</v>
      </c>
      <c r="BS553" s="49">
        <f ca="1">IFERROR((BS526)/((HM_ZA_Nkossa!CA_FP_oil_nom*HM_ZA_Nkossa!CA_gross_prod_oil+CA_FP_lpg_nom*CA_gross_prod_lpg)/(HM_ZA_Nkossa!CA_gross_prod_oil+CA_gross_prod_lpg)),0)</f>
        <v>0</v>
      </c>
    </row>
    <row r="554" spans="3:71" outlineLevel="1" x14ac:dyDescent="0.2">
      <c r="D554" t="str">
        <f>D527</f>
        <v>Profit Oil</v>
      </c>
      <c r="H554" s="7"/>
      <c r="I554" s="30">
        <f t="shared" ca="1" si="151"/>
        <v>11.266377147805088</v>
      </c>
      <c r="J554" s="26" t="s">
        <v>692</v>
      </c>
      <c r="L554" s="49">
        <f ca="1">IFERROR((L527)/((HM_ZA_Nkossa!CA_FP_oil_nom*HM_ZA_Nkossa!CA_gross_prod_oil+CA_FP_lpg_nom*CA_gross_prod_lpg+HM_ZA_Nkossa!CA_FP_gas_nom*HM_ZA_Nkossa!CA_gross_prod_gas)/HM_ZA_Nkossa!CA_gross_prod_Total),0)</f>
        <v>0.51192187849540716</v>
      </c>
      <c r="M554" s="49">
        <f ca="1">IFERROR((M527)/((HM_ZA_Nkossa!CA_FP_oil_nom*HM_ZA_Nkossa!CA_gross_prod_oil+CA_FP_lpg_nom*CA_gross_prod_lpg+HM_ZA_Nkossa!CA_FP_gas_nom*HM_ZA_Nkossa!CA_gross_prod_gas)/HM_ZA_Nkossa!CA_gross_prod_Total),0)</f>
        <v>0.72394735811462885</v>
      </c>
      <c r="N554" s="49">
        <f ca="1">IFERROR((N527)/((HM_ZA_Nkossa!CA_FP_oil_nom*HM_ZA_Nkossa!CA_gross_prod_oil+CA_FP_lpg_nom*CA_gross_prod_lpg+HM_ZA_Nkossa!CA_FP_gas_nom*HM_ZA_Nkossa!CA_gross_prod_gas)/HM_ZA_Nkossa!CA_gross_prod_Total),0)</f>
        <v>1.2359601254421857</v>
      </c>
      <c r="O554" s="49">
        <f ca="1">IFERROR((O527)/((HM_ZA_Nkossa!CA_FP_oil_nom*HM_ZA_Nkossa!CA_gross_prod_oil+CA_FP_lpg_nom*CA_gross_prod_lpg+HM_ZA_Nkossa!CA_FP_gas_nom*HM_ZA_Nkossa!CA_gross_prod_gas)/HM_ZA_Nkossa!CA_gross_prod_Total),0)</f>
        <v>1.5406211690389089</v>
      </c>
      <c r="P554" s="49">
        <f ca="1">IFERROR((P527)/((HM_ZA_Nkossa!CA_FP_oil_nom*HM_ZA_Nkossa!CA_gross_prod_oil+CA_FP_lpg_nom*CA_gross_prod_lpg+HM_ZA_Nkossa!CA_FP_gas_nom*HM_ZA_Nkossa!CA_gross_prod_gas)/HM_ZA_Nkossa!CA_gross_prod_Total),0)</f>
        <v>1.3053097475233855</v>
      </c>
      <c r="Q554" s="49">
        <f ca="1">IFERROR((Q527)/((HM_ZA_Nkossa!CA_FP_oil_nom*HM_ZA_Nkossa!CA_gross_prod_oil+CA_FP_lpg_nom*CA_gross_prod_lpg+HM_ZA_Nkossa!CA_FP_gas_nom*HM_ZA_Nkossa!CA_gross_prod_gas)/HM_ZA_Nkossa!CA_gross_prod_Total),0)</f>
        <v>1.0045680635846539</v>
      </c>
      <c r="R554" s="49">
        <f ca="1">IFERROR((R527)/((HM_ZA_Nkossa!CA_FP_oil_nom*HM_ZA_Nkossa!CA_gross_prod_oil+CA_FP_lpg_nom*CA_gross_prod_lpg+HM_ZA_Nkossa!CA_FP_gas_nom*HM_ZA_Nkossa!CA_gross_prod_gas)/HM_ZA_Nkossa!CA_gross_prod_Total),0)</f>
        <v>1.1516643463985261</v>
      </c>
      <c r="S554" s="49">
        <f ca="1">IFERROR((S527)/((HM_ZA_Nkossa!CA_FP_oil_nom*HM_ZA_Nkossa!CA_gross_prod_oil+CA_FP_lpg_nom*CA_gross_prod_lpg+HM_ZA_Nkossa!CA_FP_gas_nom*HM_ZA_Nkossa!CA_gross_prod_gas)/HM_ZA_Nkossa!CA_gross_prod_Total),0)</f>
        <v>0.75200999999999962</v>
      </c>
      <c r="T554" s="49">
        <f ca="1">IFERROR((T527)/((HM_ZA_Nkossa!CA_FP_oil_nom*HM_ZA_Nkossa!CA_gross_prod_oil+CA_FP_lpg_nom*CA_gross_prod_lpg+HM_ZA_Nkossa!CA_FP_gas_nom*HM_ZA_Nkossa!CA_gross_prod_gas)/HM_ZA_Nkossa!CA_gross_prod_Total),0)</f>
        <v>0.69936929999999975</v>
      </c>
      <c r="U554" s="49">
        <f ca="1">IFERROR((U527)/((HM_ZA_Nkossa!CA_FP_oil_nom*HM_ZA_Nkossa!CA_gross_prod_oil+CA_FP_lpg_nom*CA_gross_prod_lpg+HM_ZA_Nkossa!CA_FP_gas_nom*HM_ZA_Nkossa!CA_gross_prod_gas)/HM_ZA_Nkossa!CA_gross_prod_Total),0)</f>
        <v>0.65041344899999975</v>
      </c>
      <c r="V554" s="49">
        <f ca="1">IFERROR((V527)/((HM_ZA_Nkossa!CA_FP_oil_nom*HM_ZA_Nkossa!CA_gross_prod_oil+CA_FP_lpg_nom*CA_gross_prod_lpg+HM_ZA_Nkossa!CA_FP_gas_nom*HM_ZA_Nkossa!CA_gross_prod_gas)/HM_ZA_Nkossa!CA_gross_prod_Total),0)</f>
        <v>0.60488450756999967</v>
      </c>
      <c r="W554" s="49">
        <f ca="1">IFERROR((W527)/((HM_ZA_Nkossa!CA_FP_oil_nom*HM_ZA_Nkossa!CA_gross_prod_oil+CA_FP_lpg_nom*CA_gross_prod_lpg+HM_ZA_Nkossa!CA_FP_gas_nom*HM_ZA_Nkossa!CA_gross_prod_gas)/HM_ZA_Nkossa!CA_gross_prod_Total),0)</f>
        <v>0.56254259204009971</v>
      </c>
      <c r="X554" s="49">
        <f ca="1">IFERROR((X527)/((HM_ZA_Nkossa!CA_FP_oil_nom*HM_ZA_Nkossa!CA_gross_prod_oil+CA_FP_lpg_nom*CA_gross_prod_lpg+HM_ZA_Nkossa!CA_FP_gas_nom*HM_ZA_Nkossa!CA_gross_prod_gas)/HM_ZA_Nkossa!CA_gross_prod_Total),0)</f>
        <v>0.5231646105972928</v>
      </c>
      <c r="Y554" s="49">
        <f ca="1">IFERROR((Y527)/((HM_ZA_Nkossa!CA_FP_oil_nom*HM_ZA_Nkossa!CA_gross_prod_oil+CA_FP_lpg_nom*CA_gross_prod_lpg+HM_ZA_Nkossa!CA_FP_gas_nom*HM_ZA_Nkossa!CA_gross_prod_gas)/HM_ZA_Nkossa!CA_gross_prod_Total),0)</f>
        <v>0</v>
      </c>
      <c r="Z554" s="49">
        <f ca="1">IFERROR((Z527)/((HM_ZA_Nkossa!CA_FP_oil_nom*HM_ZA_Nkossa!CA_gross_prod_oil+CA_FP_lpg_nom*CA_gross_prod_lpg+HM_ZA_Nkossa!CA_FP_gas_nom*HM_ZA_Nkossa!CA_gross_prod_gas)/HM_ZA_Nkossa!CA_gross_prod_Total),0)</f>
        <v>0</v>
      </c>
      <c r="AA554" s="49">
        <f ca="1">IFERROR((AA527)/((HM_ZA_Nkossa!CA_FP_oil_nom*HM_ZA_Nkossa!CA_gross_prod_oil+CA_FP_lpg_nom*CA_gross_prod_lpg+HM_ZA_Nkossa!CA_FP_gas_nom*HM_ZA_Nkossa!CA_gross_prod_gas)/HM_ZA_Nkossa!CA_gross_prod_Total),0)</f>
        <v>0</v>
      </c>
      <c r="AB554" s="49">
        <f ca="1">IFERROR((AB527)/((HM_ZA_Nkossa!CA_FP_oil_nom*HM_ZA_Nkossa!CA_gross_prod_oil+CA_FP_lpg_nom*CA_gross_prod_lpg+HM_ZA_Nkossa!CA_FP_gas_nom*HM_ZA_Nkossa!CA_gross_prod_gas)/HM_ZA_Nkossa!CA_gross_prod_Total),0)</f>
        <v>0</v>
      </c>
      <c r="AC554" s="49">
        <f ca="1">IFERROR((AC527)/((HM_ZA_Nkossa!CA_FP_oil_nom*HM_ZA_Nkossa!CA_gross_prod_oil+CA_FP_lpg_nom*CA_gross_prod_lpg+HM_ZA_Nkossa!CA_FP_gas_nom*HM_ZA_Nkossa!CA_gross_prod_gas)/HM_ZA_Nkossa!CA_gross_prod_Total),0)</f>
        <v>0</v>
      </c>
      <c r="AD554" s="49">
        <f ca="1">IFERROR((AD527)/((HM_ZA_Nkossa!CA_FP_oil_nom*HM_ZA_Nkossa!CA_gross_prod_oil+CA_FP_lpg_nom*CA_gross_prod_lpg+HM_ZA_Nkossa!CA_FP_gas_nom*HM_ZA_Nkossa!CA_gross_prod_gas)/HM_ZA_Nkossa!CA_gross_prod_Total),0)</f>
        <v>0</v>
      </c>
      <c r="AE554" s="49">
        <f ca="1">IFERROR((AE527)/((HM_ZA_Nkossa!CA_FP_oil_nom*HM_ZA_Nkossa!CA_gross_prod_oil+CA_FP_lpg_nom*CA_gross_prod_lpg+HM_ZA_Nkossa!CA_FP_gas_nom*HM_ZA_Nkossa!CA_gross_prod_gas)/HM_ZA_Nkossa!CA_gross_prod_Total),0)</f>
        <v>0</v>
      </c>
      <c r="AF554" s="49">
        <f ca="1">IFERROR((AF527)/((HM_ZA_Nkossa!CA_FP_oil_nom*HM_ZA_Nkossa!CA_gross_prod_oil+CA_FP_lpg_nom*CA_gross_prod_lpg+HM_ZA_Nkossa!CA_FP_gas_nom*HM_ZA_Nkossa!CA_gross_prod_gas)/HM_ZA_Nkossa!CA_gross_prod_Total),0)</f>
        <v>0</v>
      </c>
      <c r="AG554" s="49">
        <f ca="1">IFERROR((AG527)/((HM_ZA_Nkossa!CA_FP_oil_nom*HM_ZA_Nkossa!CA_gross_prod_oil+CA_FP_lpg_nom*CA_gross_prod_lpg+HM_ZA_Nkossa!CA_FP_gas_nom*HM_ZA_Nkossa!CA_gross_prod_gas)/HM_ZA_Nkossa!CA_gross_prod_Total),0)</f>
        <v>0</v>
      </c>
      <c r="AH554" s="49">
        <f ca="1">IFERROR((AH527)/((HM_ZA_Nkossa!CA_FP_oil_nom*HM_ZA_Nkossa!CA_gross_prod_oil+CA_FP_lpg_nom*CA_gross_prod_lpg+HM_ZA_Nkossa!CA_FP_gas_nom*HM_ZA_Nkossa!CA_gross_prod_gas)/HM_ZA_Nkossa!CA_gross_prod_Total),0)</f>
        <v>0</v>
      </c>
      <c r="AI554" s="49">
        <f ca="1">IFERROR((AI527)/((HM_ZA_Nkossa!CA_FP_oil_nom*HM_ZA_Nkossa!CA_gross_prod_oil+CA_FP_lpg_nom*CA_gross_prod_lpg+HM_ZA_Nkossa!CA_FP_gas_nom*HM_ZA_Nkossa!CA_gross_prod_gas)/HM_ZA_Nkossa!CA_gross_prod_Total),0)</f>
        <v>0</v>
      </c>
      <c r="AJ554" s="49">
        <f ca="1">IFERROR((AJ527)/((HM_ZA_Nkossa!CA_FP_oil_nom*HM_ZA_Nkossa!CA_gross_prod_oil+CA_FP_lpg_nom*CA_gross_prod_lpg+HM_ZA_Nkossa!CA_FP_gas_nom*HM_ZA_Nkossa!CA_gross_prod_gas)/HM_ZA_Nkossa!CA_gross_prod_Total),0)</f>
        <v>0</v>
      </c>
      <c r="AK554" s="49">
        <f ca="1">IFERROR((AK527)/((HM_ZA_Nkossa!CA_FP_oil_nom*HM_ZA_Nkossa!CA_gross_prod_oil+CA_FP_lpg_nom*CA_gross_prod_lpg+HM_ZA_Nkossa!CA_FP_gas_nom*HM_ZA_Nkossa!CA_gross_prod_gas)/HM_ZA_Nkossa!CA_gross_prod_Total),0)</f>
        <v>0</v>
      </c>
      <c r="AL554" s="49">
        <f ca="1">IFERROR((AL527)/((HM_ZA_Nkossa!CA_FP_oil_nom*HM_ZA_Nkossa!CA_gross_prod_oil+CA_FP_lpg_nom*CA_gross_prod_lpg+HM_ZA_Nkossa!CA_FP_gas_nom*HM_ZA_Nkossa!CA_gross_prod_gas)/HM_ZA_Nkossa!CA_gross_prod_Total),0)</f>
        <v>0</v>
      </c>
      <c r="AM554" s="49">
        <f ca="1">IFERROR((AM527)/((HM_ZA_Nkossa!CA_FP_oil_nom*HM_ZA_Nkossa!CA_gross_prod_oil+CA_FP_lpg_nom*CA_gross_prod_lpg+HM_ZA_Nkossa!CA_FP_gas_nom*HM_ZA_Nkossa!CA_gross_prod_gas)/HM_ZA_Nkossa!CA_gross_prod_Total),0)</f>
        <v>0</v>
      </c>
      <c r="AN554" s="49">
        <f ca="1">IFERROR((AN527)/((HM_ZA_Nkossa!CA_FP_oil_nom*HM_ZA_Nkossa!CA_gross_prod_oil+CA_FP_lpg_nom*CA_gross_prod_lpg+HM_ZA_Nkossa!CA_FP_gas_nom*HM_ZA_Nkossa!CA_gross_prod_gas)/HM_ZA_Nkossa!CA_gross_prod_Total),0)</f>
        <v>0</v>
      </c>
      <c r="AO554" s="49">
        <f ca="1">IFERROR((AO527)/((HM_ZA_Nkossa!CA_FP_oil_nom*HM_ZA_Nkossa!CA_gross_prod_oil+CA_FP_lpg_nom*CA_gross_prod_lpg+HM_ZA_Nkossa!CA_FP_gas_nom*HM_ZA_Nkossa!CA_gross_prod_gas)/HM_ZA_Nkossa!CA_gross_prod_Total),0)</f>
        <v>0</v>
      </c>
      <c r="AP554" s="49">
        <f ca="1">IFERROR((AP527)/((HM_ZA_Nkossa!CA_FP_oil_nom*HM_ZA_Nkossa!CA_gross_prod_oil+CA_FP_lpg_nom*CA_gross_prod_lpg+HM_ZA_Nkossa!CA_FP_gas_nom*HM_ZA_Nkossa!CA_gross_prod_gas)/HM_ZA_Nkossa!CA_gross_prod_Total),0)</f>
        <v>0</v>
      </c>
      <c r="AQ554" s="49">
        <f ca="1">IFERROR((AQ527)/((HM_ZA_Nkossa!CA_FP_oil_nom*HM_ZA_Nkossa!CA_gross_prod_oil+CA_FP_lpg_nom*CA_gross_prod_lpg+HM_ZA_Nkossa!CA_FP_gas_nom*HM_ZA_Nkossa!CA_gross_prod_gas)/HM_ZA_Nkossa!CA_gross_prod_Total),0)</f>
        <v>0</v>
      </c>
      <c r="AR554" s="49">
        <f ca="1">IFERROR((AR527)/((HM_ZA_Nkossa!CA_FP_oil_nom*HM_ZA_Nkossa!CA_gross_prod_oil+CA_FP_lpg_nom*CA_gross_prod_lpg+HM_ZA_Nkossa!CA_FP_gas_nom*HM_ZA_Nkossa!CA_gross_prod_gas)/HM_ZA_Nkossa!CA_gross_prod_Total),0)</f>
        <v>0</v>
      </c>
      <c r="AS554" s="49">
        <f ca="1">IFERROR((AS527)/((HM_ZA_Nkossa!CA_FP_oil_nom*HM_ZA_Nkossa!CA_gross_prod_oil+CA_FP_lpg_nom*CA_gross_prod_lpg+HM_ZA_Nkossa!CA_FP_gas_nom*HM_ZA_Nkossa!CA_gross_prod_gas)/HM_ZA_Nkossa!CA_gross_prod_Total),0)</f>
        <v>0</v>
      </c>
      <c r="AT554" s="49">
        <f ca="1">IFERROR((AT527)/((HM_ZA_Nkossa!CA_FP_oil_nom*HM_ZA_Nkossa!CA_gross_prod_oil+CA_FP_lpg_nom*CA_gross_prod_lpg+HM_ZA_Nkossa!CA_FP_gas_nom*HM_ZA_Nkossa!CA_gross_prod_gas)/HM_ZA_Nkossa!CA_gross_prod_Total),0)</f>
        <v>0</v>
      </c>
      <c r="AU554" s="49">
        <f ca="1">IFERROR((AU527)/((HM_ZA_Nkossa!CA_FP_oil_nom*HM_ZA_Nkossa!CA_gross_prod_oil+CA_FP_lpg_nom*CA_gross_prod_lpg+HM_ZA_Nkossa!CA_FP_gas_nom*HM_ZA_Nkossa!CA_gross_prod_gas)/HM_ZA_Nkossa!CA_gross_prod_Total),0)</f>
        <v>0</v>
      </c>
      <c r="AV554" s="49">
        <f ca="1">IFERROR((AV527)/((HM_ZA_Nkossa!CA_FP_oil_nom*HM_ZA_Nkossa!CA_gross_prod_oil+CA_FP_lpg_nom*CA_gross_prod_lpg+HM_ZA_Nkossa!CA_FP_gas_nom*HM_ZA_Nkossa!CA_gross_prod_gas)/HM_ZA_Nkossa!CA_gross_prod_Total),0)</f>
        <v>0</v>
      </c>
      <c r="AW554" s="49">
        <f ca="1">IFERROR((AW527)/((HM_ZA_Nkossa!CA_FP_oil_nom*HM_ZA_Nkossa!CA_gross_prod_oil+CA_FP_lpg_nom*CA_gross_prod_lpg+HM_ZA_Nkossa!CA_FP_gas_nom*HM_ZA_Nkossa!CA_gross_prod_gas)/HM_ZA_Nkossa!CA_gross_prod_Total),0)</f>
        <v>0</v>
      </c>
      <c r="AX554" s="49">
        <f ca="1">IFERROR((AX527)/((HM_ZA_Nkossa!CA_FP_oil_nom*HM_ZA_Nkossa!CA_gross_prod_oil+CA_FP_lpg_nom*CA_gross_prod_lpg+HM_ZA_Nkossa!CA_FP_gas_nom*HM_ZA_Nkossa!CA_gross_prod_gas)/HM_ZA_Nkossa!CA_gross_prod_Total),0)</f>
        <v>0</v>
      </c>
      <c r="AY554" s="49">
        <f ca="1">IFERROR((AY527)/((HM_ZA_Nkossa!CA_FP_oil_nom*HM_ZA_Nkossa!CA_gross_prod_oil+CA_FP_lpg_nom*CA_gross_prod_lpg+HM_ZA_Nkossa!CA_FP_gas_nom*HM_ZA_Nkossa!CA_gross_prod_gas)/HM_ZA_Nkossa!CA_gross_prod_Total),0)</f>
        <v>0</v>
      </c>
      <c r="AZ554" s="49">
        <f ca="1">IFERROR((AZ527)/((HM_ZA_Nkossa!CA_FP_oil_nom*HM_ZA_Nkossa!CA_gross_prod_oil+CA_FP_lpg_nom*CA_gross_prod_lpg+HM_ZA_Nkossa!CA_FP_gas_nom*HM_ZA_Nkossa!CA_gross_prod_gas)/HM_ZA_Nkossa!CA_gross_prod_Total),0)</f>
        <v>0</v>
      </c>
      <c r="BA554" s="49">
        <f ca="1">IFERROR((BA527)/((HM_ZA_Nkossa!CA_FP_oil_nom*HM_ZA_Nkossa!CA_gross_prod_oil+CA_FP_lpg_nom*CA_gross_prod_lpg+HM_ZA_Nkossa!CA_FP_gas_nom*HM_ZA_Nkossa!CA_gross_prod_gas)/HM_ZA_Nkossa!CA_gross_prod_Total),0)</f>
        <v>0</v>
      </c>
      <c r="BB554" s="49">
        <f ca="1">IFERROR((BB527)/((HM_ZA_Nkossa!CA_FP_oil_nom*HM_ZA_Nkossa!CA_gross_prod_oil+CA_FP_lpg_nom*CA_gross_prod_lpg+HM_ZA_Nkossa!CA_FP_gas_nom*HM_ZA_Nkossa!CA_gross_prod_gas)/HM_ZA_Nkossa!CA_gross_prod_Total),0)</f>
        <v>0</v>
      </c>
      <c r="BC554" s="49">
        <f ca="1">IFERROR((BC527)/((HM_ZA_Nkossa!CA_FP_oil_nom*HM_ZA_Nkossa!CA_gross_prod_oil+CA_FP_lpg_nom*CA_gross_prod_lpg+HM_ZA_Nkossa!CA_FP_gas_nom*HM_ZA_Nkossa!CA_gross_prod_gas)/HM_ZA_Nkossa!CA_gross_prod_Total),0)</f>
        <v>0</v>
      </c>
      <c r="BD554" s="49">
        <f ca="1">IFERROR((BD527)/((HM_ZA_Nkossa!CA_FP_oil_nom*HM_ZA_Nkossa!CA_gross_prod_oil+CA_FP_lpg_nom*CA_gross_prod_lpg+HM_ZA_Nkossa!CA_FP_gas_nom*HM_ZA_Nkossa!CA_gross_prod_gas)/HM_ZA_Nkossa!CA_gross_prod_Total),0)</f>
        <v>0</v>
      </c>
      <c r="BE554" s="49">
        <f ca="1">IFERROR((BE527)/((HM_ZA_Nkossa!CA_FP_oil_nom*HM_ZA_Nkossa!CA_gross_prod_oil+CA_FP_lpg_nom*CA_gross_prod_lpg+HM_ZA_Nkossa!CA_FP_gas_nom*HM_ZA_Nkossa!CA_gross_prod_gas)/HM_ZA_Nkossa!CA_gross_prod_Total),0)</f>
        <v>0</v>
      </c>
      <c r="BF554" s="49">
        <f ca="1">IFERROR((BF527)/((HM_ZA_Nkossa!CA_FP_oil_nom*HM_ZA_Nkossa!CA_gross_prod_oil+CA_FP_lpg_nom*CA_gross_prod_lpg+HM_ZA_Nkossa!CA_FP_gas_nom*HM_ZA_Nkossa!CA_gross_prod_gas)/HM_ZA_Nkossa!CA_gross_prod_Total),0)</f>
        <v>0</v>
      </c>
      <c r="BG554" s="49">
        <f ca="1">IFERROR((BG527)/((HM_ZA_Nkossa!CA_FP_oil_nom*HM_ZA_Nkossa!CA_gross_prod_oil+CA_FP_lpg_nom*CA_gross_prod_lpg+HM_ZA_Nkossa!CA_FP_gas_nom*HM_ZA_Nkossa!CA_gross_prod_gas)/HM_ZA_Nkossa!CA_gross_prod_Total),0)</f>
        <v>0</v>
      </c>
      <c r="BH554" s="49">
        <f ca="1">IFERROR((BH527)/((HM_ZA_Nkossa!CA_FP_oil_nom*HM_ZA_Nkossa!CA_gross_prod_oil+CA_FP_lpg_nom*CA_gross_prod_lpg+HM_ZA_Nkossa!CA_FP_gas_nom*HM_ZA_Nkossa!CA_gross_prod_gas)/HM_ZA_Nkossa!CA_gross_prod_Total),0)</f>
        <v>0</v>
      </c>
      <c r="BI554" s="49">
        <f ca="1">IFERROR((BI527)/((HM_ZA_Nkossa!CA_FP_oil_nom*HM_ZA_Nkossa!CA_gross_prod_oil+CA_FP_lpg_nom*CA_gross_prod_lpg+HM_ZA_Nkossa!CA_FP_gas_nom*HM_ZA_Nkossa!CA_gross_prod_gas)/HM_ZA_Nkossa!CA_gross_prod_Total),0)</f>
        <v>0</v>
      </c>
      <c r="BJ554" s="49">
        <f ca="1">IFERROR((BJ527)/((HM_ZA_Nkossa!CA_FP_oil_nom*HM_ZA_Nkossa!CA_gross_prod_oil+CA_FP_lpg_nom*CA_gross_prod_lpg+HM_ZA_Nkossa!CA_FP_gas_nom*HM_ZA_Nkossa!CA_gross_prod_gas)/HM_ZA_Nkossa!CA_gross_prod_Total),0)</f>
        <v>0</v>
      </c>
      <c r="BK554" s="49">
        <f ca="1">IFERROR((BK527)/((HM_ZA_Nkossa!CA_FP_oil_nom*HM_ZA_Nkossa!CA_gross_prod_oil+CA_FP_lpg_nom*CA_gross_prod_lpg+HM_ZA_Nkossa!CA_FP_gas_nom*HM_ZA_Nkossa!CA_gross_prod_gas)/HM_ZA_Nkossa!CA_gross_prod_Total),0)</f>
        <v>0</v>
      </c>
      <c r="BL554" s="49">
        <f ca="1">IFERROR((BL527)/((HM_ZA_Nkossa!CA_FP_oil_nom*HM_ZA_Nkossa!CA_gross_prod_oil+CA_FP_lpg_nom*CA_gross_prod_lpg+HM_ZA_Nkossa!CA_FP_gas_nom*HM_ZA_Nkossa!CA_gross_prod_gas)/HM_ZA_Nkossa!CA_gross_prod_Total),0)</f>
        <v>0</v>
      </c>
      <c r="BM554" s="49">
        <f ca="1">IFERROR((BM527)/((HM_ZA_Nkossa!CA_FP_oil_nom*HM_ZA_Nkossa!CA_gross_prod_oil+CA_FP_lpg_nom*CA_gross_prod_lpg+HM_ZA_Nkossa!CA_FP_gas_nom*HM_ZA_Nkossa!CA_gross_prod_gas)/HM_ZA_Nkossa!CA_gross_prod_Total),0)</f>
        <v>0</v>
      </c>
      <c r="BN554" s="49">
        <f ca="1">IFERROR((BN527)/((HM_ZA_Nkossa!CA_FP_oil_nom*HM_ZA_Nkossa!CA_gross_prod_oil+CA_FP_lpg_nom*CA_gross_prod_lpg+HM_ZA_Nkossa!CA_FP_gas_nom*HM_ZA_Nkossa!CA_gross_prod_gas)/HM_ZA_Nkossa!CA_gross_prod_Total),0)</f>
        <v>0</v>
      </c>
      <c r="BO554" s="49">
        <f ca="1">IFERROR((BO527)/((HM_ZA_Nkossa!CA_FP_oil_nom*HM_ZA_Nkossa!CA_gross_prod_oil+CA_FP_lpg_nom*CA_gross_prod_lpg+HM_ZA_Nkossa!CA_FP_gas_nom*HM_ZA_Nkossa!CA_gross_prod_gas)/HM_ZA_Nkossa!CA_gross_prod_Total),0)</f>
        <v>0</v>
      </c>
      <c r="BP554" s="49">
        <f ca="1">IFERROR((BP527)/((HM_ZA_Nkossa!CA_FP_oil_nom*HM_ZA_Nkossa!CA_gross_prod_oil+CA_FP_lpg_nom*CA_gross_prod_lpg+HM_ZA_Nkossa!CA_FP_gas_nom*HM_ZA_Nkossa!CA_gross_prod_gas)/HM_ZA_Nkossa!CA_gross_prod_Total),0)</f>
        <v>0</v>
      </c>
      <c r="BQ554" s="49">
        <f ca="1">IFERROR((BQ527)/((HM_ZA_Nkossa!CA_FP_oil_nom*HM_ZA_Nkossa!CA_gross_prod_oil+CA_FP_lpg_nom*CA_gross_prod_lpg+HM_ZA_Nkossa!CA_FP_gas_nom*HM_ZA_Nkossa!CA_gross_prod_gas)/HM_ZA_Nkossa!CA_gross_prod_Total),0)</f>
        <v>0</v>
      </c>
      <c r="BR554" s="49">
        <f ca="1">IFERROR((BR527)/((HM_ZA_Nkossa!CA_FP_oil_nom*HM_ZA_Nkossa!CA_gross_prod_oil+CA_FP_lpg_nom*CA_gross_prod_lpg+HM_ZA_Nkossa!CA_FP_gas_nom*HM_ZA_Nkossa!CA_gross_prod_gas)/HM_ZA_Nkossa!CA_gross_prod_Total),0)</f>
        <v>0</v>
      </c>
      <c r="BS554" s="49">
        <f ca="1">IFERROR((BS527)/((HM_ZA_Nkossa!CA_FP_oil_nom*HM_ZA_Nkossa!CA_gross_prod_oil+CA_FP_lpg_nom*CA_gross_prod_lpg+HM_ZA_Nkossa!CA_FP_gas_nom*HM_ZA_Nkossa!CA_gross_prod_gas)/HM_ZA_Nkossa!CA_gross_prod_Total),0)</f>
        <v>0</v>
      </c>
    </row>
    <row r="555" spans="3:71" outlineLevel="1" x14ac:dyDescent="0.2">
      <c r="J555" s="26"/>
      <c r="L555" s="55"/>
      <c r="M555" s="55"/>
      <c r="N555" s="55"/>
      <c r="O555" s="55"/>
      <c r="P555" s="55"/>
      <c r="Q555" s="55"/>
      <c r="R555" s="55"/>
      <c r="S555" s="55"/>
      <c r="T555" s="55"/>
      <c r="U555" s="55"/>
      <c r="V555" s="55"/>
      <c r="W555" s="55"/>
      <c r="X555" s="55"/>
      <c r="Y555" s="55"/>
      <c r="Z555" s="55"/>
      <c r="AA555" s="55"/>
      <c r="AB555" s="55"/>
      <c r="AC555" s="55"/>
      <c r="AD555" s="55"/>
      <c r="AE555" s="55"/>
      <c r="AF555" s="55"/>
      <c r="AG555" s="55"/>
      <c r="AH555" s="55"/>
      <c r="AI555" s="55"/>
      <c r="AJ555" s="55"/>
      <c r="AK555" s="55"/>
      <c r="AL555" s="55"/>
      <c r="AM555" s="55"/>
      <c r="AN555" s="55"/>
      <c r="AO555" s="55"/>
      <c r="AP555" s="55"/>
      <c r="AQ555" s="55"/>
      <c r="AR555" s="55"/>
      <c r="AS555" s="55"/>
      <c r="AT555" s="55"/>
      <c r="AU555" s="55"/>
      <c r="AV555" s="55"/>
      <c r="AW555" s="55"/>
      <c r="AX555" s="55"/>
      <c r="AY555" s="55"/>
      <c r="AZ555" s="55"/>
      <c r="BA555" s="55"/>
      <c r="BB555" s="55"/>
      <c r="BC555" s="55"/>
      <c r="BD555" s="55"/>
      <c r="BE555" s="55"/>
      <c r="BF555" s="55"/>
      <c r="BG555" s="55"/>
      <c r="BH555" s="55"/>
      <c r="BI555" s="55"/>
      <c r="BJ555" s="55"/>
      <c r="BK555" s="55"/>
      <c r="BL555" s="55"/>
      <c r="BM555" s="55"/>
      <c r="BN555" s="55"/>
      <c r="BO555" s="55"/>
      <c r="BP555" s="55"/>
      <c r="BQ555" s="55"/>
      <c r="BR555" s="55"/>
      <c r="BS555" s="55"/>
    </row>
    <row r="556" spans="3:71" outlineLevel="1" x14ac:dyDescent="0.2">
      <c r="J556" s="26"/>
      <c r="L556" s="55"/>
      <c r="M556" s="55"/>
      <c r="N556" s="55"/>
      <c r="O556" s="55"/>
      <c r="P556" s="55"/>
      <c r="Q556" s="55"/>
      <c r="R556" s="55"/>
      <c r="S556" s="55"/>
      <c r="T556" s="55"/>
      <c r="U556" s="55"/>
      <c r="V556" s="55"/>
      <c r="W556" s="55"/>
      <c r="X556" s="55"/>
      <c r="Y556" s="55"/>
      <c r="Z556" s="55"/>
      <c r="AA556" s="55"/>
      <c r="AB556" s="55"/>
      <c r="AC556" s="55"/>
      <c r="AD556" s="55"/>
      <c r="AE556" s="55"/>
      <c r="AF556" s="55"/>
      <c r="AG556" s="55"/>
      <c r="AH556" s="55"/>
      <c r="AI556" s="55"/>
      <c r="AJ556" s="55"/>
      <c r="AK556" s="55"/>
      <c r="AL556" s="55"/>
      <c r="AM556" s="55"/>
      <c r="AN556" s="55"/>
      <c r="AO556" s="55"/>
      <c r="AP556" s="55"/>
      <c r="AQ556" s="55"/>
      <c r="AR556" s="55"/>
      <c r="AS556" s="55"/>
      <c r="AT556" s="55"/>
      <c r="AU556" s="55"/>
      <c r="AV556" s="55"/>
      <c r="AW556" s="55"/>
      <c r="AX556" s="55"/>
      <c r="AY556" s="55"/>
      <c r="AZ556" s="55"/>
      <c r="BA556" s="55"/>
      <c r="BB556" s="55"/>
      <c r="BC556" s="55"/>
      <c r="BD556" s="55"/>
      <c r="BE556" s="55"/>
      <c r="BF556" s="55"/>
      <c r="BG556" s="55"/>
      <c r="BH556" s="55"/>
      <c r="BI556" s="55"/>
      <c r="BJ556" s="55"/>
      <c r="BK556" s="55"/>
      <c r="BL556" s="55"/>
      <c r="BM556" s="55"/>
      <c r="BN556" s="55"/>
      <c r="BO556" s="55"/>
      <c r="BP556" s="55"/>
      <c r="BQ556" s="55"/>
      <c r="BR556" s="55"/>
      <c r="BS556" s="55"/>
    </row>
    <row r="557" spans="3:71" outlineLevel="1" x14ac:dyDescent="0.2">
      <c r="D557" t="str">
        <f>CHOOSE(db_ML_selected,'Liste Traduction'!B425,'Liste Traduction'!C425)</f>
        <v>Cost Oil Contracteur</v>
      </c>
      <c r="I557" s="30">
        <f t="shared" ref="I557:I562" ca="1" si="152">SUM($L557:$BS557)</f>
        <v>37.156811272927847</v>
      </c>
      <c r="J557" s="26" t="s">
        <v>692</v>
      </c>
      <c r="L557" s="49">
        <f ca="1">IFERROR((L316)/((HM_ZA_Nkossa!CA_FP_oil_nom*HM_ZA_Nkossa!CA_gross_prod_oil+CA_FP_lpg_nom*CA_gross_prod_lpg+HM_ZA_Nkossa!CA_FP_gas_nom*HM_ZA_Nkossa!CA_gross_prod_gas)/HM_ZA_Nkossa!CA_gross_prod_Total),0)</f>
        <v>1.3471628381458081</v>
      </c>
      <c r="M557" s="49">
        <f ca="1">IFERROR((M316)/((HM_ZA_Nkossa!CA_FP_oil_nom*HM_ZA_Nkossa!CA_gross_prod_oil+CA_FP_lpg_nom*CA_gross_prod_lpg+HM_ZA_Nkossa!CA_FP_gas_nom*HM_ZA_Nkossa!CA_gross_prod_gas)/HM_ZA_Nkossa!CA_gross_prod_Total),0)</f>
        <v>1.9051246266174435</v>
      </c>
      <c r="N557" s="49">
        <f ca="1">IFERROR((N316)/((HM_ZA_Nkossa!CA_FP_oil_nom*HM_ZA_Nkossa!CA_gross_prod_oil+CA_FP_lpg_nom*CA_gross_prod_lpg+HM_ZA_Nkossa!CA_FP_gas_nom*HM_ZA_Nkossa!CA_gross_prod_gas)/HM_ZA_Nkossa!CA_gross_prod_Total),0)</f>
        <v>3.2525266459004887</v>
      </c>
      <c r="O557" s="49">
        <f ca="1">IFERROR((O316)/((HM_ZA_Nkossa!CA_FP_oil_nom*HM_ZA_Nkossa!CA_gross_prod_oil+CA_FP_lpg_nom*CA_gross_prod_lpg+HM_ZA_Nkossa!CA_FP_gas_nom*HM_ZA_Nkossa!CA_gross_prod_gas)/HM_ZA_Nkossa!CA_gross_prod_Total),0)</f>
        <v>4.0542662343129194</v>
      </c>
      <c r="P557" s="49">
        <f ca="1">IFERROR((P316)/((HM_ZA_Nkossa!CA_FP_oil_nom*HM_ZA_Nkossa!CA_gross_prod_oil+CA_FP_lpg_nom*CA_gross_prod_lpg+HM_ZA_Nkossa!CA_FP_gas_nom*HM_ZA_Nkossa!CA_gross_prod_gas)/HM_ZA_Nkossa!CA_gross_prod_Total),0)</f>
        <v>4.7861357409190797</v>
      </c>
      <c r="Q557" s="49">
        <f ca="1">IFERROR((Q316)/((HM_ZA_Nkossa!CA_FP_oil_nom*HM_ZA_Nkossa!CA_gross_prod_oil+CA_FP_lpg_nom*CA_gross_prod_lpg+HM_ZA_Nkossa!CA_FP_gas_nom*HM_ZA_Nkossa!CA_gross_prod_gas)/HM_ZA_Nkossa!CA_gross_prod_Total),0)</f>
        <v>3.6834162331437326</v>
      </c>
      <c r="R557" s="49">
        <f ca="1">IFERROR((R316)/((HM_ZA_Nkossa!CA_FP_oil_nom*HM_ZA_Nkossa!CA_gross_prod_oil+CA_FP_lpg_nom*CA_gross_prod_lpg+HM_ZA_Nkossa!CA_FP_gas_nom*HM_ZA_Nkossa!CA_gross_prod_gas)/HM_ZA_Nkossa!CA_gross_prod_Total),0)</f>
        <v>4.2227692701279302</v>
      </c>
      <c r="S557" s="49">
        <f ca="1">IFERROR((S316)/((HM_ZA_Nkossa!CA_FP_oil_nom*HM_ZA_Nkossa!CA_gross_prod_oil+CA_FP_lpg_nom*CA_gross_prod_lpg+HM_ZA_Nkossa!CA_FP_gas_nom*HM_ZA_Nkossa!CA_gross_prod_gas)/HM_ZA_Nkossa!CA_gross_prod_Total),0)</f>
        <v>2.7573699999999999</v>
      </c>
      <c r="T557" s="49">
        <f ca="1">IFERROR((T316)/((HM_ZA_Nkossa!CA_FP_oil_nom*HM_ZA_Nkossa!CA_gross_prod_oil+CA_FP_lpg_nom*CA_gross_prod_lpg+HM_ZA_Nkossa!CA_FP_gas_nom*HM_ZA_Nkossa!CA_gross_prod_gas)/HM_ZA_Nkossa!CA_gross_prod_Total),0)</f>
        <v>2.5643541000000001</v>
      </c>
      <c r="U557" s="49">
        <f ca="1">IFERROR((U316)/((HM_ZA_Nkossa!CA_FP_oil_nom*HM_ZA_Nkossa!CA_gross_prod_oil+CA_FP_lpg_nom*CA_gross_prod_lpg+HM_ZA_Nkossa!CA_FP_gas_nom*HM_ZA_Nkossa!CA_gross_prod_gas)/HM_ZA_Nkossa!CA_gross_prod_Total),0)</f>
        <v>2.3848493129999997</v>
      </c>
      <c r="V557" s="49">
        <f ca="1">IFERROR((V316)/((HM_ZA_Nkossa!CA_FP_oil_nom*HM_ZA_Nkossa!CA_gross_prod_oil+CA_FP_lpg_nom*CA_gross_prod_lpg+HM_ZA_Nkossa!CA_FP_gas_nom*HM_ZA_Nkossa!CA_gross_prod_gas)/HM_ZA_Nkossa!CA_gross_prod_Total),0)</f>
        <v>2.2179098610899994</v>
      </c>
      <c r="W557" s="49">
        <f ca="1">IFERROR((W316)/((HM_ZA_Nkossa!CA_FP_oil_nom*HM_ZA_Nkossa!CA_gross_prod_oil+CA_FP_lpg_nom*CA_gross_prod_lpg+HM_ZA_Nkossa!CA_FP_gas_nom*HM_ZA_Nkossa!CA_gross_prod_gas)/HM_ZA_Nkossa!CA_gross_prod_Total),0)</f>
        <v>2.0626561708136997</v>
      </c>
      <c r="X557" s="49">
        <f ca="1">IFERROR((X316)/((HM_ZA_Nkossa!CA_FP_oil_nom*HM_ZA_Nkossa!CA_gross_prod_oil+CA_FP_lpg_nom*CA_gross_prod_lpg+HM_ZA_Nkossa!CA_FP_gas_nom*HM_ZA_Nkossa!CA_gross_prod_gas)/HM_ZA_Nkossa!CA_gross_prod_Total),0)</f>
        <v>1.9182702388567405</v>
      </c>
      <c r="Y557" s="49">
        <f ca="1">IFERROR((Y316)/((HM_ZA_Nkossa!CA_FP_oil_nom*HM_ZA_Nkossa!CA_gross_prod_oil+CA_FP_lpg_nom*CA_gross_prod_lpg+HM_ZA_Nkossa!CA_FP_gas_nom*HM_ZA_Nkossa!CA_gross_prod_gas)/HM_ZA_Nkossa!CA_gross_prod_Total),0)</f>
        <v>0</v>
      </c>
      <c r="Z557" s="49">
        <f ca="1">IFERROR((Z316)/((HM_ZA_Nkossa!CA_FP_oil_nom*HM_ZA_Nkossa!CA_gross_prod_oil+CA_FP_lpg_nom*CA_gross_prod_lpg+HM_ZA_Nkossa!CA_FP_gas_nom*HM_ZA_Nkossa!CA_gross_prod_gas)/HM_ZA_Nkossa!CA_gross_prod_Total),0)</f>
        <v>0</v>
      </c>
      <c r="AA557" s="49">
        <f ca="1">IFERROR((AA316)/((HM_ZA_Nkossa!CA_FP_oil_nom*HM_ZA_Nkossa!CA_gross_prod_oil+CA_FP_lpg_nom*CA_gross_prod_lpg+HM_ZA_Nkossa!CA_FP_gas_nom*HM_ZA_Nkossa!CA_gross_prod_gas)/HM_ZA_Nkossa!CA_gross_prod_Total),0)</f>
        <v>0</v>
      </c>
      <c r="AB557" s="49">
        <f ca="1">IFERROR((AB316)/((HM_ZA_Nkossa!CA_FP_oil_nom*HM_ZA_Nkossa!CA_gross_prod_oil+CA_FP_lpg_nom*CA_gross_prod_lpg+HM_ZA_Nkossa!CA_FP_gas_nom*HM_ZA_Nkossa!CA_gross_prod_gas)/HM_ZA_Nkossa!CA_gross_prod_Total),0)</f>
        <v>0</v>
      </c>
      <c r="AC557" s="49">
        <f ca="1">IFERROR((AC316)/((HM_ZA_Nkossa!CA_FP_oil_nom*HM_ZA_Nkossa!CA_gross_prod_oil+CA_FP_lpg_nom*CA_gross_prod_lpg+HM_ZA_Nkossa!CA_FP_gas_nom*HM_ZA_Nkossa!CA_gross_prod_gas)/HM_ZA_Nkossa!CA_gross_prod_Total),0)</f>
        <v>0</v>
      </c>
      <c r="AD557" s="49">
        <f ca="1">IFERROR((AD316)/((HM_ZA_Nkossa!CA_FP_oil_nom*HM_ZA_Nkossa!CA_gross_prod_oil+CA_FP_lpg_nom*CA_gross_prod_lpg+HM_ZA_Nkossa!CA_FP_gas_nom*HM_ZA_Nkossa!CA_gross_prod_gas)/HM_ZA_Nkossa!CA_gross_prod_Total),0)</f>
        <v>0</v>
      </c>
      <c r="AE557" s="49">
        <f ca="1">IFERROR((AE316)/((HM_ZA_Nkossa!CA_FP_oil_nom*HM_ZA_Nkossa!CA_gross_prod_oil+CA_FP_lpg_nom*CA_gross_prod_lpg+HM_ZA_Nkossa!CA_FP_gas_nom*HM_ZA_Nkossa!CA_gross_prod_gas)/HM_ZA_Nkossa!CA_gross_prod_Total),0)</f>
        <v>0</v>
      </c>
      <c r="AF557" s="49">
        <f ca="1">IFERROR((AF316)/((HM_ZA_Nkossa!CA_FP_oil_nom*HM_ZA_Nkossa!CA_gross_prod_oil+CA_FP_lpg_nom*CA_gross_prod_lpg+HM_ZA_Nkossa!CA_FP_gas_nom*HM_ZA_Nkossa!CA_gross_prod_gas)/HM_ZA_Nkossa!CA_gross_prod_Total),0)</f>
        <v>0</v>
      </c>
      <c r="AG557" s="49">
        <f ca="1">IFERROR((AG316)/((HM_ZA_Nkossa!CA_FP_oil_nom*HM_ZA_Nkossa!CA_gross_prod_oil+CA_FP_lpg_nom*CA_gross_prod_lpg+HM_ZA_Nkossa!CA_FP_gas_nom*HM_ZA_Nkossa!CA_gross_prod_gas)/HM_ZA_Nkossa!CA_gross_prod_Total),0)</f>
        <v>0</v>
      </c>
      <c r="AH557" s="49">
        <f ca="1">IFERROR((AH316)/((HM_ZA_Nkossa!CA_FP_oil_nom*HM_ZA_Nkossa!CA_gross_prod_oil+CA_FP_lpg_nom*CA_gross_prod_lpg+HM_ZA_Nkossa!CA_FP_gas_nom*HM_ZA_Nkossa!CA_gross_prod_gas)/HM_ZA_Nkossa!CA_gross_prod_Total),0)</f>
        <v>0</v>
      </c>
      <c r="AI557" s="49">
        <f ca="1">IFERROR((AI316)/((HM_ZA_Nkossa!CA_FP_oil_nom*HM_ZA_Nkossa!CA_gross_prod_oil+CA_FP_lpg_nom*CA_gross_prod_lpg+HM_ZA_Nkossa!CA_FP_gas_nom*HM_ZA_Nkossa!CA_gross_prod_gas)/HM_ZA_Nkossa!CA_gross_prod_Total),0)</f>
        <v>0</v>
      </c>
      <c r="AJ557" s="49">
        <f ca="1">IFERROR((AJ316)/((HM_ZA_Nkossa!CA_FP_oil_nom*HM_ZA_Nkossa!CA_gross_prod_oil+CA_FP_lpg_nom*CA_gross_prod_lpg+HM_ZA_Nkossa!CA_FP_gas_nom*HM_ZA_Nkossa!CA_gross_prod_gas)/HM_ZA_Nkossa!CA_gross_prod_Total),0)</f>
        <v>0</v>
      </c>
      <c r="AK557" s="49">
        <f ca="1">IFERROR((AK316)/((HM_ZA_Nkossa!CA_FP_oil_nom*HM_ZA_Nkossa!CA_gross_prod_oil+CA_FP_lpg_nom*CA_gross_prod_lpg+HM_ZA_Nkossa!CA_FP_gas_nom*HM_ZA_Nkossa!CA_gross_prod_gas)/HM_ZA_Nkossa!CA_gross_prod_Total),0)</f>
        <v>0</v>
      </c>
      <c r="AL557" s="49">
        <f ca="1">IFERROR((AL316)/((HM_ZA_Nkossa!CA_FP_oil_nom*HM_ZA_Nkossa!CA_gross_prod_oil+CA_FP_lpg_nom*CA_gross_prod_lpg+HM_ZA_Nkossa!CA_FP_gas_nom*HM_ZA_Nkossa!CA_gross_prod_gas)/HM_ZA_Nkossa!CA_gross_prod_Total),0)</f>
        <v>0</v>
      </c>
      <c r="AM557" s="49">
        <f ca="1">IFERROR((AM316)/((HM_ZA_Nkossa!CA_FP_oil_nom*HM_ZA_Nkossa!CA_gross_prod_oil+CA_FP_lpg_nom*CA_gross_prod_lpg+HM_ZA_Nkossa!CA_FP_gas_nom*HM_ZA_Nkossa!CA_gross_prod_gas)/HM_ZA_Nkossa!CA_gross_prod_Total),0)</f>
        <v>0</v>
      </c>
      <c r="AN557" s="49">
        <f ca="1">IFERROR((AN316)/((HM_ZA_Nkossa!CA_FP_oil_nom*HM_ZA_Nkossa!CA_gross_prod_oil+CA_FP_lpg_nom*CA_gross_prod_lpg+HM_ZA_Nkossa!CA_FP_gas_nom*HM_ZA_Nkossa!CA_gross_prod_gas)/HM_ZA_Nkossa!CA_gross_prod_Total),0)</f>
        <v>0</v>
      </c>
      <c r="AO557" s="49">
        <f ca="1">IFERROR((AO316)/((HM_ZA_Nkossa!CA_FP_oil_nom*HM_ZA_Nkossa!CA_gross_prod_oil+CA_FP_lpg_nom*CA_gross_prod_lpg+HM_ZA_Nkossa!CA_FP_gas_nom*HM_ZA_Nkossa!CA_gross_prod_gas)/HM_ZA_Nkossa!CA_gross_prod_Total),0)</f>
        <v>0</v>
      </c>
      <c r="AP557" s="49">
        <f ca="1">IFERROR((AP316)/((HM_ZA_Nkossa!CA_FP_oil_nom*HM_ZA_Nkossa!CA_gross_prod_oil+CA_FP_lpg_nom*CA_gross_prod_lpg+HM_ZA_Nkossa!CA_FP_gas_nom*HM_ZA_Nkossa!CA_gross_prod_gas)/HM_ZA_Nkossa!CA_gross_prod_Total),0)</f>
        <v>0</v>
      </c>
      <c r="AQ557" s="49">
        <f ca="1">IFERROR((AQ316)/((HM_ZA_Nkossa!CA_FP_oil_nom*HM_ZA_Nkossa!CA_gross_prod_oil+CA_FP_lpg_nom*CA_gross_prod_lpg+HM_ZA_Nkossa!CA_FP_gas_nom*HM_ZA_Nkossa!CA_gross_prod_gas)/HM_ZA_Nkossa!CA_gross_prod_Total),0)</f>
        <v>0</v>
      </c>
      <c r="AR557" s="49">
        <f ca="1">IFERROR((AR316)/((HM_ZA_Nkossa!CA_FP_oil_nom*HM_ZA_Nkossa!CA_gross_prod_oil+CA_FP_lpg_nom*CA_gross_prod_lpg+HM_ZA_Nkossa!CA_FP_gas_nom*HM_ZA_Nkossa!CA_gross_prod_gas)/HM_ZA_Nkossa!CA_gross_prod_Total),0)</f>
        <v>0</v>
      </c>
      <c r="AS557" s="49">
        <f ca="1">IFERROR((AS316)/((HM_ZA_Nkossa!CA_FP_oil_nom*HM_ZA_Nkossa!CA_gross_prod_oil+CA_FP_lpg_nom*CA_gross_prod_lpg+HM_ZA_Nkossa!CA_FP_gas_nom*HM_ZA_Nkossa!CA_gross_prod_gas)/HM_ZA_Nkossa!CA_gross_prod_Total),0)</f>
        <v>0</v>
      </c>
      <c r="AT557" s="49">
        <f ca="1">IFERROR((AT316)/((HM_ZA_Nkossa!CA_FP_oil_nom*HM_ZA_Nkossa!CA_gross_prod_oil+CA_FP_lpg_nom*CA_gross_prod_lpg+HM_ZA_Nkossa!CA_FP_gas_nom*HM_ZA_Nkossa!CA_gross_prod_gas)/HM_ZA_Nkossa!CA_gross_prod_Total),0)</f>
        <v>0</v>
      </c>
      <c r="AU557" s="49">
        <f ca="1">IFERROR((AU316)/((HM_ZA_Nkossa!CA_FP_oil_nom*HM_ZA_Nkossa!CA_gross_prod_oil+CA_FP_lpg_nom*CA_gross_prod_lpg+HM_ZA_Nkossa!CA_FP_gas_nom*HM_ZA_Nkossa!CA_gross_prod_gas)/HM_ZA_Nkossa!CA_gross_prod_Total),0)</f>
        <v>0</v>
      </c>
      <c r="AV557" s="49">
        <f ca="1">IFERROR((AV316)/((HM_ZA_Nkossa!CA_FP_oil_nom*HM_ZA_Nkossa!CA_gross_prod_oil+CA_FP_lpg_nom*CA_gross_prod_lpg+HM_ZA_Nkossa!CA_FP_gas_nom*HM_ZA_Nkossa!CA_gross_prod_gas)/HM_ZA_Nkossa!CA_gross_prod_Total),0)</f>
        <v>0</v>
      </c>
      <c r="AW557" s="49">
        <f ca="1">IFERROR((AW316)/((HM_ZA_Nkossa!CA_FP_oil_nom*HM_ZA_Nkossa!CA_gross_prod_oil+CA_FP_lpg_nom*CA_gross_prod_lpg+HM_ZA_Nkossa!CA_FP_gas_nom*HM_ZA_Nkossa!CA_gross_prod_gas)/HM_ZA_Nkossa!CA_gross_prod_Total),0)</f>
        <v>0</v>
      </c>
      <c r="AX557" s="49">
        <f ca="1">IFERROR((AX316)/((HM_ZA_Nkossa!CA_FP_oil_nom*HM_ZA_Nkossa!CA_gross_prod_oil+CA_FP_lpg_nom*CA_gross_prod_lpg+HM_ZA_Nkossa!CA_FP_gas_nom*HM_ZA_Nkossa!CA_gross_prod_gas)/HM_ZA_Nkossa!CA_gross_prod_Total),0)</f>
        <v>0</v>
      </c>
      <c r="AY557" s="49">
        <f ca="1">IFERROR((AY316)/((HM_ZA_Nkossa!CA_FP_oil_nom*HM_ZA_Nkossa!CA_gross_prod_oil+CA_FP_lpg_nom*CA_gross_prod_lpg+HM_ZA_Nkossa!CA_FP_gas_nom*HM_ZA_Nkossa!CA_gross_prod_gas)/HM_ZA_Nkossa!CA_gross_prod_Total),0)</f>
        <v>0</v>
      </c>
      <c r="AZ557" s="49">
        <f ca="1">IFERROR((AZ316)/((HM_ZA_Nkossa!CA_FP_oil_nom*HM_ZA_Nkossa!CA_gross_prod_oil+CA_FP_lpg_nom*CA_gross_prod_lpg+HM_ZA_Nkossa!CA_FP_gas_nom*HM_ZA_Nkossa!CA_gross_prod_gas)/HM_ZA_Nkossa!CA_gross_prod_Total),0)</f>
        <v>0</v>
      </c>
      <c r="BA557" s="49">
        <f ca="1">IFERROR((BA316)/((HM_ZA_Nkossa!CA_FP_oil_nom*HM_ZA_Nkossa!CA_gross_prod_oil+CA_FP_lpg_nom*CA_gross_prod_lpg+HM_ZA_Nkossa!CA_FP_gas_nom*HM_ZA_Nkossa!CA_gross_prod_gas)/HM_ZA_Nkossa!CA_gross_prod_Total),0)</f>
        <v>0</v>
      </c>
      <c r="BB557" s="49">
        <f ca="1">IFERROR((BB316)/((HM_ZA_Nkossa!CA_FP_oil_nom*HM_ZA_Nkossa!CA_gross_prod_oil+CA_FP_lpg_nom*CA_gross_prod_lpg+HM_ZA_Nkossa!CA_FP_gas_nom*HM_ZA_Nkossa!CA_gross_prod_gas)/HM_ZA_Nkossa!CA_gross_prod_Total),0)</f>
        <v>0</v>
      </c>
      <c r="BC557" s="49">
        <f ca="1">IFERROR((BC316)/((HM_ZA_Nkossa!CA_FP_oil_nom*HM_ZA_Nkossa!CA_gross_prod_oil+CA_FP_lpg_nom*CA_gross_prod_lpg+HM_ZA_Nkossa!CA_FP_gas_nom*HM_ZA_Nkossa!CA_gross_prod_gas)/HM_ZA_Nkossa!CA_gross_prod_Total),0)</f>
        <v>0</v>
      </c>
      <c r="BD557" s="49">
        <f ca="1">IFERROR((BD316)/((HM_ZA_Nkossa!CA_FP_oil_nom*HM_ZA_Nkossa!CA_gross_prod_oil+CA_FP_lpg_nom*CA_gross_prod_lpg+HM_ZA_Nkossa!CA_FP_gas_nom*HM_ZA_Nkossa!CA_gross_prod_gas)/HM_ZA_Nkossa!CA_gross_prod_Total),0)</f>
        <v>0</v>
      </c>
      <c r="BE557" s="49">
        <f ca="1">IFERROR((BE316)/((HM_ZA_Nkossa!CA_FP_oil_nom*HM_ZA_Nkossa!CA_gross_prod_oil+CA_FP_lpg_nom*CA_gross_prod_lpg+HM_ZA_Nkossa!CA_FP_gas_nom*HM_ZA_Nkossa!CA_gross_prod_gas)/HM_ZA_Nkossa!CA_gross_prod_Total),0)</f>
        <v>0</v>
      </c>
      <c r="BF557" s="49">
        <f ca="1">IFERROR((BF316)/((HM_ZA_Nkossa!CA_FP_oil_nom*HM_ZA_Nkossa!CA_gross_prod_oil+CA_FP_lpg_nom*CA_gross_prod_lpg+HM_ZA_Nkossa!CA_FP_gas_nom*HM_ZA_Nkossa!CA_gross_prod_gas)/HM_ZA_Nkossa!CA_gross_prod_Total),0)</f>
        <v>0</v>
      </c>
      <c r="BG557" s="49">
        <f ca="1">IFERROR((BG316)/((HM_ZA_Nkossa!CA_FP_oil_nom*HM_ZA_Nkossa!CA_gross_prod_oil+CA_FP_lpg_nom*CA_gross_prod_lpg+HM_ZA_Nkossa!CA_FP_gas_nom*HM_ZA_Nkossa!CA_gross_prod_gas)/HM_ZA_Nkossa!CA_gross_prod_Total),0)</f>
        <v>0</v>
      </c>
      <c r="BH557" s="49">
        <f ca="1">IFERROR((BH316)/((HM_ZA_Nkossa!CA_FP_oil_nom*HM_ZA_Nkossa!CA_gross_prod_oil+CA_FP_lpg_nom*CA_gross_prod_lpg+HM_ZA_Nkossa!CA_FP_gas_nom*HM_ZA_Nkossa!CA_gross_prod_gas)/HM_ZA_Nkossa!CA_gross_prod_Total),0)</f>
        <v>0</v>
      </c>
      <c r="BI557" s="49">
        <f ca="1">IFERROR((BI316)/((HM_ZA_Nkossa!CA_FP_oil_nom*HM_ZA_Nkossa!CA_gross_prod_oil+CA_FP_lpg_nom*CA_gross_prod_lpg+HM_ZA_Nkossa!CA_FP_gas_nom*HM_ZA_Nkossa!CA_gross_prod_gas)/HM_ZA_Nkossa!CA_gross_prod_Total),0)</f>
        <v>0</v>
      </c>
      <c r="BJ557" s="49">
        <f ca="1">IFERROR((BJ316)/((HM_ZA_Nkossa!CA_FP_oil_nom*HM_ZA_Nkossa!CA_gross_prod_oil+CA_FP_lpg_nom*CA_gross_prod_lpg+HM_ZA_Nkossa!CA_FP_gas_nom*HM_ZA_Nkossa!CA_gross_prod_gas)/HM_ZA_Nkossa!CA_gross_prod_Total),0)</f>
        <v>0</v>
      </c>
      <c r="BK557" s="49">
        <f ca="1">IFERROR((BK316)/((HM_ZA_Nkossa!CA_FP_oil_nom*HM_ZA_Nkossa!CA_gross_prod_oil+CA_FP_lpg_nom*CA_gross_prod_lpg+HM_ZA_Nkossa!CA_FP_gas_nom*HM_ZA_Nkossa!CA_gross_prod_gas)/HM_ZA_Nkossa!CA_gross_prod_Total),0)</f>
        <v>0</v>
      </c>
      <c r="BL557" s="49">
        <f ca="1">IFERROR((BL316)/((HM_ZA_Nkossa!CA_FP_oil_nom*HM_ZA_Nkossa!CA_gross_prod_oil+CA_FP_lpg_nom*CA_gross_prod_lpg+HM_ZA_Nkossa!CA_FP_gas_nom*HM_ZA_Nkossa!CA_gross_prod_gas)/HM_ZA_Nkossa!CA_gross_prod_Total),0)</f>
        <v>0</v>
      </c>
      <c r="BM557" s="49">
        <f ca="1">IFERROR((BM316)/((HM_ZA_Nkossa!CA_FP_oil_nom*HM_ZA_Nkossa!CA_gross_prod_oil+CA_FP_lpg_nom*CA_gross_prod_lpg+HM_ZA_Nkossa!CA_FP_gas_nom*HM_ZA_Nkossa!CA_gross_prod_gas)/HM_ZA_Nkossa!CA_gross_prod_Total),0)</f>
        <v>0</v>
      </c>
      <c r="BN557" s="49">
        <f ca="1">IFERROR((BN316)/((HM_ZA_Nkossa!CA_FP_oil_nom*HM_ZA_Nkossa!CA_gross_prod_oil+CA_FP_lpg_nom*CA_gross_prod_lpg+HM_ZA_Nkossa!CA_FP_gas_nom*HM_ZA_Nkossa!CA_gross_prod_gas)/HM_ZA_Nkossa!CA_gross_prod_Total),0)</f>
        <v>0</v>
      </c>
      <c r="BO557" s="49">
        <f ca="1">IFERROR((BO316)/((HM_ZA_Nkossa!CA_FP_oil_nom*HM_ZA_Nkossa!CA_gross_prod_oil+CA_FP_lpg_nom*CA_gross_prod_lpg+HM_ZA_Nkossa!CA_FP_gas_nom*HM_ZA_Nkossa!CA_gross_prod_gas)/HM_ZA_Nkossa!CA_gross_prod_Total),0)</f>
        <v>0</v>
      </c>
      <c r="BP557" s="49">
        <f ca="1">IFERROR((BP316)/((HM_ZA_Nkossa!CA_FP_oil_nom*HM_ZA_Nkossa!CA_gross_prod_oil+CA_FP_lpg_nom*CA_gross_prod_lpg+HM_ZA_Nkossa!CA_FP_gas_nom*HM_ZA_Nkossa!CA_gross_prod_gas)/HM_ZA_Nkossa!CA_gross_prod_Total),0)</f>
        <v>0</v>
      </c>
      <c r="BQ557" s="49">
        <f ca="1">IFERROR((BQ316)/((HM_ZA_Nkossa!CA_FP_oil_nom*HM_ZA_Nkossa!CA_gross_prod_oil+CA_FP_lpg_nom*CA_gross_prod_lpg+HM_ZA_Nkossa!CA_FP_gas_nom*HM_ZA_Nkossa!CA_gross_prod_gas)/HM_ZA_Nkossa!CA_gross_prod_Total),0)</f>
        <v>0</v>
      </c>
      <c r="BR557" s="49">
        <f ca="1">IFERROR((BR316)/((HM_ZA_Nkossa!CA_FP_oil_nom*HM_ZA_Nkossa!CA_gross_prod_oil+CA_FP_lpg_nom*CA_gross_prod_lpg+HM_ZA_Nkossa!CA_FP_gas_nom*HM_ZA_Nkossa!CA_gross_prod_gas)/HM_ZA_Nkossa!CA_gross_prod_Total),0)</f>
        <v>0</v>
      </c>
      <c r="BS557" s="49">
        <f ca="1">IFERROR((BS316)/((HM_ZA_Nkossa!CA_FP_oil_nom*HM_ZA_Nkossa!CA_gross_prod_oil+CA_FP_lpg_nom*CA_gross_prod_lpg+HM_ZA_Nkossa!CA_FP_gas_nom*HM_ZA_Nkossa!CA_gross_prod_gas)/HM_ZA_Nkossa!CA_gross_prod_Total),0)</f>
        <v>0</v>
      </c>
    </row>
    <row r="558" spans="3:71" outlineLevel="1" x14ac:dyDescent="0.2">
      <c r="D558" t="str">
        <f>CHOOSE(db_ML_selected,'Liste Traduction'!B426,'Liste Traduction'!C426)</f>
        <v>Cost Gaz Contracteur</v>
      </c>
      <c r="I558" s="30"/>
      <c r="J558" s="26"/>
      <c r="L558" s="49"/>
      <c r="M558" s="49"/>
      <c r="N558" s="49"/>
      <c r="O558" s="49"/>
      <c r="P558" s="49"/>
      <c r="Q558" s="49"/>
      <c r="R558" s="49"/>
      <c r="S558" s="49"/>
      <c r="T558" s="49"/>
      <c r="U558" s="49"/>
      <c r="V558" s="49"/>
      <c r="W558" s="49"/>
      <c r="X558" s="49"/>
      <c r="Y558" s="49"/>
      <c r="Z558" s="49"/>
      <c r="AA558" s="49"/>
      <c r="AB558" s="49"/>
      <c r="AC558" s="49"/>
      <c r="AD558" s="49"/>
      <c r="AE558" s="49"/>
      <c r="AF558" s="49"/>
      <c r="AG558" s="49"/>
      <c r="AH558" s="49"/>
      <c r="AI558" s="49"/>
      <c r="AJ558" s="49"/>
      <c r="AK558" s="49"/>
      <c r="AL558" s="49"/>
      <c r="AM558" s="49"/>
      <c r="AN558" s="49"/>
      <c r="AO558" s="49"/>
      <c r="AP558" s="49"/>
      <c r="AQ558" s="49"/>
      <c r="AR558" s="49"/>
      <c r="AS558" s="49"/>
      <c r="AT558" s="49"/>
      <c r="AU558" s="49"/>
      <c r="AV558" s="49"/>
      <c r="AW558" s="49"/>
      <c r="AX558" s="49"/>
      <c r="AY558" s="49"/>
      <c r="AZ558" s="49"/>
      <c r="BA558" s="49"/>
      <c r="BB558" s="49"/>
      <c r="BC558" s="49"/>
      <c r="BD558" s="49"/>
      <c r="BE558" s="49"/>
      <c r="BF558" s="49"/>
      <c r="BG558" s="49"/>
      <c r="BH558" s="49"/>
      <c r="BI558" s="49"/>
      <c r="BJ558" s="49"/>
      <c r="BK558" s="49"/>
      <c r="BL558" s="49"/>
      <c r="BM558" s="49"/>
      <c r="BN558" s="49"/>
      <c r="BO558" s="49"/>
      <c r="BP558" s="49"/>
      <c r="BQ558" s="49"/>
      <c r="BR558" s="49"/>
      <c r="BS558" s="49"/>
    </row>
    <row r="559" spans="3:71" outlineLevel="1" x14ac:dyDescent="0.2">
      <c r="D559" t="str">
        <f>CHOOSE(db_ML_selected,'Liste Traduction'!B427,'Liste Traduction'!C427)</f>
        <v>Excess Cost Oil Contracteur</v>
      </c>
      <c r="I559" s="30">
        <f t="shared" ca="1" si="152"/>
        <v>2.0579976436112367E-16</v>
      </c>
      <c r="J559" s="26" t="s">
        <v>692</v>
      </c>
      <c r="L559" s="49">
        <f ca="1">IFERROR((L317)/((HM_ZA_Nkossa!CA_FP_oil_nom*HM_ZA_Nkossa!CA_gross_prod_oil+CA_FP_lpg_nom*CA_gross_prod_lpg+HM_ZA_Nkossa!CA_FP_gas_nom*HM_ZA_Nkossa!CA_gross_prod_gas)/HM_ZA_Nkossa!CA_gross_prod_Total),0)</f>
        <v>0</v>
      </c>
      <c r="M559" s="49">
        <f ca="1">IFERROR((M317)/((HM_ZA_Nkossa!CA_FP_oil_nom*HM_ZA_Nkossa!CA_gross_prod_oil+CA_FP_lpg_nom*CA_gross_prod_lpg+HM_ZA_Nkossa!CA_FP_gas_nom*HM_ZA_Nkossa!CA_gross_prod_gas)/HM_ZA_Nkossa!CA_gross_prod_Total),0)</f>
        <v>0</v>
      </c>
      <c r="N559" s="49">
        <f ca="1">IFERROR((N317)/((HM_ZA_Nkossa!CA_FP_oil_nom*HM_ZA_Nkossa!CA_gross_prod_oil+CA_FP_lpg_nom*CA_gross_prod_lpg+HM_ZA_Nkossa!CA_FP_gas_nom*HM_ZA_Nkossa!CA_gross_prod_gas)/HM_ZA_Nkossa!CA_gross_prod_Total),0)</f>
        <v>0</v>
      </c>
      <c r="O559" s="49">
        <f ca="1">IFERROR((O317)/((HM_ZA_Nkossa!CA_FP_oil_nom*HM_ZA_Nkossa!CA_gross_prod_oil+CA_FP_lpg_nom*CA_gross_prod_lpg+HM_ZA_Nkossa!CA_FP_gas_nom*HM_ZA_Nkossa!CA_gross_prod_gas)/HM_ZA_Nkossa!CA_gross_prod_Total),0)</f>
        <v>0</v>
      </c>
      <c r="P559" s="49">
        <f ca="1">IFERROR((P317)/((HM_ZA_Nkossa!CA_FP_oil_nom*HM_ZA_Nkossa!CA_gross_prod_oil+CA_FP_lpg_nom*CA_gross_prod_lpg+HM_ZA_Nkossa!CA_FP_gas_nom*HM_ZA_Nkossa!CA_gross_prod_gas)/HM_ZA_Nkossa!CA_gross_prod_Total),0)</f>
        <v>0</v>
      </c>
      <c r="Q559" s="49">
        <f ca="1">IFERROR((Q317)/((HM_ZA_Nkossa!CA_FP_oil_nom*HM_ZA_Nkossa!CA_gross_prod_oil+CA_FP_lpg_nom*CA_gross_prod_lpg+HM_ZA_Nkossa!CA_FP_gas_nom*HM_ZA_Nkossa!CA_gross_prod_gas)/HM_ZA_Nkossa!CA_gross_prod_Total),0)</f>
        <v>2.0579976436112367E-16</v>
      </c>
      <c r="R559" s="49">
        <f ca="1">IFERROR((R317)/((HM_ZA_Nkossa!CA_FP_oil_nom*HM_ZA_Nkossa!CA_gross_prod_oil+CA_FP_lpg_nom*CA_gross_prod_lpg+HM_ZA_Nkossa!CA_FP_gas_nom*HM_ZA_Nkossa!CA_gross_prod_gas)/HM_ZA_Nkossa!CA_gross_prod_Total),0)</f>
        <v>0</v>
      </c>
      <c r="S559" s="49">
        <f ca="1">IFERROR((S317)/((HM_ZA_Nkossa!CA_FP_oil_nom*HM_ZA_Nkossa!CA_gross_prod_oil+CA_FP_lpg_nom*CA_gross_prod_lpg+HM_ZA_Nkossa!CA_FP_gas_nom*HM_ZA_Nkossa!CA_gross_prod_gas)/HM_ZA_Nkossa!CA_gross_prod_Total),0)</f>
        <v>0</v>
      </c>
      <c r="T559" s="49">
        <f ca="1">IFERROR((T317)/((HM_ZA_Nkossa!CA_FP_oil_nom*HM_ZA_Nkossa!CA_gross_prod_oil+CA_FP_lpg_nom*CA_gross_prod_lpg+HM_ZA_Nkossa!CA_FP_gas_nom*HM_ZA_Nkossa!CA_gross_prod_gas)/HM_ZA_Nkossa!CA_gross_prod_Total),0)</f>
        <v>0</v>
      </c>
      <c r="U559" s="49">
        <f ca="1">IFERROR((U317)/((HM_ZA_Nkossa!CA_FP_oil_nom*HM_ZA_Nkossa!CA_gross_prod_oil+CA_FP_lpg_nom*CA_gross_prod_lpg+HM_ZA_Nkossa!CA_FP_gas_nom*HM_ZA_Nkossa!CA_gross_prod_gas)/HM_ZA_Nkossa!CA_gross_prod_Total),0)</f>
        <v>0</v>
      </c>
      <c r="V559" s="49">
        <f ca="1">IFERROR((V317)/((HM_ZA_Nkossa!CA_FP_oil_nom*HM_ZA_Nkossa!CA_gross_prod_oil+CA_FP_lpg_nom*CA_gross_prod_lpg+HM_ZA_Nkossa!CA_FP_gas_nom*HM_ZA_Nkossa!CA_gross_prod_gas)/HM_ZA_Nkossa!CA_gross_prod_Total),0)</f>
        <v>0</v>
      </c>
      <c r="W559" s="49">
        <f ca="1">IFERROR((W317)/((HM_ZA_Nkossa!CA_FP_oil_nom*HM_ZA_Nkossa!CA_gross_prod_oil+CA_FP_lpg_nom*CA_gross_prod_lpg+HM_ZA_Nkossa!CA_FP_gas_nom*HM_ZA_Nkossa!CA_gross_prod_gas)/HM_ZA_Nkossa!CA_gross_prod_Total),0)</f>
        <v>0</v>
      </c>
      <c r="X559" s="49">
        <f ca="1">IFERROR((X317)/((HM_ZA_Nkossa!CA_FP_oil_nom*HM_ZA_Nkossa!CA_gross_prod_oil+CA_FP_lpg_nom*CA_gross_prod_lpg+HM_ZA_Nkossa!CA_FP_gas_nom*HM_ZA_Nkossa!CA_gross_prod_gas)/HM_ZA_Nkossa!CA_gross_prod_Total),0)</f>
        <v>0</v>
      </c>
      <c r="Y559" s="49">
        <f ca="1">IFERROR((Y317)/((HM_ZA_Nkossa!CA_FP_oil_nom*HM_ZA_Nkossa!CA_gross_prod_oil+CA_FP_lpg_nom*CA_gross_prod_lpg+HM_ZA_Nkossa!CA_FP_gas_nom*HM_ZA_Nkossa!CA_gross_prod_gas)/HM_ZA_Nkossa!CA_gross_prod_Total),0)</f>
        <v>0</v>
      </c>
      <c r="Z559" s="49">
        <f ca="1">IFERROR((Z317)/((HM_ZA_Nkossa!CA_FP_oil_nom*HM_ZA_Nkossa!CA_gross_prod_oil+CA_FP_lpg_nom*CA_gross_prod_lpg+HM_ZA_Nkossa!CA_FP_gas_nom*HM_ZA_Nkossa!CA_gross_prod_gas)/HM_ZA_Nkossa!CA_gross_prod_Total),0)</f>
        <v>0</v>
      </c>
      <c r="AA559" s="49">
        <f ca="1">IFERROR((AA317)/((HM_ZA_Nkossa!CA_FP_oil_nom*HM_ZA_Nkossa!CA_gross_prod_oil+CA_FP_lpg_nom*CA_gross_prod_lpg+HM_ZA_Nkossa!CA_FP_gas_nom*HM_ZA_Nkossa!CA_gross_prod_gas)/HM_ZA_Nkossa!CA_gross_prod_Total),0)</f>
        <v>0</v>
      </c>
      <c r="AB559" s="49">
        <f ca="1">IFERROR((AB317)/((HM_ZA_Nkossa!CA_FP_oil_nom*HM_ZA_Nkossa!CA_gross_prod_oil+CA_FP_lpg_nom*CA_gross_prod_lpg+HM_ZA_Nkossa!CA_FP_gas_nom*HM_ZA_Nkossa!CA_gross_prod_gas)/HM_ZA_Nkossa!CA_gross_prod_Total),0)</f>
        <v>0</v>
      </c>
      <c r="AC559" s="49">
        <f ca="1">IFERROR((AC317)/((HM_ZA_Nkossa!CA_FP_oil_nom*HM_ZA_Nkossa!CA_gross_prod_oil+CA_FP_lpg_nom*CA_gross_prod_lpg+HM_ZA_Nkossa!CA_FP_gas_nom*HM_ZA_Nkossa!CA_gross_prod_gas)/HM_ZA_Nkossa!CA_gross_prod_Total),0)</f>
        <v>0</v>
      </c>
      <c r="AD559" s="49">
        <f ca="1">IFERROR((AD317)/((HM_ZA_Nkossa!CA_FP_oil_nom*HM_ZA_Nkossa!CA_gross_prod_oil+CA_FP_lpg_nom*CA_gross_prod_lpg+HM_ZA_Nkossa!CA_FP_gas_nom*HM_ZA_Nkossa!CA_gross_prod_gas)/HM_ZA_Nkossa!CA_gross_prod_Total),0)</f>
        <v>0</v>
      </c>
      <c r="AE559" s="49">
        <f ca="1">IFERROR((AE317)/((HM_ZA_Nkossa!CA_FP_oil_nom*HM_ZA_Nkossa!CA_gross_prod_oil+CA_FP_lpg_nom*CA_gross_prod_lpg+HM_ZA_Nkossa!CA_FP_gas_nom*HM_ZA_Nkossa!CA_gross_prod_gas)/HM_ZA_Nkossa!CA_gross_prod_Total),0)</f>
        <v>0</v>
      </c>
      <c r="AF559" s="49">
        <f ca="1">IFERROR((AF317)/((HM_ZA_Nkossa!CA_FP_oil_nom*HM_ZA_Nkossa!CA_gross_prod_oil+CA_FP_lpg_nom*CA_gross_prod_lpg+HM_ZA_Nkossa!CA_FP_gas_nom*HM_ZA_Nkossa!CA_gross_prod_gas)/HM_ZA_Nkossa!CA_gross_prod_Total),0)</f>
        <v>0</v>
      </c>
      <c r="AG559" s="49">
        <f ca="1">IFERROR((AG317)/((HM_ZA_Nkossa!CA_FP_oil_nom*HM_ZA_Nkossa!CA_gross_prod_oil+CA_FP_lpg_nom*CA_gross_prod_lpg+HM_ZA_Nkossa!CA_FP_gas_nom*HM_ZA_Nkossa!CA_gross_prod_gas)/HM_ZA_Nkossa!CA_gross_prod_Total),0)</f>
        <v>0</v>
      </c>
      <c r="AH559" s="49">
        <f ca="1">IFERROR((AH317)/((HM_ZA_Nkossa!CA_FP_oil_nom*HM_ZA_Nkossa!CA_gross_prod_oil+CA_FP_lpg_nom*CA_gross_prod_lpg+HM_ZA_Nkossa!CA_FP_gas_nom*HM_ZA_Nkossa!CA_gross_prod_gas)/HM_ZA_Nkossa!CA_gross_prod_Total),0)</f>
        <v>0</v>
      </c>
      <c r="AI559" s="49">
        <f ca="1">IFERROR((AI317)/((HM_ZA_Nkossa!CA_FP_oil_nom*HM_ZA_Nkossa!CA_gross_prod_oil+CA_FP_lpg_nom*CA_gross_prod_lpg+HM_ZA_Nkossa!CA_FP_gas_nom*HM_ZA_Nkossa!CA_gross_prod_gas)/HM_ZA_Nkossa!CA_gross_prod_Total),0)</f>
        <v>0</v>
      </c>
      <c r="AJ559" s="49">
        <f ca="1">IFERROR((AJ317)/((HM_ZA_Nkossa!CA_FP_oil_nom*HM_ZA_Nkossa!CA_gross_prod_oil+CA_FP_lpg_nom*CA_gross_prod_lpg+HM_ZA_Nkossa!CA_FP_gas_nom*HM_ZA_Nkossa!CA_gross_prod_gas)/HM_ZA_Nkossa!CA_gross_prod_Total),0)</f>
        <v>0</v>
      </c>
      <c r="AK559" s="49">
        <f ca="1">IFERROR((AK317)/((HM_ZA_Nkossa!CA_FP_oil_nom*HM_ZA_Nkossa!CA_gross_prod_oil+CA_FP_lpg_nom*CA_gross_prod_lpg+HM_ZA_Nkossa!CA_FP_gas_nom*HM_ZA_Nkossa!CA_gross_prod_gas)/HM_ZA_Nkossa!CA_gross_prod_Total),0)</f>
        <v>0</v>
      </c>
      <c r="AL559" s="49">
        <f ca="1">IFERROR((AL317)/((HM_ZA_Nkossa!CA_FP_oil_nom*HM_ZA_Nkossa!CA_gross_prod_oil+CA_FP_lpg_nom*CA_gross_prod_lpg+HM_ZA_Nkossa!CA_FP_gas_nom*HM_ZA_Nkossa!CA_gross_prod_gas)/HM_ZA_Nkossa!CA_gross_prod_Total),0)</f>
        <v>0</v>
      </c>
      <c r="AM559" s="49">
        <f ca="1">IFERROR((AM317)/((HM_ZA_Nkossa!CA_FP_oil_nom*HM_ZA_Nkossa!CA_gross_prod_oil+CA_FP_lpg_nom*CA_gross_prod_lpg+HM_ZA_Nkossa!CA_FP_gas_nom*HM_ZA_Nkossa!CA_gross_prod_gas)/HM_ZA_Nkossa!CA_gross_prod_Total),0)</f>
        <v>0</v>
      </c>
      <c r="AN559" s="49">
        <f ca="1">IFERROR((AN317)/((HM_ZA_Nkossa!CA_FP_oil_nom*HM_ZA_Nkossa!CA_gross_prod_oil+CA_FP_lpg_nom*CA_gross_prod_lpg+HM_ZA_Nkossa!CA_FP_gas_nom*HM_ZA_Nkossa!CA_gross_prod_gas)/HM_ZA_Nkossa!CA_gross_prod_Total),0)</f>
        <v>0</v>
      </c>
      <c r="AO559" s="49">
        <f ca="1">IFERROR((AO317)/((HM_ZA_Nkossa!CA_FP_oil_nom*HM_ZA_Nkossa!CA_gross_prod_oil+CA_FP_lpg_nom*CA_gross_prod_lpg+HM_ZA_Nkossa!CA_FP_gas_nom*HM_ZA_Nkossa!CA_gross_prod_gas)/HM_ZA_Nkossa!CA_gross_prod_Total),0)</f>
        <v>0</v>
      </c>
      <c r="AP559" s="49">
        <f ca="1">IFERROR((AP317)/((HM_ZA_Nkossa!CA_FP_oil_nom*HM_ZA_Nkossa!CA_gross_prod_oil+CA_FP_lpg_nom*CA_gross_prod_lpg+HM_ZA_Nkossa!CA_FP_gas_nom*HM_ZA_Nkossa!CA_gross_prod_gas)/HM_ZA_Nkossa!CA_gross_prod_Total),0)</f>
        <v>0</v>
      </c>
      <c r="AQ559" s="49">
        <f ca="1">IFERROR((AQ317)/((HM_ZA_Nkossa!CA_FP_oil_nom*HM_ZA_Nkossa!CA_gross_prod_oil+CA_FP_lpg_nom*CA_gross_prod_lpg+HM_ZA_Nkossa!CA_FP_gas_nom*HM_ZA_Nkossa!CA_gross_prod_gas)/HM_ZA_Nkossa!CA_gross_prod_Total),0)</f>
        <v>0</v>
      </c>
      <c r="AR559" s="49">
        <f ca="1">IFERROR((AR317)/((HM_ZA_Nkossa!CA_FP_oil_nom*HM_ZA_Nkossa!CA_gross_prod_oil+CA_FP_lpg_nom*CA_gross_prod_lpg+HM_ZA_Nkossa!CA_FP_gas_nom*HM_ZA_Nkossa!CA_gross_prod_gas)/HM_ZA_Nkossa!CA_gross_prod_Total),0)</f>
        <v>0</v>
      </c>
      <c r="AS559" s="49">
        <f ca="1">IFERROR((AS317)/((HM_ZA_Nkossa!CA_FP_oil_nom*HM_ZA_Nkossa!CA_gross_prod_oil+CA_FP_lpg_nom*CA_gross_prod_lpg+HM_ZA_Nkossa!CA_FP_gas_nom*HM_ZA_Nkossa!CA_gross_prod_gas)/HM_ZA_Nkossa!CA_gross_prod_Total),0)</f>
        <v>0</v>
      </c>
      <c r="AT559" s="49">
        <f ca="1">IFERROR((AT317)/((HM_ZA_Nkossa!CA_FP_oil_nom*HM_ZA_Nkossa!CA_gross_prod_oil+CA_FP_lpg_nom*CA_gross_prod_lpg+HM_ZA_Nkossa!CA_FP_gas_nom*HM_ZA_Nkossa!CA_gross_prod_gas)/HM_ZA_Nkossa!CA_gross_prod_Total),0)</f>
        <v>0</v>
      </c>
      <c r="AU559" s="49">
        <f ca="1">IFERROR((AU317)/((HM_ZA_Nkossa!CA_FP_oil_nom*HM_ZA_Nkossa!CA_gross_prod_oil+CA_FP_lpg_nom*CA_gross_prod_lpg+HM_ZA_Nkossa!CA_FP_gas_nom*HM_ZA_Nkossa!CA_gross_prod_gas)/HM_ZA_Nkossa!CA_gross_prod_Total),0)</f>
        <v>0</v>
      </c>
      <c r="AV559" s="49">
        <f ca="1">IFERROR((AV317)/((HM_ZA_Nkossa!CA_FP_oil_nom*HM_ZA_Nkossa!CA_gross_prod_oil+CA_FP_lpg_nom*CA_gross_prod_lpg+HM_ZA_Nkossa!CA_FP_gas_nom*HM_ZA_Nkossa!CA_gross_prod_gas)/HM_ZA_Nkossa!CA_gross_prod_Total),0)</f>
        <v>0</v>
      </c>
      <c r="AW559" s="49">
        <f ca="1">IFERROR((AW317)/((HM_ZA_Nkossa!CA_FP_oil_nom*HM_ZA_Nkossa!CA_gross_prod_oil+CA_FP_lpg_nom*CA_gross_prod_lpg+HM_ZA_Nkossa!CA_FP_gas_nom*HM_ZA_Nkossa!CA_gross_prod_gas)/HM_ZA_Nkossa!CA_gross_prod_Total),0)</f>
        <v>0</v>
      </c>
      <c r="AX559" s="49">
        <f ca="1">IFERROR((AX317)/((HM_ZA_Nkossa!CA_FP_oil_nom*HM_ZA_Nkossa!CA_gross_prod_oil+CA_FP_lpg_nom*CA_gross_prod_lpg+HM_ZA_Nkossa!CA_FP_gas_nom*HM_ZA_Nkossa!CA_gross_prod_gas)/HM_ZA_Nkossa!CA_gross_prod_Total),0)</f>
        <v>0</v>
      </c>
      <c r="AY559" s="49">
        <f ca="1">IFERROR((AY317)/((HM_ZA_Nkossa!CA_FP_oil_nom*HM_ZA_Nkossa!CA_gross_prod_oil+CA_FP_lpg_nom*CA_gross_prod_lpg+HM_ZA_Nkossa!CA_FP_gas_nom*HM_ZA_Nkossa!CA_gross_prod_gas)/HM_ZA_Nkossa!CA_gross_prod_Total),0)</f>
        <v>0</v>
      </c>
      <c r="AZ559" s="49">
        <f ca="1">IFERROR((AZ317)/((HM_ZA_Nkossa!CA_FP_oil_nom*HM_ZA_Nkossa!CA_gross_prod_oil+CA_FP_lpg_nom*CA_gross_prod_lpg+HM_ZA_Nkossa!CA_FP_gas_nom*HM_ZA_Nkossa!CA_gross_prod_gas)/HM_ZA_Nkossa!CA_gross_prod_Total),0)</f>
        <v>0</v>
      </c>
      <c r="BA559" s="49">
        <f ca="1">IFERROR((BA317)/((HM_ZA_Nkossa!CA_FP_oil_nom*HM_ZA_Nkossa!CA_gross_prod_oil+CA_FP_lpg_nom*CA_gross_prod_lpg+HM_ZA_Nkossa!CA_FP_gas_nom*HM_ZA_Nkossa!CA_gross_prod_gas)/HM_ZA_Nkossa!CA_gross_prod_Total),0)</f>
        <v>0</v>
      </c>
      <c r="BB559" s="49">
        <f ca="1">IFERROR((BB317)/((HM_ZA_Nkossa!CA_FP_oil_nom*HM_ZA_Nkossa!CA_gross_prod_oil+CA_FP_lpg_nom*CA_gross_prod_lpg+HM_ZA_Nkossa!CA_FP_gas_nom*HM_ZA_Nkossa!CA_gross_prod_gas)/HM_ZA_Nkossa!CA_gross_prod_Total),0)</f>
        <v>0</v>
      </c>
      <c r="BC559" s="49">
        <f ca="1">IFERROR((BC317)/((HM_ZA_Nkossa!CA_FP_oil_nom*HM_ZA_Nkossa!CA_gross_prod_oil+CA_FP_lpg_nom*CA_gross_prod_lpg+HM_ZA_Nkossa!CA_FP_gas_nom*HM_ZA_Nkossa!CA_gross_prod_gas)/HM_ZA_Nkossa!CA_gross_prod_Total),0)</f>
        <v>0</v>
      </c>
      <c r="BD559" s="49">
        <f ca="1">IFERROR((BD317)/((HM_ZA_Nkossa!CA_FP_oil_nom*HM_ZA_Nkossa!CA_gross_prod_oil+CA_FP_lpg_nom*CA_gross_prod_lpg+HM_ZA_Nkossa!CA_FP_gas_nom*HM_ZA_Nkossa!CA_gross_prod_gas)/HM_ZA_Nkossa!CA_gross_prod_Total),0)</f>
        <v>0</v>
      </c>
      <c r="BE559" s="49">
        <f ca="1">IFERROR((BE317)/((HM_ZA_Nkossa!CA_FP_oil_nom*HM_ZA_Nkossa!CA_gross_prod_oil+CA_FP_lpg_nom*CA_gross_prod_lpg+HM_ZA_Nkossa!CA_FP_gas_nom*HM_ZA_Nkossa!CA_gross_prod_gas)/HM_ZA_Nkossa!CA_gross_prod_Total),0)</f>
        <v>0</v>
      </c>
      <c r="BF559" s="49">
        <f ca="1">IFERROR((BF317)/((HM_ZA_Nkossa!CA_FP_oil_nom*HM_ZA_Nkossa!CA_gross_prod_oil+CA_FP_lpg_nom*CA_gross_prod_lpg+HM_ZA_Nkossa!CA_FP_gas_nom*HM_ZA_Nkossa!CA_gross_prod_gas)/HM_ZA_Nkossa!CA_gross_prod_Total),0)</f>
        <v>0</v>
      </c>
      <c r="BG559" s="49">
        <f ca="1">IFERROR((BG317)/((HM_ZA_Nkossa!CA_FP_oil_nom*HM_ZA_Nkossa!CA_gross_prod_oil+CA_FP_lpg_nom*CA_gross_prod_lpg+HM_ZA_Nkossa!CA_FP_gas_nom*HM_ZA_Nkossa!CA_gross_prod_gas)/HM_ZA_Nkossa!CA_gross_prod_Total),0)</f>
        <v>0</v>
      </c>
      <c r="BH559" s="49">
        <f ca="1">IFERROR((BH317)/((HM_ZA_Nkossa!CA_FP_oil_nom*HM_ZA_Nkossa!CA_gross_prod_oil+CA_FP_lpg_nom*CA_gross_prod_lpg+HM_ZA_Nkossa!CA_FP_gas_nom*HM_ZA_Nkossa!CA_gross_prod_gas)/HM_ZA_Nkossa!CA_gross_prod_Total),0)</f>
        <v>0</v>
      </c>
      <c r="BI559" s="49">
        <f ca="1">IFERROR((BI317)/((HM_ZA_Nkossa!CA_FP_oil_nom*HM_ZA_Nkossa!CA_gross_prod_oil+CA_FP_lpg_nom*CA_gross_prod_lpg+HM_ZA_Nkossa!CA_FP_gas_nom*HM_ZA_Nkossa!CA_gross_prod_gas)/HM_ZA_Nkossa!CA_gross_prod_Total),0)</f>
        <v>0</v>
      </c>
      <c r="BJ559" s="49">
        <f ca="1">IFERROR((BJ317)/((HM_ZA_Nkossa!CA_FP_oil_nom*HM_ZA_Nkossa!CA_gross_prod_oil+CA_FP_lpg_nom*CA_gross_prod_lpg+HM_ZA_Nkossa!CA_FP_gas_nom*HM_ZA_Nkossa!CA_gross_prod_gas)/HM_ZA_Nkossa!CA_gross_prod_Total),0)</f>
        <v>0</v>
      </c>
      <c r="BK559" s="49">
        <f ca="1">IFERROR((BK317)/((HM_ZA_Nkossa!CA_FP_oil_nom*HM_ZA_Nkossa!CA_gross_prod_oil+CA_FP_lpg_nom*CA_gross_prod_lpg+HM_ZA_Nkossa!CA_FP_gas_nom*HM_ZA_Nkossa!CA_gross_prod_gas)/HM_ZA_Nkossa!CA_gross_prod_Total),0)</f>
        <v>0</v>
      </c>
      <c r="BL559" s="49">
        <f ca="1">IFERROR((BL317)/((HM_ZA_Nkossa!CA_FP_oil_nom*HM_ZA_Nkossa!CA_gross_prod_oil+CA_FP_lpg_nom*CA_gross_prod_lpg+HM_ZA_Nkossa!CA_FP_gas_nom*HM_ZA_Nkossa!CA_gross_prod_gas)/HM_ZA_Nkossa!CA_gross_prod_Total),0)</f>
        <v>0</v>
      </c>
      <c r="BM559" s="49">
        <f ca="1">IFERROR((BM317)/((HM_ZA_Nkossa!CA_FP_oil_nom*HM_ZA_Nkossa!CA_gross_prod_oil+CA_FP_lpg_nom*CA_gross_prod_lpg+HM_ZA_Nkossa!CA_FP_gas_nom*HM_ZA_Nkossa!CA_gross_prod_gas)/HM_ZA_Nkossa!CA_gross_prod_Total),0)</f>
        <v>0</v>
      </c>
      <c r="BN559" s="49">
        <f ca="1">IFERROR((BN317)/((HM_ZA_Nkossa!CA_FP_oil_nom*HM_ZA_Nkossa!CA_gross_prod_oil+CA_FP_lpg_nom*CA_gross_prod_lpg+HM_ZA_Nkossa!CA_FP_gas_nom*HM_ZA_Nkossa!CA_gross_prod_gas)/HM_ZA_Nkossa!CA_gross_prod_Total),0)</f>
        <v>0</v>
      </c>
      <c r="BO559" s="49">
        <f ca="1">IFERROR((BO317)/((HM_ZA_Nkossa!CA_FP_oil_nom*HM_ZA_Nkossa!CA_gross_prod_oil+CA_FP_lpg_nom*CA_gross_prod_lpg+HM_ZA_Nkossa!CA_FP_gas_nom*HM_ZA_Nkossa!CA_gross_prod_gas)/HM_ZA_Nkossa!CA_gross_prod_Total),0)</f>
        <v>0</v>
      </c>
      <c r="BP559" s="49">
        <f ca="1">IFERROR((BP317)/((HM_ZA_Nkossa!CA_FP_oil_nom*HM_ZA_Nkossa!CA_gross_prod_oil+CA_FP_lpg_nom*CA_gross_prod_lpg+HM_ZA_Nkossa!CA_FP_gas_nom*HM_ZA_Nkossa!CA_gross_prod_gas)/HM_ZA_Nkossa!CA_gross_prod_Total),0)</f>
        <v>0</v>
      </c>
      <c r="BQ559" s="49">
        <f ca="1">IFERROR((BQ317)/((HM_ZA_Nkossa!CA_FP_oil_nom*HM_ZA_Nkossa!CA_gross_prod_oil+CA_FP_lpg_nom*CA_gross_prod_lpg+HM_ZA_Nkossa!CA_FP_gas_nom*HM_ZA_Nkossa!CA_gross_prod_gas)/HM_ZA_Nkossa!CA_gross_prod_Total),0)</f>
        <v>0</v>
      </c>
      <c r="BR559" s="49">
        <f ca="1">IFERROR((BR317)/((HM_ZA_Nkossa!CA_FP_oil_nom*HM_ZA_Nkossa!CA_gross_prod_oil+CA_FP_lpg_nom*CA_gross_prod_lpg+HM_ZA_Nkossa!CA_FP_gas_nom*HM_ZA_Nkossa!CA_gross_prod_gas)/HM_ZA_Nkossa!CA_gross_prod_Total),0)</f>
        <v>0</v>
      </c>
      <c r="BS559" s="49">
        <f ca="1">IFERROR((BS317)/((HM_ZA_Nkossa!CA_FP_oil_nom*HM_ZA_Nkossa!CA_gross_prod_oil+CA_FP_lpg_nom*CA_gross_prod_lpg+HM_ZA_Nkossa!CA_FP_gas_nom*HM_ZA_Nkossa!CA_gross_prod_gas)/HM_ZA_Nkossa!CA_gross_prod_Total),0)</f>
        <v>0</v>
      </c>
    </row>
    <row r="560" spans="3:71" outlineLevel="1" x14ac:dyDescent="0.2">
      <c r="D560" t="str">
        <f>CHOOSE(db_ML_selected,'Liste Traduction'!B428,'Liste Traduction'!C428)</f>
        <v>SPO Contracteur</v>
      </c>
      <c r="I560" s="30">
        <f t="shared" ca="1" si="152"/>
        <v>2.6331134741389199</v>
      </c>
      <c r="J560" s="26" t="s">
        <v>692</v>
      </c>
      <c r="L560" s="49">
        <f ca="1">IFERROR((L318)/((HM_ZA_Nkossa!CA_FP_oil_nom*HM_ZA_Nkossa!CA_gross_prod_oil+CA_FP_lpg_nom*CA_gross_prod_lpg)/(HM_ZA_Nkossa!CA_gross_prod_oil+CA_gross_prod_lpg)),0)</f>
        <v>0.91301052056577414</v>
      </c>
      <c r="M560" s="49">
        <f ca="1">IFERROR((M318)/((HM_ZA_Nkossa!CA_FP_oil_nom*HM_ZA_Nkossa!CA_gross_prod_oil+CA_FP_lpg_nom*CA_gross_prod_lpg)/(HM_ZA_Nkossa!CA_gross_prod_oil+CA_gross_prod_lpg)),0)</f>
        <v>1.0312022763309923</v>
      </c>
      <c r="N560" s="49">
        <f ca="1">IFERROR((N318)/((HM_ZA_Nkossa!CA_FP_oil_nom*HM_ZA_Nkossa!CA_gross_prod_oil+CA_FP_lpg_nom*CA_gross_prod_lpg)/(HM_ZA_Nkossa!CA_gross_prod_oil+CA_gross_prod_lpg)),0)</f>
        <v>0.41748264440640886</v>
      </c>
      <c r="O560" s="49">
        <f ca="1">IFERROR((O318)/((HM_ZA_Nkossa!CA_FP_oil_nom*HM_ZA_Nkossa!CA_gross_prod_oil+CA_FP_lpg_nom*CA_gross_prod_lpg)/(HM_ZA_Nkossa!CA_gross_prod_oil+CA_gross_prod_lpg)),0)</f>
        <v>0.2679335743480421</v>
      </c>
      <c r="P560" s="49">
        <f ca="1">IFERROR((P318)/((HM_ZA_Nkossa!CA_FP_oil_nom*HM_ZA_Nkossa!CA_gross_prod_oil+CA_FP_lpg_nom*CA_gross_prod_lpg)/(HM_ZA_Nkossa!CA_gross_prod_oil+CA_gross_prod_lpg)),0)</f>
        <v>0</v>
      </c>
      <c r="Q560" s="49">
        <f ca="1">IFERROR((Q318)/((HM_ZA_Nkossa!CA_FP_oil_nom*HM_ZA_Nkossa!CA_gross_prod_oil+CA_FP_lpg_nom*CA_gross_prod_lpg)/(HM_ZA_Nkossa!CA_gross_prod_oil+CA_gross_prod_lpg)),0)</f>
        <v>3.4844584877024424E-3</v>
      </c>
      <c r="R560" s="49">
        <f ca="1">IFERROR((R318)/((HM_ZA_Nkossa!CA_FP_oil_nom*HM_ZA_Nkossa!CA_gross_prod_oil+CA_FP_lpg_nom*CA_gross_prod_lpg)/(HM_ZA_Nkossa!CA_gross_prod_oil+CA_gross_prod_lpg)),0)</f>
        <v>0</v>
      </c>
      <c r="S560" s="49">
        <f ca="1">IFERROR((S318)/((HM_ZA_Nkossa!CA_FP_oil_nom*HM_ZA_Nkossa!CA_gross_prod_oil+CA_FP_lpg_nom*CA_gross_prod_lpg)/(HM_ZA_Nkossa!CA_gross_prod_oil+CA_gross_prod_lpg)),0)</f>
        <v>0</v>
      </c>
      <c r="T560" s="49">
        <f ca="1">IFERROR((T318)/((HM_ZA_Nkossa!CA_FP_oil_nom*HM_ZA_Nkossa!CA_gross_prod_oil+CA_FP_lpg_nom*CA_gross_prod_lpg)/(HM_ZA_Nkossa!CA_gross_prod_oil+CA_gross_prod_lpg)),0)</f>
        <v>0</v>
      </c>
      <c r="U560" s="49">
        <f ca="1">IFERROR((U318)/((HM_ZA_Nkossa!CA_FP_oil_nom*HM_ZA_Nkossa!CA_gross_prod_oil+CA_FP_lpg_nom*CA_gross_prod_lpg)/(HM_ZA_Nkossa!CA_gross_prod_oil+CA_gross_prod_lpg)),0)</f>
        <v>0</v>
      </c>
      <c r="V560" s="49">
        <f ca="1">IFERROR((V318)/((HM_ZA_Nkossa!CA_FP_oil_nom*HM_ZA_Nkossa!CA_gross_prod_oil+CA_FP_lpg_nom*CA_gross_prod_lpg)/(HM_ZA_Nkossa!CA_gross_prod_oil+CA_gross_prod_lpg)),0)</f>
        <v>0</v>
      </c>
      <c r="W560" s="49">
        <f ca="1">IFERROR((W318)/((HM_ZA_Nkossa!CA_FP_oil_nom*HM_ZA_Nkossa!CA_gross_prod_oil+CA_FP_lpg_nom*CA_gross_prod_lpg)/(HM_ZA_Nkossa!CA_gross_prod_oil+CA_gross_prod_lpg)),0)</f>
        <v>0</v>
      </c>
      <c r="X560" s="49">
        <f ca="1">IFERROR((X318)/((HM_ZA_Nkossa!CA_FP_oil_nom*HM_ZA_Nkossa!CA_gross_prod_oil+CA_FP_lpg_nom*CA_gross_prod_lpg)/(HM_ZA_Nkossa!CA_gross_prod_oil+CA_gross_prod_lpg)),0)</f>
        <v>0</v>
      </c>
      <c r="Y560" s="49">
        <f ca="1">IFERROR((Y318)/((HM_ZA_Nkossa!CA_FP_oil_nom*HM_ZA_Nkossa!CA_gross_prod_oil+CA_FP_lpg_nom*CA_gross_prod_lpg)/(HM_ZA_Nkossa!CA_gross_prod_oil+CA_gross_prod_lpg)),0)</f>
        <v>0</v>
      </c>
      <c r="Z560" s="49">
        <f ca="1">IFERROR((Z318)/((HM_ZA_Nkossa!CA_FP_oil_nom*HM_ZA_Nkossa!CA_gross_prod_oil+CA_FP_lpg_nom*CA_gross_prod_lpg)/(HM_ZA_Nkossa!CA_gross_prod_oil+CA_gross_prod_lpg)),0)</f>
        <v>0</v>
      </c>
      <c r="AA560" s="49">
        <f ca="1">IFERROR((AA318)/((HM_ZA_Nkossa!CA_FP_oil_nom*HM_ZA_Nkossa!CA_gross_prod_oil+CA_FP_lpg_nom*CA_gross_prod_lpg)/(HM_ZA_Nkossa!CA_gross_prod_oil+CA_gross_prod_lpg)),0)</f>
        <v>0</v>
      </c>
      <c r="AB560" s="49">
        <f ca="1">IFERROR((AB318)/((HM_ZA_Nkossa!CA_FP_oil_nom*HM_ZA_Nkossa!CA_gross_prod_oil+CA_FP_lpg_nom*CA_gross_prod_lpg)/(HM_ZA_Nkossa!CA_gross_prod_oil+CA_gross_prod_lpg)),0)</f>
        <v>0</v>
      </c>
      <c r="AC560" s="49">
        <f ca="1">IFERROR((AC318)/((HM_ZA_Nkossa!CA_FP_oil_nom*HM_ZA_Nkossa!CA_gross_prod_oil+CA_FP_lpg_nom*CA_gross_prod_lpg)/(HM_ZA_Nkossa!CA_gross_prod_oil+CA_gross_prod_lpg)),0)</f>
        <v>0</v>
      </c>
      <c r="AD560" s="49">
        <f ca="1">IFERROR((AD318)/((HM_ZA_Nkossa!CA_FP_oil_nom*HM_ZA_Nkossa!CA_gross_prod_oil+CA_FP_lpg_nom*CA_gross_prod_lpg)/(HM_ZA_Nkossa!CA_gross_prod_oil+CA_gross_prod_lpg)),0)</f>
        <v>0</v>
      </c>
      <c r="AE560" s="49">
        <f ca="1">IFERROR((AE318)/((HM_ZA_Nkossa!CA_FP_oil_nom*HM_ZA_Nkossa!CA_gross_prod_oil+CA_FP_lpg_nom*CA_gross_prod_lpg)/(HM_ZA_Nkossa!CA_gross_prod_oil+CA_gross_prod_lpg)),0)</f>
        <v>0</v>
      </c>
      <c r="AF560" s="49">
        <f ca="1">IFERROR((AF318)/((HM_ZA_Nkossa!CA_FP_oil_nom*HM_ZA_Nkossa!CA_gross_prod_oil+CA_FP_lpg_nom*CA_gross_prod_lpg)/(HM_ZA_Nkossa!CA_gross_prod_oil+CA_gross_prod_lpg)),0)</f>
        <v>0</v>
      </c>
      <c r="AG560" s="49">
        <f ca="1">IFERROR((AG318)/((HM_ZA_Nkossa!CA_FP_oil_nom*HM_ZA_Nkossa!CA_gross_prod_oil+CA_FP_lpg_nom*CA_gross_prod_lpg)/(HM_ZA_Nkossa!CA_gross_prod_oil+CA_gross_prod_lpg)),0)</f>
        <v>0</v>
      </c>
      <c r="AH560" s="49">
        <f ca="1">IFERROR((AH318)/((HM_ZA_Nkossa!CA_FP_oil_nom*HM_ZA_Nkossa!CA_gross_prod_oil+CA_FP_lpg_nom*CA_gross_prod_lpg)/(HM_ZA_Nkossa!CA_gross_prod_oil+CA_gross_prod_lpg)),0)</f>
        <v>0</v>
      </c>
      <c r="AI560" s="49">
        <f ca="1">IFERROR((AI318)/((HM_ZA_Nkossa!CA_FP_oil_nom*HM_ZA_Nkossa!CA_gross_prod_oil+CA_FP_lpg_nom*CA_gross_prod_lpg)/(HM_ZA_Nkossa!CA_gross_prod_oil+CA_gross_prod_lpg)),0)</f>
        <v>0</v>
      </c>
      <c r="AJ560" s="49">
        <f ca="1">IFERROR((AJ318)/((HM_ZA_Nkossa!CA_FP_oil_nom*HM_ZA_Nkossa!CA_gross_prod_oil+CA_FP_lpg_nom*CA_gross_prod_lpg)/(HM_ZA_Nkossa!CA_gross_prod_oil+CA_gross_prod_lpg)),0)</f>
        <v>0</v>
      </c>
      <c r="AK560" s="49">
        <f ca="1">IFERROR((AK318)/((HM_ZA_Nkossa!CA_FP_oil_nom*HM_ZA_Nkossa!CA_gross_prod_oil+CA_FP_lpg_nom*CA_gross_prod_lpg)/(HM_ZA_Nkossa!CA_gross_prod_oil+CA_gross_prod_lpg)),0)</f>
        <v>0</v>
      </c>
      <c r="AL560" s="49">
        <f ca="1">IFERROR((AL318)/((HM_ZA_Nkossa!CA_FP_oil_nom*HM_ZA_Nkossa!CA_gross_prod_oil+CA_FP_lpg_nom*CA_gross_prod_lpg)/(HM_ZA_Nkossa!CA_gross_prod_oil+CA_gross_prod_lpg)),0)</f>
        <v>0</v>
      </c>
      <c r="AM560" s="49">
        <f ca="1">IFERROR((AM318)/((HM_ZA_Nkossa!CA_FP_oil_nom*HM_ZA_Nkossa!CA_gross_prod_oil+CA_FP_lpg_nom*CA_gross_prod_lpg)/(HM_ZA_Nkossa!CA_gross_prod_oil+CA_gross_prod_lpg)),0)</f>
        <v>0</v>
      </c>
      <c r="AN560" s="49">
        <f ca="1">IFERROR((AN318)/((HM_ZA_Nkossa!CA_FP_oil_nom*HM_ZA_Nkossa!CA_gross_prod_oil+CA_FP_lpg_nom*CA_gross_prod_lpg)/(HM_ZA_Nkossa!CA_gross_prod_oil+CA_gross_prod_lpg)),0)</f>
        <v>0</v>
      </c>
      <c r="AO560" s="49">
        <f ca="1">IFERROR((AO318)/((HM_ZA_Nkossa!CA_FP_oil_nom*HM_ZA_Nkossa!CA_gross_prod_oil+CA_FP_lpg_nom*CA_gross_prod_lpg)/(HM_ZA_Nkossa!CA_gross_prod_oil+CA_gross_prod_lpg)),0)</f>
        <v>0</v>
      </c>
      <c r="AP560" s="49">
        <f ca="1">IFERROR((AP318)/((HM_ZA_Nkossa!CA_FP_oil_nom*HM_ZA_Nkossa!CA_gross_prod_oil+CA_FP_lpg_nom*CA_gross_prod_lpg)/(HM_ZA_Nkossa!CA_gross_prod_oil+CA_gross_prod_lpg)),0)</f>
        <v>0</v>
      </c>
      <c r="AQ560" s="49">
        <f ca="1">IFERROR((AQ318)/((HM_ZA_Nkossa!CA_FP_oil_nom*HM_ZA_Nkossa!CA_gross_prod_oil+CA_FP_lpg_nom*CA_gross_prod_lpg)/(HM_ZA_Nkossa!CA_gross_prod_oil+CA_gross_prod_lpg)),0)</f>
        <v>0</v>
      </c>
      <c r="AR560" s="49">
        <f ca="1">IFERROR((AR318)/((HM_ZA_Nkossa!CA_FP_oil_nom*HM_ZA_Nkossa!CA_gross_prod_oil+CA_FP_lpg_nom*CA_gross_prod_lpg)/(HM_ZA_Nkossa!CA_gross_prod_oil+CA_gross_prod_lpg)),0)</f>
        <v>0</v>
      </c>
      <c r="AS560" s="49">
        <f ca="1">IFERROR((AS318)/((HM_ZA_Nkossa!CA_FP_oil_nom*HM_ZA_Nkossa!CA_gross_prod_oil+CA_FP_lpg_nom*CA_gross_prod_lpg)/(HM_ZA_Nkossa!CA_gross_prod_oil+CA_gross_prod_lpg)),0)</f>
        <v>0</v>
      </c>
      <c r="AT560" s="49">
        <f ca="1">IFERROR((AT318)/((HM_ZA_Nkossa!CA_FP_oil_nom*HM_ZA_Nkossa!CA_gross_prod_oil+CA_FP_lpg_nom*CA_gross_prod_lpg)/(HM_ZA_Nkossa!CA_gross_prod_oil+CA_gross_prod_lpg)),0)</f>
        <v>0</v>
      </c>
      <c r="AU560" s="49">
        <f ca="1">IFERROR((AU318)/((HM_ZA_Nkossa!CA_FP_oil_nom*HM_ZA_Nkossa!CA_gross_prod_oil+CA_FP_lpg_nom*CA_gross_prod_lpg)/(HM_ZA_Nkossa!CA_gross_prod_oil+CA_gross_prod_lpg)),0)</f>
        <v>0</v>
      </c>
      <c r="AV560" s="49">
        <f ca="1">IFERROR((AV318)/((HM_ZA_Nkossa!CA_FP_oil_nom*HM_ZA_Nkossa!CA_gross_prod_oil+CA_FP_lpg_nom*CA_gross_prod_lpg)/(HM_ZA_Nkossa!CA_gross_prod_oil+CA_gross_prod_lpg)),0)</f>
        <v>0</v>
      </c>
      <c r="AW560" s="49">
        <f ca="1">IFERROR((AW318)/((HM_ZA_Nkossa!CA_FP_oil_nom*HM_ZA_Nkossa!CA_gross_prod_oil+CA_FP_lpg_nom*CA_gross_prod_lpg)/(HM_ZA_Nkossa!CA_gross_prod_oil+CA_gross_prod_lpg)),0)</f>
        <v>0</v>
      </c>
      <c r="AX560" s="49">
        <f ca="1">IFERROR((AX318)/((HM_ZA_Nkossa!CA_FP_oil_nom*HM_ZA_Nkossa!CA_gross_prod_oil+CA_FP_lpg_nom*CA_gross_prod_lpg)/(HM_ZA_Nkossa!CA_gross_prod_oil+CA_gross_prod_lpg)),0)</f>
        <v>0</v>
      </c>
      <c r="AY560" s="49">
        <f ca="1">IFERROR((AY318)/((HM_ZA_Nkossa!CA_FP_oil_nom*HM_ZA_Nkossa!CA_gross_prod_oil+CA_FP_lpg_nom*CA_gross_prod_lpg)/(HM_ZA_Nkossa!CA_gross_prod_oil+CA_gross_prod_lpg)),0)</f>
        <v>0</v>
      </c>
      <c r="AZ560" s="49">
        <f ca="1">IFERROR((AZ318)/((HM_ZA_Nkossa!CA_FP_oil_nom*HM_ZA_Nkossa!CA_gross_prod_oil+CA_FP_lpg_nom*CA_gross_prod_lpg)/(HM_ZA_Nkossa!CA_gross_prod_oil+CA_gross_prod_lpg)),0)</f>
        <v>0</v>
      </c>
      <c r="BA560" s="49">
        <f ca="1">IFERROR((BA318)/((HM_ZA_Nkossa!CA_FP_oil_nom*HM_ZA_Nkossa!CA_gross_prod_oil+CA_FP_lpg_nom*CA_gross_prod_lpg)/(HM_ZA_Nkossa!CA_gross_prod_oil+CA_gross_prod_lpg)),0)</f>
        <v>0</v>
      </c>
      <c r="BB560" s="49">
        <f ca="1">IFERROR((BB318)/((HM_ZA_Nkossa!CA_FP_oil_nom*HM_ZA_Nkossa!CA_gross_prod_oil+CA_FP_lpg_nom*CA_gross_prod_lpg)/(HM_ZA_Nkossa!CA_gross_prod_oil+CA_gross_prod_lpg)),0)</f>
        <v>0</v>
      </c>
      <c r="BC560" s="49">
        <f ca="1">IFERROR((BC318)/((HM_ZA_Nkossa!CA_FP_oil_nom*HM_ZA_Nkossa!CA_gross_prod_oil+CA_FP_lpg_nom*CA_gross_prod_lpg)/(HM_ZA_Nkossa!CA_gross_prod_oil+CA_gross_prod_lpg)),0)</f>
        <v>0</v>
      </c>
      <c r="BD560" s="49">
        <f ca="1">IFERROR((BD318)/((HM_ZA_Nkossa!CA_FP_oil_nom*HM_ZA_Nkossa!CA_gross_prod_oil+CA_FP_lpg_nom*CA_gross_prod_lpg)/(HM_ZA_Nkossa!CA_gross_prod_oil+CA_gross_prod_lpg)),0)</f>
        <v>0</v>
      </c>
      <c r="BE560" s="49">
        <f ca="1">IFERROR((BE318)/((HM_ZA_Nkossa!CA_FP_oil_nom*HM_ZA_Nkossa!CA_gross_prod_oil+CA_FP_lpg_nom*CA_gross_prod_lpg)/(HM_ZA_Nkossa!CA_gross_prod_oil+CA_gross_prod_lpg)),0)</f>
        <v>0</v>
      </c>
      <c r="BF560" s="49">
        <f ca="1">IFERROR((BF318)/((HM_ZA_Nkossa!CA_FP_oil_nom*HM_ZA_Nkossa!CA_gross_prod_oil+CA_FP_lpg_nom*CA_gross_prod_lpg)/(HM_ZA_Nkossa!CA_gross_prod_oil+CA_gross_prod_lpg)),0)</f>
        <v>0</v>
      </c>
      <c r="BG560" s="49">
        <f ca="1">IFERROR((BG318)/((HM_ZA_Nkossa!CA_FP_oil_nom*HM_ZA_Nkossa!CA_gross_prod_oil+CA_FP_lpg_nom*CA_gross_prod_lpg)/(HM_ZA_Nkossa!CA_gross_prod_oil+CA_gross_prod_lpg)),0)</f>
        <v>0</v>
      </c>
      <c r="BH560" s="49">
        <f ca="1">IFERROR((BH318)/((HM_ZA_Nkossa!CA_FP_oil_nom*HM_ZA_Nkossa!CA_gross_prod_oil+CA_FP_lpg_nom*CA_gross_prod_lpg)/(HM_ZA_Nkossa!CA_gross_prod_oil+CA_gross_prod_lpg)),0)</f>
        <v>0</v>
      </c>
      <c r="BI560" s="49">
        <f ca="1">IFERROR((BI318)/((HM_ZA_Nkossa!CA_FP_oil_nom*HM_ZA_Nkossa!CA_gross_prod_oil+CA_FP_lpg_nom*CA_gross_prod_lpg)/(HM_ZA_Nkossa!CA_gross_prod_oil+CA_gross_prod_lpg)),0)</f>
        <v>0</v>
      </c>
      <c r="BJ560" s="49">
        <f ca="1">IFERROR((BJ318)/((HM_ZA_Nkossa!CA_FP_oil_nom*HM_ZA_Nkossa!CA_gross_prod_oil+CA_FP_lpg_nom*CA_gross_prod_lpg)/(HM_ZA_Nkossa!CA_gross_prod_oil+CA_gross_prod_lpg)),0)</f>
        <v>0</v>
      </c>
      <c r="BK560" s="49">
        <f ca="1">IFERROR((BK318)/((HM_ZA_Nkossa!CA_FP_oil_nom*HM_ZA_Nkossa!CA_gross_prod_oil+CA_FP_lpg_nom*CA_gross_prod_lpg)/(HM_ZA_Nkossa!CA_gross_prod_oil+CA_gross_prod_lpg)),0)</f>
        <v>0</v>
      </c>
      <c r="BL560" s="49">
        <f ca="1">IFERROR((BL318)/((HM_ZA_Nkossa!CA_FP_oil_nom*HM_ZA_Nkossa!CA_gross_prod_oil+CA_FP_lpg_nom*CA_gross_prod_lpg)/(HM_ZA_Nkossa!CA_gross_prod_oil+CA_gross_prod_lpg)),0)</f>
        <v>0</v>
      </c>
      <c r="BM560" s="49">
        <f ca="1">IFERROR((BM318)/((HM_ZA_Nkossa!CA_FP_oil_nom*HM_ZA_Nkossa!CA_gross_prod_oil+CA_FP_lpg_nom*CA_gross_prod_lpg)/(HM_ZA_Nkossa!CA_gross_prod_oil+CA_gross_prod_lpg)),0)</f>
        <v>0</v>
      </c>
      <c r="BN560" s="49">
        <f ca="1">IFERROR((BN318)/((HM_ZA_Nkossa!CA_FP_oil_nom*HM_ZA_Nkossa!CA_gross_prod_oil+CA_FP_lpg_nom*CA_gross_prod_lpg)/(HM_ZA_Nkossa!CA_gross_prod_oil+CA_gross_prod_lpg)),0)</f>
        <v>0</v>
      </c>
      <c r="BO560" s="49">
        <f ca="1">IFERROR((BO318)/((HM_ZA_Nkossa!CA_FP_oil_nom*HM_ZA_Nkossa!CA_gross_prod_oil+CA_FP_lpg_nom*CA_gross_prod_lpg)/(HM_ZA_Nkossa!CA_gross_prod_oil+CA_gross_prod_lpg)),0)</f>
        <v>0</v>
      </c>
      <c r="BP560" s="49">
        <f ca="1">IFERROR((BP318)/((HM_ZA_Nkossa!CA_FP_oil_nom*HM_ZA_Nkossa!CA_gross_prod_oil+CA_FP_lpg_nom*CA_gross_prod_lpg)/(HM_ZA_Nkossa!CA_gross_prod_oil+CA_gross_prod_lpg)),0)</f>
        <v>0</v>
      </c>
      <c r="BQ560" s="49">
        <f ca="1">IFERROR((BQ318)/((HM_ZA_Nkossa!CA_FP_oil_nom*HM_ZA_Nkossa!CA_gross_prod_oil+CA_FP_lpg_nom*CA_gross_prod_lpg)/(HM_ZA_Nkossa!CA_gross_prod_oil+CA_gross_prod_lpg)),0)</f>
        <v>0</v>
      </c>
      <c r="BR560" s="49">
        <f ca="1">IFERROR((BR318)/((HM_ZA_Nkossa!CA_FP_oil_nom*HM_ZA_Nkossa!CA_gross_prod_oil+CA_FP_lpg_nom*CA_gross_prod_lpg)/(HM_ZA_Nkossa!CA_gross_prod_oil+CA_gross_prod_lpg)),0)</f>
        <v>0</v>
      </c>
      <c r="BS560" s="49">
        <f ca="1">IFERROR((BS318)/((HM_ZA_Nkossa!CA_FP_oil_nom*HM_ZA_Nkossa!CA_gross_prod_oil+CA_FP_lpg_nom*CA_gross_prod_lpg)/(HM_ZA_Nkossa!CA_gross_prod_oil+CA_gross_prod_lpg)),0)</f>
        <v>0</v>
      </c>
    </row>
    <row r="561" spans="4:71" outlineLevel="1" x14ac:dyDescent="0.2">
      <c r="D561" t="str">
        <f>CHOOSE(db_ML_selected,'Liste Traduction'!B429,'Liste Traduction'!C429)</f>
        <v>Profit Oil Contracteur</v>
      </c>
      <c r="I561" s="30">
        <f t="shared" ca="1" si="152"/>
        <v>11.266377147805088</v>
      </c>
      <c r="J561" s="26" t="s">
        <v>692</v>
      </c>
      <c r="L561" s="49">
        <f ca="1">IFERROR((L319)/((HM_ZA_Nkossa!CA_FP_oil_nom*HM_ZA_Nkossa!CA_gross_prod_oil+CA_FP_lpg_nom*CA_gross_prod_lpg+HM_ZA_Nkossa!CA_FP_gas_nom*HM_ZA_Nkossa!CA_gross_prod_gas)/HM_ZA_Nkossa!CA_gross_prod_Total),0)</f>
        <v>0.51192187849540716</v>
      </c>
      <c r="M561" s="49">
        <f ca="1">IFERROR((M319)/((HM_ZA_Nkossa!CA_FP_oil_nom*HM_ZA_Nkossa!CA_gross_prod_oil+CA_FP_lpg_nom*CA_gross_prod_lpg+HM_ZA_Nkossa!CA_FP_gas_nom*HM_ZA_Nkossa!CA_gross_prod_gas)/HM_ZA_Nkossa!CA_gross_prod_Total),0)</f>
        <v>0.72394735811462885</v>
      </c>
      <c r="N561" s="49">
        <f ca="1">IFERROR((N319)/((HM_ZA_Nkossa!CA_FP_oil_nom*HM_ZA_Nkossa!CA_gross_prod_oil+CA_FP_lpg_nom*CA_gross_prod_lpg+HM_ZA_Nkossa!CA_FP_gas_nom*HM_ZA_Nkossa!CA_gross_prod_gas)/HM_ZA_Nkossa!CA_gross_prod_Total),0)</f>
        <v>1.2359601254421857</v>
      </c>
      <c r="O561" s="49">
        <f ca="1">IFERROR((O319)/((HM_ZA_Nkossa!CA_FP_oil_nom*HM_ZA_Nkossa!CA_gross_prod_oil+CA_FP_lpg_nom*CA_gross_prod_lpg+HM_ZA_Nkossa!CA_FP_gas_nom*HM_ZA_Nkossa!CA_gross_prod_gas)/HM_ZA_Nkossa!CA_gross_prod_Total),0)</f>
        <v>1.5406211690389089</v>
      </c>
      <c r="P561" s="49">
        <f ca="1">IFERROR((P319)/((HM_ZA_Nkossa!CA_FP_oil_nom*HM_ZA_Nkossa!CA_gross_prod_oil+CA_FP_lpg_nom*CA_gross_prod_lpg+HM_ZA_Nkossa!CA_FP_gas_nom*HM_ZA_Nkossa!CA_gross_prod_gas)/HM_ZA_Nkossa!CA_gross_prod_Total),0)</f>
        <v>1.3053097475233855</v>
      </c>
      <c r="Q561" s="49">
        <f ca="1">IFERROR((Q319)/((HM_ZA_Nkossa!CA_FP_oil_nom*HM_ZA_Nkossa!CA_gross_prod_oil+CA_FP_lpg_nom*CA_gross_prod_lpg+HM_ZA_Nkossa!CA_FP_gas_nom*HM_ZA_Nkossa!CA_gross_prod_gas)/HM_ZA_Nkossa!CA_gross_prod_Total),0)</f>
        <v>1.0045680635846539</v>
      </c>
      <c r="R561" s="49">
        <f ca="1">IFERROR((R319)/((HM_ZA_Nkossa!CA_FP_oil_nom*HM_ZA_Nkossa!CA_gross_prod_oil+CA_FP_lpg_nom*CA_gross_prod_lpg+HM_ZA_Nkossa!CA_FP_gas_nom*HM_ZA_Nkossa!CA_gross_prod_gas)/HM_ZA_Nkossa!CA_gross_prod_Total),0)</f>
        <v>1.1516643463985261</v>
      </c>
      <c r="S561" s="49">
        <f ca="1">IFERROR((S319)/((HM_ZA_Nkossa!CA_FP_oil_nom*HM_ZA_Nkossa!CA_gross_prod_oil+CA_FP_lpg_nom*CA_gross_prod_lpg+HM_ZA_Nkossa!CA_FP_gas_nom*HM_ZA_Nkossa!CA_gross_prod_gas)/HM_ZA_Nkossa!CA_gross_prod_Total),0)</f>
        <v>0.75200999999999962</v>
      </c>
      <c r="T561" s="49">
        <f ca="1">IFERROR((T319)/((HM_ZA_Nkossa!CA_FP_oil_nom*HM_ZA_Nkossa!CA_gross_prod_oil+CA_FP_lpg_nom*CA_gross_prod_lpg+HM_ZA_Nkossa!CA_FP_gas_nom*HM_ZA_Nkossa!CA_gross_prod_gas)/HM_ZA_Nkossa!CA_gross_prod_Total),0)</f>
        <v>0.69936929999999975</v>
      </c>
      <c r="U561" s="49">
        <f ca="1">IFERROR((U319)/((HM_ZA_Nkossa!CA_FP_oil_nom*HM_ZA_Nkossa!CA_gross_prod_oil+CA_FP_lpg_nom*CA_gross_prod_lpg+HM_ZA_Nkossa!CA_FP_gas_nom*HM_ZA_Nkossa!CA_gross_prod_gas)/HM_ZA_Nkossa!CA_gross_prod_Total),0)</f>
        <v>0.65041344899999975</v>
      </c>
      <c r="V561" s="49">
        <f ca="1">IFERROR((V319)/((HM_ZA_Nkossa!CA_FP_oil_nom*HM_ZA_Nkossa!CA_gross_prod_oil+CA_FP_lpg_nom*CA_gross_prod_lpg+HM_ZA_Nkossa!CA_FP_gas_nom*HM_ZA_Nkossa!CA_gross_prod_gas)/HM_ZA_Nkossa!CA_gross_prod_Total),0)</f>
        <v>0.60488450756999967</v>
      </c>
      <c r="W561" s="49">
        <f ca="1">IFERROR((W319)/((HM_ZA_Nkossa!CA_FP_oil_nom*HM_ZA_Nkossa!CA_gross_prod_oil+CA_FP_lpg_nom*CA_gross_prod_lpg+HM_ZA_Nkossa!CA_FP_gas_nom*HM_ZA_Nkossa!CA_gross_prod_gas)/HM_ZA_Nkossa!CA_gross_prod_Total),0)</f>
        <v>0.56254259204009971</v>
      </c>
      <c r="X561" s="49">
        <f ca="1">IFERROR((X319)/((HM_ZA_Nkossa!CA_FP_oil_nom*HM_ZA_Nkossa!CA_gross_prod_oil+CA_FP_lpg_nom*CA_gross_prod_lpg+HM_ZA_Nkossa!CA_FP_gas_nom*HM_ZA_Nkossa!CA_gross_prod_gas)/HM_ZA_Nkossa!CA_gross_prod_Total),0)</f>
        <v>0.5231646105972928</v>
      </c>
      <c r="Y561" s="49">
        <f ca="1">IFERROR((Y319)/((HM_ZA_Nkossa!CA_FP_oil_nom*HM_ZA_Nkossa!CA_gross_prod_oil+CA_FP_lpg_nom*CA_gross_prod_lpg+HM_ZA_Nkossa!CA_FP_gas_nom*HM_ZA_Nkossa!CA_gross_prod_gas)/HM_ZA_Nkossa!CA_gross_prod_Total),0)</f>
        <v>0</v>
      </c>
      <c r="Z561" s="49">
        <f ca="1">IFERROR((Z319)/((HM_ZA_Nkossa!CA_FP_oil_nom*HM_ZA_Nkossa!CA_gross_prod_oil+CA_FP_lpg_nom*CA_gross_prod_lpg+HM_ZA_Nkossa!CA_FP_gas_nom*HM_ZA_Nkossa!CA_gross_prod_gas)/HM_ZA_Nkossa!CA_gross_prod_Total),0)</f>
        <v>0</v>
      </c>
      <c r="AA561" s="49">
        <f ca="1">IFERROR((AA319)/((HM_ZA_Nkossa!CA_FP_oil_nom*HM_ZA_Nkossa!CA_gross_prod_oil+CA_FP_lpg_nom*CA_gross_prod_lpg+HM_ZA_Nkossa!CA_FP_gas_nom*HM_ZA_Nkossa!CA_gross_prod_gas)/HM_ZA_Nkossa!CA_gross_prod_Total),0)</f>
        <v>0</v>
      </c>
      <c r="AB561" s="49">
        <f ca="1">IFERROR((AB319)/((HM_ZA_Nkossa!CA_FP_oil_nom*HM_ZA_Nkossa!CA_gross_prod_oil+CA_FP_lpg_nom*CA_gross_prod_lpg+HM_ZA_Nkossa!CA_FP_gas_nom*HM_ZA_Nkossa!CA_gross_prod_gas)/HM_ZA_Nkossa!CA_gross_prod_Total),0)</f>
        <v>0</v>
      </c>
      <c r="AC561" s="49">
        <f ca="1">IFERROR((AC319)/((HM_ZA_Nkossa!CA_FP_oil_nom*HM_ZA_Nkossa!CA_gross_prod_oil+CA_FP_lpg_nom*CA_gross_prod_lpg+HM_ZA_Nkossa!CA_FP_gas_nom*HM_ZA_Nkossa!CA_gross_prod_gas)/HM_ZA_Nkossa!CA_gross_prod_Total),0)</f>
        <v>0</v>
      </c>
      <c r="AD561" s="49">
        <f ca="1">IFERROR((AD319)/((HM_ZA_Nkossa!CA_FP_oil_nom*HM_ZA_Nkossa!CA_gross_prod_oil+CA_FP_lpg_nom*CA_gross_prod_lpg+HM_ZA_Nkossa!CA_FP_gas_nom*HM_ZA_Nkossa!CA_gross_prod_gas)/HM_ZA_Nkossa!CA_gross_prod_Total),0)</f>
        <v>0</v>
      </c>
      <c r="AE561" s="49">
        <f ca="1">IFERROR((AE319)/((HM_ZA_Nkossa!CA_FP_oil_nom*HM_ZA_Nkossa!CA_gross_prod_oil+CA_FP_lpg_nom*CA_gross_prod_lpg+HM_ZA_Nkossa!CA_FP_gas_nom*HM_ZA_Nkossa!CA_gross_prod_gas)/HM_ZA_Nkossa!CA_gross_prod_Total),0)</f>
        <v>0</v>
      </c>
      <c r="AF561" s="49">
        <f ca="1">IFERROR((AF319)/((HM_ZA_Nkossa!CA_FP_oil_nom*HM_ZA_Nkossa!CA_gross_prod_oil+CA_FP_lpg_nom*CA_gross_prod_lpg+HM_ZA_Nkossa!CA_FP_gas_nom*HM_ZA_Nkossa!CA_gross_prod_gas)/HM_ZA_Nkossa!CA_gross_prod_Total),0)</f>
        <v>0</v>
      </c>
      <c r="AG561" s="49">
        <f ca="1">IFERROR((AG319)/((HM_ZA_Nkossa!CA_FP_oil_nom*HM_ZA_Nkossa!CA_gross_prod_oil+CA_FP_lpg_nom*CA_gross_prod_lpg+HM_ZA_Nkossa!CA_FP_gas_nom*HM_ZA_Nkossa!CA_gross_prod_gas)/HM_ZA_Nkossa!CA_gross_prod_Total),0)</f>
        <v>0</v>
      </c>
      <c r="AH561" s="49">
        <f ca="1">IFERROR((AH319)/((HM_ZA_Nkossa!CA_FP_oil_nom*HM_ZA_Nkossa!CA_gross_prod_oil+CA_FP_lpg_nom*CA_gross_prod_lpg+HM_ZA_Nkossa!CA_FP_gas_nom*HM_ZA_Nkossa!CA_gross_prod_gas)/HM_ZA_Nkossa!CA_gross_prod_Total),0)</f>
        <v>0</v>
      </c>
      <c r="AI561" s="49">
        <f ca="1">IFERROR((AI319)/((HM_ZA_Nkossa!CA_FP_oil_nom*HM_ZA_Nkossa!CA_gross_prod_oil+CA_FP_lpg_nom*CA_gross_prod_lpg+HM_ZA_Nkossa!CA_FP_gas_nom*HM_ZA_Nkossa!CA_gross_prod_gas)/HM_ZA_Nkossa!CA_gross_prod_Total),0)</f>
        <v>0</v>
      </c>
      <c r="AJ561" s="49">
        <f ca="1">IFERROR((AJ319)/((HM_ZA_Nkossa!CA_FP_oil_nom*HM_ZA_Nkossa!CA_gross_prod_oil+CA_FP_lpg_nom*CA_gross_prod_lpg+HM_ZA_Nkossa!CA_FP_gas_nom*HM_ZA_Nkossa!CA_gross_prod_gas)/HM_ZA_Nkossa!CA_gross_prod_Total),0)</f>
        <v>0</v>
      </c>
      <c r="AK561" s="49">
        <f ca="1">IFERROR((AK319)/((HM_ZA_Nkossa!CA_FP_oil_nom*HM_ZA_Nkossa!CA_gross_prod_oil+CA_FP_lpg_nom*CA_gross_prod_lpg+HM_ZA_Nkossa!CA_FP_gas_nom*HM_ZA_Nkossa!CA_gross_prod_gas)/HM_ZA_Nkossa!CA_gross_prod_Total),0)</f>
        <v>0</v>
      </c>
      <c r="AL561" s="49">
        <f ca="1">IFERROR((AL319)/((HM_ZA_Nkossa!CA_FP_oil_nom*HM_ZA_Nkossa!CA_gross_prod_oil+CA_FP_lpg_nom*CA_gross_prod_lpg+HM_ZA_Nkossa!CA_FP_gas_nom*HM_ZA_Nkossa!CA_gross_prod_gas)/HM_ZA_Nkossa!CA_gross_prod_Total),0)</f>
        <v>0</v>
      </c>
      <c r="AM561" s="49">
        <f ca="1">IFERROR((AM319)/((HM_ZA_Nkossa!CA_FP_oil_nom*HM_ZA_Nkossa!CA_gross_prod_oil+CA_FP_lpg_nom*CA_gross_prod_lpg+HM_ZA_Nkossa!CA_FP_gas_nom*HM_ZA_Nkossa!CA_gross_prod_gas)/HM_ZA_Nkossa!CA_gross_prod_Total),0)</f>
        <v>0</v>
      </c>
      <c r="AN561" s="49">
        <f ca="1">IFERROR((AN319)/((HM_ZA_Nkossa!CA_FP_oil_nom*HM_ZA_Nkossa!CA_gross_prod_oil+CA_FP_lpg_nom*CA_gross_prod_lpg+HM_ZA_Nkossa!CA_FP_gas_nom*HM_ZA_Nkossa!CA_gross_prod_gas)/HM_ZA_Nkossa!CA_gross_prod_Total),0)</f>
        <v>0</v>
      </c>
      <c r="AO561" s="49">
        <f ca="1">IFERROR((AO319)/((HM_ZA_Nkossa!CA_FP_oil_nom*HM_ZA_Nkossa!CA_gross_prod_oil+CA_FP_lpg_nom*CA_gross_prod_lpg+HM_ZA_Nkossa!CA_FP_gas_nom*HM_ZA_Nkossa!CA_gross_prod_gas)/HM_ZA_Nkossa!CA_gross_prod_Total),0)</f>
        <v>0</v>
      </c>
      <c r="AP561" s="49">
        <f ca="1">IFERROR((AP319)/((HM_ZA_Nkossa!CA_FP_oil_nom*HM_ZA_Nkossa!CA_gross_prod_oil+CA_FP_lpg_nom*CA_gross_prod_lpg+HM_ZA_Nkossa!CA_FP_gas_nom*HM_ZA_Nkossa!CA_gross_prod_gas)/HM_ZA_Nkossa!CA_gross_prod_Total),0)</f>
        <v>0</v>
      </c>
      <c r="AQ561" s="49">
        <f ca="1">IFERROR((AQ319)/((HM_ZA_Nkossa!CA_FP_oil_nom*HM_ZA_Nkossa!CA_gross_prod_oil+CA_FP_lpg_nom*CA_gross_prod_lpg+HM_ZA_Nkossa!CA_FP_gas_nom*HM_ZA_Nkossa!CA_gross_prod_gas)/HM_ZA_Nkossa!CA_gross_prod_Total),0)</f>
        <v>0</v>
      </c>
      <c r="AR561" s="49">
        <f ca="1">IFERROR((AR319)/((HM_ZA_Nkossa!CA_FP_oil_nom*HM_ZA_Nkossa!CA_gross_prod_oil+CA_FP_lpg_nom*CA_gross_prod_lpg+HM_ZA_Nkossa!CA_FP_gas_nom*HM_ZA_Nkossa!CA_gross_prod_gas)/HM_ZA_Nkossa!CA_gross_prod_Total),0)</f>
        <v>0</v>
      </c>
      <c r="AS561" s="49">
        <f ca="1">IFERROR((AS319)/((HM_ZA_Nkossa!CA_FP_oil_nom*HM_ZA_Nkossa!CA_gross_prod_oil+CA_FP_lpg_nom*CA_gross_prod_lpg+HM_ZA_Nkossa!CA_FP_gas_nom*HM_ZA_Nkossa!CA_gross_prod_gas)/HM_ZA_Nkossa!CA_gross_prod_Total),0)</f>
        <v>0</v>
      </c>
      <c r="AT561" s="49">
        <f ca="1">IFERROR((AT319)/((HM_ZA_Nkossa!CA_FP_oil_nom*HM_ZA_Nkossa!CA_gross_prod_oil+CA_FP_lpg_nom*CA_gross_prod_lpg+HM_ZA_Nkossa!CA_FP_gas_nom*HM_ZA_Nkossa!CA_gross_prod_gas)/HM_ZA_Nkossa!CA_gross_prod_Total),0)</f>
        <v>0</v>
      </c>
      <c r="AU561" s="49">
        <f ca="1">IFERROR((AU319)/((HM_ZA_Nkossa!CA_FP_oil_nom*HM_ZA_Nkossa!CA_gross_prod_oil+CA_FP_lpg_nom*CA_gross_prod_lpg+HM_ZA_Nkossa!CA_FP_gas_nom*HM_ZA_Nkossa!CA_gross_prod_gas)/HM_ZA_Nkossa!CA_gross_prod_Total),0)</f>
        <v>0</v>
      </c>
      <c r="AV561" s="49">
        <f ca="1">IFERROR((AV319)/((HM_ZA_Nkossa!CA_FP_oil_nom*HM_ZA_Nkossa!CA_gross_prod_oil+CA_FP_lpg_nom*CA_gross_prod_lpg+HM_ZA_Nkossa!CA_FP_gas_nom*HM_ZA_Nkossa!CA_gross_prod_gas)/HM_ZA_Nkossa!CA_gross_prod_Total),0)</f>
        <v>0</v>
      </c>
      <c r="AW561" s="49">
        <f ca="1">IFERROR((AW319)/((HM_ZA_Nkossa!CA_FP_oil_nom*HM_ZA_Nkossa!CA_gross_prod_oil+CA_FP_lpg_nom*CA_gross_prod_lpg+HM_ZA_Nkossa!CA_FP_gas_nom*HM_ZA_Nkossa!CA_gross_prod_gas)/HM_ZA_Nkossa!CA_gross_prod_Total),0)</f>
        <v>0</v>
      </c>
      <c r="AX561" s="49">
        <f ca="1">IFERROR((AX319)/((HM_ZA_Nkossa!CA_FP_oil_nom*HM_ZA_Nkossa!CA_gross_prod_oil+CA_FP_lpg_nom*CA_gross_prod_lpg+HM_ZA_Nkossa!CA_FP_gas_nom*HM_ZA_Nkossa!CA_gross_prod_gas)/HM_ZA_Nkossa!CA_gross_prod_Total),0)</f>
        <v>0</v>
      </c>
      <c r="AY561" s="49">
        <f ca="1">IFERROR((AY319)/((HM_ZA_Nkossa!CA_FP_oil_nom*HM_ZA_Nkossa!CA_gross_prod_oil+CA_FP_lpg_nom*CA_gross_prod_lpg+HM_ZA_Nkossa!CA_FP_gas_nom*HM_ZA_Nkossa!CA_gross_prod_gas)/HM_ZA_Nkossa!CA_gross_prod_Total),0)</f>
        <v>0</v>
      </c>
      <c r="AZ561" s="49">
        <f ca="1">IFERROR((AZ319)/((HM_ZA_Nkossa!CA_FP_oil_nom*HM_ZA_Nkossa!CA_gross_prod_oil+CA_FP_lpg_nom*CA_gross_prod_lpg+HM_ZA_Nkossa!CA_FP_gas_nom*HM_ZA_Nkossa!CA_gross_prod_gas)/HM_ZA_Nkossa!CA_gross_prod_Total),0)</f>
        <v>0</v>
      </c>
      <c r="BA561" s="49">
        <f ca="1">IFERROR((BA319)/((HM_ZA_Nkossa!CA_FP_oil_nom*HM_ZA_Nkossa!CA_gross_prod_oil+CA_FP_lpg_nom*CA_gross_prod_lpg+HM_ZA_Nkossa!CA_FP_gas_nom*HM_ZA_Nkossa!CA_gross_prod_gas)/HM_ZA_Nkossa!CA_gross_prod_Total),0)</f>
        <v>0</v>
      </c>
      <c r="BB561" s="49">
        <f ca="1">IFERROR((BB319)/((HM_ZA_Nkossa!CA_FP_oil_nom*HM_ZA_Nkossa!CA_gross_prod_oil+CA_FP_lpg_nom*CA_gross_prod_lpg+HM_ZA_Nkossa!CA_FP_gas_nom*HM_ZA_Nkossa!CA_gross_prod_gas)/HM_ZA_Nkossa!CA_gross_prod_Total),0)</f>
        <v>0</v>
      </c>
      <c r="BC561" s="49">
        <f ca="1">IFERROR((BC319)/((HM_ZA_Nkossa!CA_FP_oil_nom*HM_ZA_Nkossa!CA_gross_prod_oil+CA_FP_lpg_nom*CA_gross_prod_lpg+HM_ZA_Nkossa!CA_FP_gas_nom*HM_ZA_Nkossa!CA_gross_prod_gas)/HM_ZA_Nkossa!CA_gross_prod_Total),0)</f>
        <v>0</v>
      </c>
      <c r="BD561" s="49">
        <f ca="1">IFERROR((BD319)/((HM_ZA_Nkossa!CA_FP_oil_nom*HM_ZA_Nkossa!CA_gross_prod_oil+CA_FP_lpg_nom*CA_gross_prod_lpg+HM_ZA_Nkossa!CA_FP_gas_nom*HM_ZA_Nkossa!CA_gross_prod_gas)/HM_ZA_Nkossa!CA_gross_prod_Total),0)</f>
        <v>0</v>
      </c>
      <c r="BE561" s="49">
        <f ca="1">IFERROR((BE319)/((HM_ZA_Nkossa!CA_FP_oil_nom*HM_ZA_Nkossa!CA_gross_prod_oil+CA_FP_lpg_nom*CA_gross_prod_lpg+HM_ZA_Nkossa!CA_FP_gas_nom*HM_ZA_Nkossa!CA_gross_prod_gas)/HM_ZA_Nkossa!CA_gross_prod_Total),0)</f>
        <v>0</v>
      </c>
      <c r="BF561" s="49">
        <f ca="1">IFERROR((BF319)/((HM_ZA_Nkossa!CA_FP_oil_nom*HM_ZA_Nkossa!CA_gross_prod_oil+CA_FP_lpg_nom*CA_gross_prod_lpg+HM_ZA_Nkossa!CA_FP_gas_nom*HM_ZA_Nkossa!CA_gross_prod_gas)/HM_ZA_Nkossa!CA_gross_prod_Total),0)</f>
        <v>0</v>
      </c>
      <c r="BG561" s="49">
        <f ca="1">IFERROR((BG319)/((HM_ZA_Nkossa!CA_FP_oil_nom*HM_ZA_Nkossa!CA_gross_prod_oil+CA_FP_lpg_nom*CA_gross_prod_lpg+HM_ZA_Nkossa!CA_FP_gas_nom*HM_ZA_Nkossa!CA_gross_prod_gas)/HM_ZA_Nkossa!CA_gross_prod_Total),0)</f>
        <v>0</v>
      </c>
      <c r="BH561" s="49">
        <f ca="1">IFERROR((BH319)/((HM_ZA_Nkossa!CA_FP_oil_nom*HM_ZA_Nkossa!CA_gross_prod_oil+CA_FP_lpg_nom*CA_gross_prod_lpg+HM_ZA_Nkossa!CA_FP_gas_nom*HM_ZA_Nkossa!CA_gross_prod_gas)/HM_ZA_Nkossa!CA_gross_prod_Total),0)</f>
        <v>0</v>
      </c>
      <c r="BI561" s="49">
        <f ca="1">IFERROR((BI319)/((HM_ZA_Nkossa!CA_FP_oil_nom*HM_ZA_Nkossa!CA_gross_prod_oil+CA_FP_lpg_nom*CA_gross_prod_lpg+HM_ZA_Nkossa!CA_FP_gas_nom*HM_ZA_Nkossa!CA_gross_prod_gas)/HM_ZA_Nkossa!CA_gross_prod_Total),0)</f>
        <v>0</v>
      </c>
      <c r="BJ561" s="49">
        <f ca="1">IFERROR((BJ319)/((HM_ZA_Nkossa!CA_FP_oil_nom*HM_ZA_Nkossa!CA_gross_prod_oil+CA_FP_lpg_nom*CA_gross_prod_lpg+HM_ZA_Nkossa!CA_FP_gas_nom*HM_ZA_Nkossa!CA_gross_prod_gas)/HM_ZA_Nkossa!CA_gross_prod_Total),0)</f>
        <v>0</v>
      </c>
      <c r="BK561" s="49">
        <f ca="1">IFERROR((BK319)/((HM_ZA_Nkossa!CA_FP_oil_nom*HM_ZA_Nkossa!CA_gross_prod_oil+CA_FP_lpg_nom*CA_gross_prod_lpg+HM_ZA_Nkossa!CA_FP_gas_nom*HM_ZA_Nkossa!CA_gross_prod_gas)/HM_ZA_Nkossa!CA_gross_prod_Total),0)</f>
        <v>0</v>
      </c>
      <c r="BL561" s="49">
        <f ca="1">IFERROR((BL319)/((HM_ZA_Nkossa!CA_FP_oil_nom*HM_ZA_Nkossa!CA_gross_prod_oil+CA_FP_lpg_nom*CA_gross_prod_lpg+HM_ZA_Nkossa!CA_FP_gas_nom*HM_ZA_Nkossa!CA_gross_prod_gas)/HM_ZA_Nkossa!CA_gross_prod_Total),0)</f>
        <v>0</v>
      </c>
      <c r="BM561" s="49">
        <f ca="1">IFERROR((BM319)/((HM_ZA_Nkossa!CA_FP_oil_nom*HM_ZA_Nkossa!CA_gross_prod_oil+CA_FP_lpg_nom*CA_gross_prod_lpg+HM_ZA_Nkossa!CA_FP_gas_nom*HM_ZA_Nkossa!CA_gross_prod_gas)/HM_ZA_Nkossa!CA_gross_prod_Total),0)</f>
        <v>0</v>
      </c>
      <c r="BN561" s="49">
        <f ca="1">IFERROR((BN319)/((HM_ZA_Nkossa!CA_FP_oil_nom*HM_ZA_Nkossa!CA_gross_prod_oil+CA_FP_lpg_nom*CA_gross_prod_lpg+HM_ZA_Nkossa!CA_FP_gas_nom*HM_ZA_Nkossa!CA_gross_prod_gas)/HM_ZA_Nkossa!CA_gross_prod_Total),0)</f>
        <v>0</v>
      </c>
      <c r="BO561" s="49">
        <f ca="1">IFERROR((BO319)/((HM_ZA_Nkossa!CA_FP_oil_nom*HM_ZA_Nkossa!CA_gross_prod_oil+CA_FP_lpg_nom*CA_gross_prod_lpg+HM_ZA_Nkossa!CA_FP_gas_nom*HM_ZA_Nkossa!CA_gross_prod_gas)/HM_ZA_Nkossa!CA_gross_prod_Total),0)</f>
        <v>0</v>
      </c>
      <c r="BP561" s="49">
        <f ca="1">IFERROR((BP319)/((HM_ZA_Nkossa!CA_FP_oil_nom*HM_ZA_Nkossa!CA_gross_prod_oil+CA_FP_lpg_nom*CA_gross_prod_lpg+HM_ZA_Nkossa!CA_FP_gas_nom*HM_ZA_Nkossa!CA_gross_prod_gas)/HM_ZA_Nkossa!CA_gross_prod_Total),0)</f>
        <v>0</v>
      </c>
      <c r="BQ561" s="49">
        <f ca="1">IFERROR((BQ319)/((HM_ZA_Nkossa!CA_FP_oil_nom*HM_ZA_Nkossa!CA_gross_prod_oil+CA_FP_lpg_nom*CA_gross_prod_lpg+HM_ZA_Nkossa!CA_FP_gas_nom*HM_ZA_Nkossa!CA_gross_prod_gas)/HM_ZA_Nkossa!CA_gross_prod_Total),0)</f>
        <v>0</v>
      </c>
      <c r="BR561" s="49">
        <f ca="1">IFERROR((BR319)/((HM_ZA_Nkossa!CA_FP_oil_nom*HM_ZA_Nkossa!CA_gross_prod_oil+CA_FP_lpg_nom*CA_gross_prod_lpg+HM_ZA_Nkossa!CA_FP_gas_nom*HM_ZA_Nkossa!CA_gross_prod_gas)/HM_ZA_Nkossa!CA_gross_prod_Total),0)</f>
        <v>0</v>
      </c>
      <c r="BS561" s="49">
        <f ca="1">IFERROR((BS319)/((HM_ZA_Nkossa!CA_FP_oil_nom*HM_ZA_Nkossa!CA_gross_prod_oil+CA_FP_lpg_nom*CA_gross_prod_lpg+HM_ZA_Nkossa!CA_FP_gas_nom*HM_ZA_Nkossa!CA_gross_prod_gas)/HM_ZA_Nkossa!CA_gross_prod_Total),0)</f>
        <v>0</v>
      </c>
    </row>
    <row r="562" spans="4:71" outlineLevel="1" x14ac:dyDescent="0.2">
      <c r="D562" t="str">
        <f>CHOOSE(db_ML_selected,'Liste Traduction'!B430,'Liste Traduction'!C430)</f>
        <v>Profit Gaz Contracteur</v>
      </c>
      <c r="I562" s="30">
        <f t="shared" si="152"/>
        <v>0</v>
      </c>
      <c r="J562" s="26" t="s">
        <v>692</v>
      </c>
      <c r="L562" s="49"/>
      <c r="M562" s="49"/>
      <c r="N562" s="49"/>
      <c r="O562" s="49"/>
      <c r="P562" s="49"/>
      <c r="Q562" s="49"/>
      <c r="R562" s="49"/>
      <c r="S562" s="49"/>
      <c r="T562" s="49"/>
      <c r="U562" s="49"/>
      <c r="V562" s="49"/>
      <c r="W562" s="49"/>
      <c r="X562" s="49"/>
      <c r="Y562" s="49"/>
      <c r="Z562" s="49"/>
      <c r="AA562" s="49"/>
      <c r="AB562" s="49"/>
      <c r="AC562" s="49"/>
      <c r="AD562" s="49"/>
      <c r="AE562" s="49"/>
      <c r="AF562" s="49"/>
      <c r="AG562" s="49"/>
      <c r="AH562" s="49"/>
      <c r="AI562" s="49"/>
      <c r="AJ562" s="49"/>
      <c r="AK562" s="49"/>
      <c r="AL562" s="49"/>
      <c r="AM562" s="49"/>
      <c r="AN562" s="49"/>
      <c r="AO562" s="49"/>
      <c r="AP562" s="49"/>
      <c r="AQ562" s="49"/>
      <c r="AR562" s="49"/>
      <c r="AS562" s="49"/>
      <c r="AT562" s="49"/>
      <c r="AU562" s="49"/>
      <c r="AV562" s="49"/>
      <c r="AW562" s="49"/>
      <c r="AX562" s="49"/>
      <c r="AY562" s="49"/>
      <c r="AZ562" s="49"/>
      <c r="BA562" s="49"/>
      <c r="BB562" s="49"/>
      <c r="BC562" s="49"/>
      <c r="BD562" s="49"/>
      <c r="BE562" s="49"/>
      <c r="BF562" s="49"/>
      <c r="BG562" s="49"/>
      <c r="BH562" s="49"/>
      <c r="BI562" s="49"/>
      <c r="BJ562" s="49"/>
      <c r="BK562" s="49"/>
      <c r="BL562" s="49"/>
      <c r="BM562" s="49"/>
      <c r="BN562" s="49"/>
      <c r="BO562" s="49"/>
      <c r="BP562" s="49"/>
      <c r="BQ562" s="49"/>
      <c r="BR562" s="49"/>
      <c r="BS562" s="49"/>
    </row>
    <row r="563" spans="4:71" outlineLevel="1" x14ac:dyDescent="0.2">
      <c r="J563" s="26"/>
      <c r="L563" s="55"/>
      <c r="M563" s="55"/>
      <c r="N563" s="55"/>
      <c r="O563" s="55"/>
      <c r="P563" s="55"/>
      <c r="Q563" s="55"/>
      <c r="R563" s="55"/>
      <c r="S563" s="55"/>
      <c r="T563" s="55"/>
      <c r="U563" s="55"/>
      <c r="V563" s="55"/>
      <c r="W563" s="55"/>
      <c r="X563" s="55"/>
      <c r="Y563" s="55"/>
      <c r="Z563" s="55"/>
      <c r="AA563" s="55"/>
      <c r="AB563" s="55"/>
      <c r="AC563" s="55"/>
      <c r="AD563" s="55"/>
      <c r="AE563" s="55"/>
      <c r="AF563" s="55"/>
      <c r="AG563" s="55"/>
      <c r="AH563" s="55"/>
      <c r="AI563" s="55"/>
      <c r="AJ563" s="55"/>
      <c r="AK563" s="55"/>
      <c r="AL563" s="55"/>
      <c r="AM563" s="55"/>
      <c r="AN563" s="55"/>
      <c r="AO563" s="55"/>
      <c r="AP563" s="55"/>
      <c r="AQ563" s="55"/>
      <c r="AR563" s="55"/>
      <c r="AS563" s="55"/>
      <c r="AT563" s="55"/>
      <c r="AU563" s="55"/>
      <c r="AV563" s="55"/>
      <c r="AW563" s="55"/>
      <c r="AX563" s="55"/>
      <c r="AY563" s="55"/>
      <c r="AZ563" s="55"/>
      <c r="BA563" s="55"/>
      <c r="BB563" s="55"/>
      <c r="BC563" s="55"/>
      <c r="BD563" s="55"/>
      <c r="BE563" s="55"/>
      <c r="BF563" s="55"/>
      <c r="BG563" s="55"/>
      <c r="BH563" s="55"/>
      <c r="BI563" s="55"/>
      <c r="BJ563" s="55"/>
      <c r="BK563" s="55"/>
      <c r="BL563" s="55"/>
      <c r="BM563" s="55"/>
      <c r="BN563" s="55"/>
      <c r="BO563" s="55"/>
      <c r="BP563" s="55"/>
      <c r="BQ563" s="55"/>
      <c r="BR563" s="55"/>
      <c r="BS563" s="55"/>
    </row>
    <row r="564" spans="4:71" x14ac:dyDescent="0.2">
      <c r="J564" s="26"/>
      <c r="L564" s="55"/>
      <c r="M564" s="55"/>
      <c r="N564" s="55"/>
      <c r="O564" s="55"/>
      <c r="P564" s="55"/>
      <c r="Q564" s="55"/>
      <c r="R564" s="55"/>
      <c r="S564" s="55"/>
      <c r="T564" s="55"/>
      <c r="U564" s="55"/>
      <c r="V564" s="55"/>
      <c r="W564" s="55"/>
      <c r="X564" s="55"/>
      <c r="Y564" s="55"/>
      <c r="Z564" s="55"/>
      <c r="AA564" s="55"/>
      <c r="AB564" s="55"/>
      <c r="AC564" s="55"/>
      <c r="AD564" s="55"/>
      <c r="AE564" s="55"/>
      <c r="AF564" s="55"/>
      <c r="AG564" s="55"/>
      <c r="AH564" s="55"/>
      <c r="AI564" s="55"/>
      <c r="AJ564" s="55"/>
      <c r="AK564" s="55"/>
      <c r="AL564" s="55"/>
      <c r="AM564" s="55"/>
      <c r="AN564" s="55"/>
      <c r="AO564" s="55"/>
      <c r="AP564" s="55"/>
      <c r="AQ564" s="55"/>
      <c r="AR564" s="55"/>
      <c r="AS564" s="55"/>
      <c r="AT564" s="55"/>
      <c r="AU564" s="55"/>
      <c r="AV564" s="55"/>
      <c r="AW564" s="55"/>
      <c r="AX564" s="55"/>
      <c r="AY564" s="55"/>
      <c r="AZ564" s="55"/>
      <c r="BA564" s="55"/>
      <c r="BB564" s="55"/>
      <c r="BC564" s="55"/>
      <c r="BD564" s="55"/>
      <c r="BE564" s="55"/>
      <c r="BF564" s="55"/>
      <c r="BG564" s="55"/>
      <c r="BH564" s="55"/>
      <c r="BI564" s="55"/>
      <c r="BJ564" s="55"/>
      <c r="BK564" s="55"/>
      <c r="BL564" s="55"/>
      <c r="BM564" s="55"/>
      <c r="BN564" s="55"/>
      <c r="BO564" s="55"/>
      <c r="BP564" s="55"/>
      <c r="BQ564" s="55"/>
      <c r="BR564" s="55"/>
      <c r="BS564" s="55"/>
    </row>
  </sheetData>
  <mergeCells count="4">
    <mergeCell ref="B7:E7"/>
    <mergeCell ref="B72:E72"/>
    <mergeCell ref="B111:E111"/>
    <mergeCell ref="B395:E395"/>
  </mergeCells>
  <pageMargins left="0.7" right="0.7" top="0.75" bottom="0.75" header="0.3" footer="0.3"/>
</worksheet>
</file>

<file path=docProps/app.xml><?xml version="1.0" encoding="utf-8"?>
<Properties xmlns="http://purl.oclc.org/ooxml/officeDocument/extendedProperties" xmlns:vt="http://purl.oclc.org/ooxml/officeDocument/docPropsVTypes">
  <Application>Microsoft Macintosh Excel</Application>
  <DocSecurity>0</DocSecurity>
  <ScaleCrop>false</ScaleCrop>
  <HeadingPairs>
    <vt:vector size="4" baseType="variant">
      <vt:variant>
        <vt:lpstr>Feuilles de calcul</vt:lpstr>
      </vt:variant>
      <vt:variant>
        <vt:i4>19</vt:i4>
      </vt:variant>
      <vt:variant>
        <vt:lpstr>Plages nommées</vt:lpstr>
      </vt:variant>
      <vt:variant>
        <vt:i4>1196</vt:i4>
      </vt:variant>
    </vt:vector>
  </HeadingPairs>
  <TitlesOfParts>
    <vt:vector size="1215" baseType="lpstr">
      <vt:lpstr>Info</vt:lpstr>
      <vt:lpstr>Tableau de bord Backcasting</vt:lpstr>
      <vt:lpstr>Tableau de bord Prévisions</vt:lpstr>
      <vt:lpstr>Données graphiques</vt:lpstr>
      <vt:lpstr>Données d'entrées</vt:lpstr>
      <vt:lpstr>Mwafi_PSC</vt:lpstr>
      <vt:lpstr>Haute_Mer_1994</vt:lpstr>
      <vt:lpstr> Résultats</vt:lpstr>
      <vt:lpstr>HM_ZA_Nkossa</vt:lpstr>
      <vt:lpstr>HM_ZB_Nsoko</vt:lpstr>
      <vt:lpstr>HM_ZD_Moho</vt:lpstr>
      <vt:lpstr>KLL_II_2020</vt:lpstr>
      <vt:lpstr>Loango_II</vt:lpstr>
      <vt:lpstr>Marine</vt:lpstr>
      <vt:lpstr>HM_ZD_AM3_2005</vt:lpstr>
      <vt:lpstr>Journal d'audit</vt:lpstr>
      <vt:lpstr>Prix Oil 2021</vt:lpstr>
      <vt:lpstr>Liste Traduction</vt:lpstr>
      <vt:lpstr>Modèle</vt:lpstr>
      <vt:lpstr>alt_HP2_toggle</vt:lpstr>
      <vt:lpstr>Haute_Mer_1994!CA_capex_to_recover</vt:lpstr>
      <vt:lpstr>HM_ZA_Nkossa!CA_capex_to_recover</vt:lpstr>
      <vt:lpstr>HM_ZB_Nsoko!CA_capex_to_recover</vt:lpstr>
      <vt:lpstr>HM_ZD_AM3_2005!CA_capex_to_recover</vt:lpstr>
      <vt:lpstr>HM_ZD_Moho!CA_capex_to_recover</vt:lpstr>
      <vt:lpstr>KLL_II_2020!CA_capex_to_recover</vt:lpstr>
      <vt:lpstr>Loango_II!CA_capex_to_recover</vt:lpstr>
      <vt:lpstr>Marine!CA_capex_to_recover</vt:lpstr>
      <vt:lpstr>CA_capex_to_recover</vt:lpstr>
      <vt:lpstr>CA_cost_recovered_gas</vt:lpstr>
      <vt:lpstr>CA_cost_recovered_oil</vt:lpstr>
      <vt:lpstr>Haute_Mer_1994!CA_cost_recovered_total</vt:lpstr>
      <vt:lpstr>HM_ZA_Nkossa!CA_cost_recovered_total</vt:lpstr>
      <vt:lpstr>HM_ZB_Nsoko!CA_cost_recovered_total</vt:lpstr>
      <vt:lpstr>HM_ZD_AM3_2005!CA_cost_recovered_total</vt:lpstr>
      <vt:lpstr>HM_ZD_Moho!CA_cost_recovered_total</vt:lpstr>
      <vt:lpstr>KLL_II_2020!CA_cost_recovered_total</vt:lpstr>
      <vt:lpstr>Loango_II!CA_cost_recovered_total</vt:lpstr>
      <vt:lpstr>Marine!CA_cost_recovered_total</vt:lpstr>
      <vt:lpstr>CA_cost_recovered_total</vt:lpstr>
      <vt:lpstr>Haute_Mer_1994!CA_cost_stop</vt:lpstr>
      <vt:lpstr>HM_ZA_Nkossa!CA_cost_stop</vt:lpstr>
      <vt:lpstr>HM_ZB_Nsoko!CA_cost_stop</vt:lpstr>
      <vt:lpstr>HM_ZD_AM3_2005!CA_cost_stop</vt:lpstr>
      <vt:lpstr>HM_ZD_Moho!CA_cost_stop</vt:lpstr>
      <vt:lpstr>KLL_II_2020!CA_cost_stop</vt:lpstr>
      <vt:lpstr>Loango_II!CA_cost_stop</vt:lpstr>
      <vt:lpstr>CA_cost_stop</vt:lpstr>
      <vt:lpstr>CA_cost_stop_gas</vt:lpstr>
      <vt:lpstr>CA_cost_stop_oil</vt:lpstr>
      <vt:lpstr>HM_ZD_Moho!CA_CS_HP_oil_nom</vt:lpstr>
      <vt:lpstr>CA_CS_HP_oil_nom</vt:lpstr>
      <vt:lpstr>Haute_Mer_1994!CA_cum_gross_prod_gas</vt:lpstr>
      <vt:lpstr>HM_ZA_Nkossa!CA_cum_gross_prod_gas</vt:lpstr>
      <vt:lpstr>HM_ZB_Nsoko!CA_cum_gross_prod_gas</vt:lpstr>
      <vt:lpstr>HM_ZD_AM3_2005!CA_cum_gross_prod_gas</vt:lpstr>
      <vt:lpstr>HM_ZD_Moho!CA_cum_gross_prod_gas</vt:lpstr>
      <vt:lpstr>KLL_II_2020!CA_cum_gross_prod_gas</vt:lpstr>
      <vt:lpstr>Loango_II!CA_cum_gross_prod_gas</vt:lpstr>
      <vt:lpstr>Marine!CA_cum_gross_prod_gas</vt:lpstr>
      <vt:lpstr>CA_cum_gross_prod_gas</vt:lpstr>
      <vt:lpstr>HM_ZB_Nsoko!CA_cum_gross_prod_lpg</vt:lpstr>
      <vt:lpstr>HM_ZD_AM3_2005!CA_cum_gross_prod_lpg</vt:lpstr>
      <vt:lpstr>KLL_II_2020!CA_cum_gross_prod_lpg</vt:lpstr>
      <vt:lpstr>Marine!CA_cum_gross_prod_lpg</vt:lpstr>
      <vt:lpstr>CA_cum_gross_prod_lpg</vt:lpstr>
      <vt:lpstr>Haute_Mer_1994!CA_cum_gross_prod_oil</vt:lpstr>
      <vt:lpstr>HM_ZA_Nkossa!CA_cum_gross_prod_oil</vt:lpstr>
      <vt:lpstr>HM_ZB_Nsoko!CA_cum_gross_prod_oil</vt:lpstr>
      <vt:lpstr>HM_ZD_AM3_2005!CA_cum_gross_prod_oil</vt:lpstr>
      <vt:lpstr>HM_ZD_Moho!CA_cum_gross_prod_oil</vt:lpstr>
      <vt:lpstr>KLL_II_2020!CA_cum_gross_prod_oil</vt:lpstr>
      <vt:lpstr>Loango_II!CA_cum_gross_prod_oil</vt:lpstr>
      <vt:lpstr>Marine!CA_cum_gross_prod_oil</vt:lpstr>
      <vt:lpstr>CA_cum_gross_prod_oil</vt:lpstr>
      <vt:lpstr>Haute_Mer_1994!CA_cum_gross_prod_Total</vt:lpstr>
      <vt:lpstr>HM_ZA_Nkossa!CA_cum_gross_prod_Total</vt:lpstr>
      <vt:lpstr>HM_ZB_Nsoko!CA_cum_gross_prod_Total</vt:lpstr>
      <vt:lpstr>HM_ZD_AM3_2005!CA_cum_gross_prod_Total</vt:lpstr>
      <vt:lpstr>HM_ZD_Moho!CA_cum_gross_prod_Total</vt:lpstr>
      <vt:lpstr>KLL_II_2020!CA_cum_gross_prod_Total</vt:lpstr>
      <vt:lpstr>Loango_II!CA_cum_gross_prod_Total</vt:lpstr>
      <vt:lpstr>Marine!CA_cum_gross_prod_Total</vt:lpstr>
      <vt:lpstr>CA_cum_gross_prod_Total</vt:lpstr>
      <vt:lpstr>HM_ZB_Nsoko!CA_cum_gross_sales_gas</vt:lpstr>
      <vt:lpstr>HM_ZD_AM3_2005!CA_cum_gross_sales_gas</vt:lpstr>
      <vt:lpstr>HM_ZD_Moho!CA_cum_gross_sales_gas</vt:lpstr>
      <vt:lpstr>KLL_II_2020!CA_cum_gross_sales_gas</vt:lpstr>
      <vt:lpstr>Marine!CA_cum_gross_sales_gas</vt:lpstr>
      <vt:lpstr>CA_cum_gross_sales_gas</vt:lpstr>
      <vt:lpstr>HM_ZB_Nsoko!CA_cum_gross_sales_lpg</vt:lpstr>
      <vt:lpstr>HM_ZD_AM3_2005!CA_cum_gross_sales_lpg</vt:lpstr>
      <vt:lpstr>HM_ZD_Moho!CA_cum_gross_sales_lpg</vt:lpstr>
      <vt:lpstr>KLL_II_2020!CA_cum_gross_sales_lpg</vt:lpstr>
      <vt:lpstr>Marine!CA_cum_gross_sales_lpg</vt:lpstr>
      <vt:lpstr>CA_cum_gross_sales_lpg</vt:lpstr>
      <vt:lpstr>HM_ZB_Nsoko!CA_cum_gross_sales_oil</vt:lpstr>
      <vt:lpstr>HM_ZD_AM3_2005!CA_cum_gross_sales_oil</vt:lpstr>
      <vt:lpstr>HM_ZD_Moho!CA_cum_gross_sales_oil</vt:lpstr>
      <vt:lpstr>KLL_II_2020!CA_cum_gross_sales_oil</vt:lpstr>
      <vt:lpstr>Marine!CA_cum_gross_sales_oil</vt:lpstr>
      <vt:lpstr>CA_cum_gross_sales_oil</vt:lpstr>
      <vt:lpstr>HM_ZB_Nsoko!CA_cum_gross_sales_Total</vt:lpstr>
      <vt:lpstr>HM_ZD_AM3_2005!CA_cum_gross_sales_Total</vt:lpstr>
      <vt:lpstr>HM_ZD_Moho!CA_cum_gross_sales_Total</vt:lpstr>
      <vt:lpstr>KLL_II_2020!CA_cum_gross_sales_Total</vt:lpstr>
      <vt:lpstr>Marine!CA_cum_gross_sales_Total</vt:lpstr>
      <vt:lpstr>CA_cum_gross_sales_Total</vt:lpstr>
      <vt:lpstr>Haute_Mer_1994!CA_decom_nom</vt:lpstr>
      <vt:lpstr>HM_ZA_Nkossa!CA_decom_nom</vt:lpstr>
      <vt:lpstr>HM_ZB_Nsoko!CA_decom_nom</vt:lpstr>
      <vt:lpstr>HM_ZD_AM3_2005!CA_decom_nom</vt:lpstr>
      <vt:lpstr>HM_ZD_Moho!CA_decom_nom</vt:lpstr>
      <vt:lpstr>KLL_II_2020!CA_decom_nom</vt:lpstr>
      <vt:lpstr>Loango_II!CA_decom_nom</vt:lpstr>
      <vt:lpstr>Marine!CA_decom_nom</vt:lpstr>
      <vt:lpstr>CA_decom_nom</vt:lpstr>
      <vt:lpstr>HM_ZB_Nsoko!CA_decom_to_recover</vt:lpstr>
      <vt:lpstr>HM_ZD_AM3_2005!CA_decom_to_recover</vt:lpstr>
      <vt:lpstr>HM_ZD_Moho!CA_decom_to_recover</vt:lpstr>
      <vt:lpstr>KLL_II_2020!CA_decom_to_recover</vt:lpstr>
      <vt:lpstr>Marine!CA_decom_to_recover</vt:lpstr>
      <vt:lpstr>CA_decom_to_recover</vt:lpstr>
      <vt:lpstr>Haute_Mer_1994!CA_devex_nom</vt:lpstr>
      <vt:lpstr>HM_ZA_Nkossa!CA_devex_nom</vt:lpstr>
      <vt:lpstr>HM_ZB_Nsoko!CA_devex_nom</vt:lpstr>
      <vt:lpstr>HM_ZD_AM3_2005!CA_devex_nom</vt:lpstr>
      <vt:lpstr>HM_ZD_Moho!CA_devex_nom</vt:lpstr>
      <vt:lpstr>KLL_II_2020!CA_devex_nom</vt:lpstr>
      <vt:lpstr>Loango_II!CA_devex_nom</vt:lpstr>
      <vt:lpstr>Marine!CA_devex_nom</vt:lpstr>
      <vt:lpstr>CA_devex_nom</vt:lpstr>
      <vt:lpstr>Haute_Mer_1994!CA_disc_factor_fc</vt:lpstr>
      <vt:lpstr>HM_ZA_Nkossa!CA_disc_factor_fc</vt:lpstr>
      <vt:lpstr>HM_ZB_Nsoko!CA_disc_factor_fc</vt:lpstr>
      <vt:lpstr>HM_ZD_AM3_2005!CA_disc_factor_fc</vt:lpstr>
      <vt:lpstr>HM_ZD_Moho!CA_disc_factor_fc</vt:lpstr>
      <vt:lpstr>KLL_II_2020!CA_disc_factor_fc</vt:lpstr>
      <vt:lpstr>Loango_II!CA_disc_factor_fc</vt:lpstr>
      <vt:lpstr>Marine!CA_disc_factor_fc</vt:lpstr>
      <vt:lpstr>CA_disc_factor_fc</vt:lpstr>
      <vt:lpstr>Haute_Mer_1994!CA_disc_factor_pf</vt:lpstr>
      <vt:lpstr>HM_ZA_Nkossa!CA_disc_factor_pf</vt:lpstr>
      <vt:lpstr>HM_ZB_Nsoko!CA_disc_factor_pf</vt:lpstr>
      <vt:lpstr>HM_ZD_AM3_2005!CA_disc_factor_pf</vt:lpstr>
      <vt:lpstr>HM_ZD_Moho!CA_disc_factor_pf</vt:lpstr>
      <vt:lpstr>KLL_II_2020!CA_disc_factor_pf</vt:lpstr>
      <vt:lpstr>Loango_II!CA_disc_factor_pf</vt:lpstr>
      <vt:lpstr>Marine!CA_disc_factor_pf</vt:lpstr>
      <vt:lpstr>CA_disc_factor_pf</vt:lpstr>
      <vt:lpstr>CA_domestic_sales_gas</vt:lpstr>
      <vt:lpstr>CA_EandA_nom</vt:lpstr>
      <vt:lpstr>Haute_Mer_1994!CA_ent_rev_gas</vt:lpstr>
      <vt:lpstr>HM_ZA_Nkossa!CA_ent_rev_gas</vt:lpstr>
      <vt:lpstr>HM_ZB_Nsoko!CA_ent_rev_gas</vt:lpstr>
      <vt:lpstr>HM_ZD_AM3_2005!CA_ent_rev_gas</vt:lpstr>
      <vt:lpstr>HM_ZD_Moho!CA_ent_rev_gas</vt:lpstr>
      <vt:lpstr>KLL_II_2020!CA_ent_rev_gas</vt:lpstr>
      <vt:lpstr>Loango_II!CA_ent_rev_gas</vt:lpstr>
      <vt:lpstr>Marine!CA_ent_rev_gas</vt:lpstr>
      <vt:lpstr>CA_ent_rev_gas</vt:lpstr>
      <vt:lpstr>Haute_Mer_1994!CA_ent_rev_oil</vt:lpstr>
      <vt:lpstr>HM_ZA_Nkossa!CA_ent_rev_oil</vt:lpstr>
      <vt:lpstr>HM_ZB_Nsoko!CA_ent_rev_oil</vt:lpstr>
      <vt:lpstr>HM_ZD_AM3_2005!CA_ent_rev_oil</vt:lpstr>
      <vt:lpstr>HM_ZD_Moho!CA_ent_rev_oil</vt:lpstr>
      <vt:lpstr>KLL_II_2020!CA_ent_rev_oil</vt:lpstr>
      <vt:lpstr>Loango_II!CA_ent_rev_oil</vt:lpstr>
      <vt:lpstr>Marine!CA_ent_rev_oil</vt:lpstr>
      <vt:lpstr>CA_ent_rev_oil</vt:lpstr>
      <vt:lpstr>HM_ZA_Nkossa!CA_ent_vol_total</vt:lpstr>
      <vt:lpstr>HM_ZB_Nsoko!CA_ent_vol_total</vt:lpstr>
      <vt:lpstr>HM_ZD_AM3_2005!CA_ent_vol_total</vt:lpstr>
      <vt:lpstr>HM_ZD_Moho!CA_ent_vol_total</vt:lpstr>
      <vt:lpstr>KLL_II_2020!CA_ent_vol_total</vt:lpstr>
      <vt:lpstr>Loango_II!CA_ent_vol_total</vt:lpstr>
      <vt:lpstr>Marine!CA_ent_vol_total</vt:lpstr>
      <vt:lpstr>CA_ent_vol_total</vt:lpstr>
      <vt:lpstr>Haute_Mer_1994!CA_excess_cost_recovery</vt:lpstr>
      <vt:lpstr>HM_ZA_Nkossa!CA_excess_cost_recovery</vt:lpstr>
      <vt:lpstr>HM_ZB_Nsoko!CA_excess_cost_recovery</vt:lpstr>
      <vt:lpstr>HM_ZD_AM3_2005!CA_excess_cost_recovery</vt:lpstr>
      <vt:lpstr>HM_ZD_Moho!CA_excess_cost_recovery</vt:lpstr>
      <vt:lpstr>KLL_II_2020!CA_excess_cost_recovery</vt:lpstr>
      <vt:lpstr>Loango_II!CA_excess_cost_recovery</vt:lpstr>
      <vt:lpstr>Marine!CA_excess_cost_recovery</vt:lpstr>
      <vt:lpstr>CA_excess_cost_recovery</vt:lpstr>
      <vt:lpstr>CA_excess_cost_recovery_gas</vt:lpstr>
      <vt:lpstr>CA_excess_cost_recovery_oil</vt:lpstr>
      <vt:lpstr>Haute_Mer_1994!CA_excess_CR_cont</vt:lpstr>
      <vt:lpstr>HM_ZA_Nkossa!CA_excess_CR_cont</vt:lpstr>
      <vt:lpstr>HM_ZB_Nsoko!CA_excess_CR_cont</vt:lpstr>
      <vt:lpstr>HM_ZD_AM3_2005!CA_excess_CR_cont</vt:lpstr>
      <vt:lpstr>HM_ZD_Moho!CA_excess_CR_cont</vt:lpstr>
      <vt:lpstr>KLL_II_2020!CA_excess_CR_cont</vt:lpstr>
      <vt:lpstr>Loango_II!CA_excess_CR_cont</vt:lpstr>
      <vt:lpstr>Marine!CA_excess_CR_cont</vt:lpstr>
      <vt:lpstr>CA_excess_CR_cont</vt:lpstr>
      <vt:lpstr>Haute_Mer_1994!CA_excess_CR_gov</vt:lpstr>
      <vt:lpstr>HM_ZA_Nkossa!CA_excess_CR_gov</vt:lpstr>
      <vt:lpstr>HM_ZB_Nsoko!CA_excess_CR_gov</vt:lpstr>
      <vt:lpstr>HM_ZD_AM3_2005!CA_excess_CR_gov</vt:lpstr>
      <vt:lpstr>HM_ZD_Moho!CA_excess_CR_gov</vt:lpstr>
      <vt:lpstr>KLL_II_2020!CA_excess_CR_gov</vt:lpstr>
      <vt:lpstr>Loango_II!CA_excess_CR_gov</vt:lpstr>
      <vt:lpstr>Marine!CA_excess_CR_gov</vt:lpstr>
      <vt:lpstr>CA_excess_CR_gov</vt:lpstr>
      <vt:lpstr>Haute_Mer_1994!CA_expex_nom</vt:lpstr>
      <vt:lpstr>HM_ZA_Nkossa!CA_expex_nom</vt:lpstr>
      <vt:lpstr>HM_ZB_Nsoko!CA_expex_nom</vt:lpstr>
      <vt:lpstr>HM_ZD_AM3_2005!CA_expex_nom</vt:lpstr>
      <vt:lpstr>HM_ZD_Moho!CA_expex_nom</vt:lpstr>
      <vt:lpstr>KLL_II_2020!CA_expex_nom</vt:lpstr>
      <vt:lpstr>Loango_II!CA_expex_nom</vt:lpstr>
      <vt:lpstr>Marine!CA_expex_nom</vt:lpstr>
      <vt:lpstr>CA_expex_nom</vt:lpstr>
      <vt:lpstr>Haute_Mer_1994!CA_expex_to_recover</vt:lpstr>
      <vt:lpstr>HM_ZA_Nkossa!CA_expex_to_recover</vt:lpstr>
      <vt:lpstr>HM_ZB_Nsoko!CA_expex_to_recover</vt:lpstr>
      <vt:lpstr>HM_ZD_AM3_2005!CA_expex_to_recover</vt:lpstr>
      <vt:lpstr>HM_ZD_Moho!CA_expex_to_recover</vt:lpstr>
      <vt:lpstr>KLL_II_2020!CA_expex_to_recover</vt:lpstr>
      <vt:lpstr>Loango_II!CA_expex_to_recover</vt:lpstr>
      <vt:lpstr>Marine!CA_expex_to_recover</vt:lpstr>
      <vt:lpstr>CA_expex_to_recover</vt:lpstr>
      <vt:lpstr>CA_export_sales_gas</vt:lpstr>
      <vt:lpstr>CA_exportgas_perc</vt:lpstr>
      <vt:lpstr>Haute_Mer_1994!CA_fixedopex_nom</vt:lpstr>
      <vt:lpstr>HM_ZA_Nkossa!CA_fixedopex_nom</vt:lpstr>
      <vt:lpstr>HM_ZB_Nsoko!CA_fixedopex_nom</vt:lpstr>
      <vt:lpstr>HM_ZD_AM3_2005!CA_fixedopex_nom</vt:lpstr>
      <vt:lpstr>HM_ZD_Moho!CA_fixedopex_nom</vt:lpstr>
      <vt:lpstr>KLL_II_2020!CA_fixedopex_nom</vt:lpstr>
      <vt:lpstr>Loango_II!CA_fixedopex_nom</vt:lpstr>
      <vt:lpstr>Marine!CA_fixedopex_nom</vt:lpstr>
      <vt:lpstr>CA_fixedopex_nom</vt:lpstr>
      <vt:lpstr>CA_FP_domestic_gas_nom</vt:lpstr>
      <vt:lpstr>Haute_Mer_1994!CA_FP_gas_nom</vt:lpstr>
      <vt:lpstr>HM_ZA_Nkossa!CA_FP_gas_nom</vt:lpstr>
      <vt:lpstr>HM_ZB_Nsoko!CA_FP_gas_nom</vt:lpstr>
      <vt:lpstr>HM_ZD_AM3_2005!CA_FP_gas_nom</vt:lpstr>
      <vt:lpstr>HM_ZD_Moho!CA_FP_gas_nom</vt:lpstr>
      <vt:lpstr>KLL_II_2020!CA_FP_gas_nom</vt:lpstr>
      <vt:lpstr>Loango_II!CA_FP_gas_nom</vt:lpstr>
      <vt:lpstr>Marine!CA_FP_gas_nom</vt:lpstr>
      <vt:lpstr>CA_FP_gas_nom</vt:lpstr>
      <vt:lpstr>HM_ZB_Nsoko!CA_FP_lpg_nom</vt:lpstr>
      <vt:lpstr>HM_ZD_AM3_2005!CA_FP_lpg_nom</vt:lpstr>
      <vt:lpstr>HM_ZD_Moho!CA_FP_lpg_nom</vt:lpstr>
      <vt:lpstr>KLL_II_2020!CA_FP_lpg_nom</vt:lpstr>
      <vt:lpstr>Marine!CA_FP_lpg_nom</vt:lpstr>
      <vt:lpstr>CA_FP_lpg_nom</vt:lpstr>
      <vt:lpstr>Haute_Mer_1994!CA_FP_oil_nom</vt:lpstr>
      <vt:lpstr>HM_ZA_Nkossa!CA_FP_oil_nom</vt:lpstr>
      <vt:lpstr>HM_ZB_Nsoko!CA_FP_oil_nom</vt:lpstr>
      <vt:lpstr>HM_ZD_AM3_2005!CA_FP_oil_nom</vt:lpstr>
      <vt:lpstr>HM_ZD_Moho!CA_FP_oil_nom</vt:lpstr>
      <vt:lpstr>KLL_II_2020!CA_FP_oil_nom</vt:lpstr>
      <vt:lpstr>Loango_II!CA_FP_oil_nom</vt:lpstr>
      <vt:lpstr>Marine!CA_FP_oil_nom</vt:lpstr>
      <vt:lpstr>CA_FP_oil_nom</vt:lpstr>
      <vt:lpstr>HM_ZA_Nkossa!CA_gco</vt:lpstr>
      <vt:lpstr>HM_ZD_Moho!CA_gco</vt:lpstr>
      <vt:lpstr>KLL_II_2020!CA_gco</vt:lpstr>
      <vt:lpstr>Loango_II!CA_gco</vt:lpstr>
      <vt:lpstr>CA_gco</vt:lpstr>
      <vt:lpstr>Haute_Mer_1994!CA_gross_prod_gas</vt:lpstr>
      <vt:lpstr>HM_ZA_Nkossa!CA_gross_prod_gas</vt:lpstr>
      <vt:lpstr>HM_ZB_Nsoko!CA_gross_prod_gas</vt:lpstr>
      <vt:lpstr>HM_ZD_AM3_2005!CA_gross_prod_gas</vt:lpstr>
      <vt:lpstr>HM_ZD_Moho!CA_gross_prod_gas</vt:lpstr>
      <vt:lpstr>KLL_II_2020!CA_gross_prod_gas</vt:lpstr>
      <vt:lpstr>Loango_II!CA_gross_prod_gas</vt:lpstr>
      <vt:lpstr>Marine!CA_gross_prod_gas</vt:lpstr>
      <vt:lpstr>CA_gross_prod_gas</vt:lpstr>
      <vt:lpstr>HM_ZB_Nsoko!CA_gross_prod_lpg</vt:lpstr>
      <vt:lpstr>HM_ZD_AM3_2005!CA_gross_prod_lpg</vt:lpstr>
      <vt:lpstr>HM_ZD_Moho!CA_gross_prod_lpg</vt:lpstr>
      <vt:lpstr>KLL_II_2020!CA_gross_prod_lpg</vt:lpstr>
      <vt:lpstr>Marine!CA_gross_prod_lpg</vt:lpstr>
      <vt:lpstr>CA_gross_prod_lpg</vt:lpstr>
      <vt:lpstr>Haute_Mer_1994!CA_gross_prod_oil</vt:lpstr>
      <vt:lpstr>HM_ZA_Nkossa!CA_gross_prod_oil</vt:lpstr>
      <vt:lpstr>HM_ZB_Nsoko!CA_gross_prod_oil</vt:lpstr>
      <vt:lpstr>HM_ZD_AM3_2005!CA_gross_prod_oil</vt:lpstr>
      <vt:lpstr>HM_ZD_Moho!CA_gross_prod_oil</vt:lpstr>
      <vt:lpstr>KLL_II_2020!CA_gross_prod_oil</vt:lpstr>
      <vt:lpstr>Loango_II!CA_gross_prod_oil</vt:lpstr>
      <vt:lpstr>Marine!CA_gross_prod_oil</vt:lpstr>
      <vt:lpstr>CA_gross_prod_oil</vt:lpstr>
      <vt:lpstr>HM_ZA_Nkossa!CA_gross_prod_Total</vt:lpstr>
      <vt:lpstr>HM_ZB_Nsoko!CA_gross_prod_Total</vt:lpstr>
      <vt:lpstr>HM_ZD_AM3_2005!CA_gross_prod_Total</vt:lpstr>
      <vt:lpstr>HM_ZD_Moho!CA_gross_prod_Total</vt:lpstr>
      <vt:lpstr>KLL_II_2020!CA_gross_prod_Total</vt:lpstr>
      <vt:lpstr>Loango_II!CA_gross_prod_Total</vt:lpstr>
      <vt:lpstr>Marine!CA_gross_prod_Total</vt:lpstr>
      <vt:lpstr>CA_gross_prod_Total</vt:lpstr>
      <vt:lpstr>CA_gross_rev_domestic_gas_fp</vt:lpstr>
      <vt:lpstr>Haute_Mer_1994!CA_gross_rev_gas_fp</vt:lpstr>
      <vt:lpstr>HM_ZA_Nkossa!CA_gross_rev_gas_fp</vt:lpstr>
      <vt:lpstr>HM_ZB_Nsoko!CA_gross_rev_gas_fp</vt:lpstr>
      <vt:lpstr>HM_ZD_AM3_2005!CA_gross_rev_gas_fp</vt:lpstr>
      <vt:lpstr>HM_ZD_Moho!CA_gross_rev_gas_fp</vt:lpstr>
      <vt:lpstr>KLL_II_2020!CA_gross_rev_gas_fp</vt:lpstr>
      <vt:lpstr>Loango_II!CA_gross_rev_gas_fp</vt:lpstr>
      <vt:lpstr>Marine!CA_gross_rev_gas_fp</vt:lpstr>
      <vt:lpstr>CA_gross_rev_gas_fp</vt:lpstr>
      <vt:lpstr>Haute_Mer_1994!CA_gross_rev_oil_difference</vt:lpstr>
      <vt:lpstr>HM_ZB_Nsoko!CA_gross_rev_oil_difference</vt:lpstr>
      <vt:lpstr>HM_ZD_AM3_2005!CA_gross_rev_oil_difference</vt:lpstr>
      <vt:lpstr>HM_ZD_Moho!CA_gross_rev_oil_difference</vt:lpstr>
      <vt:lpstr>KLL_II_2020!CA_gross_rev_oil_difference</vt:lpstr>
      <vt:lpstr>Loango_II!CA_gross_rev_oil_difference</vt:lpstr>
      <vt:lpstr>Marine!CA_gross_rev_oil_difference</vt:lpstr>
      <vt:lpstr>CA_gross_rev_oil_difference</vt:lpstr>
      <vt:lpstr>HM_ZB_Nsoko!CA_gross_rev_oil_difference1</vt:lpstr>
      <vt:lpstr>HM_ZD_Moho!CA_gross_rev_oil_difference1</vt:lpstr>
      <vt:lpstr>KLL_II_2020!CA_gross_rev_oil_difference1</vt:lpstr>
      <vt:lpstr>CA_gross_rev_oil_difference1</vt:lpstr>
      <vt:lpstr>HM_ZB_Nsoko!CA_gross_rev_oil_difference2</vt:lpstr>
      <vt:lpstr>HM_ZD_Moho!CA_gross_rev_oil_difference2</vt:lpstr>
      <vt:lpstr>KLL_II_2020!CA_gross_rev_oil_difference2</vt:lpstr>
      <vt:lpstr>CA_gross_rev_oil_difference2</vt:lpstr>
      <vt:lpstr>Haute_Mer_1994!CA_gross_rev_oil_fp</vt:lpstr>
      <vt:lpstr>HM_ZA_Nkossa!CA_gross_rev_oil_fp</vt:lpstr>
      <vt:lpstr>HM_ZB_Nsoko!CA_gross_rev_oil_fp</vt:lpstr>
      <vt:lpstr>HM_ZD_AM3_2005!CA_gross_rev_oil_fp</vt:lpstr>
      <vt:lpstr>HM_ZD_Moho!CA_gross_rev_oil_fp</vt:lpstr>
      <vt:lpstr>KLL_II_2020!CA_gross_rev_oil_fp</vt:lpstr>
      <vt:lpstr>Loango_II!CA_gross_rev_oil_fp</vt:lpstr>
      <vt:lpstr>Marine!CA_gross_rev_oil_fp</vt:lpstr>
      <vt:lpstr>CA_gross_rev_oil_fp</vt:lpstr>
      <vt:lpstr>Haute_Mer_1994!CA_gross_rev_oil_hp</vt:lpstr>
      <vt:lpstr>HM_ZB_Nsoko!CA_gross_rev_oil_hp</vt:lpstr>
      <vt:lpstr>HM_ZD_AM3_2005!CA_gross_rev_oil_hp</vt:lpstr>
      <vt:lpstr>KLL_II_2020!CA_gross_rev_oil_hp</vt:lpstr>
      <vt:lpstr>Loango_II!CA_gross_rev_oil_hp</vt:lpstr>
      <vt:lpstr>Marine!CA_gross_rev_oil_hp</vt:lpstr>
      <vt:lpstr>CA_gross_rev_oil_hp</vt:lpstr>
      <vt:lpstr>HM_ZA_Nkossa!CA_gross_rev_oil_hp1</vt:lpstr>
      <vt:lpstr>HM_ZB_Nsoko!CA_gross_rev_oil_hp1</vt:lpstr>
      <vt:lpstr>KLL_II_2020!CA_gross_rev_oil_hp1</vt:lpstr>
      <vt:lpstr>CA_gross_rev_oil_hp1</vt:lpstr>
      <vt:lpstr>HM_ZA_Nkossa!CA_gross_rev_oil_hp2</vt:lpstr>
      <vt:lpstr>HM_ZB_Nsoko!CA_gross_rev_oil_hp2</vt:lpstr>
      <vt:lpstr>KLL_II_2020!CA_gross_rev_oil_hp2</vt:lpstr>
      <vt:lpstr>CA_gross_rev_oil_hp2</vt:lpstr>
      <vt:lpstr>Haute_Mer_1994!CA_gross_rev_total_fp</vt:lpstr>
      <vt:lpstr>HM_ZA_Nkossa!CA_gross_rev_total_fp</vt:lpstr>
      <vt:lpstr>HM_ZB_Nsoko!CA_gross_rev_total_fp</vt:lpstr>
      <vt:lpstr>HM_ZD_AM3_2005!CA_gross_rev_total_fp</vt:lpstr>
      <vt:lpstr>HM_ZD_Moho!CA_gross_rev_total_fp</vt:lpstr>
      <vt:lpstr>KLL_II_2020!CA_gross_rev_total_fp</vt:lpstr>
      <vt:lpstr>Loango_II!CA_gross_rev_total_fp</vt:lpstr>
      <vt:lpstr>Marine!CA_gross_rev_total_fp</vt:lpstr>
      <vt:lpstr>CA_gross_rev_total_fp</vt:lpstr>
      <vt:lpstr>HM_ZB_Nsoko!CA_gross_sales_gas</vt:lpstr>
      <vt:lpstr>HM_ZD_AM3_2005!CA_gross_sales_gas</vt:lpstr>
      <vt:lpstr>HM_ZD_Moho!CA_gross_sales_gas</vt:lpstr>
      <vt:lpstr>KLL_II_2020!CA_gross_sales_gas</vt:lpstr>
      <vt:lpstr>Marine!CA_gross_sales_gas</vt:lpstr>
      <vt:lpstr>CA_gross_sales_gas</vt:lpstr>
      <vt:lpstr>HM_ZB_Nsoko!CA_gross_sales_lpg</vt:lpstr>
      <vt:lpstr>HM_ZD_AM3_2005!CA_gross_sales_lpg</vt:lpstr>
      <vt:lpstr>HM_ZD_Moho!CA_gross_sales_lpg</vt:lpstr>
      <vt:lpstr>KLL_II_2020!CA_gross_sales_lpg</vt:lpstr>
      <vt:lpstr>Marine!CA_gross_sales_lpg</vt:lpstr>
      <vt:lpstr>CA_gross_sales_lpg</vt:lpstr>
      <vt:lpstr>HM_ZB_Nsoko!CA_gross_sales_oil</vt:lpstr>
      <vt:lpstr>HM_ZD_AM3_2005!CA_gross_sales_oil</vt:lpstr>
      <vt:lpstr>HM_ZD_Moho!CA_gross_sales_oil</vt:lpstr>
      <vt:lpstr>KLL_II_2020!CA_gross_sales_oil</vt:lpstr>
      <vt:lpstr>Marine!CA_gross_sales_oil</vt:lpstr>
      <vt:lpstr>CA_gross_sales_oil</vt:lpstr>
      <vt:lpstr>HM_ZB_Nsoko!CA_gross_sales_Total</vt:lpstr>
      <vt:lpstr>HM_ZD_AM3_2005!CA_gross_sales_Total</vt:lpstr>
      <vt:lpstr>HM_ZD_Moho!CA_gross_sales_Total</vt:lpstr>
      <vt:lpstr>KLL_II_2020!CA_gross_sales_Total</vt:lpstr>
      <vt:lpstr>Marine!CA_gross_sales_Total</vt:lpstr>
      <vt:lpstr>CA_gross_sales_Total</vt:lpstr>
      <vt:lpstr>HM_ZB_Nsoko!CA_HP_effective</vt:lpstr>
      <vt:lpstr>HM_ZD_Moho!CA_HP_effective</vt:lpstr>
      <vt:lpstr>KLL_II_2020!CA_HP_effective</vt:lpstr>
      <vt:lpstr>Marine!CA_HP_effective</vt:lpstr>
      <vt:lpstr>CA_HP_effective</vt:lpstr>
      <vt:lpstr>Haute_Mer_1994!CA_HP_oil_nom</vt:lpstr>
      <vt:lpstr>HM_ZB_Nsoko!CA_HP_oil_nom</vt:lpstr>
      <vt:lpstr>HM_ZD_AM3_2005!CA_HP_oil_nom</vt:lpstr>
      <vt:lpstr>KLL_II_2020!CA_HP_oil_nom</vt:lpstr>
      <vt:lpstr>Loango_II!CA_HP_oil_nom</vt:lpstr>
      <vt:lpstr>Marine!CA_HP_oil_nom</vt:lpstr>
      <vt:lpstr>CA_HP_oil_nom</vt:lpstr>
      <vt:lpstr>CA_HP_oil_nom_period1</vt:lpstr>
      <vt:lpstr>CA_HP_oil_nom_period2</vt:lpstr>
      <vt:lpstr>HM_ZB_Nsoko!CA_HP1_oil_nom</vt:lpstr>
      <vt:lpstr>KLL_II_2020!CA_HP1_oil_nom</vt:lpstr>
      <vt:lpstr>CA_HP1_oil_nom</vt:lpstr>
      <vt:lpstr>HM_ZB_Nsoko!CA_HP2_oil_nom</vt:lpstr>
      <vt:lpstr>KLL_II_2020!CA_HP2_oil_nom</vt:lpstr>
      <vt:lpstr>CA_HP2_oil_nom</vt:lpstr>
      <vt:lpstr>HM_ZD_Moho!CA_infl_index_HP</vt:lpstr>
      <vt:lpstr>Marine!CA_infl_index_HP</vt:lpstr>
      <vt:lpstr>CA_infl_index_HP</vt:lpstr>
      <vt:lpstr>CA_infl_index_HP_CS</vt:lpstr>
      <vt:lpstr>HM_ZB_Nsoko!CA_infl_index_HP1</vt:lpstr>
      <vt:lpstr>KLL_II_2020!CA_infl_index_HP1</vt:lpstr>
      <vt:lpstr>CA_infl_index_HP1</vt:lpstr>
      <vt:lpstr>KLL_II_2020!CA_infl_index_HP2</vt:lpstr>
      <vt:lpstr>CA_infl_index_HP2</vt:lpstr>
      <vt:lpstr>Haute_Mer_1994!CA_IOC_WI</vt:lpstr>
      <vt:lpstr>HM_ZA_Nkossa!CA_IOC_WI</vt:lpstr>
      <vt:lpstr>HM_ZB_Nsoko!CA_IOC_WI</vt:lpstr>
      <vt:lpstr>HM_ZD_AM3_2005!CA_IOC_WI</vt:lpstr>
      <vt:lpstr>HM_ZD_Moho!CA_IOC_WI</vt:lpstr>
      <vt:lpstr>KLL_II_2020!CA_IOC_WI</vt:lpstr>
      <vt:lpstr>Loango_II!CA_IOC_WI</vt:lpstr>
      <vt:lpstr>Marine!CA_IOC_WI</vt:lpstr>
      <vt:lpstr>CA_IOC_WI</vt:lpstr>
      <vt:lpstr>Haute_Mer_1994!CA_NOC_carried_costs</vt:lpstr>
      <vt:lpstr>HM_ZA_Nkossa!CA_NOC_carried_costs</vt:lpstr>
      <vt:lpstr>HM_ZB_Nsoko!CA_NOC_carried_costs</vt:lpstr>
      <vt:lpstr>HM_ZD_AM3_2005!CA_NOC_carried_costs</vt:lpstr>
      <vt:lpstr>HM_ZD_Moho!CA_NOC_carried_costs</vt:lpstr>
      <vt:lpstr>KLL_II_2020!CA_NOC_carried_costs</vt:lpstr>
      <vt:lpstr>Loango_II!CA_NOC_carried_costs</vt:lpstr>
      <vt:lpstr>Marine!CA_NOC_carried_costs</vt:lpstr>
      <vt:lpstr>CA_NOC_carried_costs</vt:lpstr>
      <vt:lpstr>Haute_Mer_1994!CA_NOC_carry_payback</vt:lpstr>
      <vt:lpstr>HM_ZA_Nkossa!CA_NOC_carry_payback</vt:lpstr>
      <vt:lpstr>HM_ZB_Nsoko!CA_NOC_carry_payback</vt:lpstr>
      <vt:lpstr>HM_ZD_AM3_2005!CA_NOC_carry_payback</vt:lpstr>
      <vt:lpstr>HM_ZD_Moho!CA_NOC_carry_payback</vt:lpstr>
      <vt:lpstr>KLL_II_2020!CA_NOC_carry_payback</vt:lpstr>
      <vt:lpstr>Loango_II!CA_NOC_carry_payback</vt:lpstr>
      <vt:lpstr>Marine!CA_NOC_carry_payback</vt:lpstr>
      <vt:lpstr>CA_NOC_carry_payback</vt:lpstr>
      <vt:lpstr>Haute_Mer_1994!CA_NOC_CI_devex</vt:lpstr>
      <vt:lpstr>HM_ZA_Nkossa!CA_NOC_CI_devex</vt:lpstr>
      <vt:lpstr>HM_ZB_Nsoko!CA_NOC_CI_devex</vt:lpstr>
      <vt:lpstr>HM_ZD_AM3_2005!CA_NOC_CI_devex</vt:lpstr>
      <vt:lpstr>HM_ZD_Moho!CA_NOC_CI_devex</vt:lpstr>
      <vt:lpstr>KLL_II_2020!CA_NOC_CI_devex</vt:lpstr>
      <vt:lpstr>Loango_II!CA_NOC_CI_devex</vt:lpstr>
      <vt:lpstr>Marine!CA_NOC_CI_devex</vt:lpstr>
      <vt:lpstr>CA_NOC_CI_devex</vt:lpstr>
      <vt:lpstr>Haute_Mer_1994!CA_NOC_CI_expex</vt:lpstr>
      <vt:lpstr>HM_ZA_Nkossa!CA_NOC_CI_expex</vt:lpstr>
      <vt:lpstr>HM_ZB_Nsoko!CA_NOC_CI_expex</vt:lpstr>
      <vt:lpstr>HM_ZD_AM3_2005!CA_NOC_CI_expex</vt:lpstr>
      <vt:lpstr>HM_ZD_Moho!CA_NOC_CI_expex</vt:lpstr>
      <vt:lpstr>KLL_II_2020!CA_NOC_CI_expex</vt:lpstr>
      <vt:lpstr>Loango_II!CA_NOC_CI_expex</vt:lpstr>
      <vt:lpstr>Marine!CA_NOC_CI_expex</vt:lpstr>
      <vt:lpstr>CA_NOC_CI_expex</vt:lpstr>
      <vt:lpstr>Haute_Mer_1994!CA_NOC_CI_opex</vt:lpstr>
      <vt:lpstr>HM_ZA_Nkossa!CA_NOC_CI_opex</vt:lpstr>
      <vt:lpstr>HM_ZB_Nsoko!CA_NOC_CI_opex</vt:lpstr>
      <vt:lpstr>HM_ZD_AM3_2005!CA_NOC_CI_opex</vt:lpstr>
      <vt:lpstr>HM_ZD_Moho!CA_NOC_CI_opex</vt:lpstr>
      <vt:lpstr>KLL_II_2020!CA_NOC_CI_opex</vt:lpstr>
      <vt:lpstr>Loango_II!CA_NOC_CI_opex</vt:lpstr>
      <vt:lpstr>Marine!CA_NOC_CI_opex</vt:lpstr>
      <vt:lpstr>CA_NOC_CI_opex</vt:lpstr>
      <vt:lpstr>Haute_Mer_1994!CA_NOC_WI</vt:lpstr>
      <vt:lpstr>HM_ZA_Nkossa!CA_NOC_WI</vt:lpstr>
      <vt:lpstr>HM_ZB_Nsoko!CA_NOC_WI</vt:lpstr>
      <vt:lpstr>HM_ZD_AM3_2005!CA_NOC_WI</vt:lpstr>
      <vt:lpstr>HM_ZD_Moho!CA_NOC_WI</vt:lpstr>
      <vt:lpstr>KLL_II_2020!CA_NOC_WI</vt:lpstr>
      <vt:lpstr>Loango_II!CA_NOC_WI</vt:lpstr>
      <vt:lpstr>Marine!CA_NOC_WI</vt:lpstr>
      <vt:lpstr>CA_NOC_WI</vt:lpstr>
      <vt:lpstr>Haute_Mer_1994!CA_op_trig</vt:lpstr>
      <vt:lpstr>HM_ZA_Nkossa!CA_op_trig</vt:lpstr>
      <vt:lpstr>HM_ZB_Nsoko!CA_op_trig</vt:lpstr>
      <vt:lpstr>HM_ZD_AM3_2005!CA_op_trig</vt:lpstr>
      <vt:lpstr>HM_ZD_Moho!CA_op_trig</vt:lpstr>
      <vt:lpstr>KLL_II_2020!CA_op_trig</vt:lpstr>
      <vt:lpstr>Loango_II!CA_op_trig</vt:lpstr>
      <vt:lpstr>Marine!CA_op_trig</vt:lpstr>
      <vt:lpstr>CA_op_trig</vt:lpstr>
      <vt:lpstr>Haute_Mer_1994!CA_opex_to_recover</vt:lpstr>
      <vt:lpstr>HM_ZA_Nkossa!CA_opex_to_recover</vt:lpstr>
      <vt:lpstr>HM_ZB_Nsoko!CA_opex_to_recover</vt:lpstr>
      <vt:lpstr>HM_ZD_AM3_2005!CA_opex_to_recover</vt:lpstr>
      <vt:lpstr>HM_ZD_Moho!CA_opex_to_recover</vt:lpstr>
      <vt:lpstr>KLL_II_2020!CA_opex_to_recover</vt:lpstr>
      <vt:lpstr>Loango_II!CA_opex_to_recover</vt:lpstr>
      <vt:lpstr>Marine!CA_opex_to_recover</vt:lpstr>
      <vt:lpstr>CA_opex_to_recover</vt:lpstr>
      <vt:lpstr>Haute_Mer_1994!CA_opex_total_nom</vt:lpstr>
      <vt:lpstr>HM_ZA_Nkossa!CA_opex_total_nom</vt:lpstr>
      <vt:lpstr>HM_ZB_Nsoko!CA_opex_total_nom</vt:lpstr>
      <vt:lpstr>HM_ZD_AM3_2005!CA_opex_total_nom</vt:lpstr>
      <vt:lpstr>HM_ZD_Moho!CA_opex_total_nom</vt:lpstr>
      <vt:lpstr>KLL_II_2020!CA_opex_total_nom</vt:lpstr>
      <vt:lpstr>Loango_II!CA_opex_total_nom</vt:lpstr>
      <vt:lpstr>Marine!CA_opex_total_nom</vt:lpstr>
      <vt:lpstr>CA_opex_total_nom</vt:lpstr>
      <vt:lpstr>CA_period_trig</vt:lpstr>
      <vt:lpstr>Haute_Mer_1994!CA_pid_fees</vt:lpstr>
      <vt:lpstr>HM_ZA_Nkossa!CA_pid_fees</vt:lpstr>
      <vt:lpstr>HM_ZB_Nsoko!CA_pid_fees</vt:lpstr>
      <vt:lpstr>HM_ZD_AM3_2005!CA_pid_fees</vt:lpstr>
      <vt:lpstr>HM_ZD_Moho!CA_pid_fees</vt:lpstr>
      <vt:lpstr>KLL_II_2020!CA_pid_fees</vt:lpstr>
      <vt:lpstr>Loango_II!CA_pid_fees</vt:lpstr>
      <vt:lpstr>Marine!CA_pid_fees</vt:lpstr>
      <vt:lpstr>CA_pid_fees</vt:lpstr>
      <vt:lpstr>Haute_Mer_1994!CA_pid_to_recover</vt:lpstr>
      <vt:lpstr>HM_ZA_Nkossa!CA_pid_to_recover</vt:lpstr>
      <vt:lpstr>HM_ZB_Nsoko!CA_pid_to_recover</vt:lpstr>
      <vt:lpstr>HM_ZD_AM3_2005!CA_pid_to_recover</vt:lpstr>
      <vt:lpstr>HM_ZD_Moho!CA_pid_to_recover</vt:lpstr>
      <vt:lpstr>KLL_II_2020!CA_pid_to_recover</vt:lpstr>
      <vt:lpstr>Loango_II!CA_pid_to_recover</vt:lpstr>
      <vt:lpstr>Marine!CA_pid_to_recover</vt:lpstr>
      <vt:lpstr>CA_pid_to_recover</vt:lpstr>
      <vt:lpstr>Haute_Mer_1994!CA_PS_cont</vt:lpstr>
      <vt:lpstr>HM_ZA_Nkossa!CA_PS_cont</vt:lpstr>
      <vt:lpstr>HM_ZB_Nsoko!CA_PS_cont</vt:lpstr>
      <vt:lpstr>HM_ZD_AM3_2005!CA_PS_cont</vt:lpstr>
      <vt:lpstr>HM_ZD_Moho!CA_PS_cont</vt:lpstr>
      <vt:lpstr>KLL_II_2020!CA_PS_cont</vt:lpstr>
      <vt:lpstr>Loango_II!CA_PS_cont</vt:lpstr>
      <vt:lpstr>Marine!CA_PS_cont</vt:lpstr>
      <vt:lpstr>CA_PS_cont</vt:lpstr>
      <vt:lpstr>Haute_Mer_1994!CA_PS_gov</vt:lpstr>
      <vt:lpstr>HM_ZA_Nkossa!CA_PS_gov</vt:lpstr>
      <vt:lpstr>HM_ZB_Nsoko!CA_PS_gov</vt:lpstr>
      <vt:lpstr>HM_ZD_AM3_2005!CA_PS_gov</vt:lpstr>
      <vt:lpstr>HM_ZD_Moho!CA_PS_gov</vt:lpstr>
      <vt:lpstr>KLL_II_2020!CA_PS_gov</vt:lpstr>
      <vt:lpstr>Loango_II!CA_PS_gov</vt:lpstr>
      <vt:lpstr>Marine!CA_PS_gov</vt:lpstr>
      <vt:lpstr>CA_PS_gov</vt:lpstr>
      <vt:lpstr>CA_PSC_period_trig</vt:lpstr>
      <vt:lpstr>HM_ZB_Nsoko!CA_PSC_switch_trig</vt:lpstr>
      <vt:lpstr>KLL_II_2020!CA_PSC_switch_trig</vt:lpstr>
      <vt:lpstr>CA_PSC_switch_trig</vt:lpstr>
      <vt:lpstr>CA_rev_domestic_gas_perc</vt:lpstr>
      <vt:lpstr>Haute_Mer_1994!CA_rev_for_SPO</vt:lpstr>
      <vt:lpstr>HM_ZA_Nkossa!CA_rev_for_SPO</vt:lpstr>
      <vt:lpstr>HM_ZB_Nsoko!CA_rev_for_SPO</vt:lpstr>
      <vt:lpstr>HM_ZD_AM3_2005!CA_rev_for_SPO</vt:lpstr>
      <vt:lpstr>HM_ZD_Moho!CA_rev_for_SPO</vt:lpstr>
      <vt:lpstr>KLL_II_2020!CA_rev_for_SPO</vt:lpstr>
      <vt:lpstr>Loango_II!CA_rev_for_SPO</vt:lpstr>
      <vt:lpstr>Marine!CA_rev_for_SPO</vt:lpstr>
      <vt:lpstr>CA_rev_for_SPO</vt:lpstr>
      <vt:lpstr>Haute_Mer_1994!CA_rev_gas_perc</vt:lpstr>
      <vt:lpstr>HM_ZA_Nkossa!CA_rev_gas_perc</vt:lpstr>
      <vt:lpstr>HM_ZB_Nsoko!CA_rev_gas_perc</vt:lpstr>
      <vt:lpstr>HM_ZD_AM3_2005!CA_rev_gas_perc</vt:lpstr>
      <vt:lpstr>HM_ZD_Moho!CA_rev_gas_perc</vt:lpstr>
      <vt:lpstr>KLL_II_2020!CA_rev_gas_perc</vt:lpstr>
      <vt:lpstr>Loango_II!CA_rev_gas_perc</vt:lpstr>
      <vt:lpstr>Marine!CA_rev_gas_perc</vt:lpstr>
      <vt:lpstr>CA_rev_gas_perc</vt:lpstr>
      <vt:lpstr>Haute_Mer_1994!CA_rev_oil_perc</vt:lpstr>
      <vt:lpstr>HM_ZA_Nkossa!CA_rev_oil_perc</vt:lpstr>
      <vt:lpstr>HM_ZB_Nsoko!CA_rev_oil_perc</vt:lpstr>
      <vt:lpstr>HM_ZD_AM3_2005!CA_rev_oil_perc</vt:lpstr>
      <vt:lpstr>HM_ZD_Moho!CA_rev_oil_perc</vt:lpstr>
      <vt:lpstr>KLL_II_2020!CA_rev_oil_perc</vt:lpstr>
      <vt:lpstr>Loango_II!CA_rev_oil_perc</vt:lpstr>
      <vt:lpstr>Marine!CA_rev_oil_perc</vt:lpstr>
      <vt:lpstr>CA_rev_oil_perc</vt:lpstr>
      <vt:lpstr>CA_roy_domestic_gas_fp</vt:lpstr>
      <vt:lpstr>Haute_Mer_1994!CA_roy_gas_fp</vt:lpstr>
      <vt:lpstr>HM_ZA_Nkossa!CA_roy_gas_fp</vt:lpstr>
      <vt:lpstr>HM_ZB_Nsoko!CA_roy_gas_fp</vt:lpstr>
      <vt:lpstr>HM_ZD_AM3_2005!CA_roy_gas_fp</vt:lpstr>
      <vt:lpstr>HM_ZD_Moho!CA_roy_gas_fp</vt:lpstr>
      <vt:lpstr>KLL_II_2020!CA_roy_gas_fp</vt:lpstr>
      <vt:lpstr>Loango_II!CA_roy_gas_fp</vt:lpstr>
      <vt:lpstr>Marine!CA_roy_gas_fp</vt:lpstr>
      <vt:lpstr>CA_roy_gas_fp</vt:lpstr>
      <vt:lpstr>Haute_Mer_1994!CA_roy_oil_fp</vt:lpstr>
      <vt:lpstr>HM_ZA_Nkossa!CA_roy_oil_fp</vt:lpstr>
      <vt:lpstr>HM_ZB_Nsoko!CA_roy_oil_fp</vt:lpstr>
      <vt:lpstr>HM_ZD_AM3_2005!CA_roy_oil_fp</vt:lpstr>
      <vt:lpstr>HM_ZD_Moho!CA_roy_oil_fp</vt:lpstr>
      <vt:lpstr>KLL_II_2020!CA_roy_oil_fp</vt:lpstr>
      <vt:lpstr>Loango_II!CA_roy_oil_fp</vt:lpstr>
      <vt:lpstr>Marine!CA_roy_oil_fp</vt:lpstr>
      <vt:lpstr>CA_roy_oil_fp</vt:lpstr>
      <vt:lpstr>Haute_Mer_1994!CA_roy_total_fp</vt:lpstr>
      <vt:lpstr>HM_ZA_Nkossa!CA_roy_total_fp</vt:lpstr>
      <vt:lpstr>HM_ZB_Nsoko!CA_roy_total_fp</vt:lpstr>
      <vt:lpstr>HM_ZD_AM3_2005!CA_roy_total_fp</vt:lpstr>
      <vt:lpstr>HM_ZD_Moho!CA_roy_total_fp</vt:lpstr>
      <vt:lpstr>KLL_II_2020!CA_roy_total_fp</vt:lpstr>
      <vt:lpstr>Loango_II!CA_roy_total_fp</vt:lpstr>
      <vt:lpstr>Marine!CA_roy_total_fp</vt:lpstr>
      <vt:lpstr>CA_roy_total_fp</vt:lpstr>
      <vt:lpstr>Haute_Mer_1994!CA_SPO_cont</vt:lpstr>
      <vt:lpstr>HM_ZA_Nkossa!CA_SPO_cont</vt:lpstr>
      <vt:lpstr>HM_ZB_Nsoko!CA_SPO_cont</vt:lpstr>
      <vt:lpstr>HM_ZD_AM3_2005!CA_SPO_cont</vt:lpstr>
      <vt:lpstr>HM_ZD_Moho!CA_SPO_cont</vt:lpstr>
      <vt:lpstr>KLL_II_2020!CA_SPO_cont</vt:lpstr>
      <vt:lpstr>Loango_II!CA_SPO_cont</vt:lpstr>
      <vt:lpstr>Marine!CA_SPO_cont</vt:lpstr>
      <vt:lpstr>CA_SPO_cont</vt:lpstr>
      <vt:lpstr>Haute_Mer_1994!CA_Spo_gov</vt:lpstr>
      <vt:lpstr>HM_ZA_Nkossa!CA_Spo_gov</vt:lpstr>
      <vt:lpstr>HM_ZB_Nsoko!CA_Spo_gov</vt:lpstr>
      <vt:lpstr>HM_ZD_AM3_2005!CA_Spo_gov</vt:lpstr>
      <vt:lpstr>HM_ZD_Moho!CA_Spo_gov</vt:lpstr>
      <vt:lpstr>KLL_II_2020!CA_Spo_gov</vt:lpstr>
      <vt:lpstr>Loango_II!CA_Spo_gov</vt:lpstr>
      <vt:lpstr>Marine!CA_Spo_gov</vt:lpstr>
      <vt:lpstr>CA_Spo_gov</vt:lpstr>
      <vt:lpstr>Haute_Mer_1994!CA_SPO_trig</vt:lpstr>
      <vt:lpstr>HM_ZB_Nsoko!CA_SPO_trig</vt:lpstr>
      <vt:lpstr>KLL_II_2020!CA_SPO_trig</vt:lpstr>
      <vt:lpstr>Loango_II!CA_SPO_trig</vt:lpstr>
      <vt:lpstr>Marine!CA_SPO_trig</vt:lpstr>
      <vt:lpstr>CA_SPO_trig</vt:lpstr>
      <vt:lpstr>HM_ZB_Nsoko!CA_unrecov_costs_to_recover</vt:lpstr>
      <vt:lpstr>HM_ZD_AM3_2005!CA_unrecov_costs_to_recover</vt:lpstr>
      <vt:lpstr>HM_ZD_Moho!CA_unrecov_costs_to_recover</vt:lpstr>
      <vt:lpstr>KLL_II_2020!CA_unrecov_costs_to_recover</vt:lpstr>
      <vt:lpstr>Marine!CA_unrecov_costs_to_recover</vt:lpstr>
      <vt:lpstr>CA_unrecov_costs_to_recover</vt:lpstr>
      <vt:lpstr>Haute_Mer_1994!CA_varopex_nom</vt:lpstr>
      <vt:lpstr>HM_ZA_Nkossa!CA_varopex_nom</vt:lpstr>
      <vt:lpstr>HM_ZB_Nsoko!CA_varopex_nom</vt:lpstr>
      <vt:lpstr>HM_ZD_AM3_2005!CA_varopex_nom</vt:lpstr>
      <vt:lpstr>HM_ZD_Moho!CA_varopex_nom</vt:lpstr>
      <vt:lpstr>KLL_II_2020!CA_varopex_nom</vt:lpstr>
      <vt:lpstr>Loango_II!CA_varopex_nom</vt:lpstr>
      <vt:lpstr>Marine!CA_varopex_nom</vt:lpstr>
      <vt:lpstr>CA_varopex_nom</vt:lpstr>
      <vt:lpstr>conv_BbltoMcf</vt:lpstr>
      <vt:lpstr>conv_CMtoBbls</vt:lpstr>
      <vt:lpstr>conv_CMtoCF</vt:lpstr>
      <vt:lpstr>conv_TonLNGtoMcf</vt:lpstr>
      <vt:lpstr>conv_TontoBbls</vt:lpstr>
      <vt:lpstr>HM_ZA_Nkossa!cost_stop_p1</vt:lpstr>
      <vt:lpstr>cost_stop_p1</vt:lpstr>
      <vt:lpstr>HM_ZA_Nkossa!cost_stop_p2</vt:lpstr>
      <vt:lpstr>cost_stop_p2</vt:lpstr>
      <vt:lpstr>HM_ZA_Nkossa!cost_stop_perbbl1</vt:lpstr>
      <vt:lpstr>cost_stop_perbbl1</vt:lpstr>
      <vt:lpstr>HM_ZA_Nkossa!cost_stop_perbbl2</vt:lpstr>
      <vt:lpstr>cost_stop_perbbl2</vt:lpstr>
      <vt:lpstr>HM_ZA_Nkossa!cost_stop_perc</vt:lpstr>
      <vt:lpstr>HM_ZB_Nsoko!cost_stop_perc</vt:lpstr>
      <vt:lpstr>KLL_II_2020!cost_stop_perc</vt:lpstr>
      <vt:lpstr>cost_stop_perc</vt:lpstr>
      <vt:lpstr>cost_stop_perc_Nkossa2017</vt:lpstr>
      <vt:lpstr>costescBase_year</vt:lpstr>
      <vt:lpstr>CR_date</vt:lpstr>
      <vt:lpstr>CS_HP_infl_baseyear</vt:lpstr>
      <vt:lpstr>Current_year</vt:lpstr>
      <vt:lpstr>date_offset_AM_3_2005</vt:lpstr>
      <vt:lpstr>date_offset_AM_4_AM_6</vt:lpstr>
      <vt:lpstr>HM_ZA_Nkossa!date_offset_HM1994</vt:lpstr>
      <vt:lpstr>date_offset_HM1994</vt:lpstr>
      <vt:lpstr>date_offset_KLL2020</vt:lpstr>
      <vt:lpstr>date_offset_Loango</vt:lpstr>
      <vt:lpstr>date_offset_Marine</vt:lpstr>
      <vt:lpstr>date_offset_Mwafi</vt:lpstr>
      <vt:lpstr>date_offset_Nsoko1999</vt:lpstr>
      <vt:lpstr>'Tableau de bord Prévisions'!db_decom_switch</vt:lpstr>
      <vt:lpstr>db_decom_switch</vt:lpstr>
      <vt:lpstr>db_ML_selected</vt:lpstr>
      <vt:lpstr>'Tableau de bord Prévisions'!db_psc_number</vt:lpstr>
      <vt:lpstr>db_psc_number</vt:lpstr>
      <vt:lpstr>'Tableau de bord Prévisions'!db_psc_selector</vt:lpstr>
      <vt:lpstr>db_psc_selector</vt:lpstr>
      <vt:lpstr>'Tableau de bord Prévisions'!db_total_reserves</vt:lpstr>
      <vt:lpstr>db_total_reserves</vt:lpstr>
      <vt:lpstr>decom_toggle</vt:lpstr>
      <vt:lpstr>df_capex_sens</vt:lpstr>
      <vt:lpstr>df_custom_price</vt:lpstr>
      <vt:lpstr>df_decom_switch</vt:lpstr>
      <vt:lpstr>df_esc_perc</vt:lpstr>
      <vt:lpstr>df_forecast_years</vt:lpstr>
      <vt:lpstr>df_infl_perc</vt:lpstr>
      <vt:lpstr>df_LPG_dscount</vt:lpstr>
      <vt:lpstr>df_marine_upside</vt:lpstr>
      <vt:lpstr>df_opex_sens</vt:lpstr>
      <vt:lpstr>df_price_selector</vt:lpstr>
      <vt:lpstr>df_prod_decline_rate</vt:lpstr>
      <vt:lpstr>df_psc_number</vt:lpstr>
      <vt:lpstr>df_psc_selector</vt:lpstr>
      <vt:lpstr>df_total_reserves</vt:lpstr>
      <vt:lpstr>KLL_II_2020!ECR_cont_rate</vt:lpstr>
      <vt:lpstr>ECR_cont_rate</vt:lpstr>
      <vt:lpstr>ECR_cont_rate_Nsoko2019</vt:lpstr>
      <vt:lpstr>HM_ZB_Nsoko!ECR_Dev_cost_perc</vt:lpstr>
      <vt:lpstr>ECR_Dev_cost_perc</vt:lpstr>
      <vt:lpstr>KLL_II_2020!ECR_govt_rate</vt:lpstr>
      <vt:lpstr>ECR_govt_rate</vt:lpstr>
      <vt:lpstr>ECR_govt_rate_Nsoko2019</vt:lpstr>
      <vt:lpstr>effective_date_AM_3_2005</vt:lpstr>
      <vt:lpstr>effective_date_AM_4_AM_6</vt:lpstr>
      <vt:lpstr>HM_ZA_Nkossa!effective_date_HM1994</vt:lpstr>
      <vt:lpstr>effective_date_HM1994</vt:lpstr>
      <vt:lpstr>effective_date_KLL2020</vt:lpstr>
      <vt:lpstr>effective_date_Loango</vt:lpstr>
      <vt:lpstr>effective_date_Marine</vt:lpstr>
      <vt:lpstr>effective_date_Mwafi</vt:lpstr>
      <vt:lpstr>effective_date_Nkossa2017</vt:lpstr>
      <vt:lpstr>effective_date_Nsoko1999</vt:lpstr>
      <vt:lpstr>effective_date_Nsoko2019</vt:lpstr>
      <vt:lpstr>effective_date_PNGF2010</vt:lpstr>
      <vt:lpstr>FA_cost_stop_perc_gas</vt:lpstr>
      <vt:lpstr>FA_cost_stop_perc_oil</vt:lpstr>
      <vt:lpstr>Loango_II!FA_coststop_perc</vt:lpstr>
      <vt:lpstr>FA_coststop_perc</vt:lpstr>
      <vt:lpstr>Loango_II!FA_CR_date</vt:lpstr>
      <vt:lpstr>FA_CR_date</vt:lpstr>
      <vt:lpstr>HM_ZD_Moho!FA_CS_cumprod_gas</vt:lpstr>
      <vt:lpstr>FA_CS_cumprod_gas</vt:lpstr>
      <vt:lpstr>HM_ZD_Moho!FA_CS_cumprod_oil</vt:lpstr>
      <vt:lpstr>FA_CS_cumprod_oil</vt:lpstr>
      <vt:lpstr>HM_ZD_Moho!FA_CS_HP</vt:lpstr>
      <vt:lpstr>FA_CS_HP</vt:lpstr>
      <vt:lpstr>HM_ZD_Moho!FA_CS_rate</vt:lpstr>
      <vt:lpstr>FA_CS_rate</vt:lpstr>
      <vt:lpstr>HM_ZA_Nkossa!FA_ECR_cont_rate</vt:lpstr>
      <vt:lpstr>HM_ZB_Nsoko!FA_ECR_cont_rate</vt:lpstr>
      <vt:lpstr>HM_ZD_AM3_2005!FA_ECR_cont_rate</vt:lpstr>
      <vt:lpstr>HM_ZD_Moho!FA_ECR_cont_rate</vt:lpstr>
      <vt:lpstr>Loango_II!FA_ECR_cont_rate</vt:lpstr>
      <vt:lpstr>Marine!FA_ECR_cont_rate</vt:lpstr>
      <vt:lpstr>FA_ECR_cont_rate</vt:lpstr>
      <vt:lpstr>HM_ZD_AM3_2005!FA_ECR_cumprod_gas</vt:lpstr>
      <vt:lpstr>HM_ZD_Moho!FA_ECR_cumprod_gas</vt:lpstr>
      <vt:lpstr>Loango_II!FA_ECR_cumprod_gas</vt:lpstr>
      <vt:lpstr>FA_ECR_cumprod_gas</vt:lpstr>
      <vt:lpstr>HM_ZD_AM3_2005!FA_ECR_cumprod_oil</vt:lpstr>
      <vt:lpstr>HM_ZD_Moho!FA_ECR_cumprod_oil</vt:lpstr>
      <vt:lpstr>Loango_II!FA_ECR_cumprod_oil</vt:lpstr>
      <vt:lpstr>FA_ECR_cumprod_oil</vt:lpstr>
      <vt:lpstr>HM_ZA_Nkossa!FA_ECR_govt_rate</vt:lpstr>
      <vt:lpstr>HM_ZB_Nsoko!FA_ECR_govt_rate</vt:lpstr>
      <vt:lpstr>HM_ZD_AM3_2005!FA_ECR_govt_rate</vt:lpstr>
      <vt:lpstr>HM_ZD_Moho!FA_ECR_govt_rate</vt:lpstr>
      <vt:lpstr>Loango_II!FA_ECR_govt_rate</vt:lpstr>
      <vt:lpstr>Marine!FA_ECR_govt_rate</vt:lpstr>
      <vt:lpstr>FA_ECR_govt_rate</vt:lpstr>
      <vt:lpstr>FA_ECR_reserves</vt:lpstr>
      <vt:lpstr>HM_ZA_Nkossa!FA_HP</vt:lpstr>
      <vt:lpstr>HM_ZB_Nsoko!FA_HP</vt:lpstr>
      <vt:lpstr>KLL_II_2020!FA_HP</vt:lpstr>
      <vt:lpstr>Loango_II!FA_HP</vt:lpstr>
      <vt:lpstr>FA_HP</vt:lpstr>
      <vt:lpstr>HM_ZA_Nkossa!FA_HP_date</vt:lpstr>
      <vt:lpstr>HM_ZB_Nsoko!FA_HP_date</vt:lpstr>
      <vt:lpstr>KLL_II_2020!FA_HP_date</vt:lpstr>
      <vt:lpstr>Loango_II!FA_HP_date</vt:lpstr>
      <vt:lpstr>FA_HP_date</vt:lpstr>
      <vt:lpstr>HM_ZB_Nsoko!FA_PS_cont_rate</vt:lpstr>
      <vt:lpstr>HM_ZD_AM3_2005!FA_PS_cont_rate</vt:lpstr>
      <vt:lpstr>HM_ZD_Moho!FA_PS_cont_rate</vt:lpstr>
      <vt:lpstr>KLL_II_2020!FA_PS_cont_rate</vt:lpstr>
      <vt:lpstr>Loango_II!FA_PS_cont_rate</vt:lpstr>
      <vt:lpstr>Marine!FA_PS_cont_rate</vt:lpstr>
      <vt:lpstr>FA_PS_cont_rate</vt:lpstr>
      <vt:lpstr>FA_PS_cont_rate2</vt:lpstr>
      <vt:lpstr>HM_ZB_Nsoko!FA_PS_cumprod_gas</vt:lpstr>
      <vt:lpstr>HM_ZD_AM3_2005!FA_PS_cumprod_gas</vt:lpstr>
      <vt:lpstr>HM_ZD_Moho!FA_PS_cumprod_gas</vt:lpstr>
      <vt:lpstr>Loango_II!FA_PS_cumprod_gas</vt:lpstr>
      <vt:lpstr>FA_PS_cumprod_gas</vt:lpstr>
      <vt:lpstr>HM_ZB_Nsoko!FA_PS_cumprod_oil</vt:lpstr>
      <vt:lpstr>HM_ZD_AM3_2005!FA_PS_cumprod_oil</vt:lpstr>
      <vt:lpstr>HM_ZD_Moho!FA_PS_cumprod_oil</vt:lpstr>
      <vt:lpstr>Loango_II!FA_PS_cumprod_oil</vt:lpstr>
      <vt:lpstr>Marine!FA_PS_cumprod_oil</vt:lpstr>
      <vt:lpstr>FA_PS_cumprod_oil</vt:lpstr>
      <vt:lpstr>HM_ZB_Nsoko!FA_PS_govt_rate</vt:lpstr>
      <vt:lpstr>HM_ZD_AM3_2005!FA_PS_govt_rate</vt:lpstr>
      <vt:lpstr>HM_ZD_Moho!FA_PS_govt_rate</vt:lpstr>
      <vt:lpstr>KLL_II_2020!FA_PS_govt_rate</vt:lpstr>
      <vt:lpstr>Loango_II!FA_PS_govt_rate</vt:lpstr>
      <vt:lpstr>Marine!FA_PS_govt_rate</vt:lpstr>
      <vt:lpstr>FA_PS_govt_rate</vt:lpstr>
      <vt:lpstr>FA_PS_govt_rate2</vt:lpstr>
      <vt:lpstr>FA_PS_HP</vt:lpstr>
      <vt:lpstr>FA_royalty_gas</vt:lpstr>
      <vt:lpstr>FA_royalty_oil</vt:lpstr>
      <vt:lpstr>HM_ZA_Nkossa!FA_SPO_cont_rate</vt:lpstr>
      <vt:lpstr>HM_ZD_AM3_2005!FA_SPO_cont_rate</vt:lpstr>
      <vt:lpstr>HM_ZD_Moho!FA_SPO_cont_rate</vt:lpstr>
      <vt:lpstr>Loango_II!FA_SPO_cont_rate</vt:lpstr>
      <vt:lpstr>FA_SPO_cont_rate</vt:lpstr>
      <vt:lpstr>HM_ZD_AM3_2005!FA_SPO_cumprod_oil</vt:lpstr>
      <vt:lpstr>HM_ZD_Moho!FA_SPO_cumprod_oil</vt:lpstr>
      <vt:lpstr>Loango_II!FA_SPO_cumprod_oil</vt:lpstr>
      <vt:lpstr>FA_SPO_cumprod_oil</vt:lpstr>
      <vt:lpstr>HM_ZA_Nkossa!FA_SPO_govt_rate</vt:lpstr>
      <vt:lpstr>HM_ZD_AM3_2005!FA_SPO_govt_rate</vt:lpstr>
      <vt:lpstr>HM_ZD_Moho!FA_SPO_govt_rate</vt:lpstr>
      <vt:lpstr>Loango_II!FA_SPO_govt_rate</vt:lpstr>
      <vt:lpstr>FA_SPO_govt_rate</vt:lpstr>
      <vt:lpstr>Haute_Mer_1994!fees_PID_perc</vt:lpstr>
      <vt:lpstr>HM_ZA_Nkossa!fees_PID_perc</vt:lpstr>
      <vt:lpstr>HM_ZB_Nsoko!fees_PID_perc</vt:lpstr>
      <vt:lpstr>HM_ZD_AM3_2005!fees_PID_perc</vt:lpstr>
      <vt:lpstr>HM_ZD_Moho!fees_PID_perc</vt:lpstr>
      <vt:lpstr>KLL_II_2020!fees_PID_perc</vt:lpstr>
      <vt:lpstr>Loango_II!fees_PID_perc</vt:lpstr>
      <vt:lpstr>Marine!fees_PID_perc</vt:lpstr>
      <vt:lpstr>fees_PID_perc</vt:lpstr>
      <vt:lpstr>field_selected</vt:lpstr>
      <vt:lpstr>gas_price_fcst_method</vt:lpstr>
      <vt:lpstr>HM_ZA_Nkossa!GCO_date</vt:lpstr>
      <vt:lpstr>HM_ZD_Moho!GCO_date</vt:lpstr>
      <vt:lpstr>KLL_II_2020!GCO_date</vt:lpstr>
      <vt:lpstr>Loango_II!GCO_date</vt:lpstr>
      <vt:lpstr>GCO_date</vt:lpstr>
      <vt:lpstr>HM_ZA_Nkossa!GCO_perc</vt:lpstr>
      <vt:lpstr>HM_ZD_Moho!GCO_perc</vt:lpstr>
      <vt:lpstr>KLL_II_2020!GCO_perc</vt:lpstr>
      <vt:lpstr>Loango_II!GCO_perc</vt:lpstr>
      <vt:lpstr>GCO_perc</vt:lpstr>
      <vt:lpstr>gov_CF_AM_3_2005</vt:lpstr>
      <vt:lpstr>gov_CF_AM_4_AM6</vt:lpstr>
      <vt:lpstr>gov_CF_HM1994</vt:lpstr>
      <vt:lpstr>gov_CF_KLL2020</vt:lpstr>
      <vt:lpstr>gov_CF_Loango</vt:lpstr>
      <vt:lpstr>gov_CF_Marine</vt:lpstr>
      <vt:lpstr>gov_CF_Nkossa2017</vt:lpstr>
      <vt:lpstr>gov_CF_Nsoko1999</vt:lpstr>
      <vt:lpstr>gov_EAA_AM_3_2005</vt:lpstr>
      <vt:lpstr>gov_EAA_AM_4_AM6</vt:lpstr>
      <vt:lpstr>gov_EAA_HM1994</vt:lpstr>
      <vt:lpstr>gov_EAA_KLL2020</vt:lpstr>
      <vt:lpstr>gov_EAA_Loango</vt:lpstr>
      <vt:lpstr>gov_EAA_Marine</vt:lpstr>
      <vt:lpstr>gov_EAA_Nsoko1999</vt:lpstr>
      <vt:lpstr>gov_ECR_AM_3_2005</vt:lpstr>
      <vt:lpstr>gov_ECR_AM_4_AM6</vt:lpstr>
      <vt:lpstr>gov_ECR_HM1994</vt:lpstr>
      <vt:lpstr>gov_ECR_KLL2020</vt:lpstr>
      <vt:lpstr>gov_ECR_Loango</vt:lpstr>
      <vt:lpstr>gov_ECR_Marine</vt:lpstr>
      <vt:lpstr>gov_ECR_Nkossa2017</vt:lpstr>
      <vt:lpstr>gov_ECR_Nsoko1999</vt:lpstr>
      <vt:lpstr>gov_NPV_AM_3_2005</vt:lpstr>
      <vt:lpstr>gov_NPV_AM_4_AM6</vt:lpstr>
      <vt:lpstr>gov_NPV_HM1994</vt:lpstr>
      <vt:lpstr>gov_NPV_KLL2020</vt:lpstr>
      <vt:lpstr>gov_NPV_Loango</vt:lpstr>
      <vt:lpstr>gov_NPV_Marine</vt:lpstr>
      <vt:lpstr>gov_NPV_Nkossa2017</vt:lpstr>
      <vt:lpstr>gov_NPV_Nsoko1999</vt:lpstr>
      <vt:lpstr>gov_pid_AM_3_2005</vt:lpstr>
      <vt:lpstr>gov_pid_AM_4_AM6</vt:lpstr>
      <vt:lpstr>gov_pid_HM1994</vt:lpstr>
      <vt:lpstr>gov_pid_KLL2020</vt:lpstr>
      <vt:lpstr>gov_pid_Loango</vt:lpstr>
      <vt:lpstr>gov_pid_Marine</vt:lpstr>
      <vt:lpstr>gov_pid_Nkossa2017</vt:lpstr>
      <vt:lpstr>gov_pid_Nsoko1999</vt:lpstr>
      <vt:lpstr>gov_PO_AM_3_2005</vt:lpstr>
      <vt:lpstr>gov_PO_AM_4_AM6</vt:lpstr>
      <vt:lpstr>gov_PO_HM1994</vt:lpstr>
      <vt:lpstr>gov_PO_KLL2020</vt:lpstr>
      <vt:lpstr>gov_PO_Loango</vt:lpstr>
      <vt:lpstr>gov_PO_Marine</vt:lpstr>
      <vt:lpstr>gov_PO_Nkossa2017</vt:lpstr>
      <vt:lpstr>gov_PO_Nsoko1999</vt:lpstr>
      <vt:lpstr>gov_roy_AM_3_2005</vt:lpstr>
      <vt:lpstr>gov_roy_AM_4_AM6</vt:lpstr>
      <vt:lpstr>gov_roy_HM1994</vt:lpstr>
      <vt:lpstr>gov_roy_KLL2020</vt:lpstr>
      <vt:lpstr>gov_roy_Loango</vt:lpstr>
      <vt:lpstr>gov_roy_Marine</vt:lpstr>
      <vt:lpstr>gov_roy_Nkossa2017</vt:lpstr>
      <vt:lpstr>gov_roy_Nsoko1999</vt:lpstr>
      <vt:lpstr>gov_SPO_AM_3_2005</vt:lpstr>
      <vt:lpstr>gov_SPO_AM_4_AM6</vt:lpstr>
      <vt:lpstr>gov_SPO_HM1994</vt:lpstr>
      <vt:lpstr>gov_SPO_KLL2020</vt:lpstr>
      <vt:lpstr>gov_SPO_Loango</vt:lpstr>
      <vt:lpstr>gov_SPO_Marine</vt:lpstr>
      <vt:lpstr>gov_SPO_Nkossa2017</vt:lpstr>
      <vt:lpstr>gov_SPO_Nsoko1999</vt:lpstr>
      <vt:lpstr>gov_take_AM_3_2005</vt:lpstr>
      <vt:lpstr>gov_take_AM_4_AM6</vt:lpstr>
      <vt:lpstr>gov_take_HM1994</vt:lpstr>
      <vt:lpstr>gov_take_KLL2020</vt:lpstr>
      <vt:lpstr>gov_take_Loango</vt:lpstr>
      <vt:lpstr>gov_take_Marine</vt:lpstr>
      <vt:lpstr>gov_take_Nkossa2017</vt:lpstr>
      <vt:lpstr>gov_take_Nsoko1999</vt:lpstr>
      <vt:lpstr>HM_ZB_Nsoko!HP</vt:lpstr>
      <vt:lpstr>HM_ZD_AM3_2005!HP</vt:lpstr>
      <vt:lpstr>KLL_II_2020!HP</vt:lpstr>
      <vt:lpstr>Marine!HP</vt:lpstr>
      <vt:lpstr>HP</vt:lpstr>
      <vt:lpstr>HP_1</vt:lpstr>
      <vt:lpstr>HP_2</vt:lpstr>
      <vt:lpstr>HM_ZB_Nsoko!HP_date</vt:lpstr>
      <vt:lpstr>HM_ZD_AM3_2005!HP_date</vt:lpstr>
      <vt:lpstr>KLL_II_2020!HP_date</vt:lpstr>
      <vt:lpstr>Marine!HP_date</vt:lpstr>
      <vt:lpstr>HP_date</vt:lpstr>
      <vt:lpstr>IA_Days</vt:lpstr>
      <vt:lpstr>IA_decom_real</vt:lpstr>
      <vt:lpstr>IA_devcapex_real</vt:lpstr>
      <vt:lpstr>IA_EandA_real</vt:lpstr>
      <vt:lpstr>IA_esc_index</vt:lpstr>
      <vt:lpstr>IA_fixedopex_real</vt:lpstr>
      <vt:lpstr>IA_gasprice_nominal</vt:lpstr>
      <vt:lpstr>IA_gasprice_real</vt:lpstr>
      <vt:lpstr>IA_historic_HP</vt:lpstr>
      <vt:lpstr>IA_infl_index</vt:lpstr>
      <vt:lpstr>IA_lpgprice_nominal</vt:lpstr>
      <vt:lpstr>IA_oilprice_nominal</vt:lpstr>
      <vt:lpstr>IA_oilprice_real</vt:lpstr>
      <vt:lpstr>IA_othercosts_real</vt:lpstr>
      <vt:lpstr>IA_Periods</vt:lpstr>
      <vt:lpstr>IA_prod_gas</vt:lpstr>
      <vt:lpstr>IA_prod_lpg</vt:lpstr>
      <vt:lpstr>IA_prod_oil</vt:lpstr>
      <vt:lpstr>IA_sales_gas</vt:lpstr>
      <vt:lpstr>IA_sales_lpg</vt:lpstr>
      <vt:lpstr>IA_sales_oil</vt:lpstr>
      <vt:lpstr>IA_terminalfee_real</vt:lpstr>
      <vt:lpstr>IA_unrec_cost_bal_real</vt:lpstr>
      <vt:lpstr>IA_varopex_real</vt:lpstr>
      <vt:lpstr>IA_Years</vt:lpstr>
      <vt:lpstr>InflationBase_year</vt:lpstr>
      <vt:lpstr>input_cost_esc_perc</vt:lpstr>
      <vt:lpstr>input_DiscRate_nom</vt:lpstr>
      <vt:lpstr>input_gasprice_real_singlecell</vt:lpstr>
      <vt:lpstr>input_oilprice_real_singlecell</vt:lpstr>
      <vt:lpstr>input_US_inflation_perc</vt:lpstr>
      <vt:lpstr>Haute_Mer_1994!int_rate_cf_costs</vt:lpstr>
      <vt:lpstr>HM_ZA_Nkossa!int_rate_cf_costs</vt:lpstr>
      <vt:lpstr>HM_ZD_AM3_2005!int_rate_cf_costs</vt:lpstr>
      <vt:lpstr>HM_ZD_Moho!int_rate_cf_costs</vt:lpstr>
      <vt:lpstr>KLL_II_2020!int_rate_cf_costs</vt:lpstr>
      <vt:lpstr>Loango_II!int_rate_cf_costs</vt:lpstr>
      <vt:lpstr>Marine!int_rate_cf_costs</vt:lpstr>
      <vt:lpstr>int_rate_cf_costs</vt:lpstr>
      <vt:lpstr>IOC_CF_AM_3_2005</vt:lpstr>
      <vt:lpstr>IOC_CF_AM_4_AM6</vt:lpstr>
      <vt:lpstr>IOC_CF_HM1994</vt:lpstr>
      <vt:lpstr>IOC_CF_KLL2020</vt:lpstr>
      <vt:lpstr>IOC_CF_Loango</vt:lpstr>
      <vt:lpstr>IOC_CF_Marine</vt:lpstr>
      <vt:lpstr>IOC_CF_Nkossa2017</vt:lpstr>
      <vt:lpstr>IOC_CF_Nsoko1999</vt:lpstr>
      <vt:lpstr>IOC_IRR_AM_3_2005</vt:lpstr>
      <vt:lpstr>IOC_IRR_AM_4_AM6</vt:lpstr>
      <vt:lpstr>IOC_IRR_HM1994</vt:lpstr>
      <vt:lpstr>IOC_IRR_KLL2020</vt:lpstr>
      <vt:lpstr>IOC_IRR_Loango</vt:lpstr>
      <vt:lpstr>IOC_IRR_Marine</vt:lpstr>
      <vt:lpstr>IOC_IRR_Nsoko1999</vt:lpstr>
      <vt:lpstr>IOC_NPV_AM_3_2005</vt:lpstr>
      <vt:lpstr>IOC_NPV_AM_4_AM6</vt:lpstr>
      <vt:lpstr>IOC_NPV_HM1994</vt:lpstr>
      <vt:lpstr>IOC_NPV_KLL2020</vt:lpstr>
      <vt:lpstr>IOC_NPV_Loango</vt:lpstr>
      <vt:lpstr>IOC_NPV_Marine</vt:lpstr>
      <vt:lpstr>IOC_NPV_Nkossa2017</vt:lpstr>
      <vt:lpstr>IOC_NPV_Nsoko1999</vt:lpstr>
      <vt:lpstr>IOC_PP_AM_3_2005</vt:lpstr>
      <vt:lpstr>IOC_PP_AM_4_AM6</vt:lpstr>
      <vt:lpstr>IOC_PP_HM1994</vt:lpstr>
      <vt:lpstr>IOC_PP_KLL2020</vt:lpstr>
      <vt:lpstr>IOC_PP_Loango</vt:lpstr>
      <vt:lpstr>IOC_PP_Marine</vt:lpstr>
      <vt:lpstr>IOC_PP_Nsoko1999</vt:lpstr>
      <vt:lpstr>Haute_Mer_1994!IOC_WI_perc</vt:lpstr>
      <vt:lpstr>HM_ZA_Nkossa!IOC_WI_perc</vt:lpstr>
      <vt:lpstr>HM_ZB_Nsoko!IOC_WI_perc</vt:lpstr>
      <vt:lpstr>HM_ZD_AM3_2005!IOC_WI_perc</vt:lpstr>
      <vt:lpstr>HM_ZD_Moho!IOC_WI_perc</vt:lpstr>
      <vt:lpstr>KLL_II_2020!IOC_WI_perc</vt:lpstr>
      <vt:lpstr>Loango_II!IOC_WI_perc</vt:lpstr>
      <vt:lpstr>Marine!IOC_WI_perc</vt:lpstr>
      <vt:lpstr>IOC_WI_perc</vt:lpstr>
      <vt:lpstr>last_model_year</vt:lpstr>
      <vt:lpstr>list_FieldDescr</vt:lpstr>
      <vt:lpstr>list_FieldName</vt:lpstr>
      <vt:lpstr>list_tabNames</vt:lpstr>
      <vt:lpstr>marine_upside_toggle</vt:lpstr>
      <vt:lpstr>ModelStart_year</vt:lpstr>
      <vt:lpstr>NOC_CF_AM_3_2005</vt:lpstr>
      <vt:lpstr>NOC_CF_AM_4_AM6</vt:lpstr>
      <vt:lpstr>NOC_CF_HM1994</vt:lpstr>
      <vt:lpstr>NOC_CF_KLL_2020</vt:lpstr>
      <vt:lpstr>NOC_CF_Loango</vt:lpstr>
      <vt:lpstr>NOC_CF_Marine</vt:lpstr>
      <vt:lpstr>NOC_CF_Nkossa2017</vt:lpstr>
      <vt:lpstr>NOC_CF_Nsoko1999</vt:lpstr>
      <vt:lpstr>Haute_Mer_1994!NOC_CI_devex</vt:lpstr>
      <vt:lpstr>HM_ZA_Nkossa!NOC_CI_devex</vt:lpstr>
      <vt:lpstr>HM_ZB_Nsoko!NOC_CI_devex</vt:lpstr>
      <vt:lpstr>HM_ZD_AM3_2005!NOC_CI_devex</vt:lpstr>
      <vt:lpstr>HM_ZD_Moho!NOC_CI_devex</vt:lpstr>
      <vt:lpstr>KLL_II_2020!NOC_CI_devex</vt:lpstr>
      <vt:lpstr>Loango_II!NOC_CI_devex</vt:lpstr>
      <vt:lpstr>Marine!NOC_CI_devex</vt:lpstr>
      <vt:lpstr>NOC_CI_devex</vt:lpstr>
      <vt:lpstr>Haute_Mer_1994!NOC_CI_devex_rpmt</vt:lpstr>
      <vt:lpstr>HM_ZA_Nkossa!NOC_CI_devex_rpmt</vt:lpstr>
      <vt:lpstr>HM_ZB_Nsoko!NOC_CI_devex_rpmt</vt:lpstr>
      <vt:lpstr>HM_ZD_AM3_2005!NOC_CI_devex_rpmt</vt:lpstr>
      <vt:lpstr>HM_ZD_Moho!NOC_CI_devex_rpmt</vt:lpstr>
      <vt:lpstr>KLL_II_2020!NOC_CI_devex_rpmt</vt:lpstr>
      <vt:lpstr>Loango_II!NOC_CI_devex_rpmt</vt:lpstr>
      <vt:lpstr>Marine!NOC_CI_devex_rpmt</vt:lpstr>
      <vt:lpstr>NOC_CI_devex_rpmt</vt:lpstr>
      <vt:lpstr>Haute_Mer_1994!NOC_CI_expex</vt:lpstr>
      <vt:lpstr>HM_ZA_Nkossa!NOC_CI_expex</vt:lpstr>
      <vt:lpstr>HM_ZB_Nsoko!NOC_CI_expex</vt:lpstr>
      <vt:lpstr>HM_ZD_AM3_2005!NOC_CI_expex</vt:lpstr>
      <vt:lpstr>HM_ZD_Moho!NOC_CI_expex</vt:lpstr>
      <vt:lpstr>KLL_II_2020!NOC_CI_expex</vt:lpstr>
      <vt:lpstr>Loango_II!NOC_CI_expex</vt:lpstr>
      <vt:lpstr>Marine!NOC_CI_expex</vt:lpstr>
      <vt:lpstr>NOC_CI_expex</vt:lpstr>
      <vt:lpstr>Haute_Mer_1994!NOC_CI_expex_rpmt</vt:lpstr>
      <vt:lpstr>HM_ZA_Nkossa!NOC_CI_expex_rpmt</vt:lpstr>
      <vt:lpstr>HM_ZB_Nsoko!NOC_CI_expex_rpmt</vt:lpstr>
      <vt:lpstr>HM_ZD_AM3_2005!NOC_CI_expex_rpmt</vt:lpstr>
      <vt:lpstr>HM_ZD_Moho!NOC_CI_expex_rpmt</vt:lpstr>
      <vt:lpstr>KLL_II_2020!NOC_CI_expex_rpmt</vt:lpstr>
      <vt:lpstr>Loango_II!NOC_CI_expex_rpmt</vt:lpstr>
      <vt:lpstr>Marine!NOC_CI_expex_rpmt</vt:lpstr>
      <vt:lpstr>NOC_CI_expex_rpmt</vt:lpstr>
      <vt:lpstr>Haute_Mer_1994!NOC_CI_opex</vt:lpstr>
      <vt:lpstr>HM_ZA_Nkossa!NOC_CI_opex</vt:lpstr>
      <vt:lpstr>HM_ZB_Nsoko!NOC_CI_opex</vt:lpstr>
      <vt:lpstr>HM_ZD_AM3_2005!NOC_CI_opex</vt:lpstr>
      <vt:lpstr>HM_ZD_Moho!NOC_CI_opex</vt:lpstr>
      <vt:lpstr>KLL_II_2020!NOC_CI_opex</vt:lpstr>
      <vt:lpstr>Loango_II!NOC_CI_opex</vt:lpstr>
      <vt:lpstr>Marine!NOC_CI_opex</vt:lpstr>
      <vt:lpstr>NOC_CI_opex</vt:lpstr>
      <vt:lpstr>Haute_Mer_1994!NOC_CI_opex_rpmt</vt:lpstr>
      <vt:lpstr>HM_ZA_Nkossa!NOC_CI_opex_rpmt</vt:lpstr>
      <vt:lpstr>HM_ZB_Nsoko!NOC_CI_opex_rpmt</vt:lpstr>
      <vt:lpstr>HM_ZD_AM3_2005!NOC_CI_opex_rpmt</vt:lpstr>
      <vt:lpstr>HM_ZD_Moho!NOC_CI_opex_rpmt</vt:lpstr>
      <vt:lpstr>KLL_II_2020!NOC_CI_opex_rpmt</vt:lpstr>
      <vt:lpstr>Loango_II!NOC_CI_opex_rpmt</vt:lpstr>
      <vt:lpstr>Marine!NOC_CI_opex_rpmt</vt:lpstr>
      <vt:lpstr>NOC_CI_opex_rpmt</vt:lpstr>
      <vt:lpstr>Haute_Mer_1994!NOC_included_in_contgroup</vt:lpstr>
      <vt:lpstr>HM_ZA_Nkossa!NOC_included_in_contgroup</vt:lpstr>
      <vt:lpstr>HM_ZB_Nsoko!NOC_included_in_contgroup</vt:lpstr>
      <vt:lpstr>HM_ZD_AM3_2005!NOC_included_in_contgroup</vt:lpstr>
      <vt:lpstr>HM_ZD_Moho!NOC_included_in_contgroup</vt:lpstr>
      <vt:lpstr>KLL_II_2020!NOC_included_in_contgroup</vt:lpstr>
      <vt:lpstr>Loango_II!NOC_included_in_contgroup</vt:lpstr>
      <vt:lpstr>Marine!NOC_included_in_contgroup</vt:lpstr>
      <vt:lpstr>NOC_included_in_contgroup</vt:lpstr>
      <vt:lpstr>NOC_NPV_AM_3_2005</vt:lpstr>
      <vt:lpstr>NOC_NPV_AM_4_AM6</vt:lpstr>
      <vt:lpstr>NOC_NPV_HM1994</vt:lpstr>
      <vt:lpstr>NOC_NPV_KLL_2020</vt:lpstr>
      <vt:lpstr>NOC_NPV_Loango</vt:lpstr>
      <vt:lpstr>NOC_NPV_Marine</vt:lpstr>
      <vt:lpstr>NOC_NPV_Nkossa2017</vt:lpstr>
      <vt:lpstr>NOC_NPV_Nsoko1999</vt:lpstr>
      <vt:lpstr>Haute_Mer_1994!NOC_rpmt_max_perc</vt:lpstr>
      <vt:lpstr>HM_ZA_Nkossa!NOC_rpmt_max_perc</vt:lpstr>
      <vt:lpstr>HM_ZB_Nsoko!NOC_rpmt_max_perc</vt:lpstr>
      <vt:lpstr>HM_ZD_AM3_2005!NOC_rpmt_max_perc</vt:lpstr>
      <vt:lpstr>HM_ZD_Moho!NOC_rpmt_max_perc</vt:lpstr>
      <vt:lpstr>KLL_II_2020!NOC_rpmt_max_perc</vt:lpstr>
      <vt:lpstr>Loango_II!NOC_rpmt_max_perc</vt:lpstr>
      <vt:lpstr>Marine!NOC_rpmt_max_perc</vt:lpstr>
      <vt:lpstr>NOC_rpmt_max_perc</vt:lpstr>
      <vt:lpstr>Haute_Mer_1994!NOC_WI_perc</vt:lpstr>
      <vt:lpstr>HM_ZA_Nkossa!NOC_WI_perc</vt:lpstr>
      <vt:lpstr>HM_ZB_Nsoko!NOC_WI_perc</vt:lpstr>
      <vt:lpstr>HM_ZD_AM3_2005!NOC_WI_perc</vt:lpstr>
      <vt:lpstr>HM_ZD_Moho!NOC_WI_perc</vt:lpstr>
      <vt:lpstr>KLL_II_2020!NOC_WI_perc</vt:lpstr>
      <vt:lpstr>Loango_II!NOC_WI_perc</vt:lpstr>
      <vt:lpstr>Marine!NOC_WI_perc</vt:lpstr>
      <vt:lpstr>NOC_WI_perc</vt:lpstr>
      <vt:lpstr>OA_cont_ATCF_AM_2005</vt:lpstr>
      <vt:lpstr>OA_cont_ATCF_AM_4_AM_6</vt:lpstr>
      <vt:lpstr>OA_cont_ATCF_HM1994</vt:lpstr>
      <vt:lpstr>OA_cont_ATCF_KLL2020</vt:lpstr>
      <vt:lpstr>OA_cont_ATCF_Loango</vt:lpstr>
      <vt:lpstr>OA_cont_ATCF_Marine</vt:lpstr>
      <vt:lpstr>OA_cont_ATCF_mwafi</vt:lpstr>
      <vt:lpstr>OA_cont_ATCF_Nkossa2017</vt:lpstr>
      <vt:lpstr>OA_cont_ATCF_Nsoko1999</vt:lpstr>
      <vt:lpstr>OA_gov_CF_AM_3_2005</vt:lpstr>
      <vt:lpstr>OA_gov_CF_AM_4_AM_6</vt:lpstr>
      <vt:lpstr>OA_gov_CF_HM1994</vt:lpstr>
      <vt:lpstr>OA_gov_CF_KLL2020</vt:lpstr>
      <vt:lpstr>OA_gov_CF_Loango</vt:lpstr>
      <vt:lpstr>OA_gov_CF_Marine</vt:lpstr>
      <vt:lpstr>OA_gov_CF_mwafi</vt:lpstr>
      <vt:lpstr>OA_gov_CF_Nkossa2017</vt:lpstr>
      <vt:lpstr>OA_gov_CF_Nsoko1999</vt:lpstr>
      <vt:lpstr>OA_IOC_ATCF_AM_3_2005</vt:lpstr>
      <vt:lpstr>OA_IOC_ATCF_AM_4_AM_6</vt:lpstr>
      <vt:lpstr>OA_IOC_ATCF_HM1994</vt:lpstr>
      <vt:lpstr>OA_IOC_ATCF_KLL2020</vt:lpstr>
      <vt:lpstr>OA_IOC_ATCF_Loango</vt:lpstr>
      <vt:lpstr>OA_IOC_ATCF_Marine</vt:lpstr>
      <vt:lpstr>OA_IOC_ATCF_mwafi</vt:lpstr>
      <vt:lpstr>OA_IOC_ATCF_Nkossa2017</vt:lpstr>
      <vt:lpstr>OA_IOC_ATCF_Nsoko1999</vt:lpstr>
      <vt:lpstr>OA_noc_ATCF_Am_3_2005</vt:lpstr>
      <vt:lpstr>OA_noc_ATCF_AM_4_AM_6</vt:lpstr>
      <vt:lpstr>OA_noc_ATCF_HM1994</vt:lpstr>
      <vt:lpstr>OA_noc_ATCF_KLL2020</vt:lpstr>
      <vt:lpstr>OA_noc_ATCF_Loango</vt:lpstr>
      <vt:lpstr>OA_noc_ATCF_Marine</vt:lpstr>
      <vt:lpstr>OA_noc_ATCF_mwafi</vt:lpstr>
      <vt:lpstr>OA_noc_ATCF_Nkossa2017</vt:lpstr>
      <vt:lpstr>OA_noc_ATCF_Nsoko1999</vt:lpstr>
      <vt:lpstr>oil_price_fcst_method</vt:lpstr>
      <vt:lpstr>price_selected</vt:lpstr>
      <vt:lpstr>prior_cum_prod</vt:lpstr>
      <vt:lpstr>prior_cum_sales</vt:lpstr>
      <vt:lpstr>prod_decline_rate</vt:lpstr>
      <vt:lpstr>HM_ZA_Nkossa!PS_cont_rate</vt:lpstr>
      <vt:lpstr>KLL_II_2020!PS_cont_rate</vt:lpstr>
      <vt:lpstr>PS_cont_rate</vt:lpstr>
      <vt:lpstr>PS_cont_rate_gas</vt:lpstr>
      <vt:lpstr>PS_cont_rate_gas_domestic</vt:lpstr>
      <vt:lpstr>PS_cont_rate_nsoko2019</vt:lpstr>
      <vt:lpstr>HM_ZA_Nkossa!PS_govt_rate</vt:lpstr>
      <vt:lpstr>KLL_II_2020!PS_govt_rate</vt:lpstr>
      <vt:lpstr>PS_govt_rate</vt:lpstr>
      <vt:lpstr>PS_govt_rate_gas</vt:lpstr>
      <vt:lpstr>PS_govt_rate_gas_domestic</vt:lpstr>
      <vt:lpstr>PS_govt_rate_nsoko2019</vt:lpstr>
      <vt:lpstr>RA_costgas_cont</vt:lpstr>
      <vt:lpstr>RA_costoil_cont</vt:lpstr>
      <vt:lpstr>RA_costoil_gov</vt:lpstr>
      <vt:lpstr>RA_ECR_cont</vt:lpstr>
      <vt:lpstr>RA_ECR_gov</vt:lpstr>
      <vt:lpstr>RA_pid_gov</vt:lpstr>
      <vt:lpstr>RA_profitgas_cont</vt:lpstr>
      <vt:lpstr>RA_profitoil_cont</vt:lpstr>
      <vt:lpstr>RA_profitoil_gov</vt:lpstr>
      <vt:lpstr>RA_rev_gas</vt:lpstr>
      <vt:lpstr>RA_rev_lpg</vt:lpstr>
      <vt:lpstr>RA_rev_oil</vt:lpstr>
      <vt:lpstr>RA_roy_gov</vt:lpstr>
      <vt:lpstr>RA_spo_cont</vt:lpstr>
      <vt:lpstr>RA_spo_gov</vt:lpstr>
      <vt:lpstr>recov_EandA_toggle</vt:lpstr>
      <vt:lpstr>Haute_Mer_1994!royalty_rate_gas</vt:lpstr>
      <vt:lpstr>HM_ZB_Nsoko!royalty_rate_gas</vt:lpstr>
      <vt:lpstr>HM_ZD_AM3_2005!royalty_rate_gas</vt:lpstr>
      <vt:lpstr>HM_ZD_Moho!royalty_rate_gas</vt:lpstr>
      <vt:lpstr>KLL_II_2020!royalty_rate_gas</vt:lpstr>
      <vt:lpstr>Loango_II!royalty_rate_gas</vt:lpstr>
      <vt:lpstr>Marine!royalty_rate_gas</vt:lpstr>
      <vt:lpstr>royalty_rate_gas</vt:lpstr>
      <vt:lpstr>royalty_rate_gas_domestic</vt:lpstr>
      <vt:lpstr>Haute_Mer_1994!royalty_rate_oil</vt:lpstr>
      <vt:lpstr>HM_ZB_Nsoko!royalty_rate_oil</vt:lpstr>
      <vt:lpstr>HM_ZD_AM3_2005!royalty_rate_oil</vt:lpstr>
      <vt:lpstr>HM_ZD_Moho!royalty_rate_oil</vt:lpstr>
      <vt:lpstr>KLL_II_2020!royalty_rate_oil</vt:lpstr>
      <vt:lpstr>Loango_II!royalty_rate_oil</vt:lpstr>
      <vt:lpstr>Marine!royalty_rate_oil</vt:lpstr>
      <vt:lpstr>royalty_rate_oil</vt:lpstr>
      <vt:lpstr>HM_ZB_Nsoko!SPO_cont_rate</vt:lpstr>
      <vt:lpstr>KLL_II_2020!SPO_cont_rate</vt:lpstr>
      <vt:lpstr>Marine!SPO_cont_rate</vt:lpstr>
      <vt:lpstr>SPO_cont_rate</vt:lpstr>
      <vt:lpstr>HM_ZB_Nsoko!SPO_govt_rate</vt:lpstr>
      <vt:lpstr>KLL_II_2020!SPO_govt_rate</vt:lpstr>
      <vt:lpstr>Marine!SPO_govt_rate</vt:lpstr>
      <vt:lpstr>SPO_govt_rate</vt:lpstr>
      <vt:lpstr>state_take_AM_3_2005</vt:lpstr>
      <vt:lpstr>state_take_AM_4_AM6</vt:lpstr>
      <vt:lpstr>state_take_HM1994</vt:lpstr>
      <vt:lpstr>state_take_KLL2020</vt:lpstr>
      <vt:lpstr>state_take_Loango</vt:lpstr>
      <vt:lpstr>state_take_Marine</vt:lpstr>
      <vt:lpstr>state_take_Nsoko1999</vt:lpstr>
      <vt:lpstr>title_chart1</vt:lpstr>
      <vt:lpstr>title_chart10</vt:lpstr>
      <vt:lpstr>title_chart11</vt:lpstr>
      <vt:lpstr>title_chart12</vt:lpstr>
      <vt:lpstr>title_chart13</vt:lpstr>
      <vt:lpstr>title_chart14</vt:lpstr>
      <vt:lpstr>title_chart15</vt:lpstr>
      <vt:lpstr>title_chart16</vt:lpstr>
      <vt:lpstr>title_chart17</vt:lpstr>
      <vt:lpstr>title_chart18</vt:lpstr>
      <vt:lpstr>title_chart19</vt:lpstr>
      <vt:lpstr>title_chart2</vt:lpstr>
      <vt:lpstr>title_chart20</vt:lpstr>
      <vt:lpstr>title_chart21</vt:lpstr>
      <vt:lpstr>title_chart22</vt:lpstr>
      <vt:lpstr>title_chart23</vt:lpstr>
      <vt:lpstr>title_chart24</vt:lpstr>
      <vt:lpstr>title_chart25</vt:lpstr>
      <vt:lpstr>title_chart26</vt:lpstr>
      <vt:lpstr>title_chart27</vt:lpstr>
      <vt:lpstr>title_chart3</vt:lpstr>
      <vt:lpstr>title_chart4</vt:lpstr>
      <vt:lpstr>title_chart5</vt:lpstr>
      <vt:lpstr>title_chart6</vt:lpstr>
      <vt:lpstr>title_chart7</vt:lpstr>
      <vt:lpstr>title_chart8</vt:lpstr>
      <vt:lpstr>title_chart9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Jawed, Adeel</dc:creator>
  <cp:lastModifiedBy>Microsoft Office User</cp:lastModifiedBy>
  <cp:lastPrinted>2021-11-03T10:51:48Z</cp:lastPrinted>
  <dcterms:created xsi:type="dcterms:W3CDTF">2021-09-17T13:27:51Z</dcterms:created>
  <dcterms:modified xsi:type="dcterms:W3CDTF">2022-07-01T16:46:45Z</dcterms:modified>
</cp:coreProperties>
</file>